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E44FE167-AA68-4456-AC48-B50F1217F59A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</calcChain>
</file>

<file path=xl/sharedStrings.xml><?xml version="1.0" encoding="utf-8"?>
<sst xmlns="http://schemas.openxmlformats.org/spreadsheetml/2006/main" count="21044" uniqueCount="95">
  <si>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</si>
  <si>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</si>
  <si>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</si>
  <si>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</si>
  <si>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</si>
  <si>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</si>
  <si>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</si>
  <si>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</si>
  <si>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</si>
  <si>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</si>
  <si>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</si>
  <si>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</si>
  <si>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</si>
  <si>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</si>
  <si>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</si>
  <si>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</si>
  <si>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</si>
  <si>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</si>
  <si>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</si>
  <si>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</si>
  <si>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</si>
  <si>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</si>
  <si>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</si>
  <si>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</si>
  <si>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</si>
  <si>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</si>
  <si>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</si>
  <si>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</si>
  <si>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</si>
  <si>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</si>
  <si>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</si>
  <si>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</si>
  <si>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</si>
  <si>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</si>
  <si>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</si>
  <si>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</si>
  <si>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</si>
  <si>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</si>
  <si>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</si>
  <si>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</si>
  <si>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</si>
  <si>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mcp_road_part_02</t>
  </si>
  <si>
    <t>Kooper</t>
  </si>
  <si>
    <t>Building 07 (16)</t>
  </si>
  <si>
    <t>Plane_01</t>
  </si>
  <si>
    <t>mcp_bus_stop_night_LOD_0</t>
  </si>
  <si>
    <t>mcp_roads_turn_01 (1)</t>
  </si>
  <si>
    <t>Box001</t>
  </si>
  <si>
    <t>Building 15 (35)</t>
  </si>
  <si>
    <t>mcp_roads_T_cross_01</t>
  </si>
  <si>
    <t>mcp_roads_cross_02</t>
  </si>
  <si>
    <t>mcp_building_24_fountain_marble</t>
  </si>
  <si>
    <t>mcp_road_part_01</t>
  </si>
  <si>
    <t>Building 21 (2)</t>
  </si>
  <si>
    <t>Tong (3)</t>
  </si>
  <si>
    <t>Tree 02 (2)</t>
  </si>
  <si>
    <t>mcp_roads_cross_01</t>
  </si>
  <si>
    <t>Building 15 (33)</t>
  </si>
  <si>
    <t>FAR</t>
  </si>
  <si>
    <t>Building 02 (8)</t>
  </si>
  <si>
    <t>Building 15 (31)</t>
  </si>
  <si>
    <t>Building 01 (9)</t>
  </si>
  <si>
    <t>mcp_roads_turn_01</t>
  </si>
  <si>
    <t>Building 15 (30)</t>
  </si>
  <si>
    <t>Building 09 (4)</t>
  </si>
  <si>
    <t>Building 07 (18)</t>
  </si>
  <si>
    <t>Building 24</t>
  </si>
  <si>
    <t>Building 11 (3)</t>
  </si>
  <si>
    <t>Building 18 (5)</t>
  </si>
  <si>
    <t>Building 01</t>
  </si>
  <si>
    <t>Building 15 (34)</t>
  </si>
  <si>
    <t>Building 15 (32)</t>
  </si>
  <si>
    <t>Building 13 (1)</t>
  </si>
  <si>
    <t>mcp_road_part_02 (1)</t>
  </si>
  <si>
    <t>mcp_road_part_02 (2)</t>
  </si>
  <si>
    <t>mcp_road_part_02 (3)</t>
  </si>
  <si>
    <t>Shurbs (2)</t>
  </si>
  <si>
    <t>Shurbs (1)</t>
  </si>
  <si>
    <t>Tree 04 (7)</t>
  </si>
  <si>
    <t>Tree 04 (5)</t>
  </si>
  <si>
    <t>Tree 04 (4)</t>
  </si>
  <si>
    <t>Building 23 (4)</t>
  </si>
  <si>
    <t>Building 30 (4)</t>
  </si>
  <si>
    <t>Shurbs (3)</t>
  </si>
  <si>
    <t>Building 07 (14)</t>
  </si>
  <si>
    <t>mcp_road_part_02 (7)</t>
  </si>
  <si>
    <t>mcp_road_part_02 (6)</t>
  </si>
  <si>
    <t>mcp_road_part_02 (9)</t>
  </si>
  <si>
    <t>mcp_road_part_02 (4)</t>
  </si>
  <si>
    <t>mcp_road_part_02 (10)</t>
  </si>
  <si>
    <t>mcp_road_part_02 (11)</t>
  </si>
  <si>
    <t>mcp_road_part_02 (12)</t>
  </si>
  <si>
    <t>Building 15 (22)</t>
  </si>
  <si>
    <t>Canopi 01 (5)</t>
  </si>
  <si>
    <t>Canopi 01 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</si>
</sst>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503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"20190303161842954"</f>
        <v>20190303161842954</v>
      </c>
      <c r="B2" t="str">
        <f>"1551601122943392"</f>
        <v>1551601122943392</v>
      </c>
      <c r="C2" t="s">
        <v>40</v>
      </c>
      <c r="D2">
        <v>4.749053</v>
      </c>
      <c r="E2">
        <v>0.53327269999999904</v>
      </c>
      <c r="F2" t="s">
        <v>41</v>
      </c>
      <c r="G2">
        <v>-461.06659999999999</v>
      </c>
      <c r="H2" s="1">
        <v>-4.3414950000000004E-6</v>
      </c>
      <c r="I2">
        <v>366.6465</v>
      </c>
      <c r="J2">
        <v>-475.66969999999998</v>
      </c>
      <c r="K2">
        <v>1.1207389999999999</v>
      </c>
      <c r="L2">
        <v>367.0686</v>
      </c>
      <c r="M2">
        <v>0.99996439999999998</v>
      </c>
      <c r="N2">
        <v>-8.4570329999999992E-3</v>
      </c>
      <c r="O2">
        <v>-1.064675E-4</v>
      </c>
      <c r="P2">
        <v>0.98831840000000004</v>
      </c>
      <c r="Q2">
        <v>0.15140149999999999</v>
      </c>
      <c r="R2">
        <v>1.7453779999999999E-2</v>
      </c>
      <c r="S2">
        <v>3.07254</v>
      </c>
      <c r="T2">
        <v>-0.23571149999999999</v>
      </c>
      <c r="U2">
        <v>-8.8745119999999997E-2</v>
      </c>
      <c r="V2">
        <v>-1.7549439999999999E-2</v>
      </c>
      <c r="W2">
        <v>0.15975520000000001</v>
      </c>
      <c r="X2">
        <v>0.98700060000000001</v>
      </c>
      <c r="Y2">
        <v>2.8671599999999998E-2</v>
      </c>
      <c r="Z2">
        <v>-1.212145E-3</v>
      </c>
      <c r="AA2">
        <v>0.99958809999999998</v>
      </c>
      <c r="AB2">
        <v>1</v>
      </c>
      <c r="AC2">
        <v>14.6030999999999</v>
      </c>
      <c r="AD2">
        <v>-1.1207433414950001</v>
      </c>
      <c r="AE2">
        <v>-0.42209999999999998</v>
      </c>
      <c r="AF2">
        <v>0.418084684400442</v>
      </c>
      <c r="AG2">
        <v>-1.1207433414950001</v>
      </c>
      <c r="AH2">
        <v>14.5177055935597</v>
      </c>
      <c r="AI2">
        <v>94.4125637477878</v>
      </c>
      <c r="AJ2">
        <v>88.350437064810706</v>
      </c>
      <c r="AK2">
        <v>14.5669020777278</v>
      </c>
      <c r="AL2">
        <v>80.807312050647297</v>
      </c>
      <c r="AM2">
        <v>91.018644670939807</v>
      </c>
      <c r="AN2">
        <v>0.99999994558585503</v>
      </c>
    </row>
    <row r="3" spans="1:40" x14ac:dyDescent="0.25">
      <c r="A3" t="str">
        <f>"20190303161842976"</f>
        <v>20190303161842976</v>
      </c>
      <c r="B3" t="str">
        <f>"1551601122972673"</f>
        <v>1551601122972673</v>
      </c>
      <c r="C3" t="s">
        <v>40</v>
      </c>
      <c r="D3">
        <v>4.751309</v>
      </c>
      <c r="E3">
        <v>0.53085079999999996</v>
      </c>
      <c r="F3" t="s">
        <v>42</v>
      </c>
      <c r="G3">
        <v>-474.96589999999998</v>
      </c>
      <c r="H3">
        <v>0.9820198</v>
      </c>
      <c r="I3">
        <v>367.02370000000002</v>
      </c>
      <c r="J3">
        <v>-475.65719999999999</v>
      </c>
      <c r="K3">
        <v>1.1205620000000001</v>
      </c>
      <c r="L3">
        <v>367.0686</v>
      </c>
      <c r="M3">
        <v>0.99997340000000001</v>
      </c>
      <c r="N3">
        <v>-7.3011250000000003E-3</v>
      </c>
      <c r="O3">
        <v>-1.292032E-4</v>
      </c>
      <c r="P3">
        <v>0.98823369999999999</v>
      </c>
      <c r="Q3">
        <v>0.15201529999999999</v>
      </c>
      <c r="R3">
        <v>1.6901880000000001E-2</v>
      </c>
      <c r="S3">
        <v>3.133575</v>
      </c>
      <c r="T3">
        <v>-0.61770570000000002</v>
      </c>
      <c r="U3">
        <v>-0.19958500000000001</v>
      </c>
      <c r="V3">
        <v>-1.7019079999999999E-2</v>
      </c>
      <c r="W3">
        <v>0.15922749999999999</v>
      </c>
      <c r="X3">
        <v>0.98709519999999995</v>
      </c>
      <c r="Y3">
        <v>6.2199629999999999E-2</v>
      </c>
      <c r="Z3">
        <v>-6.2714149999999998E-3</v>
      </c>
      <c r="AA3">
        <v>0.99804400000000004</v>
      </c>
      <c r="AB3">
        <v>1</v>
      </c>
      <c r="AC3">
        <v>0.69130000000001202</v>
      </c>
      <c r="AD3">
        <v>-0.1385422</v>
      </c>
      <c r="AE3">
        <v>-4.4899999999984098E-2</v>
      </c>
      <c r="AF3">
        <v>4.3087409558281997E-2</v>
      </c>
      <c r="AG3">
        <v>-0.1385422</v>
      </c>
      <c r="AH3">
        <v>0.66472047642047705</v>
      </c>
      <c r="AI3">
        <v>101.74917389483301</v>
      </c>
      <c r="AJ3">
        <v>86.291256402529001</v>
      </c>
      <c r="AK3">
        <v>0.68037032402651798</v>
      </c>
      <c r="AL3">
        <v>80.837939491277794</v>
      </c>
      <c r="AM3">
        <v>90.987771845080999</v>
      </c>
      <c r="AN3">
        <v>0.99999998985166805</v>
      </c>
    </row>
    <row r="4" spans="1:40" x14ac:dyDescent="0.25">
      <c r="A4" t="str">
        <f>"20190303161842998"</f>
        <v>20190303161842998</v>
      </c>
      <c r="B4" t="str">
        <f>"1551601122993168"</f>
        <v>1551601122993168</v>
      </c>
      <c r="C4" t="s">
        <v>40</v>
      </c>
      <c r="D4">
        <v>4.7862210000000003</v>
      </c>
      <c r="E4">
        <v>0.53051040000000005</v>
      </c>
      <c r="F4" t="s">
        <v>42</v>
      </c>
      <c r="G4">
        <v>-474.9676</v>
      </c>
      <c r="H4">
        <v>0.95314120000000002</v>
      </c>
      <c r="I4">
        <v>367.02870000000001</v>
      </c>
      <c r="J4">
        <v>-475.6456</v>
      </c>
      <c r="K4">
        <v>1.1206529999999999</v>
      </c>
      <c r="L4">
        <v>367.06849999999997</v>
      </c>
      <c r="M4">
        <v>0.99997510000000001</v>
      </c>
      <c r="N4">
        <v>-7.0589889999999999E-3</v>
      </c>
      <c r="O4">
        <v>-1.417867E-4</v>
      </c>
      <c r="P4">
        <v>0.98825379999999996</v>
      </c>
      <c r="Q4">
        <v>0.15187999999999999</v>
      </c>
      <c r="R4">
        <v>1.694037E-2</v>
      </c>
      <c r="S4">
        <v>3.1567080000000001</v>
      </c>
      <c r="T4">
        <v>-0.76653919999999998</v>
      </c>
      <c r="U4">
        <v>-0.1805725</v>
      </c>
      <c r="V4">
        <v>-1.7070490000000001E-2</v>
      </c>
      <c r="W4">
        <v>0.1588532</v>
      </c>
      <c r="X4">
        <v>0.98715459999999999</v>
      </c>
      <c r="Y4">
        <v>5.5321189999999999E-2</v>
      </c>
      <c r="Z4">
        <v>-6.7807730000000004E-3</v>
      </c>
      <c r="AA4">
        <v>0.99844560000000004</v>
      </c>
      <c r="AB4">
        <v>1</v>
      </c>
      <c r="AC4">
        <v>0.67799999999999705</v>
      </c>
      <c r="AD4">
        <v>-0.16751179999999999</v>
      </c>
      <c r="AE4">
        <v>-3.9799999999956898E-2</v>
      </c>
      <c r="AF4">
        <v>3.7427074006200101E-2</v>
      </c>
      <c r="AG4">
        <v>-0.16751179999999999</v>
      </c>
      <c r="AH4">
        <v>0.63912585347880002</v>
      </c>
      <c r="AI4">
        <v>104.662567802407</v>
      </c>
      <c r="AJ4">
        <v>86.648598773781998</v>
      </c>
      <c r="AK4">
        <v>0.66177250289877598</v>
      </c>
      <c r="AL4">
        <v>80.859661621814297</v>
      </c>
      <c r="AM4">
        <v>90.990695435857404</v>
      </c>
      <c r="AN4">
        <v>0.99999997254011896</v>
      </c>
    </row>
    <row r="5" spans="1:40" x14ac:dyDescent="0.25">
      <c r="A5" t="str">
        <f>"20190303161843018"</f>
        <v>20190303161843018</v>
      </c>
      <c r="B5" t="str">
        <f>"1551601123012689"</f>
        <v>1551601123012689</v>
      </c>
      <c r="C5" t="s">
        <v>40</v>
      </c>
      <c r="D5">
        <v>4.8342580000000002</v>
      </c>
      <c r="E5">
        <v>0.53008319999999998</v>
      </c>
      <c r="F5" t="s">
        <v>42</v>
      </c>
      <c r="G5">
        <v>-474.96050000000002</v>
      </c>
      <c r="H5">
        <v>0.94752349999999996</v>
      </c>
      <c r="I5">
        <v>367.02960000000002</v>
      </c>
      <c r="J5">
        <v>-475.63240000000002</v>
      </c>
      <c r="K5">
        <v>1.1206780000000001</v>
      </c>
      <c r="L5">
        <v>367.06849999999997</v>
      </c>
      <c r="M5">
        <v>0.99997760000000002</v>
      </c>
      <c r="N5">
        <v>-6.7110190000000004E-3</v>
      </c>
      <c r="O5">
        <v>-1.5308180000000001E-4</v>
      </c>
      <c r="P5">
        <v>0.98817719999999998</v>
      </c>
      <c r="Q5">
        <v>0.1523632</v>
      </c>
      <c r="R5">
        <v>1.7074659999999998E-2</v>
      </c>
      <c r="S5">
        <v>3.16153</v>
      </c>
      <c r="T5">
        <v>-0.79896369999999906</v>
      </c>
      <c r="U5">
        <v>-0.1781006</v>
      </c>
      <c r="V5">
        <v>-1.7216490000000001E-2</v>
      </c>
      <c r="W5">
        <v>0.1589921</v>
      </c>
      <c r="X5">
        <v>0.9871297</v>
      </c>
      <c r="Y5">
        <v>5.4346209999999999E-2</v>
      </c>
      <c r="Z5">
        <v>-6.9039969999999899E-3</v>
      </c>
      <c r="AA5">
        <v>0.99849829999999995</v>
      </c>
      <c r="AB5">
        <v>1</v>
      </c>
      <c r="AC5">
        <v>0.67189999999999295</v>
      </c>
      <c r="AD5">
        <v>-0.17315449999999999</v>
      </c>
      <c r="AE5">
        <v>-3.8899999999955498E-2</v>
      </c>
      <c r="AF5">
        <v>3.6388515689681801E-2</v>
      </c>
      <c r="AG5">
        <v>-0.17315449999999999</v>
      </c>
      <c r="AH5">
        <v>0.63019230551354399</v>
      </c>
      <c r="AI5">
        <v>105.339364145895</v>
      </c>
      <c r="AJ5">
        <v>86.695301006415704</v>
      </c>
      <c r="AK5">
        <v>0.65456011708079498</v>
      </c>
      <c r="AL5">
        <v>80.851600769651895</v>
      </c>
      <c r="AM5">
        <v>90.999192115580499</v>
      </c>
      <c r="AN5">
        <v>0.99999997000620899</v>
      </c>
    </row>
    <row r="6" spans="1:40" x14ac:dyDescent="0.25">
      <c r="A6" t="str">
        <f>"20190303161843033"</f>
        <v>20190303161843033</v>
      </c>
      <c r="B6" t="str">
        <f>"1551601123023425"</f>
        <v>1551601123023425</v>
      </c>
      <c r="C6" t="s">
        <v>40</v>
      </c>
      <c r="D6">
        <v>4.7896289999999997</v>
      </c>
      <c r="E6">
        <v>0.53003489999999998</v>
      </c>
      <c r="F6" t="s">
        <v>42</v>
      </c>
      <c r="G6">
        <v>-474.9479</v>
      </c>
      <c r="H6">
        <v>0.94555630000000002</v>
      </c>
      <c r="I6">
        <v>367.03019999999998</v>
      </c>
      <c r="J6">
        <v>-475.62200000000001</v>
      </c>
      <c r="K6">
        <v>1.1205830000000001</v>
      </c>
      <c r="L6">
        <v>367.06849999999997</v>
      </c>
      <c r="M6">
        <v>0.99998140000000002</v>
      </c>
      <c r="N6">
        <v>-6.1148119999999999E-3</v>
      </c>
      <c r="O6">
        <v>-1.6474060000000001E-4</v>
      </c>
      <c r="P6">
        <v>0.98814340000000001</v>
      </c>
      <c r="Q6">
        <v>0.15256</v>
      </c>
      <c r="R6">
        <v>1.727766E-2</v>
      </c>
      <c r="S6">
        <v>3.1636660000000001</v>
      </c>
      <c r="T6">
        <v>-0.80938030000000005</v>
      </c>
      <c r="U6">
        <v>-0.1741943</v>
      </c>
      <c r="V6">
        <v>-1.74313E-2</v>
      </c>
      <c r="W6">
        <v>0.1586004</v>
      </c>
      <c r="X6">
        <v>0.98718899999999998</v>
      </c>
      <c r="Y6">
        <v>5.3071819999999999E-2</v>
      </c>
      <c r="Z6">
        <v>-6.8009890000000003E-3</v>
      </c>
      <c r="AA6">
        <v>0.99856750000000005</v>
      </c>
      <c r="AB6">
        <v>1</v>
      </c>
      <c r="AC6">
        <v>0.67409999999995296</v>
      </c>
      <c r="AD6">
        <v>-0.17502669999999901</v>
      </c>
      <c r="AE6">
        <v>-3.8299999999992403E-2</v>
      </c>
      <c r="AF6">
        <v>3.57842913037279E-2</v>
      </c>
      <c r="AG6">
        <v>-0.17502669999999901</v>
      </c>
      <c r="AH6">
        <v>0.63165965272838098</v>
      </c>
      <c r="AI6">
        <v>105.46392585661</v>
      </c>
      <c r="AJ6">
        <v>86.757589791738496</v>
      </c>
      <c r="AK6">
        <v>0.65643642350340303</v>
      </c>
      <c r="AL6">
        <v>80.874332501557404</v>
      </c>
      <c r="AM6">
        <v>91.011595695023701</v>
      </c>
      <c r="AN6">
        <v>1.0000000294104201</v>
      </c>
    </row>
    <row r="7" spans="1:40" x14ac:dyDescent="0.25">
      <c r="A7" t="str">
        <f>"20190303161843047"</f>
        <v>20190303161843047</v>
      </c>
      <c r="B7" t="str">
        <f>"1551601123042944"</f>
        <v>1551601123042944</v>
      </c>
      <c r="C7" t="s">
        <v>40</v>
      </c>
      <c r="D7">
        <v>4.8659230000000004</v>
      </c>
      <c r="E7">
        <v>0.53002769999999899</v>
      </c>
      <c r="F7" t="s">
        <v>42</v>
      </c>
      <c r="G7">
        <v>-474.93209999999999</v>
      </c>
      <c r="H7">
        <v>0.94337260000000001</v>
      </c>
      <c r="I7">
        <v>367.03070000000002</v>
      </c>
      <c r="J7">
        <v>-475.60969999999998</v>
      </c>
      <c r="K7">
        <v>1.120447</v>
      </c>
      <c r="L7">
        <v>367.06849999999997</v>
      </c>
      <c r="M7">
        <v>0.99998560000000003</v>
      </c>
      <c r="N7">
        <v>-5.3717879999999997E-3</v>
      </c>
      <c r="O7">
        <v>-1.7987029999999999E-4</v>
      </c>
      <c r="P7">
        <v>0.98806609999999995</v>
      </c>
      <c r="Q7">
        <v>0.15305150000000001</v>
      </c>
      <c r="R7">
        <v>1.7342239999999998E-2</v>
      </c>
      <c r="S7">
        <v>3.1645810000000001</v>
      </c>
      <c r="T7">
        <v>-0.81296749999999995</v>
      </c>
      <c r="U7">
        <v>-0.17288210000000001</v>
      </c>
      <c r="V7">
        <v>-1.7510600000000001E-2</v>
      </c>
      <c r="W7">
        <v>0.158358</v>
      </c>
      <c r="X7">
        <v>0.98722650000000001</v>
      </c>
      <c r="Y7">
        <v>5.2634029999999998E-2</v>
      </c>
      <c r="Z7">
        <v>-6.7472859999999999E-3</v>
      </c>
      <c r="AA7">
        <v>0.99859109999999995</v>
      </c>
      <c r="AB7">
        <v>2</v>
      </c>
      <c r="AC7">
        <v>0.67759999999998399</v>
      </c>
      <c r="AD7">
        <v>-0.17707439999999899</v>
      </c>
      <c r="AE7">
        <v>-3.7799999999947403E-2</v>
      </c>
      <c r="AF7">
        <v>3.5276515571577398E-2</v>
      </c>
      <c r="AG7">
        <v>-0.17707439999999899</v>
      </c>
      <c r="AH7">
        <v>0.63441615425210496</v>
      </c>
      <c r="AI7">
        <v>105.57227413307599</v>
      </c>
      <c r="AJ7">
        <v>86.817363175048797</v>
      </c>
      <c r="AK7">
        <v>0.65960869647258502</v>
      </c>
      <c r="AL7">
        <v>80.888398674687295</v>
      </c>
      <c r="AM7">
        <v>91.016158179756403</v>
      </c>
      <c r="AN7">
        <v>1.0000000197893</v>
      </c>
    </row>
    <row r="8" spans="1:40" x14ac:dyDescent="0.25">
      <c r="A8" t="str">
        <f>"20190303161843064"</f>
        <v>20190303161843064</v>
      </c>
      <c r="B8" t="str">
        <f>"1551601123052708"</f>
        <v>1551601123052708</v>
      </c>
      <c r="C8" t="s">
        <v>40</v>
      </c>
      <c r="D8">
        <v>4.8613619999999997</v>
      </c>
      <c r="E8">
        <v>0.52980799999999995</v>
      </c>
      <c r="F8" t="s">
        <v>42</v>
      </c>
      <c r="G8">
        <v>-474.9144</v>
      </c>
      <c r="H8">
        <v>0.9406118</v>
      </c>
      <c r="I8">
        <v>367.0301</v>
      </c>
      <c r="J8">
        <v>-475.5933</v>
      </c>
      <c r="K8">
        <v>1.12032</v>
      </c>
      <c r="L8">
        <v>367.06849999999997</v>
      </c>
      <c r="M8">
        <v>0.99998960000000003</v>
      </c>
      <c r="N8">
        <v>-4.5524119999999996E-3</v>
      </c>
      <c r="O8">
        <v>-2.0142080000000001E-4</v>
      </c>
      <c r="P8">
        <v>0.98793759999999997</v>
      </c>
      <c r="Q8">
        <v>0.1538766</v>
      </c>
      <c r="R8">
        <v>1.7355019999999999E-2</v>
      </c>
      <c r="S8">
        <v>3.1661069999999998</v>
      </c>
      <c r="T8">
        <v>-0.81883569999999894</v>
      </c>
      <c r="U8">
        <v>-0.1730652</v>
      </c>
      <c r="V8">
        <v>-1.7543980000000001E-2</v>
      </c>
      <c r="W8">
        <v>0.15837399999999999</v>
      </c>
      <c r="X8">
        <v>0.98722330000000003</v>
      </c>
      <c r="Y8">
        <v>5.2627640000000003E-2</v>
      </c>
      <c r="Z8">
        <v>-6.762059E-3</v>
      </c>
      <c r="AA8">
        <v>0.99859129999999996</v>
      </c>
      <c r="AB8">
        <v>2</v>
      </c>
      <c r="AC8">
        <v>0.67889999999999795</v>
      </c>
      <c r="AD8">
        <v>-0.17970819999999901</v>
      </c>
      <c r="AE8">
        <v>-3.8399999999967301E-2</v>
      </c>
      <c r="AF8">
        <v>3.5765221854685399E-2</v>
      </c>
      <c r="AG8">
        <v>-0.17970819999999901</v>
      </c>
      <c r="AH8">
        <v>0.63458496630559902</v>
      </c>
      <c r="AI8">
        <v>105.787795712452</v>
      </c>
      <c r="AJ8">
        <v>86.774221301027794</v>
      </c>
      <c r="AK8">
        <v>0.66050909736553498</v>
      </c>
      <c r="AL8">
        <v>80.887469856182307</v>
      </c>
      <c r="AM8">
        <v>91.018098147630397</v>
      </c>
      <c r="AN8">
        <v>0.99999997958656495</v>
      </c>
    </row>
    <row r="9" spans="1:40" x14ac:dyDescent="0.25">
      <c r="A9" t="str">
        <f>"20190303161843077"</f>
        <v>20190303161843077</v>
      </c>
      <c r="B9" t="str">
        <f>"1551601123073201"</f>
        <v>1551601123073201</v>
      </c>
      <c r="C9" t="s">
        <v>40</v>
      </c>
      <c r="D9">
        <v>4.8537990000000004</v>
      </c>
      <c r="E9">
        <v>0.52933980000000003</v>
      </c>
      <c r="F9" t="s">
        <v>42</v>
      </c>
      <c r="G9">
        <v>-474.91269999999997</v>
      </c>
      <c r="H9">
        <v>0.94423840000000003</v>
      </c>
      <c r="I9">
        <v>367.03129999999999</v>
      </c>
      <c r="J9">
        <v>-475.57929999999999</v>
      </c>
      <c r="K9">
        <v>1.120258</v>
      </c>
      <c r="L9">
        <v>367.0684</v>
      </c>
      <c r="M9">
        <v>0.99999199999999999</v>
      </c>
      <c r="N9">
        <v>-4.0084789999999997E-3</v>
      </c>
      <c r="O9">
        <v>-2.2003119999999999E-4</v>
      </c>
      <c r="P9">
        <v>0.9879175</v>
      </c>
      <c r="Q9">
        <v>0.1539942</v>
      </c>
      <c r="R9">
        <v>1.7468850000000001E-2</v>
      </c>
      <c r="S9">
        <v>3.1672359999999999</v>
      </c>
      <c r="T9">
        <v>-0.81932070000000001</v>
      </c>
      <c r="U9">
        <v>-0.17102049999999999</v>
      </c>
      <c r="V9">
        <v>-1.7676520000000001E-2</v>
      </c>
      <c r="W9">
        <v>0.15795399999999901</v>
      </c>
      <c r="X9">
        <v>0.98728819999999995</v>
      </c>
      <c r="Y9">
        <v>5.1972240000000003E-2</v>
      </c>
      <c r="Z9">
        <v>-6.6596779999999996E-3</v>
      </c>
      <c r="AA9">
        <v>0.99862640000000003</v>
      </c>
      <c r="AB9">
        <v>2</v>
      </c>
      <c r="AC9">
        <v>0.66660000000001596</v>
      </c>
      <c r="AD9">
        <v>-0.176019599999999</v>
      </c>
      <c r="AE9">
        <v>-3.7100000000009403E-2</v>
      </c>
      <c r="AF9">
        <v>3.4551635497477397E-2</v>
      </c>
      <c r="AG9">
        <v>-0.176019599999999</v>
      </c>
      <c r="AH9">
        <v>0.623283605308809</v>
      </c>
      <c r="AI9">
        <v>105.747071455721</v>
      </c>
      <c r="AJ9">
        <v>86.827064351836199</v>
      </c>
      <c r="AK9">
        <v>0.64858242941545796</v>
      </c>
      <c r="AL9">
        <v>80.911840644522997</v>
      </c>
      <c r="AM9">
        <v>91.025720548690302</v>
      </c>
      <c r="AN9">
        <v>0.99999995766727401</v>
      </c>
    </row>
    <row r="10" spans="1:40" x14ac:dyDescent="0.25">
      <c r="A10" t="str">
        <f>"20190303161843092"</f>
        <v>20190303161843092</v>
      </c>
      <c r="B10" t="str">
        <f>"1551601123082961"</f>
        <v>1551601123082961</v>
      </c>
      <c r="C10" t="s">
        <v>40</v>
      </c>
      <c r="D10">
        <v>4.8176610000000002</v>
      </c>
      <c r="E10">
        <v>0.52955430000000003</v>
      </c>
      <c r="F10" t="s">
        <v>42</v>
      </c>
      <c r="G10">
        <v>-474.89249999999998</v>
      </c>
      <c r="H10">
        <v>0.94178320000000004</v>
      </c>
      <c r="I10">
        <v>367.03210000000001</v>
      </c>
      <c r="J10">
        <v>-475.56360000000001</v>
      </c>
      <c r="K10">
        <v>1.1202859999999999</v>
      </c>
      <c r="L10">
        <v>367.0684</v>
      </c>
      <c r="M10">
        <v>0.99999300000000002</v>
      </c>
      <c r="N10">
        <v>-3.764393E-3</v>
      </c>
      <c r="O10">
        <v>-2.368297E-4</v>
      </c>
      <c r="P10">
        <v>0.9878865</v>
      </c>
      <c r="Q10">
        <v>0.15416769999999999</v>
      </c>
      <c r="R10">
        <v>1.7679529999999999E-2</v>
      </c>
      <c r="S10">
        <v>3.1679689999999998</v>
      </c>
      <c r="T10">
        <v>-0.82327079999999997</v>
      </c>
      <c r="U10">
        <v>-0.16671749999999999</v>
      </c>
      <c r="V10">
        <v>-1.7904099999999999E-2</v>
      </c>
      <c r="W10">
        <v>0.1578862</v>
      </c>
      <c r="X10">
        <v>0.98729500000000003</v>
      </c>
      <c r="Y10">
        <v>5.0622380000000002E-2</v>
      </c>
      <c r="Z10">
        <v>-6.5032900000000001E-3</v>
      </c>
      <c r="AA10">
        <v>0.99869669999999999</v>
      </c>
      <c r="AB10">
        <v>2</v>
      </c>
      <c r="AC10">
        <v>0.67110000000002401</v>
      </c>
      <c r="AD10">
        <v>-0.17850279999999999</v>
      </c>
      <c r="AE10">
        <v>-3.6299999999982901E-2</v>
      </c>
      <c r="AF10">
        <v>3.37595972549916E-2</v>
      </c>
      <c r="AG10">
        <v>-0.17850279999999999</v>
      </c>
      <c r="AH10">
        <v>0.62688682612892799</v>
      </c>
      <c r="AI10">
        <v>105.872192732819</v>
      </c>
      <c r="AJ10">
        <v>86.917440720725907</v>
      </c>
      <c r="AK10">
        <v>0.65267913463558802</v>
      </c>
      <c r="AL10">
        <v>80.915775169809095</v>
      </c>
      <c r="AM10">
        <v>91.038916369202994</v>
      </c>
      <c r="AN10">
        <v>1.00000001298612</v>
      </c>
    </row>
    <row r="11" spans="1:40" x14ac:dyDescent="0.25">
      <c r="A11" t="str">
        <f>"20190303161843111"</f>
        <v>20190303161843111</v>
      </c>
      <c r="B11" t="str">
        <f>"1551601123103457"</f>
        <v>1551601123103457</v>
      </c>
      <c r="C11" t="s">
        <v>40</v>
      </c>
      <c r="D11">
        <v>4.8911150000000001</v>
      </c>
      <c r="E11">
        <v>0.52985729999999998</v>
      </c>
      <c r="F11" t="s">
        <v>42</v>
      </c>
      <c r="G11">
        <v>-474.87240000000003</v>
      </c>
      <c r="H11">
        <v>0.94128599999999996</v>
      </c>
      <c r="I11">
        <v>367.03140000000002</v>
      </c>
      <c r="J11">
        <v>-475.54590000000002</v>
      </c>
      <c r="K11">
        <v>1.120525</v>
      </c>
      <c r="L11">
        <v>367.0684</v>
      </c>
      <c r="M11">
        <v>0.99999119999999997</v>
      </c>
      <c r="N11">
        <v>-4.2337090000000004E-3</v>
      </c>
      <c r="O11">
        <v>-2.4896709999999998E-4</v>
      </c>
      <c r="P11">
        <v>0.98800149999999998</v>
      </c>
      <c r="Q11">
        <v>0.15342140000000001</v>
      </c>
      <c r="R11">
        <v>1.7760430000000001E-2</v>
      </c>
      <c r="S11">
        <v>3.1678160000000002</v>
      </c>
      <c r="T11">
        <v>-0.82041939999999902</v>
      </c>
      <c r="U11">
        <v>-0.16775509999999999</v>
      </c>
      <c r="V11">
        <v>-1.7998610000000002E-2</v>
      </c>
      <c r="W11">
        <v>0.15760370000000001</v>
      </c>
      <c r="X11">
        <v>0.98733839999999995</v>
      </c>
      <c r="Y11">
        <v>5.0937009999999998E-2</v>
      </c>
      <c r="Z11">
        <v>-6.531935E-3</v>
      </c>
      <c r="AA11">
        <v>0.99868049999999997</v>
      </c>
      <c r="AB11">
        <v>2</v>
      </c>
      <c r="AC11">
        <v>0.67349999999999</v>
      </c>
      <c r="AD11">
        <v>-0.17923899999999901</v>
      </c>
      <c r="AE11">
        <v>-3.6999999999977697E-2</v>
      </c>
      <c r="AF11">
        <v>3.4403036518617001E-2</v>
      </c>
      <c r="AG11">
        <v>-0.17923899999999901</v>
      </c>
      <c r="AH11">
        <v>0.62908778283936595</v>
      </c>
      <c r="AI11">
        <v>105.880724193452</v>
      </c>
      <c r="AJ11">
        <v>86.869773444758707</v>
      </c>
      <c r="AK11">
        <v>0.65502795860974505</v>
      </c>
      <c r="AL11">
        <v>80.932166294174493</v>
      </c>
      <c r="AM11">
        <v>91.044353365860104</v>
      </c>
      <c r="AN11">
        <v>0.99999999616509005</v>
      </c>
    </row>
    <row r="12" spans="1:40" x14ac:dyDescent="0.25">
      <c r="A12" t="str">
        <f>"20190303161843130"</f>
        <v>20190303161843130</v>
      </c>
      <c r="B12" t="str">
        <f>"1551601123122977"</f>
        <v>1551601123122977</v>
      </c>
      <c r="C12" t="s">
        <v>40</v>
      </c>
      <c r="D12">
        <v>4.8884629999999998</v>
      </c>
      <c r="E12">
        <v>0.53016830000000004</v>
      </c>
      <c r="F12" t="s">
        <v>42</v>
      </c>
      <c r="G12">
        <v>-474.85480000000001</v>
      </c>
      <c r="H12">
        <v>0.94185750000000001</v>
      </c>
      <c r="I12">
        <v>367.03120000000001</v>
      </c>
      <c r="J12">
        <v>-475.52710000000002</v>
      </c>
      <c r="K12">
        <v>1.1208499999999999</v>
      </c>
      <c r="L12">
        <v>367.0684</v>
      </c>
      <c r="M12">
        <v>0.99998690000000001</v>
      </c>
      <c r="N12">
        <v>-5.1288660000000002E-3</v>
      </c>
      <c r="O12">
        <v>-2.5856700000000002E-4</v>
      </c>
      <c r="P12">
        <v>0.98814619999999997</v>
      </c>
      <c r="Q12">
        <v>0.15244649999999901</v>
      </c>
      <c r="R12">
        <v>1.8094039999999999E-2</v>
      </c>
      <c r="S12">
        <v>3.1666259999999999</v>
      </c>
      <c r="T12">
        <v>-0.81879000000000002</v>
      </c>
      <c r="U12">
        <v>-0.17016600000000001</v>
      </c>
      <c r="V12">
        <v>-1.834303E-2</v>
      </c>
      <c r="W12">
        <v>0.15751319999999999</v>
      </c>
      <c r="X12">
        <v>0.98734650000000002</v>
      </c>
      <c r="Y12">
        <v>5.1680209999999997E-2</v>
      </c>
      <c r="Z12">
        <v>-6.6392150000000004E-3</v>
      </c>
      <c r="AA12">
        <v>0.99864160000000002</v>
      </c>
      <c r="AB12">
        <v>2</v>
      </c>
      <c r="AC12">
        <v>0.672300000000007</v>
      </c>
      <c r="AD12">
        <v>-0.178992499999999</v>
      </c>
      <c r="AE12">
        <v>-3.7199999999984301E-2</v>
      </c>
      <c r="AF12">
        <v>3.4582336678837602E-2</v>
      </c>
      <c r="AG12">
        <v>-0.178992499999999</v>
      </c>
      <c r="AH12">
        <v>0.62793537395796295</v>
      </c>
      <c r="AI12">
        <v>105.88730371039399</v>
      </c>
      <c r="AJ12">
        <v>86.847729224606496</v>
      </c>
      <c r="AK12">
        <v>0.65386320200340498</v>
      </c>
      <c r="AL12">
        <v>80.937417118176199</v>
      </c>
      <c r="AM12">
        <v>91.064324747025907</v>
      </c>
      <c r="AN12">
        <v>0.99999999299303499</v>
      </c>
    </row>
    <row r="13" spans="1:40" x14ac:dyDescent="0.25">
      <c r="A13" t="str">
        <f>"20190303161843143"</f>
        <v>20190303161843143</v>
      </c>
      <c r="B13" t="str">
        <f>"1551601123132737"</f>
        <v>1551601123132737</v>
      </c>
      <c r="C13" t="s">
        <v>40</v>
      </c>
      <c r="D13">
        <v>4.9040010000000001</v>
      </c>
      <c r="E13">
        <v>0.53033609999999998</v>
      </c>
      <c r="F13" t="s">
        <v>42</v>
      </c>
      <c r="G13">
        <v>-474.83370000000002</v>
      </c>
      <c r="H13">
        <v>0.94101860000000004</v>
      </c>
      <c r="I13">
        <v>367.03050000000002</v>
      </c>
      <c r="J13">
        <v>-475.51249999999999</v>
      </c>
      <c r="K13">
        <v>1.120827</v>
      </c>
      <c r="L13">
        <v>367.06830000000002</v>
      </c>
      <c r="M13">
        <v>0.99998739999999997</v>
      </c>
      <c r="N13">
        <v>-5.0225799999999996E-3</v>
      </c>
      <c r="O13">
        <v>-2.6735309999999999E-4</v>
      </c>
      <c r="P13">
        <v>0.9881278</v>
      </c>
      <c r="Q13">
        <v>0.15257760000000001</v>
      </c>
      <c r="R13">
        <v>1.7994039999999999E-2</v>
      </c>
      <c r="S13">
        <v>3.1658019999999998</v>
      </c>
      <c r="T13">
        <v>-0.82115139999999998</v>
      </c>
      <c r="U13">
        <v>-0.1712341</v>
      </c>
      <c r="V13">
        <v>-1.8252089999999999E-2</v>
      </c>
      <c r="W13">
        <v>0.15753909999999999</v>
      </c>
      <c r="X13">
        <v>0.987344</v>
      </c>
      <c r="Y13">
        <v>5.2000999999999999E-2</v>
      </c>
      <c r="Z13">
        <v>-6.6956699999999999E-3</v>
      </c>
      <c r="AA13">
        <v>0.99862459999999997</v>
      </c>
      <c r="AB13">
        <v>2</v>
      </c>
      <c r="AC13">
        <v>0.67879999999996699</v>
      </c>
      <c r="AD13">
        <v>-0.17980840000000001</v>
      </c>
      <c r="AE13">
        <v>-3.7800000000004198E-2</v>
      </c>
      <c r="AF13">
        <v>3.5159114861943098E-2</v>
      </c>
      <c r="AG13">
        <v>-0.17980840000000001</v>
      </c>
      <c r="AH13">
        <v>0.63443121860126805</v>
      </c>
      <c r="AI13">
        <v>105.800583825377</v>
      </c>
      <c r="AJ13">
        <v>86.828008532375605</v>
      </c>
      <c r="AK13">
        <v>0.66035611241535797</v>
      </c>
      <c r="AL13">
        <v>80.935913916603596</v>
      </c>
      <c r="AM13">
        <v>91.059051985840995</v>
      </c>
      <c r="AN13">
        <v>0.99999994057708697</v>
      </c>
    </row>
    <row r="14" spans="1:40" x14ac:dyDescent="0.25">
      <c r="A14" t="str">
        <f>"20190303161843158"</f>
        <v>20190303161843158</v>
      </c>
      <c r="B14" t="str">
        <f>"1551601123153232"</f>
        <v>1551601123153232</v>
      </c>
      <c r="C14" t="s">
        <v>40</v>
      </c>
      <c r="D14">
        <v>4.8932739999999999</v>
      </c>
      <c r="E14">
        <v>0.53062219999999904</v>
      </c>
      <c r="F14" t="s">
        <v>42</v>
      </c>
      <c r="G14">
        <v>-474.83199999999999</v>
      </c>
      <c r="H14">
        <v>0.94470379999999998</v>
      </c>
      <c r="I14">
        <v>367.0308</v>
      </c>
      <c r="J14">
        <v>-475.49560000000002</v>
      </c>
      <c r="K14">
        <v>1.1206750000000001</v>
      </c>
      <c r="L14">
        <v>367.06830000000002</v>
      </c>
      <c r="M14">
        <v>0.99999000000000005</v>
      </c>
      <c r="N14">
        <v>-4.4693470000000003E-3</v>
      </c>
      <c r="O14">
        <v>-2.8117410000000001E-4</v>
      </c>
      <c r="P14">
        <v>0.98800829999999995</v>
      </c>
      <c r="Q14">
        <v>0.15335370000000001</v>
      </c>
      <c r="R14">
        <v>1.7949090000000001E-2</v>
      </c>
      <c r="S14">
        <v>3.1657099999999998</v>
      </c>
      <c r="T14">
        <v>-0.81940559999999996</v>
      </c>
      <c r="U14">
        <v>-0.17263789999999901</v>
      </c>
      <c r="V14">
        <v>-1.8220340000000002E-2</v>
      </c>
      <c r="W14">
        <v>0.1577684</v>
      </c>
      <c r="X14">
        <v>0.98730799999999996</v>
      </c>
      <c r="Y14">
        <v>5.2427439999999999E-2</v>
      </c>
      <c r="Z14">
        <v>-6.7192529999999997E-3</v>
      </c>
      <c r="AA14">
        <v>0.9986022</v>
      </c>
      <c r="AB14">
        <v>2</v>
      </c>
      <c r="AC14">
        <v>0.66360000000003005</v>
      </c>
      <c r="AD14">
        <v>-0.17597119999999999</v>
      </c>
      <c r="AE14">
        <v>-3.7500000000022703E-2</v>
      </c>
      <c r="AF14">
        <v>3.4869256102720701E-2</v>
      </c>
      <c r="AG14">
        <v>-0.17597119999999999</v>
      </c>
      <c r="AH14">
        <v>0.62014180410980702</v>
      </c>
      <c r="AI14">
        <v>105.81806845709001</v>
      </c>
      <c r="AJ14">
        <v>86.781768751652706</v>
      </c>
      <c r="AK14">
        <v>0.64556764591726801</v>
      </c>
      <c r="AL14">
        <v>80.922609865598602</v>
      </c>
      <c r="AM14">
        <v>91.057248695077902</v>
      </c>
      <c r="AN14">
        <v>0.99999996784613698</v>
      </c>
    </row>
    <row r="15" spans="1:40" x14ac:dyDescent="0.25">
      <c r="A15" t="str">
        <f>"20190303161843177"</f>
        <v>20190303161843177</v>
      </c>
      <c r="B15" t="str">
        <f>"1551601123173729"</f>
        <v>1551601123173729</v>
      </c>
      <c r="C15" t="s">
        <v>40</v>
      </c>
      <c r="D15">
        <v>4.916588</v>
      </c>
      <c r="E15">
        <v>0.53086650000000002</v>
      </c>
      <c r="F15" t="s">
        <v>42</v>
      </c>
      <c r="G15">
        <v>-474.8073</v>
      </c>
      <c r="H15">
        <v>0.94376789999999999</v>
      </c>
      <c r="I15">
        <v>367.03019999999998</v>
      </c>
      <c r="J15">
        <v>-475.47050000000002</v>
      </c>
      <c r="K15">
        <v>1.1204809999999901</v>
      </c>
      <c r="L15">
        <v>367.06830000000002</v>
      </c>
      <c r="M15">
        <v>0.99999329999999997</v>
      </c>
      <c r="N15">
        <v>-3.69433E-3</v>
      </c>
      <c r="O15">
        <v>-3.0390499999999998E-4</v>
      </c>
      <c r="P15">
        <v>0.98788109999999996</v>
      </c>
      <c r="Q15">
        <v>0.1542356</v>
      </c>
      <c r="R15">
        <v>1.740034E-2</v>
      </c>
      <c r="S15">
        <v>3.1658940000000002</v>
      </c>
      <c r="T15">
        <v>-0.81367519999999904</v>
      </c>
      <c r="U15">
        <v>-0.17507929999999999</v>
      </c>
      <c r="V15">
        <v>-1.7693199999999999E-2</v>
      </c>
      <c r="W15">
        <v>0.15788479999999999</v>
      </c>
      <c r="X15">
        <v>0.98729900000000004</v>
      </c>
      <c r="Y15">
        <v>5.3174859999999997E-2</v>
      </c>
      <c r="Z15">
        <v>-6.7433409999999999E-3</v>
      </c>
      <c r="AA15">
        <v>0.99856250000000002</v>
      </c>
      <c r="AB15">
        <v>2</v>
      </c>
      <c r="AC15">
        <v>0.663200000000017</v>
      </c>
      <c r="AD15">
        <v>-0.17671309999999901</v>
      </c>
      <c r="AE15">
        <v>-3.81000000000426E-2</v>
      </c>
      <c r="AF15">
        <v>3.5393810029035702E-2</v>
      </c>
      <c r="AG15">
        <v>-0.17671309999999901</v>
      </c>
      <c r="AH15">
        <v>0.61938114464280003</v>
      </c>
      <c r="AI15">
        <v>105.89913782182199</v>
      </c>
      <c r="AJ15">
        <v>86.729456591911799</v>
      </c>
      <c r="AK15">
        <v>0.64506840244969799</v>
      </c>
      <c r="AL15">
        <v>80.915856168366503</v>
      </c>
      <c r="AM15">
        <v>91.026677008332598</v>
      </c>
      <c r="AN15">
        <v>0.99999998739913898</v>
      </c>
    </row>
    <row r="16" spans="1:40" x14ac:dyDescent="0.25">
      <c r="A16" t="str">
        <f>"20190303161843199"</f>
        <v>20190303161843199</v>
      </c>
      <c r="B16" t="str">
        <f>"1551601123193249"</f>
        <v>1551601123193249</v>
      </c>
      <c r="C16" t="s">
        <v>40</v>
      </c>
      <c r="D16">
        <v>4.923095</v>
      </c>
      <c r="E16">
        <v>0.53108679999999997</v>
      </c>
      <c r="F16" t="s">
        <v>42</v>
      </c>
      <c r="G16">
        <v>-474.77960000000002</v>
      </c>
      <c r="H16">
        <v>0.9440539</v>
      </c>
      <c r="I16">
        <v>367.02879999999999</v>
      </c>
      <c r="J16">
        <v>-475.43849999999998</v>
      </c>
      <c r="K16">
        <v>1.1203350000000001</v>
      </c>
      <c r="L16">
        <v>367.06830000000002</v>
      </c>
      <c r="M16">
        <v>0.99999550000000004</v>
      </c>
      <c r="N16">
        <v>-2.9923520000000002E-3</v>
      </c>
      <c r="O16">
        <v>-3.3455490000000002E-4</v>
      </c>
      <c r="P16">
        <v>0.98777210000000004</v>
      </c>
      <c r="Q16">
        <v>0.15497549999999999</v>
      </c>
      <c r="R16">
        <v>1.6998969999999999E-2</v>
      </c>
      <c r="S16">
        <v>3.166229</v>
      </c>
      <c r="T16">
        <v>-0.80853199999999903</v>
      </c>
      <c r="U16">
        <v>-0.1788025</v>
      </c>
      <c r="V16">
        <v>-1.732115E-2</v>
      </c>
      <c r="W16">
        <v>0.157931399999999</v>
      </c>
      <c r="X16">
        <v>0.98729820000000001</v>
      </c>
      <c r="Y16">
        <v>5.4300260000000003E-2</v>
      </c>
      <c r="Z16">
        <v>-6.8179919999999897E-3</v>
      </c>
      <c r="AA16">
        <v>0.99850139999999998</v>
      </c>
      <c r="AB16">
        <v>3</v>
      </c>
      <c r="AC16">
        <v>0.65889999999995996</v>
      </c>
      <c r="AD16">
        <v>-0.176281099999999</v>
      </c>
      <c r="AE16">
        <v>-3.9500000000032197E-2</v>
      </c>
      <c r="AF16">
        <v>3.66646188251201E-2</v>
      </c>
      <c r="AG16">
        <v>-0.176281099999999</v>
      </c>
      <c r="AH16">
        <v>0.61504765795570104</v>
      </c>
      <c r="AI16">
        <v>105.966133562937</v>
      </c>
      <c r="AJ16">
        <v>86.588484238948396</v>
      </c>
      <c r="AK16">
        <v>0.64086109419092796</v>
      </c>
      <c r="AL16">
        <v>80.913152766519701</v>
      </c>
      <c r="AM16">
        <v>91.005093486141604</v>
      </c>
      <c r="AN16">
        <v>1.00000004253326</v>
      </c>
    </row>
    <row r="17" spans="1:40" x14ac:dyDescent="0.25">
      <c r="A17" t="str">
        <f>"20190303161843219"</f>
        <v>20190303161843219</v>
      </c>
      <c r="B17" t="str">
        <f>"1551601123212769"</f>
        <v>1551601123212769</v>
      </c>
      <c r="C17" t="s">
        <v>40</v>
      </c>
      <c r="D17">
        <v>5.0900400000000001</v>
      </c>
      <c r="E17">
        <v>0.53119139999999998</v>
      </c>
      <c r="F17" t="s">
        <v>42</v>
      </c>
      <c r="G17">
        <v>-474.74979999999999</v>
      </c>
      <c r="H17">
        <v>0.94542490000000001</v>
      </c>
      <c r="I17">
        <v>367.02859999999998</v>
      </c>
      <c r="J17">
        <v>-475.41090000000003</v>
      </c>
      <c r="K17">
        <v>1.1205830000000001</v>
      </c>
      <c r="L17">
        <v>367.06819999999999</v>
      </c>
      <c r="M17">
        <v>0.99999329999999997</v>
      </c>
      <c r="N17">
        <v>-3.6520419999999999E-3</v>
      </c>
      <c r="O17">
        <v>-3.5747870000000002E-4</v>
      </c>
      <c r="P17">
        <v>0.98791309999999999</v>
      </c>
      <c r="Q17">
        <v>0.15411040000000001</v>
      </c>
      <c r="R17">
        <v>1.666919E-2</v>
      </c>
      <c r="S17">
        <v>3.1664119999999998</v>
      </c>
      <c r="T17">
        <v>-0.80418219999999996</v>
      </c>
      <c r="U17">
        <v>-0.18157960000000001</v>
      </c>
      <c r="V17">
        <v>-1.7014310000000001E-2</v>
      </c>
      <c r="W17">
        <v>0.1577181</v>
      </c>
      <c r="X17">
        <v>0.98733760000000004</v>
      </c>
      <c r="Y17">
        <v>5.5134900000000001E-2</v>
      </c>
      <c r="Z17">
        <v>-6.900916E-3</v>
      </c>
      <c r="AA17">
        <v>0.99845499999999998</v>
      </c>
      <c r="AB17">
        <v>3</v>
      </c>
      <c r="AC17">
        <v>0.66110000000003299</v>
      </c>
      <c r="AD17">
        <v>-0.17515809999999901</v>
      </c>
      <c r="AE17">
        <v>-3.9600000000007102E-2</v>
      </c>
      <c r="AF17">
        <v>3.6790287201236498E-2</v>
      </c>
      <c r="AG17">
        <v>-0.17515809999999901</v>
      </c>
      <c r="AH17">
        <v>0.61789411774703595</v>
      </c>
      <c r="AI17">
        <v>105.800174142796</v>
      </c>
      <c r="AJ17">
        <v>86.592551354931203</v>
      </c>
      <c r="AK17">
        <v>0.64329388771722895</v>
      </c>
      <c r="AL17">
        <v>80.925528778528204</v>
      </c>
      <c r="AM17">
        <v>90.987252662803797</v>
      </c>
      <c r="AN17">
        <v>1.00000001109307</v>
      </c>
    </row>
    <row r="18" spans="1:40" x14ac:dyDescent="0.25">
      <c r="A18" t="str">
        <f>"20190303161843243"</f>
        <v>20190303161843243</v>
      </c>
      <c r="B18" t="str">
        <f>"1551601123233268"</f>
        <v>1551601123233268</v>
      </c>
      <c r="C18" t="s">
        <v>40</v>
      </c>
      <c r="D18">
        <v>4.9972699999999897</v>
      </c>
      <c r="E18">
        <v>0.54204180000000002</v>
      </c>
      <c r="F18" t="s">
        <v>42</v>
      </c>
      <c r="G18">
        <v>-474.7242</v>
      </c>
      <c r="H18">
        <v>0.94519759999999997</v>
      </c>
      <c r="I18">
        <v>367.02809999999999</v>
      </c>
      <c r="J18">
        <v>-475.38459999999998</v>
      </c>
      <c r="K18">
        <v>1.121143</v>
      </c>
      <c r="L18">
        <v>367.06819999999999</v>
      </c>
      <c r="M18">
        <v>0.99998430000000005</v>
      </c>
      <c r="N18">
        <v>-5.6076470000000003E-3</v>
      </c>
      <c r="O18">
        <v>-3.7311130000000002E-4</v>
      </c>
      <c r="P18">
        <v>0.98825130000000005</v>
      </c>
      <c r="Q18">
        <v>0.15197939999999999</v>
      </c>
      <c r="R18">
        <v>1.6191379999999998E-2</v>
      </c>
      <c r="S18">
        <v>3.1659549999999999</v>
      </c>
      <c r="T18">
        <v>-0.80872919999999904</v>
      </c>
      <c r="U18">
        <v>-0.18289179999999999</v>
      </c>
      <c r="V18">
        <v>-1.6553930000000001E-2</v>
      </c>
      <c r="W18">
        <v>0.1575194</v>
      </c>
      <c r="X18">
        <v>0.98737719999999995</v>
      </c>
      <c r="Y18">
        <v>5.549461E-2</v>
      </c>
      <c r="Z18">
        <v>-7.0369489999999998E-3</v>
      </c>
      <c r="AA18">
        <v>0.99843419999999905</v>
      </c>
      <c r="AB18">
        <v>3</v>
      </c>
      <c r="AC18">
        <v>0.660399999999981</v>
      </c>
      <c r="AD18">
        <v>-0.175945399999999</v>
      </c>
      <c r="AE18">
        <v>-4.0099999999995299E-2</v>
      </c>
      <c r="AF18">
        <v>3.7221293798467898E-2</v>
      </c>
      <c r="AG18">
        <v>-0.175945399999999</v>
      </c>
      <c r="AH18">
        <v>0.61679505446079996</v>
      </c>
      <c r="AI18">
        <v>105.893745739645</v>
      </c>
      <c r="AJ18">
        <v>86.546600210465201</v>
      </c>
      <c r="AK18">
        <v>0.64247828578131205</v>
      </c>
      <c r="AL18">
        <v>80.937058047452098</v>
      </c>
      <c r="AM18">
        <v>90.960505743646905</v>
      </c>
      <c r="AN18">
        <v>1.0000000645273199</v>
      </c>
    </row>
    <row r="19" spans="1:40" x14ac:dyDescent="0.25">
      <c r="A19" t="str">
        <f>"20190303161843264"</f>
        <v>20190303161843264</v>
      </c>
      <c r="B19" t="str">
        <f>"1551601123252784"</f>
        <v>1551601123252784</v>
      </c>
      <c r="C19" t="s">
        <v>40</v>
      </c>
      <c r="D19">
        <v>4.9569210000000004</v>
      </c>
      <c r="E19">
        <v>0.54216560000000003</v>
      </c>
      <c r="F19" t="s">
        <v>42</v>
      </c>
      <c r="G19">
        <v>-474.71199999999999</v>
      </c>
      <c r="H19">
        <v>0.92484940000000004</v>
      </c>
      <c r="I19">
        <v>367.01080000000002</v>
      </c>
      <c r="J19">
        <v>-475.35559999999998</v>
      </c>
      <c r="K19">
        <v>1.1211370000000001</v>
      </c>
      <c r="L19">
        <v>367.06810000000002</v>
      </c>
      <c r="M19">
        <v>0.9999825</v>
      </c>
      <c r="N19">
        <v>-5.9010019999999998E-3</v>
      </c>
      <c r="O19">
        <v>-3.9136889999999999E-4</v>
      </c>
      <c r="P19">
        <v>0.98824699999999999</v>
      </c>
      <c r="Q19">
        <v>0.152029</v>
      </c>
      <c r="R19">
        <v>1.5973879999999999E-2</v>
      </c>
      <c r="S19">
        <v>3.1829529999999999</v>
      </c>
      <c r="T19">
        <v>-0.92880649999999998</v>
      </c>
      <c r="U19">
        <v>-0.27020260000000001</v>
      </c>
      <c r="V19">
        <v>-1.635435E-2</v>
      </c>
      <c r="W19">
        <v>0.15785839999999901</v>
      </c>
      <c r="X19">
        <v>0.98732629999999999</v>
      </c>
      <c r="Y19">
        <v>8.0795060000000002E-2</v>
      </c>
      <c r="Z19">
        <v>-1.16623E-2</v>
      </c>
      <c r="AA19">
        <v>0.99666250000000001</v>
      </c>
      <c r="AB19">
        <v>3</v>
      </c>
      <c r="AC19">
        <v>0.64359999999999196</v>
      </c>
      <c r="AD19">
        <v>-0.19628760000000001</v>
      </c>
      <c r="AE19">
        <v>-5.7299999999997901E-2</v>
      </c>
      <c r="AF19">
        <v>5.2228288383702602E-2</v>
      </c>
      <c r="AG19">
        <v>-0.19628760000000001</v>
      </c>
      <c r="AH19">
        <v>0.58924471523879196</v>
      </c>
      <c r="AI19">
        <v>108.356690998204</v>
      </c>
      <c r="AJ19">
        <v>84.934768936938696</v>
      </c>
      <c r="AK19">
        <v>0.62327036706239802</v>
      </c>
      <c r="AL19">
        <v>80.917387927368694</v>
      </c>
      <c r="AM19">
        <v>90.948976590597397</v>
      </c>
      <c r="AN19">
        <v>0.99999998094308595</v>
      </c>
    </row>
    <row r="20" spans="1:40" x14ac:dyDescent="0.25">
      <c r="A20" t="str">
        <f>"20190303161843288"</f>
        <v>20190303161843288</v>
      </c>
      <c r="B20" t="str">
        <f>"1551601123283041"</f>
        <v>1551601123283041</v>
      </c>
      <c r="C20" t="s">
        <v>40</v>
      </c>
      <c r="D20">
        <v>4.94475</v>
      </c>
      <c r="E20">
        <v>0.54206869999999996</v>
      </c>
      <c r="F20" t="s">
        <v>42</v>
      </c>
      <c r="G20">
        <v>-474.68680000000001</v>
      </c>
      <c r="H20">
        <v>0.92100329999999997</v>
      </c>
      <c r="I20">
        <v>367.01060000000001</v>
      </c>
      <c r="J20">
        <v>-475.31849999999997</v>
      </c>
      <c r="K20">
        <v>1.1207510000000001</v>
      </c>
      <c r="L20">
        <v>367.06810000000002</v>
      </c>
      <c r="M20">
        <v>0.99998819999999999</v>
      </c>
      <c r="N20">
        <v>-4.8499149999999998E-3</v>
      </c>
      <c r="O20">
        <v>-4.2156179999999999E-4</v>
      </c>
      <c r="P20">
        <v>0.98803419999999997</v>
      </c>
      <c r="Q20">
        <v>0.153407399999999</v>
      </c>
      <c r="R20">
        <v>1.59639E-2</v>
      </c>
      <c r="S20">
        <v>3.1867070000000002</v>
      </c>
      <c r="T20">
        <v>-0.95346249999999999</v>
      </c>
      <c r="U20">
        <v>-0.27130130000000002</v>
      </c>
      <c r="V20">
        <v>-1.6372749999999998E-2</v>
      </c>
      <c r="W20">
        <v>0.15819829999999999</v>
      </c>
      <c r="X20">
        <v>0.98727160000000003</v>
      </c>
      <c r="Y20">
        <v>8.0850000000000005E-2</v>
      </c>
      <c r="Z20">
        <v>-1.1895340000000001E-2</v>
      </c>
      <c r="AA20">
        <v>0.99665530000000002</v>
      </c>
      <c r="AB20">
        <v>2</v>
      </c>
      <c r="AC20">
        <v>0.63169999999996596</v>
      </c>
      <c r="AD20">
        <v>-0.1997477</v>
      </c>
      <c r="AE20">
        <v>-5.7500000000004499E-2</v>
      </c>
      <c r="AF20">
        <v>5.20701551697886E-2</v>
      </c>
      <c r="AG20">
        <v>-0.1997477</v>
      </c>
      <c r="AH20">
        <v>0.57473099503528402</v>
      </c>
      <c r="AI20">
        <v>109.09238652411</v>
      </c>
      <c r="AJ20">
        <v>84.823182793339598</v>
      </c>
      <c r="AK20">
        <v>0.61067680598573904</v>
      </c>
      <c r="AL20">
        <v>80.897665356630199</v>
      </c>
      <c r="AM20">
        <v>90.950096700132207</v>
      </c>
      <c r="AN20">
        <v>0.99999999061600597</v>
      </c>
    </row>
    <row r="21" spans="1:40" x14ac:dyDescent="0.25">
      <c r="A21" t="str">
        <f>"20190303161843309"</f>
        <v>20190303161843309</v>
      </c>
      <c r="B21" t="str">
        <f>"1551601123302561"</f>
        <v>1551601123302561</v>
      </c>
      <c r="C21" t="s">
        <v>40</v>
      </c>
      <c r="D21">
        <v>4.9558629999999999</v>
      </c>
      <c r="E21">
        <v>0.54205409999999998</v>
      </c>
      <c r="F21" t="s">
        <v>42</v>
      </c>
      <c r="G21">
        <v>-474.62639999999999</v>
      </c>
      <c r="H21">
        <v>0.91171670000000005</v>
      </c>
      <c r="I21">
        <v>367.00900000000001</v>
      </c>
      <c r="J21">
        <v>-475.28339999999997</v>
      </c>
      <c r="K21">
        <v>1.1205000000000001</v>
      </c>
      <c r="L21">
        <v>367.06799999999998</v>
      </c>
      <c r="M21">
        <v>0.99999179999999999</v>
      </c>
      <c r="N21">
        <v>-4.0399600000000004E-3</v>
      </c>
      <c r="O21">
        <v>-4.534928E-4</v>
      </c>
      <c r="P21">
        <v>0.98787599999999998</v>
      </c>
      <c r="Q21">
        <v>0.15435979999999999</v>
      </c>
      <c r="R21">
        <v>1.655363E-2</v>
      </c>
      <c r="S21">
        <v>3.1903079999999999</v>
      </c>
      <c r="T21">
        <v>-0.96356229999999998</v>
      </c>
      <c r="U21">
        <v>-0.27078249999999998</v>
      </c>
      <c r="V21">
        <v>-1.6992320000000002E-2</v>
      </c>
      <c r="W21">
        <v>0.15835089999999999</v>
      </c>
      <c r="X21">
        <v>0.98723669999999997</v>
      </c>
      <c r="Y21">
        <v>8.0522739999999995E-2</v>
      </c>
      <c r="Z21">
        <v>-1.190928E-2</v>
      </c>
      <c r="AA21">
        <v>0.99668159999999895</v>
      </c>
      <c r="AB21">
        <v>4</v>
      </c>
      <c r="AC21">
        <v>0.65699999999998204</v>
      </c>
      <c r="AD21">
        <v>-0.2087833</v>
      </c>
      <c r="AE21">
        <v>-5.90000000000259E-2</v>
      </c>
      <c r="AF21">
        <v>5.3356861462433E-2</v>
      </c>
      <c r="AG21">
        <v>-0.2087833</v>
      </c>
      <c r="AH21">
        <v>0.59720033539152295</v>
      </c>
      <c r="AI21">
        <v>109.19895496500899</v>
      </c>
      <c r="AJ21">
        <v>84.894465047462205</v>
      </c>
      <c r="AK21">
        <v>0.63489027525688102</v>
      </c>
      <c r="AL21">
        <v>80.888810713228196</v>
      </c>
      <c r="AM21">
        <v>90.9860776999151</v>
      </c>
      <c r="AN21">
        <v>1.00000002414834</v>
      </c>
    </row>
    <row r="22" spans="1:40" x14ac:dyDescent="0.25">
      <c r="A22" t="str">
        <f>"20190303161843331"</f>
        <v>20190303161843331</v>
      </c>
      <c r="B22" t="str">
        <f>"1551601123323057"</f>
        <v>1551601123323057</v>
      </c>
      <c r="C22" t="s">
        <v>40</v>
      </c>
      <c r="D22">
        <v>4.9497090000000004</v>
      </c>
      <c r="E22">
        <v>0.54197629999999997</v>
      </c>
      <c r="F22" t="s">
        <v>42</v>
      </c>
      <c r="G22">
        <v>-474.59230000000002</v>
      </c>
      <c r="H22">
        <v>0.91224629999999995</v>
      </c>
      <c r="I22">
        <v>367.00940000000003</v>
      </c>
      <c r="J22">
        <v>-475.24650000000003</v>
      </c>
      <c r="K22">
        <v>1.120587</v>
      </c>
      <c r="L22">
        <v>367.06799999999998</v>
      </c>
      <c r="M22">
        <v>0.99999079999999996</v>
      </c>
      <c r="N22">
        <v>-4.2800319999999996E-3</v>
      </c>
      <c r="O22">
        <v>-4.848753E-4</v>
      </c>
      <c r="P22">
        <v>0.98796660000000003</v>
      </c>
      <c r="Q22">
        <v>0.15368289999999901</v>
      </c>
      <c r="R22">
        <v>1.743246E-2</v>
      </c>
      <c r="S22">
        <v>3.1915279999999999</v>
      </c>
      <c r="T22">
        <v>-0.96153699999999998</v>
      </c>
      <c r="U22">
        <v>-0.26968379999999997</v>
      </c>
      <c r="V22">
        <v>-1.7902620000000001E-2</v>
      </c>
      <c r="W22">
        <v>0.1579111</v>
      </c>
      <c r="X22">
        <v>0.98729100000000003</v>
      </c>
      <c r="Y22">
        <v>8.0150890000000002E-2</v>
      </c>
      <c r="Z22">
        <v>-1.182689E-2</v>
      </c>
      <c r="AA22">
        <v>0.99671259999999995</v>
      </c>
      <c r="AB22">
        <v>4</v>
      </c>
      <c r="AC22">
        <v>0.654200000000002</v>
      </c>
      <c r="AD22">
        <v>-0.20834069999999999</v>
      </c>
      <c r="AE22">
        <v>-5.86000000000126E-2</v>
      </c>
      <c r="AF22">
        <v>5.2954813668181798E-2</v>
      </c>
      <c r="AG22">
        <v>-0.20834069999999999</v>
      </c>
      <c r="AH22">
        <v>0.59442148823632002</v>
      </c>
      <c r="AI22">
        <v>109.24463699718601</v>
      </c>
      <c r="AJ22">
        <v>84.909169928352597</v>
      </c>
      <c r="AK22">
        <v>0.63209727514378999</v>
      </c>
      <c r="AL22">
        <v>80.914329977417495</v>
      </c>
      <c r="AM22">
        <v>91.038834716353193</v>
      </c>
      <c r="AN22">
        <v>0.99999996899353605</v>
      </c>
    </row>
    <row r="23" spans="1:40" x14ac:dyDescent="0.25">
      <c r="A23" t="str">
        <f>"20190303161843354"</f>
        <v>20190303161843354</v>
      </c>
      <c r="B23" t="str">
        <f>"1551601123342577"</f>
        <v>1551601123342577</v>
      </c>
      <c r="C23" t="s">
        <v>40</v>
      </c>
      <c r="D23">
        <v>4.9947929999999996</v>
      </c>
      <c r="E23">
        <v>0.54179169999999999</v>
      </c>
      <c r="F23" t="s">
        <v>42</v>
      </c>
      <c r="G23">
        <v>-474.56200000000001</v>
      </c>
      <c r="H23">
        <v>0.91344899999999996</v>
      </c>
      <c r="I23">
        <v>367.0104</v>
      </c>
      <c r="J23">
        <v>-475.2122</v>
      </c>
      <c r="K23">
        <v>1.1208370000000001</v>
      </c>
      <c r="L23">
        <v>367.06799999999998</v>
      </c>
      <c r="M23">
        <v>0.9999865</v>
      </c>
      <c r="N23">
        <v>-5.1861310000000001E-3</v>
      </c>
      <c r="O23">
        <v>-5.1051860000000005E-4</v>
      </c>
      <c r="P23">
        <v>0.98802239999999997</v>
      </c>
      <c r="Q23">
        <v>0.15327379999999999</v>
      </c>
      <c r="R23">
        <v>1.7864939999999999E-2</v>
      </c>
      <c r="S23">
        <v>3.1914370000000001</v>
      </c>
      <c r="T23">
        <v>-0.96571790000000002</v>
      </c>
      <c r="U23">
        <v>-0.26556400000000002</v>
      </c>
      <c r="V23">
        <v>-1.8361120000000002E-2</v>
      </c>
      <c r="W23">
        <v>0.1583966</v>
      </c>
      <c r="X23">
        <v>0.98720479999999999</v>
      </c>
      <c r="Y23">
        <v>7.8866999999999896E-2</v>
      </c>
      <c r="Z23">
        <v>-1.1713400000000001E-2</v>
      </c>
      <c r="AA23">
        <v>0.99681629999999999</v>
      </c>
      <c r="AB23">
        <v>4</v>
      </c>
      <c r="AC23">
        <v>0.65020000000003997</v>
      </c>
      <c r="AD23">
        <v>-0.20738799999999999</v>
      </c>
      <c r="AE23">
        <v>-5.7600000000036199E-2</v>
      </c>
      <c r="AF23">
        <v>5.2017246197579602E-2</v>
      </c>
      <c r="AG23">
        <v>-0.20738799999999999</v>
      </c>
      <c r="AH23">
        <v>0.59061098422434199</v>
      </c>
      <c r="AI23">
        <v>109.279195348158</v>
      </c>
      <c r="AJ23">
        <v>84.9667408589319</v>
      </c>
      <c r="AK23">
        <v>0.62812173273373195</v>
      </c>
      <c r="AL23">
        <v>80.886158287184102</v>
      </c>
      <c r="AM23">
        <v>91.065527033217805</v>
      </c>
      <c r="AN23">
        <v>0.99999996538112601</v>
      </c>
    </row>
    <row r="24" spans="1:40" x14ac:dyDescent="0.25">
      <c r="A24" t="str">
        <f>"20190303161843378"</f>
        <v>20190303161843378</v>
      </c>
      <c r="B24" t="str">
        <f>"1551601123372833"</f>
        <v>1551601123372833</v>
      </c>
      <c r="C24" t="s">
        <v>40</v>
      </c>
      <c r="D24">
        <v>5.0326579999999996</v>
      </c>
      <c r="E24">
        <v>0.54142209999999902</v>
      </c>
      <c r="F24" t="s">
        <v>42</v>
      </c>
      <c r="G24">
        <v>-474.52859999999998</v>
      </c>
      <c r="H24">
        <v>0.9135451</v>
      </c>
      <c r="I24">
        <v>367.01170000000002</v>
      </c>
      <c r="J24">
        <v>-475.17039999999997</v>
      </c>
      <c r="K24">
        <v>1.1206849999999999</v>
      </c>
      <c r="L24">
        <v>367.06790000000001</v>
      </c>
      <c r="M24">
        <v>0.99998860000000001</v>
      </c>
      <c r="N24">
        <v>-4.7588700000000001E-3</v>
      </c>
      <c r="O24">
        <v>-5.4581149999999995E-4</v>
      </c>
      <c r="P24">
        <v>0.98795920000000004</v>
      </c>
      <c r="Q24">
        <v>0.1535504</v>
      </c>
      <c r="R24">
        <v>1.8951550000000001E-2</v>
      </c>
      <c r="S24">
        <v>3.1912539999999998</v>
      </c>
      <c r="T24">
        <v>-0.96779850000000001</v>
      </c>
      <c r="U24">
        <v>-0.26287840000000001</v>
      </c>
      <c r="V24">
        <v>-1.948192E-2</v>
      </c>
      <c r="W24">
        <v>0.15825110000000001</v>
      </c>
      <c r="X24">
        <v>0.98720669999999999</v>
      </c>
      <c r="Y24">
        <v>7.8032550000000006E-2</v>
      </c>
      <c r="Z24">
        <v>-1.1584789999999999E-2</v>
      </c>
      <c r="AA24">
        <v>0.99688350000000003</v>
      </c>
      <c r="AB24">
        <v>3</v>
      </c>
      <c r="AC24">
        <v>0.64179999999998905</v>
      </c>
      <c r="AD24">
        <v>-0.20713989999999999</v>
      </c>
      <c r="AE24">
        <v>-5.61999999999898E-2</v>
      </c>
      <c r="AF24">
        <v>5.0617191775571099E-2</v>
      </c>
      <c r="AG24">
        <v>-0.20713989999999999</v>
      </c>
      <c r="AH24">
        <v>0.58169819611920703</v>
      </c>
      <c r="AI24">
        <v>109.532374700746</v>
      </c>
      <c r="AJ24">
        <v>85.026863174058406</v>
      </c>
      <c r="AK24">
        <v>0.61954969909087598</v>
      </c>
      <c r="AL24">
        <v>80.8946017431347</v>
      </c>
      <c r="AM24">
        <v>91.130550392976502</v>
      </c>
      <c r="AN24">
        <v>1.00000001219149</v>
      </c>
    </row>
    <row r="25" spans="1:40" x14ac:dyDescent="0.25">
      <c r="A25" t="str">
        <f>"20190303161843399"</f>
        <v>20190303161843399</v>
      </c>
      <c r="B25" t="str">
        <f>"1551601123393329"</f>
        <v>1551601123393329</v>
      </c>
      <c r="C25" t="s">
        <v>40</v>
      </c>
      <c r="D25">
        <v>5.0432050000000004</v>
      </c>
      <c r="E25">
        <v>0.54118959999999905</v>
      </c>
      <c r="F25" t="s">
        <v>42</v>
      </c>
      <c r="G25">
        <v>-474.49119999999999</v>
      </c>
      <c r="H25">
        <v>0.91391489999999997</v>
      </c>
      <c r="I25">
        <v>367.01319999999998</v>
      </c>
      <c r="J25">
        <v>-475.13220000000001</v>
      </c>
      <c r="K25">
        <v>1.1207100000000001</v>
      </c>
      <c r="L25">
        <v>367.06779999999998</v>
      </c>
      <c r="M25">
        <v>0.99998799999999999</v>
      </c>
      <c r="N25">
        <v>-4.8880470000000004E-3</v>
      </c>
      <c r="O25">
        <v>-5.7568589999999905E-4</v>
      </c>
      <c r="P25">
        <v>0.987954</v>
      </c>
      <c r="Q25">
        <v>0.15359059999999999</v>
      </c>
      <c r="R25">
        <v>1.888393E-2</v>
      </c>
      <c r="S25">
        <v>3.1924440000000001</v>
      </c>
      <c r="T25">
        <v>-0.97190449999999995</v>
      </c>
      <c r="U25">
        <v>-0.25512699999999999</v>
      </c>
      <c r="V25">
        <v>-1.9444199999999998E-2</v>
      </c>
      <c r="W25">
        <v>0.15841920000000001</v>
      </c>
      <c r="X25">
        <v>0.98718050000000002</v>
      </c>
      <c r="Y25">
        <v>7.5648960000000001E-2</v>
      </c>
      <c r="Z25">
        <v>-1.1264299999999901E-2</v>
      </c>
      <c r="AA25">
        <v>0.99707089999999998</v>
      </c>
      <c r="AB25">
        <v>4</v>
      </c>
      <c r="AC25">
        <v>0.641000000000019</v>
      </c>
      <c r="AD25">
        <v>-0.20679510000000001</v>
      </c>
      <c r="AE25">
        <v>-5.4599999999993501E-2</v>
      </c>
      <c r="AF25">
        <v>4.9152104405840703E-2</v>
      </c>
      <c r="AG25">
        <v>-0.20679510000000001</v>
      </c>
      <c r="AH25">
        <v>0.58099712350997701</v>
      </c>
      <c r="AI25">
        <v>109.527786506761</v>
      </c>
      <c r="AJ25">
        <v>85.164316461158194</v>
      </c>
      <c r="AK25">
        <v>0.61865806410197299</v>
      </c>
      <c r="AL25">
        <v>80.884847435297203</v>
      </c>
      <c r="AM25">
        <v>91.128391978875101</v>
      </c>
      <c r="AN25">
        <v>1.0000000297112599</v>
      </c>
    </row>
    <row r="26" spans="1:40" x14ac:dyDescent="0.25">
      <c r="A26" t="str">
        <f>"20190303161843422"</f>
        <v>20190303161843422</v>
      </c>
      <c r="B26" t="str">
        <f>"1551601123412849"</f>
        <v>1551601123412849</v>
      </c>
      <c r="C26" t="s">
        <v>40</v>
      </c>
      <c r="D26">
        <v>5.0582000000000003</v>
      </c>
      <c r="E26">
        <v>0.54104980000000003</v>
      </c>
      <c r="F26" t="s">
        <v>42</v>
      </c>
      <c r="G26">
        <v>-474.45650000000001</v>
      </c>
      <c r="H26">
        <v>0.9141667</v>
      </c>
      <c r="I26">
        <v>367.01400000000001</v>
      </c>
      <c r="J26">
        <v>-475.09519999999998</v>
      </c>
      <c r="K26">
        <v>1.1211390000000001</v>
      </c>
      <c r="L26">
        <v>367.06779999999998</v>
      </c>
      <c r="M26">
        <v>0.99997879999999995</v>
      </c>
      <c r="N26">
        <v>-6.4857650000000001E-3</v>
      </c>
      <c r="O26">
        <v>-6.0037930000000005E-4</v>
      </c>
      <c r="P26">
        <v>0.98813260000000003</v>
      </c>
      <c r="Q26">
        <v>0.1524402</v>
      </c>
      <c r="R26">
        <v>1.8877830000000002E-2</v>
      </c>
      <c r="S26">
        <v>3.1931759999999998</v>
      </c>
      <c r="T26">
        <v>-0.97606000000000004</v>
      </c>
      <c r="U26">
        <v>-0.2536621</v>
      </c>
      <c r="V26">
        <v>-1.9464499999999999E-2</v>
      </c>
      <c r="W26">
        <v>0.15884670000000001</v>
      </c>
      <c r="X26">
        <v>0.98711139999999997</v>
      </c>
      <c r="Y26">
        <v>7.5130459999999996E-2</v>
      </c>
      <c r="Z26">
        <v>-1.1283899999999999E-2</v>
      </c>
      <c r="AA26">
        <v>0.99710989999999999</v>
      </c>
      <c r="AB26">
        <v>4</v>
      </c>
      <c r="AC26">
        <v>0.63869999999997096</v>
      </c>
      <c r="AD26">
        <v>-0.206972299999999</v>
      </c>
      <c r="AE26">
        <v>-5.3799999999966902E-2</v>
      </c>
      <c r="AF26">
        <v>4.8372691571781597E-2</v>
      </c>
      <c r="AG26">
        <v>-0.206972299999999</v>
      </c>
      <c r="AH26">
        <v>0.578420216033107</v>
      </c>
      <c r="AI26">
        <v>109.62515021839501</v>
      </c>
      <c r="AJ26">
        <v>85.219536346761004</v>
      </c>
      <c r="AK26">
        <v>0.61623647780131896</v>
      </c>
      <c r="AL26">
        <v>80.860039349213693</v>
      </c>
      <c r="AM26">
        <v>91.129648781755506</v>
      </c>
      <c r="AN26">
        <v>1.0000000284355399</v>
      </c>
    </row>
    <row r="27" spans="1:40" x14ac:dyDescent="0.25">
      <c r="A27" t="str">
        <f>"20190303161843444"</f>
        <v>20190303161843444</v>
      </c>
      <c r="B27" t="str">
        <f>"1551601123433349"</f>
        <v>1551601123433349</v>
      </c>
      <c r="C27" t="s">
        <v>40</v>
      </c>
      <c r="D27">
        <v>5.2148099999999999</v>
      </c>
      <c r="E27">
        <v>0.54093619999999898</v>
      </c>
      <c r="F27" t="s">
        <v>42</v>
      </c>
      <c r="G27">
        <v>-474.42509999999999</v>
      </c>
      <c r="H27">
        <v>0.91513120000000003</v>
      </c>
      <c r="I27">
        <v>367.01389999999998</v>
      </c>
      <c r="J27">
        <v>-475.06509999999997</v>
      </c>
      <c r="K27">
        <v>1.1216539999999999</v>
      </c>
      <c r="L27">
        <v>367.0677</v>
      </c>
      <c r="M27">
        <v>0.99996229999999997</v>
      </c>
      <c r="N27">
        <v>-8.6718430000000003E-3</v>
      </c>
      <c r="O27">
        <v>-6.1663790000000005E-4</v>
      </c>
      <c r="P27">
        <v>0.98842799999999997</v>
      </c>
      <c r="Q27">
        <v>0.15054779999999901</v>
      </c>
      <c r="R27">
        <v>1.859303E-2</v>
      </c>
      <c r="S27">
        <v>3.1922299999999999</v>
      </c>
      <c r="T27">
        <v>-0.9812438</v>
      </c>
      <c r="U27">
        <v>-0.25421139999999998</v>
      </c>
      <c r="V27">
        <v>-1.9197720000000001E-2</v>
      </c>
      <c r="W27">
        <v>0.15911449999999999</v>
      </c>
      <c r="X27">
        <v>0.98707350000000005</v>
      </c>
      <c r="Y27">
        <v>7.5239810000000004E-2</v>
      </c>
      <c r="Z27">
        <v>-1.144066E-2</v>
      </c>
      <c r="AA27">
        <v>0.99709979999999998</v>
      </c>
      <c r="AB27">
        <v>4</v>
      </c>
      <c r="AC27">
        <v>0.63999999999998602</v>
      </c>
      <c r="AD27">
        <v>-0.20652280000000001</v>
      </c>
      <c r="AE27">
        <v>-5.3800000000023801E-2</v>
      </c>
      <c r="AF27">
        <v>4.8400722316935402E-2</v>
      </c>
      <c r="AG27">
        <v>-0.20652280000000001</v>
      </c>
      <c r="AH27">
        <v>0.58005566225106797</v>
      </c>
      <c r="AI27">
        <v>109.535020844784</v>
      </c>
      <c r="AJ27">
        <v>85.230202849546103</v>
      </c>
      <c r="AK27">
        <v>0.61762356508650595</v>
      </c>
      <c r="AL27">
        <v>80.844497943958899</v>
      </c>
      <c r="AM27">
        <v>91.1142125401622</v>
      </c>
      <c r="AN27">
        <v>1.00000003548284</v>
      </c>
    </row>
    <row r="28" spans="1:40" x14ac:dyDescent="0.25">
      <c r="A28" t="str">
        <f>"20190303161843466"</f>
        <v>20190303161843466</v>
      </c>
      <c r="B28" t="str">
        <f>"1551601123462625"</f>
        <v>1551601123462625</v>
      </c>
      <c r="C28" t="s">
        <v>40</v>
      </c>
      <c r="D28">
        <v>4.6376689999999998</v>
      </c>
      <c r="E28">
        <v>0.51022089999999998</v>
      </c>
      <c r="F28" t="s">
        <v>42</v>
      </c>
      <c r="G28">
        <v>-474.3974</v>
      </c>
      <c r="H28">
        <v>0.91513509999999998</v>
      </c>
      <c r="I28">
        <v>367.01440000000002</v>
      </c>
      <c r="J28">
        <v>-475.03</v>
      </c>
      <c r="K28">
        <v>1.121534</v>
      </c>
      <c r="L28">
        <v>367.0677</v>
      </c>
      <c r="M28">
        <v>0.99996050000000003</v>
      </c>
      <c r="N28">
        <v>-8.8672600000000001E-3</v>
      </c>
      <c r="O28">
        <v>-6.378992E-4</v>
      </c>
      <c r="P28">
        <v>0.9884579</v>
      </c>
      <c r="Q28">
        <v>0.15035100000000001</v>
      </c>
      <c r="R28">
        <v>1.859823E-2</v>
      </c>
      <c r="S28">
        <v>3.1902159999999999</v>
      </c>
      <c r="T28">
        <v>-0.98672219999999999</v>
      </c>
      <c r="U28">
        <v>-0.25402829999999998</v>
      </c>
      <c r="V28">
        <v>-1.9223150000000001E-2</v>
      </c>
      <c r="W28">
        <v>0.1591108</v>
      </c>
      <c r="X28">
        <v>0.9870736</v>
      </c>
      <c r="Y28">
        <v>7.5170979999999998E-2</v>
      </c>
      <c r="Z28">
        <v>-1.1497439999999999E-2</v>
      </c>
      <c r="AA28">
        <v>0.99710430000000005</v>
      </c>
      <c r="AB28">
        <v>3</v>
      </c>
      <c r="AC28">
        <v>0.63259999999996797</v>
      </c>
      <c r="AD28">
        <v>-0.206398899999999</v>
      </c>
      <c r="AE28">
        <v>-5.3299999999978802E-2</v>
      </c>
      <c r="AF28">
        <v>4.78396768608427E-2</v>
      </c>
      <c r="AG28">
        <v>-0.206398899999999</v>
      </c>
      <c r="AH28">
        <v>0.57215572602958797</v>
      </c>
      <c r="AI28">
        <v>109.77273046875101</v>
      </c>
      <c r="AJ28">
        <v>85.220443463869799</v>
      </c>
      <c r="AK28">
        <v>0.61012401643584202</v>
      </c>
      <c r="AL28">
        <v>80.844712660160596</v>
      </c>
      <c r="AM28">
        <v>91.115687980908703</v>
      </c>
      <c r="AN28">
        <v>1.0000000339947599</v>
      </c>
    </row>
    <row r="29" spans="1:40" x14ac:dyDescent="0.25">
      <c r="A29" t="str">
        <f>"20190303161843488"</f>
        <v>20190303161843488</v>
      </c>
      <c r="B29" t="str">
        <f>"1551601123483121"</f>
        <v>1551601123483121</v>
      </c>
      <c r="C29" t="s">
        <v>40</v>
      </c>
      <c r="D29">
        <v>5.2937320000000003</v>
      </c>
      <c r="E29">
        <v>0.49974540000000001</v>
      </c>
      <c r="F29" t="s">
        <v>43</v>
      </c>
      <c r="G29">
        <v>-158.19499999999999</v>
      </c>
      <c r="H29">
        <v>5.7363269999999904</v>
      </c>
      <c r="I29">
        <v>364.86169999999998</v>
      </c>
      <c r="J29">
        <v>-474.9889</v>
      </c>
      <c r="K29">
        <v>1.121075</v>
      </c>
      <c r="L29">
        <v>367.0677</v>
      </c>
      <c r="M29">
        <v>0.99996980000000002</v>
      </c>
      <c r="N29">
        <v>-7.7314890000000002E-3</v>
      </c>
      <c r="O29">
        <v>-6.6849689999999996E-4</v>
      </c>
      <c r="P29">
        <v>0.98828890000000003</v>
      </c>
      <c r="Q29">
        <v>0.15151289999999901</v>
      </c>
      <c r="R29">
        <v>1.813271E-2</v>
      </c>
      <c r="S29">
        <v>3.0287169999999999</v>
      </c>
      <c r="T29">
        <v>4.411495E-2</v>
      </c>
      <c r="U29">
        <v>-2.1087649999999999E-2</v>
      </c>
      <c r="V29">
        <v>-1.8786239999999999E-2</v>
      </c>
      <c r="W29">
        <v>0.15914979999999901</v>
      </c>
      <c r="X29">
        <v>0.9870757</v>
      </c>
      <c r="Y29">
        <v>6.2937499999999999E-3</v>
      </c>
      <c r="Z29" s="1">
        <v>6.597249E-6</v>
      </c>
      <c r="AA29">
        <v>0.99998019999999999</v>
      </c>
      <c r="AB29">
        <v>4</v>
      </c>
      <c r="AC29">
        <v>316.79390000000001</v>
      </c>
      <c r="AD29">
        <v>4.6152519999999901</v>
      </c>
      <c r="AE29">
        <v>-2.2060000000000102</v>
      </c>
      <c r="AF29">
        <v>1.99379426636679</v>
      </c>
      <c r="AG29">
        <v>4.6152519999999901</v>
      </c>
      <c r="AH29">
        <v>316.72808330473401</v>
      </c>
      <c r="AI29">
        <v>89.165181355275806</v>
      </c>
      <c r="AJ29">
        <v>89.639329463325197</v>
      </c>
      <c r="AK29">
        <v>316.76798215806201</v>
      </c>
      <c r="AL29">
        <v>80.842449058575696</v>
      </c>
      <c r="AM29">
        <v>91.090334135527797</v>
      </c>
      <c r="AN29">
        <v>1.0000000095919299</v>
      </c>
    </row>
    <row r="30" spans="1:40" x14ac:dyDescent="0.25">
      <c r="A30" t="str">
        <f>"20190303161843510"</f>
        <v>20190303161843510</v>
      </c>
      <c r="B30" t="str">
        <f>"1551601123502641"</f>
        <v>1551601123502641</v>
      </c>
      <c r="C30" t="s">
        <v>40</v>
      </c>
      <c r="D30">
        <v>5.2776569999999996</v>
      </c>
      <c r="E30">
        <v>0.49765979999999999</v>
      </c>
      <c r="F30" t="s">
        <v>43</v>
      </c>
      <c r="G30">
        <v>-168.84350000000001</v>
      </c>
      <c r="H30">
        <v>11.98563</v>
      </c>
      <c r="I30">
        <v>373.19709999999998</v>
      </c>
      <c r="J30">
        <v>-474.94709999999998</v>
      </c>
      <c r="K30">
        <v>1.1208049999999901</v>
      </c>
      <c r="L30">
        <v>367.06760000000003</v>
      </c>
      <c r="M30">
        <v>0.99997570000000002</v>
      </c>
      <c r="N30">
        <v>-6.936851E-3</v>
      </c>
      <c r="O30">
        <v>-7.0231669999999897E-4</v>
      </c>
      <c r="P30">
        <v>0.98823660000000002</v>
      </c>
      <c r="Q30">
        <v>0.15191950000000001</v>
      </c>
      <c r="R30">
        <v>1.758355E-2</v>
      </c>
      <c r="S30">
        <v>3.018005</v>
      </c>
      <c r="T30">
        <v>0.1071044</v>
      </c>
      <c r="U30">
        <v>6.0424800000000001E-2</v>
      </c>
      <c r="V30">
        <v>-1.8269150000000001E-2</v>
      </c>
      <c r="W30">
        <v>0.15877179999999999</v>
      </c>
      <c r="X30">
        <v>0.98714630000000003</v>
      </c>
      <c r="Y30">
        <v>-2.0708500000000001E-2</v>
      </c>
      <c r="Z30">
        <v>-3.2523559999999999E-4</v>
      </c>
      <c r="AA30">
        <v>0.99978549999999999</v>
      </c>
      <c r="AB30">
        <v>4</v>
      </c>
      <c r="AC30">
        <v>306.10359999999997</v>
      </c>
      <c r="AD30">
        <v>10.864825</v>
      </c>
      <c r="AE30">
        <v>6.1294999999999398</v>
      </c>
      <c r="AF30">
        <v>-6.3365056708502703</v>
      </c>
      <c r="AG30">
        <v>10.864825</v>
      </c>
      <c r="AH30">
        <v>305.71422893340701</v>
      </c>
      <c r="AI30">
        <v>87.965049807651397</v>
      </c>
      <c r="AJ30">
        <v>91.187393391845504</v>
      </c>
      <c r="AK30">
        <v>305.97285091776502</v>
      </c>
      <c r="AL30">
        <v>80.864385997114098</v>
      </c>
      <c r="AM30">
        <v>91.060253893309394</v>
      </c>
      <c r="AN30">
        <v>1.0000000319603199</v>
      </c>
    </row>
    <row r="31" spans="1:40" x14ac:dyDescent="0.25">
      <c r="A31" t="str">
        <f>"20190303161843532"</f>
        <v>20190303161843532</v>
      </c>
      <c r="B31" t="str">
        <f>"1551601123523137"</f>
        <v>1551601123523137</v>
      </c>
      <c r="C31" t="s">
        <v>40</v>
      </c>
      <c r="D31">
        <v>5.3306290000000001</v>
      </c>
      <c r="E31">
        <v>0.49666009999999999</v>
      </c>
      <c r="F31" t="s">
        <v>43</v>
      </c>
      <c r="G31">
        <v>-168.84350000000001</v>
      </c>
      <c r="H31">
        <v>11.992839999999999</v>
      </c>
      <c r="I31">
        <v>374.71620000000001</v>
      </c>
      <c r="J31">
        <v>-474.90859999999998</v>
      </c>
      <c r="K31">
        <v>1.1210199999999999</v>
      </c>
      <c r="L31">
        <v>367.0675</v>
      </c>
      <c r="M31">
        <v>0.99996980000000002</v>
      </c>
      <c r="N31">
        <v>-7.7310469999999996E-3</v>
      </c>
      <c r="O31">
        <v>-7.2992149999999997E-4</v>
      </c>
      <c r="P31">
        <v>0.98838619999999999</v>
      </c>
      <c r="Q31">
        <v>0.1509617</v>
      </c>
      <c r="R31">
        <v>1.742583E-2</v>
      </c>
      <c r="S31">
        <v>3.0179140000000002</v>
      </c>
      <c r="T31">
        <v>0.10718949999999999</v>
      </c>
      <c r="U31">
        <v>7.5408939999999994E-2</v>
      </c>
      <c r="V31">
        <v>-1.81388E-2</v>
      </c>
      <c r="W31">
        <v>0.15859949999999901</v>
      </c>
      <c r="X31">
        <v>0.98717639999999995</v>
      </c>
      <c r="Y31">
        <v>-2.5695679999999999E-2</v>
      </c>
      <c r="Z31">
        <v>-3.88296E-4</v>
      </c>
      <c r="AA31">
        <v>0.99966969999999999</v>
      </c>
      <c r="AB31">
        <v>4</v>
      </c>
      <c r="AC31">
        <v>306.06509999999997</v>
      </c>
      <c r="AD31">
        <v>10.87182</v>
      </c>
      <c r="AE31">
        <v>7.6487000000000096</v>
      </c>
      <c r="AF31">
        <v>-7.8621941331602496</v>
      </c>
      <c r="AG31">
        <v>10.87182</v>
      </c>
      <c r="AH31">
        <v>305.673988736274</v>
      </c>
      <c r="AI31">
        <v>87.963708784204698</v>
      </c>
      <c r="AJ31">
        <v>91.473371171525599</v>
      </c>
      <c r="AK31">
        <v>305.96829567235102</v>
      </c>
      <c r="AL31">
        <v>80.874384744271794</v>
      </c>
      <c r="AM31">
        <v>91.052658622187096</v>
      </c>
      <c r="AN31">
        <v>1.00000003109132</v>
      </c>
    </row>
    <row r="32" spans="1:40" x14ac:dyDescent="0.25">
      <c r="A32" t="str">
        <f>"20190303161843555"</f>
        <v>20190303161843555</v>
      </c>
      <c r="B32" t="str">
        <f>"1551601123542657"</f>
        <v>1551601123542657</v>
      </c>
      <c r="C32" t="s">
        <v>40</v>
      </c>
      <c r="D32">
        <v>5.2568609999999998</v>
      </c>
      <c r="E32">
        <v>0.4962492</v>
      </c>
      <c r="F32" t="s">
        <v>43</v>
      </c>
      <c r="G32">
        <v>-168.84350000000001</v>
      </c>
      <c r="H32">
        <v>10.39798</v>
      </c>
      <c r="I32">
        <v>375.49610000000001</v>
      </c>
      <c r="J32">
        <v>-474.87439999999998</v>
      </c>
      <c r="K32">
        <v>1.121523</v>
      </c>
      <c r="L32">
        <v>367.0675</v>
      </c>
      <c r="M32">
        <v>0.99995299999999998</v>
      </c>
      <c r="N32">
        <v>-9.6752149999999992E-3</v>
      </c>
      <c r="O32">
        <v>-7.5113440000000001E-4</v>
      </c>
      <c r="P32">
        <v>0.98865170000000002</v>
      </c>
      <c r="Q32">
        <v>0.14924570000000001</v>
      </c>
      <c r="R32">
        <v>1.7142540000000001E-2</v>
      </c>
      <c r="S32">
        <v>3.019806</v>
      </c>
      <c r="T32">
        <v>9.1532349999999998E-2</v>
      </c>
      <c r="U32">
        <v>8.3160399999999995E-2</v>
      </c>
      <c r="V32">
        <v>-1.7878359999999999E-2</v>
      </c>
      <c r="W32">
        <v>0.15880529999999901</v>
      </c>
      <c r="X32">
        <v>0.98714800000000003</v>
      </c>
      <c r="Y32">
        <v>-2.826934E-2</v>
      </c>
      <c r="Z32">
        <v>-3.214674E-4</v>
      </c>
      <c r="AA32">
        <v>0.9996003</v>
      </c>
      <c r="AB32">
        <v>4</v>
      </c>
      <c r="AC32">
        <v>306.03089999999997</v>
      </c>
      <c r="AD32">
        <v>9.2764570000000006</v>
      </c>
      <c r="AE32">
        <v>8.4286000000000101</v>
      </c>
      <c r="AF32">
        <v>-8.6505363769327701</v>
      </c>
      <c r="AG32">
        <v>9.2764570000000006</v>
      </c>
      <c r="AH32">
        <v>305.74376967828198</v>
      </c>
      <c r="AI32">
        <v>88.262838132757807</v>
      </c>
      <c r="AJ32">
        <v>91.620661094649506</v>
      </c>
      <c r="AK32">
        <v>306.00675994357999</v>
      </c>
      <c r="AL32">
        <v>80.862441319931094</v>
      </c>
      <c r="AM32">
        <v>91.037577540729401</v>
      </c>
      <c r="AN32">
        <v>0.99999996648418898</v>
      </c>
    </row>
    <row r="33" spans="1:40" x14ac:dyDescent="0.25">
      <c r="A33" t="str">
        <f>"20190303161843578"</f>
        <v>20190303161843578</v>
      </c>
      <c r="B33" t="str">
        <f>"1551601123572913"</f>
        <v>1551601123572913</v>
      </c>
      <c r="C33" t="s">
        <v>40</v>
      </c>
      <c r="D33">
        <v>5.3205470000000004</v>
      </c>
      <c r="E33">
        <v>0.49631920000000002</v>
      </c>
      <c r="F33" t="s">
        <v>43</v>
      </c>
      <c r="G33">
        <v>-168.84350000000001</v>
      </c>
      <c r="H33">
        <v>8.8862369999999995</v>
      </c>
      <c r="I33">
        <v>375.7473</v>
      </c>
      <c r="J33">
        <v>-474.8372</v>
      </c>
      <c r="K33">
        <v>1.121661</v>
      </c>
      <c r="L33">
        <v>367.06740000000002</v>
      </c>
      <c r="M33">
        <v>0.99994340000000004</v>
      </c>
      <c r="N33">
        <v>-1.060265E-2</v>
      </c>
      <c r="O33">
        <v>-7.7454710000000003E-4</v>
      </c>
      <c r="P33">
        <v>0.98878120000000003</v>
      </c>
      <c r="Q33">
        <v>0.14834120000000001</v>
      </c>
      <c r="R33">
        <v>1.7513250000000001E-2</v>
      </c>
      <c r="S33">
        <v>3.0213619999999999</v>
      </c>
      <c r="T33">
        <v>7.66598E-2</v>
      </c>
      <c r="U33">
        <v>8.5693359999999996E-2</v>
      </c>
      <c r="V33">
        <v>-1.8273250000000001E-2</v>
      </c>
      <c r="W33">
        <v>0.15881700000000001</v>
      </c>
      <c r="X33">
        <v>0.98713890000000004</v>
      </c>
      <c r="Y33">
        <v>-2.911942E-2</v>
      </c>
      <c r="Z33">
        <v>-2.4271669999999999E-4</v>
      </c>
      <c r="AA33">
        <v>0.99957589999999996</v>
      </c>
      <c r="AB33">
        <v>3</v>
      </c>
      <c r="AC33">
        <v>305.99369999999999</v>
      </c>
      <c r="AD33">
        <v>7.7645759999999902</v>
      </c>
      <c r="AE33">
        <v>8.6798999999999698</v>
      </c>
      <c r="AF33">
        <v>-8.9111840794425401</v>
      </c>
      <c r="AG33">
        <v>7.7645759999999902</v>
      </c>
      <c r="AH33">
        <v>305.79014844359898</v>
      </c>
      <c r="AI33">
        <v>88.546083961117603</v>
      </c>
      <c r="AJ33">
        <v>91.669212639892095</v>
      </c>
      <c r="AK33">
        <v>306.018484290272</v>
      </c>
      <c r="AL33">
        <v>80.861762462549393</v>
      </c>
      <c r="AM33">
        <v>91.060499731389598</v>
      </c>
      <c r="AN33">
        <v>0.99999997952388597</v>
      </c>
    </row>
    <row r="34" spans="1:40" x14ac:dyDescent="0.25">
      <c r="A34" t="str">
        <f>"20190303161843602"</f>
        <v>20190303161843602</v>
      </c>
      <c r="B34" t="str">
        <f>"1551601123593409"</f>
        <v>1551601123593409</v>
      </c>
      <c r="C34" t="s">
        <v>40</v>
      </c>
      <c r="D34">
        <v>5.0922970000000003</v>
      </c>
      <c r="E34">
        <v>0.49625780000000003</v>
      </c>
      <c r="F34" t="s">
        <v>43</v>
      </c>
      <c r="G34">
        <v>-170.08879999999999</v>
      </c>
      <c r="H34">
        <v>7.8004550000000004</v>
      </c>
      <c r="I34">
        <v>375.73509999999999</v>
      </c>
      <c r="J34">
        <v>-474.79489999999998</v>
      </c>
      <c r="K34">
        <v>1.1212249999999999</v>
      </c>
      <c r="L34">
        <v>367.06740000000002</v>
      </c>
      <c r="M34">
        <v>0.99995480000000003</v>
      </c>
      <c r="N34">
        <v>-9.4769550000000004E-3</v>
      </c>
      <c r="O34">
        <v>-8.0658589999999897E-4</v>
      </c>
      <c r="P34">
        <v>0.98854759999999997</v>
      </c>
      <c r="Q34">
        <v>0.14984810000000001</v>
      </c>
      <c r="R34">
        <v>1.7871080000000001E-2</v>
      </c>
      <c r="S34">
        <v>3.022583</v>
      </c>
      <c r="T34">
        <v>6.6243049999999998E-2</v>
      </c>
      <c r="U34">
        <v>8.5968020000000006E-2</v>
      </c>
      <c r="V34">
        <v>-1.866085E-2</v>
      </c>
      <c r="W34">
        <v>0.15921060000000001</v>
      </c>
      <c r="X34">
        <v>0.98706830000000001</v>
      </c>
      <c r="Y34">
        <v>-2.9232319999999999E-2</v>
      </c>
      <c r="Z34">
        <v>-2.069807E-4</v>
      </c>
      <c r="AA34">
        <v>0.99957260000000003</v>
      </c>
      <c r="AB34">
        <v>3</v>
      </c>
      <c r="AC34">
        <v>304.70609999999999</v>
      </c>
      <c r="AD34">
        <v>6.6792299999999996</v>
      </c>
      <c r="AE34">
        <v>8.6676999999999609</v>
      </c>
      <c r="AF34">
        <v>-8.9092024714444094</v>
      </c>
      <c r="AG34">
        <v>6.6792299999999996</v>
      </c>
      <c r="AH34">
        <v>304.55279099011199</v>
      </c>
      <c r="AI34">
        <v>88.744169155595998</v>
      </c>
      <c r="AJ34">
        <v>91.675618085784293</v>
      </c>
      <c r="AK34">
        <v>304.756277214985</v>
      </c>
      <c r="AL34">
        <v>80.838920725246993</v>
      </c>
      <c r="AM34">
        <v>91.083066485307</v>
      </c>
      <c r="AN34">
        <v>1.0000000356699801</v>
      </c>
    </row>
    <row r="35" spans="1:40" x14ac:dyDescent="0.25">
      <c r="A35" t="str">
        <f>"20190303161843622"</f>
        <v>20190303161843622</v>
      </c>
      <c r="B35" t="str">
        <f>"1551601123612928"</f>
        <v>1551601123612928</v>
      </c>
      <c r="C35" t="s">
        <v>40</v>
      </c>
      <c r="D35">
        <v>5.2670839999999997</v>
      </c>
      <c r="E35">
        <v>0.49623909999999999</v>
      </c>
      <c r="F35" t="s">
        <v>43</v>
      </c>
      <c r="G35">
        <v>-170.08879999999999</v>
      </c>
      <c r="H35">
        <v>7.9613649999999998</v>
      </c>
      <c r="I35">
        <v>375.87419999999997</v>
      </c>
      <c r="J35">
        <v>-474.75290000000001</v>
      </c>
      <c r="K35">
        <v>1.120806</v>
      </c>
      <c r="L35">
        <v>367.06729999999999</v>
      </c>
      <c r="M35">
        <v>0.99996700000000005</v>
      </c>
      <c r="N35">
        <v>-8.0937849999999992E-3</v>
      </c>
      <c r="O35">
        <v>-8.4319569999999995E-4</v>
      </c>
      <c r="P35">
        <v>0.98828070000000001</v>
      </c>
      <c r="Q35">
        <v>0.15152209999999999</v>
      </c>
      <c r="R35">
        <v>1.8514300000000001E-2</v>
      </c>
      <c r="S35">
        <v>3.0229490000000001</v>
      </c>
      <c r="T35">
        <v>6.7860959999999998E-2</v>
      </c>
      <c r="U35">
        <v>8.7371829999999998E-2</v>
      </c>
      <c r="V35">
        <v>-1.9338589999999999E-2</v>
      </c>
      <c r="W35">
        <v>0.15951699999999999</v>
      </c>
      <c r="X35">
        <v>0.98700580000000004</v>
      </c>
      <c r="Y35">
        <v>-2.9728460000000002E-2</v>
      </c>
      <c r="Z35">
        <v>-2.389693E-4</v>
      </c>
      <c r="AA35">
        <v>0.99955799999999995</v>
      </c>
      <c r="AB35">
        <v>4</v>
      </c>
      <c r="AC35">
        <v>304.66410000000002</v>
      </c>
      <c r="AD35">
        <v>6.8405589999999998</v>
      </c>
      <c r="AE35">
        <v>8.8068999999999793</v>
      </c>
      <c r="AF35">
        <v>-9.0592335163262607</v>
      </c>
      <c r="AG35">
        <v>6.8405589999999998</v>
      </c>
      <c r="AH35">
        <v>304.503185159748</v>
      </c>
      <c r="AI35">
        <v>88.713655499754495</v>
      </c>
      <c r="AJ35">
        <v>91.704096414979404</v>
      </c>
      <c r="AK35">
        <v>304.71470711432301</v>
      </c>
      <c r="AL35">
        <v>80.821138184113394</v>
      </c>
      <c r="AM35">
        <v>91.122463347624205</v>
      </c>
      <c r="AN35">
        <v>1.00000005179291</v>
      </c>
    </row>
    <row r="36" spans="1:40" x14ac:dyDescent="0.25">
      <c r="A36" t="str">
        <f>"20190303161843644"</f>
        <v>20190303161843644</v>
      </c>
      <c r="B36" t="str">
        <f>"1551601123633425"</f>
        <v>1551601123633425</v>
      </c>
      <c r="C36" t="s">
        <v>40</v>
      </c>
      <c r="D36">
        <v>5.2660539999999996</v>
      </c>
      <c r="E36">
        <v>0.4961663</v>
      </c>
      <c r="F36" t="s">
        <v>43</v>
      </c>
      <c r="G36">
        <v>-170.08879999999999</v>
      </c>
      <c r="H36">
        <v>8.2342429999999993</v>
      </c>
      <c r="I36">
        <v>376.15559999999999</v>
      </c>
      <c r="J36">
        <v>-474.7124</v>
      </c>
      <c r="K36">
        <v>1.1208819999999999</v>
      </c>
      <c r="L36">
        <v>367.06720000000001</v>
      </c>
      <c r="M36">
        <v>0.99996600000000002</v>
      </c>
      <c r="N36">
        <v>-8.2203750000000003E-3</v>
      </c>
      <c r="O36">
        <v>-8.7542839999999995E-4</v>
      </c>
      <c r="P36">
        <v>0.98829739999999999</v>
      </c>
      <c r="Q36">
        <v>0.1514007</v>
      </c>
      <c r="R36">
        <v>1.8615710000000001E-2</v>
      </c>
      <c r="S36">
        <v>3.0230410000000001</v>
      </c>
      <c r="T36">
        <v>7.0584179999999996E-2</v>
      </c>
      <c r="U36">
        <v>9.017944E-2</v>
      </c>
      <c r="V36">
        <v>-1.9471769999999999E-2</v>
      </c>
      <c r="W36">
        <v>0.15952079999999999</v>
      </c>
      <c r="X36">
        <v>0.9870025</v>
      </c>
      <c r="Y36">
        <v>-3.0686649999999999E-2</v>
      </c>
      <c r="Z36">
        <v>-2.5957600000000002E-4</v>
      </c>
      <c r="AA36">
        <v>0.999529</v>
      </c>
      <c r="AB36">
        <v>4</v>
      </c>
      <c r="AC36">
        <v>304.62360000000001</v>
      </c>
      <c r="AD36">
        <v>7.1133609999999896</v>
      </c>
      <c r="AE36">
        <v>9.0883999999999805</v>
      </c>
      <c r="AF36">
        <v>-9.3499877702025795</v>
      </c>
      <c r="AG36">
        <v>7.1133609999999896</v>
      </c>
      <c r="AH36">
        <v>304.449662918299</v>
      </c>
      <c r="AI36">
        <v>88.662177984284597</v>
      </c>
      <c r="AJ36">
        <v>91.759064221081402</v>
      </c>
      <c r="AK36">
        <v>304.67625346765197</v>
      </c>
      <c r="AL36">
        <v>80.820917019775905</v>
      </c>
      <c r="AM36">
        <v>91.130195249663899</v>
      </c>
      <c r="AN36">
        <v>0.999999985232911</v>
      </c>
    </row>
    <row r="37" spans="1:40" x14ac:dyDescent="0.25">
      <c r="A37" t="str">
        <f>"20190303161843667"</f>
        <v>20190303161843667</v>
      </c>
      <c r="B37" t="str">
        <f>"1551601123652945"</f>
        <v>1551601123652945</v>
      </c>
      <c r="C37" t="s">
        <v>40</v>
      </c>
      <c r="D37">
        <v>5.268713</v>
      </c>
      <c r="E37">
        <v>0.49616680000000002</v>
      </c>
      <c r="F37" t="s">
        <v>43</v>
      </c>
      <c r="G37">
        <v>-170.08879999999999</v>
      </c>
      <c r="H37">
        <v>7.9933339999999999</v>
      </c>
      <c r="I37">
        <v>376.22410000000002</v>
      </c>
      <c r="J37">
        <v>-474.67509999999999</v>
      </c>
      <c r="K37">
        <v>1.1213839999999999</v>
      </c>
      <c r="L37">
        <v>367.06720000000001</v>
      </c>
      <c r="M37">
        <v>0.99995009999999995</v>
      </c>
      <c r="N37">
        <v>-9.9504680000000005E-3</v>
      </c>
      <c r="O37">
        <v>-9.0009490000000003E-4</v>
      </c>
      <c r="P37">
        <v>0.98856809999999995</v>
      </c>
      <c r="Q37">
        <v>0.14960129999999999</v>
      </c>
      <c r="R37">
        <v>1.8780350000000001E-2</v>
      </c>
      <c r="S37">
        <v>3.0233759999999998</v>
      </c>
      <c r="T37">
        <v>6.8209649999999997E-2</v>
      </c>
      <c r="U37">
        <v>9.088135E-2</v>
      </c>
      <c r="V37">
        <v>-1.966219E-2</v>
      </c>
      <c r="W37">
        <v>0.159431399999999</v>
      </c>
      <c r="X37">
        <v>0.98701320000000003</v>
      </c>
      <c r="Y37">
        <v>-3.0940840000000001E-2</v>
      </c>
      <c r="Z37">
        <v>-2.2416640000000001E-4</v>
      </c>
      <c r="AA37">
        <v>0.9995212</v>
      </c>
      <c r="AB37">
        <v>5</v>
      </c>
      <c r="AC37">
        <v>304.58629999999999</v>
      </c>
      <c r="AD37">
        <v>6.87195</v>
      </c>
      <c r="AE37">
        <v>9.1569000000000091</v>
      </c>
      <c r="AF37">
        <v>-9.4262725583911795</v>
      </c>
      <c r="AG37">
        <v>6.87195</v>
      </c>
      <c r="AH37">
        <v>304.42311501848297</v>
      </c>
      <c r="AI37">
        <v>88.707462305780396</v>
      </c>
      <c r="AJ37">
        <v>91.773561522332002</v>
      </c>
      <c r="AK37">
        <v>304.64653496914099</v>
      </c>
      <c r="AL37">
        <v>80.826105943373094</v>
      </c>
      <c r="AM37">
        <v>91.141232474100093</v>
      </c>
      <c r="AN37">
        <v>1.00000001499789</v>
      </c>
    </row>
    <row r="38" spans="1:40" x14ac:dyDescent="0.25">
      <c r="A38" t="str">
        <f>"20190303161843689"</f>
        <v>20190303161843689</v>
      </c>
      <c r="B38" t="str">
        <f>"1551601123683201"</f>
        <v>1551601123683201</v>
      </c>
      <c r="C38" t="s">
        <v>40</v>
      </c>
      <c r="D38">
        <v>4.9787739999999996</v>
      </c>
      <c r="E38">
        <v>0.4962956</v>
      </c>
      <c r="F38" t="s">
        <v>43</v>
      </c>
      <c r="G38">
        <v>-170.08879999999999</v>
      </c>
      <c r="H38">
        <v>7.4940340000000001</v>
      </c>
      <c r="I38">
        <v>376.2414</v>
      </c>
      <c r="J38">
        <v>-474.6413</v>
      </c>
      <c r="K38">
        <v>1.1217859999999999</v>
      </c>
      <c r="L38">
        <v>367.06709999999998</v>
      </c>
      <c r="M38">
        <v>0.99993189999999998</v>
      </c>
      <c r="N38">
        <v>-1.163494E-2</v>
      </c>
      <c r="O38">
        <v>-9.1977279999999996E-4</v>
      </c>
      <c r="P38">
        <v>0.98883869999999896</v>
      </c>
      <c r="Q38">
        <v>0.1478227</v>
      </c>
      <c r="R38">
        <v>1.86202E-2</v>
      </c>
      <c r="S38">
        <v>3.0233759999999998</v>
      </c>
      <c r="T38">
        <v>6.3256859999999998E-2</v>
      </c>
      <c r="U38">
        <v>9.1064450000000005E-2</v>
      </c>
      <c r="V38">
        <v>-1.9523240000000001E-2</v>
      </c>
      <c r="W38">
        <v>0.1593184</v>
      </c>
      <c r="X38">
        <v>0.98703419999999997</v>
      </c>
      <c r="Y38">
        <v>-3.1022379999999999E-2</v>
      </c>
      <c r="Z38">
        <v>-1.73833E-4</v>
      </c>
      <c r="AA38">
        <v>0.99951869999999998</v>
      </c>
      <c r="AB38">
        <v>4</v>
      </c>
      <c r="AC38">
        <v>304.55250000000001</v>
      </c>
      <c r="AD38">
        <v>6.3722479999999999</v>
      </c>
      <c r="AE38">
        <v>9.1743000000000094</v>
      </c>
      <c r="AF38">
        <v>-9.4503007331946804</v>
      </c>
      <c r="AG38">
        <v>6.3722479999999999</v>
      </c>
      <c r="AH38">
        <v>304.41078662516099</v>
      </c>
      <c r="AI38">
        <v>88.801376674931007</v>
      </c>
      <c r="AJ38">
        <v>91.778151510859203</v>
      </c>
      <c r="AK38">
        <v>304.62409744186499</v>
      </c>
      <c r="AL38">
        <v>80.832664153523396</v>
      </c>
      <c r="AM38">
        <v>91.133145548245807</v>
      </c>
      <c r="AN38">
        <v>1.00000001072414</v>
      </c>
    </row>
    <row r="39" spans="1:40" x14ac:dyDescent="0.25">
      <c r="A39" t="str">
        <f>"20190303161843711"</f>
        <v>20190303161843711</v>
      </c>
      <c r="B39" t="str">
        <f>"1551601123702721"</f>
        <v>1551601123702721</v>
      </c>
      <c r="C39" t="s">
        <v>40</v>
      </c>
      <c r="D39">
        <v>4.8838249999999999</v>
      </c>
      <c r="E39">
        <v>0.49635669999999998</v>
      </c>
      <c r="F39" t="s">
        <v>43</v>
      </c>
      <c r="G39">
        <v>-170.08879999999999</v>
      </c>
      <c r="H39">
        <v>6.9309089999999998</v>
      </c>
      <c r="I39">
        <v>376.08300000000003</v>
      </c>
      <c r="J39">
        <v>-474.60199999999998</v>
      </c>
      <c r="K39">
        <v>1.121518</v>
      </c>
      <c r="L39">
        <v>367.06700000000001</v>
      </c>
      <c r="M39">
        <v>0.99993849999999995</v>
      </c>
      <c r="N39">
        <v>-1.1056180000000001E-2</v>
      </c>
      <c r="O39">
        <v>-9.4761900000000002E-4</v>
      </c>
      <c r="P39">
        <v>0.98883120000000002</v>
      </c>
      <c r="Q39">
        <v>0.1479134</v>
      </c>
      <c r="R39">
        <v>1.8297549999999999E-2</v>
      </c>
      <c r="S39">
        <v>3.0235289999999999</v>
      </c>
      <c r="T39">
        <v>5.7672500000000002E-2</v>
      </c>
      <c r="U39">
        <v>8.950806E-2</v>
      </c>
      <c r="V39">
        <v>-1.9227770000000002E-2</v>
      </c>
      <c r="W39">
        <v>0.1588377</v>
      </c>
      <c r="X39">
        <v>0.98711749999999998</v>
      </c>
      <c r="Y39">
        <v>-3.0535360000000001E-2</v>
      </c>
      <c r="Z39">
        <v>-1.508266E-4</v>
      </c>
      <c r="AA39">
        <v>0.99953369999999997</v>
      </c>
      <c r="AB39">
        <v>3</v>
      </c>
      <c r="AC39">
        <v>304.51319999999998</v>
      </c>
      <c r="AD39">
        <v>5.8093909999999997</v>
      </c>
      <c r="AE39">
        <v>9.0160000000000693</v>
      </c>
      <c r="AF39">
        <v>-9.3011938026005794</v>
      </c>
      <c r="AG39">
        <v>5.8093909999999997</v>
      </c>
      <c r="AH39">
        <v>304.39383005552702</v>
      </c>
      <c r="AI39">
        <v>88.907146197032205</v>
      </c>
      <c r="AJ39">
        <v>91.750210838745502</v>
      </c>
      <c r="AK39">
        <v>304.59130815868298</v>
      </c>
      <c r="AL39">
        <v>80.860561752940399</v>
      </c>
      <c r="AM39">
        <v>91.1159064349483</v>
      </c>
      <c r="AN39">
        <v>1.00000004044335</v>
      </c>
    </row>
    <row r="40" spans="1:40" x14ac:dyDescent="0.25">
      <c r="A40" t="str">
        <f>"20190303161843733"</f>
        <v>20190303161843733</v>
      </c>
      <c r="B40" t="str">
        <f>"1551601123723217"</f>
        <v>1551601123723217</v>
      </c>
      <c r="C40" t="s">
        <v>40</v>
      </c>
      <c r="D40">
        <v>4.7986389999999997</v>
      </c>
      <c r="E40">
        <v>0.49648870000000001</v>
      </c>
      <c r="F40" t="s">
        <v>43</v>
      </c>
      <c r="G40">
        <v>-170.08879999999999</v>
      </c>
      <c r="H40">
        <v>7.0625920000000004</v>
      </c>
      <c r="I40">
        <v>375.95609999999999</v>
      </c>
      <c r="J40">
        <v>-474.55680000000001</v>
      </c>
      <c r="K40">
        <v>1.1210230000000001</v>
      </c>
      <c r="L40">
        <v>367.06700000000001</v>
      </c>
      <c r="M40">
        <v>0.99995480000000003</v>
      </c>
      <c r="N40">
        <v>-9.4768400000000003E-3</v>
      </c>
      <c r="O40">
        <v>-9.8482650000000001E-4</v>
      </c>
      <c r="P40">
        <v>0.98868199999999995</v>
      </c>
      <c r="Q40">
        <v>0.14891270000000001</v>
      </c>
      <c r="R40">
        <v>1.8261759999999998E-2</v>
      </c>
      <c r="S40">
        <v>3.0234070000000002</v>
      </c>
      <c r="T40">
        <v>5.8987739999999997E-2</v>
      </c>
      <c r="U40">
        <v>8.8256840000000003E-2</v>
      </c>
      <c r="V40">
        <v>-1.9226699999999999E-2</v>
      </c>
      <c r="W40">
        <v>0.15827649999999999</v>
      </c>
      <c r="X40">
        <v>0.98720759999999996</v>
      </c>
      <c r="Y40">
        <v>-3.0159829999999999E-2</v>
      </c>
      <c r="Z40">
        <v>-1.7971169999999901E-4</v>
      </c>
      <c r="AA40">
        <v>0.99954509999999996</v>
      </c>
      <c r="AB40">
        <v>4</v>
      </c>
      <c r="AC40">
        <v>304.46800000000002</v>
      </c>
      <c r="AD40">
        <v>5.9415689999999897</v>
      </c>
      <c r="AE40">
        <v>8.88910000000004</v>
      </c>
      <c r="AF40">
        <v>-9.1854622295783308</v>
      </c>
      <c r="AG40">
        <v>5.9415689999999897</v>
      </c>
      <c r="AH40">
        <v>304.34329662179402</v>
      </c>
      <c r="AI40">
        <v>88.882089048774603</v>
      </c>
      <c r="AJ40">
        <v>91.728733675723106</v>
      </c>
      <c r="AK40">
        <v>304.53984494179701</v>
      </c>
      <c r="AL40">
        <v>80.893127568003607</v>
      </c>
      <c r="AM40">
        <v>91.115742537317203</v>
      </c>
      <c r="AN40">
        <v>0.99999998097144904</v>
      </c>
    </row>
    <row r="41" spans="1:40" x14ac:dyDescent="0.25">
      <c r="A41" t="str">
        <f>"20190303161843747"</f>
        <v>20190303161843747</v>
      </c>
      <c r="B41" t="str">
        <f>"1551601123732978"</f>
        <v>1551601123732978</v>
      </c>
      <c r="C41" t="s">
        <v>40</v>
      </c>
      <c r="D41">
        <v>4.7964140000000004</v>
      </c>
      <c r="E41">
        <v>0.49660080000000001</v>
      </c>
      <c r="F41" t="s">
        <v>43</v>
      </c>
      <c r="G41">
        <v>-170.08879999999999</v>
      </c>
      <c r="H41">
        <v>7.2051669999999897</v>
      </c>
      <c r="I41">
        <v>375.85270000000003</v>
      </c>
      <c r="J41">
        <v>-474.5308</v>
      </c>
      <c r="K41">
        <v>1.1208199999999999</v>
      </c>
      <c r="L41">
        <v>367.06689999999998</v>
      </c>
      <c r="M41">
        <v>0.99996149999999995</v>
      </c>
      <c r="N41">
        <v>-8.7286320000000001E-3</v>
      </c>
      <c r="O41">
        <v>-1.0074120000000001E-3</v>
      </c>
      <c r="P41">
        <v>0.98860060000000005</v>
      </c>
      <c r="Q41">
        <v>0.14942829999999999</v>
      </c>
      <c r="R41">
        <v>1.8441349999999999E-2</v>
      </c>
      <c r="S41">
        <v>3.0236209999999999</v>
      </c>
      <c r="T41">
        <v>6.0421469999999998E-2</v>
      </c>
      <c r="U41">
        <v>8.7249759999999996E-2</v>
      </c>
      <c r="V41">
        <v>-1.9427940000000001E-2</v>
      </c>
      <c r="W41">
        <v>0.15805239999999901</v>
      </c>
      <c r="X41">
        <v>0.98723959999999999</v>
      </c>
      <c r="Y41">
        <v>-2.98473E-2</v>
      </c>
      <c r="Z41">
        <v>-1.9674530000000001E-4</v>
      </c>
      <c r="AA41">
        <v>0.99955450000000001</v>
      </c>
      <c r="AB41">
        <v>4</v>
      </c>
      <c r="AC41">
        <v>304.44200000000001</v>
      </c>
      <c r="AD41">
        <v>6.0843469999999904</v>
      </c>
      <c r="AE41">
        <v>8.7858000000000498</v>
      </c>
      <c r="AF41">
        <v>-9.0888785509956698</v>
      </c>
      <c r="AG41">
        <v>6.0843469999999904</v>
      </c>
      <c r="AH41">
        <v>304.31155034373501</v>
      </c>
      <c r="AI41">
        <v>88.855102137684796</v>
      </c>
      <c r="AJ41">
        <v>91.710745515080006</v>
      </c>
      <c r="AK41">
        <v>304.50804039358098</v>
      </c>
      <c r="AL41">
        <v>80.906131561931502</v>
      </c>
      <c r="AM41">
        <v>91.127381141029602</v>
      </c>
      <c r="AN41">
        <v>1.0000000169032801</v>
      </c>
    </row>
    <row r="42" spans="1:40" x14ac:dyDescent="0.25">
      <c r="A42" t="str">
        <f>"20190303161843760"</f>
        <v>20190303161843760</v>
      </c>
      <c r="B42" t="str">
        <f>"1551601123753473"</f>
        <v>1551601123753473</v>
      </c>
      <c r="C42" t="s">
        <v>40</v>
      </c>
      <c r="D42">
        <v>4.7103910000000004</v>
      </c>
      <c r="E42">
        <v>0.49681150000000002</v>
      </c>
      <c r="F42" t="s">
        <v>43</v>
      </c>
      <c r="G42">
        <v>-170.08879999999999</v>
      </c>
      <c r="H42">
        <v>7.0675270000000001</v>
      </c>
      <c r="I42">
        <v>375.82</v>
      </c>
      <c r="J42">
        <v>-474.50360000000001</v>
      </c>
      <c r="K42">
        <v>1.1209229999999999</v>
      </c>
      <c r="L42">
        <v>367.0668</v>
      </c>
      <c r="M42">
        <v>0.99995959999999995</v>
      </c>
      <c r="N42">
        <v>-8.9369469999999902E-3</v>
      </c>
      <c r="O42">
        <v>-1.028716E-3</v>
      </c>
      <c r="P42">
        <v>0.98866140000000002</v>
      </c>
      <c r="Q42">
        <v>0.1490467</v>
      </c>
      <c r="R42">
        <v>1.827608E-2</v>
      </c>
      <c r="S42">
        <v>3.0240170000000002</v>
      </c>
      <c r="T42">
        <v>5.9069400000000001E-2</v>
      </c>
      <c r="U42">
        <v>8.6944579999999994E-2</v>
      </c>
      <c r="V42">
        <v>-1.9284430000000002E-2</v>
      </c>
      <c r="W42">
        <v>0.1578773</v>
      </c>
      <c r="X42">
        <v>0.98727039999999999</v>
      </c>
      <c r="Y42">
        <v>-2.97643E-2</v>
      </c>
      <c r="Z42">
        <v>-1.8685239999999999E-4</v>
      </c>
      <c r="AA42">
        <v>0.99955689999999997</v>
      </c>
      <c r="AB42">
        <v>5</v>
      </c>
      <c r="AC42">
        <v>304.41480000000001</v>
      </c>
      <c r="AD42">
        <v>5.9466039999999998</v>
      </c>
      <c r="AE42">
        <v>8.7531999999999908</v>
      </c>
      <c r="AF42">
        <v>-9.0629086956288791</v>
      </c>
      <c r="AG42">
        <v>5.9466039999999998</v>
      </c>
      <c r="AH42">
        <v>304.289613502252</v>
      </c>
      <c r="AI42">
        <v>88.880931290922007</v>
      </c>
      <c r="AJ42">
        <v>91.705983162221003</v>
      </c>
      <c r="AK42">
        <v>304.48262232598501</v>
      </c>
      <c r="AL42">
        <v>80.916291340121106</v>
      </c>
      <c r="AM42">
        <v>91.119020642956201</v>
      </c>
      <c r="AN42">
        <v>0.99999998690593705</v>
      </c>
    </row>
    <row r="43" spans="1:40" x14ac:dyDescent="0.25">
      <c r="A43" t="str">
        <f>"20190303161843779"</f>
        <v>20190303161843779</v>
      </c>
      <c r="B43" t="str">
        <f>"1551601123772993"</f>
        <v>1551601123772993</v>
      </c>
      <c r="C43" t="s">
        <v>40</v>
      </c>
      <c r="D43">
        <v>4.6384829999999999</v>
      </c>
      <c r="E43">
        <v>0.49703049999999999</v>
      </c>
      <c r="F43" t="s">
        <v>43</v>
      </c>
      <c r="G43">
        <v>-158.19499999999999</v>
      </c>
      <c r="H43">
        <v>6.5909360000000001</v>
      </c>
      <c r="I43">
        <v>375.89679999999998</v>
      </c>
      <c r="J43">
        <v>-474.47190000000001</v>
      </c>
      <c r="K43">
        <v>1.1212789999999999</v>
      </c>
      <c r="L43">
        <v>367.0668</v>
      </c>
      <c r="M43">
        <v>0.99994870000000002</v>
      </c>
      <c r="N43">
        <v>-1.0073479999999999E-2</v>
      </c>
      <c r="O43">
        <v>-1.050682E-3</v>
      </c>
      <c r="P43">
        <v>0.98899780000000004</v>
      </c>
      <c r="Q43">
        <v>0.14678649999999999</v>
      </c>
      <c r="R43">
        <v>1.8372320000000001E-2</v>
      </c>
      <c r="S43">
        <v>3.024902</v>
      </c>
      <c r="T43">
        <v>5.2311299999999998E-2</v>
      </c>
      <c r="U43">
        <v>8.4442139999999999E-2</v>
      </c>
      <c r="V43">
        <v>-1.9403790000000001E-2</v>
      </c>
      <c r="W43">
        <v>0.15674279999999999</v>
      </c>
      <c r="X43">
        <v>0.98744880000000002</v>
      </c>
      <c r="Y43">
        <v>-2.89529E-2</v>
      </c>
      <c r="Z43">
        <v>-1.33163E-4</v>
      </c>
      <c r="AA43">
        <v>0.99958069999999999</v>
      </c>
      <c r="AB43">
        <v>5</v>
      </c>
      <c r="AC43">
        <v>316.27690000000001</v>
      </c>
      <c r="AD43">
        <v>5.4696569999999998</v>
      </c>
      <c r="AE43">
        <v>8.8299999999999805</v>
      </c>
      <c r="AF43">
        <v>-9.1595811357422505</v>
      </c>
      <c r="AG43">
        <v>5.4696569999999998</v>
      </c>
      <c r="AH43">
        <v>316.17296051808802</v>
      </c>
      <c r="AI43">
        <v>89.009321933190705</v>
      </c>
      <c r="AJ43">
        <v>91.659403752916205</v>
      </c>
      <c r="AK43">
        <v>316.35289794318601</v>
      </c>
      <c r="AL43">
        <v>80.982112803194198</v>
      </c>
      <c r="AM43">
        <v>91.125741617438607</v>
      </c>
      <c r="AN43">
        <v>0.99999997251982098</v>
      </c>
    </row>
    <row r="44" spans="1:40" x14ac:dyDescent="0.25">
      <c r="A44" t="str">
        <f>"20190303161843803"</f>
        <v>20190303161843803</v>
      </c>
      <c r="B44" t="str">
        <f>"1551601123793489"</f>
        <v>1551601123793489</v>
      </c>
      <c r="C44" t="s">
        <v>40</v>
      </c>
      <c r="D44">
        <v>4.6140369999999997</v>
      </c>
      <c r="E44">
        <v>0.49724600000000002</v>
      </c>
      <c r="F44" t="s">
        <v>43</v>
      </c>
      <c r="G44">
        <v>-158.19499999999999</v>
      </c>
      <c r="H44">
        <v>5.4080649999999997</v>
      </c>
      <c r="I44">
        <v>375.80099999999999</v>
      </c>
      <c r="J44">
        <v>-474.4357</v>
      </c>
      <c r="K44">
        <v>1.1218269999999999</v>
      </c>
      <c r="L44">
        <v>367.06670000000003</v>
      </c>
      <c r="M44">
        <v>0.99992599999999998</v>
      </c>
      <c r="N44">
        <v>-1.213027E-2</v>
      </c>
      <c r="O44">
        <v>-1.072553E-3</v>
      </c>
      <c r="P44">
        <v>0.98941009999999996</v>
      </c>
      <c r="Q44">
        <v>0.14404359999999999</v>
      </c>
      <c r="R44">
        <v>1.7871580000000001E-2</v>
      </c>
      <c r="S44">
        <v>3.0257260000000001</v>
      </c>
      <c r="T44">
        <v>4.1011209999999999E-2</v>
      </c>
      <c r="U44">
        <v>8.3557129999999993E-2</v>
      </c>
      <c r="V44">
        <v>-1.892661E-2</v>
      </c>
      <c r="W44">
        <v>0.15603549999999999</v>
      </c>
      <c r="X44">
        <v>0.98757010000000001</v>
      </c>
      <c r="Y44">
        <v>-2.8676610000000002E-2</v>
      </c>
      <c r="Z44" s="1">
        <v>-4.7871319999999998E-5</v>
      </c>
      <c r="AA44">
        <v>0.9995887</v>
      </c>
      <c r="AB44">
        <v>4</v>
      </c>
      <c r="AC44">
        <v>316.2407</v>
      </c>
      <c r="AD44">
        <v>4.286238</v>
      </c>
      <c r="AE44">
        <v>8.7342999999999602</v>
      </c>
      <c r="AF44">
        <v>-9.0718395364489002</v>
      </c>
      <c r="AG44">
        <v>4.286238</v>
      </c>
      <c r="AH44">
        <v>316.17311160617197</v>
      </c>
      <c r="AI44">
        <v>89.223630074754894</v>
      </c>
      <c r="AJ44">
        <v>91.643515942464106</v>
      </c>
      <c r="AK44">
        <v>316.33227247863402</v>
      </c>
      <c r="AL44">
        <v>81.023143196766497</v>
      </c>
      <c r="AM44">
        <v>91.097929288882298</v>
      </c>
      <c r="AN44">
        <v>0.99999999812017604</v>
      </c>
    </row>
    <row r="45" spans="1:40" x14ac:dyDescent="0.25">
      <c r="A45" t="str">
        <f>"20190303161843824"</f>
        <v>20190303161843824</v>
      </c>
      <c r="B45" t="str">
        <f>"1551601123813009"</f>
        <v>1551601123813009</v>
      </c>
      <c r="C45" t="s">
        <v>40</v>
      </c>
      <c r="D45">
        <v>4.5197820000000002</v>
      </c>
      <c r="E45">
        <v>0.4974268</v>
      </c>
      <c r="F45" t="s">
        <v>43</v>
      </c>
      <c r="G45">
        <v>-158.19499999999999</v>
      </c>
      <c r="H45">
        <v>4.184132</v>
      </c>
      <c r="I45">
        <v>375.46620000000001</v>
      </c>
      <c r="J45">
        <v>-474.39760000000001</v>
      </c>
      <c r="K45">
        <v>1.1217220000000001</v>
      </c>
      <c r="L45">
        <v>367.06659999999999</v>
      </c>
      <c r="M45">
        <v>0.99992570000000003</v>
      </c>
      <c r="N45">
        <v>-1.2147720000000001E-2</v>
      </c>
      <c r="O45">
        <v>-1.097109E-3</v>
      </c>
      <c r="P45">
        <v>0.98951630000000002</v>
      </c>
      <c r="Q45">
        <v>0.14338029999999999</v>
      </c>
      <c r="R45">
        <v>1.7320760000000001E-2</v>
      </c>
      <c r="S45">
        <v>3.0264280000000001</v>
      </c>
      <c r="T45">
        <v>2.9307130000000001E-2</v>
      </c>
      <c r="U45">
        <v>8.0383300000000005E-2</v>
      </c>
      <c r="V45">
        <v>-1.8400610000000001E-2</v>
      </c>
      <c r="W45">
        <v>0.15539059999999999</v>
      </c>
      <c r="X45">
        <v>0.9876817</v>
      </c>
      <c r="Y45">
        <v>-2.7647950000000001E-2</v>
      </c>
      <c r="Z45" s="1">
        <v>1.017679E-5</v>
      </c>
      <c r="AA45">
        <v>0.99961770000000005</v>
      </c>
      <c r="AB45">
        <v>4</v>
      </c>
      <c r="AC45">
        <v>316.20260000000002</v>
      </c>
      <c r="AD45">
        <v>3.0624099999999999</v>
      </c>
      <c r="AE45">
        <v>8.3996000000000102</v>
      </c>
      <c r="AF45">
        <v>-8.7457094750755608</v>
      </c>
      <c r="AG45">
        <v>3.0624099999999999</v>
      </c>
      <c r="AH45">
        <v>316.16355896832403</v>
      </c>
      <c r="AI45">
        <v>89.445253603853502</v>
      </c>
      <c r="AJ45">
        <v>91.584510538223</v>
      </c>
      <c r="AK45">
        <v>316.29932312407402</v>
      </c>
      <c r="AL45">
        <v>81.060549359219493</v>
      </c>
      <c r="AM45">
        <v>91.067302700628005</v>
      </c>
      <c r="AN45">
        <v>0.99999998076580998</v>
      </c>
    </row>
    <row r="46" spans="1:40" x14ac:dyDescent="0.25">
      <c r="A46" t="str">
        <f>"20190303161843847"</f>
        <v>20190303161843847</v>
      </c>
      <c r="B46" t="str">
        <f>"1551601123832529"</f>
        <v>1551601123832529</v>
      </c>
      <c r="C46" t="s">
        <v>40</v>
      </c>
      <c r="D46">
        <v>4.5018510000000003</v>
      </c>
      <c r="E46">
        <v>0.49765799999999999</v>
      </c>
      <c r="F46" t="s">
        <v>43</v>
      </c>
      <c r="G46">
        <v>-158.19499999999999</v>
      </c>
      <c r="H46">
        <v>3.6638709999999999</v>
      </c>
      <c r="I46">
        <v>375.16419999999999</v>
      </c>
      <c r="J46">
        <v>-474.35539999999997</v>
      </c>
      <c r="K46">
        <v>1.121227</v>
      </c>
      <c r="L46">
        <v>367.06659999999999</v>
      </c>
      <c r="M46">
        <v>0.99994289999999997</v>
      </c>
      <c r="N46">
        <v>-1.063219E-2</v>
      </c>
      <c r="O46">
        <v>-1.129634E-3</v>
      </c>
      <c r="P46">
        <v>0.98940709999999998</v>
      </c>
      <c r="Q46">
        <v>0.14423069999999999</v>
      </c>
      <c r="R46">
        <v>1.6462279999999999E-2</v>
      </c>
      <c r="S46">
        <v>3.0268860000000002</v>
      </c>
      <c r="T46">
        <v>2.4335860000000001E-2</v>
      </c>
      <c r="U46">
        <v>7.7514650000000004E-2</v>
      </c>
      <c r="V46">
        <v>-1.75720999999999E-2</v>
      </c>
      <c r="W46">
        <v>0.15474289999999999</v>
      </c>
      <c r="X46">
        <v>0.98779850000000002</v>
      </c>
      <c r="Y46">
        <v>-2.6729719999999998E-2</v>
      </c>
      <c r="Z46" s="1">
        <v>1.360261E-5</v>
      </c>
      <c r="AA46">
        <v>0.9996427</v>
      </c>
      <c r="AB46">
        <v>3</v>
      </c>
      <c r="AC46">
        <v>316.16039999999998</v>
      </c>
      <c r="AD46">
        <v>2.5426439999999899</v>
      </c>
      <c r="AE46">
        <v>8.0975999999999999</v>
      </c>
      <c r="AF46">
        <v>-8.4542140937272503</v>
      </c>
      <c r="AG46">
        <v>2.5426439999999899</v>
      </c>
      <c r="AH46">
        <v>316.13061714180998</v>
      </c>
      <c r="AI46">
        <v>89.539343683756499</v>
      </c>
      <c r="AJ46">
        <v>91.531883768712902</v>
      </c>
      <c r="AK46">
        <v>316.25386301026401</v>
      </c>
      <c r="AL46">
        <v>81.098114485980204</v>
      </c>
      <c r="AM46">
        <v>91.019135972184003</v>
      </c>
      <c r="AN46">
        <v>1.00000001020053</v>
      </c>
    </row>
    <row r="47" spans="1:40" x14ac:dyDescent="0.25">
      <c r="A47" t="str">
        <f>"20190303161843859"</f>
        <v>20190303161843859</v>
      </c>
      <c r="B47" t="str">
        <f>"1551601123853026"</f>
        <v>1551601123853026</v>
      </c>
      <c r="C47" t="s">
        <v>40</v>
      </c>
      <c r="D47">
        <v>4.4781839999999997</v>
      </c>
      <c r="E47">
        <v>0.4978996</v>
      </c>
      <c r="F47" t="s">
        <v>43</v>
      </c>
      <c r="G47">
        <v>-158.19499999999999</v>
      </c>
      <c r="H47">
        <v>3.7724690000000001</v>
      </c>
      <c r="I47">
        <v>374.70650000000001</v>
      </c>
      <c r="J47">
        <v>-474.32530000000003</v>
      </c>
      <c r="K47">
        <v>1.120941</v>
      </c>
      <c r="L47">
        <v>367.06650000000002</v>
      </c>
      <c r="M47">
        <v>0.99995350000000005</v>
      </c>
      <c r="N47">
        <v>-9.5803529999999998E-3</v>
      </c>
      <c r="O47">
        <v>-1.1559179999999999E-3</v>
      </c>
      <c r="P47">
        <v>0.98930660000000004</v>
      </c>
      <c r="Q47">
        <v>0.14494960000000001</v>
      </c>
      <c r="R47">
        <v>1.6203929999999998E-2</v>
      </c>
      <c r="S47">
        <v>3.027161</v>
      </c>
      <c r="T47">
        <v>2.538586E-2</v>
      </c>
      <c r="U47">
        <v>7.3150629999999994E-2</v>
      </c>
      <c r="V47">
        <v>-1.7338889999999999E-2</v>
      </c>
      <c r="W47">
        <v>0.15442159999999999</v>
      </c>
      <c r="X47">
        <v>0.98785290000000003</v>
      </c>
      <c r="Y47">
        <v>-2.5313280000000001E-2</v>
      </c>
      <c r="Z47" s="1">
        <v>-5.610709E-6</v>
      </c>
      <c r="AA47">
        <v>0.9996796</v>
      </c>
      <c r="AB47">
        <v>4</v>
      </c>
      <c r="AC47">
        <v>316.13029999999998</v>
      </c>
      <c r="AD47">
        <v>2.6515279999999999</v>
      </c>
      <c r="AE47">
        <v>7.6399999999999801</v>
      </c>
      <c r="AF47">
        <v>-8.0048695394720202</v>
      </c>
      <c r="AG47">
        <v>2.6515279999999999</v>
      </c>
      <c r="AH47">
        <v>316.09903277780899</v>
      </c>
      <c r="AI47">
        <v>89.519552108719907</v>
      </c>
      <c r="AJ47">
        <v>91.450644219205103</v>
      </c>
      <c r="AK47">
        <v>316.211491031153</v>
      </c>
      <c r="AL47">
        <v>81.116747588016807</v>
      </c>
      <c r="AM47">
        <v>91.005557829897299</v>
      </c>
      <c r="AN47">
        <v>1.0000000098457</v>
      </c>
    </row>
    <row r="48" spans="1:40" x14ac:dyDescent="0.25">
      <c r="A48" t="str">
        <f>"20190303161843879"</f>
        <v>20190303161843879</v>
      </c>
      <c r="B48" t="str">
        <f>"1551601123873522"</f>
        <v>1551601123873522</v>
      </c>
      <c r="C48" t="s">
        <v>40</v>
      </c>
      <c r="D48">
        <v>4.4260109999999999</v>
      </c>
      <c r="E48">
        <v>0.4981739</v>
      </c>
      <c r="F48" t="s">
        <v>43</v>
      </c>
      <c r="G48">
        <v>-158.19499999999999</v>
      </c>
      <c r="H48">
        <v>3.8391700000000002</v>
      </c>
      <c r="I48">
        <v>374.39909999999998</v>
      </c>
      <c r="J48">
        <v>-474.28859999999997</v>
      </c>
      <c r="K48">
        <v>1.1209530000000001</v>
      </c>
      <c r="L48">
        <v>367.06639999999999</v>
      </c>
      <c r="M48">
        <v>0.99995480000000003</v>
      </c>
      <c r="N48">
        <v>-9.436626E-3</v>
      </c>
      <c r="O48">
        <v>-1.1845650000000001E-3</v>
      </c>
      <c r="P48">
        <v>0.98939719999999998</v>
      </c>
      <c r="Q48">
        <v>0.14434350000000001</v>
      </c>
      <c r="R48">
        <v>1.6057160000000001E-2</v>
      </c>
      <c r="S48">
        <v>3.027466</v>
      </c>
      <c r="T48">
        <v>2.6032329999999999E-2</v>
      </c>
      <c r="U48">
        <v>7.0220950000000004E-2</v>
      </c>
      <c r="V48">
        <v>-1.721986E-2</v>
      </c>
      <c r="W48">
        <v>0.153674799999999</v>
      </c>
      <c r="X48">
        <v>0.98797140000000006</v>
      </c>
      <c r="Y48">
        <v>-2.437257E-2</v>
      </c>
      <c r="Z48" s="1">
        <v>-1.1115960000000001E-5</v>
      </c>
      <c r="AA48">
        <v>0.99970289999999995</v>
      </c>
      <c r="AB48">
        <v>4</v>
      </c>
      <c r="AC48">
        <v>316.09359999999998</v>
      </c>
      <c r="AD48">
        <v>2.7182170000000001</v>
      </c>
      <c r="AE48">
        <v>7.3326999999999796</v>
      </c>
      <c r="AF48">
        <v>-7.7065753396690404</v>
      </c>
      <c r="AG48">
        <v>2.7182170000000001</v>
      </c>
      <c r="AH48">
        <v>316.06133167092997</v>
      </c>
      <c r="AI48">
        <v>89.507398617692502</v>
      </c>
      <c r="AJ48">
        <v>91.396775629918807</v>
      </c>
      <c r="AK48">
        <v>316.16695808500702</v>
      </c>
      <c r="AL48">
        <v>81.160052710602699</v>
      </c>
      <c r="AM48">
        <v>90.998536406755306</v>
      </c>
      <c r="AN48">
        <v>0.99999997747570901</v>
      </c>
    </row>
    <row r="49" spans="1:40" x14ac:dyDescent="0.25">
      <c r="A49" t="str">
        <f>"20190303161843894"</f>
        <v>20190303161843894</v>
      </c>
      <c r="B49" t="str">
        <f>"1551601123883282"</f>
        <v>1551601123883282</v>
      </c>
      <c r="C49" t="s">
        <v>40</v>
      </c>
      <c r="D49">
        <v>4.3787120000000002</v>
      </c>
      <c r="E49">
        <v>0.4982646</v>
      </c>
      <c r="F49" t="s">
        <v>43</v>
      </c>
      <c r="G49">
        <v>-158.19499999999999</v>
      </c>
      <c r="H49">
        <v>3.530869</v>
      </c>
      <c r="I49">
        <v>374.14600000000002</v>
      </c>
      <c r="J49">
        <v>-474.26260000000002</v>
      </c>
      <c r="K49">
        <v>1.121194</v>
      </c>
      <c r="L49">
        <v>367.06630000000001</v>
      </c>
      <c r="M49">
        <v>0.9999479</v>
      </c>
      <c r="N49">
        <v>-1.014346E-2</v>
      </c>
      <c r="O49">
        <v>-1.2030420000000001E-3</v>
      </c>
      <c r="P49">
        <v>0.98950919999999998</v>
      </c>
      <c r="Q49">
        <v>0.1435797</v>
      </c>
      <c r="R49">
        <v>1.6018350000000001E-2</v>
      </c>
      <c r="S49">
        <v>3.0276489999999998</v>
      </c>
      <c r="T49">
        <v>2.308381E-2</v>
      </c>
      <c r="U49">
        <v>6.7810060000000005E-2</v>
      </c>
      <c r="V49">
        <v>-1.7200719999999999E-2</v>
      </c>
      <c r="W49">
        <v>0.15360979999999999</v>
      </c>
      <c r="X49">
        <v>0.98798189999999997</v>
      </c>
      <c r="Y49">
        <v>-2.3594150000000001E-2</v>
      </c>
      <c r="Z49" s="1">
        <v>8.3759220000000007E-6</v>
      </c>
      <c r="AA49">
        <v>0.99972159999999999</v>
      </c>
      <c r="AB49">
        <v>5</v>
      </c>
      <c r="AC49">
        <v>316.06760000000003</v>
      </c>
      <c r="AD49">
        <v>2.409675</v>
      </c>
      <c r="AE49">
        <v>7.0796999999999404</v>
      </c>
      <c r="AF49">
        <v>-7.4595236489024703</v>
      </c>
      <c r="AG49">
        <v>2.409675</v>
      </c>
      <c r="AH49">
        <v>316.04049324965303</v>
      </c>
      <c r="AI49">
        <v>89.5632740255827</v>
      </c>
      <c r="AJ49">
        <v>91.352104838521498</v>
      </c>
      <c r="AK49">
        <v>316.13769847988499</v>
      </c>
      <c r="AL49">
        <v>81.163822200220693</v>
      </c>
      <c r="AM49">
        <v>90.997416152364806</v>
      </c>
      <c r="AN49">
        <v>1.00000003507608</v>
      </c>
    </row>
    <row r="50" spans="1:40" x14ac:dyDescent="0.25">
      <c r="A50" t="str">
        <f>"20190303161843908"</f>
        <v>20190303161843908</v>
      </c>
      <c r="B50" t="str">
        <f>"1551601123902802"</f>
        <v>1551601123902802</v>
      </c>
      <c r="C50" t="s">
        <v>40</v>
      </c>
      <c r="D50">
        <v>4.3970250000000002</v>
      </c>
      <c r="E50">
        <v>0.49846309999999999</v>
      </c>
      <c r="F50" t="s">
        <v>43</v>
      </c>
      <c r="G50">
        <v>-158.19499999999999</v>
      </c>
      <c r="H50">
        <v>3.2516889999999998</v>
      </c>
      <c r="I50">
        <v>374.03039999999999</v>
      </c>
      <c r="J50">
        <v>-474.238</v>
      </c>
      <c r="K50">
        <v>1.1215360000000001</v>
      </c>
      <c r="L50">
        <v>367.06630000000001</v>
      </c>
      <c r="M50">
        <v>0.99993560000000004</v>
      </c>
      <c r="N50">
        <v>-1.1286610000000001E-2</v>
      </c>
      <c r="O50">
        <v>-1.218926E-3</v>
      </c>
      <c r="P50">
        <v>0.98965239999999999</v>
      </c>
      <c r="Q50">
        <v>0.14258609999999999</v>
      </c>
      <c r="R50">
        <v>1.6044019999999999E-2</v>
      </c>
      <c r="S50">
        <v>3.0277400000000001</v>
      </c>
      <c r="T50">
        <v>2.0409699999999999E-2</v>
      </c>
      <c r="U50">
        <v>6.6711430000000002E-2</v>
      </c>
      <c r="V50">
        <v>-1.724322E-2</v>
      </c>
      <c r="W50">
        <v>0.15374740000000001</v>
      </c>
      <c r="X50">
        <v>0.9879597</v>
      </c>
      <c r="Y50">
        <v>-2.3246909999999999E-2</v>
      </c>
      <c r="Z50" s="1">
        <v>3.089479E-5</v>
      </c>
      <c r="AA50">
        <v>0.9997298</v>
      </c>
      <c r="AB50">
        <v>4</v>
      </c>
      <c r="AC50">
        <v>316.04300000000001</v>
      </c>
      <c r="AD50">
        <v>2.130153</v>
      </c>
      <c r="AE50">
        <v>6.96409999999997</v>
      </c>
      <c r="AF50">
        <v>-7.3490186864381597</v>
      </c>
      <c r="AG50">
        <v>2.130153</v>
      </c>
      <c r="AH50">
        <v>316.01992654991801</v>
      </c>
      <c r="AI50">
        <v>89.613904278202995</v>
      </c>
      <c r="AJ50">
        <v>91.332168766188403</v>
      </c>
      <c r="AK50">
        <v>316.11254262378202</v>
      </c>
      <c r="AL50">
        <v>81.155843032687002</v>
      </c>
      <c r="AM50">
        <v>90.999902558515899</v>
      </c>
      <c r="AN50">
        <v>0.99999998023340897</v>
      </c>
    </row>
    <row r="51" spans="1:40" x14ac:dyDescent="0.25">
      <c r="A51" t="str">
        <f>"20190303161843925"</f>
        <v>20190303161843925</v>
      </c>
      <c r="B51" t="str">
        <f>"1551601123912561"</f>
        <v>1551601123912561</v>
      </c>
      <c r="C51" t="s">
        <v>40</v>
      </c>
      <c r="D51">
        <v>4.3500180000000004</v>
      </c>
      <c r="E51">
        <v>0.49857570000000001</v>
      </c>
      <c r="F51" t="s">
        <v>43</v>
      </c>
      <c r="G51">
        <v>-158.19499999999999</v>
      </c>
      <c r="H51">
        <v>2.8636560000000002</v>
      </c>
      <c r="I51">
        <v>373.8288</v>
      </c>
      <c r="J51">
        <v>-474.21179999999998</v>
      </c>
      <c r="K51">
        <v>1.1219429999999999</v>
      </c>
      <c r="L51">
        <v>367.06630000000001</v>
      </c>
      <c r="M51">
        <v>0.9999171</v>
      </c>
      <c r="N51">
        <v>-1.2830009999999999E-2</v>
      </c>
      <c r="O51">
        <v>-1.233561E-3</v>
      </c>
      <c r="P51">
        <v>0.98987389999999997</v>
      </c>
      <c r="Q51">
        <v>0.14100839999999901</v>
      </c>
      <c r="R51">
        <v>1.6325969999999999E-2</v>
      </c>
      <c r="S51">
        <v>3.0278930000000002</v>
      </c>
      <c r="T51">
        <v>1.669145E-2</v>
      </c>
      <c r="U51">
        <v>6.4788819999999997E-2</v>
      </c>
      <c r="V51">
        <v>-1.7541560000000001E-2</v>
      </c>
      <c r="W51">
        <v>0.15369739999999901</v>
      </c>
      <c r="X51">
        <v>0.98796220000000001</v>
      </c>
      <c r="Y51">
        <v>-2.262604E-2</v>
      </c>
      <c r="Z51" s="1">
        <v>6.0186899999999998E-5</v>
      </c>
      <c r="AA51">
        <v>0.99974399999999997</v>
      </c>
      <c r="AB51">
        <v>4</v>
      </c>
      <c r="AC51">
        <v>316.01679999999999</v>
      </c>
      <c r="AD51">
        <v>1.7417130000000001</v>
      </c>
      <c r="AE51">
        <v>6.7624999999999797</v>
      </c>
      <c r="AF51">
        <v>-7.1521357214441297</v>
      </c>
      <c r="AG51">
        <v>1.7417130000000001</v>
      </c>
      <c r="AH51">
        <v>315.99862245122102</v>
      </c>
      <c r="AI51">
        <v>89.684282663183495</v>
      </c>
      <c r="AJ51">
        <v>91.296579192076393</v>
      </c>
      <c r="AK51">
        <v>316.084349502821</v>
      </c>
      <c r="AL51">
        <v>81.1587420380407</v>
      </c>
      <c r="AM51">
        <v>91.017196567952894</v>
      </c>
      <c r="AN51">
        <v>0.99999995286141496</v>
      </c>
    </row>
    <row r="52" spans="1:40" x14ac:dyDescent="0.25">
      <c r="A52" t="str">
        <f>"20190303161843939"</f>
        <v>20190303161843939</v>
      </c>
      <c r="B52" t="str">
        <f>"1551601123933058"</f>
        <v>1551601123933058</v>
      </c>
      <c r="C52" t="s">
        <v>40</v>
      </c>
      <c r="D52">
        <v>4.337008</v>
      </c>
      <c r="E52">
        <v>0.49876379999999998</v>
      </c>
      <c r="F52" t="s">
        <v>43</v>
      </c>
      <c r="G52">
        <v>-158.19499999999999</v>
      </c>
      <c r="H52">
        <v>2.3044539999999998</v>
      </c>
      <c r="I52">
        <v>373.84699999999998</v>
      </c>
      <c r="J52">
        <v>-474.18520000000001</v>
      </c>
      <c r="K52">
        <v>1.121818</v>
      </c>
      <c r="L52">
        <v>367.06619999999998</v>
      </c>
      <c r="M52">
        <v>0.99991940000000001</v>
      </c>
      <c r="N52">
        <v>-1.2642240000000001E-2</v>
      </c>
      <c r="O52">
        <v>-1.2509750000000001E-3</v>
      </c>
      <c r="P52">
        <v>0.98980749999999995</v>
      </c>
      <c r="Q52">
        <v>0.14143059999999999</v>
      </c>
      <c r="R52">
        <v>1.6689619999999999E-2</v>
      </c>
      <c r="S52">
        <v>3.0280149999999999</v>
      </c>
      <c r="T52">
        <v>1.133144E-2</v>
      </c>
      <c r="U52">
        <v>6.4971920000000002E-2</v>
      </c>
      <c r="V52">
        <v>-1.792154E-2</v>
      </c>
      <c r="W52">
        <v>0.15393299999999999</v>
      </c>
      <c r="X52">
        <v>0.98791870000000004</v>
      </c>
      <c r="Y52">
        <v>-2.2702980000000001E-2</v>
      </c>
      <c r="Z52" s="1">
        <v>8.0560200000000002E-5</v>
      </c>
      <c r="AA52">
        <v>0.99974229999999997</v>
      </c>
      <c r="AB52">
        <v>3</v>
      </c>
      <c r="AC52">
        <v>315.99020000000002</v>
      </c>
      <c r="AD52">
        <v>1.182636</v>
      </c>
      <c r="AE52">
        <v>6.7807999999999904</v>
      </c>
      <c r="AF52">
        <v>-7.17602161731448</v>
      </c>
      <c r="AG52">
        <v>1.182636</v>
      </c>
      <c r="AH52">
        <v>315.97704546589398</v>
      </c>
      <c r="AI52">
        <v>89.785610161380902</v>
      </c>
      <c r="AJ52">
        <v>91.300996679383005</v>
      </c>
      <c r="AK52">
        <v>316.06073336546598</v>
      </c>
      <c r="AL52">
        <v>81.145080584970401</v>
      </c>
      <c r="AM52">
        <v>91.039271742307207</v>
      </c>
      <c r="AN52">
        <v>0.99999995394732899</v>
      </c>
    </row>
    <row r="53" spans="1:40" x14ac:dyDescent="0.25">
      <c r="A53" t="str">
        <f>"20190303161843958"</f>
        <v>20190303161843958</v>
      </c>
      <c r="B53" t="str">
        <f>"1551601123952578"</f>
        <v>1551601123952578</v>
      </c>
      <c r="C53" t="s">
        <v>40</v>
      </c>
      <c r="D53">
        <v>4.3200919999999998</v>
      </c>
      <c r="E53">
        <v>0.49896160000000001</v>
      </c>
      <c r="F53" t="s">
        <v>43</v>
      </c>
      <c r="G53">
        <v>-158.19499999999999</v>
      </c>
      <c r="H53">
        <v>2.3885730000000001</v>
      </c>
      <c r="I53">
        <v>373.81130000000002</v>
      </c>
      <c r="J53">
        <v>-474.1499</v>
      </c>
      <c r="K53">
        <v>1.1214660000000001</v>
      </c>
      <c r="L53">
        <v>367.06610000000001</v>
      </c>
      <c r="M53">
        <v>0.99993200000000004</v>
      </c>
      <c r="N53">
        <v>-1.159958E-2</v>
      </c>
      <c r="O53">
        <v>-1.277579E-3</v>
      </c>
      <c r="P53">
        <v>0.98961290000000002</v>
      </c>
      <c r="Q53">
        <v>0.1427467</v>
      </c>
      <c r="R53">
        <v>1.7019889999999999E-2</v>
      </c>
      <c r="S53">
        <v>3.0280459999999998</v>
      </c>
      <c r="T53">
        <v>1.2139799999999999E-2</v>
      </c>
      <c r="U53">
        <v>6.4636230000000003E-2</v>
      </c>
      <c r="V53">
        <v>-1.8276859999999999E-2</v>
      </c>
      <c r="W53">
        <v>0.15421670000000001</v>
      </c>
      <c r="X53">
        <v>0.98786799999999997</v>
      </c>
      <c r="Y53">
        <v>-2.2618539999999999E-2</v>
      </c>
      <c r="Z53" s="1">
        <v>6.5926930000000003E-5</v>
      </c>
      <c r="AA53">
        <v>0.99974419999999997</v>
      </c>
      <c r="AB53">
        <v>3</v>
      </c>
      <c r="AC53">
        <v>315.95490000000001</v>
      </c>
      <c r="AD53">
        <v>1.267107</v>
      </c>
      <c r="AE53">
        <v>6.7452000000000103</v>
      </c>
      <c r="AF53">
        <v>-7.1487640370694203</v>
      </c>
      <c r="AG53">
        <v>1.267107</v>
      </c>
      <c r="AH53">
        <v>315.94094493579701</v>
      </c>
      <c r="AI53">
        <v>89.770270622027098</v>
      </c>
      <c r="AJ53">
        <v>91.296204671286702</v>
      </c>
      <c r="AK53">
        <v>316.02435202739002</v>
      </c>
      <c r="AL53">
        <v>81.128629829462298</v>
      </c>
      <c r="AM53">
        <v>91.059926510105797</v>
      </c>
      <c r="AN53">
        <v>1.00000000979717</v>
      </c>
    </row>
    <row r="54" spans="1:40" x14ac:dyDescent="0.25">
      <c r="A54" t="str">
        <f>"20190303161843980"</f>
        <v>20190303161843980</v>
      </c>
      <c r="B54" t="str">
        <f>"1551601123973073"</f>
        <v>1551601123973073</v>
      </c>
      <c r="C54" t="s">
        <v>40</v>
      </c>
      <c r="D54">
        <v>4.3406529999999997</v>
      </c>
      <c r="E54">
        <v>0.49917600000000001</v>
      </c>
      <c r="F54" t="s">
        <v>43</v>
      </c>
      <c r="G54">
        <v>-158.19499999999999</v>
      </c>
      <c r="H54">
        <v>2.7634620000000001</v>
      </c>
      <c r="I54">
        <v>373.75310000000002</v>
      </c>
      <c r="J54">
        <v>-474.10419999999999</v>
      </c>
      <c r="K54">
        <v>1.121</v>
      </c>
      <c r="L54">
        <v>367.06610000000001</v>
      </c>
      <c r="M54">
        <v>0.99994959999999999</v>
      </c>
      <c r="N54">
        <v>-9.9634700000000003E-3</v>
      </c>
      <c r="O54">
        <v>-1.3155109999999999E-3</v>
      </c>
      <c r="P54">
        <v>0.98934840000000002</v>
      </c>
      <c r="Q54">
        <v>0.1444839</v>
      </c>
      <c r="R54">
        <v>1.7734059999999999E-2</v>
      </c>
      <c r="S54">
        <v>3.028076</v>
      </c>
      <c r="T54">
        <v>1.573753E-2</v>
      </c>
      <c r="U54">
        <v>6.4086909999999997E-2</v>
      </c>
      <c r="V54">
        <v>-1.9026879999999999E-2</v>
      </c>
      <c r="W54">
        <v>0.1543349</v>
      </c>
      <c r="X54">
        <v>0.98783529999999997</v>
      </c>
      <c r="Y54">
        <v>-2.2474890000000001E-2</v>
      </c>
      <c r="Z54" s="1">
        <v>3.3640329999999999E-5</v>
      </c>
      <c r="AA54">
        <v>0.99974739999999995</v>
      </c>
      <c r="AB54">
        <v>4</v>
      </c>
      <c r="AC54">
        <v>315.9092</v>
      </c>
      <c r="AD54">
        <v>1.6424619999999901</v>
      </c>
      <c r="AE54">
        <v>6.68700000000001</v>
      </c>
      <c r="AF54">
        <v>-7.1024049267138096</v>
      </c>
      <c r="AG54">
        <v>1.6424619999999901</v>
      </c>
      <c r="AH54">
        <v>315.89159424352101</v>
      </c>
      <c r="AI54">
        <v>89.702171511062105</v>
      </c>
      <c r="AJ54">
        <v>91.288002858367193</v>
      </c>
      <c r="AK54">
        <v>315.97569708899698</v>
      </c>
      <c r="AL54">
        <v>81.121774707252698</v>
      </c>
      <c r="AM54">
        <v>91.103448254270006</v>
      </c>
      <c r="AN54">
        <v>0.99999993172331403</v>
      </c>
    </row>
    <row r="55" spans="1:40" x14ac:dyDescent="0.25">
      <c r="A55" t="str">
        <f>"20190303161844005"</f>
        <v>20190303161844005</v>
      </c>
      <c r="B55" t="str">
        <f>"1551601123992670"</f>
        <v>1551601123992670</v>
      </c>
      <c r="C55" t="s">
        <v>40</v>
      </c>
      <c r="D55">
        <v>4.3240270000000001</v>
      </c>
      <c r="E55">
        <v>0.51640730000000001</v>
      </c>
      <c r="F55" t="s">
        <v>43</v>
      </c>
      <c r="G55">
        <v>-158.19499999999999</v>
      </c>
      <c r="H55">
        <v>3.2995049999999999</v>
      </c>
      <c r="I55">
        <v>373.78379999999999</v>
      </c>
      <c r="J55">
        <v>-474.05700000000002</v>
      </c>
      <c r="K55">
        <v>1.121049</v>
      </c>
      <c r="L55">
        <v>367.0659</v>
      </c>
      <c r="M55">
        <v>0.99995040000000002</v>
      </c>
      <c r="N55">
        <v>-9.8690259999999995E-3</v>
      </c>
      <c r="O55">
        <v>-1.3521200000000001E-3</v>
      </c>
      <c r="P55">
        <v>0.98936880000000005</v>
      </c>
      <c r="Q55">
        <v>0.14430770000000001</v>
      </c>
      <c r="R55">
        <v>1.8024390000000001E-2</v>
      </c>
      <c r="S55">
        <v>3.0281069999999999</v>
      </c>
      <c r="T55">
        <v>2.0882609999999999E-2</v>
      </c>
      <c r="U55">
        <v>6.4392089999999999E-2</v>
      </c>
      <c r="V55">
        <v>-1.9353189999999999E-2</v>
      </c>
      <c r="W55">
        <v>0.15406589999999901</v>
      </c>
      <c r="X55">
        <v>0.98787100000000005</v>
      </c>
      <c r="Y55">
        <v>-2.2611900000000001E-2</v>
      </c>
      <c r="Z55" s="1">
        <v>1.0968489999999999E-5</v>
      </c>
      <c r="AA55">
        <v>0.99974430000000003</v>
      </c>
      <c r="AB55">
        <v>5</v>
      </c>
      <c r="AC55">
        <v>315.86200000000002</v>
      </c>
      <c r="AD55">
        <v>2.1784560000000002</v>
      </c>
      <c r="AE55">
        <v>6.7178999999999798</v>
      </c>
      <c r="AF55">
        <v>-7.1446582858329402</v>
      </c>
      <c r="AG55">
        <v>2.1784560000000002</v>
      </c>
      <c r="AH55">
        <v>315.837610835313</v>
      </c>
      <c r="AI55">
        <v>89.604915851863396</v>
      </c>
      <c r="AJ55">
        <v>91.295884173021605</v>
      </c>
      <c r="AK55">
        <v>315.92592206199902</v>
      </c>
      <c r="AL55">
        <v>81.137374277074102</v>
      </c>
      <c r="AM55">
        <v>91.122326984212094</v>
      </c>
      <c r="AN55">
        <v>0.999999980073493</v>
      </c>
    </row>
    <row r="56" spans="1:40" x14ac:dyDescent="0.25">
      <c r="A56" t="str">
        <f>"20190303161844026"</f>
        <v>20190303161844026</v>
      </c>
      <c r="B56" t="str">
        <f>"1551601124013152"</f>
        <v>1551601124013152</v>
      </c>
      <c r="C56" t="s">
        <v>40</v>
      </c>
      <c r="D56">
        <v>4.3246159999999998</v>
      </c>
      <c r="E56">
        <v>0.51709280000000002</v>
      </c>
      <c r="F56" t="s">
        <v>43</v>
      </c>
      <c r="G56">
        <v>-158.19499999999999</v>
      </c>
      <c r="H56">
        <v>0.96656039999999999</v>
      </c>
      <c r="I56">
        <v>359.58010000000002</v>
      </c>
      <c r="J56">
        <v>-474.01960000000003</v>
      </c>
      <c r="K56">
        <v>1.1215250000000001</v>
      </c>
      <c r="L56">
        <v>367.0659</v>
      </c>
      <c r="M56">
        <v>0.99993410000000005</v>
      </c>
      <c r="N56">
        <v>-1.1400840000000001E-2</v>
      </c>
      <c r="O56">
        <v>-1.3763460000000001E-3</v>
      </c>
      <c r="P56">
        <v>0.98960669999999995</v>
      </c>
      <c r="Q56">
        <v>0.14267560000000001</v>
      </c>
      <c r="R56">
        <v>1.7961339999999999E-2</v>
      </c>
      <c r="S56">
        <v>3.0337519999999998</v>
      </c>
      <c r="T56">
        <v>-1.482964E-3</v>
      </c>
      <c r="U56">
        <v>-7.1899409999999997E-2</v>
      </c>
      <c r="V56">
        <v>-1.9315860000000001E-2</v>
      </c>
      <c r="W56">
        <v>0.15394949999999999</v>
      </c>
      <c r="X56">
        <v>0.98788989999999999</v>
      </c>
      <c r="Y56">
        <v>2.2317119999999999E-2</v>
      </c>
      <c r="Z56">
        <v>-1.4771019999999999E-4</v>
      </c>
      <c r="AA56">
        <v>0.9997509</v>
      </c>
      <c r="AB56">
        <v>5</v>
      </c>
      <c r="AC56">
        <v>315.82459999999998</v>
      </c>
      <c r="AD56">
        <v>-0.15496460000000001</v>
      </c>
      <c r="AE56">
        <v>-7.4857999999999798</v>
      </c>
      <c r="AF56">
        <v>7.0510790515010804</v>
      </c>
      <c r="AG56">
        <v>-0.15496460000000001</v>
      </c>
      <c r="AH56">
        <v>315.83452854773799</v>
      </c>
      <c r="AI56">
        <v>90.028105239276101</v>
      </c>
      <c r="AJ56">
        <v>88.7210708941316</v>
      </c>
      <c r="AK56">
        <v>315.91326523713701</v>
      </c>
      <c r="AL56">
        <v>81.144124235439406</v>
      </c>
      <c r="AM56">
        <v>91.1201412760268</v>
      </c>
      <c r="AN56">
        <v>1.0000000027598901</v>
      </c>
    </row>
    <row r="57" spans="1:40" x14ac:dyDescent="0.25">
      <c r="A57" t="str">
        <f>"20190303161844048"</f>
        <v>20190303161844048</v>
      </c>
      <c r="B57" t="str">
        <f>"1551601124043408"</f>
        <v>1551601124043408</v>
      </c>
      <c r="C57" t="s">
        <v>40</v>
      </c>
      <c r="D57">
        <v>4.286308</v>
      </c>
      <c r="E57">
        <v>0.51750499999999999</v>
      </c>
      <c r="F57" t="s">
        <v>41</v>
      </c>
      <c r="G57">
        <v>-277.97649999999999</v>
      </c>
      <c r="H57" s="1">
        <v>-2.6805980000000002E-6</v>
      </c>
      <c r="I57">
        <v>362.07729999999998</v>
      </c>
      <c r="J57">
        <v>-473.98399999999998</v>
      </c>
      <c r="K57">
        <v>1.1219680000000001</v>
      </c>
      <c r="L57">
        <v>367.06580000000002</v>
      </c>
      <c r="M57">
        <v>0.99991319999999995</v>
      </c>
      <c r="N57">
        <v>-1.310715E-2</v>
      </c>
      <c r="O57">
        <v>-1.397721E-3</v>
      </c>
      <c r="P57">
        <v>0.98985559999999995</v>
      </c>
      <c r="Q57">
        <v>0.141009</v>
      </c>
      <c r="R57">
        <v>1.7392879999999999E-2</v>
      </c>
      <c r="S57">
        <v>3.0354000000000001</v>
      </c>
      <c r="T57">
        <v>-1.7364979999999999E-2</v>
      </c>
      <c r="U57">
        <v>-7.7239989999999994E-2</v>
      </c>
      <c r="V57">
        <v>-1.87703E-2</v>
      </c>
      <c r="W57">
        <v>0.15397169999999999</v>
      </c>
      <c r="X57">
        <v>0.98789700000000003</v>
      </c>
      <c r="Y57">
        <v>2.403949E-2</v>
      </c>
      <c r="Z57">
        <v>-2.366557E-4</v>
      </c>
      <c r="AA57">
        <v>0.99971100000000002</v>
      </c>
      <c r="AB57">
        <v>4</v>
      </c>
      <c r="AC57">
        <v>196.00749999999999</v>
      </c>
      <c r="AD57">
        <v>-1.1219706805980001</v>
      </c>
      <c r="AE57">
        <v>-4.9885000000000401</v>
      </c>
      <c r="AF57">
        <v>4.7143534445289204</v>
      </c>
      <c r="AG57">
        <v>-1.1219706805980001</v>
      </c>
      <c r="AH57">
        <v>196.007863483422</v>
      </c>
      <c r="AI57">
        <v>90.327868975455004</v>
      </c>
      <c r="AJ57">
        <v>88.622195646641998</v>
      </c>
      <c r="AK57">
        <v>196.06775995544001</v>
      </c>
      <c r="AL57">
        <v>81.142837302833797</v>
      </c>
      <c r="AM57">
        <v>91.088503741901206</v>
      </c>
      <c r="AN57">
        <v>1.0000000455859801</v>
      </c>
    </row>
    <row r="58" spans="1:40" x14ac:dyDescent="0.25">
      <c r="A58" t="str">
        <f>"20190303161844061"</f>
        <v>20190303161844061</v>
      </c>
      <c r="B58" t="str">
        <f>"1551601124053169"</f>
        <v>1551601124053169</v>
      </c>
      <c r="C58" t="s">
        <v>40</v>
      </c>
      <c r="D58">
        <v>4.320703</v>
      </c>
      <c r="E58">
        <v>0.5178315</v>
      </c>
      <c r="F58" t="s">
        <v>41</v>
      </c>
      <c r="G58">
        <v>-355.20420000000001</v>
      </c>
      <c r="H58" s="1">
        <v>-3.1534460000000002E-6</v>
      </c>
      <c r="I58">
        <v>363.84589999999997</v>
      </c>
      <c r="J58">
        <v>-473.95909999999998</v>
      </c>
      <c r="K58">
        <v>1.121847</v>
      </c>
      <c r="L58">
        <v>367.06569999999999</v>
      </c>
      <c r="M58">
        <v>0.99991580000000002</v>
      </c>
      <c r="N58">
        <v>-1.2915909999999999E-2</v>
      </c>
      <c r="O58">
        <v>-1.413779E-3</v>
      </c>
      <c r="P58">
        <v>0.98982020000000004</v>
      </c>
      <c r="Q58">
        <v>0.14122599999999999</v>
      </c>
      <c r="R58">
        <v>1.7665480000000001E-2</v>
      </c>
      <c r="S58">
        <v>3.0362550000000001</v>
      </c>
      <c r="T58">
        <v>-2.867985E-2</v>
      </c>
      <c r="U58">
        <v>-8.2305909999999996E-2</v>
      </c>
      <c r="V58">
        <v>-1.9058510000000001E-2</v>
      </c>
      <c r="W58">
        <v>0.15399949999999901</v>
      </c>
      <c r="X58">
        <v>0.98788710000000002</v>
      </c>
      <c r="Y58">
        <v>2.568165E-2</v>
      </c>
      <c r="Z58">
        <v>-2.9207030000000001E-4</v>
      </c>
      <c r="AA58">
        <v>0.99967010000000001</v>
      </c>
      <c r="AB58">
        <v>3</v>
      </c>
      <c r="AC58">
        <v>118.754899999999</v>
      </c>
      <c r="AD58">
        <v>-1.1218501534459999</v>
      </c>
      <c r="AE58">
        <v>-3.2198000000000202</v>
      </c>
      <c r="AF58">
        <v>3.0516174971813301</v>
      </c>
      <c r="AG58">
        <v>-1.1218501534459999</v>
      </c>
      <c r="AH58">
        <v>118.748744236828</v>
      </c>
      <c r="AI58">
        <v>90.541093344369699</v>
      </c>
      <c r="AJ58">
        <v>88.527931129625202</v>
      </c>
      <c r="AK58">
        <v>118.79324549375499</v>
      </c>
      <c r="AL58">
        <v>81.141224824733101</v>
      </c>
      <c r="AM58">
        <v>91.105224214176602</v>
      </c>
      <c r="AN58">
        <v>0.99999999757503999</v>
      </c>
    </row>
    <row r="59" spans="1:40" x14ac:dyDescent="0.25">
      <c r="A59" t="str">
        <f>"20190303161844080"</f>
        <v>20190303161844080</v>
      </c>
      <c r="B59" t="str">
        <f>"1551601124072688"</f>
        <v>1551601124072688</v>
      </c>
      <c r="C59" t="s">
        <v>40</v>
      </c>
      <c r="D59">
        <v>4.2802720000000001</v>
      </c>
      <c r="E59">
        <v>0.51821790000000001</v>
      </c>
      <c r="F59" t="s">
        <v>41</v>
      </c>
      <c r="G59">
        <v>-379.4914</v>
      </c>
      <c r="H59" s="1">
        <v>-1.5345679999999899E-6</v>
      </c>
      <c r="I59">
        <v>364.447</v>
      </c>
      <c r="J59">
        <v>-473.923</v>
      </c>
      <c r="K59">
        <v>1.1214599999999999</v>
      </c>
      <c r="L59">
        <v>367.06560000000002</v>
      </c>
      <c r="M59">
        <v>0.99993019999999999</v>
      </c>
      <c r="N59">
        <v>-1.173782E-2</v>
      </c>
      <c r="O59">
        <v>-1.441112E-3</v>
      </c>
      <c r="P59">
        <v>0.98970499999999995</v>
      </c>
      <c r="Q59">
        <v>0.14209649999999999</v>
      </c>
      <c r="R59">
        <v>1.712033E-2</v>
      </c>
      <c r="S59">
        <v>3.0374759999999998</v>
      </c>
      <c r="T59">
        <v>-3.607142E-2</v>
      </c>
      <c r="U59">
        <v>-8.4197999999999995E-2</v>
      </c>
      <c r="V59">
        <v>-1.8539779999999999E-2</v>
      </c>
      <c r="W59">
        <v>0.15370400000000001</v>
      </c>
      <c r="X59">
        <v>0.98794300000000002</v>
      </c>
      <c r="Y59">
        <v>2.6264719999999998E-2</v>
      </c>
      <c r="Z59">
        <v>-3.0991139999999998E-4</v>
      </c>
      <c r="AA59">
        <v>0.99965490000000001</v>
      </c>
      <c r="AB59">
        <v>3</v>
      </c>
      <c r="AC59">
        <v>94.431600000000003</v>
      </c>
      <c r="AD59">
        <v>-1.1214615345679999</v>
      </c>
      <c r="AE59">
        <v>-2.61860000000007</v>
      </c>
      <c r="AF59">
        <v>2.48215160332719</v>
      </c>
      <c r="AG59">
        <v>-1.1214615345679999</v>
      </c>
      <c r="AH59">
        <v>94.421969094168205</v>
      </c>
      <c r="AI59">
        <v>90.680242163457095</v>
      </c>
      <c r="AJ59">
        <v>88.494163315987507</v>
      </c>
      <c r="AK59">
        <v>94.461246022776294</v>
      </c>
      <c r="AL59">
        <v>81.158359822310501</v>
      </c>
      <c r="AM59">
        <v>91.0750888237326</v>
      </c>
      <c r="AN59">
        <v>1.0000000071537201</v>
      </c>
    </row>
    <row r="60" spans="1:40" x14ac:dyDescent="0.25">
      <c r="A60" t="str">
        <f>"20190303161844094"</f>
        <v>20190303161844094</v>
      </c>
      <c r="B60" t="str">
        <f>"1551601124083424"</f>
        <v>1551601124083424</v>
      </c>
      <c r="C60" t="s">
        <v>40</v>
      </c>
      <c r="D60">
        <v>4.2875350000000001</v>
      </c>
      <c r="E60">
        <v>0.51822449999999998</v>
      </c>
      <c r="F60" t="s">
        <v>41</v>
      </c>
      <c r="G60">
        <v>-392.25810000000001</v>
      </c>
      <c r="H60" s="1">
        <v>-4.1798059999999999E-6</v>
      </c>
      <c r="I60">
        <v>364.67649999999998</v>
      </c>
      <c r="J60">
        <v>-473.89519999999999</v>
      </c>
      <c r="K60">
        <v>1.1211709999999999</v>
      </c>
      <c r="L60">
        <v>367.06560000000002</v>
      </c>
      <c r="M60">
        <v>0.99994150000000004</v>
      </c>
      <c r="N60">
        <v>-1.072771E-2</v>
      </c>
      <c r="O60">
        <v>-1.4640639999999999E-3</v>
      </c>
      <c r="P60">
        <v>0.98955519999999997</v>
      </c>
      <c r="Q60">
        <v>0.14316280000000001</v>
      </c>
      <c r="R60">
        <v>1.6895230000000001E-2</v>
      </c>
      <c r="S60">
        <v>3.0387569999999999</v>
      </c>
      <c r="T60">
        <v>-4.172969E-2</v>
      </c>
      <c r="U60">
        <v>-8.8897710000000005E-2</v>
      </c>
      <c r="V60">
        <v>-1.8335609999999999E-2</v>
      </c>
      <c r="W60">
        <v>0.15377099999999999</v>
      </c>
      <c r="X60">
        <v>0.98793640000000005</v>
      </c>
      <c r="Y60">
        <v>2.7773909999999999E-2</v>
      </c>
      <c r="Z60">
        <v>-3.3527969999999998E-4</v>
      </c>
      <c r="AA60">
        <v>0.99961420000000001</v>
      </c>
      <c r="AB60">
        <v>4</v>
      </c>
      <c r="AC60">
        <v>81.637099999999904</v>
      </c>
      <c r="AD60">
        <v>-1.1211751798059999</v>
      </c>
      <c r="AE60">
        <v>-2.38910000000004</v>
      </c>
      <c r="AF60">
        <v>2.26914101225909</v>
      </c>
      <c r="AG60">
        <v>-1.1211751798059999</v>
      </c>
      <c r="AH60">
        <v>81.6251280991995</v>
      </c>
      <c r="AI60">
        <v>90.786642112710098</v>
      </c>
      <c r="AJ60">
        <v>88.407613808371295</v>
      </c>
      <c r="AK60">
        <v>81.664359251316299</v>
      </c>
      <c r="AL60">
        <v>81.154474958099001</v>
      </c>
      <c r="AM60">
        <v>91.063259203625904</v>
      </c>
      <c r="AN60">
        <v>1.0000000227400101</v>
      </c>
    </row>
    <row r="61" spans="1:40" x14ac:dyDescent="0.25">
      <c r="A61" t="str">
        <f>"20190303161844107"</f>
        <v>20190303161844107</v>
      </c>
      <c r="B61" t="str">
        <f>"1551601124102943"</f>
        <v>1551601124102943</v>
      </c>
      <c r="C61" t="s">
        <v>40</v>
      </c>
      <c r="D61">
        <v>4.3298860000000001</v>
      </c>
      <c r="E61">
        <v>0.518289</v>
      </c>
      <c r="F61" t="s">
        <v>41</v>
      </c>
      <c r="G61">
        <v>-389.31439999999998</v>
      </c>
      <c r="H61" s="1">
        <v>-1.5617720000000001E-6</v>
      </c>
      <c r="I61">
        <v>364.57100000000003</v>
      </c>
      <c r="J61">
        <v>-473.86500000000001</v>
      </c>
      <c r="K61">
        <v>1.1209579999999999</v>
      </c>
      <c r="L61">
        <v>367.06549999999999</v>
      </c>
      <c r="M61">
        <v>0.99995020000000001</v>
      </c>
      <c r="N61">
        <v>-9.8751419999999999E-3</v>
      </c>
      <c r="O61">
        <v>-1.489127E-3</v>
      </c>
      <c r="P61">
        <v>0.98944290000000001</v>
      </c>
      <c r="Q61">
        <v>0.1439501</v>
      </c>
      <c r="R61">
        <v>1.6773050000000001E-2</v>
      </c>
      <c r="S61">
        <v>3.0390009999999998</v>
      </c>
      <c r="T61">
        <v>-4.0283920000000001E-2</v>
      </c>
      <c r="U61">
        <v>-8.9630130000000002E-2</v>
      </c>
      <c r="V61">
        <v>-1.8237320000000001E-2</v>
      </c>
      <c r="W61">
        <v>0.15371489999999999</v>
      </c>
      <c r="X61">
        <v>0.98794689999999996</v>
      </c>
      <c r="Y61">
        <v>2.7987600000000001E-2</v>
      </c>
      <c r="Z61">
        <v>-3.1865140000000001E-4</v>
      </c>
      <c r="AA61">
        <v>0.99960819999999995</v>
      </c>
      <c r="AB61">
        <v>5</v>
      </c>
      <c r="AC61">
        <v>84.550600000000003</v>
      </c>
      <c r="AD61">
        <v>-1.1209595617719901</v>
      </c>
      <c r="AE61">
        <v>-2.4945000000000102</v>
      </c>
      <c r="AF61">
        <v>2.3681686291132902</v>
      </c>
      <c r="AG61">
        <v>-1.1209595617719901</v>
      </c>
      <c r="AH61">
        <v>84.539374430728003</v>
      </c>
      <c r="AI61">
        <v>90.759377610305194</v>
      </c>
      <c r="AJ61">
        <v>88.395415225196999</v>
      </c>
      <c r="AK61">
        <v>84.579965725542095</v>
      </c>
      <c r="AL61">
        <v>81.157727489726796</v>
      </c>
      <c r="AM61">
        <v>91.057549549519706</v>
      </c>
      <c r="AN61">
        <v>0.99999997377119998</v>
      </c>
    </row>
    <row r="62" spans="1:40" x14ac:dyDescent="0.25">
      <c r="A62" t="str">
        <f>"20190303161844124"</f>
        <v>20190303161844124</v>
      </c>
      <c r="B62" t="str">
        <f>"1551601124112704"</f>
        <v>1551601124112704</v>
      </c>
      <c r="C62" t="s">
        <v>40</v>
      </c>
      <c r="D62">
        <v>4.2811190000000003</v>
      </c>
      <c r="E62">
        <v>0.51842330000000003</v>
      </c>
      <c r="F62" t="s">
        <v>41</v>
      </c>
      <c r="G62">
        <v>-393.9255</v>
      </c>
      <c r="H62" s="1">
        <v>-3.4620949999999999E-6</v>
      </c>
      <c r="I62">
        <v>364.68990000000002</v>
      </c>
      <c r="J62">
        <v>-473.83139999999997</v>
      </c>
      <c r="K62">
        <v>1.121086</v>
      </c>
      <c r="L62">
        <v>367.06549999999999</v>
      </c>
      <c r="M62">
        <v>0.99994810000000001</v>
      </c>
      <c r="N62">
        <v>-1.009259E-2</v>
      </c>
      <c r="O62">
        <v>-1.5152430000000001E-3</v>
      </c>
      <c r="P62">
        <v>0.98944010000000004</v>
      </c>
      <c r="Q62">
        <v>0.1440043</v>
      </c>
      <c r="R62">
        <v>1.6472170000000001E-2</v>
      </c>
      <c r="S62">
        <v>3.0397639999999999</v>
      </c>
      <c r="T62">
        <v>-4.2625429999999999E-2</v>
      </c>
      <c r="U62">
        <v>-9.0332029999999994E-2</v>
      </c>
      <c r="V62">
        <v>-1.796238E-2</v>
      </c>
      <c r="W62">
        <v>0.15398339999999999</v>
      </c>
      <c r="X62">
        <v>0.98791019999999896</v>
      </c>
      <c r="Y62">
        <v>2.8184239999999999E-2</v>
      </c>
      <c r="Z62">
        <v>-3.3387589999999898E-4</v>
      </c>
      <c r="AA62">
        <v>0.99960269999999996</v>
      </c>
      <c r="AB62">
        <v>5</v>
      </c>
      <c r="AC62">
        <v>79.905899999999903</v>
      </c>
      <c r="AD62">
        <v>-1.121089462095</v>
      </c>
      <c r="AE62">
        <v>-2.37559999999996</v>
      </c>
      <c r="AF62">
        <v>2.2540709625503199</v>
      </c>
      <c r="AG62">
        <v>-1.121089462095</v>
      </c>
      <c r="AH62">
        <v>79.893695323587394</v>
      </c>
      <c r="AI62">
        <v>90.803617035699702</v>
      </c>
      <c r="AJ62">
        <v>88.383921265978699</v>
      </c>
      <c r="AK62">
        <v>79.933348672155901</v>
      </c>
      <c r="AL62">
        <v>81.142158881013202</v>
      </c>
      <c r="AM62">
        <v>91.041648496739697</v>
      </c>
      <c r="AN62">
        <v>1.0000000489174301</v>
      </c>
    </row>
    <row r="63" spans="1:40" x14ac:dyDescent="0.25">
      <c r="A63" t="str">
        <f>"20190303161844138"</f>
        <v>20190303161844138</v>
      </c>
      <c r="B63" t="str">
        <f>"1551601124133201"</f>
        <v>1551601124133201</v>
      </c>
      <c r="C63" t="s">
        <v>40</v>
      </c>
      <c r="D63">
        <v>4.2342659999999999</v>
      </c>
      <c r="E63">
        <v>0.5185708</v>
      </c>
      <c r="F63" t="s">
        <v>41</v>
      </c>
      <c r="G63">
        <v>-396.48430000000002</v>
      </c>
      <c r="H63" s="1">
        <v>-2.4846930000000001E-6</v>
      </c>
      <c r="I63">
        <v>364.72199999999998</v>
      </c>
      <c r="J63">
        <v>-473.80840000000001</v>
      </c>
      <c r="K63">
        <v>1.1213770000000001</v>
      </c>
      <c r="L63">
        <v>367.06540000000001</v>
      </c>
      <c r="M63">
        <v>0.99993810000000005</v>
      </c>
      <c r="N63">
        <v>-1.1026569999999999E-2</v>
      </c>
      <c r="O63">
        <v>-1.5299409999999999E-3</v>
      </c>
      <c r="P63">
        <v>0.98954699999999995</v>
      </c>
      <c r="Q63">
        <v>0.14324990000000001</v>
      </c>
      <c r="R63">
        <v>1.6626599999999998E-2</v>
      </c>
      <c r="S63">
        <v>3.040009</v>
      </c>
      <c r="T63">
        <v>-4.4062610000000002E-2</v>
      </c>
      <c r="U63">
        <v>-9.2102050000000005E-2</v>
      </c>
      <c r="V63">
        <v>-1.813242E-2</v>
      </c>
      <c r="W63">
        <v>0.15415299999999901</v>
      </c>
      <c r="X63">
        <v>0.9878806</v>
      </c>
      <c r="Y63">
        <v>2.8748079999999999E-2</v>
      </c>
      <c r="Z63">
        <v>-3.6153180000000001E-4</v>
      </c>
      <c r="AA63">
        <v>0.99958659999999999</v>
      </c>
      <c r="AB63">
        <v>5</v>
      </c>
      <c r="AC63">
        <v>77.324099999999902</v>
      </c>
      <c r="AD63">
        <v>-1.1213794846930001</v>
      </c>
      <c r="AE63">
        <v>-2.3434000000000301</v>
      </c>
      <c r="AF63">
        <v>2.2246213138248501</v>
      </c>
      <c r="AG63">
        <v>-1.1213794846930001</v>
      </c>
      <c r="AH63">
        <v>77.311349962023002</v>
      </c>
      <c r="AI63">
        <v>90.830657196518004</v>
      </c>
      <c r="AJ63">
        <v>88.351778220741295</v>
      </c>
      <c r="AK63">
        <v>77.351478750499695</v>
      </c>
      <c r="AL63">
        <v>81.132323708020493</v>
      </c>
      <c r="AM63">
        <v>91.051538507570498</v>
      </c>
      <c r="AN63">
        <v>1.0000000059601999</v>
      </c>
    </row>
    <row r="64" spans="1:40" x14ac:dyDescent="0.25">
      <c r="A64" t="str">
        <f>"20190303161844151"</f>
        <v>20190303161844151</v>
      </c>
      <c r="B64" t="str">
        <f>"1551601124142960"</f>
        <v>1551601124142960</v>
      </c>
      <c r="C64" t="s">
        <v>40</v>
      </c>
      <c r="D64">
        <v>4.2720229999999999</v>
      </c>
      <c r="E64">
        <v>0.51873559999999996</v>
      </c>
      <c r="F64" t="s">
        <v>44</v>
      </c>
      <c r="G64">
        <v>-397.88510000000002</v>
      </c>
      <c r="H64">
        <v>-0.05</v>
      </c>
      <c r="I64">
        <v>364.73689999999999</v>
      </c>
      <c r="J64">
        <v>-473.78609999999998</v>
      </c>
      <c r="K64">
        <v>1.121685</v>
      </c>
      <c r="L64">
        <v>367.06529999999998</v>
      </c>
      <c r="M64">
        <v>0.99992579999999998</v>
      </c>
      <c r="N64">
        <v>-1.2094580000000001E-2</v>
      </c>
      <c r="O64">
        <v>-1.5436029999999999E-3</v>
      </c>
      <c r="P64">
        <v>0.98969929999999995</v>
      </c>
      <c r="Q64">
        <v>0.142178</v>
      </c>
      <c r="R64">
        <v>1.6769249999999999E-2</v>
      </c>
      <c r="S64">
        <v>3.0399780000000001</v>
      </c>
      <c r="T64">
        <v>-4.6902060000000002E-2</v>
      </c>
      <c r="U64">
        <v>-9.32312E-2</v>
      </c>
      <c r="V64">
        <v>-1.8289799999999998E-2</v>
      </c>
      <c r="W64">
        <v>0.15413850000000001</v>
      </c>
      <c r="X64">
        <v>0.98787999999999998</v>
      </c>
      <c r="Y64">
        <v>2.9104769999999999E-2</v>
      </c>
      <c r="Z64">
        <v>-3.9538280000000001E-4</v>
      </c>
      <c r="AA64">
        <v>0.99957629999999997</v>
      </c>
      <c r="AB64">
        <v>4</v>
      </c>
      <c r="AC64">
        <v>75.900999999999897</v>
      </c>
      <c r="AD64">
        <v>-1.1716850000000001</v>
      </c>
      <c r="AE64">
        <v>-2.3283999999999798</v>
      </c>
      <c r="AF64">
        <v>2.2107013418505801</v>
      </c>
      <c r="AG64">
        <v>-1.1716850000000001</v>
      </c>
      <c r="AH64">
        <v>75.886437100962198</v>
      </c>
      <c r="AI64">
        <v>90.884200296465195</v>
      </c>
      <c r="AJ64">
        <v>88.331348151727497</v>
      </c>
      <c r="AK64">
        <v>75.927672044126197</v>
      </c>
      <c r="AL64">
        <v>81.133164888066105</v>
      </c>
      <c r="AM64">
        <v>91.060663884383004</v>
      </c>
      <c r="AN64">
        <v>1.00000004418314</v>
      </c>
    </row>
    <row r="65" spans="1:40" x14ac:dyDescent="0.25">
      <c r="A65" t="str">
        <f>"20190303161844169"</f>
        <v>20190303161844169</v>
      </c>
      <c r="B65" t="str">
        <f>"1551601124163455"</f>
        <v>1551601124163455</v>
      </c>
      <c r="C65" t="s">
        <v>40</v>
      </c>
      <c r="D65">
        <v>4.3509180000000001</v>
      </c>
      <c r="E65">
        <v>0.51889759999999996</v>
      </c>
      <c r="F65" t="s">
        <v>44</v>
      </c>
      <c r="G65">
        <v>-401.98439999999999</v>
      </c>
      <c r="H65">
        <v>-0.05</v>
      </c>
      <c r="I65">
        <v>364.84589999999997</v>
      </c>
      <c r="J65">
        <v>-473.75639999999999</v>
      </c>
      <c r="K65">
        <v>1.1219790000000001</v>
      </c>
      <c r="L65">
        <v>367.06529999999998</v>
      </c>
      <c r="M65">
        <v>0.99991099999999999</v>
      </c>
      <c r="N65">
        <v>-1.3261490000000001E-2</v>
      </c>
      <c r="O65">
        <v>-1.561691E-3</v>
      </c>
      <c r="P65">
        <v>0.98982950000000003</v>
      </c>
      <c r="Q65">
        <v>0.14124779999999901</v>
      </c>
      <c r="R65">
        <v>1.693855E-2</v>
      </c>
      <c r="S65">
        <v>3.0399479999999999</v>
      </c>
      <c r="T65">
        <v>-4.9606919999999999E-2</v>
      </c>
      <c r="U65">
        <v>-9.3963619999999998E-2</v>
      </c>
      <c r="V65">
        <v>-1.847851E-2</v>
      </c>
      <c r="W65">
        <v>0.15436269999999999</v>
      </c>
      <c r="X65">
        <v>0.98784139999999998</v>
      </c>
      <c r="Y65">
        <v>2.9326680000000001E-2</v>
      </c>
      <c r="Z65">
        <v>-4.289745E-4</v>
      </c>
      <c r="AA65">
        <v>0.99956979999999995</v>
      </c>
      <c r="AB65">
        <v>4</v>
      </c>
      <c r="AC65">
        <v>71.771999999999906</v>
      </c>
      <c r="AD65">
        <v>-1.1719790000000001</v>
      </c>
      <c r="AE65">
        <v>-2.2193999999999998</v>
      </c>
      <c r="AF65">
        <v>2.1067405566806801</v>
      </c>
      <c r="AG65">
        <v>-1.1719790000000001</v>
      </c>
      <c r="AH65">
        <v>71.756263784587404</v>
      </c>
      <c r="AI65">
        <v>90.935312991323002</v>
      </c>
      <c r="AJ65">
        <v>88.318297649174198</v>
      </c>
      <c r="AK65">
        <v>71.796749807166705</v>
      </c>
      <c r="AL65">
        <v>81.120162863285699</v>
      </c>
      <c r="AM65">
        <v>91.071646897721294</v>
      </c>
      <c r="AN65">
        <v>0.99999996501853405</v>
      </c>
    </row>
    <row r="66" spans="1:40" x14ac:dyDescent="0.25">
      <c r="A66" t="str">
        <f>"20190303161844183"</f>
        <v>20190303161844183</v>
      </c>
      <c r="B66" t="str">
        <f>"1551601124173216"</f>
        <v>1551601124173216</v>
      </c>
      <c r="C66" t="s">
        <v>40</v>
      </c>
      <c r="D66">
        <v>4.3446829999999999</v>
      </c>
      <c r="E66">
        <v>0.51896769999999903</v>
      </c>
      <c r="F66" t="s">
        <v>44</v>
      </c>
      <c r="G66">
        <v>-407.95339999999999</v>
      </c>
      <c r="H66">
        <v>-0.05</v>
      </c>
      <c r="I66">
        <v>365.01299999999998</v>
      </c>
      <c r="J66">
        <v>-473.73149999999998</v>
      </c>
      <c r="K66">
        <v>1.121864</v>
      </c>
      <c r="L66">
        <v>367.0652</v>
      </c>
      <c r="M66">
        <v>0.99991359999999996</v>
      </c>
      <c r="N66">
        <v>-1.306028E-2</v>
      </c>
      <c r="O66">
        <v>-1.5779050000000001E-3</v>
      </c>
      <c r="P66">
        <v>0.9897454</v>
      </c>
      <c r="Q66">
        <v>0.1418286</v>
      </c>
      <c r="R66">
        <v>1.6990149999999999E-2</v>
      </c>
      <c r="S66">
        <v>3.040222</v>
      </c>
      <c r="T66">
        <v>-5.4147599999999997E-2</v>
      </c>
      <c r="U66">
        <v>-9.4818120000000006E-2</v>
      </c>
      <c r="V66">
        <v>-1.854569E-2</v>
      </c>
      <c r="W66">
        <v>0.1547434</v>
      </c>
      <c r="X66">
        <v>0.98778060000000001</v>
      </c>
      <c r="Y66">
        <v>2.9587309999999999E-2</v>
      </c>
      <c r="Z66">
        <v>-4.4919680000000002E-4</v>
      </c>
      <c r="AA66">
        <v>0.99956210000000001</v>
      </c>
      <c r="AB66">
        <v>3</v>
      </c>
      <c r="AC66">
        <v>65.778099999999995</v>
      </c>
      <c r="AD66">
        <v>-1.171864</v>
      </c>
      <c r="AE66">
        <v>-2.0521999999999698</v>
      </c>
      <c r="AF66">
        <v>1.947779410319</v>
      </c>
      <c r="AG66">
        <v>-1.171864</v>
      </c>
      <c r="AH66">
        <v>65.760405223080298</v>
      </c>
      <c r="AI66">
        <v>91.020467126403702</v>
      </c>
      <c r="AJ66">
        <v>88.303433185762202</v>
      </c>
      <c r="AK66">
        <v>65.799680888052094</v>
      </c>
      <c r="AL66">
        <v>81.098085290465406</v>
      </c>
      <c r="AM66">
        <v>91.075608222685403</v>
      </c>
      <c r="AN66">
        <v>0.99999998809874802</v>
      </c>
    </row>
    <row r="67" spans="1:40" x14ac:dyDescent="0.25">
      <c r="A67" t="str">
        <f>"20190303161844198"</f>
        <v>20190303161844198</v>
      </c>
      <c r="B67" t="str">
        <f>"1551601124192736"</f>
        <v>1551601124192736</v>
      </c>
      <c r="C67" t="s">
        <v>40</v>
      </c>
      <c r="D67">
        <v>4.3510650000000002</v>
      </c>
      <c r="E67">
        <v>0.51908449999999995</v>
      </c>
      <c r="F67" t="s">
        <v>44</v>
      </c>
      <c r="G67">
        <v>-406.53629999999998</v>
      </c>
      <c r="H67">
        <v>-0.05</v>
      </c>
      <c r="I67">
        <v>364.96690000000001</v>
      </c>
      <c r="J67">
        <v>-473.7004</v>
      </c>
      <c r="K67">
        <v>1.1215219999999999</v>
      </c>
      <c r="L67">
        <v>367.0652</v>
      </c>
      <c r="M67">
        <v>0.99992669999999995</v>
      </c>
      <c r="N67">
        <v>-1.1998989999999999E-2</v>
      </c>
      <c r="O67">
        <v>-1.6009660000000001E-3</v>
      </c>
      <c r="P67">
        <v>0.98959750000000002</v>
      </c>
      <c r="Q67">
        <v>0.14285249999999999</v>
      </c>
      <c r="R67">
        <v>1.70310999999999E-2</v>
      </c>
      <c r="S67">
        <v>3.040314</v>
      </c>
      <c r="T67">
        <v>-5.3022149999999997E-2</v>
      </c>
      <c r="U67">
        <v>-9.4940189999999994E-2</v>
      </c>
      <c r="V67">
        <v>-1.860794E-2</v>
      </c>
      <c r="W67">
        <v>0.15471699999999999</v>
      </c>
      <c r="X67">
        <v>0.98778359999999998</v>
      </c>
      <c r="Y67">
        <v>2.9603979999999998E-2</v>
      </c>
      <c r="Z67">
        <v>-4.2703549999999999E-4</v>
      </c>
      <c r="AA67">
        <v>0.99956160000000005</v>
      </c>
      <c r="AB67">
        <v>3</v>
      </c>
      <c r="AC67">
        <v>67.164100000000005</v>
      </c>
      <c r="AD67">
        <v>-1.171522</v>
      </c>
      <c r="AE67">
        <v>-2.0982999999999898</v>
      </c>
      <c r="AF67">
        <v>1.9901572162883601</v>
      </c>
      <c r="AG67">
        <v>-1.171522</v>
      </c>
      <c r="AH67">
        <v>67.146964111101497</v>
      </c>
      <c r="AI67">
        <v>90.999107008464605</v>
      </c>
      <c r="AJ67">
        <v>88.302317333450006</v>
      </c>
      <c r="AK67">
        <v>67.186665186475594</v>
      </c>
      <c r="AL67">
        <v>81.099616650758307</v>
      </c>
      <c r="AM67">
        <v>91.079214453009001</v>
      </c>
      <c r="AN67">
        <v>1.0000000229745001</v>
      </c>
    </row>
    <row r="68" spans="1:40" x14ac:dyDescent="0.25">
      <c r="A68" t="str">
        <f>"20190303161844215"</f>
        <v>20190303161844215</v>
      </c>
      <c r="B68" t="str">
        <f>"1551601124203472"</f>
        <v>1551601124203472</v>
      </c>
      <c r="C68" t="s">
        <v>40</v>
      </c>
      <c r="D68">
        <v>4.3693339999999896</v>
      </c>
      <c r="E68">
        <v>0.51915250000000002</v>
      </c>
      <c r="F68" t="s">
        <v>44</v>
      </c>
      <c r="G68">
        <v>-402.44189999999998</v>
      </c>
      <c r="H68">
        <v>-0.05</v>
      </c>
      <c r="I68">
        <v>364.82209999999998</v>
      </c>
      <c r="J68">
        <v>-473.66550000000001</v>
      </c>
      <c r="K68">
        <v>1.1211610000000001</v>
      </c>
      <c r="L68">
        <v>367.06509999999997</v>
      </c>
      <c r="M68">
        <v>0.99994119999999997</v>
      </c>
      <c r="N68">
        <v>-1.0733349999999999E-2</v>
      </c>
      <c r="O68">
        <v>-1.629913E-3</v>
      </c>
      <c r="P68">
        <v>0.98940459999999997</v>
      </c>
      <c r="Q68">
        <v>0.1441615</v>
      </c>
      <c r="R68">
        <v>1.7215810000000002E-2</v>
      </c>
      <c r="S68">
        <v>3.040375</v>
      </c>
      <c r="T68">
        <v>-4.9985170000000002E-2</v>
      </c>
      <c r="U68">
        <v>-9.5703129999999997E-2</v>
      </c>
      <c r="V68">
        <v>-1.8820199999999999E-2</v>
      </c>
      <c r="W68">
        <v>0.15477349999999901</v>
      </c>
      <c r="X68">
        <v>0.9877707</v>
      </c>
      <c r="Y68">
        <v>2.982595E-2</v>
      </c>
      <c r="Z68">
        <v>-3.9592970000000002E-4</v>
      </c>
      <c r="AA68">
        <v>0.99955510000000003</v>
      </c>
      <c r="AB68">
        <v>4</v>
      </c>
      <c r="AC68">
        <v>71.223600000000005</v>
      </c>
      <c r="AD68">
        <v>-1.1711609999999999</v>
      </c>
      <c r="AE68">
        <v>-2.2429999999999901</v>
      </c>
      <c r="AF68">
        <v>2.1263277154021401</v>
      </c>
      <c r="AG68">
        <v>-1.1711609999999999</v>
      </c>
      <c r="AH68">
        <v>71.207926885497002</v>
      </c>
      <c r="AI68">
        <v>90.941842393456596</v>
      </c>
      <c r="AJ68">
        <v>88.289608782655506</v>
      </c>
      <c r="AK68">
        <v>71.249292901554497</v>
      </c>
      <c r="AL68">
        <v>81.096339727636305</v>
      </c>
      <c r="AM68">
        <v>91.091536297485206</v>
      </c>
      <c r="AN68">
        <v>0.99999999600439005</v>
      </c>
    </row>
    <row r="69" spans="1:40" x14ac:dyDescent="0.25">
      <c r="A69" t="str">
        <f>"20190303161844237"</f>
        <v>20190303161844237</v>
      </c>
      <c r="B69" t="str">
        <f>"1551601124232752"</f>
        <v>1551601124232752</v>
      </c>
      <c r="C69" t="s">
        <v>40</v>
      </c>
      <c r="D69">
        <v>4.4112119999999999</v>
      </c>
      <c r="E69">
        <v>0.51931799999999995</v>
      </c>
      <c r="F69" t="s">
        <v>44</v>
      </c>
      <c r="G69">
        <v>-397.36720000000003</v>
      </c>
      <c r="H69">
        <v>-0.05</v>
      </c>
      <c r="I69">
        <v>364.67349999999999</v>
      </c>
      <c r="J69">
        <v>-473.6207</v>
      </c>
      <c r="K69">
        <v>1.121046</v>
      </c>
      <c r="L69">
        <v>367.065</v>
      </c>
      <c r="M69">
        <v>0.99994749999999999</v>
      </c>
      <c r="N69">
        <v>-1.0107730000000001E-2</v>
      </c>
      <c r="O69">
        <v>-1.6664749999999999E-3</v>
      </c>
      <c r="P69">
        <v>0.98931599999999997</v>
      </c>
      <c r="Q69">
        <v>0.14481649999999999</v>
      </c>
      <c r="R69">
        <v>1.6791380000000002E-2</v>
      </c>
      <c r="S69">
        <v>3.040619</v>
      </c>
      <c r="T69">
        <v>-4.6672819999999997E-2</v>
      </c>
      <c r="U69">
        <v>-9.5306399999999999E-2</v>
      </c>
      <c r="V69">
        <v>-1.8431039999999999E-2</v>
      </c>
      <c r="W69">
        <v>0.1548098</v>
      </c>
      <c r="X69">
        <v>0.98777230000000005</v>
      </c>
      <c r="Y69">
        <v>2.9657469999999998E-2</v>
      </c>
      <c r="Z69">
        <v>-3.6875690000000001E-4</v>
      </c>
      <c r="AA69">
        <v>0.99956009999999995</v>
      </c>
      <c r="AB69">
        <v>5</v>
      </c>
      <c r="AC69">
        <v>76.253499999999903</v>
      </c>
      <c r="AD69">
        <v>-1.17104599999999</v>
      </c>
      <c r="AE69">
        <v>-2.3915000000000002</v>
      </c>
      <c r="AF69">
        <v>2.26388222949541</v>
      </c>
      <c r="AG69">
        <v>-1.17104599999999</v>
      </c>
      <c r="AH69">
        <v>76.239416598671795</v>
      </c>
      <c r="AI69">
        <v>90.879612748848402</v>
      </c>
      <c r="AJ69">
        <v>88.2991371321597</v>
      </c>
      <c r="AK69">
        <v>76.282010689211404</v>
      </c>
      <c r="AL69">
        <v>81.094234077309096</v>
      </c>
      <c r="AM69">
        <v>91.068969308906404</v>
      </c>
      <c r="AN69">
        <v>0.99999994702940398</v>
      </c>
    </row>
    <row r="70" spans="1:40" x14ac:dyDescent="0.25">
      <c r="A70" t="str">
        <f>"20190303161844259"</f>
        <v>20190303161844259</v>
      </c>
      <c r="B70" t="str">
        <f>"1551601124253248"</f>
        <v>1551601124253248</v>
      </c>
      <c r="C70" t="s">
        <v>40</v>
      </c>
      <c r="D70">
        <v>4.4396990000000001</v>
      </c>
      <c r="E70">
        <v>0.51934670000000005</v>
      </c>
      <c r="F70" t="s">
        <v>41</v>
      </c>
      <c r="G70">
        <v>-397.7056</v>
      </c>
      <c r="H70" s="1">
        <v>-2.0982749999999998E-6</v>
      </c>
      <c r="I70">
        <v>364.6123</v>
      </c>
      <c r="J70">
        <v>-473.5795</v>
      </c>
      <c r="K70">
        <v>1.1214230000000001</v>
      </c>
      <c r="L70">
        <v>367.06479999999999</v>
      </c>
      <c r="M70">
        <v>0.99993589999999999</v>
      </c>
      <c r="N70">
        <v>-1.120531E-2</v>
      </c>
      <c r="O70">
        <v>-1.6955539999999999E-3</v>
      </c>
      <c r="P70">
        <v>0.98950059999999995</v>
      </c>
      <c r="Q70">
        <v>0.1435891</v>
      </c>
      <c r="R70">
        <v>1.6462669999999999E-2</v>
      </c>
      <c r="S70">
        <v>3.04068</v>
      </c>
      <c r="T70">
        <v>-4.4902089999999999E-2</v>
      </c>
      <c r="U70">
        <v>-9.8236080000000003E-2</v>
      </c>
      <c r="V70">
        <v>-1.8132829999999999E-2</v>
      </c>
      <c r="W70">
        <v>0.15466849999999999</v>
      </c>
      <c r="X70">
        <v>0.98780000000000001</v>
      </c>
      <c r="Y70">
        <v>3.0589760000000001E-2</v>
      </c>
      <c r="Z70">
        <v>-3.9120479999999998E-4</v>
      </c>
      <c r="AA70">
        <v>0.99953190000000003</v>
      </c>
      <c r="AB70">
        <v>5</v>
      </c>
      <c r="AC70">
        <v>75.873899999999907</v>
      </c>
      <c r="AD70">
        <v>-1.121425098275</v>
      </c>
      <c r="AE70">
        <v>-2.4524999999999801</v>
      </c>
      <c r="AF70">
        <v>2.3233331109448598</v>
      </c>
      <c r="AG70">
        <v>-1.121425098275</v>
      </c>
      <c r="AH70">
        <v>75.861394762324196</v>
      </c>
      <c r="AI70">
        <v>90.8465193705958</v>
      </c>
      <c r="AJ70">
        <v>88.245806233321403</v>
      </c>
      <c r="AK70">
        <v>75.905248081279794</v>
      </c>
      <c r="AL70">
        <v>81.1024290775823</v>
      </c>
      <c r="AM70">
        <v>91.051648062467905</v>
      </c>
      <c r="AN70">
        <v>0.99999999220802904</v>
      </c>
    </row>
    <row r="71" spans="1:40" x14ac:dyDescent="0.25">
      <c r="A71" t="str">
        <f>"20190303161844273"</f>
        <v>20190303161844273</v>
      </c>
      <c r="B71" t="str">
        <f>"1551601124263008"</f>
        <v>1551601124263008</v>
      </c>
      <c r="C71" t="s">
        <v>40</v>
      </c>
      <c r="D71">
        <v>4.4831580000000004</v>
      </c>
      <c r="E71">
        <v>0.52045790000000003</v>
      </c>
      <c r="F71" t="s">
        <v>44</v>
      </c>
      <c r="G71">
        <v>-400.6506</v>
      </c>
      <c r="H71">
        <v>-0.05</v>
      </c>
      <c r="I71">
        <v>364.67489999999998</v>
      </c>
      <c r="J71">
        <v>-473.5557</v>
      </c>
      <c r="K71">
        <v>1.1217490000000001</v>
      </c>
      <c r="L71">
        <v>367.06479999999999</v>
      </c>
      <c r="M71">
        <v>0.99992230000000004</v>
      </c>
      <c r="N71">
        <v>-1.236522E-2</v>
      </c>
      <c r="O71">
        <v>-1.7101099999999999E-3</v>
      </c>
      <c r="P71">
        <v>0.98969229999999997</v>
      </c>
      <c r="Q71">
        <v>0.14225699999999999</v>
      </c>
      <c r="R71">
        <v>1.6502530000000001E-2</v>
      </c>
      <c r="S71">
        <v>3.0405579999999999</v>
      </c>
      <c r="T71">
        <v>-4.8839090000000002E-2</v>
      </c>
      <c r="U71">
        <v>-9.9639889999999995E-2</v>
      </c>
      <c r="V71">
        <v>-1.8188470000000002E-2</v>
      </c>
      <c r="W71">
        <v>0.1544847</v>
      </c>
      <c r="X71">
        <v>0.98782769999999998</v>
      </c>
      <c r="Y71">
        <v>3.1036250000000001E-2</v>
      </c>
      <c r="Z71">
        <v>-4.348248E-4</v>
      </c>
      <c r="AA71">
        <v>0.99951820000000002</v>
      </c>
      <c r="AB71">
        <v>4</v>
      </c>
      <c r="AC71">
        <v>72.905100000000004</v>
      </c>
      <c r="AD71">
        <v>-1.1717489999999999</v>
      </c>
      <c r="AE71">
        <v>-2.3899000000000101</v>
      </c>
      <c r="AF71">
        <v>2.2646268944133801</v>
      </c>
      <c r="AG71">
        <v>-1.1717489999999999</v>
      </c>
      <c r="AH71">
        <v>72.890272081456203</v>
      </c>
      <c r="AI71">
        <v>90.920535995323206</v>
      </c>
      <c r="AJ71">
        <v>88.220450629543905</v>
      </c>
      <c r="AK71">
        <v>72.934856514554198</v>
      </c>
      <c r="AL71">
        <v>81.113087812555406</v>
      </c>
      <c r="AM71">
        <v>91.054844708951606</v>
      </c>
      <c r="AN71">
        <v>0.99999995393115904</v>
      </c>
    </row>
    <row r="72" spans="1:40" x14ac:dyDescent="0.25">
      <c r="A72" t="str">
        <f>"20190303161844298"</f>
        <v>20190303161844298</v>
      </c>
      <c r="B72" t="str">
        <f>"1551601124293265"</f>
        <v>1551601124293265</v>
      </c>
      <c r="C72" t="s">
        <v>40</v>
      </c>
      <c r="D72">
        <v>4.4139019999999896</v>
      </c>
      <c r="E72">
        <v>0.54927429999999999</v>
      </c>
      <c r="F72" t="s">
        <v>44</v>
      </c>
      <c r="G72">
        <v>-405.99059999999997</v>
      </c>
      <c r="H72">
        <v>-0.05</v>
      </c>
      <c r="I72">
        <v>364.65609999999998</v>
      </c>
      <c r="J72">
        <v>-473.51499999999999</v>
      </c>
      <c r="K72">
        <v>1.1219190000000001</v>
      </c>
      <c r="L72">
        <v>367.06470000000002</v>
      </c>
      <c r="M72">
        <v>0.99991140000000001</v>
      </c>
      <c r="N72">
        <v>-1.321111E-2</v>
      </c>
      <c r="O72">
        <v>-1.735285E-3</v>
      </c>
      <c r="P72">
        <v>0.98982110000000001</v>
      </c>
      <c r="Q72">
        <v>0.14136650000000001</v>
      </c>
      <c r="R72">
        <v>1.642561E-2</v>
      </c>
      <c r="S72">
        <v>3.0405880000000001</v>
      </c>
      <c r="T72">
        <v>-5.2731510000000002E-2</v>
      </c>
      <c r="U72">
        <v>-0.10839840000000001</v>
      </c>
      <c r="V72">
        <v>-1.813681E-2</v>
      </c>
      <c r="W72">
        <v>0.1544315</v>
      </c>
      <c r="X72">
        <v>0.98783699999999997</v>
      </c>
      <c r="Y72">
        <v>3.388451E-2</v>
      </c>
      <c r="Z72">
        <v>-5.1047919999999995E-4</v>
      </c>
      <c r="AA72">
        <v>0.99942560000000003</v>
      </c>
      <c r="AB72">
        <v>4</v>
      </c>
      <c r="AC72">
        <v>67.5244</v>
      </c>
      <c r="AD72">
        <v>-1.1719189999999999</v>
      </c>
      <c r="AE72">
        <v>-2.4086000000000301</v>
      </c>
      <c r="AF72">
        <v>2.2907229696745999</v>
      </c>
      <c r="AG72">
        <v>-1.1719189999999999</v>
      </c>
      <c r="AH72">
        <v>67.508169789215799</v>
      </c>
      <c r="AI72">
        <v>90.993963508876803</v>
      </c>
      <c r="AJ72">
        <v>88.056554941722695</v>
      </c>
      <c r="AK72">
        <v>67.557189063459006</v>
      </c>
      <c r="AL72">
        <v>81.116173253222996</v>
      </c>
      <c r="AM72">
        <v>91.051839448430599</v>
      </c>
      <c r="AN72">
        <v>0.99999998531911205</v>
      </c>
    </row>
    <row r="73" spans="1:40" x14ac:dyDescent="0.25">
      <c r="A73" t="str">
        <f>"20190303161844315"</f>
        <v>20190303161844315</v>
      </c>
      <c r="B73" t="str">
        <f>"1551601124303024"</f>
        <v>1551601124303024</v>
      </c>
      <c r="C73" t="s">
        <v>40</v>
      </c>
      <c r="D73">
        <v>4.171481</v>
      </c>
      <c r="E73">
        <v>0.54834680000000002</v>
      </c>
      <c r="F73" t="s">
        <v>45</v>
      </c>
      <c r="G73">
        <v>-282.32900000000001</v>
      </c>
      <c r="H73">
        <v>1.199786</v>
      </c>
      <c r="I73">
        <v>345.71210000000002</v>
      </c>
      <c r="J73">
        <v>-473.47930000000002</v>
      </c>
      <c r="K73">
        <v>1.121607</v>
      </c>
      <c r="L73">
        <v>367.06459999999998</v>
      </c>
      <c r="M73">
        <v>0.9999228</v>
      </c>
      <c r="N73">
        <v>-1.230704E-2</v>
      </c>
      <c r="O73">
        <v>-1.76113299999999E-3</v>
      </c>
      <c r="P73">
        <v>0.98975159999999995</v>
      </c>
      <c r="Q73">
        <v>0.14190929999999999</v>
      </c>
      <c r="R73">
        <v>1.5936499999999999E-2</v>
      </c>
      <c r="S73">
        <v>3.0363159999999998</v>
      </c>
      <c r="T73">
        <v>1.236677E-3</v>
      </c>
      <c r="U73">
        <v>-0.3391113</v>
      </c>
      <c r="V73">
        <v>-1.767287E-2</v>
      </c>
      <c r="W73">
        <v>0.15407999999999999</v>
      </c>
      <c r="X73">
        <v>0.98790029999999995</v>
      </c>
      <c r="Y73">
        <v>0.1092448</v>
      </c>
      <c r="Z73">
        <v>-6.7449359999999996E-4</v>
      </c>
      <c r="AA73">
        <v>0.99401459999999997</v>
      </c>
      <c r="AB73">
        <v>3</v>
      </c>
      <c r="AC73">
        <v>191.15029999999999</v>
      </c>
      <c r="AD73">
        <v>7.8178999999999998E-2</v>
      </c>
      <c r="AE73">
        <v>-21.3524999999999</v>
      </c>
      <c r="AF73">
        <v>21.0157968397248</v>
      </c>
      <c r="AG73">
        <v>7.8178999999999998E-2</v>
      </c>
      <c r="AH73">
        <v>191.187579370686</v>
      </c>
      <c r="AI73">
        <v>89.976711313526806</v>
      </c>
      <c r="AJ73">
        <v>83.727094762273794</v>
      </c>
      <c r="AK73">
        <v>192.33918044534499</v>
      </c>
      <c r="AL73">
        <v>81.136556729935705</v>
      </c>
      <c r="AM73">
        <v>91.024873527779306</v>
      </c>
      <c r="AN73">
        <v>0.99999998973706306</v>
      </c>
    </row>
    <row r="74" spans="1:40" x14ac:dyDescent="0.25">
      <c r="A74" t="str">
        <f>"20190303161844337"</f>
        <v>20190303161844337</v>
      </c>
      <c r="B74" t="str">
        <f>"1551601124333280"</f>
        <v>1551601124333280</v>
      </c>
      <c r="C74" t="s">
        <v>40</v>
      </c>
      <c r="D74">
        <v>4.464601</v>
      </c>
      <c r="E74">
        <v>0.54697059999999997</v>
      </c>
      <c r="F74" t="s">
        <v>45</v>
      </c>
      <c r="G74">
        <v>-282.32900000000001</v>
      </c>
      <c r="H74">
        <v>1.804986</v>
      </c>
      <c r="I74">
        <v>346.07670000000002</v>
      </c>
      <c r="J74">
        <v>-473.43259999999998</v>
      </c>
      <c r="K74">
        <v>1.1211120000000001</v>
      </c>
      <c r="L74">
        <v>367.06450000000001</v>
      </c>
      <c r="M74">
        <v>0.99994240000000001</v>
      </c>
      <c r="N74">
        <v>-1.059351E-2</v>
      </c>
      <c r="O74">
        <v>-1.7993919999999999E-3</v>
      </c>
      <c r="P74">
        <v>0.98952010000000001</v>
      </c>
      <c r="Q74">
        <v>0.14350199999999999</v>
      </c>
      <c r="R74">
        <v>1.6043060000000001E-2</v>
      </c>
      <c r="S74">
        <v>3.0348510000000002</v>
      </c>
      <c r="T74">
        <v>1.084983E-2</v>
      </c>
      <c r="U74">
        <v>-0.3332214</v>
      </c>
      <c r="V74">
        <v>-1.7815419999999998E-2</v>
      </c>
      <c r="W74">
        <v>0.15397729999999901</v>
      </c>
      <c r="X74">
        <v>0.98791370000000001</v>
      </c>
      <c r="Y74">
        <v>0.10735500000000001</v>
      </c>
      <c r="Z74">
        <v>-4.0444249999999998E-4</v>
      </c>
      <c r="AA74">
        <v>0.99422069999999996</v>
      </c>
      <c r="AB74">
        <v>4</v>
      </c>
      <c r="AC74">
        <v>191.1036</v>
      </c>
      <c r="AD74">
        <v>0.68387399999999898</v>
      </c>
      <c r="AE74">
        <v>-20.9878</v>
      </c>
      <c r="AF74">
        <v>20.643615266461001</v>
      </c>
      <c r="AG74">
        <v>0.68387399999999898</v>
      </c>
      <c r="AH74">
        <v>191.138639424339</v>
      </c>
      <c r="AI74">
        <v>89.796187836396498</v>
      </c>
      <c r="AJ74">
        <v>83.8357572681074</v>
      </c>
      <c r="AK74">
        <v>192.25141356022601</v>
      </c>
      <c r="AL74">
        <v>81.142511616788994</v>
      </c>
      <c r="AM74">
        <v>91.033124399229095</v>
      </c>
      <c r="AN74">
        <v>0.99999993837637602</v>
      </c>
    </row>
    <row r="75" spans="1:40" x14ac:dyDescent="0.25">
      <c r="A75" t="str">
        <f>"20190303161844351"</f>
        <v>20190303161844351</v>
      </c>
      <c r="B75" t="str">
        <f>"1551601124343041"</f>
        <v>1551601124343041</v>
      </c>
      <c r="C75" t="s">
        <v>40</v>
      </c>
      <c r="D75">
        <v>4.4448040000000004</v>
      </c>
      <c r="E75">
        <v>0.54683019999999904</v>
      </c>
      <c r="F75" t="s">
        <v>45</v>
      </c>
      <c r="G75">
        <v>-282.32900000000001</v>
      </c>
      <c r="H75">
        <v>3.1246930000000002</v>
      </c>
      <c r="I75">
        <v>346.76080000000002</v>
      </c>
      <c r="J75">
        <v>-473.4015</v>
      </c>
      <c r="K75">
        <v>1.1208689999999999</v>
      </c>
      <c r="L75">
        <v>367.06439999999998</v>
      </c>
      <c r="M75">
        <v>0.99995239999999996</v>
      </c>
      <c r="N75">
        <v>-9.5960090000000008E-3</v>
      </c>
      <c r="O75">
        <v>-1.8271509999999999E-3</v>
      </c>
      <c r="P75">
        <v>0.98942589999999997</v>
      </c>
      <c r="Q75">
        <v>0.14416129999999999</v>
      </c>
      <c r="R75">
        <v>1.5938259999999999E-2</v>
      </c>
      <c r="S75">
        <v>3.0323790000000002</v>
      </c>
      <c r="T75">
        <v>3.1792279999999999E-2</v>
      </c>
      <c r="U75">
        <v>-0.32217410000000002</v>
      </c>
      <c r="V75">
        <v>-1.7736729999999999E-2</v>
      </c>
      <c r="W75">
        <v>0.15364990000000001</v>
      </c>
      <c r="X75">
        <v>0.98796620000000002</v>
      </c>
      <c r="Y75">
        <v>0.1038328</v>
      </c>
      <c r="Z75" s="1">
        <v>6.5771159999999997E-6</v>
      </c>
      <c r="AA75">
        <v>0.9945948</v>
      </c>
      <c r="AB75">
        <v>5</v>
      </c>
      <c r="AC75">
        <v>191.07249999999999</v>
      </c>
      <c r="AD75">
        <v>2.0038239999999998</v>
      </c>
      <c r="AE75">
        <v>-20.3035999999999</v>
      </c>
      <c r="AF75">
        <v>19.952261865556199</v>
      </c>
      <c r="AG75">
        <v>2.0038239999999998</v>
      </c>
      <c r="AH75">
        <v>191.08849877548599</v>
      </c>
      <c r="AI75">
        <v>89.402445756492298</v>
      </c>
      <c r="AJ75">
        <v>84.039133878750206</v>
      </c>
      <c r="AK75">
        <v>192.137769395931</v>
      </c>
      <c r="AL75">
        <v>81.161497150108602</v>
      </c>
      <c r="AM75">
        <v>91.028507466939502</v>
      </c>
      <c r="AN75">
        <v>1.0000000478517701</v>
      </c>
    </row>
    <row r="76" spans="1:40" x14ac:dyDescent="0.25">
      <c r="A76" t="str">
        <f>"20190303161844362"</f>
        <v>20190303161844362</v>
      </c>
      <c r="B76" t="str">
        <f>"1551601124352800"</f>
        <v>1551601124352800</v>
      </c>
      <c r="C76" t="s">
        <v>40</v>
      </c>
      <c r="D76">
        <v>4.4517179999999996</v>
      </c>
      <c r="E76">
        <v>0.54651780000000005</v>
      </c>
      <c r="F76" t="s">
        <v>45</v>
      </c>
      <c r="G76">
        <v>-282.32900000000001</v>
      </c>
      <c r="H76">
        <v>3.3806400000000001</v>
      </c>
      <c r="I76">
        <v>346.827</v>
      </c>
      <c r="J76">
        <v>-473.37400000000002</v>
      </c>
      <c r="K76">
        <v>1.1207149999999999</v>
      </c>
      <c r="L76">
        <v>367.0643</v>
      </c>
      <c r="M76">
        <v>0.99995919999999905</v>
      </c>
      <c r="N76">
        <v>-8.8504389999999999E-3</v>
      </c>
      <c r="O76">
        <v>-1.852687E-3</v>
      </c>
      <c r="P76">
        <v>0.98932249999999999</v>
      </c>
      <c r="Q76">
        <v>0.14489540000000001</v>
      </c>
      <c r="R76">
        <v>1.5704010000000001E-2</v>
      </c>
      <c r="S76">
        <v>3.0320130000000001</v>
      </c>
      <c r="T76">
        <v>3.5858870000000001E-2</v>
      </c>
      <c r="U76">
        <v>-0.32113649999999999</v>
      </c>
      <c r="V76">
        <v>-1.752662E-2</v>
      </c>
      <c r="W76">
        <v>0.15364659999999999</v>
      </c>
      <c r="X76">
        <v>0.98797040000000003</v>
      </c>
      <c r="Y76">
        <v>0.10348209999999999</v>
      </c>
      <c r="Z76">
        <v>1.1278E-4</v>
      </c>
      <c r="AA76">
        <v>0.9946313</v>
      </c>
      <c r="AB76">
        <v>5</v>
      </c>
      <c r="AC76">
        <v>191.04499999999999</v>
      </c>
      <c r="AD76">
        <v>2.259925</v>
      </c>
      <c r="AE76">
        <v>-20.237300000000001</v>
      </c>
      <c r="AF76">
        <v>19.880553789762001</v>
      </c>
      <c r="AG76">
        <v>2.259925</v>
      </c>
      <c r="AH76">
        <v>191.05572882045399</v>
      </c>
      <c r="AI76">
        <v>89.325940883184202</v>
      </c>
      <c r="AJ76">
        <v>84.0593922217234</v>
      </c>
      <c r="AK76">
        <v>192.100586139418</v>
      </c>
      <c r="AL76">
        <v>81.161687944494503</v>
      </c>
      <c r="AM76">
        <v>91.016321978319098</v>
      </c>
      <c r="AN76">
        <v>0.99999998568817206</v>
      </c>
    </row>
    <row r="77" spans="1:40" x14ac:dyDescent="0.25">
      <c r="A77" t="str">
        <f>"20190303161844382"</f>
        <v>20190303161844382</v>
      </c>
      <c r="B77" t="str">
        <f>"1551601124373300"</f>
        <v>1551601124373300</v>
      </c>
      <c r="C77" t="s">
        <v>40</v>
      </c>
      <c r="D77">
        <v>4.4731880000000004</v>
      </c>
      <c r="E77">
        <v>0.54614180000000001</v>
      </c>
      <c r="F77" t="s">
        <v>45</v>
      </c>
      <c r="G77">
        <v>-282.32900000000001</v>
      </c>
      <c r="H77">
        <v>3.6241059999999998</v>
      </c>
      <c r="I77">
        <v>346.92349999999999</v>
      </c>
      <c r="J77">
        <v>-473.33510000000001</v>
      </c>
      <c r="K77">
        <v>1.120916</v>
      </c>
      <c r="L77">
        <v>367.06420000000003</v>
      </c>
      <c r="M77">
        <v>0.99995610000000001</v>
      </c>
      <c r="N77">
        <v>-9.1820319999999997E-3</v>
      </c>
      <c r="O77">
        <v>-1.8841000000000001E-3</v>
      </c>
      <c r="P77">
        <v>0.98942070000000004</v>
      </c>
      <c r="Q77">
        <v>0.14421970000000001</v>
      </c>
      <c r="R77">
        <v>1.572583E-2</v>
      </c>
      <c r="S77">
        <v>3.031647</v>
      </c>
      <c r="T77">
        <v>3.9725660000000003E-2</v>
      </c>
      <c r="U77">
        <v>-0.31961060000000002</v>
      </c>
      <c r="V77">
        <v>-1.7579879999999999E-2</v>
      </c>
      <c r="W77">
        <v>0.1532993</v>
      </c>
      <c r="X77">
        <v>0.9880234</v>
      </c>
      <c r="Y77">
        <v>0.10296760000000001</v>
      </c>
      <c r="Z77">
        <v>1.568152E-4</v>
      </c>
      <c r="AA77">
        <v>0.99468469999999998</v>
      </c>
      <c r="AB77">
        <v>5</v>
      </c>
      <c r="AC77">
        <v>191.0061</v>
      </c>
      <c r="AD77">
        <v>2.50319</v>
      </c>
      <c r="AE77">
        <v>-20.140699999999999</v>
      </c>
      <c r="AF77">
        <v>19.777415104674699</v>
      </c>
      <c r="AG77">
        <v>2.50319</v>
      </c>
      <c r="AH77">
        <v>191.011264477803</v>
      </c>
      <c r="AI77">
        <v>89.2531776570939</v>
      </c>
      <c r="AJ77">
        <v>84.088626890788305</v>
      </c>
      <c r="AK77">
        <v>192.04873148710999</v>
      </c>
      <c r="AL77">
        <v>81.181825318246098</v>
      </c>
      <c r="AM77">
        <v>91.019355060915203</v>
      </c>
      <c r="AN77">
        <v>0.99999998325443196</v>
      </c>
    </row>
    <row r="78" spans="1:40" x14ac:dyDescent="0.25">
      <c r="A78" t="str">
        <f>"20190303161844397"</f>
        <v>20190303161844397</v>
      </c>
      <c r="B78" t="str">
        <f>"1551601124383056"</f>
        <v>1551601124383056</v>
      </c>
      <c r="C78" t="s">
        <v>40</v>
      </c>
      <c r="D78">
        <v>4.5100300000000004</v>
      </c>
      <c r="E78">
        <v>0.54613529999999999</v>
      </c>
      <c r="F78" t="s">
        <v>45</v>
      </c>
      <c r="G78">
        <v>-285.86779999999999</v>
      </c>
      <c r="H78">
        <v>3.62113</v>
      </c>
      <c r="I78">
        <v>347.50349999999997</v>
      </c>
      <c r="J78">
        <v>-473.3064</v>
      </c>
      <c r="K78">
        <v>1.1212420000000001</v>
      </c>
      <c r="L78">
        <v>367.0641</v>
      </c>
      <c r="M78">
        <v>0.99994700000000003</v>
      </c>
      <c r="N78">
        <v>-1.013064E-2</v>
      </c>
      <c r="O78">
        <v>-1.9041660000000001E-3</v>
      </c>
      <c r="P78">
        <v>0.98953210000000003</v>
      </c>
      <c r="Q78">
        <v>0.1434686</v>
      </c>
      <c r="R78">
        <v>1.558407E-2</v>
      </c>
      <c r="S78">
        <v>3.0312190000000001</v>
      </c>
      <c r="T78">
        <v>4.0426730000000001E-2</v>
      </c>
      <c r="U78">
        <v>-0.31628420000000002</v>
      </c>
      <c r="V78">
        <v>-1.7459229999999999E-2</v>
      </c>
      <c r="W78">
        <v>0.15348680000000001</v>
      </c>
      <c r="X78">
        <v>0.98799650000000006</v>
      </c>
      <c r="Y78">
        <v>0.1018831</v>
      </c>
      <c r="Z78">
        <v>1.154788E-4</v>
      </c>
      <c r="AA78">
        <v>0.99479640000000003</v>
      </c>
      <c r="AB78">
        <v>5</v>
      </c>
      <c r="AC78">
        <v>187.43860000000001</v>
      </c>
      <c r="AD78">
        <v>2.4998879999999999</v>
      </c>
      <c r="AE78">
        <v>-19.560600000000001</v>
      </c>
      <c r="AF78">
        <v>19.200253539533801</v>
      </c>
      <c r="AG78">
        <v>2.4998879999999999</v>
      </c>
      <c r="AH78">
        <v>187.442525923364</v>
      </c>
      <c r="AI78">
        <v>89.239878466918597</v>
      </c>
      <c r="AJ78">
        <v>84.151434074057704</v>
      </c>
      <c r="AK78">
        <v>188.439910052318</v>
      </c>
      <c r="AL78">
        <v>81.170954319447304</v>
      </c>
      <c r="AM78">
        <v>91.012388287268294</v>
      </c>
      <c r="AN78">
        <v>1.00000005324934</v>
      </c>
    </row>
    <row r="79" spans="1:40" x14ac:dyDescent="0.25">
      <c r="A79" t="str">
        <f>"20190303161844418"</f>
        <v>20190303161844418</v>
      </c>
      <c r="B79" t="str">
        <f>"1551601124413312"</f>
        <v>1551601124413312</v>
      </c>
      <c r="C79" t="s">
        <v>40</v>
      </c>
      <c r="D79">
        <v>4.5199189999999998</v>
      </c>
      <c r="E79">
        <v>0.54592980000000002</v>
      </c>
      <c r="F79" t="s">
        <v>45</v>
      </c>
      <c r="G79">
        <v>-285.86779999999999</v>
      </c>
      <c r="H79">
        <v>3.4484210000000002</v>
      </c>
      <c r="I79">
        <v>347.46719999999999</v>
      </c>
      <c r="J79">
        <v>-473.26909999999998</v>
      </c>
      <c r="K79">
        <v>1.1217379999999999</v>
      </c>
      <c r="L79">
        <v>367.06400000000002</v>
      </c>
      <c r="M79">
        <v>0.99992840000000005</v>
      </c>
      <c r="N79">
        <v>-1.181775E-2</v>
      </c>
      <c r="O79">
        <v>-1.9279220000000001E-3</v>
      </c>
      <c r="P79">
        <v>0.98973610000000001</v>
      </c>
      <c r="Q79">
        <v>0.14206969999999999</v>
      </c>
      <c r="R79">
        <v>1.54477E-2</v>
      </c>
      <c r="S79">
        <v>3.0312809999999999</v>
      </c>
      <c r="T79">
        <v>3.7635090000000003E-2</v>
      </c>
      <c r="U79">
        <v>-0.31692500000000001</v>
      </c>
      <c r="V79">
        <v>-1.734919E-2</v>
      </c>
      <c r="W79">
        <v>0.1537568</v>
      </c>
      <c r="X79">
        <v>0.98795639999999996</v>
      </c>
      <c r="Y79">
        <v>0.1020672</v>
      </c>
      <c r="Z79" s="1">
        <v>-1.948944E-5</v>
      </c>
      <c r="AA79">
        <v>0.99477749999999998</v>
      </c>
      <c r="AB79">
        <v>5</v>
      </c>
      <c r="AC79">
        <v>187.40129999999999</v>
      </c>
      <c r="AD79">
        <v>2.3266830000000001</v>
      </c>
      <c r="AE79">
        <v>-19.596800000000002</v>
      </c>
      <c r="AF79">
        <v>19.232510760972499</v>
      </c>
      <c r="AG79">
        <v>2.3266830000000001</v>
      </c>
      <c r="AH79">
        <v>187.410159569809</v>
      </c>
      <c r="AI79">
        <v>89.292429471265905</v>
      </c>
      <c r="AJ79">
        <v>84.140671810566104</v>
      </c>
      <c r="AK79">
        <v>188.40878650937299</v>
      </c>
      <c r="AL79">
        <v>81.155298130744598</v>
      </c>
      <c r="AM79">
        <v>91.006049664188794</v>
      </c>
      <c r="AN79">
        <v>0.99999999812042795</v>
      </c>
    </row>
    <row r="80" spans="1:40" x14ac:dyDescent="0.25">
      <c r="A80" t="str">
        <f>"20190303161844438"</f>
        <v>20190303161844438</v>
      </c>
      <c r="B80" t="str">
        <f>"1551601124432833"</f>
        <v>1551601124432833</v>
      </c>
      <c r="C80" t="s">
        <v>40</v>
      </c>
      <c r="D80">
        <v>4.5585809999999896</v>
      </c>
      <c r="E80">
        <v>0.54621549999999996</v>
      </c>
      <c r="F80" t="s">
        <v>45</v>
      </c>
      <c r="G80">
        <v>-285.86779999999999</v>
      </c>
      <c r="H80">
        <v>3.2487569999999999</v>
      </c>
      <c r="I80">
        <v>347.54919999999998</v>
      </c>
      <c r="J80">
        <v>-473.22919999999999</v>
      </c>
      <c r="K80">
        <v>1.1218300000000001</v>
      </c>
      <c r="L80">
        <v>367.06389999999999</v>
      </c>
      <c r="M80">
        <v>0.99992210000000004</v>
      </c>
      <c r="N80">
        <v>-1.2334929999999999E-2</v>
      </c>
      <c r="O80">
        <v>-1.95272E-3</v>
      </c>
      <c r="P80">
        <v>0.98977420000000005</v>
      </c>
      <c r="Q80">
        <v>0.14180719999999999</v>
      </c>
      <c r="R80">
        <v>1.5428290000000001E-2</v>
      </c>
      <c r="S80">
        <v>3.0311279999999998</v>
      </c>
      <c r="T80">
        <v>3.440356E-2</v>
      </c>
      <c r="U80">
        <v>-0.31564330000000002</v>
      </c>
      <c r="V80">
        <v>-1.7354629999999999E-2</v>
      </c>
      <c r="W80">
        <v>0.15400559999999999</v>
      </c>
      <c r="X80">
        <v>0.9879175</v>
      </c>
      <c r="Y80">
        <v>0.1016325</v>
      </c>
      <c r="Z80" s="1">
        <v>-9.9455699999999997E-5</v>
      </c>
      <c r="AA80">
        <v>0.99482199999999998</v>
      </c>
      <c r="AB80">
        <v>4</v>
      </c>
      <c r="AC80">
        <v>187.3614</v>
      </c>
      <c r="AD80">
        <v>2.1269269999999998</v>
      </c>
      <c r="AE80">
        <v>-19.514700000000001</v>
      </c>
      <c r="AF80">
        <v>19.146329761154</v>
      </c>
      <c r="AG80">
        <v>2.1269269999999998</v>
      </c>
      <c r="AH80">
        <v>187.37526484481</v>
      </c>
      <c r="AI80">
        <v>89.353022771686298</v>
      </c>
      <c r="AJ80">
        <v>84.165667211000496</v>
      </c>
      <c r="AK80">
        <v>188.362935944014</v>
      </c>
      <c r="AL80">
        <v>81.140870652714597</v>
      </c>
      <c r="AM80">
        <v>91.006404673794904</v>
      </c>
      <c r="AN80">
        <v>0.99999994741002196</v>
      </c>
    </row>
    <row r="81" spans="1:40" x14ac:dyDescent="0.25">
      <c r="A81" t="str">
        <f>"20190303161844453"</f>
        <v>20190303161844453</v>
      </c>
      <c r="B81" t="str">
        <f>"1551601124442592"</f>
        <v>1551601124442592</v>
      </c>
      <c r="C81" t="s">
        <v>40</v>
      </c>
      <c r="D81">
        <v>4.5760379999999996</v>
      </c>
      <c r="E81">
        <v>0.5463076</v>
      </c>
      <c r="F81" t="s">
        <v>45</v>
      </c>
      <c r="G81">
        <v>-285.86779999999999</v>
      </c>
      <c r="H81">
        <v>2.9033920000000002</v>
      </c>
      <c r="I81">
        <v>347.3956</v>
      </c>
      <c r="J81">
        <v>-473.19970000000001</v>
      </c>
      <c r="K81">
        <v>1.1216079999999999</v>
      </c>
      <c r="L81">
        <v>367.06380000000001</v>
      </c>
      <c r="M81">
        <v>0.99992979999999998</v>
      </c>
      <c r="N81">
        <v>-1.1698409999999999E-2</v>
      </c>
      <c r="O81">
        <v>-1.9735859999999998E-3</v>
      </c>
      <c r="P81">
        <v>0.98964940000000001</v>
      </c>
      <c r="Q81">
        <v>0.1426472</v>
      </c>
      <c r="R81">
        <v>1.568406E-2</v>
      </c>
      <c r="S81">
        <v>3.0318299999999998</v>
      </c>
      <c r="T81">
        <v>2.8828739999999999E-2</v>
      </c>
      <c r="U81">
        <v>-0.31826779999999999</v>
      </c>
      <c r="V81">
        <v>-1.7630570000000002E-2</v>
      </c>
      <c r="W81">
        <v>0.1542152</v>
      </c>
      <c r="X81">
        <v>0.98787990000000003</v>
      </c>
      <c r="Y81">
        <v>0.1024402</v>
      </c>
      <c r="Z81">
        <v>-1.569001E-4</v>
      </c>
      <c r="AA81">
        <v>0.99473920000000005</v>
      </c>
      <c r="AB81">
        <v>4</v>
      </c>
      <c r="AC81">
        <v>187.33189999999999</v>
      </c>
      <c r="AD81">
        <v>1.78178399999999</v>
      </c>
      <c r="AE81">
        <v>-19.668199999999999</v>
      </c>
      <c r="AF81">
        <v>19.296694173194201</v>
      </c>
      <c r="AG81">
        <v>1.78178399999999</v>
      </c>
      <c r="AH81">
        <v>187.353590268559</v>
      </c>
      <c r="AI81">
        <v>89.457985003807707</v>
      </c>
      <c r="AJ81">
        <v>84.119491992341295</v>
      </c>
      <c r="AK81">
        <v>188.353138935234</v>
      </c>
      <c r="AL81">
        <v>81.128716107845307</v>
      </c>
      <c r="AM81">
        <v>91.022442123962406</v>
      </c>
      <c r="AN81">
        <v>0.99999993086678496</v>
      </c>
    </row>
    <row r="82" spans="1:40" x14ac:dyDescent="0.25">
      <c r="A82" t="str">
        <f>"20190303161844471"</f>
        <v>20190303161844471</v>
      </c>
      <c r="B82" t="str">
        <f>"1551601124463089"</f>
        <v>1551601124463089</v>
      </c>
      <c r="C82" t="s">
        <v>40</v>
      </c>
      <c r="D82">
        <v>4.6880220000000001</v>
      </c>
      <c r="E82">
        <v>0.53154119999999905</v>
      </c>
      <c r="F82" t="s">
        <v>45</v>
      </c>
      <c r="G82">
        <v>-285.86779999999999</v>
      </c>
      <c r="H82">
        <v>2.9648490000000001</v>
      </c>
      <c r="I82">
        <v>347.41149999999999</v>
      </c>
      <c r="J82">
        <v>-473.15710000000001</v>
      </c>
      <c r="K82">
        <v>1.1211899999999999</v>
      </c>
      <c r="L82">
        <v>367.06369999999998</v>
      </c>
      <c r="M82">
        <v>0.99994499999999997</v>
      </c>
      <c r="N82">
        <v>-1.0298E-2</v>
      </c>
      <c r="O82">
        <v>-2.0066770000000001E-3</v>
      </c>
      <c r="P82">
        <v>0.98941400000000002</v>
      </c>
      <c r="Q82">
        <v>0.14423050000000001</v>
      </c>
      <c r="R82">
        <v>1.6049219999999999E-2</v>
      </c>
      <c r="S82">
        <v>3.0320740000000002</v>
      </c>
      <c r="T82">
        <v>2.9833910000000002E-2</v>
      </c>
      <c r="U82">
        <v>-0.3180847</v>
      </c>
      <c r="V82">
        <v>-1.802664E-2</v>
      </c>
      <c r="W82">
        <v>0.15441270000000001</v>
      </c>
      <c r="X82">
        <v>0.987842</v>
      </c>
      <c r="Y82">
        <v>0.1023387</v>
      </c>
      <c r="Z82" s="1">
        <v>-6.6606790000000007E-5</v>
      </c>
      <c r="AA82">
        <v>0.99474960000000001</v>
      </c>
      <c r="AB82">
        <v>4</v>
      </c>
      <c r="AC82">
        <v>187.2893</v>
      </c>
      <c r="AD82">
        <v>1.8436589999999999</v>
      </c>
      <c r="AE82">
        <v>-19.652200000000001</v>
      </c>
      <c r="AF82">
        <v>19.274463978302499</v>
      </c>
      <c r="AG82">
        <v>1.8436589999999999</v>
      </c>
      <c r="AH82">
        <v>187.31040739348799</v>
      </c>
      <c r="AI82">
        <v>89.439029226578896</v>
      </c>
      <c r="AJ82">
        <v>84.124874387244702</v>
      </c>
      <c r="AK82">
        <v>188.30850421070701</v>
      </c>
      <c r="AL82">
        <v>81.117263885323695</v>
      </c>
      <c r="AM82">
        <v>91.045446300698302</v>
      </c>
      <c r="AN82">
        <v>1.00000002931748</v>
      </c>
    </row>
    <row r="83" spans="1:40" x14ac:dyDescent="0.25">
      <c r="A83" t="str">
        <f>"20190303161844493"</f>
        <v>20190303161844493</v>
      </c>
      <c r="B83" t="str">
        <f>"1551601124482608"</f>
        <v>1551601124482608</v>
      </c>
      <c r="C83" t="s">
        <v>40</v>
      </c>
      <c r="D83">
        <v>4.6699219999999997</v>
      </c>
      <c r="E83">
        <v>0.52246119999999996</v>
      </c>
      <c r="F83" t="s">
        <v>44</v>
      </c>
      <c r="G83">
        <v>-436.91269999999997</v>
      </c>
      <c r="H83">
        <v>-0.05</v>
      </c>
      <c r="I83">
        <v>364.72289999999998</v>
      </c>
      <c r="J83">
        <v>-473.10899999999998</v>
      </c>
      <c r="K83">
        <v>1.1210169999999999</v>
      </c>
      <c r="L83">
        <v>367.06349999999998</v>
      </c>
      <c r="M83">
        <v>0.99995270000000003</v>
      </c>
      <c r="N83">
        <v>-9.5120659999999996E-3</v>
      </c>
      <c r="O83">
        <v>-2.0449969999999998E-3</v>
      </c>
      <c r="P83">
        <v>0.98932900000000001</v>
      </c>
      <c r="Q83">
        <v>0.14483480000000001</v>
      </c>
      <c r="R83">
        <v>1.586038E-2</v>
      </c>
      <c r="S83">
        <v>3.0496219999999998</v>
      </c>
      <c r="T83">
        <v>-9.8544480000000004E-2</v>
      </c>
      <c r="U83">
        <v>-0.19696040000000001</v>
      </c>
      <c r="V83">
        <v>-1.7874979999999999E-2</v>
      </c>
      <c r="W83">
        <v>0.154239299999999</v>
      </c>
      <c r="X83">
        <v>0.98787179999999997</v>
      </c>
      <c r="Y83">
        <v>6.2368479999999997E-2</v>
      </c>
      <c r="Z83">
        <v>-1.256844E-3</v>
      </c>
      <c r="AA83">
        <v>0.99805239999999995</v>
      </c>
      <c r="AB83">
        <v>5</v>
      </c>
      <c r="AC83">
        <v>36.196300000000001</v>
      </c>
      <c r="AD83">
        <v>-1.171017</v>
      </c>
      <c r="AE83">
        <v>-2.34059999999999</v>
      </c>
      <c r="AF83">
        <v>2.2642104846937201</v>
      </c>
      <c r="AG83">
        <v>-1.171017</v>
      </c>
      <c r="AH83">
        <v>36.163318613497999</v>
      </c>
      <c r="AI83">
        <v>91.851044449778101</v>
      </c>
      <c r="AJ83">
        <v>86.417348033614701</v>
      </c>
      <c r="AK83">
        <v>36.253048741790799</v>
      </c>
      <c r="AL83">
        <v>81.127319041675506</v>
      </c>
      <c r="AM83">
        <v>91.036621514893</v>
      </c>
      <c r="AN83">
        <v>0.99999998490486497</v>
      </c>
    </row>
    <row r="84" spans="1:40" x14ac:dyDescent="0.25">
      <c r="A84" t="str">
        <f>"20190303161844507"</f>
        <v>20190303161844507</v>
      </c>
      <c r="B84" t="str">
        <f>"1551601124503105"</f>
        <v>1551601124503105</v>
      </c>
      <c r="C84" t="s">
        <v>40</v>
      </c>
      <c r="D84">
        <v>4.633934</v>
      </c>
      <c r="E84">
        <v>0.51893120000000004</v>
      </c>
      <c r="F84" t="s">
        <v>41</v>
      </c>
      <c r="G84">
        <v>-445.70400000000001</v>
      </c>
      <c r="H84" s="1">
        <v>-2.6633009999999998E-6</v>
      </c>
      <c r="I84">
        <v>365.9402</v>
      </c>
      <c r="J84">
        <v>-473.07909999999998</v>
      </c>
      <c r="K84">
        <v>1.121197</v>
      </c>
      <c r="L84">
        <v>367.06349999999998</v>
      </c>
      <c r="M84">
        <v>0.9999479</v>
      </c>
      <c r="N84">
        <v>-9.9942920000000001E-3</v>
      </c>
      <c r="O84">
        <v>-2.0667749999999999E-3</v>
      </c>
      <c r="P84">
        <v>0.98942110000000005</v>
      </c>
      <c r="Q84">
        <v>0.14424609999999999</v>
      </c>
      <c r="R84">
        <v>1.5466399999999899E-2</v>
      </c>
      <c r="S84">
        <v>3.0526119999999999</v>
      </c>
      <c r="T84">
        <v>-0.12486899999999999</v>
      </c>
      <c r="U84">
        <v>-0.12512210000000001</v>
      </c>
      <c r="V84">
        <v>-1.750316E-2</v>
      </c>
      <c r="W84">
        <v>0.15412809999999999</v>
      </c>
      <c r="X84">
        <v>0.98789579999999999</v>
      </c>
      <c r="Y84">
        <v>3.8849519999999998E-2</v>
      </c>
      <c r="Z84">
        <v>-9.2441120000000005E-4</v>
      </c>
      <c r="AA84">
        <v>0.99924460000000004</v>
      </c>
      <c r="AB84">
        <v>5</v>
      </c>
      <c r="AC84">
        <v>27.3750999999999</v>
      </c>
      <c r="AD84">
        <v>-1.121199663301</v>
      </c>
      <c r="AE84">
        <v>-1.12329999999997</v>
      </c>
      <c r="AF84">
        <v>1.0649332117233401</v>
      </c>
      <c r="AG84">
        <v>-1.121199663301</v>
      </c>
      <c r="AH84">
        <v>27.3315924208617</v>
      </c>
      <c r="AI84">
        <v>92.347297720791204</v>
      </c>
      <c r="AJ84">
        <v>87.768687297803396</v>
      </c>
      <c r="AK84">
        <v>27.3753011981699</v>
      </c>
      <c r="AL84">
        <v>81.133767323462394</v>
      </c>
      <c r="AM84">
        <v>91.015038508049301</v>
      </c>
      <c r="AN84">
        <v>0.99999997173861699</v>
      </c>
    </row>
    <row r="85" spans="1:40" x14ac:dyDescent="0.25">
      <c r="A85" t="str">
        <f>"20190303161844521"</f>
        <v>20190303161844521</v>
      </c>
      <c r="B85" t="str">
        <f>"1551601124512865"</f>
        <v>1551601124512865</v>
      </c>
      <c r="C85" t="s">
        <v>40</v>
      </c>
      <c r="D85">
        <v>4.6721979999999999</v>
      </c>
      <c r="E85">
        <v>0.51795150000000001</v>
      </c>
      <c r="F85" t="s">
        <v>41</v>
      </c>
      <c r="G85">
        <v>-447.73390000000001</v>
      </c>
      <c r="H85" s="1">
        <v>-1.7501979999999999E-6</v>
      </c>
      <c r="I85">
        <v>366.24979999999999</v>
      </c>
      <c r="J85">
        <v>-473.05259999999998</v>
      </c>
      <c r="K85">
        <v>1.1215310000000001</v>
      </c>
      <c r="L85">
        <v>367.0634</v>
      </c>
      <c r="M85">
        <v>0.9999363</v>
      </c>
      <c r="N85">
        <v>-1.1105490000000001E-2</v>
      </c>
      <c r="O85">
        <v>-2.083831E-3</v>
      </c>
      <c r="P85">
        <v>0.9895815</v>
      </c>
      <c r="Q85">
        <v>0.14314250000000001</v>
      </c>
      <c r="R85">
        <v>1.545771E-2</v>
      </c>
      <c r="S85">
        <v>3.0533450000000002</v>
      </c>
      <c r="T85">
        <v>-0.13507089999999999</v>
      </c>
      <c r="U85">
        <v>-9.8022460000000006E-2</v>
      </c>
      <c r="V85">
        <v>-1.7512119999999999E-2</v>
      </c>
      <c r="W85">
        <v>0.15412429999999999</v>
      </c>
      <c r="X85">
        <v>0.98789629999999995</v>
      </c>
      <c r="Y85">
        <v>2.9968330000000001E-2</v>
      </c>
      <c r="Z85">
        <v>-7.5993239999999997E-4</v>
      </c>
      <c r="AA85">
        <v>0.99955059999999996</v>
      </c>
      <c r="AB85">
        <v>5</v>
      </c>
      <c r="AC85">
        <v>25.3186999999999</v>
      </c>
      <c r="AD85">
        <v>-1.1215327501979999</v>
      </c>
      <c r="AE85">
        <v>-0.81360000000000798</v>
      </c>
      <c r="AF85">
        <v>0.75934664932416795</v>
      </c>
      <c r="AG85">
        <v>-1.1215327501979999</v>
      </c>
      <c r="AH85">
        <v>25.270805553309</v>
      </c>
      <c r="AI85">
        <v>92.540006906694401</v>
      </c>
      <c r="AJ85">
        <v>88.278872794296504</v>
      </c>
      <c r="AK85">
        <v>25.307075223280101</v>
      </c>
      <c r="AL85">
        <v>81.133988262597597</v>
      </c>
      <c r="AM85">
        <v>91.015557491251897</v>
      </c>
      <c r="AN85">
        <v>1.00000003687553</v>
      </c>
    </row>
    <row r="86" spans="1:40" x14ac:dyDescent="0.25">
      <c r="A86" t="str">
        <f>"20190303161844539"</f>
        <v>20190303161844539</v>
      </c>
      <c r="B86" t="str">
        <f>"1551601124533361"</f>
        <v>1551601124533361</v>
      </c>
      <c r="C86" t="s">
        <v>40</v>
      </c>
      <c r="D86">
        <v>4.6516310000000001</v>
      </c>
      <c r="E86">
        <v>0.51641300000000001</v>
      </c>
      <c r="F86" t="s">
        <v>41</v>
      </c>
      <c r="G86">
        <v>-448.40170000000001</v>
      </c>
      <c r="H86" s="1">
        <v>-1.471339E-6</v>
      </c>
      <c r="I86">
        <v>366.334</v>
      </c>
      <c r="J86">
        <v>-473.0222</v>
      </c>
      <c r="K86">
        <v>1.121947</v>
      </c>
      <c r="L86">
        <v>367.06330000000003</v>
      </c>
      <c r="M86">
        <v>0.99991739999999996</v>
      </c>
      <c r="N86">
        <v>-1.2686589999999999E-2</v>
      </c>
      <c r="O86">
        <v>-2.1014190000000002E-3</v>
      </c>
      <c r="P86">
        <v>0.98989369999999999</v>
      </c>
      <c r="Q86">
        <v>0.14103729999999901</v>
      </c>
      <c r="R86">
        <v>1.4802839999999999E-2</v>
      </c>
      <c r="S86">
        <v>3.0531009999999998</v>
      </c>
      <c r="T86">
        <v>-0.1389059</v>
      </c>
      <c r="U86">
        <v>-9.0332029999999994E-2</v>
      </c>
      <c r="V86">
        <v>-1.6877130000000001E-2</v>
      </c>
      <c r="W86">
        <v>0.15358479999999999</v>
      </c>
      <c r="X86">
        <v>0.98799130000000002</v>
      </c>
      <c r="Y86">
        <v>2.743816E-2</v>
      </c>
      <c r="Z86">
        <v>-7.2903059999999997E-4</v>
      </c>
      <c r="AA86">
        <v>0.99962320000000005</v>
      </c>
      <c r="AB86">
        <v>5</v>
      </c>
      <c r="AC86">
        <v>24.6205</v>
      </c>
      <c r="AD86">
        <v>-1.121948471339</v>
      </c>
      <c r="AE86">
        <v>-0.72930000000002304</v>
      </c>
      <c r="AF86">
        <v>0.67615337662692199</v>
      </c>
      <c r="AG86">
        <v>-1.121948471339</v>
      </c>
      <c r="AH86">
        <v>24.570999002378102</v>
      </c>
      <c r="AI86">
        <v>92.613406845954799</v>
      </c>
      <c r="AJ86">
        <v>88.423712430678506</v>
      </c>
      <c r="AK86">
        <v>24.6058924596514</v>
      </c>
      <c r="AL86">
        <v>81.165271204177799</v>
      </c>
      <c r="AM86">
        <v>90.978646551645596</v>
      </c>
      <c r="AN86">
        <v>0.999999968591883</v>
      </c>
    </row>
    <row r="87" spans="1:40" x14ac:dyDescent="0.25">
      <c r="A87" t="str">
        <f>"20190303161844553"</f>
        <v>20190303161844553</v>
      </c>
      <c r="B87" t="str">
        <f>"1551601124543121"</f>
        <v>1551601124543121</v>
      </c>
      <c r="C87" t="s">
        <v>40</v>
      </c>
      <c r="D87">
        <v>4.6625040000000002</v>
      </c>
      <c r="E87">
        <v>0.51593750000000005</v>
      </c>
      <c r="F87" t="s">
        <v>41</v>
      </c>
      <c r="G87">
        <v>-450.06740000000002</v>
      </c>
      <c r="H87" s="1">
        <v>-4.8029890000000003E-6</v>
      </c>
      <c r="I87">
        <v>366.46140000000003</v>
      </c>
      <c r="J87">
        <v>-472.99619999999999</v>
      </c>
      <c r="K87">
        <v>1.12202</v>
      </c>
      <c r="L87">
        <v>367.06319999999999</v>
      </c>
      <c r="M87">
        <v>0.99991110000000005</v>
      </c>
      <c r="N87">
        <v>-1.3171560000000001E-2</v>
      </c>
      <c r="O87">
        <v>-2.1172999999999999E-3</v>
      </c>
      <c r="P87">
        <v>0.98997579999999996</v>
      </c>
      <c r="Q87">
        <v>0.1404639</v>
      </c>
      <c r="R87">
        <v>1.4764660000000001E-2</v>
      </c>
      <c r="S87">
        <v>3.0531009999999998</v>
      </c>
      <c r="T87">
        <v>-0.14922479999999999</v>
      </c>
      <c r="U87">
        <v>-8.0047610000000005E-2</v>
      </c>
      <c r="V87">
        <v>-1.685524E-2</v>
      </c>
      <c r="W87">
        <v>0.1534915</v>
      </c>
      <c r="X87">
        <v>0.98800619999999995</v>
      </c>
      <c r="Y87">
        <v>2.4057539999999999E-2</v>
      </c>
      <c r="Z87">
        <v>-6.7053070000000004E-4</v>
      </c>
      <c r="AA87">
        <v>0.99971030000000005</v>
      </c>
      <c r="AB87">
        <v>4</v>
      </c>
      <c r="AC87">
        <v>22.928799999999899</v>
      </c>
      <c r="AD87">
        <v>-1.1220248029889901</v>
      </c>
      <c r="AE87">
        <v>-0.60179999999996803</v>
      </c>
      <c r="AF87">
        <v>0.55192653353408905</v>
      </c>
      <c r="AG87">
        <v>-1.1220248029889901</v>
      </c>
      <c r="AH87">
        <v>22.875282285722701</v>
      </c>
      <c r="AI87">
        <v>92.807272254156899</v>
      </c>
      <c r="AJ87">
        <v>88.617856324570795</v>
      </c>
      <c r="AK87">
        <v>22.909432603371901</v>
      </c>
      <c r="AL87">
        <v>81.170681285743299</v>
      </c>
      <c r="AM87">
        <v>90.9773627355911</v>
      </c>
      <c r="AN87">
        <v>0.99999999546307305</v>
      </c>
    </row>
    <row r="88" spans="1:40" x14ac:dyDescent="0.25">
      <c r="A88" t="str">
        <f>"20190303161844572"</f>
        <v>20190303161844572</v>
      </c>
      <c r="B88" t="str">
        <f>"1551601124562641"</f>
        <v>1551601124562641</v>
      </c>
      <c r="C88" t="s">
        <v>40</v>
      </c>
      <c r="D88">
        <v>4.6533749999999996</v>
      </c>
      <c r="E88">
        <v>0.51491169999999997</v>
      </c>
      <c r="F88" t="s">
        <v>41</v>
      </c>
      <c r="G88">
        <v>-450.4966</v>
      </c>
      <c r="H88" s="1">
        <v>-4.6119410000000003E-6</v>
      </c>
      <c r="I88">
        <v>366.50040000000001</v>
      </c>
      <c r="J88">
        <v>-472.95870000000002</v>
      </c>
      <c r="K88">
        <v>1.1217629999999901</v>
      </c>
      <c r="L88">
        <v>367.06310000000002</v>
      </c>
      <c r="M88">
        <v>0.99991859999999999</v>
      </c>
      <c r="N88">
        <v>-1.2576250000000001E-2</v>
      </c>
      <c r="O88">
        <v>-2.1424690000000001E-3</v>
      </c>
      <c r="P88">
        <v>0.98997860000000004</v>
      </c>
      <c r="Q88">
        <v>0.14047229999999999</v>
      </c>
      <c r="R88">
        <v>1.4486280000000001E-2</v>
      </c>
      <c r="S88">
        <v>3.0531920000000001</v>
      </c>
      <c r="T88">
        <v>-0.15225839999999999</v>
      </c>
      <c r="U88">
        <v>-7.6354980000000003E-2</v>
      </c>
      <c r="V88">
        <v>-1.6600460000000001E-2</v>
      </c>
      <c r="W88">
        <v>0.15291199999999999</v>
      </c>
      <c r="X88">
        <v>0.98810030000000004</v>
      </c>
      <c r="Y88">
        <v>2.2824379999999998E-2</v>
      </c>
      <c r="Z88">
        <v>-6.3250069999999995E-4</v>
      </c>
      <c r="AA88">
        <v>0.9997393</v>
      </c>
      <c r="AB88">
        <v>4</v>
      </c>
      <c r="AC88">
        <v>22.4621</v>
      </c>
      <c r="AD88">
        <v>-1.1217676119409901</v>
      </c>
      <c r="AE88">
        <v>-0.56270000000000597</v>
      </c>
      <c r="AF88">
        <v>0.51329117749692699</v>
      </c>
      <c r="AG88">
        <v>-1.1217676119409901</v>
      </c>
      <c r="AH88">
        <v>22.407403974905801</v>
      </c>
      <c r="AI88">
        <v>92.865219096292606</v>
      </c>
      <c r="AJ88">
        <v>88.687742869258699</v>
      </c>
      <c r="AK88">
        <v>22.441336486553499</v>
      </c>
      <c r="AL88">
        <v>81.204280245828599</v>
      </c>
      <c r="AM88">
        <v>90.962500288869606</v>
      </c>
      <c r="AN88">
        <v>0.99999992893814804</v>
      </c>
    </row>
    <row r="89" spans="1:40" x14ac:dyDescent="0.25">
      <c r="A89" t="str">
        <f>"20190303161844586"</f>
        <v>20190303161844586</v>
      </c>
      <c r="B89" t="str">
        <f>"1551601124573377"</f>
        <v>1551601124573377</v>
      </c>
      <c r="C89" t="s">
        <v>40</v>
      </c>
      <c r="D89">
        <v>4.6541290000000002</v>
      </c>
      <c r="E89">
        <v>0.51429990000000003</v>
      </c>
      <c r="F89" t="s">
        <v>41</v>
      </c>
      <c r="G89">
        <v>-450.71800000000002</v>
      </c>
      <c r="H89" s="1">
        <v>-4.506369E-6</v>
      </c>
      <c r="I89">
        <v>366.56020000000001</v>
      </c>
      <c r="J89">
        <v>-472.9289</v>
      </c>
      <c r="K89">
        <v>1.121427</v>
      </c>
      <c r="L89">
        <v>367.06299999999999</v>
      </c>
      <c r="M89">
        <v>0.99993089999999996</v>
      </c>
      <c r="N89">
        <v>-1.156422E-2</v>
      </c>
      <c r="O89">
        <v>-2.1646439999999999E-3</v>
      </c>
      <c r="P89">
        <v>0.98992539999999996</v>
      </c>
      <c r="Q89">
        <v>0.14085989999999901</v>
      </c>
      <c r="R89">
        <v>1.436524E-2</v>
      </c>
      <c r="S89">
        <v>3.0532530000000002</v>
      </c>
      <c r="T89">
        <v>-0.15399839999999901</v>
      </c>
      <c r="U89">
        <v>-6.9030759999999997E-2</v>
      </c>
      <c r="V89">
        <v>-1.6500270000000001E-2</v>
      </c>
      <c r="W89">
        <v>0.15229889999999999</v>
      </c>
      <c r="X89">
        <v>0.98819670000000004</v>
      </c>
      <c r="Y89">
        <v>2.0408610000000001E-2</v>
      </c>
      <c r="Z89">
        <v>-5.4832549999999996E-4</v>
      </c>
      <c r="AA89">
        <v>0.9997916</v>
      </c>
      <c r="AB89">
        <v>4</v>
      </c>
      <c r="AC89">
        <v>22.210899999999899</v>
      </c>
      <c r="AD89">
        <v>-1.1214315063689999</v>
      </c>
      <c r="AE89">
        <v>-0.502800000000036</v>
      </c>
      <c r="AF89">
        <v>0.45356126975601102</v>
      </c>
      <c r="AG89">
        <v>-1.1214315063689999</v>
      </c>
      <c r="AH89">
        <v>22.155485370232199</v>
      </c>
      <c r="AI89">
        <v>92.897028760769899</v>
      </c>
      <c r="AJ89">
        <v>88.827219686195093</v>
      </c>
      <c r="AK89">
        <v>22.188484816216501</v>
      </c>
      <c r="AL89">
        <v>81.239824941821894</v>
      </c>
      <c r="AM89">
        <v>90.956599012344398</v>
      </c>
      <c r="AN89">
        <v>0.99999996587108597</v>
      </c>
    </row>
    <row r="90" spans="1:40" x14ac:dyDescent="0.25">
      <c r="A90" t="str">
        <f>"20190303161844598"</f>
        <v>20190303161844598</v>
      </c>
      <c r="B90" t="str">
        <f>"1551601124592896"</f>
        <v>1551601124592896</v>
      </c>
      <c r="C90" t="s">
        <v>40</v>
      </c>
      <c r="D90">
        <v>4.7008409999999996</v>
      </c>
      <c r="E90">
        <v>0.51363749999999997</v>
      </c>
      <c r="F90" t="s">
        <v>41</v>
      </c>
      <c r="G90">
        <v>-450.68259999999998</v>
      </c>
      <c r="H90" s="1">
        <v>-4.5156609999999998E-6</v>
      </c>
      <c r="I90">
        <v>366.59350000000001</v>
      </c>
      <c r="J90">
        <v>-472.89789999999999</v>
      </c>
      <c r="K90">
        <v>1.1211310000000001</v>
      </c>
      <c r="L90">
        <v>367.06290000000001</v>
      </c>
      <c r="M90">
        <v>0.99994249999999996</v>
      </c>
      <c r="N90">
        <v>-1.0495620000000001E-2</v>
      </c>
      <c r="O90">
        <v>-2.1910720000000001E-3</v>
      </c>
      <c r="P90">
        <v>0.98979589999999995</v>
      </c>
      <c r="Q90">
        <v>0.14178949999999901</v>
      </c>
      <c r="R90">
        <v>1.414698E-2</v>
      </c>
      <c r="S90">
        <v>3.0534059999999998</v>
      </c>
      <c r="T90">
        <v>-0.15392069999999999</v>
      </c>
      <c r="U90">
        <v>-6.4422610000000005E-2</v>
      </c>
      <c r="V90">
        <v>-1.6306930000000001E-2</v>
      </c>
      <c r="W90">
        <v>0.15217069999999999</v>
      </c>
      <c r="X90">
        <v>0.98821970000000003</v>
      </c>
      <c r="Y90">
        <v>1.8875949999999999E-2</v>
      </c>
      <c r="Z90">
        <v>-4.8717139999999998E-4</v>
      </c>
      <c r="AA90">
        <v>0.99982170000000004</v>
      </c>
      <c r="AB90">
        <v>5</v>
      </c>
      <c r="AC90">
        <v>22.215299999999999</v>
      </c>
      <c r="AD90">
        <v>-1.1211355156609999</v>
      </c>
      <c r="AE90">
        <v>-0.46940000000000698</v>
      </c>
      <c r="AF90">
        <v>0.41965253321718698</v>
      </c>
      <c r="AG90">
        <v>-1.1211355156609999</v>
      </c>
      <c r="AH90">
        <v>22.1598614545081</v>
      </c>
      <c r="AI90">
        <v>92.895781805111696</v>
      </c>
      <c r="AJ90">
        <v>88.915090450742198</v>
      </c>
      <c r="AK90">
        <v>22.192172331164599</v>
      </c>
      <c r="AL90">
        <v>81.247257245154401</v>
      </c>
      <c r="AM90">
        <v>90.945370221533395</v>
      </c>
      <c r="AN90">
        <v>1.0000000066863</v>
      </c>
    </row>
    <row r="91" spans="1:40" x14ac:dyDescent="0.25">
      <c r="A91" t="str">
        <f>"20190303161844618"</f>
        <v>20190303161844618</v>
      </c>
      <c r="B91" t="str">
        <f>"1551601124613392"</f>
        <v>1551601124613392</v>
      </c>
      <c r="C91" t="s">
        <v>40</v>
      </c>
      <c r="D91">
        <v>4.6518540000000002</v>
      </c>
      <c r="E91">
        <v>0.51289580000000001</v>
      </c>
      <c r="F91" t="s">
        <v>41</v>
      </c>
      <c r="G91">
        <v>-450.68209999999999</v>
      </c>
      <c r="H91" s="1">
        <v>-4.5090270000000001E-6</v>
      </c>
      <c r="I91">
        <v>366.63189999999997</v>
      </c>
      <c r="J91">
        <v>-472.85359999999997</v>
      </c>
      <c r="K91">
        <v>1.1208149999999999</v>
      </c>
      <c r="L91">
        <v>367.06279999999998</v>
      </c>
      <c r="M91">
        <v>0.99995500000000004</v>
      </c>
      <c r="N91">
        <v>-9.2306850000000006E-3</v>
      </c>
      <c r="O91">
        <v>-2.230863E-3</v>
      </c>
      <c r="P91">
        <v>0.98967249999999996</v>
      </c>
      <c r="Q91">
        <v>0.14266980000000001</v>
      </c>
      <c r="R91">
        <v>1.3925740000000001E-2</v>
      </c>
      <c r="S91">
        <v>3.0538940000000001</v>
      </c>
      <c r="T91">
        <v>-0.15411649999999999</v>
      </c>
      <c r="U91">
        <v>-5.9234620000000002E-2</v>
      </c>
      <c r="V91">
        <v>-1.6123620000000002E-2</v>
      </c>
      <c r="W91">
        <v>0.15179979999999901</v>
      </c>
      <c r="X91">
        <v>0.98827980000000004</v>
      </c>
      <c r="Y91">
        <v>1.713829E-2</v>
      </c>
      <c r="Z91">
        <v>-4.1938030000000001E-4</v>
      </c>
      <c r="AA91">
        <v>0.99985299999999999</v>
      </c>
      <c r="AB91">
        <v>5</v>
      </c>
      <c r="AC91">
        <v>22.171499999999899</v>
      </c>
      <c r="AD91">
        <v>-1.1208195090269999</v>
      </c>
      <c r="AE91">
        <v>-0.430900000000008</v>
      </c>
      <c r="AF91">
        <v>0.38046332703747199</v>
      </c>
      <c r="AG91">
        <v>-1.1208195090269999</v>
      </c>
      <c r="AH91">
        <v>22.115909583454702</v>
      </c>
      <c r="AI91">
        <v>92.900801178625599</v>
      </c>
      <c r="AJ91">
        <v>89.014429284754897</v>
      </c>
      <c r="AK91">
        <v>22.147560710348699</v>
      </c>
      <c r="AL91">
        <v>81.268758469987105</v>
      </c>
      <c r="AM91">
        <v>90.934688156549399</v>
      </c>
      <c r="AN91">
        <v>1.00000005674499</v>
      </c>
    </row>
    <row r="92" spans="1:40" x14ac:dyDescent="0.25">
      <c r="A92" t="str">
        <f>"20190303161844640"</f>
        <v>20190303161844640</v>
      </c>
      <c r="B92" t="str">
        <f>"1551601124632912"</f>
        <v>1551601124632912</v>
      </c>
      <c r="C92" t="s">
        <v>40</v>
      </c>
      <c r="D92">
        <v>4.7594450000000004</v>
      </c>
      <c r="E92">
        <v>0.51251279999999999</v>
      </c>
      <c r="F92" t="s">
        <v>41</v>
      </c>
      <c r="G92">
        <v>-450.40730000000002</v>
      </c>
      <c r="H92" s="1">
        <v>-4.6212800000000004E-6</v>
      </c>
      <c r="I92">
        <v>366.66390000000001</v>
      </c>
      <c r="J92">
        <v>-472.8032</v>
      </c>
      <c r="K92">
        <v>1.120927</v>
      </c>
      <c r="L92">
        <v>367.06259999999997</v>
      </c>
      <c r="M92">
        <v>0.99995480000000003</v>
      </c>
      <c r="N92">
        <v>-9.2483229999999993E-3</v>
      </c>
      <c r="O92">
        <v>-2.2721960000000002E-3</v>
      </c>
      <c r="P92">
        <v>0.98977969999999904</v>
      </c>
      <c r="Q92">
        <v>0.1419811</v>
      </c>
      <c r="R92">
        <v>1.3335039999999999E-2</v>
      </c>
      <c r="S92">
        <v>3.0539860000000001</v>
      </c>
      <c r="T92">
        <v>-0.15249499999999999</v>
      </c>
      <c r="U92">
        <v>-5.4260250000000003E-2</v>
      </c>
      <c r="V92">
        <v>-1.5574340000000001E-2</v>
      </c>
      <c r="W92">
        <v>0.1511295</v>
      </c>
      <c r="X92">
        <v>0.98839129999999997</v>
      </c>
      <c r="Y92">
        <v>1.547128E-2</v>
      </c>
      <c r="Z92">
        <v>-3.6522010000000001E-4</v>
      </c>
      <c r="AA92">
        <v>0.99988030000000006</v>
      </c>
      <c r="AB92">
        <v>5</v>
      </c>
      <c r="AC92">
        <v>22.395899999999902</v>
      </c>
      <c r="AD92">
        <v>-1.12093162128</v>
      </c>
      <c r="AE92">
        <v>-0.39869999999996197</v>
      </c>
      <c r="AF92">
        <v>0.34694009090872902</v>
      </c>
      <c r="AG92">
        <v>-1.12093162128</v>
      </c>
      <c r="AH92">
        <v>22.3408004346051</v>
      </c>
      <c r="AI92">
        <v>92.872015032940297</v>
      </c>
      <c r="AJ92">
        <v>89.110300220581706</v>
      </c>
      <c r="AK92">
        <v>22.371594024233399</v>
      </c>
      <c r="AL92">
        <v>81.3076118085487</v>
      </c>
      <c r="AM92">
        <v>90.9027498602631</v>
      </c>
      <c r="AN92">
        <v>1.0000000238761799</v>
      </c>
    </row>
    <row r="93" spans="1:40" x14ac:dyDescent="0.25">
      <c r="A93" t="str">
        <f>"20190303161844662"</f>
        <v>20190303161844662</v>
      </c>
      <c r="B93" t="str">
        <f>"1551601124653409"</f>
        <v>1551601124653409</v>
      </c>
      <c r="C93" t="s">
        <v>40</v>
      </c>
      <c r="D93">
        <v>4.6867869999999998</v>
      </c>
      <c r="E93">
        <v>0.51262059999999998</v>
      </c>
      <c r="F93" t="s">
        <v>41</v>
      </c>
      <c r="G93">
        <v>-450.92270000000002</v>
      </c>
      <c r="H93" s="1">
        <v>-4.3972190000000003E-6</v>
      </c>
      <c r="I93">
        <v>366.68040000000002</v>
      </c>
      <c r="J93">
        <v>-472.75970000000001</v>
      </c>
      <c r="K93">
        <v>1.1213979999999999</v>
      </c>
      <c r="L93">
        <v>367.0625</v>
      </c>
      <c r="M93">
        <v>0.99994050000000001</v>
      </c>
      <c r="N93">
        <v>-1.067677E-2</v>
      </c>
      <c r="O93">
        <v>-2.3032510000000001E-3</v>
      </c>
      <c r="P93">
        <v>0.99006190000000005</v>
      </c>
      <c r="Q93">
        <v>0.1400441</v>
      </c>
      <c r="R93">
        <v>1.2853150000000001E-2</v>
      </c>
      <c r="S93">
        <v>3.054138</v>
      </c>
      <c r="T93">
        <v>-0.15646260000000001</v>
      </c>
      <c r="U93">
        <v>-5.334473E-2</v>
      </c>
      <c r="V93">
        <v>-1.512499E-2</v>
      </c>
      <c r="W93">
        <v>0.1506072</v>
      </c>
      <c r="X93">
        <v>0.98847790000000002</v>
      </c>
      <c r="Y93">
        <v>1.5138540000000001E-2</v>
      </c>
      <c r="Z93">
        <v>-3.7504509999999999E-4</v>
      </c>
      <c r="AA93">
        <v>0.99988529999999998</v>
      </c>
      <c r="AB93">
        <v>5</v>
      </c>
      <c r="AC93">
        <v>21.8369999999999</v>
      </c>
      <c r="AD93">
        <v>-1.1214023972189999</v>
      </c>
      <c r="AE93">
        <v>-0.38209999999997901</v>
      </c>
      <c r="AF93">
        <v>0.33092759196123001</v>
      </c>
      <c r="AG93">
        <v>-1.1214023972189999</v>
      </c>
      <c r="AH93">
        <v>21.780401300598498</v>
      </c>
      <c r="AI93">
        <v>92.947032229239795</v>
      </c>
      <c r="AJ93">
        <v>89.129524968818203</v>
      </c>
      <c r="AK93">
        <v>21.8117614424586</v>
      </c>
      <c r="AL93">
        <v>81.337883041402407</v>
      </c>
      <c r="AM93">
        <v>90.876631100804204</v>
      </c>
      <c r="AN93">
        <v>0.99999992640137203</v>
      </c>
    </row>
    <row r="94" spans="1:40" x14ac:dyDescent="0.25">
      <c r="A94" t="str">
        <f>"20190303161844683"</f>
        <v>20190303161844683</v>
      </c>
      <c r="B94" t="str">
        <f>"1551601124672928"</f>
        <v>1551601124672928</v>
      </c>
      <c r="C94" t="s">
        <v>40</v>
      </c>
      <c r="D94">
        <v>4.7672610000000004</v>
      </c>
      <c r="E94">
        <v>0.51260209999999995</v>
      </c>
      <c r="F94" t="s">
        <v>41</v>
      </c>
      <c r="G94">
        <v>-451.79989999999998</v>
      </c>
      <c r="H94" s="1">
        <v>-4.0206549999999997E-6</v>
      </c>
      <c r="I94">
        <v>366.68180000000001</v>
      </c>
      <c r="J94">
        <v>-472.71929999999998</v>
      </c>
      <c r="K94">
        <v>1.121909</v>
      </c>
      <c r="L94">
        <v>367.06229999999999</v>
      </c>
      <c r="M94">
        <v>0.99991850000000004</v>
      </c>
      <c r="N94">
        <v>-1.255887E-2</v>
      </c>
      <c r="O94">
        <v>-2.3277160000000001E-3</v>
      </c>
      <c r="P94">
        <v>0.99031789999999997</v>
      </c>
      <c r="Q94">
        <v>0.138247799999999</v>
      </c>
      <c r="R94">
        <v>1.2574220000000001E-2</v>
      </c>
      <c r="S94">
        <v>3.053925</v>
      </c>
      <c r="T94">
        <v>-0.16339189999999901</v>
      </c>
      <c r="U94">
        <v>-5.5450439999999997E-2</v>
      </c>
      <c r="V94">
        <v>-1.487314E-2</v>
      </c>
      <c r="W94">
        <v>0.15067469999999999</v>
      </c>
      <c r="X94">
        <v>0.98847149999999995</v>
      </c>
      <c r="Y94">
        <v>1.5800600000000001E-2</v>
      </c>
      <c r="Z94">
        <v>-4.2644390000000002E-4</v>
      </c>
      <c r="AA94">
        <v>0.99987510000000002</v>
      </c>
      <c r="AB94">
        <v>5</v>
      </c>
      <c r="AC94">
        <v>20.9194</v>
      </c>
      <c r="AD94">
        <v>-1.1219130206550001</v>
      </c>
      <c r="AE94">
        <v>-0.38049999999998302</v>
      </c>
      <c r="AF94">
        <v>0.33084943367302899</v>
      </c>
      <c r="AG94">
        <v>-1.1219130206550001</v>
      </c>
      <c r="AH94">
        <v>20.8602505567017</v>
      </c>
      <c r="AI94">
        <v>93.078148551211498</v>
      </c>
      <c r="AJ94">
        <v>89.091349026813305</v>
      </c>
      <c r="AK94">
        <v>20.893018055370799</v>
      </c>
      <c r="AL94">
        <v>81.333971496492893</v>
      </c>
      <c r="AM94">
        <v>90.862041898489096</v>
      </c>
      <c r="AN94">
        <v>0.99999999091289904</v>
      </c>
    </row>
    <row r="95" spans="1:40" x14ac:dyDescent="0.25">
      <c r="A95" t="str">
        <f>"20190303161844706"</f>
        <v>20190303161844706</v>
      </c>
      <c r="B95" t="str">
        <f>"1551601124693424"</f>
        <v>1551601124693424</v>
      </c>
      <c r="C95" t="s">
        <v>40</v>
      </c>
      <c r="D95">
        <v>4.7723930000000001</v>
      </c>
      <c r="E95">
        <v>0.5126018</v>
      </c>
      <c r="F95" t="s">
        <v>41</v>
      </c>
      <c r="G95">
        <v>-452.46960000000001</v>
      </c>
      <c r="H95" s="1">
        <v>-3.7319659999999999E-6</v>
      </c>
      <c r="I95">
        <v>366.68970000000002</v>
      </c>
      <c r="J95">
        <v>-472.67360000000002</v>
      </c>
      <c r="K95">
        <v>1.121804</v>
      </c>
      <c r="L95">
        <v>367.06220000000002</v>
      </c>
      <c r="M95">
        <v>0.999919</v>
      </c>
      <c r="N95">
        <v>-1.252231E-2</v>
      </c>
      <c r="O95">
        <v>-2.357044E-3</v>
      </c>
      <c r="P95">
        <v>0.99031919999999996</v>
      </c>
      <c r="Q95">
        <v>0.1382698</v>
      </c>
      <c r="R95">
        <v>1.224049E-2</v>
      </c>
      <c r="S95">
        <v>3.0536799999999999</v>
      </c>
      <c r="T95">
        <v>-0.16918520000000001</v>
      </c>
      <c r="U95">
        <v>-5.6182860000000001E-2</v>
      </c>
      <c r="V95">
        <v>-1.4568680000000001E-2</v>
      </c>
      <c r="W95">
        <v>0.1506605</v>
      </c>
      <c r="X95">
        <v>0.98847819999999997</v>
      </c>
      <c r="Y95">
        <v>1.6010480000000001E-2</v>
      </c>
      <c r="Z95">
        <v>-4.4251309999999999E-4</v>
      </c>
      <c r="AA95">
        <v>0.99987170000000003</v>
      </c>
      <c r="AB95">
        <v>4</v>
      </c>
      <c r="AC95">
        <v>20.204000000000001</v>
      </c>
      <c r="AD95">
        <v>-1.121807731966</v>
      </c>
      <c r="AE95">
        <v>-0.372500000000002</v>
      </c>
      <c r="AF95">
        <v>0.32387538043479502</v>
      </c>
      <c r="AG95">
        <v>-1.121807731966</v>
      </c>
      <c r="AH95">
        <v>20.142744583433799</v>
      </c>
      <c r="AI95">
        <v>93.187263608831003</v>
      </c>
      <c r="AJ95">
        <v>89.078820000111406</v>
      </c>
      <c r="AK95">
        <v>20.176558358724101</v>
      </c>
      <c r="AL95">
        <v>81.3347945034769</v>
      </c>
      <c r="AM95">
        <v>90.844392364432096</v>
      </c>
      <c r="AN95">
        <v>0.99999999228621606</v>
      </c>
    </row>
    <row r="96" spans="1:40" x14ac:dyDescent="0.25">
      <c r="A96" t="str">
        <f>"20190303161844728"</f>
        <v>20190303161844728</v>
      </c>
      <c r="B96" t="str">
        <f>"1551601124722705"</f>
        <v>1551601124722705</v>
      </c>
      <c r="C96" t="s">
        <v>40</v>
      </c>
      <c r="D96">
        <v>4.8035019999999999</v>
      </c>
      <c r="E96">
        <v>0.5125151</v>
      </c>
      <c r="F96" t="s">
        <v>41</v>
      </c>
      <c r="G96">
        <v>-452.50970000000001</v>
      </c>
      <c r="H96" s="1">
        <v>-3.7151919999999998E-6</v>
      </c>
      <c r="I96">
        <v>366.68729999999999</v>
      </c>
      <c r="J96">
        <v>-472.62279999999998</v>
      </c>
      <c r="K96">
        <v>1.121294</v>
      </c>
      <c r="L96">
        <v>367.06200000000001</v>
      </c>
      <c r="M96">
        <v>0.99993770000000004</v>
      </c>
      <c r="N96">
        <v>-1.0908670000000001E-2</v>
      </c>
      <c r="O96">
        <v>-2.3917259999999998E-3</v>
      </c>
      <c r="P96">
        <v>0.99010359999999997</v>
      </c>
      <c r="Q96">
        <v>0.1398363</v>
      </c>
      <c r="R96">
        <v>1.1869930000000001E-2</v>
      </c>
      <c r="S96">
        <v>3.0537719999999999</v>
      </c>
      <c r="T96">
        <v>-0.1698942</v>
      </c>
      <c r="U96">
        <v>-5.6762699999999902E-2</v>
      </c>
      <c r="V96">
        <v>-1.42308E-2</v>
      </c>
      <c r="W96">
        <v>0.1506294</v>
      </c>
      <c r="X96">
        <v>0.98848789999999997</v>
      </c>
      <c r="Y96">
        <v>1.6165499999999999E-2</v>
      </c>
      <c r="Z96">
        <v>-4.3068160000000002E-4</v>
      </c>
      <c r="AA96">
        <v>0.99986920000000001</v>
      </c>
      <c r="AB96">
        <v>5</v>
      </c>
      <c r="AC96">
        <v>20.1130999999999</v>
      </c>
      <c r="AD96">
        <v>-1.1212977151920001</v>
      </c>
      <c r="AE96">
        <v>-0.37469999999996101</v>
      </c>
      <c r="AF96">
        <v>0.32557948784913698</v>
      </c>
      <c r="AG96">
        <v>-1.1212977151920001</v>
      </c>
      <c r="AH96">
        <v>20.051639418249501</v>
      </c>
      <c r="AI96">
        <v>93.200254217949905</v>
      </c>
      <c r="AJ96">
        <v>89.069767261114507</v>
      </c>
      <c r="AK96">
        <v>20.085605640072199</v>
      </c>
      <c r="AL96">
        <v>81.336597302504003</v>
      </c>
      <c r="AM96">
        <v>90.824803677626605</v>
      </c>
      <c r="AN96">
        <v>1.0000000301297001</v>
      </c>
    </row>
    <row r="97" spans="1:40" x14ac:dyDescent="0.25">
      <c r="A97" t="str">
        <f>"20190303161844750"</f>
        <v>20190303161844750</v>
      </c>
      <c r="B97" t="str">
        <f>"1551601124743201"</f>
        <v>1551601124743201</v>
      </c>
      <c r="C97" t="s">
        <v>40</v>
      </c>
      <c r="D97">
        <v>4.7837160000000001</v>
      </c>
      <c r="E97">
        <v>0.51244000000000001</v>
      </c>
      <c r="F97" t="s">
        <v>41</v>
      </c>
      <c r="G97">
        <v>-451.839</v>
      </c>
      <c r="H97" s="1">
        <v>-4.0050879999999997E-6</v>
      </c>
      <c r="I97">
        <v>366.67500000000001</v>
      </c>
      <c r="J97">
        <v>-472.56959999999998</v>
      </c>
      <c r="K97">
        <v>1.120878</v>
      </c>
      <c r="L97">
        <v>367.06189999999998</v>
      </c>
      <c r="M97">
        <v>0.99995369999999995</v>
      </c>
      <c r="N97">
        <v>-9.3025039999999996E-3</v>
      </c>
      <c r="O97">
        <v>-2.43202E-3</v>
      </c>
      <c r="P97">
        <v>0.98989090000000002</v>
      </c>
      <c r="Q97">
        <v>0.14139179999999901</v>
      </c>
      <c r="R97">
        <v>1.1158110000000001E-2</v>
      </c>
      <c r="S97">
        <v>3.053925</v>
      </c>
      <c r="T97">
        <v>-0.16476009999999999</v>
      </c>
      <c r="U97">
        <v>-5.6854250000000002E-2</v>
      </c>
      <c r="V97">
        <v>-1.3556840000000001E-2</v>
      </c>
      <c r="W97">
        <v>0.15059449999999999</v>
      </c>
      <c r="X97">
        <v>0.98850269999999996</v>
      </c>
      <c r="Y97">
        <v>1.615668E-2</v>
      </c>
      <c r="Z97">
        <v>-4.022036E-4</v>
      </c>
      <c r="AA97">
        <v>0.99986940000000002</v>
      </c>
      <c r="AB97">
        <v>5</v>
      </c>
      <c r="AC97">
        <v>20.7305999999999</v>
      </c>
      <c r="AD97">
        <v>-1.120882005088</v>
      </c>
      <c r="AE97">
        <v>-0.38689999999996799</v>
      </c>
      <c r="AF97">
        <v>0.33549896279518998</v>
      </c>
      <c r="AG97">
        <v>-1.120882005088</v>
      </c>
      <c r="AH97">
        <v>20.671069825891198</v>
      </c>
      <c r="AI97">
        <v>93.103397313940206</v>
      </c>
      <c r="AJ97">
        <v>89.070150354149007</v>
      </c>
      <c r="AK97">
        <v>20.704155712567399</v>
      </c>
      <c r="AL97">
        <v>81.338620080984597</v>
      </c>
      <c r="AM97">
        <v>90.785734851219104</v>
      </c>
      <c r="AN97">
        <v>1.00000003962416</v>
      </c>
    </row>
    <row r="98" spans="1:40" x14ac:dyDescent="0.25">
      <c r="A98" t="str">
        <f>"20190303161844772"</f>
        <v>20190303161844772</v>
      </c>
      <c r="B98" t="str">
        <f>"1551601124762720"</f>
        <v>1551601124762720</v>
      </c>
      <c r="C98" t="s">
        <v>40</v>
      </c>
      <c r="D98">
        <v>4.8356070000000004</v>
      </c>
      <c r="E98">
        <v>0.5124031</v>
      </c>
      <c r="F98" t="s">
        <v>41</v>
      </c>
      <c r="G98">
        <v>-451.1653</v>
      </c>
      <c r="H98" s="1">
        <v>-4.2976719999999996E-6</v>
      </c>
      <c r="I98">
        <v>366.65480000000002</v>
      </c>
      <c r="J98">
        <v>-472.51569999999998</v>
      </c>
      <c r="K98">
        <v>1.120808</v>
      </c>
      <c r="L98">
        <v>367.06169999999997</v>
      </c>
      <c r="M98">
        <v>0.99995919999999905</v>
      </c>
      <c r="N98">
        <v>-8.6980700000000005E-3</v>
      </c>
      <c r="O98">
        <v>-2.4719759999999999E-3</v>
      </c>
      <c r="P98">
        <v>0.98984079999999997</v>
      </c>
      <c r="Q98">
        <v>0.14180299999999901</v>
      </c>
      <c r="R98">
        <v>1.0346269999999999E-2</v>
      </c>
      <c r="S98">
        <v>3.054138</v>
      </c>
      <c r="T98">
        <v>-0.15993579999999999</v>
      </c>
      <c r="U98">
        <v>-5.807495E-2</v>
      </c>
      <c r="V98">
        <v>-1.2784179999999999E-2</v>
      </c>
      <c r="W98">
        <v>0.15040829999999999</v>
      </c>
      <c r="X98">
        <v>0.98854129999999996</v>
      </c>
      <c r="Y98">
        <v>1.6516019999999999E-2</v>
      </c>
      <c r="Z98">
        <v>-3.9614480000000002E-4</v>
      </c>
      <c r="AA98">
        <v>0.99986350000000002</v>
      </c>
      <c r="AB98">
        <v>5</v>
      </c>
      <c r="AC98">
        <v>21.350399999999901</v>
      </c>
      <c r="AD98">
        <v>-1.1208122976719901</v>
      </c>
      <c r="AE98">
        <v>-0.40689999999995002</v>
      </c>
      <c r="AF98">
        <v>0.353146227586426</v>
      </c>
      <c r="AG98">
        <v>-1.1208122976719901</v>
      </c>
      <c r="AH98">
        <v>21.292682760604698</v>
      </c>
      <c r="AI98">
        <v>93.012762448973703</v>
      </c>
      <c r="AJ98">
        <v>89.049817551539803</v>
      </c>
      <c r="AK98">
        <v>21.3250855006123</v>
      </c>
      <c r="AL98">
        <v>81.349411098305396</v>
      </c>
      <c r="AM98">
        <v>90.7409288087796</v>
      </c>
      <c r="AN98">
        <v>0.99999999688642605</v>
      </c>
    </row>
    <row r="99" spans="1:40" x14ac:dyDescent="0.25">
      <c r="A99" t="str">
        <f>"20190303161844794"</f>
        <v>20190303161844794</v>
      </c>
      <c r="B99" t="str">
        <f>"1551601124783216"</f>
        <v>1551601124783216</v>
      </c>
      <c r="C99" t="s">
        <v>40</v>
      </c>
      <c r="D99">
        <v>4.7774510000000001</v>
      </c>
      <c r="E99">
        <v>0.51231779999999905</v>
      </c>
      <c r="F99" t="s">
        <v>41</v>
      </c>
      <c r="G99">
        <v>-450.87369999999999</v>
      </c>
      <c r="H99" s="1">
        <v>-4.4262000000000001E-6</v>
      </c>
      <c r="I99">
        <v>366.63560000000001</v>
      </c>
      <c r="J99">
        <v>-472.46719999999999</v>
      </c>
      <c r="K99">
        <v>1.1212439999999999</v>
      </c>
      <c r="L99">
        <v>367.0616</v>
      </c>
      <c r="M99">
        <v>0.99994740000000004</v>
      </c>
      <c r="N99">
        <v>-9.9433720000000007E-3</v>
      </c>
      <c r="O99">
        <v>-2.5035159999999999E-3</v>
      </c>
      <c r="P99">
        <v>0.99005129999999997</v>
      </c>
      <c r="Q99">
        <v>0.140348</v>
      </c>
      <c r="R99">
        <v>1.006957E-2</v>
      </c>
      <c r="S99">
        <v>3.0540769999999999</v>
      </c>
      <c r="T99">
        <v>-0.15816620000000001</v>
      </c>
      <c r="U99">
        <v>-6.011963E-2</v>
      </c>
      <c r="V99">
        <v>-1.254044E-2</v>
      </c>
      <c r="W99">
        <v>0.15018580000000001</v>
      </c>
      <c r="X99">
        <v>0.98857830000000002</v>
      </c>
      <c r="Y99">
        <v>1.7152799999999999E-2</v>
      </c>
      <c r="Z99">
        <v>-4.2450080000000002E-4</v>
      </c>
      <c r="AA99">
        <v>0.99985279999999999</v>
      </c>
      <c r="AB99">
        <v>6</v>
      </c>
      <c r="AC99">
        <v>21.593499999999999</v>
      </c>
      <c r="AD99">
        <v>-1.1212484262</v>
      </c>
      <c r="AE99">
        <v>-0.425999999999987</v>
      </c>
      <c r="AF99">
        <v>0.37093657509767303</v>
      </c>
      <c r="AG99">
        <v>-1.1212484262</v>
      </c>
      <c r="AH99">
        <v>21.5364541412652</v>
      </c>
      <c r="AI99">
        <v>92.979847618147005</v>
      </c>
      <c r="AJ99">
        <v>89.0132545104413</v>
      </c>
      <c r="AK99">
        <v>21.5688119504719</v>
      </c>
      <c r="AL99">
        <v>81.362306311832398</v>
      </c>
      <c r="AM99">
        <v>90.7267767747269</v>
      </c>
      <c r="AN99">
        <v>1.00000004619396</v>
      </c>
    </row>
    <row r="100" spans="1:40" x14ac:dyDescent="0.25">
      <c r="A100" t="str">
        <f>"20190303161844819"</f>
        <v>20190303161844819</v>
      </c>
      <c r="B100" t="str">
        <f>"1551601124802737"</f>
        <v>1551601124802737</v>
      </c>
      <c r="C100" t="s">
        <v>40</v>
      </c>
      <c r="D100">
        <v>4.9686529999999998</v>
      </c>
      <c r="E100">
        <v>0.51218609999999998</v>
      </c>
      <c r="F100" t="s">
        <v>41</v>
      </c>
      <c r="G100">
        <v>-451.3021</v>
      </c>
      <c r="H100" s="1">
        <v>-4.2408909999999999E-6</v>
      </c>
      <c r="I100">
        <v>366.64409999999998</v>
      </c>
      <c r="J100">
        <v>-472.4187</v>
      </c>
      <c r="K100">
        <v>1.121837</v>
      </c>
      <c r="L100">
        <v>367.06139999999999</v>
      </c>
      <c r="M100">
        <v>0.99992389999999998</v>
      </c>
      <c r="N100">
        <v>-1.2078169999999999E-2</v>
      </c>
      <c r="O100">
        <v>-2.5325149999999999E-3</v>
      </c>
      <c r="P100">
        <v>0.99043570000000003</v>
      </c>
      <c r="Q100">
        <v>0.1376182</v>
      </c>
      <c r="R100">
        <v>9.9225619999999994E-3</v>
      </c>
      <c r="S100">
        <v>3.0536500000000002</v>
      </c>
      <c r="T100">
        <v>-0.16177059999999999</v>
      </c>
      <c r="U100">
        <v>-6.0211180000000003E-2</v>
      </c>
      <c r="V100">
        <v>-1.24247E-2</v>
      </c>
      <c r="W100">
        <v>0.14957100000000001</v>
      </c>
      <c r="X100">
        <v>0.98867289999999997</v>
      </c>
      <c r="Y100">
        <v>1.7154260000000001E-2</v>
      </c>
      <c r="Z100">
        <v>-4.5423479999999998E-4</v>
      </c>
      <c r="AA100">
        <v>0.99985279999999999</v>
      </c>
      <c r="AB100">
        <v>5</v>
      </c>
      <c r="AC100">
        <v>21.116599999999998</v>
      </c>
      <c r="AD100">
        <v>-1.1218412408909999</v>
      </c>
      <c r="AE100">
        <v>-0.417300000000011</v>
      </c>
      <c r="AF100">
        <v>0.36279311814471699</v>
      </c>
      <c r="AG100">
        <v>-1.1218412408909999</v>
      </c>
      <c r="AH100">
        <v>21.058178280416801</v>
      </c>
      <c r="AI100">
        <v>93.049008037115698</v>
      </c>
      <c r="AJ100">
        <v>89.012998272846801</v>
      </c>
      <c r="AK100">
        <v>21.091159738292099</v>
      </c>
      <c r="AL100">
        <v>81.397933621003801</v>
      </c>
      <c r="AM100">
        <v>90.720000921652996</v>
      </c>
      <c r="AN100">
        <v>0.99999998020274905</v>
      </c>
    </row>
    <row r="101" spans="1:40" x14ac:dyDescent="0.25">
      <c r="A101" t="str">
        <f>"20190303161844840"</f>
        <v>20190303161844840</v>
      </c>
      <c r="B101" t="str">
        <f>"1551601124832992"</f>
        <v>1551601124832992</v>
      </c>
      <c r="C101" t="s">
        <v>40</v>
      </c>
      <c r="D101">
        <v>4.7976140000000003</v>
      </c>
      <c r="E101">
        <v>0.51190469999999999</v>
      </c>
      <c r="F101" t="s">
        <v>41</v>
      </c>
      <c r="G101">
        <v>-451.9785</v>
      </c>
      <c r="H101" s="1">
        <v>-3.94749E-6</v>
      </c>
      <c r="I101">
        <v>366.66230000000002</v>
      </c>
      <c r="J101">
        <v>-472.37479999999999</v>
      </c>
      <c r="K101">
        <v>1.121909</v>
      </c>
      <c r="L101">
        <v>367.06130000000002</v>
      </c>
      <c r="M101">
        <v>0.99991660000000004</v>
      </c>
      <c r="N101">
        <v>-1.2669740000000001E-2</v>
      </c>
      <c r="O101">
        <v>-2.545744E-3</v>
      </c>
      <c r="P101">
        <v>0.99059470000000005</v>
      </c>
      <c r="Q101">
        <v>0.13640869999999999</v>
      </c>
      <c r="R101">
        <v>1.072708E-2</v>
      </c>
      <c r="S101">
        <v>3.052826</v>
      </c>
      <c r="T101">
        <v>-0.16755100000000001</v>
      </c>
      <c r="U101">
        <v>-5.960083E-2</v>
      </c>
      <c r="V101">
        <v>-1.324532E-2</v>
      </c>
      <c r="W101">
        <v>0.1489482</v>
      </c>
      <c r="X101">
        <v>0.98875630000000003</v>
      </c>
      <c r="Y101">
        <v>1.6944799999999999E-2</v>
      </c>
      <c r="Z101">
        <v>-4.6469429999999997E-4</v>
      </c>
      <c r="AA101">
        <v>0.99985630000000003</v>
      </c>
      <c r="AB101">
        <v>5</v>
      </c>
      <c r="AC101">
        <v>20.3963</v>
      </c>
      <c r="AD101">
        <v>-1.12191294749</v>
      </c>
      <c r="AE101">
        <v>-0.39900000000000002</v>
      </c>
      <c r="AF101">
        <v>0.34602424584661101</v>
      </c>
      <c r="AG101">
        <v>-1.12191294749</v>
      </c>
      <c r="AH101">
        <v>20.3357448672751</v>
      </c>
      <c r="AI101">
        <v>93.157322443426807</v>
      </c>
      <c r="AJ101">
        <v>89.025173851275099</v>
      </c>
      <c r="AK101">
        <v>20.3696082620006</v>
      </c>
      <c r="AL101">
        <v>81.434021972025405</v>
      </c>
      <c r="AM101">
        <v>90.767484914086296</v>
      </c>
      <c r="AN101">
        <v>1.00000001278741</v>
      </c>
    </row>
    <row r="102" spans="1:40" x14ac:dyDescent="0.25">
      <c r="A102" t="str">
        <f>"20190303161844863"</f>
        <v>20190303161844863</v>
      </c>
      <c r="B102" t="str">
        <f>"1551601124853489"</f>
        <v>1551601124853489</v>
      </c>
      <c r="C102" t="s">
        <v>40</v>
      </c>
      <c r="D102">
        <v>4.7966559999999996</v>
      </c>
      <c r="E102">
        <v>0.51174370000000002</v>
      </c>
      <c r="F102" t="s">
        <v>41</v>
      </c>
      <c r="G102">
        <v>-451.73149999999998</v>
      </c>
      <c r="H102" s="1">
        <v>-4.0497609999999997E-6</v>
      </c>
      <c r="I102">
        <v>366.6832</v>
      </c>
      <c r="J102">
        <v>-472.32459999999998</v>
      </c>
      <c r="K102">
        <v>1.121489</v>
      </c>
      <c r="L102">
        <v>367.06110000000001</v>
      </c>
      <c r="M102">
        <v>0.99993089999999996</v>
      </c>
      <c r="N102">
        <v>-1.148774E-2</v>
      </c>
      <c r="O102">
        <v>-2.5498750000000001E-3</v>
      </c>
      <c r="P102">
        <v>0.99050240000000001</v>
      </c>
      <c r="Q102">
        <v>0.13697329999999999</v>
      </c>
      <c r="R102">
        <v>1.197933E-2</v>
      </c>
      <c r="S102">
        <v>3.0519409999999998</v>
      </c>
      <c r="T102">
        <v>-0.16586509999999999</v>
      </c>
      <c r="U102">
        <v>-5.5877690000000001E-2</v>
      </c>
      <c r="V102">
        <v>-1.4502650000000001E-2</v>
      </c>
      <c r="W102">
        <v>0.14834320000000001</v>
      </c>
      <c r="X102">
        <v>0.98882959999999998</v>
      </c>
      <c r="Y102">
        <v>1.5730379999999999E-2</v>
      </c>
      <c r="Z102">
        <v>-4.0835570000000002E-4</v>
      </c>
      <c r="AA102">
        <v>0.99987619999999999</v>
      </c>
      <c r="AB102">
        <v>4</v>
      </c>
      <c r="AC102">
        <v>20.5931</v>
      </c>
      <c r="AD102">
        <v>-1.1214930497610001</v>
      </c>
      <c r="AE102">
        <v>-0.37790000000001001</v>
      </c>
      <c r="AF102">
        <v>0.324423613462408</v>
      </c>
      <c r="AG102">
        <v>-1.1214930497610001</v>
      </c>
      <c r="AH102">
        <v>20.533118980492699</v>
      </c>
      <c r="AI102">
        <v>93.125927452604301</v>
      </c>
      <c r="AJ102">
        <v>89.094801072656296</v>
      </c>
      <c r="AK102">
        <v>20.5662824158549</v>
      </c>
      <c r="AL102">
        <v>81.469075275261005</v>
      </c>
      <c r="AM102">
        <v>90.840267184998794</v>
      </c>
      <c r="AN102">
        <v>1.00000000483971</v>
      </c>
    </row>
    <row r="103" spans="1:40" x14ac:dyDescent="0.25">
      <c r="A103" t="str">
        <f>"20190303161844883"</f>
        <v>20190303161844883</v>
      </c>
      <c r="B103" t="str">
        <f>"1551601124873010"</f>
        <v>1551601124873010</v>
      </c>
      <c r="C103" t="s">
        <v>40</v>
      </c>
      <c r="D103">
        <v>4.7829100000000002</v>
      </c>
      <c r="E103">
        <v>0.51165249999999995</v>
      </c>
      <c r="F103" t="s">
        <v>41</v>
      </c>
      <c r="G103">
        <v>-451.07089999999999</v>
      </c>
      <c r="H103" s="1">
        <v>-4.3297049999999997E-6</v>
      </c>
      <c r="I103">
        <v>366.70269999999999</v>
      </c>
      <c r="J103">
        <v>-472.2731</v>
      </c>
      <c r="K103">
        <v>1.1210230000000001</v>
      </c>
      <c r="L103">
        <v>367.06099999999998</v>
      </c>
      <c r="M103">
        <v>0.99994810000000001</v>
      </c>
      <c r="N103">
        <v>-9.8780510000000005E-3</v>
      </c>
      <c r="O103">
        <v>-2.552702E-3</v>
      </c>
      <c r="P103">
        <v>0.99034060000000002</v>
      </c>
      <c r="Q103">
        <v>0.1379667</v>
      </c>
      <c r="R103">
        <v>1.381961E-2</v>
      </c>
      <c r="S103">
        <v>3.0516359999999998</v>
      </c>
      <c r="T103">
        <v>-0.16102449999999999</v>
      </c>
      <c r="U103">
        <v>-5.1452640000000001E-2</v>
      </c>
      <c r="V103">
        <v>-1.6345829999999999E-2</v>
      </c>
      <c r="W103">
        <v>0.1477424</v>
      </c>
      <c r="X103">
        <v>0.98889079999999996</v>
      </c>
      <c r="Y103">
        <v>1.428451E-2</v>
      </c>
      <c r="Z103">
        <v>-3.3780760000000001E-4</v>
      </c>
      <c r="AA103">
        <v>0.99989790000000001</v>
      </c>
      <c r="AB103">
        <v>5</v>
      </c>
      <c r="AC103">
        <v>21.202200000000001</v>
      </c>
      <c r="AD103">
        <v>-1.121027329705</v>
      </c>
      <c r="AE103">
        <v>-0.35829999999998502</v>
      </c>
      <c r="AF103">
        <v>0.30332557526381798</v>
      </c>
      <c r="AG103">
        <v>-1.121027329705</v>
      </c>
      <c r="AH103">
        <v>21.143953042034301</v>
      </c>
      <c r="AI103">
        <v>93.034601080425801</v>
      </c>
      <c r="AJ103">
        <v>89.178106233281795</v>
      </c>
      <c r="AK103">
        <v>21.175822508755299</v>
      </c>
      <c r="AL103">
        <v>81.503882150513505</v>
      </c>
      <c r="AM103">
        <v>90.946982002677004</v>
      </c>
      <c r="AN103">
        <v>1.00000000862039</v>
      </c>
    </row>
    <row r="104" spans="1:40" x14ac:dyDescent="0.25">
      <c r="A104" t="str">
        <f>"20190303161844908"</f>
        <v>20190303161844908</v>
      </c>
      <c r="B104" t="str">
        <f>"1551601124903265"</f>
        <v>1551601124903265</v>
      </c>
      <c r="C104" t="s">
        <v>40</v>
      </c>
      <c r="D104">
        <v>4.8293249999999999</v>
      </c>
      <c r="E104">
        <v>0.49631540000000002</v>
      </c>
      <c r="F104" t="s">
        <v>41</v>
      </c>
      <c r="G104">
        <v>-450.30079999999998</v>
      </c>
      <c r="H104" s="1">
        <v>-4.6555349999999996E-6</v>
      </c>
      <c r="I104">
        <v>366.72829999999999</v>
      </c>
      <c r="J104">
        <v>-472.21350000000001</v>
      </c>
      <c r="K104">
        <v>1.120765</v>
      </c>
      <c r="L104">
        <v>367.0609</v>
      </c>
      <c r="M104">
        <v>0.99995919999999905</v>
      </c>
      <c r="N104">
        <v>-8.6711089999999998E-3</v>
      </c>
      <c r="O104">
        <v>-2.5550909999999998E-3</v>
      </c>
      <c r="P104">
        <v>0.99021150000000002</v>
      </c>
      <c r="Q104">
        <v>0.13868249999999999</v>
      </c>
      <c r="R104">
        <v>1.5767090000000001E-2</v>
      </c>
      <c r="S104">
        <v>3.0516359999999998</v>
      </c>
      <c r="T104">
        <v>-0.155694</v>
      </c>
      <c r="U104">
        <v>-4.6203609999999999E-2</v>
      </c>
      <c r="V104">
        <v>-1.8295519999999999E-2</v>
      </c>
      <c r="W104">
        <v>0.14726320000000001</v>
      </c>
      <c r="X104">
        <v>0.98892809999999998</v>
      </c>
      <c r="Y104">
        <v>1.256709E-2</v>
      </c>
      <c r="Z104">
        <v>-2.6676519999999998E-4</v>
      </c>
      <c r="AA104">
        <v>0.99992099999999995</v>
      </c>
      <c r="AB104">
        <v>5</v>
      </c>
      <c r="AC104">
        <v>21.912700000000001</v>
      </c>
      <c r="AD104">
        <v>-1.120769655535</v>
      </c>
      <c r="AE104">
        <v>-0.332600000000013</v>
      </c>
      <c r="AF104">
        <v>0.27588631233461203</v>
      </c>
      <c r="AG104">
        <v>-1.120769655535</v>
      </c>
      <c r="AH104">
        <v>21.856314949268501</v>
      </c>
      <c r="AI104">
        <v>92.935264821601507</v>
      </c>
      <c r="AJ104">
        <v>89.2768093841172</v>
      </c>
      <c r="AK104">
        <v>21.886770913949899</v>
      </c>
      <c r="AL104">
        <v>81.5316417037224</v>
      </c>
      <c r="AM104">
        <v>91.0598713004768</v>
      </c>
      <c r="AN104">
        <v>0.99999998154795899</v>
      </c>
    </row>
    <row r="105" spans="1:40" x14ac:dyDescent="0.25">
      <c r="A105" t="str">
        <f>"20190303161844930"</f>
        <v>20190303161844930</v>
      </c>
      <c r="B105" t="str">
        <f>"1551601124922785"</f>
        <v>1551601124922785</v>
      </c>
      <c r="C105" t="s">
        <v>40</v>
      </c>
      <c r="D105">
        <v>4.9878470000000004</v>
      </c>
      <c r="E105">
        <v>0.49172189999999999</v>
      </c>
      <c r="F105" t="s">
        <v>41</v>
      </c>
      <c r="G105">
        <v>-443.96570000000003</v>
      </c>
      <c r="H105" s="1">
        <v>-3.1524009999999999E-6</v>
      </c>
      <c r="I105">
        <v>367.81529999999998</v>
      </c>
      <c r="J105">
        <v>-472.1619</v>
      </c>
      <c r="K105">
        <v>1.1211549999999999</v>
      </c>
      <c r="L105">
        <v>367.06079999999997</v>
      </c>
      <c r="M105">
        <v>0.99994950000000005</v>
      </c>
      <c r="N105">
        <v>-9.7248460000000005E-3</v>
      </c>
      <c r="O105">
        <v>-2.556352E-3</v>
      </c>
      <c r="P105">
        <v>0.99035930000000005</v>
      </c>
      <c r="Q105">
        <v>0.1374515</v>
      </c>
      <c r="R105">
        <v>1.7189469999999998E-2</v>
      </c>
      <c r="S105">
        <v>3.0453190000000001</v>
      </c>
      <c r="T105">
        <v>-0.120827</v>
      </c>
      <c r="U105">
        <v>8.1329349999999995E-2</v>
      </c>
      <c r="V105">
        <v>-1.972016E-2</v>
      </c>
      <c r="W105">
        <v>0.14707600000000001</v>
      </c>
      <c r="X105">
        <v>0.98892860000000005</v>
      </c>
      <c r="Y105">
        <v>-2.9222540000000002E-2</v>
      </c>
      <c r="Z105">
        <v>7.9810119999999905E-4</v>
      </c>
      <c r="AA105">
        <v>0.99957260000000003</v>
      </c>
      <c r="AB105">
        <v>6</v>
      </c>
      <c r="AC105">
        <v>28.196199999999902</v>
      </c>
      <c r="AD105">
        <v>-1.1211581524009999</v>
      </c>
      <c r="AE105">
        <v>0.75450000000000705</v>
      </c>
      <c r="AF105">
        <v>-0.82527646065517701</v>
      </c>
      <c r="AG105">
        <v>-1.1211581524009999</v>
      </c>
      <c r="AH105">
        <v>28.149704042322998</v>
      </c>
      <c r="AI105">
        <v>92.279816182572404</v>
      </c>
      <c r="AJ105">
        <v>91.679282942327902</v>
      </c>
      <c r="AK105">
        <v>28.184107481160101</v>
      </c>
      <c r="AL105">
        <v>81.542485750988604</v>
      </c>
      <c r="AM105">
        <v>91.142379958106403</v>
      </c>
      <c r="AN105">
        <v>1.00000000519219</v>
      </c>
    </row>
    <row r="106" spans="1:40" x14ac:dyDescent="0.25">
      <c r="A106" t="str">
        <f>"20190303161844953"</f>
        <v>20190303161844953</v>
      </c>
      <c r="B106" t="str">
        <f>"1551601124943281"</f>
        <v>1551601124943281</v>
      </c>
      <c r="C106" t="s">
        <v>40</v>
      </c>
      <c r="D106">
        <v>4.8343689999999997</v>
      </c>
      <c r="E106">
        <v>0.48949740000000003</v>
      </c>
      <c r="F106" t="s">
        <v>41</v>
      </c>
      <c r="G106">
        <v>-444.79649999999998</v>
      </c>
      <c r="H106" s="1">
        <v>-2.6983289999999998E-6</v>
      </c>
      <c r="I106">
        <v>368.16109999999998</v>
      </c>
      <c r="J106">
        <v>-472.11450000000002</v>
      </c>
      <c r="K106">
        <v>1.12171</v>
      </c>
      <c r="L106">
        <v>367.0607</v>
      </c>
      <c r="M106">
        <v>0.9999287</v>
      </c>
      <c r="N106">
        <v>-1.167814E-2</v>
      </c>
      <c r="O106">
        <v>-2.5566679999999998E-3</v>
      </c>
      <c r="P106">
        <v>0.99056880000000003</v>
      </c>
      <c r="Q106">
        <v>0.1358974</v>
      </c>
      <c r="R106">
        <v>1.7480030000000001E-2</v>
      </c>
      <c r="S106">
        <v>3.0444339999999999</v>
      </c>
      <c r="T106">
        <v>-0.1247303</v>
      </c>
      <c r="U106">
        <v>0.122406</v>
      </c>
      <c r="V106">
        <v>-2.001091E-2</v>
      </c>
      <c r="W106">
        <v>0.14745610000000001</v>
      </c>
      <c r="X106">
        <v>0.98886620000000003</v>
      </c>
      <c r="Y106">
        <v>-4.2681629999999998E-2</v>
      </c>
      <c r="Z106">
        <v>1.1979029999999999E-3</v>
      </c>
      <c r="AA106">
        <v>0.99908799999999998</v>
      </c>
      <c r="AB106">
        <v>5</v>
      </c>
      <c r="AC106">
        <v>27.318000000000001</v>
      </c>
      <c r="AD106">
        <v>-1.121712698329</v>
      </c>
      <c r="AE106">
        <v>1.1003999999999701</v>
      </c>
      <c r="AF106">
        <v>-1.16827765029842</v>
      </c>
      <c r="AG106">
        <v>-1.121712698329</v>
      </c>
      <c r="AH106">
        <v>27.269194936530099</v>
      </c>
      <c r="AI106">
        <v>92.353365731738407</v>
      </c>
      <c r="AJ106">
        <v>92.453188295060997</v>
      </c>
      <c r="AK106">
        <v>27.317249212398</v>
      </c>
      <c r="AL106">
        <v>81.520467939378605</v>
      </c>
      <c r="AM106">
        <v>91.159291541321593</v>
      </c>
      <c r="AN106">
        <v>1.00000004972433</v>
      </c>
    </row>
    <row r="107" spans="1:40" x14ac:dyDescent="0.25">
      <c r="A107" t="str">
        <f>"20190303161844974"</f>
        <v>20190303161844974</v>
      </c>
      <c r="B107" t="str">
        <f>"1551601124962804"</f>
        <v>1551601124962804</v>
      </c>
      <c r="C107" t="s">
        <v>40</v>
      </c>
      <c r="D107">
        <v>4.872865</v>
      </c>
      <c r="E107">
        <v>0.48835519999999999</v>
      </c>
      <c r="F107" t="s">
        <v>41</v>
      </c>
      <c r="G107">
        <v>-443.88470000000001</v>
      </c>
      <c r="H107" s="1">
        <v>-3.0920280000000001E-6</v>
      </c>
      <c r="I107">
        <v>368.37139999999999</v>
      </c>
      <c r="J107">
        <v>-472.07150000000001</v>
      </c>
      <c r="K107">
        <v>1.121966</v>
      </c>
      <c r="L107">
        <v>367.06060000000002</v>
      </c>
      <c r="M107">
        <v>0.99991390000000002</v>
      </c>
      <c r="N107">
        <v>-1.2876E-2</v>
      </c>
      <c r="O107">
        <v>-2.5562760000000001E-3</v>
      </c>
      <c r="P107">
        <v>0.99074589999999996</v>
      </c>
      <c r="Q107">
        <v>0.13466719999999999</v>
      </c>
      <c r="R107">
        <v>1.696201E-2</v>
      </c>
      <c r="S107">
        <v>3.0426639999999998</v>
      </c>
      <c r="T107">
        <v>-0.1209008</v>
      </c>
      <c r="U107">
        <v>0.1412659</v>
      </c>
      <c r="V107">
        <v>-1.9492829999999999E-2</v>
      </c>
      <c r="W107">
        <v>0.14741270000000001</v>
      </c>
      <c r="X107">
        <v>0.98888299999999996</v>
      </c>
      <c r="Y107">
        <v>-4.8880060000000003E-2</v>
      </c>
      <c r="Z107">
        <v>1.353852E-3</v>
      </c>
      <c r="AA107">
        <v>0.99880369999999996</v>
      </c>
      <c r="AB107">
        <v>5</v>
      </c>
      <c r="AC107">
        <v>28.186800000000002</v>
      </c>
      <c r="AD107">
        <v>-1.1219690920280001</v>
      </c>
      <c r="AE107">
        <v>1.31079999999997</v>
      </c>
      <c r="AF107">
        <v>-1.3806720823409999</v>
      </c>
      <c r="AG107">
        <v>-1.1219690920280001</v>
      </c>
      <c r="AH107">
        <v>28.138869277089501</v>
      </c>
      <c r="AI107">
        <v>92.280579878572496</v>
      </c>
      <c r="AJ107">
        <v>92.809042916484501</v>
      </c>
      <c r="AK107">
        <v>28.195053364651599</v>
      </c>
      <c r="AL107">
        <v>81.522981891797301</v>
      </c>
      <c r="AM107">
        <v>91.1292663212446</v>
      </c>
      <c r="AN107">
        <v>1.0000000311158399</v>
      </c>
    </row>
    <row r="108" spans="1:40" x14ac:dyDescent="0.25">
      <c r="A108" t="str">
        <f>"20190303161844995"</f>
        <v>20190303161844995</v>
      </c>
      <c r="B108" t="str">
        <f>"1551601124983297"</f>
        <v>1551601124983297</v>
      </c>
      <c r="C108" t="s">
        <v>40</v>
      </c>
      <c r="D108">
        <v>4.8836659999999998</v>
      </c>
      <c r="E108">
        <v>0.48783989999999999</v>
      </c>
      <c r="F108" t="s">
        <v>41</v>
      </c>
      <c r="G108">
        <v>-443.5881</v>
      </c>
      <c r="H108" s="1">
        <v>-3.2179129999999999E-6</v>
      </c>
      <c r="I108">
        <v>368.45229999999998</v>
      </c>
      <c r="J108">
        <v>-472.02249999999998</v>
      </c>
      <c r="K108">
        <v>1.1216820000000001</v>
      </c>
      <c r="L108">
        <v>367.06049999999999</v>
      </c>
      <c r="M108">
        <v>0.99992159999999997</v>
      </c>
      <c r="N108">
        <v>-1.226115E-2</v>
      </c>
      <c r="O108">
        <v>-2.5539920000000002E-3</v>
      </c>
      <c r="P108">
        <v>0.99064269999999999</v>
      </c>
      <c r="Q108">
        <v>0.13548650000000001</v>
      </c>
      <c r="R108">
        <v>1.645891E-2</v>
      </c>
      <c r="S108">
        <v>3.041779</v>
      </c>
      <c r="T108">
        <v>-0.11981650000000001</v>
      </c>
      <c r="U108">
        <v>0.14862059999999999</v>
      </c>
      <c r="V108">
        <v>-1.8986739999999998E-2</v>
      </c>
      <c r="W108">
        <v>0.14762259999999999</v>
      </c>
      <c r="X108">
        <v>0.98886149999999995</v>
      </c>
      <c r="Y108">
        <v>-5.1299520000000001E-2</v>
      </c>
      <c r="Z108">
        <v>1.3934289999999901E-3</v>
      </c>
      <c r="AA108">
        <v>0.99868230000000002</v>
      </c>
      <c r="AB108">
        <v>4</v>
      </c>
      <c r="AC108">
        <v>28.434399999999901</v>
      </c>
      <c r="AD108">
        <v>-1.1216852179129999</v>
      </c>
      <c r="AE108">
        <v>1.3917999999999799</v>
      </c>
      <c r="AF108">
        <v>-1.4621522448480599</v>
      </c>
      <c r="AG108">
        <v>-1.1216852179129999</v>
      </c>
      <c r="AH108">
        <v>28.386683736993</v>
      </c>
      <c r="AI108">
        <v>92.259843329556503</v>
      </c>
      <c r="AJ108">
        <v>92.948607269166104</v>
      </c>
      <c r="AK108">
        <v>28.446438801707</v>
      </c>
      <c r="AL108">
        <v>81.510822187448994</v>
      </c>
      <c r="AM108">
        <v>91.099978524386103</v>
      </c>
      <c r="AN108">
        <v>0.99999999725441802</v>
      </c>
    </row>
    <row r="109" spans="1:40" x14ac:dyDescent="0.25">
      <c r="A109" t="str">
        <f>"20190303161845019"</f>
        <v>20190303161845019</v>
      </c>
      <c r="B109" t="str">
        <f>"1551601125013553"</f>
        <v>1551601125013553</v>
      </c>
      <c r="C109" t="s">
        <v>40</v>
      </c>
      <c r="D109">
        <v>5.0344620000000004</v>
      </c>
      <c r="E109">
        <v>0.48738979999999998</v>
      </c>
      <c r="F109" t="s">
        <v>41</v>
      </c>
      <c r="G109">
        <v>-441.94240000000002</v>
      </c>
      <c r="H109" s="1">
        <v>-3.9784709999999999E-6</v>
      </c>
      <c r="I109">
        <v>368.55029999999999</v>
      </c>
      <c r="J109">
        <v>-471.96460000000002</v>
      </c>
      <c r="K109">
        <v>1.121157</v>
      </c>
      <c r="L109">
        <v>367.06040000000002</v>
      </c>
      <c r="M109">
        <v>0.99994150000000004</v>
      </c>
      <c r="N109">
        <v>-1.0522989999999999E-2</v>
      </c>
      <c r="O109">
        <v>-2.547831E-3</v>
      </c>
      <c r="P109">
        <v>0.99040439999999996</v>
      </c>
      <c r="Q109">
        <v>0.1372602</v>
      </c>
      <c r="R109">
        <v>1.6097110000000001E-2</v>
      </c>
      <c r="S109">
        <v>3.041382</v>
      </c>
      <c r="T109">
        <v>-0.113413</v>
      </c>
      <c r="U109">
        <v>0.15063480000000001</v>
      </c>
      <c r="V109">
        <v>-1.861691E-2</v>
      </c>
      <c r="W109">
        <v>0.14767449999999999</v>
      </c>
      <c r="X109">
        <v>0.98886079999999998</v>
      </c>
      <c r="Y109">
        <v>-5.1965320000000002E-2</v>
      </c>
      <c r="Z109">
        <v>1.3098059999999999E-3</v>
      </c>
      <c r="AA109">
        <v>0.99864799999999998</v>
      </c>
      <c r="AB109">
        <v>5</v>
      </c>
      <c r="AC109">
        <v>30.022200000000002</v>
      </c>
      <c r="AD109">
        <v>-1.1211609784709999</v>
      </c>
      <c r="AE109">
        <v>1.48989999999997</v>
      </c>
      <c r="AF109">
        <v>-1.5642147812495999</v>
      </c>
      <c r="AG109">
        <v>-1.1211609784709999</v>
      </c>
      <c r="AH109">
        <v>29.976603535330799</v>
      </c>
      <c r="AI109">
        <v>92.139025137222106</v>
      </c>
      <c r="AJ109">
        <v>92.987052676522097</v>
      </c>
      <c r="AK109">
        <v>30.0383176848493</v>
      </c>
      <c r="AL109">
        <v>81.507815731591094</v>
      </c>
      <c r="AM109">
        <v>91.078558653752793</v>
      </c>
      <c r="AN109">
        <v>1.0000000145324099</v>
      </c>
    </row>
    <row r="110" spans="1:40" x14ac:dyDescent="0.25">
      <c r="A110" t="str">
        <f>"20190303161845042"</f>
        <v>20190303161845042</v>
      </c>
      <c r="B110" t="str">
        <f>"1551601125033073"</f>
        <v>1551601125033073</v>
      </c>
      <c r="C110" t="s">
        <v>40</v>
      </c>
      <c r="D110">
        <v>4.9781890000000004</v>
      </c>
      <c r="E110">
        <v>0.48705019999999999</v>
      </c>
      <c r="F110" t="s">
        <v>44</v>
      </c>
      <c r="G110">
        <v>-437.80689999999998</v>
      </c>
      <c r="H110">
        <v>-0.05</v>
      </c>
      <c r="I110">
        <v>368.77769999999998</v>
      </c>
      <c r="J110">
        <v>-471.90649999999999</v>
      </c>
      <c r="K110">
        <v>1.1207910000000001</v>
      </c>
      <c r="L110">
        <v>367.06020000000001</v>
      </c>
      <c r="M110">
        <v>0.99995610000000001</v>
      </c>
      <c r="N110">
        <v>-9.0357010000000001E-3</v>
      </c>
      <c r="O110">
        <v>-2.542487E-3</v>
      </c>
      <c r="P110">
        <v>0.99011400000000005</v>
      </c>
      <c r="Q110">
        <v>0.13942370000000001</v>
      </c>
      <c r="R110">
        <v>1.5342410000000001E-2</v>
      </c>
      <c r="S110">
        <v>3.0410159999999999</v>
      </c>
      <c r="T110">
        <v>-0.1042666</v>
      </c>
      <c r="U110">
        <v>0.1528931</v>
      </c>
      <c r="V110">
        <v>-1.785542E-2</v>
      </c>
      <c r="W110">
        <v>0.14836489999999999</v>
      </c>
      <c r="X110">
        <v>0.98877150000000003</v>
      </c>
      <c r="Y110">
        <v>-5.2712910000000002E-2</v>
      </c>
      <c r="Z110">
        <v>1.205376E-3</v>
      </c>
      <c r="AA110">
        <v>0.99860899999999997</v>
      </c>
      <c r="AB110">
        <v>5</v>
      </c>
      <c r="AC110">
        <v>34.099600000000002</v>
      </c>
      <c r="AD110">
        <v>-1.1707909999999999</v>
      </c>
      <c r="AE110">
        <v>1.7174999999999701</v>
      </c>
      <c r="AF110">
        <v>-1.8020767534672599</v>
      </c>
      <c r="AG110">
        <v>-1.1707909999999999</v>
      </c>
      <c r="AH110">
        <v>34.055078484213702</v>
      </c>
      <c r="AI110">
        <v>91.966266530068694</v>
      </c>
      <c r="AJ110">
        <v>93.029068939357998</v>
      </c>
      <c r="AK110">
        <v>34.122816454053499</v>
      </c>
      <c r="AL110">
        <v>81.467818169836804</v>
      </c>
      <c r="AM110">
        <v>91.034545418598498</v>
      </c>
      <c r="AN110">
        <v>1.0000000193938099</v>
      </c>
    </row>
    <row r="111" spans="1:40" x14ac:dyDescent="0.25">
      <c r="A111" t="str">
        <f>"20190303161845063"</f>
        <v>20190303161845063</v>
      </c>
      <c r="B111" t="str">
        <f>"1551601125052594"</f>
        <v>1551601125052594</v>
      </c>
      <c r="C111" t="s">
        <v>40</v>
      </c>
      <c r="D111">
        <v>4.8074940000000002</v>
      </c>
      <c r="E111">
        <v>0.4868498</v>
      </c>
      <c r="F111" t="s">
        <v>44</v>
      </c>
      <c r="G111">
        <v>-434.80770000000001</v>
      </c>
      <c r="H111">
        <v>-0.05</v>
      </c>
      <c r="I111">
        <v>368.93049999999999</v>
      </c>
      <c r="J111">
        <v>-471.85509999999999</v>
      </c>
      <c r="K111">
        <v>1.12101299999999</v>
      </c>
      <c r="L111">
        <v>367.06009999999998</v>
      </c>
      <c r="M111">
        <v>0.99995199999999995</v>
      </c>
      <c r="N111">
        <v>-9.4760810000000008E-3</v>
      </c>
      <c r="O111">
        <v>-2.5384600000000002E-3</v>
      </c>
      <c r="P111">
        <v>0.99011139999999997</v>
      </c>
      <c r="Q111">
        <v>0.13947319999999999</v>
      </c>
      <c r="R111">
        <v>1.506561E-2</v>
      </c>
      <c r="S111">
        <v>3.041077</v>
      </c>
      <c r="T111">
        <v>-9.5972539999999995E-2</v>
      </c>
      <c r="U111">
        <v>0.15332029999999999</v>
      </c>
      <c r="V111">
        <v>-1.7574530000000001E-2</v>
      </c>
      <c r="W111">
        <v>0.1488497</v>
      </c>
      <c r="X111">
        <v>0.98870369999999996</v>
      </c>
      <c r="Y111">
        <v>-5.2852919999999998E-2</v>
      </c>
      <c r="Z111">
        <v>1.13992E-3</v>
      </c>
      <c r="AA111">
        <v>0.99860170000000004</v>
      </c>
      <c r="AB111">
        <v>6</v>
      </c>
      <c r="AC111">
        <v>37.047399999999897</v>
      </c>
      <c r="AD111">
        <v>-1.1710130000000001</v>
      </c>
      <c r="AE111">
        <v>1.8704000000000101</v>
      </c>
      <c r="AF111">
        <v>-1.9624857973907801</v>
      </c>
      <c r="AG111">
        <v>-1.1710130000000001</v>
      </c>
      <c r="AH111">
        <v>37.005654213038198</v>
      </c>
      <c r="AI111">
        <v>91.809930603149098</v>
      </c>
      <c r="AJ111">
        <v>93.035669081746704</v>
      </c>
      <c r="AK111">
        <v>37.076152250281901</v>
      </c>
      <c r="AL111">
        <v>81.4397295651966</v>
      </c>
      <c r="AM111">
        <v>91.018343881686704</v>
      </c>
      <c r="AN111">
        <v>1.00000005184424</v>
      </c>
    </row>
    <row r="112" spans="1:40" x14ac:dyDescent="0.25">
      <c r="A112" t="str">
        <f>"20190303161845085"</f>
        <v>20190303161845085</v>
      </c>
      <c r="B112" t="str">
        <f>"1551601125073089"</f>
        <v>1551601125073089</v>
      </c>
      <c r="C112" t="s">
        <v>40</v>
      </c>
      <c r="D112">
        <v>4.9779960000000001</v>
      </c>
      <c r="E112">
        <v>0.48658879999999999</v>
      </c>
      <c r="F112" t="s">
        <v>44</v>
      </c>
      <c r="G112">
        <v>-433.80720000000002</v>
      </c>
      <c r="H112">
        <v>-0.05</v>
      </c>
      <c r="I112">
        <v>369.00139999999999</v>
      </c>
      <c r="J112">
        <v>-471.8066</v>
      </c>
      <c r="K112">
        <v>1.1215459999999999</v>
      </c>
      <c r="L112">
        <v>367.06</v>
      </c>
      <c r="M112">
        <v>0.99993430000000005</v>
      </c>
      <c r="N112">
        <v>-1.1188470000000001E-2</v>
      </c>
      <c r="O112">
        <v>-2.5361149999999998E-3</v>
      </c>
      <c r="P112">
        <v>0.99032010000000004</v>
      </c>
      <c r="Q112">
        <v>0.138048</v>
      </c>
      <c r="R112">
        <v>1.4461389999999999E-2</v>
      </c>
      <c r="S112">
        <v>3.0407709999999999</v>
      </c>
      <c r="T112">
        <v>-9.3586920000000004E-2</v>
      </c>
      <c r="U112">
        <v>0.15515139999999999</v>
      </c>
      <c r="V112">
        <v>-1.6968009999999999E-2</v>
      </c>
      <c r="W112">
        <v>0.1491198</v>
      </c>
      <c r="X112">
        <v>0.98867360000000004</v>
      </c>
      <c r="Y112">
        <v>-5.3455280000000001E-2</v>
      </c>
      <c r="Z112">
        <v>1.1708529999999999E-3</v>
      </c>
      <c r="AA112">
        <v>0.9985695</v>
      </c>
      <c r="AB112">
        <v>6</v>
      </c>
      <c r="AC112">
        <v>37.999399999999902</v>
      </c>
      <c r="AD112">
        <v>-1.171546</v>
      </c>
      <c r="AE112">
        <v>1.94139999999998</v>
      </c>
      <c r="AF112">
        <v>-2.0358405392946102</v>
      </c>
      <c r="AG112">
        <v>-1.171546</v>
      </c>
      <c r="AH112">
        <v>37.958367276518501</v>
      </c>
      <c r="AI112">
        <v>91.765278641804301</v>
      </c>
      <c r="AJ112">
        <v>93.070032417105097</v>
      </c>
      <c r="AK112">
        <v>38.030971760272202</v>
      </c>
      <c r="AL112">
        <v>81.424079361983303</v>
      </c>
      <c r="AM112">
        <v>90.983236453261398</v>
      </c>
      <c r="AN112">
        <v>1.0000000577261701</v>
      </c>
    </row>
    <row r="113" spans="1:40" x14ac:dyDescent="0.25">
      <c r="A113" t="str">
        <f>"20190303161845107"</f>
        <v>20190303161845107</v>
      </c>
      <c r="B113" t="str">
        <f>"1551601125103345"</f>
        <v>1551601125103345</v>
      </c>
      <c r="C113" t="s">
        <v>40</v>
      </c>
      <c r="D113">
        <v>4.9730129999999999</v>
      </c>
      <c r="E113">
        <v>0.48633280000000001</v>
      </c>
      <c r="F113" t="s">
        <v>44</v>
      </c>
      <c r="G113">
        <v>-434.93419999999998</v>
      </c>
      <c r="H113">
        <v>-0.05</v>
      </c>
      <c r="I113">
        <v>368.93630000000002</v>
      </c>
      <c r="J113">
        <v>-471.76150000000001</v>
      </c>
      <c r="K113">
        <v>1.1220000000000001</v>
      </c>
      <c r="L113">
        <v>367.05990000000003</v>
      </c>
      <c r="M113">
        <v>0.99991209999999997</v>
      </c>
      <c r="N113">
        <v>-1.302071E-2</v>
      </c>
      <c r="O113">
        <v>-2.5355339999999999E-3</v>
      </c>
      <c r="P113">
        <v>0.9905408</v>
      </c>
      <c r="Q113">
        <v>0.13651489999999999</v>
      </c>
      <c r="R113">
        <v>1.38843E-2</v>
      </c>
      <c r="S113">
        <v>3.0404969999999998</v>
      </c>
      <c r="T113">
        <v>-9.6605659999999996E-2</v>
      </c>
      <c r="U113">
        <v>0.1547241</v>
      </c>
      <c r="V113">
        <v>-1.6390740000000001E-2</v>
      </c>
      <c r="W113">
        <v>0.14940129999999999</v>
      </c>
      <c r="X113">
        <v>0.98864079999999999</v>
      </c>
      <c r="Y113">
        <v>-5.3316019999999999E-2</v>
      </c>
      <c r="Z113">
        <v>1.241214E-3</v>
      </c>
      <c r="AA113">
        <v>0.99857689999999999</v>
      </c>
      <c r="AB113">
        <v>5</v>
      </c>
      <c r="AC113">
        <v>36.827300000000001</v>
      </c>
      <c r="AD113">
        <v>-1.1719999999999999</v>
      </c>
      <c r="AE113">
        <v>1.8763999999999801</v>
      </c>
      <c r="AF113">
        <v>-1.9677909663605599</v>
      </c>
      <c r="AG113">
        <v>-1.1719999999999999</v>
      </c>
      <c r="AH113">
        <v>36.785264576668503</v>
      </c>
      <c r="AI113">
        <v>91.822256006331102</v>
      </c>
      <c r="AJ113">
        <v>93.062061883733904</v>
      </c>
      <c r="AK113">
        <v>36.856498412936503</v>
      </c>
      <c r="AL113">
        <v>81.407767535131697</v>
      </c>
      <c r="AM113">
        <v>90.949823429703002</v>
      </c>
      <c r="AN113">
        <v>1.0000000181120301</v>
      </c>
    </row>
    <row r="114" spans="1:40" x14ac:dyDescent="0.25">
      <c r="A114" t="str">
        <f>"20190303161845130"</f>
        <v>20190303161845130</v>
      </c>
      <c r="B114" t="str">
        <f>"1551601125122867"</f>
        <v>1551601125122867</v>
      </c>
      <c r="C114" t="s">
        <v>40</v>
      </c>
      <c r="D114">
        <v>4.8040699999999896</v>
      </c>
      <c r="E114">
        <v>0.48615740000000002</v>
      </c>
      <c r="F114" t="s">
        <v>44</v>
      </c>
      <c r="G114">
        <v>-435.96350000000001</v>
      </c>
      <c r="H114">
        <v>-0.05</v>
      </c>
      <c r="I114">
        <v>368.88749999999999</v>
      </c>
      <c r="J114">
        <v>-471.70979999999997</v>
      </c>
      <c r="K114">
        <v>1.121823</v>
      </c>
      <c r="L114">
        <v>367.05970000000002</v>
      </c>
      <c r="M114">
        <v>0.99991479999999999</v>
      </c>
      <c r="N114">
        <v>-1.2799130000000001E-2</v>
      </c>
      <c r="O114">
        <v>-2.538771E-3</v>
      </c>
      <c r="P114">
        <v>0.99054430000000004</v>
      </c>
      <c r="Q114">
        <v>0.13650000000000001</v>
      </c>
      <c r="R114">
        <v>1.378472E-2</v>
      </c>
      <c r="S114">
        <v>3.040222</v>
      </c>
      <c r="T114">
        <v>-9.9534750000000005E-2</v>
      </c>
      <c r="U114">
        <v>0.1552124</v>
      </c>
      <c r="V114">
        <v>-1.629421E-2</v>
      </c>
      <c r="W114">
        <v>0.14916740000000001</v>
      </c>
      <c r="X114">
        <v>0.98867769999999999</v>
      </c>
      <c r="Y114">
        <v>-5.3481800000000003E-2</v>
      </c>
      <c r="Z114">
        <v>1.2678730000000001E-3</v>
      </c>
      <c r="AA114">
        <v>0.99856800000000001</v>
      </c>
      <c r="AB114">
        <v>4</v>
      </c>
      <c r="AC114">
        <v>35.746299999999898</v>
      </c>
      <c r="AD114">
        <v>-1.1718230000000001</v>
      </c>
      <c r="AE114">
        <v>1.8277999999999599</v>
      </c>
      <c r="AF114">
        <v>-1.9164990482349</v>
      </c>
      <c r="AG114">
        <v>-1.1718230000000001</v>
      </c>
      <c r="AH114">
        <v>35.703276022951897</v>
      </c>
      <c r="AI114">
        <v>91.877138743901597</v>
      </c>
      <c r="AJ114">
        <v>93.072603845484096</v>
      </c>
      <c r="AK114">
        <v>35.773873937781801</v>
      </c>
      <c r="AL114">
        <v>81.421320774755799</v>
      </c>
      <c r="AM114">
        <v>90.9441954147225</v>
      </c>
      <c r="AN114">
        <v>1.0000000044897801</v>
      </c>
    </row>
    <row r="115" spans="1:40" x14ac:dyDescent="0.25">
      <c r="A115" t="str">
        <f>"20190303161845142"</f>
        <v>20190303161845142</v>
      </c>
      <c r="B115" t="str">
        <f>"1551601125133600"</f>
        <v>1551601125133600</v>
      </c>
      <c r="C115" t="s">
        <v>40</v>
      </c>
      <c r="D115">
        <v>5.035971</v>
      </c>
      <c r="E115">
        <v>0.48610629999999999</v>
      </c>
      <c r="F115" t="s">
        <v>44</v>
      </c>
      <c r="G115">
        <v>-435.88459999999998</v>
      </c>
      <c r="H115">
        <v>-0.05</v>
      </c>
      <c r="I115">
        <v>368.90210000000002</v>
      </c>
      <c r="J115">
        <v>-471.6789</v>
      </c>
      <c r="K115">
        <v>1.1215280000000001</v>
      </c>
      <c r="L115">
        <v>367.05959999999999</v>
      </c>
      <c r="M115">
        <v>0.99992559999999997</v>
      </c>
      <c r="N115">
        <v>-1.1943230000000001E-2</v>
      </c>
      <c r="O115">
        <v>-2.5395690000000002E-3</v>
      </c>
      <c r="P115">
        <v>0.99042300000000005</v>
      </c>
      <c r="Q115">
        <v>0.1374069</v>
      </c>
      <c r="R115">
        <v>1.3480839999999999E-2</v>
      </c>
      <c r="S115">
        <v>3.0401310000000001</v>
      </c>
      <c r="T115">
        <v>-9.9441050000000003E-2</v>
      </c>
      <c r="U115">
        <v>0.1563416</v>
      </c>
      <c r="V115">
        <v>-1.5989989999999999E-2</v>
      </c>
      <c r="W115">
        <v>0.14922629999999901</v>
      </c>
      <c r="X115">
        <v>0.98867369999999999</v>
      </c>
      <c r="Y115">
        <v>-5.3854510000000001E-2</v>
      </c>
      <c r="Z115">
        <v>1.2545849999999999E-3</v>
      </c>
      <c r="AA115">
        <v>0.99854799999999999</v>
      </c>
      <c r="AB115">
        <v>5</v>
      </c>
      <c r="AC115">
        <v>35.7943</v>
      </c>
      <c r="AD115">
        <v>-1.1715279999999999</v>
      </c>
      <c r="AE115">
        <v>1.84250000000002</v>
      </c>
      <c r="AF115">
        <v>-1.93133920595322</v>
      </c>
      <c r="AG115">
        <v>-1.1715279999999999</v>
      </c>
      <c r="AH115">
        <v>35.751308852325202</v>
      </c>
      <c r="AI115">
        <v>91.8741124816096</v>
      </c>
      <c r="AJ115">
        <v>93.092198079636006</v>
      </c>
      <c r="AK115">
        <v>35.822599481857601</v>
      </c>
      <c r="AL115">
        <v>81.417907181931099</v>
      </c>
      <c r="AM115">
        <v>90.9265737256233</v>
      </c>
      <c r="AN115">
        <v>0.99999992673178695</v>
      </c>
    </row>
    <row r="116" spans="1:40" x14ac:dyDescent="0.25">
      <c r="A116" t="str">
        <f>"20190303161845156"</f>
        <v>20190303161845156</v>
      </c>
      <c r="B116" t="str">
        <f>"1551601125143361"</f>
        <v>1551601125143361</v>
      </c>
      <c r="C116" t="s">
        <v>40</v>
      </c>
      <c r="D116">
        <v>4.8239739999999998</v>
      </c>
      <c r="E116">
        <v>0.48600789999999999</v>
      </c>
      <c r="F116" t="s">
        <v>44</v>
      </c>
      <c r="G116">
        <v>-434.75819999999999</v>
      </c>
      <c r="H116">
        <v>-0.05</v>
      </c>
      <c r="I116">
        <v>368.94929999999999</v>
      </c>
      <c r="J116">
        <v>-471.64670000000001</v>
      </c>
      <c r="K116">
        <v>1.12124</v>
      </c>
      <c r="L116">
        <v>367.05959999999999</v>
      </c>
      <c r="M116">
        <v>0.99993679999999996</v>
      </c>
      <c r="N116">
        <v>-1.095261E-2</v>
      </c>
      <c r="O116">
        <v>-2.5393859999999998E-3</v>
      </c>
      <c r="P116">
        <v>0.9902706</v>
      </c>
      <c r="Q116">
        <v>0.138508299999999</v>
      </c>
      <c r="R116">
        <v>1.340707E-2</v>
      </c>
      <c r="S116">
        <v>3.040314</v>
      </c>
      <c r="T116">
        <v>-9.6471909999999994E-2</v>
      </c>
      <c r="U116">
        <v>0.1556091</v>
      </c>
      <c r="V116">
        <v>-1.5915680000000001E-2</v>
      </c>
      <c r="W116">
        <v>0.1493466</v>
      </c>
      <c r="X116">
        <v>0.9886568</v>
      </c>
      <c r="Y116">
        <v>-5.3614309999999998E-2</v>
      </c>
      <c r="Z116">
        <v>1.196468E-3</v>
      </c>
      <c r="AA116">
        <v>0.99856100000000003</v>
      </c>
      <c r="AB116">
        <v>5</v>
      </c>
      <c r="AC116">
        <v>36.888500000000001</v>
      </c>
      <c r="AD116">
        <v>-1.1712400000000001</v>
      </c>
      <c r="AE116">
        <v>1.8896999999999999</v>
      </c>
      <c r="AF116">
        <v>-1.9813814343906699</v>
      </c>
      <c r="AG116">
        <v>-1.1712400000000001</v>
      </c>
      <c r="AH116">
        <v>36.846533786505603</v>
      </c>
      <c r="AI116">
        <v>91.818021850475006</v>
      </c>
      <c r="AJ116">
        <v>93.078052333648401</v>
      </c>
      <c r="AK116">
        <v>36.918352178912897</v>
      </c>
      <c r="AL116">
        <v>81.410936949087699</v>
      </c>
      <c r="AM116">
        <v>90.922284183743599</v>
      </c>
      <c r="AN116">
        <v>0.99999999199383105</v>
      </c>
    </row>
    <row r="117" spans="1:40" x14ac:dyDescent="0.25">
      <c r="A117" t="str">
        <f>"20190303161845168"</f>
        <v>20190303161845168</v>
      </c>
      <c r="B117" t="str">
        <f>"1551601125162881"</f>
        <v>1551601125162881</v>
      </c>
      <c r="C117" t="s">
        <v>40</v>
      </c>
      <c r="D117">
        <v>4.7542600000000004</v>
      </c>
      <c r="E117">
        <v>0.48582799999999998</v>
      </c>
      <c r="F117" t="s">
        <v>44</v>
      </c>
      <c r="G117">
        <v>-433.37580000000003</v>
      </c>
      <c r="H117">
        <v>-0.05</v>
      </c>
      <c r="I117">
        <v>369.02749999999997</v>
      </c>
      <c r="J117">
        <v>-471.61430000000001</v>
      </c>
      <c r="K117">
        <v>1.1209880000000001</v>
      </c>
      <c r="L117">
        <v>367.05950000000001</v>
      </c>
      <c r="M117">
        <v>0.99994669999999997</v>
      </c>
      <c r="N117">
        <v>-1.0011340000000001E-2</v>
      </c>
      <c r="O117">
        <v>-2.5391020000000001E-3</v>
      </c>
      <c r="P117">
        <v>0.99017109999999997</v>
      </c>
      <c r="Q117">
        <v>0.13921629999999999</v>
      </c>
      <c r="R117">
        <v>1.342287E-2</v>
      </c>
      <c r="S117">
        <v>3.040375</v>
      </c>
      <c r="T117">
        <v>-9.3047500000000005E-2</v>
      </c>
      <c r="U117">
        <v>0.1563416</v>
      </c>
      <c r="V117">
        <v>-1.5930840000000002E-2</v>
      </c>
      <c r="W117">
        <v>0.1491227</v>
      </c>
      <c r="X117">
        <v>0.98869039999999997</v>
      </c>
      <c r="Y117">
        <v>-5.3855739999999999E-2</v>
      </c>
      <c r="Z117">
        <v>1.145454E-3</v>
      </c>
      <c r="AA117">
        <v>0.99854810000000005</v>
      </c>
      <c r="AB117">
        <v>5</v>
      </c>
      <c r="AC117">
        <v>38.238499999999902</v>
      </c>
      <c r="AD117">
        <v>-1.1709879999999999</v>
      </c>
      <c r="AE117">
        <v>1.96799999999996</v>
      </c>
      <c r="AF117">
        <v>-2.0631602805015499</v>
      </c>
      <c r="AG117">
        <v>-1.1709879999999999</v>
      </c>
      <c r="AH117">
        <v>38.197652975526097</v>
      </c>
      <c r="AI117">
        <v>91.753356477141196</v>
      </c>
      <c r="AJ117">
        <v>93.091698399845697</v>
      </c>
      <c r="AK117">
        <v>38.271249471083301</v>
      </c>
      <c r="AL117">
        <v>81.423911165195094</v>
      </c>
      <c r="AM117">
        <v>90.923131158062006</v>
      </c>
      <c r="AN117">
        <v>1.0000000391852699</v>
      </c>
    </row>
    <row r="118" spans="1:40" x14ac:dyDescent="0.25">
      <c r="A118" t="str">
        <f>"20190303161845186"</f>
        <v>20190303161845186</v>
      </c>
      <c r="B118" t="str">
        <f>"1551601125183377"</f>
        <v>1551601125183377</v>
      </c>
      <c r="C118" t="s">
        <v>40</v>
      </c>
      <c r="D118">
        <v>4.7887389999999996</v>
      </c>
      <c r="E118">
        <v>0.48559330000000001</v>
      </c>
      <c r="F118" t="s">
        <v>44</v>
      </c>
      <c r="G118">
        <v>-432.21620000000001</v>
      </c>
      <c r="H118">
        <v>-0.05</v>
      </c>
      <c r="I118">
        <v>369.10750000000002</v>
      </c>
      <c r="J118">
        <v>-471.56729999999999</v>
      </c>
      <c r="K118">
        <v>1.1207800000000001</v>
      </c>
      <c r="L118">
        <v>367.05939999999998</v>
      </c>
      <c r="M118">
        <v>0.99995630000000002</v>
      </c>
      <c r="N118">
        <v>-9.0189439999999992E-3</v>
      </c>
      <c r="O118">
        <v>-2.5386660000000002E-3</v>
      </c>
      <c r="P118">
        <v>0.98990230000000001</v>
      </c>
      <c r="Q118">
        <v>0.14110710000000001</v>
      </c>
      <c r="R118">
        <v>1.35166E-2</v>
      </c>
      <c r="S118">
        <v>3.040375</v>
      </c>
      <c r="T118">
        <v>-9.0365650000000006E-2</v>
      </c>
      <c r="U118">
        <v>0.15805050000000001</v>
      </c>
      <c r="V118">
        <v>-1.6022910000000001E-2</v>
      </c>
      <c r="W118">
        <v>0.15002929999999901</v>
      </c>
      <c r="X118">
        <v>0.98855170000000003</v>
      </c>
      <c r="Y118">
        <v>-5.4417189999999997E-2</v>
      </c>
      <c r="Z118">
        <v>1.1061109999999999E-3</v>
      </c>
      <c r="AA118">
        <v>0.99851769999999995</v>
      </c>
      <c r="AB118">
        <v>6</v>
      </c>
      <c r="AC118">
        <v>39.351099999999903</v>
      </c>
      <c r="AD118">
        <v>-1.1707799999999999</v>
      </c>
      <c r="AE118">
        <v>2.04810000000003</v>
      </c>
      <c r="AF118">
        <v>-2.1461021656160302</v>
      </c>
      <c r="AG118">
        <v>-1.1707799999999999</v>
      </c>
      <c r="AH118">
        <v>39.311069747044101</v>
      </c>
      <c r="AI118">
        <v>91.703369522082099</v>
      </c>
      <c r="AJ118">
        <v>93.124836261350097</v>
      </c>
      <c r="AK118">
        <v>39.387011627827597</v>
      </c>
      <c r="AL118">
        <v>81.371375408408497</v>
      </c>
      <c r="AM118">
        <v>90.928595577354002</v>
      </c>
      <c r="AN118">
        <v>0.99999999403812401</v>
      </c>
    </row>
    <row r="119" spans="1:40" x14ac:dyDescent="0.25">
      <c r="A119" t="str">
        <f>"20190303161845198"</f>
        <v>20190303161845198</v>
      </c>
      <c r="B119" t="str">
        <f>"1551601125193137"</f>
        <v>1551601125193137</v>
      </c>
      <c r="C119" t="s">
        <v>40</v>
      </c>
      <c r="D119">
        <v>4.804265</v>
      </c>
      <c r="E119">
        <v>0.4854639</v>
      </c>
      <c r="F119" t="s">
        <v>44</v>
      </c>
      <c r="G119">
        <v>-429.1789</v>
      </c>
      <c r="H119">
        <v>-0.05</v>
      </c>
      <c r="I119">
        <v>369.29140000000001</v>
      </c>
      <c r="J119">
        <v>-471.5351</v>
      </c>
      <c r="K119">
        <v>1.1209750000000001</v>
      </c>
      <c r="L119">
        <v>367.05930000000001</v>
      </c>
      <c r="M119">
        <v>0.99995179999999995</v>
      </c>
      <c r="N119">
        <v>-9.4804260000000001E-3</v>
      </c>
      <c r="O119">
        <v>-2.538537E-3</v>
      </c>
      <c r="P119">
        <v>0.98994709999999997</v>
      </c>
      <c r="Q119">
        <v>0.14078889999999999</v>
      </c>
      <c r="R119">
        <v>1.353904E-2</v>
      </c>
      <c r="S119">
        <v>3.0404049999999998</v>
      </c>
      <c r="T119">
        <v>-8.397686E-2</v>
      </c>
      <c r="U119">
        <v>0.16009519999999999</v>
      </c>
      <c r="V119">
        <v>-1.604566E-2</v>
      </c>
      <c r="W119">
        <v>0.15016789999999999</v>
      </c>
      <c r="X119">
        <v>0.98853029999999997</v>
      </c>
      <c r="Y119">
        <v>-5.5089430000000002E-2</v>
      </c>
      <c r="Z119">
        <v>1.0675179999999999E-3</v>
      </c>
      <c r="AA119">
        <v>0.9984809</v>
      </c>
      <c r="AB119">
        <v>6</v>
      </c>
      <c r="AC119">
        <v>42.356200000000001</v>
      </c>
      <c r="AD119">
        <v>-1.1709750000000001</v>
      </c>
      <c r="AE119">
        <v>2.2321</v>
      </c>
      <c r="AF119">
        <v>-2.3378385736060401</v>
      </c>
      <c r="AG119">
        <v>-1.1709750000000001</v>
      </c>
      <c r="AH119">
        <v>42.318142998338999</v>
      </c>
      <c r="AI119">
        <v>91.582601140870395</v>
      </c>
      <c r="AJ119">
        <v>93.162054278105302</v>
      </c>
      <c r="AK119">
        <v>42.398843126608199</v>
      </c>
      <c r="AL119">
        <v>81.363343335827693</v>
      </c>
      <c r="AM119">
        <v>90.929933932481404</v>
      </c>
      <c r="AN119">
        <v>1.00000000770666</v>
      </c>
    </row>
    <row r="120" spans="1:40" x14ac:dyDescent="0.25">
      <c r="A120" t="str">
        <f>"20190303161845211"</f>
        <v>20190303161845211</v>
      </c>
      <c r="B120" t="str">
        <f>"1551601125202898"</f>
        <v>1551601125202898</v>
      </c>
      <c r="C120" t="s">
        <v>40</v>
      </c>
      <c r="D120">
        <v>4.8042669999999896</v>
      </c>
      <c r="E120">
        <v>0.48536550000000001</v>
      </c>
      <c r="F120" t="s">
        <v>44</v>
      </c>
      <c r="G120">
        <v>-429.55329999999998</v>
      </c>
      <c r="H120">
        <v>-0.05</v>
      </c>
      <c r="I120">
        <v>369.2876</v>
      </c>
      <c r="J120">
        <v>-471.50760000000002</v>
      </c>
      <c r="K120">
        <v>1.121216</v>
      </c>
      <c r="L120">
        <v>367.05919999999998</v>
      </c>
      <c r="M120">
        <v>0.99994490000000003</v>
      </c>
      <c r="N120">
        <v>-1.0189510000000001E-2</v>
      </c>
      <c r="O120">
        <v>-2.5388089999999999E-3</v>
      </c>
      <c r="P120">
        <v>0.99001229999999996</v>
      </c>
      <c r="Q120">
        <v>0.1403141</v>
      </c>
      <c r="R120">
        <v>1.371204E-2</v>
      </c>
      <c r="S120">
        <v>3.040314</v>
      </c>
      <c r="T120">
        <v>-8.4801790000000002E-2</v>
      </c>
      <c r="U120">
        <v>0.16137699999999999</v>
      </c>
      <c r="V120">
        <v>-1.6219499999999901E-2</v>
      </c>
      <c r="W120">
        <v>0.1503951</v>
      </c>
      <c r="X120">
        <v>0.98849290000000001</v>
      </c>
      <c r="Y120">
        <v>-5.5509830000000003E-2</v>
      </c>
      <c r="Z120">
        <v>1.101451E-3</v>
      </c>
      <c r="AA120">
        <v>0.99845759999999995</v>
      </c>
      <c r="AB120">
        <v>6</v>
      </c>
      <c r="AC120">
        <v>41.954300000000003</v>
      </c>
      <c r="AD120">
        <v>-1.171216</v>
      </c>
      <c r="AE120">
        <v>2.2284000000000201</v>
      </c>
      <c r="AF120">
        <v>-2.33309916051086</v>
      </c>
      <c r="AG120">
        <v>-1.171216</v>
      </c>
      <c r="AH120">
        <v>41.915932583144901</v>
      </c>
      <c r="AI120">
        <v>91.5980712313373</v>
      </c>
      <c r="AJ120">
        <v>93.185875415701204</v>
      </c>
      <c r="AK120">
        <v>41.997148747577803</v>
      </c>
      <c r="AL120">
        <v>81.3501760080878</v>
      </c>
      <c r="AM120">
        <v>90.940042674222695</v>
      </c>
      <c r="AN120">
        <v>0.99999998581733496</v>
      </c>
    </row>
    <row r="121" spans="1:40" x14ac:dyDescent="0.25">
      <c r="A121" t="str">
        <f>"20190303161845232"</f>
        <v>20190303161845232</v>
      </c>
      <c r="B121" t="str">
        <f>"1551601125223393"</f>
        <v>1551601125223393</v>
      </c>
      <c r="C121" t="s">
        <v>40</v>
      </c>
      <c r="D121">
        <v>4.815696</v>
      </c>
      <c r="E121">
        <v>0.48512739999999999</v>
      </c>
      <c r="F121" t="s">
        <v>44</v>
      </c>
      <c r="G121">
        <v>-430.26949999999999</v>
      </c>
      <c r="H121">
        <v>-0.05</v>
      </c>
      <c r="I121">
        <v>369.26339999999999</v>
      </c>
      <c r="J121">
        <v>-471.46359999999999</v>
      </c>
      <c r="K121">
        <v>1.1217109999999999</v>
      </c>
      <c r="L121">
        <v>367.0591</v>
      </c>
      <c r="M121">
        <v>0.99992610000000004</v>
      </c>
      <c r="N121">
        <v>-1.189347E-2</v>
      </c>
      <c r="O121">
        <v>-2.5395209999999999E-3</v>
      </c>
      <c r="P121">
        <v>0.99021429999999999</v>
      </c>
      <c r="Q121">
        <v>0.1388701</v>
      </c>
      <c r="R121">
        <v>1.3820249999999999E-2</v>
      </c>
      <c r="S121">
        <v>3.0402529999999999</v>
      </c>
      <c r="T121">
        <v>-8.6347339999999995E-2</v>
      </c>
      <c r="U121">
        <v>0.16250609999999999</v>
      </c>
      <c r="V121">
        <v>-1.632871E-2</v>
      </c>
      <c r="W121">
        <v>0.15063789999999999</v>
      </c>
      <c r="X121">
        <v>0.98845419999999995</v>
      </c>
      <c r="Y121">
        <v>-5.5878990000000003E-2</v>
      </c>
      <c r="Z121">
        <v>1.167317E-3</v>
      </c>
      <c r="AA121">
        <v>0.99843689999999996</v>
      </c>
      <c r="AB121">
        <v>5</v>
      </c>
      <c r="AC121">
        <v>41.194099999999899</v>
      </c>
      <c r="AD121">
        <v>-1.1717109999999999</v>
      </c>
      <c r="AE121">
        <v>2.2042999999999799</v>
      </c>
      <c r="AF121">
        <v>-2.3070523944071999</v>
      </c>
      <c r="AG121">
        <v>-1.1717109999999999</v>
      </c>
      <c r="AH121">
        <v>41.155167699169297</v>
      </c>
      <c r="AI121">
        <v>91.628247908067905</v>
      </c>
      <c r="AJ121">
        <v>93.208495383683399</v>
      </c>
      <c r="AK121">
        <v>41.236430807779797</v>
      </c>
      <c r="AL121">
        <v>81.336104880824706</v>
      </c>
      <c r="AM121">
        <v>90.946408117861196</v>
      </c>
      <c r="AN121">
        <v>1.0000000545921499</v>
      </c>
    </row>
    <row r="122" spans="1:40" x14ac:dyDescent="0.25">
      <c r="A122" t="str">
        <f>"20190303161845255"</f>
        <v>20190303161845255</v>
      </c>
      <c r="B122" t="str">
        <f>"1551601125242913"</f>
        <v>1551601125242913</v>
      </c>
      <c r="C122" t="s">
        <v>40</v>
      </c>
      <c r="D122">
        <v>4.7701029999999998</v>
      </c>
      <c r="E122">
        <v>0.48490800000000001</v>
      </c>
      <c r="F122" t="s">
        <v>44</v>
      </c>
      <c r="G122">
        <v>-431.92469999999997</v>
      </c>
      <c r="H122">
        <v>-0.05</v>
      </c>
      <c r="I122">
        <v>369.20639999999997</v>
      </c>
      <c r="J122">
        <v>-471.41410000000002</v>
      </c>
      <c r="K122">
        <v>1.1219870000000001</v>
      </c>
      <c r="L122">
        <v>367.05889999999999</v>
      </c>
      <c r="M122">
        <v>0.99991010000000002</v>
      </c>
      <c r="N122">
        <v>-1.3172369999999999E-2</v>
      </c>
      <c r="O122">
        <v>-2.5416929999999998E-3</v>
      </c>
      <c r="P122">
        <v>0.99027639999999995</v>
      </c>
      <c r="Q122">
        <v>0.1384205</v>
      </c>
      <c r="R122">
        <v>1.3874859999999999E-2</v>
      </c>
      <c r="S122">
        <v>3.0399780000000001</v>
      </c>
      <c r="T122">
        <v>-9.0088130000000002E-2</v>
      </c>
      <c r="U122">
        <v>0.1651001</v>
      </c>
      <c r="V122">
        <v>-1.638556E-2</v>
      </c>
      <c r="W122">
        <v>0.15145339999999999</v>
      </c>
      <c r="X122">
        <v>0.9883286</v>
      </c>
      <c r="Y122">
        <v>-5.6731469999999999E-2</v>
      </c>
      <c r="Z122">
        <v>1.255653E-3</v>
      </c>
      <c r="AA122">
        <v>0.99838870000000002</v>
      </c>
      <c r="AB122">
        <v>5</v>
      </c>
      <c r="AC122">
        <v>39.489400000000003</v>
      </c>
      <c r="AD122">
        <v>-1.1719869999999999</v>
      </c>
      <c r="AE122">
        <v>2.1474999999999702</v>
      </c>
      <c r="AF122">
        <v>-2.2458993055883898</v>
      </c>
      <c r="AG122">
        <v>-1.1719869999999999</v>
      </c>
      <c r="AH122">
        <v>39.449168717044699</v>
      </c>
      <c r="AI122">
        <v>91.698938206049107</v>
      </c>
      <c r="AJ122">
        <v>93.258415809258395</v>
      </c>
      <c r="AK122">
        <v>39.530425366859802</v>
      </c>
      <c r="AL122">
        <v>81.288837568033799</v>
      </c>
      <c r="AM122">
        <v>90.949823196953702</v>
      </c>
      <c r="AN122">
        <v>1.0000000202630099</v>
      </c>
    </row>
    <row r="123" spans="1:40" x14ac:dyDescent="0.25">
      <c r="A123" t="str">
        <f>"20190303161845275"</f>
        <v>20190303161845275</v>
      </c>
      <c r="B123" t="str">
        <f>"1551601125263409"</f>
        <v>1551601125263409</v>
      </c>
      <c r="C123" t="s">
        <v>40</v>
      </c>
      <c r="D123">
        <v>4.779579</v>
      </c>
      <c r="E123">
        <v>0.48467300000000002</v>
      </c>
      <c r="F123" t="s">
        <v>44</v>
      </c>
      <c r="G123">
        <v>-432.3143</v>
      </c>
      <c r="H123">
        <v>-0.05</v>
      </c>
      <c r="I123">
        <v>369.20650000000001</v>
      </c>
      <c r="J123">
        <v>-471.36599999999999</v>
      </c>
      <c r="K123">
        <v>1.121721</v>
      </c>
      <c r="L123">
        <v>367.05880000000002</v>
      </c>
      <c r="M123">
        <v>0.99991830000000004</v>
      </c>
      <c r="N123">
        <v>-1.253699E-2</v>
      </c>
      <c r="O123">
        <v>-2.5433270000000002E-3</v>
      </c>
      <c r="P123">
        <v>0.99007619999999996</v>
      </c>
      <c r="Q123">
        <v>0.1398827</v>
      </c>
      <c r="R123">
        <v>1.349559E-2</v>
      </c>
      <c r="S123">
        <v>3.0398559999999999</v>
      </c>
      <c r="T123">
        <v>-9.1117500000000004E-2</v>
      </c>
      <c r="U123">
        <v>0.16696169999999999</v>
      </c>
      <c r="V123">
        <v>-1.600789E-2</v>
      </c>
      <c r="W123">
        <v>0.1522847</v>
      </c>
      <c r="X123">
        <v>0.98820699999999995</v>
      </c>
      <c r="Y123">
        <v>-5.7344230000000003E-2</v>
      </c>
      <c r="Z123">
        <v>1.26275E-3</v>
      </c>
      <c r="AA123">
        <v>0.99835370000000001</v>
      </c>
      <c r="AB123">
        <v>5</v>
      </c>
      <c r="AC123">
        <v>39.051699999999897</v>
      </c>
      <c r="AD123">
        <v>-1.171721</v>
      </c>
      <c r="AE123">
        <v>2.14769999999998</v>
      </c>
      <c r="AF123">
        <v>-2.2450070913457401</v>
      </c>
      <c r="AG123">
        <v>-1.171721</v>
      </c>
      <c r="AH123">
        <v>39.011096671624202</v>
      </c>
      <c r="AI123">
        <v>91.717554865724793</v>
      </c>
      <c r="AJ123">
        <v>93.293619689694196</v>
      </c>
      <c r="AK123">
        <v>39.093204658416603</v>
      </c>
      <c r="AL123">
        <v>81.2406482566752</v>
      </c>
      <c r="AM123">
        <v>90.928048803432702</v>
      </c>
      <c r="AN123">
        <v>0.99999997862266998</v>
      </c>
    </row>
    <row r="124" spans="1:40" x14ac:dyDescent="0.25">
      <c r="A124" t="str">
        <f>"20190303161845309"</f>
        <v>20190303161845309</v>
      </c>
      <c r="B124" t="str">
        <f>"1551601125303425"</f>
        <v>1551601125303425</v>
      </c>
      <c r="C124" t="s">
        <v>40</v>
      </c>
      <c r="D124">
        <v>4.8873160000000002</v>
      </c>
      <c r="E124">
        <v>0.52703350000000004</v>
      </c>
      <c r="F124" t="s">
        <v>44</v>
      </c>
      <c r="G124">
        <v>-430.44490000000002</v>
      </c>
      <c r="H124">
        <v>-0.05</v>
      </c>
      <c r="I124">
        <v>369.31650000000002</v>
      </c>
      <c r="J124">
        <v>-471.27980000000002</v>
      </c>
      <c r="K124">
        <v>1.1209</v>
      </c>
      <c r="L124">
        <v>367.05860000000001</v>
      </c>
      <c r="M124">
        <v>0.99994479999999997</v>
      </c>
      <c r="N124">
        <v>-1.021042E-2</v>
      </c>
      <c r="O124">
        <v>-2.543198E-3</v>
      </c>
      <c r="P124">
        <v>0.98963310000000004</v>
      </c>
      <c r="Q124">
        <v>0.14302679999999901</v>
      </c>
      <c r="R124">
        <v>1.304893E-2</v>
      </c>
      <c r="S124">
        <v>3.0400390000000002</v>
      </c>
      <c r="T124">
        <v>-8.7047340000000001E-2</v>
      </c>
      <c r="U124">
        <v>0.1677246</v>
      </c>
      <c r="V124">
        <v>-1.555961E-2</v>
      </c>
      <c r="W124">
        <v>0.15312400000000001</v>
      </c>
      <c r="X124">
        <v>0.98808450000000003</v>
      </c>
      <c r="Y124">
        <v>-5.7595E-2</v>
      </c>
      <c r="Z124">
        <v>1.164937E-3</v>
      </c>
      <c r="AA124">
        <v>0.99833939999999999</v>
      </c>
      <c r="AB124">
        <v>6</v>
      </c>
      <c r="AC124">
        <v>40.834899999999998</v>
      </c>
      <c r="AD124">
        <v>-1.1709000000000001</v>
      </c>
      <c r="AE124">
        <v>2.2578999999999998</v>
      </c>
      <c r="AF124">
        <v>-2.3598150081856599</v>
      </c>
      <c r="AG124">
        <v>-1.1709000000000001</v>
      </c>
      <c r="AH124">
        <v>40.795585516785501</v>
      </c>
      <c r="AI124">
        <v>91.641289098340593</v>
      </c>
      <c r="AJ124">
        <v>93.310577311073402</v>
      </c>
      <c r="AK124">
        <v>40.880551994074303</v>
      </c>
      <c r="AL124">
        <v>81.191989596464794</v>
      </c>
      <c r="AM124">
        <v>90.902176185033795</v>
      </c>
      <c r="AN124">
        <v>1.0000000199898</v>
      </c>
    </row>
    <row r="125" spans="1:40" x14ac:dyDescent="0.25">
      <c r="A125" t="str">
        <f>"20190303161845320"</f>
        <v>20190303161845320</v>
      </c>
      <c r="B125" t="str">
        <f>"1551601125313185"</f>
        <v>1551601125313185</v>
      </c>
      <c r="C125" t="s">
        <v>40</v>
      </c>
      <c r="D125">
        <v>4.8535779999999997</v>
      </c>
      <c r="E125">
        <v>0.5328425</v>
      </c>
      <c r="F125" t="s">
        <v>42</v>
      </c>
      <c r="G125">
        <v>-470.52190000000002</v>
      </c>
      <c r="H125">
        <v>1.014608</v>
      </c>
      <c r="I125">
        <v>367.01760000000002</v>
      </c>
      <c r="J125">
        <v>-471.24540000000002</v>
      </c>
      <c r="K125">
        <v>1.120641</v>
      </c>
      <c r="L125">
        <v>367.05840000000001</v>
      </c>
      <c r="M125">
        <v>0.99995199999999995</v>
      </c>
      <c r="N125">
        <v>-9.4710379999999993E-3</v>
      </c>
      <c r="O125">
        <v>-2.5426530000000002E-3</v>
      </c>
      <c r="P125">
        <v>0.98952050000000003</v>
      </c>
      <c r="Q125">
        <v>0.14381540000000001</v>
      </c>
      <c r="R125">
        <v>1.290502E-2</v>
      </c>
      <c r="S125">
        <v>3.0964360000000002</v>
      </c>
      <c r="T125">
        <v>-0.43437100000000001</v>
      </c>
      <c r="U125">
        <v>-0.1667786</v>
      </c>
      <c r="V125">
        <v>-1.541436E-2</v>
      </c>
      <c r="W125">
        <v>0.15318099999999901</v>
      </c>
      <c r="X125">
        <v>0.98807789999999995</v>
      </c>
      <c r="Y125">
        <v>5.073664E-2</v>
      </c>
      <c r="Z125">
        <v>-3.4497859999999998E-3</v>
      </c>
      <c r="AA125">
        <v>0.99870610000000004</v>
      </c>
      <c r="AB125">
        <v>6</v>
      </c>
      <c r="AC125">
        <v>0.72350000000000103</v>
      </c>
      <c r="AD125">
        <v>-0.106033</v>
      </c>
      <c r="AE125">
        <v>-4.0799999999990101E-2</v>
      </c>
      <c r="AF125">
        <v>3.8143506073524597E-2</v>
      </c>
      <c r="AG125">
        <v>-0.106033</v>
      </c>
      <c r="AH125">
        <v>0.70843351456332304</v>
      </c>
      <c r="AI125">
        <v>98.5002802240449</v>
      </c>
      <c r="AJ125">
        <v>86.918054164222298</v>
      </c>
      <c r="AK125">
        <v>0.71733950727749796</v>
      </c>
      <c r="AL125">
        <v>81.188684383096202</v>
      </c>
      <c r="AM125">
        <v>90.893761651555707</v>
      </c>
      <c r="AN125">
        <v>0.99999997886180902</v>
      </c>
    </row>
    <row r="126" spans="1:40" x14ac:dyDescent="0.25">
      <c r="A126" t="str">
        <f>"20190303161845334"</f>
        <v>20190303161845334</v>
      </c>
      <c r="B126" t="str">
        <f>"1551601125322945"</f>
        <v>1551601125322945</v>
      </c>
      <c r="C126" t="s">
        <v>40</v>
      </c>
      <c r="D126">
        <v>4.8699940000000002</v>
      </c>
      <c r="E126">
        <v>0.53463640000000001</v>
      </c>
      <c r="F126" t="s">
        <v>42</v>
      </c>
      <c r="G126">
        <v>-470.53289999999998</v>
      </c>
      <c r="H126">
        <v>0.99242399999999997</v>
      </c>
      <c r="I126">
        <v>367.00979999999998</v>
      </c>
      <c r="J126">
        <v>-471.20940000000002</v>
      </c>
      <c r="K126">
        <v>1.1204350000000001</v>
      </c>
      <c r="L126">
        <v>367.05829999999997</v>
      </c>
      <c r="M126">
        <v>0.99995769999999995</v>
      </c>
      <c r="N126">
        <v>-8.8379419999999997E-3</v>
      </c>
      <c r="O126">
        <v>-2.5421319999999999E-3</v>
      </c>
      <c r="P126">
        <v>0.98940320000000004</v>
      </c>
      <c r="Q126">
        <v>0.14463500000000001</v>
      </c>
      <c r="R126">
        <v>1.273029E-2</v>
      </c>
      <c r="S126">
        <v>3.116028</v>
      </c>
      <c r="T126">
        <v>-0.56081890000000001</v>
      </c>
      <c r="U126">
        <v>-0.21176149999999999</v>
      </c>
      <c r="V126">
        <v>-1.5239559999999999E-2</v>
      </c>
      <c r="W126">
        <v>0.15337419999999999</v>
      </c>
      <c r="X126">
        <v>0.9880506</v>
      </c>
      <c r="Y126">
        <v>6.4223970000000005E-2</v>
      </c>
      <c r="Z126">
        <v>-5.5823790000000002E-3</v>
      </c>
      <c r="AA126">
        <v>0.99791989999999997</v>
      </c>
      <c r="AB126">
        <v>6</v>
      </c>
      <c r="AC126">
        <v>0.67650000000003196</v>
      </c>
      <c r="AD126">
        <v>-0.12801100000000001</v>
      </c>
      <c r="AE126">
        <v>-4.8499999999990002E-2</v>
      </c>
      <c r="AF126">
        <v>4.5170893596790399E-2</v>
      </c>
      <c r="AG126">
        <v>-0.12801100000000001</v>
      </c>
      <c r="AH126">
        <v>0.65334683030611895</v>
      </c>
      <c r="AI126">
        <v>101.059848548663</v>
      </c>
      <c r="AJ126">
        <v>86.044995551673495</v>
      </c>
      <c r="AK126">
        <v>0.66730001230360003</v>
      </c>
      <c r="AL126">
        <v>81.177482110720504</v>
      </c>
      <c r="AM126">
        <v>90.883652354447094</v>
      </c>
      <c r="AN126">
        <v>0.99999993878749405</v>
      </c>
    </row>
    <row r="127" spans="1:40" x14ac:dyDescent="0.25">
      <c r="A127" t="str">
        <f>"20190303161845353"</f>
        <v>20190303161845353</v>
      </c>
      <c r="B127" t="str">
        <f>"1551601125343029"</f>
        <v>1551601125343029</v>
      </c>
      <c r="C127" t="s">
        <v>40</v>
      </c>
      <c r="D127">
        <v>4.8099569999999998</v>
      </c>
      <c r="E127">
        <v>0.53609439999999997</v>
      </c>
      <c r="F127" t="s">
        <v>42</v>
      </c>
      <c r="G127">
        <v>-470.48910000000001</v>
      </c>
      <c r="H127">
        <v>0.9688426</v>
      </c>
      <c r="I127">
        <v>367.00619999999998</v>
      </c>
      <c r="J127">
        <v>-471.15879999999999</v>
      </c>
      <c r="K127">
        <v>1.1203989999999999</v>
      </c>
      <c r="L127">
        <v>367.0582</v>
      </c>
      <c r="M127">
        <v>0.99995860000000003</v>
      </c>
      <c r="N127">
        <v>-8.7468100000000007E-3</v>
      </c>
      <c r="O127">
        <v>-2.5422050000000001E-3</v>
      </c>
      <c r="P127">
        <v>0.98942110000000005</v>
      </c>
      <c r="Q127">
        <v>0.1445854</v>
      </c>
      <c r="R127">
        <v>1.1880379999999999E-2</v>
      </c>
      <c r="S127">
        <v>3.131348</v>
      </c>
      <c r="T127">
        <v>-0.65905740000000002</v>
      </c>
      <c r="U127">
        <v>-0.2256775</v>
      </c>
      <c r="V127">
        <v>-1.438994E-2</v>
      </c>
      <c r="W127">
        <v>0.1532347</v>
      </c>
      <c r="X127">
        <v>0.98808499999999999</v>
      </c>
      <c r="Y127">
        <v>6.7856830000000007E-2</v>
      </c>
      <c r="Z127">
        <v>-6.8485899999999999E-3</v>
      </c>
      <c r="AA127">
        <v>0.99767150000000004</v>
      </c>
      <c r="AB127">
        <v>6</v>
      </c>
      <c r="AC127">
        <v>0.66969999999997698</v>
      </c>
      <c r="AD127">
        <v>-0.15155639999999901</v>
      </c>
      <c r="AE127">
        <v>-5.2000000000020898E-2</v>
      </c>
      <c r="AF127">
        <v>4.7860802655928597E-2</v>
      </c>
      <c r="AG127">
        <v>-0.15155639999999901</v>
      </c>
      <c r="AH127">
        <v>0.63738279303258505</v>
      </c>
      <c r="AI127">
        <v>103.33915739490899</v>
      </c>
      <c r="AJ127">
        <v>85.705743177807094</v>
      </c>
      <c r="AK127">
        <v>0.65689940148081205</v>
      </c>
      <c r="AL127">
        <v>81.185570633066803</v>
      </c>
      <c r="AM127">
        <v>90.834366018556807</v>
      </c>
      <c r="AN127">
        <v>0.99999995544114495</v>
      </c>
    </row>
    <row r="128" spans="1:40" x14ac:dyDescent="0.25">
      <c r="A128" t="str">
        <f>"20190303161845376"</f>
        <v>20190303161845376</v>
      </c>
      <c r="B128" t="str">
        <f>"1551601125373286"</f>
        <v>1551601125373286</v>
      </c>
      <c r="C128" t="s">
        <v>40</v>
      </c>
      <c r="D128">
        <v>4.8386490000000002</v>
      </c>
      <c r="E128">
        <v>0.53830330000000004</v>
      </c>
      <c r="F128" t="s">
        <v>42</v>
      </c>
      <c r="G128">
        <v>-470.44819999999999</v>
      </c>
      <c r="H128">
        <v>0.94795600000000002</v>
      </c>
      <c r="I128">
        <v>367.00420000000003</v>
      </c>
      <c r="J128">
        <v>-471.10379999999998</v>
      </c>
      <c r="K128">
        <v>1.120768</v>
      </c>
      <c r="L128">
        <v>367.05810000000002</v>
      </c>
      <c r="M128">
        <v>0.9999458</v>
      </c>
      <c r="N128">
        <v>-1.0103340000000001E-2</v>
      </c>
      <c r="O128">
        <v>-2.5428830000000001E-3</v>
      </c>
      <c r="P128">
        <v>0.98966310000000002</v>
      </c>
      <c r="Q128">
        <v>0.14297260000000001</v>
      </c>
      <c r="R128">
        <v>1.1216790000000001E-2</v>
      </c>
      <c r="S128">
        <v>3.1464840000000001</v>
      </c>
      <c r="T128">
        <v>-0.76346729999999996</v>
      </c>
      <c r="U128">
        <v>-0.23855589999999999</v>
      </c>
      <c r="V128">
        <v>-1.3727130000000001E-2</v>
      </c>
      <c r="W128">
        <v>0.15296470000000001</v>
      </c>
      <c r="X128">
        <v>0.98813629999999997</v>
      </c>
      <c r="Y128">
        <v>7.0994600000000005E-2</v>
      </c>
      <c r="Z128">
        <v>-8.2607400000000008E-3</v>
      </c>
      <c r="AA128">
        <v>0.99744250000000001</v>
      </c>
      <c r="AB128">
        <v>6</v>
      </c>
      <c r="AC128">
        <v>0.65559999999999197</v>
      </c>
      <c r="AD128">
        <v>-0.17281199999999999</v>
      </c>
      <c r="AE128">
        <v>-5.3899999999998699E-2</v>
      </c>
      <c r="AF128">
        <v>4.8860512373970898E-2</v>
      </c>
      <c r="AG128">
        <v>-0.17281199999999999</v>
      </c>
      <c r="AH128">
        <v>0.61340100280648802</v>
      </c>
      <c r="AI128">
        <v>105.686763817659</v>
      </c>
      <c r="AJ128">
        <v>85.4457154663951</v>
      </c>
      <c r="AK128">
        <v>0.63914953434814603</v>
      </c>
      <c r="AL128">
        <v>81.201225358718006</v>
      </c>
      <c r="AM128">
        <v>90.7958983237084</v>
      </c>
      <c r="AN128">
        <v>0.99999999046090804</v>
      </c>
    </row>
    <row r="129" spans="1:40" x14ac:dyDescent="0.25">
      <c r="A129" t="str">
        <f>"20190303161845389"</f>
        <v>20190303161845389</v>
      </c>
      <c r="B129" t="str">
        <f>"1551601125383046"</f>
        <v>1551601125383046</v>
      </c>
      <c r="C129" t="s">
        <v>40</v>
      </c>
      <c r="D129">
        <v>4.7897360000000004</v>
      </c>
      <c r="E129">
        <v>0.53900939999999997</v>
      </c>
      <c r="F129" t="s">
        <v>42</v>
      </c>
      <c r="G129">
        <v>-470.40550000000002</v>
      </c>
      <c r="H129">
        <v>0.93722839999999996</v>
      </c>
      <c r="I129">
        <v>367.00069999999999</v>
      </c>
      <c r="J129">
        <v>-471.07100000000003</v>
      </c>
      <c r="K129">
        <v>1.1210629999999999</v>
      </c>
      <c r="L129">
        <v>367.05799999999999</v>
      </c>
      <c r="M129">
        <v>0.99993339999999997</v>
      </c>
      <c r="N129">
        <v>-1.1262049999999999E-2</v>
      </c>
      <c r="O129">
        <v>-2.5438309999999999E-3</v>
      </c>
      <c r="P129">
        <v>0.98991229999999997</v>
      </c>
      <c r="Q129">
        <v>0.14124120000000001</v>
      </c>
      <c r="R129">
        <v>1.1162099999999999E-2</v>
      </c>
      <c r="S129">
        <v>3.1540530000000002</v>
      </c>
      <c r="T129">
        <v>-0.82918380000000003</v>
      </c>
      <c r="U129">
        <v>-0.25711060000000002</v>
      </c>
      <c r="V129">
        <v>-1.3674189999999999E-2</v>
      </c>
      <c r="W129">
        <v>0.15238090000000001</v>
      </c>
      <c r="X129">
        <v>0.98822719999999997</v>
      </c>
      <c r="Y129">
        <v>7.6107259999999996E-2</v>
      </c>
      <c r="Z129">
        <v>-9.6298080000000001E-3</v>
      </c>
      <c r="AA129">
        <v>0.99705310000000003</v>
      </c>
      <c r="AB129">
        <v>6</v>
      </c>
      <c r="AC129">
        <v>0.66549999999995102</v>
      </c>
      <c r="AD129">
        <v>-0.18383459999999999</v>
      </c>
      <c r="AE129">
        <v>-5.7300000000054703E-2</v>
      </c>
      <c r="AF129">
        <v>5.1691448505204102E-2</v>
      </c>
      <c r="AG129">
        <v>-0.18383459999999999</v>
      </c>
      <c r="AH129">
        <v>0.61877486798378101</v>
      </c>
      <c r="AI129">
        <v>106.492083959239</v>
      </c>
      <c r="AJ129">
        <v>85.224691364241906</v>
      </c>
      <c r="AK129">
        <v>0.64757200623102296</v>
      </c>
      <c r="AL129">
        <v>81.235071155312596</v>
      </c>
      <c r="AM129">
        <v>90.792756340244196</v>
      </c>
      <c r="AN129">
        <v>0.99999996048840201</v>
      </c>
    </row>
    <row r="130" spans="1:40" x14ac:dyDescent="0.25">
      <c r="A130" t="str">
        <f>"20190303161845402"</f>
        <v>20190303161845402</v>
      </c>
      <c r="B130" t="str">
        <f>"1551601125392805"</f>
        <v>1551601125392805</v>
      </c>
      <c r="C130" t="s">
        <v>40</v>
      </c>
      <c r="D130">
        <v>4.8080550000000004</v>
      </c>
      <c r="E130">
        <v>0.53957630000000001</v>
      </c>
      <c r="F130" t="s">
        <v>42</v>
      </c>
      <c r="G130">
        <v>-470.36329999999998</v>
      </c>
      <c r="H130">
        <v>0.93159309999999995</v>
      </c>
      <c r="I130">
        <v>366.99880000000002</v>
      </c>
      <c r="J130">
        <v>-471.04199999999997</v>
      </c>
      <c r="K130">
        <v>1.121327</v>
      </c>
      <c r="L130">
        <v>367.05790000000002</v>
      </c>
      <c r="M130">
        <v>0.99992000000000003</v>
      </c>
      <c r="N130">
        <v>-1.23981E-2</v>
      </c>
      <c r="O130">
        <v>-2.5451889999999998E-3</v>
      </c>
      <c r="P130">
        <v>0.99009309999999995</v>
      </c>
      <c r="Q130">
        <v>0.1399707</v>
      </c>
      <c r="R130">
        <v>1.114775E-2</v>
      </c>
      <c r="S130">
        <v>3.1540219999999999</v>
      </c>
      <c r="T130">
        <v>-0.8444663</v>
      </c>
      <c r="U130">
        <v>-0.26269530000000002</v>
      </c>
      <c r="V130">
        <v>-1.366178E-2</v>
      </c>
      <c r="W130">
        <v>0.1522357</v>
      </c>
      <c r="X130">
        <v>0.98824979999999996</v>
      </c>
      <c r="Y130">
        <v>7.7696639999999997E-2</v>
      </c>
      <c r="Z130">
        <v>-1.005819E-2</v>
      </c>
      <c r="AA130">
        <v>0.99692630000000004</v>
      </c>
      <c r="AB130">
        <v>5</v>
      </c>
      <c r="AC130">
        <v>0.67869999999999198</v>
      </c>
      <c r="AD130">
        <v>-0.18973389999999901</v>
      </c>
      <c r="AE130">
        <v>-5.9100000000000798E-2</v>
      </c>
      <c r="AF130">
        <v>5.3242610030319798E-2</v>
      </c>
      <c r="AG130">
        <v>-0.18973389999999901</v>
      </c>
      <c r="AH130">
        <v>0.62998484262062404</v>
      </c>
      <c r="AI130">
        <v>106.704622156144</v>
      </c>
      <c r="AJ130">
        <v>85.169177803964104</v>
      </c>
      <c r="AK130">
        <v>0.66008683539651303</v>
      </c>
      <c r="AL130">
        <v>81.243489146205107</v>
      </c>
      <c r="AM130">
        <v>90.792018856010102</v>
      </c>
      <c r="AN130">
        <v>1.0000000098936399</v>
      </c>
    </row>
    <row r="131" spans="1:40" x14ac:dyDescent="0.25">
      <c r="A131" t="str">
        <f>"20190303161845421"</f>
        <v>20190303161845421</v>
      </c>
      <c r="B131" t="str">
        <f>"1551601125413302"</f>
        <v>1551601125413302</v>
      </c>
      <c r="C131" t="s">
        <v>40</v>
      </c>
      <c r="D131">
        <v>4.8552249999999999</v>
      </c>
      <c r="E131">
        <v>0.53989619999999905</v>
      </c>
      <c r="F131" t="s">
        <v>42</v>
      </c>
      <c r="G131">
        <v>-470.36070000000001</v>
      </c>
      <c r="H131">
        <v>0.93666459999999996</v>
      </c>
      <c r="I131">
        <v>367</v>
      </c>
      <c r="J131">
        <v>-471.00069999999999</v>
      </c>
      <c r="K131">
        <v>1.1214170000000001</v>
      </c>
      <c r="L131">
        <v>367.05779999999999</v>
      </c>
      <c r="M131">
        <v>0.99991099999999999</v>
      </c>
      <c r="N131">
        <v>-1.310007E-2</v>
      </c>
      <c r="O131">
        <v>-2.5469220000000001E-3</v>
      </c>
      <c r="P131">
        <v>0.99026840000000005</v>
      </c>
      <c r="Q131">
        <v>0.13874690000000001</v>
      </c>
      <c r="R131">
        <v>1.0860130000000001E-2</v>
      </c>
      <c r="S131">
        <v>3.1539000000000001</v>
      </c>
      <c r="T131">
        <v>-0.8549833</v>
      </c>
      <c r="U131">
        <v>-0.26715090000000002</v>
      </c>
      <c r="V131">
        <v>-1.3376839999999999E-2</v>
      </c>
      <c r="W131">
        <v>0.15170739999999999</v>
      </c>
      <c r="X131">
        <v>0.98833499999999996</v>
      </c>
      <c r="Y131">
        <v>7.8974139999999998E-2</v>
      </c>
      <c r="Z131">
        <v>-1.038039E-2</v>
      </c>
      <c r="AA131">
        <v>0.9968226</v>
      </c>
      <c r="AB131">
        <v>5</v>
      </c>
      <c r="AC131">
        <v>0.63999999999998602</v>
      </c>
      <c r="AD131">
        <v>-0.18475240000000001</v>
      </c>
      <c r="AE131">
        <v>-5.7799999999986001E-2</v>
      </c>
      <c r="AF131">
        <v>5.1881174921873802E-2</v>
      </c>
      <c r="AG131">
        <v>-0.18475240000000001</v>
      </c>
      <c r="AH131">
        <v>0.59127102966746403</v>
      </c>
      <c r="AI131">
        <v>107.289826825209</v>
      </c>
      <c r="AJ131">
        <v>84.985415426196496</v>
      </c>
      <c r="AK131">
        <v>0.62163215500893898</v>
      </c>
      <c r="AL131">
        <v>81.274114781495001</v>
      </c>
      <c r="AM131">
        <v>90.775435130322805</v>
      </c>
      <c r="AN131">
        <v>1.00000007364407</v>
      </c>
    </row>
    <row r="132" spans="1:40" x14ac:dyDescent="0.25">
      <c r="A132" t="str">
        <f>"20190303161845436"</f>
        <v>20190303161845436</v>
      </c>
      <c r="B132" t="str">
        <f>"1551601125432823"</f>
        <v>1551601125432823</v>
      </c>
      <c r="C132" t="s">
        <v>40</v>
      </c>
      <c r="D132">
        <v>4.8110939999999998</v>
      </c>
      <c r="E132">
        <v>0.54047829999999997</v>
      </c>
      <c r="F132" t="s">
        <v>42</v>
      </c>
      <c r="G132">
        <v>-470.31650000000002</v>
      </c>
      <c r="H132">
        <v>0.93246329999999999</v>
      </c>
      <c r="I132">
        <v>366.99880000000002</v>
      </c>
      <c r="J132">
        <v>-470.96120000000002</v>
      </c>
      <c r="K132">
        <v>1.121205</v>
      </c>
      <c r="L132">
        <v>367.05770000000001</v>
      </c>
      <c r="M132">
        <v>0.99991699999999994</v>
      </c>
      <c r="N132">
        <v>-1.26325E-2</v>
      </c>
      <c r="O132">
        <v>-2.5470169999999999E-3</v>
      </c>
      <c r="P132">
        <v>0.99024650000000003</v>
      </c>
      <c r="Q132">
        <v>0.13891239999999999</v>
      </c>
      <c r="R132">
        <v>1.073151E-2</v>
      </c>
      <c r="S132">
        <v>3.154541</v>
      </c>
      <c r="T132">
        <v>-0.87123320000000004</v>
      </c>
      <c r="U132">
        <v>-0.26947019999999999</v>
      </c>
      <c r="V132">
        <v>-1.324785E-2</v>
      </c>
      <c r="W132">
        <v>0.1514104</v>
      </c>
      <c r="X132">
        <v>0.98838219999999999</v>
      </c>
      <c r="Y132">
        <v>7.9562430000000003E-2</v>
      </c>
      <c r="Z132">
        <v>-1.0621810000000001E-2</v>
      </c>
      <c r="AA132">
        <v>0.99677329999999997</v>
      </c>
      <c r="AB132">
        <v>5</v>
      </c>
      <c r="AC132">
        <v>0.64470000000000005</v>
      </c>
      <c r="AD132">
        <v>-0.18874170000000001</v>
      </c>
      <c r="AE132">
        <v>-5.8899999999994103E-2</v>
      </c>
      <c r="AF132">
        <v>5.2772076602711E-2</v>
      </c>
      <c r="AG132">
        <v>-0.18874170000000001</v>
      </c>
      <c r="AH132">
        <v>0.59433080175643005</v>
      </c>
      <c r="AI132">
        <v>107.553495874679</v>
      </c>
      <c r="AJ132">
        <v>84.925875501561407</v>
      </c>
      <c r="AK132">
        <v>0.62580941452194006</v>
      </c>
      <c r="AL132">
        <v>81.291329800001293</v>
      </c>
      <c r="AM132">
        <v>90.767922006167296</v>
      </c>
      <c r="AN132">
        <v>0.99999999401731099</v>
      </c>
    </row>
    <row r="133" spans="1:40" x14ac:dyDescent="0.25">
      <c r="A133" t="str">
        <f>"20190303161845456"</f>
        <v>20190303161845456</v>
      </c>
      <c r="B133" t="str">
        <f>"1551601125443558"</f>
        <v>1551601125443558</v>
      </c>
      <c r="C133" t="s">
        <v>40</v>
      </c>
      <c r="D133">
        <v>4.760948</v>
      </c>
      <c r="E133">
        <v>0.54062860000000001</v>
      </c>
      <c r="F133" t="s">
        <v>42</v>
      </c>
      <c r="G133">
        <v>-470.26729999999998</v>
      </c>
      <c r="H133">
        <v>0.92873309999999998</v>
      </c>
      <c r="I133">
        <v>366.9973</v>
      </c>
      <c r="J133">
        <v>-470.91109999999998</v>
      </c>
      <c r="K133">
        <v>1.120808</v>
      </c>
      <c r="L133">
        <v>367.05759999999998</v>
      </c>
      <c r="M133">
        <v>0.99993189999999998</v>
      </c>
      <c r="N133">
        <v>-1.1385320000000001E-2</v>
      </c>
      <c r="O133">
        <v>-2.5460869999999998E-3</v>
      </c>
      <c r="P133">
        <v>0.99015280000000006</v>
      </c>
      <c r="Q133">
        <v>0.13961270000000001</v>
      </c>
      <c r="R133">
        <v>1.0282619999999999E-2</v>
      </c>
      <c r="S133">
        <v>3.1553339999999999</v>
      </c>
      <c r="T133">
        <v>-0.87523390000000001</v>
      </c>
      <c r="U133">
        <v>-0.27453610000000001</v>
      </c>
      <c r="V133">
        <v>-1.2797869999999999E-2</v>
      </c>
      <c r="W133">
        <v>0.15087729999999999</v>
      </c>
      <c r="X133">
        <v>0.98846970000000001</v>
      </c>
      <c r="Y133">
        <v>8.1062129999999996E-2</v>
      </c>
      <c r="Z133">
        <v>-1.082233E-2</v>
      </c>
      <c r="AA133">
        <v>0.99665029999999999</v>
      </c>
      <c r="AB133">
        <v>5</v>
      </c>
      <c r="AC133">
        <v>0.64379999999999804</v>
      </c>
      <c r="AD133">
        <v>-0.19207489999999999</v>
      </c>
      <c r="AE133">
        <v>-6.0299999999983797E-2</v>
      </c>
      <c r="AF133">
        <v>5.3904231846554497E-2</v>
      </c>
      <c r="AG133">
        <v>-0.19207489999999999</v>
      </c>
      <c r="AH133">
        <v>0.59173877066251801</v>
      </c>
      <c r="AI133">
        <v>107.913718043161</v>
      </c>
      <c r="AJ133">
        <v>84.795027080087195</v>
      </c>
      <c r="AK133">
        <v>0.62446233363283399</v>
      </c>
      <c r="AL133">
        <v>81.322229618049505</v>
      </c>
      <c r="AM133">
        <v>90.741775868115397</v>
      </c>
      <c r="AN133">
        <v>1.0000000464749501</v>
      </c>
    </row>
    <row r="134" spans="1:40" x14ac:dyDescent="0.25">
      <c r="A134" t="str">
        <f>"20190303161845477"</f>
        <v>20190303161845477</v>
      </c>
      <c r="B134" t="str">
        <f>"1551601125472838"</f>
        <v>1551601125472838</v>
      </c>
      <c r="C134" t="s">
        <v>40</v>
      </c>
      <c r="D134">
        <v>4.7823099999999998</v>
      </c>
      <c r="E134">
        <v>0.54098210000000002</v>
      </c>
      <c r="F134" t="s">
        <v>42</v>
      </c>
      <c r="G134">
        <v>-470.21379999999999</v>
      </c>
      <c r="H134">
        <v>0.92747679999999999</v>
      </c>
      <c r="I134">
        <v>366.99590000000001</v>
      </c>
      <c r="J134">
        <v>-470.8519</v>
      </c>
      <c r="K134">
        <v>1.1204339999999999</v>
      </c>
      <c r="L134">
        <v>367.05739999999997</v>
      </c>
      <c r="M134">
        <v>0.9999479</v>
      </c>
      <c r="N134">
        <v>-9.8992190000000008E-3</v>
      </c>
      <c r="O134">
        <v>-2.5446079999999999E-3</v>
      </c>
      <c r="P134">
        <v>0.99000719999999998</v>
      </c>
      <c r="Q134">
        <v>0.14064699999999999</v>
      </c>
      <c r="R134">
        <v>1.0226560000000001E-2</v>
      </c>
      <c r="S134">
        <v>3.1560969999999999</v>
      </c>
      <c r="T134">
        <v>-0.87503410000000004</v>
      </c>
      <c r="U134">
        <v>-0.27728269999999999</v>
      </c>
      <c r="V134">
        <v>-1.273934E-2</v>
      </c>
      <c r="W134">
        <v>0.15044080000000001</v>
      </c>
      <c r="X134">
        <v>0.988537</v>
      </c>
      <c r="Y134">
        <v>8.1892300000000001E-2</v>
      </c>
      <c r="Z134">
        <v>-1.086937E-2</v>
      </c>
      <c r="AA134">
        <v>0.99658190000000002</v>
      </c>
      <c r="AB134">
        <v>6</v>
      </c>
      <c r="AC134">
        <v>0.63810000000000799</v>
      </c>
      <c r="AD134">
        <v>-0.192957199999999</v>
      </c>
      <c r="AE134">
        <v>-6.1499999999966803E-2</v>
      </c>
      <c r="AF134">
        <v>5.4901887928040599E-2</v>
      </c>
      <c r="AG134">
        <v>-0.192957199999999</v>
      </c>
      <c r="AH134">
        <v>0.58523230117060099</v>
      </c>
      <c r="AI134">
        <v>108.17341019698701</v>
      </c>
      <c r="AJ134">
        <v>84.640646281969197</v>
      </c>
      <c r="AK134">
        <v>0.61866270670159196</v>
      </c>
      <c r="AL134">
        <v>81.347528127604704</v>
      </c>
      <c r="AM134">
        <v>90.738333530091595</v>
      </c>
      <c r="AN134">
        <v>1.0000000627286301</v>
      </c>
    </row>
    <row r="135" spans="1:40" x14ac:dyDescent="0.25">
      <c r="A135" t="str">
        <f>"20190303161845491"</f>
        <v>20190303161845491</v>
      </c>
      <c r="B135" t="str">
        <f>"1551601125483574"</f>
        <v>1551601125483574</v>
      </c>
      <c r="C135" t="s">
        <v>40</v>
      </c>
      <c r="D135">
        <v>4.7865640000000003</v>
      </c>
      <c r="E135">
        <v>0.54110809999999998</v>
      </c>
      <c r="F135" t="s">
        <v>42</v>
      </c>
      <c r="G135">
        <v>-470.15780000000001</v>
      </c>
      <c r="H135">
        <v>0.92776000000000003</v>
      </c>
      <c r="I135">
        <v>366.99549999999999</v>
      </c>
      <c r="J135">
        <v>-470.8109</v>
      </c>
      <c r="K135">
        <v>1.120271</v>
      </c>
      <c r="L135">
        <v>367.0573</v>
      </c>
      <c r="M135">
        <v>0.9999557</v>
      </c>
      <c r="N135">
        <v>-9.0692710000000003E-3</v>
      </c>
      <c r="O135">
        <v>-2.543525E-3</v>
      </c>
      <c r="P135">
        <v>0.98990699999999998</v>
      </c>
      <c r="Q135">
        <v>0.14134849999999999</v>
      </c>
      <c r="R135">
        <v>1.024415E-2</v>
      </c>
      <c r="S135">
        <v>3.1576840000000002</v>
      </c>
      <c r="T135">
        <v>-0.87648630000000005</v>
      </c>
      <c r="U135">
        <v>-0.28057860000000001</v>
      </c>
      <c r="V135">
        <v>-1.275607E-2</v>
      </c>
      <c r="W135">
        <v>0.1503206</v>
      </c>
      <c r="X135">
        <v>0.98855499999999996</v>
      </c>
      <c r="Y135">
        <v>8.28483E-2</v>
      </c>
      <c r="Z135">
        <v>-1.0978480000000001E-2</v>
      </c>
      <c r="AA135">
        <v>0.99650170000000005</v>
      </c>
      <c r="AB135">
        <v>6</v>
      </c>
      <c r="AC135">
        <v>0.65309999999999402</v>
      </c>
      <c r="AD135">
        <v>-0.19251099999999999</v>
      </c>
      <c r="AE135">
        <v>-6.1800000000005101E-2</v>
      </c>
      <c r="AF135">
        <v>5.5370323214667699E-2</v>
      </c>
      <c r="AG135">
        <v>-0.19251099999999999</v>
      </c>
      <c r="AH135">
        <v>0.60146015658444796</v>
      </c>
      <c r="AI135">
        <v>107.678380149828</v>
      </c>
      <c r="AJ135">
        <v>84.740185516077403</v>
      </c>
      <c r="AK135">
        <v>0.63394059482926801</v>
      </c>
      <c r="AL135">
        <v>81.354493699844397</v>
      </c>
      <c r="AM135">
        <v>90.739289582600705</v>
      </c>
      <c r="AN135">
        <v>0.99999999406560203</v>
      </c>
    </row>
    <row r="136" spans="1:40" x14ac:dyDescent="0.25">
      <c r="A136" t="str">
        <f>"20190303161845509"</f>
        <v>20190303161845509</v>
      </c>
      <c r="B136" t="str">
        <f>"1551601125503093"</f>
        <v>1551601125503093</v>
      </c>
      <c r="C136" t="s">
        <v>40</v>
      </c>
      <c r="D136">
        <v>4.8372449999999896</v>
      </c>
      <c r="E136">
        <v>0.54124280000000002</v>
      </c>
      <c r="F136" t="s">
        <v>42</v>
      </c>
      <c r="G136">
        <v>-470.10219999999998</v>
      </c>
      <c r="H136">
        <v>0.92417369999999999</v>
      </c>
      <c r="I136">
        <v>366.99349999999998</v>
      </c>
      <c r="J136">
        <v>-470.75940000000003</v>
      </c>
      <c r="K136">
        <v>1.1202620000000001</v>
      </c>
      <c r="L136">
        <v>367.05720000000002</v>
      </c>
      <c r="M136">
        <v>0.99995990000000001</v>
      </c>
      <c r="N136">
        <v>-8.5997260000000002E-3</v>
      </c>
      <c r="O136">
        <v>-2.542875E-3</v>
      </c>
      <c r="P136">
        <v>0.98981640000000004</v>
      </c>
      <c r="Q136">
        <v>0.14195969999999999</v>
      </c>
      <c r="R136">
        <v>1.05451E-2</v>
      </c>
      <c r="S136">
        <v>3.158264</v>
      </c>
      <c r="T136">
        <v>-0.87387990000000004</v>
      </c>
      <c r="U136">
        <v>-0.28198240000000002</v>
      </c>
      <c r="V136">
        <v>-1.305604E-2</v>
      </c>
      <c r="W136">
        <v>0.1504672</v>
      </c>
      <c r="X136">
        <v>0.98852879999999999</v>
      </c>
      <c r="Y136">
        <v>8.3280560000000003E-2</v>
      </c>
      <c r="Z136">
        <v>-1.0985699999999999E-2</v>
      </c>
      <c r="AA136">
        <v>0.99646559999999995</v>
      </c>
      <c r="AB136">
        <v>6</v>
      </c>
      <c r="AC136">
        <v>0.65720000000004497</v>
      </c>
      <c r="AD136">
        <v>-0.19608829999999999</v>
      </c>
      <c r="AE136">
        <v>-6.3700000000039794E-2</v>
      </c>
      <c r="AF136">
        <v>5.7001288579945797E-2</v>
      </c>
      <c r="AG136">
        <v>-0.19608829999999999</v>
      </c>
      <c r="AH136">
        <v>0.60408241365655702</v>
      </c>
      <c r="AI136">
        <v>107.909259457836</v>
      </c>
      <c r="AJ136">
        <v>84.609524233634502</v>
      </c>
      <c r="AK136">
        <v>0.63766396384443402</v>
      </c>
      <c r="AL136">
        <v>81.345997673075104</v>
      </c>
      <c r="AM136">
        <v>90.756692669877395</v>
      </c>
      <c r="AN136">
        <v>1.0000000134428799</v>
      </c>
    </row>
    <row r="137" spans="1:40" x14ac:dyDescent="0.25">
      <c r="A137" t="str">
        <f>"20190303161845523"</f>
        <v>20190303161845523</v>
      </c>
      <c r="B137" t="str">
        <f>"1551601125512853"</f>
        <v>1551601125512853</v>
      </c>
      <c r="C137" t="s">
        <v>40</v>
      </c>
      <c r="D137">
        <v>4.7934960000000002</v>
      </c>
      <c r="E137">
        <v>0.54128549999999997</v>
      </c>
      <c r="F137" t="s">
        <v>42</v>
      </c>
      <c r="G137">
        <v>-470.04930000000002</v>
      </c>
      <c r="H137">
        <v>0.92392779999999997</v>
      </c>
      <c r="I137">
        <v>366.99369999999999</v>
      </c>
      <c r="J137">
        <v>-470.72199999999998</v>
      </c>
      <c r="K137">
        <v>1.1205270000000001</v>
      </c>
      <c r="L137">
        <v>367.05709999999999</v>
      </c>
      <c r="M137">
        <v>0.99995469999999997</v>
      </c>
      <c r="N137">
        <v>-9.1733179999999998E-3</v>
      </c>
      <c r="O137">
        <v>-2.5428019999999998E-3</v>
      </c>
      <c r="P137">
        <v>0.98990129999999998</v>
      </c>
      <c r="Q137">
        <v>0.1413479</v>
      </c>
      <c r="R137">
        <v>1.0771360000000001E-2</v>
      </c>
      <c r="S137">
        <v>3.1591800000000001</v>
      </c>
      <c r="T137">
        <v>-0.87358139999999995</v>
      </c>
      <c r="U137">
        <v>-0.28225709999999998</v>
      </c>
      <c r="V137">
        <v>-1.328239E-2</v>
      </c>
      <c r="W137">
        <v>0.1504229</v>
      </c>
      <c r="X137">
        <v>0.98853250000000004</v>
      </c>
      <c r="Y137">
        <v>8.3335580000000006E-2</v>
      </c>
      <c r="Z137">
        <v>-1.101278E-2</v>
      </c>
      <c r="AA137">
        <v>0.99646069999999998</v>
      </c>
      <c r="AB137">
        <v>6</v>
      </c>
      <c r="AC137">
        <v>0.67269999999996299</v>
      </c>
      <c r="AD137">
        <v>-0.1965992</v>
      </c>
      <c r="AE137">
        <v>-6.34000000000014E-2</v>
      </c>
      <c r="AF137">
        <v>5.6874191370424203E-2</v>
      </c>
      <c r="AG137">
        <v>-0.1965992</v>
      </c>
      <c r="AH137">
        <v>0.62034077975849899</v>
      </c>
      <c r="AI137">
        <v>107.515574719955</v>
      </c>
      <c r="AJ137">
        <v>84.761642827758905</v>
      </c>
      <c r="AK137">
        <v>0.65322936409507903</v>
      </c>
      <c r="AL137">
        <v>81.348564868258904</v>
      </c>
      <c r="AM137">
        <v>90.769806855751995</v>
      </c>
      <c r="AN137">
        <v>0.99999998714238603</v>
      </c>
    </row>
    <row r="138" spans="1:40" x14ac:dyDescent="0.25">
      <c r="A138" t="str">
        <f>"20190303161845543"</f>
        <v>20190303161845543</v>
      </c>
      <c r="B138" t="str">
        <f>"1551601125533353"</f>
        <v>1551601125533353</v>
      </c>
      <c r="C138" t="s">
        <v>40</v>
      </c>
      <c r="D138">
        <v>4.7834659999999998</v>
      </c>
      <c r="E138">
        <v>0.54115859999999905</v>
      </c>
      <c r="F138" t="s">
        <v>42</v>
      </c>
      <c r="G138">
        <v>-470.0453</v>
      </c>
      <c r="H138">
        <v>0.93228359999999999</v>
      </c>
      <c r="I138">
        <v>366.99669999999998</v>
      </c>
      <c r="J138">
        <v>-470.67430000000002</v>
      </c>
      <c r="K138">
        <v>1.1210059999999999</v>
      </c>
      <c r="L138">
        <v>367.05700000000002</v>
      </c>
      <c r="M138">
        <v>0.99994079999999996</v>
      </c>
      <c r="N138">
        <v>-1.057948E-2</v>
      </c>
      <c r="O138">
        <v>-2.5437889999999999E-3</v>
      </c>
      <c r="P138">
        <v>0.99009689999999995</v>
      </c>
      <c r="Q138">
        <v>0.13991410000000001</v>
      </c>
      <c r="R138">
        <v>1.1503909999999999E-2</v>
      </c>
      <c r="S138">
        <v>3.1592099999999999</v>
      </c>
      <c r="T138">
        <v>-0.87888480000000002</v>
      </c>
      <c r="U138">
        <v>-0.28207399999999999</v>
      </c>
      <c r="V138">
        <v>-1.4016870000000001E-2</v>
      </c>
      <c r="W138">
        <v>0.1503814</v>
      </c>
      <c r="X138">
        <v>0.98852870000000004</v>
      </c>
      <c r="Y138">
        <v>8.3226540000000002E-2</v>
      </c>
      <c r="Z138">
        <v>-1.1122480000000001E-2</v>
      </c>
      <c r="AA138">
        <v>0.99646860000000004</v>
      </c>
      <c r="AB138">
        <v>6</v>
      </c>
      <c r="AC138">
        <v>0.62900000000001899</v>
      </c>
      <c r="AD138">
        <v>-0.18872240000000001</v>
      </c>
      <c r="AE138">
        <v>-6.0299999999983797E-2</v>
      </c>
      <c r="AF138">
        <v>5.3892386437825297E-2</v>
      </c>
      <c r="AG138">
        <v>-0.18872240000000001</v>
      </c>
      <c r="AH138">
        <v>0.57762619855828801</v>
      </c>
      <c r="AI138">
        <v>108.020112474112</v>
      </c>
      <c r="AJ138">
        <v>84.669748049467799</v>
      </c>
      <c r="AK138">
        <v>0.61005947155881701</v>
      </c>
      <c r="AL138">
        <v>81.350970239482294</v>
      </c>
      <c r="AM138">
        <v>90.8123726458101</v>
      </c>
      <c r="AN138">
        <v>1.0000000144171199</v>
      </c>
    </row>
    <row r="139" spans="1:40" x14ac:dyDescent="0.25">
      <c r="A139" t="str">
        <f>"20190303161845556"</f>
        <v>20190303161845556</v>
      </c>
      <c r="B139" t="str">
        <f>"1551601125552870"</f>
        <v>1551601125552870</v>
      </c>
      <c r="C139" t="s">
        <v>40</v>
      </c>
      <c r="D139">
        <v>4.7239890000000004</v>
      </c>
      <c r="E139">
        <v>0.54117219999999999</v>
      </c>
      <c r="F139" t="s">
        <v>42</v>
      </c>
      <c r="G139">
        <v>-469.99680000000001</v>
      </c>
      <c r="H139">
        <v>0.92964860000000005</v>
      </c>
      <c r="I139">
        <v>366.99680000000001</v>
      </c>
      <c r="J139">
        <v>-470.64089999999999</v>
      </c>
      <c r="K139">
        <v>1.121245</v>
      </c>
      <c r="L139">
        <v>367.05689999999998</v>
      </c>
      <c r="M139">
        <v>0.99993220000000005</v>
      </c>
      <c r="N139">
        <v>-1.1372780000000001E-2</v>
      </c>
      <c r="O139">
        <v>-2.544925E-3</v>
      </c>
      <c r="P139">
        <v>0.99021990000000004</v>
      </c>
      <c r="Q139">
        <v>0.1390131</v>
      </c>
      <c r="R139">
        <v>1.18399E-2</v>
      </c>
      <c r="S139">
        <v>3.1593930000000001</v>
      </c>
      <c r="T139">
        <v>-0.89239469999999999</v>
      </c>
      <c r="U139">
        <v>-0.2791748</v>
      </c>
      <c r="V139">
        <v>-1.4354159999999999E-2</v>
      </c>
      <c r="W139">
        <v>0.15026589999999901</v>
      </c>
      <c r="X139">
        <v>0.98854140000000001</v>
      </c>
      <c r="Y139">
        <v>8.2248139999999997E-2</v>
      </c>
      <c r="Z139">
        <v>-1.117455E-2</v>
      </c>
      <c r="AA139">
        <v>0.99654920000000002</v>
      </c>
      <c r="AB139">
        <v>6</v>
      </c>
      <c r="AC139">
        <v>0.64409999999998002</v>
      </c>
      <c r="AD139">
        <v>-0.1915964</v>
      </c>
      <c r="AE139">
        <v>-6.0099999999977102E-2</v>
      </c>
      <c r="AF139">
        <v>5.37458746200878E-2</v>
      </c>
      <c r="AG139">
        <v>-0.1915964</v>
      </c>
      <c r="AH139">
        <v>0.59229426356426096</v>
      </c>
      <c r="AI139">
        <v>107.856768566588</v>
      </c>
      <c r="AJ139">
        <v>84.8150751406003</v>
      </c>
      <c r="AK139">
        <v>0.62482821173724901</v>
      </c>
      <c r="AL139">
        <v>81.357663760408002</v>
      </c>
      <c r="AM139">
        <v>90.8319074866086</v>
      </c>
      <c r="AN139">
        <v>0.99999999106303705</v>
      </c>
    </row>
    <row r="140" spans="1:40" x14ac:dyDescent="0.25">
      <c r="A140" t="str">
        <f>"20190303161845571"</f>
        <v>20190303161845571</v>
      </c>
      <c r="B140" t="str">
        <f>"1551601125562630"</f>
        <v>1551601125562630</v>
      </c>
      <c r="C140" t="s">
        <v>40</v>
      </c>
      <c r="D140">
        <v>4.7500910000000003</v>
      </c>
      <c r="E140">
        <v>0.54116679999999995</v>
      </c>
      <c r="F140" t="s">
        <v>42</v>
      </c>
      <c r="G140">
        <v>-469.95030000000003</v>
      </c>
      <c r="H140">
        <v>0.92418230000000001</v>
      </c>
      <c r="I140">
        <v>366.99590000000001</v>
      </c>
      <c r="J140">
        <v>-470.60509999999999</v>
      </c>
      <c r="K140">
        <v>1.1213169999999999</v>
      </c>
      <c r="L140">
        <v>367.05680000000001</v>
      </c>
      <c r="M140">
        <v>0.99992910000000002</v>
      </c>
      <c r="N140">
        <v>-1.164043E-2</v>
      </c>
      <c r="O140">
        <v>-2.5459879999999999E-3</v>
      </c>
      <c r="P140">
        <v>0.99024920000000005</v>
      </c>
      <c r="Q140">
        <v>0.13877159999999999</v>
      </c>
      <c r="R140">
        <v>1.222813E-2</v>
      </c>
      <c r="S140">
        <v>3.1595460000000002</v>
      </c>
      <c r="T140">
        <v>-0.9016824</v>
      </c>
      <c r="U140">
        <v>-0.27819820000000001</v>
      </c>
      <c r="V140">
        <v>-1.4743930000000001E-2</v>
      </c>
      <c r="W140">
        <v>0.15028900000000001</v>
      </c>
      <c r="X140">
        <v>0.98853210000000002</v>
      </c>
      <c r="Y140">
        <v>8.1884040000000005E-2</v>
      </c>
      <c r="Z140">
        <v>-1.1239799999999999E-2</v>
      </c>
      <c r="AA140">
        <v>0.99657850000000003</v>
      </c>
      <c r="AB140">
        <v>5</v>
      </c>
      <c r="AC140">
        <v>0.65479999999996596</v>
      </c>
      <c r="AD140">
        <v>-0.197134699999999</v>
      </c>
      <c r="AE140">
        <v>-6.0900000000003701E-2</v>
      </c>
      <c r="AF140">
        <v>5.4348774657410899E-2</v>
      </c>
      <c r="AG140">
        <v>-0.197134699999999</v>
      </c>
      <c r="AH140">
        <v>0.60095122594467398</v>
      </c>
      <c r="AI140">
        <v>108.092444418133</v>
      </c>
      <c r="AJ140">
        <v>84.832347453629595</v>
      </c>
      <c r="AK140">
        <v>0.63478992998885797</v>
      </c>
      <c r="AL140">
        <v>81.356324579070204</v>
      </c>
      <c r="AM140">
        <v>90.854501669356694</v>
      </c>
      <c r="AN140">
        <v>0.99999993986162505</v>
      </c>
    </row>
    <row r="141" spans="1:40" x14ac:dyDescent="0.25">
      <c r="A141" t="str">
        <f>"20190303161845588"</f>
        <v>20190303161845588</v>
      </c>
      <c r="B141" t="str">
        <f>"1551601125583127"</f>
        <v>1551601125583127</v>
      </c>
      <c r="C141" t="s">
        <v>40</v>
      </c>
      <c r="D141">
        <v>4.7196790000000002</v>
      </c>
      <c r="E141">
        <v>0.54128580000000004</v>
      </c>
      <c r="F141" t="s">
        <v>42</v>
      </c>
      <c r="G141">
        <v>-469.899</v>
      </c>
      <c r="H141">
        <v>0.91912579999999999</v>
      </c>
      <c r="I141">
        <v>366.99430000000001</v>
      </c>
      <c r="J141">
        <v>-470.55509999999998</v>
      </c>
      <c r="K141">
        <v>1.1210800000000001</v>
      </c>
      <c r="L141">
        <v>367.05669999999998</v>
      </c>
      <c r="M141">
        <v>0.99993810000000005</v>
      </c>
      <c r="N141">
        <v>-1.084071E-2</v>
      </c>
      <c r="O141">
        <v>-2.5463809999999999E-3</v>
      </c>
      <c r="P141">
        <v>0.99010189999999998</v>
      </c>
      <c r="Q141">
        <v>0.1397378</v>
      </c>
      <c r="R141">
        <v>1.31168E-2</v>
      </c>
      <c r="S141">
        <v>3.1597900000000001</v>
      </c>
      <c r="T141">
        <v>-0.90490479999999995</v>
      </c>
      <c r="U141">
        <v>-0.27728269999999999</v>
      </c>
      <c r="V141">
        <v>-1.5632030000000002E-2</v>
      </c>
      <c r="W141">
        <v>0.1504635</v>
      </c>
      <c r="X141">
        <v>0.98849200000000004</v>
      </c>
      <c r="Y141">
        <v>8.1590469999999998E-2</v>
      </c>
      <c r="Z141">
        <v>-1.119768E-2</v>
      </c>
      <c r="AA141">
        <v>0.99660300000000002</v>
      </c>
      <c r="AB141">
        <v>5</v>
      </c>
      <c r="AC141">
        <v>0.65609999999998003</v>
      </c>
      <c r="AD141">
        <v>-0.201954199999999</v>
      </c>
      <c r="AE141">
        <v>-6.2399999999968203E-2</v>
      </c>
      <c r="AF141">
        <v>5.5516177364198303E-2</v>
      </c>
      <c r="AG141">
        <v>-0.201954199999999</v>
      </c>
      <c r="AH141">
        <v>0.59992517784653199</v>
      </c>
      <c r="AI141">
        <v>108.531159489659</v>
      </c>
      <c r="AJ141">
        <v>84.712991619168605</v>
      </c>
      <c r="AK141">
        <v>0.635435098071365</v>
      </c>
      <c r="AL141">
        <v>81.346212249892702</v>
      </c>
      <c r="AM141">
        <v>90.906000952108101</v>
      </c>
      <c r="AN141">
        <v>1.0000000296290801</v>
      </c>
    </row>
    <row r="142" spans="1:40" x14ac:dyDescent="0.25">
      <c r="A142" t="str">
        <f>"20190303161845602"</f>
        <v>20190303161845602</v>
      </c>
      <c r="B142" t="str">
        <f>"1551601125592886"</f>
        <v>1551601125592886</v>
      </c>
      <c r="C142" t="s">
        <v>40</v>
      </c>
      <c r="D142">
        <v>4.7056239999999896</v>
      </c>
      <c r="E142">
        <v>0.54137709999999895</v>
      </c>
      <c r="F142" t="s">
        <v>42</v>
      </c>
      <c r="G142">
        <v>-469.84199999999998</v>
      </c>
      <c r="H142">
        <v>0.9170914</v>
      </c>
      <c r="I142">
        <v>366.99430000000001</v>
      </c>
      <c r="J142">
        <v>-470.51569999999998</v>
      </c>
      <c r="K142">
        <v>1.120806</v>
      </c>
      <c r="L142">
        <v>367.0566</v>
      </c>
      <c r="M142">
        <v>0.99994870000000002</v>
      </c>
      <c r="N142">
        <v>-9.8147019999999998E-3</v>
      </c>
      <c r="O142">
        <v>-2.5458500000000001E-3</v>
      </c>
      <c r="P142">
        <v>0.98995469999999997</v>
      </c>
      <c r="Q142">
        <v>0.14076559999999999</v>
      </c>
      <c r="R142">
        <v>1.3239880000000001E-2</v>
      </c>
      <c r="S142">
        <v>3.1612849999999999</v>
      </c>
      <c r="T142">
        <v>-0.90439959999999997</v>
      </c>
      <c r="U142">
        <v>-0.2763062</v>
      </c>
      <c r="V142">
        <v>-1.575408E-2</v>
      </c>
      <c r="W142">
        <v>0.15047569999999999</v>
      </c>
      <c r="X142">
        <v>0.98848820000000004</v>
      </c>
      <c r="Y142">
        <v>8.1276689999999999E-2</v>
      </c>
      <c r="Z142">
        <v>-1.1096450000000001E-2</v>
      </c>
      <c r="AA142">
        <v>0.99662980000000001</v>
      </c>
      <c r="AB142">
        <v>6</v>
      </c>
      <c r="AC142">
        <v>0.67369999999999597</v>
      </c>
      <c r="AD142">
        <v>-0.203714599999999</v>
      </c>
      <c r="AE142">
        <v>-6.2299999999993298E-2</v>
      </c>
      <c r="AF142">
        <v>5.5548572856920102E-2</v>
      </c>
      <c r="AG142">
        <v>-0.203714599999999</v>
      </c>
      <c r="AH142">
        <v>0.617843107740083</v>
      </c>
      <c r="AI142">
        <v>108.17989030955501</v>
      </c>
      <c r="AJ142">
        <v>84.862507144273494</v>
      </c>
      <c r="AK142">
        <v>0.65292831764407699</v>
      </c>
      <c r="AL142">
        <v>81.345505145971501</v>
      </c>
      <c r="AM142">
        <v>90.913077040665499</v>
      </c>
      <c r="AN142">
        <v>1.0000000244331799</v>
      </c>
    </row>
    <row r="143" spans="1:40" x14ac:dyDescent="0.25">
      <c r="A143" t="str">
        <f>"20190303161845622"</f>
        <v>20190303161845622</v>
      </c>
      <c r="B143" t="str">
        <f>"1551601125613385"</f>
        <v>1551601125613385</v>
      </c>
      <c r="C143" t="s">
        <v>40</v>
      </c>
      <c r="D143">
        <v>4.6688289999999997</v>
      </c>
      <c r="E143">
        <v>0.54151400000000005</v>
      </c>
      <c r="F143" t="s">
        <v>42</v>
      </c>
      <c r="G143">
        <v>-469.8372</v>
      </c>
      <c r="H143">
        <v>0.92727579999999998</v>
      </c>
      <c r="I143">
        <v>366.99709999999999</v>
      </c>
      <c r="J143">
        <v>-470.4581</v>
      </c>
      <c r="K143">
        <v>1.1205149999999999</v>
      </c>
      <c r="L143">
        <v>367.05650000000003</v>
      </c>
      <c r="M143">
        <v>0.99996070000000004</v>
      </c>
      <c r="N143">
        <v>-8.5084380000000001E-3</v>
      </c>
      <c r="O143">
        <v>-2.5448649999999999E-3</v>
      </c>
      <c r="P143">
        <v>0.98974680000000004</v>
      </c>
      <c r="Q143">
        <v>0.14216519999999999</v>
      </c>
      <c r="R143">
        <v>1.3806000000000001E-2</v>
      </c>
      <c r="S143">
        <v>3.1623839999999999</v>
      </c>
      <c r="T143">
        <v>-0.90201819999999999</v>
      </c>
      <c r="U143">
        <v>-0.27685549999999998</v>
      </c>
      <c r="V143">
        <v>-1.6318949999999999E-2</v>
      </c>
      <c r="W143">
        <v>0.15058179999999999</v>
      </c>
      <c r="X143">
        <v>0.98846290000000003</v>
      </c>
      <c r="Y143">
        <v>8.1447500000000006E-2</v>
      </c>
      <c r="Z143">
        <v>-1.1033080000000001E-2</v>
      </c>
      <c r="AA143">
        <v>0.99661650000000002</v>
      </c>
      <c r="AB143">
        <v>6</v>
      </c>
      <c r="AC143">
        <v>0.620900000000006</v>
      </c>
      <c r="AD143">
        <v>-0.193239199999999</v>
      </c>
      <c r="AE143">
        <v>-5.9400000000039199E-2</v>
      </c>
      <c r="AF143">
        <v>5.2756009250838599E-2</v>
      </c>
      <c r="AG143">
        <v>-0.193239199999999</v>
      </c>
      <c r="AH143">
        <v>0.56665992664744702</v>
      </c>
      <c r="AI143">
        <v>108.754716181928</v>
      </c>
      <c r="AJ143">
        <v>84.681097965480106</v>
      </c>
      <c r="AK143">
        <v>0.60102250989193695</v>
      </c>
      <c r="AL143">
        <v>81.339356183410899</v>
      </c>
      <c r="AM143">
        <v>90.945834210035699</v>
      </c>
      <c r="AN143">
        <v>1.00000004564837</v>
      </c>
    </row>
    <row r="144" spans="1:40" x14ac:dyDescent="0.25">
      <c r="A144" t="str">
        <f>"20190303161845636"</f>
        <v>20190303161845636</v>
      </c>
      <c r="B144" t="str">
        <f>"1551601125632902"</f>
        <v>1551601125632902</v>
      </c>
      <c r="C144" t="s">
        <v>40</v>
      </c>
      <c r="D144">
        <v>4.6404259999999997</v>
      </c>
      <c r="E144">
        <v>0.54162589999999999</v>
      </c>
      <c r="F144" t="s">
        <v>42</v>
      </c>
      <c r="G144">
        <v>-469.77760000000001</v>
      </c>
      <c r="H144">
        <v>0.92705090000000001</v>
      </c>
      <c r="I144">
        <v>366.99650000000003</v>
      </c>
      <c r="J144">
        <v>-470.41410000000002</v>
      </c>
      <c r="K144">
        <v>1.120384</v>
      </c>
      <c r="L144">
        <v>367.0564</v>
      </c>
      <c r="M144">
        <v>0.99996700000000005</v>
      </c>
      <c r="N144">
        <v>-7.7417659999999998E-3</v>
      </c>
      <c r="O144">
        <v>-2.544246E-3</v>
      </c>
      <c r="P144">
        <v>0.98964229999999997</v>
      </c>
      <c r="Q144">
        <v>0.14289019999999999</v>
      </c>
      <c r="R144">
        <v>1.381456E-2</v>
      </c>
      <c r="S144">
        <v>3.1641849999999998</v>
      </c>
      <c r="T144">
        <v>-0.8996866</v>
      </c>
      <c r="U144">
        <v>-0.27685549999999998</v>
      </c>
      <c r="V144">
        <v>-1.632658E-2</v>
      </c>
      <c r="W144">
        <v>0.1505483</v>
      </c>
      <c r="X144">
        <v>0.98846780000000001</v>
      </c>
      <c r="Y144">
        <v>8.1428799999999996E-2</v>
      </c>
      <c r="Z144">
        <v>-1.0964399999999999E-2</v>
      </c>
      <c r="AA144">
        <v>0.99661889999999997</v>
      </c>
      <c r="AB144">
        <v>7</v>
      </c>
      <c r="AC144">
        <v>0.63650000000001195</v>
      </c>
      <c r="AD144">
        <v>-0.19333310000000001</v>
      </c>
      <c r="AE144">
        <v>-5.9899999999970498E-2</v>
      </c>
      <c r="AF144">
        <v>5.3397147486117201E-2</v>
      </c>
      <c r="AG144">
        <v>-0.19333310000000001</v>
      </c>
      <c r="AH144">
        <v>0.58330663887092105</v>
      </c>
      <c r="AI144">
        <v>108.266158700728</v>
      </c>
      <c r="AJ144">
        <v>84.769598488483197</v>
      </c>
      <c r="AK144">
        <v>0.61682702426706004</v>
      </c>
      <c r="AL144">
        <v>81.341297063011396</v>
      </c>
      <c r="AM144">
        <v>90.946271668772695</v>
      </c>
      <c r="AN144">
        <v>0.99999996974211203</v>
      </c>
    </row>
    <row r="145" spans="1:40" x14ac:dyDescent="0.25">
      <c r="A145" t="str">
        <f>"20190303161845657"</f>
        <v>20190303161845657</v>
      </c>
      <c r="B145" t="str">
        <f>"1551601125653398"</f>
        <v>1551601125653398</v>
      </c>
      <c r="C145" t="s">
        <v>40</v>
      </c>
      <c r="D145">
        <v>4.6300540000000003</v>
      </c>
      <c r="E145">
        <v>0.54169940000000005</v>
      </c>
      <c r="F145" t="s">
        <v>42</v>
      </c>
      <c r="G145">
        <v>-469.71859999999998</v>
      </c>
      <c r="H145">
        <v>0.92267699999999997</v>
      </c>
      <c r="I145">
        <v>366.99509999999998</v>
      </c>
      <c r="J145">
        <v>-470.35210000000001</v>
      </c>
      <c r="K145">
        <v>1.1202859999999999</v>
      </c>
      <c r="L145">
        <v>367.05619999999999</v>
      </c>
      <c r="M145">
        <v>0.99997309999999995</v>
      </c>
      <c r="N145">
        <v>-6.8885880000000002E-3</v>
      </c>
      <c r="O145">
        <v>-2.5434989999999998E-3</v>
      </c>
      <c r="P145">
        <v>0.98951979999999995</v>
      </c>
      <c r="Q145">
        <v>0.14370350000000001</v>
      </c>
      <c r="R145">
        <v>1.4146590000000001E-2</v>
      </c>
      <c r="S145">
        <v>3.1651609999999999</v>
      </c>
      <c r="T145">
        <v>-0.89980720000000003</v>
      </c>
      <c r="U145">
        <v>-0.27767940000000002</v>
      </c>
      <c r="V145">
        <v>-1.6657539999999998E-2</v>
      </c>
      <c r="W145">
        <v>0.15051719999999999</v>
      </c>
      <c r="X145">
        <v>0.98846699999999998</v>
      </c>
      <c r="Y145">
        <v>8.1662659999999998E-2</v>
      </c>
      <c r="Z145">
        <v>-1.095844E-2</v>
      </c>
      <c r="AA145">
        <v>0.99659980000000004</v>
      </c>
      <c r="AB145">
        <v>7</v>
      </c>
      <c r="AC145">
        <v>0.63350000000002604</v>
      </c>
      <c r="AD145">
        <v>-0.19760900000000001</v>
      </c>
      <c r="AE145">
        <v>-6.1100000000010299E-2</v>
      </c>
      <c r="AF145">
        <v>5.4257746848804002E-2</v>
      </c>
      <c r="AG145">
        <v>-0.19760900000000001</v>
      </c>
      <c r="AH145">
        <v>0.57793738654249405</v>
      </c>
      <c r="AI145">
        <v>108.79981690861</v>
      </c>
      <c r="AJ145">
        <v>84.636694691405793</v>
      </c>
      <c r="AK145">
        <v>0.61319233747469204</v>
      </c>
      <c r="AL145">
        <v>81.343099377280296</v>
      </c>
      <c r="AM145">
        <v>90.9654509541717</v>
      </c>
      <c r="AN145">
        <v>0.99999995561184396</v>
      </c>
    </row>
    <row r="146" spans="1:40" x14ac:dyDescent="0.25">
      <c r="A146" t="str">
        <f>"20190303161845677"</f>
        <v>20190303161845677</v>
      </c>
      <c r="B146" t="str">
        <f>"1551601125672918"</f>
        <v>1551601125672918</v>
      </c>
      <c r="C146" t="s">
        <v>40</v>
      </c>
      <c r="D146">
        <v>4.615615</v>
      </c>
      <c r="E146">
        <v>0.54179600000000006</v>
      </c>
      <c r="F146" t="s">
        <v>42</v>
      </c>
      <c r="G146">
        <v>-469.65600000000001</v>
      </c>
      <c r="H146">
        <v>0.92234859999999996</v>
      </c>
      <c r="I146">
        <v>366.9948</v>
      </c>
      <c r="J146">
        <v>-470.28890000000001</v>
      </c>
      <c r="K146">
        <v>1.1205050000000001</v>
      </c>
      <c r="L146">
        <v>367.05610000000001</v>
      </c>
      <c r="M146">
        <v>0.99997159999999996</v>
      </c>
      <c r="N146">
        <v>-7.1087950000000002E-3</v>
      </c>
      <c r="O146">
        <v>-2.543675E-3</v>
      </c>
      <c r="P146">
        <v>0.98953250000000004</v>
      </c>
      <c r="Q146">
        <v>0.14359279999999999</v>
      </c>
      <c r="R146">
        <v>1.438324E-2</v>
      </c>
      <c r="S146">
        <v>3.1664729999999999</v>
      </c>
      <c r="T146">
        <v>-0.90043770000000001</v>
      </c>
      <c r="U146">
        <v>-0.2772522</v>
      </c>
      <c r="V146">
        <v>-1.6894349999999999E-2</v>
      </c>
      <c r="W146">
        <v>0.15062420000000001</v>
      </c>
      <c r="X146">
        <v>0.98844670000000001</v>
      </c>
      <c r="Y146">
        <v>8.149526E-2</v>
      </c>
      <c r="Z146">
        <v>-1.094724E-2</v>
      </c>
      <c r="AA146">
        <v>0.99661359999999999</v>
      </c>
      <c r="AB146">
        <v>7</v>
      </c>
      <c r="AC146">
        <v>0.63290000000000601</v>
      </c>
      <c r="AD146">
        <v>-0.19815639999999901</v>
      </c>
      <c r="AE146">
        <v>-6.1300000000017001E-2</v>
      </c>
      <c r="AF146">
        <v>5.4406159580232198E-2</v>
      </c>
      <c r="AG146">
        <v>-0.19815639999999901</v>
      </c>
      <c r="AH146">
        <v>0.57701635206787005</v>
      </c>
      <c r="AI146">
        <v>108.87551351867801</v>
      </c>
      <c r="AJ146">
        <v>84.6135764415626</v>
      </c>
      <c r="AK146">
        <v>0.61251437502718398</v>
      </c>
      <c r="AL146">
        <v>81.336898186552602</v>
      </c>
      <c r="AM146">
        <v>90.979193628644296</v>
      </c>
      <c r="AN146">
        <v>0.999999973714225</v>
      </c>
    </row>
    <row r="147" spans="1:40" x14ac:dyDescent="0.25">
      <c r="A147" t="str">
        <f>"20190303161845691"</f>
        <v>20190303161845691</v>
      </c>
      <c r="B147" t="str">
        <f>"1551601125682678"</f>
        <v>1551601125682678</v>
      </c>
      <c r="C147" t="s">
        <v>40</v>
      </c>
      <c r="D147">
        <v>4.6270920000000002</v>
      </c>
      <c r="E147">
        <v>0.54185439999999996</v>
      </c>
      <c r="F147" t="s">
        <v>42</v>
      </c>
      <c r="G147">
        <v>-469.59679999999997</v>
      </c>
      <c r="H147">
        <v>0.92303120000000005</v>
      </c>
      <c r="I147">
        <v>366.99520000000001</v>
      </c>
      <c r="J147">
        <v>-470.2484</v>
      </c>
      <c r="K147">
        <v>1.1208149999999999</v>
      </c>
      <c r="L147">
        <v>367.05590000000001</v>
      </c>
      <c r="M147">
        <v>0.9999654</v>
      </c>
      <c r="N147">
        <v>-7.9378499999999998E-3</v>
      </c>
      <c r="O147">
        <v>-2.5444159999999999E-3</v>
      </c>
      <c r="P147">
        <v>0.98964589999999997</v>
      </c>
      <c r="Q147">
        <v>0.14280470000000001</v>
      </c>
      <c r="R147">
        <v>1.442243E-2</v>
      </c>
      <c r="S147">
        <v>3.1669309999999999</v>
      </c>
      <c r="T147">
        <v>-0.90358640000000001</v>
      </c>
      <c r="U147">
        <v>-0.27761839999999999</v>
      </c>
      <c r="V147">
        <v>-1.69348E-2</v>
      </c>
      <c r="W147">
        <v>0.15065629999999999</v>
      </c>
      <c r="X147">
        <v>0.98844120000000002</v>
      </c>
      <c r="Y147">
        <v>8.1562510000000005E-2</v>
      </c>
      <c r="Z147">
        <v>-1.102758E-2</v>
      </c>
      <c r="AA147">
        <v>0.99660720000000003</v>
      </c>
      <c r="AB147">
        <v>7</v>
      </c>
      <c r="AC147">
        <v>0.65160000000003004</v>
      </c>
      <c r="AD147">
        <v>-0.19778379999999901</v>
      </c>
      <c r="AE147">
        <v>-6.0699999999996999E-2</v>
      </c>
      <c r="AF147">
        <v>5.4100229486863903E-2</v>
      </c>
      <c r="AG147">
        <v>-0.19778379999999901</v>
      </c>
      <c r="AH147">
        <v>0.59720308750129303</v>
      </c>
      <c r="AI147">
        <v>108.25425437297299</v>
      </c>
      <c r="AJ147">
        <v>84.823742212026005</v>
      </c>
      <c r="AK147">
        <v>0.63142441677056504</v>
      </c>
      <c r="AL147">
        <v>81.335038489408902</v>
      </c>
      <c r="AM147">
        <v>90.981543106105704</v>
      </c>
      <c r="AN147">
        <v>1.0000000570190799</v>
      </c>
    </row>
    <row r="148" spans="1:40" x14ac:dyDescent="0.25">
      <c r="A148" t="str">
        <f>"20190303161845705"</f>
        <v>20190303161845705</v>
      </c>
      <c r="B148" t="str">
        <f>"1551601125703174"</f>
        <v>1551601125703174</v>
      </c>
      <c r="C148" t="s">
        <v>40</v>
      </c>
      <c r="D148">
        <v>4.6135719999999996</v>
      </c>
      <c r="E148">
        <v>0.54193939999999996</v>
      </c>
      <c r="F148" t="s">
        <v>42</v>
      </c>
      <c r="G148">
        <v>-469.5428</v>
      </c>
      <c r="H148">
        <v>0.91870090000000004</v>
      </c>
      <c r="I148">
        <v>366.99360000000001</v>
      </c>
      <c r="J148">
        <v>-470.20960000000002</v>
      </c>
      <c r="K148">
        <v>1.1211580000000001</v>
      </c>
      <c r="L148">
        <v>367.05579999999998</v>
      </c>
      <c r="M148">
        <v>0.99995630000000002</v>
      </c>
      <c r="N148">
        <v>-9.0004560000000004E-3</v>
      </c>
      <c r="O148">
        <v>-2.5452270000000002E-3</v>
      </c>
      <c r="P148">
        <v>0.98977510000000002</v>
      </c>
      <c r="Q148">
        <v>0.141903</v>
      </c>
      <c r="R148">
        <v>1.4453560000000001E-2</v>
      </c>
      <c r="S148">
        <v>3.1663510000000001</v>
      </c>
      <c r="T148">
        <v>-0.90718270000000001</v>
      </c>
      <c r="U148">
        <v>-0.27771000000000001</v>
      </c>
      <c r="V148">
        <v>-1.696692E-2</v>
      </c>
      <c r="W148">
        <v>0.1508062</v>
      </c>
      <c r="X148">
        <v>0.98841769999999995</v>
      </c>
      <c r="Y148">
        <v>8.1566600000000003E-2</v>
      </c>
      <c r="Z148">
        <v>-1.1117699999999999E-2</v>
      </c>
      <c r="AA148">
        <v>0.99660590000000004</v>
      </c>
      <c r="AB148">
        <v>7</v>
      </c>
      <c r="AC148">
        <v>0.66680000000002304</v>
      </c>
      <c r="AD148">
        <v>-0.2024571</v>
      </c>
      <c r="AE148">
        <v>-6.2199999999961599E-2</v>
      </c>
      <c r="AF148">
        <v>5.5436108600918001E-2</v>
      </c>
      <c r="AG148">
        <v>-0.2024571</v>
      </c>
      <c r="AH148">
        <v>0.61110548820372401</v>
      </c>
      <c r="AI148">
        <v>108.259877694059</v>
      </c>
      <c r="AJ148">
        <v>84.8166310160275</v>
      </c>
      <c r="AK148">
        <v>0.646151651851123</v>
      </c>
      <c r="AL148">
        <v>81.326349813335398</v>
      </c>
      <c r="AM148">
        <v>90.983427796246005</v>
      </c>
      <c r="AN148">
        <v>0.99999996800300694</v>
      </c>
    </row>
    <row r="149" spans="1:40" x14ac:dyDescent="0.25">
      <c r="A149" t="str">
        <f>"20190303161845722"</f>
        <v>20190303161845722</v>
      </c>
      <c r="B149" t="str">
        <f>"1551601125712933"</f>
        <v>1551601125712933</v>
      </c>
      <c r="C149" t="s">
        <v>40</v>
      </c>
      <c r="D149">
        <v>4.6278139999999999</v>
      </c>
      <c r="E149">
        <v>0.54193840000000004</v>
      </c>
      <c r="F149" t="s">
        <v>42</v>
      </c>
      <c r="G149">
        <v>-469.49079999999998</v>
      </c>
      <c r="H149">
        <v>0.91391120000000003</v>
      </c>
      <c r="I149">
        <v>366.99239999999998</v>
      </c>
      <c r="J149">
        <v>-470.16250000000002</v>
      </c>
      <c r="K149">
        <v>1.1215010000000001</v>
      </c>
      <c r="L149">
        <v>367.0557</v>
      </c>
      <c r="M149">
        <v>0.9999439</v>
      </c>
      <c r="N149">
        <v>-1.0284690000000001E-2</v>
      </c>
      <c r="O149">
        <v>-2.5463E-3</v>
      </c>
      <c r="P149">
        <v>0.98992409999999997</v>
      </c>
      <c r="Q149">
        <v>0.1409059</v>
      </c>
      <c r="R149">
        <v>1.3998190000000001E-2</v>
      </c>
      <c r="S149">
        <v>3.165924</v>
      </c>
      <c r="T149">
        <v>-0.91277750000000002</v>
      </c>
      <c r="U149">
        <v>-0.27841189999999999</v>
      </c>
      <c r="V149">
        <v>-1.6513759999999999E-2</v>
      </c>
      <c r="W149">
        <v>0.15107999999999999</v>
      </c>
      <c r="X149">
        <v>0.98838360000000003</v>
      </c>
      <c r="Y149">
        <v>8.1733449999999999E-2</v>
      </c>
      <c r="Z149">
        <v>-1.1263540000000001E-2</v>
      </c>
      <c r="AA149">
        <v>0.99659059999999999</v>
      </c>
      <c r="AB149">
        <v>6</v>
      </c>
      <c r="AC149">
        <v>0.67170000000004304</v>
      </c>
      <c r="AD149">
        <v>-0.20758979999999999</v>
      </c>
      <c r="AE149">
        <v>-6.3300000000026502E-2</v>
      </c>
      <c r="AF149">
        <v>5.62628405480066E-2</v>
      </c>
      <c r="AG149">
        <v>-0.20758979999999999</v>
      </c>
      <c r="AH149">
        <v>0.61375373474774098</v>
      </c>
      <c r="AI149">
        <v>108.614428433581</v>
      </c>
      <c r="AJ149">
        <v>84.762331235332596</v>
      </c>
      <c r="AK149">
        <v>0.65034812155288801</v>
      </c>
      <c r="AL149">
        <v>81.310480734009104</v>
      </c>
      <c r="AM149">
        <v>90.957199942385998</v>
      </c>
      <c r="AN149">
        <v>1.00000000570914</v>
      </c>
    </row>
    <row r="150" spans="1:40" x14ac:dyDescent="0.25">
      <c r="A150" t="str">
        <f>"20190303161845736"</f>
        <v>20190303161845736</v>
      </c>
      <c r="B150" t="str">
        <f>"1551601125733430"</f>
        <v>1551601125733430</v>
      </c>
      <c r="C150" t="s">
        <v>40</v>
      </c>
      <c r="D150">
        <v>4.6374649999999997</v>
      </c>
      <c r="E150">
        <v>0.54197600000000001</v>
      </c>
      <c r="F150" t="s">
        <v>42</v>
      </c>
      <c r="G150">
        <v>-469.48559999999998</v>
      </c>
      <c r="H150">
        <v>0.92514289999999999</v>
      </c>
      <c r="I150">
        <v>366.99579999999997</v>
      </c>
      <c r="J150">
        <v>-470.12279999999998</v>
      </c>
      <c r="K150">
        <v>1.1214599999999999</v>
      </c>
      <c r="L150">
        <v>367.05560000000003</v>
      </c>
      <c r="M150">
        <v>0.99994400000000006</v>
      </c>
      <c r="N150">
        <v>-1.027935E-2</v>
      </c>
      <c r="O150">
        <v>-2.54675E-3</v>
      </c>
      <c r="P150">
        <v>0.98995940000000004</v>
      </c>
      <c r="Q150">
        <v>0.14065529999999901</v>
      </c>
      <c r="R150">
        <v>1.4030559999999999E-2</v>
      </c>
      <c r="S150">
        <v>3.1651919999999998</v>
      </c>
      <c r="T150">
        <v>-0.91810749999999997</v>
      </c>
      <c r="U150">
        <v>-0.27957149999999997</v>
      </c>
      <c r="V150">
        <v>-1.6546470000000001E-2</v>
      </c>
      <c r="W150">
        <v>0.15082409999999999</v>
      </c>
      <c r="X150">
        <v>0.98842220000000003</v>
      </c>
      <c r="Y150">
        <v>8.2062650000000001E-2</v>
      </c>
      <c r="Z150">
        <v>-1.137458E-2</v>
      </c>
      <c r="AA150">
        <v>0.99656219999999995</v>
      </c>
      <c r="AB150">
        <v>6</v>
      </c>
      <c r="AC150">
        <v>0.63720000000000698</v>
      </c>
      <c r="AD150">
        <v>-0.19631709999999999</v>
      </c>
      <c r="AE150">
        <v>-5.9800000000052402E-2</v>
      </c>
      <c r="AF150">
        <v>5.3173671183584903E-2</v>
      </c>
      <c r="AG150">
        <v>-0.19631709999999999</v>
      </c>
      <c r="AH150">
        <v>0.58253763403173398</v>
      </c>
      <c r="AI150">
        <v>108.552167735973</v>
      </c>
      <c r="AJ150">
        <v>84.784529975941396</v>
      </c>
      <c r="AK150">
        <v>0.617023450221173</v>
      </c>
      <c r="AL150">
        <v>81.325313245115296</v>
      </c>
      <c r="AM150">
        <v>90.959058136063902</v>
      </c>
      <c r="AN150">
        <v>1.0000000701315499</v>
      </c>
    </row>
    <row r="151" spans="1:40" x14ac:dyDescent="0.25">
      <c r="A151" t="str">
        <f>"20190303161845750"</f>
        <v>20190303161845750</v>
      </c>
      <c r="B151" t="str">
        <f>"1551601125743190"</f>
        <v>1551601125743190</v>
      </c>
      <c r="C151" t="s">
        <v>40</v>
      </c>
      <c r="D151">
        <v>4.6595959999999996</v>
      </c>
      <c r="E151">
        <v>0.54199980000000003</v>
      </c>
      <c r="F151" t="s">
        <v>42</v>
      </c>
      <c r="G151">
        <v>-469.42950000000002</v>
      </c>
      <c r="H151">
        <v>0.91957120000000003</v>
      </c>
      <c r="I151">
        <v>366.9939</v>
      </c>
      <c r="J151">
        <v>-470.08150000000001</v>
      </c>
      <c r="K151">
        <v>1.121289</v>
      </c>
      <c r="L151">
        <v>367.05549999999999</v>
      </c>
      <c r="M151">
        <v>0.99994870000000002</v>
      </c>
      <c r="N151">
        <v>-9.8137889999999998E-3</v>
      </c>
      <c r="O151">
        <v>-2.546796E-3</v>
      </c>
      <c r="P151">
        <v>0.98986739999999995</v>
      </c>
      <c r="Q151">
        <v>0.14133879999999999</v>
      </c>
      <c r="R151">
        <v>1.364601E-2</v>
      </c>
      <c r="S151">
        <v>3.165375</v>
      </c>
      <c r="T151">
        <v>-0.92170870000000005</v>
      </c>
      <c r="U151">
        <v>-0.27987669999999998</v>
      </c>
      <c r="V151">
        <v>-1.6161310000000002E-2</v>
      </c>
      <c r="W151">
        <v>0.1510466</v>
      </c>
      <c r="X151">
        <v>0.98839460000000001</v>
      </c>
      <c r="Y151">
        <v>8.2130800000000004E-2</v>
      </c>
      <c r="Z151">
        <v>-1.140444E-2</v>
      </c>
      <c r="AA151">
        <v>0.99655629999999995</v>
      </c>
      <c r="AB151">
        <v>6</v>
      </c>
      <c r="AC151">
        <v>0.65199999999998604</v>
      </c>
      <c r="AD151">
        <v>-0.2017178</v>
      </c>
      <c r="AE151">
        <v>-6.1599999999998503E-2</v>
      </c>
      <c r="AF151">
        <v>5.4745449348852601E-2</v>
      </c>
      <c r="AG151">
        <v>-0.2017178</v>
      </c>
      <c r="AH151">
        <v>0.59564526423896103</v>
      </c>
      <c r="AI151">
        <v>108.635797962914</v>
      </c>
      <c r="AJ151">
        <v>84.748727713921994</v>
      </c>
      <c r="AK151">
        <v>0.63125305216810601</v>
      </c>
      <c r="AL151">
        <v>81.312417229782199</v>
      </c>
      <c r="AM151">
        <v>90.936763864883702</v>
      </c>
      <c r="AN151">
        <v>1.0000000743108099</v>
      </c>
    </row>
    <row r="152" spans="1:40" x14ac:dyDescent="0.25">
      <c r="A152" t="str">
        <f>"20190303161845767"</f>
        <v>20190303161845767</v>
      </c>
      <c r="B152" t="str">
        <f>"1551601125762710"</f>
        <v>1551601125762710</v>
      </c>
      <c r="C152" t="s">
        <v>40</v>
      </c>
      <c r="D152">
        <v>4.6451029999999998</v>
      </c>
      <c r="E152">
        <v>0.54202919999999999</v>
      </c>
      <c r="F152" t="s">
        <v>42</v>
      </c>
      <c r="G152">
        <v>-469.36930000000001</v>
      </c>
      <c r="H152">
        <v>0.91408690000000004</v>
      </c>
      <c r="I152">
        <v>366.99180000000001</v>
      </c>
      <c r="J152">
        <v>-470.02730000000003</v>
      </c>
      <c r="K152">
        <v>1.12096</v>
      </c>
      <c r="L152">
        <v>367.05540000000002</v>
      </c>
      <c r="M152">
        <v>0.99995880000000004</v>
      </c>
      <c r="N152">
        <v>-8.72005E-3</v>
      </c>
      <c r="O152">
        <v>-2.5457769999999999E-3</v>
      </c>
      <c r="P152">
        <v>0.9896819</v>
      </c>
      <c r="Q152">
        <v>0.1426712</v>
      </c>
      <c r="R152">
        <v>1.322189E-2</v>
      </c>
      <c r="S152">
        <v>3.166077</v>
      </c>
      <c r="T152">
        <v>-0.92099739999999997</v>
      </c>
      <c r="U152">
        <v>-0.28134160000000002</v>
      </c>
      <c r="V152">
        <v>-1.5735590000000001E-2</v>
      </c>
      <c r="W152">
        <v>0.1512964</v>
      </c>
      <c r="X152">
        <v>0.9883632</v>
      </c>
      <c r="Y152">
        <v>8.2571939999999996E-2</v>
      </c>
      <c r="Z152">
        <v>-1.141006E-2</v>
      </c>
      <c r="AA152">
        <v>0.99651979999999996</v>
      </c>
      <c r="AB152">
        <v>7</v>
      </c>
      <c r="AC152">
        <v>0.65800000000001502</v>
      </c>
      <c r="AD152">
        <v>-0.20687309999999901</v>
      </c>
      <c r="AE152">
        <v>-6.3600000000008095E-2</v>
      </c>
      <c r="AF152">
        <v>5.64012134174489E-2</v>
      </c>
      <c r="AG152">
        <v>-0.20687309999999901</v>
      </c>
      <c r="AH152">
        <v>0.599454903058671</v>
      </c>
      <c r="AI152">
        <v>108.961931626294</v>
      </c>
      <c r="AJ152">
        <v>84.625006688297105</v>
      </c>
      <c r="AK152">
        <v>0.63665041991633897</v>
      </c>
      <c r="AL152">
        <v>81.297937803297202</v>
      </c>
      <c r="AM152">
        <v>90.912120899357902</v>
      </c>
      <c r="AN152">
        <v>1.00000001227992</v>
      </c>
    </row>
    <row r="153" spans="1:40" x14ac:dyDescent="0.25">
      <c r="A153" t="str">
        <f>"20190303161845781"</f>
        <v>20190303161845781</v>
      </c>
      <c r="B153" t="str">
        <f>"1551601125773445"</f>
        <v>1551601125773445</v>
      </c>
      <c r="C153" t="s">
        <v>40</v>
      </c>
      <c r="D153">
        <v>4.6737120000000001</v>
      </c>
      <c r="E153">
        <v>0.54203459999999903</v>
      </c>
      <c r="F153" t="s">
        <v>42</v>
      </c>
      <c r="G153">
        <v>-469.3057</v>
      </c>
      <c r="H153">
        <v>0.91146899999999997</v>
      </c>
      <c r="I153">
        <v>366.9907</v>
      </c>
      <c r="J153">
        <v>-469.98070000000001</v>
      </c>
      <c r="K153">
        <v>1.1207400000000001</v>
      </c>
      <c r="L153">
        <v>367.05529999999999</v>
      </c>
      <c r="M153">
        <v>0.99996589999999996</v>
      </c>
      <c r="N153">
        <v>-7.8620849999999996E-3</v>
      </c>
      <c r="O153">
        <v>-2.5447170000000002E-3</v>
      </c>
      <c r="P153">
        <v>0.98956290000000002</v>
      </c>
      <c r="Q153">
        <v>0.14350379999999999</v>
      </c>
      <c r="R153">
        <v>1.3120700000000001E-2</v>
      </c>
      <c r="S153">
        <v>3.1676329999999999</v>
      </c>
      <c r="T153">
        <v>-0.91957089999999997</v>
      </c>
      <c r="U153">
        <v>-0.28274539999999998</v>
      </c>
      <c r="V153">
        <v>-1.563289E-2</v>
      </c>
      <c r="W153">
        <v>0.15127989999999999</v>
      </c>
      <c r="X153">
        <v>0.98836729999999995</v>
      </c>
      <c r="Y153">
        <v>8.2975560000000004E-2</v>
      </c>
      <c r="Z153">
        <v>-1.140909E-2</v>
      </c>
      <c r="AA153">
        <v>0.99648619999999999</v>
      </c>
      <c r="AB153">
        <v>7</v>
      </c>
      <c r="AC153">
        <v>0.67500000000001104</v>
      </c>
      <c r="AD153">
        <v>-0.20927100000000001</v>
      </c>
      <c r="AE153">
        <v>-6.4599999999984406E-2</v>
      </c>
      <c r="AF153">
        <v>5.7413587363946098E-2</v>
      </c>
      <c r="AG153">
        <v>-0.20927100000000001</v>
      </c>
      <c r="AH153">
        <v>0.61644749267144205</v>
      </c>
      <c r="AI153">
        <v>108.67608445515999</v>
      </c>
      <c r="AJ153">
        <v>84.679037730901698</v>
      </c>
      <c r="AK153">
        <v>0.65352749190520298</v>
      </c>
      <c r="AL153">
        <v>81.298893712071106</v>
      </c>
      <c r="AM153">
        <v>90.906165082922897</v>
      </c>
      <c r="AN153">
        <v>0.99999995755152504</v>
      </c>
    </row>
    <row r="154" spans="1:40" x14ac:dyDescent="0.25">
      <c r="A154" t="str">
        <f>"20190303161845800"</f>
        <v>20190303161845800</v>
      </c>
      <c r="B154" t="str">
        <f>"1551601125792966"</f>
        <v>1551601125792966</v>
      </c>
      <c r="C154" t="s">
        <v>40</v>
      </c>
      <c r="D154">
        <v>4.6901669999999998</v>
      </c>
      <c r="E154">
        <v>0.5420471</v>
      </c>
      <c r="F154" t="s">
        <v>42</v>
      </c>
      <c r="G154">
        <v>-469.30020000000002</v>
      </c>
      <c r="H154">
        <v>0.92349170000000003</v>
      </c>
      <c r="I154">
        <v>366.99419999999998</v>
      </c>
      <c r="J154">
        <v>-469.91660000000002</v>
      </c>
      <c r="K154">
        <v>1.1205480000000001</v>
      </c>
      <c r="L154">
        <v>367.05509999999998</v>
      </c>
      <c r="M154">
        <v>0.9999728</v>
      </c>
      <c r="N154">
        <v>-6.9334100000000001E-3</v>
      </c>
      <c r="O154">
        <v>-2.5435380000000001E-3</v>
      </c>
      <c r="P154">
        <v>0.98934429999999995</v>
      </c>
      <c r="Q154">
        <v>0.14502179999999901</v>
      </c>
      <c r="R154">
        <v>1.2923759999999999E-2</v>
      </c>
      <c r="S154">
        <v>3.1685789999999998</v>
      </c>
      <c r="T154">
        <v>-0.91830489999999998</v>
      </c>
      <c r="U154">
        <v>-0.28274539999999998</v>
      </c>
      <c r="V154">
        <v>-1.543398E-2</v>
      </c>
      <c r="W154">
        <v>0.15187800000000001</v>
      </c>
      <c r="X154">
        <v>0.98827869999999995</v>
      </c>
      <c r="Y154">
        <v>8.2973459999999999E-2</v>
      </c>
      <c r="Z154">
        <v>-1.134958E-2</v>
      </c>
      <c r="AA154">
        <v>0.99648709999999996</v>
      </c>
      <c r="AB154">
        <v>7</v>
      </c>
      <c r="AC154">
        <v>0.61639999999999795</v>
      </c>
      <c r="AD154">
        <v>-0.19705629999999999</v>
      </c>
      <c r="AE154">
        <v>-6.0900000000003701E-2</v>
      </c>
      <c r="AF154">
        <v>5.3878699371442899E-2</v>
      </c>
      <c r="AG154">
        <v>-0.19705629999999999</v>
      </c>
      <c r="AH154">
        <v>0.55988520403424702</v>
      </c>
      <c r="AI154">
        <v>109.30739741356901</v>
      </c>
      <c r="AJ154">
        <v>84.503256212304905</v>
      </c>
      <c r="AK154">
        <v>0.59599122586840003</v>
      </c>
      <c r="AL154">
        <v>81.264224543907801</v>
      </c>
      <c r="AM154">
        <v>90.894717284013794</v>
      </c>
      <c r="AN154">
        <v>0.99999996174816397</v>
      </c>
    </row>
    <row r="155" spans="1:40" x14ac:dyDescent="0.25">
      <c r="A155" t="str">
        <f>"20190303161845824"</f>
        <v>20190303161845824</v>
      </c>
      <c r="B155" t="str">
        <f>"1551601125813462"</f>
        <v>1551601125813462</v>
      </c>
      <c r="C155" t="s">
        <v>40</v>
      </c>
      <c r="D155">
        <v>4.6756209999999996</v>
      </c>
      <c r="E155">
        <v>0.54203849999999998</v>
      </c>
      <c r="F155" t="s">
        <v>42</v>
      </c>
      <c r="G155">
        <v>-469.23410000000001</v>
      </c>
      <c r="H155">
        <v>0.92320880000000005</v>
      </c>
      <c r="I155">
        <v>366.99380000000002</v>
      </c>
      <c r="J155">
        <v>-469.84089999999998</v>
      </c>
      <c r="K155">
        <v>1.1204149999999999</v>
      </c>
      <c r="L155">
        <v>367.05489999999998</v>
      </c>
      <c r="M155">
        <v>0.99997849999999999</v>
      </c>
      <c r="N155">
        <v>-6.0621590000000001E-3</v>
      </c>
      <c r="O155">
        <v>-2.5428400000000002E-3</v>
      </c>
      <c r="P155">
        <v>0.98919760000000001</v>
      </c>
      <c r="Q155">
        <v>0.14603189999999999</v>
      </c>
      <c r="R155">
        <v>1.276626E-2</v>
      </c>
      <c r="S155">
        <v>3.1703800000000002</v>
      </c>
      <c r="T155">
        <v>-0.91654239999999998</v>
      </c>
      <c r="U155">
        <v>-0.28323359999999997</v>
      </c>
      <c r="V155">
        <v>-1.5275759999999999E-2</v>
      </c>
      <c r="W155">
        <v>0.15202639999999901</v>
      </c>
      <c r="X155">
        <v>0.98825839999999998</v>
      </c>
      <c r="Y155">
        <v>8.3098599999999995E-2</v>
      </c>
      <c r="Z155">
        <v>-1.130227E-2</v>
      </c>
      <c r="AA155">
        <v>0.99647719999999995</v>
      </c>
      <c r="AB155">
        <v>7</v>
      </c>
      <c r="AC155">
        <v>0.60679999999996403</v>
      </c>
      <c r="AD155">
        <v>-0.1972062</v>
      </c>
      <c r="AE155">
        <v>-6.1099999999953497E-2</v>
      </c>
      <c r="AF155">
        <v>5.3918968625231503E-2</v>
      </c>
      <c r="AG155">
        <v>-0.1972062</v>
      </c>
      <c r="AH155">
        <v>0.549497510824559</v>
      </c>
      <c r="AI155">
        <v>109.65516542446601</v>
      </c>
      <c r="AJ155">
        <v>84.395841434223399</v>
      </c>
      <c r="AK155">
        <v>0.58629775276597695</v>
      </c>
      <c r="AL155">
        <v>81.255622470018906</v>
      </c>
      <c r="AM155">
        <v>90.885564829056705</v>
      </c>
      <c r="AN155">
        <v>1.0000000201555399</v>
      </c>
    </row>
    <row r="156" spans="1:40" x14ac:dyDescent="0.25">
      <c r="A156" t="str">
        <f>"20190303161845846"</f>
        <v>20190303161845846</v>
      </c>
      <c r="B156" t="str">
        <f>"1551601125842742"</f>
        <v>1551601125842742</v>
      </c>
      <c r="C156" t="s">
        <v>40</v>
      </c>
      <c r="D156">
        <v>4.7259469999999997</v>
      </c>
      <c r="E156">
        <v>0.54205479999999995</v>
      </c>
      <c r="F156" t="s">
        <v>42</v>
      </c>
      <c r="G156">
        <v>-469.16520000000003</v>
      </c>
      <c r="H156">
        <v>0.92515550000000002</v>
      </c>
      <c r="I156">
        <v>366.99400000000003</v>
      </c>
      <c r="J156">
        <v>-469.76339999999999</v>
      </c>
      <c r="K156">
        <v>1.120301</v>
      </c>
      <c r="L156">
        <v>367.05470000000003</v>
      </c>
      <c r="M156">
        <v>0.99998319999999996</v>
      </c>
      <c r="N156">
        <v>-5.2090390000000004E-3</v>
      </c>
      <c r="O156">
        <v>-2.5429269999999999E-3</v>
      </c>
      <c r="P156">
        <v>0.9889365</v>
      </c>
      <c r="Q156">
        <v>0.14775550000000001</v>
      </c>
      <c r="R156">
        <v>1.316615E-2</v>
      </c>
      <c r="S156">
        <v>3.1717529999999998</v>
      </c>
      <c r="T156">
        <v>-0.91667100000000001</v>
      </c>
      <c r="U156">
        <v>-0.28353879999999998</v>
      </c>
      <c r="V156">
        <v>-1.5675109999999999E-2</v>
      </c>
      <c r="W156">
        <v>0.1529054</v>
      </c>
      <c r="X156">
        <v>0.98811649999999995</v>
      </c>
      <c r="Y156">
        <v>8.3165610000000001E-2</v>
      </c>
      <c r="Z156">
        <v>-1.127039E-2</v>
      </c>
      <c r="AA156">
        <v>0.99647200000000002</v>
      </c>
      <c r="AB156">
        <v>7</v>
      </c>
      <c r="AC156">
        <v>0.59819999999996298</v>
      </c>
      <c r="AD156">
        <v>-0.1951455</v>
      </c>
      <c r="AE156">
        <v>-6.0699999999996999E-2</v>
      </c>
      <c r="AF156">
        <v>5.3539034067884801E-2</v>
      </c>
      <c r="AG156">
        <v>-0.1951455</v>
      </c>
      <c r="AH156">
        <v>0.54133096313136597</v>
      </c>
      <c r="AI156">
        <v>109.735029477445</v>
      </c>
      <c r="AJ156">
        <v>84.351668044594206</v>
      </c>
      <c r="AK156">
        <v>0.57791643512181201</v>
      </c>
      <c r="AL156">
        <v>81.204663474622606</v>
      </c>
      <c r="AM156">
        <v>90.908842549734402</v>
      </c>
      <c r="AN156">
        <v>0.99999999399746098</v>
      </c>
    </row>
    <row r="157" spans="1:40" x14ac:dyDescent="0.25">
      <c r="A157" t="str">
        <f>"20190303161845869"</f>
        <v>20190303161845869</v>
      </c>
      <c r="B157" t="str">
        <f>"1551601125863238"</f>
        <v>1551601125863238</v>
      </c>
      <c r="C157" t="s">
        <v>40</v>
      </c>
      <c r="D157">
        <v>4.7557669999999996</v>
      </c>
      <c r="E157">
        <v>0.54203869999999998</v>
      </c>
      <c r="F157" t="s">
        <v>42</v>
      </c>
      <c r="G157">
        <v>-469.0301</v>
      </c>
      <c r="H157">
        <v>0.90901449999999995</v>
      </c>
      <c r="I157">
        <v>366.9889</v>
      </c>
      <c r="J157">
        <v>-469.67790000000002</v>
      </c>
      <c r="K157">
        <v>1.12017099999999</v>
      </c>
      <c r="L157">
        <v>367.05450000000002</v>
      </c>
      <c r="M157">
        <v>0.99998799999999999</v>
      </c>
      <c r="N157">
        <v>-4.2127049999999997E-3</v>
      </c>
      <c r="O157">
        <v>-2.544022E-3</v>
      </c>
      <c r="P157">
        <v>0.98880520000000005</v>
      </c>
      <c r="Q157">
        <v>0.1485822</v>
      </c>
      <c r="R157">
        <v>1.370471E-2</v>
      </c>
      <c r="S157">
        <v>3.1739809999999999</v>
      </c>
      <c r="T157">
        <v>-0.91459179999999995</v>
      </c>
      <c r="U157">
        <v>-0.28289789999999998</v>
      </c>
      <c r="V157">
        <v>-1.6214530000000001E-2</v>
      </c>
      <c r="W157">
        <v>0.15274649999999901</v>
      </c>
      <c r="X157">
        <v>0.98813240000000002</v>
      </c>
      <c r="Y157">
        <v>8.2944009999999999E-2</v>
      </c>
      <c r="Z157">
        <v>-1.1162149999999999E-2</v>
      </c>
      <c r="AA157">
        <v>0.99649169999999998</v>
      </c>
      <c r="AB157">
        <v>8</v>
      </c>
      <c r="AC157">
        <v>0.64780000000001703</v>
      </c>
      <c r="AD157">
        <v>-0.211156499999999</v>
      </c>
      <c r="AE157">
        <v>-6.5600000000017603E-2</v>
      </c>
      <c r="AF157">
        <v>5.7865935921882501E-2</v>
      </c>
      <c r="AG157">
        <v>-0.211156499999999</v>
      </c>
      <c r="AH157">
        <v>0.58630273258411503</v>
      </c>
      <c r="AI157">
        <v>109.718079536415</v>
      </c>
      <c r="AJ157">
        <v>84.363370835915603</v>
      </c>
      <c r="AK157">
        <v>0.625848566562204</v>
      </c>
      <c r="AL157">
        <v>81.213876241151297</v>
      </c>
      <c r="AM157">
        <v>90.940097465658795</v>
      </c>
      <c r="AN157">
        <v>1.00000002208756</v>
      </c>
    </row>
    <row r="158" spans="1:40" x14ac:dyDescent="0.25">
      <c r="A158" t="str">
        <f>"20190303161845890"</f>
        <v>20190303161845890</v>
      </c>
      <c r="B158" t="str">
        <f>"1551601125882759"</f>
        <v>1551601125882759</v>
      </c>
      <c r="C158" t="s">
        <v>40</v>
      </c>
      <c r="D158">
        <v>4.8141660000000002</v>
      </c>
      <c r="E158">
        <v>0.54203290000000004</v>
      </c>
      <c r="F158" t="s">
        <v>42</v>
      </c>
      <c r="G158">
        <v>-468.95389999999998</v>
      </c>
      <c r="H158">
        <v>0.9117113</v>
      </c>
      <c r="I158">
        <v>366.99009999999998</v>
      </c>
      <c r="J158">
        <v>-469.59870000000001</v>
      </c>
      <c r="K158">
        <v>1.120072</v>
      </c>
      <c r="L158">
        <v>367.05430000000001</v>
      </c>
      <c r="M158">
        <v>0.99999110000000002</v>
      </c>
      <c r="N158">
        <v>-3.371457E-3</v>
      </c>
      <c r="O158">
        <v>-2.5440839999999998E-3</v>
      </c>
      <c r="P158">
        <v>0.98864969999999996</v>
      </c>
      <c r="Q158">
        <v>0.1495985</v>
      </c>
      <c r="R158">
        <v>1.387E-2</v>
      </c>
      <c r="S158">
        <v>3.1752009999999999</v>
      </c>
      <c r="T158">
        <v>-0.91421580000000002</v>
      </c>
      <c r="U158">
        <v>-0.28106690000000001</v>
      </c>
      <c r="V158">
        <v>-1.637943E-2</v>
      </c>
      <c r="W158">
        <v>0.15293129999999999</v>
      </c>
      <c r="X158">
        <v>0.98810109999999995</v>
      </c>
      <c r="Y158">
        <v>8.2378690000000004E-2</v>
      </c>
      <c r="Z158">
        <v>-1.1035659999999999E-2</v>
      </c>
      <c r="AA158">
        <v>0.99653999999999998</v>
      </c>
      <c r="AB158">
        <v>8</v>
      </c>
      <c r="AC158">
        <v>0.64480000000003201</v>
      </c>
      <c r="AD158">
        <v>-0.20836069999999901</v>
      </c>
      <c r="AE158">
        <v>-6.4200000000027999E-2</v>
      </c>
      <c r="AF158">
        <v>5.6697180764289902E-2</v>
      </c>
      <c r="AG158">
        <v>-0.20836069999999901</v>
      </c>
      <c r="AH158">
        <v>0.58452461269106104</v>
      </c>
      <c r="AI158">
        <v>109.534515806356</v>
      </c>
      <c r="AJ158">
        <v>84.459808140568299</v>
      </c>
      <c r="AK158">
        <v>0.62313543828989804</v>
      </c>
      <c r="AL158">
        <v>81.203162137148496</v>
      </c>
      <c r="AM158">
        <v>90.949686488846993</v>
      </c>
      <c r="AN158">
        <v>1.0000000260340101</v>
      </c>
    </row>
    <row r="159" spans="1:40" x14ac:dyDescent="0.25">
      <c r="A159" t="str">
        <f>"20190303161845904"</f>
        <v>20190303161845904</v>
      </c>
      <c r="B159" t="str">
        <f>"1551601125893494"</f>
        <v>1551601125893494</v>
      </c>
      <c r="C159" t="s">
        <v>40</v>
      </c>
      <c r="D159">
        <v>4.8122210000000001</v>
      </c>
      <c r="E159">
        <v>0.54202340000000004</v>
      </c>
      <c r="F159" t="s">
        <v>42</v>
      </c>
      <c r="G159">
        <v>-468.8766</v>
      </c>
      <c r="H159">
        <v>0.91252520000000004</v>
      </c>
      <c r="I159">
        <v>366.99</v>
      </c>
      <c r="J159">
        <v>-469.54309999999998</v>
      </c>
      <c r="K159">
        <v>1.1200300000000001</v>
      </c>
      <c r="L159">
        <v>367.05419999999998</v>
      </c>
      <c r="M159">
        <v>0.99999260000000001</v>
      </c>
      <c r="N159">
        <v>-2.882833E-3</v>
      </c>
      <c r="O159">
        <v>-2.543671E-3</v>
      </c>
      <c r="P159">
        <v>0.98855859999999995</v>
      </c>
      <c r="Q159">
        <v>0.15018989999999999</v>
      </c>
      <c r="R159">
        <v>1.397138E-2</v>
      </c>
      <c r="S159">
        <v>3.1765439999999998</v>
      </c>
      <c r="T159">
        <v>-0.91314300000000004</v>
      </c>
      <c r="U159">
        <v>-0.28005980000000003</v>
      </c>
      <c r="V159">
        <v>-1.6479980000000002E-2</v>
      </c>
      <c r="W159">
        <v>0.1530397</v>
      </c>
      <c r="X159">
        <v>0.98808260000000003</v>
      </c>
      <c r="Y159">
        <v>8.2057870000000005E-2</v>
      </c>
      <c r="Z159">
        <v>-1.0951850000000001E-2</v>
      </c>
      <c r="AA159">
        <v>0.99656739999999999</v>
      </c>
      <c r="AB159">
        <v>8</v>
      </c>
      <c r="AC159">
        <v>0.66649999999998499</v>
      </c>
      <c r="AD159">
        <v>-0.20750479999999899</v>
      </c>
      <c r="AE159">
        <v>-6.41999999999711E-2</v>
      </c>
      <c r="AF159">
        <v>5.7027588605565498E-2</v>
      </c>
      <c r="AG159">
        <v>-0.20750479999999899</v>
      </c>
      <c r="AH159">
        <v>0.60824614502664198</v>
      </c>
      <c r="AI159">
        <v>108.76072593614801</v>
      </c>
      <c r="AJ159">
        <v>84.643753589956106</v>
      </c>
      <c r="AK159">
        <v>0.64519280903073895</v>
      </c>
      <c r="AL159">
        <v>81.196876901359104</v>
      </c>
      <c r="AM159">
        <v>90.955533230998995</v>
      </c>
      <c r="AN159">
        <v>0.99999998196982498</v>
      </c>
    </row>
    <row r="160" spans="1:40" x14ac:dyDescent="0.25">
      <c r="A160" t="str">
        <f>"20190303161845924"</f>
        <v>20190303161845924</v>
      </c>
      <c r="B160" t="str">
        <f>"1551601125913014"</f>
        <v>1551601125913014</v>
      </c>
      <c r="C160" t="s">
        <v>40</v>
      </c>
      <c r="D160">
        <v>4.8115100000000002</v>
      </c>
      <c r="E160">
        <v>0.54200939999999997</v>
      </c>
      <c r="F160" t="s">
        <v>42</v>
      </c>
      <c r="G160">
        <v>-468.87009999999998</v>
      </c>
      <c r="H160">
        <v>0.92679619999999996</v>
      </c>
      <c r="I160">
        <v>366.99430000000001</v>
      </c>
      <c r="J160">
        <v>-469.46589999999998</v>
      </c>
      <c r="K160">
        <v>1.1200349999999999</v>
      </c>
      <c r="L160">
        <v>367.05399999999997</v>
      </c>
      <c r="M160">
        <v>0.99999389999999999</v>
      </c>
      <c r="N160">
        <v>-2.441632E-3</v>
      </c>
      <c r="O160">
        <v>-2.5422420000000001E-3</v>
      </c>
      <c r="P160">
        <v>0.98851350000000004</v>
      </c>
      <c r="Q160">
        <v>0.15048520000000001</v>
      </c>
      <c r="R160">
        <v>1.398695E-2</v>
      </c>
      <c r="S160">
        <v>3.1773069999999999</v>
      </c>
      <c r="T160">
        <v>-0.91252900000000003</v>
      </c>
      <c r="U160">
        <v>-0.27954099999999998</v>
      </c>
      <c r="V160">
        <v>-1.649401E-2</v>
      </c>
      <c r="W160">
        <v>0.152898799999999</v>
      </c>
      <c r="X160">
        <v>0.98810419999999999</v>
      </c>
      <c r="Y160">
        <v>8.1894729999999999E-2</v>
      </c>
      <c r="Z160">
        <v>-1.0900109999999999E-2</v>
      </c>
      <c r="AA160">
        <v>0.99658139999999995</v>
      </c>
      <c r="AB160">
        <v>8</v>
      </c>
      <c r="AC160">
        <v>0.595799999999997</v>
      </c>
      <c r="AD160">
        <v>-0.19323879999999999</v>
      </c>
      <c r="AE160">
        <v>-5.9700000000020702E-2</v>
      </c>
      <c r="AF160">
        <v>5.2696884815643802E-2</v>
      </c>
      <c r="AG160">
        <v>-0.19323879999999999</v>
      </c>
      <c r="AH160">
        <v>0.53973752002685405</v>
      </c>
      <c r="AI160">
        <v>109.61247493320801</v>
      </c>
      <c r="AJ160">
        <v>84.423641723653901</v>
      </c>
      <c r="AK160">
        <v>0.57570373111475703</v>
      </c>
      <c r="AL160">
        <v>81.205046203672794</v>
      </c>
      <c r="AM160">
        <v>90.956325657909801</v>
      </c>
      <c r="AN160">
        <v>1.00000000273248</v>
      </c>
    </row>
    <row r="161" spans="1:40" x14ac:dyDescent="0.25">
      <c r="A161" t="str">
        <f>"20190303161845947"</f>
        <v>20190303161845947</v>
      </c>
      <c r="B161" t="str">
        <f>"1551601125943270"</f>
        <v>1551601125943270</v>
      </c>
      <c r="C161" t="s">
        <v>40</v>
      </c>
      <c r="D161">
        <v>4.8249630000000003</v>
      </c>
      <c r="E161">
        <v>0.54199839999999999</v>
      </c>
      <c r="F161" t="s">
        <v>42</v>
      </c>
      <c r="G161">
        <v>-468.79199999999997</v>
      </c>
      <c r="H161">
        <v>0.92612150000000004</v>
      </c>
      <c r="I161">
        <v>366.9948</v>
      </c>
      <c r="J161">
        <v>-469.37560000000002</v>
      </c>
      <c r="K161">
        <v>1.1200749999999999</v>
      </c>
      <c r="L161">
        <v>367.05369999999999</v>
      </c>
      <c r="M161">
        <v>0.99999459999999996</v>
      </c>
      <c r="N161">
        <v>-2.1531559999999998E-3</v>
      </c>
      <c r="O161">
        <v>-2.5404749999999999E-3</v>
      </c>
      <c r="P161">
        <v>0.98847010000000002</v>
      </c>
      <c r="Q161">
        <v>0.15079999999999999</v>
      </c>
      <c r="R161">
        <v>1.366416E-2</v>
      </c>
      <c r="S161">
        <v>3.1779790000000001</v>
      </c>
      <c r="T161">
        <v>-0.91440779999999999</v>
      </c>
      <c r="U161">
        <v>-0.27764889999999998</v>
      </c>
      <c r="V161">
        <v>-1.61692999999999E-2</v>
      </c>
      <c r="W161">
        <v>0.15292849999999999</v>
      </c>
      <c r="X161">
        <v>0.98810500000000001</v>
      </c>
      <c r="Y161">
        <v>8.1305000000000002E-2</v>
      </c>
      <c r="Z161">
        <v>-1.0823599999999999E-2</v>
      </c>
      <c r="AA161">
        <v>0.99663049999999997</v>
      </c>
      <c r="AB161">
        <v>9</v>
      </c>
      <c r="AC161">
        <v>0.58360000000004597</v>
      </c>
      <c r="AD161">
        <v>-0.193953499999999</v>
      </c>
      <c r="AE161">
        <v>-5.8899999999994103E-2</v>
      </c>
      <c r="AF161">
        <v>5.1758153594944602E-2</v>
      </c>
      <c r="AG161">
        <v>-0.193953499999999</v>
      </c>
      <c r="AH161">
        <v>0.52621363266517196</v>
      </c>
      <c r="AI161">
        <v>110.143697564002</v>
      </c>
      <c r="AJ161">
        <v>84.382480271647594</v>
      </c>
      <c r="AK161">
        <v>0.56320303073446298</v>
      </c>
      <c r="AL161">
        <v>81.2033245251355</v>
      </c>
      <c r="AM161">
        <v>90.9375015488706</v>
      </c>
      <c r="AN161">
        <v>1.0000000316998601</v>
      </c>
    </row>
    <row r="162" spans="1:40" x14ac:dyDescent="0.25">
      <c r="A162" t="str">
        <f>"20190303161845968"</f>
        <v>20190303161845968</v>
      </c>
      <c r="B162" t="str">
        <f>"1551601125962790"</f>
        <v>1551601125962790</v>
      </c>
      <c r="C162" t="s">
        <v>40</v>
      </c>
      <c r="D162">
        <v>4.860665</v>
      </c>
      <c r="E162">
        <v>0.54200669999999995</v>
      </c>
      <c r="F162" t="s">
        <v>42</v>
      </c>
      <c r="G162">
        <v>-468.63900000000001</v>
      </c>
      <c r="H162">
        <v>0.90767220000000004</v>
      </c>
      <c r="I162">
        <v>366.9889</v>
      </c>
      <c r="J162">
        <v>-469.28809999999999</v>
      </c>
      <c r="K162">
        <v>1.1201239999999999</v>
      </c>
      <c r="L162">
        <v>367.05340000000001</v>
      </c>
      <c r="M162">
        <v>0.99999479999999996</v>
      </c>
      <c r="N162">
        <v>-1.9870220000000002E-3</v>
      </c>
      <c r="O162">
        <v>-2.538631E-3</v>
      </c>
      <c r="P162">
        <v>0.9884522</v>
      </c>
      <c r="Q162">
        <v>0.15095620000000001</v>
      </c>
      <c r="R162">
        <v>1.321547E-2</v>
      </c>
      <c r="S162">
        <v>3.1786500000000002</v>
      </c>
      <c r="T162">
        <v>-0.91658470000000003</v>
      </c>
      <c r="U162">
        <v>-0.27920529999999999</v>
      </c>
      <c r="V162">
        <v>-1.5719360000000002E-2</v>
      </c>
      <c r="W162">
        <v>0.15292039999999901</v>
      </c>
      <c r="X162">
        <v>0.98811349999999998</v>
      </c>
      <c r="Y162">
        <v>8.1743609999999994E-2</v>
      </c>
      <c r="Z162">
        <v>-1.0901279999999999E-2</v>
      </c>
      <c r="AA162">
        <v>0.99659379999999997</v>
      </c>
      <c r="AB162">
        <v>9</v>
      </c>
      <c r="AC162">
        <v>0.64909999999997503</v>
      </c>
      <c r="AD162">
        <v>-0.2124518</v>
      </c>
      <c r="AE162">
        <v>-6.4500000000009494E-2</v>
      </c>
      <c r="AF162">
        <v>5.6824105698498197E-2</v>
      </c>
      <c r="AG162">
        <v>-0.2124518</v>
      </c>
      <c r="AH162">
        <v>0.58699379595052803</v>
      </c>
      <c r="AI162">
        <v>109.81144844962201</v>
      </c>
      <c r="AJ162">
        <v>84.470694587509101</v>
      </c>
      <c r="AK162">
        <v>0.62683846627028605</v>
      </c>
      <c r="AL162">
        <v>81.203794022736204</v>
      </c>
      <c r="AM162">
        <v>90.911410498293904</v>
      </c>
      <c r="AN162">
        <v>1.0000000179485999</v>
      </c>
    </row>
    <row r="163" spans="1:40" x14ac:dyDescent="0.25">
      <c r="A163" t="str">
        <f>"20190303161845980"</f>
        <v>20190303161845980</v>
      </c>
      <c r="B163" t="str">
        <f>"1551601125973527"</f>
        <v>1551601125973527</v>
      </c>
      <c r="C163" t="s">
        <v>40</v>
      </c>
      <c r="D163">
        <v>4.8675369999999996</v>
      </c>
      <c r="E163">
        <v>0.54200669999999995</v>
      </c>
      <c r="F163" t="s">
        <v>42</v>
      </c>
      <c r="G163">
        <v>-468.55560000000003</v>
      </c>
      <c r="H163">
        <v>0.90862790000000004</v>
      </c>
      <c r="I163">
        <v>366.98820000000001</v>
      </c>
      <c r="J163">
        <v>-469.23399999999998</v>
      </c>
      <c r="K163">
        <v>1.120147</v>
      </c>
      <c r="L163">
        <v>367.05329999999998</v>
      </c>
      <c r="M163">
        <v>0.99999510000000003</v>
      </c>
      <c r="N163">
        <v>-1.900554E-3</v>
      </c>
      <c r="O163">
        <v>-2.5379489999999998E-3</v>
      </c>
      <c r="P163">
        <v>0.98843170000000002</v>
      </c>
      <c r="Q163">
        <v>0.15111169999999999</v>
      </c>
      <c r="R163">
        <v>1.2981950000000001E-2</v>
      </c>
      <c r="S163">
        <v>3.1789550000000002</v>
      </c>
      <c r="T163">
        <v>-0.9178383</v>
      </c>
      <c r="U163">
        <v>-0.28097529999999998</v>
      </c>
      <c r="V163">
        <v>-1.548502E-2</v>
      </c>
      <c r="W163">
        <v>0.15299019999999999</v>
      </c>
      <c r="X163">
        <v>0.98810640000000005</v>
      </c>
      <c r="Y163">
        <v>8.2258769999999995E-2</v>
      </c>
      <c r="Z163">
        <v>-1.098386E-2</v>
      </c>
      <c r="AA163">
        <v>0.99655050000000001</v>
      </c>
      <c r="AB163">
        <v>9</v>
      </c>
      <c r="AC163">
        <v>0.67840000000001</v>
      </c>
      <c r="AD163">
        <v>-0.21151909999999999</v>
      </c>
      <c r="AE163">
        <v>-6.5099999999972596E-2</v>
      </c>
      <c r="AF163">
        <v>5.7809450452934202E-2</v>
      </c>
      <c r="AG163">
        <v>-0.21151909999999999</v>
      </c>
      <c r="AH163">
        <v>0.61894237249688699</v>
      </c>
      <c r="AI163">
        <v>108.791481165549</v>
      </c>
      <c r="AJ163">
        <v>84.664033040016903</v>
      </c>
      <c r="AK163">
        <v>0.656636827095888</v>
      </c>
      <c r="AL163">
        <v>81.199747198140599</v>
      </c>
      <c r="AM163">
        <v>90.897832126343303</v>
      </c>
      <c r="AN163">
        <v>1.0000000224307</v>
      </c>
    </row>
    <row r="164" spans="1:40" x14ac:dyDescent="0.25">
      <c r="A164" t="str">
        <f>"20190303161846001"</f>
        <v>20190303161846001</v>
      </c>
      <c r="B164" t="str">
        <f>"1551601125993046"</f>
        <v>1551601125993046</v>
      </c>
      <c r="C164" t="s">
        <v>40</v>
      </c>
      <c r="D164">
        <v>4.8560019999999904</v>
      </c>
      <c r="E164">
        <v>0.54146780000000005</v>
      </c>
      <c r="F164" t="s">
        <v>42</v>
      </c>
      <c r="G164">
        <v>-468.54939999999999</v>
      </c>
      <c r="H164">
        <v>0.92256720000000003</v>
      </c>
      <c r="I164">
        <v>366.99209999999999</v>
      </c>
      <c r="J164">
        <v>-469.14870000000002</v>
      </c>
      <c r="K164">
        <v>1.1201719999999999</v>
      </c>
      <c r="L164">
        <v>367.05309999999997</v>
      </c>
      <c r="M164">
        <v>0.99999519999999997</v>
      </c>
      <c r="N164">
        <v>-1.771884E-3</v>
      </c>
      <c r="O164">
        <v>-2.5368750000000001E-3</v>
      </c>
      <c r="P164">
        <v>0.98840329999999998</v>
      </c>
      <c r="Q164">
        <v>0.1513359</v>
      </c>
      <c r="R164">
        <v>1.250682E-2</v>
      </c>
      <c r="S164">
        <v>3.1790470000000002</v>
      </c>
      <c r="T164">
        <v>-0.91752509999999998</v>
      </c>
      <c r="U164">
        <v>-0.28170780000000001</v>
      </c>
      <c r="V164">
        <v>-1.500844E-2</v>
      </c>
      <c r="W164">
        <v>0.15308769999999999</v>
      </c>
      <c r="X164">
        <v>0.98809860000000005</v>
      </c>
      <c r="Y164">
        <v>8.2480129999999999E-2</v>
      </c>
      <c r="Z164">
        <v>-1.1005900000000001E-2</v>
      </c>
      <c r="AA164">
        <v>0.99653199999999997</v>
      </c>
      <c r="AB164">
        <v>9</v>
      </c>
      <c r="AC164">
        <v>0.59930000000002703</v>
      </c>
      <c r="AD164">
        <v>-0.1976048</v>
      </c>
      <c r="AE164">
        <v>-6.0999999999978599E-2</v>
      </c>
      <c r="AF164">
        <v>5.3700987774442301E-2</v>
      </c>
      <c r="AG164">
        <v>-0.1976048</v>
      </c>
      <c r="AH164">
        <v>0.54121562109592203</v>
      </c>
      <c r="AI164">
        <v>109.96753850868799</v>
      </c>
      <c r="AJ164">
        <v>84.333493505717996</v>
      </c>
      <c r="AK164">
        <v>0.578658622669044</v>
      </c>
      <c r="AL164">
        <v>81.194093805931402</v>
      </c>
      <c r="AM164">
        <v>90.870210874568301</v>
      </c>
      <c r="AN164">
        <v>0.99999997024224097</v>
      </c>
    </row>
    <row r="165" spans="1:40" x14ac:dyDescent="0.25">
      <c r="A165" t="str">
        <f>"20190303161846014"</f>
        <v>20190303161846014</v>
      </c>
      <c r="B165" t="str">
        <f>"1551601126002806"</f>
        <v>1551601126002806</v>
      </c>
      <c r="C165" t="s">
        <v>40</v>
      </c>
      <c r="D165">
        <v>4.8871710000000004</v>
      </c>
      <c r="E165">
        <v>0.54174169999999999</v>
      </c>
      <c r="F165" t="s">
        <v>42</v>
      </c>
      <c r="G165">
        <v>-468.47199999999998</v>
      </c>
      <c r="H165">
        <v>0.9057674</v>
      </c>
      <c r="I165">
        <v>366.9939</v>
      </c>
      <c r="J165">
        <v>-469.09010000000001</v>
      </c>
      <c r="K165">
        <v>1.1201810000000001</v>
      </c>
      <c r="L165">
        <v>367.05290000000002</v>
      </c>
      <c r="M165">
        <v>0.99999550000000004</v>
      </c>
      <c r="N165">
        <v>-1.6902359999999999E-3</v>
      </c>
      <c r="O165">
        <v>-2.5365650000000002E-3</v>
      </c>
      <c r="P165">
        <v>0.98841500000000004</v>
      </c>
      <c r="Q165">
        <v>0.1512809</v>
      </c>
      <c r="R165">
        <v>1.224946E-2</v>
      </c>
      <c r="S165">
        <v>3.1936339999999999</v>
      </c>
      <c r="T165">
        <v>-1.0118419999999999</v>
      </c>
      <c r="U165">
        <v>-0.27777099999999999</v>
      </c>
      <c r="V165">
        <v>-1.475103E-2</v>
      </c>
      <c r="W165">
        <v>0.152952</v>
      </c>
      <c r="X165">
        <v>0.98812350000000004</v>
      </c>
      <c r="Y165">
        <v>8.0316399999999996E-2</v>
      </c>
      <c r="Z165">
        <v>-1.168813E-2</v>
      </c>
      <c r="AA165">
        <v>0.9967009</v>
      </c>
      <c r="AB165">
        <v>9</v>
      </c>
      <c r="AC165">
        <v>0.61810000000002596</v>
      </c>
      <c r="AD165">
        <v>-0.21441359999999901</v>
      </c>
      <c r="AE165">
        <v>-5.90000000000259E-2</v>
      </c>
      <c r="AF165">
        <v>5.1313024864307402E-2</v>
      </c>
      <c r="AG165">
        <v>-0.21441359999999901</v>
      </c>
      <c r="AH165">
        <v>0.55237814407944397</v>
      </c>
      <c r="AI165">
        <v>111.131540378007</v>
      </c>
      <c r="AJ165">
        <v>84.692754577830399</v>
      </c>
      <c r="AK165">
        <v>0.59475022693760804</v>
      </c>
      <c r="AL165">
        <v>81.201961580009296</v>
      </c>
      <c r="AM165">
        <v>90.8552665606083</v>
      </c>
      <c r="AN165">
        <v>0.99999997922115502</v>
      </c>
    </row>
    <row r="166" spans="1:40" x14ac:dyDescent="0.25">
      <c r="A166" t="str">
        <f>"20190303161846028"</f>
        <v>20190303161846028</v>
      </c>
      <c r="B166" t="str">
        <f>"1551601126023551"</f>
        <v>1551601126023551</v>
      </c>
      <c r="C166" t="s">
        <v>40</v>
      </c>
      <c r="D166">
        <v>4.9054060000000002</v>
      </c>
      <c r="E166">
        <v>0.54205740000000002</v>
      </c>
      <c r="F166" t="s">
        <v>42</v>
      </c>
      <c r="G166">
        <v>-468.3888</v>
      </c>
      <c r="H166">
        <v>0.89885539999999997</v>
      </c>
      <c r="I166">
        <v>366.99099999999999</v>
      </c>
      <c r="J166">
        <v>-469.03339999999997</v>
      </c>
      <c r="K166">
        <v>1.1201840000000001</v>
      </c>
      <c r="L166">
        <v>367.05279999999999</v>
      </c>
      <c r="M166">
        <v>0.99999550000000004</v>
      </c>
      <c r="N166">
        <v>-1.6150839999999999E-3</v>
      </c>
      <c r="O166">
        <v>-2.536263E-3</v>
      </c>
      <c r="P166">
        <v>0.9883499</v>
      </c>
      <c r="Q166">
        <v>0.15168209999999999</v>
      </c>
      <c r="R166">
        <v>1.252094E-2</v>
      </c>
      <c r="S166">
        <v>3.192841</v>
      </c>
      <c r="T166">
        <v>-1.0075350000000001</v>
      </c>
      <c r="U166">
        <v>-0.28027340000000001</v>
      </c>
      <c r="V166">
        <v>-1.5021649999999999E-2</v>
      </c>
      <c r="W166">
        <v>0.1532791</v>
      </c>
      <c r="X166">
        <v>0.98806879999999997</v>
      </c>
      <c r="Y166">
        <v>8.1106029999999996E-2</v>
      </c>
      <c r="Z166">
        <v>-1.176221E-2</v>
      </c>
      <c r="AA166">
        <v>0.99663610000000002</v>
      </c>
      <c r="AB166">
        <v>9</v>
      </c>
      <c r="AC166">
        <v>0.64459999999996798</v>
      </c>
      <c r="AD166">
        <v>-0.22132859999999999</v>
      </c>
      <c r="AE166">
        <v>-6.1800000000005101E-2</v>
      </c>
      <c r="AF166">
        <v>5.3871592475692398E-2</v>
      </c>
      <c r="AG166">
        <v>-0.22132859999999999</v>
      </c>
      <c r="AH166">
        <v>0.57731246731696495</v>
      </c>
      <c r="AI166">
        <v>110.89281357891799</v>
      </c>
      <c r="AJ166">
        <v>84.668913996407994</v>
      </c>
      <c r="AK166">
        <v>0.62062724929979396</v>
      </c>
      <c r="AL166">
        <v>81.182997066161406</v>
      </c>
      <c r="AM166">
        <v>90.871002955847203</v>
      </c>
      <c r="AN166">
        <v>1.00000004299948</v>
      </c>
    </row>
    <row r="167" spans="1:40" x14ac:dyDescent="0.25">
      <c r="A167" t="str">
        <f>"20190303161846047"</f>
        <v>20190303161846047</v>
      </c>
      <c r="B167" t="str">
        <f>"1551601126044046"</f>
        <v>1551601126044046</v>
      </c>
      <c r="C167" t="s">
        <v>40</v>
      </c>
      <c r="D167">
        <v>4.9494089999999904</v>
      </c>
      <c r="E167">
        <v>0.5420528</v>
      </c>
      <c r="F167" t="s">
        <v>42</v>
      </c>
      <c r="G167">
        <v>-468.30369999999999</v>
      </c>
      <c r="H167">
        <v>0.89129879999999995</v>
      </c>
      <c r="I167">
        <v>366.98820000000001</v>
      </c>
      <c r="J167">
        <v>-468.94740000000002</v>
      </c>
      <c r="K167">
        <v>1.120187</v>
      </c>
      <c r="L167">
        <v>367.05259999999998</v>
      </c>
      <c r="M167">
        <v>0.99999559999999998</v>
      </c>
      <c r="N167">
        <v>-1.5106609999999999E-3</v>
      </c>
      <c r="O167">
        <v>-2.5358220000000001E-3</v>
      </c>
      <c r="P167">
        <v>0.98833190000000004</v>
      </c>
      <c r="Q167">
        <v>0.1518256</v>
      </c>
      <c r="R167">
        <v>1.222313E-2</v>
      </c>
      <c r="S167">
        <v>3.1926269999999999</v>
      </c>
      <c r="T167">
        <v>-1.001441</v>
      </c>
      <c r="U167">
        <v>-0.28192139999999999</v>
      </c>
      <c r="V167">
        <v>-1.472379E-2</v>
      </c>
      <c r="W167">
        <v>0.15331910000000001</v>
      </c>
      <c r="X167">
        <v>0.98806700000000003</v>
      </c>
      <c r="Y167">
        <v>8.1642960000000001E-2</v>
      </c>
      <c r="Z167">
        <v>-1.1773240000000001E-2</v>
      </c>
      <c r="AA167">
        <v>0.99659209999999998</v>
      </c>
      <c r="AB167">
        <v>10</v>
      </c>
      <c r="AC167">
        <v>0.64370000000002303</v>
      </c>
      <c r="AD167">
        <v>-0.22888819999999899</v>
      </c>
      <c r="AE167">
        <v>-6.4399999999977794E-2</v>
      </c>
      <c r="AF167">
        <v>5.5784114086641801E-2</v>
      </c>
      <c r="AG167">
        <v>-0.22888819999999899</v>
      </c>
      <c r="AH167">
        <v>0.57222669069758203</v>
      </c>
      <c r="AI167">
        <v>111.707918362062</v>
      </c>
      <c r="AJ167">
        <v>84.432055237409003</v>
      </c>
      <c r="AK167">
        <v>0.61882554975564596</v>
      </c>
      <c r="AL167">
        <v>81.180677140751499</v>
      </c>
      <c r="AM167">
        <v>90.853736224595394</v>
      </c>
      <c r="AN167">
        <v>0.99999996645288602</v>
      </c>
    </row>
    <row r="168" spans="1:40" x14ac:dyDescent="0.25">
      <c r="A168" t="str">
        <f>"20190303161846070"</f>
        <v>20190303161846070</v>
      </c>
      <c r="B168" t="str">
        <f>"1551601126063568"</f>
        <v>1551601126063568</v>
      </c>
      <c r="C168" t="s">
        <v>40</v>
      </c>
      <c r="D168">
        <v>4.9531169999999998</v>
      </c>
      <c r="E168">
        <v>0.54217119999999996</v>
      </c>
      <c r="F168" t="s">
        <v>42</v>
      </c>
      <c r="G168">
        <v>-468.21460000000002</v>
      </c>
      <c r="H168">
        <v>0.89001459999999999</v>
      </c>
      <c r="I168">
        <v>366.98750000000001</v>
      </c>
      <c r="J168">
        <v>-468.84750000000003</v>
      </c>
      <c r="K168">
        <v>1.120182</v>
      </c>
      <c r="L168">
        <v>367.05239999999998</v>
      </c>
      <c r="M168">
        <v>0.99999590000000005</v>
      </c>
      <c r="N168">
        <v>-1.39400299999999E-3</v>
      </c>
      <c r="O168">
        <v>-2.5356160000000001E-3</v>
      </c>
      <c r="P168">
        <v>0.98829290000000003</v>
      </c>
      <c r="Q168">
        <v>0.1521188</v>
      </c>
      <c r="R168">
        <v>1.171347E-2</v>
      </c>
      <c r="S168">
        <v>3.1929319999999999</v>
      </c>
      <c r="T168">
        <v>-1.0028570000000001</v>
      </c>
      <c r="U168">
        <v>-0.2820435</v>
      </c>
      <c r="V168">
        <v>-1.421408E-2</v>
      </c>
      <c r="W168">
        <v>0.15349670000000001</v>
      </c>
      <c r="X168">
        <v>0.98804689999999995</v>
      </c>
      <c r="Y168">
        <v>8.16635E-2</v>
      </c>
      <c r="Z168">
        <v>-1.1786E-2</v>
      </c>
      <c r="AA168">
        <v>0.99659030000000004</v>
      </c>
      <c r="AB168">
        <v>10</v>
      </c>
      <c r="AC168">
        <v>0.63290000000000601</v>
      </c>
      <c r="AD168">
        <v>-0.230167399999999</v>
      </c>
      <c r="AE168">
        <v>-6.4899999999965902E-2</v>
      </c>
      <c r="AF168">
        <v>5.5969667001177802E-2</v>
      </c>
      <c r="AG168">
        <v>-0.230167399999999</v>
      </c>
      <c r="AH168">
        <v>0.55979618650693597</v>
      </c>
      <c r="AI168">
        <v>112.250601419608</v>
      </c>
      <c r="AJ168">
        <v>84.290415342198301</v>
      </c>
      <c r="AK168">
        <v>0.60784982197471404</v>
      </c>
      <c r="AL168">
        <v>81.170379608459996</v>
      </c>
      <c r="AM168">
        <v>90.824202391553897</v>
      </c>
      <c r="AN168">
        <v>0.999999976790372</v>
      </c>
    </row>
    <row r="169" spans="1:40" x14ac:dyDescent="0.25">
      <c r="A169" t="str">
        <f>"20190303161846090"</f>
        <v>20190303161846090</v>
      </c>
      <c r="B169" t="str">
        <f>"1551601126083087"</f>
        <v>1551601126083087</v>
      </c>
      <c r="C169" t="s">
        <v>40</v>
      </c>
      <c r="D169">
        <v>4.9518559999999896</v>
      </c>
      <c r="E169">
        <v>0.54221960000000002</v>
      </c>
      <c r="F169" t="s">
        <v>42</v>
      </c>
      <c r="G169">
        <v>-468.12209999999999</v>
      </c>
      <c r="H169">
        <v>0.8929627</v>
      </c>
      <c r="I169">
        <v>366.98770000000002</v>
      </c>
      <c r="J169">
        <v>-468.7527</v>
      </c>
      <c r="K169">
        <v>1.1201719999999999</v>
      </c>
      <c r="L169">
        <v>367.0521</v>
      </c>
      <c r="M169">
        <v>0.99999610000000005</v>
      </c>
      <c r="N169">
        <v>-1.280118E-3</v>
      </c>
      <c r="O169">
        <v>-2.5354190000000001E-3</v>
      </c>
      <c r="P169">
        <v>0.9882841</v>
      </c>
      <c r="Q169">
        <v>0.1521806</v>
      </c>
      <c r="R169">
        <v>1.166291E-2</v>
      </c>
      <c r="S169">
        <v>3.1929020000000001</v>
      </c>
      <c r="T169">
        <v>-1.000213</v>
      </c>
      <c r="U169">
        <v>-0.28454590000000002</v>
      </c>
      <c r="V169">
        <v>-1.4162839999999999E-2</v>
      </c>
      <c r="W169">
        <v>0.15344630000000001</v>
      </c>
      <c r="X169">
        <v>0.98805549999999998</v>
      </c>
      <c r="Y169">
        <v>8.2424479999999994E-2</v>
      </c>
      <c r="Z169">
        <v>-1.1867920000000001E-2</v>
      </c>
      <c r="AA169">
        <v>0.99652669999999999</v>
      </c>
      <c r="AB169">
        <v>10</v>
      </c>
      <c r="AC169">
        <v>0.63060000000001504</v>
      </c>
      <c r="AD169">
        <v>-0.227209299999999</v>
      </c>
      <c r="AE169">
        <v>-6.4399999999977794E-2</v>
      </c>
      <c r="AF169">
        <v>5.5650885975205601E-2</v>
      </c>
      <c r="AG169">
        <v>-0.227209299999999</v>
      </c>
      <c r="AH169">
        <v>0.55894725952731705</v>
      </c>
      <c r="AI169">
        <v>112.02309263669</v>
      </c>
      <c r="AJ169">
        <v>84.314155658104696</v>
      </c>
      <c r="AK169">
        <v>0.60592336648244005</v>
      </c>
      <c r="AL169">
        <v>81.173302250133403</v>
      </c>
      <c r="AM169">
        <v>90.821224504549406</v>
      </c>
      <c r="AN169">
        <v>1.0000000120504</v>
      </c>
    </row>
    <row r="170" spans="1:40" x14ac:dyDescent="0.25">
      <c r="A170" t="str">
        <f>"20190303161846114"</f>
        <v>20190303161846114</v>
      </c>
      <c r="B170" t="str">
        <f>"1551601126103581"</f>
        <v>1551601126103581</v>
      </c>
      <c r="C170" t="s">
        <v>40</v>
      </c>
      <c r="D170">
        <v>4.9916130000000001</v>
      </c>
      <c r="E170">
        <v>0.54218440000000001</v>
      </c>
      <c r="F170" t="s">
        <v>42</v>
      </c>
      <c r="G170">
        <v>-468.02879999999999</v>
      </c>
      <c r="H170">
        <v>0.89351019999999903</v>
      </c>
      <c r="I170">
        <v>366.9871</v>
      </c>
      <c r="J170">
        <v>-468.64499999999998</v>
      </c>
      <c r="K170">
        <v>1.120152</v>
      </c>
      <c r="L170">
        <v>367.05180000000001</v>
      </c>
      <c r="M170">
        <v>0.99999610000000005</v>
      </c>
      <c r="N170">
        <v>-1.1460890000000001E-3</v>
      </c>
      <c r="O170">
        <v>-2.5349779999999998E-3</v>
      </c>
      <c r="P170">
        <v>0.98814860000000004</v>
      </c>
      <c r="Q170">
        <v>0.153035</v>
      </c>
      <c r="R170">
        <v>1.1930690000000001E-2</v>
      </c>
      <c r="S170">
        <v>3.192841</v>
      </c>
      <c r="T170">
        <v>-0.99959299999999995</v>
      </c>
      <c r="U170">
        <v>-0.28521729999999901</v>
      </c>
      <c r="V170">
        <v>-1.442975E-2</v>
      </c>
      <c r="W170">
        <v>0.15416769999999999</v>
      </c>
      <c r="X170">
        <v>0.98793929999999996</v>
      </c>
      <c r="Y170">
        <v>8.2631049999999998E-2</v>
      </c>
      <c r="Z170">
        <v>-1.1886829999999999E-2</v>
      </c>
      <c r="AA170">
        <v>0.99650930000000004</v>
      </c>
      <c r="AB170">
        <v>10</v>
      </c>
      <c r="AC170">
        <v>0.61619999999999198</v>
      </c>
      <c r="AD170">
        <v>-0.2266418</v>
      </c>
      <c r="AE170">
        <v>-6.4700000000016106E-2</v>
      </c>
      <c r="AF170">
        <v>5.5686554541002499E-2</v>
      </c>
      <c r="AG170">
        <v>-0.2266418</v>
      </c>
      <c r="AH170">
        <v>0.54362223434073798</v>
      </c>
      <c r="AI170">
        <v>112.52574938279299</v>
      </c>
      <c r="AJ170">
        <v>84.151242815283794</v>
      </c>
      <c r="AK170">
        <v>0.591601750786375</v>
      </c>
      <c r="AL170">
        <v>81.131471028382606</v>
      </c>
      <c r="AM170">
        <v>90.836797351905105</v>
      </c>
      <c r="AN170">
        <v>0.99999997894642101</v>
      </c>
    </row>
    <row r="171" spans="1:40" x14ac:dyDescent="0.25">
      <c r="A171" t="str">
        <f>"20190303161846135"</f>
        <v>20190303161846135</v>
      </c>
      <c r="B171" t="str">
        <f>"1551601126122855"</f>
        <v>1551601126122855</v>
      </c>
      <c r="C171" t="s">
        <v>40</v>
      </c>
      <c r="D171">
        <v>5.0075570000000003</v>
      </c>
      <c r="E171">
        <v>0.54201880000000002</v>
      </c>
      <c r="F171" t="s">
        <v>42</v>
      </c>
      <c r="G171">
        <v>-467.93239999999997</v>
      </c>
      <c r="H171">
        <v>0.89748289999999997</v>
      </c>
      <c r="I171">
        <v>366.98849999999999</v>
      </c>
      <c r="J171">
        <v>-468.54129999999998</v>
      </c>
      <c r="K171">
        <v>1.120134</v>
      </c>
      <c r="L171">
        <v>367.05160000000001</v>
      </c>
      <c r="M171">
        <v>0.99999640000000001</v>
      </c>
      <c r="N171">
        <v>-1.016903E-3</v>
      </c>
      <c r="O171">
        <v>-2.534667E-3</v>
      </c>
      <c r="P171">
        <v>0.98794190000000004</v>
      </c>
      <c r="Q171">
        <v>0.15435090000000001</v>
      </c>
      <c r="R171">
        <v>1.2125439999999999E-2</v>
      </c>
      <c r="S171">
        <v>3.1939389999999999</v>
      </c>
      <c r="T171">
        <v>-0.9980021</v>
      </c>
      <c r="U171">
        <v>-0.28405760000000002</v>
      </c>
      <c r="V171">
        <v>-1.462391E-2</v>
      </c>
      <c r="W171">
        <v>0.15535579999999999</v>
      </c>
      <c r="X171">
        <v>0.98775040000000003</v>
      </c>
      <c r="Y171">
        <v>8.2274959999999994E-2</v>
      </c>
      <c r="Z171">
        <v>-1.1805029999999999E-2</v>
      </c>
      <c r="AA171">
        <v>0.99653979999999998</v>
      </c>
      <c r="AB171">
        <v>10</v>
      </c>
      <c r="AC171">
        <v>0.60890000000000499</v>
      </c>
      <c r="AD171">
        <v>-0.22265109999999999</v>
      </c>
      <c r="AE171">
        <v>-6.3100000000019904E-2</v>
      </c>
      <c r="AF171">
        <v>5.4364673271073603E-2</v>
      </c>
      <c r="AG171">
        <v>-0.22265109999999999</v>
      </c>
      <c r="AH171">
        <v>0.53790049041339905</v>
      </c>
      <c r="AI171">
        <v>112.38324370763</v>
      </c>
      <c r="AJ171">
        <v>84.228811811076199</v>
      </c>
      <c r="AK171">
        <v>0.58469305419002204</v>
      </c>
      <c r="AL171">
        <v>81.062568550414994</v>
      </c>
      <c r="AM171">
        <v>90.848217434734295</v>
      </c>
      <c r="AN171">
        <v>1.00000006801874</v>
      </c>
    </row>
    <row r="172" spans="1:40" x14ac:dyDescent="0.25">
      <c r="A172" t="str">
        <f>"20190303161846157"</f>
        <v>20190303161846157</v>
      </c>
      <c r="B172" t="str">
        <f>"1551601126153111"</f>
        <v>1551601126153111</v>
      </c>
      <c r="C172" t="s">
        <v>40</v>
      </c>
      <c r="D172">
        <v>5.0194999999999999</v>
      </c>
      <c r="E172">
        <v>0.54178309999999996</v>
      </c>
      <c r="F172" t="s">
        <v>42</v>
      </c>
      <c r="G172">
        <v>-467.83479999999997</v>
      </c>
      <c r="H172">
        <v>0.899956599999999</v>
      </c>
      <c r="I172">
        <v>366.98860000000002</v>
      </c>
      <c r="J172">
        <v>-468.43189999999998</v>
      </c>
      <c r="K172">
        <v>1.1201110000000001</v>
      </c>
      <c r="L172">
        <v>367.05130000000003</v>
      </c>
      <c r="M172">
        <v>0.99999649999999995</v>
      </c>
      <c r="N172">
        <v>-8.8556729999999997E-4</v>
      </c>
      <c r="O172">
        <v>-2.5341259999999998E-3</v>
      </c>
      <c r="P172">
        <v>0.98775049999999998</v>
      </c>
      <c r="Q172">
        <v>0.1555086</v>
      </c>
      <c r="R172">
        <v>1.2892020000000001E-2</v>
      </c>
      <c r="S172">
        <v>3.1957089999999999</v>
      </c>
      <c r="T172">
        <v>-0.99589870000000003</v>
      </c>
      <c r="U172">
        <v>-0.28353879999999998</v>
      </c>
      <c r="V172">
        <v>-1.538863E-2</v>
      </c>
      <c r="W172">
        <v>0.156384</v>
      </c>
      <c r="X172">
        <v>0.98757640000000002</v>
      </c>
      <c r="Y172">
        <v>8.2096059999999998E-2</v>
      </c>
      <c r="Z172">
        <v>-1.1742300000000001E-2</v>
      </c>
      <c r="AA172">
        <v>0.99655530000000003</v>
      </c>
      <c r="AB172">
        <v>11</v>
      </c>
      <c r="AC172">
        <v>0.59710000000001096</v>
      </c>
      <c r="AD172">
        <v>-0.2201544</v>
      </c>
      <c r="AE172">
        <v>-6.2700000000006598E-2</v>
      </c>
      <c r="AF172">
        <v>5.3934549937601897E-2</v>
      </c>
      <c r="AG172">
        <v>-0.2201544</v>
      </c>
      <c r="AH172">
        <v>0.52646736887474199</v>
      </c>
      <c r="AI172">
        <v>112.58709769829299</v>
      </c>
      <c r="AJ172">
        <v>84.150674876492303</v>
      </c>
      <c r="AK172">
        <v>0.57318826401647904</v>
      </c>
      <c r="AL172">
        <v>81.002927061393294</v>
      </c>
      <c r="AM172">
        <v>90.892723034957598</v>
      </c>
      <c r="AN172">
        <v>0.99999995561311705</v>
      </c>
    </row>
    <row r="173" spans="1:40" x14ac:dyDescent="0.25">
      <c r="A173" t="str">
        <f>"20190303161846179"</f>
        <v>20190303161846179</v>
      </c>
      <c r="B173" t="str">
        <f>"1551601126173608"</f>
        <v>1551601126173608</v>
      </c>
      <c r="C173" t="s">
        <v>40</v>
      </c>
      <c r="D173">
        <v>5.029363</v>
      </c>
      <c r="E173">
        <v>0.5415953</v>
      </c>
      <c r="F173" t="s">
        <v>42</v>
      </c>
      <c r="G173">
        <v>-467.73489999999998</v>
      </c>
      <c r="H173">
        <v>0.90328379999999997</v>
      </c>
      <c r="I173">
        <v>366.99040000000002</v>
      </c>
      <c r="J173">
        <v>-468.3218</v>
      </c>
      <c r="K173">
        <v>1.1200889999999999</v>
      </c>
      <c r="L173">
        <v>367.05099999999999</v>
      </c>
      <c r="M173">
        <v>0.99999669999999896</v>
      </c>
      <c r="N173">
        <v>-7.604237E-4</v>
      </c>
      <c r="O173">
        <v>-2.533595E-3</v>
      </c>
      <c r="P173">
        <v>0.98766310000000002</v>
      </c>
      <c r="Q173">
        <v>0.15604299999999999</v>
      </c>
      <c r="R173">
        <v>1.312992E-2</v>
      </c>
      <c r="S173">
        <v>3.1974179999999999</v>
      </c>
      <c r="T173">
        <v>-0.99462070000000002</v>
      </c>
      <c r="U173">
        <v>-0.2782288</v>
      </c>
      <c r="V173">
        <v>-1.5625880000000002E-2</v>
      </c>
      <c r="W173">
        <v>0.15679419999999999</v>
      </c>
      <c r="X173">
        <v>0.98750769999999999</v>
      </c>
      <c r="Y173">
        <v>8.0496810000000002E-2</v>
      </c>
      <c r="Z173">
        <v>-1.147419E-2</v>
      </c>
      <c r="AA173">
        <v>0.99668880000000004</v>
      </c>
      <c r="AB173">
        <v>11</v>
      </c>
      <c r="AC173">
        <v>0.58690000000001397</v>
      </c>
      <c r="AD173">
        <v>-0.216805199999999</v>
      </c>
      <c r="AE173">
        <v>-6.05999999999653E-2</v>
      </c>
      <c r="AF173">
        <v>5.2080773315367999E-2</v>
      </c>
      <c r="AG173">
        <v>-0.216805199999999</v>
      </c>
      <c r="AH173">
        <v>0.51721596894656996</v>
      </c>
      <c r="AI173">
        <v>112.639467028355</v>
      </c>
      <c r="AJ173">
        <v>84.2500149357476</v>
      </c>
      <c r="AK173">
        <v>0.56323108954451895</v>
      </c>
      <c r="AL173">
        <v>80.979131393298999</v>
      </c>
      <c r="AM173">
        <v>90.906547122092107</v>
      </c>
      <c r="AN173">
        <v>1.00000002341935</v>
      </c>
    </row>
    <row r="174" spans="1:40" x14ac:dyDescent="0.25">
      <c r="A174" t="str">
        <f>"20190303161846202"</f>
        <v>20190303161846202</v>
      </c>
      <c r="B174" t="str">
        <f>"1551601126193127"</f>
        <v>1551601126193127</v>
      </c>
      <c r="C174" t="s">
        <v>40</v>
      </c>
      <c r="D174">
        <v>5.0303269999999998</v>
      </c>
      <c r="E174">
        <v>0.53893190000000002</v>
      </c>
      <c r="F174" t="s">
        <v>42</v>
      </c>
      <c r="G174">
        <v>-467.63350000000003</v>
      </c>
      <c r="H174">
        <v>0.90598889999999999</v>
      </c>
      <c r="I174">
        <v>366.99119999999999</v>
      </c>
      <c r="J174">
        <v>-468.2072</v>
      </c>
      <c r="K174">
        <v>1.1200680000000001</v>
      </c>
      <c r="L174">
        <v>367.05079999999998</v>
      </c>
      <c r="M174">
        <v>0.99999669999999896</v>
      </c>
      <c r="N174">
        <v>-6.3668389999999996E-4</v>
      </c>
      <c r="O174">
        <v>-2.5328339999999999E-3</v>
      </c>
      <c r="P174">
        <v>0.98765579999999997</v>
      </c>
      <c r="Q174">
        <v>0.15609589999999901</v>
      </c>
      <c r="R174">
        <v>1.306015E-2</v>
      </c>
      <c r="S174">
        <v>3.198334</v>
      </c>
      <c r="T174">
        <v>-0.99492959999999997</v>
      </c>
      <c r="U174">
        <v>-0.27508539999999998</v>
      </c>
      <c r="V174">
        <v>-1.5555889999999999E-2</v>
      </c>
      <c r="W174">
        <v>0.15672539999999999</v>
      </c>
      <c r="X174">
        <v>0.9875197</v>
      </c>
      <c r="Y174">
        <v>7.9546389999999995E-2</v>
      </c>
      <c r="Z174">
        <v>-1.132526E-2</v>
      </c>
      <c r="AA174">
        <v>0.99676679999999995</v>
      </c>
      <c r="AB174">
        <v>11</v>
      </c>
      <c r="AC174">
        <v>0.57369999999997301</v>
      </c>
      <c r="AD174">
        <v>-0.21407909999999999</v>
      </c>
      <c r="AE174">
        <v>-5.9599999999989002E-2</v>
      </c>
      <c r="AF174">
        <v>5.11064057037387E-2</v>
      </c>
      <c r="AG174">
        <v>-0.21407909999999999</v>
      </c>
      <c r="AH174">
        <v>0.50436834356903104</v>
      </c>
      <c r="AI174">
        <v>112.89372970731699</v>
      </c>
      <c r="AJ174">
        <v>84.214107210573999</v>
      </c>
      <c r="AK174">
        <v>0.55029914751463405</v>
      </c>
      <c r="AL174">
        <v>80.983122450734399</v>
      </c>
      <c r="AM174">
        <v>90.902476308065701</v>
      </c>
      <c r="AN174">
        <v>0.999999997303471</v>
      </c>
    </row>
    <row r="175" spans="1:40" x14ac:dyDescent="0.25">
      <c r="A175" t="str">
        <f>"20190303161846224"</f>
        <v>20190303161846224</v>
      </c>
      <c r="B175" t="str">
        <f>"1551601126213624"</f>
        <v>1551601126213624</v>
      </c>
      <c r="C175" t="s">
        <v>40</v>
      </c>
      <c r="D175">
        <v>5.0586909999999996</v>
      </c>
      <c r="E175">
        <v>0.53975859999999998</v>
      </c>
      <c r="F175" t="s">
        <v>42</v>
      </c>
      <c r="G175">
        <v>-467.53190000000001</v>
      </c>
      <c r="H175">
        <v>0.90436910000000004</v>
      </c>
      <c r="I175">
        <v>366.99709999999999</v>
      </c>
      <c r="J175">
        <v>-468.09379999999999</v>
      </c>
      <c r="K175">
        <v>1.1200410000000001</v>
      </c>
      <c r="L175">
        <v>367.05040000000002</v>
      </c>
      <c r="M175">
        <v>0.99999680000000002</v>
      </c>
      <c r="N175">
        <v>-5.183284E-4</v>
      </c>
      <c r="O175">
        <v>-2.5320830000000001E-3</v>
      </c>
      <c r="P175">
        <v>0.98765150000000002</v>
      </c>
      <c r="Q175">
        <v>0.15611429999999901</v>
      </c>
      <c r="R175">
        <v>1.315414E-2</v>
      </c>
      <c r="S175">
        <v>3.2025450000000002</v>
      </c>
      <c r="T175">
        <v>-1.023007</v>
      </c>
      <c r="U175">
        <v>-0.25427250000000001</v>
      </c>
      <c r="V175">
        <v>-1.5648909999999999E-2</v>
      </c>
      <c r="W175">
        <v>0.15662699999999999</v>
      </c>
      <c r="X175">
        <v>0.98753389999999996</v>
      </c>
      <c r="Y175">
        <v>7.312449E-2</v>
      </c>
      <c r="Z175">
        <v>-1.061169E-2</v>
      </c>
      <c r="AA175">
        <v>0.9972664</v>
      </c>
      <c r="AB175">
        <v>11</v>
      </c>
      <c r="AC175">
        <v>0.56189999999997997</v>
      </c>
      <c r="AD175">
        <v>-0.2156719</v>
      </c>
      <c r="AE175">
        <v>-5.3300000000035597E-2</v>
      </c>
      <c r="AF175">
        <v>4.5267588299036599E-2</v>
      </c>
      <c r="AG175">
        <v>-0.2156719</v>
      </c>
      <c r="AH175">
        <v>0.490426591397982</v>
      </c>
      <c r="AI175">
        <v>113.648727894275</v>
      </c>
      <c r="AJ175">
        <v>84.726400434510296</v>
      </c>
      <c r="AK175">
        <v>0.53766324455951398</v>
      </c>
      <c r="AL175">
        <v>80.988831374543096</v>
      </c>
      <c r="AM175">
        <v>90.907858918534103</v>
      </c>
      <c r="AN175">
        <v>1.00000005458119</v>
      </c>
    </row>
    <row r="176" spans="1:40" x14ac:dyDescent="0.25">
      <c r="A176" t="str">
        <f>"20190303161846248"</f>
        <v>20190303161846248</v>
      </c>
      <c r="B176" t="str">
        <f>"1551601126242903"</f>
        <v>1551601126242903</v>
      </c>
      <c r="C176" t="s">
        <v>40</v>
      </c>
      <c r="D176">
        <v>5.1786580000000004</v>
      </c>
      <c r="E176">
        <v>0.53902930000000004</v>
      </c>
      <c r="F176" t="s">
        <v>42</v>
      </c>
      <c r="G176">
        <v>-467.42570000000001</v>
      </c>
      <c r="H176">
        <v>0.9101051</v>
      </c>
      <c r="I176">
        <v>366.99509999999998</v>
      </c>
      <c r="J176">
        <v>-467.9699</v>
      </c>
      <c r="K176">
        <v>1.120009</v>
      </c>
      <c r="L176">
        <v>367.05009999999999</v>
      </c>
      <c r="M176">
        <v>0.99999680000000002</v>
      </c>
      <c r="N176">
        <v>-3.9146949999999998E-4</v>
      </c>
      <c r="O176">
        <v>-2.5310979999999999E-3</v>
      </c>
      <c r="P176">
        <v>0.98768270000000002</v>
      </c>
      <c r="Q176">
        <v>0.15594</v>
      </c>
      <c r="R176">
        <v>1.289031E-2</v>
      </c>
      <c r="S176">
        <v>3.1998289999999998</v>
      </c>
      <c r="T176">
        <v>-1.0052730000000001</v>
      </c>
      <c r="U176">
        <v>-0.26193240000000001</v>
      </c>
      <c r="V176">
        <v>-1.538453E-2</v>
      </c>
      <c r="W176">
        <v>0.15632699999999999</v>
      </c>
      <c r="X176">
        <v>0.98758550000000001</v>
      </c>
      <c r="Y176">
        <v>7.5561240000000002E-2</v>
      </c>
      <c r="Z176">
        <v>-1.081293E-2</v>
      </c>
      <c r="AA176">
        <v>0.99708249999999998</v>
      </c>
      <c r="AB176">
        <v>11</v>
      </c>
      <c r="AC176">
        <v>0.54419999999998903</v>
      </c>
      <c r="AD176">
        <v>-0.2099039</v>
      </c>
      <c r="AE176">
        <v>-5.50000000000068E-2</v>
      </c>
      <c r="AF176">
        <v>4.6739182050524297E-2</v>
      </c>
      <c r="AG176">
        <v>-0.2099039</v>
      </c>
      <c r="AH176">
        <v>0.47446380311088399</v>
      </c>
      <c r="AI176">
        <v>113.762515417769</v>
      </c>
      <c r="AJ176">
        <v>84.373974293496801</v>
      </c>
      <c r="AK176">
        <v>0.52092235394193398</v>
      </c>
      <c r="AL176">
        <v>81.006233694005502</v>
      </c>
      <c r="AM176">
        <v>90.892477002434006</v>
      </c>
      <c r="AN176">
        <v>0.99999996725128404</v>
      </c>
    </row>
    <row r="177" spans="1:40" x14ac:dyDescent="0.25">
      <c r="A177" t="str">
        <f>"20190303161846271"</f>
        <v>20190303161846271</v>
      </c>
      <c r="B177" t="str">
        <f>"1551601126263400"</f>
        <v>1551601126263400</v>
      </c>
      <c r="C177" t="s">
        <v>40</v>
      </c>
      <c r="D177">
        <v>5.289714</v>
      </c>
      <c r="E177">
        <v>0.52048039999999995</v>
      </c>
      <c r="F177" t="s">
        <v>42</v>
      </c>
      <c r="G177">
        <v>-467.22309999999999</v>
      </c>
      <c r="H177">
        <v>0.8844187</v>
      </c>
      <c r="I177">
        <v>366.9898</v>
      </c>
      <c r="J177">
        <v>-467.84320000000002</v>
      </c>
      <c r="K177">
        <v>1.1199790000000001</v>
      </c>
      <c r="L177">
        <v>367.0498</v>
      </c>
      <c r="M177">
        <v>0.99999700000000002</v>
      </c>
      <c r="N177">
        <v>-2.6495760000000001E-4</v>
      </c>
      <c r="O177">
        <v>-2.5303589999999998E-3</v>
      </c>
      <c r="P177">
        <v>0.98773540000000004</v>
      </c>
      <c r="Q177">
        <v>0.15562570000000001</v>
      </c>
      <c r="R177">
        <v>1.2648929999999999E-2</v>
      </c>
      <c r="S177">
        <v>3.2001040000000001</v>
      </c>
      <c r="T177">
        <v>-1.009395</v>
      </c>
      <c r="U177">
        <v>-0.25674439999999998</v>
      </c>
      <c r="V177">
        <v>-1.514213E-2</v>
      </c>
      <c r="W177">
        <v>0.155888</v>
      </c>
      <c r="X177">
        <v>0.9876587</v>
      </c>
      <c r="Y177">
        <v>7.3998049999999996E-2</v>
      </c>
      <c r="Z177">
        <v>-1.060941E-2</v>
      </c>
      <c r="AA177">
        <v>0.99720200000000003</v>
      </c>
      <c r="AB177">
        <v>12</v>
      </c>
      <c r="AC177">
        <v>0.62010000000003596</v>
      </c>
      <c r="AD177">
        <v>-0.2355603</v>
      </c>
      <c r="AE177">
        <v>-6.0000000000002197E-2</v>
      </c>
      <c r="AF177">
        <v>5.11220081021126E-2</v>
      </c>
      <c r="AG177">
        <v>-0.2355603</v>
      </c>
      <c r="AH177">
        <v>0.54266677376910899</v>
      </c>
      <c r="AI177">
        <v>113.372343601076</v>
      </c>
      <c r="AJ177">
        <v>84.618324740865106</v>
      </c>
      <c r="AK177">
        <v>0.59379233912324503</v>
      </c>
      <c r="AL177">
        <v>81.031699310836402</v>
      </c>
      <c r="AM177">
        <v>90.878352184347804</v>
      </c>
      <c r="AN177">
        <v>1.00000003016531</v>
      </c>
    </row>
    <row r="178" spans="1:40" x14ac:dyDescent="0.25">
      <c r="A178" t="str">
        <f>"20190303161846292"</f>
        <v>20190303161846292</v>
      </c>
      <c r="B178" t="str">
        <f>"1551601126282919"</f>
        <v>1551601126282919</v>
      </c>
      <c r="C178" t="s">
        <v>40</v>
      </c>
      <c r="D178">
        <v>4.626595</v>
      </c>
      <c r="E178">
        <v>0.4999885</v>
      </c>
      <c r="F178" t="s">
        <v>42</v>
      </c>
      <c r="G178">
        <v>-467.07810000000001</v>
      </c>
      <c r="H178">
        <v>0.96303470000000002</v>
      </c>
      <c r="I178">
        <v>367.02199999999999</v>
      </c>
      <c r="J178">
        <v>-467.72660000000002</v>
      </c>
      <c r="K178">
        <v>1.11995</v>
      </c>
      <c r="L178">
        <v>367.04950000000002</v>
      </c>
      <c r="M178">
        <v>0.99999680000000002</v>
      </c>
      <c r="N178">
        <v>-1.516205E-4</v>
      </c>
      <c r="O178">
        <v>-2.5295109999999999E-3</v>
      </c>
      <c r="P178">
        <v>0.98774819999999997</v>
      </c>
      <c r="Q178">
        <v>0.1555348</v>
      </c>
      <c r="R178">
        <v>1.275274E-2</v>
      </c>
      <c r="S178">
        <v>3.140228</v>
      </c>
      <c r="T178">
        <v>-0.64418299999999995</v>
      </c>
      <c r="U178">
        <v>-0.1134033</v>
      </c>
      <c r="V178">
        <v>-1.524529E-2</v>
      </c>
      <c r="W178">
        <v>0.1556855</v>
      </c>
      <c r="X178">
        <v>0.98768900000000004</v>
      </c>
      <c r="Y178">
        <v>3.2928779999999998E-2</v>
      </c>
      <c r="Z178">
        <v>-2.8311439999999998E-3</v>
      </c>
      <c r="AA178">
        <v>0.9994537</v>
      </c>
      <c r="AB178">
        <v>12</v>
      </c>
      <c r="AC178">
        <v>0.64850000000001196</v>
      </c>
      <c r="AD178">
        <v>-0.15691529999999901</v>
      </c>
      <c r="AE178">
        <v>-2.7500000000031801E-2</v>
      </c>
      <c r="AF178">
        <v>2.4431671020960499E-2</v>
      </c>
      <c r="AG178">
        <v>-0.15691529999999901</v>
      </c>
      <c r="AH178">
        <v>0.61275634424091796</v>
      </c>
      <c r="AI178">
        <v>104.35276321206</v>
      </c>
      <c r="AJ178">
        <v>87.716726136667504</v>
      </c>
      <c r="AK178">
        <v>0.63300051763838305</v>
      </c>
      <c r="AL178">
        <v>81.043444635910006</v>
      </c>
      <c r="AM178">
        <v>90.884308132373107</v>
      </c>
      <c r="AN178">
        <v>0.99999997724921597</v>
      </c>
    </row>
    <row r="179" spans="1:40" x14ac:dyDescent="0.25">
      <c r="A179" t="str">
        <f>"20190303161846314"</f>
        <v>20190303161846314</v>
      </c>
      <c r="B179" t="str">
        <f>"1551601126303415"</f>
        <v>1551601126303415</v>
      </c>
      <c r="C179" t="s">
        <v>40</v>
      </c>
      <c r="D179">
        <v>5.0648949999999999</v>
      </c>
      <c r="E179">
        <v>0.50096620000000003</v>
      </c>
      <c r="F179" t="s">
        <v>44</v>
      </c>
      <c r="G179">
        <v>-414.51139999999998</v>
      </c>
      <c r="H179">
        <v>-0.05</v>
      </c>
      <c r="I179">
        <v>367.81959999999998</v>
      </c>
      <c r="J179">
        <v>-467.60599999999999</v>
      </c>
      <c r="K179">
        <v>1.1199239999999999</v>
      </c>
      <c r="L179">
        <v>367.04919999999998</v>
      </c>
      <c r="M179">
        <v>0.99999680000000002</v>
      </c>
      <c r="N179" s="1">
        <v>-3.8208450000000002E-5</v>
      </c>
      <c r="O179">
        <v>-2.5289069999999999E-3</v>
      </c>
      <c r="P179">
        <v>0.98783869999999896</v>
      </c>
      <c r="Q179">
        <v>0.15497639999999999</v>
      </c>
      <c r="R179">
        <v>1.25322E-2</v>
      </c>
      <c r="S179">
        <v>3.0472109999999999</v>
      </c>
      <c r="T179">
        <v>-6.6993590000000006E-2</v>
      </c>
      <c r="U179">
        <v>4.4097900000000002E-2</v>
      </c>
      <c r="V179">
        <v>-1.5024600000000001E-2</v>
      </c>
      <c r="W179">
        <v>0.15501519999999999</v>
      </c>
      <c r="X179">
        <v>0.98779790000000001</v>
      </c>
      <c r="Y179">
        <v>-1.6993930000000001E-2</v>
      </c>
      <c r="Z179">
        <v>2.4259260000000001E-4</v>
      </c>
      <c r="AA179">
        <v>0.99985559999999996</v>
      </c>
      <c r="AB179">
        <v>12</v>
      </c>
      <c r="AC179">
        <v>53.0946</v>
      </c>
      <c r="AD179">
        <v>-1.169924</v>
      </c>
      <c r="AE179">
        <v>0.77039999999999498</v>
      </c>
      <c r="AF179">
        <v>-0.90422990557021998</v>
      </c>
      <c r="AG179">
        <v>-1.169924</v>
      </c>
      <c r="AH179">
        <v>53.066721975430099</v>
      </c>
      <c r="AI179">
        <v>91.262771166791296</v>
      </c>
      <c r="AJ179">
        <v>90.976196421000594</v>
      </c>
      <c r="AK179">
        <v>53.087318025169601</v>
      </c>
      <c r="AL179">
        <v>81.082322834779305</v>
      </c>
      <c r="AM179">
        <v>90.871412859328601</v>
      </c>
      <c r="AN179">
        <v>1.0000000710403001</v>
      </c>
    </row>
    <row r="180" spans="1:40" x14ac:dyDescent="0.25">
      <c r="A180" t="str">
        <f>"20190303161846336"</f>
        <v>20190303161846336</v>
      </c>
      <c r="B180" t="str">
        <f>"1551601126322937"</f>
        <v>1551601126322937</v>
      </c>
      <c r="C180" t="s">
        <v>40</v>
      </c>
      <c r="D180">
        <v>5.1167210000000001</v>
      </c>
      <c r="E180">
        <v>0.50105859999999902</v>
      </c>
      <c r="F180" t="s">
        <v>41</v>
      </c>
      <c r="G180">
        <v>-441.31330000000003</v>
      </c>
      <c r="H180" s="1">
        <v>-4.4867279999999997E-6</v>
      </c>
      <c r="I180">
        <v>367.36130000000003</v>
      </c>
      <c r="J180">
        <v>-467.47980000000001</v>
      </c>
      <c r="K180">
        <v>1.1198969999999999</v>
      </c>
      <c r="L180">
        <v>367.0489</v>
      </c>
      <c r="M180">
        <v>0.99999680000000002</v>
      </c>
      <c r="N180" s="1">
        <v>7.5860090000000002E-5</v>
      </c>
      <c r="O180">
        <v>-2.5281909999999999E-3</v>
      </c>
      <c r="P180">
        <v>0.98790549999999999</v>
      </c>
      <c r="Q180">
        <v>0.15457789999999999</v>
      </c>
      <c r="R180">
        <v>1.2190930000000001E-2</v>
      </c>
      <c r="S180">
        <v>3.0569459999999999</v>
      </c>
      <c r="T180">
        <v>-0.13020989999999999</v>
      </c>
      <c r="U180">
        <v>3.6285400000000002E-2</v>
      </c>
      <c r="V180">
        <v>-1.4682890000000001E-2</v>
      </c>
      <c r="W180">
        <v>0.15450359999999999</v>
      </c>
      <c r="X180">
        <v>0.98788319999999996</v>
      </c>
      <c r="Y180">
        <v>-1.4381649999999999E-2</v>
      </c>
      <c r="Z180">
        <v>4.1342350000000001E-4</v>
      </c>
      <c r="AA180">
        <v>0.99989649999999997</v>
      </c>
      <c r="AB180">
        <v>12</v>
      </c>
      <c r="AC180">
        <v>26.1664999999999</v>
      </c>
      <c r="AD180">
        <v>-1.1199014867279999</v>
      </c>
      <c r="AE180">
        <v>0.31240000000002499</v>
      </c>
      <c r="AF180">
        <v>-0.37786086023480198</v>
      </c>
      <c r="AG180">
        <v>-1.1199014867279999</v>
      </c>
      <c r="AH180">
        <v>26.117791882010401</v>
      </c>
      <c r="AI180">
        <v>92.455017845832401</v>
      </c>
      <c r="AJ180">
        <v>90.828872605696006</v>
      </c>
      <c r="AK180">
        <v>26.144521624265401</v>
      </c>
      <c r="AL180">
        <v>81.111992921530998</v>
      </c>
      <c r="AM180">
        <v>90.851523427686104</v>
      </c>
      <c r="AN180">
        <v>1.00000008325697</v>
      </c>
    </row>
    <row r="181" spans="1:40" x14ac:dyDescent="0.25">
      <c r="A181" t="str">
        <f>"20190303161846359"</f>
        <v>20190303161846359</v>
      </c>
      <c r="B181" t="str">
        <f>"1551601126353191"</f>
        <v>1551601126353191</v>
      </c>
      <c r="C181" t="s">
        <v>40</v>
      </c>
      <c r="D181">
        <v>5.3206740000000003</v>
      </c>
      <c r="E181">
        <v>0.50161699999999998</v>
      </c>
      <c r="F181" t="s">
        <v>41</v>
      </c>
      <c r="G181">
        <v>-446.87450000000001</v>
      </c>
      <c r="H181" s="1">
        <v>-1.871638E-6</v>
      </c>
      <c r="I181">
        <v>367.28399999999999</v>
      </c>
      <c r="J181">
        <v>-467.34690000000001</v>
      </c>
      <c r="K181">
        <v>1.1198729999999999</v>
      </c>
      <c r="L181">
        <v>367.04860000000002</v>
      </c>
      <c r="M181">
        <v>0.99999700000000002</v>
      </c>
      <c r="N181">
        <v>1.9075409999999999E-4</v>
      </c>
      <c r="O181">
        <v>-2.5274809999999998E-3</v>
      </c>
      <c r="P181">
        <v>0.98790599999999995</v>
      </c>
      <c r="Q181">
        <v>0.1545897</v>
      </c>
      <c r="R181">
        <v>1.2004630000000001E-2</v>
      </c>
      <c r="S181">
        <v>3.0623469999999999</v>
      </c>
      <c r="T181">
        <v>-0.16643859999999999</v>
      </c>
      <c r="U181">
        <v>3.4942630000000002E-2</v>
      </c>
      <c r="V181">
        <v>-1.449611E-2</v>
      </c>
      <c r="W181">
        <v>0.15440179999999901</v>
      </c>
      <c r="X181">
        <v>0.98790180000000005</v>
      </c>
      <c r="Y181">
        <v>-1.391273E-2</v>
      </c>
      <c r="Z181">
        <v>5.1420440000000001E-4</v>
      </c>
      <c r="AA181">
        <v>0.99990310000000004</v>
      </c>
      <c r="AB181">
        <v>13</v>
      </c>
      <c r="AC181">
        <v>20.4724</v>
      </c>
      <c r="AD181">
        <v>-1.11987487163799</v>
      </c>
      <c r="AE181">
        <v>0.23539999999996999</v>
      </c>
      <c r="AF181">
        <v>-0.28628630602536798</v>
      </c>
      <c r="AG181">
        <v>-1.11987487163799</v>
      </c>
      <c r="AH181">
        <v>20.410673369645501</v>
      </c>
      <c r="AI181">
        <v>93.140197297458101</v>
      </c>
      <c r="AJ181">
        <v>90.803595315270798</v>
      </c>
      <c r="AK181">
        <v>20.4433770933156</v>
      </c>
      <c r="AL181">
        <v>81.1178958147065</v>
      </c>
      <c r="AM181">
        <v>90.840676997252302</v>
      </c>
      <c r="AN181">
        <v>1.0000000097457999</v>
      </c>
    </row>
    <row r="182" spans="1:40" x14ac:dyDescent="0.25">
      <c r="A182" t="str">
        <f>"20190303161846380"</f>
        <v>20190303161846380</v>
      </c>
      <c r="B182" t="str">
        <f>"1551601126373687"</f>
        <v>1551601126373687</v>
      </c>
      <c r="C182" t="s">
        <v>40</v>
      </c>
      <c r="D182">
        <v>5.0877819999999998</v>
      </c>
      <c r="E182">
        <v>0.50167879999999998</v>
      </c>
      <c r="F182" t="s">
        <v>41</v>
      </c>
      <c r="G182">
        <v>-449.005</v>
      </c>
      <c r="H182" s="1">
        <v>-1.0016859999999999E-6</v>
      </c>
      <c r="I182">
        <v>367.22840000000002</v>
      </c>
      <c r="J182">
        <v>-467.21769999999998</v>
      </c>
      <c r="K182">
        <v>1.119845</v>
      </c>
      <c r="L182">
        <v>367.04820000000001</v>
      </c>
      <c r="M182">
        <v>0.99999700000000002</v>
      </c>
      <c r="N182">
        <v>2.9667069999999999E-4</v>
      </c>
      <c r="O182">
        <v>-2.5268959999999998E-3</v>
      </c>
      <c r="P182">
        <v>0.9878422</v>
      </c>
      <c r="Q182">
        <v>0.154979799999999</v>
      </c>
      <c r="R182">
        <v>1.22243E-2</v>
      </c>
      <c r="S182">
        <v>3.065674</v>
      </c>
      <c r="T182">
        <v>-0.1871765</v>
      </c>
      <c r="U182">
        <v>3.0059809999999999E-2</v>
      </c>
      <c r="V182">
        <v>-1.4714959999999999E-2</v>
      </c>
      <c r="W182">
        <v>0.154687299999999</v>
      </c>
      <c r="X182">
        <v>0.98785389999999995</v>
      </c>
      <c r="Y182">
        <v>-1.2304010000000001E-2</v>
      </c>
      <c r="Z182">
        <v>5.2831220000000003E-4</v>
      </c>
      <c r="AA182">
        <v>0.99992420000000004</v>
      </c>
      <c r="AB182">
        <v>13</v>
      </c>
      <c r="AC182">
        <v>18.212699999999899</v>
      </c>
      <c r="AD182">
        <v>-1.1198460016859999</v>
      </c>
      <c r="AE182">
        <v>0.18020000000001299</v>
      </c>
      <c r="AF182">
        <v>-0.225369053621951</v>
      </c>
      <c r="AG182">
        <v>-1.1198460016859999</v>
      </c>
      <c r="AH182">
        <v>18.143598395099001</v>
      </c>
      <c r="AI182">
        <v>93.531616357277997</v>
      </c>
      <c r="AJ182">
        <v>90.7116577031601</v>
      </c>
      <c r="AK182">
        <v>18.179521693390601</v>
      </c>
      <c r="AL182">
        <v>81.101338948535201</v>
      </c>
      <c r="AM182">
        <v>90.853408336858195</v>
      </c>
      <c r="AN182">
        <v>1.0000000092871499</v>
      </c>
    </row>
    <row r="183" spans="1:40" x14ac:dyDescent="0.25">
      <c r="A183" t="str">
        <f>"20190303161846402"</f>
        <v>20190303161846402</v>
      </c>
      <c r="B183" t="str">
        <f>"1551601126393207"</f>
        <v>1551601126393207</v>
      </c>
      <c r="C183" t="s">
        <v>40</v>
      </c>
      <c r="D183">
        <v>5.0561369999999997</v>
      </c>
      <c r="E183">
        <v>0.5015326</v>
      </c>
      <c r="F183" t="s">
        <v>41</v>
      </c>
      <c r="G183">
        <v>-448.60289999999998</v>
      </c>
      <c r="H183" s="1">
        <v>-1.1546689999999999E-6</v>
      </c>
      <c r="I183">
        <v>367.2337</v>
      </c>
      <c r="J183">
        <v>-467.08069999999998</v>
      </c>
      <c r="K183">
        <v>1.119821</v>
      </c>
      <c r="L183">
        <v>367.04790000000003</v>
      </c>
      <c r="M183">
        <v>0.99999689999999997</v>
      </c>
      <c r="N183">
        <v>4.0227980000000002E-4</v>
      </c>
      <c r="O183">
        <v>-2.526197E-3</v>
      </c>
      <c r="P183">
        <v>0.98783699999999997</v>
      </c>
      <c r="Q183">
        <v>0.15499189999999999</v>
      </c>
      <c r="R183">
        <v>1.2494E-2</v>
      </c>
      <c r="S183">
        <v>3.0654910000000002</v>
      </c>
      <c r="T183">
        <v>-0.18441689999999999</v>
      </c>
      <c r="U183">
        <v>3.0548100000000002E-2</v>
      </c>
      <c r="V183">
        <v>-1.4983679999999999E-2</v>
      </c>
      <c r="W183">
        <v>0.15459500000000001</v>
      </c>
      <c r="X183">
        <v>0.98786430000000003</v>
      </c>
      <c r="Y183">
        <v>-1.2463689999999999E-2</v>
      </c>
      <c r="Z183">
        <v>5.2489279999999995E-4</v>
      </c>
      <c r="AA183">
        <v>0.99992219999999998</v>
      </c>
      <c r="AB183">
        <v>13</v>
      </c>
      <c r="AC183">
        <v>18.477799999999998</v>
      </c>
      <c r="AD183">
        <v>-1.1198221546689999</v>
      </c>
      <c r="AE183">
        <v>0.18579999999997199</v>
      </c>
      <c r="AF183">
        <v>-0.23162733037527899</v>
      </c>
      <c r="AG183">
        <v>-1.1198221546689999</v>
      </c>
      <c r="AH183">
        <v>18.409663449067502</v>
      </c>
      <c r="AI183">
        <v>93.480621288422199</v>
      </c>
      <c r="AJ183">
        <v>90.7208479536705</v>
      </c>
      <c r="AK183">
        <v>18.445144650725702</v>
      </c>
      <c r="AL183">
        <v>81.106691655546896</v>
      </c>
      <c r="AM183">
        <v>90.868981497598895</v>
      </c>
      <c r="AN183">
        <v>0.999999999952916</v>
      </c>
    </row>
    <row r="184" spans="1:40" x14ac:dyDescent="0.25">
      <c r="A184" t="str">
        <f>"20190303161846426"</f>
        <v>20190303161846426</v>
      </c>
      <c r="B184" t="str">
        <f>"1551601126412728"</f>
        <v>1551601126412728</v>
      </c>
      <c r="C184" t="s">
        <v>40</v>
      </c>
      <c r="D184">
        <v>4.8358109999999996</v>
      </c>
      <c r="E184">
        <v>0.50142059999999999</v>
      </c>
      <c r="F184" t="s">
        <v>41</v>
      </c>
      <c r="G184">
        <v>-448.49860000000001</v>
      </c>
      <c r="H184" s="1">
        <v>-1.191947E-6</v>
      </c>
      <c r="I184">
        <v>367.2441</v>
      </c>
      <c r="J184">
        <v>-466.94200000000001</v>
      </c>
      <c r="K184">
        <v>1.1197999999999999</v>
      </c>
      <c r="L184">
        <v>367.04750000000001</v>
      </c>
      <c r="M184">
        <v>0.99999669999999896</v>
      </c>
      <c r="N184">
        <v>5.0208849999999999E-4</v>
      </c>
      <c r="O184">
        <v>-2.5255020000000002E-3</v>
      </c>
      <c r="P184">
        <v>0.98774980000000001</v>
      </c>
      <c r="Q184">
        <v>0.15553139999999999</v>
      </c>
      <c r="R184">
        <v>1.265703E-2</v>
      </c>
      <c r="S184">
        <v>3.0655209999999999</v>
      </c>
      <c r="T184">
        <v>-0.18473919999999999</v>
      </c>
      <c r="U184">
        <v>3.2379150000000002E-2</v>
      </c>
      <c r="V184">
        <v>-1.51456E-2</v>
      </c>
      <c r="W184">
        <v>0.1550359</v>
      </c>
      <c r="X184">
        <v>0.98779269999999997</v>
      </c>
      <c r="Y184">
        <v>-1.305895E-2</v>
      </c>
      <c r="Z184">
        <v>5.4316140000000004E-4</v>
      </c>
      <c r="AA184">
        <v>0.99991459999999999</v>
      </c>
      <c r="AB184">
        <v>13</v>
      </c>
      <c r="AC184">
        <v>18.443399999999901</v>
      </c>
      <c r="AD184">
        <v>-1.1198011919469999</v>
      </c>
      <c r="AE184">
        <v>0.19659999999998901</v>
      </c>
      <c r="AF184">
        <v>-0.24228516850951601</v>
      </c>
      <c r="AG184">
        <v>-1.1198011919469999</v>
      </c>
      <c r="AH184">
        <v>18.375114743652599</v>
      </c>
      <c r="AI184">
        <v>93.487057217174794</v>
      </c>
      <c r="AJ184">
        <v>90.755430013893303</v>
      </c>
      <c r="AK184">
        <v>18.4107984252385</v>
      </c>
      <c r="AL184">
        <v>81.081121379267202</v>
      </c>
      <c r="AM184">
        <v>90.878434275336502</v>
      </c>
      <c r="AN184">
        <v>0.99999996883072895</v>
      </c>
    </row>
    <row r="185" spans="1:40" x14ac:dyDescent="0.25">
      <c r="A185" t="str">
        <f>"20190303161846449"</f>
        <v>20190303161846449</v>
      </c>
      <c r="B185" t="str">
        <f>"1551601126442984"</f>
        <v>1551601126442984</v>
      </c>
      <c r="C185" t="s">
        <v>40</v>
      </c>
      <c r="D185">
        <v>5.1209930000000004</v>
      </c>
      <c r="E185">
        <v>0.50095329999999905</v>
      </c>
      <c r="F185" t="s">
        <v>41</v>
      </c>
      <c r="G185">
        <v>-448.1395</v>
      </c>
      <c r="H185" s="1">
        <v>-1.3275730000000001E-6</v>
      </c>
      <c r="I185">
        <v>367.2527</v>
      </c>
      <c r="J185">
        <v>-466.7962</v>
      </c>
      <c r="K185">
        <v>1.119791</v>
      </c>
      <c r="L185">
        <v>367.04719999999998</v>
      </c>
      <c r="M185">
        <v>0.99999669999999896</v>
      </c>
      <c r="N185">
        <v>5.9879180000000005E-4</v>
      </c>
      <c r="O185">
        <v>-2.5246930000000002E-3</v>
      </c>
      <c r="P185">
        <v>0.98770610000000003</v>
      </c>
      <c r="Q185">
        <v>0.15581639999999999</v>
      </c>
      <c r="R185">
        <v>1.2573300000000001E-2</v>
      </c>
      <c r="S185">
        <v>3.0655519999999998</v>
      </c>
      <c r="T185">
        <v>-0.18257200000000001</v>
      </c>
      <c r="U185">
        <v>3.3447270000000001E-2</v>
      </c>
      <c r="V185">
        <v>-1.506131E-2</v>
      </c>
      <c r="W185">
        <v>0.15522529999999901</v>
      </c>
      <c r="X185">
        <v>0.98776430000000004</v>
      </c>
      <c r="Y185">
        <v>-1.340647E-2</v>
      </c>
      <c r="Z185">
        <v>5.4656889999999997E-4</v>
      </c>
      <c r="AA185">
        <v>0.99990999999999997</v>
      </c>
      <c r="AB185">
        <v>14</v>
      </c>
      <c r="AC185">
        <v>18.656700000000001</v>
      </c>
      <c r="AD185">
        <v>-1.119792327573</v>
      </c>
      <c r="AE185">
        <v>0.20550000000002899</v>
      </c>
      <c r="AF185">
        <v>-0.25169516566376998</v>
      </c>
      <c r="AG185">
        <v>-1.119792327573</v>
      </c>
      <c r="AH185">
        <v>18.589162178029898</v>
      </c>
      <c r="AI185">
        <v>93.446958897727399</v>
      </c>
      <c r="AJ185">
        <v>90.775731009849395</v>
      </c>
      <c r="AK185">
        <v>18.6245600161295</v>
      </c>
      <c r="AL185">
        <v>81.070137077874094</v>
      </c>
      <c r="AM185">
        <v>90.873571385717696</v>
      </c>
      <c r="AN185">
        <v>1.00000002458674</v>
      </c>
    </row>
    <row r="186" spans="1:40" x14ac:dyDescent="0.25">
      <c r="A186" t="str">
        <f>"20190303161846472"</f>
        <v>20190303161846472</v>
      </c>
      <c r="B186" t="str">
        <f>"1551601126463480"</f>
        <v>1551601126463480</v>
      </c>
      <c r="C186" t="s">
        <v>40</v>
      </c>
      <c r="D186">
        <v>5.2655099999999999</v>
      </c>
      <c r="E186">
        <v>0.50002150000000001</v>
      </c>
      <c r="F186" t="s">
        <v>41</v>
      </c>
      <c r="G186">
        <v>-447.86250000000001</v>
      </c>
      <c r="H186" s="1">
        <v>-1.4282210000000001E-6</v>
      </c>
      <c r="I186">
        <v>367.27429999999998</v>
      </c>
      <c r="J186">
        <v>-466.65089999999998</v>
      </c>
      <c r="K186">
        <v>1.119774</v>
      </c>
      <c r="L186">
        <v>367.04680000000002</v>
      </c>
      <c r="M186">
        <v>0.99999649999999995</v>
      </c>
      <c r="N186">
        <v>6.8796860000000005E-4</v>
      </c>
      <c r="O186">
        <v>-2.523885E-3</v>
      </c>
      <c r="P186">
        <v>0.98774859999999998</v>
      </c>
      <c r="Q186">
        <v>0.15553120000000001</v>
      </c>
      <c r="R186">
        <v>1.275892E-2</v>
      </c>
      <c r="S186">
        <v>3.0654910000000002</v>
      </c>
      <c r="T186">
        <v>-0.1813015</v>
      </c>
      <c r="U186">
        <v>3.6773680000000003E-2</v>
      </c>
      <c r="V186">
        <v>-1.52459E-2</v>
      </c>
      <c r="W186">
        <v>0.1548522</v>
      </c>
      <c r="X186">
        <v>0.98782000000000003</v>
      </c>
      <c r="Y186">
        <v>-1.448929E-2</v>
      </c>
      <c r="Z186">
        <v>5.7395910000000001E-4</v>
      </c>
      <c r="AA186">
        <v>0.99989490000000003</v>
      </c>
      <c r="AB186">
        <v>14</v>
      </c>
      <c r="AC186">
        <v>18.7883999999999</v>
      </c>
      <c r="AD186">
        <v>-1.119775428221</v>
      </c>
      <c r="AE186">
        <v>0.22749999999996301</v>
      </c>
      <c r="AF186">
        <v>-0.273946116455834</v>
      </c>
      <c r="AG186">
        <v>-1.119775428221</v>
      </c>
      <c r="AH186">
        <v>18.721276323627599</v>
      </c>
      <c r="AI186">
        <v>93.422588001206293</v>
      </c>
      <c r="AJ186">
        <v>90.838342209218695</v>
      </c>
      <c r="AK186">
        <v>18.756735608042</v>
      </c>
      <c r="AL186">
        <v>81.091775530518106</v>
      </c>
      <c r="AM186">
        <v>90.884226251189901</v>
      </c>
      <c r="AN186">
        <v>0.99999999685582497</v>
      </c>
    </row>
    <row r="187" spans="1:40" x14ac:dyDescent="0.25">
      <c r="A187" t="str">
        <f>"20190303161846492"</f>
        <v>20190303161846492</v>
      </c>
      <c r="B187" t="str">
        <f>"1551601126482999"</f>
        <v>1551601126482999</v>
      </c>
      <c r="C187" t="s">
        <v>40</v>
      </c>
      <c r="D187">
        <v>5.2055420000000003</v>
      </c>
      <c r="E187">
        <v>0.49948779999999998</v>
      </c>
      <c r="F187" t="s">
        <v>41</v>
      </c>
      <c r="G187">
        <v>-446.96949999999998</v>
      </c>
      <c r="H187" s="1">
        <v>-1.818213E-6</v>
      </c>
      <c r="I187">
        <v>367.33179999999999</v>
      </c>
      <c r="J187">
        <v>-466.5179</v>
      </c>
      <c r="K187">
        <v>1.1197569999999999</v>
      </c>
      <c r="L187">
        <v>367.04649999999998</v>
      </c>
      <c r="M187">
        <v>0.99999669999999896</v>
      </c>
      <c r="N187">
        <v>7.6362559999999997E-4</v>
      </c>
      <c r="O187">
        <v>-2.523553E-3</v>
      </c>
      <c r="P187">
        <v>0.98771140000000002</v>
      </c>
      <c r="Q187">
        <v>0.155725</v>
      </c>
      <c r="R187">
        <v>1.3285699999999999E-2</v>
      </c>
      <c r="S187">
        <v>3.0640869999999998</v>
      </c>
      <c r="T187">
        <v>-0.17433180000000001</v>
      </c>
      <c r="U187">
        <v>4.4372559999999998E-2</v>
      </c>
      <c r="V187">
        <v>-1.5772680000000001E-2</v>
      </c>
      <c r="W187">
        <v>0.15497139999999901</v>
      </c>
      <c r="X187">
        <v>0.98779300000000003</v>
      </c>
      <c r="Y187">
        <v>-1.6971960000000001E-2</v>
      </c>
      <c r="Z187">
        <v>6.2129079999999998E-4</v>
      </c>
      <c r="AA187">
        <v>0.99985579999999996</v>
      </c>
      <c r="AB187">
        <v>14</v>
      </c>
      <c r="AC187">
        <v>19.548400000000001</v>
      </c>
      <c r="AD187">
        <v>-1.1197588182129901</v>
      </c>
      <c r="AE187">
        <v>0.28530000000000599</v>
      </c>
      <c r="AF187">
        <v>-0.33353636976413997</v>
      </c>
      <c r="AG187">
        <v>-1.1197588182129901</v>
      </c>
      <c r="AH187">
        <v>19.483702380622301</v>
      </c>
      <c r="AI187">
        <v>93.288778904397404</v>
      </c>
      <c r="AJ187">
        <v>90.980735565478298</v>
      </c>
      <c r="AK187">
        <v>19.518702948136401</v>
      </c>
      <c r="AL187">
        <v>81.084862103298505</v>
      </c>
      <c r="AM187">
        <v>90.914798143924301</v>
      </c>
      <c r="AN187">
        <v>0.99999996155066995</v>
      </c>
    </row>
    <row r="188" spans="1:40" x14ac:dyDescent="0.25">
      <c r="A188" t="str">
        <f>"20190303161846515"</f>
        <v>20190303161846515</v>
      </c>
      <c r="B188" t="str">
        <f>"1551601126503495"</f>
        <v>1551601126503495</v>
      </c>
      <c r="C188" t="s">
        <v>40</v>
      </c>
      <c r="D188">
        <v>4.903562</v>
      </c>
      <c r="E188">
        <v>0.49899470000000001</v>
      </c>
      <c r="F188" t="s">
        <v>41</v>
      </c>
      <c r="G188">
        <v>-445.97059999999999</v>
      </c>
      <c r="H188" s="1">
        <v>-2.281119E-6</v>
      </c>
      <c r="I188">
        <v>367.3845</v>
      </c>
      <c r="J188">
        <v>-466.37279999999998</v>
      </c>
      <c r="K188">
        <v>1.1197440000000001</v>
      </c>
      <c r="L188">
        <v>367.04610000000002</v>
      </c>
      <c r="M188">
        <v>0.99999660000000001</v>
      </c>
      <c r="N188">
        <v>8.3945530000000001E-4</v>
      </c>
      <c r="O188">
        <v>-2.5227470000000001E-3</v>
      </c>
      <c r="P188">
        <v>0.98769609999999997</v>
      </c>
      <c r="Q188">
        <v>0.1558041</v>
      </c>
      <c r="R188">
        <v>1.348271E-2</v>
      </c>
      <c r="S188">
        <v>3.0629580000000001</v>
      </c>
      <c r="T188">
        <v>-0.16692070000000001</v>
      </c>
      <c r="U188">
        <v>5.0384520000000002E-2</v>
      </c>
      <c r="V188">
        <v>-1.5968610000000001E-2</v>
      </c>
      <c r="W188">
        <v>0.15497559999999999</v>
      </c>
      <c r="X188">
        <v>0.98778920000000003</v>
      </c>
      <c r="Y188">
        <v>-1.8938239999999999E-2</v>
      </c>
      <c r="Z188">
        <v>6.4714839999999998E-4</v>
      </c>
      <c r="AA188">
        <v>0.9998205</v>
      </c>
      <c r="AB188">
        <v>14</v>
      </c>
      <c r="AC188">
        <v>20.402200000000001</v>
      </c>
      <c r="AD188">
        <v>-1.119746281119</v>
      </c>
      <c r="AE188">
        <v>0.338399999999978</v>
      </c>
      <c r="AF188">
        <v>-0.38869800519853598</v>
      </c>
      <c r="AG188">
        <v>-1.119746281119</v>
      </c>
      <c r="AH188">
        <v>20.340029788069899</v>
      </c>
      <c r="AI188">
        <v>93.150455818905201</v>
      </c>
      <c r="AJ188">
        <v>91.094789191254904</v>
      </c>
      <c r="AK188">
        <v>20.374536305224101</v>
      </c>
      <c r="AL188">
        <v>81.084618579452794</v>
      </c>
      <c r="AM188">
        <v>90.926163464104107</v>
      </c>
      <c r="AN188">
        <v>0.999999968368665</v>
      </c>
    </row>
    <row r="189" spans="1:40" x14ac:dyDescent="0.25">
      <c r="A189" t="str">
        <f>"20190303161846537"</f>
        <v>20190303161846537</v>
      </c>
      <c r="B189" t="str">
        <f>"1551601126532775"</f>
        <v>1551601126532775</v>
      </c>
      <c r="C189" t="s">
        <v>40</v>
      </c>
      <c r="D189">
        <v>4.825863</v>
      </c>
      <c r="E189">
        <v>0.49854929999999997</v>
      </c>
      <c r="F189" t="s">
        <v>41</v>
      </c>
      <c r="G189">
        <v>-445.16390000000001</v>
      </c>
      <c r="H189" s="1">
        <v>-2.65503E-6</v>
      </c>
      <c r="I189">
        <v>367.42610000000002</v>
      </c>
      <c r="J189">
        <v>-466.22109999999998</v>
      </c>
      <c r="K189">
        <v>1.1197189999999999</v>
      </c>
      <c r="L189">
        <v>367.04570000000001</v>
      </c>
      <c r="M189">
        <v>0.99999649999999995</v>
      </c>
      <c r="N189">
        <v>9.1173529999999999E-4</v>
      </c>
      <c r="O189">
        <v>-2.521943E-3</v>
      </c>
      <c r="P189">
        <v>0.98771549999999997</v>
      </c>
      <c r="Q189">
        <v>0.1556331</v>
      </c>
      <c r="R189">
        <v>1.4022140000000001E-2</v>
      </c>
      <c r="S189">
        <v>3.0621339999999999</v>
      </c>
      <c r="T189">
        <v>-0.16166849999999999</v>
      </c>
      <c r="U189">
        <v>5.487061E-2</v>
      </c>
      <c r="V189">
        <v>-1.6507150000000002E-2</v>
      </c>
      <c r="W189">
        <v>0.1547335</v>
      </c>
      <c r="X189">
        <v>0.98781839999999999</v>
      </c>
      <c r="Y189">
        <v>-2.0406130000000001E-2</v>
      </c>
      <c r="Z189">
        <v>6.6429729999999999E-4</v>
      </c>
      <c r="AA189">
        <v>0.9997916</v>
      </c>
      <c r="AB189">
        <v>15</v>
      </c>
      <c r="AC189">
        <v>21.057199999999899</v>
      </c>
      <c r="AD189">
        <v>-1.11972165503</v>
      </c>
      <c r="AE189">
        <v>0.38040000000000801</v>
      </c>
      <c r="AF189">
        <v>-0.432281941131202</v>
      </c>
      <c r="AG189">
        <v>-1.11972165503</v>
      </c>
      <c r="AH189">
        <v>20.9968223146459</v>
      </c>
      <c r="AI189">
        <v>93.051940765888901</v>
      </c>
      <c r="AJ189">
        <v>91.179437149566596</v>
      </c>
      <c r="AK189">
        <v>21.031100579241802</v>
      </c>
      <c r="AL189">
        <v>81.098660139326796</v>
      </c>
      <c r="AM189">
        <v>90.957364233040295</v>
      </c>
      <c r="AN189">
        <v>1.0000000667009601</v>
      </c>
    </row>
    <row r="190" spans="1:40" x14ac:dyDescent="0.25">
      <c r="A190" t="str">
        <f>"20190303161846560"</f>
        <v>20190303161846560</v>
      </c>
      <c r="B190" t="str">
        <f>"1551601126553272"</f>
        <v>1551601126553272</v>
      </c>
      <c r="C190" t="s">
        <v>40</v>
      </c>
      <c r="D190">
        <v>5.0253899999999998</v>
      </c>
      <c r="E190">
        <v>0.49842199999999998</v>
      </c>
      <c r="F190" t="s">
        <v>41</v>
      </c>
      <c r="G190">
        <v>-444.15859999999998</v>
      </c>
      <c r="H190" s="1">
        <v>-3.12096E-6</v>
      </c>
      <c r="I190">
        <v>367.47840000000002</v>
      </c>
      <c r="J190">
        <v>-466.06939999999997</v>
      </c>
      <c r="K190">
        <v>1.119707</v>
      </c>
      <c r="L190">
        <v>367.0453</v>
      </c>
      <c r="M190">
        <v>0.99999640000000001</v>
      </c>
      <c r="N190">
        <v>9.769949E-4</v>
      </c>
      <c r="O190">
        <v>-2.521138E-3</v>
      </c>
      <c r="P190">
        <v>0.98771399999999998</v>
      </c>
      <c r="Q190">
        <v>0.15567619999999999</v>
      </c>
      <c r="R190">
        <v>1.3636860000000001E-2</v>
      </c>
      <c r="S190">
        <v>3.0609440000000001</v>
      </c>
      <c r="T190">
        <v>-0.15534999999999999</v>
      </c>
      <c r="U190">
        <v>6.0028079999999998E-2</v>
      </c>
      <c r="V190">
        <v>-1.612096E-2</v>
      </c>
      <c r="W190">
        <v>0.15471179999999901</v>
      </c>
      <c r="X190">
        <v>0.98782809999999999</v>
      </c>
      <c r="Y190">
        <v>-2.2096540000000001E-2</v>
      </c>
      <c r="Z190">
        <v>6.7982999999999997E-4</v>
      </c>
      <c r="AA190">
        <v>0.99975559999999997</v>
      </c>
      <c r="AB190">
        <v>15</v>
      </c>
      <c r="AC190">
        <v>21.910799999999899</v>
      </c>
      <c r="AD190">
        <v>-1.11971012096</v>
      </c>
      <c r="AE190">
        <v>0.43310000000002402</v>
      </c>
      <c r="AF190">
        <v>-0.48706730411032201</v>
      </c>
      <c r="AG190">
        <v>-1.11971012096</v>
      </c>
      <c r="AH190">
        <v>21.852592086452699</v>
      </c>
      <c r="AI190">
        <v>92.932499680170196</v>
      </c>
      <c r="AJ190">
        <v>91.276840790776205</v>
      </c>
      <c r="AK190">
        <v>21.886680109386401</v>
      </c>
      <c r="AL190">
        <v>81.099917931067495</v>
      </c>
      <c r="AM190">
        <v>90.934961237969304</v>
      </c>
      <c r="AN190">
        <v>0.99999999078008495</v>
      </c>
    </row>
    <row r="191" spans="1:40" x14ac:dyDescent="0.25">
      <c r="A191" t="str">
        <f>"20190303161846582"</f>
        <v>20190303161846582</v>
      </c>
      <c r="B191" t="str">
        <f>"1551601126572791"</f>
        <v>1551601126572791</v>
      </c>
      <c r="C191" t="s">
        <v>40</v>
      </c>
      <c r="D191">
        <v>4.7148379999999896</v>
      </c>
      <c r="E191">
        <v>0.49831550000000002</v>
      </c>
      <c r="F191" t="s">
        <v>41</v>
      </c>
      <c r="G191">
        <v>-443.4239</v>
      </c>
      <c r="H191" s="1">
        <v>-3.4663839999999999E-6</v>
      </c>
      <c r="I191">
        <v>367.48910000000001</v>
      </c>
      <c r="J191">
        <v>-465.91230000000002</v>
      </c>
      <c r="K191">
        <v>1.119705</v>
      </c>
      <c r="L191">
        <v>367.04500000000002</v>
      </c>
      <c r="M191">
        <v>0.99999629999999995</v>
      </c>
      <c r="N191">
        <v>1.037596E-3</v>
      </c>
      <c r="O191">
        <v>-2.5204519999999998E-3</v>
      </c>
      <c r="P191">
        <v>0.98777340000000002</v>
      </c>
      <c r="Q191">
        <v>0.1553408</v>
      </c>
      <c r="R191">
        <v>1.315679E-2</v>
      </c>
      <c r="S191">
        <v>3.060333</v>
      </c>
      <c r="T191">
        <v>-0.151318799999999</v>
      </c>
      <c r="U191">
        <v>5.9967039999999999E-2</v>
      </c>
      <c r="V191">
        <v>-1.5640540000000001E-2</v>
      </c>
      <c r="W191">
        <v>0.1543165</v>
      </c>
      <c r="X191">
        <v>0.98789760000000004</v>
      </c>
      <c r="Y191">
        <v>-2.2081480000000001E-2</v>
      </c>
      <c r="Z191">
        <v>6.6121240000000003E-4</v>
      </c>
      <c r="AA191">
        <v>0.99975599999999998</v>
      </c>
      <c r="AB191">
        <v>15</v>
      </c>
      <c r="AC191">
        <v>22.488399999999999</v>
      </c>
      <c r="AD191">
        <v>-1.119708466384</v>
      </c>
      <c r="AE191">
        <v>0.444099999999991</v>
      </c>
      <c r="AF191">
        <v>-0.49954162447512301</v>
      </c>
      <c r="AG191">
        <v>-1.119708466384</v>
      </c>
      <c r="AH191">
        <v>22.431620841236299</v>
      </c>
      <c r="AI191">
        <v>92.856926964360397</v>
      </c>
      <c r="AJ191">
        <v>91.275739141817994</v>
      </c>
      <c r="AK191">
        <v>22.4651041050172</v>
      </c>
      <c r="AL191">
        <v>81.122841792124802</v>
      </c>
      <c r="AM191">
        <v>90.907039422171906</v>
      </c>
      <c r="AN191">
        <v>0.99999993837474899</v>
      </c>
    </row>
    <row r="192" spans="1:40" x14ac:dyDescent="0.25">
      <c r="A192" t="str">
        <f>"20190303161846604"</f>
        <v>20190303161846604</v>
      </c>
      <c r="B192" t="str">
        <f>"1551601126593287"</f>
        <v>1551601126593287</v>
      </c>
      <c r="C192" t="s">
        <v>40</v>
      </c>
      <c r="D192">
        <v>4.7080890000000002</v>
      </c>
      <c r="E192">
        <v>0.49829699999999999</v>
      </c>
      <c r="F192" t="s">
        <v>41</v>
      </c>
      <c r="G192">
        <v>-442.9135</v>
      </c>
      <c r="H192" s="1">
        <v>-3.7071090000000001E-6</v>
      </c>
      <c r="I192">
        <v>367.49200000000002</v>
      </c>
      <c r="J192">
        <v>-465.75889999999998</v>
      </c>
      <c r="K192">
        <v>1.1196900000000001</v>
      </c>
      <c r="L192">
        <v>367.0446</v>
      </c>
      <c r="M192">
        <v>0.99999629999999995</v>
      </c>
      <c r="N192">
        <v>1.0901870000000001E-3</v>
      </c>
      <c r="O192">
        <v>-2.519645E-3</v>
      </c>
      <c r="P192">
        <v>0.98785520000000004</v>
      </c>
      <c r="Q192">
        <v>0.15485789999999999</v>
      </c>
      <c r="R192">
        <v>1.270482E-2</v>
      </c>
      <c r="S192">
        <v>3.059723</v>
      </c>
      <c r="T192">
        <v>-0.1489645</v>
      </c>
      <c r="U192">
        <v>5.9478759999999999E-2</v>
      </c>
      <c r="V192">
        <v>-1.518771E-2</v>
      </c>
      <c r="W192">
        <v>0.15378129999999901</v>
      </c>
      <c r="X192">
        <v>0.98798819999999998</v>
      </c>
      <c r="Y192">
        <v>-2.1926210000000002E-2</v>
      </c>
      <c r="Z192">
        <v>6.4675140000000002E-4</v>
      </c>
      <c r="AA192">
        <v>0.99975939999999996</v>
      </c>
      <c r="AB192">
        <v>15</v>
      </c>
      <c r="AC192">
        <v>22.845399999999898</v>
      </c>
      <c r="AD192">
        <v>-1.1196937071089901</v>
      </c>
      <c r="AE192">
        <v>0.447399999999959</v>
      </c>
      <c r="AF192">
        <v>-0.50375128344999498</v>
      </c>
      <c r="AG192">
        <v>-1.1196937071089901</v>
      </c>
      <c r="AH192">
        <v>22.789477333206101</v>
      </c>
      <c r="AI192">
        <v>92.812111323918998</v>
      </c>
      <c r="AJ192">
        <v>91.2662915660717</v>
      </c>
      <c r="AK192">
        <v>22.822527390147499</v>
      </c>
      <c r="AL192">
        <v>81.153877674828493</v>
      </c>
      <c r="AM192">
        <v>90.880701964201904</v>
      </c>
      <c r="AN192">
        <v>1.00000001905198</v>
      </c>
    </row>
    <row r="193" spans="1:40" x14ac:dyDescent="0.25">
      <c r="A193" t="str">
        <f>"20190303161846617"</f>
        <v>20190303161846617</v>
      </c>
      <c r="B193" t="str">
        <f>"1551601126612808"</f>
        <v>1551601126612808</v>
      </c>
      <c r="C193" t="s">
        <v>40</v>
      </c>
      <c r="D193">
        <v>4.5897969999999999</v>
      </c>
      <c r="E193">
        <v>0.4982645</v>
      </c>
      <c r="F193" t="s">
        <v>41</v>
      </c>
      <c r="G193">
        <v>-442.67849999999999</v>
      </c>
      <c r="H193" s="1">
        <v>-3.819544E-6</v>
      </c>
      <c r="I193">
        <v>367.48450000000003</v>
      </c>
      <c r="J193">
        <v>-465.66669999999999</v>
      </c>
      <c r="K193">
        <v>1.119683</v>
      </c>
      <c r="L193">
        <v>367.04430000000002</v>
      </c>
      <c r="M193">
        <v>0.99999610000000005</v>
      </c>
      <c r="N193">
        <v>1.117792E-3</v>
      </c>
      <c r="O193">
        <v>-2.5190630000000002E-3</v>
      </c>
      <c r="P193">
        <v>0.98785670000000003</v>
      </c>
      <c r="Q193">
        <v>0.15486150000000001</v>
      </c>
      <c r="R193">
        <v>1.252526E-2</v>
      </c>
      <c r="S193">
        <v>3.0593870000000001</v>
      </c>
      <c r="T193">
        <v>-0.1484193</v>
      </c>
      <c r="U193">
        <v>5.8319089999999997E-2</v>
      </c>
      <c r="V193">
        <v>-1.50078E-2</v>
      </c>
      <c r="W193">
        <v>0.1537578</v>
      </c>
      <c r="X193">
        <v>0.98799459999999995</v>
      </c>
      <c r="Y193">
        <v>-2.1549579999999999E-2</v>
      </c>
      <c r="Z193">
        <v>6.3524649999999996E-4</v>
      </c>
      <c r="AA193">
        <v>0.99976759999999998</v>
      </c>
      <c r="AB193">
        <v>16</v>
      </c>
      <c r="AC193">
        <v>22.988199999999999</v>
      </c>
      <c r="AD193">
        <v>-1.119686819544</v>
      </c>
      <c r="AE193">
        <v>0.44020000000000398</v>
      </c>
      <c r="AF193">
        <v>-0.49692890028335801</v>
      </c>
      <c r="AG193">
        <v>-1.119686819544</v>
      </c>
      <c r="AH193">
        <v>22.932633323198999</v>
      </c>
      <c r="AI193">
        <v>92.794594171475794</v>
      </c>
      <c r="AJ193">
        <v>91.241352148224195</v>
      </c>
      <c r="AK193">
        <v>22.965328389598401</v>
      </c>
      <c r="AL193">
        <v>81.155240272534201</v>
      </c>
      <c r="AM193">
        <v>90.870265355809707</v>
      </c>
      <c r="AN193">
        <v>1.00000001237541</v>
      </c>
    </row>
    <row r="194" spans="1:40" x14ac:dyDescent="0.25">
      <c r="A194" t="str">
        <f>"20190303161846631"</f>
        <v>20190303161846631</v>
      </c>
      <c r="B194" t="str">
        <f>"1551601126623544"</f>
        <v>1551601126623544</v>
      </c>
      <c r="C194" t="s">
        <v>40</v>
      </c>
      <c r="D194">
        <v>4.5764389999999997</v>
      </c>
      <c r="E194">
        <v>0.49823079999999997</v>
      </c>
      <c r="F194" t="s">
        <v>41</v>
      </c>
      <c r="G194">
        <v>-441.95870000000002</v>
      </c>
      <c r="H194" s="1">
        <v>-4.1582229999999998E-6</v>
      </c>
      <c r="I194">
        <v>367.49329999999998</v>
      </c>
      <c r="J194">
        <v>-465.56970000000001</v>
      </c>
      <c r="K194">
        <v>1.119677</v>
      </c>
      <c r="L194">
        <v>367.04410000000001</v>
      </c>
      <c r="M194">
        <v>0.9999962</v>
      </c>
      <c r="N194">
        <v>1.144958E-3</v>
      </c>
      <c r="O194">
        <v>-2.5184819999999998E-3</v>
      </c>
      <c r="P194">
        <v>0.98789300000000002</v>
      </c>
      <c r="Q194">
        <v>0.15465989999999999</v>
      </c>
      <c r="R194">
        <v>1.216043E-2</v>
      </c>
      <c r="S194">
        <v>3.0587460000000002</v>
      </c>
      <c r="T194">
        <v>-0.14445910000000001</v>
      </c>
      <c r="U194">
        <v>5.7922359999999999E-2</v>
      </c>
      <c r="V194">
        <v>-1.464274E-2</v>
      </c>
      <c r="W194">
        <v>0.1535292</v>
      </c>
      <c r="X194">
        <v>0.98803560000000001</v>
      </c>
      <c r="Y194">
        <v>-2.142498E-2</v>
      </c>
      <c r="Z194">
        <v>6.1508050000000001E-4</v>
      </c>
      <c r="AA194">
        <v>0.9997703</v>
      </c>
      <c r="AB194">
        <v>16</v>
      </c>
      <c r="AC194">
        <v>23.610999999999901</v>
      </c>
      <c r="AD194">
        <v>-1.119681158223</v>
      </c>
      <c r="AE194">
        <v>0.44919999999996202</v>
      </c>
      <c r="AF194">
        <v>-0.50752156572569496</v>
      </c>
      <c r="AG194">
        <v>-1.119681158223</v>
      </c>
      <c r="AH194">
        <v>23.556837254197202</v>
      </c>
      <c r="AI194">
        <v>92.720649966660403</v>
      </c>
      <c r="AJ194">
        <v>91.234221110083894</v>
      </c>
      <c r="AK194">
        <v>23.5888924169086</v>
      </c>
      <c r="AL194">
        <v>81.168495240293794</v>
      </c>
      <c r="AM194">
        <v>90.849064334018493</v>
      </c>
      <c r="AN194">
        <v>0.99999998597735296</v>
      </c>
    </row>
    <row r="195" spans="1:40" x14ac:dyDescent="0.25">
      <c r="A195" t="str">
        <f>"20190303161846649"</f>
        <v>20190303161846649</v>
      </c>
      <c r="B195" t="str">
        <f>"1551601126643063"</f>
        <v>1551601126643063</v>
      </c>
      <c r="C195" t="s">
        <v>40</v>
      </c>
      <c r="D195">
        <v>4.5282689999999999</v>
      </c>
      <c r="E195">
        <v>0.49821900000000002</v>
      </c>
      <c r="F195" t="s">
        <v>41</v>
      </c>
      <c r="G195">
        <v>-441.65030000000002</v>
      </c>
      <c r="H195" s="1">
        <v>-4.3048639999999999E-6</v>
      </c>
      <c r="I195">
        <v>367.48849999999999</v>
      </c>
      <c r="J195">
        <v>-465.43560000000002</v>
      </c>
      <c r="K195">
        <v>1.1196790000000001</v>
      </c>
      <c r="L195">
        <v>367.04379999999998</v>
      </c>
      <c r="M195">
        <v>0.9999962</v>
      </c>
      <c r="N195">
        <v>1.1782749999999999E-3</v>
      </c>
      <c r="O195">
        <v>-2.517905E-3</v>
      </c>
      <c r="P195">
        <v>0.98793430000000004</v>
      </c>
      <c r="Q195">
        <v>0.15442330000000001</v>
      </c>
      <c r="R195">
        <v>1.181129E-2</v>
      </c>
      <c r="S195">
        <v>3.0584720000000001</v>
      </c>
      <c r="T195">
        <v>-0.14316899999999999</v>
      </c>
      <c r="U195">
        <v>5.6823730000000003E-2</v>
      </c>
      <c r="V195">
        <v>-1.4292829999999999E-2</v>
      </c>
      <c r="W195">
        <v>0.1532597</v>
      </c>
      <c r="X195">
        <v>0.98808260000000003</v>
      </c>
      <c r="Y195">
        <v>-2.106796E-2</v>
      </c>
      <c r="Z195">
        <v>6.0112589999999997E-4</v>
      </c>
      <c r="AA195">
        <v>0.9997779</v>
      </c>
      <c r="AB195">
        <v>16</v>
      </c>
      <c r="AC195">
        <v>23.785299999999999</v>
      </c>
      <c r="AD195">
        <v>-1.119683304864</v>
      </c>
      <c r="AE195">
        <v>0.44470000000001098</v>
      </c>
      <c r="AF195">
        <v>-0.50347244011054604</v>
      </c>
      <c r="AG195">
        <v>-1.119683304864</v>
      </c>
      <c r="AH195">
        <v>23.731533777296999</v>
      </c>
      <c r="AI195">
        <v>92.700676167524605</v>
      </c>
      <c r="AJ195">
        <v>91.215366838991997</v>
      </c>
      <c r="AK195">
        <v>23.763267254822701</v>
      </c>
      <c r="AL195">
        <v>81.184121712801399</v>
      </c>
      <c r="AM195">
        <v>90.828738129706096</v>
      </c>
      <c r="AN195">
        <v>1.00000002252812</v>
      </c>
    </row>
    <row r="196" spans="1:40" x14ac:dyDescent="0.25">
      <c r="A196" t="str">
        <f>"20190303161846663"</f>
        <v>20190303161846663</v>
      </c>
      <c r="B196" t="str">
        <f>"1551601126652823"</f>
        <v>1551601126652823</v>
      </c>
      <c r="C196" t="s">
        <v>40</v>
      </c>
      <c r="D196">
        <v>4.463533</v>
      </c>
      <c r="E196">
        <v>0.49822709999999998</v>
      </c>
      <c r="F196" t="s">
        <v>41</v>
      </c>
      <c r="G196">
        <v>-441.00360000000001</v>
      </c>
      <c r="H196" s="1">
        <v>-4.6104409999999996E-6</v>
      </c>
      <c r="I196">
        <v>367.48930000000001</v>
      </c>
      <c r="J196">
        <v>-465.3331</v>
      </c>
      <c r="K196">
        <v>1.1196740000000001</v>
      </c>
      <c r="L196">
        <v>367.04349999999999</v>
      </c>
      <c r="M196">
        <v>0.9999962</v>
      </c>
      <c r="N196">
        <v>1.200874E-3</v>
      </c>
      <c r="O196">
        <v>-2.5173219999999998E-3</v>
      </c>
      <c r="P196">
        <v>0.98788279999999995</v>
      </c>
      <c r="Q196">
        <v>0.15476189999999901</v>
      </c>
      <c r="R196">
        <v>1.168956E-2</v>
      </c>
      <c r="S196">
        <v>3.0578609999999999</v>
      </c>
      <c r="T196">
        <v>-0.14013729999999999</v>
      </c>
      <c r="U196">
        <v>5.5755619999999999E-2</v>
      </c>
      <c r="V196">
        <v>-1.417056E-2</v>
      </c>
      <c r="W196">
        <v>0.1535764</v>
      </c>
      <c r="X196">
        <v>0.98803510000000005</v>
      </c>
      <c r="Y196">
        <v>-2.0723399999999999E-2</v>
      </c>
      <c r="Z196">
        <v>5.8043929999999997E-4</v>
      </c>
      <c r="AA196">
        <v>0.99978509999999998</v>
      </c>
      <c r="AB196">
        <v>16</v>
      </c>
      <c r="AC196">
        <v>24.329499999999999</v>
      </c>
      <c r="AD196">
        <v>-1.1196786104409999</v>
      </c>
      <c r="AE196">
        <v>0.44580000000001901</v>
      </c>
      <c r="AF196">
        <v>-0.505972535344416</v>
      </c>
      <c r="AG196">
        <v>-1.1196786104409999</v>
      </c>
      <c r="AH196">
        <v>24.276900131397198</v>
      </c>
      <c r="AI196">
        <v>92.640103530990601</v>
      </c>
      <c r="AJ196">
        <v>91.193970161463099</v>
      </c>
      <c r="AK196">
        <v>24.307973350056098</v>
      </c>
      <c r="AL196">
        <v>81.165757986940505</v>
      </c>
      <c r="AM196">
        <v>90.821689045927201</v>
      </c>
      <c r="AN196">
        <v>0.99999993711983903</v>
      </c>
    </row>
    <row r="197" spans="1:40" x14ac:dyDescent="0.25">
      <c r="A197" t="str">
        <f>"20190303161846685"</f>
        <v>20190303161846685</v>
      </c>
      <c r="B197" t="str">
        <f>"1551601126673319"</f>
        <v>1551601126673319</v>
      </c>
      <c r="C197" t="s">
        <v>40</v>
      </c>
      <c r="D197">
        <v>4.4439199999999897</v>
      </c>
      <c r="E197">
        <v>0.49825130000000001</v>
      </c>
      <c r="F197" t="s">
        <v>41</v>
      </c>
      <c r="G197">
        <v>-440.40390000000002</v>
      </c>
      <c r="H197" s="1">
        <v>-4.8924510000000003E-6</v>
      </c>
      <c r="I197">
        <v>367.49759999999998</v>
      </c>
      <c r="J197">
        <v>-465.17329999999998</v>
      </c>
      <c r="K197">
        <v>1.1196699999999999</v>
      </c>
      <c r="L197">
        <v>367.04309999999998</v>
      </c>
      <c r="M197">
        <v>0.9999962</v>
      </c>
      <c r="N197">
        <v>1.2307119999999999E-3</v>
      </c>
      <c r="O197">
        <v>-2.516744E-3</v>
      </c>
      <c r="P197">
        <v>0.98783929999999998</v>
      </c>
      <c r="Q197">
        <v>0.15504279999999901</v>
      </c>
      <c r="R197">
        <v>1.16341E-2</v>
      </c>
      <c r="S197">
        <v>3.057709</v>
      </c>
      <c r="T197">
        <v>-0.13733489999999901</v>
      </c>
      <c r="U197">
        <v>5.569458E-2</v>
      </c>
      <c r="V197">
        <v>-1.4114410000000001E-2</v>
      </c>
      <c r="W197">
        <v>0.15382799999999999</v>
      </c>
      <c r="X197">
        <v>0.98799680000000001</v>
      </c>
      <c r="Y197">
        <v>-2.0704759999999999E-2</v>
      </c>
      <c r="Z197">
        <v>5.6801699999999998E-4</v>
      </c>
      <c r="AA197">
        <v>0.99978549999999999</v>
      </c>
      <c r="AB197">
        <v>16</v>
      </c>
      <c r="AC197">
        <v>24.769399999999901</v>
      </c>
      <c r="AD197">
        <v>-1.119674892451</v>
      </c>
      <c r="AE197">
        <v>0.45449999999999502</v>
      </c>
      <c r="AF197">
        <v>-0.51578324332040704</v>
      </c>
      <c r="AG197">
        <v>-1.119674892451</v>
      </c>
      <c r="AH197">
        <v>24.7176866295985</v>
      </c>
      <c r="AI197">
        <v>92.5930778764845</v>
      </c>
      <c r="AJ197">
        <v>91.195415867149293</v>
      </c>
      <c r="AK197">
        <v>24.748408767795699</v>
      </c>
      <c r="AL197">
        <v>81.151169334538906</v>
      </c>
      <c r="AM197">
        <v>90.8184653182945</v>
      </c>
      <c r="AN197">
        <v>0.99999997348194303</v>
      </c>
    </row>
    <row r="198" spans="1:40" x14ac:dyDescent="0.25">
      <c r="A198" t="str">
        <f>"20190303161846706"</f>
        <v>20190303161846706</v>
      </c>
      <c r="B198" t="str">
        <f>"1551601126692841"</f>
        <v>1551601126692841</v>
      </c>
      <c r="C198" t="s">
        <v>40</v>
      </c>
      <c r="D198">
        <v>4.4113800000000003</v>
      </c>
      <c r="E198">
        <v>0.49828909999999998</v>
      </c>
      <c r="F198" t="s">
        <v>44</v>
      </c>
      <c r="G198">
        <v>-438.31240000000003</v>
      </c>
      <c r="H198">
        <v>-0.05</v>
      </c>
      <c r="I198">
        <v>367.52839999999998</v>
      </c>
      <c r="J198">
        <v>-465.01780000000002</v>
      </c>
      <c r="K198">
        <v>1.1196630000000001</v>
      </c>
      <c r="L198">
        <v>367.04270000000002</v>
      </c>
      <c r="M198">
        <v>0.999996</v>
      </c>
      <c r="N198">
        <v>1.253737E-3</v>
      </c>
      <c r="O198">
        <v>-2.5156850000000001E-3</v>
      </c>
      <c r="P198">
        <v>0.98790319999999998</v>
      </c>
      <c r="Q198">
        <v>0.1546294</v>
      </c>
      <c r="R198">
        <v>1.1710430000000001E-2</v>
      </c>
      <c r="S198">
        <v>3.0571290000000002</v>
      </c>
      <c r="T198">
        <v>-0.13312389999999999</v>
      </c>
      <c r="U198">
        <v>5.5236819999999999E-2</v>
      </c>
      <c r="V198">
        <v>-1.4189820000000001E-2</v>
      </c>
      <c r="W198">
        <v>0.15339169999999999</v>
      </c>
      <c r="X198">
        <v>0.98806360000000004</v>
      </c>
      <c r="Y198">
        <v>-2.0559029999999999E-2</v>
      </c>
      <c r="Z198">
        <v>5.4712079999999995E-4</v>
      </c>
      <c r="AA198">
        <v>0.99978849999999997</v>
      </c>
      <c r="AB198">
        <v>16</v>
      </c>
      <c r="AC198">
        <v>26.705400000000001</v>
      </c>
      <c r="AD198">
        <v>-1.1696629999999999</v>
      </c>
      <c r="AE198">
        <v>0.485699999999951</v>
      </c>
      <c r="AF198">
        <v>-0.55182266545696101</v>
      </c>
      <c r="AG198">
        <v>-1.1696629999999999</v>
      </c>
      <c r="AH198">
        <v>26.652981317603501</v>
      </c>
      <c r="AI198">
        <v>92.512268655706194</v>
      </c>
      <c r="AJ198">
        <v>91.186080947146493</v>
      </c>
      <c r="AK198">
        <v>26.684340593392999</v>
      </c>
      <c r="AL198">
        <v>81.176468159966205</v>
      </c>
      <c r="AM198">
        <v>90.822781966005195</v>
      </c>
      <c r="AN198">
        <v>1.00000002113274</v>
      </c>
    </row>
    <row r="199" spans="1:40" x14ac:dyDescent="0.25">
      <c r="A199" t="str">
        <f>"20190303161846720"</f>
        <v>20190303161846720</v>
      </c>
      <c r="B199" t="str">
        <f>"1551601126713336"</f>
        <v>1551601126713336</v>
      </c>
      <c r="C199" t="s">
        <v>40</v>
      </c>
      <c r="D199">
        <v>4.3899499999999998</v>
      </c>
      <c r="E199">
        <v>0.4983185</v>
      </c>
      <c r="F199" t="s">
        <v>44</v>
      </c>
      <c r="G199">
        <v>-437.87360000000001</v>
      </c>
      <c r="H199">
        <v>-0.05</v>
      </c>
      <c r="I199">
        <v>367.52940000000001</v>
      </c>
      <c r="J199">
        <v>-464.90609999999998</v>
      </c>
      <c r="K199">
        <v>1.119658</v>
      </c>
      <c r="L199">
        <v>367.04239999999999</v>
      </c>
      <c r="M199">
        <v>0.99999610000000005</v>
      </c>
      <c r="N199">
        <v>1.266554E-3</v>
      </c>
      <c r="O199">
        <v>-2.5152159999999998E-3</v>
      </c>
      <c r="P199">
        <v>0.98786379999999996</v>
      </c>
      <c r="Q199">
        <v>0.1548496</v>
      </c>
      <c r="R199">
        <v>1.21113E-2</v>
      </c>
      <c r="S199">
        <v>3.056702</v>
      </c>
      <c r="T199">
        <v>-0.13171540000000001</v>
      </c>
      <c r="U199">
        <v>5.4809570000000002E-2</v>
      </c>
      <c r="V199">
        <v>-1.458981E-2</v>
      </c>
      <c r="W199">
        <v>0.15359900000000001</v>
      </c>
      <c r="X199">
        <v>0.9880255</v>
      </c>
      <c r="Y199">
        <v>-2.0421970000000001E-2</v>
      </c>
      <c r="Z199">
        <v>5.3832739999999896E-4</v>
      </c>
      <c r="AA199">
        <v>0.99979130000000005</v>
      </c>
      <c r="AB199">
        <v>17</v>
      </c>
      <c r="AC199">
        <v>27.032499999999899</v>
      </c>
      <c r="AD199">
        <v>-1.1696580000000001</v>
      </c>
      <c r="AE199">
        <v>0.48700000000002303</v>
      </c>
      <c r="AF199">
        <v>-0.55395432576592696</v>
      </c>
      <c r="AG199">
        <v>-1.1696580000000001</v>
      </c>
      <c r="AH199">
        <v>26.980693514293499</v>
      </c>
      <c r="AI199">
        <v>92.481790805850594</v>
      </c>
      <c r="AJ199">
        <v>91.176203502823</v>
      </c>
      <c r="AK199">
        <v>27.011715749730499</v>
      </c>
      <c r="AL199">
        <v>81.164447686537798</v>
      </c>
      <c r="AM199">
        <v>90.846004263427801</v>
      </c>
      <c r="AN199">
        <v>0.99999995200354197</v>
      </c>
    </row>
    <row r="200" spans="1:40" x14ac:dyDescent="0.25">
      <c r="A200" t="str">
        <f>"20190303161846738"</f>
        <v>20190303161846738</v>
      </c>
      <c r="B200" t="str">
        <f>"1551601126732856"</f>
        <v>1551601126732856</v>
      </c>
      <c r="C200" t="s">
        <v>40</v>
      </c>
      <c r="D200">
        <v>4.3278179999999997</v>
      </c>
      <c r="E200">
        <v>0.49837680000000001</v>
      </c>
      <c r="F200" t="s">
        <v>44</v>
      </c>
      <c r="G200">
        <v>-437.01150000000001</v>
      </c>
      <c r="H200">
        <v>-0.05</v>
      </c>
      <c r="I200">
        <v>367.5532</v>
      </c>
      <c r="J200">
        <v>-464.76209999999998</v>
      </c>
      <c r="K200">
        <v>1.11965</v>
      </c>
      <c r="L200">
        <v>367.0421</v>
      </c>
      <c r="M200">
        <v>0.99999610000000005</v>
      </c>
      <c r="N200">
        <v>1.2798169999999999E-3</v>
      </c>
      <c r="O200">
        <v>-2.5145089999999998E-3</v>
      </c>
      <c r="P200">
        <v>0.98787570000000002</v>
      </c>
      <c r="Q200">
        <v>0.15474649999999901</v>
      </c>
      <c r="R200">
        <v>1.246686E-2</v>
      </c>
      <c r="S200">
        <v>3.0562740000000002</v>
      </c>
      <c r="T200">
        <v>-0.12815389999999999</v>
      </c>
      <c r="U200">
        <v>5.5969240000000003E-2</v>
      </c>
      <c r="V200">
        <v>-1.4944850000000001E-2</v>
      </c>
      <c r="W200">
        <v>0.1534826</v>
      </c>
      <c r="X200">
        <v>0.98803839999999998</v>
      </c>
      <c r="Y200">
        <v>-2.0803800000000001E-2</v>
      </c>
      <c r="Z200">
        <v>5.3121769999999997E-4</v>
      </c>
      <c r="AA200">
        <v>0.99978350000000005</v>
      </c>
      <c r="AB200">
        <v>17</v>
      </c>
      <c r="AC200">
        <v>27.750599999999899</v>
      </c>
      <c r="AD200">
        <v>-1.1696500000000001</v>
      </c>
      <c r="AE200">
        <v>0.511099999999999</v>
      </c>
      <c r="AF200">
        <v>-0.579847814402351</v>
      </c>
      <c r="AG200">
        <v>-1.1696500000000001</v>
      </c>
      <c r="AH200">
        <v>27.7000344650342</v>
      </c>
      <c r="AI200">
        <v>92.417382159313306</v>
      </c>
      <c r="AJ200">
        <v>91.199203602051696</v>
      </c>
      <c r="AK200">
        <v>27.730780983853499</v>
      </c>
      <c r="AL200">
        <v>81.171197982623099</v>
      </c>
      <c r="AM200">
        <v>90.866577186806495</v>
      </c>
      <c r="AN200">
        <v>1.0000000684594099</v>
      </c>
    </row>
    <row r="201" spans="1:40" x14ac:dyDescent="0.25">
      <c r="A201" t="str">
        <f>"20190303161846753"</f>
        <v>20190303161846753</v>
      </c>
      <c r="B201" t="str">
        <f>"1551601126743592"</f>
        <v>1551601126743592</v>
      </c>
      <c r="C201" t="s">
        <v>40</v>
      </c>
      <c r="D201">
        <v>4.3488810000000004</v>
      </c>
      <c r="E201">
        <v>0.49844090000000002</v>
      </c>
      <c r="F201" t="s">
        <v>44</v>
      </c>
      <c r="G201">
        <v>-436.30459999999999</v>
      </c>
      <c r="H201">
        <v>-0.05</v>
      </c>
      <c r="I201">
        <v>367.56720000000001</v>
      </c>
      <c r="J201">
        <v>-464.65559999999999</v>
      </c>
      <c r="K201">
        <v>1.119651</v>
      </c>
      <c r="L201">
        <v>367.04180000000002</v>
      </c>
      <c r="M201">
        <v>0.999996</v>
      </c>
      <c r="N201">
        <v>1.2865999999999999E-3</v>
      </c>
      <c r="O201">
        <v>-2.5139170000000001E-3</v>
      </c>
      <c r="P201">
        <v>0.98784689999999997</v>
      </c>
      <c r="Q201">
        <v>0.15491260000000001</v>
      </c>
      <c r="R201">
        <v>1.267939E-2</v>
      </c>
      <c r="S201">
        <v>3.0558169999999998</v>
      </c>
      <c r="T201">
        <v>-0.12559890000000001</v>
      </c>
      <c r="U201">
        <v>5.6396479999999999E-2</v>
      </c>
      <c r="V201">
        <v>-1.5156950000000001E-2</v>
      </c>
      <c r="W201">
        <v>0.1536419</v>
      </c>
      <c r="X201">
        <v>0.98801030000000001</v>
      </c>
      <c r="Y201">
        <v>-2.0946360000000001E-2</v>
      </c>
      <c r="Z201">
        <v>5.2327150000000002E-4</v>
      </c>
      <c r="AA201">
        <v>0.99978049999999996</v>
      </c>
      <c r="AB201">
        <v>17</v>
      </c>
      <c r="AC201">
        <v>28.350999999999999</v>
      </c>
      <c r="AD201">
        <v>-1.169651</v>
      </c>
      <c r="AE201">
        <v>0.52539999999998999</v>
      </c>
      <c r="AF201">
        <v>-0.595656962462766</v>
      </c>
      <c r="AG201">
        <v>-1.169651</v>
      </c>
      <c r="AH201">
        <v>28.301435290601699</v>
      </c>
      <c r="AI201">
        <v>92.366068580425306</v>
      </c>
      <c r="AJ201">
        <v>91.205719485301699</v>
      </c>
      <c r="AK201">
        <v>28.331857160921299</v>
      </c>
      <c r="AL201">
        <v>81.161960239384797</v>
      </c>
      <c r="AM201">
        <v>90.8788988826863</v>
      </c>
      <c r="AN201">
        <v>0.9999999597375</v>
      </c>
    </row>
    <row r="202" spans="1:40" x14ac:dyDescent="0.25">
      <c r="A202" t="str">
        <f>"20190303161846766"</f>
        <v>20190303161846766</v>
      </c>
      <c r="B202" t="str">
        <f>"1551601126753352"</f>
        <v>1551601126753352</v>
      </c>
      <c r="C202" t="s">
        <v>40</v>
      </c>
      <c r="D202">
        <v>4.307258</v>
      </c>
      <c r="E202">
        <v>0.49844090000000002</v>
      </c>
      <c r="F202" t="s">
        <v>44</v>
      </c>
      <c r="G202">
        <v>-435.71100000000001</v>
      </c>
      <c r="H202">
        <v>-0.05</v>
      </c>
      <c r="I202">
        <v>367.57400000000001</v>
      </c>
      <c r="J202">
        <v>-464.55540000000002</v>
      </c>
      <c r="K202">
        <v>1.11965</v>
      </c>
      <c r="L202">
        <v>367.04149999999998</v>
      </c>
      <c r="M202">
        <v>0.999996</v>
      </c>
      <c r="N202">
        <v>1.2912010000000001E-3</v>
      </c>
      <c r="O202">
        <v>-2.5133239999999999E-3</v>
      </c>
      <c r="P202">
        <v>0.98781750000000001</v>
      </c>
      <c r="Q202">
        <v>0.15508759999999999</v>
      </c>
      <c r="R202">
        <v>1.2819399999999899E-2</v>
      </c>
      <c r="S202">
        <v>3.055542</v>
      </c>
      <c r="T202">
        <v>-0.1234744</v>
      </c>
      <c r="U202">
        <v>5.6182860000000001E-2</v>
      </c>
      <c r="V202">
        <v>-1.5295990000000001E-2</v>
      </c>
      <c r="W202">
        <v>0.15381239999999999</v>
      </c>
      <c r="X202">
        <v>0.98798169999999996</v>
      </c>
      <c r="Y202">
        <v>-2.0878270000000001E-2</v>
      </c>
      <c r="Z202">
        <v>5.1290940000000001E-4</v>
      </c>
      <c r="AA202">
        <v>0.9997819</v>
      </c>
      <c r="AB202">
        <v>17</v>
      </c>
      <c r="AC202">
        <v>28.8444</v>
      </c>
      <c r="AD202">
        <v>-1.1696500000000001</v>
      </c>
      <c r="AE202">
        <v>0.53250000000002695</v>
      </c>
      <c r="AF202">
        <v>-0.60400086391693097</v>
      </c>
      <c r="AG202">
        <v>-1.1696500000000001</v>
      </c>
      <c r="AH202">
        <v>28.795637169448401</v>
      </c>
      <c r="AI202">
        <v>92.325507665476493</v>
      </c>
      <c r="AJ202">
        <v>91.201627391423003</v>
      </c>
      <c r="AK202">
        <v>28.825711060798302</v>
      </c>
      <c r="AL202">
        <v>81.152074423863596</v>
      </c>
      <c r="AM202">
        <v>90.886985718709596</v>
      </c>
      <c r="AN202">
        <v>1.0000000306193599</v>
      </c>
    </row>
    <row r="203" spans="1:40" x14ac:dyDescent="0.25">
      <c r="A203" t="str">
        <f>"20190303161846782"</f>
        <v>20190303161846782</v>
      </c>
      <c r="B203" t="str">
        <f>"1551601126772875"</f>
        <v>1551601126772875</v>
      </c>
      <c r="C203" t="s">
        <v>40</v>
      </c>
      <c r="D203">
        <v>4.304551</v>
      </c>
      <c r="E203">
        <v>0.50742469999999995</v>
      </c>
      <c r="F203" t="s">
        <v>44</v>
      </c>
      <c r="G203">
        <v>-435.47800000000001</v>
      </c>
      <c r="H203">
        <v>-0.05</v>
      </c>
      <c r="I203">
        <v>367.58519999999999</v>
      </c>
      <c r="J203">
        <v>-464.41309999999999</v>
      </c>
      <c r="K203">
        <v>1.1196379999999999</v>
      </c>
      <c r="L203">
        <v>367.0412</v>
      </c>
      <c r="M203">
        <v>0.999996</v>
      </c>
      <c r="N203">
        <v>1.29217E-3</v>
      </c>
      <c r="O203">
        <v>-2.5127280000000001E-3</v>
      </c>
      <c r="P203">
        <v>0.98780009999999996</v>
      </c>
      <c r="Q203">
        <v>0.155170899999999</v>
      </c>
      <c r="R203">
        <v>1.3148740000000001E-2</v>
      </c>
      <c r="S203">
        <v>3.0555110000000001</v>
      </c>
      <c r="T203">
        <v>-0.122909199999999</v>
      </c>
      <c r="U203">
        <v>5.7128909999999998E-2</v>
      </c>
      <c r="V203">
        <v>-1.5625090000000001E-2</v>
      </c>
      <c r="W203">
        <v>0.15389529999999901</v>
      </c>
      <c r="X203">
        <v>0.98796360000000005</v>
      </c>
      <c r="Y203">
        <v>-2.1187230000000001E-2</v>
      </c>
      <c r="Z203">
        <v>5.1649930000000001E-4</v>
      </c>
      <c r="AA203">
        <v>0.99977539999999998</v>
      </c>
      <c r="AB203">
        <v>17</v>
      </c>
      <c r="AC203">
        <v>28.935099999999899</v>
      </c>
      <c r="AD203">
        <v>-1.169638</v>
      </c>
      <c r="AE203">
        <v>0.54399999999998205</v>
      </c>
      <c r="AF203">
        <v>-0.61569868161383401</v>
      </c>
      <c r="AG203">
        <v>-1.169638</v>
      </c>
      <c r="AH203">
        <v>28.886457836006201</v>
      </c>
      <c r="AI203">
        <v>92.318163776972497</v>
      </c>
      <c r="AJ203">
        <v>91.221042586706204</v>
      </c>
      <c r="AK203">
        <v>28.916683492906799</v>
      </c>
      <c r="AL203">
        <v>81.147267014461804</v>
      </c>
      <c r="AM203">
        <v>90.906083058179703</v>
      </c>
      <c r="AN203">
        <v>0.99999999086227898</v>
      </c>
    </row>
    <row r="204" spans="1:40" x14ac:dyDescent="0.25">
      <c r="A204" t="str">
        <f>"20190303161846806"</f>
        <v>20190303161846806</v>
      </c>
      <c r="B204" t="str">
        <f>"1551601126793371"</f>
        <v>1551601126793371</v>
      </c>
      <c r="C204" t="s">
        <v>40</v>
      </c>
      <c r="D204">
        <v>4.2088539999999997</v>
      </c>
      <c r="E204">
        <v>0.50812679999999999</v>
      </c>
      <c r="F204" t="s">
        <v>43</v>
      </c>
      <c r="G204">
        <v>-158.19499999999999</v>
      </c>
      <c r="H204">
        <v>0.40724060000000001</v>
      </c>
      <c r="I204">
        <v>365.57100000000003</v>
      </c>
      <c r="J204">
        <v>-464.23200000000003</v>
      </c>
      <c r="K204">
        <v>1.1196379999999999</v>
      </c>
      <c r="L204">
        <v>367.04070000000002</v>
      </c>
      <c r="M204">
        <v>0.99999590000000005</v>
      </c>
      <c r="N204">
        <v>1.285317E-3</v>
      </c>
      <c r="O204">
        <v>-2.5115319999999999E-3</v>
      </c>
      <c r="P204">
        <v>0.98788149999999997</v>
      </c>
      <c r="Q204">
        <v>0.1546659</v>
      </c>
      <c r="R204">
        <v>1.297653E-2</v>
      </c>
      <c r="S204">
        <v>3.0383610000000001</v>
      </c>
      <c r="T204">
        <v>-7.0676799999999998E-3</v>
      </c>
      <c r="U204">
        <v>-1.45874E-2</v>
      </c>
      <c r="V204">
        <v>-1.5451990000000001E-2</v>
      </c>
      <c r="W204">
        <v>0.1533969</v>
      </c>
      <c r="X204">
        <v>0.98804380000000003</v>
      </c>
      <c r="Y204">
        <v>2.2895139999999999E-3</v>
      </c>
      <c r="Z204" s="1">
        <v>7.8787719999999999E-6</v>
      </c>
      <c r="AA204">
        <v>0.99999740000000004</v>
      </c>
      <c r="AB204">
        <v>17</v>
      </c>
      <c r="AC204">
        <v>306.03699999999998</v>
      </c>
      <c r="AD204">
        <v>-0.71239739999999996</v>
      </c>
      <c r="AE204">
        <v>-1.46970000000004</v>
      </c>
      <c r="AF204">
        <v>0.70106912001775801</v>
      </c>
      <c r="AG204">
        <v>-0.71239739999999996</v>
      </c>
      <c r="AH204">
        <v>306.038067693085</v>
      </c>
      <c r="AI204">
        <v>90.133372896517301</v>
      </c>
      <c r="AJ204">
        <v>89.868747598091403</v>
      </c>
      <c r="AK204">
        <v>306.039699851644</v>
      </c>
      <c r="AL204">
        <v>81.176166126080304</v>
      </c>
      <c r="AM204">
        <v>90.895974090522401</v>
      </c>
      <c r="AN204">
        <v>0.99999996182150397</v>
      </c>
    </row>
    <row r="205" spans="1:40" x14ac:dyDescent="0.25">
      <c r="A205" t="str">
        <f>"20190303161846819"</f>
        <v>20190303161846819</v>
      </c>
      <c r="B205" t="str">
        <f>"1551601126812888"</f>
        <v>1551601126812888</v>
      </c>
      <c r="C205" t="s">
        <v>40</v>
      </c>
      <c r="D205">
        <v>4.2510640000000004</v>
      </c>
      <c r="E205">
        <v>0.50837730000000003</v>
      </c>
      <c r="F205" t="s">
        <v>43</v>
      </c>
      <c r="G205">
        <v>-158.19499999999999</v>
      </c>
      <c r="H205">
        <v>7.5065850000000003E-2</v>
      </c>
      <c r="I205">
        <v>364.9384</v>
      </c>
      <c r="J205">
        <v>-464.11610000000002</v>
      </c>
      <c r="K205">
        <v>1.119637</v>
      </c>
      <c r="L205">
        <v>367.04039999999998</v>
      </c>
      <c r="M205">
        <v>0.9999962</v>
      </c>
      <c r="N205">
        <v>1.275345E-3</v>
      </c>
      <c r="O205">
        <v>-2.511288E-3</v>
      </c>
      <c r="P205">
        <v>0.98792170000000001</v>
      </c>
      <c r="Q205">
        <v>0.15444959999999999</v>
      </c>
      <c r="R205">
        <v>1.249717E-2</v>
      </c>
      <c r="S205">
        <v>3.0387270000000002</v>
      </c>
      <c r="T205">
        <v>-1.037097E-2</v>
      </c>
      <c r="U205">
        <v>-2.087402E-2</v>
      </c>
      <c r="V205">
        <v>-1.497239E-2</v>
      </c>
      <c r="W205">
        <v>0.15318999999999999</v>
      </c>
      <c r="X205">
        <v>0.9880833</v>
      </c>
      <c r="Y205">
        <v>4.3579300000000003E-3</v>
      </c>
      <c r="Z205" s="1">
        <v>7.1158399999999898E-6</v>
      </c>
      <c r="AA205">
        <v>0.9999905</v>
      </c>
      <c r="AB205">
        <v>18</v>
      </c>
      <c r="AC205">
        <v>305.92110000000002</v>
      </c>
      <c r="AD205">
        <v>-1.0445711499999999</v>
      </c>
      <c r="AE205">
        <v>-2.1019999999999701</v>
      </c>
      <c r="AF205">
        <v>1.33372133858746</v>
      </c>
      <c r="AG205">
        <v>-1.0445711499999999</v>
      </c>
      <c r="AH205">
        <v>305.92184753133898</v>
      </c>
      <c r="AI205">
        <v>90.195634007278002</v>
      </c>
      <c r="AJ205">
        <v>89.750210322588899</v>
      </c>
      <c r="AK205">
        <v>305.92653814025999</v>
      </c>
      <c r="AL205">
        <v>81.1881625559366</v>
      </c>
      <c r="AM205">
        <v>90.868134404525804</v>
      </c>
      <c r="AN205">
        <v>0.99999997815060004</v>
      </c>
    </row>
    <row r="206" spans="1:40" x14ac:dyDescent="0.25">
      <c r="A206" t="str">
        <f>"20190303161846839"</f>
        <v>20190303161846839</v>
      </c>
      <c r="B206" t="str">
        <f>"1551601126833384"</f>
        <v>1551601126833384</v>
      </c>
      <c r="C206" t="s">
        <v>40</v>
      </c>
      <c r="D206">
        <v>4.2185940000000004</v>
      </c>
      <c r="E206">
        <v>0.50854359999999998</v>
      </c>
      <c r="F206" t="s">
        <v>46</v>
      </c>
      <c r="G206">
        <v>-180</v>
      </c>
      <c r="H206">
        <v>2.2503749999999999E-2</v>
      </c>
      <c r="I206">
        <v>364.80630000000002</v>
      </c>
      <c r="J206">
        <v>-463.96109999999999</v>
      </c>
      <c r="K206">
        <v>1.1196330000000001</v>
      </c>
      <c r="L206">
        <v>367.04</v>
      </c>
      <c r="M206">
        <v>0.999996</v>
      </c>
      <c r="N206">
        <v>1.256552E-3</v>
      </c>
      <c r="O206">
        <v>-2.5103220000000002E-3</v>
      </c>
      <c r="P206">
        <v>0.98798350000000001</v>
      </c>
      <c r="Q206">
        <v>0.15409310000000001</v>
      </c>
      <c r="R206">
        <v>1.2008080000000001E-2</v>
      </c>
      <c r="S206">
        <v>3.0387879999999998</v>
      </c>
      <c r="T206">
        <v>-1.173449E-2</v>
      </c>
      <c r="U206">
        <v>-2.3895260000000001E-2</v>
      </c>
      <c r="V206">
        <v>-1.448268E-2</v>
      </c>
      <c r="W206">
        <v>0.15285209999999999</v>
      </c>
      <c r="X206">
        <v>0.98814299999999999</v>
      </c>
      <c r="Y206">
        <v>5.3529119999999996E-3</v>
      </c>
      <c r="Z206" s="1">
        <v>5.875911E-6</v>
      </c>
      <c r="AA206">
        <v>0.99998569999999998</v>
      </c>
      <c r="AB206">
        <v>18</v>
      </c>
      <c r="AC206">
        <v>283.96109999999999</v>
      </c>
      <c r="AD206">
        <v>-1.0971292500000001</v>
      </c>
      <c r="AE206">
        <v>-2.23369999999999</v>
      </c>
      <c r="AF206">
        <v>1.5208358587010899</v>
      </c>
      <c r="AG206">
        <v>-1.0971292500000001</v>
      </c>
      <c r="AH206">
        <v>283.96157390729701</v>
      </c>
      <c r="AI206">
        <v>90.2213667871371</v>
      </c>
      <c r="AJ206">
        <v>89.693139315684704</v>
      </c>
      <c r="AK206">
        <v>283.96776593516699</v>
      </c>
      <c r="AL206">
        <v>81.207754165492005</v>
      </c>
      <c r="AM206">
        <v>90.839693274138895</v>
      </c>
      <c r="AN206">
        <v>1.0000000504716899</v>
      </c>
    </row>
    <row r="207" spans="1:40" x14ac:dyDescent="0.25">
      <c r="A207" t="str">
        <f>"20190303161846862"</f>
        <v>20190303161846862</v>
      </c>
      <c r="B207" t="str">
        <f>"1551601126852905"</f>
        <v>1551601126852905</v>
      </c>
      <c r="C207" t="s">
        <v>40</v>
      </c>
      <c r="D207">
        <v>4.1985799999999998</v>
      </c>
      <c r="E207">
        <v>0.50870219999999999</v>
      </c>
      <c r="F207" t="s">
        <v>46</v>
      </c>
      <c r="G207">
        <v>-192.19720000000001</v>
      </c>
      <c r="H207" s="1">
        <v>-6.8341039999999996E-6</v>
      </c>
      <c r="I207">
        <v>364.63830000000002</v>
      </c>
      <c r="J207">
        <v>-463.7688</v>
      </c>
      <c r="K207">
        <v>1.119632</v>
      </c>
      <c r="L207">
        <v>367.03960000000001</v>
      </c>
      <c r="M207">
        <v>0.9999962</v>
      </c>
      <c r="N207">
        <v>1.224592E-3</v>
      </c>
      <c r="O207">
        <v>-2.5094689999999998E-3</v>
      </c>
      <c r="P207">
        <v>0.98803810000000003</v>
      </c>
      <c r="Q207">
        <v>0.15379079999999901</v>
      </c>
      <c r="R207">
        <v>1.136645E-2</v>
      </c>
      <c r="S207">
        <v>3.0387270000000002</v>
      </c>
      <c r="T207">
        <v>-1.2519239999999999E-2</v>
      </c>
      <c r="U207">
        <v>-2.6855469999999999E-2</v>
      </c>
      <c r="V207">
        <v>-1.3840099999999999E-2</v>
      </c>
      <c r="W207">
        <v>0.15258160000000001</v>
      </c>
      <c r="X207">
        <v>0.98819400000000002</v>
      </c>
      <c r="Y207">
        <v>6.3279909999999998E-3</v>
      </c>
      <c r="Z207" s="1">
        <v>4.2511440000000002E-6</v>
      </c>
      <c r="AA207">
        <v>0.99997999999999998</v>
      </c>
      <c r="AB207">
        <v>18</v>
      </c>
      <c r="AC207">
        <v>271.57159999999999</v>
      </c>
      <c r="AD207">
        <v>-1.119638834104</v>
      </c>
      <c r="AE207">
        <v>-2.4012999999999902</v>
      </c>
      <c r="AF207">
        <v>1.7197622541192801</v>
      </c>
      <c r="AG207">
        <v>-1.119638834104</v>
      </c>
      <c r="AH207">
        <v>271.57215517743902</v>
      </c>
      <c r="AI207">
        <v>90.236213208399207</v>
      </c>
      <c r="AJ207">
        <v>89.637172663222699</v>
      </c>
      <c r="AK207">
        <v>271.579908389867</v>
      </c>
      <c r="AL207">
        <v>81.223436512386996</v>
      </c>
      <c r="AM207">
        <v>90.802400617516895</v>
      </c>
      <c r="AN207">
        <v>1.0000000373312801</v>
      </c>
    </row>
    <row r="208" spans="1:40" x14ac:dyDescent="0.25">
      <c r="A208" t="str">
        <f>"20190303161846886"</f>
        <v>20190303161846886</v>
      </c>
      <c r="B208" t="str">
        <f>"1551601126873400"</f>
        <v>1551601126873400</v>
      </c>
      <c r="C208" t="s">
        <v>40</v>
      </c>
      <c r="D208">
        <v>4.1775739999999999</v>
      </c>
      <c r="E208">
        <v>0.50875669999999995</v>
      </c>
      <c r="F208" t="s">
        <v>41</v>
      </c>
      <c r="G208">
        <v>-238.42619999999999</v>
      </c>
      <c r="H208" s="1">
        <v>-1.7973529999999999E-6</v>
      </c>
      <c r="I208">
        <v>364.82190000000003</v>
      </c>
      <c r="J208">
        <v>-463.57940000000002</v>
      </c>
      <c r="K208">
        <v>1.119637</v>
      </c>
      <c r="L208">
        <v>367.03910000000002</v>
      </c>
      <c r="M208">
        <v>0.9999962</v>
      </c>
      <c r="N208">
        <v>1.1843800000000001E-3</v>
      </c>
      <c r="O208">
        <v>-2.5083729999999999E-3</v>
      </c>
      <c r="P208">
        <v>0.98807940000000005</v>
      </c>
      <c r="Q208">
        <v>0.15355639999999901</v>
      </c>
      <c r="R208">
        <v>1.095055E-2</v>
      </c>
      <c r="S208">
        <v>3.0390009999999998</v>
      </c>
      <c r="T208">
        <v>-1.509953E-2</v>
      </c>
      <c r="U208">
        <v>-2.990723E-2</v>
      </c>
      <c r="V208">
        <v>-1.342349E-2</v>
      </c>
      <c r="W208">
        <v>0.15238650000000001</v>
      </c>
      <c r="X208">
        <v>0.98822980000000005</v>
      </c>
      <c r="Y208">
        <v>7.3323559999999999E-3</v>
      </c>
      <c r="Z208" s="1">
        <v>1.560535E-6</v>
      </c>
      <c r="AA208">
        <v>0.99997309999999995</v>
      </c>
      <c r="AB208">
        <v>18</v>
      </c>
      <c r="AC208">
        <v>225.1532</v>
      </c>
      <c r="AD208">
        <v>-1.119638797353</v>
      </c>
      <c r="AE208">
        <v>-2.2171999999999898</v>
      </c>
      <c r="AF208">
        <v>1.6523835904437301</v>
      </c>
      <c r="AG208">
        <v>-1.119638797353</v>
      </c>
      <c r="AH208">
        <v>225.152486074357</v>
      </c>
      <c r="AI208">
        <v>90.284910562328093</v>
      </c>
      <c r="AJ208">
        <v>89.579516496386503</v>
      </c>
      <c r="AK208">
        <v>225.16133315476199</v>
      </c>
      <c r="AL208">
        <v>81.234746737626395</v>
      </c>
      <c r="AM208">
        <v>90.778221853176206</v>
      </c>
      <c r="AN208">
        <v>0.99999998653703503</v>
      </c>
    </row>
    <row r="209" spans="1:40" x14ac:dyDescent="0.25">
      <c r="A209" t="str">
        <f>"20190303161846908"</f>
        <v>20190303161846908</v>
      </c>
      <c r="B209" t="str">
        <f>"1551601126892920"</f>
        <v>1551601126892920</v>
      </c>
      <c r="C209" t="s">
        <v>40</v>
      </c>
      <c r="D209">
        <v>4.1911709999999998</v>
      </c>
      <c r="E209">
        <v>0.50885049999999998</v>
      </c>
      <c r="F209" t="s">
        <v>41</v>
      </c>
      <c r="G209">
        <v>-217.81120000000001</v>
      </c>
      <c r="H209" s="1">
        <v>-2.1003590000000002E-6</v>
      </c>
      <c r="I209">
        <v>364.46969999999999</v>
      </c>
      <c r="J209">
        <v>-463.3897</v>
      </c>
      <c r="K209">
        <v>1.119645</v>
      </c>
      <c r="L209">
        <v>367.03859999999997</v>
      </c>
      <c r="M209">
        <v>0.99999640000000001</v>
      </c>
      <c r="N209">
        <v>1.1374429999999999E-3</v>
      </c>
      <c r="O209">
        <v>-2.5075119999999999E-3</v>
      </c>
      <c r="P209">
        <v>0.98804769999999997</v>
      </c>
      <c r="Q209">
        <v>0.15376809999999999</v>
      </c>
      <c r="R209">
        <v>1.0836180000000001E-2</v>
      </c>
      <c r="S209">
        <v>3.0386959999999998</v>
      </c>
      <c r="T209">
        <v>-1.3843299999999999E-2</v>
      </c>
      <c r="U209">
        <v>-3.17688E-2</v>
      </c>
      <c r="V209">
        <v>-1.330844E-2</v>
      </c>
      <c r="W209">
        <v>0.15264469999999999</v>
      </c>
      <c r="X209">
        <v>0.9881915</v>
      </c>
      <c r="Y209">
        <v>7.9467449999999999E-3</v>
      </c>
      <c r="Z209" s="1">
        <v>6.9387720000000002E-7</v>
      </c>
      <c r="AA209">
        <v>0.99996839999999998</v>
      </c>
      <c r="AB209">
        <v>19</v>
      </c>
      <c r="AC209">
        <v>245.57849999999999</v>
      </c>
      <c r="AD209">
        <v>-1.1196471003590001</v>
      </c>
      <c r="AE209">
        <v>-2.5688999999999802</v>
      </c>
      <c r="AF209">
        <v>1.95306001437906</v>
      </c>
      <c r="AG209">
        <v>-1.1196471003590001</v>
      </c>
      <c r="AH209">
        <v>245.579065323055</v>
      </c>
      <c r="AI209">
        <v>90.2612135535379</v>
      </c>
      <c r="AJ209">
        <v>89.544343339289895</v>
      </c>
      <c r="AK209">
        <v>245.58938368340401</v>
      </c>
      <c r="AL209">
        <v>81.219777787762098</v>
      </c>
      <c r="AM209">
        <v>90.771582581871499</v>
      </c>
      <c r="AN209">
        <v>0.99999997984278599</v>
      </c>
    </row>
    <row r="210" spans="1:40" x14ac:dyDescent="0.25">
      <c r="A210" t="str">
        <f>"20190303161846930"</f>
        <v>20190303161846930</v>
      </c>
      <c r="B210" t="str">
        <f>"1551601126923176"</f>
        <v>1551601126923176</v>
      </c>
      <c r="C210" t="s">
        <v>40</v>
      </c>
      <c r="D210">
        <v>4.1923209999999997</v>
      </c>
      <c r="E210">
        <v>0.50892360000000003</v>
      </c>
      <c r="F210" t="s">
        <v>41</v>
      </c>
      <c r="G210">
        <v>-212.04079999999999</v>
      </c>
      <c r="H210" s="1">
        <v>-4.3376209999999997E-6</v>
      </c>
      <c r="I210">
        <v>364.31240000000003</v>
      </c>
      <c r="J210">
        <v>-463.20179999999999</v>
      </c>
      <c r="K210">
        <v>1.119653</v>
      </c>
      <c r="L210">
        <v>367.03809999999999</v>
      </c>
      <c r="M210">
        <v>0.99999629999999995</v>
      </c>
      <c r="N210">
        <v>1.0871139999999999E-3</v>
      </c>
      <c r="O210">
        <v>-2.50665E-3</v>
      </c>
      <c r="P210">
        <v>0.98802020000000002</v>
      </c>
      <c r="Q210">
        <v>0.1539662</v>
      </c>
      <c r="R210">
        <v>1.0518919999999999E-2</v>
      </c>
      <c r="S210">
        <v>3.0387569999999999</v>
      </c>
      <c r="T210">
        <v>-1.3536329999999999E-2</v>
      </c>
      <c r="U210">
        <v>-3.2958979999999999E-2</v>
      </c>
      <c r="V210">
        <v>-1.2989880000000001E-2</v>
      </c>
      <c r="W210">
        <v>0.15289259999999999</v>
      </c>
      <c r="X210">
        <v>0.98815750000000002</v>
      </c>
      <c r="Y210">
        <v>8.339005E-3</v>
      </c>
      <c r="Z210" s="1">
        <v>-1.4926079999999999E-7</v>
      </c>
      <c r="AA210">
        <v>0.99996529999999995</v>
      </c>
      <c r="AB210">
        <v>19</v>
      </c>
      <c r="AC210">
        <v>251.16099999999901</v>
      </c>
      <c r="AD210">
        <v>-1.1196573376209999</v>
      </c>
      <c r="AE210">
        <v>-2.7256999999999598</v>
      </c>
      <c r="AF210">
        <v>2.0960767139602701</v>
      </c>
      <c r="AG210">
        <v>-1.1196573376209999</v>
      </c>
      <c r="AH210">
        <v>251.162052534856</v>
      </c>
      <c r="AI210">
        <v>90.255408731135802</v>
      </c>
      <c r="AJ210">
        <v>89.521848304676993</v>
      </c>
      <c r="AK210">
        <v>251.173294367984</v>
      </c>
      <c r="AL210">
        <v>81.205406211107004</v>
      </c>
      <c r="AM210">
        <v>90.7531415121001</v>
      </c>
      <c r="AN210">
        <v>1.00000006446171</v>
      </c>
    </row>
    <row r="211" spans="1:40" x14ac:dyDescent="0.25">
      <c r="A211" t="str">
        <f>"20190303161846951"</f>
        <v>20190303161846951</v>
      </c>
      <c r="B211" t="str">
        <f>"1551601126942697"</f>
        <v>1551601126942697</v>
      </c>
      <c r="C211" t="s">
        <v>40</v>
      </c>
      <c r="D211">
        <v>4.209848</v>
      </c>
      <c r="E211">
        <v>0.50908799999999998</v>
      </c>
      <c r="F211" t="s">
        <v>46</v>
      </c>
      <c r="G211">
        <v>-199.3974</v>
      </c>
      <c r="H211" s="1">
        <v>-9.5002430000000002E-6</v>
      </c>
      <c r="I211">
        <v>364.06029999999998</v>
      </c>
      <c r="J211">
        <v>-463.00889999999998</v>
      </c>
      <c r="K211">
        <v>1.119659</v>
      </c>
      <c r="L211">
        <v>367.0376</v>
      </c>
      <c r="M211">
        <v>0.99999649999999995</v>
      </c>
      <c r="N211">
        <v>1.033974E-3</v>
      </c>
      <c r="O211">
        <v>-2.5060270000000001E-3</v>
      </c>
      <c r="P211">
        <v>0.98796870000000003</v>
      </c>
      <c r="Q211">
        <v>0.15429499999999999</v>
      </c>
      <c r="R211">
        <v>1.055362E-2</v>
      </c>
      <c r="S211">
        <v>3.0387879999999998</v>
      </c>
      <c r="T211">
        <v>-1.2897489999999999E-2</v>
      </c>
      <c r="U211">
        <v>-3.4301760000000001E-2</v>
      </c>
      <c r="V211">
        <v>-1.3023969999999999E-2</v>
      </c>
      <c r="W211">
        <v>0.1532743</v>
      </c>
      <c r="X211">
        <v>0.98809780000000003</v>
      </c>
      <c r="Y211">
        <v>8.7813259999999903E-3</v>
      </c>
      <c r="Z211" s="1">
        <v>-8.6762699999999996E-7</v>
      </c>
      <c r="AA211">
        <v>0.9999614</v>
      </c>
      <c r="AB211">
        <v>19</v>
      </c>
      <c r="AC211">
        <v>263.61149999999998</v>
      </c>
      <c r="AD211">
        <v>-1.119668500243</v>
      </c>
      <c r="AE211">
        <v>-2.9773000000000098</v>
      </c>
      <c r="AF211">
        <v>2.3166310887182102</v>
      </c>
      <c r="AG211">
        <v>-1.119668500243</v>
      </c>
      <c r="AH211">
        <v>263.613378303677</v>
      </c>
      <c r="AI211">
        <v>90.243346590175705</v>
      </c>
      <c r="AJ211">
        <v>89.496498363828906</v>
      </c>
      <c r="AK211">
        <v>263.62593510091</v>
      </c>
      <c r="AL211">
        <v>81.183274535648295</v>
      </c>
      <c r="AM211">
        <v>90.755163409221296</v>
      </c>
      <c r="AN211">
        <v>0.99999994859994401</v>
      </c>
    </row>
    <row r="212" spans="1:40" x14ac:dyDescent="0.25">
      <c r="A212" t="str">
        <f>"20190303161846972"</f>
        <v>20190303161846972</v>
      </c>
      <c r="B212" t="str">
        <f>"1551601126963192"</f>
        <v>1551601126963192</v>
      </c>
      <c r="C212" t="s">
        <v>40</v>
      </c>
      <c r="D212">
        <v>4.1877370000000003</v>
      </c>
      <c r="E212">
        <v>0.50919970000000003</v>
      </c>
      <c r="F212" t="s">
        <v>46</v>
      </c>
      <c r="G212">
        <v>-183.9931</v>
      </c>
      <c r="H212" s="1">
        <v>-7.1617749999999997E-6</v>
      </c>
      <c r="I212">
        <v>363.78160000000003</v>
      </c>
      <c r="J212">
        <v>-462.82170000000002</v>
      </c>
      <c r="K212">
        <v>1.119664</v>
      </c>
      <c r="L212">
        <v>367.03719999999998</v>
      </c>
      <c r="M212">
        <v>0.99999640000000001</v>
      </c>
      <c r="N212">
        <v>9.822912E-4</v>
      </c>
      <c r="O212">
        <v>-2.5052870000000001E-3</v>
      </c>
      <c r="P212">
        <v>0.98791549999999995</v>
      </c>
      <c r="Q212">
        <v>0.15465699999999999</v>
      </c>
      <c r="R212">
        <v>1.0209630000000001E-2</v>
      </c>
      <c r="S212">
        <v>3.038818</v>
      </c>
      <c r="T212">
        <v>-1.219451E-2</v>
      </c>
      <c r="U212">
        <v>-3.5461430000000002E-2</v>
      </c>
      <c r="V212">
        <v>-1.2678719999999999E-2</v>
      </c>
      <c r="W212">
        <v>0.15368709999999999</v>
      </c>
      <c r="X212">
        <v>0.98803819999999998</v>
      </c>
      <c r="Y212">
        <v>9.1635080000000008E-3</v>
      </c>
      <c r="Z212" s="1">
        <v>-1.370789E-6</v>
      </c>
      <c r="AA212">
        <v>0.99995800000000001</v>
      </c>
      <c r="AB212">
        <v>19</v>
      </c>
      <c r="AC212">
        <v>278.82859999999999</v>
      </c>
      <c r="AD212">
        <v>-1.1196711617749999</v>
      </c>
      <c r="AE212">
        <v>-3.2555999999999501</v>
      </c>
      <c r="AF212">
        <v>2.5570025671027299</v>
      </c>
      <c r="AG212">
        <v>-1.1196711617749999</v>
      </c>
      <c r="AH212">
        <v>278.83138557344603</v>
      </c>
      <c r="AI212">
        <v>90.230065169225</v>
      </c>
      <c r="AJ212">
        <v>89.474588026274901</v>
      </c>
      <c r="AK212">
        <v>278.84535769212101</v>
      </c>
      <c r="AL212">
        <v>81.159339519332804</v>
      </c>
      <c r="AM212">
        <v>90.735191490019801</v>
      </c>
      <c r="AN212">
        <v>0.99999997965324305</v>
      </c>
    </row>
    <row r="213" spans="1:40" x14ac:dyDescent="0.25">
      <c r="A213" t="str">
        <f>"20190303161846986"</f>
        <v>20190303161846986</v>
      </c>
      <c r="B213" t="str">
        <f>"1551601126972952"</f>
        <v>1551601126972952</v>
      </c>
      <c r="C213" t="s">
        <v>40</v>
      </c>
      <c r="D213">
        <v>4.1782219999999999</v>
      </c>
      <c r="E213">
        <v>0.50916899999999998</v>
      </c>
      <c r="F213" t="s">
        <v>46</v>
      </c>
      <c r="G213">
        <v>-179.9931</v>
      </c>
      <c r="H213">
        <v>5.6891530000000003E-2</v>
      </c>
      <c r="I213">
        <v>363.54360000000003</v>
      </c>
      <c r="J213">
        <v>-462.70139999999998</v>
      </c>
      <c r="K213">
        <v>1.119667</v>
      </c>
      <c r="L213">
        <v>367.03680000000003</v>
      </c>
      <c r="M213">
        <v>0.99999640000000001</v>
      </c>
      <c r="N213">
        <v>9.4945109999999995E-4</v>
      </c>
      <c r="O213">
        <v>-2.504914E-3</v>
      </c>
      <c r="P213">
        <v>0.98784380000000005</v>
      </c>
      <c r="Q213">
        <v>0.15510450000000001</v>
      </c>
      <c r="R213">
        <v>1.035758E-2</v>
      </c>
      <c r="S213">
        <v>3.0388790000000001</v>
      </c>
      <c r="T213">
        <v>-1.141906E-2</v>
      </c>
      <c r="U213">
        <v>-3.753662E-2</v>
      </c>
      <c r="V213">
        <v>-1.282616E-2</v>
      </c>
      <c r="W213">
        <v>0.1541672</v>
      </c>
      <c r="X213">
        <v>0.98796150000000005</v>
      </c>
      <c r="Y213">
        <v>9.8463969999999998E-3</v>
      </c>
      <c r="Z213" s="1">
        <v>-2.0340119999999998E-6</v>
      </c>
      <c r="AA213">
        <v>0.99995149999999999</v>
      </c>
      <c r="AB213">
        <v>20</v>
      </c>
      <c r="AC213">
        <v>282.70830000000001</v>
      </c>
      <c r="AD213">
        <v>-1.0627754700000001</v>
      </c>
      <c r="AE213">
        <v>-3.4931999999999999</v>
      </c>
      <c r="AF213">
        <v>2.7849893828469301</v>
      </c>
      <c r="AG213">
        <v>-1.0627754700000001</v>
      </c>
      <c r="AH213">
        <v>282.71216852789701</v>
      </c>
      <c r="AI213">
        <v>90.215375617480504</v>
      </c>
      <c r="AJ213">
        <v>89.435599192022096</v>
      </c>
      <c r="AK213">
        <v>282.72788311609497</v>
      </c>
      <c r="AL213">
        <v>81.1315000386696</v>
      </c>
      <c r="AM213">
        <v>90.743797762086203</v>
      </c>
      <c r="AN213">
        <v>0.99999998070921703</v>
      </c>
    </row>
    <row r="214" spans="1:40" x14ac:dyDescent="0.25">
      <c r="A214" t="str">
        <f>"20190303161846999"</f>
        <v>20190303161846999</v>
      </c>
      <c r="B214" t="str">
        <f>"1551601126993448"</f>
        <v>1551601126993448</v>
      </c>
      <c r="C214" t="s">
        <v>40</v>
      </c>
      <c r="D214">
        <v>4.1711510000000001</v>
      </c>
      <c r="E214">
        <v>0.50921490000000003</v>
      </c>
      <c r="F214" t="s">
        <v>43</v>
      </c>
      <c r="G214">
        <v>-158.19499999999999</v>
      </c>
      <c r="H214">
        <v>6.3045019999999993E-2</v>
      </c>
      <c r="I214">
        <v>363.33690000000001</v>
      </c>
      <c r="J214">
        <v>-462.58659999999998</v>
      </c>
      <c r="K214">
        <v>1.119669</v>
      </c>
      <c r="L214">
        <v>367.03649999999999</v>
      </c>
      <c r="M214">
        <v>0.99999649999999995</v>
      </c>
      <c r="N214">
        <v>9.1873780000000004E-4</v>
      </c>
      <c r="O214">
        <v>-2.5045419999999998E-3</v>
      </c>
      <c r="P214">
        <v>0.987788</v>
      </c>
      <c r="Q214">
        <v>0.15546399999999999</v>
      </c>
      <c r="R214">
        <v>1.0298E-2</v>
      </c>
      <c r="S214">
        <v>3.0390009999999998</v>
      </c>
      <c r="T214">
        <v>-1.05443E-2</v>
      </c>
      <c r="U214">
        <v>-3.6926269999999997E-2</v>
      </c>
      <c r="V214">
        <v>-1.276601E-2</v>
      </c>
      <c r="W214">
        <v>0.15455729999999901</v>
      </c>
      <c r="X214">
        <v>0.98790129999999998</v>
      </c>
      <c r="Y214">
        <v>9.6454799999999997E-3</v>
      </c>
      <c r="Z214" s="1">
        <v>-1.3111330000000001E-6</v>
      </c>
      <c r="AA214">
        <v>0.99995350000000005</v>
      </c>
      <c r="AB214">
        <v>20</v>
      </c>
      <c r="AC214">
        <v>304.39159999999998</v>
      </c>
      <c r="AD214">
        <v>-1.0566239799999999</v>
      </c>
      <c r="AE214">
        <v>-3.69959999999997</v>
      </c>
      <c r="AF214">
        <v>2.9371911858190498</v>
      </c>
      <c r="AG214">
        <v>-1.0566239799999999</v>
      </c>
      <c r="AH214">
        <v>304.39624378520102</v>
      </c>
      <c r="AI214">
        <v>90.198875756593907</v>
      </c>
      <c r="AJ214">
        <v>89.447156660750693</v>
      </c>
      <c r="AK214">
        <v>304.41224807296499</v>
      </c>
      <c r="AL214">
        <v>81.108877574706</v>
      </c>
      <c r="AM214">
        <v>90.740355119152497</v>
      </c>
      <c r="AN214">
        <v>0.99999995426814903</v>
      </c>
    </row>
    <row r="215" spans="1:40" x14ac:dyDescent="0.25">
      <c r="A215" t="str">
        <f>"20190303161847018"</f>
        <v>20190303161847018</v>
      </c>
      <c r="B215" t="str">
        <f>"1551601127012968"</f>
        <v>1551601127012968</v>
      </c>
      <c r="C215" t="s">
        <v>40</v>
      </c>
      <c r="D215">
        <v>4.2103979999999996</v>
      </c>
      <c r="E215">
        <v>0.50923529999999995</v>
      </c>
      <c r="F215" t="s">
        <v>43</v>
      </c>
      <c r="G215">
        <v>-158.19499999999999</v>
      </c>
      <c r="H215">
        <v>0.28672550000000002</v>
      </c>
      <c r="I215">
        <v>363.26740000000001</v>
      </c>
      <c r="J215">
        <v>-462.4169</v>
      </c>
      <c r="K215">
        <v>1.119667</v>
      </c>
      <c r="L215">
        <v>367.03609999999998</v>
      </c>
      <c r="M215">
        <v>0.99999649999999995</v>
      </c>
      <c r="N215">
        <v>8.743736E-4</v>
      </c>
      <c r="O215">
        <v>-2.5036889999999999E-3</v>
      </c>
      <c r="P215">
        <v>0.98769640000000003</v>
      </c>
      <c r="Q215">
        <v>0.1560481</v>
      </c>
      <c r="R215">
        <v>1.025034E-2</v>
      </c>
      <c r="S215">
        <v>3.038818</v>
      </c>
      <c r="T215">
        <v>-8.3146100000000001E-3</v>
      </c>
      <c r="U215">
        <v>-3.7628170000000002E-2</v>
      </c>
      <c r="V215">
        <v>-1.2717640000000001E-2</v>
      </c>
      <c r="W215">
        <v>0.15518479999999901</v>
      </c>
      <c r="X215">
        <v>0.9878036</v>
      </c>
      <c r="Y215">
        <v>9.8780080000000006E-3</v>
      </c>
      <c r="Z215" s="1">
        <v>-1.55323499999999E-7</v>
      </c>
      <c r="AA215">
        <v>0.99995120000000004</v>
      </c>
      <c r="AB215">
        <v>20</v>
      </c>
      <c r="AC215">
        <v>304.22190000000001</v>
      </c>
      <c r="AD215">
        <v>-0.8329415</v>
      </c>
      <c r="AE215">
        <v>-3.76869999999996</v>
      </c>
      <c r="AF215">
        <v>3.0069883469343002</v>
      </c>
      <c r="AG215">
        <v>-0.8329415</v>
      </c>
      <c r="AH215">
        <v>304.228101911865</v>
      </c>
      <c r="AI215">
        <v>90.156861190712206</v>
      </c>
      <c r="AJ215">
        <v>89.433707372471005</v>
      </c>
      <c r="AK215">
        <v>304.24410226552902</v>
      </c>
      <c r="AL215">
        <v>81.072485856546706</v>
      </c>
      <c r="AM215">
        <v>90.737623188269396</v>
      </c>
      <c r="AN215">
        <v>1.0000000063455801</v>
      </c>
    </row>
    <row r="216" spans="1:40" x14ac:dyDescent="0.25">
      <c r="A216" t="str">
        <f>"20190303161847032"</f>
        <v>20190303161847032</v>
      </c>
      <c r="B216" t="str">
        <f>"1551601127022728"</f>
        <v>1551601127022728</v>
      </c>
      <c r="C216" t="s">
        <v>40</v>
      </c>
      <c r="D216">
        <v>4.1661469999999996</v>
      </c>
      <c r="E216">
        <v>0.50917299999999999</v>
      </c>
      <c r="F216" t="s">
        <v>43</v>
      </c>
      <c r="G216">
        <v>-158.19499999999999</v>
      </c>
      <c r="H216">
        <v>0.50345419999999996</v>
      </c>
      <c r="I216">
        <v>363.32400000000001</v>
      </c>
      <c r="J216">
        <v>-462.29750000000001</v>
      </c>
      <c r="K216">
        <v>1.1196699999999999</v>
      </c>
      <c r="L216">
        <v>367.03579999999999</v>
      </c>
      <c r="M216">
        <v>0.99999660000000001</v>
      </c>
      <c r="N216">
        <v>8.438171E-4</v>
      </c>
      <c r="O216">
        <v>-2.5033189999999999E-3</v>
      </c>
      <c r="P216">
        <v>0.98769370000000001</v>
      </c>
      <c r="Q216">
        <v>0.15606729999999899</v>
      </c>
      <c r="R216">
        <v>1.022412E-2</v>
      </c>
      <c r="S216">
        <v>3.0387270000000002</v>
      </c>
      <c r="T216">
        <v>-6.1541800000000004E-3</v>
      </c>
      <c r="U216">
        <v>-3.7078859999999998E-2</v>
      </c>
      <c r="V216">
        <v>-1.269116E-2</v>
      </c>
      <c r="W216">
        <v>0.15523419999999999</v>
      </c>
      <c r="X216">
        <v>0.98779620000000001</v>
      </c>
      <c r="Y216">
        <v>9.6980230000000001E-3</v>
      </c>
      <c r="Z216" s="1">
        <v>1.4536520000000001E-6</v>
      </c>
      <c r="AA216">
        <v>0.99995299999999998</v>
      </c>
      <c r="AB216">
        <v>20</v>
      </c>
      <c r="AC216">
        <v>304.10250000000002</v>
      </c>
      <c r="AD216">
        <v>-0.61621579999999998</v>
      </c>
      <c r="AE216">
        <v>-3.7117999999999798</v>
      </c>
      <c r="AF216">
        <v>2.95051048738177</v>
      </c>
      <c r="AG216">
        <v>-0.61621579999999998</v>
      </c>
      <c r="AH216">
        <v>304.10959046732802</v>
      </c>
      <c r="AI216">
        <v>90.116092539637705</v>
      </c>
      <c r="AJ216">
        <v>89.4441263952898</v>
      </c>
      <c r="AK216">
        <v>304.12452753478198</v>
      </c>
      <c r="AL216">
        <v>81.069620915202194</v>
      </c>
      <c r="AM216">
        <v>90.736093031027707</v>
      </c>
      <c r="AN216">
        <v>1.00000002756311</v>
      </c>
    </row>
    <row r="217" spans="1:40" x14ac:dyDescent="0.25">
      <c r="A217" t="str">
        <f>"20190303161847045"</f>
        <v>20190303161847045</v>
      </c>
      <c r="B217" t="str">
        <f>"1551601127033465"</f>
        <v>1551601127033465</v>
      </c>
      <c r="C217" t="s">
        <v>40</v>
      </c>
      <c r="D217">
        <v>4.1714349999999998</v>
      </c>
      <c r="E217">
        <v>0.50916300000000003</v>
      </c>
      <c r="F217" t="s">
        <v>43</v>
      </c>
      <c r="G217">
        <v>-158.19499999999999</v>
      </c>
      <c r="H217">
        <v>0.51146459999999905</v>
      </c>
      <c r="I217">
        <v>363.36790000000002</v>
      </c>
      <c r="J217">
        <v>-462.16809999999998</v>
      </c>
      <c r="K217">
        <v>1.1196729999999999</v>
      </c>
      <c r="L217">
        <v>367.03550000000001</v>
      </c>
      <c r="M217">
        <v>0.99999649999999995</v>
      </c>
      <c r="N217">
        <v>8.1115009999999999E-4</v>
      </c>
      <c r="O217">
        <v>-2.5030669999999999E-3</v>
      </c>
      <c r="P217">
        <v>0.98766949999999998</v>
      </c>
      <c r="Q217">
        <v>0.15624440000000001</v>
      </c>
      <c r="R217">
        <v>9.8193180000000005E-3</v>
      </c>
      <c r="S217">
        <v>3.0387270000000002</v>
      </c>
      <c r="T217">
        <v>-6.0765740000000004E-3</v>
      </c>
      <c r="U217">
        <v>-3.6651610000000001E-2</v>
      </c>
      <c r="V217">
        <v>-1.228567E-2</v>
      </c>
      <c r="W217">
        <v>0.15544379999999999</v>
      </c>
      <c r="X217">
        <v>0.98776839999999999</v>
      </c>
      <c r="Y217">
        <v>9.5577019999999995E-3</v>
      </c>
      <c r="Z217" s="1">
        <v>1.356045E-6</v>
      </c>
      <c r="AA217">
        <v>0.99995429999999996</v>
      </c>
      <c r="AB217">
        <v>20</v>
      </c>
      <c r="AC217">
        <v>303.97309999999999</v>
      </c>
      <c r="AD217">
        <v>-0.60820839999999998</v>
      </c>
      <c r="AE217">
        <v>-3.66759999999999</v>
      </c>
      <c r="AF217">
        <v>2.9067115604212801</v>
      </c>
      <c r="AG217">
        <v>-0.60820839999999998</v>
      </c>
      <c r="AH217">
        <v>303.980111209271</v>
      </c>
      <c r="AI217">
        <v>90.114632943263402</v>
      </c>
      <c r="AJ217">
        <v>89.452144325016405</v>
      </c>
      <c r="AK217">
        <v>303.99461656475802</v>
      </c>
      <c r="AL217">
        <v>81.057464465450494</v>
      </c>
      <c r="AM217">
        <v>90.712596945239994</v>
      </c>
      <c r="AN217">
        <v>1.0000000623421701</v>
      </c>
    </row>
    <row r="218" spans="1:40" x14ac:dyDescent="0.25">
      <c r="A218" t="str">
        <f>"20190303161847064"</f>
        <v>20190303161847064</v>
      </c>
      <c r="B218" t="str">
        <f>"1551601127052984"</f>
        <v>1551601127052984</v>
      </c>
      <c r="C218" t="s">
        <v>40</v>
      </c>
      <c r="D218">
        <v>4.1753879999999999</v>
      </c>
      <c r="E218">
        <v>0.50913589999999997</v>
      </c>
      <c r="F218" t="s">
        <v>43</v>
      </c>
      <c r="G218">
        <v>-158.19499999999999</v>
      </c>
      <c r="H218">
        <v>0.58599619999999997</v>
      </c>
      <c r="I218">
        <v>363.25</v>
      </c>
      <c r="J218">
        <v>-461.99419999999998</v>
      </c>
      <c r="K218">
        <v>1.1196740000000001</v>
      </c>
      <c r="L218">
        <v>367.03500000000003</v>
      </c>
      <c r="M218">
        <v>0.99999680000000002</v>
      </c>
      <c r="N218">
        <v>7.6817050000000005E-4</v>
      </c>
      <c r="O218">
        <v>-2.5024549999999998E-3</v>
      </c>
      <c r="P218">
        <v>0.9876895</v>
      </c>
      <c r="Q218">
        <v>0.15612719999999999</v>
      </c>
      <c r="R218">
        <v>9.6989469999999994E-3</v>
      </c>
      <c r="S218">
        <v>3.0386660000000001</v>
      </c>
      <c r="T218">
        <v>-5.3340200000000001E-3</v>
      </c>
      <c r="U218">
        <v>-3.7841800000000002E-2</v>
      </c>
      <c r="V218">
        <v>-1.216477E-2</v>
      </c>
      <c r="W218">
        <v>0.15536889999999901</v>
      </c>
      <c r="X218">
        <v>0.98778160000000004</v>
      </c>
      <c r="Y218">
        <v>9.9501590000000001E-3</v>
      </c>
      <c r="Z218" s="1">
        <v>1.4038509999999999E-6</v>
      </c>
      <c r="AA218">
        <v>0.99995049999999996</v>
      </c>
      <c r="AB218">
        <v>20</v>
      </c>
      <c r="AC218">
        <v>303.79919999999998</v>
      </c>
      <c r="AD218">
        <v>-0.53367779999999998</v>
      </c>
      <c r="AE218">
        <v>-3.7850000000000201</v>
      </c>
      <c r="AF218">
        <v>3.0247349365817602</v>
      </c>
      <c r="AG218">
        <v>-0.53367779999999998</v>
      </c>
      <c r="AH218">
        <v>303.80678317452202</v>
      </c>
      <c r="AI218">
        <v>90.100642712521307</v>
      </c>
      <c r="AJ218">
        <v>89.429575540359593</v>
      </c>
      <c r="AK218">
        <v>303.82230881928598</v>
      </c>
      <c r="AL218">
        <v>81.061807983844901</v>
      </c>
      <c r="AM218">
        <v>90.705575753363604</v>
      </c>
      <c r="AN218">
        <v>0.99999998300746096</v>
      </c>
    </row>
    <row r="219" spans="1:40" x14ac:dyDescent="0.25">
      <c r="A219" t="str">
        <f>"20190303161847087"</f>
        <v>20190303161847087</v>
      </c>
      <c r="B219" t="str">
        <f>"1551601127073480"</f>
        <v>1551601127073480</v>
      </c>
      <c r="C219" t="s">
        <v>40</v>
      </c>
      <c r="D219">
        <v>4.1461169999999896</v>
      </c>
      <c r="E219">
        <v>0.50922199999999995</v>
      </c>
      <c r="F219" t="s">
        <v>43</v>
      </c>
      <c r="G219">
        <v>-158.19499999999999</v>
      </c>
      <c r="H219">
        <v>0.63240669999999899</v>
      </c>
      <c r="I219">
        <v>363.24239999999998</v>
      </c>
      <c r="J219">
        <v>-461.79410000000001</v>
      </c>
      <c r="K219">
        <v>1.1196729999999999</v>
      </c>
      <c r="L219">
        <v>367.03449999999998</v>
      </c>
      <c r="M219">
        <v>0.99999669999999896</v>
      </c>
      <c r="N219">
        <v>7.1994899999999903E-4</v>
      </c>
      <c r="O219">
        <v>-2.5018420000000002E-3</v>
      </c>
      <c r="P219">
        <v>0.98780049999999997</v>
      </c>
      <c r="Q219">
        <v>0.15547369999999999</v>
      </c>
      <c r="R219">
        <v>8.832187E-3</v>
      </c>
      <c r="S219">
        <v>3.0385439999999999</v>
      </c>
      <c r="T219">
        <v>-4.8726799999999999E-3</v>
      </c>
      <c r="U219">
        <v>-3.7933349999999998E-2</v>
      </c>
      <c r="V219">
        <v>-1.129778E-2</v>
      </c>
      <c r="W219">
        <v>0.15476309999999999</v>
      </c>
      <c r="X219">
        <v>0.98788699999999996</v>
      </c>
      <c r="Y219">
        <v>9.981396E-3</v>
      </c>
      <c r="Z219" s="1">
        <v>1.4032759999999999E-6</v>
      </c>
      <c r="AA219">
        <v>0.99995020000000001</v>
      </c>
      <c r="AB219">
        <v>20</v>
      </c>
      <c r="AC219">
        <v>303.59910000000002</v>
      </c>
      <c r="AD219">
        <v>-0.48726629999999899</v>
      </c>
      <c r="AE219">
        <v>-3.7921</v>
      </c>
      <c r="AF219">
        <v>3.03252321292603</v>
      </c>
      <c r="AG219">
        <v>-0.48726629999999899</v>
      </c>
      <c r="AH219">
        <v>303.60685514514199</v>
      </c>
      <c r="AI219">
        <v>90.091950776131199</v>
      </c>
      <c r="AJ219">
        <v>89.427730301199304</v>
      </c>
      <c r="AK219">
        <v>303.62239067072602</v>
      </c>
      <c r="AL219">
        <v>81.096942824988304</v>
      </c>
      <c r="AM219">
        <v>90.655223617160601</v>
      </c>
      <c r="AN219">
        <v>0.99999999086176905</v>
      </c>
    </row>
    <row r="220" spans="1:40" x14ac:dyDescent="0.25">
      <c r="A220" t="str">
        <f>"20190303161847108"</f>
        <v>20190303161847108</v>
      </c>
      <c r="B220" t="str">
        <f>"1551601127102760"</f>
        <v>1551601127102760</v>
      </c>
      <c r="C220" t="s">
        <v>40</v>
      </c>
      <c r="D220">
        <v>4.1485919999999998</v>
      </c>
      <c r="E220">
        <v>0.5175632</v>
      </c>
      <c r="F220" t="s">
        <v>43</v>
      </c>
      <c r="G220">
        <v>-158.19499999999999</v>
      </c>
      <c r="H220">
        <v>0.51655289999999998</v>
      </c>
      <c r="I220">
        <v>362.89659999999998</v>
      </c>
      <c r="J220">
        <v>-461.58800000000002</v>
      </c>
      <c r="K220">
        <v>1.119667</v>
      </c>
      <c r="L220">
        <v>367.03410000000002</v>
      </c>
      <c r="M220">
        <v>0.99999680000000002</v>
      </c>
      <c r="N220">
        <v>6.7137570000000001E-4</v>
      </c>
      <c r="O220">
        <v>-2.5011109999999999E-3</v>
      </c>
      <c r="P220">
        <v>0.9879481</v>
      </c>
      <c r="Q220">
        <v>0.1545812</v>
      </c>
      <c r="R220">
        <v>7.9831160000000002E-3</v>
      </c>
      <c r="S220">
        <v>3.0383909999999998</v>
      </c>
      <c r="T220">
        <v>-6.0350890000000004E-3</v>
      </c>
      <c r="U220">
        <v>-4.1412350000000001E-2</v>
      </c>
      <c r="V220">
        <v>-1.0447959999999999E-2</v>
      </c>
      <c r="W220">
        <v>0.15391840000000001</v>
      </c>
      <c r="X220">
        <v>0.98802829999999997</v>
      </c>
      <c r="Y220">
        <v>1.112751E-2</v>
      </c>
      <c r="Z220" s="1">
        <v>-6.6833669999999996E-7</v>
      </c>
      <c r="AA220">
        <v>0.99993810000000005</v>
      </c>
      <c r="AB220">
        <v>21</v>
      </c>
      <c r="AC220">
        <v>303.39299999999997</v>
      </c>
      <c r="AD220">
        <v>-0.60311409999999899</v>
      </c>
      <c r="AE220">
        <v>-4.1375000000000401</v>
      </c>
      <c r="AF220">
        <v>3.3786540853093698</v>
      </c>
      <c r="AG220">
        <v>-0.60311409999999899</v>
      </c>
      <c r="AH220">
        <v>303.40120066159602</v>
      </c>
      <c r="AI220">
        <v>90.1138878306744</v>
      </c>
      <c r="AJ220">
        <v>89.361984666815403</v>
      </c>
      <c r="AK220">
        <v>303.42061171407499</v>
      </c>
      <c r="AL220">
        <v>81.145927404579197</v>
      </c>
      <c r="AM220">
        <v>90.605854813128502</v>
      </c>
      <c r="AN220">
        <v>0.999999977663805</v>
      </c>
    </row>
    <row r="221" spans="1:40" x14ac:dyDescent="0.25">
      <c r="A221" t="str">
        <f>"20190303161847122"</f>
        <v>20190303161847122</v>
      </c>
      <c r="B221" t="str">
        <f>"1551601127113496"</f>
        <v>1551601127113496</v>
      </c>
      <c r="C221" t="s">
        <v>40</v>
      </c>
      <c r="D221">
        <v>4.1306820000000002</v>
      </c>
      <c r="E221">
        <v>0.51750490000000005</v>
      </c>
      <c r="F221" t="s">
        <v>43</v>
      </c>
      <c r="G221">
        <v>-169.2955</v>
      </c>
      <c r="H221">
        <v>1.4551510000000001</v>
      </c>
      <c r="I221">
        <v>356.4074</v>
      </c>
      <c r="J221">
        <v>-461.45370000000003</v>
      </c>
      <c r="K221">
        <v>1.1196660000000001</v>
      </c>
      <c r="L221">
        <v>367.03370000000001</v>
      </c>
      <c r="M221">
        <v>0.99999680000000002</v>
      </c>
      <c r="N221">
        <v>6.4016819999999995E-4</v>
      </c>
      <c r="O221">
        <v>-2.5006239999999999E-3</v>
      </c>
      <c r="P221">
        <v>0.98803450000000004</v>
      </c>
      <c r="Q221">
        <v>0.1540426</v>
      </c>
      <c r="R221">
        <v>7.6673039999999998E-3</v>
      </c>
      <c r="S221">
        <v>3.0369570000000001</v>
      </c>
      <c r="T221">
        <v>3.4866329999999998E-3</v>
      </c>
      <c r="U221">
        <v>-0.1104126</v>
      </c>
      <c r="V221">
        <v>-1.0132179999999999E-2</v>
      </c>
      <c r="W221">
        <v>0.15341050000000001</v>
      </c>
      <c r="X221">
        <v>0.98811059999999995</v>
      </c>
      <c r="Y221">
        <v>3.3833200000000001E-2</v>
      </c>
      <c r="Z221" s="1">
        <v>2.897845E-5</v>
      </c>
      <c r="AA221">
        <v>0.99942750000000002</v>
      </c>
      <c r="AB221">
        <v>21</v>
      </c>
      <c r="AC221">
        <v>292.15820000000002</v>
      </c>
      <c r="AD221">
        <v>0.33548499999999998</v>
      </c>
      <c r="AE221">
        <v>-10.626300000000001</v>
      </c>
      <c r="AF221">
        <v>9.8956758847013706</v>
      </c>
      <c r="AG221">
        <v>0.33548499999999998</v>
      </c>
      <c r="AH221">
        <v>292.183474169551</v>
      </c>
      <c r="AI221">
        <v>89.9342507254038</v>
      </c>
      <c r="AJ221">
        <v>88.060246799768393</v>
      </c>
      <c r="AK221">
        <v>292.35119211179699</v>
      </c>
      <c r="AL221">
        <v>81.175377911224899</v>
      </c>
      <c r="AM221">
        <v>90.5874957779196</v>
      </c>
      <c r="AN221">
        <v>1.0000000002070799</v>
      </c>
    </row>
    <row r="222" spans="1:40" x14ac:dyDescent="0.25">
      <c r="A222" t="str">
        <f>"20190303161847140"</f>
        <v>20190303161847140</v>
      </c>
      <c r="B222" t="str">
        <f>"1551601127133016"</f>
        <v>1551601127133016</v>
      </c>
      <c r="C222" t="s">
        <v>40</v>
      </c>
      <c r="D222">
        <v>4.1168319999999996</v>
      </c>
      <c r="E222">
        <v>0.5177484</v>
      </c>
      <c r="F222" t="s">
        <v>43</v>
      </c>
      <c r="G222">
        <v>-169.2955</v>
      </c>
      <c r="H222">
        <v>1.3843780000000001</v>
      </c>
      <c r="I222">
        <v>356.39370000000002</v>
      </c>
      <c r="J222">
        <v>-461.27510000000001</v>
      </c>
      <c r="K222">
        <v>1.119656</v>
      </c>
      <c r="L222">
        <v>367.03320000000002</v>
      </c>
      <c r="M222">
        <v>0.99999680000000002</v>
      </c>
      <c r="N222">
        <v>5.9894150000000003E-4</v>
      </c>
      <c r="O222">
        <v>-2.4998970000000001E-3</v>
      </c>
      <c r="P222">
        <v>0.98817820000000001</v>
      </c>
      <c r="Q222">
        <v>0.1531286</v>
      </c>
      <c r="R222">
        <v>7.4736409999999996E-3</v>
      </c>
      <c r="S222">
        <v>3.0368040000000001</v>
      </c>
      <c r="T222">
        <v>2.7524229999999999E-3</v>
      </c>
      <c r="U222">
        <v>-0.11059570000000001</v>
      </c>
      <c r="V222">
        <v>-9.9384729999999998E-3</v>
      </c>
      <c r="W222">
        <v>0.15253729999999999</v>
      </c>
      <c r="X222">
        <v>0.98824780000000001</v>
      </c>
      <c r="Y222">
        <v>3.3895950000000001E-2</v>
      </c>
      <c r="Z222" s="1">
        <v>2.4741800000000001E-5</v>
      </c>
      <c r="AA222">
        <v>0.99942540000000002</v>
      </c>
      <c r="AB222">
        <v>21</v>
      </c>
      <c r="AC222">
        <v>291.9796</v>
      </c>
      <c r="AD222">
        <v>0.26472200000000001</v>
      </c>
      <c r="AE222">
        <v>-10.6394999999999</v>
      </c>
      <c r="AF222">
        <v>9.9095396383152092</v>
      </c>
      <c r="AG222">
        <v>0.26472200000000001</v>
      </c>
      <c r="AH222">
        <v>292.00504558185997</v>
      </c>
      <c r="AI222">
        <v>89.948087462706098</v>
      </c>
      <c r="AJ222">
        <v>88.056345275165896</v>
      </c>
      <c r="AK222">
        <v>292.17326314850402</v>
      </c>
      <c r="AL222">
        <v>81.226004958556899</v>
      </c>
      <c r="AM222">
        <v>90.576184801097298</v>
      </c>
      <c r="AN222">
        <v>1.0000000576708401</v>
      </c>
    </row>
    <row r="223" spans="1:40" x14ac:dyDescent="0.25">
      <c r="A223" t="str">
        <f>"20190303161847154"</f>
        <v>20190303161847154</v>
      </c>
      <c r="B223" t="str">
        <f>"1551601127142776"</f>
        <v>1551601127142776</v>
      </c>
      <c r="C223" t="s">
        <v>40</v>
      </c>
      <c r="D223">
        <v>4.1543460000000003</v>
      </c>
      <c r="E223">
        <v>0.51779279999999905</v>
      </c>
      <c r="F223" t="s">
        <v>43</v>
      </c>
      <c r="G223">
        <v>-169.2955</v>
      </c>
      <c r="H223">
        <v>0.85973929999999998</v>
      </c>
      <c r="I223">
        <v>356.14280000000002</v>
      </c>
      <c r="J223">
        <v>-461.14370000000002</v>
      </c>
      <c r="K223">
        <v>1.119658</v>
      </c>
      <c r="L223">
        <v>367.03289999999998</v>
      </c>
      <c r="M223">
        <v>0.99999669999999896</v>
      </c>
      <c r="N223">
        <v>5.6885279999999996E-4</v>
      </c>
      <c r="O223">
        <v>-2.4982200000000002E-3</v>
      </c>
      <c r="P223">
        <v>0.98826939999999996</v>
      </c>
      <c r="Q223">
        <v>0.15253549999999999</v>
      </c>
      <c r="R223">
        <v>7.5146429999999997E-3</v>
      </c>
      <c r="S223">
        <v>3.03714</v>
      </c>
      <c r="T223">
        <v>-2.7027129999999998E-3</v>
      </c>
      <c r="U223">
        <v>-0.1132813</v>
      </c>
      <c r="V223">
        <v>-9.9779880000000001E-3</v>
      </c>
      <c r="W223">
        <v>0.1519741</v>
      </c>
      <c r="X223">
        <v>0.98833409999999999</v>
      </c>
      <c r="Y223">
        <v>3.4776139999999997E-2</v>
      </c>
      <c r="Z223" s="1">
        <v>-1.9303750000000001E-6</v>
      </c>
      <c r="AA223">
        <v>0.99939509999999998</v>
      </c>
      <c r="AB223">
        <v>21</v>
      </c>
      <c r="AC223">
        <v>291.84820000000002</v>
      </c>
      <c r="AD223">
        <v>-0.2599187</v>
      </c>
      <c r="AE223">
        <v>-10.890099999999901</v>
      </c>
      <c r="AF223">
        <v>10.160956827717101</v>
      </c>
      <c r="AG223">
        <v>-0.2599187</v>
      </c>
      <c r="AH223">
        <v>291.87426396017599</v>
      </c>
      <c r="AI223">
        <v>90.050991904558202</v>
      </c>
      <c r="AJ223">
        <v>88.006179380577706</v>
      </c>
      <c r="AK223">
        <v>292.05119168337598</v>
      </c>
      <c r="AL223">
        <v>81.258654004036998</v>
      </c>
      <c r="AM223">
        <v>90.578425026852599</v>
      </c>
      <c r="AN223">
        <v>0.99999999026907405</v>
      </c>
    </row>
    <row r="224" spans="1:40" x14ac:dyDescent="0.25">
      <c r="A224" t="str">
        <f>"20190303161847174"</f>
        <v>20190303161847174</v>
      </c>
      <c r="B224" t="str">
        <f>"1551601127163276"</f>
        <v>1551601127163276</v>
      </c>
      <c r="C224" t="s">
        <v>40</v>
      </c>
      <c r="D224">
        <v>4.1469319999999996</v>
      </c>
      <c r="E224">
        <v>0.51778690000000005</v>
      </c>
      <c r="F224" t="s">
        <v>43</v>
      </c>
      <c r="G224">
        <v>-169.2955</v>
      </c>
      <c r="H224">
        <v>0.64629939999999997</v>
      </c>
      <c r="I224">
        <v>356.12150000000003</v>
      </c>
      <c r="J224">
        <v>-460.95530000000002</v>
      </c>
      <c r="K224">
        <v>1.1196539999999999</v>
      </c>
      <c r="L224">
        <v>367.0324</v>
      </c>
      <c r="M224">
        <v>0.99999669999999896</v>
      </c>
      <c r="N224">
        <v>5.2593759999999996E-4</v>
      </c>
      <c r="O224">
        <v>-2.4924890000000001E-3</v>
      </c>
      <c r="P224">
        <v>0.98849670000000001</v>
      </c>
      <c r="Q224">
        <v>0.15104509999999999</v>
      </c>
      <c r="R224">
        <v>7.7248869999999997E-3</v>
      </c>
      <c r="S224">
        <v>3.0372919999999999</v>
      </c>
      <c r="T224">
        <v>-4.9253700000000001E-3</v>
      </c>
      <c r="U224">
        <v>-0.1135559</v>
      </c>
      <c r="V224">
        <v>-1.018433E-2</v>
      </c>
      <c r="W224">
        <v>0.15052570000000001</v>
      </c>
      <c r="X224">
        <v>0.98855360000000003</v>
      </c>
      <c r="Y224">
        <v>3.4870230000000002E-2</v>
      </c>
      <c r="Z224" s="1">
        <v>-1.3739569999999999E-5</v>
      </c>
      <c r="AA224">
        <v>0.9993919</v>
      </c>
      <c r="AB224">
        <v>21</v>
      </c>
      <c r="AC224">
        <v>291.65980000000002</v>
      </c>
      <c r="AD224">
        <v>-0.47335460000000001</v>
      </c>
      <c r="AE224">
        <v>-10.9108999999999</v>
      </c>
      <c r="AF224">
        <v>10.1838803367399</v>
      </c>
      <c r="AG224">
        <v>-0.47335460000000001</v>
      </c>
      <c r="AH224">
        <v>291.68532210029002</v>
      </c>
      <c r="AI224">
        <v>90.092924394635602</v>
      </c>
      <c r="AJ224">
        <v>88.000391510817707</v>
      </c>
      <c r="AK224">
        <v>291.86343144018701</v>
      </c>
      <c r="AL224">
        <v>81.342606819372406</v>
      </c>
      <c r="AM224">
        <v>90.590254775532998</v>
      </c>
      <c r="AN224">
        <v>0.99999996350549802</v>
      </c>
    </row>
    <row r="225" spans="1:40" x14ac:dyDescent="0.25">
      <c r="A225" t="str">
        <f>"20190303161847197"</f>
        <v>20190303161847197</v>
      </c>
      <c r="B225" t="str">
        <f>"1551601127182793"</f>
        <v>1551601127182793</v>
      </c>
      <c r="C225" t="s">
        <v>40</v>
      </c>
      <c r="D225">
        <v>4.1601319999999999</v>
      </c>
      <c r="E225">
        <v>0.51757259999999905</v>
      </c>
      <c r="F225" t="s">
        <v>43</v>
      </c>
      <c r="G225">
        <v>-169.2955</v>
      </c>
      <c r="H225">
        <v>0.24118609999999999</v>
      </c>
      <c r="I225">
        <v>356.17450000000002</v>
      </c>
      <c r="J225">
        <v>-460.73180000000002</v>
      </c>
      <c r="K225">
        <v>1.119659</v>
      </c>
      <c r="L225">
        <v>367.03190000000001</v>
      </c>
      <c r="M225">
        <v>0.99999700000000002</v>
      </c>
      <c r="N225">
        <v>4.7534619999999999E-4</v>
      </c>
      <c r="O225">
        <v>-2.4775790000000002E-3</v>
      </c>
      <c r="P225">
        <v>0.98863800000000002</v>
      </c>
      <c r="Q225">
        <v>0.1501017</v>
      </c>
      <c r="R225">
        <v>8.0432960000000001E-3</v>
      </c>
      <c r="S225">
        <v>3.0371700000000001</v>
      </c>
      <c r="T225">
        <v>-9.1469289999999998E-3</v>
      </c>
      <c r="U225">
        <v>-0.1130676</v>
      </c>
      <c r="V225">
        <v>-1.048981E-2</v>
      </c>
      <c r="W225">
        <v>0.14963189999999901</v>
      </c>
      <c r="X225">
        <v>0.98868610000000001</v>
      </c>
      <c r="Y225">
        <v>3.4726090000000001E-2</v>
      </c>
      <c r="Z225" s="1">
        <v>-3.538082E-5</v>
      </c>
      <c r="AA225">
        <v>0.99939690000000003</v>
      </c>
      <c r="AB225">
        <v>22</v>
      </c>
      <c r="AC225">
        <v>291.43630000000002</v>
      </c>
      <c r="AD225">
        <v>-0.878472899999999</v>
      </c>
      <c r="AE225">
        <v>-10.857399999999901</v>
      </c>
      <c r="AF225">
        <v>10.1352183094212</v>
      </c>
      <c r="AG225">
        <v>-0.878472899999999</v>
      </c>
      <c r="AH225">
        <v>291.45966107508599</v>
      </c>
      <c r="AI225">
        <v>90.172587289942598</v>
      </c>
      <c r="AJ225">
        <v>88.008399062253602</v>
      </c>
      <c r="AK225">
        <v>291.63715195225001</v>
      </c>
      <c r="AL225">
        <v>81.394404530936896</v>
      </c>
      <c r="AM225">
        <v>90.607876747024605</v>
      </c>
      <c r="AN225">
        <v>0.99999997297232701</v>
      </c>
    </row>
    <row r="226" spans="1:40" x14ac:dyDescent="0.25">
      <c r="A226" t="str">
        <f>"20190303161847219"</f>
        <v>20190303161847219</v>
      </c>
      <c r="B226" t="str">
        <f>"1551601127213533"</f>
        <v>1551601127213533</v>
      </c>
      <c r="C226" t="s">
        <v>40</v>
      </c>
      <c r="D226">
        <v>4.1506270000000001</v>
      </c>
      <c r="E226">
        <v>0.5175092</v>
      </c>
      <c r="F226" t="s">
        <v>43</v>
      </c>
      <c r="G226">
        <v>-169.2955</v>
      </c>
      <c r="H226">
        <v>0.35637469999999999</v>
      </c>
      <c r="I226">
        <v>356.45839999999998</v>
      </c>
      <c r="J226">
        <v>-460.50830000000002</v>
      </c>
      <c r="K226">
        <v>1.1196680000000001</v>
      </c>
      <c r="L226">
        <v>367.03140000000002</v>
      </c>
      <c r="M226">
        <v>0.99999700000000002</v>
      </c>
      <c r="N226">
        <v>4.2515249999999999E-4</v>
      </c>
      <c r="O226">
        <v>-2.4514649999999999E-3</v>
      </c>
      <c r="P226">
        <v>0.98870369999999996</v>
      </c>
      <c r="Q226">
        <v>0.14967359999999999</v>
      </c>
      <c r="R226">
        <v>7.9356659999999992E-3</v>
      </c>
      <c r="S226">
        <v>3.0365600000000001</v>
      </c>
      <c r="T226">
        <v>-7.951975E-3</v>
      </c>
      <c r="U226">
        <v>-0.1101685</v>
      </c>
      <c r="V226">
        <v>-1.035935E-2</v>
      </c>
      <c r="W226">
        <v>0.1492532</v>
      </c>
      <c r="X226">
        <v>0.98874470000000003</v>
      </c>
      <c r="Y226">
        <v>3.3806780000000002E-2</v>
      </c>
      <c r="Z226" s="1">
        <v>-2.9602660000000001E-5</v>
      </c>
      <c r="AA226">
        <v>0.99942839999999999</v>
      </c>
      <c r="AB226">
        <v>22</v>
      </c>
      <c r="AC226">
        <v>291.21280000000002</v>
      </c>
      <c r="AD226">
        <v>-0.76329329999999995</v>
      </c>
      <c r="AE226">
        <v>-10.573</v>
      </c>
      <c r="AF226">
        <v>9.8590026034827805</v>
      </c>
      <c r="AG226">
        <v>-0.76329329999999995</v>
      </c>
      <c r="AH226">
        <v>291.23584610959603</v>
      </c>
      <c r="AI226">
        <v>90.150078872335499</v>
      </c>
      <c r="AJ226">
        <v>88.061146608712505</v>
      </c>
      <c r="AK226">
        <v>291.40367294900398</v>
      </c>
      <c r="AL226">
        <v>81.416348738169106</v>
      </c>
      <c r="AM226">
        <v>90.600281666634999</v>
      </c>
      <c r="AN226">
        <v>0.99999995781037498</v>
      </c>
    </row>
    <row r="227" spans="1:40" x14ac:dyDescent="0.25">
      <c r="A227" t="str">
        <f>"20190303161847240"</f>
        <v>20190303161847240</v>
      </c>
      <c r="B227" t="str">
        <f>"1551601127233052"</f>
        <v>1551601127233052</v>
      </c>
      <c r="C227" t="s">
        <v>40</v>
      </c>
      <c r="D227">
        <v>4.1639249999999999</v>
      </c>
      <c r="E227">
        <v>0.51759239999999995</v>
      </c>
      <c r="F227" t="s">
        <v>43</v>
      </c>
      <c r="G227">
        <v>-169.2955</v>
      </c>
      <c r="H227">
        <v>0.2048683</v>
      </c>
      <c r="I227">
        <v>356.4427</v>
      </c>
      <c r="J227">
        <v>-460.29039999999998</v>
      </c>
      <c r="K227">
        <v>1.119677</v>
      </c>
      <c r="L227">
        <v>367.03089999999997</v>
      </c>
      <c r="M227">
        <v>0.99999700000000002</v>
      </c>
      <c r="N227">
        <v>3.763641E-4</v>
      </c>
      <c r="O227">
        <v>-2.414266E-3</v>
      </c>
      <c r="P227">
        <v>0.98869600000000002</v>
      </c>
      <c r="Q227">
        <v>0.1496952</v>
      </c>
      <c r="R227">
        <v>8.4776379999999991E-3</v>
      </c>
      <c r="S227">
        <v>3.036591</v>
      </c>
      <c r="T227">
        <v>-9.5380540000000007E-3</v>
      </c>
      <c r="U227">
        <v>-0.1104126</v>
      </c>
      <c r="V227">
        <v>-1.0867949999999999E-2</v>
      </c>
      <c r="W227">
        <v>0.1493226</v>
      </c>
      <c r="X227">
        <v>0.98872879999999996</v>
      </c>
      <c r="Y227">
        <v>3.3923790000000002E-2</v>
      </c>
      <c r="Z227" s="1">
        <v>-3.8385259999999997E-5</v>
      </c>
      <c r="AA227">
        <v>0.99942439999999999</v>
      </c>
      <c r="AB227">
        <v>22</v>
      </c>
      <c r="AC227">
        <v>290.99489999999997</v>
      </c>
      <c r="AD227">
        <v>-0.91480869999999903</v>
      </c>
      <c r="AE227">
        <v>-10.588199999999899</v>
      </c>
      <c r="AF227">
        <v>9.8855324191449103</v>
      </c>
      <c r="AG227">
        <v>-0.91480869999999903</v>
      </c>
      <c r="AH227">
        <v>291.01674235154201</v>
      </c>
      <c r="AI227">
        <v>90.180004389360207</v>
      </c>
      <c r="AJ227">
        <v>88.0544707567567</v>
      </c>
      <c r="AK227">
        <v>291.18603152464499</v>
      </c>
      <c r="AL227">
        <v>81.412327673055302</v>
      </c>
      <c r="AM227">
        <v>90.629760750318894</v>
      </c>
      <c r="AN227">
        <v>0.99999999557870101</v>
      </c>
    </row>
    <row r="228" spans="1:40" x14ac:dyDescent="0.25">
      <c r="A228" t="str">
        <f>"20190303161847264"</f>
        <v>20190303161847264</v>
      </c>
      <c r="B228" t="str">
        <f>"1551601127253551"</f>
        <v>1551601127253551</v>
      </c>
      <c r="C228" t="s">
        <v>40</v>
      </c>
      <c r="D228">
        <v>4.120171</v>
      </c>
      <c r="E228">
        <v>0.51759129999999998</v>
      </c>
      <c r="F228" t="s">
        <v>43</v>
      </c>
      <c r="G228">
        <v>-169.2955</v>
      </c>
      <c r="H228">
        <v>0.42531679999999999</v>
      </c>
      <c r="I228">
        <v>356.5283</v>
      </c>
      <c r="J228">
        <v>-460.06</v>
      </c>
      <c r="K228">
        <v>1.119691</v>
      </c>
      <c r="L228">
        <v>367.03039999999999</v>
      </c>
      <c r="M228">
        <v>0.99999720000000003</v>
      </c>
      <c r="N228">
        <v>3.2456679999999998E-4</v>
      </c>
      <c r="O228">
        <v>-2.362285E-3</v>
      </c>
      <c r="P228">
        <v>0.98880800000000002</v>
      </c>
      <c r="Q228">
        <v>0.1489347</v>
      </c>
      <c r="R228">
        <v>8.7901070000000001E-3</v>
      </c>
      <c r="S228">
        <v>3.0363769999999999</v>
      </c>
      <c r="T228">
        <v>-7.2443489999999998E-3</v>
      </c>
      <c r="U228">
        <v>-0.10958859999999999</v>
      </c>
      <c r="V228">
        <v>-1.1132700000000001E-2</v>
      </c>
      <c r="W228">
        <v>0.14861340000000001</v>
      </c>
      <c r="X228">
        <v>0.98883270000000001</v>
      </c>
      <c r="Y228">
        <v>3.370749E-2</v>
      </c>
      <c r="Z228" s="1">
        <v>-2.8324820000000002E-5</v>
      </c>
      <c r="AA228">
        <v>0.99943170000000003</v>
      </c>
      <c r="AB228">
        <v>22</v>
      </c>
      <c r="AC228">
        <v>290.7645</v>
      </c>
      <c r="AD228">
        <v>-0.69437419999999905</v>
      </c>
      <c r="AE228">
        <v>-10.502099999999899</v>
      </c>
      <c r="AF228">
        <v>9.8151461704549998</v>
      </c>
      <c r="AG228">
        <v>-0.69437419999999905</v>
      </c>
      <c r="AH228">
        <v>290.78684146207797</v>
      </c>
      <c r="AI228">
        <v>90.1367393072168</v>
      </c>
      <c r="AJ228">
        <v>88.066786574783194</v>
      </c>
      <c r="AK228">
        <v>290.95327187946998</v>
      </c>
      <c r="AL228">
        <v>81.453420339927405</v>
      </c>
      <c r="AM228">
        <v>90.645033054356503</v>
      </c>
      <c r="AN228">
        <v>0.99999999412906904</v>
      </c>
    </row>
    <row r="229" spans="1:40" x14ac:dyDescent="0.25">
      <c r="A229" t="str">
        <f>"20190303161847288"</f>
        <v>20190303161847288</v>
      </c>
      <c r="B229" t="str">
        <f>"1551601127282828"</f>
        <v>1551601127282828</v>
      </c>
      <c r="C229" t="s">
        <v>40</v>
      </c>
      <c r="D229">
        <v>4.1361270000000001</v>
      </c>
      <c r="E229">
        <v>0.51759960000000005</v>
      </c>
      <c r="F229" t="s">
        <v>43</v>
      </c>
      <c r="G229">
        <v>-169.2955</v>
      </c>
      <c r="H229">
        <v>0.44223210000000002</v>
      </c>
      <c r="I229">
        <v>356.59030000000001</v>
      </c>
      <c r="J229">
        <v>-459.81790000000001</v>
      </c>
      <c r="K229">
        <v>1.11971</v>
      </c>
      <c r="L229">
        <v>367.0299</v>
      </c>
      <c r="M229">
        <v>0.99999740000000004</v>
      </c>
      <c r="N229">
        <v>2.702599E-4</v>
      </c>
      <c r="O229">
        <v>-2.2962379999999999E-3</v>
      </c>
      <c r="P229">
        <v>0.98880140000000005</v>
      </c>
      <c r="Q229">
        <v>0.1489222</v>
      </c>
      <c r="R229">
        <v>9.6915899999999999E-3</v>
      </c>
      <c r="S229">
        <v>3.0359799999999999</v>
      </c>
      <c r="T229">
        <v>-7.0726869999999898E-3</v>
      </c>
      <c r="U229">
        <v>-0.1090088</v>
      </c>
      <c r="V229">
        <v>-1.1971910000000001E-2</v>
      </c>
      <c r="W229">
        <v>0.14865439999999999</v>
      </c>
      <c r="X229">
        <v>0.98881669999999999</v>
      </c>
      <c r="Y229">
        <v>3.3587590000000001E-2</v>
      </c>
      <c r="Z229" s="1">
        <v>-2.8602439999999999E-5</v>
      </c>
      <c r="AA229">
        <v>0.99943579999999999</v>
      </c>
      <c r="AB229">
        <v>22</v>
      </c>
      <c r="AC229">
        <v>290.5224</v>
      </c>
      <c r="AD229">
        <v>-0.67747789999999997</v>
      </c>
      <c r="AE229">
        <v>-10.439599999999899</v>
      </c>
      <c r="AF229">
        <v>9.7724108541641908</v>
      </c>
      <c r="AG229">
        <v>-0.67747789999999997</v>
      </c>
      <c r="AH229">
        <v>290.54402797318897</v>
      </c>
      <c r="AI229">
        <v>90.133524052530902</v>
      </c>
      <c r="AJ229">
        <v>88.073590089472702</v>
      </c>
      <c r="AK229">
        <v>290.70911781554503</v>
      </c>
      <c r="AL229">
        <v>81.451044547420494</v>
      </c>
      <c r="AM229">
        <v>90.693663853012595</v>
      </c>
      <c r="AN229">
        <v>0.99999996173364802</v>
      </c>
    </row>
    <row r="230" spans="1:40" x14ac:dyDescent="0.25">
      <c r="A230" t="str">
        <f>"20190303161847310"</f>
        <v>20190303161847310</v>
      </c>
      <c r="B230" t="str">
        <f>"1551601127303325"</f>
        <v>1551601127303325</v>
      </c>
      <c r="C230" t="s">
        <v>40</v>
      </c>
      <c r="D230">
        <v>4.1226969999999996</v>
      </c>
      <c r="E230">
        <v>0.51760240000000002</v>
      </c>
      <c r="F230" t="s">
        <v>43</v>
      </c>
      <c r="G230">
        <v>-158.19499999999999</v>
      </c>
      <c r="H230">
        <v>0.77770519999999999</v>
      </c>
      <c r="I230">
        <v>356.43810000000002</v>
      </c>
      <c r="J230">
        <v>-459.58800000000002</v>
      </c>
      <c r="K230">
        <v>1.1197189999999999</v>
      </c>
      <c r="L230">
        <v>367.02940000000001</v>
      </c>
      <c r="M230">
        <v>0.99999760000000004</v>
      </c>
      <c r="N230">
        <v>2.1883499999999999E-4</v>
      </c>
      <c r="O230">
        <v>-2.225898E-3</v>
      </c>
      <c r="P230">
        <v>0.98878140000000003</v>
      </c>
      <c r="Q230">
        <v>0.14897489999999999</v>
      </c>
      <c r="R230">
        <v>1.0873819999999999E-2</v>
      </c>
      <c r="S230">
        <v>3.0355829999999999</v>
      </c>
      <c r="T230">
        <v>-3.4410949999999999E-3</v>
      </c>
      <c r="U230">
        <v>-0.1065979</v>
      </c>
      <c r="V230">
        <v>-1.3086810000000001E-2</v>
      </c>
      <c r="W230">
        <v>0.14875769999999999</v>
      </c>
      <c r="X230">
        <v>0.98878710000000003</v>
      </c>
      <c r="Y230">
        <v>3.2869860000000001E-2</v>
      </c>
      <c r="Z230" s="1">
        <v>-1.2017610000000001E-5</v>
      </c>
      <c r="AA230">
        <v>0.9994596</v>
      </c>
      <c r="AB230">
        <v>23</v>
      </c>
      <c r="AC230">
        <v>301.39299999999997</v>
      </c>
      <c r="AD230">
        <v>-0.34201379999999998</v>
      </c>
      <c r="AE230">
        <v>-10.591299999999899</v>
      </c>
      <c r="AF230">
        <v>9.9203909790665303</v>
      </c>
      <c r="AG230">
        <v>-0.34201379999999998</v>
      </c>
      <c r="AH230">
        <v>301.41544084715503</v>
      </c>
      <c r="AI230">
        <v>90.064977871855206</v>
      </c>
      <c r="AJ230">
        <v>88.114922618439905</v>
      </c>
      <c r="AK230">
        <v>301.57884393919602</v>
      </c>
      <c r="AL230">
        <v>81.445059878876606</v>
      </c>
      <c r="AM230">
        <v>90.758277694693206</v>
      </c>
      <c r="AN230">
        <v>1.0000000235158299</v>
      </c>
    </row>
    <row r="231" spans="1:40" x14ac:dyDescent="0.25">
      <c r="A231" t="str">
        <f>"20190303161847330"</f>
        <v>20190303161847330</v>
      </c>
      <c r="B231" t="str">
        <f>"1551601127322845"</f>
        <v>1551601127322845</v>
      </c>
      <c r="C231" t="s">
        <v>40</v>
      </c>
      <c r="D231">
        <v>4.1459070000000002</v>
      </c>
      <c r="E231">
        <v>0.51765660000000002</v>
      </c>
      <c r="F231" t="s">
        <v>43</v>
      </c>
      <c r="G231">
        <v>-158.19499999999999</v>
      </c>
      <c r="H231">
        <v>1.0791360000000001</v>
      </c>
      <c r="I231">
        <v>356.7901</v>
      </c>
      <c r="J231">
        <v>-459.37810000000002</v>
      </c>
      <c r="K231">
        <v>1.1197280000000001</v>
      </c>
      <c r="L231">
        <v>367.029</v>
      </c>
      <c r="M231">
        <v>0.99999769999999999</v>
      </c>
      <c r="N231">
        <v>1.7152779999999999E-4</v>
      </c>
      <c r="O231">
        <v>-2.1579440000000002E-3</v>
      </c>
      <c r="P231">
        <v>0.98864129999999995</v>
      </c>
      <c r="Q231">
        <v>0.1498372</v>
      </c>
      <c r="R231">
        <v>1.171664E-2</v>
      </c>
      <c r="S231">
        <v>3.0352779999999999</v>
      </c>
      <c r="T231">
        <v>-4.0781500000000001E-4</v>
      </c>
      <c r="U231">
        <v>-0.1031189</v>
      </c>
      <c r="V231">
        <v>-1.386331E-2</v>
      </c>
      <c r="W231">
        <v>0.14966670000000001</v>
      </c>
      <c r="X231">
        <v>0.9886393</v>
      </c>
      <c r="Y231">
        <v>3.179709E-2</v>
      </c>
      <c r="Z231" s="1">
        <v>1.252237E-6</v>
      </c>
      <c r="AA231">
        <v>0.99949440000000001</v>
      </c>
      <c r="AB231">
        <v>23</v>
      </c>
      <c r="AC231">
        <v>301.18310000000002</v>
      </c>
      <c r="AD231">
        <v>-4.0591999999999899E-2</v>
      </c>
      <c r="AE231">
        <v>-10.238899999999999</v>
      </c>
      <c r="AF231">
        <v>9.58893974102911</v>
      </c>
      <c r="AG231">
        <v>-4.0591999999999899E-2</v>
      </c>
      <c r="AH231">
        <v>301.20448824352201</v>
      </c>
      <c r="AI231">
        <v>90.007717589526706</v>
      </c>
      <c r="AJ231">
        <v>88.176586650824504</v>
      </c>
      <c r="AK231">
        <v>301.357085782149</v>
      </c>
      <c r="AL231">
        <v>81.392388067906694</v>
      </c>
      <c r="AM231">
        <v>90.803384102323704</v>
      </c>
      <c r="AN231">
        <v>0.99999998897876796</v>
      </c>
    </row>
    <row r="232" spans="1:40" x14ac:dyDescent="0.25">
      <c r="A232" t="str">
        <f>"20190303161847353"</f>
        <v>20190303161847353</v>
      </c>
      <c r="B232" t="str">
        <f>"1551601127343340"</f>
        <v>1551601127343340</v>
      </c>
      <c r="C232" t="s">
        <v>40</v>
      </c>
      <c r="D232">
        <v>4.2126519999999896</v>
      </c>
      <c r="E232">
        <v>0.51755189999999995</v>
      </c>
      <c r="F232" t="s">
        <v>43</v>
      </c>
      <c r="G232">
        <v>-158.19499999999999</v>
      </c>
      <c r="H232">
        <v>1.4901899999999999</v>
      </c>
      <c r="I232">
        <v>357.02030000000002</v>
      </c>
      <c r="J232">
        <v>-459.14109999999999</v>
      </c>
      <c r="K232">
        <v>1.1197280000000001</v>
      </c>
      <c r="L232">
        <v>367.02859999999998</v>
      </c>
      <c r="M232">
        <v>0.9999979</v>
      </c>
      <c r="N232">
        <v>1.178528E-4</v>
      </c>
      <c r="O232">
        <v>-2.0790209999999999E-3</v>
      </c>
      <c r="P232">
        <v>0.98853310000000005</v>
      </c>
      <c r="Q232">
        <v>0.1504916</v>
      </c>
      <c r="R232">
        <v>1.244255E-2</v>
      </c>
      <c r="S232">
        <v>3.0350950000000001</v>
      </c>
      <c r="T232">
        <v>3.7341119999999999E-3</v>
      </c>
      <c r="U232">
        <v>-0.10086059999999999</v>
      </c>
      <c r="V232">
        <v>-1.451182E-2</v>
      </c>
      <c r="W232">
        <v>0.1503739</v>
      </c>
      <c r="X232">
        <v>0.98852269999999998</v>
      </c>
      <c r="Y232">
        <v>3.113515E-2</v>
      </c>
      <c r="Z232" s="1">
        <v>1.8670700000000001E-5</v>
      </c>
      <c r="AA232">
        <v>0.99951520000000005</v>
      </c>
      <c r="AB232">
        <v>23</v>
      </c>
      <c r="AC232">
        <v>300.9461</v>
      </c>
      <c r="AD232">
        <v>0.37046199999999901</v>
      </c>
      <c r="AE232">
        <v>-10.008299999999901</v>
      </c>
      <c r="AF232">
        <v>9.3825909448000608</v>
      </c>
      <c r="AG232">
        <v>0.37046199999999901</v>
      </c>
      <c r="AH232">
        <v>300.96580150857397</v>
      </c>
      <c r="AI232">
        <v>89.929508298664103</v>
      </c>
      <c r="AJ232">
        <v>88.214385800533094</v>
      </c>
      <c r="AK232">
        <v>301.11224474044502</v>
      </c>
      <c r="AL232">
        <v>81.351404910545696</v>
      </c>
      <c r="AM232">
        <v>90.841059407748901</v>
      </c>
      <c r="AN232">
        <v>1.0000000155680999</v>
      </c>
    </row>
    <row r="233" spans="1:40" x14ac:dyDescent="0.25">
      <c r="A233" t="str">
        <f>"20190303161847375"</f>
        <v>20190303161847375</v>
      </c>
      <c r="B233" t="str">
        <f>"1551601127362860"</f>
        <v>1551601127362860</v>
      </c>
      <c r="C233" t="s">
        <v>40</v>
      </c>
      <c r="D233">
        <v>4.1732399999999998</v>
      </c>
      <c r="E233">
        <v>0.51763000000000003</v>
      </c>
      <c r="F233" t="s">
        <v>43</v>
      </c>
      <c r="G233">
        <v>-158.19499999999999</v>
      </c>
      <c r="H233">
        <v>1.625502</v>
      </c>
      <c r="I233">
        <v>357.34589999999997</v>
      </c>
      <c r="J233">
        <v>-458.90230000000003</v>
      </c>
      <c r="K233">
        <v>1.119739</v>
      </c>
      <c r="L233">
        <v>367.02820000000003</v>
      </c>
      <c r="M233">
        <v>0.99999800000000005</v>
      </c>
      <c r="N233" s="1">
        <v>6.3536730000000007E-5</v>
      </c>
      <c r="O233">
        <v>-1.9989080000000002E-3</v>
      </c>
      <c r="P233">
        <v>0.98833919999999997</v>
      </c>
      <c r="Q233">
        <v>0.15175079999999999</v>
      </c>
      <c r="R233">
        <v>1.254867E-2</v>
      </c>
      <c r="S233">
        <v>3.0352169999999998</v>
      </c>
      <c r="T233">
        <v>5.1019189999999999E-3</v>
      </c>
      <c r="U233">
        <v>-9.765625E-2</v>
      </c>
      <c r="V233">
        <v>-1.453904E-2</v>
      </c>
      <c r="W233">
        <v>0.15168670000000001</v>
      </c>
      <c r="X233">
        <v>0.98832169999999997</v>
      </c>
      <c r="Y233">
        <v>3.0159769999999999E-2</v>
      </c>
      <c r="Z233" s="1">
        <v>2.3067580000000001E-5</v>
      </c>
      <c r="AA233">
        <v>0.99954509999999996</v>
      </c>
      <c r="AB233">
        <v>23</v>
      </c>
      <c r="AC233">
        <v>300.70729999999998</v>
      </c>
      <c r="AD233">
        <v>0.50576299999999996</v>
      </c>
      <c r="AE233">
        <v>-9.6823000000000494</v>
      </c>
      <c r="AF233">
        <v>9.0811687651443602</v>
      </c>
      <c r="AG233">
        <v>0.50576299999999996</v>
      </c>
      <c r="AH233">
        <v>300.72520345023099</v>
      </c>
      <c r="AI233">
        <v>89.903683315226999</v>
      </c>
      <c r="AJ233">
        <v>88.270332624842197</v>
      </c>
      <c r="AK233">
        <v>300.862711901186</v>
      </c>
      <c r="AL233">
        <v>81.275314136795203</v>
      </c>
      <c r="AM233">
        <v>90.842808112611806</v>
      </c>
      <c r="AN233">
        <v>1.0000000106659499</v>
      </c>
    </row>
    <row r="234" spans="1:40" x14ac:dyDescent="0.25">
      <c r="A234" t="str">
        <f>"20190303161847397"</f>
        <v>20190303161847397</v>
      </c>
      <c r="B234" t="str">
        <f>"1551601127383356"</f>
        <v>1551601127383356</v>
      </c>
      <c r="C234" t="s">
        <v>40</v>
      </c>
      <c r="D234">
        <v>4.2159849999999999</v>
      </c>
      <c r="E234">
        <v>0.51754929999999999</v>
      </c>
      <c r="F234" t="s">
        <v>43</v>
      </c>
      <c r="G234">
        <v>-158.19499999999999</v>
      </c>
      <c r="H234">
        <v>2.12785</v>
      </c>
      <c r="I234">
        <v>357.2559</v>
      </c>
      <c r="J234">
        <v>-458.66879999999998</v>
      </c>
      <c r="K234">
        <v>1.11974</v>
      </c>
      <c r="L234">
        <v>367.02780000000001</v>
      </c>
      <c r="M234">
        <v>0.99999819999999995</v>
      </c>
      <c r="N234" s="1">
        <v>1.000965E-5</v>
      </c>
      <c r="O234">
        <v>-1.920941E-3</v>
      </c>
      <c r="P234">
        <v>0.98823329999999998</v>
      </c>
      <c r="Q234">
        <v>0.15245500000000001</v>
      </c>
      <c r="R234">
        <v>1.235404E-2</v>
      </c>
      <c r="S234">
        <v>3.0350649999999999</v>
      </c>
      <c r="T234">
        <v>1.017582E-2</v>
      </c>
      <c r="U234">
        <v>-9.8632810000000001E-2</v>
      </c>
      <c r="V234">
        <v>-1.4266849999999999E-2</v>
      </c>
      <c r="W234">
        <v>0.152444</v>
      </c>
      <c r="X234">
        <v>0.98820909999999995</v>
      </c>
      <c r="Y234">
        <v>3.0560469999999999E-2</v>
      </c>
      <c r="Z234" s="1">
        <v>4.495075E-5</v>
      </c>
      <c r="AA234">
        <v>0.99953289999999995</v>
      </c>
      <c r="AB234">
        <v>24</v>
      </c>
      <c r="AC234">
        <v>300.47379999999998</v>
      </c>
      <c r="AD234">
        <v>1.0081100000000001</v>
      </c>
      <c r="AE234">
        <v>-9.7719000000000094</v>
      </c>
      <c r="AF234">
        <v>9.1945861655621908</v>
      </c>
      <c r="AG234">
        <v>1.0081100000000001</v>
      </c>
      <c r="AH234">
        <v>300.488637994903</v>
      </c>
      <c r="AI234">
        <v>89.807868906089894</v>
      </c>
      <c r="AJ234">
        <v>88.247365816145305</v>
      </c>
      <c r="AK234">
        <v>300.63096690886698</v>
      </c>
      <c r="AL234">
        <v>81.231413144336898</v>
      </c>
      <c r="AM234">
        <v>90.827126067693996</v>
      </c>
      <c r="AN234">
        <v>0.99999997073386504</v>
      </c>
    </row>
    <row r="235" spans="1:40" x14ac:dyDescent="0.25">
      <c r="A235" t="str">
        <f>"20190303161847419"</f>
        <v>20190303161847419</v>
      </c>
      <c r="B235" t="str">
        <f>"1551601127413613"</f>
        <v>1551601127413613</v>
      </c>
      <c r="C235" t="s">
        <v>40</v>
      </c>
      <c r="D235">
        <v>4.212771</v>
      </c>
      <c r="E235">
        <v>0.51743300000000003</v>
      </c>
      <c r="F235" t="s">
        <v>43</v>
      </c>
      <c r="G235">
        <v>-158.19499999999999</v>
      </c>
      <c r="H235">
        <v>2.5247289999999998</v>
      </c>
      <c r="I235">
        <v>357.25310000000002</v>
      </c>
      <c r="J235">
        <v>-458.43060000000003</v>
      </c>
      <c r="K235">
        <v>1.119748</v>
      </c>
      <c r="L235">
        <v>367.02749999999997</v>
      </c>
      <c r="M235">
        <v>0.99999850000000001</v>
      </c>
      <c r="N235" s="1">
        <v>-4.4920840000000001E-5</v>
      </c>
      <c r="O235">
        <v>-1.8430950000000001E-3</v>
      </c>
      <c r="P235">
        <v>0.98821959999999998</v>
      </c>
      <c r="Q235">
        <v>0.15256349999999999</v>
      </c>
      <c r="R235">
        <v>1.211488E-2</v>
      </c>
      <c r="S235">
        <v>3.0347599999999999</v>
      </c>
      <c r="T235">
        <v>1.419115E-2</v>
      </c>
      <c r="U235">
        <v>-9.8724370000000006E-2</v>
      </c>
      <c r="V235">
        <v>-1.3950779999999999E-2</v>
      </c>
      <c r="W235">
        <v>0.15260660000000001</v>
      </c>
      <c r="X235">
        <v>0.98818859999999997</v>
      </c>
      <c r="Y235">
        <v>3.0671509999999999E-2</v>
      </c>
      <c r="Z235" s="1">
        <v>6.2305599999999995E-5</v>
      </c>
      <c r="AA235">
        <v>0.99952949999999996</v>
      </c>
      <c r="AB235">
        <v>24</v>
      </c>
      <c r="AC235">
        <v>300.23559999999998</v>
      </c>
      <c r="AD235">
        <v>1.404981</v>
      </c>
      <c r="AE235">
        <v>-9.7743999999999502</v>
      </c>
      <c r="AF235">
        <v>9.2208190655150695</v>
      </c>
      <c r="AG235">
        <v>1.404981</v>
      </c>
      <c r="AH235">
        <v>300.24653717370398</v>
      </c>
      <c r="AI235">
        <v>89.732017026007</v>
      </c>
      <c r="AJ235">
        <v>88.240952182035898</v>
      </c>
      <c r="AK235">
        <v>300.39137897191699</v>
      </c>
      <c r="AL235">
        <v>81.221987290898099</v>
      </c>
      <c r="AM235">
        <v>90.808821027175995</v>
      </c>
      <c r="AN235">
        <v>1.00000005389806</v>
      </c>
    </row>
    <row r="236" spans="1:40" x14ac:dyDescent="0.25">
      <c r="A236" t="str">
        <f>"20190303161847442"</f>
        <v>20190303161847442</v>
      </c>
      <c r="B236" t="str">
        <f>"1551601127433132"</f>
        <v>1551601127433132</v>
      </c>
      <c r="C236" t="s">
        <v>40</v>
      </c>
      <c r="D236">
        <v>4.2074230000000004</v>
      </c>
      <c r="E236">
        <v>0.51748260000000001</v>
      </c>
      <c r="F236" t="s">
        <v>43</v>
      </c>
      <c r="G236">
        <v>-158.19499999999999</v>
      </c>
      <c r="H236">
        <v>2.7645059999999999</v>
      </c>
      <c r="I236">
        <v>357.2321</v>
      </c>
      <c r="J236">
        <v>-458.17579999999998</v>
      </c>
      <c r="K236">
        <v>1.1197549999999901</v>
      </c>
      <c r="L236">
        <v>367.02710000000002</v>
      </c>
      <c r="M236">
        <v>0.99999850000000001</v>
      </c>
      <c r="N236">
        <v>-1.039211E-4</v>
      </c>
      <c r="O236">
        <v>-1.760483E-3</v>
      </c>
      <c r="P236">
        <v>0.9881143</v>
      </c>
      <c r="Q236">
        <v>0.1532162</v>
      </c>
      <c r="R236">
        <v>1.2454359999999999E-2</v>
      </c>
      <c r="S236">
        <v>3.0343930000000001</v>
      </c>
      <c r="T236">
        <v>1.6623969999999998E-2</v>
      </c>
      <c r="U236">
        <v>-9.8999019999999993E-2</v>
      </c>
      <c r="V236">
        <v>-1.420836E-2</v>
      </c>
      <c r="W236">
        <v>0.1533177</v>
      </c>
      <c r="X236">
        <v>0.98807480000000003</v>
      </c>
      <c r="Y236">
        <v>3.0848270000000001E-2</v>
      </c>
      <c r="Z236" s="1">
        <v>7.3049919999999995E-5</v>
      </c>
      <c r="AA236">
        <v>0.99952410000000003</v>
      </c>
      <c r="AB236">
        <v>24</v>
      </c>
      <c r="AC236">
        <v>299.98079999999999</v>
      </c>
      <c r="AD236">
        <v>1.6447510000000001</v>
      </c>
      <c r="AE236">
        <v>-9.7950000000000106</v>
      </c>
      <c r="AF236">
        <v>9.2665954758183204</v>
      </c>
      <c r="AG236">
        <v>1.6447510000000001</v>
      </c>
      <c r="AH236">
        <v>299.98857050548202</v>
      </c>
      <c r="AI236">
        <v>89.686016637214493</v>
      </c>
      <c r="AJ236">
        <v>88.230705800187494</v>
      </c>
      <c r="AK236">
        <v>300.13616481771601</v>
      </c>
      <c r="AL236">
        <v>81.180758635118394</v>
      </c>
      <c r="AM236">
        <v>90.823847503288405</v>
      </c>
      <c r="AN236">
        <v>1.0000000025111</v>
      </c>
    </row>
    <row r="237" spans="1:40" x14ac:dyDescent="0.25">
      <c r="A237" t="str">
        <f>"20190303161847465"</f>
        <v>20190303161847465</v>
      </c>
      <c r="B237" t="str">
        <f>"1551601127453633"</f>
        <v>1551601127453633</v>
      </c>
      <c r="C237" t="s">
        <v>40</v>
      </c>
      <c r="D237">
        <v>4.2751390000000002</v>
      </c>
      <c r="E237">
        <v>0.51756159999999996</v>
      </c>
      <c r="F237" t="s">
        <v>43</v>
      </c>
      <c r="G237">
        <v>-158.19499999999999</v>
      </c>
      <c r="H237">
        <v>2.9506399999999999</v>
      </c>
      <c r="I237">
        <v>357.30360000000002</v>
      </c>
      <c r="J237">
        <v>-457.94060000000002</v>
      </c>
      <c r="K237">
        <v>1.1197629999999901</v>
      </c>
      <c r="L237">
        <v>367.02679999999998</v>
      </c>
      <c r="M237">
        <v>0.99999870000000002</v>
      </c>
      <c r="N237">
        <v>-1.5851339999999999E-4</v>
      </c>
      <c r="O237">
        <v>-1.686693E-3</v>
      </c>
      <c r="P237">
        <v>0.98801430000000001</v>
      </c>
      <c r="Q237">
        <v>0.1537838</v>
      </c>
      <c r="R237">
        <v>1.3351740000000001E-2</v>
      </c>
      <c r="S237">
        <v>3.0344540000000002</v>
      </c>
      <c r="T237">
        <v>1.852119E-2</v>
      </c>
      <c r="U237">
        <v>-9.8358150000000005E-2</v>
      </c>
      <c r="V237">
        <v>-1.503234E-2</v>
      </c>
      <c r="W237">
        <v>0.15393870000000001</v>
      </c>
      <c r="X237">
        <v>0.98796609999999996</v>
      </c>
      <c r="Y237">
        <v>3.0710399999999999E-2</v>
      </c>
      <c r="Z237" s="1">
        <v>8.070295E-5</v>
      </c>
      <c r="AA237">
        <v>0.99952830000000004</v>
      </c>
      <c r="AB237">
        <v>24</v>
      </c>
      <c r="AC237">
        <v>299.74560000000002</v>
      </c>
      <c r="AD237">
        <v>1.8308770000000001</v>
      </c>
      <c r="AE237">
        <v>-9.7231999999999594</v>
      </c>
      <c r="AF237">
        <v>9.2172639009679802</v>
      </c>
      <c r="AG237">
        <v>1.8308770000000001</v>
      </c>
      <c r="AH237">
        <v>299.75040206374899</v>
      </c>
      <c r="AI237">
        <v>89.650206765888697</v>
      </c>
      <c r="AJ237">
        <v>88.238721418392004</v>
      </c>
      <c r="AK237">
        <v>299.897671884575</v>
      </c>
      <c r="AL237">
        <v>81.144750958577802</v>
      </c>
      <c r="AM237">
        <v>90.871713292405801</v>
      </c>
      <c r="AN237">
        <v>1.0000000546763801</v>
      </c>
    </row>
    <row r="238" spans="1:40" x14ac:dyDescent="0.25">
      <c r="A238" t="str">
        <f>"20190303161847489"</f>
        <v>20190303161847489</v>
      </c>
      <c r="B238" t="str">
        <f>"1551601127482908"</f>
        <v>1551601127482908</v>
      </c>
      <c r="C238" t="s">
        <v>40</v>
      </c>
      <c r="D238">
        <v>4.4210949999999896</v>
      </c>
      <c r="E238">
        <v>0.52778639999999999</v>
      </c>
      <c r="F238" t="s">
        <v>43</v>
      </c>
      <c r="G238">
        <v>-158.19499999999999</v>
      </c>
      <c r="H238">
        <v>3.1155819999999999</v>
      </c>
      <c r="I238">
        <v>357.49489999999997</v>
      </c>
      <c r="J238">
        <v>-457.67559999999997</v>
      </c>
      <c r="K238">
        <v>1.119769</v>
      </c>
      <c r="L238">
        <v>367.02640000000002</v>
      </c>
      <c r="M238">
        <v>0.99999879999999997</v>
      </c>
      <c r="N238">
        <v>-2.2045309999999999E-4</v>
      </c>
      <c r="O238">
        <v>-1.6090919999999999E-3</v>
      </c>
      <c r="P238">
        <v>0.98795330000000003</v>
      </c>
      <c r="Q238">
        <v>0.15409879999999901</v>
      </c>
      <c r="R238">
        <v>1.42078E-2</v>
      </c>
      <c r="S238">
        <v>3.0344850000000001</v>
      </c>
      <c r="T238">
        <v>2.0205620000000001E-2</v>
      </c>
      <c r="U238">
        <v>-9.6496579999999998E-2</v>
      </c>
      <c r="V238">
        <v>-1.5810589999999999E-2</v>
      </c>
      <c r="W238">
        <v>0.15431510000000001</v>
      </c>
      <c r="X238">
        <v>0.98789519999999997</v>
      </c>
      <c r="Y238">
        <v>3.0174989999999999E-2</v>
      </c>
      <c r="Z238" s="1">
        <v>8.6042990000000002E-5</v>
      </c>
      <c r="AA238">
        <v>0.99954460000000001</v>
      </c>
      <c r="AB238">
        <v>24</v>
      </c>
      <c r="AC238">
        <v>299.48059999999998</v>
      </c>
      <c r="AD238">
        <v>1.9958130000000001</v>
      </c>
      <c r="AE238">
        <v>-9.5315000000000492</v>
      </c>
      <c r="AF238">
        <v>9.0491943806273198</v>
      </c>
      <c r="AG238">
        <v>1.9958130000000001</v>
      </c>
      <c r="AH238">
        <v>299.48226214712298</v>
      </c>
      <c r="AI238">
        <v>89.618348667296004</v>
      </c>
      <c r="AJ238">
        <v>88.269269988677493</v>
      </c>
      <c r="AK238">
        <v>299.625593915519</v>
      </c>
      <c r="AL238">
        <v>81.122923758496299</v>
      </c>
      <c r="AM238">
        <v>90.916901658181402</v>
      </c>
      <c r="AN238">
        <v>1.0000000255135899</v>
      </c>
    </row>
    <row r="239" spans="1:40" x14ac:dyDescent="0.25">
      <c r="A239" t="str">
        <f>"20190303161847508"</f>
        <v>20190303161847508</v>
      </c>
      <c r="B239" t="str">
        <f>"1551601127503405"</f>
        <v>1551601127503405</v>
      </c>
      <c r="C239" t="s">
        <v>40</v>
      </c>
      <c r="D239">
        <v>4.3667540000000002</v>
      </c>
      <c r="E239">
        <v>0.53837290000000004</v>
      </c>
      <c r="F239" t="s">
        <v>42</v>
      </c>
      <c r="G239">
        <v>-456.75880000000001</v>
      </c>
      <c r="H239">
        <v>1.0509839999999999</v>
      </c>
      <c r="I239">
        <v>366.97390000000001</v>
      </c>
      <c r="J239">
        <v>-457.44900000000001</v>
      </c>
      <c r="K239">
        <v>1.119764</v>
      </c>
      <c r="L239">
        <v>367.02609999999999</v>
      </c>
      <c r="M239">
        <v>0.99999890000000002</v>
      </c>
      <c r="N239">
        <v>-2.7360740000000001E-4</v>
      </c>
      <c r="O239">
        <v>-1.5490149999999999E-3</v>
      </c>
      <c r="P239">
        <v>0.98785630000000002</v>
      </c>
      <c r="Q239">
        <v>0.15464749999999999</v>
      </c>
      <c r="R239">
        <v>1.4967970000000001E-2</v>
      </c>
      <c r="S239">
        <v>3.0751650000000001</v>
      </c>
      <c r="T239">
        <v>-0.2310739</v>
      </c>
      <c r="U239">
        <v>-0.17364499999999999</v>
      </c>
      <c r="V239">
        <v>-1.6509969999999999E-2</v>
      </c>
      <c r="W239">
        <v>0.15491669999999999</v>
      </c>
      <c r="X239">
        <v>0.98778960000000005</v>
      </c>
      <c r="Y239">
        <v>5.4680579999999999E-2</v>
      </c>
      <c r="Z239">
        <v>-1.9416660000000001E-3</v>
      </c>
      <c r="AA239">
        <v>0.998502</v>
      </c>
      <c r="AB239">
        <v>25</v>
      </c>
      <c r="AC239">
        <v>0.69020000000000403</v>
      </c>
      <c r="AD239">
        <v>-6.8779999999999994E-2</v>
      </c>
      <c r="AE239">
        <v>-5.21999999999707E-2</v>
      </c>
      <c r="AF239">
        <v>5.0630873192002303E-2</v>
      </c>
      <c r="AG239">
        <v>-6.8779999999999994E-2</v>
      </c>
      <c r="AH239">
        <v>0.68353078151709101</v>
      </c>
      <c r="AI239">
        <v>95.730428325444706</v>
      </c>
      <c r="AJ239">
        <v>85.763691613808305</v>
      </c>
      <c r="AK239">
        <v>0.68884577591907303</v>
      </c>
      <c r="AL239">
        <v>81.088035095884194</v>
      </c>
      <c r="AM239">
        <v>90.957555666458106</v>
      </c>
      <c r="AN239">
        <v>1.00000002845822</v>
      </c>
    </row>
    <row r="240" spans="1:40" x14ac:dyDescent="0.25">
      <c r="A240" t="str">
        <f>"20190303161847531"</f>
        <v>20190303161847531</v>
      </c>
      <c r="B240" t="str">
        <f>"1551601127522928"</f>
        <v>1551601127522928</v>
      </c>
      <c r="C240" t="s">
        <v>40</v>
      </c>
      <c r="D240">
        <v>4.4150099999999997</v>
      </c>
      <c r="E240">
        <v>0.53810000000000002</v>
      </c>
      <c r="F240" t="s">
        <v>42</v>
      </c>
      <c r="G240">
        <v>-456.60730000000001</v>
      </c>
      <c r="H240">
        <v>0.89547690000000002</v>
      </c>
      <c r="I240">
        <v>366.95940000000002</v>
      </c>
      <c r="J240">
        <v>-457.1968</v>
      </c>
      <c r="K240">
        <v>1.119769</v>
      </c>
      <c r="L240">
        <v>367.0258</v>
      </c>
      <c r="M240">
        <v>0.99999899999999997</v>
      </c>
      <c r="N240">
        <v>-3.3317660000000001E-4</v>
      </c>
      <c r="O240">
        <v>-1.488942E-3</v>
      </c>
      <c r="P240">
        <v>0.98772859999999996</v>
      </c>
      <c r="Q240">
        <v>0.1554188</v>
      </c>
      <c r="R240">
        <v>1.5410470000000001E-2</v>
      </c>
      <c r="S240">
        <v>3.173035</v>
      </c>
      <c r="T240">
        <v>-0.84553020000000001</v>
      </c>
      <c r="U240">
        <v>-0.2507935</v>
      </c>
      <c r="V240">
        <v>-1.6891130000000001E-2</v>
      </c>
      <c r="W240">
        <v>0.15574669999999999</v>
      </c>
      <c r="X240">
        <v>0.98765259999999999</v>
      </c>
      <c r="Y240">
        <v>7.4764090000000005E-2</v>
      </c>
      <c r="Z240">
        <v>-9.3998250000000005E-3</v>
      </c>
      <c r="AA240">
        <v>0.99715690000000001</v>
      </c>
      <c r="AB240">
        <v>25</v>
      </c>
      <c r="AC240">
        <v>0.58949999999998604</v>
      </c>
      <c r="AD240">
        <v>-0.22429209999999999</v>
      </c>
      <c r="AE240">
        <v>-6.6399999999987303E-2</v>
      </c>
      <c r="AF240">
        <v>5.7327249398028898E-2</v>
      </c>
      <c r="AG240">
        <v>-0.22429209999999999</v>
      </c>
      <c r="AH240">
        <v>0.51585640050763903</v>
      </c>
      <c r="AI240">
        <v>113.370880945788</v>
      </c>
      <c r="AJ240">
        <v>83.658725200311096</v>
      </c>
      <c r="AK240">
        <v>0.56542124614366196</v>
      </c>
      <c r="AL240">
        <v>81.039895052718606</v>
      </c>
      <c r="AM240">
        <v>90.9797940296625</v>
      </c>
      <c r="AN240">
        <v>1.00000000156016</v>
      </c>
    </row>
    <row r="241" spans="1:40" x14ac:dyDescent="0.25">
      <c r="A241" t="str">
        <f>"20190303161847554"</f>
        <v>20190303161847554</v>
      </c>
      <c r="B241" t="str">
        <f>"1551601127543424"</f>
        <v>1551601127543424</v>
      </c>
      <c r="C241" t="s">
        <v>40</v>
      </c>
      <c r="D241">
        <v>4.4993189999999998</v>
      </c>
      <c r="E241">
        <v>0.53832389999999997</v>
      </c>
      <c r="F241" t="s">
        <v>42</v>
      </c>
      <c r="G241">
        <v>-456.38130000000001</v>
      </c>
      <c r="H241">
        <v>0.89618539999999902</v>
      </c>
      <c r="I241">
        <v>366.96179999999998</v>
      </c>
      <c r="J241">
        <v>-456.9402</v>
      </c>
      <c r="K241">
        <v>1.119774</v>
      </c>
      <c r="L241">
        <v>367.02550000000002</v>
      </c>
      <c r="M241">
        <v>0.99999899999999997</v>
      </c>
      <c r="N241">
        <v>-3.9411239999999998E-4</v>
      </c>
      <c r="O241">
        <v>-1.43519E-3</v>
      </c>
      <c r="P241">
        <v>0.98764229999999997</v>
      </c>
      <c r="Q241">
        <v>0.1559721</v>
      </c>
      <c r="R241">
        <v>1.5354080000000001E-2</v>
      </c>
      <c r="S241">
        <v>3.1782530000000002</v>
      </c>
      <c r="T241">
        <v>-0.87141759999999902</v>
      </c>
      <c r="U241">
        <v>-0.2474365</v>
      </c>
      <c r="V241">
        <v>-1.6779280000000001E-2</v>
      </c>
      <c r="W241">
        <v>0.15636040000000001</v>
      </c>
      <c r="X241">
        <v>0.98755749999999998</v>
      </c>
      <c r="Y241">
        <v>7.3537749999999999E-2</v>
      </c>
      <c r="Z241">
        <v>-9.5140269999999996E-3</v>
      </c>
      <c r="AA241">
        <v>0.99724699999999999</v>
      </c>
      <c r="AB241">
        <v>25</v>
      </c>
      <c r="AC241">
        <v>0.55889999999999396</v>
      </c>
      <c r="AD241">
        <v>-0.2235886</v>
      </c>
      <c r="AE241">
        <v>-6.3700000000039794E-2</v>
      </c>
      <c r="AF241">
        <v>5.4316427163292699E-2</v>
      </c>
      <c r="AG241">
        <v>-0.2235886</v>
      </c>
      <c r="AH241">
        <v>0.48272566485868901</v>
      </c>
      <c r="AI241">
        <v>114.71542734257299</v>
      </c>
      <c r="AJ241">
        <v>83.580065813883195</v>
      </c>
      <c r="AK241">
        <v>0.53475807971736899</v>
      </c>
      <c r="AL241">
        <v>81.004296189886006</v>
      </c>
      <c r="AM241">
        <v>90.973400973220194</v>
      </c>
      <c r="AN241">
        <v>0.99999996736586305</v>
      </c>
    </row>
    <row r="242" spans="1:40" x14ac:dyDescent="0.25">
      <c r="A242" t="str">
        <f>"20190303161847575"</f>
        <v>20190303161847575</v>
      </c>
      <c r="B242" t="str">
        <f>"1551601127573678"</f>
        <v>1551601127573678</v>
      </c>
      <c r="C242" t="s">
        <v>40</v>
      </c>
      <c r="D242">
        <v>4.513115</v>
      </c>
      <c r="E242">
        <v>0.53811779999999998</v>
      </c>
      <c r="F242" t="s">
        <v>42</v>
      </c>
      <c r="G242">
        <v>-456.15199999999999</v>
      </c>
      <c r="H242">
        <v>0.90084589999999998</v>
      </c>
      <c r="I242">
        <v>366.96370000000002</v>
      </c>
      <c r="J242">
        <v>-456.68869999999998</v>
      </c>
      <c r="K242">
        <v>1.119775</v>
      </c>
      <c r="L242">
        <v>367.02510000000001</v>
      </c>
      <c r="M242">
        <v>0.99999899999999997</v>
      </c>
      <c r="N242">
        <v>-4.5426590000000001E-4</v>
      </c>
      <c r="O242">
        <v>-1.3893079999999999E-3</v>
      </c>
      <c r="P242">
        <v>0.98763020000000001</v>
      </c>
      <c r="Q242">
        <v>0.156112</v>
      </c>
      <c r="R242">
        <v>1.469171E-2</v>
      </c>
      <c r="S242">
        <v>3.1809690000000002</v>
      </c>
      <c r="T242">
        <v>-0.88363519999999895</v>
      </c>
      <c r="U242">
        <v>-0.24899289999999999</v>
      </c>
      <c r="V242">
        <v>-1.6070060000000001E-2</v>
      </c>
      <c r="W242">
        <v>0.15656010000000001</v>
      </c>
      <c r="X242">
        <v>0.98753769999999996</v>
      </c>
      <c r="Y242">
        <v>7.3917179999999999E-2</v>
      </c>
      <c r="Z242">
        <v>-9.7008670000000002E-3</v>
      </c>
      <c r="AA242">
        <v>0.99721720000000003</v>
      </c>
      <c r="AB242">
        <v>25</v>
      </c>
      <c r="AC242">
        <v>0.53669999999999596</v>
      </c>
      <c r="AD242">
        <v>-0.21892909999999899</v>
      </c>
      <c r="AE242">
        <v>-6.1399999999991899E-2</v>
      </c>
      <c r="AF242">
        <v>5.20974633559525E-2</v>
      </c>
      <c r="AG242">
        <v>-0.21892909999999899</v>
      </c>
      <c r="AH242">
        <v>0.461057601914722</v>
      </c>
      <c r="AI242">
        <v>115.259739867756</v>
      </c>
      <c r="AJ242">
        <v>83.553176006871396</v>
      </c>
      <c r="AK242">
        <v>0.51304795954987403</v>
      </c>
      <c r="AL242">
        <v>80.992711939061607</v>
      </c>
      <c r="AM242">
        <v>90.932283754222794</v>
      </c>
      <c r="AN242">
        <v>1.00000001033085</v>
      </c>
    </row>
    <row r="243" spans="1:40" x14ac:dyDescent="0.25">
      <c r="A243" t="str">
        <f>"20190303161847597"</f>
        <v>20190303161847597</v>
      </c>
      <c r="B243" t="str">
        <f>"1551601127593196"</f>
        <v>1551601127593196</v>
      </c>
      <c r="C243" t="s">
        <v>40</v>
      </c>
      <c r="D243">
        <v>4.500521</v>
      </c>
      <c r="E243">
        <v>0.53744190000000003</v>
      </c>
      <c r="F243" t="s">
        <v>42</v>
      </c>
      <c r="G243">
        <v>-455.92059999999998</v>
      </c>
      <c r="H243">
        <v>0.90602640000000001</v>
      </c>
      <c r="I243">
        <v>366.96449999999999</v>
      </c>
      <c r="J243">
        <v>-456.43900000000002</v>
      </c>
      <c r="K243">
        <v>1.1197790000000001</v>
      </c>
      <c r="L243">
        <v>367.02480000000003</v>
      </c>
      <c r="M243">
        <v>0.99999910000000003</v>
      </c>
      <c r="N243">
        <v>-5.1427129999999995E-4</v>
      </c>
      <c r="O243">
        <v>-1.349151E-3</v>
      </c>
      <c r="P243">
        <v>0.98761699999999997</v>
      </c>
      <c r="Q243">
        <v>0.15626760000000001</v>
      </c>
      <c r="R243">
        <v>1.391121E-2</v>
      </c>
      <c r="S243">
        <v>3.181244</v>
      </c>
      <c r="T243">
        <v>-0.88535140000000001</v>
      </c>
      <c r="U243">
        <v>-0.24908449999999999</v>
      </c>
      <c r="V243">
        <v>-1.5247810000000001E-2</v>
      </c>
      <c r="W243">
        <v>0.15677479999999999</v>
      </c>
      <c r="X243">
        <v>0.98751659999999997</v>
      </c>
      <c r="Y243">
        <v>7.3965100000000006E-2</v>
      </c>
      <c r="Z243">
        <v>-9.737997E-3</v>
      </c>
      <c r="AA243">
        <v>0.99721329999999997</v>
      </c>
      <c r="AB243">
        <v>25</v>
      </c>
      <c r="AC243">
        <v>0.51840000000004205</v>
      </c>
      <c r="AD243">
        <v>-0.21375259999999999</v>
      </c>
      <c r="AE243">
        <v>-6.0300000000040599E-2</v>
      </c>
      <c r="AF243">
        <v>5.1038896560815103E-2</v>
      </c>
      <c r="AG243">
        <v>-0.21375259999999999</v>
      </c>
      <c r="AH243">
        <v>0.44400083916590899</v>
      </c>
      <c r="AI243">
        <v>115.560590143997</v>
      </c>
      <c r="AJ243">
        <v>83.442503638175197</v>
      </c>
      <c r="AK243">
        <v>0.49541082764604299</v>
      </c>
      <c r="AL243">
        <v>80.980256040928296</v>
      </c>
      <c r="AM243">
        <v>90.884608665509603</v>
      </c>
      <c r="AN243">
        <v>0.99999993445019497</v>
      </c>
    </row>
    <row r="244" spans="1:40" x14ac:dyDescent="0.25">
      <c r="A244" t="str">
        <f>"20190303161847620"</f>
        <v>20190303161847620</v>
      </c>
      <c r="B244" t="str">
        <f>"1551601127613472"</f>
        <v>1551601127613472</v>
      </c>
      <c r="C244" t="s">
        <v>40</v>
      </c>
      <c r="D244">
        <v>4.5741019999999999</v>
      </c>
      <c r="E244">
        <v>0.53792450000000003</v>
      </c>
      <c r="F244" t="s">
        <v>42</v>
      </c>
      <c r="G244">
        <v>-455.68810000000002</v>
      </c>
      <c r="H244">
        <v>0.90995130000000002</v>
      </c>
      <c r="I244">
        <v>366.96660000000003</v>
      </c>
      <c r="J244">
        <v>-456.17790000000002</v>
      </c>
      <c r="K244">
        <v>1.1197870000000001</v>
      </c>
      <c r="L244">
        <v>367.02449999999999</v>
      </c>
      <c r="M244">
        <v>0.99999899999999997</v>
      </c>
      <c r="N244">
        <v>-5.7852519999999897E-4</v>
      </c>
      <c r="O244">
        <v>-1.3116180000000001E-3</v>
      </c>
      <c r="P244">
        <v>0.98760859999999995</v>
      </c>
      <c r="Q244">
        <v>0.15638650000000001</v>
      </c>
      <c r="R244">
        <v>1.3141109999999999E-2</v>
      </c>
      <c r="S244">
        <v>3.1817630000000001</v>
      </c>
      <c r="T244">
        <v>-0.88916849999999903</v>
      </c>
      <c r="U244">
        <v>-0.2454529</v>
      </c>
      <c r="V244">
        <v>-1.4439820000000001E-2</v>
      </c>
      <c r="W244">
        <v>0.1569576</v>
      </c>
      <c r="X244">
        <v>0.98749980000000004</v>
      </c>
      <c r="Y244">
        <v>7.2875250000000003E-2</v>
      </c>
      <c r="Z244">
        <v>-9.6404709999999994E-3</v>
      </c>
      <c r="AA244">
        <v>0.99729449999999997</v>
      </c>
      <c r="AB244">
        <v>26</v>
      </c>
      <c r="AC244">
        <v>0.48980000000000201</v>
      </c>
      <c r="AD244">
        <v>-0.20983570000000001</v>
      </c>
      <c r="AE244">
        <v>-5.7899999999960899E-2</v>
      </c>
      <c r="AF244">
        <v>4.84819644513933E-2</v>
      </c>
      <c r="AG244">
        <v>-0.20983570000000001</v>
      </c>
      <c r="AH244">
        <v>0.41479490859969598</v>
      </c>
      <c r="AI244">
        <v>116.67759366961801</v>
      </c>
      <c r="AJ244">
        <v>83.333416056166101</v>
      </c>
      <c r="AK244">
        <v>0.46737173435263102</v>
      </c>
      <c r="AL244">
        <v>80.969651912680007</v>
      </c>
      <c r="AM244">
        <v>90.837753873972304</v>
      </c>
      <c r="AN244">
        <v>1.0000000257997099</v>
      </c>
    </row>
    <row r="245" spans="1:40" x14ac:dyDescent="0.25">
      <c r="A245" t="str">
        <f>"20190303161847641"</f>
        <v>20190303161847641</v>
      </c>
      <c r="B245" t="str">
        <f>"1551601127632974"</f>
        <v>1551601127632974</v>
      </c>
      <c r="C245" t="s">
        <v>40</v>
      </c>
      <c r="D245">
        <v>4.5821779999999999</v>
      </c>
      <c r="E245">
        <v>0.53819890000000004</v>
      </c>
      <c r="F245" t="s">
        <v>42</v>
      </c>
      <c r="G245">
        <v>-455.4529</v>
      </c>
      <c r="H245">
        <v>0.91687300000000005</v>
      </c>
      <c r="I245">
        <v>366.96679999999998</v>
      </c>
      <c r="J245">
        <v>-455.92270000000002</v>
      </c>
      <c r="K245">
        <v>1.119793</v>
      </c>
      <c r="L245">
        <v>367.02420000000001</v>
      </c>
      <c r="M245">
        <v>0.99999899999999997</v>
      </c>
      <c r="N245">
        <v>-6.4444429999999998E-4</v>
      </c>
      <c r="O245">
        <v>-1.278022E-3</v>
      </c>
      <c r="P245">
        <v>0.98757890000000004</v>
      </c>
      <c r="Q245">
        <v>0.1565946</v>
      </c>
      <c r="R245">
        <v>1.289445E-2</v>
      </c>
      <c r="S245">
        <v>3.1820680000000001</v>
      </c>
      <c r="T245">
        <v>-0.89062999999999903</v>
      </c>
      <c r="U245">
        <v>-0.2515869</v>
      </c>
      <c r="V245">
        <v>-1.415949E-2</v>
      </c>
      <c r="W245">
        <v>0.1572307</v>
      </c>
      <c r="X245">
        <v>0.98746040000000002</v>
      </c>
      <c r="Y245">
        <v>7.4731240000000004E-2</v>
      </c>
      <c r="Z245">
        <v>-9.9209320000000004E-3</v>
      </c>
      <c r="AA245">
        <v>0.9971544</v>
      </c>
      <c r="AB245">
        <v>26</v>
      </c>
      <c r="AC245">
        <v>0.46980000000001998</v>
      </c>
      <c r="AD245">
        <v>-0.20291999999999999</v>
      </c>
      <c r="AE245">
        <v>-5.7400000000029601E-2</v>
      </c>
      <c r="AF245">
        <v>4.7979950262100599E-2</v>
      </c>
      <c r="AG245">
        <v>-0.20291999999999999</v>
      </c>
      <c r="AH245">
        <v>0.39691312014707802</v>
      </c>
      <c r="AI245">
        <v>116.91009456496499</v>
      </c>
      <c r="AJ245">
        <v>83.107371826749301</v>
      </c>
      <c r="AK245">
        <v>0.448351008666248</v>
      </c>
      <c r="AL245">
        <v>80.953807590252794</v>
      </c>
      <c r="AM245">
        <v>90.821525015150101</v>
      </c>
      <c r="AN245">
        <v>1.00000001287385</v>
      </c>
    </row>
    <row r="246" spans="1:40" x14ac:dyDescent="0.25">
      <c r="A246" t="str">
        <f>"20190303161847665"</f>
        <v>20190303161847665</v>
      </c>
      <c r="B246" t="str">
        <f>"1551601127653470"</f>
        <v>1551601127653470</v>
      </c>
      <c r="C246" t="s">
        <v>40</v>
      </c>
      <c r="D246">
        <v>4.6272010000000003</v>
      </c>
      <c r="E246">
        <v>0.53855869999999995</v>
      </c>
      <c r="F246" t="s">
        <v>42</v>
      </c>
      <c r="G246">
        <v>-455.21679999999998</v>
      </c>
      <c r="H246">
        <v>0.92172339999999997</v>
      </c>
      <c r="I246">
        <v>366.96749999999997</v>
      </c>
      <c r="J246">
        <v>-455.65379999999999</v>
      </c>
      <c r="K246">
        <v>1.1197950000000001</v>
      </c>
      <c r="L246">
        <v>367.02379999999999</v>
      </c>
      <c r="M246">
        <v>0.99999899999999997</v>
      </c>
      <c r="N246">
        <v>-7.1690879999999999E-4</v>
      </c>
      <c r="O246">
        <v>-1.243952E-3</v>
      </c>
      <c r="P246">
        <v>0.98765009999999998</v>
      </c>
      <c r="Q246">
        <v>0.15614510000000001</v>
      </c>
      <c r="R246">
        <v>1.290258E-2</v>
      </c>
      <c r="S246">
        <v>3.1826780000000001</v>
      </c>
      <c r="T246">
        <v>-0.89319709999999997</v>
      </c>
      <c r="U246">
        <v>-0.25424190000000002</v>
      </c>
      <c r="V246">
        <v>-1.413351E-2</v>
      </c>
      <c r="W246">
        <v>0.15685260000000001</v>
      </c>
      <c r="X246">
        <v>0.98752090000000003</v>
      </c>
      <c r="Y246">
        <v>7.5529310000000002E-2</v>
      </c>
      <c r="Z246">
        <v>-1.006845E-2</v>
      </c>
      <c r="AA246">
        <v>0.99709270000000005</v>
      </c>
      <c r="AB246">
        <v>26</v>
      </c>
      <c r="AC246">
        <v>0.43700000000001099</v>
      </c>
      <c r="AD246">
        <v>-0.19807159999999999</v>
      </c>
      <c r="AE246">
        <v>-5.63000000000215E-2</v>
      </c>
      <c r="AF246">
        <v>4.6383065380343501E-2</v>
      </c>
      <c r="AG246">
        <v>-0.19807159999999999</v>
      </c>
      <c r="AH246">
        <v>0.36359325101088602</v>
      </c>
      <c r="AI246">
        <v>118.38599866774599</v>
      </c>
      <c r="AJ246">
        <v>82.730126545942099</v>
      </c>
      <c r="AK246">
        <v>0.41663389163785303</v>
      </c>
      <c r="AL246">
        <v>80.975743286808594</v>
      </c>
      <c r="AM246">
        <v>90.819967646189596</v>
      </c>
      <c r="AN246">
        <v>1.00000001108424</v>
      </c>
    </row>
    <row r="247" spans="1:40" x14ac:dyDescent="0.25">
      <c r="A247" t="str">
        <f>"20190303161847690"</f>
        <v>20190303161847690</v>
      </c>
      <c r="B247" t="str">
        <f>"1551601127682750"</f>
        <v>1551601127682750</v>
      </c>
      <c r="C247" t="s">
        <v>40</v>
      </c>
      <c r="D247">
        <v>4.6466719999999997</v>
      </c>
      <c r="E247">
        <v>0.53892390000000001</v>
      </c>
      <c r="F247" t="s">
        <v>42</v>
      </c>
      <c r="G247">
        <v>-454.97820000000002</v>
      </c>
      <c r="H247">
        <v>0.92870439999999999</v>
      </c>
      <c r="I247">
        <v>366.96969999999999</v>
      </c>
      <c r="J247">
        <v>-455.3587</v>
      </c>
      <c r="K247">
        <v>1.119802</v>
      </c>
      <c r="L247">
        <v>367.02359999999999</v>
      </c>
      <c r="M247">
        <v>0.99999890000000002</v>
      </c>
      <c r="N247">
        <v>-7.9819839999999999E-4</v>
      </c>
      <c r="O247">
        <v>-1.2073850000000001E-3</v>
      </c>
      <c r="P247">
        <v>0.98770709999999995</v>
      </c>
      <c r="Q247">
        <v>0.15581410000000001</v>
      </c>
      <c r="R247">
        <v>1.251937E-2</v>
      </c>
      <c r="S247">
        <v>3.1831969999999998</v>
      </c>
      <c r="T247">
        <v>-0.90038779999999996</v>
      </c>
      <c r="U247">
        <v>-0.25427250000000001</v>
      </c>
      <c r="V247">
        <v>-1.3714499999999999E-2</v>
      </c>
      <c r="W247">
        <v>0.15660250000000001</v>
      </c>
      <c r="X247">
        <v>0.98756650000000001</v>
      </c>
      <c r="Y247">
        <v>7.5516169999999994E-2</v>
      </c>
      <c r="Z247">
        <v>-1.0156180000000001E-2</v>
      </c>
      <c r="AA247">
        <v>0.9970928</v>
      </c>
      <c r="AB247">
        <v>26</v>
      </c>
      <c r="AC247">
        <v>0.38049999999998302</v>
      </c>
      <c r="AD247">
        <v>-0.19109760000000001</v>
      </c>
      <c r="AE247">
        <v>-5.3899999999998699E-2</v>
      </c>
      <c r="AF247">
        <v>4.2845990778239501E-2</v>
      </c>
      <c r="AG247">
        <v>-0.19109760000000001</v>
      </c>
      <c r="AH247">
        <v>0.30511803817444599</v>
      </c>
      <c r="AI247">
        <v>121.808095584981</v>
      </c>
      <c r="AJ247">
        <v>82.006547015929897</v>
      </c>
      <c r="AK247">
        <v>0.36256184144356901</v>
      </c>
      <c r="AL247">
        <v>80.990252266122198</v>
      </c>
      <c r="AM247">
        <v>90.795624862064599</v>
      </c>
      <c r="AN247">
        <v>1.0000000112193701</v>
      </c>
    </row>
    <row r="248" spans="1:40" x14ac:dyDescent="0.25">
      <c r="A248" t="str">
        <f>"20190303161847711"</f>
        <v>20190303161847711</v>
      </c>
      <c r="B248" t="str">
        <f>"1551601127703246"</f>
        <v>1551601127703246</v>
      </c>
      <c r="C248" t="s">
        <v>40</v>
      </c>
      <c r="D248">
        <v>4.7057399999999996</v>
      </c>
      <c r="E248">
        <v>0.53894249999999999</v>
      </c>
      <c r="F248" t="s">
        <v>42</v>
      </c>
      <c r="G248">
        <v>-454.52280000000002</v>
      </c>
      <c r="H248">
        <v>0.88082959999999999</v>
      </c>
      <c r="I248">
        <v>366.95530000000002</v>
      </c>
      <c r="J248">
        <v>-455.10629999999998</v>
      </c>
      <c r="K248">
        <v>1.119804</v>
      </c>
      <c r="L248">
        <v>367.02330000000001</v>
      </c>
      <c r="M248">
        <v>0.99999899999999997</v>
      </c>
      <c r="N248">
        <v>-8.683861E-4</v>
      </c>
      <c r="O248">
        <v>-1.1757029999999999E-3</v>
      </c>
      <c r="P248">
        <v>0.98776359999999996</v>
      </c>
      <c r="Q248">
        <v>0.15548120000000001</v>
      </c>
      <c r="R248">
        <v>1.219583E-2</v>
      </c>
      <c r="S248">
        <v>3.1842350000000001</v>
      </c>
      <c r="T248">
        <v>-0.91042509999999999</v>
      </c>
      <c r="U248">
        <v>-0.25930789999999998</v>
      </c>
      <c r="V248">
        <v>-1.336E-2</v>
      </c>
      <c r="W248">
        <v>0.1563388</v>
      </c>
      <c r="X248">
        <v>0.98761310000000002</v>
      </c>
      <c r="Y248">
        <v>7.6966989999999999E-2</v>
      </c>
      <c r="Z248">
        <v>-1.047623E-2</v>
      </c>
      <c r="AA248">
        <v>0.99697860000000005</v>
      </c>
      <c r="AB248">
        <v>27</v>
      </c>
      <c r="AC248">
        <v>0.58349999999995805</v>
      </c>
      <c r="AD248">
        <v>-0.2389744</v>
      </c>
      <c r="AE248">
        <v>-6.7999999999983601E-2</v>
      </c>
      <c r="AF248">
        <v>5.7756079727078302E-2</v>
      </c>
      <c r="AG248">
        <v>-0.2389744</v>
      </c>
      <c r="AH248">
        <v>0.50071755811804597</v>
      </c>
      <c r="AI248">
        <v>115.366577106162</v>
      </c>
      <c r="AJ248">
        <v>83.420203520782295</v>
      </c>
      <c r="AK248">
        <v>0.55781950629975197</v>
      </c>
      <c r="AL248">
        <v>81.005549236236902</v>
      </c>
      <c r="AM248">
        <v>90.775025085154397</v>
      </c>
      <c r="AN248">
        <v>0.99999997263852403</v>
      </c>
    </row>
    <row r="249" spans="1:40" x14ac:dyDescent="0.25">
      <c r="A249" t="str">
        <f>"20190303161847723"</f>
        <v>20190303161847723</v>
      </c>
      <c r="B249" t="str">
        <f>"1551601127713006"</f>
        <v>1551601127713006</v>
      </c>
      <c r="C249" t="s">
        <v>40</v>
      </c>
      <c r="D249">
        <v>4.6813609999999999</v>
      </c>
      <c r="E249">
        <v>0.53892830000000003</v>
      </c>
      <c r="F249" t="s">
        <v>42</v>
      </c>
      <c r="G249">
        <v>-454.28199999999998</v>
      </c>
      <c r="H249">
        <v>0.8825617</v>
      </c>
      <c r="I249">
        <v>366.95609999999999</v>
      </c>
      <c r="J249">
        <v>-454.94439999999997</v>
      </c>
      <c r="K249">
        <v>1.1198049999999999</v>
      </c>
      <c r="L249">
        <v>367.0231</v>
      </c>
      <c r="M249">
        <v>0.99999890000000002</v>
      </c>
      <c r="N249">
        <v>-9.1362189999999997E-4</v>
      </c>
      <c r="O249">
        <v>-1.1554569999999999E-3</v>
      </c>
      <c r="P249">
        <v>0.98781920000000001</v>
      </c>
      <c r="Q249">
        <v>0.15515419999999999</v>
      </c>
      <c r="R249">
        <v>1.1853499999999999E-2</v>
      </c>
      <c r="S249">
        <v>3.184631</v>
      </c>
      <c r="T249">
        <v>-0.91663550000000005</v>
      </c>
      <c r="U249">
        <v>-0.25927729999999999</v>
      </c>
      <c r="V249">
        <v>-1.2997969999999999E-2</v>
      </c>
      <c r="W249">
        <v>0.15605620000000001</v>
      </c>
      <c r="X249">
        <v>0.9876627</v>
      </c>
      <c r="Y249">
        <v>7.6928029999999994E-2</v>
      </c>
      <c r="Z249">
        <v>-1.0545469999999999E-2</v>
      </c>
      <c r="AA249">
        <v>0.99698089999999995</v>
      </c>
      <c r="AB249">
        <v>27</v>
      </c>
      <c r="AC249">
        <v>0.662399999999991</v>
      </c>
      <c r="AD249">
        <v>-0.23724329999999999</v>
      </c>
      <c r="AE249">
        <v>-6.7000000000007207E-2</v>
      </c>
      <c r="AF249">
        <v>5.8771876142290597E-2</v>
      </c>
      <c r="AG249">
        <v>-0.23724329999999999</v>
      </c>
      <c r="AH249">
        <v>0.58783515346023196</v>
      </c>
      <c r="AI249">
        <v>111.879703899479</v>
      </c>
      <c r="AJ249">
        <v>84.2905300954274</v>
      </c>
      <c r="AK249">
        <v>0.63662287459986</v>
      </c>
      <c r="AL249">
        <v>81.021942906297795</v>
      </c>
      <c r="AM249">
        <v>90.753988009698602</v>
      </c>
      <c r="AN249">
        <v>1.0000000468769199</v>
      </c>
    </row>
    <row r="250" spans="1:40" x14ac:dyDescent="0.25">
      <c r="A250" t="str">
        <f>"20190303161847742"</f>
        <v>20190303161847742</v>
      </c>
      <c r="B250" t="str">
        <f>"1551601127733224"</f>
        <v>1551601127733224</v>
      </c>
      <c r="C250" t="s">
        <v>40</v>
      </c>
      <c r="D250">
        <v>4.6892809999999896</v>
      </c>
      <c r="E250">
        <v>0.53888409999999998</v>
      </c>
      <c r="F250" t="s">
        <v>42</v>
      </c>
      <c r="G250">
        <v>-454.26479999999998</v>
      </c>
      <c r="H250">
        <v>0.92365529999999996</v>
      </c>
      <c r="I250">
        <v>366.9674</v>
      </c>
      <c r="J250">
        <v>-454.7235</v>
      </c>
      <c r="K250">
        <v>1.119804</v>
      </c>
      <c r="L250">
        <v>367.02280000000002</v>
      </c>
      <c r="M250">
        <v>0.99999899999999997</v>
      </c>
      <c r="N250">
        <v>-9.7531219999999995E-4</v>
      </c>
      <c r="O250">
        <v>-1.1272330000000001E-3</v>
      </c>
      <c r="P250">
        <v>0.98799389999999998</v>
      </c>
      <c r="Q250">
        <v>0.1540889</v>
      </c>
      <c r="R250">
        <v>1.1167409999999999E-2</v>
      </c>
      <c r="S250">
        <v>3.1844790000000001</v>
      </c>
      <c r="T250">
        <v>-0.91918719999999998</v>
      </c>
      <c r="U250">
        <v>-0.26046750000000002</v>
      </c>
      <c r="V250">
        <v>-1.2284089999999999E-2</v>
      </c>
      <c r="W250">
        <v>0.15505239999999901</v>
      </c>
      <c r="X250">
        <v>0.98782990000000004</v>
      </c>
      <c r="Y250">
        <v>7.7296409999999996E-2</v>
      </c>
      <c r="Z250">
        <v>-1.063656E-2</v>
      </c>
      <c r="AA250">
        <v>0.99695140000000004</v>
      </c>
      <c r="AB250">
        <v>27</v>
      </c>
      <c r="AC250">
        <v>0.45870000000002098</v>
      </c>
      <c r="AD250">
        <v>-0.19614870000000001</v>
      </c>
      <c r="AE250">
        <v>-5.54000000000201E-2</v>
      </c>
      <c r="AF250">
        <v>4.6501918616986701E-2</v>
      </c>
      <c r="AG250">
        <v>-0.19614870000000001</v>
      </c>
      <c r="AH250">
        <v>0.388706125236921</v>
      </c>
      <c r="AI250">
        <v>116.613012058734</v>
      </c>
      <c r="AJ250">
        <v>83.177979974214693</v>
      </c>
      <c r="AK250">
        <v>0.43786892187440202</v>
      </c>
      <c r="AL250">
        <v>81.080164963312896</v>
      </c>
      <c r="AM250">
        <v>90.712460956719795</v>
      </c>
      <c r="AN250">
        <v>1.0000000284734401</v>
      </c>
    </row>
    <row r="251" spans="1:40" x14ac:dyDescent="0.25">
      <c r="A251" t="str">
        <f>"20190303161847754"</f>
        <v>20190303161847754</v>
      </c>
      <c r="B251" t="str">
        <f>"1551601127742984"</f>
        <v>1551601127742984</v>
      </c>
      <c r="C251" t="s">
        <v>40</v>
      </c>
      <c r="D251">
        <v>4.6588529999999997</v>
      </c>
      <c r="E251">
        <v>0.53905990000000004</v>
      </c>
      <c r="F251" t="s">
        <v>42</v>
      </c>
      <c r="G251">
        <v>-454.02609999999999</v>
      </c>
      <c r="H251">
        <v>0.91704269999999999</v>
      </c>
      <c r="I251">
        <v>366.96530000000001</v>
      </c>
      <c r="J251">
        <v>-454.57279999999997</v>
      </c>
      <c r="K251">
        <v>1.119804</v>
      </c>
      <c r="L251">
        <v>367.02269999999999</v>
      </c>
      <c r="M251">
        <v>0.99999899999999997</v>
      </c>
      <c r="N251">
        <v>-1.017275E-3</v>
      </c>
      <c r="O251">
        <v>-1.1081789999999999E-3</v>
      </c>
      <c r="P251">
        <v>0.98806289999999997</v>
      </c>
      <c r="Q251">
        <v>0.1536527</v>
      </c>
      <c r="R251">
        <v>1.1087120000000001E-2</v>
      </c>
      <c r="S251">
        <v>3.1838380000000002</v>
      </c>
      <c r="T251">
        <v>-0.92571760000000003</v>
      </c>
      <c r="U251">
        <v>-0.26187129999999997</v>
      </c>
      <c r="V251">
        <v>-1.218546E-2</v>
      </c>
      <c r="W251">
        <v>0.15465760000000001</v>
      </c>
      <c r="X251">
        <v>0.98789300000000002</v>
      </c>
      <c r="Y251">
        <v>7.770581E-2</v>
      </c>
      <c r="Z251">
        <v>-1.0776289999999999E-2</v>
      </c>
      <c r="AA251">
        <v>0.99691810000000003</v>
      </c>
      <c r="AB251">
        <v>27</v>
      </c>
      <c r="AC251">
        <v>0.54669999999998697</v>
      </c>
      <c r="AD251">
        <v>-0.20276130000000001</v>
      </c>
      <c r="AE251">
        <v>-5.7399999999972799E-2</v>
      </c>
      <c r="AF251">
        <v>4.9992459135895902E-2</v>
      </c>
      <c r="AG251">
        <v>-0.20276130000000001</v>
      </c>
      <c r="AH251">
        <v>0.48128290656581402</v>
      </c>
      <c r="AI251">
        <v>112.735574828466</v>
      </c>
      <c r="AJ251">
        <v>84.069763878666606</v>
      </c>
      <c r="AK251">
        <v>0.52463761483578597</v>
      </c>
      <c r="AL251">
        <v>81.103061448680904</v>
      </c>
      <c r="AM251">
        <v>90.706695992554202</v>
      </c>
      <c r="AN251">
        <v>1.00000001906108</v>
      </c>
    </row>
    <row r="252" spans="1:40" x14ac:dyDescent="0.25">
      <c r="A252" t="str">
        <f>"20190303161847767"</f>
        <v>20190303161847767</v>
      </c>
      <c r="B252" t="str">
        <f>"1551601127763480"</f>
        <v>1551601127763480</v>
      </c>
      <c r="C252" t="s">
        <v>40</v>
      </c>
      <c r="D252">
        <v>4.7086940000000004</v>
      </c>
      <c r="E252">
        <v>0.53915259999999998</v>
      </c>
      <c r="F252" t="s">
        <v>42</v>
      </c>
      <c r="G252">
        <v>-453.79329999999999</v>
      </c>
      <c r="H252">
        <v>0.89267540000000001</v>
      </c>
      <c r="I252">
        <v>366.95800000000003</v>
      </c>
      <c r="J252">
        <v>-454.41820000000001</v>
      </c>
      <c r="K252">
        <v>1.1197979999999901</v>
      </c>
      <c r="L252">
        <v>367.02249999999998</v>
      </c>
      <c r="M252">
        <v>0.99999890000000002</v>
      </c>
      <c r="N252">
        <v>-1.0601919999999999E-3</v>
      </c>
      <c r="O252">
        <v>-1.08865E-3</v>
      </c>
      <c r="P252">
        <v>0.98813300000000004</v>
      </c>
      <c r="Q252">
        <v>0.15322189999999999</v>
      </c>
      <c r="R252">
        <v>1.078575E-2</v>
      </c>
      <c r="S252">
        <v>3.1834410000000002</v>
      </c>
      <c r="T252">
        <v>-0.92747329999999994</v>
      </c>
      <c r="U252">
        <v>-0.26345829999999998</v>
      </c>
      <c r="V252">
        <v>-1.1864919999999999E-2</v>
      </c>
      <c r="W252">
        <v>0.1542694</v>
      </c>
      <c r="X252">
        <v>0.98795759999999999</v>
      </c>
      <c r="Y252">
        <v>7.8195039999999993E-2</v>
      </c>
      <c r="Z252">
        <v>-1.0874190000000001E-2</v>
      </c>
      <c r="AA252">
        <v>0.99687870000000001</v>
      </c>
      <c r="AB252">
        <v>27</v>
      </c>
      <c r="AC252">
        <v>0.62490000000002499</v>
      </c>
      <c r="AD252">
        <v>-0.22712259999999901</v>
      </c>
      <c r="AE252">
        <v>-6.4499999999952706E-2</v>
      </c>
      <c r="AF252">
        <v>5.6442288094799703E-2</v>
      </c>
      <c r="AG252">
        <v>-0.22712259999999901</v>
      </c>
      <c r="AH252">
        <v>0.55272506864531301</v>
      </c>
      <c r="AI252">
        <v>112.234174024876</v>
      </c>
      <c r="AJ252">
        <v>84.169372631216106</v>
      </c>
      <c r="AK252">
        <v>0.60022946347634598</v>
      </c>
      <c r="AL252">
        <v>81.125573876783406</v>
      </c>
      <c r="AM252">
        <v>90.688063091262194</v>
      </c>
      <c r="AN252">
        <v>1.00000002175036</v>
      </c>
    </row>
    <row r="253" spans="1:40" x14ac:dyDescent="0.25">
      <c r="A253" t="str">
        <f>"20190303161847787"</f>
        <v>20190303161847787</v>
      </c>
      <c r="B253" t="str">
        <f>"1551601127783000"</f>
        <v>1551601127783000</v>
      </c>
      <c r="C253" t="s">
        <v>40</v>
      </c>
      <c r="D253">
        <v>4.713762</v>
      </c>
      <c r="E253">
        <v>0.53918269999999902</v>
      </c>
      <c r="F253" t="s">
        <v>42</v>
      </c>
      <c r="G253">
        <v>-453.55790000000002</v>
      </c>
      <c r="H253">
        <v>0.86834609999999901</v>
      </c>
      <c r="I253">
        <v>366.95069999999998</v>
      </c>
      <c r="J253">
        <v>-454.1671</v>
      </c>
      <c r="K253">
        <v>1.1197979999999901</v>
      </c>
      <c r="L253">
        <v>367.02229999999997</v>
      </c>
      <c r="M253">
        <v>0.99999879999999997</v>
      </c>
      <c r="N253">
        <v>-1.1295019999999999E-3</v>
      </c>
      <c r="O253">
        <v>-1.05638E-3</v>
      </c>
      <c r="P253">
        <v>0.98824100000000004</v>
      </c>
      <c r="Q253">
        <v>0.15253129999999901</v>
      </c>
      <c r="R253">
        <v>1.0679060000000001E-2</v>
      </c>
      <c r="S253">
        <v>3.1831969999999998</v>
      </c>
      <c r="T253">
        <v>-0.93036890000000005</v>
      </c>
      <c r="U253">
        <v>-0.2649841</v>
      </c>
      <c r="V253">
        <v>-1.1727100000000001E-2</v>
      </c>
      <c r="W253">
        <v>0.15364749999999999</v>
      </c>
      <c r="X253">
        <v>0.98805609999999999</v>
      </c>
      <c r="Y253">
        <v>7.8666349999999996E-2</v>
      </c>
      <c r="Z253">
        <v>-1.0986910000000001E-2</v>
      </c>
      <c r="AA253">
        <v>0.99684050000000002</v>
      </c>
      <c r="AB253">
        <v>27</v>
      </c>
      <c r="AC253">
        <v>0.60919999999998697</v>
      </c>
      <c r="AD253">
        <v>-0.25145189999999901</v>
      </c>
      <c r="AE253">
        <v>-7.1599999999989394E-2</v>
      </c>
      <c r="AF253">
        <v>6.0747885206445897E-2</v>
      </c>
      <c r="AG253">
        <v>-0.25145189999999901</v>
      </c>
      <c r="AH253">
        <v>0.52161861435867696</v>
      </c>
      <c r="AI253">
        <v>115.58624658962999</v>
      </c>
      <c r="AJ253">
        <v>83.357237696441999</v>
      </c>
      <c r="AK253">
        <v>0.58224079418753505</v>
      </c>
      <c r="AL253">
        <v>81.161635600495899</v>
      </c>
      <c r="AM253">
        <v>90.680003683816693</v>
      </c>
      <c r="AN253">
        <v>0.99999996793893398</v>
      </c>
    </row>
    <row r="254" spans="1:40" x14ac:dyDescent="0.25">
      <c r="A254" t="str">
        <f>"20190303161847800"</f>
        <v>20190303161847800</v>
      </c>
      <c r="B254" t="str">
        <f>"1551601127792761"</f>
        <v>1551601127792761</v>
      </c>
      <c r="C254" t="s">
        <v>40</v>
      </c>
      <c r="D254">
        <v>4.6982710000000001</v>
      </c>
      <c r="E254">
        <v>0.53923089999999996</v>
      </c>
      <c r="F254" t="s">
        <v>42</v>
      </c>
      <c r="G254">
        <v>-453.3116</v>
      </c>
      <c r="H254">
        <v>0.86859189999999997</v>
      </c>
      <c r="I254">
        <v>366.95069999999998</v>
      </c>
      <c r="J254">
        <v>-454.01530000000002</v>
      </c>
      <c r="K254">
        <v>1.119802</v>
      </c>
      <c r="L254">
        <v>367.0222</v>
      </c>
      <c r="M254">
        <v>0.99999879999999997</v>
      </c>
      <c r="N254">
        <v>-1.1710430000000001E-3</v>
      </c>
      <c r="O254">
        <v>-1.0370920000000001E-3</v>
      </c>
      <c r="P254">
        <v>0.98826999999999998</v>
      </c>
      <c r="Q254">
        <v>0.15234329999999999</v>
      </c>
      <c r="R254">
        <v>1.0680810000000001E-2</v>
      </c>
      <c r="S254">
        <v>3.1828310000000002</v>
      </c>
      <c r="T254">
        <v>-0.93464020000000003</v>
      </c>
      <c r="U254">
        <v>-0.26528930000000001</v>
      </c>
      <c r="V254">
        <v>-1.170947E-2</v>
      </c>
      <c r="W254">
        <v>0.15350050000000001</v>
      </c>
      <c r="X254">
        <v>0.98807920000000005</v>
      </c>
      <c r="Y254">
        <v>7.8755099999999995E-2</v>
      </c>
      <c r="Z254">
        <v>-1.105632E-2</v>
      </c>
      <c r="AA254">
        <v>0.99683270000000002</v>
      </c>
      <c r="AB254">
        <v>27</v>
      </c>
      <c r="AC254">
        <v>0.70370000000002597</v>
      </c>
      <c r="AD254">
        <v>-0.25121009999999999</v>
      </c>
      <c r="AE254">
        <v>-7.1500000000014496E-2</v>
      </c>
      <c r="AF254">
        <v>6.2843359003175295E-2</v>
      </c>
      <c r="AG254">
        <v>-0.25121009999999999</v>
      </c>
      <c r="AH254">
        <v>0.62494571548819799</v>
      </c>
      <c r="AI254">
        <v>111.79913764733401</v>
      </c>
      <c r="AJ254">
        <v>84.257747965709996</v>
      </c>
      <c r="AK254">
        <v>0.67647095238440802</v>
      </c>
      <c r="AL254">
        <v>81.170159571789796</v>
      </c>
      <c r="AM254">
        <v>90.678965620119698</v>
      </c>
      <c r="AN254">
        <v>1.00000001033028</v>
      </c>
    </row>
    <row r="255" spans="1:40" x14ac:dyDescent="0.25">
      <c r="A255" t="str">
        <f>"20190303161847813"</f>
        <v>20190303161847813</v>
      </c>
      <c r="B255" t="str">
        <f>"1551601127803498"</f>
        <v>1551601127803498</v>
      </c>
      <c r="C255" t="s">
        <v>40</v>
      </c>
      <c r="D255">
        <v>4.7001819999999999</v>
      </c>
      <c r="E255">
        <v>0.53925959999999995</v>
      </c>
      <c r="F255" t="s">
        <v>42</v>
      </c>
      <c r="G255">
        <v>-453.29590000000002</v>
      </c>
      <c r="H255">
        <v>0.90819939999999999</v>
      </c>
      <c r="I255">
        <v>366.96179999999998</v>
      </c>
      <c r="J255">
        <v>-453.8569</v>
      </c>
      <c r="K255">
        <v>1.1198060000000001</v>
      </c>
      <c r="L255">
        <v>367.02199999999999</v>
      </c>
      <c r="M255">
        <v>0.99999890000000002</v>
      </c>
      <c r="N255">
        <v>-1.214141E-3</v>
      </c>
      <c r="O255">
        <v>-1.016851E-3</v>
      </c>
      <c r="P255">
        <v>0.98828859999999996</v>
      </c>
      <c r="Q255">
        <v>0.1522106</v>
      </c>
      <c r="R255">
        <v>1.086137E-2</v>
      </c>
      <c r="S255">
        <v>3.1827700000000001</v>
      </c>
      <c r="T255">
        <v>-0.93609240000000005</v>
      </c>
      <c r="U255">
        <v>-0.26614379999999999</v>
      </c>
      <c r="V255">
        <v>-1.186983E-2</v>
      </c>
      <c r="W255">
        <v>0.15340999999999999</v>
      </c>
      <c r="X255">
        <v>0.98809130000000001</v>
      </c>
      <c r="Y255">
        <v>7.9020060000000003E-2</v>
      </c>
      <c r="Z255">
        <v>-1.1118650000000001E-2</v>
      </c>
      <c r="AA255">
        <v>0.996811</v>
      </c>
      <c r="AB255">
        <v>27</v>
      </c>
      <c r="AC255">
        <v>0.56099999999997796</v>
      </c>
      <c r="AD255">
        <v>-0.21160659999999901</v>
      </c>
      <c r="AE255">
        <v>-6.0200000000008899E-2</v>
      </c>
      <c r="AF255">
        <v>5.2276479604977701E-2</v>
      </c>
      <c r="AG255">
        <v>-0.21160659999999901</v>
      </c>
      <c r="AH255">
        <v>0.49187537258385</v>
      </c>
      <c r="AI255">
        <v>113.16096851262201</v>
      </c>
      <c r="AJ255">
        <v>83.933381905016603</v>
      </c>
      <c r="AK255">
        <v>0.53800703121608995</v>
      </c>
      <c r="AL255">
        <v>81.175406625150103</v>
      </c>
      <c r="AM255">
        <v>90.688254669216406</v>
      </c>
      <c r="AN255">
        <v>0.99999996904995803</v>
      </c>
    </row>
    <row r="256" spans="1:40" x14ac:dyDescent="0.25">
      <c r="A256" t="str">
        <f>"20190303161847832"</f>
        <v>20190303161847832</v>
      </c>
      <c r="B256" t="str">
        <f>"1551601127823016"</f>
        <v>1551601127823016</v>
      </c>
      <c r="C256" t="s">
        <v>40</v>
      </c>
      <c r="D256">
        <v>4.7225910000000004</v>
      </c>
      <c r="E256">
        <v>0.53937800000000002</v>
      </c>
      <c r="F256" t="s">
        <v>42</v>
      </c>
      <c r="G256">
        <v>-453.05770000000001</v>
      </c>
      <c r="H256">
        <v>0.88454809999999995</v>
      </c>
      <c r="I256">
        <v>366.95490000000001</v>
      </c>
      <c r="J256">
        <v>-453.61489999999998</v>
      </c>
      <c r="K256">
        <v>1.1198140000000001</v>
      </c>
      <c r="L256">
        <v>367.02179999999998</v>
      </c>
      <c r="M256">
        <v>0.99999879999999997</v>
      </c>
      <c r="N256">
        <v>-1.279557E-3</v>
      </c>
      <c r="O256">
        <v>-9.8613429999999994E-4</v>
      </c>
      <c r="P256">
        <v>0.98830750000000001</v>
      </c>
      <c r="Q256">
        <v>0.1521062</v>
      </c>
      <c r="R256">
        <v>1.060526E-2</v>
      </c>
      <c r="S256">
        <v>3.1827999999999999</v>
      </c>
      <c r="T256">
        <v>-0.93689920000000004</v>
      </c>
      <c r="U256">
        <v>-0.26538089999999998</v>
      </c>
      <c r="V256">
        <v>-1.1583909999999999E-2</v>
      </c>
      <c r="W256">
        <v>0.15337039999999999</v>
      </c>
      <c r="X256">
        <v>0.98810089999999995</v>
      </c>
      <c r="Y256">
        <v>7.8813659999999994E-2</v>
      </c>
      <c r="Z256">
        <v>-1.110949E-2</v>
      </c>
      <c r="AA256">
        <v>0.99682749999999998</v>
      </c>
      <c r="AB256">
        <v>28</v>
      </c>
      <c r="AC256">
        <v>0.55719999999996594</v>
      </c>
      <c r="AD256">
        <v>-0.235265899999999</v>
      </c>
      <c r="AE256">
        <v>-6.6899999999975507E-2</v>
      </c>
      <c r="AF256">
        <v>5.6432784306527699E-2</v>
      </c>
      <c r="AG256">
        <v>-0.235265899999999</v>
      </c>
      <c r="AH256">
        <v>0.47396867287981098</v>
      </c>
      <c r="AI256">
        <v>116.238363114753</v>
      </c>
      <c r="AJ256">
        <v>83.210078738360707</v>
      </c>
      <c r="AK256">
        <v>0.532147541306775</v>
      </c>
      <c r="AL256">
        <v>81.177703231095805</v>
      </c>
      <c r="AM256">
        <v>90.671671030170103</v>
      </c>
      <c r="AN256">
        <v>1.00000002757392</v>
      </c>
    </row>
    <row r="257" spans="1:40" x14ac:dyDescent="0.25">
      <c r="A257" t="str">
        <f>"20190303161847846"</f>
        <v>20190303161847846</v>
      </c>
      <c r="B257" t="str">
        <f>"1551601127843512"</f>
        <v>1551601127843512</v>
      </c>
      <c r="C257" t="s">
        <v>40</v>
      </c>
      <c r="D257">
        <v>4.7401869999999997</v>
      </c>
      <c r="E257">
        <v>0.53945650000000001</v>
      </c>
      <c r="F257" t="s">
        <v>42</v>
      </c>
      <c r="G257">
        <v>-452.80930000000001</v>
      </c>
      <c r="H257">
        <v>0.88258530000000002</v>
      </c>
      <c r="I257">
        <v>366.95400000000001</v>
      </c>
      <c r="J257">
        <v>-453.44709999999998</v>
      </c>
      <c r="K257">
        <v>1.1198170000000001</v>
      </c>
      <c r="L257">
        <v>367.02170000000001</v>
      </c>
      <c r="M257">
        <v>0.99999879999999997</v>
      </c>
      <c r="N257">
        <v>-1.3246320000000001E-3</v>
      </c>
      <c r="O257">
        <v>-9.6494340000000004E-4</v>
      </c>
      <c r="P257">
        <v>0.98830620000000002</v>
      </c>
      <c r="Q257">
        <v>0.1520994</v>
      </c>
      <c r="R257">
        <v>1.0806629999999999E-2</v>
      </c>
      <c r="S257">
        <v>3.1825869999999998</v>
      </c>
      <c r="T257">
        <v>-0.9372511</v>
      </c>
      <c r="U257">
        <v>-0.26748660000000002</v>
      </c>
      <c r="V257">
        <v>-1.176429E-2</v>
      </c>
      <c r="W257">
        <v>0.15340819999999999</v>
      </c>
      <c r="X257">
        <v>0.98809290000000005</v>
      </c>
      <c r="Y257">
        <v>7.9463679999999995E-2</v>
      </c>
      <c r="Z257">
        <v>-1.1215839999999999E-2</v>
      </c>
      <c r="AA257">
        <v>0.99677470000000001</v>
      </c>
      <c r="AB257">
        <v>28</v>
      </c>
      <c r="AC257">
        <v>0.63779999999996995</v>
      </c>
      <c r="AD257">
        <v>-0.23723169999999999</v>
      </c>
      <c r="AE257">
        <v>-6.7700000000001995E-2</v>
      </c>
      <c r="AF257">
        <v>5.9011323092320302E-2</v>
      </c>
      <c r="AG257">
        <v>-0.23723169999999999</v>
      </c>
      <c r="AH257">
        <v>0.56110195558712195</v>
      </c>
      <c r="AI257">
        <v>112.805636292258</v>
      </c>
      <c r="AJ257">
        <v>83.996249882350298</v>
      </c>
      <c r="AK257">
        <v>0.61204298893271203</v>
      </c>
      <c r="AL257">
        <v>81.175511505673398</v>
      </c>
      <c r="AM257">
        <v>90.682134563611996</v>
      </c>
      <c r="AN257">
        <v>1.0000000266884199</v>
      </c>
    </row>
    <row r="258" spans="1:40" x14ac:dyDescent="0.25">
      <c r="A258" t="str">
        <f>"20190303161847860"</f>
        <v>20190303161847860</v>
      </c>
      <c r="B258" t="str">
        <f>"1551601127853272"</f>
        <v>1551601127853272</v>
      </c>
      <c r="C258" t="s">
        <v>40</v>
      </c>
      <c r="D258">
        <v>4.7459059999999997</v>
      </c>
      <c r="E258">
        <v>0.53937460000000004</v>
      </c>
      <c r="F258" t="s">
        <v>42</v>
      </c>
      <c r="G258">
        <v>-452.56700000000001</v>
      </c>
      <c r="H258">
        <v>0.86033839999999995</v>
      </c>
      <c r="I258">
        <v>366.94740000000002</v>
      </c>
      <c r="J258">
        <v>-453.27089999999998</v>
      </c>
      <c r="K258">
        <v>1.1198170000000001</v>
      </c>
      <c r="L258">
        <v>367.0215</v>
      </c>
      <c r="M258">
        <v>0.99999859999999896</v>
      </c>
      <c r="N258">
        <v>-1.3715890000000001E-3</v>
      </c>
      <c r="O258">
        <v>-9.4268189999999999E-4</v>
      </c>
      <c r="P258">
        <v>0.98829480000000003</v>
      </c>
      <c r="Q258">
        <v>0.15215789999999901</v>
      </c>
      <c r="R258">
        <v>1.1033960000000001E-2</v>
      </c>
      <c r="S258">
        <v>3.1828919999999998</v>
      </c>
      <c r="T258">
        <v>-0.93851980000000002</v>
      </c>
      <c r="U258">
        <v>-0.26687620000000001</v>
      </c>
      <c r="V258">
        <v>-1.196999E-2</v>
      </c>
      <c r="W258">
        <v>0.15351319999999999</v>
      </c>
      <c r="X258">
        <v>0.98807409999999996</v>
      </c>
      <c r="Y258">
        <v>7.928586E-2</v>
      </c>
      <c r="Z258">
        <v>-1.121198E-2</v>
      </c>
      <c r="AA258">
        <v>0.99678889999999998</v>
      </c>
      <c r="AB258">
        <v>28</v>
      </c>
      <c r="AC258">
        <v>0.70390000000003194</v>
      </c>
      <c r="AD258">
        <v>-0.2594786</v>
      </c>
      <c r="AE258">
        <v>-7.4099999999987107E-2</v>
      </c>
      <c r="AF258">
        <v>6.4735985292498494E-2</v>
      </c>
      <c r="AG258">
        <v>-0.2594786</v>
      </c>
      <c r="AH258">
        <v>0.62056628509446998</v>
      </c>
      <c r="AI258">
        <v>112.581218369992</v>
      </c>
      <c r="AJ258">
        <v>84.044582083147404</v>
      </c>
      <c r="AK258">
        <v>0.67573841525082901</v>
      </c>
      <c r="AL258">
        <v>81.169423141467604</v>
      </c>
      <c r="AM258">
        <v>90.694073814811802</v>
      </c>
      <c r="AN258">
        <v>1.0000000051628199</v>
      </c>
    </row>
    <row r="259" spans="1:40" x14ac:dyDescent="0.25">
      <c r="A259" t="str">
        <f>"20190303161847878"</f>
        <v>20190303161847878</v>
      </c>
      <c r="B259" t="str">
        <f>"1551601127872792"</f>
        <v>1551601127872792</v>
      </c>
      <c r="C259" t="s">
        <v>40</v>
      </c>
      <c r="D259">
        <v>4.7113300000000002</v>
      </c>
      <c r="E259">
        <v>0.53889969999999998</v>
      </c>
      <c r="F259" t="s">
        <v>42</v>
      </c>
      <c r="G259">
        <v>-452.5489</v>
      </c>
      <c r="H259">
        <v>0.90657580000000004</v>
      </c>
      <c r="I259">
        <v>366.96080000000001</v>
      </c>
      <c r="J259">
        <v>-453.05</v>
      </c>
      <c r="K259">
        <v>1.119818</v>
      </c>
      <c r="L259">
        <v>367.0213</v>
      </c>
      <c r="M259">
        <v>0.99999859999999896</v>
      </c>
      <c r="N259">
        <v>-1.4300980000000001E-3</v>
      </c>
      <c r="O259">
        <v>-9.161382E-4</v>
      </c>
      <c r="P259">
        <v>0.98839339999999998</v>
      </c>
      <c r="Q259">
        <v>0.1514654</v>
      </c>
      <c r="R259">
        <v>1.169183E-2</v>
      </c>
      <c r="S259">
        <v>3.1832889999999998</v>
      </c>
      <c r="T259">
        <v>-0.94012779999999996</v>
      </c>
      <c r="U259">
        <v>-0.26556400000000002</v>
      </c>
      <c r="V259">
        <v>-1.2601640000000001E-2</v>
      </c>
      <c r="W259">
        <v>0.1528785</v>
      </c>
      <c r="X259">
        <v>0.98816470000000001</v>
      </c>
      <c r="Y259">
        <v>7.8898120000000002E-2</v>
      </c>
      <c r="Z259">
        <v>-1.118297E-2</v>
      </c>
      <c r="AA259">
        <v>0.99682000000000004</v>
      </c>
      <c r="AB259">
        <v>28</v>
      </c>
      <c r="AC259">
        <v>0.50110000000000798</v>
      </c>
      <c r="AD259">
        <v>-0.21324219999999999</v>
      </c>
      <c r="AE259">
        <v>-6.0499999999990402E-2</v>
      </c>
      <c r="AF259">
        <v>5.0947334922656802E-2</v>
      </c>
      <c r="AG259">
        <v>-0.21324219999999999</v>
      </c>
      <c r="AH259">
        <v>0.42525218290644901</v>
      </c>
      <c r="AI259">
        <v>116.468180055499</v>
      </c>
      <c r="AJ259">
        <v>83.168241294261804</v>
      </c>
      <c r="AK259">
        <v>0.47844256276303498</v>
      </c>
      <c r="AL259">
        <v>81.206223614355096</v>
      </c>
      <c r="AM259">
        <v>90.730628862256793</v>
      </c>
      <c r="AN259">
        <v>1.0000000557095099</v>
      </c>
    </row>
    <row r="260" spans="1:40" x14ac:dyDescent="0.25">
      <c r="A260" t="str">
        <f>"20190303161847894"</f>
        <v>20190303161847894</v>
      </c>
      <c r="B260" t="str">
        <f>"1551601127883528"</f>
        <v>1551601127883528</v>
      </c>
      <c r="C260" t="s">
        <v>40</v>
      </c>
      <c r="D260">
        <v>4.777107</v>
      </c>
      <c r="E260">
        <v>0.54029890000000003</v>
      </c>
      <c r="F260" t="s">
        <v>42</v>
      </c>
      <c r="G260">
        <v>-452.30599999999998</v>
      </c>
      <c r="H260">
        <v>0.88352330000000001</v>
      </c>
      <c r="I260">
        <v>366.96010000000001</v>
      </c>
      <c r="J260">
        <v>-452.8535</v>
      </c>
      <c r="K260">
        <v>1.1198189999999999</v>
      </c>
      <c r="L260">
        <v>367.02120000000002</v>
      </c>
      <c r="M260">
        <v>0.99999859999999896</v>
      </c>
      <c r="N260">
        <v>-1.481799E-3</v>
      </c>
      <c r="O260">
        <v>-8.9424220000000002E-4</v>
      </c>
      <c r="P260">
        <v>0.9883286</v>
      </c>
      <c r="Q260">
        <v>0.1518523</v>
      </c>
      <c r="R260">
        <v>1.215373E-2</v>
      </c>
      <c r="S260">
        <v>3.1938170000000001</v>
      </c>
      <c r="T260">
        <v>-1.014462</v>
      </c>
      <c r="U260">
        <v>-0.26190190000000002</v>
      </c>
      <c r="V260">
        <v>-1.304131E-2</v>
      </c>
      <c r="W260">
        <v>0.15331629999999999</v>
      </c>
      <c r="X260">
        <v>0.9880911</v>
      </c>
      <c r="Y260">
        <v>7.7091309999999996E-2</v>
      </c>
      <c r="Z260">
        <v>-1.1713690000000001E-2</v>
      </c>
      <c r="AA260">
        <v>0.99695520000000004</v>
      </c>
      <c r="AB260">
        <v>28</v>
      </c>
      <c r="AC260">
        <v>0.54750000000001298</v>
      </c>
      <c r="AD260">
        <v>-0.2362957</v>
      </c>
      <c r="AE260">
        <v>-6.1100000000010299E-2</v>
      </c>
      <c r="AF260">
        <v>5.1192109366596197E-2</v>
      </c>
      <c r="AG260">
        <v>-0.2362957</v>
      </c>
      <c r="AH260">
        <v>0.46246974340872499</v>
      </c>
      <c r="AI260">
        <v>116.923339247844</v>
      </c>
      <c r="AJ260">
        <v>83.683479796251405</v>
      </c>
      <c r="AK260">
        <v>0.52185683234812996</v>
      </c>
      <c r="AL260">
        <v>81.180839722202293</v>
      </c>
      <c r="AM260">
        <v>90.756173837324894</v>
      </c>
      <c r="AN260">
        <v>0.99999999275570794</v>
      </c>
    </row>
    <row r="261" spans="1:40" x14ac:dyDescent="0.25">
      <c r="A261" t="str">
        <f>"20190303161847913"</f>
        <v>20190303161847913</v>
      </c>
      <c r="B261" t="str">
        <f>"1551601127903048"</f>
        <v>1551601127903048</v>
      </c>
      <c r="C261" t="s">
        <v>40</v>
      </c>
      <c r="D261">
        <v>4.768364</v>
      </c>
      <c r="E261">
        <v>0.54049809999999998</v>
      </c>
      <c r="F261" t="s">
        <v>42</v>
      </c>
      <c r="G261">
        <v>-452.05720000000002</v>
      </c>
      <c r="H261">
        <v>0.87080119999999905</v>
      </c>
      <c r="I261">
        <v>366.9529</v>
      </c>
      <c r="J261">
        <v>-452.6053</v>
      </c>
      <c r="K261">
        <v>1.1198250000000001</v>
      </c>
      <c r="L261">
        <v>367.02100000000002</v>
      </c>
      <c r="M261">
        <v>0.99999850000000001</v>
      </c>
      <c r="N261">
        <v>-1.5466729999999999E-3</v>
      </c>
      <c r="O261">
        <v>-8.7045410000000003E-4</v>
      </c>
      <c r="P261">
        <v>0.98819869999999999</v>
      </c>
      <c r="Q261">
        <v>0.1525619</v>
      </c>
      <c r="R261">
        <v>1.372134E-2</v>
      </c>
      <c r="S261">
        <v>3.1921390000000001</v>
      </c>
      <c r="T261">
        <v>-0.99825269999999999</v>
      </c>
      <c r="U261">
        <v>-0.27209470000000002</v>
      </c>
      <c r="V261">
        <v>-1.4584450000000001E-2</v>
      </c>
      <c r="W261">
        <v>0.1540899</v>
      </c>
      <c r="X261">
        <v>0.98794919999999997</v>
      </c>
      <c r="Y261">
        <v>8.0277970000000004E-2</v>
      </c>
      <c r="Z261">
        <v>-1.2038460000000001E-2</v>
      </c>
      <c r="AA261">
        <v>0.99669980000000002</v>
      </c>
      <c r="AB261">
        <v>28</v>
      </c>
      <c r="AC261">
        <v>0.54809999999997605</v>
      </c>
      <c r="AD261">
        <v>-0.24902379999999999</v>
      </c>
      <c r="AE261">
        <v>-6.8099999999958499E-2</v>
      </c>
      <c r="AF261">
        <v>5.6198475644827398E-2</v>
      </c>
      <c r="AG261">
        <v>-0.24902379999999999</v>
      </c>
      <c r="AH261">
        <v>0.455551511242902</v>
      </c>
      <c r="AI261">
        <v>118.48114962863001</v>
      </c>
      <c r="AJ261">
        <v>82.967318385333698</v>
      </c>
      <c r="AK261">
        <v>0.522205228839136</v>
      </c>
      <c r="AL261">
        <v>81.135982850260504</v>
      </c>
      <c r="AM261">
        <v>90.845758807791796</v>
      </c>
      <c r="AN261">
        <v>1.0000000126222199</v>
      </c>
    </row>
    <row r="262" spans="1:40" x14ac:dyDescent="0.25">
      <c r="A262" t="str">
        <f>"20190303161847935"</f>
        <v>20190303161847935</v>
      </c>
      <c r="B262" t="str">
        <f>"1551601127923075"</f>
        <v>1551601127923075</v>
      </c>
      <c r="C262" t="s">
        <v>40</v>
      </c>
      <c r="D262">
        <v>4.8075279999999996</v>
      </c>
      <c r="E262">
        <v>0.54044530000000002</v>
      </c>
      <c r="F262" t="s">
        <v>42</v>
      </c>
      <c r="G262">
        <v>-451.803</v>
      </c>
      <c r="H262">
        <v>0.86840529999999905</v>
      </c>
      <c r="I262">
        <v>366.95330000000001</v>
      </c>
      <c r="J262">
        <v>-452.31979999999999</v>
      </c>
      <c r="K262">
        <v>1.119828</v>
      </c>
      <c r="L262">
        <v>367.02080000000001</v>
      </c>
      <c r="M262">
        <v>0.99999839999999995</v>
      </c>
      <c r="N262">
        <v>-1.6207210000000001E-3</v>
      </c>
      <c r="O262">
        <v>-8.5085259999999904E-4</v>
      </c>
      <c r="P262">
        <v>0.98804769999999997</v>
      </c>
      <c r="Q262">
        <v>0.15340139999999999</v>
      </c>
      <c r="R262">
        <v>1.515961E-2</v>
      </c>
      <c r="S262">
        <v>3.1941220000000001</v>
      </c>
      <c r="T262">
        <v>-1.00098</v>
      </c>
      <c r="U262">
        <v>-0.26889039999999997</v>
      </c>
      <c r="V262">
        <v>-1.6001049999999999E-2</v>
      </c>
      <c r="W262">
        <v>0.15500249999999999</v>
      </c>
      <c r="X262">
        <v>0.98778449999999995</v>
      </c>
      <c r="Y262">
        <v>7.9282119999999998E-2</v>
      </c>
      <c r="Z262">
        <v>-1.191917E-2</v>
      </c>
      <c r="AA262">
        <v>0.99678089999999997</v>
      </c>
      <c r="AB262">
        <v>28</v>
      </c>
      <c r="AC262">
        <v>0.51679999999993198</v>
      </c>
      <c r="AD262">
        <v>-0.2514227</v>
      </c>
      <c r="AE262">
        <v>-6.7499999999995397E-2</v>
      </c>
      <c r="AF262">
        <v>5.4400611727640297E-2</v>
      </c>
      <c r="AG262">
        <v>-0.2514227</v>
      </c>
      <c r="AH262">
        <v>0.41928487426851102</v>
      </c>
      <c r="AI262">
        <v>120.73834428058601</v>
      </c>
      <c r="AJ262">
        <v>82.607389332051198</v>
      </c>
      <c r="AK262">
        <v>0.49190711157899802</v>
      </c>
      <c r="AL262">
        <v>81.083058876803307</v>
      </c>
      <c r="AM262">
        <v>90.928049038019097</v>
      </c>
      <c r="AN262">
        <v>1.0000000135238001</v>
      </c>
    </row>
    <row r="263" spans="1:40" x14ac:dyDescent="0.25">
      <c r="A263" t="str">
        <f>"20190303161847957"</f>
        <v>20190303161847957</v>
      </c>
      <c r="B263" t="str">
        <f>"1551601127953332"</f>
        <v>1551601127953332</v>
      </c>
      <c r="C263" t="s">
        <v>40</v>
      </c>
      <c r="D263">
        <v>4.8329180000000003</v>
      </c>
      <c r="E263">
        <v>0.54046130000000003</v>
      </c>
      <c r="F263" t="s">
        <v>42</v>
      </c>
      <c r="G263">
        <v>-451.54340000000002</v>
      </c>
      <c r="H263">
        <v>0.87645599999999901</v>
      </c>
      <c r="I263">
        <v>366.95620000000002</v>
      </c>
      <c r="J263">
        <v>-452.03339999999997</v>
      </c>
      <c r="K263">
        <v>1.1198300000000001</v>
      </c>
      <c r="L263">
        <v>367.0206</v>
      </c>
      <c r="M263">
        <v>0.99999819999999995</v>
      </c>
      <c r="N263">
        <v>-1.697037E-3</v>
      </c>
      <c r="O263">
        <v>-8.3745659999999997E-4</v>
      </c>
      <c r="P263">
        <v>0.98803580000000002</v>
      </c>
      <c r="Q263">
        <v>0.15334929999999999</v>
      </c>
      <c r="R263">
        <v>1.641403E-2</v>
      </c>
      <c r="S263">
        <v>3.1958920000000002</v>
      </c>
      <c r="T263">
        <v>-1.001765</v>
      </c>
      <c r="U263">
        <v>-0.26473999999999998</v>
      </c>
      <c r="V263">
        <v>-1.7240200000000001E-2</v>
      </c>
      <c r="W263">
        <v>0.155026</v>
      </c>
      <c r="X263">
        <v>0.98775990000000002</v>
      </c>
      <c r="Y263">
        <v>7.8020370000000006E-2</v>
      </c>
      <c r="Z263">
        <v>-1.173573E-2</v>
      </c>
      <c r="AA263">
        <v>0.99688270000000001</v>
      </c>
      <c r="AB263">
        <v>29</v>
      </c>
      <c r="AC263">
        <v>0.48999999999995197</v>
      </c>
      <c r="AD263">
        <v>-0.24337400000000001</v>
      </c>
      <c r="AE263">
        <v>-6.4399999999977794E-2</v>
      </c>
      <c r="AF263">
        <v>5.1500546718166798E-2</v>
      </c>
      <c r="AG263">
        <v>-0.24337400000000001</v>
      </c>
      <c r="AH263">
        <v>0.39440827069687501</v>
      </c>
      <c r="AI263">
        <v>121.46108349109799</v>
      </c>
      <c r="AJ263">
        <v>82.560594606715199</v>
      </c>
      <c r="AK263">
        <v>0.46630579471240702</v>
      </c>
      <c r="AL263">
        <v>81.081695403600904</v>
      </c>
      <c r="AM263">
        <v>90.999929649522002</v>
      </c>
      <c r="AN263">
        <v>0.99999995261002395</v>
      </c>
    </row>
    <row r="264" spans="1:40" x14ac:dyDescent="0.25">
      <c r="A264" t="str">
        <f>"20190303161847977"</f>
        <v>20190303161847977</v>
      </c>
      <c r="B264" t="str">
        <f>"1551601127972852"</f>
        <v>1551601127972852</v>
      </c>
      <c r="C264" t="s">
        <v>40</v>
      </c>
      <c r="D264">
        <v>4.8510200000000001</v>
      </c>
      <c r="E264">
        <v>0.54050509999999996</v>
      </c>
      <c r="F264" t="s">
        <v>42</v>
      </c>
      <c r="G264">
        <v>-451.2824</v>
      </c>
      <c r="H264">
        <v>0.88408149999999996</v>
      </c>
      <c r="I264">
        <v>366.95870000000002</v>
      </c>
      <c r="J264">
        <v>-451.76859999999999</v>
      </c>
      <c r="K264">
        <v>1.119837</v>
      </c>
      <c r="L264">
        <v>367.0204</v>
      </c>
      <c r="M264">
        <v>0.9999981</v>
      </c>
      <c r="N264">
        <v>-1.780018E-3</v>
      </c>
      <c r="O264">
        <v>-8.2955170000000001E-4</v>
      </c>
      <c r="P264">
        <v>0.98802939999999995</v>
      </c>
      <c r="Q264">
        <v>0.1532771</v>
      </c>
      <c r="R264">
        <v>1.7437959999999999E-2</v>
      </c>
      <c r="S264">
        <v>3.196472</v>
      </c>
      <c r="T264">
        <v>-1.0034650000000001</v>
      </c>
      <c r="U264">
        <v>-0.26278689999999999</v>
      </c>
      <c r="V264">
        <v>-1.8254699999999999E-2</v>
      </c>
      <c r="W264">
        <v>0.1550359</v>
      </c>
      <c r="X264">
        <v>0.98774019999999996</v>
      </c>
      <c r="Y264">
        <v>7.7424409999999999E-2</v>
      </c>
      <c r="Z264">
        <v>-1.1666920000000001E-2</v>
      </c>
      <c r="AA264">
        <v>0.99692990000000004</v>
      </c>
      <c r="AB264">
        <v>29</v>
      </c>
      <c r="AC264">
        <v>0.48619999999999602</v>
      </c>
      <c r="AD264">
        <v>-0.23575549999999901</v>
      </c>
      <c r="AE264">
        <v>-6.1699999999973401E-2</v>
      </c>
      <c r="AF264">
        <v>4.9778186346812102E-2</v>
      </c>
      <c r="AG264">
        <v>-0.23575549999999901</v>
      </c>
      <c r="AH264">
        <v>0.39487791992256399</v>
      </c>
      <c r="AI264">
        <v>120.64020765566499</v>
      </c>
      <c r="AJ264">
        <v>82.815210053659897</v>
      </c>
      <c r="AK264">
        <v>0.46258739202295401</v>
      </c>
      <c r="AL264">
        <v>81.081121961004797</v>
      </c>
      <c r="AM264">
        <v>91.058778624528998</v>
      </c>
      <c r="AN264">
        <v>1.00000003352846</v>
      </c>
    </row>
    <row r="265" spans="1:40" x14ac:dyDescent="0.25">
      <c r="A265" t="str">
        <f>"20190303161847991"</f>
        <v>20190303161847991</v>
      </c>
      <c r="B265" t="str">
        <f>"1551601127983588"</f>
        <v>1551601127983588</v>
      </c>
      <c r="C265" t="s">
        <v>40</v>
      </c>
      <c r="D265">
        <v>4.8375579999999996</v>
      </c>
      <c r="E265">
        <v>0.54046640000000001</v>
      </c>
      <c r="F265" t="s">
        <v>42</v>
      </c>
      <c r="G265">
        <v>-451.02260000000001</v>
      </c>
      <c r="H265">
        <v>0.885343199999999</v>
      </c>
      <c r="I265">
        <v>366.95920000000001</v>
      </c>
      <c r="J265">
        <v>-451.59899999999999</v>
      </c>
      <c r="K265">
        <v>1.1198440000000001</v>
      </c>
      <c r="L265">
        <v>367.02019999999999</v>
      </c>
      <c r="M265">
        <v>0.99999800000000005</v>
      </c>
      <c r="N265">
        <v>-1.847591E-3</v>
      </c>
      <c r="O265">
        <v>-8.2639970000000004E-4</v>
      </c>
      <c r="P265">
        <v>0.98800399999999999</v>
      </c>
      <c r="Q265">
        <v>0.153394</v>
      </c>
      <c r="R265">
        <v>1.7857999999999999E-2</v>
      </c>
      <c r="S265">
        <v>3.1968079999999999</v>
      </c>
      <c r="T265">
        <v>-1.004912</v>
      </c>
      <c r="U265">
        <v>-0.2601929</v>
      </c>
      <c r="V265">
        <v>-1.867098E-2</v>
      </c>
      <c r="W265">
        <v>0.15521969999999999</v>
      </c>
      <c r="X265">
        <v>0.98770349999999996</v>
      </c>
      <c r="Y265">
        <v>7.6642249999999995E-2</v>
      </c>
      <c r="Z265">
        <v>-1.156518E-2</v>
      </c>
      <c r="AA265">
        <v>0.99699159999999998</v>
      </c>
      <c r="AB265">
        <v>29</v>
      </c>
      <c r="AC265">
        <v>0.57639999999997804</v>
      </c>
      <c r="AD265">
        <v>-0.23450080000000001</v>
      </c>
      <c r="AE265">
        <v>-6.0999999999978599E-2</v>
      </c>
      <c r="AF265">
        <v>5.2010417561689101E-2</v>
      </c>
      <c r="AG265">
        <v>-0.23450080000000001</v>
      </c>
      <c r="AH265">
        <v>0.49536702560885798</v>
      </c>
      <c r="AI265">
        <v>115.211062219582</v>
      </c>
      <c r="AJ265">
        <v>84.006263999943499</v>
      </c>
      <c r="AK265">
        <v>0.550530833647079</v>
      </c>
      <c r="AL265">
        <v>81.070461490520501</v>
      </c>
      <c r="AM265">
        <v>91.082957544632805</v>
      </c>
      <c r="AN265">
        <v>0.99999998233724996</v>
      </c>
    </row>
    <row r="266" spans="1:40" x14ac:dyDescent="0.25">
      <c r="A266" t="str">
        <f>"20190303161848004"</f>
        <v>20190303161848004</v>
      </c>
      <c r="B266" t="str">
        <f>"1551601127993347"</f>
        <v>1551601127993347</v>
      </c>
      <c r="C266" t="s">
        <v>40</v>
      </c>
      <c r="D266">
        <v>4.838959</v>
      </c>
      <c r="E266">
        <v>0.54055739999999997</v>
      </c>
      <c r="F266" t="s">
        <v>42</v>
      </c>
      <c r="G266">
        <v>-450.77190000000002</v>
      </c>
      <c r="H266">
        <v>0.85971439999999999</v>
      </c>
      <c r="I266">
        <v>366.9529</v>
      </c>
      <c r="J266">
        <v>-451.4271</v>
      </c>
      <c r="K266">
        <v>1.1198589999999999</v>
      </c>
      <c r="L266">
        <v>367.02010000000001</v>
      </c>
      <c r="M266">
        <v>0.9999979</v>
      </c>
      <c r="N266">
        <v>-1.9287690000000001E-3</v>
      </c>
      <c r="O266">
        <v>-8.2433530000000004E-4</v>
      </c>
      <c r="P266">
        <v>0.98800189999999999</v>
      </c>
      <c r="Q266">
        <v>0.15338389999999999</v>
      </c>
      <c r="R266">
        <v>1.8051810000000001E-2</v>
      </c>
      <c r="S266">
        <v>3.1972049999999999</v>
      </c>
      <c r="T266">
        <v>-1.0054909999999999</v>
      </c>
      <c r="U266">
        <v>-0.25811770000000001</v>
      </c>
      <c r="V266">
        <v>-1.886198E-2</v>
      </c>
      <c r="W266">
        <v>0.15528979999999901</v>
      </c>
      <c r="X266">
        <v>0.98768889999999998</v>
      </c>
      <c r="Y266">
        <v>7.6017009999999996E-2</v>
      </c>
      <c r="Z266">
        <v>-1.147783E-2</v>
      </c>
      <c r="AA266">
        <v>0.9970405</v>
      </c>
      <c r="AB266">
        <v>29</v>
      </c>
      <c r="AC266">
        <v>0.65519999999997902</v>
      </c>
      <c r="AD266">
        <v>-0.260144599999999</v>
      </c>
      <c r="AE266">
        <v>-6.7200000000013901E-2</v>
      </c>
      <c r="AF266">
        <v>5.76640231051707E-2</v>
      </c>
      <c r="AG266">
        <v>-0.260144599999999</v>
      </c>
      <c r="AH266">
        <v>0.56682751474376403</v>
      </c>
      <c r="AI266">
        <v>114.541051602187</v>
      </c>
      <c r="AJ266">
        <v>84.191217436650106</v>
      </c>
      <c r="AK266">
        <v>0.62633360435188701</v>
      </c>
      <c r="AL266">
        <v>81.066396183956897</v>
      </c>
      <c r="AM266">
        <v>91.094049450117794</v>
      </c>
      <c r="AN266">
        <v>1.00000002972838</v>
      </c>
    </row>
    <row r="267" spans="1:40" x14ac:dyDescent="0.25">
      <c r="A267" t="str">
        <f>"20190303161848023"</f>
        <v>20190303161848023</v>
      </c>
      <c r="B267" t="str">
        <f>"1551601128012867"</f>
        <v>1551601128012867</v>
      </c>
      <c r="C267" t="s">
        <v>40</v>
      </c>
      <c r="D267">
        <v>4.8856780000000004</v>
      </c>
      <c r="E267">
        <v>0.54046309999999997</v>
      </c>
      <c r="F267" t="s">
        <v>42</v>
      </c>
      <c r="G267">
        <v>-450.75259999999997</v>
      </c>
      <c r="H267">
        <v>0.90785970000000005</v>
      </c>
      <c r="I267">
        <v>366.96510000000001</v>
      </c>
      <c r="J267">
        <v>-451.17849999999999</v>
      </c>
      <c r="K267">
        <v>1.119893</v>
      </c>
      <c r="L267">
        <v>367.01990000000001</v>
      </c>
      <c r="M267">
        <v>0.99999760000000004</v>
      </c>
      <c r="N267">
        <v>-2.0975799999999999E-3</v>
      </c>
      <c r="O267">
        <v>-8.2260410000000003E-4</v>
      </c>
      <c r="P267">
        <v>0.98794999999999999</v>
      </c>
      <c r="Q267">
        <v>0.15377969999999999</v>
      </c>
      <c r="R267">
        <v>1.750908E-2</v>
      </c>
      <c r="S267">
        <v>3.1972049999999999</v>
      </c>
      <c r="T267">
        <v>-1.0048809999999999</v>
      </c>
      <c r="U267">
        <v>-0.25802609999999998</v>
      </c>
      <c r="V267">
        <v>-1.8316840000000001E-2</v>
      </c>
      <c r="W267">
        <v>0.1558522</v>
      </c>
      <c r="X267">
        <v>0.98761049999999995</v>
      </c>
      <c r="Y267">
        <v>7.5993599999999994E-2</v>
      </c>
      <c r="Z267">
        <v>-1.147487E-2</v>
      </c>
      <c r="AA267">
        <v>0.99704230000000005</v>
      </c>
      <c r="AB267">
        <v>29</v>
      </c>
      <c r="AC267">
        <v>0.42590000000001199</v>
      </c>
      <c r="AD267">
        <v>-0.21203330000000001</v>
      </c>
      <c r="AE267">
        <v>-5.4800000000000099E-2</v>
      </c>
      <c r="AF267">
        <v>4.3776286579868998E-2</v>
      </c>
      <c r="AG267">
        <v>-0.21203330000000001</v>
      </c>
      <c r="AH267">
        <v>0.34245019256334802</v>
      </c>
      <c r="AI267">
        <v>121.556898068424</v>
      </c>
      <c r="AJ267">
        <v>82.715242552856907</v>
      </c>
      <c r="AK267">
        <v>0.405150117811024</v>
      </c>
      <c r="AL267">
        <v>81.033775221631799</v>
      </c>
      <c r="AM267">
        <v>91.062521427937796</v>
      </c>
      <c r="AN267">
        <v>0.99999995729133595</v>
      </c>
    </row>
    <row r="268" spans="1:40" x14ac:dyDescent="0.25">
      <c r="A268" t="str">
        <f>"20190303161848044"</f>
        <v>20190303161848044</v>
      </c>
      <c r="B268" t="str">
        <f>"1551601128033367"</f>
        <v>1551601128033367</v>
      </c>
      <c r="C268" t="s">
        <v>40</v>
      </c>
      <c r="D268">
        <v>4.8929549999999997</v>
      </c>
      <c r="E268">
        <v>0.5403985</v>
      </c>
      <c r="F268" t="s">
        <v>42</v>
      </c>
      <c r="G268">
        <v>-450.49270000000001</v>
      </c>
      <c r="H268">
        <v>0.9037944</v>
      </c>
      <c r="I268">
        <v>366.96420000000001</v>
      </c>
      <c r="J268">
        <v>-450.89879999999999</v>
      </c>
      <c r="K268">
        <v>1.1199539999999999</v>
      </c>
      <c r="L268">
        <v>367.01960000000003</v>
      </c>
      <c r="M268">
        <v>0.99999680000000002</v>
      </c>
      <c r="N268">
        <v>-2.3840699999999999E-3</v>
      </c>
      <c r="O268">
        <v>-8.2173999999999995E-4</v>
      </c>
      <c r="P268">
        <v>0.98789830000000001</v>
      </c>
      <c r="Q268">
        <v>0.15421799999999999</v>
      </c>
      <c r="R268">
        <v>1.655423E-2</v>
      </c>
      <c r="S268">
        <v>3.1980590000000002</v>
      </c>
      <c r="T268">
        <v>-1.0077750000000001</v>
      </c>
      <c r="U268">
        <v>-0.25857540000000001</v>
      </c>
      <c r="V268">
        <v>-1.7360730000000001E-2</v>
      </c>
      <c r="W268">
        <v>0.1565733</v>
      </c>
      <c r="X268">
        <v>0.9875138</v>
      </c>
      <c r="Y268">
        <v>7.6115269999999999E-2</v>
      </c>
      <c r="Z268">
        <v>-1.1533699999999999E-2</v>
      </c>
      <c r="AA268">
        <v>0.99703229999999998</v>
      </c>
      <c r="AB268">
        <v>29</v>
      </c>
      <c r="AC268">
        <v>0.40609999999997998</v>
      </c>
      <c r="AD268">
        <v>-0.21615960000000001</v>
      </c>
      <c r="AE268">
        <v>-5.54000000000201E-2</v>
      </c>
      <c r="AF268">
        <v>4.3082880399222499E-2</v>
      </c>
      <c r="AG268">
        <v>-0.21615960000000001</v>
      </c>
      <c r="AH268">
        <v>0.31776099238594802</v>
      </c>
      <c r="AI268">
        <v>123.983550205527</v>
      </c>
      <c r="AJ268">
        <v>82.278768374117107</v>
      </c>
      <c r="AK268">
        <v>0.38672103063805002</v>
      </c>
      <c r="AL268">
        <v>80.991946544199394</v>
      </c>
      <c r="AM268">
        <v>91.007169825896597</v>
      </c>
      <c r="AN268">
        <v>1.0000000492047301</v>
      </c>
    </row>
    <row r="269" spans="1:40" x14ac:dyDescent="0.25">
      <c r="A269" t="str">
        <f>"20190303161848057"</f>
        <v>20190303161848057</v>
      </c>
      <c r="B269" t="str">
        <f>"1551601128052884"</f>
        <v>1551601128052884</v>
      </c>
      <c r="C269" t="s">
        <v>40</v>
      </c>
      <c r="D269">
        <v>4.9217060000000004</v>
      </c>
      <c r="E269">
        <v>0.54034539999999998</v>
      </c>
      <c r="F269" t="s">
        <v>42</v>
      </c>
      <c r="G269">
        <v>-450.22809999999998</v>
      </c>
      <c r="H269">
        <v>0.90840030000000005</v>
      </c>
      <c r="I269">
        <v>366.96499999999997</v>
      </c>
      <c r="J269">
        <v>-450.7294</v>
      </c>
      <c r="K269">
        <v>1.1200110000000001</v>
      </c>
      <c r="L269">
        <v>367.01949999999999</v>
      </c>
      <c r="M269">
        <v>0.99999640000000001</v>
      </c>
      <c r="N269">
        <v>-2.642812E-3</v>
      </c>
      <c r="O269">
        <v>-8.2171229999999896E-4</v>
      </c>
      <c r="P269">
        <v>0.98799380000000003</v>
      </c>
      <c r="Q269">
        <v>0.1536303</v>
      </c>
      <c r="R269">
        <v>1.632697E-2</v>
      </c>
      <c r="S269">
        <v>3.1986080000000001</v>
      </c>
      <c r="T269">
        <v>-1.0088549999999901</v>
      </c>
      <c r="U269">
        <v>-0.26043699999999997</v>
      </c>
      <c r="V269">
        <v>-1.7133260000000001E-2</v>
      </c>
      <c r="W269">
        <v>0.156241299999999</v>
      </c>
      <c r="X269">
        <v>0.98757030000000001</v>
      </c>
      <c r="Y269">
        <v>7.6642890000000005E-2</v>
      </c>
      <c r="Z269">
        <v>-1.1635410000000001E-2</v>
      </c>
      <c r="AA269">
        <v>0.99699070000000001</v>
      </c>
      <c r="AB269">
        <v>29</v>
      </c>
      <c r="AC269">
        <v>0.50130000000001396</v>
      </c>
      <c r="AD269">
        <v>-0.21161070000000001</v>
      </c>
      <c r="AE269">
        <v>-5.4500000000018603E-2</v>
      </c>
      <c r="AF269">
        <v>4.5989057370070502E-2</v>
      </c>
      <c r="AG269">
        <v>-0.21161070000000001</v>
      </c>
      <c r="AH269">
        <v>0.42627463402699001</v>
      </c>
      <c r="AI269">
        <v>116.268858207473</v>
      </c>
      <c r="AJ269">
        <v>83.842405082885904</v>
      </c>
      <c r="AK269">
        <v>0.4781256585534</v>
      </c>
      <c r="AL269">
        <v>81.011205280456394</v>
      </c>
      <c r="AM269">
        <v>90.993919133272001</v>
      </c>
      <c r="AN269">
        <v>0.99999999493300296</v>
      </c>
    </row>
    <row r="270" spans="1:40" x14ac:dyDescent="0.25">
      <c r="A270" t="str">
        <f>"20190303161848072"</f>
        <v>20190303161848072</v>
      </c>
      <c r="B270" t="str">
        <f>"1551601128063620"</f>
        <v>1551601128063620</v>
      </c>
      <c r="C270" t="s">
        <v>40</v>
      </c>
      <c r="D270">
        <v>4.8948489999999998</v>
      </c>
      <c r="E270">
        <v>0.54030679999999998</v>
      </c>
      <c r="F270" t="s">
        <v>42</v>
      </c>
      <c r="G270">
        <v>-449.97609999999997</v>
      </c>
      <c r="H270">
        <v>0.88153700000000002</v>
      </c>
      <c r="I270">
        <v>366.95769999999999</v>
      </c>
      <c r="J270">
        <v>-450.53750000000002</v>
      </c>
      <c r="K270">
        <v>1.120074</v>
      </c>
      <c r="L270">
        <v>367.01929999999999</v>
      </c>
      <c r="M270">
        <v>0.99999539999999998</v>
      </c>
      <c r="N270">
        <v>-2.9895590000000001E-3</v>
      </c>
      <c r="O270">
        <v>-8.2137219999999997E-4</v>
      </c>
      <c r="P270">
        <v>0.98807590000000001</v>
      </c>
      <c r="Q270">
        <v>0.15316629999999901</v>
      </c>
      <c r="R270">
        <v>1.57074E-2</v>
      </c>
      <c r="S270">
        <v>3.198242</v>
      </c>
      <c r="T270">
        <v>-1.0125169999999999</v>
      </c>
      <c r="U270">
        <v>-0.2606812</v>
      </c>
      <c r="V270">
        <v>-1.6513389999999999E-2</v>
      </c>
      <c r="W270">
        <v>0.1561197</v>
      </c>
      <c r="X270">
        <v>0.98760009999999998</v>
      </c>
      <c r="Y270">
        <v>7.6694230000000002E-2</v>
      </c>
      <c r="Z270">
        <v>-1.169858E-2</v>
      </c>
      <c r="AA270">
        <v>0.99698600000000004</v>
      </c>
      <c r="AB270">
        <v>29</v>
      </c>
      <c r="AC270">
        <v>0.56140000000004797</v>
      </c>
      <c r="AD270">
        <v>-0.238536999999999</v>
      </c>
      <c r="AE270">
        <v>-6.1599999999998503E-2</v>
      </c>
      <c r="AF270">
        <v>5.1883407223885201E-2</v>
      </c>
      <c r="AG270">
        <v>-0.238536999999999</v>
      </c>
      <c r="AH270">
        <v>0.476455737719779</v>
      </c>
      <c r="AI270">
        <v>116.459833299151</v>
      </c>
      <c r="AJ270">
        <v>83.785292483493507</v>
      </c>
      <c r="AK270">
        <v>0.53535208818146796</v>
      </c>
      <c r="AL270">
        <v>81.018259099383201</v>
      </c>
      <c r="AM270">
        <v>90.957937723740898</v>
      </c>
      <c r="AN270">
        <v>1.0000000051486899</v>
      </c>
    </row>
    <row r="271" spans="1:40" x14ac:dyDescent="0.25">
      <c r="A271" t="str">
        <f>"20190303161848089"</f>
        <v>20190303161848089</v>
      </c>
      <c r="B271" t="str">
        <f>"1551601128083140"</f>
        <v>1551601128083140</v>
      </c>
      <c r="C271" t="s">
        <v>40</v>
      </c>
      <c r="D271">
        <v>4.9635980000000002</v>
      </c>
      <c r="E271">
        <v>0.54023469999999996</v>
      </c>
      <c r="F271" t="s">
        <v>42</v>
      </c>
      <c r="G271">
        <v>-449.7208</v>
      </c>
      <c r="H271">
        <v>0.86091319999999905</v>
      </c>
      <c r="I271">
        <v>366.95229999999998</v>
      </c>
      <c r="J271">
        <v>-450.30259999999998</v>
      </c>
      <c r="K271">
        <v>1.120177</v>
      </c>
      <c r="L271">
        <v>367.01909999999998</v>
      </c>
      <c r="M271">
        <v>0.99999349999999998</v>
      </c>
      <c r="N271">
        <v>-3.5104799999999999E-3</v>
      </c>
      <c r="O271">
        <v>-8.2103519999999998E-4</v>
      </c>
      <c r="P271">
        <v>0.98826780000000003</v>
      </c>
      <c r="Q271">
        <v>0.15201899999999999</v>
      </c>
      <c r="R271">
        <v>1.473229E-2</v>
      </c>
      <c r="S271">
        <v>3.197632</v>
      </c>
      <c r="T271">
        <v>-1.0146930000000001</v>
      </c>
      <c r="U271">
        <v>-0.26202389999999998</v>
      </c>
      <c r="V271">
        <v>-1.553825E-2</v>
      </c>
      <c r="W271">
        <v>0.15548809999999999</v>
      </c>
      <c r="X271">
        <v>0.98771549999999997</v>
      </c>
      <c r="Y271">
        <v>7.7083209999999999E-2</v>
      </c>
      <c r="Z271">
        <v>-1.180609E-2</v>
      </c>
      <c r="AA271">
        <v>0.99695469999999997</v>
      </c>
      <c r="AB271">
        <v>29</v>
      </c>
      <c r="AC271">
        <v>0.58179999999998699</v>
      </c>
      <c r="AD271">
        <v>-0.25926379999999999</v>
      </c>
      <c r="AE271">
        <v>-6.6800000000000595E-2</v>
      </c>
      <c r="AF271">
        <v>5.5453582347862101E-2</v>
      </c>
      <c r="AG271">
        <v>-0.25926379999999999</v>
      </c>
      <c r="AH271">
        <v>0.486501923686184</v>
      </c>
      <c r="AI271">
        <v>117.900579007204</v>
      </c>
      <c r="AJ271">
        <v>83.497245806714901</v>
      </c>
      <c r="AK271">
        <v>0.55405499685140402</v>
      </c>
      <c r="AL271">
        <v>81.054893987432806</v>
      </c>
      <c r="AM271">
        <v>90.901274420634294</v>
      </c>
      <c r="AN271">
        <v>0.99999994769745904</v>
      </c>
    </row>
    <row r="272" spans="1:40" x14ac:dyDescent="0.25">
      <c r="A272" t="str">
        <f>"20190303161848104"</f>
        <v>20190303161848104</v>
      </c>
      <c r="B272" t="str">
        <f>"1551601128092900"</f>
        <v>1551601128092900</v>
      </c>
      <c r="C272" t="s">
        <v>40</v>
      </c>
      <c r="D272">
        <v>4.9765940000000004</v>
      </c>
      <c r="E272">
        <v>0.54018009999999905</v>
      </c>
      <c r="F272" t="s">
        <v>42</v>
      </c>
      <c r="G272">
        <v>-449.46120000000002</v>
      </c>
      <c r="H272">
        <v>0.85143740000000001</v>
      </c>
      <c r="I272">
        <v>366.94909999999999</v>
      </c>
      <c r="J272">
        <v>-450.10230000000001</v>
      </c>
      <c r="K272">
        <v>1.1202799999999999</v>
      </c>
      <c r="L272">
        <v>367.01900000000001</v>
      </c>
      <c r="M272">
        <v>0.99999170000000004</v>
      </c>
      <c r="N272">
        <v>-4.0234709999999998E-3</v>
      </c>
      <c r="O272">
        <v>-8.2141349999999996E-4</v>
      </c>
      <c r="P272">
        <v>0.98843950000000003</v>
      </c>
      <c r="Q272">
        <v>0.15094689999999999</v>
      </c>
      <c r="R272">
        <v>1.423955E-2</v>
      </c>
      <c r="S272">
        <v>3.1965940000000002</v>
      </c>
      <c r="T272">
        <v>-1.0209349999999999</v>
      </c>
      <c r="U272">
        <v>-0.26480100000000001</v>
      </c>
      <c r="V272">
        <v>-1.504602E-2</v>
      </c>
      <c r="W272">
        <v>0.154922799999999</v>
      </c>
      <c r="X272">
        <v>0.98781200000000002</v>
      </c>
      <c r="Y272">
        <v>7.7875920000000001E-2</v>
      </c>
      <c r="Z272">
        <v>-1.2023300000000001E-2</v>
      </c>
      <c r="AA272">
        <v>0.99689050000000001</v>
      </c>
      <c r="AB272">
        <v>29</v>
      </c>
      <c r="AC272">
        <v>0.64109999999999401</v>
      </c>
      <c r="AD272">
        <v>-0.26884259999999899</v>
      </c>
      <c r="AE272">
        <v>-6.9900000000018198E-2</v>
      </c>
      <c r="AF272">
        <v>5.9102276019849603E-2</v>
      </c>
      <c r="AG272">
        <v>-0.26884259999999899</v>
      </c>
      <c r="AH272">
        <v>0.54623053666169696</v>
      </c>
      <c r="AI272">
        <v>116.073516597161</v>
      </c>
      <c r="AJ272">
        <v>83.824607081025803</v>
      </c>
      <c r="AK272">
        <v>0.61166757457561205</v>
      </c>
      <c r="AL272">
        <v>81.087681082902805</v>
      </c>
      <c r="AM272">
        <v>90.872642553145994</v>
      </c>
      <c r="AN272">
        <v>1.0000000020108399</v>
      </c>
    </row>
    <row r="273" spans="1:40" x14ac:dyDescent="0.25">
      <c r="A273" t="str">
        <f>"20190303161848125"</f>
        <v>20190303161848125</v>
      </c>
      <c r="B273" t="str">
        <f>"1551601128113396"</f>
        <v>1551601128113396</v>
      </c>
      <c r="C273" t="s">
        <v>40</v>
      </c>
      <c r="D273">
        <v>4.9612280000000002</v>
      </c>
      <c r="E273">
        <v>0.54018180000000005</v>
      </c>
      <c r="F273" t="s">
        <v>42</v>
      </c>
      <c r="G273">
        <v>-449.43880000000001</v>
      </c>
      <c r="H273">
        <v>0.90737310000000004</v>
      </c>
      <c r="I273">
        <v>366.96339999999998</v>
      </c>
      <c r="J273">
        <v>-449.84480000000002</v>
      </c>
      <c r="K273">
        <v>1.120414</v>
      </c>
      <c r="L273">
        <v>367.0188</v>
      </c>
      <c r="M273">
        <v>0.99998830000000005</v>
      </c>
      <c r="N273">
        <v>-4.7639930000000002E-3</v>
      </c>
      <c r="O273">
        <v>-8.2138289999999896E-4</v>
      </c>
      <c r="P273">
        <v>0.98856770000000005</v>
      </c>
      <c r="Q273">
        <v>0.15014029999999901</v>
      </c>
      <c r="R273">
        <v>1.3862579999999999E-2</v>
      </c>
      <c r="S273">
        <v>3.1954959999999999</v>
      </c>
      <c r="T273">
        <v>-1.0254460000000001</v>
      </c>
      <c r="U273">
        <v>-0.26623540000000001</v>
      </c>
      <c r="V273">
        <v>-1.466889E-2</v>
      </c>
      <c r="W273">
        <v>0.15484890000000001</v>
      </c>
      <c r="X273">
        <v>0.98782930000000002</v>
      </c>
      <c r="Y273">
        <v>7.8282669999999999E-2</v>
      </c>
      <c r="Z273">
        <v>-1.2171690000000001E-2</v>
      </c>
      <c r="AA273">
        <v>0.99685690000000005</v>
      </c>
      <c r="AB273">
        <v>29</v>
      </c>
      <c r="AC273">
        <v>0.40600000000000502</v>
      </c>
      <c r="AD273">
        <v>-0.21304090000000001</v>
      </c>
      <c r="AE273">
        <v>-5.54000000000201E-2</v>
      </c>
      <c r="AF273">
        <v>4.3348868307217299E-2</v>
      </c>
      <c r="AG273">
        <v>-0.21304090000000001</v>
      </c>
      <c r="AH273">
        <v>0.31964276737094899</v>
      </c>
      <c r="AI273">
        <v>123.44280980018399</v>
      </c>
      <c r="AJ273">
        <v>82.276858307033606</v>
      </c>
      <c r="AK273">
        <v>0.38657088378315002</v>
      </c>
      <c r="AL273">
        <v>81.091967320972202</v>
      </c>
      <c r="AM273">
        <v>90.850758038819706</v>
      </c>
      <c r="AN273">
        <v>1.0000000420517601</v>
      </c>
    </row>
    <row r="274" spans="1:40" x14ac:dyDescent="0.25">
      <c r="A274" t="str">
        <f>"20190303161848147"</f>
        <v>20190303161848147</v>
      </c>
      <c r="B274" t="str">
        <f>"1551601128143652"</f>
        <v>1551601128143652</v>
      </c>
      <c r="C274" t="s">
        <v>40</v>
      </c>
      <c r="D274">
        <v>5.0012829999999999</v>
      </c>
      <c r="E274">
        <v>0.54009529999999994</v>
      </c>
      <c r="F274" t="s">
        <v>42</v>
      </c>
      <c r="G274">
        <v>-449.17660000000001</v>
      </c>
      <c r="H274">
        <v>0.90518670000000001</v>
      </c>
      <c r="I274">
        <v>366.96269999999998</v>
      </c>
      <c r="J274">
        <v>-449.55959999999999</v>
      </c>
      <c r="K274">
        <v>1.1205609999999999</v>
      </c>
      <c r="L274">
        <v>367.01859999999999</v>
      </c>
      <c r="M274">
        <v>0.99998379999999998</v>
      </c>
      <c r="N274">
        <v>-5.6345800000000001E-3</v>
      </c>
      <c r="O274">
        <v>-8.2139520000000001E-4</v>
      </c>
      <c r="P274">
        <v>0.98863619999999997</v>
      </c>
      <c r="Q274">
        <v>0.1497088</v>
      </c>
      <c r="R274">
        <v>1.363908E-2</v>
      </c>
      <c r="S274">
        <v>3.1947329999999998</v>
      </c>
      <c r="T274">
        <v>-1.029085</v>
      </c>
      <c r="U274">
        <v>-0.26672360000000001</v>
      </c>
      <c r="V274">
        <v>-1.444605E-2</v>
      </c>
      <c r="W274">
        <v>0.15527759999999999</v>
      </c>
      <c r="X274">
        <v>0.98776529999999996</v>
      </c>
      <c r="Y274">
        <v>7.8407030000000003E-2</v>
      </c>
      <c r="Z274">
        <v>-1.2270400000000001E-2</v>
      </c>
      <c r="AA274">
        <v>0.99684589999999995</v>
      </c>
      <c r="AB274">
        <v>29</v>
      </c>
      <c r="AC274">
        <v>0.38299999999998102</v>
      </c>
      <c r="AD274">
        <v>-0.21537429999999999</v>
      </c>
      <c r="AE274">
        <v>-5.59000000000082E-2</v>
      </c>
      <c r="AF274">
        <v>4.2443741635031097E-2</v>
      </c>
      <c r="AG274">
        <v>-0.21537429999999999</v>
      </c>
      <c r="AH274">
        <v>0.29248510878358103</v>
      </c>
      <c r="AI274">
        <v>126.08183542307999</v>
      </c>
      <c r="AJ274">
        <v>81.7432046144542</v>
      </c>
      <c r="AK274">
        <v>0.36569809838802098</v>
      </c>
      <c r="AL274">
        <v>81.067104000063793</v>
      </c>
      <c r="AM274">
        <v>90.837890024169695</v>
      </c>
      <c r="AN274">
        <v>1.0000000546532199</v>
      </c>
    </row>
    <row r="275" spans="1:40" x14ac:dyDescent="0.25">
      <c r="A275" t="str">
        <f>"20190303161848159"</f>
        <v>20190303161848159</v>
      </c>
      <c r="B275" t="str">
        <f>"1551601128153412"</f>
        <v>1551601128153412</v>
      </c>
      <c r="C275" t="s">
        <v>40</v>
      </c>
      <c r="D275">
        <v>5.004759</v>
      </c>
      <c r="E275">
        <v>0.54010000000000002</v>
      </c>
      <c r="F275" t="s">
        <v>42</v>
      </c>
      <c r="G275">
        <v>-448.67880000000002</v>
      </c>
      <c r="H275">
        <v>0.83587409999999995</v>
      </c>
      <c r="I275">
        <v>366.94499999999999</v>
      </c>
      <c r="J275">
        <v>-449.37819999999999</v>
      </c>
      <c r="K275">
        <v>1.1206449999999999</v>
      </c>
      <c r="L275">
        <v>367.01839999999999</v>
      </c>
      <c r="M275">
        <v>0.99998050000000005</v>
      </c>
      <c r="N275">
        <v>-6.1922110000000004E-3</v>
      </c>
      <c r="O275">
        <v>-8.2126529999999897E-4</v>
      </c>
      <c r="P275">
        <v>0.98865000000000003</v>
      </c>
      <c r="Q275">
        <v>0.149608299999999</v>
      </c>
      <c r="R275">
        <v>1.3734970000000001E-2</v>
      </c>
      <c r="S275">
        <v>3.1945190000000001</v>
      </c>
      <c r="T275">
        <v>-1.0324949999999999</v>
      </c>
      <c r="U275">
        <v>-0.26614379999999999</v>
      </c>
      <c r="V275">
        <v>-1.454157E-2</v>
      </c>
      <c r="W275">
        <v>0.1557279</v>
      </c>
      <c r="X275">
        <v>0.98769300000000004</v>
      </c>
      <c r="Y275">
        <v>7.8209699999999993E-2</v>
      </c>
      <c r="Z275">
        <v>-1.2300520000000001E-2</v>
      </c>
      <c r="AA275">
        <v>0.996861</v>
      </c>
      <c r="AB275">
        <v>29</v>
      </c>
      <c r="AC275">
        <v>0.69939999999996805</v>
      </c>
      <c r="AD275">
        <v>-0.28477089999999999</v>
      </c>
      <c r="AE275">
        <v>-7.3399999999992305E-2</v>
      </c>
      <c r="AF275">
        <v>6.2566162102042494E-2</v>
      </c>
      <c r="AG275">
        <v>-0.28477089999999999</v>
      </c>
      <c r="AH275">
        <v>0.60092258608842897</v>
      </c>
      <c r="AI275">
        <v>115.236453697793</v>
      </c>
      <c r="AJ275">
        <v>84.055961045855994</v>
      </c>
      <c r="AK275">
        <v>0.66791986390449198</v>
      </c>
      <c r="AL275">
        <v>81.040985948755406</v>
      </c>
      <c r="AM275">
        <v>90.843491243775901</v>
      </c>
      <c r="AN275">
        <v>1.0000000491727301</v>
      </c>
    </row>
    <row r="276" spans="1:40" x14ac:dyDescent="0.25">
      <c r="A276" t="str">
        <f>"20190303161848178"</f>
        <v>20190303161848178</v>
      </c>
      <c r="B276" t="str">
        <f>"1551601128172931"</f>
        <v>1551601128172931</v>
      </c>
      <c r="C276" t="s">
        <v>40</v>
      </c>
      <c r="D276">
        <v>5.0458100000000004</v>
      </c>
      <c r="E276">
        <v>0.54001429999999995</v>
      </c>
      <c r="F276" t="s">
        <v>42</v>
      </c>
      <c r="G276">
        <v>-448.6585</v>
      </c>
      <c r="H276">
        <v>0.88795979999999997</v>
      </c>
      <c r="I276">
        <v>366.95830000000001</v>
      </c>
      <c r="J276">
        <v>-449.13420000000002</v>
      </c>
      <c r="K276">
        <v>1.120744</v>
      </c>
      <c r="L276">
        <v>367.01819999999998</v>
      </c>
      <c r="M276">
        <v>0.99997570000000002</v>
      </c>
      <c r="N276">
        <v>-6.9226269999999998E-3</v>
      </c>
      <c r="O276">
        <v>-8.2105039999999995E-4</v>
      </c>
      <c r="P276">
        <v>0.98867760000000005</v>
      </c>
      <c r="Q276">
        <v>0.14941260000000001</v>
      </c>
      <c r="R276">
        <v>1.388063E-2</v>
      </c>
      <c r="S276">
        <v>3.1943969999999999</v>
      </c>
      <c r="T276">
        <v>-1.0327809999999999</v>
      </c>
      <c r="U276">
        <v>-0.26565549999999999</v>
      </c>
      <c r="V276">
        <v>-1.468681E-2</v>
      </c>
      <c r="W276">
        <v>0.15625349999999999</v>
      </c>
      <c r="X276">
        <v>0.98760780000000004</v>
      </c>
      <c r="Y276">
        <v>7.805745E-2</v>
      </c>
      <c r="Z276">
        <v>-1.230971E-2</v>
      </c>
      <c r="AA276">
        <v>0.9968728</v>
      </c>
      <c r="AB276">
        <v>29</v>
      </c>
      <c r="AC276">
        <v>0.475700000000017</v>
      </c>
      <c r="AD276">
        <v>-0.2327842</v>
      </c>
      <c r="AE276">
        <v>-5.9899999999970498E-2</v>
      </c>
      <c r="AF276">
        <v>4.8157412328675799E-2</v>
      </c>
      <c r="AG276">
        <v>-0.2327842</v>
      </c>
      <c r="AH276">
        <v>0.38499536287161701</v>
      </c>
      <c r="AI276">
        <v>120.96232923891699</v>
      </c>
      <c r="AJ276">
        <v>82.870149308610095</v>
      </c>
      <c r="AK276">
        <v>0.45246994327190598</v>
      </c>
      <c r="AL276">
        <v>81.010497740385702</v>
      </c>
      <c r="AM276">
        <v>90.851988212206194</v>
      </c>
      <c r="AN276">
        <v>1.00000001263553</v>
      </c>
    </row>
    <row r="277" spans="1:40" x14ac:dyDescent="0.25">
      <c r="A277" t="str">
        <f>"20190303161848192"</f>
        <v>20190303161848192</v>
      </c>
      <c r="B277" t="str">
        <f>"1551601128183668"</f>
        <v>1551601128183668</v>
      </c>
      <c r="C277" t="s">
        <v>40</v>
      </c>
      <c r="D277">
        <v>5.0224089999999997</v>
      </c>
      <c r="E277">
        <v>0.53996940000000004</v>
      </c>
      <c r="F277" t="s">
        <v>42</v>
      </c>
      <c r="G277">
        <v>-448.39850000000001</v>
      </c>
      <c r="H277">
        <v>0.88244929999999999</v>
      </c>
      <c r="I277">
        <v>366.95710000000003</v>
      </c>
      <c r="J277">
        <v>-448.95549999999997</v>
      </c>
      <c r="K277">
        <v>1.120808</v>
      </c>
      <c r="L277">
        <v>367.0181</v>
      </c>
      <c r="M277">
        <v>0.99997199999999997</v>
      </c>
      <c r="N277">
        <v>-7.4316619999999899E-3</v>
      </c>
      <c r="O277">
        <v>-8.2074049999999999E-4</v>
      </c>
      <c r="P277">
        <v>0.9886935</v>
      </c>
      <c r="Q277">
        <v>0.14926420000000001</v>
      </c>
      <c r="R277">
        <v>1.4332599999999999E-2</v>
      </c>
      <c r="S277">
        <v>3.1944270000000001</v>
      </c>
      <c r="T277">
        <v>-1.034664</v>
      </c>
      <c r="U277">
        <v>-0.26495360000000001</v>
      </c>
      <c r="V277">
        <v>-1.5138499999999999E-2</v>
      </c>
      <c r="W277">
        <v>0.1566081</v>
      </c>
      <c r="X277">
        <v>0.9875448</v>
      </c>
      <c r="Y277">
        <v>7.7830419999999997E-2</v>
      </c>
      <c r="Z277">
        <v>-1.2314840000000001E-2</v>
      </c>
      <c r="AA277">
        <v>0.99689050000000001</v>
      </c>
      <c r="AB277">
        <v>29</v>
      </c>
      <c r="AC277">
        <v>0.55699999999995897</v>
      </c>
      <c r="AD277">
        <v>-0.23835870000000001</v>
      </c>
      <c r="AE277">
        <v>-6.0999999999978599E-2</v>
      </c>
      <c r="AF277">
        <v>5.1265919852298003E-2</v>
      </c>
      <c r="AG277">
        <v>-0.23835870000000001</v>
      </c>
      <c r="AH277">
        <v>0.47169387077517599</v>
      </c>
      <c r="AI277">
        <v>116.673426749288</v>
      </c>
      <c r="AJ277">
        <v>83.797170722557397</v>
      </c>
      <c r="AK277">
        <v>0.53097850439623395</v>
      </c>
      <c r="AL277">
        <v>80.989927313834201</v>
      </c>
      <c r="AM277">
        <v>90.878242917236406</v>
      </c>
      <c r="AN277">
        <v>1.0000000015874499</v>
      </c>
    </row>
    <row r="278" spans="1:40" x14ac:dyDescent="0.25">
      <c r="A278" t="str">
        <f>"20190303161848207"</f>
        <v>20190303161848207</v>
      </c>
      <c r="B278" t="str">
        <f>"1551601128203189"</f>
        <v>1551601128203189</v>
      </c>
      <c r="C278" t="s">
        <v>40</v>
      </c>
      <c r="D278">
        <v>5.047345</v>
      </c>
      <c r="E278">
        <v>0.53989799999999999</v>
      </c>
      <c r="F278" t="s">
        <v>42</v>
      </c>
      <c r="G278">
        <v>-448.14589999999998</v>
      </c>
      <c r="H278">
        <v>0.85830399999999996</v>
      </c>
      <c r="I278">
        <v>366.9513</v>
      </c>
      <c r="J278">
        <v>-448.7706</v>
      </c>
      <c r="K278">
        <v>1.120862</v>
      </c>
      <c r="L278">
        <v>367.0179</v>
      </c>
      <c r="M278">
        <v>0.99996819999999997</v>
      </c>
      <c r="N278">
        <v>-7.9357809999999994E-3</v>
      </c>
      <c r="O278">
        <v>-8.2065999999999997E-4</v>
      </c>
      <c r="P278">
        <v>0.98873069999999996</v>
      </c>
      <c r="Q278">
        <v>0.14897439999999901</v>
      </c>
      <c r="R278">
        <v>1.4772179999999999E-2</v>
      </c>
      <c r="S278">
        <v>3.1944889999999999</v>
      </c>
      <c r="T278">
        <v>-1.035728</v>
      </c>
      <c r="U278">
        <v>-0.26327509999999998</v>
      </c>
      <c r="V278">
        <v>-1.5577799999999999E-2</v>
      </c>
      <c r="W278">
        <v>0.15681629999999999</v>
      </c>
      <c r="X278">
        <v>0.98750490000000002</v>
      </c>
      <c r="Y278">
        <v>7.7320630000000001E-2</v>
      </c>
      <c r="Z278">
        <v>-1.226469E-2</v>
      </c>
      <c r="AA278">
        <v>0.99693080000000001</v>
      </c>
      <c r="AB278">
        <v>29</v>
      </c>
      <c r="AC278">
        <v>0.62470000000001802</v>
      </c>
      <c r="AD278">
        <v>-0.26255800000000001</v>
      </c>
      <c r="AE278">
        <v>-6.6599999999993997E-2</v>
      </c>
      <c r="AF278">
        <v>5.62606760640336E-2</v>
      </c>
      <c r="AG278">
        <v>-0.26255800000000001</v>
      </c>
      <c r="AH278">
        <v>0.53185877111803503</v>
      </c>
      <c r="AI278">
        <v>116.14744365326101</v>
      </c>
      <c r="AJ278">
        <v>83.961637466396994</v>
      </c>
      <c r="AK278">
        <v>0.595798388257612</v>
      </c>
      <c r="AL278">
        <v>80.977848843805603</v>
      </c>
      <c r="AM278">
        <v>90.903760750395904</v>
      </c>
      <c r="AN278">
        <v>0.99999997366126903</v>
      </c>
    </row>
    <row r="279" spans="1:40" x14ac:dyDescent="0.25">
      <c r="A279" t="str">
        <f>"20190303161848223"</f>
        <v>20190303161848223</v>
      </c>
      <c r="B279" t="str">
        <f>"1551601128212948"</f>
        <v>1551601128212948</v>
      </c>
      <c r="C279" t="s">
        <v>40</v>
      </c>
      <c r="D279">
        <v>5.0465600000000004</v>
      </c>
      <c r="E279">
        <v>0.53986669999999903</v>
      </c>
      <c r="F279" t="s">
        <v>42</v>
      </c>
      <c r="G279">
        <v>-447.89299999999997</v>
      </c>
      <c r="H279">
        <v>0.83590769999999903</v>
      </c>
      <c r="I279">
        <v>366.94580000000002</v>
      </c>
      <c r="J279">
        <v>-448.54489999999998</v>
      </c>
      <c r="K279">
        <v>1.1209169999999999</v>
      </c>
      <c r="L279">
        <v>367.01769999999999</v>
      </c>
      <c r="M279">
        <v>0.99996359999999995</v>
      </c>
      <c r="N279">
        <v>-8.49810199999999E-3</v>
      </c>
      <c r="O279">
        <v>-8.2059639999999996E-4</v>
      </c>
      <c r="P279">
        <v>0.98871730000000002</v>
      </c>
      <c r="Q279">
        <v>0.14902899999999999</v>
      </c>
      <c r="R279">
        <v>1.512471E-2</v>
      </c>
      <c r="S279">
        <v>3.194366</v>
      </c>
      <c r="T279">
        <v>-1.037304</v>
      </c>
      <c r="U279">
        <v>-0.26138309999999998</v>
      </c>
      <c r="V279">
        <v>-1.5930329999999999E-2</v>
      </c>
      <c r="W279">
        <v>0.1574266</v>
      </c>
      <c r="X279">
        <v>0.98740220000000001</v>
      </c>
      <c r="Y279">
        <v>7.6747659999999995E-2</v>
      </c>
      <c r="Z279">
        <v>-1.221246E-2</v>
      </c>
      <c r="AA279">
        <v>0.99697579999999997</v>
      </c>
      <c r="AB279">
        <v>29</v>
      </c>
      <c r="AC279">
        <v>0.65189999999995496</v>
      </c>
      <c r="AD279">
        <v>-0.28500929999999902</v>
      </c>
      <c r="AE279">
        <v>-7.1899999999970904E-2</v>
      </c>
      <c r="AF279">
        <v>6.00288708816753E-2</v>
      </c>
      <c r="AG279">
        <v>-0.28500929999999902</v>
      </c>
      <c r="AH279">
        <v>0.54839689362181698</v>
      </c>
      <c r="AI279">
        <v>117.322126758644</v>
      </c>
      <c r="AJ279">
        <v>83.753134070998698</v>
      </c>
      <c r="AK279">
        <v>0.62094518225031503</v>
      </c>
      <c r="AL279">
        <v>80.942441749075201</v>
      </c>
      <c r="AM279">
        <v>90.9243057129965</v>
      </c>
      <c r="AN279">
        <v>1.0000000071831501</v>
      </c>
    </row>
    <row r="280" spans="1:40" x14ac:dyDescent="0.25">
      <c r="A280" t="str">
        <f>"20190303161848237"</f>
        <v>20190303161848237</v>
      </c>
      <c r="B280" t="str">
        <f>"1551601128233444"</f>
        <v>1551601128233444</v>
      </c>
      <c r="C280" t="s">
        <v>40</v>
      </c>
      <c r="D280">
        <v>5.0592269999999999</v>
      </c>
      <c r="E280">
        <v>0.53982439999999998</v>
      </c>
      <c r="F280" t="s">
        <v>42</v>
      </c>
      <c r="G280">
        <v>-447.86709999999999</v>
      </c>
      <c r="H280">
        <v>0.90076299999999998</v>
      </c>
      <c r="I280">
        <v>366.9622</v>
      </c>
      <c r="J280">
        <v>-448.36959999999999</v>
      </c>
      <c r="K280">
        <v>1.1209469999999999</v>
      </c>
      <c r="L280">
        <v>367.01760000000002</v>
      </c>
      <c r="M280">
        <v>0.99996019999999997</v>
      </c>
      <c r="N280">
        <v>-8.8939309999999903E-3</v>
      </c>
      <c r="O280">
        <v>-8.2053649999999905E-4</v>
      </c>
      <c r="P280">
        <v>0.98873849999999996</v>
      </c>
      <c r="Q280">
        <v>0.14884800000000001</v>
      </c>
      <c r="R280">
        <v>1.5515910000000001E-2</v>
      </c>
      <c r="S280">
        <v>3.1945800000000002</v>
      </c>
      <c r="T280">
        <v>-1.0375810000000001</v>
      </c>
      <c r="U280">
        <v>-0.26043699999999997</v>
      </c>
      <c r="V280">
        <v>-1.6321510000000001E-2</v>
      </c>
      <c r="W280">
        <v>0.15763659999999999</v>
      </c>
      <c r="X280">
        <v>0.98736230000000003</v>
      </c>
      <c r="Y280">
        <v>7.645747E-2</v>
      </c>
      <c r="Z280">
        <v>-1.2183599999999999E-2</v>
      </c>
      <c r="AA280">
        <v>0.99699839999999995</v>
      </c>
      <c r="AB280">
        <v>29</v>
      </c>
      <c r="AC280">
        <v>0.50249999999999695</v>
      </c>
      <c r="AD280">
        <v>-0.22018399999999999</v>
      </c>
      <c r="AE280">
        <v>-5.54000000000201E-2</v>
      </c>
      <c r="AF280">
        <v>4.6220010042910299E-2</v>
      </c>
      <c r="AG280">
        <v>-0.22018399999999999</v>
      </c>
      <c r="AH280">
        <v>0.42241576560681299</v>
      </c>
      <c r="AI280">
        <v>117.391245486947</v>
      </c>
      <c r="AJ280">
        <v>83.755634744627201</v>
      </c>
      <c r="AK280">
        <v>0.47859415188399101</v>
      </c>
      <c r="AL280">
        <v>80.930257440290404</v>
      </c>
      <c r="AM280">
        <v>90.947036841367606</v>
      </c>
      <c r="AN280">
        <v>1.00000000040476</v>
      </c>
    </row>
    <row r="281" spans="1:40" x14ac:dyDescent="0.25">
      <c r="A281" t="str">
        <f>"20190303161848251"</f>
        <v>20190303161848251</v>
      </c>
      <c r="B281" t="str">
        <f>"1551601128243204"</f>
        <v>1551601128243204</v>
      </c>
      <c r="C281" t="s">
        <v>40</v>
      </c>
      <c r="D281">
        <v>5.0455129999999997</v>
      </c>
      <c r="E281">
        <v>0.53982649999999999</v>
      </c>
      <c r="F281" t="s">
        <v>42</v>
      </c>
      <c r="G281">
        <v>-447.61590000000001</v>
      </c>
      <c r="H281">
        <v>0.87584969999999995</v>
      </c>
      <c r="I281">
        <v>366.95639999999997</v>
      </c>
      <c r="J281">
        <v>-448.18729999999999</v>
      </c>
      <c r="K281">
        <v>1.1209750000000001</v>
      </c>
      <c r="L281">
        <v>367.01740000000001</v>
      </c>
      <c r="M281">
        <v>0.99995670000000003</v>
      </c>
      <c r="N281">
        <v>-9.2796679999999996E-3</v>
      </c>
      <c r="O281">
        <v>-8.2026940000000002E-4</v>
      </c>
      <c r="P281">
        <v>0.98875690000000005</v>
      </c>
      <c r="Q281">
        <v>0.1487047</v>
      </c>
      <c r="R281">
        <v>1.5719629999999998E-2</v>
      </c>
      <c r="S281">
        <v>3.1947329999999998</v>
      </c>
      <c r="T281">
        <v>-1.039107</v>
      </c>
      <c r="U281">
        <v>-0.25881959999999998</v>
      </c>
      <c r="V281">
        <v>-1.6524730000000001E-2</v>
      </c>
      <c r="W281">
        <v>0.1578744</v>
      </c>
      <c r="X281">
        <v>0.98732089999999995</v>
      </c>
      <c r="Y281">
        <v>7.5962399999999902E-2</v>
      </c>
      <c r="Z281">
        <v>-1.213468E-2</v>
      </c>
      <c r="AA281">
        <v>0.99703679999999995</v>
      </c>
      <c r="AB281">
        <v>29</v>
      </c>
      <c r="AC281">
        <v>0.57139999999998203</v>
      </c>
      <c r="AD281">
        <v>-0.24512529999999999</v>
      </c>
      <c r="AE281">
        <v>-6.1000000000035401E-2</v>
      </c>
      <c r="AF281">
        <v>5.1212640832955798E-2</v>
      </c>
      <c r="AG281">
        <v>-0.24512529999999999</v>
      </c>
      <c r="AH281">
        <v>0.48347675217411301</v>
      </c>
      <c r="AI281">
        <v>116.756542309243</v>
      </c>
      <c r="AJ281">
        <v>83.953448566507006</v>
      </c>
      <c r="AK281">
        <v>0.54448041027570904</v>
      </c>
      <c r="AL281">
        <v>80.916459510313601</v>
      </c>
      <c r="AM281">
        <v>90.958866457915605</v>
      </c>
      <c r="AN281">
        <v>0.99999997622687098</v>
      </c>
    </row>
    <row r="282" spans="1:40" x14ac:dyDescent="0.25">
      <c r="A282" t="str">
        <f>"20190303161848268"</f>
        <v>20190303161848268</v>
      </c>
      <c r="B282" t="str">
        <f>"1551601128263699"</f>
        <v>1551601128263699</v>
      </c>
      <c r="C282" t="s">
        <v>40</v>
      </c>
      <c r="D282">
        <v>5.0695750000000004</v>
      </c>
      <c r="E282">
        <v>0.53982259999999904</v>
      </c>
      <c r="F282" t="s">
        <v>42</v>
      </c>
      <c r="G282">
        <v>-447.36369999999999</v>
      </c>
      <c r="H282">
        <v>0.85284879999999996</v>
      </c>
      <c r="I282">
        <v>366.9504</v>
      </c>
      <c r="J282">
        <v>-447.95749999999998</v>
      </c>
      <c r="K282">
        <v>1.1209979999999999</v>
      </c>
      <c r="L282">
        <v>367.0172</v>
      </c>
      <c r="M282">
        <v>0.99995250000000002</v>
      </c>
      <c r="N282">
        <v>-9.7191369999999992E-3</v>
      </c>
      <c r="O282">
        <v>-8.2033799999999999E-4</v>
      </c>
      <c r="P282">
        <v>0.98876470000000005</v>
      </c>
      <c r="Q282">
        <v>0.14863119999999999</v>
      </c>
      <c r="R282">
        <v>1.5921910000000001E-2</v>
      </c>
      <c r="S282">
        <v>3.1946720000000002</v>
      </c>
      <c r="T282">
        <v>-1.0400739999999999</v>
      </c>
      <c r="U282">
        <v>-0.25827030000000001</v>
      </c>
      <c r="V282">
        <v>-1.6727140000000001E-2</v>
      </c>
      <c r="W282">
        <v>0.1582346</v>
      </c>
      <c r="X282">
        <v>0.98725989999999997</v>
      </c>
      <c r="Y282">
        <v>7.5789699999999904E-2</v>
      </c>
      <c r="Z282">
        <v>-1.213466E-2</v>
      </c>
      <c r="AA282">
        <v>0.99704999999999999</v>
      </c>
      <c r="AB282">
        <v>29</v>
      </c>
      <c r="AC282">
        <v>0.593799999999987</v>
      </c>
      <c r="AD282">
        <v>-0.26814919999999898</v>
      </c>
      <c r="AE282">
        <v>-6.6800000000000595E-2</v>
      </c>
      <c r="AF282">
        <v>5.5197335438899903E-2</v>
      </c>
      <c r="AG282">
        <v>-0.26814919999999898</v>
      </c>
      <c r="AH282">
        <v>0.49431139880672198</v>
      </c>
      <c r="AI282">
        <v>118.329969994492</v>
      </c>
      <c r="AJ282">
        <v>83.628455607423803</v>
      </c>
      <c r="AK282">
        <v>0.56506149956482898</v>
      </c>
      <c r="AL282">
        <v>80.895559515842905</v>
      </c>
      <c r="AM282">
        <v>90.9706692573167</v>
      </c>
      <c r="AN282">
        <v>1.00000004799887</v>
      </c>
    </row>
    <row r="283" spans="1:40" x14ac:dyDescent="0.25">
      <c r="A283" t="str">
        <f>"20190303161848282"</f>
        <v>20190303161848282</v>
      </c>
      <c r="B283" t="str">
        <f>"1551601128273461"</f>
        <v>1551601128273461</v>
      </c>
      <c r="C283" t="s">
        <v>40</v>
      </c>
      <c r="D283">
        <v>5.0606939999999998</v>
      </c>
      <c r="E283">
        <v>0.5398269</v>
      </c>
      <c r="F283" t="s">
        <v>42</v>
      </c>
      <c r="G283">
        <v>-447.10629999999998</v>
      </c>
      <c r="H283">
        <v>0.84368860000000001</v>
      </c>
      <c r="I283">
        <v>366.94850000000002</v>
      </c>
      <c r="J283">
        <v>-447.78179999999998</v>
      </c>
      <c r="K283">
        <v>1.121008</v>
      </c>
      <c r="L283">
        <v>367.01710000000003</v>
      </c>
      <c r="M283">
        <v>0.99994959999999999</v>
      </c>
      <c r="N283">
        <v>-1.001846E-2</v>
      </c>
      <c r="O283">
        <v>-8.2027059999999999E-4</v>
      </c>
      <c r="P283">
        <v>0.98880420000000002</v>
      </c>
      <c r="Q283">
        <v>0.14836089999999999</v>
      </c>
      <c r="R283">
        <v>1.599691E-2</v>
      </c>
      <c r="S283">
        <v>3.1947329999999998</v>
      </c>
      <c r="T283">
        <v>-1.0408740000000001</v>
      </c>
      <c r="U283">
        <v>-0.25750729999999999</v>
      </c>
      <c r="V283">
        <v>-1.680239E-2</v>
      </c>
      <c r="W283">
        <v>0.15825999999999901</v>
      </c>
      <c r="X283">
        <v>0.98725450000000003</v>
      </c>
      <c r="Y283">
        <v>7.5554449999999995E-2</v>
      </c>
      <c r="Z283">
        <v>-1.211657E-2</v>
      </c>
      <c r="AA283">
        <v>0.99706799999999995</v>
      </c>
      <c r="AB283">
        <v>29</v>
      </c>
      <c r="AC283">
        <v>0.67549999999999899</v>
      </c>
      <c r="AD283">
        <v>-0.27731939999999999</v>
      </c>
      <c r="AE283">
        <v>-6.8600000000003505E-2</v>
      </c>
      <c r="AF283">
        <v>5.8317247466758503E-2</v>
      </c>
      <c r="AG283">
        <v>-0.27731939999999999</v>
      </c>
      <c r="AH283">
        <v>0.57897087655035495</v>
      </c>
      <c r="AI283">
        <v>115.481315648565</v>
      </c>
      <c r="AJ283">
        <v>84.248241895488903</v>
      </c>
      <c r="AK283">
        <v>0.64460393022533202</v>
      </c>
      <c r="AL283">
        <v>80.894085170821796</v>
      </c>
      <c r="AM283">
        <v>90.9750404757864</v>
      </c>
      <c r="AN283">
        <v>0.99999999783998095</v>
      </c>
    </row>
    <row r="284" spans="1:40" x14ac:dyDescent="0.25">
      <c r="A284" t="str">
        <f>"20190303161848295"</f>
        <v>20190303161848295</v>
      </c>
      <c r="B284" t="str">
        <f>"1551601128283219"</f>
        <v>1551601128283219</v>
      </c>
      <c r="C284" t="s">
        <v>40</v>
      </c>
      <c r="D284">
        <v>5.0889639999999998</v>
      </c>
      <c r="E284">
        <v>0.53982619999999903</v>
      </c>
      <c r="F284" t="s">
        <v>42</v>
      </c>
      <c r="G284">
        <v>-447.08620000000002</v>
      </c>
      <c r="H284">
        <v>0.89424550000000003</v>
      </c>
      <c r="I284">
        <v>366.96080000000001</v>
      </c>
      <c r="J284">
        <v>-447.6164</v>
      </c>
      <c r="K284">
        <v>1.121016</v>
      </c>
      <c r="L284">
        <v>367.01690000000002</v>
      </c>
      <c r="M284">
        <v>0.99994700000000003</v>
      </c>
      <c r="N284">
        <v>-1.0271270000000001E-2</v>
      </c>
      <c r="O284">
        <v>-8.2024619999999904E-4</v>
      </c>
      <c r="P284">
        <v>0.9888728</v>
      </c>
      <c r="Q284">
        <v>0.1479095</v>
      </c>
      <c r="R284">
        <v>1.5921319999999999E-2</v>
      </c>
      <c r="S284">
        <v>3.1943969999999999</v>
      </c>
      <c r="T284">
        <v>-1.041477</v>
      </c>
      <c r="U284">
        <v>-0.25784299999999999</v>
      </c>
      <c r="V284">
        <v>-1.6726669999999999E-2</v>
      </c>
      <c r="W284">
        <v>0.15805939999999999</v>
      </c>
      <c r="X284">
        <v>0.9872879</v>
      </c>
      <c r="Y284">
        <v>7.5653289999999998E-2</v>
      </c>
      <c r="Z284">
        <v>-1.21504E-2</v>
      </c>
      <c r="AA284">
        <v>0.99706019999999895</v>
      </c>
      <c r="AB284">
        <v>29</v>
      </c>
      <c r="AC284">
        <v>0.53019999999997902</v>
      </c>
      <c r="AD284">
        <v>-0.22677050000000001</v>
      </c>
      <c r="AE284">
        <v>-5.6100000000014902E-2</v>
      </c>
      <c r="AF284">
        <v>4.7137498615054903E-2</v>
      </c>
      <c r="AG284">
        <v>-0.22677050000000001</v>
      </c>
      <c r="AH284">
        <v>0.44901525097865502</v>
      </c>
      <c r="AI284">
        <v>116.66943935553201</v>
      </c>
      <c r="AJ284">
        <v>84.007055925387206</v>
      </c>
      <c r="AK284">
        <v>0.50523410322083295</v>
      </c>
      <c r="AL284">
        <v>80.905725014921103</v>
      </c>
      <c r="AM284">
        <v>90.970614465975501</v>
      </c>
      <c r="AN284">
        <v>0.99999997645202898</v>
      </c>
    </row>
    <row r="285" spans="1:40" x14ac:dyDescent="0.25">
      <c r="A285" t="str">
        <f>"20190303161848316"</f>
        <v>20190303161848316</v>
      </c>
      <c r="B285" t="str">
        <f>"1551601128313476"</f>
        <v>1551601128313476</v>
      </c>
      <c r="C285" t="s">
        <v>40</v>
      </c>
      <c r="D285">
        <v>5.1257710000000003</v>
      </c>
      <c r="E285">
        <v>0.53973930000000003</v>
      </c>
      <c r="F285" t="s">
        <v>42</v>
      </c>
      <c r="G285">
        <v>-446.8365</v>
      </c>
      <c r="H285">
        <v>0.86633169999999904</v>
      </c>
      <c r="I285">
        <v>366.95359999999999</v>
      </c>
      <c r="J285">
        <v>-447.3449</v>
      </c>
      <c r="K285">
        <v>1.1210310000000001</v>
      </c>
      <c r="L285">
        <v>367.01670000000001</v>
      </c>
      <c r="M285">
        <v>0.99994309999999997</v>
      </c>
      <c r="N285">
        <v>-1.064476E-2</v>
      </c>
      <c r="O285">
        <v>-8.2029869999999895E-4</v>
      </c>
      <c r="P285">
        <v>0.98898019999999998</v>
      </c>
      <c r="Q285">
        <v>0.14723039999999901</v>
      </c>
      <c r="R285">
        <v>1.5550400000000001E-2</v>
      </c>
      <c r="S285">
        <v>3.1939389999999999</v>
      </c>
      <c r="T285">
        <v>-1.043156</v>
      </c>
      <c r="U285">
        <v>-0.25762940000000001</v>
      </c>
      <c r="V285">
        <v>-1.6355580000000002E-2</v>
      </c>
      <c r="W285">
        <v>0.1577501</v>
      </c>
      <c r="X285">
        <v>0.98734359999999999</v>
      </c>
      <c r="Y285">
        <v>7.5583849999999994E-2</v>
      </c>
      <c r="Z285">
        <v>-1.2173450000000001E-2</v>
      </c>
      <c r="AA285">
        <v>0.99706510000000004</v>
      </c>
      <c r="AB285">
        <v>29</v>
      </c>
      <c r="AC285">
        <v>0.50839999999999397</v>
      </c>
      <c r="AD285">
        <v>-0.25469930000000002</v>
      </c>
      <c r="AE285">
        <v>-6.3100000000019904E-2</v>
      </c>
      <c r="AF285">
        <v>5.0259901508241299E-2</v>
      </c>
      <c r="AG285">
        <v>-0.25469930000000002</v>
      </c>
      <c r="AH285">
        <v>0.40768248958193998</v>
      </c>
      <c r="AI285">
        <v>121.801189461001</v>
      </c>
      <c r="AJ285">
        <v>82.971925380587393</v>
      </c>
      <c r="AK285">
        <v>0.48332473910595197</v>
      </c>
      <c r="AL285">
        <v>80.923671893622796</v>
      </c>
      <c r="AM285">
        <v>90.949031323503107</v>
      </c>
      <c r="AN285">
        <v>0.99999999175405296</v>
      </c>
    </row>
    <row r="286" spans="1:40" x14ac:dyDescent="0.25">
      <c r="A286" t="str">
        <f>"20190303161848336"</f>
        <v>20190303161848336</v>
      </c>
      <c r="B286" t="str">
        <f>"1551601128332996"</f>
        <v>1551601128332996</v>
      </c>
      <c r="C286" t="s">
        <v>40</v>
      </c>
      <c r="D286">
        <v>5.1114800000000002</v>
      </c>
      <c r="E286">
        <v>0.53976939999999995</v>
      </c>
      <c r="F286" t="s">
        <v>42</v>
      </c>
      <c r="G286">
        <v>-446.57510000000002</v>
      </c>
      <c r="H286">
        <v>0.86844789999999905</v>
      </c>
      <c r="I286">
        <v>366.95440000000002</v>
      </c>
      <c r="J286">
        <v>-447.07279999999997</v>
      </c>
      <c r="K286">
        <v>1.121032</v>
      </c>
      <c r="L286">
        <v>367.01650000000001</v>
      </c>
      <c r="M286">
        <v>0.99993940000000003</v>
      </c>
      <c r="N286">
        <v>-1.0968149999999999E-2</v>
      </c>
      <c r="O286">
        <v>-8.2002529999999896E-4</v>
      </c>
      <c r="P286">
        <v>0.98901669999999997</v>
      </c>
      <c r="Q286">
        <v>0.14703079999999999</v>
      </c>
      <c r="R286">
        <v>1.5102890000000001E-2</v>
      </c>
      <c r="S286">
        <v>3.1934809999999998</v>
      </c>
      <c r="T286">
        <v>-1.047812</v>
      </c>
      <c r="U286">
        <v>-0.25811770000000001</v>
      </c>
      <c r="V286">
        <v>-1.5907999999999999E-2</v>
      </c>
      <c r="W286">
        <v>0.15787019999999999</v>
      </c>
      <c r="X286">
        <v>0.98733170000000003</v>
      </c>
      <c r="Y286">
        <v>7.5701119999999997E-2</v>
      </c>
      <c r="Z286">
        <v>-1.2257240000000001E-2</v>
      </c>
      <c r="AA286">
        <v>0.99705520000000003</v>
      </c>
      <c r="AB286">
        <v>29</v>
      </c>
      <c r="AC286">
        <v>0.49769999999995201</v>
      </c>
      <c r="AD286">
        <v>-0.25258409999999998</v>
      </c>
      <c r="AE286">
        <v>-6.2099999999986701E-2</v>
      </c>
      <c r="AF286">
        <v>4.9211314271508599E-2</v>
      </c>
      <c r="AG286">
        <v>-0.25258409999999998</v>
      </c>
      <c r="AH286">
        <v>0.39705370818147301</v>
      </c>
      <c r="AI286">
        <v>122.26485101454701</v>
      </c>
      <c r="AJ286">
        <v>82.934722708794496</v>
      </c>
      <c r="AK286">
        <v>0.47315127412466901</v>
      </c>
      <c r="AL286">
        <v>80.916703198988699</v>
      </c>
      <c r="AM286">
        <v>90.923076207255093</v>
      </c>
      <c r="AN286">
        <v>0.99999997516846395</v>
      </c>
    </row>
    <row r="287" spans="1:40" x14ac:dyDescent="0.25">
      <c r="A287" t="str">
        <f>"20190303161848358"</f>
        <v>20190303161848358</v>
      </c>
      <c r="B287" t="str">
        <f>"1551601128353492"</f>
        <v>1551601128353492</v>
      </c>
      <c r="C287" t="s">
        <v>40</v>
      </c>
      <c r="D287">
        <v>5.1254999999999997</v>
      </c>
      <c r="E287">
        <v>0.53977719999999996</v>
      </c>
      <c r="F287" t="s">
        <v>42</v>
      </c>
      <c r="G287">
        <v>-446.3134</v>
      </c>
      <c r="H287">
        <v>0.87159929999999997</v>
      </c>
      <c r="I287">
        <v>366.9545</v>
      </c>
      <c r="J287">
        <v>-446.79860000000002</v>
      </c>
      <c r="K287">
        <v>1.1210389999999999</v>
      </c>
      <c r="L287">
        <v>367.01620000000003</v>
      </c>
      <c r="M287">
        <v>0.99993650000000001</v>
      </c>
      <c r="N287">
        <v>-1.1250069999999999E-2</v>
      </c>
      <c r="O287">
        <v>-8.19808E-4</v>
      </c>
      <c r="P287">
        <v>0.98902480000000004</v>
      </c>
      <c r="Q287">
        <v>0.147054399999999</v>
      </c>
      <c r="R287">
        <v>1.4327350000000001E-2</v>
      </c>
      <c r="S287">
        <v>3.1932369999999999</v>
      </c>
      <c r="T287">
        <v>-1.0488409999999999</v>
      </c>
      <c r="U287">
        <v>-0.25900269999999997</v>
      </c>
      <c r="V287">
        <v>-1.513186E-2</v>
      </c>
      <c r="W287">
        <v>0.15817239999999999</v>
      </c>
      <c r="X287">
        <v>0.98729560000000005</v>
      </c>
      <c r="Y287">
        <v>7.5956389999999999E-2</v>
      </c>
      <c r="Z287">
        <v>-1.232256E-2</v>
      </c>
      <c r="AA287">
        <v>0.997035</v>
      </c>
      <c r="AB287">
        <v>29</v>
      </c>
      <c r="AC287">
        <v>0.48520000000002</v>
      </c>
      <c r="AD287">
        <v>-0.24943969999999899</v>
      </c>
      <c r="AE287">
        <v>-6.1700000000030203E-2</v>
      </c>
      <c r="AF287">
        <v>4.8649068954381203E-2</v>
      </c>
      <c r="AG287">
        <v>-0.24943969999999899</v>
      </c>
      <c r="AH287">
        <v>0.38509201442003699</v>
      </c>
      <c r="AI287">
        <v>122.72612840841499</v>
      </c>
      <c r="AJ287">
        <v>82.799907133554001</v>
      </c>
      <c r="AK287">
        <v>0.461392192626079</v>
      </c>
      <c r="AL287">
        <v>80.899168706901506</v>
      </c>
      <c r="AM287">
        <v>90.878079307930804</v>
      </c>
      <c r="AN287">
        <v>1.00000004154408</v>
      </c>
    </row>
    <row r="288" spans="1:40" x14ac:dyDescent="0.25">
      <c r="A288" t="str">
        <f>"20190303161848371"</f>
        <v>20190303161848371</v>
      </c>
      <c r="B288" t="str">
        <f>"1551601128363252"</f>
        <v>1551601128363252</v>
      </c>
      <c r="C288" t="s">
        <v>40</v>
      </c>
      <c r="D288">
        <v>5.1218219999999999</v>
      </c>
      <c r="E288">
        <v>0.5397864</v>
      </c>
      <c r="F288" t="s">
        <v>42</v>
      </c>
      <c r="G288">
        <v>-446.05149999999998</v>
      </c>
      <c r="H288">
        <v>0.87550430000000001</v>
      </c>
      <c r="I288">
        <v>366.9554</v>
      </c>
      <c r="J288">
        <v>-446.62009999999998</v>
      </c>
      <c r="K288">
        <v>1.1210500000000001</v>
      </c>
      <c r="L288">
        <v>367.01609999999999</v>
      </c>
      <c r="M288">
        <v>0.99993460000000001</v>
      </c>
      <c r="N288">
        <v>-1.141317E-2</v>
      </c>
      <c r="O288">
        <v>-8.1954269999999995E-4</v>
      </c>
      <c r="P288">
        <v>0.98903949999999996</v>
      </c>
      <c r="Q288">
        <v>0.14697089999999999</v>
      </c>
      <c r="R288">
        <v>1.416744E-2</v>
      </c>
      <c r="S288">
        <v>3.1930540000000001</v>
      </c>
      <c r="T288">
        <v>-1.049331</v>
      </c>
      <c r="U288">
        <v>-0.26055909999999999</v>
      </c>
      <c r="V288">
        <v>-1.4972070000000001E-2</v>
      </c>
      <c r="W288">
        <v>0.15824969999999999</v>
      </c>
      <c r="X288">
        <v>0.98728559999999999</v>
      </c>
      <c r="Y288">
        <v>7.6413220000000004E-2</v>
      </c>
      <c r="Z288">
        <v>-1.2410579999999999E-2</v>
      </c>
      <c r="AA288">
        <v>0.99699899999999997</v>
      </c>
      <c r="AB288">
        <v>29</v>
      </c>
      <c r="AC288">
        <v>0.56860000000000299</v>
      </c>
      <c r="AD288">
        <v>-0.24554570000000001</v>
      </c>
      <c r="AE288">
        <v>-6.0699999999996999E-2</v>
      </c>
      <c r="AF288">
        <v>5.0856664627057603E-2</v>
      </c>
      <c r="AG288">
        <v>-0.24554570000000001</v>
      </c>
      <c r="AH288">
        <v>0.48012153239842498</v>
      </c>
      <c r="AI288">
        <v>116.95692721558299</v>
      </c>
      <c r="AJ288">
        <v>83.953516070741202</v>
      </c>
      <c r="AK288">
        <v>0.541660204369945</v>
      </c>
      <c r="AL288">
        <v>80.894682806495595</v>
      </c>
      <c r="AM288">
        <v>90.868817159614395</v>
      </c>
      <c r="AN288">
        <v>0.99999999319876698</v>
      </c>
    </row>
    <row r="289" spans="1:40" x14ac:dyDescent="0.25">
      <c r="A289" t="str">
        <f>"20190303161848384"</f>
        <v>20190303161848384</v>
      </c>
      <c r="B289" t="str">
        <f>"1551601128373012"</f>
        <v>1551601128373012</v>
      </c>
      <c r="C289" t="s">
        <v>40</v>
      </c>
      <c r="D289">
        <v>5.1055820000000001</v>
      </c>
      <c r="E289">
        <v>0.53977839999999999</v>
      </c>
      <c r="F289" t="s">
        <v>42</v>
      </c>
      <c r="G289">
        <v>-445.80070000000001</v>
      </c>
      <c r="H289">
        <v>0.85165550000000001</v>
      </c>
      <c r="I289">
        <v>366.94869999999997</v>
      </c>
      <c r="J289">
        <v>-446.44029999999998</v>
      </c>
      <c r="K289">
        <v>1.121054</v>
      </c>
      <c r="L289">
        <v>367.01600000000002</v>
      </c>
      <c r="M289">
        <v>0.99993290000000001</v>
      </c>
      <c r="N289">
        <v>-1.1565260000000001E-2</v>
      </c>
      <c r="O289">
        <v>-8.1958429999999896E-4</v>
      </c>
      <c r="P289">
        <v>0.98901079999999997</v>
      </c>
      <c r="Q289">
        <v>0.1471922</v>
      </c>
      <c r="R289">
        <v>1.386921E-2</v>
      </c>
      <c r="S289">
        <v>3.1930239999999999</v>
      </c>
      <c r="T289">
        <v>-1.049739</v>
      </c>
      <c r="U289">
        <v>-0.26126100000000002</v>
      </c>
      <c r="V289">
        <v>-1.4674130000000001E-2</v>
      </c>
      <c r="W289">
        <v>0.15862119999999999</v>
      </c>
      <c r="X289">
        <v>0.98723050000000001</v>
      </c>
      <c r="Y289">
        <v>7.6615639999999999E-2</v>
      </c>
      <c r="Z289">
        <v>-1.2454669999999999E-2</v>
      </c>
      <c r="AA289">
        <v>0.99698290000000001</v>
      </c>
      <c r="AB289">
        <v>29</v>
      </c>
      <c r="AC289">
        <v>0.63959999999997297</v>
      </c>
      <c r="AD289">
        <v>-0.26939849999999999</v>
      </c>
      <c r="AE289">
        <v>-6.7299999999988799E-2</v>
      </c>
      <c r="AF289">
        <v>5.6807913025279898E-2</v>
      </c>
      <c r="AG289">
        <v>-0.26939849999999999</v>
      </c>
      <c r="AH289">
        <v>0.54417164998297396</v>
      </c>
      <c r="AI289">
        <v>116.214984157096</v>
      </c>
      <c r="AJ289">
        <v>84.040287465454895</v>
      </c>
      <c r="AK289">
        <v>0.60985693029572896</v>
      </c>
      <c r="AL289">
        <v>80.873125545681305</v>
      </c>
      <c r="AM289">
        <v>90.851578032286696</v>
      </c>
      <c r="AN289">
        <v>1.0000000376554701</v>
      </c>
    </row>
    <row r="290" spans="1:40" x14ac:dyDescent="0.25">
      <c r="A290" t="str">
        <f>"20190303161848402"</f>
        <v>20190303161848402</v>
      </c>
      <c r="B290" t="str">
        <f>"1551601128393508"</f>
        <v>1551601128393508</v>
      </c>
      <c r="C290" t="s">
        <v>40</v>
      </c>
      <c r="D290">
        <v>5.1155679999999997</v>
      </c>
      <c r="E290">
        <v>0.53980740000000005</v>
      </c>
      <c r="F290" t="s">
        <v>42</v>
      </c>
      <c r="G290">
        <v>-445.54989999999998</v>
      </c>
      <c r="H290">
        <v>0.82845139999999995</v>
      </c>
      <c r="I290">
        <v>366.94279999999998</v>
      </c>
      <c r="J290">
        <v>-446.21370000000002</v>
      </c>
      <c r="K290">
        <v>1.1210629999999999</v>
      </c>
      <c r="L290">
        <v>367.01580000000001</v>
      </c>
      <c r="M290">
        <v>0.99993089999999996</v>
      </c>
      <c r="N290">
        <v>-1.173223E-2</v>
      </c>
      <c r="O290">
        <v>-8.1936719999999995E-4</v>
      </c>
      <c r="P290">
        <v>0.98904570000000003</v>
      </c>
      <c r="Q290">
        <v>0.14700559999999999</v>
      </c>
      <c r="R290">
        <v>1.333726E-2</v>
      </c>
      <c r="S290">
        <v>3.1931759999999998</v>
      </c>
      <c r="T290">
        <v>-1.0493709999999901</v>
      </c>
      <c r="U290">
        <v>-0.2616272</v>
      </c>
      <c r="V290">
        <v>-1.4141290000000001E-2</v>
      </c>
      <c r="W290">
        <v>0.15859949999999901</v>
      </c>
      <c r="X290">
        <v>0.9872417</v>
      </c>
      <c r="Y290">
        <v>7.6720830000000004E-2</v>
      </c>
      <c r="Z290">
        <v>-1.2474310000000001E-2</v>
      </c>
      <c r="AA290">
        <v>0.99697460000000004</v>
      </c>
      <c r="AB290">
        <v>29</v>
      </c>
      <c r="AC290">
        <v>0.66380000000003703</v>
      </c>
      <c r="AD290">
        <v>-0.29261159999999897</v>
      </c>
      <c r="AE290">
        <v>-7.3000000000035897E-2</v>
      </c>
      <c r="AF290">
        <v>6.0785574879048898E-2</v>
      </c>
      <c r="AG290">
        <v>-0.29261159999999897</v>
      </c>
      <c r="AH290">
        <v>0.55693198154744095</v>
      </c>
      <c r="AI290">
        <v>117.577952207582</v>
      </c>
      <c r="AJ290">
        <v>83.771186123257607</v>
      </c>
      <c r="AK290">
        <v>0.632051949319275</v>
      </c>
      <c r="AL290">
        <v>80.874384235863502</v>
      </c>
      <c r="AM290">
        <v>90.820650937291902</v>
      </c>
      <c r="AN290">
        <v>0.99999997585100098</v>
      </c>
    </row>
    <row r="291" spans="1:40" x14ac:dyDescent="0.25">
      <c r="A291" t="str">
        <f>"20190303161848414"</f>
        <v>20190303161848414</v>
      </c>
      <c r="B291" t="str">
        <f>"1551601128403268"</f>
        <v>1551601128403268</v>
      </c>
      <c r="C291" t="s">
        <v>40</v>
      </c>
      <c r="D291">
        <v>5.1295419999999998</v>
      </c>
      <c r="E291">
        <v>0.53981199999999996</v>
      </c>
      <c r="F291" t="s">
        <v>42</v>
      </c>
      <c r="G291">
        <v>-445.52370000000002</v>
      </c>
      <c r="H291">
        <v>0.89427959999999995</v>
      </c>
      <c r="I291">
        <v>366.95870000000002</v>
      </c>
      <c r="J291">
        <v>-446.04860000000002</v>
      </c>
      <c r="K291">
        <v>1.1210690000000001</v>
      </c>
      <c r="L291">
        <v>367.01560000000001</v>
      </c>
      <c r="M291">
        <v>0.99992970000000003</v>
      </c>
      <c r="N291">
        <v>-1.184147E-2</v>
      </c>
      <c r="O291">
        <v>-8.1929759999999996E-4</v>
      </c>
      <c r="P291">
        <v>0.98905379999999998</v>
      </c>
      <c r="Q291">
        <v>0.146976</v>
      </c>
      <c r="R291">
        <v>1.307585E-2</v>
      </c>
      <c r="S291">
        <v>3.19278</v>
      </c>
      <c r="T291">
        <v>-1.049391</v>
      </c>
      <c r="U291">
        <v>-0.2633972</v>
      </c>
      <c r="V291">
        <v>-1.388032E-2</v>
      </c>
      <c r="W291">
        <v>0.1586777</v>
      </c>
      <c r="X291">
        <v>0.98723289999999997</v>
      </c>
      <c r="Y291">
        <v>7.7248940000000002E-2</v>
      </c>
      <c r="Z291">
        <v>-1.2567770000000001E-2</v>
      </c>
      <c r="AA291">
        <v>0.99693259999999995</v>
      </c>
      <c r="AB291">
        <v>29</v>
      </c>
      <c r="AC291">
        <v>0.52490000000000203</v>
      </c>
      <c r="AD291">
        <v>-0.2267894</v>
      </c>
      <c r="AE291">
        <v>-5.6899999999984602E-2</v>
      </c>
      <c r="AF291">
        <v>4.7673658176526398E-2</v>
      </c>
      <c r="AG291">
        <v>-0.2267894</v>
      </c>
      <c r="AH291">
        <v>0.44317621812792402</v>
      </c>
      <c r="AI291">
        <v>116.96703613474899</v>
      </c>
      <c r="AJ291">
        <v>83.860149409628704</v>
      </c>
      <c r="AK291">
        <v>0.50011135754995795</v>
      </c>
      <c r="AL291">
        <v>80.869846805720201</v>
      </c>
      <c r="AM291">
        <v>90.805515453315905</v>
      </c>
      <c r="AN291">
        <v>1.0000000373015001</v>
      </c>
    </row>
    <row r="292" spans="1:40" x14ac:dyDescent="0.25">
      <c r="A292" t="str">
        <f>"20190303161848428"</f>
        <v>20190303161848428</v>
      </c>
      <c r="B292" t="str">
        <f>"1551601128423765"</f>
        <v>1551601128423765</v>
      </c>
      <c r="C292" t="s">
        <v>40</v>
      </c>
      <c r="D292">
        <v>5.142004</v>
      </c>
      <c r="E292">
        <v>0.5398231</v>
      </c>
      <c r="F292" t="s">
        <v>42</v>
      </c>
      <c r="G292">
        <v>-445.27499999999998</v>
      </c>
      <c r="H292">
        <v>0.866815</v>
      </c>
      <c r="I292">
        <v>366.95139999999998</v>
      </c>
      <c r="J292">
        <v>-445.87529999999998</v>
      </c>
      <c r="K292">
        <v>1.121076</v>
      </c>
      <c r="L292">
        <v>367.01549999999997</v>
      </c>
      <c r="M292">
        <v>0.99992840000000005</v>
      </c>
      <c r="N292">
        <v>-1.1949049999999999E-2</v>
      </c>
      <c r="O292">
        <v>-8.1922379999999995E-4</v>
      </c>
      <c r="P292">
        <v>0.98905220000000005</v>
      </c>
      <c r="Q292">
        <v>0.1470002</v>
      </c>
      <c r="R292">
        <v>1.291365E-2</v>
      </c>
      <c r="S292">
        <v>3.1926269999999999</v>
      </c>
      <c r="T292">
        <v>-1.0493859999999999</v>
      </c>
      <c r="U292">
        <v>-0.2637024</v>
      </c>
      <c r="V292">
        <v>-1.371809E-2</v>
      </c>
      <c r="W292">
        <v>0.15880810000000001</v>
      </c>
      <c r="X292">
        <v>0.98721409999999998</v>
      </c>
      <c r="Y292">
        <v>7.7340839999999994E-2</v>
      </c>
      <c r="Z292">
        <v>-1.2587859999999999E-2</v>
      </c>
      <c r="AA292">
        <v>0.99692519999999996</v>
      </c>
      <c r="AB292">
        <v>29</v>
      </c>
      <c r="AC292">
        <v>0.60030000000000405</v>
      </c>
      <c r="AD292">
        <v>-0.25426100000000001</v>
      </c>
      <c r="AE292">
        <v>-6.4099999999996202E-2</v>
      </c>
      <c r="AF292">
        <v>5.4025282842740698E-2</v>
      </c>
      <c r="AG292">
        <v>-0.25426100000000001</v>
      </c>
      <c r="AH292">
        <v>0.50990630554394101</v>
      </c>
      <c r="AI292">
        <v>116.375301310628</v>
      </c>
      <c r="AJ292">
        <v>83.951996076862898</v>
      </c>
      <c r="AK292">
        <v>0.57233890986085201</v>
      </c>
      <c r="AL292">
        <v>80.862278575742195</v>
      </c>
      <c r="AM292">
        <v>90.796117150707204</v>
      </c>
      <c r="AN292">
        <v>0.99999993892883199</v>
      </c>
    </row>
    <row r="293" spans="1:40" x14ac:dyDescent="0.25">
      <c r="A293" t="str">
        <f>"20190303161848447"</f>
        <v>20190303161848447</v>
      </c>
      <c r="B293" t="str">
        <f>"1551601128443283"</f>
        <v>1551601128443283</v>
      </c>
      <c r="C293" t="s">
        <v>40</v>
      </c>
      <c r="D293">
        <v>5.1600760000000001</v>
      </c>
      <c r="E293">
        <v>0.53976089999999999</v>
      </c>
      <c r="F293" t="s">
        <v>42</v>
      </c>
      <c r="G293">
        <v>-445.02519999999998</v>
      </c>
      <c r="H293">
        <v>0.84177299999999999</v>
      </c>
      <c r="I293">
        <v>366.94479999999999</v>
      </c>
      <c r="J293">
        <v>-445.63400000000001</v>
      </c>
      <c r="K293">
        <v>1.121094</v>
      </c>
      <c r="L293">
        <v>367.01530000000002</v>
      </c>
      <c r="M293">
        <v>0.99992669999999995</v>
      </c>
      <c r="N293">
        <v>-1.208242E-2</v>
      </c>
      <c r="O293">
        <v>-8.1907349999999998E-4</v>
      </c>
      <c r="P293">
        <v>0.98909860000000005</v>
      </c>
      <c r="Q293">
        <v>0.14670620000000001</v>
      </c>
      <c r="R293">
        <v>1.2707019999999999E-2</v>
      </c>
      <c r="S293">
        <v>3.1925659999999998</v>
      </c>
      <c r="T293">
        <v>-1.0489550000000001</v>
      </c>
      <c r="U293">
        <v>-0.2649841</v>
      </c>
      <c r="V293">
        <v>-1.351132E-2</v>
      </c>
      <c r="W293">
        <v>0.1586466</v>
      </c>
      <c r="X293">
        <v>0.98724299999999998</v>
      </c>
      <c r="Y293">
        <v>7.7720940000000002E-2</v>
      </c>
      <c r="Z293">
        <v>-1.265174E-2</v>
      </c>
      <c r="AA293">
        <v>0.99689490000000003</v>
      </c>
      <c r="AB293">
        <v>29</v>
      </c>
      <c r="AC293">
        <v>0.60880000000002998</v>
      </c>
      <c r="AD293">
        <v>-0.27932099999999999</v>
      </c>
      <c r="AE293">
        <v>-7.0500000000038199E-2</v>
      </c>
      <c r="AF293">
        <v>5.7961649731539402E-2</v>
      </c>
      <c r="AG293">
        <v>-0.27932099999999999</v>
      </c>
      <c r="AH293">
        <v>0.50413912001132799</v>
      </c>
      <c r="AI293">
        <v>118.829680390278</v>
      </c>
      <c r="AJ293">
        <v>83.441413101301904</v>
      </c>
      <c r="AK293">
        <v>0.57925471617104496</v>
      </c>
      <c r="AL293">
        <v>80.871651408462895</v>
      </c>
      <c r="AM293">
        <v>90.784095996391798</v>
      </c>
      <c r="AN293">
        <v>1.00000002025435</v>
      </c>
    </row>
    <row r="294" spans="1:40" x14ac:dyDescent="0.25">
      <c r="A294" t="str">
        <f>"20190303161848459"</f>
        <v>20190303161848459</v>
      </c>
      <c r="B294" t="str">
        <f>"1551601128453044"</f>
        <v>1551601128453044</v>
      </c>
      <c r="C294" t="s">
        <v>40</v>
      </c>
      <c r="D294">
        <v>5.1335329999999999</v>
      </c>
      <c r="E294">
        <v>0.53972390000000003</v>
      </c>
      <c r="F294" t="s">
        <v>42</v>
      </c>
      <c r="G294">
        <v>-444.76799999999997</v>
      </c>
      <c r="H294">
        <v>0.83597919999999903</v>
      </c>
      <c r="I294">
        <v>366.94319999999999</v>
      </c>
      <c r="J294">
        <v>-445.46530000000001</v>
      </c>
      <c r="K294">
        <v>1.121102</v>
      </c>
      <c r="L294">
        <v>367.01510000000002</v>
      </c>
      <c r="M294">
        <v>0.99992570000000003</v>
      </c>
      <c r="N294">
        <v>-1.216484E-2</v>
      </c>
      <c r="O294">
        <v>-8.1909759999999996E-4</v>
      </c>
      <c r="P294">
        <v>0.98910929999999997</v>
      </c>
      <c r="Q294">
        <v>0.1466277</v>
      </c>
      <c r="R294">
        <v>1.278104E-2</v>
      </c>
      <c r="S294">
        <v>3.192383</v>
      </c>
      <c r="T294">
        <v>-1.050926</v>
      </c>
      <c r="U294">
        <v>-0.26437379999999999</v>
      </c>
      <c r="V294">
        <v>-1.358522E-2</v>
      </c>
      <c r="W294">
        <v>0.1586494</v>
      </c>
      <c r="X294">
        <v>0.98724149999999999</v>
      </c>
      <c r="Y294">
        <v>7.7530039999999995E-2</v>
      </c>
      <c r="Z294">
        <v>-1.264584E-2</v>
      </c>
      <c r="AA294">
        <v>0.99690979999999996</v>
      </c>
      <c r="AB294">
        <v>29</v>
      </c>
      <c r="AC294">
        <v>0.69729999999998404</v>
      </c>
      <c r="AD294">
        <v>-0.28512280000000001</v>
      </c>
      <c r="AE294">
        <v>-7.1900000000027803E-2</v>
      </c>
      <c r="AF294">
        <v>6.1203483334624699E-2</v>
      </c>
      <c r="AG294">
        <v>-0.28512280000000001</v>
      </c>
      <c r="AH294">
        <v>0.59836690341404497</v>
      </c>
      <c r="AI294">
        <v>115.36228125192901</v>
      </c>
      <c r="AJ294">
        <v>84.159856840893696</v>
      </c>
      <c r="AK294">
        <v>0.66564542254374803</v>
      </c>
      <c r="AL294">
        <v>80.871488596227195</v>
      </c>
      <c r="AM294">
        <v>90.788385257762798</v>
      </c>
      <c r="AN294">
        <v>0.99999998482252905</v>
      </c>
    </row>
    <row r="295" spans="1:40" x14ac:dyDescent="0.25">
      <c r="A295" t="str">
        <f>"20190303161848473"</f>
        <v>20190303161848473</v>
      </c>
      <c r="B295" t="str">
        <f>"1551601128463780"</f>
        <v>1551601128463780</v>
      </c>
      <c r="C295" t="s">
        <v>40</v>
      </c>
      <c r="D295">
        <v>5.1550339999999997</v>
      </c>
      <c r="E295">
        <v>0.53969279999999997</v>
      </c>
      <c r="F295" t="s">
        <v>42</v>
      </c>
      <c r="G295">
        <v>-444.74860000000001</v>
      </c>
      <c r="H295">
        <v>0.88498539999999903</v>
      </c>
      <c r="I295">
        <v>366.9554</v>
      </c>
      <c r="J295">
        <v>-445.29759999999999</v>
      </c>
      <c r="K295">
        <v>1.1211100000000001</v>
      </c>
      <c r="L295">
        <v>367.01499999999999</v>
      </c>
      <c r="M295">
        <v>0.99992499999999995</v>
      </c>
      <c r="N295">
        <v>-1.224019E-2</v>
      </c>
      <c r="O295">
        <v>-8.1920089999999897E-4</v>
      </c>
      <c r="P295">
        <v>0.98909309999999995</v>
      </c>
      <c r="Q295">
        <v>0.14672969999999999</v>
      </c>
      <c r="R295">
        <v>1.2874139999999999E-2</v>
      </c>
      <c r="S295">
        <v>3.1923219999999999</v>
      </c>
      <c r="T295">
        <v>-1.051569</v>
      </c>
      <c r="U295">
        <v>-0.2641907</v>
      </c>
      <c r="V295">
        <v>-1.367851E-2</v>
      </c>
      <c r="W295">
        <v>0.15882550000000001</v>
      </c>
      <c r="X295">
        <v>0.98721190000000003</v>
      </c>
      <c r="Y295">
        <v>7.7471810000000002E-2</v>
      </c>
      <c r="Z295">
        <v>-1.26465E-2</v>
      </c>
      <c r="AA295">
        <v>0.99691430000000003</v>
      </c>
      <c r="AB295">
        <v>29</v>
      </c>
      <c r="AC295">
        <v>0.54899999999997795</v>
      </c>
      <c r="AD295">
        <v>-0.23612459999999999</v>
      </c>
      <c r="AE295">
        <v>-5.9599999999989002E-2</v>
      </c>
      <c r="AF295">
        <v>5.0007326232051598E-2</v>
      </c>
      <c r="AG295">
        <v>-0.23612459999999999</v>
      </c>
      <c r="AH295">
        <v>0.464181900805133</v>
      </c>
      <c r="AI295">
        <v>116.828610582678</v>
      </c>
      <c r="AJ295">
        <v>83.851116252937302</v>
      </c>
      <c r="AK295">
        <v>0.52318294738753202</v>
      </c>
      <c r="AL295">
        <v>80.861269268279798</v>
      </c>
      <c r="AM295">
        <v>90.793822223774896</v>
      </c>
      <c r="AN295">
        <v>0.99999998829383996</v>
      </c>
    </row>
    <row r="296" spans="1:40" x14ac:dyDescent="0.25">
      <c r="A296" t="str">
        <f>"20190303161848492"</f>
        <v>20190303161848492</v>
      </c>
      <c r="B296" t="str">
        <f>"1551601128483300"</f>
        <v>1551601128483300</v>
      </c>
      <c r="C296" t="s">
        <v>40</v>
      </c>
      <c r="D296">
        <v>5.1758920000000002</v>
      </c>
      <c r="E296">
        <v>0.53961759999999903</v>
      </c>
      <c r="F296" t="s">
        <v>42</v>
      </c>
      <c r="G296">
        <v>-444.49990000000003</v>
      </c>
      <c r="H296">
        <v>0.85824840000000002</v>
      </c>
      <c r="I296">
        <v>366.94909999999999</v>
      </c>
      <c r="J296">
        <v>-445.05360000000002</v>
      </c>
      <c r="K296">
        <v>1.121122</v>
      </c>
      <c r="L296">
        <v>367.01479999999998</v>
      </c>
      <c r="M296">
        <v>0.99992349999999997</v>
      </c>
      <c r="N296">
        <v>-1.233803E-2</v>
      </c>
      <c r="O296">
        <v>-8.1896940000000004E-4</v>
      </c>
      <c r="P296">
        <v>0.98910070000000005</v>
      </c>
      <c r="Q296">
        <v>0.14666479999999901</v>
      </c>
      <c r="R296">
        <v>1.301628E-2</v>
      </c>
      <c r="S296">
        <v>3.192596</v>
      </c>
      <c r="T296">
        <v>-1.051892</v>
      </c>
      <c r="U296">
        <v>-0.2630615</v>
      </c>
      <c r="V296">
        <v>-1.3820600000000001E-2</v>
      </c>
      <c r="W296">
        <v>0.15885750000000001</v>
      </c>
      <c r="X296">
        <v>0.98720479999999999</v>
      </c>
      <c r="Y296">
        <v>7.7130210000000005E-2</v>
      </c>
      <c r="Z296">
        <v>-1.2596359999999999E-2</v>
      </c>
      <c r="AA296">
        <v>0.99694139999999998</v>
      </c>
      <c r="AB296">
        <v>29</v>
      </c>
      <c r="AC296">
        <v>0.55369999999999198</v>
      </c>
      <c r="AD296">
        <v>-0.26287359999999899</v>
      </c>
      <c r="AE296">
        <v>-6.5699999999992501E-2</v>
      </c>
      <c r="AF296">
        <v>5.33815730409537E-2</v>
      </c>
      <c r="AG296">
        <v>-0.26287359999999899</v>
      </c>
      <c r="AH296">
        <v>0.45305493157738203</v>
      </c>
      <c r="AI296">
        <v>119.952198506144</v>
      </c>
      <c r="AJ296">
        <v>83.280060440313704</v>
      </c>
      <c r="AK296">
        <v>0.52650820785992802</v>
      </c>
      <c r="AL296">
        <v>80.859412479299493</v>
      </c>
      <c r="AM296">
        <v>90.802073007985996</v>
      </c>
      <c r="AN296">
        <v>1.0000000157168201</v>
      </c>
    </row>
    <row r="297" spans="1:40" x14ac:dyDescent="0.25">
      <c r="A297" t="str">
        <f>"20190303161848506"</f>
        <v>20190303161848506</v>
      </c>
      <c r="B297" t="str">
        <f>"1551601128503796"</f>
        <v>1551601128503796</v>
      </c>
      <c r="C297" t="s">
        <v>40</v>
      </c>
      <c r="D297">
        <v>5.1961849999999998</v>
      </c>
      <c r="E297">
        <v>0.53953169999999995</v>
      </c>
      <c r="F297" t="s">
        <v>42</v>
      </c>
      <c r="G297">
        <v>-444.24250000000001</v>
      </c>
      <c r="H297">
        <v>0.85357739999999904</v>
      </c>
      <c r="I297">
        <v>366.94779999999997</v>
      </c>
      <c r="J297">
        <v>-444.86770000000001</v>
      </c>
      <c r="K297">
        <v>1.1211230000000001</v>
      </c>
      <c r="L297">
        <v>367.01459999999997</v>
      </c>
      <c r="M297">
        <v>0.99992289999999995</v>
      </c>
      <c r="N297">
        <v>-1.2403829999999999E-2</v>
      </c>
      <c r="O297">
        <v>-8.1913910000000001E-4</v>
      </c>
      <c r="P297">
        <v>0.98911349999999998</v>
      </c>
      <c r="Q297">
        <v>0.14656089999999999</v>
      </c>
      <c r="R297">
        <v>1.321226E-2</v>
      </c>
      <c r="S297">
        <v>3.1926570000000001</v>
      </c>
      <c r="T297">
        <v>-1.0531699999999999</v>
      </c>
      <c r="U297">
        <v>-0.2626038</v>
      </c>
      <c r="V297">
        <v>-1.401604E-2</v>
      </c>
      <c r="W297">
        <v>0.15881890000000001</v>
      </c>
      <c r="X297">
        <v>0.98720819999999998</v>
      </c>
      <c r="Y297">
        <v>7.6983999999999997E-2</v>
      </c>
      <c r="Z297">
        <v>-1.2588429999999999E-2</v>
      </c>
      <c r="AA297">
        <v>0.99695279999999997</v>
      </c>
      <c r="AB297">
        <v>29</v>
      </c>
      <c r="AC297">
        <v>0.62520000000000597</v>
      </c>
      <c r="AD297">
        <v>-0.267545599999999</v>
      </c>
      <c r="AE297">
        <v>-6.6800000000000595E-2</v>
      </c>
      <c r="AF297">
        <v>5.6125588495448298E-2</v>
      </c>
      <c r="AG297">
        <v>-0.267545599999999</v>
      </c>
      <c r="AH297">
        <v>0.52940014417109504</v>
      </c>
      <c r="AI297">
        <v>116.682208624498</v>
      </c>
      <c r="AJ297">
        <v>83.948260209160694</v>
      </c>
      <c r="AK297">
        <v>0.59581477189785803</v>
      </c>
      <c r="AL297">
        <v>80.861652032791596</v>
      </c>
      <c r="AM297">
        <v>90.813410976036494</v>
      </c>
      <c r="AN297">
        <v>0.99999996126086499</v>
      </c>
    </row>
    <row r="298" spans="1:40" x14ac:dyDescent="0.25">
      <c r="A298" t="str">
        <f>"20190303161848527"</f>
        <v>20190303161848527</v>
      </c>
      <c r="B298" t="str">
        <f>"1551601128523316"</f>
        <v>1551601128523316</v>
      </c>
      <c r="C298" t="s">
        <v>40</v>
      </c>
      <c r="D298">
        <v>5.1976290000000001</v>
      </c>
      <c r="E298">
        <v>0.53945419999999999</v>
      </c>
      <c r="F298" t="s">
        <v>42</v>
      </c>
      <c r="G298">
        <v>-443.99209999999999</v>
      </c>
      <c r="H298">
        <v>0.83183989999999997</v>
      </c>
      <c r="I298">
        <v>366.94299999999998</v>
      </c>
      <c r="J298">
        <v>-444.60669999999999</v>
      </c>
      <c r="K298">
        <v>1.1211310000000001</v>
      </c>
      <c r="L298">
        <v>367.01440000000002</v>
      </c>
      <c r="M298">
        <v>0.99992170000000002</v>
      </c>
      <c r="N298">
        <v>-1.2480679999999999E-2</v>
      </c>
      <c r="O298">
        <v>-8.1902240000000001E-4</v>
      </c>
      <c r="P298">
        <v>0.98909570000000002</v>
      </c>
      <c r="Q298">
        <v>0.14666119999999999</v>
      </c>
      <c r="R298">
        <v>1.341972E-2</v>
      </c>
      <c r="S298">
        <v>3.1927490000000001</v>
      </c>
      <c r="T298">
        <v>-1.054713</v>
      </c>
      <c r="U298">
        <v>-0.26110840000000002</v>
      </c>
      <c r="V298">
        <v>-1.422417E-2</v>
      </c>
      <c r="W298">
        <v>0.158995</v>
      </c>
      <c r="X298">
        <v>0.98717690000000002</v>
      </c>
      <c r="Y298">
        <v>7.6530180000000003E-2</v>
      </c>
      <c r="Z298">
        <v>-1.253248E-2</v>
      </c>
      <c r="AA298">
        <v>0.99698850000000006</v>
      </c>
      <c r="AB298">
        <v>29</v>
      </c>
      <c r="AC298">
        <v>0.61459999999999504</v>
      </c>
      <c r="AD298">
        <v>-0.28929109999999902</v>
      </c>
      <c r="AE298">
        <v>-7.1399999999982797E-2</v>
      </c>
      <c r="AF298">
        <v>5.8178394993167203E-2</v>
      </c>
      <c r="AG298">
        <v>-0.28929109999999902</v>
      </c>
      <c r="AH298">
        <v>0.50439441856951805</v>
      </c>
      <c r="AI298">
        <v>119.672928261801</v>
      </c>
      <c r="AJ298">
        <v>83.420405099088299</v>
      </c>
      <c r="AK298">
        <v>0.58436957113394705</v>
      </c>
      <c r="AL298">
        <v>80.851432604481104</v>
      </c>
      <c r="AM298">
        <v>90.825514164076594</v>
      </c>
      <c r="AN298">
        <v>0.99999998446539895</v>
      </c>
    </row>
    <row r="299" spans="1:40" x14ac:dyDescent="0.25">
      <c r="A299" t="str">
        <f>"20190303161848548"</f>
        <v>20190303161848548</v>
      </c>
      <c r="B299" t="str">
        <f>"1551601128542836"</f>
        <v>1551601128542836</v>
      </c>
      <c r="C299" t="s">
        <v>40</v>
      </c>
      <c r="D299">
        <v>5.2283169999999997</v>
      </c>
      <c r="E299">
        <v>0.53938699999999995</v>
      </c>
      <c r="F299" t="s">
        <v>42</v>
      </c>
      <c r="G299">
        <v>-443.73289999999997</v>
      </c>
      <c r="H299">
        <v>0.83241149999999997</v>
      </c>
      <c r="I299">
        <v>366.94299999999998</v>
      </c>
      <c r="J299">
        <v>-444.32060000000001</v>
      </c>
      <c r="K299">
        <v>1.121148</v>
      </c>
      <c r="L299">
        <v>367.01420000000002</v>
      </c>
      <c r="M299">
        <v>0.99992099999999995</v>
      </c>
      <c r="N299">
        <v>-1.254951E-2</v>
      </c>
      <c r="O299">
        <v>-8.1885819999999996E-4</v>
      </c>
      <c r="P299">
        <v>0.98910089999999995</v>
      </c>
      <c r="Q299">
        <v>0.14660049999999999</v>
      </c>
      <c r="R299">
        <v>1.3709030000000001E-2</v>
      </c>
      <c r="S299">
        <v>3.193085</v>
      </c>
      <c r="T299">
        <v>-1.055153</v>
      </c>
      <c r="U299">
        <v>-0.25976559999999999</v>
      </c>
      <c r="V299">
        <v>-1.4513170000000001E-2</v>
      </c>
      <c r="W299">
        <v>0.15900249999999999</v>
      </c>
      <c r="X299">
        <v>0.98717149999999998</v>
      </c>
      <c r="Y299">
        <v>7.61241E-2</v>
      </c>
      <c r="Z299">
        <v>-1.247118E-2</v>
      </c>
      <c r="AA299">
        <v>0.99702040000000003</v>
      </c>
      <c r="AB299">
        <v>29</v>
      </c>
      <c r="AC299">
        <v>0.58770000000003997</v>
      </c>
      <c r="AD299">
        <v>-0.28873650000000001</v>
      </c>
      <c r="AE299">
        <v>-7.1199999999976102E-2</v>
      </c>
      <c r="AF299">
        <v>5.7128724035158E-2</v>
      </c>
      <c r="AG299">
        <v>-0.28873650000000001</v>
      </c>
      <c r="AH299">
        <v>0.47480897003724298</v>
      </c>
      <c r="AI299">
        <v>121.121747164808</v>
      </c>
      <c r="AJ299">
        <v>83.139187536487796</v>
      </c>
      <c r="AK299">
        <v>0.55863764245704295</v>
      </c>
      <c r="AL299">
        <v>80.850997481064198</v>
      </c>
      <c r="AM299">
        <v>90.842288787323596</v>
      </c>
      <c r="AN299">
        <v>0.99999999876097401</v>
      </c>
    </row>
    <row r="300" spans="1:40" x14ac:dyDescent="0.25">
      <c r="A300" t="str">
        <f>"20190303161848570"</f>
        <v>20190303161848570</v>
      </c>
      <c r="B300" t="str">
        <f>"1551601128563332"</f>
        <v>1551601128563332</v>
      </c>
      <c r="C300" t="s">
        <v>40</v>
      </c>
      <c r="D300">
        <v>5.2210599999999996</v>
      </c>
      <c r="E300">
        <v>0.53932209999999903</v>
      </c>
      <c r="F300" t="s">
        <v>42</v>
      </c>
      <c r="G300">
        <v>-443.47109999999998</v>
      </c>
      <c r="H300">
        <v>0.84013369999999998</v>
      </c>
      <c r="I300">
        <v>366.94510000000002</v>
      </c>
      <c r="J300">
        <v>-444.03719999999998</v>
      </c>
      <c r="K300">
        <v>1.1211519999999999</v>
      </c>
      <c r="L300">
        <v>367.01400000000001</v>
      </c>
      <c r="M300">
        <v>0.99992020000000004</v>
      </c>
      <c r="N300">
        <v>-1.260241E-2</v>
      </c>
      <c r="O300">
        <v>-8.189534E-4</v>
      </c>
      <c r="P300">
        <v>0.98912860000000002</v>
      </c>
      <c r="Q300">
        <v>0.14640159999999999</v>
      </c>
      <c r="R300">
        <v>1.3831970000000001E-2</v>
      </c>
      <c r="S300">
        <v>3.1932369999999999</v>
      </c>
      <c r="T300">
        <v>-1.0563499999999999</v>
      </c>
      <c r="U300">
        <v>-0.25915529999999998</v>
      </c>
      <c r="V300">
        <v>-1.463591E-2</v>
      </c>
      <c r="W300">
        <v>0.1588561</v>
      </c>
      <c r="X300">
        <v>0.98719330000000005</v>
      </c>
      <c r="Y300">
        <v>7.5932020000000003E-2</v>
      </c>
      <c r="Z300">
        <v>-1.2453580000000001E-2</v>
      </c>
      <c r="AA300">
        <v>0.99703520000000001</v>
      </c>
      <c r="AB300">
        <v>29</v>
      </c>
      <c r="AC300">
        <v>0.56610000000000504</v>
      </c>
      <c r="AD300">
        <v>-0.2810183</v>
      </c>
      <c r="AE300">
        <v>-6.8899999999985001E-2</v>
      </c>
      <c r="AF300">
        <v>5.5065055518787799E-2</v>
      </c>
      <c r="AG300">
        <v>-0.2810183</v>
      </c>
      <c r="AH300">
        <v>0.45553910584112101</v>
      </c>
      <c r="AI300">
        <v>121.484702387263</v>
      </c>
      <c r="AJ300">
        <v>83.107590652609304</v>
      </c>
      <c r="AK300">
        <v>0.53806999751398998</v>
      </c>
      <c r="AL300">
        <v>80.8594939578538</v>
      </c>
      <c r="AM300">
        <v>90.849392352777102</v>
      </c>
      <c r="AN300">
        <v>1.0000000409668099</v>
      </c>
    </row>
    <row r="301" spans="1:40" x14ac:dyDescent="0.25">
      <c r="A301" t="str">
        <f>"20190303161848583"</f>
        <v>20190303161848583</v>
      </c>
      <c r="B301" t="str">
        <f>"1551601128573092"</f>
        <v>1551601128573092</v>
      </c>
      <c r="C301" t="s">
        <v>40</v>
      </c>
      <c r="D301">
        <v>5.2125120000000003</v>
      </c>
      <c r="E301">
        <v>0.53930029999999995</v>
      </c>
      <c r="F301" t="s">
        <v>42</v>
      </c>
      <c r="G301">
        <v>-443.2097</v>
      </c>
      <c r="H301">
        <v>0.84700140000000002</v>
      </c>
      <c r="I301">
        <v>366.94690000000003</v>
      </c>
      <c r="J301">
        <v>-443.86250000000001</v>
      </c>
      <c r="K301">
        <v>1.121156</v>
      </c>
      <c r="L301">
        <v>367.0138</v>
      </c>
      <c r="M301">
        <v>0.99992000000000003</v>
      </c>
      <c r="N301">
        <v>-1.2629029999999999E-2</v>
      </c>
      <c r="O301">
        <v>-8.1888339999999999E-4</v>
      </c>
      <c r="P301">
        <v>0.98913039999999997</v>
      </c>
      <c r="Q301">
        <v>0.14637900000000001</v>
      </c>
      <c r="R301">
        <v>1.3943479999999999E-2</v>
      </c>
      <c r="S301">
        <v>3.193146</v>
      </c>
      <c r="T301">
        <v>-1.0578689999999999</v>
      </c>
      <c r="U301">
        <v>-0.2568665</v>
      </c>
      <c r="V301">
        <v>-1.474747E-2</v>
      </c>
      <c r="W301">
        <v>0.15885940000000001</v>
      </c>
      <c r="X301">
        <v>0.98719109999999999</v>
      </c>
      <c r="Y301">
        <v>7.5249780000000002E-2</v>
      </c>
      <c r="Z301">
        <v>-1.235731E-2</v>
      </c>
      <c r="AA301">
        <v>0.99708810000000003</v>
      </c>
      <c r="AB301">
        <v>29</v>
      </c>
      <c r="AC301">
        <v>0.65280000000001304</v>
      </c>
      <c r="AD301">
        <v>-0.27415459999999903</v>
      </c>
      <c r="AE301">
        <v>-6.6899999999975507E-2</v>
      </c>
      <c r="AF301">
        <v>5.6503315014422698E-2</v>
      </c>
      <c r="AG301">
        <v>-0.27415459999999903</v>
      </c>
      <c r="AH301">
        <v>0.555838813649982</v>
      </c>
      <c r="AI301">
        <v>116.137093929572</v>
      </c>
      <c r="AJ301">
        <v>84.195585599837301</v>
      </c>
      <c r="AK301">
        <v>0.62234247490316696</v>
      </c>
      <c r="AL301">
        <v>80.859302370755401</v>
      </c>
      <c r="AM301">
        <v>90.8558676645536</v>
      </c>
      <c r="AN301">
        <v>1.00000003237948</v>
      </c>
    </row>
    <row r="302" spans="1:40" x14ac:dyDescent="0.25">
      <c r="A302" t="str">
        <f>"20190303161848596"</f>
        <v>20190303161848596</v>
      </c>
      <c r="B302" t="str">
        <f>"1551601128593588"</f>
        <v>1551601128593588</v>
      </c>
      <c r="C302" t="s">
        <v>40</v>
      </c>
      <c r="D302">
        <v>5.2262199999999996</v>
      </c>
      <c r="E302">
        <v>0.5392439</v>
      </c>
      <c r="F302" t="s">
        <v>42</v>
      </c>
      <c r="G302">
        <v>-443.18900000000002</v>
      </c>
      <c r="H302">
        <v>0.89789529999999995</v>
      </c>
      <c r="I302">
        <v>366.95949999999999</v>
      </c>
      <c r="J302">
        <v>-443.70280000000002</v>
      </c>
      <c r="K302">
        <v>1.1211599999999999</v>
      </c>
      <c r="L302">
        <v>367.01369999999997</v>
      </c>
      <c r="M302">
        <v>0.99991969999999997</v>
      </c>
      <c r="N302">
        <v>-1.264858E-2</v>
      </c>
      <c r="O302">
        <v>-8.1888800000000004E-4</v>
      </c>
      <c r="P302">
        <v>0.98910799999999999</v>
      </c>
      <c r="Q302">
        <v>0.146558299999999</v>
      </c>
      <c r="R302">
        <v>1.36418999999999E-2</v>
      </c>
      <c r="S302">
        <v>3.1931759999999998</v>
      </c>
      <c r="T302">
        <v>-1.058381</v>
      </c>
      <c r="U302">
        <v>-0.2554321</v>
      </c>
      <c r="V302">
        <v>-1.444573E-2</v>
      </c>
      <c r="W302">
        <v>0.159058</v>
      </c>
      <c r="X302">
        <v>0.98716349999999997</v>
      </c>
      <c r="Y302">
        <v>7.4823399999999998E-2</v>
      </c>
      <c r="Z302">
        <v>-1.229213E-2</v>
      </c>
      <c r="AA302">
        <v>0.99712100000000004</v>
      </c>
      <c r="AB302">
        <v>29</v>
      </c>
      <c r="AC302">
        <v>0.51380000000000303</v>
      </c>
      <c r="AD302">
        <v>-0.22326469999999901</v>
      </c>
      <c r="AE302">
        <v>-5.4199999999980202E-2</v>
      </c>
      <c r="AF302">
        <v>4.5316613346823797E-2</v>
      </c>
      <c r="AG302">
        <v>-0.22326469999999901</v>
      </c>
      <c r="AH302">
        <v>0.43298669533032003</v>
      </c>
      <c r="AI302">
        <v>117.15045644670801</v>
      </c>
      <c r="AJ302">
        <v>84.025146306981</v>
      </c>
      <c r="AK302">
        <v>0.48926291505118902</v>
      </c>
      <c r="AL302">
        <v>80.847776135216193</v>
      </c>
      <c r="AM302">
        <v>90.838382181282995</v>
      </c>
      <c r="AN302">
        <v>0.99999995110574003</v>
      </c>
    </row>
    <row r="303" spans="1:40" x14ac:dyDescent="0.25">
      <c r="A303" t="str">
        <f>"20190303161848615"</f>
        <v>20190303161848615</v>
      </c>
      <c r="B303" t="str">
        <f>"1551601128603348"</f>
        <v>1551601128603348</v>
      </c>
      <c r="C303" t="s">
        <v>40</v>
      </c>
      <c r="D303">
        <v>5.2715639999999997</v>
      </c>
      <c r="E303">
        <v>0.53920069999999998</v>
      </c>
      <c r="F303" t="s">
        <v>42</v>
      </c>
      <c r="G303">
        <v>-442.94240000000002</v>
      </c>
      <c r="H303">
        <v>0.86911899999999997</v>
      </c>
      <c r="I303">
        <v>366.95229999999998</v>
      </c>
      <c r="J303">
        <v>-443.46609999999998</v>
      </c>
      <c r="K303">
        <v>1.1211629999999999</v>
      </c>
      <c r="L303">
        <v>367.01350000000002</v>
      </c>
      <c r="M303">
        <v>0.99991940000000001</v>
      </c>
      <c r="N303">
        <v>-1.2672299999999999E-2</v>
      </c>
      <c r="O303">
        <v>-8.1879990000000003E-4</v>
      </c>
      <c r="P303">
        <v>0.98912849999999997</v>
      </c>
      <c r="Q303">
        <v>0.14645910000000001</v>
      </c>
      <c r="R303">
        <v>1.3218860000000001E-2</v>
      </c>
      <c r="S303">
        <v>3.19339</v>
      </c>
      <c r="T303">
        <v>-1.058489</v>
      </c>
      <c r="U303">
        <v>-0.257019</v>
      </c>
      <c r="V303">
        <v>-1.4022730000000001E-2</v>
      </c>
      <c r="W303">
        <v>0.15898229999999999</v>
      </c>
      <c r="X303">
        <v>0.9871818</v>
      </c>
      <c r="Y303">
        <v>7.5284610000000002E-2</v>
      </c>
      <c r="Z303">
        <v>-1.2370620000000001E-2</v>
      </c>
      <c r="AA303">
        <v>0.99708529999999995</v>
      </c>
      <c r="AB303">
        <v>29</v>
      </c>
      <c r="AC303">
        <v>0.52369999999996197</v>
      </c>
      <c r="AD303">
        <v>-0.25204399999999899</v>
      </c>
      <c r="AE303">
        <v>-6.1200000000042103E-2</v>
      </c>
      <c r="AF303">
        <v>4.94675327454712E-2</v>
      </c>
      <c r="AG303">
        <v>-0.25204399999999899</v>
      </c>
      <c r="AH303">
        <v>0.42633094340826999</v>
      </c>
      <c r="AI303">
        <v>120.423730128678</v>
      </c>
      <c r="AJ303">
        <v>83.381519195541401</v>
      </c>
      <c r="AK303">
        <v>0.49772611749767498</v>
      </c>
      <c r="AL303">
        <v>80.852169386469996</v>
      </c>
      <c r="AM303">
        <v>90.813820933593604</v>
      </c>
      <c r="AN303">
        <v>0.99999995746059001</v>
      </c>
    </row>
    <row r="304" spans="1:40" x14ac:dyDescent="0.25">
      <c r="A304" t="str">
        <f>"20190303161848628"</f>
        <v>20190303161848628</v>
      </c>
      <c r="B304" t="str">
        <f>"1551601128622868"</f>
        <v>1551601128622868</v>
      </c>
      <c r="C304" t="s">
        <v>40</v>
      </c>
      <c r="D304">
        <v>5.3013659999999998</v>
      </c>
      <c r="E304">
        <v>0.52048439999999996</v>
      </c>
      <c r="F304" t="s">
        <v>42</v>
      </c>
      <c r="G304">
        <v>-442.68650000000002</v>
      </c>
      <c r="H304">
        <v>0.86261860000000001</v>
      </c>
      <c r="I304">
        <v>366.95</v>
      </c>
      <c r="J304">
        <v>-443.28019999999998</v>
      </c>
      <c r="K304">
        <v>1.1211679999999999</v>
      </c>
      <c r="L304">
        <v>367.01339999999999</v>
      </c>
      <c r="M304">
        <v>0.99991909999999895</v>
      </c>
      <c r="N304">
        <v>-1.2686040000000001E-2</v>
      </c>
      <c r="O304">
        <v>-8.186488E-4</v>
      </c>
      <c r="P304">
        <v>0.98911789999999999</v>
      </c>
      <c r="Q304">
        <v>0.14655609999999999</v>
      </c>
      <c r="R304">
        <v>1.291636E-2</v>
      </c>
      <c r="S304">
        <v>3.1932680000000002</v>
      </c>
      <c r="T304">
        <v>-1.058943</v>
      </c>
      <c r="U304">
        <v>-0.25857540000000001</v>
      </c>
      <c r="V304">
        <v>-1.372027E-2</v>
      </c>
      <c r="W304">
        <v>0.15909289999999901</v>
      </c>
      <c r="X304">
        <v>0.9871683</v>
      </c>
      <c r="Y304">
        <v>7.5741639999999999E-2</v>
      </c>
      <c r="Z304">
        <v>-1.2452950000000001E-2</v>
      </c>
      <c r="AA304">
        <v>0.99704970000000004</v>
      </c>
      <c r="AB304">
        <v>29</v>
      </c>
      <c r="AC304">
        <v>0.59369999999995504</v>
      </c>
      <c r="AD304">
        <v>-0.25854939999999899</v>
      </c>
      <c r="AE304">
        <v>-6.34000000000014E-2</v>
      </c>
      <c r="AF304">
        <v>5.2979609414947199E-2</v>
      </c>
      <c r="AG304">
        <v>-0.25854939999999899</v>
      </c>
      <c r="AH304">
        <v>0.49999649768114302</v>
      </c>
      <c r="AI304">
        <v>117.213303917644</v>
      </c>
      <c r="AJ304">
        <v>83.951510555573705</v>
      </c>
      <c r="AK304">
        <v>0.56537697949910304</v>
      </c>
      <c r="AL304">
        <v>80.845751400066007</v>
      </c>
      <c r="AM304">
        <v>90.796280586012003</v>
      </c>
      <c r="AN304">
        <v>1.0000000245820799</v>
      </c>
    </row>
    <row r="305" spans="1:40" x14ac:dyDescent="0.25">
      <c r="A305" t="str">
        <f>"20190303161848643"</f>
        <v>20190303161848643</v>
      </c>
      <c r="B305" t="str">
        <f>"1551601128633605"</f>
        <v>1551601128633605</v>
      </c>
      <c r="C305" t="s">
        <v>40</v>
      </c>
      <c r="D305">
        <v>5.3279230000000002</v>
      </c>
      <c r="E305">
        <v>0.51716269999999998</v>
      </c>
      <c r="F305" t="s">
        <v>42</v>
      </c>
      <c r="G305">
        <v>-442.42</v>
      </c>
      <c r="H305">
        <v>0.88019139999999996</v>
      </c>
      <c r="I305">
        <v>366.98270000000002</v>
      </c>
      <c r="J305">
        <v>-443.0874</v>
      </c>
      <c r="K305">
        <v>1.1211770000000001</v>
      </c>
      <c r="L305">
        <v>367.01319999999998</v>
      </c>
      <c r="M305">
        <v>0.99991920000000001</v>
      </c>
      <c r="N305">
        <v>-1.269581E-2</v>
      </c>
      <c r="O305">
        <v>-8.1882989999999996E-4</v>
      </c>
      <c r="P305">
        <v>0.98912009999999995</v>
      </c>
      <c r="Q305">
        <v>0.14655270000000001</v>
      </c>
      <c r="R305">
        <v>1.2814320000000001E-2</v>
      </c>
      <c r="S305">
        <v>3.1658940000000002</v>
      </c>
      <c r="T305">
        <v>-0.88703109999999996</v>
      </c>
      <c r="U305">
        <v>-0.111969</v>
      </c>
      <c r="V305">
        <v>-1.3618109999999999E-2</v>
      </c>
      <c r="W305">
        <v>0.15909899999999999</v>
      </c>
      <c r="X305">
        <v>0.98716870000000001</v>
      </c>
      <c r="Y305">
        <v>3.3217610000000002E-2</v>
      </c>
      <c r="Z305">
        <v>-4.5645420000000004E-3</v>
      </c>
      <c r="AA305">
        <v>0.99943769999999998</v>
      </c>
      <c r="AB305">
        <v>29</v>
      </c>
      <c r="AC305">
        <v>0.667399999999986</v>
      </c>
      <c r="AD305">
        <v>-0.24098559999999999</v>
      </c>
      <c r="AE305">
        <v>-3.0499999999960802E-2</v>
      </c>
      <c r="AF305">
        <v>2.6504954375385401E-2</v>
      </c>
      <c r="AG305">
        <v>-0.24098559999999999</v>
      </c>
      <c r="AH305">
        <v>0.59058497316023595</v>
      </c>
      <c r="AI305">
        <v>112.17754297984</v>
      </c>
      <c r="AJ305">
        <v>87.430338140109299</v>
      </c>
      <c r="AK305">
        <v>0.63840988599525705</v>
      </c>
      <c r="AL305">
        <v>80.845397099717403</v>
      </c>
      <c r="AM305">
        <v>90.790351981080505</v>
      </c>
      <c r="AN305">
        <v>0.99999999349033097</v>
      </c>
    </row>
    <row r="306" spans="1:40" x14ac:dyDescent="0.25">
      <c r="A306" t="str">
        <f>"20190303161848658"</f>
        <v>20190303161848658</v>
      </c>
      <c r="B306" t="str">
        <f>"1551601128653124"</f>
        <v>1551601128653124</v>
      </c>
      <c r="C306" t="s">
        <v>40</v>
      </c>
      <c r="D306">
        <v>5.4001109999999999</v>
      </c>
      <c r="E306">
        <v>0.47255809999999998</v>
      </c>
      <c r="F306" t="s">
        <v>42</v>
      </c>
      <c r="G306">
        <v>-442.39010000000002</v>
      </c>
      <c r="H306">
        <v>0.9460037</v>
      </c>
      <c r="I306">
        <v>366.99380000000002</v>
      </c>
      <c r="J306">
        <v>-442.88839999999999</v>
      </c>
      <c r="K306">
        <v>1.121181</v>
      </c>
      <c r="L306">
        <v>367.01299999999998</v>
      </c>
      <c r="M306">
        <v>0.999919</v>
      </c>
      <c r="N306">
        <v>-1.2701870000000001E-2</v>
      </c>
      <c r="O306">
        <v>-8.1874929999999904E-4</v>
      </c>
      <c r="P306">
        <v>0.98918589999999995</v>
      </c>
      <c r="Q306">
        <v>0.14614369999999999</v>
      </c>
      <c r="R306">
        <v>1.2389570000000001E-2</v>
      </c>
      <c r="S306">
        <v>3.1514890000000002</v>
      </c>
      <c r="T306">
        <v>-0.79192589999999996</v>
      </c>
      <c r="U306">
        <v>-8.6608889999999994E-2</v>
      </c>
      <c r="V306">
        <v>-1.3193450000000001E-2</v>
      </c>
      <c r="W306">
        <v>0.1586969</v>
      </c>
      <c r="X306">
        <v>0.98723919999999998</v>
      </c>
      <c r="Y306">
        <v>2.5831570000000002E-2</v>
      </c>
      <c r="Z306">
        <v>-3.1697299999999999E-3</v>
      </c>
      <c r="AA306">
        <v>0.99966129999999997</v>
      </c>
      <c r="AB306">
        <v>29</v>
      </c>
      <c r="AC306">
        <v>0.49829999999997199</v>
      </c>
      <c r="AD306">
        <v>-0.17517729999999901</v>
      </c>
      <c r="AE306">
        <v>-1.9200000000011999E-2</v>
      </c>
      <c r="AF306">
        <v>1.6727709885991E-2</v>
      </c>
      <c r="AG306">
        <v>-0.17517729999999901</v>
      </c>
      <c r="AH306">
        <v>0.44357640680424998</v>
      </c>
      <c r="AI306">
        <v>111.53616149931401</v>
      </c>
      <c r="AJ306">
        <v>87.840342233489096</v>
      </c>
      <c r="AK306">
        <v>0.47720743014614603</v>
      </c>
      <c r="AL306">
        <v>80.868732316775905</v>
      </c>
      <c r="AM306">
        <v>90.765654367298495</v>
      </c>
      <c r="AN306">
        <v>1.0000000056045699</v>
      </c>
    </row>
    <row r="307" spans="1:40" x14ac:dyDescent="0.25">
      <c r="A307" t="str">
        <f>"20190303161848672"</f>
        <v>20190303161848672</v>
      </c>
      <c r="B307" t="str">
        <f>"1551601128662885"</f>
        <v>1551601128662885</v>
      </c>
      <c r="C307" t="s">
        <v>40</v>
      </c>
      <c r="D307">
        <v>5.4422930000000003</v>
      </c>
      <c r="E307">
        <v>0.46568579999999998</v>
      </c>
      <c r="F307" t="s">
        <v>44</v>
      </c>
      <c r="G307">
        <v>-423.23950000000002</v>
      </c>
      <c r="H307">
        <v>-0.05</v>
      </c>
      <c r="I307">
        <v>368.6977</v>
      </c>
      <c r="J307">
        <v>-442.72120000000001</v>
      </c>
      <c r="K307">
        <v>1.1211850000000001</v>
      </c>
      <c r="L307">
        <v>367.01280000000003</v>
      </c>
      <c r="M307">
        <v>0.999919</v>
      </c>
      <c r="N307">
        <v>-1.27054E-2</v>
      </c>
      <c r="O307">
        <v>-8.1853380000000003E-4</v>
      </c>
      <c r="P307">
        <v>0.98918700000000004</v>
      </c>
      <c r="Q307">
        <v>0.146113299999999</v>
      </c>
      <c r="R307">
        <v>1.264152E-2</v>
      </c>
      <c r="S307">
        <v>3.0564580000000001</v>
      </c>
      <c r="T307">
        <v>-0.18218139999999999</v>
      </c>
      <c r="U307">
        <v>0.26205440000000002</v>
      </c>
      <c r="V307">
        <v>-1.3444889999999999E-2</v>
      </c>
      <c r="W307">
        <v>0.15867010000000001</v>
      </c>
      <c r="X307">
        <v>0.98724009999999995</v>
      </c>
      <c r="Y307">
        <v>-8.6055060000000003E-2</v>
      </c>
      <c r="Z307">
        <v>3.1442929999999998E-3</v>
      </c>
      <c r="AA307">
        <v>0.99628539999999999</v>
      </c>
      <c r="AB307">
        <v>29</v>
      </c>
      <c r="AC307">
        <v>19.481699999999901</v>
      </c>
      <c r="AD307">
        <v>-1.1711849999999999</v>
      </c>
      <c r="AE307">
        <v>1.6848999999999701</v>
      </c>
      <c r="AF307">
        <v>-1.6947676068762301</v>
      </c>
      <c r="AG307">
        <v>-1.1711849999999999</v>
      </c>
      <c r="AH307">
        <v>19.410683356136399</v>
      </c>
      <c r="AI307">
        <v>93.439822258989693</v>
      </c>
      <c r="AJ307">
        <v>94.989901993846303</v>
      </c>
      <c r="AK307">
        <v>19.519696204032801</v>
      </c>
      <c r="AL307">
        <v>80.870287408992198</v>
      </c>
      <c r="AM307">
        <v>90.780243665275407</v>
      </c>
      <c r="AN307">
        <v>0.99999999037456599</v>
      </c>
    </row>
    <row r="308" spans="1:40" x14ac:dyDescent="0.25">
      <c r="A308" t="str">
        <f>"20190303161848686"</f>
        <v>20190303161848686</v>
      </c>
      <c r="B308" t="str">
        <f>"1551601128673620"</f>
        <v>1551601128673620</v>
      </c>
      <c r="C308" t="s">
        <v>40</v>
      </c>
      <c r="D308">
        <v>5.3889230000000001</v>
      </c>
      <c r="E308">
        <v>0.46269500000000002</v>
      </c>
      <c r="F308" t="s">
        <v>44</v>
      </c>
      <c r="G308">
        <v>-415.41500000000002</v>
      </c>
      <c r="H308">
        <v>-0.05</v>
      </c>
      <c r="I308">
        <v>369.8546</v>
      </c>
      <c r="J308">
        <v>-442.54379999999998</v>
      </c>
      <c r="K308">
        <v>1.1211899999999999</v>
      </c>
      <c r="L308">
        <v>367.0127</v>
      </c>
      <c r="M308">
        <v>0.999919</v>
      </c>
      <c r="N308">
        <v>-1.2707950000000001E-2</v>
      </c>
      <c r="O308">
        <v>-8.1855049999999998E-4</v>
      </c>
      <c r="P308">
        <v>0.98921269999999994</v>
      </c>
      <c r="Q308">
        <v>0.14593310000000001</v>
      </c>
      <c r="R308">
        <v>1.272262E-2</v>
      </c>
      <c r="S308">
        <v>3.0480040000000002</v>
      </c>
      <c r="T308">
        <v>-0.13073180000000001</v>
      </c>
      <c r="U308">
        <v>0.31719969999999997</v>
      </c>
      <c r="V308">
        <v>-1.352625E-2</v>
      </c>
      <c r="W308">
        <v>0.15849260000000001</v>
      </c>
      <c r="X308">
        <v>0.98726749999999996</v>
      </c>
      <c r="Y308">
        <v>-0.10419970000000001</v>
      </c>
      <c r="Z308">
        <v>2.916489E-3</v>
      </c>
      <c r="AA308">
        <v>0.99455210000000005</v>
      </c>
      <c r="AB308">
        <v>29</v>
      </c>
      <c r="AC308">
        <v>27.128799999999899</v>
      </c>
      <c r="AD308">
        <v>-1.17119</v>
      </c>
      <c r="AE308">
        <v>2.8418999999999999</v>
      </c>
      <c r="AF308">
        <v>-2.8588367389513101</v>
      </c>
      <c r="AG308">
        <v>-1.17119</v>
      </c>
      <c r="AH308">
        <v>27.076547660405101</v>
      </c>
      <c r="AI308">
        <v>92.463098107346298</v>
      </c>
      <c r="AJ308">
        <v>96.027158604149193</v>
      </c>
      <c r="AK308">
        <v>27.252230490774</v>
      </c>
      <c r="AL308">
        <v>80.880587749086303</v>
      </c>
      <c r="AM308">
        <v>90.784942836453496</v>
      </c>
      <c r="AN308">
        <v>0.99999999012503604</v>
      </c>
    </row>
    <row r="309" spans="1:40" x14ac:dyDescent="0.25">
      <c r="A309" t="str">
        <f>"20190303161848703"</f>
        <v>20190303161848703</v>
      </c>
      <c r="B309" t="str">
        <f>"1551601128693140"</f>
        <v>1551601128693140</v>
      </c>
      <c r="C309" t="s">
        <v>40</v>
      </c>
      <c r="D309">
        <v>5.376544</v>
      </c>
      <c r="E309">
        <v>0.4607831</v>
      </c>
      <c r="F309" t="s">
        <v>44</v>
      </c>
      <c r="G309">
        <v>-407.26609999999999</v>
      </c>
      <c r="H309">
        <v>-0.05</v>
      </c>
      <c r="I309">
        <v>370.96839999999997</v>
      </c>
      <c r="J309">
        <v>-442.31330000000003</v>
      </c>
      <c r="K309">
        <v>1.121189</v>
      </c>
      <c r="L309">
        <v>367.01249999999999</v>
      </c>
      <c r="M309">
        <v>0.99991890000000005</v>
      </c>
      <c r="N309">
        <v>-1.2709349999999999E-2</v>
      </c>
      <c r="O309">
        <v>-8.1891359999999999E-4</v>
      </c>
      <c r="P309">
        <v>0.98924109999999998</v>
      </c>
      <c r="Q309">
        <v>0.14573929999999999</v>
      </c>
      <c r="R309">
        <v>1.2749669999999999E-2</v>
      </c>
      <c r="S309">
        <v>3.0432739999999998</v>
      </c>
      <c r="T309">
        <v>-0.1010342</v>
      </c>
      <c r="U309">
        <v>0.34124759999999998</v>
      </c>
      <c r="V309">
        <v>-1.355398E-2</v>
      </c>
      <c r="W309">
        <v>0.15830050000000001</v>
      </c>
      <c r="X309">
        <v>0.98729800000000001</v>
      </c>
      <c r="Y309">
        <v>-0.1121624</v>
      </c>
      <c r="Z309">
        <v>2.587528E-3</v>
      </c>
      <c r="AA309">
        <v>0.99368650000000003</v>
      </c>
      <c r="AB309">
        <v>29</v>
      </c>
      <c r="AC309">
        <v>35.047199999999997</v>
      </c>
      <c r="AD309">
        <v>-1.171189</v>
      </c>
      <c r="AE309">
        <v>3.9558999999999802</v>
      </c>
      <c r="AF309">
        <v>-3.9802127225912001</v>
      </c>
      <c r="AG309">
        <v>-1.171189</v>
      </c>
      <c r="AH309">
        <v>35.005348775642403</v>
      </c>
      <c r="AI309">
        <v>91.903995580183604</v>
      </c>
      <c r="AJ309">
        <v>96.4868422472628</v>
      </c>
      <c r="AK309">
        <v>35.250364819320197</v>
      </c>
      <c r="AL309">
        <v>80.891735543605805</v>
      </c>
      <c r="AM309">
        <v>90.786527540801302</v>
      </c>
      <c r="AN309">
        <v>1.00000004973904</v>
      </c>
    </row>
    <row r="310" spans="1:40" x14ac:dyDescent="0.25">
      <c r="A310" t="str">
        <f>"20190303161848717"</f>
        <v>20190303161848717</v>
      </c>
      <c r="B310" t="str">
        <f>"1551601128702900"</f>
        <v>1551601128702900</v>
      </c>
      <c r="C310" t="s">
        <v>40</v>
      </c>
      <c r="D310">
        <v>5.4336019999999996</v>
      </c>
      <c r="E310">
        <v>0.46059889999999998</v>
      </c>
      <c r="F310" t="s">
        <v>44</v>
      </c>
      <c r="G310">
        <v>-399.83100000000002</v>
      </c>
      <c r="H310">
        <v>-0.05</v>
      </c>
      <c r="I310">
        <v>371.98880000000003</v>
      </c>
      <c r="J310">
        <v>-442.13979999999998</v>
      </c>
      <c r="K310">
        <v>1.1211930000000001</v>
      </c>
      <c r="L310">
        <v>367.01240000000001</v>
      </c>
      <c r="M310">
        <v>0.99991890000000005</v>
      </c>
      <c r="N310">
        <v>-1.2709460000000001E-2</v>
      </c>
      <c r="O310">
        <v>-8.1808749999999996E-4</v>
      </c>
      <c r="P310">
        <v>0.9892474</v>
      </c>
      <c r="Q310">
        <v>0.14568889999999901</v>
      </c>
      <c r="R310">
        <v>1.2830899999999999E-2</v>
      </c>
      <c r="S310">
        <v>3.0403440000000002</v>
      </c>
      <c r="T310">
        <v>-8.3818909999999996E-2</v>
      </c>
      <c r="U310">
        <v>0.35614010000000001</v>
      </c>
      <c r="V310">
        <v>-1.363412E-2</v>
      </c>
      <c r="W310">
        <v>0.1582501</v>
      </c>
      <c r="X310">
        <v>0.98730490000000004</v>
      </c>
      <c r="Y310">
        <v>-0.11709070000000001</v>
      </c>
      <c r="Z310">
        <v>2.3671909999999998E-3</v>
      </c>
      <c r="AA310">
        <v>0.99311839999999996</v>
      </c>
      <c r="AB310">
        <v>29</v>
      </c>
      <c r="AC310">
        <v>42.308799999999998</v>
      </c>
      <c r="AD310">
        <v>-1.1711929999999999</v>
      </c>
      <c r="AE310">
        <v>4.9764000000000097</v>
      </c>
      <c r="AF310">
        <v>-5.0072287798005002</v>
      </c>
      <c r="AG310">
        <v>-1.1711929999999999</v>
      </c>
      <c r="AH310">
        <v>42.2727630450077</v>
      </c>
      <c r="AI310">
        <v>91.575997067004707</v>
      </c>
      <c r="AJ310">
        <v>96.755236383517698</v>
      </c>
      <c r="AK310">
        <v>42.584393016172903</v>
      </c>
      <c r="AL310">
        <v>80.894659423734694</v>
      </c>
      <c r="AM310">
        <v>90.791171888335398</v>
      </c>
      <c r="AN310">
        <v>0.99999997447109701</v>
      </c>
    </row>
    <row r="311" spans="1:40" x14ac:dyDescent="0.25">
      <c r="A311" t="str">
        <f>"20190303161848734"</f>
        <v>20190303161848734</v>
      </c>
      <c r="B311" t="str">
        <f>"1551601128723396"</f>
        <v>1551601128723396</v>
      </c>
      <c r="C311" t="s">
        <v>40</v>
      </c>
      <c r="D311">
        <v>5.3627129999999896</v>
      </c>
      <c r="E311">
        <v>0.46052599999999999</v>
      </c>
      <c r="F311" t="s">
        <v>44</v>
      </c>
      <c r="G311">
        <v>-398.95690000000002</v>
      </c>
      <c r="H311">
        <v>-0.05</v>
      </c>
      <c r="I311">
        <v>372.09539999999998</v>
      </c>
      <c r="J311">
        <v>-441.93299999999999</v>
      </c>
      <c r="K311">
        <v>1.1211979999999999</v>
      </c>
      <c r="L311">
        <v>367.01220000000001</v>
      </c>
      <c r="M311">
        <v>0.99991909999999895</v>
      </c>
      <c r="N311">
        <v>-1.270775E-2</v>
      </c>
      <c r="O311">
        <v>-8.1925869999999895E-4</v>
      </c>
      <c r="P311">
        <v>0.98924179999999995</v>
      </c>
      <c r="Q311">
        <v>0.14573429999999901</v>
      </c>
      <c r="R311">
        <v>1.2742740000000001E-2</v>
      </c>
      <c r="S311">
        <v>3.0400999999999998</v>
      </c>
      <c r="T311">
        <v>-8.2452769999999995E-2</v>
      </c>
      <c r="U311">
        <v>0.35784909999999998</v>
      </c>
      <c r="V311">
        <v>-1.3547399999999999E-2</v>
      </c>
      <c r="W311">
        <v>0.15829389999999999</v>
      </c>
      <c r="X311">
        <v>0.98729909999999999</v>
      </c>
      <c r="Y311">
        <v>-0.1176532</v>
      </c>
      <c r="Z311">
        <v>2.3518219999999999E-3</v>
      </c>
      <c r="AA311">
        <v>0.99305189999999999</v>
      </c>
      <c r="AB311">
        <v>29</v>
      </c>
      <c r="AC311">
        <v>42.976100000000002</v>
      </c>
      <c r="AD311">
        <v>-1.171198</v>
      </c>
      <c r="AE311">
        <v>5.0831999999999704</v>
      </c>
      <c r="AF311">
        <v>-5.11466348274491</v>
      </c>
      <c r="AG311">
        <v>-1.171198</v>
      </c>
      <c r="AH311">
        <v>42.9404694028539</v>
      </c>
      <c r="AI311">
        <v>91.551389772149093</v>
      </c>
      <c r="AJ311">
        <v>96.7925305694299</v>
      </c>
      <c r="AK311">
        <v>43.259858989996196</v>
      </c>
      <c r="AL311">
        <v>80.892118084593093</v>
      </c>
      <c r="AM311">
        <v>90.786144880374195</v>
      </c>
      <c r="AN311">
        <v>1.00000000184238</v>
      </c>
    </row>
    <row r="312" spans="1:40" x14ac:dyDescent="0.25">
      <c r="A312" t="str">
        <f>"20190303161848750"</f>
        <v>20190303161848750</v>
      </c>
      <c r="B312" t="str">
        <f>"1551601128742916"</f>
        <v>1551601128742916</v>
      </c>
      <c r="C312" t="s">
        <v>40</v>
      </c>
      <c r="D312">
        <v>5.3472200000000001</v>
      </c>
      <c r="E312">
        <v>0.46084350000000002</v>
      </c>
      <c r="F312" t="s">
        <v>44</v>
      </c>
      <c r="G312">
        <v>-398.5265</v>
      </c>
      <c r="H312">
        <v>-0.05</v>
      </c>
      <c r="I312">
        <v>372.12419999999997</v>
      </c>
      <c r="J312">
        <v>-441.71559999999999</v>
      </c>
      <c r="K312">
        <v>1.1212089999999999</v>
      </c>
      <c r="L312">
        <v>367.01209999999998</v>
      </c>
      <c r="M312">
        <v>0.999919</v>
      </c>
      <c r="N312">
        <v>-1.27032E-2</v>
      </c>
      <c r="O312">
        <v>-8.2076920000000002E-4</v>
      </c>
      <c r="P312">
        <v>0.98923649999999996</v>
      </c>
      <c r="Q312">
        <v>0.1457716</v>
      </c>
      <c r="R312">
        <v>1.271972E-2</v>
      </c>
      <c r="S312">
        <v>3.0400999999999998</v>
      </c>
      <c r="T312">
        <v>-8.202827E-2</v>
      </c>
      <c r="U312">
        <v>0.35803220000000002</v>
      </c>
      <c r="V312">
        <v>-1.352567E-2</v>
      </c>
      <c r="W312">
        <v>0.15832639999999901</v>
      </c>
      <c r="X312">
        <v>0.98729420000000001</v>
      </c>
      <c r="Y312">
        <v>-0.11771429999999999</v>
      </c>
      <c r="Z312">
        <v>2.344488E-3</v>
      </c>
      <c r="AA312">
        <v>0.9930447</v>
      </c>
      <c r="AB312">
        <v>29</v>
      </c>
      <c r="AC312">
        <v>43.189100000000003</v>
      </c>
      <c r="AD312">
        <v>-1.1712089999999999</v>
      </c>
      <c r="AE312">
        <v>5.1120999999999901</v>
      </c>
      <c r="AF312">
        <v>-5.1438189486688204</v>
      </c>
      <c r="AG312">
        <v>-1.1712089999999999</v>
      </c>
      <c r="AH312">
        <v>43.153592809788201</v>
      </c>
      <c r="AI312">
        <v>91.543730266779505</v>
      </c>
      <c r="AJ312">
        <v>96.797466276519899</v>
      </c>
      <c r="AK312">
        <v>43.474856828877201</v>
      </c>
      <c r="AL312">
        <v>80.890232310625393</v>
      </c>
      <c r="AM312">
        <v>90.7848879585178</v>
      </c>
      <c r="AN312">
        <v>1.0000000150197701</v>
      </c>
    </row>
    <row r="313" spans="1:40" x14ac:dyDescent="0.25">
      <c r="A313" t="str">
        <f>"20190303161848772"</f>
        <v>20190303161848772</v>
      </c>
      <c r="B313" t="str">
        <f>"1551601128763412"</f>
        <v>1551601128763412</v>
      </c>
      <c r="C313" t="s">
        <v>40</v>
      </c>
      <c r="D313">
        <v>5.3513250000000001</v>
      </c>
      <c r="E313">
        <v>0.46089989999999997</v>
      </c>
      <c r="F313" t="s">
        <v>44</v>
      </c>
      <c r="G313">
        <v>-398.23770000000002</v>
      </c>
      <c r="H313">
        <v>-0.05</v>
      </c>
      <c r="I313">
        <v>372.09309999999999</v>
      </c>
      <c r="J313">
        <v>-441.4357</v>
      </c>
      <c r="K313">
        <v>1.121213</v>
      </c>
      <c r="L313">
        <v>367.01179999999999</v>
      </c>
      <c r="M313">
        <v>0.99991920000000001</v>
      </c>
      <c r="N313">
        <v>-1.2692439999999999E-2</v>
      </c>
      <c r="O313">
        <v>-8.1751600000000001E-4</v>
      </c>
      <c r="P313">
        <v>0.98922880000000002</v>
      </c>
      <c r="Q313">
        <v>0.14581469999999999</v>
      </c>
      <c r="R313">
        <v>1.283457E-2</v>
      </c>
      <c r="S313">
        <v>3.0401310000000001</v>
      </c>
      <c r="T313">
        <v>-8.1895109999999993E-2</v>
      </c>
      <c r="U313">
        <v>0.35528559999999998</v>
      </c>
      <c r="V313">
        <v>-1.36367E-2</v>
      </c>
      <c r="W313">
        <v>0.1583589</v>
      </c>
      <c r="X313">
        <v>0.98728749999999998</v>
      </c>
      <c r="Y313">
        <v>-0.1168255</v>
      </c>
      <c r="Z313">
        <v>2.32365E-3</v>
      </c>
      <c r="AA313">
        <v>0.99314979999999997</v>
      </c>
      <c r="AB313">
        <v>29</v>
      </c>
      <c r="AC313">
        <v>43.197999999999901</v>
      </c>
      <c r="AD313">
        <v>-1.1712129999999901</v>
      </c>
      <c r="AE313">
        <v>5.0812999999999899</v>
      </c>
      <c r="AF313">
        <v>-5.1129090111664999</v>
      </c>
      <c r="AG313">
        <v>-1.1712129999999901</v>
      </c>
      <c r="AH313">
        <v>43.162535563476098</v>
      </c>
      <c r="AI313">
        <v>91.543549764735403</v>
      </c>
      <c r="AJ313">
        <v>96.755611113450399</v>
      </c>
      <c r="AK313">
        <v>43.480088025625903</v>
      </c>
      <c r="AL313">
        <v>80.888346765942003</v>
      </c>
      <c r="AM313">
        <v>90.791335528167906</v>
      </c>
      <c r="AN313">
        <v>1.00000005422617</v>
      </c>
    </row>
    <row r="314" spans="1:40" x14ac:dyDescent="0.25">
      <c r="A314" t="str">
        <f>"20190303161848785"</f>
        <v>20190303161848785</v>
      </c>
      <c r="B314" t="str">
        <f>"1551601128773172"</f>
        <v>1551601128773172</v>
      </c>
      <c r="C314" t="s">
        <v>40</v>
      </c>
      <c r="D314">
        <v>5.2180160000000004</v>
      </c>
      <c r="E314">
        <v>0.46085189999999998</v>
      </c>
      <c r="F314" t="s">
        <v>41</v>
      </c>
      <c r="G314">
        <v>-399.57929999999999</v>
      </c>
      <c r="H314" s="1">
        <v>-7.7045849999999999E-7</v>
      </c>
      <c r="I314">
        <v>371.9</v>
      </c>
      <c r="J314">
        <v>-441.25790000000001</v>
      </c>
      <c r="K314">
        <v>1.121208</v>
      </c>
      <c r="L314">
        <v>367.01170000000002</v>
      </c>
      <c r="M314">
        <v>0.99991969999999997</v>
      </c>
      <c r="N314">
        <v>-1.2660630000000001E-2</v>
      </c>
      <c r="O314">
        <v>-8.1612410000000003E-4</v>
      </c>
      <c r="P314">
        <v>0.98919670000000004</v>
      </c>
      <c r="Q314">
        <v>0.1460168</v>
      </c>
      <c r="R314">
        <v>1.301943E-2</v>
      </c>
      <c r="S314">
        <v>3.0400999999999998</v>
      </c>
      <c r="T314">
        <v>-8.1435560000000004E-2</v>
      </c>
      <c r="U314">
        <v>0.35504150000000001</v>
      </c>
      <c r="V314">
        <v>-1.382039E-2</v>
      </c>
      <c r="W314">
        <v>0.15852929999999901</v>
      </c>
      <c r="X314">
        <v>0.98725750000000001</v>
      </c>
      <c r="Y314">
        <v>-0.1167472</v>
      </c>
      <c r="Z314">
        <v>2.3113489999999999E-3</v>
      </c>
      <c r="AA314">
        <v>0.99315900000000001</v>
      </c>
      <c r="AB314">
        <v>29</v>
      </c>
      <c r="AC314">
        <v>41.678600000000003</v>
      </c>
      <c r="AD314">
        <v>-1.1212087704584901</v>
      </c>
      <c r="AE314">
        <v>4.8882999999999504</v>
      </c>
      <c r="AF314">
        <v>-4.9188046618389203</v>
      </c>
      <c r="AG314">
        <v>-1.1212087704584901</v>
      </c>
      <c r="AH314">
        <v>41.644867714714003</v>
      </c>
      <c r="AI314">
        <v>91.531566129790903</v>
      </c>
      <c r="AJ314">
        <v>96.736173360616206</v>
      </c>
      <c r="AK314">
        <v>41.949335577387998</v>
      </c>
      <c r="AL314">
        <v>80.878457761591804</v>
      </c>
      <c r="AM314">
        <v>90.802018013739698</v>
      </c>
      <c r="AN314">
        <v>0.99999995672224495</v>
      </c>
    </row>
    <row r="315" spans="1:40" x14ac:dyDescent="0.25">
      <c r="A315" t="str">
        <f>"20190303161848804"</f>
        <v>20190303161848804</v>
      </c>
      <c r="B315" t="str">
        <f>"1551601128793668"</f>
        <v>1551601128793668</v>
      </c>
      <c r="C315" t="s">
        <v>40</v>
      </c>
      <c r="D315">
        <v>5.2392919999999998</v>
      </c>
      <c r="E315">
        <v>0.46072039999999997</v>
      </c>
      <c r="F315" t="s">
        <v>41</v>
      </c>
      <c r="G315">
        <v>-399.20830000000001</v>
      </c>
      <c r="H315" s="1">
        <v>-9.3899539999999997E-7</v>
      </c>
      <c r="I315">
        <v>371.93520000000001</v>
      </c>
      <c r="J315">
        <v>-441.0086</v>
      </c>
      <c r="K315">
        <v>1.1210249999999999</v>
      </c>
      <c r="L315">
        <v>367.01150000000001</v>
      </c>
      <c r="M315">
        <v>0.99992829999999999</v>
      </c>
      <c r="N315">
        <v>-1.1958770000000001E-2</v>
      </c>
      <c r="O315">
        <v>-8.164286E-4</v>
      </c>
      <c r="P315">
        <v>0.98906130000000003</v>
      </c>
      <c r="Q315">
        <v>0.14690899999999901</v>
      </c>
      <c r="R315">
        <v>1.326228E-2</v>
      </c>
      <c r="S315">
        <v>3.0400390000000002</v>
      </c>
      <c r="T315">
        <v>-8.1059220000000001E-2</v>
      </c>
      <c r="U315">
        <v>0.35595700000000002</v>
      </c>
      <c r="V315">
        <v>-1.40638E-2</v>
      </c>
      <c r="W315">
        <v>0.1587266</v>
      </c>
      <c r="X315">
        <v>0.98722240000000006</v>
      </c>
      <c r="Y315">
        <v>-0.11704630000000001</v>
      </c>
      <c r="Z315">
        <v>2.2692810000000002E-3</v>
      </c>
      <c r="AA315">
        <v>0.99312389999999995</v>
      </c>
      <c r="AB315">
        <v>29</v>
      </c>
      <c r="AC315">
        <v>41.800299999999901</v>
      </c>
      <c r="AD315">
        <v>-1.12102593899539</v>
      </c>
      <c r="AE315">
        <v>4.9236999999999904</v>
      </c>
      <c r="AF315">
        <v>-4.9543131890504304</v>
      </c>
      <c r="AG315">
        <v>-1.12102593899539</v>
      </c>
      <c r="AH315">
        <v>41.766636879864897</v>
      </c>
      <c r="AI315">
        <v>91.526764013134994</v>
      </c>
      <c r="AJ315">
        <v>96.764753726878695</v>
      </c>
      <c r="AK315">
        <v>42.074385017318903</v>
      </c>
      <c r="AL315">
        <v>80.867008693612604</v>
      </c>
      <c r="AM315">
        <v>90.816170581366507</v>
      </c>
      <c r="AN315">
        <v>0.99999999553987995</v>
      </c>
    </row>
    <row r="316" spans="1:40" x14ac:dyDescent="0.25">
      <c r="A316" t="str">
        <f>"20190303161848819"</f>
        <v>20190303161848819</v>
      </c>
      <c r="B316" t="str">
        <f>"1551601128803429"</f>
        <v>1551601128803429</v>
      </c>
      <c r="C316" t="s">
        <v>40</v>
      </c>
      <c r="D316">
        <v>5.2998669999999999</v>
      </c>
      <c r="E316">
        <v>0.46074359999999998</v>
      </c>
      <c r="F316" t="s">
        <v>41</v>
      </c>
      <c r="G316">
        <v>-398.59519999999998</v>
      </c>
      <c r="H316" s="1">
        <v>-1.21892E-6</v>
      </c>
      <c r="I316">
        <v>371.99880000000002</v>
      </c>
      <c r="J316">
        <v>-440.83</v>
      </c>
      <c r="K316">
        <v>1.1208419999999999</v>
      </c>
      <c r="L316">
        <v>367.01130000000001</v>
      </c>
      <c r="M316">
        <v>0.99993379999999998</v>
      </c>
      <c r="N316">
        <v>-1.148268E-2</v>
      </c>
      <c r="O316">
        <v>-8.1743889999999996E-4</v>
      </c>
      <c r="P316">
        <v>0.98892919999999995</v>
      </c>
      <c r="Q316">
        <v>0.14776039999999999</v>
      </c>
      <c r="R316">
        <v>1.363731E-2</v>
      </c>
      <c r="S316">
        <v>3.0403440000000002</v>
      </c>
      <c r="T316">
        <v>-8.0358979999999997E-2</v>
      </c>
      <c r="U316">
        <v>0.35751339999999998</v>
      </c>
      <c r="V316">
        <v>-1.443996E-2</v>
      </c>
      <c r="W316">
        <v>0.159107</v>
      </c>
      <c r="X316">
        <v>0.98715569999999997</v>
      </c>
      <c r="Y316">
        <v>-0.11753859999999999</v>
      </c>
      <c r="Z316">
        <v>2.2372350000000002E-3</v>
      </c>
      <c r="AA316">
        <v>0.9930658</v>
      </c>
      <c r="AB316">
        <v>29</v>
      </c>
      <c r="AC316">
        <v>42.2348</v>
      </c>
      <c r="AD316">
        <v>-1.1208432189199999</v>
      </c>
      <c r="AE316">
        <v>4.9875000000000096</v>
      </c>
      <c r="AF316">
        <v>-5.0185391020659003</v>
      </c>
      <c r="AG316">
        <v>-1.1208432189199999</v>
      </c>
      <c r="AH316">
        <v>42.201395580708997</v>
      </c>
      <c r="AI316">
        <v>91.510743411923698</v>
      </c>
      <c r="AJ316">
        <v>96.781696525121603</v>
      </c>
      <c r="AK316">
        <v>42.513525062029899</v>
      </c>
      <c r="AL316">
        <v>80.844932537636097</v>
      </c>
      <c r="AM316">
        <v>90.838053978297395</v>
      </c>
      <c r="AN316">
        <v>0.99999996296814497</v>
      </c>
    </row>
    <row r="317" spans="1:40" x14ac:dyDescent="0.25">
      <c r="A317" t="str">
        <f>"20190303161848833"</f>
        <v>20190303161848833</v>
      </c>
      <c r="B317" t="str">
        <f>"1551601128822948"</f>
        <v>1551601128822948</v>
      </c>
      <c r="C317" t="s">
        <v>40</v>
      </c>
      <c r="D317">
        <v>5.1118709999999998</v>
      </c>
      <c r="E317">
        <v>0.4608256</v>
      </c>
      <c r="F317" t="s">
        <v>41</v>
      </c>
      <c r="G317">
        <v>-397.13659999999999</v>
      </c>
      <c r="H317" s="1">
        <v>-1.8878650000000001E-6</v>
      </c>
      <c r="I317">
        <v>372.16109999999998</v>
      </c>
      <c r="J317">
        <v>-440.62869999999998</v>
      </c>
      <c r="K317">
        <v>1.1206160000000001</v>
      </c>
      <c r="L317">
        <v>367.01119999999997</v>
      </c>
      <c r="M317">
        <v>0.99993770000000004</v>
      </c>
      <c r="N317">
        <v>-1.1141669999999999E-2</v>
      </c>
      <c r="O317">
        <v>-8.1836110000000001E-4</v>
      </c>
      <c r="P317">
        <v>0.98887619999999998</v>
      </c>
      <c r="Q317">
        <v>0.14809549999999999</v>
      </c>
      <c r="R317">
        <v>1.3845379999999999E-2</v>
      </c>
      <c r="S317">
        <v>3.0402830000000001</v>
      </c>
      <c r="T317">
        <v>-7.7990530000000002E-2</v>
      </c>
      <c r="U317">
        <v>0.35833739999999997</v>
      </c>
      <c r="V317">
        <v>-1.46485E-2</v>
      </c>
      <c r="W317">
        <v>0.1591042</v>
      </c>
      <c r="X317">
        <v>0.98715310000000001</v>
      </c>
      <c r="Y317">
        <v>-0.1178106</v>
      </c>
      <c r="Z317">
        <v>2.1761770000000001E-3</v>
      </c>
      <c r="AA317">
        <v>0.99303370000000002</v>
      </c>
      <c r="AB317">
        <v>29</v>
      </c>
      <c r="AC317">
        <v>43.492099999999901</v>
      </c>
      <c r="AD317">
        <v>-1.1206178878649999</v>
      </c>
      <c r="AE317">
        <v>5.1498999999999997</v>
      </c>
      <c r="AF317">
        <v>-5.1820999631444797</v>
      </c>
      <c r="AG317">
        <v>-1.1206178878649999</v>
      </c>
      <c r="AH317">
        <v>43.459417481766998</v>
      </c>
      <c r="AI317">
        <v>91.466681156922306</v>
      </c>
      <c r="AJ317">
        <v>96.799841641802601</v>
      </c>
      <c r="AK317">
        <v>43.781627566059498</v>
      </c>
      <c r="AL317">
        <v>80.845095229301606</v>
      </c>
      <c r="AM317">
        <v>90.850157518548301</v>
      </c>
      <c r="AN317">
        <v>0.99999998392474898</v>
      </c>
    </row>
    <row r="318" spans="1:40" x14ac:dyDescent="0.25">
      <c r="A318" t="str">
        <f>"20190303161848850"</f>
        <v>20190303161848850</v>
      </c>
      <c r="B318" t="str">
        <f>"1551601128843445"</f>
        <v>1551601128843445</v>
      </c>
      <c r="C318" t="s">
        <v>40</v>
      </c>
      <c r="D318">
        <v>5.2958600000000002</v>
      </c>
      <c r="E318">
        <v>0.46086460000000001</v>
      </c>
      <c r="F318" t="s">
        <v>41</v>
      </c>
      <c r="G318">
        <v>-395.3612</v>
      </c>
      <c r="H318" s="1">
        <v>-2.7002669999999999E-6</v>
      </c>
      <c r="I318">
        <v>372.3519</v>
      </c>
      <c r="J318">
        <v>-440.41</v>
      </c>
      <c r="K318">
        <v>1.1203259999999999</v>
      </c>
      <c r="L318">
        <v>367.01100000000002</v>
      </c>
      <c r="M318">
        <v>0.99993869999999896</v>
      </c>
      <c r="N318">
        <v>-1.1053530000000001E-2</v>
      </c>
      <c r="O318">
        <v>-8.1929949999999996E-4</v>
      </c>
      <c r="P318">
        <v>0.98882519999999996</v>
      </c>
      <c r="Q318">
        <v>0.1484125</v>
      </c>
      <c r="R318">
        <v>1.4089819999999999E-2</v>
      </c>
      <c r="S318">
        <v>3.0400390000000002</v>
      </c>
      <c r="T318">
        <v>-7.5257420000000005E-2</v>
      </c>
      <c r="U318">
        <v>0.35867310000000002</v>
      </c>
      <c r="V318">
        <v>-1.489412E-2</v>
      </c>
      <c r="W318">
        <v>0.1593339</v>
      </c>
      <c r="X318">
        <v>0.9871124</v>
      </c>
      <c r="Y318">
        <v>-0.1179322</v>
      </c>
      <c r="Z318">
        <v>2.119849E-3</v>
      </c>
      <c r="AA318">
        <v>0.9930194</v>
      </c>
      <c r="AB318">
        <v>29</v>
      </c>
      <c r="AC318">
        <v>45.0488</v>
      </c>
      <c r="AD318">
        <v>-1.1203287002669999</v>
      </c>
      <c r="AE318">
        <v>5.3409000000000297</v>
      </c>
      <c r="AF318">
        <v>-5.3745309610125602</v>
      </c>
      <c r="AG318">
        <v>-1.1203287002669999</v>
      </c>
      <c r="AH318">
        <v>45.016952729869601</v>
      </c>
      <c r="AI318">
        <v>91.415566621666102</v>
      </c>
      <c r="AJ318">
        <v>96.808262655104897</v>
      </c>
      <c r="AK318">
        <v>45.350487897384703</v>
      </c>
      <c r="AL318">
        <v>80.831764555972001</v>
      </c>
      <c r="AM318">
        <v>90.864446099077597</v>
      </c>
      <c r="AN318">
        <v>1.0000000083667699</v>
      </c>
    </row>
    <row r="319" spans="1:40" x14ac:dyDescent="0.25">
      <c r="A319" t="str">
        <f>"20190303161848863"</f>
        <v>20190303161848863</v>
      </c>
      <c r="B319" t="str">
        <f>"1551601128853205"</f>
        <v>1551601128853205</v>
      </c>
      <c r="C319" t="s">
        <v>40</v>
      </c>
      <c r="D319">
        <v>5.1146019999999996</v>
      </c>
      <c r="E319">
        <v>0.46080349999999998</v>
      </c>
      <c r="F319" t="s">
        <v>41</v>
      </c>
      <c r="G319">
        <v>-393.60700000000003</v>
      </c>
      <c r="H319" s="1">
        <v>-3.5022210000000001E-6</v>
      </c>
      <c r="I319">
        <v>372.53769999999997</v>
      </c>
      <c r="J319">
        <v>-440.23509999999999</v>
      </c>
      <c r="K319">
        <v>1.1200479999999999</v>
      </c>
      <c r="L319">
        <v>367.01080000000002</v>
      </c>
      <c r="M319">
        <v>0.99993719999999997</v>
      </c>
      <c r="N319">
        <v>-1.118661E-2</v>
      </c>
      <c r="O319">
        <v>-8.1968500000000001E-4</v>
      </c>
      <c r="P319">
        <v>0.9888325</v>
      </c>
      <c r="Q319">
        <v>0.14838080000000001</v>
      </c>
      <c r="R319">
        <v>1.39241E-2</v>
      </c>
      <c r="S319">
        <v>3.0397340000000002</v>
      </c>
      <c r="T319">
        <v>-7.2762370000000007E-2</v>
      </c>
      <c r="U319">
        <v>0.35894779999999998</v>
      </c>
      <c r="V319">
        <v>-1.4728669999999999E-2</v>
      </c>
      <c r="W319">
        <v>0.15943370000000001</v>
      </c>
      <c r="X319">
        <v>0.98709880000000005</v>
      </c>
      <c r="Y319">
        <v>-0.1180353</v>
      </c>
      <c r="Z319">
        <v>2.0806850000000001E-3</v>
      </c>
      <c r="AA319">
        <v>0.99300719999999998</v>
      </c>
      <c r="AB319">
        <v>29</v>
      </c>
      <c r="AC319">
        <v>46.628100000000003</v>
      </c>
      <c r="AD319">
        <v>-1.120051502221</v>
      </c>
      <c r="AE319">
        <v>5.5268999999999497</v>
      </c>
      <c r="AF319">
        <v>-5.5619560659416702</v>
      </c>
      <c r="AG319">
        <v>-1.120051502221</v>
      </c>
      <c r="AH319">
        <v>46.597039466944402</v>
      </c>
      <c r="AI319">
        <v>91.367249844657195</v>
      </c>
      <c r="AJ319">
        <v>96.806783690945295</v>
      </c>
      <c r="AK319">
        <v>46.9411755043593</v>
      </c>
      <c r="AL319">
        <v>80.825972684085301</v>
      </c>
      <c r="AM319">
        <v>90.854856685968102</v>
      </c>
      <c r="AN319">
        <v>1.00000003968854</v>
      </c>
    </row>
    <row r="320" spans="1:40" x14ac:dyDescent="0.25">
      <c r="A320" t="str">
        <f>"20190303161848876"</f>
        <v>20190303161848876</v>
      </c>
      <c r="B320" t="str">
        <f>"1551601128862964"</f>
        <v>1551601128862964</v>
      </c>
      <c r="C320" t="s">
        <v>40</v>
      </c>
      <c r="D320">
        <v>5.1101919999999996</v>
      </c>
      <c r="E320">
        <v>0.4607754</v>
      </c>
      <c r="F320" t="s">
        <v>41</v>
      </c>
      <c r="G320">
        <v>-393.40410000000003</v>
      </c>
      <c r="H320" s="1">
        <v>-3.5906099999999998E-6</v>
      </c>
      <c r="I320">
        <v>372.54270000000002</v>
      </c>
      <c r="J320">
        <v>-440.06990000000002</v>
      </c>
      <c r="K320">
        <v>1.1196889999999999</v>
      </c>
      <c r="L320">
        <v>367.01069999999999</v>
      </c>
      <c r="M320">
        <v>0.99993339999999997</v>
      </c>
      <c r="N320">
        <v>-1.151201E-2</v>
      </c>
      <c r="O320">
        <v>-8.1975159999999995E-4</v>
      </c>
      <c r="P320">
        <v>0.98887959999999997</v>
      </c>
      <c r="Q320">
        <v>0.1480485</v>
      </c>
      <c r="R320">
        <v>1.410674E-2</v>
      </c>
      <c r="S320">
        <v>3.0397340000000002</v>
      </c>
      <c r="T320">
        <v>-7.2700860000000006E-2</v>
      </c>
      <c r="U320">
        <v>0.35906979999999999</v>
      </c>
      <c r="V320">
        <v>-1.491132E-2</v>
      </c>
      <c r="W320">
        <v>0.15942290000000001</v>
      </c>
      <c r="X320">
        <v>0.98709769999999997</v>
      </c>
      <c r="Y320">
        <v>-0.11807429999999999</v>
      </c>
      <c r="Z320">
        <v>2.09918E-3</v>
      </c>
      <c r="AA320">
        <v>0.99300250000000001</v>
      </c>
      <c r="AB320">
        <v>29</v>
      </c>
      <c r="AC320">
        <v>46.665799999999898</v>
      </c>
      <c r="AD320">
        <v>-1.1196925906099999</v>
      </c>
      <c r="AE320">
        <v>5.5320000000000302</v>
      </c>
      <c r="AF320">
        <v>-5.5670944504290301</v>
      </c>
      <c r="AG320">
        <v>-1.1196925906099999</v>
      </c>
      <c r="AH320">
        <v>46.634773331790498</v>
      </c>
      <c r="AI320">
        <v>91.365704183516897</v>
      </c>
      <c r="AJ320">
        <v>96.8075521230584</v>
      </c>
      <c r="AK320">
        <v>46.979233027210498</v>
      </c>
      <c r="AL320">
        <v>80.826598563399699</v>
      </c>
      <c r="AM320">
        <v>90.865457111727196</v>
      </c>
      <c r="AN320">
        <v>0.99999993892691896</v>
      </c>
    </row>
    <row r="321" spans="1:40" x14ac:dyDescent="0.25">
      <c r="A321" t="str">
        <f>"20190303161848894"</f>
        <v>20190303161848894</v>
      </c>
      <c r="B321" t="str">
        <f>"1551601128883464"</f>
        <v>1551601128883464</v>
      </c>
      <c r="C321" t="s">
        <v>40</v>
      </c>
      <c r="D321">
        <v>5.1603279999999998</v>
      </c>
      <c r="E321">
        <v>0.4608505</v>
      </c>
      <c r="F321" t="s">
        <v>41</v>
      </c>
      <c r="G321">
        <v>-393.69830000000002</v>
      </c>
      <c r="H321" s="1">
        <v>-3.4528720000000001E-6</v>
      </c>
      <c r="I321">
        <v>372.49930000000001</v>
      </c>
      <c r="J321">
        <v>-439.84089999999998</v>
      </c>
      <c r="K321">
        <v>1.1190960000000001</v>
      </c>
      <c r="L321">
        <v>367.01049999999998</v>
      </c>
      <c r="M321">
        <v>0.99992599999999998</v>
      </c>
      <c r="N321">
        <v>-1.2150650000000001E-2</v>
      </c>
      <c r="O321">
        <v>-8.1913530000000002E-4</v>
      </c>
      <c r="P321">
        <v>0.98895659999999996</v>
      </c>
      <c r="Q321">
        <v>0.14754210000000001</v>
      </c>
      <c r="R321">
        <v>1.402262E-2</v>
      </c>
      <c r="S321">
        <v>3.0395810000000001</v>
      </c>
      <c r="T321">
        <v>-7.3393819999999999E-2</v>
      </c>
      <c r="U321">
        <v>0.35977170000000003</v>
      </c>
      <c r="V321">
        <v>-1.482676E-2</v>
      </c>
      <c r="W321">
        <v>0.1595481</v>
      </c>
      <c r="X321">
        <v>0.98707880000000003</v>
      </c>
      <c r="Y321">
        <v>-0.1183039</v>
      </c>
      <c r="Z321">
        <v>2.1543180000000001E-3</v>
      </c>
      <c r="AA321">
        <v>0.9929751</v>
      </c>
      <c r="AB321">
        <v>29</v>
      </c>
      <c r="AC321">
        <v>46.142599999999902</v>
      </c>
      <c r="AD321">
        <v>-1.119099452872</v>
      </c>
      <c r="AE321">
        <v>5.4888000000000199</v>
      </c>
      <c r="AF321">
        <v>-5.5233943834185801</v>
      </c>
      <c r="AG321">
        <v>-1.119099452872</v>
      </c>
      <c r="AH321">
        <v>46.111343344057197</v>
      </c>
      <c r="AI321">
        <v>91.380403257461296</v>
      </c>
      <c r="AJ321">
        <v>96.830564605368707</v>
      </c>
      <c r="AK321">
        <v>46.454453544237602</v>
      </c>
      <c r="AL321">
        <v>80.819332625615701</v>
      </c>
      <c r="AM321">
        <v>90.860566441067903</v>
      </c>
      <c r="AN321">
        <v>0.99999999321757305</v>
      </c>
    </row>
    <row r="322" spans="1:40" x14ac:dyDescent="0.25">
      <c r="A322" t="str">
        <f>"20190303161848909"</f>
        <v>20190303161848909</v>
      </c>
      <c r="B322" t="str">
        <f>"1551601128902981"</f>
        <v>1551601128902981</v>
      </c>
      <c r="C322" t="s">
        <v>40</v>
      </c>
      <c r="D322">
        <v>5.0415099999999997</v>
      </c>
      <c r="E322">
        <v>0.48227140000000002</v>
      </c>
      <c r="F322" t="s">
        <v>41</v>
      </c>
      <c r="G322">
        <v>-393.84640000000002</v>
      </c>
      <c r="H322" s="1">
        <v>-3.3738580000000001E-6</v>
      </c>
      <c r="I322">
        <v>372.44119999999998</v>
      </c>
      <c r="J322">
        <v>-439.63869999999997</v>
      </c>
      <c r="K322">
        <v>1.118471</v>
      </c>
      <c r="L322">
        <v>367.0104</v>
      </c>
      <c r="M322">
        <v>0.99991569999999996</v>
      </c>
      <c r="N322">
        <v>-1.29675E-2</v>
      </c>
      <c r="O322">
        <v>-8.1737019999999995E-4</v>
      </c>
      <c r="P322">
        <v>0.98910690000000001</v>
      </c>
      <c r="Q322">
        <v>0.1465621</v>
      </c>
      <c r="R322">
        <v>1.368723E-2</v>
      </c>
      <c r="S322">
        <v>3.03952</v>
      </c>
      <c r="T322">
        <v>-7.3954820000000004E-2</v>
      </c>
      <c r="U322">
        <v>0.3588867</v>
      </c>
      <c r="V322">
        <v>-1.448969E-2</v>
      </c>
      <c r="W322">
        <v>0.15937670000000001</v>
      </c>
      <c r="X322">
        <v>0.98711150000000003</v>
      </c>
      <c r="Y322">
        <v>-0.1180176</v>
      </c>
      <c r="Z322">
        <v>2.207872E-3</v>
      </c>
      <c r="AA322">
        <v>0.99300900000000003</v>
      </c>
      <c r="AB322">
        <v>29</v>
      </c>
      <c r="AC322">
        <v>45.792299999999898</v>
      </c>
      <c r="AD322">
        <v>-1.1184743738580001</v>
      </c>
      <c r="AE322">
        <v>5.4307999999999703</v>
      </c>
      <c r="AF322">
        <v>-5.4650155030386598</v>
      </c>
      <c r="AG322">
        <v>-1.1184743738580001</v>
      </c>
      <c r="AH322">
        <v>45.760924048546997</v>
      </c>
      <c r="AI322">
        <v>91.390251824115396</v>
      </c>
      <c r="AJ322">
        <v>96.8103149773643</v>
      </c>
      <c r="AK322">
        <v>46.099669729297602</v>
      </c>
      <c r="AL322">
        <v>80.829280463280895</v>
      </c>
      <c r="AM322">
        <v>90.840977400942506</v>
      </c>
      <c r="AN322">
        <v>0.99999999852571797</v>
      </c>
    </row>
    <row r="323" spans="1:40" x14ac:dyDescent="0.25">
      <c r="A323" t="str">
        <f>"20190303161848926"</f>
        <v>20190303161848926</v>
      </c>
      <c r="B323" t="str">
        <f>"1551601128913718"</f>
        <v>1551601128913718</v>
      </c>
      <c r="C323" t="s">
        <v>40</v>
      </c>
      <c r="D323">
        <v>4.8703399999999997</v>
      </c>
      <c r="E323">
        <v>0.4846319</v>
      </c>
      <c r="F323" t="s">
        <v>47</v>
      </c>
      <c r="G323">
        <v>-223.05340000000001</v>
      </c>
      <c r="H323">
        <v>0.13105249999999999</v>
      </c>
      <c r="I323">
        <v>380.2928</v>
      </c>
      <c r="J323">
        <v>-439.42320000000001</v>
      </c>
      <c r="K323">
        <v>1.117723</v>
      </c>
      <c r="L323">
        <v>367.0102</v>
      </c>
      <c r="M323">
        <v>0.99989919999999999</v>
      </c>
      <c r="N323">
        <v>-1.417563E-2</v>
      </c>
      <c r="O323">
        <v>-8.1569779999999897E-4</v>
      </c>
      <c r="P323">
        <v>0.98926309999999995</v>
      </c>
      <c r="Q323">
        <v>0.1454946</v>
      </c>
      <c r="R323">
        <v>1.377695E-2</v>
      </c>
      <c r="S323">
        <v>3.0325319999999998</v>
      </c>
      <c r="T323">
        <v>-1.3824339999999999E-2</v>
      </c>
      <c r="U323">
        <v>0.1859741</v>
      </c>
      <c r="V323">
        <v>-1.457694E-2</v>
      </c>
      <c r="W323">
        <v>0.159503799999999</v>
      </c>
      <c r="X323">
        <v>0.98708969999999896</v>
      </c>
      <c r="Y323">
        <v>-6.2022910000000001E-2</v>
      </c>
      <c r="Z323">
        <v>5.7345129999999999E-4</v>
      </c>
      <c r="AA323">
        <v>0.99807449999999998</v>
      </c>
      <c r="AB323">
        <v>29</v>
      </c>
      <c r="AC323">
        <v>216.3698</v>
      </c>
      <c r="AD323">
        <v>-0.98667050000000001</v>
      </c>
      <c r="AE323">
        <v>13.2826</v>
      </c>
      <c r="AF323">
        <v>-13.458826863121701</v>
      </c>
      <c r="AG323">
        <v>-0.98667050000000001</v>
      </c>
      <c r="AH323">
        <v>216.35441021023701</v>
      </c>
      <c r="AI323">
        <v>90.260787842065994</v>
      </c>
      <c r="AJ323">
        <v>93.559629684996295</v>
      </c>
      <c r="AK323">
        <v>216.77487021476099</v>
      </c>
      <c r="AL323">
        <v>80.8219039348498</v>
      </c>
      <c r="AM323">
        <v>90.846059313944394</v>
      </c>
      <c r="AN323">
        <v>1.00000001262014</v>
      </c>
    </row>
    <row r="324" spans="1:40" x14ac:dyDescent="0.25">
      <c r="A324" t="str">
        <f>"20190303161848942"</f>
        <v>20190303161848942</v>
      </c>
      <c r="B324" t="str">
        <f>"1551601128933238"</f>
        <v>1551601128933238</v>
      </c>
      <c r="C324" t="s">
        <v>40</v>
      </c>
      <c r="D324">
        <v>4.8143779999999996</v>
      </c>
      <c r="E324">
        <v>0.48654999999999998</v>
      </c>
      <c r="F324" t="s">
        <v>41</v>
      </c>
      <c r="G324">
        <v>-211.26070000000001</v>
      </c>
      <c r="H324">
        <v>1.7838179999999999E-2</v>
      </c>
      <c r="I324">
        <v>379.61649999999997</v>
      </c>
      <c r="J324">
        <v>-439.20749999999998</v>
      </c>
      <c r="K324">
        <v>1.1168689999999999</v>
      </c>
      <c r="L324">
        <v>367.01</v>
      </c>
      <c r="M324">
        <v>0.9998764</v>
      </c>
      <c r="N324">
        <v>-1.5702589999999999E-2</v>
      </c>
      <c r="O324">
        <v>-8.1413199999999996E-4</v>
      </c>
      <c r="P324">
        <v>0.98953279999999999</v>
      </c>
      <c r="Q324">
        <v>0.14365890000000001</v>
      </c>
      <c r="R324">
        <v>1.36682E-2</v>
      </c>
      <c r="S324">
        <v>3.032349</v>
      </c>
      <c r="T324">
        <v>-1.46178E-2</v>
      </c>
      <c r="U324">
        <v>0.16754150000000001</v>
      </c>
      <c r="V324">
        <v>-1.4467560000000001E-2</v>
      </c>
      <c r="W324">
        <v>0.15917999999999999</v>
      </c>
      <c r="X324">
        <v>0.98714360000000001</v>
      </c>
      <c r="Y324">
        <v>-5.5977409999999998E-2</v>
      </c>
      <c r="Z324">
        <v>5.6583389999999897E-4</v>
      </c>
      <c r="AA324">
        <v>0.99843190000000004</v>
      </c>
      <c r="AB324">
        <v>29</v>
      </c>
      <c r="AC324">
        <v>227.9468</v>
      </c>
      <c r="AD324">
        <v>-1.0990308200000001</v>
      </c>
      <c r="AE324">
        <v>12.606499999999899</v>
      </c>
      <c r="AF324">
        <v>-12.7918010295723</v>
      </c>
      <c r="AG324">
        <v>-1.0990308200000001</v>
      </c>
      <c r="AH324">
        <v>227.931177431695</v>
      </c>
      <c r="AI324">
        <v>90.2758306747657</v>
      </c>
      <c r="AJ324">
        <v>93.212145899630002</v>
      </c>
      <c r="AK324">
        <v>228.29248714690999</v>
      </c>
      <c r="AL324">
        <v>80.840696616361996</v>
      </c>
      <c r="AM324">
        <v>90.839665864924797</v>
      </c>
      <c r="AN324">
        <v>1.00000003485665</v>
      </c>
    </row>
    <row r="325" spans="1:40" x14ac:dyDescent="0.25">
      <c r="A325" t="str">
        <f>"20190303161848964"</f>
        <v>20190303161848964</v>
      </c>
      <c r="B325" t="str">
        <f>"1551601128952756"</f>
        <v>1551601128952756</v>
      </c>
      <c r="C325" t="s">
        <v>40</v>
      </c>
      <c r="D325">
        <v>4.7126380000000001</v>
      </c>
      <c r="E325">
        <v>0.48754920000000002</v>
      </c>
      <c r="F325" t="s">
        <v>41</v>
      </c>
      <c r="G325">
        <v>-262.63499999999999</v>
      </c>
      <c r="H325" s="1">
        <v>-4.4873780000000003E-6</v>
      </c>
      <c r="I325">
        <v>375.86290000000002</v>
      </c>
      <c r="J325">
        <v>-438.94110000000001</v>
      </c>
      <c r="K325">
        <v>1.115694</v>
      </c>
      <c r="L325">
        <v>367.00979999999998</v>
      </c>
      <c r="M325">
        <v>0.99984260000000003</v>
      </c>
      <c r="N325">
        <v>-1.771609E-2</v>
      </c>
      <c r="O325">
        <v>-8.1357160000000001E-4</v>
      </c>
      <c r="P325">
        <v>0.98989059999999995</v>
      </c>
      <c r="Q325">
        <v>0.1412108</v>
      </c>
      <c r="R325">
        <v>1.3269009999999999E-2</v>
      </c>
      <c r="S325">
        <v>3.03241</v>
      </c>
      <c r="T325">
        <v>-1.9180889999999999E-2</v>
      </c>
      <c r="U325">
        <v>0.1520386</v>
      </c>
      <c r="V325">
        <v>-1.406803E-2</v>
      </c>
      <c r="W325">
        <v>0.15872610000000001</v>
      </c>
      <c r="X325">
        <v>0.98722240000000006</v>
      </c>
      <c r="Y325">
        <v>-5.0883709999999999E-2</v>
      </c>
      <c r="Z325">
        <v>6.0262759999999999E-4</v>
      </c>
      <c r="AA325">
        <v>0.99870440000000005</v>
      </c>
      <c r="AB325">
        <v>29</v>
      </c>
      <c r="AC325">
        <v>176.30609999999999</v>
      </c>
      <c r="AD325">
        <v>-1.115698487378</v>
      </c>
      <c r="AE325">
        <v>8.8531000000000297</v>
      </c>
      <c r="AF325">
        <v>-8.9961978826406899</v>
      </c>
      <c r="AG325">
        <v>-1.115698487378</v>
      </c>
      <c r="AH325">
        <v>176.29179584827099</v>
      </c>
      <c r="AI325">
        <v>90.362131962886096</v>
      </c>
      <c r="AJ325">
        <v>92.921278593192696</v>
      </c>
      <c r="AK325">
        <v>176.524711139451</v>
      </c>
      <c r="AL325">
        <v>80.867037526373394</v>
      </c>
      <c r="AM325">
        <v>90.816416029562305</v>
      </c>
      <c r="AN325">
        <v>0.99999997567552501</v>
      </c>
    </row>
    <row r="326" spans="1:40" x14ac:dyDescent="0.25">
      <c r="A326" t="str">
        <f>"20190303161848984"</f>
        <v>20190303161848984</v>
      </c>
      <c r="B326" t="str">
        <f>"1551601128973253"</f>
        <v>1551601128973253</v>
      </c>
      <c r="C326" t="s">
        <v>40</v>
      </c>
      <c r="D326">
        <v>4.680167</v>
      </c>
      <c r="E326">
        <v>0.48820770000000002</v>
      </c>
      <c r="F326" t="s">
        <v>44</v>
      </c>
      <c r="G326">
        <v>-304.76280000000003</v>
      </c>
      <c r="H326">
        <v>-0.05</v>
      </c>
      <c r="I326">
        <v>373.3347</v>
      </c>
      <c r="J326">
        <v>-438.66160000000002</v>
      </c>
      <c r="K326">
        <v>1.11432</v>
      </c>
      <c r="L326">
        <v>367.00959999999998</v>
      </c>
      <c r="M326">
        <v>0.99980440000000004</v>
      </c>
      <c r="N326">
        <v>-1.9773200000000001E-2</v>
      </c>
      <c r="O326">
        <v>-8.1427110000000002E-4</v>
      </c>
      <c r="P326">
        <v>0.99023570000000005</v>
      </c>
      <c r="Q326">
        <v>0.13878389999999999</v>
      </c>
      <c r="R326">
        <v>1.313842E-2</v>
      </c>
      <c r="S326">
        <v>3.0324710000000001</v>
      </c>
      <c r="T326">
        <v>-2.6345009999999999E-2</v>
      </c>
      <c r="U326">
        <v>0.1429443</v>
      </c>
      <c r="V326">
        <v>-1.393899E-2</v>
      </c>
      <c r="W326">
        <v>0.15833729999999999</v>
      </c>
      <c r="X326">
        <v>0.98728669999999996</v>
      </c>
      <c r="Y326">
        <v>-4.7893169999999999E-2</v>
      </c>
      <c r="Z326">
        <v>6.7273530000000004E-4</v>
      </c>
      <c r="AA326">
        <v>0.99885230000000003</v>
      </c>
      <c r="AB326">
        <v>29</v>
      </c>
      <c r="AC326">
        <v>133.89879999999999</v>
      </c>
      <c r="AD326">
        <v>-1.16432</v>
      </c>
      <c r="AE326">
        <v>6.3251000000000097</v>
      </c>
      <c r="AF326">
        <v>-6.43366373992429</v>
      </c>
      <c r="AG326">
        <v>-1.16432</v>
      </c>
      <c r="AH326">
        <v>133.883503565599</v>
      </c>
      <c r="AI326">
        <v>90.497686818965093</v>
      </c>
      <c r="AJ326">
        <v>92.751186073213205</v>
      </c>
      <c r="AK326">
        <v>134.043053520802</v>
      </c>
      <c r="AL326">
        <v>80.889599780527107</v>
      </c>
      <c r="AM326">
        <v>90.808875718626396</v>
      </c>
      <c r="AN326">
        <v>1.0000000120051999</v>
      </c>
    </row>
    <row r="327" spans="1:40" x14ac:dyDescent="0.25">
      <c r="A327" t="str">
        <f>"20190303161848999"</f>
        <v>20190303161848999</v>
      </c>
      <c r="B327" t="str">
        <f>"1551601128993749"</f>
        <v>1551601128993749</v>
      </c>
      <c r="C327" t="s">
        <v>40</v>
      </c>
      <c r="D327">
        <v>4.6505799999999997</v>
      </c>
      <c r="E327">
        <v>0.48851070000000002</v>
      </c>
      <c r="F327" t="s">
        <v>41</v>
      </c>
      <c r="G327">
        <v>-326.44209999999998</v>
      </c>
      <c r="H327" s="1">
        <v>-2.1692619999999999E-6</v>
      </c>
      <c r="I327">
        <v>372.0992</v>
      </c>
      <c r="J327">
        <v>-438.4649</v>
      </c>
      <c r="K327">
        <v>1.113221</v>
      </c>
      <c r="L327">
        <v>367.00940000000003</v>
      </c>
      <c r="M327">
        <v>0.99978259999999997</v>
      </c>
      <c r="N327">
        <v>-2.0840439999999998E-2</v>
      </c>
      <c r="O327">
        <v>-8.1498319999999999E-4</v>
      </c>
      <c r="P327">
        <v>0.99042669999999999</v>
      </c>
      <c r="Q327">
        <v>0.13744049999999999</v>
      </c>
      <c r="R327">
        <v>1.2855210000000001E-2</v>
      </c>
      <c r="S327">
        <v>3.031952</v>
      </c>
      <c r="T327">
        <v>-3.010678E-2</v>
      </c>
      <c r="U327">
        <v>0.1375122</v>
      </c>
      <c r="V327">
        <v>-1.3656690000000001E-2</v>
      </c>
      <c r="W327">
        <v>0.1580519</v>
      </c>
      <c r="X327">
        <v>0.98733629999999994</v>
      </c>
      <c r="Y327">
        <v>-4.6114990000000002E-2</v>
      </c>
      <c r="Z327">
        <v>7.0080819999999999E-4</v>
      </c>
      <c r="AA327">
        <v>0.99893589999999999</v>
      </c>
      <c r="AB327">
        <v>29</v>
      </c>
      <c r="AC327">
        <v>112.0228</v>
      </c>
      <c r="AD327">
        <v>-1.113223169262</v>
      </c>
      <c r="AE327">
        <v>5.0897999999999604</v>
      </c>
      <c r="AF327">
        <v>-5.1806042830280203</v>
      </c>
      <c r="AG327">
        <v>-1.113223169262</v>
      </c>
      <c r="AH327">
        <v>112.00757544842099</v>
      </c>
      <c r="AI327">
        <v>90.568825638453603</v>
      </c>
      <c r="AJ327">
        <v>92.648172379547404</v>
      </c>
      <c r="AK327">
        <v>112.132844806487</v>
      </c>
      <c r="AL327">
        <v>80.906159858079207</v>
      </c>
      <c r="AM327">
        <v>90.792456232029807</v>
      </c>
      <c r="AN327">
        <v>0.99999993878652604</v>
      </c>
    </row>
    <row r="328" spans="1:40" x14ac:dyDescent="0.25">
      <c r="A328" t="str">
        <f>"20190303161849018"</f>
        <v>20190303161849018</v>
      </c>
      <c r="B328" t="str">
        <f>"1551601129003508"</f>
        <v>1551601129003508</v>
      </c>
      <c r="C328" t="s">
        <v>40</v>
      </c>
      <c r="D328">
        <v>4.6052929999999996</v>
      </c>
      <c r="E328">
        <v>0.4885737</v>
      </c>
      <c r="F328" t="s">
        <v>41</v>
      </c>
      <c r="G328">
        <v>-332.34649999999999</v>
      </c>
      <c r="H328" s="1">
        <v>-3.8228309999999999E-6</v>
      </c>
      <c r="I328">
        <v>371.71050000000002</v>
      </c>
      <c r="J328">
        <v>-438.23360000000002</v>
      </c>
      <c r="K328">
        <v>1.111829</v>
      </c>
      <c r="L328">
        <v>367.00920000000002</v>
      </c>
      <c r="M328">
        <v>0.99976129999999996</v>
      </c>
      <c r="N328">
        <v>-2.1837740000000001E-2</v>
      </c>
      <c r="O328">
        <v>-8.1621809999999999E-4</v>
      </c>
      <c r="P328">
        <v>0.9906836</v>
      </c>
      <c r="Q328">
        <v>0.13559959999999999</v>
      </c>
      <c r="R328">
        <v>1.260524E-2</v>
      </c>
      <c r="S328">
        <v>3.0316770000000002</v>
      </c>
      <c r="T328">
        <v>-3.1803489999999997E-2</v>
      </c>
      <c r="U328">
        <v>0.13430790000000001</v>
      </c>
      <c r="V328">
        <v>-1.3408059999999999E-2</v>
      </c>
      <c r="W328">
        <v>0.15720200000000001</v>
      </c>
      <c r="X328">
        <v>0.98747549999999995</v>
      </c>
      <c r="Y328">
        <v>-4.5066009999999997E-2</v>
      </c>
      <c r="Z328">
        <v>7.1940899999999996E-4</v>
      </c>
      <c r="AA328">
        <v>0.99898370000000003</v>
      </c>
      <c r="AB328">
        <v>29</v>
      </c>
      <c r="AC328">
        <v>105.8871</v>
      </c>
      <c r="AD328">
        <v>-1.1118328228309999</v>
      </c>
      <c r="AE328">
        <v>4.7012999999999998</v>
      </c>
      <c r="AF328">
        <v>-4.7872192371757896</v>
      </c>
      <c r="AG328">
        <v>-1.1118328228309999</v>
      </c>
      <c r="AH328">
        <v>105.871576750497</v>
      </c>
      <c r="AI328">
        <v>90.601067553134598</v>
      </c>
      <c r="AJ328">
        <v>92.588992810542905</v>
      </c>
      <c r="AK328">
        <v>105.985585830749</v>
      </c>
      <c r="AL328">
        <v>80.955473060908403</v>
      </c>
      <c r="AM328">
        <v>90.777921116336898</v>
      </c>
      <c r="AN328">
        <v>1.0000000539886</v>
      </c>
    </row>
    <row r="329" spans="1:40" x14ac:dyDescent="0.25">
      <c r="A329" t="str">
        <f>"20190303161849030"</f>
        <v>20190303161849030</v>
      </c>
      <c r="B329" t="str">
        <f>"1551601129023029"</f>
        <v>1551601129023029</v>
      </c>
      <c r="C329" t="s">
        <v>40</v>
      </c>
      <c r="D329">
        <v>4.5954709999999999</v>
      </c>
      <c r="E329">
        <v>0.48885499999999998</v>
      </c>
      <c r="F329" t="s">
        <v>41</v>
      </c>
      <c r="G329">
        <v>-346.9538</v>
      </c>
      <c r="H329" s="1">
        <v>-1.792484E-6</v>
      </c>
      <c r="I329">
        <v>371.01459999999997</v>
      </c>
      <c r="J329">
        <v>-438.06540000000001</v>
      </c>
      <c r="K329">
        <v>1.1107640000000001</v>
      </c>
      <c r="L329">
        <v>367.00909999999999</v>
      </c>
      <c r="M329">
        <v>0.99974799999999997</v>
      </c>
      <c r="N329">
        <v>-2.243759E-2</v>
      </c>
      <c r="O329">
        <v>-8.1666979999999996E-4</v>
      </c>
      <c r="P329">
        <v>0.99078940000000004</v>
      </c>
      <c r="Q329">
        <v>0.134841299999999</v>
      </c>
      <c r="R329">
        <v>1.2429630000000001E-2</v>
      </c>
      <c r="S329">
        <v>3.031555</v>
      </c>
      <c r="T329">
        <v>-3.692579E-2</v>
      </c>
      <c r="U329">
        <v>0.13302610000000001</v>
      </c>
      <c r="V329">
        <v>-1.323278E-2</v>
      </c>
      <c r="W329">
        <v>0.1570386</v>
      </c>
      <c r="X329">
        <v>0.98750380000000004</v>
      </c>
      <c r="Y329">
        <v>-4.4644929999999999E-2</v>
      </c>
      <c r="Z329">
        <v>7.6460069999999996E-4</v>
      </c>
      <c r="AA329">
        <v>0.99900259999999996</v>
      </c>
      <c r="AB329">
        <v>29</v>
      </c>
      <c r="AC329">
        <v>91.111599999999996</v>
      </c>
      <c r="AD329">
        <v>-1.11076579248399</v>
      </c>
      <c r="AE329">
        <v>4.0054999999999801</v>
      </c>
      <c r="AF329">
        <v>-4.0793203589556999</v>
      </c>
      <c r="AG329">
        <v>-1.11076579248399</v>
      </c>
      <c r="AH329">
        <v>91.0947845811489</v>
      </c>
      <c r="AI329">
        <v>90.697903084555406</v>
      </c>
      <c r="AJ329">
        <v>92.564052309169696</v>
      </c>
      <c r="AK329">
        <v>91.192842005952798</v>
      </c>
      <c r="AL329">
        <v>80.964952368211996</v>
      </c>
      <c r="AM329">
        <v>90.7677307862471</v>
      </c>
      <c r="AN329">
        <v>0.99999999168546405</v>
      </c>
    </row>
    <row r="330" spans="1:40" x14ac:dyDescent="0.25">
      <c r="A330" t="str">
        <f>"20190303161849043"</f>
        <v>20190303161849043</v>
      </c>
      <c r="B330" t="str">
        <f>"1551601129033764"</f>
        <v>1551601129033764</v>
      </c>
      <c r="C330" t="s">
        <v>40</v>
      </c>
      <c r="D330">
        <v>4.5424850000000001</v>
      </c>
      <c r="E330">
        <v>0.4889888</v>
      </c>
      <c r="F330" t="s">
        <v>41</v>
      </c>
      <c r="G330">
        <v>-350.28710000000001</v>
      </c>
      <c r="H330" s="1">
        <v>-4.3843469999999999E-6</v>
      </c>
      <c r="I330">
        <v>370.77789999999999</v>
      </c>
      <c r="J330">
        <v>-437.88510000000002</v>
      </c>
      <c r="K330">
        <v>1.109575</v>
      </c>
      <c r="L330">
        <v>367.00889999999998</v>
      </c>
      <c r="M330">
        <v>0.99973509999999999</v>
      </c>
      <c r="N330">
        <v>-2.3004480000000001E-2</v>
      </c>
      <c r="O330">
        <v>-8.1692609999999997E-4</v>
      </c>
      <c r="P330">
        <v>0.99087780000000003</v>
      </c>
      <c r="Q330">
        <v>0.134235299999999</v>
      </c>
      <c r="R330">
        <v>1.1939170000000001E-2</v>
      </c>
      <c r="S330">
        <v>3.0314329999999998</v>
      </c>
      <c r="T330">
        <v>-3.8360480000000002E-2</v>
      </c>
      <c r="U330">
        <v>0.13015750000000001</v>
      </c>
      <c r="V330">
        <v>-1.2742679999999999E-2</v>
      </c>
      <c r="W330">
        <v>0.15699479999999999</v>
      </c>
      <c r="X330">
        <v>0.98751719999999998</v>
      </c>
      <c r="Y330">
        <v>-4.3702919999999999E-2</v>
      </c>
      <c r="Z330">
        <v>7.7095639999999997E-4</v>
      </c>
      <c r="AA330">
        <v>0.9990443</v>
      </c>
      <c r="AB330">
        <v>29</v>
      </c>
      <c r="AC330">
        <v>87.597999999999999</v>
      </c>
      <c r="AD330">
        <v>-1.1095793843470001</v>
      </c>
      <c r="AE330">
        <v>3.7690000000000001</v>
      </c>
      <c r="AF330">
        <v>-3.83996380420237</v>
      </c>
      <c r="AG330">
        <v>-1.1095793843470001</v>
      </c>
      <c r="AH330">
        <v>87.580864928060805</v>
      </c>
      <c r="AI330">
        <v>90.725156186363293</v>
      </c>
      <c r="AJ330">
        <v>92.510512996467099</v>
      </c>
      <c r="AK330">
        <v>87.672027408831994</v>
      </c>
      <c r="AL330">
        <v>80.967493352127406</v>
      </c>
      <c r="AM330">
        <v>90.739289670506096</v>
      </c>
      <c r="AN330">
        <v>0.99999998170823101</v>
      </c>
    </row>
    <row r="331" spans="1:40" x14ac:dyDescent="0.25">
      <c r="A331" t="str">
        <f>"20190303161849062"</f>
        <v>20190303161849062</v>
      </c>
      <c r="B331" t="str">
        <f>"1551601129053284"</f>
        <v>1551601129053284</v>
      </c>
      <c r="C331" t="s">
        <v>40</v>
      </c>
      <c r="D331">
        <v>4.5269519999999996</v>
      </c>
      <c r="E331">
        <v>0.4891432</v>
      </c>
      <c r="F331" t="s">
        <v>41</v>
      </c>
      <c r="G331">
        <v>-352.92329999999998</v>
      </c>
      <c r="H331" s="1">
        <v>-3.2761540000000001E-6</v>
      </c>
      <c r="I331">
        <v>370.58580000000001</v>
      </c>
      <c r="J331">
        <v>-437.65410000000003</v>
      </c>
      <c r="K331">
        <v>1.10796299999999</v>
      </c>
      <c r="L331">
        <v>367.00869999999998</v>
      </c>
      <c r="M331">
        <v>0.99972110000000003</v>
      </c>
      <c r="N331">
        <v>-2.3603309999999999E-2</v>
      </c>
      <c r="O331">
        <v>-8.1641459999999999E-4</v>
      </c>
      <c r="P331">
        <v>0.99093719999999996</v>
      </c>
      <c r="Q331">
        <v>0.1337719</v>
      </c>
      <c r="R331">
        <v>1.219137E-2</v>
      </c>
      <c r="S331">
        <v>3.0314329999999998</v>
      </c>
      <c r="T331">
        <v>-3.9589640000000002E-2</v>
      </c>
      <c r="U331">
        <v>0.1276245</v>
      </c>
      <c r="V331">
        <v>-1.299433E-2</v>
      </c>
      <c r="W331">
        <v>0.15712429999999999</v>
      </c>
      <c r="X331">
        <v>0.98749330000000002</v>
      </c>
      <c r="Y331">
        <v>-4.2868730000000001E-2</v>
      </c>
      <c r="Z331">
        <v>7.7745989999999997E-4</v>
      </c>
      <c r="AA331">
        <v>0.99908039999999998</v>
      </c>
      <c r="AB331">
        <v>29</v>
      </c>
      <c r="AC331">
        <v>84.730800000000002</v>
      </c>
      <c r="AD331">
        <v>-1.1079662761539999</v>
      </c>
      <c r="AE331">
        <v>3.5771000000000299</v>
      </c>
      <c r="AF331">
        <v>-3.64567128081721</v>
      </c>
      <c r="AG331">
        <v>-1.1079662761539999</v>
      </c>
      <c r="AH331">
        <v>84.713391172097303</v>
      </c>
      <c r="AI331">
        <v>90.748635809594404</v>
      </c>
      <c r="AJ331">
        <v>92.464223962719302</v>
      </c>
      <c r="AK331">
        <v>84.799039807262304</v>
      </c>
      <c r="AL331">
        <v>80.959980088119906</v>
      </c>
      <c r="AM331">
        <v>90.753906176534898</v>
      </c>
      <c r="AN331">
        <v>0.99999995790376295</v>
      </c>
    </row>
    <row r="332" spans="1:40" x14ac:dyDescent="0.25">
      <c r="A332" t="str">
        <f>"20190303161849077"</f>
        <v>20190303161849077</v>
      </c>
      <c r="B332" t="str">
        <f>"1551601129063045"</f>
        <v>1551601129063045</v>
      </c>
      <c r="C332" t="s">
        <v>40</v>
      </c>
      <c r="D332">
        <v>4.5633410000000003</v>
      </c>
      <c r="E332">
        <v>0.48924410000000002</v>
      </c>
      <c r="F332" t="s">
        <v>41</v>
      </c>
      <c r="G332">
        <v>-350.5421</v>
      </c>
      <c r="H332" s="1">
        <v>-4.2780489999999901E-6</v>
      </c>
      <c r="I332">
        <v>370.6678</v>
      </c>
      <c r="J332">
        <v>-437.46170000000001</v>
      </c>
      <c r="K332">
        <v>1.106541</v>
      </c>
      <c r="L332">
        <v>367.0086</v>
      </c>
      <c r="M332">
        <v>0.99971279999999996</v>
      </c>
      <c r="N332">
        <v>-2.395311E-2</v>
      </c>
      <c r="O332">
        <v>-8.1605849999999999E-4</v>
      </c>
      <c r="P332">
        <v>0.99096260000000003</v>
      </c>
      <c r="Q332">
        <v>0.1335865</v>
      </c>
      <c r="R332">
        <v>1.2171919999999999E-2</v>
      </c>
      <c r="S332">
        <v>3.0310969999999999</v>
      </c>
      <c r="T332">
        <v>-3.8552169999999997E-2</v>
      </c>
      <c r="U332">
        <v>0.1273193</v>
      </c>
      <c r="V332">
        <v>-1.2974690000000001E-2</v>
      </c>
      <c r="W332">
        <v>0.15728539999999999</v>
      </c>
      <c r="X332">
        <v>0.98746789999999995</v>
      </c>
      <c r="Y332">
        <v>-4.2772900000000003E-2</v>
      </c>
      <c r="Z332">
        <v>7.753444E-4</v>
      </c>
      <c r="AA332">
        <v>0.99908450000000004</v>
      </c>
      <c r="AB332">
        <v>29</v>
      </c>
      <c r="AC332">
        <v>86.919600000000003</v>
      </c>
      <c r="AD332">
        <v>-1.1065452780489999</v>
      </c>
      <c r="AE332">
        <v>3.65919999999999</v>
      </c>
      <c r="AF332">
        <v>-3.7295472342243299</v>
      </c>
      <c r="AG332">
        <v>-1.1065452780489999</v>
      </c>
      <c r="AH332">
        <v>86.902524678389597</v>
      </c>
      <c r="AI332">
        <v>90.7288470880614</v>
      </c>
      <c r="AJ332">
        <v>92.457423076341001</v>
      </c>
      <c r="AK332">
        <v>86.989555467899706</v>
      </c>
      <c r="AL332">
        <v>80.950633419266197</v>
      </c>
      <c r="AM332">
        <v>90.752786193222406</v>
      </c>
      <c r="AN332">
        <v>0.99999994658208102</v>
      </c>
    </row>
    <row r="333" spans="1:40" x14ac:dyDescent="0.25">
      <c r="A333" t="str">
        <f>"20190303161849095"</f>
        <v>20190303161849095</v>
      </c>
      <c r="B333" t="str">
        <f>"1551601129083541"</f>
        <v>1551601129083541</v>
      </c>
      <c r="C333" t="s">
        <v>40</v>
      </c>
      <c r="D333">
        <v>4.5058410000000002</v>
      </c>
      <c r="E333">
        <v>0.48954560000000003</v>
      </c>
      <c r="F333" t="s">
        <v>41</v>
      </c>
      <c r="G333">
        <v>-356.37029999999999</v>
      </c>
      <c r="H333" s="1">
        <v>-1.742914E-6</v>
      </c>
      <c r="I333">
        <v>370.3809</v>
      </c>
      <c r="J333">
        <v>-437.22559999999999</v>
      </c>
      <c r="K333">
        <v>1.1046910000000001</v>
      </c>
      <c r="L333">
        <v>367.00839999999999</v>
      </c>
      <c r="M333">
        <v>0.99970729999999997</v>
      </c>
      <c r="N333">
        <v>-2.4184230000000001E-2</v>
      </c>
      <c r="O333">
        <v>-8.1587350000000001E-4</v>
      </c>
      <c r="P333">
        <v>0.99092429999999998</v>
      </c>
      <c r="Q333">
        <v>0.1338232</v>
      </c>
      <c r="R333">
        <v>1.2684590000000001E-2</v>
      </c>
      <c r="S333">
        <v>3.0313720000000002</v>
      </c>
      <c r="T333">
        <v>-4.1364909999999998E-2</v>
      </c>
      <c r="U333">
        <v>0.12606809999999999</v>
      </c>
      <c r="V333">
        <v>-1.3486919999999999E-2</v>
      </c>
      <c r="W333">
        <v>0.15774920000000001</v>
      </c>
      <c r="X333">
        <v>0.98738709999999996</v>
      </c>
      <c r="Y333">
        <v>-4.23563E-2</v>
      </c>
      <c r="Z333">
        <v>7.9279169999999996E-4</v>
      </c>
      <c r="AA333">
        <v>0.99910220000000005</v>
      </c>
      <c r="AB333">
        <v>29</v>
      </c>
      <c r="AC333">
        <v>80.8553</v>
      </c>
      <c r="AD333">
        <v>-1.1046927429140001</v>
      </c>
      <c r="AE333">
        <v>3.3725000000000001</v>
      </c>
      <c r="AF333">
        <v>-3.4378452504339299</v>
      </c>
      <c r="AG333">
        <v>-1.1046927429140001</v>
      </c>
      <c r="AH333">
        <v>80.837457309701705</v>
      </c>
      <c r="AI333">
        <v>90.782225776394</v>
      </c>
      <c r="AJ333">
        <v>92.435200318326196</v>
      </c>
      <c r="AK333">
        <v>80.918067391158203</v>
      </c>
      <c r="AL333">
        <v>80.923724154166806</v>
      </c>
      <c r="AM333">
        <v>90.782565968408704</v>
      </c>
      <c r="AN333">
        <v>0.99999999617906798</v>
      </c>
    </row>
    <row r="334" spans="1:40" x14ac:dyDescent="0.25">
      <c r="A334" t="str">
        <f>"20190303161849108"</f>
        <v>20190303161849108</v>
      </c>
      <c r="B334" t="str">
        <f>"1551601129093301"</f>
        <v>1551601129093301</v>
      </c>
      <c r="C334" t="s">
        <v>40</v>
      </c>
      <c r="D334">
        <v>4.4707359999999996</v>
      </c>
      <c r="E334">
        <v>0.4896452</v>
      </c>
      <c r="F334" t="s">
        <v>41</v>
      </c>
      <c r="G334">
        <v>-361.041</v>
      </c>
      <c r="H334" s="1">
        <v>-3.9703799999999996E-6</v>
      </c>
      <c r="I334">
        <v>370.16</v>
      </c>
      <c r="J334">
        <v>-437.05520000000001</v>
      </c>
      <c r="K334">
        <v>1.103291</v>
      </c>
      <c r="L334">
        <v>367.00819999999999</v>
      </c>
      <c r="M334">
        <v>0.99970650000000005</v>
      </c>
      <c r="N334">
        <v>-2.4214469999999998E-2</v>
      </c>
      <c r="O334">
        <v>-8.1553140000000001E-4</v>
      </c>
      <c r="P334">
        <v>0.99093120000000001</v>
      </c>
      <c r="Q334">
        <v>0.13377739999999999</v>
      </c>
      <c r="R334">
        <v>1.261966E-2</v>
      </c>
      <c r="S334">
        <v>3.0318299999999998</v>
      </c>
      <c r="T334">
        <v>-4.396224E-2</v>
      </c>
      <c r="U334">
        <v>0.12542719999999999</v>
      </c>
      <c r="V334">
        <v>-1.342103E-2</v>
      </c>
      <c r="W334">
        <v>0.15773319999999999</v>
      </c>
      <c r="X334">
        <v>0.98739060000000001</v>
      </c>
      <c r="Y334">
        <v>-4.2137979999999998E-2</v>
      </c>
      <c r="Z334">
        <v>8.0797490000000002E-4</v>
      </c>
      <c r="AA334">
        <v>0.99911150000000004</v>
      </c>
      <c r="AB334">
        <v>29</v>
      </c>
      <c r="AC334">
        <v>76.014200000000002</v>
      </c>
      <c r="AD334">
        <v>-1.1032949703799999</v>
      </c>
      <c r="AE334">
        <v>3.1518000000000299</v>
      </c>
      <c r="AF334">
        <v>-3.2131333623222602</v>
      </c>
      <c r="AG334">
        <v>-1.1032949703799999</v>
      </c>
      <c r="AH334">
        <v>75.995621367692095</v>
      </c>
      <c r="AI334">
        <v>90.831012221662803</v>
      </c>
      <c r="AJ334">
        <v>92.421052606716401</v>
      </c>
      <c r="AK334">
        <v>76.071518670638795</v>
      </c>
      <c r="AL334">
        <v>80.924652925788493</v>
      </c>
      <c r="AM334">
        <v>90.778740474459298</v>
      </c>
      <c r="AN334">
        <v>1.0000000416984201</v>
      </c>
    </row>
    <row r="335" spans="1:40" x14ac:dyDescent="0.25">
      <c r="A335" t="str">
        <f>"20190303161849123"</f>
        <v>20190303161849123</v>
      </c>
      <c r="B335" t="str">
        <f>"1551601129112820"</f>
        <v>1551601129112820</v>
      </c>
      <c r="C335" t="s">
        <v>40</v>
      </c>
      <c r="D335">
        <v>4.4413660000000004</v>
      </c>
      <c r="E335">
        <v>0.48960110000000001</v>
      </c>
      <c r="F335" t="s">
        <v>41</v>
      </c>
      <c r="G335">
        <v>-364.03609999999998</v>
      </c>
      <c r="H335" s="1">
        <v>-2.6456679999999999E-6</v>
      </c>
      <c r="I335">
        <v>370.01029999999997</v>
      </c>
      <c r="J335">
        <v>-436.85840000000002</v>
      </c>
      <c r="K335">
        <v>1.101593</v>
      </c>
      <c r="L335">
        <v>367.00810000000001</v>
      </c>
      <c r="M335">
        <v>0.99970979999999998</v>
      </c>
      <c r="N335">
        <v>-2.4076839999999999E-2</v>
      </c>
      <c r="O335">
        <v>-8.1542520000000001E-4</v>
      </c>
      <c r="P335">
        <v>0.99086169999999996</v>
      </c>
      <c r="Q335">
        <v>0.13426729999999901</v>
      </c>
      <c r="R335">
        <v>1.2863650000000001E-2</v>
      </c>
      <c r="S335">
        <v>3.0320740000000002</v>
      </c>
      <c r="T335">
        <v>-4.5813560000000003E-2</v>
      </c>
      <c r="U335">
        <v>0.12466430000000001</v>
      </c>
      <c r="V335">
        <v>-1.366508E-2</v>
      </c>
      <c r="W335">
        <v>0.1580859</v>
      </c>
      <c r="X335">
        <v>0.98733079999999995</v>
      </c>
      <c r="Y335">
        <v>-4.188302E-2</v>
      </c>
      <c r="Z335">
        <v>8.1352009999999903E-4</v>
      </c>
      <c r="AA335">
        <v>0.99912219999999996</v>
      </c>
      <c r="AB335">
        <v>29</v>
      </c>
      <c r="AC335">
        <v>72.822299999999998</v>
      </c>
      <c r="AD335">
        <v>-1.1015956456680001</v>
      </c>
      <c r="AE335">
        <v>3.0021999999999598</v>
      </c>
      <c r="AF335">
        <v>-3.0608981163098199</v>
      </c>
      <c r="AG335">
        <v>-1.1015956456680001</v>
      </c>
      <c r="AH335">
        <v>72.803195605147593</v>
      </c>
      <c r="AI335">
        <v>90.866119499190802</v>
      </c>
      <c r="AJ335">
        <v>92.407494845018903</v>
      </c>
      <c r="AK335">
        <v>72.8758389355921</v>
      </c>
      <c r="AL335">
        <v>80.904187536582498</v>
      </c>
      <c r="AM335">
        <v>90.792947432682993</v>
      </c>
      <c r="AN335">
        <v>0.99999999740942802</v>
      </c>
    </row>
    <row r="336" spans="1:40" x14ac:dyDescent="0.25">
      <c r="A336" t="str">
        <f>"20190303161849141"</f>
        <v>20190303161849141</v>
      </c>
      <c r="B336" t="str">
        <f>"1551601129133317"</f>
        <v>1551601129133317</v>
      </c>
      <c r="C336" t="s">
        <v>40</v>
      </c>
      <c r="D336">
        <v>4.4398200000000001</v>
      </c>
      <c r="E336">
        <v>0.4897495</v>
      </c>
      <c r="F336" t="s">
        <v>41</v>
      </c>
      <c r="G336">
        <v>-361.47660000000002</v>
      </c>
      <c r="H336" s="1">
        <v>-3.7761710000000002E-6</v>
      </c>
      <c r="I336">
        <v>370.13240000000002</v>
      </c>
      <c r="J336">
        <v>-436.63529999999997</v>
      </c>
      <c r="K336">
        <v>1.099599</v>
      </c>
      <c r="L336">
        <v>367.00790000000001</v>
      </c>
      <c r="M336">
        <v>0.9997163</v>
      </c>
      <c r="N336">
        <v>-2.3806319999999999E-2</v>
      </c>
      <c r="O336">
        <v>-8.1386589999999997E-4</v>
      </c>
      <c r="P336">
        <v>0.99077289999999996</v>
      </c>
      <c r="Q336">
        <v>0.1348607</v>
      </c>
      <c r="R336">
        <v>1.3478830000000001E-2</v>
      </c>
      <c r="S336">
        <v>3.0320130000000001</v>
      </c>
      <c r="T336">
        <v>-4.4308420000000001E-2</v>
      </c>
      <c r="U336">
        <v>0.12567139999999999</v>
      </c>
      <c r="V336">
        <v>-1.4278249999999999E-2</v>
      </c>
      <c r="W336">
        <v>0.15840979999999999</v>
      </c>
      <c r="X336">
        <v>0.98727019999999999</v>
      </c>
      <c r="Y336">
        <v>-4.2214120000000001E-2</v>
      </c>
      <c r="Z336">
        <v>8.0365619999999999E-4</v>
      </c>
      <c r="AA336">
        <v>0.99910829999999995</v>
      </c>
      <c r="AB336">
        <v>29</v>
      </c>
      <c r="AC336">
        <v>75.158699999999897</v>
      </c>
      <c r="AD336">
        <v>-1.0996027761710001</v>
      </c>
      <c r="AE336">
        <v>3.12450000000001</v>
      </c>
      <c r="AF336">
        <v>-3.18500483514639</v>
      </c>
      <c r="AG336">
        <v>-1.0996027761710001</v>
      </c>
      <c r="AH336">
        <v>75.140075542188001</v>
      </c>
      <c r="AI336">
        <v>90.837656744147296</v>
      </c>
      <c r="AJ336">
        <v>92.427175633316594</v>
      </c>
      <c r="AK336">
        <v>75.215585715667899</v>
      </c>
      <c r="AL336">
        <v>80.885392542806301</v>
      </c>
      <c r="AM336">
        <v>90.828574015812194</v>
      </c>
      <c r="AN336">
        <v>0.99999999048357102</v>
      </c>
    </row>
    <row r="337" spans="1:40" x14ac:dyDescent="0.25">
      <c r="A337" t="str">
        <f>"20190303161849163"</f>
        <v>20190303161849163</v>
      </c>
      <c r="B337" t="str">
        <f>"1551601129152836"</f>
        <v>1551601129152836</v>
      </c>
      <c r="C337" t="s">
        <v>40</v>
      </c>
      <c r="D337">
        <v>4.4227610000000004</v>
      </c>
      <c r="E337">
        <v>0.48996590000000001</v>
      </c>
      <c r="F337" t="s">
        <v>41</v>
      </c>
      <c r="G337">
        <v>-356.7638</v>
      </c>
      <c r="H337" s="1">
        <v>-1.560258E-6</v>
      </c>
      <c r="I337">
        <v>370.32889999999998</v>
      </c>
      <c r="J337">
        <v>-436.34269999999998</v>
      </c>
      <c r="K337">
        <v>1.096938</v>
      </c>
      <c r="L337">
        <v>367.00760000000002</v>
      </c>
      <c r="M337">
        <v>0.99972629999999996</v>
      </c>
      <c r="N337">
        <v>-2.3379460000000001E-2</v>
      </c>
      <c r="O337">
        <v>-8.1181359999999998E-4</v>
      </c>
      <c r="P337">
        <v>0.99071410000000004</v>
      </c>
      <c r="Q337">
        <v>0.135257399999999</v>
      </c>
      <c r="R337">
        <v>1.3826389999999999E-2</v>
      </c>
      <c r="S337">
        <v>3.0319210000000001</v>
      </c>
      <c r="T337">
        <v>-4.1740779999999998E-2</v>
      </c>
      <c r="U337">
        <v>0.12606809999999999</v>
      </c>
      <c r="V337">
        <v>-1.4623860000000001E-2</v>
      </c>
      <c r="W337">
        <v>0.15838339999999901</v>
      </c>
      <c r="X337">
        <v>0.98726939999999996</v>
      </c>
      <c r="Y337">
        <v>-4.234483E-2</v>
      </c>
      <c r="Z337">
        <v>7.7888389999999897E-4</v>
      </c>
      <c r="AA337">
        <v>0.99910279999999996</v>
      </c>
      <c r="AB337">
        <v>29</v>
      </c>
      <c r="AC337">
        <v>79.578899999999905</v>
      </c>
      <c r="AD337">
        <v>-1.0969395602580001</v>
      </c>
      <c r="AE337">
        <v>3.3212999999999502</v>
      </c>
      <c r="AF337">
        <v>-3.3852776958162099</v>
      </c>
      <c r="AG337">
        <v>-1.0969395602580001</v>
      </c>
      <c r="AH337">
        <v>79.5610858746373</v>
      </c>
      <c r="AI337">
        <v>90.789195106607906</v>
      </c>
      <c r="AJ337">
        <v>92.436432286196293</v>
      </c>
      <c r="AK337">
        <v>79.640628871374801</v>
      </c>
      <c r="AL337">
        <v>80.886924702239895</v>
      </c>
      <c r="AM337">
        <v>90.848627726771198</v>
      </c>
      <c r="AN337">
        <v>1.0000000134266001</v>
      </c>
    </row>
    <row r="338" spans="1:40" x14ac:dyDescent="0.25">
      <c r="A338" t="str">
        <f>"20190303161849184"</f>
        <v>20190303161849184</v>
      </c>
      <c r="B338" t="str">
        <f>"1551601129173333"</f>
        <v>1551601129173333</v>
      </c>
      <c r="C338" t="s">
        <v>40</v>
      </c>
      <c r="D338">
        <v>4.4010769999999999</v>
      </c>
      <c r="E338">
        <v>0.49014029999999997</v>
      </c>
      <c r="F338" t="s">
        <v>41</v>
      </c>
      <c r="G338">
        <v>-353.40519999999998</v>
      </c>
      <c r="H338" s="1">
        <v>-3.028713E-6</v>
      </c>
      <c r="I338">
        <v>370.43279999999999</v>
      </c>
      <c r="J338">
        <v>-436.07940000000002</v>
      </c>
      <c r="K338">
        <v>1.0945339999999999</v>
      </c>
      <c r="L338">
        <v>367.00740000000002</v>
      </c>
      <c r="M338">
        <v>0.99973769999999995</v>
      </c>
      <c r="N338">
        <v>-2.289476E-2</v>
      </c>
      <c r="O338">
        <v>-8.1143630000000001E-4</v>
      </c>
      <c r="P338">
        <v>0.99063290000000004</v>
      </c>
      <c r="Q338">
        <v>0.135824</v>
      </c>
      <c r="R338">
        <v>1.4092739999999999E-2</v>
      </c>
      <c r="S338">
        <v>3.0318299999999998</v>
      </c>
      <c r="T338">
        <v>-4.0099259999999998E-2</v>
      </c>
      <c r="U338">
        <v>0.12521360000000001</v>
      </c>
      <c r="V338">
        <v>-1.48901E-2</v>
      </c>
      <c r="W338">
        <v>0.1584691</v>
      </c>
      <c r="X338">
        <v>0.98725160000000001</v>
      </c>
      <c r="Y338">
        <v>-4.2065369999999998E-2</v>
      </c>
      <c r="Z338">
        <v>7.5206809999999998E-4</v>
      </c>
      <c r="AA338">
        <v>0.99911459999999996</v>
      </c>
      <c r="AB338">
        <v>29</v>
      </c>
      <c r="AC338">
        <v>82.674199999999999</v>
      </c>
      <c r="AD338">
        <v>-1.0945370287130001</v>
      </c>
      <c r="AE338">
        <v>3.4253999999999598</v>
      </c>
      <c r="AF338">
        <v>-3.49189030400811</v>
      </c>
      <c r="AG338">
        <v>-1.0945370287130001</v>
      </c>
      <c r="AH338">
        <v>82.656929649060601</v>
      </c>
      <c r="AI338">
        <v>90.757986184057003</v>
      </c>
      <c r="AJ338">
        <v>92.419055290328401</v>
      </c>
      <c r="AK338">
        <v>82.7378953576425</v>
      </c>
      <c r="AL338">
        <v>80.881951030336296</v>
      </c>
      <c r="AM338">
        <v>90.864090982633499</v>
      </c>
      <c r="AN338">
        <v>0.99999994621768795</v>
      </c>
    </row>
    <row r="339" spans="1:40" x14ac:dyDescent="0.25">
      <c r="A339" t="str">
        <f>"20190303161849197"</f>
        <v>20190303161849197</v>
      </c>
      <c r="B339" t="str">
        <f>"1551601129192853"</f>
        <v>1551601129192853</v>
      </c>
      <c r="C339" t="s">
        <v>40</v>
      </c>
      <c r="D339">
        <v>4.3726019999999997</v>
      </c>
      <c r="E339">
        <v>0.49030620000000003</v>
      </c>
      <c r="F339" t="s">
        <v>41</v>
      </c>
      <c r="G339">
        <v>-345.39499999999998</v>
      </c>
      <c r="H339" s="1">
        <v>-2.4567819999999999E-6</v>
      </c>
      <c r="I339">
        <v>370.74189999999999</v>
      </c>
      <c r="J339">
        <v>-435.90890000000002</v>
      </c>
      <c r="K339">
        <v>1.092994</v>
      </c>
      <c r="L339">
        <v>367.00720000000001</v>
      </c>
      <c r="M339">
        <v>0.99974660000000004</v>
      </c>
      <c r="N339">
        <v>-2.250073E-2</v>
      </c>
      <c r="O339">
        <v>-8.1171759999999998E-4</v>
      </c>
      <c r="P339">
        <v>0.99059430000000004</v>
      </c>
      <c r="Q339">
        <v>0.1361019</v>
      </c>
      <c r="R339">
        <v>1.413496E-2</v>
      </c>
      <c r="S339">
        <v>3.0316160000000001</v>
      </c>
      <c r="T339">
        <v>-3.6590810000000001E-2</v>
      </c>
      <c r="U339">
        <v>0.1248474</v>
      </c>
      <c r="V339">
        <v>-1.4932269999999999E-2</v>
      </c>
      <c r="W339">
        <v>0.158357</v>
      </c>
      <c r="X339">
        <v>0.98726899999999995</v>
      </c>
      <c r="Y339">
        <v>-4.1949350000000003E-2</v>
      </c>
      <c r="Z339">
        <v>7.168303E-4</v>
      </c>
      <c r="AA339">
        <v>0.99911950000000005</v>
      </c>
      <c r="AB339">
        <v>29</v>
      </c>
      <c r="AC339">
        <v>90.513900000000007</v>
      </c>
      <c r="AD339">
        <v>-1.0929964567820001</v>
      </c>
      <c r="AE339">
        <v>3.7346999999999699</v>
      </c>
      <c r="AF339">
        <v>-3.8076348202043899</v>
      </c>
      <c r="AG339">
        <v>-1.0929964567820001</v>
      </c>
      <c r="AH339">
        <v>90.497664243189206</v>
      </c>
      <c r="AI339">
        <v>90.691351440605999</v>
      </c>
      <c r="AJ339">
        <v>92.409264479198299</v>
      </c>
      <c r="AK339">
        <v>90.584325121135507</v>
      </c>
      <c r="AL339">
        <v>80.888456477164695</v>
      </c>
      <c r="AM339">
        <v>90.866522517586503</v>
      </c>
      <c r="AN339">
        <v>0.999999995248676</v>
      </c>
    </row>
    <row r="340" spans="1:40" x14ac:dyDescent="0.25">
      <c r="A340" t="str">
        <f>"20190303161849210"</f>
        <v>20190303161849210</v>
      </c>
      <c r="B340" t="str">
        <f>"1551601129203589"</f>
        <v>1551601129203589</v>
      </c>
      <c r="C340" t="s">
        <v>40</v>
      </c>
      <c r="D340">
        <v>4.3675050000000004</v>
      </c>
      <c r="E340">
        <v>0.49039519999999998</v>
      </c>
      <c r="F340" t="s">
        <v>41</v>
      </c>
      <c r="G340">
        <v>-339.47160000000002</v>
      </c>
      <c r="H340" s="1">
        <v>-5.6274329999999998E-7</v>
      </c>
      <c r="I340">
        <v>370.94580000000002</v>
      </c>
      <c r="J340">
        <v>-435.73820000000001</v>
      </c>
      <c r="K340">
        <v>1.091475</v>
      </c>
      <c r="L340">
        <v>367.00709999999998</v>
      </c>
      <c r="M340">
        <v>0.99975619999999998</v>
      </c>
      <c r="N340">
        <v>-2.2070590000000001E-2</v>
      </c>
      <c r="O340">
        <v>-8.1227440000000001E-4</v>
      </c>
      <c r="P340">
        <v>0.99053999999999998</v>
      </c>
      <c r="Q340">
        <v>0.1365094</v>
      </c>
      <c r="R340">
        <v>1.3997610000000001E-2</v>
      </c>
      <c r="S340">
        <v>3.0314329999999998</v>
      </c>
      <c r="T340">
        <v>-3.4357430000000001E-2</v>
      </c>
      <c r="U340">
        <v>0.1238098</v>
      </c>
      <c r="V340">
        <v>-1.4795320000000001E-2</v>
      </c>
      <c r="W340">
        <v>0.1583387</v>
      </c>
      <c r="X340">
        <v>0.98727399999999998</v>
      </c>
      <c r="Y340">
        <v>-4.1611849999999999E-2</v>
      </c>
      <c r="Z340">
        <v>6.8647199999999895E-4</v>
      </c>
      <c r="AA340">
        <v>0.99913359999999996</v>
      </c>
      <c r="AB340">
        <v>29</v>
      </c>
      <c r="AC340">
        <v>96.266599999999897</v>
      </c>
      <c r="AD340">
        <v>-1.0914755627432999</v>
      </c>
      <c r="AE340">
        <v>3.9387000000000398</v>
      </c>
      <c r="AF340">
        <v>-4.0163971869480903</v>
      </c>
      <c r="AG340">
        <v>-1.0914755627432999</v>
      </c>
      <c r="AH340">
        <v>96.251015618897995</v>
      </c>
      <c r="AI340">
        <v>90.649134909947804</v>
      </c>
      <c r="AJ340">
        <v>92.3894727560387</v>
      </c>
      <c r="AK340">
        <v>96.340961033906694</v>
      </c>
      <c r="AL340">
        <v>80.889518415164801</v>
      </c>
      <c r="AM340">
        <v>90.858572130170202</v>
      </c>
      <c r="AN340">
        <v>0.99999999824379604</v>
      </c>
    </row>
    <row r="341" spans="1:40" x14ac:dyDescent="0.25">
      <c r="A341" t="str">
        <f>"20190303161849228"</f>
        <v>20190303161849228</v>
      </c>
      <c r="B341" t="str">
        <f>"1551601129223109"</f>
        <v>1551601129223109</v>
      </c>
      <c r="C341" t="s">
        <v>40</v>
      </c>
      <c r="D341">
        <v>4.3719010000000003</v>
      </c>
      <c r="E341">
        <v>0.49052659999999998</v>
      </c>
      <c r="F341" t="s">
        <v>41</v>
      </c>
      <c r="G341">
        <v>-332.91480000000001</v>
      </c>
      <c r="H341" s="1">
        <v>-3.433405E-6</v>
      </c>
      <c r="I341">
        <v>371.16320000000002</v>
      </c>
      <c r="J341">
        <v>-435.49979999999999</v>
      </c>
      <c r="K341">
        <v>1.0894219999999999</v>
      </c>
      <c r="L341">
        <v>367.00689999999997</v>
      </c>
      <c r="M341">
        <v>0.99977079999999996</v>
      </c>
      <c r="N341">
        <v>-2.140187E-2</v>
      </c>
      <c r="O341">
        <v>-8.1321490000000002E-4</v>
      </c>
      <c r="P341">
        <v>0.99048840000000005</v>
      </c>
      <c r="Q341">
        <v>0.13691400000000001</v>
      </c>
      <c r="R341">
        <v>1.3691210000000001E-2</v>
      </c>
      <c r="S341">
        <v>3.031342</v>
      </c>
      <c r="T341">
        <v>-3.217793E-2</v>
      </c>
      <c r="U341">
        <v>0.1225281</v>
      </c>
      <c r="V341">
        <v>-1.448992E-2</v>
      </c>
      <c r="W341">
        <v>0.15808159999999999</v>
      </c>
      <c r="X341">
        <v>0.98731970000000002</v>
      </c>
      <c r="Y341">
        <v>-4.1193109999999998E-2</v>
      </c>
      <c r="Z341">
        <v>6.508401E-4</v>
      </c>
      <c r="AA341">
        <v>0.99915100000000001</v>
      </c>
      <c r="AB341">
        <v>29</v>
      </c>
      <c r="AC341">
        <v>102.584999999999</v>
      </c>
      <c r="AD341">
        <v>-1.089425433405</v>
      </c>
      <c r="AE341">
        <v>4.1563000000000399</v>
      </c>
      <c r="AF341">
        <v>-4.2392640576502103</v>
      </c>
      <c r="AG341">
        <v>-1.089425433405</v>
      </c>
      <c r="AH341">
        <v>102.570036561488</v>
      </c>
      <c r="AI341">
        <v>90.6080127885634</v>
      </c>
      <c r="AJ341">
        <v>92.366712398747794</v>
      </c>
      <c r="AK341">
        <v>102.663384942005</v>
      </c>
      <c r="AL341">
        <v>80.904436794638997</v>
      </c>
      <c r="AM341">
        <v>90.840813430584504</v>
      </c>
      <c r="AN341">
        <v>0.99999997002412699</v>
      </c>
    </row>
    <row r="342" spans="1:40" x14ac:dyDescent="0.25">
      <c r="A342" t="str">
        <f>"20190303161849241"</f>
        <v>20190303161849241</v>
      </c>
      <c r="B342" t="str">
        <f>"1551601129232868"</f>
        <v>1551601129232868</v>
      </c>
      <c r="C342" t="s">
        <v>40</v>
      </c>
      <c r="D342">
        <v>4.3514229999999996</v>
      </c>
      <c r="E342">
        <v>0.49061379999999999</v>
      </c>
      <c r="F342" t="s">
        <v>41</v>
      </c>
      <c r="G342">
        <v>-323.36610000000002</v>
      </c>
      <c r="H342" s="1">
        <v>-3.3174210000000001E-6</v>
      </c>
      <c r="I342">
        <v>371.45479999999998</v>
      </c>
      <c r="J342">
        <v>-435.32619999999997</v>
      </c>
      <c r="K342">
        <v>1.0879859999999999</v>
      </c>
      <c r="L342">
        <v>367.0068</v>
      </c>
      <c r="M342">
        <v>0.9997817</v>
      </c>
      <c r="N342">
        <v>-2.0886950000000001E-2</v>
      </c>
      <c r="O342">
        <v>-8.1372270000000003E-4</v>
      </c>
      <c r="P342">
        <v>0.99044699999999997</v>
      </c>
      <c r="Q342">
        <v>0.13721710000000001</v>
      </c>
      <c r="R342">
        <v>1.365835E-2</v>
      </c>
      <c r="S342">
        <v>3.03125</v>
      </c>
      <c r="T342">
        <v>-2.9449820000000002E-2</v>
      </c>
      <c r="U342">
        <v>0.12023929999999999</v>
      </c>
      <c r="V342">
        <v>-1.4457920000000001E-2</v>
      </c>
      <c r="W342">
        <v>0.1578753</v>
      </c>
      <c r="X342">
        <v>0.98735320000000004</v>
      </c>
      <c r="Y342">
        <v>-4.0442569999999997E-2</v>
      </c>
      <c r="Z342">
        <v>6.0989129999999999E-4</v>
      </c>
      <c r="AA342">
        <v>0.99918169999999995</v>
      </c>
      <c r="AB342">
        <v>29</v>
      </c>
      <c r="AC342">
        <v>111.960099999999</v>
      </c>
      <c r="AD342">
        <v>-1.087989317421</v>
      </c>
      <c r="AE342">
        <v>4.4479999999999702</v>
      </c>
      <c r="AF342">
        <v>-4.53869493778289</v>
      </c>
      <c r="AG342">
        <v>-1.087989317421</v>
      </c>
      <c r="AH342">
        <v>111.945887988517</v>
      </c>
      <c r="AI342">
        <v>90.556376548557495</v>
      </c>
      <c r="AJ342">
        <v>92.321708474900305</v>
      </c>
      <c r="AK342">
        <v>112.043140397039</v>
      </c>
      <c r="AL342">
        <v>80.916407430729706</v>
      </c>
      <c r="AM342">
        <v>90.838928356193705</v>
      </c>
      <c r="AN342">
        <v>0.999999991675528</v>
      </c>
    </row>
    <row r="343" spans="1:40" x14ac:dyDescent="0.25">
      <c r="A343" t="str">
        <f>"20190303161849255"</f>
        <v>20190303161849255</v>
      </c>
      <c r="B343" t="str">
        <f>"1551601129243604"</f>
        <v>1551601129243604</v>
      </c>
      <c r="C343" t="s">
        <v>40</v>
      </c>
      <c r="D343">
        <v>4.3516949999999897</v>
      </c>
      <c r="E343">
        <v>0.49065819999999999</v>
      </c>
      <c r="F343" t="s">
        <v>44</v>
      </c>
      <c r="G343">
        <v>-311.21499999999997</v>
      </c>
      <c r="H343">
        <v>-0.05</v>
      </c>
      <c r="I343">
        <v>371.90879999999999</v>
      </c>
      <c r="J343">
        <v>-435.15640000000002</v>
      </c>
      <c r="K343">
        <v>1.0866659999999999</v>
      </c>
      <c r="L343">
        <v>367.00659999999999</v>
      </c>
      <c r="M343">
        <v>0.99979200000000001</v>
      </c>
      <c r="N343">
        <v>-2.0380430000000001E-2</v>
      </c>
      <c r="O343">
        <v>-8.1373549999999995E-4</v>
      </c>
      <c r="P343">
        <v>0.9904037</v>
      </c>
      <c r="Q343">
        <v>0.13753489999999999</v>
      </c>
      <c r="R343">
        <v>1.360833E-2</v>
      </c>
      <c r="S343">
        <v>3.031158</v>
      </c>
      <c r="T343">
        <v>-2.779293E-2</v>
      </c>
      <c r="U343">
        <v>0.11972049999999999</v>
      </c>
      <c r="V343">
        <v>-1.4407970000000001E-2</v>
      </c>
      <c r="W343">
        <v>0.15769169999999999</v>
      </c>
      <c r="X343">
        <v>0.98738320000000002</v>
      </c>
      <c r="Y343">
        <v>-4.0273580000000003E-2</v>
      </c>
      <c r="Z343">
        <v>5.8606499999999998E-4</v>
      </c>
      <c r="AA343">
        <v>0.99918850000000003</v>
      </c>
      <c r="AB343">
        <v>29</v>
      </c>
      <c r="AC343">
        <v>123.9414</v>
      </c>
      <c r="AD343">
        <v>-1.136666</v>
      </c>
      <c r="AE343">
        <v>4.9021999999999899</v>
      </c>
      <c r="AF343">
        <v>-5.0026547404414501</v>
      </c>
      <c r="AG343">
        <v>-1.136666</v>
      </c>
      <c r="AH343">
        <v>123.926962161641</v>
      </c>
      <c r="AI343">
        <v>90.525078183324496</v>
      </c>
      <c r="AJ343">
        <v>92.311647572293893</v>
      </c>
      <c r="AK343">
        <v>124.03310249550501</v>
      </c>
      <c r="AL343">
        <v>80.927059746965398</v>
      </c>
      <c r="AM343">
        <v>90.836004995668304</v>
      </c>
      <c r="AN343">
        <v>0.99999992274532201</v>
      </c>
    </row>
    <row r="344" spans="1:40" x14ac:dyDescent="0.25">
      <c r="A344" t="str">
        <f>"20190303161849273"</f>
        <v>20190303161849273</v>
      </c>
      <c r="B344" t="str">
        <f>"1551601129263125"</f>
        <v>1551601129263125</v>
      </c>
      <c r="C344" t="s">
        <v>40</v>
      </c>
      <c r="D344">
        <v>4.3784879999999999</v>
      </c>
      <c r="E344">
        <v>0.49081429999999998</v>
      </c>
      <c r="F344" t="s">
        <v>44</v>
      </c>
      <c r="G344">
        <v>-303.23739999999998</v>
      </c>
      <c r="H344">
        <v>-0.05</v>
      </c>
      <c r="I344">
        <v>372.19720000000001</v>
      </c>
      <c r="J344">
        <v>-434.92660000000001</v>
      </c>
      <c r="K344">
        <v>1.0849799999999901</v>
      </c>
      <c r="L344">
        <v>367.00639999999999</v>
      </c>
      <c r="M344">
        <v>0.99980570000000002</v>
      </c>
      <c r="N344">
        <v>-1.970363E-2</v>
      </c>
      <c r="O344">
        <v>-8.1362030000000003E-4</v>
      </c>
      <c r="P344">
        <v>0.99038919999999997</v>
      </c>
      <c r="Q344">
        <v>0.13768150000000001</v>
      </c>
      <c r="R344">
        <v>1.317428E-2</v>
      </c>
      <c r="S344">
        <v>3.0310670000000002</v>
      </c>
      <c r="T344">
        <v>-2.611685E-2</v>
      </c>
      <c r="U344">
        <v>0.1192627</v>
      </c>
      <c r="V344">
        <v>-1.3973640000000001E-2</v>
      </c>
      <c r="W344">
        <v>0.15716949999999999</v>
      </c>
      <c r="X344">
        <v>0.98747280000000004</v>
      </c>
      <c r="Y344">
        <v>-4.012454E-2</v>
      </c>
      <c r="Z344">
        <v>5.5928990000000001E-4</v>
      </c>
      <c r="AA344">
        <v>0.99919449999999999</v>
      </c>
      <c r="AB344">
        <v>29</v>
      </c>
      <c r="AC344">
        <v>131.6892</v>
      </c>
      <c r="AD344">
        <v>-1.1349800000000001</v>
      </c>
      <c r="AE344">
        <v>5.1908000000000198</v>
      </c>
      <c r="AF344">
        <v>-5.2975711775318501</v>
      </c>
      <c r="AG344">
        <v>-1.1349800000000001</v>
      </c>
      <c r="AH344">
        <v>131.67516648284601</v>
      </c>
      <c r="AI344">
        <v>90.493452134243199</v>
      </c>
      <c r="AJ344">
        <v>92.3038882045864</v>
      </c>
      <c r="AK344">
        <v>131.786577117196</v>
      </c>
      <c r="AL344">
        <v>80.957358326089505</v>
      </c>
      <c r="AM344">
        <v>90.810733380422306</v>
      </c>
      <c r="AN344">
        <v>1.0000000225424599</v>
      </c>
    </row>
    <row r="345" spans="1:40" x14ac:dyDescent="0.25">
      <c r="A345" t="str">
        <f>"20190303161849287"</f>
        <v>20190303161849287</v>
      </c>
      <c r="B345" t="str">
        <f>"1551601129283621"</f>
        <v>1551601129283621</v>
      </c>
      <c r="C345" t="s">
        <v>40</v>
      </c>
      <c r="D345">
        <v>4.312011</v>
      </c>
      <c r="E345">
        <v>0.5068648</v>
      </c>
      <c r="F345" t="s">
        <v>44</v>
      </c>
      <c r="G345">
        <v>-300.95319999999998</v>
      </c>
      <c r="H345">
        <v>-0.05</v>
      </c>
      <c r="I345">
        <v>372.17380000000003</v>
      </c>
      <c r="J345">
        <v>-434.74970000000002</v>
      </c>
      <c r="K345">
        <v>1.0837650000000001</v>
      </c>
      <c r="L345">
        <v>367.00630000000001</v>
      </c>
      <c r="M345">
        <v>0.99981549999999997</v>
      </c>
      <c r="N345">
        <v>-1.9194869999999999E-2</v>
      </c>
      <c r="O345">
        <v>-8.1355309999999999E-4</v>
      </c>
      <c r="P345">
        <v>0.99032279999999995</v>
      </c>
      <c r="Q345">
        <v>0.1381648</v>
      </c>
      <c r="R345">
        <v>1.3094359999999999E-2</v>
      </c>
      <c r="S345">
        <v>3.031158</v>
      </c>
      <c r="T345">
        <v>-2.5678989999999999E-2</v>
      </c>
      <c r="U345">
        <v>0.1169128</v>
      </c>
      <c r="V345">
        <v>-1.3893640000000001E-2</v>
      </c>
      <c r="W345">
        <v>0.15714879999999901</v>
      </c>
      <c r="X345">
        <v>0.98747720000000005</v>
      </c>
      <c r="Y345">
        <v>-3.9350110000000001E-2</v>
      </c>
      <c r="Z345">
        <v>5.3575080000000004E-4</v>
      </c>
      <c r="AA345">
        <v>0.99922529999999998</v>
      </c>
      <c r="AB345">
        <v>29</v>
      </c>
      <c r="AC345">
        <v>133.79650000000001</v>
      </c>
      <c r="AD345">
        <v>-1.1337649999999999</v>
      </c>
      <c r="AE345">
        <v>5.1675000000000102</v>
      </c>
      <c r="AF345">
        <v>-5.2759906173058697</v>
      </c>
      <c r="AG345">
        <v>-1.1337649999999999</v>
      </c>
      <c r="AH345">
        <v>133.78265889799499</v>
      </c>
      <c r="AI345">
        <v>90.485174550676106</v>
      </c>
      <c r="AJ345">
        <v>92.258404994590606</v>
      </c>
      <c r="AK345">
        <v>133.89145350576501</v>
      </c>
      <c r="AL345">
        <v>80.958559062855301</v>
      </c>
      <c r="AM345">
        <v>90.806088901870396</v>
      </c>
      <c r="AN345">
        <v>0.99999999954686403</v>
      </c>
    </row>
    <row r="346" spans="1:40" x14ac:dyDescent="0.25">
      <c r="A346" t="str">
        <f>"20190303161849300"</f>
        <v>20190303161849300</v>
      </c>
      <c r="B346" t="str">
        <f>"1551601129293381"</f>
        <v>1551601129293381</v>
      </c>
      <c r="C346" t="s">
        <v>40</v>
      </c>
      <c r="D346">
        <v>4.3396530000000002</v>
      </c>
      <c r="E346">
        <v>0.50708500000000001</v>
      </c>
      <c r="F346" t="s">
        <v>41</v>
      </c>
      <c r="G346">
        <v>-380.59649999999999</v>
      </c>
      <c r="H346" s="1">
        <v>-4.51381199999999E-6</v>
      </c>
      <c r="I346">
        <v>366.81200000000001</v>
      </c>
      <c r="J346">
        <v>-434.58080000000001</v>
      </c>
      <c r="K346">
        <v>1.0827</v>
      </c>
      <c r="L346">
        <v>367.00619999999998</v>
      </c>
      <c r="M346">
        <v>0.99982420000000005</v>
      </c>
      <c r="N346">
        <v>-1.87306E-2</v>
      </c>
      <c r="O346">
        <v>-8.1319580000000001E-4</v>
      </c>
      <c r="P346">
        <v>0.99024650000000003</v>
      </c>
      <c r="Q346">
        <v>0.13875580000000001</v>
      </c>
      <c r="R346">
        <v>1.260766E-2</v>
      </c>
      <c r="S346">
        <v>3.0379330000000002</v>
      </c>
      <c r="T346">
        <v>-6.0798169999999999E-2</v>
      </c>
      <c r="U346">
        <v>-1.089478E-2</v>
      </c>
      <c r="V346">
        <v>-1.340648E-2</v>
      </c>
      <c r="W346">
        <v>0.15727969999999999</v>
      </c>
      <c r="X346">
        <v>0.98746310000000004</v>
      </c>
      <c r="Y346">
        <v>2.771815E-3</v>
      </c>
      <c r="Z346" s="1">
        <v>-5.2659589999999999E-5</v>
      </c>
      <c r="AA346">
        <v>0.9999962</v>
      </c>
      <c r="AB346">
        <v>29</v>
      </c>
      <c r="AC346">
        <v>53.984299999999998</v>
      </c>
      <c r="AD346">
        <v>-1.0827045138119999</v>
      </c>
      <c r="AE346">
        <v>-0.19420000000002299</v>
      </c>
      <c r="AF346">
        <v>0.15023199682721</v>
      </c>
      <c r="AG346">
        <v>-1.0827045138119999</v>
      </c>
      <c r="AH346">
        <v>53.9627344205933</v>
      </c>
      <c r="AI346">
        <v>91.149419821972401</v>
      </c>
      <c r="AJ346">
        <v>89.840489233536999</v>
      </c>
      <c r="AK346">
        <v>53.973804061457301</v>
      </c>
      <c r="AL346">
        <v>80.950964661626102</v>
      </c>
      <c r="AM346">
        <v>90.777839224051803</v>
      </c>
      <c r="AN346">
        <v>1.0000000057998399</v>
      </c>
    </row>
    <row r="347" spans="1:40" x14ac:dyDescent="0.25">
      <c r="A347" t="str">
        <f>"20190303161849320"</f>
        <v>20190303161849320</v>
      </c>
      <c r="B347" t="str">
        <f>"1551601129312901"</f>
        <v>1551601129312901</v>
      </c>
      <c r="C347" t="s">
        <v>40</v>
      </c>
      <c r="D347">
        <v>4.3313370000000004</v>
      </c>
      <c r="E347">
        <v>0.5068241</v>
      </c>
      <c r="F347" t="s">
        <v>41</v>
      </c>
      <c r="G347">
        <v>-381.2285</v>
      </c>
      <c r="H347" s="1">
        <v>-4.2512250000000001E-6</v>
      </c>
      <c r="I347">
        <v>366.76389999999998</v>
      </c>
      <c r="J347">
        <v>-434.33019999999999</v>
      </c>
      <c r="K347">
        <v>1.0812520000000001</v>
      </c>
      <c r="L347">
        <v>367.00599999999997</v>
      </c>
      <c r="M347">
        <v>0.99983639999999996</v>
      </c>
      <c r="N347">
        <v>-1.8074880000000002E-2</v>
      </c>
      <c r="O347">
        <v>-8.132282E-4</v>
      </c>
      <c r="P347">
        <v>0.99010509999999996</v>
      </c>
      <c r="Q347">
        <v>0.13982820000000001</v>
      </c>
      <c r="R347">
        <v>1.1843390000000001E-2</v>
      </c>
      <c r="S347">
        <v>3.0383909999999998</v>
      </c>
      <c r="T347">
        <v>-6.1659459999999999E-2</v>
      </c>
      <c r="U347">
        <v>-1.3793949999999999E-2</v>
      </c>
      <c r="V347">
        <v>-1.2641879999999999E-2</v>
      </c>
      <c r="W347">
        <v>0.1577016</v>
      </c>
      <c r="X347">
        <v>0.98740589999999995</v>
      </c>
      <c r="Y347">
        <v>3.7250360000000001E-3</v>
      </c>
      <c r="Z347" s="1">
        <v>-6.9665649999999996E-5</v>
      </c>
      <c r="AA347">
        <v>0.99999309999999997</v>
      </c>
      <c r="AB347">
        <v>29</v>
      </c>
      <c r="AC347">
        <v>53.101700000000001</v>
      </c>
      <c r="AD347">
        <v>-1.0812562512249999</v>
      </c>
      <c r="AE347">
        <v>-0.24209999999999299</v>
      </c>
      <c r="AF347">
        <v>0.19882663435265999</v>
      </c>
      <c r="AG347">
        <v>-1.0812562512249999</v>
      </c>
      <c r="AH347">
        <v>53.079872328941498</v>
      </c>
      <c r="AI347">
        <v>91.166966230281304</v>
      </c>
      <c r="AJ347">
        <v>89.785382420422593</v>
      </c>
      <c r="AK347">
        <v>53.091256281689802</v>
      </c>
      <c r="AL347">
        <v>80.926486144087306</v>
      </c>
      <c r="AM347">
        <v>90.733524881525398</v>
      </c>
      <c r="AN347">
        <v>1.00000001156365</v>
      </c>
    </row>
    <row r="348" spans="1:40" x14ac:dyDescent="0.25">
      <c r="A348" t="str">
        <f>"20190303161849336"</f>
        <v>20190303161849336</v>
      </c>
      <c r="B348" t="str">
        <f>"1551601129323637"</f>
        <v>1551601129323637</v>
      </c>
      <c r="C348" t="s">
        <v>40</v>
      </c>
      <c r="D348">
        <v>4.328627</v>
      </c>
      <c r="E348">
        <v>0.50659620000000005</v>
      </c>
      <c r="F348" t="s">
        <v>41</v>
      </c>
      <c r="G348">
        <v>-380.09309999999999</v>
      </c>
      <c r="H348" s="1">
        <v>-4.7405879999999996E-6</v>
      </c>
      <c r="I348">
        <v>366.75099999999998</v>
      </c>
      <c r="J348">
        <v>-434.12259999999998</v>
      </c>
      <c r="K348">
        <v>1.080168</v>
      </c>
      <c r="L348">
        <v>367.00580000000002</v>
      </c>
      <c r="M348">
        <v>0.9998454</v>
      </c>
      <c r="N348">
        <v>-1.756781E-2</v>
      </c>
      <c r="O348">
        <v>-8.1298939999999999E-4</v>
      </c>
      <c r="P348">
        <v>0.99007339999999999</v>
      </c>
      <c r="Q348">
        <v>0.14007429999999901</v>
      </c>
      <c r="R348">
        <v>1.1574859999999999E-2</v>
      </c>
      <c r="S348">
        <v>3.0386959999999998</v>
      </c>
      <c r="T348">
        <v>-6.057858E-2</v>
      </c>
      <c r="U348">
        <v>-1.428223E-2</v>
      </c>
      <c r="V348">
        <v>-1.237308E-2</v>
      </c>
      <c r="W348">
        <v>0.15744639999999999</v>
      </c>
      <c r="X348">
        <v>0.98745000000000005</v>
      </c>
      <c r="Y348">
        <v>3.8855069999999998E-3</v>
      </c>
      <c r="Z348" s="1">
        <v>-7.0942739999999997E-5</v>
      </c>
      <c r="AA348">
        <v>0.9999924</v>
      </c>
      <c r="AB348">
        <v>29</v>
      </c>
      <c r="AC348">
        <v>54.029499999999899</v>
      </c>
      <c r="AD348">
        <v>-1.0801727405879999</v>
      </c>
      <c r="AE348">
        <v>-0.25480000000004499</v>
      </c>
      <c r="AF348">
        <v>0.21078348116818599</v>
      </c>
      <c r="AG348">
        <v>-1.0801727405879999</v>
      </c>
      <c r="AH348">
        <v>54.008103240027303</v>
      </c>
      <c r="AI348">
        <v>91.145765435552093</v>
      </c>
      <c r="AJ348">
        <v>89.776386471301194</v>
      </c>
      <c r="AK348">
        <v>54.019315234561098</v>
      </c>
      <c r="AL348">
        <v>80.941292738461797</v>
      </c>
      <c r="AM348">
        <v>90.717897781608897</v>
      </c>
      <c r="AN348">
        <v>0.99999998224082298</v>
      </c>
    </row>
    <row r="349" spans="1:40" x14ac:dyDescent="0.25">
      <c r="A349" t="str">
        <f>"20190303161849352"</f>
        <v>20190303161849352</v>
      </c>
      <c r="B349" t="str">
        <f>"1551601129343157"</f>
        <v>1551601129343157</v>
      </c>
      <c r="C349" t="s">
        <v>40</v>
      </c>
      <c r="D349">
        <v>4.3396869999999996</v>
      </c>
      <c r="E349">
        <v>0.50638139999999998</v>
      </c>
      <c r="F349" t="s">
        <v>41</v>
      </c>
      <c r="G349">
        <v>-380.20280000000002</v>
      </c>
      <c r="H349" s="1">
        <v>-4.6896629999999998E-6</v>
      </c>
      <c r="I349">
        <v>366.77289999999999</v>
      </c>
      <c r="J349">
        <v>-433.9033</v>
      </c>
      <c r="K349">
        <v>1.0791189999999999</v>
      </c>
      <c r="L349">
        <v>367.00560000000002</v>
      </c>
      <c r="M349">
        <v>0.99985400000000002</v>
      </c>
      <c r="N349">
        <v>-1.7066370000000001E-2</v>
      </c>
      <c r="O349">
        <v>-8.1292720000000003E-4</v>
      </c>
      <c r="P349">
        <v>0.98998439999999999</v>
      </c>
      <c r="Q349">
        <v>0.14075190000000001</v>
      </c>
      <c r="R349">
        <v>1.0966760000000001E-2</v>
      </c>
      <c r="S349">
        <v>3.0388489999999999</v>
      </c>
      <c r="T349">
        <v>-6.087708E-2</v>
      </c>
      <c r="U349">
        <v>-1.312256E-2</v>
      </c>
      <c r="V349">
        <v>-1.1765329999999999E-2</v>
      </c>
      <c r="W349">
        <v>0.1576272</v>
      </c>
      <c r="X349">
        <v>0.98742859999999999</v>
      </c>
      <c r="Y349">
        <v>3.503889E-3</v>
      </c>
      <c r="Z349" s="1">
        <v>-6.2590969999999995E-5</v>
      </c>
      <c r="AA349">
        <v>0.99999389999999999</v>
      </c>
      <c r="AB349">
        <v>29</v>
      </c>
      <c r="AC349">
        <v>53.700499999999899</v>
      </c>
      <c r="AD349">
        <v>-1.0791236896629901</v>
      </c>
      <c r="AE349">
        <v>-0.232700000000022</v>
      </c>
      <c r="AF349">
        <v>0.18896266080089599</v>
      </c>
      <c r="AG349">
        <v>-1.0791236896629901</v>
      </c>
      <c r="AH349">
        <v>53.678995303006197</v>
      </c>
      <c r="AI349">
        <v>91.151670638869206</v>
      </c>
      <c r="AJ349">
        <v>89.798306243126603</v>
      </c>
      <c r="AK349">
        <v>53.6901736965428</v>
      </c>
      <c r="AL349">
        <v>80.9308028230313</v>
      </c>
      <c r="AM349">
        <v>90.682653769033493</v>
      </c>
      <c r="AN349">
        <v>0.99999999863390399</v>
      </c>
    </row>
    <row r="350" spans="1:40" x14ac:dyDescent="0.25">
      <c r="A350" t="str">
        <f>"20190303161849374"</f>
        <v>20190303161849374</v>
      </c>
      <c r="B350" t="str">
        <f>"1551601129363655"</f>
        <v>1551601129363655</v>
      </c>
      <c r="C350" t="s">
        <v>40</v>
      </c>
      <c r="D350">
        <v>4.3670349999999996</v>
      </c>
      <c r="E350">
        <v>0.50633490000000003</v>
      </c>
      <c r="F350" t="s">
        <v>41</v>
      </c>
      <c r="G350">
        <v>-377.31810000000002</v>
      </c>
      <c r="H350" s="1">
        <v>-1.6581189999999999E-6</v>
      </c>
      <c r="I350">
        <v>366.76229999999998</v>
      </c>
      <c r="J350">
        <v>-433.62880000000001</v>
      </c>
      <c r="K350">
        <v>1.0779639999999999</v>
      </c>
      <c r="L350">
        <v>367.00529999999998</v>
      </c>
      <c r="M350">
        <v>0.99986370000000002</v>
      </c>
      <c r="N350">
        <v>-1.6491019999999999E-2</v>
      </c>
      <c r="O350">
        <v>-8.1297450000000001E-4</v>
      </c>
      <c r="P350">
        <v>0.98993960000000003</v>
      </c>
      <c r="Q350">
        <v>0.141096</v>
      </c>
      <c r="R350">
        <v>1.056502E-2</v>
      </c>
      <c r="S350">
        <v>3.0387270000000002</v>
      </c>
      <c r="T350">
        <v>-5.7950620000000001E-2</v>
      </c>
      <c r="U350">
        <v>-1.306152E-2</v>
      </c>
      <c r="V350">
        <v>-1.136364E-2</v>
      </c>
      <c r="W350">
        <v>0.1574026</v>
      </c>
      <c r="X350">
        <v>0.98746909999999999</v>
      </c>
      <c r="Y350">
        <v>3.484057E-3</v>
      </c>
      <c r="Z350" s="1">
        <v>-5.9858280000000001E-5</v>
      </c>
      <c r="AA350">
        <v>0.99999389999999999</v>
      </c>
      <c r="AB350">
        <v>29</v>
      </c>
      <c r="AC350">
        <v>56.310699999999997</v>
      </c>
      <c r="AD350">
        <v>-1.077965658119</v>
      </c>
      <c r="AE350">
        <v>-0.242999999999995</v>
      </c>
      <c r="AF350">
        <v>0.19714228742858</v>
      </c>
      <c r="AG350">
        <v>-1.077965658119</v>
      </c>
      <c r="AH350">
        <v>56.290251157152802</v>
      </c>
      <c r="AI350">
        <v>91.097080833208693</v>
      </c>
      <c r="AJ350">
        <v>89.799336925681004</v>
      </c>
      <c r="AK350">
        <v>56.300916958579997</v>
      </c>
      <c r="AL350">
        <v>80.9438338423126</v>
      </c>
      <c r="AM350">
        <v>90.659321768009704</v>
      </c>
      <c r="AN350">
        <v>0.99999996712780903</v>
      </c>
    </row>
    <row r="351" spans="1:40" x14ac:dyDescent="0.25">
      <c r="A351" t="str">
        <f>"20190303161849388"</f>
        <v>20190303161849388</v>
      </c>
      <c r="B351" t="str">
        <f>"1551601129383173"</f>
        <v>1551601129383173</v>
      </c>
      <c r="C351" t="s">
        <v>40</v>
      </c>
      <c r="D351">
        <v>4.3564369999999997</v>
      </c>
      <c r="E351">
        <v>0.50646380000000002</v>
      </c>
      <c r="F351" t="s">
        <v>41</v>
      </c>
      <c r="G351">
        <v>-375.86919999999998</v>
      </c>
      <c r="H351" s="1">
        <v>-2.264489E-6</v>
      </c>
      <c r="I351">
        <v>366.74079999999998</v>
      </c>
      <c r="J351">
        <v>-433.45299999999997</v>
      </c>
      <c r="K351">
        <v>1.0772980000000001</v>
      </c>
      <c r="L351">
        <v>367.0052</v>
      </c>
      <c r="M351">
        <v>0.99986929999999996</v>
      </c>
      <c r="N351">
        <v>-1.614898E-2</v>
      </c>
      <c r="O351">
        <v>-8.1255789999999997E-4</v>
      </c>
      <c r="P351">
        <v>0.98992349999999996</v>
      </c>
      <c r="Q351">
        <v>0.14120389999999999</v>
      </c>
      <c r="R351">
        <v>1.0622950000000001E-2</v>
      </c>
      <c r="S351">
        <v>3.0386959999999998</v>
      </c>
      <c r="T351">
        <v>-5.6711079999999997E-2</v>
      </c>
      <c r="U351">
        <v>-1.3916019999999999E-2</v>
      </c>
      <c r="V351">
        <v>-1.142104E-2</v>
      </c>
      <c r="W351">
        <v>0.157171799999999</v>
      </c>
      <c r="X351">
        <v>0.98750530000000003</v>
      </c>
      <c r="Y351">
        <v>3.765675E-3</v>
      </c>
      <c r="Z351" s="1">
        <v>-6.3508359999999906E-5</v>
      </c>
      <c r="AA351">
        <v>0.99999289999999996</v>
      </c>
      <c r="AB351">
        <v>29</v>
      </c>
      <c r="AC351">
        <v>57.583799999999997</v>
      </c>
      <c r="AD351">
        <v>-1.077300264489</v>
      </c>
      <c r="AE351">
        <v>-0.26440000000002301</v>
      </c>
      <c r="AF351">
        <v>0.21752750639615201</v>
      </c>
      <c r="AG351">
        <v>-1.077300264489</v>
      </c>
      <c r="AH351">
        <v>57.563848706357099</v>
      </c>
      <c r="AI351">
        <v>91.072150567992907</v>
      </c>
      <c r="AJ351">
        <v>89.783486528451206</v>
      </c>
      <c r="AK351">
        <v>57.574339526947902</v>
      </c>
      <c r="AL351">
        <v>80.9572252854379</v>
      </c>
      <c r="AM351">
        <v>90.662627547487702</v>
      </c>
      <c r="AN351">
        <v>1.0000000661990001</v>
      </c>
    </row>
    <row r="352" spans="1:40" x14ac:dyDescent="0.25">
      <c r="A352" t="str">
        <f>"20190303161849408"</f>
        <v>20190303161849408</v>
      </c>
      <c r="B352" t="str">
        <f>"1551601129403668"</f>
        <v>1551601129403668</v>
      </c>
      <c r="C352" t="s">
        <v>40</v>
      </c>
      <c r="D352">
        <v>4.3472710000000001</v>
      </c>
      <c r="E352">
        <v>0.50635529999999995</v>
      </c>
      <c r="F352" t="s">
        <v>41</v>
      </c>
      <c r="G352">
        <v>-376.7441</v>
      </c>
      <c r="H352" s="1">
        <v>-1.8907379999999999E-6</v>
      </c>
      <c r="I352">
        <v>366.73180000000002</v>
      </c>
      <c r="J352">
        <v>-433.1927</v>
      </c>
      <c r="K352">
        <v>1.0764339999999999</v>
      </c>
      <c r="L352">
        <v>367.005</v>
      </c>
      <c r="M352">
        <v>0.99987669999999995</v>
      </c>
      <c r="N352">
        <v>-1.5687590000000001E-2</v>
      </c>
      <c r="O352">
        <v>-8.1040829999999998E-4</v>
      </c>
      <c r="P352">
        <v>0.98987179999999997</v>
      </c>
      <c r="Q352">
        <v>0.141561299999999</v>
      </c>
      <c r="R352">
        <v>1.0684330000000001E-2</v>
      </c>
      <c r="S352">
        <v>3.0389400000000002</v>
      </c>
      <c r="T352">
        <v>-5.7730789999999997E-2</v>
      </c>
      <c r="U352">
        <v>-1.464844E-2</v>
      </c>
      <c r="V352">
        <v>-1.1480550000000001E-2</v>
      </c>
      <c r="W352">
        <v>0.15707299999999999</v>
      </c>
      <c r="X352">
        <v>0.98752030000000002</v>
      </c>
      <c r="Y352">
        <v>4.0083740000000003E-3</v>
      </c>
      <c r="Z352" s="1">
        <v>-6.6838070000000004E-5</v>
      </c>
      <c r="AA352">
        <v>0.99999199999999999</v>
      </c>
      <c r="AB352">
        <v>29</v>
      </c>
      <c r="AC352">
        <v>56.448599999999999</v>
      </c>
      <c r="AD352">
        <v>-1.0764358907380001</v>
      </c>
      <c r="AE352">
        <v>-0.27319999999997402</v>
      </c>
      <c r="AF352">
        <v>0.22736519327407501</v>
      </c>
      <c r="AG352">
        <v>-1.0764358907380001</v>
      </c>
      <c r="AH352">
        <v>56.428283867513201</v>
      </c>
      <c r="AI352">
        <v>91.092842971347295</v>
      </c>
      <c r="AJ352">
        <v>89.769140675700996</v>
      </c>
      <c r="AK352">
        <v>56.439008047543098</v>
      </c>
      <c r="AL352">
        <v>80.962957035287502</v>
      </c>
      <c r="AM352">
        <v>90.666069780445</v>
      </c>
      <c r="AN352">
        <v>1.0000000366346899</v>
      </c>
    </row>
    <row r="353" spans="1:40" x14ac:dyDescent="0.25">
      <c r="A353" t="str">
        <f>"20190303161849422"</f>
        <v>20190303161849422</v>
      </c>
      <c r="B353" t="str">
        <f>"1551601129413429"</f>
        <v>1551601129413429</v>
      </c>
      <c r="C353" t="s">
        <v>40</v>
      </c>
      <c r="D353">
        <v>4.3679670000000002</v>
      </c>
      <c r="E353">
        <v>0.50630779999999997</v>
      </c>
      <c r="F353" t="s">
        <v>41</v>
      </c>
      <c r="G353">
        <v>-376.048</v>
      </c>
      <c r="H353" s="1">
        <v>-2.1853250000000001E-6</v>
      </c>
      <c r="I353">
        <v>366.75470000000001</v>
      </c>
      <c r="J353">
        <v>-433.01350000000002</v>
      </c>
      <c r="K353">
        <v>1.0759049999999999</v>
      </c>
      <c r="L353">
        <v>367.00490000000002</v>
      </c>
      <c r="M353">
        <v>0.99988129999999997</v>
      </c>
      <c r="N353">
        <v>-1.5396440000000001E-2</v>
      </c>
      <c r="O353">
        <v>-8.0776289999999896E-4</v>
      </c>
      <c r="P353">
        <v>0.98983370000000004</v>
      </c>
      <c r="Q353">
        <v>0.1418131</v>
      </c>
      <c r="R353">
        <v>1.0901920000000001E-2</v>
      </c>
      <c r="S353">
        <v>3.0390009999999998</v>
      </c>
      <c r="T353">
        <v>-5.7245610000000002E-2</v>
      </c>
      <c r="U353">
        <v>-1.330566E-2</v>
      </c>
      <c r="V353">
        <v>-1.169629E-2</v>
      </c>
      <c r="W353">
        <v>0.15703619999999999</v>
      </c>
      <c r="X353">
        <v>0.98752359999999995</v>
      </c>
      <c r="Y353">
        <v>3.5692620000000001E-3</v>
      </c>
      <c r="Z353" s="1">
        <v>-5.8319829999999999E-5</v>
      </c>
      <c r="AA353">
        <v>0.99999360000000004</v>
      </c>
      <c r="AB353">
        <v>29</v>
      </c>
      <c r="AC353">
        <v>56.965499999999999</v>
      </c>
      <c r="AD353">
        <v>-1.075907185325</v>
      </c>
      <c r="AE353">
        <v>-0.25020000000000597</v>
      </c>
      <c r="AF353">
        <v>0.20410704592821799</v>
      </c>
      <c r="AG353">
        <v>-1.075907185325</v>
      </c>
      <c r="AH353">
        <v>56.945370454806799</v>
      </c>
      <c r="AI353">
        <v>91.082391965619195</v>
      </c>
      <c r="AJ353">
        <v>89.794637876121897</v>
      </c>
      <c r="AK353">
        <v>56.955899186939497</v>
      </c>
      <c r="AL353">
        <v>80.965091826564404</v>
      </c>
      <c r="AM353">
        <v>90.678582991916599</v>
      </c>
      <c r="AN353">
        <v>1.00000001593358</v>
      </c>
    </row>
    <row r="354" spans="1:40" x14ac:dyDescent="0.25">
      <c r="A354" t="str">
        <f>"20190303161849433"</f>
        <v>20190303161849433</v>
      </c>
      <c r="B354" t="str">
        <f>"1551601129423189"</f>
        <v>1551601129423189</v>
      </c>
      <c r="C354" t="s">
        <v>40</v>
      </c>
      <c r="D354">
        <v>4.3900180000000004</v>
      </c>
      <c r="E354">
        <v>0.50652410000000003</v>
      </c>
      <c r="F354" t="s">
        <v>41</v>
      </c>
      <c r="G354">
        <v>-374.09800000000001</v>
      </c>
      <c r="H354" s="1">
        <v>-3.019921E-6</v>
      </c>
      <c r="I354">
        <v>366.76569999999998</v>
      </c>
      <c r="J354">
        <v>-432.85680000000002</v>
      </c>
      <c r="K354">
        <v>1.0754870000000001</v>
      </c>
      <c r="L354">
        <v>367.00470000000001</v>
      </c>
      <c r="M354">
        <v>0.99988480000000002</v>
      </c>
      <c r="N354">
        <v>-1.5161030000000001E-2</v>
      </c>
      <c r="O354">
        <v>-8.0474799999999999E-4</v>
      </c>
      <c r="P354">
        <v>0.98979530000000004</v>
      </c>
      <c r="Q354">
        <v>0.14204820000000001</v>
      </c>
      <c r="R354">
        <v>1.1295639999999999E-2</v>
      </c>
      <c r="S354">
        <v>3.0388790000000001</v>
      </c>
      <c r="T354">
        <v>-5.5495500000000003E-2</v>
      </c>
      <c r="U354">
        <v>-1.2329100000000001E-2</v>
      </c>
      <c r="V354">
        <v>-1.208712E-2</v>
      </c>
      <c r="W354">
        <v>0.1570386</v>
      </c>
      <c r="X354">
        <v>0.98751849999999997</v>
      </c>
      <c r="Y354">
        <v>3.2512639999999998E-3</v>
      </c>
      <c r="Z354" s="1">
        <v>-5.1842380000000002E-5</v>
      </c>
      <c r="AA354">
        <v>0.99999470000000001</v>
      </c>
      <c r="AB354">
        <v>29</v>
      </c>
      <c r="AC354">
        <v>58.758800000000001</v>
      </c>
      <c r="AD354">
        <v>-1.075490019921</v>
      </c>
      <c r="AE354">
        <v>-0.23900000000003199</v>
      </c>
      <c r="AF354">
        <v>0.19164426011243399</v>
      </c>
      <c r="AG354">
        <v>-1.075490019921</v>
      </c>
      <c r="AH354">
        <v>58.739294984999503</v>
      </c>
      <c r="AI354">
        <v>91.048937115369995</v>
      </c>
      <c r="AJ354">
        <v>89.813066052047603</v>
      </c>
      <c r="AK354">
        <v>58.749452607153401</v>
      </c>
      <c r="AL354">
        <v>80.964952481326605</v>
      </c>
      <c r="AM354">
        <v>90.701259147290898</v>
      </c>
      <c r="AN354">
        <v>1.0000000041010499</v>
      </c>
    </row>
    <row r="355" spans="1:40" x14ac:dyDescent="0.25">
      <c r="A355" t="str">
        <f>"20190303161849452"</f>
        <v>20190303161849452</v>
      </c>
      <c r="B355" t="str">
        <f>"1551601129443685"</f>
        <v>1551601129443685</v>
      </c>
      <c r="C355" t="s">
        <v>40</v>
      </c>
      <c r="D355">
        <v>4.6007800000000003</v>
      </c>
      <c r="E355">
        <v>0.52818589999999999</v>
      </c>
      <c r="F355" t="s">
        <v>41</v>
      </c>
      <c r="G355">
        <v>-374.3809</v>
      </c>
      <c r="H355" s="1">
        <v>-2.9007590000000002E-6</v>
      </c>
      <c r="I355">
        <v>366.75330000000002</v>
      </c>
      <c r="J355">
        <v>-432.62790000000001</v>
      </c>
      <c r="K355">
        <v>1.0749299999999999</v>
      </c>
      <c r="L355">
        <v>367.00450000000001</v>
      </c>
      <c r="M355">
        <v>0.99988960000000005</v>
      </c>
      <c r="N355">
        <v>-1.483948E-2</v>
      </c>
      <c r="O355">
        <v>-7.9944089999999998E-4</v>
      </c>
      <c r="P355">
        <v>0.98974660000000003</v>
      </c>
      <c r="Q355">
        <v>0.14230809999999999</v>
      </c>
      <c r="R355">
        <v>1.225761E-2</v>
      </c>
      <c r="S355">
        <v>3.0390929999999998</v>
      </c>
      <c r="T355">
        <v>-5.5894970000000002E-2</v>
      </c>
      <c r="U355">
        <v>-1.306152E-2</v>
      </c>
      <c r="V355">
        <v>-1.304455E-2</v>
      </c>
      <c r="W355">
        <v>0.15698019999999999</v>
      </c>
      <c r="X355">
        <v>0.98751560000000005</v>
      </c>
      <c r="Y355">
        <v>3.4972089999999998E-3</v>
      </c>
      <c r="Z355" s="1">
        <v>-5.5273060000000002E-5</v>
      </c>
      <c r="AA355">
        <v>0.99999389999999999</v>
      </c>
      <c r="AB355">
        <v>29</v>
      </c>
      <c r="AC355">
        <v>58.247</v>
      </c>
      <c r="AD355">
        <v>-1.0749329007589901</v>
      </c>
      <c r="AE355">
        <v>-0.25119999999998299</v>
      </c>
      <c r="AF355">
        <v>0.20456009193559899</v>
      </c>
      <c r="AG355">
        <v>-1.0749329007589901</v>
      </c>
      <c r="AH355">
        <v>58.227351684238002</v>
      </c>
      <c r="AI355">
        <v>91.057608521035505</v>
      </c>
      <c r="AJ355">
        <v>89.7987134676751</v>
      </c>
      <c r="AK355">
        <v>58.237632246960999</v>
      </c>
      <c r="AL355">
        <v>80.968340556611295</v>
      </c>
      <c r="AM355">
        <v>90.756802418195306</v>
      </c>
      <c r="AN355">
        <v>1.0000000018600499</v>
      </c>
    </row>
    <row r="356" spans="1:40" x14ac:dyDescent="0.25">
      <c r="A356" t="str">
        <f>"20190303161849466"</f>
        <v>20190303161849466</v>
      </c>
      <c r="B356" t="str">
        <f>"1551601129453445"</f>
        <v>1551601129453445</v>
      </c>
      <c r="C356" t="s">
        <v>40</v>
      </c>
      <c r="D356">
        <v>4.488054</v>
      </c>
      <c r="E356">
        <v>0.52818589999999999</v>
      </c>
      <c r="F356" t="s">
        <v>44</v>
      </c>
      <c r="G356">
        <v>-417.65359999999998</v>
      </c>
      <c r="H356">
        <v>-0.05</v>
      </c>
      <c r="I356">
        <v>366.11860000000001</v>
      </c>
      <c r="J356">
        <v>-432.45400000000001</v>
      </c>
      <c r="K356">
        <v>1.074546</v>
      </c>
      <c r="L356">
        <v>367.00439999999998</v>
      </c>
      <c r="M356">
        <v>0.99989300000000003</v>
      </c>
      <c r="N356">
        <v>-1.461174E-2</v>
      </c>
      <c r="O356">
        <v>-7.9487969999999999E-4</v>
      </c>
      <c r="P356">
        <v>0.98972190000000004</v>
      </c>
      <c r="Q356">
        <v>0.14244209999999999</v>
      </c>
      <c r="R356">
        <v>1.2680439999999999E-2</v>
      </c>
      <c r="S356">
        <v>3.0664370000000001</v>
      </c>
      <c r="T356">
        <v>-0.2303636</v>
      </c>
      <c r="U356">
        <v>-0.181427</v>
      </c>
      <c r="V356">
        <v>-1.3463360000000001E-2</v>
      </c>
      <c r="W356">
        <v>0.15688840000000001</v>
      </c>
      <c r="X356">
        <v>0.98752459999999997</v>
      </c>
      <c r="Y356">
        <v>5.8075000000000002E-2</v>
      </c>
      <c r="Z356">
        <v>-2.5538620000000001E-3</v>
      </c>
      <c r="AA356">
        <v>0.998309</v>
      </c>
      <c r="AB356">
        <v>29</v>
      </c>
      <c r="AC356">
        <v>14.8004</v>
      </c>
      <c r="AD356">
        <v>-1.1245459999999901</v>
      </c>
      <c r="AE356">
        <v>-0.88579999999995995</v>
      </c>
      <c r="AF356">
        <v>0.86903482688160005</v>
      </c>
      <c r="AG356">
        <v>-1.1245459999999901</v>
      </c>
      <c r="AH356">
        <v>14.716443539994801</v>
      </c>
      <c r="AI356">
        <v>94.362152424085593</v>
      </c>
      <c r="AJ356">
        <v>86.620496566769702</v>
      </c>
      <c r="AK356">
        <v>14.7849090528925</v>
      </c>
      <c r="AL356">
        <v>80.973666591478406</v>
      </c>
      <c r="AM356">
        <v>90.7810903325515</v>
      </c>
      <c r="AN356">
        <v>1.0000000338610999</v>
      </c>
    </row>
    <row r="357" spans="1:40" x14ac:dyDescent="0.25">
      <c r="A357" t="str">
        <f>"20190303161849477"</f>
        <v>20190303161849477</v>
      </c>
      <c r="B357" t="str">
        <f>"1551601129472965"</f>
        <v>1551601129472965</v>
      </c>
      <c r="C357" t="s">
        <v>40</v>
      </c>
      <c r="D357">
        <v>4.4709180000000002</v>
      </c>
      <c r="E357">
        <v>0.54073509999999902</v>
      </c>
      <c r="F357" t="s">
        <v>42</v>
      </c>
      <c r="G357">
        <v>-431.46949999999998</v>
      </c>
      <c r="H357">
        <v>1.0007490000000001</v>
      </c>
      <c r="I357">
        <v>366.94639999999998</v>
      </c>
      <c r="J357">
        <v>-432.286</v>
      </c>
      <c r="K357">
        <v>1.074217</v>
      </c>
      <c r="L357">
        <v>367.0043</v>
      </c>
      <c r="M357">
        <v>0.99989589999999995</v>
      </c>
      <c r="N357">
        <v>-1.4413789999999999E-2</v>
      </c>
      <c r="O357">
        <v>-7.896124E-4</v>
      </c>
      <c r="P357">
        <v>0.98972570000000004</v>
      </c>
      <c r="Q357">
        <v>0.14235059999999999</v>
      </c>
      <c r="R357">
        <v>1.339622E-2</v>
      </c>
      <c r="S357">
        <v>3.0665589999999998</v>
      </c>
      <c r="T357">
        <v>-0.22990250000000001</v>
      </c>
      <c r="U357">
        <v>-0.18051149999999999</v>
      </c>
      <c r="V357">
        <v>-1.417411E-2</v>
      </c>
      <c r="W357">
        <v>0.15660199999999999</v>
      </c>
      <c r="X357">
        <v>0.98756010000000005</v>
      </c>
      <c r="Y357">
        <v>5.7783029999999999E-2</v>
      </c>
      <c r="Z357">
        <v>-2.5309310000000002E-3</v>
      </c>
      <c r="AA357">
        <v>0.99832589999999999</v>
      </c>
      <c r="AB357">
        <v>29</v>
      </c>
      <c r="AC357">
        <v>0.81650000000001899</v>
      </c>
      <c r="AD357">
        <v>-7.3468000000000006E-2</v>
      </c>
      <c r="AE357">
        <v>-5.7900000000017798E-2</v>
      </c>
      <c r="AF357">
        <v>5.6797649188278301E-2</v>
      </c>
      <c r="AG357">
        <v>-7.3468000000000006E-2</v>
      </c>
      <c r="AH357">
        <v>0.81002015385126402</v>
      </c>
      <c r="AI357">
        <v>95.169864189044404</v>
      </c>
      <c r="AJ357">
        <v>85.989053002335993</v>
      </c>
      <c r="AK357">
        <v>0.81532580581172598</v>
      </c>
      <c r="AL357">
        <v>80.990281364881199</v>
      </c>
      <c r="AM357">
        <v>90.822290130237107</v>
      </c>
      <c r="AN357">
        <v>1.0000000214551501</v>
      </c>
    </row>
    <row r="358" spans="1:40" x14ac:dyDescent="0.25">
      <c r="A358" t="str">
        <f>"20190303161849497"</f>
        <v>20190303161849497</v>
      </c>
      <c r="B358" t="str">
        <f>"1551601129493460"</f>
        <v>1551601129493460</v>
      </c>
      <c r="C358" t="s">
        <v>40</v>
      </c>
      <c r="D358">
        <v>4.4586670000000002</v>
      </c>
      <c r="E358">
        <v>0.54004370000000002</v>
      </c>
      <c r="F358" t="s">
        <v>42</v>
      </c>
      <c r="G358">
        <v>-431.52480000000003</v>
      </c>
      <c r="H358">
        <v>0.89324709999999996</v>
      </c>
      <c r="I358">
        <v>366.93810000000002</v>
      </c>
      <c r="J358">
        <v>-432.04969999999997</v>
      </c>
      <c r="K358">
        <v>1.0738080000000001</v>
      </c>
      <c r="L358">
        <v>367.00409999999999</v>
      </c>
      <c r="M358">
        <v>0.9998996</v>
      </c>
      <c r="N358">
        <v>-1.4154109999999999E-2</v>
      </c>
      <c r="O358">
        <v>-7.8142259999999905E-4</v>
      </c>
      <c r="P358">
        <v>0.98967130000000003</v>
      </c>
      <c r="Q358">
        <v>0.1426625</v>
      </c>
      <c r="R358">
        <v>1.409235E-2</v>
      </c>
      <c r="S358">
        <v>3.1422729999999999</v>
      </c>
      <c r="T358">
        <v>-0.74710799999999999</v>
      </c>
      <c r="U358">
        <v>-0.27319339999999998</v>
      </c>
      <c r="V358">
        <v>-1.4862439999999999E-2</v>
      </c>
      <c r="W358">
        <v>0.15665670000000001</v>
      </c>
      <c r="X358">
        <v>0.98754129999999996</v>
      </c>
      <c r="Y358">
        <v>8.3405199999999999E-2</v>
      </c>
      <c r="Z358">
        <v>-1.0189210000000001E-2</v>
      </c>
      <c r="AA358">
        <v>0.9964636</v>
      </c>
      <c r="AB358">
        <v>29</v>
      </c>
      <c r="AC358">
        <v>0.52489999999994497</v>
      </c>
      <c r="AD358">
        <v>-0.1805609</v>
      </c>
      <c r="AE358">
        <v>-6.5999999999973996E-2</v>
      </c>
      <c r="AF358">
        <v>5.8746499072319797E-2</v>
      </c>
      <c r="AG358">
        <v>-0.1805609</v>
      </c>
      <c r="AH358">
        <v>0.47018091397337802</v>
      </c>
      <c r="AI358">
        <v>110.85991401315199</v>
      </c>
      <c r="AJ358">
        <v>82.878117082215496</v>
      </c>
      <c r="AK358">
        <v>0.50707344796084997</v>
      </c>
      <c r="AL358">
        <v>80.987108074780494</v>
      </c>
      <c r="AM358">
        <v>90.862233104957895</v>
      </c>
      <c r="AN358">
        <v>1.00000001649166</v>
      </c>
    </row>
    <row r="359" spans="1:40" x14ac:dyDescent="0.25">
      <c r="A359" t="str">
        <f>"20190303161849519"</f>
        <v>20190303161849519</v>
      </c>
      <c r="B359" t="str">
        <f>"1551601129512980"</f>
        <v>1551601129512980</v>
      </c>
      <c r="C359" t="s">
        <v>40</v>
      </c>
      <c r="D359">
        <v>4.4896779999999996</v>
      </c>
      <c r="E359">
        <v>0.53976740000000001</v>
      </c>
      <c r="F359" t="s">
        <v>42</v>
      </c>
      <c r="G359">
        <v>-431.27600000000001</v>
      </c>
      <c r="H359">
        <v>0.87492979999999998</v>
      </c>
      <c r="I359">
        <v>366.93869999999998</v>
      </c>
      <c r="J359">
        <v>-431.75490000000002</v>
      </c>
      <c r="K359">
        <v>1.073366</v>
      </c>
      <c r="L359">
        <v>367.00389999999999</v>
      </c>
      <c r="M359">
        <v>0.99990369999999995</v>
      </c>
      <c r="N359">
        <v>-1.386416E-2</v>
      </c>
      <c r="O359">
        <v>-7.7043999999999995E-4</v>
      </c>
      <c r="P359">
        <v>0.98962280000000002</v>
      </c>
      <c r="Q359">
        <v>0.14293499999999901</v>
      </c>
      <c r="R359">
        <v>1.470847E-2</v>
      </c>
      <c r="S359">
        <v>3.1519170000000001</v>
      </c>
      <c r="T359">
        <v>-0.81036699999999995</v>
      </c>
      <c r="U359">
        <v>-0.26522829999999997</v>
      </c>
      <c r="V359">
        <v>-1.5468050000000001E-2</v>
      </c>
      <c r="W359">
        <v>0.15664159999999999</v>
      </c>
      <c r="X359">
        <v>0.98753440000000003</v>
      </c>
      <c r="Y359">
        <v>8.0365420000000007E-2</v>
      </c>
      <c r="Z359">
        <v>-1.0532069999999999E-2</v>
      </c>
      <c r="AA359">
        <v>0.99670979999999998</v>
      </c>
      <c r="AB359">
        <v>29</v>
      </c>
      <c r="AC359">
        <v>0.47890000000000998</v>
      </c>
      <c r="AD359">
        <v>-0.19843619999999901</v>
      </c>
      <c r="AE359">
        <v>-6.5200000000004296E-2</v>
      </c>
      <c r="AF359">
        <v>5.5478983006973299E-2</v>
      </c>
      <c r="AG359">
        <v>-0.19843619999999901</v>
      </c>
      <c r="AH359">
        <v>0.40986058801722097</v>
      </c>
      <c r="AI359">
        <v>115.630756838153</v>
      </c>
      <c r="AJ359">
        <v>82.291261063336407</v>
      </c>
      <c r="AK359">
        <v>0.458737991271433</v>
      </c>
      <c r="AL359">
        <v>80.987984099336103</v>
      </c>
      <c r="AM359">
        <v>90.897367742729898</v>
      </c>
      <c r="AN359">
        <v>1.0000000213023601</v>
      </c>
    </row>
    <row r="360" spans="1:40" x14ac:dyDescent="0.25">
      <c r="A360" t="str">
        <f>"20190303161849535"</f>
        <v>20190303161849535</v>
      </c>
      <c r="B360" t="str">
        <f>"1551601129523717"</f>
        <v>1551601129523717</v>
      </c>
      <c r="C360" t="s">
        <v>40</v>
      </c>
      <c r="D360">
        <v>4.4776930000000004</v>
      </c>
      <c r="E360">
        <v>0.54012899999999997</v>
      </c>
      <c r="F360" t="s">
        <v>42</v>
      </c>
      <c r="G360">
        <v>-431.01609999999999</v>
      </c>
      <c r="H360">
        <v>0.87884739999999995</v>
      </c>
      <c r="I360">
        <v>366.94299999999998</v>
      </c>
      <c r="J360">
        <v>-431.55930000000001</v>
      </c>
      <c r="K360">
        <v>1.073116</v>
      </c>
      <c r="L360">
        <v>367.00380000000001</v>
      </c>
      <c r="M360">
        <v>0.99990599999999996</v>
      </c>
      <c r="N360">
        <v>-1.369255E-2</v>
      </c>
      <c r="O360">
        <v>-7.6269860000000001E-4</v>
      </c>
      <c r="P360">
        <v>0.98959209999999997</v>
      </c>
      <c r="Q360">
        <v>0.1431511</v>
      </c>
      <c r="R360">
        <v>1.466683E-2</v>
      </c>
      <c r="S360">
        <v>3.1553339999999999</v>
      </c>
      <c r="T360">
        <v>-0.83089210000000002</v>
      </c>
      <c r="U360">
        <v>-0.2592468</v>
      </c>
      <c r="V360">
        <v>-1.541849E-2</v>
      </c>
      <c r="W360">
        <v>0.1566882</v>
      </c>
      <c r="X360">
        <v>0.98752779999999996</v>
      </c>
      <c r="Y360">
        <v>7.8351630000000005E-2</v>
      </c>
      <c r="Z360">
        <v>-1.048689E-2</v>
      </c>
      <c r="AA360">
        <v>0.99687060000000005</v>
      </c>
      <c r="AB360">
        <v>29</v>
      </c>
      <c r="AC360">
        <v>0.54320000000001301</v>
      </c>
      <c r="AD360">
        <v>-0.19426859999999899</v>
      </c>
      <c r="AE360">
        <v>-6.0799999999971897E-2</v>
      </c>
      <c r="AF360">
        <v>5.3613133714113199E-2</v>
      </c>
      <c r="AG360">
        <v>-0.19426859999999899</v>
      </c>
      <c r="AH360">
        <v>0.48231880034402302</v>
      </c>
      <c r="AI360">
        <v>111.81696425768899</v>
      </c>
      <c r="AJ360">
        <v>83.657208413154507</v>
      </c>
      <c r="AK360">
        <v>0.52272945413273297</v>
      </c>
      <c r="AL360">
        <v>80.985280893589604</v>
      </c>
      <c r="AM360">
        <v>90.894499000295696</v>
      </c>
      <c r="AN360">
        <v>1.0000000388129699</v>
      </c>
    </row>
    <row r="361" spans="1:40" x14ac:dyDescent="0.25">
      <c r="A361" t="str">
        <f>"20190303161849554"</f>
        <v>20190303161849554</v>
      </c>
      <c r="B361" t="str">
        <f>"1551601129543238"</f>
        <v>1551601129543238</v>
      </c>
      <c r="C361" t="s">
        <v>40</v>
      </c>
      <c r="D361">
        <v>4.5126670000000004</v>
      </c>
      <c r="E361">
        <v>0.54042389999999996</v>
      </c>
      <c r="F361" t="s">
        <v>42</v>
      </c>
      <c r="G361">
        <v>-430.76600000000002</v>
      </c>
      <c r="H361">
        <v>0.86265230000000004</v>
      </c>
      <c r="I361">
        <v>366.9375</v>
      </c>
      <c r="J361">
        <v>-431.31349999999998</v>
      </c>
      <c r="K361">
        <v>1.0728409999999999</v>
      </c>
      <c r="L361">
        <v>367.00360000000001</v>
      </c>
      <c r="M361">
        <v>0.99990869999999998</v>
      </c>
      <c r="N361">
        <v>-1.3495709999999999E-2</v>
      </c>
      <c r="O361">
        <v>-7.5289330000000002E-4</v>
      </c>
      <c r="P361">
        <v>0.98957349999999999</v>
      </c>
      <c r="Q361">
        <v>0.14332819999999999</v>
      </c>
      <c r="R361">
        <v>1.419633E-2</v>
      </c>
      <c r="S361">
        <v>3.1565859999999999</v>
      </c>
      <c r="T361">
        <v>-0.83754729999999999</v>
      </c>
      <c r="U361">
        <v>-0.26217649999999998</v>
      </c>
      <c r="V361">
        <v>-1.4938689999999999E-2</v>
      </c>
      <c r="W361">
        <v>0.15667029999999901</v>
      </c>
      <c r="X361">
        <v>0.98753800000000003</v>
      </c>
      <c r="Y361">
        <v>7.9179540000000007E-2</v>
      </c>
      <c r="Z361">
        <v>-1.0667640000000001E-2</v>
      </c>
      <c r="AA361">
        <v>0.99680329999999995</v>
      </c>
      <c r="AB361">
        <v>29</v>
      </c>
      <c r="AC361">
        <v>0.54750000000001298</v>
      </c>
      <c r="AD361">
        <v>-0.21018869999999901</v>
      </c>
      <c r="AE361">
        <v>-6.6100000000005807E-2</v>
      </c>
      <c r="AF361">
        <v>5.7355842956782102E-2</v>
      </c>
      <c r="AG361">
        <v>-0.21018869999999901</v>
      </c>
      <c r="AH361">
        <v>0.478097926878293</v>
      </c>
      <c r="AI361">
        <v>113.581527711503</v>
      </c>
      <c r="AJ361">
        <v>83.159105995736894</v>
      </c>
      <c r="AK361">
        <v>0.52540137991281899</v>
      </c>
      <c r="AL361">
        <v>80.986319181985905</v>
      </c>
      <c r="AM361">
        <v>90.866658913103606</v>
      </c>
      <c r="AN361">
        <v>1.0000000244025</v>
      </c>
    </row>
    <row r="362" spans="1:40" x14ac:dyDescent="0.25">
      <c r="A362" t="str">
        <f>"20190303161849576"</f>
        <v>20190303161849576</v>
      </c>
      <c r="B362" t="str">
        <f>"1551601129573493"</f>
        <v>1551601129573493</v>
      </c>
      <c r="C362" t="s">
        <v>40</v>
      </c>
      <c r="D362">
        <v>4.5133739999999998</v>
      </c>
      <c r="E362">
        <v>0.54167619999999905</v>
      </c>
      <c r="F362" t="s">
        <v>42</v>
      </c>
      <c r="G362">
        <v>-430.51049999999998</v>
      </c>
      <c r="H362">
        <v>0.85732350000000002</v>
      </c>
      <c r="I362">
        <v>366.93549999999999</v>
      </c>
      <c r="J362">
        <v>-431.0333</v>
      </c>
      <c r="K362">
        <v>1.0725709999999999</v>
      </c>
      <c r="L362">
        <v>367.0034</v>
      </c>
      <c r="M362">
        <v>0.99991140000000001</v>
      </c>
      <c r="N362">
        <v>-1.329602E-2</v>
      </c>
      <c r="O362">
        <v>-7.4213449999999896E-4</v>
      </c>
      <c r="P362">
        <v>0.98955729999999997</v>
      </c>
      <c r="Q362">
        <v>0.14350879999999999</v>
      </c>
      <c r="R362">
        <v>1.348277E-2</v>
      </c>
      <c r="S362">
        <v>3.1581419999999998</v>
      </c>
      <c r="T362">
        <v>-0.84765519999999905</v>
      </c>
      <c r="U362">
        <v>-0.2669067</v>
      </c>
      <c r="V362">
        <v>-1.421449E-2</v>
      </c>
      <c r="W362">
        <v>0.1566534</v>
      </c>
      <c r="X362">
        <v>0.98755130000000002</v>
      </c>
      <c r="Y362">
        <v>8.0521519999999999E-2</v>
      </c>
      <c r="Z362">
        <v>-1.0960569999999999E-2</v>
      </c>
      <c r="AA362">
        <v>0.99669260000000004</v>
      </c>
      <c r="AB362">
        <v>29</v>
      </c>
      <c r="AC362">
        <v>0.52280000000001703</v>
      </c>
      <c r="AD362">
        <v>-0.21524749999999901</v>
      </c>
      <c r="AE362">
        <v>-6.7900000000008703E-2</v>
      </c>
      <c r="AF362">
        <v>5.7865648565274597E-2</v>
      </c>
      <c r="AG362">
        <v>-0.21524749999999901</v>
      </c>
      <c r="AH362">
        <v>0.44814384441023403</v>
      </c>
      <c r="AI362">
        <v>115.470996120547</v>
      </c>
      <c r="AJ362">
        <v>82.642510367480398</v>
      </c>
      <c r="AK362">
        <v>0.50051256210300399</v>
      </c>
      <c r="AL362">
        <v>80.987298953793996</v>
      </c>
      <c r="AM362">
        <v>90.824639740700903</v>
      </c>
      <c r="AN362">
        <v>0.99999995479460402</v>
      </c>
    </row>
    <row r="363" spans="1:40" x14ac:dyDescent="0.25">
      <c r="A363" t="str">
        <f>"20190303161849589"</f>
        <v>20190303161849589</v>
      </c>
      <c r="B363" t="str">
        <f>"1551601129583253"</f>
        <v>1551601129583253</v>
      </c>
      <c r="C363" t="s">
        <v>40</v>
      </c>
      <c r="D363">
        <v>4.4930659999999998</v>
      </c>
      <c r="E363">
        <v>0.54195760000000004</v>
      </c>
      <c r="F363" t="s">
        <v>42</v>
      </c>
      <c r="G363">
        <v>-430.25</v>
      </c>
      <c r="H363">
        <v>0.8633265</v>
      </c>
      <c r="I363">
        <v>366.93340000000001</v>
      </c>
      <c r="J363">
        <v>-430.86369999999999</v>
      </c>
      <c r="K363">
        <v>1.0724279999999999</v>
      </c>
      <c r="L363">
        <v>367.00330000000002</v>
      </c>
      <c r="M363">
        <v>0.99991289999999999</v>
      </c>
      <c r="N363">
        <v>-1.3185799999999999E-2</v>
      </c>
      <c r="O363">
        <v>-7.3580119999999997E-4</v>
      </c>
      <c r="P363">
        <v>0.98954940000000002</v>
      </c>
      <c r="Q363">
        <v>0.143598799999999</v>
      </c>
      <c r="R363">
        <v>1.309103E-2</v>
      </c>
      <c r="S363">
        <v>3.1578369999999998</v>
      </c>
      <c r="T363">
        <v>-0.84357789999999999</v>
      </c>
      <c r="U363">
        <v>-0.27944950000000002</v>
      </c>
      <c r="V363">
        <v>-1.381662E-2</v>
      </c>
      <c r="W363">
        <v>0.15663450000000001</v>
      </c>
      <c r="X363">
        <v>0.98755999999999999</v>
      </c>
      <c r="Y363">
        <v>8.4353310000000001E-2</v>
      </c>
      <c r="Z363">
        <v>-1.143629E-2</v>
      </c>
      <c r="AA363">
        <v>0.99637030000000004</v>
      </c>
      <c r="AB363">
        <v>29</v>
      </c>
      <c r="AC363">
        <v>0.61369999999999403</v>
      </c>
      <c r="AD363">
        <v>-0.2091015</v>
      </c>
      <c r="AE363">
        <v>-6.9900000000018198E-2</v>
      </c>
      <c r="AF363">
        <v>6.2307607550516897E-2</v>
      </c>
      <c r="AG363">
        <v>-0.2091015</v>
      </c>
      <c r="AH363">
        <v>0.55064456433070597</v>
      </c>
      <c r="AI363">
        <v>110.673073907055</v>
      </c>
      <c r="AJ363">
        <v>83.544215667499401</v>
      </c>
      <c r="AK363">
        <v>0.59229647262825502</v>
      </c>
      <c r="AL363">
        <v>80.988395877197803</v>
      </c>
      <c r="AM363">
        <v>90.801553696049098</v>
      </c>
      <c r="AN363">
        <v>1.0000000095892301</v>
      </c>
    </row>
    <row r="364" spans="1:40" x14ac:dyDescent="0.25">
      <c r="A364" t="str">
        <f>"20190303161849600"</f>
        <v>20190303161849600</v>
      </c>
      <c r="B364" t="str">
        <f>"1551601129593013"</f>
        <v>1551601129593013</v>
      </c>
      <c r="C364" t="s">
        <v>40</v>
      </c>
      <c r="D364">
        <v>4.529757</v>
      </c>
      <c r="E364">
        <v>0.5421281</v>
      </c>
      <c r="F364" t="s">
        <v>42</v>
      </c>
      <c r="G364">
        <v>-430.00080000000003</v>
      </c>
      <c r="H364">
        <v>0.84249470000000004</v>
      </c>
      <c r="I364">
        <v>366.92579999999998</v>
      </c>
      <c r="J364">
        <v>-430.70330000000001</v>
      </c>
      <c r="K364">
        <v>1.0723069999999999</v>
      </c>
      <c r="L364">
        <v>367.00310000000002</v>
      </c>
      <c r="M364">
        <v>0.99991419999999998</v>
      </c>
      <c r="N364">
        <v>-1.3089760000000001E-2</v>
      </c>
      <c r="O364">
        <v>-7.3004389999999997E-4</v>
      </c>
      <c r="P364">
        <v>0.98955890000000002</v>
      </c>
      <c r="Q364">
        <v>0.1435767</v>
      </c>
      <c r="R364">
        <v>1.262156E-2</v>
      </c>
      <c r="S364">
        <v>3.1575009999999999</v>
      </c>
      <c r="T364">
        <v>-0.84139449999999905</v>
      </c>
      <c r="U364">
        <v>-0.28311160000000002</v>
      </c>
      <c r="V364">
        <v>-1.3341260000000001E-2</v>
      </c>
      <c r="W364">
        <v>0.15651770000000001</v>
      </c>
      <c r="X364">
        <v>0.98758509999999999</v>
      </c>
      <c r="Y364">
        <v>8.5489309999999999E-2</v>
      </c>
      <c r="Z364">
        <v>-1.1562970000000001E-2</v>
      </c>
      <c r="AA364">
        <v>0.99627200000000005</v>
      </c>
      <c r="AB364">
        <v>29</v>
      </c>
      <c r="AC364">
        <v>0.70249999999998602</v>
      </c>
      <c r="AD364">
        <v>-0.229812299999999</v>
      </c>
      <c r="AE364">
        <v>-7.7300000000036506E-2</v>
      </c>
      <c r="AF364">
        <v>6.9444251021445094E-2</v>
      </c>
      <c r="AG364">
        <v>-0.229812299999999</v>
      </c>
      <c r="AH364">
        <v>0.63537372145342097</v>
      </c>
      <c r="AI364">
        <v>109.776304664262</v>
      </c>
      <c r="AJ364">
        <v>83.762518915451807</v>
      </c>
      <c r="AK364">
        <v>0.67921716935365295</v>
      </c>
      <c r="AL364">
        <v>80.995172006074696</v>
      </c>
      <c r="AM364">
        <v>90.773960033983599</v>
      </c>
      <c r="AN364">
        <v>1.0000000546868399</v>
      </c>
    </row>
    <row r="365" spans="1:40" x14ac:dyDescent="0.25">
      <c r="A365" t="str">
        <f>"20190303161849620"</f>
        <v>20190303161849620</v>
      </c>
      <c r="B365" t="str">
        <f>"1551601129613510"</f>
        <v>1551601129613510</v>
      </c>
      <c r="C365" t="s">
        <v>40</v>
      </c>
      <c r="D365">
        <v>4.5765640000000003</v>
      </c>
      <c r="E365">
        <v>0.54184980000000005</v>
      </c>
      <c r="F365" t="s">
        <v>42</v>
      </c>
      <c r="G365">
        <v>-429.9837</v>
      </c>
      <c r="H365">
        <v>0.8803917</v>
      </c>
      <c r="I365">
        <v>366.93790000000001</v>
      </c>
      <c r="J365">
        <v>-430.4633</v>
      </c>
      <c r="K365">
        <v>1.0721459999999901</v>
      </c>
      <c r="L365">
        <v>367.00299999999999</v>
      </c>
      <c r="M365">
        <v>0.99991589999999997</v>
      </c>
      <c r="N365">
        <v>-1.295878E-2</v>
      </c>
      <c r="O365">
        <v>-7.2120330000000001E-4</v>
      </c>
      <c r="P365">
        <v>0.98951210000000001</v>
      </c>
      <c r="Q365">
        <v>0.1439212</v>
      </c>
      <c r="R365">
        <v>1.2356850000000001E-2</v>
      </c>
      <c r="S365">
        <v>3.1575319999999998</v>
      </c>
      <c r="T365">
        <v>-0.84217690000000001</v>
      </c>
      <c r="U365">
        <v>-0.28579710000000003</v>
      </c>
      <c r="V365">
        <v>-1.306767E-2</v>
      </c>
      <c r="W365">
        <v>0.1567325</v>
      </c>
      <c r="X365">
        <v>0.98755470000000001</v>
      </c>
      <c r="Y365">
        <v>8.6304140000000001E-2</v>
      </c>
      <c r="Z365">
        <v>-1.168074E-2</v>
      </c>
      <c r="AA365">
        <v>0.99620039999999999</v>
      </c>
      <c r="AB365">
        <v>29</v>
      </c>
      <c r="AC365">
        <v>0.47960000000000402</v>
      </c>
      <c r="AD365">
        <v>-0.19175429999999899</v>
      </c>
      <c r="AE365">
        <v>-6.5100000000029398E-2</v>
      </c>
      <c r="AF365">
        <v>5.5968904489544301E-2</v>
      </c>
      <c r="AG365">
        <v>-0.19175429999999899</v>
      </c>
      <c r="AH365">
        <v>0.41457331838301098</v>
      </c>
      <c r="AI365">
        <v>114.625575298456</v>
      </c>
      <c r="AJ365">
        <v>82.311347751095894</v>
      </c>
      <c r="AK365">
        <v>0.46018829423764201</v>
      </c>
      <c r="AL365">
        <v>80.982711157976397</v>
      </c>
      <c r="AM365">
        <v>90.758113595586494</v>
      </c>
      <c r="AN365">
        <v>1.00000006302378</v>
      </c>
    </row>
    <row r="366" spans="1:40" x14ac:dyDescent="0.25">
      <c r="A366" t="str">
        <f>"20190303161849634"</f>
        <v>20190303161849634</v>
      </c>
      <c r="B366" t="str">
        <f>"1551601129623269"</f>
        <v>1551601129623269</v>
      </c>
      <c r="C366" t="s">
        <v>40</v>
      </c>
      <c r="D366">
        <v>4.6082369999999999</v>
      </c>
      <c r="E366">
        <v>0.54176939999999996</v>
      </c>
      <c r="F366" t="s">
        <v>42</v>
      </c>
      <c r="G366">
        <v>-429.72809999999998</v>
      </c>
      <c r="H366">
        <v>0.87547469999999905</v>
      </c>
      <c r="I366">
        <v>366.93630000000002</v>
      </c>
      <c r="J366">
        <v>-430.28480000000002</v>
      </c>
      <c r="K366">
        <v>1.0720350000000001</v>
      </c>
      <c r="L366">
        <v>367.00290000000001</v>
      </c>
      <c r="M366">
        <v>0.9999169</v>
      </c>
      <c r="N366">
        <v>-1.287028E-2</v>
      </c>
      <c r="O366">
        <v>-7.1479050000000004E-4</v>
      </c>
      <c r="P366">
        <v>0.98950660000000001</v>
      </c>
      <c r="Q366">
        <v>0.14397939999999901</v>
      </c>
      <c r="R366">
        <v>1.2106759999999999E-2</v>
      </c>
      <c r="S366">
        <v>3.158264</v>
      </c>
      <c r="T366">
        <v>-0.84498989999999996</v>
      </c>
      <c r="U366">
        <v>-0.28448489999999999</v>
      </c>
      <c r="V366">
        <v>-1.2811090000000001E-2</v>
      </c>
      <c r="W366">
        <v>0.156702799999999</v>
      </c>
      <c r="X366">
        <v>0.98756270000000002</v>
      </c>
      <c r="Y366">
        <v>8.5876930000000004E-2</v>
      </c>
      <c r="Z366">
        <v>-1.165311E-2</v>
      </c>
      <c r="AA366">
        <v>0.99623759999999995</v>
      </c>
      <c r="AB366">
        <v>29</v>
      </c>
      <c r="AC366">
        <v>0.55670000000003395</v>
      </c>
      <c r="AD366">
        <v>-0.19656029999999999</v>
      </c>
      <c r="AE366">
        <v>-6.6599999999993997E-2</v>
      </c>
      <c r="AF366">
        <v>5.89559162011567E-2</v>
      </c>
      <c r="AG366">
        <v>-0.19656029999999999</v>
      </c>
      <c r="AH366">
        <v>0.49580894886653099</v>
      </c>
      <c r="AI366">
        <v>111.488086424334</v>
      </c>
      <c r="AJ366">
        <v>83.218883071169003</v>
      </c>
      <c r="AK366">
        <v>0.53659879366929497</v>
      </c>
      <c r="AL366">
        <v>80.984433459552406</v>
      </c>
      <c r="AM366">
        <v>90.743223916249406</v>
      </c>
      <c r="AN366">
        <v>0.99999998899305897</v>
      </c>
    </row>
    <row r="367" spans="1:40" x14ac:dyDescent="0.25">
      <c r="A367" t="str">
        <f>"20190303161849646"</f>
        <v>20190303161849646</v>
      </c>
      <c r="B367" t="str">
        <f>"1551601129643150"</f>
        <v>1551601129643150</v>
      </c>
      <c r="C367" t="s">
        <v>40</v>
      </c>
      <c r="D367">
        <v>4.626938</v>
      </c>
      <c r="E367">
        <v>0.54165869999999905</v>
      </c>
      <c r="F367" t="s">
        <v>42</v>
      </c>
      <c r="G367">
        <v>-429.47919999999999</v>
      </c>
      <c r="H367">
        <v>0.85580000000000001</v>
      </c>
      <c r="I367">
        <v>366.93029999999999</v>
      </c>
      <c r="J367">
        <v>-430.12540000000001</v>
      </c>
      <c r="K367">
        <v>1.07195</v>
      </c>
      <c r="L367">
        <v>367.0027</v>
      </c>
      <c r="M367">
        <v>0.99991790000000003</v>
      </c>
      <c r="N367">
        <v>-1.27955E-2</v>
      </c>
      <c r="O367">
        <v>-7.0870779999999999E-4</v>
      </c>
      <c r="P367">
        <v>0.98946339999999999</v>
      </c>
      <c r="Q367">
        <v>0.14426059999999999</v>
      </c>
      <c r="R367">
        <v>1.229631E-2</v>
      </c>
      <c r="S367">
        <v>3.1586609999999999</v>
      </c>
      <c r="T367">
        <v>-0.84789999999999999</v>
      </c>
      <c r="U367">
        <v>-0.28430179999999999</v>
      </c>
      <c r="V367">
        <v>-1.2994779999999999E-2</v>
      </c>
      <c r="W367">
        <v>0.15690960000000001</v>
      </c>
      <c r="X367">
        <v>0.9875275</v>
      </c>
      <c r="Y367">
        <v>8.5798159999999998E-2</v>
      </c>
      <c r="Z367">
        <v>-1.167604E-2</v>
      </c>
      <c r="AA367">
        <v>0.99624409999999997</v>
      </c>
      <c r="AB367">
        <v>29</v>
      </c>
      <c r="AC367">
        <v>0.64620000000002098</v>
      </c>
      <c r="AD367">
        <v>-0.21614999999999901</v>
      </c>
      <c r="AE367">
        <v>-7.2400000000015993E-2</v>
      </c>
      <c r="AF367">
        <v>6.47834612073626E-2</v>
      </c>
      <c r="AG367">
        <v>-0.21614999999999901</v>
      </c>
      <c r="AH367">
        <v>0.58194656306628201</v>
      </c>
      <c r="AI367">
        <v>110.261401135463</v>
      </c>
      <c r="AJ367">
        <v>83.647872266322196</v>
      </c>
      <c r="AK367">
        <v>0.62416305690954199</v>
      </c>
      <c r="AL367">
        <v>80.972436608171506</v>
      </c>
      <c r="AM367">
        <v>90.753906174531707</v>
      </c>
      <c r="AN367">
        <v>1.00000002506782</v>
      </c>
    </row>
    <row r="368" spans="1:40" x14ac:dyDescent="0.25">
      <c r="A368" t="str">
        <f>"20190303161849663"</f>
        <v>20190303161849663</v>
      </c>
      <c r="B368" t="str">
        <f>"1551601129652910"</f>
        <v>1551601129652910</v>
      </c>
      <c r="C368" t="s">
        <v>40</v>
      </c>
      <c r="D368">
        <v>4.6318070000000002</v>
      </c>
      <c r="E368">
        <v>0.539278699999999</v>
      </c>
      <c r="F368" t="s">
        <v>42</v>
      </c>
      <c r="G368">
        <v>-429.23140000000001</v>
      </c>
      <c r="H368">
        <v>0.830647899999999</v>
      </c>
      <c r="I368">
        <v>366.92239999999998</v>
      </c>
      <c r="J368">
        <v>-429.89530000000002</v>
      </c>
      <c r="K368">
        <v>1.0718479999999999</v>
      </c>
      <c r="L368">
        <v>367.00259999999997</v>
      </c>
      <c r="M368">
        <v>0.99991920000000001</v>
      </c>
      <c r="N368">
        <v>-1.2698350000000001E-2</v>
      </c>
      <c r="O368">
        <v>-7.0034060000000002E-4</v>
      </c>
      <c r="P368">
        <v>0.98936599999999997</v>
      </c>
      <c r="Q368">
        <v>0.14491950000000001</v>
      </c>
      <c r="R368">
        <v>1.238962E-2</v>
      </c>
      <c r="S368">
        <v>3.1598510000000002</v>
      </c>
      <c r="T368">
        <v>-0.85299849999999999</v>
      </c>
      <c r="U368">
        <v>-0.28265380000000001</v>
      </c>
      <c r="V368">
        <v>-1.3079769999999999E-2</v>
      </c>
      <c r="W368">
        <v>0.15747130000000001</v>
      </c>
      <c r="X368">
        <v>0.98743700000000001</v>
      </c>
      <c r="Y368">
        <v>8.5244799999999996E-2</v>
      </c>
      <c r="Z368">
        <v>-1.1657789999999999E-2</v>
      </c>
      <c r="AA368">
        <v>0.99629179999999995</v>
      </c>
      <c r="AB368">
        <v>29</v>
      </c>
      <c r="AC368">
        <v>0.66390000000001204</v>
      </c>
      <c r="AD368">
        <v>-0.2412001</v>
      </c>
      <c r="AE368">
        <v>-8.0199999999990695E-2</v>
      </c>
      <c r="AF368">
        <v>7.0556056221417002E-2</v>
      </c>
      <c r="AG368">
        <v>-0.2412001</v>
      </c>
      <c r="AH368">
        <v>0.58752273513649</v>
      </c>
      <c r="AI368">
        <v>112.17624007374</v>
      </c>
      <c r="AJ368">
        <v>83.152099869858404</v>
      </c>
      <c r="AK368">
        <v>0.63901377889040201</v>
      </c>
      <c r="AL368">
        <v>80.939848760814996</v>
      </c>
      <c r="AM368">
        <v>90.758905926617601</v>
      </c>
      <c r="AN368">
        <v>1.0000000598379599</v>
      </c>
    </row>
    <row r="369" spans="1:40" x14ac:dyDescent="0.25">
      <c r="A369" t="str">
        <f>"20190303161849676"</f>
        <v>20190303161849676</v>
      </c>
      <c r="B369" t="str">
        <f>"1551601129673405"</f>
        <v>1551601129673405</v>
      </c>
      <c r="C369" t="s">
        <v>40</v>
      </c>
      <c r="D369">
        <v>4.620851</v>
      </c>
      <c r="E369">
        <v>0.53915489999999999</v>
      </c>
      <c r="F369" t="s">
        <v>42</v>
      </c>
      <c r="G369">
        <v>-429.2208</v>
      </c>
      <c r="H369">
        <v>0.85556239999999995</v>
      </c>
      <c r="I369">
        <v>366.94670000000002</v>
      </c>
      <c r="J369">
        <v>-429.74220000000003</v>
      </c>
      <c r="K369">
        <v>1.0717890000000001</v>
      </c>
      <c r="L369">
        <v>367.0025</v>
      </c>
      <c r="M369">
        <v>0.99992000000000003</v>
      </c>
      <c r="N369">
        <v>-1.264038E-2</v>
      </c>
      <c r="O369">
        <v>-6.9484509999999996E-4</v>
      </c>
      <c r="P369">
        <v>0.98933009999999999</v>
      </c>
      <c r="Q369">
        <v>0.1451655</v>
      </c>
      <c r="R369">
        <v>1.237474E-2</v>
      </c>
      <c r="S369">
        <v>3.1851500000000001</v>
      </c>
      <c r="T369">
        <v>-1.02146</v>
      </c>
      <c r="U369">
        <v>-0.26190190000000002</v>
      </c>
      <c r="V369">
        <v>-1.3059599999999999E-2</v>
      </c>
      <c r="W369">
        <v>0.15765970000000001</v>
      </c>
      <c r="X369">
        <v>0.98740709999999998</v>
      </c>
      <c r="Y369">
        <v>7.7277299999999993E-2</v>
      </c>
      <c r="Z369">
        <v>-1.236222E-2</v>
      </c>
      <c r="AA369">
        <v>0.99693299999999996</v>
      </c>
      <c r="AB369">
        <v>29</v>
      </c>
      <c r="AC369">
        <v>0.52140000000002795</v>
      </c>
      <c r="AD369">
        <v>-0.21622659999999999</v>
      </c>
      <c r="AE369">
        <v>-5.57999999999765E-2</v>
      </c>
      <c r="AF369">
        <v>4.7381328299169197E-2</v>
      </c>
      <c r="AG369">
        <v>-0.21622659999999999</v>
      </c>
      <c r="AH369">
        <v>0.44566190995031002</v>
      </c>
      <c r="AI369">
        <v>115.755532124911</v>
      </c>
      <c r="AJ369">
        <v>83.9312954712926</v>
      </c>
      <c r="AK369">
        <v>0.49760774792954399</v>
      </c>
      <c r="AL369">
        <v>80.928916756726807</v>
      </c>
      <c r="AM369">
        <v>90.757758715095207</v>
      </c>
      <c r="AN369">
        <v>0.99999995764332905</v>
      </c>
    </row>
    <row r="370" spans="1:40" x14ac:dyDescent="0.25">
      <c r="A370" t="str">
        <f>"20190303161849688"</f>
        <v>20190303161849688</v>
      </c>
      <c r="B370" t="str">
        <f>"1551601129683166"</f>
        <v>1551601129683166</v>
      </c>
      <c r="C370" t="s">
        <v>40</v>
      </c>
      <c r="D370">
        <v>4.6328579999999997</v>
      </c>
      <c r="E370">
        <v>0.53921289999999999</v>
      </c>
      <c r="F370" t="s">
        <v>42</v>
      </c>
      <c r="G370">
        <v>-428.9753</v>
      </c>
      <c r="H370">
        <v>0.82594529999999999</v>
      </c>
      <c r="I370">
        <v>366.93970000000002</v>
      </c>
      <c r="J370">
        <v>-429.5872</v>
      </c>
      <c r="K370">
        <v>1.071734</v>
      </c>
      <c r="L370">
        <v>367.00240000000002</v>
      </c>
      <c r="M370">
        <v>0.9999207</v>
      </c>
      <c r="N370">
        <v>-1.2583799999999999E-2</v>
      </c>
      <c r="O370">
        <v>-6.8912270000000004E-4</v>
      </c>
      <c r="P370">
        <v>0.98930379999999996</v>
      </c>
      <c r="Q370">
        <v>0.14534069999999999</v>
      </c>
      <c r="R370">
        <v>1.241191E-2</v>
      </c>
      <c r="S370">
        <v>3.185425</v>
      </c>
      <c r="T370">
        <v>-1.0209889999999999</v>
      </c>
      <c r="U370">
        <v>-0.26095580000000002</v>
      </c>
      <c r="V370">
        <v>-1.3090890000000001E-2</v>
      </c>
      <c r="W370">
        <v>0.15777840000000001</v>
      </c>
      <c r="X370">
        <v>0.98738780000000004</v>
      </c>
      <c r="Y370">
        <v>7.7000730000000003E-2</v>
      </c>
      <c r="Z370">
        <v>-1.2310639999999999E-2</v>
      </c>
      <c r="AA370">
        <v>0.99695500000000004</v>
      </c>
      <c r="AB370">
        <v>29</v>
      </c>
      <c r="AC370">
        <v>0.61189999999999101</v>
      </c>
      <c r="AD370">
        <v>-0.245788699999999</v>
      </c>
      <c r="AE370">
        <v>-6.2700000000006598E-2</v>
      </c>
      <c r="AF370">
        <v>5.3703389594850597E-2</v>
      </c>
      <c r="AG370">
        <v>-0.245788699999999</v>
      </c>
      <c r="AH370">
        <v>0.52768666958785504</v>
      </c>
      <c r="AI370">
        <v>114.86261600975401</v>
      </c>
      <c r="AJ370">
        <v>84.188938045259206</v>
      </c>
      <c r="AK370">
        <v>0.58459332904369399</v>
      </c>
      <c r="AL370">
        <v>80.922030221093706</v>
      </c>
      <c r="AM370">
        <v>90.759588891299202</v>
      </c>
      <c r="AN370">
        <v>1.00000003124819</v>
      </c>
    </row>
    <row r="371" spans="1:40" x14ac:dyDescent="0.25">
      <c r="A371" t="str">
        <f>"20190303161849699"</f>
        <v>20190303161849699</v>
      </c>
      <c r="B371" t="str">
        <f>"1551601129692926"</f>
        <v>1551601129692926</v>
      </c>
      <c r="C371" t="s">
        <v>40</v>
      </c>
      <c r="D371">
        <v>4.6163460000000001</v>
      </c>
      <c r="E371">
        <v>0.5398058</v>
      </c>
      <c r="F371" t="s">
        <v>42</v>
      </c>
      <c r="G371">
        <v>-428.72840000000002</v>
      </c>
      <c r="H371">
        <v>0.79741099999999998</v>
      </c>
      <c r="I371">
        <v>366.93130000000002</v>
      </c>
      <c r="J371">
        <v>-429.42340000000002</v>
      </c>
      <c r="K371">
        <v>1.0716829999999999</v>
      </c>
      <c r="L371">
        <v>367.00229999999999</v>
      </c>
      <c r="M371">
        <v>0.99992130000000001</v>
      </c>
      <c r="N371">
        <v>-1.2529230000000001E-2</v>
      </c>
      <c r="O371">
        <v>-6.8270359999999999E-4</v>
      </c>
      <c r="P371">
        <v>0.98922600000000005</v>
      </c>
      <c r="Q371">
        <v>0.14585139999999999</v>
      </c>
      <c r="R371">
        <v>1.2608629999999999E-2</v>
      </c>
      <c r="S371">
        <v>3.1852109999999998</v>
      </c>
      <c r="T371">
        <v>-1.017493</v>
      </c>
      <c r="U371">
        <v>-0.26150509999999999</v>
      </c>
      <c r="V371">
        <v>-1.3281060000000001E-2</v>
      </c>
      <c r="W371">
        <v>0.1582346</v>
      </c>
      <c r="X371">
        <v>0.98731219999999997</v>
      </c>
      <c r="Y371">
        <v>7.719906E-2</v>
      </c>
      <c r="Z371">
        <v>-1.2304590000000001E-2</v>
      </c>
      <c r="AA371">
        <v>0.99693980000000004</v>
      </c>
      <c r="AB371">
        <v>29</v>
      </c>
      <c r="AC371">
        <v>0.69499999999999296</v>
      </c>
      <c r="AD371">
        <v>-0.27427200000000002</v>
      </c>
      <c r="AE371">
        <v>-7.0999999999969504E-2</v>
      </c>
      <c r="AF371">
        <v>6.1107091608205398E-2</v>
      </c>
      <c r="AG371">
        <v>-0.27427200000000002</v>
      </c>
      <c r="AH371">
        <v>0.602227573364994</v>
      </c>
      <c r="AI371">
        <v>114.375403801416</v>
      </c>
      <c r="AJ371">
        <v>84.206116714219505</v>
      </c>
      <c r="AK371">
        <v>0.66455794085234099</v>
      </c>
      <c r="AL371">
        <v>80.895558870647903</v>
      </c>
      <c r="AM371">
        <v>90.770681039673093</v>
      </c>
      <c r="AN371">
        <v>0.99999997773036098</v>
      </c>
    </row>
    <row r="372" spans="1:40" x14ac:dyDescent="0.25">
      <c r="A372" t="str">
        <f>"20190303161849712"</f>
        <v>20190303161849712</v>
      </c>
      <c r="B372" t="str">
        <f>"1551601129703662"</f>
        <v>1551601129703662</v>
      </c>
      <c r="C372" t="s">
        <v>40</v>
      </c>
      <c r="D372">
        <v>4.6298539999999999</v>
      </c>
      <c r="E372">
        <v>0.54027639999999999</v>
      </c>
      <c r="F372" t="s">
        <v>42</v>
      </c>
      <c r="G372">
        <v>-428.709</v>
      </c>
      <c r="H372">
        <v>0.84598879999999999</v>
      </c>
      <c r="I372">
        <v>366.94209999999998</v>
      </c>
      <c r="J372">
        <v>-429.26819999999998</v>
      </c>
      <c r="K372">
        <v>1.0716399999999999</v>
      </c>
      <c r="L372">
        <v>367.00220000000002</v>
      </c>
      <c r="M372">
        <v>0.99992190000000003</v>
      </c>
      <c r="N372">
        <v>-1.2481300000000001E-2</v>
      </c>
      <c r="O372">
        <v>-6.7692289999999895E-4</v>
      </c>
      <c r="P372">
        <v>0.9891877</v>
      </c>
      <c r="Q372">
        <v>0.14608840000000001</v>
      </c>
      <c r="R372">
        <v>1.2882879999999999E-2</v>
      </c>
      <c r="S372">
        <v>3.1843870000000001</v>
      </c>
      <c r="T372">
        <v>-1.006014</v>
      </c>
      <c r="U372">
        <v>-0.26586910000000002</v>
      </c>
      <c r="V372">
        <v>-1.3549469999999999E-2</v>
      </c>
      <c r="W372">
        <v>0.15842390000000001</v>
      </c>
      <c r="X372">
        <v>0.98727819999999999</v>
      </c>
      <c r="Y372">
        <v>7.8596089999999993E-2</v>
      </c>
      <c r="Z372">
        <v>-1.24035E-2</v>
      </c>
      <c r="AA372">
        <v>0.99682939999999998</v>
      </c>
      <c r="AB372">
        <v>29</v>
      </c>
      <c r="AC372">
        <v>0.55919999999997505</v>
      </c>
      <c r="AD372">
        <v>-0.225651199999999</v>
      </c>
      <c r="AE372">
        <v>-6.0100000000034001E-2</v>
      </c>
      <c r="AF372">
        <v>5.14408324454972E-2</v>
      </c>
      <c r="AG372">
        <v>-0.225651199999999</v>
      </c>
      <c r="AH372">
        <v>0.48169985142306498</v>
      </c>
      <c r="AI372">
        <v>114.976067641721</v>
      </c>
      <c r="AJ372">
        <v>83.904472568494</v>
      </c>
      <c r="AK372">
        <v>0.53441497936072901</v>
      </c>
      <c r="AL372">
        <v>80.884574264266604</v>
      </c>
      <c r="AM372">
        <v>90.786281628352995</v>
      </c>
      <c r="AN372">
        <v>0.99999998221186503</v>
      </c>
    </row>
    <row r="373" spans="1:40" x14ac:dyDescent="0.25">
      <c r="A373" t="str">
        <f>"20190303161849735"</f>
        <v>20190303161849735</v>
      </c>
      <c r="B373" t="str">
        <f>"1551601129723462"</f>
        <v>1551601129723462</v>
      </c>
      <c r="C373" t="s">
        <v>40</v>
      </c>
      <c r="D373">
        <v>4.6345549999999998</v>
      </c>
      <c r="E373">
        <v>0.54063589999999995</v>
      </c>
      <c r="F373" t="s">
        <v>42</v>
      </c>
      <c r="G373">
        <v>-428.46170000000001</v>
      </c>
      <c r="H373">
        <v>0.81881269999999995</v>
      </c>
      <c r="I373">
        <v>366.93400000000003</v>
      </c>
      <c r="J373">
        <v>-428.99579999999997</v>
      </c>
      <c r="K373">
        <v>1.0715669999999999</v>
      </c>
      <c r="L373">
        <v>367.00200000000001</v>
      </c>
      <c r="M373">
        <v>0.99992289999999995</v>
      </c>
      <c r="N373">
        <v>-1.2404729999999999E-2</v>
      </c>
      <c r="O373">
        <v>-6.6631809999999998E-4</v>
      </c>
      <c r="P373">
        <v>0.98905929999999997</v>
      </c>
      <c r="Q373">
        <v>0.14689859999999999</v>
      </c>
      <c r="R373">
        <v>1.351784E-2</v>
      </c>
      <c r="S373">
        <v>3.183716</v>
      </c>
      <c r="T373">
        <v>-0.99815849999999995</v>
      </c>
      <c r="U373">
        <v>-0.26861570000000001</v>
      </c>
      <c r="V373">
        <v>-1.417437E-2</v>
      </c>
      <c r="W373">
        <v>0.159156399999999</v>
      </c>
      <c r="X373">
        <v>0.98715160000000002</v>
      </c>
      <c r="Y373">
        <v>7.9491439999999997E-2</v>
      </c>
      <c r="Z373">
        <v>-1.245921E-2</v>
      </c>
      <c r="AA373">
        <v>0.99675769999999997</v>
      </c>
      <c r="AB373">
        <v>29</v>
      </c>
      <c r="AC373">
        <v>0.53409999999996605</v>
      </c>
      <c r="AD373">
        <v>-0.25275429999999999</v>
      </c>
      <c r="AE373">
        <v>-6.7999999999926702E-2</v>
      </c>
      <c r="AF373">
        <v>5.5428781432363197E-2</v>
      </c>
      <c r="AG373">
        <v>-0.25275429999999999</v>
      </c>
      <c r="AH373">
        <v>0.43768824315157201</v>
      </c>
      <c r="AI373">
        <v>119.80839226466399</v>
      </c>
      <c r="AJ373">
        <v>82.782490372070797</v>
      </c>
      <c r="AK373">
        <v>0.50845657058659099</v>
      </c>
      <c r="AL373">
        <v>80.842065722318594</v>
      </c>
      <c r="AM373">
        <v>90.822645448710006</v>
      </c>
      <c r="AN373">
        <v>0.99999997690420805</v>
      </c>
    </row>
    <row r="374" spans="1:40" x14ac:dyDescent="0.25">
      <c r="A374" t="str">
        <f>"20190303161849755"</f>
        <v>20190303161849755</v>
      </c>
      <c r="B374" t="str">
        <f>"1551601129742973"</f>
        <v>1551601129742973</v>
      </c>
      <c r="C374" t="s">
        <v>40</v>
      </c>
      <c r="D374">
        <v>4.6484480000000001</v>
      </c>
      <c r="E374">
        <v>0.54088539999999996</v>
      </c>
      <c r="F374" t="s">
        <v>42</v>
      </c>
      <c r="G374">
        <v>-428.20139999999998</v>
      </c>
      <c r="H374">
        <v>0.82412730000000001</v>
      </c>
      <c r="I374">
        <v>366.93439999999998</v>
      </c>
      <c r="J374">
        <v>-428.7176</v>
      </c>
      <c r="K374">
        <v>1.071509</v>
      </c>
      <c r="L374">
        <v>367.00189999999998</v>
      </c>
      <c r="M374">
        <v>0.99992380000000003</v>
      </c>
      <c r="N374">
        <v>-1.2335820000000001E-2</v>
      </c>
      <c r="O374">
        <v>-6.5576130000000003E-4</v>
      </c>
      <c r="P374">
        <v>0.98894919999999997</v>
      </c>
      <c r="Q374">
        <v>0.1475524</v>
      </c>
      <c r="R374">
        <v>1.442658E-2</v>
      </c>
      <c r="S374">
        <v>3.1842039999999998</v>
      </c>
      <c r="T374">
        <v>-0.99185109999999999</v>
      </c>
      <c r="U374">
        <v>-0.2696228</v>
      </c>
      <c r="V374">
        <v>-1.5072449999999999E-2</v>
      </c>
      <c r="W374">
        <v>0.1597411</v>
      </c>
      <c r="X374">
        <v>0.98704389999999997</v>
      </c>
      <c r="Y374">
        <v>7.9834359999999993E-2</v>
      </c>
      <c r="Z374">
        <v>-1.24396E-2</v>
      </c>
      <c r="AA374">
        <v>0.99673049999999996</v>
      </c>
      <c r="AB374">
        <v>29</v>
      </c>
      <c r="AC374">
        <v>0.51620000000002597</v>
      </c>
      <c r="AD374">
        <v>-0.24738169999999901</v>
      </c>
      <c r="AE374">
        <v>-6.7499999999995397E-2</v>
      </c>
      <c r="AF374">
        <v>5.4789619086708E-2</v>
      </c>
      <c r="AG374">
        <v>-0.24738169999999901</v>
      </c>
      <c r="AH374">
        <v>0.42114662865277402</v>
      </c>
      <c r="AI374">
        <v>120.22044642522199</v>
      </c>
      <c r="AJ374">
        <v>82.587661926268197</v>
      </c>
      <c r="AK374">
        <v>0.49149169950280402</v>
      </c>
      <c r="AL374">
        <v>80.808131205778906</v>
      </c>
      <c r="AM374">
        <v>90.874855370644397</v>
      </c>
      <c r="AN374">
        <v>1.00000002915271</v>
      </c>
    </row>
    <row r="375" spans="1:40" x14ac:dyDescent="0.25">
      <c r="A375" t="str">
        <f>"20190303161849777"</f>
        <v>20190303161849777</v>
      </c>
      <c r="B375" t="str">
        <f>"1551601129773229"</f>
        <v>1551601129773229</v>
      </c>
      <c r="C375" t="s">
        <v>40</v>
      </c>
      <c r="D375">
        <v>4.6515380000000004</v>
      </c>
      <c r="E375">
        <v>0.5411243</v>
      </c>
      <c r="F375" t="s">
        <v>42</v>
      </c>
      <c r="G375">
        <v>-427.94049999999999</v>
      </c>
      <c r="H375">
        <v>0.83088289999999998</v>
      </c>
      <c r="I375">
        <v>366.93579999999997</v>
      </c>
      <c r="J375">
        <v>-428.44240000000002</v>
      </c>
      <c r="K375">
        <v>1.0714600000000001</v>
      </c>
      <c r="L375">
        <v>367.00170000000003</v>
      </c>
      <c r="M375">
        <v>0.99992449999999999</v>
      </c>
      <c r="N375">
        <v>-1.227603E-2</v>
      </c>
      <c r="O375">
        <v>-6.4537850000000001E-4</v>
      </c>
      <c r="P375">
        <v>0.98887849999999999</v>
      </c>
      <c r="Q375">
        <v>0.14791689999999999</v>
      </c>
      <c r="R375">
        <v>1.5487910000000001E-2</v>
      </c>
      <c r="S375">
        <v>3.1845699999999999</v>
      </c>
      <c r="T375">
        <v>-0.98605589999999999</v>
      </c>
      <c r="U375">
        <v>-0.27044679999999999</v>
      </c>
      <c r="V375">
        <v>-1.612309E-2</v>
      </c>
      <c r="W375">
        <v>0.16004560000000001</v>
      </c>
      <c r="X375">
        <v>0.98697789999999996</v>
      </c>
      <c r="Y375">
        <v>8.0121869999999998E-2</v>
      </c>
      <c r="Z375">
        <v>-1.241724E-2</v>
      </c>
      <c r="AA375">
        <v>0.99670769999999997</v>
      </c>
      <c r="AB375">
        <v>29</v>
      </c>
      <c r="AC375">
        <v>0.50190000000003399</v>
      </c>
      <c r="AD375">
        <v>-0.24057709999999999</v>
      </c>
      <c r="AE375">
        <v>-6.5900000000055997E-2</v>
      </c>
      <c r="AF375">
        <v>5.3493651914963102E-2</v>
      </c>
      <c r="AG375">
        <v>-0.24057709999999999</v>
      </c>
      <c r="AH375">
        <v>0.409459475707382</v>
      </c>
      <c r="AI375">
        <v>120.224956327556</v>
      </c>
      <c r="AJ375">
        <v>82.556774210147594</v>
      </c>
      <c r="AK375">
        <v>0.477907913814129</v>
      </c>
      <c r="AL375">
        <v>80.790456625962406</v>
      </c>
      <c r="AM375">
        <v>90.935890103968404</v>
      </c>
      <c r="AN375">
        <v>0.99999996159945803</v>
      </c>
    </row>
    <row r="376" spans="1:40" x14ac:dyDescent="0.25">
      <c r="A376" t="str">
        <f>"20190303161849789"</f>
        <v>20190303161849789</v>
      </c>
      <c r="B376" t="str">
        <f>"1551601129783966"</f>
        <v>1551601129783966</v>
      </c>
      <c r="C376" t="s">
        <v>40</v>
      </c>
      <c r="D376">
        <v>4.636781</v>
      </c>
      <c r="E376">
        <v>0.54115190000000002</v>
      </c>
      <c r="F376" t="s">
        <v>42</v>
      </c>
      <c r="G376">
        <v>-427.68</v>
      </c>
      <c r="H376">
        <v>0.83636549999999998</v>
      </c>
      <c r="I376">
        <v>366.93700000000001</v>
      </c>
      <c r="J376">
        <v>-428.2706</v>
      </c>
      <c r="K376">
        <v>1.0714319999999999</v>
      </c>
      <c r="L376">
        <v>367.0016</v>
      </c>
      <c r="M376">
        <v>0.99992479999999995</v>
      </c>
      <c r="N376">
        <v>-1.2242319999999999E-2</v>
      </c>
      <c r="O376">
        <v>-6.3980880000000001E-4</v>
      </c>
      <c r="P376">
        <v>0.98884530000000004</v>
      </c>
      <c r="Q376">
        <v>0.148118</v>
      </c>
      <c r="R376">
        <v>1.5685979999999999E-2</v>
      </c>
      <c r="S376">
        <v>3.1848450000000001</v>
      </c>
      <c r="T376">
        <v>-0.98210280000000005</v>
      </c>
      <c r="U376">
        <v>-0.26846310000000001</v>
      </c>
      <c r="V376">
        <v>-1.63156E-2</v>
      </c>
      <c r="W376">
        <v>0.16021270000000001</v>
      </c>
      <c r="X376">
        <v>0.98694769999999998</v>
      </c>
      <c r="Y376">
        <v>7.9560939999999997E-2</v>
      </c>
      <c r="Z376">
        <v>-1.228314E-2</v>
      </c>
      <c r="AA376">
        <v>0.99675429999999998</v>
      </c>
      <c r="AB376">
        <v>29</v>
      </c>
      <c r="AC376">
        <v>0.59059999999999402</v>
      </c>
      <c r="AD376">
        <v>-0.23506649999999901</v>
      </c>
      <c r="AE376">
        <v>-6.4600000000041194E-2</v>
      </c>
      <c r="AF376">
        <v>5.5529427103127499E-2</v>
      </c>
      <c r="AG376">
        <v>-0.23506649999999901</v>
      </c>
      <c r="AH376">
        <v>0.51069607946043805</v>
      </c>
      <c r="AI376">
        <v>114.588331491753</v>
      </c>
      <c r="AJ376">
        <v>83.794447167351905</v>
      </c>
      <c r="AK376">
        <v>0.56493385654686501</v>
      </c>
      <c r="AL376">
        <v>80.780758027248595</v>
      </c>
      <c r="AM376">
        <v>90.947091600510205</v>
      </c>
      <c r="AN376">
        <v>1.0000000352899601</v>
      </c>
    </row>
    <row r="377" spans="1:40" x14ac:dyDescent="0.25">
      <c r="A377" t="str">
        <f>"20190303161849802"</f>
        <v>20190303161849802</v>
      </c>
      <c r="B377" t="str">
        <f>"1551601129793726"</f>
        <v>1551601129793726</v>
      </c>
      <c r="C377" t="s">
        <v>40</v>
      </c>
      <c r="D377">
        <v>4.6842059999999996</v>
      </c>
      <c r="E377">
        <v>0.54097030000000002</v>
      </c>
      <c r="F377" t="s">
        <v>42</v>
      </c>
      <c r="G377">
        <v>-427.43110000000001</v>
      </c>
      <c r="H377">
        <v>0.81265269999999901</v>
      </c>
      <c r="I377">
        <v>366.93099999999998</v>
      </c>
      <c r="J377">
        <v>-428.10770000000002</v>
      </c>
      <c r="K377">
        <v>1.071404</v>
      </c>
      <c r="L377">
        <v>367.00150000000002</v>
      </c>
      <c r="M377">
        <v>0.99992519999999996</v>
      </c>
      <c r="N377">
        <v>-1.221275E-2</v>
      </c>
      <c r="O377">
        <v>-6.3558029999999995E-4</v>
      </c>
      <c r="P377">
        <v>0.98882190000000003</v>
      </c>
      <c r="Q377">
        <v>0.14824809999999999</v>
      </c>
      <c r="R377">
        <v>1.5931299999999999E-2</v>
      </c>
      <c r="S377">
        <v>3.185181</v>
      </c>
      <c r="T377">
        <v>-0.98187040000000003</v>
      </c>
      <c r="U377">
        <v>-0.26806639999999998</v>
      </c>
      <c r="V377">
        <v>-1.655628E-2</v>
      </c>
      <c r="W377">
        <v>0.16031339999999999</v>
      </c>
      <c r="X377">
        <v>0.98692729999999995</v>
      </c>
      <c r="Y377">
        <v>7.9441440000000002E-2</v>
      </c>
      <c r="Z377">
        <v>-1.226062E-2</v>
      </c>
      <c r="AA377">
        <v>0.99676410000000004</v>
      </c>
      <c r="AB377">
        <v>29</v>
      </c>
      <c r="AC377">
        <v>0.67660000000000697</v>
      </c>
      <c r="AD377">
        <v>-0.25875130000000002</v>
      </c>
      <c r="AE377">
        <v>-7.0500000000038199E-2</v>
      </c>
      <c r="AF377">
        <v>6.1213494132611498E-2</v>
      </c>
      <c r="AG377">
        <v>-0.25875130000000002</v>
      </c>
      <c r="AH377">
        <v>0.59112076652471701</v>
      </c>
      <c r="AI377">
        <v>113.52839059306601</v>
      </c>
      <c r="AJ377">
        <v>84.087810470461505</v>
      </c>
      <c r="AK377">
        <v>0.64816902713133595</v>
      </c>
      <c r="AL377">
        <v>80.774912423804906</v>
      </c>
      <c r="AM377">
        <v>90.961079907243004</v>
      </c>
      <c r="AN377">
        <v>0.99999999605614398</v>
      </c>
    </row>
    <row r="378" spans="1:40" x14ac:dyDescent="0.25">
      <c r="A378" t="str">
        <f>"20190303161849823"</f>
        <v>20190303161849823</v>
      </c>
      <c r="B378" t="str">
        <f>"1551601129813245"</f>
        <v>1551601129813245</v>
      </c>
      <c r="C378" t="s">
        <v>40</v>
      </c>
      <c r="D378">
        <v>4.6912510000000003</v>
      </c>
      <c r="E378">
        <v>0.5407035</v>
      </c>
      <c r="F378" t="s">
        <v>42</v>
      </c>
      <c r="G378">
        <v>-427.4128</v>
      </c>
      <c r="H378">
        <v>0.85687469999999999</v>
      </c>
      <c r="I378">
        <v>366.94349999999997</v>
      </c>
      <c r="J378">
        <v>-427.84629999999999</v>
      </c>
      <c r="K378">
        <v>1.071372</v>
      </c>
      <c r="L378">
        <v>367.00130000000001</v>
      </c>
      <c r="M378">
        <v>0.99992590000000003</v>
      </c>
      <c r="N378">
        <v>-1.217011E-2</v>
      </c>
      <c r="O378">
        <v>-6.3057580000000003E-4</v>
      </c>
      <c r="P378">
        <v>0.98876660000000005</v>
      </c>
      <c r="Q378">
        <v>0.14857809999999999</v>
      </c>
      <c r="R378">
        <v>1.6284529999999998E-2</v>
      </c>
      <c r="S378">
        <v>3.185638</v>
      </c>
      <c r="T378">
        <v>-0.98338599999999998</v>
      </c>
      <c r="U378">
        <v>-0.26651000000000002</v>
      </c>
      <c r="V378">
        <v>-1.6904189999999999E-2</v>
      </c>
      <c r="W378">
        <v>0.16060060000000001</v>
      </c>
      <c r="X378">
        <v>0.98687469999999999</v>
      </c>
      <c r="Y378">
        <v>7.8963839999999993E-2</v>
      </c>
      <c r="Z378">
        <v>-1.220137E-2</v>
      </c>
      <c r="AA378">
        <v>0.99680279999999999</v>
      </c>
      <c r="AB378">
        <v>29</v>
      </c>
      <c r="AC378">
        <v>0.43349999999998001</v>
      </c>
      <c r="AD378">
        <v>-0.2144973</v>
      </c>
      <c r="AE378">
        <v>-5.78000000000429E-2</v>
      </c>
      <c r="AF378">
        <v>4.6371714599494601E-2</v>
      </c>
      <c r="AG378">
        <v>-0.2144973</v>
      </c>
      <c r="AH378">
        <v>0.34946997986304601</v>
      </c>
      <c r="AI378">
        <v>121.318246586868</v>
      </c>
      <c r="AJ378">
        <v>82.441488635997899</v>
      </c>
      <c r="AK378">
        <v>0.41266050749697902</v>
      </c>
      <c r="AL378">
        <v>80.758240995721707</v>
      </c>
      <c r="AM378">
        <v>90.981324210326605</v>
      </c>
      <c r="AN378">
        <v>0.99999998893000297</v>
      </c>
    </row>
    <row r="379" spans="1:40" x14ac:dyDescent="0.25">
      <c r="A379" t="str">
        <f>"20190303161849843"</f>
        <v>20190303161849843</v>
      </c>
      <c r="B379" t="str">
        <f>"1551601129833276"</f>
        <v>1551601129833276</v>
      </c>
      <c r="C379" t="s">
        <v>40</v>
      </c>
      <c r="D379">
        <v>4.6556769999999998</v>
      </c>
      <c r="E379">
        <v>0.5408385</v>
      </c>
      <c r="F379" t="s">
        <v>42</v>
      </c>
      <c r="G379">
        <v>-427.1542</v>
      </c>
      <c r="H379">
        <v>0.85742350000000001</v>
      </c>
      <c r="I379">
        <v>366.9436</v>
      </c>
      <c r="J379">
        <v>-427.58620000000002</v>
      </c>
      <c r="K379">
        <v>1.0713440000000001</v>
      </c>
      <c r="L379">
        <v>367.00119999999998</v>
      </c>
      <c r="M379">
        <v>0.99992630000000005</v>
      </c>
      <c r="N379">
        <v>-1.213264E-2</v>
      </c>
      <c r="O379">
        <v>-6.2727989999999999E-4</v>
      </c>
      <c r="P379">
        <v>0.98876810000000004</v>
      </c>
      <c r="Q379">
        <v>0.14858979999999999</v>
      </c>
      <c r="R379">
        <v>1.6081580000000002E-2</v>
      </c>
      <c r="S379">
        <v>3.1864319999999999</v>
      </c>
      <c r="T379">
        <v>-0.98489559999999998</v>
      </c>
      <c r="U379">
        <v>-0.26376339999999998</v>
      </c>
      <c r="V379">
        <v>-1.6697210000000001E-2</v>
      </c>
      <c r="W379">
        <v>0.16057560000000001</v>
      </c>
      <c r="X379">
        <v>0.98688229999999999</v>
      </c>
      <c r="Y379">
        <v>7.8124399999999997E-2</v>
      </c>
      <c r="Z379">
        <v>-1.2083780000000001E-2</v>
      </c>
      <c r="AA379">
        <v>0.99687040000000005</v>
      </c>
      <c r="AB379">
        <v>29</v>
      </c>
      <c r="AC379">
        <v>0.43200000000001598</v>
      </c>
      <c r="AD379">
        <v>-0.21392050000000001</v>
      </c>
      <c r="AE379">
        <v>-5.7599999999979397E-2</v>
      </c>
      <c r="AF379">
        <v>4.6198537506454099E-2</v>
      </c>
      <c r="AG379">
        <v>-0.21392050000000001</v>
      </c>
      <c r="AH379">
        <v>0.34815606835120899</v>
      </c>
      <c r="AI379">
        <v>121.345570207405</v>
      </c>
      <c r="AJ379">
        <v>82.441299766549307</v>
      </c>
      <c r="AK379">
        <v>0.41122856554203202</v>
      </c>
      <c r="AL379">
        <v>80.759692301099804</v>
      </c>
      <c r="AM379">
        <v>90.969303424223597</v>
      </c>
      <c r="AN379">
        <v>0.99999999709521703</v>
      </c>
    </row>
    <row r="380" spans="1:40" x14ac:dyDescent="0.25">
      <c r="A380" t="str">
        <f>"20190303161849856"</f>
        <v>20190303161849856</v>
      </c>
      <c r="B380" t="str">
        <f>"1551601129853768"</f>
        <v>1551601129853768</v>
      </c>
      <c r="C380" t="s">
        <v>40</v>
      </c>
      <c r="D380">
        <v>4.6784480000000004</v>
      </c>
      <c r="E380">
        <v>0.54095099999999996</v>
      </c>
      <c r="F380" t="s">
        <v>42</v>
      </c>
      <c r="G380">
        <v>-426.89550000000003</v>
      </c>
      <c r="H380">
        <v>0.85808410000000002</v>
      </c>
      <c r="I380">
        <v>366.9436</v>
      </c>
      <c r="J380">
        <v>-427.41090000000003</v>
      </c>
      <c r="K380">
        <v>1.071326</v>
      </c>
      <c r="L380">
        <v>367.00110000000001</v>
      </c>
      <c r="M380">
        <v>0.9999266</v>
      </c>
      <c r="N380">
        <v>-1.2110310000000001E-2</v>
      </c>
      <c r="O380">
        <v>-6.2597179999999996E-4</v>
      </c>
      <c r="P380">
        <v>0.98879050000000002</v>
      </c>
      <c r="Q380">
        <v>0.14844289999999999</v>
      </c>
      <c r="R380">
        <v>1.6084370000000001E-2</v>
      </c>
      <c r="S380">
        <v>3.1862789999999999</v>
      </c>
      <c r="T380">
        <v>-0.9837785</v>
      </c>
      <c r="U380">
        <v>-0.26522829999999997</v>
      </c>
      <c r="V380">
        <v>-1.669814E-2</v>
      </c>
      <c r="W380">
        <v>0.1604071</v>
      </c>
      <c r="X380">
        <v>0.9869097</v>
      </c>
      <c r="Y380">
        <v>7.8571450000000001E-2</v>
      </c>
      <c r="Z380">
        <v>-1.214111E-2</v>
      </c>
      <c r="AA380">
        <v>0.99683460000000002</v>
      </c>
      <c r="AB380">
        <v>29</v>
      </c>
      <c r="AC380">
        <v>0.51539999999999897</v>
      </c>
      <c r="AD380">
        <v>-0.21324190000000001</v>
      </c>
      <c r="AE380">
        <v>-5.7500000000004499E-2</v>
      </c>
      <c r="AF380">
        <v>4.8908109542483001E-2</v>
      </c>
      <c r="AG380">
        <v>-0.21324190000000001</v>
      </c>
      <c r="AH380">
        <v>0.44089136618462699</v>
      </c>
      <c r="AI380">
        <v>115.67416204335299</v>
      </c>
      <c r="AJ380">
        <v>83.670054923764496</v>
      </c>
      <c r="AK380">
        <v>0.49218828497921002</v>
      </c>
      <c r="AL380">
        <v>80.7694735577942</v>
      </c>
      <c r="AM380">
        <v>90.969330494561703</v>
      </c>
      <c r="AN380">
        <v>1.00000001078197</v>
      </c>
    </row>
    <row r="381" spans="1:40" x14ac:dyDescent="0.25">
      <c r="A381" t="str">
        <f>"20190303161849869"</f>
        <v>20190303161849869</v>
      </c>
      <c r="B381" t="str">
        <f>"1551601129863529"</f>
        <v>1551601129863529</v>
      </c>
      <c r="C381" t="s">
        <v>40</v>
      </c>
      <c r="D381">
        <v>4.689794</v>
      </c>
      <c r="E381">
        <v>0.5409929</v>
      </c>
      <c r="F381" t="s">
        <v>42</v>
      </c>
      <c r="G381">
        <v>-426.64690000000002</v>
      </c>
      <c r="H381">
        <v>0.83541540000000003</v>
      </c>
      <c r="I381">
        <v>366.93689999999998</v>
      </c>
      <c r="J381">
        <v>-427.24059999999997</v>
      </c>
      <c r="K381">
        <v>1.0713029999999999</v>
      </c>
      <c r="L381">
        <v>367.00099999999998</v>
      </c>
      <c r="M381">
        <v>0.9999268</v>
      </c>
      <c r="N381">
        <v>-1.2089890000000001E-2</v>
      </c>
      <c r="O381">
        <v>-6.2467250000000001E-4</v>
      </c>
      <c r="P381">
        <v>0.98878690000000002</v>
      </c>
      <c r="Q381">
        <v>0.14848499999999901</v>
      </c>
      <c r="R381">
        <v>1.5902179999999998E-2</v>
      </c>
      <c r="S381">
        <v>3.1860050000000002</v>
      </c>
      <c r="T381">
        <v>-0.9838171</v>
      </c>
      <c r="U381">
        <v>-0.26623540000000001</v>
      </c>
      <c r="V381">
        <v>-1.6514069999999999E-2</v>
      </c>
      <c r="W381">
        <v>0.16042870000000001</v>
      </c>
      <c r="X381">
        <v>0.98690929999999999</v>
      </c>
      <c r="Y381">
        <v>7.8877420000000004E-2</v>
      </c>
      <c r="Z381">
        <v>-1.218989E-2</v>
      </c>
      <c r="AA381">
        <v>0.99680979999999997</v>
      </c>
      <c r="AB381">
        <v>29</v>
      </c>
      <c r="AC381">
        <v>0.59369999999995504</v>
      </c>
      <c r="AD381">
        <v>-0.2358876</v>
      </c>
      <c r="AE381">
        <v>-6.4099999999996202E-2</v>
      </c>
      <c r="AF381">
        <v>5.5126946053785597E-2</v>
      </c>
      <c r="AG381">
        <v>-0.2358876</v>
      </c>
      <c r="AH381">
        <v>0.51359697439679997</v>
      </c>
      <c r="AI381">
        <v>114.54439691869899</v>
      </c>
      <c r="AJ381">
        <v>83.873610991801996</v>
      </c>
      <c r="AK381">
        <v>0.56785895442840795</v>
      </c>
      <c r="AL381">
        <v>80.768219857329299</v>
      </c>
      <c r="AM381">
        <v>90.958647586504597</v>
      </c>
      <c r="AN381">
        <v>1.0000000243590701</v>
      </c>
    </row>
    <row r="382" spans="1:40" x14ac:dyDescent="0.25">
      <c r="A382" t="str">
        <f>"20190303161849882"</f>
        <v>20190303161849882</v>
      </c>
      <c r="B382" t="str">
        <f>"1551601129873289"</f>
        <v>1551601129873289</v>
      </c>
      <c r="C382" t="s">
        <v>40</v>
      </c>
      <c r="D382">
        <v>4.6790880000000001</v>
      </c>
      <c r="E382">
        <v>0.54104790000000003</v>
      </c>
      <c r="F382" t="s">
        <v>42</v>
      </c>
      <c r="G382">
        <v>-426.39819999999997</v>
      </c>
      <c r="H382">
        <v>0.81101369999999995</v>
      </c>
      <c r="I382">
        <v>366.93029999999999</v>
      </c>
      <c r="J382">
        <v>-427.0806</v>
      </c>
      <c r="K382">
        <v>1.071291</v>
      </c>
      <c r="L382">
        <v>367.0009</v>
      </c>
      <c r="M382">
        <v>0.99992700000000001</v>
      </c>
      <c r="N382">
        <v>-1.207217E-2</v>
      </c>
      <c r="O382">
        <v>-6.2386169999999999E-4</v>
      </c>
      <c r="P382">
        <v>0.98880250000000003</v>
      </c>
      <c r="Q382">
        <v>0.14844869999999999</v>
      </c>
      <c r="R382">
        <v>1.527002E-2</v>
      </c>
      <c r="S382">
        <v>3.1861269999999999</v>
      </c>
      <c r="T382">
        <v>-0.98441000000000001</v>
      </c>
      <c r="U382">
        <v>-0.26660159999999899</v>
      </c>
      <c r="V382">
        <v>-1.5881269999999999E-2</v>
      </c>
      <c r="W382">
        <v>0.16037509999999999</v>
      </c>
      <c r="X382">
        <v>0.98692829999999998</v>
      </c>
      <c r="Y382">
        <v>7.8980040000000001E-2</v>
      </c>
      <c r="Z382">
        <v>-1.221177E-2</v>
      </c>
      <c r="AA382">
        <v>0.99680139999999995</v>
      </c>
      <c r="AB382">
        <v>29</v>
      </c>
      <c r="AC382">
        <v>0.68240000000002898</v>
      </c>
      <c r="AD382">
        <v>-0.26027729999999999</v>
      </c>
      <c r="AE382">
        <v>-7.0600000000013097E-2</v>
      </c>
      <c r="AF382">
        <v>6.1344520827487203E-2</v>
      </c>
      <c r="AG382">
        <v>-0.26027729999999999</v>
      </c>
      <c r="AH382">
        <v>0.596575035355003</v>
      </c>
      <c r="AI382">
        <v>113.460724078786</v>
      </c>
      <c r="AJ382">
        <v>84.129033215858698</v>
      </c>
      <c r="AK382">
        <v>0.65376539824287605</v>
      </c>
      <c r="AL382">
        <v>80.771330303910403</v>
      </c>
      <c r="AM382">
        <v>90.921902044371805</v>
      </c>
      <c r="AN382">
        <v>0.99999992838885299</v>
      </c>
    </row>
    <row r="383" spans="1:40" x14ac:dyDescent="0.25">
      <c r="A383" t="str">
        <f>"20190303161849900"</f>
        <v>20190303161849900</v>
      </c>
      <c r="B383" t="str">
        <f>"1551601129893784"</f>
        <v>1551601129893784</v>
      </c>
      <c r="C383" t="s">
        <v>40</v>
      </c>
      <c r="D383">
        <v>4.7267219999999996</v>
      </c>
      <c r="E383">
        <v>0.54103769999999995</v>
      </c>
      <c r="F383" t="s">
        <v>42</v>
      </c>
      <c r="G383">
        <v>-426.3802</v>
      </c>
      <c r="H383">
        <v>0.8548365</v>
      </c>
      <c r="I383">
        <v>366.94139999999999</v>
      </c>
      <c r="J383">
        <v>-426.85090000000002</v>
      </c>
      <c r="K383">
        <v>1.071283</v>
      </c>
      <c r="L383">
        <v>367.00080000000003</v>
      </c>
      <c r="M383">
        <v>0.99992729999999996</v>
      </c>
      <c r="N383">
        <v>-1.2049209999999999E-2</v>
      </c>
      <c r="O383">
        <v>-6.236131E-4</v>
      </c>
      <c r="P383">
        <v>0.98876819999999999</v>
      </c>
      <c r="Q383">
        <v>0.14870079999999999</v>
      </c>
      <c r="R383">
        <v>1.50274E-2</v>
      </c>
      <c r="S383">
        <v>3.1859440000000001</v>
      </c>
      <c r="T383">
        <v>-0.9844446</v>
      </c>
      <c r="U383">
        <v>-0.26968379999999997</v>
      </c>
      <c r="V383">
        <v>-1.563784E-2</v>
      </c>
      <c r="W383">
        <v>0.16060429999999901</v>
      </c>
      <c r="X383">
        <v>0.98689499999999997</v>
      </c>
      <c r="Y383">
        <v>7.9898280000000002E-2</v>
      </c>
      <c r="Z383">
        <v>-1.235558E-2</v>
      </c>
      <c r="AA383">
        <v>0.99672649999999996</v>
      </c>
      <c r="AB383">
        <v>29</v>
      </c>
      <c r="AC383">
        <v>0.47070000000002199</v>
      </c>
      <c r="AD383">
        <v>-0.21644649999999999</v>
      </c>
      <c r="AE383">
        <v>-5.9400000000039199E-2</v>
      </c>
      <c r="AF383">
        <v>4.89235840991648E-2</v>
      </c>
      <c r="AG383">
        <v>-0.21644649999999999</v>
      </c>
      <c r="AH383">
        <v>0.38963845356113003</v>
      </c>
      <c r="AI383">
        <v>118.862593397219</v>
      </c>
      <c r="AJ383">
        <v>82.843309874600607</v>
      </c>
      <c r="AK383">
        <v>0.448397958221118</v>
      </c>
      <c r="AL383">
        <v>80.758026429497306</v>
      </c>
      <c r="AM383">
        <v>90.907804028128496</v>
      </c>
      <c r="AN383">
        <v>1.0000000121216699</v>
      </c>
    </row>
    <row r="384" spans="1:40" x14ac:dyDescent="0.25">
      <c r="A384" t="str">
        <f>"20190303161849915"</f>
        <v>20190303161849915</v>
      </c>
      <c r="B384" t="str">
        <f>"1551601129903545"</f>
        <v>1551601129903545</v>
      </c>
      <c r="C384" t="s">
        <v>40</v>
      </c>
      <c r="D384">
        <v>4.6872619999999996</v>
      </c>
      <c r="E384">
        <v>0.54099030000000004</v>
      </c>
      <c r="F384" t="s">
        <v>42</v>
      </c>
      <c r="G384">
        <v>-426.12549999999999</v>
      </c>
      <c r="H384">
        <v>0.84662819999999905</v>
      </c>
      <c r="I384">
        <v>366.93900000000002</v>
      </c>
      <c r="J384">
        <v>-426.65559999999999</v>
      </c>
      <c r="K384">
        <v>1.071272</v>
      </c>
      <c r="L384">
        <v>367.00060000000002</v>
      </c>
      <c r="M384">
        <v>0.99992749999999997</v>
      </c>
      <c r="N384">
        <v>-1.203164E-2</v>
      </c>
      <c r="O384">
        <v>-6.2362959999999999E-4</v>
      </c>
      <c r="P384">
        <v>0.98876790000000003</v>
      </c>
      <c r="Q384">
        <v>0.1487426</v>
      </c>
      <c r="R384">
        <v>1.461845E-2</v>
      </c>
      <c r="S384">
        <v>3.1865540000000001</v>
      </c>
      <c r="T384">
        <v>-0.98678469999999996</v>
      </c>
      <c r="U384">
        <v>-0.26910400000000001</v>
      </c>
      <c r="V384">
        <v>-1.522883E-2</v>
      </c>
      <c r="W384">
        <v>0.1606292</v>
      </c>
      <c r="X384">
        <v>0.98689729999999998</v>
      </c>
      <c r="Y384">
        <v>7.9696000000000003E-2</v>
      </c>
      <c r="Z384">
        <v>-1.234793E-2</v>
      </c>
      <c r="AA384">
        <v>0.99674269999999998</v>
      </c>
      <c r="AB384">
        <v>29</v>
      </c>
      <c r="AC384">
        <v>0.53010000000000401</v>
      </c>
      <c r="AD384">
        <v>-0.2246438</v>
      </c>
      <c r="AE384">
        <v>-6.1599999999998503E-2</v>
      </c>
      <c r="AF384">
        <v>5.2046985576567603E-2</v>
      </c>
      <c r="AG384">
        <v>-0.2246438</v>
      </c>
      <c r="AH384">
        <v>0.45034080841202001</v>
      </c>
      <c r="AI384">
        <v>116.359897591053</v>
      </c>
      <c r="AJ384">
        <v>83.407435467718798</v>
      </c>
      <c r="AK384">
        <v>0.50594522362330796</v>
      </c>
      <c r="AL384">
        <v>80.756580595815905</v>
      </c>
      <c r="AM384">
        <v>90.884062039553797</v>
      </c>
      <c r="AN384">
        <v>0.99999996895154797</v>
      </c>
    </row>
    <row r="385" spans="1:40" x14ac:dyDescent="0.25">
      <c r="A385" t="str">
        <f>"20190303161849935"</f>
        <v>20190303161849935</v>
      </c>
      <c r="B385" t="str">
        <f>"1551601129923065"</f>
        <v>1551601129923065</v>
      </c>
      <c r="C385" t="s">
        <v>40</v>
      </c>
      <c r="D385">
        <v>4.7500589999999896</v>
      </c>
      <c r="E385">
        <v>0.54073119999999997</v>
      </c>
      <c r="F385" t="s">
        <v>42</v>
      </c>
      <c r="G385">
        <v>-425.8741</v>
      </c>
      <c r="H385">
        <v>0.82893050000000001</v>
      </c>
      <c r="I385">
        <v>366.93450000000001</v>
      </c>
      <c r="J385">
        <v>-426.40339999999998</v>
      </c>
      <c r="K385">
        <v>1.071251</v>
      </c>
      <c r="L385">
        <v>367.00049999999999</v>
      </c>
      <c r="M385">
        <v>0.99992780000000003</v>
      </c>
      <c r="N385">
        <v>-1.2011259999999999E-2</v>
      </c>
      <c r="O385">
        <v>-6.2458019999999997E-4</v>
      </c>
      <c r="P385">
        <v>0.98888050000000005</v>
      </c>
      <c r="Q385">
        <v>0.14801</v>
      </c>
      <c r="R385">
        <v>1.44455E-2</v>
      </c>
      <c r="S385">
        <v>3.1867369999999999</v>
      </c>
      <c r="T385">
        <v>-0.98821369999999997</v>
      </c>
      <c r="U385">
        <v>-0.27020260000000001</v>
      </c>
      <c r="V385">
        <v>-1.505658E-2</v>
      </c>
      <c r="W385">
        <v>0.15987760000000001</v>
      </c>
      <c r="X385">
        <v>0.98702199999999995</v>
      </c>
      <c r="Y385">
        <v>8.0006560000000004E-2</v>
      </c>
      <c r="Z385">
        <v>-1.241131E-2</v>
      </c>
      <c r="AA385">
        <v>0.99671710000000002</v>
      </c>
      <c r="AB385">
        <v>29</v>
      </c>
      <c r="AC385">
        <v>0.52929999999997701</v>
      </c>
      <c r="AD385">
        <v>-0.242320499999999</v>
      </c>
      <c r="AE385">
        <v>-6.5999999999973996E-2</v>
      </c>
      <c r="AF385">
        <v>5.4434886119436303E-2</v>
      </c>
      <c r="AG385">
        <v>-0.242320499999999</v>
      </c>
      <c r="AH385">
        <v>0.43878329227213297</v>
      </c>
      <c r="AI385">
        <v>118.725129609869</v>
      </c>
      <c r="AJ385">
        <v>82.928092407923799</v>
      </c>
      <c r="AK385">
        <v>0.50419555643049596</v>
      </c>
      <c r="AL385">
        <v>80.800208127216607</v>
      </c>
      <c r="AM385">
        <v>90.873953753557103</v>
      </c>
      <c r="AN385">
        <v>0.99999998803352796</v>
      </c>
    </row>
    <row r="386" spans="1:40" x14ac:dyDescent="0.25">
      <c r="A386" t="str">
        <f>"20190303161849956"</f>
        <v>20190303161849956</v>
      </c>
      <c r="B386" t="str">
        <f>"1551601129953686"</f>
        <v>1551601129953686</v>
      </c>
      <c r="C386" t="s">
        <v>40</v>
      </c>
      <c r="D386">
        <v>4.7423219999999997</v>
      </c>
      <c r="E386">
        <v>0.53149399999999902</v>
      </c>
      <c r="F386" t="s">
        <v>42</v>
      </c>
      <c r="G386">
        <v>-425.61660000000001</v>
      </c>
      <c r="H386">
        <v>0.82643469999999997</v>
      </c>
      <c r="I386">
        <v>366.93369999999999</v>
      </c>
      <c r="J386">
        <v>-426.12</v>
      </c>
      <c r="K386">
        <v>1.071234</v>
      </c>
      <c r="L386">
        <v>367.00029999999998</v>
      </c>
      <c r="M386">
        <v>0.99992789999999998</v>
      </c>
      <c r="N386">
        <v>-1.199125E-2</v>
      </c>
      <c r="O386">
        <v>-6.2541240000000002E-4</v>
      </c>
      <c r="P386">
        <v>0.98897460000000004</v>
      </c>
      <c r="Q386">
        <v>0.1473826</v>
      </c>
      <c r="R386">
        <v>1.4404190000000001E-2</v>
      </c>
      <c r="S386">
        <v>3.1860050000000002</v>
      </c>
      <c r="T386">
        <v>-0.99137330000000001</v>
      </c>
      <c r="U386">
        <v>-0.2684937</v>
      </c>
      <c r="V386">
        <v>-1.501628E-2</v>
      </c>
      <c r="W386">
        <v>0.1592317</v>
      </c>
      <c r="X386">
        <v>0.98712699999999998</v>
      </c>
      <c r="Y386">
        <v>7.9493899999999895E-2</v>
      </c>
      <c r="Z386">
        <v>-1.23686E-2</v>
      </c>
      <c r="AA386">
        <v>0.99675860000000005</v>
      </c>
      <c r="AB386">
        <v>29</v>
      </c>
      <c r="AC386">
        <v>0.50339999999999896</v>
      </c>
      <c r="AD386">
        <v>-0.2447993</v>
      </c>
      <c r="AE386">
        <v>-6.6599999999993997E-2</v>
      </c>
      <c r="AF386">
        <v>5.3784891600115403E-2</v>
      </c>
      <c r="AG386">
        <v>-0.2447993</v>
      </c>
      <c r="AH386">
        <v>0.40850110519128602</v>
      </c>
      <c r="AI386">
        <v>120.71601269763801</v>
      </c>
      <c r="AJ386">
        <v>82.499351901761599</v>
      </c>
      <c r="AK386">
        <v>0.479262626111643</v>
      </c>
      <c r="AL386">
        <v>80.837695542157803</v>
      </c>
      <c r="AM386">
        <v>90.871522217198901</v>
      </c>
      <c r="AN386">
        <v>0.99999996853946305</v>
      </c>
    </row>
    <row r="387" spans="1:40" x14ac:dyDescent="0.25">
      <c r="A387" t="str">
        <f>"20190303161849979"</f>
        <v>20190303161849979</v>
      </c>
      <c r="B387" t="str">
        <f>"1551601129973207"</f>
        <v>1551601129973207</v>
      </c>
      <c r="C387" t="s">
        <v>40</v>
      </c>
      <c r="D387">
        <v>4.6985859999999997</v>
      </c>
      <c r="E387">
        <v>0.5002183</v>
      </c>
      <c r="F387" t="s">
        <v>42</v>
      </c>
      <c r="G387">
        <v>-425.34280000000001</v>
      </c>
      <c r="H387">
        <v>0.86110439999999999</v>
      </c>
      <c r="I387">
        <v>366.9522</v>
      </c>
      <c r="J387">
        <v>-425.83300000000003</v>
      </c>
      <c r="K387">
        <v>1.071221</v>
      </c>
      <c r="L387">
        <v>367.00020000000001</v>
      </c>
      <c r="M387">
        <v>0.99992820000000004</v>
      </c>
      <c r="N387">
        <v>-1.1973660000000001E-2</v>
      </c>
      <c r="O387">
        <v>-6.2602190000000002E-4</v>
      </c>
      <c r="P387">
        <v>0.98901749999999999</v>
      </c>
      <c r="Q387">
        <v>0.14709839999999999</v>
      </c>
      <c r="R387">
        <v>1.4365080000000001E-2</v>
      </c>
      <c r="S387">
        <v>3.1637270000000002</v>
      </c>
      <c r="T387">
        <v>-0.8552575</v>
      </c>
      <c r="U387">
        <v>-0.19598389999999999</v>
      </c>
      <c r="V387">
        <v>-1.497795E-2</v>
      </c>
      <c r="W387">
        <v>0.15893090000000001</v>
      </c>
      <c r="X387">
        <v>0.9871761</v>
      </c>
      <c r="Y387">
        <v>5.9016569999999997E-2</v>
      </c>
      <c r="Z387">
        <v>-8.0307099999999999E-3</v>
      </c>
      <c r="AA387">
        <v>0.99822469999999996</v>
      </c>
      <c r="AB387">
        <v>29</v>
      </c>
      <c r="AC387">
        <v>0.49020000000001501</v>
      </c>
      <c r="AD387">
        <v>-0.21011659999999999</v>
      </c>
      <c r="AE387">
        <v>-4.8000000000001798E-2</v>
      </c>
      <c r="AF387">
        <v>4.0350080243371299E-2</v>
      </c>
      <c r="AG387">
        <v>-0.21011659999999999</v>
      </c>
      <c r="AH387">
        <v>0.41475226106741597</v>
      </c>
      <c r="AI387">
        <v>116.758470352201</v>
      </c>
      <c r="AJ387">
        <v>84.443341709511799</v>
      </c>
      <c r="AK387">
        <v>0.46668678214809201</v>
      </c>
      <c r="AL387">
        <v>80.855152811436099</v>
      </c>
      <c r="AM387">
        <v>90.869254713328999</v>
      </c>
      <c r="AN387">
        <v>1.00000001118611</v>
      </c>
    </row>
    <row r="388" spans="1:40" x14ac:dyDescent="0.25">
      <c r="A388" t="str">
        <f>"20190303161849999"</f>
        <v>20190303161849999</v>
      </c>
      <c r="B388" t="str">
        <f>"1551601129993703"</f>
        <v>1551601129993703</v>
      </c>
      <c r="C388" t="s">
        <v>40</v>
      </c>
      <c r="D388">
        <v>4.7995269999999897</v>
      </c>
      <c r="E388">
        <v>0.49866769999999999</v>
      </c>
      <c r="F388" t="s">
        <v>44</v>
      </c>
      <c r="G388">
        <v>-409.97140000000002</v>
      </c>
      <c r="H388">
        <v>-0.05</v>
      </c>
      <c r="I388">
        <v>367.24349999999998</v>
      </c>
      <c r="J388">
        <v>-425.5693</v>
      </c>
      <c r="K388">
        <v>1.0712189999999999</v>
      </c>
      <c r="L388">
        <v>367</v>
      </c>
      <c r="M388">
        <v>0.9999285</v>
      </c>
      <c r="N388">
        <v>-1.1959620000000001E-2</v>
      </c>
      <c r="O388">
        <v>-6.2605759999999995E-4</v>
      </c>
      <c r="P388">
        <v>0.98900129999999997</v>
      </c>
      <c r="Q388">
        <v>0.14722299999999999</v>
      </c>
      <c r="R388">
        <v>1.421647E-2</v>
      </c>
      <c r="S388">
        <v>3.0648499999999999</v>
      </c>
      <c r="T388">
        <v>-0.2166469</v>
      </c>
      <c r="U388">
        <v>4.7027590000000001E-2</v>
      </c>
      <c r="V388">
        <v>-1.4829399999999901E-2</v>
      </c>
      <c r="W388">
        <v>0.15904109999999999</v>
      </c>
      <c r="X388">
        <v>0.98716060000000005</v>
      </c>
      <c r="Y388">
        <v>-1.5920859999999998E-2</v>
      </c>
      <c r="Z388">
        <v>6.9403839999999896E-4</v>
      </c>
      <c r="AA388">
        <v>0.99987300000000001</v>
      </c>
      <c r="AB388">
        <v>29</v>
      </c>
      <c r="AC388">
        <v>15.5978999999999</v>
      </c>
      <c r="AD388">
        <v>-1.121219</v>
      </c>
      <c r="AE388">
        <v>0.24349999999998301</v>
      </c>
      <c r="AF388">
        <v>-0.25196422005003699</v>
      </c>
      <c r="AG388">
        <v>-1.121219</v>
      </c>
      <c r="AH388">
        <v>15.517582794410799</v>
      </c>
      <c r="AI388">
        <v>94.132167220111</v>
      </c>
      <c r="AJ388">
        <v>90.930249128179</v>
      </c>
      <c r="AK388">
        <v>15.5600769212604</v>
      </c>
      <c r="AL388">
        <v>80.848757521314695</v>
      </c>
      <c r="AM388">
        <v>90.860648335530698</v>
      </c>
      <c r="AN388">
        <v>1.0000000163929601</v>
      </c>
    </row>
    <row r="389" spans="1:40" x14ac:dyDescent="0.25">
      <c r="A389" t="str">
        <f>"20190303161850012"</f>
        <v>20190303161850012</v>
      </c>
      <c r="B389" t="str">
        <f>"1551601130003463"</f>
        <v>1551601130003463</v>
      </c>
      <c r="C389" t="s">
        <v>40</v>
      </c>
      <c r="D389">
        <v>4.7605829999999996</v>
      </c>
      <c r="E389">
        <v>0.49721660000000001</v>
      </c>
      <c r="F389" t="s">
        <v>41</v>
      </c>
      <c r="G389">
        <v>-397.36340000000001</v>
      </c>
      <c r="H389" s="1">
        <v>-1.481635E-6</v>
      </c>
      <c r="I389">
        <v>367.54039999999998</v>
      </c>
      <c r="J389">
        <v>-425.40230000000003</v>
      </c>
      <c r="K389">
        <v>1.071215</v>
      </c>
      <c r="L389">
        <v>366.99990000000003</v>
      </c>
      <c r="M389">
        <v>0.99992840000000005</v>
      </c>
      <c r="N389">
        <v>-1.1951669999999999E-2</v>
      </c>
      <c r="O389">
        <v>-6.2589129999999897E-4</v>
      </c>
      <c r="P389">
        <v>0.98896930000000005</v>
      </c>
      <c r="Q389">
        <v>0.14742330000000001</v>
      </c>
      <c r="R389">
        <v>1.4349209999999999E-2</v>
      </c>
      <c r="S389">
        <v>3.049744</v>
      </c>
      <c r="T389">
        <v>-0.1158247</v>
      </c>
      <c r="U389">
        <v>5.8441159999999999E-2</v>
      </c>
      <c r="V389">
        <v>-1.496215E-2</v>
      </c>
      <c r="W389">
        <v>0.15923319999999999</v>
      </c>
      <c r="X389">
        <v>0.98712759999999999</v>
      </c>
      <c r="Y389">
        <v>-1.9765999999999999E-2</v>
      </c>
      <c r="Z389">
        <v>5.0964300000000005E-4</v>
      </c>
      <c r="AA389">
        <v>0.99980449999999998</v>
      </c>
      <c r="AB389">
        <v>29</v>
      </c>
      <c r="AC389">
        <v>28.038900000000002</v>
      </c>
      <c r="AD389">
        <v>-1.0712164816350001</v>
      </c>
      <c r="AE389">
        <v>0.54049999999995102</v>
      </c>
      <c r="AF389">
        <v>-0.55723741171142904</v>
      </c>
      <c r="AG389">
        <v>-1.0712164816350001</v>
      </c>
      <c r="AH389">
        <v>27.9977060396841</v>
      </c>
      <c r="AI389">
        <v>92.190683946887305</v>
      </c>
      <c r="AJ389">
        <v>91.140205453287393</v>
      </c>
      <c r="AK389">
        <v>28.023732117048599</v>
      </c>
      <c r="AL389">
        <v>80.837608670366706</v>
      </c>
      <c r="AM389">
        <v>90.868380547942095</v>
      </c>
      <c r="AN389">
        <v>0.99999998829831105</v>
      </c>
    </row>
    <row r="390" spans="1:40" x14ac:dyDescent="0.25">
      <c r="A390" t="str">
        <f>"20190303161850025"</f>
        <v>20190303161850025</v>
      </c>
      <c r="B390" t="str">
        <f>"1551601130013223"</f>
        <v>1551601130013223</v>
      </c>
      <c r="C390" t="s">
        <v>40</v>
      </c>
      <c r="D390">
        <v>4.9826739999999896</v>
      </c>
      <c r="E390">
        <v>0.49637170000000003</v>
      </c>
      <c r="F390" t="s">
        <v>41</v>
      </c>
      <c r="G390">
        <v>-389.4033</v>
      </c>
      <c r="H390" s="1">
        <v>-6.6455169999999998E-7</v>
      </c>
      <c r="I390">
        <v>367.82940000000002</v>
      </c>
      <c r="J390">
        <v>-425.22840000000002</v>
      </c>
      <c r="K390">
        <v>1.0712090000000001</v>
      </c>
      <c r="L390">
        <v>366.99979999999999</v>
      </c>
      <c r="M390">
        <v>0.9999287</v>
      </c>
      <c r="N390">
        <v>-1.194394E-2</v>
      </c>
      <c r="O390">
        <v>-6.2596470000000003E-4</v>
      </c>
      <c r="P390">
        <v>0.98894930000000003</v>
      </c>
      <c r="Q390">
        <v>0.1475582</v>
      </c>
      <c r="R390">
        <v>1.436452E-2</v>
      </c>
      <c r="S390">
        <v>3.0459290000000001</v>
      </c>
      <c r="T390">
        <v>-9.0637090000000003E-2</v>
      </c>
      <c r="U390">
        <v>7.0190429999999998E-2</v>
      </c>
      <c r="V390">
        <v>-1.4977839999999999E-2</v>
      </c>
      <c r="W390">
        <v>0.15936029999999901</v>
      </c>
      <c r="X390">
        <v>0.98710690000000001</v>
      </c>
      <c r="Y390">
        <v>-2.3648969999999998E-2</v>
      </c>
      <c r="Z390">
        <v>5.0417810000000002E-4</v>
      </c>
      <c r="AA390">
        <v>0.99972019999999995</v>
      </c>
      <c r="AB390">
        <v>29</v>
      </c>
      <c r="AC390">
        <v>35.825099999999999</v>
      </c>
      <c r="AD390">
        <v>-1.0712096645517</v>
      </c>
      <c r="AE390">
        <v>0.82960000000002698</v>
      </c>
      <c r="AF390">
        <v>-0.85126599199779995</v>
      </c>
      <c r="AG390">
        <v>-1.0712096645517</v>
      </c>
      <c r="AH390">
        <v>35.792589520841801</v>
      </c>
      <c r="AI390">
        <v>91.713766538178504</v>
      </c>
      <c r="AJ390">
        <v>91.362426024561998</v>
      </c>
      <c r="AK390">
        <v>35.8187326484625</v>
      </c>
      <c r="AL390">
        <v>80.830232629983598</v>
      </c>
      <c r="AM390">
        <v>90.869309258698294</v>
      </c>
      <c r="AN390">
        <v>1.00000003646738</v>
      </c>
    </row>
    <row r="391" spans="1:40" x14ac:dyDescent="0.25">
      <c r="A391" t="str">
        <f>"20190303161850043"</f>
        <v>20190303161850043</v>
      </c>
      <c r="B391" t="str">
        <f>"1551601130033194"</f>
        <v>1551601130033194</v>
      </c>
      <c r="C391" t="s">
        <v>40</v>
      </c>
      <c r="D391">
        <v>4.7864050000000002</v>
      </c>
      <c r="E391">
        <v>0.49569370000000001</v>
      </c>
      <c r="F391" t="s">
        <v>41</v>
      </c>
      <c r="G391">
        <v>-376.26029999999997</v>
      </c>
      <c r="H391" s="1">
        <v>-1.832008E-6</v>
      </c>
      <c r="I391">
        <v>368.23309999999998</v>
      </c>
      <c r="J391">
        <v>-424.98840000000001</v>
      </c>
      <c r="K391">
        <v>1.0712090000000001</v>
      </c>
      <c r="L391">
        <v>366.99970000000002</v>
      </c>
      <c r="M391">
        <v>0.9999287</v>
      </c>
      <c r="N391">
        <v>-1.193456E-2</v>
      </c>
      <c r="O391">
        <v>-6.2555089999999998E-4</v>
      </c>
      <c r="P391">
        <v>0.98892150000000001</v>
      </c>
      <c r="Q391">
        <v>0.14773320000000001</v>
      </c>
      <c r="R391">
        <v>1.447299E-2</v>
      </c>
      <c r="S391">
        <v>3.0423279999999999</v>
      </c>
      <c r="T391">
        <v>-6.6552879999999995E-2</v>
      </c>
      <c r="U391">
        <v>7.6629639999999999E-2</v>
      </c>
      <c r="V391">
        <v>-1.5085690000000001E-2</v>
      </c>
      <c r="W391">
        <v>0.15952549999999999</v>
      </c>
      <c r="X391">
        <v>0.98707849999999997</v>
      </c>
      <c r="Y391">
        <v>-2.579567E-2</v>
      </c>
      <c r="Z391">
        <v>4.4227459999999998E-4</v>
      </c>
      <c r="AA391">
        <v>0.99966719999999998</v>
      </c>
      <c r="AB391">
        <v>29</v>
      </c>
      <c r="AC391">
        <v>48.728099999999998</v>
      </c>
      <c r="AD391">
        <v>-1.071210832008</v>
      </c>
      <c r="AE391">
        <v>1.2333999999999601</v>
      </c>
      <c r="AF391">
        <v>-1.26327372003214</v>
      </c>
      <c r="AG391">
        <v>-1.071210832008</v>
      </c>
      <c r="AH391">
        <v>48.703796781159397</v>
      </c>
      <c r="AI391">
        <v>91.259559705340195</v>
      </c>
      <c r="AJ391">
        <v>91.485798479899998</v>
      </c>
      <c r="AK391">
        <v>48.731952290451197</v>
      </c>
      <c r="AL391">
        <v>80.820644041450805</v>
      </c>
      <c r="AM391">
        <v>90.875593056488796</v>
      </c>
      <c r="AN391">
        <v>0.99999996417763704</v>
      </c>
    </row>
    <row r="392" spans="1:40" x14ac:dyDescent="0.25">
      <c r="A392" t="str">
        <f>"20190303161850056"</f>
        <v>20190303161850056</v>
      </c>
      <c r="B392" t="str">
        <f>"1551601130042954"</f>
        <v>1551601130042954</v>
      </c>
      <c r="C392" t="s">
        <v>40</v>
      </c>
      <c r="D392">
        <v>4.9708350000000001</v>
      </c>
      <c r="E392">
        <v>0.49549989999999999</v>
      </c>
      <c r="F392" t="s">
        <v>41</v>
      </c>
      <c r="G392">
        <v>-345.9941</v>
      </c>
      <c r="H392" s="1">
        <v>-1.9600950000000002E-6</v>
      </c>
      <c r="I392">
        <v>369.13150000000002</v>
      </c>
      <c r="J392">
        <v>-424.82909999999998</v>
      </c>
      <c r="K392">
        <v>1.0712090000000001</v>
      </c>
      <c r="L392">
        <v>366.99959999999999</v>
      </c>
      <c r="M392">
        <v>0.9999287</v>
      </c>
      <c r="N392">
        <v>-1.1929149999999999E-2</v>
      </c>
      <c r="O392">
        <v>-6.2551830000000003E-4</v>
      </c>
      <c r="P392">
        <v>0.98894070000000001</v>
      </c>
      <c r="Q392">
        <v>0.1476016</v>
      </c>
      <c r="R392">
        <v>1.448907E-2</v>
      </c>
      <c r="S392">
        <v>3.0385740000000001</v>
      </c>
      <c r="T392">
        <v>-4.1204930000000001E-2</v>
      </c>
      <c r="U392">
        <v>8.2000729999999994E-2</v>
      </c>
      <c r="V392">
        <v>-1.510156E-2</v>
      </c>
      <c r="W392">
        <v>0.159389</v>
      </c>
      <c r="X392">
        <v>0.98710039999999999</v>
      </c>
      <c r="Y392">
        <v>-2.759733E-2</v>
      </c>
      <c r="Z392">
        <v>3.527518E-4</v>
      </c>
      <c r="AA392">
        <v>0.99961909999999998</v>
      </c>
      <c r="AB392">
        <v>29</v>
      </c>
      <c r="AC392">
        <v>78.834999999999894</v>
      </c>
      <c r="AD392">
        <v>-1.0712109600949999</v>
      </c>
      <c r="AE392">
        <v>2.1319000000000301</v>
      </c>
      <c r="AF392">
        <v>-2.1808134663953198</v>
      </c>
      <c r="AG392">
        <v>-1.0712109600949999</v>
      </c>
      <c r="AH392">
        <v>78.819108878310402</v>
      </c>
      <c r="AI392">
        <v>90.778346952086693</v>
      </c>
      <c r="AJ392">
        <v>91.584888974217193</v>
      </c>
      <c r="AK392">
        <v>78.856549282017099</v>
      </c>
      <c r="AL392">
        <v>80.828567122721097</v>
      </c>
      <c r="AM392">
        <v>90.876494584810999</v>
      </c>
      <c r="AN392">
        <v>1.0000000550577901</v>
      </c>
    </row>
    <row r="393" spans="1:40" x14ac:dyDescent="0.25">
      <c r="A393" t="str">
        <f>"20190303161850070"</f>
        <v>20190303161850070</v>
      </c>
      <c r="B393" t="str">
        <f>"1551601130064427"</f>
        <v>1551601130064427</v>
      </c>
      <c r="C393" t="s">
        <v>40</v>
      </c>
      <c r="D393">
        <v>5.025525</v>
      </c>
      <c r="E393">
        <v>0.49533060000000001</v>
      </c>
      <c r="F393" t="s">
        <v>41</v>
      </c>
      <c r="G393">
        <v>-324.93209999999999</v>
      </c>
      <c r="H393" s="1">
        <v>-2.1892370000000001E-6</v>
      </c>
      <c r="I393">
        <v>369.73970000000003</v>
      </c>
      <c r="J393">
        <v>-424.64429999999999</v>
      </c>
      <c r="K393">
        <v>1.071204</v>
      </c>
      <c r="L393">
        <v>366.99950000000001</v>
      </c>
      <c r="M393">
        <v>0.99992899999999996</v>
      </c>
      <c r="N393">
        <v>-1.192323E-2</v>
      </c>
      <c r="O393">
        <v>-6.2548249999999997E-4</v>
      </c>
      <c r="P393">
        <v>0.98892150000000001</v>
      </c>
      <c r="Q393">
        <v>0.14771020000000001</v>
      </c>
      <c r="R393">
        <v>1.4717910000000001E-2</v>
      </c>
      <c r="S393">
        <v>3.0372309999999998</v>
      </c>
      <c r="T393">
        <v>-3.2568689999999997E-2</v>
      </c>
      <c r="U393">
        <v>8.3312990000000003E-2</v>
      </c>
      <c r="V393">
        <v>-1.533053E-2</v>
      </c>
      <c r="W393">
        <v>0.1594911</v>
      </c>
      <c r="X393">
        <v>0.98708030000000002</v>
      </c>
      <c r="Y393">
        <v>-2.804214E-2</v>
      </c>
      <c r="Z393">
        <v>3.1679050000000002E-4</v>
      </c>
      <c r="AA393">
        <v>0.99960669999999996</v>
      </c>
      <c r="AB393">
        <v>29</v>
      </c>
      <c r="AC393">
        <v>99.712199999999996</v>
      </c>
      <c r="AD393">
        <v>-1.071206189237</v>
      </c>
      <c r="AE393">
        <v>2.74020000000001</v>
      </c>
      <c r="AF393">
        <v>-2.8022489482547499</v>
      </c>
      <c r="AG393">
        <v>-1.071206189237</v>
      </c>
      <c r="AH393">
        <v>99.6989686869927</v>
      </c>
      <c r="AI393">
        <v>90.615342428671099</v>
      </c>
      <c r="AJ393">
        <v>91.609994361189493</v>
      </c>
      <c r="AK393">
        <v>99.744094758124902</v>
      </c>
      <c r="AL393">
        <v>80.822640701120605</v>
      </c>
      <c r="AM393">
        <v>90.889799999433606</v>
      </c>
      <c r="AN393">
        <v>0.99999997738868995</v>
      </c>
    </row>
    <row r="394" spans="1:40" x14ac:dyDescent="0.25">
      <c r="A394" t="str">
        <f>"20190303161850088"</f>
        <v>20190303161850088</v>
      </c>
      <c r="B394" t="str">
        <f>"1551601130082971"</f>
        <v>1551601130082971</v>
      </c>
      <c r="C394" t="s">
        <v>40</v>
      </c>
      <c r="D394">
        <v>4.7989290000000002</v>
      </c>
      <c r="E394">
        <v>0.49514979999999997</v>
      </c>
      <c r="F394" t="s">
        <v>41</v>
      </c>
      <c r="G394">
        <v>-271.22629999999998</v>
      </c>
      <c r="H394" s="1">
        <v>-4.161426E-6</v>
      </c>
      <c r="I394">
        <v>371.32279999999997</v>
      </c>
      <c r="J394">
        <v>-424.41269999999997</v>
      </c>
      <c r="K394">
        <v>1.071199</v>
      </c>
      <c r="L394">
        <v>366.99930000000001</v>
      </c>
      <c r="M394">
        <v>0.99992879999999995</v>
      </c>
      <c r="N394">
        <v>-1.191651E-2</v>
      </c>
      <c r="O394">
        <v>-6.2532259999999997E-4</v>
      </c>
      <c r="P394">
        <v>0.98888880000000001</v>
      </c>
      <c r="Q394">
        <v>0.1479142</v>
      </c>
      <c r="R394">
        <v>1.485883E-2</v>
      </c>
      <c r="S394">
        <v>3.035431</v>
      </c>
      <c r="T394">
        <v>-2.119422E-2</v>
      </c>
      <c r="U394">
        <v>8.5540770000000002E-2</v>
      </c>
      <c r="V394">
        <v>-1.5471230000000001E-2</v>
      </c>
      <c r="W394">
        <v>0.15968829999999901</v>
      </c>
      <c r="X394">
        <v>0.98704619999999998</v>
      </c>
      <c r="Y394">
        <v>-2.8792789999999999E-2</v>
      </c>
      <c r="Z394">
        <v>2.6901369999999999E-4</v>
      </c>
      <c r="AA394">
        <v>0.99958539999999996</v>
      </c>
      <c r="AB394">
        <v>29</v>
      </c>
      <c r="AC394">
        <v>153.18639999999999</v>
      </c>
      <c r="AD394">
        <v>-1.071203161426</v>
      </c>
      <c r="AE394">
        <v>4.3234999999999602</v>
      </c>
      <c r="AF394">
        <v>-4.4190809562915803</v>
      </c>
      <c r="AG394">
        <v>-1.071203161426</v>
      </c>
      <c r="AH394">
        <v>153.176182014284</v>
      </c>
      <c r="AI394">
        <v>90.400511976092901</v>
      </c>
      <c r="AJ394">
        <v>91.652505467601202</v>
      </c>
      <c r="AK394">
        <v>153.24365725596701</v>
      </c>
      <c r="AL394">
        <v>80.811195088745393</v>
      </c>
      <c r="AM394">
        <v>90.897996060913002</v>
      </c>
      <c r="AN394">
        <v>0.99999995652452001</v>
      </c>
    </row>
    <row r="395" spans="1:40" x14ac:dyDescent="0.25">
      <c r="A395" t="str">
        <f>"20190303161850100"</f>
        <v>20190303161850100</v>
      </c>
      <c r="B395" t="str">
        <f>"1551601130093707"</f>
        <v>1551601130093707</v>
      </c>
      <c r="C395" t="s">
        <v>40</v>
      </c>
      <c r="D395">
        <v>4.8364099999999999</v>
      </c>
      <c r="E395">
        <v>0.49512869999999998</v>
      </c>
      <c r="F395" t="s">
        <v>43</v>
      </c>
      <c r="G395">
        <v>-158.19499999999999</v>
      </c>
      <c r="H395">
        <v>5.5685039999999998E-2</v>
      </c>
      <c r="I395">
        <v>374.65219999999999</v>
      </c>
      <c r="J395">
        <v>-424.24900000000002</v>
      </c>
      <c r="K395">
        <v>1.0711930000000001</v>
      </c>
      <c r="L395">
        <v>366.99919999999997</v>
      </c>
      <c r="M395">
        <v>0.99992879999999995</v>
      </c>
      <c r="N395">
        <v>-1.1912239999999999E-2</v>
      </c>
      <c r="O395">
        <v>-6.2517780000000004E-4</v>
      </c>
      <c r="P395">
        <v>0.98889680000000002</v>
      </c>
      <c r="Q395">
        <v>0.14783450000000001</v>
      </c>
      <c r="R395">
        <v>1.510762E-2</v>
      </c>
      <c r="S395">
        <v>3.0340880000000001</v>
      </c>
      <c r="T395">
        <v>-1.1572839999999999E-2</v>
      </c>
      <c r="U395">
        <v>8.7219240000000003E-2</v>
      </c>
      <c r="V395">
        <v>-1.5719960000000002E-2</v>
      </c>
      <c r="W395">
        <v>0.15960460000000001</v>
      </c>
      <c r="X395">
        <v>0.98705580000000004</v>
      </c>
      <c r="Y395">
        <v>-2.935863E-2</v>
      </c>
      <c r="Z395">
        <v>2.258258E-4</v>
      </c>
      <c r="AA395">
        <v>0.99956889999999998</v>
      </c>
      <c r="AB395">
        <v>29</v>
      </c>
      <c r="AC395">
        <v>266.05399999999997</v>
      </c>
      <c r="AD395">
        <v>-1.0155079600000001</v>
      </c>
      <c r="AE395">
        <v>7.6530000000000102</v>
      </c>
      <c r="AF395">
        <v>-7.8192275462661396</v>
      </c>
      <c r="AG395">
        <v>-1.0155079600000001</v>
      </c>
      <c r="AH395">
        <v>266.04529038827297</v>
      </c>
      <c r="AI395">
        <v>90.218605351521305</v>
      </c>
      <c r="AJ395">
        <v>91.683472035798701</v>
      </c>
      <c r="AK395">
        <v>266.16210871124701</v>
      </c>
      <c r="AL395">
        <v>80.816052982067902</v>
      </c>
      <c r="AM395">
        <v>90.912421793464603</v>
      </c>
      <c r="AN395">
        <v>0.999999948898599</v>
      </c>
    </row>
    <row r="396" spans="1:40" x14ac:dyDescent="0.25">
      <c r="A396" t="str">
        <f>"20190303161850113"</f>
        <v>20190303161850113</v>
      </c>
      <c r="B396" t="str">
        <f>"1551601130103468"</f>
        <v>1551601130103468</v>
      </c>
      <c r="C396" t="s">
        <v>40</v>
      </c>
      <c r="D396">
        <v>4.8428069999999996</v>
      </c>
      <c r="E396">
        <v>0.49504749999999997</v>
      </c>
      <c r="F396" t="s">
        <v>43</v>
      </c>
      <c r="G396">
        <v>-158.19499999999999</v>
      </c>
      <c r="H396">
        <v>0.2830744</v>
      </c>
      <c r="I396">
        <v>374.71519999999998</v>
      </c>
      <c r="J396">
        <v>-424.08940000000001</v>
      </c>
      <c r="K396">
        <v>1.0711900000000001</v>
      </c>
      <c r="L396">
        <v>366.9991</v>
      </c>
      <c r="M396">
        <v>0.99992890000000001</v>
      </c>
      <c r="N396">
        <v>-1.1908439999999999E-2</v>
      </c>
      <c r="O396">
        <v>-6.2527410000000002E-4</v>
      </c>
      <c r="P396">
        <v>0.98888509999999996</v>
      </c>
      <c r="Q396">
        <v>0.1479036</v>
      </c>
      <c r="R396">
        <v>1.519591E-2</v>
      </c>
      <c r="S396">
        <v>3.033722</v>
      </c>
      <c r="T396">
        <v>-8.9856390000000001E-3</v>
      </c>
      <c r="U396">
        <v>8.7982179999999993E-2</v>
      </c>
      <c r="V396">
        <v>-1.5808269999999999E-2</v>
      </c>
      <c r="W396">
        <v>0.15966949999999999</v>
      </c>
      <c r="X396">
        <v>0.98704389999999997</v>
      </c>
      <c r="Y396">
        <v>-2.961358E-2</v>
      </c>
      <c r="Z396">
        <v>2.1462520000000001E-4</v>
      </c>
      <c r="AA396">
        <v>0.99956140000000004</v>
      </c>
      <c r="AB396">
        <v>29</v>
      </c>
      <c r="AC396">
        <v>265.89440000000002</v>
      </c>
      <c r="AD396">
        <v>-0.78811559999999903</v>
      </c>
      <c r="AE396">
        <v>7.7160999999999804</v>
      </c>
      <c r="AF396">
        <v>-7.8822979714038901</v>
      </c>
      <c r="AG396">
        <v>-0.78811559999999903</v>
      </c>
      <c r="AH396">
        <v>265.88718903553502</v>
      </c>
      <c r="AI396">
        <v>90.169755212528798</v>
      </c>
      <c r="AJ396">
        <v>91.698051630027706</v>
      </c>
      <c r="AK396">
        <v>266.005167319598</v>
      </c>
      <c r="AL396">
        <v>80.812286241368994</v>
      </c>
      <c r="AM396">
        <v>90.9175576906391</v>
      </c>
      <c r="AN396">
        <v>0.99999995557892496</v>
      </c>
    </row>
    <row r="397" spans="1:40" x14ac:dyDescent="0.25">
      <c r="A397" t="str">
        <f>"20190303161850127"</f>
        <v>20190303161850127</v>
      </c>
      <c r="B397" t="str">
        <f>"1551601130113226"</f>
        <v>1551601130113226</v>
      </c>
      <c r="C397" t="s">
        <v>40</v>
      </c>
      <c r="D397">
        <v>5.03376</v>
      </c>
      <c r="E397">
        <v>0.49503340000000001</v>
      </c>
      <c r="F397" t="s">
        <v>43</v>
      </c>
      <c r="G397">
        <v>-158.19499999999999</v>
      </c>
      <c r="H397">
        <v>0.5705924</v>
      </c>
      <c r="I397">
        <v>374.77330000000001</v>
      </c>
      <c r="J397">
        <v>-423.91399999999999</v>
      </c>
      <c r="K397">
        <v>1.071191</v>
      </c>
      <c r="L397">
        <v>366.9991</v>
      </c>
      <c r="M397">
        <v>0.99992910000000002</v>
      </c>
      <c r="N397">
        <v>-1.190451E-2</v>
      </c>
      <c r="O397">
        <v>-6.2536969999999999E-4</v>
      </c>
      <c r="P397">
        <v>0.98888960000000004</v>
      </c>
      <c r="Q397">
        <v>0.1479036</v>
      </c>
      <c r="R397">
        <v>1.4913630000000001E-2</v>
      </c>
      <c r="S397">
        <v>3.0332340000000002</v>
      </c>
      <c r="T397">
        <v>-5.7096480000000003E-3</v>
      </c>
      <c r="U397">
        <v>8.8684079999999998E-2</v>
      </c>
      <c r="V397">
        <v>-1.5526359999999999E-2</v>
      </c>
      <c r="W397">
        <v>0.1596658</v>
      </c>
      <c r="X397">
        <v>0.98704899999999995</v>
      </c>
      <c r="Y397">
        <v>-2.9849710000000002E-2</v>
      </c>
      <c r="Z397">
        <v>1.995399E-4</v>
      </c>
      <c r="AA397">
        <v>0.99955439999999995</v>
      </c>
      <c r="AB397">
        <v>29</v>
      </c>
      <c r="AC397">
        <v>265.71899999999999</v>
      </c>
      <c r="AD397">
        <v>-0.5005986</v>
      </c>
      <c r="AE397">
        <v>7.7742000000000004</v>
      </c>
      <c r="AF397">
        <v>-7.9403546828408498</v>
      </c>
      <c r="AG397">
        <v>-0.5005986</v>
      </c>
      <c r="AH397">
        <v>265.71314366982301</v>
      </c>
      <c r="AI397">
        <v>90.107895885888297</v>
      </c>
      <c r="AJ397">
        <v>91.711670915455599</v>
      </c>
      <c r="AK397">
        <v>265.83223008195898</v>
      </c>
      <c r="AL397">
        <v>80.812501235413905</v>
      </c>
      <c r="AM397">
        <v>90.901192886737107</v>
      </c>
      <c r="AN397">
        <v>0.99999998197274398</v>
      </c>
    </row>
    <row r="398" spans="1:40" x14ac:dyDescent="0.25">
      <c r="A398" t="str">
        <f>"20190303161850145"</f>
        <v>20190303161850145</v>
      </c>
      <c r="B398" t="str">
        <f>"1551601130133254"</f>
        <v>1551601130133254</v>
      </c>
      <c r="C398" t="s">
        <v>40</v>
      </c>
      <c r="D398">
        <v>5.1529540000000003</v>
      </c>
      <c r="E398">
        <v>0.4948401</v>
      </c>
      <c r="F398" t="s">
        <v>43</v>
      </c>
      <c r="G398">
        <v>-158.19499999999999</v>
      </c>
      <c r="H398">
        <v>0.72280739999999999</v>
      </c>
      <c r="I398">
        <v>374.7099</v>
      </c>
      <c r="J398">
        <v>-423.67230000000001</v>
      </c>
      <c r="K398">
        <v>1.0711900000000001</v>
      </c>
      <c r="L398">
        <v>366.99889999999999</v>
      </c>
      <c r="M398">
        <v>0.99992910000000002</v>
      </c>
      <c r="N398">
        <v>-1.189959E-2</v>
      </c>
      <c r="O398">
        <v>-6.2510199999999999E-4</v>
      </c>
      <c r="P398">
        <v>0.98883120000000002</v>
      </c>
      <c r="Q398">
        <v>0.14829139999999999</v>
      </c>
      <c r="R398">
        <v>1.4927670000000001E-2</v>
      </c>
      <c r="S398">
        <v>3.032959</v>
      </c>
      <c r="T398">
        <v>-3.9755110000000001E-3</v>
      </c>
      <c r="U398">
        <v>8.8012699999999999E-2</v>
      </c>
      <c r="V398">
        <v>-1.5539499999999999E-2</v>
      </c>
      <c r="W398">
        <v>0.160048</v>
      </c>
      <c r="X398">
        <v>0.9869869</v>
      </c>
      <c r="Y398">
        <v>-2.9631129999999999E-2</v>
      </c>
      <c r="Z398">
        <v>1.891409E-4</v>
      </c>
      <c r="AA398">
        <v>0.99956089999999997</v>
      </c>
      <c r="AB398">
        <v>29</v>
      </c>
      <c r="AC398">
        <v>265.47730000000001</v>
      </c>
      <c r="AD398">
        <v>-0.34838259999999899</v>
      </c>
      <c r="AE398">
        <v>7.7110000000000101</v>
      </c>
      <c r="AF398">
        <v>-7.87694706526384</v>
      </c>
      <c r="AG398">
        <v>-0.34838259999999899</v>
      </c>
      <c r="AH398">
        <v>265.471970838684</v>
      </c>
      <c r="AI398">
        <v>90.075156937248096</v>
      </c>
      <c r="AJ398">
        <v>91.699552103738498</v>
      </c>
      <c r="AK398">
        <v>265.58903397256501</v>
      </c>
      <c r="AL398">
        <v>80.790317580179405</v>
      </c>
      <c r="AM398">
        <v>90.902012183294801</v>
      </c>
      <c r="AN398">
        <v>0.99999998956793001</v>
      </c>
    </row>
    <row r="399" spans="1:40" x14ac:dyDescent="0.25">
      <c r="A399" t="str">
        <f>"20190303161850170"</f>
        <v>20190303161850170</v>
      </c>
      <c r="B399" t="str">
        <f>"1551601130163509"</f>
        <v>1551601130163509</v>
      </c>
      <c r="C399" t="s">
        <v>40</v>
      </c>
      <c r="D399">
        <v>4.8811019999999896</v>
      </c>
      <c r="E399">
        <v>0.49459940000000002</v>
      </c>
      <c r="F399" t="s">
        <v>43</v>
      </c>
      <c r="G399">
        <v>-158.19499999999999</v>
      </c>
      <c r="H399">
        <v>1.181646</v>
      </c>
      <c r="I399">
        <v>374.86720000000003</v>
      </c>
      <c r="J399">
        <v>-423.36950000000002</v>
      </c>
      <c r="K399">
        <v>1.0711949999999999</v>
      </c>
      <c r="L399">
        <v>366.99869999999999</v>
      </c>
      <c r="M399">
        <v>0.99992919999999996</v>
      </c>
      <c r="N399">
        <v>-1.1894490000000001E-2</v>
      </c>
      <c r="O399">
        <v>-6.2507169999999996E-4</v>
      </c>
      <c r="P399">
        <v>0.98880570000000001</v>
      </c>
      <c r="Q399">
        <v>0.1485032</v>
      </c>
      <c r="R399">
        <v>1.4516879999999999E-2</v>
      </c>
      <c r="S399">
        <v>3.0323790000000002</v>
      </c>
      <c r="T399">
        <v>1.2626650000000001E-3</v>
      </c>
      <c r="U399">
        <v>8.9874270000000006E-2</v>
      </c>
      <c r="V399">
        <v>-1.512907E-2</v>
      </c>
      <c r="W399">
        <v>0.16025420000000001</v>
      </c>
      <c r="X399">
        <v>0.98695980000000005</v>
      </c>
      <c r="Y399">
        <v>-3.0250050000000001E-2</v>
      </c>
      <c r="Z399">
        <v>1.6595990000000001E-4</v>
      </c>
      <c r="AA399">
        <v>0.99954240000000005</v>
      </c>
      <c r="AB399">
        <v>29</v>
      </c>
      <c r="AC399">
        <v>265.17450000000002</v>
      </c>
      <c r="AD399">
        <v>0.11045099999999899</v>
      </c>
      <c r="AE399">
        <v>7.86850000000004</v>
      </c>
      <c r="AF399">
        <v>-8.0342618492439399</v>
      </c>
      <c r="AG399">
        <v>0.11045099999999899</v>
      </c>
      <c r="AH399">
        <v>265.16948350101899</v>
      </c>
      <c r="AI399">
        <v>89.976145546791201</v>
      </c>
      <c r="AJ399">
        <v>91.735450495463297</v>
      </c>
      <c r="AK399">
        <v>265.29119198172202</v>
      </c>
      <c r="AL399">
        <v>80.778348539609397</v>
      </c>
      <c r="AM399">
        <v>90.878216086731101</v>
      </c>
      <c r="AN399">
        <v>0.99999997209637204</v>
      </c>
    </row>
    <row r="400" spans="1:40" x14ac:dyDescent="0.25">
      <c r="A400" t="str">
        <f>"20190303161850189"</f>
        <v>20190303161850189</v>
      </c>
      <c r="B400" t="str">
        <f>"1551601130183030"</f>
        <v>1551601130183030</v>
      </c>
      <c r="C400" t="s">
        <v>40</v>
      </c>
      <c r="D400">
        <v>4.8093659999999998</v>
      </c>
      <c r="E400">
        <v>0.49477660000000001</v>
      </c>
      <c r="F400" t="s">
        <v>43</v>
      </c>
      <c r="G400">
        <v>-158.19499999999999</v>
      </c>
      <c r="H400">
        <v>1.520921</v>
      </c>
      <c r="I400">
        <v>374.89670000000001</v>
      </c>
      <c r="J400">
        <v>-423.10509999999999</v>
      </c>
      <c r="K400">
        <v>1.0711919999999999</v>
      </c>
      <c r="L400">
        <v>366.99860000000001</v>
      </c>
      <c r="M400">
        <v>0.99992919999999996</v>
      </c>
      <c r="N400">
        <v>-1.1890660000000001E-2</v>
      </c>
      <c r="O400">
        <v>-6.2481050000000001E-4</v>
      </c>
      <c r="P400">
        <v>0.98874720000000005</v>
      </c>
      <c r="Q400">
        <v>0.1489084</v>
      </c>
      <c r="R400">
        <v>1.4328209999999999E-2</v>
      </c>
      <c r="S400">
        <v>3.03186</v>
      </c>
      <c r="T400">
        <v>5.1429270000000003E-3</v>
      </c>
      <c r="U400">
        <v>9.0301510000000001E-2</v>
      </c>
      <c r="V400">
        <v>-1.4939829999999999E-2</v>
      </c>
      <c r="W400">
        <v>0.1606551</v>
      </c>
      <c r="X400">
        <v>0.98689749999999998</v>
      </c>
      <c r="Y400">
        <v>-3.0395769999999999E-2</v>
      </c>
      <c r="Z400">
        <v>1.4649659999999999E-4</v>
      </c>
      <c r="AA400">
        <v>0.99953789999999998</v>
      </c>
      <c r="AB400">
        <v>29</v>
      </c>
      <c r="AC400">
        <v>264.9101</v>
      </c>
      <c r="AD400">
        <v>0.44972899999999999</v>
      </c>
      <c r="AE400">
        <v>7.8980999999999897</v>
      </c>
      <c r="AF400">
        <v>-8.0636055381397096</v>
      </c>
      <c r="AG400">
        <v>0.44972899999999999</v>
      </c>
      <c r="AH400">
        <v>264.904350324311</v>
      </c>
      <c r="AI400">
        <v>89.902773890378398</v>
      </c>
      <c r="AJ400">
        <v>91.743527231480897</v>
      </c>
      <c r="AK400">
        <v>265.02743029957003</v>
      </c>
      <c r="AL400">
        <v>80.7550770961805</v>
      </c>
      <c r="AM400">
        <v>90.867287461165205</v>
      </c>
      <c r="AN400">
        <v>0.99999996759134302</v>
      </c>
    </row>
    <row r="401" spans="1:40" x14ac:dyDescent="0.25">
      <c r="A401" t="str">
        <f>"20190303161850202"</f>
        <v>20190303161850202</v>
      </c>
      <c r="B401" t="str">
        <f>"1551601130193765"</f>
        <v>1551601130193765</v>
      </c>
      <c r="C401" t="s">
        <v>40</v>
      </c>
      <c r="D401">
        <v>4.8232369999999998</v>
      </c>
      <c r="E401">
        <v>0.49492079999999999</v>
      </c>
      <c r="F401" t="s">
        <v>43</v>
      </c>
      <c r="G401">
        <v>-158.19499999999999</v>
      </c>
      <c r="H401">
        <v>1.8041860000000001</v>
      </c>
      <c r="I401">
        <v>374.76670000000001</v>
      </c>
      <c r="J401">
        <v>-422.93349999999998</v>
      </c>
      <c r="K401">
        <v>1.0711919999999999</v>
      </c>
      <c r="L401">
        <v>366.99849999999998</v>
      </c>
      <c r="M401">
        <v>0.99992919999999996</v>
      </c>
      <c r="N401">
        <v>-1.188846E-2</v>
      </c>
      <c r="O401">
        <v>-6.246782E-4</v>
      </c>
      <c r="P401">
        <v>0.98876010000000003</v>
      </c>
      <c r="Q401">
        <v>0.1488447</v>
      </c>
      <c r="R401">
        <v>1.4113870000000001E-2</v>
      </c>
      <c r="S401">
        <v>3.0316160000000001</v>
      </c>
      <c r="T401">
        <v>8.3893539999999999E-3</v>
      </c>
      <c r="U401">
        <v>8.8897710000000005E-2</v>
      </c>
      <c r="V401">
        <v>-1.47254E-2</v>
      </c>
      <c r="W401">
        <v>0.1605897</v>
      </c>
      <c r="X401">
        <v>0.98691139999999999</v>
      </c>
      <c r="Y401">
        <v>-2.9935699999999999E-2</v>
      </c>
      <c r="Z401">
        <v>1.2742339999999999E-4</v>
      </c>
      <c r="AA401">
        <v>0.99955179999999999</v>
      </c>
      <c r="AB401">
        <v>29</v>
      </c>
      <c r="AC401">
        <v>264.73849999999999</v>
      </c>
      <c r="AD401">
        <v>0.73299400000000003</v>
      </c>
      <c r="AE401">
        <v>7.7682000000000304</v>
      </c>
      <c r="AF401">
        <v>-7.9335257651912601</v>
      </c>
      <c r="AG401">
        <v>0.73299400000000003</v>
      </c>
      <c r="AH401">
        <v>264.73156769520398</v>
      </c>
      <c r="AI401">
        <v>89.841429906947198</v>
      </c>
      <c r="AJ401">
        <v>91.716537026611803</v>
      </c>
      <c r="AK401">
        <v>264.85143202488302</v>
      </c>
      <c r="AL401">
        <v>80.758873838415695</v>
      </c>
      <c r="AM401">
        <v>90.854829186918394</v>
      </c>
      <c r="AN401">
        <v>1.0000000003006</v>
      </c>
    </row>
    <row r="402" spans="1:40" x14ac:dyDescent="0.25">
      <c r="A402" t="str">
        <f>"20190303161850215"</f>
        <v>20190303161850215</v>
      </c>
      <c r="B402" t="str">
        <f>"1551601130203525"</f>
        <v>1551601130203525</v>
      </c>
      <c r="C402" t="s">
        <v>40</v>
      </c>
      <c r="D402">
        <v>4.8427410000000002</v>
      </c>
      <c r="E402">
        <v>0.49502469999999998</v>
      </c>
      <c r="F402" t="s">
        <v>43</v>
      </c>
      <c r="G402">
        <v>-158.19499999999999</v>
      </c>
      <c r="H402">
        <v>1.9197519999999999</v>
      </c>
      <c r="I402">
        <v>374.58350000000002</v>
      </c>
      <c r="J402">
        <v>-422.77050000000003</v>
      </c>
      <c r="K402">
        <v>1.0711900000000001</v>
      </c>
      <c r="L402">
        <v>366.9984</v>
      </c>
      <c r="M402">
        <v>0.99992910000000002</v>
      </c>
      <c r="N402">
        <v>-1.1886620000000001E-2</v>
      </c>
      <c r="O402">
        <v>-6.2442879999999995E-4</v>
      </c>
      <c r="P402">
        <v>0.98881019999999997</v>
      </c>
      <c r="Q402">
        <v>0.1485254</v>
      </c>
      <c r="R402">
        <v>1.395004E-2</v>
      </c>
      <c r="S402">
        <v>3.0314329999999998</v>
      </c>
      <c r="T402">
        <v>9.7175839999999996E-3</v>
      </c>
      <c r="U402">
        <v>8.6853029999999998E-2</v>
      </c>
      <c r="V402">
        <v>-1.456146E-2</v>
      </c>
      <c r="W402">
        <v>0.16026879999999999</v>
      </c>
      <c r="X402">
        <v>0.98696600000000001</v>
      </c>
      <c r="Y402">
        <v>-2.9263609999999999E-2</v>
      </c>
      <c r="Z402">
        <v>1.176471E-4</v>
      </c>
      <c r="AA402">
        <v>0.99957169999999895</v>
      </c>
      <c r="AB402">
        <v>29</v>
      </c>
      <c r="AC402">
        <v>264.57549999999998</v>
      </c>
      <c r="AD402">
        <v>0.84856200000000004</v>
      </c>
      <c r="AE402">
        <v>7.5851000000000104</v>
      </c>
      <c r="AF402">
        <v>-7.7502391074949104</v>
      </c>
      <c r="AG402">
        <v>0.84856200000000004</v>
      </c>
      <c r="AH402">
        <v>264.567992476987</v>
      </c>
      <c r="AI402">
        <v>89.816311841523699</v>
      </c>
      <c r="AJ402">
        <v>91.677939316428507</v>
      </c>
      <c r="AK402">
        <v>264.68284588728801</v>
      </c>
      <c r="AL402">
        <v>80.777501371180193</v>
      </c>
      <c r="AM402">
        <v>90.845266882270593</v>
      </c>
      <c r="AN402">
        <v>1.0000000047633799</v>
      </c>
    </row>
    <row r="403" spans="1:40" x14ac:dyDescent="0.25">
      <c r="A403" t="str">
        <f>"20190303161850233"</f>
        <v>20190303161850233</v>
      </c>
      <c r="B403" t="str">
        <f>"1551601130223045"</f>
        <v>1551601130223045</v>
      </c>
      <c r="C403" t="s">
        <v>40</v>
      </c>
      <c r="D403">
        <v>4.73062</v>
      </c>
      <c r="E403">
        <v>0.49570370000000002</v>
      </c>
      <c r="F403" t="s">
        <v>43</v>
      </c>
      <c r="G403">
        <v>-158.19499999999999</v>
      </c>
      <c r="H403">
        <v>1.9750369999999999</v>
      </c>
      <c r="I403">
        <v>374.45940000000002</v>
      </c>
      <c r="J403">
        <v>-422.53379999999999</v>
      </c>
      <c r="K403">
        <v>1.071186</v>
      </c>
      <c r="L403">
        <v>366.9982</v>
      </c>
      <c r="M403">
        <v>0.99992939999999997</v>
      </c>
      <c r="N403">
        <v>-1.1884209999999999E-2</v>
      </c>
      <c r="O403">
        <v>-6.2465280000000001E-4</v>
      </c>
      <c r="P403">
        <v>0.98891010000000001</v>
      </c>
      <c r="Q403">
        <v>0.14786189999999999</v>
      </c>
      <c r="R403">
        <v>1.3915179999999999E-2</v>
      </c>
      <c r="S403">
        <v>3.0311889999999999</v>
      </c>
      <c r="T403">
        <v>1.0356189999999999E-2</v>
      </c>
      <c r="U403">
        <v>8.5479739999999999E-2</v>
      </c>
      <c r="V403">
        <v>-1.452634E-2</v>
      </c>
      <c r="W403">
        <v>0.15960460000000001</v>
      </c>
      <c r="X403">
        <v>0.98707409999999995</v>
      </c>
      <c r="Y403">
        <v>-2.881365E-2</v>
      </c>
      <c r="Z403">
        <v>1.124851E-4</v>
      </c>
      <c r="AA403">
        <v>0.99958480000000005</v>
      </c>
      <c r="AB403">
        <v>29</v>
      </c>
      <c r="AC403">
        <v>264.33879999999999</v>
      </c>
      <c r="AD403">
        <v>0.90385099999999996</v>
      </c>
      <c r="AE403">
        <v>7.4612000000000096</v>
      </c>
      <c r="AF403">
        <v>-7.6262410502374198</v>
      </c>
      <c r="AG403">
        <v>0.90385099999999996</v>
      </c>
      <c r="AH403">
        <v>264.33099945654101</v>
      </c>
      <c r="AI403">
        <v>89.804165586890207</v>
      </c>
      <c r="AJ403">
        <v>91.652588041877095</v>
      </c>
      <c r="AK403">
        <v>264.44253397076699</v>
      </c>
      <c r="AL403">
        <v>80.816053093175995</v>
      </c>
      <c r="AM403">
        <v>90.843136190047005</v>
      </c>
      <c r="AN403">
        <v>0.99999996089288201</v>
      </c>
    </row>
    <row r="404" spans="1:40" x14ac:dyDescent="0.25">
      <c r="A404" t="str">
        <f>"20190303161850247"</f>
        <v>20190303161850247</v>
      </c>
      <c r="B404" t="str">
        <f>"1551601130243541"</f>
        <v>1551601130243541</v>
      </c>
      <c r="C404" t="s">
        <v>40</v>
      </c>
      <c r="D404">
        <v>4.6936499999999999</v>
      </c>
      <c r="E404">
        <v>0.4964924</v>
      </c>
      <c r="F404" t="s">
        <v>43</v>
      </c>
      <c r="G404">
        <v>-158.19499999999999</v>
      </c>
      <c r="H404">
        <v>1.643521</v>
      </c>
      <c r="I404">
        <v>373.95949999999999</v>
      </c>
      <c r="J404">
        <v>-422.35570000000001</v>
      </c>
      <c r="K404">
        <v>1.0711839999999999</v>
      </c>
      <c r="L404">
        <v>366.99810000000002</v>
      </c>
      <c r="M404">
        <v>0.99992919999999996</v>
      </c>
      <c r="N404">
        <v>-1.188258E-2</v>
      </c>
      <c r="O404">
        <v>-6.2464300000000003E-4</v>
      </c>
      <c r="P404">
        <v>0.98894729999999997</v>
      </c>
      <c r="Q404">
        <v>0.14760599999999999</v>
      </c>
      <c r="R404">
        <v>1.4002250000000001E-2</v>
      </c>
      <c r="S404">
        <v>3.0315249999999998</v>
      </c>
      <c r="T404">
        <v>6.5647359999999998E-3</v>
      </c>
      <c r="U404">
        <v>7.9833979999999999E-2</v>
      </c>
      <c r="V404">
        <v>-1.461403E-2</v>
      </c>
      <c r="W404">
        <v>0.15934709999999999</v>
      </c>
      <c r="X404">
        <v>0.98711439999999995</v>
      </c>
      <c r="Y404">
        <v>-2.6950160000000001E-2</v>
      </c>
      <c r="Z404">
        <v>1.222025E-4</v>
      </c>
      <c r="AA404">
        <v>0.99963679999999999</v>
      </c>
      <c r="AB404">
        <v>29</v>
      </c>
      <c r="AC404">
        <v>264.16070000000002</v>
      </c>
      <c r="AD404">
        <v>0.57233699999999998</v>
      </c>
      <c r="AE404">
        <v>6.9613999999999603</v>
      </c>
      <c r="AF404">
        <v>-7.1263829950205801</v>
      </c>
      <c r="AG404">
        <v>0.57233699999999998</v>
      </c>
      <c r="AH404">
        <v>264.15506060869802</v>
      </c>
      <c r="AI404">
        <v>89.875904265033</v>
      </c>
      <c r="AJ404">
        <v>91.545352388013995</v>
      </c>
      <c r="AK404">
        <v>264.251790815915</v>
      </c>
      <c r="AL404">
        <v>80.830997955696304</v>
      </c>
      <c r="AM404">
        <v>90.848190517109401</v>
      </c>
      <c r="AN404">
        <v>0.99999995341930403</v>
      </c>
    </row>
    <row r="405" spans="1:40" x14ac:dyDescent="0.25">
      <c r="A405" t="str">
        <f>"20190303161850267"</f>
        <v>20190303161850267</v>
      </c>
      <c r="B405" t="str">
        <f>"1551601130263061"</f>
        <v>1551601130263061</v>
      </c>
      <c r="C405" t="s">
        <v>40</v>
      </c>
      <c r="D405">
        <v>4.635281</v>
      </c>
      <c r="E405">
        <v>0.49726350000000002</v>
      </c>
      <c r="F405" t="s">
        <v>43</v>
      </c>
      <c r="G405">
        <v>-158.19499999999999</v>
      </c>
      <c r="H405">
        <v>1.3152790000000001</v>
      </c>
      <c r="I405">
        <v>373.43770000000001</v>
      </c>
      <c r="J405">
        <v>-422.09070000000003</v>
      </c>
      <c r="K405">
        <v>1.0711820000000001</v>
      </c>
      <c r="L405">
        <v>366.99799999999999</v>
      </c>
      <c r="M405">
        <v>0.99992919999999996</v>
      </c>
      <c r="N405">
        <v>-1.188056E-2</v>
      </c>
      <c r="O405">
        <v>-6.2439240000000001E-4</v>
      </c>
      <c r="P405">
        <v>0.98899309999999996</v>
      </c>
      <c r="Q405">
        <v>0.14732029999999999</v>
      </c>
      <c r="R405">
        <v>1.377246E-2</v>
      </c>
      <c r="S405">
        <v>3.0320429999999998</v>
      </c>
      <c r="T405">
        <v>2.8027299999999998E-3</v>
      </c>
      <c r="U405">
        <v>7.3913569999999998E-2</v>
      </c>
      <c r="V405">
        <v>-1.4384060000000001E-2</v>
      </c>
      <c r="W405">
        <v>0.1590599</v>
      </c>
      <c r="X405">
        <v>0.98716409999999999</v>
      </c>
      <c r="Y405">
        <v>-2.4994559999999999E-2</v>
      </c>
      <c r="Z405">
        <v>1.2895680000000001E-4</v>
      </c>
      <c r="AA405">
        <v>0.99968760000000001</v>
      </c>
      <c r="AB405">
        <v>29</v>
      </c>
      <c r="AC405">
        <v>263.89569999999998</v>
      </c>
      <c r="AD405">
        <v>0.24409699999999901</v>
      </c>
      <c r="AE405">
        <v>6.4396999999999496</v>
      </c>
      <c r="AF405">
        <v>-6.6044792014245903</v>
      </c>
      <c r="AG405">
        <v>0.24409699999999901</v>
      </c>
      <c r="AH405">
        <v>263.891401721465</v>
      </c>
      <c r="AI405">
        <v>89.947018562199901</v>
      </c>
      <c r="AJ405">
        <v>91.433657194369999</v>
      </c>
      <c r="AK405">
        <v>263.97414765728001</v>
      </c>
      <c r="AL405">
        <v>80.847665920619704</v>
      </c>
      <c r="AM405">
        <v>90.834803059622104</v>
      </c>
      <c r="AN405">
        <v>0.99999995664944996</v>
      </c>
    </row>
    <row r="406" spans="1:40" x14ac:dyDescent="0.25">
      <c r="A406" t="str">
        <f>"20190303161850280"</f>
        <v>20190303161850280</v>
      </c>
      <c r="B406" t="str">
        <f>"1551601130273797"</f>
        <v>1551601130273797</v>
      </c>
      <c r="C406" t="s">
        <v>40</v>
      </c>
      <c r="D406">
        <v>4.6045249999999998</v>
      </c>
      <c r="E406">
        <v>0.49763170000000001</v>
      </c>
      <c r="F406" t="s">
        <v>43</v>
      </c>
      <c r="G406">
        <v>-158.19499999999999</v>
      </c>
      <c r="H406">
        <v>1.118525</v>
      </c>
      <c r="I406">
        <v>372.79829999999998</v>
      </c>
      <c r="J406">
        <v>-421.9237</v>
      </c>
      <c r="K406">
        <v>1.0711809999999999</v>
      </c>
      <c r="L406">
        <v>366.99790000000002</v>
      </c>
      <c r="M406">
        <v>0.99992939999999997</v>
      </c>
      <c r="N406">
        <v>-1.187944E-2</v>
      </c>
      <c r="O406">
        <v>-6.243857E-4</v>
      </c>
      <c r="P406">
        <v>0.98903750000000001</v>
      </c>
      <c r="Q406">
        <v>0.14700379999999999</v>
      </c>
      <c r="R406">
        <v>1.39734E-2</v>
      </c>
      <c r="S406">
        <v>3.0323790000000002</v>
      </c>
      <c r="T406">
        <v>5.4502489999999995E-4</v>
      </c>
      <c r="U406">
        <v>6.6650390000000004E-2</v>
      </c>
      <c r="V406">
        <v>-1.458487E-2</v>
      </c>
      <c r="W406">
        <v>0.1587431</v>
      </c>
      <c r="X406">
        <v>0.98721219999999998</v>
      </c>
      <c r="Y406">
        <v>-2.259852E-2</v>
      </c>
      <c r="Z406">
        <v>1.2469019999999999E-4</v>
      </c>
      <c r="AA406">
        <v>0.99974459999999998</v>
      </c>
      <c r="AB406">
        <v>29</v>
      </c>
      <c r="AC406">
        <v>263.7287</v>
      </c>
      <c r="AD406">
        <v>4.7343999999999997E-2</v>
      </c>
      <c r="AE406">
        <v>5.8003999999999598</v>
      </c>
      <c r="AF406">
        <v>-5.9650787003004604</v>
      </c>
      <c r="AG406">
        <v>4.7343999999999997E-2</v>
      </c>
      <c r="AH406">
        <v>263.72501814776803</v>
      </c>
      <c r="AI406">
        <v>89.989716873443797</v>
      </c>
      <c r="AJ406">
        <v>91.295726778432297</v>
      </c>
      <c r="AK406">
        <v>263.79247449917102</v>
      </c>
      <c r="AL406">
        <v>80.866051297350893</v>
      </c>
      <c r="AM406">
        <v>90.846414485035197</v>
      </c>
      <c r="AN406">
        <v>1.0000000090296799</v>
      </c>
    </row>
    <row r="407" spans="1:40" x14ac:dyDescent="0.25">
      <c r="A407" t="str">
        <f>"20190303161850301"</f>
        <v>20190303161850301</v>
      </c>
      <c r="B407" t="str">
        <f>"1551601130293317"</f>
        <v>1551601130293317</v>
      </c>
      <c r="C407" t="s">
        <v>40</v>
      </c>
      <c r="D407">
        <v>4.5383519999999997</v>
      </c>
      <c r="E407">
        <v>0.49811559999999999</v>
      </c>
      <c r="F407" t="s">
        <v>43</v>
      </c>
      <c r="G407">
        <v>-158.19499999999999</v>
      </c>
      <c r="H407">
        <v>0.95420499999999997</v>
      </c>
      <c r="I407">
        <v>372.57920000000001</v>
      </c>
      <c r="J407">
        <v>-421.65820000000002</v>
      </c>
      <c r="K407">
        <v>1.0711740000000001</v>
      </c>
      <c r="L407">
        <v>366.99770000000001</v>
      </c>
      <c r="M407">
        <v>0.99992919999999996</v>
      </c>
      <c r="N407">
        <v>-1.187788E-2</v>
      </c>
      <c r="O407">
        <v>-6.240188E-4</v>
      </c>
      <c r="P407">
        <v>0.98910180000000003</v>
      </c>
      <c r="Q407">
        <v>0.14652899999999999</v>
      </c>
      <c r="R407">
        <v>1.4379670000000001E-2</v>
      </c>
      <c r="S407">
        <v>3.032562</v>
      </c>
      <c r="T407">
        <v>-1.3440850000000001E-3</v>
      </c>
      <c r="U407">
        <v>6.4178470000000001E-2</v>
      </c>
      <c r="V407">
        <v>-1.499086E-2</v>
      </c>
      <c r="W407">
        <v>0.15826750000000001</v>
      </c>
      <c r="X407">
        <v>0.98728249999999995</v>
      </c>
      <c r="Y407">
        <v>-2.1782200000000002E-2</v>
      </c>
      <c r="Z407">
        <v>1.270741E-4</v>
      </c>
      <c r="AA407">
        <v>0.9997627</v>
      </c>
      <c r="AB407">
        <v>29</v>
      </c>
      <c r="AC407">
        <v>263.46319999999997</v>
      </c>
      <c r="AD407">
        <v>-0.116969</v>
      </c>
      <c r="AE407">
        <v>5.5815000000000001</v>
      </c>
      <c r="AF407">
        <v>-5.7459153797387197</v>
      </c>
      <c r="AG407">
        <v>-0.116969</v>
      </c>
      <c r="AH407">
        <v>263.45961358328299</v>
      </c>
      <c r="AI407">
        <v>90.025431739604798</v>
      </c>
      <c r="AJ407">
        <v>91.249392699938895</v>
      </c>
      <c r="AK407">
        <v>263.52228978731699</v>
      </c>
      <c r="AL407">
        <v>80.893650273217602</v>
      </c>
      <c r="AM407">
        <v>90.869910091754207</v>
      </c>
      <c r="AN407">
        <v>1.0000000311230099</v>
      </c>
    </row>
    <row r="408" spans="1:40" x14ac:dyDescent="0.25">
      <c r="A408" t="str">
        <f>"20190303161850313"</f>
        <v>20190303161850313</v>
      </c>
      <c r="B408" t="str">
        <f>"1551601130303077"</f>
        <v>1551601130303077</v>
      </c>
      <c r="C408" t="s">
        <v>40</v>
      </c>
      <c r="D408">
        <v>4.5017440000000004</v>
      </c>
      <c r="E408">
        <v>0.4984632</v>
      </c>
      <c r="F408" t="s">
        <v>43</v>
      </c>
      <c r="G408">
        <v>-158.19499999999999</v>
      </c>
      <c r="H408">
        <v>0.7205684</v>
      </c>
      <c r="I408">
        <v>372.33179999999999</v>
      </c>
      <c r="J408">
        <v>-421.4939</v>
      </c>
      <c r="K408">
        <v>1.0711710000000001</v>
      </c>
      <c r="L408">
        <v>366.99770000000001</v>
      </c>
      <c r="M408">
        <v>0.99992939999999997</v>
      </c>
      <c r="N408">
        <v>-1.187707E-2</v>
      </c>
      <c r="O408">
        <v>-6.2401399999999999E-4</v>
      </c>
      <c r="P408">
        <v>0.9892223</v>
      </c>
      <c r="Q408">
        <v>0.14570739999999999</v>
      </c>
      <c r="R408">
        <v>1.444757E-2</v>
      </c>
      <c r="S408">
        <v>3.0327760000000001</v>
      </c>
      <c r="T408">
        <v>-4.0348770000000001E-3</v>
      </c>
      <c r="U408">
        <v>6.1401369999999997E-2</v>
      </c>
      <c r="V408">
        <v>-1.50583E-2</v>
      </c>
      <c r="W408">
        <v>0.15744639999999999</v>
      </c>
      <c r="X408">
        <v>0.98741279999999998</v>
      </c>
      <c r="Y408">
        <v>-2.086549E-2</v>
      </c>
      <c r="Z408">
        <v>1.312257E-4</v>
      </c>
      <c r="AA408">
        <v>0.99978230000000001</v>
      </c>
      <c r="AB408">
        <v>29</v>
      </c>
      <c r="AC408">
        <v>263.2989</v>
      </c>
      <c r="AD408">
        <v>-0.35060259999999899</v>
      </c>
      <c r="AE408">
        <v>5.3340999999999701</v>
      </c>
      <c r="AF408">
        <v>-5.4984029844697204</v>
      </c>
      <c r="AG408">
        <v>-0.35060259999999899</v>
      </c>
      <c r="AH408">
        <v>263.29505328609503</v>
      </c>
      <c r="AI408">
        <v>90.076278146386699</v>
      </c>
      <c r="AJ408">
        <v>91.196336571148095</v>
      </c>
      <c r="AK408">
        <v>263.35269211171999</v>
      </c>
      <c r="AL408">
        <v>80.941293626351595</v>
      </c>
      <c r="AM408">
        <v>90.873707694001197</v>
      </c>
      <c r="AN408">
        <v>1.0000000794378401</v>
      </c>
    </row>
    <row r="409" spans="1:40" x14ac:dyDescent="0.25">
      <c r="A409" t="str">
        <f>"20190303161850328"</f>
        <v>20190303161850328</v>
      </c>
      <c r="B409" t="str">
        <f>"1551601130323574"</f>
        <v>1551601130323574</v>
      </c>
      <c r="C409" t="s">
        <v>40</v>
      </c>
      <c r="D409">
        <v>4.4579129999999996</v>
      </c>
      <c r="E409">
        <v>0.4988551</v>
      </c>
      <c r="F409" t="s">
        <v>43</v>
      </c>
      <c r="G409">
        <v>-158.19499999999999</v>
      </c>
      <c r="H409">
        <v>0.4832861</v>
      </c>
      <c r="I409">
        <v>372.10840000000002</v>
      </c>
      <c r="J409">
        <v>-421.30029999999999</v>
      </c>
      <c r="K409">
        <v>1.0711630000000001</v>
      </c>
      <c r="L409">
        <v>366.9975</v>
      </c>
      <c r="M409">
        <v>0.99992919999999996</v>
      </c>
      <c r="N409">
        <v>-1.187621E-2</v>
      </c>
      <c r="O409">
        <v>-6.2400909999999995E-4</v>
      </c>
      <c r="P409">
        <v>0.98928590000000005</v>
      </c>
      <c r="Q409">
        <v>0.14523079999999999</v>
      </c>
      <c r="R409">
        <v>1.4881419999999999E-2</v>
      </c>
      <c r="S409">
        <v>3.0328369999999998</v>
      </c>
      <c r="T409">
        <v>-6.7706110000000002E-3</v>
      </c>
      <c r="U409">
        <v>5.8868410000000003E-2</v>
      </c>
      <c r="V409">
        <v>-1.549266E-2</v>
      </c>
      <c r="W409">
        <v>0.15696979999999999</v>
      </c>
      <c r="X409">
        <v>0.98748190000000002</v>
      </c>
      <c r="Y409">
        <v>-2.0030280000000001E-2</v>
      </c>
      <c r="Z409">
        <v>1.352968E-4</v>
      </c>
      <c r="AA409">
        <v>0.9997994</v>
      </c>
      <c r="AB409">
        <v>29</v>
      </c>
      <c r="AC409">
        <v>263.1053</v>
      </c>
      <c r="AD409">
        <v>-0.58787689999999904</v>
      </c>
      <c r="AE409">
        <v>5.1109000000000098</v>
      </c>
      <c r="AF409">
        <v>-5.2750643735065896</v>
      </c>
      <c r="AG409">
        <v>-0.58787689999999904</v>
      </c>
      <c r="AH409">
        <v>263.10074627303902</v>
      </c>
      <c r="AI409">
        <v>90.127996753001895</v>
      </c>
      <c r="AJ409">
        <v>91.148603493761001</v>
      </c>
      <c r="AK409">
        <v>263.15427906994898</v>
      </c>
      <c r="AL409">
        <v>80.968944093697104</v>
      </c>
      <c r="AM409">
        <v>90.898843017155897</v>
      </c>
      <c r="AN409">
        <v>1.0000000217267599</v>
      </c>
    </row>
    <row r="410" spans="1:40" x14ac:dyDescent="0.25">
      <c r="A410" t="str">
        <f>"20190303161850347"</f>
        <v>20190303161850347</v>
      </c>
      <c r="B410" t="str">
        <f>"1551601130332863"</f>
        <v>1551601130332863</v>
      </c>
      <c r="C410" t="s">
        <v>40</v>
      </c>
      <c r="D410">
        <v>4.4671519999999996</v>
      </c>
      <c r="E410">
        <v>0.49903599999999998</v>
      </c>
      <c r="F410" t="s">
        <v>43</v>
      </c>
      <c r="G410">
        <v>-158.19499999999999</v>
      </c>
      <c r="H410">
        <v>0.37652609999999997</v>
      </c>
      <c r="I410">
        <v>371.94839999999999</v>
      </c>
      <c r="J410">
        <v>-421.06310000000002</v>
      </c>
      <c r="K410">
        <v>1.0711459999999999</v>
      </c>
      <c r="L410">
        <v>366.99740000000003</v>
      </c>
      <c r="M410">
        <v>0.99992939999999997</v>
      </c>
      <c r="N410">
        <v>-1.187535E-2</v>
      </c>
      <c r="O410">
        <v>-6.2400409999999998E-4</v>
      </c>
      <c r="P410">
        <v>0.98960729999999997</v>
      </c>
      <c r="Q410">
        <v>0.1429956</v>
      </c>
      <c r="R410">
        <v>1.516589E-2</v>
      </c>
      <c r="S410">
        <v>3.0327760000000001</v>
      </c>
      <c r="T410">
        <v>-8.0059769999999992E-3</v>
      </c>
      <c r="U410">
        <v>5.706787E-2</v>
      </c>
      <c r="V410">
        <v>-1.57775E-2</v>
      </c>
      <c r="W410">
        <v>0.15473819999999999</v>
      </c>
      <c r="X410">
        <v>0.98782950000000003</v>
      </c>
      <c r="Y410">
        <v>-1.943725E-2</v>
      </c>
      <c r="Z410">
        <v>1.3531780000000001E-4</v>
      </c>
      <c r="AA410">
        <v>0.99981109999999895</v>
      </c>
      <c r="AB410">
        <v>29</v>
      </c>
      <c r="AC410">
        <v>262.86810000000003</v>
      </c>
      <c r="AD410">
        <v>-0.69461989999999996</v>
      </c>
      <c r="AE410">
        <v>4.9509999999999597</v>
      </c>
      <c r="AF410">
        <v>-5.11500565406166</v>
      </c>
      <c r="AG410">
        <v>-0.69461989999999996</v>
      </c>
      <c r="AH410">
        <v>262.86312432949097</v>
      </c>
      <c r="AI410">
        <v>90.151375981224405</v>
      </c>
      <c r="AJ410">
        <v>91.114767450348197</v>
      </c>
      <c r="AK410">
        <v>262.91380319775499</v>
      </c>
      <c r="AL410">
        <v>81.098386793236202</v>
      </c>
      <c r="AM410">
        <v>90.915043845017706</v>
      </c>
      <c r="AN410">
        <v>0.99999998055786898</v>
      </c>
    </row>
    <row r="411" spans="1:40" x14ac:dyDescent="0.25">
      <c r="A411" t="str">
        <f>"20190303161850363"</f>
        <v>20190303161850363</v>
      </c>
      <c r="B411" t="str">
        <f>"1551601130353359"</f>
        <v>1551601130353359</v>
      </c>
      <c r="C411" t="s">
        <v>40</v>
      </c>
      <c r="D411">
        <v>4.4128990000000003</v>
      </c>
      <c r="E411">
        <v>0.49939840000000002</v>
      </c>
      <c r="F411" t="s">
        <v>46</v>
      </c>
      <c r="G411">
        <v>-202.4135</v>
      </c>
      <c r="H411" s="1">
        <v>-3.556101E-6</v>
      </c>
      <c r="I411">
        <v>371.03460000000001</v>
      </c>
      <c r="J411">
        <v>-420.85449999999997</v>
      </c>
      <c r="K411">
        <v>1.0711440000000001</v>
      </c>
      <c r="L411">
        <v>366.9973</v>
      </c>
      <c r="M411">
        <v>0.99992939999999997</v>
      </c>
      <c r="N411">
        <v>-1.187473E-2</v>
      </c>
      <c r="O411">
        <v>-6.2388120000000003E-4</v>
      </c>
      <c r="P411">
        <v>0.98965270000000005</v>
      </c>
      <c r="Q411">
        <v>0.14264360000000001</v>
      </c>
      <c r="R411">
        <v>1.5518280000000001E-2</v>
      </c>
      <c r="S411">
        <v>3.0328369999999998</v>
      </c>
      <c r="T411">
        <v>-1.485765E-2</v>
      </c>
      <c r="U411">
        <v>5.5999760000000003E-2</v>
      </c>
      <c r="V411">
        <v>-1.61298E-2</v>
      </c>
      <c r="W411">
        <v>0.1543862</v>
      </c>
      <c r="X411">
        <v>0.9878789</v>
      </c>
      <c r="Y411">
        <v>-1.908435E-2</v>
      </c>
      <c r="Z411">
        <v>1.557168E-4</v>
      </c>
      <c r="AA411">
        <v>0.99981779999999998</v>
      </c>
      <c r="AB411">
        <v>29</v>
      </c>
      <c r="AC411">
        <v>218.441</v>
      </c>
      <c r="AD411">
        <v>-1.071147556101</v>
      </c>
      <c r="AE411">
        <v>4.0373000000000099</v>
      </c>
      <c r="AF411">
        <v>-4.17348972442554</v>
      </c>
      <c r="AG411">
        <v>-1.071147556101</v>
      </c>
      <c r="AH411">
        <v>218.43318801036301</v>
      </c>
      <c r="AI411">
        <v>90.280912181707393</v>
      </c>
      <c r="AJ411">
        <v>91.094587583805605</v>
      </c>
      <c r="AK411">
        <v>218.475680564079</v>
      </c>
      <c r="AL411">
        <v>81.118800345492005</v>
      </c>
      <c r="AM411">
        <v>90.935425740421906</v>
      </c>
      <c r="AN411">
        <v>0.99999999513184501</v>
      </c>
    </row>
    <row r="412" spans="1:40" x14ac:dyDescent="0.25">
      <c r="A412" t="str">
        <f>"20190303161850381"</f>
        <v>20190303161850381</v>
      </c>
      <c r="B412" t="str">
        <f>"1551601130373856"</f>
        <v>1551601130373856</v>
      </c>
      <c r="C412" t="s">
        <v>40</v>
      </c>
      <c r="D412">
        <v>4.3871919999999998</v>
      </c>
      <c r="E412">
        <v>0.49984650000000003</v>
      </c>
      <c r="F412" t="s">
        <v>46</v>
      </c>
      <c r="G412">
        <v>-209.6994</v>
      </c>
      <c r="H412" s="1">
        <v>-6.5739629999999997E-6</v>
      </c>
      <c r="I412">
        <v>370.72</v>
      </c>
      <c r="J412">
        <v>-420.62709999999998</v>
      </c>
      <c r="K412">
        <v>1.0711520000000001</v>
      </c>
      <c r="L412">
        <v>366.99709999999999</v>
      </c>
      <c r="M412">
        <v>0.99992930000000002</v>
      </c>
      <c r="N412">
        <v>-1.187418E-2</v>
      </c>
      <c r="O412">
        <v>-6.2375869999999999E-4</v>
      </c>
      <c r="P412">
        <v>0.98942909999999995</v>
      </c>
      <c r="Q412">
        <v>0.14409710000000001</v>
      </c>
      <c r="R412">
        <v>1.63170999999999E-2</v>
      </c>
      <c r="S412">
        <v>3.0327449999999998</v>
      </c>
      <c r="T412">
        <v>-1.538455E-2</v>
      </c>
      <c r="U412">
        <v>5.3466800000000002E-2</v>
      </c>
      <c r="V412">
        <v>-1.692857E-2</v>
      </c>
      <c r="W412">
        <v>0.15583620000000001</v>
      </c>
      <c r="X412">
        <v>0.98763780000000001</v>
      </c>
      <c r="Y412">
        <v>-1.8249999999999999E-2</v>
      </c>
      <c r="Z412">
        <v>1.5040959999999999E-4</v>
      </c>
      <c r="AA412">
        <v>0.99983350000000004</v>
      </c>
      <c r="AB412">
        <v>29</v>
      </c>
      <c r="AC412">
        <v>210.92769999999999</v>
      </c>
      <c r="AD412">
        <v>-1.0711585739630001</v>
      </c>
      <c r="AE412">
        <v>3.7229000000000299</v>
      </c>
      <c r="AF412">
        <v>-3.8543771696106699</v>
      </c>
      <c r="AG412">
        <v>-1.0711585739630001</v>
      </c>
      <c r="AH412">
        <v>210.91989881396401</v>
      </c>
      <c r="AI412">
        <v>90.290926050555996</v>
      </c>
      <c r="AJ412">
        <v>91.046913866234902</v>
      </c>
      <c r="AK412">
        <v>210.957833037195</v>
      </c>
      <c r="AL412">
        <v>81.034703325828502</v>
      </c>
      <c r="AM412">
        <v>90.981980077472997</v>
      </c>
      <c r="AN412">
        <v>0.99999996085076104</v>
      </c>
    </row>
    <row r="413" spans="1:40" x14ac:dyDescent="0.25">
      <c r="A413" t="str">
        <f>"20190303161850402"</f>
        <v>20190303161850402</v>
      </c>
      <c r="B413" t="str">
        <f>"1551601130393375"</f>
        <v>1551601130393375</v>
      </c>
      <c r="C413" t="s">
        <v>40</v>
      </c>
      <c r="D413">
        <v>4.3797499999999996</v>
      </c>
      <c r="E413">
        <v>0.50016269999999996</v>
      </c>
      <c r="F413" t="s">
        <v>43</v>
      </c>
      <c r="G413">
        <v>-158.19499999999999</v>
      </c>
      <c r="H413">
        <v>0.20466970000000001</v>
      </c>
      <c r="I413">
        <v>371.55</v>
      </c>
      <c r="J413">
        <v>-420.35700000000003</v>
      </c>
      <c r="K413">
        <v>1.0711660000000001</v>
      </c>
      <c r="L413">
        <v>366.99700000000001</v>
      </c>
      <c r="M413">
        <v>0.99992939999999997</v>
      </c>
      <c r="N413">
        <v>-1.1873679999999999E-2</v>
      </c>
      <c r="O413">
        <v>-6.2375579999999998E-4</v>
      </c>
      <c r="P413">
        <v>0.9890774</v>
      </c>
      <c r="Q413">
        <v>0.14645229999999901</v>
      </c>
      <c r="R413">
        <v>1.666453E-2</v>
      </c>
      <c r="S413">
        <v>3.0326230000000001</v>
      </c>
      <c r="T413">
        <v>-1.0011910000000001E-2</v>
      </c>
      <c r="U413">
        <v>5.2612300000000001E-2</v>
      </c>
      <c r="V413">
        <v>-1.7275240000000001E-2</v>
      </c>
      <c r="W413">
        <v>0.15818660000000001</v>
      </c>
      <c r="X413">
        <v>0.98725810000000003</v>
      </c>
      <c r="Y413">
        <v>-1.79694E-2</v>
      </c>
      <c r="Z413">
        <v>1.3100739999999999E-4</v>
      </c>
      <c r="AA413">
        <v>0.99983849999999996</v>
      </c>
      <c r="AB413">
        <v>29</v>
      </c>
      <c r="AC413">
        <v>262.16199999999998</v>
      </c>
      <c r="AD413">
        <v>-0.8664963</v>
      </c>
      <c r="AE413">
        <v>4.5530000000000497</v>
      </c>
      <c r="AF413">
        <v>-4.7164841872700496</v>
      </c>
      <c r="AG413">
        <v>-0.8664963</v>
      </c>
      <c r="AH413">
        <v>262.15624582075799</v>
      </c>
      <c r="AI413">
        <v>90.189346499194997</v>
      </c>
      <c r="AJ413">
        <v>91.030703984708396</v>
      </c>
      <c r="AK413">
        <v>262.20010156702898</v>
      </c>
      <c r="AL413">
        <v>80.898344307736494</v>
      </c>
      <c r="AM413">
        <v>91.002470721179407</v>
      </c>
      <c r="AN413">
        <v>0.99999999517611304</v>
      </c>
    </row>
    <row r="414" spans="1:40" x14ac:dyDescent="0.25">
      <c r="A414" t="str">
        <f>"20190303161850415"</f>
        <v>20190303161850415</v>
      </c>
      <c r="B414" t="str">
        <f>"1551601130403135"</f>
        <v>1551601130403135</v>
      </c>
      <c r="C414" t="s">
        <v>40</v>
      </c>
      <c r="D414">
        <v>4.3351309999999996</v>
      </c>
      <c r="E414">
        <v>0.50043389999999999</v>
      </c>
      <c r="F414" t="s">
        <v>43</v>
      </c>
      <c r="G414">
        <v>-158.19499999999999</v>
      </c>
      <c r="H414">
        <v>0.88137670000000001</v>
      </c>
      <c r="I414">
        <v>371.387</v>
      </c>
      <c r="J414">
        <v>-420.17759999999998</v>
      </c>
      <c r="K414">
        <v>1.071167</v>
      </c>
      <c r="L414">
        <v>366.99689999999998</v>
      </c>
      <c r="M414">
        <v>0.99992930000000002</v>
      </c>
      <c r="N414">
        <v>-1.1873440000000001E-2</v>
      </c>
      <c r="O414">
        <v>-6.2375440000000005E-4</v>
      </c>
      <c r="P414">
        <v>0.98901910000000004</v>
      </c>
      <c r="Q414">
        <v>0.1468217</v>
      </c>
      <c r="R414">
        <v>1.6864750000000001E-2</v>
      </c>
      <c r="S414">
        <v>3.0325929999999999</v>
      </c>
      <c r="T414">
        <v>-2.194405E-3</v>
      </c>
      <c r="U414">
        <v>5.078125E-2</v>
      </c>
      <c r="V414">
        <v>-1.747568E-2</v>
      </c>
      <c r="W414">
        <v>0.15855520000000001</v>
      </c>
      <c r="X414">
        <v>0.98719539999999995</v>
      </c>
      <c r="Y414">
        <v>-1.7366409999999999E-2</v>
      </c>
      <c r="Z414">
        <v>1.024388E-4</v>
      </c>
      <c r="AA414">
        <v>0.99984919999999999</v>
      </c>
      <c r="AB414">
        <v>29</v>
      </c>
      <c r="AC414">
        <v>261.98259999999999</v>
      </c>
      <c r="AD414">
        <v>-0.1897903</v>
      </c>
      <c r="AE414">
        <v>4.3900999999999604</v>
      </c>
      <c r="AF414">
        <v>-4.5535210785631604</v>
      </c>
      <c r="AG414">
        <v>-0.1897903</v>
      </c>
      <c r="AH414">
        <v>261.97967303952697</v>
      </c>
      <c r="AI414">
        <v>90.0415014605842</v>
      </c>
      <c r="AJ414">
        <v>90.995769131804806</v>
      </c>
      <c r="AK414">
        <v>262.019311617423</v>
      </c>
      <c r="AL414">
        <v>80.876954769366606</v>
      </c>
      <c r="AM414">
        <v>91.014164101700402</v>
      </c>
      <c r="AN414">
        <v>0.99999995430983002</v>
      </c>
    </row>
    <row r="415" spans="1:40" x14ac:dyDescent="0.25">
      <c r="A415" t="str">
        <f>"20190303161850428"</f>
        <v>20190303161850428</v>
      </c>
      <c r="B415" t="str">
        <f>"1551601130423631"</f>
        <v>1551601130423631</v>
      </c>
      <c r="C415" t="s">
        <v>40</v>
      </c>
      <c r="D415">
        <v>4.340376</v>
      </c>
      <c r="E415">
        <v>0.50088699999999997</v>
      </c>
      <c r="F415" t="s">
        <v>43</v>
      </c>
      <c r="G415">
        <v>-158.19499999999999</v>
      </c>
      <c r="H415">
        <v>1.0150349999999999</v>
      </c>
      <c r="I415">
        <v>371.26260000000002</v>
      </c>
      <c r="J415">
        <v>-420.00360000000001</v>
      </c>
      <c r="K415">
        <v>1.071164</v>
      </c>
      <c r="L415">
        <v>366.99680000000001</v>
      </c>
      <c r="M415">
        <v>0.99992930000000002</v>
      </c>
      <c r="N415">
        <v>-1.187324E-2</v>
      </c>
      <c r="O415">
        <v>-6.2375339999999895E-4</v>
      </c>
      <c r="P415">
        <v>0.98901490000000003</v>
      </c>
      <c r="Q415">
        <v>0.146831399999999</v>
      </c>
      <c r="R415">
        <v>1.7026409999999999E-2</v>
      </c>
      <c r="S415">
        <v>3.032562</v>
      </c>
      <c r="T415">
        <v>-6.4873699999999895E-4</v>
      </c>
      <c r="U415">
        <v>4.9377440000000002E-2</v>
      </c>
      <c r="V415">
        <v>-1.7637110000000001E-2</v>
      </c>
      <c r="W415">
        <v>0.1585647</v>
      </c>
      <c r="X415">
        <v>0.98719109999999999</v>
      </c>
      <c r="Y415">
        <v>-1.6903910000000001E-2</v>
      </c>
      <c r="Z415" s="1">
        <v>9.4897920000000006E-5</v>
      </c>
      <c r="AA415">
        <v>0.99985710000000005</v>
      </c>
      <c r="AB415">
        <v>29</v>
      </c>
      <c r="AC415">
        <v>261.80860000000001</v>
      </c>
      <c r="AD415">
        <v>-5.6128999999999797E-2</v>
      </c>
      <c r="AE415">
        <v>4.2658000000000103</v>
      </c>
      <c r="AF415">
        <v>-4.4291144855522404</v>
      </c>
      <c r="AG415">
        <v>-5.6128999999999797E-2</v>
      </c>
      <c r="AH415">
        <v>261.80587603708398</v>
      </c>
      <c r="AI415">
        <v>90.012281980441401</v>
      </c>
      <c r="AJ415">
        <v>90.969211864461997</v>
      </c>
      <c r="AK415">
        <v>261.84334425976101</v>
      </c>
      <c r="AL415">
        <v>80.876404364238596</v>
      </c>
      <c r="AM415">
        <v>91.023534823594503</v>
      </c>
      <c r="AN415">
        <v>1.0000000498272199</v>
      </c>
    </row>
    <row r="416" spans="1:40" x14ac:dyDescent="0.25">
      <c r="A416" t="str">
        <f>"20190303161850447"</f>
        <v>20190303161850447</v>
      </c>
      <c r="B416" t="str">
        <f>"1551601130433391"</f>
        <v>1551601130433391</v>
      </c>
      <c r="C416" t="s">
        <v>40</v>
      </c>
      <c r="D416">
        <v>4.3192009999999996</v>
      </c>
      <c r="E416">
        <v>0.50108189999999997</v>
      </c>
      <c r="F416" t="s">
        <v>43</v>
      </c>
      <c r="G416">
        <v>-158.19499999999999</v>
      </c>
      <c r="H416">
        <v>1.0788879999999901</v>
      </c>
      <c r="I416">
        <v>371.02010000000001</v>
      </c>
      <c r="J416">
        <v>-419.77730000000003</v>
      </c>
      <c r="K416">
        <v>1.07117</v>
      </c>
      <c r="L416">
        <v>366.9966</v>
      </c>
      <c r="M416">
        <v>0.99992939999999997</v>
      </c>
      <c r="N416">
        <v>-1.187304E-2</v>
      </c>
      <c r="O416">
        <v>-6.2387160000000001E-4</v>
      </c>
      <c r="P416">
        <v>0.98898390000000003</v>
      </c>
      <c r="Q416">
        <v>0.1469886</v>
      </c>
      <c r="R416">
        <v>1.746901E-2</v>
      </c>
      <c r="S416">
        <v>3.0324710000000001</v>
      </c>
      <c r="T416" s="1">
        <v>9.0479850000000004E-5</v>
      </c>
      <c r="U416">
        <v>4.6600339999999997E-2</v>
      </c>
      <c r="V416">
        <v>-1.8080079999999998E-2</v>
      </c>
      <c r="W416">
        <v>0.158720899999999</v>
      </c>
      <c r="X416">
        <v>0.98715790000000003</v>
      </c>
      <c r="Y416">
        <v>-1.5989110000000001E-2</v>
      </c>
      <c r="Z416" s="1">
        <v>8.7264399999999998E-5</v>
      </c>
      <c r="AA416">
        <v>0.99987210000000004</v>
      </c>
      <c r="AB416">
        <v>29</v>
      </c>
      <c r="AC416">
        <v>261.58229999999998</v>
      </c>
      <c r="AD416">
        <v>7.7179999999996696E-3</v>
      </c>
      <c r="AE416">
        <v>4.0235000000000101</v>
      </c>
      <c r="AF416">
        <v>-4.1867044718016304</v>
      </c>
      <c r="AG416">
        <v>7.7179999999996696E-3</v>
      </c>
      <c r="AH416">
        <v>261.57973853506002</v>
      </c>
      <c r="AI416">
        <v>89.998309684847399</v>
      </c>
      <c r="AJ416">
        <v>90.916967105382</v>
      </c>
      <c r="AK416">
        <v>261.61324157231098</v>
      </c>
      <c r="AL416">
        <v>80.867339204995005</v>
      </c>
      <c r="AM416">
        <v>91.049271315564297</v>
      </c>
      <c r="AN416">
        <v>0.99999996646101197</v>
      </c>
    </row>
    <row r="417" spans="1:40" x14ac:dyDescent="0.25">
      <c r="A417" t="str">
        <f>"20190303161850458"</f>
        <v>20190303161850458</v>
      </c>
      <c r="B417" t="str">
        <f>"1551601130452912"</f>
        <v>1551601130452912</v>
      </c>
      <c r="C417" t="s">
        <v>40</v>
      </c>
      <c r="D417">
        <v>4.3111739999999896</v>
      </c>
      <c r="E417">
        <v>0.50141429999999998</v>
      </c>
      <c r="F417" t="s">
        <v>43</v>
      </c>
      <c r="G417">
        <v>-158.19499999999999</v>
      </c>
      <c r="H417">
        <v>1.148072</v>
      </c>
      <c r="I417">
        <v>370.99270000000001</v>
      </c>
      <c r="J417">
        <v>-419.60739999999998</v>
      </c>
      <c r="K417">
        <v>1.071175</v>
      </c>
      <c r="L417">
        <v>366.9966</v>
      </c>
      <c r="M417">
        <v>0.99992939999999997</v>
      </c>
      <c r="N417">
        <v>-1.187297E-2</v>
      </c>
      <c r="O417">
        <v>-6.2375210000000002E-4</v>
      </c>
      <c r="P417">
        <v>0.98891719999999905</v>
      </c>
      <c r="Q417">
        <v>0.14744160000000001</v>
      </c>
      <c r="R417">
        <v>1.7432219999999998E-2</v>
      </c>
      <c r="S417">
        <v>3.0324710000000001</v>
      </c>
      <c r="T417">
        <v>8.9252000000000005E-4</v>
      </c>
      <c r="U417">
        <v>4.6325680000000001E-2</v>
      </c>
      <c r="V417">
        <v>-1.8042969999999998E-2</v>
      </c>
      <c r="W417">
        <v>0.15917339999999999</v>
      </c>
      <c r="X417">
        <v>0.98708580000000001</v>
      </c>
      <c r="Y417">
        <v>-1.5898470000000001E-2</v>
      </c>
      <c r="Z417" s="1">
        <v>8.4461129999999999E-5</v>
      </c>
      <c r="AA417">
        <v>0.99987360000000003</v>
      </c>
      <c r="AB417">
        <v>29</v>
      </c>
      <c r="AC417">
        <v>261.41239999999999</v>
      </c>
      <c r="AD417">
        <v>7.6896999999999993E-2</v>
      </c>
      <c r="AE417">
        <v>3.99610000000001</v>
      </c>
      <c r="AF417">
        <v>-4.1591668770508203</v>
      </c>
      <c r="AG417">
        <v>7.6896999999999993E-2</v>
      </c>
      <c r="AH417">
        <v>261.40983377364199</v>
      </c>
      <c r="AI417">
        <v>89.983147857099794</v>
      </c>
      <c r="AJ417">
        <v>90.911528841907398</v>
      </c>
      <c r="AK417">
        <v>261.44293024639802</v>
      </c>
      <c r="AL417">
        <v>80.841079776323696</v>
      </c>
      <c r="AM417">
        <v>91.047194597228696</v>
      </c>
      <c r="AN417">
        <v>1.0000000482978</v>
      </c>
    </row>
    <row r="418" spans="1:40" x14ac:dyDescent="0.25">
      <c r="A418" t="str">
        <f>"20190303161850471"</f>
        <v>20190303161850471</v>
      </c>
      <c r="B418" t="str">
        <f>"1551601130463648"</f>
        <v>1551601130463648</v>
      </c>
      <c r="C418" t="s">
        <v>40</v>
      </c>
      <c r="D418">
        <v>4.2974779999999999</v>
      </c>
      <c r="E418">
        <v>0.50165039999999905</v>
      </c>
      <c r="F418" t="s">
        <v>43</v>
      </c>
      <c r="G418">
        <v>-158.19499999999999</v>
      </c>
      <c r="H418">
        <v>1.3321799999999999</v>
      </c>
      <c r="I418">
        <v>370.73750000000001</v>
      </c>
      <c r="J418">
        <v>-419.45060000000001</v>
      </c>
      <c r="K418">
        <v>1.0711790000000001</v>
      </c>
      <c r="L418">
        <v>366.99650000000003</v>
      </c>
      <c r="M418">
        <v>0.99992939999999997</v>
      </c>
      <c r="N418">
        <v>-1.187294E-2</v>
      </c>
      <c r="O418">
        <v>-6.2387119999999998E-4</v>
      </c>
      <c r="P418">
        <v>0.98888750000000003</v>
      </c>
      <c r="Q418">
        <v>0.14766009999999999</v>
      </c>
      <c r="R418">
        <v>1.7271950000000001E-2</v>
      </c>
      <c r="S418">
        <v>3.0324710000000001</v>
      </c>
      <c r="T418">
        <v>3.0287500000000002E-3</v>
      </c>
      <c r="U418">
        <v>4.3395999999999997E-2</v>
      </c>
      <c r="V418">
        <v>-1.7882769999999999E-2</v>
      </c>
      <c r="W418">
        <v>0.15939139999999999</v>
      </c>
      <c r="X418">
        <v>0.98705350000000003</v>
      </c>
      <c r="Y418">
        <v>-1.4932859999999999E-2</v>
      </c>
      <c r="Z418" s="1">
        <v>7.3168840000000006E-5</v>
      </c>
      <c r="AA418">
        <v>0.99988849999999996</v>
      </c>
      <c r="AB418">
        <v>29</v>
      </c>
      <c r="AC418">
        <v>261.25560000000002</v>
      </c>
      <c r="AD418">
        <v>0.26100099999999898</v>
      </c>
      <c r="AE418">
        <v>3.7409999999999801</v>
      </c>
      <c r="AF418">
        <v>-3.90399669712609</v>
      </c>
      <c r="AG418">
        <v>0.26100099999999898</v>
      </c>
      <c r="AH418">
        <v>261.25295439345501</v>
      </c>
      <c r="AI418">
        <v>89.942765885970104</v>
      </c>
      <c r="AJ418">
        <v>90.856127682822603</v>
      </c>
      <c r="AK418">
        <v>261.28225253744603</v>
      </c>
      <c r="AL418">
        <v>80.828427432504995</v>
      </c>
      <c r="AM418">
        <v>91.037932760722498</v>
      </c>
      <c r="AN418">
        <v>1.00000001185954</v>
      </c>
    </row>
    <row r="419" spans="1:40" x14ac:dyDescent="0.25">
      <c r="A419" t="str">
        <f>"20190303161850484"</f>
        <v>20190303161850484</v>
      </c>
      <c r="B419" t="str">
        <f>"1551601130473407"</f>
        <v>1551601130473407</v>
      </c>
      <c r="C419" t="s">
        <v>40</v>
      </c>
      <c r="D419">
        <v>4.2847809999999997</v>
      </c>
      <c r="E419">
        <v>0.5018804</v>
      </c>
      <c r="F419" t="s">
        <v>43</v>
      </c>
      <c r="G419">
        <v>-158.19499999999999</v>
      </c>
      <c r="H419">
        <v>1.426523</v>
      </c>
      <c r="I419">
        <v>370.53019999999998</v>
      </c>
      <c r="J419">
        <v>-419.2801</v>
      </c>
      <c r="K419">
        <v>1.0711790000000001</v>
      </c>
      <c r="L419">
        <v>366.99639999999999</v>
      </c>
      <c r="M419">
        <v>0.99992939999999997</v>
      </c>
      <c r="N419">
        <v>-1.187293E-2</v>
      </c>
      <c r="O419">
        <v>-6.2375210000000002E-4</v>
      </c>
      <c r="P419">
        <v>0.9888979</v>
      </c>
      <c r="Q419">
        <v>0.1475997</v>
      </c>
      <c r="R419">
        <v>1.7189429999999999E-2</v>
      </c>
      <c r="S419">
        <v>3.0323790000000002</v>
      </c>
      <c r="T419">
        <v>4.1254760000000003E-3</v>
      </c>
      <c r="U419">
        <v>4.1015629999999997E-2</v>
      </c>
      <c r="V419">
        <v>-1.7800110000000001E-2</v>
      </c>
      <c r="W419">
        <v>0.1593311</v>
      </c>
      <c r="X419">
        <v>0.98706470000000002</v>
      </c>
      <c r="Y419">
        <v>-1.414844E-2</v>
      </c>
      <c r="Z419" s="1">
        <v>6.6120130000000006E-5</v>
      </c>
      <c r="AA419">
        <v>0.99989989999999995</v>
      </c>
      <c r="AB419">
        <v>29</v>
      </c>
      <c r="AC419">
        <v>261.08510000000001</v>
      </c>
      <c r="AD419">
        <v>0.35534399999999899</v>
      </c>
      <c r="AE419">
        <v>3.5337999999999798</v>
      </c>
      <c r="AF419">
        <v>-3.6966563119511799</v>
      </c>
      <c r="AG419">
        <v>0.35534399999999899</v>
      </c>
      <c r="AH419">
        <v>261.082361293416</v>
      </c>
      <c r="AI419">
        <v>89.922025914376903</v>
      </c>
      <c r="AJ419">
        <v>90.811194796241494</v>
      </c>
      <c r="AK419">
        <v>261.108772192343</v>
      </c>
      <c r="AL419">
        <v>80.831926822477101</v>
      </c>
      <c r="AM419">
        <v>91.033124418778897</v>
      </c>
      <c r="AN419">
        <v>0.99999998266465595</v>
      </c>
    </row>
    <row r="420" spans="1:40" x14ac:dyDescent="0.25">
      <c r="A420" t="str">
        <f>"20190303161850502"</f>
        <v>20190303161850502</v>
      </c>
      <c r="B420" t="str">
        <f>"1551601130493903"</f>
        <v>1551601130493903</v>
      </c>
      <c r="C420" t="s">
        <v>40</v>
      </c>
      <c r="D420">
        <v>4.2615030000000003</v>
      </c>
      <c r="E420">
        <v>0.50219399999999903</v>
      </c>
      <c r="F420" t="s">
        <v>43</v>
      </c>
      <c r="G420">
        <v>-158.19499999999999</v>
      </c>
      <c r="H420">
        <v>1.4642269999999999</v>
      </c>
      <c r="I420">
        <v>370.3571</v>
      </c>
      <c r="J420">
        <v>-419.04500000000002</v>
      </c>
      <c r="K420">
        <v>1.0711809999999999</v>
      </c>
      <c r="L420">
        <v>366.99619999999999</v>
      </c>
      <c r="M420">
        <v>0.99992939999999997</v>
      </c>
      <c r="N420">
        <v>-1.187298E-2</v>
      </c>
      <c r="O420">
        <v>-6.2375250000000005E-4</v>
      </c>
      <c r="P420">
        <v>0.98894490000000002</v>
      </c>
      <c r="Q420">
        <v>0.14734120000000001</v>
      </c>
      <c r="R420">
        <v>1.669874E-2</v>
      </c>
      <c r="S420">
        <v>3.0322879999999999</v>
      </c>
      <c r="T420">
        <v>4.5659539999999997E-3</v>
      </c>
      <c r="U420">
        <v>3.9031980000000001E-2</v>
      </c>
      <c r="V420">
        <v>-1.7309459999999999E-2</v>
      </c>
      <c r="W420">
        <v>0.1590731</v>
      </c>
      <c r="X420">
        <v>0.98711510000000002</v>
      </c>
      <c r="Y420">
        <v>-1.3494849999999999E-2</v>
      </c>
      <c r="Z420" s="1">
        <v>6.1613239999999998E-5</v>
      </c>
      <c r="AA420">
        <v>0.99990889999999999</v>
      </c>
      <c r="AB420">
        <v>29</v>
      </c>
      <c r="AC420">
        <v>260.85000000000002</v>
      </c>
      <c r="AD420">
        <v>0.39304600000000001</v>
      </c>
      <c r="AE420">
        <v>3.3609000000000102</v>
      </c>
      <c r="AF420">
        <v>-3.5236086431868299</v>
      </c>
      <c r="AG420">
        <v>0.39304600000000001</v>
      </c>
      <c r="AH420">
        <v>260.84726059837197</v>
      </c>
      <c r="AI420">
        <v>89.913674364489196</v>
      </c>
      <c r="AJ420">
        <v>90.773922735384602</v>
      </c>
      <c r="AK420">
        <v>260.87135462657398</v>
      </c>
      <c r="AL420">
        <v>80.846900674674302</v>
      </c>
      <c r="AM420">
        <v>91.004601560955606</v>
      </c>
      <c r="AN420">
        <v>1.00000004459855</v>
      </c>
    </row>
    <row r="421" spans="1:40" x14ac:dyDescent="0.25">
      <c r="A421" t="str">
        <f>"20190303161850516"</f>
        <v>20190303161850516</v>
      </c>
      <c r="B421" t="str">
        <f>"1551601130503663"</f>
        <v>1551601130503663</v>
      </c>
      <c r="C421" t="s">
        <v>40</v>
      </c>
      <c r="D421">
        <v>4.261971</v>
      </c>
      <c r="E421">
        <v>0.50235019999999997</v>
      </c>
      <c r="F421" t="s">
        <v>43</v>
      </c>
      <c r="G421">
        <v>-158.78319999999999</v>
      </c>
      <c r="H421">
        <v>1.4433860000000001</v>
      </c>
      <c r="I421">
        <v>369.98750000000001</v>
      </c>
      <c r="J421">
        <v>-418.87389999999999</v>
      </c>
      <c r="K421">
        <v>1.0711790000000001</v>
      </c>
      <c r="L421">
        <v>366.99619999999999</v>
      </c>
      <c r="M421">
        <v>0.99992930000000002</v>
      </c>
      <c r="N421">
        <v>-1.187305E-2</v>
      </c>
      <c r="O421">
        <v>-6.2375309999999895E-4</v>
      </c>
      <c r="P421">
        <v>0.98897380000000001</v>
      </c>
      <c r="Q421">
        <v>0.147137299999999</v>
      </c>
      <c r="R421">
        <v>1.6775410000000001E-2</v>
      </c>
      <c r="S421">
        <v>3.0322879999999999</v>
      </c>
      <c r="T421">
        <v>4.3375489999999996E-3</v>
      </c>
      <c r="U421">
        <v>3.4851069999999998E-2</v>
      </c>
      <c r="V421">
        <v>-1.738582E-2</v>
      </c>
      <c r="W421">
        <v>0.1588697</v>
      </c>
      <c r="X421">
        <v>0.98714650000000004</v>
      </c>
      <c r="Y421">
        <v>-1.211636E-2</v>
      </c>
      <c r="Z421" s="1">
        <v>5.4969970000000002E-5</v>
      </c>
      <c r="AA421">
        <v>0.9999266</v>
      </c>
      <c r="AB421">
        <v>29</v>
      </c>
      <c r="AC421">
        <v>260.09070000000003</v>
      </c>
      <c r="AD421">
        <v>0.37220700000000001</v>
      </c>
      <c r="AE421">
        <v>2.9913000000000198</v>
      </c>
      <c r="AF421">
        <v>-3.15353678005585</v>
      </c>
      <c r="AG421">
        <v>0.37220700000000001</v>
      </c>
      <c r="AH421">
        <v>260.08825085479401</v>
      </c>
      <c r="AI421">
        <v>89.918011259000195</v>
      </c>
      <c r="AJ421">
        <v>90.694669958893797</v>
      </c>
      <c r="AK421">
        <v>260.10763457649603</v>
      </c>
      <c r="AL421">
        <v>80.858704614856407</v>
      </c>
      <c r="AM421">
        <v>91.009000317326596</v>
      </c>
      <c r="AN421">
        <v>1.0000000303887</v>
      </c>
    </row>
    <row r="422" spans="1:40" x14ac:dyDescent="0.25">
      <c r="A422" t="str">
        <f>"20190303161850535"</f>
        <v>20190303161850535</v>
      </c>
      <c r="B422" t="str">
        <f>"1551601130523183"</f>
        <v>1551601130523183</v>
      </c>
      <c r="C422" t="s">
        <v>40</v>
      </c>
      <c r="D422">
        <v>4.2893489999999996</v>
      </c>
      <c r="E422">
        <v>0.50266290000000002</v>
      </c>
      <c r="F422" t="s">
        <v>43</v>
      </c>
      <c r="G422">
        <v>-158.78319999999999</v>
      </c>
      <c r="H422">
        <v>1.3991439999999999</v>
      </c>
      <c r="I422">
        <v>369.91219999999998</v>
      </c>
      <c r="J422">
        <v>-418.60980000000001</v>
      </c>
      <c r="K422">
        <v>1.0711790000000001</v>
      </c>
      <c r="L422">
        <v>366.99599999999998</v>
      </c>
      <c r="M422">
        <v>0.99992939999999997</v>
      </c>
      <c r="N422">
        <v>-1.18732E-2</v>
      </c>
      <c r="O422">
        <v>-6.2375410000000005E-4</v>
      </c>
      <c r="P422">
        <v>0.98902659999999998</v>
      </c>
      <c r="Q422">
        <v>0.1467753</v>
      </c>
      <c r="R422">
        <v>1.6844189999999998E-2</v>
      </c>
      <c r="S422">
        <v>3.032257</v>
      </c>
      <c r="T422">
        <v>3.8245919999999999E-3</v>
      </c>
      <c r="U422">
        <v>3.3996579999999998E-2</v>
      </c>
      <c r="V422">
        <v>-1.7455099999999901E-2</v>
      </c>
      <c r="W422">
        <v>0.1585086</v>
      </c>
      <c r="X422">
        <v>0.98720330000000001</v>
      </c>
      <c r="Y422">
        <v>-1.183472E-2</v>
      </c>
      <c r="Z422" s="1">
        <v>5.4606450000000003E-5</v>
      </c>
      <c r="AA422">
        <v>0.99992999999999999</v>
      </c>
      <c r="AB422">
        <v>29</v>
      </c>
      <c r="AC422">
        <v>259.82659999999998</v>
      </c>
      <c r="AD422">
        <v>0.32796499999999901</v>
      </c>
      <c r="AE422">
        <v>2.9161999999999999</v>
      </c>
      <c r="AF422">
        <v>-3.0782738470394202</v>
      </c>
      <c r="AG422">
        <v>0.32796499999999901</v>
      </c>
      <c r="AH422">
        <v>259.82431641121298</v>
      </c>
      <c r="AI422">
        <v>89.927683128506203</v>
      </c>
      <c r="AJ422">
        <v>90.678781149776498</v>
      </c>
      <c r="AK422">
        <v>259.842757700638</v>
      </c>
      <c r="AL422">
        <v>80.879659427209106</v>
      </c>
      <c r="AM422">
        <v>91.012961929454207</v>
      </c>
      <c r="AN422">
        <v>1.0000000061604299</v>
      </c>
    </row>
    <row r="423" spans="1:40" x14ac:dyDescent="0.25">
      <c r="A423" t="str">
        <f>"20190303161850550"</f>
        <v>20190303161850550</v>
      </c>
      <c r="B423" t="str">
        <f>"1551601130543680"</f>
        <v>1551601130543680</v>
      </c>
      <c r="C423" t="s">
        <v>40</v>
      </c>
      <c r="D423">
        <v>4.2586890000000004</v>
      </c>
      <c r="E423">
        <v>0.50299269999999996</v>
      </c>
      <c r="F423" t="s">
        <v>43</v>
      </c>
      <c r="G423">
        <v>-158.78319999999999</v>
      </c>
      <c r="H423">
        <v>1.319428</v>
      </c>
      <c r="I423">
        <v>369.69200000000001</v>
      </c>
      <c r="J423">
        <v>-418.44069999999999</v>
      </c>
      <c r="K423">
        <v>1.07118</v>
      </c>
      <c r="L423">
        <v>366.99590000000001</v>
      </c>
      <c r="M423">
        <v>0.99992930000000002</v>
      </c>
      <c r="N423">
        <v>-1.187333E-2</v>
      </c>
      <c r="O423">
        <v>-6.2375500000000003E-4</v>
      </c>
      <c r="P423">
        <v>0.98899000000000004</v>
      </c>
      <c r="Q423">
        <v>0.1470204</v>
      </c>
      <c r="R423">
        <v>1.685002E-2</v>
      </c>
      <c r="S423">
        <v>3.0323180000000001</v>
      </c>
      <c r="T423">
        <v>2.8982159999999999E-3</v>
      </c>
      <c r="U423">
        <v>3.1463619999999998E-2</v>
      </c>
      <c r="V423">
        <v>-1.7460989999999999E-2</v>
      </c>
      <c r="W423">
        <v>0.15875300000000001</v>
      </c>
      <c r="X423">
        <v>0.98716389999999998</v>
      </c>
      <c r="Y423">
        <v>-1.099931E-2</v>
      </c>
      <c r="Z423" s="1">
        <v>5.2044559999999997E-5</v>
      </c>
      <c r="AA423">
        <v>0.99993949999999998</v>
      </c>
      <c r="AB423">
        <v>29</v>
      </c>
      <c r="AC423">
        <v>259.65750000000003</v>
      </c>
      <c r="AD423">
        <v>0.248248</v>
      </c>
      <c r="AE423">
        <v>2.69609999999994</v>
      </c>
      <c r="AF423">
        <v>-2.8580709472710102</v>
      </c>
      <c r="AG423">
        <v>0.248248</v>
      </c>
      <c r="AH423">
        <v>259.655530343473</v>
      </c>
      <c r="AI423">
        <v>89.945224749296301</v>
      </c>
      <c r="AJ423">
        <v>90.630638560576202</v>
      </c>
      <c r="AK423">
        <v>259.67137815816199</v>
      </c>
      <c r="AL423">
        <v>80.865476546967699</v>
      </c>
      <c r="AM423">
        <v>91.013344104095907</v>
      </c>
      <c r="AN423">
        <v>0.99999998332199402</v>
      </c>
    </row>
    <row r="424" spans="1:40" x14ac:dyDescent="0.25">
      <c r="A424" t="str">
        <f>"20190303161850565"</f>
        <v>20190303161850565</v>
      </c>
      <c r="B424" t="str">
        <f>"1551601130553440"</f>
        <v>1551601130553440</v>
      </c>
      <c r="C424" t="s">
        <v>40</v>
      </c>
      <c r="D424">
        <v>4.2471639999999997</v>
      </c>
      <c r="E424">
        <v>0.50317970000000001</v>
      </c>
      <c r="F424" t="s">
        <v>43</v>
      </c>
      <c r="G424">
        <v>-158.78319999999999</v>
      </c>
      <c r="H424">
        <v>1.4385019999999999</v>
      </c>
      <c r="I424">
        <v>369.45499999999998</v>
      </c>
      <c r="J424">
        <v>-418.24009999999998</v>
      </c>
      <c r="K424">
        <v>1.0711820000000001</v>
      </c>
      <c r="L424">
        <v>366.99579999999997</v>
      </c>
      <c r="M424">
        <v>0.99992939999999997</v>
      </c>
      <c r="N424">
        <v>-1.187352E-2</v>
      </c>
      <c r="O424">
        <v>-6.2375609999999998E-4</v>
      </c>
      <c r="P424">
        <v>0.9889019</v>
      </c>
      <c r="Q424">
        <v>0.147613299999999</v>
      </c>
      <c r="R424">
        <v>1.685207E-2</v>
      </c>
      <c r="S424">
        <v>3.032257</v>
      </c>
      <c r="T424">
        <v>4.2905809999999999E-3</v>
      </c>
      <c r="U424">
        <v>2.8717039999999999E-2</v>
      </c>
      <c r="V424">
        <v>-1.7463070000000001E-2</v>
      </c>
      <c r="W424">
        <v>0.15934519999999999</v>
      </c>
      <c r="X424">
        <v>0.98706850000000002</v>
      </c>
      <c r="Y424">
        <v>-1.009388E-2</v>
      </c>
      <c r="Z424" s="1">
        <v>4.4498210000000001E-5</v>
      </c>
      <c r="AA424">
        <v>0.99994899999999998</v>
      </c>
      <c r="AB424">
        <v>29</v>
      </c>
      <c r="AC424">
        <v>259.45690000000002</v>
      </c>
      <c r="AD424">
        <v>0.36731999999999898</v>
      </c>
      <c r="AE424">
        <v>2.4592000000000098</v>
      </c>
      <c r="AF424">
        <v>-2.6210434878224498</v>
      </c>
      <c r="AG424">
        <v>0.36731999999999898</v>
      </c>
      <c r="AH424">
        <v>259.45479549650099</v>
      </c>
      <c r="AI424">
        <v>89.918888383551007</v>
      </c>
      <c r="AJ424">
        <v>90.578789153665596</v>
      </c>
      <c r="AK424">
        <v>259.46829420774799</v>
      </c>
      <c r="AL424">
        <v>80.831109005459496</v>
      </c>
      <c r="AM424">
        <v>91.013562721954401</v>
      </c>
      <c r="AN424">
        <v>1.0000000376345499</v>
      </c>
    </row>
    <row r="425" spans="1:40" x14ac:dyDescent="0.25">
      <c r="A425" t="str">
        <f>"20190303161850583"</f>
        <v>20190303161850583</v>
      </c>
      <c r="B425" t="str">
        <f>"1551601130572960"</f>
        <v>1551601130572960</v>
      </c>
      <c r="C425" t="s">
        <v>40</v>
      </c>
      <c r="D425">
        <v>4.267652</v>
      </c>
      <c r="E425">
        <v>0.50351859999999904</v>
      </c>
      <c r="F425" t="s">
        <v>43</v>
      </c>
      <c r="G425">
        <v>-158.78319999999999</v>
      </c>
      <c r="H425">
        <v>1.6201049999999999</v>
      </c>
      <c r="I425">
        <v>369.32760000000002</v>
      </c>
      <c r="J425">
        <v>-418.01949999999999</v>
      </c>
      <c r="K425">
        <v>1.071186</v>
      </c>
      <c r="L425">
        <v>366.99560000000002</v>
      </c>
      <c r="M425">
        <v>0.99992939999999997</v>
      </c>
      <c r="N425">
        <v>-1.1873760000000001E-2</v>
      </c>
      <c r="O425">
        <v>-6.2375760000000005E-4</v>
      </c>
      <c r="P425">
        <v>0.98861220000000005</v>
      </c>
      <c r="Q425">
        <v>0.14948210000000001</v>
      </c>
      <c r="R425">
        <v>1.7355740000000001E-2</v>
      </c>
      <c r="S425">
        <v>3.0322879999999999</v>
      </c>
      <c r="T425">
        <v>6.416321E-3</v>
      </c>
      <c r="U425">
        <v>2.7252200000000001E-2</v>
      </c>
      <c r="V425">
        <v>-1.7966349999999999E-2</v>
      </c>
      <c r="W425">
        <v>0.16121050000000001</v>
      </c>
      <c r="X425">
        <v>0.98675650000000004</v>
      </c>
      <c r="Y425">
        <v>-9.6107929999999994E-3</v>
      </c>
      <c r="Z425" s="1">
        <v>3.8166690000000001E-5</v>
      </c>
      <c r="AA425">
        <v>0.9999538</v>
      </c>
      <c r="AB425">
        <v>29</v>
      </c>
      <c r="AC425">
        <v>259.23630000000003</v>
      </c>
      <c r="AD425">
        <v>0.54891899999999905</v>
      </c>
      <c r="AE425">
        <v>2.3319999999999901</v>
      </c>
      <c r="AF425">
        <v>-2.4937003642033302</v>
      </c>
      <c r="AG425">
        <v>0.54891899999999905</v>
      </c>
      <c r="AH425">
        <v>259.23363265614</v>
      </c>
      <c r="AI425">
        <v>89.8786837972048</v>
      </c>
      <c r="AJ425">
        <v>90.551140289684497</v>
      </c>
      <c r="AK425">
        <v>259.24620759747597</v>
      </c>
      <c r="AL425">
        <v>80.722835079849105</v>
      </c>
      <c r="AM425">
        <v>91.043096547501605</v>
      </c>
      <c r="AN425">
        <v>1.0000000026674101</v>
      </c>
    </row>
    <row r="426" spans="1:40" x14ac:dyDescent="0.25">
      <c r="A426" t="str">
        <f>"20190303161850603"</f>
        <v>20190303161850603</v>
      </c>
      <c r="B426" t="str">
        <f>"1551601130593455"</f>
        <v>1551601130593455</v>
      </c>
      <c r="C426" t="s">
        <v>40</v>
      </c>
      <c r="D426">
        <v>4.2678830000000003</v>
      </c>
      <c r="E426">
        <v>0.50378990000000001</v>
      </c>
      <c r="F426" t="s">
        <v>43</v>
      </c>
      <c r="G426">
        <v>-158.78319999999999</v>
      </c>
      <c r="H426">
        <v>2.1469499999999999</v>
      </c>
      <c r="I426">
        <v>369.2525</v>
      </c>
      <c r="J426">
        <v>-417.74680000000001</v>
      </c>
      <c r="K426">
        <v>1.0711900000000001</v>
      </c>
      <c r="L426">
        <v>366.99549999999999</v>
      </c>
      <c r="M426">
        <v>0.99992939999999997</v>
      </c>
      <c r="N426">
        <v>-1.187411E-2</v>
      </c>
      <c r="O426">
        <v>-6.2375980000000004E-4</v>
      </c>
      <c r="P426">
        <v>0.98851149999999999</v>
      </c>
      <c r="Q426">
        <v>0.15013850000000001</v>
      </c>
      <c r="R426">
        <v>1.7425860000000001E-2</v>
      </c>
      <c r="S426">
        <v>3.0321959999999999</v>
      </c>
      <c r="T426">
        <v>1.2583850000000001E-2</v>
      </c>
      <c r="U426">
        <v>2.6397710000000001E-2</v>
      </c>
      <c r="V426">
        <v>-1.8035909999999999E-2</v>
      </c>
      <c r="W426">
        <v>0.16186600000000001</v>
      </c>
      <c r="X426">
        <v>0.98664790000000002</v>
      </c>
      <c r="Y426">
        <v>-9.3293230000000005E-3</v>
      </c>
      <c r="Z426" s="1">
        <v>2.6037820000000001E-5</v>
      </c>
      <c r="AA426">
        <v>0.99995650000000003</v>
      </c>
      <c r="AB426">
        <v>29</v>
      </c>
      <c r="AC426">
        <v>258.96359999999999</v>
      </c>
      <c r="AD426">
        <v>1.07576</v>
      </c>
      <c r="AE426">
        <v>2.2570000000000001</v>
      </c>
      <c r="AF426">
        <v>-2.41850028593803</v>
      </c>
      <c r="AG426">
        <v>1.07576</v>
      </c>
      <c r="AH426">
        <v>258.95767331955301</v>
      </c>
      <c r="AI426">
        <v>89.761994056552993</v>
      </c>
      <c r="AJ426">
        <v>90.535090652883198</v>
      </c>
      <c r="AK426">
        <v>258.971201051945</v>
      </c>
      <c r="AL426">
        <v>80.684777725011202</v>
      </c>
      <c r="AM426">
        <v>91.0472494205397</v>
      </c>
      <c r="AN426">
        <v>0.99999998728996897</v>
      </c>
    </row>
    <row r="427" spans="1:40" x14ac:dyDescent="0.25">
      <c r="A427" t="str">
        <f>"20190303161850617"</f>
        <v>20190303161850617</v>
      </c>
      <c r="B427" t="str">
        <f>"1551601130603215"</f>
        <v>1551601130603215</v>
      </c>
      <c r="C427" t="s">
        <v>40</v>
      </c>
      <c r="D427">
        <v>4.2824330000000002</v>
      </c>
      <c r="E427">
        <v>0.50393029999999905</v>
      </c>
      <c r="F427" t="s">
        <v>43</v>
      </c>
      <c r="G427">
        <v>-158.78319999999999</v>
      </c>
      <c r="H427">
        <v>2.2452230000000002</v>
      </c>
      <c r="I427">
        <v>369.0779</v>
      </c>
      <c r="J427">
        <v>-417.55549999999999</v>
      </c>
      <c r="K427">
        <v>1.0711869999999999</v>
      </c>
      <c r="L427">
        <v>366.99540000000002</v>
      </c>
      <c r="M427">
        <v>0.99992930000000002</v>
      </c>
      <c r="N427">
        <v>-1.187438E-2</v>
      </c>
      <c r="O427">
        <v>-6.2352299999999996E-4</v>
      </c>
      <c r="P427">
        <v>0.98851199999999995</v>
      </c>
      <c r="Q427">
        <v>0.15012029999999901</v>
      </c>
      <c r="R427">
        <v>1.7554899999999998E-2</v>
      </c>
      <c r="S427">
        <v>3.0323180000000001</v>
      </c>
      <c r="T427">
        <v>1.374829E-2</v>
      </c>
      <c r="U427">
        <v>2.4383539999999999E-2</v>
      </c>
      <c r="V427">
        <v>-1.8165339999999999E-2</v>
      </c>
      <c r="W427">
        <v>0.16184860000000001</v>
      </c>
      <c r="X427">
        <v>0.98664839999999998</v>
      </c>
      <c r="Y427">
        <v>-8.6645690000000004E-3</v>
      </c>
      <c r="Z427" s="1">
        <v>2.1572709999999998E-5</v>
      </c>
      <c r="AA427">
        <v>0.99996240000000003</v>
      </c>
      <c r="AB427">
        <v>29</v>
      </c>
      <c r="AC427">
        <v>258.77229999999997</v>
      </c>
      <c r="AD427">
        <v>1.1740359999999901</v>
      </c>
      <c r="AE427">
        <v>2.08249999999998</v>
      </c>
      <c r="AF427">
        <v>-2.2438152694167099</v>
      </c>
      <c r="AG427">
        <v>1.1740359999999901</v>
      </c>
      <c r="AH427">
        <v>258.76562505600702</v>
      </c>
      <c r="AI427">
        <v>89.740056982075103</v>
      </c>
      <c r="AJ427">
        <v>90.496812213307905</v>
      </c>
      <c r="AK427">
        <v>258.77801641197902</v>
      </c>
      <c r="AL427">
        <v>80.685788178593199</v>
      </c>
      <c r="AM427">
        <v>91.054762506463007</v>
      </c>
      <c r="AN427">
        <v>1.0000000070609101</v>
      </c>
    </row>
    <row r="428" spans="1:40" x14ac:dyDescent="0.25">
      <c r="A428" t="str">
        <f>"20190303161850637"</f>
        <v>20190303161850637</v>
      </c>
      <c r="B428" t="str">
        <f>"1551601130623712"</f>
        <v>1551601130623712</v>
      </c>
      <c r="C428" t="s">
        <v>40</v>
      </c>
      <c r="D428">
        <v>4.2559189999999996</v>
      </c>
      <c r="E428">
        <v>0.51454339999999998</v>
      </c>
      <c r="F428" t="s">
        <v>43</v>
      </c>
      <c r="G428">
        <v>-158.78319999999999</v>
      </c>
      <c r="H428">
        <v>2.190207</v>
      </c>
      <c r="I428">
        <v>369.0215</v>
      </c>
      <c r="J428">
        <v>-417.30349999999999</v>
      </c>
      <c r="K428">
        <v>1.071178</v>
      </c>
      <c r="L428">
        <v>366.99520000000001</v>
      </c>
      <c r="M428">
        <v>0.99992930000000002</v>
      </c>
      <c r="N428">
        <v>-1.187473E-2</v>
      </c>
      <c r="O428">
        <v>-6.2352510000000002E-4</v>
      </c>
      <c r="P428">
        <v>0.98874759999999995</v>
      </c>
      <c r="Q428">
        <v>0.14855750000000001</v>
      </c>
      <c r="R428">
        <v>1.7578150000000001E-2</v>
      </c>
      <c r="S428">
        <v>3.0324399999999998</v>
      </c>
      <c r="T428">
        <v>1.311433E-2</v>
      </c>
      <c r="U428">
        <v>2.3742679999999999E-2</v>
      </c>
      <c r="V428">
        <v>-1.8188849999999999E-2</v>
      </c>
      <c r="W428">
        <v>0.16028899999999999</v>
      </c>
      <c r="X428">
        <v>0.98690250000000002</v>
      </c>
      <c r="Y428">
        <v>-8.4529259999999995E-3</v>
      </c>
      <c r="Z428" s="1">
        <v>2.18118E-5</v>
      </c>
      <c r="AA428">
        <v>0.99996430000000003</v>
      </c>
      <c r="AB428">
        <v>29</v>
      </c>
      <c r="AC428">
        <v>258.52030000000002</v>
      </c>
      <c r="AD428">
        <v>1.1190290000000001</v>
      </c>
      <c r="AE428">
        <v>2.0262999999999902</v>
      </c>
      <c r="AF428">
        <v>-2.1874638844677698</v>
      </c>
      <c r="AG428">
        <v>1.1190290000000001</v>
      </c>
      <c r="AH428">
        <v>258.51414279321301</v>
      </c>
      <c r="AI428">
        <v>89.751994445904103</v>
      </c>
      <c r="AJ428">
        <v>90.484806966159994</v>
      </c>
      <c r="AK428">
        <v>258.52581930681202</v>
      </c>
      <c r="AL428">
        <v>80.7763285248692</v>
      </c>
      <c r="AM428">
        <v>91.055855433419794</v>
      </c>
      <c r="AN428">
        <v>0.99999997114578498</v>
      </c>
    </row>
    <row r="429" spans="1:40" x14ac:dyDescent="0.25">
      <c r="A429" t="str">
        <f>"20190303161850650"</f>
        <v>20190303161850650</v>
      </c>
      <c r="B429" t="str">
        <f>"1551601130643232"</f>
        <v>1551601130643232</v>
      </c>
      <c r="C429" t="s">
        <v>40</v>
      </c>
      <c r="D429">
        <v>4.2937580000000004</v>
      </c>
      <c r="E429">
        <v>0.51487099999999997</v>
      </c>
      <c r="F429" t="s">
        <v>41</v>
      </c>
      <c r="G429">
        <v>-220.58959999999999</v>
      </c>
      <c r="H429" s="1">
        <v>-5.1763020000000004E-6</v>
      </c>
      <c r="I429">
        <v>363.09410000000003</v>
      </c>
      <c r="J429">
        <v>-417.13529999999997</v>
      </c>
      <c r="K429">
        <v>1.071177</v>
      </c>
      <c r="L429">
        <v>366.99509999999998</v>
      </c>
      <c r="M429">
        <v>0.99992930000000002</v>
      </c>
      <c r="N429">
        <v>-1.187497E-2</v>
      </c>
      <c r="O429">
        <v>-6.2352649999999996E-4</v>
      </c>
      <c r="P429">
        <v>0.98877369999999998</v>
      </c>
      <c r="Q429">
        <v>0.1483816</v>
      </c>
      <c r="R429">
        <v>1.7594149999999999E-2</v>
      </c>
      <c r="S429">
        <v>3.03775</v>
      </c>
      <c r="T429">
        <v>-1.6541719999999999E-2</v>
      </c>
      <c r="U429">
        <v>-6.0241699999999898E-2</v>
      </c>
      <c r="V429">
        <v>-1.8204430000000001E-2</v>
      </c>
      <c r="W429">
        <v>0.16011339999999999</v>
      </c>
      <c r="X429">
        <v>0.98693070000000005</v>
      </c>
      <c r="Y429">
        <v>1.9202779999999999E-2</v>
      </c>
      <c r="Z429">
        <v>-1.7032089999999999E-4</v>
      </c>
      <c r="AA429">
        <v>0.99981560000000003</v>
      </c>
      <c r="AB429">
        <v>29</v>
      </c>
      <c r="AC429">
        <v>196.54570000000001</v>
      </c>
      <c r="AD429">
        <v>-1.071182176302</v>
      </c>
      <c r="AE429">
        <v>-3.9009999999999501</v>
      </c>
      <c r="AF429">
        <v>3.7783269647206499</v>
      </c>
      <c r="AG429">
        <v>-1.071182176302</v>
      </c>
      <c r="AH429">
        <v>196.54225874994401</v>
      </c>
      <c r="AI429">
        <v>90.312209054680196</v>
      </c>
      <c r="AJ429">
        <v>88.898682002887597</v>
      </c>
      <c r="AK429">
        <v>196.58149114409801</v>
      </c>
      <c r="AL429">
        <v>80.786521154255297</v>
      </c>
      <c r="AM429">
        <v>91.056729452747206</v>
      </c>
      <c r="AN429">
        <v>0.99999995436683597</v>
      </c>
    </row>
    <row r="430" spans="1:40" x14ac:dyDescent="0.25">
      <c r="A430" t="str">
        <f>"20190303161850669"</f>
        <v>20190303161850669</v>
      </c>
      <c r="B430" t="str">
        <f>"1551601130663727"</f>
        <v>1551601130663727</v>
      </c>
      <c r="C430" t="s">
        <v>40</v>
      </c>
      <c r="D430">
        <v>4.3211639999999996</v>
      </c>
      <c r="E430">
        <v>0.51412919999999995</v>
      </c>
      <c r="F430" t="s">
        <v>41</v>
      </c>
      <c r="G430">
        <v>-228.9084</v>
      </c>
      <c r="H430" s="1">
        <v>-2.090938E-6</v>
      </c>
      <c r="I430">
        <v>363.10169999999999</v>
      </c>
      <c r="J430">
        <v>-416.88670000000002</v>
      </c>
      <c r="K430">
        <v>1.0711839999999999</v>
      </c>
      <c r="L430">
        <v>366.99489999999997</v>
      </c>
      <c r="M430">
        <v>0.99992939999999997</v>
      </c>
      <c r="N430">
        <v>-1.187535E-2</v>
      </c>
      <c r="O430">
        <v>-6.2352860000000003E-4</v>
      </c>
      <c r="P430">
        <v>0.98849819999999999</v>
      </c>
      <c r="Q430">
        <v>0.15023889999999901</v>
      </c>
      <c r="R430">
        <v>1.7315230000000001E-2</v>
      </c>
      <c r="S430">
        <v>3.037811</v>
      </c>
      <c r="T430">
        <v>-1.728785E-2</v>
      </c>
      <c r="U430">
        <v>-6.283569E-2</v>
      </c>
      <c r="V430">
        <v>-1.7925050000000001E-2</v>
      </c>
      <c r="W430">
        <v>0.1619681</v>
      </c>
      <c r="X430">
        <v>0.98663319999999999</v>
      </c>
      <c r="Y430">
        <v>2.0055679999999999E-2</v>
      </c>
      <c r="Z430">
        <v>-1.8002090000000001E-4</v>
      </c>
      <c r="AA430">
        <v>0.99979879999999999</v>
      </c>
      <c r="AB430">
        <v>29</v>
      </c>
      <c r="AC430">
        <v>187.97829999999999</v>
      </c>
      <c r="AD430">
        <v>-1.071186090938</v>
      </c>
      <c r="AE430">
        <v>-3.89319999999997</v>
      </c>
      <c r="AF430">
        <v>3.77585858541243</v>
      </c>
      <c r="AG430">
        <v>-1.071186090938</v>
      </c>
      <c r="AH430">
        <v>187.974589776165</v>
      </c>
      <c r="AI430">
        <v>90.326434546119202</v>
      </c>
      <c r="AJ430">
        <v>88.8492504697263</v>
      </c>
      <c r="AK430">
        <v>188.015560391197</v>
      </c>
      <c r="AL430">
        <v>80.678849927775303</v>
      </c>
      <c r="AM430">
        <v>91.040829293862004</v>
      </c>
      <c r="AN430">
        <v>1.00000002208867</v>
      </c>
    </row>
    <row r="431" spans="1:40" x14ac:dyDescent="0.25">
      <c r="A431" t="str">
        <f>"20190303161850693"</f>
        <v>20190303161850693</v>
      </c>
      <c r="B431" t="str">
        <f>"1551601130683247"</f>
        <v>1551601130683247</v>
      </c>
      <c r="C431" t="s">
        <v>40</v>
      </c>
      <c r="D431">
        <v>4.4407420000000002</v>
      </c>
      <c r="E431">
        <v>0.51377709999999999</v>
      </c>
      <c r="F431" t="s">
        <v>41</v>
      </c>
      <c r="G431">
        <v>-225.6815</v>
      </c>
      <c r="H431" s="1">
        <v>-3.1214529999999999E-6</v>
      </c>
      <c r="I431">
        <v>363.35579999999999</v>
      </c>
      <c r="J431">
        <v>-416.58249999999998</v>
      </c>
      <c r="K431">
        <v>1.0711889999999999</v>
      </c>
      <c r="L431">
        <v>366.9948</v>
      </c>
      <c r="M431">
        <v>0.99992939999999997</v>
      </c>
      <c r="N431">
        <v>-1.187586E-2</v>
      </c>
      <c r="O431">
        <v>-6.2341209999999998E-4</v>
      </c>
      <c r="P431">
        <v>0.98819820000000003</v>
      </c>
      <c r="Q431">
        <v>0.15217919999999999</v>
      </c>
      <c r="R431">
        <v>1.7495239999999999E-2</v>
      </c>
      <c r="S431">
        <v>3.0385740000000001</v>
      </c>
      <c r="T431">
        <v>-1.7022969999999998E-2</v>
      </c>
      <c r="U431">
        <v>-5.7830810000000003E-2</v>
      </c>
      <c r="V431">
        <v>-1.8105E-2</v>
      </c>
      <c r="W431">
        <v>0.163905</v>
      </c>
      <c r="X431">
        <v>0.98630989999999996</v>
      </c>
      <c r="Y431">
        <v>1.840454E-2</v>
      </c>
      <c r="Z431">
        <v>-1.64760999999999E-4</v>
      </c>
      <c r="AA431">
        <v>0.99983060000000001</v>
      </c>
      <c r="AB431">
        <v>29</v>
      </c>
      <c r="AC431">
        <v>190.90100000000001</v>
      </c>
      <c r="AD431">
        <v>-1.071192121453</v>
      </c>
      <c r="AE431">
        <v>-3.6389999999999998</v>
      </c>
      <c r="AF431">
        <v>3.5198701333058402</v>
      </c>
      <c r="AG431">
        <v>-1.071192121453</v>
      </c>
      <c r="AH431">
        <v>190.89722323665401</v>
      </c>
      <c r="AI431">
        <v>90.321448957058095</v>
      </c>
      <c r="AJ431">
        <v>88.943667962949604</v>
      </c>
      <c r="AK431">
        <v>190.93267603472501</v>
      </c>
      <c r="AL431">
        <v>80.566369721830398</v>
      </c>
      <c r="AM431">
        <v>91.051620388036298</v>
      </c>
      <c r="AN431">
        <v>0.99999992944400196</v>
      </c>
    </row>
    <row r="432" spans="1:40" x14ac:dyDescent="0.25">
      <c r="A432" t="str">
        <f>"20190303161850705"</f>
        <v>20190303161850705</v>
      </c>
      <c r="B432" t="str">
        <f>"1551601130693007"</f>
        <v>1551601130693007</v>
      </c>
      <c r="C432" t="s">
        <v>40</v>
      </c>
      <c r="D432">
        <v>4.3896269999999999</v>
      </c>
      <c r="E432">
        <v>0.47812690000000002</v>
      </c>
      <c r="F432" t="s">
        <v>46</v>
      </c>
      <c r="G432">
        <v>-181.22630000000001</v>
      </c>
      <c r="H432" s="1">
        <v>-7.0324370000000002E-6</v>
      </c>
      <c r="I432">
        <v>362.83499999999998</v>
      </c>
      <c r="J432">
        <v>-416.41660000000002</v>
      </c>
      <c r="K432">
        <v>1.071191</v>
      </c>
      <c r="L432">
        <v>366.99470000000002</v>
      </c>
      <c r="M432">
        <v>0.99992939999999997</v>
      </c>
      <c r="N432">
        <v>-1.187614E-2</v>
      </c>
      <c r="O432">
        <v>-6.2341369999999998E-4</v>
      </c>
      <c r="P432">
        <v>0.98821159999999997</v>
      </c>
      <c r="Q432">
        <v>0.15213670000000001</v>
      </c>
      <c r="R432">
        <v>1.710329E-2</v>
      </c>
      <c r="S432">
        <v>3.0389400000000002</v>
      </c>
      <c r="T432">
        <v>-1.3831380000000001E-2</v>
      </c>
      <c r="U432">
        <v>-5.3710939999999999E-2</v>
      </c>
      <c r="V432">
        <v>-1.7712889999999998E-2</v>
      </c>
      <c r="W432">
        <v>0.16386310000000001</v>
      </c>
      <c r="X432">
        <v>0.98632410000000004</v>
      </c>
      <c r="Y432">
        <v>1.7047489999999998E-2</v>
      </c>
      <c r="Z432">
        <v>-1.446005E-4</v>
      </c>
      <c r="AA432">
        <v>0.99985469999999999</v>
      </c>
      <c r="AB432">
        <v>29</v>
      </c>
      <c r="AC432">
        <v>235.19030000000001</v>
      </c>
      <c r="AD432">
        <v>-1.0711980324370001</v>
      </c>
      <c r="AE432">
        <v>-4.1597000000000399</v>
      </c>
      <c r="AF432">
        <v>4.0129847918720598</v>
      </c>
      <c r="AG432">
        <v>-1.0711980324370001</v>
      </c>
      <c r="AH432">
        <v>235.18797038151601</v>
      </c>
      <c r="AI432">
        <v>90.260922229483697</v>
      </c>
      <c r="AJ432">
        <v>89.022463684942593</v>
      </c>
      <c r="AK432">
        <v>235.22464353111701</v>
      </c>
      <c r="AL432">
        <v>80.568804428854506</v>
      </c>
      <c r="AM432">
        <v>91.028835004311304</v>
      </c>
      <c r="AN432">
        <v>1.00000004612728</v>
      </c>
    </row>
    <row r="433" spans="1:40" x14ac:dyDescent="0.25">
      <c r="A433" t="str">
        <f>"20190303161850718"</f>
        <v>20190303161850718</v>
      </c>
      <c r="B433" t="str">
        <f>"1551601130713503"</f>
        <v>1551601130713503</v>
      </c>
      <c r="C433" t="s">
        <v>40</v>
      </c>
      <c r="D433">
        <v>4.4029299999999996</v>
      </c>
      <c r="E433">
        <v>0.46240049999999999</v>
      </c>
      <c r="F433" t="s">
        <v>43</v>
      </c>
      <c r="G433">
        <v>-158.78319999999999</v>
      </c>
      <c r="H433">
        <v>8.8970179999999996E-2</v>
      </c>
      <c r="I433">
        <v>386.50540000000001</v>
      </c>
      <c r="J433">
        <v>-416.25049999999999</v>
      </c>
      <c r="K433">
        <v>1.071186</v>
      </c>
      <c r="L433">
        <v>366.99459999999999</v>
      </c>
      <c r="M433">
        <v>0.99992939999999997</v>
      </c>
      <c r="N433">
        <v>-1.187643E-2</v>
      </c>
      <c r="O433">
        <v>-6.2317669999999896E-4</v>
      </c>
      <c r="P433">
        <v>0.98827489999999996</v>
      </c>
      <c r="Q433">
        <v>0.15176049999999999</v>
      </c>
      <c r="R433">
        <v>1.677878E-2</v>
      </c>
      <c r="S433">
        <v>3.0335999999999999</v>
      </c>
      <c r="T433">
        <v>-1.156449E-2</v>
      </c>
      <c r="U433">
        <v>0.2297363</v>
      </c>
      <c r="V433">
        <v>-1.7388529999999999E-2</v>
      </c>
      <c r="W433">
        <v>0.16348770000000001</v>
      </c>
      <c r="X433">
        <v>0.98639209999999999</v>
      </c>
      <c r="Y433">
        <v>-7.6133510000000001E-2</v>
      </c>
      <c r="Z433">
        <v>5.9265529999999998E-4</v>
      </c>
      <c r="AA433">
        <v>0.99709740000000002</v>
      </c>
      <c r="AB433">
        <v>29</v>
      </c>
      <c r="AC433">
        <v>257.46730000000002</v>
      </c>
      <c r="AD433">
        <v>-0.98221581999999996</v>
      </c>
      <c r="AE433">
        <v>19.5108</v>
      </c>
      <c r="AF433">
        <v>-19.670970482241799</v>
      </c>
      <c r="AG433">
        <v>-0.98221581999999996</v>
      </c>
      <c r="AH433">
        <v>257.45136502310999</v>
      </c>
      <c r="AI433">
        <v>90.217955710666104</v>
      </c>
      <c r="AJ433">
        <v>94.369283445106205</v>
      </c>
      <c r="AK433">
        <v>258.20363510201202</v>
      </c>
      <c r="AL433">
        <v>80.590606682554693</v>
      </c>
      <c r="AM433">
        <v>91.009929213274802</v>
      </c>
      <c r="AN433">
        <v>0.99999998198463003</v>
      </c>
    </row>
    <row r="434" spans="1:40" x14ac:dyDescent="0.25">
      <c r="A434" t="str">
        <f>"20190303161850736"</f>
        <v>20190303161850736</v>
      </c>
      <c r="B434" t="str">
        <f>"1551601130723264"</f>
        <v>1551601130723264</v>
      </c>
      <c r="C434" t="s">
        <v>40</v>
      </c>
      <c r="D434">
        <v>4.4822600000000001</v>
      </c>
      <c r="E434">
        <v>0.45825490000000002</v>
      </c>
      <c r="F434" t="s">
        <v>41</v>
      </c>
      <c r="G434">
        <v>-325.20609999999999</v>
      </c>
      <c r="H434" s="1">
        <v>-3.925741E-6</v>
      </c>
      <c r="I434">
        <v>377.6293</v>
      </c>
      <c r="J434">
        <v>-416.00630000000001</v>
      </c>
      <c r="K434">
        <v>1.0711759999999999</v>
      </c>
      <c r="L434">
        <v>366.99439999999998</v>
      </c>
      <c r="M434">
        <v>0.99992939999999997</v>
      </c>
      <c r="N434">
        <v>-1.187686E-2</v>
      </c>
      <c r="O434">
        <v>-6.2305990000000001E-4</v>
      </c>
      <c r="P434">
        <v>0.98855389999999999</v>
      </c>
      <c r="Q434">
        <v>0.14999109999999999</v>
      </c>
      <c r="R434">
        <v>1.6254109999999999E-2</v>
      </c>
      <c r="S434">
        <v>3.0350649999999999</v>
      </c>
      <c r="T434">
        <v>-3.570926E-2</v>
      </c>
      <c r="U434">
        <v>0.35452270000000002</v>
      </c>
      <c r="V434">
        <v>-1.6863889999999999E-2</v>
      </c>
      <c r="W434">
        <v>0.161722</v>
      </c>
      <c r="X434">
        <v>0.98669220000000002</v>
      </c>
      <c r="Y434">
        <v>-0.1166229</v>
      </c>
      <c r="Z434">
        <v>1.3786250000000001E-3</v>
      </c>
      <c r="AA434">
        <v>0.99317529999999998</v>
      </c>
      <c r="AB434">
        <v>29</v>
      </c>
      <c r="AC434">
        <v>90.800200000000004</v>
      </c>
      <c r="AD434">
        <v>-1.071179925741</v>
      </c>
      <c r="AE434">
        <v>10.6349</v>
      </c>
      <c r="AF434">
        <v>-10.690008267581099</v>
      </c>
      <c r="AG434">
        <v>-1.071179925741</v>
      </c>
      <c r="AH434">
        <v>90.781092529893996</v>
      </c>
      <c r="AI434">
        <v>90.671397002391998</v>
      </c>
      <c r="AJ434">
        <v>96.715987121121302</v>
      </c>
      <c r="AK434">
        <v>91.414607498558098</v>
      </c>
      <c r="AL434">
        <v>80.693138093834406</v>
      </c>
      <c r="AM434">
        <v>90.979166204653097</v>
      </c>
      <c r="AN434">
        <v>0.99999994680538395</v>
      </c>
    </row>
    <row r="435" spans="1:40" x14ac:dyDescent="0.25">
      <c r="A435" t="str">
        <f>"20190303161850749"</f>
        <v>20190303161850749</v>
      </c>
      <c r="B435" t="str">
        <f>"1551601130743760"</f>
        <v>1551601130743760</v>
      </c>
      <c r="C435" t="s">
        <v>40</v>
      </c>
      <c r="D435">
        <v>4.365316</v>
      </c>
      <c r="E435">
        <v>0.45516119999999999</v>
      </c>
      <c r="F435" t="s">
        <v>41</v>
      </c>
      <c r="G435">
        <v>-350.30889999999999</v>
      </c>
      <c r="H435" s="1">
        <v>-5.1894599999999998E-6</v>
      </c>
      <c r="I435">
        <v>375.35840000000002</v>
      </c>
      <c r="J435">
        <v>-415.84030000000001</v>
      </c>
      <c r="K435">
        <v>1.071177</v>
      </c>
      <c r="L435">
        <v>366.99430000000001</v>
      </c>
      <c r="M435">
        <v>0.99992939999999997</v>
      </c>
      <c r="N435">
        <v>-1.187714E-2</v>
      </c>
      <c r="O435">
        <v>-6.2294230000000002E-4</v>
      </c>
      <c r="P435">
        <v>0.9886277</v>
      </c>
      <c r="Q435">
        <v>0.14956129999999901</v>
      </c>
      <c r="R435">
        <v>1.57138E-2</v>
      </c>
      <c r="S435">
        <v>3.0358890000000001</v>
      </c>
      <c r="T435">
        <v>-4.9499389999999997E-2</v>
      </c>
      <c r="U435">
        <v>0.38650509999999999</v>
      </c>
      <c r="V435">
        <v>-1.6323509999999999E-2</v>
      </c>
      <c r="W435">
        <v>0.16129379999999999</v>
      </c>
      <c r="X435">
        <v>0.98677150000000002</v>
      </c>
      <c r="Y435">
        <v>-0.12688169999999999</v>
      </c>
      <c r="Z435">
        <v>1.7895459999999999E-3</v>
      </c>
      <c r="AA435">
        <v>0.99191620000000003</v>
      </c>
      <c r="AB435">
        <v>29</v>
      </c>
      <c r="AC435">
        <v>65.531400000000005</v>
      </c>
      <c r="AD435">
        <v>-1.07118218946</v>
      </c>
      <c r="AE435">
        <v>8.3641000000000005</v>
      </c>
      <c r="AF435">
        <v>-8.4027143606972992</v>
      </c>
      <c r="AG435">
        <v>-1.07118218946</v>
      </c>
      <c r="AH435">
        <v>65.508953497049006</v>
      </c>
      <c r="AI435">
        <v>90.929188112842098</v>
      </c>
      <c r="AJ435">
        <v>97.309313793163597</v>
      </c>
      <c r="AK435">
        <v>66.054341478732596</v>
      </c>
      <c r="AL435">
        <v>80.717999684532003</v>
      </c>
      <c r="AM435">
        <v>90.947719844055001</v>
      </c>
      <c r="AN435">
        <v>1.0000000700547</v>
      </c>
    </row>
    <row r="436" spans="1:40" x14ac:dyDescent="0.25">
      <c r="A436" t="str">
        <f>"20190303161850763"</f>
        <v>20190303161850763</v>
      </c>
      <c r="B436" t="str">
        <f>"1551601130753519"</f>
        <v>1551601130753519</v>
      </c>
      <c r="C436" t="s">
        <v>40</v>
      </c>
      <c r="D436">
        <v>4.4450229999999999</v>
      </c>
      <c r="E436">
        <v>0.45447769999999998</v>
      </c>
      <c r="F436" t="s">
        <v>41</v>
      </c>
      <c r="G436">
        <v>-354.53579999999999</v>
      </c>
      <c r="H436" s="1">
        <v>-3.7332070000000001E-6</v>
      </c>
      <c r="I436">
        <v>375.25790000000001</v>
      </c>
      <c r="J436">
        <v>-415.6653</v>
      </c>
      <c r="K436">
        <v>1.0711790000000001</v>
      </c>
      <c r="L436">
        <v>366.99419999999998</v>
      </c>
      <c r="M436">
        <v>0.99992919999999996</v>
      </c>
      <c r="N436">
        <v>-1.187743E-2</v>
      </c>
      <c r="O436">
        <v>-6.2270540000000001E-4</v>
      </c>
      <c r="P436">
        <v>0.98864629999999998</v>
      </c>
      <c r="Q436">
        <v>0.1495031</v>
      </c>
      <c r="R436">
        <v>1.508321E-2</v>
      </c>
      <c r="S436">
        <v>3.0360109999999998</v>
      </c>
      <c r="T436">
        <v>-5.3048489999999997E-2</v>
      </c>
      <c r="U436">
        <v>0.40924070000000001</v>
      </c>
      <c r="V436">
        <v>-1.5692680000000001E-2</v>
      </c>
      <c r="W436">
        <v>0.16123589999999999</v>
      </c>
      <c r="X436">
        <v>0.98679110000000003</v>
      </c>
      <c r="Y436">
        <v>-0.1341705</v>
      </c>
      <c r="Z436">
        <v>1.9708070000000002E-3</v>
      </c>
      <c r="AA436">
        <v>0.99095630000000001</v>
      </c>
      <c r="AB436">
        <v>29</v>
      </c>
      <c r="AC436">
        <v>61.1295</v>
      </c>
      <c r="AD436">
        <v>-1.0711827332070001</v>
      </c>
      <c r="AE436">
        <v>8.2637000000000196</v>
      </c>
      <c r="AF436">
        <v>-8.2992641051723606</v>
      </c>
      <c r="AG436">
        <v>-1.0711827332070001</v>
      </c>
      <c r="AH436">
        <v>61.105915392596799</v>
      </c>
      <c r="AI436">
        <v>90.995153715525802</v>
      </c>
      <c r="AJ436">
        <v>97.7344542410343</v>
      </c>
      <c r="AK436">
        <v>61.676236210573997</v>
      </c>
      <c r="AL436">
        <v>80.721360220507407</v>
      </c>
      <c r="AM436">
        <v>90.911082953065204</v>
      </c>
      <c r="AN436">
        <v>0.99999997534679996</v>
      </c>
    </row>
    <row r="437" spans="1:40" x14ac:dyDescent="0.25">
      <c r="A437" t="str">
        <f>"20190303161850782"</f>
        <v>20190303161850782</v>
      </c>
      <c r="B437" t="str">
        <f>"1551601130773040"</f>
        <v>1551601130773040</v>
      </c>
      <c r="C437" t="s">
        <v>40</v>
      </c>
      <c r="D437">
        <v>4.3986939999999999</v>
      </c>
      <c r="E437">
        <v>0.4534996</v>
      </c>
      <c r="F437" t="s">
        <v>41</v>
      </c>
      <c r="G437">
        <v>-362.33440000000002</v>
      </c>
      <c r="H437" s="1">
        <v>-4.3027700000000001E-6</v>
      </c>
      <c r="I437">
        <v>374.24549999999999</v>
      </c>
      <c r="J437">
        <v>-415.416</v>
      </c>
      <c r="K437">
        <v>1.071183</v>
      </c>
      <c r="L437">
        <v>366.99400000000003</v>
      </c>
      <c r="M437">
        <v>0.99992939999999997</v>
      </c>
      <c r="N437">
        <v>-1.187789E-2</v>
      </c>
      <c r="O437">
        <v>-6.2270789999999999E-4</v>
      </c>
      <c r="P437">
        <v>0.98855769999999998</v>
      </c>
      <c r="Q437">
        <v>0.15017320000000001</v>
      </c>
      <c r="R437">
        <v>1.421919E-2</v>
      </c>
      <c r="S437">
        <v>3.0374150000000002</v>
      </c>
      <c r="T437">
        <v>-6.100821E-2</v>
      </c>
      <c r="U437">
        <v>0.41299439999999998</v>
      </c>
      <c r="V437">
        <v>-1.482852E-2</v>
      </c>
      <c r="W437">
        <v>0.16190550000000001</v>
      </c>
      <c r="X437">
        <v>0.98669490000000004</v>
      </c>
      <c r="Y437">
        <v>-0.13530349999999999</v>
      </c>
      <c r="Z437">
        <v>2.1649490000000002E-3</v>
      </c>
      <c r="AA437">
        <v>0.99080179999999995</v>
      </c>
      <c r="AB437">
        <v>29</v>
      </c>
      <c r="AC437">
        <v>53.081599999999902</v>
      </c>
      <c r="AD437">
        <v>-1.0711873027700001</v>
      </c>
      <c r="AE437">
        <v>7.2514999999999601</v>
      </c>
      <c r="AF437">
        <v>-7.2816442542939201</v>
      </c>
      <c r="AG437">
        <v>-1.0711873027700001</v>
      </c>
      <c r="AH437">
        <v>53.055863565697301</v>
      </c>
      <c r="AI437">
        <v>91.145894351428097</v>
      </c>
      <c r="AJ437">
        <v>97.814728491079606</v>
      </c>
      <c r="AK437">
        <v>53.5639285712464</v>
      </c>
      <c r="AL437">
        <v>80.682484887285</v>
      </c>
      <c r="AM437">
        <v>90.861003394322907</v>
      </c>
      <c r="AN437">
        <v>1.00000005081082</v>
      </c>
    </row>
    <row r="438" spans="1:40" x14ac:dyDescent="0.25">
      <c r="A438" t="str">
        <f>"20190303161850805"</f>
        <v>20190303161850805</v>
      </c>
      <c r="B438" t="str">
        <f>"1551601130793535"</f>
        <v>1551601130793535</v>
      </c>
      <c r="C438" t="s">
        <v>40</v>
      </c>
      <c r="D438">
        <v>4.4365759999999996</v>
      </c>
      <c r="E438">
        <v>0.45269989999999999</v>
      </c>
      <c r="F438" t="s">
        <v>41</v>
      </c>
      <c r="G438">
        <v>-366.62090000000001</v>
      </c>
      <c r="H438" s="1">
        <v>-2.5203409999999999E-6</v>
      </c>
      <c r="I438">
        <v>373.70679999999999</v>
      </c>
      <c r="J438">
        <v>-415.12520000000001</v>
      </c>
      <c r="K438">
        <v>1.0711850000000001</v>
      </c>
      <c r="L438">
        <v>366.9939</v>
      </c>
      <c r="M438">
        <v>0.99992919999999996</v>
      </c>
      <c r="N438">
        <v>-1.187846E-2</v>
      </c>
      <c r="O438">
        <v>-6.2235280000000001E-4</v>
      </c>
      <c r="P438">
        <v>0.98850340000000003</v>
      </c>
      <c r="Q438">
        <v>0.1505889</v>
      </c>
      <c r="R438">
        <v>1.3566369999999999E-2</v>
      </c>
      <c r="S438">
        <v>3.0388489999999999</v>
      </c>
      <c r="T438">
        <v>-6.6710829999999999E-2</v>
      </c>
      <c r="U438">
        <v>0.4180603</v>
      </c>
      <c r="V438">
        <v>-1.417497E-2</v>
      </c>
      <c r="W438">
        <v>0.16232050000000001</v>
      </c>
      <c r="X438">
        <v>0.98663630000000002</v>
      </c>
      <c r="Y438">
        <v>-0.1368547</v>
      </c>
      <c r="Z438">
        <v>2.3179820000000001E-3</v>
      </c>
      <c r="AA438">
        <v>0.99058840000000004</v>
      </c>
      <c r="AB438">
        <v>29</v>
      </c>
      <c r="AC438">
        <v>48.504300000000001</v>
      </c>
      <c r="AD438">
        <v>-1.071187520341</v>
      </c>
      <c r="AE438">
        <v>6.7128999999999897</v>
      </c>
      <c r="AF438">
        <v>-6.7398622320225599</v>
      </c>
      <c r="AG438">
        <v>-1.071187520341</v>
      </c>
      <c r="AH438">
        <v>48.4769137102843</v>
      </c>
      <c r="AI438">
        <v>91.253794726763203</v>
      </c>
      <c r="AJ438">
        <v>97.915230179218696</v>
      </c>
      <c r="AK438">
        <v>48.954921596145198</v>
      </c>
      <c r="AL438">
        <v>80.658388214141496</v>
      </c>
      <c r="AM438">
        <v>90.823109876454296</v>
      </c>
      <c r="AN438">
        <v>1.0000000314862201</v>
      </c>
    </row>
    <row r="439" spans="1:40" x14ac:dyDescent="0.25">
      <c r="A439" t="str">
        <f>"20190303161850819"</f>
        <v>20190303161850819</v>
      </c>
      <c r="B439" t="str">
        <f>"1551601130815008"</f>
        <v>1551601130815008</v>
      </c>
      <c r="C439" t="s">
        <v>40</v>
      </c>
      <c r="D439">
        <v>4.4662930000000003</v>
      </c>
      <c r="E439">
        <v>0.45222190000000001</v>
      </c>
      <c r="F439" t="s">
        <v>41</v>
      </c>
      <c r="G439">
        <v>-368.33679999999998</v>
      </c>
      <c r="H439" s="1">
        <v>-1.7273899999999999E-6</v>
      </c>
      <c r="I439">
        <v>373.4932</v>
      </c>
      <c r="J439">
        <v>-414.9384</v>
      </c>
      <c r="K439">
        <v>1.0711889999999999</v>
      </c>
      <c r="L439">
        <v>366.99369999999999</v>
      </c>
      <c r="M439">
        <v>0.99992939999999997</v>
      </c>
      <c r="N439">
        <v>-1.187883E-2</v>
      </c>
      <c r="O439">
        <v>-6.2235459999999997E-4</v>
      </c>
      <c r="P439">
        <v>0.98842540000000001</v>
      </c>
      <c r="Q439">
        <v>0.15109040000000001</v>
      </c>
      <c r="R439">
        <v>1.369601E-2</v>
      </c>
      <c r="S439">
        <v>3.0396730000000001</v>
      </c>
      <c r="T439">
        <v>-6.9590929999999995E-2</v>
      </c>
      <c r="U439">
        <v>0.42224119999999998</v>
      </c>
      <c r="V439">
        <v>-1.430503E-2</v>
      </c>
      <c r="W439">
        <v>0.16282160000000001</v>
      </c>
      <c r="X439">
        <v>0.98655179999999998</v>
      </c>
      <c r="Y439">
        <v>-0.1381511</v>
      </c>
      <c r="Z439">
        <v>2.405141E-3</v>
      </c>
      <c r="AA439">
        <v>0.99040819999999996</v>
      </c>
      <c r="AB439">
        <v>29</v>
      </c>
      <c r="AC439">
        <v>46.601599999999998</v>
      </c>
      <c r="AD439">
        <v>-1.0711907273900001</v>
      </c>
      <c r="AE439">
        <v>6.49950000000001</v>
      </c>
      <c r="AF439">
        <v>-6.5251216567953501</v>
      </c>
      <c r="AG439">
        <v>-1.0711907273900001</v>
      </c>
      <c r="AH439">
        <v>46.573407583050702</v>
      </c>
      <c r="AI439">
        <v>91.304833848093494</v>
      </c>
      <c r="AJ439">
        <v>97.975455684532804</v>
      </c>
      <c r="AK439">
        <v>47.0404820990112</v>
      </c>
      <c r="AL439">
        <v>80.629289723909494</v>
      </c>
      <c r="AM439">
        <v>90.830732263901893</v>
      </c>
      <c r="AN439">
        <v>0.99999998069655005</v>
      </c>
    </row>
    <row r="440" spans="1:40" x14ac:dyDescent="0.25">
      <c r="A440" t="str">
        <f>"20190303161850838"</f>
        <v>20190303161850838</v>
      </c>
      <c r="B440" t="str">
        <f>"1551601130833552"</f>
        <v>1551601130833552</v>
      </c>
      <c r="C440" t="s">
        <v>40</v>
      </c>
      <c r="D440">
        <v>4.5475099999999999</v>
      </c>
      <c r="E440">
        <v>0.45183180000000001</v>
      </c>
      <c r="F440" t="s">
        <v>41</v>
      </c>
      <c r="G440">
        <v>-368.97629999999998</v>
      </c>
      <c r="H440" s="1">
        <v>-1.4409189999999999E-6</v>
      </c>
      <c r="I440">
        <v>373.44760000000002</v>
      </c>
      <c r="J440">
        <v>-414.69529999999997</v>
      </c>
      <c r="K440">
        <v>1.071194</v>
      </c>
      <c r="L440">
        <v>366.99360000000001</v>
      </c>
      <c r="M440">
        <v>0.99992939999999997</v>
      </c>
      <c r="N440">
        <v>-1.1879300000000001E-2</v>
      </c>
      <c r="O440">
        <v>-6.2223750000000005E-4</v>
      </c>
      <c r="P440">
        <v>0.98822200000000004</v>
      </c>
      <c r="Q440">
        <v>0.15240039999999999</v>
      </c>
      <c r="R440">
        <v>1.3846560000000001E-2</v>
      </c>
      <c r="S440">
        <v>3.0400700000000001</v>
      </c>
      <c r="T440">
        <v>-7.0851449999999996E-2</v>
      </c>
      <c r="U440">
        <v>0.42687989999999998</v>
      </c>
      <c r="V440">
        <v>-1.445521E-2</v>
      </c>
      <c r="W440">
        <v>0.16412939999999901</v>
      </c>
      <c r="X440">
        <v>0.98633289999999996</v>
      </c>
      <c r="Y440">
        <v>-0.139613299999999</v>
      </c>
      <c r="Z440">
        <v>2.4593190000000002E-3</v>
      </c>
      <c r="AA440">
        <v>0.99020300000000006</v>
      </c>
      <c r="AB440">
        <v>29</v>
      </c>
      <c r="AC440">
        <v>45.719000000000001</v>
      </c>
      <c r="AD440">
        <v>-1.0711954409190001</v>
      </c>
      <c r="AE440">
        <v>6.4539999999999997</v>
      </c>
      <c r="AF440">
        <v>-6.4789616055821204</v>
      </c>
      <c r="AG440">
        <v>-1.0711954409190001</v>
      </c>
      <c r="AH440">
        <v>45.69038263857</v>
      </c>
      <c r="AI440">
        <v>91.329736432942497</v>
      </c>
      <c r="AJ440">
        <v>98.070815491975196</v>
      </c>
      <c r="AK440">
        <v>46.159890260032</v>
      </c>
      <c r="AL440">
        <v>80.553336724341605</v>
      </c>
      <c r="AM440">
        <v>90.839638661876904</v>
      </c>
      <c r="AN440">
        <v>1.0000000013314501</v>
      </c>
    </row>
    <row r="441" spans="1:40" x14ac:dyDescent="0.25">
      <c r="A441" t="str">
        <f>"20190303161850858"</f>
        <v>20190303161850858</v>
      </c>
      <c r="B441" t="str">
        <f>"1551601130853072"</f>
        <v>1551601130853072</v>
      </c>
      <c r="C441" t="s">
        <v>40</v>
      </c>
      <c r="D441">
        <v>4.5103210000000002</v>
      </c>
      <c r="E441">
        <v>0.45133830000000003</v>
      </c>
      <c r="F441" t="s">
        <v>41</v>
      </c>
      <c r="G441">
        <v>-367.45819999999998</v>
      </c>
      <c r="H441" s="1">
        <v>-2.1560179999999998E-6</v>
      </c>
      <c r="I441">
        <v>373.68759999999997</v>
      </c>
      <c r="J441">
        <v>-414.41680000000002</v>
      </c>
      <c r="K441">
        <v>1.0711930000000001</v>
      </c>
      <c r="L441">
        <v>366.99349999999998</v>
      </c>
      <c r="M441">
        <v>0.99992939999999997</v>
      </c>
      <c r="N441">
        <v>-1.1879850000000001E-2</v>
      </c>
      <c r="O441">
        <v>-6.2200150000000002E-4</v>
      </c>
      <c r="P441">
        <v>0.98813470000000003</v>
      </c>
      <c r="Q441">
        <v>0.1529105</v>
      </c>
      <c r="R441">
        <v>1.444203E-2</v>
      </c>
      <c r="S441">
        <v>3.040314</v>
      </c>
      <c r="T441">
        <v>-6.8945049999999994E-2</v>
      </c>
      <c r="U441">
        <v>0.43084719999999999</v>
      </c>
      <c r="V441">
        <v>-1.505075E-2</v>
      </c>
      <c r="W441">
        <v>0.1646388</v>
      </c>
      <c r="X441">
        <v>0.98623910000000004</v>
      </c>
      <c r="Y441">
        <v>-0.14087089999999999</v>
      </c>
      <c r="Z441">
        <v>2.4369159999999999E-3</v>
      </c>
      <c r="AA441">
        <v>0.99002500000000004</v>
      </c>
      <c r="AB441">
        <v>29</v>
      </c>
      <c r="AC441">
        <v>46.958599999999997</v>
      </c>
      <c r="AD441">
        <v>-1.071195156018</v>
      </c>
      <c r="AE441">
        <v>6.6940999999999899</v>
      </c>
      <c r="AF441">
        <v>-6.7198819434093302</v>
      </c>
      <c r="AG441">
        <v>-1.071195156018</v>
      </c>
      <c r="AH441">
        <v>46.930492344853299</v>
      </c>
      <c r="AI441">
        <v>91.294360150704804</v>
      </c>
      <c r="AJ441">
        <v>98.148677408330599</v>
      </c>
      <c r="AK441">
        <v>47.421254560860902</v>
      </c>
      <c r="AL441">
        <v>80.523747829383694</v>
      </c>
      <c r="AM441">
        <v>90.874308794797997</v>
      </c>
      <c r="AN441">
        <v>1.0000000109549001</v>
      </c>
    </row>
    <row r="442" spans="1:40" x14ac:dyDescent="0.25">
      <c r="A442" t="str">
        <f>"20190303161850871"</f>
        <v>20190303161850871</v>
      </c>
      <c r="B442" t="str">
        <f>"1551601130863807"</f>
        <v>1551601130863807</v>
      </c>
      <c r="C442" t="s">
        <v>40</v>
      </c>
      <c r="D442">
        <v>4.5233509999999999</v>
      </c>
      <c r="E442">
        <v>0.4509901</v>
      </c>
      <c r="F442" t="s">
        <v>41</v>
      </c>
      <c r="G442">
        <v>-369.07979999999998</v>
      </c>
      <c r="H442" s="1">
        <v>-1.41276E-6</v>
      </c>
      <c r="I442">
        <v>373.50869999999998</v>
      </c>
      <c r="J442">
        <v>-414.2629</v>
      </c>
      <c r="K442">
        <v>1.0711949999999999</v>
      </c>
      <c r="L442">
        <v>366.99340000000001</v>
      </c>
      <c r="M442">
        <v>0.99992919999999996</v>
      </c>
      <c r="N442">
        <v>-1.1880170000000001E-2</v>
      </c>
      <c r="O442">
        <v>-6.2200299999999999E-4</v>
      </c>
      <c r="P442">
        <v>0.98818720000000004</v>
      </c>
      <c r="Q442">
        <v>0.1525338</v>
      </c>
      <c r="R442">
        <v>1.481966E-2</v>
      </c>
      <c r="S442">
        <v>3.0407709999999999</v>
      </c>
      <c r="T442">
        <v>-7.1845290000000006E-2</v>
      </c>
      <c r="U442">
        <v>0.43698120000000001</v>
      </c>
      <c r="V442">
        <v>-1.542842E-2</v>
      </c>
      <c r="W442">
        <v>0.1642634</v>
      </c>
      <c r="X442">
        <v>0.98629579999999994</v>
      </c>
      <c r="Y442">
        <v>-0.1428027</v>
      </c>
      <c r="Z442">
        <v>2.5382389999999999E-3</v>
      </c>
      <c r="AA442">
        <v>0.98974790000000001</v>
      </c>
      <c r="AB442">
        <v>29</v>
      </c>
      <c r="AC442">
        <v>45.183100000000003</v>
      </c>
      <c r="AD442">
        <v>-1.07119641276</v>
      </c>
      <c r="AE442">
        <v>6.5152999999999599</v>
      </c>
      <c r="AF442">
        <v>-6.5398038298257202</v>
      </c>
      <c r="AG442">
        <v>-1.07119641276</v>
      </c>
      <c r="AH442">
        <v>45.1541758434184</v>
      </c>
      <c r="AI442">
        <v>91.3449500787857</v>
      </c>
      <c r="AJ442">
        <v>98.241002072696702</v>
      </c>
      <c r="AK442">
        <v>45.637880011955602</v>
      </c>
      <c r="AL442">
        <v>80.545552990742195</v>
      </c>
      <c r="AM442">
        <v>90.896192864722394</v>
      </c>
      <c r="AN442">
        <v>0.99999995291044697</v>
      </c>
    </row>
    <row r="443" spans="1:40" x14ac:dyDescent="0.25">
      <c r="A443" t="str">
        <f>"20190303161850884"</f>
        <v>20190303161850884</v>
      </c>
      <c r="B443" t="str">
        <f>"1551601130873568"</f>
        <v>1551601130873568</v>
      </c>
      <c r="C443" t="s">
        <v>40</v>
      </c>
      <c r="D443">
        <v>4.5342909999999996</v>
      </c>
      <c r="E443">
        <v>0.45069500000000001</v>
      </c>
      <c r="F443" t="s">
        <v>41</v>
      </c>
      <c r="G443">
        <v>-370.80610000000001</v>
      </c>
      <c r="H443" s="1">
        <v>-4.6538609999999996E-6</v>
      </c>
      <c r="I443">
        <v>373.2928</v>
      </c>
      <c r="J443">
        <v>-414.09160000000003</v>
      </c>
      <c r="K443">
        <v>1.0711949999999999</v>
      </c>
      <c r="L443">
        <v>366.99329999999998</v>
      </c>
      <c r="M443">
        <v>0.99992919999999996</v>
      </c>
      <c r="N443">
        <v>-1.188053E-2</v>
      </c>
      <c r="O443">
        <v>-6.2188550000000003E-4</v>
      </c>
      <c r="P443">
        <v>0.98827710000000002</v>
      </c>
      <c r="Q443">
        <v>0.15193180000000001</v>
      </c>
      <c r="R443">
        <v>1.501187E-2</v>
      </c>
      <c r="S443">
        <v>3.0408330000000001</v>
      </c>
      <c r="T443">
        <v>-7.49557E-2</v>
      </c>
      <c r="U443">
        <v>0.44079590000000002</v>
      </c>
      <c r="V443">
        <v>-1.5620469999999999E-2</v>
      </c>
      <c r="W443">
        <v>0.16366269999999999</v>
      </c>
      <c r="X443">
        <v>0.98639270000000001</v>
      </c>
      <c r="Y443">
        <v>-0.1440111</v>
      </c>
      <c r="Z443">
        <v>2.6334560000000002E-3</v>
      </c>
      <c r="AA443">
        <v>0.98957260000000002</v>
      </c>
      <c r="AB443">
        <v>29</v>
      </c>
      <c r="AC443">
        <v>43.285499999999999</v>
      </c>
      <c r="AD443">
        <v>-1.071199653861</v>
      </c>
      <c r="AE443">
        <v>6.2995000000000196</v>
      </c>
      <c r="AF443">
        <v>-6.32262745651252</v>
      </c>
      <c r="AG443">
        <v>-1.071199653861</v>
      </c>
      <c r="AH443">
        <v>43.255632211351902</v>
      </c>
      <c r="AI443">
        <v>91.403695580985499</v>
      </c>
      <c r="AJ443">
        <v>98.315969300712197</v>
      </c>
      <c r="AK443">
        <v>43.728398148754799</v>
      </c>
      <c r="AL443">
        <v>80.580443372713702</v>
      </c>
      <c r="AM443">
        <v>90.907257527430104</v>
      </c>
      <c r="AN443">
        <v>1.0000000185338001</v>
      </c>
    </row>
    <row r="444" spans="1:40" x14ac:dyDescent="0.25">
      <c r="A444" t="str">
        <f>"20190303161850897"</f>
        <v>20190303161850897</v>
      </c>
      <c r="B444" t="str">
        <f>"1551601130893088"</f>
        <v>1551601130893088</v>
      </c>
      <c r="C444" t="s">
        <v>40</v>
      </c>
      <c r="D444">
        <v>4.4990550000000002</v>
      </c>
      <c r="E444">
        <v>0.45030559999999997</v>
      </c>
      <c r="F444" t="s">
        <v>41</v>
      </c>
      <c r="G444">
        <v>-372.51249999999999</v>
      </c>
      <c r="H444" s="1">
        <v>-4.0311320000000003E-6</v>
      </c>
      <c r="I444">
        <v>373.05579999999998</v>
      </c>
      <c r="J444">
        <v>-413.92590000000001</v>
      </c>
      <c r="K444">
        <v>1.071194</v>
      </c>
      <c r="L444">
        <v>366.9932</v>
      </c>
      <c r="M444">
        <v>0.99992919999999996</v>
      </c>
      <c r="N444">
        <v>-1.188089E-2</v>
      </c>
      <c r="O444">
        <v>-6.2188719999999996E-4</v>
      </c>
      <c r="P444">
        <v>0.98833300000000002</v>
      </c>
      <c r="Q444">
        <v>0.1515193</v>
      </c>
      <c r="R444">
        <v>1.548685E-2</v>
      </c>
      <c r="S444">
        <v>3.040924</v>
      </c>
      <c r="T444">
        <v>-7.8342910000000002E-2</v>
      </c>
      <c r="U444">
        <v>0.4433899</v>
      </c>
      <c r="V444">
        <v>-1.6095700000000001E-2</v>
      </c>
      <c r="W444">
        <v>0.16325110000000001</v>
      </c>
      <c r="X444">
        <v>0.98645320000000003</v>
      </c>
      <c r="Y444">
        <v>-0.14482809999999999</v>
      </c>
      <c r="Z444">
        <v>2.729169E-3</v>
      </c>
      <c r="AA444">
        <v>0.98945309999999997</v>
      </c>
      <c r="AB444">
        <v>29</v>
      </c>
      <c r="AC444">
        <v>41.413400000000003</v>
      </c>
      <c r="AD444">
        <v>-1.071198031132</v>
      </c>
      <c r="AE444">
        <v>6.0625999999999696</v>
      </c>
      <c r="AF444">
        <v>-6.0843697778811903</v>
      </c>
      <c r="AG444">
        <v>-1.071198031132</v>
      </c>
      <c r="AH444">
        <v>41.382515451854502</v>
      </c>
      <c r="AI444">
        <v>91.467021624652105</v>
      </c>
      <c r="AJ444">
        <v>98.3641320945693</v>
      </c>
      <c r="AK444">
        <v>41.841123382849901</v>
      </c>
      <c r="AL444">
        <v>80.604347211624599</v>
      </c>
      <c r="AM444">
        <v>90.934797361947503</v>
      </c>
      <c r="AN444">
        <v>0.99999995449996804</v>
      </c>
    </row>
    <row r="445" spans="1:40" x14ac:dyDescent="0.25">
      <c r="A445" t="str">
        <f>"20190303161850915"</f>
        <v>20190303161850915</v>
      </c>
      <c r="B445" t="str">
        <f>"1551601130903824"</f>
        <v>1551601130903824</v>
      </c>
      <c r="C445" t="s">
        <v>40</v>
      </c>
      <c r="D445">
        <v>4.5211769999999998</v>
      </c>
      <c r="E445">
        <v>0.45011210000000001</v>
      </c>
      <c r="F445" t="s">
        <v>41</v>
      </c>
      <c r="G445">
        <v>-374.517</v>
      </c>
      <c r="H445" s="1">
        <v>-3.1818819999999999E-6</v>
      </c>
      <c r="I445">
        <v>372.80099999999999</v>
      </c>
      <c r="J445">
        <v>-413.68669999999997</v>
      </c>
      <c r="K445">
        <v>1.071194</v>
      </c>
      <c r="L445">
        <v>366.99310000000003</v>
      </c>
      <c r="M445">
        <v>0.99992939999999997</v>
      </c>
      <c r="N445">
        <v>-1.188139E-2</v>
      </c>
      <c r="O445">
        <v>-6.2188979999999998E-4</v>
      </c>
      <c r="P445">
        <v>0.98833819999999994</v>
      </c>
      <c r="Q445">
        <v>0.15146029999999999</v>
      </c>
      <c r="R445">
        <v>1.5739599999999999E-2</v>
      </c>
      <c r="S445">
        <v>3.0411069999999998</v>
      </c>
      <c r="T445">
        <v>-8.2662109999999997E-2</v>
      </c>
      <c r="U445">
        <v>0.4481812</v>
      </c>
      <c r="V445">
        <v>-1.634845E-2</v>
      </c>
      <c r="W445">
        <v>0.1631928</v>
      </c>
      <c r="X445">
        <v>0.98645870000000002</v>
      </c>
      <c r="Y445">
        <v>-0.1463382</v>
      </c>
      <c r="Z445">
        <v>2.86155E-3</v>
      </c>
      <c r="AA445">
        <v>0.98923050000000001</v>
      </c>
      <c r="AB445">
        <v>29</v>
      </c>
      <c r="AC445">
        <v>39.169699999999899</v>
      </c>
      <c r="AD445">
        <v>-1.0711971818819901</v>
      </c>
      <c r="AE445">
        <v>5.8078999999999601</v>
      </c>
      <c r="AF445">
        <v>-5.8279948905456198</v>
      </c>
      <c r="AG445">
        <v>-1.0711971818819901</v>
      </c>
      <c r="AH445">
        <v>39.137439440298898</v>
      </c>
      <c r="AI445">
        <v>91.550711711896</v>
      </c>
      <c r="AJ445">
        <v>98.469733269436006</v>
      </c>
      <c r="AK445">
        <v>39.583483345832001</v>
      </c>
      <c r="AL445">
        <v>80.607733053592199</v>
      </c>
      <c r="AM445">
        <v>90.949468480508301</v>
      </c>
      <c r="AN445">
        <v>0.99999996429746496</v>
      </c>
    </row>
    <row r="446" spans="1:40" x14ac:dyDescent="0.25">
      <c r="A446" t="str">
        <f>"20190303161850939"</f>
        <v>20190303161850939</v>
      </c>
      <c r="B446" t="str">
        <f>"1551601130933104"</f>
        <v>1551601130933104</v>
      </c>
      <c r="C446" t="s">
        <v>40</v>
      </c>
      <c r="D446">
        <v>4.6891030000000002</v>
      </c>
      <c r="E446">
        <v>0.45015379999999999</v>
      </c>
      <c r="F446" t="s">
        <v>41</v>
      </c>
      <c r="G446">
        <v>-374.7765</v>
      </c>
      <c r="H446" s="1">
        <v>-3.0572300000000001E-6</v>
      </c>
      <c r="I446">
        <v>372.7509</v>
      </c>
      <c r="J446">
        <v>-413.37580000000003</v>
      </c>
      <c r="K446">
        <v>1.0711930000000001</v>
      </c>
      <c r="L446">
        <v>366.99290000000002</v>
      </c>
      <c r="M446">
        <v>0.99992919999999996</v>
      </c>
      <c r="N446">
        <v>-1.188202E-2</v>
      </c>
      <c r="O446">
        <v>-6.2177409999999999E-4</v>
      </c>
      <c r="P446">
        <v>0.98833910000000003</v>
      </c>
      <c r="Q446">
        <v>0.15142510000000001</v>
      </c>
      <c r="R446">
        <v>1.6020820000000002E-2</v>
      </c>
      <c r="S446">
        <v>3.041077</v>
      </c>
      <c r="T446">
        <v>-8.3720559999999999E-2</v>
      </c>
      <c r="U446">
        <v>0.45001219999999997</v>
      </c>
      <c r="V446">
        <v>-1.6629830000000002E-2</v>
      </c>
      <c r="W446">
        <v>0.16315839999999901</v>
      </c>
      <c r="X446">
        <v>0.98645970000000005</v>
      </c>
      <c r="Y446">
        <v>-0.14692049999999901</v>
      </c>
      <c r="Z446">
        <v>2.8985489999999998E-3</v>
      </c>
      <c r="AA446">
        <v>0.98914409999999997</v>
      </c>
      <c r="AB446">
        <v>29</v>
      </c>
      <c r="AC446">
        <v>38.599299999999999</v>
      </c>
      <c r="AD446">
        <v>-1.0711960572299899</v>
      </c>
      <c r="AE446">
        <v>5.7579999999999796</v>
      </c>
      <c r="AF446">
        <v>-5.7776477952443601</v>
      </c>
      <c r="AG446">
        <v>-1.0711960572299899</v>
      </c>
      <c r="AH446">
        <v>38.566656314978999</v>
      </c>
      <c r="AI446">
        <v>91.573442563662496</v>
      </c>
      <c r="AJ446">
        <v>98.520085263785802</v>
      </c>
      <c r="AK446">
        <v>39.011737392182702</v>
      </c>
      <c r="AL446">
        <v>80.609730926788998</v>
      </c>
      <c r="AM446">
        <v>90.965806130921806</v>
      </c>
      <c r="AN446">
        <v>0.99999997723023903</v>
      </c>
    </row>
    <row r="447" spans="1:40" x14ac:dyDescent="0.25">
      <c r="A447" t="str">
        <f>"20190303161850954"</f>
        <v>20190303161850954</v>
      </c>
      <c r="B447" t="str">
        <f>"1551601130942865"</f>
        <v>1551601130942865</v>
      </c>
      <c r="C447" t="s">
        <v>40</v>
      </c>
      <c r="D447">
        <v>4.6542940000000002</v>
      </c>
      <c r="E447">
        <v>0.45036769999999998</v>
      </c>
      <c r="F447" t="s">
        <v>41</v>
      </c>
      <c r="G447">
        <v>-375.68889999999999</v>
      </c>
      <c r="H447" s="1">
        <v>-2.6194779999999999E-6</v>
      </c>
      <c r="I447">
        <v>372.57670000000002</v>
      </c>
      <c r="J447">
        <v>-413.18029999999999</v>
      </c>
      <c r="K447">
        <v>1.0711869999999999</v>
      </c>
      <c r="L447">
        <v>366.99279999999999</v>
      </c>
      <c r="M447">
        <v>0.99992919999999996</v>
      </c>
      <c r="N447">
        <v>-1.1882429999999999E-2</v>
      </c>
      <c r="O447">
        <v>-6.2177640000000002E-4</v>
      </c>
      <c r="P447">
        <v>0.98850660000000001</v>
      </c>
      <c r="Q447">
        <v>0.15033299999999999</v>
      </c>
      <c r="R447">
        <v>1.5959310000000001E-2</v>
      </c>
      <c r="S447">
        <v>3.0413510000000001</v>
      </c>
      <c r="T447">
        <v>-8.6445809999999998E-2</v>
      </c>
      <c r="U447">
        <v>0.45062259999999998</v>
      </c>
      <c r="V447">
        <v>-1.6567459999999999E-2</v>
      </c>
      <c r="W447">
        <v>0.16206880000000001</v>
      </c>
      <c r="X447">
        <v>0.98664039999999997</v>
      </c>
      <c r="Y447">
        <v>-0.14709729999999999</v>
      </c>
      <c r="Z447">
        <v>2.9679319999999999E-3</v>
      </c>
      <c r="AA447">
        <v>0.98911760000000004</v>
      </c>
      <c r="AB447">
        <v>29</v>
      </c>
      <c r="AC447">
        <v>37.491399999999999</v>
      </c>
      <c r="AD447">
        <v>-1.071189619478</v>
      </c>
      <c r="AE447">
        <v>5.5839000000000203</v>
      </c>
      <c r="AF447">
        <v>-5.6027373684981203</v>
      </c>
      <c r="AG447">
        <v>-1.071189619478</v>
      </c>
      <c r="AH447">
        <v>37.458005805848501</v>
      </c>
      <c r="AI447">
        <v>91.620033647284401</v>
      </c>
      <c r="AJ447">
        <v>98.506883649665895</v>
      </c>
      <c r="AK447">
        <v>37.889844446397802</v>
      </c>
      <c r="AL447">
        <v>80.673003045234793</v>
      </c>
      <c r="AM447">
        <v>90.962008379718696</v>
      </c>
      <c r="AN447">
        <v>1.0000000277882199</v>
      </c>
    </row>
    <row r="448" spans="1:40" x14ac:dyDescent="0.25">
      <c r="A448" t="str">
        <f>"20190303161850973"</f>
        <v>20190303161850973</v>
      </c>
      <c r="B448" t="str">
        <f>"1551601130963361"</f>
        <v>1551601130963361</v>
      </c>
      <c r="C448" t="s">
        <v>40</v>
      </c>
      <c r="D448">
        <v>4.6870310000000002</v>
      </c>
      <c r="E448">
        <v>0.45075229999999999</v>
      </c>
      <c r="F448" t="s">
        <v>41</v>
      </c>
      <c r="G448">
        <v>-377.34679999999997</v>
      </c>
      <c r="H448" s="1">
        <v>-1.828772E-6</v>
      </c>
      <c r="I448">
        <v>372.27800000000002</v>
      </c>
      <c r="J448">
        <v>-412.94409999999999</v>
      </c>
      <c r="K448">
        <v>1.0711660000000001</v>
      </c>
      <c r="L448">
        <v>366.99259999999998</v>
      </c>
      <c r="M448">
        <v>0.99992919999999996</v>
      </c>
      <c r="N448">
        <v>-1.188293E-2</v>
      </c>
      <c r="O448">
        <v>-6.2177939999999996E-4</v>
      </c>
      <c r="P448">
        <v>0.98891910000000005</v>
      </c>
      <c r="Q448">
        <v>0.14756910000000001</v>
      </c>
      <c r="R448">
        <v>1.6186619999999999E-2</v>
      </c>
      <c r="S448">
        <v>3.0414729999999999</v>
      </c>
      <c r="T448">
        <v>-9.0920089999999995E-2</v>
      </c>
      <c r="U448">
        <v>0.44860840000000002</v>
      </c>
      <c r="V448">
        <v>-1.6795279999999999E-2</v>
      </c>
      <c r="W448">
        <v>0.15931039999999999</v>
      </c>
      <c r="X448">
        <v>0.98708569999999995</v>
      </c>
      <c r="Y448">
        <v>-0.1464434</v>
      </c>
      <c r="Z448">
        <v>3.0627969999999999E-3</v>
      </c>
      <c r="AA448">
        <v>0.98921429999999999</v>
      </c>
      <c r="AB448">
        <v>29</v>
      </c>
      <c r="AC448">
        <v>35.597299999999997</v>
      </c>
      <c r="AD448">
        <v>-1.0711678287719999</v>
      </c>
      <c r="AE448">
        <v>5.2854000000000303</v>
      </c>
      <c r="AF448">
        <v>-5.3028361455720496</v>
      </c>
      <c r="AG448">
        <v>-1.0711678287719999</v>
      </c>
      <c r="AH448">
        <v>35.562499831403699</v>
      </c>
      <c r="AI448">
        <v>91.706412888954404</v>
      </c>
      <c r="AJ448">
        <v>98.481064167014196</v>
      </c>
      <c r="AK448">
        <v>35.971639745259999</v>
      </c>
      <c r="AL448">
        <v>80.833128647076606</v>
      </c>
      <c r="AM448">
        <v>90.974794600491094</v>
      </c>
      <c r="AN448">
        <v>1.0000000320614599</v>
      </c>
    </row>
    <row r="449" spans="1:40" x14ac:dyDescent="0.25">
      <c r="A449" t="str">
        <f>"20190303161850994"</f>
        <v>20190303161850994</v>
      </c>
      <c r="B449" t="str">
        <f>"1551601130983855"</f>
        <v>1551601130983855</v>
      </c>
      <c r="C449" t="s">
        <v>40</v>
      </c>
      <c r="D449">
        <v>4.5996680000000003</v>
      </c>
      <c r="E449">
        <v>0.4513838</v>
      </c>
      <c r="F449" t="s">
        <v>41</v>
      </c>
      <c r="G449">
        <v>-380.9282</v>
      </c>
      <c r="H449" s="1">
        <v>-4.3278609999999997E-6</v>
      </c>
      <c r="I449">
        <v>371.6891</v>
      </c>
      <c r="J449">
        <v>-412.66149999999999</v>
      </c>
      <c r="K449">
        <v>1.0711630000000001</v>
      </c>
      <c r="L449">
        <v>366.99250000000001</v>
      </c>
      <c r="M449">
        <v>0.99992939999999997</v>
      </c>
      <c r="N449">
        <v>-1.188352E-2</v>
      </c>
      <c r="O449">
        <v>-6.2178280000000003E-4</v>
      </c>
      <c r="P449">
        <v>0.98902120000000004</v>
      </c>
      <c r="Q449">
        <v>0.14687059999999999</v>
      </c>
      <c r="R449">
        <v>1.632952E-2</v>
      </c>
      <c r="S449">
        <v>3.0414430000000001</v>
      </c>
      <c r="T449">
        <v>-0.10175869999999999</v>
      </c>
      <c r="U449">
        <v>0.44616699999999998</v>
      </c>
      <c r="V449">
        <v>-1.693888E-2</v>
      </c>
      <c r="W449">
        <v>0.15861359999999999</v>
      </c>
      <c r="X449">
        <v>0.98719539999999995</v>
      </c>
      <c r="Y449">
        <v>-0.1456489</v>
      </c>
      <c r="Z449">
        <v>3.3065880000000001E-3</v>
      </c>
      <c r="AA449">
        <v>0.98933079999999995</v>
      </c>
      <c r="AB449">
        <v>29</v>
      </c>
      <c r="AC449">
        <v>31.7332999999999</v>
      </c>
      <c r="AD449">
        <v>-1.0711673278610001</v>
      </c>
      <c r="AE449">
        <v>4.6965999999999797</v>
      </c>
      <c r="AF449">
        <v>-4.71107886167513</v>
      </c>
      <c r="AG449">
        <v>-1.0711673278610001</v>
      </c>
      <c r="AH449">
        <v>31.695033520475999</v>
      </c>
      <c r="AI449">
        <v>91.914616486305206</v>
      </c>
      <c r="AJ449">
        <v>98.4544174244853</v>
      </c>
      <c r="AK449">
        <v>32.061141797342401</v>
      </c>
      <c r="AL449">
        <v>80.873566034992507</v>
      </c>
      <c r="AM449">
        <v>90.983018259567302</v>
      </c>
      <c r="AN449">
        <v>0.99999997877088598</v>
      </c>
    </row>
    <row r="450" spans="1:40" x14ac:dyDescent="0.25">
      <c r="A450" t="str">
        <f>"20190303161851018"</f>
        <v>20190303161851018</v>
      </c>
      <c r="B450" t="str">
        <f>"1551601131015088"</f>
        <v>1551601131015088</v>
      </c>
      <c r="C450" t="s">
        <v>40</v>
      </c>
      <c r="D450">
        <v>4.7386879999999998</v>
      </c>
      <c r="E450">
        <v>0.45196409999999998</v>
      </c>
      <c r="F450" t="s">
        <v>41</v>
      </c>
      <c r="G450">
        <v>-381.80399999999997</v>
      </c>
      <c r="H450" s="1">
        <v>-3.9908080000000002E-6</v>
      </c>
      <c r="I450">
        <v>371.46910000000003</v>
      </c>
      <c r="J450">
        <v>-412.35719999999998</v>
      </c>
      <c r="K450">
        <v>1.0711660000000001</v>
      </c>
      <c r="L450">
        <v>366.9923</v>
      </c>
      <c r="M450">
        <v>0.99992919999999996</v>
      </c>
      <c r="N450">
        <v>-1.188414E-2</v>
      </c>
      <c r="O450">
        <v>-6.2154820000000005E-4</v>
      </c>
      <c r="P450">
        <v>0.98897670000000004</v>
      </c>
      <c r="Q450">
        <v>0.14716209999999999</v>
      </c>
      <c r="R450">
        <v>1.638156E-2</v>
      </c>
      <c r="S450">
        <v>3.0417480000000001</v>
      </c>
      <c r="T450">
        <v>-0.1055888</v>
      </c>
      <c r="U450">
        <v>0.44128420000000002</v>
      </c>
      <c r="V450">
        <v>-1.699032E-2</v>
      </c>
      <c r="W450">
        <v>0.15890550000000001</v>
      </c>
      <c r="X450">
        <v>0.98714760000000001</v>
      </c>
      <c r="Y450">
        <v>-0.14407320000000001</v>
      </c>
      <c r="Z450">
        <v>3.3618950000000002E-3</v>
      </c>
      <c r="AA450">
        <v>0.98956129999999998</v>
      </c>
      <c r="AB450">
        <v>29</v>
      </c>
      <c r="AC450">
        <v>30.553199999999901</v>
      </c>
      <c r="AD450">
        <v>-1.0711699908079999</v>
      </c>
      <c r="AE450">
        <v>4.4768000000000203</v>
      </c>
      <c r="AF450">
        <v>-4.4903874287401804</v>
      </c>
      <c r="AG450">
        <v>-1.0711699908079999</v>
      </c>
      <c r="AH450">
        <v>30.513693882295399</v>
      </c>
      <c r="AI450">
        <v>91.989112635908299</v>
      </c>
      <c r="AJ450">
        <v>98.3715460450275</v>
      </c>
      <c r="AK450">
        <v>30.860921871386601</v>
      </c>
      <c r="AL450">
        <v>80.8566268139502</v>
      </c>
      <c r="AM450">
        <v>90.986050636640996</v>
      </c>
      <c r="AN450">
        <v>1.00000000654485</v>
      </c>
    </row>
    <row r="451" spans="1:40" x14ac:dyDescent="0.25">
      <c r="A451" t="str">
        <f>"20190303161851038"</f>
        <v>20190303161851038</v>
      </c>
      <c r="B451" t="str">
        <f>"1551601131033632"</f>
        <v>1551601131033632</v>
      </c>
      <c r="C451" t="s">
        <v>40</v>
      </c>
      <c r="D451">
        <v>4.8175559999999997</v>
      </c>
      <c r="E451">
        <v>0.45230989999999999</v>
      </c>
      <c r="F451" t="s">
        <v>41</v>
      </c>
      <c r="G451">
        <v>-381.85050000000001</v>
      </c>
      <c r="H451" s="1">
        <v>-3.9459819999999999E-6</v>
      </c>
      <c r="I451">
        <v>371.3734</v>
      </c>
      <c r="J451">
        <v>-412.09289999999999</v>
      </c>
      <c r="K451">
        <v>1.0711619999999999</v>
      </c>
      <c r="L451">
        <v>366.99209999999999</v>
      </c>
      <c r="M451">
        <v>0.99992919999999996</v>
      </c>
      <c r="N451">
        <v>-1.188471E-2</v>
      </c>
      <c r="O451">
        <v>-6.2143240000000002E-4</v>
      </c>
      <c r="P451">
        <v>0.98897389999999996</v>
      </c>
      <c r="Q451">
        <v>0.14714189999999999</v>
      </c>
      <c r="R451">
        <v>1.6735960000000001E-2</v>
      </c>
      <c r="S451">
        <v>3.0421140000000002</v>
      </c>
      <c r="T451">
        <v>-0.1068162</v>
      </c>
      <c r="U451">
        <v>0.43688959999999999</v>
      </c>
      <c r="V451">
        <v>-1.7344350000000001E-2</v>
      </c>
      <c r="W451">
        <v>0.15888569999999999</v>
      </c>
      <c r="X451">
        <v>0.98714460000000004</v>
      </c>
      <c r="Y451">
        <v>-0.14265449999999999</v>
      </c>
      <c r="Z451">
        <v>3.357699E-3</v>
      </c>
      <c r="AA451">
        <v>0.98976679999999995</v>
      </c>
      <c r="AB451">
        <v>29</v>
      </c>
      <c r="AC451">
        <v>30.2423999999999</v>
      </c>
      <c r="AD451">
        <v>-1.071165945982</v>
      </c>
      <c r="AE451">
        <v>4.3813000000000004</v>
      </c>
      <c r="AF451">
        <v>-4.3946941476463302</v>
      </c>
      <c r="AG451">
        <v>-1.071165945982</v>
      </c>
      <c r="AH451">
        <v>30.202560164185599</v>
      </c>
      <c r="AI451">
        <v>92.010054716937404</v>
      </c>
      <c r="AJ451">
        <v>98.278854957457995</v>
      </c>
      <c r="AK451">
        <v>30.5394068967693</v>
      </c>
      <c r="AL451">
        <v>80.857775593713697</v>
      </c>
      <c r="AM451">
        <v>91.006596004700398</v>
      </c>
      <c r="AN451">
        <v>0.99999997672528596</v>
      </c>
    </row>
    <row r="452" spans="1:40" x14ac:dyDescent="0.25">
      <c r="A452" t="str">
        <f>"20190303161851051"</f>
        <v>20190303161851051</v>
      </c>
      <c r="B452" t="str">
        <f>"1551601131043392"</f>
        <v>1551601131043392</v>
      </c>
      <c r="C452" t="s">
        <v>40</v>
      </c>
      <c r="D452">
        <v>4.7242300000000004</v>
      </c>
      <c r="E452">
        <v>0.45252239999999999</v>
      </c>
      <c r="F452" t="s">
        <v>41</v>
      </c>
      <c r="G452">
        <v>-381.47789999999998</v>
      </c>
      <c r="H452" s="1">
        <v>-4.0840990000000002E-6</v>
      </c>
      <c r="I452">
        <v>371.36950000000002</v>
      </c>
      <c r="J452">
        <v>-411.92540000000002</v>
      </c>
      <c r="K452">
        <v>1.0711619999999999</v>
      </c>
      <c r="L452">
        <v>366.99200000000002</v>
      </c>
      <c r="M452">
        <v>0.99992939999999997</v>
      </c>
      <c r="N452">
        <v>-1.1885069999999999E-2</v>
      </c>
      <c r="O452">
        <v>-6.2155369999999997E-4</v>
      </c>
      <c r="P452">
        <v>0.98896240000000002</v>
      </c>
      <c r="Q452">
        <v>0.14721289999999901</v>
      </c>
      <c r="R452">
        <v>1.6794949999999999E-2</v>
      </c>
      <c r="S452">
        <v>3.0419010000000002</v>
      </c>
      <c r="T452">
        <v>-0.1064306</v>
      </c>
      <c r="U452">
        <v>0.4349365</v>
      </c>
      <c r="V452">
        <v>-1.7403459999999999E-2</v>
      </c>
      <c r="W452">
        <v>0.1589573</v>
      </c>
      <c r="X452">
        <v>0.98713209999999996</v>
      </c>
      <c r="Y452">
        <v>-0.1420428</v>
      </c>
      <c r="Z452">
        <v>3.3346140000000001E-3</v>
      </c>
      <c r="AA452">
        <v>0.98985489999999998</v>
      </c>
      <c r="AB452">
        <v>29</v>
      </c>
      <c r="AC452">
        <v>30.447500000000002</v>
      </c>
      <c r="AD452">
        <v>-1.071166084099</v>
      </c>
      <c r="AE452">
        <v>4.3775000000000501</v>
      </c>
      <c r="AF452">
        <v>-4.3911005056096704</v>
      </c>
      <c r="AG452">
        <v>-1.071166084099</v>
      </c>
      <c r="AH452">
        <v>30.4078998390459</v>
      </c>
      <c r="AI452">
        <v>91.996804202820698</v>
      </c>
      <c r="AJ452">
        <v>98.217083522212207</v>
      </c>
      <c r="AK452">
        <v>30.741983232243399</v>
      </c>
      <c r="AL452">
        <v>80.8536210221273</v>
      </c>
      <c r="AM452">
        <v>91.010038588104706</v>
      </c>
      <c r="AN452">
        <v>1.0000000432468299</v>
      </c>
    </row>
    <row r="453" spans="1:40" x14ac:dyDescent="0.25">
      <c r="A453" t="str">
        <f>"20190303161851071"</f>
        <v>20190303161851071</v>
      </c>
      <c r="B453" t="str">
        <f>"1551601131062912"</f>
        <v>1551601131062912</v>
      </c>
      <c r="C453" t="s">
        <v>40</v>
      </c>
      <c r="D453">
        <v>4.8781889999999999</v>
      </c>
      <c r="E453">
        <v>0.45294899999999999</v>
      </c>
      <c r="F453" t="s">
        <v>41</v>
      </c>
      <c r="G453">
        <v>-380.84640000000002</v>
      </c>
      <c r="H453" s="1">
        <v>-4.3077579999999998E-6</v>
      </c>
      <c r="I453">
        <v>371.41879999999998</v>
      </c>
      <c r="J453">
        <v>-411.65370000000001</v>
      </c>
      <c r="K453">
        <v>1.071169</v>
      </c>
      <c r="L453">
        <v>366.99189999999999</v>
      </c>
      <c r="M453">
        <v>0.99992910000000002</v>
      </c>
      <c r="N453">
        <v>-1.1885639999999999E-2</v>
      </c>
      <c r="O453">
        <v>-6.211996E-4</v>
      </c>
      <c r="P453">
        <v>0.98883200000000004</v>
      </c>
      <c r="Q453">
        <v>0.14804229999999999</v>
      </c>
      <c r="R453">
        <v>1.716295E-2</v>
      </c>
      <c r="S453">
        <v>3.0417179999999999</v>
      </c>
      <c r="T453">
        <v>-0.1048355</v>
      </c>
      <c r="U453">
        <v>0.43325809999999998</v>
      </c>
      <c r="V453">
        <v>-1.7771490000000001E-2</v>
      </c>
      <c r="W453">
        <v>0.15978529999999999</v>
      </c>
      <c r="X453">
        <v>0.98699179999999997</v>
      </c>
      <c r="Y453">
        <v>-0.141518899999999</v>
      </c>
      <c r="Z453">
        <v>3.2853890000000001E-3</v>
      </c>
      <c r="AA453">
        <v>0.98993010000000004</v>
      </c>
      <c r="AB453">
        <v>29</v>
      </c>
      <c r="AC453">
        <v>30.807300000000001</v>
      </c>
      <c r="AD453">
        <v>-1.0711733077579999</v>
      </c>
      <c r="AE453">
        <v>4.4268999999999803</v>
      </c>
      <c r="AF453">
        <v>-4.4407778695168796</v>
      </c>
      <c r="AG453">
        <v>-1.0711733077579999</v>
      </c>
      <c r="AH453">
        <v>30.7680989859746</v>
      </c>
      <c r="AI453">
        <v>91.973480889324506</v>
      </c>
      <c r="AJ453">
        <v>98.212819071420896</v>
      </c>
      <c r="AK453">
        <v>31.105366668026601</v>
      </c>
      <c r="AL453">
        <v>80.8055654230036</v>
      </c>
      <c r="AM453">
        <v>91.031539831706098</v>
      </c>
      <c r="AN453">
        <v>0.99999999061007405</v>
      </c>
    </row>
    <row r="454" spans="1:40" x14ac:dyDescent="0.25">
      <c r="A454" t="str">
        <f>"20190303161851084"</f>
        <v>20190303161851084</v>
      </c>
      <c r="B454" t="str">
        <f>"1551601131073648"</f>
        <v>1551601131073648</v>
      </c>
      <c r="C454" t="s">
        <v>40</v>
      </c>
      <c r="D454">
        <v>4.6451890000000002</v>
      </c>
      <c r="E454">
        <v>0.45312580000000002</v>
      </c>
      <c r="F454" t="s">
        <v>41</v>
      </c>
      <c r="G454">
        <v>-378.94749999999999</v>
      </c>
      <c r="H454" s="1">
        <v>-9.6902280000000008E-7</v>
      </c>
      <c r="I454">
        <v>371.6277</v>
      </c>
      <c r="J454">
        <v>-411.48849999999999</v>
      </c>
      <c r="K454">
        <v>1.07117</v>
      </c>
      <c r="L454">
        <v>366.99180000000001</v>
      </c>
      <c r="M454">
        <v>0.99992919999999996</v>
      </c>
      <c r="N454">
        <v>-1.1885990000000001E-2</v>
      </c>
      <c r="O454">
        <v>-6.2120179999999999E-4</v>
      </c>
      <c r="P454">
        <v>0.98874189999999995</v>
      </c>
      <c r="Q454">
        <v>0.14862700000000001</v>
      </c>
      <c r="R454">
        <v>1.73099E-2</v>
      </c>
      <c r="S454">
        <v>3.0413209999999999</v>
      </c>
      <c r="T454">
        <v>-9.9607109999999999E-2</v>
      </c>
      <c r="U454">
        <v>0.43109130000000001</v>
      </c>
      <c r="V454">
        <v>-1.7918489999999999E-2</v>
      </c>
      <c r="W454">
        <v>0.1603695</v>
      </c>
      <c r="X454">
        <v>0.98689439999999995</v>
      </c>
      <c r="Y454">
        <v>-0.14085549999999999</v>
      </c>
      <c r="Z454">
        <v>3.1490120000000001E-3</v>
      </c>
      <c r="AA454">
        <v>0.99002520000000005</v>
      </c>
      <c r="AB454">
        <v>29</v>
      </c>
      <c r="AC454">
        <v>32.540999999999997</v>
      </c>
      <c r="AD454">
        <v>-1.0711709690228</v>
      </c>
      <c r="AE454">
        <v>4.6358999999999897</v>
      </c>
      <c r="AF454">
        <v>-4.6511754533190697</v>
      </c>
      <c r="AG454">
        <v>-1.0711709690228</v>
      </c>
      <c r="AH454">
        <v>32.503594458707397</v>
      </c>
      <c r="AI454">
        <v>91.868505859573801</v>
      </c>
      <c r="AJ454">
        <v>98.143584698001405</v>
      </c>
      <c r="AK454">
        <v>32.8521611629821</v>
      </c>
      <c r="AL454">
        <v>80.7716560602627</v>
      </c>
      <c r="AM454">
        <v>91.040173153515596</v>
      </c>
      <c r="AN454">
        <v>1.00000000278274</v>
      </c>
    </row>
    <row r="455" spans="1:40" x14ac:dyDescent="0.25">
      <c r="A455" t="str">
        <f>"20190303161851104"</f>
        <v>20190303161851104</v>
      </c>
      <c r="B455" t="str">
        <f>"1551601131093168"</f>
        <v>1551601131093168</v>
      </c>
      <c r="C455" t="s">
        <v>40</v>
      </c>
      <c r="D455">
        <v>4.7195749999999999</v>
      </c>
      <c r="E455">
        <v>0.45344859999999998</v>
      </c>
      <c r="F455" t="s">
        <v>41</v>
      </c>
      <c r="G455">
        <v>-377.7217</v>
      </c>
      <c r="H455" s="1">
        <v>-1.5311700000000001E-6</v>
      </c>
      <c r="I455">
        <v>371.76400000000001</v>
      </c>
      <c r="J455">
        <v>-411.22980000000001</v>
      </c>
      <c r="K455">
        <v>1.0711820000000001</v>
      </c>
      <c r="L455">
        <v>366.99160000000001</v>
      </c>
      <c r="M455">
        <v>0.99992930000000002</v>
      </c>
      <c r="N455">
        <v>-1.1886539999999999E-2</v>
      </c>
      <c r="O455">
        <v>-6.21205E-4</v>
      </c>
      <c r="P455">
        <v>0.98863699999999999</v>
      </c>
      <c r="Q455">
        <v>0.1493158</v>
      </c>
      <c r="R455">
        <v>1.7378399999999999E-2</v>
      </c>
      <c r="S455">
        <v>3.0411380000000001</v>
      </c>
      <c r="T455">
        <v>-9.6472859999999994E-2</v>
      </c>
      <c r="U455">
        <v>0.42980960000000001</v>
      </c>
      <c r="V455">
        <v>-1.798657E-2</v>
      </c>
      <c r="W455">
        <v>0.16105749999999999</v>
      </c>
      <c r="X455">
        <v>0.98678109999999997</v>
      </c>
      <c r="Y455">
        <v>-0.14046040000000001</v>
      </c>
      <c r="Z455">
        <v>3.0678150000000002E-3</v>
      </c>
      <c r="AA455">
        <v>0.99008149999999995</v>
      </c>
      <c r="AB455">
        <v>29</v>
      </c>
      <c r="AC455">
        <v>33.508099999999999</v>
      </c>
      <c r="AD455">
        <v>-1.07118353117</v>
      </c>
      <c r="AE455">
        <v>4.7724000000000002</v>
      </c>
      <c r="AF455">
        <v>-4.78841972823985</v>
      </c>
      <c r="AG455">
        <v>-1.07118353117</v>
      </c>
      <c r="AH455">
        <v>33.471602573983802</v>
      </c>
      <c r="AI455">
        <v>91.814535758128997</v>
      </c>
      <c r="AJ455">
        <v>98.141445905967302</v>
      </c>
      <c r="AK455">
        <v>33.829344902347202</v>
      </c>
      <c r="AL455">
        <v>80.731717258553502</v>
      </c>
      <c r="AM455">
        <v>91.044244200011804</v>
      </c>
      <c r="AN455">
        <v>0.99999998716191196</v>
      </c>
    </row>
    <row r="456" spans="1:40" x14ac:dyDescent="0.25">
      <c r="A456" t="str">
        <f>"20190303161851118"</f>
        <v>20190303161851118</v>
      </c>
      <c r="B456" t="str">
        <f>"1551601131113664"</f>
        <v>1551601131113664</v>
      </c>
      <c r="C456" t="s">
        <v>40</v>
      </c>
      <c r="D456">
        <v>4.876506</v>
      </c>
      <c r="E456">
        <v>0.45368740000000002</v>
      </c>
      <c r="F456" t="s">
        <v>41</v>
      </c>
      <c r="G456">
        <v>-375.74149999999997</v>
      </c>
      <c r="H456" s="1">
        <v>-2.4383780000000001E-6</v>
      </c>
      <c r="I456">
        <v>371.98099999999999</v>
      </c>
      <c r="J456">
        <v>-411.05459999999999</v>
      </c>
      <c r="K456">
        <v>1.0711850000000001</v>
      </c>
      <c r="L456">
        <v>366.99149999999997</v>
      </c>
      <c r="M456">
        <v>0.99992919999999996</v>
      </c>
      <c r="N456">
        <v>-1.1886900000000001E-2</v>
      </c>
      <c r="O456">
        <v>-6.21088E-4</v>
      </c>
      <c r="P456">
        <v>0.98856529999999998</v>
      </c>
      <c r="Q456">
        <v>0.1497936</v>
      </c>
      <c r="R456">
        <v>1.7340749999999999E-2</v>
      </c>
      <c r="S456">
        <v>3.0408330000000001</v>
      </c>
      <c r="T456">
        <v>-9.1784829999999998E-2</v>
      </c>
      <c r="U456">
        <v>0.42752079999999998</v>
      </c>
      <c r="V456">
        <v>-1.7948450000000001E-2</v>
      </c>
      <c r="W456">
        <v>0.1615347</v>
      </c>
      <c r="X456">
        <v>0.98670380000000002</v>
      </c>
      <c r="Y456">
        <v>-0.1397516</v>
      </c>
      <c r="Z456">
        <v>2.944613E-3</v>
      </c>
      <c r="AA456">
        <v>0.99018220000000001</v>
      </c>
      <c r="AB456">
        <v>29</v>
      </c>
      <c r="AC456">
        <v>35.313099999999999</v>
      </c>
      <c r="AD456">
        <v>-1.071187438378</v>
      </c>
      <c r="AE456">
        <v>4.98950000000002</v>
      </c>
      <c r="AF456">
        <v>-5.0069161835482099</v>
      </c>
      <c r="AG456">
        <v>-1.071187438378</v>
      </c>
      <c r="AH456">
        <v>35.278168162036501</v>
      </c>
      <c r="AI456">
        <v>91.721950741942294</v>
      </c>
      <c r="AJ456">
        <v>98.077854815868804</v>
      </c>
      <c r="AK456">
        <v>35.647802191245198</v>
      </c>
      <c r="AL456">
        <v>80.704013050772701</v>
      </c>
      <c r="AM456">
        <v>91.042113176575796</v>
      </c>
      <c r="AN456">
        <v>0.99999999754796598</v>
      </c>
    </row>
    <row r="457" spans="1:40" x14ac:dyDescent="0.25">
      <c r="A457" t="str">
        <f>"20190303161851131"</f>
        <v>20190303161851131</v>
      </c>
      <c r="B457" t="str">
        <f>"1551601131123424"</f>
        <v>1551601131123424</v>
      </c>
      <c r="C457" t="s">
        <v>40</v>
      </c>
      <c r="D457">
        <v>4.75732</v>
      </c>
      <c r="E457">
        <v>0.45376820000000001</v>
      </c>
      <c r="F457" t="s">
        <v>41</v>
      </c>
      <c r="G457">
        <v>-374.0634</v>
      </c>
      <c r="H457" s="1">
        <v>-3.208644E-6</v>
      </c>
      <c r="I457">
        <v>372.1703</v>
      </c>
      <c r="J457">
        <v>-410.88339999999999</v>
      </c>
      <c r="K457">
        <v>1.0711869999999999</v>
      </c>
      <c r="L457">
        <v>366.99149999999997</v>
      </c>
      <c r="M457">
        <v>0.99992919999999996</v>
      </c>
      <c r="N457">
        <v>-1.188726E-2</v>
      </c>
      <c r="O457">
        <v>-6.2097089999999997E-4</v>
      </c>
      <c r="P457">
        <v>0.98847240000000003</v>
      </c>
      <c r="Q457">
        <v>0.15038019999999999</v>
      </c>
      <c r="R457">
        <v>1.7560079999999999E-2</v>
      </c>
      <c r="S457">
        <v>3.0405880000000001</v>
      </c>
      <c r="T457">
        <v>-8.8049050000000004E-2</v>
      </c>
      <c r="U457">
        <v>0.4256897</v>
      </c>
      <c r="V457">
        <v>-1.816781E-2</v>
      </c>
      <c r="W457">
        <v>0.1621206</v>
      </c>
      <c r="X457">
        <v>0.98660369999999997</v>
      </c>
      <c r="Y457">
        <v>-0.139184</v>
      </c>
      <c r="Z457">
        <v>2.847133E-3</v>
      </c>
      <c r="AA457">
        <v>0.99026239999999999</v>
      </c>
      <c r="AB457">
        <v>29</v>
      </c>
      <c r="AC457">
        <v>36.819999999999901</v>
      </c>
      <c r="AD457">
        <v>-1.0711902086439999</v>
      </c>
      <c r="AE457">
        <v>5.1788000000000203</v>
      </c>
      <c r="AF457">
        <v>-5.1973511636927796</v>
      </c>
      <c r="AG457">
        <v>-1.0711902086439999</v>
      </c>
      <c r="AH457">
        <v>36.786245625918902</v>
      </c>
      <c r="AI457">
        <v>91.651549387695397</v>
      </c>
      <c r="AJ457">
        <v>98.041817232955594</v>
      </c>
      <c r="AK457">
        <v>37.167025369704596</v>
      </c>
      <c r="AL457">
        <v>80.6699951761655</v>
      </c>
      <c r="AM457">
        <v>91.054953677286093</v>
      </c>
      <c r="AN457">
        <v>1.0000000095591199</v>
      </c>
    </row>
    <row r="458" spans="1:40" x14ac:dyDescent="0.25">
      <c r="A458" t="str">
        <f>"20190303161851149"</f>
        <v>20190303161851149</v>
      </c>
      <c r="B458" t="str">
        <f>"1551601131142943"</f>
        <v>1551601131142943</v>
      </c>
      <c r="C458" t="s">
        <v>40</v>
      </c>
      <c r="D458">
        <v>4.8729389999999997</v>
      </c>
      <c r="E458">
        <v>0.45399240000000002</v>
      </c>
      <c r="F458" t="s">
        <v>41</v>
      </c>
      <c r="G458">
        <v>-372.85969999999998</v>
      </c>
      <c r="H458" s="1">
        <v>-3.7644400000000002E-6</v>
      </c>
      <c r="I458">
        <v>372.3184</v>
      </c>
      <c r="J458">
        <v>-410.6463</v>
      </c>
      <c r="K458">
        <v>1.071191</v>
      </c>
      <c r="L458">
        <v>366.99130000000002</v>
      </c>
      <c r="M458">
        <v>0.99992919999999996</v>
      </c>
      <c r="N458">
        <v>-1.1887740000000001E-2</v>
      </c>
      <c r="O458">
        <v>-6.2073519999999896E-4</v>
      </c>
      <c r="P458">
        <v>0.98849399999999998</v>
      </c>
      <c r="Q458">
        <v>0.15022479999999999</v>
      </c>
      <c r="R458">
        <v>1.766736E-2</v>
      </c>
      <c r="S458">
        <v>3.0404969999999998</v>
      </c>
      <c r="T458">
        <v>-8.5655690000000007E-2</v>
      </c>
      <c r="U458">
        <v>0.42596440000000002</v>
      </c>
      <c r="V458">
        <v>-1.8274599999999998E-2</v>
      </c>
      <c r="W458">
        <v>0.16196569999999999</v>
      </c>
      <c r="X458">
        <v>0.98662720000000004</v>
      </c>
      <c r="Y458">
        <v>-0.13927919999999999</v>
      </c>
      <c r="Z458">
        <v>2.7941419999999999E-3</v>
      </c>
      <c r="AA458">
        <v>0.99024920000000005</v>
      </c>
      <c r="AB458">
        <v>29</v>
      </c>
      <c r="AC458">
        <v>37.7866</v>
      </c>
      <c r="AD458">
        <v>-1.0711947644399999</v>
      </c>
      <c r="AE458">
        <v>5.3270999999999704</v>
      </c>
      <c r="AF458">
        <v>-5.3463432993545004</v>
      </c>
      <c r="AG458">
        <v>-1.0711947644399999</v>
      </c>
      <c r="AH458">
        <v>37.753536794830403</v>
      </c>
      <c r="AI458">
        <v>91.609191249950499</v>
      </c>
      <c r="AJ458">
        <v>98.060159896237593</v>
      </c>
      <c r="AK458">
        <v>38.145253773130499</v>
      </c>
      <c r="AL458">
        <v>80.678989449612104</v>
      </c>
      <c r="AM458">
        <v>91.0611279894202</v>
      </c>
      <c r="AN458">
        <v>1.0000000403807401</v>
      </c>
    </row>
    <row r="459" spans="1:40" x14ac:dyDescent="0.25">
      <c r="A459" t="str">
        <f>"20190303161851162"</f>
        <v>20190303161851162</v>
      </c>
      <c r="B459" t="str">
        <f>"1551601131153680"</f>
        <v>1551601131153680</v>
      </c>
      <c r="C459" t="s">
        <v>40</v>
      </c>
      <c r="D459">
        <v>4.7518180000000001</v>
      </c>
      <c r="E459">
        <v>0.45412590000000003</v>
      </c>
      <c r="F459" t="s">
        <v>41</v>
      </c>
      <c r="G459">
        <v>-372.01240000000001</v>
      </c>
      <c r="H459" s="1">
        <v>-4.082173E-6</v>
      </c>
      <c r="I459">
        <v>372.38409999999999</v>
      </c>
      <c r="J459">
        <v>-410.47359999999998</v>
      </c>
      <c r="K459">
        <v>1.071188</v>
      </c>
      <c r="L459">
        <v>366.99119999999999</v>
      </c>
      <c r="M459">
        <v>0.99992910000000002</v>
      </c>
      <c r="N459">
        <v>-1.18881E-2</v>
      </c>
      <c r="O459">
        <v>-6.2061790000000005E-4</v>
      </c>
      <c r="P459">
        <v>0.98849399999999998</v>
      </c>
      <c r="Q459">
        <v>0.15022430000000001</v>
      </c>
      <c r="R459">
        <v>1.7668610000000001E-2</v>
      </c>
      <c r="S459">
        <v>3.0401609999999999</v>
      </c>
      <c r="T459">
        <v>-8.4293839999999995E-2</v>
      </c>
      <c r="U459">
        <v>0.42437740000000002</v>
      </c>
      <c r="V459">
        <v>-1.827554E-2</v>
      </c>
      <c r="W459">
        <v>0.16196569999999999</v>
      </c>
      <c r="X459">
        <v>0.98662720000000004</v>
      </c>
      <c r="Y459">
        <v>-0.13878950000000001</v>
      </c>
      <c r="Z459">
        <v>2.7534310000000002E-3</v>
      </c>
      <c r="AA459">
        <v>0.99031809999999998</v>
      </c>
      <c r="AB459">
        <v>29</v>
      </c>
      <c r="AC459">
        <v>38.461199999999899</v>
      </c>
      <c r="AD459">
        <v>-1.0711920821729899</v>
      </c>
      <c r="AE459">
        <v>5.3928999999999903</v>
      </c>
      <c r="AF459">
        <v>-5.4126527642456796</v>
      </c>
      <c r="AG459">
        <v>-1.0711920821729899</v>
      </c>
      <c r="AH459">
        <v>38.428611437544497</v>
      </c>
      <c r="AI459">
        <v>91.581099907111096</v>
      </c>
      <c r="AJ459">
        <v>98.017344940986902</v>
      </c>
      <c r="AK459">
        <v>38.822705205085597</v>
      </c>
      <c r="AL459">
        <v>80.678989611161398</v>
      </c>
      <c r="AM459">
        <v>91.061182558725406</v>
      </c>
      <c r="AN459">
        <v>1.0000000575593</v>
      </c>
    </row>
    <row r="460" spans="1:40" x14ac:dyDescent="0.25">
      <c r="A460" t="str">
        <f>"20190303161851176"</f>
        <v>20190303161851176</v>
      </c>
      <c r="B460" t="str">
        <f>"1551601131163440"</f>
        <v>1551601131163440</v>
      </c>
      <c r="C460" t="s">
        <v>40</v>
      </c>
      <c r="D460">
        <v>4.8744899999999998</v>
      </c>
      <c r="E460">
        <v>0.45422899999999999</v>
      </c>
      <c r="F460" t="s">
        <v>41</v>
      </c>
      <c r="G460">
        <v>-371.541</v>
      </c>
      <c r="H460" s="1">
        <v>-4.2474350000000001E-6</v>
      </c>
      <c r="I460">
        <v>372.41140000000001</v>
      </c>
      <c r="J460">
        <v>-410.3014</v>
      </c>
      <c r="K460">
        <v>1.071186</v>
      </c>
      <c r="L460">
        <v>366.99110000000002</v>
      </c>
      <c r="M460">
        <v>0.99992919999999996</v>
      </c>
      <c r="N460">
        <v>-1.188846E-2</v>
      </c>
      <c r="O460">
        <v>-6.2061989999999997E-4</v>
      </c>
      <c r="P460">
        <v>0.98859180000000002</v>
      </c>
      <c r="Q460">
        <v>0.14956549999999999</v>
      </c>
      <c r="R460">
        <v>1.7797750000000001E-2</v>
      </c>
      <c r="S460">
        <v>3.0400999999999998</v>
      </c>
      <c r="T460">
        <v>-8.3645109999999995E-2</v>
      </c>
      <c r="U460">
        <v>0.42324830000000002</v>
      </c>
      <c r="V460">
        <v>-1.8405520000000002E-2</v>
      </c>
      <c r="W460">
        <v>0.16130829999999999</v>
      </c>
      <c r="X460">
        <v>0.98673239999999995</v>
      </c>
      <c r="Y460">
        <v>-0.13843250000000001</v>
      </c>
      <c r="Z460">
        <v>2.7316409999999999E-3</v>
      </c>
      <c r="AA460">
        <v>0.99036809999999997</v>
      </c>
      <c r="AB460">
        <v>29</v>
      </c>
      <c r="AC460">
        <v>38.760399999999997</v>
      </c>
      <c r="AD460">
        <v>-1.0711902474349999</v>
      </c>
      <c r="AE460">
        <v>5.4202999999999903</v>
      </c>
      <c r="AF460">
        <v>-5.4402807592977203</v>
      </c>
      <c r="AG460">
        <v>-1.0711902474349999</v>
      </c>
      <c r="AH460">
        <v>38.728016790707102</v>
      </c>
      <c r="AI460">
        <v>91.568961133057201</v>
      </c>
      <c r="AJ460">
        <v>97.9962467178417</v>
      </c>
      <c r="AK460">
        <v>39.122926626563498</v>
      </c>
      <c r="AL460">
        <v>80.717157029231799</v>
      </c>
      <c r="AM460">
        <v>91.068614282372593</v>
      </c>
      <c r="AN460">
        <v>0.99999998001255996</v>
      </c>
    </row>
    <row r="461" spans="1:40" x14ac:dyDescent="0.25">
      <c r="A461" t="str">
        <f>"20190303161851195"</f>
        <v>20190303161851195</v>
      </c>
      <c r="B461" t="str">
        <f>"1551601131182961"</f>
        <v>1551601131182961</v>
      </c>
      <c r="C461" t="s">
        <v>40</v>
      </c>
      <c r="D461">
        <v>4.9349999999999996</v>
      </c>
      <c r="E461">
        <v>0.4544242</v>
      </c>
      <c r="F461" t="s">
        <v>41</v>
      </c>
      <c r="G461">
        <v>-371.892</v>
      </c>
      <c r="H461" s="1">
        <v>-4.1149070000000002E-6</v>
      </c>
      <c r="I461">
        <v>372.33769999999998</v>
      </c>
      <c r="J461">
        <v>-410.05</v>
      </c>
      <c r="K461">
        <v>1.0711839999999999</v>
      </c>
      <c r="L461">
        <v>366.99099999999999</v>
      </c>
      <c r="M461">
        <v>0.99992919999999996</v>
      </c>
      <c r="N461">
        <v>-1.188898E-2</v>
      </c>
      <c r="O461">
        <v>-6.203844E-4</v>
      </c>
      <c r="P461">
        <v>0.98873330000000004</v>
      </c>
      <c r="Q461">
        <v>0.14858959999999999</v>
      </c>
      <c r="R461">
        <v>1.811215E-2</v>
      </c>
      <c r="S461">
        <v>3.0398559999999999</v>
      </c>
      <c r="T461">
        <v>-8.4777710000000006E-2</v>
      </c>
      <c r="U461">
        <v>0.4231567</v>
      </c>
      <c r="V461">
        <v>-1.8719530000000002E-2</v>
      </c>
      <c r="W461">
        <v>0.16033459999999999</v>
      </c>
      <c r="X461">
        <v>0.98688520000000002</v>
      </c>
      <c r="Y461">
        <v>-0.13841220000000001</v>
      </c>
      <c r="Z461">
        <v>2.7573089999999999E-3</v>
      </c>
      <c r="AA461">
        <v>0.99037090000000005</v>
      </c>
      <c r="AB461">
        <v>29</v>
      </c>
      <c r="AC461">
        <v>38.158000000000001</v>
      </c>
      <c r="AD461">
        <v>-1.0711881149069999</v>
      </c>
      <c r="AE461">
        <v>5.3466999999999896</v>
      </c>
      <c r="AF461">
        <v>-5.3662257830440296</v>
      </c>
      <c r="AG461">
        <v>-1.0711881149069999</v>
      </c>
      <c r="AH461">
        <v>38.125208925010398</v>
      </c>
      <c r="AI461">
        <v>91.593691326271298</v>
      </c>
      <c r="AJ461">
        <v>98.0119030591257</v>
      </c>
      <c r="AK461">
        <v>38.515910721516398</v>
      </c>
      <c r="AL461">
        <v>80.773681884375605</v>
      </c>
      <c r="AM461">
        <v>91.086672956564499</v>
      </c>
      <c r="AN461">
        <v>1.00000000136981</v>
      </c>
    </row>
    <row r="462" spans="1:40" x14ac:dyDescent="0.25">
      <c r="A462" t="str">
        <f>"20190303161851217"</f>
        <v>20190303161851217</v>
      </c>
      <c r="B462" t="str">
        <f>"1551601131203456"</f>
        <v>1551601131203456</v>
      </c>
      <c r="C462" t="s">
        <v>40</v>
      </c>
      <c r="D462">
        <v>4.8168439999999997</v>
      </c>
      <c r="E462">
        <v>0.4545843</v>
      </c>
      <c r="F462" t="s">
        <v>41</v>
      </c>
      <c r="G462">
        <v>-372.3904</v>
      </c>
      <c r="H462" s="1">
        <v>-3.9244010000000003E-6</v>
      </c>
      <c r="I462">
        <v>372.2199</v>
      </c>
      <c r="J462">
        <v>-409.7645</v>
      </c>
      <c r="K462">
        <v>1.07118</v>
      </c>
      <c r="L462">
        <v>366.99079999999998</v>
      </c>
      <c r="M462">
        <v>0.99992919999999996</v>
      </c>
      <c r="N462">
        <v>-1.188958E-2</v>
      </c>
      <c r="O462">
        <v>-6.2026859999999998E-4</v>
      </c>
      <c r="P462">
        <v>0.98878069999999896</v>
      </c>
      <c r="Q462">
        <v>0.14832319999999999</v>
      </c>
      <c r="R462">
        <v>1.7693250000000001E-2</v>
      </c>
      <c r="S462">
        <v>3.0394589999999999</v>
      </c>
      <c r="T462">
        <v>-8.6454030000000001E-2</v>
      </c>
      <c r="U462">
        <v>0.4220276</v>
      </c>
      <c r="V462">
        <v>-1.83001E-2</v>
      </c>
      <c r="W462">
        <v>0.16006960000000001</v>
      </c>
      <c r="X462">
        <v>0.98693609999999998</v>
      </c>
      <c r="Y462">
        <v>-0.13806640000000001</v>
      </c>
      <c r="Z462">
        <v>2.7889809999999998E-3</v>
      </c>
      <c r="AA462">
        <v>0.99041900000000005</v>
      </c>
      <c r="AB462">
        <v>29</v>
      </c>
      <c r="AC462">
        <v>37.374099999999999</v>
      </c>
      <c r="AD462">
        <v>-1.071183924401</v>
      </c>
      <c r="AE462">
        <v>5.2291000000000096</v>
      </c>
      <c r="AF462">
        <v>-5.24805431399139</v>
      </c>
      <c r="AG462">
        <v>-1.071183924401</v>
      </c>
      <c r="AH462">
        <v>37.340764105561298</v>
      </c>
      <c r="AI462">
        <v>91.627193598890997</v>
      </c>
      <c r="AJ462">
        <v>98.000228949667402</v>
      </c>
      <c r="AK462">
        <v>37.722966122372597</v>
      </c>
      <c r="AL462">
        <v>80.789064091403802</v>
      </c>
      <c r="AM462">
        <v>91.062275817929603</v>
      </c>
      <c r="AN462">
        <v>1.0000000179936801</v>
      </c>
    </row>
    <row r="463" spans="1:40" x14ac:dyDescent="0.25">
      <c r="A463" t="str">
        <f>"20190303161851230"</f>
        <v>20190303161851230</v>
      </c>
      <c r="B463" t="str">
        <f>"1551601131223952"</f>
        <v>1551601131223952</v>
      </c>
      <c r="C463" t="s">
        <v>40</v>
      </c>
      <c r="D463">
        <v>4.8304489999999998</v>
      </c>
      <c r="E463">
        <v>0.45475450000000001</v>
      </c>
      <c r="F463" t="s">
        <v>41</v>
      </c>
      <c r="G463">
        <v>-372.1155</v>
      </c>
      <c r="H463" s="1">
        <v>-4.011682E-6</v>
      </c>
      <c r="I463">
        <v>372.18450000000001</v>
      </c>
      <c r="J463">
        <v>-409.59030000000001</v>
      </c>
      <c r="K463">
        <v>1.071178</v>
      </c>
      <c r="L463">
        <v>366.9907</v>
      </c>
      <c r="M463">
        <v>0.99992930000000002</v>
      </c>
      <c r="N463">
        <v>-1.188995E-2</v>
      </c>
      <c r="O463">
        <v>-6.2038989999999895E-4</v>
      </c>
      <c r="P463">
        <v>0.98876399999999998</v>
      </c>
      <c r="Q463">
        <v>0.14840159999999999</v>
      </c>
      <c r="R463">
        <v>1.79677E-2</v>
      </c>
      <c r="S463">
        <v>3.0395509999999999</v>
      </c>
      <c r="T463">
        <v>-8.6480619999999994E-2</v>
      </c>
      <c r="U463">
        <v>0.4193115</v>
      </c>
      <c r="V463">
        <v>-1.857516E-2</v>
      </c>
      <c r="W463">
        <v>0.16014819999999999</v>
      </c>
      <c r="X463">
        <v>0.98691819999999997</v>
      </c>
      <c r="Y463">
        <v>-0.1371945</v>
      </c>
      <c r="Z463">
        <v>2.772072E-3</v>
      </c>
      <c r="AA463">
        <v>0.99054030000000004</v>
      </c>
      <c r="AB463">
        <v>29</v>
      </c>
      <c r="AC463">
        <v>37.474800000000002</v>
      </c>
      <c r="AD463">
        <v>-1.0711820116819999</v>
      </c>
      <c r="AE463">
        <v>5.1938000000000004</v>
      </c>
      <c r="AF463">
        <v>-5.2128707284206302</v>
      </c>
      <c r="AG463">
        <v>-1.0711820116819999</v>
      </c>
      <c r="AH463">
        <v>37.441555349803501</v>
      </c>
      <c r="AI463">
        <v>91.623106037061802</v>
      </c>
      <c r="AJ463">
        <v>97.926160490818404</v>
      </c>
      <c r="AK463">
        <v>37.817873011920902</v>
      </c>
      <c r="AL463">
        <v>80.7845016937586</v>
      </c>
      <c r="AM463">
        <v>91.078258184921594</v>
      </c>
      <c r="AN463">
        <v>1.0000000080117499</v>
      </c>
    </row>
    <row r="464" spans="1:40" x14ac:dyDescent="0.25">
      <c r="A464" t="str">
        <f>"20190303161851243"</f>
        <v>20190303161851243</v>
      </c>
      <c r="B464" t="str">
        <f>"1551601131233712"</f>
        <v>1551601131233712</v>
      </c>
      <c r="C464" t="s">
        <v>40</v>
      </c>
      <c r="D464">
        <v>4.8411350000000004</v>
      </c>
      <c r="E464">
        <v>0.45476919999999998</v>
      </c>
      <c r="F464" t="s">
        <v>41</v>
      </c>
      <c r="G464">
        <v>-371.76929999999999</v>
      </c>
      <c r="H464" s="1">
        <v>-4.1325919999999998E-6</v>
      </c>
      <c r="I464">
        <v>372.20190000000002</v>
      </c>
      <c r="J464">
        <v>-409.42110000000002</v>
      </c>
      <c r="K464">
        <v>1.071172</v>
      </c>
      <c r="L464">
        <v>366.99059999999997</v>
      </c>
      <c r="M464">
        <v>0.99992910000000002</v>
      </c>
      <c r="N464">
        <v>-1.1890309999999999E-2</v>
      </c>
      <c r="O464">
        <v>-6.2015360000000001E-4</v>
      </c>
      <c r="P464">
        <v>0.98881059999999998</v>
      </c>
      <c r="Q464">
        <v>0.1480823</v>
      </c>
      <c r="R464">
        <v>1.804213E-2</v>
      </c>
      <c r="S464">
        <v>3.0393979999999998</v>
      </c>
      <c r="T464">
        <v>-8.6082939999999997E-2</v>
      </c>
      <c r="U464">
        <v>0.41879270000000002</v>
      </c>
      <c r="V464">
        <v>-1.8649550000000001E-2</v>
      </c>
      <c r="W464">
        <v>0.15983</v>
      </c>
      <c r="X464">
        <v>0.98696830000000002</v>
      </c>
      <c r="Y464">
        <v>-0.13703580000000001</v>
      </c>
      <c r="Z464">
        <v>2.7600089999999999E-3</v>
      </c>
      <c r="AA464">
        <v>0.99056230000000001</v>
      </c>
      <c r="AB464">
        <v>29</v>
      </c>
      <c r="AC464">
        <v>37.651800000000001</v>
      </c>
      <c r="AD464">
        <v>-1.071176132592</v>
      </c>
      <c r="AE464">
        <v>5.2113000000000502</v>
      </c>
      <c r="AF464">
        <v>-5.2304966843631302</v>
      </c>
      <c r="AG464">
        <v>-1.071176132592</v>
      </c>
      <c r="AH464">
        <v>37.618685377993202</v>
      </c>
      <c r="AI464">
        <v>91.615499949279396</v>
      </c>
      <c r="AJ464">
        <v>97.915648738343606</v>
      </c>
      <c r="AK464">
        <v>37.9956708513037</v>
      </c>
      <c r="AL464">
        <v>80.802970394914098</v>
      </c>
      <c r="AM464">
        <v>91.082520439162295</v>
      </c>
      <c r="AN464">
        <v>0.99999992991004305</v>
      </c>
    </row>
    <row r="465" spans="1:40" x14ac:dyDescent="0.25">
      <c r="A465" t="str">
        <f>"20190303161851262"</f>
        <v>20190303161851262</v>
      </c>
      <c r="B465" t="str">
        <f>"1551601131253236"</f>
        <v>1551601131253236</v>
      </c>
      <c r="C465" t="s">
        <v>40</v>
      </c>
      <c r="D465">
        <v>4.8786860000000001</v>
      </c>
      <c r="E465">
        <v>0.42990099999999998</v>
      </c>
      <c r="F465" t="s">
        <v>41</v>
      </c>
      <c r="G465">
        <v>-372.23180000000002</v>
      </c>
      <c r="H465" s="1">
        <v>-3.9601329999999998E-6</v>
      </c>
      <c r="I465">
        <v>372.11709999999999</v>
      </c>
      <c r="J465">
        <v>-409.18259999999998</v>
      </c>
      <c r="K465">
        <v>1.071167</v>
      </c>
      <c r="L465">
        <v>366.99040000000002</v>
      </c>
      <c r="M465">
        <v>0.99992919999999996</v>
      </c>
      <c r="N465">
        <v>-1.189081E-2</v>
      </c>
      <c r="O465">
        <v>-6.2015650000000002E-4</v>
      </c>
      <c r="P465">
        <v>0.98892049999999998</v>
      </c>
      <c r="Q465">
        <v>0.14731549999999999</v>
      </c>
      <c r="R465">
        <v>1.829706E-2</v>
      </c>
      <c r="S465">
        <v>3.0393680000000001</v>
      </c>
      <c r="T465">
        <v>-8.7543850000000006E-2</v>
      </c>
      <c r="U465">
        <v>0.41897580000000001</v>
      </c>
      <c r="V465">
        <v>-1.8904170000000001E-2</v>
      </c>
      <c r="W465">
        <v>0.15906509999999999</v>
      </c>
      <c r="X465">
        <v>0.9870871</v>
      </c>
      <c r="Y465">
        <v>-0.1370934</v>
      </c>
      <c r="Z465">
        <v>2.7942900000000001E-3</v>
      </c>
      <c r="AA465">
        <v>0.99055420000000005</v>
      </c>
      <c r="AB465">
        <v>29</v>
      </c>
      <c r="AC465">
        <v>36.950799999999902</v>
      </c>
      <c r="AD465">
        <v>-1.0711709601329999</v>
      </c>
      <c r="AE465">
        <v>5.1266999999999703</v>
      </c>
      <c r="AF465">
        <v>-5.1453735644943697</v>
      </c>
      <c r="AG465">
        <v>-1.0711709601329999</v>
      </c>
      <c r="AH465">
        <v>36.917175202684298</v>
      </c>
      <c r="AI465">
        <v>91.646097883696797</v>
      </c>
      <c r="AJ465">
        <v>97.934550257500106</v>
      </c>
      <c r="AK465">
        <v>37.2894100421248</v>
      </c>
      <c r="AL465">
        <v>80.847364617557503</v>
      </c>
      <c r="AM465">
        <v>91.097164335730199</v>
      </c>
      <c r="AN465">
        <v>1.0000000083339</v>
      </c>
    </row>
    <row r="466" spans="1:40" x14ac:dyDescent="0.25">
      <c r="A466" t="str">
        <f>"20190303161851275"</f>
        <v>20190303161851275</v>
      </c>
      <c r="B466" t="str">
        <f>"1551601131263968"</f>
        <v>1551601131263968</v>
      </c>
      <c r="C466" t="s">
        <v>40</v>
      </c>
      <c r="D466">
        <v>4.8446020000000001</v>
      </c>
      <c r="E466">
        <v>0.4205025</v>
      </c>
      <c r="F466" t="s">
        <v>41</v>
      </c>
      <c r="G466">
        <v>-386.78699999999998</v>
      </c>
      <c r="H466" s="1">
        <v>-1.8723700000000001E-6</v>
      </c>
      <c r="I466">
        <v>371.53930000000003</v>
      </c>
      <c r="J466">
        <v>-409.00529999999998</v>
      </c>
      <c r="K466">
        <v>1.0711660000000001</v>
      </c>
      <c r="L466">
        <v>366.99040000000002</v>
      </c>
      <c r="M466">
        <v>0.99992919999999996</v>
      </c>
      <c r="N466">
        <v>-1.189116E-2</v>
      </c>
      <c r="O466">
        <v>-6.2015859999999998E-4</v>
      </c>
      <c r="P466">
        <v>0.98893589999999998</v>
      </c>
      <c r="Q466">
        <v>0.1472097</v>
      </c>
      <c r="R466">
        <v>1.8318170000000002E-2</v>
      </c>
      <c r="S466">
        <v>3.0438839999999998</v>
      </c>
      <c r="T466">
        <v>-0.1455872</v>
      </c>
      <c r="U466">
        <v>0.61825559999999902</v>
      </c>
      <c r="V466">
        <v>-1.892568E-2</v>
      </c>
      <c r="W466">
        <v>0.15895960000000001</v>
      </c>
      <c r="X466">
        <v>0.98710359999999997</v>
      </c>
      <c r="Y466">
        <v>-0.1993818</v>
      </c>
      <c r="Z466">
        <v>5.937683E-3</v>
      </c>
      <c r="AA466">
        <v>0.97990390000000005</v>
      </c>
      <c r="AB466">
        <v>29</v>
      </c>
      <c r="AC466">
        <v>22.218299999999999</v>
      </c>
      <c r="AD466">
        <v>-1.07116787237</v>
      </c>
      <c r="AE466">
        <v>4.5488999999999997</v>
      </c>
      <c r="AF466">
        <v>-4.5525232078820501</v>
      </c>
      <c r="AG466">
        <v>-1.07116787237</v>
      </c>
      <c r="AH466">
        <v>22.166026558697499</v>
      </c>
      <c r="AI466">
        <v>92.710169408225696</v>
      </c>
      <c r="AJ466">
        <v>101.60617937909301</v>
      </c>
      <c r="AK466">
        <v>22.654041616673801</v>
      </c>
      <c r="AL466">
        <v>80.853486467391306</v>
      </c>
      <c r="AM466">
        <v>91.098394076020398</v>
      </c>
      <c r="AN466">
        <v>0.99999992646428804</v>
      </c>
    </row>
    <row r="467" spans="1:40" x14ac:dyDescent="0.25">
      <c r="A467" t="str">
        <f>"20190303161851289"</f>
        <v>20190303161851289</v>
      </c>
      <c r="B467" t="str">
        <f>"1551601131283488"</f>
        <v>1551601131283488</v>
      </c>
      <c r="C467" t="s">
        <v>40</v>
      </c>
      <c r="D467">
        <v>4.8589229999999999</v>
      </c>
      <c r="E467">
        <v>0.4096455</v>
      </c>
      <c r="F467" t="s">
        <v>41</v>
      </c>
      <c r="G467">
        <v>-389.12240000000003</v>
      </c>
      <c r="H467" s="1">
        <v>-8.6457690000000001E-7</v>
      </c>
      <c r="I467">
        <v>371.51710000000003</v>
      </c>
      <c r="J467">
        <v>-408.822</v>
      </c>
      <c r="K467">
        <v>1.0711660000000001</v>
      </c>
      <c r="L467">
        <v>366.99020000000002</v>
      </c>
      <c r="M467">
        <v>0.99992919999999996</v>
      </c>
      <c r="N467">
        <v>-1.1891530000000001E-2</v>
      </c>
      <c r="O467">
        <v>-6.2016079999999997E-4</v>
      </c>
      <c r="P467">
        <v>0.98893189999999997</v>
      </c>
      <c r="Q467">
        <v>0.14720820000000001</v>
      </c>
      <c r="R467">
        <v>1.8541100000000001E-2</v>
      </c>
      <c r="S467">
        <v>3.045166</v>
      </c>
      <c r="T467">
        <v>-0.16405459999999999</v>
      </c>
      <c r="U467">
        <v>0.69329830000000003</v>
      </c>
      <c r="V467">
        <v>-1.9148789999999999E-2</v>
      </c>
      <c r="W467">
        <v>0.15895819999999999</v>
      </c>
      <c r="X467">
        <v>0.98709959999999997</v>
      </c>
      <c r="Y467">
        <v>-0.22221830000000001</v>
      </c>
      <c r="Z467">
        <v>7.27093599999999E-3</v>
      </c>
      <c r="AA467">
        <v>0.9749698</v>
      </c>
      <c r="AB467">
        <v>29</v>
      </c>
      <c r="AC467">
        <v>19.699599999999901</v>
      </c>
      <c r="AD467">
        <v>-1.0711668645768999</v>
      </c>
      <c r="AE467">
        <v>4.5269000000000101</v>
      </c>
      <c r="AF467">
        <v>-4.5264051912489398</v>
      </c>
      <c r="AG467">
        <v>-1.0711668645768999</v>
      </c>
      <c r="AH467">
        <v>19.641628082277499</v>
      </c>
      <c r="AI467">
        <v>93.041989346957905</v>
      </c>
      <c r="AJ467">
        <v>102.97722764586101</v>
      </c>
      <c r="AK467">
        <v>20.1848779072266</v>
      </c>
      <c r="AL467">
        <v>80.853568419762794</v>
      </c>
      <c r="AM467">
        <v>91.111344036524002</v>
      </c>
      <c r="AN467">
        <v>1.0000000029129299</v>
      </c>
    </row>
    <row r="468" spans="1:40" x14ac:dyDescent="0.25">
      <c r="A468" t="str">
        <f>"20190303161851305"</f>
        <v>20190303161851305</v>
      </c>
      <c r="B468" t="str">
        <f>"1551601131293248"</f>
        <v>1551601131293248</v>
      </c>
      <c r="C468" t="s">
        <v>40</v>
      </c>
      <c r="D468">
        <v>4.8650640000000003</v>
      </c>
      <c r="E468">
        <v>0.40716799999999997</v>
      </c>
      <c r="F468" t="s">
        <v>41</v>
      </c>
      <c r="G468">
        <v>-389.74130000000002</v>
      </c>
      <c r="H468" s="1">
        <v>-6.9681030000000003E-7</v>
      </c>
      <c r="I468">
        <v>371.88440000000003</v>
      </c>
      <c r="J468">
        <v>-408.60809999999998</v>
      </c>
      <c r="K468">
        <v>1.0711710000000001</v>
      </c>
      <c r="L468">
        <v>366.99009999999998</v>
      </c>
      <c r="M468">
        <v>0.99992910000000002</v>
      </c>
      <c r="N468">
        <v>-1.189198E-2</v>
      </c>
      <c r="O468">
        <v>-6.1992510000000005E-4</v>
      </c>
      <c r="P468">
        <v>0.98890829999999996</v>
      </c>
      <c r="Q468">
        <v>0.14731089999999999</v>
      </c>
      <c r="R468">
        <v>1.8974870000000001E-2</v>
      </c>
      <c r="S468">
        <v>3.0443730000000002</v>
      </c>
      <c r="T468">
        <v>-0.1709069</v>
      </c>
      <c r="U468">
        <v>0.78088380000000002</v>
      </c>
      <c r="V468">
        <v>-1.9581959999999999E-2</v>
      </c>
      <c r="W468">
        <v>0.15906129999999999</v>
      </c>
      <c r="X468">
        <v>0.98707449999999997</v>
      </c>
      <c r="Y468">
        <v>-0.2486082</v>
      </c>
      <c r="Z468">
        <v>8.3920899999999996E-3</v>
      </c>
      <c r="AA468">
        <v>0.96856779999999998</v>
      </c>
      <c r="AB468">
        <v>29</v>
      </c>
      <c r="AC468">
        <v>18.866799999999898</v>
      </c>
      <c r="AD468">
        <v>-1.07117169681029</v>
      </c>
      <c r="AE468">
        <v>4.8943000000000403</v>
      </c>
      <c r="AF468">
        <v>-4.8912233692547096</v>
      </c>
      <c r="AG468">
        <v>-1.07117169681029</v>
      </c>
      <c r="AH468">
        <v>18.806961094546701</v>
      </c>
      <c r="AI468">
        <v>93.155088716307404</v>
      </c>
      <c r="AJ468">
        <v>104.578249665844</v>
      </c>
      <c r="AK468">
        <v>19.462098048868899</v>
      </c>
      <c r="AL468">
        <v>80.847585159381296</v>
      </c>
      <c r="AM468">
        <v>91.136506423941299</v>
      </c>
      <c r="AN468">
        <v>1.00000000943269</v>
      </c>
    </row>
    <row r="469" spans="1:40" x14ac:dyDescent="0.25">
      <c r="A469" t="str">
        <f>"20190303161851318"</f>
        <v>20190303161851318</v>
      </c>
      <c r="B469" t="str">
        <f>"1551601131313744"</f>
        <v>1551601131313744</v>
      </c>
      <c r="C469" t="s">
        <v>40</v>
      </c>
      <c r="D469">
        <v>4.8619669999999999</v>
      </c>
      <c r="E469">
        <v>0.40478819999999999</v>
      </c>
      <c r="F469" t="s">
        <v>41</v>
      </c>
      <c r="G469">
        <v>-389.7441</v>
      </c>
      <c r="H469" s="1">
        <v>-7.1513999999999998E-7</v>
      </c>
      <c r="I469">
        <v>371.95769999999999</v>
      </c>
      <c r="J469">
        <v>-408.43729999999999</v>
      </c>
      <c r="K469">
        <v>1.071172</v>
      </c>
      <c r="L469">
        <v>366.99</v>
      </c>
      <c r="M469">
        <v>0.99992910000000002</v>
      </c>
      <c r="N469">
        <v>-1.189233E-2</v>
      </c>
      <c r="O469">
        <v>-6.1980800000000001E-4</v>
      </c>
      <c r="P469">
        <v>0.98886600000000002</v>
      </c>
      <c r="Q469">
        <v>0.1475902</v>
      </c>
      <c r="R469">
        <v>1.9008770000000001E-2</v>
      </c>
      <c r="S469">
        <v>3.0439759999999998</v>
      </c>
      <c r="T469">
        <v>-0.17284859999999999</v>
      </c>
      <c r="U469">
        <v>0.80160520000000002</v>
      </c>
      <c r="V469">
        <v>-1.9615899999999999E-2</v>
      </c>
      <c r="W469">
        <v>0.1593405</v>
      </c>
      <c r="X469">
        <v>0.98702880000000004</v>
      </c>
      <c r="Y469">
        <v>-0.2547893</v>
      </c>
      <c r="Z469">
        <v>8.6764649999999995E-3</v>
      </c>
      <c r="AA469">
        <v>0.96695770000000003</v>
      </c>
      <c r="AB469">
        <v>29</v>
      </c>
      <c r="AC469">
        <v>18.693199999999901</v>
      </c>
      <c r="AD469">
        <v>-1.0711727151399999</v>
      </c>
      <c r="AE469">
        <v>4.9676999999999696</v>
      </c>
      <c r="AF469">
        <v>-4.9640612302713896</v>
      </c>
      <c r="AG469">
        <v>-1.0711727151399999</v>
      </c>
      <c r="AH469">
        <v>18.6329696510982</v>
      </c>
      <c r="AI469">
        <v>93.1795386490666</v>
      </c>
      <c r="AJ469">
        <v>104.91783539652501</v>
      </c>
      <c r="AK469">
        <v>19.312609168682702</v>
      </c>
      <c r="AL469">
        <v>80.831381573785706</v>
      </c>
      <c r="AM469">
        <v>91.138528428824898</v>
      </c>
      <c r="AN469">
        <v>1.00000001525124</v>
      </c>
    </row>
    <row r="470" spans="1:40" x14ac:dyDescent="0.25">
      <c r="A470" t="str">
        <f>"20190303161851332"</f>
        <v>20190303161851332</v>
      </c>
      <c r="B470" t="str">
        <f>"1551601131323504"</f>
        <v>1551601131323504</v>
      </c>
      <c r="C470" t="s">
        <v>40</v>
      </c>
      <c r="D470">
        <v>4.8685499999999999</v>
      </c>
      <c r="E470">
        <v>0.40414470000000002</v>
      </c>
      <c r="F470" t="s">
        <v>41</v>
      </c>
      <c r="G470">
        <v>-390.11340000000001</v>
      </c>
      <c r="H470" s="1">
        <v>-4.6477189999999999E-6</v>
      </c>
      <c r="I470">
        <v>371.92919999999998</v>
      </c>
      <c r="J470">
        <v>-408.26650000000001</v>
      </c>
      <c r="K470">
        <v>1.0711740000000001</v>
      </c>
      <c r="L470">
        <v>366.98989999999998</v>
      </c>
      <c r="M470">
        <v>0.99992899999999996</v>
      </c>
      <c r="N470">
        <v>-1.1892689999999999E-2</v>
      </c>
      <c r="O470">
        <v>-6.1981030000000004E-4</v>
      </c>
      <c r="P470">
        <v>0.98882440000000005</v>
      </c>
      <c r="Q470">
        <v>0.14782909999999999</v>
      </c>
      <c r="R470">
        <v>1.9307930000000001E-2</v>
      </c>
      <c r="S470">
        <v>3.0445859999999998</v>
      </c>
      <c r="T470">
        <v>-0.1779799</v>
      </c>
      <c r="U470">
        <v>0.82067869999999998</v>
      </c>
      <c r="V470">
        <v>-1.991445E-2</v>
      </c>
      <c r="W470">
        <v>0.1595791</v>
      </c>
      <c r="X470">
        <v>0.98698430000000004</v>
      </c>
      <c r="Y470">
        <v>-0.26035809999999998</v>
      </c>
      <c r="Z470">
        <v>9.0757200000000007E-3</v>
      </c>
      <c r="AA470">
        <v>0.96546949999999998</v>
      </c>
      <c r="AB470">
        <v>29</v>
      </c>
      <c r="AC470">
        <v>18.153099999999899</v>
      </c>
      <c r="AD470">
        <v>-1.071178647719</v>
      </c>
      <c r="AE470">
        <v>4.9393000000000002</v>
      </c>
      <c r="AF470">
        <v>-4.9345538227564303</v>
      </c>
      <c r="AG470">
        <v>-1.071178647719</v>
      </c>
      <c r="AH470">
        <v>18.091383773930801</v>
      </c>
      <c r="AI470">
        <v>93.269330088080594</v>
      </c>
      <c r="AJ470">
        <v>105.25671067934501</v>
      </c>
      <c r="AK470">
        <v>18.7828488781829</v>
      </c>
      <c r="AL470">
        <v>80.817533851011007</v>
      </c>
      <c r="AM470">
        <v>91.155904033308303</v>
      </c>
      <c r="AN470">
        <v>1.0000000414610499</v>
      </c>
    </row>
    <row r="471" spans="1:40" x14ac:dyDescent="0.25">
      <c r="A471" t="str">
        <f>"20190303161851350"</f>
        <v>20190303161851350</v>
      </c>
      <c r="B471" t="str">
        <f>"1551601131343024"</f>
        <v>1551601131343024</v>
      </c>
      <c r="C471" t="s">
        <v>40</v>
      </c>
      <c r="D471">
        <v>4.8686800000000003</v>
      </c>
      <c r="E471">
        <v>0.40331489999999998</v>
      </c>
      <c r="F471" t="s">
        <v>41</v>
      </c>
      <c r="G471">
        <v>-390.17570000000001</v>
      </c>
      <c r="H471" s="1">
        <v>-4.6219970000000001E-6</v>
      </c>
      <c r="I471">
        <v>371.90370000000001</v>
      </c>
      <c r="J471">
        <v>-408.02620000000002</v>
      </c>
      <c r="K471">
        <v>1.071177</v>
      </c>
      <c r="L471">
        <v>366.98970000000003</v>
      </c>
      <c r="M471">
        <v>0.99992919999999996</v>
      </c>
      <c r="N471">
        <v>-1.18932E-2</v>
      </c>
      <c r="O471">
        <v>-6.1981340000000001E-4</v>
      </c>
      <c r="P471">
        <v>0.98873540000000004</v>
      </c>
      <c r="Q471">
        <v>0.14841579999999999</v>
      </c>
      <c r="R471">
        <v>1.9364530000000001E-2</v>
      </c>
      <c r="S471">
        <v>3.0446780000000002</v>
      </c>
      <c r="T471">
        <v>-0.1802782</v>
      </c>
      <c r="U471">
        <v>0.82699579999999995</v>
      </c>
      <c r="V471">
        <v>-1.997088E-2</v>
      </c>
      <c r="W471">
        <v>0.16016520000000001</v>
      </c>
      <c r="X471">
        <v>0.98688819999999999</v>
      </c>
      <c r="Y471">
        <v>-0.26220149999999998</v>
      </c>
      <c r="Z471">
        <v>9.2354810000000002E-3</v>
      </c>
      <c r="AA471">
        <v>0.96496890000000002</v>
      </c>
      <c r="AB471">
        <v>29</v>
      </c>
      <c r="AC471">
        <v>17.8505</v>
      </c>
      <c r="AD471">
        <v>-1.0711816219970001</v>
      </c>
      <c r="AE471">
        <v>4.9139999999999802</v>
      </c>
      <c r="AF471">
        <v>-4.9086329110354603</v>
      </c>
      <c r="AG471">
        <v>-1.0711816219970001</v>
      </c>
      <c r="AH471">
        <v>17.787908263562301</v>
      </c>
      <c r="AI471">
        <v>93.322288106160102</v>
      </c>
      <c r="AJ471">
        <v>105.42702147378699</v>
      </c>
      <c r="AK471">
        <v>18.483825023936799</v>
      </c>
      <c r="AL471">
        <v>80.783515070259199</v>
      </c>
      <c r="AM471">
        <v>91.159291380871906</v>
      </c>
      <c r="AN471">
        <v>1.00000002331912</v>
      </c>
    </row>
    <row r="472" spans="1:40" x14ac:dyDescent="0.25">
      <c r="A472" t="str">
        <f>"20190303161851373"</f>
        <v>20190303161851373</v>
      </c>
      <c r="B472" t="str">
        <f>"1551601131363520"</f>
        <v>1551601131363520</v>
      </c>
      <c r="C472" t="s">
        <v>40</v>
      </c>
      <c r="D472">
        <v>4.8588610000000001</v>
      </c>
      <c r="E472">
        <v>0.40270860000000003</v>
      </c>
      <c r="F472" t="s">
        <v>41</v>
      </c>
      <c r="G472">
        <v>-389.9699</v>
      </c>
      <c r="H472" s="1">
        <v>-4.6980240000000004E-6</v>
      </c>
      <c r="I472">
        <v>371.93759999999997</v>
      </c>
      <c r="J472">
        <v>-407.73970000000003</v>
      </c>
      <c r="K472">
        <v>1.0711710000000001</v>
      </c>
      <c r="L472">
        <v>366.9896</v>
      </c>
      <c r="M472">
        <v>0.99992910000000002</v>
      </c>
      <c r="N472">
        <v>-1.189378E-2</v>
      </c>
      <c r="O472">
        <v>-6.1957829999999996E-4</v>
      </c>
      <c r="P472">
        <v>0.9887167</v>
      </c>
      <c r="Q472">
        <v>0.14855689999999999</v>
      </c>
      <c r="R472">
        <v>1.9241459999999998E-2</v>
      </c>
      <c r="S472">
        <v>3.0449220000000001</v>
      </c>
      <c r="T472">
        <v>-0.1806384</v>
      </c>
      <c r="U472">
        <v>0.83438109999999999</v>
      </c>
      <c r="V472">
        <v>-1.9848069999999999E-2</v>
      </c>
      <c r="W472">
        <v>0.1603068</v>
      </c>
      <c r="X472">
        <v>0.98686770000000001</v>
      </c>
      <c r="Y472">
        <v>-0.26435360000000002</v>
      </c>
      <c r="Z472">
        <v>9.3239829999999992E-3</v>
      </c>
      <c r="AA472">
        <v>0.96438069999999998</v>
      </c>
      <c r="AB472">
        <v>29</v>
      </c>
      <c r="AC472">
        <v>17.7698</v>
      </c>
      <c r="AD472">
        <v>-1.0711756980239999</v>
      </c>
      <c r="AE472">
        <v>4.9479999999999702</v>
      </c>
      <c r="AF472">
        <v>-4.9423425874175404</v>
      </c>
      <c r="AG472">
        <v>-1.0711756980239999</v>
      </c>
      <c r="AH472">
        <v>17.7070174603342</v>
      </c>
      <c r="AI472">
        <v>93.334698502971506</v>
      </c>
      <c r="AJ472">
        <v>105.595360611652</v>
      </c>
      <c r="AK472">
        <v>18.415011131357499</v>
      </c>
      <c r="AL472">
        <v>80.775295908581199</v>
      </c>
      <c r="AM472">
        <v>91.152188227177604</v>
      </c>
      <c r="AN472">
        <v>1.0000000366561199</v>
      </c>
    </row>
    <row r="473" spans="1:40" x14ac:dyDescent="0.25">
      <c r="A473" t="str">
        <f>"20190303161851389"</f>
        <v>20190303161851389</v>
      </c>
      <c r="B473" t="str">
        <f>"1551601131383040"</f>
        <v>1551601131383040</v>
      </c>
      <c r="C473" t="s">
        <v>40</v>
      </c>
      <c r="D473">
        <v>4.8718539999999999</v>
      </c>
      <c r="E473">
        <v>0.40222269999999999</v>
      </c>
      <c r="F473" t="s">
        <v>41</v>
      </c>
      <c r="G473">
        <v>-389.7242</v>
      </c>
      <c r="H473" s="1">
        <v>-7.2131709999999997E-7</v>
      </c>
      <c r="I473">
        <v>371.94889999999998</v>
      </c>
      <c r="J473">
        <v>-407.52629999999999</v>
      </c>
      <c r="K473">
        <v>1.0711729999999999</v>
      </c>
      <c r="L473">
        <v>366.98950000000002</v>
      </c>
      <c r="M473">
        <v>0.99992919999999996</v>
      </c>
      <c r="N473">
        <v>-1.1894200000000001E-2</v>
      </c>
      <c r="O473">
        <v>-6.1958029999999999E-4</v>
      </c>
      <c r="P473">
        <v>0.98873109999999997</v>
      </c>
      <c r="Q473">
        <v>0.1485197</v>
      </c>
      <c r="R473">
        <v>1.879275E-2</v>
      </c>
      <c r="S473">
        <v>3.045166</v>
      </c>
      <c r="T473">
        <v>-0.18106040000000001</v>
      </c>
      <c r="U473">
        <v>0.83828740000000002</v>
      </c>
      <c r="V473">
        <v>-1.939925E-2</v>
      </c>
      <c r="W473">
        <v>0.1602701</v>
      </c>
      <c r="X473">
        <v>0.98688260000000005</v>
      </c>
      <c r="Y473">
        <v>-0.26547979999999999</v>
      </c>
      <c r="Z473">
        <v>9.3801049999999997E-3</v>
      </c>
      <c r="AA473">
        <v>0.96407080000000001</v>
      </c>
      <c r="AB473">
        <v>29</v>
      </c>
      <c r="AC473">
        <v>17.8020999999999</v>
      </c>
      <c r="AD473">
        <v>-1.0711737213171</v>
      </c>
      <c r="AE473">
        <v>4.9593999999999596</v>
      </c>
      <c r="AF473">
        <v>-4.9537858339685901</v>
      </c>
      <c r="AG473">
        <v>-1.0711737213171</v>
      </c>
      <c r="AH473">
        <v>17.7394223724095</v>
      </c>
      <c r="AI473">
        <v>93.328498235131704</v>
      </c>
      <c r="AJ473">
        <v>105.602547144642</v>
      </c>
      <c r="AK473">
        <v>18.4492415382533</v>
      </c>
      <c r="AL473">
        <v>80.777426341534607</v>
      </c>
      <c r="AM473">
        <v>91.126123839592495</v>
      </c>
      <c r="AN473">
        <v>1.00000005101866</v>
      </c>
    </row>
    <row r="474" spans="1:40" x14ac:dyDescent="0.25">
      <c r="A474" t="str">
        <f>"20190303161851409"</f>
        <v>20190303161851409</v>
      </c>
      <c r="B474" t="str">
        <f>"1551601131404512"</f>
        <v>1551601131404512</v>
      </c>
      <c r="C474" t="s">
        <v>40</v>
      </c>
      <c r="D474">
        <v>4.8866440000000004</v>
      </c>
      <c r="E474">
        <v>0.40181090000000003</v>
      </c>
      <c r="F474" t="s">
        <v>41</v>
      </c>
      <c r="G474">
        <v>-389.5301</v>
      </c>
      <c r="H474" s="1">
        <v>-8.0653669999999996E-7</v>
      </c>
      <c r="I474">
        <v>371.95620000000002</v>
      </c>
      <c r="J474">
        <v>-407.2722</v>
      </c>
      <c r="K474">
        <v>1.071175</v>
      </c>
      <c r="L474">
        <v>366.98930000000001</v>
      </c>
      <c r="M474">
        <v>0.99992919999999996</v>
      </c>
      <c r="N474">
        <v>-1.1894699999999999E-2</v>
      </c>
      <c r="O474">
        <v>-6.1958260000000002E-4</v>
      </c>
      <c r="P474">
        <v>0.98869859999999998</v>
      </c>
      <c r="Q474">
        <v>0.14876900000000001</v>
      </c>
      <c r="R474">
        <v>1.852264E-2</v>
      </c>
      <c r="S474">
        <v>3.045471</v>
      </c>
      <c r="T474">
        <v>-0.1812723</v>
      </c>
      <c r="U474">
        <v>0.84051509999999996</v>
      </c>
      <c r="V474">
        <v>-1.9129299999999998E-2</v>
      </c>
      <c r="W474">
        <v>0.1605191</v>
      </c>
      <c r="X474">
        <v>0.98684729999999998</v>
      </c>
      <c r="Y474">
        <v>-0.26610830000000002</v>
      </c>
      <c r="Z474">
        <v>9.4100680000000006E-3</v>
      </c>
      <c r="AA474">
        <v>0.96389720000000001</v>
      </c>
      <c r="AB474">
        <v>29</v>
      </c>
      <c r="AC474">
        <v>17.742099999999901</v>
      </c>
      <c r="AD474">
        <v>-1.0711758065367001</v>
      </c>
      <c r="AE474">
        <v>4.9669000000000096</v>
      </c>
      <c r="AF474">
        <v>-4.9611229131746404</v>
      </c>
      <c r="AG474">
        <v>-1.0711758065367001</v>
      </c>
      <c r="AH474">
        <v>17.6792594737225</v>
      </c>
      <c r="AI474">
        <v>93.338625249952301</v>
      </c>
      <c r="AJ474">
        <v>105.675089201562</v>
      </c>
      <c r="AK474">
        <v>18.393378528898499</v>
      </c>
      <c r="AL474">
        <v>80.762971642125507</v>
      </c>
      <c r="AM474">
        <v>91.110496941816805</v>
      </c>
      <c r="AN474">
        <v>0.99999995255029295</v>
      </c>
    </row>
    <row r="475" spans="1:40" x14ac:dyDescent="0.25">
      <c r="A475" t="str">
        <f>"20190303161851428"</f>
        <v>20190303161851428</v>
      </c>
      <c r="B475" t="str">
        <f>"1551601131423056"</f>
        <v>1551601131423056</v>
      </c>
      <c r="C475" t="s">
        <v>40</v>
      </c>
      <c r="D475">
        <v>4.8825159999999999</v>
      </c>
      <c r="E475">
        <v>0.40146179999999998</v>
      </c>
      <c r="F475" t="s">
        <v>41</v>
      </c>
      <c r="G475">
        <v>-389.43</v>
      </c>
      <c r="H475" s="1">
        <v>-8.4203700000000001E-7</v>
      </c>
      <c r="I475">
        <v>371.9282</v>
      </c>
      <c r="J475">
        <v>-407.0077</v>
      </c>
      <c r="K475">
        <v>1.0711740000000001</v>
      </c>
      <c r="L475">
        <v>366.98910000000001</v>
      </c>
      <c r="M475">
        <v>0.99992910000000002</v>
      </c>
      <c r="N475">
        <v>-1.189526E-2</v>
      </c>
      <c r="O475">
        <v>-6.1946609999999997E-4</v>
      </c>
      <c r="P475">
        <v>0.9886916</v>
      </c>
      <c r="Q475">
        <v>0.14888589999999999</v>
      </c>
      <c r="R475">
        <v>1.7943489999999999E-2</v>
      </c>
      <c r="S475">
        <v>3.0460210000000001</v>
      </c>
      <c r="T475">
        <v>-0.18287039999999999</v>
      </c>
      <c r="U475">
        <v>0.84317019999999998</v>
      </c>
      <c r="V475">
        <v>-1.8549670000000001E-2</v>
      </c>
      <c r="W475">
        <v>0.1606368</v>
      </c>
      <c r="X475">
        <v>0.98683920000000003</v>
      </c>
      <c r="Y475">
        <v>-0.26683430000000002</v>
      </c>
      <c r="Z475">
        <v>9.5025309999999998E-3</v>
      </c>
      <c r="AA475">
        <v>0.96369559999999999</v>
      </c>
      <c r="AB475">
        <v>29</v>
      </c>
      <c r="AC475">
        <v>17.577699999999901</v>
      </c>
      <c r="AD475">
        <v>-1.071174842037</v>
      </c>
      <c r="AE475">
        <v>4.9390999999999901</v>
      </c>
      <c r="AF475">
        <v>-4.9330098551169401</v>
      </c>
      <c r="AG475">
        <v>-1.071174842037</v>
      </c>
      <c r="AH475">
        <v>17.5143547525035</v>
      </c>
      <c r="AI475">
        <v>93.369076328867493</v>
      </c>
      <c r="AJ475">
        <v>105.730152298267</v>
      </c>
      <c r="AK475">
        <v>18.2273043582817</v>
      </c>
      <c r="AL475">
        <v>80.756139141543699</v>
      </c>
      <c r="AM475">
        <v>91.076865059696004</v>
      </c>
      <c r="AN475">
        <v>0.999999939213992</v>
      </c>
    </row>
    <row r="476" spans="1:40" x14ac:dyDescent="0.25">
      <c r="A476" t="str">
        <f>"20190303161851441"</f>
        <v>20190303161851441</v>
      </c>
      <c r="B476" t="str">
        <f>"1551601131433792"</f>
        <v>1551601131433792</v>
      </c>
      <c r="C476" t="s">
        <v>40</v>
      </c>
      <c r="D476">
        <v>4.8904690000000004</v>
      </c>
      <c r="E476">
        <v>0.40133079999999999</v>
      </c>
      <c r="F476" t="s">
        <v>41</v>
      </c>
      <c r="G476">
        <v>-389.14729999999997</v>
      </c>
      <c r="H476" s="1">
        <v>-9.6593360000000006E-7</v>
      </c>
      <c r="I476">
        <v>371.93810000000002</v>
      </c>
      <c r="J476">
        <v>-406.83519999999999</v>
      </c>
      <c r="K476">
        <v>1.0711729999999999</v>
      </c>
      <c r="L476">
        <v>366.98899999999998</v>
      </c>
      <c r="M476">
        <v>0.99992910000000002</v>
      </c>
      <c r="N476">
        <v>-1.1895630000000001E-2</v>
      </c>
      <c r="O476">
        <v>-6.1922949999999996E-4</v>
      </c>
      <c r="P476">
        <v>0.9887205</v>
      </c>
      <c r="Q476">
        <v>0.1487202</v>
      </c>
      <c r="R476">
        <v>1.7729459999999999E-2</v>
      </c>
      <c r="S476">
        <v>3.0465089999999999</v>
      </c>
      <c r="T476">
        <v>-0.18271399999999999</v>
      </c>
      <c r="U476">
        <v>0.84417719999999896</v>
      </c>
      <c r="V476">
        <v>-1.8336060000000001E-2</v>
      </c>
      <c r="W476">
        <v>0.16047210000000001</v>
      </c>
      <c r="X476">
        <v>0.98687009999999997</v>
      </c>
      <c r="Y476">
        <v>-0.26709070000000001</v>
      </c>
      <c r="Z476">
        <v>9.5034249999999994E-3</v>
      </c>
      <c r="AA476">
        <v>0.96362449999999999</v>
      </c>
      <c r="AB476">
        <v>29</v>
      </c>
      <c r="AC476">
        <v>17.687899999999999</v>
      </c>
      <c r="AD476">
        <v>-1.0711739659335999</v>
      </c>
      <c r="AE476">
        <v>4.9490999999999801</v>
      </c>
      <c r="AF476">
        <v>-4.9432397408365301</v>
      </c>
      <c r="AG476">
        <v>-1.0711739659335999</v>
      </c>
      <c r="AH476">
        <v>17.6248859752335</v>
      </c>
      <c r="AI476">
        <v>93.349025323328405</v>
      </c>
      <c r="AJ476">
        <v>105.667178426006</v>
      </c>
      <c r="AK476">
        <v>18.336292930706101</v>
      </c>
      <c r="AL476">
        <v>80.765700820575901</v>
      </c>
      <c r="AM476">
        <v>91.064433893989403</v>
      </c>
      <c r="AN476">
        <v>1.00000005012437</v>
      </c>
    </row>
    <row r="477" spans="1:40" x14ac:dyDescent="0.25">
      <c r="A477" t="str">
        <f>"20190303161851454"</f>
        <v>20190303161851454</v>
      </c>
      <c r="B477" t="str">
        <f>"1551601131443552"</f>
        <v>1551601131443552</v>
      </c>
      <c r="C477" t="s">
        <v>40</v>
      </c>
      <c r="D477">
        <v>4.903975</v>
      </c>
      <c r="E477">
        <v>0.40117930000000002</v>
      </c>
      <c r="F477" t="s">
        <v>41</v>
      </c>
      <c r="G477">
        <v>-389.1422</v>
      </c>
      <c r="H477" s="1">
        <v>-9.5627840000000006E-7</v>
      </c>
      <c r="I477">
        <v>371.89370000000002</v>
      </c>
      <c r="J477">
        <v>-406.67610000000002</v>
      </c>
      <c r="K477">
        <v>1.071175</v>
      </c>
      <c r="L477">
        <v>366.98899999999998</v>
      </c>
      <c r="M477">
        <v>0.99992910000000002</v>
      </c>
      <c r="N477">
        <v>-1.1895950000000001E-2</v>
      </c>
      <c r="O477">
        <v>-6.1923109999999996E-4</v>
      </c>
      <c r="P477">
        <v>0.98872380000000004</v>
      </c>
      <c r="Q477">
        <v>0.14871619999999999</v>
      </c>
      <c r="R477">
        <v>1.7578759999999999E-2</v>
      </c>
      <c r="S477">
        <v>3.0468139999999999</v>
      </c>
      <c r="T477">
        <v>-0.18446080000000001</v>
      </c>
      <c r="U477">
        <v>0.84460449999999998</v>
      </c>
      <c r="V477">
        <v>-1.818502E-2</v>
      </c>
      <c r="W477">
        <v>0.16046830000000001</v>
      </c>
      <c r="X477">
        <v>0.98687340000000001</v>
      </c>
      <c r="Y477">
        <v>-0.26718180000000002</v>
      </c>
      <c r="Z477">
        <v>9.5811730000000001E-3</v>
      </c>
      <c r="AA477">
        <v>0.96359850000000002</v>
      </c>
      <c r="AB477">
        <v>29</v>
      </c>
      <c r="AC477">
        <v>17.533899999999999</v>
      </c>
      <c r="AD477">
        <v>-1.0711759562784</v>
      </c>
      <c r="AE477">
        <v>4.9046999999999903</v>
      </c>
      <c r="AF477">
        <v>-4.89860155790491</v>
      </c>
      <c r="AG477">
        <v>-1.0711759562784</v>
      </c>
      <c r="AH477">
        <v>17.4703880418664</v>
      </c>
      <c r="AI477">
        <v>93.378645632979101</v>
      </c>
      <c r="AJ477">
        <v>105.663206784617</v>
      </c>
      <c r="AK477">
        <v>18.175757851759698</v>
      </c>
      <c r="AL477">
        <v>80.765920367480305</v>
      </c>
      <c r="AM477">
        <v>91.0556642742538</v>
      </c>
      <c r="AN477">
        <v>0.99999993894242301</v>
      </c>
    </row>
    <row r="478" spans="1:40" x14ac:dyDescent="0.25">
      <c r="A478" t="str">
        <f>"20190303161851466"</f>
        <v>20190303161851466</v>
      </c>
      <c r="B478" t="str">
        <f>"1551601131463072"</f>
        <v>1551601131463072</v>
      </c>
      <c r="C478" t="s">
        <v>40</v>
      </c>
      <c r="D478">
        <v>4.9045639999999997</v>
      </c>
      <c r="E478">
        <v>0.40095799999999998</v>
      </c>
      <c r="F478" t="s">
        <v>41</v>
      </c>
      <c r="G478">
        <v>-389.05180000000001</v>
      </c>
      <c r="H478" s="1">
        <v>-9.9133589999999993E-7</v>
      </c>
      <c r="I478">
        <v>371.87950000000001</v>
      </c>
      <c r="J478">
        <v>-406.51400000000001</v>
      </c>
      <c r="K478">
        <v>1.0711759999999999</v>
      </c>
      <c r="L478">
        <v>366.98880000000003</v>
      </c>
      <c r="M478">
        <v>0.99992910000000002</v>
      </c>
      <c r="N478">
        <v>-1.189628E-2</v>
      </c>
      <c r="O478">
        <v>-6.192328E-4</v>
      </c>
      <c r="P478">
        <v>0.98870159999999996</v>
      </c>
      <c r="Q478">
        <v>0.14891499999999999</v>
      </c>
      <c r="R478">
        <v>1.7132270000000002E-2</v>
      </c>
      <c r="S478">
        <v>3.0470280000000001</v>
      </c>
      <c r="T478">
        <v>-0.1851923</v>
      </c>
      <c r="U478">
        <v>0.84552000000000005</v>
      </c>
      <c r="V478">
        <v>-1.7738799999999999E-2</v>
      </c>
      <c r="W478">
        <v>0.160666899999999</v>
      </c>
      <c r="X478">
        <v>0.98684919999999998</v>
      </c>
      <c r="Y478">
        <v>-0.26742890000000002</v>
      </c>
      <c r="Z478">
        <v>9.6208419999999992E-3</v>
      </c>
      <c r="AA478">
        <v>0.96352959999999999</v>
      </c>
      <c r="AB478">
        <v>29</v>
      </c>
      <c r="AC478">
        <v>17.4621999999999</v>
      </c>
      <c r="AD478">
        <v>-1.0711769913358999</v>
      </c>
      <c r="AE478">
        <v>4.8906999999999803</v>
      </c>
      <c r="AF478">
        <v>-4.8844700136542301</v>
      </c>
      <c r="AG478">
        <v>-1.0711769913358999</v>
      </c>
      <c r="AH478">
        <v>17.398460934343699</v>
      </c>
      <c r="AI478">
        <v>93.392278612143699</v>
      </c>
      <c r="AJ478">
        <v>105.68163500854099</v>
      </c>
      <c r="AK478">
        <v>18.102814984000101</v>
      </c>
      <c r="AL478">
        <v>80.754391763277894</v>
      </c>
      <c r="AM478">
        <v>91.029791512769506</v>
      </c>
      <c r="AN478">
        <v>0.99999993066084203</v>
      </c>
    </row>
    <row r="479" spans="1:40" x14ac:dyDescent="0.25">
      <c r="A479" t="str">
        <f>"20190303161851484"</f>
        <v>20190303161851484</v>
      </c>
      <c r="B479" t="str">
        <f>"1551601131473811"</f>
        <v>1551601131473811</v>
      </c>
      <c r="C479" t="s">
        <v>40</v>
      </c>
      <c r="D479">
        <v>4.9340719999999996</v>
      </c>
      <c r="E479">
        <v>0.40084110000000001</v>
      </c>
      <c r="F479" t="s">
        <v>41</v>
      </c>
      <c r="G479">
        <v>-388.90159999999997</v>
      </c>
      <c r="H479" s="1">
        <v>-1.0554789999999999E-6</v>
      </c>
      <c r="I479">
        <v>371.8784</v>
      </c>
      <c r="J479">
        <v>-406.28059999999999</v>
      </c>
      <c r="K479">
        <v>1.0711790000000001</v>
      </c>
      <c r="L479">
        <v>366.98869999999999</v>
      </c>
      <c r="M479">
        <v>0.99992910000000002</v>
      </c>
      <c r="N479">
        <v>-1.1896749999999999E-2</v>
      </c>
      <c r="O479">
        <v>-6.1911589999999895E-4</v>
      </c>
      <c r="P479">
        <v>0.98864050000000003</v>
      </c>
      <c r="Q479">
        <v>0.1493592</v>
      </c>
      <c r="R479">
        <v>1.679052E-2</v>
      </c>
      <c r="S479">
        <v>3.0475159999999999</v>
      </c>
      <c r="T479">
        <v>-0.18534780000000001</v>
      </c>
      <c r="U479">
        <v>0.84606930000000002</v>
      </c>
      <c r="V479">
        <v>-1.7396829999999999E-2</v>
      </c>
      <c r="W479">
        <v>0.1611107</v>
      </c>
      <c r="X479">
        <v>0.98678299999999997</v>
      </c>
      <c r="Y479">
        <v>-0.26754939999999999</v>
      </c>
      <c r="Z479">
        <v>9.6305369999999998E-3</v>
      </c>
      <c r="AA479">
        <v>0.96349600000000002</v>
      </c>
      <c r="AB479">
        <v>29</v>
      </c>
      <c r="AC479">
        <v>17.379000000000001</v>
      </c>
      <c r="AD479">
        <v>-1.0711800554790001</v>
      </c>
      <c r="AE479">
        <v>4.8897000000000004</v>
      </c>
      <c r="AF479">
        <v>-4.88326850420846</v>
      </c>
      <c r="AG479">
        <v>-1.0711800554790001</v>
      </c>
      <c r="AH479">
        <v>17.315013828115301</v>
      </c>
      <c r="AI479">
        <v>93.407460536114101</v>
      </c>
      <c r="AJ479">
        <v>105.749784071118</v>
      </c>
      <c r="AK479">
        <v>18.022304010954699</v>
      </c>
      <c r="AL479">
        <v>80.728628893167695</v>
      </c>
      <c r="AM479">
        <v>91.010011001942502</v>
      </c>
      <c r="AN479">
        <v>0.99999999821876895</v>
      </c>
    </row>
    <row r="480" spans="1:40" x14ac:dyDescent="0.25">
      <c r="A480" t="str">
        <f>"20190303161851498"</f>
        <v>20190303161851498</v>
      </c>
      <c r="B480" t="str">
        <f>"1551601131493328"</f>
        <v>1551601131493328</v>
      </c>
      <c r="C480" t="s">
        <v>40</v>
      </c>
      <c r="D480">
        <v>5.0273640000000004</v>
      </c>
      <c r="E480">
        <v>0.40092820000000001</v>
      </c>
      <c r="F480" t="s">
        <v>41</v>
      </c>
      <c r="G480">
        <v>-388.55790000000002</v>
      </c>
      <c r="H480" s="1">
        <v>-1.210866E-6</v>
      </c>
      <c r="I480">
        <v>371.9083</v>
      </c>
      <c r="J480">
        <v>-406.11430000000001</v>
      </c>
      <c r="K480">
        <v>1.07118</v>
      </c>
      <c r="L480">
        <v>366.98860000000002</v>
      </c>
      <c r="M480">
        <v>0.99992910000000002</v>
      </c>
      <c r="N480">
        <v>-1.1897090000000001E-2</v>
      </c>
      <c r="O480">
        <v>-6.1911780000000003E-4</v>
      </c>
      <c r="P480">
        <v>0.98864350000000001</v>
      </c>
      <c r="Q480">
        <v>0.149367</v>
      </c>
      <c r="R480">
        <v>1.6541940000000002E-2</v>
      </c>
      <c r="S480">
        <v>3.0479129999999999</v>
      </c>
      <c r="T480">
        <v>-0.18421879999999999</v>
      </c>
      <c r="U480">
        <v>0.84606930000000002</v>
      </c>
      <c r="V480">
        <v>-1.714837E-2</v>
      </c>
      <c r="W480">
        <v>0.16111919999999999</v>
      </c>
      <c r="X480">
        <v>0.98678589999999999</v>
      </c>
      <c r="Y480">
        <v>-0.26752340000000002</v>
      </c>
      <c r="Z480">
        <v>9.5798930000000008E-3</v>
      </c>
      <c r="AA480">
        <v>0.96350369999999996</v>
      </c>
      <c r="AB480">
        <v>29</v>
      </c>
      <c r="AC480">
        <v>17.556399999999901</v>
      </c>
      <c r="AD480">
        <v>-1.0711812108659999</v>
      </c>
      <c r="AE480">
        <v>4.9196999999999704</v>
      </c>
      <c r="AF480">
        <v>-4.9136093195616297</v>
      </c>
      <c r="AG480">
        <v>-1.0711812108659999</v>
      </c>
      <c r="AH480">
        <v>17.492971194336501</v>
      </c>
      <c r="AI480">
        <v>93.373876127665397</v>
      </c>
      <c r="AJ480">
        <v>105.689547773812</v>
      </c>
      <c r="AK480">
        <v>18.201511666278702</v>
      </c>
      <c r="AL480">
        <v>80.728134867350093</v>
      </c>
      <c r="AM480">
        <v>90.995586112576603</v>
      </c>
      <c r="AN480">
        <v>0.99999993782055097</v>
      </c>
    </row>
    <row r="481" spans="1:40" x14ac:dyDescent="0.25">
      <c r="A481" t="str">
        <f>"20190303161851510"</f>
        <v>20190303161851510</v>
      </c>
      <c r="B481" t="str">
        <f>"1551601131504066"</f>
        <v>1551601131504066</v>
      </c>
      <c r="C481" t="s">
        <v>40</v>
      </c>
      <c r="D481">
        <v>5.0463009999999997</v>
      </c>
      <c r="E481">
        <v>0.43007410000000001</v>
      </c>
      <c r="F481" t="s">
        <v>41</v>
      </c>
      <c r="G481">
        <v>-388.29750000000001</v>
      </c>
      <c r="H481" s="1">
        <v>-1.32727E-6</v>
      </c>
      <c r="I481">
        <v>371.92610000000002</v>
      </c>
      <c r="J481">
        <v>-405.9427</v>
      </c>
      <c r="K481">
        <v>1.0711839999999999</v>
      </c>
      <c r="L481">
        <v>366.98849999999999</v>
      </c>
      <c r="M481">
        <v>0.99992910000000002</v>
      </c>
      <c r="N481">
        <v>-1.1897430000000001E-2</v>
      </c>
      <c r="O481">
        <v>-6.1911949999999996E-4</v>
      </c>
      <c r="P481">
        <v>0.98862329999999998</v>
      </c>
      <c r="Q481">
        <v>0.14951819999999999</v>
      </c>
      <c r="R481">
        <v>1.6396239999999999E-2</v>
      </c>
      <c r="S481">
        <v>3.048035</v>
      </c>
      <c r="T481">
        <v>-0.18325379999999999</v>
      </c>
      <c r="U481">
        <v>0.844695999999999</v>
      </c>
      <c r="V481">
        <v>-1.7002550000000002E-2</v>
      </c>
      <c r="W481">
        <v>0.1612702</v>
      </c>
      <c r="X481">
        <v>0.98676379999999997</v>
      </c>
      <c r="Y481">
        <v>-0.26711639999999998</v>
      </c>
      <c r="Z481">
        <v>9.5238709999999997E-3</v>
      </c>
      <c r="AA481">
        <v>0.96361719999999895</v>
      </c>
      <c r="AB481">
        <v>29</v>
      </c>
      <c r="AC481">
        <v>17.6451999999999</v>
      </c>
      <c r="AD481">
        <v>-1.0711853272699901</v>
      </c>
      <c r="AE481">
        <v>4.93760000000003</v>
      </c>
      <c r="AF481">
        <v>-4.9316692972057501</v>
      </c>
      <c r="AG481">
        <v>-1.0711853272699901</v>
      </c>
      <c r="AH481">
        <v>17.5820490893482</v>
      </c>
      <c r="AI481">
        <v>93.357179777184399</v>
      </c>
      <c r="AJ481">
        <v>105.66851975784699</v>
      </c>
      <c r="AK481">
        <v>18.291999623950598</v>
      </c>
      <c r="AL481">
        <v>80.719368963932595</v>
      </c>
      <c r="AM481">
        <v>90.987143999635194</v>
      </c>
      <c r="AN481">
        <v>0.99999998055249095</v>
      </c>
    </row>
    <row r="482" spans="1:40" x14ac:dyDescent="0.25">
      <c r="A482" t="str">
        <f>"20190303161851523"</f>
        <v>20190303161851523</v>
      </c>
      <c r="B482" t="str">
        <f>"1551601131513825"</f>
        <v>1551601131513825</v>
      </c>
      <c r="C482" t="s">
        <v>40</v>
      </c>
      <c r="D482">
        <v>5.0232530000000004</v>
      </c>
      <c r="E482">
        <v>0.43848140000000002</v>
      </c>
      <c r="F482" t="s">
        <v>41</v>
      </c>
      <c r="G482">
        <v>-379.79070000000002</v>
      </c>
      <c r="H482" s="1">
        <v>-7.7090310000000002E-7</v>
      </c>
      <c r="I482">
        <v>372.24250000000001</v>
      </c>
      <c r="J482">
        <v>-405.76929999999999</v>
      </c>
      <c r="K482">
        <v>1.0711850000000001</v>
      </c>
      <c r="L482">
        <v>366.98840000000001</v>
      </c>
      <c r="M482">
        <v>0.99992910000000002</v>
      </c>
      <c r="N482">
        <v>-1.189775E-2</v>
      </c>
      <c r="O482">
        <v>-6.1900200000000001E-4</v>
      </c>
      <c r="P482">
        <v>0.98861489999999996</v>
      </c>
      <c r="Q482">
        <v>0.14957889999999999</v>
      </c>
      <c r="R482">
        <v>1.63476E-2</v>
      </c>
      <c r="S482">
        <v>3.043304</v>
      </c>
      <c r="T482">
        <v>-0.1246535</v>
      </c>
      <c r="U482">
        <v>0.61141969999999901</v>
      </c>
      <c r="V482">
        <v>-1.6953909999999999E-2</v>
      </c>
      <c r="W482">
        <v>0.16133140000000001</v>
      </c>
      <c r="X482">
        <v>0.98675469999999998</v>
      </c>
      <c r="Y482">
        <v>-0.1973704</v>
      </c>
      <c r="Z482">
        <v>5.2047320000000001E-3</v>
      </c>
      <c r="AA482">
        <v>0.98031509999999999</v>
      </c>
      <c r="AB482">
        <v>29</v>
      </c>
      <c r="AC482">
        <v>25.978599999999901</v>
      </c>
      <c r="AD482">
        <v>-1.0711857709030901</v>
      </c>
      <c r="AE482">
        <v>5.2540999999999896</v>
      </c>
      <c r="AF482">
        <v>-5.2615867608835902</v>
      </c>
      <c r="AG482">
        <v>-1.0711857709030901</v>
      </c>
      <c r="AH482">
        <v>25.932984055257499</v>
      </c>
      <c r="AI482">
        <v>92.3181315947607</v>
      </c>
      <c r="AJ482">
        <v>101.469152358446</v>
      </c>
      <c r="AK482">
        <v>26.483039784139802</v>
      </c>
      <c r="AL482">
        <v>80.715816557076295</v>
      </c>
      <c r="AM482">
        <v>90.984329662220006</v>
      </c>
      <c r="AN482">
        <v>1.0000000468311601</v>
      </c>
    </row>
    <row r="483" spans="1:40" x14ac:dyDescent="0.25">
      <c r="A483" t="str">
        <f>"20190303161851541"</f>
        <v>20190303161851541</v>
      </c>
      <c r="B483" t="str">
        <f>"1551601131533344"</f>
        <v>1551601131533344</v>
      </c>
      <c r="C483" t="s">
        <v>40</v>
      </c>
      <c r="D483">
        <v>5.0514799999999997</v>
      </c>
      <c r="E483">
        <v>0.45231300000000002</v>
      </c>
      <c r="F483" t="s">
        <v>41</v>
      </c>
      <c r="G483">
        <v>-381.56830000000002</v>
      </c>
      <c r="H483" s="1">
        <v>-4.0438019999999998E-6</v>
      </c>
      <c r="I483">
        <v>371.31569999999999</v>
      </c>
      <c r="J483">
        <v>-405.54649999999998</v>
      </c>
      <c r="K483">
        <v>1.0711759999999999</v>
      </c>
      <c r="L483">
        <v>366.98829999999998</v>
      </c>
      <c r="M483">
        <v>0.99992899999999996</v>
      </c>
      <c r="N483">
        <v>-1.189817E-2</v>
      </c>
      <c r="O483">
        <v>-6.1864669999999995E-4</v>
      </c>
      <c r="P483">
        <v>0.98851730000000004</v>
      </c>
      <c r="Q483">
        <v>0.1502541</v>
      </c>
      <c r="R483">
        <v>1.603858E-2</v>
      </c>
      <c r="S483">
        <v>3.0459900000000002</v>
      </c>
      <c r="T483">
        <v>-0.13482189999999999</v>
      </c>
      <c r="U483">
        <v>0.5446472</v>
      </c>
      <c r="V483">
        <v>-1.6643850000000002E-2</v>
      </c>
      <c r="W483">
        <v>0.1620057</v>
      </c>
      <c r="X483">
        <v>0.98664949999999996</v>
      </c>
      <c r="Y483">
        <v>-0.17641129999999999</v>
      </c>
      <c r="Z483">
        <v>4.9498700000000003E-3</v>
      </c>
      <c r="AA483">
        <v>0.98430410000000002</v>
      </c>
      <c r="AB483">
        <v>29</v>
      </c>
      <c r="AC483">
        <v>23.978199999999902</v>
      </c>
      <c r="AD483">
        <v>-1.071180043802</v>
      </c>
      <c r="AE483">
        <v>4.3274000000000097</v>
      </c>
      <c r="AF483">
        <v>-4.3338580597832603</v>
      </c>
      <c r="AG483">
        <v>-1.071180043802</v>
      </c>
      <c r="AH483">
        <v>23.929269166755901</v>
      </c>
      <c r="AI483">
        <v>92.522125266699504</v>
      </c>
      <c r="AJ483">
        <v>100.265629369934</v>
      </c>
      <c r="AK483">
        <v>24.342137852367099</v>
      </c>
      <c r="AL483">
        <v>80.6766670379441</v>
      </c>
      <c r="AM483">
        <v>90.966434300506904</v>
      </c>
      <c r="AN483">
        <v>1.0000000502127799</v>
      </c>
    </row>
    <row r="484" spans="1:40" x14ac:dyDescent="0.25">
      <c r="A484" t="str">
        <f>"20190303161851553"</f>
        <v>20190303161851553</v>
      </c>
      <c r="B484" t="str">
        <f>"1551601131543105"</f>
        <v>1551601131543105</v>
      </c>
      <c r="C484" t="s">
        <v>40</v>
      </c>
      <c r="D484">
        <v>5.0471589999999997</v>
      </c>
      <c r="E484">
        <v>0.45601570000000002</v>
      </c>
      <c r="F484" t="s">
        <v>41</v>
      </c>
      <c r="G484">
        <v>-376.82830000000001</v>
      </c>
      <c r="H484" s="1">
        <v>-1.731128E-6</v>
      </c>
      <c r="I484">
        <v>371.07510000000002</v>
      </c>
      <c r="J484">
        <v>-405.38159999999999</v>
      </c>
      <c r="K484">
        <v>1.0711759999999999</v>
      </c>
      <c r="L484">
        <v>366.98820000000001</v>
      </c>
      <c r="M484">
        <v>0.99992910000000002</v>
      </c>
      <c r="N484">
        <v>-1.1898489999999999E-2</v>
      </c>
      <c r="O484">
        <v>-6.1876770000000002E-4</v>
      </c>
      <c r="P484">
        <v>0.98850490000000002</v>
      </c>
      <c r="Q484">
        <v>0.15035290000000001</v>
      </c>
      <c r="R484">
        <v>1.5883419999999999E-2</v>
      </c>
      <c r="S484">
        <v>3.0450740000000001</v>
      </c>
      <c r="T484">
        <v>-0.11358</v>
      </c>
      <c r="U484">
        <v>0.4333496</v>
      </c>
      <c r="V484">
        <v>-1.648927E-2</v>
      </c>
      <c r="W484">
        <v>0.16210459999999999</v>
      </c>
      <c r="X484">
        <v>0.98663579999999995</v>
      </c>
      <c r="Y484">
        <v>-0.1413769</v>
      </c>
      <c r="Z484">
        <v>3.48388E-3</v>
      </c>
      <c r="AA484">
        <v>0.98994970000000004</v>
      </c>
      <c r="AB484">
        <v>29</v>
      </c>
      <c r="AC484">
        <v>28.553299999999901</v>
      </c>
      <c r="AD484">
        <v>-1.071177731128</v>
      </c>
      <c r="AE484">
        <v>4.0869000000000097</v>
      </c>
      <c r="AF484">
        <v>-4.0989154176389802</v>
      </c>
      <c r="AG484">
        <v>-1.071177731128</v>
      </c>
      <c r="AH484">
        <v>28.5114447201248</v>
      </c>
      <c r="AI484">
        <v>92.129720465210895</v>
      </c>
      <c r="AJ484">
        <v>98.181008061774705</v>
      </c>
      <c r="AK484">
        <v>28.8244862809618</v>
      </c>
      <c r="AL484">
        <v>80.670924103773501</v>
      </c>
      <c r="AM484">
        <v>90.957473498966706</v>
      </c>
      <c r="AN484">
        <v>0.99999999960396602</v>
      </c>
    </row>
    <row r="485" spans="1:40" x14ac:dyDescent="0.25">
      <c r="A485" t="str">
        <f>"20190303161851566"</f>
        <v>20190303161851566</v>
      </c>
      <c r="B485" t="str">
        <f>"1551601131553840"</f>
        <v>1551601131553840</v>
      </c>
      <c r="C485" t="s">
        <v>40</v>
      </c>
      <c r="D485">
        <v>4.9371790000000004</v>
      </c>
      <c r="E485">
        <v>0.45877980000000002</v>
      </c>
      <c r="F485" t="s">
        <v>41</v>
      </c>
      <c r="G485">
        <v>-372.69490000000002</v>
      </c>
      <c r="H485" s="1">
        <v>-3.5677289999999999E-6</v>
      </c>
      <c r="I485">
        <v>371.31330000000003</v>
      </c>
      <c r="J485">
        <v>-405.21420000000001</v>
      </c>
      <c r="K485">
        <v>1.071178</v>
      </c>
      <c r="L485">
        <v>366.98809999999997</v>
      </c>
      <c r="M485">
        <v>0.99992910000000002</v>
      </c>
      <c r="N485">
        <v>-1.1898830000000001E-2</v>
      </c>
      <c r="O485">
        <v>-6.1876960000000001E-4</v>
      </c>
      <c r="P485">
        <v>0.98845470000000002</v>
      </c>
      <c r="Q485">
        <v>0.15069869999999999</v>
      </c>
      <c r="R485">
        <v>1.5739400000000001E-2</v>
      </c>
      <c r="S485">
        <v>3.0436100000000001</v>
      </c>
      <c r="T485">
        <v>-9.9742289999999997E-2</v>
      </c>
      <c r="U485">
        <v>0.4027405</v>
      </c>
      <c r="V485">
        <v>-1.63453E-2</v>
      </c>
      <c r="W485">
        <v>0.16244990000000001</v>
      </c>
      <c r="X485">
        <v>0.98658140000000005</v>
      </c>
      <c r="Y485">
        <v>-0.13169800000000001</v>
      </c>
      <c r="Z485">
        <v>2.9481009999999998E-3</v>
      </c>
      <c r="AA485">
        <v>0.99128550000000004</v>
      </c>
      <c r="AB485">
        <v>29</v>
      </c>
      <c r="AC485">
        <v>32.519299999999902</v>
      </c>
      <c r="AD485">
        <v>-1.071181567729</v>
      </c>
      <c r="AE485">
        <v>4.3252000000000503</v>
      </c>
      <c r="AF485">
        <v>-4.3406946114495701</v>
      </c>
      <c r="AG485">
        <v>-1.071181567729</v>
      </c>
      <c r="AH485">
        <v>32.481985819668203</v>
      </c>
      <c r="AI485">
        <v>91.872168557384995</v>
      </c>
      <c r="AJ485">
        <v>97.611563385079094</v>
      </c>
      <c r="AK485">
        <v>32.788236647463002</v>
      </c>
      <c r="AL485">
        <v>80.650874105146997</v>
      </c>
      <c r="AM485">
        <v>90.949167531565195</v>
      </c>
      <c r="AN485">
        <v>0.99999999883403001</v>
      </c>
    </row>
    <row r="486" spans="1:40" x14ac:dyDescent="0.25">
      <c r="A486" t="str">
        <f>"20190303161851579"</f>
        <v>20190303161851579</v>
      </c>
      <c r="B486" t="str">
        <f>"1551601131574337"</f>
        <v>1551601131574337</v>
      </c>
      <c r="C486" t="s">
        <v>40</v>
      </c>
      <c r="D486">
        <v>4.9261650000000001</v>
      </c>
      <c r="E486">
        <v>0.46222760000000002</v>
      </c>
      <c r="F486" t="s">
        <v>41</v>
      </c>
      <c r="G486">
        <v>-369.04329999999999</v>
      </c>
      <c r="H486" s="1">
        <v>-8.953971E-7</v>
      </c>
      <c r="I486">
        <v>371.50540000000001</v>
      </c>
      <c r="J486">
        <v>-405.04149999999998</v>
      </c>
      <c r="K486">
        <v>1.0711839999999999</v>
      </c>
      <c r="L486">
        <v>366.98790000000002</v>
      </c>
      <c r="M486">
        <v>0.99992910000000002</v>
      </c>
      <c r="N486">
        <v>-1.189921E-2</v>
      </c>
      <c r="O486">
        <v>-6.1865239999999897E-4</v>
      </c>
      <c r="P486">
        <v>0.98839370000000004</v>
      </c>
      <c r="Q486">
        <v>0.15113550000000001</v>
      </c>
      <c r="R486">
        <v>1.5359599999999999E-2</v>
      </c>
      <c r="S486">
        <v>3.0427249999999999</v>
      </c>
      <c r="T486">
        <v>-9.0108160000000007E-2</v>
      </c>
      <c r="U486">
        <v>0.38000489999999998</v>
      </c>
      <c r="V486">
        <v>-1.596496E-2</v>
      </c>
      <c r="W486">
        <v>0.16288649999999999</v>
      </c>
      <c r="X486">
        <v>0.98651560000000005</v>
      </c>
      <c r="Y486">
        <v>-0.1244651</v>
      </c>
      <c r="Z486">
        <v>2.589994E-3</v>
      </c>
      <c r="AA486">
        <v>0.99222060000000001</v>
      </c>
      <c r="AB486">
        <v>29</v>
      </c>
      <c r="AC486">
        <v>35.998199999999997</v>
      </c>
      <c r="AD486">
        <v>-1.0711848953970999</v>
      </c>
      <c r="AE486">
        <v>4.5174999999999796</v>
      </c>
      <c r="AF486">
        <v>-4.53581708252071</v>
      </c>
      <c r="AG486">
        <v>-1.0711848953970999</v>
      </c>
      <c r="AH486">
        <v>35.964047269461801</v>
      </c>
      <c r="AI486">
        <v>91.692642653659107</v>
      </c>
      <c r="AJ486">
        <v>97.188240943018798</v>
      </c>
      <c r="AK486">
        <v>36.264773123325803</v>
      </c>
      <c r="AL486">
        <v>80.625520723145797</v>
      </c>
      <c r="AM486">
        <v>90.927147007697698</v>
      </c>
      <c r="AN486">
        <v>0.99999996043670503</v>
      </c>
    </row>
    <row r="487" spans="1:40" x14ac:dyDescent="0.25">
      <c r="A487" t="str">
        <f>"20190303161851597"</f>
        <v>20190303161851597</v>
      </c>
      <c r="B487" t="str">
        <f>"1551601131583120"</f>
        <v>1551601131583120</v>
      </c>
      <c r="C487" t="s">
        <v>40</v>
      </c>
      <c r="D487">
        <v>4.7801499999999999</v>
      </c>
      <c r="E487">
        <v>0.46342119999999998</v>
      </c>
      <c r="F487" t="s">
        <v>41</v>
      </c>
      <c r="G487">
        <v>-362.40600000000001</v>
      </c>
      <c r="H487" s="1">
        <v>-3.8511549999999999E-6</v>
      </c>
      <c r="I487">
        <v>371.9128</v>
      </c>
      <c r="J487">
        <v>-404.81189999999998</v>
      </c>
      <c r="K487">
        <v>1.0711919999999999</v>
      </c>
      <c r="L487">
        <v>366.98779999999999</v>
      </c>
      <c r="M487">
        <v>0.99992910000000002</v>
      </c>
      <c r="N487">
        <v>-1.1899689999999999E-2</v>
      </c>
      <c r="O487">
        <v>-6.1865489999999895E-4</v>
      </c>
      <c r="P487">
        <v>0.98818430000000002</v>
      </c>
      <c r="Q487">
        <v>0.1525146</v>
      </c>
      <c r="R487">
        <v>1.5209820000000001E-2</v>
      </c>
      <c r="S487">
        <v>3.0414119999999998</v>
      </c>
      <c r="T487">
        <v>-7.6413270000000005E-2</v>
      </c>
      <c r="U487">
        <v>0.35131839999999998</v>
      </c>
      <c r="V487">
        <v>-1.5815010000000001E-2</v>
      </c>
      <c r="W487">
        <v>0.1642634</v>
      </c>
      <c r="X487">
        <v>0.98628970000000005</v>
      </c>
      <c r="Y487">
        <v>-0.11531</v>
      </c>
      <c r="Z487">
        <v>2.1401990000000002E-3</v>
      </c>
      <c r="AA487">
        <v>0.99332730000000002</v>
      </c>
      <c r="AB487">
        <v>29</v>
      </c>
      <c r="AC487">
        <v>42.405899999999903</v>
      </c>
      <c r="AD487">
        <v>-1.0711958511549999</v>
      </c>
      <c r="AE487">
        <v>4.9250000000000096</v>
      </c>
      <c r="AF487">
        <v>-4.9481201816946596</v>
      </c>
      <c r="AG487">
        <v>-1.0711958511549999</v>
      </c>
      <c r="AH487">
        <v>42.376164655244899</v>
      </c>
      <c r="AI487">
        <v>91.438261828960805</v>
      </c>
      <c r="AJ487">
        <v>96.660073203383405</v>
      </c>
      <c r="AK487">
        <v>42.677519665187397</v>
      </c>
      <c r="AL487">
        <v>80.545553208406005</v>
      </c>
      <c r="AM487">
        <v>90.918650653379203</v>
      </c>
      <c r="AN487">
        <v>0.99999997572347399</v>
      </c>
    </row>
    <row r="488" spans="1:40" x14ac:dyDescent="0.25">
      <c r="A488" t="str">
        <f>"20190303161851620"</f>
        <v>20190303161851620</v>
      </c>
      <c r="B488" t="str">
        <f>"1551601131613376"</f>
        <v>1551601131613376</v>
      </c>
      <c r="C488" t="s">
        <v>40</v>
      </c>
      <c r="D488">
        <v>4.773809</v>
      </c>
      <c r="E488">
        <v>0.4655976</v>
      </c>
      <c r="F488" t="s">
        <v>41</v>
      </c>
      <c r="G488">
        <v>-356.67899999999997</v>
      </c>
      <c r="H488" s="1">
        <v>-2.1481109999999999E-6</v>
      </c>
      <c r="I488">
        <v>372.4015</v>
      </c>
      <c r="J488">
        <v>-404.51479999999998</v>
      </c>
      <c r="K488">
        <v>1.071191</v>
      </c>
      <c r="L488">
        <v>366.98770000000002</v>
      </c>
      <c r="M488">
        <v>0.99992910000000002</v>
      </c>
      <c r="N488">
        <v>-1.1900320000000001E-2</v>
      </c>
      <c r="O488">
        <v>-6.1841999999999995E-4</v>
      </c>
      <c r="P488">
        <v>0.98805710000000002</v>
      </c>
      <c r="Q488">
        <v>0.15336229999999901</v>
      </c>
      <c r="R488">
        <v>1.495347E-2</v>
      </c>
      <c r="S488">
        <v>3.0410460000000001</v>
      </c>
      <c r="T488">
        <v>-6.7678089999999996E-2</v>
      </c>
      <c r="U488">
        <v>0.34204099999999998</v>
      </c>
      <c r="V488">
        <v>-1.555835E-2</v>
      </c>
      <c r="W488">
        <v>0.16510999999999901</v>
      </c>
      <c r="X488">
        <v>0.98615240000000004</v>
      </c>
      <c r="Y488">
        <v>-0.1123422</v>
      </c>
      <c r="Z488">
        <v>1.923087E-3</v>
      </c>
      <c r="AA488">
        <v>0.99366770000000004</v>
      </c>
      <c r="AB488">
        <v>29</v>
      </c>
      <c r="AC488">
        <v>47.8357999999999</v>
      </c>
      <c r="AD488">
        <v>-1.071193148111</v>
      </c>
      <c r="AE488">
        <v>5.4137999999999797</v>
      </c>
      <c r="AF488">
        <v>-5.4406899291522297</v>
      </c>
      <c r="AG488">
        <v>-1.071193148111</v>
      </c>
      <c r="AH488">
        <v>47.808771986739202</v>
      </c>
      <c r="AI488">
        <v>91.275313474336102</v>
      </c>
      <c r="AJ488">
        <v>96.492390809106794</v>
      </c>
      <c r="AK488">
        <v>48.129276335155502</v>
      </c>
      <c r="AL488">
        <v>80.496375016448795</v>
      </c>
      <c r="AM488">
        <v>90.9038702750574</v>
      </c>
      <c r="AN488">
        <v>0.99999996519024004</v>
      </c>
    </row>
    <row r="489" spans="1:40" x14ac:dyDescent="0.25">
      <c r="A489" t="str">
        <f>"20190303161851641"</f>
        <v>20190303161851641</v>
      </c>
      <c r="B489" t="str">
        <f>"1551601131633444"</f>
        <v>1551601131633444</v>
      </c>
      <c r="C489" t="s">
        <v>40</v>
      </c>
      <c r="D489">
        <v>4.7845409999999999</v>
      </c>
      <c r="E489">
        <v>0.46655350000000001</v>
      </c>
      <c r="F489" t="s">
        <v>41</v>
      </c>
      <c r="G489">
        <v>-349.4255</v>
      </c>
      <c r="H489" s="1">
        <v>-1.11448E-6</v>
      </c>
      <c r="I489">
        <v>372.85759999999999</v>
      </c>
      <c r="J489">
        <v>-404.23669999999998</v>
      </c>
      <c r="K489">
        <v>1.0711850000000001</v>
      </c>
      <c r="L489">
        <v>366.98750000000001</v>
      </c>
      <c r="M489">
        <v>0.99992910000000002</v>
      </c>
      <c r="N489">
        <v>-1.1900930000000001E-2</v>
      </c>
      <c r="O489">
        <v>-6.1842359999999999E-4</v>
      </c>
      <c r="P489">
        <v>0.98810480000000001</v>
      </c>
      <c r="Q489">
        <v>0.15306349999999999</v>
      </c>
      <c r="R489">
        <v>1.486607E-2</v>
      </c>
      <c r="S489">
        <v>3.040527</v>
      </c>
      <c r="T489">
        <v>-5.9121970000000003E-2</v>
      </c>
      <c r="U489">
        <v>0.323974599999999</v>
      </c>
      <c r="V489">
        <v>-1.547166E-2</v>
      </c>
      <c r="W489">
        <v>0.16481229999999999</v>
      </c>
      <c r="X489">
        <v>0.98620359999999996</v>
      </c>
      <c r="Y489">
        <v>-0.10653509999999999</v>
      </c>
      <c r="Z489">
        <v>1.6732400000000001E-3</v>
      </c>
      <c r="AA489">
        <v>0.99430750000000001</v>
      </c>
      <c r="AB489">
        <v>29</v>
      </c>
      <c r="AC489">
        <v>54.8111999999999</v>
      </c>
      <c r="AD489">
        <v>-1.0711861144799999</v>
      </c>
      <c r="AE489">
        <v>5.8700999999999697</v>
      </c>
      <c r="AF489">
        <v>-5.9017692730908804</v>
      </c>
      <c r="AG489">
        <v>-1.0711861144799999</v>
      </c>
      <c r="AH489">
        <v>54.786871225669998</v>
      </c>
      <c r="AI489">
        <v>91.113656049821401</v>
      </c>
      <c r="AJ489">
        <v>96.148325930988094</v>
      </c>
      <c r="AK489">
        <v>55.114241162723097</v>
      </c>
      <c r="AL489">
        <v>80.513669263187595</v>
      </c>
      <c r="AM489">
        <v>90.898788147395905</v>
      </c>
      <c r="AN489">
        <v>1.0000000035737</v>
      </c>
    </row>
    <row r="490" spans="1:40" x14ac:dyDescent="0.25">
      <c r="A490" t="str">
        <f>"20190303161851653"</f>
        <v>20190303161851653</v>
      </c>
      <c r="B490" t="str">
        <f>"1551601131643192"</f>
        <v>1551601131643192</v>
      </c>
      <c r="C490" t="s">
        <v>40</v>
      </c>
      <c r="D490">
        <v>4.8272940000000002</v>
      </c>
      <c r="E490">
        <v>0.46699439999999998</v>
      </c>
      <c r="F490" t="s">
        <v>41</v>
      </c>
      <c r="G490">
        <v>-347.43779999999998</v>
      </c>
      <c r="H490" s="1">
        <v>-2.0638169999999999E-6</v>
      </c>
      <c r="I490">
        <v>372.89409999999998</v>
      </c>
      <c r="J490">
        <v>-404.07049999999998</v>
      </c>
      <c r="K490">
        <v>1.071183</v>
      </c>
      <c r="L490">
        <v>366.98739999999998</v>
      </c>
      <c r="M490">
        <v>0.99992910000000002</v>
      </c>
      <c r="N490">
        <v>-1.190127E-2</v>
      </c>
      <c r="O490">
        <v>-6.1830670000000002E-4</v>
      </c>
      <c r="P490">
        <v>0.98814500000000005</v>
      </c>
      <c r="Q490">
        <v>0.1527966</v>
      </c>
      <c r="R490">
        <v>1.492067E-2</v>
      </c>
      <c r="S490">
        <v>3.0402529999999999</v>
      </c>
      <c r="T490">
        <v>-5.7336930000000001E-2</v>
      </c>
      <c r="U490">
        <v>0.316162099999999</v>
      </c>
      <c r="V490">
        <v>-1.5525499999999999E-2</v>
      </c>
      <c r="W490">
        <v>0.16454649999999901</v>
      </c>
      <c r="X490">
        <v>0.98624710000000004</v>
      </c>
      <c r="Y490">
        <v>-0.1040193</v>
      </c>
      <c r="Z490">
        <v>1.6031859999999999E-3</v>
      </c>
      <c r="AA490">
        <v>0.99457399999999996</v>
      </c>
      <c r="AB490">
        <v>29</v>
      </c>
      <c r="AC490">
        <v>56.6327</v>
      </c>
      <c r="AD490">
        <v>-1.071185063817</v>
      </c>
      <c r="AE490">
        <v>5.9066999999999998</v>
      </c>
      <c r="AF490">
        <v>-5.9396156216658698</v>
      </c>
      <c r="AG490">
        <v>-1.071185063817</v>
      </c>
      <c r="AH490">
        <v>56.609002139828</v>
      </c>
      <c r="AI490">
        <v>91.0781343419427</v>
      </c>
      <c r="AJ490">
        <v>95.989758571296903</v>
      </c>
      <c r="AK490">
        <v>56.929830444514202</v>
      </c>
      <c r="AL490">
        <v>80.529108932436003</v>
      </c>
      <c r="AM490">
        <v>90.901875560567206</v>
      </c>
      <c r="AN490">
        <v>0.99999996703545402</v>
      </c>
    </row>
    <row r="491" spans="1:40" x14ac:dyDescent="0.25">
      <c r="A491" t="str">
        <f>"20190303161851666"</f>
        <v>20190303161851666</v>
      </c>
      <c r="B491" t="str">
        <f>"1551601131653928"</f>
        <v>1551601131653928</v>
      </c>
      <c r="C491" t="s">
        <v>40</v>
      </c>
      <c r="D491">
        <v>4.7614939999999999</v>
      </c>
      <c r="E491">
        <v>0.46743770000000001</v>
      </c>
      <c r="F491" t="s">
        <v>41</v>
      </c>
      <c r="G491">
        <v>-347.2704</v>
      </c>
      <c r="H491" s="1">
        <v>-2.1269209999999999E-6</v>
      </c>
      <c r="I491">
        <v>372.83390000000003</v>
      </c>
      <c r="J491">
        <v>-403.91</v>
      </c>
      <c r="K491">
        <v>1.071188</v>
      </c>
      <c r="L491">
        <v>366.9873</v>
      </c>
      <c r="M491">
        <v>0.99992899999999996</v>
      </c>
      <c r="N491">
        <v>-1.19016E-2</v>
      </c>
      <c r="O491">
        <v>-6.1818979999999995E-4</v>
      </c>
      <c r="P491">
        <v>0.98818340000000005</v>
      </c>
      <c r="Q491">
        <v>0.1525522</v>
      </c>
      <c r="R491">
        <v>1.4871860000000001E-2</v>
      </c>
      <c r="S491">
        <v>3.0401609999999999</v>
      </c>
      <c r="T491">
        <v>-5.7333950000000002E-2</v>
      </c>
      <c r="U491">
        <v>0.31292720000000002</v>
      </c>
      <c r="V491">
        <v>-1.547629E-2</v>
      </c>
      <c r="W491">
        <v>0.1643029</v>
      </c>
      <c r="X491">
        <v>0.98628850000000001</v>
      </c>
      <c r="Y491">
        <v>-0.1029755</v>
      </c>
      <c r="Z491">
        <v>1.587155E-3</v>
      </c>
      <c r="AA491">
        <v>0.99468259999999997</v>
      </c>
      <c r="AB491">
        <v>29</v>
      </c>
      <c r="AC491">
        <v>56.639600000000002</v>
      </c>
      <c r="AD491">
        <v>-1.071190126921</v>
      </c>
      <c r="AE491">
        <v>5.84660000000002</v>
      </c>
      <c r="AF491">
        <v>-5.8795345740814797</v>
      </c>
      <c r="AG491">
        <v>-1.071190126921</v>
      </c>
      <c r="AH491">
        <v>56.615937809357298</v>
      </c>
      <c r="AI491">
        <v>91.078126930260197</v>
      </c>
      <c r="AJ491">
        <v>95.928882958997093</v>
      </c>
      <c r="AK491">
        <v>56.9304908562086</v>
      </c>
      <c r="AL491">
        <v>80.543258910777396</v>
      </c>
      <c r="AM491">
        <v>90.898979693357902</v>
      </c>
      <c r="AN491">
        <v>0.99999998186641104</v>
      </c>
    </row>
    <row r="492" spans="1:40" x14ac:dyDescent="0.25">
      <c r="A492" t="str">
        <f>"20190303161851678"</f>
        <v>20190303161851678</v>
      </c>
      <c r="B492" t="str">
        <f>"1551601131673448"</f>
        <v>1551601131673448</v>
      </c>
      <c r="C492" t="s">
        <v>40</v>
      </c>
      <c r="D492">
        <v>4.7792750000000002</v>
      </c>
      <c r="E492">
        <v>0.46818749999999998</v>
      </c>
      <c r="F492" t="s">
        <v>41</v>
      </c>
      <c r="G492">
        <v>-346.82229999999998</v>
      </c>
      <c r="H492" s="1">
        <v>-2.3265070000000001E-6</v>
      </c>
      <c r="I492">
        <v>372.78800000000001</v>
      </c>
      <c r="J492">
        <v>-403.74740000000003</v>
      </c>
      <c r="K492">
        <v>1.0711869999999999</v>
      </c>
      <c r="L492">
        <v>366.98719999999997</v>
      </c>
      <c r="M492">
        <v>0.99992899999999996</v>
      </c>
      <c r="N492">
        <v>-1.19019E-2</v>
      </c>
      <c r="O492">
        <v>-6.1795329999999996E-4</v>
      </c>
      <c r="P492">
        <v>0.98819539999999995</v>
      </c>
      <c r="Q492">
        <v>0.1525089</v>
      </c>
      <c r="R492">
        <v>1.451469E-2</v>
      </c>
      <c r="S492">
        <v>3.0400390000000002</v>
      </c>
      <c r="T492">
        <v>-5.7043080000000003E-2</v>
      </c>
      <c r="U492">
        <v>0.30889889999999998</v>
      </c>
      <c r="V492">
        <v>-1.511944E-2</v>
      </c>
      <c r="W492">
        <v>0.16426009999999999</v>
      </c>
      <c r="X492">
        <v>0.98630119999999999</v>
      </c>
      <c r="Y492">
        <v>-0.1016754</v>
      </c>
      <c r="Z492">
        <v>1.562339E-3</v>
      </c>
      <c r="AA492">
        <v>0.99481640000000005</v>
      </c>
      <c r="AB492">
        <v>29</v>
      </c>
      <c r="AC492">
        <v>56.9251</v>
      </c>
      <c r="AD492">
        <v>-1.0711893265070001</v>
      </c>
      <c r="AE492">
        <v>5.8008000000000299</v>
      </c>
      <c r="AF492">
        <v>-5.8339338766353199</v>
      </c>
      <c r="AG492">
        <v>-1.0711893265070001</v>
      </c>
      <c r="AH492">
        <v>56.901562534479297</v>
      </c>
      <c r="AI492">
        <v>91.072860442612907</v>
      </c>
      <c r="AJ492">
        <v>95.853897306167795</v>
      </c>
      <c r="AK492">
        <v>57.209877205911198</v>
      </c>
      <c r="AL492">
        <v>80.545745286887197</v>
      </c>
      <c r="AM492">
        <v>90.878243130995301</v>
      </c>
      <c r="AN492">
        <v>1.0000000175196799</v>
      </c>
    </row>
    <row r="493" spans="1:40" x14ac:dyDescent="0.25">
      <c r="A493" t="str">
        <f>"20190303161851696"</f>
        <v>20190303161851696</v>
      </c>
      <c r="B493" t="str">
        <f>"1551601131693943"</f>
        <v>1551601131693943</v>
      </c>
      <c r="C493" t="s">
        <v>40</v>
      </c>
      <c r="D493">
        <v>4.7443179999999998</v>
      </c>
      <c r="E493">
        <v>0.50066750000000004</v>
      </c>
      <c r="F493" t="s">
        <v>41</v>
      </c>
      <c r="G493">
        <v>-343.94439999999997</v>
      </c>
      <c r="H493" s="1">
        <v>-3.7241270000000002E-6</v>
      </c>
      <c r="I493">
        <v>372.92790000000002</v>
      </c>
      <c r="J493">
        <v>-403.51409999999998</v>
      </c>
      <c r="K493">
        <v>1.0711869999999999</v>
      </c>
      <c r="L493">
        <v>366.9871</v>
      </c>
      <c r="M493">
        <v>0.99992910000000002</v>
      </c>
      <c r="N493">
        <v>-1.1902340000000001E-2</v>
      </c>
      <c r="O493">
        <v>-6.1795630000000001E-4</v>
      </c>
      <c r="P493">
        <v>0.98824909999999999</v>
      </c>
      <c r="Q493">
        <v>0.15223159999999999</v>
      </c>
      <c r="R493">
        <v>1.3759479999999999E-2</v>
      </c>
      <c r="S493">
        <v>3.039825</v>
      </c>
      <c r="T493">
        <v>-5.4449320000000002E-2</v>
      </c>
      <c r="U493">
        <v>0.3019714</v>
      </c>
      <c r="V493">
        <v>-1.4363849999999999E-2</v>
      </c>
      <c r="W493">
        <v>0.16398360000000001</v>
      </c>
      <c r="X493">
        <v>0.98635850000000003</v>
      </c>
      <c r="Y493">
        <v>-9.9440410000000007E-2</v>
      </c>
      <c r="Z493">
        <v>1.485374E-3</v>
      </c>
      <c r="AA493">
        <v>0.99504239999999999</v>
      </c>
      <c r="AB493">
        <v>29</v>
      </c>
      <c r="AC493">
        <v>59.569699999999997</v>
      </c>
      <c r="AD493">
        <v>-1.071190724127</v>
      </c>
      <c r="AE493">
        <v>5.9408000000000198</v>
      </c>
      <c r="AF493">
        <v>-5.9756996822664199</v>
      </c>
      <c r="AG493">
        <v>-1.071190724127</v>
      </c>
      <c r="AH493">
        <v>59.546951883192797</v>
      </c>
      <c r="AI493">
        <v>91.025433842652305</v>
      </c>
      <c r="AJ493">
        <v>95.730602753803893</v>
      </c>
      <c r="AK493">
        <v>59.855625590577297</v>
      </c>
      <c r="AL493">
        <v>80.561805327342995</v>
      </c>
      <c r="AM493">
        <v>90.834311068329001</v>
      </c>
      <c r="AN493">
        <v>1.0000000158890101</v>
      </c>
    </row>
    <row r="494" spans="1:40" x14ac:dyDescent="0.25">
      <c r="A494" t="str">
        <f>"20190303161851710"</f>
        <v>20190303161851710</v>
      </c>
      <c r="B494" t="str">
        <f>"1551601131703704"</f>
        <v>1551601131703704</v>
      </c>
      <c r="C494" t="s">
        <v>40</v>
      </c>
      <c r="D494">
        <v>4.7440350000000002</v>
      </c>
      <c r="E494">
        <v>0.50286629999999999</v>
      </c>
      <c r="F494" t="s">
        <v>43</v>
      </c>
      <c r="G494">
        <v>-158.78319999999999</v>
      </c>
      <c r="H494">
        <v>2.0045829999999998</v>
      </c>
      <c r="I494">
        <v>370.22489999999999</v>
      </c>
      <c r="J494">
        <v>-403.33710000000002</v>
      </c>
      <c r="K494">
        <v>1.071186</v>
      </c>
      <c r="L494">
        <v>366.98700000000002</v>
      </c>
      <c r="M494">
        <v>0.99992910000000002</v>
      </c>
      <c r="N494">
        <v>-1.190269E-2</v>
      </c>
      <c r="O494">
        <v>-6.1795869999999996E-4</v>
      </c>
      <c r="P494">
        <v>0.98829690000000003</v>
      </c>
      <c r="Q494">
        <v>0.15195429999999999</v>
      </c>
      <c r="R494">
        <v>1.3396480000000001E-2</v>
      </c>
      <c r="S494">
        <v>3.0332949999999999</v>
      </c>
      <c r="T494">
        <v>1.1569980000000001E-2</v>
      </c>
      <c r="U494">
        <v>4.0130619999999999E-2</v>
      </c>
      <c r="V494">
        <v>-1.400094E-2</v>
      </c>
      <c r="W494">
        <v>0.163707399999999</v>
      </c>
      <c r="X494">
        <v>0.9864096</v>
      </c>
      <c r="Y494">
        <v>-1.384697E-2</v>
      </c>
      <c r="Z494" s="1">
        <v>4.629457E-5</v>
      </c>
      <c r="AA494">
        <v>0.99990409999999996</v>
      </c>
      <c r="AB494">
        <v>29</v>
      </c>
      <c r="AC494">
        <v>244.5539</v>
      </c>
      <c r="AD494">
        <v>0.93339700000000003</v>
      </c>
      <c r="AE494">
        <v>3.2379000000000202</v>
      </c>
      <c r="AF494">
        <v>-3.3889849181836298</v>
      </c>
      <c r="AG494">
        <v>0.93339700000000003</v>
      </c>
      <c r="AH494">
        <v>244.54829044790401</v>
      </c>
      <c r="AI494">
        <v>89.781334335271495</v>
      </c>
      <c r="AJ494">
        <v>90.793962220871407</v>
      </c>
      <c r="AK494">
        <v>244.573552964599</v>
      </c>
      <c r="AL494">
        <v>80.577847241358697</v>
      </c>
      <c r="AM494">
        <v>90.813192517907495</v>
      </c>
      <c r="AN494">
        <v>1.0000000190539</v>
      </c>
    </row>
    <row r="495" spans="1:40" x14ac:dyDescent="0.25">
      <c r="A495" t="str">
        <f>"20190303161851722"</f>
        <v>20190303161851722</v>
      </c>
      <c r="B495" t="str">
        <f>"1551601131713464"</f>
        <v>1551601131713464</v>
      </c>
      <c r="C495" t="s">
        <v>40</v>
      </c>
      <c r="D495">
        <v>4.6802960000000002</v>
      </c>
      <c r="E495">
        <v>0.50392190000000003</v>
      </c>
      <c r="F495" t="s">
        <v>43</v>
      </c>
      <c r="G495">
        <v>-158.78319999999999</v>
      </c>
      <c r="H495">
        <v>0.83820890000000003</v>
      </c>
      <c r="I495">
        <v>368.7473</v>
      </c>
      <c r="J495">
        <v>-403.18049999999999</v>
      </c>
      <c r="K495">
        <v>1.071186</v>
      </c>
      <c r="L495">
        <v>366.98689999999999</v>
      </c>
      <c r="M495">
        <v>0.99992910000000002</v>
      </c>
      <c r="N495">
        <v>-1.1903E-2</v>
      </c>
      <c r="O495">
        <v>-6.1784169999999996E-4</v>
      </c>
      <c r="P495">
        <v>0.98835079999999997</v>
      </c>
      <c r="Q495">
        <v>0.1516276</v>
      </c>
      <c r="R495">
        <v>1.3118299999999999E-2</v>
      </c>
      <c r="S495">
        <v>3.0356139999999998</v>
      </c>
      <c r="T495">
        <v>-2.8908250000000001E-3</v>
      </c>
      <c r="U495">
        <v>2.185059E-2</v>
      </c>
      <c r="V495">
        <v>-1.372277E-2</v>
      </c>
      <c r="W495">
        <v>0.16338139999999901</v>
      </c>
      <c r="X495">
        <v>0.98646750000000005</v>
      </c>
      <c r="Y495">
        <v>-7.8156749999999994E-3</v>
      </c>
      <c r="Z495" s="1">
        <v>4.3472800000000002E-5</v>
      </c>
      <c r="AA495">
        <v>0.99996949999999996</v>
      </c>
      <c r="AB495">
        <v>29</v>
      </c>
      <c r="AC495">
        <v>244.3973</v>
      </c>
      <c r="AD495">
        <v>-0.23297709999999899</v>
      </c>
      <c r="AE495">
        <v>1.7604</v>
      </c>
      <c r="AF495">
        <v>-1.91140744815488</v>
      </c>
      <c r="AG495">
        <v>-0.23297709999999899</v>
      </c>
      <c r="AH495">
        <v>244.39594354347801</v>
      </c>
      <c r="AI495">
        <v>90.054617077873502</v>
      </c>
      <c r="AJ495">
        <v>90.448098054669003</v>
      </c>
      <c r="AK495">
        <v>244.403528978754</v>
      </c>
      <c r="AL495">
        <v>80.596780046834297</v>
      </c>
      <c r="AM495">
        <v>90.796991378051402</v>
      </c>
      <c r="AN495">
        <v>0.99999996241933997</v>
      </c>
    </row>
    <row r="496" spans="1:40" x14ac:dyDescent="0.25">
      <c r="A496" t="str">
        <f>"20190303161851734"</f>
        <v>20190303161851734</v>
      </c>
      <c r="B496" t="str">
        <f>"1551601131723224"</f>
        <v>1551601131723224</v>
      </c>
      <c r="C496" t="s">
        <v>40</v>
      </c>
      <c r="D496">
        <v>4.6623919999999996</v>
      </c>
      <c r="E496">
        <v>0.50569330000000001</v>
      </c>
      <c r="F496" t="s">
        <v>43</v>
      </c>
      <c r="G496">
        <v>-158.78319999999999</v>
      </c>
      <c r="H496">
        <v>0.1268387</v>
      </c>
      <c r="I496">
        <v>367.99619999999999</v>
      </c>
      <c r="J496">
        <v>-403.01940000000002</v>
      </c>
      <c r="K496">
        <v>1.0711839999999999</v>
      </c>
      <c r="L496">
        <v>366.98669999999998</v>
      </c>
      <c r="M496">
        <v>0.99992910000000002</v>
      </c>
      <c r="N496">
        <v>-1.190334E-2</v>
      </c>
      <c r="O496">
        <v>-6.1784410000000002E-4</v>
      </c>
      <c r="P496">
        <v>0.98837209999999998</v>
      </c>
      <c r="Q496">
        <v>0.15152070000000001</v>
      </c>
      <c r="R496">
        <v>1.274721E-2</v>
      </c>
      <c r="S496">
        <v>3.0369869999999999</v>
      </c>
      <c r="T496">
        <v>-1.1733769999999999E-2</v>
      </c>
      <c r="U496">
        <v>1.254272E-2</v>
      </c>
      <c r="V496">
        <v>-1.335187E-2</v>
      </c>
      <c r="W496">
        <v>0.16327559999999999</v>
      </c>
      <c r="X496">
        <v>0.98649010000000004</v>
      </c>
      <c r="Y496">
        <v>-4.7476719999999997E-3</v>
      </c>
      <c r="Z496" s="1">
        <v>3.2462049999999999E-5</v>
      </c>
      <c r="AA496">
        <v>0.99998869999999895</v>
      </c>
      <c r="AB496">
        <v>29</v>
      </c>
      <c r="AC496">
        <v>244.2362</v>
      </c>
      <c r="AD496">
        <v>-0.94434530000000005</v>
      </c>
      <c r="AE496">
        <v>1.0095000000000001</v>
      </c>
      <c r="AF496">
        <v>-1.1603930256289501</v>
      </c>
      <c r="AG496">
        <v>-0.94434530000000005</v>
      </c>
      <c r="AH496">
        <v>244.23187841193001</v>
      </c>
      <c r="AI496">
        <v>90.221535862239705</v>
      </c>
      <c r="AJ496">
        <v>90.272221313226297</v>
      </c>
      <c r="AK496">
        <v>244.23646069463001</v>
      </c>
      <c r="AL496">
        <v>80.602924385385506</v>
      </c>
      <c r="AM496">
        <v>90.775435142494899</v>
      </c>
      <c r="AN496">
        <v>0.99999995569293199</v>
      </c>
    </row>
    <row r="497" spans="1:40" x14ac:dyDescent="0.25">
      <c r="A497" t="str">
        <f>"20190303161851753"</f>
        <v>20190303161851753</v>
      </c>
      <c r="B497" t="str">
        <f>"1551601131743719"</f>
        <v>1551601131743719</v>
      </c>
      <c r="C497" t="s">
        <v>40</v>
      </c>
      <c r="D497">
        <v>4.6600239999999999</v>
      </c>
      <c r="E497">
        <v>0.50670669999999995</v>
      </c>
      <c r="F497" t="s">
        <v>43</v>
      </c>
      <c r="G497">
        <v>-158.19499999999999</v>
      </c>
      <c r="H497">
        <v>0.45652569999999998</v>
      </c>
      <c r="I497">
        <v>366.78989999999999</v>
      </c>
      <c r="J497">
        <v>-402.77980000000002</v>
      </c>
      <c r="K497">
        <v>1.0711839999999999</v>
      </c>
      <c r="L497">
        <v>366.98660000000001</v>
      </c>
      <c r="M497">
        <v>0.99992899999999996</v>
      </c>
      <c r="N497">
        <v>-1.1903830000000001E-2</v>
      </c>
      <c r="O497">
        <v>-6.1760899999999997E-4</v>
      </c>
      <c r="P497">
        <v>0.98845269999999996</v>
      </c>
      <c r="Q497">
        <v>0.15102689999999999</v>
      </c>
      <c r="R497">
        <v>1.2345699999999999E-2</v>
      </c>
      <c r="S497">
        <v>3.0364990000000001</v>
      </c>
      <c r="T497">
        <v>-7.6223609999999898E-3</v>
      </c>
      <c r="U497">
        <v>-2.4414060000000001E-3</v>
      </c>
      <c r="V497">
        <v>-1.295028E-2</v>
      </c>
      <c r="W497">
        <v>0.16278299999999901</v>
      </c>
      <c r="X497">
        <v>0.98657689999999998</v>
      </c>
      <c r="Y497">
        <v>1.86391E-4</v>
      </c>
      <c r="Z497" s="1">
        <v>-7.1452450000000004E-6</v>
      </c>
      <c r="AA497">
        <v>1</v>
      </c>
      <c r="AB497">
        <v>29</v>
      </c>
      <c r="AC497">
        <v>244.5848</v>
      </c>
      <c r="AD497">
        <v>-0.61465829999999899</v>
      </c>
      <c r="AE497">
        <v>-0.196700000000021</v>
      </c>
      <c r="AF497">
        <v>4.5631203505023199E-2</v>
      </c>
      <c r="AG497">
        <v>-0.61465829999999899</v>
      </c>
      <c r="AH497">
        <v>244.58333017037299</v>
      </c>
      <c r="AI497">
        <v>90.143988765122103</v>
      </c>
      <c r="AJ497">
        <v>89.989310492490205</v>
      </c>
      <c r="AK497">
        <v>244.584106769557</v>
      </c>
      <c r="AL497">
        <v>80.631531402098901</v>
      </c>
      <c r="AM497">
        <v>90.752048599047399</v>
      </c>
      <c r="AN497">
        <v>0.99999999722734401</v>
      </c>
    </row>
    <row r="498" spans="1:40" x14ac:dyDescent="0.25">
      <c r="A498" t="str">
        <f>"20190303161851766"</f>
        <v>20190303161851766</v>
      </c>
      <c r="B498" t="str">
        <f>"1551601131753480"</f>
        <v>1551601131753480</v>
      </c>
      <c r="C498" t="s">
        <v>40</v>
      </c>
      <c r="D498">
        <v>4.6159720000000002</v>
      </c>
      <c r="E498">
        <v>0.50727049999999996</v>
      </c>
      <c r="F498" t="s">
        <v>43</v>
      </c>
      <c r="G498">
        <v>-158.19499999999999</v>
      </c>
      <c r="H498">
        <v>0.39357730000000002</v>
      </c>
      <c r="I498">
        <v>366.02789999999999</v>
      </c>
      <c r="J498">
        <v>-402.60489999999999</v>
      </c>
      <c r="K498">
        <v>1.0711839999999999</v>
      </c>
      <c r="L498">
        <v>366.98649999999998</v>
      </c>
      <c r="M498">
        <v>0.99992899999999996</v>
      </c>
      <c r="N498">
        <v>-1.190419E-2</v>
      </c>
      <c r="O498">
        <v>-6.1761149999999996E-4</v>
      </c>
      <c r="P498">
        <v>0.98839639999999995</v>
      </c>
      <c r="Q498">
        <v>0.1514142</v>
      </c>
      <c r="R498">
        <v>1.2109150000000001E-2</v>
      </c>
      <c r="S498">
        <v>3.036438</v>
      </c>
      <c r="T498">
        <v>-8.4111689999999996E-3</v>
      </c>
      <c r="U498">
        <v>-1.190186E-2</v>
      </c>
      <c r="V498">
        <v>-1.27133E-2</v>
      </c>
      <c r="W498">
        <v>0.1631697</v>
      </c>
      <c r="X498">
        <v>0.98651610000000001</v>
      </c>
      <c r="Y498">
        <v>3.3019540000000002E-3</v>
      </c>
      <c r="Z498" s="1">
        <v>-2.9869449999999999E-5</v>
      </c>
      <c r="AA498">
        <v>0.99999459999999996</v>
      </c>
      <c r="AB498">
        <v>29</v>
      </c>
      <c r="AC498">
        <v>244.40989999999999</v>
      </c>
      <c r="AD498">
        <v>-0.67760669999999901</v>
      </c>
      <c r="AE498">
        <v>-0.95859999999999002</v>
      </c>
      <c r="AF498">
        <v>0.80763255513563903</v>
      </c>
      <c r="AG498">
        <v>-0.67760669999999901</v>
      </c>
      <c r="AH498">
        <v>244.408566892679</v>
      </c>
      <c r="AI498">
        <v>90.158847511523604</v>
      </c>
      <c r="AJ498">
        <v>89.810670432015797</v>
      </c>
      <c r="AK498">
        <v>244.41084057732999</v>
      </c>
      <c r="AL498">
        <v>80.609074880170297</v>
      </c>
      <c r="AM498">
        <v>90.738333731504</v>
      </c>
      <c r="AN498">
        <v>0.99999999727709499</v>
      </c>
    </row>
    <row r="499" spans="1:40" x14ac:dyDescent="0.25">
      <c r="A499" t="str">
        <f>"20190303161851777"</f>
        <v>20190303161851777</v>
      </c>
      <c r="B499" t="str">
        <f>"1551601131773000"</f>
        <v>1551601131773000</v>
      </c>
      <c r="C499" t="s">
        <v>40</v>
      </c>
      <c r="D499">
        <v>4.6819940000000004</v>
      </c>
      <c r="E499">
        <v>0.50724919999999996</v>
      </c>
      <c r="F499" t="s">
        <v>43</v>
      </c>
      <c r="G499">
        <v>-158.19499999999999</v>
      </c>
      <c r="H499">
        <v>0.7515619</v>
      </c>
      <c r="I499">
        <v>365.61320000000001</v>
      </c>
      <c r="J499">
        <v>-402.4529</v>
      </c>
      <c r="K499">
        <v>1.0711809999999999</v>
      </c>
      <c r="L499">
        <v>366.9864</v>
      </c>
      <c r="M499">
        <v>0.99992890000000001</v>
      </c>
      <c r="N499">
        <v>-1.19045E-2</v>
      </c>
      <c r="O499">
        <v>-6.174943E-4</v>
      </c>
      <c r="P499">
        <v>0.98835660000000003</v>
      </c>
      <c r="Q499">
        <v>0.15168010000000001</v>
      </c>
      <c r="R499">
        <v>1.201177E-2</v>
      </c>
      <c r="S499">
        <v>3.0360109999999998</v>
      </c>
      <c r="T499">
        <v>-3.9691930000000002E-3</v>
      </c>
      <c r="U499">
        <v>-1.7059330000000001E-2</v>
      </c>
      <c r="V499">
        <v>-1.26163E-2</v>
      </c>
      <c r="W499">
        <v>0.16343550000000001</v>
      </c>
      <c r="X499">
        <v>0.9864733</v>
      </c>
      <c r="Y499">
        <v>5.001368E-3</v>
      </c>
      <c r="Z499" s="1">
        <v>-3.958401E-5</v>
      </c>
      <c r="AA499">
        <v>0.99998750000000003</v>
      </c>
      <c r="AB499">
        <v>29</v>
      </c>
      <c r="AC499">
        <v>244.25790000000001</v>
      </c>
      <c r="AD499">
        <v>-0.31961909999999899</v>
      </c>
      <c r="AE499">
        <v>-1.37319999999999</v>
      </c>
      <c r="AF499">
        <v>1.2223590883976001</v>
      </c>
      <c r="AG499">
        <v>-0.31961909999999899</v>
      </c>
      <c r="AH499">
        <v>244.25828320999801</v>
      </c>
      <c r="AI499">
        <v>90.074972219910194</v>
      </c>
      <c r="AJ499">
        <v>89.713273051588303</v>
      </c>
      <c r="AK499">
        <v>244.26155087284101</v>
      </c>
      <c r="AL499">
        <v>80.593638020008598</v>
      </c>
      <c r="AM499">
        <v>90.732732791750706</v>
      </c>
      <c r="AN499">
        <v>0.99999995264941299</v>
      </c>
    </row>
    <row r="500" spans="1:40" x14ac:dyDescent="0.25">
      <c r="A500" t="str">
        <f>"20190303161851791"</f>
        <v>20190303161851791</v>
      </c>
      <c r="B500" t="str">
        <f>"1551601131783736"</f>
        <v>1551601131783736</v>
      </c>
      <c r="C500" t="s">
        <v>40</v>
      </c>
      <c r="D500">
        <v>4.5606410000000004</v>
      </c>
      <c r="E500">
        <v>0.50818099999999999</v>
      </c>
      <c r="F500" t="s">
        <v>43</v>
      </c>
      <c r="G500">
        <v>-158.19499999999999</v>
      </c>
      <c r="H500">
        <v>0.23722199999999999</v>
      </c>
      <c r="I500">
        <v>365.61939999999998</v>
      </c>
      <c r="J500">
        <v>-402.28969999999998</v>
      </c>
      <c r="K500">
        <v>1.0711790000000001</v>
      </c>
      <c r="L500">
        <v>366.98630000000003</v>
      </c>
      <c r="M500">
        <v>0.99992899999999996</v>
      </c>
      <c r="N500">
        <v>-1.190483E-2</v>
      </c>
      <c r="O500">
        <v>-6.1749660000000003E-4</v>
      </c>
      <c r="P500">
        <v>0.98833859999999996</v>
      </c>
      <c r="Q500">
        <v>0.15179790000000001</v>
      </c>
      <c r="R500">
        <v>1.202717E-2</v>
      </c>
      <c r="S500">
        <v>3.0371700000000001</v>
      </c>
      <c r="T500">
        <v>-1.036859E-2</v>
      </c>
      <c r="U500">
        <v>-1.6998289999999999E-2</v>
      </c>
      <c r="V500">
        <v>-1.263157E-2</v>
      </c>
      <c r="W500">
        <v>0.16355359999999999</v>
      </c>
      <c r="X500">
        <v>0.98645360000000004</v>
      </c>
      <c r="Y500">
        <v>4.9790260000000001E-3</v>
      </c>
      <c r="Z500" s="1">
        <v>-4.3381160000000001E-5</v>
      </c>
      <c r="AA500">
        <v>0.99998759999999998</v>
      </c>
      <c r="AB500">
        <v>29</v>
      </c>
      <c r="AC500">
        <v>244.09469999999999</v>
      </c>
      <c r="AD500">
        <v>-0.83395699999999995</v>
      </c>
      <c r="AE500">
        <v>-1.36690000000004</v>
      </c>
      <c r="AF500">
        <v>1.21614722310041</v>
      </c>
      <c r="AG500">
        <v>-0.83395699999999995</v>
      </c>
      <c r="AH500">
        <v>244.09264844609601</v>
      </c>
      <c r="AI500">
        <v>90.195751235194507</v>
      </c>
      <c r="AJ500">
        <v>89.714536562102495</v>
      </c>
      <c r="AK500">
        <v>244.097102653381</v>
      </c>
      <c r="AL500">
        <v>80.586779743349098</v>
      </c>
      <c r="AM500">
        <v>90.733634199130407</v>
      </c>
      <c r="AN500">
        <v>1.00000002079329</v>
      </c>
    </row>
    <row r="501" spans="1:40" x14ac:dyDescent="0.25">
      <c r="A501" t="str">
        <f>"20190303161851927"</f>
        <v>20190303161851927</v>
      </c>
      <c r="B501" t="str">
        <f>"1551601131923305"</f>
        <v>1551601131923305</v>
      </c>
      <c r="C501" t="s">
        <v>40</v>
      </c>
      <c r="D501">
        <v>4.5167029999999997</v>
      </c>
      <c r="E501">
        <v>0.50818099999999999</v>
      </c>
      <c r="F501" t="s">
        <v>43</v>
      </c>
      <c r="G501">
        <v>-158.19499999999999</v>
      </c>
      <c r="H501">
        <v>0.59666799999999998</v>
      </c>
      <c r="I501">
        <v>365.04349999999999</v>
      </c>
      <c r="J501">
        <v>-400.53910000000002</v>
      </c>
      <c r="K501">
        <v>1.0728819999999999</v>
      </c>
      <c r="L501">
        <v>366.9853</v>
      </c>
      <c r="M501">
        <v>0.99989459999999997</v>
      </c>
      <c r="N501">
        <v>-1.4497380000000001E-2</v>
      </c>
      <c r="O501">
        <v>-6.1832670000000001E-4</v>
      </c>
      <c r="P501">
        <v>0.98902109999999999</v>
      </c>
      <c r="Q501">
        <v>0.1472059</v>
      </c>
      <c r="R501">
        <v>1.2941869999999999E-2</v>
      </c>
      <c r="S501">
        <v>3.036591</v>
      </c>
      <c r="T501">
        <v>-5.9019329999999998E-3</v>
      </c>
      <c r="U501">
        <v>-2.4169920000000001E-2</v>
      </c>
      <c r="V501">
        <v>-1.354727E-2</v>
      </c>
      <c r="W501">
        <v>0.16152910000000001</v>
      </c>
      <c r="X501">
        <v>0.98677499999999996</v>
      </c>
      <c r="Y501">
        <v>7.3408650000000002E-3</v>
      </c>
      <c r="Z501" s="1">
        <v>-6.8112210000000002E-5</v>
      </c>
      <c r="AA501">
        <v>0.99997309999999995</v>
      </c>
      <c r="AB501">
        <v>28</v>
      </c>
      <c r="AC501">
        <v>242.3441</v>
      </c>
      <c r="AD501">
        <v>-0.47621399999999903</v>
      </c>
      <c r="AE501">
        <v>-1.9418</v>
      </c>
      <c r="AF501">
        <v>1.79192911530564</v>
      </c>
      <c r="AG501">
        <v>-0.47621399999999903</v>
      </c>
      <c r="AH501">
        <v>242.34431873921599</v>
      </c>
      <c r="AI501">
        <v>90.1125847369496</v>
      </c>
      <c r="AJ501">
        <v>89.576354399459007</v>
      </c>
      <c r="AK501">
        <v>242.35141141512401</v>
      </c>
      <c r="AL501">
        <v>80.704338571679003</v>
      </c>
      <c r="AM501">
        <v>90.786554821580197</v>
      </c>
      <c r="AN501">
        <v>1.0000000396481299</v>
      </c>
    </row>
    <row r="502" spans="1:40" x14ac:dyDescent="0.25">
      <c r="A502" t="str">
        <f>"20190303161851942"</f>
        <v>20190303161851942</v>
      </c>
      <c r="B502" t="str">
        <f>"1551601131933065"</f>
        <v>1551601131933065</v>
      </c>
      <c r="C502" t="s">
        <v>40</v>
      </c>
      <c r="D502">
        <v>4.0331419999999998</v>
      </c>
      <c r="E502">
        <v>0.54161419999999905</v>
      </c>
      <c r="F502" t="s">
        <v>41</v>
      </c>
      <c r="G502">
        <v>-236.8879</v>
      </c>
      <c r="H502" s="1">
        <v>-2.0615909999999998E-6</v>
      </c>
      <c r="I502">
        <v>365.79610000000002</v>
      </c>
      <c r="J502">
        <v>-400.32600000000002</v>
      </c>
      <c r="K502">
        <v>1.073442</v>
      </c>
      <c r="L502">
        <v>366.98520000000002</v>
      </c>
      <c r="M502">
        <v>0.99990919999999905</v>
      </c>
      <c r="N502">
        <v>-1.346843E-2</v>
      </c>
      <c r="O502">
        <v>-6.1827620000000003E-4</v>
      </c>
      <c r="P502">
        <v>0.98886819999999997</v>
      </c>
      <c r="Q502">
        <v>0.1481567</v>
      </c>
      <c r="R502">
        <v>1.3759209999999999E-2</v>
      </c>
      <c r="S502">
        <v>3.03653</v>
      </c>
      <c r="T502">
        <v>-1.990724E-2</v>
      </c>
      <c r="U502">
        <v>-2.2064210000000001E-2</v>
      </c>
      <c r="V502">
        <v>-1.436426E-2</v>
      </c>
      <c r="W502">
        <v>0.1614622</v>
      </c>
      <c r="X502">
        <v>0.98677429999999999</v>
      </c>
      <c r="Y502">
        <v>6.6473290000000004E-3</v>
      </c>
      <c r="Z502" s="1">
        <v>-7.0832089999999995E-5</v>
      </c>
      <c r="AA502">
        <v>0.99997789999999998</v>
      </c>
      <c r="AB502">
        <v>28</v>
      </c>
      <c r="AC502">
        <v>163.438099999999</v>
      </c>
      <c r="AD502">
        <v>-1.0734440615909999</v>
      </c>
      <c r="AE502">
        <v>-1.1890999999999901</v>
      </c>
      <c r="AF502">
        <v>1.0879937978844101</v>
      </c>
      <c r="AG502">
        <v>-1.0734440615909999</v>
      </c>
      <c r="AH502">
        <v>163.43175439525601</v>
      </c>
      <c r="AI502">
        <v>90.376313448558506</v>
      </c>
      <c r="AJ502">
        <v>89.618577600660501</v>
      </c>
      <c r="AK502">
        <v>163.438900991682</v>
      </c>
      <c r="AL502">
        <v>80.708221771191404</v>
      </c>
      <c r="AM502">
        <v>90.833983362951599</v>
      </c>
      <c r="AN502">
        <v>0.99999994656733704</v>
      </c>
    </row>
    <row r="503" spans="1:40" x14ac:dyDescent="0.25">
      <c r="A503" t="str">
        <f>"20190303161851957"</f>
        <v>20190303161851957</v>
      </c>
      <c r="B503" t="str">
        <f>"1551601131953560"</f>
        <v>1551601131953560</v>
      </c>
      <c r="C503" t="s">
        <v>40</v>
      </c>
      <c r="D503">
        <v>4.4460240000000004</v>
      </c>
      <c r="E503">
        <v>0.54549609999999904</v>
      </c>
      <c r="F503" t="s">
        <v>42</v>
      </c>
      <c r="G503">
        <v>-399.6121</v>
      </c>
      <c r="H503">
        <v>0.91584560000000004</v>
      </c>
      <c r="I503">
        <v>366.92099999999999</v>
      </c>
      <c r="J503">
        <v>-400.14859999999999</v>
      </c>
      <c r="K503">
        <v>1.07399</v>
      </c>
      <c r="L503">
        <v>366.98509999999999</v>
      </c>
      <c r="M503">
        <v>0.99992559999999997</v>
      </c>
      <c r="N503">
        <v>-1.217435E-2</v>
      </c>
      <c r="O503">
        <v>-6.1783010000000002E-4</v>
      </c>
      <c r="P503">
        <v>0.98869039999999997</v>
      </c>
      <c r="Q503">
        <v>0.1493274</v>
      </c>
      <c r="R503">
        <v>1.388052E-2</v>
      </c>
      <c r="S503">
        <v>3.1416019999999998</v>
      </c>
      <c r="T503">
        <v>-0.69349380000000005</v>
      </c>
      <c r="U503">
        <v>-0.28091430000000001</v>
      </c>
      <c r="V503">
        <v>-1.448498E-2</v>
      </c>
      <c r="W503">
        <v>0.16135350000000001</v>
      </c>
      <c r="X503">
        <v>0.98679039999999996</v>
      </c>
      <c r="Y503">
        <v>8.6281899999999995E-2</v>
      </c>
      <c r="Z503">
        <v>-9.7975679999999996E-3</v>
      </c>
      <c r="AA503">
        <v>0.99622259999999996</v>
      </c>
      <c r="AB503">
        <v>28</v>
      </c>
      <c r="AC503">
        <v>0.53649999999998899</v>
      </c>
      <c r="AD503">
        <v>-0.15814439999999899</v>
      </c>
      <c r="AE503">
        <v>-6.4099999999996202E-2</v>
      </c>
      <c r="AF503">
        <v>5.8736712176895398E-2</v>
      </c>
      <c r="AG503">
        <v>-0.15814439999999899</v>
      </c>
      <c r="AH503">
        <v>0.49420274448127299</v>
      </c>
      <c r="AI503">
        <v>107.628310212565</v>
      </c>
      <c r="AJ503">
        <v>83.222108341353405</v>
      </c>
      <c r="AK503">
        <v>0.52220303068972496</v>
      </c>
      <c r="AL503">
        <v>80.714533353540602</v>
      </c>
      <c r="AM503">
        <v>90.840977597614398</v>
      </c>
      <c r="AN503">
        <v>1.00000003007</v>
      </c>
    </row>
    <row r="504" spans="1:40" x14ac:dyDescent="0.25">
      <c r="A504" t="str">
        <f>"20190303161851972"</f>
        <v>20190303161851972</v>
      </c>
      <c r="B504" t="str">
        <f>"1551601131963320"</f>
        <v>1551601131963320</v>
      </c>
      <c r="C504" t="s">
        <v>40</v>
      </c>
      <c r="D504">
        <v>4.2751089999999996</v>
      </c>
      <c r="E504">
        <v>0.54777399999999998</v>
      </c>
      <c r="F504" t="s">
        <v>42</v>
      </c>
      <c r="G504">
        <v>-399.3338</v>
      </c>
      <c r="H504">
        <v>0.96012160000000002</v>
      </c>
      <c r="I504">
        <v>366.90280000000001</v>
      </c>
      <c r="J504">
        <v>-399.95760000000001</v>
      </c>
      <c r="K504">
        <v>1.0746789999999999</v>
      </c>
      <c r="L504">
        <v>366.98500000000001</v>
      </c>
      <c r="M504">
        <v>0.99994269999999996</v>
      </c>
      <c r="N504">
        <v>-1.0697470000000001E-2</v>
      </c>
      <c r="O504">
        <v>-6.1722980000000001E-4</v>
      </c>
      <c r="P504">
        <v>0.98847660000000004</v>
      </c>
      <c r="Q504">
        <v>0.15073120000000001</v>
      </c>
      <c r="R504">
        <v>1.3944420000000001E-2</v>
      </c>
      <c r="S504">
        <v>3.1042480000000001</v>
      </c>
      <c r="T504">
        <v>-0.43368020000000002</v>
      </c>
      <c r="U504">
        <v>-0.31402590000000002</v>
      </c>
      <c r="V504">
        <v>-1.4548169999999999E-2</v>
      </c>
      <c r="W504">
        <v>0.1612971</v>
      </c>
      <c r="X504">
        <v>0.98679859999999997</v>
      </c>
      <c r="Y504">
        <v>9.9011260000000004E-2</v>
      </c>
      <c r="Z504">
        <v>-7.3201530000000002E-3</v>
      </c>
      <c r="AA504">
        <v>0.99505940000000004</v>
      </c>
      <c r="AB504">
        <v>29</v>
      </c>
      <c r="AC504">
        <v>0.62380000000001701</v>
      </c>
      <c r="AD504">
        <v>-0.1145574</v>
      </c>
      <c r="AE504">
        <v>-8.2200000000000203E-2</v>
      </c>
      <c r="AF504">
        <v>7.91898184899089E-2</v>
      </c>
      <c r="AG504">
        <v>-0.1145574</v>
      </c>
      <c r="AH504">
        <v>0.60383373465866796</v>
      </c>
      <c r="AI504">
        <v>100.653197430856</v>
      </c>
      <c r="AJ504">
        <v>82.528579904827495</v>
      </c>
      <c r="AK504">
        <v>0.61968508482862505</v>
      </c>
      <c r="AL504">
        <v>80.717806885216802</v>
      </c>
      <c r="AM504">
        <v>90.844638772188404</v>
      </c>
      <c r="AN504">
        <v>0.999999940340357</v>
      </c>
    </row>
    <row r="505" spans="1:40" x14ac:dyDescent="0.25">
      <c r="A505" t="str">
        <f>"20190303161851988"</f>
        <v>20190303161851988</v>
      </c>
      <c r="B505" t="str">
        <f>"1551601131983815"</f>
        <v>1551601131983815</v>
      </c>
      <c r="C505" t="s">
        <v>40</v>
      </c>
      <c r="D505">
        <v>4.3165719999999999</v>
      </c>
      <c r="E505">
        <v>0.54833100000000001</v>
      </c>
      <c r="F505" t="s">
        <v>42</v>
      </c>
      <c r="G505">
        <v>-399.06880000000001</v>
      </c>
      <c r="H505">
        <v>0.97624250000000001</v>
      </c>
      <c r="I505">
        <v>366.88900000000001</v>
      </c>
      <c r="J505">
        <v>-399.74709999999999</v>
      </c>
      <c r="K505">
        <v>1.07559</v>
      </c>
      <c r="L505">
        <v>366.98480000000001</v>
      </c>
      <c r="M505">
        <v>0.99995869999999998</v>
      </c>
      <c r="N505">
        <v>-9.0840999999999995E-3</v>
      </c>
      <c r="O505">
        <v>-6.1661370000000004E-4</v>
      </c>
      <c r="P505">
        <v>0.98825660000000004</v>
      </c>
      <c r="Q505">
        <v>0.15215689999999901</v>
      </c>
      <c r="R505">
        <v>1.404511E-2</v>
      </c>
      <c r="S505">
        <v>3.0919490000000001</v>
      </c>
      <c r="T505">
        <v>-0.3426921</v>
      </c>
      <c r="U505">
        <v>-0.33233639999999998</v>
      </c>
      <c r="V505">
        <v>-1.464786E-2</v>
      </c>
      <c r="W505">
        <v>0.16112860000000001</v>
      </c>
      <c r="X505">
        <v>0.9868247</v>
      </c>
      <c r="Y505">
        <v>0.1055667</v>
      </c>
      <c r="Z505">
        <v>-6.2357940000000002E-3</v>
      </c>
      <c r="AA505">
        <v>0.99439270000000002</v>
      </c>
      <c r="AB505">
        <v>29</v>
      </c>
      <c r="AC505">
        <v>0.67829999999997803</v>
      </c>
      <c r="AD505">
        <v>-9.9347500000000102E-2</v>
      </c>
      <c r="AE505">
        <v>-9.5799999999996999E-2</v>
      </c>
      <c r="AF505">
        <v>9.3416917161673496E-2</v>
      </c>
      <c r="AG505">
        <v>-9.9347500000000102E-2</v>
      </c>
      <c r="AH505">
        <v>0.664385212952325</v>
      </c>
      <c r="AI505">
        <v>98.422945988016806</v>
      </c>
      <c r="AJ505">
        <v>81.996307372818194</v>
      </c>
      <c r="AK505">
        <v>0.67823621059181705</v>
      </c>
      <c r="AL505">
        <v>80.727589617202099</v>
      </c>
      <c r="AM505">
        <v>90.850403245585795</v>
      </c>
      <c r="AN505">
        <v>0.99999998703531401</v>
      </c>
    </row>
    <row r="506" spans="1:40" x14ac:dyDescent="0.25">
      <c r="A506" t="str">
        <f>"20190303161852001"</f>
        <v>20190303161852001</v>
      </c>
      <c r="B506" t="str">
        <f>"1551601131993576"</f>
        <v>1551601131993576</v>
      </c>
      <c r="C506" t="s">
        <v>40</v>
      </c>
      <c r="D506">
        <v>4.3604349999999998</v>
      </c>
      <c r="E506">
        <v>0.54823429999999995</v>
      </c>
      <c r="F506" t="s">
        <v>42</v>
      </c>
      <c r="G506">
        <v>-398.80029999999999</v>
      </c>
      <c r="H506">
        <v>0.99902049999999998</v>
      </c>
      <c r="I506">
        <v>366.88119999999998</v>
      </c>
      <c r="J506">
        <v>-399.5729</v>
      </c>
      <c r="K506">
        <v>1.07646</v>
      </c>
      <c r="L506">
        <v>366.98469999999998</v>
      </c>
      <c r="M506">
        <v>0.9999692</v>
      </c>
      <c r="N506">
        <v>-7.8294319999999903E-3</v>
      </c>
      <c r="O506">
        <v>-6.161726E-4</v>
      </c>
      <c r="P506">
        <v>0.98808399999999996</v>
      </c>
      <c r="Q506">
        <v>0.15327679999999999</v>
      </c>
      <c r="R506">
        <v>1.400999E-2</v>
      </c>
      <c r="S506">
        <v>3.0787049999999998</v>
      </c>
      <c r="T506">
        <v>-0.24894230000000001</v>
      </c>
      <c r="U506">
        <v>-0.33718870000000001</v>
      </c>
      <c r="V506">
        <v>-1.4612389999999999E-2</v>
      </c>
      <c r="W506">
        <v>0.1610086</v>
      </c>
      <c r="X506">
        <v>0.98684479999999997</v>
      </c>
      <c r="Y506">
        <v>0.1078789</v>
      </c>
      <c r="Z506">
        <v>-4.721027E-3</v>
      </c>
      <c r="AA506">
        <v>0.99415279999999995</v>
      </c>
      <c r="AB506">
        <v>29</v>
      </c>
      <c r="AC506">
        <v>0.77260000000001094</v>
      </c>
      <c r="AD506">
        <v>-7.7439499999999994E-2</v>
      </c>
      <c r="AE506">
        <v>-0.103499999999996</v>
      </c>
      <c r="AF506">
        <v>0.1020170633497</v>
      </c>
      <c r="AG506">
        <v>-7.7439499999999994E-2</v>
      </c>
      <c r="AH506">
        <v>0.76511242651244404</v>
      </c>
      <c r="AI506">
        <v>95.729048697489006</v>
      </c>
      <c r="AJ506">
        <v>82.405204094628502</v>
      </c>
      <c r="AK506">
        <v>0.77575858524318497</v>
      </c>
      <c r="AL506">
        <v>80.734555960186697</v>
      </c>
      <c r="AM506">
        <v>90.848327006923896</v>
      </c>
      <c r="AN506">
        <v>0.99999997525125495</v>
      </c>
    </row>
    <row r="507" spans="1:40" x14ac:dyDescent="0.25">
      <c r="A507" t="str">
        <f>"20190303161852021"</f>
        <v>20190303161852021</v>
      </c>
      <c r="B507" t="str">
        <f>"1551601132013096"</f>
        <v>1551601132013096</v>
      </c>
      <c r="C507" t="s">
        <v>40</v>
      </c>
      <c r="D507">
        <v>4.3319779999999897</v>
      </c>
      <c r="E507">
        <v>0.54889429999999995</v>
      </c>
      <c r="F507" t="s">
        <v>41</v>
      </c>
      <c r="G507">
        <v>-384.85629999999998</v>
      </c>
      <c r="H507" s="1">
        <v>-2.941489E-6</v>
      </c>
      <c r="I507">
        <v>365.37389999999999</v>
      </c>
      <c r="J507">
        <v>-399.31209999999999</v>
      </c>
      <c r="K507">
        <v>1.0778509999999999</v>
      </c>
      <c r="L507">
        <v>366.9846</v>
      </c>
      <c r="M507">
        <v>0.99998160000000003</v>
      </c>
      <c r="N507">
        <v>-6.0554939999999998E-3</v>
      </c>
      <c r="O507">
        <v>-6.1606019999999896E-4</v>
      </c>
      <c r="P507">
        <v>0.98778259999999996</v>
      </c>
      <c r="Q507">
        <v>0.15521219999999999</v>
      </c>
      <c r="R507">
        <v>1.396796E-2</v>
      </c>
      <c r="S507">
        <v>3.0758969999999999</v>
      </c>
      <c r="T507">
        <v>-0.22498799999999999</v>
      </c>
      <c r="U507">
        <v>-0.33666990000000002</v>
      </c>
      <c r="V507">
        <v>-1.4570069999999999E-2</v>
      </c>
      <c r="W507">
        <v>0.16119159999999999</v>
      </c>
      <c r="X507">
        <v>0.98681560000000001</v>
      </c>
      <c r="Y507">
        <v>0.1078847</v>
      </c>
      <c r="Z507">
        <v>-4.2156269999999996E-3</v>
      </c>
      <c r="AA507">
        <v>0.99415450000000005</v>
      </c>
      <c r="AB507">
        <v>29</v>
      </c>
      <c r="AC507">
        <v>14.4558</v>
      </c>
      <c r="AD507">
        <v>-1.077853941489</v>
      </c>
      <c r="AE507">
        <v>-1.6107</v>
      </c>
      <c r="AF507">
        <v>1.59304595868046</v>
      </c>
      <c r="AG507">
        <v>-1.077853941489</v>
      </c>
      <c r="AH507">
        <v>14.377836215490399</v>
      </c>
      <c r="AI507">
        <v>94.261256625223695</v>
      </c>
      <c r="AJ507">
        <v>83.677488843648902</v>
      </c>
      <c r="AK507">
        <v>14.505920818242499</v>
      </c>
      <c r="AL507">
        <v>80.723932516378497</v>
      </c>
      <c r="AM507">
        <v>90.845895488969603</v>
      </c>
      <c r="AN507">
        <v>1.00000002362686</v>
      </c>
    </row>
    <row r="508" spans="1:40" x14ac:dyDescent="0.25">
      <c r="A508" t="str">
        <f>"20190303161852037"</f>
        <v>20190303161852037</v>
      </c>
      <c r="B508" t="str">
        <f>"1551601132033592"</f>
        <v>1551601132033592</v>
      </c>
      <c r="C508" t="s">
        <v>40</v>
      </c>
      <c r="D508">
        <v>4.2976409999999996</v>
      </c>
      <c r="E508">
        <v>0.54913690000000004</v>
      </c>
      <c r="F508" t="s">
        <v>41</v>
      </c>
      <c r="G508">
        <v>-380.97160000000002</v>
      </c>
      <c r="H508" s="1">
        <v>-4.6851850000000003E-6</v>
      </c>
      <c r="I508">
        <v>364.93860000000001</v>
      </c>
      <c r="J508">
        <v>-399.1232</v>
      </c>
      <c r="K508">
        <v>1.078891</v>
      </c>
      <c r="L508">
        <v>366.98450000000003</v>
      </c>
      <c r="M508">
        <v>0.99998810000000005</v>
      </c>
      <c r="N508">
        <v>-4.8513790000000003E-3</v>
      </c>
      <c r="O508">
        <v>-6.15972E-4</v>
      </c>
      <c r="P508">
        <v>0.98763330000000005</v>
      </c>
      <c r="Q508">
        <v>0.15617159999999999</v>
      </c>
      <c r="R508">
        <v>1.38187E-2</v>
      </c>
      <c r="S508">
        <v>3.0703130000000001</v>
      </c>
      <c r="T508">
        <v>-0.1804395</v>
      </c>
      <c r="U508">
        <v>-0.34249879999999999</v>
      </c>
      <c r="V508">
        <v>-1.4420509999999999E-2</v>
      </c>
      <c r="W508">
        <v>0.16096199999999999</v>
      </c>
      <c r="X508">
        <v>0.98685529999999999</v>
      </c>
      <c r="Y508">
        <v>0.1100496</v>
      </c>
      <c r="Z508">
        <v>-3.4559450000000002E-3</v>
      </c>
      <c r="AA508">
        <v>0.99392009999999997</v>
      </c>
      <c r="AB508">
        <v>29</v>
      </c>
      <c r="AC508">
        <v>18.151599999999899</v>
      </c>
      <c r="AD508">
        <v>-1.078895685185</v>
      </c>
      <c r="AE508">
        <v>-2.0459000000000098</v>
      </c>
      <c r="AF508">
        <v>2.0276450359535199</v>
      </c>
      <c r="AG508">
        <v>-1.078895685185</v>
      </c>
      <c r="AH508">
        <v>18.089749555736699</v>
      </c>
      <c r="AI508">
        <v>93.391958822929396</v>
      </c>
      <c r="AJ508">
        <v>83.604521453610403</v>
      </c>
      <c r="AK508">
        <v>18.2349773589279</v>
      </c>
      <c r="AL508">
        <v>80.737261925959103</v>
      </c>
      <c r="AM508">
        <v>90.837180041467704</v>
      </c>
      <c r="AN508">
        <v>1.0000000498453701</v>
      </c>
    </row>
    <row r="509" spans="1:40" x14ac:dyDescent="0.25">
      <c r="A509" t="str">
        <f>"20190303161852053"</f>
        <v>20190303161852053</v>
      </c>
      <c r="B509" t="str">
        <f>"1551601132043860"</f>
        <v>1551601132043860</v>
      </c>
      <c r="C509" t="s">
        <v>40</v>
      </c>
      <c r="D509">
        <v>4.3041660000000004</v>
      </c>
      <c r="E509">
        <v>0.54905219999999999</v>
      </c>
      <c r="F509" t="s">
        <v>41</v>
      </c>
      <c r="G509">
        <v>-377.0043</v>
      </c>
      <c r="H509" s="1">
        <v>-2.3676020000000001E-6</v>
      </c>
      <c r="I509">
        <v>364.49709999999999</v>
      </c>
      <c r="J509">
        <v>-398.89409999999998</v>
      </c>
      <c r="K509">
        <v>1.080155</v>
      </c>
      <c r="L509">
        <v>366.98430000000002</v>
      </c>
      <c r="M509">
        <v>0.99999380000000004</v>
      </c>
      <c r="N509">
        <v>-3.4763530000000002E-3</v>
      </c>
      <c r="O509">
        <v>-6.159437E-4</v>
      </c>
      <c r="P509">
        <v>0.98739759999999999</v>
      </c>
      <c r="Q509">
        <v>0.15766649999999999</v>
      </c>
      <c r="R509">
        <v>1.3679119999999999E-2</v>
      </c>
      <c r="S509">
        <v>3.0660400000000001</v>
      </c>
      <c r="T509">
        <v>-0.14955209999999999</v>
      </c>
      <c r="U509">
        <v>-0.34478760000000003</v>
      </c>
      <c r="V509">
        <v>-1.4280899999999999E-2</v>
      </c>
      <c r="W509">
        <v>0.16109849999999901</v>
      </c>
      <c r="X509">
        <v>0.98683500000000002</v>
      </c>
      <c r="Y509">
        <v>0.11099820000000001</v>
      </c>
      <c r="Z509">
        <v>-2.8628479999999999E-3</v>
      </c>
      <c r="AA509">
        <v>0.99381649999999999</v>
      </c>
      <c r="AB509">
        <v>29</v>
      </c>
      <c r="AC509">
        <v>21.889799999999902</v>
      </c>
      <c r="AD509">
        <v>-1.080157367602</v>
      </c>
      <c r="AE509">
        <v>-2.4872000000000298</v>
      </c>
      <c r="AF509">
        <v>2.46778421429326</v>
      </c>
      <c r="AG509">
        <v>-1.080157367602</v>
      </c>
      <c r="AH509">
        <v>21.838829099184199</v>
      </c>
      <c r="AI509">
        <v>92.813687172109198</v>
      </c>
      <c r="AJ509">
        <v>83.552933996160903</v>
      </c>
      <c r="AK509">
        <v>22.004344009546699</v>
      </c>
      <c r="AL509">
        <v>80.729337114138303</v>
      </c>
      <c r="AM509">
        <v>90.829093197982601</v>
      </c>
      <c r="AN509">
        <v>0.99999999401603001</v>
      </c>
    </row>
    <row r="510" spans="1:40" x14ac:dyDescent="0.25">
      <c r="A510" t="str">
        <f>"20190303161852066"</f>
        <v>20190303161852066</v>
      </c>
      <c r="B510" t="str">
        <f>"1551601132053620"</f>
        <v>1551601132053620</v>
      </c>
      <c r="C510" t="s">
        <v>40</v>
      </c>
      <c r="D510">
        <v>4.2830589999999997</v>
      </c>
      <c r="E510">
        <v>0.54875739999999995</v>
      </c>
      <c r="F510" t="s">
        <v>41</v>
      </c>
      <c r="G510">
        <v>-374.53620000000001</v>
      </c>
      <c r="H510" s="1">
        <v>-3.2797780000000002E-6</v>
      </c>
      <c r="I510">
        <v>364.24079999999998</v>
      </c>
      <c r="J510">
        <v>-398.73140000000001</v>
      </c>
      <c r="K510">
        <v>1.081059</v>
      </c>
      <c r="L510">
        <v>366.98430000000002</v>
      </c>
      <c r="M510">
        <v>0.99999640000000001</v>
      </c>
      <c r="N510">
        <v>-2.6039959999999999E-3</v>
      </c>
      <c r="O510">
        <v>-6.1579279999999896E-4</v>
      </c>
      <c r="P510">
        <v>0.98728830000000001</v>
      </c>
      <c r="Q510">
        <v>0.158357</v>
      </c>
      <c r="R510">
        <v>1.3607589999999999E-2</v>
      </c>
      <c r="S510">
        <v>3.0647280000000001</v>
      </c>
      <c r="T510">
        <v>-0.1359061</v>
      </c>
      <c r="U510">
        <v>-0.3451843</v>
      </c>
      <c r="V510">
        <v>-1.4209299999999999E-2</v>
      </c>
      <c r="W510">
        <v>0.1609276</v>
      </c>
      <c r="X510">
        <v>0.98686390000000002</v>
      </c>
      <c r="Y510">
        <v>0.1111979</v>
      </c>
      <c r="Z510">
        <v>-2.576283E-3</v>
      </c>
      <c r="AA510">
        <v>0.99379490000000004</v>
      </c>
      <c r="AB510">
        <v>29</v>
      </c>
      <c r="AC510">
        <v>24.1952</v>
      </c>
      <c r="AD510">
        <v>-1.0810622797780001</v>
      </c>
      <c r="AE510">
        <v>-2.74350000000004</v>
      </c>
      <c r="AF510">
        <v>2.7232326076399498</v>
      </c>
      <c r="AG510">
        <v>-1.0810622797780001</v>
      </c>
      <c r="AH510">
        <v>24.149285717354498</v>
      </c>
      <c r="AI510">
        <v>92.547058610288502</v>
      </c>
      <c r="AJ510">
        <v>83.566130121626799</v>
      </c>
      <c r="AK510">
        <v>24.326378525100999</v>
      </c>
      <c r="AL510">
        <v>80.739258253254903</v>
      </c>
      <c r="AM510">
        <v>90.824912803236501</v>
      </c>
      <c r="AN510">
        <v>0.99999997688572895</v>
      </c>
    </row>
    <row r="511" spans="1:40" x14ac:dyDescent="0.25">
      <c r="A511" t="str">
        <f>"20190303161852078"</f>
        <v>20190303161852078</v>
      </c>
      <c r="B511" t="str">
        <f>"1551601132073141"</f>
        <v>1551601132073141</v>
      </c>
      <c r="C511" t="s">
        <v>40</v>
      </c>
      <c r="D511">
        <v>4.230448</v>
      </c>
      <c r="E511">
        <v>0.54831189999999996</v>
      </c>
      <c r="F511" t="s">
        <v>41</v>
      </c>
      <c r="G511">
        <v>-372.2115</v>
      </c>
      <c r="H511" s="1">
        <v>-4.3174320000000004E-6</v>
      </c>
      <c r="I511">
        <v>364.01330000000002</v>
      </c>
      <c r="J511">
        <v>-398.572</v>
      </c>
      <c r="K511">
        <v>1.0820379999999901</v>
      </c>
      <c r="L511">
        <v>366.98419999999999</v>
      </c>
      <c r="M511">
        <v>0.99999749999999998</v>
      </c>
      <c r="N511">
        <v>-2.2095499999999998E-3</v>
      </c>
      <c r="O511">
        <v>-6.1566799999999999E-4</v>
      </c>
      <c r="P511">
        <v>0.98722639999999995</v>
      </c>
      <c r="Q511">
        <v>0.15876289999999901</v>
      </c>
      <c r="R511">
        <v>1.336818E-2</v>
      </c>
      <c r="S511">
        <v>3.0633539999999999</v>
      </c>
      <c r="T511">
        <v>-0.12487529999999999</v>
      </c>
      <c r="U511">
        <v>-0.34317019999999998</v>
      </c>
      <c r="V511">
        <v>-1.396974E-2</v>
      </c>
      <c r="W511">
        <v>0.16094459999999999</v>
      </c>
      <c r="X511">
        <v>0.98686459999999998</v>
      </c>
      <c r="Y511">
        <v>0.11062080000000001</v>
      </c>
      <c r="Z511">
        <v>-2.3457249999999999E-3</v>
      </c>
      <c r="AA511">
        <v>0.99385990000000002</v>
      </c>
      <c r="AB511">
        <v>29</v>
      </c>
      <c r="AC511">
        <v>26.360499999999899</v>
      </c>
      <c r="AD511">
        <v>-1.08204231743199</v>
      </c>
      <c r="AE511">
        <v>-2.9708999999999701</v>
      </c>
      <c r="AF511">
        <v>2.9497622860572199</v>
      </c>
      <c r="AG511">
        <v>-1.08204231743199</v>
      </c>
      <c r="AH511">
        <v>26.318535472421399</v>
      </c>
      <c r="AI511">
        <v>92.339660868806305</v>
      </c>
      <c r="AJ511">
        <v>83.605019063129404</v>
      </c>
      <c r="AK511">
        <v>26.505418739081598</v>
      </c>
      <c r="AL511">
        <v>80.738271841219301</v>
      </c>
      <c r="AM511">
        <v>90.811006582445799</v>
      </c>
      <c r="AN511">
        <v>1.00000002831899</v>
      </c>
    </row>
    <row r="512" spans="1:40" x14ac:dyDescent="0.25">
      <c r="A512" t="str">
        <f>"20190303161852091"</f>
        <v>20190303161852091</v>
      </c>
      <c r="B512" t="str">
        <f>"1551601132083877"</f>
        <v>1551601132083877</v>
      </c>
      <c r="C512" t="s">
        <v>40</v>
      </c>
      <c r="D512">
        <v>4.2582230000000001</v>
      </c>
      <c r="E512">
        <v>0.54818169999999899</v>
      </c>
      <c r="F512" t="s">
        <v>41</v>
      </c>
      <c r="G512">
        <v>-367.77120000000002</v>
      </c>
      <c r="H512" s="1">
        <v>-2.3562349999999999E-6</v>
      </c>
      <c r="I512">
        <v>363.55889999999999</v>
      </c>
      <c r="J512">
        <v>-398.40809999999999</v>
      </c>
      <c r="K512">
        <v>1.0831839999999999</v>
      </c>
      <c r="L512">
        <v>366.98410000000001</v>
      </c>
      <c r="M512">
        <v>0.99999780000000005</v>
      </c>
      <c r="N512">
        <v>-2.0765890000000002E-3</v>
      </c>
      <c r="O512">
        <v>-6.1552280000000002E-4</v>
      </c>
      <c r="P512">
        <v>0.9871896</v>
      </c>
      <c r="Q512">
        <v>0.1590182</v>
      </c>
      <c r="R512">
        <v>1.304928E-2</v>
      </c>
      <c r="S512">
        <v>3.06073</v>
      </c>
      <c r="T512">
        <v>-0.10752399999999999</v>
      </c>
      <c r="U512">
        <v>-0.34036250000000001</v>
      </c>
      <c r="V512">
        <v>-1.3650880000000001E-2</v>
      </c>
      <c r="W512">
        <v>0.1610684</v>
      </c>
      <c r="X512">
        <v>0.98684879999999997</v>
      </c>
      <c r="Y512">
        <v>0.1098394</v>
      </c>
      <c r="Z512">
        <v>-2.0169810000000002E-3</v>
      </c>
      <c r="AA512">
        <v>0.99394729999999998</v>
      </c>
      <c r="AB512">
        <v>29</v>
      </c>
      <c r="AC512">
        <v>30.636899999999901</v>
      </c>
      <c r="AD512">
        <v>-1.0831863562349999</v>
      </c>
      <c r="AE512">
        <v>-3.42520000000001</v>
      </c>
      <c r="AF512">
        <v>3.4021413600217301</v>
      </c>
      <c r="AG512">
        <v>-1.0831863562349999</v>
      </c>
      <c r="AH512">
        <v>30.601222588459599</v>
      </c>
      <c r="AI512">
        <v>92.014839347324695</v>
      </c>
      <c r="AJ512">
        <v>83.656099071490402</v>
      </c>
      <c r="AK512">
        <v>30.8088085200378</v>
      </c>
      <c r="AL512">
        <v>80.731084266060805</v>
      </c>
      <c r="AM512">
        <v>90.792510392650499</v>
      </c>
      <c r="AN512">
        <v>0.99999996503238597</v>
      </c>
    </row>
    <row r="513" spans="1:40" x14ac:dyDescent="0.25">
      <c r="A513" t="str">
        <f>"20190303161852110"</f>
        <v>20190303161852110</v>
      </c>
      <c r="B513" t="str">
        <f>"1551601132103397"</f>
        <v>1551601132103397</v>
      </c>
      <c r="C513" t="s">
        <v>40</v>
      </c>
      <c r="D513">
        <v>4.2679799999999997</v>
      </c>
      <c r="E513">
        <v>0.54797410000000002</v>
      </c>
      <c r="F513" t="s">
        <v>41</v>
      </c>
      <c r="G513">
        <v>-365.21789999999999</v>
      </c>
      <c r="H513" s="1">
        <v>-3.2957289999999998E-6</v>
      </c>
      <c r="I513">
        <v>363.29360000000003</v>
      </c>
      <c r="J513">
        <v>-398.17570000000001</v>
      </c>
      <c r="K513">
        <v>1.0850580000000001</v>
      </c>
      <c r="L513">
        <v>366.98390000000001</v>
      </c>
      <c r="M513">
        <v>0.99999740000000004</v>
      </c>
      <c r="N513">
        <v>-2.250602E-3</v>
      </c>
      <c r="O513">
        <v>-6.1547589999999997E-4</v>
      </c>
      <c r="P513">
        <v>0.98717880000000002</v>
      </c>
      <c r="Q513">
        <v>0.1590869</v>
      </c>
      <c r="R513">
        <v>1.302349E-2</v>
      </c>
      <c r="S513">
        <v>3.0595089999999998</v>
      </c>
      <c r="T513">
        <v>-9.9849099999999996E-2</v>
      </c>
      <c r="U513">
        <v>-0.34017940000000002</v>
      </c>
      <c r="V513">
        <v>-1.3625399999999999E-2</v>
      </c>
      <c r="W513">
        <v>0.1613088</v>
      </c>
      <c r="X513">
        <v>0.98680990000000002</v>
      </c>
      <c r="Y513">
        <v>0.109833399999999</v>
      </c>
      <c r="Z513">
        <v>-1.891638E-3</v>
      </c>
      <c r="AA513">
        <v>0.99394819999999995</v>
      </c>
      <c r="AB513">
        <v>29</v>
      </c>
      <c r="AC513">
        <v>32.957799999999999</v>
      </c>
      <c r="AD513">
        <v>-1.085061295729</v>
      </c>
      <c r="AE513">
        <v>-3.6902999999999699</v>
      </c>
      <c r="AF513">
        <v>3.6660900219483801</v>
      </c>
      <c r="AG513">
        <v>-1.085061295729</v>
      </c>
      <c r="AH513">
        <v>32.924819490724602</v>
      </c>
      <c r="AI513">
        <v>91.875955734867304</v>
      </c>
      <c r="AJ513">
        <v>83.646440544571405</v>
      </c>
      <c r="AK513">
        <v>33.146060287179203</v>
      </c>
      <c r="AL513">
        <v>80.717127997423802</v>
      </c>
      <c r="AM513">
        <v>90.791062501879907</v>
      </c>
      <c r="AN513">
        <v>0.99999997961030396</v>
      </c>
    </row>
    <row r="514" spans="1:40" x14ac:dyDescent="0.25">
      <c r="A514" t="str">
        <f>"20190303161852121"</f>
        <v>20190303161852121</v>
      </c>
      <c r="B514" t="str">
        <f>"1551601132113156"</f>
        <v>1551601132113156</v>
      </c>
      <c r="C514" t="s">
        <v>40</v>
      </c>
      <c r="D514">
        <v>4.2596610000000004</v>
      </c>
      <c r="E514">
        <v>0.54790190000000005</v>
      </c>
      <c r="F514" t="s">
        <v>41</v>
      </c>
      <c r="G514">
        <v>-361.82209999999998</v>
      </c>
      <c r="H514" s="1">
        <v>-4.6716619999999999E-6</v>
      </c>
      <c r="I514">
        <v>362.9581</v>
      </c>
      <c r="J514">
        <v>-398.0197</v>
      </c>
      <c r="K514">
        <v>1.0864130000000001</v>
      </c>
      <c r="L514">
        <v>366.98390000000001</v>
      </c>
      <c r="M514">
        <v>0.99999700000000002</v>
      </c>
      <c r="N514">
        <v>-2.3712659999999999E-3</v>
      </c>
      <c r="O514">
        <v>-6.1549849999999998E-4</v>
      </c>
      <c r="P514">
        <v>0.98719509999999999</v>
      </c>
      <c r="Q514">
        <v>0.15898199999999901</v>
      </c>
      <c r="R514">
        <v>1.304964E-2</v>
      </c>
      <c r="S514">
        <v>3.0581360000000002</v>
      </c>
      <c r="T514">
        <v>-9.1277479999999994E-2</v>
      </c>
      <c r="U514">
        <v>-0.338653599999999</v>
      </c>
      <c r="V514">
        <v>-1.365078E-2</v>
      </c>
      <c r="W514">
        <v>0.16132299999999999</v>
      </c>
      <c r="X514">
        <v>0.98680730000000005</v>
      </c>
      <c r="Y514">
        <v>0.1094022</v>
      </c>
      <c r="Z514">
        <v>-1.740634E-3</v>
      </c>
      <c r="AA514">
        <v>0.99399599999999999</v>
      </c>
      <c r="AB514">
        <v>29</v>
      </c>
      <c r="AC514">
        <v>36.197600000000001</v>
      </c>
      <c r="AD514">
        <v>-1.08641767166199</v>
      </c>
      <c r="AE514">
        <v>-4.0258000000000003</v>
      </c>
      <c r="AF514">
        <v>3.99996041919941</v>
      </c>
      <c r="AG514">
        <v>-1.08641767166199</v>
      </c>
      <c r="AH514">
        <v>36.167888635057203</v>
      </c>
      <c r="AI514">
        <v>91.7101234772054</v>
      </c>
      <c r="AJ514">
        <v>83.689062879639593</v>
      </c>
      <c r="AK514">
        <v>36.4046172213136</v>
      </c>
      <c r="AL514">
        <v>80.7163042661373</v>
      </c>
      <c r="AM514">
        <v>90.792537912212296</v>
      </c>
      <c r="AN514">
        <v>1.0000000507284399</v>
      </c>
    </row>
    <row r="515" spans="1:40" x14ac:dyDescent="0.25">
      <c r="A515" t="str">
        <f>"20190303161852132"</f>
        <v>20190303161852132</v>
      </c>
      <c r="B515" t="str">
        <f>"1551601132123894"</f>
        <v>1551601132123894</v>
      </c>
      <c r="C515" t="s">
        <v>40</v>
      </c>
      <c r="D515">
        <v>4.2385769999999896</v>
      </c>
      <c r="E515">
        <v>0.54782659999999905</v>
      </c>
      <c r="F515" t="s">
        <v>41</v>
      </c>
      <c r="G515">
        <v>-359.71289999999999</v>
      </c>
      <c r="H515" s="1">
        <v>-1.911897E-6</v>
      </c>
      <c r="I515">
        <v>362.74560000000002</v>
      </c>
      <c r="J515">
        <v>-397.8809</v>
      </c>
      <c r="K515">
        <v>1.087645</v>
      </c>
      <c r="L515">
        <v>366.98379999999997</v>
      </c>
      <c r="M515">
        <v>0.99999729999999998</v>
      </c>
      <c r="N515">
        <v>-2.339734E-3</v>
      </c>
      <c r="O515">
        <v>-6.1558010000000005E-4</v>
      </c>
      <c r="P515">
        <v>0.98719670000000004</v>
      </c>
      <c r="Q515">
        <v>0.15898809999999999</v>
      </c>
      <c r="R515">
        <v>1.2870599999999999E-2</v>
      </c>
      <c r="S515">
        <v>3.0573429999999999</v>
      </c>
      <c r="T515">
        <v>-8.6708660000000007E-2</v>
      </c>
      <c r="U515">
        <v>-0.33825680000000002</v>
      </c>
      <c r="V515">
        <v>-1.3472029999999999E-2</v>
      </c>
      <c r="W515">
        <v>0.16129749999999901</v>
      </c>
      <c r="X515">
        <v>0.98681379999999996</v>
      </c>
      <c r="Y515">
        <v>0.1093079</v>
      </c>
      <c r="Z515">
        <v>-1.657333E-3</v>
      </c>
      <c r="AA515">
        <v>0.99400659999999996</v>
      </c>
      <c r="AB515">
        <v>29</v>
      </c>
      <c r="AC515">
        <v>38.167999999999999</v>
      </c>
      <c r="AD515">
        <v>-1.087646911897</v>
      </c>
      <c r="AE515">
        <v>-4.2381999999999396</v>
      </c>
      <c r="AF515">
        <v>4.2113255670130103</v>
      </c>
      <c r="AG515">
        <v>-1.087646911897</v>
      </c>
      <c r="AH515">
        <v>38.140007765139401</v>
      </c>
      <c r="AI515">
        <v>91.623611282387998</v>
      </c>
      <c r="AJ515">
        <v>83.699065710312595</v>
      </c>
      <c r="AK515">
        <v>38.387217028084102</v>
      </c>
      <c r="AL515">
        <v>80.7177835424405</v>
      </c>
      <c r="AM515">
        <v>90.782156179066007</v>
      </c>
      <c r="AN515">
        <v>0.99999992748450195</v>
      </c>
    </row>
    <row r="516" spans="1:40" x14ac:dyDescent="0.25">
      <c r="A516" t="str">
        <f>"20190303161852145"</f>
        <v>20190303161852145</v>
      </c>
      <c r="B516" t="str">
        <f>"1551601132133652"</f>
        <v>1551601132133652</v>
      </c>
      <c r="C516" t="s">
        <v>40</v>
      </c>
      <c r="D516">
        <v>4.2458359999999997</v>
      </c>
      <c r="E516">
        <v>0.54777089999999995</v>
      </c>
      <c r="F516" t="s">
        <v>41</v>
      </c>
      <c r="G516">
        <v>-357.93619999999999</v>
      </c>
      <c r="H516" s="1">
        <v>-2.565607E-6</v>
      </c>
      <c r="I516">
        <v>362.56119999999999</v>
      </c>
      <c r="J516">
        <v>-397.71809999999999</v>
      </c>
      <c r="K516">
        <v>1.089108</v>
      </c>
      <c r="L516">
        <v>366.98360000000002</v>
      </c>
      <c r="M516">
        <v>0.99999740000000004</v>
      </c>
      <c r="N516">
        <v>-2.2403620000000001E-3</v>
      </c>
      <c r="O516">
        <v>-6.1570310000000003E-4</v>
      </c>
      <c r="P516">
        <v>0.98718170000000005</v>
      </c>
      <c r="Q516">
        <v>0.15906719999999999</v>
      </c>
      <c r="R516">
        <v>1.3050539999999999E-2</v>
      </c>
      <c r="S516">
        <v>3.0567929999999999</v>
      </c>
      <c r="T516">
        <v>-8.3232639999999997E-2</v>
      </c>
      <c r="U516">
        <v>-0.33843990000000002</v>
      </c>
      <c r="V516">
        <v>-1.365182E-2</v>
      </c>
      <c r="W516">
        <v>0.1612787</v>
      </c>
      <c r="X516">
        <v>0.98681450000000004</v>
      </c>
      <c r="Y516">
        <v>0.10938970000000001</v>
      </c>
      <c r="Z516">
        <v>-1.592062E-3</v>
      </c>
      <c r="AA516">
        <v>0.99399760000000004</v>
      </c>
      <c r="AB516">
        <v>29</v>
      </c>
      <c r="AC516">
        <v>39.7819</v>
      </c>
      <c r="AD516">
        <v>-1.0891105656069999</v>
      </c>
      <c r="AE516">
        <v>-4.4224000000000396</v>
      </c>
      <c r="AF516">
        <v>4.3946516701658798</v>
      </c>
      <c r="AG516">
        <v>-1.0891105656069999</v>
      </c>
      <c r="AH516">
        <v>39.755182484258498</v>
      </c>
      <c r="AI516">
        <v>91.559754161559397</v>
      </c>
      <c r="AJ516">
        <v>83.691971453242701</v>
      </c>
      <c r="AK516">
        <v>40.012168892512001</v>
      </c>
      <c r="AL516">
        <v>80.718875899982507</v>
      </c>
      <c r="AM516">
        <v>90.792592502679298</v>
      </c>
      <c r="AN516">
        <v>1.0000000243366201</v>
      </c>
    </row>
    <row r="517" spans="1:40" x14ac:dyDescent="0.25">
      <c r="A517" t="str">
        <f>"20190303161852166"</f>
        <v>20190303161852166</v>
      </c>
      <c r="B517" t="str">
        <f>"1551601132153173"</f>
        <v>1551601132153173</v>
      </c>
      <c r="C517" t="s">
        <v>40</v>
      </c>
      <c r="D517">
        <v>4.2847939999999998</v>
      </c>
      <c r="E517">
        <v>0.5475584</v>
      </c>
      <c r="F517" t="s">
        <v>41</v>
      </c>
      <c r="G517">
        <v>-356.09879999999998</v>
      </c>
      <c r="H517" s="1">
        <v>-3.236913E-6</v>
      </c>
      <c r="I517">
        <v>362.38819999999998</v>
      </c>
      <c r="J517">
        <v>-397.45080000000002</v>
      </c>
      <c r="K517">
        <v>1.0916380000000001</v>
      </c>
      <c r="L517">
        <v>366.98349999999999</v>
      </c>
      <c r="M517">
        <v>0.99999780000000005</v>
      </c>
      <c r="N517">
        <v>-2.0914509999999998E-3</v>
      </c>
      <c r="O517">
        <v>-6.1553919999999998E-4</v>
      </c>
      <c r="P517">
        <v>0.98713390000000001</v>
      </c>
      <c r="Q517">
        <v>0.15936910000000001</v>
      </c>
      <c r="R517">
        <v>1.298731E-2</v>
      </c>
      <c r="S517">
        <v>3.056305</v>
      </c>
      <c r="T517">
        <v>-7.9978350000000004E-2</v>
      </c>
      <c r="U517">
        <v>-0.33746340000000002</v>
      </c>
      <c r="V517">
        <v>-1.358842E-2</v>
      </c>
      <c r="W517">
        <v>0.16143399999999999</v>
      </c>
      <c r="X517">
        <v>0.9867899</v>
      </c>
      <c r="Y517">
        <v>0.109097</v>
      </c>
      <c r="Z517">
        <v>-1.522556E-3</v>
      </c>
      <c r="AA517">
        <v>0.99402990000000002</v>
      </c>
      <c r="AB517">
        <v>29</v>
      </c>
      <c r="AC517">
        <v>41.351999999999997</v>
      </c>
      <c r="AD517">
        <v>-1.091641236913</v>
      </c>
      <c r="AE517">
        <v>-4.5952999999999999</v>
      </c>
      <c r="AF517">
        <v>4.56670161520523</v>
      </c>
      <c r="AG517">
        <v>-1.091641236913</v>
      </c>
      <c r="AH517">
        <v>41.3263719680874</v>
      </c>
      <c r="AI517">
        <v>91.503972859727895</v>
      </c>
      <c r="AJ517">
        <v>83.694209305564399</v>
      </c>
      <c r="AK517">
        <v>41.592252454960501</v>
      </c>
      <c r="AL517">
        <v>80.709858967747806</v>
      </c>
      <c r="AM517">
        <v>90.788931778917899</v>
      </c>
      <c r="AN517">
        <v>0.99999994412805104</v>
      </c>
    </row>
    <row r="518" spans="1:40" x14ac:dyDescent="0.25">
      <c r="A518" t="str">
        <f>"20190303161852177"</f>
        <v>20190303161852177</v>
      </c>
      <c r="B518" t="str">
        <f>"1551601132173668"</f>
        <v>1551601132173668</v>
      </c>
      <c r="C518" t="s">
        <v>40</v>
      </c>
      <c r="D518">
        <v>4.2730739999999896</v>
      </c>
      <c r="E518">
        <v>0.54762349999999904</v>
      </c>
      <c r="F518" t="s">
        <v>41</v>
      </c>
      <c r="G518">
        <v>-351.61360000000002</v>
      </c>
      <c r="H518" s="1">
        <v>-4.9411970000000004E-6</v>
      </c>
      <c r="I518">
        <v>361.94290000000001</v>
      </c>
      <c r="J518">
        <v>-397.29599999999999</v>
      </c>
      <c r="K518">
        <v>1.09317</v>
      </c>
      <c r="L518">
        <v>366.98340000000002</v>
      </c>
      <c r="M518">
        <v>0.99999760000000004</v>
      </c>
      <c r="N518">
        <v>-2.164535E-3</v>
      </c>
      <c r="O518">
        <v>-6.1514149999999999E-4</v>
      </c>
      <c r="P518">
        <v>0.98712460000000002</v>
      </c>
      <c r="Q518">
        <v>0.159412</v>
      </c>
      <c r="R518">
        <v>1.3162699999999999E-2</v>
      </c>
      <c r="S518">
        <v>3.0552060000000001</v>
      </c>
      <c r="T518">
        <v>-7.276154E-2</v>
      </c>
      <c r="U518">
        <v>-0.33596799999999999</v>
      </c>
      <c r="V518">
        <v>-1.3764139999999999E-2</v>
      </c>
      <c r="W518">
        <v>0.16154879999999999</v>
      </c>
      <c r="X518">
        <v>0.98676870000000005</v>
      </c>
      <c r="Y518">
        <v>0.1086623</v>
      </c>
      <c r="Z518">
        <v>-1.394555E-3</v>
      </c>
      <c r="AA518">
        <v>0.99407769999999995</v>
      </c>
      <c r="AB518">
        <v>29</v>
      </c>
      <c r="AC518">
        <v>45.682399999999902</v>
      </c>
      <c r="AD518">
        <v>-1.093174941197</v>
      </c>
      <c r="AE518">
        <v>-5.0404999999999998</v>
      </c>
      <c r="AF518">
        <v>5.00956367320713</v>
      </c>
      <c r="AG518">
        <v>-1.093174941197</v>
      </c>
      <c r="AH518">
        <v>45.659659938018997</v>
      </c>
      <c r="AI518">
        <v>91.363324886149698</v>
      </c>
      <c r="AJ518">
        <v>83.738818622687603</v>
      </c>
      <c r="AK518">
        <v>45.9466571722417</v>
      </c>
      <c r="AL518">
        <v>80.703194140146493</v>
      </c>
      <c r="AM518">
        <v>90.799149780353801</v>
      </c>
      <c r="AN518">
        <v>0.99999996681553405</v>
      </c>
    </row>
    <row r="519" spans="1:40" x14ac:dyDescent="0.25">
      <c r="A519" t="str">
        <f>"20190303161852190"</f>
        <v>20190303161852190</v>
      </c>
      <c r="B519" t="str">
        <f>"1551601132183428"</f>
        <v>1551601132183428</v>
      </c>
      <c r="C519" t="s">
        <v>40</v>
      </c>
      <c r="D519">
        <v>4.2079550000000001</v>
      </c>
      <c r="E519">
        <v>0.54750180000000004</v>
      </c>
      <c r="F519" t="s">
        <v>41</v>
      </c>
      <c r="G519">
        <v>-348.41129999999998</v>
      </c>
      <c r="H519" s="1">
        <v>-2.7255349999999999E-6</v>
      </c>
      <c r="I519">
        <v>361.60640000000001</v>
      </c>
      <c r="J519">
        <v>-397.13580000000002</v>
      </c>
      <c r="K519">
        <v>1.0947690000000001</v>
      </c>
      <c r="L519">
        <v>366.98329999999999</v>
      </c>
      <c r="M519">
        <v>0.99999709999999997</v>
      </c>
      <c r="N519">
        <v>-2.3171649999999999E-3</v>
      </c>
      <c r="O519">
        <v>-6.1460010000000001E-4</v>
      </c>
      <c r="P519">
        <v>0.98714599999999997</v>
      </c>
      <c r="Q519">
        <v>0.15928010000000001</v>
      </c>
      <c r="R519">
        <v>1.3142529999999999E-2</v>
      </c>
      <c r="S519">
        <v>3.0546880000000001</v>
      </c>
      <c r="T519">
        <v>-6.830978E-2</v>
      </c>
      <c r="U519">
        <v>-0.33599849999999998</v>
      </c>
      <c r="V519">
        <v>-1.374292E-2</v>
      </c>
      <c r="W519">
        <v>0.16156719999999999</v>
      </c>
      <c r="X519">
        <v>0.98676600000000003</v>
      </c>
      <c r="Y519">
        <v>0.1086945</v>
      </c>
      <c r="Z519">
        <v>-1.3255719999999999E-3</v>
      </c>
      <c r="AA519">
        <v>0.99407429999999997</v>
      </c>
      <c r="AB519">
        <v>29</v>
      </c>
      <c r="AC519">
        <v>48.724499999999999</v>
      </c>
      <c r="AD519">
        <v>-1.094771725535</v>
      </c>
      <c r="AE519">
        <v>-5.3768999999999698</v>
      </c>
      <c r="AF519">
        <v>5.3442872798421899</v>
      </c>
      <c r="AG519">
        <v>-1.094771725535</v>
      </c>
      <c r="AH519">
        <v>48.703503870071003</v>
      </c>
      <c r="AI519">
        <v>91.280013955758804</v>
      </c>
      <c r="AJ519">
        <v>83.737926657859006</v>
      </c>
      <c r="AK519">
        <v>49.008073017438001</v>
      </c>
      <c r="AL519">
        <v>80.702126019260604</v>
      </c>
      <c r="AM519">
        <v>90.797920083679102</v>
      </c>
      <c r="AN519">
        <v>0.99999998336098295</v>
      </c>
    </row>
    <row r="520" spans="1:40" x14ac:dyDescent="0.25">
      <c r="A520" t="str">
        <f>"20190303161852203"</f>
        <v>20190303161852203</v>
      </c>
      <c r="B520" t="str">
        <f>"1551601132193188"</f>
        <v>1551601132193188</v>
      </c>
      <c r="C520" t="s">
        <v>40</v>
      </c>
      <c r="D520">
        <v>4.2091320000000003</v>
      </c>
      <c r="E520">
        <v>0.54739190000000004</v>
      </c>
      <c r="F520" t="s">
        <v>41</v>
      </c>
      <c r="G520">
        <v>-346.82850000000002</v>
      </c>
      <c r="H520" s="1">
        <v>-3.3719280000000002E-6</v>
      </c>
      <c r="I520">
        <v>361.4615</v>
      </c>
      <c r="J520">
        <v>-396.95139999999998</v>
      </c>
      <c r="K520">
        <v>1.0966279999999999</v>
      </c>
      <c r="L520">
        <v>366.98320000000001</v>
      </c>
      <c r="M520">
        <v>0.99999649999999995</v>
      </c>
      <c r="N520">
        <v>-2.617706E-3</v>
      </c>
      <c r="O520">
        <v>-6.1414179999999996E-4</v>
      </c>
      <c r="P520">
        <v>0.98721680000000001</v>
      </c>
      <c r="Q520">
        <v>0.15882089999999999</v>
      </c>
      <c r="R520">
        <v>1.3377429999999999E-2</v>
      </c>
      <c r="S520">
        <v>3.05423</v>
      </c>
      <c r="T520">
        <v>-6.6465140000000006E-2</v>
      </c>
      <c r="U520">
        <v>-0.33523560000000002</v>
      </c>
      <c r="V520">
        <v>-1.397762E-2</v>
      </c>
      <c r="W520">
        <v>0.16140479999999999</v>
      </c>
      <c r="X520">
        <v>0.98678929999999998</v>
      </c>
      <c r="Y520">
        <v>0.10846699999999999</v>
      </c>
      <c r="Z520">
        <v>-1.3072310000000001E-3</v>
      </c>
      <c r="AA520">
        <v>0.99409919999999996</v>
      </c>
      <c r="AB520">
        <v>29</v>
      </c>
      <c r="AC520">
        <v>50.122899999999902</v>
      </c>
      <c r="AD520">
        <v>-1.0966313719280001</v>
      </c>
      <c r="AE520">
        <v>-5.5217000000000098</v>
      </c>
      <c r="AF520">
        <v>5.48832061810519</v>
      </c>
      <c r="AG520">
        <v>-1.0966313719280001</v>
      </c>
      <c r="AH520">
        <v>50.102585927027199</v>
      </c>
      <c r="AI520">
        <v>91.246420312334294</v>
      </c>
      <c r="AJ520">
        <v>83.748649580782299</v>
      </c>
      <c r="AK520">
        <v>50.4142180356708</v>
      </c>
      <c r="AL520">
        <v>80.711554787819793</v>
      </c>
      <c r="AM520">
        <v>90.811525903908603</v>
      </c>
      <c r="AN520">
        <v>1.00000000295919</v>
      </c>
    </row>
    <row r="521" spans="1:40" x14ac:dyDescent="0.25">
      <c r="A521" t="str">
        <f>"20190303161852223"</f>
        <v>20190303161852223</v>
      </c>
      <c r="B521" t="str">
        <f>"1551601132213684"</f>
        <v>1551601132213684</v>
      </c>
      <c r="C521" t="s">
        <v>40</v>
      </c>
      <c r="D521">
        <v>4.3062170000000002</v>
      </c>
      <c r="E521">
        <v>0.54735929999999999</v>
      </c>
      <c r="F521" t="s">
        <v>41</v>
      </c>
      <c r="G521">
        <v>-345.77170000000001</v>
      </c>
      <c r="H521" s="1">
        <v>-3.7957829999999999E-6</v>
      </c>
      <c r="I521">
        <v>361.39370000000002</v>
      </c>
      <c r="J521">
        <v>-396.70859999999999</v>
      </c>
      <c r="K521">
        <v>1.09903</v>
      </c>
      <c r="L521">
        <v>366.98309999999998</v>
      </c>
      <c r="M521">
        <v>0.99999490000000002</v>
      </c>
      <c r="N521">
        <v>-3.1659990000000001E-3</v>
      </c>
      <c r="O521">
        <v>-6.1375209999999999E-4</v>
      </c>
      <c r="P521">
        <v>0.98727209999999999</v>
      </c>
      <c r="Q521">
        <v>0.15847169999999999</v>
      </c>
      <c r="R521">
        <v>1.344911E-2</v>
      </c>
      <c r="S521">
        <v>3.0538940000000001</v>
      </c>
      <c r="T521">
        <v>-6.543612E-2</v>
      </c>
      <c r="U521">
        <v>-0.33352659999999901</v>
      </c>
      <c r="V521">
        <v>-1.404916E-2</v>
      </c>
      <c r="W521">
        <v>0.1615973</v>
      </c>
      <c r="X521">
        <v>0.98675679999999999</v>
      </c>
      <c r="Y521">
        <v>0.10792980000000001</v>
      </c>
      <c r="Z521">
        <v>-1.312962E-3</v>
      </c>
      <c r="AA521">
        <v>0.99415770000000003</v>
      </c>
      <c r="AB521">
        <v>29</v>
      </c>
      <c r="AC521">
        <v>50.936899999999902</v>
      </c>
      <c r="AD521">
        <v>-1.0990337957830001</v>
      </c>
      <c r="AE521">
        <v>-5.5893999999999497</v>
      </c>
      <c r="AF521">
        <v>5.5555805907999698</v>
      </c>
      <c r="AG521">
        <v>-1.0990337957830001</v>
      </c>
      <c r="AH521">
        <v>50.916899095987098</v>
      </c>
      <c r="AI521">
        <v>91.229235769209893</v>
      </c>
      <c r="AJ521">
        <v>83.773048015844296</v>
      </c>
      <c r="AK521">
        <v>51.230879013892398</v>
      </c>
      <c r="AL521">
        <v>80.700378836063905</v>
      </c>
      <c r="AM521">
        <v>90.815705742968305</v>
      </c>
      <c r="AN521">
        <v>1.0000000243051099</v>
      </c>
    </row>
    <row r="522" spans="1:40" x14ac:dyDescent="0.25">
      <c r="A522" t="str">
        <f>"20190303161852244"</f>
        <v>20190303161852244</v>
      </c>
      <c r="B522" t="str">
        <f>"1551601132233204"</f>
        <v>1551601132233204</v>
      </c>
      <c r="C522" t="s">
        <v>40</v>
      </c>
      <c r="D522">
        <v>4.3942009999999998</v>
      </c>
      <c r="E522">
        <v>0.54722709999999997</v>
      </c>
      <c r="F522" t="s">
        <v>41</v>
      </c>
      <c r="G522">
        <v>-346.16250000000002</v>
      </c>
      <c r="H522" s="1">
        <v>-3.6262530000000001E-6</v>
      </c>
      <c r="I522">
        <v>361.46679999999998</v>
      </c>
      <c r="J522">
        <v>-396.42419999999998</v>
      </c>
      <c r="K522">
        <v>1.10171</v>
      </c>
      <c r="L522">
        <v>366.98289999999997</v>
      </c>
      <c r="M522">
        <v>0.9999924</v>
      </c>
      <c r="N522">
        <v>-3.871064E-3</v>
      </c>
      <c r="O522">
        <v>-6.1369289999999997E-4</v>
      </c>
      <c r="P522">
        <v>0.98739339999999998</v>
      </c>
      <c r="Q522">
        <v>0.15770680000000001</v>
      </c>
      <c r="R522">
        <v>1.3537209999999999E-2</v>
      </c>
      <c r="S522">
        <v>3.0538940000000001</v>
      </c>
      <c r="T522">
        <v>-6.6401479999999999E-2</v>
      </c>
      <c r="U522">
        <v>-0.33328249999999998</v>
      </c>
      <c r="V522">
        <v>-1.413731E-2</v>
      </c>
      <c r="W522">
        <v>0.16152859999999999</v>
      </c>
      <c r="X522">
        <v>0.98676680000000005</v>
      </c>
      <c r="Y522">
        <v>0.10784970000000001</v>
      </c>
      <c r="Z522">
        <v>-1.367353E-3</v>
      </c>
      <c r="AA522">
        <v>0.99416629999999995</v>
      </c>
      <c r="AB522">
        <v>29</v>
      </c>
      <c r="AC522">
        <v>50.261699999999898</v>
      </c>
      <c r="AD522">
        <v>-1.1017136262530001</v>
      </c>
      <c r="AE522">
        <v>-5.51609999999999</v>
      </c>
      <c r="AF522">
        <v>5.4826506048253503</v>
      </c>
      <c r="AG522">
        <v>-1.1017136262530001</v>
      </c>
      <c r="AH522">
        <v>50.241223813053502</v>
      </c>
      <c r="AI522">
        <v>91.248796641594097</v>
      </c>
      <c r="AJ522">
        <v>83.772153807717103</v>
      </c>
      <c r="AK522">
        <v>50.551496523863598</v>
      </c>
      <c r="AL522">
        <v>80.704367555941403</v>
      </c>
      <c r="AM522">
        <v>90.820814788974204</v>
      </c>
      <c r="AN522">
        <v>1.0000000348671101</v>
      </c>
    </row>
    <row r="523" spans="1:40" x14ac:dyDescent="0.25">
      <c r="A523" t="str">
        <f>"20190303161852258"</f>
        <v>20190303161852258</v>
      </c>
      <c r="B523" t="str">
        <f>"1551601132253701"</f>
        <v>1551601132253701</v>
      </c>
      <c r="C523" t="s">
        <v>40</v>
      </c>
      <c r="D523">
        <v>4.4077409999999997</v>
      </c>
      <c r="E523">
        <v>0.53830269999999902</v>
      </c>
      <c r="F523" t="s">
        <v>42</v>
      </c>
      <c r="G523">
        <v>-395.69760000000002</v>
      </c>
      <c r="H523">
        <v>1.01559</v>
      </c>
      <c r="I523">
        <v>366.9058</v>
      </c>
      <c r="J523">
        <v>-396.23759999999999</v>
      </c>
      <c r="K523">
        <v>1.103337</v>
      </c>
      <c r="L523">
        <v>366.9828</v>
      </c>
      <c r="M523">
        <v>0.9999905</v>
      </c>
      <c r="N523">
        <v>-4.3398909999999898E-3</v>
      </c>
      <c r="O523">
        <v>-6.1382850000000003E-4</v>
      </c>
      <c r="P523">
        <v>0.98745539999999998</v>
      </c>
      <c r="Q523">
        <v>0.1573302</v>
      </c>
      <c r="R523">
        <v>1.338459E-2</v>
      </c>
      <c r="S523">
        <v>3.1015630000000001</v>
      </c>
      <c r="T523">
        <v>-0.36765989999999998</v>
      </c>
      <c r="U523">
        <v>-0.32870480000000002</v>
      </c>
      <c r="V523">
        <v>-1.3984659999999999E-2</v>
      </c>
      <c r="W523">
        <v>0.1616147</v>
      </c>
      <c r="X523">
        <v>0.98675480000000004</v>
      </c>
      <c r="Y523">
        <v>0.10403660000000001</v>
      </c>
      <c r="Z523">
        <v>-6.2853029999999999E-3</v>
      </c>
      <c r="AA523">
        <v>0.99455360000000004</v>
      </c>
      <c r="AB523">
        <v>29</v>
      </c>
      <c r="AC523">
        <v>0.53999999999996295</v>
      </c>
      <c r="AD523">
        <v>-8.7747000000000006E-2</v>
      </c>
      <c r="AE523">
        <v>-7.6999999999998098E-2</v>
      </c>
      <c r="AF523">
        <v>7.4734515005536697E-2</v>
      </c>
      <c r="AG523">
        <v>-8.7747000000000006E-2</v>
      </c>
      <c r="AH523">
        <v>0.526424215147545</v>
      </c>
      <c r="AI523">
        <v>99.371070217729894</v>
      </c>
      <c r="AJ523">
        <v>81.919922769145302</v>
      </c>
      <c r="AK523">
        <v>0.53889445908806799</v>
      </c>
      <c r="AL523">
        <v>80.699367994392404</v>
      </c>
      <c r="AM523">
        <v>90.811962968137806</v>
      </c>
      <c r="AN523">
        <v>0.99999995864722202</v>
      </c>
    </row>
    <row r="524" spans="1:40" x14ac:dyDescent="0.25">
      <c r="A524" t="str">
        <f>"20190303161852272"</f>
        <v>20190303161852272</v>
      </c>
      <c r="B524" t="str">
        <f>"1551601132263461"</f>
        <v>1551601132263461</v>
      </c>
      <c r="C524" t="s">
        <v>40</v>
      </c>
      <c r="D524">
        <v>4.3965540000000001</v>
      </c>
      <c r="E524">
        <v>0.53882039999999998</v>
      </c>
      <c r="F524" t="s">
        <v>42</v>
      </c>
      <c r="G524">
        <v>-395.48270000000002</v>
      </c>
      <c r="H524">
        <v>0.92215800000000003</v>
      </c>
      <c r="I524">
        <v>366.92189999999999</v>
      </c>
      <c r="J524">
        <v>-396.07369999999997</v>
      </c>
      <c r="K524">
        <v>1.1047049999999901</v>
      </c>
      <c r="L524">
        <v>366.98270000000002</v>
      </c>
      <c r="M524">
        <v>0.99998860000000001</v>
      </c>
      <c r="N524">
        <v>-4.7467480000000003E-3</v>
      </c>
      <c r="O524">
        <v>-6.1392489999999896E-4</v>
      </c>
      <c r="P524">
        <v>0.98756739999999998</v>
      </c>
      <c r="Q524">
        <v>0.15664249999999999</v>
      </c>
      <c r="R524">
        <v>1.317664E-2</v>
      </c>
      <c r="S524">
        <v>3.1625369999999999</v>
      </c>
      <c r="T524">
        <v>-0.75901909999999995</v>
      </c>
      <c r="U524">
        <v>-0.25433349999999999</v>
      </c>
      <c r="V524">
        <v>-1.3776399999999999E-2</v>
      </c>
      <c r="W524">
        <v>0.1613291</v>
      </c>
      <c r="X524">
        <v>0.98680449999999997</v>
      </c>
      <c r="Y524">
        <v>7.7339690000000003E-2</v>
      </c>
      <c r="Z524">
        <v>-9.1810889999999999E-3</v>
      </c>
      <c r="AA524">
        <v>0.99696249999999997</v>
      </c>
      <c r="AB524">
        <v>29</v>
      </c>
      <c r="AC524">
        <v>0.59099999999995101</v>
      </c>
      <c r="AD524">
        <v>-0.18254699999999899</v>
      </c>
      <c r="AE524">
        <v>-6.0800000000028803E-2</v>
      </c>
      <c r="AF524">
        <v>5.5223677088749402E-2</v>
      </c>
      <c r="AG524">
        <v>-0.18254699999999899</v>
      </c>
      <c r="AH524">
        <v>0.54005269477870299</v>
      </c>
      <c r="AI524">
        <v>108.58591587917201</v>
      </c>
      <c r="AJ524">
        <v>84.161451054814805</v>
      </c>
      <c r="AK524">
        <v>0.57273901111932402</v>
      </c>
      <c r="AL524">
        <v>80.715949596036893</v>
      </c>
      <c r="AM524">
        <v>90.799832492732307</v>
      </c>
      <c r="AN524">
        <v>0.99999999446200905</v>
      </c>
    </row>
    <row r="525" spans="1:40" x14ac:dyDescent="0.25">
      <c r="A525" t="str">
        <f>"20190303161852288"</f>
        <v>20190303161852288</v>
      </c>
      <c r="B525" t="str">
        <f>"1551601132283956"</f>
        <v>1551601132283956</v>
      </c>
      <c r="C525" t="s">
        <v>40</v>
      </c>
      <c r="D525">
        <v>4.4501280000000003</v>
      </c>
      <c r="E525">
        <v>0.53869440000000002</v>
      </c>
      <c r="F525" t="s">
        <v>42</v>
      </c>
      <c r="G525">
        <v>-395.23410000000001</v>
      </c>
      <c r="H525">
        <v>0.89732999999999996</v>
      </c>
      <c r="I525">
        <v>366.91399999999999</v>
      </c>
      <c r="J525">
        <v>-395.85320000000002</v>
      </c>
      <c r="K525">
        <v>1.1064339999999999</v>
      </c>
      <c r="L525">
        <v>366.98259999999999</v>
      </c>
      <c r="M525">
        <v>0.99998589999999998</v>
      </c>
      <c r="N525">
        <v>-5.2831650000000003E-3</v>
      </c>
      <c r="O525">
        <v>-6.1349039999999998E-4</v>
      </c>
      <c r="P525">
        <v>0.98763509999999999</v>
      </c>
      <c r="Q525">
        <v>0.1562817</v>
      </c>
      <c r="R525">
        <v>1.2381720000000001E-2</v>
      </c>
      <c r="S525">
        <v>3.165222</v>
      </c>
      <c r="T525">
        <v>-0.78174919999999903</v>
      </c>
      <c r="U525">
        <v>-0.2584534</v>
      </c>
      <c r="V525">
        <v>-1.298175E-2</v>
      </c>
      <c r="W525">
        <v>0.161498</v>
      </c>
      <c r="X525">
        <v>0.98678770000000005</v>
      </c>
      <c r="Y525">
        <v>7.8397190000000005E-2</v>
      </c>
      <c r="Z525">
        <v>-9.5875449999999994E-3</v>
      </c>
      <c r="AA525">
        <v>0.99687610000000004</v>
      </c>
      <c r="AB525">
        <v>29</v>
      </c>
      <c r="AC525">
        <v>0.61910000000000298</v>
      </c>
      <c r="AD525">
        <v>-0.20910400000000001</v>
      </c>
      <c r="AE525">
        <v>-6.8600000000003505E-2</v>
      </c>
      <c r="AF525">
        <v>6.1310773886737398E-2</v>
      </c>
      <c r="AG525">
        <v>-0.20910400000000001</v>
      </c>
      <c r="AH525">
        <v>0.55643475166968104</v>
      </c>
      <c r="AI525">
        <v>110.48226180654</v>
      </c>
      <c r="AJ525">
        <v>83.712227629046495</v>
      </c>
      <c r="AK525">
        <v>0.59758106284946</v>
      </c>
      <c r="AL525">
        <v>80.706144249308593</v>
      </c>
      <c r="AM525">
        <v>90.753714887842804</v>
      </c>
      <c r="AN525">
        <v>1.0000000473541699</v>
      </c>
    </row>
    <row r="526" spans="1:40" x14ac:dyDescent="0.25">
      <c r="A526" t="str">
        <f>"20190303161852300"</f>
        <v>20190303161852300</v>
      </c>
      <c r="B526" t="str">
        <f>"1551601132293717"</f>
        <v>1551601132293717</v>
      </c>
      <c r="C526" t="s">
        <v>40</v>
      </c>
      <c r="D526">
        <v>4.4562269999999904</v>
      </c>
      <c r="E526">
        <v>0.53863490000000003</v>
      </c>
      <c r="F526" t="s">
        <v>42</v>
      </c>
      <c r="G526">
        <v>-394.97919999999999</v>
      </c>
      <c r="H526">
        <v>0.88433220000000001</v>
      </c>
      <c r="I526">
        <v>366.91039999999998</v>
      </c>
      <c r="J526">
        <v>-395.69420000000002</v>
      </c>
      <c r="K526">
        <v>1.107588</v>
      </c>
      <c r="L526">
        <v>366.98250000000002</v>
      </c>
      <c r="M526">
        <v>0.99998379999999998</v>
      </c>
      <c r="N526">
        <v>-5.6574989999999999E-3</v>
      </c>
      <c r="O526">
        <v>-6.1356650000000002E-4</v>
      </c>
      <c r="P526">
        <v>0.98770919999999895</v>
      </c>
      <c r="Q526">
        <v>0.15582219999999999</v>
      </c>
      <c r="R526">
        <v>1.2249970000000001E-2</v>
      </c>
      <c r="S526">
        <v>3.1682429999999999</v>
      </c>
      <c r="T526">
        <v>-0.80518389999999995</v>
      </c>
      <c r="U526">
        <v>-0.26049800000000001</v>
      </c>
      <c r="V526">
        <v>-1.2850189999999999E-2</v>
      </c>
      <c r="W526">
        <v>0.1614081</v>
      </c>
      <c r="X526">
        <v>0.98680409999999996</v>
      </c>
      <c r="Y526">
        <v>7.8806070000000006E-2</v>
      </c>
      <c r="Z526">
        <v>-9.9184619999999994E-3</v>
      </c>
      <c r="AA526">
        <v>0.99684059999999997</v>
      </c>
      <c r="AB526">
        <v>29</v>
      </c>
      <c r="AC526">
        <v>0.71500000000003106</v>
      </c>
      <c r="AD526">
        <v>-0.2232558</v>
      </c>
      <c r="AE526">
        <v>-7.21000000000344E-2</v>
      </c>
      <c r="AF526">
        <v>6.5353606796178798E-2</v>
      </c>
      <c r="AG526">
        <v>-0.2232558</v>
      </c>
      <c r="AH526">
        <v>0.65210545571905798</v>
      </c>
      <c r="AI526">
        <v>108.81166720685</v>
      </c>
      <c r="AJ526">
        <v>84.276961833237294</v>
      </c>
      <c r="AK526">
        <v>0.69235523507334695</v>
      </c>
      <c r="AL526">
        <v>80.711363330778795</v>
      </c>
      <c r="AM526">
        <v>90.746065040090002</v>
      </c>
      <c r="AN526">
        <v>1.0000000169527199</v>
      </c>
    </row>
    <row r="527" spans="1:40" x14ac:dyDescent="0.25">
      <c r="A527" t="str">
        <f>"20190303161852313"</f>
        <v>20190303161852313</v>
      </c>
      <c r="B527" t="str">
        <f>"1551601132303476"</f>
        <v>1551601132303476</v>
      </c>
      <c r="C527" t="s">
        <v>40</v>
      </c>
      <c r="D527">
        <v>4.4595060000000002</v>
      </c>
      <c r="E527">
        <v>0.53869860000000003</v>
      </c>
      <c r="F527" t="s">
        <v>42</v>
      </c>
      <c r="G527">
        <v>-394.96300000000002</v>
      </c>
      <c r="H527">
        <v>0.9207748</v>
      </c>
      <c r="I527">
        <v>366.92200000000003</v>
      </c>
      <c r="J527">
        <v>-395.53969999999998</v>
      </c>
      <c r="K527">
        <v>1.108636</v>
      </c>
      <c r="L527">
        <v>366.98239999999998</v>
      </c>
      <c r="M527">
        <v>0.99998189999999998</v>
      </c>
      <c r="N527">
        <v>-6.0082E-3</v>
      </c>
      <c r="O527">
        <v>-6.1352199999999905E-4</v>
      </c>
      <c r="P527">
        <v>0.98775919999999895</v>
      </c>
      <c r="Q527">
        <v>0.15553020000000001</v>
      </c>
      <c r="R527">
        <v>1.193349E-2</v>
      </c>
      <c r="S527">
        <v>3.168304</v>
      </c>
      <c r="T527">
        <v>-0.80951490000000004</v>
      </c>
      <c r="U527">
        <v>-0.26065060000000001</v>
      </c>
      <c r="V527">
        <v>-1.2533870000000001E-2</v>
      </c>
      <c r="W527">
        <v>0.1614622</v>
      </c>
      <c r="X527">
        <v>0.98679930000000005</v>
      </c>
      <c r="Y527">
        <v>7.8821630000000004E-2</v>
      </c>
      <c r="Z527">
        <v>-9.9850930000000004E-3</v>
      </c>
      <c r="AA527">
        <v>0.99683869999999997</v>
      </c>
      <c r="AB527">
        <v>29</v>
      </c>
      <c r="AC527">
        <v>0.57669999999995902</v>
      </c>
      <c r="AD527">
        <v>-0.18786119999999901</v>
      </c>
      <c r="AE527">
        <v>-6.0400000000015497E-2</v>
      </c>
      <c r="AF527">
        <v>5.4342238081522998E-2</v>
      </c>
      <c r="AG527">
        <v>-0.18786119999999901</v>
      </c>
      <c r="AH527">
        <v>0.52195135234480095</v>
      </c>
      <c r="AI527">
        <v>109.69665174188</v>
      </c>
      <c r="AJ527">
        <v>84.056144412393394</v>
      </c>
      <c r="AK527">
        <v>0.55738507651327995</v>
      </c>
      <c r="AL527">
        <v>80.708222264605894</v>
      </c>
      <c r="AM527">
        <v>90.727705458302793</v>
      </c>
      <c r="AN527">
        <v>0.999999999203253</v>
      </c>
    </row>
    <row r="528" spans="1:40" x14ac:dyDescent="0.25">
      <c r="A528" t="str">
        <f>"20190303161852325"</f>
        <v>20190303161852325</v>
      </c>
      <c r="B528" t="str">
        <f>"1551601132313236"</f>
        <v>1551601132313236</v>
      </c>
      <c r="C528" t="s">
        <v>40</v>
      </c>
      <c r="D528">
        <v>4.4661280000000003</v>
      </c>
      <c r="E528">
        <v>0.53875119999999999</v>
      </c>
      <c r="F528" t="s">
        <v>42</v>
      </c>
      <c r="G528">
        <v>-394.71370000000002</v>
      </c>
      <c r="H528">
        <v>0.89672030000000003</v>
      </c>
      <c r="I528">
        <v>366.91390000000001</v>
      </c>
      <c r="J528">
        <v>-395.3725</v>
      </c>
      <c r="K528">
        <v>1.109726</v>
      </c>
      <c r="L528">
        <v>366.98230000000001</v>
      </c>
      <c r="M528">
        <v>0.99997959999999997</v>
      </c>
      <c r="N528">
        <v>-6.3787879999999998E-3</v>
      </c>
      <c r="O528">
        <v>-6.1360250000000005E-4</v>
      </c>
      <c r="P528">
        <v>0.9878576</v>
      </c>
      <c r="Q528">
        <v>0.15491579999999999</v>
      </c>
      <c r="R528">
        <v>1.179088E-2</v>
      </c>
      <c r="S528">
        <v>3.1683349999999999</v>
      </c>
      <c r="T528">
        <v>-0.81286930000000002</v>
      </c>
      <c r="U528">
        <v>-0.26171879999999997</v>
      </c>
      <c r="V528">
        <v>-1.2391340000000001E-2</v>
      </c>
      <c r="W528">
        <v>0.1612142</v>
      </c>
      <c r="X528">
        <v>0.98684159999999999</v>
      </c>
      <c r="Y528">
        <v>7.9120289999999996E-2</v>
      </c>
      <c r="Z528">
        <v>-1.00777E-2</v>
      </c>
      <c r="AA528">
        <v>0.99681410000000004</v>
      </c>
      <c r="AB528">
        <v>29</v>
      </c>
      <c r="AC528">
        <v>0.65879999999998495</v>
      </c>
      <c r="AD528">
        <v>-0.21300569999999899</v>
      </c>
      <c r="AE528">
        <v>-6.8399999999996894E-2</v>
      </c>
      <c r="AF528">
        <v>6.1622526890919002E-2</v>
      </c>
      <c r="AG528">
        <v>-0.21300569999999899</v>
      </c>
      <c r="AH528">
        <v>0.59708888918405501</v>
      </c>
      <c r="AI528">
        <v>109.537510759667</v>
      </c>
      <c r="AJ528">
        <v>84.107653353960103</v>
      </c>
      <c r="AK528">
        <v>0.63693320343656201</v>
      </c>
      <c r="AL528">
        <v>80.722619815970006</v>
      </c>
      <c r="AM528">
        <v>90.719400332275896</v>
      </c>
      <c r="AN528">
        <v>0.99999995353959603</v>
      </c>
    </row>
    <row r="529" spans="1:40" x14ac:dyDescent="0.25">
      <c r="A529" t="str">
        <f>"20190303161852336"</f>
        <v>20190303161852336</v>
      </c>
      <c r="B529" t="str">
        <f>"1551601132333733"</f>
        <v>1551601132333733</v>
      </c>
      <c r="C529" t="s">
        <v>40</v>
      </c>
      <c r="D529">
        <v>4.4426430000000003</v>
      </c>
      <c r="E529">
        <v>0.53867449999999995</v>
      </c>
      <c r="F529" t="s">
        <v>42</v>
      </c>
      <c r="G529">
        <v>-394.46159999999998</v>
      </c>
      <c r="H529">
        <v>0.87566100000000002</v>
      </c>
      <c r="I529">
        <v>366.90640000000002</v>
      </c>
      <c r="J529">
        <v>-395.21730000000002</v>
      </c>
      <c r="K529">
        <v>1.1106279999999999</v>
      </c>
      <c r="L529">
        <v>366.98219999999998</v>
      </c>
      <c r="M529">
        <v>0.99997749999999996</v>
      </c>
      <c r="N529">
        <v>-6.6993060000000004E-3</v>
      </c>
      <c r="O529">
        <v>-6.1358270000000002E-4</v>
      </c>
      <c r="P529">
        <v>0.98792679999999999</v>
      </c>
      <c r="Q529">
        <v>0.1544924</v>
      </c>
      <c r="R529">
        <v>1.1535210000000001E-2</v>
      </c>
      <c r="S529">
        <v>3.167694</v>
      </c>
      <c r="T529">
        <v>-0.81398400000000004</v>
      </c>
      <c r="U529">
        <v>-0.26284790000000002</v>
      </c>
      <c r="V529">
        <v>-1.213556E-2</v>
      </c>
      <c r="W529">
        <v>0.1611079</v>
      </c>
      <c r="X529">
        <v>0.98686220000000002</v>
      </c>
      <c r="Y529">
        <v>7.9467070000000001E-2</v>
      </c>
      <c r="Z529">
        <v>-1.0150599999999999E-2</v>
      </c>
      <c r="AA529">
        <v>0.99678580000000006</v>
      </c>
      <c r="AB529">
        <v>29</v>
      </c>
      <c r="AC529">
        <v>0.755700000000047</v>
      </c>
      <c r="AD529">
        <v>-0.23496700000000001</v>
      </c>
      <c r="AE529">
        <v>-7.5799999999958304E-2</v>
      </c>
      <c r="AF529">
        <v>6.8755546146496094E-2</v>
      </c>
      <c r="AG529">
        <v>-0.23496700000000001</v>
      </c>
      <c r="AH529">
        <v>0.68973072149728898</v>
      </c>
      <c r="AI529">
        <v>108.72587491751</v>
      </c>
      <c r="AJ529">
        <v>84.307298348612207</v>
      </c>
      <c r="AK529">
        <v>0.73189157967015395</v>
      </c>
      <c r="AL529">
        <v>80.728791597334293</v>
      </c>
      <c r="AM529">
        <v>90.7045373962426</v>
      </c>
      <c r="AN529">
        <v>1.0000000145238801</v>
      </c>
    </row>
    <row r="530" spans="1:40" x14ac:dyDescent="0.25">
      <c r="A530" t="str">
        <f>"20190303161852356"</f>
        <v>20190303161852356</v>
      </c>
      <c r="B530" t="str">
        <f>"1551601132353252"</f>
        <v>1551601132353252</v>
      </c>
      <c r="C530" t="s">
        <v>40</v>
      </c>
      <c r="D530">
        <v>4.4402619999999997</v>
      </c>
      <c r="E530">
        <v>0.53844879999999995</v>
      </c>
      <c r="F530" t="s">
        <v>42</v>
      </c>
      <c r="G530">
        <v>-394.44639999999998</v>
      </c>
      <c r="H530">
        <v>0.91193570000000002</v>
      </c>
      <c r="I530">
        <v>366.9178</v>
      </c>
      <c r="J530">
        <v>-394.9742</v>
      </c>
      <c r="K530">
        <v>1.1119460000000001</v>
      </c>
      <c r="L530">
        <v>366.9821</v>
      </c>
      <c r="M530">
        <v>0.99997409999999998</v>
      </c>
      <c r="N530">
        <v>-7.1783219999999896E-3</v>
      </c>
      <c r="O530">
        <v>-6.1322579999999996E-4</v>
      </c>
      <c r="P530">
        <v>0.98808660000000004</v>
      </c>
      <c r="Q530">
        <v>0.1534828</v>
      </c>
      <c r="R530">
        <v>1.131826E-2</v>
      </c>
      <c r="S530">
        <v>3.1674190000000002</v>
      </c>
      <c r="T530">
        <v>-0.81643549999999998</v>
      </c>
      <c r="U530">
        <v>-0.2633972</v>
      </c>
      <c r="V530">
        <v>-1.191827E-2</v>
      </c>
      <c r="W530">
        <v>0.1605723</v>
      </c>
      <c r="X530">
        <v>0.9869521</v>
      </c>
      <c r="Y530">
        <v>7.9620330000000003E-2</v>
      </c>
      <c r="Z530">
        <v>-1.021992E-2</v>
      </c>
      <c r="AA530">
        <v>0.99677289999999996</v>
      </c>
      <c r="AB530">
        <v>29</v>
      </c>
      <c r="AC530">
        <v>0.52780000000001304</v>
      </c>
      <c r="AD530">
        <v>-0.200010299999999</v>
      </c>
      <c r="AE530">
        <v>-6.4300000000002897E-2</v>
      </c>
      <c r="AF530">
        <v>5.60456541738064E-2</v>
      </c>
      <c r="AG530">
        <v>-0.200010299999999</v>
      </c>
      <c r="AH530">
        <v>0.462407045746699</v>
      </c>
      <c r="AI530">
        <v>113.238642120508</v>
      </c>
      <c r="AJ530">
        <v>83.089222833692702</v>
      </c>
      <c r="AK530">
        <v>0.50691765742973505</v>
      </c>
      <c r="AL530">
        <v>80.759883686704896</v>
      </c>
      <c r="AM530">
        <v>90.691860709166505</v>
      </c>
      <c r="AN530">
        <v>0.99999997819074604</v>
      </c>
    </row>
    <row r="531" spans="1:40" x14ac:dyDescent="0.25">
      <c r="A531" t="str">
        <f>"20190303161852368"</f>
        <v>20190303161852368</v>
      </c>
      <c r="B531" t="str">
        <f>"1551601132363990"</f>
        <v>1551601132363990</v>
      </c>
      <c r="C531" t="s">
        <v>40</v>
      </c>
      <c r="D531">
        <v>4.4386559999999999</v>
      </c>
      <c r="E531">
        <v>0.53835580000000005</v>
      </c>
      <c r="F531" t="s">
        <v>42</v>
      </c>
      <c r="G531">
        <v>-394.18740000000003</v>
      </c>
      <c r="H531">
        <v>0.90857030000000005</v>
      </c>
      <c r="I531">
        <v>366.9171</v>
      </c>
      <c r="J531">
        <v>-394.81060000000002</v>
      </c>
      <c r="K531">
        <v>1.1127670000000001</v>
      </c>
      <c r="L531">
        <v>366.9819</v>
      </c>
      <c r="M531">
        <v>0.99997190000000002</v>
      </c>
      <c r="N531">
        <v>-7.4821180000000003E-3</v>
      </c>
      <c r="O531">
        <v>-6.1303289999999999E-4</v>
      </c>
      <c r="P531">
        <v>0.98818269999999997</v>
      </c>
      <c r="Q531">
        <v>0.1528716</v>
      </c>
      <c r="R531">
        <v>1.119714E-2</v>
      </c>
      <c r="S531">
        <v>3.166382</v>
      </c>
      <c r="T531">
        <v>-0.8186158</v>
      </c>
      <c r="U531">
        <v>-0.26110840000000002</v>
      </c>
      <c r="V531">
        <v>-1.179699E-2</v>
      </c>
      <c r="W531">
        <v>0.16026170000000001</v>
      </c>
      <c r="X531">
        <v>0.98700399999999999</v>
      </c>
      <c r="Y531">
        <v>7.893609E-2</v>
      </c>
      <c r="Z531">
        <v>-1.017211E-2</v>
      </c>
      <c r="AA531">
        <v>0.99682780000000004</v>
      </c>
      <c r="AB531">
        <v>29</v>
      </c>
      <c r="AC531">
        <v>0.62319999999999698</v>
      </c>
      <c r="AD531">
        <v>-0.20419669999999901</v>
      </c>
      <c r="AE531">
        <v>-6.4799999999991004E-2</v>
      </c>
      <c r="AF531">
        <v>5.8232918927262997E-2</v>
      </c>
      <c r="AG531">
        <v>-0.20419669999999901</v>
      </c>
      <c r="AH531">
        <v>0.56339995320247505</v>
      </c>
      <c r="AI531">
        <v>109.82503771340799</v>
      </c>
      <c r="AJ531">
        <v>84.098873298091902</v>
      </c>
      <c r="AK531">
        <v>0.60208543613529597</v>
      </c>
      <c r="AL531">
        <v>80.777912884170206</v>
      </c>
      <c r="AM531">
        <v>90.684785020083197</v>
      </c>
      <c r="AN531">
        <v>0.99999993873797299</v>
      </c>
    </row>
    <row r="532" spans="1:40" x14ac:dyDescent="0.25">
      <c r="A532" t="str">
        <f>"20190303161852380"</f>
        <v>20190303161852380</v>
      </c>
      <c r="B532" t="str">
        <f>"1551601132373749"</f>
        <v>1551601132373749</v>
      </c>
      <c r="C532" t="s">
        <v>40</v>
      </c>
      <c r="D532">
        <v>4.4272600000000004</v>
      </c>
      <c r="E532">
        <v>0.53826109999999905</v>
      </c>
      <c r="F532" t="s">
        <v>42</v>
      </c>
      <c r="G532">
        <v>-393.93619999999999</v>
      </c>
      <c r="H532">
        <v>0.8863856</v>
      </c>
      <c r="I532">
        <v>366.90960000000001</v>
      </c>
      <c r="J532">
        <v>-394.65100000000001</v>
      </c>
      <c r="K532">
        <v>1.1134900000000001</v>
      </c>
      <c r="L532">
        <v>366.9819</v>
      </c>
      <c r="M532">
        <v>0.99996969999999996</v>
      </c>
      <c r="N532">
        <v>-7.7596200000000001E-3</v>
      </c>
      <c r="O532">
        <v>-6.1302190000000003E-4</v>
      </c>
      <c r="P532">
        <v>0.98824009999999995</v>
      </c>
      <c r="Q532">
        <v>0.15249799999999999</v>
      </c>
      <c r="R532">
        <v>1.122098E-2</v>
      </c>
      <c r="S532">
        <v>3.1656490000000002</v>
      </c>
      <c r="T532">
        <v>-0.81967809999999897</v>
      </c>
      <c r="U532">
        <v>-0.26055909999999999</v>
      </c>
      <c r="V532">
        <v>-1.182071E-2</v>
      </c>
      <c r="W532">
        <v>0.16016229999999901</v>
      </c>
      <c r="X532">
        <v>0.98701989999999995</v>
      </c>
      <c r="Y532">
        <v>7.8777739999999999E-2</v>
      </c>
      <c r="Z532">
        <v>-1.017736E-2</v>
      </c>
      <c r="AA532">
        <v>0.99684019999999995</v>
      </c>
      <c r="AB532">
        <v>29</v>
      </c>
      <c r="AC532">
        <v>0.71480000000002497</v>
      </c>
      <c r="AD532">
        <v>-0.22710439999999901</v>
      </c>
      <c r="AE532">
        <v>-7.2299999999984196E-2</v>
      </c>
      <c r="AF532">
        <v>6.5333524148349198E-2</v>
      </c>
      <c r="AG532">
        <v>-0.22710439999999901</v>
      </c>
      <c r="AH532">
        <v>0.64990439556375601</v>
      </c>
      <c r="AI532">
        <v>109.172069605986</v>
      </c>
      <c r="AJ532">
        <v>84.259461452738705</v>
      </c>
      <c r="AK532">
        <v>0.69153496025153605</v>
      </c>
      <c r="AL532">
        <v>80.783683065871301</v>
      </c>
      <c r="AM532">
        <v>90.6861507213588</v>
      </c>
      <c r="AN532">
        <v>0.99999998726110195</v>
      </c>
    </row>
    <row r="533" spans="1:40" x14ac:dyDescent="0.25">
      <c r="A533" t="str">
        <f>"20190303161852400"</f>
        <v>20190303161852400</v>
      </c>
      <c r="B533" t="str">
        <f>"1551601132393271"</f>
        <v>1551601132393271</v>
      </c>
      <c r="C533" t="s">
        <v>40</v>
      </c>
      <c r="D533">
        <v>4.4963139999999999</v>
      </c>
      <c r="E533">
        <v>0.53839840000000005</v>
      </c>
      <c r="F533" t="s">
        <v>42</v>
      </c>
      <c r="G533">
        <v>-393.91950000000003</v>
      </c>
      <c r="H533">
        <v>0.9240448</v>
      </c>
      <c r="I533">
        <v>366.92140000000001</v>
      </c>
      <c r="J533">
        <v>-394.39659999999998</v>
      </c>
      <c r="K533">
        <v>1.1145370000000001</v>
      </c>
      <c r="L533">
        <v>366.98169999999999</v>
      </c>
      <c r="M533">
        <v>0.99996649999999998</v>
      </c>
      <c r="N533">
        <v>-8.1714619999999905E-3</v>
      </c>
      <c r="O533">
        <v>-6.1299999999999896E-4</v>
      </c>
      <c r="P533">
        <v>0.98833289999999996</v>
      </c>
      <c r="Q533">
        <v>0.15190209999999901</v>
      </c>
      <c r="R533">
        <v>1.113752E-2</v>
      </c>
      <c r="S533">
        <v>3.1651919999999998</v>
      </c>
      <c r="T533">
        <v>-0.81975659999999895</v>
      </c>
      <c r="U533">
        <v>-0.25994869999999998</v>
      </c>
      <c r="V533">
        <v>-1.173777E-2</v>
      </c>
      <c r="W533">
        <v>0.15997359999999999</v>
      </c>
      <c r="X533">
        <v>0.98705149999999997</v>
      </c>
      <c r="Y533">
        <v>7.8599039999999995E-2</v>
      </c>
      <c r="Z533">
        <v>-1.017303E-2</v>
      </c>
      <c r="AA533">
        <v>0.99685440000000003</v>
      </c>
      <c r="AB533">
        <v>29</v>
      </c>
      <c r="AC533">
        <v>0.47709999999995001</v>
      </c>
      <c r="AD533">
        <v>-0.1904922</v>
      </c>
      <c r="AE533">
        <v>-6.0299999999983797E-2</v>
      </c>
      <c r="AF533">
        <v>5.1868748038612897E-2</v>
      </c>
      <c r="AG533">
        <v>-0.1904922</v>
      </c>
      <c r="AH533">
        <v>0.41242320571868801</v>
      </c>
      <c r="AI533">
        <v>114.62081217957299</v>
      </c>
      <c r="AJ533">
        <v>82.831783790825597</v>
      </c>
      <c r="AK533">
        <v>0.45724232732678199</v>
      </c>
      <c r="AL533">
        <v>80.794636086125294</v>
      </c>
      <c r="AM533">
        <v>90.681314990330094</v>
      </c>
      <c r="AN533">
        <v>0.99999999579689103</v>
      </c>
    </row>
    <row r="534" spans="1:40" x14ac:dyDescent="0.25">
      <c r="A534" t="str">
        <f>"20190303161852412"</f>
        <v>20190303161852412</v>
      </c>
      <c r="B534" t="str">
        <f>"1551601132403029"</f>
        <v>1551601132403029</v>
      </c>
      <c r="C534" t="s">
        <v>40</v>
      </c>
      <c r="D534">
        <v>4.4486999999999997</v>
      </c>
      <c r="E534">
        <v>0.53839840000000005</v>
      </c>
      <c r="F534" t="s">
        <v>42</v>
      </c>
      <c r="G534">
        <v>-393.65989999999999</v>
      </c>
      <c r="H534">
        <v>0.92202779999999995</v>
      </c>
      <c r="I534">
        <v>366.92079999999999</v>
      </c>
      <c r="J534">
        <v>-394.23590000000002</v>
      </c>
      <c r="K534">
        <v>1.115129</v>
      </c>
      <c r="L534">
        <v>366.98160000000001</v>
      </c>
      <c r="M534">
        <v>0.99996450000000003</v>
      </c>
      <c r="N534">
        <v>-8.4120069999999905E-3</v>
      </c>
      <c r="O534">
        <v>-6.1316669999999997E-4</v>
      </c>
      <c r="P534">
        <v>0.98837830000000004</v>
      </c>
      <c r="Q534">
        <v>0.15160129999999999</v>
      </c>
      <c r="R534">
        <v>1.121407E-2</v>
      </c>
      <c r="S534">
        <v>3.1654049999999998</v>
      </c>
      <c r="T534">
        <v>-0.82708309999999996</v>
      </c>
      <c r="U534">
        <v>-0.26126100000000002</v>
      </c>
      <c r="V534">
        <v>-1.181461E-2</v>
      </c>
      <c r="W534">
        <v>0.159911</v>
      </c>
      <c r="X534">
        <v>0.98706070000000001</v>
      </c>
      <c r="Y534">
        <v>7.8943940000000004E-2</v>
      </c>
      <c r="Z534">
        <v>-1.03129E-2</v>
      </c>
      <c r="AA534">
        <v>0.99682570000000004</v>
      </c>
      <c r="AB534">
        <v>29</v>
      </c>
      <c r="AC534">
        <v>0.57600000000002105</v>
      </c>
      <c r="AD534">
        <v>-0.1931012</v>
      </c>
      <c r="AE534">
        <v>-6.0800000000028803E-2</v>
      </c>
      <c r="AF534">
        <v>5.4400166613163603E-2</v>
      </c>
      <c r="AG534">
        <v>-0.1931012</v>
      </c>
      <c r="AH534">
        <v>0.51841490904317999</v>
      </c>
      <c r="AI534">
        <v>110.32714229049699</v>
      </c>
      <c r="AJ534">
        <v>84.009558098500705</v>
      </c>
      <c r="AK534">
        <v>0.55587900615801999</v>
      </c>
      <c r="AL534">
        <v>80.798269331395005</v>
      </c>
      <c r="AM534">
        <v>90.685768327007196</v>
      </c>
      <c r="AN534">
        <v>0.99999996920747003</v>
      </c>
    </row>
    <row r="535" spans="1:40" x14ac:dyDescent="0.25">
      <c r="A535" t="str">
        <f>"20190303161852426"</f>
        <v>20190303161852426</v>
      </c>
      <c r="B535" t="str">
        <f>"1551601132423524"</f>
        <v>1551601132423524</v>
      </c>
      <c r="C535" t="s">
        <v>40</v>
      </c>
      <c r="D535">
        <v>4.4152269999999998</v>
      </c>
      <c r="E535">
        <v>0.54000190000000003</v>
      </c>
      <c r="F535" t="s">
        <v>42</v>
      </c>
      <c r="G535">
        <v>-393.40969999999999</v>
      </c>
      <c r="H535">
        <v>0.89900429999999998</v>
      </c>
      <c r="I535">
        <v>366.91320000000002</v>
      </c>
      <c r="J535">
        <v>-394.06009999999998</v>
      </c>
      <c r="K535">
        <v>1.115737</v>
      </c>
      <c r="L535">
        <v>366.98149999999998</v>
      </c>
      <c r="M535">
        <v>0.99996240000000003</v>
      </c>
      <c r="N535">
        <v>-8.6631499999999997E-3</v>
      </c>
      <c r="O535">
        <v>-6.1305089999999995E-4</v>
      </c>
      <c r="P535">
        <v>0.98843259999999999</v>
      </c>
      <c r="Q535">
        <v>0.1512598</v>
      </c>
      <c r="R535">
        <v>1.104223E-2</v>
      </c>
      <c r="S535">
        <v>3.1651919999999998</v>
      </c>
      <c r="T535">
        <v>-0.82796569999999903</v>
      </c>
      <c r="U535">
        <v>-0.26110840000000002</v>
      </c>
      <c r="V535">
        <v>-1.1642990000000001E-2</v>
      </c>
      <c r="W535">
        <v>0.159817299999999</v>
      </c>
      <c r="X535">
        <v>0.98707800000000001</v>
      </c>
      <c r="Y535">
        <v>7.8894909999999999E-2</v>
      </c>
      <c r="Z535">
        <v>-1.0327650000000001E-2</v>
      </c>
      <c r="AA535">
        <v>0.99682950000000003</v>
      </c>
      <c r="AB535">
        <v>29</v>
      </c>
      <c r="AC535">
        <v>0.65039999999998999</v>
      </c>
      <c r="AD535">
        <v>-0.2167327</v>
      </c>
      <c r="AE535">
        <v>-6.8299999999965097E-2</v>
      </c>
      <c r="AF535">
        <v>6.1181608613518901E-2</v>
      </c>
      <c r="AG535">
        <v>-0.2167327</v>
      </c>
      <c r="AH535">
        <v>0.58607280674433704</v>
      </c>
      <c r="AI535">
        <v>110.193843563776</v>
      </c>
      <c r="AJ535">
        <v>84.040336537290599</v>
      </c>
      <c r="AK535">
        <v>0.62785156469265302</v>
      </c>
      <c r="AL535">
        <v>80.803708671711107</v>
      </c>
      <c r="AM535">
        <v>90.675795886963002</v>
      </c>
      <c r="AN535">
        <v>1.00000005333971</v>
      </c>
    </row>
    <row r="536" spans="1:40" x14ac:dyDescent="0.25">
      <c r="A536" t="str">
        <f>"20190303161852445"</f>
        <v>20190303161852445</v>
      </c>
      <c r="B536" t="str">
        <f>"1551601132433285"</f>
        <v>1551601132433285</v>
      </c>
      <c r="C536" t="s">
        <v>40</v>
      </c>
      <c r="D536">
        <v>4.4211260000000001</v>
      </c>
      <c r="E536">
        <v>0.540323</v>
      </c>
      <c r="F536" t="s">
        <v>42</v>
      </c>
      <c r="G536">
        <v>-393.17619999999999</v>
      </c>
      <c r="H536">
        <v>0.8302001</v>
      </c>
      <c r="I536">
        <v>366.90589999999997</v>
      </c>
      <c r="J536">
        <v>-393.79840000000002</v>
      </c>
      <c r="K536">
        <v>1.116517</v>
      </c>
      <c r="L536">
        <v>366.98140000000001</v>
      </c>
      <c r="M536">
        <v>0.9999593</v>
      </c>
      <c r="N536">
        <v>-9.0021619999999993E-3</v>
      </c>
      <c r="O536">
        <v>-6.1288489999999896E-4</v>
      </c>
      <c r="P536">
        <v>0.98841880000000004</v>
      </c>
      <c r="Q536">
        <v>0.15131310000000001</v>
      </c>
      <c r="R536">
        <v>1.1531029999999999E-2</v>
      </c>
      <c r="S536">
        <v>3.1961360000000001</v>
      </c>
      <c r="T536">
        <v>-1.0324739999999999</v>
      </c>
      <c r="U536">
        <v>-0.27270509999999998</v>
      </c>
      <c r="V536">
        <v>-1.2130780000000001E-2</v>
      </c>
      <c r="W536">
        <v>0.16020519999999999</v>
      </c>
      <c r="X536">
        <v>0.98700920000000003</v>
      </c>
      <c r="Y536">
        <v>8.0258700000000002E-2</v>
      </c>
      <c r="Z536">
        <v>-1.280412E-2</v>
      </c>
      <c r="AA536">
        <v>0.99669180000000002</v>
      </c>
      <c r="AB536">
        <v>29</v>
      </c>
      <c r="AC536">
        <v>0.62220000000001996</v>
      </c>
      <c r="AD536">
        <v>-0.28631689999999999</v>
      </c>
      <c r="AE536">
        <v>-7.5500000000033596E-2</v>
      </c>
      <c r="AF536">
        <v>6.2149189050148497E-2</v>
      </c>
      <c r="AG536">
        <v>-0.28631689999999999</v>
      </c>
      <c r="AH536">
        <v>0.51481360024020895</v>
      </c>
      <c r="AI536">
        <v>118.905177624112</v>
      </c>
      <c r="AJ536">
        <v>83.116464942401905</v>
      </c>
      <c r="AK536">
        <v>0.59234528099537298</v>
      </c>
      <c r="AL536">
        <v>80.781193146745693</v>
      </c>
      <c r="AM536">
        <v>90.704155040124604</v>
      </c>
      <c r="AN536">
        <v>1.00000001140754</v>
      </c>
    </row>
    <row r="537" spans="1:40" x14ac:dyDescent="0.25">
      <c r="A537" t="str">
        <f>"20190303161852458"</f>
        <v>20190303161852458</v>
      </c>
      <c r="B537" t="str">
        <f>"1551601132453781"</f>
        <v>1551601132453781</v>
      </c>
      <c r="C537" t="s">
        <v>40</v>
      </c>
      <c r="D537">
        <v>4.4244409999999998</v>
      </c>
      <c r="E537">
        <v>0.5407092</v>
      </c>
      <c r="F537" t="s">
        <v>42</v>
      </c>
      <c r="G537">
        <v>-392.91500000000002</v>
      </c>
      <c r="H537">
        <v>0.83118269999999905</v>
      </c>
      <c r="I537">
        <v>366.90539999999999</v>
      </c>
      <c r="J537">
        <v>-393.62700000000001</v>
      </c>
      <c r="K537">
        <v>1.1169690000000001</v>
      </c>
      <c r="L537">
        <v>366.98129999999998</v>
      </c>
      <c r="M537">
        <v>0.9999576</v>
      </c>
      <c r="N537">
        <v>-9.2033589999999995E-3</v>
      </c>
      <c r="O537">
        <v>-6.1285050000000002E-4</v>
      </c>
      <c r="P537">
        <v>0.98842419999999998</v>
      </c>
      <c r="Q537">
        <v>0.15127789999999999</v>
      </c>
      <c r="R537">
        <v>1.1522279999999999E-2</v>
      </c>
      <c r="S537">
        <v>3.1964109999999999</v>
      </c>
      <c r="T537">
        <v>-1.03247</v>
      </c>
      <c r="U537">
        <v>-0.27398679999999997</v>
      </c>
      <c r="V537">
        <v>-1.212246E-2</v>
      </c>
      <c r="W537">
        <v>0.16036900000000001</v>
      </c>
      <c r="X537">
        <v>0.98698269999999999</v>
      </c>
      <c r="Y537">
        <v>8.0627229999999994E-2</v>
      </c>
      <c r="Z537">
        <v>-1.2870980000000001E-2</v>
      </c>
      <c r="AA537">
        <v>0.99666120000000002</v>
      </c>
      <c r="AB537">
        <v>29</v>
      </c>
      <c r="AC537">
        <v>0.71199999999993202</v>
      </c>
      <c r="AD537">
        <v>-0.28578629999999999</v>
      </c>
      <c r="AE537">
        <v>-7.5899999999990003E-2</v>
      </c>
      <c r="AF537">
        <v>6.5094131175119405E-2</v>
      </c>
      <c r="AG537">
        <v>-0.28578629999999999</v>
      </c>
      <c r="AH537">
        <v>0.61420379868792896</v>
      </c>
      <c r="AI537">
        <v>114.83018149851399</v>
      </c>
      <c r="AJ537">
        <v>83.950300197667801</v>
      </c>
      <c r="AK537">
        <v>0.68055665561642598</v>
      </c>
      <c r="AL537">
        <v>80.771685152367596</v>
      </c>
      <c r="AM537">
        <v>90.703691029251601</v>
      </c>
      <c r="AN537">
        <v>1.0000000101483699</v>
      </c>
    </row>
    <row r="538" spans="1:40" x14ac:dyDescent="0.25">
      <c r="A538" t="str">
        <f>"20190303161852471"</f>
        <v>20190303161852471</v>
      </c>
      <c r="B538" t="str">
        <f>"1551601132463540"</f>
        <v>1551601132463540</v>
      </c>
      <c r="C538" t="s">
        <v>40</v>
      </c>
      <c r="D538">
        <v>4.4533569999999996</v>
      </c>
      <c r="E538">
        <v>0.540857699999999</v>
      </c>
      <c r="F538" t="s">
        <v>42</v>
      </c>
      <c r="G538">
        <v>-392.89519999999999</v>
      </c>
      <c r="H538">
        <v>0.88162399999999996</v>
      </c>
      <c r="I538">
        <v>366.91739999999999</v>
      </c>
      <c r="J538">
        <v>-393.46179999999998</v>
      </c>
      <c r="K538">
        <v>1.1173630000000001</v>
      </c>
      <c r="L538">
        <v>366.98110000000003</v>
      </c>
      <c r="M538">
        <v>0.99995579999999995</v>
      </c>
      <c r="N538">
        <v>-9.3874449999999995E-3</v>
      </c>
      <c r="O538">
        <v>-6.1251719999999999E-4</v>
      </c>
      <c r="P538">
        <v>0.98841270000000003</v>
      </c>
      <c r="Q538">
        <v>0.15132760000000001</v>
      </c>
      <c r="R538">
        <v>1.1861170000000001E-2</v>
      </c>
      <c r="S538">
        <v>3.1956479999999998</v>
      </c>
      <c r="T538">
        <v>-1.027757</v>
      </c>
      <c r="U538">
        <v>-0.27755740000000001</v>
      </c>
      <c r="V538">
        <v>-1.2460830000000001E-2</v>
      </c>
      <c r="W538">
        <v>0.1606001</v>
      </c>
      <c r="X538">
        <v>0.98694090000000001</v>
      </c>
      <c r="Y538">
        <v>8.1728850000000006E-2</v>
      </c>
      <c r="Z538">
        <v>-1.300456E-2</v>
      </c>
      <c r="AA538">
        <v>0.99656979999999995</v>
      </c>
      <c r="AB538">
        <v>29</v>
      </c>
      <c r="AC538">
        <v>0.566599999999994</v>
      </c>
      <c r="AD538">
        <v>-0.235738999999999</v>
      </c>
      <c r="AE538">
        <v>-6.3700000000039794E-2</v>
      </c>
      <c r="AF538">
        <v>5.4104122795393103E-2</v>
      </c>
      <c r="AG538">
        <v>-0.235738999999999</v>
      </c>
      <c r="AH538">
        <v>0.48391614879061801</v>
      </c>
      <c r="AI538">
        <v>115.833106917804</v>
      </c>
      <c r="AJ538">
        <v>83.620553478666196</v>
      </c>
      <c r="AK538">
        <v>0.54099442814580101</v>
      </c>
      <c r="AL538">
        <v>80.758270144530798</v>
      </c>
      <c r="AM538">
        <v>90.723361485088901</v>
      </c>
      <c r="AN538">
        <v>1.00000000224855</v>
      </c>
    </row>
    <row r="539" spans="1:40" x14ac:dyDescent="0.25">
      <c r="A539" t="str">
        <f>"20190303161852484"</f>
        <v>20190303161852484</v>
      </c>
      <c r="B539" t="str">
        <f>"1551601132473300"</f>
        <v>1551601132473300</v>
      </c>
      <c r="C539" t="s">
        <v>40</v>
      </c>
      <c r="D539">
        <v>4.4121290000000002</v>
      </c>
      <c r="E539">
        <v>0.54105999999999999</v>
      </c>
      <c r="F539" t="s">
        <v>42</v>
      </c>
      <c r="G539">
        <v>-392.64479999999998</v>
      </c>
      <c r="H539">
        <v>0.85505549999999997</v>
      </c>
      <c r="I539">
        <v>366.90989999999999</v>
      </c>
      <c r="J539">
        <v>-393.30270000000002</v>
      </c>
      <c r="K539">
        <v>1.117721</v>
      </c>
      <c r="L539">
        <v>366.98099999999999</v>
      </c>
      <c r="M539">
        <v>0.99995420000000002</v>
      </c>
      <c r="N539">
        <v>-9.5559990000000008E-3</v>
      </c>
      <c r="O539">
        <v>-6.1248390000000002E-4</v>
      </c>
      <c r="P539">
        <v>0.98840799999999995</v>
      </c>
      <c r="Q539">
        <v>0.1513399</v>
      </c>
      <c r="R539">
        <v>1.2087860000000001E-2</v>
      </c>
      <c r="S539">
        <v>3.1955870000000002</v>
      </c>
      <c r="T539">
        <v>-1.0260119999999999</v>
      </c>
      <c r="U539">
        <v>-0.2777405</v>
      </c>
      <c r="V539">
        <v>-1.2687769999999999E-2</v>
      </c>
      <c r="W539">
        <v>0.16077839999999999</v>
      </c>
      <c r="X539">
        <v>0.98690900000000004</v>
      </c>
      <c r="Y539">
        <v>8.1795039999999999E-2</v>
      </c>
      <c r="Z539">
        <v>-1.300221E-2</v>
      </c>
      <c r="AA539">
        <v>0.99656429999999996</v>
      </c>
      <c r="AB539">
        <v>29</v>
      </c>
      <c r="AC539">
        <v>0.65790000000004001</v>
      </c>
      <c r="AD539">
        <v>-0.262665499999999</v>
      </c>
      <c r="AE539">
        <v>-7.1100000000001204E-2</v>
      </c>
      <c r="AF539">
        <v>6.1074218271292398E-2</v>
      </c>
      <c r="AG539">
        <v>-0.262665499999999</v>
      </c>
      <c r="AH539">
        <v>0.56838864200915795</v>
      </c>
      <c r="AI539">
        <v>114.67774727202701</v>
      </c>
      <c r="AJ539">
        <v>83.867013164783998</v>
      </c>
      <c r="AK539">
        <v>0.62911753543571902</v>
      </c>
      <c r="AL539">
        <v>80.747920006477202</v>
      </c>
      <c r="AM539">
        <v>90.736557905901094</v>
      </c>
      <c r="AN539">
        <v>1.0000000238475599</v>
      </c>
    </row>
    <row r="540" spans="1:40" x14ac:dyDescent="0.25">
      <c r="A540" t="str">
        <f>"20190303161852500"</f>
        <v>20190303161852500</v>
      </c>
      <c r="B540" t="str">
        <f>"1551601132493800"</f>
        <v>1551601132493800</v>
      </c>
      <c r="C540" t="s">
        <v>40</v>
      </c>
      <c r="D540">
        <v>4.4273509999999998</v>
      </c>
      <c r="E540">
        <v>0.54132530000000001</v>
      </c>
      <c r="F540" t="s">
        <v>42</v>
      </c>
      <c r="G540">
        <v>-392.62610000000001</v>
      </c>
      <c r="H540">
        <v>0.9012346</v>
      </c>
      <c r="I540">
        <v>366.92169999999999</v>
      </c>
      <c r="J540">
        <v>-393.08609999999999</v>
      </c>
      <c r="K540">
        <v>1.1181460000000001</v>
      </c>
      <c r="L540">
        <v>366.98099999999999</v>
      </c>
      <c r="M540">
        <v>0.99995219999999996</v>
      </c>
      <c r="N540">
        <v>-9.7642839999999998E-3</v>
      </c>
      <c r="O540">
        <v>-6.1242070000000004E-4</v>
      </c>
      <c r="P540">
        <v>0.98839100000000002</v>
      </c>
      <c r="Q540">
        <v>0.151391</v>
      </c>
      <c r="R540">
        <v>1.280913E-2</v>
      </c>
      <c r="S540">
        <v>3.1950989999999999</v>
      </c>
      <c r="T540">
        <v>-1.022249</v>
      </c>
      <c r="U540">
        <v>-0.27899170000000001</v>
      </c>
      <c r="V540">
        <v>-1.340861E-2</v>
      </c>
      <c r="W540">
        <v>0.1610354</v>
      </c>
      <c r="X540">
        <v>0.98685750000000005</v>
      </c>
      <c r="Y540">
        <v>8.2200389999999998E-2</v>
      </c>
      <c r="Z540">
        <v>-1.303385E-2</v>
      </c>
      <c r="AA540">
        <v>0.99653060000000004</v>
      </c>
      <c r="AB540">
        <v>29</v>
      </c>
      <c r="AC540">
        <v>0.45999999999997898</v>
      </c>
      <c r="AD540">
        <v>-0.21691139999999901</v>
      </c>
      <c r="AE540">
        <v>-5.9300000000007402E-2</v>
      </c>
      <c r="AF540">
        <v>4.8426381482199299E-2</v>
      </c>
      <c r="AG540">
        <v>-0.21691139999999901</v>
      </c>
      <c r="AH540">
        <v>0.37747451946854699</v>
      </c>
      <c r="AI540">
        <v>119.68172503964</v>
      </c>
      <c r="AJ540">
        <v>82.689430168054102</v>
      </c>
      <c r="AK540">
        <v>0.43804415613203801</v>
      </c>
      <c r="AL540">
        <v>80.732999970528994</v>
      </c>
      <c r="AM540">
        <v>90.778440140589694</v>
      </c>
      <c r="AN540">
        <v>0.99999995809077002</v>
      </c>
    </row>
    <row r="541" spans="1:40" x14ac:dyDescent="0.25">
      <c r="A541" t="str">
        <f>"20190303161852511"</f>
        <v>20190303161852511</v>
      </c>
      <c r="B541" t="str">
        <f>"1551601132503556"</f>
        <v>1551601132503556</v>
      </c>
      <c r="C541" t="s">
        <v>40</v>
      </c>
      <c r="D541">
        <v>4.4389849999999997</v>
      </c>
      <c r="E541">
        <v>0.54132930000000001</v>
      </c>
      <c r="F541" t="s">
        <v>42</v>
      </c>
      <c r="G541">
        <v>-392.37020000000001</v>
      </c>
      <c r="H541">
        <v>0.88997549999999903</v>
      </c>
      <c r="I541">
        <v>366.91849999999999</v>
      </c>
      <c r="J541">
        <v>-392.94049999999999</v>
      </c>
      <c r="K541">
        <v>1.118406</v>
      </c>
      <c r="L541">
        <v>366.98079999999999</v>
      </c>
      <c r="M541">
        <v>0.99995089999999998</v>
      </c>
      <c r="N541">
        <v>-9.8949569999999994E-3</v>
      </c>
      <c r="O541">
        <v>-6.1235010000000004E-4</v>
      </c>
      <c r="P541">
        <v>0.98843409999999998</v>
      </c>
      <c r="Q541">
        <v>0.15111810000000001</v>
      </c>
      <c r="R541">
        <v>1.2714690000000001E-2</v>
      </c>
      <c r="S541">
        <v>3.1948240000000001</v>
      </c>
      <c r="T541">
        <v>-1.0182359999999999</v>
      </c>
      <c r="U541">
        <v>-0.27767940000000002</v>
      </c>
      <c r="V541">
        <v>-1.3314350000000001E-2</v>
      </c>
      <c r="W541">
        <v>0.16089139999999999</v>
      </c>
      <c r="X541">
        <v>0.98688229999999999</v>
      </c>
      <c r="Y541">
        <v>8.1848379999999998E-2</v>
      </c>
      <c r="Z541">
        <v>-1.2937010000000001E-2</v>
      </c>
      <c r="AA541">
        <v>0.99656080000000002</v>
      </c>
      <c r="AB541">
        <v>29</v>
      </c>
      <c r="AC541">
        <v>0.57029999999997405</v>
      </c>
      <c r="AD541">
        <v>-0.22843050000000001</v>
      </c>
      <c r="AE541">
        <v>-6.2299999999993298E-2</v>
      </c>
      <c r="AF541">
        <v>5.3472941118376E-2</v>
      </c>
      <c r="AG541">
        <v>-0.22843050000000001</v>
      </c>
      <c r="AH541">
        <v>0.492288691581938</v>
      </c>
      <c r="AI541">
        <v>114.76406426186399</v>
      </c>
      <c r="AJ541">
        <v>83.800773558352702</v>
      </c>
      <c r="AK541">
        <v>0.54533293007258898</v>
      </c>
      <c r="AL541">
        <v>80.741359907189604</v>
      </c>
      <c r="AM541">
        <v>90.772949097423293</v>
      </c>
      <c r="AN541">
        <v>0.99999999428158604</v>
      </c>
    </row>
    <row r="542" spans="1:40" x14ac:dyDescent="0.25">
      <c r="A542" t="str">
        <f>"20190303161852524"</f>
        <v>20190303161852524</v>
      </c>
      <c r="B542" t="str">
        <f>"1551601132513317"</f>
        <v>1551601132513317</v>
      </c>
      <c r="C542" t="s">
        <v>40</v>
      </c>
      <c r="D542">
        <v>4.4310150000000004</v>
      </c>
      <c r="E542">
        <v>0.54133640000000005</v>
      </c>
      <c r="F542" t="s">
        <v>42</v>
      </c>
      <c r="G542">
        <v>-392.12220000000002</v>
      </c>
      <c r="H542">
        <v>0.8573248</v>
      </c>
      <c r="I542">
        <v>366.90949999999998</v>
      </c>
      <c r="J542">
        <v>-392.77800000000002</v>
      </c>
      <c r="K542">
        <v>1.1186750000000001</v>
      </c>
      <c r="L542">
        <v>366.98070000000001</v>
      </c>
      <c r="M542">
        <v>0.99994959999999999</v>
      </c>
      <c r="N542">
        <v>-1.0034410000000001E-2</v>
      </c>
      <c r="O542">
        <v>-6.1245120000000004E-4</v>
      </c>
      <c r="P542">
        <v>0.98841210000000002</v>
      </c>
      <c r="Q542">
        <v>0.15125429999999901</v>
      </c>
      <c r="R542">
        <v>1.279917E-2</v>
      </c>
      <c r="S542">
        <v>3.1944889999999999</v>
      </c>
      <c r="T542">
        <v>-1.0191650000000001</v>
      </c>
      <c r="U542">
        <v>-0.2783813</v>
      </c>
      <c r="V542">
        <v>-1.3398439999999999E-2</v>
      </c>
      <c r="W542">
        <v>0.16116529999999901</v>
      </c>
      <c r="X542">
        <v>0.98683650000000001</v>
      </c>
      <c r="Y542">
        <v>8.2054279999999993E-2</v>
      </c>
      <c r="Z542">
        <v>-1.2988009999999999E-2</v>
      </c>
      <c r="AA542">
        <v>0.99654319999999996</v>
      </c>
      <c r="AB542">
        <v>29</v>
      </c>
      <c r="AC542">
        <v>0.65579999999999905</v>
      </c>
      <c r="AD542">
        <v>-0.26135019999999998</v>
      </c>
      <c r="AE542">
        <v>-7.1200000000033001E-2</v>
      </c>
      <c r="AF542">
        <v>6.1192933951591401E-2</v>
      </c>
      <c r="AG542">
        <v>-0.26135019999999998</v>
      </c>
      <c r="AH542">
        <v>0.56686354348809798</v>
      </c>
      <c r="AI542">
        <v>114.625915187326</v>
      </c>
      <c r="AJ542">
        <v>83.838777889701106</v>
      </c>
      <c r="AK542">
        <v>0.627202343061254</v>
      </c>
      <c r="AL542">
        <v>80.725459370525101</v>
      </c>
      <c r="AM542">
        <v>90.777866342021795</v>
      </c>
      <c r="AN542">
        <v>1.00000002492538</v>
      </c>
    </row>
    <row r="543" spans="1:40" x14ac:dyDescent="0.25">
      <c r="A543" t="str">
        <f>"20190303161852545"</f>
        <v>20190303161852545</v>
      </c>
      <c r="B543" t="str">
        <f>"1551601132533812"</f>
        <v>1551601132533812</v>
      </c>
      <c r="C543" t="s">
        <v>40</v>
      </c>
      <c r="D543">
        <v>4.4735170000000002</v>
      </c>
      <c r="E543">
        <v>0.54136580000000001</v>
      </c>
      <c r="F543" t="s">
        <v>42</v>
      </c>
      <c r="G543">
        <v>-392.10320000000002</v>
      </c>
      <c r="H543">
        <v>0.90364120000000003</v>
      </c>
      <c r="I543">
        <v>366.92200000000003</v>
      </c>
      <c r="J543">
        <v>-392.50330000000002</v>
      </c>
      <c r="K543">
        <v>1.1190739999999999</v>
      </c>
      <c r="L543">
        <v>366.98059999999998</v>
      </c>
      <c r="M543">
        <v>0.99994740000000004</v>
      </c>
      <c r="N543">
        <v>-1.024692E-2</v>
      </c>
      <c r="O543">
        <v>-6.1245970000000001E-4</v>
      </c>
      <c r="P543">
        <v>0.98846049999999996</v>
      </c>
      <c r="Q543">
        <v>0.1509607</v>
      </c>
      <c r="R543">
        <v>1.2535610000000001E-2</v>
      </c>
      <c r="S543">
        <v>3.19455</v>
      </c>
      <c r="T543">
        <v>-1.0181100000000001</v>
      </c>
      <c r="U543">
        <v>-0.27801510000000001</v>
      </c>
      <c r="V543">
        <v>-1.313511E-2</v>
      </c>
      <c r="W543">
        <v>0.16108149999999999</v>
      </c>
      <c r="X543">
        <v>0.98685369999999994</v>
      </c>
      <c r="Y543">
        <v>8.1950019999999998E-2</v>
      </c>
      <c r="Z543">
        <v>-1.296778E-2</v>
      </c>
      <c r="AA543">
        <v>0.99655210000000005</v>
      </c>
      <c r="AB543">
        <v>29</v>
      </c>
      <c r="AC543">
        <v>0.400100000000008</v>
      </c>
      <c r="AD543">
        <v>-0.21543279999999901</v>
      </c>
      <c r="AE543">
        <v>-5.86000000000126E-2</v>
      </c>
      <c r="AF543">
        <v>4.5453540861725303E-2</v>
      </c>
      <c r="AG543">
        <v>-0.21543279999999901</v>
      </c>
      <c r="AH543">
        <v>0.31167185674612002</v>
      </c>
      <c r="AI543">
        <v>124.371398333176</v>
      </c>
      <c r="AJ543">
        <v>81.702603907231705</v>
      </c>
      <c r="AK543">
        <v>0.38159751306878598</v>
      </c>
      <c r="AL543">
        <v>80.730324115645502</v>
      </c>
      <c r="AM543">
        <v>90.7625668615498</v>
      </c>
      <c r="AN543">
        <v>1.00000000298032</v>
      </c>
    </row>
    <row r="544" spans="1:40" x14ac:dyDescent="0.25">
      <c r="A544" t="str">
        <f>"20190303161852557"</f>
        <v>20190303161852557</v>
      </c>
      <c r="B544" t="str">
        <f>"1551601132553334"</f>
        <v>1551601132553334</v>
      </c>
      <c r="C544" t="s">
        <v>40</v>
      </c>
      <c r="D544">
        <v>4.4840989999999996</v>
      </c>
      <c r="E544">
        <v>0.54130480000000003</v>
      </c>
      <c r="F544" t="s">
        <v>42</v>
      </c>
      <c r="G544">
        <v>-391.60950000000003</v>
      </c>
      <c r="H544">
        <v>0.83402469999999995</v>
      </c>
      <c r="I544">
        <v>366.90249999999997</v>
      </c>
      <c r="J544">
        <v>-392.34550000000002</v>
      </c>
      <c r="K544">
        <v>1.1192679999999999</v>
      </c>
      <c r="L544">
        <v>366.98050000000001</v>
      </c>
      <c r="M544">
        <v>0.99994620000000001</v>
      </c>
      <c r="N544">
        <v>-1.0355949999999999E-2</v>
      </c>
      <c r="O544">
        <v>-6.1242730000000002E-4</v>
      </c>
      <c r="P544">
        <v>0.98852260000000003</v>
      </c>
      <c r="Q544">
        <v>0.15056729999999999</v>
      </c>
      <c r="R544">
        <v>1.235636E-2</v>
      </c>
      <c r="S544">
        <v>3.1941220000000001</v>
      </c>
      <c r="T544">
        <v>-1.0186379999999999</v>
      </c>
      <c r="U544">
        <v>-0.2796631</v>
      </c>
      <c r="V544">
        <v>-1.295549E-2</v>
      </c>
      <c r="W544">
        <v>0.16079679999999999</v>
      </c>
      <c r="X544">
        <v>0.98690250000000002</v>
      </c>
      <c r="Y544">
        <v>8.2440369999999999E-2</v>
      </c>
      <c r="Z544">
        <v>-1.3058760000000001E-2</v>
      </c>
      <c r="AA544">
        <v>0.99651040000000002</v>
      </c>
      <c r="AB544">
        <v>29</v>
      </c>
      <c r="AC544">
        <v>0.73599999999999</v>
      </c>
      <c r="AD544">
        <v>-0.28524329999999998</v>
      </c>
      <c r="AE544">
        <v>-7.8000000000031294E-2</v>
      </c>
      <c r="AF544">
        <v>6.7520196292976398E-2</v>
      </c>
      <c r="AG544">
        <v>-0.28524329999999998</v>
      </c>
      <c r="AH544">
        <v>0.64085859416802105</v>
      </c>
      <c r="AI544">
        <v>113.876362194243</v>
      </c>
      <c r="AJ544">
        <v>83.985565079073496</v>
      </c>
      <c r="AK544">
        <v>0.70471444913620496</v>
      </c>
      <c r="AL544">
        <v>80.746851644570896</v>
      </c>
      <c r="AM544">
        <v>90.7521029313491</v>
      </c>
      <c r="AN544">
        <v>1.0000000000588101</v>
      </c>
    </row>
    <row r="545" spans="1:40" x14ac:dyDescent="0.25">
      <c r="A545" t="str">
        <f>"20190303161852568"</f>
        <v>20190303161852568</v>
      </c>
      <c r="B545" t="str">
        <f>"1551601132563092"</f>
        <v>1551601132563092</v>
      </c>
      <c r="C545" t="s">
        <v>40</v>
      </c>
      <c r="D545">
        <v>4.4959410000000002</v>
      </c>
      <c r="E545">
        <v>0.54127479999999994</v>
      </c>
      <c r="F545" t="s">
        <v>42</v>
      </c>
      <c r="G545">
        <v>-391.59199999999998</v>
      </c>
      <c r="H545">
        <v>0.87845899999999999</v>
      </c>
      <c r="I545">
        <v>366.91469999999998</v>
      </c>
      <c r="J545">
        <v>-392.18630000000002</v>
      </c>
      <c r="K545">
        <v>1.1194519999999999</v>
      </c>
      <c r="L545">
        <v>366.98039999999997</v>
      </c>
      <c r="M545">
        <v>0.99994519999999998</v>
      </c>
      <c r="N545">
        <v>-1.046189E-2</v>
      </c>
      <c r="O545">
        <v>-6.1238480000000005E-4</v>
      </c>
      <c r="P545">
        <v>0.98856089999999996</v>
      </c>
      <c r="Q545">
        <v>0.15034210000000001</v>
      </c>
      <c r="R545">
        <v>1.20398E-2</v>
      </c>
      <c r="S545">
        <v>3.1938170000000001</v>
      </c>
      <c r="T545">
        <v>-1.0207569999999999</v>
      </c>
      <c r="U545">
        <v>-0.27960210000000002</v>
      </c>
      <c r="V545">
        <v>-1.26395E-2</v>
      </c>
      <c r="W545">
        <v>0.16067629999999999</v>
      </c>
      <c r="X545">
        <v>0.98692619999999998</v>
      </c>
      <c r="Y545">
        <v>8.2412319999999997E-2</v>
      </c>
      <c r="Z545">
        <v>-1.3085009999999999E-2</v>
      </c>
      <c r="AA545">
        <v>0.99651239999999996</v>
      </c>
      <c r="AB545">
        <v>29</v>
      </c>
      <c r="AC545">
        <v>0.59430000000003202</v>
      </c>
      <c r="AD545">
        <v>-0.24099300000000001</v>
      </c>
      <c r="AE545">
        <v>-6.5699999999992501E-2</v>
      </c>
      <c r="AF545">
        <v>5.6205412336459898E-2</v>
      </c>
      <c r="AG545">
        <v>-0.24099300000000001</v>
      </c>
      <c r="AH545">
        <v>0.51128195318521197</v>
      </c>
      <c r="AI545">
        <v>115.10440507821301</v>
      </c>
      <c r="AJ545">
        <v>83.726643565543796</v>
      </c>
      <c r="AK545">
        <v>0.56801928671286905</v>
      </c>
      <c r="AL545">
        <v>80.753846528489404</v>
      </c>
      <c r="AM545">
        <v>90.733743227964993</v>
      </c>
      <c r="AN545">
        <v>0.99999997729418899</v>
      </c>
    </row>
    <row r="546" spans="1:40" x14ac:dyDescent="0.25">
      <c r="A546" t="str">
        <f>"20190303161852582"</f>
        <v>20190303161852582</v>
      </c>
      <c r="B546" t="str">
        <f>"1551601132573829"</f>
        <v>1551601132573829</v>
      </c>
      <c r="C546" t="s">
        <v>40</v>
      </c>
      <c r="D546">
        <v>4.5142150000000001</v>
      </c>
      <c r="E546">
        <v>0.54123509999999997</v>
      </c>
      <c r="F546" t="s">
        <v>42</v>
      </c>
      <c r="G546">
        <v>-391.3424</v>
      </c>
      <c r="H546">
        <v>0.84953729999999905</v>
      </c>
      <c r="I546">
        <v>366.90589999999997</v>
      </c>
      <c r="J546">
        <v>-392.01589999999999</v>
      </c>
      <c r="K546">
        <v>1.1196280000000001</v>
      </c>
      <c r="L546">
        <v>366.9803</v>
      </c>
      <c r="M546">
        <v>0.9999441</v>
      </c>
      <c r="N546">
        <v>-1.056766E-2</v>
      </c>
      <c r="O546">
        <v>-6.1234690000000003E-4</v>
      </c>
      <c r="P546">
        <v>0.98861589999999999</v>
      </c>
      <c r="Q546">
        <v>0.14998710000000001</v>
      </c>
      <c r="R546">
        <v>1.194744E-2</v>
      </c>
      <c r="S546">
        <v>3.1935120000000001</v>
      </c>
      <c r="T546">
        <v>-1.0214639999999999</v>
      </c>
      <c r="U546">
        <v>-0.280304</v>
      </c>
      <c r="V546">
        <v>-1.254684E-2</v>
      </c>
      <c r="W546">
        <v>0.16042690000000001</v>
      </c>
      <c r="X546">
        <v>0.98696799999999996</v>
      </c>
      <c r="Y546">
        <v>8.2619639999999994E-2</v>
      </c>
      <c r="Z546">
        <v>-1.3132380000000001E-2</v>
      </c>
      <c r="AA546">
        <v>0.99649469999999996</v>
      </c>
      <c r="AB546">
        <v>29</v>
      </c>
      <c r="AC546">
        <v>0.67349999999999</v>
      </c>
      <c r="AD546">
        <v>-0.27009070000000002</v>
      </c>
      <c r="AE546">
        <v>-7.4400000000025501E-2</v>
      </c>
      <c r="AF546">
        <v>6.3843866655824297E-2</v>
      </c>
      <c r="AG546">
        <v>-0.27009070000000002</v>
      </c>
      <c r="AH546">
        <v>0.58120246475390103</v>
      </c>
      <c r="AI546">
        <v>114.793705955568</v>
      </c>
      <c r="AJ546">
        <v>83.731312501637305</v>
      </c>
      <c r="AK546">
        <v>0.64406624703679805</v>
      </c>
      <c r="AL546">
        <v>80.768324332566294</v>
      </c>
      <c r="AM546">
        <v>90.728333903800703</v>
      </c>
      <c r="AN546">
        <v>1.00000002323079</v>
      </c>
    </row>
    <row r="547" spans="1:40" x14ac:dyDescent="0.25">
      <c r="A547" t="str">
        <f>"20190303161852595"</f>
        <v>20190303161852595</v>
      </c>
      <c r="B547" t="str">
        <f>"1551601132583589"</f>
        <v>1551601132583589</v>
      </c>
      <c r="C547" t="s">
        <v>40</v>
      </c>
      <c r="D547">
        <v>4.5196440000000004</v>
      </c>
      <c r="E547">
        <v>0.54124349999999999</v>
      </c>
      <c r="F547" t="s">
        <v>42</v>
      </c>
      <c r="G547">
        <v>-391.32319999999999</v>
      </c>
      <c r="H547">
        <v>0.89771690000000004</v>
      </c>
      <c r="I547">
        <v>366.91899999999998</v>
      </c>
      <c r="J547">
        <v>-391.85019999999997</v>
      </c>
      <c r="K547">
        <v>1.1197790000000001</v>
      </c>
      <c r="L547">
        <v>366.98020000000002</v>
      </c>
      <c r="M547">
        <v>0.99994300000000003</v>
      </c>
      <c r="N547">
        <v>-1.066188E-2</v>
      </c>
      <c r="O547">
        <v>-6.1213360000000004E-4</v>
      </c>
      <c r="P547">
        <v>0.98863440000000002</v>
      </c>
      <c r="Q547">
        <v>0.149861299999999</v>
      </c>
      <c r="R547">
        <v>1.198309E-2</v>
      </c>
      <c r="S547">
        <v>3.193085</v>
      </c>
      <c r="T547">
        <v>-1.0229200000000001</v>
      </c>
      <c r="U547">
        <v>-0.28051759999999998</v>
      </c>
      <c r="V547">
        <v>-1.258221E-2</v>
      </c>
      <c r="W547">
        <v>0.16039389999999901</v>
      </c>
      <c r="X547">
        <v>0.98697290000000004</v>
      </c>
      <c r="Y547">
        <v>8.2680610000000002E-2</v>
      </c>
      <c r="Z547">
        <v>-1.316517E-2</v>
      </c>
      <c r="AA547">
        <v>0.99648910000000002</v>
      </c>
      <c r="AB547">
        <v>29</v>
      </c>
      <c r="AC547">
        <v>0.52699999999998604</v>
      </c>
      <c r="AD547">
        <v>-0.22206210000000001</v>
      </c>
      <c r="AE547">
        <v>-6.1199999999985197E-2</v>
      </c>
      <c r="AF547">
        <v>5.1802145251005599E-2</v>
      </c>
      <c r="AG547">
        <v>-0.22206210000000001</v>
      </c>
      <c r="AH547">
        <v>0.44846982687182302</v>
      </c>
      <c r="AI547">
        <v>116.191857918544</v>
      </c>
      <c r="AJ547">
        <v>83.411042032136805</v>
      </c>
      <c r="AK547">
        <v>0.50311054861079896</v>
      </c>
      <c r="AL547">
        <v>80.770239778197606</v>
      </c>
      <c r="AM547">
        <v>90.730383255809599</v>
      </c>
      <c r="AN547">
        <v>1.0000000102500499</v>
      </c>
    </row>
    <row r="548" spans="1:40" x14ac:dyDescent="0.25">
      <c r="A548" t="str">
        <f>"20190303161852612"</f>
        <v>20190303161852612</v>
      </c>
      <c r="B548" t="str">
        <f>"1551601132603109"</f>
        <v>1551601132603109</v>
      </c>
      <c r="C548" t="s">
        <v>40</v>
      </c>
      <c r="D548">
        <v>4.5251510000000001</v>
      </c>
      <c r="E548">
        <v>0.54123089999999996</v>
      </c>
      <c r="F548" t="s">
        <v>42</v>
      </c>
      <c r="G548">
        <v>-391.07299999999998</v>
      </c>
      <c r="H548">
        <v>0.87086260000000004</v>
      </c>
      <c r="I548">
        <v>366.9119</v>
      </c>
      <c r="J548">
        <v>-391.6223</v>
      </c>
      <c r="K548">
        <v>1.1199650000000001</v>
      </c>
      <c r="L548">
        <v>366.98009999999999</v>
      </c>
      <c r="M548">
        <v>0.99994179999999999</v>
      </c>
      <c r="N548">
        <v>-1.0782740000000001E-2</v>
      </c>
      <c r="O548">
        <v>-6.1206879999999996E-4</v>
      </c>
      <c r="P548">
        <v>0.98862700000000003</v>
      </c>
      <c r="Q548">
        <v>0.14993399999999901</v>
      </c>
      <c r="R548">
        <v>1.169955E-2</v>
      </c>
      <c r="S548">
        <v>3.1928709999999998</v>
      </c>
      <c r="T548">
        <v>-1.0226630000000001</v>
      </c>
      <c r="U548">
        <v>-0.28039550000000002</v>
      </c>
      <c r="V548">
        <v>-1.2298969999999999E-2</v>
      </c>
      <c r="W548">
        <v>0.16058599999999901</v>
      </c>
      <c r="X548">
        <v>0.98694519999999997</v>
      </c>
      <c r="Y548">
        <v>8.2650070000000006E-2</v>
      </c>
      <c r="Z548">
        <v>-1.316325E-2</v>
      </c>
      <c r="AA548">
        <v>0.99649169999999998</v>
      </c>
      <c r="AB548">
        <v>29</v>
      </c>
      <c r="AC548">
        <v>0.54929999999995904</v>
      </c>
      <c r="AD548">
        <v>-0.249102399999999</v>
      </c>
      <c r="AE548">
        <v>-6.8199999999990199E-2</v>
      </c>
      <c r="AF548">
        <v>5.6434071222101902E-2</v>
      </c>
      <c r="AG548">
        <v>-0.249102399999999</v>
      </c>
      <c r="AH548">
        <v>0.45682093283534903</v>
      </c>
      <c r="AI548">
        <v>118.421435599586</v>
      </c>
      <c r="AJ548">
        <v>82.957559315804602</v>
      </c>
      <c r="AK548">
        <v>0.52337574911053997</v>
      </c>
      <c r="AL548">
        <v>80.759088411809699</v>
      </c>
      <c r="AM548">
        <v>90.713963246950001</v>
      </c>
      <c r="AN548">
        <v>0.99999997793105</v>
      </c>
    </row>
    <row r="549" spans="1:40" x14ac:dyDescent="0.25">
      <c r="A549" t="str">
        <f>"20190303161852628"</f>
        <v>20190303161852628</v>
      </c>
      <c r="B549" t="str">
        <f>"1551601132623605"</f>
        <v>1551601132623605</v>
      </c>
      <c r="C549" t="s">
        <v>40</v>
      </c>
      <c r="D549">
        <v>4.5587470000000003</v>
      </c>
      <c r="E549">
        <v>0.54125570000000001</v>
      </c>
      <c r="F549" t="s">
        <v>42</v>
      </c>
      <c r="G549">
        <v>-390.81560000000002</v>
      </c>
      <c r="H549">
        <v>0.86170290000000005</v>
      </c>
      <c r="I549">
        <v>366.90870000000001</v>
      </c>
      <c r="J549">
        <v>-391.43130000000002</v>
      </c>
      <c r="K549">
        <v>1.120106</v>
      </c>
      <c r="L549">
        <v>366.98</v>
      </c>
      <c r="M549">
        <v>0.99994070000000002</v>
      </c>
      <c r="N549">
        <v>-1.087628E-2</v>
      </c>
      <c r="O549">
        <v>-6.1198109999999997E-4</v>
      </c>
      <c r="P549">
        <v>0.98869339999999994</v>
      </c>
      <c r="Q549">
        <v>0.14949860000000001</v>
      </c>
      <c r="R549">
        <v>1.164335E-2</v>
      </c>
      <c r="S549">
        <v>3.1928709999999998</v>
      </c>
      <c r="T549">
        <v>-1.022208</v>
      </c>
      <c r="U549">
        <v>-0.28103640000000002</v>
      </c>
      <c r="V549">
        <v>-1.224225E-2</v>
      </c>
      <c r="W549">
        <v>0.16024379999999999</v>
      </c>
      <c r="X549">
        <v>0.98700149999999998</v>
      </c>
      <c r="Y549">
        <v>8.2841230000000002E-2</v>
      </c>
      <c r="Z549">
        <v>-1.319268E-2</v>
      </c>
      <c r="AA549">
        <v>0.99647549999999996</v>
      </c>
      <c r="AB549">
        <v>29</v>
      </c>
      <c r="AC549">
        <v>0.61570000000000302</v>
      </c>
      <c r="AD549">
        <v>-0.2584031</v>
      </c>
      <c r="AE549">
        <v>-7.1300000000007899E-2</v>
      </c>
      <c r="AF549">
        <v>6.0421396536290202E-2</v>
      </c>
      <c r="AG549">
        <v>-0.2584031</v>
      </c>
      <c r="AH549">
        <v>0.52456883600863402</v>
      </c>
      <c r="AI549">
        <v>116.07552647644199</v>
      </c>
      <c r="AJ549">
        <v>83.429457235271101</v>
      </c>
      <c r="AK549">
        <v>0.58787360117669796</v>
      </c>
      <c r="AL549">
        <v>80.778952054200502</v>
      </c>
      <c r="AM549">
        <v>90.710630418813693</v>
      </c>
      <c r="AN549">
        <v>0.99999995456287505</v>
      </c>
    </row>
    <row r="550" spans="1:40" x14ac:dyDescent="0.25">
      <c r="A550" t="str">
        <f>"20190303161852647"</f>
        <v>20190303161852647</v>
      </c>
      <c r="B550" t="str">
        <f>"1551601132643124"</f>
        <v>1551601132643124</v>
      </c>
      <c r="C550" t="s">
        <v>40</v>
      </c>
      <c r="D550">
        <v>4.6060549999999996</v>
      </c>
      <c r="E550">
        <v>0.54104180000000002</v>
      </c>
      <c r="F550" t="s">
        <v>42</v>
      </c>
      <c r="G550">
        <v>-390.5625</v>
      </c>
      <c r="H550">
        <v>0.84157039999999905</v>
      </c>
      <c r="I550">
        <v>366.90350000000001</v>
      </c>
      <c r="J550">
        <v>-391.18110000000001</v>
      </c>
      <c r="K550">
        <v>1.120268</v>
      </c>
      <c r="L550">
        <v>366.97980000000001</v>
      </c>
      <c r="M550">
        <v>0.99993960000000004</v>
      </c>
      <c r="N550">
        <v>-1.098696E-2</v>
      </c>
      <c r="O550">
        <v>-6.1175369999999995E-4</v>
      </c>
      <c r="P550">
        <v>0.98870049999999998</v>
      </c>
      <c r="Q550">
        <v>0.14945639999999999</v>
      </c>
      <c r="R550">
        <v>1.159133E-2</v>
      </c>
      <c r="S550">
        <v>3.192383</v>
      </c>
      <c r="T550">
        <v>-1.023441</v>
      </c>
      <c r="U550">
        <v>-0.28088380000000002</v>
      </c>
      <c r="V550">
        <v>-1.2190339999999999E-2</v>
      </c>
      <c r="W550">
        <v>0.1603106</v>
      </c>
      <c r="X550">
        <v>0.98699130000000002</v>
      </c>
      <c r="Y550">
        <v>8.2797170000000003E-2</v>
      </c>
      <c r="Z550">
        <v>-1.320692E-2</v>
      </c>
      <c r="AA550">
        <v>0.99647889999999995</v>
      </c>
      <c r="AB550">
        <v>29</v>
      </c>
      <c r="AC550">
        <v>0.61860000000001403</v>
      </c>
      <c r="AD550">
        <v>-0.27869759999999999</v>
      </c>
      <c r="AE550">
        <v>-7.6300000000003296E-2</v>
      </c>
      <c r="AF550">
        <v>6.3271360574982102E-2</v>
      </c>
      <c r="AG550">
        <v>-0.27869759999999999</v>
      </c>
      <c r="AH550">
        <v>0.51556664796026297</v>
      </c>
      <c r="AI550">
        <v>118.21535441004001</v>
      </c>
      <c r="AJ550">
        <v>83.0035323158898</v>
      </c>
      <c r="AK550">
        <v>0.58947823183197401</v>
      </c>
      <c r="AL550">
        <v>80.775074614558093</v>
      </c>
      <c r="AM550">
        <v>90.707624798954299</v>
      </c>
      <c r="AN550">
        <v>0.99999995956868204</v>
      </c>
    </row>
    <row r="551" spans="1:40" x14ac:dyDescent="0.25">
      <c r="A551" t="str">
        <f>"20190303161852668"</f>
        <v>20190303161852668</v>
      </c>
      <c r="B551" t="str">
        <f>"1551601132663621"</f>
        <v>1551601132663621</v>
      </c>
      <c r="C551" t="s">
        <v>40</v>
      </c>
      <c r="D551">
        <v>4.8100579999999997</v>
      </c>
      <c r="E551">
        <v>0.54083590000000004</v>
      </c>
      <c r="F551" t="s">
        <v>42</v>
      </c>
      <c r="G551">
        <v>-390.30290000000002</v>
      </c>
      <c r="H551">
        <v>0.83788839999999998</v>
      </c>
      <c r="I551">
        <v>366.90269999999998</v>
      </c>
      <c r="J551">
        <v>-390.9</v>
      </c>
      <c r="K551">
        <v>1.1204160000000001</v>
      </c>
      <c r="L551">
        <v>366.9796</v>
      </c>
      <c r="M551">
        <v>0.99993829999999995</v>
      </c>
      <c r="N551">
        <v>-1.109745E-2</v>
      </c>
      <c r="O551">
        <v>-6.1153119999999997E-4</v>
      </c>
      <c r="P551">
        <v>0.98875049999999998</v>
      </c>
      <c r="Q551">
        <v>0.14913370000000001</v>
      </c>
      <c r="R551">
        <v>1.1486349999999999E-2</v>
      </c>
      <c r="S551">
        <v>3.1927189999999999</v>
      </c>
      <c r="T551">
        <v>-1.0265280000000001</v>
      </c>
      <c r="U551">
        <v>-0.2788696</v>
      </c>
      <c r="V551">
        <v>-1.2084869999999999E-2</v>
      </c>
      <c r="W551">
        <v>0.1600974</v>
      </c>
      <c r="X551">
        <v>0.98702719999999999</v>
      </c>
      <c r="Y551">
        <v>8.2171300000000003E-2</v>
      </c>
      <c r="Z551">
        <v>-1.31459E-2</v>
      </c>
      <c r="AA551">
        <v>0.99653150000000001</v>
      </c>
      <c r="AB551">
        <v>29</v>
      </c>
      <c r="AC551">
        <v>0.597099999999954</v>
      </c>
      <c r="AD551">
        <v>-0.28252759999999999</v>
      </c>
      <c r="AE551">
        <v>-7.69000000000232E-2</v>
      </c>
      <c r="AF551">
        <v>6.2721457034741496E-2</v>
      </c>
      <c r="AG551">
        <v>-0.28252759999999999</v>
      </c>
      <c r="AH551">
        <v>0.48937105749271897</v>
      </c>
      <c r="AI551">
        <v>119.797339983882</v>
      </c>
      <c r="AJ551">
        <v>82.696362469741302</v>
      </c>
      <c r="AK551">
        <v>0.56854186991448796</v>
      </c>
      <c r="AL551">
        <v>80.787449896862697</v>
      </c>
      <c r="AM551">
        <v>90.701477578971193</v>
      </c>
      <c r="AN551">
        <v>0.99999995755475701</v>
      </c>
    </row>
    <row r="552" spans="1:40" x14ac:dyDescent="0.25">
      <c r="A552" t="str">
        <f>"20190303161852680"</f>
        <v>20190303161852680</v>
      </c>
      <c r="B552" t="str">
        <f>"1551601132673381"</f>
        <v>1551601132673381</v>
      </c>
      <c r="C552" t="s">
        <v>40</v>
      </c>
      <c r="D552">
        <v>4.6484180000000004</v>
      </c>
      <c r="E552">
        <v>0.5248022</v>
      </c>
      <c r="F552" t="s">
        <v>42</v>
      </c>
      <c r="G552">
        <v>-390.03949999999998</v>
      </c>
      <c r="H552">
        <v>0.84372510000000001</v>
      </c>
      <c r="I552">
        <v>366.90460000000002</v>
      </c>
      <c r="J552">
        <v>-390.73660000000001</v>
      </c>
      <c r="K552">
        <v>1.12049</v>
      </c>
      <c r="L552">
        <v>366.9796</v>
      </c>
      <c r="M552">
        <v>0.99993770000000004</v>
      </c>
      <c r="N552">
        <v>-1.1155689999999999E-2</v>
      </c>
      <c r="O552">
        <v>-6.1149869999999995E-4</v>
      </c>
      <c r="P552">
        <v>0.98873270000000002</v>
      </c>
      <c r="Q552">
        <v>0.14926020000000001</v>
      </c>
      <c r="R552">
        <v>1.1378030000000001E-2</v>
      </c>
      <c r="S552">
        <v>3.1921689999999998</v>
      </c>
      <c r="T552">
        <v>-1.02633</v>
      </c>
      <c r="U552">
        <v>-0.27749629999999997</v>
      </c>
      <c r="V552">
        <v>-1.197673E-2</v>
      </c>
      <c r="W552">
        <v>0.16028139999999999</v>
      </c>
      <c r="X552">
        <v>0.98699870000000001</v>
      </c>
      <c r="Y552">
        <v>8.1780179999999994E-2</v>
      </c>
      <c r="Z552">
        <v>-1.308489E-2</v>
      </c>
      <c r="AA552">
        <v>0.99656449999999996</v>
      </c>
      <c r="AB552">
        <v>29</v>
      </c>
      <c r="AC552">
        <v>0.69710000000003403</v>
      </c>
      <c r="AD552">
        <v>-0.27676489999999998</v>
      </c>
      <c r="AE552">
        <v>-7.4999999999988604E-2</v>
      </c>
      <c r="AF552">
        <v>6.4519944370139498E-2</v>
      </c>
      <c r="AG552">
        <v>-0.27676489999999998</v>
      </c>
      <c r="AH552">
        <v>0.60315920804743295</v>
      </c>
      <c r="AI552">
        <v>114.525119612902</v>
      </c>
      <c r="AJ552">
        <v>83.8942878293945</v>
      </c>
      <c r="AK552">
        <v>0.66675532494757195</v>
      </c>
      <c r="AL552">
        <v>80.776769959205595</v>
      </c>
      <c r="AM552">
        <v>90.695221182658898</v>
      </c>
      <c r="AN552">
        <v>1.00000000152457</v>
      </c>
    </row>
    <row r="553" spans="1:40" x14ac:dyDescent="0.25">
      <c r="A553" t="str">
        <f>"20190303161852693"</f>
        <v>20190303161852693</v>
      </c>
      <c r="B553" t="str">
        <f>"1551601132683141"</f>
        <v>1551601132683141</v>
      </c>
      <c r="C553" t="s">
        <v>40</v>
      </c>
      <c r="D553">
        <v>4.6367149999999997</v>
      </c>
      <c r="E553">
        <v>0.51625219999999905</v>
      </c>
      <c r="F553" t="s">
        <v>42</v>
      </c>
      <c r="G553">
        <v>-389.98390000000001</v>
      </c>
      <c r="H553">
        <v>0.96854340000000005</v>
      </c>
      <c r="I553">
        <v>366.94240000000002</v>
      </c>
      <c r="J553">
        <v>-390.57510000000002</v>
      </c>
      <c r="K553">
        <v>1.120557</v>
      </c>
      <c r="L553">
        <v>366.9794</v>
      </c>
      <c r="M553">
        <v>0.99993699999999996</v>
      </c>
      <c r="N553">
        <v>-1.120925E-2</v>
      </c>
      <c r="O553">
        <v>-6.1120300000000005E-4</v>
      </c>
      <c r="P553">
        <v>0.9887745</v>
      </c>
      <c r="Q553">
        <v>0.14898140000000001</v>
      </c>
      <c r="R553">
        <v>1.139218E-2</v>
      </c>
      <c r="S553">
        <v>3.1314090000000001</v>
      </c>
      <c r="T553">
        <v>-0.63221000000000005</v>
      </c>
      <c r="U553">
        <v>-0.15371699999999999</v>
      </c>
      <c r="V553">
        <v>-1.199035E-2</v>
      </c>
      <c r="W553">
        <v>0.160056</v>
      </c>
      <c r="X553">
        <v>0.98703510000000005</v>
      </c>
      <c r="Y553">
        <v>4.742147E-2</v>
      </c>
      <c r="Z553">
        <v>-4.8898930000000002E-3</v>
      </c>
      <c r="AA553">
        <v>0.99886299999999995</v>
      </c>
      <c r="AB553">
        <v>29</v>
      </c>
      <c r="AC553">
        <v>0.59120000000001405</v>
      </c>
      <c r="AD553">
        <v>-0.152013599999999</v>
      </c>
      <c r="AE553">
        <v>-3.6999999999977697E-2</v>
      </c>
      <c r="AF553">
        <v>3.4374823406238299E-2</v>
      </c>
      <c r="AG553">
        <v>-0.152013599999999</v>
      </c>
      <c r="AH553">
        <v>0.55469243218227304</v>
      </c>
      <c r="AI553">
        <v>105.297680456046</v>
      </c>
      <c r="AJ553">
        <v>86.453860340854803</v>
      </c>
      <c r="AK553">
        <v>0.576171378488602</v>
      </c>
      <c r="AL553">
        <v>80.789853233005701</v>
      </c>
      <c r="AM553">
        <v>90.695986049012902</v>
      </c>
      <c r="AN553">
        <v>0.99999999013056595</v>
      </c>
    </row>
    <row r="554" spans="1:40" x14ac:dyDescent="0.25">
      <c r="A554" t="str">
        <f>"20190303161852706"</f>
        <v>20190303161852706</v>
      </c>
      <c r="B554" t="str">
        <f>"1551601132703637"</f>
        <v>1551601132703637</v>
      </c>
      <c r="C554" t="s">
        <v>40</v>
      </c>
      <c r="D554">
        <v>4.6718650000000004</v>
      </c>
      <c r="E554">
        <v>0.50637019999999999</v>
      </c>
      <c r="F554" t="s">
        <v>42</v>
      </c>
      <c r="G554">
        <v>-389.71559999999999</v>
      </c>
      <c r="H554">
        <v>0.98269960000000001</v>
      </c>
      <c r="I554">
        <v>366.95519999999999</v>
      </c>
      <c r="J554">
        <v>-390.39819999999997</v>
      </c>
      <c r="K554">
        <v>1.1206199999999999</v>
      </c>
      <c r="L554">
        <v>366.9794</v>
      </c>
      <c r="M554">
        <v>0.99993650000000001</v>
      </c>
      <c r="N554">
        <v>-1.1264679999999999E-2</v>
      </c>
      <c r="O554">
        <v>-6.1103860000000004E-4</v>
      </c>
      <c r="P554">
        <v>0.98877720000000002</v>
      </c>
      <c r="Q554">
        <v>0.1489531</v>
      </c>
      <c r="R554">
        <v>1.1518799999999999E-2</v>
      </c>
      <c r="S554">
        <v>3.1102289999999999</v>
      </c>
      <c r="T554">
        <v>-0.4991218</v>
      </c>
      <c r="U554">
        <v>-8.6425779999999994E-2</v>
      </c>
      <c r="V554">
        <v>-1.211691E-2</v>
      </c>
      <c r="W554">
        <v>0.16008240000000001</v>
      </c>
      <c r="X554">
        <v>0.9870293</v>
      </c>
      <c r="Y554">
        <v>2.6805679999999998E-2</v>
      </c>
      <c r="Z554">
        <v>-2.1982429999999999E-3</v>
      </c>
      <c r="AA554">
        <v>0.99963829999999998</v>
      </c>
      <c r="AB554">
        <v>29</v>
      </c>
      <c r="AC554">
        <v>0.682599999999979</v>
      </c>
      <c r="AD554">
        <v>-0.1379204</v>
      </c>
      <c r="AE554">
        <v>-2.42000000000075E-2</v>
      </c>
      <c r="AF554">
        <v>2.28511507209186E-2</v>
      </c>
      <c r="AG554">
        <v>-0.1379204</v>
      </c>
      <c r="AH554">
        <v>0.65587239006099496</v>
      </c>
      <c r="AI554">
        <v>101.86844391504199</v>
      </c>
      <c r="AJ554">
        <v>88.004573558470597</v>
      </c>
      <c r="AK554">
        <v>0.67060629572779296</v>
      </c>
      <c r="AL554">
        <v>80.788321112430594</v>
      </c>
      <c r="AM554">
        <v>90.703335687881506</v>
      </c>
      <c r="AN554">
        <v>1.00000001667809</v>
      </c>
    </row>
    <row r="555" spans="1:40" x14ac:dyDescent="0.25">
      <c r="A555" t="str">
        <f>"20190303161852718"</f>
        <v>20190303161852718</v>
      </c>
      <c r="B555" t="str">
        <f>"1551601132713396"</f>
        <v>1551601132713396</v>
      </c>
      <c r="C555" t="s">
        <v>40</v>
      </c>
      <c r="D555">
        <v>4.8745450000000003</v>
      </c>
      <c r="E555">
        <v>0.50314499999999995</v>
      </c>
      <c r="F555" t="s">
        <v>42</v>
      </c>
      <c r="G555">
        <v>-389.43630000000002</v>
      </c>
      <c r="H555">
        <v>1.019201</v>
      </c>
      <c r="I555">
        <v>366.97640000000001</v>
      </c>
      <c r="J555">
        <v>-390.24400000000003</v>
      </c>
      <c r="K555">
        <v>1.1206689999999999</v>
      </c>
      <c r="L555">
        <v>366.97930000000002</v>
      </c>
      <c r="M555">
        <v>0.99993589999999999</v>
      </c>
      <c r="N555">
        <v>-1.1308210000000001E-2</v>
      </c>
      <c r="O555">
        <v>-6.108083E-4</v>
      </c>
      <c r="P555">
        <v>0.98879229999999996</v>
      </c>
      <c r="Q555">
        <v>0.1488592</v>
      </c>
      <c r="R555">
        <v>1.143131E-2</v>
      </c>
      <c r="S555">
        <v>3.0830989999999998</v>
      </c>
      <c r="T555">
        <v>-0.32517289999999999</v>
      </c>
      <c r="U555">
        <v>-9.0026859999999993E-3</v>
      </c>
      <c r="V555">
        <v>-1.202947E-2</v>
      </c>
      <c r="W555">
        <v>0.16003199999999901</v>
      </c>
      <c r="X555">
        <v>0.98703859999999999</v>
      </c>
      <c r="Y555">
        <v>2.297735E-3</v>
      </c>
      <c r="Z555" s="1">
        <v>-7.6513960000000004E-5</v>
      </c>
      <c r="AA555">
        <v>0.99999740000000004</v>
      </c>
      <c r="AB555">
        <v>29</v>
      </c>
      <c r="AC555">
        <v>0.80770000000001096</v>
      </c>
      <c r="AD555">
        <v>-0.101468</v>
      </c>
      <c r="AE555">
        <v>-2.9000000000110001E-3</v>
      </c>
      <c r="AF555">
        <v>2.36922773598833E-3</v>
      </c>
      <c r="AG555">
        <v>-0.101468</v>
      </c>
      <c r="AH555">
        <v>0.79515279680451001</v>
      </c>
      <c r="AI555">
        <v>97.272075451424001</v>
      </c>
      <c r="AJ555">
        <v>89.829282687795597</v>
      </c>
      <c r="AK555">
        <v>0.80160422811391097</v>
      </c>
      <c r="AL555">
        <v>80.791247063075005</v>
      </c>
      <c r="AM555">
        <v>90.6982540893802</v>
      </c>
      <c r="AN555">
        <v>1.00000007353121</v>
      </c>
    </row>
    <row r="556" spans="1:40" x14ac:dyDescent="0.25">
      <c r="A556" t="str">
        <f>"20190303161852735"</f>
        <v>20190303161852735</v>
      </c>
      <c r="B556" t="str">
        <f>"1551601132723157"</f>
        <v>1551601132723157</v>
      </c>
      <c r="C556" t="s">
        <v>40</v>
      </c>
      <c r="D556">
        <v>4.6729729999999998</v>
      </c>
      <c r="E556">
        <v>0.50121099999999996</v>
      </c>
      <c r="F556" t="s">
        <v>41</v>
      </c>
      <c r="G556">
        <v>-377.60160000000002</v>
      </c>
      <c r="H556" s="1">
        <v>-1.4864789999999999E-6</v>
      </c>
      <c r="I556">
        <v>367.04469999999998</v>
      </c>
      <c r="J556">
        <v>-390.01749999999998</v>
      </c>
      <c r="K556">
        <v>1.1207389999999999</v>
      </c>
      <c r="L556">
        <v>366.97910000000002</v>
      </c>
      <c r="M556">
        <v>0.99993529999999997</v>
      </c>
      <c r="N556">
        <v>-1.136801E-2</v>
      </c>
      <c r="O556">
        <v>-6.1067149999999998E-4</v>
      </c>
      <c r="P556">
        <v>0.98881889999999995</v>
      </c>
      <c r="Q556">
        <v>0.14868000000000001</v>
      </c>
      <c r="R556">
        <v>1.1483439999999999E-2</v>
      </c>
      <c r="S556">
        <v>3.0748899999999999</v>
      </c>
      <c r="T556">
        <v>-0.27256859999999999</v>
      </c>
      <c r="U556">
        <v>1.5930179999999999E-2</v>
      </c>
      <c r="V556">
        <v>-1.208148E-2</v>
      </c>
      <c r="W556">
        <v>0.1599119</v>
      </c>
      <c r="X556">
        <v>0.98705730000000003</v>
      </c>
      <c r="Y556">
        <v>-5.764033E-3</v>
      </c>
      <c r="Z556">
        <v>3.3490169999999999E-4</v>
      </c>
      <c r="AA556">
        <v>0.99998330000000002</v>
      </c>
      <c r="AB556">
        <v>29</v>
      </c>
      <c r="AC556">
        <v>12.415899999999899</v>
      </c>
      <c r="AD556">
        <v>-1.1207404864789901</v>
      </c>
      <c r="AE556">
        <v>6.5599999999960801E-2</v>
      </c>
      <c r="AF556">
        <v>-7.2591054157745999E-2</v>
      </c>
      <c r="AG556">
        <v>-1.1207404864789901</v>
      </c>
      <c r="AH556">
        <v>12.315513001816701</v>
      </c>
      <c r="AI556">
        <v>95.199637951758803</v>
      </c>
      <c r="AJ556">
        <v>90.337713326880504</v>
      </c>
      <c r="AK556">
        <v>12.3666159153219</v>
      </c>
      <c r="AL556">
        <v>80.798216874782497</v>
      </c>
      <c r="AM556">
        <v>90.701259439704998</v>
      </c>
      <c r="AN556">
        <v>0.99999994570194295</v>
      </c>
    </row>
    <row r="557" spans="1:40" x14ac:dyDescent="0.25">
      <c r="A557" t="str">
        <f>"20190303161852748"</f>
        <v>20190303161852748</v>
      </c>
      <c r="B557" t="str">
        <f>"1551601132743653"</f>
        <v>1551601132743653</v>
      </c>
      <c r="C557" t="s">
        <v>40</v>
      </c>
      <c r="D557">
        <v>4.5491599999999996</v>
      </c>
      <c r="E557">
        <v>0.49905519999999998</v>
      </c>
      <c r="F557" t="s">
        <v>41</v>
      </c>
      <c r="G557">
        <v>-375.6626</v>
      </c>
      <c r="H557" s="1">
        <v>-2.2853500000000001E-6</v>
      </c>
      <c r="I557">
        <v>367.12270000000001</v>
      </c>
      <c r="J557">
        <v>-389.85840000000002</v>
      </c>
      <c r="K557">
        <v>1.120781</v>
      </c>
      <c r="L557">
        <v>366.97910000000002</v>
      </c>
      <c r="M557">
        <v>0.99993480000000001</v>
      </c>
      <c r="N557">
        <v>-1.140712E-2</v>
      </c>
      <c r="O557">
        <v>-6.1041809999999998E-4</v>
      </c>
      <c r="P557">
        <v>0.98878270000000001</v>
      </c>
      <c r="Q557">
        <v>0.14891380000000001</v>
      </c>
      <c r="R557">
        <v>1.1559059999999999E-2</v>
      </c>
      <c r="S557">
        <v>3.0696110000000001</v>
      </c>
      <c r="T557">
        <v>-0.23965549999999999</v>
      </c>
      <c r="U557">
        <v>3.07312E-2</v>
      </c>
      <c r="V557">
        <v>-1.2156709999999999E-2</v>
      </c>
      <c r="W557">
        <v>0.16018399999999999</v>
      </c>
      <c r="X557">
        <v>0.98701229999999995</v>
      </c>
      <c r="Y557">
        <v>-1.058308E-2</v>
      </c>
      <c r="Z557">
        <v>5.1359129999999998E-4</v>
      </c>
      <c r="AA557">
        <v>0.9999439</v>
      </c>
      <c r="AB557">
        <v>29</v>
      </c>
      <c r="AC557">
        <v>14.1958</v>
      </c>
      <c r="AD557">
        <v>-1.1207832853499999</v>
      </c>
      <c r="AE557">
        <v>0.14359999999999201</v>
      </c>
      <c r="AF557">
        <v>-0.151322754313585</v>
      </c>
      <c r="AG557">
        <v>-1.1207832853499999</v>
      </c>
      <c r="AH557">
        <v>14.107779551274501</v>
      </c>
      <c r="AI557">
        <v>94.542025373829304</v>
      </c>
      <c r="AJ557">
        <v>90.614541973383595</v>
      </c>
      <c r="AK557">
        <v>14.153038458792199</v>
      </c>
      <c r="AL557">
        <v>80.782423509466597</v>
      </c>
      <c r="AM557">
        <v>90.705657829946105</v>
      </c>
      <c r="AN557">
        <v>0.99999998990265604</v>
      </c>
    </row>
    <row r="558" spans="1:40" x14ac:dyDescent="0.25">
      <c r="A558" t="str">
        <f>"20190303161852760"</f>
        <v>20190303161852760</v>
      </c>
      <c r="B558" t="str">
        <f>"1551601132753413"</f>
        <v>1551601132753413</v>
      </c>
      <c r="C558" t="s">
        <v>40</v>
      </c>
      <c r="D558">
        <v>4.6184810000000001</v>
      </c>
      <c r="E558">
        <v>0.49837369999999998</v>
      </c>
      <c r="F558" t="s">
        <v>41</v>
      </c>
      <c r="G558">
        <v>-372.45620000000002</v>
      </c>
      <c r="H558" s="1">
        <v>-3.6382070000000001E-6</v>
      </c>
      <c r="I558">
        <v>367.25060000000002</v>
      </c>
      <c r="J558">
        <v>-389.69549999999998</v>
      </c>
      <c r="K558">
        <v>1.120819</v>
      </c>
      <c r="L558">
        <v>366.97890000000001</v>
      </c>
      <c r="M558">
        <v>0.9999344</v>
      </c>
      <c r="N558">
        <v>-1.1443679999999999E-2</v>
      </c>
      <c r="O558">
        <v>-6.1026980000000004E-4</v>
      </c>
      <c r="P558">
        <v>0.98872720000000003</v>
      </c>
      <c r="Q558">
        <v>0.14927609999999999</v>
      </c>
      <c r="R558">
        <v>1.163577E-2</v>
      </c>
      <c r="S558">
        <v>3.0631710000000001</v>
      </c>
      <c r="T558">
        <v>-0.19728229999999999</v>
      </c>
      <c r="U558">
        <v>4.7821040000000002E-2</v>
      </c>
      <c r="V558">
        <v>-1.22331E-2</v>
      </c>
      <c r="W558">
        <v>0.16058120000000001</v>
      </c>
      <c r="X558">
        <v>0.98694680000000001</v>
      </c>
      <c r="Y558">
        <v>-1.6179610000000001E-2</v>
      </c>
      <c r="Z558">
        <v>6.454319E-4</v>
      </c>
      <c r="AA558">
        <v>0.99986889999999995</v>
      </c>
      <c r="AB558">
        <v>29</v>
      </c>
      <c r="AC558">
        <v>17.239299999999901</v>
      </c>
      <c r="AD558">
        <v>-1.1208226382069999</v>
      </c>
      <c r="AE558">
        <v>0.27170000000000899</v>
      </c>
      <c r="AF558">
        <v>-0.28103362143257399</v>
      </c>
      <c r="AG558">
        <v>-1.1208226382069999</v>
      </c>
      <c r="AH558">
        <v>17.166585449430698</v>
      </c>
      <c r="AI558">
        <v>93.735094550522106</v>
      </c>
      <c r="AJ558">
        <v>90.9379035914274</v>
      </c>
      <c r="AK558">
        <v>17.2054316794231</v>
      </c>
      <c r="AL558">
        <v>80.759367050875099</v>
      </c>
      <c r="AM558">
        <v>90.710138691910004</v>
      </c>
      <c r="AN558">
        <v>0.99999997827964404</v>
      </c>
    </row>
    <row r="559" spans="1:40" x14ac:dyDescent="0.25">
      <c r="A559" t="str">
        <f>"20190303161852772"</f>
        <v>20190303161852772</v>
      </c>
      <c r="B559" t="str">
        <f>"1551601132763173"</f>
        <v>1551601132763173</v>
      </c>
      <c r="C559" t="s">
        <v>40</v>
      </c>
      <c r="D559">
        <v>4.6915389999999997</v>
      </c>
      <c r="E559">
        <v>0.49801509999999999</v>
      </c>
      <c r="F559" t="s">
        <v>41</v>
      </c>
      <c r="G559">
        <v>-371.25639999999999</v>
      </c>
      <c r="H559" s="1">
        <v>-4.1437779999999999E-6</v>
      </c>
      <c r="I559">
        <v>367.30220000000003</v>
      </c>
      <c r="J559">
        <v>-389.52980000000002</v>
      </c>
      <c r="K559">
        <v>1.1208530000000001</v>
      </c>
      <c r="L559">
        <v>366.97890000000001</v>
      </c>
      <c r="M559">
        <v>0.99993399999999999</v>
      </c>
      <c r="N559">
        <v>-1.147833E-2</v>
      </c>
      <c r="O559">
        <v>-6.1011129999999998E-4</v>
      </c>
      <c r="P559">
        <v>0.9887186</v>
      </c>
      <c r="Q559">
        <v>0.14932960000000001</v>
      </c>
      <c r="R559">
        <v>1.1689639999999999E-2</v>
      </c>
      <c r="S559">
        <v>3.0617070000000002</v>
      </c>
      <c r="T559">
        <v>-0.18610579999999999</v>
      </c>
      <c r="U559">
        <v>5.368042E-2</v>
      </c>
      <c r="V559">
        <v>-1.2287040000000001E-2</v>
      </c>
      <c r="W559">
        <v>0.16066929999999999</v>
      </c>
      <c r="X559">
        <v>0.98693180000000003</v>
      </c>
      <c r="Y559">
        <v>-1.809974E-2</v>
      </c>
      <c r="Z559">
        <v>6.8360109999999997E-4</v>
      </c>
      <c r="AA559">
        <v>0.99983599999999995</v>
      </c>
      <c r="AB559">
        <v>29</v>
      </c>
      <c r="AC559">
        <v>18.273399999999999</v>
      </c>
      <c r="AD559">
        <v>-1.1208571437779999</v>
      </c>
      <c r="AE559">
        <v>0.32330000000001702</v>
      </c>
      <c r="AF559">
        <v>-0.33319626521759699</v>
      </c>
      <c r="AG559">
        <v>-1.1208571437779999</v>
      </c>
      <c r="AH559">
        <v>18.204727799953201</v>
      </c>
      <c r="AI559">
        <v>93.522640170847097</v>
      </c>
      <c r="AJ559">
        <v>91.048552257899303</v>
      </c>
      <c r="AK559">
        <v>18.242243687614302</v>
      </c>
      <c r="AL559">
        <v>80.754252964998003</v>
      </c>
      <c r="AM559">
        <v>90.713280457622204</v>
      </c>
      <c r="AN559">
        <v>0.99999998658284495</v>
      </c>
    </row>
    <row r="560" spans="1:40" x14ac:dyDescent="0.25">
      <c r="A560" t="str">
        <f>"20190303161852785"</f>
        <v>20190303161852785</v>
      </c>
      <c r="B560" t="str">
        <f>"1551601132773908"</f>
        <v>1551601132773908</v>
      </c>
      <c r="C560" t="s">
        <v>40</v>
      </c>
      <c r="D560">
        <v>4.7419699999999896</v>
      </c>
      <c r="E560">
        <v>0.49770779999999998</v>
      </c>
      <c r="F560" t="s">
        <v>41</v>
      </c>
      <c r="G560">
        <v>-370.3338</v>
      </c>
      <c r="H560" s="1">
        <v>-4.5345240000000002E-6</v>
      </c>
      <c r="I560">
        <v>367.3306</v>
      </c>
      <c r="J560">
        <v>-389.35759999999999</v>
      </c>
      <c r="K560">
        <v>1.120887</v>
      </c>
      <c r="L560">
        <v>366.97879999999998</v>
      </c>
      <c r="M560">
        <v>0.99993350000000003</v>
      </c>
      <c r="N560">
        <v>-1.1512400000000001E-2</v>
      </c>
      <c r="O560">
        <v>-6.0983070000000003E-4</v>
      </c>
      <c r="P560">
        <v>0.98868789999999995</v>
      </c>
      <c r="Q560">
        <v>0.1495194</v>
      </c>
      <c r="R560">
        <v>1.1861089999999999E-2</v>
      </c>
      <c r="S560">
        <v>3.0605470000000001</v>
      </c>
      <c r="T560">
        <v>-0.178706</v>
      </c>
      <c r="U560">
        <v>5.6091309999999998E-2</v>
      </c>
      <c r="V560">
        <v>-1.245835E-2</v>
      </c>
      <c r="W560">
        <v>0.16089189999999901</v>
      </c>
      <c r="X560">
        <v>0.98689340000000003</v>
      </c>
      <c r="Y560">
        <v>-1.8894709999999999E-2</v>
      </c>
      <c r="Z560">
        <v>6.8856240000000001E-4</v>
      </c>
      <c r="AA560">
        <v>0.99982119999999997</v>
      </c>
      <c r="AB560">
        <v>29</v>
      </c>
      <c r="AC560">
        <v>19.023799999999898</v>
      </c>
      <c r="AD560">
        <v>-1.120891534524</v>
      </c>
      <c r="AE560">
        <v>0.35180000000002498</v>
      </c>
      <c r="AF560">
        <v>-0.36214519919360599</v>
      </c>
      <c r="AG560">
        <v>-1.120891534524</v>
      </c>
      <c r="AH560">
        <v>18.957790096734598</v>
      </c>
      <c r="AI560">
        <v>93.383094739164505</v>
      </c>
      <c r="AJ560">
        <v>91.094371655115495</v>
      </c>
      <c r="AK560">
        <v>18.994350537181202</v>
      </c>
      <c r="AL560">
        <v>80.741330920242305</v>
      </c>
      <c r="AM560">
        <v>90.723252339694994</v>
      </c>
      <c r="AN560">
        <v>0.99999999846694598</v>
      </c>
    </row>
    <row r="561" spans="1:40" x14ac:dyDescent="0.25">
      <c r="A561" t="str">
        <f>"20190303161852802"</f>
        <v>20190303161852802</v>
      </c>
      <c r="B561" t="str">
        <f>"1551601132793428"</f>
        <v>1551601132793428</v>
      </c>
      <c r="C561" t="s">
        <v>40</v>
      </c>
      <c r="D561">
        <v>4.7160000000000002</v>
      </c>
      <c r="E561">
        <v>0.49705630000000001</v>
      </c>
      <c r="F561" t="s">
        <v>41</v>
      </c>
      <c r="G561">
        <v>-369.68619999999999</v>
      </c>
      <c r="H561" s="1">
        <v>-6.9389489999999996E-7</v>
      </c>
      <c r="I561">
        <v>367.35730000000001</v>
      </c>
      <c r="J561">
        <v>-389.13929999999999</v>
      </c>
      <c r="K561">
        <v>1.120924</v>
      </c>
      <c r="L561">
        <v>366.97859999999997</v>
      </c>
      <c r="M561">
        <v>0.99993310000000002</v>
      </c>
      <c r="N561">
        <v>-1.155113E-2</v>
      </c>
      <c r="O561">
        <v>-6.0969680000000001E-4</v>
      </c>
      <c r="P561">
        <v>0.98866279999999995</v>
      </c>
      <c r="Q561">
        <v>0.14965680000000001</v>
      </c>
      <c r="R561">
        <v>1.22025E-2</v>
      </c>
      <c r="S561">
        <v>3.0599669999999999</v>
      </c>
      <c r="T561">
        <v>-0.17435819999999999</v>
      </c>
      <c r="U561">
        <v>5.8898930000000002E-2</v>
      </c>
      <c r="V561">
        <v>-1.279869E-2</v>
      </c>
      <c r="W561">
        <v>0.1610674</v>
      </c>
      <c r="X561">
        <v>0.98686039999999997</v>
      </c>
      <c r="Y561">
        <v>-1.9814990000000001E-2</v>
      </c>
      <c r="Z561">
        <v>7.0626429999999995E-4</v>
      </c>
      <c r="AA561">
        <v>0.99980340000000001</v>
      </c>
      <c r="AB561">
        <v>29</v>
      </c>
      <c r="AC561">
        <v>19.453099999999999</v>
      </c>
      <c r="AD561">
        <v>-1.1209246938949</v>
      </c>
      <c r="AE561">
        <v>0.37870000000003701</v>
      </c>
      <c r="AF561">
        <v>-0.38926921900891698</v>
      </c>
      <c r="AG561">
        <v>-1.1209246938949</v>
      </c>
      <c r="AH561">
        <v>19.388514489056899</v>
      </c>
      <c r="AI561">
        <v>93.3081412557421</v>
      </c>
      <c r="AJ561">
        <v>91.150190606302502</v>
      </c>
      <c r="AK561">
        <v>19.424790778451701</v>
      </c>
      <c r="AL561">
        <v>80.731142473329797</v>
      </c>
      <c r="AM561">
        <v>90.743032966721003</v>
      </c>
      <c r="AN561">
        <v>0.99999998144831703</v>
      </c>
    </row>
    <row r="562" spans="1:40" x14ac:dyDescent="0.25">
      <c r="A562" t="str">
        <f>"20190303161852815"</f>
        <v>20190303161852815</v>
      </c>
      <c r="B562" t="str">
        <f>"1551601132803189"</f>
        <v>1551601132803189</v>
      </c>
      <c r="C562" t="s">
        <v>40</v>
      </c>
      <c r="D562">
        <v>4.6113200000000001</v>
      </c>
      <c r="E562">
        <v>0.49661559999999999</v>
      </c>
      <c r="F562" t="s">
        <v>41</v>
      </c>
      <c r="G562">
        <v>-368.47239999999999</v>
      </c>
      <c r="H562" s="1">
        <v>-1.090292E-6</v>
      </c>
      <c r="I562">
        <v>367.42</v>
      </c>
      <c r="J562">
        <v>-388.9744</v>
      </c>
      <c r="K562">
        <v>1.1209480000000001</v>
      </c>
      <c r="L562">
        <v>366.9785</v>
      </c>
      <c r="M562">
        <v>0.99993290000000001</v>
      </c>
      <c r="N562">
        <v>-1.157768E-2</v>
      </c>
      <c r="O562">
        <v>-6.0949309999999896E-4</v>
      </c>
      <c r="P562">
        <v>0.98863710000000005</v>
      </c>
      <c r="Q562">
        <v>0.14980250000000001</v>
      </c>
      <c r="R562">
        <v>1.250562E-2</v>
      </c>
      <c r="S562">
        <v>3.0587460000000002</v>
      </c>
      <c r="T562">
        <v>-0.1658982</v>
      </c>
      <c r="U562">
        <v>6.5338129999999994E-2</v>
      </c>
      <c r="V562">
        <v>-1.3102300000000001E-2</v>
      </c>
      <c r="W562">
        <v>0.16123870000000001</v>
      </c>
      <c r="X562">
        <v>0.98682840000000005</v>
      </c>
      <c r="Y562">
        <v>-2.192595E-2</v>
      </c>
      <c r="Z562">
        <v>7.4713310000000001E-4</v>
      </c>
      <c r="AA562">
        <v>0.99975930000000002</v>
      </c>
      <c r="AB562">
        <v>29</v>
      </c>
      <c r="AC562">
        <v>20.501999999999999</v>
      </c>
      <c r="AD562">
        <v>-1.1209490902920001</v>
      </c>
      <c r="AE562">
        <v>0.44150000000001899</v>
      </c>
      <c r="AF562">
        <v>-0.45264408935893802</v>
      </c>
      <c r="AG562">
        <v>-1.1209490902920001</v>
      </c>
      <c r="AH562">
        <v>20.440650786723701</v>
      </c>
      <c r="AI562">
        <v>93.138143278718303</v>
      </c>
      <c r="AJ562">
        <v>91.268568123045895</v>
      </c>
      <c r="AK562">
        <v>20.4763673076902</v>
      </c>
      <c r="AL562">
        <v>80.721197333068702</v>
      </c>
      <c r="AM562">
        <v>90.760681780314002</v>
      </c>
      <c r="AN562">
        <v>0.99999993984476798</v>
      </c>
    </row>
    <row r="563" spans="1:40" x14ac:dyDescent="0.25">
      <c r="A563" t="str">
        <f>"20190303161852830"</f>
        <v>20190303161852830</v>
      </c>
      <c r="B563" t="str">
        <f>"1551601132823685"</f>
        <v>1551601132823685</v>
      </c>
      <c r="C563" t="s">
        <v>40</v>
      </c>
      <c r="D563">
        <v>4.6287469999999997</v>
      </c>
      <c r="E563">
        <v>0.49610579999999999</v>
      </c>
      <c r="F563" t="s">
        <v>41</v>
      </c>
      <c r="G563">
        <v>-367.91300000000001</v>
      </c>
      <c r="H563" s="1">
        <v>-1.2704299999999999E-6</v>
      </c>
      <c r="I563">
        <v>367.45850000000002</v>
      </c>
      <c r="J563">
        <v>-388.78660000000002</v>
      </c>
      <c r="K563">
        <v>1.120973</v>
      </c>
      <c r="L563">
        <v>366.9785</v>
      </c>
      <c r="M563">
        <v>0.9999325</v>
      </c>
      <c r="N563">
        <v>-1.1606180000000001E-2</v>
      </c>
      <c r="O563">
        <v>-6.0930100000000003E-4</v>
      </c>
      <c r="P563">
        <v>0.9886374</v>
      </c>
      <c r="Q563">
        <v>0.1497802</v>
      </c>
      <c r="R563">
        <v>1.272767E-2</v>
      </c>
      <c r="S563">
        <v>3.0582579999999999</v>
      </c>
      <c r="T563">
        <v>-0.16276869999999999</v>
      </c>
      <c r="U563">
        <v>6.9702150000000004E-2</v>
      </c>
      <c r="V563">
        <v>-1.332392E-2</v>
      </c>
      <c r="W563">
        <v>0.16124530000000001</v>
      </c>
      <c r="X563">
        <v>0.98682440000000005</v>
      </c>
      <c r="Y563">
        <v>-2.3353929999999998E-2</v>
      </c>
      <c r="Z563">
        <v>7.8195800000000002E-4</v>
      </c>
      <c r="AA563">
        <v>0.99972700000000003</v>
      </c>
      <c r="AB563">
        <v>29</v>
      </c>
      <c r="AC563">
        <v>20.8736</v>
      </c>
      <c r="AD563">
        <v>-1.1209742704300001</v>
      </c>
      <c r="AE563">
        <v>0.48000000000001802</v>
      </c>
      <c r="AF563">
        <v>-0.49130289942480498</v>
      </c>
      <c r="AG563">
        <v>-1.1209742704300001</v>
      </c>
      <c r="AH563">
        <v>20.813309598055199</v>
      </c>
      <c r="AI563">
        <v>93.082031016951902</v>
      </c>
      <c r="AJ563">
        <v>91.352228766653397</v>
      </c>
      <c r="AK563">
        <v>20.8492642143182</v>
      </c>
      <c r="AL563">
        <v>80.720814590083094</v>
      </c>
      <c r="AM563">
        <v>90.773549983522301</v>
      </c>
      <c r="AN563">
        <v>0.999999985025808</v>
      </c>
    </row>
    <row r="564" spans="1:40" x14ac:dyDescent="0.25">
      <c r="A564" t="str">
        <f>"20190303161852848"</f>
        <v>20190303161852848</v>
      </c>
      <c r="B564" t="str">
        <f>"1551601132843205"</f>
        <v>1551601132843205</v>
      </c>
      <c r="C564" t="s">
        <v>40</v>
      </c>
      <c r="D564">
        <v>4.7618070000000001</v>
      </c>
      <c r="E564">
        <v>0.49584109999999998</v>
      </c>
      <c r="F564" t="s">
        <v>41</v>
      </c>
      <c r="G564">
        <v>-366.16460000000001</v>
      </c>
      <c r="H564" s="1">
        <v>-1.997994E-6</v>
      </c>
      <c r="I564">
        <v>367.52879999999999</v>
      </c>
      <c r="J564">
        <v>-388.55189999999999</v>
      </c>
      <c r="K564">
        <v>1.120994</v>
      </c>
      <c r="L564">
        <v>366.97829999999999</v>
      </c>
      <c r="M564">
        <v>0.99993209999999999</v>
      </c>
      <c r="N564">
        <v>-1.1638590000000001E-2</v>
      </c>
      <c r="O564">
        <v>-6.0901300000000005E-4</v>
      </c>
      <c r="P564">
        <v>0.98861500000000002</v>
      </c>
      <c r="Q564">
        <v>0.14988479999999901</v>
      </c>
      <c r="R564">
        <v>1.3230179999999999E-2</v>
      </c>
      <c r="S564">
        <v>3.0564879999999999</v>
      </c>
      <c r="T564">
        <v>-0.1514558</v>
      </c>
      <c r="U564">
        <v>7.4371339999999994E-2</v>
      </c>
      <c r="V564">
        <v>-1.3826160000000001E-2</v>
      </c>
      <c r="W564">
        <v>0.16138129999999901</v>
      </c>
      <c r="X564">
        <v>0.98679519999999998</v>
      </c>
      <c r="Y564">
        <v>-2.4895810000000001E-2</v>
      </c>
      <c r="Z564">
        <v>7.8443529999999999E-4</v>
      </c>
      <c r="AA564">
        <v>0.99968979999999996</v>
      </c>
      <c r="AB564">
        <v>29</v>
      </c>
      <c r="AC564">
        <v>22.3872999999999</v>
      </c>
      <c r="AD564">
        <v>-1.1209959979940001</v>
      </c>
      <c r="AE564">
        <v>0.55049999999999899</v>
      </c>
      <c r="AF564">
        <v>-0.56272491559723203</v>
      </c>
      <c r="AG564">
        <v>-1.1209959979940001</v>
      </c>
      <c r="AH564">
        <v>22.331004079645499</v>
      </c>
      <c r="AI564">
        <v>92.872872996035696</v>
      </c>
      <c r="AJ564">
        <v>91.443506106386707</v>
      </c>
      <c r="AK564">
        <v>22.366202953637401</v>
      </c>
      <c r="AL564">
        <v>80.712918410469101</v>
      </c>
      <c r="AM564">
        <v>90.802728653850195</v>
      </c>
      <c r="AN564">
        <v>0.99999992671653504</v>
      </c>
    </row>
    <row r="565" spans="1:40" x14ac:dyDescent="0.25">
      <c r="A565" t="str">
        <f>"20190303161852871"</f>
        <v>20190303161852871</v>
      </c>
      <c r="B565" t="str">
        <f>"1551601132863702"</f>
        <v>1551601132863702</v>
      </c>
      <c r="C565" t="s">
        <v>40</v>
      </c>
      <c r="D565">
        <v>4.7555120000000004</v>
      </c>
      <c r="E565">
        <v>0.49548989999999998</v>
      </c>
      <c r="F565" t="s">
        <v>41</v>
      </c>
      <c r="G565">
        <v>-364.38249999999999</v>
      </c>
      <c r="H565" s="1">
        <v>-2.7512029999999999E-6</v>
      </c>
      <c r="I565">
        <v>367.5924</v>
      </c>
      <c r="J565">
        <v>-388.25279999999998</v>
      </c>
      <c r="K565">
        <v>1.1210199999999999</v>
      </c>
      <c r="L565">
        <v>366.97809999999998</v>
      </c>
      <c r="M565">
        <v>0.99993180000000004</v>
      </c>
      <c r="N565">
        <v>-1.1675090000000001E-2</v>
      </c>
      <c r="O565">
        <v>-6.0898790000000005E-4</v>
      </c>
      <c r="P565">
        <v>0.98858380000000001</v>
      </c>
      <c r="Q565">
        <v>0.1500406</v>
      </c>
      <c r="R565">
        <v>1.377755E-2</v>
      </c>
      <c r="S565">
        <v>3.0550229999999998</v>
      </c>
      <c r="T565">
        <v>-0.14169389999999901</v>
      </c>
      <c r="U565">
        <v>7.7636720000000006E-2</v>
      </c>
      <c r="V565">
        <v>-1.437341E-2</v>
      </c>
      <c r="W565">
        <v>0.16157279999999999</v>
      </c>
      <c r="X565">
        <v>0.98675610000000002</v>
      </c>
      <c r="Y565">
        <v>-2.5978129999999999E-2</v>
      </c>
      <c r="Z565">
        <v>7.7491979999999995E-4</v>
      </c>
      <c r="AA565">
        <v>0.99966219999999995</v>
      </c>
      <c r="AB565">
        <v>29</v>
      </c>
      <c r="AC565">
        <v>23.870299999999901</v>
      </c>
      <c r="AD565">
        <v>-1.121022751203</v>
      </c>
      <c r="AE565">
        <v>0.61430000000001395</v>
      </c>
      <c r="AF565">
        <v>-0.62745464417521002</v>
      </c>
      <c r="AG565">
        <v>-1.121022751203</v>
      </c>
      <c r="AH565">
        <v>23.817426149659301</v>
      </c>
      <c r="AI565">
        <v>92.693837569782005</v>
      </c>
      <c r="AJ565">
        <v>91.509071103457302</v>
      </c>
      <c r="AK565">
        <v>23.852047705253501</v>
      </c>
      <c r="AL565">
        <v>80.701800885392004</v>
      </c>
      <c r="AM565">
        <v>90.834529923134596</v>
      </c>
      <c r="AN565">
        <v>0.99999998275103896</v>
      </c>
    </row>
    <row r="566" spans="1:40" x14ac:dyDescent="0.25">
      <c r="A566" t="str">
        <f>"20190303161852883"</f>
        <v>20190303161852883</v>
      </c>
      <c r="B566" t="str">
        <f>"1551601132873461"</f>
        <v>1551601132873461</v>
      </c>
      <c r="C566" t="s">
        <v>40</v>
      </c>
      <c r="D566">
        <v>4.6772689999999999</v>
      </c>
      <c r="E566">
        <v>0.49535309999999999</v>
      </c>
      <c r="F566" t="s">
        <v>41</v>
      </c>
      <c r="G566">
        <v>-362.76389999999998</v>
      </c>
      <c r="H566" s="1">
        <v>-3.4335280000000002E-6</v>
      </c>
      <c r="I566">
        <v>367.66039999999998</v>
      </c>
      <c r="J566">
        <v>-388.08179999999999</v>
      </c>
      <c r="K566">
        <v>1.1210370000000001</v>
      </c>
      <c r="L566">
        <v>366.97800000000001</v>
      </c>
      <c r="M566">
        <v>0.99993149999999997</v>
      </c>
      <c r="N566">
        <v>-1.1694120000000001E-2</v>
      </c>
      <c r="O566">
        <v>-6.0886100000000004E-4</v>
      </c>
      <c r="P566">
        <v>0.988591</v>
      </c>
      <c r="Q566">
        <v>0.14997289999999999</v>
      </c>
      <c r="R566">
        <v>1.400351E-2</v>
      </c>
      <c r="S566">
        <v>3.0538940000000001</v>
      </c>
      <c r="T566">
        <v>-0.1343125</v>
      </c>
      <c r="U566">
        <v>8.1756590000000004E-2</v>
      </c>
      <c r="V566">
        <v>-1.459891E-2</v>
      </c>
      <c r="W566">
        <v>0.1615239</v>
      </c>
      <c r="X566">
        <v>0.98676079999999999</v>
      </c>
      <c r="Y566">
        <v>-2.7336590000000001E-2</v>
      </c>
      <c r="Z566">
        <v>7.8035829999999998E-4</v>
      </c>
      <c r="AA566">
        <v>0.99962600000000001</v>
      </c>
      <c r="AB566">
        <v>29</v>
      </c>
      <c r="AC566">
        <v>25.317900000000002</v>
      </c>
      <c r="AD566">
        <v>-1.121040433528</v>
      </c>
      <c r="AE566">
        <v>0.68239999999997203</v>
      </c>
      <c r="AF566">
        <v>-0.69645154259015596</v>
      </c>
      <c r="AG566">
        <v>-1.121040433528</v>
      </c>
      <c r="AH566">
        <v>25.267975568120299</v>
      </c>
      <c r="AI566">
        <v>92.539358797702903</v>
      </c>
      <c r="AJ566">
        <v>91.578821920039402</v>
      </c>
      <c r="AK566">
        <v>25.302418179215699</v>
      </c>
      <c r="AL566">
        <v>80.704639984505704</v>
      </c>
      <c r="AM566">
        <v>90.847616673801795</v>
      </c>
      <c r="AN566">
        <v>0.99999998743051799</v>
      </c>
    </row>
    <row r="567" spans="1:40" x14ac:dyDescent="0.25">
      <c r="A567" t="str">
        <f>"20190303161852895"</f>
        <v>20190303161852895</v>
      </c>
      <c r="B567" t="str">
        <f>"1551601132883221"</f>
        <v>1551601132883221</v>
      </c>
      <c r="C567" t="s">
        <v>40</v>
      </c>
      <c r="D567">
        <v>4.7473460000000003</v>
      </c>
      <c r="E567">
        <v>0.49514930000000001</v>
      </c>
      <c r="F567" t="s">
        <v>41</v>
      </c>
      <c r="G567">
        <v>-362.01620000000003</v>
      </c>
      <c r="H567" s="1">
        <v>-3.7490020000000001E-6</v>
      </c>
      <c r="I567">
        <v>367.6902</v>
      </c>
      <c r="J567">
        <v>-387.92599999999999</v>
      </c>
      <c r="K567">
        <v>1.121048</v>
      </c>
      <c r="L567">
        <v>366.97789999999998</v>
      </c>
      <c r="M567">
        <v>0.99993120000000002</v>
      </c>
      <c r="N567">
        <v>-1.170975E-2</v>
      </c>
      <c r="O567">
        <v>-6.0871449999999995E-4</v>
      </c>
      <c r="P567">
        <v>0.98859229999999998</v>
      </c>
      <c r="Q567">
        <v>0.1499441</v>
      </c>
      <c r="R567">
        <v>1.422696E-2</v>
      </c>
      <c r="S567">
        <v>3.0533450000000002</v>
      </c>
      <c r="T567">
        <v>-0.13131880000000001</v>
      </c>
      <c r="U567">
        <v>8.3435060000000005E-2</v>
      </c>
      <c r="V567">
        <v>-1.482291E-2</v>
      </c>
      <c r="W567">
        <v>0.16151070000000001</v>
      </c>
      <c r="X567">
        <v>0.98675970000000002</v>
      </c>
      <c r="Y567">
        <v>-2.7891030000000001E-2</v>
      </c>
      <c r="Z567">
        <v>7.8185129999999996E-4</v>
      </c>
      <c r="AA567">
        <v>0.99961069999999996</v>
      </c>
      <c r="AB567">
        <v>29</v>
      </c>
      <c r="AC567">
        <v>25.909799999999901</v>
      </c>
      <c r="AD567">
        <v>-1.121051749002</v>
      </c>
      <c r="AE567">
        <v>0.71230000000002702</v>
      </c>
      <c r="AF567">
        <v>-0.72671318719755196</v>
      </c>
      <c r="AG567">
        <v>-1.121051749002</v>
      </c>
      <c r="AH567">
        <v>25.860984447122298</v>
      </c>
      <c r="AI567">
        <v>92.481191230822304</v>
      </c>
      <c r="AJ567">
        <v>91.609631066988896</v>
      </c>
      <c r="AK567">
        <v>25.895470369442801</v>
      </c>
      <c r="AL567">
        <v>80.705407080627197</v>
      </c>
      <c r="AM567">
        <v>90.860621192453905</v>
      </c>
      <c r="AN567">
        <v>1.0000000652097201</v>
      </c>
    </row>
    <row r="568" spans="1:40" x14ac:dyDescent="0.25">
      <c r="A568" t="str">
        <f>"20190303161852909"</f>
        <v>20190303161852909</v>
      </c>
      <c r="B568" t="str">
        <f>"1551601132903717"</f>
        <v>1551601132903717</v>
      </c>
      <c r="C568" t="s">
        <v>40</v>
      </c>
      <c r="D568">
        <v>4.853084</v>
      </c>
      <c r="E568">
        <v>0.49489670000000002</v>
      </c>
      <c r="F568" t="s">
        <v>41</v>
      </c>
      <c r="G568">
        <v>-361.2269</v>
      </c>
      <c r="H568" s="1">
        <v>-4.0807949999999996E-6</v>
      </c>
      <c r="I568">
        <v>367.72859999999997</v>
      </c>
      <c r="J568">
        <v>-387.75020000000001</v>
      </c>
      <c r="K568">
        <v>1.1210560000000001</v>
      </c>
      <c r="L568">
        <v>366.9778</v>
      </c>
      <c r="M568">
        <v>0.99993120000000002</v>
      </c>
      <c r="N568">
        <v>-1.1726540000000001E-2</v>
      </c>
      <c r="O568">
        <v>-6.0881330000000003E-4</v>
      </c>
      <c r="P568">
        <v>0.98861719999999997</v>
      </c>
      <c r="Q568">
        <v>0.14977579999999999</v>
      </c>
      <c r="R568">
        <v>1.42621E-2</v>
      </c>
      <c r="S568">
        <v>3.052826</v>
      </c>
      <c r="T568">
        <v>-0.12818280000000001</v>
      </c>
      <c r="U568">
        <v>8.5845950000000004E-2</v>
      </c>
      <c r="V568">
        <v>-1.485763E-2</v>
      </c>
      <c r="W568">
        <v>0.16135920000000001</v>
      </c>
      <c r="X568">
        <v>0.98678390000000005</v>
      </c>
      <c r="Y568">
        <v>-2.8685059999999998E-2</v>
      </c>
      <c r="Z568">
        <v>7.8856619999999897E-4</v>
      </c>
      <c r="AA568">
        <v>0.99958820000000004</v>
      </c>
      <c r="AB568">
        <v>29</v>
      </c>
      <c r="AC568">
        <v>26.523299999999999</v>
      </c>
      <c r="AD568">
        <v>-1.121060080795</v>
      </c>
      <c r="AE568">
        <v>0.75079999999996905</v>
      </c>
      <c r="AF568">
        <v>-0.76558209047620096</v>
      </c>
      <c r="AG568">
        <v>-1.121060080795</v>
      </c>
      <c r="AH568">
        <v>26.475577245662802</v>
      </c>
      <c r="AI568">
        <v>92.423625148191405</v>
      </c>
      <c r="AJ568">
        <v>91.656334150478898</v>
      </c>
      <c r="AK568">
        <v>26.510358015935399</v>
      </c>
      <c r="AL568">
        <v>80.7142021771798</v>
      </c>
      <c r="AM568">
        <v>90.862615586301402</v>
      </c>
      <c r="AN568">
        <v>1.0000000029465299</v>
      </c>
    </row>
    <row r="569" spans="1:40" x14ac:dyDescent="0.25">
      <c r="A569" t="str">
        <f>"20190303161852926"</f>
        <v>20190303161852926</v>
      </c>
      <c r="B569" t="str">
        <f>"1551601132913478"</f>
        <v>1551601132913478</v>
      </c>
      <c r="C569" t="s">
        <v>40</v>
      </c>
      <c r="D569">
        <v>4.9099089999999999</v>
      </c>
      <c r="E569">
        <v>0.49476229999999899</v>
      </c>
      <c r="F569" t="s">
        <v>41</v>
      </c>
      <c r="G569">
        <v>-359.95490000000001</v>
      </c>
      <c r="H569" s="1">
        <v>-4.904906E-7</v>
      </c>
      <c r="I569">
        <v>367.77820000000003</v>
      </c>
      <c r="J569">
        <v>-387.53160000000003</v>
      </c>
      <c r="K569">
        <v>1.121068</v>
      </c>
      <c r="L569">
        <v>366.97770000000003</v>
      </c>
      <c r="M569">
        <v>0.99993089999999996</v>
      </c>
      <c r="N569">
        <v>-1.174561E-2</v>
      </c>
      <c r="O569">
        <v>-6.0880639999999996E-4</v>
      </c>
      <c r="P569">
        <v>0.98856719999999998</v>
      </c>
      <c r="Q569">
        <v>0.15006259999999999</v>
      </c>
      <c r="R569">
        <v>1.4702730000000001E-2</v>
      </c>
      <c r="S569">
        <v>3.0519409999999998</v>
      </c>
      <c r="T569">
        <v>-0.12309249999999999</v>
      </c>
      <c r="U569">
        <v>8.7890629999999997E-2</v>
      </c>
      <c r="V569">
        <v>-1.529822E-2</v>
      </c>
      <c r="W569">
        <v>0.16166410000000001</v>
      </c>
      <c r="X569">
        <v>0.98672720000000003</v>
      </c>
      <c r="Y569">
        <v>-2.936387E-2</v>
      </c>
      <c r="Z569">
        <v>7.8176919999999896E-4</v>
      </c>
      <c r="AA569">
        <v>0.99956849999999997</v>
      </c>
      <c r="AB569">
        <v>29</v>
      </c>
      <c r="AC569">
        <v>27.576699999999999</v>
      </c>
      <c r="AD569">
        <v>-1.1210684904906001</v>
      </c>
      <c r="AE569">
        <v>0.80049999999999899</v>
      </c>
      <c r="AF569">
        <v>-0.81594255168183705</v>
      </c>
      <c r="AG569">
        <v>-1.1210684904906001</v>
      </c>
      <c r="AH569">
        <v>27.5307472465609</v>
      </c>
      <c r="AI569">
        <v>92.330807802772597</v>
      </c>
      <c r="AJ569">
        <v>91.697606795678297</v>
      </c>
      <c r="AK569">
        <v>27.565641671509098</v>
      </c>
      <c r="AL569">
        <v>80.696499710237006</v>
      </c>
      <c r="AM569">
        <v>90.888242686553198</v>
      </c>
      <c r="AN569">
        <v>0.999999941991907</v>
      </c>
    </row>
    <row r="570" spans="1:40" x14ac:dyDescent="0.25">
      <c r="A570" t="str">
        <f>"20190303161852939"</f>
        <v>20190303161852939</v>
      </c>
      <c r="B570" t="str">
        <f>"1551601132933973"</f>
        <v>1551601132933973</v>
      </c>
      <c r="C570" t="s">
        <v>40</v>
      </c>
      <c r="D570">
        <v>4.707694</v>
      </c>
      <c r="E570">
        <v>0.49455379999999899</v>
      </c>
      <c r="F570" t="s">
        <v>41</v>
      </c>
      <c r="G570">
        <v>-358.92380000000003</v>
      </c>
      <c r="H570" s="1">
        <v>-8.2914130000000003E-7</v>
      </c>
      <c r="I570">
        <v>367.82420000000002</v>
      </c>
      <c r="J570">
        <v>-387.34730000000002</v>
      </c>
      <c r="K570">
        <v>1.1210830000000001</v>
      </c>
      <c r="L570">
        <v>366.9776</v>
      </c>
      <c r="M570">
        <v>0.99993069999999895</v>
      </c>
      <c r="N570">
        <v>-1.175992E-2</v>
      </c>
      <c r="O570">
        <v>-6.0865249999999995E-4</v>
      </c>
      <c r="P570">
        <v>0.98860899999999996</v>
      </c>
      <c r="Q570">
        <v>0.14982190000000001</v>
      </c>
      <c r="R570">
        <v>1.434301E-2</v>
      </c>
      <c r="S570">
        <v>3.0515439999999998</v>
      </c>
      <c r="T570">
        <v>-0.1195819</v>
      </c>
      <c r="U570">
        <v>9.0301510000000001E-2</v>
      </c>
      <c r="V570">
        <v>-1.493884E-2</v>
      </c>
      <c r="W570">
        <v>0.1614382</v>
      </c>
      <c r="X570">
        <v>0.98676969999999997</v>
      </c>
      <c r="Y570">
        <v>-3.015725E-2</v>
      </c>
      <c r="Z570">
        <v>7.8467499999999998E-4</v>
      </c>
      <c r="AA570">
        <v>0.99954489999999996</v>
      </c>
      <c r="AB570">
        <v>29</v>
      </c>
      <c r="AC570">
        <v>28.423499999999901</v>
      </c>
      <c r="AD570">
        <v>-1.1210838291412999</v>
      </c>
      <c r="AE570">
        <v>0.846600000000023</v>
      </c>
      <c r="AF570">
        <v>-0.86256039224700098</v>
      </c>
      <c r="AG570">
        <v>-1.1210838291412999</v>
      </c>
      <c r="AH570">
        <v>28.378870023957099</v>
      </c>
      <c r="AI570">
        <v>92.261202997250507</v>
      </c>
      <c r="AJ570">
        <v>91.740938228464501</v>
      </c>
      <c r="AK570">
        <v>28.414100429520701</v>
      </c>
      <c r="AL570">
        <v>80.709615192378095</v>
      </c>
      <c r="AM570">
        <v>90.867342299270405</v>
      </c>
      <c r="AN570">
        <v>0.99999995109893602</v>
      </c>
    </row>
    <row r="571" spans="1:40" x14ac:dyDescent="0.25">
      <c r="A571" t="str">
        <f>"20190303161852953"</f>
        <v>20190303161852953</v>
      </c>
      <c r="B571" t="str">
        <f>"1551601132943733"</f>
        <v>1551601132943733</v>
      </c>
      <c r="C571" t="s">
        <v>40</v>
      </c>
      <c r="D571">
        <v>4.7255310000000001</v>
      </c>
      <c r="E571">
        <v>0.49448740000000002</v>
      </c>
      <c r="F571" t="s">
        <v>41</v>
      </c>
      <c r="G571">
        <v>-357.94619999999998</v>
      </c>
      <c r="H571" s="1">
        <v>-1.176537E-6</v>
      </c>
      <c r="I571">
        <v>367.85109999999997</v>
      </c>
      <c r="J571">
        <v>-387.16840000000002</v>
      </c>
      <c r="K571">
        <v>1.1210910000000001</v>
      </c>
      <c r="L571">
        <v>366.97750000000002</v>
      </c>
      <c r="M571">
        <v>0.99993069999999895</v>
      </c>
      <c r="N571">
        <v>-1.1772879999999999E-2</v>
      </c>
      <c r="O571">
        <v>-6.0872919999999998E-4</v>
      </c>
      <c r="P571">
        <v>0.98859850000000005</v>
      </c>
      <c r="Q571">
        <v>0.14987439999999999</v>
      </c>
      <c r="R571">
        <v>1.4535289999999999E-2</v>
      </c>
      <c r="S571">
        <v>3.0508120000000001</v>
      </c>
      <c r="T571">
        <v>-0.1163291</v>
      </c>
      <c r="U571">
        <v>9.0637209999999996E-2</v>
      </c>
      <c r="V571">
        <v>-1.513112E-2</v>
      </c>
      <c r="W571">
        <v>0.16150320000000001</v>
      </c>
      <c r="X571">
        <v>0.98675619999999997</v>
      </c>
      <c r="Y571">
        <v>-3.0275610000000001E-2</v>
      </c>
      <c r="Z571">
        <v>7.7125589999999997E-4</v>
      </c>
      <c r="AA571">
        <v>0.99954129999999997</v>
      </c>
      <c r="AB571">
        <v>29</v>
      </c>
      <c r="AC571">
        <v>29.222200000000001</v>
      </c>
      <c r="AD571">
        <v>-1.1210921765369899</v>
      </c>
      <c r="AE571">
        <v>0.87359999999995297</v>
      </c>
      <c r="AF571">
        <v>-0.89008059899633896</v>
      </c>
      <c r="AG571">
        <v>-1.1210921765369899</v>
      </c>
      <c r="AH571">
        <v>29.178755024363699</v>
      </c>
      <c r="AI571">
        <v>92.199286771827502</v>
      </c>
      <c r="AJ571">
        <v>91.747231928693907</v>
      </c>
      <c r="AK571">
        <v>29.213846646972598</v>
      </c>
      <c r="AL571">
        <v>80.705842057107802</v>
      </c>
      <c r="AM571">
        <v>90.878516267791099</v>
      </c>
      <c r="AN571">
        <v>1.00000001632056</v>
      </c>
    </row>
    <row r="572" spans="1:40" x14ac:dyDescent="0.25">
      <c r="A572" t="str">
        <f>"20190303161852971"</f>
        <v>20190303161852971</v>
      </c>
      <c r="B572" t="str">
        <f>"1551601132963254"</f>
        <v>1551601132963254</v>
      </c>
      <c r="C572" t="s">
        <v>40</v>
      </c>
      <c r="D572">
        <v>4.7221570000000002</v>
      </c>
      <c r="E572">
        <v>0.49434149999999999</v>
      </c>
      <c r="F572" t="s">
        <v>41</v>
      </c>
      <c r="G572">
        <v>-357.26799999999997</v>
      </c>
      <c r="H572" s="1">
        <v>-1.462231E-6</v>
      </c>
      <c r="I572">
        <v>367.88049999999998</v>
      </c>
      <c r="J572">
        <v>-386.94819999999999</v>
      </c>
      <c r="K572">
        <v>1.1211040000000001</v>
      </c>
      <c r="L572">
        <v>366.97739999999999</v>
      </c>
      <c r="M572">
        <v>0.99993030000000005</v>
      </c>
      <c r="N572">
        <v>-1.178763E-2</v>
      </c>
      <c r="O572">
        <v>-6.0857819999999999E-4</v>
      </c>
      <c r="P572">
        <v>0.98856809999999995</v>
      </c>
      <c r="Q572">
        <v>0.1500861</v>
      </c>
      <c r="R572">
        <v>1.4396310000000001E-2</v>
      </c>
      <c r="S572">
        <v>3.0505680000000002</v>
      </c>
      <c r="T572">
        <v>-0.1143787</v>
      </c>
      <c r="U572">
        <v>9.2132569999999997E-2</v>
      </c>
      <c r="V572">
        <v>-1.499175E-2</v>
      </c>
      <c r="W572">
        <v>0.1617295</v>
      </c>
      <c r="X572">
        <v>0.98672119999999996</v>
      </c>
      <c r="Y572">
        <v>-3.076775E-2</v>
      </c>
      <c r="Z572">
        <v>7.7357779999999996E-4</v>
      </c>
      <c r="AA572">
        <v>0.99952629999999998</v>
      </c>
      <c r="AB572">
        <v>29</v>
      </c>
      <c r="AC572">
        <v>29.6801999999999</v>
      </c>
      <c r="AD572">
        <v>-1.1211054622309999</v>
      </c>
      <c r="AE572">
        <v>0.90309999999999402</v>
      </c>
      <c r="AF572">
        <v>-0.91985259096529803</v>
      </c>
      <c r="AG572">
        <v>-1.1211054622309999</v>
      </c>
      <c r="AH572">
        <v>29.637397703968901</v>
      </c>
      <c r="AI572">
        <v>92.165275390760399</v>
      </c>
      <c r="AJ572">
        <v>91.777712017490998</v>
      </c>
      <c r="AK572">
        <v>29.672855422250301</v>
      </c>
      <c r="AL572">
        <v>80.692702721283297</v>
      </c>
      <c r="AM572">
        <v>90.870456534773396</v>
      </c>
      <c r="AN572">
        <v>0.99999995513387496</v>
      </c>
    </row>
    <row r="573" spans="1:40" x14ac:dyDescent="0.25">
      <c r="A573" t="str">
        <f>"20190303161852983"</f>
        <v>20190303161852983</v>
      </c>
      <c r="B573" t="str">
        <f>"1551601132973989"</f>
        <v>1551601132973989</v>
      </c>
      <c r="C573" t="s">
        <v>40</v>
      </c>
      <c r="D573">
        <v>4.7488260000000002</v>
      </c>
      <c r="E573">
        <v>0.4942608</v>
      </c>
      <c r="F573" t="s">
        <v>41</v>
      </c>
      <c r="G573">
        <v>-355.89519999999999</v>
      </c>
      <c r="H573" s="1">
        <v>-2.043194E-6</v>
      </c>
      <c r="I573">
        <v>367.92559999999997</v>
      </c>
      <c r="J573">
        <v>-386.7731</v>
      </c>
      <c r="K573">
        <v>1.1211089999999999</v>
      </c>
      <c r="L573">
        <v>366.97730000000001</v>
      </c>
      <c r="M573">
        <v>0.99993030000000005</v>
      </c>
      <c r="N573">
        <v>-1.179849E-2</v>
      </c>
      <c r="O573">
        <v>-6.0840429999999999E-4</v>
      </c>
      <c r="P573">
        <v>0.98857539999999999</v>
      </c>
      <c r="Q573">
        <v>0.1500668</v>
      </c>
      <c r="R573">
        <v>1.4116999999999999E-2</v>
      </c>
      <c r="S573">
        <v>3.0500790000000002</v>
      </c>
      <c r="T573">
        <v>-0.1101166</v>
      </c>
      <c r="U573">
        <v>9.3139650000000004E-2</v>
      </c>
      <c r="V573">
        <v>-1.471276E-2</v>
      </c>
      <c r="W573">
        <v>0.16172059999999999</v>
      </c>
      <c r="X573">
        <v>0.98672689999999996</v>
      </c>
      <c r="Y573">
        <v>-3.110367E-2</v>
      </c>
      <c r="Z573">
        <v>7.5954660000000004E-4</v>
      </c>
      <c r="AA573">
        <v>0.99951590000000001</v>
      </c>
      <c r="AB573">
        <v>29</v>
      </c>
      <c r="AC573">
        <v>30.8779</v>
      </c>
      <c r="AD573">
        <v>-1.1211110431939999</v>
      </c>
      <c r="AE573">
        <v>0.94829999999995995</v>
      </c>
      <c r="AF573">
        <v>-0.96581537958572306</v>
      </c>
      <c r="AG573">
        <v>-1.1211110431939999</v>
      </c>
      <c r="AH573">
        <v>30.836704742095499</v>
      </c>
      <c r="AI573">
        <v>92.081130625173401</v>
      </c>
      <c r="AJ573">
        <v>91.793935558084499</v>
      </c>
      <c r="AK573">
        <v>30.872188919313601</v>
      </c>
      <c r="AL573">
        <v>80.693219844311102</v>
      </c>
      <c r="AM573">
        <v>90.854255203416699</v>
      </c>
      <c r="AN573">
        <v>0.99999999647739302</v>
      </c>
    </row>
    <row r="574" spans="1:40" x14ac:dyDescent="0.25">
      <c r="A574" t="str">
        <f>"20190303161852997"</f>
        <v>20190303161852997</v>
      </c>
      <c r="B574" t="str">
        <f>"1551601132993510"</f>
        <v>1551601132993510</v>
      </c>
      <c r="C574" t="s">
        <v>40</v>
      </c>
      <c r="D574">
        <v>4.7087570000000003</v>
      </c>
      <c r="E574">
        <v>0.49414540000000001</v>
      </c>
      <c r="F574" t="s">
        <v>41</v>
      </c>
      <c r="G574">
        <v>-355.30369999999999</v>
      </c>
      <c r="H574" s="1">
        <v>-2.2950679999999998E-6</v>
      </c>
      <c r="I574">
        <v>367.93610000000001</v>
      </c>
      <c r="J574">
        <v>-386.60039999999998</v>
      </c>
      <c r="K574">
        <v>1.1211150000000001</v>
      </c>
      <c r="L574">
        <v>366.97719999999998</v>
      </c>
      <c r="M574">
        <v>0.99993010000000004</v>
      </c>
      <c r="N574">
        <v>-1.1807990000000001E-2</v>
      </c>
      <c r="O574">
        <v>-6.0834150000000004E-4</v>
      </c>
      <c r="P574">
        <v>0.98862680000000003</v>
      </c>
      <c r="Q574">
        <v>0.14974519999999999</v>
      </c>
      <c r="R574">
        <v>1.391246E-2</v>
      </c>
      <c r="S574">
        <v>3.0498050000000001</v>
      </c>
      <c r="T574">
        <v>-0.10865030000000001</v>
      </c>
      <c r="U574">
        <v>9.2926030000000007E-2</v>
      </c>
      <c r="V574">
        <v>-1.4507900000000001E-2</v>
      </c>
      <c r="W574">
        <v>0.1614091</v>
      </c>
      <c r="X574">
        <v>0.98678089999999996</v>
      </c>
      <c r="Y574">
        <v>-3.103709E-2</v>
      </c>
      <c r="Z574">
        <v>7.5039929999999903E-4</v>
      </c>
      <c r="AA574">
        <v>0.99951800000000002</v>
      </c>
      <c r="AB574">
        <v>29</v>
      </c>
      <c r="AC574">
        <v>31.296699999999898</v>
      </c>
      <c r="AD574">
        <v>-1.121117295068</v>
      </c>
      <c r="AE574">
        <v>0.95890000000002795</v>
      </c>
      <c r="AF574">
        <v>-0.97668808989188005</v>
      </c>
      <c r="AG574">
        <v>-1.121117295068</v>
      </c>
      <c r="AH574">
        <v>31.256039710824101</v>
      </c>
      <c r="AI574">
        <v>92.0532500523815</v>
      </c>
      <c r="AJ574">
        <v>91.789794958276104</v>
      </c>
      <c r="AK574">
        <v>31.291386067396399</v>
      </c>
      <c r="AL574">
        <v>80.711304746268297</v>
      </c>
      <c r="AM574">
        <v>90.842316217013206</v>
      </c>
      <c r="AN574">
        <v>0.99999996066501395</v>
      </c>
    </row>
    <row r="575" spans="1:40" x14ac:dyDescent="0.25">
      <c r="A575" t="str">
        <f>"20190303161853014"</f>
        <v>20190303161853014</v>
      </c>
      <c r="B575" t="str">
        <f>"1551601133003269"</f>
        <v>1551601133003269</v>
      </c>
      <c r="C575" t="s">
        <v>40</v>
      </c>
      <c r="D575">
        <v>4.6713239999999896</v>
      </c>
      <c r="E575">
        <v>0.49412050000000002</v>
      </c>
      <c r="F575" t="s">
        <v>41</v>
      </c>
      <c r="G575">
        <v>-354.96969999999999</v>
      </c>
      <c r="H575" s="1">
        <v>-2.43761E-6</v>
      </c>
      <c r="I575">
        <v>367.94029999999998</v>
      </c>
      <c r="J575">
        <v>-386.37580000000003</v>
      </c>
      <c r="K575">
        <v>1.12112099999999</v>
      </c>
      <c r="L575">
        <v>366.97699999999998</v>
      </c>
      <c r="M575">
        <v>0.99992999999999999</v>
      </c>
      <c r="N575">
        <v>-1.181945E-2</v>
      </c>
      <c r="O575">
        <v>-6.0840980000000002E-4</v>
      </c>
      <c r="P575">
        <v>0.98864319999999895</v>
      </c>
      <c r="Q575">
        <v>0.14964839999999999</v>
      </c>
      <c r="R575">
        <v>1.3793619999999999E-2</v>
      </c>
      <c r="S575">
        <v>3.0495909999999999</v>
      </c>
      <c r="T575">
        <v>-0.1080893</v>
      </c>
      <c r="U575">
        <v>9.2864989999999994E-2</v>
      </c>
      <c r="V575">
        <v>-1.438906E-2</v>
      </c>
      <c r="W575">
        <v>0.16132340000000001</v>
      </c>
      <c r="X575">
        <v>0.98679669999999997</v>
      </c>
      <c r="Y575">
        <v>-3.1019540000000002E-2</v>
      </c>
      <c r="Z575">
        <v>7.4723390000000002E-4</v>
      </c>
      <c r="AA575">
        <v>0.99951849999999998</v>
      </c>
      <c r="AB575">
        <v>29</v>
      </c>
      <c r="AC575">
        <v>31.406099999999999</v>
      </c>
      <c r="AD575">
        <v>-1.1211234376100001</v>
      </c>
      <c r="AE575">
        <v>0.96330000000000304</v>
      </c>
      <c r="AF575">
        <v>-0.981159797440457</v>
      </c>
      <c r="AG575">
        <v>-1.1211234376100001</v>
      </c>
      <c r="AH575">
        <v>31.365575820073801</v>
      </c>
      <c r="AI575">
        <v>92.046094781775807</v>
      </c>
      <c r="AJ575">
        <v>91.791709168719095</v>
      </c>
      <c r="AK575">
        <v>31.400938502459901</v>
      </c>
      <c r="AL575">
        <v>80.716280622699301</v>
      </c>
      <c r="AM575">
        <v>90.835404076260104</v>
      </c>
      <c r="AN575">
        <v>1.00000000578306</v>
      </c>
    </row>
    <row r="576" spans="1:40" x14ac:dyDescent="0.25">
      <c r="A576" t="str">
        <f>"20190303161853028"</f>
        <v>20190303161853028</v>
      </c>
      <c r="B576" t="str">
        <f>"1551601133023766"</f>
        <v>1551601133023766</v>
      </c>
      <c r="C576" t="s">
        <v>40</v>
      </c>
      <c r="D576">
        <v>4.5113120000000002</v>
      </c>
      <c r="E576">
        <v>0.49411139999999998</v>
      </c>
      <c r="F576" t="s">
        <v>41</v>
      </c>
      <c r="G576">
        <v>-354.80849999999998</v>
      </c>
      <c r="H576" s="1">
        <v>-2.507103E-6</v>
      </c>
      <c r="I576">
        <v>367.93830000000003</v>
      </c>
      <c r="J576">
        <v>-386.20159999999998</v>
      </c>
      <c r="K576">
        <v>1.1211260000000001</v>
      </c>
      <c r="L576">
        <v>366.9769</v>
      </c>
      <c r="M576">
        <v>0.99992979999999998</v>
      </c>
      <c r="N576">
        <v>-1.182768E-2</v>
      </c>
      <c r="O576">
        <v>-6.0822019999999999E-4</v>
      </c>
      <c r="P576">
        <v>0.98864200000000002</v>
      </c>
      <c r="Q576">
        <v>0.14966380000000001</v>
      </c>
      <c r="R576">
        <v>1.3715659999999999E-2</v>
      </c>
      <c r="S576">
        <v>3.0495299999999999</v>
      </c>
      <c r="T576">
        <v>-0.1083049</v>
      </c>
      <c r="U576">
        <v>9.2864989999999994E-2</v>
      </c>
      <c r="V576">
        <v>-1.43109E-2</v>
      </c>
      <c r="W576">
        <v>0.16134689999999999</v>
      </c>
      <c r="X576">
        <v>0.98679399999999995</v>
      </c>
      <c r="Y576">
        <v>-3.1019870000000001E-2</v>
      </c>
      <c r="Z576">
        <v>7.4850909999999999E-4</v>
      </c>
      <c r="AA576">
        <v>0.99951849999999998</v>
      </c>
      <c r="AB576">
        <v>29</v>
      </c>
      <c r="AC576">
        <v>31.3931</v>
      </c>
      <c r="AD576">
        <v>-1.1211285071029999</v>
      </c>
      <c r="AE576">
        <v>0.96140000000002501</v>
      </c>
      <c r="AF576">
        <v>-0.97924732642862</v>
      </c>
      <c r="AG576">
        <v>-1.1211285071029999</v>
      </c>
      <c r="AH576">
        <v>31.352560191257201</v>
      </c>
      <c r="AI576">
        <v>92.046955784732404</v>
      </c>
      <c r="AJ576">
        <v>91.788960924048894</v>
      </c>
      <c r="AK576">
        <v>31.387877994572399</v>
      </c>
      <c r="AL576">
        <v>80.714916349705703</v>
      </c>
      <c r="AM576">
        <v>90.830869152011999</v>
      </c>
      <c r="AN576">
        <v>1.0000000112172001</v>
      </c>
    </row>
    <row r="577" spans="1:40" x14ac:dyDescent="0.25">
      <c r="A577" t="str">
        <f>"20190303161853042"</f>
        <v>20190303161853042</v>
      </c>
      <c r="B577" t="str">
        <f>"1551601133033525"</f>
        <v>1551601133033525</v>
      </c>
      <c r="C577" t="s">
        <v>40</v>
      </c>
      <c r="D577">
        <v>4.5271319999999999</v>
      </c>
      <c r="E577">
        <v>0.49413829999999997</v>
      </c>
      <c r="F577" t="s">
        <v>41</v>
      </c>
      <c r="G577">
        <v>-354.36110000000002</v>
      </c>
      <c r="H577" s="1">
        <v>-2.6975769999999998E-6</v>
      </c>
      <c r="I577">
        <v>367.94650000000001</v>
      </c>
      <c r="J577">
        <v>-386.00619999999998</v>
      </c>
      <c r="K577">
        <v>1.121129</v>
      </c>
      <c r="L577">
        <v>366.97680000000003</v>
      </c>
      <c r="M577">
        <v>0.99992979999999998</v>
      </c>
      <c r="N577">
        <v>-1.1836019999999999E-2</v>
      </c>
      <c r="O577">
        <v>-6.0826999999999995E-4</v>
      </c>
      <c r="P577">
        <v>0.98867169999999904</v>
      </c>
      <c r="Q577">
        <v>0.14950350000000001</v>
      </c>
      <c r="R577">
        <v>1.332289E-2</v>
      </c>
      <c r="S577">
        <v>3.0494379999999999</v>
      </c>
      <c r="T577">
        <v>-0.107373</v>
      </c>
      <c r="U577">
        <v>9.2864989999999994E-2</v>
      </c>
      <c r="V577">
        <v>-1.391834E-2</v>
      </c>
      <c r="W577">
        <v>0.16119539999999999</v>
      </c>
      <c r="X577">
        <v>0.98682429999999999</v>
      </c>
      <c r="Y577">
        <v>-3.1021219999999999E-2</v>
      </c>
      <c r="Z577">
        <v>7.4376289999999903E-4</v>
      </c>
      <c r="AA577">
        <v>0.99951849999999998</v>
      </c>
      <c r="AB577">
        <v>29</v>
      </c>
      <c r="AC577">
        <v>31.6450999999999</v>
      </c>
      <c r="AD577">
        <v>-1.121131697577</v>
      </c>
      <c r="AE577">
        <v>0.96969999999998802</v>
      </c>
      <c r="AF577">
        <v>-0.98771135707920799</v>
      </c>
      <c r="AG577">
        <v>-1.121131697577</v>
      </c>
      <c r="AH577">
        <v>31.604872194909401</v>
      </c>
      <c r="AI577">
        <v>92.0306326094274</v>
      </c>
      <c r="AJ577">
        <v>91.790017646595402</v>
      </c>
      <c r="AK577">
        <v>31.640171561873299</v>
      </c>
      <c r="AL577">
        <v>80.723711107289503</v>
      </c>
      <c r="AM577">
        <v>90.808055970086599</v>
      </c>
      <c r="AN577">
        <v>0.99999993811999999</v>
      </c>
    </row>
    <row r="578" spans="1:40" x14ac:dyDescent="0.25">
      <c r="A578" t="str">
        <f>"20190303161853059"</f>
        <v>20190303161853059</v>
      </c>
      <c r="B578" t="str">
        <f>"1551601133054022"</f>
        <v>1551601133054022</v>
      </c>
      <c r="C578" t="s">
        <v>40</v>
      </c>
      <c r="D578">
        <v>4.5512980000000001</v>
      </c>
      <c r="E578">
        <v>0.49408940000000001</v>
      </c>
      <c r="F578" t="s">
        <v>41</v>
      </c>
      <c r="G578">
        <v>-354.07330000000002</v>
      </c>
      <c r="H578" s="1">
        <v>-2.8231830000000001E-6</v>
      </c>
      <c r="I578">
        <v>367.93459999999999</v>
      </c>
      <c r="J578">
        <v>-385.7824</v>
      </c>
      <c r="K578">
        <v>1.121135</v>
      </c>
      <c r="L578">
        <v>366.97669999999999</v>
      </c>
      <c r="M578">
        <v>0.99992979999999998</v>
      </c>
      <c r="N578">
        <v>-1.184469E-2</v>
      </c>
      <c r="O578">
        <v>-6.0820250000000002E-4</v>
      </c>
      <c r="P578">
        <v>0.98865420000000004</v>
      </c>
      <c r="Q578">
        <v>0.14965349999999999</v>
      </c>
      <c r="R578">
        <v>1.2917130000000001E-2</v>
      </c>
      <c r="S578">
        <v>3.049347</v>
      </c>
      <c r="T578">
        <v>-0.1070591</v>
      </c>
      <c r="U578">
        <v>9.1461180000000003E-2</v>
      </c>
      <c r="V578">
        <v>-1.35119E-2</v>
      </c>
      <c r="W578">
        <v>0.161354</v>
      </c>
      <c r="X578">
        <v>0.98680409999999996</v>
      </c>
      <c r="Y578">
        <v>-3.0562840000000001E-2</v>
      </c>
      <c r="Z578">
        <v>7.3149399999999996E-4</v>
      </c>
      <c r="AA578">
        <v>0.99953259999999999</v>
      </c>
      <c r="AB578">
        <v>29</v>
      </c>
      <c r="AC578">
        <v>31.7090999999999</v>
      </c>
      <c r="AD578">
        <v>-1.121137823183</v>
      </c>
      <c r="AE578">
        <v>0.95789999999999498</v>
      </c>
      <c r="AF578">
        <v>-0.97596776693688403</v>
      </c>
      <c r="AG578">
        <v>-1.121137823183</v>
      </c>
      <c r="AH578">
        <v>31.668957734198099</v>
      </c>
      <c r="AI578">
        <v>92.026565150003904</v>
      </c>
      <c r="AJ578">
        <v>91.765171490826802</v>
      </c>
      <c r="AK578">
        <v>31.703822278569199</v>
      </c>
      <c r="AL578">
        <v>80.714504121042907</v>
      </c>
      <c r="AM578">
        <v>90.78447836414</v>
      </c>
      <c r="AN578">
        <v>1.00000000826721</v>
      </c>
    </row>
    <row r="579" spans="1:40" x14ac:dyDescent="0.25">
      <c r="A579" t="str">
        <f>"20190303161853073"</f>
        <v>20190303161853073</v>
      </c>
      <c r="B579" t="str">
        <f>"1551601133063781"</f>
        <v>1551601133063781</v>
      </c>
      <c r="C579" t="s">
        <v>40</v>
      </c>
      <c r="D579">
        <v>4.4854289999999999</v>
      </c>
      <c r="E579">
        <v>0.49410959999999998</v>
      </c>
      <c r="F579" t="s">
        <v>41</v>
      </c>
      <c r="G579">
        <v>-353.50630000000001</v>
      </c>
      <c r="H579" s="1">
        <v>-3.066032E-6</v>
      </c>
      <c r="I579">
        <v>367.93669999999997</v>
      </c>
      <c r="J579">
        <v>-385.60309999999998</v>
      </c>
      <c r="K579">
        <v>1.1211370000000001</v>
      </c>
      <c r="L579">
        <v>366.97660000000002</v>
      </c>
      <c r="M579">
        <v>0.99992970000000003</v>
      </c>
      <c r="N579">
        <v>-1.185106E-2</v>
      </c>
      <c r="O579">
        <v>-6.0800209999999999E-4</v>
      </c>
      <c r="P579">
        <v>0.98863559999999995</v>
      </c>
      <c r="Q579">
        <v>0.14977960000000001</v>
      </c>
      <c r="R579">
        <v>1.288795E-2</v>
      </c>
      <c r="S579">
        <v>3.0492859999999999</v>
      </c>
      <c r="T579">
        <v>-0.1059194</v>
      </c>
      <c r="U579">
        <v>9.0698239999999999E-2</v>
      </c>
      <c r="V579">
        <v>-1.3482900000000001E-2</v>
      </c>
      <c r="W579">
        <v>0.16148579999999901</v>
      </c>
      <c r="X579">
        <v>0.98678290000000002</v>
      </c>
      <c r="Y579">
        <v>-3.0314049999999999E-2</v>
      </c>
      <c r="Z579">
        <v>7.1986730000000001E-4</v>
      </c>
      <c r="AA579">
        <v>0.99954019999999999</v>
      </c>
      <c r="AB579">
        <v>29</v>
      </c>
      <c r="AC579">
        <v>32.096799999999902</v>
      </c>
      <c r="AD579">
        <v>-1.1211400660319999</v>
      </c>
      <c r="AE579">
        <v>0.96009999999995399</v>
      </c>
      <c r="AF579">
        <v>-0.97842340318099297</v>
      </c>
      <c r="AG579">
        <v>-1.1211400660319999</v>
      </c>
      <c r="AH579">
        <v>32.057132265182403</v>
      </c>
      <c r="AI579">
        <v>92.002068078131799</v>
      </c>
      <c r="AJ579">
        <v>91.748195487154405</v>
      </c>
      <c r="AK579">
        <v>32.091649949339697</v>
      </c>
      <c r="AL579">
        <v>80.706851848149796</v>
      </c>
      <c r="AM579">
        <v>90.782811697711296</v>
      </c>
      <c r="AN579">
        <v>0.99999997196322898</v>
      </c>
    </row>
    <row r="580" spans="1:40" x14ac:dyDescent="0.25">
      <c r="A580" t="str">
        <f>"20190303161853086"</f>
        <v>20190303161853086</v>
      </c>
      <c r="B580" t="str">
        <f>"1551601133073542"</f>
        <v>1551601133073542</v>
      </c>
      <c r="C580" t="s">
        <v>40</v>
      </c>
      <c r="D580">
        <v>4.4881039999999999</v>
      </c>
      <c r="E580">
        <v>0.49414449999999999</v>
      </c>
      <c r="F580" t="s">
        <v>41</v>
      </c>
      <c r="G580">
        <v>-353.10250000000002</v>
      </c>
      <c r="H580" s="1">
        <v>-3.2387290000000002E-6</v>
      </c>
      <c r="I580">
        <v>367.93970000000002</v>
      </c>
      <c r="J580">
        <v>-385.43259999999998</v>
      </c>
      <c r="K580">
        <v>1.121138</v>
      </c>
      <c r="L580">
        <v>366.97649999999999</v>
      </c>
      <c r="M580">
        <v>0.99992950000000003</v>
      </c>
      <c r="N580">
        <v>-1.1856759999999999E-2</v>
      </c>
      <c r="O580">
        <v>-6.0803609999999998E-4</v>
      </c>
      <c r="P580">
        <v>0.98863239999999997</v>
      </c>
      <c r="Q580">
        <v>0.1497993</v>
      </c>
      <c r="R580">
        <v>1.289275E-2</v>
      </c>
      <c r="S580">
        <v>3.049255</v>
      </c>
      <c r="T580">
        <v>-0.1051869</v>
      </c>
      <c r="U580">
        <v>9.036255E-2</v>
      </c>
      <c r="V580">
        <v>-1.348802E-2</v>
      </c>
      <c r="W580">
        <v>0.16151119999999999</v>
      </c>
      <c r="X580">
        <v>0.98677870000000001</v>
      </c>
      <c r="Y580">
        <v>-3.020482E-2</v>
      </c>
      <c r="Z580">
        <v>7.1364289999999901E-4</v>
      </c>
      <c r="AA580">
        <v>0.99954350000000003</v>
      </c>
      <c r="AB580">
        <v>29</v>
      </c>
      <c r="AC580">
        <v>32.330099999999902</v>
      </c>
      <c r="AD580">
        <v>-1.1211412387289901</v>
      </c>
      <c r="AE580">
        <v>0.96320000000002803</v>
      </c>
      <c r="AF580">
        <v>-0.98167959101556401</v>
      </c>
      <c r="AG580">
        <v>-1.1211412387289901</v>
      </c>
      <c r="AH580">
        <v>32.290711257366198</v>
      </c>
      <c r="AI580">
        <v>91.987606847099599</v>
      </c>
      <c r="AJ580">
        <v>91.741329829334106</v>
      </c>
      <c r="AK580">
        <v>32.325078283017199</v>
      </c>
      <c r="AL580">
        <v>80.705377426932998</v>
      </c>
      <c r="AM580">
        <v>90.783112258529499</v>
      </c>
      <c r="AN580">
        <v>0.99999999859132505</v>
      </c>
    </row>
    <row r="581" spans="1:40" x14ac:dyDescent="0.25">
      <c r="A581" t="str">
        <f>"20190303161853098"</f>
        <v>20190303161853098</v>
      </c>
      <c r="B581" t="str">
        <f>"1551601133094037"</f>
        <v>1551601133094037</v>
      </c>
      <c r="C581" t="s">
        <v>40</v>
      </c>
      <c r="D581">
        <v>4.4408500000000002</v>
      </c>
      <c r="E581">
        <v>0.49420049999999999</v>
      </c>
      <c r="F581" t="s">
        <v>41</v>
      </c>
      <c r="G581">
        <v>-352.6671</v>
      </c>
      <c r="H581" s="1">
        <v>-3.425261E-6</v>
      </c>
      <c r="I581">
        <v>367.94130000000001</v>
      </c>
      <c r="J581">
        <v>-385.26130000000001</v>
      </c>
      <c r="K581">
        <v>1.1211390000000001</v>
      </c>
      <c r="L581">
        <v>366.97640000000001</v>
      </c>
      <c r="M581">
        <v>0.99992950000000003</v>
      </c>
      <c r="N581">
        <v>-1.186191E-2</v>
      </c>
      <c r="O581">
        <v>-6.0794750000000002E-4</v>
      </c>
      <c r="P581">
        <v>0.98866580000000004</v>
      </c>
      <c r="Q581">
        <v>0.14956889999999901</v>
      </c>
      <c r="R581">
        <v>1.301362E-2</v>
      </c>
      <c r="S581">
        <v>3.0491640000000002</v>
      </c>
      <c r="T581">
        <v>-0.1043332</v>
      </c>
      <c r="U581">
        <v>8.9782710000000002E-2</v>
      </c>
      <c r="V581">
        <v>-1.3608510000000001E-2</v>
      </c>
      <c r="W581">
        <v>0.16128619999999999</v>
      </c>
      <c r="X581">
        <v>0.98681379999999996</v>
      </c>
      <c r="Y581">
        <v>-3.00162E-2</v>
      </c>
      <c r="Z581">
        <v>7.0499289999999997E-4</v>
      </c>
      <c r="AA581">
        <v>0.99954920000000003</v>
      </c>
      <c r="AB581">
        <v>29</v>
      </c>
      <c r="AC581">
        <v>32.594200000000001</v>
      </c>
      <c r="AD581">
        <v>-1.1211424252609901</v>
      </c>
      <c r="AE581">
        <v>0.96489999999999998</v>
      </c>
      <c r="AF581">
        <v>-0.98355410140510902</v>
      </c>
      <c r="AG581">
        <v>-1.1211424252609901</v>
      </c>
      <c r="AH581">
        <v>32.555123358873097</v>
      </c>
      <c r="AI581">
        <v>91.971489711023807</v>
      </c>
      <c r="AJ581">
        <v>91.730491447021194</v>
      </c>
      <c r="AK581">
        <v>32.5892681096025</v>
      </c>
      <c r="AL581">
        <v>80.718439812016598</v>
      </c>
      <c r="AM581">
        <v>90.790078905746398</v>
      </c>
      <c r="AN581">
        <v>0.99999995286264798</v>
      </c>
    </row>
    <row r="582" spans="1:40" x14ac:dyDescent="0.25">
      <c r="A582" t="str">
        <f>"20190303161853117"</f>
        <v>20190303161853117</v>
      </c>
      <c r="B582" t="str">
        <f>"1551601133113558"</f>
        <v>1551601133113558</v>
      </c>
      <c r="C582" t="s">
        <v>40</v>
      </c>
      <c r="D582">
        <v>4.4114570000000004</v>
      </c>
      <c r="E582">
        <v>0.4942201</v>
      </c>
      <c r="F582" t="s">
        <v>41</v>
      </c>
      <c r="G582">
        <v>-352.27940000000001</v>
      </c>
      <c r="H582" s="1">
        <v>-3.5905510000000001E-6</v>
      </c>
      <c r="I582">
        <v>367.94690000000003</v>
      </c>
      <c r="J582">
        <v>-385.04059999999998</v>
      </c>
      <c r="K582">
        <v>1.1211420000000001</v>
      </c>
      <c r="L582">
        <v>366.97629999999998</v>
      </c>
      <c r="M582">
        <v>0.99992950000000003</v>
      </c>
      <c r="N582">
        <v>-1.186805E-2</v>
      </c>
      <c r="O582">
        <v>-6.0798389999999996E-4</v>
      </c>
      <c r="P582">
        <v>0.98868699999999998</v>
      </c>
      <c r="Q582">
        <v>0.14941189999999999</v>
      </c>
      <c r="R582">
        <v>1.320437E-2</v>
      </c>
      <c r="S582">
        <v>3.0488590000000002</v>
      </c>
      <c r="T582">
        <v>-0.1036386</v>
      </c>
      <c r="U582">
        <v>8.9721679999999998E-2</v>
      </c>
      <c r="V582">
        <v>-1.379943E-2</v>
      </c>
      <c r="W582">
        <v>0.16113569999999999</v>
      </c>
      <c r="X582">
        <v>0.98683580000000004</v>
      </c>
      <c r="Y582">
        <v>-2.9999459999999999E-2</v>
      </c>
      <c r="Z582">
        <v>7.0119780000000003E-4</v>
      </c>
      <c r="AA582">
        <v>0.99954969999999999</v>
      </c>
      <c r="AB582">
        <v>29</v>
      </c>
      <c r="AC582">
        <v>32.761199999999903</v>
      </c>
      <c r="AD582">
        <v>-1.1211455905509999</v>
      </c>
      <c r="AE582">
        <v>0.97060000000004698</v>
      </c>
      <c r="AF582">
        <v>-0.98936184996964005</v>
      </c>
      <c r="AG582">
        <v>-1.1211455905509999</v>
      </c>
      <c r="AH582">
        <v>32.722315375331497</v>
      </c>
      <c r="AI582">
        <v>91.961428597568002</v>
      </c>
      <c r="AJ582">
        <v>91.731814934058207</v>
      </c>
      <c r="AK582">
        <v>32.756460856265299</v>
      </c>
      <c r="AL582">
        <v>80.727177712512002</v>
      </c>
      <c r="AM582">
        <v>90.8011439903092</v>
      </c>
      <c r="AN582">
        <v>1.0000000171222201</v>
      </c>
    </row>
    <row r="583" spans="1:40" x14ac:dyDescent="0.25">
      <c r="A583" t="str">
        <f>"20190303161853131"</f>
        <v>20190303161853131</v>
      </c>
      <c r="B583" t="str">
        <f>"1551601133123317"</f>
        <v>1551601133123317</v>
      </c>
      <c r="C583" t="s">
        <v>40</v>
      </c>
      <c r="D583">
        <v>4.4251129999999996</v>
      </c>
      <c r="E583">
        <v>0.4942589</v>
      </c>
      <c r="F583" t="s">
        <v>41</v>
      </c>
      <c r="G583">
        <v>-351.6456</v>
      </c>
      <c r="H583" s="1">
        <v>-3.8598970000000002E-6</v>
      </c>
      <c r="I583">
        <v>367.96140000000003</v>
      </c>
      <c r="J583">
        <v>-384.85140000000001</v>
      </c>
      <c r="K583">
        <v>1.1211469999999999</v>
      </c>
      <c r="L583">
        <v>366.97620000000001</v>
      </c>
      <c r="M583">
        <v>0.99992939999999997</v>
      </c>
      <c r="N583">
        <v>-1.1872870000000001E-2</v>
      </c>
      <c r="O583">
        <v>-6.078934E-4</v>
      </c>
      <c r="P583">
        <v>0.9887089</v>
      </c>
      <c r="Q583">
        <v>0.1492521</v>
      </c>
      <c r="R583">
        <v>1.337619E-2</v>
      </c>
      <c r="S583">
        <v>3.048584</v>
      </c>
      <c r="T583">
        <v>-0.10234749999999999</v>
      </c>
      <c r="U583">
        <v>8.9935299999999996E-2</v>
      </c>
      <c r="V583">
        <v>-1.397107E-2</v>
      </c>
      <c r="W583">
        <v>0.16098080000000001</v>
      </c>
      <c r="X583">
        <v>0.98685869999999998</v>
      </c>
      <c r="Y583">
        <v>-3.0072459999999999E-2</v>
      </c>
      <c r="Z583">
        <v>6.9636630000000001E-4</v>
      </c>
      <c r="AA583">
        <v>0.99954750000000003</v>
      </c>
      <c r="AB583">
        <v>29</v>
      </c>
      <c r="AC583">
        <v>33.205800000000004</v>
      </c>
      <c r="AD583">
        <v>-1.1211508598969999</v>
      </c>
      <c r="AE583">
        <v>0.98520000000001995</v>
      </c>
      <c r="AF583">
        <v>-1.00424300815367</v>
      </c>
      <c r="AG583">
        <v>-1.1211508598969999</v>
      </c>
      <c r="AH583">
        <v>33.167417727163802</v>
      </c>
      <c r="AI583">
        <v>91.935133213700794</v>
      </c>
      <c r="AJ583">
        <v>91.7342716592903</v>
      </c>
      <c r="AK583">
        <v>33.201552402835901</v>
      </c>
      <c r="AL583">
        <v>80.736170545848907</v>
      </c>
      <c r="AM583">
        <v>90.811088633116299</v>
      </c>
      <c r="AN583">
        <v>1.00000005126563</v>
      </c>
    </row>
    <row r="584" spans="1:40" x14ac:dyDescent="0.25">
      <c r="A584" t="str">
        <f>"20190303161853142"</f>
        <v>20190303161853142</v>
      </c>
      <c r="B584" t="str">
        <f>"1551601133133078"</f>
        <v>1551601133133078</v>
      </c>
      <c r="C584" t="s">
        <v>40</v>
      </c>
      <c r="D584">
        <v>4.3886279999999998</v>
      </c>
      <c r="E584">
        <v>0.49429580000000001</v>
      </c>
      <c r="F584" t="s">
        <v>41</v>
      </c>
      <c r="G584">
        <v>-351.38529999999997</v>
      </c>
      <c r="H584" s="1">
        <v>-3.9694940000000001E-6</v>
      </c>
      <c r="I584">
        <v>367.97320000000002</v>
      </c>
      <c r="J584">
        <v>-384.68529999999998</v>
      </c>
      <c r="K584">
        <v>1.121148</v>
      </c>
      <c r="L584">
        <v>366.976</v>
      </c>
      <c r="M584">
        <v>0.99992939999999997</v>
      </c>
      <c r="N584">
        <v>-1.187682E-2</v>
      </c>
      <c r="O584">
        <v>-6.0767839999999998E-4</v>
      </c>
      <c r="P584">
        <v>0.98869759999999995</v>
      </c>
      <c r="Q584">
        <v>0.14932179999999901</v>
      </c>
      <c r="R584">
        <v>1.34277999999999E-2</v>
      </c>
      <c r="S584">
        <v>3.0484619999999998</v>
      </c>
      <c r="T584">
        <v>-0.1021262</v>
      </c>
      <c r="U584">
        <v>9.0820310000000001E-2</v>
      </c>
      <c r="V584">
        <v>-1.4022659999999999E-2</v>
      </c>
      <c r="W584">
        <v>0.16105420000000001</v>
      </c>
      <c r="X584">
        <v>0.98684590000000005</v>
      </c>
      <c r="Y584">
        <v>-3.0363210000000002E-2</v>
      </c>
      <c r="Z584">
        <v>7.018991E-4</v>
      </c>
      <c r="AA584">
        <v>0.9995387</v>
      </c>
      <c r="AB584">
        <v>29</v>
      </c>
      <c r="AC584">
        <v>33.299999999999997</v>
      </c>
      <c r="AD584">
        <v>-1.121151969494</v>
      </c>
      <c r="AE584">
        <v>0.99720000000001996</v>
      </c>
      <c r="AF584">
        <v>-1.01628595326405</v>
      </c>
      <c r="AG584">
        <v>-1.121151969494</v>
      </c>
      <c r="AH584">
        <v>33.261717807522999</v>
      </c>
      <c r="AI584">
        <v>91.929636806864394</v>
      </c>
      <c r="AJ584">
        <v>91.750083573955393</v>
      </c>
      <c r="AK584">
        <v>33.296121251352901</v>
      </c>
      <c r="AL584">
        <v>80.731908584821795</v>
      </c>
      <c r="AM584">
        <v>90.814093839193305</v>
      </c>
      <c r="AN584">
        <v>0.99999996033896199</v>
      </c>
    </row>
    <row r="585" spans="1:40" x14ac:dyDescent="0.25">
      <c r="A585" t="str">
        <f>"20190303161853159"</f>
        <v>20190303161853159</v>
      </c>
      <c r="B585" t="str">
        <f>"1551601133153573"</f>
        <v>1551601133153573</v>
      </c>
      <c r="C585" t="s">
        <v>40</v>
      </c>
      <c r="D585">
        <v>4.4059419999999996</v>
      </c>
      <c r="E585">
        <v>0.49432979999999999</v>
      </c>
      <c r="F585" t="s">
        <v>41</v>
      </c>
      <c r="G585">
        <v>-350.88569999999999</v>
      </c>
      <c r="H585" s="1">
        <v>-4.182609E-6</v>
      </c>
      <c r="I585">
        <v>367.98</v>
      </c>
      <c r="J585">
        <v>-384.47489999999999</v>
      </c>
      <c r="K585">
        <v>1.121151</v>
      </c>
      <c r="L585">
        <v>366.97590000000002</v>
      </c>
      <c r="M585">
        <v>0.99992939999999997</v>
      </c>
      <c r="N585">
        <v>-1.1881299999999999E-2</v>
      </c>
      <c r="O585">
        <v>-6.0770520000000001E-4</v>
      </c>
      <c r="P585">
        <v>0.9887087</v>
      </c>
      <c r="Q585">
        <v>0.1491944</v>
      </c>
      <c r="R585">
        <v>1.4010180000000001E-2</v>
      </c>
      <c r="S585">
        <v>3.04834</v>
      </c>
      <c r="T585">
        <v>-0.1011147</v>
      </c>
      <c r="U585">
        <v>9.0545650000000005E-2</v>
      </c>
      <c r="V585">
        <v>-1.4604580000000001E-2</v>
      </c>
      <c r="W585">
        <v>0.160931399999999</v>
      </c>
      <c r="X585">
        <v>0.98685750000000005</v>
      </c>
      <c r="Y585">
        <v>-3.0274909999999999E-2</v>
      </c>
      <c r="Z585">
        <v>6.9476339999999996E-4</v>
      </c>
      <c r="AA585">
        <v>0.99954129999999997</v>
      </c>
      <c r="AB585">
        <v>29</v>
      </c>
      <c r="AC585">
        <v>33.589199999999998</v>
      </c>
      <c r="AD585">
        <v>-1.121155182609</v>
      </c>
      <c r="AE585">
        <v>1.00409999999999</v>
      </c>
      <c r="AF585">
        <v>-1.02337443910909</v>
      </c>
      <c r="AG585">
        <v>-1.121155182609</v>
      </c>
      <c r="AH585">
        <v>33.551236812661699</v>
      </c>
      <c r="AI585">
        <v>91.913006619569401</v>
      </c>
      <c r="AJ585">
        <v>91.747084995793799</v>
      </c>
      <c r="AK585">
        <v>33.585559037262101</v>
      </c>
      <c r="AL585">
        <v>80.739037564277197</v>
      </c>
      <c r="AM585">
        <v>90.847862751261999</v>
      </c>
      <c r="AN585">
        <v>0.99999996728459195</v>
      </c>
    </row>
    <row r="586" spans="1:40" x14ac:dyDescent="0.25">
      <c r="A586" t="str">
        <f>"20190303161853171"</f>
        <v>20190303161853171</v>
      </c>
      <c r="B586" t="str">
        <f>"1551601133163333"</f>
        <v>1551601133163333</v>
      </c>
      <c r="C586" t="s">
        <v>40</v>
      </c>
      <c r="D586">
        <v>4.4188190000000001</v>
      </c>
      <c r="E586">
        <v>0.4943864</v>
      </c>
      <c r="F586" t="s">
        <v>41</v>
      </c>
      <c r="G586">
        <v>-350.34809999999999</v>
      </c>
      <c r="H586" s="1">
        <v>-4.4079830000000001E-6</v>
      </c>
      <c r="I586">
        <v>368.0095</v>
      </c>
      <c r="J586">
        <v>-384.32170000000002</v>
      </c>
      <c r="K586">
        <v>1.1211519999999999</v>
      </c>
      <c r="L586">
        <v>366.97579999999999</v>
      </c>
      <c r="M586">
        <v>0.99992939999999997</v>
      </c>
      <c r="N586">
        <v>-1.188434E-2</v>
      </c>
      <c r="O586">
        <v>-6.0772319999999997E-4</v>
      </c>
      <c r="P586">
        <v>0.98872870000000002</v>
      </c>
      <c r="Q586">
        <v>0.14907419999999999</v>
      </c>
      <c r="R586">
        <v>1.3883660000000001E-2</v>
      </c>
      <c r="S586">
        <v>3.0480960000000001</v>
      </c>
      <c r="T586">
        <v>-0.1001379</v>
      </c>
      <c r="U586">
        <v>9.2315670000000002E-2</v>
      </c>
      <c r="V586">
        <v>-1.447827E-2</v>
      </c>
      <c r="W586">
        <v>0.1608147</v>
      </c>
      <c r="X586">
        <v>0.98687840000000004</v>
      </c>
      <c r="Y586">
        <v>-3.0857160000000002E-2</v>
      </c>
      <c r="Z586">
        <v>7.0282649999999999E-4</v>
      </c>
      <c r="AA586">
        <v>0.99952359999999896</v>
      </c>
      <c r="AB586">
        <v>29</v>
      </c>
      <c r="AC586">
        <v>33.973599999999998</v>
      </c>
      <c r="AD586">
        <v>-1.1211564079829901</v>
      </c>
      <c r="AE586">
        <v>1.0337000000000101</v>
      </c>
      <c r="AF586">
        <v>-1.0532018754758199</v>
      </c>
      <c r="AG586">
        <v>-1.1211564079829901</v>
      </c>
      <c r="AH586">
        <v>33.936041491732297</v>
      </c>
      <c r="AI586">
        <v>91.891301758802896</v>
      </c>
      <c r="AJ586">
        <v>91.777598600722897</v>
      </c>
      <c r="AK586">
        <v>33.970886623846603</v>
      </c>
      <c r="AL586">
        <v>80.745812360515202</v>
      </c>
      <c r="AM586">
        <v>90.840513135818</v>
      </c>
      <c r="AN586">
        <v>0.99999998221242103</v>
      </c>
    </row>
    <row r="587" spans="1:40" x14ac:dyDescent="0.25">
      <c r="A587" t="str">
        <f>"20190303161853183"</f>
        <v>20190303161853183</v>
      </c>
      <c r="B587" t="str">
        <f>"1551601133173093"</f>
        <v>1551601133173093</v>
      </c>
      <c r="C587" t="s">
        <v>40</v>
      </c>
      <c r="D587">
        <v>4.3669669999999998</v>
      </c>
      <c r="E587">
        <v>0.49441160000000001</v>
      </c>
      <c r="F587" t="s">
        <v>41</v>
      </c>
      <c r="G587">
        <v>-350.17189999999999</v>
      </c>
      <c r="H587" s="1">
        <v>-4.485144E-6</v>
      </c>
      <c r="I587">
        <v>368.00049999999999</v>
      </c>
      <c r="J587">
        <v>-384.15800000000002</v>
      </c>
      <c r="K587">
        <v>1.1211530000000001</v>
      </c>
      <c r="L587">
        <v>366.97570000000002</v>
      </c>
      <c r="M587">
        <v>0.99992910000000002</v>
      </c>
      <c r="N587">
        <v>-1.1887399999999999E-2</v>
      </c>
      <c r="O587">
        <v>-6.0738380000000002E-4</v>
      </c>
      <c r="P587">
        <v>0.98874859999999998</v>
      </c>
      <c r="Q587">
        <v>0.14894549999999901</v>
      </c>
      <c r="R587">
        <v>1.384415E-2</v>
      </c>
      <c r="S587">
        <v>3.0480040000000002</v>
      </c>
      <c r="T587">
        <v>-0.10006760000000001</v>
      </c>
      <c r="U587">
        <v>9.1461180000000003E-2</v>
      </c>
      <c r="V587">
        <v>-1.443857E-2</v>
      </c>
      <c r="W587">
        <v>0.160689</v>
      </c>
      <c r="X587">
        <v>0.98689950000000004</v>
      </c>
      <c r="Y587">
        <v>-3.0577989999999999E-2</v>
      </c>
      <c r="Z587">
        <v>6.9627169999999996E-4</v>
      </c>
      <c r="AA587">
        <v>0.99953219999999998</v>
      </c>
      <c r="AB587">
        <v>29</v>
      </c>
      <c r="AC587">
        <v>33.9861</v>
      </c>
      <c r="AD587">
        <v>-1.121157485144</v>
      </c>
      <c r="AE587">
        <v>1.02479999999997</v>
      </c>
      <c r="AF587">
        <v>-1.04430843610654</v>
      </c>
      <c r="AG587">
        <v>-1.121157485144</v>
      </c>
      <c r="AH587">
        <v>33.948560117523797</v>
      </c>
      <c r="AI587">
        <v>91.890622602354</v>
      </c>
      <c r="AJ587">
        <v>91.761948171666802</v>
      </c>
      <c r="AK587">
        <v>33.983117989221398</v>
      </c>
      <c r="AL587">
        <v>80.753109738101898</v>
      </c>
      <c r="AM587">
        <v>90.838190825773694</v>
      </c>
      <c r="AN587">
        <v>1.0000000250624399</v>
      </c>
    </row>
    <row r="588" spans="1:40" x14ac:dyDescent="0.25">
      <c r="A588" t="str">
        <f>"20190303161853204"</f>
        <v>20190303161853204</v>
      </c>
      <c r="B588" t="str">
        <f>"1551601133193589"</f>
        <v>1551601133193589</v>
      </c>
      <c r="C588" t="s">
        <v>40</v>
      </c>
      <c r="D588">
        <v>4.374987</v>
      </c>
      <c r="E588">
        <v>0.49448920000000002</v>
      </c>
      <c r="F588" t="s">
        <v>41</v>
      </c>
      <c r="G588">
        <v>-349.88279999999997</v>
      </c>
      <c r="H588" s="1">
        <v>-4.5972980000000002E-7</v>
      </c>
      <c r="I588">
        <v>367.99849999999998</v>
      </c>
      <c r="J588">
        <v>-383.89179999999999</v>
      </c>
      <c r="K588">
        <v>1.1211530000000001</v>
      </c>
      <c r="L588">
        <v>366.97559999999999</v>
      </c>
      <c r="M588">
        <v>0.99992919999999996</v>
      </c>
      <c r="N588">
        <v>-1.1891850000000001E-2</v>
      </c>
      <c r="O588">
        <v>-6.0741029999999995E-4</v>
      </c>
      <c r="P588">
        <v>0.98876580000000003</v>
      </c>
      <c r="Q588">
        <v>0.148819799999999</v>
      </c>
      <c r="R588">
        <v>1.3969580000000001E-2</v>
      </c>
      <c r="S588">
        <v>3.0478209999999999</v>
      </c>
      <c r="T588">
        <v>-9.9695210000000006E-2</v>
      </c>
      <c r="U588">
        <v>9.0942380000000003E-2</v>
      </c>
      <c r="V588">
        <v>-1.456404E-2</v>
      </c>
      <c r="W588">
        <v>0.16056809999999999</v>
      </c>
      <c r="X588">
        <v>0.9869173</v>
      </c>
      <c r="Y588">
        <v>-3.0410099999999999E-2</v>
      </c>
      <c r="Z588">
        <v>6.9068560000000001E-4</v>
      </c>
      <c r="AA588">
        <v>0.99953729999999996</v>
      </c>
      <c r="AB588">
        <v>29</v>
      </c>
      <c r="AC588">
        <v>34.009</v>
      </c>
      <c r="AD588">
        <v>-1.1211534597298001</v>
      </c>
      <c r="AE588">
        <v>1.0228999999999899</v>
      </c>
      <c r="AF588">
        <v>-1.0424268203384199</v>
      </c>
      <c r="AG588">
        <v>-1.1211534597298001</v>
      </c>
      <c r="AH588">
        <v>33.971486134048398</v>
      </c>
      <c r="AI588">
        <v>91.889345254914701</v>
      </c>
      <c r="AJ588">
        <v>91.757589337927996</v>
      </c>
      <c r="AK588">
        <v>34.005962843475999</v>
      </c>
      <c r="AL588">
        <v>80.760127616735602</v>
      </c>
      <c r="AM588">
        <v>90.845458336464702</v>
      </c>
      <c r="AN588">
        <v>0.99999999151900998</v>
      </c>
    </row>
    <row r="589" spans="1:40" x14ac:dyDescent="0.25">
      <c r="A589" t="str">
        <f>"20190303161853216"</f>
        <v>20190303161853216</v>
      </c>
      <c r="B589" t="str">
        <f>"1551601133203349"</f>
        <v>1551601133203349</v>
      </c>
      <c r="C589" t="s">
        <v>40</v>
      </c>
      <c r="D589">
        <v>4.3676059999999897</v>
      </c>
      <c r="E589">
        <v>0.49451790000000001</v>
      </c>
      <c r="F589" t="s">
        <v>41</v>
      </c>
      <c r="G589">
        <v>-349.27100000000002</v>
      </c>
      <c r="H589" s="1">
        <v>-6.9415969999999999E-7</v>
      </c>
      <c r="I589">
        <v>368.00029999999998</v>
      </c>
      <c r="J589">
        <v>-383.74110000000002</v>
      </c>
      <c r="K589">
        <v>1.1211519999999999</v>
      </c>
      <c r="L589">
        <v>366.97550000000001</v>
      </c>
      <c r="M589">
        <v>0.99992910000000002</v>
      </c>
      <c r="N589">
        <v>-1.1894129999999999E-2</v>
      </c>
      <c r="O589">
        <v>-6.0742399999999996E-4</v>
      </c>
      <c r="P589">
        <v>0.98876600000000003</v>
      </c>
      <c r="Q589">
        <v>0.1487945</v>
      </c>
      <c r="R589">
        <v>1.421189E-2</v>
      </c>
      <c r="S589">
        <v>3.0476990000000002</v>
      </c>
      <c r="T589">
        <v>-9.8695870000000005E-2</v>
      </c>
      <c r="U589">
        <v>9.0209960000000006E-2</v>
      </c>
      <c r="V589">
        <v>-1.4806450000000001E-2</v>
      </c>
      <c r="W589">
        <v>0.16054499999999999</v>
      </c>
      <c r="X589">
        <v>0.98691739999999994</v>
      </c>
      <c r="Y589">
        <v>-3.0171860000000002E-2</v>
      </c>
      <c r="Z589">
        <v>6.8028700000000001E-4</v>
      </c>
      <c r="AA589">
        <v>0.99954449999999995</v>
      </c>
      <c r="AB589">
        <v>29</v>
      </c>
      <c r="AC589">
        <v>34.470100000000002</v>
      </c>
      <c r="AD589">
        <v>-1.1211526941596901</v>
      </c>
      <c r="AE589">
        <v>1.02479999999997</v>
      </c>
      <c r="AF589">
        <v>-1.04463511456682</v>
      </c>
      <c r="AG589">
        <v>-1.1211526941596901</v>
      </c>
      <c r="AH589">
        <v>34.433076539195099</v>
      </c>
      <c r="AI589">
        <v>91.864054190893299</v>
      </c>
      <c r="AJ589">
        <v>91.737713743471801</v>
      </c>
      <c r="AK589">
        <v>34.467158366193601</v>
      </c>
      <c r="AL589">
        <v>80.761468076701306</v>
      </c>
      <c r="AM589">
        <v>90.859528319206007</v>
      </c>
      <c r="AN589">
        <v>0.99999994120467905</v>
      </c>
    </row>
    <row r="590" spans="1:40" x14ac:dyDescent="0.25">
      <c r="A590" t="str">
        <f>"20190303161853227"</f>
        <v>20190303161853227</v>
      </c>
      <c r="B590" t="str">
        <f>"1551601133223846"</f>
        <v>1551601133223846</v>
      </c>
      <c r="C590" t="s">
        <v>40</v>
      </c>
      <c r="D590">
        <v>4.353205</v>
      </c>
      <c r="E590">
        <v>0.49460880000000002</v>
      </c>
      <c r="F590" t="s">
        <v>41</v>
      </c>
      <c r="G590">
        <v>-348.86189999999999</v>
      </c>
      <c r="H590" s="1">
        <v>-8.4736380000000001E-7</v>
      </c>
      <c r="I590">
        <v>368.01499999999999</v>
      </c>
      <c r="J590">
        <v>-383.58909999999997</v>
      </c>
      <c r="K590">
        <v>1.1211519999999999</v>
      </c>
      <c r="L590">
        <v>366.97539999999998</v>
      </c>
      <c r="M590">
        <v>0.99992910000000002</v>
      </c>
      <c r="N590">
        <v>-1.189638E-2</v>
      </c>
      <c r="O590">
        <v>-6.0743750000000001E-4</v>
      </c>
      <c r="P590">
        <v>0.98878270000000001</v>
      </c>
      <c r="Q590">
        <v>0.1486924</v>
      </c>
      <c r="R590">
        <v>1.412278E-2</v>
      </c>
      <c r="S590">
        <v>3.0475159999999999</v>
      </c>
      <c r="T590">
        <v>-9.7958799999999999E-2</v>
      </c>
      <c r="U590">
        <v>9.0820310000000001E-2</v>
      </c>
      <c r="V590">
        <v>-1.4717279999999999E-2</v>
      </c>
      <c r="W590">
        <v>0.1604457</v>
      </c>
      <c r="X590">
        <v>0.98693500000000001</v>
      </c>
      <c r="Y590">
        <v>-3.0373799999999999E-2</v>
      </c>
      <c r="Z590">
        <v>6.8100240000000002E-4</v>
      </c>
      <c r="AA590">
        <v>0.99953840000000005</v>
      </c>
      <c r="AB590">
        <v>29</v>
      </c>
      <c r="AC590">
        <v>34.727199999999897</v>
      </c>
      <c r="AD590">
        <v>-1.1211528473637999</v>
      </c>
      <c r="AE590">
        <v>1.0396000000000001</v>
      </c>
      <c r="AF590">
        <v>-1.0595924858329</v>
      </c>
      <c r="AG590">
        <v>-1.1211528473637999</v>
      </c>
      <c r="AH590">
        <v>34.690436806469798</v>
      </c>
      <c r="AI590">
        <v>91.850223518669594</v>
      </c>
      <c r="AJ590">
        <v>91.749511212435394</v>
      </c>
      <c r="AK590">
        <v>34.724719232369097</v>
      </c>
      <c r="AL590">
        <v>80.767233355606294</v>
      </c>
      <c r="AM590">
        <v>90.854337453202803</v>
      </c>
      <c r="AN590">
        <v>1.00000005760204</v>
      </c>
    </row>
    <row r="591" spans="1:40" x14ac:dyDescent="0.25">
      <c r="A591" t="str">
        <f>"20190303161853242"</f>
        <v>20190303161853242</v>
      </c>
      <c r="B591" t="str">
        <f>"1551601133233605"</f>
        <v>1551601133233605</v>
      </c>
      <c r="C591" t="s">
        <v>40</v>
      </c>
      <c r="D591">
        <v>4.3631789999999997</v>
      </c>
      <c r="E591">
        <v>0.49464409999999998</v>
      </c>
      <c r="F591" t="s">
        <v>41</v>
      </c>
      <c r="G591">
        <v>-348.2448</v>
      </c>
      <c r="H591" s="1">
        <v>-1.0939799999999999E-6</v>
      </c>
      <c r="I591">
        <v>368.01639999999998</v>
      </c>
      <c r="J591">
        <v>-383.38929999999999</v>
      </c>
      <c r="K591">
        <v>1.1211469999999999</v>
      </c>
      <c r="L591">
        <v>366.9753</v>
      </c>
      <c r="M591">
        <v>0.99992910000000002</v>
      </c>
      <c r="N591">
        <v>-1.1899079999999999E-2</v>
      </c>
      <c r="O591">
        <v>-6.0721519999999999E-4</v>
      </c>
      <c r="P591">
        <v>0.98880670000000004</v>
      </c>
      <c r="Q591">
        <v>0.14852670000000001</v>
      </c>
      <c r="R591">
        <v>1.4190970000000001E-2</v>
      </c>
      <c r="S591">
        <v>3.0473020000000002</v>
      </c>
      <c r="T591">
        <v>-9.6663360000000004E-2</v>
      </c>
      <c r="U591">
        <v>8.9752199999999893E-2</v>
      </c>
      <c r="V591">
        <v>-1.478497E-2</v>
      </c>
      <c r="W591">
        <v>0.16028239999999999</v>
      </c>
      <c r="X591">
        <v>0.98696050000000002</v>
      </c>
      <c r="Y591">
        <v>-3.002635E-2</v>
      </c>
      <c r="Z591">
        <v>6.6678889999999995E-4</v>
      </c>
      <c r="AA591">
        <v>0.99954889999999996</v>
      </c>
      <c r="AB591">
        <v>29</v>
      </c>
      <c r="AC591">
        <v>35.144499999999901</v>
      </c>
      <c r="AD591">
        <v>-1.12114809397999</v>
      </c>
      <c r="AE591">
        <v>1.0410999999999699</v>
      </c>
      <c r="AF591">
        <v>-1.06136241159582</v>
      </c>
      <c r="AG591">
        <v>-1.12114809397999</v>
      </c>
      <c r="AH591">
        <v>35.108163754697202</v>
      </c>
      <c r="AI591">
        <v>91.828233676699895</v>
      </c>
      <c r="AJ591">
        <v>91.731593583920699</v>
      </c>
      <c r="AK591">
        <v>35.142091933236102</v>
      </c>
      <c r="AL591">
        <v>80.776712232076903</v>
      </c>
      <c r="AM591">
        <v>90.858244096652101</v>
      </c>
      <c r="AN591">
        <v>1.00000003582395</v>
      </c>
    </row>
    <row r="592" spans="1:40" x14ac:dyDescent="0.25">
      <c r="A592" t="str">
        <f>"20190303161853261"</f>
        <v>20190303161853261</v>
      </c>
      <c r="B592" t="str">
        <f>"1551601133253125"</f>
        <v>1551601133253125</v>
      </c>
      <c r="C592" t="s">
        <v>40</v>
      </c>
      <c r="D592">
        <v>4.4079129999999997</v>
      </c>
      <c r="E592">
        <v>0.49473309999999998</v>
      </c>
      <c r="F592" t="s">
        <v>41</v>
      </c>
      <c r="G592">
        <v>-348.0317</v>
      </c>
      <c r="H592" s="1">
        <v>-1.194462E-6</v>
      </c>
      <c r="I592">
        <v>368.01780000000002</v>
      </c>
      <c r="J592">
        <v>-383.14249999999998</v>
      </c>
      <c r="K592">
        <v>1.121143</v>
      </c>
      <c r="L592">
        <v>366.9751</v>
      </c>
      <c r="M592">
        <v>0.99992899999999996</v>
      </c>
      <c r="N592">
        <v>-1.1902090000000001E-2</v>
      </c>
      <c r="O592">
        <v>-6.0699479999999997E-4</v>
      </c>
      <c r="P592">
        <v>0.98876540000000002</v>
      </c>
      <c r="Q592">
        <v>0.14873529999999999</v>
      </c>
      <c r="R592">
        <v>1.486997E-2</v>
      </c>
      <c r="S592">
        <v>3.0472109999999999</v>
      </c>
      <c r="T592">
        <v>-9.6623539999999994E-2</v>
      </c>
      <c r="U592">
        <v>8.984375E-2</v>
      </c>
      <c r="V592">
        <v>-1.546401E-2</v>
      </c>
      <c r="W592">
        <v>0.1604932</v>
      </c>
      <c r="X592">
        <v>0.98691580000000001</v>
      </c>
      <c r="Y592">
        <v>-3.0057009999999999E-2</v>
      </c>
      <c r="Z592">
        <v>6.6730710000000005E-4</v>
      </c>
      <c r="AA592">
        <v>0.99954799999999999</v>
      </c>
      <c r="AB592">
        <v>29</v>
      </c>
      <c r="AC592">
        <v>35.110799999999898</v>
      </c>
      <c r="AD592">
        <v>-1.121144194462</v>
      </c>
      <c r="AE592">
        <v>1.0427000000000199</v>
      </c>
      <c r="AF592">
        <v>-1.0629305521326999</v>
      </c>
      <c r="AG592">
        <v>-1.121144194462</v>
      </c>
      <c r="AH592">
        <v>35.074429236527997</v>
      </c>
      <c r="AI592">
        <v>91.829980432173798</v>
      </c>
      <c r="AJ592">
        <v>91.735817298469996</v>
      </c>
      <c r="AK592">
        <v>35.1084373325222</v>
      </c>
      <c r="AL592">
        <v>80.764475533456704</v>
      </c>
      <c r="AM592">
        <v>90.897695635655396</v>
      </c>
      <c r="AN592">
        <v>0.99999999957057994</v>
      </c>
    </row>
    <row r="593" spans="1:40" x14ac:dyDescent="0.25">
      <c r="A593" t="str">
        <f>"20190303161853276"</f>
        <v>20190303161853276</v>
      </c>
      <c r="B593" t="str">
        <f>"1551601133263861"</f>
        <v>1551601133263861</v>
      </c>
      <c r="C593" t="s">
        <v>40</v>
      </c>
      <c r="D593">
        <v>4.3678080000000001</v>
      </c>
      <c r="E593">
        <v>0.49475720000000001</v>
      </c>
      <c r="F593" t="s">
        <v>41</v>
      </c>
      <c r="G593">
        <v>-346.97059999999999</v>
      </c>
      <c r="H593" s="1">
        <v>-1.6894859999999999E-6</v>
      </c>
      <c r="I593">
        <v>368.05470000000003</v>
      </c>
      <c r="J593">
        <v>-382.95269999999999</v>
      </c>
      <c r="K593">
        <v>1.121138</v>
      </c>
      <c r="L593">
        <v>366.97500000000002</v>
      </c>
      <c r="M593">
        <v>0.99992910000000002</v>
      </c>
      <c r="N593">
        <v>-1.190421E-2</v>
      </c>
      <c r="O593">
        <v>-6.0724599999999998E-4</v>
      </c>
      <c r="P593">
        <v>0.98875119999999905</v>
      </c>
      <c r="Q593">
        <v>0.14880380000000001</v>
      </c>
      <c r="R593">
        <v>1.5116900000000001E-2</v>
      </c>
      <c r="S593">
        <v>3.0469360000000001</v>
      </c>
      <c r="T593">
        <v>-9.4439510000000004E-2</v>
      </c>
      <c r="U593">
        <v>9.0942380000000003E-2</v>
      </c>
      <c r="V593">
        <v>-1.5710890000000002E-2</v>
      </c>
      <c r="W593">
        <v>0.16056379999999901</v>
      </c>
      <c r="X593">
        <v>0.98690040000000001</v>
      </c>
      <c r="Y593">
        <v>-3.0420570000000001E-2</v>
      </c>
      <c r="Z593">
        <v>6.6398309999999997E-4</v>
      </c>
      <c r="AA593">
        <v>0.99953700000000001</v>
      </c>
      <c r="AB593">
        <v>29</v>
      </c>
      <c r="AC593">
        <v>35.982100000000003</v>
      </c>
      <c r="AD593">
        <v>-1.121139689486</v>
      </c>
      <c r="AE593">
        <v>1.0797000000000001</v>
      </c>
      <c r="AF593">
        <v>-1.1004839027605799</v>
      </c>
      <c r="AG593">
        <v>-1.121139689486</v>
      </c>
      <c r="AH593">
        <v>35.946570798188503</v>
      </c>
      <c r="AI593">
        <v>91.785586274754294</v>
      </c>
      <c r="AJ593">
        <v>91.753530142720606</v>
      </c>
      <c r="AK593">
        <v>35.980883412900702</v>
      </c>
      <c r="AL593">
        <v>80.760377145316795</v>
      </c>
      <c r="AM593">
        <v>90.912039004474593</v>
      </c>
      <c r="AN593">
        <v>0.99999998272759505</v>
      </c>
    </row>
    <row r="594" spans="1:40" x14ac:dyDescent="0.25">
      <c r="A594" t="str">
        <f>"20190303161853293"</f>
        <v>20190303161853293</v>
      </c>
      <c r="B594" t="str">
        <f>"1551601133283381"</f>
        <v>1551601133283381</v>
      </c>
      <c r="C594" t="s">
        <v>40</v>
      </c>
      <c r="D594">
        <v>4.3713389999999999</v>
      </c>
      <c r="E594">
        <v>0.49477759999999998</v>
      </c>
      <c r="F594" t="s">
        <v>41</v>
      </c>
      <c r="G594">
        <v>-346.42469999999997</v>
      </c>
      <c r="H594" s="1">
        <v>-1.9445510000000001E-6</v>
      </c>
      <c r="I594">
        <v>368.07159999999999</v>
      </c>
      <c r="J594">
        <v>-382.72910000000002</v>
      </c>
      <c r="K594">
        <v>1.12114</v>
      </c>
      <c r="L594">
        <v>366.97489999999999</v>
      </c>
      <c r="M594">
        <v>0.99992899999999996</v>
      </c>
      <c r="N594">
        <v>-1.190653E-2</v>
      </c>
      <c r="O594">
        <v>-6.0702140000000004E-4</v>
      </c>
      <c r="P594">
        <v>0.9887283</v>
      </c>
      <c r="Q594">
        <v>0.1489415</v>
      </c>
      <c r="R594">
        <v>1.5254429999999999E-2</v>
      </c>
      <c r="S594">
        <v>3.0467529999999998</v>
      </c>
      <c r="T594">
        <v>-9.3512890000000001E-2</v>
      </c>
      <c r="U594">
        <v>9.1461180000000003E-2</v>
      </c>
      <c r="V594">
        <v>-1.584841E-2</v>
      </c>
      <c r="W594">
        <v>0.1607036</v>
      </c>
      <c r="X594">
        <v>0.98687550000000002</v>
      </c>
      <c r="Y594">
        <v>-3.059241E-2</v>
      </c>
      <c r="Z594">
        <v>6.6289399999999905E-4</v>
      </c>
      <c r="AA594">
        <v>0.99953170000000002</v>
      </c>
      <c r="AB594">
        <v>29</v>
      </c>
      <c r="AC594">
        <v>36.304400000000001</v>
      </c>
      <c r="AD594">
        <v>-1.121141944551</v>
      </c>
      <c r="AE594">
        <v>1.09669999999999</v>
      </c>
      <c r="AF594">
        <v>-1.11767397483743</v>
      </c>
      <c r="AG594">
        <v>-1.121141944551</v>
      </c>
      <c r="AH594">
        <v>36.269169896610698</v>
      </c>
      <c r="AI594">
        <v>91.769706989403403</v>
      </c>
      <c r="AJ594">
        <v>91.765073270851005</v>
      </c>
      <c r="AK594">
        <v>36.303702832673601</v>
      </c>
      <c r="AL594">
        <v>80.752262305534799</v>
      </c>
      <c r="AM594">
        <v>90.920044074593903</v>
      </c>
      <c r="AN594">
        <v>1.0000000358263601</v>
      </c>
    </row>
    <row r="595" spans="1:40" x14ac:dyDescent="0.25">
      <c r="A595" t="str">
        <f>"20190303161853305"</f>
        <v>20190303161853305</v>
      </c>
      <c r="B595" t="str">
        <f>"1551601133293141"</f>
        <v>1551601133293141</v>
      </c>
      <c r="C595" t="s">
        <v>40</v>
      </c>
      <c r="D595">
        <v>4.3944000000000001</v>
      </c>
      <c r="E595">
        <v>0.49482419999999999</v>
      </c>
      <c r="F595" t="s">
        <v>41</v>
      </c>
      <c r="G595">
        <v>-345.63080000000002</v>
      </c>
      <c r="H595" s="1">
        <v>-2.3158220000000001E-6</v>
      </c>
      <c r="I595">
        <v>368.0942</v>
      </c>
      <c r="J595">
        <v>-382.56599999999997</v>
      </c>
      <c r="K595">
        <v>1.12114</v>
      </c>
      <c r="L595">
        <v>366.97480000000002</v>
      </c>
      <c r="M595">
        <v>0.99992899999999996</v>
      </c>
      <c r="N595">
        <v>-1.1908139999999999E-2</v>
      </c>
      <c r="O595">
        <v>-6.0691179999999996E-4</v>
      </c>
      <c r="P595">
        <v>0.98872210000000005</v>
      </c>
      <c r="Q595">
        <v>0.14898429999999999</v>
      </c>
      <c r="R595">
        <v>1.5249739999999999E-2</v>
      </c>
      <c r="S595">
        <v>3.0466920000000002</v>
      </c>
      <c r="T595">
        <v>-9.2073799999999997E-2</v>
      </c>
      <c r="U595">
        <v>9.1918949999999999E-2</v>
      </c>
      <c r="V595">
        <v>-1.5843579999999999E-2</v>
      </c>
      <c r="W595">
        <v>0.1607479</v>
      </c>
      <c r="X595">
        <v>0.98686830000000003</v>
      </c>
      <c r="Y595">
        <v>-3.0743380000000001E-2</v>
      </c>
      <c r="Z595">
        <v>6.5859770000000005E-4</v>
      </c>
      <c r="AA595">
        <v>0.9995271</v>
      </c>
      <c r="AB595">
        <v>29</v>
      </c>
      <c r="AC595">
        <v>36.935199999999902</v>
      </c>
      <c r="AD595">
        <v>-1.121142315822</v>
      </c>
      <c r="AE595">
        <v>1.11939999999998</v>
      </c>
      <c r="AF595">
        <v>-1.1407676697648601</v>
      </c>
      <c r="AG595">
        <v>-1.121142315822</v>
      </c>
      <c r="AH595">
        <v>36.900545406849403</v>
      </c>
      <c r="AI595">
        <v>91.739441014422397</v>
      </c>
      <c r="AJ595">
        <v>91.770715360852904</v>
      </c>
      <c r="AK595">
        <v>36.935194087640397</v>
      </c>
      <c r="AL595">
        <v>80.749690091741797</v>
      </c>
      <c r="AM595">
        <v>90.919770437163905</v>
      </c>
      <c r="AN595">
        <v>0.99999997396325702</v>
      </c>
    </row>
    <row r="596" spans="1:40" x14ac:dyDescent="0.25">
      <c r="A596" t="str">
        <f>"20190303161853318"</f>
        <v>20190303161853318</v>
      </c>
      <c r="B596" t="str">
        <f>"1551601133313638"</f>
        <v>1551601133313638</v>
      </c>
      <c r="C596" t="s">
        <v>40</v>
      </c>
      <c r="D596">
        <v>4.3975669999999996</v>
      </c>
      <c r="E596">
        <v>0.49489460000000002</v>
      </c>
      <c r="F596" t="s">
        <v>41</v>
      </c>
      <c r="G596">
        <v>-345.19009999999997</v>
      </c>
      <c r="H596" s="1">
        <v>-2.5242130000000001E-6</v>
      </c>
      <c r="I596">
        <v>368.09390000000002</v>
      </c>
      <c r="J596">
        <v>-382.38850000000002</v>
      </c>
      <c r="K596">
        <v>1.121143</v>
      </c>
      <c r="L596">
        <v>366.97469999999998</v>
      </c>
      <c r="M596">
        <v>0.99992899999999996</v>
      </c>
      <c r="N596">
        <v>-1.190973E-2</v>
      </c>
      <c r="O596">
        <v>-6.0692129999999995E-4</v>
      </c>
      <c r="P596">
        <v>0.98873509999999998</v>
      </c>
      <c r="Q596">
        <v>0.14891279999999901</v>
      </c>
      <c r="R596">
        <v>1.5106730000000001E-2</v>
      </c>
      <c r="S596">
        <v>3.04657</v>
      </c>
      <c r="T596">
        <v>-9.1386200000000001E-2</v>
      </c>
      <c r="U596">
        <v>9.1217039999999999E-2</v>
      </c>
      <c r="V596">
        <v>-1.570071E-2</v>
      </c>
      <c r="W596">
        <v>0.16067870000000001</v>
      </c>
      <c r="X596">
        <v>0.98688189999999998</v>
      </c>
      <c r="Y596">
        <v>-3.0514909999999999E-2</v>
      </c>
      <c r="Z596">
        <v>6.5025160000000001E-4</v>
      </c>
      <c r="AA596">
        <v>0.99953409999999998</v>
      </c>
      <c r="AB596">
        <v>29</v>
      </c>
      <c r="AC596">
        <v>37.198399999999999</v>
      </c>
      <c r="AD596">
        <v>-1.121145524213</v>
      </c>
      <c r="AE596">
        <v>1.1192000000000299</v>
      </c>
      <c r="AF596">
        <v>-1.14074258464569</v>
      </c>
      <c r="AG596">
        <v>-1.121145524213</v>
      </c>
      <c r="AH596">
        <v>37.163984732828403</v>
      </c>
      <c r="AI596">
        <v>91.727134984399498</v>
      </c>
      <c r="AJ596">
        <v>91.758132798342999</v>
      </c>
      <c r="AK596">
        <v>37.198387359572301</v>
      </c>
      <c r="AL596">
        <v>80.753707613641396</v>
      </c>
      <c r="AM596">
        <v>90.911465224091799</v>
      </c>
      <c r="AN596">
        <v>1.0000000207379001</v>
      </c>
    </row>
    <row r="597" spans="1:40" x14ac:dyDescent="0.25">
      <c r="A597" t="str">
        <f>"20190303161853331"</f>
        <v>20190303161853331</v>
      </c>
      <c r="B597" t="str">
        <f>"1551601133323397"</f>
        <v>1551601133323397</v>
      </c>
      <c r="C597" t="s">
        <v>40</v>
      </c>
      <c r="D597">
        <v>4.4152820000000004</v>
      </c>
      <c r="E597">
        <v>0.49491629999999998</v>
      </c>
      <c r="F597" t="s">
        <v>41</v>
      </c>
      <c r="G597">
        <v>-344.51089999999999</v>
      </c>
      <c r="H597" s="1">
        <v>-2.844293E-6</v>
      </c>
      <c r="I597">
        <v>368.0994</v>
      </c>
      <c r="J597">
        <v>-382.23230000000001</v>
      </c>
      <c r="K597">
        <v>1.1211439999999999</v>
      </c>
      <c r="L597">
        <v>366.97460000000001</v>
      </c>
      <c r="M597">
        <v>0.99992879999999995</v>
      </c>
      <c r="N597">
        <v>-1.1911059999999999E-2</v>
      </c>
      <c r="O597">
        <v>-6.0669089999999999E-4</v>
      </c>
      <c r="P597">
        <v>0.98869090000000004</v>
      </c>
      <c r="Q597">
        <v>0.1492076</v>
      </c>
      <c r="R597">
        <v>1.5077709999999999E-2</v>
      </c>
      <c r="S597">
        <v>3.0463870000000002</v>
      </c>
      <c r="T597">
        <v>-9.0170500000000001E-2</v>
      </c>
      <c r="U597">
        <v>9.0454099999999996E-2</v>
      </c>
      <c r="V597">
        <v>-1.5671709999999998E-2</v>
      </c>
      <c r="W597">
        <v>0.160973799999999</v>
      </c>
      <c r="X597">
        <v>0.98683419999999999</v>
      </c>
      <c r="Y597">
        <v>-3.0266959999999999E-2</v>
      </c>
      <c r="Z597">
        <v>6.3882469999999999E-4</v>
      </c>
      <c r="AA597">
        <v>0.99954160000000003</v>
      </c>
      <c r="AB597">
        <v>29</v>
      </c>
      <c r="AC597">
        <v>37.721400000000003</v>
      </c>
      <c r="AD597">
        <v>-1.1211468442929999</v>
      </c>
      <c r="AE597">
        <v>1.12479999999999</v>
      </c>
      <c r="AF597">
        <v>-1.1466745946099299</v>
      </c>
      <c r="AG597">
        <v>-1.1211468442929999</v>
      </c>
      <c r="AH597">
        <v>37.687447700404498</v>
      </c>
      <c r="AI597">
        <v>91.703176007549501</v>
      </c>
      <c r="AJ597">
        <v>91.742738140094801</v>
      </c>
      <c r="AK597">
        <v>37.721552818556098</v>
      </c>
      <c r="AL597">
        <v>80.736575993486298</v>
      </c>
      <c r="AM597">
        <v>90.909825953451602</v>
      </c>
      <c r="AN597">
        <v>0.99999995253520002</v>
      </c>
    </row>
    <row r="598" spans="1:40" x14ac:dyDescent="0.25">
      <c r="A598" t="str">
        <f>"20190303161853343"</f>
        <v>20190303161853343</v>
      </c>
      <c r="B598" t="str">
        <f>"1551601133333158"</f>
        <v>1551601133333158</v>
      </c>
      <c r="C598" t="s">
        <v>40</v>
      </c>
      <c r="D598">
        <v>4.4334879999999997</v>
      </c>
      <c r="E598">
        <v>0.49494470000000002</v>
      </c>
      <c r="F598" t="s">
        <v>41</v>
      </c>
      <c r="G598">
        <v>-343.6671</v>
      </c>
      <c r="H598" s="1">
        <v>-3.2402590000000001E-6</v>
      </c>
      <c r="I598">
        <v>368.11590000000001</v>
      </c>
      <c r="J598">
        <v>-382.06380000000001</v>
      </c>
      <c r="K598">
        <v>1.1211500000000001</v>
      </c>
      <c r="L598">
        <v>366.97449999999998</v>
      </c>
      <c r="M598">
        <v>0.99992899999999996</v>
      </c>
      <c r="N598">
        <v>-1.191242E-2</v>
      </c>
      <c r="O598">
        <v>-6.0669900000000004E-4</v>
      </c>
      <c r="P598">
        <v>0.9886452</v>
      </c>
      <c r="Q598">
        <v>0.1495271</v>
      </c>
      <c r="R598">
        <v>1.491282E-2</v>
      </c>
      <c r="S598">
        <v>3.0462340000000001</v>
      </c>
      <c r="T598">
        <v>-8.8558440000000002E-2</v>
      </c>
      <c r="U598">
        <v>9.0148930000000002E-2</v>
      </c>
      <c r="V598">
        <v>-1.550619E-2</v>
      </c>
      <c r="W598">
        <v>0.1612943</v>
      </c>
      <c r="X598">
        <v>0.98678449999999995</v>
      </c>
      <c r="Y598">
        <v>-3.0169040000000001E-2</v>
      </c>
      <c r="Z598">
        <v>6.285377E-4</v>
      </c>
      <c r="AA598">
        <v>0.99954460000000001</v>
      </c>
      <c r="AB598">
        <v>29</v>
      </c>
      <c r="AC598">
        <v>38.396700000000003</v>
      </c>
      <c r="AD598">
        <v>-1.1211532402590001</v>
      </c>
      <c r="AE598">
        <v>1.1414000000000299</v>
      </c>
      <c r="AF598">
        <v>-1.1637053872041001</v>
      </c>
      <c r="AG598">
        <v>-1.1211532402590001</v>
      </c>
      <c r="AH598">
        <v>38.363320946628797</v>
      </c>
      <c r="AI598">
        <v>91.673201397593502</v>
      </c>
      <c r="AJ598">
        <v>91.737466066415607</v>
      </c>
      <c r="AK598">
        <v>38.397338304502298</v>
      </c>
      <c r="AL598">
        <v>80.717969731726697</v>
      </c>
      <c r="AM598">
        <v>90.900263561215397</v>
      </c>
      <c r="AN598">
        <v>0.99999997129052698</v>
      </c>
    </row>
    <row r="599" spans="1:40" x14ac:dyDescent="0.25">
      <c r="A599" t="str">
        <f>"20190303161853361"</f>
        <v>20190303161853361</v>
      </c>
      <c r="B599" t="str">
        <f>"1551601133353654"</f>
        <v>1551601133353654</v>
      </c>
      <c r="C599" t="s">
        <v>40</v>
      </c>
      <c r="D599">
        <v>4.4468430000000003</v>
      </c>
      <c r="E599">
        <v>0.49501210000000001</v>
      </c>
      <c r="F599" t="s">
        <v>41</v>
      </c>
      <c r="G599">
        <v>-342.79300000000001</v>
      </c>
      <c r="H599" s="1">
        <v>-3.651832E-6</v>
      </c>
      <c r="I599">
        <v>368.12479999999999</v>
      </c>
      <c r="J599">
        <v>-381.83800000000002</v>
      </c>
      <c r="K599">
        <v>1.1211530000000001</v>
      </c>
      <c r="L599">
        <v>366.9744</v>
      </c>
      <c r="M599">
        <v>0.99992879999999995</v>
      </c>
      <c r="N599">
        <v>-1.1914070000000001E-2</v>
      </c>
      <c r="O599">
        <v>-6.0670899999999998E-4</v>
      </c>
      <c r="P599">
        <v>0.98857609999999996</v>
      </c>
      <c r="Q599">
        <v>0.1500175</v>
      </c>
      <c r="R599">
        <v>1.456878E-2</v>
      </c>
      <c r="S599">
        <v>3.0462950000000002</v>
      </c>
      <c r="T599">
        <v>-8.6969729999999995E-2</v>
      </c>
      <c r="U599">
        <v>8.9233399999999893E-2</v>
      </c>
      <c r="V599">
        <v>-1.5162399999999999E-2</v>
      </c>
      <c r="W599">
        <v>0.1617855</v>
      </c>
      <c r="X599">
        <v>0.98670950000000002</v>
      </c>
      <c r="Y599">
        <v>-2.9869039999999999E-2</v>
      </c>
      <c r="Z599">
        <v>6.1430709999999995E-4</v>
      </c>
      <c r="AA599">
        <v>0.99955360000000004</v>
      </c>
      <c r="AB599">
        <v>29</v>
      </c>
      <c r="AC599">
        <v>39.045000000000002</v>
      </c>
      <c r="AD599">
        <v>-1.121156651832</v>
      </c>
      <c r="AE599">
        <v>1.1503999999999901</v>
      </c>
      <c r="AF599">
        <v>-1.1731239970918901</v>
      </c>
      <c r="AG599">
        <v>-1.121156651832</v>
      </c>
      <c r="AH599">
        <v>39.012156360750602</v>
      </c>
      <c r="AI599">
        <v>91.645406830160894</v>
      </c>
      <c r="AJ599">
        <v>91.722406844996399</v>
      </c>
      <c r="AK599">
        <v>39.045890386392202</v>
      </c>
      <c r="AL599">
        <v>80.689452153427197</v>
      </c>
      <c r="AM599">
        <v>90.880373764889697</v>
      </c>
      <c r="AN599">
        <v>1.00000004188712</v>
      </c>
    </row>
    <row r="600" spans="1:40" x14ac:dyDescent="0.25">
      <c r="A600" t="str">
        <f>"20190303161853374"</f>
        <v>20190303161853374</v>
      </c>
      <c r="B600" t="str">
        <f>"1551601133363413"</f>
        <v>1551601133363413</v>
      </c>
      <c r="C600" t="s">
        <v>40</v>
      </c>
      <c r="D600">
        <v>4.4513170000000004</v>
      </c>
      <c r="E600">
        <v>0.49502489999999999</v>
      </c>
      <c r="F600" t="s">
        <v>41</v>
      </c>
      <c r="G600">
        <v>-341.44099999999997</v>
      </c>
      <c r="H600" s="1">
        <v>-4.2888920000000003E-6</v>
      </c>
      <c r="I600">
        <v>368.13630000000001</v>
      </c>
      <c r="J600">
        <v>-381.66879999999998</v>
      </c>
      <c r="K600">
        <v>1.1211500000000001</v>
      </c>
      <c r="L600">
        <v>366.97430000000003</v>
      </c>
      <c r="M600">
        <v>0.99992899999999996</v>
      </c>
      <c r="N600">
        <v>-1.1915230000000001E-2</v>
      </c>
      <c r="O600">
        <v>-6.0671599999999998E-4</v>
      </c>
      <c r="P600">
        <v>0.98850660000000001</v>
      </c>
      <c r="Q600">
        <v>0.1504569</v>
      </c>
      <c r="R600">
        <v>1.4749989999999999E-2</v>
      </c>
      <c r="S600">
        <v>3.0462039999999999</v>
      </c>
      <c r="T600">
        <v>-8.4542989999999998E-2</v>
      </c>
      <c r="U600">
        <v>8.7615970000000001E-2</v>
      </c>
      <c r="V600">
        <v>-1.5343839999999999E-2</v>
      </c>
      <c r="W600">
        <v>0.16222500000000001</v>
      </c>
      <c r="X600">
        <v>0.98663449999999997</v>
      </c>
      <c r="Y600">
        <v>-2.9340749999999999E-2</v>
      </c>
      <c r="Z600">
        <v>5.9148860000000003E-4</v>
      </c>
      <c r="AA600">
        <v>0.99956929999999999</v>
      </c>
      <c r="AB600">
        <v>29</v>
      </c>
      <c r="AC600">
        <v>40.227800000000002</v>
      </c>
      <c r="AD600">
        <v>-1.1211542888920001</v>
      </c>
      <c r="AE600">
        <v>1.1619999999999699</v>
      </c>
      <c r="AF600">
        <v>-1.18548831063472</v>
      </c>
      <c r="AG600">
        <v>-1.1211542888920001</v>
      </c>
      <c r="AH600">
        <v>40.195891631261098</v>
      </c>
      <c r="AI600">
        <v>91.597000538259195</v>
      </c>
      <c r="AJ600">
        <v>91.689321733182297</v>
      </c>
      <c r="AK600">
        <v>40.228995432476701</v>
      </c>
      <c r="AL600">
        <v>80.663933258519805</v>
      </c>
      <c r="AM600">
        <v>90.890974731930299</v>
      </c>
      <c r="AN600">
        <v>1.0000000103205899</v>
      </c>
    </row>
    <row r="601" spans="1:40" x14ac:dyDescent="0.25">
      <c r="A601" t="str">
        <f>"20190303161853387"</f>
        <v>20190303161853387</v>
      </c>
      <c r="B601" t="str">
        <f>"1551601133373174"</f>
        <v>1551601133373174</v>
      </c>
      <c r="C601" t="s">
        <v>40</v>
      </c>
      <c r="D601">
        <v>4.4428590000000003</v>
      </c>
      <c r="E601">
        <v>0.49503350000000002</v>
      </c>
      <c r="F601" t="s">
        <v>41</v>
      </c>
      <c r="G601">
        <v>-340.3843</v>
      </c>
      <c r="H601" s="1">
        <v>-4.7829000000000004E-6</v>
      </c>
      <c r="I601">
        <v>368.16750000000002</v>
      </c>
      <c r="J601">
        <v>-381.49939999999998</v>
      </c>
      <c r="K601">
        <v>1.1211519999999999</v>
      </c>
      <c r="L601">
        <v>366.9742</v>
      </c>
      <c r="M601">
        <v>0.99992890000000001</v>
      </c>
      <c r="N601">
        <v>-1.1916339999999999E-2</v>
      </c>
      <c r="O601">
        <v>-6.0660339999999997E-4</v>
      </c>
      <c r="P601">
        <v>0.98846469999999997</v>
      </c>
      <c r="Q601">
        <v>0.15075139999999901</v>
      </c>
      <c r="R601">
        <v>1.454594E-2</v>
      </c>
      <c r="S601">
        <v>3.046173</v>
      </c>
      <c r="T601">
        <v>-8.2724210000000006E-2</v>
      </c>
      <c r="U601">
        <v>8.8043209999999997E-2</v>
      </c>
      <c r="V601">
        <v>-1.5139379999999999E-2</v>
      </c>
      <c r="W601">
        <v>0.16252049999999901</v>
      </c>
      <c r="X601">
        <v>0.98658900000000005</v>
      </c>
      <c r="Y601">
        <v>-2.9481509999999999E-2</v>
      </c>
      <c r="Z601">
        <v>5.8513979999999998E-4</v>
      </c>
      <c r="AA601">
        <v>0.99956520000000004</v>
      </c>
      <c r="AB601">
        <v>29</v>
      </c>
      <c r="AC601">
        <v>41.115099999999899</v>
      </c>
      <c r="AD601">
        <v>-1.1211567829</v>
      </c>
      <c r="AE601">
        <v>1.19330000000002</v>
      </c>
      <c r="AF601">
        <v>-1.2173376778017999</v>
      </c>
      <c r="AG601">
        <v>-1.1211567829</v>
      </c>
      <c r="AH601">
        <v>41.083844948106297</v>
      </c>
      <c r="AI601">
        <v>91.5624986651803</v>
      </c>
      <c r="AJ601">
        <v>91.697209929904602</v>
      </c>
      <c r="AK601">
        <v>41.117164533485102</v>
      </c>
      <c r="AL601">
        <v>80.646774407121001</v>
      </c>
      <c r="AM601">
        <v>90.879144712540906</v>
      </c>
      <c r="AN601">
        <v>0.99999998433401704</v>
      </c>
    </row>
    <row r="602" spans="1:40" x14ac:dyDescent="0.25">
      <c r="A602" t="str">
        <f>"20190303161853399"</f>
        <v>20190303161853399</v>
      </c>
      <c r="B602" t="str">
        <f>"1551601133393669"</f>
        <v>1551601133393669</v>
      </c>
      <c r="C602" t="s">
        <v>40</v>
      </c>
      <c r="D602">
        <v>4.4643959999999998</v>
      </c>
      <c r="E602">
        <v>0.4950775</v>
      </c>
      <c r="F602" t="s">
        <v>41</v>
      </c>
      <c r="G602">
        <v>-339.53980000000001</v>
      </c>
      <c r="H602" s="1">
        <v>-5.2493829999999996E-7</v>
      </c>
      <c r="I602">
        <v>368.17970000000003</v>
      </c>
      <c r="J602">
        <v>-381.327</v>
      </c>
      <c r="K602">
        <v>1.121154</v>
      </c>
      <c r="L602">
        <v>366.97410000000002</v>
      </c>
      <c r="M602">
        <v>0.99992879999999995</v>
      </c>
      <c r="N602">
        <v>-1.19174E-2</v>
      </c>
      <c r="O602">
        <v>-6.0649049999999996E-4</v>
      </c>
      <c r="P602">
        <v>0.98841330000000005</v>
      </c>
      <c r="Q602">
        <v>0.15112579999999901</v>
      </c>
      <c r="R602">
        <v>1.414208E-2</v>
      </c>
      <c r="S602">
        <v>3.0461429999999998</v>
      </c>
      <c r="T602">
        <v>-8.1392290000000006E-2</v>
      </c>
      <c r="U602">
        <v>8.7524409999999997E-2</v>
      </c>
      <c r="V602">
        <v>-1.4734809999999999E-2</v>
      </c>
      <c r="W602">
        <v>0.16289489999999901</v>
      </c>
      <c r="X602">
        <v>0.9865334</v>
      </c>
      <c r="Y602">
        <v>-2.9312109999999999E-2</v>
      </c>
      <c r="Z602">
        <v>5.751787E-4</v>
      </c>
      <c r="AA602">
        <v>0.99957010000000002</v>
      </c>
      <c r="AB602">
        <v>29</v>
      </c>
      <c r="AC602">
        <v>41.787199999999899</v>
      </c>
      <c r="AD602">
        <v>-1.1211545249382999</v>
      </c>
      <c r="AE602">
        <v>1.2056</v>
      </c>
      <c r="AF602">
        <v>-1.23006039055808</v>
      </c>
      <c r="AG602">
        <v>-1.1211545249382999</v>
      </c>
      <c r="AH602">
        <v>41.756427545754597</v>
      </c>
      <c r="AI602">
        <v>91.537347966656895</v>
      </c>
      <c r="AJ602">
        <v>91.6873304921114</v>
      </c>
      <c r="AK602">
        <v>41.789583360175598</v>
      </c>
      <c r="AL602">
        <v>80.625033356425504</v>
      </c>
      <c r="AM602">
        <v>90.855703065663803</v>
      </c>
      <c r="AN602">
        <v>1.00000000619365</v>
      </c>
    </row>
    <row r="603" spans="1:40" x14ac:dyDescent="0.25">
      <c r="A603" t="str">
        <f>"20190303161853418"</f>
        <v>20190303161853418</v>
      </c>
      <c r="B603" t="str">
        <f>"1551601133403429"</f>
        <v>1551601133403429</v>
      </c>
      <c r="C603" t="s">
        <v>40</v>
      </c>
      <c r="D603">
        <v>4.4635160000000003</v>
      </c>
      <c r="E603">
        <v>0.49508540000000001</v>
      </c>
      <c r="F603" t="s">
        <v>41</v>
      </c>
      <c r="G603">
        <v>-338.48329999999999</v>
      </c>
      <c r="H603" s="1">
        <v>-8.8614969999999995E-7</v>
      </c>
      <c r="I603">
        <v>368.1891</v>
      </c>
      <c r="J603">
        <v>-381.10109999999997</v>
      </c>
      <c r="K603">
        <v>1.121162</v>
      </c>
      <c r="L603">
        <v>366.97399999999999</v>
      </c>
      <c r="M603">
        <v>0.99992879999999995</v>
      </c>
      <c r="N603">
        <v>-1.191883E-2</v>
      </c>
      <c r="O603">
        <v>-6.0626050000000002E-4</v>
      </c>
      <c r="P603">
        <v>0.98831749999999996</v>
      </c>
      <c r="Q603">
        <v>0.15178220000000001</v>
      </c>
      <c r="R603">
        <v>1.3801300000000001E-2</v>
      </c>
      <c r="S603">
        <v>3.0461119999999999</v>
      </c>
      <c r="T603">
        <v>-7.9712030000000003E-2</v>
      </c>
      <c r="U603">
        <v>8.6395260000000001E-2</v>
      </c>
      <c r="V603">
        <v>-1.4394530000000001E-2</v>
      </c>
      <c r="W603">
        <v>0.16355120000000001</v>
      </c>
      <c r="X603">
        <v>0.98642980000000002</v>
      </c>
      <c r="Y603">
        <v>-2.894265E-2</v>
      </c>
      <c r="Z603">
        <v>5.597512E-4</v>
      </c>
      <c r="AA603">
        <v>0.99958089999999999</v>
      </c>
      <c r="AB603">
        <v>29</v>
      </c>
      <c r="AC603">
        <v>42.617799999999903</v>
      </c>
      <c r="AD603">
        <v>-1.1211628861497001</v>
      </c>
      <c r="AE603">
        <v>1.2151000000000001</v>
      </c>
      <c r="AF603">
        <v>-1.24008156369303</v>
      </c>
      <c r="AG603">
        <v>-1.1211628861497001</v>
      </c>
      <c r="AH603">
        <v>42.587605420470702</v>
      </c>
      <c r="AI603">
        <v>91.507383896410701</v>
      </c>
      <c r="AJ603">
        <v>91.667888305614994</v>
      </c>
      <c r="AK603">
        <v>42.6204052532539</v>
      </c>
      <c r="AL603">
        <v>80.586918684889795</v>
      </c>
      <c r="AM603">
        <v>90.836032410387503</v>
      </c>
      <c r="AN603">
        <v>0.99999997392170004</v>
      </c>
    </row>
    <row r="604" spans="1:40" x14ac:dyDescent="0.25">
      <c r="A604" t="str">
        <f>"20190303161853432"</f>
        <v>20190303161853432</v>
      </c>
      <c r="B604" t="str">
        <f>"1551601133423926"</f>
        <v>1551601133423926</v>
      </c>
      <c r="C604" t="s">
        <v>40</v>
      </c>
      <c r="D604">
        <v>4.4871080000000001</v>
      </c>
      <c r="E604">
        <v>0.4951237</v>
      </c>
      <c r="F604" t="s">
        <v>41</v>
      </c>
      <c r="G604">
        <v>-336.86470000000003</v>
      </c>
      <c r="H604" s="1">
        <v>-1.576136E-6</v>
      </c>
      <c r="I604">
        <v>368.21390000000002</v>
      </c>
      <c r="J604">
        <v>-380.91609999999997</v>
      </c>
      <c r="K604">
        <v>1.121164</v>
      </c>
      <c r="L604">
        <v>366.97379999999998</v>
      </c>
      <c r="M604">
        <v>0.99992890000000001</v>
      </c>
      <c r="N604">
        <v>-1.1919920000000001E-2</v>
      </c>
      <c r="O604">
        <v>-6.0626699999999996E-4</v>
      </c>
      <c r="P604">
        <v>0.98830479999999998</v>
      </c>
      <c r="Q604">
        <v>0.1518989</v>
      </c>
      <c r="R604">
        <v>1.344134E-2</v>
      </c>
      <c r="S604">
        <v>3.0461429999999998</v>
      </c>
      <c r="T604">
        <v>-7.7203750000000002E-2</v>
      </c>
      <c r="U604">
        <v>8.5388179999999994E-2</v>
      </c>
      <c r="V604">
        <v>-1.4034420000000001E-2</v>
      </c>
      <c r="W604">
        <v>0.163668799999999</v>
      </c>
      <c r="X604">
        <v>0.9864155</v>
      </c>
      <c r="Y604">
        <v>-2.8613079999999999E-2</v>
      </c>
      <c r="Z604">
        <v>5.4121449999999999E-4</v>
      </c>
      <c r="AA604">
        <v>0.99959039999999999</v>
      </c>
      <c r="AB604">
        <v>29</v>
      </c>
      <c r="AC604">
        <v>44.051399999999902</v>
      </c>
      <c r="AD604">
        <v>-1.121165576136</v>
      </c>
      <c r="AE604">
        <v>1.2401000000000399</v>
      </c>
      <c r="AF604">
        <v>-1.26598915727775</v>
      </c>
      <c r="AG604">
        <v>-1.121165576136</v>
      </c>
      <c r="AH604">
        <v>44.022146422528998</v>
      </c>
      <c r="AI604">
        <v>91.458303327976196</v>
      </c>
      <c r="AJ604">
        <v>91.647258372541799</v>
      </c>
      <c r="AK604">
        <v>44.054615154851199</v>
      </c>
      <c r="AL604">
        <v>80.580088818518803</v>
      </c>
      <c r="AM604">
        <v>90.815131942218599</v>
      </c>
      <c r="AN604">
        <v>0.99999998983921301</v>
      </c>
    </row>
    <row r="605" spans="1:40" x14ac:dyDescent="0.25">
      <c r="A605" t="str">
        <f>"20190303161853445"</f>
        <v>20190303161853445</v>
      </c>
      <c r="B605" t="str">
        <f>"1551601133433686"</f>
        <v>1551601133433686</v>
      </c>
      <c r="C605" t="s">
        <v>40</v>
      </c>
      <c r="D605">
        <v>4.5006849999999998</v>
      </c>
      <c r="E605">
        <v>0.49513550000000001</v>
      </c>
      <c r="F605" t="s">
        <v>41</v>
      </c>
      <c r="G605">
        <v>-336.28339999999997</v>
      </c>
      <c r="H605" s="1">
        <v>-1.8268809999999999E-6</v>
      </c>
      <c r="I605">
        <v>368.20609999999999</v>
      </c>
      <c r="J605">
        <v>-380.73160000000001</v>
      </c>
      <c r="K605">
        <v>1.1211660000000001</v>
      </c>
      <c r="L605">
        <v>366.97370000000001</v>
      </c>
      <c r="M605">
        <v>0.99992879999999995</v>
      </c>
      <c r="N605">
        <v>-1.192092E-2</v>
      </c>
      <c r="O605">
        <v>-6.0627290000000002E-4</v>
      </c>
      <c r="P605">
        <v>0.9882765</v>
      </c>
      <c r="Q605">
        <v>0.15208769999999999</v>
      </c>
      <c r="R605">
        <v>1.3375120000000001E-2</v>
      </c>
      <c r="S605">
        <v>3.0461429999999998</v>
      </c>
      <c r="T605">
        <v>-7.6518539999999996E-2</v>
      </c>
      <c r="U605">
        <v>8.4106449999999999E-2</v>
      </c>
      <c r="V605">
        <v>-1.396813E-2</v>
      </c>
      <c r="W605">
        <v>0.1638589</v>
      </c>
      <c r="X605">
        <v>0.98638490000000001</v>
      </c>
      <c r="Y605">
        <v>-2.819321E-2</v>
      </c>
      <c r="Z605">
        <v>5.3010099999999897E-4</v>
      </c>
      <c r="AA605">
        <v>0.9996024</v>
      </c>
      <c r="AB605">
        <v>29</v>
      </c>
      <c r="AC605">
        <v>44.4482</v>
      </c>
      <c r="AD605">
        <v>-1.1211678268809999</v>
      </c>
      <c r="AE605">
        <v>1.23239999999998</v>
      </c>
      <c r="AF605">
        <v>-1.2585492801893801</v>
      </c>
      <c r="AG605">
        <v>-1.1211678268809999</v>
      </c>
      <c r="AH605">
        <v>44.419204265760399</v>
      </c>
      <c r="AI605">
        <v>91.445293680698697</v>
      </c>
      <c r="AJ605">
        <v>91.622952873692896</v>
      </c>
      <c r="AK605">
        <v>44.451171763970898</v>
      </c>
      <c r="AL605">
        <v>80.569048018390305</v>
      </c>
      <c r="AM605">
        <v>90.811307438783999</v>
      </c>
      <c r="AN605">
        <v>1.0000000093564501</v>
      </c>
    </row>
    <row r="606" spans="1:40" x14ac:dyDescent="0.25">
      <c r="A606" t="str">
        <f>"20190303161853462"</f>
        <v>20190303161853462</v>
      </c>
      <c r="B606" t="str">
        <f>"1551601133453427"</f>
        <v>1551601133453427</v>
      </c>
      <c r="C606" t="s">
        <v>40</v>
      </c>
      <c r="D606">
        <v>4.48902</v>
      </c>
      <c r="E606">
        <v>0.49515930000000002</v>
      </c>
      <c r="F606" t="s">
        <v>41</v>
      </c>
      <c r="G606">
        <v>-335.75450000000001</v>
      </c>
      <c r="H606" s="1">
        <v>-2.0535100000000002E-6</v>
      </c>
      <c r="I606">
        <v>368.20780000000002</v>
      </c>
      <c r="J606">
        <v>-380.51819999999998</v>
      </c>
      <c r="K606">
        <v>1.121165</v>
      </c>
      <c r="L606">
        <v>366.97359999999998</v>
      </c>
      <c r="M606">
        <v>0.99992890000000001</v>
      </c>
      <c r="N606">
        <v>-1.1921879999999999E-2</v>
      </c>
      <c r="O606">
        <v>-6.0627849999999998E-4</v>
      </c>
      <c r="P606">
        <v>0.98823629999999996</v>
      </c>
      <c r="Q606">
        <v>0.15236069999999999</v>
      </c>
      <c r="R606">
        <v>1.3249749999999999E-2</v>
      </c>
      <c r="S606">
        <v>3.0461429999999998</v>
      </c>
      <c r="T606">
        <v>-7.59325E-2</v>
      </c>
      <c r="U606">
        <v>8.3587649999999999E-2</v>
      </c>
      <c r="V606">
        <v>-1.384238E-2</v>
      </c>
      <c r="W606">
        <v>0.16413169999999999</v>
      </c>
      <c r="X606">
        <v>0.98634129999999998</v>
      </c>
      <c r="Y606">
        <v>-2.8023340000000001E-2</v>
      </c>
      <c r="Z606">
        <v>5.2415749999999998E-4</v>
      </c>
      <c r="AA606">
        <v>0.99960709999999997</v>
      </c>
      <c r="AB606">
        <v>29</v>
      </c>
      <c r="AC606">
        <v>44.763699999999901</v>
      </c>
      <c r="AD606">
        <v>-1.12116705351</v>
      </c>
      <c r="AE606">
        <v>1.2342000000000399</v>
      </c>
      <c r="AF606">
        <v>-1.2605507995119301</v>
      </c>
      <c r="AG606">
        <v>-1.12116705351</v>
      </c>
      <c r="AH606">
        <v>44.734901696188402</v>
      </c>
      <c r="AI606">
        <v>91.435103715931604</v>
      </c>
      <c r="AJ606">
        <v>91.614067123669997</v>
      </c>
      <c r="AK606">
        <v>44.766700053138401</v>
      </c>
      <c r="AL606">
        <v>80.5532030553845</v>
      </c>
      <c r="AM606">
        <v>90.804040031141199</v>
      </c>
      <c r="AN606">
        <v>0.99999999325732203</v>
      </c>
    </row>
    <row r="607" spans="1:40" x14ac:dyDescent="0.25">
      <c r="A607" t="str">
        <f>"20190303161853483"</f>
        <v>20190303161853483</v>
      </c>
      <c r="B607" t="str">
        <f>"1551601133473924"</f>
        <v>1551601133473924</v>
      </c>
      <c r="C607" t="s">
        <v>40</v>
      </c>
      <c r="D607">
        <v>4.5474839999999999</v>
      </c>
      <c r="E607">
        <v>0.4951797</v>
      </c>
      <c r="F607" t="s">
        <v>41</v>
      </c>
      <c r="G607">
        <v>-334.86739999999998</v>
      </c>
      <c r="H607" s="1">
        <v>-2.4325800000000001E-6</v>
      </c>
      <c r="I607">
        <v>368.21620000000001</v>
      </c>
      <c r="J607">
        <v>-380.2407</v>
      </c>
      <c r="K607">
        <v>1.1211660000000001</v>
      </c>
      <c r="L607">
        <v>366.9735</v>
      </c>
      <c r="M607">
        <v>0.99992879999999995</v>
      </c>
      <c r="N607">
        <v>-1.192292E-2</v>
      </c>
      <c r="O607">
        <v>-6.0616529999999997E-4</v>
      </c>
      <c r="P607">
        <v>0.98819800000000002</v>
      </c>
      <c r="Q607">
        <v>0.15262000000000001</v>
      </c>
      <c r="R607">
        <v>1.3115480000000001E-2</v>
      </c>
      <c r="S607">
        <v>3.0461429999999998</v>
      </c>
      <c r="T607">
        <v>-7.4812050000000005E-2</v>
      </c>
      <c r="U607">
        <v>8.2916260000000006E-2</v>
      </c>
      <c r="V607">
        <v>-1.3708680000000001E-2</v>
      </c>
      <c r="W607">
        <v>0.16439179999999901</v>
      </c>
      <c r="X607">
        <v>0.98629990000000001</v>
      </c>
      <c r="Y607">
        <v>-2.780349E-2</v>
      </c>
      <c r="Z607">
        <v>5.1478649999999999E-4</v>
      </c>
      <c r="AA607">
        <v>0.99961330000000004</v>
      </c>
      <c r="AB607">
        <v>29</v>
      </c>
      <c r="AC607">
        <v>45.3733</v>
      </c>
      <c r="AD607">
        <v>-1.12116843257999</v>
      </c>
      <c r="AE607">
        <v>1.2427000000000099</v>
      </c>
      <c r="AF607">
        <v>-1.26943093967712</v>
      </c>
      <c r="AG607">
        <v>-1.12116843257999</v>
      </c>
      <c r="AH607">
        <v>45.344872509334202</v>
      </c>
      <c r="AI607">
        <v>91.415815895574795</v>
      </c>
      <c r="AJ607">
        <v>91.603578074367803</v>
      </c>
      <c r="AK607">
        <v>45.376491010793202</v>
      </c>
      <c r="AL607">
        <v>80.538095677983705</v>
      </c>
      <c r="AM607">
        <v>90.796308438790504</v>
      </c>
      <c r="AN607">
        <v>1.0000000422772899</v>
      </c>
    </row>
    <row r="608" spans="1:40" x14ac:dyDescent="0.25">
      <c r="A608" t="str">
        <f>"20190303161853495"</f>
        <v>20190303161853495</v>
      </c>
      <c r="B608" t="str">
        <f>"1551601133483684"</f>
        <v>1551601133483684</v>
      </c>
      <c r="C608" t="s">
        <v>40</v>
      </c>
      <c r="D608">
        <v>4.5928969999999998</v>
      </c>
      <c r="E608">
        <v>0.49523509999999998</v>
      </c>
      <c r="F608" t="s">
        <v>41</v>
      </c>
      <c r="G608">
        <v>-334.01060000000001</v>
      </c>
      <c r="H608" s="1">
        <v>-2.7982659999999999E-6</v>
      </c>
      <c r="I608">
        <v>368.22669999999999</v>
      </c>
      <c r="J608">
        <v>-380.08510000000001</v>
      </c>
      <c r="K608">
        <v>1.1211660000000001</v>
      </c>
      <c r="L608">
        <v>366.97340000000003</v>
      </c>
      <c r="M608">
        <v>0.99992890000000001</v>
      </c>
      <c r="N608">
        <v>-1.192343E-2</v>
      </c>
      <c r="O608">
        <v>-6.0628750000000001E-4</v>
      </c>
      <c r="P608">
        <v>0.98820010000000003</v>
      </c>
      <c r="Q608">
        <v>0.152606399999999</v>
      </c>
      <c r="R608">
        <v>1.312558E-2</v>
      </c>
      <c r="S608">
        <v>3.0461429999999998</v>
      </c>
      <c r="T608">
        <v>-7.3874709999999996E-2</v>
      </c>
      <c r="U608">
        <v>8.2580570000000006E-2</v>
      </c>
      <c r="V608">
        <v>-1.3718579999999999E-2</v>
      </c>
      <c r="W608">
        <v>0.16437860000000001</v>
      </c>
      <c r="X608">
        <v>0.98630189999999995</v>
      </c>
      <c r="Y608">
        <v>-2.7693849999999999E-2</v>
      </c>
      <c r="Z608">
        <v>5.0834959999999897E-4</v>
      </c>
      <c r="AA608">
        <v>0.99961630000000001</v>
      </c>
      <c r="AB608">
        <v>29</v>
      </c>
      <c r="AC608">
        <v>46.0745</v>
      </c>
      <c r="AD608">
        <v>-1.1211687982659999</v>
      </c>
      <c r="AE608">
        <v>1.2532999999999599</v>
      </c>
      <c r="AF608">
        <v>-1.2804784886396301</v>
      </c>
      <c r="AG608">
        <v>-1.1211687982659999</v>
      </c>
      <c r="AH608">
        <v>46.046486039625002</v>
      </c>
      <c r="AI608">
        <v>91.394259297653505</v>
      </c>
      <c r="AJ608">
        <v>91.592892677946594</v>
      </c>
      <c r="AK608">
        <v>46.0779287862579</v>
      </c>
      <c r="AL608">
        <v>80.5388618253522</v>
      </c>
      <c r="AM608">
        <v>90.7968818191803</v>
      </c>
      <c r="AN608">
        <v>0.999999980759392</v>
      </c>
    </row>
    <row r="609" spans="1:40" x14ac:dyDescent="0.25">
      <c r="A609" t="str">
        <f>"20190303161853508"</f>
        <v>20190303161853508</v>
      </c>
      <c r="B609" t="str">
        <f>"1551601133503204"</f>
        <v>1551601133503204</v>
      </c>
      <c r="C609" t="s">
        <v>40</v>
      </c>
      <c r="D609">
        <v>4.5599210000000001</v>
      </c>
      <c r="E609">
        <v>0.49528909999999998</v>
      </c>
      <c r="F609" t="s">
        <v>41</v>
      </c>
      <c r="G609">
        <v>-333.87580000000003</v>
      </c>
      <c r="H609" s="1">
        <v>-2.8576960000000001E-6</v>
      </c>
      <c r="I609">
        <v>368.21769999999998</v>
      </c>
      <c r="J609">
        <v>-379.91180000000003</v>
      </c>
      <c r="K609">
        <v>1.1211629999999999</v>
      </c>
      <c r="L609">
        <v>366.97329999999999</v>
      </c>
      <c r="M609">
        <v>0.99992890000000001</v>
      </c>
      <c r="N609">
        <v>-1.1923990000000001E-2</v>
      </c>
      <c r="O609">
        <v>-6.0617159999999995E-4</v>
      </c>
      <c r="P609">
        <v>0.98820450000000004</v>
      </c>
      <c r="Q609">
        <v>0.15257499999999999</v>
      </c>
      <c r="R609">
        <v>1.3146659999999999E-2</v>
      </c>
      <c r="S609">
        <v>3.046173</v>
      </c>
      <c r="T609">
        <v>-7.3908689999999999E-2</v>
      </c>
      <c r="U609">
        <v>8.203125E-2</v>
      </c>
      <c r="V609">
        <v>-1.373888E-2</v>
      </c>
      <c r="W609">
        <v>0.1643481</v>
      </c>
      <c r="X609">
        <v>0.98630669999999998</v>
      </c>
      <c r="Y609">
        <v>-2.75134E-2</v>
      </c>
      <c r="Z609">
        <v>5.0524890000000001E-4</v>
      </c>
      <c r="AA609">
        <v>0.99962130000000005</v>
      </c>
      <c r="AB609">
        <v>29</v>
      </c>
      <c r="AC609">
        <v>46.036000000000001</v>
      </c>
      <c r="AD609">
        <v>-1.121165857696</v>
      </c>
      <c r="AE609">
        <v>1.24439999999998</v>
      </c>
      <c r="AF609">
        <v>-1.27155382942106</v>
      </c>
      <c r="AG609">
        <v>-1.121165857696</v>
      </c>
      <c r="AH609">
        <v>46.0079687200883</v>
      </c>
      <c r="AI609">
        <v>91.395429030966298</v>
      </c>
      <c r="AJ609">
        <v>91.583119806432293</v>
      </c>
      <c r="AK609">
        <v>46.039190346597103</v>
      </c>
      <c r="AL609">
        <v>80.540633439651401</v>
      </c>
      <c r="AM609">
        <v>90.798056965287799</v>
      </c>
      <c r="AN609">
        <v>0.99999998063107698</v>
      </c>
    </row>
    <row r="610" spans="1:40" x14ac:dyDescent="0.25">
      <c r="A610" t="str">
        <f>"20190303161853520"</f>
        <v>20190303161853520</v>
      </c>
      <c r="B610" t="str">
        <f>"1551601133513939"</f>
        <v>1551601133513939</v>
      </c>
      <c r="C610" t="s">
        <v>40</v>
      </c>
      <c r="D610">
        <v>4.53972</v>
      </c>
      <c r="E610">
        <v>0.49528929999999999</v>
      </c>
      <c r="F610" t="s">
        <v>41</v>
      </c>
      <c r="G610">
        <v>-333.68819999999999</v>
      </c>
      <c r="H610" s="1">
        <v>-2.9385899999999998E-6</v>
      </c>
      <c r="I610">
        <v>368.21519999999998</v>
      </c>
      <c r="J610">
        <v>-379.74759999999998</v>
      </c>
      <c r="K610">
        <v>1.121162</v>
      </c>
      <c r="L610">
        <v>366.97320000000002</v>
      </c>
      <c r="M610">
        <v>0.99992890000000001</v>
      </c>
      <c r="N610">
        <v>-1.1924479999999999E-2</v>
      </c>
      <c r="O610">
        <v>-6.0617449999999997E-4</v>
      </c>
      <c r="P610">
        <v>0.98818589999999995</v>
      </c>
      <c r="Q610">
        <v>0.15268319999999999</v>
      </c>
      <c r="R610">
        <v>1.3288070000000001E-2</v>
      </c>
      <c r="S610">
        <v>3.0461119999999999</v>
      </c>
      <c r="T610">
        <v>-7.3884130000000006E-2</v>
      </c>
      <c r="U610">
        <v>8.184814E-2</v>
      </c>
      <c r="V610">
        <v>-1.388066E-2</v>
      </c>
      <c r="W610">
        <v>0.16445670000000001</v>
      </c>
      <c r="X610">
        <v>0.98628660000000001</v>
      </c>
      <c r="Y610">
        <v>-2.745392E-2</v>
      </c>
      <c r="Z610">
        <v>5.0407109999999996E-4</v>
      </c>
      <c r="AA610">
        <v>0.99962289999999998</v>
      </c>
      <c r="AB610">
        <v>29</v>
      </c>
      <c r="AC610">
        <v>46.059399999999897</v>
      </c>
      <c r="AD610">
        <v>-1.12116493859</v>
      </c>
      <c r="AE610">
        <v>1.24199999999996</v>
      </c>
      <c r="AF610">
        <v>-1.26917032422951</v>
      </c>
      <c r="AG610">
        <v>-1.12116493859</v>
      </c>
      <c r="AH610">
        <v>46.031383950881597</v>
      </c>
      <c r="AI610">
        <v>91.3947208739975</v>
      </c>
      <c r="AJ610">
        <v>91.579350397270403</v>
      </c>
      <c r="AK610">
        <v>46.062523949137997</v>
      </c>
      <c r="AL610">
        <v>80.534325165517103</v>
      </c>
      <c r="AM610">
        <v>90.806307956629496</v>
      </c>
      <c r="AN610">
        <v>0.99999996811824199</v>
      </c>
    </row>
    <row r="611" spans="1:40" x14ac:dyDescent="0.25">
      <c r="A611" t="str">
        <f>"20190303161853539"</f>
        <v>20190303161853539</v>
      </c>
      <c r="B611" t="str">
        <f>"1551601133533459"</f>
        <v>1551601133533459</v>
      </c>
      <c r="C611" t="s">
        <v>40</v>
      </c>
      <c r="D611">
        <v>4.5645790000000002</v>
      </c>
      <c r="E611">
        <v>0.49535220000000002</v>
      </c>
      <c r="F611" t="s">
        <v>41</v>
      </c>
      <c r="G611">
        <v>-333.25290000000001</v>
      </c>
      <c r="H611" s="1">
        <v>-3.123428E-6</v>
      </c>
      <c r="I611">
        <v>368.22609999999997</v>
      </c>
      <c r="J611">
        <v>-379.5095</v>
      </c>
      <c r="K611">
        <v>1.121159</v>
      </c>
      <c r="L611">
        <v>366.97309999999999</v>
      </c>
      <c r="M611">
        <v>0.99992890000000001</v>
      </c>
      <c r="N611">
        <v>-1.1925180000000001E-2</v>
      </c>
      <c r="O611">
        <v>-6.0594040000000004E-4</v>
      </c>
      <c r="P611">
        <v>0.98823749999999999</v>
      </c>
      <c r="Q611">
        <v>0.1523504</v>
      </c>
      <c r="R611">
        <v>1.3281930000000001E-2</v>
      </c>
      <c r="S611">
        <v>3.0461119999999999</v>
      </c>
      <c r="T611">
        <v>-7.3453190000000002E-2</v>
      </c>
      <c r="U611">
        <v>8.2092289999999998E-2</v>
      </c>
      <c r="V611">
        <v>-1.387438E-2</v>
      </c>
      <c r="W611">
        <v>0.1641251</v>
      </c>
      <c r="X611">
        <v>0.98634200000000005</v>
      </c>
      <c r="Y611">
        <v>-2.7533829999999999E-2</v>
      </c>
      <c r="Z611">
        <v>5.0349019999999995E-4</v>
      </c>
      <c r="AA611">
        <v>0.99962070000000003</v>
      </c>
      <c r="AB611">
        <v>29</v>
      </c>
      <c r="AC611">
        <v>46.256599999999899</v>
      </c>
      <c r="AD611">
        <v>-1.121162123428</v>
      </c>
      <c r="AE611">
        <v>1.2529999999999799</v>
      </c>
      <c r="AF611">
        <v>-1.2802789200551801</v>
      </c>
      <c r="AG611">
        <v>-1.121162123428</v>
      </c>
      <c r="AH611">
        <v>46.228693918964503</v>
      </c>
      <c r="AI611">
        <v>91.388762177701295</v>
      </c>
      <c r="AJ611">
        <v>91.586370438220598</v>
      </c>
      <c r="AK611">
        <v>46.2600071343861</v>
      </c>
      <c r="AL611">
        <v>80.553586889095996</v>
      </c>
      <c r="AM611">
        <v>90.8058979468708</v>
      </c>
      <c r="AN611">
        <v>1.0000000439171901</v>
      </c>
    </row>
    <row r="612" spans="1:40" x14ac:dyDescent="0.25">
      <c r="A612" t="str">
        <f>"20190303161853552"</f>
        <v>20190303161853552</v>
      </c>
      <c r="B612" t="str">
        <f>"1551601133543219"</f>
        <v>1551601133543219</v>
      </c>
      <c r="C612" t="s">
        <v>40</v>
      </c>
      <c r="D612">
        <v>4.6041990000000004</v>
      </c>
      <c r="E612">
        <v>0.50988049999999996</v>
      </c>
      <c r="F612" t="s">
        <v>41</v>
      </c>
      <c r="G612">
        <v>-333.83229999999998</v>
      </c>
      <c r="H612" s="1">
        <v>-2.880639E-6</v>
      </c>
      <c r="I612">
        <v>368.1934</v>
      </c>
      <c r="J612">
        <v>-379.3417</v>
      </c>
      <c r="K612">
        <v>1.1211599999999999</v>
      </c>
      <c r="L612">
        <v>366.97289999999998</v>
      </c>
      <c r="M612">
        <v>0.99992879999999995</v>
      </c>
      <c r="N612">
        <v>-1.1925649999999999E-2</v>
      </c>
      <c r="O612">
        <v>-6.0594309999999999E-4</v>
      </c>
      <c r="P612">
        <v>0.98828070000000001</v>
      </c>
      <c r="Q612">
        <v>0.15205469999999999</v>
      </c>
      <c r="R612">
        <v>1.3449829999999999E-2</v>
      </c>
      <c r="S612">
        <v>3.046173</v>
      </c>
      <c r="T612">
        <v>-7.4769260000000004E-2</v>
      </c>
      <c r="U612">
        <v>8.1390379999999998E-2</v>
      </c>
      <c r="V612">
        <v>-1.4042509999999999E-2</v>
      </c>
      <c r="W612">
        <v>0.16383020000000001</v>
      </c>
      <c r="X612">
        <v>0.98638859999999995</v>
      </c>
      <c r="Y612">
        <v>-2.730287E-2</v>
      </c>
      <c r="Z612">
        <v>5.0548539999999999E-4</v>
      </c>
      <c r="AA612">
        <v>0.99962709999999999</v>
      </c>
      <c r="AB612">
        <v>29</v>
      </c>
      <c r="AC612">
        <v>45.509399999999999</v>
      </c>
      <c r="AD612">
        <v>-1.1211628806389999</v>
      </c>
      <c r="AE612">
        <v>1.2205000000000099</v>
      </c>
      <c r="AF612">
        <v>-1.2473213545914199</v>
      </c>
      <c r="AG612">
        <v>-1.1211628806389999</v>
      </c>
      <c r="AH612">
        <v>45.481068268807398</v>
      </c>
      <c r="AI612">
        <v>91.411593149430601</v>
      </c>
      <c r="AJ612">
        <v>91.570946829298094</v>
      </c>
      <c r="AK612">
        <v>45.5119807044086</v>
      </c>
      <c r="AL612">
        <v>80.5707148290644</v>
      </c>
      <c r="AM612">
        <v>90.815623992792695</v>
      </c>
      <c r="AN612">
        <v>0.99999999836455</v>
      </c>
    </row>
    <row r="613" spans="1:40" x14ac:dyDescent="0.25">
      <c r="A613" t="str">
        <f>"20190303161853563"</f>
        <v>20190303161853563</v>
      </c>
      <c r="B613" t="str">
        <f>"1551601133553955"</f>
        <v>1551601133553955</v>
      </c>
      <c r="C613" t="s">
        <v>40</v>
      </c>
      <c r="D613">
        <v>4.5602179999999999</v>
      </c>
      <c r="E613">
        <v>0.51119199999999998</v>
      </c>
      <c r="F613" t="s">
        <v>41</v>
      </c>
      <c r="G613">
        <v>-356.52010000000001</v>
      </c>
      <c r="H613" s="1">
        <v>-1.9877699999999999E-6</v>
      </c>
      <c r="I613">
        <v>366.72680000000003</v>
      </c>
      <c r="J613">
        <v>-379.18400000000003</v>
      </c>
      <c r="K613">
        <v>1.1211580000000001</v>
      </c>
      <c r="L613">
        <v>366.97280000000001</v>
      </c>
      <c r="M613">
        <v>0.99992879999999995</v>
      </c>
      <c r="N613">
        <v>-1.192607E-2</v>
      </c>
      <c r="O613">
        <v>-6.0582660000000005E-4</v>
      </c>
      <c r="P613">
        <v>0.98829230000000001</v>
      </c>
      <c r="Q613">
        <v>0.15198929999999999</v>
      </c>
      <c r="R613">
        <v>1.333526E-2</v>
      </c>
      <c r="S613">
        <v>3.0591740000000001</v>
      </c>
      <c r="T613">
        <v>-0.15028759999999999</v>
      </c>
      <c r="U613">
        <v>-3.2989499999999998E-2</v>
      </c>
      <c r="V613">
        <v>-1.39279E-2</v>
      </c>
      <c r="W613">
        <v>0.163765299999999</v>
      </c>
      <c r="X613">
        <v>0.98640099999999997</v>
      </c>
      <c r="Y613">
        <v>1.016252E-2</v>
      </c>
      <c r="Z613">
        <v>-2.8759579999999997E-4</v>
      </c>
      <c r="AA613">
        <v>0.99994830000000001</v>
      </c>
      <c r="AB613">
        <v>29</v>
      </c>
      <c r="AC613">
        <v>22.663900000000002</v>
      </c>
      <c r="AD613">
        <v>-1.12115998777</v>
      </c>
      <c r="AE613">
        <v>-0.24599999999998001</v>
      </c>
      <c r="AF613">
        <v>0.23170163743078201</v>
      </c>
      <c r="AG613">
        <v>-1.12115998777</v>
      </c>
      <c r="AH613">
        <v>22.6087237883679</v>
      </c>
      <c r="AI613">
        <v>92.838806482862793</v>
      </c>
      <c r="AJ613">
        <v>89.412834562613696</v>
      </c>
      <c r="AK613">
        <v>22.637691505665401</v>
      </c>
      <c r="AL613">
        <v>80.574484215737797</v>
      </c>
      <c r="AM613">
        <v>90.808957878389506</v>
      </c>
      <c r="AN613">
        <v>0.99999999634174896</v>
      </c>
    </row>
    <row r="614" spans="1:40" x14ac:dyDescent="0.25">
      <c r="A614" t="str">
        <f>"20190303161853577"</f>
        <v>20190303161853577</v>
      </c>
      <c r="B614" t="str">
        <f>"1551601133573476"</f>
        <v>1551601133573476</v>
      </c>
      <c r="C614" t="s">
        <v>40</v>
      </c>
      <c r="D614">
        <v>4.5916319999999997</v>
      </c>
      <c r="E614">
        <v>0.51297280000000001</v>
      </c>
      <c r="F614" t="s">
        <v>41</v>
      </c>
      <c r="G614">
        <v>-356.76220000000001</v>
      </c>
      <c r="H614" s="1">
        <v>-1.897397E-6</v>
      </c>
      <c r="I614">
        <v>366.65050000000002</v>
      </c>
      <c r="J614">
        <v>-379.00869999999998</v>
      </c>
      <c r="K614">
        <v>1.121162</v>
      </c>
      <c r="L614">
        <v>366.97269999999997</v>
      </c>
      <c r="M614">
        <v>0.9999287</v>
      </c>
      <c r="N614">
        <v>-1.1926539999999999E-2</v>
      </c>
      <c r="O614">
        <v>-6.0559099999999897E-4</v>
      </c>
      <c r="P614">
        <v>0.98832059999999999</v>
      </c>
      <c r="Q614">
        <v>0.151831299999999</v>
      </c>
      <c r="R614">
        <v>1.3029000000000001E-2</v>
      </c>
      <c r="S614">
        <v>3.059631</v>
      </c>
      <c r="T614">
        <v>-0.1529905</v>
      </c>
      <c r="U614">
        <v>-4.397583E-2</v>
      </c>
      <c r="V614">
        <v>-1.3621579999999999E-2</v>
      </c>
      <c r="W614">
        <v>0.16360820000000001</v>
      </c>
      <c r="X614">
        <v>0.98643139999999996</v>
      </c>
      <c r="Y614">
        <v>1.374503E-2</v>
      </c>
      <c r="Z614">
        <v>-4.0240749999999998E-4</v>
      </c>
      <c r="AA614">
        <v>0.9999055</v>
      </c>
      <c r="AB614">
        <v>29</v>
      </c>
      <c r="AC614">
        <v>22.246499999999902</v>
      </c>
      <c r="AD614">
        <v>-1.121163897397</v>
      </c>
      <c r="AE614">
        <v>-0.32219999999995202</v>
      </c>
      <c r="AF614">
        <v>0.30794472102639497</v>
      </c>
      <c r="AG614">
        <v>-1.121163897397</v>
      </c>
      <c r="AH614">
        <v>22.190341859208601</v>
      </c>
      <c r="AI614">
        <v>92.892123660021298</v>
      </c>
      <c r="AJ614">
        <v>89.204933369594002</v>
      </c>
      <c r="AK614">
        <v>22.220781045331801</v>
      </c>
      <c r="AL614">
        <v>80.583608944811502</v>
      </c>
      <c r="AM614">
        <v>90.791144160824999</v>
      </c>
      <c r="AN614">
        <v>1.0000000487274401</v>
      </c>
    </row>
    <row r="615" spans="1:40" x14ac:dyDescent="0.25">
      <c r="A615" t="str">
        <f>"20190303161853590"</f>
        <v>20190303161853590</v>
      </c>
      <c r="B615" t="str">
        <f>"1551601133583235"</f>
        <v>1551601133583235</v>
      </c>
      <c r="C615" t="s">
        <v>40</v>
      </c>
      <c r="D615">
        <v>4.5714709999999998</v>
      </c>
      <c r="E615">
        <v>0.51342699999999997</v>
      </c>
      <c r="F615" t="s">
        <v>41</v>
      </c>
      <c r="G615">
        <v>-358.30650000000003</v>
      </c>
      <c r="H615" s="1">
        <v>-1.371919E-6</v>
      </c>
      <c r="I615">
        <v>366.57380000000001</v>
      </c>
      <c r="J615">
        <v>-378.84399999999999</v>
      </c>
      <c r="K615">
        <v>1.121164</v>
      </c>
      <c r="L615">
        <v>366.97269999999997</v>
      </c>
      <c r="M615">
        <v>0.9999287</v>
      </c>
      <c r="N615">
        <v>-1.192697E-2</v>
      </c>
      <c r="O615">
        <v>-6.054745E-4</v>
      </c>
      <c r="P615">
        <v>0.98834010000000005</v>
      </c>
      <c r="Q615">
        <v>0.15170149999999999</v>
      </c>
      <c r="R615">
        <v>1.306709E-2</v>
      </c>
      <c r="S615">
        <v>3.0617070000000002</v>
      </c>
      <c r="T615">
        <v>-0.16581119999999999</v>
      </c>
      <c r="U615">
        <v>-5.8990479999999998E-2</v>
      </c>
      <c r="V615">
        <v>-1.365951E-2</v>
      </c>
      <c r="W615">
        <v>0.16347879999999901</v>
      </c>
      <c r="X615">
        <v>0.98645229999999995</v>
      </c>
      <c r="Y615">
        <v>1.862544E-2</v>
      </c>
      <c r="Z615">
        <v>-5.8956779999999999E-4</v>
      </c>
      <c r="AA615">
        <v>0.9998264</v>
      </c>
      <c r="AB615">
        <v>29</v>
      </c>
      <c r="AC615">
        <v>20.537499999999898</v>
      </c>
      <c r="AD615">
        <v>-1.121165371919</v>
      </c>
      <c r="AE615">
        <v>-0.398899999999969</v>
      </c>
      <c r="AF615">
        <v>0.38531622676099903</v>
      </c>
      <c r="AG615">
        <v>-1.121165371919</v>
      </c>
      <c r="AH615">
        <v>20.4767361900178</v>
      </c>
      <c r="AI615">
        <v>93.133440279386093</v>
      </c>
      <c r="AJ615">
        <v>88.921977204981104</v>
      </c>
      <c r="AK615">
        <v>20.511026434125199</v>
      </c>
      <c r="AL615">
        <v>80.591123932149301</v>
      </c>
      <c r="AM615">
        <v>90.793330055308701</v>
      </c>
      <c r="AN615">
        <v>1.00000002021908</v>
      </c>
    </row>
    <row r="616" spans="1:40" x14ac:dyDescent="0.25">
      <c r="A616" t="str">
        <f>"20190303161853606"</f>
        <v>20190303161853606</v>
      </c>
      <c r="B616" t="str">
        <f>"1551601133593971"</f>
        <v>1551601133593971</v>
      </c>
      <c r="C616" t="s">
        <v>40</v>
      </c>
      <c r="D616">
        <v>4.569877</v>
      </c>
      <c r="E616">
        <v>0.51369779999999998</v>
      </c>
      <c r="F616" t="s">
        <v>41</v>
      </c>
      <c r="G616">
        <v>-358.07150000000001</v>
      </c>
      <c r="H616" s="1">
        <v>-1.458834E-6</v>
      </c>
      <c r="I616">
        <v>366.54770000000002</v>
      </c>
      <c r="J616">
        <v>-378.62099999999998</v>
      </c>
      <c r="K616">
        <v>1.121164</v>
      </c>
      <c r="L616">
        <v>366.97250000000003</v>
      </c>
      <c r="M616">
        <v>0.9999287</v>
      </c>
      <c r="N616">
        <v>-1.192753E-2</v>
      </c>
      <c r="O616">
        <v>-6.0535869999999998E-4</v>
      </c>
      <c r="P616">
        <v>0.98836590000000002</v>
      </c>
      <c r="Q616">
        <v>0.1515483</v>
      </c>
      <c r="R616">
        <v>1.2879750000000001E-2</v>
      </c>
      <c r="S616">
        <v>3.0615839999999999</v>
      </c>
      <c r="T616">
        <v>-0.16524349999999999</v>
      </c>
      <c r="U616">
        <v>-6.2622070000000002E-2</v>
      </c>
      <c r="V616">
        <v>-1.34717E-2</v>
      </c>
      <c r="W616">
        <v>0.1633269</v>
      </c>
      <c r="X616">
        <v>0.98648009999999997</v>
      </c>
      <c r="Y616">
        <v>1.980991E-2</v>
      </c>
      <c r="Z616">
        <v>-6.2699079999999996E-4</v>
      </c>
      <c r="AA616">
        <v>0.99980349999999996</v>
      </c>
      <c r="AB616">
        <v>29</v>
      </c>
      <c r="AC616">
        <v>20.549499999999899</v>
      </c>
      <c r="AD616">
        <v>-1.1211654588339901</v>
      </c>
      <c r="AE616">
        <v>-0.42480000000000401</v>
      </c>
      <c r="AF616">
        <v>0.41113590814343798</v>
      </c>
      <c r="AG616">
        <v>-1.1211654588339901</v>
      </c>
      <c r="AH616">
        <v>20.4887902212038</v>
      </c>
      <c r="AI616">
        <v>93.131524846100106</v>
      </c>
      <c r="AJ616">
        <v>88.850435232102896</v>
      </c>
      <c r="AK616">
        <v>20.523561324720099</v>
      </c>
      <c r="AL616">
        <v>80.599946253637199</v>
      </c>
      <c r="AM616">
        <v>90.7824015656618</v>
      </c>
      <c r="AN616">
        <v>1.00000007533025</v>
      </c>
    </row>
    <row r="617" spans="1:40" x14ac:dyDescent="0.25">
      <c r="A617" t="str">
        <f>"20190303161853620"</f>
        <v>20190303161853620</v>
      </c>
      <c r="B617" t="str">
        <f>"1551601133613491"</f>
        <v>1551601133613491</v>
      </c>
      <c r="C617" t="s">
        <v>40</v>
      </c>
      <c r="D617">
        <v>4.6490549999999997</v>
      </c>
      <c r="E617">
        <v>0.51430849999999995</v>
      </c>
      <c r="F617" t="s">
        <v>41</v>
      </c>
      <c r="G617">
        <v>-358.25900000000001</v>
      </c>
      <c r="H617" s="1">
        <v>-1.3969069999999999E-6</v>
      </c>
      <c r="I617">
        <v>366.54059999999998</v>
      </c>
      <c r="J617">
        <v>-378.45179999999999</v>
      </c>
      <c r="K617">
        <v>1.121165</v>
      </c>
      <c r="L617">
        <v>366.97239999999999</v>
      </c>
      <c r="M617">
        <v>0.9999287</v>
      </c>
      <c r="N617">
        <v>-1.1928029999999999E-2</v>
      </c>
      <c r="O617">
        <v>-6.0536170000000003E-4</v>
      </c>
      <c r="P617">
        <v>0.9883961</v>
      </c>
      <c r="Q617">
        <v>0.1513671</v>
      </c>
      <c r="R617">
        <v>1.269552E-2</v>
      </c>
      <c r="S617">
        <v>3.0620419999999999</v>
      </c>
      <c r="T617">
        <v>-0.168600799999999</v>
      </c>
      <c r="U617">
        <v>-6.4941410000000005E-2</v>
      </c>
      <c r="V617">
        <v>-1.3287240000000001E-2</v>
      </c>
      <c r="W617">
        <v>0.16314619999999999</v>
      </c>
      <c r="X617">
        <v>0.98651239999999996</v>
      </c>
      <c r="Y617">
        <v>2.056117E-2</v>
      </c>
      <c r="Z617">
        <v>-6.6224419999999897E-4</v>
      </c>
      <c r="AA617">
        <v>0.99978840000000002</v>
      </c>
      <c r="AB617">
        <v>29</v>
      </c>
      <c r="AC617">
        <v>20.192799999999899</v>
      </c>
      <c r="AD617">
        <v>-1.121166396907</v>
      </c>
      <c r="AE617">
        <v>-0.43180000000000901</v>
      </c>
      <c r="AF617">
        <v>0.41828619536934902</v>
      </c>
      <c r="AG617">
        <v>-1.121166396907</v>
      </c>
      <c r="AH617">
        <v>20.1310259078504</v>
      </c>
      <c r="AI617">
        <v>93.187020359035898</v>
      </c>
      <c r="AJ617">
        <v>88.809668933406599</v>
      </c>
      <c r="AK617">
        <v>20.166560974378701</v>
      </c>
      <c r="AL617">
        <v>80.610439401198093</v>
      </c>
      <c r="AM617">
        <v>90.771664646147002</v>
      </c>
      <c r="AN617">
        <v>0.99999997433750798</v>
      </c>
    </row>
    <row r="618" spans="1:40" x14ac:dyDescent="0.25">
      <c r="A618" t="str">
        <f>"20190303161853633"</f>
        <v>20190303161853633</v>
      </c>
      <c r="B618" t="str">
        <f>"1551601133623252"</f>
        <v>1551601133623252</v>
      </c>
      <c r="C618" t="s">
        <v>40</v>
      </c>
      <c r="D618">
        <v>4.6098150000000002</v>
      </c>
      <c r="E618">
        <v>0.51443000000000005</v>
      </c>
      <c r="F618" t="s">
        <v>41</v>
      </c>
      <c r="G618">
        <v>-358.39690000000002</v>
      </c>
      <c r="H618" s="1">
        <v>-1.3587800000000001E-6</v>
      </c>
      <c r="I618">
        <v>366.50749999999999</v>
      </c>
      <c r="J618">
        <v>-378.28449999999998</v>
      </c>
      <c r="K618">
        <v>1.121164</v>
      </c>
      <c r="L618">
        <v>366.97230000000002</v>
      </c>
      <c r="M618">
        <v>0.9999287</v>
      </c>
      <c r="N618">
        <v>-1.192851E-2</v>
      </c>
      <c r="O618">
        <v>-6.0512599999999999E-4</v>
      </c>
      <c r="P618">
        <v>0.98838250000000005</v>
      </c>
      <c r="Q618">
        <v>0.15145320000000001</v>
      </c>
      <c r="R618">
        <v>1.2735669999999999E-2</v>
      </c>
      <c r="S618">
        <v>3.0623469999999999</v>
      </c>
      <c r="T618">
        <v>-0.1711992</v>
      </c>
      <c r="U618">
        <v>-7.0983889999999994E-2</v>
      </c>
      <c r="V618">
        <v>-1.3327500000000001E-2</v>
      </c>
      <c r="W618">
        <v>0.16323280000000001</v>
      </c>
      <c r="X618">
        <v>0.98649759999999997</v>
      </c>
      <c r="Y618">
        <v>2.2526250000000001E-2</v>
      </c>
      <c r="Z618">
        <v>-7.3700149999999999E-4</v>
      </c>
      <c r="AA618">
        <v>0.99974600000000002</v>
      </c>
      <c r="AB618">
        <v>29</v>
      </c>
      <c r="AC618">
        <v>19.8875999999999</v>
      </c>
      <c r="AD618">
        <v>-1.1211653587799999</v>
      </c>
      <c r="AE618">
        <v>-0.46480000000002503</v>
      </c>
      <c r="AF618">
        <v>0.451330940121969</v>
      </c>
      <c r="AG618">
        <v>-1.1211653587799999</v>
      </c>
      <c r="AH618">
        <v>19.8249054854499</v>
      </c>
      <c r="AI618">
        <v>93.235985323559305</v>
      </c>
      <c r="AJ618">
        <v>88.695837821695605</v>
      </c>
      <c r="AK618">
        <v>19.861711630326798</v>
      </c>
      <c r="AL618">
        <v>80.605410810096004</v>
      </c>
      <c r="AM618">
        <v>90.774014097039498</v>
      </c>
      <c r="AN618">
        <v>1.0000000420289199</v>
      </c>
    </row>
    <row r="619" spans="1:40" x14ac:dyDescent="0.25">
      <c r="A619" t="str">
        <f>"20190303161853645"</f>
        <v>20190303161853645</v>
      </c>
      <c r="B619" t="str">
        <f>"1551601133633989"</f>
        <v>1551601133633989</v>
      </c>
      <c r="C619" t="s">
        <v>40</v>
      </c>
      <c r="D619">
        <v>4.6615489999999999</v>
      </c>
      <c r="E619">
        <v>0.51454219999999995</v>
      </c>
      <c r="F619" t="s">
        <v>41</v>
      </c>
      <c r="G619">
        <v>-358.3766</v>
      </c>
      <c r="H619" s="1">
        <v>-1.366012E-6</v>
      </c>
      <c r="I619">
        <v>366.50630000000001</v>
      </c>
      <c r="J619">
        <v>-378.1139</v>
      </c>
      <c r="K619">
        <v>1.121167</v>
      </c>
      <c r="L619">
        <v>366.97219999999999</v>
      </c>
      <c r="M619">
        <v>0.99992879999999995</v>
      </c>
      <c r="N619">
        <v>-1.1928970000000001E-2</v>
      </c>
      <c r="O619">
        <v>-6.0512870000000005E-4</v>
      </c>
      <c r="P619">
        <v>0.98844679999999996</v>
      </c>
      <c r="Q619">
        <v>0.1510542</v>
      </c>
      <c r="R619">
        <v>1.2478629999999999E-2</v>
      </c>
      <c r="S619">
        <v>3.0626530000000001</v>
      </c>
      <c r="T619">
        <v>-0.17248089999999999</v>
      </c>
      <c r="U619">
        <v>-7.1685789999999999E-2</v>
      </c>
      <c r="V619">
        <v>-1.307059E-2</v>
      </c>
      <c r="W619">
        <v>0.16283520000000001</v>
      </c>
      <c r="X619">
        <v>0.98656670000000002</v>
      </c>
      <c r="Y619">
        <v>2.2751939999999998E-2</v>
      </c>
      <c r="Z619">
        <v>-7.4909439999999998E-4</v>
      </c>
      <c r="AA619">
        <v>0.99974079999999999</v>
      </c>
      <c r="AB619">
        <v>29</v>
      </c>
      <c r="AC619">
        <v>19.737300000000001</v>
      </c>
      <c r="AD619">
        <v>-1.121168366012</v>
      </c>
      <c r="AE619">
        <v>-0.465899999999976</v>
      </c>
      <c r="AF619">
        <v>0.452496177887518</v>
      </c>
      <c r="AG619">
        <v>-1.121168366012</v>
      </c>
      <c r="AH619">
        <v>19.674130062511701</v>
      </c>
      <c r="AI619">
        <v>93.260722772954907</v>
      </c>
      <c r="AJ619">
        <v>88.682455023654001</v>
      </c>
      <c r="AK619">
        <v>19.7112446337763</v>
      </c>
      <c r="AL619">
        <v>80.628500126154094</v>
      </c>
      <c r="AM619">
        <v>90.759042273803203</v>
      </c>
      <c r="AN619">
        <v>0.99999999811543805</v>
      </c>
    </row>
    <row r="620" spans="1:40" x14ac:dyDescent="0.25">
      <c r="A620" t="str">
        <f>"20190303161853662"</f>
        <v>20190303161853662</v>
      </c>
      <c r="B620" t="str">
        <f>"1551601133653507"</f>
        <v>1551601133653507</v>
      </c>
      <c r="C620" t="s">
        <v>40</v>
      </c>
      <c r="D620">
        <v>4.6955280000000004</v>
      </c>
      <c r="E620">
        <v>0.51482240000000001</v>
      </c>
      <c r="F620" t="s">
        <v>41</v>
      </c>
      <c r="G620">
        <v>-358.36279999999999</v>
      </c>
      <c r="H620" s="1">
        <v>-1.37287E-6</v>
      </c>
      <c r="I620">
        <v>366.4982</v>
      </c>
      <c r="J620">
        <v>-377.89019999999999</v>
      </c>
      <c r="K620">
        <v>1.1211629999999999</v>
      </c>
      <c r="L620">
        <v>366.97210000000001</v>
      </c>
      <c r="M620">
        <v>0.9999287</v>
      </c>
      <c r="N620">
        <v>-1.1929499999999999E-2</v>
      </c>
      <c r="O620">
        <v>-6.0501249999999999E-4</v>
      </c>
      <c r="P620">
        <v>0.98848029999999998</v>
      </c>
      <c r="Q620">
        <v>0.15085290000000001</v>
      </c>
      <c r="R620">
        <v>1.225976E-2</v>
      </c>
      <c r="S620">
        <v>3.0625309999999999</v>
      </c>
      <c r="T620">
        <v>-0.17384269999999999</v>
      </c>
      <c r="U620">
        <v>-7.3486330000000002E-2</v>
      </c>
      <c r="V620">
        <v>-1.28518E-2</v>
      </c>
      <c r="W620">
        <v>0.1626348</v>
      </c>
      <c r="X620">
        <v>0.9866026</v>
      </c>
      <c r="Y620">
        <v>2.3338649999999999E-2</v>
      </c>
      <c r="Z620">
        <v>-7.7404579999999995E-4</v>
      </c>
      <c r="AA620">
        <v>0.99972729999999999</v>
      </c>
      <c r="AB620">
        <v>29</v>
      </c>
      <c r="AC620">
        <v>19.5274</v>
      </c>
      <c r="AD620">
        <v>-1.12116437286999</v>
      </c>
      <c r="AE620">
        <v>-0.47390000000001398</v>
      </c>
      <c r="AF620">
        <v>0.46056739684111497</v>
      </c>
      <c r="AG620">
        <v>-1.12116437286999</v>
      </c>
      <c r="AH620">
        <v>19.463559797061301</v>
      </c>
      <c r="AI620">
        <v>93.295859578355504</v>
      </c>
      <c r="AJ620">
        <v>88.644459461303597</v>
      </c>
      <c r="AK620">
        <v>19.501263852679099</v>
      </c>
      <c r="AL620">
        <v>80.640137048012903</v>
      </c>
      <c r="AM620">
        <v>90.7463108793619</v>
      </c>
      <c r="AN620">
        <v>0.99999996863051899</v>
      </c>
    </row>
    <row r="621" spans="1:40" x14ac:dyDescent="0.25">
      <c r="A621" t="str">
        <f>"20190303161853686"</f>
        <v>20190303161853686</v>
      </c>
      <c r="B621" t="str">
        <f>"1551601133674003"</f>
        <v>1551601133674003</v>
      </c>
      <c r="C621" t="s">
        <v>40</v>
      </c>
      <c r="D621">
        <v>4.6987300000000003</v>
      </c>
      <c r="E621">
        <v>0.51500579999999996</v>
      </c>
      <c r="F621" t="s">
        <v>41</v>
      </c>
      <c r="G621">
        <v>-358.33659999999998</v>
      </c>
      <c r="H621" s="1">
        <v>-1.3848609999999901E-6</v>
      </c>
      <c r="I621">
        <v>366.48669999999998</v>
      </c>
      <c r="J621">
        <v>-377.5881</v>
      </c>
      <c r="K621">
        <v>1.121159</v>
      </c>
      <c r="L621">
        <v>366.97190000000001</v>
      </c>
      <c r="M621">
        <v>0.9999287</v>
      </c>
      <c r="N621">
        <v>-1.193016E-2</v>
      </c>
      <c r="O621">
        <v>-6.0501640000000002E-4</v>
      </c>
      <c r="P621">
        <v>0.98855959999999998</v>
      </c>
      <c r="Q621">
        <v>0.1503746</v>
      </c>
      <c r="R621">
        <v>1.1738200000000001E-2</v>
      </c>
      <c r="S621">
        <v>3.0626829999999998</v>
      </c>
      <c r="T621">
        <v>-0.17560719999999999</v>
      </c>
      <c r="U621">
        <v>-7.6019290000000003E-2</v>
      </c>
      <c r="V621">
        <v>-1.2330580000000001E-2</v>
      </c>
      <c r="W621">
        <v>0.1621582</v>
      </c>
      <c r="X621">
        <v>0.98668769999999995</v>
      </c>
      <c r="Y621">
        <v>2.4161309999999998E-2</v>
      </c>
      <c r="Z621">
        <v>-8.0885279999999896E-4</v>
      </c>
      <c r="AA621">
        <v>0.99970780000000004</v>
      </c>
      <c r="AB621">
        <v>29</v>
      </c>
      <c r="AC621">
        <v>19.2515</v>
      </c>
      <c r="AD621">
        <v>-1.1211603848609999</v>
      </c>
      <c r="AE621">
        <v>-0.48520000000002</v>
      </c>
      <c r="AF621">
        <v>0.471951947137213</v>
      </c>
      <c r="AG621">
        <v>-1.1211603848609999</v>
      </c>
      <c r="AH621">
        <v>19.186757296989601</v>
      </c>
      <c r="AI621">
        <v>93.343213957850693</v>
      </c>
      <c r="AJ621">
        <v>88.590934228201903</v>
      </c>
      <c r="AK621">
        <v>19.225280097376199</v>
      </c>
      <c r="AL621">
        <v>80.667811604990206</v>
      </c>
      <c r="AM621">
        <v>90.715984822781706</v>
      </c>
      <c r="AN621">
        <v>0.99999997118083195</v>
      </c>
    </row>
    <row r="622" spans="1:40" x14ac:dyDescent="0.25">
      <c r="A622" t="str">
        <f>"20190303161853698"</f>
        <v>20190303161853698</v>
      </c>
      <c r="B622" t="str">
        <f>"1551601133693523"</f>
        <v>1551601133693523</v>
      </c>
      <c r="C622" t="s">
        <v>40</v>
      </c>
      <c r="D622">
        <v>4.7258659999999999</v>
      </c>
      <c r="E622">
        <v>0.51510329999999904</v>
      </c>
      <c r="F622" t="s">
        <v>41</v>
      </c>
      <c r="G622">
        <v>-358.19499999999999</v>
      </c>
      <c r="H622" s="1">
        <v>-1.4373720000000001E-6</v>
      </c>
      <c r="I622">
        <v>366.47030000000001</v>
      </c>
      <c r="J622">
        <v>-377.41489999999999</v>
      </c>
      <c r="K622">
        <v>1.1211549999999999</v>
      </c>
      <c r="L622">
        <v>366.97179999999997</v>
      </c>
      <c r="M622">
        <v>0.9999287</v>
      </c>
      <c r="N622">
        <v>-1.193055E-2</v>
      </c>
      <c r="O622">
        <v>-6.0478019999999895E-4</v>
      </c>
      <c r="P622">
        <v>0.98862649999999996</v>
      </c>
      <c r="Q622">
        <v>0.14993799999999999</v>
      </c>
      <c r="R622">
        <v>1.1671870000000001E-2</v>
      </c>
      <c r="S622">
        <v>3.062592</v>
      </c>
      <c r="T622">
        <v>-0.17705460000000001</v>
      </c>
      <c r="U622">
        <v>-7.9193120000000006E-2</v>
      </c>
      <c r="V622">
        <v>-1.2263720000000001E-2</v>
      </c>
      <c r="W622">
        <v>0.16172249999999999</v>
      </c>
      <c r="X622">
        <v>0.98676010000000003</v>
      </c>
      <c r="Y622">
        <v>2.5194830000000001E-2</v>
      </c>
      <c r="Z622">
        <v>-8.5031050000000002E-4</v>
      </c>
      <c r="AA622">
        <v>0.99968219999999997</v>
      </c>
      <c r="AB622">
        <v>29</v>
      </c>
      <c r="AC622">
        <v>19.219899999999999</v>
      </c>
      <c r="AD622">
        <v>-1.121156437372</v>
      </c>
      <c r="AE622">
        <v>-0.50149999999996397</v>
      </c>
      <c r="AF622">
        <v>0.48821512233283498</v>
      </c>
      <c r="AG622">
        <v>-1.121156437372</v>
      </c>
      <c r="AH622">
        <v>19.155064233984302</v>
      </c>
      <c r="AI622">
        <v>93.348646743787498</v>
      </c>
      <c r="AJ622">
        <v>88.539988648474704</v>
      </c>
      <c r="AK622">
        <v>19.194057194110901</v>
      </c>
      <c r="AL622">
        <v>80.693109848659105</v>
      </c>
      <c r="AM622">
        <v>90.712050702550897</v>
      </c>
      <c r="AN622">
        <v>1.0000000303932399</v>
      </c>
    </row>
    <row r="623" spans="1:40" x14ac:dyDescent="0.25">
      <c r="A623" t="str">
        <f>"20190303161853712"</f>
        <v>20190303161853712</v>
      </c>
      <c r="B623" t="str">
        <f>"1551601133703283"</f>
        <v>1551601133703283</v>
      </c>
      <c r="C623" t="s">
        <v>40</v>
      </c>
      <c r="D623">
        <v>4.7247849999999998</v>
      </c>
      <c r="E623">
        <v>0.51505119999999904</v>
      </c>
      <c r="F623" t="s">
        <v>41</v>
      </c>
      <c r="G623">
        <v>-358.291</v>
      </c>
      <c r="H623" s="1">
        <v>-1.4044000000000001E-6</v>
      </c>
      <c r="I623">
        <v>366.47149999999999</v>
      </c>
      <c r="J623">
        <v>-377.24689999999998</v>
      </c>
      <c r="K623">
        <v>1.121154</v>
      </c>
      <c r="L623">
        <v>366.9717</v>
      </c>
      <c r="M623">
        <v>0.9999287</v>
      </c>
      <c r="N623">
        <v>-1.1930939999999999E-2</v>
      </c>
      <c r="O623">
        <v>-6.0502080000000001E-4</v>
      </c>
      <c r="P623">
        <v>0.98867519999999998</v>
      </c>
      <c r="Q623">
        <v>0.1496295</v>
      </c>
      <c r="R623">
        <v>1.150312E-2</v>
      </c>
      <c r="S623">
        <v>3.0626829999999998</v>
      </c>
      <c r="T623">
        <v>-0.17955179999999901</v>
      </c>
      <c r="U623">
        <v>-8.0108639999999995E-2</v>
      </c>
      <c r="V623">
        <v>-1.209495E-2</v>
      </c>
      <c r="W623">
        <v>0.16141520000000001</v>
      </c>
      <c r="X623">
        <v>0.98681249999999998</v>
      </c>
      <c r="Y623">
        <v>2.5490559999999999E-2</v>
      </c>
      <c r="Z623">
        <v>-8.7046309999999996E-4</v>
      </c>
      <c r="AA623">
        <v>0.99967470000000003</v>
      </c>
      <c r="AB623">
        <v>29</v>
      </c>
      <c r="AC623">
        <v>18.9558999999999</v>
      </c>
      <c r="AD623">
        <v>-1.1211554044000001</v>
      </c>
      <c r="AE623">
        <v>-0.50020000000000597</v>
      </c>
      <c r="AF623">
        <v>0.487027850780761</v>
      </c>
      <c r="AG623">
        <v>-1.1211554044000001</v>
      </c>
      <c r="AH623">
        <v>18.890163869917</v>
      </c>
      <c r="AI623">
        <v>93.395467656975001</v>
      </c>
      <c r="AJ623">
        <v>88.523122397200893</v>
      </c>
      <c r="AK623">
        <v>18.9296718566533</v>
      </c>
      <c r="AL623">
        <v>80.710951270159697</v>
      </c>
      <c r="AM623">
        <v>90.702215355361403</v>
      </c>
      <c r="AN623">
        <v>1.00000003238139</v>
      </c>
    </row>
    <row r="624" spans="1:40" x14ac:dyDescent="0.25">
      <c r="A624" t="str">
        <f>"20190303161853724"</f>
        <v>20190303161853724</v>
      </c>
      <c r="B624" t="str">
        <f>"1551601133714021"</f>
        <v>1551601133714021</v>
      </c>
      <c r="C624" t="s">
        <v>40</v>
      </c>
      <c r="D624">
        <v>4.7274629999999904</v>
      </c>
      <c r="E624">
        <v>0.51507060000000005</v>
      </c>
      <c r="F624" t="s">
        <v>41</v>
      </c>
      <c r="G624">
        <v>-358.29860000000002</v>
      </c>
      <c r="H624" s="1">
        <v>-1.401274E-6</v>
      </c>
      <c r="I624">
        <v>366.47359999999998</v>
      </c>
      <c r="J624">
        <v>-377.07659999999998</v>
      </c>
      <c r="K624">
        <v>1.1211530000000001</v>
      </c>
      <c r="L624">
        <v>366.97160000000002</v>
      </c>
      <c r="M624">
        <v>0.9999287</v>
      </c>
      <c r="N624">
        <v>-1.193135E-2</v>
      </c>
      <c r="O624">
        <v>-6.0478479999999998E-4</v>
      </c>
      <c r="P624">
        <v>0.98867760000000005</v>
      </c>
      <c r="Q624">
        <v>0.14961859999999999</v>
      </c>
      <c r="R624">
        <v>1.1446609999999999E-2</v>
      </c>
      <c r="S624">
        <v>3.0627140000000002</v>
      </c>
      <c r="T624">
        <v>-0.18121770000000001</v>
      </c>
      <c r="U624">
        <v>-8.0505370000000007E-2</v>
      </c>
      <c r="V624">
        <v>-1.2038510000000001E-2</v>
      </c>
      <c r="W624">
        <v>0.161404399999999</v>
      </c>
      <c r="X624">
        <v>0.98681490000000005</v>
      </c>
      <c r="Y624">
        <v>2.5618789999999999E-2</v>
      </c>
      <c r="Z624">
        <v>-8.8161469999999999E-4</v>
      </c>
      <c r="AA624">
        <v>0.99967139999999999</v>
      </c>
      <c r="AB624">
        <v>29</v>
      </c>
      <c r="AC624">
        <v>18.777999999999899</v>
      </c>
      <c r="AD624">
        <v>-1.121154401274</v>
      </c>
      <c r="AE624">
        <v>-0.49800000000004702</v>
      </c>
      <c r="AF624">
        <v>0.484915053863678</v>
      </c>
      <c r="AG624">
        <v>-1.121154401274</v>
      </c>
      <c r="AH624">
        <v>18.711641848601701</v>
      </c>
      <c r="AI624">
        <v>93.427771076701603</v>
      </c>
      <c r="AJ624">
        <v>88.515503398105096</v>
      </c>
      <c r="AK624">
        <v>18.751471154853501</v>
      </c>
      <c r="AL624">
        <v>80.711577762327195</v>
      </c>
      <c r="AM624">
        <v>90.698937156489507</v>
      </c>
      <c r="AN624">
        <v>0.99999997646219396</v>
      </c>
    </row>
    <row r="625" spans="1:40" x14ac:dyDescent="0.25">
      <c r="A625" t="str">
        <f>"20190303161853741"</f>
        <v>20190303161853741</v>
      </c>
      <c r="B625" t="str">
        <f>"1551601133733543"</f>
        <v>1551601133733543</v>
      </c>
      <c r="C625" t="s">
        <v>40</v>
      </c>
      <c r="D625">
        <v>4.6407759999999998</v>
      </c>
      <c r="E625">
        <v>0.51475609999999905</v>
      </c>
      <c r="F625" t="s">
        <v>41</v>
      </c>
      <c r="G625">
        <v>-358.13709999999998</v>
      </c>
      <c r="H625" s="1">
        <v>-1.45611799999999E-6</v>
      </c>
      <c r="I625">
        <v>366.47410000000002</v>
      </c>
      <c r="J625">
        <v>-376.86779999999999</v>
      </c>
      <c r="K625">
        <v>1.121154</v>
      </c>
      <c r="L625">
        <v>366.97149999999999</v>
      </c>
      <c r="M625">
        <v>0.9999287</v>
      </c>
      <c r="N625">
        <v>-1.1931850000000001E-2</v>
      </c>
      <c r="O625">
        <v>-6.0478769999999999E-4</v>
      </c>
      <c r="P625">
        <v>0.98872590000000005</v>
      </c>
      <c r="Q625">
        <v>0.14930389999999999</v>
      </c>
      <c r="R625">
        <v>1.1390310000000001E-2</v>
      </c>
      <c r="S625">
        <v>3.0627140000000002</v>
      </c>
      <c r="T625">
        <v>-0.18130099999999999</v>
      </c>
      <c r="U625">
        <v>-8.0444340000000003E-2</v>
      </c>
      <c r="V625">
        <v>-1.198219E-2</v>
      </c>
      <c r="W625">
        <v>0.16109089999999901</v>
      </c>
      <c r="X625">
        <v>0.98686680000000004</v>
      </c>
      <c r="Y625">
        <v>2.5598869999999999E-2</v>
      </c>
      <c r="Z625">
        <v>-8.8124470000000002E-4</v>
      </c>
      <c r="AA625">
        <v>0.99967189999999995</v>
      </c>
      <c r="AB625">
        <v>29</v>
      </c>
      <c r="AC625">
        <v>18.730699999999999</v>
      </c>
      <c r="AD625">
        <v>-1.1211554561179999</v>
      </c>
      <c r="AE625">
        <v>-0.49739999999996998</v>
      </c>
      <c r="AF625">
        <v>0.48433694246226</v>
      </c>
      <c r="AG625">
        <v>-1.1211554561179999</v>
      </c>
      <c r="AH625">
        <v>18.664174367992601</v>
      </c>
      <c r="AI625">
        <v>93.436467978737795</v>
      </c>
      <c r="AJ625">
        <v>88.513503168402707</v>
      </c>
      <c r="AK625">
        <v>18.704089838039401</v>
      </c>
      <c r="AL625">
        <v>80.729778062181794</v>
      </c>
      <c r="AM625">
        <v>90.695631045000695</v>
      </c>
      <c r="AN625">
        <v>0.99999996594112195</v>
      </c>
    </row>
    <row r="626" spans="1:40" x14ac:dyDescent="0.25">
      <c r="A626" t="str">
        <f>"20190303161853753"</f>
        <v>20190303161853753</v>
      </c>
      <c r="B626" t="str">
        <f>"1551601133743301"</f>
        <v>1551601133743301</v>
      </c>
      <c r="C626" t="s">
        <v>40</v>
      </c>
      <c r="D626">
        <v>4.7617099999999999</v>
      </c>
      <c r="E626">
        <v>0.51477129999999904</v>
      </c>
      <c r="F626" t="s">
        <v>41</v>
      </c>
      <c r="G626">
        <v>-358.34559999999999</v>
      </c>
      <c r="H626" s="1">
        <v>-1.3781639999999901E-6</v>
      </c>
      <c r="I626">
        <v>366.50029999999998</v>
      </c>
      <c r="J626">
        <v>-376.70209999999997</v>
      </c>
      <c r="K626">
        <v>1.1211549999999999</v>
      </c>
      <c r="L626">
        <v>366.97140000000002</v>
      </c>
      <c r="M626">
        <v>0.9999287</v>
      </c>
      <c r="N626">
        <v>-1.193224E-2</v>
      </c>
      <c r="O626">
        <v>-6.0479019999999997E-4</v>
      </c>
      <c r="P626">
        <v>0.98874050000000002</v>
      </c>
      <c r="Q626">
        <v>0.14918689999999901</v>
      </c>
      <c r="R626">
        <v>1.165388E-2</v>
      </c>
      <c r="S626">
        <v>3.06311</v>
      </c>
      <c r="T626">
        <v>-0.1854104</v>
      </c>
      <c r="U626">
        <v>-7.7911380000000002E-2</v>
      </c>
      <c r="V626">
        <v>-1.224595E-2</v>
      </c>
      <c r="W626">
        <v>0.16097420000000001</v>
      </c>
      <c r="X626">
        <v>0.98688260000000005</v>
      </c>
      <c r="Y626">
        <v>2.4768970000000001E-2</v>
      </c>
      <c r="Z626">
        <v>-8.6743520000000002E-4</v>
      </c>
      <c r="AA626">
        <v>0.99969280000000005</v>
      </c>
      <c r="AB626">
        <v>29</v>
      </c>
      <c r="AC626">
        <v>18.356499999999901</v>
      </c>
      <c r="AD626">
        <v>-1.1211563781639999</v>
      </c>
      <c r="AE626">
        <v>-0.47110000000003499</v>
      </c>
      <c r="AF626">
        <v>0.45828882847792601</v>
      </c>
      <c r="AG626">
        <v>-1.1211563781639999</v>
      </c>
      <c r="AH626">
        <v>18.288603115200601</v>
      </c>
      <c r="AI626">
        <v>93.506946628023599</v>
      </c>
      <c r="AJ626">
        <v>88.564542003015603</v>
      </c>
      <c r="AK626">
        <v>18.328666732196599</v>
      </c>
      <c r="AL626">
        <v>80.736552853964099</v>
      </c>
      <c r="AM626">
        <v>90.710930806161997</v>
      </c>
      <c r="AN626">
        <v>0.99999996126989998</v>
      </c>
    </row>
    <row r="627" spans="1:40" x14ac:dyDescent="0.25">
      <c r="A627" t="str">
        <f>"20190303161853766"</f>
        <v>20190303161853766</v>
      </c>
      <c r="B627" t="str">
        <f>"1551601133754035"</f>
        <v>1551601133754035</v>
      </c>
      <c r="C627" t="s">
        <v>40</v>
      </c>
      <c r="D627">
        <v>4.7799199999999997</v>
      </c>
      <c r="E627">
        <v>0.51477659999999903</v>
      </c>
      <c r="F627" t="s">
        <v>41</v>
      </c>
      <c r="G627">
        <v>-358.16930000000002</v>
      </c>
      <c r="H627" s="1">
        <v>-1.437216E-6</v>
      </c>
      <c r="I627">
        <v>366.50380000000001</v>
      </c>
      <c r="J627">
        <v>-376.52710000000002</v>
      </c>
      <c r="K627">
        <v>1.121156</v>
      </c>
      <c r="L627">
        <v>366.97129999999999</v>
      </c>
      <c r="M627">
        <v>0.9999287</v>
      </c>
      <c r="N627">
        <v>-1.193265E-2</v>
      </c>
      <c r="O627">
        <v>-6.0479269999999996E-4</v>
      </c>
      <c r="P627">
        <v>0.98874499999999999</v>
      </c>
      <c r="Q627">
        <v>0.14914269999999999</v>
      </c>
      <c r="R627">
        <v>1.1828399999999999E-2</v>
      </c>
      <c r="S627">
        <v>3.0630190000000002</v>
      </c>
      <c r="T627">
        <v>-0.18529889999999999</v>
      </c>
      <c r="U627">
        <v>-7.7270510000000001E-2</v>
      </c>
      <c r="V627">
        <v>-1.242015E-2</v>
      </c>
      <c r="W627">
        <v>0.16093089999999999</v>
      </c>
      <c r="X627">
        <v>0.98688750000000003</v>
      </c>
      <c r="Y627">
        <v>2.456121E-2</v>
      </c>
      <c r="Z627">
        <v>-8.5951690000000004E-4</v>
      </c>
      <c r="AA627">
        <v>0.99969799999999998</v>
      </c>
      <c r="AB627">
        <v>29</v>
      </c>
      <c r="AC627">
        <v>18.357800000000001</v>
      </c>
      <c r="AD627">
        <v>-1.121157437216</v>
      </c>
      <c r="AE627">
        <v>-0.46749999999997199</v>
      </c>
      <c r="AF627">
        <v>0.454701589620918</v>
      </c>
      <c r="AG627">
        <v>-1.121157437216</v>
      </c>
      <c r="AH627">
        <v>18.289904923830299</v>
      </c>
      <c r="AI627">
        <v>93.506718212360994</v>
      </c>
      <c r="AJ627">
        <v>88.575874680809704</v>
      </c>
      <c r="AK627">
        <v>18.329876422316101</v>
      </c>
      <c r="AL627">
        <v>80.739066673597506</v>
      </c>
      <c r="AM627">
        <v>90.721039236003506</v>
      </c>
      <c r="AN627">
        <v>0.99999997617853997</v>
      </c>
    </row>
    <row r="628" spans="1:40" x14ac:dyDescent="0.25">
      <c r="A628" t="str">
        <f>"20190303161853778"</f>
        <v>20190303161853778</v>
      </c>
      <c r="B628" t="str">
        <f>"1551601133773555"</f>
        <v>1551601133773555</v>
      </c>
      <c r="C628" t="s">
        <v>40</v>
      </c>
      <c r="D628">
        <v>4.7585649999999999</v>
      </c>
      <c r="E628">
        <v>0.51472329999999999</v>
      </c>
      <c r="F628" t="s">
        <v>41</v>
      </c>
      <c r="G628">
        <v>-358.04520000000002</v>
      </c>
      <c r="H628" s="1">
        <v>-1.4782680000000001E-6</v>
      </c>
      <c r="I628">
        <v>366.50830000000002</v>
      </c>
      <c r="J628">
        <v>-376.37520000000001</v>
      </c>
      <c r="K628">
        <v>1.121156</v>
      </c>
      <c r="L628">
        <v>366.97120000000001</v>
      </c>
      <c r="M628">
        <v>0.99992879999999995</v>
      </c>
      <c r="N628">
        <v>-1.1932999999999999E-2</v>
      </c>
      <c r="O628">
        <v>-6.0479489999999995E-4</v>
      </c>
      <c r="P628">
        <v>0.98874240000000002</v>
      </c>
      <c r="Q628">
        <v>0.1491603</v>
      </c>
      <c r="R628">
        <v>1.182209E-2</v>
      </c>
      <c r="S628">
        <v>3.0630799999999998</v>
      </c>
      <c r="T628">
        <v>-0.18581249999999999</v>
      </c>
      <c r="U628">
        <v>-7.6721189999999995E-2</v>
      </c>
      <c r="V628">
        <v>-1.2414E-2</v>
      </c>
      <c r="W628">
        <v>0.160948799999999</v>
      </c>
      <c r="X628">
        <v>0.98688469999999995</v>
      </c>
      <c r="Y628">
        <v>2.4381659999999999E-2</v>
      </c>
      <c r="Z628">
        <v>-8.5494849999999997E-4</v>
      </c>
      <c r="AA628">
        <v>0.99970230000000004</v>
      </c>
      <c r="AB628">
        <v>29</v>
      </c>
      <c r="AC628">
        <v>18.329999999999899</v>
      </c>
      <c r="AD628">
        <v>-1.1211574782680001</v>
      </c>
      <c r="AE628">
        <v>-0.46289999999998999</v>
      </c>
      <c r="AF628">
        <v>0.45013029346647498</v>
      </c>
      <c r="AG628">
        <v>-1.1211574782680001</v>
      </c>
      <c r="AH628">
        <v>18.261998792904301</v>
      </c>
      <c r="AI628">
        <v>93.512081950944193</v>
      </c>
      <c r="AJ628">
        <v>88.588032709417206</v>
      </c>
      <c r="AK628">
        <v>18.3019182405619</v>
      </c>
      <c r="AL628">
        <v>80.7380279178481</v>
      </c>
      <c r="AM628">
        <v>90.720684286156896</v>
      </c>
      <c r="AN628">
        <v>1.0000000173557599</v>
      </c>
    </row>
    <row r="629" spans="1:40" x14ac:dyDescent="0.25">
      <c r="A629" t="str">
        <f>"20190303161853791"</f>
        <v>20190303161853791</v>
      </c>
      <c r="B629" t="str">
        <f>"1551601133783316"</f>
        <v>1551601133783316</v>
      </c>
      <c r="C629" t="s">
        <v>40</v>
      </c>
      <c r="D629">
        <v>4.7720880000000001</v>
      </c>
      <c r="E629">
        <v>0.51472450000000003</v>
      </c>
      <c r="F629" t="s">
        <v>41</v>
      </c>
      <c r="G629">
        <v>-357.97179999999997</v>
      </c>
      <c r="H629" s="1">
        <v>-1.502354E-6</v>
      </c>
      <c r="I629">
        <v>366.51170000000002</v>
      </c>
      <c r="J629">
        <v>-376.20859999999999</v>
      </c>
      <c r="K629">
        <v>1.1211580000000001</v>
      </c>
      <c r="L629">
        <v>366.97109999999998</v>
      </c>
      <c r="M629">
        <v>0.9999287</v>
      </c>
      <c r="N629">
        <v>-1.193338E-2</v>
      </c>
      <c r="O629">
        <v>-6.0467810000000002E-4</v>
      </c>
      <c r="P629">
        <v>0.98872899999999997</v>
      </c>
      <c r="Q629">
        <v>0.14922460000000001</v>
      </c>
      <c r="R629">
        <v>1.2136569999999999E-2</v>
      </c>
      <c r="S629">
        <v>3.0632320000000002</v>
      </c>
      <c r="T629">
        <v>-0.186614</v>
      </c>
      <c r="U629">
        <v>-7.6477050000000005E-2</v>
      </c>
      <c r="V629">
        <v>-1.2728679999999999E-2</v>
      </c>
      <c r="W629">
        <v>0.161013299999999</v>
      </c>
      <c r="X629">
        <v>0.98687020000000003</v>
      </c>
      <c r="Y629">
        <v>2.430067E-2</v>
      </c>
      <c r="Z629">
        <v>-8.5500069999999999E-4</v>
      </c>
      <c r="AA629">
        <v>0.99970429999999999</v>
      </c>
      <c r="AB629">
        <v>29</v>
      </c>
      <c r="AC629">
        <v>18.236799999999999</v>
      </c>
      <c r="AD629">
        <v>-1.121159502354</v>
      </c>
      <c r="AE629">
        <v>-0.45939999999995901</v>
      </c>
      <c r="AF629">
        <v>0.44668455214293901</v>
      </c>
      <c r="AG629">
        <v>-1.121159502354</v>
      </c>
      <c r="AH629">
        <v>18.168449862342001</v>
      </c>
      <c r="AI629">
        <v>93.530131759306599</v>
      </c>
      <c r="AJ629">
        <v>88.591625316658195</v>
      </c>
      <c r="AK629">
        <v>18.2084896715592</v>
      </c>
      <c r="AL629">
        <v>80.734283779385606</v>
      </c>
      <c r="AM629">
        <v>90.738961623242503</v>
      </c>
      <c r="AN629">
        <v>1.0000000468597301</v>
      </c>
    </row>
    <row r="630" spans="1:40" x14ac:dyDescent="0.25">
      <c r="A630" t="str">
        <f>"20190303161853807"</f>
        <v>20190303161853807</v>
      </c>
      <c r="B630" t="str">
        <f>"1551601133803811"</f>
        <v>1551601133803811</v>
      </c>
      <c r="C630" t="s">
        <v>40</v>
      </c>
      <c r="D630">
        <v>4.8118119999999998</v>
      </c>
      <c r="E630">
        <v>0.51471599999999995</v>
      </c>
      <c r="F630" t="s">
        <v>41</v>
      </c>
      <c r="G630">
        <v>-357.78179999999998</v>
      </c>
      <c r="H630" s="1">
        <v>-1.5654679999999901E-6</v>
      </c>
      <c r="I630">
        <v>366.51740000000001</v>
      </c>
      <c r="J630">
        <v>-375.99290000000002</v>
      </c>
      <c r="K630">
        <v>1.121151</v>
      </c>
      <c r="L630">
        <v>366.97089999999997</v>
      </c>
      <c r="M630">
        <v>0.9999287</v>
      </c>
      <c r="N630">
        <v>-1.1933839999999999E-2</v>
      </c>
      <c r="O630">
        <v>-6.0468109999999996E-4</v>
      </c>
      <c r="P630">
        <v>0.98875139999999995</v>
      </c>
      <c r="Q630">
        <v>0.14907979999999901</v>
      </c>
      <c r="R630">
        <v>1.207974E-2</v>
      </c>
      <c r="S630">
        <v>3.0632320000000002</v>
      </c>
      <c r="T630">
        <v>-0.1863776</v>
      </c>
      <c r="U630">
        <v>-7.5408939999999994E-2</v>
      </c>
      <c r="V630">
        <v>-1.267157E-2</v>
      </c>
      <c r="W630">
        <v>0.16086929999999999</v>
      </c>
      <c r="X630">
        <v>0.98689439999999995</v>
      </c>
      <c r="Y630">
        <v>2.3953180000000001E-2</v>
      </c>
      <c r="Z630">
        <v>-8.4148419999999897E-4</v>
      </c>
      <c r="AA630">
        <v>0.99971270000000001</v>
      </c>
      <c r="AB630">
        <v>29</v>
      </c>
      <c r="AC630">
        <v>18.211099999999998</v>
      </c>
      <c r="AD630">
        <v>-1.1211525654679999</v>
      </c>
      <c r="AE630">
        <v>-0.45349999999996199</v>
      </c>
      <c r="AF630">
        <v>0.44081749433935002</v>
      </c>
      <c r="AG630">
        <v>-1.1211525654679999</v>
      </c>
      <c r="AH630">
        <v>18.142650056595901</v>
      </c>
      <c r="AI630">
        <v>93.535142096759898</v>
      </c>
      <c r="AJ630">
        <v>88.608140849697307</v>
      </c>
      <c r="AK630">
        <v>18.182603064865901</v>
      </c>
      <c r="AL630">
        <v>80.742643175836704</v>
      </c>
      <c r="AM630">
        <v>90.735628438803204</v>
      </c>
      <c r="AN630">
        <v>1.0000000285600501</v>
      </c>
    </row>
    <row r="631" spans="1:40" x14ac:dyDescent="0.25">
      <c r="A631" t="str">
        <f>"20190303161853831"</f>
        <v>20190303161853831</v>
      </c>
      <c r="B631" t="str">
        <f>"1551601133823331"</f>
        <v>1551601133823331</v>
      </c>
      <c r="C631" t="s">
        <v>40</v>
      </c>
      <c r="D631">
        <v>4.8080489999999996</v>
      </c>
      <c r="E631">
        <v>0.51473089999999999</v>
      </c>
      <c r="F631" t="s">
        <v>41</v>
      </c>
      <c r="G631">
        <v>-357.7131</v>
      </c>
      <c r="H631" s="1">
        <v>-1.587866E-6</v>
      </c>
      <c r="I631">
        <v>366.52109999999999</v>
      </c>
      <c r="J631">
        <v>-375.68700000000001</v>
      </c>
      <c r="K631">
        <v>1.1211469999999999</v>
      </c>
      <c r="L631">
        <v>366.9708</v>
      </c>
      <c r="M631">
        <v>0.9999287</v>
      </c>
      <c r="N631">
        <v>-1.1934409999999999E-2</v>
      </c>
      <c r="O631">
        <v>-6.045655E-4</v>
      </c>
      <c r="P631">
        <v>0.98873040000000001</v>
      </c>
      <c r="Q631">
        <v>0.14920240000000001</v>
      </c>
      <c r="R631">
        <v>1.2289059999999999E-2</v>
      </c>
      <c r="S631">
        <v>3.0634160000000001</v>
      </c>
      <c r="T631">
        <v>-0.18788750000000001</v>
      </c>
      <c r="U631">
        <v>-7.5378420000000002E-2</v>
      </c>
      <c r="V631">
        <v>-1.288073E-2</v>
      </c>
      <c r="W631">
        <v>0.1609921</v>
      </c>
      <c r="X631">
        <v>0.98687170000000002</v>
      </c>
      <c r="Y631">
        <v>2.394114E-2</v>
      </c>
      <c r="Z631">
        <v>-8.4660589999999895E-4</v>
      </c>
      <c r="AA631">
        <v>0.99971299999999996</v>
      </c>
      <c r="AB631">
        <v>29</v>
      </c>
      <c r="AC631">
        <v>17.973899999999901</v>
      </c>
      <c r="AD631">
        <v>-1.1211485878659999</v>
      </c>
      <c r="AE631">
        <v>-0.44970000000000698</v>
      </c>
      <c r="AF631">
        <v>0.43713300108695902</v>
      </c>
      <c r="AG631">
        <v>-1.1211485878659999</v>
      </c>
      <c r="AH631">
        <v>17.9045487208232</v>
      </c>
      <c r="AI631">
        <v>93.582009248036798</v>
      </c>
      <c r="AJ631">
        <v>88.601422363877703</v>
      </c>
      <c r="AK631">
        <v>17.944941468643599</v>
      </c>
      <c r="AL631">
        <v>80.7355146368417</v>
      </c>
      <c r="AM631">
        <v>90.747786730431201</v>
      </c>
      <c r="AN631">
        <v>1.00000006086431</v>
      </c>
    </row>
    <row r="632" spans="1:40" x14ac:dyDescent="0.25">
      <c r="A632" t="str">
        <f>"20190303161853842"</f>
        <v>20190303161853842</v>
      </c>
      <c r="B632" t="str">
        <f>"1551601133833092"</f>
        <v>1551601133833092</v>
      </c>
      <c r="C632" t="s">
        <v>40</v>
      </c>
      <c r="D632">
        <v>4.7662779999999998</v>
      </c>
      <c r="E632">
        <v>0.51473400000000002</v>
      </c>
      <c r="F632" t="s">
        <v>41</v>
      </c>
      <c r="G632">
        <v>-357.46409999999997</v>
      </c>
      <c r="H632" s="1">
        <v>-1.671655E-6</v>
      </c>
      <c r="I632">
        <v>366.5247</v>
      </c>
      <c r="J632">
        <v>-375.52339999999998</v>
      </c>
      <c r="K632">
        <v>1.1211439999999999</v>
      </c>
      <c r="L632">
        <v>366.97070000000002</v>
      </c>
      <c r="M632">
        <v>0.9999287</v>
      </c>
      <c r="N632">
        <v>-1.193485E-2</v>
      </c>
      <c r="O632">
        <v>-6.0432970000000004E-4</v>
      </c>
      <c r="P632">
        <v>0.98876160000000002</v>
      </c>
      <c r="Q632">
        <v>0.14899889999999999</v>
      </c>
      <c r="R632">
        <v>1.224095E-2</v>
      </c>
      <c r="S632">
        <v>3.0635680000000001</v>
      </c>
      <c r="T632">
        <v>-0.18848219999999999</v>
      </c>
      <c r="U632">
        <v>-7.4981690000000004E-2</v>
      </c>
      <c r="V632">
        <v>-1.2832690000000001E-2</v>
      </c>
      <c r="W632">
        <v>0.160789299999999</v>
      </c>
      <c r="X632">
        <v>0.98690529999999999</v>
      </c>
      <c r="Y632">
        <v>2.381076E-2</v>
      </c>
      <c r="Z632">
        <v>-8.4400419999999896E-4</v>
      </c>
      <c r="AA632">
        <v>0.9997161</v>
      </c>
      <c r="AB632">
        <v>29</v>
      </c>
      <c r="AC632">
        <v>18.0593</v>
      </c>
      <c r="AD632">
        <v>-1.1211456716549999</v>
      </c>
      <c r="AE632">
        <v>-0.44600000000002599</v>
      </c>
      <c r="AF632">
        <v>0.43341596345789801</v>
      </c>
      <c r="AG632">
        <v>-1.1211456716549999</v>
      </c>
      <c r="AH632">
        <v>17.9902723208087</v>
      </c>
      <c r="AI632">
        <v>93.5650036921744</v>
      </c>
      <c r="AJ632">
        <v>88.619915124500096</v>
      </c>
      <c r="AK632">
        <v>18.0303831127157</v>
      </c>
      <c r="AL632">
        <v>80.747286785276401</v>
      </c>
      <c r="AM632">
        <v>90.744972737050702</v>
      </c>
      <c r="AN632">
        <v>0.99999997404760699</v>
      </c>
    </row>
    <row r="633" spans="1:40" x14ac:dyDescent="0.25">
      <c r="A633" t="str">
        <f>"20190303161853857"</f>
        <v>20190303161853857</v>
      </c>
      <c r="B633" t="str">
        <f>"1551601133843828"</f>
        <v>1551601133843828</v>
      </c>
      <c r="C633" t="s">
        <v>40</v>
      </c>
      <c r="D633">
        <v>4.7899390000000004</v>
      </c>
      <c r="E633">
        <v>0.51473619999999998</v>
      </c>
      <c r="F633" t="s">
        <v>41</v>
      </c>
      <c r="G633">
        <v>-357.39710000000002</v>
      </c>
      <c r="H633" s="1">
        <v>-1.694376E-6</v>
      </c>
      <c r="I633">
        <v>366.52499999999998</v>
      </c>
      <c r="J633">
        <v>-375.33980000000003</v>
      </c>
      <c r="K633">
        <v>1.1211409999999999</v>
      </c>
      <c r="L633">
        <v>366.97059999999999</v>
      </c>
      <c r="M633">
        <v>0.9999287</v>
      </c>
      <c r="N633">
        <v>-1.193516E-2</v>
      </c>
      <c r="O633">
        <v>-6.0433160000000004E-4</v>
      </c>
      <c r="P633">
        <v>0.98876140000000001</v>
      </c>
      <c r="Q633">
        <v>0.14898120000000001</v>
      </c>
      <c r="R633">
        <v>1.246995E-2</v>
      </c>
      <c r="S633">
        <v>3.063599</v>
      </c>
      <c r="T633">
        <v>-0.1894882</v>
      </c>
      <c r="U633">
        <v>-7.5317380000000003E-2</v>
      </c>
      <c r="V633">
        <v>-1.3061430000000001E-2</v>
      </c>
      <c r="W633">
        <v>0.1607719</v>
      </c>
      <c r="X633">
        <v>0.98690520000000004</v>
      </c>
      <c r="Y633">
        <v>2.3919220000000001E-2</v>
      </c>
      <c r="Z633">
        <v>-8.517005E-4</v>
      </c>
      <c r="AA633">
        <v>0.99971350000000003</v>
      </c>
      <c r="AB633">
        <v>29</v>
      </c>
      <c r="AC633">
        <v>17.942699999999999</v>
      </c>
      <c r="AD633">
        <v>-1.1211426943759999</v>
      </c>
      <c r="AE633">
        <v>-0.44560000000001299</v>
      </c>
      <c r="AF633">
        <v>0.43306601763285002</v>
      </c>
      <c r="AG633">
        <v>-1.1211426943759999</v>
      </c>
      <c r="AH633">
        <v>17.873226124567299</v>
      </c>
      <c r="AI633">
        <v>93.588267545947005</v>
      </c>
      <c r="AJ633">
        <v>88.612002062122698</v>
      </c>
      <c r="AK633">
        <v>17.913590349695301</v>
      </c>
      <c r="AL633">
        <v>80.748297481792903</v>
      </c>
      <c r="AM633">
        <v>90.758250259405202</v>
      </c>
      <c r="AN633">
        <v>1.00000003928514</v>
      </c>
    </row>
    <row r="634" spans="1:40" x14ac:dyDescent="0.25">
      <c r="A634" t="str">
        <f>"20190303161853876"</f>
        <v>20190303161853876</v>
      </c>
      <c r="B634" t="str">
        <f>"1551601133863348"</f>
        <v>1551601133863348</v>
      </c>
      <c r="C634" t="s">
        <v>40</v>
      </c>
      <c r="D634">
        <v>4.7813249999999998</v>
      </c>
      <c r="E634">
        <v>0.51467640000000003</v>
      </c>
      <c r="F634" t="s">
        <v>41</v>
      </c>
      <c r="G634">
        <v>-357.28919999999999</v>
      </c>
      <c r="H634" s="1">
        <v>-1.7296989999999999E-6</v>
      </c>
      <c r="I634">
        <v>366.53019999999998</v>
      </c>
      <c r="J634">
        <v>-375.09859999999998</v>
      </c>
      <c r="K634">
        <v>1.1211450000000001</v>
      </c>
      <c r="L634">
        <v>366.97039999999998</v>
      </c>
      <c r="M634">
        <v>0.9999287</v>
      </c>
      <c r="N634">
        <v>-1.1935680000000001E-2</v>
      </c>
      <c r="O634">
        <v>-6.0421559999999995E-4</v>
      </c>
      <c r="P634">
        <v>0.98878429999999995</v>
      </c>
      <c r="Q634">
        <v>0.14885899999999999</v>
      </c>
      <c r="R634">
        <v>1.213173E-2</v>
      </c>
      <c r="S634">
        <v>3.0637210000000001</v>
      </c>
      <c r="T634">
        <v>-0.19028970000000001</v>
      </c>
      <c r="U634">
        <v>-7.473755E-2</v>
      </c>
      <c r="V634">
        <v>-1.2722860000000001E-2</v>
      </c>
      <c r="W634">
        <v>0.1606504</v>
      </c>
      <c r="X634">
        <v>0.98692939999999996</v>
      </c>
      <c r="Y634">
        <v>2.3729299999999998E-2</v>
      </c>
      <c r="Z634">
        <v>-8.4762259999999904E-4</v>
      </c>
      <c r="AA634">
        <v>0.99971810000000005</v>
      </c>
      <c r="AB634">
        <v>29</v>
      </c>
      <c r="AC634">
        <v>17.809399999999901</v>
      </c>
      <c r="AD634">
        <v>-1.1211467296989901</v>
      </c>
      <c r="AE634">
        <v>-0.44020000000000398</v>
      </c>
      <c r="AF634">
        <v>0.427744312483191</v>
      </c>
      <c r="AG634">
        <v>-1.1211467296989901</v>
      </c>
      <c r="AH634">
        <v>17.739404043345601</v>
      </c>
      <c r="AI634">
        <v>93.615288294213002</v>
      </c>
      <c r="AJ634">
        <v>88.618713706255093</v>
      </c>
      <c r="AK634">
        <v>17.7799435038316</v>
      </c>
      <c r="AL634">
        <v>80.755350525123802</v>
      </c>
      <c r="AM634">
        <v>90.738579480729399</v>
      </c>
      <c r="AN634">
        <v>1.0000000313855399</v>
      </c>
    </row>
    <row r="635" spans="1:40" x14ac:dyDescent="0.25">
      <c r="A635" t="str">
        <f>"20190303161853889"</f>
        <v>20190303161853889</v>
      </c>
      <c r="B635" t="str">
        <f>"1551601133883844"</f>
        <v>1551601133883844</v>
      </c>
      <c r="C635" t="s">
        <v>40</v>
      </c>
      <c r="D635">
        <v>4.8048479999999998</v>
      </c>
      <c r="E635">
        <v>0.51455839999999997</v>
      </c>
      <c r="F635" t="s">
        <v>41</v>
      </c>
      <c r="G635">
        <v>-357.1148</v>
      </c>
      <c r="H635" s="1">
        <v>-1.789416E-6</v>
      </c>
      <c r="I635">
        <v>366.52879999999999</v>
      </c>
      <c r="J635">
        <v>-374.91840000000002</v>
      </c>
      <c r="K635">
        <v>1.1211450000000001</v>
      </c>
      <c r="L635">
        <v>366.97030000000001</v>
      </c>
      <c r="M635">
        <v>0.99992859999999995</v>
      </c>
      <c r="N635">
        <v>-1.193609E-2</v>
      </c>
      <c r="O635">
        <v>-6.0397969999999995E-4</v>
      </c>
      <c r="P635">
        <v>0.98881540000000001</v>
      </c>
      <c r="Q635">
        <v>0.14865789999999901</v>
      </c>
      <c r="R635">
        <v>1.2047820000000001E-2</v>
      </c>
      <c r="S635">
        <v>3.0636899999999998</v>
      </c>
      <c r="T635">
        <v>-0.1909959</v>
      </c>
      <c r="U635">
        <v>-7.5225829999999994E-2</v>
      </c>
      <c r="V635">
        <v>-1.2639040000000001E-2</v>
      </c>
      <c r="W635">
        <v>0.16045039999999999</v>
      </c>
      <c r="X635">
        <v>0.98696300000000003</v>
      </c>
      <c r="Y635">
        <v>2.388827E-2</v>
      </c>
      <c r="Z635">
        <v>-8.5613429999999895E-4</v>
      </c>
      <c r="AA635">
        <v>0.99971429999999994</v>
      </c>
      <c r="AB635">
        <v>29</v>
      </c>
      <c r="AC635">
        <v>17.803599999999999</v>
      </c>
      <c r="AD635">
        <v>-1.1211467894159901</v>
      </c>
      <c r="AE635">
        <v>-0.44150000000001899</v>
      </c>
      <c r="AF635">
        <v>0.42904576087055901</v>
      </c>
      <c r="AG635">
        <v>-1.1211467894159901</v>
      </c>
      <c r="AH635">
        <v>17.7335822907148</v>
      </c>
      <c r="AI635">
        <v>93.616465119985705</v>
      </c>
      <c r="AJ635">
        <v>88.614057997197406</v>
      </c>
      <c r="AK635">
        <v>17.774166400984601</v>
      </c>
      <c r="AL635">
        <v>80.766960178557696</v>
      </c>
      <c r="AM635">
        <v>90.733689172710896</v>
      </c>
      <c r="AN635">
        <v>1.00000001978064</v>
      </c>
    </row>
    <row r="636" spans="1:40" x14ac:dyDescent="0.25">
      <c r="A636" t="str">
        <f>"20190303161853904"</f>
        <v>20190303161853904</v>
      </c>
      <c r="B636" t="str">
        <f>"1551601133893603"</f>
        <v>1551601133893603</v>
      </c>
      <c r="C636" t="s">
        <v>40</v>
      </c>
      <c r="D636">
        <v>4.8083200000000001</v>
      </c>
      <c r="E636">
        <v>0.51455090000000003</v>
      </c>
      <c r="F636" t="s">
        <v>41</v>
      </c>
      <c r="G636">
        <v>-357.06689999999998</v>
      </c>
      <c r="H636" s="1">
        <v>-1.8037129999999999E-6</v>
      </c>
      <c r="I636">
        <v>366.53640000000001</v>
      </c>
      <c r="J636">
        <v>-374.71980000000002</v>
      </c>
      <c r="K636">
        <v>1.1211450000000001</v>
      </c>
      <c r="L636">
        <v>366.97019999999998</v>
      </c>
      <c r="M636">
        <v>0.99992859999999995</v>
      </c>
      <c r="N636">
        <v>-1.193636E-2</v>
      </c>
      <c r="O636">
        <v>-6.0386209999999997E-4</v>
      </c>
      <c r="P636">
        <v>0.98882060000000005</v>
      </c>
      <c r="Q636">
        <v>0.14865249999999999</v>
      </c>
      <c r="R636">
        <v>1.1686490000000001E-2</v>
      </c>
      <c r="S636">
        <v>3.0637819999999998</v>
      </c>
      <c r="T636">
        <v>-0.19241639999999999</v>
      </c>
      <c r="U636">
        <v>-7.4462890000000004E-2</v>
      </c>
      <c r="V636">
        <v>-1.227761E-2</v>
      </c>
      <c r="W636">
        <v>0.16044520000000001</v>
      </c>
      <c r="X636">
        <v>0.98696839999999997</v>
      </c>
      <c r="Y636">
        <v>2.3638699999999999E-2</v>
      </c>
      <c r="Z636">
        <v>-8.5204829999999999E-4</v>
      </c>
      <c r="AA636">
        <v>0.99972019999999995</v>
      </c>
      <c r="AB636">
        <v>29</v>
      </c>
      <c r="AC636">
        <v>17.652899999999999</v>
      </c>
      <c r="AD636">
        <v>-1.1211468037129999</v>
      </c>
      <c r="AE636">
        <v>-0.43379999999996199</v>
      </c>
      <c r="AF636">
        <v>0.42144034847157602</v>
      </c>
      <c r="AG636">
        <v>-1.1211468037129999</v>
      </c>
      <c r="AH636">
        <v>17.5822816620115</v>
      </c>
      <c r="AI636">
        <v>93.647521882760302</v>
      </c>
      <c r="AJ636">
        <v>88.626905716761897</v>
      </c>
      <c r="AK636">
        <v>17.623030686153299</v>
      </c>
      <c r="AL636">
        <v>80.7672619571631</v>
      </c>
      <c r="AM636">
        <v>90.712706661229404</v>
      </c>
      <c r="AN636">
        <v>1.0000000122544499</v>
      </c>
    </row>
    <row r="637" spans="1:40" x14ac:dyDescent="0.25">
      <c r="A637" t="str">
        <f>"20190303161853919"</f>
        <v>20190303161853919</v>
      </c>
      <c r="B637" t="str">
        <f>"1551601133913123"</f>
        <v>1551601133913123</v>
      </c>
      <c r="C637" t="s">
        <v>40</v>
      </c>
      <c r="D637">
        <v>4.7100819999999999</v>
      </c>
      <c r="E637">
        <v>0.51454880000000003</v>
      </c>
      <c r="F637" t="s">
        <v>41</v>
      </c>
      <c r="G637">
        <v>-356.9203</v>
      </c>
      <c r="H637" s="1">
        <v>-1.8549339999999999E-6</v>
      </c>
      <c r="I637">
        <v>366.53140000000002</v>
      </c>
      <c r="J637">
        <v>-374.51850000000002</v>
      </c>
      <c r="K637">
        <v>1.121151</v>
      </c>
      <c r="L637">
        <v>366.9701</v>
      </c>
      <c r="M637">
        <v>0.99992859999999995</v>
      </c>
      <c r="N637">
        <v>-1.193673E-2</v>
      </c>
      <c r="O637">
        <v>-6.0362580000000005E-4</v>
      </c>
      <c r="P637">
        <v>0.98877440000000005</v>
      </c>
      <c r="Q637">
        <v>0.14896799999999999</v>
      </c>
      <c r="R637">
        <v>1.1560259999999999E-2</v>
      </c>
      <c r="S637">
        <v>3.063812</v>
      </c>
      <c r="T637">
        <v>-0.1929806</v>
      </c>
      <c r="U637">
        <v>-7.5531009999999996E-2</v>
      </c>
      <c r="V637">
        <v>-1.2150849999999999E-2</v>
      </c>
      <c r="W637">
        <v>0.1607606</v>
      </c>
      <c r="X637">
        <v>0.98691859999999998</v>
      </c>
      <c r="Y637">
        <v>2.3985900000000001E-2</v>
      </c>
      <c r="Z637">
        <v>-8.6711259999999995E-4</v>
      </c>
      <c r="AA637">
        <v>0.99971189999999999</v>
      </c>
      <c r="AB637">
        <v>29</v>
      </c>
      <c r="AC637">
        <v>17.598199999999999</v>
      </c>
      <c r="AD637">
        <v>-1.121152854934</v>
      </c>
      <c r="AE637">
        <v>-0.43869999999998199</v>
      </c>
      <c r="AF637">
        <v>0.42634707104637498</v>
      </c>
      <c r="AG637">
        <v>-1.121152854934</v>
      </c>
      <c r="AH637">
        <v>17.527366465672301</v>
      </c>
      <c r="AI637">
        <v>93.658907408694901</v>
      </c>
      <c r="AJ637">
        <v>88.606574944673298</v>
      </c>
      <c r="AK637">
        <v>17.568361641629799</v>
      </c>
      <c r="AL637">
        <v>80.748952794647707</v>
      </c>
      <c r="AM637">
        <v>90.705384667696407</v>
      </c>
      <c r="AN637">
        <v>0.99999996834701999</v>
      </c>
    </row>
    <row r="638" spans="1:40" x14ac:dyDescent="0.25">
      <c r="A638" t="str">
        <f>"20190303161853942"</f>
        <v>20190303161853942</v>
      </c>
      <c r="B638" t="str">
        <f>"1551601133933620"</f>
        <v>1551601133933620</v>
      </c>
      <c r="C638" t="s">
        <v>40</v>
      </c>
      <c r="D638">
        <v>4.7557070000000001</v>
      </c>
      <c r="E638">
        <v>0.51460280000000003</v>
      </c>
      <c r="F638" t="s">
        <v>41</v>
      </c>
      <c r="G638">
        <v>-356.6902</v>
      </c>
      <c r="H638" s="1">
        <v>-1.950161E-6</v>
      </c>
      <c r="I638">
        <v>366.52730000000003</v>
      </c>
      <c r="J638">
        <v>-374.22890000000001</v>
      </c>
      <c r="K638">
        <v>1.121154</v>
      </c>
      <c r="L638">
        <v>366.9699</v>
      </c>
      <c r="M638">
        <v>0.99992879999999995</v>
      </c>
      <c r="N638">
        <v>-1.193728E-2</v>
      </c>
      <c r="O638">
        <v>-6.0362879999999999E-4</v>
      </c>
      <c r="P638">
        <v>0.98878460000000001</v>
      </c>
      <c r="Q638">
        <v>0.14889439999999901</v>
      </c>
      <c r="R638">
        <v>1.166236E-2</v>
      </c>
      <c r="S638">
        <v>3.0639340000000002</v>
      </c>
      <c r="T638">
        <v>-0.19267799999999999</v>
      </c>
      <c r="U638">
        <v>-7.6080320000000007E-2</v>
      </c>
      <c r="V638">
        <v>-1.225359E-2</v>
      </c>
      <c r="W638">
        <v>0.16068760000000001</v>
      </c>
      <c r="X638">
        <v>0.98692919999999995</v>
      </c>
      <c r="Y638">
        <v>2.4163790000000001E-2</v>
      </c>
      <c r="Z638">
        <v>-8.726176E-4</v>
      </c>
      <c r="AA638">
        <v>0.99970760000000003</v>
      </c>
      <c r="AB638">
        <v>29</v>
      </c>
      <c r="AC638">
        <v>17.538699999999999</v>
      </c>
      <c r="AD638">
        <v>-1.121155950161</v>
      </c>
      <c r="AE638">
        <v>-0.44259999999997002</v>
      </c>
      <c r="AF638">
        <v>0.43025524161652201</v>
      </c>
      <c r="AG638">
        <v>-1.121155950161</v>
      </c>
      <c r="AH638">
        <v>17.4676302882249</v>
      </c>
      <c r="AI638">
        <v>93.671368670849404</v>
      </c>
      <c r="AJ638">
        <v>88.589000034414298</v>
      </c>
      <c r="AK638">
        <v>17.5088611315423</v>
      </c>
      <c r="AL638">
        <v>80.753190313113507</v>
      </c>
      <c r="AM638">
        <v>90.711340710290003</v>
      </c>
      <c r="AN638">
        <v>0.99999995053714197</v>
      </c>
    </row>
    <row r="639" spans="1:40" x14ac:dyDescent="0.25">
      <c r="A639" t="str">
        <f>"20190303161853955"</f>
        <v>20190303161853955</v>
      </c>
      <c r="B639" t="str">
        <f>"1551601133943380"</f>
        <v>1551601133943380</v>
      </c>
      <c r="C639" t="s">
        <v>40</v>
      </c>
      <c r="D639">
        <v>4.744313</v>
      </c>
      <c r="E639">
        <v>0.51462580000000002</v>
      </c>
      <c r="F639" t="s">
        <v>41</v>
      </c>
      <c r="G639">
        <v>-356.47820000000002</v>
      </c>
      <c r="H639" s="1">
        <v>-2.040883E-6</v>
      </c>
      <c r="I639">
        <v>366.52839999999998</v>
      </c>
      <c r="J639">
        <v>-374.05880000000002</v>
      </c>
      <c r="K639">
        <v>1.1211519999999999</v>
      </c>
      <c r="L639">
        <v>366.96980000000002</v>
      </c>
      <c r="M639">
        <v>0.9999287</v>
      </c>
      <c r="N639">
        <v>-1.19376E-2</v>
      </c>
      <c r="O639">
        <v>-6.0351129999999895E-4</v>
      </c>
      <c r="P639">
        <v>0.98876719999999896</v>
      </c>
      <c r="Q639">
        <v>0.1489867</v>
      </c>
      <c r="R639">
        <v>1.194776E-2</v>
      </c>
      <c r="S639">
        <v>3.0640559999999999</v>
      </c>
      <c r="T639">
        <v>-0.19352900000000001</v>
      </c>
      <c r="U639">
        <v>-7.6202389999999995E-2</v>
      </c>
      <c r="V639">
        <v>-1.253811E-2</v>
      </c>
      <c r="W639">
        <v>0.1607799</v>
      </c>
      <c r="X639">
        <v>0.98691059999999997</v>
      </c>
      <c r="Y639">
        <v>2.4202169999999999E-2</v>
      </c>
      <c r="Z639">
        <v>-8.7721839999999995E-4</v>
      </c>
      <c r="AA639">
        <v>0.99970669999999995</v>
      </c>
      <c r="AB639">
        <v>29</v>
      </c>
      <c r="AC639">
        <v>17.5806</v>
      </c>
      <c r="AD639">
        <v>-1.1211540408830001</v>
      </c>
      <c r="AE639">
        <v>-0.44140000000004398</v>
      </c>
      <c r="AF639">
        <v>0.42904529039497302</v>
      </c>
      <c r="AG639">
        <v>-1.1211540408830001</v>
      </c>
      <c r="AH639">
        <v>17.509697927085401</v>
      </c>
      <c r="AI639">
        <v>93.662577406068294</v>
      </c>
      <c r="AJ639">
        <v>88.596345501496501</v>
      </c>
      <c r="AK639">
        <v>17.550800202337701</v>
      </c>
      <c r="AL639">
        <v>80.747832300643594</v>
      </c>
      <c r="AM639">
        <v>90.727869515721494</v>
      </c>
      <c r="AN639">
        <v>0.99999995641937001</v>
      </c>
    </row>
    <row r="640" spans="1:40" x14ac:dyDescent="0.25">
      <c r="A640" t="str">
        <f>"20190303161853969"</f>
        <v>20190303161853969</v>
      </c>
      <c r="B640" t="str">
        <f>"1551601133964852"</f>
        <v>1551601133964852</v>
      </c>
      <c r="C640" t="s">
        <v>40</v>
      </c>
      <c r="D640">
        <v>4.722467</v>
      </c>
      <c r="E640">
        <v>0.51458669999999995</v>
      </c>
      <c r="F640" t="s">
        <v>41</v>
      </c>
      <c r="G640">
        <v>-356.31040000000002</v>
      </c>
      <c r="H640" s="1">
        <v>-2.1123399999999999E-6</v>
      </c>
      <c r="I640">
        <v>366.53160000000003</v>
      </c>
      <c r="J640">
        <v>-373.8698</v>
      </c>
      <c r="K640">
        <v>1.121151</v>
      </c>
      <c r="L640">
        <v>366.96969999999999</v>
      </c>
      <c r="M640">
        <v>0.99992859999999995</v>
      </c>
      <c r="N640">
        <v>-1.1937949999999999E-2</v>
      </c>
      <c r="O640">
        <v>-6.0339409999999997E-4</v>
      </c>
      <c r="P640">
        <v>0.98877219999999999</v>
      </c>
      <c r="Q640">
        <v>0.14896089999999901</v>
      </c>
      <c r="R640">
        <v>1.18531E-2</v>
      </c>
      <c r="S640">
        <v>3.0641780000000001</v>
      </c>
      <c r="T640">
        <v>-0.1935606</v>
      </c>
      <c r="U640">
        <v>-7.5653079999999998E-2</v>
      </c>
      <c r="V640">
        <v>-1.2443569999999999E-2</v>
      </c>
      <c r="W640">
        <v>0.16075490000000001</v>
      </c>
      <c r="X640">
        <v>0.98691589999999996</v>
      </c>
      <c r="Y640">
        <v>2.402261E-2</v>
      </c>
      <c r="Z640">
        <v>-8.7058139999999997E-4</v>
      </c>
      <c r="AA640">
        <v>0.99971100000000002</v>
      </c>
      <c r="AB640">
        <v>29</v>
      </c>
      <c r="AC640">
        <v>17.559399999999901</v>
      </c>
      <c r="AD640">
        <v>-1.12115311234</v>
      </c>
      <c r="AE640">
        <v>-0.43809999999996302</v>
      </c>
      <c r="AF640">
        <v>0.42576926646004098</v>
      </c>
      <c r="AG640">
        <v>-1.12115311234</v>
      </c>
      <c r="AH640">
        <v>17.488410230948801</v>
      </c>
      <c r="AI640">
        <v>93.667034537030105</v>
      </c>
      <c r="AJ640">
        <v>88.605364143141898</v>
      </c>
      <c r="AK640">
        <v>17.529482484532299</v>
      </c>
      <c r="AL640">
        <v>80.749283858166805</v>
      </c>
      <c r="AM640">
        <v>90.722377930531593</v>
      </c>
      <c r="AN640">
        <v>0.99999998699058201</v>
      </c>
    </row>
    <row r="641" spans="1:40" x14ac:dyDescent="0.25">
      <c r="A641" t="str">
        <f>"20190303161853986"</f>
        <v>20190303161853986</v>
      </c>
      <c r="B641" t="str">
        <f>"1551601133973636"</f>
        <v>1551601133973636</v>
      </c>
      <c r="C641" t="s">
        <v>40</v>
      </c>
      <c r="D641">
        <v>4.733123</v>
      </c>
      <c r="E641">
        <v>0.51459690000000002</v>
      </c>
      <c r="F641" t="s">
        <v>41</v>
      </c>
      <c r="G641">
        <v>-356.19819999999999</v>
      </c>
      <c r="H641" s="1">
        <v>-2.1601249999999999E-6</v>
      </c>
      <c r="I641">
        <v>366.53359999999998</v>
      </c>
      <c r="J641">
        <v>-373.6422</v>
      </c>
      <c r="K641">
        <v>1.121154</v>
      </c>
      <c r="L641">
        <v>366.96960000000001</v>
      </c>
      <c r="M641">
        <v>0.99992859999999995</v>
      </c>
      <c r="N641">
        <v>-1.193836E-2</v>
      </c>
      <c r="O641">
        <v>-6.0315800000000001E-4</v>
      </c>
      <c r="P641">
        <v>0.98872230000000005</v>
      </c>
      <c r="Q641">
        <v>0.14928659999999999</v>
      </c>
      <c r="R641">
        <v>1.1914249999999999E-2</v>
      </c>
      <c r="S641">
        <v>3.06427</v>
      </c>
      <c r="T641">
        <v>-0.19440689999999999</v>
      </c>
      <c r="U641">
        <v>-7.5622560000000005E-2</v>
      </c>
      <c r="V641">
        <v>-1.250455E-2</v>
      </c>
      <c r="W641">
        <v>0.1610801</v>
      </c>
      <c r="X641">
        <v>0.98686209999999996</v>
      </c>
      <c r="Y641">
        <v>2.4011729999999998E-2</v>
      </c>
      <c r="Z641">
        <v>-8.7330980000000001E-4</v>
      </c>
      <c r="AA641">
        <v>0.99971129999999997</v>
      </c>
      <c r="AB641">
        <v>29</v>
      </c>
      <c r="AC641">
        <v>17.443999999999999</v>
      </c>
      <c r="AD641">
        <v>-1.121156160125</v>
      </c>
      <c r="AE641">
        <v>-0.43600000000003503</v>
      </c>
      <c r="AF641">
        <v>0.423728414868973</v>
      </c>
      <c r="AG641">
        <v>-1.121156160125</v>
      </c>
      <c r="AH641">
        <v>17.372541159331</v>
      </c>
      <c r="AI641">
        <v>93.691431016921499</v>
      </c>
      <c r="AJ641">
        <v>88.602792937472103</v>
      </c>
      <c r="AK641">
        <v>17.413837119876899</v>
      </c>
      <c r="AL641">
        <v>80.730405208007198</v>
      </c>
      <c r="AM641">
        <v>90.725957152296502</v>
      </c>
      <c r="AN641">
        <v>0.99999998340156104</v>
      </c>
    </row>
    <row r="642" spans="1:40" x14ac:dyDescent="0.25">
      <c r="A642" t="str">
        <f>"20190303161853999"</f>
        <v>20190303161853999</v>
      </c>
      <c r="B642" t="str">
        <f>"1551601133993155"</f>
        <v>1551601133993155</v>
      </c>
      <c r="C642" t="s">
        <v>40</v>
      </c>
      <c r="D642">
        <v>4.780456</v>
      </c>
      <c r="E642">
        <v>0.51469620000000005</v>
      </c>
      <c r="F642" t="s">
        <v>41</v>
      </c>
      <c r="G642">
        <v>-355.89449999999999</v>
      </c>
      <c r="H642" s="1">
        <v>-2.2906909999999999E-6</v>
      </c>
      <c r="I642">
        <v>366.53190000000001</v>
      </c>
      <c r="J642">
        <v>-373.47910000000002</v>
      </c>
      <c r="K642">
        <v>1.121149</v>
      </c>
      <c r="L642">
        <v>366.96949999999998</v>
      </c>
      <c r="M642">
        <v>0.9999287</v>
      </c>
      <c r="N642">
        <v>-1.193864E-2</v>
      </c>
      <c r="O642">
        <v>-6.0315970000000005E-4</v>
      </c>
      <c r="P642">
        <v>0.98872579999999999</v>
      </c>
      <c r="Q642">
        <v>0.14926489999999901</v>
      </c>
      <c r="R642">
        <v>1.190751E-2</v>
      </c>
      <c r="S642">
        <v>3.0643310000000001</v>
      </c>
      <c r="T642">
        <v>-0.193579</v>
      </c>
      <c r="U642">
        <v>-7.5561519999999993E-2</v>
      </c>
      <c r="V642">
        <v>-1.249754E-2</v>
      </c>
      <c r="W642">
        <v>0.16105849999999999</v>
      </c>
      <c r="X642">
        <v>0.98686580000000002</v>
      </c>
      <c r="Y642">
        <v>2.3991829999999999E-2</v>
      </c>
      <c r="Z642">
        <v>-8.6947969999999996E-4</v>
      </c>
      <c r="AA642">
        <v>0.99971180000000004</v>
      </c>
      <c r="AB642">
        <v>29</v>
      </c>
      <c r="AC642">
        <v>17.584599999999998</v>
      </c>
      <c r="AD642">
        <v>-1.1211512906909999</v>
      </c>
      <c r="AE642">
        <v>-0.43759999999997401</v>
      </c>
      <c r="AF642">
        <v>0.42526519927723899</v>
      </c>
      <c r="AG642">
        <v>-1.1211512906909999</v>
      </c>
      <c r="AH642">
        <v>17.513711112290199</v>
      </c>
      <c r="AI642">
        <v>93.661751183674994</v>
      </c>
      <c r="AJ642">
        <v>88.6090261593733</v>
      </c>
      <c r="AK642">
        <v>17.5547118356039</v>
      </c>
      <c r="AL642">
        <v>80.731659961363206</v>
      </c>
      <c r="AM642">
        <v>90.7255475072064</v>
      </c>
      <c r="AN642">
        <v>1.00000006806896</v>
      </c>
    </row>
    <row r="643" spans="1:40" x14ac:dyDescent="0.25">
      <c r="A643" t="str">
        <f>"20190303161854011"</f>
        <v>20190303161854011</v>
      </c>
      <c r="B643" t="str">
        <f>"1551601134003892"</f>
        <v>1551601134003892</v>
      </c>
      <c r="C643" t="s">
        <v>40</v>
      </c>
      <c r="D643">
        <v>4.7507799999999998</v>
      </c>
      <c r="E643">
        <v>0.51474830000000005</v>
      </c>
      <c r="F643" t="s">
        <v>41</v>
      </c>
      <c r="G643">
        <v>-355.73790000000002</v>
      </c>
      <c r="H643" s="1">
        <v>-2.3580300000000001E-6</v>
      </c>
      <c r="I643">
        <v>366.53109999999998</v>
      </c>
      <c r="J643">
        <v>-373.31869999999998</v>
      </c>
      <c r="K643">
        <v>1.121149</v>
      </c>
      <c r="L643">
        <v>366.96940000000001</v>
      </c>
      <c r="M643">
        <v>0.99992859999999995</v>
      </c>
      <c r="N643">
        <v>-1.193892E-2</v>
      </c>
      <c r="O643">
        <v>-6.0304209999999996E-4</v>
      </c>
      <c r="P643">
        <v>0.98870570000000002</v>
      </c>
      <c r="Q643">
        <v>0.149383399999999</v>
      </c>
      <c r="R643">
        <v>1.207925E-2</v>
      </c>
      <c r="S643">
        <v>3.0643919999999998</v>
      </c>
      <c r="T643">
        <v>-0.19365199999999999</v>
      </c>
      <c r="U643">
        <v>-7.5714110000000001E-2</v>
      </c>
      <c r="V643">
        <v>-1.266952E-2</v>
      </c>
      <c r="W643">
        <v>0.1611775</v>
      </c>
      <c r="X643">
        <v>0.9868441</v>
      </c>
      <c r="Y643">
        <v>2.4041050000000001E-2</v>
      </c>
      <c r="Z643">
        <v>-8.715932E-4</v>
      </c>
      <c r="AA643">
        <v>0.9997106</v>
      </c>
      <c r="AB643">
        <v>29</v>
      </c>
      <c r="AC643">
        <v>17.580799999999901</v>
      </c>
      <c r="AD643">
        <v>-1.1211513580300001</v>
      </c>
      <c r="AE643">
        <v>-0.438300000000026</v>
      </c>
      <c r="AF643">
        <v>0.42596596659647501</v>
      </c>
      <c r="AG643">
        <v>-1.1211513580300001</v>
      </c>
      <c r="AH643">
        <v>17.509896380026699</v>
      </c>
      <c r="AI643">
        <v>93.662542966379604</v>
      </c>
      <c r="AJ643">
        <v>88.606431546157296</v>
      </c>
      <c r="AK643">
        <v>17.550923013094899</v>
      </c>
      <c r="AL643">
        <v>80.724750780075397</v>
      </c>
      <c r="AM643">
        <v>90.735546927504302</v>
      </c>
      <c r="AN643">
        <v>0.99999999047404498</v>
      </c>
    </row>
    <row r="644" spans="1:40" x14ac:dyDescent="0.25">
      <c r="A644" t="str">
        <f>"20190303161854023"</f>
        <v>20190303161854023</v>
      </c>
      <c r="B644" t="str">
        <f>"1551601134013652"</f>
        <v>1551601134013652</v>
      </c>
      <c r="C644" t="s">
        <v>40</v>
      </c>
      <c r="D644">
        <v>4.742661</v>
      </c>
      <c r="E644">
        <v>0.51478999999999997</v>
      </c>
      <c r="F644" t="s">
        <v>41</v>
      </c>
      <c r="G644">
        <v>-355.54969999999997</v>
      </c>
      <c r="H644" s="1">
        <v>-2.4386880000000001E-6</v>
      </c>
      <c r="I644">
        <v>366.53160000000003</v>
      </c>
      <c r="J644">
        <v>-373.15780000000001</v>
      </c>
      <c r="K644">
        <v>1.121154</v>
      </c>
      <c r="L644">
        <v>366.96929999999998</v>
      </c>
      <c r="M644">
        <v>0.9999287</v>
      </c>
      <c r="N644">
        <v>-1.1939200000000001E-2</v>
      </c>
      <c r="O644">
        <v>-6.0304369999999996E-4</v>
      </c>
      <c r="P644">
        <v>0.98874709999999999</v>
      </c>
      <c r="Q644">
        <v>0.14912120000000001</v>
      </c>
      <c r="R644">
        <v>1.193674E-2</v>
      </c>
      <c r="S644">
        <v>3.0643919999999998</v>
      </c>
      <c r="T644">
        <v>-0.19334950000000001</v>
      </c>
      <c r="U644">
        <v>-7.5500490000000003E-2</v>
      </c>
      <c r="V644">
        <v>-1.252701E-2</v>
      </c>
      <c r="W644">
        <v>0.16091539999999999</v>
      </c>
      <c r="X644">
        <v>0.98688869999999895</v>
      </c>
      <c r="Y644">
        <v>2.397173E-2</v>
      </c>
      <c r="Z644">
        <v>-8.6787379999999996E-4</v>
      </c>
      <c r="AA644">
        <v>0.9997123</v>
      </c>
      <c r="AB644">
        <v>29</v>
      </c>
      <c r="AC644">
        <v>17.6081</v>
      </c>
      <c r="AD644">
        <v>-1.121156438688</v>
      </c>
      <c r="AE644">
        <v>-0.43769999999994902</v>
      </c>
      <c r="AF644">
        <v>0.425357283827348</v>
      </c>
      <c r="AG644">
        <v>-1.121156438688</v>
      </c>
      <c r="AH644">
        <v>17.537304563777798</v>
      </c>
      <c r="AI644">
        <v>93.656857468843299</v>
      </c>
      <c r="AJ644">
        <v>88.610596072910099</v>
      </c>
      <c r="AK644">
        <v>17.5782528125414</v>
      </c>
      <c r="AL644">
        <v>80.7399666992725</v>
      </c>
      <c r="AM644">
        <v>90.727241337509298</v>
      </c>
      <c r="AN644">
        <v>0.99999999906219394</v>
      </c>
    </row>
    <row r="645" spans="1:40" x14ac:dyDescent="0.25">
      <c r="A645" t="str">
        <f>"20190303161854037"</f>
        <v>20190303161854037</v>
      </c>
      <c r="B645" t="str">
        <f>"1551601134033172"</f>
        <v>1551601134033172</v>
      </c>
      <c r="C645" t="s">
        <v>40</v>
      </c>
      <c r="D645">
        <v>4.7455480000000003</v>
      </c>
      <c r="E645">
        <v>0.51497859999999995</v>
      </c>
      <c r="F645" t="s">
        <v>41</v>
      </c>
      <c r="G645">
        <v>-355.41520000000003</v>
      </c>
      <c r="H645" s="1">
        <v>-2.496986E-6</v>
      </c>
      <c r="I645">
        <v>366.52800000000002</v>
      </c>
      <c r="J645">
        <v>-372.97930000000002</v>
      </c>
      <c r="K645">
        <v>1.121159</v>
      </c>
      <c r="L645">
        <v>366.9692</v>
      </c>
      <c r="M645">
        <v>0.9999287</v>
      </c>
      <c r="N645">
        <v>-1.193952E-2</v>
      </c>
      <c r="O645">
        <v>-6.0304559999999996E-4</v>
      </c>
      <c r="P645">
        <v>0.9887032</v>
      </c>
      <c r="Q645">
        <v>0.1494289</v>
      </c>
      <c r="R645">
        <v>1.1722969999999999E-2</v>
      </c>
      <c r="S645">
        <v>3.0643009999999999</v>
      </c>
      <c r="T645">
        <v>-0.193632</v>
      </c>
      <c r="U645">
        <v>-7.6202389999999995E-2</v>
      </c>
      <c r="V645">
        <v>-1.2312740000000001E-2</v>
      </c>
      <c r="W645">
        <v>0.16122320000000001</v>
      </c>
      <c r="X645">
        <v>0.98684110000000003</v>
      </c>
      <c r="Y645">
        <v>2.4200610000000001E-2</v>
      </c>
      <c r="Z645">
        <v>-8.7753579999999998E-4</v>
      </c>
      <c r="AA645">
        <v>0.99970669999999995</v>
      </c>
      <c r="AB645">
        <v>29</v>
      </c>
      <c r="AC645">
        <v>17.5640999999999</v>
      </c>
      <c r="AD645">
        <v>-1.121161496986</v>
      </c>
      <c r="AE645">
        <v>-0.44119999999998</v>
      </c>
      <c r="AF645">
        <v>0.42886088031892</v>
      </c>
      <c r="AG645">
        <v>-1.121161496986</v>
      </c>
      <c r="AH645">
        <v>17.493130397144299</v>
      </c>
      <c r="AI645">
        <v>93.666059912935296</v>
      </c>
      <c r="AJ645">
        <v>88.595620291018506</v>
      </c>
      <c r="AK645">
        <v>17.5342674739633</v>
      </c>
      <c r="AL645">
        <v>80.722097194294093</v>
      </c>
      <c r="AM645">
        <v>90.714837912687798</v>
      </c>
      <c r="AN645">
        <v>0.99999994021687699</v>
      </c>
    </row>
    <row r="646" spans="1:40" x14ac:dyDescent="0.25">
      <c r="A646" t="str">
        <f>"20190303161854049"</f>
        <v>20190303161854049</v>
      </c>
      <c r="B646" t="str">
        <f>"1551601134043908"</f>
        <v>1551601134043908</v>
      </c>
      <c r="C646" t="s">
        <v>40</v>
      </c>
      <c r="D646">
        <v>4.9445040000000002</v>
      </c>
      <c r="E646">
        <v>0.51497859999999995</v>
      </c>
      <c r="F646" t="s">
        <v>41</v>
      </c>
      <c r="G646">
        <v>-355.04320000000001</v>
      </c>
      <c r="H646" s="1">
        <v>-2.6599639999999998E-6</v>
      </c>
      <c r="I646">
        <v>366.50900000000001</v>
      </c>
      <c r="J646">
        <v>-372.81319999999999</v>
      </c>
      <c r="K646">
        <v>1.1211610000000001</v>
      </c>
      <c r="L646">
        <v>366.96910000000003</v>
      </c>
      <c r="M646">
        <v>0.9999287</v>
      </c>
      <c r="N646">
        <v>-1.193981E-2</v>
      </c>
      <c r="O646">
        <v>-6.0256760000000002E-4</v>
      </c>
      <c r="P646">
        <v>0.98867669999999996</v>
      </c>
      <c r="Q646">
        <v>0.1496073</v>
      </c>
      <c r="R646">
        <v>1.166329E-2</v>
      </c>
      <c r="S646">
        <v>3.0641479999999999</v>
      </c>
      <c r="T646">
        <v>-0.19153400000000001</v>
      </c>
      <c r="U646">
        <v>-7.8613279999999994E-2</v>
      </c>
      <c r="V646">
        <v>-1.2252610000000001E-2</v>
      </c>
      <c r="W646">
        <v>0.16140199999999999</v>
      </c>
      <c r="X646">
        <v>0.98681269999999999</v>
      </c>
      <c r="Y646">
        <v>2.4987680000000002E-2</v>
      </c>
      <c r="Z646">
        <v>-8.9901939999999995E-4</v>
      </c>
      <c r="AA646">
        <v>0.9996874</v>
      </c>
      <c r="AB646">
        <v>29</v>
      </c>
      <c r="AC646">
        <v>17.7699999999999</v>
      </c>
      <c r="AD646">
        <v>-1.121163659964</v>
      </c>
      <c r="AE646">
        <v>-0.460100000000011</v>
      </c>
      <c r="AF646">
        <v>0.44761090237887902</v>
      </c>
      <c r="AG646">
        <v>-1.121163659964</v>
      </c>
      <c r="AH646">
        <v>17.699862790337001</v>
      </c>
      <c r="AI646">
        <v>93.623292944736505</v>
      </c>
      <c r="AJ646">
        <v>88.551358799285893</v>
      </c>
      <c r="AK646">
        <v>17.740983802176999</v>
      </c>
      <c r="AL646">
        <v>80.711717492729903</v>
      </c>
      <c r="AM646">
        <v>90.711367788850694</v>
      </c>
      <c r="AN646">
        <v>1.00000001846855</v>
      </c>
    </row>
    <row r="647" spans="1:40" x14ac:dyDescent="0.25">
      <c r="A647" t="str">
        <f>"20190303161854064"</f>
        <v>20190303161854064</v>
      </c>
      <c r="B647" t="str">
        <f>"1551601134053668"</f>
        <v>1551601134053668</v>
      </c>
      <c r="C647" t="s">
        <v>40</v>
      </c>
      <c r="D647">
        <v>4.7428100000000004</v>
      </c>
      <c r="E647">
        <v>0.51429689999999995</v>
      </c>
      <c r="F647" t="s">
        <v>41</v>
      </c>
      <c r="G647">
        <v>-354.82279999999997</v>
      </c>
      <c r="H647" s="1">
        <v>-2.7550680000000001E-6</v>
      </c>
      <c r="I647">
        <v>366.5059</v>
      </c>
      <c r="J647">
        <v>-372.61590000000001</v>
      </c>
      <c r="K647">
        <v>1.121159</v>
      </c>
      <c r="L647">
        <v>366.96899999999999</v>
      </c>
      <c r="M647">
        <v>0.99992859999999995</v>
      </c>
      <c r="N647">
        <v>-1.194016E-2</v>
      </c>
      <c r="O647">
        <v>-6.0077190000000003E-4</v>
      </c>
      <c r="P647">
        <v>0.98864350000000001</v>
      </c>
      <c r="Q647">
        <v>0.149835</v>
      </c>
      <c r="R647">
        <v>1.1565260000000001E-2</v>
      </c>
      <c r="S647">
        <v>3.064209</v>
      </c>
      <c r="T647">
        <v>-0.19096050000000001</v>
      </c>
      <c r="U647">
        <v>-7.8887940000000004E-2</v>
      </c>
      <c r="V647">
        <v>-1.215334E-2</v>
      </c>
      <c r="W647">
        <v>0.161629299999999</v>
      </c>
      <c r="X647">
        <v>0.98677669999999995</v>
      </c>
      <c r="Y647">
        <v>2.5078610000000001E-2</v>
      </c>
      <c r="Z647">
        <v>-9.0025309999999998E-4</v>
      </c>
      <c r="AA647">
        <v>0.99968500000000005</v>
      </c>
      <c r="AB647">
        <v>29</v>
      </c>
      <c r="AC647">
        <v>17.793099999999999</v>
      </c>
      <c r="AD647">
        <v>-1.121161755068</v>
      </c>
      <c r="AE647">
        <v>-0.46309999999999701</v>
      </c>
      <c r="AF647">
        <v>0.45062162751984097</v>
      </c>
      <c r="AG647">
        <v>-1.121161755068</v>
      </c>
      <c r="AH647">
        <v>17.723055196468302</v>
      </c>
      <c r="AI647">
        <v>93.618545465354501</v>
      </c>
      <c r="AJ647">
        <v>88.543526743623204</v>
      </c>
      <c r="AK647">
        <v>17.764198519192401</v>
      </c>
      <c r="AL647">
        <v>80.698520672454805</v>
      </c>
      <c r="AM647">
        <v>90.705630649209994</v>
      </c>
      <c r="AN647">
        <v>0.99999999497726699</v>
      </c>
    </row>
    <row r="648" spans="1:40" x14ac:dyDescent="0.25">
      <c r="A648" t="str">
        <f>"20190303161854078"</f>
        <v>20190303161854078</v>
      </c>
      <c r="B648" t="str">
        <f>"1551601134074164"</f>
        <v>1551601134074164</v>
      </c>
      <c r="C648" t="s">
        <v>40</v>
      </c>
      <c r="D648">
        <v>4.6689470000000002</v>
      </c>
      <c r="E648">
        <v>0.5154628</v>
      </c>
      <c r="F648" t="s">
        <v>41</v>
      </c>
      <c r="G648">
        <v>-344.33479999999997</v>
      </c>
      <c r="H648" s="1">
        <v>-3.250691E-6</v>
      </c>
      <c r="I648">
        <v>366.27760000000001</v>
      </c>
      <c r="J648">
        <v>-372.44200000000001</v>
      </c>
      <c r="K648">
        <v>1.1211610000000001</v>
      </c>
      <c r="L648">
        <v>366.96890000000002</v>
      </c>
      <c r="M648">
        <v>0.99992859999999995</v>
      </c>
      <c r="N648">
        <v>-1.194047E-2</v>
      </c>
      <c r="O648">
        <v>-5.9789589999999996E-4</v>
      </c>
      <c r="P648">
        <v>0.98865349999999996</v>
      </c>
      <c r="Q648">
        <v>0.14976539999999999</v>
      </c>
      <c r="R648">
        <v>1.160548E-2</v>
      </c>
      <c r="S648">
        <v>3.0536500000000002</v>
      </c>
      <c r="T648">
        <v>-0.12105730000000001</v>
      </c>
      <c r="U648">
        <v>-7.4646000000000004E-2</v>
      </c>
      <c r="V648">
        <v>-1.219112E-2</v>
      </c>
      <c r="W648">
        <v>0.16156010000000001</v>
      </c>
      <c r="X648">
        <v>0.98678759999999999</v>
      </c>
      <c r="Y648">
        <v>2.3815679999999999E-2</v>
      </c>
      <c r="Z648">
        <v>-5.975431E-4</v>
      </c>
      <c r="AA648">
        <v>0.99971620000000005</v>
      </c>
      <c r="AB648">
        <v>29</v>
      </c>
      <c r="AC648">
        <v>28.107199999999899</v>
      </c>
      <c r="AD648">
        <v>-1.121164250691</v>
      </c>
      <c r="AE648">
        <v>-0.69130000000001202</v>
      </c>
      <c r="AF648">
        <v>0.673422650400615</v>
      </c>
      <c r="AG648">
        <v>-1.121164250691</v>
      </c>
      <c r="AH648">
        <v>28.0629837108742</v>
      </c>
      <c r="AI648">
        <v>92.287190031497403</v>
      </c>
      <c r="AJ648">
        <v>88.625346740471699</v>
      </c>
      <c r="AK648">
        <v>28.093443400549798</v>
      </c>
      <c r="AL648">
        <v>80.702538657485704</v>
      </c>
      <c r="AM648">
        <v>90.707816139419293</v>
      </c>
      <c r="AN648">
        <v>1.00000002841631</v>
      </c>
    </row>
    <row r="649" spans="1:40" x14ac:dyDescent="0.25">
      <c r="A649" t="str">
        <f>"20190303161854093"</f>
        <v>20190303161854093</v>
      </c>
      <c r="B649" t="str">
        <f>"1551601134084447"</f>
        <v>1551601134084447</v>
      </c>
      <c r="C649" t="s">
        <v>40</v>
      </c>
      <c r="D649">
        <v>4.7573429999999997</v>
      </c>
      <c r="E649">
        <v>0.51573500000000005</v>
      </c>
      <c r="F649" t="s">
        <v>41</v>
      </c>
      <c r="G649">
        <v>-342.77510000000001</v>
      </c>
      <c r="H649" s="1">
        <v>-4.009191E-6</v>
      </c>
      <c r="I649">
        <v>366.15809999999999</v>
      </c>
      <c r="J649">
        <v>-372.25099999999998</v>
      </c>
      <c r="K649">
        <v>1.1211599999999999</v>
      </c>
      <c r="L649">
        <v>366.96879999999999</v>
      </c>
      <c r="M649">
        <v>0.9999285</v>
      </c>
      <c r="N649">
        <v>-1.194082E-2</v>
      </c>
      <c r="O649">
        <v>-5.9334220000000003E-4</v>
      </c>
      <c r="P649">
        <v>0.98863140000000005</v>
      </c>
      <c r="Q649">
        <v>0.14991170000000001</v>
      </c>
      <c r="R649">
        <v>1.160366E-2</v>
      </c>
      <c r="S649">
        <v>3.0528870000000001</v>
      </c>
      <c r="T649">
        <v>-0.115374</v>
      </c>
      <c r="U649">
        <v>-8.3435060000000005E-2</v>
      </c>
      <c r="V649">
        <v>-1.2185649999999999E-2</v>
      </c>
      <c r="W649">
        <v>0.16170599999999999</v>
      </c>
      <c r="X649">
        <v>0.98676370000000002</v>
      </c>
      <c r="Y649">
        <v>2.670165E-2</v>
      </c>
      <c r="Z649">
        <v>-6.4847799999999997E-4</v>
      </c>
      <c r="AA649">
        <v>0.99964330000000001</v>
      </c>
      <c r="AB649">
        <v>29</v>
      </c>
      <c r="AC649">
        <v>29.4758999999999</v>
      </c>
      <c r="AD649">
        <v>-1.121164009191</v>
      </c>
      <c r="AE649">
        <v>-0.81069999999999698</v>
      </c>
      <c r="AF649">
        <v>0.79206423358818001</v>
      </c>
      <c r="AG649">
        <v>-1.121164009191</v>
      </c>
      <c r="AH649">
        <v>29.433823627437398</v>
      </c>
      <c r="AI649">
        <v>92.180610746821799</v>
      </c>
      <c r="AJ649">
        <v>88.458542505264802</v>
      </c>
      <c r="AK649">
        <v>29.465816598504901</v>
      </c>
      <c r="AL649">
        <v>80.694067178169206</v>
      </c>
      <c r="AM649">
        <v>90.707515717929894</v>
      </c>
      <c r="AN649">
        <v>0.99999996006980496</v>
      </c>
    </row>
    <row r="650" spans="1:40" x14ac:dyDescent="0.25">
      <c r="A650" t="str">
        <f>"20190303161854109"</f>
        <v>20190303161854109</v>
      </c>
      <c r="B650" t="str">
        <f>"1551601134103950"</f>
        <v>1551601134103950</v>
      </c>
      <c r="C650" t="s">
        <v>40</v>
      </c>
      <c r="D650">
        <v>4.7316539999999998</v>
      </c>
      <c r="E650">
        <v>0.51577819999999996</v>
      </c>
      <c r="F650" t="s">
        <v>41</v>
      </c>
      <c r="G650">
        <v>-342.09410000000003</v>
      </c>
      <c r="H650" s="1">
        <v>-4.337615E-6</v>
      </c>
      <c r="I650">
        <v>366.12130000000002</v>
      </c>
      <c r="J650">
        <v>-372.03269999999998</v>
      </c>
      <c r="K650">
        <v>1.1211660000000001</v>
      </c>
      <c r="L650">
        <v>366.96870000000001</v>
      </c>
      <c r="M650">
        <v>0.9999287</v>
      </c>
      <c r="N650">
        <v>-1.1941200000000001E-2</v>
      </c>
      <c r="O650">
        <v>-5.8591449999999897E-4</v>
      </c>
      <c r="P650">
        <v>0.98863250000000003</v>
      </c>
      <c r="Q650">
        <v>0.14988959999999901</v>
      </c>
      <c r="R650">
        <v>1.1795160000000001E-2</v>
      </c>
      <c r="S650">
        <v>3.0527039999999999</v>
      </c>
      <c r="T650">
        <v>-0.1134925</v>
      </c>
      <c r="U650">
        <v>-8.5784910000000006E-2</v>
      </c>
      <c r="V650">
        <v>-1.2370610000000001E-2</v>
      </c>
      <c r="W650">
        <v>0.16168479999999999</v>
      </c>
      <c r="X650">
        <v>0.98676489999999994</v>
      </c>
      <c r="Y650">
        <v>2.747958E-2</v>
      </c>
      <c r="Z650">
        <v>-6.5994199999999995E-4</v>
      </c>
      <c r="AA650">
        <v>0.99962220000000002</v>
      </c>
      <c r="AB650">
        <v>29</v>
      </c>
      <c r="AC650">
        <v>29.938599999999902</v>
      </c>
      <c r="AD650">
        <v>-1.121170337615</v>
      </c>
      <c r="AE650">
        <v>-0.84739999999999305</v>
      </c>
      <c r="AF650">
        <v>0.82869589184869097</v>
      </c>
      <c r="AG650">
        <v>-1.121170337615</v>
      </c>
      <c r="AH650">
        <v>29.8971963325213</v>
      </c>
      <c r="AI650">
        <v>92.146810416687899</v>
      </c>
      <c r="AJ650">
        <v>88.412271759900506</v>
      </c>
      <c r="AK650">
        <v>29.929686071732199</v>
      </c>
      <c r="AL650">
        <v>80.695298300836697</v>
      </c>
      <c r="AM650">
        <v>90.718252761715803</v>
      </c>
      <c r="AN650">
        <v>0.99999998720741001</v>
      </c>
    </row>
    <row r="651" spans="1:40" x14ac:dyDescent="0.25">
      <c r="A651" t="str">
        <f>"20190303161854123"</f>
        <v>20190303161854123</v>
      </c>
      <c r="B651" t="str">
        <f>"1551601134113710"</f>
        <v>1551601134113710</v>
      </c>
      <c r="C651" t="s">
        <v>40</v>
      </c>
      <c r="D651">
        <v>4.6644969999999999</v>
      </c>
      <c r="E651">
        <v>0.51581709999999903</v>
      </c>
      <c r="F651" t="s">
        <v>41</v>
      </c>
      <c r="G651">
        <v>-341.40019999999998</v>
      </c>
      <c r="H651" s="1">
        <v>-4.6669799999999998E-6</v>
      </c>
      <c r="I651">
        <v>366.11360000000002</v>
      </c>
      <c r="J651">
        <v>-371.84100000000001</v>
      </c>
      <c r="K651">
        <v>1.12117</v>
      </c>
      <c r="L651">
        <v>366.96850000000001</v>
      </c>
      <c r="M651">
        <v>0.99992859999999995</v>
      </c>
      <c r="N651">
        <v>-1.1941530000000001E-2</v>
      </c>
      <c r="O651">
        <v>-5.7705549999999999E-4</v>
      </c>
      <c r="P651">
        <v>0.98860820000000005</v>
      </c>
      <c r="Q651">
        <v>0.15003929999999999</v>
      </c>
      <c r="R651">
        <v>1.19372E-2</v>
      </c>
      <c r="S651">
        <v>3.05246</v>
      </c>
      <c r="T651">
        <v>-0.1117225</v>
      </c>
      <c r="U651">
        <v>-8.5205080000000002E-2</v>
      </c>
      <c r="V651">
        <v>-1.2505809999999999E-2</v>
      </c>
      <c r="W651">
        <v>0.16183449999999999</v>
      </c>
      <c r="X651">
        <v>0.98673869999999997</v>
      </c>
      <c r="Y651">
        <v>2.7301780000000001E-2</v>
      </c>
      <c r="Z651">
        <v>-6.4827020000000001E-4</v>
      </c>
      <c r="AA651">
        <v>0.99962709999999999</v>
      </c>
      <c r="AB651">
        <v>29</v>
      </c>
      <c r="AC651">
        <v>30.440799999999999</v>
      </c>
      <c r="AD651">
        <v>-1.12117466698</v>
      </c>
      <c r="AE651">
        <v>-0.854899999999986</v>
      </c>
      <c r="AF651">
        <v>0.83619912683308095</v>
      </c>
      <c r="AG651">
        <v>-1.12117466698</v>
      </c>
      <c r="AH651">
        <v>30.400081690925099</v>
      </c>
      <c r="AI651">
        <v>92.111350246785705</v>
      </c>
      <c r="AJ651">
        <v>88.424392289597506</v>
      </c>
      <c r="AK651">
        <v>30.4322399508895</v>
      </c>
      <c r="AL651">
        <v>80.6866070701832</v>
      </c>
      <c r="AM651">
        <v>90.726121080814295</v>
      </c>
      <c r="AN651">
        <v>1.0000000313758399</v>
      </c>
    </row>
    <row r="652" spans="1:40" x14ac:dyDescent="0.25">
      <c r="A652" t="str">
        <f>"20190303161854137"</f>
        <v>20190303161854137</v>
      </c>
      <c r="B652" t="str">
        <f>"1551601134133230"</f>
        <v>1551601134133230</v>
      </c>
      <c r="C652" t="s">
        <v>40</v>
      </c>
      <c r="D652">
        <v>4.5987470000000004</v>
      </c>
      <c r="E652">
        <v>0.51571509999999998</v>
      </c>
      <c r="F652" t="s">
        <v>41</v>
      </c>
      <c r="G652">
        <v>-340.5831</v>
      </c>
      <c r="H652" s="1">
        <v>-5.0562879999999999E-6</v>
      </c>
      <c r="I652">
        <v>366.09660000000002</v>
      </c>
      <c r="J652">
        <v>-371.67009999999999</v>
      </c>
      <c r="K652">
        <v>1.12117</v>
      </c>
      <c r="L652">
        <v>366.96850000000001</v>
      </c>
      <c r="M652">
        <v>0.99992859999999995</v>
      </c>
      <c r="N652">
        <v>-1.1941820000000001E-2</v>
      </c>
      <c r="O652">
        <v>-5.6640640000000001E-4</v>
      </c>
      <c r="P652">
        <v>0.98860309999999996</v>
      </c>
      <c r="Q652">
        <v>0.15005189999999999</v>
      </c>
      <c r="R652">
        <v>1.218442E-2</v>
      </c>
      <c r="S652">
        <v>3.0521850000000001</v>
      </c>
      <c r="T652">
        <v>-0.1094773</v>
      </c>
      <c r="U652">
        <v>-8.5144040000000004E-2</v>
      </c>
      <c r="V652">
        <v>-1.274292E-2</v>
      </c>
      <c r="W652">
        <v>0.1618472</v>
      </c>
      <c r="X652">
        <v>0.98673359999999999</v>
      </c>
      <c r="Y652">
        <v>2.729579E-2</v>
      </c>
      <c r="Z652">
        <v>-6.3882070000000003E-4</v>
      </c>
      <c r="AA652">
        <v>0.99962720000000005</v>
      </c>
      <c r="AB652">
        <v>29</v>
      </c>
      <c r="AC652">
        <v>31.0869999999999</v>
      </c>
      <c r="AD652">
        <v>-1.1211750562880001</v>
      </c>
      <c r="AE652">
        <v>-0.87189999999998202</v>
      </c>
      <c r="AF652">
        <v>0.85318183769122802</v>
      </c>
      <c r="AG652">
        <v>-1.1211750562880001</v>
      </c>
      <c r="AH652">
        <v>31.047136505956399</v>
      </c>
      <c r="AI652">
        <v>92.067388294996405</v>
      </c>
      <c r="AJ652">
        <v>88.425896089370994</v>
      </c>
      <c r="AK652">
        <v>31.079086826586501</v>
      </c>
      <c r="AL652">
        <v>80.685869846862801</v>
      </c>
      <c r="AM652">
        <v>90.739890634846304</v>
      </c>
      <c r="AN652">
        <v>1.0000000477634601</v>
      </c>
    </row>
    <row r="653" spans="1:40" x14ac:dyDescent="0.25">
      <c r="A653" t="str">
        <f>"20190303161854149"</f>
        <v>20190303161854149</v>
      </c>
      <c r="B653" t="str">
        <f>"1551601134143966"</f>
        <v>1551601134143966</v>
      </c>
      <c r="C653" t="s">
        <v>40</v>
      </c>
      <c r="D653">
        <v>4.7622200000000001</v>
      </c>
      <c r="E653">
        <v>0.51582399999999995</v>
      </c>
      <c r="F653" t="s">
        <v>41</v>
      </c>
      <c r="G653">
        <v>-339.85680000000002</v>
      </c>
      <c r="H653" s="1">
        <v>-9.7102539999999992E-7</v>
      </c>
      <c r="I653">
        <v>366.09769999999997</v>
      </c>
      <c r="J653">
        <v>-371.50670000000002</v>
      </c>
      <c r="K653">
        <v>1.121175</v>
      </c>
      <c r="L653">
        <v>366.96839999999997</v>
      </c>
      <c r="M653">
        <v>0.99992859999999995</v>
      </c>
      <c r="N653">
        <v>-1.1942090000000001E-2</v>
      </c>
      <c r="O653">
        <v>-5.5444439999999999E-4</v>
      </c>
      <c r="P653">
        <v>0.9886199</v>
      </c>
      <c r="Q653">
        <v>0.14993529999999999</v>
      </c>
      <c r="R653">
        <v>1.2255520000000001E-2</v>
      </c>
      <c r="S653">
        <v>3.0518800000000001</v>
      </c>
      <c r="T653">
        <v>-0.10755489999999999</v>
      </c>
      <c r="U653">
        <v>-8.3526610000000001E-2</v>
      </c>
      <c r="V653">
        <v>-1.280339E-2</v>
      </c>
      <c r="W653">
        <v>0.16173090000000001</v>
      </c>
      <c r="X653">
        <v>0.98675190000000002</v>
      </c>
      <c r="Y653">
        <v>2.6782279999999999E-2</v>
      </c>
      <c r="Z653">
        <v>-6.1880750000000003E-4</v>
      </c>
      <c r="AA653">
        <v>0.99964109999999995</v>
      </c>
      <c r="AB653">
        <v>29</v>
      </c>
      <c r="AC653">
        <v>31.649899999999999</v>
      </c>
      <c r="AD653">
        <v>-1.1211759710253999</v>
      </c>
      <c r="AE653">
        <v>-0.87069999999999903</v>
      </c>
      <c r="AF653">
        <v>0.85208205223320999</v>
      </c>
      <c r="AG653">
        <v>-1.1211759710253999</v>
      </c>
      <c r="AH653">
        <v>31.6107401745295</v>
      </c>
      <c r="AI653">
        <v>92.0305895444816</v>
      </c>
      <c r="AJ653">
        <v>88.455939786568393</v>
      </c>
      <c r="AK653">
        <v>31.6420918044834</v>
      </c>
      <c r="AL653">
        <v>80.692622435704095</v>
      </c>
      <c r="AM653">
        <v>90.743387518749302</v>
      </c>
      <c r="AN653">
        <v>1.00000006148195</v>
      </c>
    </row>
    <row r="654" spans="1:40" x14ac:dyDescent="0.25">
      <c r="A654" t="str">
        <f>"20190303161854164"</f>
        <v>20190303161854164</v>
      </c>
      <c r="B654" t="str">
        <f>"1551601134153727"</f>
        <v>1551601134153727</v>
      </c>
      <c r="C654" t="s">
        <v>40</v>
      </c>
      <c r="D654">
        <v>4.6354490000000004</v>
      </c>
      <c r="E654">
        <v>0.51575740000000003</v>
      </c>
      <c r="F654" t="s">
        <v>41</v>
      </c>
      <c r="G654">
        <v>-339.72930000000002</v>
      </c>
      <c r="H654" s="1">
        <v>-1.0162159999999999E-6</v>
      </c>
      <c r="I654">
        <v>366.09100000000001</v>
      </c>
      <c r="J654">
        <v>-371.31119999999999</v>
      </c>
      <c r="K654">
        <v>1.121176</v>
      </c>
      <c r="L654">
        <v>366.9683</v>
      </c>
      <c r="M654">
        <v>0.99992859999999995</v>
      </c>
      <c r="N654">
        <v>-1.194243E-2</v>
      </c>
      <c r="O654">
        <v>-5.3662679999999996E-4</v>
      </c>
      <c r="P654">
        <v>0.98858509999999999</v>
      </c>
      <c r="Q654">
        <v>0.15017369999999999</v>
      </c>
      <c r="R654">
        <v>1.2147379999999999E-2</v>
      </c>
      <c r="S654">
        <v>3.0519099999999999</v>
      </c>
      <c r="T654">
        <v>-0.1076778</v>
      </c>
      <c r="U654">
        <v>-8.4259029999999999E-2</v>
      </c>
      <c r="V654">
        <v>-1.267914E-2</v>
      </c>
      <c r="W654">
        <v>0.161969</v>
      </c>
      <c r="X654">
        <v>0.98671439999999999</v>
      </c>
      <c r="Y654">
        <v>2.7039279999999999E-2</v>
      </c>
      <c r="Z654">
        <v>-6.2580579999999995E-4</v>
      </c>
      <c r="AA654">
        <v>0.99963409999999997</v>
      </c>
      <c r="AB654">
        <v>29</v>
      </c>
      <c r="AC654">
        <v>31.581899999999901</v>
      </c>
      <c r="AD654">
        <v>-1.121177016216</v>
      </c>
      <c r="AE654">
        <v>-0.87729999999999098</v>
      </c>
      <c r="AF654">
        <v>0.85926887561952203</v>
      </c>
      <c r="AG654">
        <v>-1.121177016216</v>
      </c>
      <c r="AH654">
        <v>31.542643915527499</v>
      </c>
      <c r="AI654">
        <v>92.034955775082494</v>
      </c>
      <c r="AJ654">
        <v>88.439563052172403</v>
      </c>
      <c r="AK654">
        <v>31.574257965691899</v>
      </c>
      <c r="AL654">
        <v>80.678797580086098</v>
      </c>
      <c r="AM654">
        <v>90.736202116508196</v>
      </c>
      <c r="AN654">
        <v>1.0000000123597399</v>
      </c>
    </row>
    <row r="655" spans="1:40" x14ac:dyDescent="0.25">
      <c r="A655" t="str">
        <f>"20190303161854177"</f>
        <v>20190303161854177</v>
      </c>
      <c r="B655" t="str">
        <f>"1551601134163486"</f>
        <v>1551601134163486</v>
      </c>
      <c r="C655" t="s">
        <v>40</v>
      </c>
      <c r="D655">
        <v>4.719061</v>
      </c>
      <c r="E655">
        <v>0.51575000000000004</v>
      </c>
      <c r="F655" t="s">
        <v>41</v>
      </c>
      <c r="G655">
        <v>-338.92070000000001</v>
      </c>
      <c r="H655" s="1">
        <v>-1.296793E-6</v>
      </c>
      <c r="I655">
        <v>366.07060000000001</v>
      </c>
      <c r="J655">
        <v>-371.14319999999998</v>
      </c>
      <c r="K655">
        <v>1.1211789999999999</v>
      </c>
      <c r="L655">
        <v>366.96820000000002</v>
      </c>
      <c r="M655">
        <v>0.99992859999999995</v>
      </c>
      <c r="N655">
        <v>-1.194284E-2</v>
      </c>
      <c r="O655">
        <v>-5.1810069999999998E-4</v>
      </c>
      <c r="P655">
        <v>0.98857890000000004</v>
      </c>
      <c r="Q655">
        <v>0.15023639999999999</v>
      </c>
      <c r="R655">
        <v>1.1871120000000001E-2</v>
      </c>
      <c r="S655">
        <v>3.0516969999999999</v>
      </c>
      <c r="T655">
        <v>-0.1056324</v>
      </c>
      <c r="U655">
        <v>-8.4564210000000001E-2</v>
      </c>
      <c r="V655">
        <v>-1.238589E-2</v>
      </c>
      <c r="W655">
        <v>0.16203210000000001</v>
      </c>
      <c r="X655">
        <v>0.98670769999999997</v>
      </c>
      <c r="Y655">
        <v>2.716025E-2</v>
      </c>
      <c r="Z655">
        <v>-6.2038389999999896E-4</v>
      </c>
      <c r="AA655">
        <v>0.99963089999999999</v>
      </c>
      <c r="AB655">
        <v>29</v>
      </c>
      <c r="AC655">
        <v>32.222499999999897</v>
      </c>
      <c r="AD655">
        <v>-1.121180296793</v>
      </c>
      <c r="AE655">
        <v>-0.89760000000001094</v>
      </c>
      <c r="AF655">
        <v>0.879839803800047</v>
      </c>
      <c r="AG655">
        <v>-1.121180296793</v>
      </c>
      <c r="AH655">
        <v>32.184026134049198</v>
      </c>
      <c r="AI655">
        <v>91.994435661211895</v>
      </c>
      <c r="AJ655">
        <v>88.434050652752106</v>
      </c>
      <c r="AK655">
        <v>32.215566137124299</v>
      </c>
      <c r="AL655">
        <v>80.675133219551697</v>
      </c>
      <c r="AM655">
        <v>90.719181528670504</v>
      </c>
      <c r="AN655">
        <v>0.99999994847039397</v>
      </c>
    </row>
    <row r="656" spans="1:40" x14ac:dyDescent="0.25">
      <c r="A656" t="str">
        <f>"20190303161854188"</f>
        <v>20190303161854188</v>
      </c>
      <c r="B656" t="str">
        <f>"1551601134183982"</f>
        <v>1551601134183982</v>
      </c>
      <c r="C656" t="s">
        <v>40</v>
      </c>
      <c r="D656">
        <v>4.7551319999999997</v>
      </c>
      <c r="E656">
        <v>0.51552920000000002</v>
      </c>
      <c r="F656" t="s">
        <v>41</v>
      </c>
      <c r="G656">
        <v>-338.62310000000002</v>
      </c>
      <c r="H656" s="1">
        <v>-1.4005890000000001E-6</v>
      </c>
      <c r="I656">
        <v>366.06110000000001</v>
      </c>
      <c r="J656">
        <v>-370.9837</v>
      </c>
      <c r="K656">
        <v>1.121183</v>
      </c>
      <c r="L656">
        <v>366.96809999999999</v>
      </c>
      <c r="M656">
        <v>0.9999287</v>
      </c>
      <c r="N656">
        <v>-1.1943219999999999E-2</v>
      </c>
      <c r="O656">
        <v>-4.9862210000000003E-4</v>
      </c>
      <c r="P656">
        <v>0.9885718</v>
      </c>
      <c r="Q656">
        <v>0.15029200000000001</v>
      </c>
      <c r="R656">
        <v>1.176516E-2</v>
      </c>
      <c r="S656">
        <v>3.051666</v>
      </c>
      <c r="T656">
        <v>-0.1052105</v>
      </c>
      <c r="U656">
        <v>-8.5113530000000007E-2</v>
      </c>
      <c r="V656">
        <v>-1.226204E-2</v>
      </c>
      <c r="W656">
        <v>0.1620876</v>
      </c>
      <c r="X656">
        <v>0.98670020000000003</v>
      </c>
      <c r="Y656">
        <v>2.735978E-2</v>
      </c>
      <c r="Z656">
        <v>-6.2365769999999895E-4</v>
      </c>
      <c r="AA656">
        <v>0.9996254</v>
      </c>
      <c r="AB656">
        <v>29</v>
      </c>
      <c r="AC656">
        <v>32.360599999999899</v>
      </c>
      <c r="AD656">
        <v>-1.1211844005889999</v>
      </c>
      <c r="AE656">
        <v>-0.90699999999998204</v>
      </c>
      <c r="AF656">
        <v>0.88979576826857698</v>
      </c>
      <c r="AG656">
        <v>-1.1211844005889999</v>
      </c>
      <c r="AH656">
        <v>32.322279498919002</v>
      </c>
      <c r="AI656">
        <v>91.985908496830305</v>
      </c>
      <c r="AJ656">
        <v>88.423110306569299</v>
      </c>
      <c r="AK656">
        <v>32.353957145542402</v>
      </c>
      <c r="AL656">
        <v>80.671911342305904</v>
      </c>
      <c r="AM656">
        <v>90.711996385546698</v>
      </c>
      <c r="AN656">
        <v>1.0000000161893801</v>
      </c>
    </row>
    <row r="657" spans="1:40" x14ac:dyDescent="0.25">
      <c r="A657" t="str">
        <f>"20190303161854202"</f>
        <v>20190303161854202</v>
      </c>
      <c r="B657" t="str">
        <f>"1551601134193742"</f>
        <v>1551601134193742</v>
      </c>
      <c r="C657" t="s">
        <v>40</v>
      </c>
      <c r="D657">
        <v>4.8103689999999997</v>
      </c>
      <c r="E657">
        <v>0.51552920000000002</v>
      </c>
      <c r="F657" t="s">
        <v>41</v>
      </c>
      <c r="G657">
        <v>-340.12549999999999</v>
      </c>
      <c r="H657" s="1">
        <v>-5.2680180000000003E-6</v>
      </c>
      <c r="I657">
        <v>366.12220000000002</v>
      </c>
      <c r="J657">
        <v>-370.81130000000002</v>
      </c>
      <c r="K657">
        <v>1.1211819999999999</v>
      </c>
      <c r="L657">
        <v>366.96809999999999</v>
      </c>
      <c r="M657">
        <v>0.9999287</v>
      </c>
      <c r="N657">
        <v>-1.194359E-2</v>
      </c>
      <c r="O657">
        <v>-4.7448800000000001E-4</v>
      </c>
      <c r="P657">
        <v>0.98858990000000002</v>
      </c>
      <c r="Q657">
        <v>0.1501943</v>
      </c>
      <c r="R657">
        <v>1.148245E-2</v>
      </c>
      <c r="S657">
        <v>3.052521</v>
      </c>
      <c r="T657">
        <v>-0.1109091</v>
      </c>
      <c r="U657">
        <v>-8.3679199999999995E-2</v>
      </c>
      <c r="V657">
        <v>-1.195688E-2</v>
      </c>
      <c r="W657">
        <v>0.16199069999999999</v>
      </c>
      <c r="X657">
        <v>0.98671980000000004</v>
      </c>
      <c r="Y657">
        <v>2.690507E-2</v>
      </c>
      <c r="Z657">
        <v>-6.3773809999999895E-4</v>
      </c>
      <c r="AA657">
        <v>0.99963780000000002</v>
      </c>
      <c r="AB657">
        <v>29</v>
      </c>
      <c r="AC657">
        <v>30.6858</v>
      </c>
      <c r="AD657">
        <v>-1.1211872680179999</v>
      </c>
      <c r="AE657">
        <v>-0.84589999999997101</v>
      </c>
      <c r="AF657">
        <v>0.83023130676914803</v>
      </c>
      <c r="AG657">
        <v>-1.1211872680179999</v>
      </c>
      <c r="AH657">
        <v>30.645317495859899</v>
      </c>
      <c r="AI657">
        <v>92.094516706540603</v>
      </c>
      <c r="AJ657">
        <v>88.448144084716304</v>
      </c>
      <c r="AK657">
        <v>30.677057051398599</v>
      </c>
      <c r="AL657">
        <v>80.677537118906699</v>
      </c>
      <c r="AM657">
        <v>90.694265211352402</v>
      </c>
      <c r="AN657">
        <v>0.999999958788931</v>
      </c>
    </row>
    <row r="658" spans="1:40" x14ac:dyDescent="0.25">
      <c r="A658" t="str">
        <f>"20190303161854214"</f>
        <v>20190303161854214</v>
      </c>
      <c r="B658" t="str">
        <f>"1551601134203503"</f>
        <v>1551601134203503</v>
      </c>
      <c r="C658" t="s">
        <v>40</v>
      </c>
      <c r="D658">
        <v>4.7955220000000001</v>
      </c>
      <c r="E658">
        <v>0.50594439999999996</v>
      </c>
      <c r="F658" t="s">
        <v>41</v>
      </c>
      <c r="G658">
        <v>-340.03800000000001</v>
      </c>
      <c r="H658" s="1">
        <v>-5.3102130000000001E-6</v>
      </c>
      <c r="I658">
        <v>366.11770000000001</v>
      </c>
      <c r="J658">
        <v>-370.65879999999999</v>
      </c>
      <c r="K658">
        <v>1.1211869999999999</v>
      </c>
      <c r="L658">
        <v>366.96800000000002</v>
      </c>
      <c r="M658">
        <v>0.99992859999999995</v>
      </c>
      <c r="N658">
        <v>-1.1943820000000001E-2</v>
      </c>
      <c r="O658">
        <v>-4.5024190000000002E-4</v>
      </c>
      <c r="P658">
        <v>0.98857859999999997</v>
      </c>
      <c r="Q658">
        <v>0.15027860000000001</v>
      </c>
      <c r="R658">
        <v>1.135561E-2</v>
      </c>
      <c r="S658">
        <v>3.052521</v>
      </c>
      <c r="T658">
        <v>-0.1112146</v>
      </c>
      <c r="U658">
        <v>-8.4350590000000003E-2</v>
      </c>
      <c r="V658">
        <v>-1.180756E-2</v>
      </c>
      <c r="W658">
        <v>0.16207439999999901</v>
      </c>
      <c r="X658">
        <v>0.98670789999999997</v>
      </c>
      <c r="Y658">
        <v>2.714867E-2</v>
      </c>
      <c r="Z658">
        <v>-6.4552269999999996E-4</v>
      </c>
      <c r="AA658">
        <v>0.99963120000000005</v>
      </c>
      <c r="AB658">
        <v>29</v>
      </c>
      <c r="AC658">
        <v>30.6207999999999</v>
      </c>
      <c r="AD658">
        <v>-1.1211923102129999</v>
      </c>
      <c r="AE658">
        <v>-0.85030000000000405</v>
      </c>
      <c r="AF658">
        <v>0.83539302660705905</v>
      </c>
      <c r="AG658">
        <v>-1.1211923102129999</v>
      </c>
      <c r="AH658">
        <v>30.5802128825426</v>
      </c>
      <c r="AI658">
        <v>92.098968423273305</v>
      </c>
      <c r="AJ658">
        <v>88.435177890007793</v>
      </c>
      <c r="AK658">
        <v>30.6121605517645</v>
      </c>
      <c r="AL658">
        <v>80.6726776733436</v>
      </c>
      <c r="AM658">
        <v>90.685604183771105</v>
      </c>
      <c r="AN658">
        <v>1.00000000476546</v>
      </c>
    </row>
    <row r="659" spans="1:40" x14ac:dyDescent="0.25">
      <c r="A659" t="str">
        <f>"20190303161854227"</f>
        <v>20190303161854227</v>
      </c>
      <c r="B659" t="str">
        <f>"1551601134223999"</f>
        <v>1551601134223999</v>
      </c>
      <c r="C659" t="s">
        <v>40</v>
      </c>
      <c r="D659">
        <v>4.7881900000000002</v>
      </c>
      <c r="E659">
        <v>0.50418180000000001</v>
      </c>
      <c r="F659" t="s">
        <v>41</v>
      </c>
      <c r="G659">
        <v>-337.44</v>
      </c>
      <c r="H659" s="1">
        <v>-1.587221E-6</v>
      </c>
      <c r="I659">
        <v>366.87290000000002</v>
      </c>
      <c r="J659">
        <v>-370.48140000000001</v>
      </c>
      <c r="K659">
        <v>1.121192</v>
      </c>
      <c r="L659">
        <v>366.96800000000002</v>
      </c>
      <c r="M659">
        <v>0.99992859999999995</v>
      </c>
      <c r="N659">
        <v>-1.194404E-2</v>
      </c>
      <c r="O659">
        <v>-4.2062520000000001E-4</v>
      </c>
      <c r="P659">
        <v>0.98854059999999999</v>
      </c>
      <c r="Q659">
        <v>0.15053229999999901</v>
      </c>
      <c r="R659">
        <v>1.1290619999999999E-2</v>
      </c>
      <c r="S659">
        <v>3.0504150000000001</v>
      </c>
      <c r="T659">
        <v>-0.1029564</v>
      </c>
      <c r="U659">
        <v>-8.7280269999999993E-3</v>
      </c>
      <c r="V659">
        <v>-1.171532E-2</v>
      </c>
      <c r="W659">
        <v>0.1623281</v>
      </c>
      <c r="X659">
        <v>0.98666730000000002</v>
      </c>
      <c r="Y659">
        <v>2.4388140000000001E-3</v>
      </c>
      <c r="Z659" s="1">
        <v>-4.6546460000000003E-5</v>
      </c>
      <c r="AA659">
        <v>0.99999700000000002</v>
      </c>
      <c r="AB659">
        <v>29</v>
      </c>
      <c r="AC659">
        <v>33.041400000000003</v>
      </c>
      <c r="AD659">
        <v>-1.1211935872209999</v>
      </c>
      <c r="AE659">
        <v>-9.51000000000021E-2</v>
      </c>
      <c r="AF659">
        <v>8.1107564571922502E-2</v>
      </c>
      <c r="AG659">
        <v>-1.1211935872209999</v>
      </c>
      <c r="AH659">
        <v>33.003435655846999</v>
      </c>
      <c r="AI659">
        <v>91.945699581141696</v>
      </c>
      <c r="AJ659">
        <v>89.859193090393802</v>
      </c>
      <c r="AK659">
        <v>33.022574378547397</v>
      </c>
      <c r="AL659">
        <v>80.657946718772493</v>
      </c>
      <c r="AM659">
        <v>90.680276776078102</v>
      </c>
      <c r="AN659">
        <v>1.0000000108308</v>
      </c>
    </row>
    <row r="660" spans="1:40" x14ac:dyDescent="0.25">
      <c r="A660" t="str">
        <f>"20190303161854242"</f>
        <v>20190303161854242</v>
      </c>
      <c r="B660" t="str">
        <f>"1551601134233759"</f>
        <v>1551601134233759</v>
      </c>
      <c r="C660" t="s">
        <v>40</v>
      </c>
      <c r="D660">
        <v>4.8138439999999996</v>
      </c>
      <c r="E660">
        <v>0.50435249999999998</v>
      </c>
      <c r="F660" t="s">
        <v>41</v>
      </c>
      <c r="G660">
        <v>-330.09690000000001</v>
      </c>
      <c r="H660" s="1">
        <v>-4.6894609999999997E-6</v>
      </c>
      <c r="I660">
        <v>367.03019999999998</v>
      </c>
      <c r="J660">
        <v>-370.2851</v>
      </c>
      <c r="K660">
        <v>1.1212009999999999</v>
      </c>
      <c r="L660">
        <v>366.96800000000002</v>
      </c>
      <c r="M660">
        <v>0.99992879999999995</v>
      </c>
      <c r="N660">
        <v>-1.194421E-2</v>
      </c>
      <c r="O660">
        <v>-3.845702E-4</v>
      </c>
      <c r="P660">
        <v>0.98846210000000001</v>
      </c>
      <c r="Q660">
        <v>0.1510454</v>
      </c>
      <c r="R660">
        <v>1.1340009999999999E-2</v>
      </c>
      <c r="S660">
        <v>3.0476679999999998</v>
      </c>
      <c r="T660">
        <v>-8.4612489999999999E-2</v>
      </c>
      <c r="U660">
        <v>4.699707E-3</v>
      </c>
      <c r="V660">
        <v>-1.1730320000000001E-2</v>
      </c>
      <c r="W660">
        <v>0.1628404</v>
      </c>
      <c r="X660">
        <v>0.98658270000000003</v>
      </c>
      <c r="Y660">
        <v>-1.9255520000000001E-3</v>
      </c>
      <c r="Z660" s="1">
        <v>4.4309320000000001E-5</v>
      </c>
      <c r="AA660">
        <v>0.99999819999999995</v>
      </c>
      <c r="AB660">
        <v>29</v>
      </c>
      <c r="AC660">
        <v>40.188200000000002</v>
      </c>
      <c r="AD660">
        <v>-1.1212056894609901</v>
      </c>
      <c r="AE660">
        <v>6.2199999999961599E-2</v>
      </c>
      <c r="AF660">
        <v>-7.7595882447536096E-2</v>
      </c>
      <c r="AG660">
        <v>-1.1212056894609901</v>
      </c>
      <c r="AH660">
        <v>40.156917148844201</v>
      </c>
      <c r="AI660">
        <v>91.5993147237279</v>
      </c>
      <c r="AJ660">
        <v>90.110713454967396</v>
      </c>
      <c r="AK660">
        <v>40.172641414502301</v>
      </c>
      <c r="AL660">
        <v>80.628198271100402</v>
      </c>
      <c r="AM660">
        <v>90.681206106557795</v>
      </c>
      <c r="AN660">
        <v>1.00000001010937</v>
      </c>
    </row>
    <row r="661" spans="1:40" x14ac:dyDescent="0.25">
      <c r="A661" t="str">
        <f>"20190303161854269"</f>
        <v>20190303161854269</v>
      </c>
      <c r="B661" t="str">
        <f>"1551601134264014"</f>
        <v>1551601134264014</v>
      </c>
      <c r="C661" t="s">
        <v>40</v>
      </c>
      <c r="D661">
        <v>4.8104789999999999</v>
      </c>
      <c r="E661">
        <v>0.50299359999999904</v>
      </c>
      <c r="F661" t="s">
        <v>41</v>
      </c>
      <c r="G661">
        <v>-330.2491</v>
      </c>
      <c r="H661" s="1">
        <v>-4.6269160000000001E-6</v>
      </c>
      <c r="I661">
        <v>367.01479999999998</v>
      </c>
      <c r="J661">
        <v>-369.94479999999999</v>
      </c>
      <c r="K661">
        <v>1.1212120000000001</v>
      </c>
      <c r="L661">
        <v>366.96789999999999</v>
      </c>
      <c r="M661">
        <v>0.9999287</v>
      </c>
      <c r="N661">
        <v>-1.194451E-2</v>
      </c>
      <c r="O661">
        <v>-3.1535219999999999E-4</v>
      </c>
      <c r="P661">
        <v>0.98842240000000003</v>
      </c>
      <c r="Q661">
        <v>0.15127829999999901</v>
      </c>
      <c r="R661">
        <v>1.167457E-2</v>
      </c>
      <c r="S661">
        <v>3.0480040000000002</v>
      </c>
      <c r="T661">
        <v>-8.5358980000000001E-2</v>
      </c>
      <c r="U661">
        <v>3.5705569999999998E-3</v>
      </c>
      <c r="V661">
        <v>-1.1998470000000001E-2</v>
      </c>
      <c r="W661">
        <v>0.16307279999999999</v>
      </c>
      <c r="X661">
        <v>0.98654109999999995</v>
      </c>
      <c r="Y661">
        <v>-1.485943E-3</v>
      </c>
      <c r="Z661" s="1">
        <v>3.4743190000000002E-5</v>
      </c>
      <c r="AA661">
        <v>0.99999890000000002</v>
      </c>
      <c r="AB661">
        <v>29</v>
      </c>
      <c r="AC661">
        <v>39.695699999999903</v>
      </c>
      <c r="AD661">
        <v>-1.121216626916</v>
      </c>
      <c r="AE661">
        <v>4.6899999999993697E-2</v>
      </c>
      <c r="AF661">
        <v>-5.9371649548260297E-2</v>
      </c>
      <c r="AG661">
        <v>-1.121216626916</v>
      </c>
      <c r="AH661">
        <v>39.664039446968303</v>
      </c>
      <c r="AI661">
        <v>91.619194786962197</v>
      </c>
      <c r="AJ661">
        <v>90.085763892145806</v>
      </c>
      <c r="AK661">
        <v>39.679927885114701</v>
      </c>
      <c r="AL661">
        <v>80.614702444712606</v>
      </c>
      <c r="AM661">
        <v>90.696806041440098</v>
      </c>
      <c r="AN661">
        <v>1.0000000216856899</v>
      </c>
    </row>
    <row r="662" spans="1:40" x14ac:dyDescent="0.25">
      <c r="A662" t="str">
        <f>"20190303161854283"</f>
        <v>20190303161854283</v>
      </c>
      <c r="B662" t="str">
        <f>"1551601134273775"</f>
        <v>1551601134273775</v>
      </c>
      <c r="C662" t="s">
        <v>40</v>
      </c>
      <c r="D662">
        <v>4.8417110000000001</v>
      </c>
      <c r="E662">
        <v>0.50275800000000004</v>
      </c>
      <c r="F662" t="s">
        <v>44</v>
      </c>
      <c r="G662">
        <v>-307.73500000000001</v>
      </c>
      <c r="H662">
        <v>-0.05</v>
      </c>
      <c r="I662">
        <v>367.2885</v>
      </c>
      <c r="J662">
        <v>-369.74459999999999</v>
      </c>
      <c r="K662">
        <v>1.1212169999999999</v>
      </c>
      <c r="L662">
        <v>366.96789999999999</v>
      </c>
      <c r="M662">
        <v>0.99992879999999995</v>
      </c>
      <c r="N662">
        <v>-1.1944669999999999E-2</v>
      </c>
      <c r="O662">
        <v>-2.7203999999999998E-4</v>
      </c>
      <c r="P662">
        <v>0.98839429999999995</v>
      </c>
      <c r="Q662">
        <v>0.15143619999999999</v>
      </c>
      <c r="R662">
        <v>1.2009560000000001E-2</v>
      </c>
      <c r="S662">
        <v>3.0437319999999999</v>
      </c>
      <c r="T662">
        <v>-5.730379E-2</v>
      </c>
      <c r="U662">
        <v>1.5686039999999998E-2</v>
      </c>
      <c r="V662">
        <v>-1.229216E-2</v>
      </c>
      <c r="W662">
        <v>0.1632304</v>
      </c>
      <c r="X662">
        <v>0.98651140000000004</v>
      </c>
      <c r="Y662">
        <v>-5.4239639999999999E-3</v>
      </c>
      <c r="Z662" s="1">
        <v>8.5324660000000004E-5</v>
      </c>
      <c r="AA662">
        <v>0.99998529999999997</v>
      </c>
      <c r="AB662">
        <v>29</v>
      </c>
      <c r="AC662">
        <v>62.009599999999899</v>
      </c>
      <c r="AD662">
        <v>-1.171217</v>
      </c>
      <c r="AE662">
        <v>0.32060000000001299</v>
      </c>
      <c r="AF662">
        <v>-0.33734993585631101</v>
      </c>
      <c r="AG662">
        <v>-1.171217</v>
      </c>
      <c r="AH662">
        <v>61.987397431833003</v>
      </c>
      <c r="AI662">
        <v>91.082426694941205</v>
      </c>
      <c r="AJ662">
        <v>90.311813973843499</v>
      </c>
      <c r="AK662">
        <v>61.999378985698897</v>
      </c>
      <c r="AL662">
        <v>80.605549805205101</v>
      </c>
      <c r="AM662">
        <v>90.713881708632002</v>
      </c>
      <c r="AN662">
        <v>1.0000000015057899</v>
      </c>
    </row>
    <row r="663" spans="1:40" x14ac:dyDescent="0.25">
      <c r="A663" t="str">
        <f>"20190303161854300"</f>
        <v>20190303161854300</v>
      </c>
      <c r="B663" t="str">
        <f>"1551601134293295"</f>
        <v>1551601134293295</v>
      </c>
      <c r="C663" t="s">
        <v>40</v>
      </c>
      <c r="D663">
        <v>4.8406729999999998</v>
      </c>
      <c r="E663">
        <v>0.50239069999999997</v>
      </c>
      <c r="F663" t="s">
        <v>44</v>
      </c>
      <c r="G663">
        <v>-302.24130000000002</v>
      </c>
      <c r="H663">
        <v>-0.05</v>
      </c>
      <c r="I663">
        <v>367.38350000000003</v>
      </c>
      <c r="J663">
        <v>-369.52719999999999</v>
      </c>
      <c r="K663">
        <v>1.121221</v>
      </c>
      <c r="L663">
        <v>366.96789999999999</v>
      </c>
      <c r="M663">
        <v>0.9999287</v>
      </c>
      <c r="N663">
        <v>-1.194488E-2</v>
      </c>
      <c r="O663">
        <v>-2.2253520000000001E-4</v>
      </c>
      <c r="P663">
        <v>0.98837509999999995</v>
      </c>
      <c r="Q663">
        <v>0.15151970000000001</v>
      </c>
      <c r="R663">
        <v>1.2514839999999999E-2</v>
      </c>
      <c r="S663">
        <v>3.043091</v>
      </c>
      <c r="T663">
        <v>-5.2799220000000001E-2</v>
      </c>
      <c r="U663">
        <v>1.8737790000000001E-2</v>
      </c>
      <c r="V663">
        <v>-1.274921E-2</v>
      </c>
      <c r="W663">
        <v>0.16331370000000001</v>
      </c>
      <c r="X663">
        <v>0.98649180000000003</v>
      </c>
      <c r="Y663">
        <v>-6.378295E-3</v>
      </c>
      <c r="Z663" s="1">
        <v>9.463184E-5</v>
      </c>
      <c r="AA663">
        <v>0.99997970000000003</v>
      </c>
      <c r="AB663">
        <v>29</v>
      </c>
      <c r="AC663">
        <v>67.285899999999899</v>
      </c>
      <c r="AD663">
        <v>-1.1712209999999901</v>
      </c>
      <c r="AE663">
        <v>0.41560000000003999</v>
      </c>
      <c r="AF663">
        <v>-0.430444122564073</v>
      </c>
      <c r="AG663">
        <v>-1.1712209999999901</v>
      </c>
      <c r="AH663">
        <v>67.265425807807802</v>
      </c>
      <c r="AI663">
        <v>90.997508979536306</v>
      </c>
      <c r="AJ663">
        <v>90.366641474568993</v>
      </c>
      <c r="AK663">
        <v>67.276998668781204</v>
      </c>
      <c r="AL663">
        <v>80.600712034134304</v>
      </c>
      <c r="AM663">
        <v>90.740437234380394</v>
      </c>
      <c r="AN663">
        <v>0.999999989215277</v>
      </c>
    </row>
    <row r="664" spans="1:40" x14ac:dyDescent="0.25">
      <c r="A664" t="str">
        <f>"20190303161854314"</f>
        <v>20190303161854314</v>
      </c>
      <c r="B664" t="str">
        <f>"1551601134304032"</f>
        <v>1551601134304032</v>
      </c>
      <c r="C664" t="s">
        <v>40</v>
      </c>
      <c r="D664">
        <v>4.8613739999999996</v>
      </c>
      <c r="E664">
        <v>0.50228130000000004</v>
      </c>
      <c r="F664" t="s">
        <v>44</v>
      </c>
      <c r="G664">
        <v>-293.98140000000001</v>
      </c>
      <c r="H664">
        <v>-0.05</v>
      </c>
      <c r="I664">
        <v>367.52940000000001</v>
      </c>
      <c r="J664">
        <v>-369.34190000000001</v>
      </c>
      <c r="K664">
        <v>1.1212219999999999</v>
      </c>
      <c r="L664">
        <v>366.96789999999999</v>
      </c>
      <c r="M664">
        <v>0.9999287</v>
      </c>
      <c r="N664">
        <v>-1.194507E-2</v>
      </c>
      <c r="O664">
        <v>-1.8007400000000001E-4</v>
      </c>
      <c r="P664">
        <v>0.98838250000000005</v>
      </c>
      <c r="Q664">
        <v>0.15142900000000001</v>
      </c>
      <c r="R664">
        <v>1.301806E-2</v>
      </c>
      <c r="S664">
        <v>3.0422359999999999</v>
      </c>
      <c r="T664">
        <v>-4.7165159999999998E-2</v>
      </c>
      <c r="U664">
        <v>2.261353E-2</v>
      </c>
      <c r="V664">
        <v>-1.321134E-2</v>
      </c>
      <c r="W664">
        <v>0.16322339999999999</v>
      </c>
      <c r="X664">
        <v>0.98650070000000001</v>
      </c>
      <c r="Y664">
        <v>-7.6114469999999899E-3</v>
      </c>
      <c r="Z664">
        <v>1.051047E-4</v>
      </c>
      <c r="AA664">
        <v>0.99997100000000005</v>
      </c>
      <c r="AB664">
        <v>29</v>
      </c>
      <c r="AC664">
        <v>75.360500000000002</v>
      </c>
      <c r="AD664">
        <v>-1.171222</v>
      </c>
      <c r="AE664">
        <v>0.56150000000002298</v>
      </c>
      <c r="AF664">
        <v>-0.57493256290496697</v>
      </c>
      <c r="AG664">
        <v>-1.171222</v>
      </c>
      <c r="AH664">
        <v>75.342200437311405</v>
      </c>
      <c r="AI664">
        <v>90.8905861390068</v>
      </c>
      <c r="AJ664">
        <v>90.437212741146595</v>
      </c>
      <c r="AK664">
        <v>75.353496767974704</v>
      </c>
      <c r="AL664">
        <v>80.605956545266096</v>
      </c>
      <c r="AM664">
        <v>90.767266334023503</v>
      </c>
      <c r="AN664">
        <v>1.0000000244563201</v>
      </c>
    </row>
    <row r="665" spans="1:40" x14ac:dyDescent="0.25">
      <c r="A665" t="str">
        <f>"20190303161854326"</f>
        <v>20190303161854326</v>
      </c>
      <c r="B665" t="str">
        <f>"1551601134313790"</f>
        <v>1551601134313790</v>
      </c>
      <c r="C665" t="s">
        <v>40</v>
      </c>
      <c r="D665">
        <v>4.8822859999999997</v>
      </c>
      <c r="E665">
        <v>0.50216059999999996</v>
      </c>
      <c r="F665" t="s">
        <v>44</v>
      </c>
      <c r="G665">
        <v>-291.58620000000002</v>
      </c>
      <c r="H665">
        <v>-0.05</v>
      </c>
      <c r="I665">
        <v>367.60829999999999</v>
      </c>
      <c r="J665">
        <v>-369.18369999999999</v>
      </c>
      <c r="K665">
        <v>1.1212230000000001</v>
      </c>
      <c r="L665">
        <v>366.96789999999999</v>
      </c>
      <c r="M665">
        <v>0.9999287</v>
      </c>
      <c r="N665">
        <v>-1.1945239999999999E-2</v>
      </c>
      <c r="O665">
        <v>-1.4346030000000001E-4</v>
      </c>
      <c r="P665">
        <v>0.98838769999999998</v>
      </c>
      <c r="Q665">
        <v>0.15137610000000001</v>
      </c>
      <c r="R665">
        <v>1.323383E-2</v>
      </c>
      <c r="S665">
        <v>3.0419309999999999</v>
      </c>
      <c r="T665">
        <v>-4.5820119999999999E-2</v>
      </c>
      <c r="U665">
        <v>2.505493E-2</v>
      </c>
      <c r="V665">
        <v>-1.3391149999999999E-2</v>
      </c>
      <c r="W665">
        <v>0.16317019999999999</v>
      </c>
      <c r="X665">
        <v>0.98650709999999997</v>
      </c>
      <c r="Y665">
        <v>-8.3780049999999991E-3</v>
      </c>
      <c r="Z665">
        <v>1.13587E-4</v>
      </c>
      <c r="AA665">
        <v>0.99996490000000005</v>
      </c>
      <c r="AB665">
        <v>29</v>
      </c>
      <c r="AC665">
        <v>77.597499999999897</v>
      </c>
      <c r="AD665">
        <v>-1.1712229999999999</v>
      </c>
      <c r="AE665">
        <v>0.64039999999999897</v>
      </c>
      <c r="AF665">
        <v>-0.65138456215419005</v>
      </c>
      <c r="AG665">
        <v>-1.1712229999999999</v>
      </c>
      <c r="AH665">
        <v>77.579734641915493</v>
      </c>
      <c r="AI665">
        <v>90.864899483456199</v>
      </c>
      <c r="AJ665">
        <v>90.481062605140906</v>
      </c>
      <c r="AK665">
        <v>77.591309386255205</v>
      </c>
      <c r="AL665">
        <v>80.609046321010297</v>
      </c>
      <c r="AM665">
        <v>90.777702722755706</v>
      </c>
      <c r="AN665">
        <v>1.0000000477083799</v>
      </c>
    </row>
    <row r="666" spans="1:40" x14ac:dyDescent="0.25">
      <c r="A666" t="str">
        <f>"20190303161854343"</f>
        <v>20190303161854343</v>
      </c>
      <c r="B666" t="str">
        <f>"1551601134333310"</f>
        <v>1551601134333310</v>
      </c>
      <c r="C666" t="s">
        <v>40</v>
      </c>
      <c r="D666">
        <v>4.8724949999999998</v>
      </c>
      <c r="E666">
        <v>0.50193569999999998</v>
      </c>
      <c r="F666" t="s">
        <v>44</v>
      </c>
      <c r="G666">
        <v>-287.95620000000002</v>
      </c>
      <c r="H666">
        <v>-0.05</v>
      </c>
      <c r="I666">
        <v>367.67450000000002</v>
      </c>
      <c r="J666">
        <v>-368.96539999999999</v>
      </c>
      <c r="K666">
        <v>1.1212200000000001</v>
      </c>
      <c r="L666">
        <v>366.96789999999999</v>
      </c>
      <c r="M666">
        <v>0.99992879999999995</v>
      </c>
      <c r="N666">
        <v>-1.194548E-2</v>
      </c>
      <c r="O666" s="1">
        <v>-9.2189209999999996E-5</v>
      </c>
      <c r="P666">
        <v>0.98842719999999995</v>
      </c>
      <c r="Q666">
        <v>0.15109529999999999</v>
      </c>
      <c r="R666">
        <v>1.3510579999999999E-2</v>
      </c>
      <c r="S666">
        <v>3.0416259999999999</v>
      </c>
      <c r="T666">
        <v>-4.3857340000000002E-2</v>
      </c>
      <c r="U666">
        <v>2.6458740000000001E-2</v>
      </c>
      <c r="V666">
        <v>-1.361805E-2</v>
      </c>
      <c r="W666">
        <v>0.16289029999999999</v>
      </c>
      <c r="X666">
        <v>0.98655020000000004</v>
      </c>
      <c r="Y666">
        <v>-8.7890729999999997E-3</v>
      </c>
      <c r="Z666">
        <v>1.160912E-4</v>
      </c>
      <c r="AA666">
        <v>0.9999614</v>
      </c>
      <c r="AB666">
        <v>29</v>
      </c>
      <c r="AC666">
        <v>81.009199999999893</v>
      </c>
      <c r="AD666">
        <v>-1.1712199999999999</v>
      </c>
      <c r="AE666">
        <v>0.70660000000003698</v>
      </c>
      <c r="AF666">
        <v>-0.71391948377033199</v>
      </c>
      <c r="AG666">
        <v>-1.1712199999999999</v>
      </c>
      <c r="AH666">
        <v>80.992206010842494</v>
      </c>
      <c r="AI666">
        <v>90.828458474943304</v>
      </c>
      <c r="AJ666">
        <v>90.5050302490788</v>
      </c>
      <c r="AK666">
        <v>81.003820106340996</v>
      </c>
      <c r="AL666">
        <v>80.625300417916407</v>
      </c>
      <c r="AM666">
        <v>90.790843931254003</v>
      </c>
      <c r="AN666">
        <v>0.99999999911996595</v>
      </c>
    </row>
    <row r="667" spans="1:40" x14ac:dyDescent="0.25">
      <c r="A667" t="str">
        <f>"20190303161854355"</f>
        <v>20190303161854355</v>
      </c>
      <c r="B667" t="str">
        <f>"1551601134344046"</f>
        <v>1551601134344046</v>
      </c>
      <c r="C667" t="s">
        <v>40</v>
      </c>
      <c r="D667">
        <v>5.0760550000000002</v>
      </c>
      <c r="E667">
        <v>0.50191059999999998</v>
      </c>
      <c r="F667" t="s">
        <v>44</v>
      </c>
      <c r="G667">
        <v>-284.28059999999999</v>
      </c>
      <c r="H667">
        <v>-0.05</v>
      </c>
      <c r="I667">
        <v>367.78710000000001</v>
      </c>
      <c r="J667">
        <v>-368.79340000000002</v>
      </c>
      <c r="K667">
        <v>1.121218</v>
      </c>
      <c r="L667">
        <v>366.96789999999999</v>
      </c>
      <c r="M667">
        <v>0.99992879999999995</v>
      </c>
      <c r="N667">
        <v>-1.194568E-2</v>
      </c>
      <c r="O667" s="1">
        <v>-5.1535220000000002E-5</v>
      </c>
      <c r="P667">
        <v>0.98840760000000005</v>
      </c>
      <c r="Q667">
        <v>0.151214299999999</v>
      </c>
      <c r="R667">
        <v>1.360772E-2</v>
      </c>
      <c r="S667">
        <v>3.0411679999999999</v>
      </c>
      <c r="T667">
        <v>-4.2060380000000001E-2</v>
      </c>
      <c r="U667">
        <v>2.9418949999999999E-2</v>
      </c>
      <c r="V667">
        <v>-1.36747E-2</v>
      </c>
      <c r="W667">
        <v>0.16300979999999901</v>
      </c>
      <c r="X667">
        <v>0.98652969999999895</v>
      </c>
      <c r="Y667">
        <v>-9.7229180000000005E-3</v>
      </c>
      <c r="Z667">
        <v>1.254099E-4</v>
      </c>
      <c r="AA667">
        <v>0.99995270000000003</v>
      </c>
      <c r="AB667">
        <v>29</v>
      </c>
      <c r="AC667">
        <v>84.512799999999999</v>
      </c>
      <c r="AD667">
        <v>-1.1712180000000001</v>
      </c>
      <c r="AE667">
        <v>0.81920000000002302</v>
      </c>
      <c r="AF667">
        <v>-0.82339757023342597</v>
      </c>
      <c r="AG667">
        <v>-1.1712180000000001</v>
      </c>
      <c r="AH667">
        <v>84.496531028213596</v>
      </c>
      <c r="AI667">
        <v>90.794096099678995</v>
      </c>
      <c r="AJ667">
        <v>90.558315374944996</v>
      </c>
      <c r="AK667">
        <v>84.508659266160706</v>
      </c>
      <c r="AL667">
        <v>80.618361023608799</v>
      </c>
      <c r="AM667">
        <v>90.794149858287099</v>
      </c>
      <c r="AN667">
        <v>1.0000000206491</v>
      </c>
    </row>
    <row r="668" spans="1:40" x14ac:dyDescent="0.25">
      <c r="A668" t="str">
        <f>"20190303161854368"</f>
        <v>20190303161854368</v>
      </c>
      <c r="B668" t="str">
        <f>"1551601134363567"</f>
        <v>1551601134363567</v>
      </c>
      <c r="C668" t="s">
        <v>40</v>
      </c>
      <c r="D668">
        <v>4.7556149999999997</v>
      </c>
      <c r="E668">
        <v>0.50198710000000002</v>
      </c>
      <c r="F668" t="s">
        <v>44</v>
      </c>
      <c r="G668">
        <v>-282.30709999999999</v>
      </c>
      <c r="H668">
        <v>-0.05</v>
      </c>
      <c r="I668">
        <v>367.8141</v>
      </c>
      <c r="J668">
        <v>-368.63440000000003</v>
      </c>
      <c r="K668">
        <v>1.121221</v>
      </c>
      <c r="L668">
        <v>366.96800000000002</v>
      </c>
      <c r="M668">
        <v>0.9999287</v>
      </c>
      <c r="N668">
        <v>-1.1945890000000001E-2</v>
      </c>
      <c r="O668" s="1">
        <v>-1.3804179999999999E-5</v>
      </c>
      <c r="P668">
        <v>0.98844829999999995</v>
      </c>
      <c r="Q668">
        <v>0.15093909999999999</v>
      </c>
      <c r="R668">
        <v>1.3703160000000001E-2</v>
      </c>
      <c r="S668">
        <v>3.041077</v>
      </c>
      <c r="T668">
        <v>-4.1182990000000003E-2</v>
      </c>
      <c r="U668">
        <v>2.9754639999999999E-2</v>
      </c>
      <c r="V668">
        <v>-1.3733189999999999E-2</v>
      </c>
      <c r="W668">
        <v>0.16273460000000001</v>
      </c>
      <c r="X668">
        <v>0.98657430000000002</v>
      </c>
      <c r="Y668">
        <v>-9.7958920000000005E-3</v>
      </c>
      <c r="Z668">
        <v>1.2486539999999999E-4</v>
      </c>
      <c r="AA668">
        <v>0.99995199999999995</v>
      </c>
      <c r="AB668">
        <v>29</v>
      </c>
      <c r="AC668">
        <v>86.327299999999994</v>
      </c>
      <c r="AD668">
        <v>-1.1712209999999901</v>
      </c>
      <c r="AE668">
        <v>0.84609999999997798</v>
      </c>
      <c r="AF668">
        <v>-0.84713584574655498</v>
      </c>
      <c r="AG668">
        <v>-1.1712209999999901</v>
      </c>
      <c r="AH668">
        <v>86.311402556872906</v>
      </c>
      <c r="AI668">
        <v>90.777402154838697</v>
      </c>
      <c r="AJ668">
        <v>90.562333002654796</v>
      </c>
      <c r="AK668">
        <v>86.323505542271405</v>
      </c>
      <c r="AL668">
        <v>80.634342020630001</v>
      </c>
      <c r="AM668">
        <v>90.797510141561602</v>
      </c>
      <c r="AN668">
        <v>0.99999999998261302</v>
      </c>
    </row>
    <row r="669" spans="1:40" x14ac:dyDescent="0.25">
      <c r="A669" t="str">
        <f>"20190303161854381"</f>
        <v>20190303161854381</v>
      </c>
      <c r="B669" t="str">
        <f>"1551601134373327"</f>
        <v>1551601134373327</v>
      </c>
      <c r="C669" t="s">
        <v>40</v>
      </c>
      <c r="D669">
        <v>4.9217079999999997</v>
      </c>
      <c r="E669">
        <v>0.50199729999999998</v>
      </c>
      <c r="F669" t="s">
        <v>44</v>
      </c>
      <c r="G669">
        <v>-279.90260000000001</v>
      </c>
      <c r="H669">
        <v>-0.05</v>
      </c>
      <c r="I669">
        <v>367.82029999999997</v>
      </c>
      <c r="J669">
        <v>-368.46440000000001</v>
      </c>
      <c r="K669">
        <v>1.1212200000000001</v>
      </c>
      <c r="L669">
        <v>366.96800000000002</v>
      </c>
      <c r="M669">
        <v>0.9999287</v>
      </c>
      <c r="N669">
        <v>-1.1946190000000001E-2</v>
      </c>
      <c r="O669" s="1">
        <v>2.6486450000000001E-5</v>
      </c>
      <c r="P669">
        <v>0.98843289999999995</v>
      </c>
      <c r="Q669">
        <v>0.15103069999999999</v>
      </c>
      <c r="R669">
        <v>1.3798970000000001E-2</v>
      </c>
      <c r="S669">
        <v>3.0407410000000001</v>
      </c>
      <c r="T669">
        <v>-4.0136459999999999E-2</v>
      </c>
      <c r="U669">
        <v>2.920532E-2</v>
      </c>
      <c r="V669">
        <v>-1.378943E-2</v>
      </c>
      <c r="W669">
        <v>0.16282679999999999</v>
      </c>
      <c r="X669">
        <v>0.9865583</v>
      </c>
      <c r="Y669">
        <v>-9.5761549999999994E-3</v>
      </c>
      <c r="Z669">
        <v>1.203706E-4</v>
      </c>
      <c r="AA669">
        <v>0.99995420000000002</v>
      </c>
      <c r="AB669">
        <v>29</v>
      </c>
      <c r="AC669">
        <v>88.561800000000005</v>
      </c>
      <c r="AD669">
        <v>-1.1712199999999999</v>
      </c>
      <c r="AE669">
        <v>0.85229999999995698</v>
      </c>
      <c r="AF669">
        <v>-0.84980552948935895</v>
      </c>
      <c r="AG669">
        <v>-1.1712199999999999</v>
      </c>
      <c r="AH669">
        <v>88.546337428669901</v>
      </c>
      <c r="AI669">
        <v>90.757783572986995</v>
      </c>
      <c r="AJ669">
        <v>90.5498677508307</v>
      </c>
      <c r="AK669">
        <v>88.558160537345302</v>
      </c>
      <c r="AL669">
        <v>80.628987912530505</v>
      </c>
      <c r="AM669">
        <v>90.800788656690401</v>
      </c>
      <c r="AN669">
        <v>0.99999999723842703</v>
      </c>
    </row>
    <row r="670" spans="1:40" x14ac:dyDescent="0.25">
      <c r="A670" t="str">
        <f>"20190303161854392"</f>
        <v>20190303161854392</v>
      </c>
      <c r="B670" t="str">
        <f>"1551601134384063"</f>
        <v>1551601134384063</v>
      </c>
      <c r="C670" t="s">
        <v>40</v>
      </c>
      <c r="D670">
        <v>4.940315</v>
      </c>
      <c r="E670">
        <v>0.50193359999999998</v>
      </c>
      <c r="F670" t="s">
        <v>44</v>
      </c>
      <c r="G670">
        <v>-277.9778</v>
      </c>
      <c r="H670">
        <v>-0.05</v>
      </c>
      <c r="I670">
        <v>367.84710000000001</v>
      </c>
      <c r="J670">
        <v>-368.31270000000001</v>
      </c>
      <c r="K670">
        <v>1.121221</v>
      </c>
      <c r="L670">
        <v>366.96809999999999</v>
      </c>
      <c r="M670">
        <v>0.99992879999999995</v>
      </c>
      <c r="N670">
        <v>-1.1946439999999999E-2</v>
      </c>
      <c r="O670" s="1">
        <v>6.2246699999999995E-5</v>
      </c>
      <c r="P670">
        <v>0.98845289999999997</v>
      </c>
      <c r="Q670">
        <v>0.1508845</v>
      </c>
      <c r="R670">
        <v>1.3965190000000001E-2</v>
      </c>
      <c r="S670">
        <v>3.0407099999999998</v>
      </c>
      <c r="T670">
        <v>-3.9357660000000003E-2</v>
      </c>
      <c r="U670">
        <v>2.9541020000000001E-2</v>
      </c>
      <c r="V670">
        <v>-1.392008E-2</v>
      </c>
      <c r="W670">
        <v>0.16268089999999999</v>
      </c>
      <c r="X670">
        <v>0.98658060000000003</v>
      </c>
      <c r="Y670">
        <v>-9.6509079999999997E-3</v>
      </c>
      <c r="Z670">
        <v>1.200476E-4</v>
      </c>
      <c r="AA670">
        <v>0.99995339999999999</v>
      </c>
      <c r="AB670">
        <v>29</v>
      </c>
      <c r="AC670">
        <v>90.334900000000005</v>
      </c>
      <c r="AD670">
        <v>-1.1712209999999901</v>
      </c>
      <c r="AE670">
        <v>0.87900000000001899</v>
      </c>
      <c r="AF670">
        <v>-0.87322977285860603</v>
      </c>
      <c r="AG670">
        <v>-1.1712209999999901</v>
      </c>
      <c r="AH670">
        <v>90.319773267361995</v>
      </c>
      <c r="AI670">
        <v>90.742906244275204</v>
      </c>
      <c r="AJ670">
        <v>90.5539298859658</v>
      </c>
      <c r="AK670">
        <v>90.331587675268494</v>
      </c>
      <c r="AL670">
        <v>80.637460944561596</v>
      </c>
      <c r="AM670">
        <v>90.808356575972297</v>
      </c>
      <c r="AN670">
        <v>1.00000006207418</v>
      </c>
    </row>
    <row r="671" spans="1:40" x14ac:dyDescent="0.25">
      <c r="A671" t="str">
        <f>"20190303161854404"</f>
        <v>20190303161854404</v>
      </c>
      <c r="B671" t="str">
        <f>"1551601134393822"</f>
        <v>1551601134393822</v>
      </c>
      <c r="C671" t="s">
        <v>40</v>
      </c>
      <c r="D671">
        <v>4.9159430000000004</v>
      </c>
      <c r="E671">
        <v>0.50189759999999894</v>
      </c>
      <c r="F671" t="s">
        <v>44</v>
      </c>
      <c r="G671">
        <v>-277.1121</v>
      </c>
      <c r="H671">
        <v>-0.05</v>
      </c>
      <c r="I671">
        <v>367.88529999999997</v>
      </c>
      <c r="J671">
        <v>-368.1551</v>
      </c>
      <c r="K671">
        <v>1.1212150000000001</v>
      </c>
      <c r="L671">
        <v>366.96809999999999</v>
      </c>
      <c r="M671">
        <v>0.9999287</v>
      </c>
      <c r="N671">
        <v>-1.1946679999999999E-2</v>
      </c>
      <c r="O671" s="1">
        <v>9.9496609999999999E-5</v>
      </c>
      <c r="P671">
        <v>0.98845430000000001</v>
      </c>
      <c r="Q671">
        <v>0.15087629999999999</v>
      </c>
      <c r="R671">
        <v>1.394599E-2</v>
      </c>
      <c r="S671">
        <v>3.040527</v>
      </c>
      <c r="T671">
        <v>-3.9047239999999997E-2</v>
      </c>
      <c r="U671">
        <v>3.0578609999999999E-2</v>
      </c>
      <c r="V671">
        <v>-1.386364E-2</v>
      </c>
      <c r="W671">
        <v>0.16267290000000001</v>
      </c>
      <c r="X671">
        <v>0.98658259999999998</v>
      </c>
      <c r="Y671">
        <v>-9.9554199999999995E-3</v>
      </c>
      <c r="Z671">
        <v>1.233072E-4</v>
      </c>
      <c r="AA671">
        <v>0.99995040000000002</v>
      </c>
      <c r="AB671">
        <v>29</v>
      </c>
      <c r="AC671">
        <v>91.042999999999907</v>
      </c>
      <c r="AD671">
        <v>-1.1712149999999999</v>
      </c>
      <c r="AE671">
        <v>0.91719999999997903</v>
      </c>
      <c r="AF671">
        <v>-0.907990628707253</v>
      </c>
      <c r="AG671">
        <v>-1.1712149999999999</v>
      </c>
      <c r="AH671">
        <v>91.028027824014501</v>
      </c>
      <c r="AI671">
        <v>90.737120617549607</v>
      </c>
      <c r="AJ671">
        <v>90.571497667118607</v>
      </c>
      <c r="AK671">
        <v>91.040090295910801</v>
      </c>
      <c r="AL671">
        <v>80.637924438014196</v>
      </c>
      <c r="AM671">
        <v>90.805077834521896</v>
      </c>
      <c r="AN671">
        <v>0.99999994976560802</v>
      </c>
    </row>
    <row r="672" spans="1:40" x14ac:dyDescent="0.25">
      <c r="A672" t="str">
        <f>"20190303161854422"</f>
        <v>20190303161854422</v>
      </c>
      <c r="B672" t="str">
        <f>"1551601134413341"</f>
        <v>1551601134413341</v>
      </c>
      <c r="C672" t="s">
        <v>40</v>
      </c>
      <c r="D672">
        <v>4.8070370000000002</v>
      </c>
      <c r="E672">
        <v>0.50190389999999996</v>
      </c>
      <c r="F672" t="s">
        <v>41</v>
      </c>
      <c r="G672">
        <v>-279.59699999999998</v>
      </c>
      <c r="H672" s="1">
        <v>-5.9179469999999898E-7</v>
      </c>
      <c r="I672">
        <v>367.85509999999999</v>
      </c>
      <c r="J672">
        <v>-367.92840000000001</v>
      </c>
      <c r="K672">
        <v>1.121213</v>
      </c>
      <c r="L672">
        <v>366.96820000000002</v>
      </c>
      <c r="M672">
        <v>0.99992859999999995</v>
      </c>
      <c r="N672">
        <v>-1.1946989999999999E-2</v>
      </c>
      <c r="O672">
        <v>1.5289829999999999E-4</v>
      </c>
      <c r="P672">
        <v>0.98847870000000004</v>
      </c>
      <c r="Q672">
        <v>0.150723</v>
      </c>
      <c r="R672">
        <v>1.3867269999999999E-2</v>
      </c>
      <c r="S672">
        <v>3.0404969999999998</v>
      </c>
      <c r="T672">
        <v>-3.8495059999999998E-2</v>
      </c>
      <c r="U672">
        <v>3.0456540000000001E-2</v>
      </c>
      <c r="V672">
        <v>-1.373227E-2</v>
      </c>
      <c r="W672">
        <v>0.16252049999999901</v>
      </c>
      <c r="X672">
        <v>0.98660959999999998</v>
      </c>
      <c r="Y672">
        <v>-9.8620229999999993E-3</v>
      </c>
      <c r="Z672">
        <v>1.212363E-4</v>
      </c>
      <c r="AA672">
        <v>0.99995140000000005</v>
      </c>
      <c r="AB672">
        <v>29</v>
      </c>
      <c r="AC672">
        <v>88.331400000000002</v>
      </c>
      <c r="AD672">
        <v>-1.1212135917946999</v>
      </c>
      <c r="AE672">
        <v>0.88689999999996805</v>
      </c>
      <c r="AF672">
        <v>-0.8732526211992</v>
      </c>
      <c r="AG672">
        <v>-1.1212135917946999</v>
      </c>
      <c r="AH672">
        <v>88.317306429930895</v>
      </c>
      <c r="AI672">
        <v>90.727311768057106</v>
      </c>
      <c r="AJ672">
        <v>90.566503454748698</v>
      </c>
      <c r="AK672">
        <v>88.328739972316797</v>
      </c>
      <c r="AL672">
        <v>80.646774512363393</v>
      </c>
      <c r="AM672">
        <v>90.797428193870502</v>
      </c>
      <c r="AN672">
        <v>0.99999999548588103</v>
      </c>
    </row>
    <row r="673" spans="1:40" x14ac:dyDescent="0.25">
      <c r="A673" t="str">
        <f>"20190303161854434"</f>
        <v>20190303161854434</v>
      </c>
      <c r="B673" t="str">
        <f>"1551601134424077"</f>
        <v>1551601134424077</v>
      </c>
      <c r="C673" t="s">
        <v>40</v>
      </c>
      <c r="D673">
        <v>4.9044780000000001</v>
      </c>
      <c r="E673">
        <v>0.50183859999999902</v>
      </c>
      <c r="F673" t="s">
        <v>41</v>
      </c>
      <c r="G673">
        <v>-279.79750000000001</v>
      </c>
      <c r="H673" s="1">
        <v>-5.2611410000000004E-7</v>
      </c>
      <c r="I673">
        <v>367.84570000000002</v>
      </c>
      <c r="J673">
        <v>-367.76299999999998</v>
      </c>
      <c r="K673">
        <v>1.12121</v>
      </c>
      <c r="L673">
        <v>366.96820000000002</v>
      </c>
      <c r="M673">
        <v>0.99992859999999995</v>
      </c>
      <c r="N673">
        <v>-1.194722E-2</v>
      </c>
      <c r="O673">
        <v>1.9169799999999999E-4</v>
      </c>
      <c r="P673">
        <v>0.98849310000000001</v>
      </c>
      <c r="Q673">
        <v>0.15065629999999999</v>
      </c>
      <c r="R673">
        <v>1.356635E-2</v>
      </c>
      <c r="S673">
        <v>3.0404360000000001</v>
      </c>
      <c r="T673">
        <v>-3.868079E-2</v>
      </c>
      <c r="U673">
        <v>3.0273439999999999E-2</v>
      </c>
      <c r="V673">
        <v>-1.339275E-2</v>
      </c>
      <c r="W673">
        <v>0.16245409999999999</v>
      </c>
      <c r="X673">
        <v>0.98662519999999998</v>
      </c>
      <c r="Y673">
        <v>-9.7632129999999998E-3</v>
      </c>
      <c r="Z673">
        <v>1.202817E-4</v>
      </c>
      <c r="AA673">
        <v>0.99995230000000002</v>
      </c>
      <c r="AB673">
        <v>29</v>
      </c>
      <c r="AC673">
        <v>87.965500000000006</v>
      </c>
      <c r="AD673">
        <v>-1.1212105261141001</v>
      </c>
      <c r="AE673">
        <v>0.87749999999999695</v>
      </c>
      <c r="AF673">
        <v>-0.86049618636584901</v>
      </c>
      <c r="AG673">
        <v>-1.1212105261141001</v>
      </c>
      <c r="AH673">
        <v>87.951379348069693</v>
      </c>
      <c r="AI673">
        <v>90.730336215467901</v>
      </c>
      <c r="AJ673">
        <v>90.560550921404399</v>
      </c>
      <c r="AK673">
        <v>87.962734700318805</v>
      </c>
      <c r="AL673">
        <v>80.650630166496597</v>
      </c>
      <c r="AM673">
        <v>90.777702541276099</v>
      </c>
      <c r="AN673">
        <v>0.99999999281720597</v>
      </c>
    </row>
    <row r="674" spans="1:40" x14ac:dyDescent="0.25">
      <c r="A674" t="str">
        <f>"20190303161854446"</f>
        <v>20190303161854446</v>
      </c>
      <c r="B674" t="str">
        <f>"1551601134433838"</f>
        <v>1551601134433838</v>
      </c>
      <c r="C674" t="s">
        <v>40</v>
      </c>
      <c r="D674">
        <v>4.7868110000000001</v>
      </c>
      <c r="E674">
        <v>0.50185679999999999</v>
      </c>
      <c r="F674" t="s">
        <v>41</v>
      </c>
      <c r="G674">
        <v>-279.93790000000001</v>
      </c>
      <c r="H674" s="1">
        <v>-4.8099849999999999E-7</v>
      </c>
      <c r="I674">
        <v>367.8356</v>
      </c>
      <c r="J674">
        <v>-367.60289999999998</v>
      </c>
      <c r="K674">
        <v>1.12121</v>
      </c>
      <c r="L674">
        <v>366.9683</v>
      </c>
      <c r="M674">
        <v>0.99992859999999995</v>
      </c>
      <c r="N674">
        <v>-1.194745E-2</v>
      </c>
      <c r="O674">
        <v>2.2906740000000001E-4</v>
      </c>
      <c r="P674">
        <v>0.98848860000000005</v>
      </c>
      <c r="Q674">
        <v>0.15067249999999999</v>
      </c>
      <c r="R674">
        <v>1.372463E-2</v>
      </c>
      <c r="S674">
        <v>3.0404360000000001</v>
      </c>
      <c r="T674">
        <v>-3.8815379999999997E-2</v>
      </c>
      <c r="U674">
        <v>3.0029299999999998E-2</v>
      </c>
      <c r="V674">
        <v>-1.3514089999999999E-2</v>
      </c>
      <c r="W674">
        <v>0.16247010000000001</v>
      </c>
      <c r="X674">
        <v>0.98662090000000002</v>
      </c>
      <c r="Y674">
        <v>-9.6455680000000002E-3</v>
      </c>
      <c r="Z674">
        <v>1.190061E-4</v>
      </c>
      <c r="AA674">
        <v>0.99995339999999999</v>
      </c>
      <c r="AB674">
        <v>29</v>
      </c>
      <c r="AC674">
        <v>87.664999999999907</v>
      </c>
      <c r="AD674">
        <v>-1.1212104809985</v>
      </c>
      <c r="AE674">
        <v>0.86729999999999996</v>
      </c>
      <c r="AF674">
        <v>-0.84707880133309699</v>
      </c>
      <c r="AG674">
        <v>-1.1212104809985</v>
      </c>
      <c r="AH674">
        <v>87.650860136211705</v>
      </c>
      <c r="AI674">
        <v>90.732840791350597</v>
      </c>
      <c r="AJ674">
        <v>90.553702830235594</v>
      </c>
      <c r="AK674">
        <v>87.662123736857495</v>
      </c>
      <c r="AL674">
        <v>80.6497009905992</v>
      </c>
      <c r="AM674">
        <v>90.784751166687101</v>
      </c>
      <c r="AN674">
        <v>0.99999998216967301</v>
      </c>
    </row>
    <row r="675" spans="1:40" x14ac:dyDescent="0.25">
      <c r="A675" t="str">
        <f>"20190303161854458"</f>
        <v>20190303161854458</v>
      </c>
      <c r="B675" t="str">
        <f>"1551601134453864"</f>
        <v>1551601134453864</v>
      </c>
      <c r="C675" t="s">
        <v>40</v>
      </c>
      <c r="D675">
        <v>4.8978409999999997</v>
      </c>
      <c r="E675">
        <v>0.50183639999999996</v>
      </c>
      <c r="F675" t="s">
        <v>41</v>
      </c>
      <c r="G675">
        <v>-279.6979</v>
      </c>
      <c r="H675" s="1">
        <v>-5.5843339999999995E-7</v>
      </c>
      <c r="I675">
        <v>367.85149999999999</v>
      </c>
      <c r="J675">
        <v>-367.44139999999999</v>
      </c>
      <c r="K675">
        <v>1.1212120000000001</v>
      </c>
      <c r="L675">
        <v>366.96839999999997</v>
      </c>
      <c r="M675">
        <v>0.9999287</v>
      </c>
      <c r="N675">
        <v>-1.19477E-2</v>
      </c>
      <c r="O675">
        <v>2.6667550000000003E-4</v>
      </c>
      <c r="P675">
        <v>0.98850979999999999</v>
      </c>
      <c r="Q675">
        <v>0.15055250000000001</v>
      </c>
      <c r="R675">
        <v>1.352472E-2</v>
      </c>
      <c r="S675">
        <v>3.0404049999999998</v>
      </c>
      <c r="T675">
        <v>-3.877974E-2</v>
      </c>
      <c r="U675">
        <v>3.0548100000000002E-2</v>
      </c>
      <c r="V675">
        <v>-1.327772E-2</v>
      </c>
      <c r="W675">
        <v>0.1623511</v>
      </c>
      <c r="X675">
        <v>0.98664370000000001</v>
      </c>
      <c r="Y675">
        <v>-9.7786479999999992E-3</v>
      </c>
      <c r="Z675">
        <v>1.2056749999999999E-4</v>
      </c>
      <c r="AA675">
        <v>0.99995219999999996</v>
      </c>
      <c r="AB675">
        <v>29</v>
      </c>
      <c r="AC675">
        <v>87.743499999999898</v>
      </c>
      <c r="AD675">
        <v>-1.1212125584333901</v>
      </c>
      <c r="AE675">
        <v>0.88310000000001299</v>
      </c>
      <c r="AF675">
        <v>-0.85955892045319704</v>
      </c>
      <c r="AG675">
        <v>-1.1212125584333901</v>
      </c>
      <c r="AH675">
        <v>87.729408961467499</v>
      </c>
      <c r="AI675">
        <v>90.732185116070596</v>
      </c>
      <c r="AJ675">
        <v>90.561357053750797</v>
      </c>
      <c r="AK675">
        <v>87.740783879945695</v>
      </c>
      <c r="AL675">
        <v>80.656610948464504</v>
      </c>
      <c r="AM675">
        <v>90.771009227881095</v>
      </c>
      <c r="AN675">
        <v>0.99999998413464897</v>
      </c>
    </row>
    <row r="676" spans="1:40" x14ac:dyDescent="0.25">
      <c r="A676" t="str">
        <f>"20190303161854472"</f>
        <v>20190303161854472</v>
      </c>
      <c r="B676" t="str">
        <f>"1551601134463624"</f>
        <v>1551601134463624</v>
      </c>
      <c r="C676" t="s">
        <v>40</v>
      </c>
      <c r="D676">
        <v>4.8685090000000004</v>
      </c>
      <c r="E676">
        <v>0.50190389999999996</v>
      </c>
      <c r="F676" t="s">
        <v>44</v>
      </c>
      <c r="G676">
        <v>-276.18880000000001</v>
      </c>
      <c r="H676">
        <v>-0.05</v>
      </c>
      <c r="I676">
        <v>367.87509999999997</v>
      </c>
      <c r="J676">
        <v>-367.26960000000003</v>
      </c>
      <c r="K676">
        <v>1.121218</v>
      </c>
      <c r="L676">
        <v>366.96850000000001</v>
      </c>
      <c r="M676">
        <v>0.99992859999999995</v>
      </c>
      <c r="N676">
        <v>-1.194798E-2</v>
      </c>
      <c r="O676">
        <v>3.0678669999999999E-4</v>
      </c>
      <c r="P676">
        <v>0.98849589999999998</v>
      </c>
      <c r="Q676">
        <v>0.15065220000000001</v>
      </c>
      <c r="R676">
        <v>1.3404630000000001E-2</v>
      </c>
      <c r="S676">
        <v>3.0404659999999999</v>
      </c>
      <c r="T676">
        <v>-3.9023879999999997E-2</v>
      </c>
      <c r="U676">
        <v>3.02124E-2</v>
      </c>
      <c r="V676">
        <v>-1.311754E-2</v>
      </c>
      <c r="W676">
        <v>0.16245079999999901</v>
      </c>
      <c r="X676">
        <v>0.98662939999999999</v>
      </c>
      <c r="Y676">
        <v>-9.6279499999999997E-3</v>
      </c>
      <c r="Z676">
        <v>1.19036E-4</v>
      </c>
      <c r="AA676">
        <v>0.9999536</v>
      </c>
      <c r="AB676">
        <v>29</v>
      </c>
      <c r="AC676">
        <v>91.080799999999996</v>
      </c>
      <c r="AD676">
        <v>-1.1712180000000001</v>
      </c>
      <c r="AE676">
        <v>0.90659999999996899</v>
      </c>
      <c r="AF676">
        <v>-0.87851033217142505</v>
      </c>
      <c r="AG676">
        <v>-1.1712180000000001</v>
      </c>
      <c r="AH676">
        <v>91.066016981400793</v>
      </c>
      <c r="AI676">
        <v>90.736817410590106</v>
      </c>
      <c r="AJ676">
        <v>90.552713016262501</v>
      </c>
      <c r="AK676">
        <v>91.077785331353098</v>
      </c>
      <c r="AL676">
        <v>80.650821408725406</v>
      </c>
      <c r="AM676">
        <v>90.761720054075894</v>
      </c>
      <c r="AN676">
        <v>0.99999995261032404</v>
      </c>
    </row>
    <row r="677" spans="1:40" x14ac:dyDescent="0.25">
      <c r="A677" t="str">
        <f>"20190303161854489"</f>
        <v>20190303161854489</v>
      </c>
      <c r="B677" t="str">
        <f>"1551601134484120"</f>
        <v>1551601134484120</v>
      </c>
      <c r="C677" t="s">
        <v>40</v>
      </c>
      <c r="D677">
        <v>5.0461970000000003</v>
      </c>
      <c r="E677">
        <v>0.52899309999999999</v>
      </c>
      <c r="F677" t="s">
        <v>41</v>
      </c>
      <c r="G677">
        <v>-278.75810000000001</v>
      </c>
      <c r="H677" s="1">
        <v>-8.8793549999999897E-7</v>
      </c>
      <c r="I677">
        <v>367.81509999999997</v>
      </c>
      <c r="J677">
        <v>-367.04629999999997</v>
      </c>
      <c r="K677">
        <v>1.1212200000000001</v>
      </c>
      <c r="L677">
        <v>366.96859999999998</v>
      </c>
      <c r="M677">
        <v>0.99992859999999995</v>
      </c>
      <c r="N677">
        <v>-1.194836E-2</v>
      </c>
      <c r="O677">
        <v>3.586989E-4</v>
      </c>
      <c r="P677">
        <v>0.98846520000000004</v>
      </c>
      <c r="Q677">
        <v>0.1508562</v>
      </c>
      <c r="R677">
        <v>1.337606E-2</v>
      </c>
      <c r="S677">
        <v>3.040375</v>
      </c>
      <c r="T677">
        <v>-3.8513899999999997E-2</v>
      </c>
      <c r="U677">
        <v>2.9083250000000001E-2</v>
      </c>
      <c r="V677">
        <v>-1.303759E-2</v>
      </c>
      <c r="W677">
        <v>0.16265499999999999</v>
      </c>
      <c r="X677">
        <v>0.9865969</v>
      </c>
      <c r="Y677">
        <v>-9.2051000000000008E-3</v>
      </c>
      <c r="Z677">
        <v>1.130419E-4</v>
      </c>
      <c r="AA677">
        <v>0.9999576</v>
      </c>
      <c r="AB677">
        <v>29</v>
      </c>
      <c r="AC677">
        <v>88.288199999999904</v>
      </c>
      <c r="AD677">
        <v>-1.1212208879354999</v>
      </c>
      <c r="AE677">
        <v>0.84649999999999104</v>
      </c>
      <c r="AF677">
        <v>-0.81469742475996998</v>
      </c>
      <c r="AG677">
        <v>-1.1212208879354999</v>
      </c>
      <c r="AH677">
        <v>88.274262529336795</v>
      </c>
      <c r="AI677">
        <v>90.727675692419496</v>
      </c>
      <c r="AJ677">
        <v>90.528776989178198</v>
      </c>
      <c r="AK677">
        <v>88.285141973447196</v>
      </c>
      <c r="AL677">
        <v>80.638964685404105</v>
      </c>
      <c r="AM677">
        <v>90.757102930430506</v>
      </c>
      <c r="AN677">
        <v>1.0000000354337999</v>
      </c>
    </row>
    <row r="678" spans="1:40" x14ac:dyDescent="0.25">
      <c r="A678" t="str">
        <f>"20190303161854506"</f>
        <v>20190303161854506</v>
      </c>
      <c r="B678" t="str">
        <f>"1551601134493881"</f>
        <v>1551601134493881</v>
      </c>
      <c r="C678" t="s">
        <v>40</v>
      </c>
      <c r="D678">
        <v>4.9348609999999997</v>
      </c>
      <c r="E678">
        <v>0.53489849999999906</v>
      </c>
      <c r="F678" t="s">
        <v>43</v>
      </c>
      <c r="G678">
        <v>-169.2955</v>
      </c>
      <c r="H678">
        <v>2.108215</v>
      </c>
      <c r="I678">
        <v>354.76060000000001</v>
      </c>
      <c r="J678">
        <v>-366.81950000000001</v>
      </c>
      <c r="K678">
        <v>1.1212219999999999</v>
      </c>
      <c r="L678">
        <v>366.96879999999999</v>
      </c>
      <c r="M678">
        <v>0.99992859999999995</v>
      </c>
      <c r="N678">
        <v>-1.1948759999999999E-2</v>
      </c>
      <c r="O678">
        <v>4.1126649999999998E-4</v>
      </c>
      <c r="P678">
        <v>0.98844549999999998</v>
      </c>
      <c r="Q678">
        <v>0.1509877</v>
      </c>
      <c r="R678">
        <v>1.336123E-2</v>
      </c>
      <c r="S678">
        <v>3.0352169999999998</v>
      </c>
      <c r="T678">
        <v>1.5150429999999999E-2</v>
      </c>
      <c r="U678">
        <v>-0.18737789999999999</v>
      </c>
      <c r="V678">
        <v>-1.2971440000000001E-2</v>
      </c>
      <c r="W678">
        <v>0.16278629999999999</v>
      </c>
      <c r="X678">
        <v>0.98657609999999996</v>
      </c>
      <c r="Y678">
        <v>6.202883E-2</v>
      </c>
      <c r="Z678">
        <v>-2.093242E-4</v>
      </c>
      <c r="AA678">
        <v>0.99807440000000003</v>
      </c>
      <c r="AB678">
        <v>29</v>
      </c>
      <c r="AC678">
        <v>197.524</v>
      </c>
      <c r="AD678">
        <v>0.98699300000000001</v>
      </c>
      <c r="AE678">
        <v>-12.2081999999999</v>
      </c>
      <c r="AF678">
        <v>12.2891340945524</v>
      </c>
      <c r="AG678">
        <v>0.98699300000000001</v>
      </c>
      <c r="AH678">
        <v>197.51404929465301</v>
      </c>
      <c r="AI678">
        <v>89.714243503891197</v>
      </c>
      <c r="AJ678">
        <v>86.439701216719797</v>
      </c>
      <c r="AK678">
        <v>197.898450324268</v>
      </c>
      <c r="AL678">
        <v>80.6313399796325</v>
      </c>
      <c r="AM678">
        <v>90.753277871741403</v>
      </c>
      <c r="AN678">
        <v>1.00000001940728</v>
      </c>
    </row>
    <row r="679" spans="1:40" x14ac:dyDescent="0.25">
      <c r="A679" t="str">
        <f>"20190303161854522"</f>
        <v>20190303161854522</v>
      </c>
      <c r="B679" t="str">
        <f>"1551601134513401"</f>
        <v>1551601134513401</v>
      </c>
      <c r="C679" t="s">
        <v>40</v>
      </c>
      <c r="D679">
        <v>4.9116920000000004</v>
      </c>
      <c r="E679">
        <v>0.54161949999999903</v>
      </c>
      <c r="F679" t="s">
        <v>47</v>
      </c>
      <c r="G679">
        <v>-249.67869999999999</v>
      </c>
      <c r="H679">
        <v>1.0850820000000001</v>
      </c>
      <c r="I679">
        <v>357.93630000000002</v>
      </c>
      <c r="J679">
        <v>-366.60750000000002</v>
      </c>
      <c r="K679">
        <v>1.1212230000000001</v>
      </c>
      <c r="L679">
        <v>366.96890000000002</v>
      </c>
      <c r="M679">
        <v>0.9999285</v>
      </c>
      <c r="N679">
        <v>-1.1949130000000001E-2</v>
      </c>
      <c r="O679">
        <v>4.606748E-4</v>
      </c>
      <c r="P679">
        <v>0.98844730000000003</v>
      </c>
      <c r="Q679">
        <v>0.150979799999999</v>
      </c>
      <c r="R679">
        <v>1.330696E-2</v>
      </c>
      <c r="S679">
        <v>3.0383909999999998</v>
      </c>
      <c r="T679">
        <v>-9.3519689999999999E-4</v>
      </c>
      <c r="U679">
        <v>-0.2342834</v>
      </c>
      <c r="V679">
        <v>-1.2867959999999999E-2</v>
      </c>
      <c r="W679">
        <v>0.162778799999999</v>
      </c>
      <c r="X679">
        <v>0.98657870000000003</v>
      </c>
      <c r="Y679">
        <v>7.7338690000000002E-2</v>
      </c>
      <c r="Z679">
        <v>-4.6929630000000001E-4</v>
      </c>
      <c r="AA679">
        <v>0.99700469999999997</v>
      </c>
      <c r="AB679">
        <v>29</v>
      </c>
      <c r="AC679">
        <v>116.9288</v>
      </c>
      <c r="AD679">
        <v>-3.6140999999999902E-2</v>
      </c>
      <c r="AE679">
        <v>-9.0326000000000004</v>
      </c>
      <c r="AF679">
        <v>9.0864681760345398</v>
      </c>
      <c r="AG679">
        <v>-3.6140999999999902E-2</v>
      </c>
      <c r="AH679">
        <v>116.924615098543</v>
      </c>
      <c r="AI679">
        <v>90.017656693834695</v>
      </c>
      <c r="AJ679">
        <v>85.556350343001498</v>
      </c>
      <c r="AK679">
        <v>117.277153896351</v>
      </c>
      <c r="AL679">
        <v>80.631775576067199</v>
      </c>
      <c r="AM679">
        <v>90.747267292995801</v>
      </c>
      <c r="AN679">
        <v>1.00000002670884</v>
      </c>
    </row>
    <row r="680" spans="1:40" x14ac:dyDescent="0.25">
      <c r="A680" t="str">
        <f>"20190303161854533"</f>
        <v>20190303161854533</v>
      </c>
      <c r="B680" t="str">
        <f>"1551601134523161"</f>
        <v>1551601134523161</v>
      </c>
      <c r="C680" t="s">
        <v>40</v>
      </c>
      <c r="D680">
        <v>4.9606839999999996</v>
      </c>
      <c r="E680">
        <v>0.54282439999999998</v>
      </c>
      <c r="F680" t="s">
        <v>44</v>
      </c>
      <c r="G680">
        <v>-196.55609999999999</v>
      </c>
      <c r="H680">
        <v>-0.05</v>
      </c>
      <c r="I680">
        <v>350.86860000000001</v>
      </c>
      <c r="J680">
        <v>-366.45729999999998</v>
      </c>
      <c r="K680">
        <v>1.1212219999999999</v>
      </c>
      <c r="L680">
        <v>366.96899999999999</v>
      </c>
      <c r="M680">
        <v>0.9999285</v>
      </c>
      <c r="N680">
        <v>-1.1949390000000001E-2</v>
      </c>
      <c r="O680">
        <v>4.955405E-4</v>
      </c>
      <c r="P680">
        <v>0.9884425</v>
      </c>
      <c r="Q680">
        <v>0.1509791</v>
      </c>
      <c r="R680">
        <v>1.367377E-2</v>
      </c>
      <c r="S680">
        <v>3.0421140000000002</v>
      </c>
      <c r="T680">
        <v>-2.0952459999999999E-2</v>
      </c>
      <c r="U680">
        <v>-0.28802489999999997</v>
      </c>
      <c r="V680">
        <v>-1.320056E-2</v>
      </c>
      <c r="W680">
        <v>0.16277829999999999</v>
      </c>
      <c r="X680">
        <v>0.98657439999999996</v>
      </c>
      <c r="Y680">
        <v>9.4744880000000004E-2</v>
      </c>
      <c r="Z680">
        <v>-8.9041459999999995E-4</v>
      </c>
      <c r="AA680">
        <v>0.99550119999999997</v>
      </c>
      <c r="AB680">
        <v>29</v>
      </c>
      <c r="AC680">
        <v>169.90119999999999</v>
      </c>
      <c r="AD680">
        <v>-1.171222</v>
      </c>
      <c r="AE680">
        <v>-16.100399999999901</v>
      </c>
      <c r="AF680">
        <v>16.1838347312815</v>
      </c>
      <c r="AG680">
        <v>-1.171222</v>
      </c>
      <c r="AH680">
        <v>169.88519890459401</v>
      </c>
      <c r="AI680">
        <v>90.393221943898695</v>
      </c>
      <c r="AJ680">
        <v>84.558233463664294</v>
      </c>
      <c r="AK680">
        <v>170.65834018423001</v>
      </c>
      <c r="AL680">
        <v>80.631804720163203</v>
      </c>
      <c r="AM680">
        <v>90.766583082334904</v>
      </c>
      <c r="AN680">
        <v>1.0000000382352801</v>
      </c>
    </row>
    <row r="681" spans="1:40" x14ac:dyDescent="0.25">
      <c r="A681" t="str">
        <f>"20190303161854547"</f>
        <v>20190303161854547</v>
      </c>
      <c r="B681" t="str">
        <f>"1551601134533897"</f>
        <v>1551601134533897</v>
      </c>
      <c r="C681" t="s">
        <v>40</v>
      </c>
      <c r="D681">
        <v>4.8831899999999999</v>
      </c>
      <c r="E681">
        <v>0.54421889999999995</v>
      </c>
      <c r="F681" t="s">
        <v>41</v>
      </c>
      <c r="G681">
        <v>-266.65440000000001</v>
      </c>
      <c r="H681">
        <v>7.9986450000000001E-2</v>
      </c>
      <c r="I681">
        <v>357.25049999999999</v>
      </c>
      <c r="J681">
        <v>-366.28120000000001</v>
      </c>
      <c r="K681">
        <v>1.1212219999999999</v>
      </c>
      <c r="L681">
        <v>366.96910000000003</v>
      </c>
      <c r="M681">
        <v>0.9999285</v>
      </c>
      <c r="N681">
        <v>-1.1949700000000001E-2</v>
      </c>
      <c r="O681">
        <v>5.3648519999999905E-4</v>
      </c>
      <c r="P681">
        <v>0.98844609999999999</v>
      </c>
      <c r="Q681">
        <v>0.15095539999999999</v>
      </c>
      <c r="R681">
        <v>1.367993E-2</v>
      </c>
      <c r="S681">
        <v>3.0440369999999999</v>
      </c>
      <c r="T681">
        <v>-3.1758189999999999E-2</v>
      </c>
      <c r="U681">
        <v>-0.29641719999999999</v>
      </c>
      <c r="V681">
        <v>-1.3165799999999899E-2</v>
      </c>
      <c r="W681">
        <v>0.16275519999999999</v>
      </c>
      <c r="X681">
        <v>0.98657859999999997</v>
      </c>
      <c r="Y681">
        <v>9.7440609999999997E-2</v>
      </c>
      <c r="Z681">
        <v>-1.089891E-3</v>
      </c>
      <c r="AA681">
        <v>0.99524069999999998</v>
      </c>
      <c r="AB681">
        <v>29</v>
      </c>
      <c r="AC681">
        <v>99.626800000000003</v>
      </c>
      <c r="AD681">
        <v>-1.0412355499999999</v>
      </c>
      <c r="AE681">
        <v>-9.7186000000000305</v>
      </c>
      <c r="AF681">
        <v>9.7709934850646096</v>
      </c>
      <c r="AG681">
        <v>-1.0412355499999999</v>
      </c>
      <c r="AH681">
        <v>99.610793388312601</v>
      </c>
      <c r="AI681">
        <v>90.596032793157093</v>
      </c>
      <c r="AJ681">
        <v>84.397681366569003</v>
      </c>
      <c r="AK681">
        <v>100.094288771162</v>
      </c>
      <c r="AL681">
        <v>80.633145436560895</v>
      </c>
      <c r="AM681">
        <v>90.764561484654394</v>
      </c>
      <c r="AN681">
        <v>0.99999996369731903</v>
      </c>
    </row>
    <row r="682" spans="1:40" x14ac:dyDescent="0.25">
      <c r="A682" t="str">
        <f>"20190303161854560"</f>
        <v>20190303161854560</v>
      </c>
      <c r="B682" t="str">
        <f>"1551601134553418"</f>
        <v>1551601134553418</v>
      </c>
      <c r="C682" t="s">
        <v>40</v>
      </c>
      <c r="D682">
        <v>4.8330279999999997</v>
      </c>
      <c r="E682">
        <v>0.54553859999999998</v>
      </c>
      <c r="F682" t="s">
        <v>44</v>
      </c>
      <c r="G682">
        <v>-274.23869999999999</v>
      </c>
      <c r="H682">
        <v>-0.05</v>
      </c>
      <c r="I682">
        <v>357.6825</v>
      </c>
      <c r="J682">
        <v>-366.10379999999998</v>
      </c>
      <c r="K682">
        <v>1.1212200000000001</v>
      </c>
      <c r="L682">
        <v>366.96929999999998</v>
      </c>
      <c r="M682">
        <v>0.99992840000000005</v>
      </c>
      <c r="N682">
        <v>-1.1950000000000001E-2</v>
      </c>
      <c r="O682">
        <v>5.7796639999999999E-4</v>
      </c>
      <c r="P682">
        <v>0.9883883</v>
      </c>
      <c r="Q682">
        <v>0.15128249999999999</v>
      </c>
      <c r="R682">
        <v>1.421997E-2</v>
      </c>
      <c r="S682">
        <v>3.045258</v>
      </c>
      <c r="T682">
        <v>-3.875029E-2</v>
      </c>
      <c r="U682">
        <v>-0.307251</v>
      </c>
      <c r="V682">
        <v>-1.3665119999999999E-2</v>
      </c>
      <c r="W682">
        <v>0.1630818</v>
      </c>
      <c r="X682">
        <v>0.98651789999999995</v>
      </c>
      <c r="Y682">
        <v>0.10094450000000001</v>
      </c>
      <c r="Z682">
        <v>-1.245784E-3</v>
      </c>
      <c r="AA682">
        <v>0.99489130000000003</v>
      </c>
      <c r="AB682">
        <v>29</v>
      </c>
      <c r="AC682">
        <v>91.865099999999899</v>
      </c>
      <c r="AD682">
        <v>-1.1712199999999999</v>
      </c>
      <c r="AE682">
        <v>-9.2867999999999693</v>
      </c>
      <c r="AF682">
        <v>9.3383946211004698</v>
      </c>
      <c r="AG682">
        <v>-1.1712199999999999</v>
      </c>
      <c r="AH682">
        <v>91.844938824002199</v>
      </c>
      <c r="AI682">
        <v>90.726857462340703</v>
      </c>
      <c r="AJ682">
        <v>84.194365142112801</v>
      </c>
      <c r="AK682">
        <v>92.3258910488954</v>
      </c>
      <c r="AL682">
        <v>80.6141794670813</v>
      </c>
      <c r="AM682">
        <v>90.793603067978097</v>
      </c>
      <c r="AN682">
        <v>0.99999998800813195</v>
      </c>
    </row>
    <row r="683" spans="1:40" x14ac:dyDescent="0.25">
      <c r="A683" t="str">
        <f>"20190303161854572"</f>
        <v>20190303161854572</v>
      </c>
      <c r="B683" t="str">
        <f>"1551601134563176"</f>
        <v>1551601134563176</v>
      </c>
      <c r="C683" t="s">
        <v>40</v>
      </c>
      <c r="D683">
        <v>4.83148</v>
      </c>
      <c r="E683">
        <v>0.54594140000000002</v>
      </c>
      <c r="F683" t="s">
        <v>44</v>
      </c>
      <c r="G683">
        <v>-299.45670000000001</v>
      </c>
      <c r="H683">
        <v>-0.05</v>
      </c>
      <c r="I683">
        <v>360.05360000000002</v>
      </c>
      <c r="J683">
        <v>-365.94450000000001</v>
      </c>
      <c r="K683">
        <v>1.1212200000000001</v>
      </c>
      <c r="L683">
        <v>366.96940000000001</v>
      </c>
      <c r="M683">
        <v>0.99992840000000005</v>
      </c>
      <c r="N683">
        <v>-1.1950300000000001E-2</v>
      </c>
      <c r="O683">
        <v>6.1503739999999995E-4</v>
      </c>
      <c r="P683">
        <v>0.98838419999999905</v>
      </c>
      <c r="Q683">
        <v>0.15124649999999901</v>
      </c>
      <c r="R683">
        <v>1.4873920000000001E-2</v>
      </c>
      <c r="S683">
        <v>3.048035</v>
      </c>
      <c r="T683">
        <v>-5.3564550000000002E-2</v>
      </c>
      <c r="U683">
        <v>-0.31628420000000002</v>
      </c>
      <c r="V683">
        <v>-1.4282380000000001E-2</v>
      </c>
      <c r="W683">
        <v>0.163046</v>
      </c>
      <c r="X683">
        <v>0.98651509999999998</v>
      </c>
      <c r="Y683">
        <v>0.1037974</v>
      </c>
      <c r="Z683">
        <v>-1.534945E-3</v>
      </c>
      <c r="AA683">
        <v>0.99459730000000002</v>
      </c>
      <c r="AB683">
        <v>29</v>
      </c>
      <c r="AC683">
        <v>66.487799999999993</v>
      </c>
      <c r="AD683">
        <v>-1.1712199999999999</v>
      </c>
      <c r="AE683">
        <v>-6.9157999999999902</v>
      </c>
      <c r="AF683">
        <v>6.9545591389969399</v>
      </c>
      <c r="AG683">
        <v>-1.1712199999999999</v>
      </c>
      <c r="AH683">
        <v>66.463130349849493</v>
      </c>
      <c r="AI683">
        <v>91.004086706009204</v>
      </c>
      <c r="AJ683">
        <v>84.026431154172698</v>
      </c>
      <c r="AK683">
        <v>66.836257712466903</v>
      </c>
      <c r="AL683">
        <v>80.616258724052898</v>
      </c>
      <c r="AM683">
        <v>90.829447951659205</v>
      </c>
      <c r="AN683">
        <v>1.0000000135112299</v>
      </c>
    </row>
    <row r="684" spans="1:40" x14ac:dyDescent="0.25">
      <c r="A684" t="str">
        <f>"20190303161854588"</f>
        <v>20190303161854588</v>
      </c>
      <c r="B684" t="str">
        <f>"1551601134583674"</f>
        <v>1551601134583674</v>
      </c>
      <c r="C684" t="s">
        <v>40</v>
      </c>
      <c r="D684">
        <v>4.7993199999999998</v>
      </c>
      <c r="E684">
        <v>0.54858929999999995</v>
      </c>
      <c r="F684" t="s">
        <v>44</v>
      </c>
      <c r="G684">
        <v>-301.62869999999998</v>
      </c>
      <c r="H684">
        <v>-0.05</v>
      </c>
      <c r="I684">
        <v>360.27789999999999</v>
      </c>
      <c r="J684">
        <v>-365.73239999999998</v>
      </c>
      <c r="K684">
        <v>1.121221</v>
      </c>
      <c r="L684">
        <v>366.96960000000001</v>
      </c>
      <c r="M684">
        <v>0.99992840000000005</v>
      </c>
      <c r="N684">
        <v>-1.195068E-2</v>
      </c>
      <c r="O684">
        <v>6.6438610000000003E-4</v>
      </c>
      <c r="P684">
        <v>0.98828229999999995</v>
      </c>
      <c r="Q684">
        <v>0.1518108</v>
      </c>
      <c r="R684">
        <v>1.585889E-2</v>
      </c>
      <c r="S684">
        <v>3.048492</v>
      </c>
      <c r="T684">
        <v>-5.551445E-2</v>
      </c>
      <c r="U684">
        <v>-0.31716919999999998</v>
      </c>
      <c r="V684">
        <v>-1.521893E-2</v>
      </c>
      <c r="W684">
        <v>0.16360910000000001</v>
      </c>
      <c r="X684">
        <v>0.9864079</v>
      </c>
      <c r="Y684">
        <v>0.1041152</v>
      </c>
      <c r="Z684">
        <v>-1.573416E-3</v>
      </c>
      <c r="AA684">
        <v>0.994564</v>
      </c>
      <c r="AB684">
        <v>29</v>
      </c>
      <c r="AC684">
        <v>64.103700000000003</v>
      </c>
      <c r="AD684">
        <v>-1.1712209999999901</v>
      </c>
      <c r="AE684">
        <v>-6.6917000000000204</v>
      </c>
      <c r="AF684">
        <v>6.7320681005559102</v>
      </c>
      <c r="AG684">
        <v>-1.1712209999999901</v>
      </c>
      <c r="AH684">
        <v>64.078079736833203</v>
      </c>
      <c r="AI684">
        <v>91.041407002321804</v>
      </c>
      <c r="AJ684">
        <v>84.002484664929199</v>
      </c>
      <c r="AK684">
        <v>64.441390443575202</v>
      </c>
      <c r="AL684">
        <v>80.583556679798406</v>
      </c>
      <c r="AM684">
        <v>90.883925684305694</v>
      </c>
      <c r="AN684">
        <v>1.0000000493077801</v>
      </c>
    </row>
    <row r="685" spans="1:40" x14ac:dyDescent="0.25">
      <c r="A685" t="str">
        <f>"20190303161854600"</f>
        <v>20190303161854600</v>
      </c>
      <c r="B685" t="str">
        <f>"1551601134593432"</f>
        <v>1551601134593432</v>
      </c>
      <c r="C685" t="s">
        <v>40</v>
      </c>
      <c r="D685">
        <v>4.8095210000000002</v>
      </c>
      <c r="E685">
        <v>0.55002930000000005</v>
      </c>
      <c r="F685" t="s">
        <v>44</v>
      </c>
      <c r="G685">
        <v>-297.89850000000001</v>
      </c>
      <c r="H685">
        <v>-0.05</v>
      </c>
      <c r="I685">
        <v>359.50310000000002</v>
      </c>
      <c r="J685">
        <v>-365.5856</v>
      </c>
      <c r="K685">
        <v>1.1212200000000001</v>
      </c>
      <c r="L685">
        <v>366.96969999999999</v>
      </c>
      <c r="M685">
        <v>0.99992840000000005</v>
      </c>
      <c r="N685">
        <v>-1.195092E-2</v>
      </c>
      <c r="O685">
        <v>6.9859649999999996E-4</v>
      </c>
      <c r="P685">
        <v>0.98828079999999996</v>
      </c>
      <c r="Q685">
        <v>0.1517838</v>
      </c>
      <c r="R685">
        <v>1.621856E-2</v>
      </c>
      <c r="S685">
        <v>3.0490110000000001</v>
      </c>
      <c r="T685">
        <v>-5.2644249999999997E-2</v>
      </c>
      <c r="U685">
        <v>-0.33560180000000001</v>
      </c>
      <c r="V685">
        <v>-1.5544489999999999E-2</v>
      </c>
      <c r="W685">
        <v>0.16358230000000001</v>
      </c>
      <c r="X685">
        <v>0.98640720000000004</v>
      </c>
      <c r="Y685">
        <v>0.1100752</v>
      </c>
      <c r="Z685">
        <v>-1.610886E-3</v>
      </c>
      <c r="AA685">
        <v>0.99392190000000002</v>
      </c>
      <c r="AB685">
        <v>29</v>
      </c>
      <c r="AC685">
        <v>67.687099999999901</v>
      </c>
      <c r="AD685">
        <v>-1.1712199999999999</v>
      </c>
      <c r="AE685">
        <v>-7.4665999999999704</v>
      </c>
      <c r="AF685">
        <v>7.5116655000025103</v>
      </c>
      <c r="AG685">
        <v>-1.1712199999999999</v>
      </c>
      <c r="AH685">
        <v>67.661851937894994</v>
      </c>
      <c r="AI685">
        <v>90.985631152227</v>
      </c>
      <c r="AJ685">
        <v>83.665093160904505</v>
      </c>
      <c r="AK685">
        <v>68.0876132827253</v>
      </c>
      <c r="AL685">
        <v>80.585112538310597</v>
      </c>
      <c r="AM685">
        <v>90.902831971483806</v>
      </c>
      <c r="AN685">
        <v>0.99999998212724495</v>
      </c>
    </row>
    <row r="686" spans="1:40" x14ac:dyDescent="0.25">
      <c r="A686" t="str">
        <f>"20190303161854611"</f>
        <v>20190303161854611</v>
      </c>
      <c r="B686" t="str">
        <f>"1551601134603193"</f>
        <v>1551601134603193</v>
      </c>
      <c r="C686" t="s">
        <v>40</v>
      </c>
      <c r="D686">
        <v>4.5628279999999997</v>
      </c>
      <c r="E686">
        <v>0.55002930000000005</v>
      </c>
      <c r="F686" t="s">
        <v>44</v>
      </c>
      <c r="G686">
        <v>-297.93579999999997</v>
      </c>
      <c r="H686">
        <v>-0.05</v>
      </c>
      <c r="I686">
        <v>359.28879999999998</v>
      </c>
      <c r="J686">
        <v>-365.43360000000001</v>
      </c>
      <c r="K686">
        <v>1.121219</v>
      </c>
      <c r="L686">
        <v>366.96980000000002</v>
      </c>
      <c r="M686">
        <v>0.99992829999999999</v>
      </c>
      <c r="N686">
        <v>-1.195118E-2</v>
      </c>
      <c r="O686">
        <v>7.3399879999999998E-4</v>
      </c>
      <c r="P686">
        <v>0.98826800000000004</v>
      </c>
      <c r="Q686">
        <v>0.1518108</v>
      </c>
      <c r="R686">
        <v>1.6734079999999998E-2</v>
      </c>
      <c r="S686">
        <v>3.049347</v>
      </c>
      <c r="T686">
        <v>-5.2793260000000002E-2</v>
      </c>
      <c r="U686">
        <v>-0.34622190000000003</v>
      </c>
      <c r="V686">
        <v>-1.602512E-2</v>
      </c>
      <c r="W686">
        <v>0.16360959999999999</v>
      </c>
      <c r="X686">
        <v>0.98639500000000002</v>
      </c>
      <c r="Y686">
        <v>0.1135157</v>
      </c>
      <c r="Z686">
        <v>-1.663954E-3</v>
      </c>
      <c r="AA686">
        <v>0.99353480000000005</v>
      </c>
      <c r="AB686">
        <v>29</v>
      </c>
      <c r="AC686">
        <v>67.497799999999998</v>
      </c>
      <c r="AD686">
        <v>-1.171219</v>
      </c>
      <c r="AE686">
        <v>-7.68100000000004</v>
      </c>
      <c r="AF686">
        <v>7.7282476196448702</v>
      </c>
      <c r="AG686">
        <v>-1.171219</v>
      </c>
      <c r="AH686">
        <v>67.472088076616402</v>
      </c>
      <c r="AI686">
        <v>90.988014290843694</v>
      </c>
      <c r="AJ686">
        <v>83.465821488151803</v>
      </c>
      <c r="AK686">
        <v>67.923340867739896</v>
      </c>
      <c r="AL686">
        <v>80.583527180197393</v>
      </c>
      <c r="AM686">
        <v>90.930753881600296</v>
      </c>
      <c r="AN686">
        <v>1.0000000008540799</v>
      </c>
    </row>
    <row r="687" spans="1:40" x14ac:dyDescent="0.25">
      <c r="A687" t="str">
        <f>"20190303161854735"</f>
        <v>20190303161854735</v>
      </c>
      <c r="B687" t="str">
        <f>"1551601134723241"</f>
        <v>1551601134723241</v>
      </c>
      <c r="C687" t="s">
        <v>40</v>
      </c>
      <c r="D687">
        <v>4.8447519999999997</v>
      </c>
      <c r="E687">
        <v>0.55002930000000005</v>
      </c>
      <c r="F687" t="s">
        <v>44</v>
      </c>
      <c r="G687">
        <v>-297.79230000000001</v>
      </c>
      <c r="H687">
        <v>-0.05</v>
      </c>
      <c r="I687">
        <v>359.33030000000002</v>
      </c>
      <c r="J687">
        <v>-363.81580000000002</v>
      </c>
      <c r="K687">
        <v>1.1212169999999999</v>
      </c>
      <c r="L687">
        <v>366.9717</v>
      </c>
      <c r="M687">
        <v>0.99992809999999999</v>
      </c>
      <c r="N687">
        <v>-1.1953790000000001E-2</v>
      </c>
      <c r="O687">
        <v>1.1095930000000001E-3</v>
      </c>
      <c r="P687">
        <v>0.9884037</v>
      </c>
      <c r="Q687">
        <v>0.15095999999999901</v>
      </c>
      <c r="R687">
        <v>1.641482E-2</v>
      </c>
      <c r="S687">
        <v>3.0495299999999999</v>
      </c>
      <c r="T687">
        <v>-5.2803040000000002E-2</v>
      </c>
      <c r="U687">
        <v>-0.34442139999999999</v>
      </c>
      <c r="V687">
        <v>-1.5334459999999999E-2</v>
      </c>
      <c r="W687">
        <v>0.162763299999999</v>
      </c>
      <c r="X687">
        <v>0.98654600000000003</v>
      </c>
      <c r="Y687">
        <v>0.113303</v>
      </c>
      <c r="Z687">
        <v>-1.6631319999999999E-3</v>
      </c>
      <c r="AA687">
        <v>0.99355910000000003</v>
      </c>
      <c r="AB687">
        <v>29</v>
      </c>
      <c r="AC687">
        <v>66.023499999999999</v>
      </c>
      <c r="AD687">
        <v>-1.171217</v>
      </c>
      <c r="AE687">
        <v>-7.6413999999999698</v>
      </c>
      <c r="AF687">
        <v>7.7122648679340102</v>
      </c>
      <c r="AG687">
        <v>-1.171217</v>
      </c>
      <c r="AH687">
        <v>65.994486858067702</v>
      </c>
      <c r="AI687">
        <v>91.009861700976302</v>
      </c>
      <c r="AJ687">
        <v>83.334519029353402</v>
      </c>
      <c r="AK687">
        <v>66.453916922284805</v>
      </c>
      <c r="AL687">
        <v>80.632675636859204</v>
      </c>
      <c r="AM687">
        <v>90.890510013643393</v>
      </c>
      <c r="AN687">
        <v>1.0000000238031901</v>
      </c>
    </row>
    <row r="688" spans="1:40" x14ac:dyDescent="0.25">
      <c r="A688" t="str">
        <f>"20190303161854746"</f>
        <v>20190303161854746</v>
      </c>
      <c r="B688" t="str">
        <f>"1551601134743737"</f>
        <v>1551601134743737</v>
      </c>
      <c r="C688" t="s">
        <v>40</v>
      </c>
      <c r="D688">
        <v>4.8183230000000004</v>
      </c>
      <c r="E688">
        <v>0.5047838</v>
      </c>
      <c r="F688" t="s">
        <v>44</v>
      </c>
      <c r="G688">
        <v>-299.36860000000001</v>
      </c>
      <c r="H688">
        <v>-0.05</v>
      </c>
      <c r="I688">
        <v>359.67770000000002</v>
      </c>
      <c r="J688">
        <v>-363.6576</v>
      </c>
      <c r="K688">
        <v>1.121216</v>
      </c>
      <c r="L688">
        <v>366.97199999999998</v>
      </c>
      <c r="M688">
        <v>0.99992800000000004</v>
      </c>
      <c r="N688">
        <v>-1.1954040000000001E-2</v>
      </c>
      <c r="O688">
        <v>1.1451059999999999E-3</v>
      </c>
      <c r="P688">
        <v>0.98843440000000005</v>
      </c>
      <c r="Q688">
        <v>0.1507725</v>
      </c>
      <c r="R688">
        <v>1.628566E-2</v>
      </c>
      <c r="S688">
        <v>3.0493769999999998</v>
      </c>
      <c r="T688">
        <v>-5.5417180000000003E-2</v>
      </c>
      <c r="U688">
        <v>-0.34512330000000002</v>
      </c>
      <c r="V688">
        <v>-1.5169820000000001E-2</v>
      </c>
      <c r="W688">
        <v>0.162576</v>
      </c>
      <c r="X688">
        <v>0.9865794</v>
      </c>
      <c r="Y688">
        <v>0.1135673</v>
      </c>
      <c r="Z688">
        <v>-1.716745E-3</v>
      </c>
      <c r="AA688">
        <v>0.99352879999999999</v>
      </c>
      <c r="AB688">
        <v>29</v>
      </c>
      <c r="AC688">
        <v>64.288999999999902</v>
      </c>
      <c r="AD688">
        <v>-1.171216</v>
      </c>
      <c r="AE688">
        <v>-7.2942999999999598</v>
      </c>
      <c r="AF688">
        <v>7.3655046853318096</v>
      </c>
      <c r="AG688">
        <v>-1.171216</v>
      </c>
      <c r="AH688">
        <v>64.259548148601098</v>
      </c>
      <c r="AI688">
        <v>91.037385554184098</v>
      </c>
      <c r="AJ688">
        <v>83.4612264913155</v>
      </c>
      <c r="AK688">
        <v>64.690895297952693</v>
      </c>
      <c r="AL688">
        <v>80.643551739103202</v>
      </c>
      <c r="AM688">
        <v>90.880920657354693</v>
      </c>
      <c r="AN688">
        <v>0.99999999585959598</v>
      </c>
    </row>
    <row r="689" spans="1:40" x14ac:dyDescent="0.25">
      <c r="A689" t="str">
        <f>"20190303161854757"</f>
        <v>20190303161854757</v>
      </c>
      <c r="B689" t="str">
        <f>"1551601134753497"</f>
        <v>1551601134753497</v>
      </c>
      <c r="C689" t="s">
        <v>40</v>
      </c>
      <c r="D689">
        <v>4.7091799999999999</v>
      </c>
      <c r="E689">
        <v>0.50550969999999995</v>
      </c>
      <c r="F689" t="s">
        <v>42</v>
      </c>
      <c r="G689">
        <v>-362.72739999999999</v>
      </c>
      <c r="H689">
        <v>0.95854099999999998</v>
      </c>
      <c r="I689">
        <v>366.97739999999999</v>
      </c>
      <c r="J689">
        <v>-363.51010000000002</v>
      </c>
      <c r="K689">
        <v>1.1212169999999999</v>
      </c>
      <c r="L689">
        <v>366.97210000000001</v>
      </c>
      <c r="M689">
        <v>0.99992800000000004</v>
      </c>
      <c r="N689">
        <v>-1.1954269999999999E-2</v>
      </c>
      <c r="O689">
        <v>1.176917E-3</v>
      </c>
      <c r="P689">
        <v>0.988479</v>
      </c>
      <c r="Q689">
        <v>0.150479799999999</v>
      </c>
      <c r="R689">
        <v>1.6288509999999999E-2</v>
      </c>
      <c r="S689">
        <v>3.1179809999999999</v>
      </c>
      <c r="T689">
        <v>-0.54541899999999999</v>
      </c>
      <c r="U689">
        <v>1.8859859999999999E-2</v>
      </c>
      <c r="V689">
        <v>-1.514044E-2</v>
      </c>
      <c r="W689">
        <v>0.16228419999999999</v>
      </c>
      <c r="X689">
        <v>0.9866279</v>
      </c>
      <c r="Y689">
        <v>-4.809069E-3</v>
      </c>
      <c r="Z689">
        <v>2.5607169999999999E-4</v>
      </c>
      <c r="AA689">
        <v>0.9999884</v>
      </c>
      <c r="AB689">
        <v>29</v>
      </c>
      <c r="AC689">
        <v>0.78270000000003304</v>
      </c>
      <c r="AD689">
        <v>-0.16267599999999899</v>
      </c>
      <c r="AE689">
        <v>5.2999999999769898E-3</v>
      </c>
      <c r="AF689">
        <v>-4.1974477316586902E-3</v>
      </c>
      <c r="AG689">
        <v>-0.16267599999999899</v>
      </c>
      <c r="AH689">
        <v>0.75029642463886503</v>
      </c>
      <c r="AI689">
        <v>102.23308961087299</v>
      </c>
      <c r="AJ689">
        <v>90.320531356612193</v>
      </c>
      <c r="AK689">
        <v>0.76774072730924203</v>
      </c>
      <c r="AL689">
        <v>80.660495736699303</v>
      </c>
      <c r="AM689">
        <v>90.879171597921399</v>
      </c>
      <c r="AN689">
        <v>1.00000000377572</v>
      </c>
    </row>
    <row r="690" spans="1:40" x14ac:dyDescent="0.25">
      <c r="A690" t="str">
        <f>"20190303161854770"</f>
        <v>20190303161854770</v>
      </c>
      <c r="B690" t="str">
        <f>"1551601134763257"</f>
        <v>1551601134763257</v>
      </c>
      <c r="C690" t="s">
        <v>40</v>
      </c>
      <c r="D690">
        <v>4.6643119999999998</v>
      </c>
      <c r="E690">
        <v>0.50684490000000004</v>
      </c>
      <c r="F690" t="s">
        <v>42</v>
      </c>
      <c r="G690">
        <v>-362.702</v>
      </c>
      <c r="H690">
        <v>1.0117370000000001</v>
      </c>
      <c r="I690">
        <v>366.9751</v>
      </c>
      <c r="J690">
        <v>-363.3519</v>
      </c>
      <c r="K690">
        <v>1.1212169999999999</v>
      </c>
      <c r="L690">
        <v>366.97239999999999</v>
      </c>
      <c r="M690">
        <v>0.99992789999999998</v>
      </c>
      <c r="N690">
        <v>-1.195452E-2</v>
      </c>
      <c r="O690">
        <v>1.210093E-3</v>
      </c>
      <c r="P690">
        <v>0.98849679999999995</v>
      </c>
      <c r="Q690">
        <v>0.150342</v>
      </c>
      <c r="R690">
        <v>1.648028E-2</v>
      </c>
      <c r="S690">
        <v>3.0986630000000002</v>
      </c>
      <c r="T690">
        <v>-0.4199427</v>
      </c>
      <c r="U690">
        <v>1.205444E-2</v>
      </c>
      <c r="V690">
        <v>-1.529934E-2</v>
      </c>
      <c r="W690">
        <v>0.1621474</v>
      </c>
      <c r="X690">
        <v>0.98664799999999997</v>
      </c>
      <c r="Y690">
        <v>-2.6626929999999998E-3</v>
      </c>
      <c r="Z690" s="1">
        <v>4.6759669999999997E-5</v>
      </c>
      <c r="AA690">
        <v>0.99999649999999995</v>
      </c>
      <c r="AB690">
        <v>29</v>
      </c>
      <c r="AC690">
        <v>0.64990000000000203</v>
      </c>
      <c r="AD690">
        <v>-0.10947999999999899</v>
      </c>
      <c r="AE690">
        <v>2.7000000000043599E-3</v>
      </c>
      <c r="AF690">
        <v>-1.8607010312666999E-3</v>
      </c>
      <c r="AG690">
        <v>-0.10947999999999899</v>
      </c>
      <c r="AH690">
        <v>0.63196929453946404</v>
      </c>
      <c r="AI690">
        <v>99.828122707369303</v>
      </c>
      <c r="AJ690">
        <v>90.1686949174386</v>
      </c>
      <c r="AK690">
        <v>0.64138484691255004</v>
      </c>
      <c r="AL690">
        <v>80.668439558528206</v>
      </c>
      <c r="AM690">
        <v>90.888379000006793</v>
      </c>
      <c r="AN690">
        <v>1.00000006251759</v>
      </c>
    </row>
    <row r="691" spans="1:40" x14ac:dyDescent="0.25">
      <c r="A691" t="str">
        <f>"20190303161854781"</f>
        <v>20190303161854781</v>
      </c>
      <c r="B691" t="str">
        <f>"1551601134773993"</f>
        <v>1551601134773993</v>
      </c>
      <c r="C691" t="s">
        <v>40</v>
      </c>
      <c r="D691">
        <v>4.6666239999999997</v>
      </c>
      <c r="E691">
        <v>0.50665000000000004</v>
      </c>
      <c r="F691" t="s">
        <v>42</v>
      </c>
      <c r="G691">
        <v>-362.4348</v>
      </c>
      <c r="H691">
        <v>1.0204200000000001</v>
      </c>
      <c r="I691">
        <v>366.97239999999999</v>
      </c>
      <c r="J691">
        <v>-363.19420000000002</v>
      </c>
      <c r="K691">
        <v>1.1212169999999999</v>
      </c>
      <c r="L691">
        <v>366.9726</v>
      </c>
      <c r="M691">
        <v>0.99992789999999998</v>
      </c>
      <c r="N691">
        <v>-1.195479E-2</v>
      </c>
      <c r="O691">
        <v>1.2415919999999999E-3</v>
      </c>
      <c r="P691">
        <v>0.98849770000000003</v>
      </c>
      <c r="Q691">
        <v>0.15035470000000001</v>
      </c>
      <c r="R691">
        <v>1.631929E-2</v>
      </c>
      <c r="S691">
        <v>3.0865170000000002</v>
      </c>
      <c r="T691">
        <v>-0.33941729999999998</v>
      </c>
      <c r="U691">
        <v>1.190186E-3</v>
      </c>
      <c r="V691">
        <v>-1.5106420000000001E-2</v>
      </c>
      <c r="W691">
        <v>0.1621601</v>
      </c>
      <c r="X691">
        <v>0.98664890000000005</v>
      </c>
      <c r="Y691">
        <v>8.444797E-4</v>
      </c>
      <c r="Z691">
        <v>-1.7267899999999999E-4</v>
      </c>
      <c r="AA691">
        <v>0.99999959999999999</v>
      </c>
      <c r="AB691">
        <v>29</v>
      </c>
      <c r="AC691">
        <v>0.75940000000002705</v>
      </c>
      <c r="AD691">
        <v>-0.100796999999999</v>
      </c>
      <c r="AE691">
        <v>-2.0000000000663901E-4</v>
      </c>
      <c r="AF691">
        <v>1.12314462602588E-3</v>
      </c>
      <c r="AG691">
        <v>-0.100796999999999</v>
      </c>
      <c r="AH691">
        <v>0.74625178133435599</v>
      </c>
      <c r="AI691">
        <v>97.692436245894399</v>
      </c>
      <c r="AJ691">
        <v>89.913767176340698</v>
      </c>
      <c r="AK691">
        <v>0.75302922772462799</v>
      </c>
      <c r="AL691">
        <v>80.667702278405201</v>
      </c>
      <c r="AM691">
        <v>90.877177773910503</v>
      </c>
      <c r="AN691">
        <v>1.0000000769142099</v>
      </c>
    </row>
    <row r="692" spans="1:40" x14ac:dyDescent="0.25">
      <c r="A692" t="str">
        <f>"20190303161854793"</f>
        <v>20190303161854793</v>
      </c>
      <c r="B692" t="str">
        <f>"1551601134783755"</f>
        <v>1551601134783755</v>
      </c>
      <c r="C692" t="s">
        <v>40</v>
      </c>
      <c r="D692">
        <v>4.7265739999999896</v>
      </c>
      <c r="E692">
        <v>0.50720299999999996</v>
      </c>
      <c r="F692" t="s">
        <v>41</v>
      </c>
      <c r="G692">
        <v>-351.32330000000002</v>
      </c>
      <c r="H692" s="1">
        <v>-4.1723200000000004E-6</v>
      </c>
      <c r="I692">
        <v>366.9796</v>
      </c>
      <c r="J692">
        <v>-363.0428</v>
      </c>
      <c r="K692">
        <v>1.1212139999999999</v>
      </c>
      <c r="L692">
        <v>366.97280000000001</v>
      </c>
      <c r="M692">
        <v>0.99992780000000003</v>
      </c>
      <c r="N692">
        <v>-1.195502E-2</v>
      </c>
      <c r="O692">
        <v>1.269327E-3</v>
      </c>
      <c r="P692">
        <v>0.98845349999999998</v>
      </c>
      <c r="Q692">
        <v>0.15058959999999999</v>
      </c>
      <c r="R692">
        <v>1.6819259999999999E-2</v>
      </c>
      <c r="S692">
        <v>3.0790709999999999</v>
      </c>
      <c r="T692">
        <v>-0.29081960000000001</v>
      </c>
      <c r="U692">
        <v>1.8310550000000001E-3</v>
      </c>
      <c r="V692">
        <v>-1.557769E-2</v>
      </c>
      <c r="W692">
        <v>0.16239489999999901</v>
      </c>
      <c r="X692">
        <v>0.98660289999999995</v>
      </c>
      <c r="Y692">
        <v>6.6708459999999996E-4</v>
      </c>
      <c r="Z692">
        <v>-1.399072E-4</v>
      </c>
      <c r="AA692">
        <v>0.99999979999999999</v>
      </c>
      <c r="AB692">
        <v>29</v>
      </c>
      <c r="AC692">
        <v>11.719499999999901</v>
      </c>
      <c r="AD692">
        <v>-1.1212181723200001</v>
      </c>
      <c r="AE692">
        <v>6.7999999999983603E-3</v>
      </c>
      <c r="AF692">
        <v>8.0036878857868803E-3</v>
      </c>
      <c r="AG692">
        <v>-1.1212181723200001</v>
      </c>
      <c r="AH692">
        <v>11.6132039059957</v>
      </c>
      <c r="AI692">
        <v>95.514633194589294</v>
      </c>
      <c r="AJ692">
        <v>89.960512407471498</v>
      </c>
      <c r="AK692">
        <v>11.6672061441973</v>
      </c>
      <c r="AL692">
        <v>80.654068028784906</v>
      </c>
      <c r="AM692">
        <v>90.904580488343697</v>
      </c>
      <c r="AN692">
        <v>1.00000002513007</v>
      </c>
    </row>
    <row r="693" spans="1:40" x14ac:dyDescent="0.25">
      <c r="A693" t="str">
        <f>"20190303161854805"</f>
        <v>20190303161854805</v>
      </c>
      <c r="B693" t="str">
        <f>"1551601134793516"</f>
        <v>1551601134793516</v>
      </c>
      <c r="C693" t="s">
        <v>40</v>
      </c>
      <c r="D693">
        <v>4.7231430000000003</v>
      </c>
      <c r="E693">
        <v>0.50661350000000005</v>
      </c>
      <c r="F693" t="s">
        <v>41</v>
      </c>
      <c r="G693">
        <v>-349.81880000000001</v>
      </c>
      <c r="H693" s="1">
        <v>-7.5864080000000001E-7</v>
      </c>
      <c r="I693">
        <v>366.96730000000002</v>
      </c>
      <c r="J693">
        <v>-362.88290000000001</v>
      </c>
      <c r="K693">
        <v>1.1212089999999999</v>
      </c>
      <c r="L693">
        <v>366.97309999999999</v>
      </c>
      <c r="M693">
        <v>0.99992789999999998</v>
      </c>
      <c r="N693">
        <v>-1.195527E-2</v>
      </c>
      <c r="O693">
        <v>1.2971149999999999E-3</v>
      </c>
      <c r="P693">
        <v>0.98841730000000005</v>
      </c>
      <c r="Q693">
        <v>0.1508032</v>
      </c>
      <c r="R693">
        <v>1.7015909999999999E-2</v>
      </c>
      <c r="S693">
        <v>3.0747680000000002</v>
      </c>
      <c r="T693">
        <v>-0.26069940000000003</v>
      </c>
      <c r="U693">
        <v>-1.2817379999999999E-3</v>
      </c>
      <c r="V693">
        <v>-1.5745539999999999E-2</v>
      </c>
      <c r="W693">
        <v>0.16260849999999999</v>
      </c>
      <c r="X693">
        <v>0.98656509999999997</v>
      </c>
      <c r="Y693">
        <v>1.7036530000000001E-3</v>
      </c>
      <c r="Z693">
        <v>-1.765963E-4</v>
      </c>
      <c r="AA693">
        <v>0.99999850000000001</v>
      </c>
      <c r="AB693">
        <v>29</v>
      </c>
      <c r="AC693">
        <v>13.0640999999999</v>
      </c>
      <c r="AD693">
        <v>-1.1212097586408001</v>
      </c>
      <c r="AE693">
        <v>-5.7999999999651603E-3</v>
      </c>
      <c r="AF693">
        <v>2.25805212136846E-2</v>
      </c>
      <c r="AG693">
        <v>-1.1212097586408001</v>
      </c>
      <c r="AH693">
        <v>12.968558831171199</v>
      </c>
      <c r="AI693">
        <v>94.9412696418064</v>
      </c>
      <c r="AJ693">
        <v>89.900238162608403</v>
      </c>
      <c r="AK693">
        <v>13.0169558407624</v>
      </c>
      <c r="AL693">
        <v>80.641665227081702</v>
      </c>
      <c r="AM693">
        <v>90.914360746142606</v>
      </c>
      <c r="AN693">
        <v>1.0000000714200701</v>
      </c>
    </row>
    <row r="694" spans="1:40" x14ac:dyDescent="0.25">
      <c r="A694" t="str">
        <f>"20190303161854818"</f>
        <v>20190303161854818</v>
      </c>
      <c r="B694" t="str">
        <f>"1551601134814985"</f>
        <v>1551601134814985</v>
      </c>
      <c r="C694" t="s">
        <v>40</v>
      </c>
      <c r="D694">
        <v>4.6601699999999999</v>
      </c>
      <c r="E694">
        <v>0.50627330000000004</v>
      </c>
      <c r="F694" t="s">
        <v>42</v>
      </c>
      <c r="G694">
        <v>-361.88529999999997</v>
      </c>
      <c r="H694">
        <v>1.0424990000000001</v>
      </c>
      <c r="I694">
        <v>366.9742</v>
      </c>
      <c r="J694">
        <v>-362.70150000000001</v>
      </c>
      <c r="K694">
        <v>1.1212070000000001</v>
      </c>
      <c r="L694">
        <v>366.97329999999999</v>
      </c>
      <c r="M694">
        <v>0.99992780000000003</v>
      </c>
      <c r="N694">
        <v>-1.1955540000000001E-2</v>
      </c>
      <c r="O694">
        <v>1.3250079999999999E-3</v>
      </c>
      <c r="P694">
        <v>0.9884425</v>
      </c>
      <c r="Q694">
        <v>0.15059529999999999</v>
      </c>
      <c r="R694">
        <v>1.7402419999999998E-2</v>
      </c>
      <c r="S694">
        <v>3.0721129999999999</v>
      </c>
      <c r="T694">
        <v>-0.24253330000000001</v>
      </c>
      <c r="U694">
        <v>3.7536620000000001E-3</v>
      </c>
      <c r="V694">
        <v>-1.6103159999999998E-2</v>
      </c>
      <c r="W694">
        <v>0.16240099999999999</v>
      </c>
      <c r="X694">
        <v>0.98659339999999995</v>
      </c>
      <c r="Y694" s="1">
        <v>9.9927140000000004E-5</v>
      </c>
      <c r="Z694" s="1">
        <v>-9.3158419999999994E-5</v>
      </c>
      <c r="AA694">
        <v>1</v>
      </c>
      <c r="AB694">
        <v>29</v>
      </c>
      <c r="AC694">
        <v>0.81620000000003701</v>
      </c>
      <c r="AD694">
        <v>-7.8708E-2</v>
      </c>
      <c r="AE694">
        <v>9.0000000000145497E-4</v>
      </c>
      <c r="AF694">
        <v>1.7987675412192101E-4</v>
      </c>
      <c r="AG694">
        <v>-7.8708E-2</v>
      </c>
      <c r="AH694">
        <v>0.80868042175586197</v>
      </c>
      <c r="AI694">
        <v>95.559027479595201</v>
      </c>
      <c r="AJ694">
        <v>89.987255560544696</v>
      </c>
      <c r="AK694">
        <v>0.81250169609108203</v>
      </c>
      <c r="AL694">
        <v>80.653713271981402</v>
      </c>
      <c r="AM694">
        <v>90.935097665385499</v>
      </c>
      <c r="AN694">
        <v>0.99999996674327196</v>
      </c>
    </row>
    <row r="695" spans="1:40" x14ac:dyDescent="0.25">
      <c r="A695" t="str">
        <f>"20190303161854834"</f>
        <v>20190303161854834</v>
      </c>
      <c r="B695" t="str">
        <f>"1551601134823769"</f>
        <v>1551601134823769</v>
      </c>
      <c r="C695" t="s">
        <v>40</v>
      </c>
      <c r="D695">
        <v>4.6542329999999996</v>
      </c>
      <c r="E695">
        <v>0.50610519999999903</v>
      </c>
      <c r="F695" t="s">
        <v>41</v>
      </c>
      <c r="G695">
        <v>-346.56990000000002</v>
      </c>
      <c r="H695" s="1">
        <v>-2.064028E-6</v>
      </c>
      <c r="I695">
        <v>367.01119999999997</v>
      </c>
      <c r="J695">
        <v>-362.5034</v>
      </c>
      <c r="K695">
        <v>1.1212029999999999</v>
      </c>
      <c r="L695">
        <v>366.97359999999998</v>
      </c>
      <c r="M695">
        <v>0.99992760000000003</v>
      </c>
      <c r="N695">
        <v>-1.1955840000000001E-2</v>
      </c>
      <c r="O695">
        <v>1.3535559999999999E-3</v>
      </c>
      <c r="P695">
        <v>0.98838219999999999</v>
      </c>
      <c r="Q695">
        <v>0.1508941</v>
      </c>
      <c r="R695">
        <v>1.8213119999999999E-2</v>
      </c>
      <c r="S695">
        <v>3.0674130000000002</v>
      </c>
      <c r="T695">
        <v>-0.213197</v>
      </c>
      <c r="U695">
        <v>7.2021480000000002E-3</v>
      </c>
      <c r="V695">
        <v>-1.6883720000000001E-2</v>
      </c>
      <c r="W695">
        <v>0.1626997</v>
      </c>
      <c r="X695">
        <v>0.98653109999999999</v>
      </c>
      <c r="Y695">
        <v>-9.9372530000000009E-4</v>
      </c>
      <c r="Z695" s="1">
        <v>-3.7355250000000001E-5</v>
      </c>
      <c r="AA695">
        <v>0.99999950000000004</v>
      </c>
      <c r="AB695">
        <v>29</v>
      </c>
      <c r="AC695">
        <v>15.933499999999899</v>
      </c>
      <c r="AD695">
        <v>-1.121205064028</v>
      </c>
      <c r="AE695">
        <v>3.7599999999997601E-2</v>
      </c>
      <c r="AF695">
        <v>-1.5952548634567899E-2</v>
      </c>
      <c r="AG695">
        <v>-1.121205064028</v>
      </c>
      <c r="AH695">
        <v>15.855028583264501</v>
      </c>
      <c r="AI695">
        <v>94.044995701107396</v>
      </c>
      <c r="AJ695">
        <v>90.057648171115403</v>
      </c>
      <c r="AK695">
        <v>15.894630749267</v>
      </c>
      <c r="AL695">
        <v>80.636368008800503</v>
      </c>
      <c r="AM695">
        <v>90.980477421268404</v>
      </c>
      <c r="AN695">
        <v>0.99999993182416602</v>
      </c>
    </row>
    <row r="696" spans="1:40" x14ac:dyDescent="0.25">
      <c r="A696" t="str">
        <f>"20190303161854984"</f>
        <v>20190303161854984</v>
      </c>
      <c r="B696" t="str">
        <f>"1551601134974074"</f>
        <v>1551601134974074</v>
      </c>
      <c r="C696" t="s">
        <v>40</v>
      </c>
      <c r="D696">
        <v>4.4478910000000003</v>
      </c>
      <c r="E696">
        <v>0.50655699999999904</v>
      </c>
      <c r="F696" t="s">
        <v>41</v>
      </c>
      <c r="G696">
        <v>-344.87459999999999</v>
      </c>
      <c r="H696" s="1">
        <v>-2.861098E-6</v>
      </c>
      <c r="I696">
        <v>367.03559999999999</v>
      </c>
      <c r="J696">
        <v>-360.52800000000002</v>
      </c>
      <c r="K696">
        <v>1.1211819999999999</v>
      </c>
      <c r="L696">
        <v>366.97669999999999</v>
      </c>
      <c r="M696">
        <v>0.99992729999999996</v>
      </c>
      <c r="N696">
        <v>-1.1958989999999999E-2</v>
      </c>
      <c r="O696">
        <v>1.567344E-3</v>
      </c>
      <c r="P696">
        <v>0.98855729999999997</v>
      </c>
      <c r="Q696">
        <v>0.15000269999999999</v>
      </c>
      <c r="R696">
        <v>1.5927239999999999E-2</v>
      </c>
      <c r="S696">
        <v>3.064819</v>
      </c>
      <c r="T696">
        <v>-0.1949244</v>
      </c>
      <c r="U696">
        <v>1.077271E-2</v>
      </c>
      <c r="V696">
        <v>-1.438177E-2</v>
      </c>
      <c r="W696">
        <v>0.16181379999999901</v>
      </c>
      <c r="X696">
        <v>0.9867165</v>
      </c>
      <c r="Y696">
        <v>-1.944901E-3</v>
      </c>
      <c r="Z696" s="1">
        <v>-7.4241319999999998E-6</v>
      </c>
      <c r="AA696">
        <v>0.9999981</v>
      </c>
      <c r="AB696">
        <v>29</v>
      </c>
      <c r="AC696">
        <v>15.6534</v>
      </c>
      <c r="AD696">
        <v>-1.121184861098</v>
      </c>
      <c r="AE696">
        <v>5.8899999999994103E-2</v>
      </c>
      <c r="AF696">
        <v>-3.41885188631601E-2</v>
      </c>
      <c r="AG696">
        <v>-1.121184861098</v>
      </c>
      <c r="AH696">
        <v>15.5735781413951</v>
      </c>
      <c r="AI696">
        <v>94.117767088146095</v>
      </c>
      <c r="AJ696">
        <v>90.125780644249701</v>
      </c>
      <c r="AK696">
        <v>15.613922008057999</v>
      </c>
      <c r="AL696">
        <v>80.687808604041393</v>
      </c>
      <c r="AM696">
        <v>90.835048748704395</v>
      </c>
      <c r="AN696">
        <v>0.99999999627551095</v>
      </c>
    </row>
    <row r="697" spans="1:40" x14ac:dyDescent="0.25">
      <c r="A697" t="str">
        <f>"20190303161854997"</f>
        <v>20190303161854997</v>
      </c>
      <c r="B697" t="str">
        <f>"1551601134993593"</f>
        <v>1551601134993593</v>
      </c>
      <c r="C697" t="s">
        <v>40</v>
      </c>
      <c r="D697">
        <v>4.7394360000000004</v>
      </c>
      <c r="E697">
        <v>0.50655699999999904</v>
      </c>
      <c r="F697" t="s">
        <v>41</v>
      </c>
      <c r="G697">
        <v>-342.87830000000002</v>
      </c>
      <c r="H697" s="1">
        <v>-3.814544E-6</v>
      </c>
      <c r="I697">
        <v>366.98020000000002</v>
      </c>
      <c r="J697">
        <v>-360.36270000000002</v>
      </c>
      <c r="K697">
        <v>1.121181</v>
      </c>
      <c r="L697">
        <v>366.97699999999998</v>
      </c>
      <c r="M697">
        <v>0.99992720000000002</v>
      </c>
      <c r="N697">
        <v>-1.195909E-2</v>
      </c>
      <c r="O697">
        <v>1.5848660000000001E-3</v>
      </c>
      <c r="P697">
        <v>0.9885138</v>
      </c>
      <c r="Q697">
        <v>0.15028269999999999</v>
      </c>
      <c r="R697">
        <v>1.5988220000000001E-2</v>
      </c>
      <c r="S697">
        <v>3.0642399999999999</v>
      </c>
      <c r="T697">
        <v>-0.19465479999999999</v>
      </c>
      <c r="U697">
        <v>6.1035159999999996E-4</v>
      </c>
      <c r="V697">
        <v>-1.442533E-2</v>
      </c>
      <c r="W697">
        <v>0.16209370000000001</v>
      </c>
      <c r="X697">
        <v>0.98666989999999999</v>
      </c>
      <c r="Y697">
        <v>1.3803820000000001E-3</v>
      </c>
      <c r="Z697">
        <v>-1.3370209999999901E-4</v>
      </c>
      <c r="AA697">
        <v>0.99999899999999997</v>
      </c>
      <c r="AB697">
        <v>29</v>
      </c>
      <c r="AC697">
        <v>17.484399999999901</v>
      </c>
      <c r="AD697">
        <v>-1.121184814544</v>
      </c>
      <c r="AE697">
        <v>3.2000000000493799E-3</v>
      </c>
      <c r="AF697">
        <v>2.4412035517069702E-2</v>
      </c>
      <c r="AG697">
        <v>-1.121184814544</v>
      </c>
      <c r="AH697">
        <v>17.4127817800569</v>
      </c>
      <c r="AI697">
        <v>93.6841062974799</v>
      </c>
      <c r="AJ697">
        <v>89.9196736221853</v>
      </c>
      <c r="AK697">
        <v>17.448857287963701</v>
      </c>
      <c r="AL697">
        <v>80.671556763228807</v>
      </c>
      <c r="AM697">
        <v>90.837617166124701</v>
      </c>
      <c r="AN697">
        <v>0.99999997464565404</v>
      </c>
    </row>
    <row r="698" spans="1:40" x14ac:dyDescent="0.25">
      <c r="A698" t="str">
        <f>"20190303161855013"</f>
        <v>20190303161855013</v>
      </c>
      <c r="B698" t="str">
        <f>"1551601135003353"</f>
        <v>1551601135003353</v>
      </c>
      <c r="C698" t="s">
        <v>40</v>
      </c>
      <c r="D698">
        <v>4.7779949999999998</v>
      </c>
      <c r="E698">
        <v>0.53998239999999997</v>
      </c>
      <c r="F698" t="s">
        <v>41</v>
      </c>
      <c r="G698">
        <v>-342.6345</v>
      </c>
      <c r="H698" s="1">
        <v>-3.9294220000000002E-6</v>
      </c>
      <c r="I698">
        <v>366.98250000000002</v>
      </c>
      <c r="J698">
        <v>-360.15820000000002</v>
      </c>
      <c r="K698">
        <v>1.121186</v>
      </c>
      <c r="L698">
        <v>366.97730000000001</v>
      </c>
      <c r="M698">
        <v>0.99992729999999996</v>
      </c>
      <c r="N698">
        <v>-1.195923E-2</v>
      </c>
      <c r="O698">
        <v>1.6065579999999999E-3</v>
      </c>
      <c r="P698">
        <v>0.98848590000000003</v>
      </c>
      <c r="Q698">
        <v>0.15046499999999999</v>
      </c>
      <c r="R698">
        <v>1.6002229999999999E-2</v>
      </c>
      <c r="S698">
        <v>3.0643310000000001</v>
      </c>
      <c r="T698">
        <v>-0.19379730000000001</v>
      </c>
      <c r="U698">
        <v>9.4604490000000003E-4</v>
      </c>
      <c r="V698">
        <v>-1.441831E-2</v>
      </c>
      <c r="W698">
        <v>0.162275799999999</v>
      </c>
      <c r="X698">
        <v>0.98664010000000002</v>
      </c>
      <c r="Y698">
        <v>1.292762E-3</v>
      </c>
      <c r="Z698">
        <v>-1.308816E-4</v>
      </c>
      <c r="AA698">
        <v>0.99999919999999998</v>
      </c>
      <c r="AB698">
        <v>29</v>
      </c>
      <c r="AC698">
        <v>17.523700000000002</v>
      </c>
      <c r="AD698">
        <v>-1.121189929422</v>
      </c>
      <c r="AE698">
        <v>5.2000000000020901E-3</v>
      </c>
      <c r="AF698">
        <v>2.2861272468673099E-2</v>
      </c>
      <c r="AG698">
        <v>-1.121189929422</v>
      </c>
      <c r="AH698">
        <v>17.452243018506699</v>
      </c>
      <c r="AI698">
        <v>93.675816215170002</v>
      </c>
      <c r="AJ698">
        <v>89.924946399373297</v>
      </c>
      <c r="AK698">
        <v>17.488235356165301</v>
      </c>
      <c r="AL698">
        <v>80.660983497352603</v>
      </c>
      <c r="AM698">
        <v>90.837234885880804</v>
      </c>
      <c r="AN698">
        <v>1.0000000049284501</v>
      </c>
    </row>
    <row r="699" spans="1:40" x14ac:dyDescent="0.25">
      <c r="A699" t="str">
        <f>"20190303161855024"</f>
        <v>20190303161855024</v>
      </c>
      <c r="B699" t="str">
        <f>"1551601135014089"</f>
        <v>1551601135014089</v>
      </c>
      <c r="C699" t="s">
        <v>40</v>
      </c>
      <c r="D699">
        <v>4.7637029999999996</v>
      </c>
      <c r="E699">
        <v>0.53907899999999997</v>
      </c>
      <c r="F699" t="s">
        <v>42</v>
      </c>
      <c r="G699">
        <v>-359.33030000000002</v>
      </c>
      <c r="H699">
        <v>0.91274010000000005</v>
      </c>
      <c r="I699">
        <v>366.90870000000001</v>
      </c>
      <c r="J699">
        <v>-359.9982</v>
      </c>
      <c r="K699">
        <v>1.121186</v>
      </c>
      <c r="L699">
        <v>366.9776</v>
      </c>
      <c r="M699">
        <v>0.99992720000000002</v>
      </c>
      <c r="N699">
        <v>-1.1959340000000001E-2</v>
      </c>
      <c r="O699">
        <v>1.623899E-3</v>
      </c>
      <c r="P699">
        <v>0.9884406</v>
      </c>
      <c r="Q699">
        <v>0.15075849999999999</v>
      </c>
      <c r="R699">
        <v>1.6042299999999999E-2</v>
      </c>
      <c r="S699">
        <v>3.1603089999999998</v>
      </c>
      <c r="T699">
        <v>-0.79585269999999997</v>
      </c>
      <c r="U699">
        <v>-0.26000980000000001</v>
      </c>
      <c r="V699">
        <v>-1.444112E-2</v>
      </c>
      <c r="W699">
        <v>0.1625685</v>
      </c>
      <c r="X699">
        <v>0.98659160000000001</v>
      </c>
      <c r="Y699">
        <v>8.0935359999999998E-2</v>
      </c>
      <c r="Z699">
        <v>-1.089354E-2</v>
      </c>
      <c r="AA699">
        <v>0.99665979999999998</v>
      </c>
      <c r="AB699">
        <v>29</v>
      </c>
      <c r="AC699">
        <v>0.66789999999997396</v>
      </c>
      <c r="AD699">
        <v>-0.20844589999999999</v>
      </c>
      <c r="AE699">
        <v>-6.8899999999985001E-2</v>
      </c>
      <c r="AF699">
        <v>6.3832683167648993E-2</v>
      </c>
      <c r="AG699">
        <v>-0.20844589999999999</v>
      </c>
      <c r="AH699">
        <v>0.60908624386083998</v>
      </c>
      <c r="AI699">
        <v>108.79668464587699</v>
      </c>
      <c r="AJ699">
        <v>84.017200094458602</v>
      </c>
      <c r="AK699">
        <v>0.64692376454084499</v>
      </c>
      <c r="AL699">
        <v>80.643987518428403</v>
      </c>
      <c r="AM699">
        <v>90.838600433016296</v>
      </c>
      <c r="AN699">
        <v>1.0000000241648299</v>
      </c>
    </row>
    <row r="700" spans="1:40" x14ac:dyDescent="0.25">
      <c r="A700" t="str">
        <f>"20190303161855036"</f>
        <v>20190303161855036</v>
      </c>
      <c r="B700" t="str">
        <f>"1551601135023849"</f>
        <v>1551601135023849</v>
      </c>
      <c r="C700" t="s">
        <v>40</v>
      </c>
      <c r="D700">
        <v>4.7500410000000004</v>
      </c>
      <c r="E700">
        <v>0.53873879999999996</v>
      </c>
      <c r="F700" t="s">
        <v>42</v>
      </c>
      <c r="G700">
        <v>-359.3134</v>
      </c>
      <c r="H700">
        <v>0.94723400000000002</v>
      </c>
      <c r="I700">
        <v>366.92230000000001</v>
      </c>
      <c r="J700">
        <v>-359.85109999999997</v>
      </c>
      <c r="K700">
        <v>1.1211899999999999</v>
      </c>
      <c r="L700">
        <v>366.9778</v>
      </c>
      <c r="M700">
        <v>0.99992720000000002</v>
      </c>
      <c r="N700">
        <v>-1.195946E-2</v>
      </c>
      <c r="O700">
        <v>1.6392780000000001E-3</v>
      </c>
      <c r="P700">
        <v>0.98843210000000004</v>
      </c>
      <c r="Q700">
        <v>0.1508225</v>
      </c>
      <c r="R700">
        <v>1.596421E-2</v>
      </c>
      <c r="S700">
        <v>3.1616819999999999</v>
      </c>
      <c r="T700">
        <v>-0.80332040000000005</v>
      </c>
      <c r="U700">
        <v>-0.25277709999999998</v>
      </c>
      <c r="V700">
        <v>-1.4347820000000001E-2</v>
      </c>
      <c r="W700">
        <v>0.1626329</v>
      </c>
      <c r="X700">
        <v>0.98658230000000002</v>
      </c>
      <c r="Y700">
        <v>7.8677360000000002E-2</v>
      </c>
      <c r="Z700">
        <v>-1.069291E-2</v>
      </c>
      <c r="AA700">
        <v>0.99684280000000003</v>
      </c>
      <c r="AB700">
        <v>29</v>
      </c>
      <c r="AC700">
        <v>0.53769999999997198</v>
      </c>
      <c r="AD700">
        <v>-0.173955999999999</v>
      </c>
      <c r="AE700">
        <v>-5.5499999999994998E-2</v>
      </c>
      <c r="AF700">
        <v>5.1090449096109103E-2</v>
      </c>
      <c r="AG700">
        <v>-0.173955999999999</v>
      </c>
      <c r="AH700">
        <v>0.48715773806779</v>
      </c>
      <c r="AI700">
        <v>109.55177450239</v>
      </c>
      <c r="AJ700">
        <v>84.013016455667795</v>
      </c>
      <c r="AK700">
        <v>0.519801486804499</v>
      </c>
      <c r="AL700">
        <v>80.640247461586199</v>
      </c>
      <c r="AM700">
        <v>90.833191091462794</v>
      </c>
      <c r="AN700">
        <v>0.99999997738722501</v>
      </c>
    </row>
    <row r="701" spans="1:40" x14ac:dyDescent="0.25">
      <c r="A701" t="str">
        <f>"20190303161855048"</f>
        <v>20190303161855048</v>
      </c>
      <c r="B701" t="str">
        <f>"1551601135043369"</f>
        <v>1551601135043369</v>
      </c>
      <c r="C701" t="s">
        <v>40</v>
      </c>
      <c r="D701">
        <v>4.7961580000000001</v>
      </c>
      <c r="E701">
        <v>0.53843459999999999</v>
      </c>
      <c r="F701" t="s">
        <v>42</v>
      </c>
      <c r="G701">
        <v>-359.06270000000001</v>
      </c>
      <c r="H701">
        <v>0.92166970000000004</v>
      </c>
      <c r="I701">
        <v>366.9153</v>
      </c>
      <c r="J701">
        <v>-359.6866</v>
      </c>
      <c r="K701">
        <v>1.121189</v>
      </c>
      <c r="L701">
        <v>366.97809999999998</v>
      </c>
      <c r="M701">
        <v>0.99992709999999996</v>
      </c>
      <c r="N701">
        <v>-1.1959590000000001E-2</v>
      </c>
      <c r="O701">
        <v>1.656624E-3</v>
      </c>
      <c r="P701">
        <v>0.98840260000000002</v>
      </c>
      <c r="Q701">
        <v>0.1510222</v>
      </c>
      <c r="R701">
        <v>1.5896049999999998E-2</v>
      </c>
      <c r="S701">
        <v>3.1612550000000001</v>
      </c>
      <c r="T701">
        <v>-0.80012799999999995</v>
      </c>
      <c r="U701">
        <v>-0.25051879999999999</v>
      </c>
      <c r="V701">
        <v>-1.426267E-2</v>
      </c>
      <c r="W701">
        <v>0.16283239999999999</v>
      </c>
      <c r="X701">
        <v>0.98655060000000006</v>
      </c>
      <c r="Y701">
        <v>7.8037659999999995E-2</v>
      </c>
      <c r="Z701">
        <v>-1.0575660000000001E-2</v>
      </c>
      <c r="AA701">
        <v>0.99689430000000001</v>
      </c>
      <c r="AB701">
        <v>29</v>
      </c>
      <c r="AC701">
        <v>0.62389999999999102</v>
      </c>
      <c r="AD701">
        <v>-0.19951930000000001</v>
      </c>
      <c r="AE701">
        <v>-6.2799999999981496E-2</v>
      </c>
      <c r="AF701">
        <v>5.7965044050450699E-2</v>
      </c>
      <c r="AG701">
        <v>-0.19951930000000001</v>
      </c>
      <c r="AH701">
        <v>0.56644675685149704</v>
      </c>
      <c r="AI701">
        <v>109.310446822439</v>
      </c>
      <c r="AJ701">
        <v>84.1572053922458</v>
      </c>
      <c r="AK701">
        <v>0.60334884250476495</v>
      </c>
      <c r="AL701">
        <v>80.628662272346304</v>
      </c>
      <c r="AM701">
        <v>90.8282736532569</v>
      </c>
      <c r="AN701">
        <v>0.99999995030282296</v>
      </c>
    </row>
    <row r="702" spans="1:40" x14ac:dyDescent="0.25">
      <c r="A702" t="str">
        <f>"20190303161855059"</f>
        <v>20190303161855059</v>
      </c>
      <c r="B702" t="str">
        <f>"1551601135053776"</f>
        <v>1551601135053776</v>
      </c>
      <c r="C702" t="s">
        <v>40</v>
      </c>
      <c r="D702">
        <v>4.7897540000000003</v>
      </c>
      <c r="E702">
        <v>0.53843580000000002</v>
      </c>
      <c r="F702" t="s">
        <v>42</v>
      </c>
      <c r="G702">
        <v>-358.80880000000002</v>
      </c>
      <c r="H702">
        <v>0.90079500000000001</v>
      </c>
      <c r="I702">
        <v>366.90890000000002</v>
      </c>
      <c r="J702">
        <v>-359.53750000000002</v>
      </c>
      <c r="K702">
        <v>1.121191</v>
      </c>
      <c r="L702">
        <v>366.97840000000002</v>
      </c>
      <c r="M702">
        <v>0.99992709999999996</v>
      </c>
      <c r="N702">
        <v>-1.19597E-2</v>
      </c>
      <c r="O702">
        <v>1.6724190000000001E-3</v>
      </c>
      <c r="P702">
        <v>0.98835899999999999</v>
      </c>
      <c r="Q702">
        <v>0.15129690000000001</v>
      </c>
      <c r="R702">
        <v>1.5997979999999998E-2</v>
      </c>
      <c r="S702">
        <v>3.160431</v>
      </c>
      <c r="T702">
        <v>-0.79364040000000002</v>
      </c>
      <c r="U702">
        <v>-0.2480164</v>
      </c>
      <c r="V702">
        <v>-1.434904E-2</v>
      </c>
      <c r="W702">
        <v>0.16310669999999999</v>
      </c>
      <c r="X702">
        <v>0.98650409999999999</v>
      </c>
      <c r="Y702">
        <v>7.7350429999999998E-2</v>
      </c>
      <c r="Z702">
        <v>-1.0413469999999999E-2</v>
      </c>
      <c r="AA702">
        <v>0.99694959999999999</v>
      </c>
      <c r="AB702">
        <v>29</v>
      </c>
      <c r="AC702">
        <v>0.72870000000000301</v>
      </c>
      <c r="AD702">
        <v>-0.22039599999999901</v>
      </c>
      <c r="AE702">
        <v>-6.9500000000005002E-2</v>
      </c>
      <c r="AF702">
        <v>6.4840741376490901E-2</v>
      </c>
      <c r="AG702">
        <v>-0.22039599999999901</v>
      </c>
      <c r="AH702">
        <v>0.66802496686400303</v>
      </c>
      <c r="AI702">
        <v>108.17907090344499</v>
      </c>
      <c r="AJ702">
        <v>84.456046560319706</v>
      </c>
      <c r="AK702">
        <v>0.70642485439847402</v>
      </c>
      <c r="AL702">
        <v>80.612733695536406</v>
      </c>
      <c r="AM702">
        <v>90.833327971201896</v>
      </c>
      <c r="AN702">
        <v>1.0000000149253101</v>
      </c>
    </row>
    <row r="703" spans="1:40" x14ac:dyDescent="0.25">
      <c r="A703" t="str">
        <f>"20190303161855072"</f>
        <v>20190303161855072</v>
      </c>
      <c r="B703" t="str">
        <f>"1551601135063518"</f>
        <v>1551601135063518</v>
      </c>
      <c r="C703" t="s">
        <v>40</v>
      </c>
      <c r="D703">
        <v>4.8458300000000003</v>
      </c>
      <c r="E703">
        <v>0.53776449999999998</v>
      </c>
      <c r="F703" t="s">
        <v>42</v>
      </c>
      <c r="G703">
        <v>-358.79320000000001</v>
      </c>
      <c r="H703">
        <v>0.93436609999999998</v>
      </c>
      <c r="I703">
        <v>366.9196</v>
      </c>
      <c r="J703">
        <v>-359.3784</v>
      </c>
      <c r="K703">
        <v>1.121192</v>
      </c>
      <c r="L703">
        <v>366.9787</v>
      </c>
      <c r="M703">
        <v>0.99992720000000002</v>
      </c>
      <c r="N703">
        <v>-1.1959819999999999E-2</v>
      </c>
      <c r="O703">
        <v>1.6891079999999999E-3</v>
      </c>
      <c r="P703">
        <v>0.98830439999999997</v>
      </c>
      <c r="Q703">
        <v>0.15168229999999999</v>
      </c>
      <c r="R703">
        <v>1.5725090000000001E-2</v>
      </c>
      <c r="S703">
        <v>3.160828</v>
      </c>
      <c r="T703">
        <v>-0.79344840000000005</v>
      </c>
      <c r="U703">
        <v>-0.24813840000000001</v>
      </c>
      <c r="V703">
        <v>-1.4059769999999999E-2</v>
      </c>
      <c r="W703">
        <v>0.16349149999999901</v>
      </c>
      <c r="X703">
        <v>0.98644449999999995</v>
      </c>
      <c r="Y703">
        <v>7.7395469999999994E-2</v>
      </c>
      <c r="Z703">
        <v>-1.0419660000000001E-2</v>
      </c>
      <c r="AA703">
        <v>0.996946</v>
      </c>
      <c r="AB703">
        <v>29</v>
      </c>
      <c r="AC703">
        <v>0.58519999999998595</v>
      </c>
      <c r="AD703">
        <v>-0.18682589999999999</v>
      </c>
      <c r="AE703">
        <v>-5.9100000000000798E-2</v>
      </c>
      <c r="AF703">
        <v>5.4581584475638802E-2</v>
      </c>
      <c r="AG703">
        <v>-0.18682589999999999</v>
      </c>
      <c r="AH703">
        <v>0.531477304027835</v>
      </c>
      <c r="AI703">
        <v>109.273848105608</v>
      </c>
      <c r="AJ703">
        <v>84.136402270201799</v>
      </c>
      <c r="AK703">
        <v>0.56599575172555605</v>
      </c>
      <c r="AL703">
        <v>80.590385682078605</v>
      </c>
      <c r="AM703">
        <v>90.816580090496799</v>
      </c>
      <c r="AN703">
        <v>0.99999994964247496</v>
      </c>
    </row>
    <row r="704" spans="1:40" x14ac:dyDescent="0.25">
      <c r="A704" t="str">
        <f>"20190303161855085"</f>
        <v>20190303161855085</v>
      </c>
      <c r="B704" t="str">
        <f>"1551601135073278"</f>
        <v>1551601135073278</v>
      </c>
      <c r="C704" t="s">
        <v>40</v>
      </c>
      <c r="D704">
        <v>4.838025</v>
      </c>
      <c r="E704">
        <v>0.53734859999999995</v>
      </c>
      <c r="F704" t="s">
        <v>42</v>
      </c>
      <c r="G704">
        <v>-358.54129999999998</v>
      </c>
      <c r="H704">
        <v>0.91047880000000003</v>
      </c>
      <c r="I704">
        <v>366.91419999999999</v>
      </c>
      <c r="J704">
        <v>-359.19959999999998</v>
      </c>
      <c r="K704">
        <v>1.121194</v>
      </c>
      <c r="L704">
        <v>366.97899999999998</v>
      </c>
      <c r="M704">
        <v>0.99992720000000002</v>
      </c>
      <c r="N704">
        <v>-1.195995E-2</v>
      </c>
      <c r="O704">
        <v>1.7080029999999901E-3</v>
      </c>
      <c r="P704">
        <v>0.98824299999999998</v>
      </c>
      <c r="Q704">
        <v>0.15207960000000001</v>
      </c>
      <c r="R704">
        <v>1.5744399999999999E-2</v>
      </c>
      <c r="S704">
        <v>3.1614990000000001</v>
      </c>
      <c r="T704">
        <v>-0.79581259999999998</v>
      </c>
      <c r="U704">
        <v>-0.24343870000000001</v>
      </c>
      <c r="V704">
        <v>-1.4060720000000001E-2</v>
      </c>
      <c r="W704">
        <v>0.16388810000000001</v>
      </c>
      <c r="X704">
        <v>0.98637870000000005</v>
      </c>
      <c r="Y704">
        <v>7.5956910000000002E-2</v>
      </c>
      <c r="Z704">
        <v>-1.026466E-2</v>
      </c>
      <c r="AA704">
        <v>0.99705829999999995</v>
      </c>
      <c r="AB704">
        <v>29</v>
      </c>
      <c r="AC704">
        <v>0.658299999999997</v>
      </c>
      <c r="AD704">
        <v>-0.21071519999999999</v>
      </c>
      <c r="AE704">
        <v>-6.4800000000047903E-2</v>
      </c>
      <c r="AF704">
        <v>5.98510220140634E-2</v>
      </c>
      <c r="AG704">
        <v>-0.21071519999999999</v>
      </c>
      <c r="AH704">
        <v>0.59755215198992895</v>
      </c>
      <c r="AI704">
        <v>109.334698219196</v>
      </c>
      <c r="AJ704">
        <v>84.280311606046993</v>
      </c>
      <c r="AK704">
        <v>0.63643665411018102</v>
      </c>
      <c r="AL704">
        <v>80.567351741682799</v>
      </c>
      <c r="AM704">
        <v>90.816689727522302</v>
      </c>
      <c r="AN704">
        <v>0.99999997649110794</v>
      </c>
    </row>
    <row r="705" spans="1:40" x14ac:dyDescent="0.25">
      <c r="A705" t="str">
        <f>"20190303161855100"</f>
        <v>20190303161855100</v>
      </c>
      <c r="B705" t="str">
        <f>"1551601135093775"</f>
        <v>1551601135093775</v>
      </c>
      <c r="C705" t="s">
        <v>40</v>
      </c>
      <c r="D705">
        <v>4.8504839999999998</v>
      </c>
      <c r="E705">
        <v>0.53688029999999998</v>
      </c>
      <c r="F705" t="s">
        <v>42</v>
      </c>
      <c r="G705">
        <v>-358.28629999999998</v>
      </c>
      <c r="H705">
        <v>0.89094959999999901</v>
      </c>
      <c r="I705">
        <v>366.90940000000001</v>
      </c>
      <c r="J705">
        <v>-359.0086</v>
      </c>
      <c r="K705">
        <v>1.1211960000000001</v>
      </c>
      <c r="L705">
        <v>366.9794</v>
      </c>
      <c r="M705">
        <v>0.99992709999999996</v>
      </c>
      <c r="N705">
        <v>-1.1960129999999999E-2</v>
      </c>
      <c r="O705">
        <v>1.7285029999999999E-3</v>
      </c>
      <c r="P705">
        <v>0.98814139999999995</v>
      </c>
      <c r="Q705">
        <v>0.1527473</v>
      </c>
      <c r="R705">
        <v>1.5668689999999999E-2</v>
      </c>
      <c r="S705">
        <v>3.162201</v>
      </c>
      <c r="T705">
        <v>-0.79724309999999998</v>
      </c>
      <c r="U705">
        <v>-0.2398682</v>
      </c>
      <c r="V705">
        <v>-1.396507E-2</v>
      </c>
      <c r="W705">
        <v>0.1645546</v>
      </c>
      <c r="X705">
        <v>0.98626910000000001</v>
      </c>
      <c r="Y705">
        <v>7.4868110000000002E-2</v>
      </c>
      <c r="Z705">
        <v>-1.0143350000000001E-2</v>
      </c>
      <c r="AA705">
        <v>0.99714179999999997</v>
      </c>
      <c r="AB705">
        <v>29</v>
      </c>
      <c r="AC705">
        <v>0.72230000000001804</v>
      </c>
      <c r="AD705">
        <v>-0.23024639999999999</v>
      </c>
      <c r="AE705">
        <v>-6.9999999999993096E-2</v>
      </c>
      <c r="AF705">
        <v>6.4732049219402704E-2</v>
      </c>
      <c r="AG705">
        <v>-0.23024639999999999</v>
      </c>
      <c r="AH705">
        <v>0.65612704952674805</v>
      </c>
      <c r="AI705">
        <v>109.25032341539</v>
      </c>
      <c r="AJ705">
        <v>84.365558096477102</v>
      </c>
      <c r="AK705">
        <v>0.698359755448278</v>
      </c>
      <c r="AL705">
        <v>80.528638628939404</v>
      </c>
      <c r="AM705">
        <v>90.811224953089095</v>
      </c>
      <c r="AN705">
        <v>0.99999998858803696</v>
      </c>
    </row>
    <row r="706" spans="1:40" x14ac:dyDescent="0.25">
      <c r="A706" t="str">
        <f>"20190303161855115"</f>
        <v>20190303161855115</v>
      </c>
      <c r="B706" t="str">
        <f>"1551601135103534"</f>
        <v>1551601135103534</v>
      </c>
      <c r="C706" t="s">
        <v>40</v>
      </c>
      <c r="D706">
        <v>4.8548929999999997</v>
      </c>
      <c r="E706">
        <v>0.53666480000000005</v>
      </c>
      <c r="F706" t="s">
        <v>42</v>
      </c>
      <c r="G706">
        <v>-358.2663</v>
      </c>
      <c r="H706">
        <v>0.93474659999999998</v>
      </c>
      <c r="I706">
        <v>366.92340000000002</v>
      </c>
      <c r="J706">
        <v>-358.82409999999999</v>
      </c>
      <c r="K706">
        <v>1.1211990000000001</v>
      </c>
      <c r="L706">
        <v>366.97969999999998</v>
      </c>
      <c r="M706">
        <v>0.99992700000000001</v>
      </c>
      <c r="N706">
        <v>-1.196031E-2</v>
      </c>
      <c r="O706">
        <v>1.748229E-3</v>
      </c>
      <c r="P706">
        <v>0.98802279999999998</v>
      </c>
      <c r="Q706">
        <v>0.15348829999999999</v>
      </c>
      <c r="R706">
        <v>1.5886620000000001E-2</v>
      </c>
      <c r="S706">
        <v>3.1625369999999999</v>
      </c>
      <c r="T706">
        <v>-0.79444579999999998</v>
      </c>
      <c r="U706">
        <v>-0.2369995</v>
      </c>
      <c r="V706">
        <v>-1.4163169999999999E-2</v>
      </c>
      <c r="W706">
        <v>0.16529440000000001</v>
      </c>
      <c r="X706">
        <v>0.98614259999999998</v>
      </c>
      <c r="Y706">
        <v>7.4024359999999997E-2</v>
      </c>
      <c r="Z706">
        <v>-1.0004860000000001E-2</v>
      </c>
      <c r="AA706">
        <v>0.99720629999999999</v>
      </c>
      <c r="AB706">
        <v>29</v>
      </c>
      <c r="AC706">
        <v>0.55779999999998597</v>
      </c>
      <c r="AD706">
        <v>-0.18645239999999999</v>
      </c>
      <c r="AE706">
        <v>-5.6299999999964698E-2</v>
      </c>
      <c r="AF706">
        <v>5.1571095073405002E-2</v>
      </c>
      <c r="AG706">
        <v>-0.18645239999999999</v>
      </c>
      <c r="AH706">
        <v>0.50215911642719901</v>
      </c>
      <c r="AI706">
        <v>110.272148951538</v>
      </c>
      <c r="AJ706">
        <v>84.136354185712193</v>
      </c>
      <c r="AK706">
        <v>0.53813367625876696</v>
      </c>
      <c r="AL706">
        <v>80.485663111053995</v>
      </c>
      <c r="AM706">
        <v>90.822836450220606</v>
      </c>
      <c r="AN706">
        <v>1.0000000307952801</v>
      </c>
    </row>
    <row r="707" spans="1:40" x14ac:dyDescent="0.25">
      <c r="A707" t="str">
        <f>"20190303161855128"</f>
        <v>20190303161855128</v>
      </c>
      <c r="B707" t="str">
        <f>"1551601135124030"</f>
        <v>1551601135124030</v>
      </c>
      <c r="C707" t="s">
        <v>40</v>
      </c>
      <c r="D707">
        <v>4.8576430000000004</v>
      </c>
      <c r="E707">
        <v>0.53653890000000004</v>
      </c>
      <c r="F707" t="s">
        <v>42</v>
      </c>
      <c r="G707">
        <v>-358.01119999999997</v>
      </c>
      <c r="H707">
        <v>0.91787300000000005</v>
      </c>
      <c r="I707">
        <v>366.91950000000003</v>
      </c>
      <c r="J707">
        <v>-358.63220000000001</v>
      </c>
      <c r="K707">
        <v>1.1212</v>
      </c>
      <c r="L707">
        <v>366.98009999999999</v>
      </c>
      <c r="M707">
        <v>0.99992700000000001</v>
      </c>
      <c r="N707">
        <v>-1.196053E-2</v>
      </c>
      <c r="O707">
        <v>1.7684339999999999E-3</v>
      </c>
      <c r="P707">
        <v>0.98796669999999998</v>
      </c>
      <c r="Q707">
        <v>0.15383450000000001</v>
      </c>
      <c r="R707">
        <v>1.6029910000000001E-2</v>
      </c>
      <c r="S707">
        <v>3.1630549999999999</v>
      </c>
      <c r="T707">
        <v>-0.79107740000000004</v>
      </c>
      <c r="U707">
        <v>-0.23416139999999999</v>
      </c>
      <c r="V707">
        <v>-1.428694E-2</v>
      </c>
      <c r="W707">
        <v>0.16564000000000001</v>
      </c>
      <c r="X707">
        <v>0.98608280000000004</v>
      </c>
      <c r="Y707">
        <v>7.3189299999999999E-2</v>
      </c>
      <c r="Z707">
        <v>-9.861145E-3</v>
      </c>
      <c r="AA707">
        <v>0.99726930000000003</v>
      </c>
      <c r="AB707">
        <v>29</v>
      </c>
      <c r="AC707">
        <v>0.62100000000003697</v>
      </c>
      <c r="AD707">
        <v>-0.20332700000000001</v>
      </c>
      <c r="AE707">
        <v>-6.05999999999653E-2</v>
      </c>
      <c r="AF707">
        <v>5.5775303803548698E-2</v>
      </c>
      <c r="AG707">
        <v>-0.20332700000000001</v>
      </c>
      <c r="AH707">
        <v>0.56128772545384698</v>
      </c>
      <c r="AI707">
        <v>109.82299376189199</v>
      </c>
      <c r="AJ707">
        <v>84.325133632246306</v>
      </c>
      <c r="AK707">
        <v>0.59958040677504698</v>
      </c>
      <c r="AL707">
        <v>80.465584692608104</v>
      </c>
      <c r="AM707">
        <v>90.830076432512399</v>
      </c>
      <c r="AN707">
        <v>1.0000000073552</v>
      </c>
    </row>
    <row r="708" spans="1:40" x14ac:dyDescent="0.25">
      <c r="A708" t="str">
        <f>"20190303161855142"</f>
        <v>20190303161855142</v>
      </c>
      <c r="B708" t="str">
        <f>"1551601135133791"</f>
        <v>1551601135133791</v>
      </c>
      <c r="C708" t="s">
        <v>40</v>
      </c>
      <c r="D708">
        <v>4.8607199999999997</v>
      </c>
      <c r="E708">
        <v>0.53640810000000005</v>
      </c>
      <c r="F708" t="s">
        <v>42</v>
      </c>
      <c r="G708">
        <v>-357.75450000000001</v>
      </c>
      <c r="H708">
        <v>0.90308489999999997</v>
      </c>
      <c r="I708">
        <v>366.9153</v>
      </c>
      <c r="J708">
        <v>-358.44529999999997</v>
      </c>
      <c r="K708">
        <v>1.1212029999999999</v>
      </c>
      <c r="L708">
        <v>366.98039999999997</v>
      </c>
      <c r="M708">
        <v>0.99992689999999995</v>
      </c>
      <c r="N708">
        <v>-1.1960810000000001E-2</v>
      </c>
      <c r="O708">
        <v>1.7881640000000001E-3</v>
      </c>
      <c r="P708">
        <v>0.98793299999999995</v>
      </c>
      <c r="Q708">
        <v>0.15403410000000001</v>
      </c>
      <c r="R708">
        <v>1.6176200000000002E-2</v>
      </c>
      <c r="S708">
        <v>3.16275</v>
      </c>
      <c r="T708">
        <v>-0.78612720000000003</v>
      </c>
      <c r="U708">
        <v>-0.23220830000000001</v>
      </c>
      <c r="V708">
        <v>-1.4413399999999899E-2</v>
      </c>
      <c r="W708">
        <v>0.16583989999999901</v>
      </c>
      <c r="X708">
        <v>0.98604740000000002</v>
      </c>
      <c r="Y708">
        <v>7.2648509999999999E-2</v>
      </c>
      <c r="Z708">
        <v>-9.7400149999999994E-3</v>
      </c>
      <c r="AA708">
        <v>0.99731000000000003</v>
      </c>
      <c r="AB708">
        <v>29</v>
      </c>
      <c r="AC708">
        <v>0.690799999999967</v>
      </c>
      <c r="AD708">
        <v>-0.21811810000000001</v>
      </c>
      <c r="AE708">
        <v>-6.5099999999972596E-2</v>
      </c>
      <c r="AF708">
        <v>6.0369605872348797E-2</v>
      </c>
      <c r="AG708">
        <v>-0.21811810000000001</v>
      </c>
      <c r="AH708">
        <v>0.62856822368731402</v>
      </c>
      <c r="AI708">
        <v>109.05585322485901</v>
      </c>
      <c r="AJ708">
        <v>84.513965819521005</v>
      </c>
      <c r="AK708">
        <v>0.66807036058353797</v>
      </c>
      <c r="AL708">
        <v>80.453971018046801</v>
      </c>
      <c r="AM708">
        <v>90.837452822926593</v>
      </c>
      <c r="AN708">
        <v>1.0000000467891601</v>
      </c>
    </row>
    <row r="709" spans="1:40" x14ac:dyDescent="0.25">
      <c r="A709" t="str">
        <f>"20190303161855158"</f>
        <v>20190303161855158</v>
      </c>
      <c r="B709" t="str">
        <f>"1551601135154023"</f>
        <v>1551601135154023</v>
      </c>
      <c r="C709" t="s">
        <v>40</v>
      </c>
      <c r="D709">
        <v>4.915648</v>
      </c>
      <c r="E709">
        <v>0.53671179999999996</v>
      </c>
      <c r="F709" t="s">
        <v>42</v>
      </c>
      <c r="G709">
        <v>-357.7346</v>
      </c>
      <c r="H709">
        <v>0.9450115</v>
      </c>
      <c r="I709">
        <v>366.92829999999998</v>
      </c>
      <c r="J709">
        <v>-358.23770000000002</v>
      </c>
      <c r="K709">
        <v>1.1212089999999999</v>
      </c>
      <c r="L709">
        <v>366.98079999999999</v>
      </c>
      <c r="M709">
        <v>0.99992689999999995</v>
      </c>
      <c r="N709">
        <v>-1.1961090000000001E-2</v>
      </c>
      <c r="O709">
        <v>1.810391E-3</v>
      </c>
      <c r="P709">
        <v>0.98785049999999996</v>
      </c>
      <c r="Q709">
        <v>0.15457650000000001</v>
      </c>
      <c r="R709">
        <v>1.6054949999999998E-2</v>
      </c>
      <c r="S709">
        <v>3.1627200000000002</v>
      </c>
      <c r="T709">
        <v>-0.78415849999999998</v>
      </c>
      <c r="U709">
        <v>-0.23049929999999999</v>
      </c>
      <c r="V709">
        <v>-1.427056E-2</v>
      </c>
      <c r="W709">
        <v>0.16638149999999999</v>
      </c>
      <c r="X709">
        <v>0.98595820000000001</v>
      </c>
      <c r="Y709">
        <v>7.2161370000000002E-2</v>
      </c>
      <c r="Z709">
        <v>-9.6603729999999999E-3</v>
      </c>
      <c r="AA709">
        <v>0.99734619999999996</v>
      </c>
      <c r="AB709">
        <v>29</v>
      </c>
      <c r="AC709">
        <v>0.50310000000001698</v>
      </c>
      <c r="AD709">
        <v>-0.17619750000000001</v>
      </c>
      <c r="AE709">
        <v>-5.2500000000008998E-2</v>
      </c>
      <c r="AF709">
        <v>4.7631415069423901E-2</v>
      </c>
      <c r="AG709">
        <v>-0.17619750000000001</v>
      </c>
      <c r="AH709">
        <v>0.44857602038607203</v>
      </c>
      <c r="AI709">
        <v>111.335474488386</v>
      </c>
      <c r="AJ709">
        <v>83.938839759684797</v>
      </c>
      <c r="AK709">
        <v>0.48428788625482999</v>
      </c>
      <c r="AL709">
        <v>80.422502101857006</v>
      </c>
      <c r="AM709">
        <v>90.829229647094294</v>
      </c>
      <c r="AN709">
        <v>1.0000000122860999</v>
      </c>
    </row>
    <row r="710" spans="1:40" x14ac:dyDescent="0.25">
      <c r="A710" t="str">
        <f>"20190303161855170"</f>
        <v>20190303161855170</v>
      </c>
      <c r="B710" t="str">
        <f>"1551601135163769"</f>
        <v>1551601135163769</v>
      </c>
      <c r="C710" t="s">
        <v>40</v>
      </c>
      <c r="D710">
        <v>4.8915230000000003</v>
      </c>
      <c r="E710">
        <v>0.53671179999999996</v>
      </c>
      <c r="F710" t="s">
        <v>42</v>
      </c>
      <c r="G710">
        <v>-357.47739999999999</v>
      </c>
      <c r="H710">
        <v>0.93244170000000004</v>
      </c>
      <c r="I710">
        <v>366.92439999999999</v>
      </c>
      <c r="J710">
        <v>-358.07249999999999</v>
      </c>
      <c r="K710">
        <v>1.12121</v>
      </c>
      <c r="L710">
        <v>366.98110000000003</v>
      </c>
      <c r="M710">
        <v>0.9999268</v>
      </c>
      <c r="N710">
        <v>-1.1961299999999999E-2</v>
      </c>
      <c r="O710">
        <v>1.8280309999999999E-3</v>
      </c>
      <c r="P710">
        <v>0.98782130000000001</v>
      </c>
      <c r="Q710">
        <v>0.15473110000000001</v>
      </c>
      <c r="R710">
        <v>1.6350119999999999E-2</v>
      </c>
      <c r="S710">
        <v>3.163605</v>
      </c>
      <c r="T710">
        <v>-0.78537440000000003</v>
      </c>
      <c r="U710">
        <v>-0.23425289999999999</v>
      </c>
      <c r="V710">
        <v>-1.4548500000000001E-2</v>
      </c>
      <c r="W710">
        <v>0.16653579999999901</v>
      </c>
      <c r="X710">
        <v>0.98592809999999997</v>
      </c>
      <c r="Y710">
        <v>7.3293830000000004E-2</v>
      </c>
      <c r="Z710">
        <v>-9.8207109999999993E-3</v>
      </c>
      <c r="AA710">
        <v>0.99726210000000004</v>
      </c>
      <c r="AB710">
        <v>29</v>
      </c>
      <c r="AC710">
        <v>0.59510000000000196</v>
      </c>
      <c r="AD710">
        <v>-0.1887683</v>
      </c>
      <c r="AE710">
        <v>-5.6700000000034799E-2</v>
      </c>
      <c r="AF710">
        <v>5.2548095072038101E-2</v>
      </c>
      <c r="AG710">
        <v>-0.1887683</v>
      </c>
      <c r="AH710">
        <v>0.54104582934264001</v>
      </c>
      <c r="AI710">
        <v>109.150131185256</v>
      </c>
      <c r="AJ710">
        <v>84.452650208230096</v>
      </c>
      <c r="AK710">
        <v>0.57543493361947895</v>
      </c>
      <c r="AL710">
        <v>80.4135363984485</v>
      </c>
      <c r="AM710">
        <v>90.845403589503604</v>
      </c>
      <c r="AN710">
        <v>1.00000002495174</v>
      </c>
    </row>
    <row r="711" spans="1:40" x14ac:dyDescent="0.25">
      <c r="A711" t="str">
        <f>"20190303161855192"</f>
        <v>20190303161855192</v>
      </c>
      <c r="B711" t="str">
        <f>"1551601135183286"</f>
        <v>1551601135183286</v>
      </c>
      <c r="C711" t="s">
        <v>40</v>
      </c>
      <c r="D711">
        <v>4.9021169999999996</v>
      </c>
      <c r="E711">
        <v>0.53750430000000005</v>
      </c>
      <c r="F711" t="s">
        <v>42</v>
      </c>
      <c r="G711">
        <v>-357.22430000000003</v>
      </c>
      <c r="H711">
        <v>0.91085349999999998</v>
      </c>
      <c r="I711">
        <v>366.91820000000001</v>
      </c>
      <c r="J711">
        <v>-357.80169999999998</v>
      </c>
      <c r="K711">
        <v>1.1212120000000001</v>
      </c>
      <c r="L711">
        <v>366.98169999999999</v>
      </c>
      <c r="M711">
        <v>0.99992689999999995</v>
      </c>
      <c r="N711">
        <v>-1.1961609999999999E-2</v>
      </c>
      <c r="O711">
        <v>1.8568770000000001E-3</v>
      </c>
      <c r="P711">
        <v>0.98783940000000003</v>
      </c>
      <c r="Q711">
        <v>0.15465190000000001</v>
      </c>
      <c r="R711">
        <v>1.601412E-2</v>
      </c>
      <c r="S711">
        <v>3.1637569999999999</v>
      </c>
      <c r="T711">
        <v>-0.78477059999999998</v>
      </c>
      <c r="U711">
        <v>-0.2333374</v>
      </c>
      <c r="V711">
        <v>-1.418434E-2</v>
      </c>
      <c r="W711">
        <v>0.16645679999999999</v>
      </c>
      <c r="X711">
        <v>0.98594669999999895</v>
      </c>
      <c r="Y711">
        <v>7.3042860000000001E-2</v>
      </c>
      <c r="Z711">
        <v>-9.7879030000000006E-3</v>
      </c>
      <c r="AA711">
        <v>0.99728079999999997</v>
      </c>
      <c r="AB711">
        <v>29</v>
      </c>
      <c r="AC711">
        <v>0.57739999999995395</v>
      </c>
      <c r="AD711">
        <v>-0.2103585</v>
      </c>
      <c r="AE711">
        <v>-6.3499999999976298E-2</v>
      </c>
      <c r="AF711">
        <v>5.7085728582728999E-2</v>
      </c>
      <c r="AG711">
        <v>-0.2103585</v>
      </c>
      <c r="AH711">
        <v>0.51035194915563598</v>
      </c>
      <c r="AI711">
        <v>112.275409279757</v>
      </c>
      <c r="AJ711">
        <v>83.617675263831103</v>
      </c>
      <c r="AK711">
        <v>0.55494917869749805</v>
      </c>
      <c r="AL711">
        <v>80.4181263886545</v>
      </c>
      <c r="AM711">
        <v>90.824229905387199</v>
      </c>
      <c r="AN711">
        <v>0.99999997850418199</v>
      </c>
    </row>
    <row r="712" spans="1:40" x14ac:dyDescent="0.25">
      <c r="A712" t="str">
        <f>"20190303161855203"</f>
        <v>20190303161855203</v>
      </c>
      <c r="B712" t="str">
        <f>"1551601135194024"</f>
        <v>1551601135194024</v>
      </c>
      <c r="C712" t="s">
        <v>40</v>
      </c>
      <c r="D712">
        <v>4.9036609999999996</v>
      </c>
      <c r="E712">
        <v>0.53752200000000006</v>
      </c>
      <c r="F712" t="s">
        <v>42</v>
      </c>
      <c r="G712">
        <v>-356.97789999999998</v>
      </c>
      <c r="H712">
        <v>0.86984089999999903</v>
      </c>
      <c r="I712">
        <v>366.91989999999998</v>
      </c>
      <c r="J712">
        <v>-357.63319999999999</v>
      </c>
      <c r="K712">
        <v>1.121213</v>
      </c>
      <c r="L712">
        <v>366.98200000000003</v>
      </c>
      <c r="M712">
        <v>0.9999268</v>
      </c>
      <c r="N712">
        <v>-1.196182E-2</v>
      </c>
      <c r="O712">
        <v>1.8748759999999999E-3</v>
      </c>
      <c r="P712">
        <v>0.987869</v>
      </c>
      <c r="Q712">
        <v>0.15447429999999901</v>
      </c>
      <c r="R712">
        <v>1.5904499999999998E-2</v>
      </c>
      <c r="S712">
        <v>3.19339</v>
      </c>
      <c r="T712">
        <v>-0.97448210000000002</v>
      </c>
      <c r="U712">
        <v>-0.23965449999999999</v>
      </c>
      <c r="V712">
        <v>-1.405642E-2</v>
      </c>
      <c r="W712">
        <v>0.16627999999999901</v>
      </c>
      <c r="X712">
        <v>0.98597840000000003</v>
      </c>
      <c r="Y712">
        <v>7.3178220000000002E-2</v>
      </c>
      <c r="Z712">
        <v>-1.1887699999999999E-2</v>
      </c>
      <c r="AA712">
        <v>0.99724809999999997</v>
      </c>
      <c r="AB712">
        <v>29</v>
      </c>
      <c r="AC712">
        <v>0.65530000000001098</v>
      </c>
      <c r="AD712">
        <v>-0.25137209999999999</v>
      </c>
      <c r="AE712">
        <v>-6.2099999999986701E-2</v>
      </c>
      <c r="AF712">
        <v>5.5268352924319697E-2</v>
      </c>
      <c r="AG712">
        <v>-0.25137209999999999</v>
      </c>
      <c r="AH712">
        <v>0.57179317591108103</v>
      </c>
      <c r="AI712">
        <v>113.633288152993</v>
      </c>
      <c r="AJ712">
        <v>84.479058716249995</v>
      </c>
      <c r="AK712">
        <v>0.62704861016659497</v>
      </c>
      <c r="AL712">
        <v>80.428399787767901</v>
      </c>
      <c r="AM712">
        <v>90.816771427910396</v>
      </c>
      <c r="AN712">
        <v>1.0000000133048801</v>
      </c>
    </row>
    <row r="713" spans="1:40" x14ac:dyDescent="0.25">
      <c r="A713" t="str">
        <f>"20190303161855216"</f>
        <v>20190303161855216</v>
      </c>
      <c r="B713" t="str">
        <f>"1551601135213542"</f>
        <v>1551601135213542</v>
      </c>
      <c r="C713" t="s">
        <v>40</v>
      </c>
      <c r="D713">
        <v>4.9000919999999999</v>
      </c>
      <c r="E713">
        <v>0.53790969999999905</v>
      </c>
      <c r="F713" t="s">
        <v>42</v>
      </c>
      <c r="G713">
        <v>-356.95920000000001</v>
      </c>
      <c r="H713">
        <v>0.91368499999999997</v>
      </c>
      <c r="I713">
        <v>366.9314</v>
      </c>
      <c r="J713">
        <v>-357.47449999999998</v>
      </c>
      <c r="K713">
        <v>1.1212089999999999</v>
      </c>
      <c r="L713">
        <v>366.98230000000001</v>
      </c>
      <c r="M713">
        <v>0.99992669999999995</v>
      </c>
      <c r="N713">
        <v>-1.196204E-2</v>
      </c>
      <c r="O713">
        <v>1.8915659999999999E-3</v>
      </c>
      <c r="P713">
        <v>0.98789700000000003</v>
      </c>
      <c r="Q713">
        <v>0.1543176</v>
      </c>
      <c r="R713">
        <v>1.5682109999999999E-2</v>
      </c>
      <c r="S713">
        <v>3.1945190000000001</v>
      </c>
      <c r="T713">
        <v>-0.98354609999999998</v>
      </c>
      <c r="U713">
        <v>-0.2400513</v>
      </c>
      <c r="V713">
        <v>-1.381748E-2</v>
      </c>
      <c r="W713">
        <v>0.16612389999999999</v>
      </c>
      <c r="X713">
        <v>0.98600810000000005</v>
      </c>
      <c r="Y713">
        <v>7.3227699999999896E-2</v>
      </c>
      <c r="Z713">
        <v>-1.1998419999999999E-2</v>
      </c>
      <c r="AA713">
        <v>0.99724299999999999</v>
      </c>
      <c r="AB713">
        <v>29</v>
      </c>
      <c r="AC713">
        <v>0.51529999999996701</v>
      </c>
      <c r="AD713">
        <v>-0.20752399999999999</v>
      </c>
      <c r="AE713">
        <v>-5.0900000000012803E-2</v>
      </c>
      <c r="AF713">
        <v>4.4695683690653E-2</v>
      </c>
      <c r="AG713">
        <v>-0.20752399999999999</v>
      </c>
      <c r="AH713">
        <v>0.44390309349990298</v>
      </c>
      <c r="AI713">
        <v>114.945330505877</v>
      </c>
      <c r="AJ713">
        <v>84.2503842822357</v>
      </c>
      <c r="AK713">
        <v>0.49205067943795999</v>
      </c>
      <c r="AL713">
        <v>80.437469901463004</v>
      </c>
      <c r="AM713">
        <v>90.802865077971703</v>
      </c>
      <c r="AN713">
        <v>1.00000002308518</v>
      </c>
    </row>
    <row r="714" spans="1:40" x14ac:dyDescent="0.25">
      <c r="A714" t="str">
        <f>"20190303161855228"</f>
        <v>20190303161855228</v>
      </c>
      <c r="B714" t="str">
        <f>"1551601135223302"</f>
        <v>1551601135223302</v>
      </c>
      <c r="C714" t="s">
        <v>40</v>
      </c>
      <c r="D714">
        <v>4.9220449999999998</v>
      </c>
      <c r="E714">
        <v>0.53815170000000001</v>
      </c>
      <c r="F714" t="s">
        <v>42</v>
      </c>
      <c r="G714">
        <v>-356.70859999999999</v>
      </c>
      <c r="H714">
        <v>0.88487979999999999</v>
      </c>
      <c r="I714">
        <v>366.92360000000002</v>
      </c>
      <c r="J714">
        <v>-357.3245</v>
      </c>
      <c r="K714">
        <v>1.1212059999999999</v>
      </c>
      <c r="L714">
        <v>366.98259999999999</v>
      </c>
      <c r="M714">
        <v>0.99992669999999995</v>
      </c>
      <c r="N714">
        <v>-1.1962250000000001E-2</v>
      </c>
      <c r="O714">
        <v>1.907361E-3</v>
      </c>
      <c r="P714">
        <v>0.98796870000000003</v>
      </c>
      <c r="Q714">
        <v>0.1538601</v>
      </c>
      <c r="R714">
        <v>1.5658950000000001E-2</v>
      </c>
      <c r="S714">
        <v>3.1945800000000002</v>
      </c>
      <c r="T714">
        <v>-0.9856935</v>
      </c>
      <c r="U714">
        <v>-0.243927</v>
      </c>
      <c r="V714">
        <v>-1.377859E-2</v>
      </c>
      <c r="W714">
        <v>0.165667799999999</v>
      </c>
      <c r="X714">
        <v>0.9860854</v>
      </c>
      <c r="Y714">
        <v>7.4374480000000007E-2</v>
      </c>
      <c r="Z714">
        <v>-1.22062E-2</v>
      </c>
      <c r="AA714">
        <v>0.99715569999999998</v>
      </c>
      <c r="AB714">
        <v>29</v>
      </c>
      <c r="AC714">
        <v>0.61590000000001</v>
      </c>
      <c r="AD714">
        <v>-0.23632619999999899</v>
      </c>
      <c r="AE714">
        <v>-5.8999999999969001E-2</v>
      </c>
      <c r="AF714">
        <v>5.2513358949970897E-2</v>
      </c>
      <c r="AG714">
        <v>-0.23632619999999899</v>
      </c>
      <c r="AH714">
        <v>0.53738528088515503</v>
      </c>
      <c r="AI714">
        <v>113.63830749053599</v>
      </c>
      <c r="AJ714">
        <v>84.418769495571695</v>
      </c>
      <c r="AK714">
        <v>0.58939856276263902</v>
      </c>
      <c r="AL714">
        <v>80.463969896253303</v>
      </c>
      <c r="AM714">
        <v>90.800542915999301</v>
      </c>
      <c r="AN714">
        <v>1.0000000427961899</v>
      </c>
    </row>
    <row r="715" spans="1:40" x14ac:dyDescent="0.25">
      <c r="A715" t="str">
        <f>"20190303161855240"</f>
        <v>20190303161855240</v>
      </c>
      <c r="B715" t="str">
        <f>"1551601135234039"</f>
        <v>1551601135234039</v>
      </c>
      <c r="C715" t="s">
        <v>40</v>
      </c>
      <c r="D715">
        <v>4.9328909999999997</v>
      </c>
      <c r="E715">
        <v>0.5379292</v>
      </c>
      <c r="F715" t="s">
        <v>42</v>
      </c>
      <c r="G715">
        <v>-356.45749999999998</v>
      </c>
      <c r="H715">
        <v>0.85362739999999904</v>
      </c>
      <c r="I715">
        <v>366.91570000000002</v>
      </c>
      <c r="J715">
        <v>-357.15300000000002</v>
      </c>
      <c r="K715">
        <v>1.1212</v>
      </c>
      <c r="L715">
        <v>366.983</v>
      </c>
      <c r="M715">
        <v>0.99992669999999995</v>
      </c>
      <c r="N715">
        <v>-1.1962479999999999E-2</v>
      </c>
      <c r="O715">
        <v>1.9258929999999999E-3</v>
      </c>
      <c r="P715">
        <v>0.98811479999999996</v>
      </c>
      <c r="Q715">
        <v>0.15291550000000001</v>
      </c>
      <c r="R715">
        <v>1.568773E-2</v>
      </c>
      <c r="S715">
        <v>3.1939090000000001</v>
      </c>
      <c r="T715">
        <v>-0.98573900000000003</v>
      </c>
      <c r="U715">
        <v>-0.24646000000000001</v>
      </c>
      <c r="V715">
        <v>-1.378879E-2</v>
      </c>
      <c r="W715">
        <v>0.16472529999999999</v>
      </c>
      <c r="X715">
        <v>0.98624310000000004</v>
      </c>
      <c r="Y715">
        <v>7.5155079999999999E-2</v>
      </c>
      <c r="Z715">
        <v>-1.233648E-2</v>
      </c>
      <c r="AA715">
        <v>0.99709550000000002</v>
      </c>
      <c r="AB715">
        <v>29</v>
      </c>
      <c r="AC715">
        <v>0.69550000000003798</v>
      </c>
      <c r="AD715">
        <v>-0.26757259999999999</v>
      </c>
      <c r="AE715">
        <v>-6.7299999999988799E-2</v>
      </c>
      <c r="AF715">
        <v>5.9861553880707297E-2</v>
      </c>
      <c r="AG715">
        <v>-0.26757259999999999</v>
      </c>
      <c r="AH715">
        <v>0.606442601058369</v>
      </c>
      <c r="AI715">
        <v>113.705450322052</v>
      </c>
      <c r="AJ715">
        <v>84.362632912730405</v>
      </c>
      <c r="AK715">
        <v>0.66554573868533895</v>
      </c>
      <c r="AL715">
        <v>80.518723071953801</v>
      </c>
      <c r="AM715">
        <v>90.801007379201806</v>
      </c>
      <c r="AN715">
        <v>1.00000000374368</v>
      </c>
    </row>
    <row r="716" spans="1:40" x14ac:dyDescent="0.25">
      <c r="A716" t="str">
        <f>"20190303161855253"</f>
        <v>20190303161855253</v>
      </c>
      <c r="B716" t="str">
        <f>"1551601135243799"</f>
        <v>1551601135243799</v>
      </c>
      <c r="C716" t="s">
        <v>40</v>
      </c>
      <c r="D716">
        <v>4.9132819999999997</v>
      </c>
      <c r="E716">
        <v>0.53777649999999999</v>
      </c>
      <c r="F716" t="s">
        <v>42</v>
      </c>
      <c r="G716">
        <v>-356.43880000000001</v>
      </c>
      <c r="H716">
        <v>0.89966069999999998</v>
      </c>
      <c r="I716">
        <v>366.92829999999998</v>
      </c>
      <c r="J716">
        <v>-356.99200000000002</v>
      </c>
      <c r="K716">
        <v>1.1211990000000001</v>
      </c>
      <c r="L716">
        <v>366.98329999999999</v>
      </c>
      <c r="M716">
        <v>0.9999266</v>
      </c>
      <c r="N716">
        <v>-1.19627E-2</v>
      </c>
      <c r="O716">
        <v>1.943057E-3</v>
      </c>
      <c r="P716">
        <v>0.98820050000000004</v>
      </c>
      <c r="Q716">
        <v>0.15234510000000001</v>
      </c>
      <c r="R716">
        <v>1.5828689999999999E-2</v>
      </c>
      <c r="S716">
        <v>3.1932680000000002</v>
      </c>
      <c r="T716">
        <v>-0.9905735</v>
      </c>
      <c r="U716">
        <v>-0.24447630000000001</v>
      </c>
      <c r="V716">
        <v>-1.39124E-2</v>
      </c>
      <c r="W716">
        <v>0.16415569999999999</v>
      </c>
      <c r="X716">
        <v>0.9863364</v>
      </c>
      <c r="Y716">
        <v>7.4563180000000007E-2</v>
      </c>
      <c r="Z716">
        <v>-1.230667E-2</v>
      </c>
      <c r="AA716">
        <v>0.99714029999999998</v>
      </c>
      <c r="AB716">
        <v>29</v>
      </c>
      <c r="AC716">
        <v>0.55319999999994696</v>
      </c>
      <c r="AD716">
        <v>-0.22153829999999999</v>
      </c>
      <c r="AE716">
        <v>-5.50000000000068E-2</v>
      </c>
      <c r="AF716">
        <v>4.8390297750764699E-2</v>
      </c>
      <c r="AG716">
        <v>-0.22153829999999999</v>
      </c>
      <c r="AH716">
        <v>0.47729561192437597</v>
      </c>
      <c r="AI716">
        <v>114.786831651477</v>
      </c>
      <c r="AJ716">
        <v>84.210886488339597</v>
      </c>
      <c r="AK716">
        <v>0.52842401577290399</v>
      </c>
      <c r="AL716">
        <v>80.551809793480302</v>
      </c>
      <c r="AM716">
        <v>90.808110646148293</v>
      </c>
      <c r="AN716">
        <v>1.0000000713406001</v>
      </c>
    </row>
    <row r="717" spans="1:40" x14ac:dyDescent="0.25">
      <c r="A717" t="str">
        <f>"20190303161855264"</f>
        <v>20190303161855264</v>
      </c>
      <c r="B717" t="str">
        <f>"1551601135253559"</f>
        <v>1551601135253559</v>
      </c>
      <c r="C717" t="s">
        <v>40</v>
      </c>
      <c r="D717">
        <v>4.9435019999999996</v>
      </c>
      <c r="E717">
        <v>0.53753530000000005</v>
      </c>
      <c r="F717" t="s">
        <v>42</v>
      </c>
      <c r="G717">
        <v>-356.18729999999999</v>
      </c>
      <c r="H717">
        <v>0.87072799999999995</v>
      </c>
      <c r="I717">
        <v>366.92189999999999</v>
      </c>
      <c r="J717">
        <v>-356.84120000000001</v>
      </c>
      <c r="K717">
        <v>1.1212</v>
      </c>
      <c r="L717">
        <v>366.98360000000002</v>
      </c>
      <c r="M717">
        <v>0.99992669999999995</v>
      </c>
      <c r="N717">
        <v>-1.196292E-2</v>
      </c>
      <c r="O717">
        <v>1.9590889999999998E-3</v>
      </c>
      <c r="P717">
        <v>0.98829809999999996</v>
      </c>
      <c r="Q717">
        <v>0.15169639999999901</v>
      </c>
      <c r="R717">
        <v>1.5980060000000001E-2</v>
      </c>
      <c r="S717">
        <v>3.1929319999999999</v>
      </c>
      <c r="T717">
        <v>-0.99390029999999996</v>
      </c>
      <c r="U717">
        <v>-0.24279790000000001</v>
      </c>
      <c r="V717">
        <v>-1.404797E-2</v>
      </c>
      <c r="W717">
        <v>0.16350889999999901</v>
      </c>
      <c r="X717">
        <v>0.98644189999999998</v>
      </c>
      <c r="Y717">
        <v>7.4064790000000005E-2</v>
      </c>
      <c r="Z717">
        <v>-1.2272190000000001E-2</v>
      </c>
      <c r="AA717">
        <v>0.99717789999999995</v>
      </c>
      <c r="AB717">
        <v>29</v>
      </c>
      <c r="AC717">
        <v>0.65390000000002102</v>
      </c>
      <c r="AD717">
        <v>-0.25047199999999897</v>
      </c>
      <c r="AE717">
        <v>-6.1700000000030203E-2</v>
      </c>
      <c r="AF717">
        <v>5.49847353350967E-2</v>
      </c>
      <c r="AG717">
        <v>-0.25047199999999897</v>
      </c>
      <c r="AH717">
        <v>0.57077198613025704</v>
      </c>
      <c r="AI717">
        <v>113.59609358380899</v>
      </c>
      <c r="AJ717">
        <v>84.497449432985107</v>
      </c>
      <c r="AK717">
        <v>0.62573173489519396</v>
      </c>
      <c r="AL717">
        <v>80.58937622242</v>
      </c>
      <c r="AM717">
        <v>90.815896998898594</v>
      </c>
      <c r="AN717">
        <v>1.00000006395796</v>
      </c>
    </row>
    <row r="718" spans="1:40" x14ac:dyDescent="0.25">
      <c r="A718" t="str">
        <f>"20190303161855282"</f>
        <v>20190303161855282</v>
      </c>
      <c r="B718" t="str">
        <f>"1551601135274054"</f>
        <v>1551601135274054</v>
      </c>
      <c r="C718" t="s">
        <v>40</v>
      </c>
      <c r="D718">
        <v>4.9344849999999996</v>
      </c>
      <c r="E718">
        <v>0.53720219999999996</v>
      </c>
      <c r="F718" t="s">
        <v>42</v>
      </c>
      <c r="G718">
        <v>-356.16989999999998</v>
      </c>
      <c r="H718">
        <v>0.91158019999999995</v>
      </c>
      <c r="I718">
        <v>366.93279999999999</v>
      </c>
      <c r="J718">
        <v>-356.62049999999999</v>
      </c>
      <c r="K718">
        <v>1.121197</v>
      </c>
      <c r="L718">
        <v>366.98410000000001</v>
      </c>
      <c r="M718">
        <v>0.9999266</v>
      </c>
      <c r="N718">
        <v>-1.196326E-2</v>
      </c>
      <c r="O718">
        <v>1.98263E-3</v>
      </c>
      <c r="P718">
        <v>0.98825399999999997</v>
      </c>
      <c r="Q718">
        <v>0.15197729999999901</v>
      </c>
      <c r="R718">
        <v>1.604891E-2</v>
      </c>
      <c r="S718">
        <v>3.1924739999999998</v>
      </c>
      <c r="T718">
        <v>-0.99689910000000004</v>
      </c>
      <c r="U718">
        <v>-0.24063109999999999</v>
      </c>
      <c r="V718">
        <v>-1.409387E-2</v>
      </c>
      <c r="W718">
        <v>0.163789299999999</v>
      </c>
      <c r="X718">
        <v>0.98639460000000001</v>
      </c>
      <c r="Y718">
        <v>7.3433410000000005E-2</v>
      </c>
      <c r="Z718">
        <v>-1.2215139999999999E-2</v>
      </c>
      <c r="AA718">
        <v>0.99722529999999998</v>
      </c>
      <c r="AB718">
        <v>29</v>
      </c>
      <c r="AC718">
        <v>0.45060000000000799</v>
      </c>
      <c r="AD718">
        <v>-0.20961679999999999</v>
      </c>
      <c r="AE718">
        <v>-5.1300000000026102E-2</v>
      </c>
      <c r="AF718">
        <v>4.3005715093330801E-2</v>
      </c>
      <c r="AG718">
        <v>-0.20961679999999999</v>
      </c>
      <c r="AH718">
        <v>0.37119609923991698</v>
      </c>
      <c r="AI718">
        <v>119.290425024523</v>
      </c>
      <c r="AJ718">
        <v>83.391339339772998</v>
      </c>
      <c r="AK718">
        <v>0.42845681050003098</v>
      </c>
      <c r="AL718">
        <v>80.573089754064</v>
      </c>
      <c r="AM718">
        <v>90.8186017257337</v>
      </c>
      <c r="AN718">
        <v>0.99999993943761101</v>
      </c>
    </row>
    <row r="719" spans="1:40" x14ac:dyDescent="0.25">
      <c r="A719" t="str">
        <f>"20190303161855296"</f>
        <v>20190303161855296</v>
      </c>
      <c r="B719" t="str">
        <f>"1551601135293574"</f>
        <v>1551601135293574</v>
      </c>
      <c r="C719" t="s">
        <v>40</v>
      </c>
      <c r="D719">
        <v>4.9739380000000004</v>
      </c>
      <c r="E719">
        <v>0.5370066</v>
      </c>
      <c r="F719" t="s">
        <v>42</v>
      </c>
      <c r="G719">
        <v>-355.91180000000003</v>
      </c>
      <c r="H719">
        <v>0.89963819999999906</v>
      </c>
      <c r="I719">
        <v>366.93110000000001</v>
      </c>
      <c r="J719">
        <v>-356.42720000000003</v>
      </c>
      <c r="K719">
        <v>1.121197</v>
      </c>
      <c r="L719">
        <v>366.98450000000003</v>
      </c>
      <c r="M719">
        <v>0.99992639999999999</v>
      </c>
      <c r="N719">
        <v>-1.196357E-2</v>
      </c>
      <c r="O719">
        <v>2.003014E-3</v>
      </c>
      <c r="P719">
        <v>0.98820469999999905</v>
      </c>
      <c r="Q719">
        <v>0.152281</v>
      </c>
      <c r="R719">
        <v>1.6185720000000001E-2</v>
      </c>
      <c r="S719">
        <v>3.1930239999999999</v>
      </c>
      <c r="T719">
        <v>-0.99823360000000005</v>
      </c>
      <c r="U719">
        <v>-0.2385254</v>
      </c>
      <c r="V719">
        <v>-1.4210260000000001E-2</v>
      </c>
      <c r="W719">
        <v>0.16409270000000001</v>
      </c>
      <c r="X719">
        <v>0.98634250000000001</v>
      </c>
      <c r="Y719">
        <v>7.2808339999999999E-2</v>
      </c>
      <c r="Z719">
        <v>-1.2135409999999999E-2</v>
      </c>
      <c r="AA719">
        <v>0.99727209999999999</v>
      </c>
      <c r="AB719">
        <v>29</v>
      </c>
      <c r="AC719">
        <v>0.51539999999999897</v>
      </c>
      <c r="AD719">
        <v>-0.2215588</v>
      </c>
      <c r="AE719">
        <v>-5.3400000000010502E-2</v>
      </c>
      <c r="AF719">
        <v>4.6018644201305602E-2</v>
      </c>
      <c r="AG719">
        <v>-0.2215588</v>
      </c>
      <c r="AH719">
        <v>0.43564262924868702</v>
      </c>
      <c r="AI719">
        <v>116.828702109711</v>
      </c>
      <c r="AJ719">
        <v>83.969983829226294</v>
      </c>
      <c r="AK719">
        <v>0.49090785071159299</v>
      </c>
      <c r="AL719">
        <v>80.555467762757999</v>
      </c>
      <c r="AM719">
        <v>90.825404562020495</v>
      </c>
      <c r="AN719">
        <v>0.999999936494401</v>
      </c>
    </row>
    <row r="720" spans="1:40" x14ac:dyDescent="0.25">
      <c r="A720" t="str">
        <f>"20190303161855312"</f>
        <v>20190303161855312</v>
      </c>
      <c r="B720" t="str">
        <f>"1551601135303334"</f>
        <v>1551601135303334</v>
      </c>
      <c r="C720" t="s">
        <v>40</v>
      </c>
      <c r="D720">
        <v>4.9687950000000001</v>
      </c>
      <c r="E720">
        <v>0.53702380000000005</v>
      </c>
      <c r="F720" t="s">
        <v>42</v>
      </c>
      <c r="G720">
        <v>-355.6567</v>
      </c>
      <c r="H720">
        <v>0.88000129999999999</v>
      </c>
      <c r="I720">
        <v>366.9271</v>
      </c>
      <c r="J720">
        <v>-356.2174</v>
      </c>
      <c r="K720">
        <v>1.1212</v>
      </c>
      <c r="L720">
        <v>366.98500000000001</v>
      </c>
      <c r="M720">
        <v>0.99992630000000005</v>
      </c>
      <c r="N720">
        <v>-1.1963919999999999E-2</v>
      </c>
      <c r="O720">
        <v>2.0252460000000001E-3</v>
      </c>
      <c r="P720">
        <v>0.98820390000000002</v>
      </c>
      <c r="Q720">
        <v>0.15228710000000001</v>
      </c>
      <c r="R720">
        <v>1.6174350000000001E-2</v>
      </c>
      <c r="S720">
        <v>3.1937259999999998</v>
      </c>
      <c r="T720">
        <v>-0.99975820000000004</v>
      </c>
      <c r="U720">
        <v>-0.23657230000000001</v>
      </c>
      <c r="V720">
        <v>-1.417733E-2</v>
      </c>
      <c r="W720">
        <v>0.16409879999999999</v>
      </c>
      <c r="X720">
        <v>0.98634200000000005</v>
      </c>
      <c r="Y720">
        <v>7.222605E-2</v>
      </c>
      <c r="Z720">
        <v>-1.206436E-2</v>
      </c>
      <c r="AA720">
        <v>0.99731530000000002</v>
      </c>
      <c r="AB720">
        <v>29</v>
      </c>
      <c r="AC720">
        <v>0.56069999999999698</v>
      </c>
      <c r="AD720">
        <v>-0.24119869999999899</v>
      </c>
      <c r="AE720">
        <v>-5.7900000000017798E-2</v>
      </c>
      <c r="AF720">
        <v>4.98991174018781E-2</v>
      </c>
      <c r="AG720">
        <v>-0.24119869999999899</v>
      </c>
      <c r="AH720">
        <v>0.47382536805308101</v>
      </c>
      <c r="AI720">
        <v>116.850633283162</v>
      </c>
      <c r="AJ720">
        <v>83.988271695346697</v>
      </c>
      <c r="AK720">
        <v>0.53401986312291205</v>
      </c>
      <c r="AL720">
        <v>80.555113840815295</v>
      </c>
      <c r="AM720">
        <v>90.823492500338801</v>
      </c>
      <c r="AN720">
        <v>0.99999997690568398</v>
      </c>
    </row>
    <row r="721" spans="1:40" x14ac:dyDescent="0.25">
      <c r="A721" t="str">
        <f>"20190303161855327"</f>
        <v>20190303161855327</v>
      </c>
      <c r="B721" t="str">
        <f>"1551601135323830"</f>
        <v>1551601135323830</v>
      </c>
      <c r="C721" t="s">
        <v>40</v>
      </c>
      <c r="D721">
        <v>4.9691080000000003</v>
      </c>
      <c r="E721">
        <v>0.53713089999999997</v>
      </c>
      <c r="F721" t="s">
        <v>42</v>
      </c>
      <c r="G721">
        <v>-355.39909999999998</v>
      </c>
      <c r="H721">
        <v>0.86513200000000001</v>
      </c>
      <c r="I721">
        <v>366.92419999999998</v>
      </c>
      <c r="J721">
        <v>-356.0179</v>
      </c>
      <c r="K721">
        <v>1.1212</v>
      </c>
      <c r="L721">
        <v>366.9853</v>
      </c>
      <c r="M721">
        <v>0.99992630000000005</v>
      </c>
      <c r="N721">
        <v>-1.1964249999999999E-2</v>
      </c>
      <c r="O721">
        <v>2.0462829999999999E-3</v>
      </c>
      <c r="P721">
        <v>0.98819590000000002</v>
      </c>
      <c r="Q721">
        <v>0.1523098</v>
      </c>
      <c r="R721">
        <v>1.6453949999999998E-2</v>
      </c>
      <c r="S721">
        <v>3.193695</v>
      </c>
      <c r="T721">
        <v>-0.99935350000000001</v>
      </c>
      <c r="U721">
        <v>-0.23657230000000001</v>
      </c>
      <c r="V721">
        <v>-1.443642E-2</v>
      </c>
      <c r="W721">
        <v>0.16412179999999901</v>
      </c>
      <c r="X721">
        <v>0.98633439999999994</v>
      </c>
      <c r="Y721">
        <v>7.2248480000000004E-2</v>
      </c>
      <c r="Z721">
        <v>-1.2069710000000001E-2</v>
      </c>
      <c r="AA721">
        <v>0.99731360000000002</v>
      </c>
      <c r="AB721">
        <v>29</v>
      </c>
      <c r="AC721">
        <v>0.618800000000021</v>
      </c>
      <c r="AD721">
        <v>-0.25606800000000002</v>
      </c>
      <c r="AE721">
        <v>-6.1100000000010299E-2</v>
      </c>
      <c r="AF721">
        <v>5.3323201550819301E-2</v>
      </c>
      <c r="AG721">
        <v>-0.25606800000000002</v>
      </c>
      <c r="AH721">
        <v>0.52896696057169001</v>
      </c>
      <c r="AI721">
        <v>115.717776281013</v>
      </c>
      <c r="AJ721">
        <v>84.243670399030606</v>
      </c>
      <c r="AK721">
        <v>0.590101880885056</v>
      </c>
      <c r="AL721">
        <v>80.553777783802701</v>
      </c>
      <c r="AM721">
        <v>90.838546115483197</v>
      </c>
      <c r="AN721">
        <v>0.99999996204050701</v>
      </c>
    </row>
    <row r="722" spans="1:40" x14ac:dyDescent="0.25">
      <c r="A722" t="str">
        <f>"20190303161855340"</f>
        <v>20190303161855340</v>
      </c>
      <c r="B722" t="str">
        <f>"1551601135333590"</f>
        <v>1551601135333590</v>
      </c>
      <c r="C722" t="s">
        <v>40</v>
      </c>
      <c r="D722">
        <v>4.996143</v>
      </c>
      <c r="E722">
        <v>0.53714229999999996</v>
      </c>
      <c r="F722" t="s">
        <v>42</v>
      </c>
      <c r="G722">
        <v>-355.14210000000003</v>
      </c>
      <c r="H722">
        <v>0.84872329999999996</v>
      </c>
      <c r="I722">
        <v>366.92</v>
      </c>
      <c r="J722">
        <v>-355.83280000000002</v>
      </c>
      <c r="K722">
        <v>1.121194</v>
      </c>
      <c r="L722">
        <v>366.98579999999998</v>
      </c>
      <c r="M722">
        <v>0.99992630000000005</v>
      </c>
      <c r="N722">
        <v>-1.1964539999999999E-2</v>
      </c>
      <c r="O722">
        <v>2.0661849999999999E-3</v>
      </c>
      <c r="P722">
        <v>0.98819000000000001</v>
      </c>
      <c r="Q722">
        <v>0.1523137</v>
      </c>
      <c r="R722">
        <v>1.6772140000000001E-2</v>
      </c>
      <c r="S722">
        <v>3.192841</v>
      </c>
      <c r="T722">
        <v>-0.99328340000000004</v>
      </c>
      <c r="U722">
        <v>-0.23736570000000001</v>
      </c>
      <c r="V722">
        <v>-1.4734590000000001E-2</v>
      </c>
      <c r="W722">
        <v>0.1641261</v>
      </c>
      <c r="X722">
        <v>0.98632929999999996</v>
      </c>
      <c r="Y722">
        <v>7.2559289999999999E-2</v>
      </c>
      <c r="Z722">
        <v>-1.2059769999999999E-2</v>
      </c>
      <c r="AA722">
        <v>0.99729120000000004</v>
      </c>
      <c r="AB722">
        <v>29</v>
      </c>
      <c r="AC722">
        <v>0.69069999999999199</v>
      </c>
      <c r="AD722">
        <v>-0.27247069999999901</v>
      </c>
      <c r="AE722">
        <v>-6.5799999999967398E-2</v>
      </c>
      <c r="AF722">
        <v>5.8244660224844903E-2</v>
      </c>
      <c r="AG722">
        <v>-0.27247069999999901</v>
      </c>
      <c r="AH722">
        <v>0.59829438256867995</v>
      </c>
      <c r="AI722">
        <v>114.383342959811</v>
      </c>
      <c r="AJ722">
        <v>84.439709877587006</v>
      </c>
      <c r="AK722">
        <v>0.65999158404970204</v>
      </c>
      <c r="AL722">
        <v>80.553528257755701</v>
      </c>
      <c r="AM722">
        <v>90.855867332060001</v>
      </c>
      <c r="AN722">
        <v>0.99999998644108401</v>
      </c>
    </row>
    <row r="723" spans="1:40" x14ac:dyDescent="0.25">
      <c r="A723" t="str">
        <f>"20190303161855353"</f>
        <v>20190303161855353</v>
      </c>
      <c r="B723" t="str">
        <f>"1551601135343351"</f>
        <v>1551601135343351</v>
      </c>
      <c r="C723" t="s">
        <v>40</v>
      </c>
      <c r="D723">
        <v>4.9919089999999997</v>
      </c>
      <c r="E723">
        <v>0.53714030000000001</v>
      </c>
      <c r="F723" t="s">
        <v>42</v>
      </c>
      <c r="G723">
        <v>-355.12110000000001</v>
      </c>
      <c r="H723">
        <v>0.90021459999999998</v>
      </c>
      <c r="I723">
        <v>366.93270000000001</v>
      </c>
      <c r="J723">
        <v>-355.6728</v>
      </c>
      <c r="K723">
        <v>1.121194</v>
      </c>
      <c r="L723">
        <v>366.98610000000002</v>
      </c>
      <c r="M723">
        <v>0.99992639999999999</v>
      </c>
      <c r="N723">
        <v>-1.1964789999999999E-2</v>
      </c>
      <c r="O723">
        <v>2.0831700000000001E-3</v>
      </c>
      <c r="P723">
        <v>0.98821150000000002</v>
      </c>
      <c r="Q723">
        <v>0.15214430000000001</v>
      </c>
      <c r="R723">
        <v>1.7042950000000001E-2</v>
      </c>
      <c r="S723">
        <v>3.1927189999999999</v>
      </c>
      <c r="T723">
        <v>-0.99132629999999999</v>
      </c>
      <c r="U723">
        <v>-0.23730470000000001</v>
      </c>
      <c r="V723">
        <v>-1.4988049999999999E-2</v>
      </c>
      <c r="W723">
        <v>0.1639572</v>
      </c>
      <c r="X723">
        <v>0.98635360000000005</v>
      </c>
      <c r="Y723">
        <v>7.2572209999999998E-2</v>
      </c>
      <c r="Z723">
        <v>-1.204524E-2</v>
      </c>
      <c r="AA723">
        <v>0.99729040000000002</v>
      </c>
      <c r="AB723">
        <v>29</v>
      </c>
      <c r="AC723">
        <v>0.55169999999998198</v>
      </c>
      <c r="AD723">
        <v>-0.22097939999999899</v>
      </c>
      <c r="AE723">
        <v>-5.3400000000010502E-2</v>
      </c>
      <c r="AF723">
        <v>4.70680101429072E-2</v>
      </c>
      <c r="AG723">
        <v>-0.22097939999999899</v>
      </c>
      <c r="AH723">
        <v>0.47593922993240201</v>
      </c>
      <c r="AI723">
        <v>114.799191522111</v>
      </c>
      <c r="AJ723">
        <v>84.352098682988796</v>
      </c>
      <c r="AK723">
        <v>0.52684480009944201</v>
      </c>
      <c r="AL723">
        <v>80.563338677794604</v>
      </c>
      <c r="AM723">
        <v>90.870566013896706</v>
      </c>
      <c r="AN723">
        <v>1.0000000146538</v>
      </c>
    </row>
    <row r="724" spans="1:40" x14ac:dyDescent="0.25">
      <c r="A724" t="str">
        <f>"20190303161855365"</f>
        <v>20190303161855365</v>
      </c>
      <c r="B724" t="str">
        <f>"1551601135354088"</f>
        <v>1551601135354088</v>
      </c>
      <c r="C724" t="s">
        <v>40</v>
      </c>
      <c r="D724">
        <v>5.079879</v>
      </c>
      <c r="E724">
        <v>0.5368752</v>
      </c>
      <c r="F724" t="s">
        <v>42</v>
      </c>
      <c r="G724">
        <v>-354.86950000000002</v>
      </c>
      <c r="H724">
        <v>0.87169779999999997</v>
      </c>
      <c r="I724">
        <v>366.9264</v>
      </c>
      <c r="J724">
        <v>-355.5129</v>
      </c>
      <c r="K724">
        <v>1.121192</v>
      </c>
      <c r="L724">
        <v>366.98649999999998</v>
      </c>
      <c r="M724">
        <v>0.99992630000000005</v>
      </c>
      <c r="N724">
        <v>-1.196502E-2</v>
      </c>
      <c r="O724">
        <v>2.1005120000000001E-3</v>
      </c>
      <c r="P724">
        <v>0.98816789999999999</v>
      </c>
      <c r="Q724">
        <v>0.15242339999999999</v>
      </c>
      <c r="R724">
        <v>1.7058460000000001E-2</v>
      </c>
      <c r="S724">
        <v>3.1925349999999999</v>
      </c>
      <c r="T724">
        <v>-0.99158760000000001</v>
      </c>
      <c r="U724">
        <v>-0.23666380000000001</v>
      </c>
      <c r="V724">
        <v>-1.49864E-2</v>
      </c>
      <c r="W724">
        <v>0.1642361</v>
      </c>
      <c r="X724">
        <v>0.98630720000000005</v>
      </c>
      <c r="Y724">
        <v>7.2399989999999997E-2</v>
      </c>
      <c r="Z724">
        <v>-1.2026800000000001E-2</v>
      </c>
      <c r="AA724">
        <v>0.99730319999999995</v>
      </c>
      <c r="AB724">
        <v>29</v>
      </c>
      <c r="AC724">
        <v>0.64339999999998498</v>
      </c>
      <c r="AD724">
        <v>-0.249494199999999</v>
      </c>
      <c r="AE724">
        <v>-6.0099999999977102E-2</v>
      </c>
      <c r="AF724">
        <v>5.34793482482461E-2</v>
      </c>
      <c r="AG724">
        <v>-0.249494199999999</v>
      </c>
      <c r="AH724">
        <v>0.55982070813460305</v>
      </c>
      <c r="AI724">
        <v>113.924386395186</v>
      </c>
      <c r="AJ724">
        <v>84.543126711904506</v>
      </c>
      <c r="AK724">
        <v>0.61522891819145298</v>
      </c>
      <c r="AL724">
        <v>80.547139062450199</v>
      </c>
      <c r="AM724">
        <v>90.870511134274096</v>
      </c>
      <c r="AN724">
        <v>0.99999999075000501</v>
      </c>
    </row>
    <row r="725" spans="1:40" x14ac:dyDescent="0.25">
      <c r="A725" t="str">
        <f>"20190303161855381"</f>
        <v>20190303161855381</v>
      </c>
      <c r="B725" t="str">
        <f>"1551601135374113"</f>
        <v>1551601135374113</v>
      </c>
      <c r="C725" t="s">
        <v>40</v>
      </c>
      <c r="D725">
        <v>5.0234319999999997</v>
      </c>
      <c r="E725">
        <v>0.51648349999999998</v>
      </c>
      <c r="F725" t="s">
        <v>42</v>
      </c>
      <c r="G725">
        <v>-354.61700000000002</v>
      </c>
      <c r="H725">
        <v>0.84362539999999997</v>
      </c>
      <c r="I725">
        <v>366.9203</v>
      </c>
      <c r="J725">
        <v>-355.28870000000001</v>
      </c>
      <c r="K725">
        <v>1.1212009999999999</v>
      </c>
      <c r="L725">
        <v>366.98700000000002</v>
      </c>
      <c r="M725">
        <v>0.99992630000000005</v>
      </c>
      <c r="N725">
        <v>-1.1965369999999999E-2</v>
      </c>
      <c r="O725">
        <v>2.1244100000000002E-3</v>
      </c>
      <c r="P725">
        <v>0.98810569999999998</v>
      </c>
      <c r="Q725">
        <v>0.1527799</v>
      </c>
      <c r="R725">
        <v>1.7481880000000002E-2</v>
      </c>
      <c r="S725">
        <v>3.1925659999999998</v>
      </c>
      <c r="T725">
        <v>-0.98921009999999998</v>
      </c>
      <c r="U725">
        <v>-0.23474120000000001</v>
      </c>
      <c r="V725">
        <v>-1.5386179999999999E-2</v>
      </c>
      <c r="W725">
        <v>0.16459219999999999</v>
      </c>
      <c r="X725">
        <v>0.9862417</v>
      </c>
      <c r="Y725">
        <v>7.1867180000000003E-2</v>
      </c>
      <c r="Z725">
        <v>-1.192343E-2</v>
      </c>
      <c r="AA725">
        <v>0.99734290000000003</v>
      </c>
      <c r="AB725">
        <v>29</v>
      </c>
      <c r="AC725">
        <v>0.67170000000004304</v>
      </c>
      <c r="AD725">
        <v>-0.27757559999999998</v>
      </c>
      <c r="AE725">
        <v>-6.6699999999968895E-2</v>
      </c>
      <c r="AF725">
        <v>5.8272826833929002E-2</v>
      </c>
      <c r="AG725">
        <v>-0.27757559999999998</v>
      </c>
      <c r="AH725">
        <v>0.574420699965426</v>
      </c>
      <c r="AI725">
        <v>115.676363593004</v>
      </c>
      <c r="AJ725">
        <v>84.207374990811203</v>
      </c>
      <c r="AK725">
        <v>0.640627096376158</v>
      </c>
      <c r="AL725">
        <v>80.526454720528207</v>
      </c>
      <c r="AM725">
        <v>90.893788680138698</v>
      </c>
      <c r="AN725">
        <v>1.00000000882736</v>
      </c>
    </row>
    <row r="726" spans="1:40" x14ac:dyDescent="0.25">
      <c r="A726" t="str">
        <f>"20190303161855393"</f>
        <v>20190303161855393</v>
      </c>
      <c r="B726" t="str">
        <f>"1551601135383874"</f>
        <v>1551601135383874</v>
      </c>
      <c r="C726" t="s">
        <v>40</v>
      </c>
      <c r="D726">
        <v>5.0147130000000004</v>
      </c>
      <c r="E726">
        <v>0.50749679999999997</v>
      </c>
      <c r="F726" t="s">
        <v>42</v>
      </c>
      <c r="G726">
        <v>-354.55439999999999</v>
      </c>
      <c r="H726">
        <v>0.98218870000000003</v>
      </c>
      <c r="I726">
        <v>366.96929999999998</v>
      </c>
      <c r="J726">
        <v>-355.13900000000001</v>
      </c>
      <c r="K726">
        <v>1.1212029999999999</v>
      </c>
      <c r="L726">
        <v>366.9873</v>
      </c>
      <c r="M726">
        <v>0.99992610000000004</v>
      </c>
      <c r="N726">
        <v>-1.196561E-2</v>
      </c>
      <c r="O726">
        <v>2.1402650000000001E-3</v>
      </c>
      <c r="P726">
        <v>0.98807259999999997</v>
      </c>
      <c r="Q726">
        <v>0.152976</v>
      </c>
      <c r="R726">
        <v>1.7633329999999999E-2</v>
      </c>
      <c r="S726">
        <v>3.1290279999999999</v>
      </c>
      <c r="T726">
        <v>-0.59262280000000001</v>
      </c>
      <c r="U726">
        <v>-7.3760989999999999E-2</v>
      </c>
      <c r="V726">
        <v>-1.552251E-2</v>
      </c>
      <c r="W726">
        <v>0.164788299999999</v>
      </c>
      <c r="X726">
        <v>0.98620680000000005</v>
      </c>
      <c r="Y726">
        <v>2.519648E-2</v>
      </c>
      <c r="Z726">
        <v>-2.893226E-3</v>
      </c>
      <c r="AA726">
        <v>0.99967830000000002</v>
      </c>
      <c r="AB726">
        <v>29</v>
      </c>
      <c r="AC726">
        <v>0.58460000000002299</v>
      </c>
      <c r="AD726">
        <v>-0.13901430000000001</v>
      </c>
      <c r="AE726">
        <v>-1.80000000000291E-2</v>
      </c>
      <c r="AF726">
        <v>1.8221851694882499E-2</v>
      </c>
      <c r="AG726">
        <v>-0.13901430000000001</v>
      </c>
      <c r="AH726">
        <v>0.55330274945255897</v>
      </c>
      <c r="AI726">
        <v>104.09599954572001</v>
      </c>
      <c r="AJ726">
        <v>88.113766832229501</v>
      </c>
      <c r="AK726">
        <v>0.57078975466930104</v>
      </c>
      <c r="AL726">
        <v>80.515063315922106</v>
      </c>
      <c r="AM726">
        <v>90.901738741026904</v>
      </c>
      <c r="AN726">
        <v>0.99999999224991498</v>
      </c>
    </row>
    <row r="727" spans="1:40" x14ac:dyDescent="0.25">
      <c r="A727" t="str">
        <f>"20190303161855405"</f>
        <v>20190303161855405</v>
      </c>
      <c r="B727" t="str">
        <f>"1551601135393635"</f>
        <v>1551601135393635</v>
      </c>
      <c r="C727" t="s">
        <v>40</v>
      </c>
      <c r="D727">
        <v>5.3085250000000004</v>
      </c>
      <c r="E727">
        <v>0.50210189999999999</v>
      </c>
      <c r="F727" t="s">
        <v>42</v>
      </c>
      <c r="G727">
        <v>-354.28590000000003</v>
      </c>
      <c r="H727">
        <v>0.99167510000000003</v>
      </c>
      <c r="I727">
        <v>366.98649999999998</v>
      </c>
      <c r="J727">
        <v>-354.98009999999999</v>
      </c>
      <c r="K727">
        <v>1.1212070000000001</v>
      </c>
      <c r="L727">
        <v>366.98770000000002</v>
      </c>
      <c r="M727">
        <v>0.99992610000000004</v>
      </c>
      <c r="N727">
        <v>-1.196586E-2</v>
      </c>
      <c r="O727">
        <v>2.156954E-3</v>
      </c>
      <c r="P727">
        <v>0.9880004</v>
      </c>
      <c r="Q727">
        <v>0.15343270000000001</v>
      </c>
      <c r="R727">
        <v>1.7711589999999999E-2</v>
      </c>
      <c r="S727">
        <v>3.1094059999999999</v>
      </c>
      <c r="T727">
        <v>-0.47223969999999998</v>
      </c>
      <c r="U727">
        <v>-2.2277830000000001E-3</v>
      </c>
      <c r="V727">
        <v>-1.558432E-2</v>
      </c>
      <c r="W727">
        <v>0.165244</v>
      </c>
      <c r="X727">
        <v>0.98612960000000005</v>
      </c>
      <c r="Y727">
        <v>2.8176960000000002E-3</v>
      </c>
      <c r="Z727">
        <v>-5.2975449999999996E-4</v>
      </c>
      <c r="AA727">
        <v>0.99999590000000005</v>
      </c>
      <c r="AB727">
        <v>29</v>
      </c>
      <c r="AC727">
        <v>0.69419999999996596</v>
      </c>
      <c r="AD727">
        <v>-0.12953190000000001</v>
      </c>
      <c r="AE727">
        <v>-1.20000000003983E-3</v>
      </c>
      <c r="AF727">
        <v>2.6067059273760899E-3</v>
      </c>
      <c r="AG727">
        <v>-0.12953190000000001</v>
      </c>
      <c r="AH727">
        <v>0.670839624492651</v>
      </c>
      <c r="AI727">
        <v>100.92862158077</v>
      </c>
      <c r="AJ727">
        <v>89.777364826208796</v>
      </c>
      <c r="AK727">
        <v>0.68323576444946399</v>
      </c>
      <c r="AL727">
        <v>80.488590971730403</v>
      </c>
      <c r="AM727">
        <v>90.905399694015898</v>
      </c>
      <c r="AN727">
        <v>1.0000000192810099</v>
      </c>
    </row>
    <row r="728" spans="1:40" x14ac:dyDescent="0.25">
      <c r="A728" t="str">
        <f>"20190303161855416"</f>
        <v>20190303161855416</v>
      </c>
      <c r="B728" t="str">
        <f>"1551601135403393"</f>
        <v>1551601135403393</v>
      </c>
      <c r="C728" t="s">
        <v>40</v>
      </c>
      <c r="D728">
        <v>5.2909750000000004</v>
      </c>
      <c r="E728">
        <v>0.49784850000000003</v>
      </c>
      <c r="F728" t="s">
        <v>42</v>
      </c>
      <c r="G728">
        <v>-354.01330000000002</v>
      </c>
      <c r="H728">
        <v>1.009768</v>
      </c>
      <c r="I728">
        <v>367.00009999999997</v>
      </c>
      <c r="J728">
        <v>-354.83479999999997</v>
      </c>
      <c r="K728">
        <v>1.12121</v>
      </c>
      <c r="L728">
        <v>366.988</v>
      </c>
      <c r="M728">
        <v>0.99992599999999998</v>
      </c>
      <c r="N728">
        <v>-1.19661E-2</v>
      </c>
      <c r="O728">
        <v>2.1725659999999999E-3</v>
      </c>
      <c r="P728">
        <v>0.98791150000000005</v>
      </c>
      <c r="Q728">
        <v>0.1539701</v>
      </c>
      <c r="R728">
        <v>1.8008010000000001E-2</v>
      </c>
      <c r="S728">
        <v>3.0910340000000001</v>
      </c>
      <c r="T728">
        <v>-0.35640129999999998</v>
      </c>
      <c r="U728">
        <v>4.01001E-2</v>
      </c>
      <c r="V728">
        <v>-1.5865480000000001E-2</v>
      </c>
      <c r="W728">
        <v>0.1657806</v>
      </c>
      <c r="X728">
        <v>0.98603499999999999</v>
      </c>
      <c r="Y728">
        <v>-1.073241E-2</v>
      </c>
      <c r="Z728">
        <v>4.573736E-4</v>
      </c>
      <c r="AA728">
        <v>0.99994229999999995</v>
      </c>
      <c r="AB728">
        <v>29</v>
      </c>
      <c r="AC728">
        <v>0.82149999999995704</v>
      </c>
      <c r="AD728">
        <v>-0.111442</v>
      </c>
      <c r="AE728">
        <v>1.2099999999918501E-2</v>
      </c>
      <c r="AF728">
        <v>-1.01287246715155E-2</v>
      </c>
      <c r="AG728">
        <v>-0.111442</v>
      </c>
      <c r="AH728">
        <v>0.80668239859469304</v>
      </c>
      <c r="AI728">
        <v>97.864930546056399</v>
      </c>
      <c r="AJ728">
        <v>90.719369459634805</v>
      </c>
      <c r="AK728">
        <v>0.81440677958251195</v>
      </c>
      <c r="AL728">
        <v>80.457415619093098</v>
      </c>
      <c r="AM728">
        <v>90.921819822955797</v>
      </c>
      <c r="AN728">
        <v>0.99999997100849403</v>
      </c>
    </row>
    <row r="729" spans="1:40" x14ac:dyDescent="0.25">
      <c r="A729" t="str">
        <f>"20190303161855427"</f>
        <v>20190303161855427</v>
      </c>
      <c r="B729" t="str">
        <f>"1551601135423890"</f>
        <v>1551601135423890</v>
      </c>
      <c r="C729" t="s">
        <v>40</v>
      </c>
      <c r="D729">
        <v>5.2838649999999996</v>
      </c>
      <c r="E729">
        <v>0.49389440000000001</v>
      </c>
      <c r="F729" t="s">
        <v>41</v>
      </c>
      <c r="G729">
        <v>-342.46859999999998</v>
      </c>
      <c r="H729" s="1">
        <v>-3.9536090000000002E-6</v>
      </c>
      <c r="I729">
        <v>367.28809999999999</v>
      </c>
      <c r="J729">
        <v>-354.68849999999998</v>
      </c>
      <c r="K729">
        <v>1.121213</v>
      </c>
      <c r="L729">
        <v>366.98829999999998</v>
      </c>
      <c r="M729">
        <v>0.99992599999999998</v>
      </c>
      <c r="N729">
        <v>-1.1966330000000001E-2</v>
      </c>
      <c r="O729">
        <v>2.1884180000000001E-3</v>
      </c>
      <c r="P729">
        <v>0.98785259999999997</v>
      </c>
      <c r="Q729">
        <v>0.1543204</v>
      </c>
      <c r="R729">
        <v>1.8231310000000001E-2</v>
      </c>
      <c r="S729">
        <v>3.0788570000000002</v>
      </c>
      <c r="T729">
        <v>-0.27915410000000002</v>
      </c>
      <c r="U729">
        <v>7.4707029999999994E-2</v>
      </c>
      <c r="V729">
        <v>-1.6073279999999999E-2</v>
      </c>
      <c r="W729">
        <v>0.16613049999999999</v>
      </c>
      <c r="X729">
        <v>0.98597279999999998</v>
      </c>
      <c r="Y729">
        <v>-2.197414E-2</v>
      </c>
      <c r="Z729">
        <v>9.5395050000000002E-4</v>
      </c>
      <c r="AA729">
        <v>0.99975809999999998</v>
      </c>
      <c r="AB729">
        <v>29</v>
      </c>
      <c r="AC729">
        <v>12.2198999999999</v>
      </c>
      <c r="AD729">
        <v>-1.121216953609</v>
      </c>
      <c r="AE729">
        <v>0.29980000000000401</v>
      </c>
      <c r="AF729">
        <v>-0.27077690497995899</v>
      </c>
      <c r="AG729">
        <v>-1.121216953609</v>
      </c>
      <c r="AH729">
        <v>12.118565909783401</v>
      </c>
      <c r="AI729">
        <v>95.284679642942606</v>
      </c>
      <c r="AJ729">
        <v>91.280002342446494</v>
      </c>
      <c r="AK729">
        <v>12.1733350935188</v>
      </c>
      <c r="AL729">
        <v>80.437086466598004</v>
      </c>
      <c r="AM729">
        <v>90.933950246584999</v>
      </c>
      <c r="AN729">
        <v>1.0000000278500201</v>
      </c>
    </row>
    <row r="730" spans="1:40" x14ac:dyDescent="0.25">
      <c r="A730" t="str">
        <f>"20190303161855439"</f>
        <v>20190303161855439</v>
      </c>
      <c r="B730" t="str">
        <f>"1551601135433650"</f>
        <v>1551601135433650</v>
      </c>
      <c r="C730" t="s">
        <v>40</v>
      </c>
      <c r="D730">
        <v>5.213241</v>
      </c>
      <c r="E730">
        <v>0.49297629999999998</v>
      </c>
      <c r="F730" t="s">
        <v>41</v>
      </c>
      <c r="G730">
        <v>-338.04629999999997</v>
      </c>
      <c r="H730" s="1">
        <v>-1.19595E-6</v>
      </c>
      <c r="I730">
        <v>367.56799999999998</v>
      </c>
      <c r="J730">
        <v>-354.53280000000001</v>
      </c>
      <c r="K730">
        <v>1.121218</v>
      </c>
      <c r="L730">
        <v>366.98869999999999</v>
      </c>
      <c r="M730">
        <v>0.99992610000000004</v>
      </c>
      <c r="N730">
        <v>-1.1966569999999999E-2</v>
      </c>
      <c r="O730">
        <v>2.2047479999999999E-3</v>
      </c>
      <c r="P730">
        <v>0.98778940000000004</v>
      </c>
      <c r="Q730">
        <v>0.1547075</v>
      </c>
      <c r="R730">
        <v>1.839528E-2</v>
      </c>
      <c r="S730">
        <v>3.0671689999999998</v>
      </c>
      <c r="T730">
        <v>-0.20663909999999999</v>
      </c>
      <c r="U730">
        <v>0.10684200000000001</v>
      </c>
      <c r="V730">
        <v>-1.622171E-2</v>
      </c>
      <c r="W730">
        <v>0.1665169</v>
      </c>
      <c r="X730">
        <v>0.98590520000000004</v>
      </c>
      <c r="Y730">
        <v>-3.252592E-2</v>
      </c>
      <c r="Z730">
        <v>1.167052E-3</v>
      </c>
      <c r="AA730">
        <v>0.99947019999999998</v>
      </c>
      <c r="AB730">
        <v>29</v>
      </c>
      <c r="AC730">
        <v>16.486499999999999</v>
      </c>
      <c r="AD730">
        <v>-1.12121919595</v>
      </c>
      <c r="AE730">
        <v>0.579300000000046</v>
      </c>
      <c r="AF730">
        <v>-0.54045084198760596</v>
      </c>
      <c r="AG730">
        <v>-1.12121919595</v>
      </c>
      <c r="AH730">
        <v>16.411923521294899</v>
      </c>
      <c r="AI730">
        <v>93.906112612455601</v>
      </c>
      <c r="AJ730">
        <v>91.886090097921894</v>
      </c>
      <c r="AK730">
        <v>16.459053838748002</v>
      </c>
      <c r="AL730">
        <v>80.414634794153002</v>
      </c>
      <c r="AM730">
        <v>90.942637953771595</v>
      </c>
      <c r="AN730">
        <v>1.0000000426239799</v>
      </c>
    </row>
    <row r="731" spans="1:40" x14ac:dyDescent="0.25">
      <c r="A731" t="str">
        <f>"20190303161855451"</f>
        <v>20190303161855451</v>
      </c>
      <c r="B731" t="str">
        <f>"1551601135443410"</f>
        <v>1551601135443410</v>
      </c>
      <c r="C731" t="s">
        <v>40</v>
      </c>
      <c r="D731">
        <v>5.219951</v>
      </c>
      <c r="E731">
        <v>0.4923189</v>
      </c>
      <c r="F731" t="s">
        <v>41</v>
      </c>
      <c r="G731">
        <v>-336.3372</v>
      </c>
      <c r="H731" s="1">
        <v>-1.899417E-6</v>
      </c>
      <c r="I731">
        <v>367.66719999999998</v>
      </c>
      <c r="J731">
        <v>-354.37810000000002</v>
      </c>
      <c r="K731">
        <v>1.1212200000000001</v>
      </c>
      <c r="L731">
        <v>366.98910000000001</v>
      </c>
      <c r="M731">
        <v>0.99992590000000003</v>
      </c>
      <c r="N731">
        <v>-1.19668E-2</v>
      </c>
      <c r="O731">
        <v>2.2214349999999999E-3</v>
      </c>
      <c r="P731">
        <v>0.98765860000000005</v>
      </c>
      <c r="Q731">
        <v>0.15549939999999901</v>
      </c>
      <c r="R731">
        <v>1.8730119999999999E-2</v>
      </c>
      <c r="S731">
        <v>3.0645449999999999</v>
      </c>
      <c r="T731">
        <v>-0.1888368</v>
      </c>
      <c r="U731">
        <v>0.1142883</v>
      </c>
      <c r="V731">
        <v>-1.6540079999999999E-2</v>
      </c>
      <c r="W731">
        <v>0.16730729999999999</v>
      </c>
      <c r="X731">
        <v>0.98576609999999998</v>
      </c>
      <c r="Y731">
        <v>-3.497128E-2</v>
      </c>
      <c r="Z731">
        <v>1.175482E-3</v>
      </c>
      <c r="AA731">
        <v>0.99938760000000004</v>
      </c>
      <c r="AB731">
        <v>29</v>
      </c>
      <c r="AC731">
        <v>18.040900000000001</v>
      </c>
      <c r="AD731">
        <v>-1.121221899417</v>
      </c>
      <c r="AE731">
        <v>0.67809999999997195</v>
      </c>
      <c r="AF731">
        <v>-0.63556736314287499</v>
      </c>
      <c r="AG731">
        <v>-1.121221899417</v>
      </c>
      <c r="AH731">
        <v>17.973039294608501</v>
      </c>
      <c r="AI731">
        <v>93.5674638121817</v>
      </c>
      <c r="AJ731">
        <v>92.025264580385794</v>
      </c>
      <c r="AK731">
        <v>18.019190489763002</v>
      </c>
      <c r="AL731">
        <v>80.368704005916499</v>
      </c>
      <c r="AM731">
        <v>90.961270486084601</v>
      </c>
      <c r="AN731">
        <v>1.0000000553944499</v>
      </c>
    </row>
    <row r="732" spans="1:40" x14ac:dyDescent="0.25">
      <c r="A732" t="str">
        <f>"20190303161855462"</f>
        <v>20190303161855462</v>
      </c>
      <c r="B732" t="str">
        <f>"1551601135453170"</f>
        <v>1551601135453170</v>
      </c>
      <c r="C732" t="s">
        <v>40</v>
      </c>
      <c r="D732">
        <v>5.2755159999999997</v>
      </c>
      <c r="E732">
        <v>0.49188460000000001</v>
      </c>
      <c r="F732" t="s">
        <v>41</v>
      </c>
      <c r="G732">
        <v>-334.84059999999999</v>
      </c>
      <c r="H732" s="1">
        <v>-2.525471E-6</v>
      </c>
      <c r="I732">
        <v>367.75720000000001</v>
      </c>
      <c r="J732">
        <v>-354.22750000000002</v>
      </c>
      <c r="K732">
        <v>1.1212249999999999</v>
      </c>
      <c r="L732">
        <v>366.98939999999999</v>
      </c>
      <c r="M732">
        <v>0.99992590000000003</v>
      </c>
      <c r="N732">
        <v>-1.196702E-2</v>
      </c>
      <c r="O732">
        <v>2.2374069999999999E-3</v>
      </c>
      <c r="P732">
        <v>0.98761339999999997</v>
      </c>
      <c r="Q732">
        <v>0.15577070000000001</v>
      </c>
      <c r="R732">
        <v>1.884301E-2</v>
      </c>
      <c r="S732">
        <v>3.0628660000000001</v>
      </c>
      <c r="T732">
        <v>-0.17577219999999999</v>
      </c>
      <c r="U732">
        <v>0.1204224</v>
      </c>
      <c r="V732">
        <v>-1.6637079999999999E-2</v>
      </c>
      <c r="W732">
        <v>0.16757849999999999</v>
      </c>
      <c r="X732">
        <v>0.98571839999999999</v>
      </c>
      <c r="Y732">
        <v>-3.6979449999999997E-2</v>
      </c>
      <c r="Z732">
        <v>1.179895E-3</v>
      </c>
      <c r="AA732">
        <v>0.99931530000000002</v>
      </c>
      <c r="AB732">
        <v>29</v>
      </c>
      <c r="AC732">
        <v>19.386900000000001</v>
      </c>
      <c r="AD732">
        <v>-1.121227525471</v>
      </c>
      <c r="AE732">
        <v>0.76780000000002202</v>
      </c>
      <c r="AF732">
        <v>-0.72200739452309004</v>
      </c>
      <c r="AG732">
        <v>-1.121227525471</v>
      </c>
      <c r="AH732">
        <v>19.3240355675347</v>
      </c>
      <c r="AI732">
        <v>93.318406984277999</v>
      </c>
      <c r="AJ732">
        <v>92.139757114920101</v>
      </c>
      <c r="AK732">
        <v>19.3699973272318</v>
      </c>
      <c r="AL732">
        <v>80.352942869211404</v>
      </c>
      <c r="AM732">
        <v>90.966953611248101</v>
      </c>
      <c r="AN732">
        <v>1.0000000550958601</v>
      </c>
    </row>
    <row r="733" spans="1:40" x14ac:dyDescent="0.25">
      <c r="A733" t="str">
        <f>"20190303161855474"</f>
        <v>20190303161855474</v>
      </c>
      <c r="B733" t="str">
        <f>"1551601135463906"</f>
        <v>1551601135463906</v>
      </c>
      <c r="C733" t="s">
        <v>40</v>
      </c>
      <c r="D733">
        <v>5.2185030000000001</v>
      </c>
      <c r="E733">
        <v>0.4916509</v>
      </c>
      <c r="F733" t="s">
        <v>41</v>
      </c>
      <c r="G733">
        <v>-333.714</v>
      </c>
      <c r="H733" s="1">
        <v>-2.9974400000000001E-6</v>
      </c>
      <c r="I733">
        <v>367.8211</v>
      </c>
      <c r="J733">
        <v>-354.06979999999999</v>
      </c>
      <c r="K733">
        <v>1.1212249999999999</v>
      </c>
      <c r="L733">
        <v>366.9898</v>
      </c>
      <c r="M733">
        <v>0.99992599999999998</v>
      </c>
      <c r="N733">
        <v>-1.196725E-2</v>
      </c>
      <c r="O733">
        <v>2.2539169999999998E-3</v>
      </c>
      <c r="P733">
        <v>0.98754819999999999</v>
      </c>
      <c r="Q733">
        <v>0.1561871</v>
      </c>
      <c r="R733">
        <v>1.8822769999999999E-2</v>
      </c>
      <c r="S733">
        <v>3.0616460000000001</v>
      </c>
      <c r="T733">
        <v>-0.16734270000000001</v>
      </c>
      <c r="U733">
        <v>0.12414550000000001</v>
      </c>
      <c r="V733">
        <v>-1.6600630000000002E-2</v>
      </c>
      <c r="W733">
        <v>0.16799449999999999</v>
      </c>
      <c r="X733">
        <v>0.98564819999999997</v>
      </c>
      <c r="Y733">
        <v>-3.8195630000000001E-2</v>
      </c>
      <c r="Z733">
        <v>1.1753930000000001E-3</v>
      </c>
      <c r="AA733">
        <v>0.99926959999999998</v>
      </c>
      <c r="AB733">
        <v>29</v>
      </c>
      <c r="AC733">
        <v>20.355799999999899</v>
      </c>
      <c r="AD733">
        <v>-1.1212279974399999</v>
      </c>
      <c r="AE733">
        <v>0.83129999999999804</v>
      </c>
      <c r="AF733">
        <v>-0.783042552341083</v>
      </c>
      <c r="AG733">
        <v>-1.1212279974399999</v>
      </c>
      <c r="AH733">
        <v>20.296146696535398</v>
      </c>
      <c r="AI733">
        <v>93.159653316430195</v>
      </c>
      <c r="AJ733">
        <v>92.209423970745704</v>
      </c>
      <c r="AK733">
        <v>20.342169957708698</v>
      </c>
      <c r="AL733">
        <v>80.328765050952796</v>
      </c>
      <c r="AM733">
        <v>90.964904228555397</v>
      </c>
      <c r="AN733">
        <v>1.00000005355494</v>
      </c>
    </row>
    <row r="734" spans="1:40" x14ac:dyDescent="0.25">
      <c r="A734" t="str">
        <f>"20190303161855487"</f>
        <v>20190303161855487</v>
      </c>
      <c r="B734" t="str">
        <f>"1551601135473666"</f>
        <v>1551601135473666</v>
      </c>
      <c r="C734" t="s">
        <v>40</v>
      </c>
      <c r="D734">
        <v>5.2215699999999998</v>
      </c>
      <c r="E734">
        <v>0.49137819999999999</v>
      </c>
      <c r="F734" t="s">
        <v>41</v>
      </c>
      <c r="G734">
        <v>-332.65710000000001</v>
      </c>
      <c r="H734" s="1">
        <v>-3.442427E-6</v>
      </c>
      <c r="I734">
        <v>367.86869999999999</v>
      </c>
      <c r="J734">
        <v>-353.91230000000002</v>
      </c>
      <c r="K734">
        <v>1.1212279999999999</v>
      </c>
      <c r="L734">
        <v>366.99009999999998</v>
      </c>
      <c r="M734">
        <v>0.99992579999999998</v>
      </c>
      <c r="N734">
        <v>-1.1967480000000001E-2</v>
      </c>
      <c r="O734">
        <v>2.2706060000000001E-3</v>
      </c>
      <c r="P734">
        <v>0.98747119999999999</v>
      </c>
      <c r="Q734">
        <v>0.15661559999999999</v>
      </c>
      <c r="R734">
        <v>1.9293790000000002E-2</v>
      </c>
      <c r="S734">
        <v>3.060791</v>
      </c>
      <c r="T734">
        <v>-0.16027089999999999</v>
      </c>
      <c r="U734">
        <v>0.1256409</v>
      </c>
      <c r="V734">
        <v>-1.7055730000000002E-2</v>
      </c>
      <c r="W734">
        <v>0.16842179999999901</v>
      </c>
      <c r="X734">
        <v>0.98556750000000004</v>
      </c>
      <c r="Y734">
        <v>-3.8681819999999999E-2</v>
      </c>
      <c r="Z734">
        <v>1.151771E-3</v>
      </c>
      <c r="AA734">
        <v>0.99925090000000005</v>
      </c>
      <c r="AB734">
        <v>29</v>
      </c>
      <c r="AC734">
        <v>21.255199999999999</v>
      </c>
      <c r="AD734">
        <v>-1.121231442427</v>
      </c>
      <c r="AE734">
        <v>0.87860000000000504</v>
      </c>
      <c r="AF734">
        <v>-0.82803189226906604</v>
      </c>
      <c r="AG734">
        <v>-1.121231442427</v>
      </c>
      <c r="AH734">
        <v>21.1982533824028</v>
      </c>
      <c r="AI734">
        <v>93.025400404832098</v>
      </c>
      <c r="AJ734">
        <v>92.2369119175885</v>
      </c>
      <c r="AK734">
        <v>21.244028413336601</v>
      </c>
      <c r="AL734">
        <v>80.303928638448994</v>
      </c>
      <c r="AM734">
        <v>90.991432662175498</v>
      </c>
      <c r="AN734">
        <v>1.00000004884866</v>
      </c>
    </row>
    <row r="735" spans="1:40" x14ac:dyDescent="0.25">
      <c r="A735" t="str">
        <f>"20190303161855500"</f>
        <v>20190303161855500</v>
      </c>
      <c r="B735" t="str">
        <f>"1551601135483427"</f>
        <v>1551601135483427</v>
      </c>
      <c r="C735" t="s">
        <v>40</v>
      </c>
      <c r="D735">
        <v>5.2173930000000004</v>
      </c>
      <c r="E735">
        <v>0.49117369999999999</v>
      </c>
      <c r="F735" t="s">
        <v>41</v>
      </c>
      <c r="G735">
        <v>-331.52260000000001</v>
      </c>
      <c r="H735" s="1">
        <v>-3.9167260000000004E-6</v>
      </c>
      <c r="I735">
        <v>367.93869999999998</v>
      </c>
      <c r="J735">
        <v>-353.72590000000002</v>
      </c>
      <c r="K735">
        <v>1.121229</v>
      </c>
      <c r="L735">
        <v>366.99059999999997</v>
      </c>
      <c r="M735">
        <v>0.99992590000000003</v>
      </c>
      <c r="N735">
        <v>-1.1967770000000001E-2</v>
      </c>
      <c r="O735">
        <v>2.2906269999999999E-3</v>
      </c>
      <c r="P735">
        <v>0.98733649999999995</v>
      </c>
      <c r="Q735">
        <v>0.15747079999999999</v>
      </c>
      <c r="R735">
        <v>1.922215E-2</v>
      </c>
      <c r="S735">
        <v>3.0598450000000001</v>
      </c>
      <c r="T735">
        <v>-0.153229799999999</v>
      </c>
      <c r="U735">
        <v>0.1296387</v>
      </c>
      <c r="V735">
        <v>-1.6964389999999999E-2</v>
      </c>
      <c r="W735">
        <v>0.16927619999999999</v>
      </c>
      <c r="X735">
        <v>0.98542260000000004</v>
      </c>
      <c r="Y735">
        <v>-3.9980559999999998E-2</v>
      </c>
      <c r="Z735">
        <v>1.152337E-3</v>
      </c>
      <c r="AA735">
        <v>0.99919979999999997</v>
      </c>
      <c r="AB735">
        <v>29</v>
      </c>
      <c r="AC735">
        <v>22.203299999999999</v>
      </c>
      <c r="AD735">
        <v>-1.121232916726</v>
      </c>
      <c r="AE735">
        <v>0.94810000000001005</v>
      </c>
      <c r="AF735">
        <v>-0.89495632704295403</v>
      </c>
      <c r="AG735">
        <v>-1.121232916726</v>
      </c>
      <c r="AH735">
        <v>22.149034264388099</v>
      </c>
      <c r="AI735">
        <v>92.895606071630496</v>
      </c>
      <c r="AJ735">
        <v>92.313840915075303</v>
      </c>
      <c r="AK735">
        <v>22.195446130364299</v>
      </c>
      <c r="AL735">
        <v>80.254261148743097</v>
      </c>
      <c r="AM735">
        <v>90.986269184419299</v>
      </c>
      <c r="AN735">
        <v>0.99999996150263504</v>
      </c>
    </row>
    <row r="736" spans="1:40" x14ac:dyDescent="0.25">
      <c r="A736" t="str">
        <f>"20190303161855516"</f>
        <v>20190303161855516</v>
      </c>
      <c r="B736" t="str">
        <f>"1551601135503922"</f>
        <v>1551601135503922</v>
      </c>
      <c r="C736" t="s">
        <v>40</v>
      </c>
      <c r="D736">
        <v>5.2146470000000003</v>
      </c>
      <c r="E736">
        <v>0.49071819999999999</v>
      </c>
      <c r="F736" t="s">
        <v>41</v>
      </c>
      <c r="G736">
        <v>-330.42070000000001</v>
      </c>
      <c r="H736" s="1">
        <v>-4.3808630000000003E-6</v>
      </c>
      <c r="I736">
        <v>367.98689999999999</v>
      </c>
      <c r="J736">
        <v>-353.52019999999999</v>
      </c>
      <c r="K736">
        <v>1.1212310000000001</v>
      </c>
      <c r="L736">
        <v>366.99110000000002</v>
      </c>
      <c r="M736">
        <v>0.99992579999999998</v>
      </c>
      <c r="N736">
        <v>-1.1968049999999999E-2</v>
      </c>
      <c r="O736">
        <v>2.312499E-3</v>
      </c>
      <c r="P736">
        <v>0.98722920000000003</v>
      </c>
      <c r="Q736">
        <v>0.15814110000000001</v>
      </c>
      <c r="R736">
        <v>1.9242559999999999E-2</v>
      </c>
      <c r="S736">
        <v>3.059418</v>
      </c>
      <c r="T736">
        <v>-0.14719090000000001</v>
      </c>
      <c r="U736">
        <v>0.13079830000000001</v>
      </c>
      <c r="V736">
        <v>-1.6963349999999999E-2</v>
      </c>
      <c r="W736">
        <v>0.1699454</v>
      </c>
      <c r="X736">
        <v>0.9853075</v>
      </c>
      <c r="Y736">
        <v>-4.0346319999999998E-2</v>
      </c>
      <c r="Z736">
        <v>1.127783E-3</v>
      </c>
      <c r="AA736">
        <v>0.99918510000000005</v>
      </c>
      <c r="AB736">
        <v>29</v>
      </c>
      <c r="AC736">
        <v>23.0994999999999</v>
      </c>
      <c r="AD736">
        <v>-1.12123538086299</v>
      </c>
      <c r="AE736">
        <v>0.99579999999997404</v>
      </c>
      <c r="AF736">
        <v>-0.94016495857676896</v>
      </c>
      <c r="AG736">
        <v>-1.12123538086299</v>
      </c>
      <c r="AH736">
        <v>23.047540257202002</v>
      </c>
      <c r="AI736">
        <v>92.782864811913996</v>
      </c>
      <c r="AJ736">
        <v>92.335938433441299</v>
      </c>
      <c r="AK736">
        <v>23.0939427304214</v>
      </c>
      <c r="AL736">
        <v>80.215355801453896</v>
      </c>
      <c r="AM736">
        <v>90.986323915762398</v>
      </c>
      <c r="AN736">
        <v>1.0000000318903099</v>
      </c>
    </row>
    <row r="737" spans="1:40" x14ac:dyDescent="0.25">
      <c r="A737" t="str">
        <f>"20190303161855530"</f>
        <v>20190303161855530</v>
      </c>
      <c r="B737" t="str">
        <f>"1551601135524418"</f>
        <v>1551601135524418</v>
      </c>
      <c r="C737" t="s">
        <v>40</v>
      </c>
      <c r="D737">
        <v>5.2739180000000001</v>
      </c>
      <c r="E737">
        <v>0.49042449999999999</v>
      </c>
      <c r="F737" t="s">
        <v>41</v>
      </c>
      <c r="G737">
        <v>-328.81400000000002</v>
      </c>
      <c r="H737" s="1">
        <v>-7.9834909999999996E-7</v>
      </c>
      <c r="I737">
        <v>368.0804</v>
      </c>
      <c r="J737">
        <v>-353.35219999999998</v>
      </c>
      <c r="K737">
        <v>1.1212310000000001</v>
      </c>
      <c r="L737">
        <v>366.99149999999997</v>
      </c>
      <c r="M737">
        <v>0.99992559999999997</v>
      </c>
      <c r="N737">
        <v>-1.196828E-2</v>
      </c>
      <c r="O737">
        <v>2.330497E-3</v>
      </c>
      <c r="P737">
        <v>0.98717969999999999</v>
      </c>
      <c r="Q737">
        <v>0.15845680000000001</v>
      </c>
      <c r="R737">
        <v>1.9174509999999999E-2</v>
      </c>
      <c r="S737">
        <v>3.058411</v>
      </c>
      <c r="T737">
        <v>-0.13879820000000001</v>
      </c>
      <c r="U737">
        <v>0.13485720000000001</v>
      </c>
      <c r="V737">
        <v>-1.687785E-2</v>
      </c>
      <c r="W737">
        <v>0.170260299999999</v>
      </c>
      <c r="X737">
        <v>0.98525459999999998</v>
      </c>
      <c r="Y737">
        <v>-4.1669730000000002E-2</v>
      </c>
      <c r="Z737">
        <v>1.1164549999999999E-3</v>
      </c>
      <c r="AA737">
        <v>0.99913079999999999</v>
      </c>
      <c r="AB737">
        <v>29</v>
      </c>
      <c r="AC737">
        <v>24.5381999999999</v>
      </c>
      <c r="AD737">
        <v>-1.12123179834909</v>
      </c>
      <c r="AE737">
        <v>1.08890000000002</v>
      </c>
      <c r="AF737">
        <v>-1.0295613661395</v>
      </c>
      <c r="AG737">
        <v>-1.12123179834909</v>
      </c>
      <c r="AH737">
        <v>24.4896402892747</v>
      </c>
      <c r="AI737">
        <v>92.619084672905402</v>
      </c>
      <c r="AJ737">
        <v>92.407336492590801</v>
      </c>
      <c r="AK737">
        <v>24.536903611709899</v>
      </c>
      <c r="AL737">
        <v>80.197046500739901</v>
      </c>
      <c r="AM737">
        <v>90.981406223936801</v>
      </c>
      <c r="AN737">
        <v>1.0000000291989299</v>
      </c>
    </row>
    <row r="738" spans="1:40" x14ac:dyDescent="0.25">
      <c r="A738" t="str">
        <f>"20190303161855548"</f>
        <v>20190303161855548</v>
      </c>
      <c r="B738" t="str">
        <f>"1551601135543937"</f>
        <v>1551601135543937</v>
      </c>
      <c r="C738" t="s">
        <v>40</v>
      </c>
      <c r="D738">
        <v>4.8885940000000003</v>
      </c>
      <c r="E738">
        <v>0.49035319999999999</v>
      </c>
      <c r="F738" t="s">
        <v>41</v>
      </c>
      <c r="G738">
        <v>-327.80220000000003</v>
      </c>
      <c r="H738" s="1">
        <v>-1.187857E-6</v>
      </c>
      <c r="I738">
        <v>368.13560000000001</v>
      </c>
      <c r="J738">
        <v>-353.09519999999998</v>
      </c>
      <c r="K738">
        <v>1.121232</v>
      </c>
      <c r="L738">
        <v>366.99209999999999</v>
      </c>
      <c r="M738">
        <v>0.99992570000000003</v>
      </c>
      <c r="N738">
        <v>-1.1968639999999999E-2</v>
      </c>
      <c r="O738">
        <v>2.357793E-3</v>
      </c>
      <c r="P738">
        <v>0.98716029999999999</v>
      </c>
      <c r="Q738">
        <v>0.15859779999999901</v>
      </c>
      <c r="R738">
        <v>1.9017119999999998E-2</v>
      </c>
      <c r="S738">
        <v>3.0577999999999999</v>
      </c>
      <c r="T738">
        <v>-0.13418749999999999</v>
      </c>
      <c r="U738">
        <v>0.13693239999999901</v>
      </c>
      <c r="V738">
        <v>-1.6693739999999999E-2</v>
      </c>
      <c r="W738">
        <v>0.1704012</v>
      </c>
      <c r="X738">
        <v>0.98523340000000004</v>
      </c>
      <c r="Y738">
        <v>-4.2330189999999997E-2</v>
      </c>
      <c r="Z738">
        <v>1.1063309999999999E-3</v>
      </c>
      <c r="AA738">
        <v>0.99910310000000002</v>
      </c>
      <c r="AB738">
        <v>29</v>
      </c>
      <c r="AC738">
        <v>25.2929999999999</v>
      </c>
      <c r="AD738">
        <v>-1.1212331878569901</v>
      </c>
      <c r="AE738">
        <v>1.14350000000001</v>
      </c>
      <c r="AF738">
        <v>-1.0817354829142201</v>
      </c>
      <c r="AG738">
        <v>-1.1212331878569901</v>
      </c>
      <c r="AH738">
        <v>25.2461153235697</v>
      </c>
      <c r="AI738">
        <v>92.540627197529602</v>
      </c>
      <c r="AJ738">
        <v>92.453485983723596</v>
      </c>
      <c r="AK738">
        <v>25.294142690503101</v>
      </c>
      <c r="AL738">
        <v>80.188854023302795</v>
      </c>
      <c r="AM738">
        <v>90.9707236150456</v>
      </c>
      <c r="AN738">
        <v>1.00000005119609</v>
      </c>
    </row>
    <row r="739" spans="1:40" x14ac:dyDescent="0.25">
      <c r="A739" t="str">
        <f>"20190303161855560"</f>
        <v>20190303161855560</v>
      </c>
      <c r="B739" t="str">
        <f>"1551601135553699"</f>
        <v>1551601135553699</v>
      </c>
      <c r="C739" t="s">
        <v>40</v>
      </c>
      <c r="D739">
        <v>5.2039059999999999</v>
      </c>
      <c r="E739">
        <v>0.49026700000000001</v>
      </c>
      <c r="F739" t="s">
        <v>41</v>
      </c>
      <c r="G739">
        <v>-326.86739999999998</v>
      </c>
      <c r="H739" s="1">
        <v>-1.5829600000000001E-6</v>
      </c>
      <c r="I739">
        <v>368.16879999999998</v>
      </c>
      <c r="J739">
        <v>-352.93869999999998</v>
      </c>
      <c r="K739">
        <v>1.1212310000000001</v>
      </c>
      <c r="L739">
        <v>366.99250000000001</v>
      </c>
      <c r="M739">
        <v>0.99992559999999997</v>
      </c>
      <c r="N739">
        <v>-1.196886E-2</v>
      </c>
      <c r="O739">
        <v>2.3743039999999998E-3</v>
      </c>
      <c r="P739">
        <v>0.98712330000000004</v>
      </c>
      <c r="Q739">
        <v>0.1588215</v>
      </c>
      <c r="R739">
        <v>1.906207E-2</v>
      </c>
      <c r="S739">
        <v>3.057404</v>
      </c>
      <c r="T739">
        <v>-0.13070319999999999</v>
      </c>
      <c r="U739">
        <v>0.13717650000000001</v>
      </c>
      <c r="V739">
        <v>-1.672268E-2</v>
      </c>
      <c r="W739">
        <v>0.1706249</v>
      </c>
      <c r="X739">
        <v>0.98519409999999996</v>
      </c>
      <c r="Y739">
        <v>-4.2401319999999999E-2</v>
      </c>
      <c r="Z739">
        <v>1.0864799999999999E-3</v>
      </c>
      <c r="AA739">
        <v>0.99910010000000005</v>
      </c>
      <c r="AB739">
        <v>29</v>
      </c>
      <c r="AC739">
        <v>26.071300000000001</v>
      </c>
      <c r="AD739">
        <v>-1.1212325829599901</v>
      </c>
      <c r="AE739">
        <v>1.1762999999999599</v>
      </c>
      <c r="AF739">
        <v>-1.1123379158931299</v>
      </c>
      <c r="AG739">
        <v>-1.1212325829599901</v>
      </c>
      <c r="AH739">
        <v>26.025981038585499</v>
      </c>
      <c r="AI739">
        <v>92.464602935277497</v>
      </c>
      <c r="AJ739">
        <v>92.447304656379302</v>
      </c>
      <c r="AK739">
        <v>26.073859460483401</v>
      </c>
      <c r="AL739">
        <v>80.175845559087605</v>
      </c>
      <c r="AM739">
        <v>90.972444905523005</v>
      </c>
      <c r="AN739">
        <v>0.99999995960059995</v>
      </c>
    </row>
    <row r="740" spans="1:40" x14ac:dyDescent="0.25">
      <c r="A740" t="str">
        <f>"20190303161855571"</f>
        <v>20190303161855571</v>
      </c>
      <c r="B740" t="str">
        <f>"1551601135563458"</f>
        <v>1551601135563458</v>
      </c>
      <c r="C740" t="s">
        <v>40</v>
      </c>
      <c r="D740">
        <v>5.1448839999999896</v>
      </c>
      <c r="E740">
        <v>0.49019479999999999</v>
      </c>
      <c r="F740" t="s">
        <v>41</v>
      </c>
      <c r="G740">
        <v>-326.31299999999999</v>
      </c>
      <c r="H740" s="1">
        <v>-1.816589E-6</v>
      </c>
      <c r="I740">
        <v>368.1927</v>
      </c>
      <c r="J740">
        <v>-352.79570000000001</v>
      </c>
      <c r="K740">
        <v>1.121229</v>
      </c>
      <c r="L740">
        <v>366.99290000000002</v>
      </c>
      <c r="M740">
        <v>0.99992539999999996</v>
      </c>
      <c r="N740">
        <v>-1.196906E-2</v>
      </c>
      <c r="O740">
        <v>2.3896199999999999E-3</v>
      </c>
      <c r="P740">
        <v>0.98713030000000002</v>
      </c>
      <c r="Q740">
        <v>0.1587993</v>
      </c>
      <c r="R740">
        <v>1.8877890000000001E-2</v>
      </c>
      <c r="S740">
        <v>3.057159</v>
      </c>
      <c r="T740">
        <v>-0.1287394</v>
      </c>
      <c r="U740">
        <v>0.13781740000000001</v>
      </c>
      <c r="V740">
        <v>-1.652356E-2</v>
      </c>
      <c r="W740">
        <v>0.170602799999999</v>
      </c>
      <c r="X740">
        <v>0.9852014</v>
      </c>
      <c r="Y740">
        <v>-4.2599640000000001E-2</v>
      </c>
      <c r="Z740">
        <v>1.0793700000000001E-3</v>
      </c>
      <c r="AA740">
        <v>0.99909159999999997</v>
      </c>
      <c r="AB740">
        <v>29</v>
      </c>
      <c r="AC740">
        <v>26.482700000000001</v>
      </c>
      <c r="AD740">
        <v>-1.1212308165889999</v>
      </c>
      <c r="AE740">
        <v>1.19979999999998</v>
      </c>
      <c r="AF740">
        <v>-1.1344790257627899</v>
      </c>
      <c r="AG740">
        <v>-1.1212308165889999</v>
      </c>
      <c r="AH740">
        <v>26.438197558601399</v>
      </c>
      <c r="AI740">
        <v>92.426200322356607</v>
      </c>
      <c r="AJ740">
        <v>92.4570891492816</v>
      </c>
      <c r="AK740">
        <v>26.486269864811099</v>
      </c>
      <c r="AL740">
        <v>80.177131742665594</v>
      </c>
      <c r="AM740">
        <v>90.960860892332605</v>
      </c>
      <c r="AN740">
        <v>1.0000000709824299</v>
      </c>
    </row>
    <row r="741" spans="1:40" x14ac:dyDescent="0.25">
      <c r="A741" t="str">
        <f>"20190303161855582"</f>
        <v>20190303161855582</v>
      </c>
      <c r="B741" t="str">
        <f>"1551601135573219"</f>
        <v>1551601135573219</v>
      </c>
      <c r="C741" t="s">
        <v>40</v>
      </c>
      <c r="D741">
        <v>5.1426220000000002</v>
      </c>
      <c r="E741">
        <v>0.49013960000000001</v>
      </c>
      <c r="F741" t="s">
        <v>41</v>
      </c>
      <c r="G741">
        <v>-326.0027</v>
      </c>
      <c r="H741" s="1">
        <v>-1.9479480000000001E-6</v>
      </c>
      <c r="I741">
        <v>368.20249999999999</v>
      </c>
      <c r="J741">
        <v>-352.63900000000001</v>
      </c>
      <c r="K741">
        <v>1.1212279999999999</v>
      </c>
      <c r="L741">
        <v>366.99329999999998</v>
      </c>
      <c r="M741">
        <v>0.99992550000000002</v>
      </c>
      <c r="N741">
        <v>-1.1969280000000001E-2</v>
      </c>
      <c r="O741">
        <v>2.406484E-3</v>
      </c>
      <c r="P741">
        <v>0.98710260000000005</v>
      </c>
      <c r="Q741">
        <v>0.1589689</v>
      </c>
      <c r="R741">
        <v>1.89059E-2</v>
      </c>
      <c r="S741">
        <v>3.0570680000000001</v>
      </c>
      <c r="T741">
        <v>-0.127931399999999</v>
      </c>
      <c r="U741">
        <v>0.13803099999999999</v>
      </c>
      <c r="V741">
        <v>-1.653435E-2</v>
      </c>
      <c r="W741">
        <v>0.17077239999999999</v>
      </c>
      <c r="X741">
        <v>0.98517169999999998</v>
      </c>
      <c r="Y741">
        <v>-4.2654280000000003E-2</v>
      </c>
      <c r="Z741">
        <v>1.075374E-3</v>
      </c>
      <c r="AA741">
        <v>0.99908929999999996</v>
      </c>
      <c r="AB741">
        <v>29</v>
      </c>
      <c r="AC741">
        <v>26.636299999999999</v>
      </c>
      <c r="AD741">
        <v>-1.1212299479479999</v>
      </c>
      <c r="AE741">
        <v>1.2092000000000001</v>
      </c>
      <c r="AF741">
        <v>-1.14307082548655</v>
      </c>
      <c r="AG741">
        <v>-1.1212299479479999</v>
      </c>
      <c r="AH741">
        <v>26.592111076351099</v>
      </c>
      <c r="AI741">
        <v>92.412164673137298</v>
      </c>
      <c r="AJ741">
        <v>92.461363085609193</v>
      </c>
      <c r="AK741">
        <v>26.6402728778301</v>
      </c>
      <c r="AL741">
        <v>80.167268333459404</v>
      </c>
      <c r="AM741">
        <v>90.9615172040224</v>
      </c>
      <c r="AN741">
        <v>0.99999993790628405</v>
      </c>
    </row>
    <row r="742" spans="1:40" x14ac:dyDescent="0.25">
      <c r="A742" t="str">
        <f>"20190303161855594"</f>
        <v>20190303161855594</v>
      </c>
      <c r="B742" t="str">
        <f>"1551601135583954"</f>
        <v>1551601135583954</v>
      </c>
      <c r="C742" t="s">
        <v>40</v>
      </c>
      <c r="D742">
        <v>5.2021389999999998</v>
      </c>
      <c r="E742">
        <v>0.4900408</v>
      </c>
      <c r="F742" t="s">
        <v>41</v>
      </c>
      <c r="G742">
        <v>-325.50990000000002</v>
      </c>
      <c r="H742" s="1">
        <v>-2.155764E-6</v>
      </c>
      <c r="I742">
        <v>368.22280000000001</v>
      </c>
      <c r="J742">
        <v>-352.49270000000001</v>
      </c>
      <c r="K742">
        <v>1.121227</v>
      </c>
      <c r="L742">
        <v>366.99369999999999</v>
      </c>
      <c r="M742">
        <v>0.99992539999999996</v>
      </c>
      <c r="N742">
        <v>-1.1969489999999999E-2</v>
      </c>
      <c r="O742">
        <v>2.4222750000000002E-3</v>
      </c>
      <c r="P742">
        <v>0.98710050000000005</v>
      </c>
      <c r="Q742">
        <v>0.1590009</v>
      </c>
      <c r="R742">
        <v>1.8750699999999999E-2</v>
      </c>
      <c r="S742">
        <v>3.0568849999999999</v>
      </c>
      <c r="T742">
        <v>-0.1263388</v>
      </c>
      <c r="U742">
        <v>0.138549799999999</v>
      </c>
      <c r="V742">
        <v>-1.636373E-2</v>
      </c>
      <c r="W742">
        <v>0.1708044</v>
      </c>
      <c r="X742">
        <v>0.98516910000000002</v>
      </c>
      <c r="Y742">
        <v>-4.2811259999999997E-2</v>
      </c>
      <c r="Z742">
        <v>1.0693E-3</v>
      </c>
      <c r="AA742">
        <v>0.99908260000000004</v>
      </c>
      <c r="AB742">
        <v>29</v>
      </c>
      <c r="AC742">
        <v>26.982800000000001</v>
      </c>
      <c r="AD742">
        <v>-1.121229155764</v>
      </c>
      <c r="AE742">
        <v>1.2291000000000101</v>
      </c>
      <c r="AF742">
        <v>-1.16173015142284</v>
      </c>
      <c r="AG742">
        <v>-1.121229155764</v>
      </c>
      <c r="AH742">
        <v>26.939278754979298</v>
      </c>
      <c r="AI742">
        <v>92.381099156846801</v>
      </c>
      <c r="AJ742">
        <v>92.469294730292901</v>
      </c>
      <c r="AK742">
        <v>26.987617745976401</v>
      </c>
      <c r="AL742">
        <v>80.165408494879401</v>
      </c>
      <c r="AM742">
        <v>90.951599534178598</v>
      </c>
      <c r="AN742">
        <v>1.0000000351568401</v>
      </c>
    </row>
    <row r="743" spans="1:40" x14ac:dyDescent="0.25">
      <c r="A743" t="str">
        <f>"20190303161855607"</f>
        <v>20190303161855607</v>
      </c>
      <c r="B743" t="str">
        <f>"1551601135593714"</f>
        <v>1551601135593714</v>
      </c>
      <c r="C743" t="s">
        <v>40</v>
      </c>
      <c r="D743">
        <v>5.1452390000000001</v>
      </c>
      <c r="E743">
        <v>0.4899733</v>
      </c>
      <c r="F743" t="s">
        <v>41</v>
      </c>
      <c r="G743">
        <v>-325.19760000000002</v>
      </c>
      <c r="H743" s="1">
        <v>-2.287972E-6</v>
      </c>
      <c r="I743">
        <v>368.23270000000002</v>
      </c>
      <c r="J743">
        <v>-352.33609999999999</v>
      </c>
      <c r="K743">
        <v>1.1212230000000001</v>
      </c>
      <c r="L743">
        <v>366.99400000000003</v>
      </c>
      <c r="M743">
        <v>0.99992550000000002</v>
      </c>
      <c r="N743">
        <v>-1.196971E-2</v>
      </c>
      <c r="O743">
        <v>2.43896E-3</v>
      </c>
      <c r="P743">
        <v>0.98710240000000005</v>
      </c>
      <c r="Q743">
        <v>0.15897610000000001</v>
      </c>
      <c r="R743">
        <v>1.8852979999999998E-2</v>
      </c>
      <c r="S743">
        <v>3.0567630000000001</v>
      </c>
      <c r="T743">
        <v>-0.1255656</v>
      </c>
      <c r="U743">
        <v>0.13876340000000001</v>
      </c>
      <c r="V743">
        <v>-1.6449289999999998E-2</v>
      </c>
      <c r="W743">
        <v>0.1707804</v>
      </c>
      <c r="X743">
        <v>0.98517180000000004</v>
      </c>
      <c r="Y743">
        <v>-4.2866500000000002E-2</v>
      </c>
      <c r="Z743">
        <v>1.065521E-3</v>
      </c>
      <c r="AA743">
        <v>0.99908019999999997</v>
      </c>
      <c r="AB743">
        <v>29</v>
      </c>
      <c r="AC743">
        <v>27.138499999999901</v>
      </c>
      <c r="AD743">
        <v>-1.1212252879719999</v>
      </c>
      <c r="AE743">
        <v>1.2386999999999899</v>
      </c>
      <c r="AF743">
        <v>-1.17050805064838</v>
      </c>
      <c r="AG743">
        <v>-1.1212252879719999</v>
      </c>
      <c r="AH743">
        <v>27.0952871947289</v>
      </c>
      <c r="AI743">
        <v>92.367389113002702</v>
      </c>
      <c r="AJ743">
        <v>92.473622001221699</v>
      </c>
      <c r="AK743">
        <v>27.143725304531401</v>
      </c>
      <c r="AL743">
        <v>80.166803748376793</v>
      </c>
      <c r="AM743">
        <v>90.956571559211994</v>
      </c>
      <c r="AN743">
        <v>0.99999999984045196</v>
      </c>
    </row>
    <row r="744" spans="1:40" x14ac:dyDescent="0.25">
      <c r="A744" t="str">
        <f>"20190303161855618"</f>
        <v>20190303161855618</v>
      </c>
      <c r="B744" t="str">
        <f>"1551601135603474"</f>
        <v>1551601135603474</v>
      </c>
      <c r="C744" t="s">
        <v>40</v>
      </c>
      <c r="D744">
        <v>5.1428469999999997</v>
      </c>
      <c r="E744">
        <v>0.48996420000000002</v>
      </c>
      <c r="F744" t="s">
        <v>41</v>
      </c>
      <c r="G744">
        <v>-324.8279</v>
      </c>
      <c r="H744" s="1">
        <v>-2.443139E-6</v>
      </c>
      <c r="I744">
        <v>368.25209999999998</v>
      </c>
      <c r="J744">
        <v>-352.17410000000001</v>
      </c>
      <c r="K744">
        <v>1.1212219999999999</v>
      </c>
      <c r="L744">
        <v>366.99439999999998</v>
      </c>
      <c r="M744">
        <v>0.99992539999999996</v>
      </c>
      <c r="N744">
        <v>-1.196992E-2</v>
      </c>
      <c r="O744">
        <v>2.4561269999999998E-3</v>
      </c>
      <c r="P744">
        <v>0.98711199999999999</v>
      </c>
      <c r="Q744">
        <v>0.15893860000000001</v>
      </c>
      <c r="R744">
        <v>1.8664960000000001E-2</v>
      </c>
      <c r="S744">
        <v>3.0565799999999999</v>
      </c>
      <c r="T744">
        <v>-0.124585</v>
      </c>
      <c r="U744">
        <v>0.13980100000000001</v>
      </c>
      <c r="V744">
        <v>-1.6244109999999999E-2</v>
      </c>
      <c r="W744">
        <v>0.17074329999999999</v>
      </c>
      <c r="X744">
        <v>0.98518159999999999</v>
      </c>
      <c r="Y744">
        <v>-4.3190779999999998E-2</v>
      </c>
      <c r="Z744">
        <v>1.0675350000000001E-3</v>
      </c>
      <c r="AA744">
        <v>0.99906629999999996</v>
      </c>
      <c r="AB744">
        <v>29</v>
      </c>
      <c r="AC744">
        <v>27.3462</v>
      </c>
      <c r="AD744">
        <v>-1.1212244431389999</v>
      </c>
      <c r="AE744">
        <v>1.25769999999999</v>
      </c>
      <c r="AF744">
        <v>-1.18853184498521</v>
      </c>
      <c r="AG744">
        <v>-1.1212244431389999</v>
      </c>
      <c r="AH744">
        <v>27.303404181457399</v>
      </c>
      <c r="AI744">
        <v>92.349328891667597</v>
      </c>
      <c r="AJ744">
        <v>92.492542463519499</v>
      </c>
      <c r="AK744">
        <v>27.352250951145901</v>
      </c>
      <c r="AL744">
        <v>80.168960765361504</v>
      </c>
      <c r="AM744">
        <v>90.944632557330095</v>
      </c>
      <c r="AN744">
        <v>0.99999996529156998</v>
      </c>
    </row>
    <row r="745" spans="1:40" x14ac:dyDescent="0.25">
      <c r="A745" t="str">
        <f>"20190303161855628"</f>
        <v>20190303161855628</v>
      </c>
      <c r="B745" t="str">
        <f>"1551601135623970"</f>
        <v>1551601135623970</v>
      </c>
      <c r="C745" t="s">
        <v>40</v>
      </c>
      <c r="D745">
        <v>5.0860190000000003</v>
      </c>
      <c r="E745">
        <v>0.48983710000000003</v>
      </c>
      <c r="F745" t="s">
        <v>41</v>
      </c>
      <c r="G745">
        <v>-324.50299999999999</v>
      </c>
      <c r="H745" s="1">
        <v>-2.5821670000000002E-6</v>
      </c>
      <c r="I745">
        <v>368.25420000000003</v>
      </c>
      <c r="J745">
        <v>-352.03769999999997</v>
      </c>
      <c r="K745">
        <v>1.1212219999999999</v>
      </c>
      <c r="L745">
        <v>366.9948</v>
      </c>
      <c r="M745">
        <v>0.99992539999999996</v>
      </c>
      <c r="N745">
        <v>-1.1970110000000001E-2</v>
      </c>
      <c r="O745">
        <v>2.4704309999999999E-3</v>
      </c>
      <c r="P745">
        <v>0.98708870000000004</v>
      </c>
      <c r="Q745">
        <v>0.1590821</v>
      </c>
      <c r="R745">
        <v>1.8683519999999999E-2</v>
      </c>
      <c r="S745">
        <v>3.0564879999999999</v>
      </c>
      <c r="T745">
        <v>-0.1238475</v>
      </c>
      <c r="U745">
        <v>0.13916020000000001</v>
      </c>
      <c r="V745">
        <v>-1.6249340000000001E-2</v>
      </c>
      <c r="W745">
        <v>0.1708866</v>
      </c>
      <c r="X745">
        <v>0.9851567</v>
      </c>
      <c r="Y745">
        <v>-4.2969519999999997E-2</v>
      </c>
      <c r="Z745">
        <v>1.0567420000000001E-3</v>
      </c>
      <c r="AA745">
        <v>0.99907579999999996</v>
      </c>
      <c r="AB745">
        <v>29</v>
      </c>
      <c r="AC745">
        <v>27.534699999999901</v>
      </c>
      <c r="AD745">
        <v>-1.1212245821669999</v>
      </c>
      <c r="AE745">
        <v>1.2594000000000201</v>
      </c>
      <c r="AF745">
        <v>-1.1894006221003</v>
      </c>
      <c r="AG745">
        <v>-1.1212245821669999</v>
      </c>
      <c r="AH745">
        <v>27.492236291370901</v>
      </c>
      <c r="AI745">
        <v>92.333237560078999</v>
      </c>
      <c r="AJ745">
        <v>92.477250866538895</v>
      </c>
      <c r="AK745">
        <v>27.5407856588021</v>
      </c>
      <c r="AL745">
        <v>80.160628129892601</v>
      </c>
      <c r="AM745">
        <v>90.944960517886699</v>
      </c>
      <c r="AN745">
        <v>0.99999999733244205</v>
      </c>
    </row>
    <row r="746" spans="1:40" x14ac:dyDescent="0.25">
      <c r="A746" t="str">
        <f>"20190303161855641"</f>
        <v>20190303161855641</v>
      </c>
      <c r="B746" t="str">
        <f>"1551601135633731"</f>
        <v>1551601135633731</v>
      </c>
      <c r="C746" t="s">
        <v>40</v>
      </c>
      <c r="D746">
        <v>4.8939789999999999</v>
      </c>
      <c r="E746">
        <v>0.48977929999999997</v>
      </c>
      <c r="F746" t="s">
        <v>41</v>
      </c>
      <c r="G746">
        <v>-323.94540000000001</v>
      </c>
      <c r="H746" s="1">
        <v>-2.8159119999999999E-6</v>
      </c>
      <c r="I746">
        <v>368.28480000000002</v>
      </c>
      <c r="J746">
        <v>-351.8741</v>
      </c>
      <c r="K746">
        <v>1.121221</v>
      </c>
      <c r="L746">
        <v>366.99520000000001</v>
      </c>
      <c r="M746">
        <v>0.99992530000000002</v>
      </c>
      <c r="N746">
        <v>-1.197032E-2</v>
      </c>
      <c r="O746">
        <v>2.4879530000000002E-3</v>
      </c>
      <c r="P746">
        <v>0.98709550000000001</v>
      </c>
      <c r="Q746">
        <v>0.15904550000000001</v>
      </c>
      <c r="R746">
        <v>1.8637859999999999E-2</v>
      </c>
      <c r="S746">
        <v>3.0561829999999999</v>
      </c>
      <c r="T746">
        <v>-0.1219789</v>
      </c>
      <c r="U746">
        <v>0.14035029999999901</v>
      </c>
      <c r="V746">
        <v>-1.6186490000000001E-2</v>
      </c>
      <c r="W746">
        <v>0.17085040000000001</v>
      </c>
      <c r="X746">
        <v>0.98516400000000004</v>
      </c>
      <c r="Y746">
        <v>-4.3345580000000002E-2</v>
      </c>
      <c r="Z746">
        <v>1.0544720000000001E-3</v>
      </c>
      <c r="AA746">
        <v>0.99905960000000005</v>
      </c>
      <c r="AB746">
        <v>29</v>
      </c>
      <c r="AC746">
        <v>27.9286999999999</v>
      </c>
      <c r="AD746">
        <v>-1.121223815912</v>
      </c>
      <c r="AE746">
        <v>1.2896000000000001</v>
      </c>
      <c r="AF746">
        <v>-1.2181466340777201</v>
      </c>
      <c r="AG746">
        <v>-1.121223815912</v>
      </c>
      <c r="AH746">
        <v>27.886972539549902</v>
      </c>
      <c r="AI746">
        <v>92.300203347822702</v>
      </c>
      <c r="AJ746">
        <v>92.501179372071306</v>
      </c>
      <c r="AK746">
        <v>27.936074554043799</v>
      </c>
      <c r="AL746">
        <v>80.162733064726396</v>
      </c>
      <c r="AM746">
        <v>90.941299238062797</v>
      </c>
      <c r="AN746">
        <v>0.99999998426734005</v>
      </c>
    </row>
    <row r="747" spans="1:40" x14ac:dyDescent="0.25">
      <c r="A747" t="str">
        <f>"20190303161855653"</f>
        <v>20190303161855653</v>
      </c>
      <c r="B747" t="str">
        <f>"1551601135643491"</f>
        <v>1551601135643491</v>
      </c>
      <c r="C747" t="s">
        <v>40</v>
      </c>
      <c r="D747">
        <v>4.8846160000000003</v>
      </c>
      <c r="E747">
        <v>0.48975990000000003</v>
      </c>
      <c r="F747" t="s">
        <v>41</v>
      </c>
      <c r="G747">
        <v>-323.71879999999999</v>
      </c>
      <c r="H747" s="1">
        <v>-2.9118050000000002E-6</v>
      </c>
      <c r="I747">
        <v>368.29239999999999</v>
      </c>
      <c r="J747">
        <v>-351.71749999999997</v>
      </c>
      <c r="K747">
        <v>1.1212230000000001</v>
      </c>
      <c r="L747">
        <v>366.99560000000002</v>
      </c>
      <c r="M747">
        <v>0.99992530000000002</v>
      </c>
      <c r="N747">
        <v>-1.197054E-2</v>
      </c>
      <c r="O747">
        <v>2.5044619999999998E-3</v>
      </c>
      <c r="P747">
        <v>0.9870506</v>
      </c>
      <c r="Q747">
        <v>0.15936139999999999</v>
      </c>
      <c r="R747">
        <v>1.832019E-2</v>
      </c>
      <c r="S747">
        <v>3.0561829999999999</v>
      </c>
      <c r="T747">
        <v>-0.1217053</v>
      </c>
      <c r="U747">
        <v>0.14080809999999999</v>
      </c>
      <c r="V747">
        <v>-1.5852080000000001E-2</v>
      </c>
      <c r="W747">
        <v>0.1711656</v>
      </c>
      <c r="X747">
        <v>0.98511479999999996</v>
      </c>
      <c r="Y747">
        <v>-4.3478450000000002E-2</v>
      </c>
      <c r="Z747">
        <v>1.0557400000000001E-3</v>
      </c>
      <c r="AA747">
        <v>0.99905379999999999</v>
      </c>
      <c r="AB747">
        <v>29</v>
      </c>
      <c r="AC747">
        <v>27.9986999999999</v>
      </c>
      <c r="AD747">
        <v>-1.1212259118050001</v>
      </c>
      <c r="AE747">
        <v>1.29679999999996</v>
      </c>
      <c r="AF747">
        <v>-1.2247094284373901</v>
      </c>
      <c r="AG747">
        <v>-1.1212259118050001</v>
      </c>
      <c r="AH747">
        <v>27.9571226334992</v>
      </c>
      <c r="AI747">
        <v>92.294429608883704</v>
      </c>
      <c r="AJ747">
        <v>92.508335618933202</v>
      </c>
      <c r="AK747">
        <v>28.006387961926102</v>
      </c>
      <c r="AL747">
        <v>80.144404187619102</v>
      </c>
      <c r="AM747">
        <v>90.921901587536397</v>
      </c>
      <c r="AN747">
        <v>1.0000000601213599</v>
      </c>
    </row>
    <row r="748" spans="1:40" x14ac:dyDescent="0.25">
      <c r="A748" t="str">
        <f>"20190303161855664"</f>
        <v>20190303161855664</v>
      </c>
      <c r="B748" t="str">
        <f>"1551601135653250"</f>
        <v>1551601135653250</v>
      </c>
      <c r="C748" t="s">
        <v>40</v>
      </c>
      <c r="D748">
        <v>4.8638139999999996</v>
      </c>
      <c r="E748">
        <v>0.48970399999999997</v>
      </c>
      <c r="F748" t="s">
        <v>41</v>
      </c>
      <c r="G748">
        <v>-323.20269999999999</v>
      </c>
      <c r="H748" s="1">
        <v>-3.131247E-6</v>
      </c>
      <c r="I748">
        <v>368.30340000000001</v>
      </c>
      <c r="J748">
        <v>-351.56220000000002</v>
      </c>
      <c r="K748">
        <v>1.121224</v>
      </c>
      <c r="L748">
        <v>366.99599999999998</v>
      </c>
      <c r="M748">
        <v>0.99992530000000002</v>
      </c>
      <c r="N748">
        <v>-1.1970740000000001E-2</v>
      </c>
      <c r="O748">
        <v>2.520792E-3</v>
      </c>
      <c r="P748">
        <v>0.98699029999999999</v>
      </c>
      <c r="Q748">
        <v>0.15975049999999999</v>
      </c>
      <c r="R748">
        <v>1.8177579999999999E-2</v>
      </c>
      <c r="S748">
        <v>3.0561219999999998</v>
      </c>
      <c r="T748">
        <v>-0.120168899999999</v>
      </c>
      <c r="U748">
        <v>0.14016719999999999</v>
      </c>
      <c r="V748">
        <v>-1.5693639999999998E-2</v>
      </c>
      <c r="W748">
        <v>0.1715546</v>
      </c>
      <c r="X748">
        <v>0.98504959999999997</v>
      </c>
      <c r="Y748">
        <v>-4.3255189999999999E-2</v>
      </c>
      <c r="Z748">
        <v>1.039938E-3</v>
      </c>
      <c r="AA748">
        <v>0.99906349999999999</v>
      </c>
      <c r="AB748">
        <v>29</v>
      </c>
      <c r="AC748">
        <v>28.359500000000001</v>
      </c>
      <c r="AD748">
        <v>-1.1212271312469999</v>
      </c>
      <c r="AE748">
        <v>1.3074000000000201</v>
      </c>
      <c r="AF748">
        <v>-1.2339775771046699</v>
      </c>
      <c r="AG748">
        <v>-1.1212271312469999</v>
      </c>
      <c r="AH748">
        <v>28.3185346421022</v>
      </c>
      <c r="AI748">
        <v>92.265203250982196</v>
      </c>
      <c r="AJ748">
        <v>92.495079994863204</v>
      </c>
      <c r="AK748">
        <v>28.3675740100662</v>
      </c>
      <c r="AL748">
        <v>80.121780834596805</v>
      </c>
      <c r="AM748">
        <v>90.912749237480796</v>
      </c>
      <c r="AN748">
        <v>0.99999999278888396</v>
      </c>
    </row>
    <row r="749" spans="1:40" x14ac:dyDescent="0.25">
      <c r="A749" t="str">
        <f>"20190303161855676"</f>
        <v>20190303161855676</v>
      </c>
      <c r="B749" t="str">
        <f>"1551601135663988"</f>
        <v>1551601135663988</v>
      </c>
      <c r="C749" t="s">
        <v>40</v>
      </c>
      <c r="D749">
        <v>4.8032050000000002</v>
      </c>
      <c r="E749">
        <v>0.48969180000000001</v>
      </c>
      <c r="F749" t="s">
        <v>41</v>
      </c>
      <c r="G749">
        <v>-322.60309999999998</v>
      </c>
      <c r="H749" s="1">
        <v>-3.3849859999999998E-6</v>
      </c>
      <c r="I749">
        <v>368.32299999999998</v>
      </c>
      <c r="J749">
        <v>-351.40969999999999</v>
      </c>
      <c r="K749">
        <v>1.1212329999999999</v>
      </c>
      <c r="L749">
        <v>366.99639999999999</v>
      </c>
      <c r="M749">
        <v>0.99992530000000002</v>
      </c>
      <c r="N749">
        <v>-1.1970949999999999E-2</v>
      </c>
      <c r="O749">
        <v>2.5372979999999999E-3</v>
      </c>
      <c r="P749">
        <v>0.98694000000000004</v>
      </c>
      <c r="Q749">
        <v>0.16007399999999999</v>
      </c>
      <c r="R749">
        <v>1.8059289999999999E-2</v>
      </c>
      <c r="S749">
        <v>3.056152</v>
      </c>
      <c r="T749">
        <v>-0.11832670000000001</v>
      </c>
      <c r="U749">
        <v>0.14004520000000001</v>
      </c>
      <c r="V749">
        <v>-1.5558880000000001E-2</v>
      </c>
      <c r="W749">
        <v>0.17187729999999901</v>
      </c>
      <c r="X749">
        <v>0.98499550000000002</v>
      </c>
      <c r="Y749">
        <v>-4.3199609999999999E-2</v>
      </c>
      <c r="Z749">
        <v>1.026585E-3</v>
      </c>
      <c r="AA749">
        <v>0.99906589999999995</v>
      </c>
      <c r="AB749">
        <v>29</v>
      </c>
      <c r="AC749">
        <v>28.8066</v>
      </c>
      <c r="AD749">
        <v>-1.1212363849860001</v>
      </c>
      <c r="AE749">
        <v>1.32660000000004</v>
      </c>
      <c r="AF749">
        <v>-1.2516074131492301</v>
      </c>
      <c r="AG749">
        <v>-1.1212363849860001</v>
      </c>
      <c r="AH749">
        <v>28.7663848648086</v>
      </c>
      <c r="AI749">
        <v>92.229997989108497</v>
      </c>
      <c r="AJ749">
        <v>92.491332237856298</v>
      </c>
      <c r="AK749">
        <v>28.815422786035199</v>
      </c>
      <c r="AL749">
        <v>80.103012886265006</v>
      </c>
      <c r="AM749">
        <v>90.904962536820406</v>
      </c>
      <c r="AN749">
        <v>1.0000000100111901</v>
      </c>
    </row>
    <row r="750" spans="1:40" x14ac:dyDescent="0.25">
      <c r="A750" t="str">
        <f>"20190303161855688"</f>
        <v>20190303161855688</v>
      </c>
      <c r="B750" t="str">
        <f>"1551601135673746"</f>
        <v>1551601135673746</v>
      </c>
      <c r="C750" t="s">
        <v>40</v>
      </c>
      <c r="D750">
        <v>4.778543</v>
      </c>
      <c r="E750">
        <v>0.48966520000000002</v>
      </c>
      <c r="F750" t="s">
        <v>41</v>
      </c>
      <c r="G750">
        <v>-322.12110000000001</v>
      </c>
      <c r="H750" s="1">
        <v>-3.5891690000000001E-6</v>
      </c>
      <c r="I750">
        <v>368.33760000000001</v>
      </c>
      <c r="J750">
        <v>-351.26280000000003</v>
      </c>
      <c r="K750">
        <v>1.1212359999999999</v>
      </c>
      <c r="L750">
        <v>366.99680000000001</v>
      </c>
      <c r="M750">
        <v>0.99992510000000001</v>
      </c>
      <c r="N750">
        <v>-1.197116E-2</v>
      </c>
      <c r="O750">
        <v>2.55309E-3</v>
      </c>
      <c r="P750">
        <v>0.98687510000000001</v>
      </c>
      <c r="Q750">
        <v>0.160494</v>
      </c>
      <c r="R750">
        <v>1.7872799999999901E-2</v>
      </c>
      <c r="S750">
        <v>3.0561219999999998</v>
      </c>
      <c r="T750">
        <v>-0.1169955</v>
      </c>
      <c r="U750">
        <v>0.13995360000000001</v>
      </c>
      <c r="V750">
        <v>-1.535766E-2</v>
      </c>
      <c r="W750">
        <v>0.172296799999999</v>
      </c>
      <c r="X750">
        <v>0.9849253</v>
      </c>
      <c r="Y750">
        <v>-4.3155270000000003E-2</v>
      </c>
      <c r="Z750">
        <v>1.016777E-3</v>
      </c>
      <c r="AA750">
        <v>0.99906779999999995</v>
      </c>
      <c r="AB750">
        <v>29</v>
      </c>
      <c r="AC750">
        <v>29.1417</v>
      </c>
      <c r="AD750">
        <v>-1.1212395891689999</v>
      </c>
      <c r="AE750">
        <v>1.3408</v>
      </c>
      <c r="AF750">
        <v>-1.2645209253794401</v>
      </c>
      <c r="AG750">
        <v>-1.1212395891689999</v>
      </c>
      <c r="AH750">
        <v>29.1020379768275</v>
      </c>
      <c r="AI750">
        <v>92.204315306965697</v>
      </c>
      <c r="AJ750">
        <v>92.488010192014201</v>
      </c>
      <c r="AK750">
        <v>29.151068690388598</v>
      </c>
      <c r="AL750">
        <v>80.078612664155997</v>
      </c>
      <c r="AM750">
        <v>90.893324395663498</v>
      </c>
      <c r="AN750">
        <v>0.999999945795501</v>
      </c>
    </row>
    <row r="751" spans="1:40" x14ac:dyDescent="0.25">
      <c r="A751" t="str">
        <f>"20190303161855702"</f>
        <v>20190303161855702</v>
      </c>
      <c r="B751" t="str">
        <f>"1551601135693266"</f>
        <v>1551601135693266</v>
      </c>
      <c r="C751" t="s">
        <v>40</v>
      </c>
      <c r="D751">
        <v>4.758419</v>
      </c>
      <c r="E751">
        <v>0.48960029999999999</v>
      </c>
      <c r="F751" t="s">
        <v>41</v>
      </c>
      <c r="G751">
        <v>-321.5249</v>
      </c>
      <c r="H751" s="1">
        <v>-3.8423399999999999E-6</v>
      </c>
      <c r="I751">
        <v>368.35230000000001</v>
      </c>
      <c r="J751">
        <v>-351.0761</v>
      </c>
      <c r="K751">
        <v>1.121238</v>
      </c>
      <c r="L751">
        <v>366.9973</v>
      </c>
      <c r="M751">
        <v>0.99992510000000001</v>
      </c>
      <c r="N751">
        <v>-1.1971529999999999E-2</v>
      </c>
      <c r="O751">
        <v>2.5726400000000002E-3</v>
      </c>
      <c r="P751">
        <v>0.98683430000000005</v>
      </c>
      <c r="Q751">
        <v>0.16074769999999999</v>
      </c>
      <c r="R751">
        <v>1.7852610000000001E-2</v>
      </c>
      <c r="S751">
        <v>3.0561219999999998</v>
      </c>
      <c r="T751">
        <v>-0.11522789999999999</v>
      </c>
      <c r="U751">
        <v>0.13931270000000001</v>
      </c>
      <c r="V751">
        <v>-1.531798E-2</v>
      </c>
      <c r="W751">
        <v>0.1725505</v>
      </c>
      <c r="X751">
        <v>0.98488160000000002</v>
      </c>
      <c r="Y751">
        <v>-4.2927939999999998E-2</v>
      </c>
      <c r="Z751">
        <v>9.9965340000000001E-4</v>
      </c>
      <c r="AA751">
        <v>0.99907769999999996</v>
      </c>
      <c r="AB751">
        <v>30</v>
      </c>
      <c r="AC751">
        <v>29.551199999999898</v>
      </c>
      <c r="AD751">
        <v>-1.1212418423399999</v>
      </c>
      <c r="AE751">
        <v>1.35500000000001</v>
      </c>
      <c r="AF751">
        <v>-1.27713074559007</v>
      </c>
      <c r="AG751">
        <v>-1.1212418423399999</v>
      </c>
      <c r="AH751">
        <v>29.512191121869499</v>
      </c>
      <c r="AI751">
        <v>92.173730834158903</v>
      </c>
      <c r="AJ751">
        <v>92.4779107328485</v>
      </c>
      <c r="AK751">
        <v>29.561083725467501</v>
      </c>
      <c r="AL751">
        <v>80.063856660863195</v>
      </c>
      <c r="AM751">
        <v>90.891056190701704</v>
      </c>
      <c r="AN751">
        <v>1.00000004079004</v>
      </c>
    </row>
    <row r="752" spans="1:40" x14ac:dyDescent="0.25">
      <c r="A752" t="str">
        <f>"20190303161855717"</f>
        <v>20190303161855717</v>
      </c>
      <c r="B752" t="str">
        <f>"1551601135704002"</f>
        <v>1551601135704002</v>
      </c>
      <c r="C752" t="s">
        <v>40</v>
      </c>
      <c r="D752">
        <v>4.7075420000000001</v>
      </c>
      <c r="E752">
        <v>0.48958220000000002</v>
      </c>
      <c r="F752" t="s">
        <v>41</v>
      </c>
      <c r="G752">
        <v>-320.94529999999997</v>
      </c>
      <c r="H752" s="1">
        <v>-4.0861090000000002E-6</v>
      </c>
      <c r="I752">
        <v>368.37990000000002</v>
      </c>
      <c r="J752">
        <v>-350.8716</v>
      </c>
      <c r="K752">
        <v>1.121237</v>
      </c>
      <c r="L752">
        <v>366.99779999999998</v>
      </c>
      <c r="M752">
        <v>0.99992499999999995</v>
      </c>
      <c r="N752">
        <v>-1.1971870000000001E-2</v>
      </c>
      <c r="O752">
        <v>2.5943339999999998E-3</v>
      </c>
      <c r="P752">
        <v>0.98677150000000002</v>
      </c>
      <c r="Q752">
        <v>0.16116150000000001</v>
      </c>
      <c r="R752">
        <v>1.7573410000000001E-2</v>
      </c>
      <c r="S752">
        <v>3.0559690000000002</v>
      </c>
      <c r="T752">
        <v>-0.11371970000000001</v>
      </c>
      <c r="U752">
        <v>0.1402283</v>
      </c>
      <c r="V752">
        <v>-1.5017259999999999E-2</v>
      </c>
      <c r="W752">
        <v>0.1729637</v>
      </c>
      <c r="X752">
        <v>0.98481370000000001</v>
      </c>
      <c r="Y752">
        <v>-4.3207860000000001E-2</v>
      </c>
      <c r="Z752">
        <v>9.9671630000000002E-4</v>
      </c>
      <c r="AA752">
        <v>0.9990656</v>
      </c>
      <c r="AB752">
        <v>30</v>
      </c>
      <c r="AC752">
        <v>29.926300000000001</v>
      </c>
      <c r="AD752">
        <v>-1.1212410861090001</v>
      </c>
      <c r="AE752">
        <v>1.3821000000000301</v>
      </c>
      <c r="AF752">
        <v>-1.3026262895848899</v>
      </c>
      <c r="AG752">
        <v>-1.1212410861090001</v>
      </c>
      <c r="AH752">
        <v>29.887919079749999</v>
      </c>
      <c r="AI752">
        <v>92.146399911014001</v>
      </c>
      <c r="AJ752">
        <v>92.495583078085801</v>
      </c>
      <c r="AK752">
        <v>29.937296533607999</v>
      </c>
      <c r="AL752">
        <v>80.039820156834196</v>
      </c>
      <c r="AM752">
        <v>90.873626084250802</v>
      </c>
      <c r="AN752">
        <v>0.999999991661643</v>
      </c>
    </row>
    <row r="753" spans="1:40" x14ac:dyDescent="0.25">
      <c r="A753" t="str">
        <f>"20190303161855732"</f>
        <v>20190303161855732</v>
      </c>
      <c r="B753" t="str">
        <f>"1551601135723523"</f>
        <v>1551601135723523</v>
      </c>
      <c r="C753" t="s">
        <v>40</v>
      </c>
      <c r="D753">
        <v>4.6765610000000004</v>
      </c>
      <c r="E753">
        <v>0.48957840000000002</v>
      </c>
      <c r="F753" t="s">
        <v>41</v>
      </c>
      <c r="G753">
        <v>-320.32760000000002</v>
      </c>
      <c r="H753" s="1">
        <v>-4.3487639999999996E-6</v>
      </c>
      <c r="I753">
        <v>368.3929</v>
      </c>
      <c r="J753">
        <v>-350.67680000000001</v>
      </c>
      <c r="K753">
        <v>1.121238</v>
      </c>
      <c r="L753">
        <v>366.9984</v>
      </c>
      <c r="M753">
        <v>0.99992499999999995</v>
      </c>
      <c r="N753">
        <v>-1.1972129999999999E-2</v>
      </c>
      <c r="O753">
        <v>2.6150739999999998E-3</v>
      </c>
      <c r="P753">
        <v>0.98671580000000003</v>
      </c>
      <c r="Q753">
        <v>0.16153210000000001</v>
      </c>
      <c r="R753">
        <v>1.7302930000000001E-2</v>
      </c>
      <c r="S753">
        <v>3.0560909999999999</v>
      </c>
      <c r="T753">
        <v>-0.1121862</v>
      </c>
      <c r="U753">
        <v>0.1395874</v>
      </c>
      <c r="V753">
        <v>-1.472701E-2</v>
      </c>
      <c r="W753">
        <v>0.1733333</v>
      </c>
      <c r="X753">
        <v>0.98475310000000005</v>
      </c>
      <c r="Y753">
        <v>-4.2977340000000003E-2</v>
      </c>
      <c r="Z753">
        <v>9.8104880000000005E-4</v>
      </c>
      <c r="AA753">
        <v>0.99907559999999995</v>
      </c>
      <c r="AB753">
        <v>30</v>
      </c>
      <c r="AC753">
        <v>30.3492</v>
      </c>
      <c r="AD753">
        <v>-1.121242348764</v>
      </c>
      <c r="AE753">
        <v>1.3944999999999901</v>
      </c>
      <c r="AF753">
        <v>-1.3133353359882101</v>
      </c>
      <c r="AG753">
        <v>-1.121242348764</v>
      </c>
      <c r="AH753">
        <v>30.3114579004958</v>
      </c>
      <c r="AI753">
        <v>92.116461789368799</v>
      </c>
      <c r="AJ753">
        <v>92.4809607172146</v>
      </c>
      <c r="AK753">
        <v>30.3606079346733</v>
      </c>
      <c r="AL753">
        <v>80.018318887065803</v>
      </c>
      <c r="AM753">
        <v>90.856796105061903</v>
      </c>
      <c r="AN753">
        <v>0.99999999283602004</v>
      </c>
    </row>
    <row r="754" spans="1:40" x14ac:dyDescent="0.25">
      <c r="A754" t="str">
        <f>"20190303161855744"</f>
        <v>20190303161855744</v>
      </c>
      <c r="B754" t="str">
        <f>"1551601135733284"</f>
        <v>1551601135733284</v>
      </c>
      <c r="C754" t="s">
        <v>40</v>
      </c>
      <c r="D754">
        <v>4.6383400000000004</v>
      </c>
      <c r="E754">
        <v>0.48960670000000001</v>
      </c>
      <c r="F754" t="s">
        <v>44</v>
      </c>
      <c r="G754">
        <v>-318.26409999999998</v>
      </c>
      <c r="H754">
        <v>-0.05</v>
      </c>
      <c r="I754">
        <v>368.46780000000001</v>
      </c>
      <c r="J754">
        <v>-350.50799999999998</v>
      </c>
      <c r="K754">
        <v>1.1212439999999999</v>
      </c>
      <c r="L754">
        <v>366.99880000000002</v>
      </c>
      <c r="M754">
        <v>0.99992499999999995</v>
      </c>
      <c r="N754">
        <v>-1.19723E-2</v>
      </c>
      <c r="O754">
        <v>2.6330730000000001E-3</v>
      </c>
      <c r="P754">
        <v>0.98666209999999999</v>
      </c>
      <c r="Q754">
        <v>0.161879299999999</v>
      </c>
      <c r="R754">
        <v>1.712234E-2</v>
      </c>
      <c r="S754">
        <v>3.0560299999999998</v>
      </c>
      <c r="T754">
        <v>-0.1104301</v>
      </c>
      <c r="U754">
        <v>0.138549799999999</v>
      </c>
      <c r="V754">
        <v>-1.452795E-2</v>
      </c>
      <c r="W754">
        <v>0.1736808</v>
      </c>
      <c r="X754">
        <v>0.98469479999999998</v>
      </c>
      <c r="Y754">
        <v>-4.2623080000000001E-2</v>
      </c>
      <c r="Z754">
        <v>9.6128610000000003E-4</v>
      </c>
      <c r="AA754">
        <v>0.99909079999999995</v>
      </c>
      <c r="AB754">
        <v>30</v>
      </c>
      <c r="AC754">
        <v>32.243899999999996</v>
      </c>
      <c r="AD754">
        <v>-1.171244</v>
      </c>
      <c r="AE754">
        <v>1.4689999999999901</v>
      </c>
      <c r="AF754">
        <v>-1.3822682067021099</v>
      </c>
      <c r="AG754">
        <v>-1.171244</v>
      </c>
      <c r="AH754">
        <v>32.205250616188501</v>
      </c>
      <c r="AI754">
        <v>92.080906958757893</v>
      </c>
      <c r="AJ754">
        <v>92.457659985558806</v>
      </c>
      <c r="AK754">
        <v>32.256172202453101</v>
      </c>
      <c r="AL754">
        <v>79.998101688442603</v>
      </c>
      <c r="AM754">
        <v>90.845266809023002</v>
      </c>
      <c r="AN754">
        <v>0.99999996538344005</v>
      </c>
    </row>
    <row r="755" spans="1:40" x14ac:dyDescent="0.25">
      <c r="A755" t="str">
        <f>"20190303161855757"</f>
        <v>20190303161855757</v>
      </c>
      <c r="B755" t="str">
        <f>"1551601135753778"</f>
        <v>1551601135753778</v>
      </c>
      <c r="C755" t="s">
        <v>40</v>
      </c>
      <c r="D755">
        <v>4.5834590000000004</v>
      </c>
      <c r="E755">
        <v>0.4895775</v>
      </c>
      <c r="F755" t="s">
        <v>44</v>
      </c>
      <c r="G755">
        <v>-317.64909999999998</v>
      </c>
      <c r="H755">
        <v>-0.05</v>
      </c>
      <c r="I755">
        <v>368.48910000000001</v>
      </c>
      <c r="J755">
        <v>-350.34530000000001</v>
      </c>
      <c r="K755">
        <v>1.121246</v>
      </c>
      <c r="L755">
        <v>366.99930000000001</v>
      </c>
      <c r="M755">
        <v>0.99992490000000001</v>
      </c>
      <c r="N755">
        <v>-1.1972409999999999E-2</v>
      </c>
      <c r="O755">
        <v>2.6505919999999998E-3</v>
      </c>
      <c r="P755">
        <v>0.98666790000000004</v>
      </c>
      <c r="Q755">
        <v>0.1618366</v>
      </c>
      <c r="R755">
        <v>1.71866E-2</v>
      </c>
      <c r="S755">
        <v>3.0560610000000001</v>
      </c>
      <c r="T755">
        <v>-0.1089325</v>
      </c>
      <c r="U755">
        <v>0.13861080000000001</v>
      </c>
      <c r="V755">
        <v>-1.457549E-2</v>
      </c>
      <c r="W755">
        <v>0.17363809999999999</v>
      </c>
      <c r="X755">
        <v>0.98470159999999995</v>
      </c>
      <c r="Y755">
        <v>-4.262589E-2</v>
      </c>
      <c r="Z755">
        <v>9.5179189999999999E-4</v>
      </c>
      <c r="AA755">
        <v>0.9990907</v>
      </c>
      <c r="AB755">
        <v>30</v>
      </c>
      <c r="AC755">
        <v>32.696199999999997</v>
      </c>
      <c r="AD755">
        <v>-1.171246</v>
      </c>
      <c r="AE755">
        <v>1.4898</v>
      </c>
      <c r="AF755">
        <v>-1.40132978415434</v>
      </c>
      <c r="AG755">
        <v>-1.171246</v>
      </c>
      <c r="AH755">
        <v>32.658213362677003</v>
      </c>
      <c r="AI755">
        <v>92.052074575429401</v>
      </c>
      <c r="AJ755">
        <v>92.456994801517695</v>
      </c>
      <c r="AK755">
        <v>32.709240932779402</v>
      </c>
      <c r="AL755">
        <v>80.000585686963902</v>
      </c>
      <c r="AM755">
        <v>90.848026527973005</v>
      </c>
      <c r="AN755">
        <v>0.99999993786145303</v>
      </c>
    </row>
    <row r="756" spans="1:40" x14ac:dyDescent="0.25">
      <c r="A756" t="str">
        <f>"20190303161855772"</f>
        <v>20190303161855772</v>
      </c>
      <c r="B756" t="str">
        <f>"1551601135763539"</f>
        <v>1551601135763539</v>
      </c>
      <c r="C756" t="s">
        <v>40</v>
      </c>
      <c r="D756">
        <v>4.5787430000000002</v>
      </c>
      <c r="E756">
        <v>0.48956230000000001</v>
      </c>
      <c r="F756" t="s">
        <v>44</v>
      </c>
      <c r="G756">
        <v>-317.31610000000001</v>
      </c>
      <c r="H756">
        <v>-0.05</v>
      </c>
      <c r="I756">
        <v>368.50599999999997</v>
      </c>
      <c r="J756">
        <v>-350.14980000000003</v>
      </c>
      <c r="K756">
        <v>1.121246</v>
      </c>
      <c r="L756">
        <v>366.99979999999999</v>
      </c>
      <c r="M756">
        <v>0.99992479999999995</v>
      </c>
      <c r="N756">
        <v>-1.197253E-2</v>
      </c>
      <c r="O756">
        <v>2.6714519999999999E-3</v>
      </c>
      <c r="P756">
        <v>0.98670380000000002</v>
      </c>
      <c r="Q756">
        <v>0.1616821</v>
      </c>
      <c r="R756">
        <v>1.6565699999999999E-2</v>
      </c>
      <c r="S756">
        <v>3.0558779999999999</v>
      </c>
      <c r="T756">
        <v>-0.10836419999999999</v>
      </c>
      <c r="U756">
        <v>0.13940429999999901</v>
      </c>
      <c r="V756">
        <v>-1.3934E-2</v>
      </c>
      <c r="W756">
        <v>0.1734841</v>
      </c>
      <c r="X756">
        <v>0.98473809999999995</v>
      </c>
      <c r="Y756">
        <v>-4.2866750000000002E-2</v>
      </c>
      <c r="Z756">
        <v>9.535864E-4</v>
      </c>
      <c r="AA756">
        <v>0.99908039999999998</v>
      </c>
      <c r="AB756">
        <v>30</v>
      </c>
      <c r="AC756">
        <v>32.8337</v>
      </c>
      <c r="AD756">
        <v>-1.171246</v>
      </c>
      <c r="AE756">
        <v>1.50619999999997</v>
      </c>
      <c r="AF756">
        <v>-1.4166757582963401</v>
      </c>
      <c r="AG756">
        <v>-1.171246</v>
      </c>
      <c r="AH756">
        <v>32.795961742373301</v>
      </c>
      <c r="AI756">
        <v>92.043437608205906</v>
      </c>
      <c r="AJ756">
        <v>92.473448190067998</v>
      </c>
      <c r="AK756">
        <v>32.847433598439203</v>
      </c>
      <c r="AL756">
        <v>80.009545917778894</v>
      </c>
      <c r="AM756">
        <v>90.810678611197901</v>
      </c>
      <c r="AN756">
        <v>1.0000000074502</v>
      </c>
    </row>
    <row r="757" spans="1:40" x14ac:dyDescent="0.25">
      <c r="A757" t="str">
        <f>"20190303161855783"</f>
        <v>20190303161855783</v>
      </c>
      <c r="B757" t="str">
        <f>"1551601135773298"</f>
        <v>1551601135773298</v>
      </c>
      <c r="C757" t="s">
        <v>40</v>
      </c>
      <c r="D757">
        <v>4.5387740000000001</v>
      </c>
      <c r="E757">
        <v>0.4895717</v>
      </c>
      <c r="F757" t="s">
        <v>44</v>
      </c>
      <c r="G757">
        <v>-317.14120000000003</v>
      </c>
      <c r="H757">
        <v>-0.05</v>
      </c>
      <c r="I757">
        <v>368.48419999999999</v>
      </c>
      <c r="J757">
        <v>-349.9982</v>
      </c>
      <c r="K757">
        <v>1.1212470000000001</v>
      </c>
      <c r="L757">
        <v>367.00020000000001</v>
      </c>
      <c r="M757">
        <v>0.99992490000000001</v>
      </c>
      <c r="N757">
        <v>-1.197262E-2</v>
      </c>
      <c r="O757">
        <v>2.6872490000000001E-3</v>
      </c>
      <c r="P757">
        <v>0.98673960000000005</v>
      </c>
      <c r="Q757">
        <v>0.1615027</v>
      </c>
      <c r="R757">
        <v>1.619305E-2</v>
      </c>
      <c r="S757">
        <v>3.0559080000000001</v>
      </c>
      <c r="T757">
        <v>-0.1084329</v>
      </c>
      <c r="U757">
        <v>0.13742070000000001</v>
      </c>
      <c r="V757">
        <v>-1.3545639999999999E-2</v>
      </c>
      <c r="W757">
        <v>0.17330519999999999</v>
      </c>
      <c r="X757">
        <v>0.98477499999999996</v>
      </c>
      <c r="Y757">
        <v>-4.2203820000000003E-2</v>
      </c>
      <c r="Z757">
        <v>9.3791450000000004E-4</v>
      </c>
      <c r="AA757">
        <v>0.99910860000000001</v>
      </c>
      <c r="AB757">
        <v>30</v>
      </c>
      <c r="AC757">
        <v>32.8569999999999</v>
      </c>
      <c r="AD757">
        <v>-1.1712469999999999</v>
      </c>
      <c r="AE757">
        <v>1.48399999999998</v>
      </c>
      <c r="AF757">
        <v>-1.3939257400546201</v>
      </c>
      <c r="AG757">
        <v>-1.1712469999999999</v>
      </c>
      <c r="AH757">
        <v>32.819251164459899</v>
      </c>
      <c r="AI757">
        <v>92.042053644818196</v>
      </c>
      <c r="AJ757">
        <v>92.432050897852704</v>
      </c>
      <c r="AK757">
        <v>32.869713955246098</v>
      </c>
      <c r="AL757">
        <v>80.019953597293195</v>
      </c>
      <c r="AM757">
        <v>90.788057232743895</v>
      </c>
      <c r="AN757">
        <v>0.99999998866752404</v>
      </c>
    </row>
    <row r="758" spans="1:40" x14ac:dyDescent="0.25">
      <c r="A758" t="str">
        <f>"20190303161855796"</f>
        <v>20190303161855796</v>
      </c>
      <c r="B758" t="str">
        <f>"1551601135784034"</f>
        <v>1551601135784034</v>
      </c>
      <c r="C758" t="s">
        <v>40</v>
      </c>
      <c r="D758">
        <v>4.519266</v>
      </c>
      <c r="E758">
        <v>0.48956820000000001</v>
      </c>
      <c r="F758" t="s">
        <v>44</v>
      </c>
      <c r="G758">
        <v>-316.99549999999999</v>
      </c>
      <c r="H758">
        <v>-0.05</v>
      </c>
      <c r="I758">
        <v>368.47120000000001</v>
      </c>
      <c r="J758">
        <v>-349.8365</v>
      </c>
      <c r="K758">
        <v>1.121246</v>
      </c>
      <c r="L758">
        <v>367.00060000000002</v>
      </c>
      <c r="M758">
        <v>0.99992490000000001</v>
      </c>
      <c r="N758">
        <v>-1.1972699999999999E-2</v>
      </c>
      <c r="O758">
        <v>2.7042960000000001E-3</v>
      </c>
      <c r="P758">
        <v>0.98677029999999999</v>
      </c>
      <c r="Q758">
        <v>0.16133989999999901</v>
      </c>
      <c r="R758">
        <v>1.594423E-2</v>
      </c>
      <c r="S758">
        <v>3.0558169999999998</v>
      </c>
      <c r="T758">
        <v>-0.1084495</v>
      </c>
      <c r="U758">
        <v>0.13619999999999999</v>
      </c>
      <c r="V758">
        <v>-1.327978E-2</v>
      </c>
      <c r="W758">
        <v>0.17314270000000001</v>
      </c>
      <c r="X758">
        <v>0.98480719999999999</v>
      </c>
      <c r="Y758">
        <v>-4.1790149999999998E-2</v>
      </c>
      <c r="Z758">
        <v>9.2782580000000002E-4</v>
      </c>
      <c r="AA758">
        <v>0.99912599999999996</v>
      </c>
      <c r="AB758">
        <v>30</v>
      </c>
      <c r="AC758">
        <v>32.841000000000001</v>
      </c>
      <c r="AD758">
        <v>-1.171246</v>
      </c>
      <c r="AE758">
        <v>1.4705999999999899</v>
      </c>
      <c r="AF758">
        <v>-1.38002470811899</v>
      </c>
      <c r="AG758">
        <v>-1.171246</v>
      </c>
      <c r="AH758">
        <v>32.803217190491203</v>
      </c>
      <c r="AI758">
        <v>92.043083910923301</v>
      </c>
      <c r="AJ758">
        <v>92.409001313411693</v>
      </c>
      <c r="AK758">
        <v>32.853117712541</v>
      </c>
      <c r="AL758">
        <v>80.0294070293522</v>
      </c>
      <c r="AM758">
        <v>90.772566684904206</v>
      </c>
      <c r="AN758">
        <v>0.99999998414598901</v>
      </c>
    </row>
    <row r="759" spans="1:40" x14ac:dyDescent="0.25">
      <c r="A759" t="str">
        <f>"20190303161855808"</f>
        <v>20190303161855808</v>
      </c>
      <c r="B759" t="str">
        <f>"1551601135803554"</f>
        <v>1551601135803554</v>
      </c>
      <c r="C759" t="s">
        <v>40</v>
      </c>
      <c r="D759">
        <v>4.4873019999999997</v>
      </c>
      <c r="E759">
        <v>0.48957149999999999</v>
      </c>
      <c r="F759" t="s">
        <v>44</v>
      </c>
      <c r="G759">
        <v>-316.81079999999997</v>
      </c>
      <c r="H759">
        <v>-0.05</v>
      </c>
      <c r="I759">
        <v>368.46570000000003</v>
      </c>
      <c r="J759">
        <v>-349.67399999999998</v>
      </c>
      <c r="K759">
        <v>1.121246</v>
      </c>
      <c r="L759">
        <v>367.00110000000001</v>
      </c>
      <c r="M759">
        <v>0.9999247</v>
      </c>
      <c r="N759">
        <v>-1.1972780000000001E-2</v>
      </c>
      <c r="O759">
        <v>2.72164E-3</v>
      </c>
      <c r="P759">
        <v>0.98683560000000003</v>
      </c>
      <c r="Q759">
        <v>0.1609594</v>
      </c>
      <c r="R759">
        <v>1.5737009999999999E-2</v>
      </c>
      <c r="S759">
        <v>3.0557859999999999</v>
      </c>
      <c r="T759">
        <v>-0.1083726</v>
      </c>
      <c r="U759">
        <v>0.13555909999999999</v>
      </c>
      <c r="V759">
        <v>-1.3055249999999999E-2</v>
      </c>
      <c r="W759">
        <v>0.17276320000000001</v>
      </c>
      <c r="X759">
        <v>0.98487690000000006</v>
      </c>
      <c r="Y759">
        <v>-4.1564379999999998E-2</v>
      </c>
      <c r="Z759">
        <v>9.2161890000000001E-4</v>
      </c>
      <c r="AA759">
        <v>0.99913540000000001</v>
      </c>
      <c r="AB759">
        <v>30</v>
      </c>
      <c r="AC759">
        <v>32.863199999999999</v>
      </c>
      <c r="AD759">
        <v>-1.171246</v>
      </c>
      <c r="AE759">
        <v>1.4646000000000099</v>
      </c>
      <c r="AF759">
        <v>-1.37340531186199</v>
      </c>
      <c r="AG759">
        <v>-1.171246</v>
      </c>
      <c r="AH759">
        <v>32.825452002946399</v>
      </c>
      <c r="AI759">
        <v>92.041720832321303</v>
      </c>
      <c r="AJ759">
        <v>92.395837803413002</v>
      </c>
      <c r="AK759">
        <v>32.875041574740301</v>
      </c>
      <c r="AL759">
        <v>80.051483984177906</v>
      </c>
      <c r="AM759">
        <v>90.759452189516495</v>
      </c>
      <c r="AN759">
        <v>1.0000000354901999</v>
      </c>
    </row>
    <row r="760" spans="1:40" x14ac:dyDescent="0.25">
      <c r="A760" t="str">
        <f>"20190303161855822"</f>
        <v>20190303161855822</v>
      </c>
      <c r="B760" t="str">
        <f>"1551601135813314"</f>
        <v>1551601135813314</v>
      </c>
      <c r="C760" t="s">
        <v>40</v>
      </c>
      <c r="D760">
        <v>4.4807189999999997</v>
      </c>
      <c r="E760">
        <v>0.4895738</v>
      </c>
      <c r="F760" t="s">
        <v>44</v>
      </c>
      <c r="G760">
        <v>-316.9427</v>
      </c>
      <c r="H760">
        <v>-0.05</v>
      </c>
      <c r="I760">
        <v>368.4443</v>
      </c>
      <c r="J760">
        <v>-349.49400000000003</v>
      </c>
      <c r="K760">
        <v>1.1212420000000001</v>
      </c>
      <c r="L760">
        <v>367.0016</v>
      </c>
      <c r="M760">
        <v>0.99992479999999995</v>
      </c>
      <c r="N760">
        <v>-1.197288E-2</v>
      </c>
      <c r="O760">
        <v>2.740653E-3</v>
      </c>
      <c r="P760">
        <v>0.98688310000000001</v>
      </c>
      <c r="Q760">
        <v>0.16065579999999999</v>
      </c>
      <c r="R760">
        <v>1.586427E-2</v>
      </c>
      <c r="S760">
        <v>3.0556950000000001</v>
      </c>
      <c r="T760">
        <v>-0.10934389999999899</v>
      </c>
      <c r="U760">
        <v>0.1347351</v>
      </c>
      <c r="V760">
        <v>-1.316351E-2</v>
      </c>
      <c r="W760">
        <v>0.17246069999999999</v>
      </c>
      <c r="X760">
        <v>0.98492840000000004</v>
      </c>
      <c r="Y760">
        <v>-4.1277540000000001E-2</v>
      </c>
      <c r="Z760">
        <v>9.2007790000000003E-4</v>
      </c>
      <c r="AA760">
        <v>0.99914729999999996</v>
      </c>
      <c r="AB760">
        <v>30</v>
      </c>
      <c r="AC760">
        <v>32.551299999999998</v>
      </c>
      <c r="AD760">
        <v>-1.1712419999999999</v>
      </c>
      <c r="AE760">
        <v>1.4427000000000001</v>
      </c>
      <c r="AF760">
        <v>-1.35172978583496</v>
      </c>
      <c r="AG760">
        <v>-1.1712419999999999</v>
      </c>
      <c r="AH760">
        <v>32.513120957753699</v>
      </c>
      <c r="AI760">
        <v>92.061333059525595</v>
      </c>
      <c r="AJ760">
        <v>92.380695338679303</v>
      </c>
      <c r="AK760">
        <v>32.5622790303443</v>
      </c>
      <c r="AL760">
        <v>80.069079339526496</v>
      </c>
      <c r="AM760">
        <v>90.765709126775107</v>
      </c>
      <c r="AN760">
        <v>0.99999996208328401</v>
      </c>
    </row>
    <row r="761" spans="1:40" x14ac:dyDescent="0.25">
      <c r="A761" t="str">
        <f>"20190303161855833"</f>
        <v>20190303161855833</v>
      </c>
      <c r="B761" t="str">
        <f>"1551601135824050"</f>
        <v>1551601135824050</v>
      </c>
      <c r="C761" t="s">
        <v>40</v>
      </c>
      <c r="D761">
        <v>4.4519580000000003</v>
      </c>
      <c r="E761">
        <v>0.4895738</v>
      </c>
      <c r="F761" t="s">
        <v>44</v>
      </c>
      <c r="G761">
        <v>-317.07709999999997</v>
      </c>
      <c r="H761">
        <v>-0.05</v>
      </c>
      <c r="I761">
        <v>368.43650000000002</v>
      </c>
      <c r="J761">
        <v>-349.3374</v>
      </c>
      <c r="K761">
        <v>1.1212390000000001</v>
      </c>
      <c r="L761">
        <v>367.00209999999998</v>
      </c>
      <c r="M761">
        <v>0.99992449999999999</v>
      </c>
      <c r="N761">
        <v>-1.1972969999999999E-2</v>
      </c>
      <c r="O761">
        <v>2.7576390000000001E-3</v>
      </c>
      <c r="P761">
        <v>0.98696890000000004</v>
      </c>
      <c r="Q761">
        <v>0.1601446</v>
      </c>
      <c r="R761">
        <v>1.570073E-2</v>
      </c>
      <c r="S761">
        <v>3.0556640000000002</v>
      </c>
      <c r="T761">
        <v>-0.1104028</v>
      </c>
      <c r="U761">
        <v>0.13525390000000001</v>
      </c>
      <c r="V761">
        <v>-1.2983400000000001E-2</v>
      </c>
      <c r="W761">
        <v>0.17195009999999999</v>
      </c>
      <c r="X761">
        <v>0.98502009999999995</v>
      </c>
      <c r="Y761">
        <v>-4.1429599999999997E-2</v>
      </c>
      <c r="Z761">
        <v>9.2952620000000003E-4</v>
      </c>
      <c r="AA761">
        <v>0.99914099999999995</v>
      </c>
      <c r="AB761">
        <v>30</v>
      </c>
      <c r="AC761">
        <v>32.260300000000001</v>
      </c>
      <c r="AD761">
        <v>-1.1712389999999999</v>
      </c>
      <c r="AE761">
        <v>1.4344000000000301</v>
      </c>
      <c r="AF761">
        <v>-1.3436582994743</v>
      </c>
      <c r="AG761">
        <v>-1.1712389999999999</v>
      </c>
      <c r="AH761">
        <v>32.221744903648002</v>
      </c>
      <c r="AI761">
        <v>92.079940903956995</v>
      </c>
      <c r="AJ761">
        <v>92.387871056216497</v>
      </c>
      <c r="AK761">
        <v>32.271009638011598</v>
      </c>
      <c r="AL761">
        <v>80.098778630006905</v>
      </c>
      <c r="AM761">
        <v>90.755163217623604</v>
      </c>
      <c r="AN761">
        <v>1.0000000014847901</v>
      </c>
    </row>
    <row r="762" spans="1:40" x14ac:dyDescent="0.25">
      <c r="A762" t="str">
        <f>"20190303161855845"</f>
        <v>20190303161855845</v>
      </c>
      <c r="B762" t="str">
        <f>"1551601135833810"</f>
        <v>1551601135833810</v>
      </c>
      <c r="C762" t="s">
        <v>40</v>
      </c>
      <c r="D762">
        <v>4.4526599999999998</v>
      </c>
      <c r="E762">
        <v>0.49273099999999997</v>
      </c>
      <c r="F762" t="s">
        <v>44</v>
      </c>
      <c r="G762">
        <v>-317.37569999999999</v>
      </c>
      <c r="H762">
        <v>-0.05</v>
      </c>
      <c r="I762">
        <v>368.41269999999997</v>
      </c>
      <c r="J762">
        <v>-349.18169999999998</v>
      </c>
      <c r="K762">
        <v>1.1212279999999999</v>
      </c>
      <c r="L762">
        <v>367.0025</v>
      </c>
      <c r="M762">
        <v>0.99992449999999999</v>
      </c>
      <c r="N762">
        <v>-1.1973070000000001E-2</v>
      </c>
      <c r="O762">
        <v>2.7743249999999998E-3</v>
      </c>
      <c r="P762">
        <v>0.98704150000000002</v>
      </c>
      <c r="Q762">
        <v>0.1596785</v>
      </c>
      <c r="R762">
        <v>1.5876459999999998E-2</v>
      </c>
      <c r="S762">
        <v>3.055634</v>
      </c>
      <c r="T762">
        <v>-0.1119738</v>
      </c>
      <c r="U762">
        <v>0.13485720000000001</v>
      </c>
      <c r="V762">
        <v>-1.314183E-2</v>
      </c>
      <c r="W762">
        <v>0.1714851</v>
      </c>
      <c r="X762">
        <v>0.98509910000000001</v>
      </c>
      <c r="Y762">
        <v>-4.1283170000000001E-2</v>
      </c>
      <c r="Z762">
        <v>9.3478739999999999E-4</v>
      </c>
      <c r="AA762">
        <v>0.99914709999999995</v>
      </c>
      <c r="AB762">
        <v>30</v>
      </c>
      <c r="AC762">
        <v>31.805999999999901</v>
      </c>
      <c r="AD762">
        <v>-1.1712279999999999</v>
      </c>
      <c r="AE762">
        <v>1.4101999999999699</v>
      </c>
      <c r="AF762">
        <v>-1.3201614205585599</v>
      </c>
      <c r="AG762">
        <v>-1.1712279999999999</v>
      </c>
      <c r="AH762">
        <v>31.7667984422778</v>
      </c>
      <c r="AI762">
        <v>92.109694618820598</v>
      </c>
      <c r="AJ762">
        <v>92.379722909413303</v>
      </c>
      <c r="AK762">
        <v>31.8157835747703</v>
      </c>
      <c r="AL762">
        <v>80.125823281384001</v>
      </c>
      <c r="AM762">
        <v>90.764315721693194</v>
      </c>
      <c r="AN762">
        <v>1.0000000420192801</v>
      </c>
    </row>
    <row r="763" spans="1:40" x14ac:dyDescent="0.25">
      <c r="A763" t="str">
        <f>"20190303161855858"</f>
        <v>20190303161855858</v>
      </c>
      <c r="B763" t="str">
        <f>"1551601135853330"</f>
        <v>1551601135853330</v>
      </c>
      <c r="C763" t="s">
        <v>40</v>
      </c>
      <c r="D763">
        <v>4.4200520000000001</v>
      </c>
      <c r="E763">
        <v>0.49630069999999998</v>
      </c>
      <c r="F763" t="s">
        <v>42</v>
      </c>
      <c r="G763">
        <v>-348.20839999999998</v>
      </c>
      <c r="H763">
        <v>1.0144519999999999</v>
      </c>
      <c r="I763">
        <v>367.03730000000002</v>
      </c>
      <c r="J763">
        <v>-349.01499999999999</v>
      </c>
      <c r="K763">
        <v>1.1212260000000001</v>
      </c>
      <c r="L763">
        <v>367.00299999999999</v>
      </c>
      <c r="M763">
        <v>0.99992440000000005</v>
      </c>
      <c r="N763">
        <v>-1.197321E-2</v>
      </c>
      <c r="O763">
        <v>2.7921460000000001E-3</v>
      </c>
      <c r="P763">
        <v>0.98713090000000003</v>
      </c>
      <c r="Q763">
        <v>0.15913959999999999</v>
      </c>
      <c r="R763">
        <v>1.5726850000000001E-2</v>
      </c>
      <c r="S763">
        <v>3.0925289999999999</v>
      </c>
      <c r="T763">
        <v>-0.3395262</v>
      </c>
      <c r="U763">
        <v>0.1116943</v>
      </c>
      <c r="V763">
        <v>-1.297442E-2</v>
      </c>
      <c r="W763">
        <v>0.17094760000000001</v>
      </c>
      <c r="X763">
        <v>0.98519469999999998</v>
      </c>
      <c r="Y763">
        <v>-3.3096149999999998E-2</v>
      </c>
      <c r="Z763">
        <v>1.7374409999999999E-3</v>
      </c>
      <c r="AA763">
        <v>0.99945070000000003</v>
      </c>
      <c r="AB763">
        <v>30</v>
      </c>
      <c r="AC763">
        <v>0.80660000000000298</v>
      </c>
      <c r="AD763">
        <v>-0.10677399999999899</v>
      </c>
      <c r="AE763">
        <v>3.4299999999973303E-2</v>
      </c>
      <c r="AF763">
        <v>-3.1496632779138098E-2</v>
      </c>
      <c r="AG763">
        <v>-0.10677399999999899</v>
      </c>
      <c r="AH763">
        <v>0.79282484424673105</v>
      </c>
      <c r="AI763">
        <v>97.6642077830831</v>
      </c>
      <c r="AJ763">
        <v>92.274998897927901</v>
      </c>
      <c r="AK763">
        <v>0.80060224744081099</v>
      </c>
      <c r="AL763">
        <v>80.157080989411796</v>
      </c>
      <c r="AM763">
        <v>90.754507242665198</v>
      </c>
      <c r="AN763">
        <v>1.00000000721409</v>
      </c>
    </row>
    <row r="764" spans="1:40" x14ac:dyDescent="0.25">
      <c r="A764" t="str">
        <f>"20190303161855873"</f>
        <v>20190303161855873</v>
      </c>
      <c r="B764" t="str">
        <f>"1551601135864067"</f>
        <v>1551601135864067</v>
      </c>
      <c r="C764" t="s">
        <v>40</v>
      </c>
      <c r="D764">
        <v>4.3844329999999996</v>
      </c>
      <c r="E764">
        <v>0.49852360000000001</v>
      </c>
      <c r="F764" t="s">
        <v>42</v>
      </c>
      <c r="G764">
        <v>-348.2543</v>
      </c>
      <c r="H764">
        <v>0.91626180000000002</v>
      </c>
      <c r="I764">
        <v>367.02339999999998</v>
      </c>
      <c r="J764">
        <v>-348.81900000000002</v>
      </c>
      <c r="K764">
        <v>1.1212200000000001</v>
      </c>
      <c r="L764">
        <v>367.00360000000001</v>
      </c>
      <c r="M764">
        <v>0.99992449999999999</v>
      </c>
      <c r="N764">
        <v>-1.1973370000000001E-2</v>
      </c>
      <c r="O764">
        <v>2.8127099999999999E-3</v>
      </c>
      <c r="P764">
        <v>0.98726729999999996</v>
      </c>
      <c r="Q764">
        <v>0.15826870000000001</v>
      </c>
      <c r="R764">
        <v>1.595216E-2</v>
      </c>
      <c r="S764">
        <v>3.1756899999999999</v>
      </c>
      <c r="T764">
        <v>-0.85575179999999995</v>
      </c>
      <c r="U764">
        <v>8.6639399999999894E-2</v>
      </c>
      <c r="V764">
        <v>-1.3179369999999999E-2</v>
      </c>
      <c r="W764">
        <v>0.17007890000000001</v>
      </c>
      <c r="X764">
        <v>0.9853423</v>
      </c>
      <c r="Y764">
        <v>-2.3668970000000001E-2</v>
      </c>
      <c r="Z764">
        <v>2.565515E-3</v>
      </c>
      <c r="AA764">
        <v>0.99971659999999996</v>
      </c>
      <c r="AB764">
        <v>30</v>
      </c>
      <c r="AC764">
        <v>0.56470000000001597</v>
      </c>
      <c r="AD764">
        <v>-0.20495820000000001</v>
      </c>
      <c r="AE764">
        <v>1.9799999999975101E-2</v>
      </c>
      <c r="AF764">
        <v>-1.6093965460998599E-2</v>
      </c>
      <c r="AG764">
        <v>-0.20495820000000001</v>
      </c>
      <c r="AH764">
        <v>0.49908779259693897</v>
      </c>
      <c r="AI764">
        <v>112.31580989713601</v>
      </c>
      <c r="AJ764">
        <v>91.846963374933594</v>
      </c>
      <c r="AK764">
        <v>0.5397735675177</v>
      </c>
      <c r="AL764">
        <v>80.207593382789895</v>
      </c>
      <c r="AM764">
        <v>90.766309587569594</v>
      </c>
      <c r="AN764">
        <v>0.999999988094048</v>
      </c>
    </row>
    <row r="765" spans="1:40" x14ac:dyDescent="0.25">
      <c r="A765" t="str">
        <f>"20190303161855887"</f>
        <v>20190303161855887</v>
      </c>
      <c r="B765" t="str">
        <f>"1551601135883587"</f>
        <v>1551601135883587</v>
      </c>
      <c r="C765" t="s">
        <v>40</v>
      </c>
      <c r="D765">
        <v>4.3884850000000002</v>
      </c>
      <c r="E765">
        <v>0.50329079999999904</v>
      </c>
      <c r="F765" t="s">
        <v>42</v>
      </c>
      <c r="G765">
        <v>-348.00380000000001</v>
      </c>
      <c r="H765">
        <v>0.8856503</v>
      </c>
      <c r="I765">
        <v>367.0213</v>
      </c>
      <c r="J765">
        <v>-348.63380000000001</v>
      </c>
      <c r="K765">
        <v>1.121219</v>
      </c>
      <c r="L765">
        <v>367.00420000000003</v>
      </c>
      <c r="M765">
        <v>0.99992449999999999</v>
      </c>
      <c r="N765">
        <v>-1.197353E-2</v>
      </c>
      <c r="O765">
        <v>2.8322019999999998E-3</v>
      </c>
      <c r="P765">
        <v>0.98729979999999995</v>
      </c>
      <c r="Q765">
        <v>0.15805949999999999</v>
      </c>
      <c r="R765">
        <v>1.60235E-2</v>
      </c>
      <c r="S765">
        <v>3.1850890000000001</v>
      </c>
      <c r="T765">
        <v>-0.92031969999999996</v>
      </c>
      <c r="U765">
        <v>6.9610599999999995E-2</v>
      </c>
      <c r="V765">
        <v>-1.323154E-2</v>
      </c>
      <c r="W765">
        <v>0.16986979999999999</v>
      </c>
      <c r="X765">
        <v>0.98537770000000002</v>
      </c>
      <c r="Y765">
        <v>-1.8342150000000002E-2</v>
      </c>
      <c r="Z765">
        <v>1.9400649999999999E-3</v>
      </c>
      <c r="AA765">
        <v>0.99982990000000005</v>
      </c>
      <c r="AB765">
        <v>30</v>
      </c>
      <c r="AC765">
        <v>0.62999999999999501</v>
      </c>
      <c r="AD765">
        <v>-0.23556869999999899</v>
      </c>
      <c r="AE765">
        <v>1.7099999999970798E-2</v>
      </c>
      <c r="AF765">
        <v>-1.3438056573618001E-2</v>
      </c>
      <c r="AG765">
        <v>-0.23556869999999899</v>
      </c>
      <c r="AH765">
        <v>0.55281142477836098</v>
      </c>
      <c r="AI765">
        <v>113.074133030298</v>
      </c>
      <c r="AJ765">
        <v>91.392504370859697</v>
      </c>
      <c r="AK765">
        <v>0.60106045049532797</v>
      </c>
      <c r="AL765">
        <v>80.219751126623095</v>
      </c>
      <c r="AM765">
        <v>90.769314993464604</v>
      </c>
      <c r="AN765">
        <v>1.00000001713005</v>
      </c>
    </row>
    <row r="766" spans="1:40" x14ac:dyDescent="0.25">
      <c r="A766" t="str">
        <f>"20190303161855900"</f>
        <v>20190303161855900</v>
      </c>
      <c r="B766" t="str">
        <f>"1551601135893346"</f>
        <v>1551601135893346</v>
      </c>
      <c r="C766" t="s">
        <v>40</v>
      </c>
      <c r="D766">
        <v>4.3952239999999998</v>
      </c>
      <c r="E766">
        <v>0.50445699999999905</v>
      </c>
      <c r="F766" t="s">
        <v>42</v>
      </c>
      <c r="G766">
        <v>-347.75540000000001</v>
      </c>
      <c r="H766">
        <v>0.85080979999999995</v>
      </c>
      <c r="I766">
        <v>367.01280000000003</v>
      </c>
      <c r="J766">
        <v>-348.46120000000002</v>
      </c>
      <c r="K766">
        <v>1.1212200000000001</v>
      </c>
      <c r="L766">
        <v>367.00470000000001</v>
      </c>
      <c r="M766">
        <v>0.99992440000000005</v>
      </c>
      <c r="N766">
        <v>-1.197376E-2</v>
      </c>
      <c r="O766">
        <v>2.850914E-3</v>
      </c>
      <c r="P766">
        <v>0.98733579999999999</v>
      </c>
      <c r="Q766">
        <v>0.15781489999999901</v>
      </c>
      <c r="R766">
        <v>1.6215139999999999E-2</v>
      </c>
      <c r="S766">
        <v>3.195557</v>
      </c>
      <c r="T766">
        <v>-0.98375650000000003</v>
      </c>
      <c r="U766">
        <v>3.2104489999999999E-2</v>
      </c>
      <c r="V766">
        <v>-1.3404559999999999E-2</v>
      </c>
      <c r="W766">
        <v>0.16962639999999901</v>
      </c>
      <c r="X766">
        <v>0.98541730000000005</v>
      </c>
      <c r="Y766">
        <v>-6.9805980000000002E-3</v>
      </c>
      <c r="Z766">
        <v>2.6855279999999997E-4</v>
      </c>
      <c r="AA766">
        <v>0.99997559999999996</v>
      </c>
      <c r="AB766">
        <v>30</v>
      </c>
      <c r="AC766">
        <v>0.70580000000000997</v>
      </c>
      <c r="AD766">
        <v>-0.27041019999999999</v>
      </c>
      <c r="AE766">
        <v>8.1000000000130898E-3</v>
      </c>
      <c r="AF766">
        <v>-5.3085352252732103E-3</v>
      </c>
      <c r="AG766">
        <v>-0.27041019999999999</v>
      </c>
      <c r="AH766">
        <v>0.61548754369510905</v>
      </c>
      <c r="AI766">
        <v>113.717168832222</v>
      </c>
      <c r="AJ766">
        <v>90.494159671060004</v>
      </c>
      <c r="AK766">
        <v>0.67229069103633798</v>
      </c>
      <c r="AL766">
        <v>80.233902380229793</v>
      </c>
      <c r="AM766">
        <v>90.7793422622252</v>
      </c>
      <c r="AN766">
        <v>1.00000002647252</v>
      </c>
    </row>
    <row r="767" spans="1:40" x14ac:dyDescent="0.25">
      <c r="A767" t="str">
        <f>"20190303161855919"</f>
        <v>20190303161855919</v>
      </c>
      <c r="B767" t="str">
        <f>"1551601135913843"</f>
        <v>1551601135913843</v>
      </c>
      <c r="C767" t="s">
        <v>40</v>
      </c>
      <c r="D767">
        <v>4.3877519999999999</v>
      </c>
      <c r="E767">
        <v>0.50569160000000002</v>
      </c>
      <c r="F767" t="s">
        <v>42</v>
      </c>
      <c r="G767">
        <v>-347.73610000000002</v>
      </c>
      <c r="H767">
        <v>0.89593650000000002</v>
      </c>
      <c r="I767">
        <v>367.00990000000002</v>
      </c>
      <c r="J767">
        <v>-348.21460000000002</v>
      </c>
      <c r="K767">
        <v>1.1212200000000001</v>
      </c>
      <c r="L767">
        <v>367.00540000000001</v>
      </c>
      <c r="M767">
        <v>0.99992420000000004</v>
      </c>
      <c r="N767">
        <v>-1.197408E-2</v>
      </c>
      <c r="O767">
        <v>2.877138E-3</v>
      </c>
      <c r="P767">
        <v>0.98742969999999997</v>
      </c>
      <c r="Q767">
        <v>0.15721160000000001</v>
      </c>
      <c r="R767">
        <v>1.6346369999999999E-2</v>
      </c>
      <c r="S767">
        <v>3.196869</v>
      </c>
      <c r="T767">
        <v>-0.99308510000000005</v>
      </c>
      <c r="U767">
        <v>2.377319E-2</v>
      </c>
      <c r="V767">
        <v>-1.350935E-2</v>
      </c>
      <c r="W767">
        <v>0.1690239</v>
      </c>
      <c r="X767">
        <v>0.98551929999999999</v>
      </c>
      <c r="Y767">
        <v>-4.4652779999999996E-3</v>
      </c>
      <c r="Z767">
        <v>-1.345284E-4</v>
      </c>
      <c r="AA767">
        <v>0.99999000000000005</v>
      </c>
      <c r="AB767">
        <v>30</v>
      </c>
      <c r="AC767">
        <v>0.47849999999999598</v>
      </c>
      <c r="AD767">
        <v>-0.2252835</v>
      </c>
      <c r="AE767">
        <v>4.5000000000072699E-3</v>
      </c>
      <c r="AF767">
        <v>-2.5565316300591901E-3</v>
      </c>
      <c r="AG767">
        <v>-0.2252835</v>
      </c>
      <c r="AH767">
        <v>0.39169419880954298</v>
      </c>
      <c r="AI767">
        <v>119.904896814574</v>
      </c>
      <c r="AJ767">
        <v>90.373955991958695</v>
      </c>
      <c r="AK767">
        <v>0.451866724385936</v>
      </c>
      <c r="AL767">
        <v>80.268927971830905</v>
      </c>
      <c r="AM767">
        <v>90.785352720242301</v>
      </c>
      <c r="AN767">
        <v>0.99999993599055903</v>
      </c>
    </row>
    <row r="768" spans="1:40" x14ac:dyDescent="0.25">
      <c r="A768" t="str">
        <f>"20190303161855934"</f>
        <v>20190303161855934</v>
      </c>
      <c r="B768" t="str">
        <f>"1551601135924578"</f>
        <v>1551601135924578</v>
      </c>
      <c r="C768" t="s">
        <v>40</v>
      </c>
      <c r="D768">
        <v>4.3996320000000004</v>
      </c>
      <c r="E768">
        <v>0.50598620000000005</v>
      </c>
      <c r="F768" t="s">
        <v>42</v>
      </c>
      <c r="G768">
        <v>-347.47480000000002</v>
      </c>
      <c r="H768">
        <v>0.88999200000000001</v>
      </c>
      <c r="I768">
        <v>367.0086</v>
      </c>
      <c r="J768">
        <v>-348.02629999999999</v>
      </c>
      <c r="K768">
        <v>1.1212200000000001</v>
      </c>
      <c r="L768">
        <v>367.00599999999997</v>
      </c>
      <c r="M768">
        <v>0.99992429999999999</v>
      </c>
      <c r="N768">
        <v>-1.19743E-2</v>
      </c>
      <c r="O768">
        <v>2.8970440000000001E-3</v>
      </c>
      <c r="P768">
        <v>0.98747399999999996</v>
      </c>
      <c r="Q768">
        <v>0.15692929999999999</v>
      </c>
      <c r="R768">
        <v>1.6387760000000001E-2</v>
      </c>
      <c r="S768">
        <v>3.1970519999999998</v>
      </c>
      <c r="T768">
        <v>-0.99917909999999999</v>
      </c>
      <c r="U768">
        <v>1.428223E-2</v>
      </c>
      <c r="V768">
        <v>-1.353069E-2</v>
      </c>
      <c r="W768">
        <v>0.1687428</v>
      </c>
      <c r="X768">
        <v>0.98556719999999998</v>
      </c>
      <c r="Y768">
        <v>-1.6175639999999999E-3</v>
      </c>
      <c r="Z768">
        <v>-5.9360519999999896E-4</v>
      </c>
      <c r="AA768">
        <v>0.99999850000000001</v>
      </c>
      <c r="AB768">
        <v>30</v>
      </c>
      <c r="AC768">
        <v>0.55149999999997501</v>
      </c>
      <c r="AD768">
        <v>-0.23122799999999999</v>
      </c>
      <c r="AE768">
        <v>2.6000000000294598E-3</v>
      </c>
      <c r="AF768">
        <v>-8.5232899032539901E-4</v>
      </c>
      <c r="AG768">
        <v>-0.23122799999999999</v>
      </c>
      <c r="AH768">
        <v>0.46905304298454498</v>
      </c>
      <c r="AI768">
        <v>116.241770959666</v>
      </c>
      <c r="AJ768">
        <v>90.104113598414301</v>
      </c>
      <c r="AK768">
        <v>0.52295111777466297</v>
      </c>
      <c r="AL768">
        <v>80.285268756541498</v>
      </c>
      <c r="AM768">
        <v>90.786554919547797</v>
      </c>
      <c r="AN768">
        <v>0.999999958919777</v>
      </c>
    </row>
    <row r="769" spans="1:40" x14ac:dyDescent="0.25">
      <c r="A769" t="str">
        <f>"20190303161855948"</f>
        <v>20190303161855948</v>
      </c>
      <c r="B769" t="str">
        <f>"1551601135944099"</f>
        <v>1551601135944099</v>
      </c>
      <c r="C769" t="s">
        <v>40</v>
      </c>
      <c r="D769">
        <v>4.3507220000000002</v>
      </c>
      <c r="E769">
        <v>0.50629659999999999</v>
      </c>
      <c r="F769" t="s">
        <v>42</v>
      </c>
      <c r="G769">
        <v>-347.2201</v>
      </c>
      <c r="H769">
        <v>0.86877629999999995</v>
      </c>
      <c r="I769">
        <v>367.00889999999998</v>
      </c>
      <c r="J769">
        <v>-347.834</v>
      </c>
      <c r="K769">
        <v>1.1212200000000001</v>
      </c>
      <c r="L769">
        <v>367.00650000000002</v>
      </c>
      <c r="M769">
        <v>0.99992420000000004</v>
      </c>
      <c r="N769">
        <v>-1.1974500000000001E-2</v>
      </c>
      <c r="O769">
        <v>2.917368E-3</v>
      </c>
      <c r="P769">
        <v>0.98744399999999999</v>
      </c>
      <c r="Q769">
        <v>0.1571167</v>
      </c>
      <c r="R769">
        <v>1.6391180000000002E-2</v>
      </c>
      <c r="S769">
        <v>3.1969599999999998</v>
      </c>
      <c r="T769">
        <v>-1.0009859999999999</v>
      </c>
      <c r="U769">
        <v>1.211548E-2</v>
      </c>
      <c r="V769">
        <v>-1.3514740000000001E-2</v>
      </c>
      <c r="W769">
        <v>0.16892939999999901</v>
      </c>
      <c r="X769">
        <v>0.98553550000000001</v>
      </c>
      <c r="Y769">
        <v>-9.5377109999999999E-4</v>
      </c>
      <c r="Z769">
        <v>-7.0626199999999895E-4</v>
      </c>
      <c r="AA769">
        <v>0.99999930000000004</v>
      </c>
      <c r="AB769">
        <v>30</v>
      </c>
      <c r="AC769">
        <v>0.613900000000001</v>
      </c>
      <c r="AD769">
        <v>-0.25244369999999999</v>
      </c>
      <c r="AE769">
        <v>2.3999999999659801E-3</v>
      </c>
      <c r="AF769">
        <v>-5.2082179513771097E-4</v>
      </c>
      <c r="AG769">
        <v>-0.25244369999999999</v>
      </c>
      <c r="AH769">
        <v>0.52511141069117095</v>
      </c>
      <c r="AI769">
        <v>115.675589683865</v>
      </c>
      <c r="AJ769">
        <v>90.056827713790099</v>
      </c>
      <c r="AK769">
        <v>0.58264061527077204</v>
      </c>
      <c r="AL769">
        <v>80.274422107017102</v>
      </c>
      <c r="AM769">
        <v>90.785653110325697</v>
      </c>
      <c r="AN769">
        <v>1.00000000607093</v>
      </c>
    </row>
    <row r="770" spans="1:40" x14ac:dyDescent="0.25">
      <c r="A770" t="str">
        <f>"20190303161855962"</f>
        <v>20190303161855962</v>
      </c>
      <c r="B770" t="str">
        <f>"1551601135953858"</f>
        <v>1551601135953858</v>
      </c>
      <c r="C770" t="s">
        <v>40</v>
      </c>
      <c r="D770">
        <v>4.4154309999999999</v>
      </c>
      <c r="E770">
        <v>0.50645649999999998</v>
      </c>
      <c r="F770" t="s">
        <v>42</v>
      </c>
      <c r="G770">
        <v>-346.96469999999999</v>
      </c>
      <c r="H770">
        <v>0.84914259999999997</v>
      </c>
      <c r="I770">
        <v>367.00900000000001</v>
      </c>
      <c r="J770">
        <v>-347.63420000000002</v>
      </c>
      <c r="K770">
        <v>1.1212169999999999</v>
      </c>
      <c r="L770">
        <v>367.00709999999998</v>
      </c>
      <c r="M770">
        <v>0.99992409999999998</v>
      </c>
      <c r="N770">
        <v>-1.197469E-2</v>
      </c>
      <c r="O770">
        <v>2.9382309999999999E-3</v>
      </c>
      <c r="P770">
        <v>0.98745479999999997</v>
      </c>
      <c r="Q770">
        <v>0.15704589999999999</v>
      </c>
      <c r="R770">
        <v>1.6427069999999998E-2</v>
      </c>
      <c r="S770">
        <v>3.197235</v>
      </c>
      <c r="T770">
        <v>-1.000672</v>
      </c>
      <c r="U770">
        <v>9.3688959999999998E-3</v>
      </c>
      <c r="V770">
        <v>-1.352947E-2</v>
      </c>
      <c r="W770">
        <v>0.16885939999999999</v>
      </c>
      <c r="X770">
        <v>0.98554730000000001</v>
      </c>
      <c r="Y770">
        <v>-1.160749E-4</v>
      </c>
      <c r="Z770">
        <v>-8.4527739999999999E-4</v>
      </c>
      <c r="AA770">
        <v>0.99999959999999999</v>
      </c>
      <c r="AB770">
        <v>30</v>
      </c>
      <c r="AC770">
        <v>0.66950000000002696</v>
      </c>
      <c r="AD770">
        <v>-0.27207439999999899</v>
      </c>
      <c r="AE770">
        <v>1.90000000003465E-3</v>
      </c>
      <c r="AF770" s="1">
        <v>5.7756387294198801E-5</v>
      </c>
      <c r="AG770">
        <v>-0.27207439999999899</v>
      </c>
      <c r="AH770">
        <v>0.57460791665997701</v>
      </c>
      <c r="AI770">
        <v>115.33735548616301</v>
      </c>
      <c r="AJ770">
        <v>89.994240947392498</v>
      </c>
      <c r="AK770">
        <v>0.63576626236336198</v>
      </c>
      <c r="AL770">
        <v>80.278491327027993</v>
      </c>
      <c r="AM770">
        <v>90.786499886975704</v>
      </c>
      <c r="AN770">
        <v>1.00000001203206</v>
      </c>
    </row>
    <row r="771" spans="1:40" x14ac:dyDescent="0.25">
      <c r="A771" t="str">
        <f>"20190303161855977"</f>
        <v>20190303161855977</v>
      </c>
      <c r="B771" t="str">
        <f>"1551601135974355"</f>
        <v>1551601135974355</v>
      </c>
      <c r="C771" t="s">
        <v>40</v>
      </c>
      <c r="D771">
        <v>4.3879060000000001</v>
      </c>
      <c r="E771">
        <v>0.50677749999999999</v>
      </c>
      <c r="F771" t="s">
        <v>42</v>
      </c>
      <c r="G771">
        <v>-346.9409</v>
      </c>
      <c r="H771">
        <v>0.90420210000000001</v>
      </c>
      <c r="I771">
        <v>367.00880000000001</v>
      </c>
      <c r="J771">
        <v>-347.44349999999997</v>
      </c>
      <c r="K771">
        <v>1.121218</v>
      </c>
      <c r="L771">
        <v>367.0077</v>
      </c>
      <c r="M771">
        <v>0.99992400000000004</v>
      </c>
      <c r="N771">
        <v>-1.19749E-2</v>
      </c>
      <c r="O771">
        <v>2.9586130000000001E-3</v>
      </c>
      <c r="P771">
        <v>0.98740070000000002</v>
      </c>
      <c r="Q771">
        <v>0.15737760000000001</v>
      </c>
      <c r="R771">
        <v>1.650745E-2</v>
      </c>
      <c r="S771">
        <v>3.1971440000000002</v>
      </c>
      <c r="T771">
        <v>-1.0007790000000001</v>
      </c>
      <c r="U771">
        <v>7.9650880000000004E-3</v>
      </c>
      <c r="V771">
        <v>-1.359025E-2</v>
      </c>
      <c r="W771">
        <v>0.1691907</v>
      </c>
      <c r="X771">
        <v>0.98548959999999997</v>
      </c>
      <c r="Y771">
        <v>3.206331E-4</v>
      </c>
      <c r="Z771">
        <v>-9.208148E-4</v>
      </c>
      <c r="AA771">
        <v>0.99999950000000004</v>
      </c>
      <c r="AB771">
        <v>30</v>
      </c>
      <c r="AC771">
        <v>0.50259999999997196</v>
      </c>
      <c r="AD771">
        <v>-0.21701590000000001</v>
      </c>
      <c r="AE771">
        <v>1.1000000000080899E-3</v>
      </c>
      <c r="AF771">
        <v>3.2627915851272E-4</v>
      </c>
      <c r="AG771">
        <v>-0.21701590000000001</v>
      </c>
      <c r="AH771">
        <v>0.42362159613196698</v>
      </c>
      <c r="AI771">
        <v>117.12547334139499</v>
      </c>
      <c r="AJ771">
        <v>89.955870014182693</v>
      </c>
      <c r="AK771">
        <v>0.475974016118836</v>
      </c>
      <c r="AL771">
        <v>80.259231713836002</v>
      </c>
      <c r="AM771">
        <v>90.790078974603801</v>
      </c>
      <c r="AN771">
        <v>0.99999996978485495</v>
      </c>
    </row>
    <row r="772" spans="1:40" x14ac:dyDescent="0.25">
      <c r="A772" t="str">
        <f>"20190303161855990"</f>
        <v>20190303161855990</v>
      </c>
      <c r="B772" t="str">
        <f>"1551601135984114"</f>
        <v>1551601135984114</v>
      </c>
      <c r="C772" t="s">
        <v>40</v>
      </c>
      <c r="D772">
        <v>4.3854480000000002</v>
      </c>
      <c r="E772">
        <v>0.50678979999999996</v>
      </c>
      <c r="F772" t="s">
        <v>42</v>
      </c>
      <c r="G772">
        <v>-346.68540000000002</v>
      </c>
      <c r="H772">
        <v>0.88451229999999903</v>
      </c>
      <c r="I772">
        <v>367.00869999999998</v>
      </c>
      <c r="J772">
        <v>-347.26100000000002</v>
      </c>
      <c r="K772">
        <v>1.121221</v>
      </c>
      <c r="L772">
        <v>367.00830000000002</v>
      </c>
      <c r="M772">
        <v>0.99992380000000003</v>
      </c>
      <c r="N772">
        <v>-1.1975110000000001E-2</v>
      </c>
      <c r="O772">
        <v>2.9783380000000001E-3</v>
      </c>
      <c r="P772">
        <v>0.98734069999999996</v>
      </c>
      <c r="Q772">
        <v>0.1577537</v>
      </c>
      <c r="R772">
        <v>1.6507609999999999E-2</v>
      </c>
      <c r="S772">
        <v>3.197327</v>
      </c>
      <c r="T772">
        <v>-0.99835160000000001</v>
      </c>
      <c r="U772">
        <v>5.1574709999999899E-3</v>
      </c>
      <c r="V772">
        <v>-1.35715E-2</v>
      </c>
      <c r="W772">
        <v>0.1695662</v>
      </c>
      <c r="X772">
        <v>0.98542540000000001</v>
      </c>
      <c r="Y772">
        <v>1.1761089999999901E-3</v>
      </c>
      <c r="Z772">
        <v>-1.0600360000000001E-3</v>
      </c>
      <c r="AA772">
        <v>0.99999870000000002</v>
      </c>
      <c r="AB772">
        <v>30</v>
      </c>
      <c r="AC772">
        <v>0.57559999999995104</v>
      </c>
      <c r="AD772">
        <v>-0.23670869999999999</v>
      </c>
      <c r="AE772">
        <v>3.9999999995643499E-4</v>
      </c>
      <c r="AF772">
        <v>1.12431555541454E-3</v>
      </c>
      <c r="AG772">
        <v>-0.23670869999999999</v>
      </c>
      <c r="AH772">
        <v>0.492336313847131</v>
      </c>
      <c r="AI772">
        <v>115.677565451879</v>
      </c>
      <c r="AJ772">
        <v>89.8691576827175</v>
      </c>
      <c r="AK772">
        <v>0.54628501597036205</v>
      </c>
      <c r="AL772">
        <v>80.237402522726995</v>
      </c>
      <c r="AM772">
        <v>90.7890404635029</v>
      </c>
      <c r="AN772">
        <v>1.00000005037992</v>
      </c>
    </row>
    <row r="773" spans="1:40" x14ac:dyDescent="0.25">
      <c r="A773" t="str">
        <f>"20190303161856003"</f>
        <v>20190303161856003</v>
      </c>
      <c r="B773" t="str">
        <f>"1551601135993875"</f>
        <v>1551601135993875</v>
      </c>
      <c r="C773" t="s">
        <v>40</v>
      </c>
      <c r="D773">
        <v>4.4019539999999999</v>
      </c>
      <c r="E773">
        <v>0.50679649999999998</v>
      </c>
      <c r="F773" t="s">
        <v>42</v>
      </c>
      <c r="G773">
        <v>-346.43110000000001</v>
      </c>
      <c r="H773">
        <v>0.86237229999999998</v>
      </c>
      <c r="I773">
        <v>367.0095</v>
      </c>
      <c r="J773">
        <v>-347.09010000000001</v>
      </c>
      <c r="K773">
        <v>1.1212279999999999</v>
      </c>
      <c r="L773">
        <v>367.00880000000001</v>
      </c>
      <c r="M773">
        <v>0.99992380000000003</v>
      </c>
      <c r="N773">
        <v>-1.1975329999999999E-2</v>
      </c>
      <c r="O773">
        <v>2.9965149999999999E-3</v>
      </c>
      <c r="P773">
        <v>0.98731650000000004</v>
      </c>
      <c r="Q773">
        <v>0.15791169999999999</v>
      </c>
      <c r="R773">
        <v>1.6441279999999999E-2</v>
      </c>
      <c r="S773">
        <v>3.1977229999999999</v>
      </c>
      <c r="T773">
        <v>-0.99726709999999996</v>
      </c>
      <c r="U773">
        <v>4.7302250000000002E-3</v>
      </c>
      <c r="V773">
        <v>-1.3487030000000001E-2</v>
      </c>
      <c r="W773">
        <v>0.1697236</v>
      </c>
      <c r="X773">
        <v>0.98539940000000004</v>
      </c>
      <c r="Y773">
        <v>1.320615E-3</v>
      </c>
      <c r="Z773">
        <v>-1.086998E-3</v>
      </c>
      <c r="AA773">
        <v>0.99999850000000001</v>
      </c>
      <c r="AB773">
        <v>30</v>
      </c>
      <c r="AC773">
        <v>0.65899999999999104</v>
      </c>
      <c r="AD773">
        <v>-0.25885570000000002</v>
      </c>
      <c r="AE773">
        <v>6.9999999999481501E-4</v>
      </c>
      <c r="AF773">
        <v>1.1044413850112599E-3</v>
      </c>
      <c r="AG773">
        <v>-0.25885570000000002</v>
      </c>
      <c r="AH773">
        <v>0.57091185688343205</v>
      </c>
      <c r="AI773">
        <v>114.389854213386</v>
      </c>
      <c r="AJ773">
        <v>89.889160208569805</v>
      </c>
      <c r="AK773">
        <v>0.62685551887444602</v>
      </c>
      <c r="AL773">
        <v>80.228250919939697</v>
      </c>
      <c r="AM773">
        <v>90.784150720437793</v>
      </c>
      <c r="AN773">
        <v>0.99999998894776998</v>
      </c>
    </row>
    <row r="774" spans="1:40" x14ac:dyDescent="0.25">
      <c r="A774" t="str">
        <f>"20190303161856019"</f>
        <v>20190303161856019</v>
      </c>
      <c r="B774" t="str">
        <f>"1551601136013394"</f>
        <v>1551601136013394</v>
      </c>
      <c r="C774" t="s">
        <v>40</v>
      </c>
      <c r="D774">
        <v>4.4173070000000001</v>
      </c>
      <c r="E774">
        <v>0.50687229999999905</v>
      </c>
      <c r="F774" t="s">
        <v>42</v>
      </c>
      <c r="G774">
        <v>-346.41070000000002</v>
      </c>
      <c r="H774">
        <v>0.90947160000000005</v>
      </c>
      <c r="I774">
        <v>367.00990000000002</v>
      </c>
      <c r="J774">
        <v>-346.90179999999998</v>
      </c>
      <c r="K774">
        <v>1.121232</v>
      </c>
      <c r="L774">
        <v>367.00940000000003</v>
      </c>
      <c r="M774">
        <v>0.99992389999999998</v>
      </c>
      <c r="N774">
        <v>-1.1975589999999999E-2</v>
      </c>
      <c r="O774">
        <v>3.016361E-3</v>
      </c>
      <c r="P774">
        <v>0.98722399999999999</v>
      </c>
      <c r="Q774">
        <v>0.15848599999999999</v>
      </c>
      <c r="R774">
        <v>1.6468460000000001E-2</v>
      </c>
      <c r="S774">
        <v>3.1978149999999999</v>
      </c>
      <c r="T774">
        <v>-0.99653239999999998</v>
      </c>
      <c r="U774">
        <v>5.3405759999999997E-3</v>
      </c>
      <c r="V774">
        <v>-1.3494600000000001E-2</v>
      </c>
      <c r="W774">
        <v>0.17029739999999999</v>
      </c>
      <c r="X774">
        <v>0.98530030000000002</v>
      </c>
      <c r="Y774">
        <v>1.1571369999999999E-3</v>
      </c>
      <c r="Z774">
        <v>-1.066106E-3</v>
      </c>
      <c r="AA774">
        <v>0.99999870000000002</v>
      </c>
      <c r="AB774">
        <v>30</v>
      </c>
      <c r="AC774">
        <v>0.49109999999996001</v>
      </c>
      <c r="AD774">
        <v>-0.21176039999999999</v>
      </c>
      <c r="AE774">
        <v>4.9999999998817603E-4</v>
      </c>
      <c r="AF774">
        <v>8.2757267521176698E-4</v>
      </c>
      <c r="AG774">
        <v>-0.21176039999999999</v>
      </c>
      <c r="AH774">
        <v>0.414104816755901</v>
      </c>
      <c r="AI774">
        <v>117.083751819733</v>
      </c>
      <c r="AJ774">
        <v>89.885496723325005</v>
      </c>
      <c r="AK774">
        <v>0.46510853695146398</v>
      </c>
      <c r="AL774">
        <v>80.194888984443097</v>
      </c>
      <c r="AM774">
        <v>90.784669696617101</v>
      </c>
      <c r="AN774">
        <v>0.99999999492800495</v>
      </c>
    </row>
    <row r="775" spans="1:40" x14ac:dyDescent="0.25">
      <c r="A775" t="str">
        <f>"20190303161856030"</f>
        <v>20190303161856030</v>
      </c>
      <c r="B775" t="str">
        <f>"1551601136024130"</f>
        <v>1551601136024130</v>
      </c>
      <c r="C775" t="s">
        <v>40</v>
      </c>
      <c r="D775">
        <v>4.496048</v>
      </c>
      <c r="E775">
        <v>0.50687229999999905</v>
      </c>
      <c r="F775" t="s">
        <v>42</v>
      </c>
      <c r="G775">
        <v>-346.15519999999998</v>
      </c>
      <c r="H775">
        <v>0.88971230000000001</v>
      </c>
      <c r="I775">
        <v>367.01060000000001</v>
      </c>
      <c r="J775">
        <v>-346.73399999999998</v>
      </c>
      <c r="K775">
        <v>1.1212329999999999</v>
      </c>
      <c r="L775">
        <v>367.00990000000002</v>
      </c>
      <c r="M775">
        <v>0.99992369999999997</v>
      </c>
      <c r="N775">
        <v>-1.197584E-2</v>
      </c>
      <c r="O775">
        <v>3.0343610000000002E-3</v>
      </c>
      <c r="P775">
        <v>0.98716550000000003</v>
      </c>
      <c r="Q775">
        <v>0.15885639999999901</v>
      </c>
      <c r="R775">
        <v>1.6404660000000001E-2</v>
      </c>
      <c r="S775">
        <v>3.197937</v>
      </c>
      <c r="T775">
        <v>-0.99161619999999995</v>
      </c>
      <c r="U775">
        <v>5.7373049999999998E-3</v>
      </c>
      <c r="V775">
        <v>-1.3413380000000001E-2</v>
      </c>
      <c r="W775">
        <v>0.1706676</v>
      </c>
      <c r="X775">
        <v>0.98523740000000004</v>
      </c>
      <c r="Y775">
        <v>1.0571300000000001E-3</v>
      </c>
      <c r="Z775">
        <v>-1.050381E-3</v>
      </c>
      <c r="AA775">
        <v>0.99999890000000002</v>
      </c>
      <c r="AB775">
        <v>30</v>
      </c>
      <c r="AC775">
        <v>0.57880000000005705</v>
      </c>
      <c r="AD775">
        <v>-0.231520699999999</v>
      </c>
      <c r="AE775">
        <v>6.9999999999481501E-4</v>
      </c>
      <c r="AF775">
        <v>9.1070399110972805E-4</v>
      </c>
      <c r="AG775">
        <v>-0.231520699999999</v>
      </c>
      <c r="AH775">
        <v>0.49896473553618598</v>
      </c>
      <c r="AI775">
        <v>114.891364099779</v>
      </c>
      <c r="AJ775">
        <v>89.895424599338895</v>
      </c>
      <c r="AK775">
        <v>0.55006224304068096</v>
      </c>
      <c r="AL775">
        <v>80.173363422042399</v>
      </c>
      <c r="AM775">
        <v>90.7799973749553</v>
      </c>
      <c r="AN775">
        <v>1.0000000414057699</v>
      </c>
    </row>
    <row r="776" spans="1:40" x14ac:dyDescent="0.25">
      <c r="A776" t="str">
        <f>"20190303161856041"</f>
        <v>20190303161856041</v>
      </c>
      <c r="B776" t="str">
        <f>"1551601136033890"</f>
        <v>1551601136033890</v>
      </c>
      <c r="C776" t="s">
        <v>40</v>
      </c>
      <c r="D776">
        <v>4.4813429999999999</v>
      </c>
      <c r="E776">
        <v>0.51654549999999999</v>
      </c>
      <c r="F776" t="s">
        <v>42</v>
      </c>
      <c r="G776">
        <v>-345.90249999999997</v>
      </c>
      <c r="H776">
        <v>0.86370740000000001</v>
      </c>
      <c r="I776">
        <v>367.01139999999998</v>
      </c>
      <c r="J776">
        <v>-346.59199999999998</v>
      </c>
      <c r="K776">
        <v>1.121235</v>
      </c>
      <c r="L776">
        <v>367.0104</v>
      </c>
      <c r="M776">
        <v>0.99992360000000002</v>
      </c>
      <c r="N776">
        <v>-1.197605E-2</v>
      </c>
      <c r="O776">
        <v>3.0492029999999999E-3</v>
      </c>
      <c r="P776">
        <v>0.987201</v>
      </c>
      <c r="Q776">
        <v>0.158638</v>
      </c>
      <c r="R776">
        <v>1.6385259999999999E-2</v>
      </c>
      <c r="S776">
        <v>3.1982729999999999</v>
      </c>
      <c r="T776">
        <v>-0.99046310000000004</v>
      </c>
      <c r="U776">
        <v>5.6152340000000002E-3</v>
      </c>
      <c r="V776">
        <v>-1.3379129999999999E-2</v>
      </c>
      <c r="W776">
        <v>0.17044960000000001</v>
      </c>
      <c r="X776">
        <v>0.98527560000000003</v>
      </c>
      <c r="Y776">
        <v>1.107687E-3</v>
      </c>
      <c r="Z776">
        <v>-1.061347E-3</v>
      </c>
      <c r="AA776">
        <v>0.99999879999999997</v>
      </c>
      <c r="AB776">
        <v>30</v>
      </c>
      <c r="AC776">
        <v>0.68950000000000899</v>
      </c>
      <c r="AD776">
        <v>-0.25752760000000002</v>
      </c>
      <c r="AE776">
        <v>9.9999999997635292E-4</v>
      </c>
      <c r="AF776">
        <v>9.6759962075150595E-4</v>
      </c>
      <c r="AG776">
        <v>-0.25752760000000002</v>
      </c>
      <c r="AH776">
        <v>0.60508914945409198</v>
      </c>
      <c r="AI776">
        <v>113.054710264736</v>
      </c>
      <c r="AJ776">
        <v>89.908378249184594</v>
      </c>
      <c r="AK776">
        <v>0.65761256055359996</v>
      </c>
      <c r="AL776">
        <v>80.186039601661506</v>
      </c>
      <c r="AM776">
        <v>90.7779757984936</v>
      </c>
      <c r="AN776">
        <v>1.00000003760753</v>
      </c>
    </row>
    <row r="777" spans="1:40" x14ac:dyDescent="0.25">
      <c r="A777" t="str">
        <f>"20190303161856052"</f>
        <v>20190303161856052</v>
      </c>
      <c r="B777" t="str">
        <f>"1551601136043650"</f>
        <v>1551601136043650</v>
      </c>
      <c r="C777" t="s">
        <v>40</v>
      </c>
      <c r="D777">
        <v>4.4605399999999999</v>
      </c>
      <c r="E777">
        <v>0.52039789999999997</v>
      </c>
      <c r="F777" t="s">
        <v>42</v>
      </c>
      <c r="G777">
        <v>-345.87639999999999</v>
      </c>
      <c r="H777">
        <v>0.92552670000000004</v>
      </c>
      <c r="I777">
        <v>366.99400000000003</v>
      </c>
      <c r="J777">
        <v>-346.44900000000001</v>
      </c>
      <c r="K777">
        <v>1.121235</v>
      </c>
      <c r="L777">
        <v>367.01089999999999</v>
      </c>
      <c r="M777">
        <v>0.99992369999999997</v>
      </c>
      <c r="N777">
        <v>-1.1976260000000001E-2</v>
      </c>
      <c r="O777">
        <v>3.06434E-3</v>
      </c>
      <c r="P777">
        <v>0.98718229999999996</v>
      </c>
      <c r="Q777">
        <v>0.15875320000000001</v>
      </c>
      <c r="R777">
        <v>1.63984E-2</v>
      </c>
      <c r="S777">
        <v>3.1799010000000001</v>
      </c>
      <c r="T777">
        <v>-0.86968040000000002</v>
      </c>
      <c r="U777">
        <v>-7.2723389999999999E-2</v>
      </c>
      <c r="V777">
        <v>-1.3377450000000001E-2</v>
      </c>
      <c r="W777">
        <v>0.17056470000000001</v>
      </c>
      <c r="X777">
        <v>0.98525569999999896</v>
      </c>
      <c r="Y777">
        <v>2.4870139999999999E-2</v>
      </c>
      <c r="Z777">
        <v>-4.2777279999999997E-3</v>
      </c>
      <c r="AA777">
        <v>0.9996815</v>
      </c>
      <c r="AB777">
        <v>30</v>
      </c>
      <c r="AC777">
        <v>0.57260000000002198</v>
      </c>
      <c r="AD777">
        <v>-0.195708299999999</v>
      </c>
      <c r="AE777">
        <v>-1.68999999999641E-2</v>
      </c>
      <c r="AF777">
        <v>1.6704923010896398E-2</v>
      </c>
      <c r="AG777">
        <v>-0.195708299999999</v>
      </c>
      <c r="AH777">
        <v>0.51270378549680995</v>
      </c>
      <c r="AI777">
        <v>110.882634088507</v>
      </c>
      <c r="AJ777">
        <v>88.133848161996596</v>
      </c>
      <c r="AK777">
        <v>0.54904095002508602</v>
      </c>
      <c r="AL777">
        <v>80.179346813431806</v>
      </c>
      <c r="AM777">
        <v>90.777893830584205</v>
      </c>
      <c r="AN777">
        <v>1.00000003371854</v>
      </c>
    </row>
    <row r="778" spans="1:40" x14ac:dyDescent="0.25">
      <c r="A778" t="str">
        <f>"20190303161856064"</f>
        <v>20190303161856064</v>
      </c>
      <c r="B778" t="str">
        <f>"1551601136053411"</f>
        <v>1551601136053411</v>
      </c>
      <c r="C778" t="s">
        <v>40</v>
      </c>
      <c r="D778">
        <v>4.4695710000000002</v>
      </c>
      <c r="E778">
        <v>0.52238629999999997</v>
      </c>
      <c r="F778" t="s">
        <v>42</v>
      </c>
      <c r="G778">
        <v>-345.62720000000002</v>
      </c>
      <c r="H778">
        <v>0.89296849999999905</v>
      </c>
      <c r="I778">
        <v>366.9837</v>
      </c>
      <c r="J778">
        <v>-346.29559999999998</v>
      </c>
      <c r="K778">
        <v>1.121237</v>
      </c>
      <c r="L778">
        <v>367.01130000000001</v>
      </c>
      <c r="M778">
        <v>0.99992349999999997</v>
      </c>
      <c r="N778">
        <v>-1.1976479999999999E-2</v>
      </c>
      <c r="O778">
        <v>3.0809660000000001E-3</v>
      </c>
      <c r="P778">
        <v>0.98716110000000001</v>
      </c>
      <c r="Q778">
        <v>0.1588782</v>
      </c>
      <c r="R778">
        <v>1.6455399999999999E-2</v>
      </c>
      <c r="S778">
        <v>3.1828310000000002</v>
      </c>
      <c r="T778">
        <v>-0.88417670000000004</v>
      </c>
      <c r="U778">
        <v>-0.1039429</v>
      </c>
      <c r="V778">
        <v>-1.3418029999999999E-2</v>
      </c>
      <c r="W778">
        <v>0.1706897</v>
      </c>
      <c r="X778">
        <v>0.98523349999999998</v>
      </c>
      <c r="Y778">
        <v>3.4258570000000002E-2</v>
      </c>
      <c r="Z778">
        <v>-5.6815700000000004E-3</v>
      </c>
      <c r="AA778">
        <v>0.99939690000000003</v>
      </c>
      <c r="AB778">
        <v>30</v>
      </c>
      <c r="AC778">
        <v>0.66839999999996202</v>
      </c>
      <c r="AD778">
        <v>-0.22826850000000001</v>
      </c>
      <c r="AE778">
        <v>-2.7600000000006699E-2</v>
      </c>
      <c r="AF778">
        <v>2.65661371465164E-2</v>
      </c>
      <c r="AG778">
        <v>-0.22826850000000001</v>
      </c>
      <c r="AH778">
        <v>0.59861298014117303</v>
      </c>
      <c r="AI778">
        <v>110.85454159104501</v>
      </c>
      <c r="AJ778">
        <v>87.458910064270995</v>
      </c>
      <c r="AK778">
        <v>0.641209612941535</v>
      </c>
      <c r="AL778">
        <v>80.172078249100494</v>
      </c>
      <c r="AM778">
        <v>90.780270830535201</v>
      </c>
      <c r="AN778">
        <v>1.0000000333687</v>
      </c>
    </row>
    <row r="779" spans="1:40" x14ac:dyDescent="0.25">
      <c r="A779" t="str">
        <f>"20190303161856076"</f>
        <v>20190303161856076</v>
      </c>
      <c r="B779" t="str">
        <f>"1551601136073907"</f>
        <v>1551601136073907</v>
      </c>
      <c r="C779" t="s">
        <v>40</v>
      </c>
      <c r="D779">
        <v>4.4716319999999996</v>
      </c>
      <c r="E779">
        <v>0.52452129999999997</v>
      </c>
      <c r="F779" t="s">
        <v>42</v>
      </c>
      <c r="G779">
        <v>-345.61059999999998</v>
      </c>
      <c r="H779">
        <v>0.93044559999999998</v>
      </c>
      <c r="I779">
        <v>366.98520000000002</v>
      </c>
      <c r="J779">
        <v>-346.1388</v>
      </c>
      <c r="K779">
        <v>1.121237</v>
      </c>
      <c r="L779">
        <v>367.01179999999999</v>
      </c>
      <c r="M779">
        <v>0.99992360000000002</v>
      </c>
      <c r="N779">
        <v>-1.197671E-2</v>
      </c>
      <c r="O779">
        <v>3.0974739999999998E-3</v>
      </c>
      <c r="P779">
        <v>0.98718879999999998</v>
      </c>
      <c r="Q779">
        <v>0.1586892</v>
      </c>
      <c r="R779">
        <v>1.662957E-2</v>
      </c>
      <c r="S779">
        <v>3.1837460000000002</v>
      </c>
      <c r="T779">
        <v>-0.88680569999999903</v>
      </c>
      <c r="U779">
        <v>-0.1199341</v>
      </c>
      <c r="V779">
        <v>-1.357586E-2</v>
      </c>
      <c r="W779">
        <v>0.17050129999999999</v>
      </c>
      <c r="X779">
        <v>0.98526389999999997</v>
      </c>
      <c r="Y779">
        <v>3.9079419999999997E-2</v>
      </c>
      <c r="Z779">
        <v>-6.3878090000000004E-3</v>
      </c>
      <c r="AA779">
        <v>0.99921570000000004</v>
      </c>
      <c r="AB779">
        <v>30</v>
      </c>
      <c r="AC779">
        <v>0.52820000000002598</v>
      </c>
      <c r="AD779">
        <v>-0.1907914</v>
      </c>
      <c r="AE779">
        <v>-2.6599999999973499E-2</v>
      </c>
      <c r="AF779">
        <v>2.49845157508433E-2</v>
      </c>
      <c r="AG779">
        <v>-0.1907914</v>
      </c>
      <c r="AH779">
        <v>0.46729933502195897</v>
      </c>
      <c r="AI779">
        <v>112.180863878694</v>
      </c>
      <c r="AJ779">
        <v>86.939551367904102</v>
      </c>
      <c r="AK779">
        <v>0.50536546464239995</v>
      </c>
      <c r="AL779">
        <v>80.183032783939595</v>
      </c>
      <c r="AM779">
        <v>90.789423280852205</v>
      </c>
      <c r="AN779">
        <v>0.99999997495981896</v>
      </c>
    </row>
    <row r="780" spans="1:40" x14ac:dyDescent="0.25">
      <c r="A780" t="str">
        <f>"20190303161856088"</f>
        <v>20190303161856088</v>
      </c>
      <c r="B780" t="str">
        <f>"1551601136083666"</f>
        <v>1551601136083666</v>
      </c>
      <c r="C780" t="s">
        <v>40</v>
      </c>
      <c r="D780">
        <v>4.4544579999999998</v>
      </c>
      <c r="E780">
        <v>0.52506730000000001</v>
      </c>
      <c r="F780" t="s">
        <v>42</v>
      </c>
      <c r="G780">
        <v>-345.35969999999998</v>
      </c>
      <c r="H780">
        <v>0.90174929999999998</v>
      </c>
      <c r="I780">
        <v>366.97840000000002</v>
      </c>
      <c r="J780">
        <v>-345.98079999999999</v>
      </c>
      <c r="K780">
        <v>1.1212359999999999</v>
      </c>
      <c r="L780">
        <v>367.01229999999998</v>
      </c>
      <c r="M780">
        <v>0.99992340000000002</v>
      </c>
      <c r="N780">
        <v>-1.197694E-2</v>
      </c>
      <c r="O780">
        <v>3.1144580000000001E-3</v>
      </c>
      <c r="P780">
        <v>0.98716510000000002</v>
      </c>
      <c r="Q780">
        <v>0.15883929999999999</v>
      </c>
      <c r="R780">
        <v>1.658372E-2</v>
      </c>
      <c r="S780">
        <v>3.1855470000000001</v>
      </c>
      <c r="T780">
        <v>-0.89743189999999995</v>
      </c>
      <c r="U780">
        <v>-0.1364136</v>
      </c>
      <c r="V780">
        <v>-1.3513020000000001E-2</v>
      </c>
      <c r="W780">
        <v>0.1706512</v>
      </c>
      <c r="X780">
        <v>0.98523890000000003</v>
      </c>
      <c r="Y780">
        <v>4.3998799999999998E-2</v>
      </c>
      <c r="Z780">
        <v>-7.1692689999999998E-3</v>
      </c>
      <c r="AA780">
        <v>0.9990059</v>
      </c>
      <c r="AB780">
        <v>30</v>
      </c>
      <c r="AC780">
        <v>0.62110000000001198</v>
      </c>
      <c r="AD780">
        <v>-0.21948670000000001</v>
      </c>
      <c r="AE780">
        <v>-3.3899999999959997E-2</v>
      </c>
      <c r="AF780">
        <v>3.1866670088384799E-2</v>
      </c>
      <c r="AG780">
        <v>-0.21948670000000001</v>
      </c>
      <c r="AH780">
        <v>0.55223326779993498</v>
      </c>
      <c r="AI780">
        <v>111.642820980735</v>
      </c>
      <c r="AJ780">
        <v>86.697404417590107</v>
      </c>
      <c r="AK780">
        <v>0.59510627471436295</v>
      </c>
      <c r="AL780">
        <v>80.174317266202493</v>
      </c>
      <c r="AM780">
        <v>90.785789590206093</v>
      </c>
      <c r="AN780">
        <v>1.0000000619220799</v>
      </c>
    </row>
    <row r="781" spans="1:40" x14ac:dyDescent="0.25">
      <c r="A781" t="str">
        <f>"20190303161856103"</f>
        <v>20190303161856103</v>
      </c>
      <c r="B781" t="str">
        <f>"1551601136094402"</f>
        <v>1551601136094402</v>
      </c>
      <c r="C781" t="s">
        <v>40</v>
      </c>
      <c r="D781">
        <v>4.4936550000000004</v>
      </c>
      <c r="E781">
        <v>0.52561749999999996</v>
      </c>
      <c r="F781" t="s">
        <v>42</v>
      </c>
      <c r="G781">
        <v>-345.10759999999999</v>
      </c>
      <c r="H781">
        <v>0.87456309999999904</v>
      </c>
      <c r="I781">
        <v>366.9735</v>
      </c>
      <c r="J781">
        <v>-345.78489999999999</v>
      </c>
      <c r="K781">
        <v>1.1212310000000001</v>
      </c>
      <c r="L781">
        <v>367.01299999999998</v>
      </c>
      <c r="M781">
        <v>0.99992329999999996</v>
      </c>
      <c r="N781">
        <v>-1.197723E-2</v>
      </c>
      <c r="O781">
        <v>3.1356719999999999E-3</v>
      </c>
      <c r="P781">
        <v>0.9871837</v>
      </c>
      <c r="Q781">
        <v>0.158721</v>
      </c>
      <c r="R781">
        <v>1.661176E-2</v>
      </c>
      <c r="S781">
        <v>3.1862180000000002</v>
      </c>
      <c r="T781">
        <v>-0.90019749999999998</v>
      </c>
      <c r="U781">
        <v>-0.14074710000000001</v>
      </c>
      <c r="V781">
        <v>-1.352035E-2</v>
      </c>
      <c r="W781">
        <v>0.17053370000000001</v>
      </c>
      <c r="X781">
        <v>0.98525910000000005</v>
      </c>
      <c r="Y781">
        <v>4.5302750000000003E-2</v>
      </c>
      <c r="Z781">
        <v>-7.382464E-3</v>
      </c>
      <c r="AA781">
        <v>0.998946</v>
      </c>
      <c r="AB781">
        <v>30</v>
      </c>
      <c r="AC781">
        <v>0.67730000000000201</v>
      </c>
      <c r="AD781">
        <v>-0.246667899999999</v>
      </c>
      <c r="AE781">
        <v>-3.9500000000032197E-2</v>
      </c>
      <c r="AF781">
        <v>3.6764025358515598E-2</v>
      </c>
      <c r="AG781">
        <v>-0.246667899999999</v>
      </c>
      <c r="AH781">
        <v>0.598110423061606</v>
      </c>
      <c r="AI781">
        <v>112.373784917413</v>
      </c>
      <c r="AJ781">
        <v>86.482628312064904</v>
      </c>
      <c r="AK781">
        <v>0.64802216368416299</v>
      </c>
      <c r="AL781">
        <v>80.181149240080998</v>
      </c>
      <c r="AM781">
        <v>90.7861996631257</v>
      </c>
      <c r="AN781">
        <v>1.00000001841631</v>
      </c>
    </row>
    <row r="782" spans="1:40" x14ac:dyDescent="0.25">
      <c r="A782" t="str">
        <f>"20190303161856119"</f>
        <v>20190303161856119</v>
      </c>
      <c r="B782" t="str">
        <f>"1551601136113923"</f>
        <v>1551601136113923</v>
      </c>
      <c r="C782" t="s">
        <v>40</v>
      </c>
      <c r="D782">
        <v>4.5413459999999999</v>
      </c>
      <c r="E782">
        <v>0.5249665</v>
      </c>
      <c r="F782" t="s">
        <v>42</v>
      </c>
      <c r="G782">
        <v>-345.08589999999998</v>
      </c>
      <c r="H782">
        <v>0.92335149999999999</v>
      </c>
      <c r="I782">
        <v>366.98090000000002</v>
      </c>
      <c r="J782">
        <v>-345.56709999999998</v>
      </c>
      <c r="K782">
        <v>1.121229</v>
      </c>
      <c r="L782">
        <v>367.01369999999997</v>
      </c>
      <c r="M782">
        <v>0.99992320000000001</v>
      </c>
      <c r="N782">
        <v>-1.197753E-2</v>
      </c>
      <c r="O782">
        <v>3.158915E-3</v>
      </c>
      <c r="P782">
        <v>0.98723939999999999</v>
      </c>
      <c r="Q782">
        <v>0.15836020000000001</v>
      </c>
      <c r="R782">
        <v>1.6751169999999999E-2</v>
      </c>
      <c r="S782">
        <v>3.1864319999999999</v>
      </c>
      <c r="T782">
        <v>-0.90207720000000002</v>
      </c>
      <c r="U782">
        <v>-0.1450806</v>
      </c>
      <c r="V782">
        <v>-1.3636779999999999E-2</v>
      </c>
      <c r="W782">
        <v>0.17017379999999999</v>
      </c>
      <c r="X782">
        <v>0.98531970000000002</v>
      </c>
      <c r="Y782">
        <v>4.6616640000000001E-2</v>
      </c>
      <c r="Z782">
        <v>-7.5927049999999999E-3</v>
      </c>
      <c r="AA782">
        <v>0.99888399999999999</v>
      </c>
      <c r="AB782">
        <v>30</v>
      </c>
      <c r="AC782">
        <v>0.48120000000000102</v>
      </c>
      <c r="AD782">
        <v>-0.19787750000000001</v>
      </c>
      <c r="AE782">
        <v>-3.2799999999951902E-2</v>
      </c>
      <c r="AF782">
        <v>2.9375597566666699E-2</v>
      </c>
      <c r="AG782">
        <v>-0.19787750000000001</v>
      </c>
      <c r="AH782">
        <v>0.41178370571290301</v>
      </c>
      <c r="AI782">
        <v>115.609303205302</v>
      </c>
      <c r="AJ782">
        <v>85.919577895044796</v>
      </c>
      <c r="AK782">
        <v>0.45780372544279202</v>
      </c>
      <c r="AL782">
        <v>80.202075670052807</v>
      </c>
      <c r="AM782">
        <v>90.792920368319898</v>
      </c>
      <c r="AN782">
        <v>0.99999999759164904</v>
      </c>
    </row>
    <row r="783" spans="1:40" x14ac:dyDescent="0.25">
      <c r="A783" t="str">
        <f>"20190303161856135"</f>
        <v>20190303161856135</v>
      </c>
      <c r="B783" t="str">
        <f>"1551601136123683"</f>
        <v>1551601136123683</v>
      </c>
      <c r="C783" t="s">
        <v>40</v>
      </c>
      <c r="D783">
        <v>4.5498719999999997</v>
      </c>
      <c r="E783">
        <v>0.52466800000000002</v>
      </c>
      <c r="F783" t="s">
        <v>42</v>
      </c>
      <c r="G783">
        <v>-344.82819999999998</v>
      </c>
      <c r="H783">
        <v>0.90915469999999998</v>
      </c>
      <c r="I783">
        <v>366.98140000000001</v>
      </c>
      <c r="J783">
        <v>-345.36660000000001</v>
      </c>
      <c r="K783">
        <v>1.121224</v>
      </c>
      <c r="L783">
        <v>367.01440000000002</v>
      </c>
      <c r="M783">
        <v>0.99992320000000001</v>
      </c>
      <c r="N783">
        <v>-1.19778E-2</v>
      </c>
      <c r="O783">
        <v>3.1799549999999999E-3</v>
      </c>
      <c r="P783">
        <v>0.98726219999999998</v>
      </c>
      <c r="Q783">
        <v>0.15820719999999999</v>
      </c>
      <c r="R783">
        <v>1.6852430000000002E-2</v>
      </c>
      <c r="S783">
        <v>3.187897</v>
      </c>
      <c r="T783">
        <v>-0.91501270000000001</v>
      </c>
      <c r="U783">
        <v>-0.1389465</v>
      </c>
      <c r="V783">
        <v>-1.3716549999999999E-2</v>
      </c>
      <c r="W783">
        <v>0.17002159999999999</v>
      </c>
      <c r="X783">
        <v>0.98534489999999997</v>
      </c>
      <c r="Y783">
        <v>4.4722659999999997E-2</v>
      </c>
      <c r="Z783">
        <v>-7.4189140000000004E-3</v>
      </c>
      <c r="AA783">
        <v>0.99897190000000002</v>
      </c>
      <c r="AB783">
        <v>30</v>
      </c>
      <c r="AC783">
        <v>0.53840000000002397</v>
      </c>
      <c r="AD783">
        <v>-0.21206929999999999</v>
      </c>
      <c r="AE783">
        <v>-3.3000000000015399E-2</v>
      </c>
      <c r="AF783">
        <v>3.0064986542568901E-2</v>
      </c>
      <c r="AG783">
        <v>-0.21206929999999999</v>
      </c>
      <c r="AH783">
        <v>0.46622871937584098</v>
      </c>
      <c r="AI783">
        <v>114.41416643682</v>
      </c>
      <c r="AJ783">
        <v>86.310362335103207</v>
      </c>
      <c r="AK783">
        <v>0.51307554043155501</v>
      </c>
      <c r="AL783">
        <v>80.210925369106604</v>
      </c>
      <c r="AM783">
        <v>90.797537660115594</v>
      </c>
      <c r="AN783">
        <v>1.0000000300832299</v>
      </c>
    </row>
    <row r="784" spans="1:40" x14ac:dyDescent="0.25">
      <c r="A784" t="str">
        <f>"20190303161856148"</f>
        <v>20190303161856148</v>
      </c>
      <c r="B784" t="str">
        <f>"1551601136144178"</f>
        <v>1551601136144178</v>
      </c>
      <c r="C784" t="s">
        <v>40</v>
      </c>
      <c r="D784">
        <v>4.5499970000000003</v>
      </c>
      <c r="E784">
        <v>0.52411450000000004</v>
      </c>
      <c r="F784" t="s">
        <v>42</v>
      </c>
      <c r="G784">
        <v>-344.57170000000002</v>
      </c>
      <c r="H784">
        <v>0.89196359999999997</v>
      </c>
      <c r="I784">
        <v>366.9803</v>
      </c>
      <c r="J784">
        <v>-345.19319999999999</v>
      </c>
      <c r="K784">
        <v>1.121224</v>
      </c>
      <c r="L784">
        <v>367.01490000000001</v>
      </c>
      <c r="M784">
        <v>0.99992320000000001</v>
      </c>
      <c r="N784">
        <v>-1.1978050000000001E-2</v>
      </c>
      <c r="O784">
        <v>3.1979550000000002E-3</v>
      </c>
      <c r="P784">
        <v>0.98729560000000005</v>
      </c>
      <c r="Q784">
        <v>0.15799920000000001</v>
      </c>
      <c r="R784">
        <v>1.6855169999999999E-2</v>
      </c>
      <c r="S784">
        <v>3.1884160000000001</v>
      </c>
      <c r="T784">
        <v>-0.91977629999999999</v>
      </c>
      <c r="U784">
        <v>-0.13613889999999901</v>
      </c>
      <c r="V784">
        <v>-1.3702010000000001E-2</v>
      </c>
      <c r="W784">
        <v>0.169814299999999</v>
      </c>
      <c r="X784">
        <v>0.98538079999999995</v>
      </c>
      <c r="Y784">
        <v>4.3871420000000001E-2</v>
      </c>
      <c r="Z784">
        <v>-7.33330099999999E-3</v>
      </c>
      <c r="AA784">
        <v>0.99901030000000002</v>
      </c>
      <c r="AB784">
        <v>30</v>
      </c>
      <c r="AC784">
        <v>0.62149999999996897</v>
      </c>
      <c r="AD784">
        <v>-0.229260399999999</v>
      </c>
      <c r="AE784">
        <v>-3.4600000000011698E-2</v>
      </c>
      <c r="AF784">
        <v>3.2217120592882398E-2</v>
      </c>
      <c r="AG784">
        <v>-0.229260399999999</v>
      </c>
      <c r="AH784">
        <v>0.54716162522202905</v>
      </c>
      <c r="AI784">
        <v>112.698338089812</v>
      </c>
      <c r="AJ784">
        <v>86.630289505372403</v>
      </c>
      <c r="AK784">
        <v>0.59412466535489705</v>
      </c>
      <c r="AL784">
        <v>80.222977569608801</v>
      </c>
      <c r="AM784">
        <v>90.796663330804293</v>
      </c>
      <c r="AN784">
        <v>0.99999998128558398</v>
      </c>
    </row>
    <row r="785" spans="1:40" x14ac:dyDescent="0.25">
      <c r="A785" t="str">
        <f>"20190303161856162"</f>
        <v>20190303161856162</v>
      </c>
      <c r="B785" t="str">
        <f>"1551601136153938"</f>
        <v>1551601136153938</v>
      </c>
      <c r="C785" t="s">
        <v>40</v>
      </c>
      <c r="D785">
        <v>4.5729199999999999</v>
      </c>
      <c r="E785">
        <v>0.52382029999999902</v>
      </c>
      <c r="F785" t="s">
        <v>42</v>
      </c>
      <c r="G785">
        <v>-344.3186</v>
      </c>
      <c r="H785">
        <v>0.86661460000000001</v>
      </c>
      <c r="I785">
        <v>366.97879999999998</v>
      </c>
      <c r="J785">
        <v>-344.99110000000002</v>
      </c>
      <c r="K785">
        <v>1.1212219999999999</v>
      </c>
      <c r="L785">
        <v>367.01560000000001</v>
      </c>
      <c r="M785">
        <v>0.99992309999999995</v>
      </c>
      <c r="N785">
        <v>-1.1978340000000001E-2</v>
      </c>
      <c r="O785">
        <v>3.2200039999999998E-3</v>
      </c>
      <c r="P785">
        <v>0.98729199999999995</v>
      </c>
      <c r="Q785">
        <v>0.1580184</v>
      </c>
      <c r="R785">
        <v>1.687545E-2</v>
      </c>
      <c r="S785">
        <v>3.1894529999999999</v>
      </c>
      <c r="T785">
        <v>-0.92840719999999999</v>
      </c>
      <c r="U785">
        <v>-0.13171389999999999</v>
      </c>
      <c r="V785">
        <v>-1.3700550000000001E-2</v>
      </c>
      <c r="W785">
        <v>0.1698336</v>
      </c>
      <c r="X785">
        <v>0.98537750000000002</v>
      </c>
      <c r="Y785">
        <v>4.2518649999999998E-2</v>
      </c>
      <c r="Z785">
        <v>-7.2003140000000002E-3</v>
      </c>
      <c r="AA785">
        <v>0.99906980000000001</v>
      </c>
      <c r="AB785">
        <v>30</v>
      </c>
      <c r="AC785">
        <v>0.67250000000001298</v>
      </c>
      <c r="AD785">
        <v>-0.25460739999999898</v>
      </c>
      <c r="AE785">
        <v>-3.6800000000027901E-2</v>
      </c>
      <c r="AF785">
        <v>3.4093199203993001E-2</v>
      </c>
      <c r="AG785">
        <v>-0.25460739999999898</v>
      </c>
      <c r="AH785">
        <v>0.588304169072697</v>
      </c>
      <c r="AI785">
        <v>113.36709693365</v>
      </c>
      <c r="AJ785">
        <v>86.683324435610402</v>
      </c>
      <c r="AK785">
        <v>0.64194164042772495</v>
      </c>
      <c r="AL785">
        <v>80.221855519508196</v>
      </c>
      <c r="AM785">
        <v>90.796581121683502</v>
      </c>
      <c r="AN785">
        <v>0.99999998713275595</v>
      </c>
    </row>
    <row r="786" spans="1:40" x14ac:dyDescent="0.25">
      <c r="A786" t="str">
        <f>"20190303161856176"</f>
        <v>20190303161856176</v>
      </c>
      <c r="B786" t="str">
        <f>"1551601136163699"</f>
        <v>1551601136163699</v>
      </c>
      <c r="C786" t="s">
        <v>40</v>
      </c>
      <c r="D786">
        <v>4.5770289999999996</v>
      </c>
      <c r="E786">
        <v>0.52358079999999996</v>
      </c>
      <c r="F786" t="s">
        <v>42</v>
      </c>
      <c r="G786">
        <v>-344.29590000000002</v>
      </c>
      <c r="H786">
        <v>0.91802510000000004</v>
      </c>
      <c r="I786">
        <v>366.98739999999998</v>
      </c>
      <c r="J786">
        <v>-344.8254</v>
      </c>
      <c r="K786">
        <v>1.1212230000000001</v>
      </c>
      <c r="L786">
        <v>367.01609999999999</v>
      </c>
      <c r="M786">
        <v>0.99992309999999995</v>
      </c>
      <c r="N786">
        <v>-1.1978580000000001E-2</v>
      </c>
      <c r="O786">
        <v>3.237644E-3</v>
      </c>
      <c r="P786">
        <v>0.98730629999999997</v>
      </c>
      <c r="Q786">
        <v>0.15793750000000001</v>
      </c>
      <c r="R786">
        <v>1.679889E-2</v>
      </c>
      <c r="S786">
        <v>3.1900629999999999</v>
      </c>
      <c r="T786">
        <v>-0.93242550000000002</v>
      </c>
      <c r="U786">
        <v>-0.1291504</v>
      </c>
      <c r="V786">
        <v>-1.3606299999999899E-2</v>
      </c>
      <c r="W786">
        <v>0.16975319999999999</v>
      </c>
      <c r="X786">
        <v>0.98539270000000001</v>
      </c>
      <c r="Y786">
        <v>4.174419E-2</v>
      </c>
      <c r="Z786">
        <v>-7.117455E-3</v>
      </c>
      <c r="AA786">
        <v>0.99910299999999996</v>
      </c>
      <c r="AB786">
        <v>30</v>
      </c>
      <c r="AC786">
        <v>0.52949999999998398</v>
      </c>
      <c r="AD786">
        <v>-0.20319789999999899</v>
      </c>
      <c r="AE786">
        <v>-2.87000000000148E-2</v>
      </c>
      <c r="AF786">
        <v>2.6520187325750798E-2</v>
      </c>
      <c r="AG786">
        <v>-0.20319789999999899</v>
      </c>
      <c r="AH786">
        <v>0.46162163424644098</v>
      </c>
      <c r="AI786">
        <v>113.723480206375</v>
      </c>
      <c r="AJ786">
        <v>86.711968647326501</v>
      </c>
      <c r="AK786">
        <v>0.50506162010645494</v>
      </c>
      <c r="AL786">
        <v>80.226530365938899</v>
      </c>
      <c r="AM786">
        <v>90.791089709833102</v>
      </c>
      <c r="AN786">
        <v>1.0000000267616</v>
      </c>
    </row>
    <row r="787" spans="1:40" x14ac:dyDescent="0.25">
      <c r="A787" t="str">
        <f>"20190303161856189"</f>
        <v>20190303161856189</v>
      </c>
      <c r="B787" t="str">
        <f>"1551601136183218"</f>
        <v>1551601136183218</v>
      </c>
      <c r="C787" t="s">
        <v>40</v>
      </c>
      <c r="D787">
        <v>4.5710920000000002</v>
      </c>
      <c r="E787">
        <v>0.52338980000000002</v>
      </c>
      <c r="F787" t="s">
        <v>42</v>
      </c>
      <c r="G787">
        <v>-344.04340000000002</v>
      </c>
      <c r="H787">
        <v>0.89211359999999995</v>
      </c>
      <c r="I787">
        <v>366.98469999999998</v>
      </c>
      <c r="J787">
        <v>-344.65750000000003</v>
      </c>
      <c r="K787">
        <v>1.1212219999999999</v>
      </c>
      <c r="L787">
        <v>367.01670000000001</v>
      </c>
      <c r="M787">
        <v>0.99992300000000001</v>
      </c>
      <c r="N787">
        <v>-1.1978819999999999E-2</v>
      </c>
      <c r="O787">
        <v>3.2553450000000002E-3</v>
      </c>
      <c r="P787">
        <v>0.98731100000000005</v>
      </c>
      <c r="Q787">
        <v>0.15790419999999999</v>
      </c>
      <c r="R787">
        <v>1.683426E-2</v>
      </c>
      <c r="S787">
        <v>3.1902159999999999</v>
      </c>
      <c r="T787">
        <v>-0.93461320000000003</v>
      </c>
      <c r="U787">
        <v>-0.12725829999999999</v>
      </c>
      <c r="V787">
        <v>-1.3624239999999999E-2</v>
      </c>
      <c r="W787">
        <v>0.16972039999999999</v>
      </c>
      <c r="X787">
        <v>0.98539810000000005</v>
      </c>
      <c r="Y787">
        <v>4.1183499999999998E-2</v>
      </c>
      <c r="Z787">
        <v>-7.053808E-3</v>
      </c>
      <c r="AA787">
        <v>0.99912670000000003</v>
      </c>
      <c r="AB787">
        <v>30</v>
      </c>
      <c r="AC787">
        <v>0.61410000000000697</v>
      </c>
      <c r="AD787">
        <v>-0.22910839999999899</v>
      </c>
      <c r="AE787">
        <v>-3.2000000000039101E-2</v>
      </c>
      <c r="AF787">
        <v>2.9854874280607301E-2</v>
      </c>
      <c r="AG787">
        <v>-0.22910839999999899</v>
      </c>
      <c r="AH787">
        <v>0.539151950304257</v>
      </c>
      <c r="AI787">
        <v>112.991132462248</v>
      </c>
      <c r="AJ787">
        <v>86.830553673667893</v>
      </c>
      <c r="AK787">
        <v>0.58657207399070299</v>
      </c>
      <c r="AL787">
        <v>80.2284373192375</v>
      </c>
      <c r="AM787">
        <v>90.792128293879898</v>
      </c>
      <c r="AN787">
        <v>1.0000000247876699</v>
      </c>
    </row>
    <row r="788" spans="1:40" x14ac:dyDescent="0.25">
      <c r="A788" t="str">
        <f>"20190303161856200"</f>
        <v>20190303161856200</v>
      </c>
      <c r="B788" t="str">
        <f>"1551601136193954"</f>
        <v>1551601136193954</v>
      </c>
      <c r="C788" t="s">
        <v>40</v>
      </c>
      <c r="D788">
        <v>4.660927</v>
      </c>
      <c r="E788">
        <v>0.52332449999999997</v>
      </c>
      <c r="F788" t="s">
        <v>42</v>
      </c>
      <c r="G788">
        <v>-343.79050000000001</v>
      </c>
      <c r="H788">
        <v>0.86602649999999903</v>
      </c>
      <c r="I788">
        <v>366.98230000000001</v>
      </c>
      <c r="J788">
        <v>-344.48610000000002</v>
      </c>
      <c r="K788">
        <v>1.1212260000000001</v>
      </c>
      <c r="L788">
        <v>367.01729999999998</v>
      </c>
      <c r="M788">
        <v>0.99992289999999995</v>
      </c>
      <c r="N788">
        <v>-1.197905E-2</v>
      </c>
      <c r="O788">
        <v>3.273701E-3</v>
      </c>
      <c r="P788">
        <v>0.98731910000000001</v>
      </c>
      <c r="Q788">
        <v>0.15787370000000001</v>
      </c>
      <c r="R788">
        <v>1.6642830000000001E-2</v>
      </c>
      <c r="S788">
        <v>3.1909179999999999</v>
      </c>
      <c r="T788">
        <v>-0.93928290000000003</v>
      </c>
      <c r="U788">
        <v>-0.12597659999999999</v>
      </c>
      <c r="V788">
        <v>-1.341474E-2</v>
      </c>
      <c r="W788">
        <v>0.1696898</v>
      </c>
      <c r="X788">
        <v>0.98540620000000001</v>
      </c>
      <c r="Y788">
        <v>4.0791149999999998E-2</v>
      </c>
      <c r="Z788">
        <v>-7.0314009999999996E-3</v>
      </c>
      <c r="AA788">
        <v>0.99914289999999994</v>
      </c>
      <c r="AB788">
        <v>30</v>
      </c>
      <c r="AC788">
        <v>0.69560000000001299</v>
      </c>
      <c r="AD788">
        <v>-0.25519950000000002</v>
      </c>
      <c r="AE788">
        <v>-3.4999999999968098E-2</v>
      </c>
      <c r="AF788">
        <v>3.2864780272152602E-2</v>
      </c>
      <c r="AG788">
        <v>-0.25519950000000002</v>
      </c>
      <c r="AH788">
        <v>0.61315967679275096</v>
      </c>
      <c r="AI788">
        <v>112.568133053186</v>
      </c>
      <c r="AJ788">
        <v>86.931936056988107</v>
      </c>
      <c r="AK788">
        <v>0.66495989941287303</v>
      </c>
      <c r="AL788">
        <v>80.230215945787293</v>
      </c>
      <c r="AM788">
        <v>90.779942839606207</v>
      </c>
      <c r="AN788">
        <v>0.99999998123587297</v>
      </c>
    </row>
    <row r="789" spans="1:40" x14ac:dyDescent="0.25">
      <c r="A789" t="str">
        <f>"20190303161856212"</f>
        <v>20190303161856212</v>
      </c>
      <c r="B789" t="str">
        <f>"1551601136203715"</f>
        <v>1551601136203715</v>
      </c>
      <c r="C789" t="s">
        <v>40</v>
      </c>
      <c r="D789">
        <v>4.5772089999999999</v>
      </c>
      <c r="E789">
        <v>0.52332449999999997</v>
      </c>
      <c r="F789" t="s">
        <v>42</v>
      </c>
      <c r="G789">
        <v>-343.77089999999998</v>
      </c>
      <c r="H789">
        <v>0.91087200000000001</v>
      </c>
      <c r="I789">
        <v>366.98880000000003</v>
      </c>
      <c r="J789">
        <v>-344.34050000000002</v>
      </c>
      <c r="K789">
        <v>1.1212260000000001</v>
      </c>
      <c r="L789">
        <v>367.01780000000002</v>
      </c>
      <c r="M789">
        <v>0.99992289999999995</v>
      </c>
      <c r="N789">
        <v>-1.197924E-2</v>
      </c>
      <c r="O789">
        <v>3.2888399999999999E-3</v>
      </c>
      <c r="P789">
        <v>0.98730390000000001</v>
      </c>
      <c r="Q789">
        <v>0.1579392</v>
      </c>
      <c r="R789">
        <v>1.694141E-2</v>
      </c>
      <c r="S789">
        <v>3.1907649999999999</v>
      </c>
      <c r="T789">
        <v>-0.93848109999999996</v>
      </c>
      <c r="U789">
        <v>-0.12625120000000001</v>
      </c>
      <c r="V789">
        <v>-1.369839E-2</v>
      </c>
      <c r="W789">
        <v>0.16975509999999999</v>
      </c>
      <c r="X789">
        <v>0.98539109999999996</v>
      </c>
      <c r="Y789">
        <v>4.0891990000000003E-2</v>
      </c>
      <c r="Z789">
        <v>-7.0454269999999999E-3</v>
      </c>
      <c r="AA789">
        <v>0.99913870000000005</v>
      </c>
      <c r="AB789">
        <v>30</v>
      </c>
      <c r="AC789">
        <v>0.56960000000003597</v>
      </c>
      <c r="AD789">
        <v>-0.21035400000000001</v>
      </c>
      <c r="AE789">
        <v>-2.89999999999963E-2</v>
      </c>
      <c r="AF789">
        <v>2.7176464154178001E-2</v>
      </c>
      <c r="AG789">
        <v>-0.21035400000000001</v>
      </c>
      <c r="AH789">
        <v>0.50130817620933399</v>
      </c>
      <c r="AI789">
        <v>112.73343659218099</v>
      </c>
      <c r="AJ789">
        <v>86.896970562339405</v>
      </c>
      <c r="AK789">
        <v>0.54433193278940795</v>
      </c>
      <c r="AL789">
        <v>80.226419931809303</v>
      </c>
      <c r="AM789">
        <v>90.796444559586106</v>
      </c>
      <c r="AN789">
        <v>1.0000000299119001</v>
      </c>
    </row>
    <row r="790" spans="1:40" x14ac:dyDescent="0.25">
      <c r="A790" t="str">
        <f>"20190303161856223"</f>
        <v>20190303161856223</v>
      </c>
      <c r="B790" t="str">
        <f>"1551601136213475"</f>
        <v>1551601136213475</v>
      </c>
      <c r="C790" t="s">
        <v>40</v>
      </c>
      <c r="D790">
        <v>4.602169</v>
      </c>
      <c r="E790">
        <v>0.50887579999999999</v>
      </c>
      <c r="F790" t="s">
        <v>42</v>
      </c>
      <c r="G790">
        <v>-343.5204</v>
      </c>
      <c r="H790">
        <v>0.88004400000000005</v>
      </c>
      <c r="I790">
        <v>366.98540000000003</v>
      </c>
      <c r="J790">
        <v>-344.19380000000001</v>
      </c>
      <c r="K790">
        <v>1.1212279999999999</v>
      </c>
      <c r="L790">
        <v>367.01819999999998</v>
      </c>
      <c r="M790">
        <v>0.9999228</v>
      </c>
      <c r="N790">
        <v>-1.1979429999999999E-2</v>
      </c>
      <c r="O790">
        <v>3.304338E-3</v>
      </c>
      <c r="P790">
        <v>0.98731389999999997</v>
      </c>
      <c r="Q790">
        <v>0.15788829999999901</v>
      </c>
      <c r="R790">
        <v>1.681299E-2</v>
      </c>
      <c r="S790">
        <v>3.1907960000000002</v>
      </c>
      <c r="T790">
        <v>-0.93835630000000003</v>
      </c>
      <c r="U790">
        <v>-0.1249695</v>
      </c>
      <c r="V790">
        <v>-1.3554729999999999E-2</v>
      </c>
      <c r="W790">
        <v>0.16970489999999999</v>
      </c>
      <c r="X790">
        <v>0.98540170000000005</v>
      </c>
      <c r="Y790">
        <v>4.0522559999999999E-2</v>
      </c>
      <c r="Z790">
        <v>-6.9933850000000004E-3</v>
      </c>
      <c r="AA790">
        <v>0.99915419999999999</v>
      </c>
      <c r="AB790">
        <v>30</v>
      </c>
      <c r="AC790">
        <v>0.67340000000001499</v>
      </c>
      <c r="AD790">
        <v>-0.24118400000000001</v>
      </c>
      <c r="AE790">
        <v>-3.2799999999951902E-2</v>
      </c>
      <c r="AF790">
        <v>3.1051356503095699E-2</v>
      </c>
      <c r="AG790">
        <v>-0.24118400000000001</v>
      </c>
      <c r="AH790">
        <v>0.59690024155849797</v>
      </c>
      <c r="AI790">
        <v>111.97482440300099</v>
      </c>
      <c r="AJ790">
        <v>87.022099701426797</v>
      </c>
      <c r="AK790">
        <v>0.64453379040146197</v>
      </c>
      <c r="AL790">
        <v>80.229338202936006</v>
      </c>
      <c r="AM790">
        <v>90.788084538289695</v>
      </c>
      <c r="AN790">
        <v>0.99999999707613596</v>
      </c>
    </row>
    <row r="791" spans="1:40" x14ac:dyDescent="0.25">
      <c r="A791" t="str">
        <f>"20190303161856234"</f>
        <v>20190303161856234</v>
      </c>
      <c r="B791" t="str">
        <f>"1551601136223235"</f>
        <v>1551601136223235</v>
      </c>
      <c r="C791" t="s">
        <v>40</v>
      </c>
      <c r="D791">
        <v>4.69855</v>
      </c>
      <c r="E791">
        <v>0.50488009999999905</v>
      </c>
      <c r="F791" t="s">
        <v>42</v>
      </c>
      <c r="G791">
        <v>-343.46420000000001</v>
      </c>
      <c r="H791">
        <v>0.99962379999999995</v>
      </c>
      <c r="I791">
        <v>367.01499999999999</v>
      </c>
      <c r="J791">
        <v>-344.03710000000001</v>
      </c>
      <c r="K791">
        <v>1.1212299999999999</v>
      </c>
      <c r="L791">
        <v>367.0188</v>
      </c>
      <c r="M791">
        <v>0.99992270000000005</v>
      </c>
      <c r="N791">
        <v>-1.197963E-2</v>
      </c>
      <c r="O791">
        <v>3.3211429999999999E-3</v>
      </c>
      <c r="P791">
        <v>0.98725309999999999</v>
      </c>
      <c r="Q791">
        <v>0.15826589999999999</v>
      </c>
      <c r="R791">
        <v>1.6832730000000001E-2</v>
      </c>
      <c r="S791">
        <v>3.1219480000000002</v>
      </c>
      <c r="T791">
        <v>-0.52044769999999996</v>
      </c>
      <c r="U791">
        <v>-1.300049E-2</v>
      </c>
      <c r="V791">
        <v>-1.355807E-2</v>
      </c>
      <c r="W791">
        <v>0.1700817</v>
      </c>
      <c r="X791">
        <v>0.98533669999999995</v>
      </c>
      <c r="Y791">
        <v>7.3373999999999896E-3</v>
      </c>
      <c r="Z791">
        <v>-1.1619999999999901E-3</v>
      </c>
      <c r="AA791">
        <v>0.99997239999999998</v>
      </c>
      <c r="AB791">
        <v>30</v>
      </c>
      <c r="AC791">
        <v>0.57290000000000396</v>
      </c>
      <c r="AD791">
        <v>-0.121606199999999</v>
      </c>
      <c r="AE791">
        <v>-3.8000000000124601E-3</v>
      </c>
      <c r="AF791">
        <v>5.4569406988919499E-3</v>
      </c>
      <c r="AG791">
        <v>-0.121606199999999</v>
      </c>
      <c r="AH791">
        <v>0.54818616371926798</v>
      </c>
      <c r="AI791">
        <v>102.50699616810201</v>
      </c>
      <c r="AJ791">
        <v>89.429665750506601</v>
      </c>
      <c r="AK791">
        <v>0.56153888215641801</v>
      </c>
      <c r="AL791">
        <v>80.207430790883294</v>
      </c>
      <c r="AM791">
        <v>90.788330698531894</v>
      </c>
      <c r="AN791">
        <v>1.0000000091519501</v>
      </c>
    </row>
    <row r="792" spans="1:40" x14ac:dyDescent="0.25">
      <c r="A792" t="str">
        <f>"20190303161856246"</f>
        <v>20190303161856246</v>
      </c>
      <c r="B792" t="str">
        <f>"1551601136243731"</f>
        <v>1551601136243731</v>
      </c>
      <c r="C792" t="s">
        <v>40</v>
      </c>
      <c r="D792">
        <v>4.6965659999999998</v>
      </c>
      <c r="E792">
        <v>0.49767240000000001</v>
      </c>
      <c r="F792" t="s">
        <v>42</v>
      </c>
      <c r="G792">
        <v>-343.19009999999997</v>
      </c>
      <c r="H792">
        <v>1.0198969999999901</v>
      </c>
      <c r="I792">
        <v>367.02350000000001</v>
      </c>
      <c r="J792">
        <v>-343.88839999999999</v>
      </c>
      <c r="K792">
        <v>1.121232</v>
      </c>
      <c r="L792">
        <v>367.01929999999999</v>
      </c>
      <c r="M792">
        <v>0.99992259999999999</v>
      </c>
      <c r="N792">
        <v>-1.197982E-2</v>
      </c>
      <c r="O792">
        <v>3.3371130000000001E-3</v>
      </c>
      <c r="P792">
        <v>0.98724970000000001</v>
      </c>
      <c r="Q792">
        <v>0.1582741</v>
      </c>
      <c r="R792">
        <v>1.6943759999999999E-2</v>
      </c>
      <c r="S792">
        <v>3.097839</v>
      </c>
      <c r="T792">
        <v>-0.37061769999999999</v>
      </c>
      <c r="U792">
        <v>1.7456050000000001E-2</v>
      </c>
      <c r="V792">
        <v>-1.3652950000000001E-2</v>
      </c>
      <c r="W792">
        <v>0.1700902</v>
      </c>
      <c r="X792">
        <v>0.98533389999999998</v>
      </c>
      <c r="Y792">
        <v>-2.2987149999999998E-3</v>
      </c>
      <c r="Z792">
        <v>-2.071292E-4</v>
      </c>
      <c r="AA792">
        <v>0.99999729999999998</v>
      </c>
      <c r="AB792">
        <v>30</v>
      </c>
      <c r="AC792">
        <v>0.69830000000001702</v>
      </c>
      <c r="AD792">
        <v>-0.10133499999999999</v>
      </c>
      <c r="AE792">
        <v>4.20000000002573E-3</v>
      </c>
      <c r="AF792">
        <v>-1.8309469405108599E-3</v>
      </c>
      <c r="AG792">
        <v>-0.10133499999999999</v>
      </c>
      <c r="AH792">
        <v>0.68390831943304298</v>
      </c>
      <c r="AI792">
        <v>98.428189324133001</v>
      </c>
      <c r="AJ792">
        <v>90.153390854583805</v>
      </c>
      <c r="AK792">
        <v>0.69137741066759495</v>
      </c>
      <c r="AL792">
        <v>80.206936354956397</v>
      </c>
      <c r="AM792">
        <v>90.793849025185395</v>
      </c>
      <c r="AN792">
        <v>0.999999986834476</v>
      </c>
    </row>
    <row r="793" spans="1:40" x14ac:dyDescent="0.25">
      <c r="A793" t="str">
        <f>"20190303161856257"</f>
        <v>20190303161856257</v>
      </c>
      <c r="B793" t="str">
        <f>"1551601136253490"</f>
        <v>1551601136253490</v>
      </c>
      <c r="C793" t="s">
        <v>40</v>
      </c>
      <c r="D793">
        <v>4.72506</v>
      </c>
      <c r="E793">
        <v>0.49586019999999997</v>
      </c>
      <c r="F793" t="s">
        <v>41</v>
      </c>
      <c r="G793">
        <v>-326.44240000000002</v>
      </c>
      <c r="H793" s="1">
        <v>-1.894201E-6</v>
      </c>
      <c r="I793">
        <v>367.44220000000001</v>
      </c>
      <c r="J793">
        <v>-343.73849999999999</v>
      </c>
      <c r="K793">
        <v>1.1212329999999999</v>
      </c>
      <c r="L793">
        <v>367.01979999999998</v>
      </c>
      <c r="M793">
        <v>0.99992270000000005</v>
      </c>
      <c r="N793">
        <v>-1.1980029999999999E-2</v>
      </c>
      <c r="O793">
        <v>3.3529660000000002E-3</v>
      </c>
      <c r="P793">
        <v>0.98722469999999996</v>
      </c>
      <c r="Q793">
        <v>0.1584141</v>
      </c>
      <c r="R793">
        <v>1.710302E-2</v>
      </c>
      <c r="S793">
        <v>3.0691220000000001</v>
      </c>
      <c r="T793">
        <v>-0.19724729999999999</v>
      </c>
      <c r="U793">
        <v>7.440186E-2</v>
      </c>
      <c r="V793">
        <v>-1.379639E-2</v>
      </c>
      <c r="W793">
        <v>0.17022970000000001</v>
      </c>
      <c r="X793">
        <v>0.98530779999999996</v>
      </c>
      <c r="Y793">
        <v>-2.0836170000000001E-2</v>
      </c>
      <c r="Z793">
        <v>6.1864679999999999E-4</v>
      </c>
      <c r="AA793">
        <v>0.99978270000000002</v>
      </c>
      <c r="AB793">
        <v>30</v>
      </c>
      <c r="AC793">
        <v>17.2960999999999</v>
      </c>
      <c r="AD793">
        <v>-1.121234894201</v>
      </c>
      <c r="AE793">
        <v>0.42240000000003802</v>
      </c>
      <c r="AF793">
        <v>-0.362876192864102</v>
      </c>
      <c r="AG793">
        <v>-1.121234894201</v>
      </c>
      <c r="AH793">
        <v>17.225075736322001</v>
      </c>
      <c r="AI793">
        <v>93.723486258363906</v>
      </c>
      <c r="AJ793">
        <v>91.206856776663003</v>
      </c>
      <c r="AK793">
        <v>17.265343348492902</v>
      </c>
      <c r="AL793">
        <v>80.198825197921593</v>
      </c>
      <c r="AM793">
        <v>90.802209487887396</v>
      </c>
      <c r="AN793">
        <v>0.99999997593998002</v>
      </c>
    </row>
    <row r="794" spans="1:40" x14ac:dyDescent="0.25">
      <c r="A794" t="str">
        <f>"20190303161856269"</f>
        <v>20190303161856269</v>
      </c>
      <c r="B794" t="str">
        <f>"1551601136264226"</f>
        <v>1551601136264226</v>
      </c>
      <c r="C794" t="s">
        <v>40</v>
      </c>
      <c r="D794">
        <v>4.8667360000000004</v>
      </c>
      <c r="E794">
        <v>0.49456040000000001</v>
      </c>
      <c r="F794" t="s">
        <v>41</v>
      </c>
      <c r="G794">
        <v>-322.0104</v>
      </c>
      <c r="H794" s="1">
        <v>-3.758673E-6</v>
      </c>
      <c r="I794">
        <v>367.64980000000003</v>
      </c>
      <c r="J794">
        <v>-343.5908</v>
      </c>
      <c r="K794">
        <v>1.1212310000000001</v>
      </c>
      <c r="L794">
        <v>367.02030000000002</v>
      </c>
      <c r="M794">
        <v>0.99992259999999999</v>
      </c>
      <c r="N794">
        <v>-1.198023E-2</v>
      </c>
      <c r="O794">
        <v>3.3684019999999999E-3</v>
      </c>
      <c r="P794">
        <v>0.98722699999999997</v>
      </c>
      <c r="Q794">
        <v>0.15839129999999901</v>
      </c>
      <c r="R794">
        <v>1.718923E-2</v>
      </c>
      <c r="S794">
        <v>3.0626530000000001</v>
      </c>
      <c r="T794">
        <v>-0.15804209999999999</v>
      </c>
      <c r="U794">
        <v>8.880615E-2</v>
      </c>
      <c r="V794">
        <v>-1.3867859999999999E-2</v>
      </c>
      <c r="W794">
        <v>0.1702072</v>
      </c>
      <c r="X794">
        <v>0.98531069999999998</v>
      </c>
      <c r="Y794">
        <v>-2.5577639999999999E-2</v>
      </c>
      <c r="Z794">
        <v>6.7940259999999897E-4</v>
      </c>
      <c r="AA794">
        <v>0.99967260000000002</v>
      </c>
      <c r="AB794">
        <v>30</v>
      </c>
      <c r="AC794">
        <v>21.580400000000001</v>
      </c>
      <c r="AD794">
        <v>-1.1212347586729901</v>
      </c>
      <c r="AE794">
        <v>0.62950000000000705</v>
      </c>
      <c r="AF794">
        <v>-0.555302019861587</v>
      </c>
      <c r="AG794">
        <v>-1.1212347586729901</v>
      </c>
      <c r="AH794">
        <v>21.5243437797462</v>
      </c>
      <c r="AI794">
        <v>92.980936221697306</v>
      </c>
      <c r="AJ794">
        <v>91.477833956839106</v>
      </c>
      <c r="AK794">
        <v>21.560679554828901</v>
      </c>
      <c r="AL794">
        <v>80.200133604065996</v>
      </c>
      <c r="AM794">
        <v>90.806362285992194</v>
      </c>
      <c r="AN794">
        <v>0.99999999200365397</v>
      </c>
    </row>
    <row r="795" spans="1:40" x14ac:dyDescent="0.25">
      <c r="A795" t="str">
        <f>"20190303161856279"</f>
        <v>20190303161856279</v>
      </c>
      <c r="B795" t="str">
        <f>"1551601136273986"</f>
        <v>1551601136273986</v>
      </c>
      <c r="C795" t="s">
        <v>40</v>
      </c>
      <c r="D795">
        <v>4.7396070000000003</v>
      </c>
      <c r="E795">
        <v>0.4935967</v>
      </c>
      <c r="F795" t="s">
        <v>44</v>
      </c>
      <c r="G795">
        <v>-315.80860000000001</v>
      </c>
      <c r="H795">
        <v>-0.05</v>
      </c>
      <c r="I795">
        <v>367.92250000000001</v>
      </c>
      <c r="J795">
        <v>-343.43979999999999</v>
      </c>
      <c r="K795">
        <v>1.121232</v>
      </c>
      <c r="L795">
        <v>367.02080000000001</v>
      </c>
      <c r="M795">
        <v>0.99992259999999999</v>
      </c>
      <c r="N795">
        <v>-1.198043E-2</v>
      </c>
      <c r="O795">
        <v>3.3845530000000002E-3</v>
      </c>
      <c r="P795">
        <v>0.98724129999999999</v>
      </c>
      <c r="Q795">
        <v>0.15829279999999901</v>
      </c>
      <c r="R795">
        <v>1.72740999999999E-2</v>
      </c>
      <c r="S795">
        <v>3.0577999999999999</v>
      </c>
      <c r="T795">
        <v>-0.12890969999999999</v>
      </c>
      <c r="U795">
        <v>9.9304199999999995E-2</v>
      </c>
      <c r="V795">
        <v>-1.3936219999999999E-2</v>
      </c>
      <c r="W795">
        <v>0.17010939999999999</v>
      </c>
      <c r="X795">
        <v>0.98532660000000005</v>
      </c>
      <c r="Y795">
        <v>-2.9043820000000001E-2</v>
      </c>
      <c r="Z795">
        <v>6.8385179999999905E-4</v>
      </c>
      <c r="AA795">
        <v>0.99957790000000002</v>
      </c>
      <c r="AB795">
        <v>30</v>
      </c>
      <c r="AC795">
        <v>27.6311999999999</v>
      </c>
      <c r="AD795">
        <v>-1.1712320000000001</v>
      </c>
      <c r="AE795">
        <v>0.90170000000000505</v>
      </c>
      <c r="AF795">
        <v>-0.80672094102611802</v>
      </c>
      <c r="AG795">
        <v>-1.1712320000000001</v>
      </c>
      <c r="AH795">
        <v>27.584584056927898</v>
      </c>
      <c r="AI795">
        <v>92.4302610061427</v>
      </c>
      <c r="AJ795">
        <v>91.675157912939298</v>
      </c>
      <c r="AK795">
        <v>27.621221201609298</v>
      </c>
      <c r="AL795">
        <v>80.205819815356705</v>
      </c>
      <c r="AM795">
        <v>90.810323551713395</v>
      </c>
      <c r="AN795">
        <v>0.999999967431903</v>
      </c>
    </row>
    <row r="796" spans="1:40" x14ac:dyDescent="0.25">
      <c r="A796" t="str">
        <f>"20190303161856292"</f>
        <v>20190303161856292</v>
      </c>
      <c r="B796" t="str">
        <f>"1551601136283747"</f>
        <v>1551601136283747</v>
      </c>
      <c r="C796" t="s">
        <v>40</v>
      </c>
      <c r="D796">
        <v>4.6095319999999997</v>
      </c>
      <c r="E796">
        <v>0.49290220000000001</v>
      </c>
      <c r="F796" t="s">
        <v>44</v>
      </c>
      <c r="G796">
        <v>-310.86250000000001</v>
      </c>
      <c r="H796">
        <v>-0.05</v>
      </c>
      <c r="I796">
        <v>368.16460000000001</v>
      </c>
      <c r="J796">
        <v>-343.28539999999998</v>
      </c>
      <c r="K796">
        <v>1.121232</v>
      </c>
      <c r="L796">
        <v>367.02140000000003</v>
      </c>
      <c r="M796">
        <v>0.99992239999999999</v>
      </c>
      <c r="N796">
        <v>-1.1980620000000001E-2</v>
      </c>
      <c r="O796">
        <v>3.4008839999999999E-3</v>
      </c>
      <c r="P796">
        <v>0.98720779999999997</v>
      </c>
      <c r="Q796">
        <v>0.15851170000000001</v>
      </c>
      <c r="R796">
        <v>1.716906E-2</v>
      </c>
      <c r="S796">
        <v>3.054535</v>
      </c>
      <c r="T796">
        <v>-0.109818</v>
      </c>
      <c r="U796">
        <v>0.1072388</v>
      </c>
      <c r="V796">
        <v>-1.3815879999999999E-2</v>
      </c>
      <c r="W796">
        <v>0.1703279</v>
      </c>
      <c r="X796">
        <v>0.98529060000000002</v>
      </c>
      <c r="Y796">
        <v>-3.1660920000000002E-2</v>
      </c>
      <c r="Z796">
        <v>6.7712489999999996E-4</v>
      </c>
      <c r="AA796">
        <v>0.99949840000000001</v>
      </c>
      <c r="AB796">
        <v>30</v>
      </c>
      <c r="AC796">
        <v>32.422899999999899</v>
      </c>
      <c r="AD796">
        <v>-1.1712320000000001</v>
      </c>
      <c r="AE796">
        <v>1.14319999999997</v>
      </c>
      <c r="AF796">
        <v>-1.0315745011388799</v>
      </c>
      <c r="AG796">
        <v>-1.1712320000000001</v>
      </c>
      <c r="AH796">
        <v>32.384394237271302</v>
      </c>
      <c r="AI796">
        <v>92.070239088449</v>
      </c>
      <c r="AJ796">
        <v>91.824486387827093</v>
      </c>
      <c r="AK796">
        <v>32.421982056380102</v>
      </c>
      <c r="AL796">
        <v>80.193115794380702</v>
      </c>
      <c r="AM796">
        <v>90.8033566334407</v>
      </c>
      <c r="AN796">
        <v>1.0000000192534699</v>
      </c>
    </row>
    <row r="797" spans="1:40" x14ac:dyDescent="0.25">
      <c r="A797" t="str">
        <f>"20190303161856305"</f>
        <v>20190303161856305</v>
      </c>
      <c r="B797" t="str">
        <f>"1551601136293507"</f>
        <v>1551601136293507</v>
      </c>
      <c r="C797" t="s">
        <v>40</v>
      </c>
      <c r="D797">
        <v>4.7316900000000004</v>
      </c>
      <c r="E797">
        <v>0.49238500000000002</v>
      </c>
      <c r="F797" t="s">
        <v>44</v>
      </c>
      <c r="G797">
        <v>-305.80840000000001</v>
      </c>
      <c r="H797">
        <v>-0.05</v>
      </c>
      <c r="I797">
        <v>368.39620000000002</v>
      </c>
      <c r="J797">
        <v>-343.11500000000001</v>
      </c>
      <c r="K797">
        <v>1.121232</v>
      </c>
      <c r="L797">
        <v>367.02199999999999</v>
      </c>
      <c r="M797">
        <v>0.99992239999999999</v>
      </c>
      <c r="N797">
        <v>-1.198084E-2</v>
      </c>
      <c r="O797">
        <v>3.4185869999999998E-3</v>
      </c>
      <c r="P797">
        <v>0.98717710000000003</v>
      </c>
      <c r="Q797">
        <v>0.15866540000000001</v>
      </c>
      <c r="R797">
        <v>1.751111E-2</v>
      </c>
      <c r="S797">
        <v>3.052216</v>
      </c>
      <c r="T797">
        <v>-9.5388050000000002E-2</v>
      </c>
      <c r="U797">
        <v>0.111969</v>
      </c>
      <c r="V797">
        <v>-1.4140150000000001E-2</v>
      </c>
      <c r="W797">
        <v>0.17048160000000001</v>
      </c>
      <c r="X797">
        <v>0.98525940000000001</v>
      </c>
      <c r="Y797">
        <v>-3.3221309999999997E-2</v>
      </c>
      <c r="Z797">
        <v>6.5213269999999995E-4</v>
      </c>
      <c r="AA797">
        <v>0.9994478</v>
      </c>
      <c r="AB797">
        <v>30</v>
      </c>
      <c r="AC797">
        <v>37.306600000000003</v>
      </c>
      <c r="AD797">
        <v>-1.1712320000000001</v>
      </c>
      <c r="AE797">
        <v>1.3742000000000301</v>
      </c>
      <c r="AF797">
        <v>-1.2454210961457</v>
      </c>
      <c r="AG797">
        <v>-1.1712320000000001</v>
      </c>
      <c r="AH797">
        <v>37.274391103182801</v>
      </c>
      <c r="AI797">
        <v>91.798746698730397</v>
      </c>
      <c r="AJ797">
        <v>91.913668721345203</v>
      </c>
      <c r="AK797">
        <v>37.313577826544297</v>
      </c>
      <c r="AL797">
        <v>80.184178555229593</v>
      </c>
      <c r="AM797">
        <v>90.822235544822306</v>
      </c>
      <c r="AN797">
        <v>1.00000000253447</v>
      </c>
    </row>
    <row r="798" spans="1:40" x14ac:dyDescent="0.25">
      <c r="A798" t="str">
        <f>"20190303161856320"</f>
        <v>20190303161856320</v>
      </c>
      <c r="B798" t="str">
        <f>"1551601136314002"</f>
        <v>1551601136314002</v>
      </c>
      <c r="C798" t="s">
        <v>40</v>
      </c>
      <c r="D798">
        <v>4.9224319999999997</v>
      </c>
      <c r="E798">
        <v>0.49165799999999998</v>
      </c>
      <c r="F798" t="s">
        <v>44</v>
      </c>
      <c r="G798">
        <v>-300.89069999999998</v>
      </c>
      <c r="H798">
        <v>-0.05</v>
      </c>
      <c r="I798">
        <v>368.64699999999999</v>
      </c>
      <c r="J798">
        <v>-342.90530000000001</v>
      </c>
      <c r="K798">
        <v>1.1212329999999999</v>
      </c>
      <c r="L798">
        <v>367.02280000000002</v>
      </c>
      <c r="M798">
        <v>0.99992230000000004</v>
      </c>
      <c r="N798">
        <v>-1.198108E-2</v>
      </c>
      <c r="O798">
        <v>3.441291E-3</v>
      </c>
      <c r="P798">
        <v>0.98714550000000001</v>
      </c>
      <c r="Q798">
        <v>0.1588176</v>
      </c>
      <c r="R798">
        <v>1.791684E-2</v>
      </c>
      <c r="S798">
        <v>3.0504760000000002</v>
      </c>
      <c r="T798">
        <v>-8.4615109999999993E-2</v>
      </c>
      <c r="U798">
        <v>0.11740109999999999</v>
      </c>
      <c r="V798">
        <v>-1.452407E-2</v>
      </c>
      <c r="W798">
        <v>0.17063329999999999</v>
      </c>
      <c r="X798">
        <v>0.98522750000000003</v>
      </c>
      <c r="Y798">
        <v>-3.499965E-2</v>
      </c>
      <c r="Z798">
        <v>6.4076509999999999E-4</v>
      </c>
      <c r="AA798">
        <v>0.99938709999999997</v>
      </c>
      <c r="AB798">
        <v>30</v>
      </c>
      <c r="AC798">
        <v>42.014600000000002</v>
      </c>
      <c r="AD798">
        <v>-1.171233</v>
      </c>
      <c r="AE798">
        <v>1.6241999999999699</v>
      </c>
      <c r="AF798">
        <v>-1.4784483255277101</v>
      </c>
      <c r="AG798">
        <v>-1.171233</v>
      </c>
      <c r="AH798">
        <v>41.987360549451203</v>
      </c>
      <c r="AI798">
        <v>91.596856254023194</v>
      </c>
      <c r="AJ798">
        <v>92.016651319690197</v>
      </c>
      <c r="AK798">
        <v>42.029704282818301</v>
      </c>
      <c r="AL798">
        <v>80.1753570085734</v>
      </c>
      <c r="AM798">
        <v>90.844584258381104</v>
      </c>
      <c r="AN798">
        <v>0.99999994921725099</v>
      </c>
    </row>
    <row r="799" spans="1:40" x14ac:dyDescent="0.25">
      <c r="A799" t="str">
        <f>"20190303161856337"</f>
        <v>20190303161856337</v>
      </c>
      <c r="B799" t="str">
        <f>"1551601136323762"</f>
        <v>1551601136323762</v>
      </c>
      <c r="C799" t="s">
        <v>40</v>
      </c>
      <c r="D799">
        <v>4.8275050000000004</v>
      </c>
      <c r="E799">
        <v>0.49132039999999999</v>
      </c>
      <c r="F799" t="s">
        <v>44</v>
      </c>
      <c r="G799">
        <v>-291.36369999999999</v>
      </c>
      <c r="H799">
        <v>-0.05</v>
      </c>
      <c r="I799">
        <v>369.12470000000002</v>
      </c>
      <c r="J799">
        <v>-342.69619999999998</v>
      </c>
      <c r="K799">
        <v>1.1212279999999999</v>
      </c>
      <c r="L799">
        <v>367.02350000000001</v>
      </c>
      <c r="M799">
        <v>0.99992230000000004</v>
      </c>
      <c r="N799">
        <v>-1.198136E-2</v>
      </c>
      <c r="O799">
        <v>3.4635199999999999E-3</v>
      </c>
      <c r="P799">
        <v>0.98715240000000004</v>
      </c>
      <c r="Q799">
        <v>0.15877749999999999</v>
      </c>
      <c r="R799">
        <v>1.7889120000000001E-2</v>
      </c>
      <c r="S799">
        <v>3.0479129999999999</v>
      </c>
      <c r="T799">
        <v>-6.9260950000000002E-2</v>
      </c>
      <c r="U799">
        <v>0.12429809999999999</v>
      </c>
      <c r="V799">
        <v>-1.447437E-2</v>
      </c>
      <c r="W799">
        <v>0.17059389999999999</v>
      </c>
      <c r="X799">
        <v>0.98523510000000003</v>
      </c>
      <c r="Y799">
        <v>-3.7271890000000002E-2</v>
      </c>
      <c r="Z799">
        <v>6.0950179999999998E-4</v>
      </c>
      <c r="AA799">
        <v>0.999305</v>
      </c>
      <c r="AB799">
        <v>30</v>
      </c>
      <c r="AC799">
        <v>51.332499999999897</v>
      </c>
      <c r="AD799">
        <v>-1.1712279999999999</v>
      </c>
      <c r="AE799">
        <v>2.1012</v>
      </c>
      <c r="AF799">
        <v>-1.9223844007367199</v>
      </c>
      <c r="AG799">
        <v>-1.1712279999999999</v>
      </c>
      <c r="AH799">
        <v>51.312801747645302</v>
      </c>
      <c r="AI799">
        <v>91.306647637454404</v>
      </c>
      <c r="AJ799">
        <v>92.145527453648796</v>
      </c>
      <c r="AK799">
        <v>51.362154939267597</v>
      </c>
      <c r="AL799">
        <v>80.177648499776296</v>
      </c>
      <c r="AM799">
        <v>90.841688095257595</v>
      </c>
      <c r="AN799">
        <v>0.99999999418805796</v>
      </c>
    </row>
    <row r="800" spans="1:40" x14ac:dyDescent="0.25">
      <c r="A800" t="str">
        <f>"20190303161856351"</f>
        <v>20190303161856351</v>
      </c>
      <c r="B800" t="str">
        <f>"1551601136343283"</f>
        <v>1551601136343283</v>
      </c>
      <c r="C800" t="s">
        <v>40</v>
      </c>
      <c r="D800">
        <v>5.0391979999999998</v>
      </c>
      <c r="E800">
        <v>0.49102129999999999</v>
      </c>
      <c r="F800" t="s">
        <v>44</v>
      </c>
      <c r="G800">
        <v>-287.66879999999998</v>
      </c>
      <c r="H800">
        <v>-0.05</v>
      </c>
      <c r="I800">
        <v>369.31060000000002</v>
      </c>
      <c r="J800">
        <v>-342.50670000000002</v>
      </c>
      <c r="K800">
        <v>1.1212279999999999</v>
      </c>
      <c r="L800">
        <v>367.02420000000001</v>
      </c>
      <c r="M800">
        <v>0.99992219999999998</v>
      </c>
      <c r="N800">
        <v>-1.198162E-2</v>
      </c>
      <c r="O800">
        <v>3.4837230000000002E-3</v>
      </c>
      <c r="P800">
        <v>0.98710980000000004</v>
      </c>
      <c r="Q800">
        <v>0.15902369999999999</v>
      </c>
      <c r="R800">
        <v>1.8054790000000001E-2</v>
      </c>
      <c r="S800">
        <v>3.04718</v>
      </c>
      <c r="T800">
        <v>-6.4857600000000001E-2</v>
      </c>
      <c r="U800">
        <v>0.12664790000000001</v>
      </c>
      <c r="V800">
        <v>-1.461984E-2</v>
      </c>
      <c r="W800">
        <v>0.17083960000000001</v>
      </c>
      <c r="X800">
        <v>0.98519040000000002</v>
      </c>
      <c r="Y800">
        <v>-3.803198E-2</v>
      </c>
      <c r="Z800">
        <v>6.0012930000000002E-4</v>
      </c>
      <c r="AA800">
        <v>0.99927630000000001</v>
      </c>
      <c r="AB800">
        <v>30</v>
      </c>
      <c r="AC800">
        <v>54.837899999999998</v>
      </c>
      <c r="AD800">
        <v>-1.1712279999999999</v>
      </c>
      <c r="AE800">
        <v>2.2864000000000102</v>
      </c>
      <c r="AF800">
        <v>-2.0943786428948701</v>
      </c>
      <c r="AG800">
        <v>-1.1712279999999999</v>
      </c>
      <c r="AH800">
        <v>54.820569153225399</v>
      </c>
      <c r="AI800">
        <v>91.223032112662807</v>
      </c>
      <c r="AJ800">
        <v>92.187878158545203</v>
      </c>
      <c r="AK800">
        <v>54.873062600982699</v>
      </c>
      <c r="AL800">
        <v>80.163361412197204</v>
      </c>
      <c r="AM800">
        <v>90.850184542488506</v>
      </c>
      <c r="AN800">
        <v>1.0000000164509699</v>
      </c>
    </row>
    <row r="801" spans="1:40" x14ac:dyDescent="0.25">
      <c r="A801" t="str">
        <f>"20190303161856364"</f>
        <v>20190303161856364</v>
      </c>
      <c r="B801" t="str">
        <f>"1551601136354018"</f>
        <v>1551601136354018</v>
      </c>
      <c r="C801" t="s">
        <v>40</v>
      </c>
      <c r="D801">
        <v>4.8164920000000002</v>
      </c>
      <c r="E801">
        <v>0.49057729999999999</v>
      </c>
      <c r="F801" t="s">
        <v>44</v>
      </c>
      <c r="G801">
        <v>-278.17140000000001</v>
      </c>
      <c r="H801">
        <v>-0.05</v>
      </c>
      <c r="I801">
        <v>369.76510000000002</v>
      </c>
      <c r="J801">
        <v>-342.32850000000002</v>
      </c>
      <c r="K801">
        <v>1.121232</v>
      </c>
      <c r="L801">
        <v>367.02480000000003</v>
      </c>
      <c r="M801">
        <v>0.99992219999999998</v>
      </c>
      <c r="N801">
        <v>-1.198187E-2</v>
      </c>
      <c r="O801">
        <v>3.5027349999999999E-3</v>
      </c>
      <c r="P801">
        <v>0.98706439999999995</v>
      </c>
      <c r="Q801">
        <v>0.159279</v>
      </c>
      <c r="R801">
        <v>1.8279420000000001E-2</v>
      </c>
      <c r="S801">
        <v>3.0457459999999998</v>
      </c>
      <c r="T801">
        <v>-5.5447940000000001E-2</v>
      </c>
      <c r="U801">
        <v>0.12976070000000001</v>
      </c>
      <c r="V801">
        <v>-1.4825410000000001E-2</v>
      </c>
      <c r="W801">
        <v>0.17109469999999999</v>
      </c>
      <c r="X801">
        <v>0.98514310000000005</v>
      </c>
      <c r="Y801">
        <v>-3.9054600000000002E-2</v>
      </c>
      <c r="Z801">
        <v>5.6764439999999999E-4</v>
      </c>
      <c r="AA801">
        <v>0.99923689999999998</v>
      </c>
      <c r="AB801">
        <v>30</v>
      </c>
      <c r="AC801">
        <v>64.1571</v>
      </c>
      <c r="AD801">
        <v>-1.1712320000000001</v>
      </c>
      <c r="AE801">
        <v>2.7402999999999902</v>
      </c>
      <c r="AF801">
        <v>-2.5147052111916799</v>
      </c>
      <c r="AG801">
        <v>-1.1712320000000001</v>
      </c>
      <c r="AH801">
        <v>64.144966925121693</v>
      </c>
      <c r="AI801">
        <v>91.045252736852305</v>
      </c>
      <c r="AJ801">
        <v>92.245043632191496</v>
      </c>
      <c r="AK801">
        <v>64.204924332343595</v>
      </c>
      <c r="AL801">
        <v>80.148527262233003</v>
      </c>
      <c r="AM801">
        <v>90.862178608293306</v>
      </c>
      <c r="AN801">
        <v>1.0000000583136801</v>
      </c>
    </row>
    <row r="802" spans="1:40" x14ac:dyDescent="0.25">
      <c r="A802" t="str">
        <f>"20190303161856376"</f>
        <v>20190303161856376</v>
      </c>
      <c r="B802" t="str">
        <f>"1551601136363779"</f>
        <v>1551601136363779</v>
      </c>
      <c r="C802" t="s">
        <v>40</v>
      </c>
      <c r="D802">
        <v>4.7832670000000004</v>
      </c>
      <c r="E802">
        <v>0.49091459999999998</v>
      </c>
      <c r="F802" t="s">
        <v>41</v>
      </c>
      <c r="G802">
        <v>-274.6739</v>
      </c>
      <c r="H802" s="1">
        <v>-2.3678859999999998E-6</v>
      </c>
      <c r="I802">
        <v>369.99459999999999</v>
      </c>
      <c r="J802">
        <v>-342.17680000000001</v>
      </c>
      <c r="K802">
        <v>1.1212329999999999</v>
      </c>
      <c r="L802">
        <v>367.02530000000002</v>
      </c>
      <c r="M802">
        <v>0.99992219999999998</v>
      </c>
      <c r="N802">
        <v>-1.1982069999999999E-2</v>
      </c>
      <c r="O802">
        <v>3.5188860000000001E-3</v>
      </c>
      <c r="P802">
        <v>0.98705609999999999</v>
      </c>
      <c r="Q802">
        <v>0.15932939999999901</v>
      </c>
      <c r="R802">
        <v>1.8295100000000002E-2</v>
      </c>
      <c r="S802">
        <v>3.0449830000000002</v>
      </c>
      <c r="T802">
        <v>-5.0464149999999999E-2</v>
      </c>
      <c r="U802">
        <v>0.13366700000000001</v>
      </c>
      <c r="V802">
        <v>-1.482527E-2</v>
      </c>
      <c r="W802">
        <v>0.1711454</v>
      </c>
      <c r="X802">
        <v>0.98513419999999896</v>
      </c>
      <c r="Y802">
        <v>-4.0329700000000003E-2</v>
      </c>
      <c r="Z802">
        <v>5.5963620000000003E-4</v>
      </c>
      <c r="AA802">
        <v>0.99918629999999997</v>
      </c>
      <c r="AB802">
        <v>30</v>
      </c>
      <c r="AC802">
        <v>67.502899999999997</v>
      </c>
      <c r="AD802">
        <v>-1.1212353678860001</v>
      </c>
      <c r="AE802">
        <v>2.9692999999999699</v>
      </c>
      <c r="AF802">
        <v>-2.7309775766470401</v>
      </c>
      <c r="AG802">
        <v>-1.1212353678860001</v>
      </c>
      <c r="AH802">
        <v>67.494345785674497</v>
      </c>
      <c r="AI802">
        <v>90.950948342656801</v>
      </c>
      <c r="AJ802">
        <v>92.317056018574405</v>
      </c>
      <c r="AK802">
        <v>67.558878915435997</v>
      </c>
      <c r="AL802">
        <v>80.145577942482305</v>
      </c>
      <c r="AM802">
        <v>90.862178255689997</v>
      </c>
      <c r="AN802">
        <v>0.99999996429068505</v>
      </c>
    </row>
    <row r="803" spans="1:40" x14ac:dyDescent="0.25">
      <c r="A803" t="str">
        <f>"20190303161856388"</f>
        <v>20190303161856388</v>
      </c>
      <c r="B803" t="str">
        <f>"1551601136383298"</f>
        <v>1551601136383298</v>
      </c>
      <c r="C803" t="s">
        <v>40</v>
      </c>
      <c r="D803">
        <v>4.7777289999999999</v>
      </c>
      <c r="E803">
        <v>0.49141430000000003</v>
      </c>
      <c r="F803" t="s">
        <v>41</v>
      </c>
      <c r="G803">
        <v>-274.72230000000002</v>
      </c>
      <c r="H803" s="1">
        <v>-2.3310569999999999E-6</v>
      </c>
      <c r="I803">
        <v>369.93430000000001</v>
      </c>
      <c r="J803">
        <v>-342.01929999999999</v>
      </c>
      <c r="K803">
        <v>1.1212310000000001</v>
      </c>
      <c r="L803">
        <v>367.02589999999998</v>
      </c>
      <c r="M803">
        <v>0.99992210000000004</v>
      </c>
      <c r="N803">
        <v>-1.198228E-2</v>
      </c>
      <c r="O803">
        <v>3.535514E-3</v>
      </c>
      <c r="P803">
        <v>0.98701519999999998</v>
      </c>
      <c r="Q803">
        <v>0.1595683</v>
      </c>
      <c r="R803">
        <v>1.8420590000000001E-2</v>
      </c>
      <c r="S803">
        <v>3.0450439999999999</v>
      </c>
      <c r="T803">
        <v>-5.0614949999999999E-2</v>
      </c>
      <c r="U803">
        <v>0.13131709999999999</v>
      </c>
      <c r="V803">
        <v>-1.493504E-2</v>
      </c>
      <c r="W803">
        <v>0.17138410000000001</v>
      </c>
      <c r="X803">
        <v>0.9850911</v>
      </c>
      <c r="Y803">
        <v>-3.9542729999999998E-2</v>
      </c>
      <c r="Z803">
        <v>5.4912889999999995E-4</v>
      </c>
      <c r="AA803">
        <v>0.99921769999999999</v>
      </c>
      <c r="AB803">
        <v>30</v>
      </c>
      <c r="AC803">
        <v>67.296999999999898</v>
      </c>
      <c r="AD803">
        <v>-1.121233331057</v>
      </c>
      <c r="AE803">
        <v>2.9084000000000199</v>
      </c>
      <c r="AF803">
        <v>-2.6696955918735399</v>
      </c>
      <c r="AG803">
        <v>-1.121233331057</v>
      </c>
      <c r="AH803">
        <v>67.288219186010394</v>
      </c>
      <c r="AI803">
        <v>90.953889167446107</v>
      </c>
      <c r="AJ803">
        <v>92.2720485968416</v>
      </c>
      <c r="AK803">
        <v>67.350492796716196</v>
      </c>
      <c r="AL803">
        <v>80.131696896792405</v>
      </c>
      <c r="AM803">
        <v>90.868599060077003</v>
      </c>
      <c r="AN803">
        <v>1.0000000202259101</v>
      </c>
    </row>
    <row r="804" spans="1:40" x14ac:dyDescent="0.25">
      <c r="A804" t="str">
        <f>"20190303161856398"</f>
        <v>20190303161856398</v>
      </c>
      <c r="B804" t="str">
        <f>"1551601136394035"</f>
        <v>1551601136394035</v>
      </c>
      <c r="C804" t="s">
        <v>40</v>
      </c>
      <c r="D804">
        <v>4.5447680000000004</v>
      </c>
      <c r="E804">
        <v>0.49141430000000003</v>
      </c>
      <c r="F804" t="s">
        <v>41</v>
      </c>
      <c r="G804">
        <v>-272.45549999999997</v>
      </c>
      <c r="H804" s="1">
        <v>-3.3059859999999998E-6</v>
      </c>
      <c r="I804">
        <v>369.9436</v>
      </c>
      <c r="J804">
        <v>-341.87470000000002</v>
      </c>
      <c r="K804">
        <v>1.1212329999999999</v>
      </c>
      <c r="L804">
        <v>367.0265</v>
      </c>
      <c r="M804">
        <v>0.99992190000000003</v>
      </c>
      <c r="N804">
        <v>-1.198245E-2</v>
      </c>
      <c r="O804">
        <v>3.5511879999999998E-3</v>
      </c>
      <c r="P804">
        <v>0.98705690000000001</v>
      </c>
      <c r="Q804">
        <v>0.15932839999999901</v>
      </c>
      <c r="R804">
        <v>1.8258819999999999E-2</v>
      </c>
      <c r="S804">
        <v>3.045013</v>
      </c>
      <c r="T804">
        <v>-4.9079659999999997E-2</v>
      </c>
      <c r="U804">
        <v>0.1277161</v>
      </c>
      <c r="V804">
        <v>-1.4757630000000001E-2</v>
      </c>
      <c r="W804">
        <v>0.1711445</v>
      </c>
      <c r="X804">
        <v>0.98513539999999999</v>
      </c>
      <c r="Y804">
        <v>-3.834862E-2</v>
      </c>
      <c r="Z804">
        <v>5.2411370000000001E-4</v>
      </c>
      <c r="AA804">
        <v>0.99926429999999999</v>
      </c>
      <c r="AB804">
        <v>30</v>
      </c>
      <c r="AC804">
        <v>69.419200000000004</v>
      </c>
      <c r="AD804">
        <v>-1.121236305986</v>
      </c>
      <c r="AE804">
        <v>2.9171</v>
      </c>
      <c r="AF804">
        <v>-2.6698480005216698</v>
      </c>
      <c r="AG804">
        <v>-1.121236305986</v>
      </c>
      <c r="AH804">
        <v>69.411046331405103</v>
      </c>
      <c r="AI804">
        <v>90.924767260345902</v>
      </c>
      <c r="AJ804">
        <v>92.202756722177298</v>
      </c>
      <c r="AK804">
        <v>69.4714229883066</v>
      </c>
      <c r="AL804">
        <v>80.145630555962995</v>
      </c>
      <c r="AM804">
        <v>90.858244128977702</v>
      </c>
      <c r="AN804">
        <v>0.99999999192831301</v>
      </c>
    </row>
    <row r="805" spans="1:40" x14ac:dyDescent="0.25">
      <c r="A805" t="str">
        <f>"20190303161856575"</f>
        <v>20190303161856575</v>
      </c>
      <c r="B805" t="str">
        <f>"1551601136563859"</f>
        <v>1551601136563859</v>
      </c>
      <c r="C805" t="s">
        <v>40</v>
      </c>
      <c r="D805">
        <v>4.4331559999999897</v>
      </c>
      <c r="E805">
        <v>0.49116159999999998</v>
      </c>
      <c r="F805" t="s">
        <v>41</v>
      </c>
      <c r="G805">
        <v>-273.35599999999999</v>
      </c>
      <c r="H805" s="1">
        <v>-2.903766E-6</v>
      </c>
      <c r="I805">
        <v>369.88389999999998</v>
      </c>
      <c r="J805">
        <v>-339.53210000000001</v>
      </c>
      <c r="K805">
        <v>1.1212120000000001</v>
      </c>
      <c r="L805">
        <v>367.03530000000001</v>
      </c>
      <c r="M805">
        <v>0.99992110000000001</v>
      </c>
      <c r="N805">
        <v>-1.1984659999999999E-2</v>
      </c>
      <c r="O805">
        <v>3.8005539999999998E-3</v>
      </c>
      <c r="P805">
        <v>0.98733499999999996</v>
      </c>
      <c r="Q805">
        <v>0.1574933</v>
      </c>
      <c r="R805">
        <v>1.911815E-2</v>
      </c>
      <c r="S805">
        <v>3.0449830000000002</v>
      </c>
      <c r="T805">
        <v>-4.982781E-2</v>
      </c>
      <c r="U805">
        <v>0.1269836</v>
      </c>
      <c r="V805">
        <v>-1.5369000000000001E-2</v>
      </c>
      <c r="W805">
        <v>0.1693152</v>
      </c>
      <c r="X805">
        <v>0.98544209999999999</v>
      </c>
      <c r="Y805">
        <v>-3.7859799999999999E-2</v>
      </c>
      <c r="Z805">
        <v>5.1998419999999999E-4</v>
      </c>
      <c r="AA805">
        <v>0.99928289999999997</v>
      </c>
      <c r="AB805">
        <v>30</v>
      </c>
      <c r="AC805">
        <v>66.176100000000005</v>
      </c>
      <c r="AD805">
        <v>-1.121214903766</v>
      </c>
      <c r="AE805">
        <v>2.84859999999997</v>
      </c>
      <c r="AF805">
        <v>-2.5963116305462699</v>
      </c>
      <c r="AG805">
        <v>-1.121214903766</v>
      </c>
      <c r="AH805">
        <v>66.167490005039795</v>
      </c>
      <c r="AI805">
        <v>90.970043612596896</v>
      </c>
      <c r="AJ805">
        <v>92.247046454886402</v>
      </c>
      <c r="AK805">
        <v>66.227899638372705</v>
      </c>
      <c r="AL805">
        <v>80.251994144676402</v>
      </c>
      <c r="AM805">
        <v>90.893515153664097</v>
      </c>
      <c r="AN805">
        <v>0.99999998778222399</v>
      </c>
    </row>
    <row r="806" spans="1:40" x14ac:dyDescent="0.25">
      <c r="A806" t="str">
        <f>"20190303161856587"</f>
        <v>20190303161856587</v>
      </c>
      <c r="B806" t="str">
        <f>"1551601136583379"</f>
        <v>1551601136583379</v>
      </c>
      <c r="C806" t="s">
        <v>40</v>
      </c>
      <c r="D806">
        <v>4.3952730000000004</v>
      </c>
      <c r="E806">
        <v>0.49081459999999999</v>
      </c>
      <c r="F806" t="s">
        <v>44</v>
      </c>
      <c r="G806">
        <v>-288.68340000000001</v>
      </c>
      <c r="H806">
        <v>-0.05</v>
      </c>
      <c r="I806">
        <v>369.23070000000001</v>
      </c>
      <c r="J806">
        <v>-339.38279999999997</v>
      </c>
      <c r="K806">
        <v>1.1212120000000001</v>
      </c>
      <c r="L806">
        <v>367.03590000000003</v>
      </c>
      <c r="M806">
        <v>0.9999209</v>
      </c>
      <c r="N806">
        <v>-1.1984710000000001E-2</v>
      </c>
      <c r="O806">
        <v>3.8167050000000001E-3</v>
      </c>
      <c r="P806">
        <v>0.98740070000000002</v>
      </c>
      <c r="Q806">
        <v>0.1570761</v>
      </c>
      <c r="R806">
        <v>1.915037E-2</v>
      </c>
      <c r="S806">
        <v>3.0471499999999998</v>
      </c>
      <c r="T806">
        <v>-7.0185780000000003E-2</v>
      </c>
      <c r="U806">
        <v>0.13156129999999999</v>
      </c>
      <c r="V806">
        <v>-1.5385630000000001E-2</v>
      </c>
      <c r="W806">
        <v>0.1688993</v>
      </c>
      <c r="X806">
        <v>0.98551319999999998</v>
      </c>
      <c r="Y806">
        <v>-3.9305670000000001E-2</v>
      </c>
      <c r="Z806">
        <v>6.4596130000000001E-4</v>
      </c>
      <c r="AA806">
        <v>0.99922699999999998</v>
      </c>
      <c r="AB806">
        <v>30</v>
      </c>
      <c r="AC806">
        <v>50.699399999999898</v>
      </c>
      <c r="AD806">
        <v>-1.1712119999999999</v>
      </c>
      <c r="AE806">
        <v>2.1947999999999799</v>
      </c>
      <c r="AF806">
        <v>-2.00020002851846</v>
      </c>
      <c r="AG806">
        <v>-1.1712119999999999</v>
      </c>
      <c r="AH806">
        <v>50.680412612885902</v>
      </c>
      <c r="AI806">
        <v>91.322826404049394</v>
      </c>
      <c r="AJ806">
        <v>92.260115222322696</v>
      </c>
      <c r="AK806">
        <v>50.733389008772001</v>
      </c>
      <c r="AL806">
        <v>80.276171589318196</v>
      </c>
      <c r="AM806">
        <v>90.894417301154803</v>
      </c>
      <c r="AN806">
        <v>0.99999997926261297</v>
      </c>
    </row>
    <row r="807" spans="1:40" x14ac:dyDescent="0.25">
      <c r="A807" t="str">
        <f>"20190303161856598"</f>
        <v>20190303161856598</v>
      </c>
      <c r="B807" t="str">
        <f>"1551601136593853"</f>
        <v>1551601136593853</v>
      </c>
      <c r="C807" t="s">
        <v>40</v>
      </c>
      <c r="D807">
        <v>4.4020089999999996</v>
      </c>
      <c r="E807">
        <v>0.49068329999999999</v>
      </c>
      <c r="F807" t="s">
        <v>44</v>
      </c>
      <c r="G807">
        <v>-292.20830000000001</v>
      </c>
      <c r="H807">
        <v>-0.05</v>
      </c>
      <c r="I807">
        <v>369.11579999999998</v>
      </c>
      <c r="J807">
        <v>-339.23719999999997</v>
      </c>
      <c r="K807">
        <v>1.121219</v>
      </c>
      <c r="L807">
        <v>367.03649999999999</v>
      </c>
      <c r="M807">
        <v>0.99992099999999995</v>
      </c>
      <c r="N807">
        <v>-1.1984760000000001E-2</v>
      </c>
      <c r="O807">
        <v>3.8318459999999999E-3</v>
      </c>
      <c r="P807">
        <v>0.98741920000000005</v>
      </c>
      <c r="Q807">
        <v>0.156946</v>
      </c>
      <c r="R807">
        <v>1.928088E-2</v>
      </c>
      <c r="S807">
        <v>3.0476679999999998</v>
      </c>
      <c r="T807">
        <v>-7.5665239999999995E-2</v>
      </c>
      <c r="U807">
        <v>0.13436890000000001</v>
      </c>
      <c r="V807">
        <v>-1.550064E-2</v>
      </c>
      <c r="W807">
        <v>0.16876920000000001</v>
      </c>
      <c r="X807">
        <v>0.98553369999999996</v>
      </c>
      <c r="Y807">
        <v>-4.0199539999999999E-2</v>
      </c>
      <c r="Z807">
        <v>6.9060390000000001E-4</v>
      </c>
      <c r="AA807">
        <v>0.99919150000000001</v>
      </c>
      <c r="AB807">
        <v>30</v>
      </c>
      <c r="AC807">
        <v>47.028899999999901</v>
      </c>
      <c r="AD807">
        <v>-1.171219</v>
      </c>
      <c r="AE807">
        <v>2.0792999999999799</v>
      </c>
      <c r="AF807">
        <v>-1.89788950127731</v>
      </c>
      <c r="AG807">
        <v>-1.171219</v>
      </c>
      <c r="AH807">
        <v>47.0074246959025</v>
      </c>
      <c r="AI807">
        <v>91.426103039042005</v>
      </c>
      <c r="AJ807">
        <v>92.312018394688096</v>
      </c>
      <c r="AK807">
        <v>47.060298713947397</v>
      </c>
      <c r="AL807">
        <v>80.283734475199296</v>
      </c>
      <c r="AM807">
        <v>90.901083371921104</v>
      </c>
      <c r="AN807">
        <v>0.99999999327236899</v>
      </c>
    </row>
    <row r="808" spans="1:40" x14ac:dyDescent="0.25">
      <c r="A808" t="str">
        <f>"20190303161856610"</f>
        <v>20190303161856610</v>
      </c>
      <c r="B808" t="str">
        <f>"1551601136603614"</f>
        <v>1551601136603614</v>
      </c>
      <c r="C808" t="s">
        <v>40</v>
      </c>
      <c r="D808">
        <v>4.4152979999999999</v>
      </c>
      <c r="E808">
        <v>0.4905717</v>
      </c>
      <c r="F808" t="s">
        <v>44</v>
      </c>
      <c r="G808">
        <v>-292.12369999999999</v>
      </c>
      <c r="H808">
        <v>-0.05</v>
      </c>
      <c r="I808">
        <v>369.13350000000003</v>
      </c>
      <c r="J808">
        <v>-339.08620000000002</v>
      </c>
      <c r="K808">
        <v>1.121218</v>
      </c>
      <c r="L808">
        <v>367.03710000000001</v>
      </c>
      <c r="M808">
        <v>0.99992080000000005</v>
      </c>
      <c r="N808">
        <v>-1.198483E-2</v>
      </c>
      <c r="O808">
        <v>3.847999E-3</v>
      </c>
      <c r="P808">
        <v>0.98741279999999998</v>
      </c>
      <c r="Q808">
        <v>0.1569507</v>
      </c>
      <c r="R808">
        <v>1.955875E-2</v>
      </c>
      <c r="S808">
        <v>3.0476380000000001</v>
      </c>
      <c r="T808">
        <v>-7.5762869999999996E-2</v>
      </c>
      <c r="U808">
        <v>0.13565060000000001</v>
      </c>
      <c r="V808">
        <v>-1.5762849999999998E-2</v>
      </c>
      <c r="W808">
        <v>0.16877429999999999</v>
      </c>
      <c r="X808">
        <v>0.98552859999999998</v>
      </c>
      <c r="Y808">
        <v>-4.0603010000000002E-2</v>
      </c>
      <c r="Z808">
        <v>6.9835199999999996E-4</v>
      </c>
      <c r="AA808">
        <v>0.99917509999999998</v>
      </c>
      <c r="AB808">
        <v>30</v>
      </c>
      <c r="AC808">
        <v>46.962499999999999</v>
      </c>
      <c r="AD808">
        <v>-1.1712180000000001</v>
      </c>
      <c r="AE808">
        <v>2.0964000000000098</v>
      </c>
      <c r="AF808">
        <v>-1.9144714629603501</v>
      </c>
      <c r="AG808">
        <v>-1.1712180000000001</v>
      </c>
      <c r="AH808">
        <v>46.941081659926297</v>
      </c>
      <c r="AI808">
        <v>91.428092804775702</v>
      </c>
      <c r="AJ808">
        <v>92.335488919540296</v>
      </c>
      <c r="AK808">
        <v>46.994702892878003</v>
      </c>
      <c r="AL808">
        <v>80.283437359918096</v>
      </c>
      <c r="AM808">
        <v>90.916328330163793</v>
      </c>
      <c r="AN808">
        <v>0.99999992659928305</v>
      </c>
    </row>
    <row r="809" spans="1:40" x14ac:dyDescent="0.25">
      <c r="A809" t="str">
        <f>"20190303161856621"</f>
        <v>20190303161856621</v>
      </c>
      <c r="B809" t="str">
        <f>"1551601136613374"</f>
        <v>1551601136613374</v>
      </c>
      <c r="C809" t="s">
        <v>40</v>
      </c>
      <c r="D809">
        <v>4.4535269999999896</v>
      </c>
      <c r="E809">
        <v>0.49024139999999999</v>
      </c>
      <c r="F809" t="s">
        <v>44</v>
      </c>
      <c r="G809">
        <v>-292.29169999999999</v>
      </c>
      <c r="H809">
        <v>-0.05</v>
      </c>
      <c r="I809">
        <v>369.14890000000003</v>
      </c>
      <c r="J809">
        <v>-338.9402</v>
      </c>
      <c r="K809">
        <v>1.1212219999999999</v>
      </c>
      <c r="L809">
        <v>367.03769999999997</v>
      </c>
      <c r="M809">
        <v>0.9999207</v>
      </c>
      <c r="N809">
        <v>-1.198491E-2</v>
      </c>
      <c r="O809">
        <v>3.8636149999999999E-3</v>
      </c>
      <c r="P809">
        <v>0.98745640000000001</v>
      </c>
      <c r="Q809">
        <v>0.156687299999999</v>
      </c>
      <c r="R809">
        <v>1.9473000000000001E-2</v>
      </c>
      <c r="S809">
        <v>3.0476990000000002</v>
      </c>
      <c r="T809">
        <v>-7.6280710000000002E-2</v>
      </c>
      <c r="U809">
        <v>0.13754269999999999</v>
      </c>
      <c r="V809">
        <v>-1.566159E-2</v>
      </c>
      <c r="W809">
        <v>0.1685111</v>
      </c>
      <c r="X809">
        <v>0.98557530000000004</v>
      </c>
      <c r="Y809">
        <v>-4.1205100000000001E-2</v>
      </c>
      <c r="Z809">
        <v>7.1207349999999998E-4</v>
      </c>
      <c r="AA809">
        <v>0.99915050000000005</v>
      </c>
      <c r="AB809">
        <v>30</v>
      </c>
      <c r="AC809">
        <v>46.648499999999999</v>
      </c>
      <c r="AD809">
        <v>-1.171222</v>
      </c>
      <c r="AE809">
        <v>2.1112000000000499</v>
      </c>
      <c r="AF809">
        <v>-1.9297254722155299</v>
      </c>
      <c r="AG809">
        <v>-1.171222</v>
      </c>
      <c r="AH809">
        <v>46.626976548653701</v>
      </c>
      <c r="AI809">
        <v>91.437678633450105</v>
      </c>
      <c r="AJ809">
        <v>92.369916975084394</v>
      </c>
      <c r="AK809">
        <v>46.681586770804003</v>
      </c>
      <c r="AL809">
        <v>80.298737204719103</v>
      </c>
      <c r="AM809">
        <v>90.910399730185702</v>
      </c>
      <c r="AN809">
        <v>0.999999974097313</v>
      </c>
    </row>
    <row r="810" spans="1:40" x14ac:dyDescent="0.25">
      <c r="A810" t="str">
        <f>"20190303161856631"</f>
        <v>20190303161856631</v>
      </c>
      <c r="B810" t="str">
        <f>"1551601136624109"</f>
        <v>1551601136624109</v>
      </c>
      <c r="C810" t="s">
        <v>40</v>
      </c>
      <c r="D810">
        <v>4.428013</v>
      </c>
      <c r="E810">
        <v>0.48989890000000003</v>
      </c>
      <c r="F810" t="s">
        <v>44</v>
      </c>
      <c r="G810">
        <v>-292.78660000000002</v>
      </c>
      <c r="H810">
        <v>-0.05</v>
      </c>
      <c r="I810">
        <v>369.16180000000003</v>
      </c>
      <c r="J810">
        <v>-338.7928</v>
      </c>
      <c r="K810">
        <v>1.121219</v>
      </c>
      <c r="L810">
        <v>367.03820000000002</v>
      </c>
      <c r="M810">
        <v>0.9999207</v>
      </c>
      <c r="N810">
        <v>-1.1985000000000001E-2</v>
      </c>
      <c r="O810">
        <v>3.879291E-3</v>
      </c>
      <c r="P810">
        <v>0.98747569999999996</v>
      </c>
      <c r="Q810">
        <v>0.15657199999999999</v>
      </c>
      <c r="R810">
        <v>1.941853E-2</v>
      </c>
      <c r="S810">
        <v>3.047577</v>
      </c>
      <c r="T810">
        <v>-7.7337030000000001E-2</v>
      </c>
      <c r="U810">
        <v>0.14025879999999999</v>
      </c>
      <c r="V810">
        <v>-1.559141E-2</v>
      </c>
      <c r="W810">
        <v>0.16839599999999999</v>
      </c>
      <c r="X810">
        <v>0.98559609999999997</v>
      </c>
      <c r="Y810">
        <v>-4.2078999999999998E-2</v>
      </c>
      <c r="Z810">
        <v>7.3399719999999997E-4</v>
      </c>
      <c r="AA810">
        <v>0.99911399999999995</v>
      </c>
      <c r="AB810">
        <v>30</v>
      </c>
      <c r="AC810">
        <v>46.0061999999999</v>
      </c>
      <c r="AD810">
        <v>-1.171219</v>
      </c>
      <c r="AE810">
        <v>2.1236000000000099</v>
      </c>
      <c r="AF810">
        <v>-1.94384264024446</v>
      </c>
      <c r="AG810">
        <v>-1.171219</v>
      </c>
      <c r="AH810">
        <v>45.984353235035996</v>
      </c>
      <c r="AI810">
        <v>91.457703731192893</v>
      </c>
      <c r="AJ810">
        <v>92.420556215273805</v>
      </c>
      <c r="AK810">
        <v>46.0403195101919</v>
      </c>
      <c r="AL810">
        <v>80.305427699016306</v>
      </c>
      <c r="AM810">
        <v>90.906301763082695</v>
      </c>
      <c r="AN810">
        <v>0.99999998860849804</v>
      </c>
    </row>
    <row r="811" spans="1:40" x14ac:dyDescent="0.25">
      <c r="A811" t="str">
        <f>"20190303161856643"</f>
        <v>20190303161856643</v>
      </c>
      <c r="B811" t="str">
        <f>"1551601136633869"</f>
        <v>1551601136633869</v>
      </c>
      <c r="C811" t="s">
        <v>40</v>
      </c>
      <c r="D811">
        <v>4.393923</v>
      </c>
      <c r="E811">
        <v>0.48948580000000003</v>
      </c>
      <c r="F811" t="s">
        <v>44</v>
      </c>
      <c r="G811">
        <v>-293.13310000000001</v>
      </c>
      <c r="H811">
        <v>-0.05</v>
      </c>
      <c r="I811">
        <v>369.18209999999999</v>
      </c>
      <c r="J811">
        <v>-338.63780000000003</v>
      </c>
      <c r="K811">
        <v>1.121219</v>
      </c>
      <c r="L811">
        <v>367.03879999999998</v>
      </c>
      <c r="M811">
        <v>0.99992060000000005</v>
      </c>
      <c r="N811">
        <v>-1.198509E-2</v>
      </c>
      <c r="O811">
        <v>3.8957409999999999E-3</v>
      </c>
      <c r="P811">
        <v>0.98751940000000005</v>
      </c>
      <c r="Q811">
        <v>0.1562846</v>
      </c>
      <c r="R811">
        <v>1.9505459999999999E-2</v>
      </c>
      <c r="S811">
        <v>3.0476380000000001</v>
      </c>
      <c r="T811">
        <v>-7.8174950000000007E-2</v>
      </c>
      <c r="U811">
        <v>0.1430969</v>
      </c>
      <c r="V811">
        <v>-1.5662209999999999E-2</v>
      </c>
      <c r="W811">
        <v>0.1681097</v>
      </c>
      <c r="X811">
        <v>0.98564390000000002</v>
      </c>
      <c r="Y811">
        <v>-4.2989279999999998E-2</v>
      </c>
      <c r="Z811">
        <v>7.5560130000000005E-4</v>
      </c>
      <c r="AA811">
        <v>0.99907520000000005</v>
      </c>
      <c r="AB811">
        <v>30</v>
      </c>
      <c r="AC811">
        <v>45.5047</v>
      </c>
      <c r="AD811">
        <v>-1.171219</v>
      </c>
      <c r="AE811">
        <v>2.1433000000000102</v>
      </c>
      <c r="AF811">
        <v>-1.9646978119313601</v>
      </c>
      <c r="AG811">
        <v>-1.171219</v>
      </c>
      <c r="AH811">
        <v>45.4826409675996</v>
      </c>
      <c r="AI811">
        <v>91.473718278740904</v>
      </c>
      <c r="AJ811">
        <v>92.473448166808595</v>
      </c>
      <c r="AK811">
        <v>45.5401188055733</v>
      </c>
      <c r="AL811">
        <v>80.3220691886483</v>
      </c>
      <c r="AM811">
        <v>90.910372409471805</v>
      </c>
      <c r="AN811">
        <v>1.0000000368316899</v>
      </c>
    </row>
    <row r="812" spans="1:40" x14ac:dyDescent="0.25">
      <c r="A812" t="str">
        <f>"20190303161856654"</f>
        <v>20190303161856654</v>
      </c>
      <c r="B812" t="str">
        <f>"1551601136643630"</f>
        <v>1551601136643630</v>
      </c>
      <c r="C812" t="s">
        <v>40</v>
      </c>
      <c r="D812">
        <v>4.3757289999999998</v>
      </c>
      <c r="E812">
        <v>0.48893999999999999</v>
      </c>
      <c r="F812" t="s">
        <v>44</v>
      </c>
      <c r="G812">
        <v>-293.18209999999999</v>
      </c>
      <c r="H812">
        <v>-0.05</v>
      </c>
      <c r="I812">
        <v>369.23110000000003</v>
      </c>
      <c r="J812">
        <v>-338.49720000000002</v>
      </c>
      <c r="K812">
        <v>1.1212169999999999</v>
      </c>
      <c r="L812">
        <v>367.0394</v>
      </c>
      <c r="M812">
        <v>0.99992049999999999</v>
      </c>
      <c r="N812">
        <v>-1.1985259999999999E-2</v>
      </c>
      <c r="O812">
        <v>3.9110569999999999E-3</v>
      </c>
      <c r="P812">
        <v>0.9875526</v>
      </c>
      <c r="Q812">
        <v>0.15610889999999999</v>
      </c>
      <c r="R812">
        <v>1.9238580000000002E-2</v>
      </c>
      <c r="S812">
        <v>3.0473940000000002</v>
      </c>
      <c r="T812">
        <v>-7.8519699999999998E-2</v>
      </c>
      <c r="U812">
        <v>0.14697270000000001</v>
      </c>
      <c r="V812">
        <v>-1.538021E-2</v>
      </c>
      <c r="W812">
        <v>0.16793440000000001</v>
      </c>
      <c r="X812">
        <v>0.98567819999999995</v>
      </c>
      <c r="Y812">
        <v>-4.424471E-2</v>
      </c>
      <c r="Z812">
        <v>7.8110460000000001E-4</v>
      </c>
      <c r="AA812">
        <v>0.99902040000000003</v>
      </c>
      <c r="AB812">
        <v>30</v>
      </c>
      <c r="AC812">
        <v>45.315100000000001</v>
      </c>
      <c r="AD812">
        <v>-1.171217</v>
      </c>
      <c r="AE812">
        <v>2.19170000000002</v>
      </c>
      <c r="AF812">
        <v>-2.01309891086128</v>
      </c>
      <c r="AG812">
        <v>-1.171217</v>
      </c>
      <c r="AH812">
        <v>45.293139782598203</v>
      </c>
      <c r="AI812">
        <v>91.479798053942602</v>
      </c>
      <c r="AJ812">
        <v>92.544893356225302</v>
      </c>
      <c r="AK812">
        <v>45.352980363499597</v>
      </c>
      <c r="AL812">
        <v>80.332257765004798</v>
      </c>
      <c r="AM812">
        <v>90.893952623744198</v>
      </c>
      <c r="AN812">
        <v>1.0000000137591201</v>
      </c>
    </row>
    <row r="813" spans="1:40" x14ac:dyDescent="0.25">
      <c r="A813" t="str">
        <f>"20190303161856666"</f>
        <v>20190303161856666</v>
      </c>
      <c r="B813" t="str">
        <f>"1551601136653389"</f>
        <v>1551601136653389</v>
      </c>
      <c r="C813" t="s">
        <v>40</v>
      </c>
      <c r="D813">
        <v>4.3562200000000004</v>
      </c>
      <c r="E813">
        <v>0.48853550000000001</v>
      </c>
      <c r="F813" t="s">
        <v>44</v>
      </c>
      <c r="G813">
        <v>-292.91120000000001</v>
      </c>
      <c r="H813">
        <v>-0.05</v>
      </c>
      <c r="I813">
        <v>369.28190000000001</v>
      </c>
      <c r="J813">
        <v>-338.34350000000001</v>
      </c>
      <c r="K813">
        <v>1.1212200000000001</v>
      </c>
      <c r="L813">
        <v>367.04</v>
      </c>
      <c r="M813">
        <v>0.99992049999999999</v>
      </c>
      <c r="N813">
        <v>-1.198545E-2</v>
      </c>
      <c r="O813">
        <v>3.9275630000000002E-3</v>
      </c>
      <c r="P813">
        <v>0.98756149999999998</v>
      </c>
      <c r="Q813">
        <v>0.15607579999999999</v>
      </c>
      <c r="R813">
        <v>1.9044330000000002E-2</v>
      </c>
      <c r="S813">
        <v>3.0473330000000001</v>
      </c>
      <c r="T813">
        <v>-7.8293559999999998E-2</v>
      </c>
      <c r="U813">
        <v>0.14990229999999999</v>
      </c>
      <c r="V813">
        <v>-1.516926E-2</v>
      </c>
      <c r="W813">
        <v>0.16790150000000001</v>
      </c>
      <c r="X813">
        <v>0.98568710000000004</v>
      </c>
      <c r="Y813">
        <v>-4.518697E-2</v>
      </c>
      <c r="Z813">
        <v>7.9728399999999999E-4</v>
      </c>
      <c r="AA813">
        <v>0.99897829999999999</v>
      </c>
      <c r="AB813">
        <v>30</v>
      </c>
      <c r="AC813">
        <v>45.432299999999998</v>
      </c>
      <c r="AD813">
        <v>-1.1712199999999999</v>
      </c>
      <c r="AE813">
        <v>2.2418999999999798</v>
      </c>
      <c r="AF813">
        <v>-2.0620645962914801</v>
      </c>
      <c r="AG813">
        <v>-1.1712199999999999</v>
      </c>
      <c r="AH813">
        <v>45.410649651791303</v>
      </c>
      <c r="AI813">
        <v>91.475910513381805</v>
      </c>
      <c r="AJ813">
        <v>92.599973636417701</v>
      </c>
      <c r="AK813">
        <v>45.4725298227997</v>
      </c>
      <c r="AL813">
        <v>80.334170199699301</v>
      </c>
      <c r="AM813">
        <v>90.881685447140299</v>
      </c>
      <c r="AN813">
        <v>1.0000000396288</v>
      </c>
    </row>
    <row r="814" spans="1:40" x14ac:dyDescent="0.25">
      <c r="A814" t="str">
        <f>"20190303161856676"</f>
        <v>20190303161856676</v>
      </c>
      <c r="B814" t="str">
        <f>"1551601136663149"</f>
        <v>1551601136663149</v>
      </c>
      <c r="C814" t="s">
        <v>40</v>
      </c>
      <c r="D814">
        <v>4.3467460000000004</v>
      </c>
      <c r="E814">
        <v>0.4880697</v>
      </c>
      <c r="F814" t="s">
        <v>44</v>
      </c>
      <c r="G814">
        <v>-292.67599999999999</v>
      </c>
      <c r="H814">
        <v>-0.05</v>
      </c>
      <c r="I814">
        <v>369.32639999999998</v>
      </c>
      <c r="J814">
        <v>-338.19589999999999</v>
      </c>
      <c r="K814">
        <v>1.121219</v>
      </c>
      <c r="L814">
        <v>367.04059999999998</v>
      </c>
      <c r="M814">
        <v>0.99992040000000004</v>
      </c>
      <c r="N814">
        <v>-1.1985620000000001E-2</v>
      </c>
      <c r="O814">
        <v>3.9435349999999997E-3</v>
      </c>
      <c r="P814">
        <v>0.98760049999999999</v>
      </c>
      <c r="Q814">
        <v>0.15586529999999901</v>
      </c>
      <c r="R814">
        <v>1.8738899999999999E-2</v>
      </c>
      <c r="S814">
        <v>3.0472109999999999</v>
      </c>
      <c r="T814">
        <v>-7.8150750000000005E-2</v>
      </c>
      <c r="U814">
        <v>0.15255739999999901</v>
      </c>
      <c r="V814">
        <v>-1.4847839999999999E-2</v>
      </c>
      <c r="W814">
        <v>0.16769129999999999</v>
      </c>
      <c r="X814">
        <v>0.98572769999999998</v>
      </c>
      <c r="Y814">
        <v>-4.6040890000000001E-2</v>
      </c>
      <c r="Z814">
        <v>8.1227359999999995E-4</v>
      </c>
      <c r="AA814">
        <v>0.99893920000000003</v>
      </c>
      <c r="AB814">
        <v>30</v>
      </c>
      <c r="AC814">
        <v>45.5199</v>
      </c>
      <c r="AD814">
        <v>-1.171219</v>
      </c>
      <c r="AE814">
        <v>2.2857999999999898</v>
      </c>
      <c r="AF814">
        <v>-2.1048700416225801</v>
      </c>
      <c r="AG814">
        <v>-1.171219</v>
      </c>
      <c r="AH814">
        <v>45.498515437583599</v>
      </c>
      <c r="AI814">
        <v>91.473002811317201</v>
      </c>
      <c r="AJ814">
        <v>92.648751117534601</v>
      </c>
      <c r="AK814">
        <v>45.562233690438397</v>
      </c>
      <c r="AL814">
        <v>80.346386253463294</v>
      </c>
      <c r="AM814">
        <v>90.862970814557002</v>
      </c>
      <c r="AN814">
        <v>0.99999996449782202</v>
      </c>
    </row>
    <row r="815" spans="1:40" x14ac:dyDescent="0.25">
      <c r="A815" t="str">
        <f>"20190303161856688"</f>
        <v>20190303161856688</v>
      </c>
      <c r="B815" t="str">
        <f>"1551601136683645"</f>
        <v>1551601136683645</v>
      </c>
      <c r="C815" t="s">
        <v>40</v>
      </c>
      <c r="D815">
        <v>4.3464710000000002</v>
      </c>
      <c r="E815">
        <v>0.48745919999999998</v>
      </c>
      <c r="F815" t="s">
        <v>44</v>
      </c>
      <c r="G815">
        <v>-292.87610000000001</v>
      </c>
      <c r="H815">
        <v>-0.05</v>
      </c>
      <c r="I815">
        <v>369.35309999999998</v>
      </c>
      <c r="J815">
        <v>-338.04860000000002</v>
      </c>
      <c r="K815">
        <v>1.121218</v>
      </c>
      <c r="L815">
        <v>367.0412</v>
      </c>
      <c r="M815">
        <v>0.99992029999999998</v>
      </c>
      <c r="N815">
        <v>-1.198577E-2</v>
      </c>
      <c r="O815">
        <v>3.9592109999999998E-3</v>
      </c>
      <c r="P815">
        <v>0.98761829999999995</v>
      </c>
      <c r="Q815">
        <v>0.1557684</v>
      </c>
      <c r="R815">
        <v>1.8610229999999998E-2</v>
      </c>
      <c r="S815">
        <v>3.0471499999999998</v>
      </c>
      <c r="T815">
        <v>-7.8748819999999997E-2</v>
      </c>
      <c r="U815">
        <v>0.15548709999999999</v>
      </c>
      <c r="V815">
        <v>-1.470379E-2</v>
      </c>
      <c r="W815">
        <v>0.16759499999999999</v>
      </c>
      <c r="X815">
        <v>0.98574629999999996</v>
      </c>
      <c r="Y815">
        <v>-4.6983459999999998E-2</v>
      </c>
      <c r="Z815">
        <v>8.3362849999999995E-4</v>
      </c>
      <c r="AA815">
        <v>0.99889530000000004</v>
      </c>
      <c r="AB815">
        <v>30</v>
      </c>
      <c r="AC815">
        <v>45.172499999999999</v>
      </c>
      <c r="AD815">
        <v>-1.1712180000000001</v>
      </c>
      <c r="AE815">
        <v>2.3118999999999801</v>
      </c>
      <c r="AF815">
        <v>-2.13159235772997</v>
      </c>
      <c r="AG815">
        <v>-1.1712180000000001</v>
      </c>
      <c r="AH815">
        <v>45.1510266266299</v>
      </c>
      <c r="AI815">
        <v>91.484267351507896</v>
      </c>
      <c r="AJ815">
        <v>92.702942551345302</v>
      </c>
      <c r="AK815">
        <v>45.216486407301701</v>
      </c>
      <c r="AL815">
        <v>80.3519836504599</v>
      </c>
      <c r="AM815">
        <v>90.854583614068403</v>
      </c>
      <c r="AN815">
        <v>1.0000000267145199</v>
      </c>
    </row>
    <row r="816" spans="1:40" x14ac:dyDescent="0.25">
      <c r="A816" t="str">
        <f>"20190303161856699"</f>
        <v>20190303161856699</v>
      </c>
      <c r="B816" t="str">
        <f>"1551601136693406"</f>
        <v>1551601136693406</v>
      </c>
      <c r="C816" t="s">
        <v>40</v>
      </c>
      <c r="D816">
        <v>4.3707079999999996</v>
      </c>
      <c r="E816">
        <v>0.48722850000000001</v>
      </c>
      <c r="F816" t="s">
        <v>44</v>
      </c>
      <c r="G816">
        <v>-291.89699999999999</v>
      </c>
      <c r="H816">
        <v>-0.05</v>
      </c>
      <c r="I816">
        <v>369.46350000000001</v>
      </c>
      <c r="J816">
        <v>-337.90140000000002</v>
      </c>
      <c r="K816">
        <v>1.121219</v>
      </c>
      <c r="L816">
        <v>367.04180000000002</v>
      </c>
      <c r="M816">
        <v>0.99992029999999998</v>
      </c>
      <c r="N816">
        <v>-1.1985900000000001E-2</v>
      </c>
      <c r="O816">
        <v>3.9746499999999997E-3</v>
      </c>
      <c r="P816">
        <v>0.98764909999999995</v>
      </c>
      <c r="Q816">
        <v>0.1555889</v>
      </c>
      <c r="R816">
        <v>1.8486530000000001E-2</v>
      </c>
      <c r="S816">
        <v>3.046783</v>
      </c>
      <c r="T816">
        <v>-7.7320219999999995E-2</v>
      </c>
      <c r="U816">
        <v>0.1599121</v>
      </c>
      <c r="V816">
        <v>-1.4565099999999999E-2</v>
      </c>
      <c r="W816">
        <v>0.16741589999999901</v>
      </c>
      <c r="X816">
        <v>0.98577870000000001</v>
      </c>
      <c r="Y816">
        <v>-4.8420970000000001E-2</v>
      </c>
      <c r="Z816">
        <v>8.5117440000000003E-4</v>
      </c>
      <c r="AA816">
        <v>0.99882669999999996</v>
      </c>
      <c r="AB816">
        <v>30</v>
      </c>
      <c r="AC816">
        <v>46.004399999999997</v>
      </c>
      <c r="AD816">
        <v>-1.171219</v>
      </c>
      <c r="AE816">
        <v>2.42169999999998</v>
      </c>
      <c r="AF816">
        <v>-2.2373701994634301</v>
      </c>
      <c r="AG816">
        <v>-1.171219</v>
      </c>
      <c r="AH816">
        <v>45.983940398863503</v>
      </c>
      <c r="AI816">
        <v>91.457294868784999</v>
      </c>
      <c r="AJ816">
        <v>92.785556292688199</v>
      </c>
      <c r="AK816">
        <v>46.053233914261</v>
      </c>
      <c r="AL816">
        <v>80.362391500728805</v>
      </c>
      <c r="AM816">
        <v>90.846496317058595</v>
      </c>
      <c r="AN816">
        <v>0.99999993554225197</v>
      </c>
    </row>
    <row r="817" spans="1:40" x14ac:dyDescent="0.25">
      <c r="A817" t="str">
        <f>"20190303161856711"</f>
        <v>20190303161856711</v>
      </c>
      <c r="B817" t="str">
        <f>"1551601136704143"</f>
        <v>1551601136704143</v>
      </c>
      <c r="C817" t="s">
        <v>40</v>
      </c>
      <c r="D817">
        <v>4.349583</v>
      </c>
      <c r="E817">
        <v>0.48700310000000002</v>
      </c>
      <c r="F817" t="s">
        <v>44</v>
      </c>
      <c r="G817">
        <v>-291.3485</v>
      </c>
      <c r="H817">
        <v>-0.05</v>
      </c>
      <c r="I817">
        <v>369.50819999999999</v>
      </c>
      <c r="J817">
        <v>-337.7484</v>
      </c>
      <c r="K817">
        <v>1.1212169999999999</v>
      </c>
      <c r="L817">
        <v>367.04250000000002</v>
      </c>
      <c r="M817">
        <v>0.99992040000000004</v>
      </c>
      <c r="N817">
        <v>-1.198604E-2</v>
      </c>
      <c r="O817">
        <v>3.9909799999999999E-3</v>
      </c>
      <c r="P817">
        <v>0.98768809999999996</v>
      </c>
      <c r="Q817">
        <v>0.1553486</v>
      </c>
      <c r="R817">
        <v>1.8423439999999999E-2</v>
      </c>
      <c r="S817">
        <v>3.04657</v>
      </c>
      <c r="T817">
        <v>-7.6648240000000006E-2</v>
      </c>
      <c r="U817">
        <v>0.16140750000000001</v>
      </c>
      <c r="V817">
        <v>-1.4485319999999999E-2</v>
      </c>
      <c r="W817">
        <v>0.16717660000000001</v>
      </c>
      <c r="X817">
        <v>0.98582049999999999</v>
      </c>
      <c r="Y817">
        <v>-4.8897320000000001E-2</v>
      </c>
      <c r="Z817">
        <v>8.5538140000000003E-4</v>
      </c>
      <c r="AA817">
        <v>0.99880340000000001</v>
      </c>
      <c r="AB817">
        <v>30</v>
      </c>
      <c r="AC817">
        <v>46.399900000000002</v>
      </c>
      <c r="AD817">
        <v>-1.171217</v>
      </c>
      <c r="AE817">
        <v>2.4656999999999698</v>
      </c>
      <c r="AF817">
        <v>-2.2790380243664701</v>
      </c>
      <c r="AG817">
        <v>-1.171217</v>
      </c>
      <c r="AH817">
        <v>46.379904011204097</v>
      </c>
      <c r="AI817">
        <v>91.444822167492504</v>
      </c>
      <c r="AJ817">
        <v>92.813164806090597</v>
      </c>
      <c r="AK817">
        <v>46.450632500172702</v>
      </c>
      <c r="AL817">
        <v>80.376298508091693</v>
      </c>
      <c r="AM817">
        <v>90.841824631343002</v>
      </c>
      <c r="AN817">
        <v>0.99999994915165402</v>
      </c>
    </row>
    <row r="818" spans="1:40" x14ac:dyDescent="0.25">
      <c r="A818" t="str">
        <f>"20190303161856724"</f>
        <v>20190303161856724</v>
      </c>
      <c r="B818" t="str">
        <f>"1551601136713902"</f>
        <v>1551601136713902</v>
      </c>
      <c r="C818" t="s">
        <v>40</v>
      </c>
      <c r="D818">
        <v>4.31989</v>
      </c>
      <c r="E818">
        <v>0.48679699999999998</v>
      </c>
      <c r="F818" t="s">
        <v>44</v>
      </c>
      <c r="G818">
        <v>-290.92759999999998</v>
      </c>
      <c r="H818">
        <v>-0.05</v>
      </c>
      <c r="I818">
        <v>369.54239999999999</v>
      </c>
      <c r="J818">
        <v>-337.57119999999998</v>
      </c>
      <c r="K818">
        <v>1.121216</v>
      </c>
      <c r="L818">
        <v>367.04320000000001</v>
      </c>
      <c r="M818">
        <v>0.99992020000000004</v>
      </c>
      <c r="N818">
        <v>-1.1986210000000001E-2</v>
      </c>
      <c r="O818">
        <v>4.0101690000000001E-3</v>
      </c>
      <c r="P818">
        <v>0.9877148</v>
      </c>
      <c r="Q818">
        <v>0.15519369999999999</v>
      </c>
      <c r="R818">
        <v>1.829501E-2</v>
      </c>
      <c r="S818">
        <v>3.0463559999999998</v>
      </c>
      <c r="T818">
        <v>-7.6204300000000003E-2</v>
      </c>
      <c r="U818">
        <v>0.16265869999999999</v>
      </c>
      <c r="V818">
        <v>-1.4338099999999999E-2</v>
      </c>
      <c r="W818">
        <v>0.1670219</v>
      </c>
      <c r="X818">
        <v>0.98584890000000003</v>
      </c>
      <c r="Y818">
        <v>-4.929095E-2</v>
      </c>
      <c r="Z818">
        <v>8.5947200000000001E-4</v>
      </c>
      <c r="AA818">
        <v>0.99878409999999995</v>
      </c>
      <c r="AB818">
        <v>30</v>
      </c>
      <c r="AC818">
        <v>46.6435999999999</v>
      </c>
      <c r="AD818">
        <v>-1.171216</v>
      </c>
      <c r="AE818">
        <v>2.4991999999999699</v>
      </c>
      <c r="AF818">
        <v>-2.3106650398269699</v>
      </c>
      <c r="AG818">
        <v>-1.171216</v>
      </c>
      <c r="AH818">
        <v>46.623935268586699</v>
      </c>
      <c r="AI818">
        <v>91.437232087217794</v>
      </c>
      <c r="AJ818">
        <v>92.837236325606199</v>
      </c>
      <c r="AK818">
        <v>46.695848421185197</v>
      </c>
      <c r="AL818">
        <v>80.385288815164003</v>
      </c>
      <c r="AM818">
        <v>90.833246048147402</v>
      </c>
      <c r="AN818">
        <v>0.99999997491121395</v>
      </c>
    </row>
    <row r="819" spans="1:40" x14ac:dyDescent="0.25">
      <c r="A819" t="str">
        <f>"20190303161856738"</f>
        <v>20190303161856738</v>
      </c>
      <c r="B819" t="str">
        <f>"1551601136723661"</f>
        <v>1551601136723661</v>
      </c>
      <c r="C819" t="s">
        <v>40</v>
      </c>
      <c r="D819">
        <v>4.3247809999999998</v>
      </c>
      <c r="E819">
        <v>0.4866354</v>
      </c>
      <c r="F819" t="s">
        <v>44</v>
      </c>
      <c r="G819">
        <v>-290.19040000000001</v>
      </c>
      <c r="H819">
        <v>-0.05</v>
      </c>
      <c r="I819">
        <v>369.59699999999998</v>
      </c>
      <c r="J819">
        <v>-337.39679999999998</v>
      </c>
      <c r="K819">
        <v>1.121213</v>
      </c>
      <c r="L819">
        <v>367.04390000000001</v>
      </c>
      <c r="M819">
        <v>0.99992020000000004</v>
      </c>
      <c r="N819">
        <v>-1.1986419999999999E-2</v>
      </c>
      <c r="O819">
        <v>4.0285260000000002E-3</v>
      </c>
      <c r="P819">
        <v>0.98773739999999999</v>
      </c>
      <c r="Q819">
        <v>0.15504849999999901</v>
      </c>
      <c r="R819">
        <v>1.830884E-2</v>
      </c>
      <c r="S819">
        <v>3.0461429999999998</v>
      </c>
      <c r="T819">
        <v>-7.5298190000000001E-2</v>
      </c>
      <c r="U819">
        <v>0.16418460000000001</v>
      </c>
      <c r="V819">
        <v>-1.4333749999999999E-2</v>
      </c>
      <c r="W819">
        <v>0.1668771</v>
      </c>
      <c r="X819">
        <v>0.98587349999999996</v>
      </c>
      <c r="Y819">
        <v>-4.9775439999999997E-2</v>
      </c>
      <c r="Z819">
        <v>8.6203399999999904E-4</v>
      </c>
      <c r="AA819">
        <v>0.99875999999999998</v>
      </c>
      <c r="AB819">
        <v>30</v>
      </c>
      <c r="AC819">
        <v>47.206399999999903</v>
      </c>
      <c r="AD819">
        <v>-1.1712129999999901</v>
      </c>
      <c r="AE819">
        <v>2.5530999999999699</v>
      </c>
      <c r="AF819">
        <v>-2.3614440668417398</v>
      </c>
      <c r="AG819">
        <v>-1.1712129999999901</v>
      </c>
      <c r="AH819">
        <v>47.1873409551268</v>
      </c>
      <c r="AI819">
        <v>91.420041151721193</v>
      </c>
      <c r="AJ819">
        <v>92.864920888052694</v>
      </c>
      <c r="AK819">
        <v>47.260906724137001</v>
      </c>
      <c r="AL819">
        <v>80.393703488987398</v>
      </c>
      <c r="AM819">
        <v>90.832972505026902</v>
      </c>
      <c r="AN819">
        <v>0.99999999044786103</v>
      </c>
    </row>
    <row r="820" spans="1:40" x14ac:dyDescent="0.25">
      <c r="A820" t="str">
        <f>"20190303161856751"</f>
        <v>20190303161856751</v>
      </c>
      <c r="B820" t="str">
        <f>"1551601136744158"</f>
        <v>1551601136744158</v>
      </c>
      <c r="C820" t="s">
        <v>40</v>
      </c>
      <c r="D820">
        <v>4.2965229999999996</v>
      </c>
      <c r="E820">
        <v>0.48638310000000001</v>
      </c>
      <c r="F820" t="s">
        <v>44</v>
      </c>
      <c r="G820">
        <v>-289.70780000000002</v>
      </c>
      <c r="H820">
        <v>-0.05</v>
      </c>
      <c r="I820">
        <v>369.63740000000001</v>
      </c>
      <c r="J820">
        <v>-337.2115</v>
      </c>
      <c r="K820">
        <v>1.121211</v>
      </c>
      <c r="L820">
        <v>367.04469999999998</v>
      </c>
      <c r="M820">
        <v>0.99992000000000003</v>
      </c>
      <c r="N820">
        <v>-1.198663E-2</v>
      </c>
      <c r="O820">
        <v>4.0483730000000001E-3</v>
      </c>
      <c r="P820">
        <v>0.98774220000000001</v>
      </c>
      <c r="Q820">
        <v>0.155029799999999</v>
      </c>
      <c r="R820">
        <v>1.8197700000000001E-2</v>
      </c>
      <c r="S820">
        <v>3.0459290000000001</v>
      </c>
      <c r="T820">
        <v>-7.4806090000000006E-2</v>
      </c>
      <c r="U820">
        <v>0.1656494</v>
      </c>
      <c r="V820">
        <v>-1.4202640000000001E-2</v>
      </c>
      <c r="W820">
        <v>0.1668588</v>
      </c>
      <c r="X820">
        <v>0.98587849999999999</v>
      </c>
      <c r="Y820">
        <v>-5.0238310000000001E-2</v>
      </c>
      <c r="Z820">
        <v>8.6691280000000001E-4</v>
      </c>
      <c r="AA820">
        <v>0.99873690000000004</v>
      </c>
      <c r="AB820">
        <v>30</v>
      </c>
      <c r="AC820">
        <v>47.503699999999903</v>
      </c>
      <c r="AD820">
        <v>-1.171211</v>
      </c>
      <c r="AE820">
        <v>2.59270000000003</v>
      </c>
      <c r="AF820">
        <v>-2.3988983409857099</v>
      </c>
      <c r="AG820">
        <v>-1.171211</v>
      </c>
      <c r="AH820">
        <v>47.485028329044297</v>
      </c>
      <c r="AI820">
        <v>91.411106397990196</v>
      </c>
      <c r="AJ820">
        <v>92.892069450903307</v>
      </c>
      <c r="AK820">
        <v>47.5600080305612</v>
      </c>
      <c r="AL820">
        <v>80.394766960162102</v>
      </c>
      <c r="AM820">
        <v>90.825350226208798</v>
      </c>
      <c r="AN820">
        <v>0.999999995441329</v>
      </c>
    </row>
    <row r="821" spans="1:40" x14ac:dyDescent="0.25">
      <c r="A821" t="str">
        <f>"20190303161856766"</f>
        <v>20190303161856766</v>
      </c>
      <c r="B821" t="str">
        <f>"1551601136753918"</f>
        <v>1551601136753918</v>
      </c>
      <c r="C821" t="s">
        <v>40</v>
      </c>
      <c r="D821">
        <v>4.3031990000000002</v>
      </c>
      <c r="E821">
        <v>0.48628700000000002</v>
      </c>
      <c r="F821" t="s">
        <v>44</v>
      </c>
      <c r="G821">
        <v>-287.97649999999999</v>
      </c>
      <c r="H821">
        <v>-0.05</v>
      </c>
      <c r="I821">
        <v>369.74579999999997</v>
      </c>
      <c r="J821">
        <v>-337.01650000000001</v>
      </c>
      <c r="K821">
        <v>1.1212089999999999</v>
      </c>
      <c r="L821">
        <v>367.0455</v>
      </c>
      <c r="M821">
        <v>0.99992000000000003</v>
      </c>
      <c r="N821">
        <v>-1.198687E-2</v>
      </c>
      <c r="O821">
        <v>4.0688749999999996E-3</v>
      </c>
      <c r="P821">
        <v>0.98772530000000003</v>
      </c>
      <c r="Q821">
        <v>0.155148799999999</v>
      </c>
      <c r="R821">
        <v>1.8114990000000001E-2</v>
      </c>
      <c r="S821">
        <v>3.0455019999999999</v>
      </c>
      <c r="T821">
        <v>-7.2446819999999995E-2</v>
      </c>
      <c r="U821">
        <v>0.1670837</v>
      </c>
      <c r="V821">
        <v>-1.409987E-2</v>
      </c>
      <c r="W821">
        <v>0.16697770000000001</v>
      </c>
      <c r="X821">
        <v>0.98585990000000001</v>
      </c>
      <c r="Y821">
        <v>-5.0695339999999998E-2</v>
      </c>
      <c r="Z821">
        <v>8.5861349999999999E-4</v>
      </c>
      <c r="AA821">
        <v>0.99871379999999998</v>
      </c>
      <c r="AB821">
        <v>30</v>
      </c>
      <c r="AC821">
        <v>49.04</v>
      </c>
      <c r="AD821">
        <v>-1.1712089999999999</v>
      </c>
      <c r="AE821">
        <v>2.7002999999999702</v>
      </c>
      <c r="AF821">
        <v>-2.4993044459316698</v>
      </c>
      <c r="AG821">
        <v>-1.1712089999999999</v>
      </c>
      <c r="AH821">
        <v>49.022704685760203</v>
      </c>
      <c r="AI821">
        <v>91.3668274348898</v>
      </c>
      <c r="AJ821">
        <v>92.918560312428497</v>
      </c>
      <c r="AK821">
        <v>49.100344478856599</v>
      </c>
      <c r="AL821">
        <v>80.387858092677106</v>
      </c>
      <c r="AM821">
        <v>90.819394283716704</v>
      </c>
      <c r="AN821">
        <v>1.00000005052965</v>
      </c>
    </row>
    <row r="822" spans="1:40" x14ac:dyDescent="0.25">
      <c r="A822" t="str">
        <f>"20190303161856777"</f>
        <v>20190303161856777</v>
      </c>
      <c r="B822" t="str">
        <f>"1551601136763754"</f>
        <v>1551601136763754</v>
      </c>
      <c r="C822" t="s">
        <v>40</v>
      </c>
      <c r="D822">
        <v>4.3050550000000003</v>
      </c>
      <c r="E822">
        <v>0.4861856</v>
      </c>
      <c r="F822" t="s">
        <v>44</v>
      </c>
      <c r="G822">
        <v>-286.69290000000001</v>
      </c>
      <c r="H822">
        <v>-0.05</v>
      </c>
      <c r="I822">
        <v>369.81959999999998</v>
      </c>
      <c r="J822">
        <v>-336.87439999999998</v>
      </c>
      <c r="K822">
        <v>1.1212089999999999</v>
      </c>
      <c r="L822">
        <v>367.04610000000002</v>
      </c>
      <c r="M822">
        <v>0.99991989999999997</v>
      </c>
      <c r="N822">
        <v>-1.1987039999999999E-2</v>
      </c>
      <c r="O822">
        <v>4.0838360000000004E-3</v>
      </c>
      <c r="P822">
        <v>0.98772720000000003</v>
      </c>
      <c r="Q822">
        <v>0.15510789999999999</v>
      </c>
      <c r="R822">
        <v>1.8346990000000001E-2</v>
      </c>
      <c r="S822">
        <v>3.0453190000000001</v>
      </c>
      <c r="T822">
        <v>-7.0875289999999994E-2</v>
      </c>
      <c r="U822">
        <v>0.1678772</v>
      </c>
      <c r="V822">
        <v>-1.4317150000000001E-2</v>
      </c>
      <c r="W822">
        <v>0.1669368</v>
      </c>
      <c r="X822">
        <v>0.98586359999999995</v>
      </c>
      <c r="Y822">
        <v>-5.0943750000000003E-2</v>
      </c>
      <c r="Z822">
        <v>8.5188660000000004E-4</v>
      </c>
      <c r="AA822">
        <v>0.99870119999999896</v>
      </c>
      <c r="AB822">
        <v>30</v>
      </c>
      <c r="AC822">
        <v>50.1814999999999</v>
      </c>
      <c r="AD822">
        <v>-1.1712089999999999</v>
      </c>
      <c r="AE822">
        <v>2.7734999999999501</v>
      </c>
      <c r="AF822">
        <v>-2.5671350078558701</v>
      </c>
      <c r="AG822">
        <v>-1.1712089999999999</v>
      </c>
      <c r="AH822">
        <v>50.165165548751403</v>
      </c>
      <c r="AI822">
        <v>91.335697735017305</v>
      </c>
      <c r="AJ822">
        <v>92.929479204414804</v>
      </c>
      <c r="AK822">
        <v>50.244459865779</v>
      </c>
      <c r="AL822">
        <v>80.390233941405</v>
      </c>
      <c r="AM822">
        <v>90.832016324178596</v>
      </c>
      <c r="AN822">
        <v>0.99999995689165999</v>
      </c>
    </row>
    <row r="823" spans="1:40" x14ac:dyDescent="0.25">
      <c r="A823" t="str">
        <f>"20190303161856788"</f>
        <v>20190303161856788</v>
      </c>
      <c r="B823" t="str">
        <f>"1551601136783255"</f>
        <v>1551601136783255</v>
      </c>
      <c r="C823" t="s">
        <v>40</v>
      </c>
      <c r="D823">
        <v>4.316694</v>
      </c>
      <c r="E823">
        <v>0.48596420000000001</v>
      </c>
      <c r="F823" t="s">
        <v>44</v>
      </c>
      <c r="G823">
        <v>-285.86259999999999</v>
      </c>
      <c r="H823">
        <v>-0.05</v>
      </c>
      <c r="I823">
        <v>369.88560000000001</v>
      </c>
      <c r="J823">
        <v>-336.73219999999998</v>
      </c>
      <c r="K823">
        <v>1.1212089999999999</v>
      </c>
      <c r="L823">
        <v>367.04669999999999</v>
      </c>
      <c r="M823">
        <v>0.99991989999999997</v>
      </c>
      <c r="N823">
        <v>-1.198721E-2</v>
      </c>
      <c r="O823">
        <v>4.098796E-3</v>
      </c>
      <c r="P823">
        <v>0.98770939999999996</v>
      </c>
      <c r="Q823">
        <v>0.15526879999999901</v>
      </c>
      <c r="R823">
        <v>1.794815E-2</v>
      </c>
      <c r="S823">
        <v>3.0450439999999999</v>
      </c>
      <c r="T823">
        <v>-6.9912909999999995E-2</v>
      </c>
      <c r="U823">
        <v>0.1694946</v>
      </c>
      <c r="V823">
        <v>-1.390402E-2</v>
      </c>
      <c r="W823">
        <v>0.1670981</v>
      </c>
      <c r="X823">
        <v>0.9858422</v>
      </c>
      <c r="Y823">
        <v>-5.1462849999999997E-2</v>
      </c>
      <c r="Z823">
        <v>8.540841E-4</v>
      </c>
      <c r="AA823">
        <v>0.99867459999999997</v>
      </c>
      <c r="AB823">
        <v>30</v>
      </c>
      <c r="AC823">
        <v>50.869599999999899</v>
      </c>
      <c r="AD823">
        <v>-1.1712089999999999</v>
      </c>
      <c r="AE823">
        <v>2.8389000000000202</v>
      </c>
      <c r="AF823">
        <v>-2.6289678149853399</v>
      </c>
      <c r="AG823">
        <v>-1.1712089999999999</v>
      </c>
      <c r="AH823">
        <v>50.8539359114408</v>
      </c>
      <c r="AI823">
        <v>91.317578020087396</v>
      </c>
      <c r="AJ823">
        <v>92.959353805727403</v>
      </c>
      <c r="AK823">
        <v>50.935311915986503</v>
      </c>
      <c r="AL823">
        <v>80.380860599182995</v>
      </c>
      <c r="AM823">
        <v>90.808028758998901</v>
      </c>
      <c r="AN823">
        <v>0.99999997004830399</v>
      </c>
    </row>
    <row r="824" spans="1:40" x14ac:dyDescent="0.25">
      <c r="A824" t="str">
        <f>"20190303161856799"</f>
        <v>20190303161856799</v>
      </c>
      <c r="B824" t="str">
        <f>"1551601136793991"</f>
        <v>1551601136793991</v>
      </c>
      <c r="C824" t="s">
        <v>40</v>
      </c>
      <c r="D824">
        <v>4.3130819999999996</v>
      </c>
      <c r="E824">
        <v>0.48578280000000001</v>
      </c>
      <c r="F824" t="s">
        <v>44</v>
      </c>
      <c r="G824">
        <v>-284.18689999999998</v>
      </c>
      <c r="H824">
        <v>-0.05</v>
      </c>
      <c r="I824">
        <v>369.9753</v>
      </c>
      <c r="J824">
        <v>-336.57679999999999</v>
      </c>
      <c r="K824">
        <v>1.1212070000000001</v>
      </c>
      <c r="L824">
        <v>367.04730000000001</v>
      </c>
      <c r="M824">
        <v>0.99991969999999997</v>
      </c>
      <c r="N824">
        <v>-1.198741E-2</v>
      </c>
      <c r="O824">
        <v>4.1158389999999996E-3</v>
      </c>
      <c r="P824">
        <v>0.98770020000000003</v>
      </c>
      <c r="Q824">
        <v>0.15537200000000001</v>
      </c>
      <c r="R824">
        <v>1.754851E-2</v>
      </c>
      <c r="S824">
        <v>3.0449220000000001</v>
      </c>
      <c r="T824">
        <v>-6.7869780000000005E-2</v>
      </c>
      <c r="U824">
        <v>0.16970829999999901</v>
      </c>
      <c r="V824">
        <v>-1.3487280000000001E-2</v>
      </c>
      <c r="W824">
        <v>0.16720099999999999</v>
      </c>
      <c r="X824">
        <v>0.98583050000000005</v>
      </c>
      <c r="Y824">
        <v>-5.1518830000000002E-2</v>
      </c>
      <c r="Z824">
        <v>8.4039229999999905E-4</v>
      </c>
      <c r="AA824">
        <v>0.99867169999999905</v>
      </c>
      <c r="AB824">
        <v>30</v>
      </c>
      <c r="AC824">
        <v>52.389899999999997</v>
      </c>
      <c r="AD824">
        <v>-1.1712069999999899</v>
      </c>
      <c r="AE824">
        <v>2.9279999999999902</v>
      </c>
      <c r="AF824">
        <v>-2.7109806585956</v>
      </c>
      <c r="AG824">
        <v>-1.1712069999999899</v>
      </c>
      <c r="AH824">
        <v>52.375413956279203</v>
      </c>
      <c r="AI824">
        <v>91.279309572670698</v>
      </c>
      <c r="AJ824">
        <v>92.963017285968803</v>
      </c>
      <c r="AK824">
        <v>52.458603956450602</v>
      </c>
      <c r="AL824">
        <v>80.374880326614502</v>
      </c>
      <c r="AM824">
        <v>90.783822384148706</v>
      </c>
      <c r="AN824">
        <v>0.99999992792652104</v>
      </c>
    </row>
    <row r="825" spans="1:40" x14ac:dyDescent="0.25">
      <c r="A825" t="str">
        <f>"20190303161856811"</f>
        <v>20190303161856811</v>
      </c>
      <c r="B825" t="str">
        <f>"1551601136803751"</f>
        <v>1551601136803751</v>
      </c>
      <c r="C825" t="s">
        <v>40</v>
      </c>
      <c r="D825">
        <v>4.3474069999999996</v>
      </c>
      <c r="E825">
        <v>0.48585729999999999</v>
      </c>
      <c r="F825" t="s">
        <v>44</v>
      </c>
      <c r="G825">
        <v>-283.2149</v>
      </c>
      <c r="H825">
        <v>-0.05</v>
      </c>
      <c r="I825">
        <v>370.02850000000001</v>
      </c>
      <c r="J825">
        <v>-336.42829999999998</v>
      </c>
      <c r="K825">
        <v>1.121208</v>
      </c>
      <c r="L825">
        <v>367.048</v>
      </c>
      <c r="M825">
        <v>0.99991969999999997</v>
      </c>
      <c r="N825">
        <v>-1.1987619999999999E-2</v>
      </c>
      <c r="O825">
        <v>4.1316310000000002E-3</v>
      </c>
      <c r="P825">
        <v>0.98769649999999998</v>
      </c>
      <c r="Q825">
        <v>0.1553879</v>
      </c>
      <c r="R825">
        <v>1.7626900000000001E-2</v>
      </c>
      <c r="S825">
        <v>3.044861</v>
      </c>
      <c r="T825">
        <v>-6.6829680000000002E-2</v>
      </c>
      <c r="U825">
        <v>0.17010500000000001</v>
      </c>
      <c r="V825">
        <v>-1.355024E-2</v>
      </c>
      <c r="W825">
        <v>0.16721749999999999</v>
      </c>
      <c r="X825">
        <v>0.98582689999999995</v>
      </c>
      <c r="Y825">
        <v>-5.1634340000000001E-2</v>
      </c>
      <c r="Z825">
        <v>8.3482339999999997E-4</v>
      </c>
      <c r="AA825">
        <v>0.99866569999999999</v>
      </c>
      <c r="AB825">
        <v>30</v>
      </c>
      <c r="AC825">
        <v>53.213399999999901</v>
      </c>
      <c r="AD825">
        <v>-1.171208</v>
      </c>
      <c r="AE825">
        <v>2.9805000000000001</v>
      </c>
      <c r="AF825">
        <v>-2.7592681682499598</v>
      </c>
      <c r="AG825">
        <v>-1.171208</v>
      </c>
      <c r="AH825">
        <v>53.199570379937903</v>
      </c>
      <c r="AI825">
        <v>91.2594914063272</v>
      </c>
      <c r="AJ825">
        <v>92.969063162395003</v>
      </c>
      <c r="AK825">
        <v>53.283952346025799</v>
      </c>
      <c r="AL825">
        <v>80.373922040374097</v>
      </c>
      <c r="AM825">
        <v>90.787483762686605</v>
      </c>
      <c r="AN825">
        <v>0.99999998903695797</v>
      </c>
    </row>
    <row r="826" spans="1:40" x14ac:dyDescent="0.25">
      <c r="A826" t="str">
        <f>"20190303161856834"</f>
        <v>20190303161856834</v>
      </c>
      <c r="B826" t="str">
        <f>"1551601136823271"</f>
        <v>1551601136823271</v>
      </c>
      <c r="C826" t="s">
        <v>40</v>
      </c>
      <c r="D826">
        <v>4.3555460000000004</v>
      </c>
      <c r="E826">
        <v>0.48662169999999999</v>
      </c>
      <c r="F826" t="s">
        <v>44</v>
      </c>
      <c r="G826">
        <v>-281.9316</v>
      </c>
      <c r="H826">
        <v>-0.05</v>
      </c>
      <c r="I826">
        <v>370.0872</v>
      </c>
      <c r="J826">
        <v>-336.13069999999999</v>
      </c>
      <c r="K826">
        <v>1.121208</v>
      </c>
      <c r="L826">
        <v>367.04930000000002</v>
      </c>
      <c r="M826">
        <v>0.99991949999999996</v>
      </c>
      <c r="N826">
        <v>-1.198804E-2</v>
      </c>
      <c r="O826">
        <v>4.1635750000000001E-3</v>
      </c>
      <c r="P826">
        <v>0.98757169999999905</v>
      </c>
      <c r="Q826">
        <v>0.1562142</v>
      </c>
      <c r="R826">
        <v>1.7303220000000001E-2</v>
      </c>
      <c r="S826">
        <v>3.0446170000000001</v>
      </c>
      <c r="T826">
        <v>-6.5433030000000003E-2</v>
      </c>
      <c r="U826">
        <v>0.169799799999999</v>
      </c>
      <c r="V826">
        <v>-1.319533E-2</v>
      </c>
      <c r="W826">
        <v>0.16804249999999901</v>
      </c>
      <c r="X826">
        <v>0.9856914</v>
      </c>
      <c r="Y826">
        <v>-5.1507780000000003E-2</v>
      </c>
      <c r="Z826">
        <v>8.2251500000000001E-4</v>
      </c>
      <c r="AA826">
        <v>0.99867220000000001</v>
      </c>
      <c r="AB826">
        <v>30</v>
      </c>
      <c r="AC826">
        <v>54.199099999999902</v>
      </c>
      <c r="AD826">
        <v>-1.171208</v>
      </c>
      <c r="AE826">
        <v>3.0378999999999698</v>
      </c>
      <c r="AF826">
        <v>-2.81088696219072</v>
      </c>
      <c r="AG826">
        <v>-1.171208</v>
      </c>
      <c r="AH826">
        <v>54.1860558611343</v>
      </c>
      <c r="AI826">
        <v>91.236568357222197</v>
      </c>
      <c r="AJ826">
        <v>92.969541276422405</v>
      </c>
      <c r="AK826">
        <v>54.271552985698101</v>
      </c>
      <c r="AL826">
        <v>80.325974350041093</v>
      </c>
      <c r="AM826">
        <v>90.766965766775797</v>
      </c>
      <c r="AN826">
        <v>0.99999996728700802</v>
      </c>
    </row>
    <row r="827" spans="1:40" x14ac:dyDescent="0.25">
      <c r="A827" t="str">
        <f>"20190303161856845"</f>
        <v>20190303161856845</v>
      </c>
      <c r="B827" t="str">
        <f>"1551601136834007"</f>
        <v>1551601136834007</v>
      </c>
      <c r="C827" t="s">
        <v>40</v>
      </c>
      <c r="D827">
        <v>4.2495329999999996</v>
      </c>
      <c r="E827">
        <v>0.48662169999999999</v>
      </c>
      <c r="F827" t="s">
        <v>44</v>
      </c>
      <c r="G827">
        <v>-278.50080000000003</v>
      </c>
      <c r="H827">
        <v>-0.05</v>
      </c>
      <c r="I827">
        <v>370.12459999999999</v>
      </c>
      <c r="J827">
        <v>-335.97300000000001</v>
      </c>
      <c r="K827">
        <v>1.1212089999999999</v>
      </c>
      <c r="L827">
        <v>367.04989999999998</v>
      </c>
      <c r="M827">
        <v>0.99991949999999996</v>
      </c>
      <c r="N827">
        <v>-1.1988270000000001E-2</v>
      </c>
      <c r="O827">
        <v>4.1803810000000004E-3</v>
      </c>
      <c r="P827">
        <v>0.98754229999999998</v>
      </c>
      <c r="Q827">
        <v>0.15642410000000001</v>
      </c>
      <c r="R827">
        <v>1.7089070000000001E-2</v>
      </c>
      <c r="S827">
        <v>3.044708</v>
      </c>
      <c r="T827">
        <v>-6.1877370000000001E-2</v>
      </c>
      <c r="U827">
        <v>0.1624756</v>
      </c>
      <c r="V827">
        <v>-1.296455E-2</v>
      </c>
      <c r="W827">
        <v>0.16825209999999999</v>
      </c>
      <c r="X827">
        <v>0.9856587</v>
      </c>
      <c r="Y827">
        <v>-4.9096300000000002E-2</v>
      </c>
      <c r="Z827">
        <v>7.5823729999999895E-4</v>
      </c>
      <c r="AA827">
        <v>0.99879379999999995</v>
      </c>
      <c r="AB827">
        <v>30</v>
      </c>
      <c r="AC827">
        <v>57.472200000000001</v>
      </c>
      <c r="AD827">
        <v>-1.1712089999999999</v>
      </c>
      <c r="AE827">
        <v>3.0747</v>
      </c>
      <c r="AF827">
        <v>-2.83322693731118</v>
      </c>
      <c r="AG827">
        <v>-1.1712089999999999</v>
      </c>
      <c r="AH827">
        <v>57.460757219122897</v>
      </c>
      <c r="AI827">
        <v>91.166268148080604</v>
      </c>
      <c r="AJ827">
        <v>92.822806237093999</v>
      </c>
      <c r="AK827">
        <v>57.542484527477399</v>
      </c>
      <c r="AL827">
        <v>80.313791632691505</v>
      </c>
      <c r="AM827">
        <v>90.753578460352898</v>
      </c>
      <c r="AN827">
        <v>0.99999996079840003</v>
      </c>
    </row>
    <row r="828" spans="1:40" x14ac:dyDescent="0.25">
      <c r="A828" t="str">
        <f>"20190303161856857"</f>
        <v>20190303161856857</v>
      </c>
      <c r="B828" t="str">
        <f>"1551601136843768"</f>
        <v>1551601136843768</v>
      </c>
      <c r="C828" t="s">
        <v>40</v>
      </c>
      <c r="D828">
        <v>4.2729679999999997</v>
      </c>
      <c r="E828">
        <v>0.52707720000000002</v>
      </c>
      <c r="F828" t="s">
        <v>44</v>
      </c>
      <c r="G828">
        <v>-277.7568</v>
      </c>
      <c r="H828">
        <v>-0.05</v>
      </c>
      <c r="I828">
        <v>370.14190000000002</v>
      </c>
      <c r="J828">
        <v>-335.81259999999997</v>
      </c>
      <c r="K828">
        <v>1.1212120000000001</v>
      </c>
      <c r="L828">
        <v>367.05059999999997</v>
      </c>
      <c r="M828">
        <v>0.99991940000000001</v>
      </c>
      <c r="N828">
        <v>-1.1988479999999999E-2</v>
      </c>
      <c r="O828">
        <v>4.1972499999999996E-3</v>
      </c>
      <c r="P828">
        <v>0.98747750000000001</v>
      </c>
      <c r="Q828">
        <v>0.15684960000000001</v>
      </c>
      <c r="R828">
        <v>1.6932050000000001E-2</v>
      </c>
      <c r="S828">
        <v>3.0447389999999999</v>
      </c>
      <c r="T828">
        <v>-6.1254860000000001E-2</v>
      </c>
      <c r="U828">
        <v>0.16171259999999901</v>
      </c>
      <c r="V828">
        <v>-1.279112E-2</v>
      </c>
      <c r="W828">
        <v>0.16867699999999999</v>
      </c>
      <c r="X828">
        <v>0.98558840000000003</v>
      </c>
      <c r="Y828">
        <v>-4.8829690000000002E-2</v>
      </c>
      <c r="Z828">
        <v>7.4966319999999998E-4</v>
      </c>
      <c r="AA828">
        <v>0.99880679999999999</v>
      </c>
      <c r="AB828">
        <v>30</v>
      </c>
      <c r="AC828">
        <v>58.055799999999898</v>
      </c>
      <c r="AD828">
        <v>-1.1712119999999999</v>
      </c>
      <c r="AE828">
        <v>3.0913000000000399</v>
      </c>
      <c r="AF828">
        <v>-2.8464253840364901</v>
      </c>
      <c r="AG828">
        <v>-1.1712119999999999</v>
      </c>
      <c r="AH828">
        <v>58.044707820455201</v>
      </c>
      <c r="AI828">
        <v>91.154556432000106</v>
      </c>
      <c r="AJ828">
        <v>92.807450076753696</v>
      </c>
      <c r="AK828">
        <v>58.126258962519202</v>
      </c>
      <c r="AL828">
        <v>80.289094231542094</v>
      </c>
      <c r="AM828">
        <v>90.743551820025402</v>
      </c>
      <c r="AN828">
        <v>1.0000000186472</v>
      </c>
    </row>
    <row r="829" spans="1:40" x14ac:dyDescent="0.25">
      <c r="A829" t="str">
        <f>"20190303161856868"</f>
        <v>20190303161856868</v>
      </c>
      <c r="B829" t="str">
        <f>"1551601136864297"</f>
        <v>1551601136864297</v>
      </c>
      <c r="C829" t="s">
        <v>40</v>
      </c>
      <c r="D829">
        <v>4.2235180000000003</v>
      </c>
      <c r="E829">
        <v>0.52825469999999997</v>
      </c>
      <c r="F829" t="s">
        <v>43</v>
      </c>
      <c r="G829">
        <v>-158.19499999999999</v>
      </c>
      <c r="H829">
        <v>0.83161160000000001</v>
      </c>
      <c r="I829">
        <v>357.6</v>
      </c>
      <c r="J829">
        <v>-335.6721</v>
      </c>
      <c r="K829">
        <v>1.121221</v>
      </c>
      <c r="L829">
        <v>367.05119999999999</v>
      </c>
      <c r="M829">
        <v>0.99991929999999996</v>
      </c>
      <c r="N829">
        <v>-1.198866E-2</v>
      </c>
      <c r="O829">
        <v>4.2122100000000001E-3</v>
      </c>
      <c r="P829">
        <v>0.98741100000000004</v>
      </c>
      <c r="Q829">
        <v>0.1572498</v>
      </c>
      <c r="R829">
        <v>1.708966E-2</v>
      </c>
      <c r="S829">
        <v>3.0415649999999999</v>
      </c>
      <c r="T829">
        <v>-4.9576759999999899E-3</v>
      </c>
      <c r="U829">
        <v>-0.1618347</v>
      </c>
      <c r="V829">
        <v>-1.2934029999999999E-2</v>
      </c>
      <c r="W829">
        <v>0.16907649999999999</v>
      </c>
      <c r="X829">
        <v>0.98551800000000001</v>
      </c>
      <c r="Y829">
        <v>5.733779E-2</v>
      </c>
      <c r="Z829">
        <v>-3.4705279999999999E-4</v>
      </c>
      <c r="AA829">
        <v>0.99835479999999999</v>
      </c>
      <c r="AB829">
        <v>30</v>
      </c>
      <c r="AC829">
        <v>177.47710000000001</v>
      </c>
      <c r="AD829">
        <v>-0.28960940000000002</v>
      </c>
      <c r="AE829">
        <v>-9.4511999999999698</v>
      </c>
      <c r="AF829">
        <v>10.1987135778874</v>
      </c>
      <c r="AG829">
        <v>-0.28960940000000002</v>
      </c>
      <c r="AH829">
        <v>177.43524086456199</v>
      </c>
      <c r="AI829">
        <v>90.093363859717996</v>
      </c>
      <c r="AJ829">
        <v>86.710343443964604</v>
      </c>
      <c r="AK829">
        <v>177.72833857579801</v>
      </c>
      <c r="AL829">
        <v>80.265870245459993</v>
      </c>
      <c r="AM829">
        <v>90.751911977266403</v>
      </c>
      <c r="AN829">
        <v>0.99999994015414295</v>
      </c>
    </row>
    <row r="830" spans="1:40" x14ac:dyDescent="0.25">
      <c r="A830" t="str">
        <f>"20190303161856879"</f>
        <v>20190303161856879</v>
      </c>
      <c r="B830" t="str">
        <f>"1551601136874062"</f>
        <v>1551601136874062</v>
      </c>
      <c r="C830" t="s">
        <v>40</v>
      </c>
      <c r="D830">
        <v>4.2186120000000003</v>
      </c>
      <c r="E830">
        <v>0.52838240000000003</v>
      </c>
      <c r="F830" t="s">
        <v>43</v>
      </c>
      <c r="G830">
        <v>-158.19499999999999</v>
      </c>
      <c r="H830">
        <v>0.17416670000000001</v>
      </c>
      <c r="I830">
        <v>357.11860000000001</v>
      </c>
      <c r="J830">
        <v>-335.51760000000002</v>
      </c>
      <c r="K830">
        <v>1.1212219999999999</v>
      </c>
      <c r="L830">
        <v>367.05189999999999</v>
      </c>
      <c r="M830">
        <v>0.99991920000000001</v>
      </c>
      <c r="N830">
        <v>-1.198887E-2</v>
      </c>
      <c r="O830">
        <v>4.2288350000000002E-3</v>
      </c>
      <c r="P830">
        <v>0.98732839999999999</v>
      </c>
      <c r="Q830">
        <v>0.15776419999999999</v>
      </c>
      <c r="R830">
        <v>1.7125950000000001E-2</v>
      </c>
      <c r="S830">
        <v>3.0438230000000002</v>
      </c>
      <c r="T830">
        <v>-1.6240950000000001E-2</v>
      </c>
      <c r="U830">
        <v>-0.1703491</v>
      </c>
      <c r="V830">
        <v>-1.2954490000000001E-2</v>
      </c>
      <c r="W830">
        <v>0.16959070000000001</v>
      </c>
      <c r="X830">
        <v>0.98542949999999996</v>
      </c>
      <c r="Y830">
        <v>6.0097240000000003E-2</v>
      </c>
      <c r="Z830">
        <v>-4.9264269999999997E-4</v>
      </c>
      <c r="AA830">
        <v>0.99819239999999998</v>
      </c>
      <c r="AB830">
        <v>30</v>
      </c>
      <c r="AC830">
        <v>177.32259999999999</v>
      </c>
      <c r="AD830">
        <v>-0.94705530000000004</v>
      </c>
      <c r="AE830">
        <v>-9.9332999999999707</v>
      </c>
      <c r="AF830">
        <v>10.6828293006736</v>
      </c>
      <c r="AG830">
        <v>-0.94705530000000004</v>
      </c>
      <c r="AH830">
        <v>177.273964041</v>
      </c>
      <c r="AI830">
        <v>90.305535559703998</v>
      </c>
      <c r="AJ830">
        <v>86.551429718543801</v>
      </c>
      <c r="AK830">
        <v>177.598080176612</v>
      </c>
      <c r="AL830">
        <v>80.235978260144606</v>
      </c>
      <c r="AM830">
        <v>90.753168897200894</v>
      </c>
      <c r="AN830">
        <v>1.00000006190394</v>
      </c>
    </row>
    <row r="831" spans="1:40" x14ac:dyDescent="0.25">
      <c r="A831" t="str">
        <f>"20190303161856890"</f>
        <v>20190303161856890</v>
      </c>
      <c r="B831" t="str">
        <f>"1551601136883819"</f>
        <v>1551601136883819</v>
      </c>
      <c r="C831" t="s">
        <v>40</v>
      </c>
      <c r="D831">
        <v>4.2142019999999896</v>
      </c>
      <c r="E831">
        <v>0.52819340000000004</v>
      </c>
      <c r="F831" t="s">
        <v>46</v>
      </c>
      <c r="G831">
        <v>-177.9813</v>
      </c>
      <c r="H831">
        <v>7.9987970000000005E-2</v>
      </c>
      <c r="I831">
        <v>358.1936</v>
      </c>
      <c r="J831">
        <v>-335.3741</v>
      </c>
      <c r="K831">
        <v>1.121224</v>
      </c>
      <c r="L831">
        <v>367.05250000000001</v>
      </c>
      <c r="M831">
        <v>0.99991920000000001</v>
      </c>
      <c r="N831">
        <v>-1.1989059999999999E-2</v>
      </c>
      <c r="O831">
        <v>4.2441509999999998E-3</v>
      </c>
      <c r="P831">
        <v>0.98730249999999997</v>
      </c>
      <c r="Q831">
        <v>0.15793689999999999</v>
      </c>
      <c r="R831">
        <v>1.702917E-2</v>
      </c>
      <c r="S831">
        <v>3.044708</v>
      </c>
      <c r="T831">
        <v>-2.012396E-2</v>
      </c>
      <c r="U831">
        <v>-0.17120360000000001</v>
      </c>
      <c r="V831">
        <v>-1.284274E-2</v>
      </c>
      <c r="W831">
        <v>0.16976260000000001</v>
      </c>
      <c r="X831">
        <v>0.98540130000000004</v>
      </c>
      <c r="Y831">
        <v>6.0374700000000003E-2</v>
      </c>
      <c r="Z831">
        <v>-5.3877690000000002E-4</v>
      </c>
      <c r="AA831">
        <v>0.99817560000000005</v>
      </c>
      <c r="AB831">
        <v>30</v>
      </c>
      <c r="AC831">
        <v>157.39279999999999</v>
      </c>
      <c r="AD831">
        <v>-1.0412360300000001</v>
      </c>
      <c r="AE831">
        <v>-8.8589000000000002</v>
      </c>
      <c r="AF831">
        <v>9.5264513617107003</v>
      </c>
      <c r="AG831">
        <v>-1.0412360300000001</v>
      </c>
      <c r="AH831">
        <v>157.346916469474</v>
      </c>
      <c r="AI831">
        <v>90.378453692126399</v>
      </c>
      <c r="AJ831">
        <v>86.535299166480698</v>
      </c>
      <c r="AK831">
        <v>157.63847744275199</v>
      </c>
      <c r="AL831">
        <v>80.225983581258802</v>
      </c>
      <c r="AM831">
        <v>90.746693901109097</v>
      </c>
      <c r="AN831">
        <v>0.99999999918557803</v>
      </c>
    </row>
    <row r="832" spans="1:40" x14ac:dyDescent="0.25">
      <c r="A832" t="str">
        <f>"20190303161856902"</f>
        <v>20190303161856902</v>
      </c>
      <c r="B832" t="str">
        <f>"1551601136893579"</f>
        <v>1551601136893579</v>
      </c>
      <c r="C832" t="s">
        <v>40</v>
      </c>
      <c r="D832">
        <v>4.202464</v>
      </c>
      <c r="E832">
        <v>0.52819629999999995</v>
      </c>
      <c r="F832" t="s">
        <v>46</v>
      </c>
      <c r="G832">
        <v>-179.98869999999999</v>
      </c>
      <c r="H832">
        <v>6.1306550000000001E-2</v>
      </c>
      <c r="I832">
        <v>358.3793</v>
      </c>
      <c r="J832">
        <v>-335.21230000000003</v>
      </c>
      <c r="K832">
        <v>1.1212279999999999</v>
      </c>
      <c r="L832">
        <v>367.0532</v>
      </c>
      <c r="M832">
        <v>0.99991920000000001</v>
      </c>
      <c r="N832">
        <v>-1.198927E-2</v>
      </c>
      <c r="O832">
        <v>4.2613149999999999E-3</v>
      </c>
      <c r="P832">
        <v>0.98719639999999997</v>
      </c>
      <c r="Q832">
        <v>0.15857969999999999</v>
      </c>
      <c r="R832">
        <v>1.721541E-2</v>
      </c>
      <c r="S832">
        <v>3.0448</v>
      </c>
      <c r="T832">
        <v>-2.0769240000000001E-2</v>
      </c>
      <c r="U832">
        <v>-0.169952399999999</v>
      </c>
      <c r="V832">
        <v>-1.301278E-2</v>
      </c>
      <c r="W832">
        <v>0.17040449999999999</v>
      </c>
      <c r="X832">
        <v>0.98528830000000001</v>
      </c>
      <c r="Y832">
        <v>5.9981100000000002E-2</v>
      </c>
      <c r="Z832">
        <v>-5.4227349999999997E-4</v>
      </c>
      <c r="AA832">
        <v>0.99819930000000001</v>
      </c>
      <c r="AB832">
        <v>30</v>
      </c>
      <c r="AC832">
        <v>155.2236</v>
      </c>
      <c r="AD832">
        <v>-1.05992145</v>
      </c>
      <c r="AE832">
        <v>-8.6738999999999997</v>
      </c>
      <c r="AF832">
        <v>9.3348914350805803</v>
      </c>
      <c r="AG832">
        <v>-1.05992145</v>
      </c>
      <c r="AH832">
        <v>155.17801271362799</v>
      </c>
      <c r="AI832">
        <v>90.390638475179699</v>
      </c>
      <c r="AJ832">
        <v>86.557462573231604</v>
      </c>
      <c r="AK832">
        <v>155.46214735856401</v>
      </c>
      <c r="AL832">
        <v>80.188661931735396</v>
      </c>
      <c r="AM832">
        <v>90.756665869958098</v>
      </c>
      <c r="AN832">
        <v>1.0000000300902301</v>
      </c>
    </row>
    <row r="833" spans="1:40" x14ac:dyDescent="0.25">
      <c r="A833" t="str">
        <f>"20190303161856916"</f>
        <v>20190303161856916</v>
      </c>
      <c r="B833" t="str">
        <f>"1551601136903340"</f>
        <v>1551601136903340</v>
      </c>
      <c r="C833" t="s">
        <v>40</v>
      </c>
      <c r="D833">
        <v>4.1777259999999998</v>
      </c>
      <c r="E833">
        <v>0.52806090000000006</v>
      </c>
      <c r="F833" t="s">
        <v>44</v>
      </c>
      <c r="G833">
        <v>-151.30539999999999</v>
      </c>
      <c r="H833">
        <v>-0.05</v>
      </c>
      <c r="I833">
        <v>356.84210000000002</v>
      </c>
      <c r="J833">
        <v>-335.04829999999998</v>
      </c>
      <c r="K833">
        <v>1.121232</v>
      </c>
      <c r="L833">
        <v>367.0539</v>
      </c>
      <c r="M833">
        <v>0.99991890000000005</v>
      </c>
      <c r="N833">
        <v>-1.198949E-2</v>
      </c>
      <c r="O833">
        <v>4.2789560000000004E-3</v>
      </c>
      <c r="P833">
        <v>0.98719829999999997</v>
      </c>
      <c r="Q833">
        <v>0.1585722</v>
      </c>
      <c r="R833">
        <v>1.7159919999999999E-2</v>
      </c>
      <c r="S833">
        <v>3.0449830000000002</v>
      </c>
      <c r="T833">
        <v>-1.939225E-2</v>
      </c>
      <c r="U833">
        <v>-0.16906740000000001</v>
      </c>
      <c r="V833">
        <v>-1.29395E-2</v>
      </c>
      <c r="W833">
        <v>0.17039749999999901</v>
      </c>
      <c r="X833">
        <v>0.98529049999999996</v>
      </c>
      <c r="Y833">
        <v>5.9706509999999997E-2</v>
      </c>
      <c r="Z833">
        <v>-5.241655E-4</v>
      </c>
      <c r="AA833">
        <v>0.99821590000000004</v>
      </c>
      <c r="AB833">
        <v>30</v>
      </c>
      <c r="AC833">
        <v>183.74289999999999</v>
      </c>
      <c r="AD833">
        <v>-1.1712320000000001</v>
      </c>
      <c r="AE833">
        <v>-10.211799999999901</v>
      </c>
      <c r="AF833">
        <v>10.9975453803906</v>
      </c>
      <c r="AG833">
        <v>-1.1712320000000001</v>
      </c>
      <c r="AH833">
        <v>183.69007799320599</v>
      </c>
      <c r="AI833">
        <v>90.364667484778906</v>
      </c>
      <c r="AJ833">
        <v>86.573785084539097</v>
      </c>
      <c r="AK833">
        <v>184.02272289568401</v>
      </c>
      <c r="AL833">
        <v>80.189069192153298</v>
      </c>
      <c r="AM833">
        <v>90.752403603057999</v>
      </c>
      <c r="AN833">
        <v>1.00000005402837</v>
      </c>
    </row>
    <row r="834" spans="1:40" x14ac:dyDescent="0.25">
      <c r="A834" t="str">
        <f>"20190303161856935"</f>
        <v>20190303161856935</v>
      </c>
      <c r="B834" t="str">
        <f>"1551601136923835"</f>
        <v>1551601136923835</v>
      </c>
      <c r="C834" t="s">
        <v>40</v>
      </c>
      <c r="D834">
        <v>4.1450589999999998</v>
      </c>
      <c r="E834">
        <v>0.52797309999999997</v>
      </c>
      <c r="F834" t="s">
        <v>46</v>
      </c>
      <c r="G834">
        <v>-179.9794</v>
      </c>
      <c r="H834">
        <v>7.0613880000000004E-2</v>
      </c>
      <c r="I834">
        <v>358.49259999999998</v>
      </c>
      <c r="J834">
        <v>-334.7901</v>
      </c>
      <c r="K834">
        <v>1.121237</v>
      </c>
      <c r="L834">
        <v>367.05509999999998</v>
      </c>
      <c r="M834">
        <v>0.99991890000000005</v>
      </c>
      <c r="N834">
        <v>-1.198983E-2</v>
      </c>
      <c r="O834">
        <v>4.3063709999999998E-3</v>
      </c>
      <c r="P834">
        <v>0.98714729999999995</v>
      </c>
      <c r="Q834">
        <v>0.15888060000000001</v>
      </c>
      <c r="R834">
        <v>1.7233869999999998E-2</v>
      </c>
      <c r="S834">
        <v>3.0451350000000001</v>
      </c>
      <c r="T834">
        <v>-2.063131E-2</v>
      </c>
      <c r="U834">
        <v>-0.1681213</v>
      </c>
      <c r="V834">
        <v>-1.298625E-2</v>
      </c>
      <c r="W834">
        <v>0.1707052</v>
      </c>
      <c r="X834">
        <v>0.98523660000000002</v>
      </c>
      <c r="Y834">
        <v>5.9421649999999999E-2</v>
      </c>
      <c r="Z834">
        <v>-5.3522360000000002E-4</v>
      </c>
      <c r="AA834">
        <v>0.99823280000000003</v>
      </c>
      <c r="AB834">
        <v>30</v>
      </c>
      <c r="AC834">
        <v>154.8107</v>
      </c>
      <c r="AD834">
        <v>-1.05062312</v>
      </c>
      <c r="AE834">
        <v>-8.5625</v>
      </c>
      <c r="AF834">
        <v>9.2287170434542798</v>
      </c>
      <c r="AG834">
        <v>-1.05062312</v>
      </c>
      <c r="AH834">
        <v>154.765282142442</v>
      </c>
      <c r="AI834">
        <v>90.388256410621693</v>
      </c>
      <c r="AJ834">
        <v>86.587470158073501</v>
      </c>
      <c r="AK834">
        <v>155.04375377240501</v>
      </c>
      <c r="AL834">
        <v>80.171176932643604</v>
      </c>
      <c r="AM834">
        <v>90.755163005191093</v>
      </c>
      <c r="AN834">
        <v>1.00000003298783</v>
      </c>
    </row>
    <row r="835" spans="1:40" x14ac:dyDescent="0.25">
      <c r="A835" t="str">
        <f>"20190303161856949"</f>
        <v>20190303161856949</v>
      </c>
      <c r="B835" t="str">
        <f>"1551601136943355"</f>
        <v>1551601136943355</v>
      </c>
      <c r="C835" t="s">
        <v>40</v>
      </c>
      <c r="D835">
        <v>4.1383099999999997</v>
      </c>
      <c r="E835">
        <v>0.52783809999999998</v>
      </c>
      <c r="F835" t="s">
        <v>43</v>
      </c>
      <c r="G835">
        <v>-158.19499999999999</v>
      </c>
      <c r="H835">
        <v>5.2890779999999998E-2</v>
      </c>
      <c r="I835">
        <v>357.34190000000001</v>
      </c>
      <c r="J835">
        <v>-334.60169999999999</v>
      </c>
      <c r="K835">
        <v>1.1212359999999999</v>
      </c>
      <c r="L835">
        <v>367.05590000000001</v>
      </c>
      <c r="M835">
        <v>0.9999188</v>
      </c>
      <c r="N835">
        <v>-1.199005E-2</v>
      </c>
      <c r="O835">
        <v>4.3263959999999997E-3</v>
      </c>
      <c r="P835">
        <v>0.98709820000000004</v>
      </c>
      <c r="Q835">
        <v>0.15919349999999999</v>
      </c>
      <c r="R835">
        <v>1.7170370000000001E-2</v>
      </c>
      <c r="S835">
        <v>3.0449519999999999</v>
      </c>
      <c r="T835">
        <v>-1.8419499999999998E-2</v>
      </c>
      <c r="U835">
        <v>-0.1674805</v>
      </c>
      <c r="V835">
        <v>-1.2903799999999899E-2</v>
      </c>
      <c r="W835">
        <v>0.17101810000000001</v>
      </c>
      <c r="X835">
        <v>0.98518340000000004</v>
      </c>
      <c r="Y835">
        <v>5.9235999999999997E-2</v>
      </c>
      <c r="Z835">
        <v>-5.0875659999999995E-4</v>
      </c>
      <c r="AA835">
        <v>0.99824389999999996</v>
      </c>
      <c r="AB835">
        <v>30</v>
      </c>
      <c r="AC835">
        <v>176.4067</v>
      </c>
      <c r="AD835">
        <v>-1.0683452200000001</v>
      </c>
      <c r="AE835">
        <v>-9.7140000000000004</v>
      </c>
      <c r="AF835">
        <v>10.476786054027199</v>
      </c>
      <c r="AG835">
        <v>-1.0683452200000001</v>
      </c>
      <c r="AH835">
        <v>176.356570495825</v>
      </c>
      <c r="AI835">
        <v>90.346475319707906</v>
      </c>
      <c r="AJ835">
        <v>86.600234655811306</v>
      </c>
      <c r="AK835">
        <v>176.67072299784101</v>
      </c>
      <c r="AL835">
        <v>80.152981342970094</v>
      </c>
      <c r="AM835">
        <v>90.750409523224803</v>
      </c>
      <c r="AN835">
        <v>1.0000000151088</v>
      </c>
    </row>
    <row r="836" spans="1:40" x14ac:dyDescent="0.25">
      <c r="A836" t="str">
        <f>"20190303161856962"</f>
        <v>20190303161856962</v>
      </c>
      <c r="B836" t="str">
        <f>"1551601136954091"</f>
        <v>1551601136954091</v>
      </c>
      <c r="C836" t="s">
        <v>40</v>
      </c>
      <c r="D836">
        <v>4.0921900000000004</v>
      </c>
      <c r="E836">
        <v>0.5277906</v>
      </c>
      <c r="F836" t="s">
        <v>43</v>
      </c>
      <c r="G836">
        <v>-158.19499999999999</v>
      </c>
      <c r="H836">
        <v>0.10974879999999999</v>
      </c>
      <c r="I836">
        <v>357.4024</v>
      </c>
      <c r="J836">
        <v>-334.41730000000001</v>
      </c>
      <c r="K836">
        <v>1.121235</v>
      </c>
      <c r="L836">
        <v>367.05669999999998</v>
      </c>
      <c r="M836">
        <v>0.99991870000000005</v>
      </c>
      <c r="N836">
        <v>-1.1990249999999999E-2</v>
      </c>
      <c r="O836">
        <v>4.3462420000000002E-3</v>
      </c>
      <c r="P836">
        <v>0.98710569999999997</v>
      </c>
      <c r="Q836">
        <v>0.15911810000000001</v>
      </c>
      <c r="R836">
        <v>1.7429010000000002E-2</v>
      </c>
      <c r="S836">
        <v>3.0448909999999998</v>
      </c>
      <c r="T836">
        <v>-1.745737E-2</v>
      </c>
      <c r="U836">
        <v>-0.166626</v>
      </c>
      <c r="V836">
        <v>-1.3142610000000001E-2</v>
      </c>
      <c r="W836">
        <v>0.17094289999999901</v>
      </c>
      <c r="X836">
        <v>0.98519330000000005</v>
      </c>
      <c r="Y836">
        <v>5.8977830000000002E-2</v>
      </c>
      <c r="Z836">
        <v>-4.9563329999999998E-4</v>
      </c>
      <c r="AA836">
        <v>0.99825920000000001</v>
      </c>
      <c r="AB836">
        <v>30</v>
      </c>
      <c r="AC836">
        <v>176.22229999999999</v>
      </c>
      <c r="AD836">
        <v>-1.0114862</v>
      </c>
      <c r="AE836">
        <v>-9.6542999999999708</v>
      </c>
      <c r="AF836">
        <v>10.419826340835501</v>
      </c>
      <c r="AG836">
        <v>-1.0114862</v>
      </c>
      <c r="AH836">
        <v>176.17288564632901</v>
      </c>
      <c r="AI836">
        <v>90.328382855695295</v>
      </c>
      <c r="AJ836">
        <v>86.615158031006601</v>
      </c>
      <c r="AK836">
        <v>176.483657946736</v>
      </c>
      <c r="AL836">
        <v>80.157354437765207</v>
      </c>
      <c r="AM836">
        <v>90.764288004042001</v>
      </c>
      <c r="AN836">
        <v>1.0000000208114499</v>
      </c>
    </row>
    <row r="837" spans="1:40" x14ac:dyDescent="0.25">
      <c r="A837" t="str">
        <f>"20190303161856977"</f>
        <v>20190303161856977</v>
      </c>
      <c r="B837" t="str">
        <f>"1551601136963852"</f>
        <v>1551601136963852</v>
      </c>
      <c r="C837" t="s">
        <v>40</v>
      </c>
      <c r="D837">
        <v>4.1117460000000001</v>
      </c>
      <c r="E837">
        <v>0.52770879999999998</v>
      </c>
      <c r="F837" t="s">
        <v>44</v>
      </c>
      <c r="G837">
        <v>-143.4263</v>
      </c>
      <c r="H837">
        <v>-0.05</v>
      </c>
      <c r="I837">
        <v>356.66329999999999</v>
      </c>
      <c r="J837">
        <v>-334.23570000000001</v>
      </c>
      <c r="K837">
        <v>1.1212340000000001</v>
      </c>
      <c r="L837">
        <v>367.05759999999998</v>
      </c>
      <c r="M837">
        <v>0.99991859999999999</v>
      </c>
      <c r="N837">
        <v>-1.199047E-2</v>
      </c>
      <c r="O837">
        <v>4.3659069999999996E-3</v>
      </c>
      <c r="P837">
        <v>0.98706050000000001</v>
      </c>
      <c r="Q837">
        <v>0.1593821</v>
      </c>
      <c r="R837">
        <v>1.7576439999999999E-2</v>
      </c>
      <c r="S837">
        <v>3.0451350000000001</v>
      </c>
      <c r="T837">
        <v>-1.867402E-2</v>
      </c>
      <c r="U837">
        <v>-0.16571040000000001</v>
      </c>
      <c r="V837">
        <v>-1.327119E-2</v>
      </c>
      <c r="W837">
        <v>0.17120650000000001</v>
      </c>
      <c r="X837">
        <v>0.98514579999999996</v>
      </c>
      <c r="Y837">
        <v>5.8693620000000002E-2</v>
      </c>
      <c r="Z837">
        <v>-5.0643930000000001E-4</v>
      </c>
      <c r="AA837">
        <v>0.99827589999999999</v>
      </c>
      <c r="AB837">
        <v>30</v>
      </c>
      <c r="AC837">
        <v>190.80940000000001</v>
      </c>
      <c r="AD837">
        <v>-1.1712340000000001</v>
      </c>
      <c r="AE837">
        <v>-10.3942999999999</v>
      </c>
      <c r="AF837">
        <v>11.2268951363837</v>
      </c>
      <c r="AG837">
        <v>-1.1712340000000001</v>
      </c>
      <c r="AH837">
        <v>190.75503139595901</v>
      </c>
      <c r="AI837">
        <v>90.351183403151794</v>
      </c>
      <c r="AJ837">
        <v>86.6317401018552</v>
      </c>
      <c r="AK837">
        <v>191.088714911057</v>
      </c>
      <c r="AL837">
        <v>80.1420252680863</v>
      </c>
      <c r="AM837">
        <v>90.771801680600205</v>
      </c>
      <c r="AN837">
        <v>1.00000001869195</v>
      </c>
    </row>
    <row r="838" spans="1:40" x14ac:dyDescent="0.25">
      <c r="A838" t="str">
        <f>"20190303161856990"</f>
        <v>20190303161856990</v>
      </c>
      <c r="B838" t="str">
        <f>"1551601136983878"</f>
        <v>1551601136983878</v>
      </c>
      <c r="C838" t="s">
        <v>40</v>
      </c>
      <c r="D838">
        <v>4.0878009999999998</v>
      </c>
      <c r="E838">
        <v>0.52753899999999998</v>
      </c>
      <c r="F838" t="s">
        <v>43</v>
      </c>
      <c r="G838">
        <v>-158.19499999999999</v>
      </c>
      <c r="H838">
        <v>8.3496089999999995E-2</v>
      </c>
      <c r="I838">
        <v>357.55369999999999</v>
      </c>
      <c r="J838">
        <v>-334.0523</v>
      </c>
      <c r="K838">
        <v>1.1212359999999999</v>
      </c>
      <c r="L838">
        <v>367.05840000000001</v>
      </c>
      <c r="M838">
        <v>0.99991859999999999</v>
      </c>
      <c r="N838">
        <v>-1.19907E-2</v>
      </c>
      <c r="O838">
        <v>4.3857519999999997E-3</v>
      </c>
      <c r="P838">
        <v>0.98707630000000002</v>
      </c>
      <c r="Q838">
        <v>0.15928239999999999</v>
      </c>
      <c r="R838">
        <v>1.7603069999999998E-2</v>
      </c>
      <c r="S838">
        <v>3.045166</v>
      </c>
      <c r="T838">
        <v>-1.7949340000000001E-2</v>
      </c>
      <c r="U838">
        <v>-0.16439819999999999</v>
      </c>
      <c r="V838">
        <v>-1.3277519999999999E-2</v>
      </c>
      <c r="W838">
        <v>0.17110739999999999</v>
      </c>
      <c r="X838">
        <v>0.98516289999999995</v>
      </c>
      <c r="Y838">
        <v>5.8284139999999998E-2</v>
      </c>
      <c r="Z838">
        <v>-4.9463939999999998E-4</v>
      </c>
      <c r="AA838">
        <v>0.99829990000000002</v>
      </c>
      <c r="AB838">
        <v>30</v>
      </c>
      <c r="AC838">
        <v>175.85730000000001</v>
      </c>
      <c r="AD838">
        <v>-1.03773991</v>
      </c>
      <c r="AE838">
        <v>-9.5047000000000104</v>
      </c>
      <c r="AF838">
        <v>10.2755736720326</v>
      </c>
      <c r="AG838">
        <v>-1.03773991</v>
      </c>
      <c r="AH838">
        <v>175.807816023681</v>
      </c>
      <c r="AI838">
        <v>90.337619408626793</v>
      </c>
      <c r="AJ838">
        <v>86.654995361954505</v>
      </c>
      <c r="AK838">
        <v>176.11090963772401</v>
      </c>
      <c r="AL838">
        <v>80.147788007304896</v>
      </c>
      <c r="AM838">
        <v>90.772156363299601</v>
      </c>
      <c r="AN838">
        <v>0.99999998720425998</v>
      </c>
    </row>
    <row r="839" spans="1:40" x14ac:dyDescent="0.25">
      <c r="A839" t="str">
        <f>"20190303161857003"</f>
        <v>20190303161857003</v>
      </c>
      <c r="B839" t="str">
        <f>"1551601136993639"</f>
        <v>1551601136993639</v>
      </c>
      <c r="C839" t="s">
        <v>40</v>
      </c>
      <c r="D839">
        <v>4.0771319999999998</v>
      </c>
      <c r="E839">
        <v>0.52758349999999998</v>
      </c>
      <c r="F839" t="s">
        <v>43</v>
      </c>
      <c r="G839">
        <v>-158.19499999999999</v>
      </c>
      <c r="H839">
        <v>0.156264299999999</v>
      </c>
      <c r="I839">
        <v>357.6395</v>
      </c>
      <c r="J839">
        <v>-333.88199999999898</v>
      </c>
      <c r="K839">
        <v>1.1212329999999999</v>
      </c>
      <c r="L839">
        <v>367.0591</v>
      </c>
      <c r="M839">
        <v>0.99991850000000004</v>
      </c>
      <c r="N839">
        <v>-1.199091E-2</v>
      </c>
      <c r="O839">
        <v>4.4039300000000003E-3</v>
      </c>
      <c r="P839">
        <v>0.98710209999999998</v>
      </c>
      <c r="Q839">
        <v>0.15911239999999999</v>
      </c>
      <c r="R839">
        <v>1.769681E-2</v>
      </c>
      <c r="S839">
        <v>3.0449220000000001</v>
      </c>
      <c r="T839">
        <v>-1.670671E-2</v>
      </c>
      <c r="U839">
        <v>-0.16308590000000001</v>
      </c>
      <c r="V839">
        <v>-1.335355E-2</v>
      </c>
      <c r="W839">
        <v>0.1709378</v>
      </c>
      <c r="X839">
        <v>0.98519129999999999</v>
      </c>
      <c r="Y839">
        <v>5.7877890000000001E-2</v>
      </c>
      <c r="Z839">
        <v>-4.7731549999999997E-4</v>
      </c>
      <c r="AA839">
        <v>0.99832359999999998</v>
      </c>
      <c r="AB839">
        <v>30</v>
      </c>
      <c r="AC839">
        <v>175.68699999999899</v>
      </c>
      <c r="AD839">
        <v>-0.96496870000000001</v>
      </c>
      <c r="AE839">
        <v>-9.4196000000000009</v>
      </c>
      <c r="AF839">
        <v>10.1929708291811</v>
      </c>
      <c r="AG839">
        <v>-0.96496870000000001</v>
      </c>
      <c r="AH839">
        <v>175.638526336566</v>
      </c>
      <c r="AI839">
        <v>90.314254578207297</v>
      </c>
      <c r="AJ839">
        <v>86.678633640184302</v>
      </c>
      <c r="AK839">
        <v>175.93669245668201</v>
      </c>
      <c r="AL839">
        <v>80.157650537927793</v>
      </c>
      <c r="AM839">
        <v>90.776554976960597</v>
      </c>
      <c r="AN839">
        <v>0.99999997318106504</v>
      </c>
    </row>
    <row r="840" spans="1:40" x14ac:dyDescent="0.25">
      <c r="A840" t="str">
        <f>"20190303161857015"</f>
        <v>20190303161857015</v>
      </c>
      <c r="B840" t="str">
        <f>"1551601137003398"</f>
        <v>1551601137003398</v>
      </c>
      <c r="C840" t="s">
        <v>40</v>
      </c>
      <c r="D840">
        <v>4.053782</v>
      </c>
      <c r="E840">
        <v>0.52753649999999996</v>
      </c>
      <c r="F840" t="s">
        <v>43</v>
      </c>
      <c r="G840">
        <v>-158.19499999999999</v>
      </c>
      <c r="H840">
        <v>5.4065700000000001E-2</v>
      </c>
      <c r="I840">
        <v>357.64109999999999</v>
      </c>
      <c r="J840">
        <v>-333.73430000000002</v>
      </c>
      <c r="K840">
        <v>1.121232</v>
      </c>
      <c r="L840">
        <v>367.0598</v>
      </c>
      <c r="M840">
        <v>0.99991830000000004</v>
      </c>
      <c r="N840">
        <v>-1.1991099999999999E-2</v>
      </c>
      <c r="O840">
        <v>4.4197239999999999E-3</v>
      </c>
      <c r="P840">
        <v>0.98710549999999997</v>
      </c>
      <c r="Q840">
        <v>0.15907639999999901</v>
      </c>
      <c r="R840">
        <v>1.781752E-2</v>
      </c>
      <c r="S840">
        <v>3.045105</v>
      </c>
      <c r="T840">
        <v>-1.84952E-2</v>
      </c>
      <c r="U840">
        <v>-0.16323850000000001</v>
      </c>
      <c r="V840">
        <v>-1.3458400000000001E-2</v>
      </c>
      <c r="W840">
        <v>0.1709021</v>
      </c>
      <c r="X840">
        <v>0.98519610000000002</v>
      </c>
      <c r="Y840">
        <v>5.7939940000000002E-2</v>
      </c>
      <c r="Z840">
        <v>-4.9734659999999995E-4</v>
      </c>
      <c r="AA840">
        <v>0.99831990000000004</v>
      </c>
      <c r="AB840">
        <v>30</v>
      </c>
      <c r="AC840">
        <v>175.5393</v>
      </c>
      <c r="AD840">
        <v>-1.0671663</v>
      </c>
      <c r="AE840">
        <v>-9.4186999999999994</v>
      </c>
      <c r="AF840">
        <v>10.194123383875301</v>
      </c>
      <c r="AG840">
        <v>-1.0671663</v>
      </c>
      <c r="AH840">
        <v>175.48948698053701</v>
      </c>
      <c r="AI840">
        <v>90.347829798506595</v>
      </c>
      <c r="AJ840">
        <v>86.675444166259396</v>
      </c>
      <c r="AK840">
        <v>175.78856343963199</v>
      </c>
      <c r="AL840">
        <v>80.159726870958593</v>
      </c>
      <c r="AM840">
        <v>90.782647797793004</v>
      </c>
      <c r="AN840">
        <v>1.00000000588509</v>
      </c>
    </row>
    <row r="841" spans="1:40" x14ac:dyDescent="0.25">
      <c r="A841" t="str">
        <f>"20190303161857025"</f>
        <v>20190303161857025</v>
      </c>
      <c r="B841" t="str">
        <f>"1551601137014134"</f>
        <v>1551601137014134</v>
      </c>
      <c r="C841" t="s">
        <v>40</v>
      </c>
      <c r="D841">
        <v>4.0109649999999997</v>
      </c>
      <c r="E841">
        <v>0.52761389999999997</v>
      </c>
      <c r="F841" t="s">
        <v>43</v>
      </c>
      <c r="G841">
        <v>-158.19499999999999</v>
      </c>
      <c r="H841">
        <v>4.5699120000000003E-2</v>
      </c>
      <c r="I841">
        <v>357.69540000000001</v>
      </c>
      <c r="J841">
        <v>-333.5813</v>
      </c>
      <c r="K841">
        <v>1.121232</v>
      </c>
      <c r="L841">
        <v>367.06049999999999</v>
      </c>
      <c r="M841">
        <v>0.99991830000000004</v>
      </c>
      <c r="N841">
        <v>-1.199129E-2</v>
      </c>
      <c r="O841">
        <v>4.4360550000000004E-3</v>
      </c>
      <c r="P841">
        <v>0.98711899999999997</v>
      </c>
      <c r="Q841">
        <v>0.15898709999999999</v>
      </c>
      <c r="R841">
        <v>1.786635E-2</v>
      </c>
      <c r="S841">
        <v>3.045105</v>
      </c>
      <c r="T841">
        <v>-1.86559E-2</v>
      </c>
      <c r="U841">
        <v>-0.16244510000000001</v>
      </c>
      <c r="V841">
        <v>-1.34915E-2</v>
      </c>
      <c r="W841">
        <v>0.17081279999999999</v>
      </c>
      <c r="X841">
        <v>0.98521110000000001</v>
      </c>
      <c r="Y841">
        <v>5.7696820000000003E-2</v>
      </c>
      <c r="Z841">
        <v>-4.9681219999999997E-4</v>
      </c>
      <c r="AA841">
        <v>0.9983341</v>
      </c>
      <c r="AB841">
        <v>30</v>
      </c>
      <c r="AC841">
        <v>175.38630000000001</v>
      </c>
      <c r="AD841">
        <v>-1.0755328799999999</v>
      </c>
      <c r="AE841">
        <v>-9.3650999999999804</v>
      </c>
      <c r="AF841">
        <v>10.1427066849021</v>
      </c>
      <c r="AG841">
        <v>-1.0755328799999999</v>
      </c>
      <c r="AH841">
        <v>175.336452042861</v>
      </c>
      <c r="AI841">
        <v>90.350867592415099</v>
      </c>
      <c r="AJ841">
        <v>86.689294420678394</v>
      </c>
      <c r="AK841">
        <v>175.63286333955401</v>
      </c>
      <c r="AL841">
        <v>80.164919408554297</v>
      </c>
      <c r="AM841">
        <v>90.784560481624695</v>
      </c>
      <c r="AN841">
        <v>0.99999997238964899</v>
      </c>
    </row>
    <row r="842" spans="1:40" x14ac:dyDescent="0.25">
      <c r="A842" t="str">
        <f>"20190303161857037"</f>
        <v>20190303161857037</v>
      </c>
      <c r="B842" t="str">
        <f>"1551601137023895"</f>
        <v>1551601137023895</v>
      </c>
      <c r="C842" t="s">
        <v>40</v>
      </c>
      <c r="D842">
        <v>4.0117370000000001</v>
      </c>
      <c r="E842">
        <v>0.52761389999999997</v>
      </c>
      <c r="F842" t="s">
        <v>43</v>
      </c>
      <c r="G842">
        <v>-158.19499999999999</v>
      </c>
      <c r="H842">
        <v>8.0007549999999997E-2</v>
      </c>
      <c r="I842">
        <v>357.69170000000003</v>
      </c>
      <c r="J842">
        <v>-333.43310000000002</v>
      </c>
      <c r="K842">
        <v>1.121232</v>
      </c>
      <c r="L842">
        <v>367.06119999999999</v>
      </c>
      <c r="M842">
        <v>0.99991819999999998</v>
      </c>
      <c r="N842">
        <v>-1.1991460000000001E-2</v>
      </c>
      <c r="O842">
        <v>4.4518489999999999E-3</v>
      </c>
      <c r="P842">
        <v>0.98715079999999999</v>
      </c>
      <c r="Q842">
        <v>0.15880529999999901</v>
      </c>
      <c r="R842">
        <v>1.7724380000000001E-2</v>
      </c>
      <c r="S842">
        <v>3.045013</v>
      </c>
      <c r="T842">
        <v>-1.8075939999999999E-2</v>
      </c>
      <c r="U842">
        <v>-0.16265869999999999</v>
      </c>
      <c r="V842">
        <v>-1.333313E-2</v>
      </c>
      <c r="W842">
        <v>0.1706319</v>
      </c>
      <c r="X842">
        <v>0.98524460000000003</v>
      </c>
      <c r="Y842">
        <v>5.7784149999999999E-2</v>
      </c>
      <c r="Z842">
        <v>-4.9117529999999896E-4</v>
      </c>
      <c r="AA842">
        <v>0.99832900000000002</v>
      </c>
      <c r="AB842">
        <v>30</v>
      </c>
      <c r="AC842">
        <v>175.2381</v>
      </c>
      <c r="AD842">
        <v>-1.0412244500000001</v>
      </c>
      <c r="AE842">
        <v>-9.3694999999999595</v>
      </c>
      <c r="AF842">
        <v>10.1492394934949</v>
      </c>
      <c r="AG842">
        <v>-1.0412244500000001</v>
      </c>
      <c r="AH842">
        <v>175.188481291855</v>
      </c>
      <c r="AI842">
        <v>90.339960737652802</v>
      </c>
      <c r="AJ842">
        <v>86.684374875705402</v>
      </c>
      <c r="AK842">
        <v>175.48531331139401</v>
      </c>
      <c r="AL842">
        <v>80.175438620177701</v>
      </c>
      <c r="AM842">
        <v>90.775325687732206</v>
      </c>
      <c r="AN842">
        <v>0.99999996974118299</v>
      </c>
    </row>
    <row r="843" spans="1:40" x14ac:dyDescent="0.25">
      <c r="A843" t="str">
        <f>"20190303161857048"</f>
        <v>20190303161857048</v>
      </c>
      <c r="B843" t="str">
        <f>"1551601137043414"</f>
        <v>1551601137043414</v>
      </c>
      <c r="C843" t="s">
        <v>40</v>
      </c>
      <c r="D843">
        <v>4.016616</v>
      </c>
      <c r="E843">
        <v>0.53647109999999998</v>
      </c>
      <c r="F843" t="s">
        <v>43</v>
      </c>
      <c r="G843">
        <v>-158.19499999999999</v>
      </c>
      <c r="H843">
        <v>4.9898150000000002E-2</v>
      </c>
      <c r="I843">
        <v>357.65980000000002</v>
      </c>
      <c r="J843">
        <v>-333.2944</v>
      </c>
      <c r="K843">
        <v>1.121232</v>
      </c>
      <c r="L843">
        <v>367.06180000000001</v>
      </c>
      <c r="M843">
        <v>0.99991819999999998</v>
      </c>
      <c r="N843">
        <v>-1.199163E-2</v>
      </c>
      <c r="O843">
        <v>4.4666890000000002E-3</v>
      </c>
      <c r="P843">
        <v>0.98717429999999995</v>
      </c>
      <c r="Q843">
        <v>0.1586514</v>
      </c>
      <c r="R843">
        <v>1.7790440000000001E-2</v>
      </c>
      <c r="S843">
        <v>3.0449519999999999</v>
      </c>
      <c r="T843">
        <v>-1.861405E-2</v>
      </c>
      <c r="U843">
        <v>-0.16336059999999999</v>
      </c>
      <c r="V843">
        <v>-1.3384699999999999E-2</v>
      </c>
      <c r="W843">
        <v>0.17047870000000001</v>
      </c>
      <c r="X843">
        <v>0.98527039999999999</v>
      </c>
      <c r="Y843">
        <v>5.8029379999999998E-2</v>
      </c>
      <c r="Z843">
        <v>-4.992064E-4</v>
      </c>
      <c r="AA843">
        <v>0.9983147</v>
      </c>
      <c r="AB843">
        <v>30</v>
      </c>
      <c r="AC843">
        <v>175.0994</v>
      </c>
      <c r="AD843">
        <v>-1.07133385</v>
      </c>
      <c r="AE843">
        <v>-9.4019999999999797</v>
      </c>
      <c r="AF843">
        <v>10.183696804239499</v>
      </c>
      <c r="AG843">
        <v>-1.07133385</v>
      </c>
      <c r="AH843">
        <v>175.04912002019699</v>
      </c>
      <c r="AI843">
        <v>90.350064793631802</v>
      </c>
      <c r="AJ843">
        <v>86.67050071717</v>
      </c>
      <c r="AK843">
        <v>175.34836713429701</v>
      </c>
      <c r="AL843">
        <v>80.184346653112797</v>
      </c>
      <c r="AM843">
        <v>90.778303752736804</v>
      </c>
      <c r="AN843">
        <v>0.999999949231968</v>
      </c>
    </row>
    <row r="844" spans="1:40" x14ac:dyDescent="0.25">
      <c r="A844" t="str">
        <f>"20190303161857060"</f>
        <v>20190303161857060</v>
      </c>
      <c r="B844" t="str">
        <f>"1551601137054150"</f>
        <v>1551601137054150</v>
      </c>
      <c r="C844" t="s">
        <v>40</v>
      </c>
      <c r="D844">
        <v>4.0030250000000001</v>
      </c>
      <c r="E844">
        <v>0.53655209999999998</v>
      </c>
      <c r="F844" t="s">
        <v>43</v>
      </c>
      <c r="G844">
        <v>-169.2955</v>
      </c>
      <c r="H844">
        <v>1.254092</v>
      </c>
      <c r="I844">
        <v>354.45749999999998</v>
      </c>
      <c r="J844">
        <v>-333.13670000000002</v>
      </c>
      <c r="K844">
        <v>1.121232</v>
      </c>
      <c r="L844">
        <v>367.06259999999997</v>
      </c>
      <c r="M844">
        <v>0.99991819999999998</v>
      </c>
      <c r="N844">
        <v>-1.199182E-2</v>
      </c>
      <c r="O844">
        <v>4.4834940000000002E-3</v>
      </c>
      <c r="P844">
        <v>0.9871799</v>
      </c>
      <c r="Q844">
        <v>0.15863529999999901</v>
      </c>
      <c r="R844">
        <v>1.7630259999999998E-2</v>
      </c>
      <c r="S844">
        <v>3.042786</v>
      </c>
      <c r="T844">
        <v>2.4666789999999998E-3</v>
      </c>
      <c r="U844">
        <v>-0.23385619999999999</v>
      </c>
      <c r="V844">
        <v>-1.320762E-2</v>
      </c>
      <c r="W844">
        <v>0.17046229999999901</v>
      </c>
      <c r="X844">
        <v>0.98527569999999998</v>
      </c>
      <c r="Y844">
        <v>8.1099829999999998E-2</v>
      </c>
      <c r="Z844">
        <v>-3.9686060000000001E-4</v>
      </c>
      <c r="AA844">
        <v>0.99670590000000003</v>
      </c>
      <c r="AB844">
        <v>30</v>
      </c>
      <c r="AC844">
        <v>163.84119999999999</v>
      </c>
      <c r="AD844">
        <v>0.13285999999999901</v>
      </c>
      <c r="AE844">
        <v>-12.605099999999901</v>
      </c>
      <c r="AF844">
        <v>13.339598314910599</v>
      </c>
      <c r="AG844">
        <v>0.13285999999999901</v>
      </c>
      <c r="AH844">
        <v>163.78292700010601</v>
      </c>
      <c r="AI844">
        <v>89.953675317669195</v>
      </c>
      <c r="AJ844">
        <v>85.343718844391404</v>
      </c>
      <c r="AK844">
        <v>164.32531670958301</v>
      </c>
      <c r="AL844">
        <v>80.185300973275005</v>
      </c>
      <c r="AM844">
        <v>90.768003880571101</v>
      </c>
      <c r="AN844">
        <v>1.0000000209789199</v>
      </c>
    </row>
    <row r="845" spans="1:40" x14ac:dyDescent="0.25">
      <c r="A845" t="str">
        <f>"20190303161857072"</f>
        <v>20190303161857072</v>
      </c>
      <c r="B845" t="str">
        <f>"1551601137063911"</f>
        <v>1551601137063911</v>
      </c>
      <c r="C845" t="s">
        <v>40</v>
      </c>
      <c r="D845">
        <v>3.95804</v>
      </c>
      <c r="E845">
        <v>0.5365472</v>
      </c>
      <c r="F845" t="s">
        <v>43</v>
      </c>
      <c r="G845">
        <v>-169.2955</v>
      </c>
      <c r="H845">
        <v>1.3145260000000001</v>
      </c>
      <c r="I845">
        <v>354.4006</v>
      </c>
      <c r="J845">
        <v>-332.97660000000002</v>
      </c>
      <c r="K845">
        <v>1.1212310000000001</v>
      </c>
      <c r="L845">
        <v>367.06330000000003</v>
      </c>
      <c r="M845">
        <v>0.99991799999999997</v>
      </c>
      <c r="N845">
        <v>-1.1992010000000001E-2</v>
      </c>
      <c r="O845">
        <v>4.5008369999999997E-3</v>
      </c>
      <c r="P845">
        <v>0.98720779999999997</v>
      </c>
      <c r="Q845">
        <v>0.1584863</v>
      </c>
      <c r="R845">
        <v>1.7406689999999999E-2</v>
      </c>
      <c r="S845">
        <v>3.0426030000000002</v>
      </c>
      <c r="T845">
        <v>3.5911799999999998E-3</v>
      </c>
      <c r="U845">
        <v>-0.23513790000000001</v>
      </c>
      <c r="V845">
        <v>-1.296694E-2</v>
      </c>
      <c r="W845">
        <v>0.170314299999999</v>
      </c>
      <c r="X845">
        <v>0.98530450000000003</v>
      </c>
      <c r="Y845">
        <v>8.1539219999999996E-2</v>
      </c>
      <c r="Z845">
        <v>-3.8240680000000001E-4</v>
      </c>
      <c r="AA845">
        <v>0.9966701</v>
      </c>
      <c r="AB845">
        <v>30</v>
      </c>
      <c r="AC845">
        <v>163.68109999999999</v>
      </c>
      <c r="AD845">
        <v>0.19329499999999999</v>
      </c>
      <c r="AE845">
        <v>-12.662699999999999</v>
      </c>
      <c r="AF845">
        <v>13.3993080500983</v>
      </c>
      <c r="AG845">
        <v>0.19329499999999999</v>
      </c>
      <c r="AH845">
        <v>163.62221819337299</v>
      </c>
      <c r="AI845">
        <v>89.932539525440703</v>
      </c>
      <c r="AJ845">
        <v>85.318395653366196</v>
      </c>
      <c r="AK845">
        <v>164.17006153893601</v>
      </c>
      <c r="AL845">
        <v>80.193906677922001</v>
      </c>
      <c r="AM845">
        <v>90.753988282796499</v>
      </c>
      <c r="AN845">
        <v>1.0000000300188501</v>
      </c>
    </row>
    <row r="846" spans="1:40" x14ac:dyDescent="0.25">
      <c r="A846" t="str">
        <f>"20190303161857083"</f>
        <v>20190303161857083</v>
      </c>
      <c r="B846" t="str">
        <f>"1551601137074178"</f>
        <v>1551601137074178</v>
      </c>
      <c r="C846" t="s">
        <v>40</v>
      </c>
      <c r="D846">
        <v>3.9581650000000002</v>
      </c>
      <c r="E846">
        <v>0.53668300000000002</v>
      </c>
      <c r="F846" t="s">
        <v>43</v>
      </c>
      <c r="G846">
        <v>-169.2955</v>
      </c>
      <c r="H846">
        <v>1.3503909999999999</v>
      </c>
      <c r="I846">
        <v>354.37310000000002</v>
      </c>
      <c r="J846">
        <v>-332.8218</v>
      </c>
      <c r="K846">
        <v>1.121229</v>
      </c>
      <c r="L846">
        <v>367.06400000000002</v>
      </c>
      <c r="M846">
        <v>0.99991799999999997</v>
      </c>
      <c r="N846">
        <v>-1.199219E-2</v>
      </c>
      <c r="O846">
        <v>4.517287E-3</v>
      </c>
      <c r="P846">
        <v>0.98721519999999996</v>
      </c>
      <c r="Q846">
        <v>0.15843099999999999</v>
      </c>
      <c r="R846">
        <v>1.7494949999999999E-2</v>
      </c>
      <c r="S846">
        <v>3.0423279999999999</v>
      </c>
      <c r="T846">
        <v>4.2610169999999998E-3</v>
      </c>
      <c r="U846">
        <v>-0.23587040000000001</v>
      </c>
      <c r="V846">
        <v>-1.3038950000000001E-2</v>
      </c>
      <c r="W846">
        <v>0.17025940000000001</v>
      </c>
      <c r="X846">
        <v>0.98531299999999999</v>
      </c>
      <c r="Y846">
        <v>8.1801109999999996E-2</v>
      </c>
      <c r="Z846">
        <v>-3.7363130000000002E-4</v>
      </c>
      <c r="AA846">
        <v>0.9966486</v>
      </c>
      <c r="AB846">
        <v>30</v>
      </c>
      <c r="AC846">
        <v>163.52629999999999</v>
      </c>
      <c r="AD846">
        <v>0.22916199999999901</v>
      </c>
      <c r="AE846">
        <v>-12.690899999999999</v>
      </c>
      <c r="AF846">
        <v>13.4294925490483</v>
      </c>
      <c r="AG846">
        <v>0.22916199999999901</v>
      </c>
      <c r="AH846">
        <v>163.466979644936</v>
      </c>
      <c r="AI846">
        <v>89.919947620433106</v>
      </c>
      <c r="AJ846">
        <v>85.3034604880214</v>
      </c>
      <c r="AK846">
        <v>164.01785640467699</v>
      </c>
      <c r="AL846">
        <v>80.197098470044097</v>
      </c>
      <c r="AM846">
        <v>90.758168418962597</v>
      </c>
      <c r="AN846">
        <v>0.99999999273723095</v>
      </c>
    </row>
    <row r="847" spans="1:40" x14ac:dyDescent="0.25">
      <c r="A847" t="str">
        <f>"20190303161857094"</f>
        <v>20190303161857094</v>
      </c>
      <c r="B847" t="str">
        <f>"1551601137083937"</f>
        <v>1551601137083937</v>
      </c>
      <c r="C847" t="s">
        <v>40</v>
      </c>
      <c r="D847">
        <v>3.960048</v>
      </c>
      <c r="E847">
        <v>0.53654209999999902</v>
      </c>
      <c r="F847" t="s">
        <v>43</v>
      </c>
      <c r="G847">
        <v>-169.2955</v>
      </c>
      <c r="H847">
        <v>1.365982</v>
      </c>
      <c r="I847">
        <v>354.3578</v>
      </c>
      <c r="J847">
        <v>-332.66789999999997</v>
      </c>
      <c r="K847">
        <v>1.121229</v>
      </c>
      <c r="L847">
        <v>367.06470000000002</v>
      </c>
      <c r="M847">
        <v>0.99991790000000003</v>
      </c>
      <c r="N847">
        <v>-1.1992360000000001E-2</v>
      </c>
      <c r="O847">
        <v>4.5336170000000002E-3</v>
      </c>
      <c r="P847">
        <v>0.98723139999999998</v>
      </c>
      <c r="Q847">
        <v>0.1583406</v>
      </c>
      <c r="R847">
        <v>1.7401199999999999E-2</v>
      </c>
      <c r="S847">
        <v>3.042297</v>
      </c>
      <c r="T847">
        <v>4.5551059999999997E-3</v>
      </c>
      <c r="U847">
        <v>-0.23638919999999999</v>
      </c>
      <c r="V847">
        <v>-1.292921E-2</v>
      </c>
      <c r="W847">
        <v>0.17016909999999999</v>
      </c>
      <c r="X847">
        <v>0.98533000000000004</v>
      </c>
      <c r="Y847">
        <v>8.1987110000000002E-2</v>
      </c>
      <c r="Z847">
        <v>-3.7001519999999997E-4</v>
      </c>
      <c r="AA847">
        <v>0.99663330000000006</v>
      </c>
      <c r="AB847">
        <v>30</v>
      </c>
      <c r="AC847">
        <v>163.372399999999</v>
      </c>
      <c r="AD847">
        <v>0.244753</v>
      </c>
      <c r="AE847">
        <v>-12.706899999999999</v>
      </c>
      <c r="AF847">
        <v>13.4474604841994</v>
      </c>
      <c r="AG847">
        <v>0.244753</v>
      </c>
      <c r="AH847">
        <v>163.31274410845799</v>
      </c>
      <c r="AI847">
        <v>89.914421842641701</v>
      </c>
      <c r="AJ847">
        <v>85.292783481159304</v>
      </c>
      <c r="AK847">
        <v>163.86563546314301</v>
      </c>
      <c r="AL847">
        <v>80.202348455251297</v>
      </c>
      <c r="AM847">
        <v>90.751775195801997</v>
      </c>
      <c r="AN847">
        <v>0.99999994798301495</v>
      </c>
    </row>
    <row r="848" spans="1:40" x14ac:dyDescent="0.25">
      <c r="A848" t="str">
        <f>"20190303161857108"</f>
        <v>20190303161857108</v>
      </c>
      <c r="B848" t="str">
        <f>"1551601137093698"</f>
        <v>1551601137093698</v>
      </c>
      <c r="C848" t="s">
        <v>40</v>
      </c>
      <c r="D848">
        <v>3.9776419999999999</v>
      </c>
      <c r="E848">
        <v>0.53668309999999997</v>
      </c>
      <c r="F848" t="s">
        <v>43</v>
      </c>
      <c r="G848">
        <v>-169.2955</v>
      </c>
      <c r="H848">
        <v>1.3744590000000001</v>
      </c>
      <c r="I848">
        <v>354.40949999999998</v>
      </c>
      <c r="J848">
        <v>-332.50209999999998</v>
      </c>
      <c r="K848">
        <v>1.121229</v>
      </c>
      <c r="L848">
        <v>367.06549999999999</v>
      </c>
      <c r="M848">
        <v>0.99991790000000003</v>
      </c>
      <c r="N848">
        <v>-1.1992549999999999E-2</v>
      </c>
      <c r="O848">
        <v>4.5510799999999999E-3</v>
      </c>
      <c r="P848">
        <v>0.98723329999999998</v>
      </c>
      <c r="Q848">
        <v>0.1583311</v>
      </c>
      <c r="R848">
        <v>1.738406E-2</v>
      </c>
      <c r="S848">
        <v>3.0422060000000002</v>
      </c>
      <c r="T848">
        <v>4.7171119999999999E-3</v>
      </c>
      <c r="U848">
        <v>-0.2356567</v>
      </c>
      <c r="V848">
        <v>-1.289446E-2</v>
      </c>
      <c r="W848">
        <v>0.17016020000000001</v>
      </c>
      <c r="X848">
        <v>0.98533210000000004</v>
      </c>
      <c r="Y848">
        <v>8.1768350000000004E-2</v>
      </c>
      <c r="Z848">
        <v>-3.66213E-4</v>
      </c>
      <c r="AA848">
        <v>0.99665130000000002</v>
      </c>
      <c r="AB848">
        <v>30</v>
      </c>
      <c r="AC848">
        <v>163.20659999999901</v>
      </c>
      <c r="AD848">
        <v>0.25323000000000001</v>
      </c>
      <c r="AE848">
        <v>-12.656000000000001</v>
      </c>
      <c r="AF848">
        <v>13.398656434549</v>
      </c>
      <c r="AG848">
        <v>0.25323000000000001</v>
      </c>
      <c r="AH848">
        <v>163.146916535077</v>
      </c>
      <c r="AI848">
        <v>89.911366298250499</v>
      </c>
      <c r="AJ848">
        <v>85.305044768699901</v>
      </c>
      <c r="AK848">
        <v>163.69637899045699</v>
      </c>
      <c r="AL848">
        <v>80.202866983990603</v>
      </c>
      <c r="AM848">
        <v>90.749753273394404</v>
      </c>
      <c r="AN848">
        <v>1.0000000540265599</v>
      </c>
    </row>
    <row r="849" spans="1:40" x14ac:dyDescent="0.25">
      <c r="A849" t="str">
        <f>"20190303161857121"</f>
        <v>20190303161857121</v>
      </c>
      <c r="B849" t="str">
        <f>"1551601137114194"</f>
        <v>1551601137114194</v>
      </c>
      <c r="C849" t="s">
        <v>40</v>
      </c>
      <c r="D849">
        <v>3.9838279999999999</v>
      </c>
      <c r="E849">
        <v>0.53704319999999905</v>
      </c>
      <c r="F849" t="s">
        <v>43</v>
      </c>
      <c r="G849">
        <v>-169.2955</v>
      </c>
      <c r="H849">
        <v>1.4401930000000001</v>
      </c>
      <c r="I849">
        <v>354.3553</v>
      </c>
      <c r="J849">
        <v>-332.32170000000002</v>
      </c>
      <c r="K849">
        <v>1.1212310000000001</v>
      </c>
      <c r="L849">
        <v>367.06630000000001</v>
      </c>
      <c r="M849">
        <v>0.99991770000000002</v>
      </c>
      <c r="N849">
        <v>-1.199277E-2</v>
      </c>
      <c r="O849">
        <v>4.5700949999999997E-3</v>
      </c>
      <c r="P849">
        <v>0.98725589999999996</v>
      </c>
      <c r="Q849">
        <v>0.15819250000000001</v>
      </c>
      <c r="R849">
        <v>1.735167E-2</v>
      </c>
      <c r="S849">
        <v>3.0420530000000001</v>
      </c>
      <c r="T849">
        <v>5.9468749999999999E-3</v>
      </c>
      <c r="U849">
        <v>-0.23690800000000001</v>
      </c>
      <c r="V849">
        <v>-1.284356E-2</v>
      </c>
      <c r="W849">
        <v>0.17002159999999999</v>
      </c>
      <c r="X849">
        <v>0.98535660000000003</v>
      </c>
      <c r="Y849">
        <v>8.2198729999999998E-2</v>
      </c>
      <c r="Z849">
        <v>-3.4978690000000002E-4</v>
      </c>
      <c r="AA849">
        <v>0.9966159</v>
      </c>
      <c r="AB849">
        <v>30</v>
      </c>
      <c r="AC849">
        <v>163.02619999999999</v>
      </c>
      <c r="AD849">
        <v>0.31896200000000002</v>
      </c>
      <c r="AE849">
        <v>-12.711</v>
      </c>
      <c r="AF849">
        <v>13.4559148053079</v>
      </c>
      <c r="AG849">
        <v>0.31896200000000002</v>
      </c>
      <c r="AH849">
        <v>162.96578257977501</v>
      </c>
      <c r="AI849">
        <v>89.888239279100503</v>
      </c>
      <c r="AJ849">
        <v>85.279854513339401</v>
      </c>
      <c r="AK849">
        <v>163.520670472707</v>
      </c>
      <c r="AL849">
        <v>80.210924729009605</v>
      </c>
      <c r="AM849">
        <v>90.746775443158896</v>
      </c>
      <c r="AN849">
        <v>0.99999996533179603</v>
      </c>
    </row>
    <row r="850" spans="1:40" x14ac:dyDescent="0.25">
      <c r="A850" t="str">
        <f>"20190303161857135"</f>
        <v>20190303161857135</v>
      </c>
      <c r="B850" t="str">
        <f>"1551601137123953"</f>
        <v>1551601137123953</v>
      </c>
      <c r="C850" t="s">
        <v>40</v>
      </c>
      <c r="D850">
        <v>3.910682</v>
      </c>
      <c r="E850">
        <v>0.53703599999999996</v>
      </c>
      <c r="F850" t="s">
        <v>43</v>
      </c>
      <c r="G850">
        <v>-169.2955</v>
      </c>
      <c r="H850">
        <v>1.2638469999999999</v>
      </c>
      <c r="I850">
        <v>354.23149999999998</v>
      </c>
      <c r="J850">
        <v>-332.1345</v>
      </c>
      <c r="K850">
        <v>1.1212230000000001</v>
      </c>
      <c r="L850">
        <v>367.06720000000001</v>
      </c>
      <c r="M850">
        <v>0.99991770000000002</v>
      </c>
      <c r="N850">
        <v>-1.199298E-2</v>
      </c>
      <c r="O850">
        <v>4.5899410000000002E-3</v>
      </c>
      <c r="P850">
        <v>0.98724820000000002</v>
      </c>
      <c r="Q850">
        <v>0.1582451</v>
      </c>
      <c r="R850">
        <v>1.7314949999999999E-2</v>
      </c>
      <c r="S850">
        <v>3.0425110000000002</v>
      </c>
      <c r="T850">
        <v>2.6632549999999998E-3</v>
      </c>
      <c r="U850">
        <v>-0.23953250000000001</v>
      </c>
      <c r="V850">
        <v>-1.2787059999999999E-2</v>
      </c>
      <c r="W850">
        <v>0.1700747</v>
      </c>
      <c r="X850">
        <v>0.98534820000000001</v>
      </c>
      <c r="Y850">
        <v>8.3061010000000005E-2</v>
      </c>
      <c r="Z850">
        <v>-4.0358990000000002E-4</v>
      </c>
      <c r="AA850">
        <v>0.9965444</v>
      </c>
      <c r="AB850">
        <v>30</v>
      </c>
      <c r="AC850">
        <v>162.839</v>
      </c>
      <c r="AD850">
        <v>0.142624</v>
      </c>
      <c r="AE850">
        <v>-12.835699999999999</v>
      </c>
      <c r="AF850">
        <v>13.5830294612083</v>
      </c>
      <c r="AG850">
        <v>0.142624</v>
      </c>
      <c r="AH850">
        <v>162.77824099977701</v>
      </c>
      <c r="AI850">
        <v>89.949972130038901</v>
      </c>
      <c r="AJ850">
        <v>85.230004763913996</v>
      </c>
      <c r="AK850">
        <v>163.34403807280799</v>
      </c>
      <c r="AL850">
        <v>80.2078376399148</v>
      </c>
      <c r="AM850">
        <v>90.743497016458605</v>
      </c>
      <c r="AN850">
        <v>0.99999999386338601</v>
      </c>
    </row>
    <row r="851" spans="1:40" x14ac:dyDescent="0.25">
      <c r="A851" t="str">
        <f>"20190303161857149"</f>
        <v>20190303161857149</v>
      </c>
      <c r="B851" t="str">
        <f>"1551601137133713"</f>
        <v>1551601137133713</v>
      </c>
      <c r="C851" t="s">
        <v>40</v>
      </c>
      <c r="D851">
        <v>3.9159999999999999</v>
      </c>
      <c r="E851">
        <v>0.53705269999999905</v>
      </c>
      <c r="F851" t="s">
        <v>43</v>
      </c>
      <c r="G851">
        <v>-169.2955</v>
      </c>
      <c r="H851">
        <v>1.400857</v>
      </c>
      <c r="I851">
        <v>354.2226</v>
      </c>
      <c r="J851">
        <v>-331.96190000000001</v>
      </c>
      <c r="K851">
        <v>1.1212249999999999</v>
      </c>
      <c r="L851">
        <v>367.06799999999998</v>
      </c>
      <c r="M851">
        <v>0.99991759999999996</v>
      </c>
      <c r="N851">
        <v>-1.1993180000000001E-2</v>
      </c>
      <c r="O851">
        <v>4.6084749999999999E-3</v>
      </c>
      <c r="P851">
        <v>0.98723530000000004</v>
      </c>
      <c r="Q851">
        <v>0.15833639999999999</v>
      </c>
      <c r="R851">
        <v>1.7215439999999999E-2</v>
      </c>
      <c r="S851">
        <v>3.0421140000000002</v>
      </c>
      <c r="T851">
        <v>5.2256580000000002E-3</v>
      </c>
      <c r="U851">
        <v>-0.2399597</v>
      </c>
      <c r="V851">
        <v>-1.2669400000000001E-2</v>
      </c>
      <c r="W851">
        <v>0.17016579999999901</v>
      </c>
      <c r="X851">
        <v>0.98533400000000004</v>
      </c>
      <c r="Y851">
        <v>8.3229010000000006E-2</v>
      </c>
      <c r="Z851">
        <v>-3.6541839999999998E-4</v>
      </c>
      <c r="AA851">
        <v>0.99653040000000004</v>
      </c>
      <c r="AB851">
        <v>30</v>
      </c>
      <c r="AC851">
        <v>162.66640000000001</v>
      </c>
      <c r="AD851">
        <v>0.27963199999999999</v>
      </c>
      <c r="AE851">
        <v>-12.8454</v>
      </c>
      <c r="AF851">
        <v>13.5949214993728</v>
      </c>
      <c r="AG851">
        <v>0.27963199999999999</v>
      </c>
      <c r="AH851">
        <v>162.604992888053</v>
      </c>
      <c r="AI851">
        <v>89.901811055599396</v>
      </c>
      <c r="AJ851">
        <v>85.220784804731906</v>
      </c>
      <c r="AK851">
        <v>163.172558344696</v>
      </c>
      <c r="AL851">
        <v>80.202540867912504</v>
      </c>
      <c r="AM851">
        <v>90.736667108825699</v>
      </c>
      <c r="AN851">
        <v>1.0000000023710001</v>
      </c>
    </row>
    <row r="852" spans="1:40" x14ac:dyDescent="0.25">
      <c r="A852" t="str">
        <f>"20190303161857162"</f>
        <v>20190303161857162</v>
      </c>
      <c r="B852" t="str">
        <f>"1551601137154210"</f>
        <v>1551601137154210</v>
      </c>
      <c r="C852" t="s">
        <v>40</v>
      </c>
      <c r="D852">
        <v>3.9132440000000002</v>
      </c>
      <c r="E852">
        <v>0.53706229999999999</v>
      </c>
      <c r="F852" t="s">
        <v>43</v>
      </c>
      <c r="G852">
        <v>-169.2955</v>
      </c>
      <c r="H852">
        <v>1.466558</v>
      </c>
      <c r="I852">
        <v>354.22649999999999</v>
      </c>
      <c r="J852">
        <v>-331.78050000000002</v>
      </c>
      <c r="K852">
        <v>1.1212249999999999</v>
      </c>
      <c r="L852">
        <v>367.06880000000001</v>
      </c>
      <c r="M852">
        <v>0.99991739999999996</v>
      </c>
      <c r="N852">
        <v>-1.199337E-2</v>
      </c>
      <c r="O852">
        <v>4.6277849999999997E-3</v>
      </c>
      <c r="P852">
        <v>0.98723970000000005</v>
      </c>
      <c r="Q852">
        <v>0.15827749999999999</v>
      </c>
      <c r="R852">
        <v>1.7494240000000001E-2</v>
      </c>
      <c r="S852">
        <v>3.0419619999999998</v>
      </c>
      <c r="T852">
        <v>6.4595939999999999E-3</v>
      </c>
      <c r="U852">
        <v>-0.24014279999999999</v>
      </c>
      <c r="V852">
        <v>-1.2929349999999999E-2</v>
      </c>
      <c r="W852">
        <v>0.17010710000000001</v>
      </c>
      <c r="X852">
        <v>0.98534080000000002</v>
      </c>
      <c r="Y852">
        <v>8.3311919999999998E-2</v>
      </c>
      <c r="Z852">
        <v>-3.4684000000000001E-4</v>
      </c>
      <c r="AA852">
        <v>0.99652339999999995</v>
      </c>
      <c r="AB852">
        <v>30</v>
      </c>
      <c r="AC852">
        <v>162.48500000000001</v>
      </c>
      <c r="AD852">
        <v>0.345333</v>
      </c>
      <c r="AE852">
        <v>-12.8423</v>
      </c>
      <c r="AF852">
        <v>13.5941011460423</v>
      </c>
      <c r="AG852">
        <v>0.345333</v>
      </c>
      <c r="AH852">
        <v>162.42309503320399</v>
      </c>
      <c r="AI852">
        <v>89.8786062078984</v>
      </c>
      <c r="AJ852">
        <v>85.215744759816602</v>
      </c>
      <c r="AK852">
        <v>162.99135143011401</v>
      </c>
      <c r="AL852">
        <v>80.205954290668004</v>
      </c>
      <c r="AM852">
        <v>90.751775096128895</v>
      </c>
      <c r="AN852">
        <v>1.0000000428532301</v>
      </c>
    </row>
    <row r="853" spans="1:40" x14ac:dyDescent="0.25">
      <c r="A853" t="str">
        <f>"20190303161857175"</f>
        <v>20190303161857175</v>
      </c>
      <c r="B853" t="str">
        <f>"1551601137163970"</f>
        <v>1551601137163970</v>
      </c>
      <c r="C853" t="s">
        <v>40</v>
      </c>
      <c r="D853">
        <v>3.8865720000000001</v>
      </c>
      <c r="E853">
        <v>0.53697879999999998</v>
      </c>
      <c r="F853" t="s">
        <v>43</v>
      </c>
      <c r="G853">
        <v>-169.2955</v>
      </c>
      <c r="H853">
        <v>1.5874820000000001</v>
      </c>
      <c r="I853">
        <v>354.27460000000002</v>
      </c>
      <c r="J853">
        <v>-331.61579999999998</v>
      </c>
      <c r="K853">
        <v>1.121229</v>
      </c>
      <c r="L853">
        <v>367.06959999999998</v>
      </c>
      <c r="M853">
        <v>0.99991739999999996</v>
      </c>
      <c r="N853">
        <v>-1.199354E-2</v>
      </c>
      <c r="O853">
        <v>4.6453070000000004E-3</v>
      </c>
      <c r="P853">
        <v>0.98721170000000003</v>
      </c>
      <c r="Q853">
        <v>0.15841420000000001</v>
      </c>
      <c r="R853">
        <v>1.7843899999999999E-2</v>
      </c>
      <c r="S853">
        <v>3.0416259999999999</v>
      </c>
      <c r="T853">
        <v>8.7296960000000003E-3</v>
      </c>
      <c r="U853">
        <v>-0.23950199999999999</v>
      </c>
      <c r="V853">
        <v>-1.326169E-2</v>
      </c>
      <c r="W853">
        <v>0.17024329999999999</v>
      </c>
      <c r="X853">
        <v>0.98531279999999999</v>
      </c>
      <c r="Y853">
        <v>8.312949E-2</v>
      </c>
      <c r="Z853">
        <v>-3.1124499999999998E-4</v>
      </c>
      <c r="AA853">
        <v>0.9965387</v>
      </c>
      <c r="AB853">
        <v>30</v>
      </c>
      <c r="AC853">
        <v>162.32029999999901</v>
      </c>
      <c r="AD853">
        <v>0.46625299999999997</v>
      </c>
      <c r="AE853">
        <v>-12.7949999999999</v>
      </c>
      <c r="AF853">
        <v>13.5488326060036</v>
      </c>
      <c r="AG853">
        <v>0.46625299999999997</v>
      </c>
      <c r="AH853">
        <v>162.25777692835601</v>
      </c>
      <c r="AI853">
        <v>89.835930164219207</v>
      </c>
      <c r="AJ853">
        <v>85.226766912680503</v>
      </c>
      <c r="AK853">
        <v>162.82313849873299</v>
      </c>
      <c r="AL853">
        <v>80.1980345097992</v>
      </c>
      <c r="AM853">
        <v>90.771118560943407</v>
      </c>
      <c r="AN853">
        <v>0.99999998373019205</v>
      </c>
    </row>
    <row r="854" spans="1:40" x14ac:dyDescent="0.25">
      <c r="A854" t="str">
        <f>"20190303161857187"</f>
        <v>20190303161857187</v>
      </c>
      <c r="B854" t="str">
        <f>"1551601137173731"</f>
        <v>1551601137173731</v>
      </c>
      <c r="C854" t="s">
        <v>40</v>
      </c>
      <c r="D854">
        <v>3.9402879999999998</v>
      </c>
      <c r="E854">
        <v>0.53700199999999998</v>
      </c>
      <c r="F854" t="s">
        <v>43</v>
      </c>
      <c r="G854">
        <v>-169.2955</v>
      </c>
      <c r="H854">
        <v>1.604651</v>
      </c>
      <c r="I854">
        <v>354.3766</v>
      </c>
      <c r="J854">
        <v>-331.4479</v>
      </c>
      <c r="K854">
        <v>1.1212279999999999</v>
      </c>
      <c r="L854">
        <v>367.07040000000001</v>
      </c>
      <c r="M854">
        <v>0.99991739999999996</v>
      </c>
      <c r="N854">
        <v>-1.1993709999999999E-2</v>
      </c>
      <c r="O854">
        <v>4.6631270000000004E-3</v>
      </c>
      <c r="P854">
        <v>0.9871858</v>
      </c>
      <c r="Q854">
        <v>0.15858620000000001</v>
      </c>
      <c r="R854">
        <v>1.7742999999999998E-2</v>
      </c>
      <c r="S854">
        <v>3.0417179999999999</v>
      </c>
      <c r="T854">
        <v>9.0605019999999998E-3</v>
      </c>
      <c r="U854">
        <v>-0.23785400000000001</v>
      </c>
      <c r="V854">
        <v>-1.314336E-2</v>
      </c>
      <c r="W854">
        <v>0.17041579999999901</v>
      </c>
      <c r="X854">
        <v>0.98528459999999995</v>
      </c>
      <c r="Y854">
        <v>8.2608299999999996E-2</v>
      </c>
      <c r="Z854">
        <v>-3.0360089999999999E-4</v>
      </c>
      <c r="AA854">
        <v>0.99658199999999997</v>
      </c>
      <c r="AB854">
        <v>30</v>
      </c>
      <c r="AC854">
        <v>162.1524</v>
      </c>
      <c r="AD854">
        <v>0.48342299999999999</v>
      </c>
      <c r="AE854">
        <v>-12.6938</v>
      </c>
      <c r="AF854">
        <v>13.449734627243901</v>
      </c>
      <c r="AG854">
        <v>0.48342299999999999</v>
      </c>
      <c r="AH854">
        <v>162.09000781435</v>
      </c>
      <c r="AI854">
        <v>89.829704784541093</v>
      </c>
      <c r="AJ854">
        <v>85.256637291102905</v>
      </c>
      <c r="AK854">
        <v>162.64777801309299</v>
      </c>
      <c r="AL854">
        <v>80.188004758079501</v>
      </c>
      <c r="AM854">
        <v>90.764260796645402</v>
      </c>
      <c r="AN854">
        <v>1.0000000178994399</v>
      </c>
    </row>
    <row r="855" spans="1:40" x14ac:dyDescent="0.25">
      <c r="A855" t="str">
        <f>"20190303161857201"</f>
        <v>20190303161857201</v>
      </c>
      <c r="B855" t="str">
        <f>"1551601137193250"</f>
        <v>1551601137193250</v>
      </c>
      <c r="C855" t="s">
        <v>40</v>
      </c>
      <c r="D855">
        <v>3.8847200000000002</v>
      </c>
      <c r="E855">
        <v>0.53702930000000004</v>
      </c>
      <c r="F855" t="s">
        <v>43</v>
      </c>
      <c r="G855">
        <v>-169.2955</v>
      </c>
      <c r="H855">
        <v>1.6091279999999999</v>
      </c>
      <c r="I855">
        <v>354.36290000000002</v>
      </c>
      <c r="J855">
        <v>-331.25850000000003</v>
      </c>
      <c r="K855">
        <v>1.121235</v>
      </c>
      <c r="L855">
        <v>367.07130000000001</v>
      </c>
      <c r="M855">
        <v>0.9999171</v>
      </c>
      <c r="N855">
        <v>-1.199391E-2</v>
      </c>
      <c r="O855">
        <v>4.6829769999999996E-3</v>
      </c>
      <c r="P855">
        <v>0.9871624</v>
      </c>
      <c r="Q855">
        <v>0.15868860000000001</v>
      </c>
      <c r="R855">
        <v>1.8120520000000001E-2</v>
      </c>
      <c r="S855">
        <v>3.0417179999999999</v>
      </c>
      <c r="T855">
        <v>9.153843E-3</v>
      </c>
      <c r="U855">
        <v>-0.2383728</v>
      </c>
      <c r="V855">
        <v>-1.3501590000000001E-2</v>
      </c>
      <c r="W855">
        <v>0.1705178</v>
      </c>
      <c r="X855">
        <v>0.98526210000000003</v>
      </c>
      <c r="Y855">
        <v>8.2797010000000004E-2</v>
      </c>
      <c r="Z855">
        <v>-3.0275719999999998E-4</v>
      </c>
      <c r="AA855">
        <v>0.99656639999999996</v>
      </c>
      <c r="AB855">
        <v>30</v>
      </c>
      <c r="AC855">
        <v>161.96299999999999</v>
      </c>
      <c r="AD855">
        <v>0.48789300000000002</v>
      </c>
      <c r="AE855">
        <v>-12.7083999999999</v>
      </c>
      <c r="AF855">
        <v>13.466662743316601</v>
      </c>
      <c r="AG855">
        <v>0.48789300000000002</v>
      </c>
      <c r="AH855">
        <v>161.900246205493</v>
      </c>
      <c r="AI855">
        <v>89.827931568465004</v>
      </c>
      <c r="AJ855">
        <v>85.2451533841447</v>
      </c>
      <c r="AK855">
        <v>162.46008360954701</v>
      </c>
      <c r="AL855">
        <v>80.182073694890306</v>
      </c>
      <c r="AM855">
        <v>90.785106527565901</v>
      </c>
      <c r="AN855">
        <v>1.00000000937288</v>
      </c>
    </row>
    <row r="856" spans="1:40" x14ac:dyDescent="0.25">
      <c r="A856" t="str">
        <f>"20190303161857212"</f>
        <v>20190303161857212</v>
      </c>
      <c r="B856" t="str">
        <f>"1551601137203985"</f>
        <v>1551601137203985</v>
      </c>
      <c r="C856" t="s">
        <v>40</v>
      </c>
      <c r="D856">
        <v>3.8679600000000001</v>
      </c>
      <c r="E856">
        <v>0.53703809999999996</v>
      </c>
      <c r="F856" t="s">
        <v>43</v>
      </c>
      <c r="G856">
        <v>-169.2955</v>
      </c>
      <c r="H856">
        <v>1.6304449999999999</v>
      </c>
      <c r="I856">
        <v>354.41520000000003</v>
      </c>
      <c r="J856">
        <v>-331.11360000000002</v>
      </c>
      <c r="K856">
        <v>1.1212340000000001</v>
      </c>
      <c r="L856">
        <v>367.072</v>
      </c>
      <c r="M856">
        <v>0.9999171</v>
      </c>
      <c r="N856">
        <v>-1.199414E-2</v>
      </c>
      <c r="O856">
        <v>4.6984110000000004E-3</v>
      </c>
      <c r="P856">
        <v>0.98712219999999995</v>
      </c>
      <c r="Q856">
        <v>0.15891759999999999</v>
      </c>
      <c r="R856">
        <v>1.831025E-2</v>
      </c>
      <c r="S856">
        <v>3.0419010000000002</v>
      </c>
      <c r="T856">
        <v>9.5653530000000004E-3</v>
      </c>
      <c r="U856">
        <v>-0.23770140000000001</v>
      </c>
      <c r="V856">
        <v>-1.3676280000000001E-2</v>
      </c>
      <c r="W856">
        <v>0.17074610000000001</v>
      </c>
      <c r="X856">
        <v>0.98522010000000004</v>
      </c>
      <c r="Y856">
        <v>8.2589129999999997E-2</v>
      </c>
      <c r="Z856">
        <v>-2.95388E-4</v>
      </c>
      <c r="AA856">
        <v>0.99658360000000001</v>
      </c>
      <c r="AB856">
        <v>30</v>
      </c>
      <c r="AC856">
        <v>161.81809999999999</v>
      </c>
      <c r="AD856">
        <v>0.50921099999999997</v>
      </c>
      <c r="AE856">
        <v>-12.656799999999899</v>
      </c>
      <c r="AF856">
        <v>13.416870808152201</v>
      </c>
      <c r="AG856">
        <v>0.50921099999999997</v>
      </c>
      <c r="AH856">
        <v>161.755250509955</v>
      </c>
      <c r="AI856">
        <v>89.820248820074795</v>
      </c>
      <c r="AJ856">
        <v>85.258426741763301</v>
      </c>
      <c r="AK856">
        <v>162.31153004535199</v>
      </c>
      <c r="AL856">
        <v>80.168797877519495</v>
      </c>
      <c r="AM856">
        <v>90.795297211132507</v>
      </c>
      <c r="AN856">
        <v>0.99999995837192801</v>
      </c>
    </row>
    <row r="857" spans="1:40" x14ac:dyDescent="0.25">
      <c r="A857" t="str">
        <f>"20190303161857223"</f>
        <v>20190303161857223</v>
      </c>
      <c r="B857" t="str">
        <f>"1551601137213746"</f>
        <v>1551601137213746</v>
      </c>
      <c r="C857" t="s">
        <v>40</v>
      </c>
      <c r="D857">
        <v>3.8931650000000002</v>
      </c>
      <c r="E857">
        <v>0.53705080000000005</v>
      </c>
      <c r="F857" t="s">
        <v>43</v>
      </c>
      <c r="G857">
        <v>-169.2955</v>
      </c>
      <c r="H857">
        <v>1.65090299999999</v>
      </c>
      <c r="I857">
        <v>354.46769999999998</v>
      </c>
      <c r="J857">
        <v>-330.96570000000003</v>
      </c>
      <c r="K857">
        <v>1.121235</v>
      </c>
      <c r="L857">
        <v>367.0727</v>
      </c>
      <c r="M857">
        <v>0.9999171</v>
      </c>
      <c r="N857">
        <v>-1.199442E-2</v>
      </c>
      <c r="O857">
        <v>4.7143810000000001E-3</v>
      </c>
      <c r="P857">
        <v>0.98712679999999997</v>
      </c>
      <c r="Q857">
        <v>0.158855</v>
      </c>
      <c r="R857">
        <v>1.8605409999999999E-2</v>
      </c>
      <c r="S857">
        <v>3.0419010000000002</v>
      </c>
      <c r="T857">
        <v>9.9585060000000006E-3</v>
      </c>
      <c r="U857">
        <v>-0.2369385</v>
      </c>
      <c r="V857">
        <v>-1.3955489999999999E-2</v>
      </c>
      <c r="W857">
        <v>0.17068449999999999</v>
      </c>
      <c r="X857">
        <v>0.98522690000000002</v>
      </c>
      <c r="Y857">
        <v>8.2356600000000002E-2</v>
      </c>
      <c r="Z857">
        <v>-2.8819579999999999E-4</v>
      </c>
      <c r="AA857">
        <v>0.99660289999999996</v>
      </c>
      <c r="AB857">
        <v>30</v>
      </c>
      <c r="AC857">
        <v>161.67019999999999</v>
      </c>
      <c r="AD857">
        <v>0.52966799999999903</v>
      </c>
      <c r="AE857">
        <v>-12.605</v>
      </c>
      <c r="AF857">
        <v>13.366946931251199</v>
      </c>
      <c r="AG857">
        <v>0.52966799999999903</v>
      </c>
      <c r="AH857">
        <v>161.60724994682599</v>
      </c>
      <c r="AI857">
        <v>89.812852746153595</v>
      </c>
      <c r="AJ857">
        <v>85.271683371570404</v>
      </c>
      <c r="AK857">
        <v>162.159979815702</v>
      </c>
      <c r="AL857">
        <v>80.172380286899198</v>
      </c>
      <c r="AM857">
        <v>90.811525962021705</v>
      </c>
      <c r="AN857">
        <v>0.99999999936249995</v>
      </c>
    </row>
    <row r="858" spans="1:40" x14ac:dyDescent="0.25">
      <c r="A858" t="str">
        <f>"20190303161857236"</f>
        <v>20190303161857236</v>
      </c>
      <c r="B858" t="str">
        <f>"1551601137223506"</f>
        <v>1551601137223506</v>
      </c>
      <c r="C858" t="s">
        <v>40</v>
      </c>
      <c r="D858">
        <v>3.8936030000000001</v>
      </c>
      <c r="E858">
        <v>0.53717519999999996</v>
      </c>
      <c r="F858" t="s">
        <v>43</v>
      </c>
      <c r="G858">
        <v>-169.2955</v>
      </c>
      <c r="H858">
        <v>1.66745099999999</v>
      </c>
      <c r="I858">
        <v>354.5077</v>
      </c>
      <c r="J858">
        <v>-330.8075</v>
      </c>
      <c r="K858">
        <v>1.1212310000000001</v>
      </c>
      <c r="L858">
        <v>367.07350000000002</v>
      </c>
      <c r="M858">
        <v>0.9999169</v>
      </c>
      <c r="N858">
        <v>-1.1994650000000001E-2</v>
      </c>
      <c r="O858">
        <v>4.731542E-3</v>
      </c>
      <c r="P858">
        <v>0.98709639999999998</v>
      </c>
      <c r="Q858">
        <v>0.159039299999999</v>
      </c>
      <c r="R858">
        <v>1.8634669999999999E-2</v>
      </c>
      <c r="S858">
        <v>3.0419309999999999</v>
      </c>
      <c r="T858">
        <v>1.027906E-2</v>
      </c>
      <c r="U858">
        <v>-0.23641970000000001</v>
      </c>
      <c r="V858">
        <v>-1.3967719999999999E-2</v>
      </c>
      <c r="W858">
        <v>0.17086870000000001</v>
      </c>
      <c r="X858">
        <v>0.98519480000000004</v>
      </c>
      <c r="Y858">
        <v>8.2204009999999994E-2</v>
      </c>
      <c r="Z858">
        <v>-2.8244979999999999E-4</v>
      </c>
      <c r="AA858">
        <v>0.99661549999999999</v>
      </c>
      <c r="AB858">
        <v>30</v>
      </c>
      <c r="AC858">
        <v>161.512</v>
      </c>
      <c r="AD858">
        <v>0.54621999999999904</v>
      </c>
      <c r="AE858">
        <v>-12.565799999999999</v>
      </c>
      <c r="AF858">
        <v>13.3297635462662</v>
      </c>
      <c r="AG858">
        <v>0.54621999999999904</v>
      </c>
      <c r="AH858">
        <v>161.44889648133</v>
      </c>
      <c r="AI858">
        <v>89.8068128229161</v>
      </c>
      <c r="AJ858">
        <v>85.280173000198502</v>
      </c>
      <c r="AK858">
        <v>161.99915779881999</v>
      </c>
      <c r="AL858">
        <v>80.161669079023994</v>
      </c>
      <c r="AM858">
        <v>90.812263514823101</v>
      </c>
      <c r="AN858">
        <v>1.00000000189436</v>
      </c>
    </row>
    <row r="859" spans="1:40" x14ac:dyDescent="0.25">
      <c r="A859" t="str">
        <f>"20190303161857246"</f>
        <v>20190303161857246</v>
      </c>
      <c r="B859" t="str">
        <f>"1551601137234242"</f>
        <v>1551601137234242</v>
      </c>
      <c r="C859" t="s">
        <v>40</v>
      </c>
      <c r="D859">
        <v>3.90795</v>
      </c>
      <c r="E859">
        <v>0.53720610000000002</v>
      </c>
      <c r="F859" t="s">
        <v>43</v>
      </c>
      <c r="G859">
        <v>-169.2955</v>
      </c>
      <c r="H859">
        <v>1.623024</v>
      </c>
      <c r="I859">
        <v>354.46359999999999</v>
      </c>
      <c r="J859">
        <v>-330.65690000000001</v>
      </c>
      <c r="K859">
        <v>1.121232</v>
      </c>
      <c r="L859">
        <v>367.07420000000002</v>
      </c>
      <c r="M859">
        <v>0.9999169</v>
      </c>
      <c r="N859">
        <v>-1.199485E-2</v>
      </c>
      <c r="O859">
        <v>4.7476920000000004E-3</v>
      </c>
      <c r="P859">
        <v>0.98708839999999998</v>
      </c>
      <c r="Q859">
        <v>0.15906579999999901</v>
      </c>
      <c r="R859">
        <v>1.8831629999999999E-2</v>
      </c>
      <c r="S859">
        <v>3.0422060000000002</v>
      </c>
      <c r="T859">
        <v>9.4532969999999994E-3</v>
      </c>
      <c r="U859">
        <v>-0.23751829999999999</v>
      </c>
      <c r="V859">
        <v>-1.414899E-2</v>
      </c>
      <c r="W859">
        <v>0.17089460000000001</v>
      </c>
      <c r="X859">
        <v>0.9851877</v>
      </c>
      <c r="Y859">
        <v>8.2570859999999996E-2</v>
      </c>
      <c r="Z859">
        <v>-2.962935E-4</v>
      </c>
      <c r="AA859">
        <v>0.9965851</v>
      </c>
      <c r="AB859">
        <v>30</v>
      </c>
      <c r="AC859">
        <v>161.3614</v>
      </c>
      <c r="AD859">
        <v>0.50179200000000002</v>
      </c>
      <c r="AE859">
        <v>-12.6106</v>
      </c>
      <c r="AF859">
        <v>13.376478541424801</v>
      </c>
      <c r="AG859">
        <v>0.50179200000000002</v>
      </c>
      <c r="AH859">
        <v>161.29815523120101</v>
      </c>
      <c r="AI859">
        <v>89.822365517346697</v>
      </c>
      <c r="AJ859">
        <v>85.259301049698493</v>
      </c>
      <c r="AK859">
        <v>161.85263931851401</v>
      </c>
      <c r="AL859">
        <v>80.160162760399103</v>
      </c>
      <c r="AM859">
        <v>90.822809381160795</v>
      </c>
      <c r="AN859">
        <v>0.99999998122923395</v>
      </c>
    </row>
    <row r="860" spans="1:40" x14ac:dyDescent="0.25">
      <c r="A860" t="str">
        <f>"20190303161857257"</f>
        <v>20190303161857257</v>
      </c>
      <c r="B860" t="str">
        <f>"1551601137244002"</f>
        <v>1551601137244002</v>
      </c>
      <c r="C860" t="s">
        <v>40</v>
      </c>
      <c r="D860">
        <v>3.8651810000000002</v>
      </c>
      <c r="E860">
        <v>0.53725080000000003</v>
      </c>
      <c r="F860" t="s">
        <v>43</v>
      </c>
      <c r="G860">
        <v>-169.2955</v>
      </c>
      <c r="H860">
        <v>1.595418</v>
      </c>
      <c r="I860">
        <v>354.51859999999999</v>
      </c>
      <c r="J860">
        <v>-330.51600000000002</v>
      </c>
      <c r="K860">
        <v>1.1212329999999999</v>
      </c>
      <c r="L860">
        <v>367.07490000000001</v>
      </c>
      <c r="M860">
        <v>0.99991669999999999</v>
      </c>
      <c r="N860">
        <v>-1.1994960000000001E-2</v>
      </c>
      <c r="O860">
        <v>4.7626539999999998E-3</v>
      </c>
      <c r="P860">
        <v>0.98708609999999997</v>
      </c>
      <c r="Q860">
        <v>0.15900989999999901</v>
      </c>
      <c r="R860">
        <v>1.9411339999999999E-2</v>
      </c>
      <c r="S860">
        <v>3.0423279999999999</v>
      </c>
      <c r="T860">
        <v>8.9420079999999996E-3</v>
      </c>
      <c r="U860">
        <v>-0.23672489999999999</v>
      </c>
      <c r="V860">
        <v>-1.4713800000000001E-2</v>
      </c>
      <c r="W860">
        <v>0.17083909999999999</v>
      </c>
      <c r="X860">
        <v>0.98518910000000004</v>
      </c>
      <c r="Y860">
        <v>8.2324270000000005E-2</v>
      </c>
      <c r="Z860">
        <v>-3.0267860000000001E-4</v>
      </c>
      <c r="AA860">
        <v>0.99660559999999998</v>
      </c>
      <c r="AB860">
        <v>30</v>
      </c>
      <c r="AC860">
        <v>161.22049999999899</v>
      </c>
      <c r="AD860">
        <v>0.47418500000000002</v>
      </c>
      <c r="AE860">
        <v>-12.5563</v>
      </c>
      <c r="AF860">
        <v>13.323935719746901</v>
      </c>
      <c r="AG860">
        <v>0.47418500000000002</v>
      </c>
      <c r="AH860">
        <v>161.15747990660401</v>
      </c>
      <c r="AI860">
        <v>89.831988312915897</v>
      </c>
      <c r="AJ860">
        <v>85.273734806034099</v>
      </c>
      <c r="AK860">
        <v>161.708025293508</v>
      </c>
      <c r="AL860">
        <v>80.163390606024095</v>
      </c>
      <c r="AM860">
        <v>90.855648898135399</v>
      </c>
      <c r="AN860">
        <v>1.00000002837902</v>
      </c>
    </row>
    <row r="861" spans="1:40" x14ac:dyDescent="0.25">
      <c r="A861" t="str">
        <f>"20190303161857268"</f>
        <v>20190303161857268</v>
      </c>
      <c r="B861" t="str">
        <f>"1551601137253763"</f>
        <v>1551601137253763</v>
      </c>
      <c r="C861" t="s">
        <v>40</v>
      </c>
      <c r="D861">
        <v>3.8787419999999999</v>
      </c>
      <c r="E861">
        <v>0.53726010000000002</v>
      </c>
      <c r="F861" t="s">
        <v>43</v>
      </c>
      <c r="G861">
        <v>-169.2955</v>
      </c>
      <c r="H861">
        <v>1.5522739999999999</v>
      </c>
      <c r="I861">
        <v>354.58800000000002</v>
      </c>
      <c r="J861">
        <v>-330.37389999999999</v>
      </c>
      <c r="K861">
        <v>1.1212329999999999</v>
      </c>
      <c r="L861">
        <v>367.07560000000001</v>
      </c>
      <c r="M861">
        <v>0.99991669999999999</v>
      </c>
      <c r="N861">
        <v>-1.199505E-2</v>
      </c>
      <c r="O861">
        <v>4.7771350000000001E-3</v>
      </c>
      <c r="P861">
        <v>0.98705080000000001</v>
      </c>
      <c r="Q861">
        <v>0.15919939999999999</v>
      </c>
      <c r="R861">
        <v>1.9661459999999999E-2</v>
      </c>
      <c r="S861">
        <v>3.0426030000000002</v>
      </c>
      <c r="T861">
        <v>8.1363919999999992E-3</v>
      </c>
      <c r="U861">
        <v>-0.2356567</v>
      </c>
      <c r="V861">
        <v>-1.4950059999999999E-2</v>
      </c>
      <c r="W861">
        <v>0.1710285</v>
      </c>
      <c r="X861">
        <v>0.98515269999999999</v>
      </c>
      <c r="Y861">
        <v>8.1983909999999993E-2</v>
      </c>
      <c r="Z861">
        <v>-3.1302439999999999E-4</v>
      </c>
      <c r="AA861">
        <v>0.99663360000000001</v>
      </c>
      <c r="AB861">
        <v>30</v>
      </c>
      <c r="AC861">
        <v>161.07839999999999</v>
      </c>
      <c r="AD861">
        <v>0.43104100000000001</v>
      </c>
      <c r="AE861">
        <v>-12.487599999999899</v>
      </c>
      <c r="AF861">
        <v>13.2569117098001</v>
      </c>
      <c r="AG861">
        <v>0.43104100000000001</v>
      </c>
      <c r="AH861">
        <v>161.01575638277899</v>
      </c>
      <c r="AI861">
        <v>89.847136150367106</v>
      </c>
      <c r="AJ861">
        <v>85.293282097382104</v>
      </c>
      <c r="AK861">
        <v>161.56115036710901</v>
      </c>
      <c r="AL861">
        <v>80.152376875832701</v>
      </c>
      <c r="AM861">
        <v>90.869418107887896</v>
      </c>
      <c r="AN861">
        <v>1.00000004721177</v>
      </c>
    </row>
    <row r="862" spans="1:40" x14ac:dyDescent="0.25">
      <c r="A862" t="str">
        <f>"20190303161857280"</f>
        <v>20190303161857280</v>
      </c>
      <c r="B862" t="str">
        <f>"1551601137274258"</f>
        <v>1551601137274258</v>
      </c>
      <c r="C862" t="s">
        <v>40</v>
      </c>
      <c r="D862">
        <v>3.9254739999999999</v>
      </c>
      <c r="E862">
        <v>0.53735630000000001</v>
      </c>
      <c r="F862" t="s">
        <v>43</v>
      </c>
      <c r="G862">
        <v>-169.2955</v>
      </c>
      <c r="H862">
        <v>1.62886</v>
      </c>
      <c r="I862">
        <v>354.62509999999997</v>
      </c>
      <c r="J862">
        <v>-330.21620000000001</v>
      </c>
      <c r="K862">
        <v>1.121235</v>
      </c>
      <c r="L862">
        <v>367.07639999999998</v>
      </c>
      <c r="M862">
        <v>0.99991669999999999</v>
      </c>
      <c r="N862">
        <v>-1.199511E-2</v>
      </c>
      <c r="O862">
        <v>4.7929189999999997E-3</v>
      </c>
      <c r="P862">
        <v>0.98708940000000001</v>
      </c>
      <c r="Q862">
        <v>0.1589042</v>
      </c>
      <c r="R862">
        <v>2.0103090000000001E-2</v>
      </c>
      <c r="S862">
        <v>3.0424799999999999</v>
      </c>
      <c r="T862">
        <v>9.5897910000000003E-3</v>
      </c>
      <c r="U862">
        <v>-0.2351685</v>
      </c>
      <c r="V862">
        <v>-1.537552E-2</v>
      </c>
      <c r="W862">
        <v>0.17073389999999999</v>
      </c>
      <c r="X862">
        <v>0.9851972</v>
      </c>
      <c r="Y862">
        <v>8.1843819999999998E-2</v>
      </c>
      <c r="Z862">
        <v>-2.9032569999999999E-4</v>
      </c>
      <c r="AA862">
        <v>0.99664520000000001</v>
      </c>
      <c r="AB862">
        <v>30</v>
      </c>
      <c r="AC862">
        <v>160.92070000000001</v>
      </c>
      <c r="AD862">
        <v>0.50762499999999999</v>
      </c>
      <c r="AE862">
        <v>-12.4513</v>
      </c>
      <c r="AF862">
        <v>13.222361443731099</v>
      </c>
      <c r="AG862">
        <v>0.50762499999999999</v>
      </c>
      <c r="AH862">
        <v>160.85757787371</v>
      </c>
      <c r="AI862">
        <v>89.819797665695205</v>
      </c>
      <c r="AJ862">
        <v>85.300898228297299</v>
      </c>
      <c r="AK862">
        <v>161.40089493149</v>
      </c>
      <c r="AL862">
        <v>80.169507687243396</v>
      </c>
      <c r="AM862">
        <v>90.894116316484002</v>
      </c>
      <c r="AN862">
        <v>0.99999999705616005</v>
      </c>
    </row>
    <row r="863" spans="1:40" x14ac:dyDescent="0.25">
      <c r="A863" t="str">
        <f>"20190303161857292"</f>
        <v>20190303161857292</v>
      </c>
      <c r="B863" t="str">
        <f>"1551601137284018"</f>
        <v>1551601137284018</v>
      </c>
      <c r="C863" t="s">
        <v>40</v>
      </c>
      <c r="D863">
        <v>3.9726729999999999</v>
      </c>
      <c r="E863">
        <v>0.53735630000000001</v>
      </c>
      <c r="F863" t="s">
        <v>43</v>
      </c>
      <c r="G863">
        <v>-169.2955</v>
      </c>
      <c r="H863">
        <v>1.6221410000000001</v>
      </c>
      <c r="I863">
        <v>354.65899999999999</v>
      </c>
      <c r="J863">
        <v>-330.0591</v>
      </c>
      <c r="K863">
        <v>1.121235</v>
      </c>
      <c r="L863">
        <v>367.07709999999997</v>
      </c>
      <c r="M863">
        <v>0.99991640000000004</v>
      </c>
      <c r="N863">
        <v>-1.199516E-2</v>
      </c>
      <c r="O863">
        <v>4.8076869999999997E-3</v>
      </c>
      <c r="P863">
        <v>0.98709930000000001</v>
      </c>
      <c r="Q863">
        <v>0.158807</v>
      </c>
      <c r="R863">
        <v>2.0383930000000001E-2</v>
      </c>
      <c r="S863">
        <v>3.0424799999999999</v>
      </c>
      <c r="T863">
        <v>9.4721319999999994E-3</v>
      </c>
      <c r="U863">
        <v>-0.2347717</v>
      </c>
      <c r="V863">
        <v>-1.5641220000000001E-2</v>
      </c>
      <c r="W863">
        <v>0.1706366</v>
      </c>
      <c r="X863">
        <v>0.98520989999999997</v>
      </c>
      <c r="Y863">
        <v>8.1729339999999998E-2</v>
      </c>
      <c r="Z863">
        <v>-2.9135689999999998E-4</v>
      </c>
      <c r="AA863">
        <v>0.9966545</v>
      </c>
      <c r="AB863">
        <v>30</v>
      </c>
      <c r="AC863">
        <v>160.7636</v>
      </c>
      <c r="AD863">
        <v>0.50090599999999996</v>
      </c>
      <c r="AE863">
        <v>-12.4180999999999</v>
      </c>
      <c r="AF863">
        <v>13.1907859199565</v>
      </c>
      <c r="AG863">
        <v>0.50090599999999996</v>
      </c>
      <c r="AH863">
        <v>160.700484296116</v>
      </c>
      <c r="AI863">
        <v>89.822007323697505</v>
      </c>
      <c r="AJ863">
        <v>85.307507540251507</v>
      </c>
      <c r="AK863">
        <v>161.24172348686</v>
      </c>
      <c r="AL863">
        <v>80.175165840859506</v>
      </c>
      <c r="AM863">
        <v>90.909552990308597</v>
      </c>
      <c r="AN863">
        <v>1.00000002204032</v>
      </c>
    </row>
    <row r="864" spans="1:40" x14ac:dyDescent="0.25">
      <c r="A864" t="str">
        <f>"20190303161857303"</f>
        <v>20190303161857303</v>
      </c>
      <c r="B864" t="str">
        <f>"1551601137293778"</f>
        <v>1551601137293778</v>
      </c>
      <c r="C864" t="s">
        <v>40</v>
      </c>
      <c r="D864">
        <v>4.0008599999999896</v>
      </c>
      <c r="E864">
        <v>0.52315119999999904</v>
      </c>
      <c r="F864" t="s">
        <v>43</v>
      </c>
      <c r="G864">
        <v>-169.2955</v>
      </c>
      <c r="H864">
        <v>1.6089800000000001</v>
      </c>
      <c r="I864">
        <v>354.72059999999999</v>
      </c>
      <c r="J864">
        <v>-329.90589999999997</v>
      </c>
      <c r="K864">
        <v>1.1212299999999999</v>
      </c>
      <c r="L864">
        <v>367.0779</v>
      </c>
      <c r="M864">
        <v>0.99991640000000004</v>
      </c>
      <c r="N864">
        <v>-1.1995199999999999E-2</v>
      </c>
      <c r="O864">
        <v>4.8213199999999996E-3</v>
      </c>
      <c r="P864">
        <v>0.98707860000000003</v>
      </c>
      <c r="Q864">
        <v>0.15889979999999901</v>
      </c>
      <c r="R864">
        <v>2.0662110000000001E-2</v>
      </c>
      <c r="S864">
        <v>3.0425420000000001</v>
      </c>
      <c r="T864">
        <v>9.2325210000000005E-3</v>
      </c>
      <c r="U864">
        <v>-0.23385619999999999</v>
      </c>
      <c r="V864">
        <v>-1.590544E-2</v>
      </c>
      <c r="W864">
        <v>0.17072970000000001</v>
      </c>
      <c r="X864">
        <v>0.9851896</v>
      </c>
      <c r="Y864">
        <v>8.144324E-2</v>
      </c>
      <c r="Z864">
        <v>-2.934554E-4</v>
      </c>
      <c r="AA864">
        <v>0.99667790000000001</v>
      </c>
      <c r="AB864">
        <v>30</v>
      </c>
      <c r="AC864">
        <v>160.610399999999</v>
      </c>
      <c r="AD864">
        <v>0.48774999999999902</v>
      </c>
      <c r="AE864">
        <v>-12.3573</v>
      </c>
      <c r="AF864">
        <v>13.131445836376001</v>
      </c>
      <c r="AG864">
        <v>0.48774999999999902</v>
      </c>
      <c r="AH864">
        <v>160.54747829883399</v>
      </c>
      <c r="AI864">
        <v>89.8265128774093</v>
      </c>
      <c r="AJ864">
        <v>85.324091245831696</v>
      </c>
      <c r="AK864">
        <v>161.084342994379</v>
      </c>
      <c r="AL864">
        <v>80.169752745950007</v>
      </c>
      <c r="AM864">
        <v>90.924934062156197</v>
      </c>
      <c r="AN864">
        <v>1.00000008071591</v>
      </c>
    </row>
    <row r="865" spans="1:40" x14ac:dyDescent="0.25">
      <c r="A865" t="str">
        <f>"20190303161857315"</f>
        <v>20190303161857315</v>
      </c>
      <c r="B865" t="str">
        <f>"1551601137303539"</f>
        <v>1551601137303539</v>
      </c>
      <c r="C865" t="s">
        <v>40</v>
      </c>
      <c r="D865">
        <v>3.9632269999999998</v>
      </c>
      <c r="E865">
        <v>0.52315119999999904</v>
      </c>
      <c r="F865" t="s">
        <v>43</v>
      </c>
      <c r="G865">
        <v>-158.19499999999999</v>
      </c>
      <c r="H865">
        <v>0.83638380000000001</v>
      </c>
      <c r="I865">
        <v>360.31639999999999</v>
      </c>
      <c r="J865">
        <v>-329.76310000000001</v>
      </c>
      <c r="K865">
        <v>1.121229</v>
      </c>
      <c r="L865">
        <v>367.07859999999999</v>
      </c>
      <c r="M865">
        <v>0.99991640000000004</v>
      </c>
      <c r="N865">
        <v>-1.1995240000000001E-2</v>
      </c>
      <c r="O865">
        <v>4.8320809999999898E-3</v>
      </c>
      <c r="P865">
        <v>0.98709089999999999</v>
      </c>
      <c r="Q865">
        <v>0.15880849999999999</v>
      </c>
      <c r="R865">
        <v>2.0768680000000001E-2</v>
      </c>
      <c r="S865">
        <v>3.0426329999999999</v>
      </c>
      <c r="T865">
        <v>-5.0457719999999996E-3</v>
      </c>
      <c r="U865">
        <v>-0.119812</v>
      </c>
      <c r="V865">
        <v>-1.6000589999999999E-2</v>
      </c>
      <c r="W865">
        <v>0.1706385</v>
      </c>
      <c r="X865">
        <v>0.98520379999999996</v>
      </c>
      <c r="Y865">
        <v>4.4174720000000001E-2</v>
      </c>
      <c r="Z865">
        <v>-2.5174110000000002E-4</v>
      </c>
      <c r="AA865">
        <v>0.99902380000000002</v>
      </c>
      <c r="AB865">
        <v>30</v>
      </c>
      <c r="AC865">
        <v>171.56809999999999</v>
      </c>
      <c r="AD865">
        <v>-0.28484520000000002</v>
      </c>
      <c r="AE865">
        <v>-6.7622</v>
      </c>
      <c r="AF865">
        <v>7.5911907390475903</v>
      </c>
      <c r="AG865">
        <v>-0.28484520000000002</v>
      </c>
      <c r="AH865">
        <v>171.532946796548</v>
      </c>
      <c r="AI865">
        <v>90.095051444856793</v>
      </c>
      <c r="AJ865">
        <v>87.466028620223398</v>
      </c>
      <c r="AK865">
        <v>171.701074983041</v>
      </c>
      <c r="AL865">
        <v>80.175055358613506</v>
      </c>
      <c r="AM865">
        <v>90.930452851845004</v>
      </c>
      <c r="AN865">
        <v>1.0000000220485099</v>
      </c>
    </row>
    <row r="866" spans="1:40" x14ac:dyDescent="0.25">
      <c r="A866" t="str">
        <f>"20190303161857326"</f>
        <v>20190303161857326</v>
      </c>
      <c r="B866" t="str">
        <f>"1551601137314274"</f>
        <v>1551601137314274</v>
      </c>
      <c r="C866" t="s">
        <v>40</v>
      </c>
      <c r="D866">
        <v>3.948601</v>
      </c>
      <c r="E866">
        <v>0.5083162</v>
      </c>
      <c r="F866" t="s">
        <v>43</v>
      </c>
      <c r="G866">
        <v>-158.19499999999999</v>
      </c>
      <c r="H866">
        <v>0.82183549999999905</v>
      </c>
      <c r="I866">
        <v>360.35019999999997</v>
      </c>
      <c r="J866">
        <v>-329.60239999999999</v>
      </c>
      <c r="K866">
        <v>1.1212279999999999</v>
      </c>
      <c r="L866">
        <v>367.07940000000002</v>
      </c>
      <c r="M866">
        <v>0.99991629999999998</v>
      </c>
      <c r="N866">
        <v>-1.199529E-2</v>
      </c>
      <c r="O866">
        <v>4.8434309999999996E-3</v>
      </c>
      <c r="P866">
        <v>0.98713450000000003</v>
      </c>
      <c r="Q866">
        <v>0.15853010000000001</v>
      </c>
      <c r="R866">
        <v>2.0830769999999998E-2</v>
      </c>
      <c r="S866">
        <v>3.0426030000000002</v>
      </c>
      <c r="T866">
        <v>-5.307913E-3</v>
      </c>
      <c r="U866">
        <v>-0.1193237</v>
      </c>
      <c r="V866">
        <v>-1.6050229999999999E-2</v>
      </c>
      <c r="W866">
        <v>0.1703604</v>
      </c>
      <c r="X866">
        <v>0.98525110000000005</v>
      </c>
      <c r="Y866">
        <v>4.402636E-2</v>
      </c>
      <c r="Z866">
        <v>-2.5292419999999998E-4</v>
      </c>
      <c r="AA866">
        <v>0.99903039999999999</v>
      </c>
      <c r="AB866">
        <v>30</v>
      </c>
      <c r="AC866">
        <v>171.4074</v>
      </c>
      <c r="AD866">
        <v>-0.29939250000000001</v>
      </c>
      <c r="AE866">
        <v>-6.7292000000000396</v>
      </c>
      <c r="AF866">
        <v>7.5593576998496204</v>
      </c>
      <c r="AG866">
        <v>-0.29939250000000001</v>
      </c>
      <c r="AH866">
        <v>171.372272400312</v>
      </c>
      <c r="AI866">
        <v>90.100000103003495</v>
      </c>
      <c r="AJ866">
        <v>87.474278082138696</v>
      </c>
      <c r="AK866">
        <v>171.539177077278</v>
      </c>
      <c r="AL866">
        <v>80.191225900571396</v>
      </c>
      <c r="AM866">
        <v>90.933294165656406</v>
      </c>
      <c r="AN866">
        <v>1.0000000029112099</v>
      </c>
    </row>
    <row r="867" spans="1:40" x14ac:dyDescent="0.25">
      <c r="A867" t="str">
        <f>"20190303161857340"</f>
        <v>20190303161857340</v>
      </c>
      <c r="B867" t="str">
        <f>"1551601137333794"</f>
        <v>1551601137333794</v>
      </c>
      <c r="C867" t="s">
        <v>40</v>
      </c>
      <c r="D867">
        <v>3.9220290000000002</v>
      </c>
      <c r="E867">
        <v>0.50877759999999905</v>
      </c>
      <c r="F867" t="s">
        <v>43</v>
      </c>
      <c r="G867">
        <v>-158.19499999999999</v>
      </c>
      <c r="H867">
        <v>2.9646400000000002</v>
      </c>
      <c r="I867">
        <v>367.00529999999998</v>
      </c>
      <c r="J867">
        <v>-329.41629999999998</v>
      </c>
      <c r="K867">
        <v>1.1212279999999999</v>
      </c>
      <c r="L867">
        <v>367.0804</v>
      </c>
      <c r="M867">
        <v>0.99991640000000004</v>
      </c>
      <c r="N867">
        <v>-1.199537E-2</v>
      </c>
      <c r="O867">
        <v>4.8527960000000004E-3</v>
      </c>
      <c r="P867">
        <v>0.98713329999999999</v>
      </c>
      <c r="Q867">
        <v>0.15850880000000001</v>
      </c>
      <c r="R867">
        <v>2.1046559999999999E-2</v>
      </c>
      <c r="S867">
        <v>3.0339049999999999</v>
      </c>
      <c r="T867">
        <v>3.2629850000000002E-2</v>
      </c>
      <c r="U867">
        <v>-1.3122559999999999E-3</v>
      </c>
      <c r="V867">
        <v>-1.6255599999999999E-2</v>
      </c>
      <c r="W867">
        <v>0.17033970000000001</v>
      </c>
      <c r="X867">
        <v>0.98525130000000005</v>
      </c>
      <c r="Y867">
        <v>5.2844490000000001E-3</v>
      </c>
      <c r="Z867">
        <v>1.0712119999999999E-4</v>
      </c>
      <c r="AA867">
        <v>0.99998609999999999</v>
      </c>
      <c r="AB867">
        <v>30</v>
      </c>
      <c r="AC867">
        <v>171.22130000000001</v>
      </c>
      <c r="AD867">
        <v>1.8434119999999901</v>
      </c>
      <c r="AE867">
        <v>-7.5100000000020303E-2</v>
      </c>
      <c r="AF867">
        <v>0.90595582721849199</v>
      </c>
      <c r="AG867">
        <v>1.8434119999999901</v>
      </c>
      <c r="AH867">
        <v>171.19907506648599</v>
      </c>
      <c r="AI867">
        <v>89.383091484812198</v>
      </c>
      <c r="AJ867">
        <v>89.696803497424995</v>
      </c>
      <c r="AK867">
        <v>171.21139631281201</v>
      </c>
      <c r="AL867">
        <v>80.192429398128397</v>
      </c>
      <c r="AM867">
        <v>90.945233744575603</v>
      </c>
      <c r="AN867">
        <v>0.99999999103957005</v>
      </c>
    </row>
    <row r="868" spans="1:40" x14ac:dyDescent="0.25">
      <c r="A868" t="str">
        <f>"20190303161857354"</f>
        <v>20190303161857354</v>
      </c>
      <c r="B868" t="str">
        <f>"1551601137343554"</f>
        <v>1551601137343554</v>
      </c>
      <c r="C868" t="s">
        <v>40</v>
      </c>
      <c r="D868">
        <v>3.9711180000000001</v>
      </c>
      <c r="E868">
        <v>0.50942569999999998</v>
      </c>
      <c r="F868" t="s">
        <v>43</v>
      </c>
      <c r="G868">
        <v>-158.19499999999999</v>
      </c>
      <c r="H868">
        <v>2.7722920000000002</v>
      </c>
      <c r="I868">
        <v>366.84789999999998</v>
      </c>
      <c r="J868">
        <v>-329.24130000000002</v>
      </c>
      <c r="K868">
        <v>1.1212219999999999</v>
      </c>
      <c r="L868">
        <v>367.08120000000002</v>
      </c>
      <c r="M868">
        <v>0.99991629999999998</v>
      </c>
      <c r="N868">
        <v>-1.199544E-2</v>
      </c>
      <c r="O868">
        <v>4.8596580000000002E-3</v>
      </c>
      <c r="P868">
        <v>0.98709429999999998</v>
      </c>
      <c r="Q868">
        <v>0.1587634</v>
      </c>
      <c r="R868">
        <v>2.0956869999999999E-2</v>
      </c>
      <c r="S868">
        <v>3.0344850000000001</v>
      </c>
      <c r="T868">
        <v>2.9262659999999999E-2</v>
      </c>
      <c r="U868">
        <v>-4.1198729999999996E-3</v>
      </c>
      <c r="V868">
        <v>-1.6157629999999999E-2</v>
      </c>
      <c r="W868">
        <v>0.17059389999999999</v>
      </c>
      <c r="X868">
        <v>0.98520890000000005</v>
      </c>
      <c r="Y868">
        <v>6.2166039999999997E-3</v>
      </c>
      <c r="Z868" s="1">
        <v>9.7842380000000002E-5</v>
      </c>
      <c r="AA868">
        <v>0.99998069999999895</v>
      </c>
      <c r="AB868">
        <v>30</v>
      </c>
      <c r="AC868">
        <v>171.0463</v>
      </c>
      <c r="AD868">
        <v>1.65106999999999</v>
      </c>
      <c r="AE868">
        <v>-0.233300000000042</v>
      </c>
      <c r="AF868">
        <v>1.0644843427655</v>
      </c>
      <c r="AG868">
        <v>1.65106999999999</v>
      </c>
      <c r="AH868">
        <v>171.02721053469699</v>
      </c>
      <c r="AI868">
        <v>89.446903380753596</v>
      </c>
      <c r="AJ868">
        <v>89.6433919932592</v>
      </c>
      <c r="AK868">
        <v>171.03849245810201</v>
      </c>
      <c r="AL868">
        <v>80.177648182283306</v>
      </c>
      <c r="AM868">
        <v>90.939578417735206</v>
      </c>
      <c r="AN868">
        <v>0.99999996218181697</v>
      </c>
    </row>
    <row r="869" spans="1:40" x14ac:dyDescent="0.25">
      <c r="A869" t="str">
        <f>"20190303161857366"</f>
        <v>20190303161857366</v>
      </c>
      <c r="B869" t="str">
        <f>"1551601137353314"</f>
        <v>1551601137353314</v>
      </c>
      <c r="C869" t="s">
        <v>40</v>
      </c>
      <c r="D869">
        <v>3.9433669999999998</v>
      </c>
      <c r="E869">
        <v>0.50997939999999997</v>
      </c>
      <c r="F869" t="s">
        <v>43</v>
      </c>
      <c r="G869">
        <v>-158.19499999999999</v>
      </c>
      <c r="H869">
        <v>2.3966620000000001</v>
      </c>
      <c r="I869">
        <v>366.53620000000001</v>
      </c>
      <c r="J869">
        <v>-329.07479999999998</v>
      </c>
      <c r="K869">
        <v>1.1212200000000001</v>
      </c>
      <c r="L869">
        <v>367.08210000000003</v>
      </c>
      <c r="M869">
        <v>0.99991629999999998</v>
      </c>
      <c r="N869">
        <v>-1.1995499999999999E-2</v>
      </c>
      <c r="O869">
        <v>4.8651520000000002E-3</v>
      </c>
      <c r="P869">
        <v>0.98711990000000005</v>
      </c>
      <c r="Q869">
        <v>0.15859519999999999</v>
      </c>
      <c r="R869">
        <v>2.102971E-2</v>
      </c>
      <c r="S869">
        <v>3.0357970000000001</v>
      </c>
      <c r="T869">
        <v>2.2638559999999999E-2</v>
      </c>
      <c r="U869">
        <v>-9.6740720000000006E-3</v>
      </c>
      <c r="V869">
        <v>-1.622388E-2</v>
      </c>
      <c r="W869">
        <v>0.1704261</v>
      </c>
      <c r="X869">
        <v>0.98523689999999997</v>
      </c>
      <c r="Y869">
        <v>8.0513059999999994E-3</v>
      </c>
      <c r="Z869" s="1">
        <v>7.6368090000000004E-5</v>
      </c>
      <c r="AA869">
        <v>0.99996759999999996</v>
      </c>
      <c r="AB869">
        <v>30</v>
      </c>
      <c r="AC869">
        <v>170.87979999999999</v>
      </c>
      <c r="AD869">
        <v>1.275442</v>
      </c>
      <c r="AE869">
        <v>-0.54590000000001704</v>
      </c>
      <c r="AF869">
        <v>1.37723276212362</v>
      </c>
      <c r="AG869">
        <v>1.275442</v>
      </c>
      <c r="AH869">
        <v>170.86560230789101</v>
      </c>
      <c r="AI869">
        <v>89.572332220499206</v>
      </c>
      <c r="AJ869">
        <v>89.538187237293201</v>
      </c>
      <c r="AK869">
        <v>170.87591279760599</v>
      </c>
      <c r="AL869">
        <v>80.187405766941794</v>
      </c>
      <c r="AM869">
        <v>90.943403403482193</v>
      </c>
      <c r="AN869">
        <v>1.0000000094825301</v>
      </c>
    </row>
    <row r="870" spans="1:40" x14ac:dyDescent="0.25">
      <c r="A870" t="str">
        <f>"20190303161857380"</f>
        <v>20190303161857380</v>
      </c>
      <c r="B870" t="str">
        <f>"1551601137373809"</f>
        <v>1551601137373809</v>
      </c>
      <c r="C870" t="s">
        <v>40</v>
      </c>
      <c r="D870">
        <v>3.9765030000000001</v>
      </c>
      <c r="E870">
        <v>0.51058829999999999</v>
      </c>
      <c r="F870" t="s">
        <v>43</v>
      </c>
      <c r="G870">
        <v>-158.19499999999999</v>
      </c>
      <c r="H870">
        <v>2.154884</v>
      </c>
      <c r="I870">
        <v>366.29899999999998</v>
      </c>
      <c r="J870">
        <v>-328.88099999999997</v>
      </c>
      <c r="K870">
        <v>1.1212150000000001</v>
      </c>
      <c r="L870">
        <v>367.08300000000003</v>
      </c>
      <c r="M870">
        <v>0.99991629999999998</v>
      </c>
      <c r="N870">
        <v>-1.199559E-2</v>
      </c>
      <c r="O870">
        <v>4.8688000000000004E-3</v>
      </c>
      <c r="P870">
        <v>0.98709959999999997</v>
      </c>
      <c r="Q870">
        <v>0.15871959999999999</v>
      </c>
      <c r="R870">
        <v>2.1035769999999999E-2</v>
      </c>
      <c r="S870">
        <v>3.0364990000000001</v>
      </c>
      <c r="T870">
        <v>1.836956E-2</v>
      </c>
      <c r="U870">
        <v>-1.3916019999999999E-2</v>
      </c>
      <c r="V870">
        <v>-1.6224929999999999E-2</v>
      </c>
      <c r="W870">
        <v>0.1705506</v>
      </c>
      <c r="X870">
        <v>0.98521530000000002</v>
      </c>
      <c r="Y870">
        <v>9.4512889999999999E-3</v>
      </c>
      <c r="Z870" s="1">
        <v>5.9757170000000002E-5</v>
      </c>
      <c r="AA870">
        <v>0.99995540000000005</v>
      </c>
      <c r="AB870">
        <v>30</v>
      </c>
      <c r="AC870">
        <v>170.68599999999901</v>
      </c>
      <c r="AD870">
        <v>1.0336689999999999</v>
      </c>
      <c r="AE870">
        <v>-0.78399999999999104</v>
      </c>
      <c r="AF870">
        <v>1.6150271847885</v>
      </c>
      <c r="AG870">
        <v>1.0336689999999999</v>
      </c>
      <c r="AH870">
        <v>170.67389991893501</v>
      </c>
      <c r="AI870">
        <v>89.653013754519307</v>
      </c>
      <c r="AJ870">
        <v>89.457846338615397</v>
      </c>
      <c r="AK870">
        <v>170.68467095186901</v>
      </c>
      <c r="AL870">
        <v>80.180166079392905</v>
      </c>
      <c r="AM870">
        <v>90.943485129870695</v>
      </c>
      <c r="AN870">
        <v>0.99999997143397701</v>
      </c>
    </row>
    <row r="871" spans="1:40" x14ac:dyDescent="0.25">
      <c r="A871" t="str">
        <f>"20190303161857395"</f>
        <v>20190303161857395</v>
      </c>
      <c r="B871" t="str">
        <f>"1551601137383571"</f>
        <v>1551601137383571</v>
      </c>
      <c r="C871" t="s">
        <v>40</v>
      </c>
      <c r="D871">
        <v>3.9912429999999999</v>
      </c>
      <c r="E871">
        <v>0.51086160000000003</v>
      </c>
      <c r="F871" t="s">
        <v>43</v>
      </c>
      <c r="G871">
        <v>-158.19499999999999</v>
      </c>
      <c r="H871">
        <v>2.0054609999999999</v>
      </c>
      <c r="I871">
        <v>366.0197</v>
      </c>
      <c r="J871">
        <v>-328.70049999999998</v>
      </c>
      <c r="K871">
        <v>1.1212120000000001</v>
      </c>
      <c r="L871">
        <v>367.0838</v>
      </c>
      <c r="M871">
        <v>0.99991609999999997</v>
      </c>
      <c r="N871">
        <v>-1.199567E-2</v>
      </c>
      <c r="O871">
        <v>4.870793E-3</v>
      </c>
      <c r="P871">
        <v>0.98709789999999997</v>
      </c>
      <c r="Q871">
        <v>0.15874189999999999</v>
      </c>
      <c r="R871">
        <v>2.094768E-2</v>
      </c>
      <c r="S871">
        <v>3.0370789999999999</v>
      </c>
      <c r="T871">
        <v>1.5735269999999999E-2</v>
      </c>
      <c r="U871">
        <v>-1.8920900000000001E-2</v>
      </c>
      <c r="V871">
        <v>-1.6134200000000001E-2</v>
      </c>
      <c r="W871">
        <v>0.17057320000000001</v>
      </c>
      <c r="X871">
        <v>0.98521289999999995</v>
      </c>
      <c r="Y871">
        <v>1.11003E-2</v>
      </c>
      <c r="Z871" s="1">
        <v>4.5839020000000001E-5</v>
      </c>
      <c r="AA871">
        <v>0.99993840000000001</v>
      </c>
      <c r="AB871">
        <v>30</v>
      </c>
      <c r="AC871">
        <v>170.50549999999899</v>
      </c>
      <c r="AD871">
        <v>0.88424899999999895</v>
      </c>
      <c r="AE871">
        <v>-1.0640999999999901</v>
      </c>
      <c r="AF871">
        <v>1.89459324870929</v>
      </c>
      <c r="AG871">
        <v>0.88424899999999895</v>
      </c>
      <c r="AH871">
        <v>170.493708464496</v>
      </c>
      <c r="AI871">
        <v>89.702862034038006</v>
      </c>
      <c r="AJ871">
        <v>89.363332933786793</v>
      </c>
      <c r="AK871">
        <v>170.506527751428</v>
      </c>
      <c r="AL871">
        <v>80.1788521589053</v>
      </c>
      <c r="AM871">
        <v>90.938212380703803</v>
      </c>
      <c r="AN871">
        <v>0.99999999364714498</v>
      </c>
    </row>
    <row r="872" spans="1:40" x14ac:dyDescent="0.25">
      <c r="A872" t="str">
        <f>"20190303161857407"</f>
        <v>20190303161857407</v>
      </c>
      <c r="B872" t="str">
        <f>"1551601137404066"</f>
        <v>1551601137404066</v>
      </c>
      <c r="C872" t="s">
        <v>40</v>
      </c>
      <c r="D872">
        <v>4.0637679999999996</v>
      </c>
      <c r="E872">
        <v>0.5115575</v>
      </c>
      <c r="F872" t="s">
        <v>43</v>
      </c>
      <c r="G872">
        <v>-158.19499999999999</v>
      </c>
      <c r="H872">
        <v>1.957544</v>
      </c>
      <c r="I872">
        <v>365.89659999999998</v>
      </c>
      <c r="J872">
        <v>-328.52510000000001</v>
      </c>
      <c r="K872">
        <v>1.121205</v>
      </c>
      <c r="L872">
        <v>367.0847</v>
      </c>
      <c r="M872">
        <v>0.99991620000000003</v>
      </c>
      <c r="N872">
        <v>-1.1995789999999999E-2</v>
      </c>
      <c r="O872">
        <v>4.8716020000000001E-3</v>
      </c>
      <c r="P872">
        <v>0.98711070000000001</v>
      </c>
      <c r="Q872">
        <v>0.15865199999999999</v>
      </c>
      <c r="R872">
        <v>2.1034009999999999E-2</v>
      </c>
      <c r="S872">
        <v>3.0372620000000001</v>
      </c>
      <c r="T872">
        <v>1.489937E-2</v>
      </c>
      <c r="U872">
        <v>-2.114868E-2</v>
      </c>
      <c r="V872">
        <v>-1.6219009999999999E-2</v>
      </c>
      <c r="W872">
        <v>0.17048339999999901</v>
      </c>
      <c r="X872">
        <v>0.98522699999999996</v>
      </c>
      <c r="Y872">
        <v>1.183417E-2</v>
      </c>
      <c r="Z872" s="1">
        <v>4.0379220000000003E-5</v>
      </c>
      <c r="AA872">
        <v>0.99992999999999999</v>
      </c>
      <c r="AB872">
        <v>30</v>
      </c>
      <c r="AC872">
        <v>170.33009999999999</v>
      </c>
      <c r="AD872">
        <v>0.83633899999999906</v>
      </c>
      <c r="AE872">
        <v>-1.1881000000000199</v>
      </c>
      <c r="AF872">
        <v>2.0178774012156402</v>
      </c>
      <c r="AG872">
        <v>0.83633899999999906</v>
      </c>
      <c r="AH872">
        <v>170.31818412358101</v>
      </c>
      <c r="AI872">
        <v>89.718673919866703</v>
      </c>
      <c r="AJ872">
        <v>89.3212090057594</v>
      </c>
      <c r="AK872">
        <v>170.33219054331201</v>
      </c>
      <c r="AL872">
        <v>80.184073307824093</v>
      </c>
      <c r="AM872">
        <v>90.943129743889102</v>
      </c>
      <c r="AN872">
        <v>0.99999994374496803</v>
      </c>
    </row>
    <row r="873" spans="1:40" x14ac:dyDescent="0.25">
      <c r="A873" t="str">
        <f>"20190303161857419"</f>
        <v>20190303161857419</v>
      </c>
      <c r="B873" t="str">
        <f>"1551601137413825"</f>
        <v>1551601137413825</v>
      </c>
      <c r="C873" t="s">
        <v>40</v>
      </c>
      <c r="D873">
        <v>4.052346</v>
      </c>
      <c r="E873">
        <v>0.51176969999999999</v>
      </c>
      <c r="F873" t="s">
        <v>43</v>
      </c>
      <c r="G873">
        <v>-158.19499999999999</v>
      </c>
      <c r="H873">
        <v>1.7216119999999999</v>
      </c>
      <c r="I873">
        <v>365.57900000000001</v>
      </c>
      <c r="J873">
        <v>-328.36399999999998</v>
      </c>
      <c r="K873">
        <v>1.1212029999999999</v>
      </c>
      <c r="L873">
        <v>367.08550000000002</v>
      </c>
      <c r="M873">
        <v>0.99991609999999997</v>
      </c>
      <c r="N873">
        <v>-1.199596E-2</v>
      </c>
      <c r="O873">
        <v>4.871589E-3</v>
      </c>
      <c r="P873">
        <v>0.98712659999999997</v>
      </c>
      <c r="Q873">
        <v>0.15856629999999899</v>
      </c>
      <c r="R873">
        <v>2.092666E-2</v>
      </c>
      <c r="S873">
        <v>3.0379939999999999</v>
      </c>
      <c r="T873">
        <v>1.071036E-2</v>
      </c>
      <c r="U873">
        <v>-2.6855469999999999E-2</v>
      </c>
      <c r="V873">
        <v>-1.611073E-2</v>
      </c>
      <c r="W873">
        <v>0.17039840000000001</v>
      </c>
      <c r="X873">
        <v>0.9852436</v>
      </c>
      <c r="Y873">
        <v>1.371079E-2</v>
      </c>
      <c r="Z873" s="1">
        <v>1.7540670000000001E-5</v>
      </c>
      <c r="AA873">
        <v>0.99990599999999996</v>
      </c>
      <c r="AB873">
        <v>30</v>
      </c>
      <c r="AC873">
        <v>170.16900000000001</v>
      </c>
      <c r="AD873">
        <v>0.60040899999999897</v>
      </c>
      <c r="AE873">
        <v>-1.5065000000000099</v>
      </c>
      <c r="AF873">
        <v>2.3355061961616501</v>
      </c>
      <c r="AG873">
        <v>0.60040899999999897</v>
      </c>
      <c r="AH873">
        <v>170.157522741679</v>
      </c>
      <c r="AI873">
        <v>89.7978489669552</v>
      </c>
      <c r="AJ873">
        <v>89.213633087094905</v>
      </c>
      <c r="AK873">
        <v>170.174609227536</v>
      </c>
      <c r="AL873">
        <v>80.189016928135899</v>
      </c>
      <c r="AM873">
        <v>90.936818644248106</v>
      </c>
      <c r="AN873">
        <v>1.0000000608423201</v>
      </c>
    </row>
    <row r="874" spans="1:40" x14ac:dyDescent="0.25">
      <c r="A874" t="str">
        <f>"20190303161857432"</f>
        <v>20190303161857432</v>
      </c>
      <c r="B874" t="str">
        <f>"1551601137423586"</f>
        <v>1551601137423586</v>
      </c>
      <c r="C874" t="s">
        <v>40</v>
      </c>
      <c r="D874">
        <v>4.0230160000000001</v>
      </c>
      <c r="E874">
        <v>0.51197340000000002</v>
      </c>
      <c r="F874" t="s">
        <v>43</v>
      </c>
      <c r="G874">
        <v>-158.19499999999999</v>
      </c>
      <c r="H874">
        <v>1.632206</v>
      </c>
      <c r="I874">
        <v>365.48559999999998</v>
      </c>
      <c r="J874">
        <v>-328.20389999999998</v>
      </c>
      <c r="K874">
        <v>1.1212009999999999</v>
      </c>
      <c r="L874">
        <v>367.08629999999999</v>
      </c>
      <c r="M874">
        <v>0.99991620000000003</v>
      </c>
      <c r="N874">
        <v>-1.1996140000000001E-2</v>
      </c>
      <c r="O874">
        <v>4.8709239999999996E-3</v>
      </c>
      <c r="P874">
        <v>0.98708220000000002</v>
      </c>
      <c r="Q874">
        <v>0.15883929999999999</v>
      </c>
      <c r="R874">
        <v>2.095406E-2</v>
      </c>
      <c r="S874">
        <v>3.0382389999999999</v>
      </c>
      <c r="T874">
        <v>9.1251130000000007E-3</v>
      </c>
      <c r="U874">
        <v>-2.8564450000000002E-2</v>
      </c>
      <c r="V874">
        <v>-1.6139089999999998E-2</v>
      </c>
      <c r="W874">
        <v>0.17067089999999999</v>
      </c>
      <c r="X874">
        <v>0.98519590000000001</v>
      </c>
      <c r="Y874">
        <v>1.4271829999999999E-2</v>
      </c>
      <c r="Z874" s="1">
        <v>8.8852540000000003E-6</v>
      </c>
      <c r="AA874">
        <v>0.99989810000000001</v>
      </c>
      <c r="AB874">
        <v>30</v>
      </c>
      <c r="AC874">
        <v>170.00889999999899</v>
      </c>
      <c r="AD874">
        <v>0.51100499999999904</v>
      </c>
      <c r="AE874">
        <v>-1.60070000000001</v>
      </c>
      <c r="AF874">
        <v>2.4288190726110899</v>
      </c>
      <c r="AG874">
        <v>0.51100499999999904</v>
      </c>
      <c r="AH874">
        <v>169.99754972489799</v>
      </c>
      <c r="AI874">
        <v>89.827789554216196</v>
      </c>
      <c r="AJ874">
        <v>89.181449294403095</v>
      </c>
      <c r="AK874">
        <v>170.015667515281</v>
      </c>
      <c r="AL874">
        <v>80.173171058707794</v>
      </c>
      <c r="AM874">
        <v>90.9385128772618</v>
      </c>
      <c r="AN874">
        <v>0.99999999385482397</v>
      </c>
    </row>
    <row r="875" spans="1:40" x14ac:dyDescent="0.25">
      <c r="A875" t="str">
        <f>"20190303161857447"</f>
        <v>20190303161857447</v>
      </c>
      <c r="B875" t="str">
        <f>"1551601137433346"</f>
        <v>1551601137433346</v>
      </c>
      <c r="C875" t="s">
        <v>40</v>
      </c>
      <c r="D875">
        <v>4.0629929999999996</v>
      </c>
      <c r="E875">
        <v>0.51207950000000002</v>
      </c>
      <c r="F875" t="s">
        <v>43</v>
      </c>
      <c r="G875">
        <v>-158.19499999999999</v>
      </c>
      <c r="H875">
        <v>1.6968259999999999</v>
      </c>
      <c r="I875">
        <v>365.40940000000001</v>
      </c>
      <c r="J875">
        <v>-328.01010000000002</v>
      </c>
      <c r="K875">
        <v>1.1212059999999999</v>
      </c>
      <c r="L875">
        <v>367.0872</v>
      </c>
      <c r="M875">
        <v>0.99991609999999997</v>
      </c>
      <c r="N875">
        <v>-1.1996329999999999E-2</v>
      </c>
      <c r="O875">
        <v>4.8699049999999999E-3</v>
      </c>
      <c r="P875">
        <v>0.98705259999999995</v>
      </c>
      <c r="Q875">
        <v>0.1590203</v>
      </c>
      <c r="R875">
        <v>2.096545E-2</v>
      </c>
      <c r="S875">
        <v>3.0382389999999999</v>
      </c>
      <c r="T875">
        <v>1.02886E-2</v>
      </c>
      <c r="U875">
        <v>-2.996826E-2</v>
      </c>
      <c r="V875">
        <v>-1.6151260000000001E-2</v>
      </c>
      <c r="W875">
        <v>0.170851799999999</v>
      </c>
      <c r="X875">
        <v>0.98516429999999999</v>
      </c>
      <c r="Y875">
        <v>1.4732759999999999E-2</v>
      </c>
      <c r="Z875" s="1">
        <v>1.1482040000000001E-5</v>
      </c>
      <c r="AA875">
        <v>0.99989150000000004</v>
      </c>
      <c r="AB875">
        <v>30</v>
      </c>
      <c r="AC875">
        <v>169.8151</v>
      </c>
      <c r="AD875">
        <v>0.57562000000000002</v>
      </c>
      <c r="AE875">
        <v>-1.67779999999999</v>
      </c>
      <c r="AF875">
        <v>2.5047943101073802</v>
      </c>
      <c r="AG875">
        <v>0.57562000000000002</v>
      </c>
      <c r="AH875">
        <v>169.80296387567901</v>
      </c>
      <c r="AI875">
        <v>89.805793244714195</v>
      </c>
      <c r="AJ875">
        <v>89.154880862097102</v>
      </c>
      <c r="AK875">
        <v>169.82241275486999</v>
      </c>
      <c r="AL875">
        <v>80.162651307010194</v>
      </c>
      <c r="AM875">
        <v>90.939250575647193</v>
      </c>
      <c r="AN875">
        <v>0.99999994937865699</v>
      </c>
    </row>
    <row r="876" spans="1:40" x14ac:dyDescent="0.25">
      <c r="A876" t="str">
        <f>"20190303161857458"</f>
        <v>20190303161857458</v>
      </c>
      <c r="B876" t="str">
        <f>"1551601137453842"</f>
        <v>1551601137453842</v>
      </c>
      <c r="C876" t="s">
        <v>40</v>
      </c>
      <c r="D876">
        <v>4.063275</v>
      </c>
      <c r="E876">
        <v>0.51232489999999997</v>
      </c>
      <c r="F876" t="s">
        <v>43</v>
      </c>
      <c r="G876">
        <v>-158.19499999999999</v>
      </c>
      <c r="H876">
        <v>1.6966190000000001</v>
      </c>
      <c r="I876">
        <v>365.3492</v>
      </c>
      <c r="J876">
        <v>-327.8562</v>
      </c>
      <c r="K876">
        <v>1.121205</v>
      </c>
      <c r="L876">
        <v>367.08800000000002</v>
      </c>
      <c r="M876">
        <v>0.99991629999999998</v>
      </c>
      <c r="N876">
        <v>-1.1996450000000001E-2</v>
      </c>
      <c r="O876">
        <v>4.8687119999999999E-3</v>
      </c>
      <c r="P876">
        <v>0.98700719999999997</v>
      </c>
      <c r="Q876">
        <v>0.15928149999999999</v>
      </c>
      <c r="R876">
        <v>2.1129289999999998E-2</v>
      </c>
      <c r="S876">
        <v>3.0383610000000001</v>
      </c>
      <c r="T876">
        <v>1.0296939999999999E-2</v>
      </c>
      <c r="U876">
        <v>-3.1097409999999999E-2</v>
      </c>
      <c r="V876">
        <v>-1.6316810000000001E-2</v>
      </c>
      <c r="W876">
        <v>0.1711125</v>
      </c>
      <c r="X876">
        <v>0.9851164</v>
      </c>
      <c r="Y876">
        <v>1.510273E-2</v>
      </c>
      <c r="Z876" s="1">
        <v>9.9025640000000006E-6</v>
      </c>
      <c r="AA876">
        <v>0.99988600000000005</v>
      </c>
      <c r="AB876">
        <v>30</v>
      </c>
      <c r="AC876">
        <v>169.66120000000001</v>
      </c>
      <c r="AD876">
        <v>0.57541399999999898</v>
      </c>
      <c r="AE876">
        <v>-1.7388000000000201</v>
      </c>
      <c r="AF876">
        <v>2.5648407615685098</v>
      </c>
      <c r="AG876">
        <v>0.57541399999999898</v>
      </c>
      <c r="AH876">
        <v>169.64877132366499</v>
      </c>
      <c r="AI876">
        <v>89.805687363142894</v>
      </c>
      <c r="AJ876">
        <v>89.133837783329099</v>
      </c>
      <c r="AK876">
        <v>169.669134261458</v>
      </c>
      <c r="AL876">
        <v>80.147491788436895</v>
      </c>
      <c r="AM876">
        <v>90.948922248064406</v>
      </c>
      <c r="AN876">
        <v>1.00000002374689</v>
      </c>
    </row>
    <row r="877" spans="1:40" x14ac:dyDescent="0.25">
      <c r="A877" t="str">
        <f>"20190303161857470"</f>
        <v>20190303161857470</v>
      </c>
      <c r="B877" t="str">
        <f>"1551601137463602"</f>
        <v>1551601137463602</v>
      </c>
      <c r="C877" t="s">
        <v>40</v>
      </c>
      <c r="D877">
        <v>4.09856</v>
      </c>
      <c r="E877">
        <v>0.5125113</v>
      </c>
      <c r="F877" t="s">
        <v>43</v>
      </c>
      <c r="G877">
        <v>-158.19499999999999</v>
      </c>
      <c r="H877">
        <v>1.6134500000000001</v>
      </c>
      <c r="I877">
        <v>365.26479999999998</v>
      </c>
      <c r="J877">
        <v>-327.7004</v>
      </c>
      <c r="K877">
        <v>1.1212009999999999</v>
      </c>
      <c r="L877">
        <v>367.08870000000002</v>
      </c>
      <c r="M877">
        <v>0.99991629999999998</v>
      </c>
      <c r="N877">
        <v>-1.199658E-2</v>
      </c>
      <c r="O877">
        <v>4.8676980000000002E-3</v>
      </c>
      <c r="P877">
        <v>0.9870314</v>
      </c>
      <c r="Q877">
        <v>0.15914600000000001</v>
      </c>
      <c r="R877">
        <v>2.1025100000000001E-2</v>
      </c>
      <c r="S877">
        <v>3.0387569999999999</v>
      </c>
      <c r="T877">
        <v>8.8180299999999993E-3</v>
      </c>
      <c r="U877">
        <v>-3.2653809999999998E-2</v>
      </c>
      <c r="V877">
        <v>-1.6213379999999999E-2</v>
      </c>
      <c r="W877">
        <v>0.1709772</v>
      </c>
      <c r="X877">
        <v>0.98514159999999995</v>
      </c>
      <c r="Y877">
        <v>1.561247E-2</v>
      </c>
      <c r="Z877" s="1">
        <v>1.518601E-6</v>
      </c>
      <c r="AA877">
        <v>0.99987809999999999</v>
      </c>
      <c r="AB877">
        <v>30</v>
      </c>
      <c r="AC877">
        <v>169.50540000000001</v>
      </c>
      <c r="AD877">
        <v>0.49224899999999999</v>
      </c>
      <c r="AE877">
        <v>-1.8239000000000301</v>
      </c>
      <c r="AF877">
        <v>2.64901643681609</v>
      </c>
      <c r="AG877">
        <v>0.49224899999999999</v>
      </c>
      <c r="AH877">
        <v>169.493083458473</v>
      </c>
      <c r="AI877">
        <v>89.833619954711807</v>
      </c>
      <c r="AJ877">
        <v>89.104594109010904</v>
      </c>
      <c r="AK877">
        <v>169.51449772046499</v>
      </c>
      <c r="AL877">
        <v>80.155359862836605</v>
      </c>
      <c r="AM877">
        <v>90.942884135411802</v>
      </c>
      <c r="AN877">
        <v>1.0000000243307099</v>
      </c>
    </row>
    <row r="878" spans="1:40" x14ac:dyDescent="0.25">
      <c r="A878" t="str">
        <f>"20190303161857481"</f>
        <v>20190303161857481</v>
      </c>
      <c r="B878" t="str">
        <f>"1551601137473363"</f>
        <v>1551601137473363</v>
      </c>
      <c r="C878" t="s">
        <v>40</v>
      </c>
      <c r="D878">
        <v>4.0860149999999997</v>
      </c>
      <c r="E878">
        <v>0.51252869999999995</v>
      </c>
      <c r="F878" t="s">
        <v>43</v>
      </c>
      <c r="G878">
        <v>-158.19499999999999</v>
      </c>
      <c r="H878">
        <v>1.4685649999999999</v>
      </c>
      <c r="I878">
        <v>365.1773</v>
      </c>
      <c r="J878">
        <v>-327.55549999999999</v>
      </c>
      <c r="K878">
        <v>1.1211990000000001</v>
      </c>
      <c r="L878">
        <v>367.08940000000001</v>
      </c>
      <c r="M878">
        <v>0.99991629999999998</v>
      </c>
      <c r="N878">
        <v>-1.1996700000000001E-2</v>
      </c>
      <c r="O878">
        <v>4.8668619999999996E-3</v>
      </c>
      <c r="P878">
        <v>0.98698940000000002</v>
      </c>
      <c r="Q878">
        <v>0.15938069999999999</v>
      </c>
      <c r="R878">
        <v>2.1211609999999999E-2</v>
      </c>
      <c r="S878">
        <v>3.0391539999999999</v>
      </c>
      <c r="T878">
        <v>6.2296390000000004E-3</v>
      </c>
      <c r="U878">
        <v>-3.4271240000000001E-2</v>
      </c>
      <c r="V878">
        <v>-1.640107E-2</v>
      </c>
      <c r="W878">
        <v>0.17121169999999999</v>
      </c>
      <c r="X878">
        <v>0.98509780000000002</v>
      </c>
      <c r="Y878">
        <v>1.614231E-2</v>
      </c>
      <c r="Z878" s="1">
        <v>-1.1927939999999999E-5</v>
      </c>
      <c r="AA878">
        <v>0.99986969999999997</v>
      </c>
      <c r="AB878">
        <v>30</v>
      </c>
      <c r="AC878">
        <v>169.3605</v>
      </c>
      <c r="AD878">
        <v>0.34736599999999901</v>
      </c>
      <c r="AE878">
        <v>-1.9120999999999999</v>
      </c>
      <c r="AF878">
        <v>2.7363792549251298</v>
      </c>
      <c r="AG878">
        <v>0.34736599999999901</v>
      </c>
      <c r="AH878">
        <v>169.34847501669401</v>
      </c>
      <c r="AI878">
        <v>89.8824909396604</v>
      </c>
      <c r="AJ878">
        <v>89.074279589700396</v>
      </c>
      <c r="AK878">
        <v>169.37093736838199</v>
      </c>
      <c r="AL878">
        <v>80.1417232607252</v>
      </c>
      <c r="AM878">
        <v>90.953839585319301</v>
      </c>
      <c r="AN878">
        <v>1.00000005843943</v>
      </c>
    </row>
    <row r="879" spans="1:40" x14ac:dyDescent="0.25">
      <c r="A879" t="str">
        <f>"20190303161857492"</f>
        <v>20190303161857492</v>
      </c>
      <c r="B879" t="str">
        <f>"1551601137484098"</f>
        <v>1551601137484098</v>
      </c>
      <c r="C879" t="s">
        <v>40</v>
      </c>
      <c r="D879">
        <v>4.1388429999999996</v>
      </c>
      <c r="E879">
        <v>0.51266769999999995</v>
      </c>
      <c r="F879" t="s">
        <v>43</v>
      </c>
      <c r="G879">
        <v>-158.19499999999999</v>
      </c>
      <c r="H879">
        <v>1.445095</v>
      </c>
      <c r="I879">
        <v>365.22230000000002</v>
      </c>
      <c r="J879">
        <v>-327.411</v>
      </c>
      <c r="K879">
        <v>1.1212</v>
      </c>
      <c r="L879">
        <v>367.09010000000001</v>
      </c>
      <c r="M879">
        <v>0.99991629999999998</v>
      </c>
      <c r="N879">
        <v>-1.199683E-2</v>
      </c>
      <c r="O879">
        <v>4.866563E-3</v>
      </c>
      <c r="P879">
        <v>0.98696810000000001</v>
      </c>
      <c r="Q879">
        <v>0.15955259999999999</v>
      </c>
      <c r="R879">
        <v>2.0907019999999998E-2</v>
      </c>
      <c r="S879">
        <v>3.0393370000000002</v>
      </c>
      <c r="T879">
        <v>5.8141950000000003E-3</v>
      </c>
      <c r="U879">
        <v>-3.3508299999999998E-2</v>
      </c>
      <c r="V879">
        <v>-1.6096659999999999E-2</v>
      </c>
      <c r="W879">
        <v>0.17138310000000001</v>
      </c>
      <c r="X879">
        <v>0.98507299999999998</v>
      </c>
      <c r="Y879">
        <v>1.5890370000000001E-2</v>
      </c>
      <c r="Z879" s="1">
        <v>-1.243194E-5</v>
      </c>
      <c r="AA879">
        <v>0.99987380000000003</v>
      </c>
      <c r="AB879">
        <v>30</v>
      </c>
      <c r="AC879">
        <v>169.21599999999901</v>
      </c>
      <c r="AD879">
        <v>0.32389499999999999</v>
      </c>
      <c r="AE879">
        <v>-1.8677999999999799</v>
      </c>
      <c r="AF879">
        <v>2.69132752300469</v>
      </c>
      <c r="AG879">
        <v>0.32389499999999999</v>
      </c>
      <c r="AH879">
        <v>169.204285626028</v>
      </c>
      <c r="AI879">
        <v>89.890337016495494</v>
      </c>
      <c r="AJ879">
        <v>89.088742310999606</v>
      </c>
      <c r="AK879">
        <v>169.22599807955601</v>
      </c>
      <c r="AL879">
        <v>80.131755273827096</v>
      </c>
      <c r="AM879">
        <v>90.936162709649693</v>
      </c>
      <c r="AN879">
        <v>1.00000004237888</v>
      </c>
    </row>
    <row r="880" spans="1:40" x14ac:dyDescent="0.25">
      <c r="A880" t="str">
        <f>"20190303161857504"</f>
        <v>20190303161857504</v>
      </c>
      <c r="B880" t="str">
        <f>"1551601137493858"</f>
        <v>1551601137493858</v>
      </c>
      <c r="C880" t="s">
        <v>40</v>
      </c>
      <c r="D880">
        <v>4.1266759999999998</v>
      </c>
      <c r="E880">
        <v>0.51270629999999995</v>
      </c>
      <c r="F880" t="s">
        <v>43</v>
      </c>
      <c r="G880">
        <v>-158.19499999999999</v>
      </c>
      <c r="H880">
        <v>1.366339</v>
      </c>
      <c r="I880">
        <v>365.10239999999999</v>
      </c>
      <c r="J880">
        <v>-327.2525</v>
      </c>
      <c r="K880">
        <v>1.1212070000000001</v>
      </c>
      <c r="L880">
        <v>367.09089999999998</v>
      </c>
      <c r="M880">
        <v>0.99991629999999998</v>
      </c>
      <c r="N880">
        <v>-1.1996980000000001E-2</v>
      </c>
      <c r="O880">
        <v>4.8660250000000004E-3</v>
      </c>
      <c r="P880">
        <v>0.98695690000000003</v>
      </c>
      <c r="Q880">
        <v>0.1596128</v>
      </c>
      <c r="R880">
        <v>2.097187E-2</v>
      </c>
      <c r="S880">
        <v>3.0396420000000002</v>
      </c>
      <c r="T880">
        <v>4.4050219999999998E-3</v>
      </c>
      <c r="U880">
        <v>-3.5705569999999999E-2</v>
      </c>
      <c r="V880">
        <v>-1.616225E-2</v>
      </c>
      <c r="W880">
        <v>0.1714437</v>
      </c>
      <c r="X880">
        <v>0.98506130000000003</v>
      </c>
      <c r="Y880">
        <v>1.661141E-2</v>
      </c>
      <c r="Z880" s="1">
        <v>-2.2185149999999999E-5</v>
      </c>
      <c r="AA880">
        <v>0.99986200000000003</v>
      </c>
      <c r="AB880">
        <v>30</v>
      </c>
      <c r="AC880">
        <v>169.0575</v>
      </c>
      <c r="AD880">
        <v>0.24513199999999899</v>
      </c>
      <c r="AE880">
        <v>-1.98849999999998</v>
      </c>
      <c r="AF880">
        <v>2.8111676852680398</v>
      </c>
      <c r="AG880">
        <v>0.24513199999999899</v>
      </c>
      <c r="AH880">
        <v>169.04546606084801</v>
      </c>
      <c r="AI880">
        <v>89.916927215683501</v>
      </c>
      <c r="AJ880">
        <v>89.0472788028991</v>
      </c>
      <c r="AK880">
        <v>169.069016526333</v>
      </c>
      <c r="AL880">
        <v>80.128230192765201</v>
      </c>
      <c r="AM880">
        <v>90.939987825950695</v>
      </c>
      <c r="AN880">
        <v>0.99999996267622004</v>
      </c>
    </row>
    <row r="881" spans="1:40" x14ac:dyDescent="0.25">
      <c r="A881" t="str">
        <f>"20190303161857515"</f>
        <v>20190303161857515</v>
      </c>
      <c r="B881" t="str">
        <f>"1551601137503619"</f>
        <v>1551601137503619</v>
      </c>
      <c r="C881" t="s">
        <v>40</v>
      </c>
      <c r="D881">
        <v>4.1737789999999997</v>
      </c>
      <c r="E881">
        <v>0.51284039999999997</v>
      </c>
      <c r="F881" t="s">
        <v>43</v>
      </c>
      <c r="G881">
        <v>-158.19499999999999</v>
      </c>
      <c r="H881">
        <v>1.307966</v>
      </c>
      <c r="I881">
        <v>365.1001</v>
      </c>
      <c r="J881">
        <v>-327.1114</v>
      </c>
      <c r="K881">
        <v>1.121208</v>
      </c>
      <c r="L881">
        <v>367.09160000000003</v>
      </c>
      <c r="M881">
        <v>0.99991629999999998</v>
      </c>
      <c r="N881">
        <v>-1.199714E-2</v>
      </c>
      <c r="O881">
        <v>4.8658449999999997E-3</v>
      </c>
      <c r="P881">
        <v>0.98695029999999995</v>
      </c>
      <c r="Q881">
        <v>0.15969529999999901</v>
      </c>
      <c r="R881">
        <v>2.066051E-2</v>
      </c>
      <c r="S881">
        <v>3.039917</v>
      </c>
      <c r="T881">
        <v>3.3597950000000001E-3</v>
      </c>
      <c r="U881">
        <v>-3.5797120000000002E-2</v>
      </c>
      <c r="V881">
        <v>-1.5850599999999999E-2</v>
      </c>
      <c r="W881">
        <v>0.17152600000000001</v>
      </c>
      <c r="X881">
        <v>0.98505209999999999</v>
      </c>
      <c r="Y881">
        <v>1.664028E-2</v>
      </c>
      <c r="Z881" s="1">
        <v>-2.687573E-5</v>
      </c>
      <c r="AA881">
        <v>0.99986149999999996</v>
      </c>
      <c r="AB881">
        <v>30</v>
      </c>
      <c r="AC881">
        <v>168.91640000000001</v>
      </c>
      <c r="AD881">
        <v>0.18675800000000001</v>
      </c>
      <c r="AE881">
        <v>-1.99150000000003</v>
      </c>
      <c r="AF881">
        <v>2.8134530705007501</v>
      </c>
      <c r="AG881">
        <v>0.18675800000000001</v>
      </c>
      <c r="AH881">
        <v>168.90450256300699</v>
      </c>
      <c r="AI881">
        <v>89.936656770440905</v>
      </c>
      <c r="AJ881">
        <v>89.0457087987824</v>
      </c>
      <c r="AK881">
        <v>168.92803610646499</v>
      </c>
      <c r="AL881">
        <v>80.123444469919605</v>
      </c>
      <c r="AM881">
        <v>90.921874195534798</v>
      </c>
      <c r="AN881">
        <v>1.00000002495538</v>
      </c>
    </row>
    <row r="882" spans="1:40" x14ac:dyDescent="0.25">
      <c r="A882" t="str">
        <f>"20190303161857527"</f>
        <v>20190303161857527</v>
      </c>
      <c r="B882" t="str">
        <f>"1551601137514354"</f>
        <v>1551601137514354</v>
      </c>
      <c r="C882" t="s">
        <v>40</v>
      </c>
      <c r="D882">
        <v>4.1535549999999999</v>
      </c>
      <c r="E882">
        <v>0.51293580000000005</v>
      </c>
      <c r="F882" t="s">
        <v>43</v>
      </c>
      <c r="G882">
        <v>-158.19499999999999</v>
      </c>
      <c r="H882">
        <v>1.2267300000000001</v>
      </c>
      <c r="I882">
        <v>364.9941</v>
      </c>
      <c r="J882">
        <v>-326.95780000000002</v>
      </c>
      <c r="K882">
        <v>1.121208</v>
      </c>
      <c r="L882">
        <v>367.09230000000002</v>
      </c>
      <c r="M882">
        <v>0.99991629999999998</v>
      </c>
      <c r="N882">
        <v>-1.1997320000000001E-2</v>
      </c>
      <c r="O882">
        <v>4.8658440000000002E-3</v>
      </c>
      <c r="P882">
        <v>0.98693430000000004</v>
      </c>
      <c r="Q882">
        <v>0.15978979999999901</v>
      </c>
      <c r="R882">
        <v>2.0689099999999998E-2</v>
      </c>
      <c r="S882">
        <v>3.0401919999999998</v>
      </c>
      <c r="T882">
        <v>1.9007920000000001E-3</v>
      </c>
      <c r="U882">
        <v>-3.7750239999999997E-2</v>
      </c>
      <c r="V882">
        <v>-1.5879460000000001E-2</v>
      </c>
      <c r="W882">
        <v>0.17162040000000001</v>
      </c>
      <c r="X882">
        <v>0.9850352</v>
      </c>
      <c r="Y882">
        <v>1.728145E-2</v>
      </c>
      <c r="Z882" s="1">
        <v>-3.6852240000000002E-5</v>
      </c>
      <c r="AA882">
        <v>0.99985069999999998</v>
      </c>
      <c r="AB882">
        <v>30</v>
      </c>
      <c r="AC882">
        <v>168.7628</v>
      </c>
      <c r="AD882">
        <v>0.10552199999999901</v>
      </c>
      <c r="AE882">
        <v>-2.0982000000000198</v>
      </c>
      <c r="AF882">
        <v>2.9194064884114099</v>
      </c>
      <c r="AG882">
        <v>0.10552199999999901</v>
      </c>
      <c r="AH882">
        <v>168.75052563788799</v>
      </c>
      <c r="AI882">
        <v>89.964177534404996</v>
      </c>
      <c r="AJ882">
        <v>89.008874282334702</v>
      </c>
      <c r="AK882">
        <v>168.775809795718</v>
      </c>
      <c r="AL882">
        <v>80.117954408587806</v>
      </c>
      <c r="AM882">
        <v>90.923568251089705</v>
      </c>
      <c r="AN882">
        <v>1.00000003209254</v>
      </c>
    </row>
    <row r="883" spans="1:40" x14ac:dyDescent="0.25">
      <c r="A883" t="str">
        <f>"20190303161857538"</f>
        <v>20190303161857538</v>
      </c>
      <c r="B883" t="str">
        <f>"1551601137524115"</f>
        <v>1551601137524115</v>
      </c>
      <c r="C883" t="s">
        <v>40</v>
      </c>
      <c r="D883">
        <v>4.1106319999999998</v>
      </c>
      <c r="E883">
        <v>0.51295069999999998</v>
      </c>
      <c r="F883" t="s">
        <v>43</v>
      </c>
      <c r="G883">
        <v>-158.19499999999999</v>
      </c>
      <c r="H883">
        <v>1.1544490000000001</v>
      </c>
      <c r="I883">
        <v>364.97489999999999</v>
      </c>
      <c r="J883">
        <v>-326.79520000000002</v>
      </c>
      <c r="K883">
        <v>1.1212139999999999</v>
      </c>
      <c r="L883">
        <v>367.09309999999999</v>
      </c>
      <c r="M883">
        <v>0.99991629999999998</v>
      </c>
      <c r="N883">
        <v>-1.1997509999999999E-2</v>
      </c>
      <c r="O883">
        <v>4.8660209999999999E-3</v>
      </c>
      <c r="P883">
        <v>0.98699890000000001</v>
      </c>
      <c r="Q883">
        <v>0.15940839999999901</v>
      </c>
      <c r="R883">
        <v>2.0549870000000001E-2</v>
      </c>
      <c r="S883">
        <v>3.0404049999999998</v>
      </c>
      <c r="T883">
        <v>6.0045719999999995E-4</v>
      </c>
      <c r="U883">
        <v>-3.8146970000000002E-2</v>
      </c>
      <c r="V883">
        <v>-1.5739599999999999E-2</v>
      </c>
      <c r="W883">
        <v>0.1712398</v>
      </c>
      <c r="X883">
        <v>0.98510370000000003</v>
      </c>
      <c r="Y883">
        <v>1.741119E-2</v>
      </c>
      <c r="Z883" s="1">
        <v>-4.3393429999999999E-5</v>
      </c>
      <c r="AA883">
        <v>0.99984839999999997</v>
      </c>
      <c r="AB883">
        <v>30</v>
      </c>
      <c r="AC883">
        <v>168.6002</v>
      </c>
      <c r="AD883">
        <v>3.3235000000000098E-2</v>
      </c>
      <c r="AE883">
        <v>-2.1181999999999999</v>
      </c>
      <c r="AF883">
        <v>2.9386458773914099</v>
      </c>
      <c r="AG883">
        <v>3.3235000000000098E-2</v>
      </c>
      <c r="AH883">
        <v>168.5878891337</v>
      </c>
      <c r="AI883">
        <v>89.988706567266604</v>
      </c>
      <c r="AJ883">
        <v>89.001381667215497</v>
      </c>
      <c r="AK883">
        <v>168.6135021483</v>
      </c>
      <c r="AL883">
        <v>80.140089051283994</v>
      </c>
      <c r="AM883">
        <v>90.915371573114001</v>
      </c>
      <c r="AN883">
        <v>1.0000000519329399</v>
      </c>
    </row>
    <row r="884" spans="1:40" x14ac:dyDescent="0.25">
      <c r="A884" t="str">
        <f>"20190303161857561"</f>
        <v>20190303161857561</v>
      </c>
      <c r="B884" t="str">
        <f>"1551601137553396"</f>
        <v>1551601137553396</v>
      </c>
      <c r="C884" t="s">
        <v>40</v>
      </c>
      <c r="D884">
        <v>4.2568049999999999</v>
      </c>
      <c r="E884">
        <v>0.51166469999999997</v>
      </c>
      <c r="F884" t="s">
        <v>43</v>
      </c>
      <c r="G884">
        <v>-158.19499999999999</v>
      </c>
      <c r="H884">
        <v>1.105016</v>
      </c>
      <c r="I884">
        <v>364.94889999999998</v>
      </c>
      <c r="J884">
        <v>-326.51130000000001</v>
      </c>
      <c r="K884">
        <v>1.1212139999999999</v>
      </c>
      <c r="L884">
        <v>367.09449999999998</v>
      </c>
      <c r="M884">
        <v>0.99991629999999998</v>
      </c>
      <c r="N884">
        <v>-1.1997839999999999E-2</v>
      </c>
      <c r="O884">
        <v>4.8661989999999999E-3</v>
      </c>
      <c r="P884">
        <v>0.98702230000000002</v>
      </c>
      <c r="Q884">
        <v>0.1593069</v>
      </c>
      <c r="R884">
        <v>2.020417E-2</v>
      </c>
      <c r="S884">
        <v>3.040314</v>
      </c>
      <c r="T884">
        <v>-2.90513E-4</v>
      </c>
      <c r="U884">
        <v>-3.8665770000000002E-2</v>
      </c>
      <c r="V884">
        <v>-1.539368E-2</v>
      </c>
      <c r="W884">
        <v>0.171139299999999</v>
      </c>
      <c r="X884">
        <v>0.98512659999999996</v>
      </c>
      <c r="Y884">
        <v>1.758231E-2</v>
      </c>
      <c r="Z884" s="1">
        <v>-4.8404579999999999E-5</v>
      </c>
      <c r="AA884">
        <v>0.9998454</v>
      </c>
      <c r="AB884">
        <v>30</v>
      </c>
      <c r="AC884">
        <v>168.31630000000001</v>
      </c>
      <c r="AD884">
        <v>-1.61979999999999E-2</v>
      </c>
      <c r="AE884">
        <v>-2.1456</v>
      </c>
      <c r="AF884">
        <v>2.96469403691543</v>
      </c>
      <c r="AG884">
        <v>-1.61979999999999E-2</v>
      </c>
      <c r="AH884">
        <v>168.30386362043799</v>
      </c>
      <c r="AI884">
        <v>90.005513438963604</v>
      </c>
      <c r="AJ884">
        <v>88.990831902222993</v>
      </c>
      <c r="AK884">
        <v>168.32997410644001</v>
      </c>
      <c r="AL884">
        <v>80.145933251882596</v>
      </c>
      <c r="AM884">
        <v>90.895236326865202</v>
      </c>
      <c r="AN884">
        <v>1.0000000217079901</v>
      </c>
    </row>
    <row r="885" spans="1:40" x14ac:dyDescent="0.25">
      <c r="A885" t="str">
        <f>"20190303161857574"</f>
        <v>20190303161857574</v>
      </c>
      <c r="B885" t="str">
        <f>"1551601137565107"</f>
        <v>1551601137565107</v>
      </c>
      <c r="C885" t="s">
        <v>40</v>
      </c>
      <c r="D885">
        <v>4.2787559999999996</v>
      </c>
      <c r="E885">
        <v>0.46672580000000002</v>
      </c>
      <c r="F885" t="s">
        <v>43</v>
      </c>
      <c r="G885">
        <v>-158.19499999999999</v>
      </c>
      <c r="H885">
        <v>1.0649879999999901</v>
      </c>
      <c r="I885">
        <v>365.46069999999997</v>
      </c>
      <c r="J885">
        <v>-326.31799999999998</v>
      </c>
      <c r="K885">
        <v>1.1212169999999999</v>
      </c>
      <c r="L885">
        <v>367.09530000000001</v>
      </c>
      <c r="M885">
        <v>0.99991629999999998</v>
      </c>
      <c r="N885">
        <v>-1.199808E-2</v>
      </c>
      <c r="O885">
        <v>4.8661989999999999E-3</v>
      </c>
      <c r="P885">
        <v>0.98704069999999999</v>
      </c>
      <c r="Q885">
        <v>0.15922159999999999</v>
      </c>
      <c r="R885">
        <v>1.9983549999999999E-2</v>
      </c>
      <c r="S885">
        <v>3.040222</v>
      </c>
      <c r="T885">
        <v>-1.013994E-3</v>
      </c>
      <c r="U885">
        <v>-2.9510499999999999E-2</v>
      </c>
      <c r="V885">
        <v>-1.517313E-2</v>
      </c>
      <c r="W885">
        <v>0.17105429999999999</v>
      </c>
      <c r="X885">
        <v>0.98514469999999998</v>
      </c>
      <c r="Y885">
        <v>1.4572079999999999E-2</v>
      </c>
      <c r="Z885" s="1">
        <v>-3.309111E-5</v>
      </c>
      <c r="AA885">
        <v>0.99989380000000005</v>
      </c>
      <c r="AB885">
        <v>30</v>
      </c>
      <c r="AC885">
        <v>168.12299999999999</v>
      </c>
      <c r="AD885">
        <v>-5.6229000000000001E-2</v>
      </c>
      <c r="AE885">
        <v>-1.63460000000003</v>
      </c>
      <c r="AF885">
        <v>2.45275913728657</v>
      </c>
      <c r="AG885">
        <v>-5.6229000000000001E-2</v>
      </c>
      <c r="AH885">
        <v>168.11303547130001</v>
      </c>
      <c r="AI885">
        <v>90.019161758740097</v>
      </c>
      <c r="AJ885">
        <v>89.164117309264199</v>
      </c>
      <c r="AK885">
        <v>168.13093672629199</v>
      </c>
      <c r="AL885">
        <v>80.150875455947499</v>
      </c>
      <c r="AM885">
        <v>90.882395832857796</v>
      </c>
      <c r="AN885">
        <v>0.99999993868028603</v>
      </c>
    </row>
    <row r="886" spans="1:40" x14ac:dyDescent="0.25">
      <c r="A886" t="str">
        <f>"20190303161857588"</f>
        <v>20190303161857588</v>
      </c>
      <c r="B886" t="str">
        <f>"1551601137573890"</f>
        <v>1551601137573890</v>
      </c>
      <c r="C886" t="s">
        <v>40</v>
      </c>
      <c r="D886">
        <v>4.3145790000000002</v>
      </c>
      <c r="E886">
        <v>0.46363019999999999</v>
      </c>
      <c r="F886" t="s">
        <v>43</v>
      </c>
      <c r="G886">
        <v>-169.2955</v>
      </c>
      <c r="H886">
        <v>0.32842059999999901</v>
      </c>
      <c r="I886">
        <v>384.07679999999999</v>
      </c>
      <c r="J886">
        <v>-326.14510000000001</v>
      </c>
      <c r="K886">
        <v>1.121218</v>
      </c>
      <c r="L886">
        <v>367.09620000000001</v>
      </c>
      <c r="M886">
        <v>0.99991629999999998</v>
      </c>
      <c r="N886">
        <v>-1.199828E-2</v>
      </c>
      <c r="O886">
        <v>4.8663769999999999E-3</v>
      </c>
      <c r="P886">
        <v>0.98706970000000005</v>
      </c>
      <c r="Q886">
        <v>0.15903719999999999</v>
      </c>
      <c r="R886">
        <v>2.00257E-2</v>
      </c>
      <c r="S886">
        <v>3.0352169999999998</v>
      </c>
      <c r="T886">
        <v>-1.532292E-2</v>
      </c>
      <c r="U886">
        <v>0.32824710000000001</v>
      </c>
      <c r="V886">
        <v>-1.521496E-2</v>
      </c>
      <c r="W886">
        <v>0.17087060000000001</v>
      </c>
      <c r="X886">
        <v>0.98517600000000005</v>
      </c>
      <c r="Y886">
        <v>-0.10267510000000001</v>
      </c>
      <c r="Z886">
        <v>9.099361E-4</v>
      </c>
      <c r="AA886">
        <v>0.99471449999999995</v>
      </c>
      <c r="AB886">
        <v>30</v>
      </c>
      <c r="AC886">
        <v>156.84960000000001</v>
      </c>
      <c r="AD886">
        <v>-0.79279739999999999</v>
      </c>
      <c r="AE886">
        <v>16.9805999999999</v>
      </c>
      <c r="AF886">
        <v>-16.2166452633208</v>
      </c>
      <c r="AG886">
        <v>-0.79279739999999999</v>
      </c>
      <c r="AH886">
        <v>156.9264197167</v>
      </c>
      <c r="AI886">
        <v>90.287924426242199</v>
      </c>
      <c r="AJ886">
        <v>95.899955676259907</v>
      </c>
      <c r="AK886">
        <v>157.76409387568401</v>
      </c>
      <c r="AL886">
        <v>80.161558612749502</v>
      </c>
      <c r="AM886">
        <v>90.884799969679506</v>
      </c>
      <c r="AN886">
        <v>1.00000000396408</v>
      </c>
    </row>
    <row r="887" spans="1:40" x14ac:dyDescent="0.25">
      <c r="A887" t="str">
        <f>"20190303161857599"</f>
        <v>20190303161857599</v>
      </c>
      <c r="B887" t="str">
        <f>"1551601137593410"</f>
        <v>1551601137593410</v>
      </c>
      <c r="C887" t="s">
        <v>40</v>
      </c>
      <c r="D887">
        <v>4.2879269999999998</v>
      </c>
      <c r="E887">
        <v>0.46141880000000002</v>
      </c>
      <c r="F887" t="s">
        <v>46</v>
      </c>
      <c r="G887">
        <v>-182.29130000000001</v>
      </c>
      <c r="H887">
        <v>7.9989279999999996E-2</v>
      </c>
      <c r="I887">
        <v>383.8485</v>
      </c>
      <c r="J887">
        <v>-325.99579999999997</v>
      </c>
      <c r="K887">
        <v>1.1212169999999999</v>
      </c>
      <c r="L887">
        <v>367.09690000000001</v>
      </c>
      <c r="M887">
        <v>0.99991629999999998</v>
      </c>
      <c r="N887">
        <v>-1.1998460000000001E-2</v>
      </c>
      <c r="O887">
        <v>4.8663769999999999E-3</v>
      </c>
      <c r="P887">
        <v>0.98708030000000002</v>
      </c>
      <c r="Q887">
        <v>0.15900329999999999</v>
      </c>
      <c r="R887">
        <v>1.9768850000000001E-2</v>
      </c>
      <c r="S887">
        <v>3.0356749999999999</v>
      </c>
      <c r="T887">
        <v>-2.1972539999999999E-2</v>
      </c>
      <c r="U887">
        <v>0.35351559999999999</v>
      </c>
      <c r="V887">
        <v>-1.495809E-2</v>
      </c>
      <c r="W887">
        <v>0.170837299999999</v>
      </c>
      <c r="X887">
        <v>0.98518570000000005</v>
      </c>
      <c r="Y887">
        <v>-0.110829</v>
      </c>
      <c r="Z887">
        <v>1.090012E-3</v>
      </c>
      <c r="AA887">
        <v>0.99383889999999997</v>
      </c>
      <c r="AB887">
        <v>30</v>
      </c>
      <c r="AC887">
        <v>143.704499999999</v>
      </c>
      <c r="AD887">
        <v>-1.04122772</v>
      </c>
      <c r="AE887">
        <v>16.7515999999999</v>
      </c>
      <c r="AF887">
        <v>-16.051199714440902</v>
      </c>
      <c r="AG887">
        <v>-1.04122772</v>
      </c>
      <c r="AH887">
        <v>143.77687668278699</v>
      </c>
      <c r="AI887">
        <v>90.412365327288398</v>
      </c>
      <c r="AJ887">
        <v>96.370103562611405</v>
      </c>
      <c r="AK887">
        <v>144.673824294843</v>
      </c>
      <c r="AL887">
        <v>80.163494950615501</v>
      </c>
      <c r="AM887">
        <v>90.869855886000494</v>
      </c>
      <c r="AN887">
        <v>0.99999999550611396</v>
      </c>
    </row>
    <row r="888" spans="1:40" x14ac:dyDescent="0.25">
      <c r="A888" t="str">
        <f>"20190303161857610"</f>
        <v>20190303161857610</v>
      </c>
      <c r="B888" t="str">
        <f>"1551601137604147"</f>
        <v>1551601137604147</v>
      </c>
      <c r="C888" t="s">
        <v>40</v>
      </c>
      <c r="D888">
        <v>4.2764639999999998</v>
      </c>
      <c r="E888">
        <v>0.46138580000000001</v>
      </c>
      <c r="F888" t="s">
        <v>41</v>
      </c>
      <c r="G888">
        <v>-223.33250000000001</v>
      </c>
      <c r="H888">
        <v>2.8028979999999998E-2</v>
      </c>
      <c r="I888">
        <v>379.6164</v>
      </c>
      <c r="J888">
        <v>-325.84370000000001</v>
      </c>
      <c r="K888">
        <v>1.121213</v>
      </c>
      <c r="L888">
        <v>367.0976</v>
      </c>
      <c r="M888">
        <v>0.99991609999999997</v>
      </c>
      <c r="N888">
        <v>-1.199864E-2</v>
      </c>
      <c r="O888">
        <v>4.8665549999999998E-3</v>
      </c>
      <c r="P888">
        <v>0.98708050000000003</v>
      </c>
      <c r="Q888">
        <v>0.1589989</v>
      </c>
      <c r="R888">
        <v>1.9779919999999999E-2</v>
      </c>
      <c r="S888">
        <v>3.037048</v>
      </c>
      <c r="T888">
        <v>-3.2339329999999999E-2</v>
      </c>
      <c r="U888">
        <v>0.3703613</v>
      </c>
      <c r="V888">
        <v>-1.49689E-2</v>
      </c>
      <c r="W888">
        <v>0.17083299999999901</v>
      </c>
      <c r="X888">
        <v>0.98518629999999996</v>
      </c>
      <c r="Y888">
        <v>-0.11620460000000001</v>
      </c>
      <c r="Z888">
        <v>1.3227359999999999E-3</v>
      </c>
      <c r="AA888">
        <v>0.99322440000000001</v>
      </c>
      <c r="AB888">
        <v>30</v>
      </c>
      <c r="AC888">
        <v>102.5112</v>
      </c>
      <c r="AD888">
        <v>-1.09318402</v>
      </c>
      <c r="AE888">
        <v>12.518800000000001</v>
      </c>
      <c r="AF888">
        <v>-12.018392720769601</v>
      </c>
      <c r="AG888">
        <v>-1.09318402</v>
      </c>
      <c r="AH888">
        <v>102.55942187017899</v>
      </c>
      <c r="AI888">
        <v>90.606544247122997</v>
      </c>
      <c r="AJ888">
        <v>96.6837045507271</v>
      </c>
      <c r="AK888">
        <v>103.266992932096</v>
      </c>
      <c r="AL888">
        <v>80.163745179815507</v>
      </c>
      <c r="AM888">
        <v>90.870483891783906</v>
      </c>
      <c r="AN888">
        <v>1.00000001378194</v>
      </c>
    </row>
    <row r="889" spans="1:40" x14ac:dyDescent="0.25">
      <c r="A889" t="str">
        <f>"20190303161857621"</f>
        <v>20190303161857621</v>
      </c>
      <c r="B889" t="str">
        <f>"1551601137613906"</f>
        <v>1551601137613906</v>
      </c>
      <c r="C889" t="s">
        <v>40</v>
      </c>
      <c r="D889">
        <v>4.333558</v>
      </c>
      <c r="E889">
        <v>0.46113979999999999</v>
      </c>
      <c r="F889" t="s">
        <v>41</v>
      </c>
      <c r="G889">
        <v>-228.571</v>
      </c>
      <c r="H889" s="1">
        <v>-3.017228E-6</v>
      </c>
      <c r="I889">
        <v>378.9631</v>
      </c>
      <c r="J889">
        <v>-325.6934</v>
      </c>
      <c r="K889">
        <v>1.121211</v>
      </c>
      <c r="L889">
        <v>367.09840000000003</v>
      </c>
      <c r="M889">
        <v>0.99991629999999998</v>
      </c>
      <c r="N889">
        <v>-1.199882E-2</v>
      </c>
      <c r="O889">
        <v>4.8665540000000004E-3</v>
      </c>
      <c r="P889">
        <v>0.98705039999999999</v>
      </c>
      <c r="Q889">
        <v>0.159183399999999</v>
      </c>
      <c r="R889">
        <v>1.9810640000000001E-2</v>
      </c>
      <c r="S889">
        <v>3.037445</v>
      </c>
      <c r="T889">
        <v>-3.5011170000000001E-2</v>
      </c>
      <c r="U889">
        <v>0.37051390000000001</v>
      </c>
      <c r="V889">
        <v>-1.499989E-2</v>
      </c>
      <c r="W889">
        <v>0.17101720000000001</v>
      </c>
      <c r="X889">
        <v>0.98515390000000003</v>
      </c>
      <c r="Y889">
        <v>-0.1162364</v>
      </c>
      <c r="Z889">
        <v>1.3697049999999999E-3</v>
      </c>
      <c r="AA889">
        <v>0.99322060000000001</v>
      </c>
      <c r="AB889">
        <v>30</v>
      </c>
      <c r="AC889">
        <v>97.122399999999999</v>
      </c>
      <c r="AD889">
        <v>-1.1212140172279901</v>
      </c>
      <c r="AE889">
        <v>11.8646999999999</v>
      </c>
      <c r="AF889">
        <v>-11.390378416019001</v>
      </c>
      <c r="AG889">
        <v>-1.1212140172279901</v>
      </c>
      <c r="AH889">
        <v>97.166234983064001</v>
      </c>
      <c r="AI889">
        <v>90.656618436332195</v>
      </c>
      <c r="AJ889">
        <v>96.686022276932206</v>
      </c>
      <c r="AK889">
        <v>97.838004180975304</v>
      </c>
      <c r="AL889">
        <v>80.153033957987802</v>
      </c>
      <c r="AM889">
        <v>90.872314453339001</v>
      </c>
      <c r="AN889">
        <v>1.00000004304053</v>
      </c>
    </row>
    <row r="890" spans="1:40" x14ac:dyDescent="0.25">
      <c r="A890" t="str">
        <f>"20190303161857637"</f>
        <v>20190303161857637</v>
      </c>
      <c r="B890" t="str">
        <f>"1551601137623667"</f>
        <v>1551601137623667</v>
      </c>
      <c r="C890" t="s">
        <v>40</v>
      </c>
      <c r="D890">
        <v>4.2776740000000002</v>
      </c>
      <c r="E890">
        <v>0.4609277</v>
      </c>
      <c r="F890" t="s">
        <v>41</v>
      </c>
      <c r="G890">
        <v>-234.01499999999999</v>
      </c>
      <c r="H890" s="1">
        <v>-4.4580719999999998E-6</v>
      </c>
      <c r="I890">
        <v>378.34519999999998</v>
      </c>
      <c r="J890">
        <v>-325.49439999999998</v>
      </c>
      <c r="K890">
        <v>1.12121</v>
      </c>
      <c r="L890">
        <v>367.09930000000003</v>
      </c>
      <c r="M890">
        <v>0.99991629999999998</v>
      </c>
      <c r="N890">
        <v>-1.1999040000000001E-2</v>
      </c>
      <c r="O890">
        <v>4.8663739999999997E-3</v>
      </c>
      <c r="P890">
        <v>0.98701810000000001</v>
      </c>
      <c r="Q890">
        <v>0.15939929999999999</v>
      </c>
      <c r="R890">
        <v>1.968905E-2</v>
      </c>
      <c r="S890">
        <v>3.037903</v>
      </c>
      <c r="T890">
        <v>-3.7153119999999998E-2</v>
      </c>
      <c r="U890">
        <v>0.37268069999999998</v>
      </c>
      <c r="V890">
        <v>-1.4878600000000001E-2</v>
      </c>
      <c r="W890">
        <v>0.17123279999999999</v>
      </c>
      <c r="X890">
        <v>0.9851183</v>
      </c>
      <c r="Y890">
        <v>-0.11691500000000001</v>
      </c>
      <c r="Z890">
        <v>1.4152559999999999E-3</v>
      </c>
      <c r="AA890">
        <v>0.99314089999999999</v>
      </c>
      <c r="AB890">
        <v>30</v>
      </c>
      <c r="AC890">
        <v>91.479399999999998</v>
      </c>
      <c r="AD890">
        <v>-1.121214458072</v>
      </c>
      <c r="AE890">
        <v>11.245899999999899</v>
      </c>
      <c r="AF890">
        <v>-10.798963774010399</v>
      </c>
      <c r="AG890">
        <v>-1.121214458072</v>
      </c>
      <c r="AH890">
        <v>91.519503860376801</v>
      </c>
      <c r="AI890">
        <v>90.697065713529696</v>
      </c>
      <c r="AJ890">
        <v>96.729573458716303</v>
      </c>
      <c r="AK890">
        <v>92.161240916683198</v>
      </c>
      <c r="AL890">
        <v>80.140496162535698</v>
      </c>
      <c r="AM890">
        <v>90.865293207595101</v>
      </c>
      <c r="AN890">
        <v>1.00000005476434</v>
      </c>
    </row>
    <row r="891" spans="1:40" x14ac:dyDescent="0.25">
      <c r="A891" t="str">
        <f>"20190303161857648"</f>
        <v>20190303161857648</v>
      </c>
      <c r="B891" t="str">
        <f>"1551601137633427"</f>
        <v>1551601137633427</v>
      </c>
      <c r="C891" t="s">
        <v>40</v>
      </c>
      <c r="D891">
        <v>4.3047500000000003</v>
      </c>
      <c r="E891">
        <v>0.46099679999999998</v>
      </c>
      <c r="F891" t="s">
        <v>41</v>
      </c>
      <c r="G891">
        <v>-239.1593</v>
      </c>
      <c r="H891" s="1">
        <v>-2.5003680000000002E-6</v>
      </c>
      <c r="I891">
        <v>377.72460000000001</v>
      </c>
      <c r="J891">
        <v>-325.3449</v>
      </c>
      <c r="K891">
        <v>1.1212120000000001</v>
      </c>
      <c r="L891">
        <v>367.1001</v>
      </c>
      <c r="M891">
        <v>0.99991629999999998</v>
      </c>
      <c r="N891">
        <v>-1.199922E-2</v>
      </c>
      <c r="O891">
        <v>4.8663730000000002E-3</v>
      </c>
      <c r="P891">
        <v>0.98704449999999999</v>
      </c>
      <c r="Q891">
        <v>0.15926170000000001</v>
      </c>
      <c r="R891">
        <v>1.9474950000000001E-2</v>
      </c>
      <c r="S891">
        <v>3.0383610000000001</v>
      </c>
      <c r="T891">
        <v>-3.9458390000000003E-2</v>
      </c>
      <c r="U891">
        <v>0.37393189999999998</v>
      </c>
      <c r="V891">
        <v>-1.466428E-2</v>
      </c>
      <c r="W891">
        <v>0.17109569999999999</v>
      </c>
      <c r="X891">
        <v>0.9851453</v>
      </c>
      <c r="Y891">
        <v>-0.1172981</v>
      </c>
      <c r="Z891">
        <v>1.460462E-3</v>
      </c>
      <c r="AA891">
        <v>0.99309570000000003</v>
      </c>
      <c r="AB891">
        <v>30</v>
      </c>
      <c r="AC891">
        <v>86.185599999999994</v>
      </c>
      <c r="AD891">
        <v>-1.1212145003680001</v>
      </c>
      <c r="AE891">
        <v>10.624499999999999</v>
      </c>
      <c r="AF891">
        <v>-10.2032317957275</v>
      </c>
      <c r="AG891">
        <v>-1.1212145003680001</v>
      </c>
      <c r="AH891">
        <v>86.221911908749206</v>
      </c>
      <c r="AI891">
        <v>90.739860424909807</v>
      </c>
      <c r="AJ891">
        <v>96.748817786801794</v>
      </c>
      <c r="AK891">
        <v>86.830761566585906</v>
      </c>
      <c r="AL891">
        <v>80.148468736593202</v>
      </c>
      <c r="AM891">
        <v>90.852807505607004</v>
      </c>
      <c r="AN891">
        <v>1.0000000208892399</v>
      </c>
    </row>
    <row r="892" spans="1:40" x14ac:dyDescent="0.25">
      <c r="A892" t="str">
        <f>"20190303161857659"</f>
        <v>20190303161857659</v>
      </c>
      <c r="B892" t="str">
        <f>"1551601137653922"</f>
        <v>1551601137653922</v>
      </c>
      <c r="C892" t="s">
        <v>40</v>
      </c>
      <c r="D892">
        <v>4.3070529999999998</v>
      </c>
      <c r="E892">
        <v>0.46108270000000001</v>
      </c>
      <c r="F892" t="s">
        <v>41</v>
      </c>
      <c r="G892">
        <v>-237.63810000000001</v>
      </c>
      <c r="H892" s="1">
        <v>-3.1383710000000001E-6</v>
      </c>
      <c r="I892">
        <v>377.85629999999998</v>
      </c>
      <c r="J892">
        <v>-325.19209999999998</v>
      </c>
      <c r="K892">
        <v>1.1212120000000001</v>
      </c>
      <c r="L892">
        <v>367.10079999999999</v>
      </c>
      <c r="M892">
        <v>0.99991629999999998</v>
      </c>
      <c r="N892">
        <v>-1.19994E-2</v>
      </c>
      <c r="O892">
        <v>4.8665499999999999E-3</v>
      </c>
      <c r="P892">
        <v>0.98698220000000003</v>
      </c>
      <c r="Q892">
        <v>0.1596533</v>
      </c>
      <c r="R892">
        <v>1.941764E-2</v>
      </c>
      <c r="S892">
        <v>3.0383610000000001</v>
      </c>
      <c r="T892">
        <v>-3.884137E-2</v>
      </c>
      <c r="U892">
        <v>0.3726196</v>
      </c>
      <c r="V892">
        <v>-1.460737E-2</v>
      </c>
      <c r="W892">
        <v>0.17148649999999999</v>
      </c>
      <c r="X892">
        <v>0.98507820000000001</v>
      </c>
      <c r="Y892">
        <v>-0.1168759</v>
      </c>
      <c r="Z892">
        <v>1.444362E-3</v>
      </c>
      <c r="AA892">
        <v>0.99314550000000001</v>
      </c>
      <c r="AB892">
        <v>30</v>
      </c>
      <c r="AC892">
        <v>87.553999999999903</v>
      </c>
      <c r="AD892">
        <v>-1.1212151383710001</v>
      </c>
      <c r="AE892">
        <v>10.7554999999999</v>
      </c>
      <c r="AF892">
        <v>-10.327587603693599</v>
      </c>
      <c r="AG892">
        <v>-1.1212151383710001</v>
      </c>
      <c r="AH892">
        <v>87.591158189159799</v>
      </c>
      <c r="AI892">
        <v>90.728332908688401</v>
      </c>
      <c r="AJ892">
        <v>96.724511678567794</v>
      </c>
      <c r="AK892">
        <v>88.205029233127604</v>
      </c>
      <c r="AL892">
        <v>80.125741716660201</v>
      </c>
      <c r="AM892">
        <v>90.849556222357506</v>
      </c>
      <c r="AN892">
        <v>1.0000000275279</v>
      </c>
    </row>
    <row r="893" spans="1:40" x14ac:dyDescent="0.25">
      <c r="A893" t="str">
        <f>"20190303161857670"</f>
        <v>20190303161857670</v>
      </c>
      <c r="B893" t="str">
        <f>"1551601137663682"</f>
        <v>1551601137663682</v>
      </c>
      <c r="C893" t="s">
        <v>40</v>
      </c>
      <c r="D893">
        <v>4.3186960000000001</v>
      </c>
      <c r="E893">
        <v>0.46118490000000001</v>
      </c>
      <c r="F893" t="s">
        <v>41</v>
      </c>
      <c r="G893">
        <v>-242.5737</v>
      </c>
      <c r="H893" s="1">
        <v>-5.0708910000000004E-6</v>
      </c>
      <c r="I893">
        <v>377.21539999999999</v>
      </c>
      <c r="J893">
        <v>-325.04579999999999</v>
      </c>
      <c r="K893">
        <v>1.1212169999999999</v>
      </c>
      <c r="L893">
        <v>367.10149999999999</v>
      </c>
      <c r="M893">
        <v>0.99991629999999998</v>
      </c>
      <c r="N893">
        <v>-1.1999579999999999E-2</v>
      </c>
      <c r="O893">
        <v>4.8665490000000004E-3</v>
      </c>
      <c r="P893">
        <v>0.98699590000000004</v>
      </c>
      <c r="Q893">
        <v>0.15960260000000001</v>
      </c>
      <c r="R893">
        <v>1.9137009999999999E-2</v>
      </c>
      <c r="S893">
        <v>3.03891</v>
      </c>
      <c r="T893">
        <v>-4.1241170000000001E-2</v>
      </c>
      <c r="U893">
        <v>0.37203979999999998</v>
      </c>
      <c r="V893">
        <v>-1.432661E-2</v>
      </c>
      <c r="W893">
        <v>0.17143620000000001</v>
      </c>
      <c r="X893">
        <v>0.98509100000000005</v>
      </c>
      <c r="Y893">
        <v>-0.1166658</v>
      </c>
      <c r="Z893">
        <v>1.4837120000000001E-3</v>
      </c>
      <c r="AA893">
        <v>0.99317009999999994</v>
      </c>
      <c r="AB893">
        <v>30</v>
      </c>
      <c r="AC893">
        <v>82.472099999999898</v>
      </c>
      <c r="AD893">
        <v>-1.1212220708909999</v>
      </c>
      <c r="AE893">
        <v>10.113899999999999</v>
      </c>
      <c r="AF893">
        <v>-9.7106286491393803</v>
      </c>
      <c r="AG893">
        <v>-1.1212220708909999</v>
      </c>
      <c r="AH893">
        <v>82.5053231710842</v>
      </c>
      <c r="AI893">
        <v>90.773247504511104</v>
      </c>
      <c r="AJ893">
        <v>96.712658891405596</v>
      </c>
      <c r="AK893">
        <v>83.082379595548304</v>
      </c>
      <c r="AL893">
        <v>80.128666246035706</v>
      </c>
      <c r="AM893">
        <v>90.833218881985701</v>
      </c>
      <c r="AN893">
        <v>0.99999995035276401</v>
      </c>
    </row>
    <row r="894" spans="1:40" x14ac:dyDescent="0.25">
      <c r="A894" t="str">
        <f>"20190303161857681"</f>
        <v>20190303161857681</v>
      </c>
      <c r="B894" t="str">
        <f>"1551601137673442"</f>
        <v>1551601137673442</v>
      </c>
      <c r="C894" t="s">
        <v>40</v>
      </c>
      <c r="D894">
        <v>4.3809529999999999</v>
      </c>
      <c r="E894">
        <v>0.4612464</v>
      </c>
      <c r="F894" t="s">
        <v>41</v>
      </c>
      <c r="G894">
        <v>-244.4546</v>
      </c>
      <c r="H894" s="1">
        <v>-4.2983799999999997E-6</v>
      </c>
      <c r="I894">
        <v>376.93209999999999</v>
      </c>
      <c r="J894">
        <v>-324.90429999999998</v>
      </c>
      <c r="K894">
        <v>1.121219</v>
      </c>
      <c r="L894">
        <v>367.10219999999998</v>
      </c>
      <c r="M894">
        <v>0.99991609999999997</v>
      </c>
      <c r="N894">
        <v>-1.199974E-2</v>
      </c>
      <c r="O894">
        <v>4.8666669999999999E-3</v>
      </c>
      <c r="P894">
        <v>0.98694660000000001</v>
      </c>
      <c r="Q894">
        <v>0.1599024</v>
      </c>
      <c r="R894">
        <v>1.9173490000000001E-2</v>
      </c>
      <c r="S894">
        <v>3.039215</v>
      </c>
      <c r="T894">
        <v>-4.2282939999999998E-2</v>
      </c>
      <c r="U894">
        <v>0.37072749999999999</v>
      </c>
      <c r="V894">
        <v>-1.436342E-2</v>
      </c>
      <c r="W894">
        <v>0.17173550000000001</v>
      </c>
      <c r="X894">
        <v>0.98503839999999998</v>
      </c>
      <c r="Y894">
        <v>-0.1162305</v>
      </c>
      <c r="Z894">
        <v>1.4962720000000001E-3</v>
      </c>
      <c r="AA894">
        <v>0.99322120000000003</v>
      </c>
      <c r="AB894">
        <v>30</v>
      </c>
      <c r="AC894">
        <v>80.449699999999893</v>
      </c>
      <c r="AD894">
        <v>-1.1212232983799999</v>
      </c>
      <c r="AE894">
        <v>9.8299000000000092</v>
      </c>
      <c r="AF894">
        <v>-9.4364275051528796</v>
      </c>
      <c r="AG894">
        <v>-1.1212232983799999</v>
      </c>
      <c r="AH894">
        <v>80.481186859205195</v>
      </c>
      <c r="AI894">
        <v>90.792734471114102</v>
      </c>
      <c r="AJ894">
        <v>96.687402418570898</v>
      </c>
      <c r="AK894">
        <v>81.040266189167596</v>
      </c>
      <c r="AL894">
        <v>80.111260153228002</v>
      </c>
      <c r="AM894">
        <v>90.835404006532599</v>
      </c>
      <c r="AN894">
        <v>1.0000000196344501</v>
      </c>
    </row>
    <row r="895" spans="1:40" x14ac:dyDescent="0.25">
      <c r="A895" t="str">
        <f>"20190303161857692"</f>
        <v>20190303161857692</v>
      </c>
      <c r="B895" t="str">
        <f>"1551601137684178"</f>
        <v>1551601137684178</v>
      </c>
      <c r="C895" t="s">
        <v>40</v>
      </c>
      <c r="D895">
        <v>4.3677640000000002</v>
      </c>
      <c r="E895">
        <v>0.46138319999999999</v>
      </c>
      <c r="F895" t="s">
        <v>41</v>
      </c>
      <c r="G895">
        <v>-243.39519999999999</v>
      </c>
      <c r="H895" s="1">
        <v>-4.7205129999999997E-6</v>
      </c>
      <c r="I895">
        <v>377.01839999999999</v>
      </c>
      <c r="J895">
        <v>-324.74740000000003</v>
      </c>
      <c r="K895">
        <v>1.121221</v>
      </c>
      <c r="L895">
        <v>367.10300000000001</v>
      </c>
      <c r="M895">
        <v>0.99991609999999997</v>
      </c>
      <c r="N895">
        <v>-1.1999920000000001E-2</v>
      </c>
      <c r="O895">
        <v>4.8666660000000004E-3</v>
      </c>
      <c r="P895">
        <v>0.98693489999999995</v>
      </c>
      <c r="Q895">
        <v>0.1599894</v>
      </c>
      <c r="R895">
        <v>1.9054370000000001E-2</v>
      </c>
      <c r="S895">
        <v>3.0392760000000001</v>
      </c>
      <c r="T895">
        <v>-4.1807650000000002E-2</v>
      </c>
      <c r="U895">
        <v>0.369751</v>
      </c>
      <c r="V895">
        <v>-1.42439E-2</v>
      </c>
      <c r="W895">
        <v>0.17182239999999999</v>
      </c>
      <c r="X895">
        <v>0.98502500000000004</v>
      </c>
      <c r="Y895">
        <v>-0.115914</v>
      </c>
      <c r="Z895">
        <v>1.4838989999999999E-3</v>
      </c>
      <c r="AA895">
        <v>0.99325819999999998</v>
      </c>
      <c r="AB895">
        <v>30</v>
      </c>
      <c r="AC895">
        <v>81.352199999999996</v>
      </c>
      <c r="AD895">
        <v>-1.1212257205130001</v>
      </c>
      <c r="AE895">
        <v>9.9153999999999698</v>
      </c>
      <c r="AF895">
        <v>-9.5175586152180802</v>
      </c>
      <c r="AG895">
        <v>-1.1212257205130001</v>
      </c>
      <c r="AH895">
        <v>81.384261939943499</v>
      </c>
      <c r="AI895">
        <v>90.783968284135696</v>
      </c>
      <c r="AJ895">
        <v>96.670210575435107</v>
      </c>
      <c r="AK895">
        <v>81.946562835910299</v>
      </c>
      <c r="AL895">
        <v>80.106206208870603</v>
      </c>
      <c r="AM895">
        <v>90.828464735905001</v>
      </c>
      <c r="AN895">
        <v>1.00000003822698</v>
      </c>
    </row>
    <row r="896" spans="1:40" x14ac:dyDescent="0.25">
      <c r="A896" t="str">
        <f>"20190303161857705"</f>
        <v>20190303161857705</v>
      </c>
      <c r="B896" t="str">
        <f>"1551601137693938"</f>
        <v>1551601137693938</v>
      </c>
      <c r="C896" t="s">
        <v>40</v>
      </c>
      <c r="D896">
        <v>4.3637499999999996</v>
      </c>
      <c r="E896">
        <v>0.46150279999999999</v>
      </c>
      <c r="F896" t="s">
        <v>41</v>
      </c>
      <c r="G896">
        <v>-243.03479999999999</v>
      </c>
      <c r="H896" s="1">
        <v>-4.8582759999999999E-6</v>
      </c>
      <c r="I896">
        <v>377.01490000000001</v>
      </c>
      <c r="J896">
        <v>-324.5881</v>
      </c>
      <c r="K896">
        <v>1.1212219999999999</v>
      </c>
      <c r="L896">
        <v>367.1037</v>
      </c>
      <c r="M896">
        <v>0.99991629999999998</v>
      </c>
      <c r="N896">
        <v>-1.200009E-2</v>
      </c>
      <c r="O896">
        <v>4.8665449999999999E-3</v>
      </c>
      <c r="P896">
        <v>0.98691220000000002</v>
      </c>
      <c r="Q896">
        <v>0.16011700000000001</v>
      </c>
      <c r="R896">
        <v>1.9160139999999999E-2</v>
      </c>
      <c r="S896">
        <v>3.0393680000000001</v>
      </c>
      <c r="T896">
        <v>-4.1704890000000001E-2</v>
      </c>
      <c r="U896">
        <v>0.36868289999999998</v>
      </c>
      <c r="V896">
        <v>-1.43502E-2</v>
      </c>
      <c r="W896">
        <v>0.1719502</v>
      </c>
      <c r="X896">
        <v>0.98500109999999996</v>
      </c>
      <c r="Y896">
        <v>-0.11556669999999999</v>
      </c>
      <c r="Z896">
        <v>1.477637E-3</v>
      </c>
      <c r="AA896">
        <v>0.99329860000000003</v>
      </c>
      <c r="AB896">
        <v>30</v>
      </c>
      <c r="AC896">
        <v>81.553299999999993</v>
      </c>
      <c r="AD896">
        <v>-1.1212268582760001</v>
      </c>
      <c r="AE896">
        <v>9.9111999999999991</v>
      </c>
      <c r="AF896">
        <v>-9.5123994440240196</v>
      </c>
      <c r="AG896">
        <v>-1.1212268582760001</v>
      </c>
      <c r="AH896">
        <v>81.585374217042101</v>
      </c>
      <c r="AI896">
        <v>90.7820684591874</v>
      </c>
      <c r="AJ896">
        <v>96.6503412079052</v>
      </c>
      <c r="AK896">
        <v>82.145700916026001</v>
      </c>
      <c r="AL896">
        <v>80.098772631540996</v>
      </c>
      <c r="AM896">
        <v>90.8346668163191</v>
      </c>
      <c r="AN896">
        <v>0.99999998326064399</v>
      </c>
    </row>
    <row r="897" spans="1:40" x14ac:dyDescent="0.25">
      <c r="A897" t="str">
        <f>"20190303161857716"</f>
        <v>20190303161857716</v>
      </c>
      <c r="B897" t="str">
        <f>"1551601137703698"</f>
        <v>1551601137703698</v>
      </c>
      <c r="C897" t="s">
        <v>40</v>
      </c>
      <c r="D897">
        <v>4.3867000000000003</v>
      </c>
      <c r="E897">
        <v>0.46155390000000002</v>
      </c>
      <c r="F897" t="s">
        <v>41</v>
      </c>
      <c r="G897">
        <v>-242.48159999999999</v>
      </c>
      <c r="H897" s="1">
        <v>-5.0756839999999999E-6</v>
      </c>
      <c r="I897">
        <v>377.0428</v>
      </c>
      <c r="J897">
        <v>-324.44310000000002</v>
      </c>
      <c r="K897">
        <v>1.1212230000000001</v>
      </c>
      <c r="L897">
        <v>367.1044</v>
      </c>
      <c r="M897">
        <v>0.99991609999999997</v>
      </c>
      <c r="N897">
        <v>-1.2000240000000001E-2</v>
      </c>
      <c r="O897">
        <v>4.8666630000000002E-3</v>
      </c>
      <c r="P897">
        <v>0.98685259999999997</v>
      </c>
      <c r="Q897">
        <v>0.1604844</v>
      </c>
      <c r="R897">
        <v>1.9160420000000001E-2</v>
      </c>
      <c r="S897">
        <v>3.0393680000000001</v>
      </c>
      <c r="T897">
        <v>-4.1504859999999998E-2</v>
      </c>
      <c r="U897">
        <v>0.36791990000000002</v>
      </c>
      <c r="V897">
        <v>-1.4350669999999999E-2</v>
      </c>
      <c r="W897">
        <v>0.172317</v>
      </c>
      <c r="X897">
        <v>0.98493699999999995</v>
      </c>
      <c r="Y897">
        <v>-0.11532100000000001</v>
      </c>
      <c r="Z897">
        <v>1.4710260000000001E-3</v>
      </c>
      <c r="AA897">
        <v>0.99332719999999997</v>
      </c>
      <c r="AB897">
        <v>30</v>
      </c>
      <c r="AC897">
        <v>81.961500000000001</v>
      </c>
      <c r="AD897">
        <v>-1.1212280756839901</v>
      </c>
      <c r="AE897">
        <v>9.9383999999999997</v>
      </c>
      <c r="AF897">
        <v>-9.5376155338799897</v>
      </c>
      <c r="AG897">
        <v>-1.1212280756839901</v>
      </c>
      <c r="AH897">
        <v>81.993777552551805</v>
      </c>
      <c r="AI897">
        <v>90.778198799920503</v>
      </c>
      <c r="AJ897">
        <v>96.634896931466898</v>
      </c>
      <c r="AK897">
        <v>82.554241682709204</v>
      </c>
      <c r="AL897">
        <v>80.077438180061307</v>
      </c>
      <c r="AM897">
        <v>90.834748464053007</v>
      </c>
      <c r="AN897">
        <v>0.99999999209372403</v>
      </c>
    </row>
    <row r="898" spans="1:40" x14ac:dyDescent="0.25">
      <c r="A898" t="str">
        <f>"20190303161857727"</f>
        <v>20190303161857727</v>
      </c>
      <c r="B898" t="str">
        <f>"1551601137713459"</f>
        <v>1551601137713459</v>
      </c>
      <c r="C898" t="s">
        <v>40</v>
      </c>
      <c r="D898">
        <v>4.3770350000000002</v>
      </c>
      <c r="E898">
        <v>0.46161920000000001</v>
      </c>
      <c r="F898" t="s">
        <v>41</v>
      </c>
      <c r="G898">
        <v>-240.291</v>
      </c>
      <c r="H898" s="1">
        <v>-5.9606140000000001E-6</v>
      </c>
      <c r="I898">
        <v>377.28930000000003</v>
      </c>
      <c r="J898">
        <v>-324.30239999999998</v>
      </c>
      <c r="K898">
        <v>1.1212249999999999</v>
      </c>
      <c r="L898">
        <v>367.10509999999999</v>
      </c>
      <c r="M898">
        <v>0.99991629999999998</v>
      </c>
      <c r="N898">
        <v>-1.200039E-2</v>
      </c>
      <c r="O898">
        <v>4.8665430000000001E-3</v>
      </c>
      <c r="P898">
        <v>0.98681229999999998</v>
      </c>
      <c r="Q898">
        <v>0.16073490000000001</v>
      </c>
      <c r="R898">
        <v>1.9130129999999999E-2</v>
      </c>
      <c r="S898">
        <v>3.0394290000000002</v>
      </c>
      <c r="T898">
        <v>-4.0496829999999998E-2</v>
      </c>
      <c r="U898">
        <v>0.36785889999999999</v>
      </c>
      <c r="V898">
        <v>-1.431997E-2</v>
      </c>
      <c r="W898">
        <v>0.1725669</v>
      </c>
      <c r="X898">
        <v>0.98489369999999998</v>
      </c>
      <c r="Y898">
        <v>-0.11529979999999999</v>
      </c>
      <c r="Z898">
        <v>1.453307E-3</v>
      </c>
      <c r="AA898">
        <v>0.99332969999999998</v>
      </c>
      <c r="AB898">
        <v>30</v>
      </c>
      <c r="AC898">
        <v>84.011399999999895</v>
      </c>
      <c r="AD898">
        <v>-1.1212309606139901</v>
      </c>
      <c r="AE898">
        <v>10.184200000000001</v>
      </c>
      <c r="AF898">
        <v>-9.7734892670784106</v>
      </c>
      <c r="AG898">
        <v>-1.1212309606139901</v>
      </c>
      <c r="AH898">
        <v>84.045217063824197</v>
      </c>
      <c r="AI898">
        <v>90.759210989323293</v>
      </c>
      <c r="AJ898">
        <v>96.633045729808401</v>
      </c>
      <c r="AK898">
        <v>84.619009463749194</v>
      </c>
      <c r="AL898">
        <v>80.062902274548406</v>
      </c>
      <c r="AM898">
        <v>90.832999576462797</v>
      </c>
      <c r="AN898">
        <v>0.99999999840804998</v>
      </c>
    </row>
    <row r="899" spans="1:40" x14ac:dyDescent="0.25">
      <c r="A899" t="str">
        <f>"20190303161857738"</f>
        <v>20190303161857738</v>
      </c>
      <c r="B899" t="str">
        <f>"1551601137733954"</f>
        <v>1551601137733954</v>
      </c>
      <c r="C899" t="s">
        <v>40</v>
      </c>
      <c r="D899">
        <v>4.4639569999999997</v>
      </c>
      <c r="E899">
        <v>0.46154250000000002</v>
      </c>
      <c r="F899" t="s">
        <v>41</v>
      </c>
      <c r="G899">
        <v>-240.59989999999999</v>
      </c>
      <c r="H899" s="1">
        <v>-5.8281740000000001E-6</v>
      </c>
      <c r="I899">
        <v>377.21140000000003</v>
      </c>
      <c r="J899">
        <v>-324.13740000000001</v>
      </c>
      <c r="K899">
        <v>1.121224</v>
      </c>
      <c r="L899">
        <v>367.10590000000002</v>
      </c>
      <c r="M899">
        <v>0.99991629999999998</v>
      </c>
      <c r="N899">
        <v>-1.200057E-2</v>
      </c>
      <c r="O899">
        <v>4.8666610000000004E-3</v>
      </c>
      <c r="P899">
        <v>0.98676379999999997</v>
      </c>
      <c r="Q899">
        <v>0.16101199999999999</v>
      </c>
      <c r="R899">
        <v>1.9307769999999998E-2</v>
      </c>
      <c r="S899">
        <v>3.039612</v>
      </c>
      <c r="T899">
        <v>-4.0716889999999999E-2</v>
      </c>
      <c r="U899">
        <v>0.36700440000000001</v>
      </c>
      <c r="V899">
        <v>-1.4498189999999999E-2</v>
      </c>
      <c r="W899">
        <v>0.17284349999999901</v>
      </c>
      <c r="X899">
        <v>0.98484260000000001</v>
      </c>
      <c r="Y899">
        <v>-0.1150172</v>
      </c>
      <c r="Z899">
        <v>1.453497E-3</v>
      </c>
      <c r="AA899">
        <v>0.99336239999999998</v>
      </c>
      <c r="AB899">
        <v>30</v>
      </c>
      <c r="AC899">
        <v>83.537499999999994</v>
      </c>
      <c r="AD899">
        <v>-1.1212298281739901</v>
      </c>
      <c r="AE899">
        <v>10.105499999999999</v>
      </c>
      <c r="AF899">
        <v>-9.6970806996802406</v>
      </c>
      <c r="AG899">
        <v>-1.1212298281739901</v>
      </c>
      <c r="AH899">
        <v>83.570856279022294</v>
      </c>
      <c r="AI899">
        <v>90.763541350778496</v>
      </c>
      <c r="AJ899">
        <v>96.618673586094303</v>
      </c>
      <c r="AK899">
        <v>84.139042956481802</v>
      </c>
      <c r="AL899">
        <v>80.046812605112095</v>
      </c>
      <c r="AM899">
        <v>90.843408984734694</v>
      </c>
      <c r="AN899">
        <v>1.00000000989014</v>
      </c>
    </row>
    <row r="900" spans="1:40" x14ac:dyDescent="0.25">
      <c r="A900" t="str">
        <f>"20190303161857751"</f>
        <v>20190303161857751</v>
      </c>
      <c r="B900" t="str">
        <f>"1551601137743715"</f>
        <v>1551601137743715</v>
      </c>
      <c r="C900" t="s">
        <v>40</v>
      </c>
      <c r="D900">
        <v>4.4632930000000002</v>
      </c>
      <c r="E900">
        <v>0.46151209999999998</v>
      </c>
      <c r="F900" t="s">
        <v>41</v>
      </c>
      <c r="G900">
        <v>-244.14099999999999</v>
      </c>
      <c r="H900" s="1">
        <v>-4.3936190000000001E-6</v>
      </c>
      <c r="I900">
        <v>376.7903</v>
      </c>
      <c r="J900">
        <v>-323.9787</v>
      </c>
      <c r="K900">
        <v>1.1212260000000001</v>
      </c>
      <c r="L900">
        <v>367.10669999999999</v>
      </c>
      <c r="M900">
        <v>0.99991629999999998</v>
      </c>
      <c r="N900">
        <v>-1.2000729999999999E-2</v>
      </c>
      <c r="O900">
        <v>4.8666600000000001E-3</v>
      </c>
      <c r="P900">
        <v>0.98668239999999996</v>
      </c>
      <c r="Q900">
        <v>0.1615191</v>
      </c>
      <c r="R900">
        <v>1.923381E-2</v>
      </c>
      <c r="S900">
        <v>3.039917</v>
      </c>
      <c r="T900">
        <v>-4.2607430000000002E-2</v>
      </c>
      <c r="U900">
        <v>0.36801149999999999</v>
      </c>
      <c r="V900">
        <v>-1.4424569999999999E-2</v>
      </c>
      <c r="W900">
        <v>0.17335020000000001</v>
      </c>
      <c r="X900">
        <v>0.98475460000000004</v>
      </c>
      <c r="Y900">
        <v>-0.11532820000000001</v>
      </c>
      <c r="Z900">
        <v>1.4901000000000001E-3</v>
      </c>
      <c r="AA900">
        <v>0.9933263</v>
      </c>
      <c r="AB900">
        <v>30</v>
      </c>
      <c r="AC900">
        <v>79.837699999999998</v>
      </c>
      <c r="AD900">
        <v>-1.121230393619</v>
      </c>
      <c r="AE900">
        <v>9.6836000000000109</v>
      </c>
      <c r="AF900">
        <v>-9.2931081360600896</v>
      </c>
      <c r="AG900">
        <v>-1.121230393619</v>
      </c>
      <c r="AH900">
        <v>79.868360500918698</v>
      </c>
      <c r="AI900">
        <v>90.798903714229496</v>
      </c>
      <c r="AJ900">
        <v>96.636824752474993</v>
      </c>
      <c r="AK900">
        <v>80.4150111952289</v>
      </c>
      <c r="AL900">
        <v>80.017335687610299</v>
      </c>
      <c r="AM900">
        <v>90.839201848715206</v>
      </c>
      <c r="AN900">
        <v>0.99999999114044202</v>
      </c>
    </row>
    <row r="901" spans="1:40" x14ac:dyDescent="0.25">
      <c r="A901" t="str">
        <f>"20190303161857765"</f>
        <v>20190303161857765</v>
      </c>
      <c r="B901" t="str">
        <f>"1551601137753474"</f>
        <v>1551601137753474</v>
      </c>
      <c r="C901" t="s">
        <v>40</v>
      </c>
      <c r="D901">
        <v>4.413557</v>
      </c>
      <c r="E901">
        <v>0.46140379999999998</v>
      </c>
      <c r="F901" t="s">
        <v>41</v>
      </c>
      <c r="G901">
        <v>-242.9049</v>
      </c>
      <c r="H901" s="1">
        <v>-4.892262E-6</v>
      </c>
      <c r="I901">
        <v>376.92529999999999</v>
      </c>
      <c r="J901">
        <v>-323.80239999999998</v>
      </c>
      <c r="K901">
        <v>1.1212279999999999</v>
      </c>
      <c r="L901">
        <v>367.10750000000002</v>
      </c>
      <c r="M901">
        <v>0.99991609999999997</v>
      </c>
      <c r="N901">
        <v>-1.200091E-2</v>
      </c>
      <c r="O901">
        <v>4.8668380000000001E-3</v>
      </c>
      <c r="P901">
        <v>0.98661529999999997</v>
      </c>
      <c r="Q901">
        <v>0.16188369999999999</v>
      </c>
      <c r="R901">
        <v>1.9592479999999999E-2</v>
      </c>
      <c r="S901">
        <v>3.0402529999999999</v>
      </c>
      <c r="T901">
        <v>-4.2045949999999999E-2</v>
      </c>
      <c r="U901">
        <v>0.36819459999999998</v>
      </c>
      <c r="V901">
        <v>-1.4783289999999999E-2</v>
      </c>
      <c r="W901">
        <v>0.1737137</v>
      </c>
      <c r="X901">
        <v>0.98468520000000004</v>
      </c>
      <c r="Y901">
        <v>-0.1153744</v>
      </c>
      <c r="Z901">
        <v>1.4809090000000001E-3</v>
      </c>
      <c r="AA901">
        <v>0.99332100000000001</v>
      </c>
      <c r="AB901">
        <v>30</v>
      </c>
      <c r="AC901">
        <v>80.897499999999894</v>
      </c>
      <c r="AD901">
        <v>-1.1212328922620001</v>
      </c>
      <c r="AE901">
        <v>9.8177999999999699</v>
      </c>
      <c r="AF901">
        <v>-9.4221566106535395</v>
      </c>
      <c r="AG901">
        <v>-1.1212328922620001</v>
      </c>
      <c r="AH901">
        <v>80.929006266568294</v>
      </c>
      <c r="AI901">
        <v>90.788430160815494</v>
      </c>
      <c r="AJ901">
        <v>96.640762065061196</v>
      </c>
      <c r="AK901">
        <v>81.483361821224705</v>
      </c>
      <c r="AL901">
        <v>79.996187598982701</v>
      </c>
      <c r="AM901">
        <v>90.860129201125204</v>
      </c>
      <c r="AN901">
        <v>0.99999996916497602</v>
      </c>
    </row>
    <row r="902" spans="1:40" x14ac:dyDescent="0.25">
      <c r="A902" t="str">
        <f>"20190303161857778"</f>
        <v>20190303161857778</v>
      </c>
      <c r="B902" t="str">
        <f>"1551601137773970"</f>
        <v>1551601137773970</v>
      </c>
      <c r="C902" t="s">
        <v>40</v>
      </c>
      <c r="D902">
        <v>4.4144550000000002</v>
      </c>
      <c r="E902">
        <v>0.4614183</v>
      </c>
      <c r="F902" t="s">
        <v>41</v>
      </c>
      <c r="G902">
        <v>-242.52440000000001</v>
      </c>
      <c r="H902" s="1">
        <v>-5.0533579999999999E-6</v>
      </c>
      <c r="I902">
        <v>377.00959999999998</v>
      </c>
      <c r="J902">
        <v>-323.62799999999999</v>
      </c>
      <c r="K902">
        <v>1.1212329999999999</v>
      </c>
      <c r="L902">
        <v>367.10840000000002</v>
      </c>
      <c r="M902">
        <v>0.99991609999999997</v>
      </c>
      <c r="N902">
        <v>-1.2001090000000001E-2</v>
      </c>
      <c r="O902">
        <v>4.8668359999999898E-3</v>
      </c>
      <c r="P902">
        <v>0.98653959999999996</v>
      </c>
      <c r="Q902">
        <v>0.162327799999999</v>
      </c>
      <c r="R902">
        <v>1.9734689999999999E-2</v>
      </c>
      <c r="S902">
        <v>3.040222</v>
      </c>
      <c r="T902">
        <v>-4.193997E-2</v>
      </c>
      <c r="U902">
        <v>0.37039179999999999</v>
      </c>
      <c r="V902">
        <v>-1.492578E-2</v>
      </c>
      <c r="W902">
        <v>0.17415749999999999</v>
      </c>
      <c r="X902">
        <v>0.9846047</v>
      </c>
      <c r="Y902">
        <v>-0.11608300000000001</v>
      </c>
      <c r="Z902">
        <v>1.488227E-3</v>
      </c>
      <c r="AA902">
        <v>0.99323839999999997</v>
      </c>
      <c r="AB902">
        <v>30</v>
      </c>
      <c r="AC902">
        <v>81.103599999999901</v>
      </c>
      <c r="AD902">
        <v>-1.121238053358</v>
      </c>
      <c r="AE902">
        <v>9.9011999999999603</v>
      </c>
      <c r="AF902">
        <v>-9.5045464861193292</v>
      </c>
      <c r="AG902">
        <v>-1.121238053358</v>
      </c>
      <c r="AH902">
        <v>81.135551092071196</v>
      </c>
      <c r="AI902">
        <v>90.786361802421098</v>
      </c>
      <c r="AJ902">
        <v>96.681407923511998</v>
      </c>
      <c r="AK902">
        <v>81.698049118037005</v>
      </c>
      <c r="AL902">
        <v>79.970366594457502</v>
      </c>
      <c r="AM902">
        <v>90.868489356008197</v>
      </c>
      <c r="AN902">
        <v>1.00000001448847</v>
      </c>
    </row>
    <row r="903" spans="1:40" x14ac:dyDescent="0.25">
      <c r="A903" t="str">
        <f>"20190303161857791"</f>
        <v>20190303161857791</v>
      </c>
      <c r="B903" t="str">
        <f>"1551601137783731"</f>
        <v>1551601137783731</v>
      </c>
      <c r="C903" t="s">
        <v>40</v>
      </c>
      <c r="D903">
        <v>4.4127530000000004</v>
      </c>
      <c r="E903">
        <v>0.46139999999999998</v>
      </c>
      <c r="F903" t="s">
        <v>41</v>
      </c>
      <c r="G903">
        <v>-240.91730000000001</v>
      </c>
      <c r="H903" s="1">
        <v>-5.7024590000000004E-6</v>
      </c>
      <c r="I903">
        <v>377.18970000000002</v>
      </c>
      <c r="J903">
        <v>-323.4502</v>
      </c>
      <c r="K903">
        <v>1.1212340000000001</v>
      </c>
      <c r="L903">
        <v>367.10919999999999</v>
      </c>
      <c r="M903">
        <v>0.99991629999999998</v>
      </c>
      <c r="N903">
        <v>-1.200128E-2</v>
      </c>
      <c r="O903">
        <v>4.8666559999999996E-3</v>
      </c>
      <c r="P903">
        <v>0.98649629999999999</v>
      </c>
      <c r="Q903">
        <v>0.16261439999999999</v>
      </c>
      <c r="R903">
        <v>1.954287E-2</v>
      </c>
      <c r="S903">
        <v>3.040314</v>
      </c>
      <c r="T903">
        <v>-4.1214939999999999E-2</v>
      </c>
      <c r="U903">
        <v>0.37057499999999999</v>
      </c>
      <c r="V903">
        <v>-1.473441E-2</v>
      </c>
      <c r="W903">
        <v>0.1744434</v>
      </c>
      <c r="X903">
        <v>0.98455700000000002</v>
      </c>
      <c r="Y903">
        <v>-0.11613900000000001</v>
      </c>
      <c r="Z903">
        <v>1.4762989999999999E-3</v>
      </c>
      <c r="AA903">
        <v>0.99323189999999995</v>
      </c>
      <c r="AB903">
        <v>30</v>
      </c>
      <c r="AC903">
        <v>82.532899999999898</v>
      </c>
      <c r="AD903">
        <v>-1.121239702459</v>
      </c>
      <c r="AE903">
        <v>10.080500000000001</v>
      </c>
      <c r="AF903">
        <v>-9.6769327660517099</v>
      </c>
      <c r="AG903">
        <v>-1.121239702459</v>
      </c>
      <c r="AH903">
        <v>82.565969767487204</v>
      </c>
      <c r="AI903">
        <v>90.772736022235406</v>
      </c>
      <c r="AJ903">
        <v>96.684708268686506</v>
      </c>
      <c r="AK903">
        <v>83.1386767387758</v>
      </c>
      <c r="AL903">
        <v>79.953731387552693</v>
      </c>
      <c r="AM903">
        <v>90.857397275476302</v>
      </c>
      <c r="AN903">
        <v>1.0000000444453001</v>
      </c>
    </row>
    <row r="904" spans="1:40" x14ac:dyDescent="0.25">
      <c r="A904" t="str">
        <f>"20190303161857804"</f>
        <v>20190303161857804</v>
      </c>
      <c r="B904" t="str">
        <f>"1551601137793490"</f>
        <v>1551601137793490</v>
      </c>
      <c r="C904" t="s">
        <v>40</v>
      </c>
      <c r="D904">
        <v>4.4330350000000003</v>
      </c>
      <c r="E904">
        <v>0.46140799999999998</v>
      </c>
      <c r="F904" t="s">
        <v>41</v>
      </c>
      <c r="G904">
        <v>-239.67189999999999</v>
      </c>
      <c r="H904" s="1">
        <v>-2.1740100000000001E-6</v>
      </c>
      <c r="I904">
        <v>377.3245</v>
      </c>
      <c r="J904">
        <v>-323.26940000000002</v>
      </c>
      <c r="K904">
        <v>1.121238</v>
      </c>
      <c r="L904">
        <v>367.11009999999999</v>
      </c>
      <c r="M904">
        <v>0.99991629999999998</v>
      </c>
      <c r="N904">
        <v>-1.200145E-2</v>
      </c>
      <c r="O904">
        <v>4.8668339999999996E-3</v>
      </c>
      <c r="P904">
        <v>0.98643510000000001</v>
      </c>
      <c r="Q904">
        <v>0.16301360000000001</v>
      </c>
      <c r="R904">
        <v>1.9297379999999999E-2</v>
      </c>
      <c r="S904">
        <v>3.0404360000000001</v>
      </c>
      <c r="T904">
        <v>-4.069126E-2</v>
      </c>
      <c r="U904">
        <v>0.37072749999999999</v>
      </c>
      <c r="V904">
        <v>-1.448877E-2</v>
      </c>
      <c r="W904">
        <v>0.174842</v>
      </c>
      <c r="X904">
        <v>0.98448990000000003</v>
      </c>
      <c r="Y904">
        <v>-0.1161835</v>
      </c>
      <c r="Z904">
        <v>1.467716E-3</v>
      </c>
      <c r="AA904">
        <v>0.99322659999999996</v>
      </c>
      <c r="AB904">
        <v>30</v>
      </c>
      <c r="AC904">
        <v>83.597499999999997</v>
      </c>
      <c r="AD904">
        <v>-1.12124017401</v>
      </c>
      <c r="AE904">
        <v>10.214399999999999</v>
      </c>
      <c r="AF904">
        <v>-9.8056566125920508</v>
      </c>
      <c r="AG904">
        <v>-1.12124017401</v>
      </c>
      <c r="AH904">
        <v>83.631401885177993</v>
      </c>
      <c r="AI904">
        <v>90.762889088838506</v>
      </c>
      <c r="AJ904">
        <v>96.687311906870406</v>
      </c>
      <c r="AK904">
        <v>84.211753707021401</v>
      </c>
      <c r="AL904">
        <v>79.930536445898298</v>
      </c>
      <c r="AM904">
        <v>90.843162987354205</v>
      </c>
      <c r="AN904">
        <v>1.0000000063110599</v>
      </c>
    </row>
    <row r="905" spans="1:40" x14ac:dyDescent="0.25">
      <c r="A905" t="str">
        <f>"20190303161857816"</f>
        <v>20190303161857816</v>
      </c>
      <c r="B905" t="str">
        <f>"1551601137804227"</f>
        <v>1551601137804227</v>
      </c>
      <c r="C905" t="s">
        <v>40</v>
      </c>
      <c r="D905">
        <v>4.4341860000000004</v>
      </c>
      <c r="E905">
        <v>0.46140880000000001</v>
      </c>
      <c r="F905" t="s">
        <v>41</v>
      </c>
      <c r="G905">
        <v>-237.92740000000001</v>
      </c>
      <c r="H905" s="1">
        <v>-2.9658940000000001E-6</v>
      </c>
      <c r="I905">
        <v>377.488</v>
      </c>
      <c r="J905">
        <v>-323.10950000000003</v>
      </c>
      <c r="K905">
        <v>1.121238</v>
      </c>
      <c r="L905">
        <v>367.11079999999998</v>
      </c>
      <c r="M905">
        <v>0.99991609999999997</v>
      </c>
      <c r="N905">
        <v>-1.2001619999999999E-2</v>
      </c>
      <c r="O905">
        <v>4.8670120000000004E-3</v>
      </c>
      <c r="P905">
        <v>0.98641639999999997</v>
      </c>
      <c r="Q905">
        <v>0.16316520000000001</v>
      </c>
      <c r="R905">
        <v>1.8970600000000001E-2</v>
      </c>
      <c r="S905">
        <v>3.040619</v>
      </c>
      <c r="T905">
        <v>-3.9948230000000001E-2</v>
      </c>
      <c r="U905">
        <v>0.369751</v>
      </c>
      <c r="V905">
        <v>-1.4162589999999999E-2</v>
      </c>
      <c r="W905">
        <v>0.1749937</v>
      </c>
      <c r="X905">
        <v>0.98446769999999995</v>
      </c>
      <c r="Y905">
        <v>-0.1158624</v>
      </c>
      <c r="Z905">
        <v>1.450691E-3</v>
      </c>
      <c r="AA905">
        <v>0.99326420000000004</v>
      </c>
      <c r="AB905">
        <v>30</v>
      </c>
      <c r="AC905">
        <v>85.182100000000005</v>
      </c>
      <c r="AD905">
        <v>-1.1212409658939999</v>
      </c>
      <c r="AE905">
        <v>10.3772</v>
      </c>
      <c r="AF905">
        <v>-9.9607643218163808</v>
      </c>
      <c r="AG905">
        <v>-1.1212409658939999</v>
      </c>
      <c r="AH905">
        <v>85.217051671172896</v>
      </c>
      <c r="AI905">
        <v>90.748727282203802</v>
      </c>
      <c r="AJ905">
        <v>96.666878584573695</v>
      </c>
      <c r="AK905">
        <v>85.804544767195907</v>
      </c>
      <c r="AL905">
        <v>79.921708647059802</v>
      </c>
      <c r="AM905">
        <v>90.824202421014704</v>
      </c>
      <c r="AN905">
        <v>1.0000000131692399</v>
      </c>
    </row>
    <row r="906" spans="1:40" x14ac:dyDescent="0.25">
      <c r="A906" t="str">
        <f>"20190303161857838"</f>
        <v>20190303161857838</v>
      </c>
      <c r="B906" t="str">
        <f>"1551601137833507"</f>
        <v>1551601137833507</v>
      </c>
      <c r="C906" t="s">
        <v>40</v>
      </c>
      <c r="D906">
        <v>4.3985479999999999</v>
      </c>
      <c r="E906">
        <v>0.46137400000000001</v>
      </c>
      <c r="F906" t="s">
        <v>41</v>
      </c>
      <c r="G906">
        <v>-238.64529999999999</v>
      </c>
      <c r="H906" s="1">
        <v>-2.619629E-6</v>
      </c>
      <c r="I906">
        <v>377.34399999999999</v>
      </c>
      <c r="J906">
        <v>-322.82749999999999</v>
      </c>
      <c r="K906">
        <v>1.1212390000000001</v>
      </c>
      <c r="L906">
        <v>367.11219999999997</v>
      </c>
      <c r="M906">
        <v>0.99991629999999998</v>
      </c>
      <c r="N906">
        <v>-1.2001919999999999E-2</v>
      </c>
      <c r="O906">
        <v>4.8668309999999899E-3</v>
      </c>
      <c r="P906">
        <v>0.98641250000000003</v>
      </c>
      <c r="Q906">
        <v>0.1632053</v>
      </c>
      <c r="R906">
        <v>1.8827449999999999E-2</v>
      </c>
      <c r="S906">
        <v>3.0408330000000001</v>
      </c>
      <c r="T906">
        <v>-4.036617E-2</v>
      </c>
      <c r="U906">
        <v>0.36840820000000002</v>
      </c>
      <c r="V906">
        <v>-1.401932E-2</v>
      </c>
      <c r="W906">
        <v>0.175034</v>
      </c>
      <c r="X906">
        <v>0.98446259999999997</v>
      </c>
      <c r="Y906">
        <v>-0.1154217</v>
      </c>
      <c r="Z906">
        <v>1.45236E-3</v>
      </c>
      <c r="AA906">
        <v>0.99331550000000002</v>
      </c>
      <c r="AB906">
        <v>30</v>
      </c>
      <c r="AC906">
        <v>84.182199999999995</v>
      </c>
      <c r="AD906">
        <v>-1.12124161962899</v>
      </c>
      <c r="AE906">
        <v>10.2318</v>
      </c>
      <c r="AF906">
        <v>-9.8202320594460204</v>
      </c>
      <c r="AG906">
        <v>-1.12124161962899</v>
      </c>
      <c r="AH906">
        <v>84.216280278962202</v>
      </c>
      <c r="AI906">
        <v>90.757648484246204</v>
      </c>
      <c r="AJ906">
        <v>96.651068568412995</v>
      </c>
      <c r="AK906">
        <v>84.794315873740501</v>
      </c>
      <c r="AL906">
        <v>79.919363568299303</v>
      </c>
      <c r="AM906">
        <v>90.815870075974104</v>
      </c>
      <c r="AN906">
        <v>1.0000000266440101</v>
      </c>
    </row>
    <row r="907" spans="1:40" x14ac:dyDescent="0.25">
      <c r="A907" t="str">
        <f>"20190303161857850"</f>
        <v>20190303161857850</v>
      </c>
      <c r="B907" t="str">
        <f>"1551601137844242"</f>
        <v>1551601137844242</v>
      </c>
      <c r="C907" t="s">
        <v>40</v>
      </c>
      <c r="D907">
        <v>4.3861499999999998</v>
      </c>
      <c r="E907">
        <v>0.4613546</v>
      </c>
      <c r="F907" t="s">
        <v>41</v>
      </c>
      <c r="G907">
        <v>-241.24600000000001</v>
      </c>
      <c r="H907" s="1">
        <v>-5.5417849999999998E-6</v>
      </c>
      <c r="I907">
        <v>376.99560000000002</v>
      </c>
      <c r="J907">
        <v>-322.67529999999999</v>
      </c>
      <c r="K907">
        <v>1.12124</v>
      </c>
      <c r="L907">
        <v>367.11290000000002</v>
      </c>
      <c r="M907">
        <v>0.99991629999999998</v>
      </c>
      <c r="N907">
        <v>-1.200207E-2</v>
      </c>
      <c r="O907">
        <v>4.8668299999999999E-3</v>
      </c>
      <c r="P907">
        <v>0.98643519999999896</v>
      </c>
      <c r="Q907">
        <v>0.163064299999999</v>
      </c>
      <c r="R907">
        <v>1.8862520000000001E-2</v>
      </c>
      <c r="S907">
        <v>3.041229</v>
      </c>
      <c r="T907">
        <v>-4.1798229999999999E-2</v>
      </c>
      <c r="U907">
        <v>0.36843870000000001</v>
      </c>
      <c r="V907">
        <v>-1.4053939999999999E-2</v>
      </c>
      <c r="W907">
        <v>0.1748932</v>
      </c>
      <c r="X907">
        <v>0.98448709999999995</v>
      </c>
      <c r="Y907">
        <v>-0.11541510000000001</v>
      </c>
      <c r="Z907">
        <v>1.476986E-3</v>
      </c>
      <c r="AA907">
        <v>0.99331619999999998</v>
      </c>
      <c r="AB907">
        <v>30</v>
      </c>
      <c r="AC907">
        <v>81.429299999999998</v>
      </c>
      <c r="AD907">
        <v>-1.121245541785</v>
      </c>
      <c r="AE907">
        <v>9.8826999999999998</v>
      </c>
      <c r="AF907">
        <v>-9.4844797412606106</v>
      </c>
      <c r="AG907">
        <v>-1.121245541785</v>
      </c>
      <c r="AH907">
        <v>81.461215453892095</v>
      </c>
      <c r="AI907">
        <v>90.783288204549095</v>
      </c>
      <c r="AJ907">
        <v>96.641012367352999</v>
      </c>
      <c r="AK907">
        <v>82.019157339933599</v>
      </c>
      <c r="AL907">
        <v>79.927556903301394</v>
      </c>
      <c r="AM907">
        <v>90.817864201261401</v>
      </c>
      <c r="AN907">
        <v>0.99999999735108602</v>
      </c>
    </row>
    <row r="908" spans="1:40" x14ac:dyDescent="0.25">
      <c r="A908" t="str">
        <f>"20190303161857860"</f>
        <v>20190303161857860</v>
      </c>
      <c r="B908" t="str">
        <f>"1551601137854003"</f>
        <v>1551601137854003</v>
      </c>
      <c r="C908" t="s">
        <v>40</v>
      </c>
      <c r="D908">
        <v>4.4002929999999996</v>
      </c>
      <c r="E908">
        <v>0.46128740000000001</v>
      </c>
      <c r="F908" t="s">
        <v>41</v>
      </c>
      <c r="G908">
        <v>-242.42850000000001</v>
      </c>
      <c r="H908" s="1">
        <v>-5.0599910000000002E-6</v>
      </c>
      <c r="I908">
        <v>376.83949999999999</v>
      </c>
      <c r="J908">
        <v>-322.52589999999998</v>
      </c>
      <c r="K908">
        <v>1.121238</v>
      </c>
      <c r="L908">
        <v>367.11360000000002</v>
      </c>
      <c r="M908">
        <v>0.99991629999999998</v>
      </c>
      <c r="N908">
        <v>-1.2002219999999999E-2</v>
      </c>
      <c r="O908">
        <v>4.8670079999999999E-3</v>
      </c>
      <c r="P908">
        <v>0.98643809999999998</v>
      </c>
      <c r="Q908">
        <v>0.16306370000000001</v>
      </c>
      <c r="R908">
        <v>1.8721939999999999E-2</v>
      </c>
      <c r="S908">
        <v>3.041229</v>
      </c>
      <c r="T908">
        <v>-4.2493459999999997E-2</v>
      </c>
      <c r="U908">
        <v>0.3686218</v>
      </c>
      <c r="V908">
        <v>-1.391358E-2</v>
      </c>
      <c r="W908">
        <v>0.17489270000000001</v>
      </c>
      <c r="X908">
        <v>0.98448919999999995</v>
      </c>
      <c r="Y908">
        <v>-0.1154733</v>
      </c>
      <c r="Z908">
        <v>1.4897860000000001E-3</v>
      </c>
      <c r="AA908">
        <v>0.99330940000000001</v>
      </c>
      <c r="AB908">
        <v>30</v>
      </c>
      <c r="AC908">
        <v>80.097399999999894</v>
      </c>
      <c r="AD908">
        <v>-1.1212430599909999</v>
      </c>
      <c r="AE908">
        <v>9.7258999999999602</v>
      </c>
      <c r="AF908">
        <v>-9.3341195727281701</v>
      </c>
      <c r="AG908">
        <v>-1.1212430599909999</v>
      </c>
      <c r="AH908">
        <v>80.128317001626598</v>
      </c>
      <c r="AI908">
        <v>90.796308911712799</v>
      </c>
      <c r="AJ908">
        <v>96.644418707573706</v>
      </c>
      <c r="AK908">
        <v>80.677940973420505</v>
      </c>
      <c r="AL908">
        <v>79.927586174876495</v>
      </c>
      <c r="AM908">
        <v>90.809695365401794</v>
      </c>
      <c r="AN908">
        <v>1.0000000145691701</v>
      </c>
    </row>
    <row r="909" spans="1:40" x14ac:dyDescent="0.25">
      <c r="A909" t="str">
        <f>"20190303161857872"</f>
        <v>20190303161857872</v>
      </c>
      <c r="B909" t="str">
        <f>"1551601137863762"</f>
        <v>1551601137863762</v>
      </c>
      <c r="C909" t="s">
        <v>40</v>
      </c>
      <c r="D909">
        <v>4.4096099999999998</v>
      </c>
      <c r="E909">
        <v>0.46128259999999999</v>
      </c>
      <c r="F909" t="s">
        <v>41</v>
      </c>
      <c r="G909">
        <v>-244.6139</v>
      </c>
      <c r="H909" s="1">
        <v>-4.1700249999999999E-6</v>
      </c>
      <c r="I909">
        <v>376.55340000000001</v>
      </c>
      <c r="J909">
        <v>-322.3809</v>
      </c>
      <c r="K909">
        <v>1.12124</v>
      </c>
      <c r="L909">
        <v>367.11430000000001</v>
      </c>
      <c r="M909">
        <v>0.99991629999999998</v>
      </c>
      <c r="N909">
        <v>-1.200236E-2</v>
      </c>
      <c r="O909">
        <v>4.8668289999999996E-3</v>
      </c>
      <c r="P909">
        <v>0.98646829999999996</v>
      </c>
      <c r="Q909">
        <v>0.1628714</v>
      </c>
      <c r="R909">
        <v>1.880271E-2</v>
      </c>
      <c r="S909">
        <v>3.0414430000000001</v>
      </c>
      <c r="T909">
        <v>-4.3769839999999997E-2</v>
      </c>
      <c r="U909">
        <v>0.36849979999999999</v>
      </c>
      <c r="V909">
        <v>-1.3994339999999999E-2</v>
      </c>
      <c r="W909">
        <v>0.1747012</v>
      </c>
      <c r="X909">
        <v>0.98452200000000001</v>
      </c>
      <c r="Y909">
        <v>-0.1154249</v>
      </c>
      <c r="Z909">
        <v>1.5112109999999999E-3</v>
      </c>
      <c r="AA909">
        <v>0.99331499999999995</v>
      </c>
      <c r="AB909">
        <v>30</v>
      </c>
      <c r="AC909">
        <v>77.766999999999996</v>
      </c>
      <c r="AD909">
        <v>-1.121244170025</v>
      </c>
      <c r="AE909">
        <v>9.4390999999999892</v>
      </c>
      <c r="AF909">
        <v>-9.0586265523730898</v>
      </c>
      <c r="AG909">
        <v>-1.121244170025</v>
      </c>
      <c r="AH909">
        <v>77.796083309192298</v>
      </c>
      <c r="AI909">
        <v>90.820183517635598</v>
      </c>
      <c r="AJ909">
        <v>96.641648839298199</v>
      </c>
      <c r="AK909">
        <v>78.329729233254497</v>
      </c>
      <c r="AL909">
        <v>79.938729321164203</v>
      </c>
      <c r="AM909">
        <v>90.814367402528404</v>
      </c>
      <c r="AN909">
        <v>0.999999959658736</v>
      </c>
    </row>
    <row r="910" spans="1:40" x14ac:dyDescent="0.25">
      <c r="A910" t="str">
        <f>"20190303161857883"</f>
        <v>20190303161857883</v>
      </c>
      <c r="B910" t="str">
        <f>"1551601137873522"</f>
        <v>1551601137873522</v>
      </c>
      <c r="C910" t="s">
        <v>40</v>
      </c>
      <c r="D910">
        <v>4.3803150000000004</v>
      </c>
      <c r="E910">
        <v>0.46123740000000002</v>
      </c>
      <c r="F910" t="s">
        <v>41</v>
      </c>
      <c r="G910">
        <v>-246.2364</v>
      </c>
      <c r="H910" s="1">
        <v>-3.5121919999999998E-6</v>
      </c>
      <c r="I910">
        <v>376.35750000000002</v>
      </c>
      <c r="J910">
        <v>-322.22129999999999</v>
      </c>
      <c r="K910">
        <v>1.12124</v>
      </c>
      <c r="L910">
        <v>367.11509999999998</v>
      </c>
      <c r="M910">
        <v>0.99991629999999998</v>
      </c>
      <c r="N910">
        <v>-1.2002509999999999E-2</v>
      </c>
      <c r="O910">
        <v>4.8670069999999996E-3</v>
      </c>
      <c r="P910">
        <v>0.98646929999999999</v>
      </c>
      <c r="Q910">
        <v>0.16287019999999999</v>
      </c>
      <c r="R910">
        <v>1.8748150000000002E-2</v>
      </c>
      <c r="S910">
        <v>3.0414729999999999</v>
      </c>
      <c r="T910">
        <v>-4.4786329999999999E-2</v>
      </c>
      <c r="U910">
        <v>0.36920170000000002</v>
      </c>
      <c r="V910">
        <v>-1.3939409999999999E-2</v>
      </c>
      <c r="W910">
        <v>0.1747002</v>
      </c>
      <c r="X910">
        <v>0.98452300000000004</v>
      </c>
      <c r="Y910">
        <v>-0.1156486</v>
      </c>
      <c r="Z910">
        <v>1.531796E-3</v>
      </c>
      <c r="AA910">
        <v>0.99328899999999998</v>
      </c>
      <c r="AB910">
        <v>30</v>
      </c>
      <c r="AC910">
        <v>75.984899999999897</v>
      </c>
      <c r="AD910">
        <v>-1.1212435121919999</v>
      </c>
      <c r="AE910">
        <v>9.2424000000000301</v>
      </c>
      <c r="AF910">
        <v>-8.8705415590053391</v>
      </c>
      <c r="AG910">
        <v>-1.1212435121919999</v>
      </c>
      <c r="AH910">
        <v>76.012676003554205</v>
      </c>
      <c r="AI910">
        <v>90.839398567769507</v>
      </c>
      <c r="AJ910">
        <v>96.656206830043601</v>
      </c>
      <c r="AK910">
        <v>76.536727182346795</v>
      </c>
      <c r="AL910">
        <v>79.938787945111599</v>
      </c>
      <c r="AM910">
        <v>90.811170485694902</v>
      </c>
      <c r="AN910">
        <v>1.0000000022800899</v>
      </c>
    </row>
    <row r="911" spans="1:40" x14ac:dyDescent="0.25">
      <c r="A911" t="str">
        <f>"20190303161857894"</f>
        <v>20190303161857894</v>
      </c>
      <c r="B911" t="str">
        <f>"1551601137884258"</f>
        <v>1551601137884258</v>
      </c>
      <c r="C911" t="s">
        <v>40</v>
      </c>
      <c r="D911">
        <v>4.3606210000000001</v>
      </c>
      <c r="E911">
        <v>0.4612019</v>
      </c>
      <c r="F911" t="s">
        <v>41</v>
      </c>
      <c r="G911">
        <v>-247.21289999999999</v>
      </c>
      <c r="H911" s="1">
        <v>-3.0564289999999998E-6</v>
      </c>
      <c r="I911">
        <v>376.22519999999997</v>
      </c>
      <c r="J911">
        <v>-322.08670000000001</v>
      </c>
      <c r="K911">
        <v>1.121237</v>
      </c>
      <c r="L911">
        <v>367.11579999999998</v>
      </c>
      <c r="M911">
        <v>0.99991629999999998</v>
      </c>
      <c r="N911">
        <v>-1.200263E-2</v>
      </c>
      <c r="O911">
        <v>4.8670060000000001E-3</v>
      </c>
      <c r="P911">
        <v>0.98649679999999995</v>
      </c>
      <c r="Q911">
        <v>0.1626956</v>
      </c>
      <c r="R911">
        <v>1.8827989999999999E-2</v>
      </c>
      <c r="S911">
        <v>3.0416259999999999</v>
      </c>
      <c r="T911">
        <v>-4.5466899999999998E-2</v>
      </c>
      <c r="U911">
        <v>0.3694153</v>
      </c>
      <c r="V911">
        <v>-1.4019190000000001E-2</v>
      </c>
      <c r="W911">
        <v>0.17452599999999999</v>
      </c>
      <c r="X911">
        <v>0.98455269999999995</v>
      </c>
      <c r="Y911">
        <v>-0.11571090000000001</v>
      </c>
      <c r="Z911">
        <v>1.5444079999999999E-3</v>
      </c>
      <c r="AA911">
        <v>0.99328170000000005</v>
      </c>
      <c r="AB911">
        <v>30</v>
      </c>
      <c r="AC911">
        <v>74.873800000000003</v>
      </c>
      <c r="AD911">
        <v>-1.1212400564289999</v>
      </c>
      <c r="AE911">
        <v>9.1093999999999902</v>
      </c>
      <c r="AF911">
        <v>-8.7429226474906407</v>
      </c>
      <c r="AG911">
        <v>-1.1212400564289999</v>
      </c>
      <c r="AH911">
        <v>74.900700083822599</v>
      </c>
      <c r="AI911">
        <v>90.851853021543107</v>
      </c>
      <c r="AJ911">
        <v>96.657826866456702</v>
      </c>
      <c r="AK911">
        <v>75.417575860875402</v>
      </c>
      <c r="AL911">
        <v>79.948923972875306</v>
      </c>
      <c r="AM911">
        <v>90.815787859044406</v>
      </c>
      <c r="AN911">
        <v>0.99999994072077103</v>
      </c>
    </row>
    <row r="912" spans="1:40" x14ac:dyDescent="0.25">
      <c r="A912" t="str">
        <f>"20190303161857906"</f>
        <v>20190303161857906</v>
      </c>
      <c r="B912" t="str">
        <f>"1551601137894019"</f>
        <v>1551601137894019</v>
      </c>
      <c r="C912" t="s">
        <v>40</v>
      </c>
      <c r="D912">
        <v>4.3571780000000002</v>
      </c>
      <c r="E912">
        <v>0.46115070000000002</v>
      </c>
      <c r="F912" t="s">
        <v>41</v>
      </c>
      <c r="G912">
        <v>-248.10210000000001</v>
      </c>
      <c r="H912" s="1">
        <v>-2.606723E-6</v>
      </c>
      <c r="I912">
        <v>376.1148</v>
      </c>
      <c r="J912">
        <v>-321.92630000000003</v>
      </c>
      <c r="K912">
        <v>1.121235</v>
      </c>
      <c r="L912">
        <v>367.11660000000001</v>
      </c>
      <c r="M912">
        <v>0.99991609999999997</v>
      </c>
      <c r="N912">
        <v>-1.2002779999999999E-2</v>
      </c>
      <c r="O912">
        <v>4.8671840000000001E-3</v>
      </c>
      <c r="P912">
        <v>0.9865003</v>
      </c>
      <c r="Q912">
        <v>0.16266820000000001</v>
      </c>
      <c r="R912">
        <v>1.887221E-2</v>
      </c>
      <c r="S912">
        <v>3.0416259999999999</v>
      </c>
      <c r="T912">
        <v>-4.609597E-2</v>
      </c>
      <c r="U912">
        <v>0.36996459999999998</v>
      </c>
      <c r="V912">
        <v>-1.406292E-2</v>
      </c>
      <c r="W912">
        <v>0.17449879999999901</v>
      </c>
      <c r="X912">
        <v>0.98455700000000002</v>
      </c>
      <c r="Y912">
        <v>-0.1158869</v>
      </c>
      <c r="Z912">
        <v>1.5577239999999999E-3</v>
      </c>
      <c r="AA912">
        <v>0.99326119999999996</v>
      </c>
      <c r="AB912">
        <v>30</v>
      </c>
      <c r="AC912">
        <v>73.824200000000005</v>
      </c>
      <c r="AD912">
        <v>-1.1212376067230001</v>
      </c>
      <c r="AE912">
        <v>8.99819999999999</v>
      </c>
      <c r="AF912">
        <v>-8.6367884315855008</v>
      </c>
      <c r="AG912">
        <v>-1.1212376067230001</v>
      </c>
      <c r="AH912">
        <v>73.850338549808598</v>
      </c>
      <c r="AI912">
        <v>90.8639428724547</v>
      </c>
      <c r="AJ912">
        <v>96.670433705035904</v>
      </c>
      <c r="AK912">
        <v>74.362112611894304</v>
      </c>
      <c r="AL912">
        <v>79.950507729394303</v>
      </c>
      <c r="AM912">
        <v>90.818328623610398</v>
      </c>
      <c r="AN912">
        <v>1.0000000415846799</v>
      </c>
    </row>
    <row r="913" spans="1:40" x14ac:dyDescent="0.25">
      <c r="A913" t="str">
        <f>"20190303161857920"</f>
        <v>20190303161857920</v>
      </c>
      <c r="B913" t="str">
        <f>"1551601137913538"</f>
        <v>1551601137913538</v>
      </c>
      <c r="C913" t="s">
        <v>40</v>
      </c>
      <c r="D913">
        <v>4.3561620000000003</v>
      </c>
      <c r="E913">
        <v>0.4610976</v>
      </c>
      <c r="F913" t="s">
        <v>41</v>
      </c>
      <c r="G913">
        <v>-248.8982</v>
      </c>
      <c r="H913" s="1">
        <v>-2.2043179999999999E-6</v>
      </c>
      <c r="I913">
        <v>376.01679999999999</v>
      </c>
      <c r="J913">
        <v>-321.74029999999999</v>
      </c>
      <c r="K913">
        <v>1.121235</v>
      </c>
      <c r="L913">
        <v>367.11750000000001</v>
      </c>
      <c r="M913">
        <v>0.99991629999999998</v>
      </c>
      <c r="N913">
        <v>-1.200296E-2</v>
      </c>
      <c r="O913">
        <v>4.8671829999999998E-3</v>
      </c>
      <c r="P913">
        <v>0.98654759999999997</v>
      </c>
      <c r="Q913">
        <v>0.1624118</v>
      </c>
      <c r="R913">
        <v>1.861297E-2</v>
      </c>
      <c r="S913">
        <v>3.0416259999999999</v>
      </c>
      <c r="T913">
        <v>-4.6699640000000001E-2</v>
      </c>
      <c r="U913">
        <v>0.370697</v>
      </c>
      <c r="V913">
        <v>-1.3803940000000001E-2</v>
      </c>
      <c r="W913">
        <v>0.17424289999999901</v>
      </c>
      <c r="X913">
        <v>0.98460599999999998</v>
      </c>
      <c r="Y913">
        <v>-0.11612210000000001</v>
      </c>
      <c r="Z913">
        <v>1.5714429999999901E-3</v>
      </c>
      <c r="AA913">
        <v>0.9932337</v>
      </c>
      <c r="AB913">
        <v>30</v>
      </c>
      <c r="AC913">
        <v>72.842099999999903</v>
      </c>
      <c r="AD913">
        <v>-1.1212372043179999</v>
      </c>
      <c r="AE913">
        <v>8.8992999999999807</v>
      </c>
      <c r="AF913">
        <v>-8.5426389795628808</v>
      </c>
      <c r="AG913">
        <v>-1.1212372043179999</v>
      </c>
      <c r="AH913">
        <v>72.867543711990095</v>
      </c>
      <c r="AI913">
        <v>90.875564263932205</v>
      </c>
      <c r="AJ913">
        <v>96.686558464006694</v>
      </c>
      <c r="AK913">
        <v>73.3751509723986</v>
      </c>
      <c r="AL913">
        <v>79.965397981550893</v>
      </c>
      <c r="AM913">
        <v>90.803220466023703</v>
      </c>
      <c r="AN913">
        <v>1.0000000560979601</v>
      </c>
    </row>
    <row r="914" spans="1:40" x14ac:dyDescent="0.25">
      <c r="A914" t="str">
        <f>"20190303161857932"</f>
        <v>20190303161857932</v>
      </c>
      <c r="B914" t="str">
        <f>"1551601137924274"</f>
        <v>1551601137924274</v>
      </c>
      <c r="C914" t="s">
        <v>40</v>
      </c>
      <c r="D914">
        <v>4.349704</v>
      </c>
      <c r="E914">
        <v>0.46110329999999999</v>
      </c>
      <c r="F914" t="s">
        <v>41</v>
      </c>
      <c r="G914">
        <v>-251.4615</v>
      </c>
      <c r="H914" s="1">
        <v>-4.8527229999999997E-6</v>
      </c>
      <c r="I914">
        <v>375.67129999999997</v>
      </c>
      <c r="J914">
        <v>-321.58960000000002</v>
      </c>
      <c r="K914">
        <v>1.1212329999999999</v>
      </c>
      <c r="L914">
        <v>367.1182</v>
      </c>
      <c r="M914">
        <v>0.99991629999999998</v>
      </c>
      <c r="N914">
        <v>-1.2003099999999999E-2</v>
      </c>
      <c r="O914">
        <v>4.8673600000000003E-3</v>
      </c>
      <c r="P914">
        <v>0.98660179999999997</v>
      </c>
      <c r="Q914">
        <v>0.16208259999999999</v>
      </c>
      <c r="R914">
        <v>1.86109E-2</v>
      </c>
      <c r="S914">
        <v>3.0419010000000002</v>
      </c>
      <c r="T914">
        <v>-4.8530940000000002E-2</v>
      </c>
      <c r="U914">
        <v>0.37023929999999999</v>
      </c>
      <c r="V914">
        <v>-1.3800990000000001E-2</v>
      </c>
      <c r="W914">
        <v>0.17391470000000001</v>
      </c>
      <c r="X914">
        <v>0.98466399999999998</v>
      </c>
      <c r="Y914">
        <v>-0.11596239999999999</v>
      </c>
      <c r="Z914">
        <v>1.6010530000000001E-3</v>
      </c>
      <c r="AA914">
        <v>0.99325229999999998</v>
      </c>
      <c r="AB914">
        <v>30</v>
      </c>
      <c r="AC914">
        <v>70.128100000000003</v>
      </c>
      <c r="AD914">
        <v>-1.121237852723</v>
      </c>
      <c r="AE914">
        <v>8.5530999999999704</v>
      </c>
      <c r="AF914">
        <v>-8.2095675814792504</v>
      </c>
      <c r="AG914">
        <v>-1.121237852723</v>
      </c>
      <c r="AH914">
        <v>70.151233277567002</v>
      </c>
      <c r="AI914">
        <v>90.9094836356565</v>
      </c>
      <c r="AJ914">
        <v>96.674775788830701</v>
      </c>
      <c r="AK914">
        <v>70.638868228199101</v>
      </c>
      <c r="AL914">
        <v>79.984493365771797</v>
      </c>
      <c r="AM914">
        <v>90.803001538522395</v>
      </c>
      <c r="AN914">
        <v>0.99999999154853403</v>
      </c>
    </row>
    <row r="915" spans="1:40" x14ac:dyDescent="0.25">
      <c r="A915" t="str">
        <f>"20190303161857944"</f>
        <v>20190303161857944</v>
      </c>
      <c r="B915" t="str">
        <f>"1551601137934035"</f>
        <v>1551601137934035</v>
      </c>
      <c r="C915" t="s">
        <v>40</v>
      </c>
      <c r="D915">
        <v>4.3696469999999996</v>
      </c>
      <c r="E915">
        <v>0.46109889999999998</v>
      </c>
      <c r="F915" t="s">
        <v>41</v>
      </c>
      <c r="G915">
        <v>-253.46799999999999</v>
      </c>
      <c r="H915" s="1">
        <v>-4.123799E-6</v>
      </c>
      <c r="I915">
        <v>375.41129999999998</v>
      </c>
      <c r="J915">
        <v>-321.41460000000001</v>
      </c>
      <c r="K915">
        <v>1.1212299999999999</v>
      </c>
      <c r="L915">
        <v>367.11900000000003</v>
      </c>
      <c r="M915">
        <v>0.99991609999999997</v>
      </c>
      <c r="N915">
        <v>-1.200326E-2</v>
      </c>
      <c r="O915">
        <v>4.8675380000000002E-3</v>
      </c>
      <c r="P915">
        <v>0.9866471</v>
      </c>
      <c r="Q915">
        <v>0.16181229999999999</v>
      </c>
      <c r="R915">
        <v>1.8554589999999999E-2</v>
      </c>
      <c r="S915">
        <v>3.041992</v>
      </c>
      <c r="T915">
        <v>-5.0069089999999997E-2</v>
      </c>
      <c r="U915">
        <v>0.37033080000000002</v>
      </c>
      <c r="V915">
        <v>-1.3744839999999999E-2</v>
      </c>
      <c r="W915">
        <v>0.1736451</v>
      </c>
      <c r="X915">
        <v>0.98471240000000004</v>
      </c>
      <c r="Y915">
        <v>-0.1159868</v>
      </c>
      <c r="Z915">
        <v>1.6281399999999999E-3</v>
      </c>
      <c r="AA915">
        <v>0.99324939999999995</v>
      </c>
      <c r="AB915">
        <v>30</v>
      </c>
      <c r="AC915">
        <v>67.946600000000004</v>
      </c>
      <c r="AD915">
        <v>-1.121234123799</v>
      </c>
      <c r="AE915">
        <v>8.2922999999999494</v>
      </c>
      <c r="AF915">
        <v>-7.9593097012599001</v>
      </c>
      <c r="AG915">
        <v>-1.121234123799</v>
      </c>
      <c r="AH915">
        <v>67.967924490721103</v>
      </c>
      <c r="AI915">
        <v>90.938682010679898</v>
      </c>
      <c r="AJ915">
        <v>96.679139579647597</v>
      </c>
      <c r="AK915">
        <v>68.441555625638102</v>
      </c>
      <c r="AL915">
        <v>80.000179320708597</v>
      </c>
      <c r="AM915">
        <v>90.799695609848499</v>
      </c>
      <c r="AN915">
        <v>1.00000002604719</v>
      </c>
    </row>
    <row r="916" spans="1:40" x14ac:dyDescent="0.25">
      <c r="A916" t="str">
        <f>"20190303161857959"</f>
        <v>20190303161857959</v>
      </c>
      <c r="B916" t="str">
        <f>"1551601137943795"</f>
        <v>1551601137943795</v>
      </c>
      <c r="C916" t="s">
        <v>40</v>
      </c>
      <c r="D916">
        <v>4.3632</v>
      </c>
      <c r="E916">
        <v>0.46109480000000003</v>
      </c>
      <c r="F916" t="s">
        <v>41</v>
      </c>
      <c r="G916">
        <v>-254.71209999999999</v>
      </c>
      <c r="H916" s="1">
        <v>-3.6694290000000001E-6</v>
      </c>
      <c r="I916">
        <v>375.23660000000001</v>
      </c>
      <c r="J916">
        <v>-321.23509999999999</v>
      </c>
      <c r="K916">
        <v>1.121229</v>
      </c>
      <c r="L916">
        <v>367.11989999999997</v>
      </c>
      <c r="M916">
        <v>0.99991629999999998</v>
      </c>
      <c r="N916">
        <v>-1.2003430000000001E-2</v>
      </c>
      <c r="O916">
        <v>4.8675369999999999E-3</v>
      </c>
      <c r="P916">
        <v>0.98669709999999999</v>
      </c>
      <c r="Q916">
        <v>0.16153199999999901</v>
      </c>
      <c r="R916">
        <v>1.8344119999999998E-2</v>
      </c>
      <c r="S916">
        <v>3.0420229999999999</v>
      </c>
      <c r="T916">
        <v>-5.113471E-2</v>
      </c>
      <c r="U916">
        <v>0.3702087</v>
      </c>
      <c r="V916">
        <v>-1.3533760000000001E-2</v>
      </c>
      <c r="W916">
        <v>0.173365299999999</v>
      </c>
      <c r="X916">
        <v>0.98476459999999999</v>
      </c>
      <c r="Y916">
        <v>-0.11594550000000001</v>
      </c>
      <c r="Z916">
        <v>1.646088E-3</v>
      </c>
      <c r="AA916">
        <v>0.99325419999999998</v>
      </c>
      <c r="AB916">
        <v>30</v>
      </c>
      <c r="AC916">
        <v>66.522999999999996</v>
      </c>
      <c r="AD916">
        <v>-1.121232669429</v>
      </c>
      <c r="AE916">
        <v>8.11670000000003</v>
      </c>
      <c r="AF916">
        <v>-7.7905966756203897</v>
      </c>
      <c r="AG916">
        <v>-1.121232669429</v>
      </c>
      <c r="AH916">
        <v>66.543096420601003</v>
      </c>
      <c r="AI916">
        <v>90.958779311799702</v>
      </c>
      <c r="AJ916">
        <v>96.677559644305006</v>
      </c>
      <c r="AK916">
        <v>67.006971581340594</v>
      </c>
      <c r="AL916">
        <v>80.016457346643307</v>
      </c>
      <c r="AM916">
        <v>90.787374480288307</v>
      </c>
      <c r="AN916">
        <v>1.00000000365849</v>
      </c>
    </row>
    <row r="917" spans="1:40" x14ac:dyDescent="0.25">
      <c r="A917" t="str">
        <f>"20190303161857974"</f>
        <v>20190303161857974</v>
      </c>
      <c r="B917" t="str">
        <f>"1551601137964290"</f>
        <v>1551601137964290</v>
      </c>
      <c r="C917" t="s">
        <v>40</v>
      </c>
      <c r="D917">
        <v>4.3594730000000004</v>
      </c>
      <c r="E917">
        <v>0.4610745</v>
      </c>
      <c r="F917" t="s">
        <v>41</v>
      </c>
      <c r="G917">
        <v>-255.55109999999999</v>
      </c>
      <c r="H917" s="1">
        <v>-3.3493319999999999E-6</v>
      </c>
      <c r="I917">
        <v>375.0976</v>
      </c>
      <c r="J917">
        <v>-321.03559999999999</v>
      </c>
      <c r="K917">
        <v>1.121149</v>
      </c>
      <c r="L917">
        <v>367.12090000000001</v>
      </c>
      <c r="M917">
        <v>0.99991969999999997</v>
      </c>
      <c r="N917">
        <v>-1.171053E-2</v>
      </c>
      <c r="O917">
        <v>4.8674410000000001E-3</v>
      </c>
      <c r="P917">
        <v>0.98670139999999995</v>
      </c>
      <c r="Q917">
        <v>0.16152920000000001</v>
      </c>
      <c r="R917">
        <v>1.8141419999999998E-2</v>
      </c>
      <c r="S917">
        <v>3.0420530000000001</v>
      </c>
      <c r="T917">
        <v>-5.1928040000000002E-2</v>
      </c>
      <c r="U917">
        <v>0.36947629999999998</v>
      </c>
      <c r="V917">
        <v>-1.3331590000000001E-2</v>
      </c>
      <c r="W917">
        <v>0.1730746</v>
      </c>
      <c r="X917">
        <v>0.98481850000000004</v>
      </c>
      <c r="Y917">
        <v>-0.1157084</v>
      </c>
      <c r="Z917">
        <v>1.638004E-3</v>
      </c>
      <c r="AA917">
        <v>0.99328190000000005</v>
      </c>
      <c r="AB917">
        <v>30</v>
      </c>
      <c r="AC917">
        <v>65.484499999999997</v>
      </c>
      <c r="AD917">
        <v>-1.1211523493319999</v>
      </c>
      <c r="AE917">
        <v>7.9766999999999904</v>
      </c>
      <c r="AF917">
        <v>-7.6556304905947004</v>
      </c>
      <c r="AG917">
        <v>-1.1211523493319999</v>
      </c>
      <c r="AH917">
        <v>65.503632941444707</v>
      </c>
      <c r="AI917">
        <v>90.973944077151998</v>
      </c>
      <c r="AJ917">
        <v>96.666109100964903</v>
      </c>
      <c r="AK917">
        <v>65.959014466003495</v>
      </c>
      <c r="AL917">
        <v>80.033368974651395</v>
      </c>
      <c r="AM917">
        <v>90.775571526522597</v>
      </c>
      <c r="AN917">
        <v>1.00000001319966</v>
      </c>
    </row>
    <row r="918" spans="1:40" x14ac:dyDescent="0.25">
      <c r="A918" t="str">
        <f>"20190303161857987"</f>
        <v>20190303161857987</v>
      </c>
      <c r="B918" t="str">
        <f>"1551601137974051"</f>
        <v>1551601137974051</v>
      </c>
      <c r="C918" t="s">
        <v>40</v>
      </c>
      <c r="D918">
        <v>4.3475320000000002</v>
      </c>
      <c r="E918">
        <v>0.46103690000000003</v>
      </c>
      <c r="F918" t="s">
        <v>41</v>
      </c>
      <c r="G918">
        <v>-255.92179999999999</v>
      </c>
      <c r="H918" s="1">
        <v>-3.1704440000000001E-6</v>
      </c>
      <c r="I918">
        <v>375.02300000000002</v>
      </c>
      <c r="J918">
        <v>-320.8476</v>
      </c>
      <c r="K918">
        <v>1.121005</v>
      </c>
      <c r="L918">
        <v>367.12180000000001</v>
      </c>
      <c r="M918">
        <v>0.99992530000000002</v>
      </c>
      <c r="N918">
        <v>-1.1217629999999999E-2</v>
      </c>
      <c r="O918">
        <v>4.86725E-3</v>
      </c>
      <c r="P918">
        <v>0.98667009999999999</v>
      </c>
      <c r="Q918">
        <v>0.16176309999999999</v>
      </c>
      <c r="R918">
        <v>1.775533E-2</v>
      </c>
      <c r="S918">
        <v>3.0422359999999999</v>
      </c>
      <c r="T918">
        <v>-5.2382230000000002E-2</v>
      </c>
      <c r="U918">
        <v>0.36920170000000002</v>
      </c>
      <c r="V918">
        <v>-1.2945689999999999E-2</v>
      </c>
      <c r="W918">
        <v>0.17282239999999999</v>
      </c>
      <c r="X918">
        <v>0.98486790000000002</v>
      </c>
      <c r="Y918">
        <v>-0.1156132</v>
      </c>
      <c r="Z918">
        <v>1.613462E-3</v>
      </c>
      <c r="AA918">
        <v>0.99329299999999998</v>
      </c>
      <c r="AB918">
        <v>30</v>
      </c>
      <c r="AC918">
        <v>64.925799999999995</v>
      </c>
      <c r="AD918">
        <v>-1.121008170444</v>
      </c>
      <c r="AE918">
        <v>7.90120000000001</v>
      </c>
      <c r="AF918">
        <v>-7.5828488672839498</v>
      </c>
      <c r="AG918">
        <v>-1.121008170444</v>
      </c>
      <c r="AH918">
        <v>64.944412065618707</v>
      </c>
      <c r="AI918">
        <v>90.982215476121297</v>
      </c>
      <c r="AJ918">
        <v>96.659647967565704</v>
      </c>
      <c r="AK918">
        <v>65.395205594991097</v>
      </c>
      <c r="AL918">
        <v>80.048039682921797</v>
      </c>
      <c r="AM918">
        <v>90.7530864650155</v>
      </c>
      <c r="AN918">
        <v>0.99999997664087203</v>
      </c>
    </row>
    <row r="919" spans="1:40" x14ac:dyDescent="0.25">
      <c r="A919" t="str">
        <f>"20190303161858001"</f>
        <v>20190303161858001</v>
      </c>
      <c r="B919" t="str">
        <f>"1551601137993572"</f>
        <v>1551601137993572</v>
      </c>
      <c r="C919" t="s">
        <v>40</v>
      </c>
      <c r="D919">
        <v>4.3481100000000001</v>
      </c>
      <c r="E919">
        <v>0.46099620000000002</v>
      </c>
      <c r="F919" t="s">
        <v>41</v>
      </c>
      <c r="G919">
        <v>-254.9511</v>
      </c>
      <c r="H919" s="1">
        <v>-3.5633900000000002E-6</v>
      </c>
      <c r="I919">
        <v>375.09730000000002</v>
      </c>
      <c r="J919">
        <v>-320.66269999999997</v>
      </c>
      <c r="K919">
        <v>1.120819</v>
      </c>
      <c r="L919">
        <v>367.12270000000001</v>
      </c>
      <c r="M919">
        <v>0.99993030000000005</v>
      </c>
      <c r="N919">
        <v>-1.0759879999999999E-2</v>
      </c>
      <c r="O919">
        <v>4.8669250000000002E-3</v>
      </c>
      <c r="P919">
        <v>0.98657760000000005</v>
      </c>
      <c r="Q919">
        <v>0.16231670000000001</v>
      </c>
      <c r="R919">
        <v>1.7843609999999999E-2</v>
      </c>
      <c r="S919">
        <v>3.042389</v>
      </c>
      <c r="T919">
        <v>-5.175602E-2</v>
      </c>
      <c r="U919">
        <v>0.36822510000000003</v>
      </c>
      <c r="V919">
        <v>-1.303469E-2</v>
      </c>
      <c r="W919">
        <v>0.1729243</v>
      </c>
      <c r="X919">
        <v>0.98484890000000003</v>
      </c>
      <c r="Y919">
        <v>-0.11529449999999999</v>
      </c>
      <c r="Z919">
        <v>1.5693619999999999E-3</v>
      </c>
      <c r="AA919">
        <v>0.99333009999999999</v>
      </c>
      <c r="AB919">
        <v>30</v>
      </c>
      <c r="AC919">
        <v>65.711599999999905</v>
      </c>
      <c r="AD919">
        <v>-1.12082256339</v>
      </c>
      <c r="AE919">
        <v>7.9745999999999997</v>
      </c>
      <c r="AF919">
        <v>-7.65247957973114</v>
      </c>
      <c r="AG919">
        <v>-1.12082256339</v>
      </c>
      <c r="AH919">
        <v>65.730790119071699</v>
      </c>
      <c r="AI919">
        <v>90.970343901024407</v>
      </c>
      <c r="AJ919">
        <v>96.6405683301914</v>
      </c>
      <c r="AK919">
        <v>66.184238732603504</v>
      </c>
      <c r="AL919">
        <v>80.042112595613503</v>
      </c>
      <c r="AM919">
        <v>90.758277864789903</v>
      </c>
      <c r="AN919">
        <v>1.0000000362525401</v>
      </c>
    </row>
    <row r="920" spans="1:40" x14ac:dyDescent="0.25">
      <c r="A920" t="str">
        <f>"20190303161858014"</f>
        <v>20190303161858014</v>
      </c>
      <c r="B920" t="str">
        <f>"1551601138003331"</f>
        <v>1551601138003331</v>
      </c>
      <c r="C920" t="s">
        <v>40</v>
      </c>
      <c r="D920">
        <v>4.3287040000000001</v>
      </c>
      <c r="E920">
        <v>0.46095969999999997</v>
      </c>
      <c r="F920" t="s">
        <v>41</v>
      </c>
      <c r="G920">
        <v>-252.17859999999999</v>
      </c>
      <c r="H920" s="1">
        <v>-4.565434E-6</v>
      </c>
      <c r="I920">
        <v>375.4273</v>
      </c>
      <c r="J920">
        <v>-320.49290000000002</v>
      </c>
      <c r="K920">
        <v>1.12063</v>
      </c>
      <c r="L920">
        <v>367.12349999999998</v>
      </c>
      <c r="M920">
        <v>0.99993290000000001</v>
      </c>
      <c r="N920">
        <v>-1.052494E-2</v>
      </c>
      <c r="O920">
        <v>4.8665169999999999E-3</v>
      </c>
      <c r="P920">
        <v>0.98656120000000003</v>
      </c>
      <c r="Q920">
        <v>0.162443899999999</v>
      </c>
      <c r="R920">
        <v>1.7587729999999999E-2</v>
      </c>
      <c r="S920">
        <v>3.0423580000000001</v>
      </c>
      <c r="T920">
        <v>-4.979169E-2</v>
      </c>
      <c r="U920">
        <v>0.368927</v>
      </c>
      <c r="V920">
        <v>-1.2779449999999999E-2</v>
      </c>
      <c r="W920">
        <v>0.17282</v>
      </c>
      <c r="X920">
        <v>0.98487049999999998</v>
      </c>
      <c r="Y920">
        <v>-0.11552370000000001</v>
      </c>
      <c r="Z920">
        <v>1.5237619999999999E-3</v>
      </c>
      <c r="AA920">
        <v>0.99330350000000001</v>
      </c>
      <c r="AB920">
        <v>30</v>
      </c>
      <c r="AC920">
        <v>68.314300000000003</v>
      </c>
      <c r="AD920">
        <v>-1.120634565434</v>
      </c>
      <c r="AE920">
        <v>8.3038000000000203</v>
      </c>
      <c r="AF920">
        <v>-7.9691173628629102</v>
      </c>
      <c r="AG920">
        <v>-1.120634565434</v>
      </c>
      <c r="AH920">
        <v>68.335782738024605</v>
      </c>
      <c r="AI920">
        <v>90.933183104680396</v>
      </c>
      <c r="AJ920">
        <v>96.651620354425901</v>
      </c>
      <c r="AK920">
        <v>68.808007206943799</v>
      </c>
      <c r="AL920">
        <v>80.048179370044807</v>
      </c>
      <c r="AM920">
        <v>90.743414956115103</v>
      </c>
      <c r="AN920">
        <v>0.99999998425627601</v>
      </c>
    </row>
    <row r="921" spans="1:40" x14ac:dyDescent="0.25">
      <c r="A921" t="str">
        <f>"20190303161858028"</f>
        <v>20190303161858028</v>
      </c>
      <c r="B921" t="str">
        <f>"1551601138023826"</f>
        <v>1551601138023826</v>
      </c>
      <c r="C921" t="s">
        <v>40</v>
      </c>
      <c r="D921">
        <v>4.3692349999999998</v>
      </c>
      <c r="E921">
        <v>0.46088590000000002</v>
      </c>
      <c r="F921" t="s">
        <v>41</v>
      </c>
      <c r="G921">
        <v>-251.3365</v>
      </c>
      <c r="H921" s="1">
        <v>-4.8629039999999997E-6</v>
      </c>
      <c r="I921">
        <v>375.48880000000003</v>
      </c>
      <c r="J921">
        <v>-320.29590000000002</v>
      </c>
      <c r="K921">
        <v>1.1203829999999999</v>
      </c>
      <c r="L921">
        <v>367.12450000000001</v>
      </c>
      <c r="M921">
        <v>0.99993390000000004</v>
      </c>
      <c r="N921">
        <v>-1.042293E-2</v>
      </c>
      <c r="O921">
        <v>4.8661609999999999E-3</v>
      </c>
      <c r="P921">
        <v>0.98659909999999995</v>
      </c>
      <c r="Q921">
        <v>0.1622181</v>
      </c>
      <c r="R921">
        <v>1.7543050000000001E-2</v>
      </c>
      <c r="S921">
        <v>3.042389</v>
      </c>
      <c r="T921">
        <v>-4.9299839999999998E-2</v>
      </c>
      <c r="U921">
        <v>0.36801149999999999</v>
      </c>
      <c r="V921">
        <v>-1.2735109999999999E-2</v>
      </c>
      <c r="W921">
        <v>0.17249410000000001</v>
      </c>
      <c r="X921">
        <v>0.98492829999999998</v>
      </c>
      <c r="Y921">
        <v>-0.11522880000000001</v>
      </c>
      <c r="Z921">
        <v>1.504909E-3</v>
      </c>
      <c r="AA921">
        <v>0.99333780000000005</v>
      </c>
      <c r="AB921">
        <v>30</v>
      </c>
      <c r="AC921">
        <v>68.959400000000002</v>
      </c>
      <c r="AD921">
        <v>-1.1203878629039901</v>
      </c>
      <c r="AE921">
        <v>8.3643000000000107</v>
      </c>
      <c r="AF921">
        <v>-8.0265271854482805</v>
      </c>
      <c r="AG921">
        <v>-1.1203878629039901</v>
      </c>
      <c r="AH921">
        <v>68.981342880243105</v>
      </c>
      <c r="AI921">
        <v>90.924275497076806</v>
      </c>
      <c r="AJ921">
        <v>96.636973409719701</v>
      </c>
      <c r="AK921">
        <v>69.455785023162406</v>
      </c>
      <c r="AL921">
        <v>80.067137696206004</v>
      </c>
      <c r="AM921">
        <v>90.740792396396301</v>
      </c>
      <c r="AN921">
        <v>1.0000000768512001</v>
      </c>
    </row>
    <row r="922" spans="1:40" x14ac:dyDescent="0.25">
      <c r="A922" t="str">
        <f>"20190303161858039"</f>
        <v>20190303161858039</v>
      </c>
      <c r="B922" t="str">
        <f>"1551601138033587"</f>
        <v>1551601138033587</v>
      </c>
      <c r="C922" t="s">
        <v>40</v>
      </c>
      <c r="D922">
        <v>4.3768580000000004</v>
      </c>
      <c r="E922">
        <v>0.4608119</v>
      </c>
      <c r="F922" t="s">
        <v>41</v>
      </c>
      <c r="G922">
        <v>-251.11709999999999</v>
      </c>
      <c r="H922" s="1">
        <v>-4.9409579999999999E-6</v>
      </c>
      <c r="I922">
        <v>375.50790000000001</v>
      </c>
      <c r="J922">
        <v>-320.1438</v>
      </c>
      <c r="K922">
        <v>1.1201430000000001</v>
      </c>
      <c r="L922">
        <v>367.12520000000001</v>
      </c>
      <c r="M922">
        <v>0.99993259999999995</v>
      </c>
      <c r="N922">
        <v>-1.053837E-2</v>
      </c>
      <c r="O922">
        <v>4.865907E-3</v>
      </c>
      <c r="P922">
        <v>0.9866279</v>
      </c>
      <c r="Q922">
        <v>0.16203339999999999</v>
      </c>
      <c r="R922">
        <v>1.7622550000000001E-2</v>
      </c>
      <c r="S922">
        <v>3.0423279999999999</v>
      </c>
      <c r="T922">
        <v>-4.9272059999999999E-2</v>
      </c>
      <c r="U922">
        <v>0.36868289999999998</v>
      </c>
      <c r="V922">
        <v>-1.281417E-2</v>
      </c>
      <c r="W922">
        <v>0.1724231</v>
      </c>
      <c r="X922">
        <v>0.98493960000000003</v>
      </c>
      <c r="Y922">
        <v>-0.11544740000000001</v>
      </c>
      <c r="Z922">
        <v>1.5145979999999901E-3</v>
      </c>
      <c r="AA922">
        <v>0.99331239999999998</v>
      </c>
      <c r="AB922">
        <v>30</v>
      </c>
      <c r="AC922">
        <v>69.026700000000005</v>
      </c>
      <c r="AD922">
        <v>-1.120147940958</v>
      </c>
      <c r="AE922">
        <v>8.3826999999999998</v>
      </c>
      <c r="AF922">
        <v>-8.0446169053113294</v>
      </c>
      <c r="AG922">
        <v>-1.120147940958</v>
      </c>
      <c r="AH922">
        <v>69.048755417640805</v>
      </c>
      <c r="AI922">
        <v>90.923159848169703</v>
      </c>
      <c r="AJ922">
        <v>96.645361478542199</v>
      </c>
      <c r="AK922">
        <v>69.524824467869294</v>
      </c>
      <c r="AL922">
        <v>80.071266523655098</v>
      </c>
      <c r="AM922">
        <v>90.745382192997198</v>
      </c>
      <c r="AN922">
        <v>0.99999997200727897</v>
      </c>
    </row>
    <row r="923" spans="1:40" x14ac:dyDescent="0.25">
      <c r="A923" t="str">
        <f>"20190303161858051"</f>
        <v>20190303161858051</v>
      </c>
      <c r="B923" t="str">
        <f>"1551601138043347"</f>
        <v>1551601138043347</v>
      </c>
      <c r="C923" t="s">
        <v>40</v>
      </c>
      <c r="D923">
        <v>4.37819</v>
      </c>
      <c r="E923">
        <v>0.46074270000000001</v>
      </c>
      <c r="F923" t="s">
        <v>41</v>
      </c>
      <c r="G923">
        <v>-251.36429999999999</v>
      </c>
      <c r="H923" s="1">
        <v>-4.8519500000000002E-6</v>
      </c>
      <c r="I923">
        <v>375.48050000000001</v>
      </c>
      <c r="J923">
        <v>-319.99079999999998</v>
      </c>
      <c r="K923">
        <v>1.1198570000000001</v>
      </c>
      <c r="L923">
        <v>367.1259</v>
      </c>
      <c r="M923">
        <v>0.99993030000000005</v>
      </c>
      <c r="N923">
        <v>-1.075573E-2</v>
      </c>
      <c r="O923">
        <v>4.8657520000000001E-3</v>
      </c>
      <c r="P923">
        <v>0.98668060000000002</v>
      </c>
      <c r="Q923">
        <v>0.16171189999999999</v>
      </c>
      <c r="R923">
        <v>1.7623929999999999E-2</v>
      </c>
      <c r="S923">
        <v>3.0422359999999999</v>
      </c>
      <c r="T923">
        <v>-4.9546E-2</v>
      </c>
      <c r="U923">
        <v>0.3695679</v>
      </c>
      <c r="V923">
        <v>-1.281582E-2</v>
      </c>
      <c r="W923">
        <v>0.172316</v>
      </c>
      <c r="X923">
        <v>0.98495840000000001</v>
      </c>
      <c r="Y923">
        <v>-0.1157353</v>
      </c>
      <c r="Z923">
        <v>1.5369019999999999E-3</v>
      </c>
      <c r="AA923">
        <v>0.99327889999999996</v>
      </c>
      <c r="AB923">
        <v>30</v>
      </c>
      <c r="AC923">
        <v>68.626499999999993</v>
      </c>
      <c r="AD923">
        <v>-1.1198618519500001</v>
      </c>
      <c r="AE923">
        <v>8.3545999999999996</v>
      </c>
      <c r="AF923">
        <v>-8.0184582312855106</v>
      </c>
      <c r="AG923">
        <v>-1.1198618519500001</v>
      </c>
      <c r="AH923">
        <v>68.648328287912506</v>
      </c>
      <c r="AI923">
        <v>90.928274719167504</v>
      </c>
      <c r="AJ923">
        <v>96.662236374055993</v>
      </c>
      <c r="AK923">
        <v>69.124111131350801</v>
      </c>
      <c r="AL923">
        <v>80.077496920426995</v>
      </c>
      <c r="AM923">
        <v>90.745463932928004</v>
      </c>
      <c r="AN923">
        <v>1.0000000494144099</v>
      </c>
    </row>
    <row r="924" spans="1:40" x14ac:dyDescent="0.25">
      <c r="A924" t="str">
        <f>"20190303161858061"</f>
        <v>20190303161858061</v>
      </c>
      <c r="B924" t="str">
        <f>"1551601138054082"</f>
        <v>1551601138054082</v>
      </c>
      <c r="C924" t="s">
        <v>40</v>
      </c>
      <c r="D924">
        <v>4.364287</v>
      </c>
      <c r="E924">
        <v>0.46068890000000001</v>
      </c>
      <c r="F924" t="s">
        <v>41</v>
      </c>
      <c r="G924">
        <v>-252.2679</v>
      </c>
      <c r="H924" s="1">
        <v>-4.5231720000000002E-6</v>
      </c>
      <c r="I924">
        <v>375.3605</v>
      </c>
      <c r="J924">
        <v>-319.83640000000003</v>
      </c>
      <c r="K924">
        <v>1.119521</v>
      </c>
      <c r="L924">
        <v>367.12670000000003</v>
      </c>
      <c r="M924">
        <v>0.99992700000000001</v>
      </c>
      <c r="N924">
        <v>-1.1072210000000001E-2</v>
      </c>
      <c r="O924">
        <v>4.8656769999999997E-3</v>
      </c>
      <c r="P924">
        <v>0.98676090000000005</v>
      </c>
      <c r="Q924">
        <v>0.16117819999999999</v>
      </c>
      <c r="R924">
        <v>1.8020749999999999E-2</v>
      </c>
      <c r="S924">
        <v>3.0421749999999999</v>
      </c>
      <c r="T924">
        <v>-5.0305130000000003E-2</v>
      </c>
      <c r="U924">
        <v>0.3699036</v>
      </c>
      <c r="V924">
        <v>-1.321227E-2</v>
      </c>
      <c r="W924">
        <v>0.17209530000000001</v>
      </c>
      <c r="X924">
        <v>0.98499170000000003</v>
      </c>
      <c r="Y924">
        <v>-0.1158448</v>
      </c>
      <c r="Z924">
        <v>1.571525E-3</v>
      </c>
      <c r="AA924">
        <v>0.99326610000000004</v>
      </c>
      <c r="AB924">
        <v>30</v>
      </c>
      <c r="AC924">
        <v>67.5685</v>
      </c>
      <c r="AD924">
        <v>-1.119525523172</v>
      </c>
      <c r="AE924">
        <v>8.2337999999999703</v>
      </c>
      <c r="AF924">
        <v>-7.9027781617952897</v>
      </c>
      <c r="AG924">
        <v>-1.119525523172</v>
      </c>
      <c r="AH924">
        <v>67.589482125273094</v>
      </c>
      <c r="AI924">
        <v>90.942518358325103</v>
      </c>
      <c r="AJ924">
        <v>96.6689252081364</v>
      </c>
      <c r="AK924">
        <v>68.059131158384602</v>
      </c>
      <c r="AL924">
        <v>80.090333401817702</v>
      </c>
      <c r="AM924">
        <v>90.768495726776095</v>
      </c>
      <c r="AN924">
        <v>1.00000000271476</v>
      </c>
    </row>
    <row r="925" spans="1:40" x14ac:dyDescent="0.25">
      <c r="A925" t="str">
        <f>"20190303161858073"</f>
        <v>20190303161858073</v>
      </c>
      <c r="B925" t="str">
        <f>"1551601138063843"</f>
        <v>1551601138063843</v>
      </c>
      <c r="C925" t="s">
        <v>40</v>
      </c>
      <c r="D925">
        <v>4.3763880000000004</v>
      </c>
      <c r="E925">
        <v>0.46066570000000001</v>
      </c>
      <c r="F925" t="s">
        <v>41</v>
      </c>
      <c r="G925">
        <v>-253.8793</v>
      </c>
      <c r="H925" s="1">
        <v>-3.9433500000000001E-6</v>
      </c>
      <c r="I925">
        <v>375.18310000000002</v>
      </c>
      <c r="J925">
        <v>-319.6866</v>
      </c>
      <c r="K925">
        <v>1.1191180000000001</v>
      </c>
      <c r="L925">
        <v>367.12740000000002</v>
      </c>
      <c r="M925">
        <v>0.99992179999999997</v>
      </c>
      <c r="N925">
        <v>-1.152676E-2</v>
      </c>
      <c r="O925">
        <v>4.8664809999999998E-3</v>
      </c>
      <c r="P925">
        <v>0.98682300000000001</v>
      </c>
      <c r="Q925">
        <v>0.16081589999999901</v>
      </c>
      <c r="R925">
        <v>1.7854709999999999E-2</v>
      </c>
      <c r="S925">
        <v>3.0418699999999999</v>
      </c>
      <c r="T925">
        <v>-5.1631209999999997E-2</v>
      </c>
      <c r="U925">
        <v>0.37155149999999998</v>
      </c>
      <c r="V925">
        <v>-1.304486E-2</v>
      </c>
      <c r="W925">
        <v>0.17218120000000001</v>
      </c>
      <c r="X925">
        <v>0.98497889999999999</v>
      </c>
      <c r="Y925">
        <v>-0.1163845</v>
      </c>
      <c r="Z925">
        <v>1.6309629999999901E-3</v>
      </c>
      <c r="AA925">
        <v>0.9932029</v>
      </c>
      <c r="AB925">
        <v>30</v>
      </c>
      <c r="AC925">
        <v>65.807299999999998</v>
      </c>
      <c r="AD925">
        <v>-1.1191219433499999</v>
      </c>
      <c r="AE925">
        <v>8.0556999999999999</v>
      </c>
      <c r="AF925">
        <v>-7.7331299234363602</v>
      </c>
      <c r="AG925">
        <v>-1.1191219433499999</v>
      </c>
      <c r="AH925">
        <v>65.826969698614406</v>
      </c>
      <c r="AI925">
        <v>90.967338800911307</v>
      </c>
      <c r="AJ925">
        <v>96.700204524271399</v>
      </c>
      <c r="AK925">
        <v>66.289091651938705</v>
      </c>
      <c r="AL925">
        <v>80.085336923609105</v>
      </c>
      <c r="AM925">
        <v>90.758769277708893</v>
      </c>
      <c r="AN925">
        <v>0.999999983725534</v>
      </c>
    </row>
    <row r="926" spans="1:40" x14ac:dyDescent="0.25">
      <c r="A926" t="str">
        <f>"20190303161858086"</f>
        <v>20190303161858086</v>
      </c>
      <c r="B926" t="str">
        <f>"1551601138073603"</f>
        <v>1551601138073603</v>
      </c>
      <c r="C926" t="s">
        <v>40</v>
      </c>
      <c r="D926">
        <v>4.4124100000000004</v>
      </c>
      <c r="E926">
        <v>0.46066570000000001</v>
      </c>
      <c r="F926" t="s">
        <v>41</v>
      </c>
      <c r="G926">
        <v>-255.49459999999999</v>
      </c>
      <c r="H926" s="1">
        <v>-3.3369779999999998E-6</v>
      </c>
      <c r="I926">
        <v>374.96010000000001</v>
      </c>
      <c r="J926">
        <v>-319.51499999999999</v>
      </c>
      <c r="K926">
        <v>1.1186199999999999</v>
      </c>
      <c r="L926">
        <v>367.12830000000002</v>
      </c>
      <c r="M926">
        <v>0.99991470000000005</v>
      </c>
      <c r="N926">
        <v>-1.213208E-2</v>
      </c>
      <c r="O926">
        <v>4.8676939999999997E-3</v>
      </c>
      <c r="P926">
        <v>0.98691850000000003</v>
      </c>
      <c r="Q926">
        <v>0.16020690000000001</v>
      </c>
      <c r="R926">
        <v>1.805621E-2</v>
      </c>
      <c r="S926">
        <v>3.0420229999999999</v>
      </c>
      <c r="T926">
        <v>-5.3034419999999999E-2</v>
      </c>
      <c r="U926">
        <v>0.3711853</v>
      </c>
      <c r="V926">
        <v>-1.3244499999999999E-2</v>
      </c>
      <c r="W926">
        <v>0.17216999999999999</v>
      </c>
      <c r="X926">
        <v>0.98497820000000003</v>
      </c>
      <c r="Y926">
        <v>-0.1162576</v>
      </c>
      <c r="Z926">
        <v>1.691845E-3</v>
      </c>
      <c r="AA926">
        <v>0.99321760000000003</v>
      </c>
      <c r="AB926">
        <v>30</v>
      </c>
      <c r="AC926">
        <v>64.020399999999995</v>
      </c>
      <c r="AD926">
        <v>-1.1186233369779901</v>
      </c>
      <c r="AE926">
        <v>7.8317999999999799</v>
      </c>
      <c r="AF926">
        <v>-7.5177912304601202</v>
      </c>
      <c r="AG926">
        <v>-1.1186233369779901</v>
      </c>
      <c r="AH926">
        <v>64.038504158178199</v>
      </c>
      <c r="AI926">
        <v>90.993915745528895</v>
      </c>
      <c r="AJ926">
        <v>96.695583731564497</v>
      </c>
      <c r="AK926">
        <v>64.487971886017704</v>
      </c>
      <c r="AL926">
        <v>80.085988428407006</v>
      </c>
      <c r="AM926">
        <v>90.770380726267106</v>
      </c>
      <c r="AN926">
        <v>0.99999999007774498</v>
      </c>
    </row>
    <row r="927" spans="1:40" x14ac:dyDescent="0.25">
      <c r="A927" t="str">
        <f>"20190303161858097"</f>
        <v>20190303161858097</v>
      </c>
      <c r="B927" t="str">
        <f>"1551601138084338"</f>
        <v>1551601138084338</v>
      </c>
      <c r="C927" t="s">
        <v>40</v>
      </c>
      <c r="D927">
        <v>4.3969430000000003</v>
      </c>
      <c r="E927">
        <v>0.46114480000000002</v>
      </c>
      <c r="F927" t="s">
        <v>41</v>
      </c>
      <c r="G927">
        <v>-257.5496</v>
      </c>
      <c r="H927" s="1">
        <v>-2.386573E-6</v>
      </c>
      <c r="I927">
        <v>374.70139999999998</v>
      </c>
      <c r="J927">
        <v>-319.36219999999997</v>
      </c>
      <c r="K927">
        <v>1.1181099999999999</v>
      </c>
      <c r="L927">
        <v>367.12900000000002</v>
      </c>
      <c r="M927">
        <v>0.99990420000000002</v>
      </c>
      <c r="N927">
        <v>-1.296083E-2</v>
      </c>
      <c r="O927">
        <v>4.8691860000000002E-3</v>
      </c>
      <c r="P927">
        <v>0.98704899999999995</v>
      </c>
      <c r="Q927">
        <v>0.15937119999999999</v>
      </c>
      <c r="R927">
        <v>1.830977E-2</v>
      </c>
      <c r="S927">
        <v>3.0419010000000002</v>
      </c>
      <c r="T927">
        <v>-5.4913400000000001E-2</v>
      </c>
      <c r="U927">
        <v>0.37176510000000001</v>
      </c>
      <c r="V927">
        <v>-1.349582E-2</v>
      </c>
      <c r="W927">
        <v>0.17215259999999999</v>
      </c>
      <c r="X927">
        <v>0.98497780000000001</v>
      </c>
      <c r="Y927">
        <v>-0.1164448</v>
      </c>
      <c r="Z927">
        <v>1.7799350000000001E-3</v>
      </c>
      <c r="AA927">
        <v>0.99319559999999996</v>
      </c>
      <c r="AB927">
        <v>30</v>
      </c>
      <c r="AC927">
        <v>61.812599999999897</v>
      </c>
      <c r="AD927">
        <v>-1.1181123865729901</v>
      </c>
      <c r="AE927">
        <v>7.5723999999999503</v>
      </c>
      <c r="AF927">
        <v>-7.2689646453521997</v>
      </c>
      <c r="AG927">
        <v>-1.1181123865729901</v>
      </c>
      <c r="AH927">
        <v>61.8288102053126</v>
      </c>
      <c r="AI927">
        <v>91.028939185688202</v>
      </c>
      <c r="AJ927">
        <v>96.705254692640906</v>
      </c>
      <c r="AK927">
        <v>62.264675328222403</v>
      </c>
      <c r="AL927">
        <v>80.087000191768794</v>
      </c>
      <c r="AM927">
        <v>90.784997533501695</v>
      </c>
      <c r="AN927">
        <v>0.99999996066853503</v>
      </c>
    </row>
    <row r="928" spans="1:40" x14ac:dyDescent="0.25">
      <c r="A928" t="str">
        <f>"20190303161858109"</f>
        <v>20190303161858109</v>
      </c>
      <c r="B928" t="str">
        <f>"1551601138103859"</f>
        <v>1551601138103859</v>
      </c>
      <c r="C928" t="s">
        <v>40</v>
      </c>
      <c r="D928">
        <v>4.3617730000000003</v>
      </c>
      <c r="E928">
        <v>0.48970190000000002</v>
      </c>
      <c r="F928" t="s">
        <v>41</v>
      </c>
      <c r="G928">
        <v>-258.75549999999998</v>
      </c>
      <c r="H928" s="1">
        <v>-1.809906E-6</v>
      </c>
      <c r="I928">
        <v>374.47840000000002</v>
      </c>
      <c r="J928">
        <v>-319.20690000000002</v>
      </c>
      <c r="K928">
        <v>1.117567</v>
      </c>
      <c r="L928">
        <v>367.12979999999999</v>
      </c>
      <c r="M928">
        <v>0.9998918</v>
      </c>
      <c r="N928">
        <v>-1.3882220000000001E-2</v>
      </c>
      <c r="O928">
        <v>4.8705220000000004E-3</v>
      </c>
      <c r="P928">
        <v>0.98717650000000001</v>
      </c>
      <c r="Q928">
        <v>0.1585549</v>
      </c>
      <c r="R928">
        <v>1.8515480000000001E-2</v>
      </c>
      <c r="S928">
        <v>3.0416259999999999</v>
      </c>
      <c r="T928">
        <v>-5.6113719999999999E-2</v>
      </c>
      <c r="U928">
        <v>0.36883539999999998</v>
      </c>
      <c r="V928">
        <v>-1.369943E-2</v>
      </c>
      <c r="W928">
        <v>0.1722456</v>
      </c>
      <c r="X928">
        <v>0.98495880000000002</v>
      </c>
      <c r="Y928">
        <v>-0.11550970000000001</v>
      </c>
      <c r="Z928">
        <v>1.8442280000000001E-3</v>
      </c>
      <c r="AA928">
        <v>0.99330469999999904</v>
      </c>
      <c r="AB928">
        <v>30</v>
      </c>
      <c r="AC928">
        <v>60.4514</v>
      </c>
      <c r="AD928">
        <v>-1.1175688099059999</v>
      </c>
      <c r="AE928">
        <v>7.3486000000000304</v>
      </c>
      <c r="AF928">
        <v>-7.0516796126508199</v>
      </c>
      <c r="AG928">
        <v>-1.1175688099059999</v>
      </c>
      <c r="AH928">
        <v>60.466113153014398</v>
      </c>
      <c r="AI928">
        <v>91.051726026796501</v>
      </c>
      <c r="AJ928">
        <v>96.651900715239293</v>
      </c>
      <c r="AK928">
        <v>60.886172364811102</v>
      </c>
      <c r="AL928">
        <v>80.081591569256602</v>
      </c>
      <c r="AM928">
        <v>90.796854561192205</v>
      </c>
      <c r="AN928">
        <v>1.0000000293995599</v>
      </c>
    </row>
    <row r="929" spans="1:40" x14ac:dyDescent="0.25">
      <c r="A929" t="str">
        <f>"20190303161858120"</f>
        <v>20190303161858120</v>
      </c>
      <c r="B929" t="str">
        <f>"1551601138113619"</f>
        <v>1551601138113619</v>
      </c>
      <c r="C929" t="s">
        <v>40</v>
      </c>
      <c r="D929">
        <v>4.3907569999999998</v>
      </c>
      <c r="E929">
        <v>0.49016310000000002</v>
      </c>
      <c r="F929" t="s">
        <v>43</v>
      </c>
      <c r="G929">
        <v>-158.19499999999999</v>
      </c>
      <c r="H929">
        <v>0.37023159999999999</v>
      </c>
      <c r="I929">
        <v>374.61369999999999</v>
      </c>
      <c r="J929">
        <v>-319.04419999999999</v>
      </c>
      <c r="K929">
        <v>1.116946</v>
      </c>
      <c r="L929">
        <v>367.13060000000002</v>
      </c>
      <c r="M929">
        <v>0.99987559999999998</v>
      </c>
      <c r="N929">
        <v>-1.501154E-2</v>
      </c>
      <c r="O929">
        <v>4.8714220000000003E-3</v>
      </c>
      <c r="P929">
        <v>0.98737900000000001</v>
      </c>
      <c r="Q929">
        <v>0.1572827</v>
      </c>
      <c r="R929">
        <v>1.8579120000000001E-2</v>
      </c>
      <c r="S929">
        <v>3.038605</v>
      </c>
      <c r="T929">
        <v>-1.410198E-2</v>
      </c>
      <c r="U929">
        <v>0.14123540000000001</v>
      </c>
      <c r="V929">
        <v>-1.376087E-2</v>
      </c>
      <c r="W929">
        <v>0.1720892</v>
      </c>
      <c r="X929">
        <v>0.98498520000000001</v>
      </c>
      <c r="Y929">
        <v>-4.1561300000000002E-2</v>
      </c>
      <c r="Z929">
        <v>4.5903220000000002E-4</v>
      </c>
      <c r="AA929">
        <v>0.99913589999999997</v>
      </c>
      <c r="AB929">
        <v>30</v>
      </c>
      <c r="AC929">
        <v>160.8492</v>
      </c>
      <c r="AD929">
        <v>-0.7467144</v>
      </c>
      <c r="AE929">
        <v>7.4830999999999701</v>
      </c>
      <c r="AF929">
        <v>-6.69921460694896</v>
      </c>
      <c r="AG929">
        <v>-0.7467144</v>
      </c>
      <c r="AH929">
        <v>160.88028878977201</v>
      </c>
      <c r="AI929">
        <v>90.265702112521495</v>
      </c>
      <c r="AJ929">
        <v>92.384475453066202</v>
      </c>
      <c r="AK929">
        <v>161.02144074571399</v>
      </c>
      <c r="AL929">
        <v>80.090687664302493</v>
      </c>
      <c r="AM929">
        <v>90.800406426299503</v>
      </c>
      <c r="AN929">
        <v>0.99999994925941704</v>
      </c>
    </row>
    <row r="930" spans="1:40" x14ac:dyDescent="0.25">
      <c r="A930" t="str">
        <f>"20190303161858132"</f>
        <v>20190303161858132</v>
      </c>
      <c r="B930" t="str">
        <f>"1551601138123379"</f>
        <v>1551601138123379</v>
      </c>
      <c r="C930" t="s">
        <v>40</v>
      </c>
      <c r="D930">
        <v>4.4014749999999996</v>
      </c>
      <c r="E930">
        <v>0.49022280000000001</v>
      </c>
      <c r="F930" t="s">
        <v>46</v>
      </c>
      <c r="G930">
        <v>-199.42769999999999</v>
      </c>
      <c r="H930" s="1">
        <v>-9.5441920000000007E-6</v>
      </c>
      <c r="I930">
        <v>372.54930000000002</v>
      </c>
      <c r="J930">
        <v>-318.89530000000002</v>
      </c>
      <c r="K930">
        <v>1.1163320000000001</v>
      </c>
      <c r="L930">
        <v>367.13130000000001</v>
      </c>
      <c r="M930">
        <v>0.99985869999999999</v>
      </c>
      <c r="N930">
        <v>-1.6096340000000001E-2</v>
      </c>
      <c r="O930">
        <v>4.8718059999999898E-3</v>
      </c>
      <c r="P930">
        <v>0.98754949999999997</v>
      </c>
      <c r="Q930">
        <v>0.156175799999999</v>
      </c>
      <c r="R930">
        <v>1.8846559999999998E-2</v>
      </c>
      <c r="S930">
        <v>3.0402830000000001</v>
      </c>
      <c r="T930">
        <v>-2.8389569999999999E-2</v>
      </c>
      <c r="U930">
        <v>0.13772579999999901</v>
      </c>
      <c r="V930">
        <v>-1.402773E-2</v>
      </c>
      <c r="W930">
        <v>0.1720535</v>
      </c>
      <c r="X930">
        <v>0.98498770000000002</v>
      </c>
      <c r="Y930">
        <v>-4.038125E-2</v>
      </c>
      <c r="Z930">
        <v>5.4655809999999997E-4</v>
      </c>
      <c r="AA930">
        <v>0.99918419999999997</v>
      </c>
      <c r="AB930">
        <v>30</v>
      </c>
      <c r="AC930">
        <v>119.4676</v>
      </c>
      <c r="AD930">
        <v>-1.1163415441919999</v>
      </c>
      <c r="AE930">
        <v>5.4180000000000001</v>
      </c>
      <c r="AF930">
        <v>-4.8354160314309196</v>
      </c>
      <c r="AG930">
        <v>-1.1163415441919999</v>
      </c>
      <c r="AH930">
        <v>119.48216944135601</v>
      </c>
      <c r="AI930">
        <v>90.534870506098898</v>
      </c>
      <c r="AJ930">
        <v>92.317482433391504</v>
      </c>
      <c r="AK930">
        <v>119.585184203785</v>
      </c>
      <c r="AL930">
        <v>80.092764368473894</v>
      </c>
      <c r="AM930">
        <v>90.815924294254899</v>
      </c>
      <c r="AN930">
        <v>0.99999997661124596</v>
      </c>
    </row>
    <row r="931" spans="1:40" x14ac:dyDescent="0.25">
      <c r="A931" t="str">
        <f>"20190303161858144"</f>
        <v>20190303161858144</v>
      </c>
      <c r="B931" t="str">
        <f>"1551601138134114"</f>
        <v>1551601138134114</v>
      </c>
      <c r="C931" t="s">
        <v>40</v>
      </c>
      <c r="D931">
        <v>4.38002</v>
      </c>
      <c r="E931">
        <v>0.49028240000000001</v>
      </c>
      <c r="F931" t="s">
        <v>41</v>
      </c>
      <c r="G931">
        <v>-214.58199999999999</v>
      </c>
      <c r="H931" s="1">
        <v>-2.90409E-6</v>
      </c>
      <c r="I931">
        <v>371.86189999999999</v>
      </c>
      <c r="J931">
        <v>-318.72789999999998</v>
      </c>
      <c r="K931">
        <v>1.1156079999999999</v>
      </c>
      <c r="L931">
        <v>367.13209999999998</v>
      </c>
      <c r="M931">
        <v>0.9998378</v>
      </c>
      <c r="N931">
        <v>-1.7348760000000001E-2</v>
      </c>
      <c r="O931">
        <v>4.8716929999999999E-3</v>
      </c>
      <c r="P931">
        <v>0.98777000000000004</v>
      </c>
      <c r="Q931">
        <v>0.1547702</v>
      </c>
      <c r="R931">
        <v>1.8901009999999999E-2</v>
      </c>
      <c r="S931">
        <v>3.0403440000000002</v>
      </c>
      <c r="T931">
        <v>-3.253698E-2</v>
      </c>
      <c r="U931">
        <v>0.13787839999999901</v>
      </c>
      <c r="V931">
        <v>-1.408123E-2</v>
      </c>
      <c r="W931">
        <v>0.17188529999999999</v>
      </c>
      <c r="X931">
        <v>0.98501629999999996</v>
      </c>
      <c r="Y931">
        <v>-4.0429119999999999E-2</v>
      </c>
      <c r="Z931">
        <v>5.9952339999999995E-4</v>
      </c>
      <c r="AA931">
        <v>0.99918220000000002</v>
      </c>
      <c r="AB931">
        <v>30</v>
      </c>
      <c r="AC931">
        <v>104.145899999999</v>
      </c>
      <c r="AD931">
        <v>-1.11561090409</v>
      </c>
      <c r="AE931">
        <v>4.7298000000000098</v>
      </c>
      <c r="AF931">
        <v>-4.2218172754847503</v>
      </c>
      <c r="AG931">
        <v>-1.11561090409</v>
      </c>
      <c r="AH931">
        <v>104.155782392791</v>
      </c>
      <c r="AI931">
        <v>90.613167237152595</v>
      </c>
      <c r="AJ931">
        <v>92.321138221592506</v>
      </c>
      <c r="AK931">
        <v>104.24727974701</v>
      </c>
      <c r="AL931">
        <v>80.102547238712802</v>
      </c>
      <c r="AM931">
        <v>90.819011926409104</v>
      </c>
      <c r="AN931">
        <v>0.99999997433004595</v>
      </c>
    </row>
    <row r="932" spans="1:40" x14ac:dyDescent="0.25">
      <c r="A932" t="str">
        <f>"20190303161858158"</f>
        <v>20190303161858158</v>
      </c>
      <c r="B932" t="str">
        <f>"1551601138153635"</f>
        <v>1551601138153635</v>
      </c>
      <c r="C932" t="s">
        <v>40</v>
      </c>
      <c r="D932">
        <v>4.4130060000000002</v>
      </c>
      <c r="E932">
        <v>0.48994779999999999</v>
      </c>
      <c r="F932" t="s">
        <v>41</v>
      </c>
      <c r="G932">
        <v>-234.36240000000001</v>
      </c>
      <c r="H932" s="1">
        <v>-2.7571959999999999E-6</v>
      </c>
      <c r="I932">
        <v>370.95580000000001</v>
      </c>
      <c r="J932">
        <v>-318.54640000000001</v>
      </c>
      <c r="K932">
        <v>1.11469</v>
      </c>
      <c r="L932">
        <v>367.13299999999998</v>
      </c>
      <c r="M932">
        <v>0.99981799999999998</v>
      </c>
      <c r="N932">
        <v>-1.8451180000000001E-2</v>
      </c>
      <c r="O932">
        <v>4.8710000000000003E-3</v>
      </c>
      <c r="P932">
        <v>0.98794689999999996</v>
      </c>
      <c r="Q932">
        <v>0.1536235</v>
      </c>
      <c r="R932">
        <v>1.9001230000000001E-2</v>
      </c>
      <c r="S932">
        <v>3.0408019999999998</v>
      </c>
      <c r="T932">
        <v>-4.0210129999999997E-2</v>
      </c>
      <c r="U932">
        <v>0.13781740000000001</v>
      </c>
      <c r="V932">
        <v>-1.418141E-2</v>
      </c>
      <c r="W932">
        <v>0.1718285</v>
      </c>
      <c r="X932">
        <v>0.98502480000000003</v>
      </c>
      <c r="Y932">
        <v>-4.0400470000000001E-2</v>
      </c>
      <c r="Z932">
        <v>6.6541750000000002E-4</v>
      </c>
      <c r="AA932">
        <v>0.99918340000000005</v>
      </c>
      <c r="AB932">
        <v>30</v>
      </c>
      <c r="AC932">
        <v>84.183999999999997</v>
      </c>
      <c r="AD932">
        <v>-1.1146927571959999</v>
      </c>
      <c r="AE932">
        <v>3.8227999999999698</v>
      </c>
      <c r="AF932">
        <v>-3.4120275990032898</v>
      </c>
      <c r="AG932">
        <v>-1.1146927571959999</v>
      </c>
      <c r="AH932">
        <v>84.186895035253499</v>
      </c>
      <c r="AI932">
        <v>90.757969248842599</v>
      </c>
      <c r="AJ932">
        <v>92.320881953598004</v>
      </c>
      <c r="AK932">
        <v>84.2633833165753</v>
      </c>
      <c r="AL932">
        <v>80.105851058169193</v>
      </c>
      <c r="AM932">
        <v>90.824830814864498</v>
      </c>
      <c r="AN932">
        <v>1.00000000120843</v>
      </c>
    </row>
    <row r="933" spans="1:40" x14ac:dyDescent="0.25">
      <c r="A933" t="str">
        <f>"20190303161858174"</f>
        <v>20190303161858174</v>
      </c>
      <c r="B933" t="str">
        <f>"1551601138164370"</f>
        <v>1551601138164370</v>
      </c>
      <c r="C933" t="s">
        <v>40</v>
      </c>
      <c r="D933">
        <v>4.370717</v>
      </c>
      <c r="E933">
        <v>0.48965969999999998</v>
      </c>
      <c r="F933" t="s">
        <v>41</v>
      </c>
      <c r="G933">
        <v>-246.7165</v>
      </c>
      <c r="H933" s="1">
        <v>-1.756155E-6</v>
      </c>
      <c r="I933">
        <v>370.45650000000001</v>
      </c>
      <c r="J933">
        <v>-318.334</v>
      </c>
      <c r="K933">
        <v>1.1135139999999999</v>
      </c>
      <c r="L933">
        <v>367.13409999999999</v>
      </c>
      <c r="M933">
        <v>0.99979680000000004</v>
      </c>
      <c r="N933">
        <v>-1.9568599999999998E-2</v>
      </c>
      <c r="O933">
        <v>4.8700829999999999E-3</v>
      </c>
      <c r="P933">
        <v>0.9881219</v>
      </c>
      <c r="Q933">
        <v>0.1524693</v>
      </c>
      <c r="R933">
        <v>1.919972E-2</v>
      </c>
      <c r="S933">
        <v>3.0412599999999999</v>
      </c>
      <c r="T933">
        <v>-4.7195790000000001E-2</v>
      </c>
      <c r="U933">
        <v>0.1407166</v>
      </c>
      <c r="V933">
        <v>-1.4379279999999999E-2</v>
      </c>
      <c r="W933">
        <v>0.17177870000000001</v>
      </c>
      <c r="X933">
        <v>0.98503059999999998</v>
      </c>
      <c r="Y933">
        <v>-4.1342160000000003E-2</v>
      </c>
      <c r="Z933">
        <v>7.4514169999999997E-4</v>
      </c>
      <c r="AA933">
        <v>0.99914480000000006</v>
      </c>
      <c r="AB933">
        <v>30</v>
      </c>
      <c r="AC933">
        <v>71.617500000000007</v>
      </c>
      <c r="AD933">
        <v>-1.113515756155</v>
      </c>
      <c r="AE933">
        <v>3.3224000000000098</v>
      </c>
      <c r="AF933">
        <v>-2.9727935574694402</v>
      </c>
      <c r="AG933">
        <v>-1.113515756155</v>
      </c>
      <c r="AH933">
        <v>71.615558426934996</v>
      </c>
      <c r="AI933">
        <v>90.890026288104806</v>
      </c>
      <c r="AJ933">
        <v>92.3770085297393</v>
      </c>
      <c r="AK933">
        <v>71.685881648175794</v>
      </c>
      <c r="AL933">
        <v>80.108747283943003</v>
      </c>
      <c r="AM933">
        <v>90.836332945088401</v>
      </c>
      <c r="AN933">
        <v>0.99999998420168401</v>
      </c>
    </row>
    <row r="934" spans="1:40" x14ac:dyDescent="0.25">
      <c r="A934" t="str">
        <f>"20190303161858196"</f>
        <v>20190303161858196</v>
      </c>
      <c r="B934" t="str">
        <f>"1551601138183890"</f>
        <v>1551601138183890</v>
      </c>
      <c r="C934" t="s">
        <v>40</v>
      </c>
      <c r="D934">
        <v>4.4062999999999999</v>
      </c>
      <c r="E934">
        <v>0.48922700000000002</v>
      </c>
      <c r="F934" t="s">
        <v>41</v>
      </c>
      <c r="G934">
        <v>-251.3562</v>
      </c>
      <c r="H934" s="1">
        <v>-3.8703830000000004E-6</v>
      </c>
      <c r="I934">
        <v>370.29239999999999</v>
      </c>
      <c r="J934">
        <v>-318.03769999999997</v>
      </c>
      <c r="K934">
        <v>1.111691</v>
      </c>
      <c r="L934">
        <v>367.13549999999998</v>
      </c>
      <c r="M934">
        <v>0.99977119999999997</v>
      </c>
      <c r="N934">
        <v>-2.083101E-2</v>
      </c>
      <c r="O934">
        <v>4.8689850000000002E-3</v>
      </c>
      <c r="P934">
        <v>0.98833970000000004</v>
      </c>
      <c r="Q934">
        <v>0.1510589</v>
      </c>
      <c r="R934">
        <v>1.9134410000000001E-2</v>
      </c>
      <c r="S934">
        <v>3.041077</v>
      </c>
      <c r="T934">
        <v>-5.0558329999999999E-2</v>
      </c>
      <c r="U934">
        <v>0.1434021</v>
      </c>
      <c r="V934">
        <v>-1.43144E-2</v>
      </c>
      <c r="W934">
        <v>0.17161609999999999</v>
      </c>
      <c r="X934">
        <v>0.98505989999999999</v>
      </c>
      <c r="Y934">
        <v>-4.2224409999999997E-2</v>
      </c>
      <c r="Z934">
        <v>8.1141440000000002E-4</v>
      </c>
      <c r="AA934">
        <v>0.99910779999999999</v>
      </c>
      <c r="AB934">
        <v>30</v>
      </c>
      <c r="AC934">
        <v>66.6814999999999</v>
      </c>
      <c r="AD934">
        <v>-1.1116948703829901</v>
      </c>
      <c r="AE934">
        <v>3.1568999999999998</v>
      </c>
      <c r="AF934">
        <v>-2.8313356905951399</v>
      </c>
      <c r="AG934">
        <v>-1.1116948703829901</v>
      </c>
      <c r="AH934">
        <v>66.677592150021198</v>
      </c>
      <c r="AI934">
        <v>90.954326477123701</v>
      </c>
      <c r="AJ934">
        <v>92.431494346145001</v>
      </c>
      <c r="AK934">
        <v>66.746937174691695</v>
      </c>
      <c r="AL934">
        <v>80.118204142580694</v>
      </c>
      <c r="AM934">
        <v>90.832535142659296</v>
      </c>
      <c r="AN934">
        <v>0.99999999720729005</v>
      </c>
    </row>
    <row r="935" spans="1:40" x14ac:dyDescent="0.25">
      <c r="A935" t="str">
        <f>"20190303161858207"</f>
        <v>20190303161858207</v>
      </c>
      <c r="B935" t="str">
        <f>"1551601138193652"</f>
        <v>1551601138193652</v>
      </c>
      <c r="C935" t="s">
        <v>40</v>
      </c>
      <c r="D935">
        <v>4.4289160000000001</v>
      </c>
      <c r="E935">
        <v>0.48895119999999997</v>
      </c>
      <c r="F935" t="s">
        <v>41</v>
      </c>
      <c r="G935">
        <v>-257.7765</v>
      </c>
      <c r="H935" s="1">
        <v>-1.051537E-6</v>
      </c>
      <c r="I935">
        <v>370.04969999999997</v>
      </c>
      <c r="J935">
        <v>-317.88959999999997</v>
      </c>
      <c r="K935">
        <v>1.110722</v>
      </c>
      <c r="L935">
        <v>367.13630000000001</v>
      </c>
      <c r="M935">
        <v>0.99975970000000003</v>
      </c>
      <c r="N935">
        <v>-2.1381319999999999E-2</v>
      </c>
      <c r="O935">
        <v>4.8685580000000003E-3</v>
      </c>
      <c r="P935">
        <v>0.98844460000000001</v>
      </c>
      <c r="Q935">
        <v>0.1503669</v>
      </c>
      <c r="R935">
        <v>1.9159780000000001E-2</v>
      </c>
      <c r="S935">
        <v>3.041077</v>
      </c>
      <c r="T935">
        <v>-5.6101320000000003E-2</v>
      </c>
      <c r="U935">
        <v>0.14706420000000001</v>
      </c>
      <c r="V935">
        <v>-1.43392E-2</v>
      </c>
      <c r="W935">
        <v>0.1714687</v>
      </c>
      <c r="X935">
        <v>0.98508519999999999</v>
      </c>
      <c r="Y935">
        <v>-4.3422330000000002E-2</v>
      </c>
      <c r="Z935">
        <v>8.7917989999999999E-4</v>
      </c>
      <c r="AA935">
        <v>0.99905639999999996</v>
      </c>
      <c r="AB935">
        <v>30</v>
      </c>
      <c r="AC935">
        <v>60.113099999999903</v>
      </c>
      <c r="AD935">
        <v>-1.1107230515369999</v>
      </c>
      <c r="AE935">
        <v>2.9133999999999598</v>
      </c>
      <c r="AF935">
        <v>-2.61974216474625</v>
      </c>
      <c r="AG935">
        <v>-1.1107230515369999</v>
      </c>
      <c r="AH935">
        <v>60.1061019433333</v>
      </c>
      <c r="AI935">
        <v>91.057665652948302</v>
      </c>
      <c r="AJ935">
        <v>92.495673907736801</v>
      </c>
      <c r="AK935">
        <v>60.173418097440198</v>
      </c>
      <c r="AL935">
        <v>80.126776535600399</v>
      </c>
      <c r="AM935">
        <v>90.833955907751502</v>
      </c>
      <c r="AN935">
        <v>0.99999998949768498</v>
      </c>
    </row>
    <row r="936" spans="1:40" x14ac:dyDescent="0.25">
      <c r="A936" t="str">
        <f>"20190303161858219"</f>
        <v>20190303161858219</v>
      </c>
      <c r="B936" t="str">
        <f>"1551601138214147"</f>
        <v>1551601138214147</v>
      </c>
      <c r="C936" t="s">
        <v>40</v>
      </c>
      <c r="D936">
        <v>4.4318269999999904</v>
      </c>
      <c r="E936">
        <v>0.48864419999999997</v>
      </c>
      <c r="F936" t="s">
        <v>41</v>
      </c>
      <c r="G936">
        <v>-259.25130000000001</v>
      </c>
      <c r="H936" s="1">
        <v>-4.086534E-7</v>
      </c>
      <c r="I936">
        <v>370.01150000000001</v>
      </c>
      <c r="J936">
        <v>-317.7328</v>
      </c>
      <c r="K936">
        <v>1.1096239999999999</v>
      </c>
      <c r="L936">
        <v>367.137</v>
      </c>
      <c r="M936">
        <v>0.99974879999999999</v>
      </c>
      <c r="N936">
        <v>-2.1878959999999999E-2</v>
      </c>
      <c r="O936">
        <v>4.8688530000000002E-3</v>
      </c>
      <c r="P936">
        <v>0.98852879999999999</v>
      </c>
      <c r="Q936">
        <v>0.1498401</v>
      </c>
      <c r="R936">
        <v>1.894361E-2</v>
      </c>
      <c r="S936">
        <v>3.040924</v>
      </c>
      <c r="T936">
        <v>-5.7600859999999997E-2</v>
      </c>
      <c r="U936">
        <v>0.14910889999999999</v>
      </c>
      <c r="V936">
        <v>-1.412274E-2</v>
      </c>
      <c r="W936">
        <v>0.1714348</v>
      </c>
      <c r="X936">
        <v>0.98509420000000003</v>
      </c>
      <c r="Y936">
        <v>-4.4093470000000003E-2</v>
      </c>
      <c r="Z936">
        <v>9.1443959999999995E-4</v>
      </c>
      <c r="AA936">
        <v>0.999027</v>
      </c>
      <c r="AB936">
        <v>30</v>
      </c>
      <c r="AC936">
        <v>58.481499999999897</v>
      </c>
      <c r="AD936">
        <v>-1.1096244086534</v>
      </c>
      <c r="AE936">
        <v>2.8745000000000598</v>
      </c>
      <c r="AF936">
        <v>-2.5887301955125199</v>
      </c>
      <c r="AG936">
        <v>-1.1096244086534</v>
      </c>
      <c r="AH936">
        <v>58.473804919674997</v>
      </c>
      <c r="AI936">
        <v>91.086075637633499</v>
      </c>
      <c r="AJ936">
        <v>92.534921835468694</v>
      </c>
      <c r="AK936">
        <v>58.541597622012702</v>
      </c>
      <c r="AL936">
        <v>80.128747788171793</v>
      </c>
      <c r="AM936">
        <v>90.821361009546095</v>
      </c>
      <c r="AN936">
        <v>0.99999996265489299</v>
      </c>
    </row>
    <row r="937" spans="1:40" x14ac:dyDescent="0.25">
      <c r="A937" t="str">
        <f>"20190303161858230"</f>
        <v>20190303161858230</v>
      </c>
      <c r="B937" t="str">
        <f>"1551601138223908"</f>
        <v>1551601138223908</v>
      </c>
      <c r="C937" t="s">
        <v>40</v>
      </c>
      <c r="D937">
        <v>4.4066130000000001</v>
      </c>
      <c r="E937">
        <v>0.48846010000000001</v>
      </c>
      <c r="F937" t="s">
        <v>41</v>
      </c>
      <c r="G937">
        <v>-262.40570000000002</v>
      </c>
      <c r="H937" s="1">
        <v>-3.310932E-6</v>
      </c>
      <c r="I937">
        <v>369.88189999999997</v>
      </c>
      <c r="J937">
        <v>-317.57409999999999</v>
      </c>
      <c r="K937">
        <v>1.108474</v>
      </c>
      <c r="L937">
        <v>367.13780000000003</v>
      </c>
      <c r="M937">
        <v>0.9997393</v>
      </c>
      <c r="N937">
        <v>-2.2312080000000001E-2</v>
      </c>
      <c r="O937">
        <v>4.8688569999999999E-3</v>
      </c>
      <c r="P937">
        <v>0.988626</v>
      </c>
      <c r="Q937">
        <v>0.14920919999999999</v>
      </c>
      <c r="R937">
        <v>1.8858650000000001E-2</v>
      </c>
      <c r="S937">
        <v>3.0411679999999999</v>
      </c>
      <c r="T937">
        <v>-6.099284E-2</v>
      </c>
      <c r="U937">
        <v>0.15087890000000001</v>
      </c>
      <c r="V937">
        <v>-1.4037289999999999E-2</v>
      </c>
      <c r="W937">
        <v>0.17123279999999999</v>
      </c>
      <c r="X937">
        <v>0.98513059999999997</v>
      </c>
      <c r="Y937">
        <v>-4.466759E-2</v>
      </c>
      <c r="Z937">
        <v>9.5739830000000003E-4</v>
      </c>
      <c r="AA937">
        <v>0.99900140000000004</v>
      </c>
      <c r="AB937">
        <v>30</v>
      </c>
      <c r="AC937">
        <v>55.168399999999899</v>
      </c>
      <c r="AD937">
        <v>-1.1084773109320001</v>
      </c>
      <c r="AE937">
        <v>2.74409999999994</v>
      </c>
      <c r="AF937">
        <v>-2.4743970685796199</v>
      </c>
      <c r="AG937">
        <v>-1.1084773109320001</v>
      </c>
      <c r="AH937">
        <v>55.158896311504002</v>
      </c>
      <c r="AI937">
        <v>91.150108982940694</v>
      </c>
      <c r="AJ937">
        <v>92.568534424414594</v>
      </c>
      <c r="AK937">
        <v>55.225494158994202</v>
      </c>
      <c r="AL937">
        <v>80.140495698663003</v>
      </c>
      <c r="AM937">
        <v>90.816361857268305</v>
      </c>
      <c r="AN937">
        <v>1.00000000818137</v>
      </c>
    </row>
    <row r="938" spans="1:40" x14ac:dyDescent="0.25">
      <c r="A938" t="str">
        <f>"20190303161858241"</f>
        <v>20190303161858241</v>
      </c>
      <c r="B938" t="str">
        <f>"1551601138233667"</f>
        <v>1551601138233667</v>
      </c>
      <c r="C938" t="s">
        <v>40</v>
      </c>
      <c r="D938">
        <v>4.4324450000000004</v>
      </c>
      <c r="E938">
        <v>0.48840869999999997</v>
      </c>
      <c r="F938" t="s">
        <v>41</v>
      </c>
      <c r="G938">
        <v>-263.9119</v>
      </c>
      <c r="H938" s="1">
        <v>-2.6484459999999999E-6</v>
      </c>
      <c r="I938">
        <v>369.82060000000001</v>
      </c>
      <c r="J938">
        <v>-317.41860000000003</v>
      </c>
      <c r="K938">
        <v>1.1072959999999901</v>
      </c>
      <c r="L938">
        <v>367.13850000000002</v>
      </c>
      <c r="M938">
        <v>0.99973140000000005</v>
      </c>
      <c r="N938">
        <v>-2.2660179999999999E-2</v>
      </c>
      <c r="O938">
        <v>4.8689629999999996E-3</v>
      </c>
      <c r="P938">
        <v>0.98870250000000004</v>
      </c>
      <c r="Q938">
        <v>0.1486845</v>
      </c>
      <c r="R938">
        <v>1.8983199999999999E-2</v>
      </c>
      <c r="S938">
        <v>3.041077</v>
      </c>
      <c r="T938">
        <v>-6.2818170000000007E-2</v>
      </c>
      <c r="U938">
        <v>0.1520386</v>
      </c>
      <c r="V938">
        <v>-1.4160809999999999E-2</v>
      </c>
      <c r="W938">
        <v>0.17105329999999999</v>
      </c>
      <c r="X938">
        <v>0.98516000000000004</v>
      </c>
      <c r="Y938">
        <v>-4.5047770000000001E-2</v>
      </c>
      <c r="Z938">
        <v>9.8560199999999992E-4</v>
      </c>
      <c r="AA938">
        <v>0.99898430000000005</v>
      </c>
      <c r="AB938">
        <v>30</v>
      </c>
      <c r="AC938">
        <v>53.506700000000002</v>
      </c>
      <c r="AD938">
        <v>-1.1072986484459999</v>
      </c>
      <c r="AE938">
        <v>2.6820999999999899</v>
      </c>
      <c r="AF938">
        <v>-2.4204451490327599</v>
      </c>
      <c r="AG938">
        <v>-1.1072986484459999</v>
      </c>
      <c r="AH938">
        <v>53.496274640825497</v>
      </c>
      <c r="AI938">
        <v>91.184562299533695</v>
      </c>
      <c r="AJ938">
        <v>92.590587403301498</v>
      </c>
      <c r="AK938">
        <v>53.562450144321801</v>
      </c>
      <c r="AL938">
        <v>80.150934147051402</v>
      </c>
      <c r="AM938">
        <v>90.823519808927102</v>
      </c>
      <c r="AN938">
        <v>0.99999999279037299</v>
      </c>
    </row>
    <row r="939" spans="1:40" x14ac:dyDescent="0.25">
      <c r="A939" t="str">
        <f>"20190303161858253"</f>
        <v>20190303161858253</v>
      </c>
      <c r="B939" t="str">
        <f>"1551601138243426"</f>
        <v>1551601138243426</v>
      </c>
      <c r="C939" t="s">
        <v>40</v>
      </c>
      <c r="D939">
        <v>4.4426629999999996</v>
      </c>
      <c r="E939">
        <v>0.48826350000000002</v>
      </c>
      <c r="F939" t="s">
        <v>41</v>
      </c>
      <c r="G939">
        <v>-266.49650000000003</v>
      </c>
      <c r="H939" s="1">
        <v>-1.507883E-6</v>
      </c>
      <c r="I939">
        <v>369.70100000000002</v>
      </c>
      <c r="J939">
        <v>-317.27420000000001</v>
      </c>
      <c r="K939">
        <v>1.1061399999999999</v>
      </c>
      <c r="L939">
        <v>367.13929999999999</v>
      </c>
      <c r="M939">
        <v>0.99972689999999997</v>
      </c>
      <c r="N939">
        <v>-2.2861449999999998E-2</v>
      </c>
      <c r="O939">
        <v>4.8688560000000004E-3</v>
      </c>
      <c r="P939">
        <v>0.98874130000000005</v>
      </c>
      <c r="Q939">
        <v>0.14847399999999999</v>
      </c>
      <c r="R939">
        <v>1.8612500000000001E-2</v>
      </c>
      <c r="S939">
        <v>3.04129</v>
      </c>
      <c r="T939">
        <v>-6.6132549999999998E-2</v>
      </c>
      <c r="U939">
        <v>0.15304570000000001</v>
      </c>
      <c r="V939">
        <v>-1.378972E-2</v>
      </c>
      <c r="W939">
        <v>0.17104159999999999</v>
      </c>
      <c r="X939">
        <v>0.98516729999999997</v>
      </c>
      <c r="Y939">
        <v>-4.5372460000000003E-2</v>
      </c>
      <c r="Z939">
        <v>1.0175690000000001E-3</v>
      </c>
      <c r="AA939">
        <v>0.99896960000000001</v>
      </c>
      <c r="AB939">
        <v>30</v>
      </c>
      <c r="AC939">
        <v>50.777699999999903</v>
      </c>
      <c r="AD939">
        <v>-1.1061415078829999</v>
      </c>
      <c r="AE939">
        <v>2.5616999999999699</v>
      </c>
      <c r="AF939">
        <v>-2.3132807433368399</v>
      </c>
      <c r="AG939">
        <v>-1.1061415078829999</v>
      </c>
      <c r="AH939">
        <v>50.765544364977899</v>
      </c>
      <c r="AI939">
        <v>91.2469391939659</v>
      </c>
      <c r="AJ939">
        <v>92.609045197967703</v>
      </c>
      <c r="AK939">
        <v>50.830259801672199</v>
      </c>
      <c r="AL939">
        <v>80.151614578041602</v>
      </c>
      <c r="AM939">
        <v>90.801936039660006</v>
      </c>
      <c r="AN939">
        <v>0.99999999714876397</v>
      </c>
    </row>
    <row r="940" spans="1:40" x14ac:dyDescent="0.25">
      <c r="A940" t="str">
        <f>"20190303161858264"</f>
        <v>20190303161858264</v>
      </c>
      <c r="B940" t="str">
        <f>"1551601138254163"</f>
        <v>1551601138254163</v>
      </c>
      <c r="C940" t="s">
        <v>40</v>
      </c>
      <c r="D940">
        <v>4.4449009999999998</v>
      </c>
      <c r="E940">
        <v>0.48810599999999998</v>
      </c>
      <c r="F940" t="s">
        <v>41</v>
      </c>
      <c r="G940">
        <v>-267.00139999999999</v>
      </c>
      <c r="H940" s="1">
        <v>-1.2829090000000001E-6</v>
      </c>
      <c r="I940">
        <v>369.6696</v>
      </c>
      <c r="J940">
        <v>-317.11750000000001</v>
      </c>
      <c r="K940">
        <v>1.104859</v>
      </c>
      <c r="L940">
        <v>367.14010000000002</v>
      </c>
      <c r="M940">
        <v>0.99972300000000003</v>
      </c>
      <c r="N940">
        <v>-2.3034619999999999E-2</v>
      </c>
      <c r="O940">
        <v>4.8690540000000003E-3</v>
      </c>
      <c r="P940">
        <v>0.98879640000000002</v>
      </c>
      <c r="Q940">
        <v>0.14812899999999901</v>
      </c>
      <c r="R940">
        <v>1.8435920000000001E-2</v>
      </c>
      <c r="S940">
        <v>3.0413209999999999</v>
      </c>
      <c r="T940">
        <v>-6.6917420000000005E-2</v>
      </c>
      <c r="U940">
        <v>0.1530762</v>
      </c>
      <c r="V940">
        <v>-1.361304E-2</v>
      </c>
      <c r="W940">
        <v>0.17086870000000001</v>
      </c>
      <c r="X940">
        <v>0.98519970000000001</v>
      </c>
      <c r="Y940">
        <v>-4.5381270000000001E-2</v>
      </c>
      <c r="Z940">
        <v>1.027137E-3</v>
      </c>
      <c r="AA940">
        <v>0.9989692</v>
      </c>
      <c r="AB940">
        <v>30</v>
      </c>
      <c r="AC940">
        <v>50.116100000000003</v>
      </c>
      <c r="AD940">
        <v>-1.104860282909</v>
      </c>
      <c r="AE940">
        <v>2.5294999999999801</v>
      </c>
      <c r="AF940">
        <v>-2.2842798855735298</v>
      </c>
      <c r="AG940">
        <v>-1.104860282909</v>
      </c>
      <c r="AH940">
        <v>50.103535370345902</v>
      </c>
      <c r="AI940">
        <v>91.261945224672701</v>
      </c>
      <c r="AJ940">
        <v>92.610375263991699</v>
      </c>
      <c r="AK940">
        <v>50.167747681632001</v>
      </c>
      <c r="AL940">
        <v>80.161668446035193</v>
      </c>
      <c r="AM940">
        <v>90.791636564221307</v>
      </c>
      <c r="AN940">
        <v>0.99999993818890798</v>
      </c>
    </row>
    <row r="941" spans="1:40" x14ac:dyDescent="0.25">
      <c r="A941" t="str">
        <f>"20190303161858275"</f>
        <v>20190303161858275</v>
      </c>
      <c r="B941" t="str">
        <f>"1551601138263923"</f>
        <v>1551601138263923</v>
      </c>
      <c r="C941" t="s">
        <v>40</v>
      </c>
      <c r="D941">
        <v>4.4352289999999996</v>
      </c>
      <c r="E941">
        <v>0.4879713</v>
      </c>
      <c r="F941" t="s">
        <v>41</v>
      </c>
      <c r="G941">
        <v>-267.3553</v>
      </c>
      <c r="H941" s="1">
        <v>-1.126696E-6</v>
      </c>
      <c r="I941">
        <v>369.65320000000003</v>
      </c>
      <c r="J941">
        <v>-316.97109999999998</v>
      </c>
      <c r="K941">
        <v>1.1035889999999999</v>
      </c>
      <c r="L941">
        <v>367.14080000000001</v>
      </c>
      <c r="M941">
        <v>0.99972280000000002</v>
      </c>
      <c r="N941">
        <v>-2.3035300000000002E-2</v>
      </c>
      <c r="O941">
        <v>4.8691619999999998E-3</v>
      </c>
      <c r="P941">
        <v>0.98880290000000004</v>
      </c>
      <c r="Q941">
        <v>0.14809539999999999</v>
      </c>
      <c r="R941">
        <v>1.8346939999999999E-2</v>
      </c>
      <c r="S941">
        <v>3.0412599999999999</v>
      </c>
      <c r="T941">
        <v>-6.7524429999999996E-2</v>
      </c>
      <c r="U941">
        <v>0.15359500000000001</v>
      </c>
      <c r="V941">
        <v>-1.352386E-2</v>
      </c>
      <c r="W941">
        <v>0.17083579999999901</v>
      </c>
      <c r="X941">
        <v>0.98520669999999999</v>
      </c>
      <c r="Y941">
        <v>-4.5551750000000002E-2</v>
      </c>
      <c r="Z941">
        <v>1.034575E-3</v>
      </c>
      <c r="AA941">
        <v>0.9989614</v>
      </c>
      <c r="AB941">
        <v>30</v>
      </c>
      <c r="AC941">
        <v>49.615799999999901</v>
      </c>
      <c r="AD941">
        <v>-1.103590126696</v>
      </c>
      <c r="AE941">
        <v>2.5124000000000102</v>
      </c>
      <c r="AF941">
        <v>-2.26959872688583</v>
      </c>
      <c r="AG941">
        <v>-1.103590126696</v>
      </c>
      <c r="AH941">
        <v>49.602970319497402</v>
      </c>
      <c r="AI941">
        <v>91.273201464719605</v>
      </c>
      <c r="AJ941">
        <v>92.619758333398494</v>
      </c>
      <c r="AK941">
        <v>49.667128506344703</v>
      </c>
      <c r="AL941">
        <v>80.163582256349997</v>
      </c>
      <c r="AM941">
        <v>90.786445562792693</v>
      </c>
      <c r="AN941">
        <v>1.00000000353791</v>
      </c>
    </row>
    <row r="942" spans="1:40" x14ac:dyDescent="0.25">
      <c r="A942" t="str">
        <f>"20190303161858288"</f>
        <v>20190303161858288</v>
      </c>
      <c r="B942" t="str">
        <f>"1551601138273683"</f>
        <v>1551601138273683</v>
      </c>
      <c r="C942" t="s">
        <v>40</v>
      </c>
      <c r="D942">
        <v>4.4482929999999996</v>
      </c>
      <c r="E942">
        <v>0.48787730000000001</v>
      </c>
      <c r="F942" t="s">
        <v>41</v>
      </c>
      <c r="G942">
        <v>-266.92919999999998</v>
      </c>
      <c r="H942" s="1">
        <v>-1.316568E-6</v>
      </c>
      <c r="I942">
        <v>369.67959999999999</v>
      </c>
      <c r="J942">
        <v>-316.8066</v>
      </c>
      <c r="K942">
        <v>1.102149</v>
      </c>
      <c r="L942">
        <v>367.14159999999998</v>
      </c>
      <c r="M942">
        <v>0.99972349999999999</v>
      </c>
      <c r="N942">
        <v>-2.300642E-2</v>
      </c>
      <c r="O942">
        <v>4.8693729999999998E-3</v>
      </c>
      <c r="P942">
        <v>0.98880679999999999</v>
      </c>
      <c r="Q942">
        <v>0.14811299999999999</v>
      </c>
      <c r="R942">
        <v>1.7987240000000002E-2</v>
      </c>
      <c r="S942">
        <v>3.0411679999999999</v>
      </c>
      <c r="T942">
        <v>-6.7067740000000001E-2</v>
      </c>
      <c r="U942">
        <v>0.15429689999999999</v>
      </c>
      <c r="V942">
        <v>-1.316403E-2</v>
      </c>
      <c r="W942">
        <v>0.170825</v>
      </c>
      <c r="X942">
        <v>0.98521349999999996</v>
      </c>
      <c r="Y942">
        <v>-4.5783150000000002E-2</v>
      </c>
      <c r="Z942">
        <v>1.0363149999999999E-3</v>
      </c>
      <c r="AA942">
        <v>0.99895080000000003</v>
      </c>
      <c r="AB942">
        <v>30</v>
      </c>
      <c r="AC942">
        <v>49.877400000000002</v>
      </c>
      <c r="AD942">
        <v>-1.102150316568</v>
      </c>
      <c r="AE942">
        <v>2.53800000000001</v>
      </c>
      <c r="AF942">
        <v>-2.2939167449697901</v>
      </c>
      <c r="AG942">
        <v>-1.102150316568</v>
      </c>
      <c r="AH942">
        <v>49.864884676023003</v>
      </c>
      <c r="AI942">
        <v>91.264850027186299</v>
      </c>
      <c r="AJ942">
        <v>92.633900641163805</v>
      </c>
      <c r="AK942">
        <v>49.929785830766797</v>
      </c>
      <c r="AL942">
        <v>80.164210808039599</v>
      </c>
      <c r="AM942">
        <v>90.765517808645399</v>
      </c>
      <c r="AN942">
        <v>1.0000000564465401</v>
      </c>
    </row>
    <row r="943" spans="1:40" x14ac:dyDescent="0.25">
      <c r="A943" t="str">
        <f>"20190303161858300"</f>
        <v>20190303161858300</v>
      </c>
      <c r="B943" t="str">
        <f>"1551601138294179"</f>
        <v>1551601138294179</v>
      </c>
      <c r="C943" t="s">
        <v>40</v>
      </c>
      <c r="D943">
        <v>4.570913</v>
      </c>
      <c r="E943">
        <v>0.48782370000000003</v>
      </c>
      <c r="F943" t="s">
        <v>41</v>
      </c>
      <c r="G943">
        <v>-266.51799999999997</v>
      </c>
      <c r="H943" s="1">
        <v>-1.49396E-6</v>
      </c>
      <c r="I943">
        <v>369.68340000000001</v>
      </c>
      <c r="J943">
        <v>-316.63920000000002</v>
      </c>
      <c r="K943">
        <v>1.100641</v>
      </c>
      <c r="L943">
        <v>367.14240000000001</v>
      </c>
      <c r="M943">
        <v>0.99972609999999995</v>
      </c>
      <c r="N943">
        <v>-2.2897049999999999E-2</v>
      </c>
      <c r="O943">
        <v>4.8702700000000003E-3</v>
      </c>
      <c r="P943">
        <v>0.98878779999999999</v>
      </c>
      <c r="Q943">
        <v>0.14824499999999999</v>
      </c>
      <c r="R943">
        <v>1.7954029999999999E-2</v>
      </c>
      <c r="S943">
        <v>3.0411069999999998</v>
      </c>
      <c r="T943">
        <v>-6.6650390000000004E-2</v>
      </c>
      <c r="U943">
        <v>0.15371699999999999</v>
      </c>
      <c r="V943">
        <v>-1.3129679999999999E-2</v>
      </c>
      <c r="W943">
        <v>0.17084849999999999</v>
      </c>
      <c r="X943">
        <v>0.98520980000000002</v>
      </c>
      <c r="Y943">
        <v>-4.5593670000000003E-2</v>
      </c>
      <c r="Z943">
        <v>1.026566E-3</v>
      </c>
      <c r="AA943">
        <v>0.9989595</v>
      </c>
      <c r="AB943">
        <v>30</v>
      </c>
      <c r="AC943">
        <v>50.121200000000002</v>
      </c>
      <c r="AD943">
        <v>-1.1006424939599999</v>
      </c>
      <c r="AE943">
        <v>2.5409999999999902</v>
      </c>
      <c r="AF943">
        <v>-2.2956978859743198</v>
      </c>
      <c r="AG943">
        <v>-1.1006424939599999</v>
      </c>
      <c r="AH943">
        <v>50.108882054641803</v>
      </c>
      <c r="AI943">
        <v>91.256982440712093</v>
      </c>
      <c r="AJ943">
        <v>92.623125542773707</v>
      </c>
      <c r="AK943">
        <v>50.173515956619802</v>
      </c>
      <c r="AL943">
        <v>80.162843451480597</v>
      </c>
      <c r="AM943">
        <v>90.763523383141404</v>
      </c>
      <c r="AN943">
        <v>0.99999997423259501</v>
      </c>
    </row>
    <row r="944" spans="1:40" x14ac:dyDescent="0.25">
      <c r="A944" t="str">
        <f>"20190303161858312"</f>
        <v>20190303161858312</v>
      </c>
      <c r="B944" t="str">
        <f>"1551601138303938"</f>
        <v>1551601138303938</v>
      </c>
      <c r="C944" t="s">
        <v>40</v>
      </c>
      <c r="D944">
        <v>4.4986739999999896</v>
      </c>
      <c r="E944">
        <v>0.48918289999999998</v>
      </c>
      <c r="F944" t="s">
        <v>41</v>
      </c>
      <c r="G944">
        <v>-265.08420000000001</v>
      </c>
      <c r="H944" s="1">
        <v>-2.1306329999999998E-6</v>
      </c>
      <c r="I944">
        <v>369.7645</v>
      </c>
      <c r="J944">
        <v>-316.48439999999999</v>
      </c>
      <c r="K944">
        <v>1.099227</v>
      </c>
      <c r="L944">
        <v>367.14319999999998</v>
      </c>
      <c r="M944">
        <v>0.99972890000000003</v>
      </c>
      <c r="N944">
        <v>-2.276922E-2</v>
      </c>
      <c r="O944">
        <v>4.8711989999999997E-3</v>
      </c>
      <c r="P944">
        <v>0.98873940000000005</v>
      </c>
      <c r="Q944">
        <v>0.1486027</v>
      </c>
      <c r="R944">
        <v>1.76557E-2</v>
      </c>
      <c r="S944">
        <v>3.0408940000000002</v>
      </c>
      <c r="T944">
        <v>-6.4919710000000005E-2</v>
      </c>
      <c r="U944">
        <v>0.1546631</v>
      </c>
      <c r="V944">
        <v>-1.28299E-2</v>
      </c>
      <c r="W944">
        <v>0.1710797</v>
      </c>
      <c r="X944">
        <v>0.98517359999999998</v>
      </c>
      <c r="Y944">
        <v>-4.5907040000000003E-2</v>
      </c>
      <c r="Z944">
        <v>1.019771E-3</v>
      </c>
      <c r="AA944">
        <v>0.99894519999999998</v>
      </c>
      <c r="AB944">
        <v>30</v>
      </c>
      <c r="AC944">
        <v>51.400199999999899</v>
      </c>
      <c r="AD944">
        <v>-1.099229130633</v>
      </c>
      <c r="AE944">
        <v>2.6213000000000202</v>
      </c>
      <c r="AF944">
        <v>-2.36974237167908</v>
      </c>
      <c r="AG944">
        <v>-1.099229130633</v>
      </c>
      <c r="AH944">
        <v>51.388920381735502</v>
      </c>
      <c r="AI944">
        <v>91.224091869305298</v>
      </c>
      <c r="AJ944">
        <v>92.640260113969305</v>
      </c>
      <c r="AK944">
        <v>51.455273020265999</v>
      </c>
      <c r="AL944">
        <v>80.149398443850899</v>
      </c>
      <c r="AM944">
        <v>90.746119839855893</v>
      </c>
      <c r="AN944">
        <v>0.99999994611152798</v>
      </c>
    </row>
    <row r="945" spans="1:40" x14ac:dyDescent="0.25">
      <c r="A945" t="str">
        <f>"20190303161858324"</f>
        <v>20190303161858324</v>
      </c>
      <c r="B945" t="str">
        <f>"1551601138313699"</f>
        <v>1551601138313699</v>
      </c>
      <c r="C945" t="s">
        <v>40</v>
      </c>
      <c r="D945">
        <v>4.4523299999999999</v>
      </c>
      <c r="E945">
        <v>0.48918289999999998</v>
      </c>
      <c r="F945" t="s">
        <v>41</v>
      </c>
      <c r="G945">
        <v>-262.07740000000001</v>
      </c>
      <c r="H945" s="1">
        <v>-3.402514E-6</v>
      </c>
      <c r="I945">
        <v>369.6968</v>
      </c>
      <c r="J945">
        <v>-316.32069999999999</v>
      </c>
      <c r="K945">
        <v>1.097723</v>
      </c>
      <c r="L945">
        <v>367.14400000000001</v>
      </c>
      <c r="M945">
        <v>0.99973239999999997</v>
      </c>
      <c r="N945">
        <v>-2.2616750000000001E-2</v>
      </c>
      <c r="O945">
        <v>4.8722829999999998E-3</v>
      </c>
      <c r="P945">
        <v>0.9886547</v>
      </c>
      <c r="Q945">
        <v>0.14913580000000001</v>
      </c>
      <c r="R945">
        <v>1.78993E-2</v>
      </c>
      <c r="S945">
        <v>3.0408629999999999</v>
      </c>
      <c r="T945">
        <v>-6.143713E-2</v>
      </c>
      <c r="U945">
        <v>0.14273069999999999</v>
      </c>
      <c r="V945">
        <v>-1.30733E-2</v>
      </c>
      <c r="W945">
        <v>0.17145969999999999</v>
      </c>
      <c r="X945">
        <v>0.98510439999999999</v>
      </c>
      <c r="Y945">
        <v>-4.1999080000000001E-2</v>
      </c>
      <c r="Z945">
        <v>9.1114280000000004E-4</v>
      </c>
      <c r="AA945">
        <v>0.99911729999999999</v>
      </c>
      <c r="AB945">
        <v>30</v>
      </c>
      <c r="AC945">
        <v>54.243299999999898</v>
      </c>
      <c r="AD945">
        <v>-1.0977264025139899</v>
      </c>
      <c r="AE945">
        <v>2.5527999999999902</v>
      </c>
      <c r="AF945">
        <v>-2.28747862906669</v>
      </c>
      <c r="AG945">
        <v>-1.0977264025139899</v>
      </c>
      <c r="AH945">
        <v>54.232935511142998</v>
      </c>
      <c r="AI945">
        <v>91.158533146511999</v>
      </c>
      <c r="AJ945">
        <v>92.415234034077002</v>
      </c>
      <c r="AK945">
        <v>54.2922541058024</v>
      </c>
      <c r="AL945">
        <v>80.127300147632496</v>
      </c>
      <c r="AM945">
        <v>90.760326464181702</v>
      </c>
      <c r="AN945">
        <v>1.00000000939816</v>
      </c>
    </row>
    <row r="946" spans="1:40" x14ac:dyDescent="0.25">
      <c r="A946" t="str">
        <f>"20190303161858337"</f>
        <v>20190303161858337</v>
      </c>
      <c r="B946" t="str">
        <f>"1551601138323459"</f>
        <v>1551601138323459</v>
      </c>
      <c r="C946" t="s">
        <v>40</v>
      </c>
      <c r="D946">
        <v>4.4134570000000002</v>
      </c>
      <c r="E946">
        <v>0.52537180000000006</v>
      </c>
      <c r="F946" t="s">
        <v>41</v>
      </c>
      <c r="G946">
        <v>-260.48700000000002</v>
      </c>
      <c r="H946" s="1">
        <v>-4.1054950000000004E-6</v>
      </c>
      <c r="I946">
        <v>369.7747</v>
      </c>
      <c r="J946">
        <v>-316.16199999999998</v>
      </c>
      <c r="K946">
        <v>1.096258</v>
      </c>
      <c r="L946">
        <v>367.1447</v>
      </c>
      <c r="M946">
        <v>0.99973710000000005</v>
      </c>
      <c r="N946">
        <v>-2.240814E-2</v>
      </c>
      <c r="O946">
        <v>4.8729799999999998E-3</v>
      </c>
      <c r="P946">
        <v>0.98861319999999997</v>
      </c>
      <c r="Q946">
        <v>0.1494074</v>
      </c>
      <c r="R946">
        <v>1.7919040000000001E-2</v>
      </c>
      <c r="S946">
        <v>3.0408940000000002</v>
      </c>
      <c r="T946">
        <v>-5.9785959999999999E-2</v>
      </c>
      <c r="U946">
        <v>0.14327999999999999</v>
      </c>
      <c r="V946">
        <v>-1.3092410000000001E-2</v>
      </c>
      <c r="W946">
        <v>0.17152500000000001</v>
      </c>
      <c r="X946">
        <v>0.98509279999999999</v>
      </c>
      <c r="Y946">
        <v>-4.2178760000000003E-2</v>
      </c>
      <c r="Z946">
        <v>9.0076589999999997E-4</v>
      </c>
      <c r="AA946">
        <v>0.99910969999999999</v>
      </c>
      <c r="AB946">
        <v>30</v>
      </c>
      <c r="AC946">
        <v>55.674999999999997</v>
      </c>
      <c r="AD946">
        <v>-1.0962621054949999</v>
      </c>
      <c r="AE946">
        <v>2.6299999999999901</v>
      </c>
      <c r="AF946">
        <v>-2.3576854102239801</v>
      </c>
      <c r="AG946">
        <v>-1.0962621054949999</v>
      </c>
      <c r="AH946">
        <v>55.665623658683899</v>
      </c>
      <c r="AI946">
        <v>91.1272097292523</v>
      </c>
      <c r="AJ946">
        <v>92.425280180639305</v>
      </c>
      <c r="AK946">
        <v>55.7263145058755</v>
      </c>
      <c r="AL946">
        <v>80.123502685100405</v>
      </c>
      <c r="AM946">
        <v>90.761446711948295</v>
      </c>
      <c r="AN946">
        <v>1.00000003071822</v>
      </c>
    </row>
    <row r="947" spans="1:40" x14ac:dyDescent="0.25">
      <c r="A947" t="str">
        <f>"20190303161858349"</f>
        <v>20190303161858349</v>
      </c>
      <c r="B947" t="str">
        <f>"1551601138343954"</f>
        <v>1551601138343954</v>
      </c>
      <c r="C947" t="s">
        <v>40</v>
      </c>
      <c r="D947">
        <v>4.3779339999999998</v>
      </c>
      <c r="E947">
        <v>0.52712599999999998</v>
      </c>
      <c r="F947" t="s">
        <v>43</v>
      </c>
      <c r="G947">
        <v>-158.19499999999999</v>
      </c>
      <c r="H947">
        <v>1.1392260000000001</v>
      </c>
      <c r="I947">
        <v>359.56699999999898</v>
      </c>
      <c r="J947">
        <v>-315.99119999999999</v>
      </c>
      <c r="K947">
        <v>1.0946940000000001</v>
      </c>
      <c r="L947">
        <v>367.1456</v>
      </c>
      <c r="M947">
        <v>0.99974280000000004</v>
      </c>
      <c r="N947">
        <v>-2.2150900000000001E-2</v>
      </c>
      <c r="O947">
        <v>4.8734850000000003E-3</v>
      </c>
      <c r="P947">
        <v>0.98856250000000001</v>
      </c>
      <c r="Q947">
        <v>0.14972070000000001</v>
      </c>
      <c r="R947">
        <v>1.8113750000000001E-2</v>
      </c>
      <c r="S947">
        <v>3.0370789999999999</v>
      </c>
      <c r="T947">
        <v>8.2778929999999902E-4</v>
      </c>
      <c r="U947">
        <v>-0.14569089999999901</v>
      </c>
      <c r="V947">
        <v>-1.328674E-2</v>
      </c>
      <c r="W947">
        <v>0.17158380000000001</v>
      </c>
      <c r="X947">
        <v>0.98507990000000001</v>
      </c>
      <c r="Y947">
        <v>5.2783080000000003E-2</v>
      </c>
      <c r="Z947">
        <v>-4.685863E-4</v>
      </c>
      <c r="AA947">
        <v>0.99860590000000005</v>
      </c>
      <c r="AB947">
        <v>30</v>
      </c>
      <c r="AC947">
        <v>157.7962</v>
      </c>
      <c r="AD947">
        <v>4.4532000000000002E-2</v>
      </c>
      <c r="AE947">
        <v>-7.5786000000000504</v>
      </c>
      <c r="AF947">
        <v>8.34771540948244</v>
      </c>
      <c r="AG947">
        <v>4.4532000000000002E-2</v>
      </c>
      <c r="AH947">
        <v>157.757369379831</v>
      </c>
      <c r="AI947">
        <v>89.983849052485994</v>
      </c>
      <c r="AJ947">
        <v>86.971024484845501</v>
      </c>
      <c r="AK947">
        <v>157.97808053429799</v>
      </c>
      <c r="AL947">
        <v>80.120082425613703</v>
      </c>
      <c r="AM947">
        <v>90.772757585884193</v>
      </c>
      <c r="AN947">
        <v>0.99999997363313797</v>
      </c>
    </row>
    <row r="948" spans="1:40" x14ac:dyDescent="0.25">
      <c r="A948" t="str">
        <f>"20190303161858363"</f>
        <v>20190303161858363</v>
      </c>
      <c r="B948" t="str">
        <f>"1551601138353715"</f>
        <v>1551601138353715</v>
      </c>
      <c r="C948" t="s">
        <v>40</v>
      </c>
      <c r="D948">
        <v>4.312932</v>
      </c>
      <c r="E948">
        <v>0.52658990000000006</v>
      </c>
      <c r="F948" t="s">
        <v>43</v>
      </c>
      <c r="G948">
        <v>-158.19499999999999</v>
      </c>
      <c r="H948">
        <v>0.60740280000000002</v>
      </c>
      <c r="I948">
        <v>358.88670000000002</v>
      </c>
      <c r="J948">
        <v>-315.79899999999998</v>
      </c>
      <c r="K948">
        <v>1.0929580000000001</v>
      </c>
      <c r="L948">
        <v>367.1465</v>
      </c>
      <c r="M948">
        <v>0.99975060000000004</v>
      </c>
      <c r="N948">
        <v>-2.1795519999999999E-2</v>
      </c>
      <c r="O948">
        <v>4.8732559999999899E-3</v>
      </c>
      <c r="P948">
        <v>0.98844710000000002</v>
      </c>
      <c r="Q948">
        <v>0.1504316</v>
      </c>
      <c r="R948">
        <v>1.8511050000000001E-2</v>
      </c>
      <c r="S948">
        <v>3.0389710000000001</v>
      </c>
      <c r="T948">
        <v>-9.3829629999999994E-3</v>
      </c>
      <c r="U948">
        <v>-0.15905759999999999</v>
      </c>
      <c r="V948">
        <v>-1.368514E-2</v>
      </c>
      <c r="W948">
        <v>0.17194209999999999</v>
      </c>
      <c r="X948">
        <v>0.985012</v>
      </c>
      <c r="Y948">
        <v>5.7131849999999998E-2</v>
      </c>
      <c r="Z948">
        <v>-6.2014199999999996E-4</v>
      </c>
      <c r="AA948">
        <v>0.99836650000000005</v>
      </c>
      <c r="AB948">
        <v>30</v>
      </c>
      <c r="AC948">
        <v>157.60400000000001</v>
      </c>
      <c r="AD948">
        <v>-0.48555520000000002</v>
      </c>
      <c r="AE948">
        <v>-8.2597999999999807</v>
      </c>
      <c r="AF948">
        <v>9.0278435288212098</v>
      </c>
      <c r="AG948">
        <v>-0.48555520000000002</v>
      </c>
      <c r="AH948">
        <v>157.56037456241799</v>
      </c>
      <c r="AI948">
        <v>90.1762792260743</v>
      </c>
      <c r="AJ948">
        <v>86.720670472472605</v>
      </c>
      <c r="AK948">
        <v>157.81954680863399</v>
      </c>
      <c r="AL948">
        <v>80.099243956116396</v>
      </c>
      <c r="AM948">
        <v>90.7959804746732</v>
      </c>
      <c r="AN948">
        <v>1.00000000447661</v>
      </c>
    </row>
    <row r="949" spans="1:40" x14ac:dyDescent="0.25">
      <c r="A949" t="str">
        <f>"20190303161858380"</f>
        <v>20190303161858380</v>
      </c>
      <c r="B949" t="str">
        <f>"1551601138374211"</f>
        <v>1551601138374211</v>
      </c>
      <c r="C949" t="s">
        <v>40</v>
      </c>
      <c r="D949">
        <v>4.3988230000000001</v>
      </c>
      <c r="E949">
        <v>0.52694849999999904</v>
      </c>
      <c r="F949" t="s">
        <v>43</v>
      </c>
      <c r="G949">
        <v>-158.19499999999999</v>
      </c>
      <c r="H949">
        <v>0.85431669999999904</v>
      </c>
      <c r="I949">
        <v>359.18790000000001</v>
      </c>
      <c r="J949">
        <v>-315.6003</v>
      </c>
      <c r="K949">
        <v>1.0912170000000001</v>
      </c>
      <c r="L949">
        <v>367.1474</v>
      </c>
      <c r="M949">
        <v>0.99976030000000005</v>
      </c>
      <c r="N949">
        <v>-2.13473E-2</v>
      </c>
      <c r="O949">
        <v>4.8725859999999999E-3</v>
      </c>
      <c r="P949">
        <v>0.98839809999999995</v>
      </c>
      <c r="Q949">
        <v>0.1507415</v>
      </c>
      <c r="R949">
        <v>1.8618760000000002E-2</v>
      </c>
      <c r="S949">
        <v>3.0386350000000002</v>
      </c>
      <c r="T949">
        <v>-4.5993329999999997E-3</v>
      </c>
      <c r="U949">
        <v>-0.15344240000000001</v>
      </c>
      <c r="V949">
        <v>-1.379443E-2</v>
      </c>
      <c r="W949">
        <v>0.17180879999999901</v>
      </c>
      <c r="X949">
        <v>0.98503379999999996</v>
      </c>
      <c r="Y949">
        <v>5.5297859999999997E-2</v>
      </c>
      <c r="Z949">
        <v>-5.3591209999999997E-4</v>
      </c>
      <c r="AA949">
        <v>0.99846979999999996</v>
      </c>
      <c r="AB949">
        <v>30</v>
      </c>
      <c r="AC949">
        <v>157.40530000000001</v>
      </c>
      <c r="AD949">
        <v>-0.23690030000000001</v>
      </c>
      <c r="AE949">
        <v>-7.9594999999999896</v>
      </c>
      <c r="AF949">
        <v>8.7265313894487893</v>
      </c>
      <c r="AG949">
        <v>-0.23690030000000001</v>
      </c>
      <c r="AH949">
        <v>157.36428284437599</v>
      </c>
      <c r="AI949">
        <v>90.086122178363297</v>
      </c>
      <c r="AJ949">
        <v>86.8259516759516</v>
      </c>
      <c r="AK949">
        <v>157.60623714488</v>
      </c>
      <c r="AL949">
        <v>80.106997497577794</v>
      </c>
      <c r="AM949">
        <v>90.802318620139602</v>
      </c>
      <c r="AN949">
        <v>1.0000000685994499</v>
      </c>
    </row>
    <row r="950" spans="1:40" x14ac:dyDescent="0.25">
      <c r="A950" t="str">
        <f>"20190303161858393"</f>
        <v>20190303161858393</v>
      </c>
      <c r="B950" t="str">
        <f>"1551601138383971"</f>
        <v>1551601138383971</v>
      </c>
      <c r="C950" t="s">
        <v>40</v>
      </c>
      <c r="D950">
        <v>4.3757149999999996</v>
      </c>
      <c r="E950">
        <v>0.52714419999999995</v>
      </c>
      <c r="F950" t="s">
        <v>43</v>
      </c>
      <c r="G950">
        <v>-158.19499999999999</v>
      </c>
      <c r="H950">
        <v>0.85645769999999899</v>
      </c>
      <c r="I950">
        <v>359.06199999999899</v>
      </c>
      <c r="J950">
        <v>-315.4101</v>
      </c>
      <c r="K950">
        <v>1.0896079999999999</v>
      </c>
      <c r="L950">
        <v>367.14839999999998</v>
      </c>
      <c r="M950">
        <v>0.99977020000000005</v>
      </c>
      <c r="N950">
        <v>-2.0884460000000001E-2</v>
      </c>
      <c r="O950">
        <v>4.8717869999999998E-3</v>
      </c>
      <c r="P950">
        <v>0.98831219999999997</v>
      </c>
      <c r="Q950">
        <v>0.15126909999999999</v>
      </c>
      <c r="R950">
        <v>1.88919E-2</v>
      </c>
      <c r="S950">
        <v>3.0388489999999999</v>
      </c>
      <c r="T950">
        <v>-4.530549E-3</v>
      </c>
      <c r="U950">
        <v>-0.1560974</v>
      </c>
      <c r="V950">
        <v>-1.4068560000000001E-2</v>
      </c>
      <c r="W950">
        <v>0.1718787</v>
      </c>
      <c r="X950">
        <v>0.9850177</v>
      </c>
      <c r="Y950">
        <v>5.6163619999999997E-2</v>
      </c>
      <c r="Z950">
        <v>-5.3433959999999998E-4</v>
      </c>
      <c r="AA950">
        <v>0.99842140000000001</v>
      </c>
      <c r="AB950">
        <v>30</v>
      </c>
      <c r="AC950">
        <v>157.21510000000001</v>
      </c>
      <c r="AD950">
        <v>-0.2331503</v>
      </c>
      <c r="AE950">
        <v>-8.0864000000000207</v>
      </c>
      <c r="AF950">
        <v>8.8523700109600796</v>
      </c>
      <c r="AG950">
        <v>-0.2331503</v>
      </c>
      <c r="AH950">
        <v>157.17348491521</v>
      </c>
      <c r="AI950">
        <v>90.084857702003006</v>
      </c>
      <c r="AJ950">
        <v>86.776376485137206</v>
      </c>
      <c r="AK950">
        <v>157.42275303864201</v>
      </c>
      <c r="AL950">
        <v>80.102931766238896</v>
      </c>
      <c r="AM950">
        <v>90.818273933783203</v>
      </c>
      <c r="AN950">
        <v>1.0000000406037199</v>
      </c>
    </row>
    <row r="951" spans="1:40" x14ac:dyDescent="0.25">
      <c r="A951" t="str">
        <f>"20190303161858407"</f>
        <v>20190303161858407</v>
      </c>
      <c r="B951" t="str">
        <f>"1551601138393731"</f>
        <v>1551601138393731</v>
      </c>
      <c r="C951" t="s">
        <v>40</v>
      </c>
      <c r="D951">
        <v>4.3665699999999896</v>
      </c>
      <c r="E951">
        <v>0.5272405</v>
      </c>
      <c r="F951" t="s">
        <v>43</v>
      </c>
      <c r="G951">
        <v>-158.19499999999999</v>
      </c>
      <c r="H951">
        <v>0.88631150000000003</v>
      </c>
      <c r="I951">
        <v>359.03379999999999</v>
      </c>
      <c r="J951">
        <v>-315.22930000000002</v>
      </c>
      <c r="K951">
        <v>1.0881240000000001</v>
      </c>
      <c r="L951">
        <v>367.14920000000001</v>
      </c>
      <c r="M951">
        <v>0.99977959999999999</v>
      </c>
      <c r="N951">
        <v>-2.0423230000000001E-2</v>
      </c>
      <c r="O951">
        <v>4.8715169999999997E-3</v>
      </c>
      <c r="P951">
        <v>0.98825540000000001</v>
      </c>
      <c r="Q951">
        <v>0.15161949999999999</v>
      </c>
      <c r="R951">
        <v>1.9056090000000001E-2</v>
      </c>
      <c r="S951">
        <v>3.0390929999999998</v>
      </c>
      <c r="T951">
        <v>-3.9281849999999998E-3</v>
      </c>
      <c r="U951">
        <v>-0.15686040000000001</v>
      </c>
      <c r="V951">
        <v>-1.423369E-2</v>
      </c>
      <c r="W951">
        <v>0.1717735</v>
      </c>
      <c r="X951">
        <v>0.98503359999999995</v>
      </c>
      <c r="Y951">
        <v>5.6409349999999997E-2</v>
      </c>
      <c r="Z951">
        <v>-5.1976829999999998E-4</v>
      </c>
      <c r="AA951">
        <v>0.99840759999999995</v>
      </c>
      <c r="AB951">
        <v>30</v>
      </c>
      <c r="AC951">
        <v>157.0343</v>
      </c>
      <c r="AD951">
        <v>-0.20181249999999901</v>
      </c>
      <c r="AE951">
        <v>-8.1154000000000206</v>
      </c>
      <c r="AF951">
        <v>8.8804438562808095</v>
      </c>
      <c r="AG951">
        <v>-0.20181249999999901</v>
      </c>
      <c r="AH951">
        <v>156.99263471321299</v>
      </c>
      <c r="AI951">
        <v>90.073535572693004</v>
      </c>
      <c r="AJ951">
        <v>86.762457615919402</v>
      </c>
      <c r="AK951">
        <v>157.24372917724199</v>
      </c>
      <c r="AL951">
        <v>80.109049507362897</v>
      </c>
      <c r="AM951">
        <v>90.827863749802702</v>
      </c>
      <c r="AN951">
        <v>0.99999996318111195</v>
      </c>
    </row>
    <row r="952" spans="1:40" x14ac:dyDescent="0.25">
      <c r="A952" t="str">
        <f>"20190303161858419"</f>
        <v>20190303161858419</v>
      </c>
      <c r="B952" t="str">
        <f>"1551601138414227"</f>
        <v>1551601138414227</v>
      </c>
      <c r="C952" t="s">
        <v>40</v>
      </c>
      <c r="D952">
        <v>4.369764</v>
      </c>
      <c r="E952">
        <v>0.52729250000000005</v>
      </c>
      <c r="F952" t="s">
        <v>43</v>
      </c>
      <c r="G952">
        <v>-158.19499999999999</v>
      </c>
      <c r="H952">
        <v>0.84225939999999999</v>
      </c>
      <c r="I952">
        <v>359.05279999999999</v>
      </c>
      <c r="J952">
        <v>-315.06349999999998</v>
      </c>
      <c r="K952">
        <v>1.0868500000000001</v>
      </c>
      <c r="L952">
        <v>367.15</v>
      </c>
      <c r="M952">
        <v>0.99978829999999996</v>
      </c>
      <c r="N952">
        <v>-1.9989380000000001E-2</v>
      </c>
      <c r="O952">
        <v>4.871757E-3</v>
      </c>
      <c r="P952">
        <v>0.98818660000000003</v>
      </c>
      <c r="Q952">
        <v>0.1520879</v>
      </c>
      <c r="R952">
        <v>1.8887620000000001E-2</v>
      </c>
      <c r="S952">
        <v>3.0394290000000002</v>
      </c>
      <c r="T952">
        <v>-4.7570470000000004E-3</v>
      </c>
      <c r="U952">
        <v>-0.15670780000000001</v>
      </c>
      <c r="V952">
        <v>-1.406497E-2</v>
      </c>
      <c r="W952">
        <v>0.17181299999999999</v>
      </c>
      <c r="X952">
        <v>0.98502920000000005</v>
      </c>
      <c r="Y952">
        <v>5.6353790000000001E-2</v>
      </c>
      <c r="Z952">
        <v>-5.180378E-4</v>
      </c>
      <c r="AA952">
        <v>0.99841069999999998</v>
      </c>
      <c r="AB952">
        <v>30</v>
      </c>
      <c r="AC952">
        <v>156.86849999999899</v>
      </c>
      <c r="AD952">
        <v>-0.24459059999999999</v>
      </c>
      <c r="AE952">
        <v>-8.0971999999999795</v>
      </c>
      <c r="AF952">
        <v>8.8614603443910092</v>
      </c>
      <c r="AG952">
        <v>-0.24459059999999999</v>
      </c>
      <c r="AH952">
        <v>156.82680195670201</v>
      </c>
      <c r="AI952">
        <v>90.089217398798496</v>
      </c>
      <c r="AJ952">
        <v>86.765954845796301</v>
      </c>
      <c r="AK952">
        <v>157.07715020321501</v>
      </c>
      <c r="AL952">
        <v>80.106752813260599</v>
      </c>
      <c r="AM952">
        <v>90.818055606468505</v>
      </c>
      <c r="AN952">
        <v>1.0000000276013701</v>
      </c>
    </row>
    <row r="953" spans="1:40" x14ac:dyDescent="0.25">
      <c r="A953" t="str">
        <f>"20190303161858431"</f>
        <v>20190303161858431</v>
      </c>
      <c r="B953" t="str">
        <f>"1551601138423987"</f>
        <v>1551601138423987</v>
      </c>
      <c r="C953" t="s">
        <v>40</v>
      </c>
      <c r="D953">
        <v>4.3639739999999998</v>
      </c>
      <c r="E953">
        <v>0.5273468</v>
      </c>
      <c r="F953" t="s">
        <v>43</v>
      </c>
      <c r="G953">
        <v>-158.19499999999999</v>
      </c>
      <c r="H953">
        <v>0.82967279999999999</v>
      </c>
      <c r="I953">
        <v>359.02330000000001</v>
      </c>
      <c r="J953">
        <v>-314.90570000000002</v>
      </c>
      <c r="K953">
        <v>1.085699</v>
      </c>
      <c r="L953">
        <v>367.1508</v>
      </c>
      <c r="M953">
        <v>0.99979649999999998</v>
      </c>
      <c r="N953">
        <v>-1.9579590000000001E-2</v>
      </c>
      <c r="O953">
        <v>4.8717839999999997E-3</v>
      </c>
      <c r="P953">
        <v>0.98818280000000003</v>
      </c>
      <c r="Q953">
        <v>0.152146799999999</v>
      </c>
      <c r="R953">
        <v>1.8611599999999999E-2</v>
      </c>
      <c r="S953">
        <v>3.0396420000000002</v>
      </c>
      <c r="T953">
        <v>-4.9816369999999997E-3</v>
      </c>
      <c r="U953">
        <v>-0.15747069999999999</v>
      </c>
      <c r="V953">
        <v>-1.3788689999999999E-2</v>
      </c>
      <c r="W953">
        <v>0.1714677</v>
      </c>
      <c r="X953">
        <v>0.9850932</v>
      </c>
      <c r="Y953">
        <v>5.6600110000000002E-2</v>
      </c>
      <c r="Z953">
        <v>-5.1353070000000002E-4</v>
      </c>
      <c r="AA953">
        <v>0.99839679999999997</v>
      </c>
      <c r="AB953">
        <v>30</v>
      </c>
      <c r="AC953">
        <v>156.7107</v>
      </c>
      <c r="AD953">
        <v>-0.25602619999999898</v>
      </c>
      <c r="AE953">
        <v>-8.1274999999999906</v>
      </c>
      <c r="AF953">
        <v>8.8909868559302403</v>
      </c>
      <c r="AG953">
        <v>-0.25602619999999898</v>
      </c>
      <c r="AH953">
        <v>156.668819505225</v>
      </c>
      <c r="AI953">
        <v>90.093481542287904</v>
      </c>
      <c r="AJ953">
        <v>86.751936946269296</v>
      </c>
      <c r="AK953">
        <v>156.92110820997999</v>
      </c>
      <c r="AL953">
        <v>80.126834362662294</v>
      </c>
      <c r="AM953">
        <v>90.801936458511193</v>
      </c>
      <c r="AN953">
        <v>0.99999995640072203</v>
      </c>
    </row>
    <row r="954" spans="1:40" x14ac:dyDescent="0.25">
      <c r="A954" t="str">
        <f>"20190303161858443"</f>
        <v>20190303161858443</v>
      </c>
      <c r="B954" t="str">
        <f>"1551601138433747"</f>
        <v>1551601138433747</v>
      </c>
      <c r="C954" t="s">
        <v>40</v>
      </c>
      <c r="D954">
        <v>4.3414510000000002</v>
      </c>
      <c r="E954">
        <v>0.52740629999999999</v>
      </c>
      <c r="F954" t="s">
        <v>43</v>
      </c>
      <c r="G954">
        <v>-158.19499999999999</v>
      </c>
      <c r="H954">
        <v>0.8079596</v>
      </c>
      <c r="I954">
        <v>358.96800000000002</v>
      </c>
      <c r="J954">
        <v>-314.74290000000002</v>
      </c>
      <c r="K954">
        <v>1.0845579999999999</v>
      </c>
      <c r="L954">
        <v>367.15159999999997</v>
      </c>
      <c r="M954">
        <v>0.99980460000000004</v>
      </c>
      <c r="N954">
        <v>-1.915994E-2</v>
      </c>
      <c r="O954">
        <v>4.8720020000000003E-3</v>
      </c>
      <c r="P954">
        <v>0.98816660000000001</v>
      </c>
      <c r="Q954">
        <v>0.15224960000000001</v>
      </c>
      <c r="R954">
        <v>1.8618530000000001E-2</v>
      </c>
      <c r="S954">
        <v>3.0397340000000002</v>
      </c>
      <c r="T954">
        <v>-5.3856370000000004E-3</v>
      </c>
      <c r="U954">
        <v>-0.1587219</v>
      </c>
      <c r="V954">
        <v>-1.3796020000000001E-2</v>
      </c>
      <c r="W954">
        <v>0.17115720000000001</v>
      </c>
      <c r="X954">
        <v>0.98514710000000005</v>
      </c>
      <c r="Y954">
        <v>5.7008549999999998E-2</v>
      </c>
      <c r="Z954">
        <v>-5.123711E-4</v>
      </c>
      <c r="AA954">
        <v>0.99837359999999997</v>
      </c>
      <c r="AB954">
        <v>30</v>
      </c>
      <c r="AC954">
        <v>156.5479</v>
      </c>
      <c r="AD954">
        <v>-0.27659839999999902</v>
      </c>
      <c r="AE954">
        <v>-8.1835999999999505</v>
      </c>
      <c r="AF954">
        <v>8.94631667255066</v>
      </c>
      <c r="AG954">
        <v>-0.27659839999999902</v>
      </c>
      <c r="AH954">
        <v>156.50567628277599</v>
      </c>
      <c r="AI954">
        <v>90.101095857205294</v>
      </c>
      <c r="AJ954">
        <v>86.728368046751498</v>
      </c>
      <c r="AK954">
        <v>156.76141042172799</v>
      </c>
      <c r="AL954">
        <v>80.144891713728697</v>
      </c>
      <c r="AM954">
        <v>90.802318814638497</v>
      </c>
      <c r="AN954">
        <v>0.99999996295904403</v>
      </c>
    </row>
    <row r="955" spans="1:40" x14ac:dyDescent="0.25">
      <c r="A955" t="str">
        <f>"20190303161858454"</f>
        <v>20190303161858454</v>
      </c>
      <c r="B955" t="str">
        <f>"1551601138443507"</f>
        <v>1551601138443507</v>
      </c>
      <c r="C955" t="s">
        <v>40</v>
      </c>
      <c r="D955">
        <v>4.3622529999999999</v>
      </c>
      <c r="E955">
        <v>0.52752699999999997</v>
      </c>
      <c r="F955" t="s">
        <v>43</v>
      </c>
      <c r="G955">
        <v>-158.19499999999999</v>
      </c>
      <c r="H955">
        <v>0.76935010000000004</v>
      </c>
      <c r="I955">
        <v>358.94619999999998</v>
      </c>
      <c r="J955">
        <v>-314.59859999999998</v>
      </c>
      <c r="K955">
        <v>1.0836250000000001</v>
      </c>
      <c r="L955">
        <v>367.15230000000003</v>
      </c>
      <c r="M955">
        <v>0.99981140000000002</v>
      </c>
      <c r="N955">
        <v>-1.8800580000000001E-2</v>
      </c>
      <c r="O955">
        <v>4.872276E-3</v>
      </c>
      <c r="P955">
        <v>0.98810050000000005</v>
      </c>
      <c r="Q955">
        <v>0.15271129999999999</v>
      </c>
      <c r="R955">
        <v>1.8353310000000001E-2</v>
      </c>
      <c r="S955">
        <v>3.0398559999999999</v>
      </c>
      <c r="T955">
        <v>-6.1190130000000004E-3</v>
      </c>
      <c r="U955">
        <v>-0.15933229999999901</v>
      </c>
      <c r="V955">
        <v>-1.3530820000000001E-2</v>
      </c>
      <c r="W955">
        <v>0.17126340000000001</v>
      </c>
      <c r="X955">
        <v>0.98513240000000002</v>
      </c>
      <c r="Y955">
        <v>5.7206519999999997E-2</v>
      </c>
      <c r="Z955">
        <v>-5.1397269999999896E-4</v>
      </c>
      <c r="AA955">
        <v>0.99836219999999998</v>
      </c>
      <c r="AB955">
        <v>30</v>
      </c>
      <c r="AC955">
        <v>156.40359999999899</v>
      </c>
      <c r="AD955">
        <v>-0.31427490000000002</v>
      </c>
      <c r="AE955">
        <v>-8.2061000000000401</v>
      </c>
      <c r="AF955">
        <v>8.9681426564901301</v>
      </c>
      <c r="AG955">
        <v>-0.31427490000000002</v>
      </c>
      <c r="AH955">
        <v>156.361123848706</v>
      </c>
      <c r="AI955">
        <v>90.114971394965593</v>
      </c>
      <c r="AJ955">
        <v>86.717378486316505</v>
      </c>
      <c r="AK955">
        <v>156.61841335759399</v>
      </c>
      <c r="AL955">
        <v>80.138716481261</v>
      </c>
      <c r="AM955">
        <v>90.786909590789094</v>
      </c>
      <c r="AN955">
        <v>1.0000000403995899</v>
      </c>
    </row>
    <row r="956" spans="1:40" x14ac:dyDescent="0.25">
      <c r="A956" t="str">
        <f>"20190303161858465"</f>
        <v>20190303161858465</v>
      </c>
      <c r="B956" t="str">
        <f>"1551601138454243"</f>
        <v>1551601138454243</v>
      </c>
      <c r="C956" t="s">
        <v>40</v>
      </c>
      <c r="D956">
        <v>4.3115769999999998</v>
      </c>
      <c r="E956">
        <v>0.52754619999999997</v>
      </c>
      <c r="F956" t="s">
        <v>43</v>
      </c>
      <c r="G956">
        <v>-158.19499999999999</v>
      </c>
      <c r="H956">
        <v>0.82679749999999996</v>
      </c>
      <c r="I956">
        <v>358.87130000000002</v>
      </c>
      <c r="J956">
        <v>-314.45190000000002</v>
      </c>
      <c r="K956">
        <v>1.0826910000000001</v>
      </c>
      <c r="L956">
        <v>367.15300000000002</v>
      </c>
      <c r="M956">
        <v>0.99981810000000004</v>
      </c>
      <c r="N956">
        <v>-1.843821E-2</v>
      </c>
      <c r="O956">
        <v>4.8726309999999997E-3</v>
      </c>
      <c r="P956">
        <v>0.98809179999999996</v>
      </c>
      <c r="Q956">
        <v>0.15276519999999999</v>
      </c>
      <c r="R956">
        <v>1.8369050000000001E-2</v>
      </c>
      <c r="S956">
        <v>3.0398559999999999</v>
      </c>
      <c r="T956">
        <v>-4.9899819999999996E-3</v>
      </c>
      <c r="U956">
        <v>-0.1609497</v>
      </c>
      <c r="V956">
        <v>-1.354611E-2</v>
      </c>
      <c r="W956">
        <v>0.1709599</v>
      </c>
      <c r="X956">
        <v>0.98518479999999997</v>
      </c>
      <c r="Y956">
        <v>5.773681E-2</v>
      </c>
      <c r="Z956">
        <v>-4.9826649999999998E-4</v>
      </c>
      <c r="AA956">
        <v>0.99833170000000004</v>
      </c>
      <c r="AB956">
        <v>30</v>
      </c>
      <c r="AC956">
        <v>156.2569</v>
      </c>
      <c r="AD956">
        <v>-0.2558935</v>
      </c>
      <c r="AE956">
        <v>-8.2817000000000007</v>
      </c>
      <c r="AF956">
        <v>9.0430891593032605</v>
      </c>
      <c r="AG956">
        <v>-0.2558935</v>
      </c>
      <c r="AH956">
        <v>156.214266085129</v>
      </c>
      <c r="AI956">
        <v>90.093698865653906</v>
      </c>
      <c r="AJ956">
        <v>86.686901647162998</v>
      </c>
      <c r="AK956">
        <v>156.47600413974601</v>
      </c>
      <c r="AL956">
        <v>80.156365027128601</v>
      </c>
      <c r="AM956">
        <v>90.787756800555897</v>
      </c>
      <c r="AN956">
        <v>0.99999993732758896</v>
      </c>
    </row>
    <row r="957" spans="1:40" x14ac:dyDescent="0.25">
      <c r="A957" t="str">
        <f>"20190303161858476"</f>
        <v>20190303161858476</v>
      </c>
      <c r="B957" t="str">
        <f>"1551601138464003"</f>
        <v>1551601138464003</v>
      </c>
      <c r="C957" t="s">
        <v>40</v>
      </c>
      <c r="D957">
        <v>4.337224</v>
      </c>
      <c r="E957">
        <v>0.52767940000000002</v>
      </c>
      <c r="F957" t="s">
        <v>43</v>
      </c>
      <c r="G957">
        <v>-158.19499999999999</v>
      </c>
      <c r="H957">
        <v>0.90285680000000001</v>
      </c>
      <c r="I957">
        <v>358.86989999999997</v>
      </c>
      <c r="J957">
        <v>-314.30430000000001</v>
      </c>
      <c r="K957">
        <v>1.08185</v>
      </c>
      <c r="L957">
        <v>367.15370000000001</v>
      </c>
      <c r="M957">
        <v>0.9998245</v>
      </c>
      <c r="N957">
        <v>-1.8093479999999999E-2</v>
      </c>
      <c r="O957">
        <v>4.8725890000000001E-3</v>
      </c>
      <c r="P957">
        <v>0.9880854</v>
      </c>
      <c r="Q957">
        <v>0.1528525</v>
      </c>
      <c r="R957">
        <v>1.7983220000000001E-2</v>
      </c>
      <c r="S957">
        <v>3.0397029999999998</v>
      </c>
      <c r="T957">
        <v>-3.4966469999999999E-3</v>
      </c>
      <c r="U957">
        <v>-0.16113279999999999</v>
      </c>
      <c r="V957">
        <v>-1.316054E-2</v>
      </c>
      <c r="W957">
        <v>0.17070759999999999</v>
      </c>
      <c r="X957">
        <v>0.98523380000000005</v>
      </c>
      <c r="Y957">
        <v>5.7799639999999999E-2</v>
      </c>
      <c r="Z957">
        <v>-4.7402780000000002E-4</v>
      </c>
      <c r="AA957">
        <v>0.99832810000000005</v>
      </c>
      <c r="AB957">
        <v>30</v>
      </c>
      <c r="AC957">
        <v>156.10929999999999</v>
      </c>
      <c r="AD957">
        <v>-0.17899319999999899</v>
      </c>
      <c r="AE957">
        <v>-8.2838000000000402</v>
      </c>
      <c r="AF957">
        <v>9.0444707148757999</v>
      </c>
      <c r="AG957">
        <v>-0.17899319999999899</v>
      </c>
      <c r="AH957">
        <v>156.06687144109799</v>
      </c>
      <c r="AI957">
        <v>90.065602468926699</v>
      </c>
      <c r="AJ957">
        <v>86.683274125369707</v>
      </c>
      <c r="AK957">
        <v>156.32882923661299</v>
      </c>
      <c r="AL957">
        <v>80.171036675492701</v>
      </c>
      <c r="AM957">
        <v>90.765299114615303</v>
      </c>
      <c r="AN957">
        <v>0.99999996258664503</v>
      </c>
    </row>
    <row r="958" spans="1:40" x14ac:dyDescent="0.25">
      <c r="A958" t="str">
        <f>"20190303161858487"</f>
        <v>20190303161858487</v>
      </c>
      <c r="B958" t="str">
        <f>"1551601138473763"</f>
        <v>1551601138473763</v>
      </c>
      <c r="C958" t="s">
        <v>40</v>
      </c>
      <c r="D958">
        <v>4.3189199999999897</v>
      </c>
      <c r="E958">
        <v>0.5276729</v>
      </c>
      <c r="F958" t="s">
        <v>43</v>
      </c>
      <c r="G958">
        <v>-158.19499999999999</v>
      </c>
      <c r="H958">
        <v>0.96259209999999995</v>
      </c>
      <c r="I958">
        <v>358.75560000000002</v>
      </c>
      <c r="J958">
        <v>-314.16430000000003</v>
      </c>
      <c r="K958">
        <v>1.081072</v>
      </c>
      <c r="L958">
        <v>367.15440000000001</v>
      </c>
      <c r="M958">
        <v>0.9998302</v>
      </c>
      <c r="N958">
        <v>-1.7771309999999998E-2</v>
      </c>
      <c r="O958">
        <v>4.8726419999999999E-3</v>
      </c>
      <c r="P958">
        <v>0.9880622</v>
      </c>
      <c r="Q958">
        <v>0.15299699999999999</v>
      </c>
      <c r="R958">
        <v>1.8033609999999999E-2</v>
      </c>
      <c r="S958">
        <v>3.0394899999999998</v>
      </c>
      <c r="T958">
        <v>-2.32029E-3</v>
      </c>
      <c r="U958">
        <v>-0.1635132</v>
      </c>
      <c r="V958">
        <v>-1.321074E-2</v>
      </c>
      <c r="W958">
        <v>0.1705342</v>
      </c>
      <c r="X958">
        <v>0.98526320000000001</v>
      </c>
      <c r="Y958">
        <v>5.8583200000000002E-2</v>
      </c>
      <c r="Z958">
        <v>-4.6049550000000001E-4</v>
      </c>
      <c r="AA958">
        <v>0.99828240000000001</v>
      </c>
      <c r="AB958">
        <v>30</v>
      </c>
      <c r="AC958">
        <v>155.9693</v>
      </c>
      <c r="AD958">
        <v>-0.118479899999999</v>
      </c>
      <c r="AE958">
        <v>-8.3987999999999907</v>
      </c>
      <c r="AF958">
        <v>9.1587975957030601</v>
      </c>
      <c r="AG958">
        <v>-0.118479899999999</v>
      </c>
      <c r="AH958">
        <v>155.92642731615999</v>
      </c>
      <c r="AI958">
        <v>90.043460988473996</v>
      </c>
      <c r="AJ958">
        <v>86.638426193338503</v>
      </c>
      <c r="AK958">
        <v>156.19522510777099</v>
      </c>
      <c r="AL958">
        <v>80.181120034739195</v>
      </c>
      <c r="AM958">
        <v>90.768195027064195</v>
      </c>
      <c r="AN958">
        <v>1.0000000051476099</v>
      </c>
    </row>
    <row r="959" spans="1:40" x14ac:dyDescent="0.25">
      <c r="A959" t="str">
        <f>"20190303161858498"</f>
        <v>20190303161858498</v>
      </c>
      <c r="B959" t="str">
        <f>"1551601138483523"</f>
        <v>1551601138483523</v>
      </c>
      <c r="C959" t="s">
        <v>40</v>
      </c>
      <c r="D959">
        <v>4.2848990000000002</v>
      </c>
      <c r="E959">
        <v>0.52780590000000005</v>
      </c>
      <c r="F959" t="s">
        <v>43</v>
      </c>
      <c r="G959">
        <v>-158.19499999999999</v>
      </c>
      <c r="H959">
        <v>0.97397330000000004</v>
      </c>
      <c r="I959">
        <v>358.77499999999998</v>
      </c>
      <c r="J959">
        <v>-314.02379999999999</v>
      </c>
      <c r="K959">
        <v>1.0803579999999999</v>
      </c>
      <c r="L959">
        <v>367.1551</v>
      </c>
      <c r="M959">
        <v>0.99983569999999999</v>
      </c>
      <c r="N959">
        <v>-1.7465970000000001E-2</v>
      </c>
      <c r="O959">
        <v>4.8728469999999996E-3</v>
      </c>
      <c r="P959">
        <v>0.98807310000000004</v>
      </c>
      <c r="Q959">
        <v>0.15292790000000001</v>
      </c>
      <c r="R959">
        <v>1.802258E-2</v>
      </c>
      <c r="S959">
        <v>3.0395509999999999</v>
      </c>
      <c r="T959">
        <v>-2.0854469999999998E-3</v>
      </c>
      <c r="U959">
        <v>-0.16329959999999999</v>
      </c>
      <c r="V959">
        <v>-1.319938E-2</v>
      </c>
      <c r="W959">
        <v>0.17016439999999999</v>
      </c>
      <c r="X959">
        <v>0.98532730000000002</v>
      </c>
      <c r="Y959">
        <v>5.8512420000000002E-2</v>
      </c>
      <c r="Z959">
        <v>-4.497441E-4</v>
      </c>
      <c r="AA959">
        <v>0.99828660000000002</v>
      </c>
      <c r="AB959">
        <v>30</v>
      </c>
      <c r="AC959">
        <v>155.8288</v>
      </c>
      <c r="AD959">
        <v>-0.106384699999999</v>
      </c>
      <c r="AE959">
        <v>-8.3801000000000201</v>
      </c>
      <c r="AF959">
        <v>9.1394418901072907</v>
      </c>
      <c r="AG959">
        <v>-0.106384699999999</v>
      </c>
      <c r="AH959">
        <v>155.78603580550501</v>
      </c>
      <c r="AI959">
        <v>90.039059539941604</v>
      </c>
      <c r="AJ959">
        <v>86.642498032421599</v>
      </c>
      <c r="AK959">
        <v>156.053931920222</v>
      </c>
      <c r="AL959">
        <v>80.202622417818006</v>
      </c>
      <c r="AM959">
        <v>90.767484604674095</v>
      </c>
      <c r="AN959">
        <v>1.0000000173925101</v>
      </c>
    </row>
    <row r="960" spans="1:40" x14ac:dyDescent="0.25">
      <c r="A960" t="str">
        <f>"20190303161858508"</f>
        <v>20190303161858508</v>
      </c>
      <c r="B960" t="str">
        <f>"1551601138504019"</f>
        <v>1551601138504019</v>
      </c>
      <c r="C960" t="s">
        <v>40</v>
      </c>
      <c r="D960">
        <v>4.2830149999999998</v>
      </c>
      <c r="E960">
        <v>0.52800199999999997</v>
      </c>
      <c r="F960" t="s">
        <v>43</v>
      </c>
      <c r="G960">
        <v>-158.19499999999999</v>
      </c>
      <c r="H960">
        <v>0.96336460000000002</v>
      </c>
      <c r="I960">
        <v>358.71910000000003</v>
      </c>
      <c r="J960">
        <v>-313.88529999999997</v>
      </c>
      <c r="K960">
        <v>1.0796829999999999</v>
      </c>
      <c r="L960">
        <v>367.1558</v>
      </c>
      <c r="M960">
        <v>0.99984070000000003</v>
      </c>
      <c r="N960">
        <v>-1.7172460000000001E-2</v>
      </c>
      <c r="O960">
        <v>4.872904E-3</v>
      </c>
      <c r="P960">
        <v>0.98802999999999996</v>
      </c>
      <c r="Q960">
        <v>0.1532087</v>
      </c>
      <c r="R960">
        <v>1.8000849999999999E-2</v>
      </c>
      <c r="S960">
        <v>3.0395810000000001</v>
      </c>
      <c r="T960">
        <v>-2.2803540000000001E-3</v>
      </c>
      <c r="U960">
        <v>-0.164550799999999</v>
      </c>
      <c r="V960">
        <v>-1.317779E-2</v>
      </c>
      <c r="W960">
        <v>0.17015449999999999</v>
      </c>
      <c r="X960">
        <v>0.98532929999999996</v>
      </c>
      <c r="Y960">
        <v>5.8921649999999999E-2</v>
      </c>
      <c r="Z960">
        <v>-4.4844060000000002E-4</v>
      </c>
      <c r="AA960">
        <v>0.99826250000000005</v>
      </c>
      <c r="AB960">
        <v>30</v>
      </c>
      <c r="AC960">
        <v>155.69029999999901</v>
      </c>
      <c r="AD960">
        <v>-0.116318399999999</v>
      </c>
      <c r="AE960">
        <v>-8.4366999999999699</v>
      </c>
      <c r="AF960">
        <v>9.1953704352779102</v>
      </c>
      <c r="AG960">
        <v>-0.116318399999999</v>
      </c>
      <c r="AH960">
        <v>155.64724708012099</v>
      </c>
      <c r="AI960">
        <v>90.042743782456199</v>
      </c>
      <c r="AJ960">
        <v>86.618994195544602</v>
      </c>
      <c r="AK960">
        <v>155.91867717189101</v>
      </c>
      <c r="AL960">
        <v>80.203198053818099</v>
      </c>
      <c r="AM960">
        <v>90.7662278379414</v>
      </c>
      <c r="AN960">
        <v>1.0000000187290099</v>
      </c>
    </row>
    <row r="961" spans="1:40" x14ac:dyDescent="0.25">
      <c r="A961" t="str">
        <f>"20190303161858520"</f>
        <v>20190303161858520</v>
      </c>
      <c r="B961" t="str">
        <f>"1551601138513779"</f>
        <v>1551601138513779</v>
      </c>
      <c r="C961" t="s">
        <v>40</v>
      </c>
      <c r="D961">
        <v>4.282286</v>
      </c>
      <c r="E961">
        <v>0.52810119999999905</v>
      </c>
      <c r="F961" t="s">
        <v>43</v>
      </c>
      <c r="G961">
        <v>-158.19499999999999</v>
      </c>
      <c r="H961">
        <v>1.0784290000000001</v>
      </c>
      <c r="I961">
        <v>358.65809999999999</v>
      </c>
      <c r="J961">
        <v>-313.7226</v>
      </c>
      <c r="K961">
        <v>1.0789580000000001</v>
      </c>
      <c r="L961">
        <v>367.15649999999999</v>
      </c>
      <c r="M961">
        <v>0.99984640000000002</v>
      </c>
      <c r="N961">
        <v>-1.6846710000000001E-2</v>
      </c>
      <c r="O961">
        <v>4.8728369999999997E-3</v>
      </c>
      <c r="P961">
        <v>0.98802199999999996</v>
      </c>
      <c r="Q961">
        <v>0.15328</v>
      </c>
      <c r="R961">
        <v>1.7834880000000001E-2</v>
      </c>
      <c r="S961">
        <v>3.0394290000000002</v>
      </c>
      <c r="T961" s="1">
        <v>-2.276897E-5</v>
      </c>
      <c r="U961">
        <v>-0.1658936</v>
      </c>
      <c r="V961">
        <v>-1.3012040000000001E-2</v>
      </c>
      <c r="W961">
        <v>0.169905</v>
      </c>
      <c r="X961">
        <v>0.98537450000000004</v>
      </c>
      <c r="Y961">
        <v>5.936433E-2</v>
      </c>
      <c r="Z961">
        <v>-4.1867919999999999E-4</v>
      </c>
      <c r="AA961">
        <v>0.99823629999999997</v>
      </c>
      <c r="AB961">
        <v>30</v>
      </c>
      <c r="AC961">
        <v>155.52760000000001</v>
      </c>
      <c r="AD961">
        <v>-5.2900000000000104E-4</v>
      </c>
      <c r="AE961">
        <v>-8.4984000000000002</v>
      </c>
      <c r="AF961">
        <v>9.2562671429533996</v>
      </c>
      <c r="AG961">
        <v>-5.2900000000000104E-4</v>
      </c>
      <c r="AH961">
        <v>155.48433581019799</v>
      </c>
      <c r="AI961">
        <v>90.000194591310901</v>
      </c>
      <c r="AJ961">
        <v>86.5930982930347</v>
      </c>
      <c r="AK961">
        <v>155.75961339204699</v>
      </c>
      <c r="AL961">
        <v>80.217704037831993</v>
      </c>
      <c r="AM961">
        <v>90.756556664270406</v>
      </c>
      <c r="AN961">
        <v>0.99999996373010502</v>
      </c>
    </row>
    <row r="962" spans="1:40" x14ac:dyDescent="0.25">
      <c r="A962" t="str">
        <f>"20190303161858531"</f>
        <v>20190303161858531</v>
      </c>
      <c r="B962" t="str">
        <f>"1551601138523539"</f>
        <v>1551601138523539</v>
      </c>
      <c r="C962" t="s">
        <v>40</v>
      </c>
      <c r="D962">
        <v>4.235322</v>
      </c>
      <c r="E962">
        <v>0.52811160000000001</v>
      </c>
      <c r="F962" t="s">
        <v>43</v>
      </c>
      <c r="G962">
        <v>-158.19499999999999</v>
      </c>
      <c r="H962">
        <v>1.1108049999999901</v>
      </c>
      <c r="I962">
        <v>358.59559999999999</v>
      </c>
      <c r="J962">
        <v>-313.58249999999998</v>
      </c>
      <c r="K962">
        <v>1.0783799999999999</v>
      </c>
      <c r="L962">
        <v>367.15719999999999</v>
      </c>
      <c r="M962">
        <v>0.99985069999999998</v>
      </c>
      <c r="N962">
        <v>-1.6580040000000001E-2</v>
      </c>
      <c r="O962">
        <v>4.8728790000000001E-3</v>
      </c>
      <c r="P962">
        <v>0.98792610000000003</v>
      </c>
      <c r="Q962">
        <v>0.15389739999999999</v>
      </c>
      <c r="R962">
        <v>1.7833290000000002E-2</v>
      </c>
      <c r="S962">
        <v>3.039307</v>
      </c>
      <c r="T962">
        <v>6.2406059999999897E-4</v>
      </c>
      <c r="U962">
        <v>-0.16729740000000001</v>
      </c>
      <c r="V962">
        <v>-1.301123E-2</v>
      </c>
      <c r="W962">
        <v>0.170258399999999</v>
      </c>
      <c r="X962">
        <v>0.98531349999999995</v>
      </c>
      <c r="Y962">
        <v>5.9826329999999997E-2</v>
      </c>
      <c r="Z962">
        <v>-4.084987E-4</v>
      </c>
      <c r="AA962">
        <v>0.99820869999999995</v>
      </c>
      <c r="AB962">
        <v>30</v>
      </c>
      <c r="AC962">
        <v>155.38749999999999</v>
      </c>
      <c r="AD962">
        <v>3.2424999999999898E-2</v>
      </c>
      <c r="AE962">
        <v>-8.5615999999999897</v>
      </c>
      <c r="AF962">
        <v>9.3187864761385306</v>
      </c>
      <c r="AG962">
        <v>3.2424999999999898E-2</v>
      </c>
      <c r="AH962">
        <v>155.34392252888699</v>
      </c>
      <c r="AI962">
        <v>89.988062089286004</v>
      </c>
      <c r="AJ962">
        <v>86.567049116036898</v>
      </c>
      <c r="AK962">
        <v>155.623183039769</v>
      </c>
      <c r="AL962">
        <v>80.197156232076594</v>
      </c>
      <c r="AM962">
        <v>90.756556403543499</v>
      </c>
      <c r="AN962">
        <v>0.99999995407945996</v>
      </c>
    </row>
    <row r="963" spans="1:40" x14ac:dyDescent="0.25">
      <c r="A963" t="str">
        <f>"20190303161858542"</f>
        <v>20190303161858542</v>
      </c>
      <c r="B963" t="str">
        <f>"1551601138534274"</f>
        <v>1551601138534274</v>
      </c>
      <c r="C963" t="s">
        <v>40</v>
      </c>
      <c r="D963">
        <v>4.2896650000000003</v>
      </c>
      <c r="E963">
        <v>0.52819199999999999</v>
      </c>
      <c r="F963" t="s">
        <v>43</v>
      </c>
      <c r="G963">
        <v>-158.19499999999999</v>
      </c>
      <c r="H963">
        <v>1.2516510000000001</v>
      </c>
      <c r="I963">
        <v>358.60210000000001</v>
      </c>
      <c r="J963">
        <v>-313.43259999999998</v>
      </c>
      <c r="K963">
        <v>1.077793</v>
      </c>
      <c r="L963">
        <v>367.15789999999998</v>
      </c>
      <c r="M963">
        <v>0.9998553</v>
      </c>
      <c r="N963">
        <v>-1.6305190000000001E-2</v>
      </c>
      <c r="O963">
        <v>4.8729519999999998E-3</v>
      </c>
      <c r="P963">
        <v>0.9878806</v>
      </c>
      <c r="Q963">
        <v>0.15420309999999901</v>
      </c>
      <c r="R963">
        <v>1.7712229999999999E-2</v>
      </c>
      <c r="S963">
        <v>3.0391849999999998</v>
      </c>
      <c r="T963">
        <v>3.3906700000000001E-3</v>
      </c>
      <c r="U963">
        <v>-0.1673279</v>
      </c>
      <c r="V963">
        <v>-1.2889940000000001E-2</v>
      </c>
      <c r="W963">
        <v>0.1702922</v>
      </c>
      <c r="X963">
        <v>0.98530930000000005</v>
      </c>
      <c r="Y963">
        <v>5.9838919999999997E-2</v>
      </c>
      <c r="Z963">
        <v>-3.7005829999999998E-4</v>
      </c>
      <c r="AA963">
        <v>0.99820799999999998</v>
      </c>
      <c r="AB963">
        <v>30</v>
      </c>
      <c r="AC963">
        <v>155.23759999999999</v>
      </c>
      <c r="AD963">
        <v>0.17385800000000001</v>
      </c>
      <c r="AE963">
        <v>-8.5557999999999694</v>
      </c>
      <c r="AF963">
        <v>9.3122526106651993</v>
      </c>
      <c r="AG963">
        <v>0.17385800000000001</v>
      </c>
      <c r="AH963">
        <v>155.19386478086099</v>
      </c>
      <c r="AI963">
        <v>89.935928904147701</v>
      </c>
      <c r="AJ963">
        <v>86.566141295584202</v>
      </c>
      <c r="AK963">
        <v>155.47309716124201</v>
      </c>
      <c r="AL963">
        <v>80.195191392135996</v>
      </c>
      <c r="AM963">
        <v>90.749507827451296</v>
      </c>
      <c r="AN963">
        <v>1.00000000030026</v>
      </c>
    </row>
    <row r="964" spans="1:40" x14ac:dyDescent="0.25">
      <c r="A964" t="str">
        <f>"20190303161858553"</f>
        <v>20190303161858553</v>
      </c>
      <c r="B964" t="str">
        <f>"1551601138544035"</f>
        <v>1551601138544035</v>
      </c>
      <c r="C964" t="s">
        <v>40</v>
      </c>
      <c r="D964">
        <v>4.2636620000000001</v>
      </c>
      <c r="E964">
        <v>0.52827139999999995</v>
      </c>
      <c r="F964" t="s">
        <v>43</v>
      </c>
      <c r="G964">
        <v>-158.19499999999999</v>
      </c>
      <c r="H964">
        <v>1.2929679999999999</v>
      </c>
      <c r="I964">
        <v>358.5548</v>
      </c>
      <c r="J964">
        <v>-313.2833</v>
      </c>
      <c r="K964">
        <v>1.0772710000000001</v>
      </c>
      <c r="L964">
        <v>367.15859999999998</v>
      </c>
      <c r="M964">
        <v>0.99985939999999995</v>
      </c>
      <c r="N964">
        <v>-1.605111E-2</v>
      </c>
      <c r="O964">
        <v>4.8729979999999999E-3</v>
      </c>
      <c r="P964">
        <v>0.98784150000000004</v>
      </c>
      <c r="Q964">
        <v>0.15447549999999999</v>
      </c>
      <c r="R964">
        <v>1.7514169999999999E-2</v>
      </c>
      <c r="S964">
        <v>3.0391539999999999</v>
      </c>
      <c r="T964">
        <v>4.2142869999999997E-3</v>
      </c>
      <c r="U964">
        <v>-0.16842650000000001</v>
      </c>
      <c r="V964">
        <v>-1.269256E-2</v>
      </c>
      <c r="W964">
        <v>0.1703134</v>
      </c>
      <c r="X964">
        <v>0.98530819999999997</v>
      </c>
      <c r="Y964">
        <v>6.0199349999999999E-2</v>
      </c>
      <c r="Z964">
        <v>-3.5691470000000003E-4</v>
      </c>
      <c r="AA964">
        <v>0.99818629999999997</v>
      </c>
      <c r="AB964">
        <v>30</v>
      </c>
      <c r="AC964">
        <v>155.0883</v>
      </c>
      <c r="AD964">
        <v>0.215697</v>
      </c>
      <c r="AE964">
        <v>-8.6037999999999695</v>
      </c>
      <c r="AF964">
        <v>9.3595220426437091</v>
      </c>
      <c r="AG964">
        <v>0.215697</v>
      </c>
      <c r="AH964">
        <v>155.04422745894399</v>
      </c>
      <c r="AI964">
        <v>89.92043519952</v>
      </c>
      <c r="AJ964">
        <v>86.545430065195603</v>
      </c>
      <c r="AK964">
        <v>155.32662246506001</v>
      </c>
      <c r="AL964">
        <v>80.193958732629596</v>
      </c>
      <c r="AM964">
        <v>90.738032929600607</v>
      </c>
      <c r="AN964">
        <v>1.0000000021430699</v>
      </c>
    </row>
    <row r="965" spans="1:40" x14ac:dyDescent="0.25">
      <c r="A965" t="str">
        <f>"20190303161858566"</f>
        <v>20190303161858566</v>
      </c>
      <c r="B965" t="str">
        <f>"1551601138553795"</f>
        <v>1551601138553795</v>
      </c>
      <c r="C965" t="s">
        <v>40</v>
      </c>
      <c r="D965">
        <v>4.2587669999999997</v>
      </c>
      <c r="E965">
        <v>0.52832409999999996</v>
      </c>
      <c r="F965" t="s">
        <v>43</v>
      </c>
      <c r="G965">
        <v>-158.19499999999999</v>
      </c>
      <c r="H965">
        <v>1.3601909999999999</v>
      </c>
      <c r="I965">
        <v>358.50749999999999</v>
      </c>
      <c r="J965">
        <v>-313.11849999999998</v>
      </c>
      <c r="K965">
        <v>1.076716</v>
      </c>
      <c r="L965">
        <v>367.15949999999998</v>
      </c>
      <c r="M965">
        <v>0.99986359999999996</v>
      </c>
      <c r="N965">
        <v>-1.5779100000000001E-2</v>
      </c>
      <c r="O965">
        <v>4.8733329999999997E-3</v>
      </c>
      <c r="P965">
        <v>0.98780259999999998</v>
      </c>
      <c r="Q965">
        <v>0.15476579999999901</v>
      </c>
      <c r="R965">
        <v>1.7135060000000001E-2</v>
      </c>
      <c r="S965">
        <v>3.0390630000000001</v>
      </c>
      <c r="T965">
        <v>5.5457350000000004E-3</v>
      </c>
      <c r="U965">
        <v>-0.16952509999999901</v>
      </c>
      <c r="V965">
        <v>-1.2313360000000001E-2</v>
      </c>
      <c r="W965">
        <v>0.17033499999999999</v>
      </c>
      <c r="X965">
        <v>0.98530930000000005</v>
      </c>
      <c r="Y965">
        <v>6.0561200000000003E-2</v>
      </c>
      <c r="Z965">
        <v>-3.3725969999999999E-4</v>
      </c>
      <c r="AA965">
        <v>0.99816439999999995</v>
      </c>
      <c r="AB965">
        <v>30</v>
      </c>
      <c r="AC965">
        <v>154.92349999999999</v>
      </c>
      <c r="AD965">
        <v>0.28347499999999898</v>
      </c>
      <c r="AE965">
        <v>-8.6519999999999797</v>
      </c>
      <c r="AF965">
        <v>9.4069536681634105</v>
      </c>
      <c r="AG965">
        <v>0.28347499999999898</v>
      </c>
      <c r="AH965">
        <v>154.87897360064201</v>
      </c>
      <c r="AI965">
        <v>89.895324544131498</v>
      </c>
      <c r="AJ965">
        <v>86.524270383984899</v>
      </c>
      <c r="AK965">
        <v>155.164646743319</v>
      </c>
      <c r="AL965">
        <v>80.19270300721</v>
      </c>
      <c r="AM965">
        <v>90.7159851592032</v>
      </c>
      <c r="AN965">
        <v>1.00000002386298</v>
      </c>
    </row>
    <row r="966" spans="1:40" x14ac:dyDescent="0.25">
      <c r="A966" t="str">
        <f>"20190303161858579"</f>
        <v>20190303161858579</v>
      </c>
      <c r="B966" t="str">
        <f>"1551601138574291"</f>
        <v>1551601138574291</v>
      </c>
      <c r="C966" t="s">
        <v>40</v>
      </c>
      <c r="D966">
        <v>4.291855</v>
      </c>
      <c r="E966">
        <v>0.52846439999999995</v>
      </c>
      <c r="F966" t="s">
        <v>43</v>
      </c>
      <c r="G966">
        <v>-158.19499999999999</v>
      </c>
      <c r="H966">
        <v>1.4375290000000001</v>
      </c>
      <c r="I966">
        <v>358.43150000000003</v>
      </c>
      <c r="J966">
        <v>-312.94479999999999</v>
      </c>
      <c r="K966">
        <v>1.0761989999999999</v>
      </c>
      <c r="L966">
        <v>367.16030000000001</v>
      </c>
      <c r="M966">
        <v>0.99986779999999997</v>
      </c>
      <c r="N966">
        <v>-1.55166E-2</v>
      </c>
      <c r="O966">
        <v>4.8733769999999999E-3</v>
      </c>
      <c r="P966">
        <v>0.98771580000000003</v>
      </c>
      <c r="Q966">
        <v>0.15534329999999999</v>
      </c>
      <c r="R966">
        <v>1.6918039999999999E-2</v>
      </c>
      <c r="S966">
        <v>3.03891</v>
      </c>
      <c r="T966">
        <v>7.0792440000000002E-3</v>
      </c>
      <c r="U966">
        <v>-0.17120360000000001</v>
      </c>
      <c r="V966">
        <v>-1.209703E-2</v>
      </c>
      <c r="W966">
        <v>0.1706521</v>
      </c>
      <c r="X966">
        <v>0.9852571</v>
      </c>
      <c r="Y966">
        <v>6.111374E-2</v>
      </c>
      <c r="Z966">
        <v>-3.165086E-4</v>
      </c>
      <c r="AA966">
        <v>0.99813070000000004</v>
      </c>
      <c r="AB966">
        <v>30</v>
      </c>
      <c r="AC966">
        <v>154.74979999999999</v>
      </c>
      <c r="AD966">
        <v>0.36132999999999998</v>
      </c>
      <c r="AE966">
        <v>-8.7287999999999695</v>
      </c>
      <c r="AF966">
        <v>9.4828896545307799</v>
      </c>
      <c r="AG966">
        <v>0.36132999999999998</v>
      </c>
      <c r="AH966">
        <v>154.70457729708801</v>
      </c>
      <c r="AI966">
        <v>89.866430178273006</v>
      </c>
      <c r="AJ966">
        <v>86.492342945184404</v>
      </c>
      <c r="AK966">
        <v>154.99536119587401</v>
      </c>
      <c r="AL966">
        <v>80.174264469053696</v>
      </c>
      <c r="AM966">
        <v>90.703444753652207</v>
      </c>
      <c r="AN966">
        <v>1.0000000152348201</v>
      </c>
    </row>
    <row r="967" spans="1:40" x14ac:dyDescent="0.25">
      <c r="A967" t="str">
        <f>"20190303161858593"</f>
        <v>20190303161858593</v>
      </c>
      <c r="B967" t="str">
        <f>"1551601138584051"</f>
        <v>1551601138584051</v>
      </c>
      <c r="C967" t="s">
        <v>40</v>
      </c>
      <c r="D967">
        <v>4.2376250000000004</v>
      </c>
      <c r="E967">
        <v>0.52853739999999905</v>
      </c>
      <c r="F967" t="s">
        <v>43</v>
      </c>
      <c r="G967">
        <v>-158.19499999999999</v>
      </c>
      <c r="H967">
        <v>1.5289360000000001</v>
      </c>
      <c r="I967">
        <v>358.35809999999998</v>
      </c>
      <c r="J967">
        <v>-312.76400000000001</v>
      </c>
      <c r="K967">
        <v>1.075704</v>
      </c>
      <c r="L967">
        <v>367.16120000000001</v>
      </c>
      <c r="M967">
        <v>0.99987179999999998</v>
      </c>
      <c r="N967">
        <v>-1.525908E-2</v>
      </c>
      <c r="O967">
        <v>4.8734080000000001E-3</v>
      </c>
      <c r="P967">
        <v>0.98759209999999997</v>
      </c>
      <c r="Q967">
        <v>0.1561005</v>
      </c>
      <c r="R967">
        <v>1.7161050000000001E-2</v>
      </c>
      <c r="S967">
        <v>3.0388790000000001</v>
      </c>
      <c r="T967">
        <v>8.8922979999999999E-3</v>
      </c>
      <c r="U967">
        <v>-0.17285159999999999</v>
      </c>
      <c r="V967">
        <v>-1.2340240000000001E-2</v>
      </c>
      <c r="W967">
        <v>0.17115339999999901</v>
      </c>
      <c r="X967">
        <v>0.98516709999999996</v>
      </c>
      <c r="Y967">
        <v>6.1653989999999999E-2</v>
      </c>
      <c r="Z967">
        <v>-2.9210830000000001E-4</v>
      </c>
      <c r="AA967">
        <v>0.99809749999999997</v>
      </c>
      <c r="AB967">
        <v>30</v>
      </c>
      <c r="AC967">
        <v>154.56899999999999</v>
      </c>
      <c r="AD967">
        <v>0.45323200000000002</v>
      </c>
      <c r="AE967">
        <v>-8.8031000000000201</v>
      </c>
      <c r="AF967">
        <v>9.5562789739996798</v>
      </c>
      <c r="AG967">
        <v>0.45323200000000002</v>
      </c>
      <c r="AH967">
        <v>154.52293366866499</v>
      </c>
      <c r="AI967">
        <v>89.832266393868395</v>
      </c>
      <c r="AJ967">
        <v>86.461120722055497</v>
      </c>
      <c r="AK967">
        <v>154.818813187046</v>
      </c>
      <c r="AL967">
        <v>80.145112981503303</v>
      </c>
      <c r="AM967">
        <v>90.717651548549298</v>
      </c>
      <c r="AN967">
        <v>0.99999999138861295</v>
      </c>
    </row>
    <row r="968" spans="1:40" x14ac:dyDescent="0.25">
      <c r="A968" t="str">
        <f>"20190303161858607"</f>
        <v>20190303161858607</v>
      </c>
      <c r="B968" t="str">
        <f>"1551601138593811"</f>
        <v>1551601138593811</v>
      </c>
      <c r="C968" t="s">
        <v>40</v>
      </c>
      <c r="D968">
        <v>4.254556</v>
      </c>
      <c r="E968">
        <v>0.52853739999999905</v>
      </c>
      <c r="F968" t="s">
        <v>43</v>
      </c>
      <c r="G968">
        <v>-158.19499999999999</v>
      </c>
      <c r="H968">
        <v>1.637467</v>
      </c>
      <c r="I968">
        <v>358.39580000000001</v>
      </c>
      <c r="J968">
        <v>-312.57920000000001</v>
      </c>
      <c r="K968">
        <v>1.0752379999999999</v>
      </c>
      <c r="L968">
        <v>367.16210000000001</v>
      </c>
      <c r="M968">
        <v>0.99987559999999998</v>
      </c>
      <c r="N968">
        <v>-1.501041E-2</v>
      </c>
      <c r="O968">
        <v>4.8734579999999998E-3</v>
      </c>
      <c r="P968">
        <v>0.98753519999999995</v>
      </c>
      <c r="Q968">
        <v>0.15648049999999999</v>
      </c>
      <c r="R968">
        <v>1.6979640000000001E-2</v>
      </c>
      <c r="S968">
        <v>3.0389400000000002</v>
      </c>
      <c r="T968">
        <v>1.104641E-2</v>
      </c>
      <c r="U968">
        <v>-0.17233280000000001</v>
      </c>
      <c r="V968">
        <v>-1.2159089999999999E-2</v>
      </c>
      <c r="W968">
        <v>0.17128779999999999</v>
      </c>
      <c r="X968">
        <v>0.98514599999999997</v>
      </c>
      <c r="Y968">
        <v>6.1483169999999997E-2</v>
      </c>
      <c r="Z968">
        <v>-2.5938540000000003E-4</v>
      </c>
      <c r="AA968">
        <v>0.99810810000000005</v>
      </c>
      <c r="AB968">
        <v>30</v>
      </c>
      <c r="AC968">
        <v>154.38419999999999</v>
      </c>
      <c r="AD968">
        <v>0.56222899999999998</v>
      </c>
      <c r="AE968">
        <v>-8.7662999999999993</v>
      </c>
      <c r="AF968">
        <v>9.5185396258840207</v>
      </c>
      <c r="AG968">
        <v>0.56222899999999998</v>
      </c>
      <c r="AH968">
        <v>154.33759891342001</v>
      </c>
      <c r="AI968">
        <v>89.791676701575994</v>
      </c>
      <c r="AJ968">
        <v>86.470838846677097</v>
      </c>
      <c r="AK968">
        <v>154.631863263745</v>
      </c>
      <c r="AL968">
        <v>80.137297069912194</v>
      </c>
      <c r="AM968">
        <v>90.707132919776797</v>
      </c>
      <c r="AN968">
        <v>0.99999999760723401</v>
      </c>
    </row>
    <row r="969" spans="1:40" x14ac:dyDescent="0.25">
      <c r="A969" t="str">
        <f>"20190303161858620"</f>
        <v>20190303161858620</v>
      </c>
      <c r="B969" t="str">
        <f>"1551601138614307"</f>
        <v>1551601138614307</v>
      </c>
      <c r="C969" t="s">
        <v>40</v>
      </c>
      <c r="D969">
        <v>4.2634100000000004</v>
      </c>
      <c r="E969">
        <v>0.5407729</v>
      </c>
      <c r="F969" t="s">
        <v>43</v>
      </c>
      <c r="G969">
        <v>-158.19499999999999</v>
      </c>
      <c r="H969">
        <v>1.697829</v>
      </c>
      <c r="I969">
        <v>358.35910000000001</v>
      </c>
      <c r="J969">
        <v>-312.39550000000003</v>
      </c>
      <c r="K969">
        <v>1.0748310000000001</v>
      </c>
      <c r="L969">
        <v>367.16289999999998</v>
      </c>
      <c r="M969">
        <v>0.99987879999999996</v>
      </c>
      <c r="N969">
        <v>-1.478463E-2</v>
      </c>
      <c r="O969">
        <v>4.8737829999999996E-3</v>
      </c>
      <c r="P969">
        <v>0.98746400000000001</v>
      </c>
      <c r="Q969">
        <v>0.15693319999999999</v>
      </c>
      <c r="R969">
        <v>1.693654E-2</v>
      </c>
      <c r="S969">
        <v>3.03891</v>
      </c>
      <c r="T969">
        <v>1.225686E-2</v>
      </c>
      <c r="U969">
        <v>-0.17327879999999901</v>
      </c>
      <c r="V969">
        <v>-1.2115860000000001E-2</v>
      </c>
      <c r="W969">
        <v>0.171517</v>
      </c>
      <c r="X969">
        <v>0.98510660000000005</v>
      </c>
      <c r="Y969">
        <v>6.1793800000000003E-2</v>
      </c>
      <c r="Z969">
        <v>-2.41034E-4</v>
      </c>
      <c r="AA969">
        <v>0.99808889999999995</v>
      </c>
      <c r="AB969">
        <v>30</v>
      </c>
      <c r="AC969">
        <v>154.20050000000001</v>
      </c>
      <c r="AD969">
        <v>0.62299800000000005</v>
      </c>
      <c r="AE969">
        <v>-8.8037999999999599</v>
      </c>
      <c r="AF969">
        <v>9.5551618961639395</v>
      </c>
      <c r="AG969">
        <v>0.62299800000000005</v>
      </c>
      <c r="AH969">
        <v>154.15324758744501</v>
      </c>
      <c r="AI969">
        <v>89.768888506460101</v>
      </c>
      <c r="AJ969">
        <v>86.453069131353303</v>
      </c>
      <c r="AK969">
        <v>154.450357678854</v>
      </c>
      <c r="AL969">
        <v>80.123967084832401</v>
      </c>
      <c r="AM969">
        <v>90.704647237122401</v>
      </c>
      <c r="AN969">
        <v>0.99999994435804795</v>
      </c>
    </row>
    <row r="970" spans="1:40" x14ac:dyDescent="0.25">
      <c r="A970" t="str">
        <f>"20190303161858631"</f>
        <v>20190303161858631</v>
      </c>
      <c r="B970" t="str">
        <f>"1551601138624067"</f>
        <v>1551601138624067</v>
      </c>
      <c r="C970" t="s">
        <v>40</v>
      </c>
      <c r="D970">
        <v>4.2651709999999996</v>
      </c>
      <c r="E970">
        <v>0.54184900000000003</v>
      </c>
      <c r="F970" t="s">
        <v>43</v>
      </c>
      <c r="G970">
        <v>-169.2955</v>
      </c>
      <c r="H970">
        <v>1.4931760000000001</v>
      </c>
      <c r="I970">
        <v>354.41059999999999</v>
      </c>
      <c r="J970">
        <v>-312.25069999999999</v>
      </c>
      <c r="K970">
        <v>1.0745290000000001</v>
      </c>
      <c r="L970">
        <v>367.16359999999997</v>
      </c>
      <c r="M970">
        <v>0.99988129999999997</v>
      </c>
      <c r="N970">
        <v>-1.46179E-2</v>
      </c>
      <c r="O970">
        <v>4.8738269999999998E-3</v>
      </c>
      <c r="P970">
        <v>0.98737470000000005</v>
      </c>
      <c r="Q970">
        <v>0.1574904</v>
      </c>
      <c r="R970">
        <v>1.6977989999999998E-2</v>
      </c>
      <c r="S970">
        <v>3.0413209999999999</v>
      </c>
      <c r="T970">
        <v>8.893013E-3</v>
      </c>
      <c r="U970">
        <v>-0.27102659999999901</v>
      </c>
      <c r="V970">
        <v>-1.2158230000000001E-2</v>
      </c>
      <c r="W970">
        <v>0.1719088</v>
      </c>
      <c r="X970">
        <v>0.98503790000000002</v>
      </c>
      <c r="Y970">
        <v>9.3617909999999999E-2</v>
      </c>
      <c r="Z970">
        <v>-4.6370390000000002E-4</v>
      </c>
      <c r="AA970">
        <v>0.9956081</v>
      </c>
      <c r="AB970">
        <v>30</v>
      </c>
      <c r="AC970">
        <v>142.95519999999999</v>
      </c>
      <c r="AD970">
        <v>0.41864699999999999</v>
      </c>
      <c r="AE970">
        <v>-12.752999999999901</v>
      </c>
      <c r="AF970">
        <v>13.449547410795599</v>
      </c>
      <c r="AG970">
        <v>0.41864699999999999</v>
      </c>
      <c r="AH970">
        <v>142.890123396745</v>
      </c>
      <c r="AI970">
        <v>89.832870997409103</v>
      </c>
      <c r="AJ970">
        <v>84.622871197402105</v>
      </c>
      <c r="AK970">
        <v>143.522308214448</v>
      </c>
      <c r="AL970">
        <v>80.101181312115898</v>
      </c>
      <c r="AM970">
        <v>90.707160498858897</v>
      </c>
      <c r="AN970">
        <v>1.00000006125528</v>
      </c>
    </row>
    <row r="971" spans="1:40" x14ac:dyDescent="0.25">
      <c r="A971" t="str">
        <f>"20190303161858643"</f>
        <v>20190303161858643</v>
      </c>
      <c r="B971" t="str">
        <f>"1551601138633828"</f>
        <v>1551601138633828</v>
      </c>
      <c r="C971" t="s">
        <v>40</v>
      </c>
      <c r="D971">
        <v>4.2610270000000003</v>
      </c>
      <c r="E971">
        <v>0.54221330000000001</v>
      </c>
      <c r="F971" t="s">
        <v>43</v>
      </c>
      <c r="G971">
        <v>-169.2955</v>
      </c>
      <c r="H971">
        <v>1.424282</v>
      </c>
      <c r="I971">
        <v>354.03410000000002</v>
      </c>
      <c r="J971">
        <v>-312.09640000000002</v>
      </c>
      <c r="K971">
        <v>1.0742320000000001</v>
      </c>
      <c r="L971">
        <v>367.1644</v>
      </c>
      <c r="M971">
        <v>0.99988390000000005</v>
      </c>
      <c r="N971">
        <v>-1.444749E-2</v>
      </c>
      <c r="O971">
        <v>4.873764E-3</v>
      </c>
      <c r="P971">
        <v>0.98730280000000004</v>
      </c>
      <c r="Q971">
        <v>0.1579315</v>
      </c>
      <c r="R971">
        <v>1.7059299999999999E-2</v>
      </c>
      <c r="S971">
        <v>3.041992</v>
      </c>
      <c r="T971">
        <v>7.4443819999999898E-3</v>
      </c>
      <c r="U971">
        <v>-0.27938839999999998</v>
      </c>
      <c r="V971">
        <v>-1.2239369999999999E-2</v>
      </c>
      <c r="W971">
        <v>0.17218079999999999</v>
      </c>
      <c r="X971">
        <v>0.98498929999999996</v>
      </c>
      <c r="Y971">
        <v>9.6312430000000004E-2</v>
      </c>
      <c r="Z971">
        <v>-4.9746070000000005E-4</v>
      </c>
      <c r="AA971">
        <v>0.99535099999999999</v>
      </c>
      <c r="AB971">
        <v>30</v>
      </c>
      <c r="AC971">
        <v>142.80090000000001</v>
      </c>
      <c r="AD971">
        <v>0.35004999999999997</v>
      </c>
      <c r="AE971">
        <v>-13.130299999999901</v>
      </c>
      <c r="AF971">
        <v>13.8261120662221</v>
      </c>
      <c r="AG971">
        <v>0.35004999999999997</v>
      </c>
      <c r="AH971">
        <v>142.73435247415901</v>
      </c>
      <c r="AI971">
        <v>89.860139414167193</v>
      </c>
      <c r="AJ971">
        <v>84.467246080035295</v>
      </c>
      <c r="AK971">
        <v>143.40285661759901</v>
      </c>
      <c r="AL971">
        <v>80.085360107917893</v>
      </c>
      <c r="AM971">
        <v>90.711914490705993</v>
      </c>
      <c r="AN971">
        <v>0.99999997559056297</v>
      </c>
    </row>
    <row r="972" spans="1:40" x14ac:dyDescent="0.25">
      <c r="A972" t="str">
        <f>"20190303161858655"</f>
        <v>20190303161858655</v>
      </c>
      <c r="B972" t="str">
        <f>"1551601138643588"</f>
        <v>1551601138643588</v>
      </c>
      <c r="C972" t="s">
        <v>40</v>
      </c>
      <c r="D972">
        <v>4.2396349999999998</v>
      </c>
      <c r="E972">
        <v>0.5425991</v>
      </c>
      <c r="F972" t="s">
        <v>43</v>
      </c>
      <c r="G972">
        <v>-169.2955</v>
      </c>
      <c r="H972">
        <v>1.438194</v>
      </c>
      <c r="I972">
        <v>353.92380000000003</v>
      </c>
      <c r="J972">
        <v>-311.94670000000002</v>
      </c>
      <c r="K972">
        <v>1.073982</v>
      </c>
      <c r="L972">
        <v>367.1651</v>
      </c>
      <c r="M972">
        <v>0.99988619999999995</v>
      </c>
      <c r="N972">
        <v>-1.429659E-2</v>
      </c>
      <c r="O972">
        <v>4.8736659999999996E-3</v>
      </c>
      <c r="P972">
        <v>0.9872862</v>
      </c>
      <c r="Q972">
        <v>0.1580047</v>
      </c>
      <c r="R972">
        <v>1.7350609999999999E-2</v>
      </c>
      <c r="S972">
        <v>3.0422060000000002</v>
      </c>
      <c r="T972">
        <v>7.7556369999999897E-3</v>
      </c>
      <c r="U972">
        <v>-0.28207399999999999</v>
      </c>
      <c r="V972">
        <v>-1.2531209999999999E-2</v>
      </c>
      <c r="W972">
        <v>0.1721047</v>
      </c>
      <c r="X972">
        <v>0.98499890000000001</v>
      </c>
      <c r="Y972">
        <v>9.7177200000000005E-2</v>
      </c>
      <c r="Z972">
        <v>-4.9063890000000004E-4</v>
      </c>
      <c r="AA972">
        <v>0.99526700000000001</v>
      </c>
      <c r="AB972">
        <v>30</v>
      </c>
      <c r="AC972">
        <v>142.65119999999999</v>
      </c>
      <c r="AD972">
        <v>0.36421199999999998</v>
      </c>
      <c r="AE972">
        <v>-13.241299999999899</v>
      </c>
      <c r="AF972">
        <v>13.9363578095147</v>
      </c>
      <c r="AG972">
        <v>0.36421199999999998</v>
      </c>
      <c r="AH972">
        <v>142.58404370737</v>
      </c>
      <c r="AI972">
        <v>89.854339975613996</v>
      </c>
      <c r="AJ972">
        <v>84.4175647690425</v>
      </c>
      <c r="AK972">
        <v>143.26396699561599</v>
      </c>
      <c r="AL972">
        <v>80.089786096088105</v>
      </c>
      <c r="AM972">
        <v>90.728880726136893</v>
      </c>
      <c r="AN972">
        <v>0.99999994599368003</v>
      </c>
    </row>
    <row r="973" spans="1:40" x14ac:dyDescent="0.25">
      <c r="A973" t="str">
        <f>"20190303161858666"</f>
        <v>20190303161858666</v>
      </c>
      <c r="B973" t="str">
        <f>"1551601138654324"</f>
        <v>1551601138654324</v>
      </c>
      <c r="C973" t="s">
        <v>40</v>
      </c>
      <c r="D973">
        <v>4.274578</v>
      </c>
      <c r="E973">
        <v>0.54280689999999998</v>
      </c>
      <c r="F973" t="s">
        <v>43</v>
      </c>
      <c r="G973">
        <v>-169.2955</v>
      </c>
      <c r="H973">
        <v>1.4291240000000001</v>
      </c>
      <c r="I973">
        <v>353.85210000000001</v>
      </c>
      <c r="J973">
        <v>-311.7953</v>
      </c>
      <c r="K973">
        <v>1.0737399999999999</v>
      </c>
      <c r="L973">
        <v>367.16579999999999</v>
      </c>
      <c r="M973">
        <v>0.9998882</v>
      </c>
      <c r="N973">
        <v>-1.414792E-2</v>
      </c>
      <c r="O973">
        <v>4.8737190000000003E-3</v>
      </c>
      <c r="P973">
        <v>0.98725010000000002</v>
      </c>
      <c r="Q973">
        <v>0.1582566</v>
      </c>
      <c r="R973">
        <v>1.7103099999999899E-2</v>
      </c>
      <c r="S973">
        <v>3.0424190000000002</v>
      </c>
      <c r="T973">
        <v>7.5762269999999996E-3</v>
      </c>
      <c r="U973">
        <v>-0.28393550000000001</v>
      </c>
      <c r="V973">
        <v>-1.228392E-2</v>
      </c>
      <c r="W973">
        <v>0.1722099</v>
      </c>
      <c r="X973">
        <v>0.98498370000000002</v>
      </c>
      <c r="Y973">
        <v>9.7774539999999993E-2</v>
      </c>
      <c r="Z973">
        <v>-4.9079410000000005E-4</v>
      </c>
      <c r="AA973">
        <v>0.99520839999999999</v>
      </c>
      <c r="AB973">
        <v>30</v>
      </c>
      <c r="AC973">
        <v>142.49979999999999</v>
      </c>
      <c r="AD973">
        <v>0.35538399999999998</v>
      </c>
      <c r="AE973">
        <v>-13.3136999999999</v>
      </c>
      <c r="AF973">
        <v>14.0080288610745</v>
      </c>
      <c r="AG973">
        <v>0.35538399999999998</v>
      </c>
      <c r="AH973">
        <v>142.432335310204</v>
      </c>
      <c r="AI973">
        <v>89.857727566122094</v>
      </c>
      <c r="AJ973">
        <v>84.383100312191502</v>
      </c>
      <c r="AK973">
        <v>143.119954277098</v>
      </c>
      <c r="AL973">
        <v>80.083667931023797</v>
      </c>
      <c r="AM973">
        <v>90.714509577093196</v>
      </c>
      <c r="AN973">
        <v>1.0000000168071299</v>
      </c>
    </row>
    <row r="974" spans="1:40" x14ac:dyDescent="0.25">
      <c r="A974" t="str">
        <f>"20190303161858677"</f>
        <v>20190303161858677</v>
      </c>
      <c r="B974" t="str">
        <f>"1551601138664083"</f>
        <v>1551601138664083</v>
      </c>
      <c r="C974" t="s">
        <v>40</v>
      </c>
      <c r="D974">
        <v>4.3076359999999996</v>
      </c>
      <c r="E974">
        <v>0.54299319999999995</v>
      </c>
      <c r="F974" t="s">
        <v>43</v>
      </c>
      <c r="G974">
        <v>-169.2955</v>
      </c>
      <c r="H974">
        <v>1.4403109999999999</v>
      </c>
      <c r="I974">
        <v>353.75420000000003</v>
      </c>
      <c r="J974">
        <v>-311.64859999999999</v>
      </c>
      <c r="K974">
        <v>1.073534</v>
      </c>
      <c r="L974">
        <v>367.16649999999998</v>
      </c>
      <c r="M974">
        <v>0.99988999999999995</v>
      </c>
      <c r="N974">
        <v>-1.401763E-2</v>
      </c>
      <c r="O974">
        <v>4.8738100000000001E-3</v>
      </c>
      <c r="P974">
        <v>0.98720750000000002</v>
      </c>
      <c r="Q974">
        <v>0.1585269</v>
      </c>
      <c r="R974">
        <v>1.7056910000000002E-2</v>
      </c>
      <c r="S974">
        <v>3.0424500000000001</v>
      </c>
      <c r="T974">
        <v>7.8283550000000004E-3</v>
      </c>
      <c r="U974">
        <v>-0.2863464</v>
      </c>
      <c r="V974">
        <v>-1.223806E-2</v>
      </c>
      <c r="W974">
        <v>0.17235130000000001</v>
      </c>
      <c r="X974">
        <v>0.98495949999999999</v>
      </c>
      <c r="Y974">
        <v>9.8555470000000006E-2</v>
      </c>
      <c r="Z974">
        <v>-4.8511380000000002E-4</v>
      </c>
      <c r="AA974">
        <v>0.9951314</v>
      </c>
      <c r="AB974">
        <v>30</v>
      </c>
      <c r="AC974">
        <v>142.35309999999899</v>
      </c>
      <c r="AD974">
        <v>0.36677700000000002</v>
      </c>
      <c r="AE974">
        <v>-13.412299999999901</v>
      </c>
      <c r="AF974">
        <v>14.1059178975399</v>
      </c>
      <c r="AG974">
        <v>0.36677700000000002</v>
      </c>
      <c r="AH974">
        <v>142.285097262812</v>
      </c>
      <c r="AI974">
        <v>89.853025983286301</v>
      </c>
      <c r="AJ974">
        <v>84.338287888311598</v>
      </c>
      <c r="AK974">
        <v>142.983077139176</v>
      </c>
      <c r="AL974">
        <v>80.075442950842699</v>
      </c>
      <c r="AM974">
        <v>90.7118598356505</v>
      </c>
      <c r="AN974">
        <v>0.99999997868225099</v>
      </c>
    </row>
    <row r="975" spans="1:40" x14ac:dyDescent="0.25">
      <c r="A975" t="str">
        <f>"20190303161858687"</f>
        <v>20190303161858687</v>
      </c>
      <c r="B975" t="str">
        <f>"1551601138684073"</f>
        <v>1551601138684073</v>
      </c>
      <c r="C975" t="s">
        <v>40</v>
      </c>
      <c r="D975">
        <v>4.3035809999999897</v>
      </c>
      <c r="E975">
        <v>0.54304929999999996</v>
      </c>
      <c r="F975" t="s">
        <v>43</v>
      </c>
      <c r="G975">
        <v>-169.2955</v>
      </c>
      <c r="H975">
        <v>1.40849</v>
      </c>
      <c r="I975">
        <v>353.7097</v>
      </c>
      <c r="J975">
        <v>-311.5095</v>
      </c>
      <c r="K975">
        <v>1.0733429999999999</v>
      </c>
      <c r="L975">
        <v>367.16719999999998</v>
      </c>
      <c r="M975">
        <v>0.99989170000000005</v>
      </c>
      <c r="N975">
        <v>-1.389725E-2</v>
      </c>
      <c r="O975">
        <v>4.8738230000000002E-3</v>
      </c>
      <c r="P975">
        <v>0.98715730000000002</v>
      </c>
      <c r="Q975">
        <v>0.15887129999999999</v>
      </c>
      <c r="R975">
        <v>1.6750950000000001E-2</v>
      </c>
      <c r="S975">
        <v>3.0426639999999998</v>
      </c>
      <c r="T975">
        <v>7.16126E-3</v>
      </c>
      <c r="U975">
        <v>-0.2876282</v>
      </c>
      <c r="V975">
        <v>-1.19323E-2</v>
      </c>
      <c r="W975">
        <v>0.17257629999999999</v>
      </c>
      <c r="X975">
        <v>0.98492389999999996</v>
      </c>
      <c r="Y975">
        <v>9.8964350000000006E-2</v>
      </c>
      <c r="Z975">
        <v>-4.9399440000000001E-4</v>
      </c>
      <c r="AA975">
        <v>0.99509080000000005</v>
      </c>
      <c r="AB975">
        <v>30</v>
      </c>
      <c r="AC975">
        <v>142.214</v>
      </c>
      <c r="AD975">
        <v>0.33514699999999997</v>
      </c>
      <c r="AE975">
        <v>-13.4574999999999</v>
      </c>
      <c r="AF975">
        <v>14.1504549448793</v>
      </c>
      <c r="AG975">
        <v>0.33514699999999997</v>
      </c>
      <c r="AH975">
        <v>142.14593234396301</v>
      </c>
      <c r="AI975">
        <v>89.865574578298407</v>
      </c>
      <c r="AJ975">
        <v>84.3150047171913</v>
      </c>
      <c r="AK975">
        <v>142.84891942396001</v>
      </c>
      <c r="AL975">
        <v>80.062355747194601</v>
      </c>
      <c r="AM975">
        <v>90.694101325955501</v>
      </c>
      <c r="AN975">
        <v>1.00000002394809</v>
      </c>
    </row>
    <row r="976" spans="1:40" x14ac:dyDescent="0.25">
      <c r="A976" t="str">
        <f>"20190303161858698"</f>
        <v>20190303161858698</v>
      </c>
      <c r="B976" t="str">
        <f>"1551601138693834"</f>
        <v>1551601138693834</v>
      </c>
      <c r="C976" t="s">
        <v>40</v>
      </c>
      <c r="D976">
        <v>4.2978420000000002</v>
      </c>
      <c r="E976">
        <v>0.54308859999999903</v>
      </c>
      <c r="F976" t="s">
        <v>43</v>
      </c>
      <c r="G976">
        <v>-158.78319999999999</v>
      </c>
      <c r="H976">
        <v>1.437376</v>
      </c>
      <c r="I976">
        <v>352.649</v>
      </c>
      <c r="J976">
        <v>-311.36270000000002</v>
      </c>
      <c r="K976">
        <v>1.0731630000000001</v>
      </c>
      <c r="L976">
        <v>367.16789999999997</v>
      </c>
      <c r="M976">
        <v>0.99989309999999998</v>
      </c>
      <c r="N976">
        <v>-1.378041E-2</v>
      </c>
      <c r="O976">
        <v>4.8741030000000003E-3</v>
      </c>
      <c r="P976">
        <v>0.98713969999999995</v>
      </c>
      <c r="Q976">
        <v>0.15897739999999999</v>
      </c>
      <c r="R976">
        <v>1.6772829999999999E-2</v>
      </c>
      <c r="S976">
        <v>3.0427550000000001</v>
      </c>
      <c r="T976">
        <v>7.2543619999999899E-3</v>
      </c>
      <c r="U976">
        <v>-0.28924559999999999</v>
      </c>
      <c r="V976">
        <v>-1.195392E-2</v>
      </c>
      <c r="W976">
        <v>0.1725669</v>
      </c>
      <c r="X976">
        <v>0.9849253</v>
      </c>
      <c r="Y976">
        <v>9.9486080000000005E-2</v>
      </c>
      <c r="Z976">
        <v>-4.9011159999999998E-4</v>
      </c>
      <c r="AA976">
        <v>0.9950388</v>
      </c>
      <c r="AB976">
        <v>30</v>
      </c>
      <c r="AC976">
        <v>152.5795</v>
      </c>
      <c r="AD976">
        <v>0.36421300000000001</v>
      </c>
      <c r="AE976">
        <v>-14.518899999999901</v>
      </c>
      <c r="AF976">
        <v>15.2624001912408</v>
      </c>
      <c r="AG976">
        <v>0.36421300000000001</v>
      </c>
      <c r="AH976">
        <v>152.506052725427</v>
      </c>
      <c r="AI976">
        <v>89.8638473295442</v>
      </c>
      <c r="AJ976">
        <v>84.285019476922002</v>
      </c>
      <c r="AK976">
        <v>153.26829296562801</v>
      </c>
      <c r="AL976">
        <v>80.062902680798999</v>
      </c>
      <c r="AM976">
        <v>90.695357848650602</v>
      </c>
      <c r="AN976">
        <v>1.00000003887953</v>
      </c>
    </row>
    <row r="977" spans="1:40" x14ac:dyDescent="0.25">
      <c r="A977" t="str">
        <f>"20190303161858710"</f>
        <v>20190303161858710</v>
      </c>
      <c r="B977" t="str">
        <f>"1551601138703593"</f>
        <v>1551601138703593</v>
      </c>
      <c r="C977" t="s">
        <v>40</v>
      </c>
      <c r="D977">
        <v>4.3323019999999897</v>
      </c>
      <c r="E977">
        <v>0.54312740000000004</v>
      </c>
      <c r="F977" t="s">
        <v>43</v>
      </c>
      <c r="G977">
        <v>-158.78319999999999</v>
      </c>
      <c r="H977">
        <v>1.4498260000000001</v>
      </c>
      <c r="I977">
        <v>352.6454</v>
      </c>
      <c r="J977">
        <v>-311.20890000000003</v>
      </c>
      <c r="K977">
        <v>1.0729879999999901</v>
      </c>
      <c r="L977">
        <v>367.16860000000003</v>
      </c>
      <c r="M977">
        <v>0.99989470000000003</v>
      </c>
      <c r="N977">
        <v>-1.3663959999999999E-2</v>
      </c>
      <c r="O977">
        <v>4.8742530000000003E-3</v>
      </c>
      <c r="P977">
        <v>0.98713770000000001</v>
      </c>
      <c r="Q977">
        <v>0.15899920000000001</v>
      </c>
      <c r="R977">
        <v>1.6686389999999999E-2</v>
      </c>
      <c r="S977">
        <v>3.042786</v>
      </c>
      <c r="T977">
        <v>7.5132849999999998E-3</v>
      </c>
      <c r="U977">
        <v>-0.28961179999999997</v>
      </c>
      <c r="V977">
        <v>-1.1867229999999999E-2</v>
      </c>
      <c r="W977">
        <v>0.1724744</v>
      </c>
      <c r="X977">
        <v>0.98494250000000005</v>
      </c>
      <c r="Y977">
        <v>9.9603999999999998E-2</v>
      </c>
      <c r="Z977">
        <v>-4.8090019999999999E-4</v>
      </c>
      <c r="AA977">
        <v>0.99502710000000005</v>
      </c>
      <c r="AB977">
        <v>30</v>
      </c>
      <c r="AC977">
        <v>152.42570000000001</v>
      </c>
      <c r="AD977">
        <v>0.37683800000000001</v>
      </c>
      <c r="AE977">
        <v>-14.523199999999999</v>
      </c>
      <c r="AF977">
        <v>15.265965814146799</v>
      </c>
      <c r="AG977">
        <v>0.37683800000000001</v>
      </c>
      <c r="AH977">
        <v>152.35216977554001</v>
      </c>
      <c r="AI977">
        <v>89.858987235116004</v>
      </c>
      <c r="AJ977">
        <v>84.2779577290041</v>
      </c>
      <c r="AK977">
        <v>153.115562090965</v>
      </c>
      <c r="AL977">
        <v>80.068282716615201</v>
      </c>
      <c r="AM977">
        <v>90.690303539513494</v>
      </c>
      <c r="AN977">
        <v>0.99999998905474097</v>
      </c>
    </row>
    <row r="978" spans="1:40" x14ac:dyDescent="0.25">
      <c r="A978" t="str">
        <f>"20190303161858721"</f>
        <v>20190303161858721</v>
      </c>
      <c r="B978" t="str">
        <f>"1551601138713353"</f>
        <v>1551601138713353</v>
      </c>
      <c r="C978" t="s">
        <v>40</v>
      </c>
      <c r="D978">
        <v>4.3359589999999999</v>
      </c>
      <c r="E978">
        <v>0.54323699999999997</v>
      </c>
      <c r="F978" t="s">
        <v>43</v>
      </c>
      <c r="G978">
        <v>-158.78319999999999</v>
      </c>
      <c r="H978">
        <v>1.433972</v>
      </c>
      <c r="I978">
        <v>352.64429999999999</v>
      </c>
      <c r="J978">
        <v>-311.06279999999998</v>
      </c>
      <c r="K978">
        <v>1.0728340000000001</v>
      </c>
      <c r="L978">
        <v>367.16930000000002</v>
      </c>
      <c r="M978">
        <v>0.99989620000000001</v>
      </c>
      <c r="N978">
        <v>-1.3559999999999999E-2</v>
      </c>
      <c r="O978">
        <v>4.8743110000000001E-3</v>
      </c>
      <c r="P978">
        <v>0.9871202</v>
      </c>
      <c r="Q978">
        <v>0.15912979999999999</v>
      </c>
      <c r="R978">
        <v>1.6477240000000001E-2</v>
      </c>
      <c r="S978">
        <v>3.0428470000000001</v>
      </c>
      <c r="T978">
        <v>7.2079900000000001E-3</v>
      </c>
      <c r="U978">
        <v>-0.28994750000000002</v>
      </c>
      <c r="V978">
        <v>-1.1658180000000001E-2</v>
      </c>
      <c r="W978">
        <v>0.17250209999999999</v>
      </c>
      <c r="X978">
        <v>0.98494020000000004</v>
      </c>
      <c r="Y978">
        <v>9.9710900000000005E-2</v>
      </c>
      <c r="Z978">
        <v>-4.8229620000000002E-4</v>
      </c>
      <c r="AA978">
        <v>0.99501629999999996</v>
      </c>
      <c r="AB978">
        <v>30</v>
      </c>
      <c r="AC978">
        <v>152.27959999999999</v>
      </c>
      <c r="AD978">
        <v>0.36113800000000001</v>
      </c>
      <c r="AE978">
        <v>-14.525</v>
      </c>
      <c r="AF978">
        <v>15.2670686904089</v>
      </c>
      <c r="AG978">
        <v>0.36113800000000001</v>
      </c>
      <c r="AH978">
        <v>152.20613645853001</v>
      </c>
      <c r="AI978">
        <v>89.864733883510695</v>
      </c>
      <c r="AJ978">
        <v>84.272093204263598</v>
      </c>
      <c r="AK978">
        <v>152.97032974627999</v>
      </c>
      <c r="AL978">
        <v>80.066672010992804</v>
      </c>
      <c r="AM978">
        <v>90.678146063304993</v>
      </c>
      <c r="AN978">
        <v>1.0000000426206801</v>
      </c>
    </row>
    <row r="979" spans="1:40" x14ac:dyDescent="0.25">
      <c r="A979" t="str">
        <f>"20190303161858732"</f>
        <v>20190303161858732</v>
      </c>
      <c r="B979" t="str">
        <f>"1551601138724089"</f>
        <v>1551601138724089</v>
      </c>
      <c r="C979" t="s">
        <v>40</v>
      </c>
      <c r="D979">
        <v>4.3245769999999997</v>
      </c>
      <c r="E979">
        <v>0.54331229999999997</v>
      </c>
      <c r="F979" t="s">
        <v>43</v>
      </c>
      <c r="G979">
        <v>-158.78319999999999</v>
      </c>
      <c r="H979">
        <v>1.5276209999999999</v>
      </c>
      <c r="I979">
        <v>352.57499999999999</v>
      </c>
      <c r="J979">
        <v>-310.92860000000002</v>
      </c>
      <c r="K979">
        <v>1.072702</v>
      </c>
      <c r="L979">
        <v>367.17</v>
      </c>
      <c r="M979">
        <v>0.99989749999999999</v>
      </c>
      <c r="N979">
        <v>-1.3470930000000001E-2</v>
      </c>
      <c r="O979">
        <v>4.874382E-3</v>
      </c>
      <c r="P979">
        <v>0.98717929999999998</v>
      </c>
      <c r="Q979">
        <v>0.1587807</v>
      </c>
      <c r="R979">
        <v>1.6310330000000001E-2</v>
      </c>
      <c r="S979">
        <v>3.0425420000000001</v>
      </c>
      <c r="T979">
        <v>9.0883969999999998E-3</v>
      </c>
      <c r="U979">
        <v>-0.29159550000000001</v>
      </c>
      <c r="V979">
        <v>-1.149093E-2</v>
      </c>
      <c r="W979">
        <v>0.1720662</v>
      </c>
      <c r="X979">
        <v>0.98501839999999996</v>
      </c>
      <c r="Y979">
        <v>0.1002546</v>
      </c>
      <c r="Z979">
        <v>-4.473988E-4</v>
      </c>
      <c r="AA979">
        <v>0.99496169999999995</v>
      </c>
      <c r="AB979">
        <v>30</v>
      </c>
      <c r="AC979">
        <v>152.1454</v>
      </c>
      <c r="AD979">
        <v>0.45491899999999902</v>
      </c>
      <c r="AE979">
        <v>-14.595000000000001</v>
      </c>
      <c r="AF979">
        <v>15.3363727304724</v>
      </c>
      <c r="AG979">
        <v>0.45491899999999902</v>
      </c>
      <c r="AH979">
        <v>152.07109699262</v>
      </c>
      <c r="AI979">
        <v>89.829465851305301</v>
      </c>
      <c r="AJ979">
        <v>84.241190741932598</v>
      </c>
      <c r="AK979">
        <v>152.843154313051</v>
      </c>
      <c r="AL979">
        <v>80.092026265165899</v>
      </c>
      <c r="AM979">
        <v>90.668365106721197</v>
      </c>
      <c r="AN979">
        <v>1.0000000334966299</v>
      </c>
    </row>
    <row r="980" spans="1:40" x14ac:dyDescent="0.25">
      <c r="A980" t="str">
        <f>"20190303161858744"</f>
        <v>20190303161858744</v>
      </c>
      <c r="B980" t="str">
        <f>"1551601138733850"</f>
        <v>1551601138733850</v>
      </c>
      <c r="C980" t="s">
        <v>40</v>
      </c>
      <c r="D980">
        <v>4.3071890000000002</v>
      </c>
      <c r="E980">
        <v>0.54328100000000001</v>
      </c>
      <c r="F980" t="s">
        <v>43</v>
      </c>
      <c r="G980">
        <v>-158.78319999999999</v>
      </c>
      <c r="H980">
        <v>1.582004</v>
      </c>
      <c r="I980">
        <v>352.54079999999999</v>
      </c>
      <c r="J980">
        <v>-310.75670000000002</v>
      </c>
      <c r="K980">
        <v>1.0725480000000001</v>
      </c>
      <c r="L980">
        <v>367.17079999999999</v>
      </c>
      <c r="M980">
        <v>0.99989879999999998</v>
      </c>
      <c r="N980">
        <v>-1.3361700000000001E-2</v>
      </c>
      <c r="O980">
        <v>4.8746450000000004E-3</v>
      </c>
      <c r="P980">
        <v>0.98718989999999995</v>
      </c>
      <c r="Q980">
        <v>0.15872049999999999</v>
      </c>
      <c r="R980">
        <v>1.6248450000000001E-2</v>
      </c>
      <c r="S980">
        <v>3.0421450000000001</v>
      </c>
      <c r="T980">
        <v>1.018524E-2</v>
      </c>
      <c r="U980">
        <v>-0.29251100000000002</v>
      </c>
      <c r="V980">
        <v>-1.1428799999999999E-2</v>
      </c>
      <c r="W980">
        <v>0.171898</v>
      </c>
      <c r="X980">
        <v>0.98504849999999999</v>
      </c>
      <c r="Y980">
        <v>0.100564</v>
      </c>
      <c r="Z980">
        <v>-4.2419849999999999E-4</v>
      </c>
      <c r="AA980">
        <v>0.99493050000000005</v>
      </c>
      <c r="AB980">
        <v>30</v>
      </c>
      <c r="AC980">
        <v>151.9735</v>
      </c>
      <c r="AD980">
        <v>0.50945600000000002</v>
      </c>
      <c r="AE980">
        <v>-14.6299999999999</v>
      </c>
      <c r="AF980">
        <v>15.3705380400871</v>
      </c>
      <c r="AG980">
        <v>0.50945600000000002</v>
      </c>
      <c r="AH980">
        <v>151.89868031173199</v>
      </c>
      <c r="AI980">
        <v>89.808811585282101</v>
      </c>
      <c r="AJ980">
        <v>84.221941325408494</v>
      </c>
      <c r="AK980">
        <v>152.67521758787001</v>
      </c>
      <c r="AL980">
        <v>80.101809280795095</v>
      </c>
      <c r="AM980">
        <v>90.6647313556836</v>
      </c>
      <c r="AN980">
        <v>1.00000004361284</v>
      </c>
    </row>
    <row r="981" spans="1:40" x14ac:dyDescent="0.25">
      <c r="A981" t="str">
        <f>"20190303161858756"</f>
        <v>20190303161858756</v>
      </c>
      <c r="B981" t="str">
        <f>"1551601138743610"</f>
        <v>1551601138743610</v>
      </c>
      <c r="C981" t="s">
        <v>40</v>
      </c>
      <c r="D981">
        <v>4.3595100000000002</v>
      </c>
      <c r="E981">
        <v>0.54327230000000004</v>
      </c>
      <c r="F981" t="s">
        <v>43</v>
      </c>
      <c r="G981">
        <v>-158.78319999999999</v>
      </c>
      <c r="H981">
        <v>1.503066</v>
      </c>
      <c r="I981">
        <v>352.5471</v>
      </c>
      <c r="J981">
        <v>-310.60399999999998</v>
      </c>
      <c r="K981">
        <v>1.0724309999999999</v>
      </c>
      <c r="L981">
        <v>367.17160000000001</v>
      </c>
      <c r="M981">
        <v>0.99990000000000001</v>
      </c>
      <c r="N981">
        <v>-1.327444E-2</v>
      </c>
      <c r="O981">
        <v>4.8746950000000001E-3</v>
      </c>
      <c r="P981">
        <v>0.98719009999999996</v>
      </c>
      <c r="Q981">
        <v>0.158724</v>
      </c>
      <c r="R981">
        <v>1.6196100000000001E-2</v>
      </c>
      <c r="S981">
        <v>3.042389</v>
      </c>
      <c r="T981">
        <v>8.6203809999999999E-3</v>
      </c>
      <c r="U981">
        <v>-0.29275509999999999</v>
      </c>
      <c r="V981">
        <v>-1.137636E-2</v>
      </c>
      <c r="W981">
        <v>0.17181579999999999</v>
      </c>
      <c r="X981">
        <v>0.98506340000000003</v>
      </c>
      <c r="Y981">
        <v>0.1006354</v>
      </c>
      <c r="Z981">
        <v>-4.489211E-4</v>
      </c>
      <c r="AA981">
        <v>0.99492329999999995</v>
      </c>
      <c r="AB981">
        <v>30</v>
      </c>
      <c r="AC981">
        <v>151.82079999999999</v>
      </c>
      <c r="AD981">
        <v>0.43063499999999999</v>
      </c>
      <c r="AE981">
        <v>-14.624499999999999</v>
      </c>
      <c r="AF981">
        <v>15.3643490460771</v>
      </c>
      <c r="AG981">
        <v>0.43063499999999999</v>
      </c>
      <c r="AH981">
        <v>151.74648991890601</v>
      </c>
      <c r="AI981">
        <v>89.8382302261479</v>
      </c>
      <c r="AJ981">
        <v>84.218498723568402</v>
      </c>
      <c r="AK981">
        <v>152.522935556661</v>
      </c>
      <c r="AL981">
        <v>80.106589651184805</v>
      </c>
      <c r="AM981">
        <v>90.661671561005306</v>
      </c>
      <c r="AN981">
        <v>0.99999999635802395</v>
      </c>
    </row>
    <row r="982" spans="1:40" x14ac:dyDescent="0.25">
      <c r="A982" t="str">
        <f>"20190303161858769"</f>
        <v>20190303161858769</v>
      </c>
      <c r="B982" t="str">
        <f>"1551601138765081"</f>
        <v>1551601138765081</v>
      </c>
      <c r="C982" t="s">
        <v>40</v>
      </c>
      <c r="D982">
        <v>4.3753029999999997</v>
      </c>
      <c r="E982">
        <v>0.54337269999999904</v>
      </c>
      <c r="F982" t="s">
        <v>43</v>
      </c>
      <c r="G982">
        <v>-158.78319999999999</v>
      </c>
      <c r="H982">
        <v>1.453133</v>
      </c>
      <c r="I982">
        <v>352.56920000000002</v>
      </c>
      <c r="J982">
        <v>-310.42099999999999</v>
      </c>
      <c r="K982">
        <v>1.0723039999999999</v>
      </c>
      <c r="L982">
        <v>367.17250000000001</v>
      </c>
      <c r="M982">
        <v>0.99990129999999999</v>
      </c>
      <c r="N982">
        <v>-1.317435E-2</v>
      </c>
      <c r="O982">
        <v>4.8748860000000001E-3</v>
      </c>
      <c r="P982">
        <v>0.98720609999999998</v>
      </c>
      <c r="Q982">
        <v>0.15864489999999901</v>
      </c>
      <c r="R982">
        <v>1.6000670000000002E-2</v>
      </c>
      <c r="S982">
        <v>3.0425110000000002</v>
      </c>
      <c r="T982">
        <v>7.6310630000000004E-3</v>
      </c>
      <c r="U982">
        <v>-0.29263309999999998</v>
      </c>
      <c r="V982">
        <v>-1.1180839999999999E-2</v>
      </c>
      <c r="W982">
        <v>0.17163819999999999</v>
      </c>
      <c r="X982">
        <v>0.98509659999999999</v>
      </c>
      <c r="Y982">
        <v>0.1005921</v>
      </c>
      <c r="Z982">
        <v>-4.6203500000000002E-4</v>
      </c>
      <c r="AA982">
        <v>0.99492760000000002</v>
      </c>
      <c r="AB982">
        <v>30</v>
      </c>
      <c r="AC982">
        <v>151.6378</v>
      </c>
      <c r="AD982">
        <v>0.38082899999999897</v>
      </c>
      <c r="AE982">
        <v>-14.6032999999999</v>
      </c>
      <c r="AF982">
        <v>15.3423117391873</v>
      </c>
      <c r="AG982">
        <v>0.38082899999999897</v>
      </c>
      <c r="AH982">
        <v>151.563855095771</v>
      </c>
      <c r="AI982">
        <v>89.856767245247298</v>
      </c>
      <c r="AJ982">
        <v>84.219825437415295</v>
      </c>
      <c r="AK982">
        <v>152.33887793902699</v>
      </c>
      <c r="AL982">
        <v>80.116918833416406</v>
      </c>
      <c r="AM982">
        <v>90.650278802128696</v>
      </c>
      <c r="AN982">
        <v>0.99999999710695198</v>
      </c>
    </row>
    <row r="983" spans="1:40" x14ac:dyDescent="0.25">
      <c r="A983" t="str">
        <f>"20190303161858783"</f>
        <v>20190303161858783</v>
      </c>
      <c r="B983" t="str">
        <f>"1551601138773865"</f>
        <v>1551601138773865</v>
      </c>
      <c r="C983" t="s">
        <v>40</v>
      </c>
      <c r="D983">
        <v>4.374314</v>
      </c>
      <c r="E983">
        <v>0.54341189999999995</v>
      </c>
      <c r="F983" t="s">
        <v>43</v>
      </c>
      <c r="G983">
        <v>-158.78319999999999</v>
      </c>
      <c r="H983">
        <v>1.3869309999999999</v>
      </c>
      <c r="I983">
        <v>352.52760000000001</v>
      </c>
      <c r="J983">
        <v>-310.23689999999999</v>
      </c>
      <c r="K983">
        <v>1.072187</v>
      </c>
      <c r="L983">
        <v>367.17329999999998</v>
      </c>
      <c r="M983">
        <v>0.99990259999999997</v>
      </c>
      <c r="N983">
        <v>-1.308118E-2</v>
      </c>
      <c r="O983">
        <v>4.8748469999999999E-3</v>
      </c>
      <c r="P983">
        <v>0.98722589999999999</v>
      </c>
      <c r="Q983">
        <v>0.15850649999999999</v>
      </c>
      <c r="R983">
        <v>1.6152280000000001E-2</v>
      </c>
      <c r="S983">
        <v>3.0426639999999998</v>
      </c>
      <c r="T983">
        <v>6.3148739999999998E-3</v>
      </c>
      <c r="U983">
        <v>-0.2938538</v>
      </c>
      <c r="V983">
        <v>-1.133208E-2</v>
      </c>
      <c r="W983">
        <v>0.17140849999999999</v>
      </c>
      <c r="X983">
        <v>0.98513479999999998</v>
      </c>
      <c r="Y983">
        <v>0.10098260000000001</v>
      </c>
      <c r="Z983">
        <v>-4.8378119999999998E-4</v>
      </c>
      <c r="AA983">
        <v>0.99488810000000005</v>
      </c>
      <c r="AB983">
        <v>30</v>
      </c>
      <c r="AC983">
        <v>151.4537</v>
      </c>
      <c r="AD983">
        <v>0.31474399999999902</v>
      </c>
      <c r="AE983">
        <v>-14.6456999999999</v>
      </c>
      <c r="AF983">
        <v>15.3838368837663</v>
      </c>
      <c r="AG983">
        <v>0.31474399999999902</v>
      </c>
      <c r="AH983">
        <v>151.379850735209</v>
      </c>
      <c r="AI983">
        <v>89.881483089053305</v>
      </c>
      <c r="AJ983">
        <v>84.1972905819988</v>
      </c>
      <c r="AK983">
        <v>152.15985248963</v>
      </c>
      <c r="AL983">
        <v>80.130277002367393</v>
      </c>
      <c r="AM983">
        <v>90.659048611036894</v>
      </c>
      <c r="AN983">
        <v>0.99999993204020599</v>
      </c>
    </row>
    <row r="984" spans="1:40" x14ac:dyDescent="0.25">
      <c r="A984" t="str">
        <f>"20190303161858802"</f>
        <v>20190303161858802</v>
      </c>
      <c r="B984" t="str">
        <f>"1551601138793891"</f>
        <v>1551601138793891</v>
      </c>
      <c r="C984" t="s">
        <v>40</v>
      </c>
      <c r="D984">
        <v>4.4250759999999998</v>
      </c>
      <c r="E984">
        <v>0.54334039999999995</v>
      </c>
      <c r="F984" t="s">
        <v>43</v>
      </c>
      <c r="G984">
        <v>-158.78319999999999</v>
      </c>
      <c r="H984">
        <v>1.3752960000000001</v>
      </c>
      <c r="I984">
        <v>352.5521</v>
      </c>
      <c r="J984">
        <v>-310.00349999999997</v>
      </c>
      <c r="K984">
        <v>1.07206</v>
      </c>
      <c r="L984">
        <v>367.17450000000002</v>
      </c>
      <c r="M984">
        <v>0.99990400000000002</v>
      </c>
      <c r="N984">
        <v>-1.2974660000000001E-2</v>
      </c>
      <c r="O984">
        <v>4.8748319999999999E-3</v>
      </c>
      <c r="P984">
        <v>0.98718570000000005</v>
      </c>
      <c r="Q984">
        <v>0.15879849999999901</v>
      </c>
      <c r="R984">
        <v>1.5732039999999999E-2</v>
      </c>
      <c r="S984">
        <v>3.0426030000000002</v>
      </c>
      <c r="T984">
        <v>6.0909989999999997E-3</v>
      </c>
      <c r="U984">
        <v>-0.29373169999999998</v>
      </c>
      <c r="V984">
        <v>-1.091223E-2</v>
      </c>
      <c r="W984">
        <v>0.171595</v>
      </c>
      <c r="X984">
        <v>0.98510710000000001</v>
      </c>
      <c r="Y984">
        <v>0.10094500000000001</v>
      </c>
      <c r="Z984">
        <v>-4.827613E-4</v>
      </c>
      <c r="AA984">
        <v>0.99489190000000005</v>
      </c>
      <c r="AB984">
        <v>30</v>
      </c>
      <c r="AC984">
        <v>151.22029999999901</v>
      </c>
      <c r="AD984">
        <v>0.30323599999999901</v>
      </c>
      <c r="AE984">
        <v>-14.622400000000001</v>
      </c>
      <c r="AF984">
        <v>15.3594006089029</v>
      </c>
      <c r="AG984">
        <v>0.30323599999999901</v>
      </c>
      <c r="AH984">
        <v>151.14661300783601</v>
      </c>
      <c r="AI984">
        <v>89.885640162257104</v>
      </c>
      <c r="AJ984">
        <v>84.1975658685909</v>
      </c>
      <c r="AK984">
        <v>151.92531639880499</v>
      </c>
      <c r="AL984">
        <v>80.119430912301098</v>
      </c>
      <c r="AM984">
        <v>90.634650946431194</v>
      </c>
      <c r="AN984">
        <v>0.99999995962948995</v>
      </c>
    </row>
    <row r="985" spans="1:40" x14ac:dyDescent="0.25">
      <c r="A985" t="str">
        <f>"20190303161858818"</f>
        <v>20190303161858818</v>
      </c>
      <c r="B985" t="str">
        <f>"1551601138803652"</f>
        <v>1551601138803652</v>
      </c>
      <c r="C985" t="s">
        <v>40</v>
      </c>
      <c r="D985">
        <v>4.4870549999999998</v>
      </c>
      <c r="E985">
        <v>0.54245859999999901</v>
      </c>
      <c r="F985" t="s">
        <v>43</v>
      </c>
      <c r="G985">
        <v>-158.78319999999999</v>
      </c>
      <c r="H985">
        <v>1.3945369999999999</v>
      </c>
      <c r="I985">
        <v>352.5575</v>
      </c>
      <c r="J985">
        <v>-309.7867</v>
      </c>
      <c r="K985">
        <v>1.071957</v>
      </c>
      <c r="L985">
        <v>367.1755</v>
      </c>
      <c r="M985">
        <v>0.99990509999999999</v>
      </c>
      <c r="N985">
        <v>-1.288506E-2</v>
      </c>
      <c r="O985">
        <v>4.874939E-3</v>
      </c>
      <c r="P985">
        <v>0.98722270000000001</v>
      </c>
      <c r="Q985">
        <v>0.15860009999999999</v>
      </c>
      <c r="R985">
        <v>1.5409819999999999E-2</v>
      </c>
      <c r="S985">
        <v>3.0426030000000002</v>
      </c>
      <c r="T985">
        <v>6.4901109999999998E-3</v>
      </c>
      <c r="U985">
        <v>-0.29409790000000002</v>
      </c>
      <c r="V985">
        <v>-1.059006E-2</v>
      </c>
      <c r="W985">
        <v>0.17130889999999999</v>
      </c>
      <c r="X985">
        <v>0.98516049999999999</v>
      </c>
      <c r="Y985">
        <v>0.1010638</v>
      </c>
      <c r="Z985">
        <v>-4.7206430000000001E-4</v>
      </c>
      <c r="AA985">
        <v>0.99487979999999998</v>
      </c>
      <c r="AB985">
        <v>30</v>
      </c>
      <c r="AC985">
        <v>151.0035</v>
      </c>
      <c r="AD985">
        <v>0.32257999999999998</v>
      </c>
      <c r="AE985">
        <v>-14.617999999999901</v>
      </c>
      <c r="AF985">
        <v>15.3539508213297</v>
      </c>
      <c r="AG985">
        <v>0.32257999999999998</v>
      </c>
      <c r="AH985">
        <v>150.929755237742</v>
      </c>
      <c r="AI985">
        <v>89.878171504819903</v>
      </c>
      <c r="AJ985">
        <v>84.191333509526203</v>
      </c>
      <c r="AK985">
        <v>151.709059979307</v>
      </c>
      <c r="AL985">
        <v>80.136070510495799</v>
      </c>
      <c r="AM985">
        <v>90.615881750356294</v>
      </c>
      <c r="AN985">
        <v>1.00000004967513</v>
      </c>
    </row>
    <row r="986" spans="1:40" x14ac:dyDescent="0.25">
      <c r="A986" t="str">
        <f>"20190303161858831"</f>
        <v>20190303161858831</v>
      </c>
      <c r="B986" t="str">
        <f>"1551601138824148"</f>
        <v>1551601138824148</v>
      </c>
      <c r="C986" t="s">
        <v>40</v>
      </c>
      <c r="D986">
        <v>4.4613230000000001</v>
      </c>
      <c r="E986">
        <v>0.54071610000000003</v>
      </c>
      <c r="F986" t="s">
        <v>43</v>
      </c>
      <c r="G986">
        <v>-169.2955</v>
      </c>
      <c r="H986">
        <v>1.151354</v>
      </c>
      <c r="I986">
        <v>353.86810000000003</v>
      </c>
      <c r="J986">
        <v>-309.59410000000003</v>
      </c>
      <c r="K986">
        <v>1.071868</v>
      </c>
      <c r="L986">
        <v>367.1764</v>
      </c>
      <c r="M986">
        <v>0.99990610000000002</v>
      </c>
      <c r="N986">
        <v>-1.281179E-2</v>
      </c>
      <c r="O986">
        <v>4.8747579999999999E-3</v>
      </c>
      <c r="P986">
        <v>0.98725099999999999</v>
      </c>
      <c r="Q986">
        <v>0.1584237</v>
      </c>
      <c r="R986">
        <v>1.5417409999999999E-2</v>
      </c>
      <c r="S986">
        <v>3.0430299999999999</v>
      </c>
      <c r="T986">
        <v>1.721621E-3</v>
      </c>
      <c r="U986">
        <v>-0.28823850000000001</v>
      </c>
      <c r="V986">
        <v>-1.059804E-2</v>
      </c>
      <c r="W986">
        <v>0.1710604</v>
      </c>
      <c r="X986">
        <v>0.98520359999999996</v>
      </c>
      <c r="Y986">
        <v>9.9151020000000006E-2</v>
      </c>
      <c r="Z986">
        <v>-5.4354369999999998E-4</v>
      </c>
      <c r="AA986">
        <v>0.99507219999999996</v>
      </c>
      <c r="AB986">
        <v>30</v>
      </c>
      <c r="AC986">
        <v>140.29859999999999</v>
      </c>
      <c r="AD986">
        <v>7.9485999999999904E-2</v>
      </c>
      <c r="AE986">
        <v>-13.3082999999999</v>
      </c>
      <c r="AF986">
        <v>13.9921152184496</v>
      </c>
      <c r="AG986">
        <v>7.9485999999999904E-2</v>
      </c>
      <c r="AH986">
        <v>140.23200806706399</v>
      </c>
      <c r="AI986">
        <v>89.967684200101004</v>
      </c>
      <c r="AJ986">
        <v>84.301982288930802</v>
      </c>
      <c r="AK986">
        <v>140.928356595937</v>
      </c>
      <c r="AL986">
        <v>80.150521892104294</v>
      </c>
      <c r="AM986">
        <v>90.616318842749394</v>
      </c>
      <c r="AN986">
        <v>1.0000000561764699</v>
      </c>
    </row>
    <row r="987" spans="1:40" x14ac:dyDescent="0.25">
      <c r="A987" t="str">
        <f>"20190303161858843"</f>
        <v>20190303161858843</v>
      </c>
      <c r="B987" t="str">
        <f>"1551601138833908"</f>
        <v>1551601138833908</v>
      </c>
      <c r="C987" t="s">
        <v>40</v>
      </c>
      <c r="D987">
        <v>4.4854320000000003</v>
      </c>
      <c r="E987">
        <v>0.53993269999999904</v>
      </c>
      <c r="F987" t="s">
        <v>43</v>
      </c>
      <c r="G987">
        <v>-169.2955</v>
      </c>
      <c r="H987">
        <v>0.98990630000000002</v>
      </c>
      <c r="I987">
        <v>354.52859999999998</v>
      </c>
      <c r="J987">
        <v>-309.43369999999999</v>
      </c>
      <c r="K987">
        <v>1.0718049999999999</v>
      </c>
      <c r="L987">
        <v>367.17720000000003</v>
      </c>
      <c r="M987">
        <v>0.99990679999999998</v>
      </c>
      <c r="N987">
        <v>-1.2754359999999999E-2</v>
      </c>
      <c r="O987">
        <v>4.8749489999999999E-3</v>
      </c>
      <c r="P987">
        <v>0.98728479999999996</v>
      </c>
      <c r="Q987">
        <v>0.1582469</v>
      </c>
      <c r="R987">
        <v>1.5061140000000001E-2</v>
      </c>
      <c r="S987">
        <v>3.043304</v>
      </c>
      <c r="T987">
        <v>-1.7759799999999999E-3</v>
      </c>
      <c r="U987">
        <v>-0.27435300000000001</v>
      </c>
      <c r="V987">
        <v>-1.024096E-2</v>
      </c>
      <c r="W987">
        <v>0.17082739999999999</v>
      </c>
      <c r="X987">
        <v>0.98524769999999995</v>
      </c>
      <c r="Y987">
        <v>9.4639470000000003E-2</v>
      </c>
      <c r="Z987">
        <v>-5.7312729999999998E-4</v>
      </c>
      <c r="AA987">
        <v>0.99551149999999999</v>
      </c>
      <c r="AB987">
        <v>30</v>
      </c>
      <c r="AC987">
        <v>140.13819999999899</v>
      </c>
      <c r="AD987">
        <v>-8.1898699999999797E-2</v>
      </c>
      <c r="AE987">
        <v>-12.6486</v>
      </c>
      <c r="AF987">
        <v>13.331667295481299</v>
      </c>
      <c r="AG987">
        <v>-8.1898699999999797E-2</v>
      </c>
      <c r="AH987">
        <v>140.074820769242</v>
      </c>
      <c r="AI987">
        <v>90.033348889536299</v>
      </c>
      <c r="AJ987">
        <v>84.563231846449298</v>
      </c>
      <c r="AK987">
        <v>140.70783728637701</v>
      </c>
      <c r="AL987">
        <v>80.164070230148894</v>
      </c>
      <c r="AM987">
        <v>90.595528064592202</v>
      </c>
      <c r="AN987">
        <v>0.99999995410388398</v>
      </c>
    </row>
    <row r="988" spans="1:40" x14ac:dyDescent="0.25">
      <c r="A988" t="str">
        <f>"20190303161858855"</f>
        <v>20190303161858855</v>
      </c>
      <c r="B988" t="str">
        <f>"1551601138843668"</f>
        <v>1551601138843668</v>
      </c>
      <c r="C988" t="s">
        <v>40</v>
      </c>
      <c r="D988">
        <v>4.4885890000000002</v>
      </c>
      <c r="E988">
        <v>0.53923239999999995</v>
      </c>
      <c r="F988" t="s">
        <v>43</v>
      </c>
      <c r="G988">
        <v>-169.2955</v>
      </c>
      <c r="H988">
        <v>0.89145569999999896</v>
      </c>
      <c r="I988">
        <v>354.79559999999998</v>
      </c>
      <c r="J988">
        <v>-309.28379999999999</v>
      </c>
      <c r="K988">
        <v>1.0717540000000001</v>
      </c>
      <c r="L988">
        <v>367.17790000000002</v>
      </c>
      <c r="M988">
        <v>0.99990749999999995</v>
      </c>
      <c r="N988">
        <v>-1.270629E-2</v>
      </c>
      <c r="O988">
        <v>4.8748999999999997E-3</v>
      </c>
      <c r="P988">
        <v>0.98729149999999999</v>
      </c>
      <c r="Q988">
        <v>0.158182399999999</v>
      </c>
      <c r="R988">
        <v>1.5292750000000001E-2</v>
      </c>
      <c r="S988">
        <v>3.0433650000000001</v>
      </c>
      <c r="T988">
        <v>-3.9147139999999997E-3</v>
      </c>
      <c r="U988">
        <v>-0.26889039999999997</v>
      </c>
      <c r="V988">
        <v>-1.047231E-2</v>
      </c>
      <c r="W988">
        <v>0.17071600000000001</v>
      </c>
      <c r="X988">
        <v>0.98526460000000005</v>
      </c>
      <c r="Y988">
        <v>9.2864290000000002E-2</v>
      </c>
      <c r="Z988">
        <v>-5.9520120000000002E-4</v>
      </c>
      <c r="AA988">
        <v>0.99567859999999997</v>
      </c>
      <c r="AB988">
        <v>30</v>
      </c>
      <c r="AC988">
        <v>139.98829999999899</v>
      </c>
      <c r="AD988">
        <v>-0.18029829999999999</v>
      </c>
      <c r="AE988">
        <v>-12.382300000000001</v>
      </c>
      <c r="AF988">
        <v>13.064615324496801</v>
      </c>
      <c r="AG988">
        <v>-0.18029829999999999</v>
      </c>
      <c r="AH988">
        <v>139.926038684047</v>
      </c>
      <c r="AI988">
        <v>90.073507337190307</v>
      </c>
      <c r="AJ988">
        <v>84.665871640559303</v>
      </c>
      <c r="AK988">
        <v>140.53473941649901</v>
      </c>
      <c r="AL988">
        <v>80.170548363716705</v>
      </c>
      <c r="AM988">
        <v>90.608969987072697</v>
      </c>
      <c r="AN988">
        <v>0.99999997697294696</v>
      </c>
    </row>
    <row r="989" spans="1:40" x14ac:dyDescent="0.25">
      <c r="A989" t="str">
        <f>"20190303161858868"</f>
        <v>20190303161858868</v>
      </c>
      <c r="B989" t="str">
        <f>"1551601138853428"</f>
        <v>1551601138853428</v>
      </c>
      <c r="C989" t="s">
        <v>40</v>
      </c>
      <c r="D989">
        <v>4.4827830000000004</v>
      </c>
      <c r="E989">
        <v>0.5385915</v>
      </c>
      <c r="F989" t="s">
        <v>43</v>
      </c>
      <c r="G989">
        <v>-169.2955</v>
      </c>
      <c r="H989">
        <v>0.8172722</v>
      </c>
      <c r="I989">
        <v>355.09679999999997</v>
      </c>
      <c r="J989">
        <v>-309.11680000000001</v>
      </c>
      <c r="K989">
        <v>1.0717030000000001</v>
      </c>
      <c r="L989">
        <v>367.17869999999999</v>
      </c>
      <c r="M989">
        <v>0.99990800000000002</v>
      </c>
      <c r="N989">
        <v>-1.265461E-2</v>
      </c>
      <c r="O989">
        <v>4.8750520000000004E-3</v>
      </c>
      <c r="P989">
        <v>0.9872938</v>
      </c>
      <c r="Q989">
        <v>0.1581803</v>
      </c>
      <c r="R989">
        <v>1.5156070000000001E-2</v>
      </c>
      <c r="S989">
        <v>3.0435789999999998</v>
      </c>
      <c r="T989">
        <v>-5.5309529999999999E-3</v>
      </c>
      <c r="U989">
        <v>-0.26266479999999998</v>
      </c>
      <c r="V989">
        <v>-1.033569E-2</v>
      </c>
      <c r="W989">
        <v>0.17066289999999901</v>
      </c>
      <c r="X989">
        <v>0.98527529999999997</v>
      </c>
      <c r="Y989">
        <v>9.0836570000000005E-2</v>
      </c>
      <c r="Z989">
        <v>-6.0549309999999995E-4</v>
      </c>
      <c r="AA989">
        <v>0.99586560000000002</v>
      </c>
      <c r="AB989">
        <v>30</v>
      </c>
      <c r="AC989">
        <v>139.82130000000001</v>
      </c>
      <c r="AD989">
        <v>-0.25443080000000001</v>
      </c>
      <c r="AE989">
        <v>-12.081899999999999</v>
      </c>
      <c r="AF989">
        <v>12.7634051789315</v>
      </c>
      <c r="AG989">
        <v>-0.25443080000000001</v>
      </c>
      <c r="AH989">
        <v>139.760274256001</v>
      </c>
      <c r="AI989">
        <v>90.103873460410199</v>
      </c>
      <c r="AJ989">
        <v>84.782019543426202</v>
      </c>
      <c r="AK989">
        <v>140.342094565053</v>
      </c>
      <c r="AL989">
        <v>80.173636651806603</v>
      </c>
      <c r="AM989">
        <v>90.601019526775403</v>
      </c>
      <c r="AN989">
        <v>1.00000003435713</v>
      </c>
    </row>
    <row r="990" spans="1:40" x14ac:dyDescent="0.25">
      <c r="A990" t="str">
        <f>"20190303161858879"</f>
        <v>20190303161858879</v>
      </c>
      <c r="B990" t="str">
        <f>"1551601138873924"</f>
        <v>1551601138873924</v>
      </c>
      <c r="C990" t="s">
        <v>40</v>
      </c>
      <c r="D990">
        <v>4.5273599999999998</v>
      </c>
      <c r="E990">
        <v>0.53750169999999997</v>
      </c>
      <c r="F990" t="s">
        <v>43</v>
      </c>
      <c r="G990">
        <v>-169.2955</v>
      </c>
      <c r="H990">
        <v>0.74543669999999995</v>
      </c>
      <c r="I990">
        <v>355.32819999999998</v>
      </c>
      <c r="J990">
        <v>-308.96660000000003</v>
      </c>
      <c r="K990">
        <v>1.071661</v>
      </c>
      <c r="L990">
        <v>367.17950000000002</v>
      </c>
      <c r="M990">
        <v>0.99990869999999998</v>
      </c>
      <c r="N990">
        <v>-1.261204E-2</v>
      </c>
      <c r="O990">
        <v>4.8750249999999998E-3</v>
      </c>
      <c r="P990">
        <v>0.9872763</v>
      </c>
      <c r="Q990">
        <v>0.158273</v>
      </c>
      <c r="R990">
        <v>1.535416E-2</v>
      </c>
      <c r="S990">
        <v>3.0436709999999998</v>
      </c>
      <c r="T990">
        <v>-7.1003439999999998E-3</v>
      </c>
      <c r="U990">
        <v>-0.2579651</v>
      </c>
      <c r="V990">
        <v>-1.0533860000000001E-2</v>
      </c>
      <c r="W990">
        <v>0.17071320000000001</v>
      </c>
      <c r="X990">
        <v>0.98526440000000004</v>
      </c>
      <c r="Y990">
        <v>8.9306999999999997E-2</v>
      </c>
      <c r="Z990">
        <v>-6.1816789999999996E-4</v>
      </c>
      <c r="AA990">
        <v>0.99600390000000005</v>
      </c>
      <c r="AB990">
        <v>30</v>
      </c>
      <c r="AC990">
        <v>139.6711</v>
      </c>
      <c r="AD990">
        <v>-0.32622429999999902</v>
      </c>
      <c r="AE990">
        <v>-11.8513</v>
      </c>
      <c r="AF990">
        <v>12.53204545404</v>
      </c>
      <c r="AG990">
        <v>-0.32622429999999902</v>
      </c>
      <c r="AH990">
        <v>139.610903874945</v>
      </c>
      <c r="AI990">
        <v>90.133344818662195</v>
      </c>
      <c r="AJ990">
        <v>84.870643883057397</v>
      </c>
      <c r="AK990">
        <v>140.172618818139</v>
      </c>
      <c r="AL990">
        <v>80.170710898192695</v>
      </c>
      <c r="AM990">
        <v>90.612549002313003</v>
      </c>
      <c r="AN990">
        <v>0.99999994838404804</v>
      </c>
    </row>
    <row r="991" spans="1:40" x14ac:dyDescent="0.25">
      <c r="A991" t="str">
        <f>"20190303161858890"</f>
        <v>20190303161858890</v>
      </c>
      <c r="B991" t="str">
        <f>"1551601138883215"</f>
        <v>1551601138883215</v>
      </c>
      <c r="C991" t="s">
        <v>40</v>
      </c>
      <c r="D991">
        <v>4.5004980000000003</v>
      </c>
      <c r="E991">
        <v>0.53699919999999901</v>
      </c>
      <c r="F991" t="s">
        <v>43</v>
      </c>
      <c r="G991">
        <v>-169.2955</v>
      </c>
      <c r="H991">
        <v>0.64280509999999902</v>
      </c>
      <c r="I991">
        <v>355.77019999999999</v>
      </c>
      <c r="J991">
        <v>-308.82659999999998</v>
      </c>
      <c r="K991">
        <v>1.071626</v>
      </c>
      <c r="L991">
        <v>367.18020000000001</v>
      </c>
      <c r="M991">
        <v>0.99990919999999905</v>
      </c>
      <c r="N991">
        <v>-1.2574460000000001E-2</v>
      </c>
      <c r="O991">
        <v>4.8750850000000004E-3</v>
      </c>
      <c r="P991">
        <v>0.98726170000000002</v>
      </c>
      <c r="Q991">
        <v>0.15837129999999999</v>
      </c>
      <c r="R991">
        <v>1.527676E-2</v>
      </c>
      <c r="S991">
        <v>3.0440369999999999</v>
      </c>
      <c r="T991">
        <v>-9.3446970000000008E-3</v>
      </c>
      <c r="U991">
        <v>-0.24865719999999999</v>
      </c>
      <c r="V991">
        <v>-1.0456689999999999E-2</v>
      </c>
      <c r="W991">
        <v>0.17077429999999999</v>
      </c>
      <c r="X991">
        <v>0.98525469999999904</v>
      </c>
      <c r="Y991">
        <v>8.6271520000000004E-2</v>
      </c>
      <c r="Z991">
        <v>-6.2927989999999896E-4</v>
      </c>
      <c r="AA991">
        <v>0.99627149999999998</v>
      </c>
      <c r="AB991">
        <v>30</v>
      </c>
      <c r="AC991">
        <v>139.53109999999899</v>
      </c>
      <c r="AD991">
        <v>-0.4288209</v>
      </c>
      <c r="AE991">
        <v>-11.41</v>
      </c>
      <c r="AF991">
        <v>12.0900306137209</v>
      </c>
      <c r="AG991">
        <v>-0.4288209</v>
      </c>
      <c r="AH991">
        <v>139.47250394761099</v>
      </c>
      <c r="AI991">
        <v>90.175502396643594</v>
      </c>
      <c r="AJ991">
        <v>85.045758398374602</v>
      </c>
      <c r="AK991">
        <v>139.996185965981</v>
      </c>
      <c r="AL991">
        <v>80.167158603034395</v>
      </c>
      <c r="AM991">
        <v>90.608067854071095</v>
      </c>
      <c r="AN991">
        <v>1.00000001388916</v>
      </c>
    </row>
    <row r="992" spans="1:40" x14ac:dyDescent="0.25">
      <c r="A992" t="str">
        <f>"20190303161858900"</f>
        <v>20190303161858900</v>
      </c>
      <c r="B992" t="str">
        <f>"1551601138893951"</f>
        <v>1551601138893951</v>
      </c>
      <c r="C992" t="s">
        <v>40</v>
      </c>
      <c r="D992">
        <v>4.4938580000000004</v>
      </c>
      <c r="E992">
        <v>0.53656510000000002</v>
      </c>
      <c r="F992" t="s">
        <v>43</v>
      </c>
      <c r="G992">
        <v>-169.2955</v>
      </c>
      <c r="H992">
        <v>0.59358219999999995</v>
      </c>
      <c r="I992">
        <v>355.94499999999999</v>
      </c>
      <c r="J992">
        <v>-308.67360000000002</v>
      </c>
      <c r="K992">
        <v>1.0715870000000001</v>
      </c>
      <c r="L992">
        <v>367.18090000000001</v>
      </c>
      <c r="M992">
        <v>0.99990959999999995</v>
      </c>
      <c r="N992">
        <v>-1.2536149999999999E-2</v>
      </c>
      <c r="O992">
        <v>4.8751480000000002E-3</v>
      </c>
      <c r="P992">
        <v>0.98726020000000003</v>
      </c>
      <c r="Q992">
        <v>0.15837770000000001</v>
      </c>
      <c r="R992">
        <v>1.529555E-2</v>
      </c>
      <c r="S992">
        <v>3.0441280000000002</v>
      </c>
      <c r="T992">
        <v>-1.0427469999999999E-2</v>
      </c>
      <c r="U992">
        <v>-0.24511720000000001</v>
      </c>
      <c r="V992">
        <v>-1.047507E-2</v>
      </c>
      <c r="W992">
        <v>0.17074329999999999</v>
      </c>
      <c r="X992">
        <v>0.98525989999999997</v>
      </c>
      <c r="Y992">
        <v>8.5117849999999995E-2</v>
      </c>
      <c r="Z992">
        <v>-6.3561889999999999E-4</v>
      </c>
      <c r="AA992">
        <v>0.99637070000000005</v>
      </c>
      <c r="AB992">
        <v>30</v>
      </c>
      <c r="AC992">
        <v>139.37809999999999</v>
      </c>
      <c r="AD992">
        <v>-0.47800480000000001</v>
      </c>
      <c r="AE992">
        <v>-11.235900000000001</v>
      </c>
      <c r="AF992">
        <v>11.9151694365725</v>
      </c>
      <c r="AG992">
        <v>-0.47800480000000001</v>
      </c>
      <c r="AH992">
        <v>139.32003436889499</v>
      </c>
      <c r="AI992">
        <v>90.195865129429805</v>
      </c>
      <c r="AJ992">
        <v>85.111745953853799</v>
      </c>
      <c r="AK992">
        <v>139.829437987289</v>
      </c>
      <c r="AL992">
        <v>80.168961468069199</v>
      </c>
      <c r="AM992">
        <v>90.609133375866506</v>
      </c>
      <c r="AN992">
        <v>1.0000000360671999</v>
      </c>
    </row>
    <row r="993" spans="1:40" x14ac:dyDescent="0.25">
      <c r="A993" t="str">
        <f>"20190303161858914"</f>
        <v>20190303161858914</v>
      </c>
      <c r="B993" t="str">
        <f>"1551601138903711"</f>
        <v>1551601138903711</v>
      </c>
      <c r="C993" t="s">
        <v>40</v>
      </c>
      <c r="D993">
        <v>4.5119030000000002</v>
      </c>
      <c r="E993">
        <v>0.53612939999999998</v>
      </c>
      <c r="F993" t="s">
        <v>43</v>
      </c>
      <c r="G993">
        <v>-169.2955</v>
      </c>
      <c r="H993">
        <v>0.52811809999999904</v>
      </c>
      <c r="I993">
        <v>356.12920000000003</v>
      </c>
      <c r="J993">
        <v>-308.51229999999998</v>
      </c>
      <c r="K993">
        <v>1.071553</v>
      </c>
      <c r="L993">
        <v>367.18169999999998</v>
      </c>
      <c r="M993">
        <v>0.99991010000000002</v>
      </c>
      <c r="N993">
        <v>-1.249888E-2</v>
      </c>
      <c r="O993">
        <v>4.8752049999999996E-3</v>
      </c>
      <c r="P993">
        <v>0.98725879999999999</v>
      </c>
      <c r="Q993">
        <v>0.1583656</v>
      </c>
      <c r="R993">
        <v>1.551426E-2</v>
      </c>
      <c r="S993">
        <v>3.0443419999999999</v>
      </c>
      <c r="T993">
        <v>-1.1868719999999999E-2</v>
      </c>
      <c r="U993">
        <v>-0.241394</v>
      </c>
      <c r="V993">
        <v>-1.06941E-2</v>
      </c>
      <c r="W993">
        <v>0.1706944</v>
      </c>
      <c r="X993">
        <v>0.98526599999999998</v>
      </c>
      <c r="Y993">
        <v>8.3901110000000001E-2</v>
      </c>
      <c r="Z993">
        <v>-6.4661609999999996E-4</v>
      </c>
      <c r="AA993">
        <v>0.99647379999999997</v>
      </c>
      <c r="AB993">
        <v>30</v>
      </c>
      <c r="AC993">
        <v>139.21679999999901</v>
      </c>
      <c r="AD993">
        <v>-0.54343490000000005</v>
      </c>
      <c r="AE993">
        <v>-11.052499999999901</v>
      </c>
      <c r="AF993">
        <v>11.730954396158101</v>
      </c>
      <c r="AG993">
        <v>-0.54343490000000005</v>
      </c>
      <c r="AH993">
        <v>139.15915075150099</v>
      </c>
      <c r="AI993">
        <v>90.222955680305205</v>
      </c>
      <c r="AJ993">
        <v>85.181425012138106</v>
      </c>
      <c r="AK993">
        <v>139.65378566445801</v>
      </c>
      <c r="AL993">
        <v>80.171804779283605</v>
      </c>
      <c r="AM993">
        <v>90.621865298962106</v>
      </c>
      <c r="AN993">
        <v>1.00000001636108</v>
      </c>
    </row>
    <row r="994" spans="1:40" x14ac:dyDescent="0.25">
      <c r="A994" t="str">
        <f>"20190303161858927"</f>
        <v>20190303161858927</v>
      </c>
      <c r="B994" t="str">
        <f>"1551601138913471"</f>
        <v>1551601138913471</v>
      </c>
      <c r="C994" t="s">
        <v>40</v>
      </c>
      <c r="D994">
        <v>4.5040069999999996</v>
      </c>
      <c r="E994">
        <v>0.53575790000000001</v>
      </c>
      <c r="F994" t="s">
        <v>43</v>
      </c>
      <c r="G994">
        <v>-169.2955</v>
      </c>
      <c r="H994">
        <v>0.47702410000000001</v>
      </c>
      <c r="I994">
        <v>356.33179999999999</v>
      </c>
      <c r="J994">
        <v>-308.339</v>
      </c>
      <c r="K994">
        <v>1.0715170000000001</v>
      </c>
      <c r="L994">
        <v>367.1825</v>
      </c>
      <c r="M994">
        <v>0.99991070000000004</v>
      </c>
      <c r="N994">
        <v>-1.2460789999999999E-2</v>
      </c>
      <c r="O994">
        <v>4.8751460000000003E-3</v>
      </c>
      <c r="P994">
        <v>0.98724520000000004</v>
      </c>
      <c r="Q994">
        <v>0.15845379999999901</v>
      </c>
      <c r="R994">
        <v>1.548246E-2</v>
      </c>
      <c r="S994">
        <v>3.044495</v>
      </c>
      <c r="T994">
        <v>-1.299965E-2</v>
      </c>
      <c r="U994">
        <v>-0.23727419999999999</v>
      </c>
      <c r="V994">
        <v>-1.066253E-2</v>
      </c>
      <c r="W994">
        <v>0.1707447</v>
      </c>
      <c r="X994">
        <v>0.98525759999999996</v>
      </c>
      <c r="Y994">
        <v>8.2556640000000001E-2</v>
      </c>
      <c r="Z994">
        <v>-6.5128379999999995E-4</v>
      </c>
      <c r="AA994">
        <v>0.99658610000000003</v>
      </c>
      <c r="AB994">
        <v>30</v>
      </c>
      <c r="AC994">
        <v>139.04349999999999</v>
      </c>
      <c r="AD994">
        <v>-0.59449289999999999</v>
      </c>
      <c r="AE994">
        <v>-10.8507</v>
      </c>
      <c r="AF994">
        <v>11.528271409482</v>
      </c>
      <c r="AG994">
        <v>-0.59449289999999999</v>
      </c>
      <c r="AH994">
        <v>138.98641918078701</v>
      </c>
      <c r="AI994">
        <v>90.244233631682803</v>
      </c>
      <c r="AJ994">
        <v>85.258437879864601</v>
      </c>
      <c r="AK994">
        <v>139.46497474346799</v>
      </c>
      <c r="AL994">
        <v>80.168879603518505</v>
      </c>
      <c r="AM994">
        <v>90.620034922771097</v>
      </c>
      <c r="AN994">
        <v>0.99999999024092501</v>
      </c>
    </row>
    <row r="995" spans="1:40" x14ac:dyDescent="0.25">
      <c r="A995" t="str">
        <f>"20190303161858939"</f>
        <v>20190303161858939</v>
      </c>
      <c r="B995" t="str">
        <f>"1551601138933967"</f>
        <v>1551601138933967</v>
      </c>
      <c r="C995" t="s">
        <v>40</v>
      </c>
      <c r="D995">
        <v>4.5276189999999996</v>
      </c>
      <c r="E995">
        <v>0.53503009999999995</v>
      </c>
      <c r="F995" t="s">
        <v>43</v>
      </c>
      <c r="G995">
        <v>-169.2955</v>
      </c>
      <c r="H995">
        <v>0.44968029999999998</v>
      </c>
      <c r="I995">
        <v>356.47179999999997</v>
      </c>
      <c r="J995">
        <v>-308.15969999999999</v>
      </c>
      <c r="K995">
        <v>1.071488</v>
      </c>
      <c r="L995">
        <v>367.18329999999997</v>
      </c>
      <c r="M995">
        <v>0.99991099999999999</v>
      </c>
      <c r="N995">
        <v>-1.242526E-2</v>
      </c>
      <c r="O995">
        <v>4.8753690000000001E-3</v>
      </c>
      <c r="P995">
        <v>0.98724809999999996</v>
      </c>
      <c r="Q995">
        <v>0.15842870000000001</v>
      </c>
      <c r="R995">
        <v>1.554617E-2</v>
      </c>
      <c r="S995">
        <v>3.0445859999999998</v>
      </c>
      <c r="T995">
        <v>-1.361418E-2</v>
      </c>
      <c r="U995">
        <v>-0.2345276</v>
      </c>
      <c r="V995">
        <v>-1.072559E-2</v>
      </c>
      <c r="W995">
        <v>0.17068449999999999</v>
      </c>
      <c r="X995">
        <v>0.98526729999999996</v>
      </c>
      <c r="Y995">
        <v>8.1660689999999994E-2</v>
      </c>
      <c r="Z995">
        <v>-6.5169410000000001E-4</v>
      </c>
      <c r="AA995">
        <v>0.99665999999999999</v>
      </c>
      <c r="AB995">
        <v>30</v>
      </c>
      <c r="AC995">
        <v>138.86419999999899</v>
      </c>
      <c r="AD995">
        <v>-0.62180769999999996</v>
      </c>
      <c r="AE995">
        <v>-10.711499999999999</v>
      </c>
      <c r="AF995">
        <v>11.3882121129589</v>
      </c>
      <c r="AG995">
        <v>-0.62180769999999996</v>
      </c>
      <c r="AH995">
        <v>138.80755610646</v>
      </c>
      <c r="AI995">
        <v>90.255803213503697</v>
      </c>
      <c r="AJ995">
        <v>85.309777144749106</v>
      </c>
      <c r="AK995">
        <v>139.27532319902701</v>
      </c>
      <c r="AL995">
        <v>80.172379743722701</v>
      </c>
      <c r="AM995">
        <v>90.623695485122795</v>
      </c>
      <c r="AN995">
        <v>0.99999994463519204</v>
      </c>
    </row>
    <row r="996" spans="1:40" x14ac:dyDescent="0.25">
      <c r="A996" t="str">
        <f>"20190303161858956"</f>
        <v>20190303161858956</v>
      </c>
      <c r="B996" t="str">
        <f>"1551601138943728"</f>
        <v>1551601138943728</v>
      </c>
      <c r="C996" t="s">
        <v>40</v>
      </c>
      <c r="D996">
        <v>4.5185820000000003</v>
      </c>
      <c r="E996">
        <v>0.53470850000000003</v>
      </c>
      <c r="F996" t="s">
        <v>43</v>
      </c>
      <c r="G996">
        <v>-167.3425</v>
      </c>
      <c r="H996">
        <v>0.35732750000000002</v>
      </c>
      <c r="I996">
        <v>356.61509999999998</v>
      </c>
      <c r="J996">
        <v>-307.9479</v>
      </c>
      <c r="K996">
        <v>1.0714539999999999</v>
      </c>
      <c r="L996">
        <v>367.18439999999998</v>
      </c>
      <c r="M996">
        <v>0.99991149999999995</v>
      </c>
      <c r="N996">
        <v>-1.2386619999999999E-2</v>
      </c>
      <c r="O996">
        <v>4.8754319999999999E-3</v>
      </c>
      <c r="P996">
        <v>0.98721939999999997</v>
      </c>
      <c r="Q996">
        <v>0.1585686</v>
      </c>
      <c r="R996">
        <v>1.5942439999999999E-2</v>
      </c>
      <c r="S996">
        <v>3.044861</v>
      </c>
      <c r="T996">
        <v>-1.5440229999999999E-2</v>
      </c>
      <c r="U996">
        <v>-0.22851560000000001</v>
      </c>
      <c r="V996">
        <v>-1.112191E-2</v>
      </c>
      <c r="W996">
        <v>0.17078599999999999</v>
      </c>
      <c r="X996">
        <v>0.98524529999999999</v>
      </c>
      <c r="Y996">
        <v>7.9696740000000002E-2</v>
      </c>
      <c r="Z996">
        <v>-6.6047570000000002E-4</v>
      </c>
      <c r="AA996">
        <v>0.99681900000000001</v>
      </c>
      <c r="AB996">
        <v>30</v>
      </c>
      <c r="AC996">
        <v>140.6054</v>
      </c>
      <c r="AD996">
        <v>-0.7141265</v>
      </c>
      <c r="AE996">
        <v>-10.569299999999901</v>
      </c>
      <c r="AF996">
        <v>11.2544502706565</v>
      </c>
      <c r="AG996">
        <v>-0.7141265</v>
      </c>
      <c r="AH996">
        <v>140.54858962893101</v>
      </c>
      <c r="AI996">
        <v>90.290188145098895</v>
      </c>
      <c r="AJ996">
        <v>85.421800015614707</v>
      </c>
      <c r="AK996">
        <v>141.00027898637001</v>
      </c>
      <c r="AL996">
        <v>80.166477393699196</v>
      </c>
      <c r="AM996">
        <v>90.646754100253503</v>
      </c>
      <c r="AN996">
        <v>0.99999992792506598</v>
      </c>
    </row>
    <row r="997" spans="1:40" x14ac:dyDescent="0.25">
      <c r="A997" t="str">
        <f>"20190303161858969"</f>
        <v>20190303161858969</v>
      </c>
      <c r="B997" t="str">
        <f>"1551601138964224"</f>
        <v>1551601138964224</v>
      </c>
      <c r="C997" t="s">
        <v>40</v>
      </c>
      <c r="D997">
        <v>4.5856879999999904</v>
      </c>
      <c r="E997">
        <v>0.53414819999999996</v>
      </c>
      <c r="F997" t="s">
        <v>43</v>
      </c>
      <c r="G997">
        <v>-158.19499999999999</v>
      </c>
      <c r="H997">
        <v>0.3155212</v>
      </c>
      <c r="I997">
        <v>356.13940000000002</v>
      </c>
      <c r="J997">
        <v>-307.77800000000002</v>
      </c>
      <c r="K997">
        <v>1.071428</v>
      </c>
      <c r="L997">
        <v>367.18520000000001</v>
      </c>
      <c r="M997">
        <v>0.99991169999999996</v>
      </c>
      <c r="N997">
        <v>-1.235787E-2</v>
      </c>
      <c r="O997">
        <v>4.8754330000000002E-3</v>
      </c>
      <c r="P997">
        <v>0.98727719999999997</v>
      </c>
      <c r="Q997">
        <v>0.1582066</v>
      </c>
      <c r="R997">
        <v>1.5954039999999999E-2</v>
      </c>
      <c r="S997">
        <v>3.0449519999999999</v>
      </c>
      <c r="T997">
        <v>-1.5368700000000001E-2</v>
      </c>
      <c r="U997">
        <v>-0.2245789</v>
      </c>
      <c r="V997">
        <v>-1.1133479999999999E-2</v>
      </c>
      <c r="W997">
        <v>0.17039599999999999</v>
      </c>
      <c r="X997">
        <v>0.98531279999999999</v>
      </c>
      <c r="Y997">
        <v>7.8412830000000003E-2</v>
      </c>
      <c r="Z997">
        <v>-6.472165E-4</v>
      </c>
      <c r="AA997">
        <v>0.99692080000000005</v>
      </c>
      <c r="AB997">
        <v>30</v>
      </c>
      <c r="AC997">
        <v>149.583</v>
      </c>
      <c r="AD997">
        <v>-0.75590679999999999</v>
      </c>
      <c r="AE997">
        <v>-11.0457999999999</v>
      </c>
      <c r="AF997">
        <v>11.774707265355101</v>
      </c>
      <c r="AG997">
        <v>-0.75590679999999999</v>
      </c>
      <c r="AH997">
        <v>149.52356706824199</v>
      </c>
      <c r="AI997">
        <v>90.288758732628395</v>
      </c>
      <c r="AJ997">
        <v>85.497354258473607</v>
      </c>
      <c r="AK997">
        <v>149.98837366638099</v>
      </c>
      <c r="AL997">
        <v>80.189156198233604</v>
      </c>
      <c r="AM997">
        <v>90.647382505197598</v>
      </c>
      <c r="AN997">
        <v>1.00000003251837</v>
      </c>
    </row>
    <row r="998" spans="1:40" x14ac:dyDescent="0.25">
      <c r="A998" t="str">
        <f>"20190303161858982"</f>
        <v>20190303161858982</v>
      </c>
      <c r="B998" t="str">
        <f>"1551601138973983"</f>
        <v>1551601138973983</v>
      </c>
      <c r="C998" t="s">
        <v>40</v>
      </c>
      <c r="D998">
        <v>4.5566680000000002</v>
      </c>
      <c r="E998">
        <v>0.53391369999999905</v>
      </c>
      <c r="F998" t="s">
        <v>43</v>
      </c>
      <c r="G998">
        <v>-158.19499999999999</v>
      </c>
      <c r="H998">
        <v>0.2097511</v>
      </c>
      <c r="I998">
        <v>356.36</v>
      </c>
      <c r="J998">
        <v>-307.6026</v>
      </c>
      <c r="K998">
        <v>1.071402</v>
      </c>
      <c r="L998">
        <v>367.18610000000001</v>
      </c>
      <c r="M998">
        <v>0.99991209999999997</v>
      </c>
      <c r="N998">
        <v>-1.23307E-2</v>
      </c>
      <c r="O998">
        <v>4.8756019999999997E-3</v>
      </c>
      <c r="P998">
        <v>0.98726579999999997</v>
      </c>
      <c r="Q998">
        <v>0.1582539</v>
      </c>
      <c r="R998">
        <v>1.6183400000000001E-2</v>
      </c>
      <c r="S998">
        <v>3.0450439999999999</v>
      </c>
      <c r="T998">
        <v>-1.7539260000000001E-2</v>
      </c>
      <c r="U998">
        <v>-0.22036739999999999</v>
      </c>
      <c r="V998">
        <v>-1.136272E-2</v>
      </c>
      <c r="W998">
        <v>0.1704167</v>
      </c>
      <c r="X998">
        <v>0.98530660000000003</v>
      </c>
      <c r="Y998">
        <v>7.7038739999999994E-2</v>
      </c>
      <c r="Z998">
        <v>-6.6520479999999905E-4</v>
      </c>
      <c r="AA998">
        <v>0.99702789999999997</v>
      </c>
      <c r="AB998">
        <v>30</v>
      </c>
      <c r="AC998">
        <v>149.4076</v>
      </c>
      <c r="AD998">
        <v>-0.8616509</v>
      </c>
      <c r="AE998">
        <v>-10.826099999999901</v>
      </c>
      <c r="AF998">
        <v>11.5540963952471</v>
      </c>
      <c r="AG998">
        <v>-0.8616509</v>
      </c>
      <c r="AH998">
        <v>149.34809481410201</v>
      </c>
      <c r="AI998">
        <v>90.329574592647006</v>
      </c>
      <c r="AJ998">
        <v>85.576207615036495</v>
      </c>
      <c r="AK998">
        <v>149.796839120144</v>
      </c>
      <c r="AL998">
        <v>80.187952541569601</v>
      </c>
      <c r="AM998">
        <v>90.660715194114601</v>
      </c>
      <c r="AN998">
        <v>1.00000002952412</v>
      </c>
    </row>
    <row r="999" spans="1:40" x14ac:dyDescent="0.25">
      <c r="A999" t="str">
        <f>"20190303161858995"</f>
        <v>20190303161858995</v>
      </c>
      <c r="B999" t="str">
        <f>"1551601138983275"</f>
        <v>1551601138983275</v>
      </c>
      <c r="C999" t="s">
        <v>40</v>
      </c>
      <c r="D999">
        <v>4.608943</v>
      </c>
      <c r="E999">
        <v>0.53369309999999903</v>
      </c>
      <c r="F999" t="s">
        <v>43</v>
      </c>
      <c r="G999">
        <v>-158.19499999999999</v>
      </c>
      <c r="H999">
        <v>0.19661899999999999</v>
      </c>
      <c r="I999">
        <v>356.50709999999998</v>
      </c>
      <c r="J999">
        <v>-307.42759999999998</v>
      </c>
      <c r="K999">
        <v>1.0713820000000001</v>
      </c>
      <c r="L999">
        <v>367.18689999999998</v>
      </c>
      <c r="M999">
        <v>0.99991240000000003</v>
      </c>
      <c r="N999">
        <v>-1.230589E-2</v>
      </c>
      <c r="O999">
        <v>4.8755769999999999E-3</v>
      </c>
      <c r="P999">
        <v>0.98725739999999995</v>
      </c>
      <c r="Q999">
        <v>0.15828299999999901</v>
      </c>
      <c r="R999">
        <v>1.641275E-2</v>
      </c>
      <c r="S999">
        <v>3.0451350000000001</v>
      </c>
      <c r="T999">
        <v>-1.7827510000000001E-2</v>
      </c>
      <c r="U999">
        <v>-0.21765139999999999</v>
      </c>
      <c r="V999">
        <v>-1.159199E-2</v>
      </c>
      <c r="W999">
        <v>0.1704215</v>
      </c>
      <c r="X999">
        <v>0.98530309999999999</v>
      </c>
      <c r="Y999">
        <v>7.6151780000000002E-2</v>
      </c>
      <c r="Z999">
        <v>-6.6039720000000003E-4</v>
      </c>
      <c r="AA999">
        <v>0.99709599999999998</v>
      </c>
      <c r="AB999">
        <v>30</v>
      </c>
      <c r="AC999">
        <v>149.23259999999999</v>
      </c>
      <c r="AD999">
        <v>-0.87476299999999996</v>
      </c>
      <c r="AE999">
        <v>-10.6798</v>
      </c>
      <c r="AF999">
        <v>11.406933223662399</v>
      </c>
      <c r="AG999">
        <v>-0.87476299999999996</v>
      </c>
      <c r="AH999">
        <v>149.173652375649</v>
      </c>
      <c r="AI999">
        <v>90.335003962200801</v>
      </c>
      <c r="AJ999">
        <v>85.627245797906099</v>
      </c>
      <c r="AK999">
        <v>149.61170374996101</v>
      </c>
      <c r="AL999">
        <v>80.187673447533697</v>
      </c>
      <c r="AM999">
        <v>90.674047876630596</v>
      </c>
      <c r="AN999">
        <v>1.000000030382</v>
      </c>
    </row>
    <row r="1000" spans="1:40" x14ac:dyDescent="0.25">
      <c r="A1000" t="str">
        <f>"20190303161859009"</f>
        <v>20190303161859009</v>
      </c>
      <c r="B1000" t="str">
        <f>"1551601139003771"</f>
        <v>1551601139003771</v>
      </c>
      <c r="C1000" t="s">
        <v>40</v>
      </c>
      <c r="D1000">
        <v>4.5782360000000004</v>
      </c>
      <c r="E1000">
        <v>0.5332114</v>
      </c>
      <c r="F1000" t="s">
        <v>43</v>
      </c>
      <c r="G1000">
        <v>-158.19499999999999</v>
      </c>
      <c r="H1000">
        <v>0.14537239999999901</v>
      </c>
      <c r="I1000">
        <v>356.6259</v>
      </c>
      <c r="J1000">
        <v>-307.24270000000001</v>
      </c>
      <c r="K1000">
        <v>1.0713649999999999</v>
      </c>
      <c r="L1000">
        <v>367.18779999999998</v>
      </c>
      <c r="M1000">
        <v>0.99991269999999999</v>
      </c>
      <c r="N1000">
        <v>-1.22812999999999E-2</v>
      </c>
      <c r="O1000">
        <v>4.8755509999999997E-3</v>
      </c>
      <c r="P1000">
        <v>0.9872649</v>
      </c>
      <c r="Q1000">
        <v>0.15820960000000001</v>
      </c>
      <c r="R1000">
        <v>1.6672159999999998E-2</v>
      </c>
      <c r="S1000">
        <v>3.0453489999999999</v>
      </c>
      <c r="T1000">
        <v>-1.889503E-2</v>
      </c>
      <c r="U1000">
        <v>-0.21551509999999999</v>
      </c>
      <c r="V1000">
        <v>-1.1851540000000001E-2</v>
      </c>
      <c r="W1000">
        <v>0.17032369999999999</v>
      </c>
      <c r="X1000">
        <v>0.98531690000000005</v>
      </c>
      <c r="Y1000">
        <v>7.5450569999999995E-2</v>
      </c>
      <c r="Z1000">
        <v>-6.6810899999999996E-4</v>
      </c>
      <c r="AA1000">
        <v>0.99714930000000002</v>
      </c>
      <c r="AB1000">
        <v>30</v>
      </c>
      <c r="AC1000">
        <v>149.04769999999999</v>
      </c>
      <c r="AD1000">
        <v>-0.92599260000000005</v>
      </c>
      <c r="AE1000">
        <v>-10.5618999999999</v>
      </c>
      <c r="AF1000">
        <v>11.2880853957501</v>
      </c>
      <c r="AG1000">
        <v>-0.92599260000000005</v>
      </c>
      <c r="AH1000">
        <v>148.98870732104299</v>
      </c>
      <c r="AI1000">
        <v>90.355081717685806</v>
      </c>
      <c r="AJ1000">
        <v>85.667279896474</v>
      </c>
      <c r="AK1000">
        <v>149.41858399607599</v>
      </c>
      <c r="AL1000">
        <v>80.193359889732506</v>
      </c>
      <c r="AM1000">
        <v>90.689129028838593</v>
      </c>
      <c r="AN1000">
        <v>1.00000000760383</v>
      </c>
    </row>
    <row r="1001" spans="1:40" x14ac:dyDescent="0.25">
      <c r="A1001" t="str">
        <f>"20190303161859024"</f>
        <v>20190303161859024</v>
      </c>
      <c r="B1001" t="str">
        <f>"1551601139013530"</f>
        <v>1551601139013530</v>
      </c>
      <c r="C1001" t="s">
        <v>40</v>
      </c>
      <c r="D1001">
        <v>4.5855499999999996</v>
      </c>
      <c r="E1001">
        <v>0.5330338</v>
      </c>
      <c r="F1001" t="s">
        <v>43</v>
      </c>
      <c r="G1001">
        <v>-158.19499999999999</v>
      </c>
      <c r="H1001">
        <v>7.9157829999999998E-2</v>
      </c>
      <c r="I1001">
        <v>356.87189999999998</v>
      </c>
      <c r="J1001">
        <v>-307.04390000000001</v>
      </c>
      <c r="K1001">
        <v>1.071345</v>
      </c>
      <c r="L1001">
        <v>367.18880000000001</v>
      </c>
      <c r="M1001">
        <v>0.99991300000000005</v>
      </c>
      <c r="N1001">
        <v>-1.2257189999999999E-2</v>
      </c>
      <c r="O1001">
        <v>4.8757000000000002E-3</v>
      </c>
      <c r="P1001">
        <v>0.98729089999999997</v>
      </c>
      <c r="Q1001">
        <v>0.15803599999999901</v>
      </c>
      <c r="R1001">
        <v>1.6779949999999998E-2</v>
      </c>
      <c r="S1001">
        <v>3.0455019999999999</v>
      </c>
      <c r="T1001">
        <v>-2.0272020000000002E-2</v>
      </c>
      <c r="U1001">
        <v>-0.2107849</v>
      </c>
      <c r="V1001">
        <v>-1.195907E-2</v>
      </c>
      <c r="W1001">
        <v>0.170126799999999</v>
      </c>
      <c r="X1001">
        <v>0.98534960000000005</v>
      </c>
      <c r="Y1001">
        <v>7.3905589999999993E-2</v>
      </c>
      <c r="Z1001">
        <v>-6.7191020000000002E-4</v>
      </c>
      <c r="AA1001">
        <v>0.99726499999999996</v>
      </c>
      <c r="AB1001">
        <v>30</v>
      </c>
      <c r="AC1001">
        <v>148.84889999999999</v>
      </c>
      <c r="AD1001">
        <v>-0.99218717000000001</v>
      </c>
      <c r="AE1001">
        <v>-10.3169</v>
      </c>
      <c r="AF1001">
        <v>11.0420861738653</v>
      </c>
      <c r="AG1001">
        <v>-0.99218717000000001</v>
      </c>
      <c r="AH1001">
        <v>148.79024514253101</v>
      </c>
      <c r="AI1001">
        <v>90.381015570748602</v>
      </c>
      <c r="AJ1001">
        <v>85.755721129982007</v>
      </c>
      <c r="AK1001">
        <v>149.202711610834</v>
      </c>
      <c r="AL1001">
        <v>80.204808353411806</v>
      </c>
      <c r="AM1001">
        <v>90.695357867365104</v>
      </c>
      <c r="AN1001">
        <v>0.999999990826832</v>
      </c>
    </row>
    <row r="1002" spans="1:40" x14ac:dyDescent="0.25">
      <c r="A1002" t="str">
        <f>"20190303161859037"</f>
        <v>20190303161859037</v>
      </c>
      <c r="B1002" t="str">
        <f>"1551601139024267"</f>
        <v>1551601139024267</v>
      </c>
      <c r="C1002" t="s">
        <v>40</v>
      </c>
      <c r="D1002">
        <v>4.6319369999999997</v>
      </c>
      <c r="E1002">
        <v>0.53283549999999902</v>
      </c>
      <c r="F1002" t="s">
        <v>43</v>
      </c>
      <c r="G1002">
        <v>-158.19499999999999</v>
      </c>
      <c r="H1002">
        <v>5.4254530000000002E-2</v>
      </c>
      <c r="I1002">
        <v>356.96420000000001</v>
      </c>
      <c r="J1002">
        <v>-306.86160000000001</v>
      </c>
      <c r="K1002">
        <v>1.071337</v>
      </c>
      <c r="L1002">
        <v>367.18959999999998</v>
      </c>
      <c r="M1002">
        <v>0.9999133</v>
      </c>
      <c r="N1002">
        <v>-1.223748E-2</v>
      </c>
      <c r="O1002">
        <v>4.8756429999999998E-3</v>
      </c>
      <c r="P1002">
        <v>0.9873092</v>
      </c>
      <c r="Q1002">
        <v>0.15790960000000001</v>
      </c>
      <c r="R1002">
        <v>1.6897280000000001E-2</v>
      </c>
      <c r="S1002">
        <v>3.0455019999999999</v>
      </c>
      <c r="T1002">
        <v>-2.0808219999999999E-2</v>
      </c>
      <c r="U1002">
        <v>-0.209198</v>
      </c>
      <c r="V1002">
        <v>-1.2076369999999999E-2</v>
      </c>
      <c r="W1002">
        <v>0.16998160000000001</v>
      </c>
      <c r="X1002">
        <v>0.98537330000000001</v>
      </c>
      <c r="Y1002">
        <v>7.3388220000000004E-2</v>
      </c>
      <c r="Z1002">
        <v>-6.7369399999999996E-4</v>
      </c>
      <c r="AA1002">
        <v>0.99730319999999995</v>
      </c>
      <c r="AB1002">
        <v>30</v>
      </c>
      <c r="AC1002">
        <v>148.66659999999999</v>
      </c>
      <c r="AD1002">
        <v>-1.0170824700000001</v>
      </c>
      <c r="AE1002">
        <v>-10.225399999999899</v>
      </c>
      <c r="AF1002">
        <v>10.9496678639323</v>
      </c>
      <c r="AG1002">
        <v>-1.0170824700000001</v>
      </c>
      <c r="AH1002">
        <v>148.60805080965801</v>
      </c>
      <c r="AI1002">
        <v>90.391069568957207</v>
      </c>
      <c r="AJ1002">
        <v>85.785974495395095</v>
      </c>
      <c r="AK1002">
        <v>149.01436993970501</v>
      </c>
      <c r="AL1002">
        <v>80.213251365862504</v>
      </c>
      <c r="AM1002">
        <v>90.702160687199196</v>
      </c>
      <c r="AN1002">
        <v>1.00000006170191</v>
      </c>
    </row>
    <row r="1003" spans="1:40" x14ac:dyDescent="0.25">
      <c r="A1003" t="str">
        <f>"20190303161859049"</f>
        <v>20190303161859049</v>
      </c>
      <c r="B1003" t="str">
        <f>"1551601139043786"</f>
        <v>1551601139043786</v>
      </c>
      <c r="C1003" t="s">
        <v>40</v>
      </c>
      <c r="D1003">
        <v>4.7435210000000003</v>
      </c>
      <c r="E1003">
        <v>0.53265010000000002</v>
      </c>
      <c r="F1003" t="s">
        <v>44</v>
      </c>
      <c r="G1003">
        <v>-149.4933</v>
      </c>
      <c r="H1003">
        <v>-0.05</v>
      </c>
      <c r="I1003">
        <v>356.49189999999999</v>
      </c>
      <c r="J1003">
        <v>-306.70420000000001</v>
      </c>
      <c r="K1003">
        <v>1.0713239999999999</v>
      </c>
      <c r="L1003">
        <v>367.19040000000001</v>
      </c>
      <c r="M1003">
        <v>0.99991359999999996</v>
      </c>
      <c r="N1003">
        <v>-1.222137E-2</v>
      </c>
      <c r="O1003">
        <v>4.8757419999999997E-3</v>
      </c>
      <c r="P1003">
        <v>0.98732529999999996</v>
      </c>
      <c r="Q1003">
        <v>0.15779989999999999</v>
      </c>
      <c r="R1003">
        <v>1.6971429999999999E-2</v>
      </c>
      <c r="S1003">
        <v>3.0455320000000001</v>
      </c>
      <c r="T1003">
        <v>-2.1701100000000001E-2</v>
      </c>
      <c r="U1003">
        <v>-0.2070313</v>
      </c>
      <c r="V1003">
        <v>-1.214994E-2</v>
      </c>
      <c r="W1003">
        <v>0.16985610000000001</v>
      </c>
      <c r="X1003">
        <v>0.98539390000000004</v>
      </c>
      <c r="Y1003">
        <v>7.2681170000000003E-2</v>
      </c>
      <c r="Z1003">
        <v>-6.7850349999999996E-4</v>
      </c>
      <c r="AA1003">
        <v>0.99735499999999999</v>
      </c>
      <c r="AB1003">
        <v>30</v>
      </c>
      <c r="AC1003">
        <v>157.21090000000001</v>
      </c>
      <c r="AD1003">
        <v>-1.121324</v>
      </c>
      <c r="AE1003">
        <v>-10.698499999999999</v>
      </c>
      <c r="AF1003">
        <v>11.464369169807499</v>
      </c>
      <c r="AG1003">
        <v>-1.121324</v>
      </c>
      <c r="AH1003">
        <v>157.14890606229901</v>
      </c>
      <c r="AI1003">
        <v>90.407739190054201</v>
      </c>
      <c r="AJ1003">
        <v>85.827534440877898</v>
      </c>
      <c r="AK1003">
        <v>157.57051692671399</v>
      </c>
      <c r="AL1003">
        <v>80.220546763624696</v>
      </c>
      <c r="AM1003">
        <v>90.706423094914697</v>
      </c>
      <c r="AN1003">
        <v>0.99999992695320905</v>
      </c>
    </row>
    <row r="1004" spans="1:40" x14ac:dyDescent="0.25">
      <c r="A1004" t="str">
        <f>"20190303161859061"</f>
        <v>20190303161859061</v>
      </c>
      <c r="B1004" t="str">
        <f>"1551601139053546"</f>
        <v>1551601139053546</v>
      </c>
      <c r="C1004" t="s">
        <v>40</v>
      </c>
      <c r="D1004">
        <v>4.8163070000000001</v>
      </c>
      <c r="E1004">
        <v>0.50343269999999996</v>
      </c>
      <c r="F1004" t="s">
        <v>44</v>
      </c>
      <c r="G1004">
        <v>-157.57339999999999</v>
      </c>
      <c r="H1004">
        <v>-0.05</v>
      </c>
      <c r="I1004">
        <v>357.12639999999999</v>
      </c>
      <c r="J1004">
        <v>-306.53919999999999</v>
      </c>
      <c r="K1004">
        <v>1.071313</v>
      </c>
      <c r="L1004">
        <v>367.19119999999998</v>
      </c>
      <c r="M1004">
        <v>0.99991370000000002</v>
      </c>
      <c r="N1004">
        <v>-1.220572E-2</v>
      </c>
      <c r="O1004">
        <v>4.8760169999999999E-3</v>
      </c>
      <c r="P1004">
        <v>0.9873518</v>
      </c>
      <c r="Q1004">
        <v>0.1576273</v>
      </c>
      <c r="R1004">
        <v>1.704145E-2</v>
      </c>
      <c r="S1004">
        <v>3.0456850000000002</v>
      </c>
      <c r="T1004">
        <v>-2.29007E-2</v>
      </c>
      <c r="U1004">
        <v>-0.20553589999999999</v>
      </c>
      <c r="V1004">
        <v>-1.222035E-2</v>
      </c>
      <c r="W1004">
        <v>0.16966819999999999</v>
      </c>
      <c r="X1004">
        <v>0.98542549999999995</v>
      </c>
      <c r="Y1004">
        <v>7.2190279999999996E-2</v>
      </c>
      <c r="Z1004">
        <v>-6.8936409999999996E-4</v>
      </c>
      <c r="AA1004">
        <v>0.99739060000000002</v>
      </c>
      <c r="AB1004">
        <v>30</v>
      </c>
      <c r="AC1004">
        <v>148.9658</v>
      </c>
      <c r="AD1004">
        <v>-1.121313</v>
      </c>
      <c r="AE1004">
        <v>-10.0647999999999</v>
      </c>
      <c r="AF1004">
        <v>10.790485543811601</v>
      </c>
      <c r="AG1004">
        <v>-1.121313</v>
      </c>
      <c r="AH1004">
        <v>148.906550283923</v>
      </c>
      <c r="AI1004">
        <v>90.430318712714893</v>
      </c>
      <c r="AJ1004">
        <v>85.855316618813703</v>
      </c>
      <c r="AK1004">
        <v>149.30121445779901</v>
      </c>
      <c r="AL1004">
        <v>80.231472181608794</v>
      </c>
      <c r="AM1004">
        <v>90.7104936800405</v>
      </c>
      <c r="AN1004">
        <v>1.0000000255478001</v>
      </c>
    </row>
    <row r="1005" spans="1:40" x14ac:dyDescent="0.25">
      <c r="A1005" t="str">
        <f>"20190303161859074"</f>
        <v>20190303161859074</v>
      </c>
      <c r="B1005" t="str">
        <f>"1551601139064284"</f>
        <v>1551601139064284</v>
      </c>
      <c r="C1005" t="s">
        <v>40</v>
      </c>
      <c r="D1005">
        <v>4.7231170000000002</v>
      </c>
      <c r="E1005">
        <v>0.49390519999999999</v>
      </c>
      <c r="F1005" t="s">
        <v>46</v>
      </c>
      <c r="G1005">
        <v>-209.41569999999999</v>
      </c>
      <c r="H1005" s="1">
        <v>-5.3281519999999996E-6</v>
      </c>
      <c r="I1005">
        <v>368.08819999999997</v>
      </c>
      <c r="J1005">
        <v>-306.39030000000002</v>
      </c>
      <c r="K1005">
        <v>1.0713079999999999</v>
      </c>
      <c r="L1005">
        <v>367.19189999999998</v>
      </c>
      <c r="M1005">
        <v>0.99991379999999996</v>
      </c>
      <c r="N1005">
        <v>-1.219284E-2</v>
      </c>
      <c r="O1005">
        <v>4.8759169999999996E-3</v>
      </c>
      <c r="P1005">
        <v>0.98736279999999998</v>
      </c>
      <c r="Q1005">
        <v>0.15756870000000001</v>
      </c>
      <c r="R1005">
        <v>1.6938930000000001E-2</v>
      </c>
      <c r="S1005">
        <v>3.043304</v>
      </c>
      <c r="T1005">
        <v>-3.3569099999999998E-2</v>
      </c>
      <c r="U1005">
        <v>2.810669E-2</v>
      </c>
      <c r="V1005">
        <v>-1.2117589999999999E-2</v>
      </c>
      <c r="W1005">
        <v>0.1695972</v>
      </c>
      <c r="X1005">
        <v>0.98543890000000001</v>
      </c>
      <c r="Y1005">
        <v>-4.358453E-3</v>
      </c>
      <c r="Z1005" s="1">
        <v>5.6283319999999897E-5</v>
      </c>
      <c r="AA1005">
        <v>0.9999905</v>
      </c>
      <c r="AB1005">
        <v>30</v>
      </c>
      <c r="AC1005">
        <v>96.974599999999995</v>
      </c>
      <c r="AD1005">
        <v>-1.071313328152</v>
      </c>
      <c r="AE1005">
        <v>0.89629999999999599</v>
      </c>
      <c r="AF1005">
        <v>-0.42336243837809601</v>
      </c>
      <c r="AG1005">
        <v>-1.071313328152</v>
      </c>
      <c r="AH1005">
        <v>96.965984544643902</v>
      </c>
      <c r="AI1005">
        <v>90.632991560902497</v>
      </c>
      <c r="AJ1005">
        <v>90.250157072139501</v>
      </c>
      <c r="AK1005">
        <v>96.972826640834896</v>
      </c>
      <c r="AL1005">
        <v>80.235599121331802</v>
      </c>
      <c r="AM1005">
        <v>90.704510218009602</v>
      </c>
      <c r="AN1005">
        <v>0.99999993593422698</v>
      </c>
    </row>
    <row r="1006" spans="1:40" x14ac:dyDescent="0.25">
      <c r="A1006" t="str">
        <f>"20190303161859089"</f>
        <v>20190303161859089</v>
      </c>
      <c r="B1006" t="str">
        <f>"1551601139084310"</f>
        <v>1551601139084310</v>
      </c>
      <c r="C1006" t="s">
        <v>40</v>
      </c>
      <c r="D1006">
        <v>4.776116</v>
      </c>
      <c r="E1006">
        <v>0.47887459999999998</v>
      </c>
      <c r="F1006" t="s">
        <v>46</v>
      </c>
      <c r="G1006">
        <v>-207.56270000000001</v>
      </c>
      <c r="H1006" s="1">
        <v>-5.8845049999999997E-6</v>
      </c>
      <c r="I1006">
        <v>370.55500000000001</v>
      </c>
      <c r="J1006">
        <v>-306.18049999999999</v>
      </c>
      <c r="K1006">
        <v>1.0712980000000001</v>
      </c>
      <c r="L1006">
        <v>367.19290000000001</v>
      </c>
      <c r="M1006">
        <v>0.99991410000000003</v>
      </c>
      <c r="N1006">
        <v>-1.217585E-2</v>
      </c>
      <c r="O1006">
        <v>4.8762010000000001E-3</v>
      </c>
      <c r="P1006">
        <v>0.98744699999999996</v>
      </c>
      <c r="Q1006">
        <v>0.1570484</v>
      </c>
      <c r="R1006">
        <v>1.6853980000000001E-2</v>
      </c>
      <c r="S1006">
        <v>3.0418699999999999</v>
      </c>
      <c r="T1006">
        <v>-3.29746E-2</v>
      </c>
      <c r="U1006">
        <v>0.1035156</v>
      </c>
      <c r="V1006">
        <v>-1.203132E-2</v>
      </c>
      <c r="W1006">
        <v>0.1690615</v>
      </c>
      <c r="X1006">
        <v>0.98553199999999996</v>
      </c>
      <c r="Y1006">
        <v>-2.91328E-2</v>
      </c>
      <c r="Z1006">
        <v>3.4179769999999999E-4</v>
      </c>
      <c r="AA1006">
        <v>0.99957549999999995</v>
      </c>
      <c r="AB1006">
        <v>30</v>
      </c>
      <c r="AC1006">
        <v>98.617800000000003</v>
      </c>
      <c r="AD1006">
        <v>-1.07130388450499</v>
      </c>
      <c r="AE1006">
        <v>3.3620999999999901</v>
      </c>
      <c r="AF1006">
        <v>-2.88080464931457</v>
      </c>
      <c r="AG1006">
        <v>-1.07130388450499</v>
      </c>
      <c r="AH1006">
        <v>98.621398183024596</v>
      </c>
      <c r="AI1006">
        <v>90.622102410489404</v>
      </c>
      <c r="AJ1006">
        <v>91.673176702643204</v>
      </c>
      <c r="AK1006">
        <v>98.669280462640202</v>
      </c>
      <c r="AL1006">
        <v>80.266742167165106</v>
      </c>
      <c r="AM1006">
        <v>90.699428953935296</v>
      </c>
      <c r="AN1006">
        <v>0.99999993323359304</v>
      </c>
    </row>
    <row r="1007" spans="1:40" x14ac:dyDescent="0.25">
      <c r="A1007" t="str">
        <f>"20190303161859100"</f>
        <v>20190303161859100</v>
      </c>
      <c r="B1007" t="str">
        <f>"1551601139094069"</f>
        <v>1551601139094069</v>
      </c>
      <c r="C1007" t="s">
        <v>40</v>
      </c>
      <c r="D1007">
        <v>4.8182210000000003</v>
      </c>
      <c r="E1007">
        <v>0.47428049999999999</v>
      </c>
      <c r="F1007" t="s">
        <v>41</v>
      </c>
      <c r="G1007">
        <v>-227.82239999999999</v>
      </c>
      <c r="H1007" s="1">
        <v>-1.800747E-6</v>
      </c>
      <c r="I1007">
        <v>372.93959999999998</v>
      </c>
      <c r="J1007">
        <v>-306.02620000000002</v>
      </c>
      <c r="K1007">
        <v>1.071288</v>
      </c>
      <c r="L1007">
        <v>367.19369999999998</v>
      </c>
      <c r="M1007">
        <v>0.99991410000000003</v>
      </c>
      <c r="N1007">
        <v>-1.216454E-2</v>
      </c>
      <c r="O1007">
        <v>4.8762700000000003E-3</v>
      </c>
      <c r="P1007">
        <v>0.9874716</v>
      </c>
      <c r="Q1007">
        <v>0.15690789999999999</v>
      </c>
      <c r="R1007">
        <v>1.6723999999999999E-2</v>
      </c>
      <c r="S1007">
        <v>3.0409549999999999</v>
      </c>
      <c r="T1007">
        <v>-4.1575429999999997E-2</v>
      </c>
      <c r="U1007">
        <v>0.22302250000000001</v>
      </c>
      <c r="V1007">
        <v>-1.1901460000000001E-2</v>
      </c>
      <c r="W1007">
        <v>0.1689097</v>
      </c>
      <c r="X1007">
        <v>0.98555970000000004</v>
      </c>
      <c r="Y1007">
        <v>-6.8266729999999998E-2</v>
      </c>
      <c r="Z1007">
        <v>8.7451460000000005E-4</v>
      </c>
      <c r="AA1007">
        <v>0.99766670000000002</v>
      </c>
      <c r="AB1007">
        <v>30</v>
      </c>
      <c r="AC1007">
        <v>78.203800000000001</v>
      </c>
      <c r="AD1007">
        <v>-1.071289800747</v>
      </c>
      <c r="AE1007">
        <v>5.7458999999999998</v>
      </c>
      <c r="AF1007">
        <v>-5.3634595358938002</v>
      </c>
      <c r="AG1007">
        <v>-1.071289800747</v>
      </c>
      <c r="AH1007">
        <v>78.216291920827402</v>
      </c>
      <c r="AI1007">
        <v>90.782864659069702</v>
      </c>
      <c r="AJ1007">
        <v>93.922754202376495</v>
      </c>
      <c r="AK1007">
        <v>78.407287173287898</v>
      </c>
      <c r="AL1007">
        <v>80.2755674946943</v>
      </c>
      <c r="AM1007">
        <v>90.691860964439002</v>
      </c>
      <c r="AN1007">
        <v>1.00000002688415</v>
      </c>
    </row>
    <row r="1008" spans="1:40" x14ac:dyDescent="0.25">
      <c r="A1008" t="str">
        <f>"20190303161859111"</f>
        <v>20190303161859111</v>
      </c>
      <c r="B1008" t="str">
        <f>"1551601139103828"</f>
        <v>1551601139103828</v>
      </c>
      <c r="C1008" t="s">
        <v>40</v>
      </c>
      <c r="D1008">
        <v>4.7418199999999997</v>
      </c>
      <c r="E1008">
        <v>0.47130230000000001</v>
      </c>
      <c r="F1008" t="s">
        <v>41</v>
      </c>
      <c r="G1008">
        <v>-244.73179999999999</v>
      </c>
      <c r="H1008" s="1">
        <v>-3.2179609999999999E-6</v>
      </c>
      <c r="I1008">
        <v>372.42439999999999</v>
      </c>
      <c r="J1008">
        <v>-305.87920000000003</v>
      </c>
      <c r="K1008">
        <v>1.0712820000000001</v>
      </c>
      <c r="L1008">
        <v>367.19439999999997</v>
      </c>
      <c r="M1008">
        <v>0.99991419999999998</v>
      </c>
      <c r="N1008">
        <v>-1.215449E-2</v>
      </c>
      <c r="O1008">
        <v>4.8763319999999997E-3</v>
      </c>
      <c r="P1008">
        <v>0.98746820000000002</v>
      </c>
      <c r="Q1008">
        <v>0.15694240000000001</v>
      </c>
      <c r="R1008">
        <v>1.6600239999999999E-2</v>
      </c>
      <c r="S1008">
        <v>3.0421450000000001</v>
      </c>
      <c r="T1008">
        <v>-5.3169969999999997E-2</v>
      </c>
      <c r="U1008">
        <v>0.25961299999999998</v>
      </c>
      <c r="V1008">
        <v>-1.177781E-2</v>
      </c>
      <c r="W1008">
        <v>0.1689341</v>
      </c>
      <c r="X1008">
        <v>0.98555700000000002</v>
      </c>
      <c r="Y1008">
        <v>-8.0149109999999996E-2</v>
      </c>
      <c r="Z1008">
        <v>1.1612459999999999E-3</v>
      </c>
      <c r="AA1008">
        <v>0.99678219999999995</v>
      </c>
      <c r="AB1008">
        <v>30</v>
      </c>
      <c r="AC1008">
        <v>61.147399999999998</v>
      </c>
      <c r="AD1008">
        <v>-1.071285217961</v>
      </c>
      <c r="AE1008">
        <v>5.2300000000000102</v>
      </c>
      <c r="AF1008">
        <v>-4.9302384465322699</v>
      </c>
      <c r="AG1008">
        <v>-1.071285217961</v>
      </c>
      <c r="AH1008">
        <v>61.153543807908299</v>
      </c>
      <c r="AI1008">
        <v>91.000357334079396</v>
      </c>
      <c r="AJ1008">
        <v>94.609253992374207</v>
      </c>
      <c r="AK1008">
        <v>61.361313736128899</v>
      </c>
      <c r="AL1008">
        <v>80.274149062256299</v>
      </c>
      <c r="AM1008">
        <v>90.684675451058496</v>
      </c>
      <c r="AN1008">
        <v>1.0000000236001001</v>
      </c>
    </row>
    <row r="1009" spans="1:40" x14ac:dyDescent="0.25">
      <c r="A1009" t="str">
        <f>"20190303161859124"</f>
        <v>20190303161859124</v>
      </c>
      <c r="B1009" t="str">
        <f>"1551601139113588"</f>
        <v>1551601139113588</v>
      </c>
      <c r="C1009" t="s">
        <v>40</v>
      </c>
      <c r="D1009">
        <v>4.7299300000000004</v>
      </c>
      <c r="E1009">
        <v>0.46940749999999998</v>
      </c>
      <c r="F1009" t="s">
        <v>41</v>
      </c>
      <c r="G1009">
        <v>-249.94309999999999</v>
      </c>
      <c r="H1009" s="1">
        <v>-7.4740059999999999E-7</v>
      </c>
      <c r="I1009">
        <v>372.39760000000001</v>
      </c>
      <c r="J1009">
        <v>-305.70510000000002</v>
      </c>
      <c r="K1009">
        <v>1.0712759999999999</v>
      </c>
      <c r="L1009">
        <v>367.1952</v>
      </c>
      <c r="M1009">
        <v>0.99991450000000004</v>
      </c>
      <c r="N1009">
        <v>-1.214314E-2</v>
      </c>
      <c r="O1009">
        <v>4.8764020000000002E-3</v>
      </c>
      <c r="P1009">
        <v>0.98748259999999999</v>
      </c>
      <c r="Q1009">
        <v>0.15684619999999999</v>
      </c>
      <c r="R1009">
        <v>1.6660270000000001E-2</v>
      </c>
      <c r="S1009">
        <v>3.0425719999999998</v>
      </c>
      <c r="T1009">
        <v>-5.8271049999999998E-2</v>
      </c>
      <c r="U1009">
        <v>0.28301999999999999</v>
      </c>
      <c r="V1009">
        <v>-1.183771E-2</v>
      </c>
      <c r="W1009">
        <v>0.16882749999999999</v>
      </c>
      <c r="X1009">
        <v>0.98557450000000002</v>
      </c>
      <c r="Y1009">
        <v>-8.7737229999999999E-2</v>
      </c>
      <c r="Z1009">
        <v>1.338145E-3</v>
      </c>
      <c r="AA1009">
        <v>0.99614270000000005</v>
      </c>
      <c r="AB1009">
        <v>30</v>
      </c>
      <c r="AC1009">
        <v>55.762</v>
      </c>
      <c r="AD1009">
        <v>-1.0712767474006</v>
      </c>
      <c r="AE1009">
        <v>5.2024000000000097</v>
      </c>
      <c r="AF1009">
        <v>-4.9285968149967401</v>
      </c>
      <c r="AG1009">
        <v>-1.0712767474006</v>
      </c>
      <c r="AH1009">
        <v>55.766302859350098</v>
      </c>
      <c r="AI1009">
        <v>91.096250805322498</v>
      </c>
      <c r="AJ1009">
        <v>95.050648353516493</v>
      </c>
      <c r="AK1009">
        <v>55.993921411480699</v>
      </c>
      <c r="AL1009">
        <v>80.2803453279991</v>
      </c>
      <c r="AM1009">
        <v>90.688145045665493</v>
      </c>
      <c r="AN1009">
        <v>0.99999997559227105</v>
      </c>
    </row>
    <row r="1010" spans="1:40" x14ac:dyDescent="0.25">
      <c r="A1010" t="str">
        <f>"20190303161859136"</f>
        <v>20190303161859136</v>
      </c>
      <c r="B1010" t="str">
        <f>"1551601139124326"</f>
        <v>1551601139124326</v>
      </c>
      <c r="C1010" t="s">
        <v>40</v>
      </c>
      <c r="D1010">
        <v>4.7547930000000003</v>
      </c>
      <c r="E1010">
        <v>0.46773999999999999</v>
      </c>
      <c r="F1010" t="s">
        <v>41</v>
      </c>
      <c r="G1010">
        <v>-252.63550000000001</v>
      </c>
      <c r="H1010" s="1">
        <v>-3.8722349999999999E-6</v>
      </c>
      <c r="I1010">
        <v>372.39609999999999</v>
      </c>
      <c r="J1010">
        <v>-305.5609</v>
      </c>
      <c r="K1010">
        <v>1.071275</v>
      </c>
      <c r="L1010">
        <v>367.19589999999999</v>
      </c>
      <c r="M1010">
        <v>0.99991450000000004</v>
      </c>
      <c r="N1010">
        <v>-1.2134829999999999E-2</v>
      </c>
      <c r="O1010">
        <v>4.8764519999999999E-3</v>
      </c>
      <c r="P1010">
        <v>0.98745059999999996</v>
      </c>
      <c r="Q1010">
        <v>0.15707570000000001</v>
      </c>
      <c r="R1010">
        <v>1.6395469999999999E-2</v>
      </c>
      <c r="S1010">
        <v>3.042694</v>
      </c>
      <c r="T1010">
        <v>-6.1420679999999998E-2</v>
      </c>
      <c r="U1010">
        <v>0.29818729999999999</v>
      </c>
      <c r="V1010">
        <v>-1.1573150000000001E-2</v>
      </c>
      <c r="W1010">
        <v>0.16904829999999901</v>
      </c>
      <c r="X1010">
        <v>0.98553979999999997</v>
      </c>
      <c r="Y1010">
        <v>-9.2649209999999996E-2</v>
      </c>
      <c r="Z1010">
        <v>1.4572400000000001E-3</v>
      </c>
      <c r="AA1010">
        <v>0.99569770000000002</v>
      </c>
      <c r="AB1010">
        <v>30</v>
      </c>
      <c r="AC1010">
        <v>52.925400000000003</v>
      </c>
      <c r="AD1010">
        <v>-1.071278872235</v>
      </c>
      <c r="AE1010">
        <v>5.2001999999999899</v>
      </c>
      <c r="AF1010">
        <v>-4.9400263626273899</v>
      </c>
      <c r="AG1010">
        <v>-1.071278872235</v>
      </c>
      <c r="AH1010">
        <v>52.928652960816002</v>
      </c>
      <c r="AI1010">
        <v>91.154495202460296</v>
      </c>
      <c r="AJ1010">
        <v>95.332179006599603</v>
      </c>
      <c r="AK1010">
        <v>53.169481877596397</v>
      </c>
      <c r="AL1010">
        <v>80.267509990160804</v>
      </c>
      <c r="AM1010">
        <v>90.672790864150599</v>
      </c>
      <c r="AN1010">
        <v>0.99999998145892599</v>
      </c>
    </row>
    <row r="1011" spans="1:40" x14ac:dyDescent="0.25">
      <c r="A1011" t="str">
        <f>"20190303161859148"</f>
        <v>20190303161859148</v>
      </c>
      <c r="B1011" t="str">
        <f>"1551601139143844"</f>
        <v>1551601139143844</v>
      </c>
      <c r="C1011" t="s">
        <v>40</v>
      </c>
      <c r="D1011">
        <v>4.7451660000000002</v>
      </c>
      <c r="E1011">
        <v>0.46539130000000001</v>
      </c>
      <c r="F1011" t="s">
        <v>41</v>
      </c>
      <c r="G1011">
        <v>-255.9879</v>
      </c>
      <c r="H1011" s="1">
        <v>-2.4056520000000001E-6</v>
      </c>
      <c r="I1011">
        <v>372.25529999999998</v>
      </c>
      <c r="J1011">
        <v>-305.3963</v>
      </c>
      <c r="K1011">
        <v>1.0712699999999999</v>
      </c>
      <c r="L1011">
        <v>367.19670000000002</v>
      </c>
      <c r="M1011">
        <v>0.99991459999999999</v>
      </c>
      <c r="N1011">
        <v>-1.212564E-2</v>
      </c>
      <c r="O1011">
        <v>4.8763299999999999E-3</v>
      </c>
      <c r="P1011">
        <v>0.98745539999999998</v>
      </c>
      <c r="Q1011">
        <v>0.1570772</v>
      </c>
      <c r="R1011">
        <v>1.6087509999999999E-2</v>
      </c>
      <c r="S1011">
        <v>3.0433650000000001</v>
      </c>
      <c r="T1011">
        <v>-6.5767409999999998E-2</v>
      </c>
      <c r="U1011">
        <v>0.31060789999999999</v>
      </c>
      <c r="V1011">
        <v>-1.126489E-2</v>
      </c>
      <c r="W1011">
        <v>0.16904029999999901</v>
      </c>
      <c r="X1011">
        <v>0.98554470000000005</v>
      </c>
      <c r="Y1011">
        <v>-9.6645780000000001E-2</v>
      </c>
      <c r="Z1011">
        <v>1.58292E-3</v>
      </c>
      <c r="AA1011">
        <v>0.99531760000000002</v>
      </c>
      <c r="AB1011">
        <v>30</v>
      </c>
      <c r="AC1011">
        <v>49.4084</v>
      </c>
      <c r="AD1011">
        <v>-1.071272405652</v>
      </c>
      <c r="AE1011">
        <v>5.0585999999999496</v>
      </c>
      <c r="AF1011">
        <v>-4.81535021759455</v>
      </c>
      <c r="AG1011">
        <v>-1.071272405652</v>
      </c>
      <c r="AH1011">
        <v>49.409494820423802</v>
      </c>
      <c r="AI1011">
        <v>91.236209265722096</v>
      </c>
      <c r="AJ1011">
        <v>95.566352928727895</v>
      </c>
      <c r="AK1011">
        <v>49.655144755550602</v>
      </c>
      <c r="AL1011">
        <v>80.267974624571593</v>
      </c>
      <c r="AM1011">
        <v>90.654868873938597</v>
      </c>
      <c r="AN1011">
        <v>0.999999938234444</v>
      </c>
    </row>
    <row r="1012" spans="1:40" x14ac:dyDescent="0.25">
      <c r="A1012" t="str">
        <f>"20190303161859159"</f>
        <v>20190303161859159</v>
      </c>
      <c r="B1012" t="str">
        <f>"1551601139153604"</f>
        <v>1551601139153604</v>
      </c>
      <c r="C1012" t="s">
        <v>40</v>
      </c>
      <c r="D1012">
        <v>4.7403690000000003</v>
      </c>
      <c r="E1012">
        <v>0.46462399999999998</v>
      </c>
      <c r="F1012" t="s">
        <v>41</v>
      </c>
      <c r="G1012">
        <v>-258.91570000000002</v>
      </c>
      <c r="H1012" s="1">
        <v>-1.1378459999999999E-6</v>
      </c>
      <c r="I1012">
        <v>372.21089999999998</v>
      </c>
      <c r="J1012">
        <v>-305.24459999999999</v>
      </c>
      <c r="K1012">
        <v>1.0712660000000001</v>
      </c>
      <c r="L1012">
        <v>367.19740000000002</v>
      </c>
      <c r="M1012">
        <v>0.99991479999999999</v>
      </c>
      <c r="N1012">
        <v>-1.2117950000000001E-2</v>
      </c>
      <c r="O1012">
        <v>4.8763770000000003E-3</v>
      </c>
      <c r="P1012">
        <v>0.98745539999999998</v>
      </c>
      <c r="Q1012">
        <v>0.1570588</v>
      </c>
      <c r="R1012">
        <v>1.6268600000000001E-2</v>
      </c>
      <c r="S1012">
        <v>3.0439150000000001</v>
      </c>
      <c r="T1012">
        <v>-7.0155140000000005E-2</v>
      </c>
      <c r="U1012">
        <v>0.32836910000000002</v>
      </c>
      <c r="V1012">
        <v>-1.1446329999999999E-2</v>
      </c>
      <c r="W1012">
        <v>0.16901450000000001</v>
      </c>
      <c r="X1012">
        <v>0.98554710000000001</v>
      </c>
      <c r="Y1012">
        <v>-0.1023642</v>
      </c>
      <c r="Z1012">
        <v>1.7451070000000001E-3</v>
      </c>
      <c r="AA1012">
        <v>0.9947454</v>
      </c>
      <c r="AB1012">
        <v>30</v>
      </c>
      <c r="AC1012">
        <v>46.328899999999898</v>
      </c>
      <c r="AD1012">
        <v>-1.0712671378459999</v>
      </c>
      <c r="AE1012">
        <v>5.0134999999999597</v>
      </c>
      <c r="AF1012">
        <v>-4.7849778329192301</v>
      </c>
      <c r="AG1012">
        <v>-1.0712671378459999</v>
      </c>
      <c r="AH1012">
        <v>46.328314627840697</v>
      </c>
      <c r="AI1012">
        <v>91.317629081377603</v>
      </c>
      <c r="AJ1012">
        <v>95.896833424458407</v>
      </c>
      <c r="AK1012">
        <v>46.587083643412903</v>
      </c>
      <c r="AL1012">
        <v>80.269475072363704</v>
      </c>
      <c r="AM1012">
        <v>90.665414077414397</v>
      </c>
      <c r="AN1012">
        <v>1.0000000029995599</v>
      </c>
    </row>
    <row r="1013" spans="1:40" x14ac:dyDescent="0.25">
      <c r="A1013" t="str">
        <f>"20190303161859170"</f>
        <v>20190303161859170</v>
      </c>
      <c r="B1013" t="str">
        <f>"1551601139164341"</f>
        <v>1551601139164341</v>
      </c>
      <c r="C1013" t="s">
        <v>40</v>
      </c>
      <c r="D1013">
        <v>4.7178940000000003</v>
      </c>
      <c r="E1013">
        <v>0.46392539999999999</v>
      </c>
      <c r="F1013" t="s">
        <v>41</v>
      </c>
      <c r="G1013">
        <v>-259.85910000000001</v>
      </c>
      <c r="H1013" s="1">
        <v>-7.2896109999999995E-7</v>
      </c>
      <c r="I1013">
        <v>372.1952</v>
      </c>
      <c r="J1013">
        <v>-305.10770000000002</v>
      </c>
      <c r="K1013">
        <v>1.0712619999999999</v>
      </c>
      <c r="L1013">
        <v>367.19810000000001</v>
      </c>
      <c r="M1013">
        <v>0.99991479999999999</v>
      </c>
      <c r="N1013">
        <v>-1.21114E-2</v>
      </c>
      <c r="O1013">
        <v>4.8765960000000004E-3</v>
      </c>
      <c r="P1013">
        <v>0.98745609999999995</v>
      </c>
      <c r="Q1013">
        <v>0.157059</v>
      </c>
      <c r="R1013">
        <v>1.622204E-2</v>
      </c>
      <c r="S1013">
        <v>3.0440369999999999</v>
      </c>
      <c r="T1013">
        <v>-7.1850419999999998E-2</v>
      </c>
      <c r="U1013">
        <v>0.33520509999999998</v>
      </c>
      <c r="V1013">
        <v>-1.1399350000000001E-2</v>
      </c>
      <c r="W1013">
        <v>0.169008399999999</v>
      </c>
      <c r="X1013">
        <v>0.98554870000000006</v>
      </c>
      <c r="Y1013">
        <v>-0.10456459999999999</v>
      </c>
      <c r="Z1013">
        <v>1.8095940000000001E-3</v>
      </c>
      <c r="AA1013">
        <v>0.99451639999999997</v>
      </c>
      <c r="AB1013">
        <v>30</v>
      </c>
      <c r="AC1013">
        <v>45.248600000000003</v>
      </c>
      <c r="AD1013">
        <v>-1.0712627289611001</v>
      </c>
      <c r="AE1013">
        <v>4.9970999999999801</v>
      </c>
      <c r="AF1013">
        <v>-4.7737217851475098</v>
      </c>
      <c r="AG1013">
        <v>-1.0712627289611001</v>
      </c>
      <c r="AH1013">
        <v>45.247376587859002</v>
      </c>
      <c r="AI1013">
        <v>91.348780611740494</v>
      </c>
      <c r="AJ1013">
        <v>96.022581699392504</v>
      </c>
      <c r="AK1013">
        <v>45.511109760145203</v>
      </c>
      <c r="AL1013">
        <v>80.269829768937498</v>
      </c>
      <c r="AM1013">
        <v>90.662682138610094</v>
      </c>
      <c r="AN1013">
        <v>1.00000001226133</v>
      </c>
    </row>
    <row r="1014" spans="1:40" x14ac:dyDescent="0.25">
      <c r="A1014" t="str">
        <f>"20190303161859183"</f>
        <v>20190303161859183</v>
      </c>
      <c r="B1014" t="str">
        <f>"1551601139174100"</f>
        <v>1551601139174100</v>
      </c>
      <c r="C1014" t="s">
        <v>40</v>
      </c>
      <c r="D1014">
        <v>4.772634</v>
      </c>
      <c r="E1014">
        <v>0.46341719999999997</v>
      </c>
      <c r="F1014" t="s">
        <v>41</v>
      </c>
      <c r="G1014">
        <v>-258.79199999999997</v>
      </c>
      <c r="H1014" s="1">
        <v>-1.2364229999999999E-6</v>
      </c>
      <c r="I1014">
        <v>372.38200000000001</v>
      </c>
      <c r="J1014">
        <v>-304.92630000000003</v>
      </c>
      <c r="K1014">
        <v>1.0712569999999999</v>
      </c>
      <c r="L1014">
        <v>367.19889999999998</v>
      </c>
      <c r="M1014">
        <v>0.99991479999999999</v>
      </c>
      <c r="N1014">
        <v>-1.2103300000000001E-2</v>
      </c>
      <c r="O1014">
        <v>4.8768240000000001E-3</v>
      </c>
      <c r="P1014">
        <v>0.98745130000000003</v>
      </c>
      <c r="Q1014">
        <v>0.15706679999999901</v>
      </c>
      <c r="R1014">
        <v>1.6428370000000001E-2</v>
      </c>
      <c r="S1014">
        <v>3.043701</v>
      </c>
      <c r="T1014">
        <v>-7.0399399999999904E-2</v>
      </c>
      <c r="U1014">
        <v>0.34066770000000002</v>
      </c>
      <c r="V1014">
        <v>-1.160519E-2</v>
      </c>
      <c r="W1014">
        <v>0.169008399999999</v>
      </c>
      <c r="X1014">
        <v>0.98554629999999999</v>
      </c>
      <c r="Y1014">
        <v>-0.10634</v>
      </c>
      <c r="Z1014">
        <v>1.8179170000000001E-3</v>
      </c>
      <c r="AA1014">
        <v>0.99432810000000005</v>
      </c>
      <c r="AB1014">
        <v>30</v>
      </c>
      <c r="AC1014">
        <v>46.134300000000003</v>
      </c>
      <c r="AD1014">
        <v>-1.0712582364230001</v>
      </c>
      <c r="AE1014">
        <v>5.1830999999999596</v>
      </c>
      <c r="AF1014">
        <v>-4.9553944123632796</v>
      </c>
      <c r="AG1014">
        <v>-1.0712582364230001</v>
      </c>
      <c r="AH1014">
        <v>46.134465118486602</v>
      </c>
      <c r="AI1014">
        <v>91.3225838387376</v>
      </c>
      <c r="AJ1014">
        <v>96.130747939382502</v>
      </c>
      <c r="AK1014">
        <v>46.412200979484197</v>
      </c>
      <c r="AL1014">
        <v>80.269829791664804</v>
      </c>
      <c r="AM1014">
        <v>90.674648849136801</v>
      </c>
      <c r="AN1014">
        <v>1.00000001457459</v>
      </c>
    </row>
    <row r="1015" spans="1:40" x14ac:dyDescent="0.25">
      <c r="A1015" t="str">
        <f>"20190303161859197"</f>
        <v>20190303161859197</v>
      </c>
      <c r="B1015" t="str">
        <f>"1551601139184367"</f>
        <v>1551601139184367</v>
      </c>
      <c r="C1015" t="s">
        <v>40</v>
      </c>
      <c r="D1015">
        <v>4.749835</v>
      </c>
      <c r="E1015">
        <v>0.46294150000000001</v>
      </c>
      <c r="F1015" t="s">
        <v>41</v>
      </c>
      <c r="G1015">
        <v>-260.03089999999997</v>
      </c>
      <c r="H1015" s="1">
        <v>-4.7403439999999997E-6</v>
      </c>
      <c r="I1015">
        <v>372.29320000000001</v>
      </c>
      <c r="J1015">
        <v>-304.74650000000003</v>
      </c>
      <c r="K1015">
        <v>1.0712539999999999</v>
      </c>
      <c r="L1015">
        <v>367.19990000000001</v>
      </c>
      <c r="M1015">
        <v>0.99991490000000005</v>
      </c>
      <c r="N1015">
        <v>-1.209614E-2</v>
      </c>
      <c r="O1015">
        <v>4.876689E-3</v>
      </c>
      <c r="P1015">
        <v>0.9874868</v>
      </c>
      <c r="Q1015">
        <v>0.15686710000000001</v>
      </c>
      <c r="R1015">
        <v>1.6198899999999999E-2</v>
      </c>
      <c r="S1015">
        <v>3.0439150000000001</v>
      </c>
      <c r="T1015">
        <v>-7.2631719999999997E-2</v>
      </c>
      <c r="U1015">
        <v>0.34539789999999998</v>
      </c>
      <c r="V1015">
        <v>-1.137579E-2</v>
      </c>
      <c r="W1015">
        <v>0.16880209999999901</v>
      </c>
      <c r="X1015">
        <v>0.98558429999999997</v>
      </c>
      <c r="Y1015">
        <v>-0.1078553</v>
      </c>
      <c r="Z1015">
        <v>1.879887E-3</v>
      </c>
      <c r="AA1015">
        <v>0.99416479999999996</v>
      </c>
      <c r="AB1015">
        <v>30</v>
      </c>
      <c r="AC1015">
        <v>44.715600000000002</v>
      </c>
      <c r="AD1015">
        <v>-1.0712587403439999</v>
      </c>
      <c r="AE1015">
        <v>5.0932999999999904</v>
      </c>
      <c r="AF1015">
        <v>-4.8723987125953698</v>
      </c>
      <c r="AG1015">
        <v>-1.0712587403439999</v>
      </c>
      <c r="AH1015">
        <v>44.714573436950403</v>
      </c>
      <c r="AI1015">
        <v>91.364340152972602</v>
      </c>
      <c r="AJ1015">
        <v>96.218795002685198</v>
      </c>
      <c r="AK1015">
        <v>44.992009758975001</v>
      </c>
      <c r="AL1015">
        <v>80.281821924092796</v>
      </c>
      <c r="AM1015">
        <v>90.661288754236693</v>
      </c>
      <c r="AN1015">
        <v>0.99999998498451104</v>
      </c>
    </row>
    <row r="1016" spans="1:40" x14ac:dyDescent="0.25">
      <c r="A1016" t="str">
        <f>"20190303161859213"</f>
        <v>20190303161859213</v>
      </c>
      <c r="B1016" t="str">
        <f>"1551601139203887"</f>
        <v>1551601139203887</v>
      </c>
      <c r="C1016" t="s">
        <v>40</v>
      </c>
      <c r="D1016">
        <v>4.8132060000000001</v>
      </c>
      <c r="E1016">
        <v>0.46227449999999998</v>
      </c>
      <c r="F1016" t="s">
        <v>41</v>
      </c>
      <c r="G1016">
        <v>-260.80919999999998</v>
      </c>
      <c r="H1016" s="1">
        <v>-4.464202E-6</v>
      </c>
      <c r="I1016">
        <v>372.2296</v>
      </c>
      <c r="J1016">
        <v>-304.53789999999998</v>
      </c>
      <c r="K1016">
        <v>1.0712429999999999</v>
      </c>
      <c r="L1016">
        <v>367.20080000000002</v>
      </c>
      <c r="M1016">
        <v>0.99991509999999995</v>
      </c>
      <c r="N1016">
        <v>-1.2088420000000001E-2</v>
      </c>
      <c r="O1016">
        <v>4.8769140000000004E-3</v>
      </c>
      <c r="P1016">
        <v>0.98743409999999998</v>
      </c>
      <c r="Q1016">
        <v>0.1571524</v>
      </c>
      <c r="R1016">
        <v>1.665001E-2</v>
      </c>
      <c r="S1016">
        <v>3.0441280000000002</v>
      </c>
      <c r="T1016">
        <v>-7.4220540000000002E-2</v>
      </c>
      <c r="U1016">
        <v>0.34848020000000002</v>
      </c>
      <c r="V1016">
        <v>-1.182733E-2</v>
      </c>
      <c r="W1016">
        <v>0.1690789</v>
      </c>
      <c r="X1016">
        <v>0.98553159999999895</v>
      </c>
      <c r="Y1016">
        <v>-0.1088389</v>
      </c>
      <c r="Z1016">
        <v>1.9227420000000001E-3</v>
      </c>
      <c r="AA1016">
        <v>0.99405750000000004</v>
      </c>
      <c r="AB1016">
        <v>30</v>
      </c>
      <c r="AC1016">
        <v>43.728700000000003</v>
      </c>
      <c r="AD1016">
        <v>-1.071247464202</v>
      </c>
      <c r="AE1016">
        <v>5.0287999999999897</v>
      </c>
      <c r="AF1016">
        <v>-4.8126130046374298</v>
      </c>
      <c r="AG1016">
        <v>-1.071247464202</v>
      </c>
      <c r="AH1016">
        <v>43.726807389095598</v>
      </c>
      <c r="AI1016">
        <v>91.3949680385265</v>
      </c>
      <c r="AJ1016">
        <v>96.2807476552682</v>
      </c>
      <c r="AK1016">
        <v>44.003891867709001</v>
      </c>
      <c r="AL1016">
        <v>80.265731780812303</v>
      </c>
      <c r="AM1016">
        <v>90.687571623270699</v>
      </c>
      <c r="AN1016">
        <v>1.00000004737934</v>
      </c>
    </row>
    <row r="1017" spans="1:40" x14ac:dyDescent="0.25">
      <c r="A1017" t="str">
        <f>"20190303161859225"</f>
        <v>20190303161859225</v>
      </c>
      <c r="B1017" t="str">
        <f>"1551601139213647"</f>
        <v>1551601139213647</v>
      </c>
      <c r="C1017" t="s">
        <v>40</v>
      </c>
      <c r="D1017">
        <v>4.8168129999999998</v>
      </c>
      <c r="E1017">
        <v>0.46183580000000002</v>
      </c>
      <c r="F1017" t="s">
        <v>41</v>
      </c>
      <c r="G1017">
        <v>-259.839</v>
      </c>
      <c r="H1017" s="1">
        <v>-7.9511519999999904E-7</v>
      </c>
      <c r="I1017">
        <v>372.41140000000001</v>
      </c>
      <c r="J1017">
        <v>-304.37419999999997</v>
      </c>
      <c r="K1017">
        <v>1.071237</v>
      </c>
      <c r="L1017">
        <v>367.20159999999998</v>
      </c>
      <c r="M1017">
        <v>0.9999152</v>
      </c>
      <c r="N1017">
        <v>-1.208275E-2</v>
      </c>
      <c r="O1017">
        <v>4.8767709999999898E-3</v>
      </c>
      <c r="P1017">
        <v>0.98746900000000004</v>
      </c>
      <c r="Q1017">
        <v>0.15692020000000001</v>
      </c>
      <c r="R1017">
        <v>1.6770899999999998E-2</v>
      </c>
      <c r="S1017">
        <v>3.0438540000000001</v>
      </c>
      <c r="T1017">
        <v>-7.2948219999999994E-2</v>
      </c>
      <c r="U1017">
        <v>0.35482789999999997</v>
      </c>
      <c r="V1017">
        <v>-1.194813E-2</v>
      </c>
      <c r="W1017">
        <v>0.16884150000000001</v>
      </c>
      <c r="X1017">
        <v>0.98557079999999997</v>
      </c>
      <c r="Y1017">
        <v>-0.11089499999999999</v>
      </c>
      <c r="Z1017">
        <v>1.9388280000000001E-3</v>
      </c>
      <c r="AA1017">
        <v>0.9938302</v>
      </c>
      <c r="AB1017">
        <v>30</v>
      </c>
      <c r="AC1017">
        <v>44.535199999999897</v>
      </c>
      <c r="AD1017">
        <v>-1.0712377951151999</v>
      </c>
      <c r="AE1017">
        <v>5.2098000000000297</v>
      </c>
      <c r="AF1017">
        <v>-4.98968626155634</v>
      </c>
      <c r="AG1017">
        <v>-1.0712377951151999</v>
      </c>
      <c r="AH1017">
        <v>44.534660083308097</v>
      </c>
      <c r="AI1017">
        <v>91.369363592818601</v>
      </c>
      <c r="AJ1017">
        <v>96.392787898056696</v>
      </c>
      <c r="AK1017">
        <v>44.826113685420502</v>
      </c>
      <c r="AL1017">
        <v>80.279531801344504</v>
      </c>
      <c r="AM1017">
        <v>90.694565918478901</v>
      </c>
      <c r="AN1017">
        <v>1.0000000058726899</v>
      </c>
    </row>
    <row r="1018" spans="1:40" x14ac:dyDescent="0.25">
      <c r="A1018" t="str">
        <f>"20190303161859237"</f>
        <v>20190303161859237</v>
      </c>
      <c r="B1018" t="str">
        <f>"1551601139224383"</f>
        <v>1551601139224383</v>
      </c>
      <c r="C1018" t="s">
        <v>40</v>
      </c>
      <c r="D1018">
        <v>4.7571789999999998</v>
      </c>
      <c r="E1018">
        <v>0.46144800000000002</v>
      </c>
      <c r="F1018" t="s">
        <v>41</v>
      </c>
      <c r="G1018">
        <v>-261.3954</v>
      </c>
      <c r="H1018" s="1">
        <v>-4.271137E-6</v>
      </c>
      <c r="I1018">
        <v>372.26560000000001</v>
      </c>
      <c r="J1018">
        <v>-304.21679999999998</v>
      </c>
      <c r="K1018">
        <v>1.0712349999999999</v>
      </c>
      <c r="L1018">
        <v>367.20240000000001</v>
      </c>
      <c r="M1018">
        <v>0.99991529999999995</v>
      </c>
      <c r="N1018">
        <v>-1.2077920000000001E-2</v>
      </c>
      <c r="O1018">
        <v>4.8767999999999997E-3</v>
      </c>
      <c r="P1018">
        <v>0.98748990000000003</v>
      </c>
      <c r="Q1018">
        <v>0.15675729999999999</v>
      </c>
      <c r="R1018">
        <v>1.7063120000000001E-2</v>
      </c>
      <c r="S1018">
        <v>3.0440670000000001</v>
      </c>
      <c r="T1018">
        <v>-7.5872899999999993E-2</v>
      </c>
      <c r="U1018">
        <v>0.35867310000000002</v>
      </c>
      <c r="V1018">
        <v>-1.2240320000000001E-2</v>
      </c>
      <c r="W1018">
        <v>0.16867370000000001</v>
      </c>
      <c r="X1018">
        <v>0.98559589999999997</v>
      </c>
      <c r="Y1018">
        <v>-0.1121216</v>
      </c>
      <c r="Z1018">
        <v>2.009481E-3</v>
      </c>
      <c r="AA1018">
        <v>0.99369249999999998</v>
      </c>
      <c r="AB1018">
        <v>30</v>
      </c>
      <c r="AC1018">
        <v>42.821399999999898</v>
      </c>
      <c r="AD1018">
        <v>-1.071239271137</v>
      </c>
      <c r="AE1018">
        <v>5.0631999999999904</v>
      </c>
      <c r="AF1018">
        <v>-4.8512989805453399</v>
      </c>
      <c r="AG1018">
        <v>-1.071239271137</v>
      </c>
      <c r="AH1018">
        <v>42.819157001171902</v>
      </c>
      <c r="AI1018">
        <v>91.424006401046896</v>
      </c>
      <c r="AJ1018">
        <v>96.463899136570603</v>
      </c>
      <c r="AK1018">
        <v>43.106413231277699</v>
      </c>
      <c r="AL1018">
        <v>80.289285484068003</v>
      </c>
      <c r="AM1018">
        <v>90.711531595112106</v>
      </c>
      <c r="AN1018">
        <v>0.99999996030110005</v>
      </c>
    </row>
    <row r="1019" spans="1:40" x14ac:dyDescent="0.25">
      <c r="A1019" t="str">
        <f>"20190303161859247"</f>
        <v>20190303161859247</v>
      </c>
      <c r="B1019" t="str">
        <f>"1551601139234143"</f>
        <v>1551601139234143</v>
      </c>
      <c r="C1019" t="s">
        <v>40</v>
      </c>
      <c r="D1019">
        <v>4.7909959999999998</v>
      </c>
      <c r="E1019">
        <v>0.46117019999999997</v>
      </c>
      <c r="F1019" t="s">
        <v>41</v>
      </c>
      <c r="G1019">
        <v>-262.09210000000002</v>
      </c>
      <c r="H1019" s="1">
        <v>-4.0263029999999998E-6</v>
      </c>
      <c r="I1019">
        <v>372.22199999999998</v>
      </c>
      <c r="J1019">
        <v>-304.08150000000001</v>
      </c>
      <c r="K1019">
        <v>1.071232</v>
      </c>
      <c r="L1019">
        <v>367.20299999999997</v>
      </c>
      <c r="M1019">
        <v>0.99991529999999995</v>
      </c>
      <c r="N1019">
        <v>-1.207388E-2</v>
      </c>
      <c r="O1019">
        <v>4.8770030000000004E-3</v>
      </c>
      <c r="P1019">
        <v>0.98751990000000001</v>
      </c>
      <c r="Q1019">
        <v>0.15653729999999999</v>
      </c>
      <c r="R1019">
        <v>1.7335670000000001E-2</v>
      </c>
      <c r="S1019">
        <v>3.0440369999999999</v>
      </c>
      <c r="T1019">
        <v>-7.7410339999999994E-2</v>
      </c>
      <c r="U1019">
        <v>0.3627319</v>
      </c>
      <c r="V1019">
        <v>-1.251245E-2</v>
      </c>
      <c r="W1019">
        <v>0.16845089999999999</v>
      </c>
      <c r="X1019">
        <v>0.98563060000000002</v>
      </c>
      <c r="Y1019">
        <v>-0.11342670000000001</v>
      </c>
      <c r="Z1019">
        <v>2.059389E-3</v>
      </c>
      <c r="AA1019">
        <v>0.99354419999999999</v>
      </c>
      <c r="AB1019">
        <v>30</v>
      </c>
      <c r="AC1019">
        <v>41.989399999999897</v>
      </c>
      <c r="AD1019">
        <v>-1.0712360263030001</v>
      </c>
      <c r="AE1019">
        <v>5.0189999999999397</v>
      </c>
      <c r="AF1019">
        <v>-4.8110557221838501</v>
      </c>
      <c r="AG1019">
        <v>-1.0712360263030001</v>
      </c>
      <c r="AH1019">
        <v>41.986437455357901</v>
      </c>
      <c r="AI1019">
        <v>91.4520220536876</v>
      </c>
      <c r="AJ1019">
        <v>96.536781494106407</v>
      </c>
      <c r="AK1019">
        <v>42.2747529144605</v>
      </c>
      <c r="AL1019">
        <v>80.302236425581199</v>
      </c>
      <c r="AM1019">
        <v>90.727323266684394</v>
      </c>
      <c r="AN1019">
        <v>0.99999997338608504</v>
      </c>
    </row>
    <row r="1020" spans="1:40" x14ac:dyDescent="0.25">
      <c r="A1020" t="str">
        <f>"20190303161859259"</f>
        <v>20190303161859259</v>
      </c>
      <c r="B1020" t="str">
        <f>"1551601139253663"</f>
        <v>1551601139253663</v>
      </c>
      <c r="C1020" t="s">
        <v>40</v>
      </c>
      <c r="D1020">
        <v>4.933262</v>
      </c>
      <c r="E1020">
        <v>0.46124660000000001</v>
      </c>
      <c r="F1020" t="s">
        <v>41</v>
      </c>
      <c r="G1020">
        <v>-262.76990000000001</v>
      </c>
      <c r="H1020" s="1">
        <v>-3.7628600000000002E-6</v>
      </c>
      <c r="I1020">
        <v>372.16770000000002</v>
      </c>
      <c r="J1020">
        <v>-303.91500000000002</v>
      </c>
      <c r="K1020">
        <v>1.0712299999999999</v>
      </c>
      <c r="L1020">
        <v>367.20389999999998</v>
      </c>
      <c r="M1020">
        <v>0.99991540000000001</v>
      </c>
      <c r="N1020">
        <v>-1.2069399999999999E-2</v>
      </c>
      <c r="O1020">
        <v>4.8770300000000001E-3</v>
      </c>
      <c r="P1020">
        <v>0.98756670000000002</v>
      </c>
      <c r="Q1020">
        <v>0.15623619999999999</v>
      </c>
      <c r="R1020">
        <v>1.7391650000000002E-2</v>
      </c>
      <c r="S1020">
        <v>3.0439759999999998</v>
      </c>
      <c r="T1020">
        <v>-7.8932050000000004E-2</v>
      </c>
      <c r="U1020">
        <v>0.36581419999999998</v>
      </c>
      <c r="V1020">
        <v>-1.25681E-2</v>
      </c>
      <c r="W1020">
        <v>0.16814589999999999</v>
      </c>
      <c r="X1020">
        <v>0.98568199999999995</v>
      </c>
      <c r="Y1020">
        <v>-0.1144186</v>
      </c>
      <c r="Z1020">
        <v>2.1037310000000002E-3</v>
      </c>
      <c r="AA1020">
        <v>0.99343040000000005</v>
      </c>
      <c r="AB1020">
        <v>30</v>
      </c>
      <c r="AC1020">
        <v>41.145099999999999</v>
      </c>
      <c r="AD1020">
        <v>-1.0712337628599999</v>
      </c>
      <c r="AE1020">
        <v>4.96380000000004</v>
      </c>
      <c r="AF1020">
        <v>-4.7598802908645004</v>
      </c>
      <c r="AG1020">
        <v>-1.0712337628599999</v>
      </c>
      <c r="AH1020">
        <v>41.141333456390498</v>
      </c>
      <c r="AI1020">
        <v>91.481645652323905</v>
      </c>
      <c r="AJ1020">
        <v>96.599540443526095</v>
      </c>
      <c r="AK1020">
        <v>41.429618882243702</v>
      </c>
      <c r="AL1020">
        <v>80.319964799782298</v>
      </c>
      <c r="AM1020">
        <v>90.730519646164794</v>
      </c>
      <c r="AN1020">
        <v>1.00000000297421</v>
      </c>
    </row>
    <row r="1021" spans="1:40" x14ac:dyDescent="0.25">
      <c r="A1021" t="str">
        <f>"20190303161859271"</f>
        <v>20190303161859271</v>
      </c>
      <c r="B1021" t="str">
        <f>"1551601139263423"</f>
        <v>1551601139263423</v>
      </c>
      <c r="C1021" t="s">
        <v>40</v>
      </c>
      <c r="D1021">
        <v>5.0307190000000004</v>
      </c>
      <c r="E1021">
        <v>0.46124660000000001</v>
      </c>
      <c r="F1021" t="s">
        <v>41</v>
      </c>
      <c r="G1021">
        <v>-263.40620000000001</v>
      </c>
      <c r="H1021" s="1">
        <v>-3.463226E-6</v>
      </c>
      <c r="I1021">
        <v>372.06740000000002</v>
      </c>
      <c r="J1021">
        <v>-303.77080000000001</v>
      </c>
      <c r="K1021">
        <v>1.071231</v>
      </c>
      <c r="L1021">
        <v>367.20460000000003</v>
      </c>
      <c r="M1021">
        <v>0.99991529999999995</v>
      </c>
      <c r="N1021">
        <v>-1.206576E-2</v>
      </c>
      <c r="O1021">
        <v>4.8770530000000001E-3</v>
      </c>
      <c r="P1021">
        <v>0.98758259999999998</v>
      </c>
      <c r="Q1021">
        <v>0.15611639999999999</v>
      </c>
      <c r="R1021">
        <v>1.7558359999999999E-2</v>
      </c>
      <c r="S1021">
        <v>3.044098</v>
      </c>
      <c r="T1021">
        <v>-8.0499290000000001E-2</v>
      </c>
      <c r="U1021">
        <v>0.36547849999999998</v>
      </c>
      <c r="V1021">
        <v>-1.2734290000000001E-2</v>
      </c>
      <c r="W1021">
        <v>0.16802230000000001</v>
      </c>
      <c r="X1021">
        <v>0.98570100000000005</v>
      </c>
      <c r="Y1021">
        <v>-0.11430410000000001</v>
      </c>
      <c r="Z1021">
        <v>2.1280909999999999E-3</v>
      </c>
      <c r="AA1021">
        <v>0.99344350000000003</v>
      </c>
      <c r="AB1021">
        <v>30</v>
      </c>
      <c r="AC1021">
        <v>40.364600000000003</v>
      </c>
      <c r="AD1021">
        <v>-1.071234463226</v>
      </c>
      <c r="AE1021">
        <v>4.8627999999999902</v>
      </c>
      <c r="AF1021">
        <v>-4.6626305446343901</v>
      </c>
      <c r="AG1021">
        <v>-1.071234463226</v>
      </c>
      <c r="AH1021">
        <v>40.359818317931897</v>
      </c>
      <c r="AI1021">
        <v>91.510352762000295</v>
      </c>
      <c r="AJ1021">
        <v>96.589969898720796</v>
      </c>
      <c r="AK1021">
        <v>40.642374457300498</v>
      </c>
      <c r="AL1021">
        <v>80.327149308335805</v>
      </c>
      <c r="AM1021">
        <v>90.7401640909885</v>
      </c>
      <c r="AN1021">
        <v>1.0000000584200399</v>
      </c>
    </row>
    <row r="1022" spans="1:40" x14ac:dyDescent="0.25">
      <c r="A1022" t="str">
        <f>"20190303161859282"</f>
        <v>20190303161859282</v>
      </c>
      <c r="B1022" t="str">
        <f>"1551601139273183"</f>
        <v>1551601139273183</v>
      </c>
      <c r="C1022" t="s">
        <v>40</v>
      </c>
      <c r="D1022">
        <v>4.8707409999999998</v>
      </c>
      <c r="E1022">
        <v>0.49311450000000001</v>
      </c>
      <c r="F1022" t="s">
        <v>41</v>
      </c>
      <c r="G1022">
        <v>-263.3997</v>
      </c>
      <c r="H1022" s="1">
        <v>-3.4636620000000002E-6</v>
      </c>
      <c r="I1022">
        <v>372.05860000000001</v>
      </c>
      <c r="J1022">
        <v>-303.61290000000002</v>
      </c>
      <c r="K1022">
        <v>1.0712280000000001</v>
      </c>
      <c r="L1022">
        <v>367.20530000000002</v>
      </c>
      <c r="M1022">
        <v>0.99991540000000001</v>
      </c>
      <c r="N1022">
        <v>-1.206204E-2</v>
      </c>
      <c r="O1022">
        <v>4.8772540000000001E-3</v>
      </c>
      <c r="P1022">
        <v>0.98758360000000001</v>
      </c>
      <c r="Q1022">
        <v>0.15610579999999999</v>
      </c>
      <c r="R1022">
        <v>1.7597129999999999E-2</v>
      </c>
      <c r="S1022">
        <v>3.0439759999999998</v>
      </c>
      <c r="T1022">
        <v>-8.0770969999999997E-2</v>
      </c>
      <c r="U1022">
        <v>0.36599730000000003</v>
      </c>
      <c r="V1022">
        <v>-1.2773329999999999E-2</v>
      </c>
      <c r="W1022">
        <v>0.1680082</v>
      </c>
      <c r="X1022">
        <v>0.98570279999999999</v>
      </c>
      <c r="Y1022">
        <v>-0.1144751</v>
      </c>
      <c r="Z1022">
        <v>2.1358470000000002E-3</v>
      </c>
      <c r="AA1022">
        <v>0.99342379999999997</v>
      </c>
      <c r="AB1022">
        <v>30</v>
      </c>
      <c r="AC1022">
        <v>40.213200000000001</v>
      </c>
      <c r="AD1022">
        <v>-1.0712314636619999</v>
      </c>
      <c r="AE1022">
        <v>4.8532999999999902</v>
      </c>
      <c r="AF1022">
        <v>-4.6538429420039602</v>
      </c>
      <c r="AG1022">
        <v>-1.0712314636619999</v>
      </c>
      <c r="AH1022">
        <v>40.208270952033203</v>
      </c>
      <c r="AI1022">
        <v>91.516000976700099</v>
      </c>
      <c r="AJ1022">
        <v>96.602231921161405</v>
      </c>
      <c r="AK1022">
        <v>40.490873588127201</v>
      </c>
      <c r="AL1022">
        <v>80.327967883089002</v>
      </c>
      <c r="AM1022">
        <v>90.742431631138103</v>
      </c>
      <c r="AN1022">
        <v>0.99999996157718296</v>
      </c>
    </row>
    <row r="1023" spans="1:40" x14ac:dyDescent="0.25">
      <c r="A1023" t="str">
        <f>"20190303161859295"</f>
        <v>20190303161859295</v>
      </c>
      <c r="B1023" t="str">
        <f>"1551601139283420"</f>
        <v>1551601139283420</v>
      </c>
      <c r="C1023" t="s">
        <v>40</v>
      </c>
      <c r="D1023">
        <v>4.8549309999999997</v>
      </c>
      <c r="E1023">
        <v>0.49311450000000001</v>
      </c>
      <c r="F1023" t="s">
        <v>44</v>
      </c>
      <c r="G1023">
        <v>-288.5693</v>
      </c>
      <c r="H1023">
        <v>-0.05</v>
      </c>
      <c r="I1023">
        <v>367.76089999999999</v>
      </c>
      <c r="J1023">
        <v>-303.4511</v>
      </c>
      <c r="K1023">
        <v>1.0712250000000001</v>
      </c>
      <c r="L1023">
        <v>367.20609999999999</v>
      </c>
      <c r="M1023">
        <v>0.99991540000000001</v>
      </c>
      <c r="N1023">
        <v>-1.2058569999999999E-2</v>
      </c>
      <c r="O1023">
        <v>4.8772750000000004E-3</v>
      </c>
      <c r="P1023">
        <v>0.98758939999999995</v>
      </c>
      <c r="Q1023">
        <v>0.1560743</v>
      </c>
      <c r="R1023">
        <v>1.7551279999999999E-2</v>
      </c>
      <c r="S1023">
        <v>3.07193</v>
      </c>
      <c r="T1023">
        <v>-0.22895660000000001</v>
      </c>
      <c r="U1023">
        <v>0.11346440000000001</v>
      </c>
      <c r="V1023">
        <v>-1.272734E-2</v>
      </c>
      <c r="W1023">
        <v>0.16797339999999999</v>
      </c>
      <c r="X1023">
        <v>0.98570939999999996</v>
      </c>
      <c r="Y1023">
        <v>-3.1942579999999998E-2</v>
      </c>
      <c r="Z1023">
        <v>1.077143E-3</v>
      </c>
      <c r="AA1023">
        <v>0.99948910000000002</v>
      </c>
      <c r="AB1023">
        <v>30</v>
      </c>
      <c r="AC1023">
        <v>14.881799999999901</v>
      </c>
      <c r="AD1023">
        <v>-1.1212249999999999</v>
      </c>
      <c r="AE1023">
        <v>0.55479999999999996</v>
      </c>
      <c r="AF1023">
        <v>-0.479487496188167</v>
      </c>
      <c r="AG1023">
        <v>-1.1212249999999999</v>
      </c>
      <c r="AH1023">
        <v>14.8004321939053</v>
      </c>
      <c r="AI1023">
        <v>94.329974493100707</v>
      </c>
      <c r="AJ1023">
        <v>91.855554229636496</v>
      </c>
      <c r="AK1023">
        <v>14.850584058750499</v>
      </c>
      <c r="AL1023">
        <v>80.329991235454301</v>
      </c>
      <c r="AM1023">
        <v>90.739753872782401</v>
      </c>
      <c r="AN1023">
        <v>1.00000003476969</v>
      </c>
    </row>
    <row r="1024" spans="1:40" x14ac:dyDescent="0.25">
      <c r="A1024" t="str">
        <f>"20190303161859306"</f>
        <v>20190303161859306</v>
      </c>
      <c r="B1024" t="str">
        <f>"1551601139294156"</f>
        <v>1551601139294156</v>
      </c>
      <c r="C1024" t="s">
        <v>40</v>
      </c>
      <c r="D1024">
        <v>4.8029129999999904</v>
      </c>
      <c r="E1024">
        <v>0.52782039999999997</v>
      </c>
      <c r="F1024" t="s">
        <v>44</v>
      </c>
      <c r="G1024">
        <v>-288.41120000000001</v>
      </c>
      <c r="H1024">
        <v>-0.05</v>
      </c>
      <c r="I1024">
        <v>367.76319999999998</v>
      </c>
      <c r="J1024">
        <v>-303.28980000000001</v>
      </c>
      <c r="K1024">
        <v>1.0712269999999999</v>
      </c>
      <c r="L1024">
        <v>367.20690000000002</v>
      </c>
      <c r="M1024">
        <v>0.99991540000000001</v>
      </c>
      <c r="N1024">
        <v>-1.205527E-2</v>
      </c>
      <c r="O1024">
        <v>4.8772950000000002E-3</v>
      </c>
      <c r="P1024">
        <v>0.98762249999999996</v>
      </c>
      <c r="Q1024">
        <v>0.1558754</v>
      </c>
      <c r="R1024">
        <v>1.7456739999999998E-2</v>
      </c>
      <c r="S1024">
        <v>3.0718380000000001</v>
      </c>
      <c r="T1024">
        <v>-0.22900509999999999</v>
      </c>
      <c r="U1024">
        <v>0.1138</v>
      </c>
      <c r="V1024">
        <v>-1.2632839999999999E-2</v>
      </c>
      <c r="W1024">
        <v>0.16777129999999901</v>
      </c>
      <c r="X1024">
        <v>0.98574499999999998</v>
      </c>
      <c r="Y1024">
        <v>-3.205235E-2</v>
      </c>
      <c r="Z1024">
        <v>1.0820179999999999E-3</v>
      </c>
      <c r="AA1024">
        <v>0.99948559999999997</v>
      </c>
      <c r="AB1024">
        <v>30</v>
      </c>
      <c r="AC1024">
        <v>14.8786</v>
      </c>
      <c r="AD1024">
        <v>-1.121227</v>
      </c>
      <c r="AE1024">
        <v>0.55629999999996405</v>
      </c>
      <c r="AF1024">
        <v>-0.48099309403986001</v>
      </c>
      <c r="AG1024">
        <v>-1.121227</v>
      </c>
      <c r="AH1024">
        <v>14.7972220524099</v>
      </c>
      <c r="AI1024">
        <v>94.3309027557858</v>
      </c>
      <c r="AJ1024">
        <v>91.861780132084903</v>
      </c>
      <c r="AK1024">
        <v>14.8474336102361</v>
      </c>
      <c r="AL1024">
        <v>80.341737079532606</v>
      </c>
      <c r="AM1024">
        <v>90.734235318087201</v>
      </c>
      <c r="AN1024">
        <v>1.0000000013875701</v>
      </c>
    </row>
    <row r="1025" spans="1:40" x14ac:dyDescent="0.25">
      <c r="A1025" t="str">
        <f>"20190303161859318"</f>
        <v>20190303161859318</v>
      </c>
      <c r="B1025" t="str">
        <f>"1551601139313675"</f>
        <v>1551601139313675</v>
      </c>
      <c r="C1025" t="s">
        <v>40</v>
      </c>
      <c r="D1025">
        <v>4.8491309999999999</v>
      </c>
      <c r="E1025">
        <v>0.53092980000000001</v>
      </c>
      <c r="F1025" t="s">
        <v>42</v>
      </c>
      <c r="G1025">
        <v>-302.36290000000002</v>
      </c>
      <c r="H1025">
        <v>0.90330540000000004</v>
      </c>
      <c r="I1025">
        <v>367.15929999999997</v>
      </c>
      <c r="J1025">
        <v>-303.13139999999999</v>
      </c>
      <c r="K1025">
        <v>1.0712280000000001</v>
      </c>
      <c r="L1025">
        <v>367.20760000000001</v>
      </c>
      <c r="M1025">
        <v>0.99991560000000002</v>
      </c>
      <c r="N1025">
        <v>-1.205238E-2</v>
      </c>
      <c r="O1025">
        <v>4.8773130000000003E-3</v>
      </c>
      <c r="P1025">
        <v>0.98762640000000002</v>
      </c>
      <c r="Q1025">
        <v>0.15588170000000001</v>
      </c>
      <c r="R1025">
        <v>1.718196E-2</v>
      </c>
      <c r="S1025">
        <v>3.1299130000000002</v>
      </c>
      <c r="T1025">
        <v>-0.56706069999999997</v>
      </c>
      <c r="U1025">
        <v>-0.16027829999999901</v>
      </c>
      <c r="V1025">
        <v>-1.235786E-2</v>
      </c>
      <c r="W1025">
        <v>0.16777500000000001</v>
      </c>
      <c r="X1025">
        <v>0.98574790000000001</v>
      </c>
      <c r="Y1025">
        <v>5.4989740000000002E-2</v>
      </c>
      <c r="Z1025">
        <v>-6.0901219999999999E-3</v>
      </c>
      <c r="AA1025">
        <v>0.99846829999999998</v>
      </c>
      <c r="AB1025">
        <v>30</v>
      </c>
      <c r="AC1025">
        <v>0.76849999999995999</v>
      </c>
      <c r="AD1025">
        <v>-0.16792260000000001</v>
      </c>
      <c r="AE1025">
        <v>-4.83000000000402E-2</v>
      </c>
      <c r="AF1025">
        <v>4.96850200746718E-2</v>
      </c>
      <c r="AG1025">
        <v>-0.16792260000000001</v>
      </c>
      <c r="AH1025">
        <v>0.73337770328570695</v>
      </c>
      <c r="AI1025">
        <v>102.868272018344</v>
      </c>
      <c r="AJ1025">
        <v>86.124236455060299</v>
      </c>
      <c r="AK1025">
        <v>0.75399566078804403</v>
      </c>
      <c r="AL1025">
        <v>80.341522460777597</v>
      </c>
      <c r="AM1025">
        <v>90.718252741567696</v>
      </c>
      <c r="AN1025">
        <v>1.00000004484159</v>
      </c>
    </row>
    <row r="1026" spans="1:40" x14ac:dyDescent="0.25">
      <c r="A1026" t="str">
        <f>"20190303161859330"</f>
        <v>20190303161859330</v>
      </c>
      <c r="B1026" t="str">
        <f>"1551601139323436"</f>
        <v>1551601139323436</v>
      </c>
      <c r="C1026" t="s">
        <v>40</v>
      </c>
      <c r="D1026">
        <v>4.769145</v>
      </c>
      <c r="E1026">
        <v>0.53197930000000004</v>
      </c>
      <c r="F1026" t="s">
        <v>42</v>
      </c>
      <c r="G1026">
        <v>-302.36470000000003</v>
      </c>
      <c r="H1026">
        <v>0.89958629999999995</v>
      </c>
      <c r="I1026">
        <v>367.16250000000002</v>
      </c>
      <c r="J1026">
        <v>-302.9796</v>
      </c>
      <c r="K1026">
        <v>1.0712280000000001</v>
      </c>
      <c r="L1026">
        <v>367.20839999999998</v>
      </c>
      <c r="M1026">
        <v>0.99991560000000002</v>
      </c>
      <c r="N1026">
        <v>-1.2049789999999999E-2</v>
      </c>
      <c r="O1026">
        <v>4.8773280000000002E-3</v>
      </c>
      <c r="P1026">
        <v>0.98763610000000002</v>
      </c>
      <c r="Q1026">
        <v>0.15586469999999999</v>
      </c>
      <c r="R1026">
        <v>1.6777630000000002E-2</v>
      </c>
      <c r="S1026">
        <v>3.1521910000000002</v>
      </c>
      <c r="T1026">
        <v>-0.70560349999999905</v>
      </c>
      <c r="U1026">
        <v>-0.18521119999999999</v>
      </c>
      <c r="V1026">
        <v>-1.195366E-2</v>
      </c>
      <c r="W1026">
        <v>0.16775580000000001</v>
      </c>
      <c r="X1026">
        <v>0.98575610000000002</v>
      </c>
      <c r="Y1026">
        <v>6.1807239999999999E-2</v>
      </c>
      <c r="Z1026">
        <v>-8.2244309999999904E-3</v>
      </c>
      <c r="AA1026">
        <v>0.9980542</v>
      </c>
      <c r="AB1026">
        <v>30</v>
      </c>
      <c r="AC1026">
        <v>0.61489999999997702</v>
      </c>
      <c r="AD1026">
        <v>-0.17164169999999901</v>
      </c>
      <c r="AE1026">
        <v>-4.58999999999605E-2</v>
      </c>
      <c r="AF1026">
        <v>4.5382249910721102E-2</v>
      </c>
      <c r="AG1026">
        <v>-0.17164169999999901</v>
      </c>
      <c r="AH1026">
        <v>0.57046567728269804</v>
      </c>
      <c r="AI1026">
        <v>106.695690061608</v>
      </c>
      <c r="AJ1026">
        <v>85.451528596967705</v>
      </c>
      <c r="AK1026">
        <v>0.59745419133474698</v>
      </c>
      <c r="AL1026">
        <v>80.342637855279406</v>
      </c>
      <c r="AM1026">
        <v>90.694756745233704</v>
      </c>
      <c r="AN1026">
        <v>0.99999999355412195</v>
      </c>
    </row>
    <row r="1027" spans="1:40" x14ac:dyDescent="0.25">
      <c r="A1027" t="str">
        <f>"20190303161859341"</f>
        <v>20190303161859341</v>
      </c>
      <c r="B1027" t="str">
        <f>"1551601139334172"</f>
        <v>1551601139334172</v>
      </c>
      <c r="C1027" t="s">
        <v>40</v>
      </c>
      <c r="D1027">
        <v>4.7507000000000001</v>
      </c>
      <c r="E1027">
        <v>0.53257460000000001</v>
      </c>
      <c r="F1027" t="s">
        <v>42</v>
      </c>
      <c r="G1027">
        <v>-302.11259999999999</v>
      </c>
      <c r="H1027">
        <v>0.87170020000000004</v>
      </c>
      <c r="I1027">
        <v>367.15449999999998</v>
      </c>
      <c r="J1027">
        <v>-302.81970000000001</v>
      </c>
      <c r="K1027">
        <v>1.0712280000000001</v>
      </c>
      <c r="L1027">
        <v>367.20909999999998</v>
      </c>
      <c r="M1027">
        <v>0.99991560000000002</v>
      </c>
      <c r="N1027">
        <v>-1.204729E-2</v>
      </c>
      <c r="O1027">
        <v>4.8775219999999996E-3</v>
      </c>
      <c r="P1027">
        <v>0.98762740000000004</v>
      </c>
      <c r="Q1027">
        <v>0.15595529999999999</v>
      </c>
      <c r="R1027">
        <v>1.64487E-2</v>
      </c>
      <c r="S1027">
        <v>3.1554869999999999</v>
      </c>
      <c r="T1027">
        <v>-0.72624219999999995</v>
      </c>
      <c r="U1027">
        <v>-0.19528200000000001</v>
      </c>
      <c r="V1027">
        <v>-1.162445E-2</v>
      </c>
      <c r="W1027">
        <v>0.16784370000000001</v>
      </c>
      <c r="X1027">
        <v>0.98574510000000004</v>
      </c>
      <c r="Y1027">
        <v>6.4744780000000002E-2</v>
      </c>
      <c r="Z1027">
        <v>-8.7924679999999995E-3</v>
      </c>
      <c r="AA1027">
        <v>0.9978631</v>
      </c>
      <c r="AB1027">
        <v>30</v>
      </c>
      <c r="AC1027">
        <v>0.70710000000002504</v>
      </c>
      <c r="AD1027">
        <v>-0.19952780000000001</v>
      </c>
      <c r="AE1027">
        <v>-5.4599999999993501E-2</v>
      </c>
      <c r="AF1027">
        <v>5.37908298663839E-2</v>
      </c>
      <c r="AG1027">
        <v>-0.19952780000000001</v>
      </c>
      <c r="AH1027">
        <v>0.65498194595150905</v>
      </c>
      <c r="AI1027">
        <v>106.888754209133</v>
      </c>
      <c r="AJ1027">
        <v>85.305082068325802</v>
      </c>
      <c r="AK1027">
        <v>0.68680866758725501</v>
      </c>
      <c r="AL1027">
        <v>80.337529366464196</v>
      </c>
      <c r="AM1027">
        <v>90.675632121313996</v>
      </c>
      <c r="AN1027">
        <v>1.0000000188207501</v>
      </c>
    </row>
    <row r="1028" spans="1:40" x14ac:dyDescent="0.25">
      <c r="A1028" t="str">
        <f>"20190303161859353"</f>
        <v>20190303161859353</v>
      </c>
      <c r="B1028" t="str">
        <f>"1551601139343931"</f>
        <v>1551601139343931</v>
      </c>
      <c r="C1028" t="s">
        <v>40</v>
      </c>
      <c r="D1028">
        <v>4.7300250000000004</v>
      </c>
      <c r="E1028">
        <v>0.53286149999999999</v>
      </c>
      <c r="F1028" t="s">
        <v>42</v>
      </c>
      <c r="G1028">
        <v>-302.09730000000002</v>
      </c>
      <c r="H1028">
        <v>0.90295510000000001</v>
      </c>
      <c r="I1028">
        <v>367.16300000000001</v>
      </c>
      <c r="J1028">
        <v>-302.6712</v>
      </c>
      <c r="K1028">
        <v>1.071224</v>
      </c>
      <c r="L1028">
        <v>367.20979999999997</v>
      </c>
      <c r="M1028">
        <v>0.99991569999999996</v>
      </c>
      <c r="N1028">
        <v>-1.2045230000000001E-2</v>
      </c>
      <c r="O1028">
        <v>4.8773559999999898E-3</v>
      </c>
      <c r="P1028">
        <v>0.98760840000000005</v>
      </c>
      <c r="Q1028">
        <v>0.156079299999999</v>
      </c>
      <c r="R1028">
        <v>1.6410790000000001E-2</v>
      </c>
      <c r="S1028">
        <v>3.1570429999999998</v>
      </c>
      <c r="T1028">
        <v>-0.73548269999999905</v>
      </c>
      <c r="U1028">
        <v>-0.20095830000000001</v>
      </c>
      <c r="V1028">
        <v>-1.158708E-2</v>
      </c>
      <c r="W1028">
        <v>0.1679649</v>
      </c>
      <c r="X1028">
        <v>0.98572490000000001</v>
      </c>
      <c r="Y1028">
        <v>6.640973E-2</v>
      </c>
      <c r="Z1028">
        <v>-9.0941340000000002E-3</v>
      </c>
      <c r="AA1028">
        <v>0.99775100000000005</v>
      </c>
      <c r="AB1028">
        <v>30</v>
      </c>
      <c r="AC1028">
        <v>0.57389999999997998</v>
      </c>
      <c r="AD1028">
        <v>-0.1682689</v>
      </c>
      <c r="AE1028">
        <v>-4.67999999999619E-2</v>
      </c>
      <c r="AF1028">
        <v>4.5696305838972197E-2</v>
      </c>
      <c r="AG1028">
        <v>-0.1682689</v>
      </c>
      <c r="AH1028">
        <v>0.52852866170978696</v>
      </c>
      <c r="AI1028">
        <v>107.598454769233</v>
      </c>
      <c r="AJ1028">
        <v>85.058525952614701</v>
      </c>
      <c r="AK1028">
        <v>0.55654750140781095</v>
      </c>
      <c r="AL1028">
        <v>80.330485156372902</v>
      </c>
      <c r="AM1028">
        <v>90.673474115560694</v>
      </c>
      <c r="AN1028">
        <v>1.00000002326747</v>
      </c>
    </row>
    <row r="1029" spans="1:40" x14ac:dyDescent="0.25">
      <c r="A1029" t="str">
        <f>"20190303161859368"</f>
        <v>20190303161859368</v>
      </c>
      <c r="B1029" t="str">
        <f>"1551601139363452"</f>
        <v>1551601139363452</v>
      </c>
      <c r="C1029" t="s">
        <v>40</v>
      </c>
      <c r="D1029">
        <v>4.6950529999999997</v>
      </c>
      <c r="E1029">
        <v>0.53349780000000002</v>
      </c>
      <c r="F1029" t="s">
        <v>42</v>
      </c>
      <c r="G1029">
        <v>-301.84440000000001</v>
      </c>
      <c r="H1029">
        <v>0.87697780000000003</v>
      </c>
      <c r="I1029">
        <v>367.15640000000002</v>
      </c>
      <c r="J1029">
        <v>-302.47469999999998</v>
      </c>
      <c r="K1029">
        <v>1.0712189999999999</v>
      </c>
      <c r="L1029">
        <v>367.21080000000001</v>
      </c>
      <c r="M1029">
        <v>0.99991569999999996</v>
      </c>
      <c r="N1029">
        <v>-1.204269E-2</v>
      </c>
      <c r="O1029">
        <v>4.8775509999999999E-3</v>
      </c>
      <c r="P1029">
        <v>0.98767749999999999</v>
      </c>
      <c r="Q1029">
        <v>0.1556872</v>
      </c>
      <c r="R1029">
        <v>1.5970149999999999E-2</v>
      </c>
      <c r="S1029">
        <v>3.158264</v>
      </c>
      <c r="T1029">
        <v>-0.74199380000000004</v>
      </c>
      <c r="U1029">
        <v>-0.20315549999999999</v>
      </c>
      <c r="V1029">
        <v>-1.1145530000000001E-2</v>
      </c>
      <c r="W1029">
        <v>0.16757149999999901</v>
      </c>
      <c r="X1029">
        <v>0.98579689999999998</v>
      </c>
      <c r="Y1029">
        <v>6.7026699999999995E-2</v>
      </c>
      <c r="Z1029">
        <v>-9.2413070000000007E-3</v>
      </c>
      <c r="AA1029">
        <v>0.99770840000000005</v>
      </c>
      <c r="AB1029">
        <v>30</v>
      </c>
      <c r="AC1029">
        <v>0.63029999999997699</v>
      </c>
      <c r="AD1029">
        <v>-0.1942412</v>
      </c>
      <c r="AE1029">
        <v>-5.4399999999986903E-2</v>
      </c>
      <c r="AF1029">
        <v>5.2522679957582002E-2</v>
      </c>
      <c r="AG1029">
        <v>-0.1942412</v>
      </c>
      <c r="AH1029">
        <v>0.57575206185535499</v>
      </c>
      <c r="AI1029">
        <v>108.571033011784</v>
      </c>
      <c r="AJ1029">
        <v>84.787649503381402</v>
      </c>
      <c r="AK1029">
        <v>0.60990057584663704</v>
      </c>
      <c r="AL1029">
        <v>80.353348953750299</v>
      </c>
      <c r="AM1029">
        <v>90.647764891039799</v>
      </c>
      <c r="AN1029">
        <v>0.99999997925041995</v>
      </c>
    </row>
    <row r="1030" spans="1:40" x14ac:dyDescent="0.25">
      <c r="A1030" t="str">
        <f>"20190303161859381"</f>
        <v>20190303161859381</v>
      </c>
      <c r="B1030" t="str">
        <f>"1551601139374188"</f>
        <v>1551601139374188</v>
      </c>
      <c r="C1030" t="s">
        <v>40</v>
      </c>
      <c r="D1030">
        <v>4.6890879999999999</v>
      </c>
      <c r="E1030">
        <v>0.53386319999999998</v>
      </c>
      <c r="F1030" t="s">
        <v>42</v>
      </c>
      <c r="G1030">
        <v>-301.5865</v>
      </c>
      <c r="H1030">
        <v>0.86028079999999996</v>
      </c>
      <c r="I1030">
        <v>367.15170000000001</v>
      </c>
      <c r="J1030">
        <v>-302.28480000000002</v>
      </c>
      <c r="K1030">
        <v>1.071215</v>
      </c>
      <c r="L1030">
        <v>367.21170000000001</v>
      </c>
      <c r="M1030">
        <v>0.99991569999999996</v>
      </c>
      <c r="N1030">
        <v>-1.2040530000000001E-2</v>
      </c>
      <c r="O1030">
        <v>4.877564E-3</v>
      </c>
      <c r="P1030">
        <v>0.98763920000000005</v>
      </c>
      <c r="Q1030">
        <v>0.15592619999999999</v>
      </c>
      <c r="R1030">
        <v>1.600934E-2</v>
      </c>
      <c r="S1030">
        <v>3.1590880000000001</v>
      </c>
      <c r="T1030">
        <v>-0.75037799999999999</v>
      </c>
      <c r="U1030">
        <v>-0.20962520000000001</v>
      </c>
      <c r="V1030">
        <v>-1.118504E-2</v>
      </c>
      <c r="W1030">
        <v>0.1678075</v>
      </c>
      <c r="X1030">
        <v>0.98575630000000003</v>
      </c>
      <c r="Y1030">
        <v>6.8945259999999994E-2</v>
      </c>
      <c r="Z1030">
        <v>-9.5725350000000001E-3</v>
      </c>
      <c r="AA1030">
        <v>0.99757450000000003</v>
      </c>
      <c r="AB1030">
        <v>30</v>
      </c>
      <c r="AC1030">
        <v>0.69830000000001702</v>
      </c>
      <c r="AD1030">
        <v>-0.21093419999999999</v>
      </c>
      <c r="AE1030">
        <v>-6.0000000000002197E-2</v>
      </c>
      <c r="AF1030">
        <v>5.8139467815356297E-2</v>
      </c>
      <c r="AG1030">
        <v>-0.21093419999999999</v>
      </c>
      <c r="AH1030">
        <v>0.64002757682170297</v>
      </c>
      <c r="AI1030">
        <v>108.170822938302</v>
      </c>
      <c r="AJ1030">
        <v>84.809553867931001</v>
      </c>
      <c r="AK1030">
        <v>0.67639391891098</v>
      </c>
      <c r="AL1030">
        <v>80.3396328636113</v>
      </c>
      <c r="AM1030">
        <v>90.650087739878401</v>
      </c>
      <c r="AN1030">
        <v>0.99999997258286999</v>
      </c>
    </row>
    <row r="1031" spans="1:40" x14ac:dyDescent="0.25">
      <c r="A1031" t="str">
        <f>"20190303161859403"</f>
        <v>20190303161859403</v>
      </c>
      <c r="B1031" t="str">
        <f>"1551601139393708"</f>
        <v>1551601139393708</v>
      </c>
      <c r="C1031" t="s">
        <v>40</v>
      </c>
      <c r="D1031">
        <v>4.69712</v>
      </c>
      <c r="E1031">
        <v>0.53432679999999999</v>
      </c>
      <c r="F1031" t="s">
        <v>42</v>
      </c>
      <c r="G1031">
        <v>-301.56729999999999</v>
      </c>
      <c r="H1031">
        <v>0.90003899999999903</v>
      </c>
      <c r="I1031">
        <v>367.16340000000002</v>
      </c>
      <c r="J1031">
        <v>-302.0224</v>
      </c>
      <c r="K1031">
        <v>1.0712170000000001</v>
      </c>
      <c r="L1031">
        <v>367.21300000000002</v>
      </c>
      <c r="M1031">
        <v>0.99991569999999996</v>
      </c>
      <c r="N1031">
        <v>-1.2037880000000001E-2</v>
      </c>
      <c r="O1031">
        <v>4.8775809999999998E-3</v>
      </c>
      <c r="P1031">
        <v>0.98763840000000003</v>
      </c>
      <c r="Q1031">
        <v>0.15591549999999901</v>
      </c>
      <c r="R1031">
        <v>1.6150520000000002E-2</v>
      </c>
      <c r="S1031">
        <v>3.160034</v>
      </c>
      <c r="T1031">
        <v>-0.75406130000000005</v>
      </c>
      <c r="U1031">
        <v>-0.2118835</v>
      </c>
      <c r="V1031">
        <v>-1.132654E-2</v>
      </c>
      <c r="W1031">
        <v>0.16779430000000001</v>
      </c>
      <c r="X1031">
        <v>0.98575690000000005</v>
      </c>
      <c r="Y1031">
        <v>6.9597199999999998E-2</v>
      </c>
      <c r="Z1031">
        <v>-9.6942130000000001E-3</v>
      </c>
      <c r="AA1031">
        <v>0.99752810000000003</v>
      </c>
      <c r="AB1031">
        <v>30</v>
      </c>
      <c r="AC1031">
        <v>0.45510000000001499</v>
      </c>
      <c r="AD1031">
        <v>-0.171178</v>
      </c>
      <c r="AE1031">
        <v>-4.9599999999998E-2</v>
      </c>
      <c r="AF1031">
        <v>4.5462951784018601E-2</v>
      </c>
      <c r="AG1031">
        <v>-0.171178</v>
      </c>
      <c r="AH1031">
        <v>0.399058277514867</v>
      </c>
      <c r="AI1031">
        <v>113.08360529465899</v>
      </c>
      <c r="AJ1031">
        <v>83.500566357237801</v>
      </c>
      <c r="AK1031">
        <v>0.43659626260659701</v>
      </c>
      <c r="AL1031">
        <v>80.340399745274496</v>
      </c>
      <c r="AM1031">
        <v>90.658310767144002</v>
      </c>
      <c r="AN1031">
        <v>0.99999994175923401</v>
      </c>
    </row>
    <row r="1032" spans="1:40" x14ac:dyDescent="0.25">
      <c r="A1032" t="str">
        <f>"20190303161859418"</f>
        <v>20190303161859418</v>
      </c>
      <c r="B1032" t="str">
        <f>"1551601139414204"</f>
        <v>1551601139414204</v>
      </c>
      <c r="C1032" t="s">
        <v>40</v>
      </c>
      <c r="D1032">
        <v>4.6822160000000004</v>
      </c>
      <c r="E1032">
        <v>0.53458139999999998</v>
      </c>
      <c r="F1032" t="s">
        <v>42</v>
      </c>
      <c r="G1032">
        <v>-301.30250000000001</v>
      </c>
      <c r="H1032">
        <v>0.89827639999999997</v>
      </c>
      <c r="I1032">
        <v>367.16379999999998</v>
      </c>
      <c r="J1032">
        <v>-301.81</v>
      </c>
      <c r="K1032">
        <v>1.071218</v>
      </c>
      <c r="L1032">
        <v>367.214</v>
      </c>
      <c r="M1032">
        <v>0.99991569999999996</v>
      </c>
      <c r="N1032">
        <v>-1.203601E-2</v>
      </c>
      <c r="O1032">
        <v>4.8777719999999998E-3</v>
      </c>
      <c r="P1032">
        <v>0.98763330000000005</v>
      </c>
      <c r="Q1032">
        <v>0.15596070000000001</v>
      </c>
      <c r="R1032">
        <v>1.603038E-2</v>
      </c>
      <c r="S1032">
        <v>3.1609799999999999</v>
      </c>
      <c r="T1032">
        <v>-0.75932860000000002</v>
      </c>
      <c r="U1032">
        <v>-0.21527099999999999</v>
      </c>
      <c r="V1032">
        <v>-1.120613E-2</v>
      </c>
      <c r="W1032">
        <v>0.16783799999999999</v>
      </c>
      <c r="X1032">
        <v>0.98575089999999999</v>
      </c>
      <c r="Y1032">
        <v>7.0584209999999994E-2</v>
      </c>
      <c r="Z1032">
        <v>-9.8774009999999992E-3</v>
      </c>
      <c r="AA1032">
        <v>0.99745689999999998</v>
      </c>
      <c r="AB1032">
        <v>30</v>
      </c>
      <c r="AC1032">
        <v>0.50749999999999296</v>
      </c>
      <c r="AD1032">
        <v>-0.172941599999999</v>
      </c>
      <c r="AE1032">
        <v>-5.0200000000018001E-2</v>
      </c>
      <c r="AF1032">
        <v>4.7242194574055298E-2</v>
      </c>
      <c r="AG1032">
        <v>-0.172941599999999</v>
      </c>
      <c r="AH1032">
        <v>0.45493187303154897</v>
      </c>
      <c r="AI1032">
        <v>110.71236102856599</v>
      </c>
      <c r="AJ1032">
        <v>84.071395499275994</v>
      </c>
      <c r="AK1032">
        <v>0.488982240023834</v>
      </c>
      <c r="AL1032">
        <v>80.337860509576998</v>
      </c>
      <c r="AM1032">
        <v>90.651316977725401</v>
      </c>
      <c r="AN1032">
        <v>1.0000000042221899</v>
      </c>
    </row>
    <row r="1033" spans="1:40" x14ac:dyDescent="0.25">
      <c r="A1033" t="str">
        <f>"20190303161859429"</f>
        <v>20190303161859429</v>
      </c>
      <c r="B1033" t="str">
        <f>"1551601139423963"</f>
        <v>1551601139423963</v>
      </c>
      <c r="C1033" t="s">
        <v>40</v>
      </c>
      <c r="D1033">
        <v>4.6707769999999904</v>
      </c>
      <c r="E1033">
        <v>0.53468329999999997</v>
      </c>
      <c r="F1033" t="s">
        <v>42</v>
      </c>
      <c r="G1033">
        <v>-301.0428</v>
      </c>
      <c r="H1033">
        <v>0.88590069999999999</v>
      </c>
      <c r="I1033">
        <v>367.16090000000003</v>
      </c>
      <c r="J1033">
        <v>-301.65460000000002</v>
      </c>
      <c r="K1033">
        <v>1.0712170000000001</v>
      </c>
      <c r="L1033">
        <v>367.21480000000003</v>
      </c>
      <c r="M1033">
        <v>0.99991580000000002</v>
      </c>
      <c r="N1033">
        <v>-1.203475E-2</v>
      </c>
      <c r="O1033">
        <v>4.8776009999999996E-3</v>
      </c>
      <c r="P1033">
        <v>0.98758769999999996</v>
      </c>
      <c r="Q1033">
        <v>0.15625220000000001</v>
      </c>
      <c r="R1033">
        <v>1.6010360000000001E-2</v>
      </c>
      <c r="S1033">
        <v>3.161743</v>
      </c>
      <c r="T1033">
        <v>-0.76379079999999999</v>
      </c>
      <c r="U1033">
        <v>-0.21734619999999999</v>
      </c>
      <c r="V1033">
        <v>-1.11863E-2</v>
      </c>
      <c r="W1033">
        <v>0.16812759999999999</v>
      </c>
      <c r="X1033">
        <v>0.98570179999999996</v>
      </c>
      <c r="Y1033">
        <v>7.1177249999999997E-2</v>
      </c>
      <c r="Z1033">
        <v>-1.0003420000000001E-2</v>
      </c>
      <c r="AA1033">
        <v>0.99741349999999995</v>
      </c>
      <c r="AB1033">
        <v>30</v>
      </c>
      <c r="AC1033">
        <v>0.611800000000016</v>
      </c>
      <c r="AD1033">
        <v>-0.18531629999999999</v>
      </c>
      <c r="AE1033">
        <v>-5.3899999999998699E-2</v>
      </c>
      <c r="AF1033">
        <v>5.21369446197162E-2</v>
      </c>
      <c r="AG1033">
        <v>-0.18531629999999999</v>
      </c>
      <c r="AH1033">
        <v>0.56049976434358995</v>
      </c>
      <c r="AI1033">
        <v>108.22184193498801</v>
      </c>
      <c r="AJ1033">
        <v>84.685714620599398</v>
      </c>
      <c r="AK1033">
        <v>0.59263848834613297</v>
      </c>
      <c r="AL1033">
        <v>80.321028727548295</v>
      </c>
      <c r="AM1033">
        <v>90.650196910955998</v>
      </c>
      <c r="AN1033">
        <v>1.0000000308563399</v>
      </c>
    </row>
    <row r="1034" spans="1:40" x14ac:dyDescent="0.25">
      <c r="A1034" t="str">
        <f>"20190303161859441"</f>
        <v>20190303161859441</v>
      </c>
      <c r="B1034" t="str">
        <f>"1551601139433724"</f>
        <v>1551601139433724</v>
      </c>
      <c r="C1034" t="s">
        <v>40</v>
      </c>
      <c r="D1034">
        <v>4.656218</v>
      </c>
      <c r="E1034">
        <v>0.53473719999999902</v>
      </c>
      <c r="F1034" t="s">
        <v>42</v>
      </c>
      <c r="G1034">
        <v>-300.7885</v>
      </c>
      <c r="H1034">
        <v>0.862095099999999</v>
      </c>
      <c r="I1034">
        <v>367.15480000000002</v>
      </c>
      <c r="J1034">
        <v>-301.49579999999997</v>
      </c>
      <c r="K1034">
        <v>1.0712159999999999</v>
      </c>
      <c r="L1034">
        <v>367.21550000000002</v>
      </c>
      <c r="M1034">
        <v>0.99991580000000002</v>
      </c>
      <c r="N1034">
        <v>-1.203356E-2</v>
      </c>
      <c r="O1034">
        <v>4.8777869999999997E-3</v>
      </c>
      <c r="P1034">
        <v>0.98756560000000004</v>
      </c>
      <c r="Q1034">
        <v>0.15638640000000001</v>
      </c>
      <c r="R1034">
        <v>1.605898E-2</v>
      </c>
      <c r="S1034">
        <v>3.1620180000000002</v>
      </c>
      <c r="T1034">
        <v>-0.7635518</v>
      </c>
      <c r="U1034">
        <v>-0.21832280000000001</v>
      </c>
      <c r="V1034">
        <v>-1.123445E-2</v>
      </c>
      <c r="W1034">
        <v>0.1682601</v>
      </c>
      <c r="X1034">
        <v>0.98567859999999996</v>
      </c>
      <c r="Y1034">
        <v>7.1471069999999998E-2</v>
      </c>
      <c r="Z1034">
        <v>-1.003632E-2</v>
      </c>
      <c r="AA1034">
        <v>0.99739219999999895</v>
      </c>
      <c r="AB1034">
        <v>30</v>
      </c>
      <c r="AC1034">
        <v>0.70729999999997495</v>
      </c>
      <c r="AD1034">
        <v>-0.2091209</v>
      </c>
      <c r="AE1034">
        <v>-6.0699999999996999E-2</v>
      </c>
      <c r="AF1034">
        <v>5.9027410477073897E-2</v>
      </c>
      <c r="AG1034">
        <v>-0.2091209</v>
      </c>
      <c r="AH1034">
        <v>0.65054375389845598</v>
      </c>
      <c r="AI1034">
        <v>107.751968649204</v>
      </c>
      <c r="AJ1034">
        <v>84.815435949544295</v>
      </c>
      <c r="AK1034">
        <v>0.68587386722394805</v>
      </c>
      <c r="AL1034">
        <v>80.313326906190795</v>
      </c>
      <c r="AM1034">
        <v>90.653010726990999</v>
      </c>
      <c r="AN1034">
        <v>0.99999998830838599</v>
      </c>
    </row>
    <row r="1035" spans="1:40" x14ac:dyDescent="0.25">
      <c r="A1035" t="str">
        <f>"20190303161859453"</f>
        <v>20190303161859453</v>
      </c>
      <c r="B1035" t="str">
        <f>"1551601139443484"</f>
        <v>1551601139443484</v>
      </c>
      <c r="C1035" t="s">
        <v>40</v>
      </c>
      <c r="D1035">
        <v>4.6578189999999999</v>
      </c>
      <c r="E1035">
        <v>0.53479339999999997</v>
      </c>
      <c r="F1035" t="s">
        <v>42</v>
      </c>
      <c r="G1035">
        <v>-300.77190000000002</v>
      </c>
      <c r="H1035">
        <v>0.89643649999999997</v>
      </c>
      <c r="I1035">
        <v>367.1653</v>
      </c>
      <c r="J1035">
        <v>-301.34660000000002</v>
      </c>
      <c r="K1035">
        <v>1.071215</v>
      </c>
      <c r="L1035">
        <v>367.21620000000001</v>
      </c>
      <c r="M1035">
        <v>0.99991580000000002</v>
      </c>
      <c r="N1035">
        <v>-1.203254E-2</v>
      </c>
      <c r="O1035">
        <v>4.8779130000000002E-3</v>
      </c>
      <c r="P1035">
        <v>0.98755090000000001</v>
      </c>
      <c r="Q1035">
        <v>0.15649589999999999</v>
      </c>
      <c r="R1035">
        <v>1.5897290000000001E-2</v>
      </c>
      <c r="S1035">
        <v>3.1622620000000001</v>
      </c>
      <c r="T1035">
        <v>-0.76349219999999995</v>
      </c>
      <c r="U1035">
        <v>-0.21832280000000001</v>
      </c>
      <c r="V1035">
        <v>-1.1073029999999999E-2</v>
      </c>
      <c r="W1035">
        <v>0.1683682</v>
      </c>
      <c r="X1035">
        <v>0.98566200000000004</v>
      </c>
      <c r="Y1035">
        <v>7.1466740000000001E-2</v>
      </c>
      <c r="Z1035">
        <v>-1.0034319999999999E-2</v>
      </c>
      <c r="AA1035">
        <v>0.99739250000000002</v>
      </c>
      <c r="AB1035">
        <v>30</v>
      </c>
      <c r="AC1035">
        <v>0.57470000000000698</v>
      </c>
      <c r="AD1035">
        <v>-0.1747785</v>
      </c>
      <c r="AE1035">
        <v>-5.0900000000012803E-2</v>
      </c>
      <c r="AF1035">
        <v>4.9188876166550197E-2</v>
      </c>
      <c r="AG1035">
        <v>-0.1747785</v>
      </c>
      <c r="AH1035">
        <v>0.52615928151194402</v>
      </c>
      <c r="AI1035">
        <v>108.300899530606</v>
      </c>
      <c r="AJ1035">
        <v>84.659131887688204</v>
      </c>
      <c r="AK1035">
        <v>0.55660637718404105</v>
      </c>
      <c r="AL1035">
        <v>80.307043905921105</v>
      </c>
      <c r="AM1035">
        <v>90.643639703748093</v>
      </c>
      <c r="AN1035">
        <v>1.00000002050431</v>
      </c>
    </row>
    <row r="1036" spans="1:40" x14ac:dyDescent="0.25">
      <c r="A1036" t="str">
        <f>"20190303161859463"</f>
        <v>20190303161859463</v>
      </c>
      <c r="B1036" t="str">
        <f>"1551601139454220"</f>
        <v>1551601139454220</v>
      </c>
      <c r="C1036" t="s">
        <v>40</v>
      </c>
      <c r="D1036">
        <v>4.6484240000000003</v>
      </c>
      <c r="E1036">
        <v>0.53493959999999996</v>
      </c>
      <c r="F1036" t="s">
        <v>42</v>
      </c>
      <c r="G1036">
        <v>-300.51839999999999</v>
      </c>
      <c r="H1036">
        <v>0.87133549999999904</v>
      </c>
      <c r="I1036">
        <v>367.1585</v>
      </c>
      <c r="J1036">
        <v>-301.19479999999999</v>
      </c>
      <c r="K1036">
        <v>1.0712140000000001</v>
      </c>
      <c r="L1036">
        <v>367.21690000000001</v>
      </c>
      <c r="M1036">
        <v>0.99991580000000002</v>
      </c>
      <c r="N1036">
        <v>-1.203155E-2</v>
      </c>
      <c r="O1036">
        <v>4.8779189999999997E-3</v>
      </c>
      <c r="P1036">
        <v>0.98755150000000003</v>
      </c>
      <c r="Q1036">
        <v>0.156490299999999</v>
      </c>
      <c r="R1036">
        <v>1.5905889999999999E-2</v>
      </c>
      <c r="S1036">
        <v>3.1622919999999999</v>
      </c>
      <c r="T1036">
        <v>-0.76320669999999902</v>
      </c>
      <c r="U1036">
        <v>-0.21926880000000001</v>
      </c>
      <c r="V1036">
        <v>-1.1081499999999999E-2</v>
      </c>
      <c r="W1036">
        <v>0.16836209999999999</v>
      </c>
      <c r="X1036">
        <v>0.98566290000000001</v>
      </c>
      <c r="Y1036">
        <v>7.1756089999999995E-2</v>
      </c>
      <c r="Z1036">
        <v>-1.0066739999999999E-2</v>
      </c>
      <c r="AA1036">
        <v>0.99737140000000002</v>
      </c>
      <c r="AB1036">
        <v>30</v>
      </c>
      <c r="AC1036">
        <v>0.676400000000001</v>
      </c>
      <c r="AD1036">
        <v>-0.19987849999999999</v>
      </c>
      <c r="AE1036">
        <v>-5.8400000000005899E-2</v>
      </c>
      <c r="AF1036">
        <v>5.67776969151094E-2</v>
      </c>
      <c r="AG1036">
        <v>-0.19987849999999999</v>
      </c>
      <c r="AH1036">
        <v>0.62217899186641501</v>
      </c>
      <c r="AI1036">
        <v>107.74083906386301</v>
      </c>
      <c r="AJ1036">
        <v>84.785846255590002</v>
      </c>
      <c r="AK1036">
        <v>0.65595870262474798</v>
      </c>
      <c r="AL1036">
        <v>80.307398020496095</v>
      </c>
      <c r="AM1036">
        <v>90.644131408102297</v>
      </c>
      <c r="AN1036">
        <v>0.99999997439753396</v>
      </c>
    </row>
    <row r="1037" spans="1:40" x14ac:dyDescent="0.25">
      <c r="A1037" t="str">
        <f>"20190303161859475"</f>
        <v>20190303161859475</v>
      </c>
      <c r="B1037" t="str">
        <f>"1551601139463980"</f>
        <v>1551601139463980</v>
      </c>
      <c r="C1037" t="s">
        <v>40</v>
      </c>
      <c r="D1037">
        <v>4.6355000000000004</v>
      </c>
      <c r="E1037">
        <v>0.53526079999999998</v>
      </c>
      <c r="F1037" t="s">
        <v>42</v>
      </c>
      <c r="G1037">
        <v>-300.50229999999999</v>
      </c>
      <c r="H1037">
        <v>0.90417599999999998</v>
      </c>
      <c r="I1037">
        <v>367.16840000000002</v>
      </c>
      <c r="J1037">
        <v>-301.04939999999999</v>
      </c>
      <c r="K1037">
        <v>1.0712079999999999</v>
      </c>
      <c r="L1037">
        <v>367.21769999999998</v>
      </c>
      <c r="M1037">
        <v>0.99991580000000002</v>
      </c>
      <c r="N1037">
        <v>-1.203073E-2</v>
      </c>
      <c r="O1037">
        <v>4.8778049999999998E-3</v>
      </c>
      <c r="P1037">
        <v>0.9875408</v>
      </c>
      <c r="Q1037">
        <v>0.15655649999999999</v>
      </c>
      <c r="R1037">
        <v>1.5926340000000001E-2</v>
      </c>
      <c r="S1037">
        <v>3.1622620000000001</v>
      </c>
      <c r="T1037">
        <v>-0.76277759999999994</v>
      </c>
      <c r="U1037">
        <v>-0.22036739999999999</v>
      </c>
      <c r="V1037">
        <v>-1.110206E-2</v>
      </c>
      <c r="W1037">
        <v>0.16842699999999999</v>
      </c>
      <c r="X1037">
        <v>0.98565159999999996</v>
      </c>
      <c r="Y1037">
        <v>7.2093840000000006E-2</v>
      </c>
      <c r="Z1037">
        <v>-1.0103549999999999E-2</v>
      </c>
      <c r="AA1037">
        <v>0.99734670000000003</v>
      </c>
      <c r="AB1037">
        <v>30</v>
      </c>
      <c r="AC1037">
        <v>0.54710000000000003</v>
      </c>
      <c r="AD1037">
        <v>-0.16703199999999899</v>
      </c>
      <c r="AE1037">
        <v>-4.9299999999959702E-2</v>
      </c>
      <c r="AF1037">
        <v>4.7569939168299803E-2</v>
      </c>
      <c r="AG1037">
        <v>-0.16703199999999899</v>
      </c>
      <c r="AH1037">
        <v>0.50057029177046097</v>
      </c>
      <c r="AI1037">
        <v>108.375805660842</v>
      </c>
      <c r="AJ1037">
        <v>84.571399571398402</v>
      </c>
      <c r="AK1037">
        <v>0.52984262299256402</v>
      </c>
      <c r="AL1037">
        <v>80.303625838968102</v>
      </c>
      <c r="AM1037">
        <v>90.645333790506399</v>
      </c>
      <c r="AN1037">
        <v>0.99999999332390099</v>
      </c>
    </row>
    <row r="1038" spans="1:40" x14ac:dyDescent="0.25">
      <c r="A1038" t="str">
        <f>"20190303161859486"</f>
        <v>20190303161859486</v>
      </c>
      <c r="B1038" t="str">
        <f>"1551601139483500"</f>
        <v>1551601139483500</v>
      </c>
      <c r="C1038" t="s">
        <v>40</v>
      </c>
      <c r="D1038">
        <v>4.6406869999999998</v>
      </c>
      <c r="E1038">
        <v>0.53604839999999998</v>
      </c>
      <c r="F1038" t="s">
        <v>42</v>
      </c>
      <c r="G1038">
        <v>-300.24919999999997</v>
      </c>
      <c r="H1038">
        <v>0.87835680000000005</v>
      </c>
      <c r="I1038">
        <v>367.16109999999998</v>
      </c>
      <c r="J1038">
        <v>-300.9006</v>
      </c>
      <c r="K1038">
        <v>1.0712060000000001</v>
      </c>
      <c r="L1038">
        <v>367.21839999999997</v>
      </c>
      <c r="M1038">
        <v>0.99991580000000002</v>
      </c>
      <c r="N1038">
        <v>-1.202992E-2</v>
      </c>
      <c r="O1038">
        <v>4.8778099999999998E-3</v>
      </c>
      <c r="P1038">
        <v>0.98750680000000002</v>
      </c>
      <c r="Q1038">
        <v>0.15677579999999999</v>
      </c>
      <c r="R1038">
        <v>1.5876540000000001E-2</v>
      </c>
      <c r="S1038">
        <v>3.1623230000000002</v>
      </c>
      <c r="T1038">
        <v>-0.76221470000000002</v>
      </c>
      <c r="U1038">
        <v>-0.22293089999999999</v>
      </c>
      <c r="V1038">
        <v>-1.105276E-2</v>
      </c>
      <c r="W1038">
        <v>0.16864560000000001</v>
      </c>
      <c r="X1038">
        <v>0.98561480000000001</v>
      </c>
      <c r="Y1038">
        <v>7.2877070000000002E-2</v>
      </c>
      <c r="Z1038">
        <v>-1.0193839999999999E-2</v>
      </c>
      <c r="AA1038">
        <v>0.99728879999999998</v>
      </c>
      <c r="AB1038">
        <v>30</v>
      </c>
      <c r="AC1038">
        <v>0.65140000000002296</v>
      </c>
      <c r="AD1038">
        <v>-0.192849199999999</v>
      </c>
      <c r="AE1038">
        <v>-5.7299999999997901E-2</v>
      </c>
      <c r="AF1038">
        <v>5.56378695718793E-2</v>
      </c>
      <c r="AG1038">
        <v>-0.192849199999999</v>
      </c>
      <c r="AH1038">
        <v>0.59901372579907297</v>
      </c>
      <c r="AI1038">
        <v>107.774018006105</v>
      </c>
      <c r="AJ1038">
        <v>84.693452123542897</v>
      </c>
      <c r="AK1038">
        <v>0.63174665030123001</v>
      </c>
      <c r="AL1038">
        <v>80.2909194602654</v>
      </c>
      <c r="AM1038">
        <v>90.642492336731607</v>
      </c>
      <c r="AN1038">
        <v>1.000000017941</v>
      </c>
    </row>
    <row r="1039" spans="1:40" x14ac:dyDescent="0.25">
      <c r="A1039" t="str">
        <f>"20190303161859497"</f>
        <v>20190303161859497</v>
      </c>
      <c r="B1039" t="str">
        <f>"1551601139494236"</f>
        <v>1551601139494236</v>
      </c>
      <c r="C1039" t="s">
        <v>40</v>
      </c>
      <c r="D1039">
        <v>4.6145699999999996</v>
      </c>
      <c r="E1039">
        <v>0.53644650000000005</v>
      </c>
      <c r="F1039" t="s">
        <v>42</v>
      </c>
      <c r="G1039">
        <v>-299.99470000000002</v>
      </c>
      <c r="H1039">
        <v>0.85401550000000004</v>
      </c>
      <c r="I1039">
        <v>367.15219999999999</v>
      </c>
      <c r="J1039">
        <v>-300.75740000000002</v>
      </c>
      <c r="K1039">
        <v>1.071205</v>
      </c>
      <c r="L1039">
        <v>367.21910000000003</v>
      </c>
      <c r="M1039">
        <v>0.99991580000000002</v>
      </c>
      <c r="N1039">
        <v>-1.202923E-2</v>
      </c>
      <c r="O1039">
        <v>4.8779339999999996E-3</v>
      </c>
      <c r="P1039">
        <v>0.98746990000000001</v>
      </c>
      <c r="Q1039">
        <v>0.1570115</v>
      </c>
      <c r="R1039">
        <v>1.5835559999999999E-2</v>
      </c>
      <c r="S1039">
        <v>3.1620789999999999</v>
      </c>
      <c r="T1039">
        <v>-0.75825069999999894</v>
      </c>
      <c r="U1039">
        <v>-0.22970579999999999</v>
      </c>
      <c r="V1039">
        <v>-1.101189E-2</v>
      </c>
      <c r="W1039">
        <v>0.16887959999999999</v>
      </c>
      <c r="X1039">
        <v>0.98557519999999998</v>
      </c>
      <c r="Y1039">
        <v>7.4969430000000004E-2</v>
      </c>
      <c r="Z1039">
        <v>-1.040407E-2</v>
      </c>
      <c r="AA1039">
        <v>0.99713149999999995</v>
      </c>
      <c r="AB1039">
        <v>30</v>
      </c>
      <c r="AC1039">
        <v>0.76269999999999505</v>
      </c>
      <c r="AD1039">
        <v>-0.21718949999999901</v>
      </c>
      <c r="AE1039">
        <v>-6.6900000000032295E-2</v>
      </c>
      <c r="AF1039">
        <v>6.5360243143943494E-2</v>
      </c>
      <c r="AG1039">
        <v>-0.21718949999999901</v>
      </c>
      <c r="AH1039">
        <v>0.70558514481601498</v>
      </c>
      <c r="AI1039">
        <v>107.040433972895</v>
      </c>
      <c r="AJ1039">
        <v>84.707641471035799</v>
      </c>
      <c r="AK1039">
        <v>0.74114346578724</v>
      </c>
      <c r="AL1039">
        <v>80.277317244505198</v>
      </c>
      <c r="AM1039">
        <v>90.640142496184794</v>
      </c>
      <c r="AN1039">
        <v>1.00000002793628</v>
      </c>
    </row>
    <row r="1040" spans="1:40" x14ac:dyDescent="0.25">
      <c r="A1040" t="str">
        <f>"20190303161859507"</f>
        <v>20190303161859507</v>
      </c>
      <c r="B1040" t="str">
        <f>"1551601139503998"</f>
        <v>1551601139503998</v>
      </c>
      <c r="C1040" t="s">
        <v>40</v>
      </c>
      <c r="D1040">
        <v>4.6067269999999896</v>
      </c>
      <c r="E1040">
        <v>0.53674359999999999</v>
      </c>
      <c r="F1040" t="s">
        <v>42</v>
      </c>
      <c r="G1040">
        <v>-299.97989999999999</v>
      </c>
      <c r="H1040">
        <v>0.88567070000000003</v>
      </c>
      <c r="I1040">
        <v>367.16140000000001</v>
      </c>
      <c r="J1040">
        <v>-300.61520000000002</v>
      </c>
      <c r="K1040">
        <v>1.0712090000000001</v>
      </c>
      <c r="L1040">
        <v>367.21980000000002</v>
      </c>
      <c r="M1040">
        <v>0.99991580000000002</v>
      </c>
      <c r="N1040">
        <v>-1.2028580000000001E-2</v>
      </c>
      <c r="O1040">
        <v>4.8779380000000001E-3</v>
      </c>
      <c r="P1040">
        <v>0.9874733</v>
      </c>
      <c r="Q1040">
        <v>0.15697159999999999</v>
      </c>
      <c r="R1040">
        <v>1.601317E-2</v>
      </c>
      <c r="S1040">
        <v>3.1617739999999999</v>
      </c>
      <c r="T1040">
        <v>-0.75457390000000002</v>
      </c>
      <c r="U1040">
        <v>-0.23300170000000001</v>
      </c>
      <c r="V1040">
        <v>-1.118915E-2</v>
      </c>
      <c r="W1040">
        <v>0.16883919999999999</v>
      </c>
      <c r="X1040">
        <v>0.98558009999999996</v>
      </c>
      <c r="Y1040">
        <v>7.6001639999999995E-2</v>
      </c>
      <c r="Z1040">
        <v>-1.0485E-2</v>
      </c>
      <c r="AA1040">
        <v>0.99705259999999996</v>
      </c>
      <c r="AB1040">
        <v>30</v>
      </c>
      <c r="AC1040">
        <v>0.63530000000002895</v>
      </c>
      <c r="AD1040">
        <v>-0.18553829999999999</v>
      </c>
      <c r="AE1040">
        <v>-5.8400000000005899E-2</v>
      </c>
      <c r="AF1040">
        <v>5.6702708464899602E-2</v>
      </c>
      <c r="AG1040">
        <v>-0.18553829999999999</v>
      </c>
      <c r="AH1040">
        <v>0.58548838969348704</v>
      </c>
      <c r="AI1040">
        <v>107.50627347459</v>
      </c>
      <c r="AJ1040">
        <v>84.468335379561395</v>
      </c>
      <c r="AK1040">
        <v>0.61679519484186796</v>
      </c>
      <c r="AL1040">
        <v>80.2796654731616</v>
      </c>
      <c r="AM1040">
        <v>90.650442851496805</v>
      </c>
      <c r="AN1040">
        <v>1.0000000030251801</v>
      </c>
    </row>
    <row r="1041" spans="1:40" x14ac:dyDescent="0.25">
      <c r="A1041" t="str">
        <f>"20190303161859520"</f>
        <v>20190303161859520</v>
      </c>
      <c r="B1041" t="str">
        <f>"1551601139513756"</f>
        <v>1551601139513756</v>
      </c>
      <c r="C1041" t="s">
        <v>40</v>
      </c>
      <c r="D1041">
        <v>4.6932519999999904</v>
      </c>
      <c r="E1041">
        <v>0.53688859999999905</v>
      </c>
      <c r="F1041" t="s">
        <v>42</v>
      </c>
      <c r="G1041">
        <v>-299.72669999999999</v>
      </c>
      <c r="H1041">
        <v>0.85941420000000002</v>
      </c>
      <c r="I1041">
        <v>367.15379999999999</v>
      </c>
      <c r="J1041">
        <v>-300.45080000000002</v>
      </c>
      <c r="K1041">
        <v>1.0712079999999999</v>
      </c>
      <c r="L1041">
        <v>367.22059999999999</v>
      </c>
      <c r="M1041">
        <v>0.99991580000000002</v>
      </c>
      <c r="N1041">
        <v>-1.2027919999999999E-2</v>
      </c>
      <c r="O1041">
        <v>4.8779419999999997E-3</v>
      </c>
      <c r="P1041">
        <v>0.98741250000000003</v>
      </c>
      <c r="Q1041">
        <v>0.157328</v>
      </c>
      <c r="R1041">
        <v>1.6271529999999999E-2</v>
      </c>
      <c r="S1041">
        <v>3.1616520000000001</v>
      </c>
      <c r="T1041">
        <v>-0.75357929999999995</v>
      </c>
      <c r="U1041">
        <v>-0.23464969999999999</v>
      </c>
      <c r="V1041">
        <v>-1.1447860000000001E-2</v>
      </c>
      <c r="W1041">
        <v>0.16919400000000001</v>
      </c>
      <c r="X1041">
        <v>0.98551630000000001</v>
      </c>
      <c r="Y1041">
        <v>7.6512289999999997E-2</v>
      </c>
      <c r="Z1041">
        <v>-1.0535299999999999E-2</v>
      </c>
      <c r="AA1041">
        <v>0.99701300000000004</v>
      </c>
      <c r="AB1041">
        <v>30</v>
      </c>
      <c r="AC1041">
        <v>0.72410000000002095</v>
      </c>
      <c r="AD1041">
        <v>-0.21179379999999901</v>
      </c>
      <c r="AE1041">
        <v>-6.6800000000000595E-2</v>
      </c>
      <c r="AF1041">
        <v>6.4831895113325294E-2</v>
      </c>
      <c r="AG1041">
        <v>-0.21179379999999901</v>
      </c>
      <c r="AH1041">
        <v>0.66716958418677796</v>
      </c>
      <c r="AI1041">
        <v>107.53460481556399</v>
      </c>
      <c r="AJ1041">
        <v>84.449735586469401</v>
      </c>
      <c r="AK1041">
        <v>0.70297584766930898</v>
      </c>
      <c r="AL1041">
        <v>80.259040369338805</v>
      </c>
      <c r="AM1041">
        <v>90.6655238103816</v>
      </c>
      <c r="AN1041">
        <v>1.00000002035013</v>
      </c>
    </row>
    <row r="1042" spans="1:40" x14ac:dyDescent="0.25">
      <c r="A1042" t="str">
        <f>"20190303161859536"</f>
        <v>20190303161859536</v>
      </c>
      <c r="B1042" t="str">
        <f>"1551601139523516"</f>
        <v>1551601139523516</v>
      </c>
      <c r="C1042" t="s">
        <v>40</v>
      </c>
      <c r="D1042">
        <v>4.6905669999999997</v>
      </c>
      <c r="E1042">
        <v>0.53688859999999905</v>
      </c>
      <c r="F1042" t="s">
        <v>42</v>
      </c>
      <c r="G1042">
        <v>-299.70940000000002</v>
      </c>
      <c r="H1042">
        <v>0.8952196</v>
      </c>
      <c r="I1042">
        <v>367.1653</v>
      </c>
      <c r="J1042">
        <v>-300.23849999999999</v>
      </c>
      <c r="K1042">
        <v>1.0712140000000001</v>
      </c>
      <c r="L1042">
        <v>367.22160000000002</v>
      </c>
      <c r="M1042">
        <v>0.99991580000000002</v>
      </c>
      <c r="N1042">
        <v>-1.202713E-2</v>
      </c>
      <c r="O1042">
        <v>4.878126E-3</v>
      </c>
      <c r="P1042">
        <v>0.98737620000000004</v>
      </c>
      <c r="Q1042">
        <v>0.1575386</v>
      </c>
      <c r="R1042">
        <v>1.6428269999999998E-2</v>
      </c>
      <c r="S1042">
        <v>3.161743</v>
      </c>
      <c r="T1042">
        <v>-0.75048879999999996</v>
      </c>
      <c r="U1042">
        <v>-0.23571780000000001</v>
      </c>
      <c r="V1042">
        <v>-1.1604389999999999E-2</v>
      </c>
      <c r="W1042">
        <v>0.16940359999999999</v>
      </c>
      <c r="X1042">
        <v>0.98547850000000004</v>
      </c>
      <c r="Y1042">
        <v>7.68543E-2</v>
      </c>
      <c r="Z1042">
        <v>-1.0536520000000001E-2</v>
      </c>
      <c r="AA1042">
        <v>0.9969867</v>
      </c>
      <c r="AB1042">
        <v>30</v>
      </c>
      <c r="AC1042">
        <v>0.52909999999997104</v>
      </c>
      <c r="AD1042">
        <v>-0.175994399999999</v>
      </c>
      <c r="AE1042">
        <v>-5.63000000000215E-2</v>
      </c>
      <c r="AF1042">
        <v>5.3074030979461402E-2</v>
      </c>
      <c r="AG1042">
        <v>-0.175994399999999</v>
      </c>
      <c r="AH1042">
        <v>0.47666956986869802</v>
      </c>
      <c r="AI1042">
        <v>110.150570508638</v>
      </c>
      <c r="AJ1042">
        <v>83.646659302205194</v>
      </c>
      <c r="AK1042">
        <v>0.51088624999561105</v>
      </c>
      <c r="AL1042">
        <v>80.246855648051294</v>
      </c>
      <c r="AM1042">
        <v>90.674648754457294</v>
      </c>
      <c r="AN1042">
        <v>1.00000005776123</v>
      </c>
    </row>
    <row r="1043" spans="1:40" x14ac:dyDescent="0.25">
      <c r="A1043" t="str">
        <f>"20190303161859546"</f>
        <v>20190303161859546</v>
      </c>
      <c r="B1043" t="str">
        <f>"1551601139544012"</f>
        <v>1551601139544012</v>
      </c>
      <c r="C1043" t="s">
        <v>40</v>
      </c>
      <c r="D1043">
        <v>4.6045689999999997</v>
      </c>
      <c r="E1043">
        <v>0.51645299999999905</v>
      </c>
      <c r="F1043" t="s">
        <v>42</v>
      </c>
      <c r="G1043">
        <v>-299.44920000000002</v>
      </c>
      <c r="H1043">
        <v>0.88397219999999999</v>
      </c>
      <c r="I1043">
        <v>367.16289999999998</v>
      </c>
      <c r="J1043">
        <v>-300.09660000000002</v>
      </c>
      <c r="K1043">
        <v>1.071215</v>
      </c>
      <c r="L1043">
        <v>367.22230000000002</v>
      </c>
      <c r="M1043">
        <v>0.99991580000000002</v>
      </c>
      <c r="N1043">
        <v>-1.202663E-2</v>
      </c>
      <c r="O1043">
        <v>4.8781290000000001E-3</v>
      </c>
      <c r="P1043">
        <v>0.98734690000000003</v>
      </c>
      <c r="Q1043">
        <v>0.15773119999999999</v>
      </c>
      <c r="R1043">
        <v>1.634151E-2</v>
      </c>
      <c r="S1043">
        <v>3.161896</v>
      </c>
      <c r="T1043">
        <v>-0.75002000000000002</v>
      </c>
      <c r="U1043">
        <v>-0.23419190000000001</v>
      </c>
      <c r="V1043">
        <v>-1.151801E-2</v>
      </c>
      <c r="W1043">
        <v>0.16959579999999999</v>
      </c>
      <c r="X1043">
        <v>0.98544639999999994</v>
      </c>
      <c r="Y1043">
        <v>7.6388719999999993E-2</v>
      </c>
      <c r="Z1043">
        <v>-1.0472800000000001E-2</v>
      </c>
      <c r="AA1043">
        <v>0.99702310000000005</v>
      </c>
      <c r="AB1043">
        <v>30</v>
      </c>
      <c r="AC1043">
        <v>0.64740000000000397</v>
      </c>
      <c r="AD1043">
        <v>-0.18724279999999999</v>
      </c>
      <c r="AE1043">
        <v>-5.9400000000039199E-2</v>
      </c>
      <c r="AF1043">
        <v>5.77658589370195E-2</v>
      </c>
      <c r="AG1043">
        <v>-0.18724279999999999</v>
      </c>
      <c r="AH1043">
        <v>0.59753601929696698</v>
      </c>
      <c r="AI1043">
        <v>107.32291341535399</v>
      </c>
      <c r="AJ1043">
        <v>84.478179434405803</v>
      </c>
      <c r="AK1043">
        <v>0.62884501665182702</v>
      </c>
      <c r="AL1043">
        <v>80.235681181730001</v>
      </c>
      <c r="AM1043">
        <v>90.669649117642905</v>
      </c>
      <c r="AN1043">
        <v>1.0000000036024701</v>
      </c>
    </row>
    <row r="1044" spans="1:40" x14ac:dyDescent="0.25">
      <c r="A1044" t="str">
        <f>"20190303161859559"</f>
        <v>20190303161859559</v>
      </c>
      <c r="B1044" t="str">
        <f>"1551601139553772"</f>
        <v>1551601139553772</v>
      </c>
      <c r="C1044" t="s">
        <v>40</v>
      </c>
      <c r="D1044">
        <v>4.6938589999999998</v>
      </c>
      <c r="E1044">
        <v>0.51287079999999996</v>
      </c>
      <c r="F1044" t="s">
        <v>42</v>
      </c>
      <c r="G1044">
        <v>-299.12979999999999</v>
      </c>
      <c r="H1044">
        <v>0.99182720000000002</v>
      </c>
      <c r="I1044">
        <v>367.19830000000002</v>
      </c>
      <c r="J1044">
        <v>-299.928</v>
      </c>
      <c r="K1044">
        <v>1.0712159999999999</v>
      </c>
      <c r="L1044">
        <v>367.22309999999999</v>
      </c>
      <c r="M1044">
        <v>0.99991580000000002</v>
      </c>
      <c r="N1044">
        <v>-1.202612E-2</v>
      </c>
      <c r="O1044">
        <v>4.8781320000000003E-3</v>
      </c>
      <c r="P1044">
        <v>0.98735499999999998</v>
      </c>
      <c r="Q1044">
        <v>0.15768960000000001</v>
      </c>
      <c r="R1044">
        <v>1.6261810000000002E-2</v>
      </c>
      <c r="S1044">
        <v>3.0800779999999999</v>
      </c>
      <c r="T1044">
        <v>-0.2530134</v>
      </c>
      <c r="U1044">
        <v>-7.5775149999999999E-2</v>
      </c>
      <c r="V1044">
        <v>-1.1438210000000001E-2</v>
      </c>
      <c r="W1044">
        <v>0.16955399999999901</v>
      </c>
      <c r="X1044">
        <v>0.98545450000000001</v>
      </c>
      <c r="Y1044">
        <v>2.9345699999999999E-2</v>
      </c>
      <c r="Z1044">
        <v>-1.721338E-3</v>
      </c>
      <c r="AA1044">
        <v>0.99956789999999995</v>
      </c>
      <c r="AB1044">
        <v>30</v>
      </c>
      <c r="AC1044">
        <v>0.79820000000000801</v>
      </c>
      <c r="AD1044">
        <v>-7.9388799999999995E-2</v>
      </c>
      <c r="AE1044">
        <v>-2.4799999999970599E-2</v>
      </c>
      <c r="AF1044">
        <v>2.8412914829018199E-2</v>
      </c>
      <c r="AG1044">
        <v>-7.9388799999999995E-2</v>
      </c>
      <c r="AH1044">
        <v>0.790259609679411</v>
      </c>
      <c r="AI1044">
        <v>95.732958664090305</v>
      </c>
      <c r="AJ1044">
        <v>87.940880241272495</v>
      </c>
      <c r="AK1044">
        <v>0.794745321461646</v>
      </c>
      <c r="AL1044">
        <v>80.238111123348006</v>
      </c>
      <c r="AM1044">
        <v>90.665004553471604</v>
      </c>
      <c r="AN1044">
        <v>0.999999981567126</v>
      </c>
    </row>
    <row r="1045" spans="1:40" x14ac:dyDescent="0.25">
      <c r="A1045" t="str">
        <f>"20190303161859571"</f>
        <v>20190303161859571</v>
      </c>
      <c r="B1045" t="str">
        <f>"1551601139563533"</f>
        <v>1551601139563533</v>
      </c>
      <c r="C1045" t="s">
        <v>40</v>
      </c>
      <c r="D1045">
        <v>4.6770630000000004</v>
      </c>
      <c r="E1045">
        <v>0.50877899999999998</v>
      </c>
      <c r="F1045" t="s">
        <v>44</v>
      </c>
      <c r="G1045">
        <v>-280.73289999999997</v>
      </c>
      <c r="H1045">
        <v>-0.05</v>
      </c>
      <c r="I1045">
        <v>366.92399999999998</v>
      </c>
      <c r="J1045">
        <v>-299.77699999999999</v>
      </c>
      <c r="K1045">
        <v>1.07121</v>
      </c>
      <c r="L1045">
        <v>367.22379999999998</v>
      </c>
      <c r="M1045">
        <v>0.99991580000000002</v>
      </c>
      <c r="N1045">
        <v>-1.20257E-2</v>
      </c>
      <c r="O1045">
        <v>4.8783139999999999E-3</v>
      </c>
      <c r="P1045">
        <v>0.98736889999999999</v>
      </c>
      <c r="Q1045">
        <v>0.15763779999999999</v>
      </c>
      <c r="R1045">
        <v>1.5918740000000001E-2</v>
      </c>
      <c r="S1045">
        <v>3.0678709999999998</v>
      </c>
      <c r="T1045">
        <v>-0.17919889999999999</v>
      </c>
      <c r="U1045">
        <v>-4.7790529999999998E-2</v>
      </c>
      <c r="V1045">
        <v>-1.1095280000000001E-2</v>
      </c>
      <c r="W1045">
        <v>0.1695014</v>
      </c>
      <c r="X1045">
        <v>0.98546750000000005</v>
      </c>
      <c r="Y1045">
        <v>2.0406560000000001E-2</v>
      </c>
      <c r="Z1045">
        <v>-9.4435229999999997E-4</v>
      </c>
      <c r="AA1045">
        <v>0.99979130000000005</v>
      </c>
      <c r="AB1045">
        <v>30</v>
      </c>
      <c r="AC1045">
        <v>19.0441</v>
      </c>
      <c r="AD1045">
        <v>-1.12121</v>
      </c>
      <c r="AE1045">
        <v>-0.299799999999947</v>
      </c>
      <c r="AF1045">
        <v>0.391350089466662</v>
      </c>
      <c r="AG1045">
        <v>-1.12121</v>
      </c>
      <c r="AH1045">
        <v>18.976650258988201</v>
      </c>
      <c r="AI1045">
        <v>93.380596438084396</v>
      </c>
      <c r="AJ1045">
        <v>88.818572815683297</v>
      </c>
      <c r="AK1045">
        <v>19.013771898510399</v>
      </c>
      <c r="AL1045">
        <v>80.241169441899501</v>
      </c>
      <c r="AM1045">
        <v>90.645060194251002</v>
      </c>
      <c r="AN1045">
        <v>1.0000000116982399</v>
      </c>
    </row>
    <row r="1046" spans="1:40" x14ac:dyDescent="0.25">
      <c r="A1046" t="str">
        <f>"20190303161859592"</f>
        <v>20190303161859592</v>
      </c>
      <c r="B1046" t="str">
        <f>"1551601139584028"</f>
        <v>1551601139584028</v>
      </c>
      <c r="C1046" t="s">
        <v>40</v>
      </c>
      <c r="D1046">
        <v>4.656358</v>
      </c>
      <c r="E1046">
        <v>0.50482329999999997</v>
      </c>
      <c r="F1046" t="s">
        <v>41</v>
      </c>
      <c r="G1046">
        <v>-275.05560000000003</v>
      </c>
      <c r="H1046" s="1">
        <v>-2.5521640000000002E-6</v>
      </c>
      <c r="I1046">
        <v>367.08670000000001</v>
      </c>
      <c r="J1046">
        <v>-299.4982</v>
      </c>
      <c r="K1046">
        <v>1.0712029999999999</v>
      </c>
      <c r="L1046">
        <v>367.22519999999997</v>
      </c>
      <c r="M1046">
        <v>0.99991580000000002</v>
      </c>
      <c r="N1046">
        <v>-1.2024999999999999E-2</v>
      </c>
      <c r="O1046">
        <v>4.8784969999999999E-3</v>
      </c>
      <c r="P1046">
        <v>0.98742450000000004</v>
      </c>
      <c r="Q1046">
        <v>0.15736</v>
      </c>
      <c r="R1046">
        <v>1.519063E-2</v>
      </c>
      <c r="S1046">
        <v>3.0598139999999998</v>
      </c>
      <c r="T1046">
        <v>-0.13258529999999999</v>
      </c>
      <c r="U1046">
        <v>-1.696777E-2</v>
      </c>
      <c r="V1046">
        <v>-1.0366490000000001E-2</v>
      </c>
      <c r="W1046">
        <v>0.1692236</v>
      </c>
      <c r="X1046">
        <v>0.98552320000000004</v>
      </c>
      <c r="Y1046">
        <v>1.0409109999999999E-2</v>
      </c>
      <c r="Z1046">
        <v>-4.4068150000000001E-4</v>
      </c>
      <c r="AA1046">
        <v>0.99994570000000005</v>
      </c>
      <c r="AB1046">
        <v>30</v>
      </c>
      <c r="AC1046">
        <v>24.442599999999899</v>
      </c>
      <c r="AD1046">
        <v>-1.071205552164</v>
      </c>
      <c r="AE1046">
        <v>-0.13849999999996401</v>
      </c>
      <c r="AF1046">
        <v>0.25725603829849902</v>
      </c>
      <c r="AG1046">
        <v>-1.071205552164</v>
      </c>
      <c r="AH1046">
        <v>24.394780760191601</v>
      </c>
      <c r="AI1046">
        <v>92.514175033297505</v>
      </c>
      <c r="AJ1046">
        <v>89.395807691891804</v>
      </c>
      <c r="AK1046">
        <v>24.419643534295101</v>
      </c>
      <c r="AL1046">
        <v>80.257319738694093</v>
      </c>
      <c r="AM1046">
        <v>90.602658791623895</v>
      </c>
      <c r="AN1046">
        <v>1.0000000343250499</v>
      </c>
    </row>
    <row r="1047" spans="1:40" x14ac:dyDescent="0.25">
      <c r="A1047" t="str">
        <f>"20190303161859606"</f>
        <v>20190303161859606</v>
      </c>
      <c r="B1047" t="str">
        <f>"1551601139593788"</f>
        <v>1551601139593788</v>
      </c>
      <c r="C1047" t="s">
        <v>40</v>
      </c>
      <c r="D1047">
        <v>4.7902480000000001</v>
      </c>
      <c r="E1047">
        <v>0.50395630000000002</v>
      </c>
      <c r="F1047" t="s">
        <v>41</v>
      </c>
      <c r="G1047">
        <v>-263.46289999999999</v>
      </c>
      <c r="H1047" s="1">
        <v>-3.1858839999999998E-6</v>
      </c>
      <c r="I1047">
        <v>367.36599999999999</v>
      </c>
      <c r="J1047">
        <v>-299.31580000000002</v>
      </c>
      <c r="K1047">
        <v>1.0712029999999999</v>
      </c>
      <c r="L1047">
        <v>367.22609999999997</v>
      </c>
      <c r="M1047">
        <v>0.99991580000000002</v>
      </c>
      <c r="N1047">
        <v>-1.202459E-2</v>
      </c>
      <c r="O1047">
        <v>4.878678E-3</v>
      </c>
      <c r="P1047">
        <v>0.98750879999999996</v>
      </c>
      <c r="Q1047">
        <v>0.1568322</v>
      </c>
      <c r="R1047">
        <v>1.5171489999999999E-2</v>
      </c>
      <c r="S1047">
        <v>3.0524900000000001</v>
      </c>
      <c r="T1047">
        <v>-9.0739970000000003E-2</v>
      </c>
      <c r="U1047">
        <v>1.1932369999999999E-2</v>
      </c>
      <c r="V1047">
        <v>-1.0347230000000001E-2</v>
      </c>
      <c r="W1047">
        <v>0.16869629999999999</v>
      </c>
      <c r="X1047">
        <v>0.98561379999999998</v>
      </c>
      <c r="Y1047">
        <v>9.6864279999999997E-4</v>
      </c>
      <c r="Z1047">
        <v>-1.06554E-4</v>
      </c>
      <c r="AA1047">
        <v>0.99999950000000004</v>
      </c>
      <c r="AB1047">
        <v>30</v>
      </c>
      <c r="AC1047">
        <v>35.852899999999998</v>
      </c>
      <c r="AD1047">
        <v>-1.0712061858840001</v>
      </c>
      <c r="AE1047">
        <v>0.13990000000001099</v>
      </c>
      <c r="AF1047">
        <v>3.4997825079444302E-2</v>
      </c>
      <c r="AG1047">
        <v>-1.0712061858840001</v>
      </c>
      <c r="AH1047">
        <v>35.821179342724697</v>
      </c>
      <c r="AI1047">
        <v>91.712877123360798</v>
      </c>
      <c r="AJ1047">
        <v>89.9440211889182</v>
      </c>
      <c r="AK1047">
        <v>35.837209671570101</v>
      </c>
      <c r="AL1047">
        <v>80.287972504260793</v>
      </c>
      <c r="AM1047">
        <v>90.601483897625997</v>
      </c>
      <c r="AN1047">
        <v>1.0000000347764</v>
      </c>
    </row>
    <row r="1048" spans="1:40" x14ac:dyDescent="0.25">
      <c r="A1048" t="str">
        <f>"20190303161859620"</f>
        <v>20190303161859620</v>
      </c>
      <c r="B1048" t="str">
        <f>"1551601139604526"</f>
        <v>1551601139604526</v>
      </c>
      <c r="C1048" t="s">
        <v>40</v>
      </c>
      <c r="D1048">
        <v>4.695214</v>
      </c>
      <c r="E1048">
        <v>0.50343779999999905</v>
      </c>
      <c r="F1048" t="s">
        <v>41</v>
      </c>
      <c r="G1048">
        <v>-259.81369999999998</v>
      </c>
      <c r="H1048" s="1">
        <v>-6.2123919999999998E-7</v>
      </c>
      <c r="I1048">
        <v>367.46749999999997</v>
      </c>
      <c r="J1048">
        <v>-299.12959999999998</v>
      </c>
      <c r="K1048">
        <v>1.0711980000000001</v>
      </c>
      <c r="L1048">
        <v>367.2269</v>
      </c>
      <c r="M1048">
        <v>0.99991580000000002</v>
      </c>
      <c r="N1048">
        <v>-1.202422E-2</v>
      </c>
      <c r="O1048">
        <v>4.8791540000000001E-3</v>
      </c>
      <c r="P1048">
        <v>0.98753489999999999</v>
      </c>
      <c r="Q1048">
        <v>0.15669169999999999</v>
      </c>
      <c r="R1048">
        <v>1.4924979999999999E-2</v>
      </c>
      <c r="S1048">
        <v>3.0508120000000001</v>
      </c>
      <c r="T1048">
        <v>-8.2730529999999997E-2</v>
      </c>
      <c r="U1048">
        <v>1.8646240000000001E-2</v>
      </c>
      <c r="V1048">
        <v>-1.009932E-2</v>
      </c>
      <c r="W1048">
        <v>0.16855580000000001</v>
      </c>
      <c r="X1048">
        <v>0.98564039999999997</v>
      </c>
      <c r="Y1048">
        <v>-1.232194E-3</v>
      </c>
      <c r="Z1048" s="1">
        <v>-4.9506049999999898E-5</v>
      </c>
      <c r="AA1048">
        <v>0.99999919999999998</v>
      </c>
      <c r="AB1048">
        <v>30</v>
      </c>
      <c r="AC1048">
        <v>39.315899999999999</v>
      </c>
      <c r="AD1048">
        <v>-1.0711986212392</v>
      </c>
      <c r="AE1048">
        <v>0.240599999999972</v>
      </c>
      <c r="AF1048">
        <v>-4.8718770921375103E-2</v>
      </c>
      <c r="AG1048">
        <v>-1.0711986212392</v>
      </c>
      <c r="AH1048">
        <v>39.2874423638333</v>
      </c>
      <c r="AI1048">
        <v>91.5618199312147</v>
      </c>
      <c r="AJ1048">
        <v>90.071050146257804</v>
      </c>
      <c r="AK1048">
        <v>39.3020733231251</v>
      </c>
      <c r="AL1048">
        <v>80.296139426203396</v>
      </c>
      <c r="AM1048">
        <v>90.5870580817232</v>
      </c>
      <c r="AN1048">
        <v>1.0000000260451301</v>
      </c>
    </row>
    <row r="1049" spans="1:40" x14ac:dyDescent="0.25">
      <c r="A1049" t="str">
        <f>"20190303161859633"</f>
        <v>20190303161859633</v>
      </c>
      <c r="B1049" t="str">
        <f>"1551601139624044"</f>
        <v>1551601139624044</v>
      </c>
      <c r="C1049" t="s">
        <v>40</v>
      </c>
      <c r="D1049">
        <v>4.6570419999999997</v>
      </c>
      <c r="E1049">
        <v>0.5022411</v>
      </c>
      <c r="F1049" t="s">
        <v>41</v>
      </c>
      <c r="G1049">
        <v>-257.13</v>
      </c>
      <c r="H1049" s="1">
        <v>-1.583693E-6</v>
      </c>
      <c r="I1049">
        <v>367.52949999999998</v>
      </c>
      <c r="J1049">
        <v>-298.96080000000001</v>
      </c>
      <c r="K1049">
        <v>1.0711949999999999</v>
      </c>
      <c r="L1049">
        <v>367.2278</v>
      </c>
      <c r="M1049">
        <v>0.99991589999999997</v>
      </c>
      <c r="N1049">
        <v>-1.202392E-2</v>
      </c>
      <c r="O1049">
        <v>4.8791549999999996E-3</v>
      </c>
      <c r="P1049">
        <v>0.98758299999999999</v>
      </c>
      <c r="Q1049">
        <v>0.1564102</v>
      </c>
      <c r="R1049">
        <v>1.469854E-2</v>
      </c>
      <c r="S1049">
        <v>3.0498660000000002</v>
      </c>
      <c r="T1049">
        <v>-7.7786679999999997E-2</v>
      </c>
      <c r="U1049">
        <v>2.1972660000000001E-2</v>
      </c>
      <c r="V1049">
        <v>-9.872802E-3</v>
      </c>
      <c r="W1049">
        <v>0.16827420000000001</v>
      </c>
      <c r="X1049">
        <v>0.98569079999999998</v>
      </c>
      <c r="Y1049">
        <v>-2.3241440000000002E-3</v>
      </c>
      <c r="Z1049" s="1">
        <v>-2.2146449999999999E-5</v>
      </c>
      <c r="AA1049">
        <v>0.99999729999999998</v>
      </c>
      <c r="AB1049">
        <v>30</v>
      </c>
      <c r="AC1049">
        <v>41.830800000000004</v>
      </c>
      <c r="AD1049">
        <v>-1.071196583693</v>
      </c>
      <c r="AE1049">
        <v>0.30169999999998198</v>
      </c>
      <c r="AF1049">
        <v>-9.7518769393909202E-2</v>
      </c>
      <c r="AG1049">
        <v>-1.071196583693</v>
      </c>
      <c r="AH1049">
        <v>41.804361885734103</v>
      </c>
      <c r="AI1049">
        <v>91.467824077204995</v>
      </c>
      <c r="AJ1049">
        <v>90.133655999579801</v>
      </c>
      <c r="AK1049">
        <v>41.818197530557399</v>
      </c>
      <c r="AL1049">
        <v>80.312507619907294</v>
      </c>
      <c r="AM1049">
        <v>90.573862484246007</v>
      </c>
      <c r="AN1049">
        <v>1.0000000159047999</v>
      </c>
    </row>
    <row r="1050" spans="1:40" x14ac:dyDescent="0.25">
      <c r="A1050" t="str">
        <f>"20190303161859648"</f>
        <v>20190303161859648</v>
      </c>
      <c r="B1050" t="str">
        <f>"1551601139643564"</f>
        <v>1551601139643564</v>
      </c>
      <c r="C1050" t="s">
        <v>40</v>
      </c>
      <c r="D1050">
        <v>5.5137210000000003</v>
      </c>
      <c r="E1050">
        <v>0.50125779999999998</v>
      </c>
      <c r="F1050" t="s">
        <v>41</v>
      </c>
      <c r="G1050">
        <v>-254.82320000000001</v>
      </c>
      <c r="H1050" s="1">
        <v>-2.5481050000000001E-6</v>
      </c>
      <c r="I1050">
        <v>367.67180000000002</v>
      </c>
      <c r="J1050">
        <v>-298.7595</v>
      </c>
      <c r="K1050">
        <v>1.0712010000000001</v>
      </c>
      <c r="L1050">
        <v>367.22879999999998</v>
      </c>
      <c r="M1050">
        <v>0.99991589999999997</v>
      </c>
      <c r="N1050">
        <v>-1.2023590000000001E-2</v>
      </c>
      <c r="O1050">
        <v>4.8795139999999997E-3</v>
      </c>
      <c r="P1050">
        <v>0.98765590000000003</v>
      </c>
      <c r="Q1050">
        <v>0.15595609999999999</v>
      </c>
      <c r="R1050">
        <v>1.4619409999999999E-2</v>
      </c>
      <c r="S1050">
        <v>3.0489809999999999</v>
      </c>
      <c r="T1050">
        <v>-7.3997019999999997E-2</v>
      </c>
      <c r="U1050">
        <v>3.067017E-2</v>
      </c>
      <c r="V1050">
        <v>-9.7931960000000005E-3</v>
      </c>
      <c r="W1050">
        <v>0.1678211</v>
      </c>
      <c r="X1050">
        <v>0.98576889999999995</v>
      </c>
      <c r="Y1050">
        <v>-5.1769909999999997E-3</v>
      </c>
      <c r="Z1050" s="1">
        <v>3.4206830000000001E-5</v>
      </c>
      <c r="AA1050">
        <v>0.99998659999999995</v>
      </c>
      <c r="AB1050">
        <v>30</v>
      </c>
      <c r="AC1050">
        <v>43.936299999999903</v>
      </c>
      <c r="AD1050">
        <v>-1.071203548105</v>
      </c>
      <c r="AE1050">
        <v>0.44300000000003997</v>
      </c>
      <c r="AF1050">
        <v>-0.22845566977865001</v>
      </c>
      <c r="AG1050">
        <v>-1.071203548105</v>
      </c>
      <c r="AH1050">
        <v>43.911839007865801</v>
      </c>
      <c r="AI1050">
        <v>91.397400868162293</v>
      </c>
      <c r="AJ1050">
        <v>90.298084249792893</v>
      </c>
      <c r="AK1050">
        <v>43.925496856464299</v>
      </c>
      <c r="AL1050">
        <v>80.338843442721796</v>
      </c>
      <c r="AM1050">
        <v>90.569190547747695</v>
      </c>
      <c r="AN1050">
        <v>1.00000007625015</v>
      </c>
    </row>
    <row r="1051" spans="1:40" x14ac:dyDescent="0.25">
      <c r="A1051" t="str">
        <f>"20190303161859659"</f>
        <v>20190303161859659</v>
      </c>
      <c r="B1051" t="str">
        <f>"1551601139654301"</f>
        <v>1551601139654301</v>
      </c>
      <c r="C1051" t="s">
        <v>40</v>
      </c>
      <c r="D1051">
        <v>5.4655990000000001</v>
      </c>
      <c r="E1051">
        <v>0.50084200000000001</v>
      </c>
      <c r="F1051" t="s">
        <v>41</v>
      </c>
      <c r="G1051">
        <v>-252.15729999999999</v>
      </c>
      <c r="H1051" s="1">
        <v>-3.6660379999999999E-6</v>
      </c>
      <c r="I1051">
        <v>367.81670000000003</v>
      </c>
      <c r="J1051">
        <v>-298.6035</v>
      </c>
      <c r="K1051">
        <v>1.071199</v>
      </c>
      <c r="L1051">
        <v>367.22949999999997</v>
      </c>
      <c r="M1051">
        <v>0.99991600000000003</v>
      </c>
      <c r="N1051">
        <v>-1.202337E-2</v>
      </c>
      <c r="O1051">
        <v>4.8795160000000004E-3</v>
      </c>
      <c r="P1051">
        <v>0.98767510000000003</v>
      </c>
      <c r="Q1051">
        <v>0.155826399999999</v>
      </c>
      <c r="R1051">
        <v>1.470746E-2</v>
      </c>
      <c r="S1051">
        <v>3.0480040000000002</v>
      </c>
      <c r="T1051">
        <v>-7.0061799999999994E-2</v>
      </c>
      <c r="U1051">
        <v>3.8452149999999997E-2</v>
      </c>
      <c r="V1051">
        <v>-9.8808469999999999E-3</v>
      </c>
      <c r="W1051">
        <v>0.16769129999999999</v>
      </c>
      <c r="X1051">
        <v>0.98579000000000006</v>
      </c>
      <c r="Y1051">
        <v>-7.7320669999999996E-3</v>
      </c>
      <c r="Z1051" s="1">
        <v>8.1869709999999994E-5</v>
      </c>
      <c r="AA1051">
        <v>0.99997009999999997</v>
      </c>
      <c r="AB1051">
        <v>30</v>
      </c>
      <c r="AC1051">
        <v>46.446199999999997</v>
      </c>
      <c r="AD1051">
        <v>-1.0712026660380001</v>
      </c>
      <c r="AE1051">
        <v>0.58720000000005201</v>
      </c>
      <c r="AF1051">
        <v>-0.36035004687540401</v>
      </c>
      <c r="AG1051">
        <v>-1.0712026660380001</v>
      </c>
      <c r="AH1051">
        <v>46.423822820948899</v>
      </c>
      <c r="AI1051">
        <v>91.321792367205106</v>
      </c>
      <c r="AJ1051">
        <v>90.444731194731403</v>
      </c>
      <c r="AK1051">
        <v>46.437578022748703</v>
      </c>
      <c r="AL1051">
        <v>80.346386245361899</v>
      </c>
      <c r="AM1051">
        <v>90.574272282405104</v>
      </c>
      <c r="AN1051">
        <v>0.99999996366656296</v>
      </c>
    </row>
    <row r="1052" spans="1:40" x14ac:dyDescent="0.25">
      <c r="A1052" t="str">
        <f>"20190303161859670"</f>
        <v>20190303161859670</v>
      </c>
      <c r="B1052" t="str">
        <f>"1551601139664061"</f>
        <v>1551601139664061</v>
      </c>
      <c r="C1052" t="s">
        <v>40</v>
      </c>
      <c r="D1052">
        <v>4.6765359999999996</v>
      </c>
      <c r="E1052">
        <v>0.50054390000000004</v>
      </c>
      <c r="F1052" t="s">
        <v>41</v>
      </c>
      <c r="G1052">
        <v>-249.49780000000001</v>
      </c>
      <c r="H1052" s="1">
        <v>-6.3277069999999896E-7</v>
      </c>
      <c r="I1052">
        <v>367.90370000000001</v>
      </c>
      <c r="J1052">
        <v>-298.45139999999998</v>
      </c>
      <c r="K1052">
        <v>1.071204</v>
      </c>
      <c r="L1052">
        <v>367.2303</v>
      </c>
      <c r="M1052">
        <v>0.99991589999999997</v>
      </c>
      <c r="N1052">
        <v>-1.202317E-2</v>
      </c>
      <c r="O1052">
        <v>4.8796959999999898E-3</v>
      </c>
      <c r="P1052">
        <v>0.98769609999999997</v>
      </c>
      <c r="Q1052">
        <v>0.15570609999999999</v>
      </c>
      <c r="R1052">
        <v>1.457165E-2</v>
      </c>
      <c r="S1052">
        <v>3.0473020000000002</v>
      </c>
      <c r="T1052">
        <v>-6.6474320000000003E-2</v>
      </c>
      <c r="U1052">
        <v>4.1839599999999998E-2</v>
      </c>
      <c r="V1052">
        <v>-9.7452019999999997E-3</v>
      </c>
      <c r="W1052">
        <v>0.16757149999999901</v>
      </c>
      <c r="X1052">
        <v>0.98581180000000002</v>
      </c>
      <c r="Y1052">
        <v>-8.8459709999999993E-3</v>
      </c>
      <c r="Z1052">
        <v>1.018989E-4</v>
      </c>
      <c r="AA1052">
        <v>0.99996079999999998</v>
      </c>
      <c r="AB1052">
        <v>30</v>
      </c>
      <c r="AC1052">
        <v>48.953599999999902</v>
      </c>
      <c r="AD1052">
        <v>-1.0712046327707001</v>
      </c>
      <c r="AE1052">
        <v>0.67340000000001499</v>
      </c>
      <c r="AF1052">
        <v>-0.43428814057923998</v>
      </c>
      <c r="AG1052">
        <v>-1.0712046327707001</v>
      </c>
      <c r="AH1052">
        <v>48.932877521745098</v>
      </c>
      <c r="AI1052">
        <v>91.254029808320894</v>
      </c>
      <c r="AJ1052">
        <v>90.508497057746595</v>
      </c>
      <c r="AK1052">
        <v>48.946527845317298</v>
      </c>
      <c r="AL1052">
        <v>80.353349553140603</v>
      </c>
      <c r="AM1052">
        <v>90.566376622930704</v>
      </c>
      <c r="AN1052">
        <v>1.00000004079675</v>
      </c>
    </row>
    <row r="1053" spans="1:40" x14ac:dyDescent="0.25">
      <c r="A1053" t="str">
        <f>"20190303161859681"</f>
        <v>20190303161859681</v>
      </c>
      <c r="B1053" t="str">
        <f>"1551601139673820"</f>
        <v>1551601139673820</v>
      </c>
      <c r="C1053" t="s">
        <v>40</v>
      </c>
      <c r="D1053">
        <v>4.68276</v>
      </c>
      <c r="E1053">
        <v>0.50028149999999905</v>
      </c>
      <c r="F1053" t="s">
        <v>41</v>
      </c>
      <c r="G1053">
        <v>-246.43510000000001</v>
      </c>
      <c r="H1053" s="1">
        <v>-1.9556270000000001E-6</v>
      </c>
      <c r="I1053">
        <v>367.98160000000001</v>
      </c>
      <c r="J1053">
        <v>-298.3048</v>
      </c>
      <c r="K1053">
        <v>1.071202</v>
      </c>
      <c r="L1053">
        <v>367.23099999999999</v>
      </c>
      <c r="M1053">
        <v>0.99991580000000002</v>
      </c>
      <c r="N1053">
        <v>-1.2023000000000001E-2</v>
      </c>
      <c r="O1053">
        <v>4.8798160000000004E-3</v>
      </c>
      <c r="P1053">
        <v>0.98770139999999995</v>
      </c>
      <c r="Q1053">
        <v>0.1556583</v>
      </c>
      <c r="R1053">
        <v>1.471252E-2</v>
      </c>
      <c r="S1053">
        <v>3.04657</v>
      </c>
      <c r="T1053">
        <v>-6.2739970000000006E-2</v>
      </c>
      <c r="U1053">
        <v>4.400635E-2</v>
      </c>
      <c r="V1053">
        <v>-9.8853650000000001E-3</v>
      </c>
      <c r="W1053">
        <v>0.16752349999999999</v>
      </c>
      <c r="X1053">
        <v>0.98581850000000004</v>
      </c>
      <c r="Y1053">
        <v>-9.5601880000000007E-3</v>
      </c>
      <c r="Z1053">
        <v>1.141009E-4</v>
      </c>
      <c r="AA1053">
        <v>0.99995429999999996</v>
      </c>
      <c r="AB1053">
        <v>30</v>
      </c>
      <c r="AC1053">
        <v>51.869700000000002</v>
      </c>
      <c r="AD1053">
        <v>-1.0712039556270001</v>
      </c>
      <c r="AE1053">
        <v>0.75060000000001903</v>
      </c>
      <c r="AF1053">
        <v>-0.49724614011448098</v>
      </c>
      <c r="AG1053">
        <v>-1.0712039556270001</v>
      </c>
      <c r="AH1053">
        <v>51.850635829719401</v>
      </c>
      <c r="AI1053">
        <v>91.183474688633794</v>
      </c>
      <c r="AJ1053">
        <v>90.549448071591399</v>
      </c>
      <c r="AK1053">
        <v>51.864083599197997</v>
      </c>
      <c r="AL1053">
        <v>80.356138585129997</v>
      </c>
      <c r="AM1053">
        <v>90.574518241121893</v>
      </c>
      <c r="AN1053">
        <v>0.99999997921784101</v>
      </c>
    </row>
    <row r="1054" spans="1:40" x14ac:dyDescent="0.25">
      <c r="A1054" t="str">
        <f>"20190303161859694"</f>
        <v>20190303161859694</v>
      </c>
      <c r="B1054" t="str">
        <f>"1551601139683580"</f>
        <v>1551601139683580</v>
      </c>
      <c r="C1054" t="s">
        <v>40</v>
      </c>
      <c r="D1054">
        <v>4.6750360000000004</v>
      </c>
      <c r="E1054">
        <v>0.49994559999999999</v>
      </c>
      <c r="F1054" t="s">
        <v>41</v>
      </c>
      <c r="G1054">
        <v>-243.0829</v>
      </c>
      <c r="H1054" s="1">
        <v>-3.5236119999999999E-6</v>
      </c>
      <c r="I1054">
        <v>368.07530000000003</v>
      </c>
      <c r="J1054">
        <v>-298.149</v>
      </c>
      <c r="K1054">
        <v>1.0712029999999999</v>
      </c>
      <c r="L1054">
        <v>367.23180000000002</v>
      </c>
      <c r="M1054">
        <v>0.99991589999999997</v>
      </c>
      <c r="N1054">
        <v>-1.202286E-2</v>
      </c>
      <c r="O1054">
        <v>4.8798180000000002E-3</v>
      </c>
      <c r="P1054">
        <v>0.98773569999999999</v>
      </c>
      <c r="Q1054">
        <v>0.1554556</v>
      </c>
      <c r="R1054">
        <v>1.456359E-2</v>
      </c>
      <c r="S1054">
        <v>3.0459589999999999</v>
      </c>
      <c r="T1054">
        <v>-5.9086079999999999E-2</v>
      </c>
      <c r="U1054">
        <v>4.6569819999999998E-2</v>
      </c>
      <c r="V1054">
        <v>-9.7366929999999994E-3</v>
      </c>
      <c r="W1054">
        <v>0.16732089999999999</v>
      </c>
      <c r="X1054">
        <v>0.98585440000000002</v>
      </c>
      <c r="Y1054">
        <v>-1.0404450000000001E-2</v>
      </c>
      <c r="Z1054">
        <v>1.27482E-4</v>
      </c>
      <c r="AA1054">
        <v>0.99994590000000005</v>
      </c>
      <c r="AB1054">
        <v>30</v>
      </c>
      <c r="AC1054">
        <v>55.066099999999999</v>
      </c>
      <c r="AD1054">
        <v>-1.0712065236120001</v>
      </c>
      <c r="AE1054">
        <v>0.84350000000000502</v>
      </c>
      <c r="AF1054">
        <v>-0.574540640528588</v>
      </c>
      <c r="AG1054">
        <v>-1.0712065236120001</v>
      </c>
      <c r="AH1054">
        <v>55.048733858470897</v>
      </c>
      <c r="AI1054">
        <v>91.114730931988205</v>
      </c>
      <c r="AJ1054">
        <v>90.597971222111099</v>
      </c>
      <c r="AK1054">
        <v>55.062152880037402</v>
      </c>
      <c r="AL1054">
        <v>80.367913029397499</v>
      </c>
      <c r="AM1054">
        <v>90.565857673815898</v>
      </c>
      <c r="AN1054">
        <v>0.999999992383373</v>
      </c>
    </row>
    <row r="1055" spans="1:40" x14ac:dyDescent="0.25">
      <c r="A1055" t="str">
        <f>"20190303161859706"</f>
        <v>20190303161859706</v>
      </c>
      <c r="B1055" t="str">
        <f>"1551601139694317"</f>
        <v>1551601139694317</v>
      </c>
      <c r="C1055" t="s">
        <v>40</v>
      </c>
      <c r="D1055">
        <v>4.7552329999999996</v>
      </c>
      <c r="E1055">
        <v>0.49964700000000001</v>
      </c>
      <c r="F1055" t="s">
        <v>41</v>
      </c>
      <c r="G1055">
        <v>-239.95769999999999</v>
      </c>
      <c r="H1055" s="1">
        <v>-3.8734150000000001E-7</v>
      </c>
      <c r="I1055">
        <v>368.16239999999999</v>
      </c>
      <c r="J1055">
        <v>-297.99489999999997</v>
      </c>
      <c r="K1055">
        <v>1.071199</v>
      </c>
      <c r="L1055">
        <v>367.23250000000002</v>
      </c>
      <c r="M1055">
        <v>0.99991589999999997</v>
      </c>
      <c r="N1055">
        <v>-1.2022720000000001E-2</v>
      </c>
      <c r="O1055">
        <v>4.8798189999999996E-3</v>
      </c>
      <c r="P1055">
        <v>0.98774269999999997</v>
      </c>
      <c r="Q1055">
        <v>0.15541240000000001</v>
      </c>
      <c r="R1055">
        <v>1.454795E-2</v>
      </c>
      <c r="S1055">
        <v>3.0453489999999999</v>
      </c>
      <c r="T1055">
        <v>-5.6059600000000001E-2</v>
      </c>
      <c r="U1055">
        <v>4.8706050000000001E-2</v>
      </c>
      <c r="V1055">
        <v>-9.7212489999999995E-3</v>
      </c>
      <c r="W1055">
        <v>0.1672776</v>
      </c>
      <c r="X1055">
        <v>0.98586189999999996</v>
      </c>
      <c r="Y1055">
        <v>-1.110879E-2</v>
      </c>
      <c r="Z1055">
        <v>1.3787819999999901E-4</v>
      </c>
      <c r="AA1055">
        <v>0.99993829999999995</v>
      </c>
      <c r="AB1055">
        <v>30</v>
      </c>
      <c r="AC1055">
        <v>58.037199999999899</v>
      </c>
      <c r="AD1055">
        <v>-1.0711993873415</v>
      </c>
      <c r="AE1055">
        <v>0.92989999999997497</v>
      </c>
      <c r="AF1055">
        <v>-0.64643728597925998</v>
      </c>
      <c r="AG1055">
        <v>-1.0711993873415</v>
      </c>
      <c r="AH1055">
        <v>58.021286200018999</v>
      </c>
      <c r="AI1055">
        <v>91.057619168009793</v>
      </c>
      <c r="AJ1055">
        <v>90.638327728102198</v>
      </c>
      <c r="AK1055">
        <v>58.034774072073901</v>
      </c>
      <c r="AL1055">
        <v>80.370429398365701</v>
      </c>
      <c r="AM1055">
        <v>90.564955890809301</v>
      </c>
      <c r="AN1055">
        <v>0.99999999200774403</v>
      </c>
    </row>
    <row r="1056" spans="1:40" x14ac:dyDescent="0.25">
      <c r="A1056" t="str">
        <f>"20190303161859715"</f>
        <v>20190303161859715</v>
      </c>
      <c r="B1056" t="str">
        <f>"1551601139704076"</f>
        <v>1551601139704076</v>
      </c>
      <c r="C1056" t="s">
        <v>40</v>
      </c>
      <c r="D1056">
        <v>4.7032699999999998</v>
      </c>
      <c r="E1056">
        <v>0.4993629</v>
      </c>
      <c r="F1056" t="s">
        <v>41</v>
      </c>
      <c r="G1056">
        <v>-236.8382</v>
      </c>
      <c r="H1056" s="1">
        <v>-1.580241E-6</v>
      </c>
      <c r="I1056">
        <v>368.25490000000002</v>
      </c>
      <c r="J1056">
        <v>-297.84899999999999</v>
      </c>
      <c r="K1056">
        <v>1.071199</v>
      </c>
      <c r="L1056">
        <v>367.23320000000001</v>
      </c>
      <c r="M1056">
        <v>0.99991580000000002</v>
      </c>
      <c r="N1056">
        <v>-1.2022619999999999E-2</v>
      </c>
      <c r="O1056">
        <v>4.8799990000000003E-3</v>
      </c>
      <c r="P1056">
        <v>0.98776269999999999</v>
      </c>
      <c r="Q1056">
        <v>0.15526319999999999</v>
      </c>
      <c r="R1056">
        <v>1.477407E-2</v>
      </c>
      <c r="S1056">
        <v>3.044861</v>
      </c>
      <c r="T1056">
        <v>-5.3332690000000002E-2</v>
      </c>
      <c r="U1056">
        <v>5.0903320000000002E-2</v>
      </c>
      <c r="V1056">
        <v>-9.9466799999999994E-3</v>
      </c>
      <c r="W1056">
        <v>0.16712859999999999</v>
      </c>
      <c r="X1056">
        <v>0.98588489999999995</v>
      </c>
      <c r="Y1056">
        <v>-1.183259E-2</v>
      </c>
      <c r="Z1056">
        <v>1.479637E-4</v>
      </c>
      <c r="AA1056">
        <v>0.99992999999999999</v>
      </c>
      <c r="AB1056">
        <v>30</v>
      </c>
      <c r="AC1056">
        <v>61.010799999999897</v>
      </c>
      <c r="AD1056">
        <v>-1.0712005802410001</v>
      </c>
      <c r="AE1056">
        <v>1.0217000000000001</v>
      </c>
      <c r="AF1056">
        <v>-0.72371063025633897</v>
      </c>
      <c r="AG1056">
        <v>-1.0712005802410001</v>
      </c>
      <c r="AH1056">
        <v>60.996261766922601</v>
      </c>
      <c r="AI1056">
        <v>91.006039447761097</v>
      </c>
      <c r="AJ1056">
        <v>90.679773118930896</v>
      </c>
      <c r="AK1056">
        <v>61.009959656587199</v>
      </c>
      <c r="AL1056">
        <v>80.379088159638698</v>
      </c>
      <c r="AM1056">
        <v>90.578042577386398</v>
      </c>
      <c r="AN1056">
        <v>0.99999997071449498</v>
      </c>
    </row>
    <row r="1057" spans="1:40" x14ac:dyDescent="0.25">
      <c r="A1057" t="str">
        <f>"20190303161859737"</f>
        <v>20190303161859737</v>
      </c>
      <c r="B1057" t="str">
        <f>"1551601139734333"</f>
        <v>1551601139734333</v>
      </c>
      <c r="C1057" t="s">
        <v>40</v>
      </c>
      <c r="D1057">
        <v>4.8501799999999999</v>
      </c>
      <c r="E1057">
        <v>0.49870179999999997</v>
      </c>
      <c r="F1057" t="s">
        <v>41</v>
      </c>
      <c r="G1057">
        <v>-232.8398</v>
      </c>
      <c r="H1057" s="1">
        <v>-3.2721599999999999E-6</v>
      </c>
      <c r="I1057">
        <v>368.38670000000002</v>
      </c>
      <c r="J1057">
        <v>-297.57429999999999</v>
      </c>
      <c r="K1057">
        <v>1.071197</v>
      </c>
      <c r="L1057">
        <v>367.2346</v>
      </c>
      <c r="M1057">
        <v>0.99991580000000002</v>
      </c>
      <c r="N1057">
        <v>-1.202246E-2</v>
      </c>
      <c r="O1057">
        <v>4.8801779999999998E-3</v>
      </c>
      <c r="P1057">
        <v>0.98782740000000002</v>
      </c>
      <c r="Q1057">
        <v>0.1548321</v>
      </c>
      <c r="R1057">
        <v>1.4978200000000001E-2</v>
      </c>
      <c r="S1057">
        <v>3.0442809999999998</v>
      </c>
      <c r="T1057">
        <v>-5.0162669999999999E-2</v>
      </c>
      <c r="U1057">
        <v>5.4016109999999999E-2</v>
      </c>
      <c r="V1057">
        <v>-1.015052E-2</v>
      </c>
      <c r="W1057">
        <v>0.16669790000000001</v>
      </c>
      <c r="X1057">
        <v>0.98595580000000005</v>
      </c>
      <c r="Y1057">
        <v>-1.2857739999999999E-2</v>
      </c>
      <c r="Z1057">
        <v>1.614939E-4</v>
      </c>
      <c r="AA1057">
        <v>0.99991730000000001</v>
      </c>
      <c r="AB1057">
        <v>30</v>
      </c>
      <c r="AC1057">
        <v>64.734499999999997</v>
      </c>
      <c r="AD1057">
        <v>-1.07120027216</v>
      </c>
      <c r="AE1057">
        <v>1.1521000000000099</v>
      </c>
      <c r="AF1057">
        <v>-0.83591873517394599</v>
      </c>
      <c r="AG1057">
        <v>-1.07120027216</v>
      </c>
      <c r="AH1057">
        <v>64.721635226950397</v>
      </c>
      <c r="AI1057">
        <v>90.948130158621296</v>
      </c>
      <c r="AJ1057">
        <v>90.739968211500099</v>
      </c>
      <c r="AK1057">
        <v>64.735896507311296</v>
      </c>
      <c r="AL1057">
        <v>80.404117147894596</v>
      </c>
      <c r="AM1057">
        <v>90.589845315612195</v>
      </c>
      <c r="AN1057">
        <v>1.00000003123715</v>
      </c>
    </row>
    <row r="1058" spans="1:40" x14ac:dyDescent="0.25">
      <c r="A1058" t="str">
        <f>"20190303161859747"</f>
        <v>20190303161859747</v>
      </c>
      <c r="B1058" t="str">
        <f>"1551601139744092"</f>
        <v>1551601139744092</v>
      </c>
      <c r="C1058" t="s">
        <v>40</v>
      </c>
      <c r="D1058">
        <v>4.7309369999999999</v>
      </c>
      <c r="E1058">
        <v>0.45870030000000001</v>
      </c>
      <c r="F1058" t="s">
        <v>41</v>
      </c>
      <c r="G1058">
        <v>-232.06970000000001</v>
      </c>
      <c r="H1058" s="1">
        <v>-3.579384E-6</v>
      </c>
      <c r="I1058">
        <v>368.5172</v>
      </c>
      <c r="J1058">
        <v>-297.42970000000003</v>
      </c>
      <c r="K1058">
        <v>1.071197</v>
      </c>
      <c r="L1058">
        <v>367.2353</v>
      </c>
      <c r="M1058">
        <v>0.99991589999999997</v>
      </c>
      <c r="N1058">
        <v>-1.2022390000000001E-2</v>
      </c>
      <c r="O1058">
        <v>4.8801790000000001E-3</v>
      </c>
      <c r="P1058">
        <v>0.98783860000000001</v>
      </c>
      <c r="Q1058">
        <v>0.1547626</v>
      </c>
      <c r="R1058">
        <v>1.4959439999999999E-2</v>
      </c>
      <c r="S1058">
        <v>3.0438230000000002</v>
      </c>
      <c r="T1058">
        <v>-4.9775720000000002E-2</v>
      </c>
      <c r="U1058">
        <v>5.960083E-2</v>
      </c>
      <c r="V1058">
        <v>-1.013183E-2</v>
      </c>
      <c r="W1058">
        <v>0.1666289</v>
      </c>
      <c r="X1058">
        <v>0.98596760000000006</v>
      </c>
      <c r="Y1058">
        <v>-1.4693970000000001E-2</v>
      </c>
      <c r="Z1058">
        <v>1.873523E-4</v>
      </c>
      <c r="AA1058">
        <v>0.999892</v>
      </c>
      <c r="AB1058">
        <v>30</v>
      </c>
      <c r="AC1058">
        <v>65.36</v>
      </c>
      <c r="AD1058">
        <v>-1.071200579384</v>
      </c>
      <c r="AE1058">
        <v>1.2819</v>
      </c>
      <c r="AF1058">
        <v>-0.96263473387674503</v>
      </c>
      <c r="AG1058">
        <v>-1.071200579384</v>
      </c>
      <c r="AH1058">
        <v>65.347931754467993</v>
      </c>
      <c r="AI1058">
        <v>90.939021600253298</v>
      </c>
      <c r="AJ1058">
        <v>90.843958132531498</v>
      </c>
      <c r="AK1058">
        <v>65.363799774024301</v>
      </c>
      <c r="AL1058">
        <v>80.408126101629705</v>
      </c>
      <c r="AM1058">
        <v>90.588752273075897</v>
      </c>
      <c r="AN1058">
        <v>0.99999997627205905</v>
      </c>
    </row>
    <row r="1059" spans="1:40" x14ac:dyDescent="0.25">
      <c r="A1059" t="str">
        <f>"20190303161859758"</f>
        <v>20190303161859758</v>
      </c>
      <c r="B1059" t="str">
        <f>"1551601139753853"</f>
        <v>1551601139753853</v>
      </c>
      <c r="C1059" t="s">
        <v>40</v>
      </c>
      <c r="D1059">
        <v>4.7823880000000001</v>
      </c>
      <c r="E1059">
        <v>0.45239950000000001</v>
      </c>
      <c r="F1059" t="s">
        <v>41</v>
      </c>
      <c r="G1059">
        <v>-249.2235</v>
      </c>
      <c r="H1059" s="1">
        <v>-1.312526E-6</v>
      </c>
      <c r="I1059">
        <v>373.24310000000003</v>
      </c>
      <c r="J1059">
        <v>-297.27710000000002</v>
      </c>
      <c r="K1059">
        <v>1.071197</v>
      </c>
      <c r="L1059">
        <v>367.23610000000002</v>
      </c>
      <c r="M1059">
        <v>0.99991580000000002</v>
      </c>
      <c r="N1059">
        <v>-1.2022339999999999E-2</v>
      </c>
      <c r="O1059">
        <v>4.8803579999999996E-3</v>
      </c>
      <c r="P1059">
        <v>0.98785270000000003</v>
      </c>
      <c r="Q1059">
        <v>0.15467629999999999</v>
      </c>
      <c r="R1059">
        <v>1.490416E-2</v>
      </c>
      <c r="S1059">
        <v>3.041779</v>
      </c>
      <c r="T1059">
        <v>-6.7592020000000003E-2</v>
      </c>
      <c r="U1059">
        <v>0.37908940000000002</v>
      </c>
      <c r="V1059">
        <v>-1.007603E-2</v>
      </c>
      <c r="W1059">
        <v>0.16654240000000001</v>
      </c>
      <c r="X1059">
        <v>0.98598280000000005</v>
      </c>
      <c r="Y1059">
        <v>-0.1187816</v>
      </c>
      <c r="Z1059">
        <v>1.9818610000000001E-3</v>
      </c>
      <c r="AA1059">
        <v>0.99291839999999998</v>
      </c>
      <c r="AB1059">
        <v>30</v>
      </c>
      <c r="AC1059">
        <v>48.053600000000003</v>
      </c>
      <c r="AD1059">
        <v>-1.0711983125260001</v>
      </c>
      <c r="AE1059">
        <v>6.0069999999999997</v>
      </c>
      <c r="AF1059">
        <v>-5.7695698147393699</v>
      </c>
      <c r="AG1059">
        <v>-1.0711983125260001</v>
      </c>
      <c r="AH1059">
        <v>48.058832046227003</v>
      </c>
      <c r="AI1059">
        <v>91.267771872051298</v>
      </c>
      <c r="AJ1059">
        <v>96.845723303075403</v>
      </c>
      <c r="AK1059">
        <v>48.415769531417801</v>
      </c>
      <c r="AL1059">
        <v>80.413152548817195</v>
      </c>
      <c r="AM1059">
        <v>90.585500981877701</v>
      </c>
      <c r="AN1059">
        <v>0.99999998963708003</v>
      </c>
    </row>
    <row r="1060" spans="1:40" x14ac:dyDescent="0.25">
      <c r="A1060" t="str">
        <f>"20190303161859771"</f>
        <v>20190303161859771</v>
      </c>
      <c r="B1060" t="str">
        <f>"1551601139763612"</f>
        <v>1551601139763612</v>
      </c>
      <c r="C1060" t="s">
        <v>40</v>
      </c>
      <c r="D1060">
        <v>4.7256939999999998</v>
      </c>
      <c r="E1060">
        <v>0.44719179999999997</v>
      </c>
      <c r="F1060" t="s">
        <v>41</v>
      </c>
      <c r="G1060">
        <v>-262.55799999999999</v>
      </c>
      <c r="H1060" s="1">
        <v>-3.8426170000000001E-6</v>
      </c>
      <c r="I1060">
        <v>372.12569999999999</v>
      </c>
      <c r="J1060">
        <v>-297.1155</v>
      </c>
      <c r="K1060">
        <v>1.0712010000000001</v>
      </c>
      <c r="L1060">
        <v>367.23689999999999</v>
      </c>
      <c r="M1060">
        <v>0.99991589999999997</v>
      </c>
      <c r="N1060">
        <v>-1.202229E-2</v>
      </c>
      <c r="O1060">
        <v>4.8803579999999996E-3</v>
      </c>
      <c r="P1060">
        <v>0.98784039999999995</v>
      </c>
      <c r="Q1060">
        <v>0.1547394</v>
      </c>
      <c r="R1060">
        <v>1.507381E-2</v>
      </c>
      <c r="S1060">
        <v>3.045166</v>
      </c>
      <c r="T1060">
        <v>-9.3953369999999994E-2</v>
      </c>
      <c r="U1060">
        <v>0.42886350000000001</v>
      </c>
      <c r="V1060">
        <v>-1.024565E-2</v>
      </c>
      <c r="W1060">
        <v>0.16660539999999999</v>
      </c>
      <c r="X1060">
        <v>0.98597040000000002</v>
      </c>
      <c r="Y1060">
        <v>-0.1345365</v>
      </c>
      <c r="Z1060">
        <v>2.7863520000000002E-3</v>
      </c>
      <c r="AA1060">
        <v>0.99090469999999997</v>
      </c>
      <c r="AB1060">
        <v>30</v>
      </c>
      <c r="AC1060">
        <v>34.557499999999997</v>
      </c>
      <c r="AD1060">
        <v>-1.071204842617</v>
      </c>
      <c r="AE1060">
        <v>4.8887999999999998</v>
      </c>
      <c r="AF1060">
        <v>-4.7156344581444802</v>
      </c>
      <c r="AG1060">
        <v>-1.071204842617</v>
      </c>
      <c r="AH1060">
        <v>34.548404340208599</v>
      </c>
      <c r="AI1060">
        <v>91.759633653627105</v>
      </c>
      <c r="AJ1060">
        <v>97.772473676459597</v>
      </c>
      <c r="AK1060">
        <v>34.885196439352796</v>
      </c>
      <c r="AL1060">
        <v>80.409491687804405</v>
      </c>
      <c r="AM1060">
        <v>90.595364095203493</v>
      </c>
      <c r="AN1060">
        <v>0.99999998116462097</v>
      </c>
    </row>
    <row r="1061" spans="1:40" x14ac:dyDescent="0.25">
      <c r="A1061" t="str">
        <f>"20190303161859783"</f>
        <v>20190303161859783</v>
      </c>
      <c r="B1061" t="str">
        <f>"1551601139774350"</f>
        <v>1551601139774350</v>
      </c>
      <c r="C1061" t="s">
        <v>40</v>
      </c>
      <c r="D1061">
        <v>4.8036370000000002</v>
      </c>
      <c r="E1061">
        <v>0.4444014</v>
      </c>
      <c r="F1061" t="s">
        <v>41</v>
      </c>
      <c r="G1061">
        <v>-268.74720000000002</v>
      </c>
      <c r="H1061" s="1">
        <v>-1.053434E-6</v>
      </c>
      <c r="I1061">
        <v>371.62189999999998</v>
      </c>
      <c r="J1061">
        <v>-296.96550000000002</v>
      </c>
      <c r="K1061">
        <v>1.071202</v>
      </c>
      <c r="L1061">
        <v>367.23759999999999</v>
      </c>
      <c r="M1061">
        <v>0.99991600000000003</v>
      </c>
      <c r="N1061">
        <v>-1.202227E-2</v>
      </c>
      <c r="O1061">
        <v>4.8803579999999996E-3</v>
      </c>
      <c r="P1061">
        <v>0.98787340000000001</v>
      </c>
      <c r="Q1061">
        <v>0.1545301</v>
      </c>
      <c r="R1061">
        <v>1.5063740000000001E-2</v>
      </c>
      <c r="S1061">
        <v>3.0477289999999999</v>
      </c>
      <c r="T1061">
        <v>-0.1150833</v>
      </c>
      <c r="U1061">
        <v>0.47109990000000002</v>
      </c>
      <c r="V1061">
        <v>-1.0235670000000001E-2</v>
      </c>
      <c r="W1061">
        <v>0.16639660000000001</v>
      </c>
      <c r="X1061">
        <v>0.98600580000000004</v>
      </c>
      <c r="Y1061">
        <v>-0.14779990000000001</v>
      </c>
      <c r="Z1061">
        <v>3.5423830000000001E-3</v>
      </c>
      <c r="AA1061">
        <v>0.98901090000000003</v>
      </c>
      <c r="AB1061">
        <v>30</v>
      </c>
      <c r="AC1061">
        <v>28.218299999999999</v>
      </c>
      <c r="AD1061">
        <v>-1.071203053434</v>
      </c>
      <c r="AE1061">
        <v>4.3842999999999899</v>
      </c>
      <c r="AF1061">
        <v>-4.24055559241636</v>
      </c>
      <c r="AG1061">
        <v>-1.071203053434</v>
      </c>
      <c r="AH1061">
        <v>28.199682842649398</v>
      </c>
      <c r="AI1061">
        <v>92.151247713317005</v>
      </c>
      <c r="AJ1061">
        <v>98.551833773393298</v>
      </c>
      <c r="AK1061">
        <v>28.536851615762998</v>
      </c>
      <c r="AL1061">
        <v>80.421624755571301</v>
      </c>
      <c r="AM1061">
        <v>90.594762856775404</v>
      </c>
      <c r="AN1061">
        <v>1.0000000175327699</v>
      </c>
    </row>
    <row r="1062" spans="1:40" x14ac:dyDescent="0.25">
      <c r="A1062" t="str">
        <f>"20190303161859796"</f>
        <v>20190303161859796</v>
      </c>
      <c r="B1062" t="str">
        <f>"1551601139784108"</f>
        <v>1551601139784108</v>
      </c>
      <c r="C1062" t="s">
        <v>40</v>
      </c>
      <c r="D1062">
        <v>4.8151599999999997</v>
      </c>
      <c r="E1062">
        <v>0.44258429999999999</v>
      </c>
      <c r="F1062" t="s">
        <v>41</v>
      </c>
      <c r="G1062">
        <v>-266.69110000000001</v>
      </c>
      <c r="H1062" s="1">
        <v>-2.0729090000000001E-6</v>
      </c>
      <c r="I1062">
        <v>372.13839999999999</v>
      </c>
      <c r="J1062">
        <v>-296.7867</v>
      </c>
      <c r="K1062">
        <v>1.0712010000000001</v>
      </c>
      <c r="L1062">
        <v>367.23849999999999</v>
      </c>
      <c r="M1062">
        <v>0.99991600000000003</v>
      </c>
      <c r="N1062">
        <v>-1.202225E-2</v>
      </c>
      <c r="O1062">
        <v>4.8803579999999996E-3</v>
      </c>
      <c r="P1062">
        <v>0.9878555</v>
      </c>
      <c r="Q1062">
        <v>0.1546235</v>
      </c>
      <c r="R1062">
        <v>1.5283339999999999E-2</v>
      </c>
      <c r="S1062">
        <v>3.0461429999999998</v>
      </c>
      <c r="T1062">
        <v>-0.1077819</v>
      </c>
      <c r="U1062">
        <v>0.49310300000000001</v>
      </c>
      <c r="V1062">
        <v>-1.0455539999999999E-2</v>
      </c>
      <c r="W1062">
        <v>0.16648969999999999</v>
      </c>
      <c r="X1062">
        <v>0.98598779999999997</v>
      </c>
      <c r="Y1062">
        <v>-0.15485189999999999</v>
      </c>
      <c r="Z1062">
        <v>3.5450809999999998E-3</v>
      </c>
      <c r="AA1062">
        <v>0.98793129999999996</v>
      </c>
      <c r="AB1062">
        <v>30</v>
      </c>
      <c r="AC1062">
        <v>30.095599999999902</v>
      </c>
      <c r="AD1062">
        <v>-1.0712030729090001</v>
      </c>
      <c r="AE1062">
        <v>4.8998999999999997</v>
      </c>
      <c r="AF1062">
        <v>-4.7470950181351403</v>
      </c>
      <c r="AG1062">
        <v>-1.0712030729090001</v>
      </c>
      <c r="AH1062">
        <v>30.0820301472138</v>
      </c>
      <c r="AI1062">
        <v>92.014498882096404</v>
      </c>
      <c r="AJ1062">
        <v>98.967610533776906</v>
      </c>
      <c r="AK1062">
        <v>30.473118070071099</v>
      </c>
      <c r="AL1062">
        <v>80.416215277684401</v>
      </c>
      <c r="AM1062">
        <v>90.607548959367705</v>
      </c>
      <c r="AN1062">
        <v>1.00000004013581</v>
      </c>
    </row>
    <row r="1063" spans="1:40" x14ac:dyDescent="0.25">
      <c r="A1063" t="str">
        <f>"20190303161859811"</f>
        <v>20190303161859811</v>
      </c>
      <c r="B1063" t="str">
        <f>"1551601139803628"</f>
        <v>1551601139803628</v>
      </c>
      <c r="C1063" t="s">
        <v>40</v>
      </c>
      <c r="D1063">
        <v>4.8095720000000002</v>
      </c>
      <c r="E1063">
        <v>0.44161220000000001</v>
      </c>
      <c r="F1063" t="s">
        <v>41</v>
      </c>
      <c r="G1063">
        <v>-268.50790000000001</v>
      </c>
      <c r="H1063" s="1">
        <v>-1.2449120000000001E-6</v>
      </c>
      <c r="I1063">
        <v>371.95580000000001</v>
      </c>
      <c r="J1063">
        <v>-296.59559999999999</v>
      </c>
      <c r="K1063">
        <v>1.0712010000000001</v>
      </c>
      <c r="L1063">
        <v>367.23950000000002</v>
      </c>
      <c r="M1063">
        <v>0.99991589999999997</v>
      </c>
      <c r="N1063">
        <v>-1.202225E-2</v>
      </c>
      <c r="O1063">
        <v>4.8805369999999999E-3</v>
      </c>
      <c r="P1063">
        <v>0.98786569999999996</v>
      </c>
      <c r="Q1063">
        <v>0.15455479999999899</v>
      </c>
      <c r="R1063">
        <v>1.5311989999999999E-2</v>
      </c>
      <c r="S1063">
        <v>3.0470890000000002</v>
      </c>
      <c r="T1063">
        <v>-0.11542379999999999</v>
      </c>
      <c r="U1063">
        <v>0.5083008</v>
      </c>
      <c r="V1063">
        <v>-1.0483869999999999E-2</v>
      </c>
      <c r="W1063">
        <v>0.16642100000000001</v>
      </c>
      <c r="X1063">
        <v>0.98599899999999996</v>
      </c>
      <c r="Y1063">
        <v>-0.15957929999999901</v>
      </c>
      <c r="Z1063">
        <v>3.8416969999999998E-3</v>
      </c>
      <c r="AA1063">
        <v>0.98717759999999999</v>
      </c>
      <c r="AB1063">
        <v>30</v>
      </c>
      <c r="AC1063">
        <v>28.087699999999899</v>
      </c>
      <c r="AD1063">
        <v>-1.071202244912</v>
      </c>
      <c r="AE1063">
        <v>4.7162999999999897</v>
      </c>
      <c r="AF1063">
        <v>-4.5726823268427204</v>
      </c>
      <c r="AG1063">
        <v>-1.071202244912</v>
      </c>
      <c r="AH1063">
        <v>28.070676253309099</v>
      </c>
      <c r="AI1063">
        <v>92.156993762609304</v>
      </c>
      <c r="AJ1063">
        <v>99.252152212581706</v>
      </c>
      <c r="AK1063">
        <v>28.460846143953901</v>
      </c>
      <c r="AL1063">
        <v>80.420206262848097</v>
      </c>
      <c r="AM1063">
        <v>90.6091881115387</v>
      </c>
      <c r="AN1063">
        <v>0.99999994438608597</v>
      </c>
    </row>
    <row r="1064" spans="1:40" x14ac:dyDescent="0.25">
      <c r="A1064" t="str">
        <f>"20190303161859827"</f>
        <v>20190303161859827</v>
      </c>
      <c r="B1064" t="str">
        <f>"1551601139813388"</f>
        <v>1551601139813388</v>
      </c>
      <c r="C1064" t="s">
        <v>40</v>
      </c>
      <c r="D1064">
        <v>4.7651690000000002</v>
      </c>
      <c r="E1064">
        <v>0.4413475</v>
      </c>
      <c r="F1064" t="s">
        <v>41</v>
      </c>
      <c r="G1064">
        <v>-268.69099999999997</v>
      </c>
      <c r="H1064" s="1">
        <v>-1.1690379999999999E-6</v>
      </c>
      <c r="I1064">
        <v>371.9658</v>
      </c>
      <c r="J1064">
        <v>-296.38279999999997</v>
      </c>
      <c r="K1064">
        <v>1.0712010000000001</v>
      </c>
      <c r="L1064">
        <v>367.2405</v>
      </c>
      <c r="M1064">
        <v>0.99991580000000002</v>
      </c>
      <c r="N1064">
        <v>-1.202226E-2</v>
      </c>
      <c r="O1064">
        <v>4.8806559999999997E-3</v>
      </c>
      <c r="P1064">
        <v>0.98785089999999998</v>
      </c>
      <c r="Q1064">
        <v>0.1546545</v>
      </c>
      <c r="R1064">
        <v>1.5249800000000001E-2</v>
      </c>
      <c r="S1064">
        <v>3.0471499999999998</v>
      </c>
      <c r="T1064">
        <v>-0.1169736</v>
      </c>
      <c r="U1064">
        <v>0.5161133</v>
      </c>
      <c r="V1064">
        <v>-1.042116E-2</v>
      </c>
      <c r="W1064">
        <v>0.16652120000000001</v>
      </c>
      <c r="X1064">
        <v>0.98598280000000005</v>
      </c>
      <c r="Y1064">
        <v>-0.16203129999999999</v>
      </c>
      <c r="Z1064">
        <v>3.9405990000000004E-3</v>
      </c>
      <c r="AA1064">
        <v>0.98677780000000004</v>
      </c>
      <c r="AB1064">
        <v>30</v>
      </c>
      <c r="AC1064">
        <v>27.691800000000001</v>
      </c>
      <c r="AD1064">
        <v>-1.071202169038</v>
      </c>
      <c r="AE1064">
        <v>4.7252999999999998</v>
      </c>
      <c r="AF1064">
        <v>-4.5834153347636697</v>
      </c>
      <c r="AG1064">
        <v>-1.071202169038</v>
      </c>
      <c r="AH1064">
        <v>27.674294909687202</v>
      </c>
      <c r="AI1064">
        <v>92.1869075500598</v>
      </c>
      <c r="AJ1064">
        <v>99.403960742672894</v>
      </c>
      <c r="AK1064">
        <v>28.071725436214901</v>
      </c>
      <c r="AL1064">
        <v>80.414384485205503</v>
      </c>
      <c r="AM1064">
        <v>90.605554431034903</v>
      </c>
      <c r="AN1064">
        <v>0.99999999626051195</v>
      </c>
    </row>
    <row r="1065" spans="1:40" x14ac:dyDescent="0.25">
      <c r="A1065" t="str">
        <f>"20190303161859839"</f>
        <v>20190303161859839</v>
      </c>
      <c r="B1065" t="str">
        <f>"1551601139833885"</f>
        <v>1551601139833885</v>
      </c>
      <c r="C1065" t="s">
        <v>40</v>
      </c>
      <c r="D1065">
        <v>4.7694559999999999</v>
      </c>
      <c r="E1065">
        <v>0.44126739999999998</v>
      </c>
      <c r="F1065" t="s">
        <v>41</v>
      </c>
      <c r="G1065">
        <v>-268.56169999999997</v>
      </c>
      <c r="H1065" s="1">
        <v>-1.225201E-6</v>
      </c>
      <c r="I1065">
        <v>371.96839999999997</v>
      </c>
      <c r="J1065">
        <v>-296.19959999999998</v>
      </c>
      <c r="K1065">
        <v>1.0712010000000001</v>
      </c>
      <c r="L1065">
        <v>367.2414</v>
      </c>
      <c r="M1065">
        <v>0.99991589999999997</v>
      </c>
      <c r="N1065">
        <v>-1.202228E-2</v>
      </c>
      <c r="O1065">
        <v>4.8806559999999997E-3</v>
      </c>
      <c r="P1065">
        <v>0.98788160000000003</v>
      </c>
      <c r="Q1065">
        <v>0.15442359999999999</v>
      </c>
      <c r="R1065">
        <v>1.5608149999999999E-2</v>
      </c>
      <c r="S1065">
        <v>3.0472410000000001</v>
      </c>
      <c r="T1065">
        <v>-0.11732860000000001</v>
      </c>
      <c r="U1065">
        <v>0.5178528</v>
      </c>
      <c r="V1065">
        <v>-1.0779850000000001E-2</v>
      </c>
      <c r="W1065">
        <v>0.166290299999999</v>
      </c>
      <c r="X1065">
        <v>0.9860179</v>
      </c>
      <c r="Y1065">
        <v>-0.16257260000000001</v>
      </c>
      <c r="Z1065">
        <v>3.9628420000000003E-3</v>
      </c>
      <c r="AA1065">
        <v>0.98668860000000003</v>
      </c>
      <c r="AB1065">
        <v>30</v>
      </c>
      <c r="AC1065">
        <v>27.637899999999998</v>
      </c>
      <c r="AD1065">
        <v>-1.0712022252010001</v>
      </c>
      <c r="AE1065">
        <v>4.7269999999999701</v>
      </c>
      <c r="AF1065">
        <v>-4.5853504454046004</v>
      </c>
      <c r="AG1065">
        <v>-1.0712022252010001</v>
      </c>
      <c r="AH1065">
        <v>27.6203307877364</v>
      </c>
      <c r="AI1065">
        <v>92.191037188294302</v>
      </c>
      <c r="AJ1065">
        <v>99.425911483902297</v>
      </c>
      <c r="AK1065">
        <v>28.0188434047237</v>
      </c>
      <c r="AL1065">
        <v>80.427801026676406</v>
      </c>
      <c r="AM1065">
        <v>90.626373317269795</v>
      </c>
      <c r="AN1065">
        <v>0.99999998408026103</v>
      </c>
    </row>
    <row r="1066" spans="1:40" x14ac:dyDescent="0.25">
      <c r="A1066" t="str">
        <f>"20190303161859854"</f>
        <v>20190303161859854</v>
      </c>
      <c r="B1066" t="str">
        <f>"1551601139843645"</f>
        <v>1551601139843645</v>
      </c>
      <c r="C1066" t="s">
        <v>40</v>
      </c>
      <c r="D1066">
        <v>4.7319630000000004</v>
      </c>
      <c r="E1066">
        <v>0.44133030000000001</v>
      </c>
      <c r="F1066" t="s">
        <v>41</v>
      </c>
      <c r="G1066">
        <v>-268.64999999999998</v>
      </c>
      <c r="H1066" s="1">
        <v>-1.1795939999999999E-6</v>
      </c>
      <c r="I1066">
        <v>371.93939999999998</v>
      </c>
      <c r="J1066">
        <v>-296.02510000000001</v>
      </c>
      <c r="K1066">
        <v>1.071202</v>
      </c>
      <c r="L1066">
        <v>367.2423</v>
      </c>
      <c r="M1066">
        <v>0.99991589999999997</v>
      </c>
      <c r="N1066">
        <v>-1.202231E-2</v>
      </c>
      <c r="O1066">
        <v>4.8808339999999997E-3</v>
      </c>
      <c r="P1066">
        <v>0.98787729999999996</v>
      </c>
      <c r="Q1066">
        <v>0.15443799999999999</v>
      </c>
      <c r="R1066">
        <v>1.5738990000000001E-2</v>
      </c>
      <c r="S1066">
        <v>3.0471189999999999</v>
      </c>
      <c r="T1066">
        <v>-0.1184798</v>
      </c>
      <c r="U1066">
        <v>0.51962280000000005</v>
      </c>
      <c r="V1066">
        <v>-1.091053E-2</v>
      </c>
      <c r="W1066">
        <v>0.16630439999999999</v>
      </c>
      <c r="X1066">
        <v>0.9860141</v>
      </c>
      <c r="Y1066">
        <v>-0.16313279999999999</v>
      </c>
      <c r="Z1066">
        <v>4.0056960000000004E-3</v>
      </c>
      <c r="AA1066">
        <v>0.98659600000000003</v>
      </c>
      <c r="AB1066">
        <v>30</v>
      </c>
      <c r="AC1066">
        <v>27.3751</v>
      </c>
      <c r="AD1066">
        <v>-1.071203179594</v>
      </c>
      <c r="AE1066">
        <v>4.6970999999999696</v>
      </c>
      <c r="AF1066">
        <v>-4.5566434774876097</v>
      </c>
      <c r="AG1066">
        <v>-1.071203179594</v>
      </c>
      <c r="AH1066">
        <v>27.357010185785001</v>
      </c>
      <c r="AI1066">
        <v>92.211911625655603</v>
      </c>
      <c r="AJ1066">
        <v>99.456497719297303</v>
      </c>
      <c r="AK1066">
        <v>27.754575881069599</v>
      </c>
      <c r="AL1066">
        <v>80.426981894952206</v>
      </c>
      <c r="AM1066">
        <v>90.633968428514905</v>
      </c>
      <c r="AN1066">
        <v>0.99999999926152505</v>
      </c>
    </row>
    <row r="1067" spans="1:40" x14ac:dyDescent="0.25">
      <c r="A1067" t="str">
        <f>"20190303161859868"</f>
        <v>20190303161859868</v>
      </c>
      <c r="B1067" t="str">
        <f>"1551601139854380"</f>
        <v>1551601139854380</v>
      </c>
      <c r="C1067" t="s">
        <v>40</v>
      </c>
      <c r="D1067">
        <v>4.7397799999999997</v>
      </c>
      <c r="E1067">
        <v>0.44141429999999998</v>
      </c>
      <c r="F1067" t="s">
        <v>41</v>
      </c>
      <c r="G1067">
        <v>-268.7937</v>
      </c>
      <c r="H1067" s="1">
        <v>-1.1031470000000001E-6</v>
      </c>
      <c r="I1067">
        <v>371.88380000000001</v>
      </c>
      <c r="J1067">
        <v>-295.84050000000002</v>
      </c>
      <c r="K1067">
        <v>1.0712029999999999</v>
      </c>
      <c r="L1067">
        <v>367.2432</v>
      </c>
      <c r="M1067">
        <v>0.99991589999999997</v>
      </c>
      <c r="N1067">
        <v>-1.2022339999999999E-2</v>
      </c>
      <c r="O1067">
        <v>4.8808339999999997E-3</v>
      </c>
      <c r="P1067">
        <v>0.98789850000000001</v>
      </c>
      <c r="Q1067">
        <v>0.1542674</v>
      </c>
      <c r="R1067">
        <v>1.6071820000000001E-2</v>
      </c>
      <c r="S1067">
        <v>3.0473020000000002</v>
      </c>
      <c r="T1067">
        <v>-0.119871699999999</v>
      </c>
      <c r="U1067">
        <v>0.51940920000000002</v>
      </c>
      <c r="V1067">
        <v>-1.1242790000000001E-2</v>
      </c>
      <c r="W1067">
        <v>0.1661347</v>
      </c>
      <c r="X1067">
        <v>0.986039</v>
      </c>
      <c r="Y1067">
        <v>-0.16305259999999999</v>
      </c>
      <c r="Z1067">
        <v>4.0382309999999998E-3</v>
      </c>
      <c r="AA1067">
        <v>0.98660910000000002</v>
      </c>
      <c r="AB1067">
        <v>30</v>
      </c>
      <c r="AC1067">
        <v>27.046800000000001</v>
      </c>
      <c r="AD1067">
        <v>-1.0712041031470001</v>
      </c>
      <c r="AE1067">
        <v>4.6406000000000001</v>
      </c>
      <c r="AF1067">
        <v>-4.5016648563822796</v>
      </c>
      <c r="AG1067">
        <v>-1.0712041031470001</v>
      </c>
      <c r="AH1067">
        <v>27.027945730578502</v>
      </c>
      <c r="AI1067">
        <v>92.238818540435801</v>
      </c>
      <c r="AJ1067">
        <v>99.456149285320805</v>
      </c>
      <c r="AK1067">
        <v>27.421201927065201</v>
      </c>
      <c r="AL1067">
        <v>80.436842397828698</v>
      </c>
      <c r="AM1067">
        <v>90.653256619937807</v>
      </c>
      <c r="AN1067">
        <v>1.0000000241960301</v>
      </c>
    </row>
    <row r="1068" spans="1:40" x14ac:dyDescent="0.25">
      <c r="A1068" t="str">
        <f>"20190303161859881"</f>
        <v>20190303161859881</v>
      </c>
      <c r="B1068" t="str">
        <f>"1551601139873900"</f>
        <v>1551601139873900</v>
      </c>
      <c r="C1068" t="s">
        <v>40</v>
      </c>
      <c r="D1068">
        <v>4.7505189999999997</v>
      </c>
      <c r="E1068">
        <v>0.44133030000000001</v>
      </c>
      <c r="F1068" t="s">
        <v>41</v>
      </c>
      <c r="G1068">
        <v>-269.07420000000002</v>
      </c>
      <c r="H1068" s="1">
        <v>-9.6267190000000004E-7</v>
      </c>
      <c r="I1068">
        <v>371.80810000000002</v>
      </c>
      <c r="J1068">
        <v>-295.64249999999998</v>
      </c>
      <c r="K1068">
        <v>1.071197</v>
      </c>
      <c r="L1068">
        <v>367.24419999999998</v>
      </c>
      <c r="M1068">
        <v>0.99991589999999997</v>
      </c>
      <c r="N1068">
        <v>-1.2022400000000001E-2</v>
      </c>
      <c r="O1068">
        <v>4.8810119999999997E-3</v>
      </c>
      <c r="P1068">
        <v>0.98786470000000004</v>
      </c>
      <c r="Q1068">
        <v>0.15443479999999901</v>
      </c>
      <c r="R1068">
        <v>1.6533949999999999E-2</v>
      </c>
      <c r="S1068">
        <v>3.0473330000000001</v>
      </c>
      <c r="T1068">
        <v>-0.12195590000000001</v>
      </c>
      <c r="U1068">
        <v>0.51971440000000002</v>
      </c>
      <c r="V1068">
        <v>-1.1705109999999999E-2</v>
      </c>
      <c r="W1068">
        <v>0.16630159999999999</v>
      </c>
      <c r="X1068">
        <v>0.98600549999999998</v>
      </c>
      <c r="Y1068">
        <v>-0.163141799999999</v>
      </c>
      <c r="Z1068">
        <v>4.0924949999999998E-3</v>
      </c>
      <c r="AA1068">
        <v>0.98659410000000003</v>
      </c>
      <c r="AB1068">
        <v>30</v>
      </c>
      <c r="AC1068">
        <v>26.568299999999901</v>
      </c>
      <c r="AD1068">
        <v>-1.0711979626718999</v>
      </c>
      <c r="AE1068">
        <v>4.5639000000000403</v>
      </c>
      <c r="AF1068">
        <v>-4.4271655794258598</v>
      </c>
      <c r="AG1068">
        <v>-1.0711979626718999</v>
      </c>
      <c r="AH1068">
        <v>26.548341699665201</v>
      </c>
      <c r="AI1068">
        <v>92.279133326358703</v>
      </c>
      <c r="AJ1068">
        <v>99.467449860434797</v>
      </c>
      <c r="AK1068">
        <v>26.936252655948</v>
      </c>
      <c r="AL1068">
        <v>80.4271449716842</v>
      </c>
      <c r="AM1068">
        <v>90.680140121070195</v>
      </c>
      <c r="AN1068">
        <v>1.0000000388964601</v>
      </c>
    </row>
    <row r="1069" spans="1:40" x14ac:dyDescent="0.25">
      <c r="A1069" t="str">
        <f>"20190303161859896"</f>
        <v>20190303161859896</v>
      </c>
      <c r="B1069" t="str">
        <f>"1551601139883661"</f>
        <v>1551601139883661</v>
      </c>
      <c r="C1069" t="s">
        <v>40</v>
      </c>
      <c r="D1069">
        <v>4.7020689999999998</v>
      </c>
      <c r="E1069">
        <v>0.44138640000000001</v>
      </c>
      <c r="F1069" t="s">
        <v>41</v>
      </c>
      <c r="G1069">
        <v>-268.46820000000002</v>
      </c>
      <c r="H1069" s="1">
        <v>-1.246014E-6</v>
      </c>
      <c r="I1069">
        <v>371.89589999999998</v>
      </c>
      <c r="J1069">
        <v>-295.46980000000002</v>
      </c>
      <c r="K1069">
        <v>1.0711980000000001</v>
      </c>
      <c r="L1069">
        <v>367.245</v>
      </c>
      <c r="M1069">
        <v>0.99991580000000002</v>
      </c>
      <c r="N1069">
        <v>-1.202248E-2</v>
      </c>
      <c r="O1069">
        <v>4.881191E-3</v>
      </c>
      <c r="P1069">
        <v>0.98788109999999996</v>
      </c>
      <c r="Q1069">
        <v>0.15431059999999999</v>
      </c>
      <c r="R1069">
        <v>1.670905E-2</v>
      </c>
      <c r="S1069">
        <v>3.0469059999999999</v>
      </c>
      <c r="T1069">
        <v>-0.1201073</v>
      </c>
      <c r="U1069">
        <v>0.52157589999999998</v>
      </c>
      <c r="V1069">
        <v>-1.1879789999999999E-2</v>
      </c>
      <c r="W1069">
        <v>0.16617750000000001</v>
      </c>
      <c r="X1069">
        <v>0.98602429999999996</v>
      </c>
      <c r="Y1069">
        <v>-0.16375399999999901</v>
      </c>
      <c r="Z1069">
        <v>4.0623400000000002E-3</v>
      </c>
      <c r="AA1069">
        <v>0.98649290000000001</v>
      </c>
      <c r="AB1069">
        <v>30</v>
      </c>
      <c r="AC1069">
        <v>27.0016</v>
      </c>
      <c r="AD1069">
        <v>-1.0711992460140001</v>
      </c>
      <c r="AE1069">
        <v>4.6508999999999698</v>
      </c>
      <c r="AF1069">
        <v>-4.5121383083322399</v>
      </c>
      <c r="AG1069">
        <v>-1.0711992460140001</v>
      </c>
      <c r="AH1069">
        <v>26.982738863981801</v>
      </c>
      <c r="AI1069">
        <v>92.242312792734495</v>
      </c>
      <c r="AJ1069">
        <v>99.493341239798099</v>
      </c>
      <c r="AK1069">
        <v>27.378368405367301</v>
      </c>
      <c r="AL1069">
        <v>80.434355390284907</v>
      </c>
      <c r="AM1069">
        <v>90.6902759868766</v>
      </c>
      <c r="AN1069">
        <v>1.00000000555359</v>
      </c>
    </row>
    <row r="1070" spans="1:40" x14ac:dyDescent="0.25">
      <c r="A1070" t="str">
        <f>"20190303161859910"</f>
        <v>20190303161859910</v>
      </c>
      <c r="B1070" t="str">
        <f>"1551601139904156"</f>
        <v>1551601139904156</v>
      </c>
      <c r="C1070" t="s">
        <v>40</v>
      </c>
      <c r="D1070">
        <v>4.6911559999999897</v>
      </c>
      <c r="E1070">
        <v>0.44138579999999999</v>
      </c>
      <c r="F1070" t="s">
        <v>41</v>
      </c>
      <c r="G1070">
        <v>-268.03140000000002</v>
      </c>
      <c r="H1070" s="1">
        <v>-1.4459790000000001E-6</v>
      </c>
      <c r="I1070">
        <v>371.94310000000002</v>
      </c>
      <c r="J1070">
        <v>-295.2627</v>
      </c>
      <c r="K1070">
        <v>1.071191</v>
      </c>
      <c r="L1070">
        <v>367.24610000000001</v>
      </c>
      <c r="M1070">
        <v>0.99991589999999997</v>
      </c>
      <c r="N1070">
        <v>-1.202258E-2</v>
      </c>
      <c r="O1070">
        <v>4.8811899999999997E-3</v>
      </c>
      <c r="P1070">
        <v>0.98790270000000002</v>
      </c>
      <c r="Q1070">
        <v>0.15416389999999999</v>
      </c>
      <c r="R1070">
        <v>1.6799729999999999E-2</v>
      </c>
      <c r="S1070">
        <v>3.0465390000000001</v>
      </c>
      <c r="T1070">
        <v>-0.11893670000000001</v>
      </c>
      <c r="U1070">
        <v>0.52163700000000002</v>
      </c>
      <c r="V1070">
        <v>-1.197084E-2</v>
      </c>
      <c r="W1070">
        <v>0.1660317</v>
      </c>
      <c r="X1070">
        <v>0.98604769999999997</v>
      </c>
      <c r="Y1070">
        <v>-0.16379549999999901</v>
      </c>
      <c r="Z1070">
        <v>4.0344140000000001E-3</v>
      </c>
      <c r="AA1070">
        <v>0.98648610000000003</v>
      </c>
      <c r="AB1070">
        <v>30</v>
      </c>
      <c r="AC1070">
        <v>27.231299999999901</v>
      </c>
      <c r="AD1070">
        <v>-1.0711924459790001</v>
      </c>
      <c r="AE1070">
        <v>4.6970000000000001</v>
      </c>
      <c r="AF1070">
        <v>-4.5571653387538298</v>
      </c>
      <c r="AG1070">
        <v>-1.0711924459790001</v>
      </c>
      <c r="AH1070">
        <v>27.213011752957598</v>
      </c>
      <c r="AI1070">
        <v>92.223257036705604</v>
      </c>
      <c r="AJ1070">
        <v>99.506695011579694</v>
      </c>
      <c r="AK1070">
        <v>27.612736515015499</v>
      </c>
      <c r="AL1070">
        <v>80.442826229281593</v>
      </c>
      <c r="AM1070">
        <v>90.695549430442099</v>
      </c>
      <c r="AN1070">
        <v>0.99999994654524105</v>
      </c>
    </row>
    <row r="1071" spans="1:40" x14ac:dyDescent="0.25">
      <c r="A1071" t="str">
        <f>"20190303161859931"</f>
        <v>20190303161859931</v>
      </c>
      <c r="B1071" t="str">
        <f>"1551601139923677"</f>
        <v>1551601139923677</v>
      </c>
      <c r="C1071" t="s">
        <v>40</v>
      </c>
      <c r="D1071">
        <v>4.7176080000000002</v>
      </c>
      <c r="E1071">
        <v>0.4413223</v>
      </c>
      <c r="F1071" t="s">
        <v>41</v>
      </c>
      <c r="G1071">
        <v>-267.55419999999998</v>
      </c>
      <c r="H1071" s="1">
        <v>-1.6645670000000001E-6</v>
      </c>
      <c r="I1071">
        <v>371.99529999999999</v>
      </c>
      <c r="J1071">
        <v>-294.99689999999998</v>
      </c>
      <c r="K1071">
        <v>1.071188</v>
      </c>
      <c r="L1071">
        <v>367.24740000000003</v>
      </c>
      <c r="M1071">
        <v>0.99991580000000002</v>
      </c>
      <c r="N1071">
        <v>-1.2022710000000001E-2</v>
      </c>
      <c r="O1071">
        <v>4.8813679999999996E-3</v>
      </c>
      <c r="P1071">
        <v>0.98785000000000001</v>
      </c>
      <c r="Q1071">
        <v>0.1544857</v>
      </c>
      <c r="R1071">
        <v>1.6935080000000002E-2</v>
      </c>
      <c r="S1071">
        <v>3.0462340000000001</v>
      </c>
      <c r="T1071">
        <v>-0.1177651</v>
      </c>
      <c r="U1071">
        <v>0.52212519999999996</v>
      </c>
      <c r="V1071">
        <v>-1.210606E-2</v>
      </c>
      <c r="W1071">
        <v>0.16635239999999901</v>
      </c>
      <c r="X1071">
        <v>0.98599210000000004</v>
      </c>
      <c r="Y1071">
        <v>-0.1639679</v>
      </c>
      <c r="Z1071">
        <v>4.0096580000000001E-3</v>
      </c>
      <c r="AA1071">
        <v>0.98645749999999999</v>
      </c>
      <c r="AB1071">
        <v>30</v>
      </c>
      <c r="AC1071">
        <v>27.442699999999999</v>
      </c>
      <c r="AD1071">
        <v>-1.071189664567</v>
      </c>
      <c r="AE1071">
        <v>4.7478999999999498</v>
      </c>
      <c r="AF1071">
        <v>-4.6070603821162202</v>
      </c>
      <c r="AG1071">
        <v>-1.071189664567</v>
      </c>
      <c r="AH1071">
        <v>27.424979856573</v>
      </c>
      <c r="AI1071">
        <v>92.205896019012002</v>
      </c>
      <c r="AJ1071">
        <v>99.535952585289706</v>
      </c>
      <c r="AK1071">
        <v>27.829875544015199</v>
      </c>
      <c r="AL1071">
        <v>80.424193332555006</v>
      </c>
      <c r="AM1071">
        <v>90.703445081207093</v>
      </c>
      <c r="AN1071">
        <v>1.00000004946844</v>
      </c>
    </row>
    <row r="1072" spans="1:40" x14ac:dyDescent="0.25">
      <c r="A1072" t="str">
        <f>"20190303161859945"</f>
        <v>20190303161859945</v>
      </c>
      <c r="B1072" t="str">
        <f>"1551601139933437"</f>
        <v>1551601139933437</v>
      </c>
      <c r="C1072" t="s">
        <v>40</v>
      </c>
      <c r="D1072">
        <v>4.6990589999999903</v>
      </c>
      <c r="E1072">
        <v>0.44128089999999998</v>
      </c>
      <c r="F1072" t="s">
        <v>41</v>
      </c>
      <c r="G1072">
        <v>-266.85309999999998</v>
      </c>
      <c r="H1072" s="1">
        <v>-1.986969E-6</v>
      </c>
      <c r="I1072">
        <v>372.07659999999998</v>
      </c>
      <c r="J1072">
        <v>-294.8032</v>
      </c>
      <c r="K1072">
        <v>1.071194</v>
      </c>
      <c r="L1072">
        <v>367.24829999999997</v>
      </c>
      <c r="M1072">
        <v>0.99991589999999997</v>
      </c>
      <c r="N1072">
        <v>-1.202281E-2</v>
      </c>
      <c r="O1072">
        <v>4.8813679999999996E-3</v>
      </c>
      <c r="P1072">
        <v>0.98782669999999995</v>
      </c>
      <c r="Q1072">
        <v>0.1546322</v>
      </c>
      <c r="R1072">
        <v>1.6959289999999998E-2</v>
      </c>
      <c r="S1072">
        <v>3.0460509999999998</v>
      </c>
      <c r="T1072">
        <v>-0.1159364</v>
      </c>
      <c r="U1072">
        <v>0.52267459999999999</v>
      </c>
      <c r="V1072">
        <v>-1.2130200000000001E-2</v>
      </c>
      <c r="W1072">
        <v>0.16649910000000001</v>
      </c>
      <c r="X1072">
        <v>0.98596700000000004</v>
      </c>
      <c r="Y1072">
        <v>-0.16415460000000001</v>
      </c>
      <c r="Z1072">
        <v>3.9685550000000003E-3</v>
      </c>
      <c r="AA1072">
        <v>0.98642669999999999</v>
      </c>
      <c r="AB1072">
        <v>30</v>
      </c>
      <c r="AC1072">
        <v>27.950099999999999</v>
      </c>
      <c r="AD1072">
        <v>-1.071195986969</v>
      </c>
      <c r="AE1072">
        <v>4.8283000000000103</v>
      </c>
      <c r="AF1072">
        <v>-4.6851156704328103</v>
      </c>
      <c r="AG1072">
        <v>-1.071195986969</v>
      </c>
      <c r="AH1072">
        <v>27.933496752193001</v>
      </c>
      <c r="AI1072">
        <v>92.165883221097204</v>
      </c>
      <c r="AJ1072">
        <v>99.521251235848297</v>
      </c>
      <c r="AK1072">
        <v>28.343923696140099</v>
      </c>
      <c r="AL1072">
        <v>80.415668768300193</v>
      </c>
      <c r="AM1072">
        <v>90.704865580994095</v>
      </c>
      <c r="AN1072">
        <v>1.00000000857092</v>
      </c>
    </row>
    <row r="1073" spans="1:40" x14ac:dyDescent="0.25">
      <c r="A1073" t="str">
        <f>"20190303161859961"</f>
        <v>20190303161859961</v>
      </c>
      <c r="B1073" t="str">
        <f>"1551601139953936"</f>
        <v>1551601139953936</v>
      </c>
      <c r="C1073" t="s">
        <v>40</v>
      </c>
      <c r="D1073">
        <v>4.6839240000000002</v>
      </c>
      <c r="E1073">
        <v>0.44126409999999999</v>
      </c>
      <c r="F1073" t="s">
        <v>41</v>
      </c>
      <c r="G1073">
        <v>-266.53809999999999</v>
      </c>
      <c r="H1073" s="1">
        <v>-2.1296150000000001E-6</v>
      </c>
      <c r="I1073">
        <v>372.10480000000001</v>
      </c>
      <c r="J1073">
        <v>-294.5865</v>
      </c>
      <c r="K1073">
        <v>1.0711980000000001</v>
      </c>
      <c r="L1073">
        <v>367.24939999999998</v>
      </c>
      <c r="M1073">
        <v>0.99991589999999997</v>
      </c>
      <c r="N1073">
        <v>-1.202291E-2</v>
      </c>
      <c r="O1073">
        <v>4.8815459999999996E-3</v>
      </c>
      <c r="P1073">
        <v>0.9878093</v>
      </c>
      <c r="Q1073">
        <v>0.1547327</v>
      </c>
      <c r="R1073">
        <v>1.7051609999999998E-2</v>
      </c>
      <c r="S1073">
        <v>3.0460509999999998</v>
      </c>
      <c r="T1073">
        <v>-0.11543970000000001</v>
      </c>
      <c r="U1073">
        <v>0.52337650000000002</v>
      </c>
      <c r="V1073">
        <v>-1.222261E-2</v>
      </c>
      <c r="W1073">
        <v>0.1665992</v>
      </c>
      <c r="X1073">
        <v>0.98594890000000002</v>
      </c>
      <c r="Y1073">
        <v>-0.1643761</v>
      </c>
      <c r="Z1073">
        <v>3.9615400000000004E-3</v>
      </c>
      <c r="AA1073">
        <v>0.98638979999999998</v>
      </c>
      <c r="AB1073">
        <v>30</v>
      </c>
      <c r="AC1073">
        <v>28.048400000000001</v>
      </c>
      <c r="AD1073">
        <v>-1.07120012961499</v>
      </c>
      <c r="AE1073">
        <v>4.8554000000000297</v>
      </c>
      <c r="AF1073">
        <v>-4.7117402817599601</v>
      </c>
      <c r="AG1073">
        <v>-1.07120012961499</v>
      </c>
      <c r="AH1073">
        <v>28.0320723725509</v>
      </c>
      <c r="AI1073">
        <v>92.158155630128505</v>
      </c>
      <c r="AJ1073">
        <v>99.541311320191198</v>
      </c>
      <c r="AK1073">
        <v>28.445474995161799</v>
      </c>
      <c r="AL1073">
        <v>80.409851747197905</v>
      </c>
      <c r="AM1073">
        <v>90.710247860269405</v>
      </c>
      <c r="AN1073">
        <v>0.99999995952353005</v>
      </c>
    </row>
    <row r="1074" spans="1:40" x14ac:dyDescent="0.25">
      <c r="A1074" t="str">
        <f>"20190303161859983"</f>
        <v>20190303161859983</v>
      </c>
      <c r="B1074" t="str">
        <f>"1551601139973452"</f>
        <v>1551601139973452</v>
      </c>
      <c r="C1074" t="s">
        <v>40</v>
      </c>
      <c r="D1074">
        <v>4.6899730000000002</v>
      </c>
      <c r="E1074">
        <v>0.44118160000000001</v>
      </c>
      <c r="F1074" t="s">
        <v>41</v>
      </c>
      <c r="G1074">
        <v>-265.96839999999997</v>
      </c>
      <c r="H1074" s="1">
        <v>-2.391235E-6</v>
      </c>
      <c r="I1074">
        <v>372.16950000000003</v>
      </c>
      <c r="J1074">
        <v>-294.30149999999998</v>
      </c>
      <c r="K1074">
        <v>1.071197</v>
      </c>
      <c r="L1074">
        <v>367.25080000000003</v>
      </c>
      <c r="M1074">
        <v>0.99991589999999997</v>
      </c>
      <c r="N1074">
        <v>-1.2023030000000001E-2</v>
      </c>
      <c r="O1074">
        <v>4.881664E-3</v>
      </c>
      <c r="P1074">
        <v>0.98775659999999998</v>
      </c>
      <c r="Q1074">
        <v>0.15505669999999999</v>
      </c>
      <c r="R1074">
        <v>1.7164680000000002E-2</v>
      </c>
      <c r="S1074">
        <v>3.0458370000000001</v>
      </c>
      <c r="T1074">
        <v>-0.1140081</v>
      </c>
      <c r="U1074">
        <v>0.52365109999999904</v>
      </c>
      <c r="V1074">
        <v>-1.23357E-2</v>
      </c>
      <c r="W1074">
        <v>0.16692270000000001</v>
      </c>
      <c r="X1074">
        <v>0.98589280000000001</v>
      </c>
      <c r="Y1074">
        <v>-0.16447709999999999</v>
      </c>
      <c r="Z1074">
        <v>3.9281780000000001E-3</v>
      </c>
      <c r="AA1074">
        <v>0.9863731</v>
      </c>
      <c r="AB1074">
        <v>30</v>
      </c>
      <c r="AC1074">
        <v>28.333100000000002</v>
      </c>
      <c r="AD1074">
        <v>-1.071199391235</v>
      </c>
      <c r="AE1074">
        <v>4.9187000000000003</v>
      </c>
      <c r="AF1074">
        <v>-4.7736948551509899</v>
      </c>
      <c r="AG1074">
        <v>-1.071199391235</v>
      </c>
      <c r="AH1074">
        <v>28.317482837244601</v>
      </c>
      <c r="AI1074">
        <v>92.136249972977495</v>
      </c>
      <c r="AJ1074">
        <v>99.568821422771094</v>
      </c>
      <c r="AK1074">
        <v>28.737005149171701</v>
      </c>
      <c r="AL1074">
        <v>80.391053583050706</v>
      </c>
      <c r="AM1074">
        <v>90.716859548215396</v>
      </c>
      <c r="AN1074">
        <v>0.99999998518080901</v>
      </c>
    </row>
    <row r="1075" spans="1:40" x14ac:dyDescent="0.25">
      <c r="A1075" t="str">
        <f>"20190303161859998"</f>
        <v>20190303161859998</v>
      </c>
      <c r="B1075" t="str">
        <f>"1551601139984189"</f>
        <v>1551601139984189</v>
      </c>
      <c r="C1075" t="s">
        <v>40</v>
      </c>
      <c r="D1075">
        <v>4.6850930000000002</v>
      </c>
      <c r="E1075">
        <v>0.44117040000000002</v>
      </c>
      <c r="F1075" t="s">
        <v>41</v>
      </c>
      <c r="G1075">
        <v>-265.05220000000003</v>
      </c>
      <c r="H1075" s="1">
        <v>-2.816903E-6</v>
      </c>
      <c r="I1075">
        <v>372.29219999999998</v>
      </c>
      <c r="J1075">
        <v>-294.10759999999999</v>
      </c>
      <c r="K1075">
        <v>1.0711980000000001</v>
      </c>
      <c r="L1075">
        <v>367.25170000000003</v>
      </c>
      <c r="M1075">
        <v>0.99991580000000002</v>
      </c>
      <c r="N1075">
        <v>-1.20231E-2</v>
      </c>
      <c r="O1075">
        <v>4.8818430000000003E-3</v>
      </c>
      <c r="P1075">
        <v>0.98772990000000005</v>
      </c>
      <c r="Q1075">
        <v>0.1552547</v>
      </c>
      <c r="R1075">
        <v>1.6902819999999999E-2</v>
      </c>
      <c r="S1075">
        <v>3.0455320000000001</v>
      </c>
      <c r="T1075">
        <v>-0.1115367</v>
      </c>
      <c r="U1075">
        <v>0.52493290000000004</v>
      </c>
      <c r="V1075">
        <v>-1.207391E-2</v>
      </c>
      <c r="W1075">
        <v>0.1671202</v>
      </c>
      <c r="X1075">
        <v>0.98586260000000003</v>
      </c>
      <c r="Y1075">
        <v>-0.16490170000000001</v>
      </c>
      <c r="Z1075">
        <v>3.8764170000000001E-3</v>
      </c>
      <c r="AA1075">
        <v>0.98630240000000002</v>
      </c>
      <c r="AB1075">
        <v>30</v>
      </c>
      <c r="AC1075">
        <v>29.055399999999899</v>
      </c>
      <c r="AD1075">
        <v>-1.0712008169029901</v>
      </c>
      <c r="AE1075">
        <v>5.04049999999995</v>
      </c>
      <c r="AF1075">
        <v>-4.8921305851804897</v>
      </c>
      <c r="AG1075">
        <v>-1.0712008169029901</v>
      </c>
      <c r="AH1075">
        <v>29.041342249775798</v>
      </c>
      <c r="AI1075">
        <v>92.083096094214298</v>
      </c>
      <c r="AJ1075">
        <v>99.561932755778003</v>
      </c>
      <c r="AK1075">
        <v>29.4699842640136</v>
      </c>
      <c r="AL1075">
        <v>80.379576626241203</v>
      </c>
      <c r="AM1075">
        <v>90.701669280660994</v>
      </c>
      <c r="AN1075">
        <v>1.00000000331474</v>
      </c>
    </row>
    <row r="1076" spans="1:40" x14ac:dyDescent="0.25">
      <c r="A1076" t="str">
        <f>"20190303161900013"</f>
        <v>20190303161900013</v>
      </c>
      <c r="B1076" t="str">
        <f>"1551601140003708"</f>
        <v>1551601140003708</v>
      </c>
      <c r="C1076" t="s">
        <v>40</v>
      </c>
      <c r="D1076">
        <v>4.6922040000000003</v>
      </c>
      <c r="E1076">
        <v>0.44120310000000001</v>
      </c>
      <c r="F1076" t="s">
        <v>41</v>
      </c>
      <c r="G1076">
        <v>-264.64830000000001</v>
      </c>
      <c r="H1076" s="1">
        <v>-2.9975749999999998E-6</v>
      </c>
      <c r="I1076">
        <v>372.31990000000002</v>
      </c>
      <c r="J1076">
        <v>-293.91379999999998</v>
      </c>
      <c r="K1076">
        <v>1.0711980000000001</v>
      </c>
      <c r="L1076">
        <v>367.2527</v>
      </c>
      <c r="M1076">
        <v>0.99991589999999997</v>
      </c>
      <c r="N1076">
        <v>-1.202318E-2</v>
      </c>
      <c r="O1076">
        <v>4.8818430000000003E-3</v>
      </c>
      <c r="P1076">
        <v>0.9877205</v>
      </c>
      <c r="Q1076">
        <v>0.15533540000000001</v>
      </c>
      <c r="R1076">
        <v>1.6710929999999999E-2</v>
      </c>
      <c r="S1076">
        <v>3.045715</v>
      </c>
      <c r="T1076">
        <v>-0.1107479</v>
      </c>
      <c r="U1076">
        <v>0.52398679999999997</v>
      </c>
      <c r="V1076">
        <v>-1.1881940000000001E-2</v>
      </c>
      <c r="W1076">
        <v>0.16720099999999999</v>
      </c>
      <c r="X1076">
        <v>0.98585120000000004</v>
      </c>
      <c r="Y1076">
        <v>-0.1645962</v>
      </c>
      <c r="Z1076">
        <v>3.8490149999999999E-3</v>
      </c>
      <c r="AA1076">
        <v>0.98635349999999999</v>
      </c>
      <c r="AB1076">
        <v>30</v>
      </c>
      <c r="AC1076">
        <v>29.2654999999999</v>
      </c>
      <c r="AD1076">
        <v>-1.0712009975750001</v>
      </c>
      <c r="AE1076">
        <v>5.0672000000000104</v>
      </c>
      <c r="AF1076">
        <v>-4.9178626970869201</v>
      </c>
      <c r="AG1076">
        <v>-1.0712009975750001</v>
      </c>
      <c r="AH1076">
        <v>29.251840275003101</v>
      </c>
      <c r="AI1076">
        <v>92.068231871742398</v>
      </c>
      <c r="AJ1076">
        <v>99.543404893450699</v>
      </c>
      <c r="AK1076">
        <v>29.6816947723491</v>
      </c>
      <c r="AL1076">
        <v>80.374880752145401</v>
      </c>
      <c r="AM1076">
        <v>90.690522112505207</v>
      </c>
      <c r="AN1076">
        <v>0.99999997172030097</v>
      </c>
    </row>
    <row r="1077" spans="1:40" x14ac:dyDescent="0.25">
      <c r="A1077" t="str">
        <f>"20190303161900028"</f>
        <v>20190303161900028</v>
      </c>
      <c r="B1077" t="str">
        <f>"1551601140013469"</f>
        <v>1551601140013469</v>
      </c>
      <c r="C1077" t="s">
        <v>40</v>
      </c>
      <c r="D1077">
        <v>4.744802</v>
      </c>
      <c r="E1077">
        <v>0.44149539999999998</v>
      </c>
      <c r="F1077" t="s">
        <v>41</v>
      </c>
      <c r="G1077">
        <v>-264.32560000000001</v>
      </c>
      <c r="H1077" s="1">
        <v>-3.1406379999999998E-6</v>
      </c>
      <c r="I1077">
        <v>372.33730000000003</v>
      </c>
      <c r="J1077">
        <v>-293.71120000000002</v>
      </c>
      <c r="K1077">
        <v>1.071197</v>
      </c>
      <c r="L1077">
        <v>367.25369999999998</v>
      </c>
      <c r="M1077">
        <v>0.99991589999999997</v>
      </c>
      <c r="N1077">
        <v>-1.2023259999999999E-2</v>
      </c>
      <c r="O1077">
        <v>4.881842E-3</v>
      </c>
      <c r="P1077">
        <v>0.98770930000000001</v>
      </c>
      <c r="Q1077">
        <v>0.15541360000000001</v>
      </c>
      <c r="R1077">
        <v>1.6650169999999999E-2</v>
      </c>
      <c r="S1077">
        <v>3.045776</v>
      </c>
      <c r="T1077">
        <v>-0.110268</v>
      </c>
      <c r="U1077">
        <v>0.52340699999999996</v>
      </c>
      <c r="V1077">
        <v>-1.182161E-2</v>
      </c>
      <c r="W1077">
        <v>0.1672795</v>
      </c>
      <c r="X1077">
        <v>0.98583869999999896</v>
      </c>
      <c r="Y1077">
        <v>-0.16441169999999999</v>
      </c>
      <c r="Z1077">
        <v>3.8324639999999998E-3</v>
      </c>
      <c r="AA1077">
        <v>0.98638429999999999</v>
      </c>
      <c r="AB1077">
        <v>30</v>
      </c>
      <c r="AC1077">
        <v>29.3856</v>
      </c>
      <c r="AD1077">
        <v>-1.0712001406380001</v>
      </c>
      <c r="AE1077">
        <v>5.0836000000000396</v>
      </c>
      <c r="AF1077">
        <v>-4.9337076099769304</v>
      </c>
      <c r="AG1077">
        <v>-1.0712001406380001</v>
      </c>
      <c r="AH1077">
        <v>29.372172202781801</v>
      </c>
      <c r="AI1077">
        <v>92.059814624203895</v>
      </c>
      <c r="AJ1077">
        <v>99.535085182740502</v>
      </c>
      <c r="AK1077">
        <v>29.802909932285399</v>
      </c>
      <c r="AL1077">
        <v>80.370319660987306</v>
      </c>
      <c r="AM1077">
        <v>90.687025065603294</v>
      </c>
      <c r="AN1077">
        <v>1.0000000620004601</v>
      </c>
    </row>
    <row r="1078" spans="1:40" x14ac:dyDescent="0.25">
      <c r="A1078" t="str">
        <f>"20190303161900041"</f>
        <v>20190303161900041</v>
      </c>
      <c r="B1078" t="str">
        <f>"1551601140024205"</f>
        <v>1551601140024205</v>
      </c>
      <c r="C1078" t="s">
        <v>40</v>
      </c>
      <c r="D1078">
        <v>4.689025</v>
      </c>
      <c r="E1078">
        <v>0.44149539999999998</v>
      </c>
      <c r="F1078" t="s">
        <v>41</v>
      </c>
      <c r="G1078">
        <v>-264.09320000000002</v>
      </c>
      <c r="H1078" s="1">
        <v>-3.234926E-6</v>
      </c>
      <c r="I1078">
        <v>372.31709999999998</v>
      </c>
      <c r="J1078">
        <v>-293.52350000000001</v>
      </c>
      <c r="K1078">
        <v>1.0711949999999999</v>
      </c>
      <c r="L1078">
        <v>367.25459999999998</v>
      </c>
      <c r="M1078">
        <v>0.99991580000000002</v>
      </c>
      <c r="N1078">
        <v>-1.202335E-2</v>
      </c>
      <c r="O1078">
        <v>4.8820199999999999E-3</v>
      </c>
      <c r="P1078">
        <v>0.98770910000000001</v>
      </c>
      <c r="Q1078">
        <v>0.15542320000000001</v>
      </c>
      <c r="R1078">
        <v>1.6571740000000001E-2</v>
      </c>
      <c r="S1078">
        <v>3.0458980000000002</v>
      </c>
      <c r="T1078">
        <v>-0.1101617</v>
      </c>
      <c r="U1078">
        <v>0.5207214</v>
      </c>
      <c r="V1078">
        <v>-1.174262E-2</v>
      </c>
      <c r="W1078">
        <v>0.16728889999999999</v>
      </c>
      <c r="X1078">
        <v>0.98583799999999999</v>
      </c>
      <c r="Y1078">
        <v>-0.16356099999999901</v>
      </c>
      <c r="Z1078">
        <v>3.809392E-3</v>
      </c>
      <c r="AA1078">
        <v>0.98652589999999996</v>
      </c>
      <c r="AB1078">
        <v>30</v>
      </c>
      <c r="AC1078">
        <v>29.4302999999999</v>
      </c>
      <c r="AD1078">
        <v>-1.0711982349259901</v>
      </c>
      <c r="AE1078">
        <v>5.0625</v>
      </c>
      <c r="AF1078">
        <v>-4.9124290105742503</v>
      </c>
      <c r="AG1078">
        <v>-1.0711982349259901</v>
      </c>
      <c r="AH1078">
        <v>29.416814852634399</v>
      </c>
      <c r="AI1078">
        <v>92.057015224113002</v>
      </c>
      <c r="AJ1078">
        <v>99.480564302541197</v>
      </c>
      <c r="AK1078">
        <v>29.8433982735983</v>
      </c>
      <c r="AL1078">
        <v>80.369772913514396</v>
      </c>
      <c r="AM1078">
        <v>90.682435400364795</v>
      </c>
      <c r="AN1078">
        <v>1.00000001371583</v>
      </c>
    </row>
    <row r="1079" spans="1:40" x14ac:dyDescent="0.25">
      <c r="A1079" t="str">
        <f>"20190303161900056"</f>
        <v>20190303161900056</v>
      </c>
      <c r="B1079" t="str">
        <f>"1551601140033964"</f>
        <v>1551601140033964</v>
      </c>
      <c r="C1079" t="s">
        <v>40</v>
      </c>
      <c r="D1079">
        <v>4.688167</v>
      </c>
      <c r="E1079">
        <v>0.45805249999999997</v>
      </c>
      <c r="F1079" t="s">
        <v>41</v>
      </c>
      <c r="G1079">
        <v>-263.90859999999998</v>
      </c>
      <c r="H1079" s="1">
        <v>-3.3131309999999999E-6</v>
      </c>
      <c r="I1079">
        <v>372.31330000000003</v>
      </c>
      <c r="J1079">
        <v>-293.33440000000002</v>
      </c>
      <c r="K1079">
        <v>1.0711949999999999</v>
      </c>
      <c r="L1079">
        <v>367.25560000000002</v>
      </c>
      <c r="M1079">
        <v>0.99991580000000002</v>
      </c>
      <c r="N1079">
        <v>-1.202344E-2</v>
      </c>
      <c r="O1079">
        <v>4.8821979999999999E-3</v>
      </c>
      <c r="P1079">
        <v>0.98771169999999997</v>
      </c>
      <c r="Q1079">
        <v>0.155419899999999</v>
      </c>
      <c r="R1079">
        <v>1.6445149999999999E-2</v>
      </c>
      <c r="S1079">
        <v>3.0458980000000002</v>
      </c>
      <c r="T1079">
        <v>-0.110172699999999</v>
      </c>
      <c r="U1079">
        <v>0.52029420000000004</v>
      </c>
      <c r="V1079">
        <v>-1.161617E-2</v>
      </c>
      <c r="W1079">
        <v>0.16728570000000001</v>
      </c>
      <c r="X1079">
        <v>0.98584000000000005</v>
      </c>
      <c r="Y1079">
        <v>-0.1634264</v>
      </c>
      <c r="Z1079">
        <v>3.8064650000000002E-3</v>
      </c>
      <c r="AA1079">
        <v>0.98654819999999999</v>
      </c>
      <c r="AB1079">
        <v>30</v>
      </c>
      <c r="AC1079">
        <v>29.425799999999999</v>
      </c>
      <c r="AD1079">
        <v>-1.0711983131309999</v>
      </c>
      <c r="AE1079">
        <v>5.0577000000000103</v>
      </c>
      <c r="AF1079">
        <v>-4.9076497244980004</v>
      </c>
      <c r="AG1079">
        <v>-1.0711983131309999</v>
      </c>
      <c r="AH1079">
        <v>29.412284862756799</v>
      </c>
      <c r="AI1079">
        <v>92.057377575783804</v>
      </c>
      <c r="AJ1079">
        <v>99.472940227268595</v>
      </c>
      <c r="AK1079">
        <v>29.838146599485299</v>
      </c>
      <c r="AL1079">
        <v>80.369958486879696</v>
      </c>
      <c r="AM1079">
        <v>90.6750859325862</v>
      </c>
      <c r="AN1079">
        <v>0.99999997321497902</v>
      </c>
    </row>
    <row r="1080" spans="1:40" x14ac:dyDescent="0.25">
      <c r="A1080" t="str">
        <f>"20190303161900071"</f>
        <v>20190303161900071</v>
      </c>
      <c r="B1080" t="str">
        <f>"1551601140064221"</f>
        <v>1551601140064221</v>
      </c>
      <c r="C1080" t="s">
        <v>40</v>
      </c>
      <c r="D1080">
        <v>4.6572180000000003</v>
      </c>
      <c r="E1080">
        <v>0.45904810000000001</v>
      </c>
      <c r="F1080" t="s">
        <v>41</v>
      </c>
      <c r="G1080">
        <v>-264.52359999999999</v>
      </c>
      <c r="H1080" s="1">
        <v>-2.6792859999999999E-6</v>
      </c>
      <c r="I1080">
        <v>370.9228</v>
      </c>
      <c r="J1080">
        <v>-293.1438</v>
      </c>
      <c r="K1080">
        <v>1.07119599999999</v>
      </c>
      <c r="L1080">
        <v>367.25650000000002</v>
      </c>
      <c r="M1080">
        <v>0.99991589999999997</v>
      </c>
      <c r="N1080">
        <v>-1.2023529999999999E-2</v>
      </c>
      <c r="O1080">
        <v>4.8821969999999996E-3</v>
      </c>
      <c r="P1080">
        <v>0.98770709999999995</v>
      </c>
      <c r="Q1080">
        <v>0.15545400000000001</v>
      </c>
      <c r="R1080">
        <v>1.6398739999999998E-2</v>
      </c>
      <c r="S1080">
        <v>3.0487060000000001</v>
      </c>
      <c r="T1080">
        <v>-0.11335190000000001</v>
      </c>
      <c r="U1080">
        <v>0.3880615</v>
      </c>
      <c r="V1080">
        <v>-1.1569090000000001E-2</v>
      </c>
      <c r="W1080">
        <v>0.16732</v>
      </c>
      <c r="X1080">
        <v>0.98583480000000001</v>
      </c>
      <c r="Y1080">
        <v>-0.12131550000000001</v>
      </c>
      <c r="Z1080">
        <v>2.8557970000000002E-3</v>
      </c>
      <c r="AA1080">
        <v>0.99260990000000004</v>
      </c>
      <c r="AB1080">
        <v>30</v>
      </c>
      <c r="AC1080">
        <v>28.620200000000001</v>
      </c>
      <c r="AD1080">
        <v>-1.07119867928599</v>
      </c>
      <c r="AE1080">
        <v>3.6662999999999699</v>
      </c>
      <c r="AF1080">
        <v>-3.52166305049376</v>
      </c>
      <c r="AG1080">
        <v>-1.07119867928599</v>
      </c>
      <c r="AH1080">
        <v>28.598344281220601</v>
      </c>
      <c r="AI1080">
        <v>92.129039478727904</v>
      </c>
      <c r="AJ1080">
        <v>97.020186036677202</v>
      </c>
      <c r="AK1080">
        <v>28.834265603253002</v>
      </c>
      <c r="AL1080">
        <v>80.367965791752198</v>
      </c>
      <c r="AM1080">
        <v>90.672353626703398</v>
      </c>
      <c r="AN1080">
        <v>1.0000000395672299</v>
      </c>
    </row>
    <row r="1081" spans="1:40" x14ac:dyDescent="0.25">
      <c r="A1081" t="str">
        <f>"20190303161900084"</f>
        <v>20190303161900084</v>
      </c>
      <c r="B1081" t="str">
        <f>"1551601140073980"</f>
        <v>1551601140073980</v>
      </c>
      <c r="C1081" t="s">
        <v>40</v>
      </c>
      <c r="D1081">
        <v>4.7341769999999999</v>
      </c>
      <c r="E1081">
        <v>0.45889010000000002</v>
      </c>
      <c r="F1081" t="s">
        <v>41</v>
      </c>
      <c r="G1081">
        <v>-264.55</v>
      </c>
      <c r="H1081" s="1">
        <v>-2.6406280000000001E-6</v>
      </c>
      <c r="I1081">
        <v>370.81990000000002</v>
      </c>
      <c r="J1081">
        <v>-292.94560000000001</v>
      </c>
      <c r="K1081">
        <v>1.0712029999999999</v>
      </c>
      <c r="L1081">
        <v>367.25749999999999</v>
      </c>
      <c r="M1081">
        <v>0.99991580000000002</v>
      </c>
      <c r="N1081">
        <v>-1.202364E-2</v>
      </c>
      <c r="O1081">
        <v>4.8823759999999999E-3</v>
      </c>
      <c r="P1081">
        <v>0.98766920000000002</v>
      </c>
      <c r="Q1081">
        <v>0.15571170000000001</v>
      </c>
      <c r="R1081">
        <v>1.62308E-2</v>
      </c>
      <c r="S1081">
        <v>3.0489809999999999</v>
      </c>
      <c r="T1081">
        <v>-0.1142223</v>
      </c>
      <c r="U1081">
        <v>0.37997439999999999</v>
      </c>
      <c r="V1081">
        <v>-1.140124E-2</v>
      </c>
      <c r="W1081">
        <v>0.16757710000000001</v>
      </c>
      <c r="X1081">
        <v>0.98579309999999998</v>
      </c>
      <c r="Y1081">
        <v>-0.118713</v>
      </c>
      <c r="Z1081">
        <v>2.8074350000000001E-3</v>
      </c>
      <c r="AA1081">
        <v>0.99292460000000005</v>
      </c>
      <c r="AB1081">
        <v>30</v>
      </c>
      <c r="AC1081">
        <v>28.395600000000002</v>
      </c>
      <c r="AD1081">
        <v>-1.0712056406279999</v>
      </c>
      <c r="AE1081">
        <v>3.5624000000000202</v>
      </c>
      <c r="AF1081">
        <v>-3.4189193542362801</v>
      </c>
      <c r="AG1081">
        <v>-1.0712056406279999</v>
      </c>
      <c r="AH1081">
        <v>28.372903176249999</v>
      </c>
      <c r="AI1081">
        <v>92.1466344953716</v>
      </c>
      <c r="AJ1081">
        <v>96.870982146593803</v>
      </c>
      <c r="AK1081">
        <v>28.598218925732802</v>
      </c>
      <c r="AL1081">
        <v>80.353024226748204</v>
      </c>
      <c r="AM1081">
        <v>90.6626276945955</v>
      </c>
      <c r="AN1081">
        <v>1.0000000543627701</v>
      </c>
    </row>
    <row r="1082" spans="1:40" x14ac:dyDescent="0.25">
      <c r="A1082" t="str">
        <f>"20190303161900099"</f>
        <v>20190303161900099</v>
      </c>
      <c r="B1082" t="str">
        <f>"1551601140093501"</f>
        <v>1551601140093501</v>
      </c>
      <c r="C1082" t="s">
        <v>40</v>
      </c>
      <c r="D1082">
        <v>4.6650980000000004</v>
      </c>
      <c r="E1082">
        <v>0.45829219999999998</v>
      </c>
      <c r="F1082" t="s">
        <v>41</v>
      </c>
      <c r="G1082">
        <v>-264.45030000000003</v>
      </c>
      <c r="H1082" s="1">
        <v>-2.6823640000000002E-6</v>
      </c>
      <c r="I1082">
        <v>370.81599999999997</v>
      </c>
      <c r="J1082">
        <v>-292.75</v>
      </c>
      <c r="K1082">
        <v>1.071207</v>
      </c>
      <c r="L1082">
        <v>367.25850000000003</v>
      </c>
      <c r="M1082">
        <v>0.99991600000000003</v>
      </c>
      <c r="N1082">
        <v>-1.202373E-2</v>
      </c>
      <c r="O1082">
        <v>4.8823750000000004E-3</v>
      </c>
      <c r="P1082">
        <v>0.98766350000000003</v>
      </c>
      <c r="Q1082">
        <v>0.15574279999999999</v>
      </c>
      <c r="R1082">
        <v>1.6289439999999999E-2</v>
      </c>
      <c r="S1082">
        <v>3.049255</v>
      </c>
      <c r="T1082">
        <v>-0.1146282</v>
      </c>
      <c r="U1082">
        <v>0.38079829999999998</v>
      </c>
      <c r="V1082">
        <v>-1.145993E-2</v>
      </c>
      <c r="W1082">
        <v>0.16760810000000001</v>
      </c>
      <c r="X1082">
        <v>0.98578710000000003</v>
      </c>
      <c r="Y1082">
        <v>-0.1189653</v>
      </c>
      <c r="Z1082">
        <v>2.8207000000000002E-3</v>
      </c>
      <c r="AA1082">
        <v>0.99289439999999995</v>
      </c>
      <c r="AB1082">
        <v>30</v>
      </c>
      <c r="AC1082">
        <v>28.299699999999898</v>
      </c>
      <c r="AD1082">
        <v>-1.0712096823639901</v>
      </c>
      <c r="AE1082">
        <v>3.5574999999999402</v>
      </c>
      <c r="AF1082">
        <v>-3.4144617537772701</v>
      </c>
      <c r="AG1082">
        <v>-1.0712096823639901</v>
      </c>
      <c r="AH1082">
        <v>28.276848187635601</v>
      </c>
      <c r="AI1082">
        <v>92.153863370286004</v>
      </c>
      <c r="AJ1082">
        <v>96.885196048414201</v>
      </c>
      <c r="AK1082">
        <v>28.502389069658498</v>
      </c>
      <c r="AL1082">
        <v>80.351222103213303</v>
      </c>
      <c r="AM1082">
        <v>90.666042440687406</v>
      </c>
      <c r="AN1082">
        <v>1.0000000058538101</v>
      </c>
    </row>
    <row r="1083" spans="1:40" x14ac:dyDescent="0.25">
      <c r="A1083" t="str">
        <f>"20190303161900112"</f>
        <v>20190303161900112</v>
      </c>
      <c r="B1083" t="str">
        <f>"1551601140104238"</f>
        <v>1551601140104238</v>
      </c>
      <c r="C1083" t="s">
        <v>40</v>
      </c>
      <c r="D1083">
        <v>4.7004659999999996</v>
      </c>
      <c r="E1083">
        <v>0.45807209999999998</v>
      </c>
      <c r="F1083" t="s">
        <v>41</v>
      </c>
      <c r="G1083">
        <v>-263.81799999999998</v>
      </c>
      <c r="H1083" s="1">
        <v>-2.9802540000000001E-6</v>
      </c>
      <c r="I1083">
        <v>370.9162</v>
      </c>
      <c r="J1083">
        <v>-292.59019999999998</v>
      </c>
      <c r="K1083">
        <v>1.0712060000000001</v>
      </c>
      <c r="L1083">
        <v>367.25920000000002</v>
      </c>
      <c r="M1083">
        <v>0.99991600000000003</v>
      </c>
      <c r="N1083">
        <v>-1.2023819999999999E-2</v>
      </c>
      <c r="O1083">
        <v>4.8823750000000004E-3</v>
      </c>
      <c r="P1083">
        <v>0.9876277</v>
      </c>
      <c r="Q1083">
        <v>0.1559584</v>
      </c>
      <c r="R1083">
        <v>1.6387430000000001E-2</v>
      </c>
      <c r="S1083">
        <v>3.0489199999999999</v>
      </c>
      <c r="T1083">
        <v>-0.11288620000000001</v>
      </c>
      <c r="U1083">
        <v>0.38546750000000002</v>
      </c>
      <c r="V1083">
        <v>-1.1558219999999999E-2</v>
      </c>
      <c r="W1083">
        <v>0.16782339999999901</v>
      </c>
      <c r="X1083">
        <v>0.98574930000000005</v>
      </c>
      <c r="Y1083">
        <v>-0.120477</v>
      </c>
      <c r="Z1083">
        <v>2.8267420000000001E-3</v>
      </c>
      <c r="AA1083">
        <v>0.99271209999999999</v>
      </c>
      <c r="AB1083">
        <v>30</v>
      </c>
      <c r="AC1083">
        <v>28.772200000000002</v>
      </c>
      <c r="AD1083">
        <v>-1.0712089802539999</v>
      </c>
      <c r="AE1083">
        <v>3.65699999999998</v>
      </c>
      <c r="AF1083">
        <v>-3.5116793707430398</v>
      </c>
      <c r="AG1083">
        <v>-1.0712089802539999</v>
      </c>
      <c r="AH1083">
        <v>28.750494948409202</v>
      </c>
      <c r="AI1083">
        <v>92.118058403513999</v>
      </c>
      <c r="AJ1083">
        <v>96.963799461258404</v>
      </c>
      <c r="AK1083">
        <v>28.983966955211301</v>
      </c>
      <c r="AL1083">
        <v>80.338708869124602</v>
      </c>
      <c r="AM1083">
        <v>90.671780216737702</v>
      </c>
      <c r="AN1083">
        <v>0.99999998424380898</v>
      </c>
    </row>
    <row r="1084" spans="1:40" x14ac:dyDescent="0.25">
      <c r="A1084" t="str">
        <f>"20190303161900125"</f>
        <v>20190303161900125</v>
      </c>
      <c r="B1084" t="str">
        <f>"1551601140113997"</f>
        <v>1551601140113997</v>
      </c>
      <c r="C1084" t="s">
        <v>40</v>
      </c>
      <c r="D1084">
        <v>4.6716819999999997</v>
      </c>
      <c r="E1084">
        <v>0.45785049999999999</v>
      </c>
      <c r="F1084" t="s">
        <v>41</v>
      </c>
      <c r="G1084">
        <v>-263.51130000000001</v>
      </c>
      <c r="H1084" s="1">
        <v>-3.1227289999999999E-6</v>
      </c>
      <c r="I1084">
        <v>370.9572</v>
      </c>
      <c r="J1084">
        <v>-292.40339999999998</v>
      </c>
      <c r="K1084">
        <v>1.0712029999999999</v>
      </c>
      <c r="L1084">
        <v>367.2602</v>
      </c>
      <c r="M1084">
        <v>0.99991589999999997</v>
      </c>
      <c r="N1084">
        <v>-1.202393E-2</v>
      </c>
      <c r="O1084">
        <v>4.8825530000000004E-3</v>
      </c>
      <c r="P1084">
        <v>0.98764059999999998</v>
      </c>
      <c r="Q1084">
        <v>0.1558619</v>
      </c>
      <c r="R1084">
        <v>1.6534030000000002E-2</v>
      </c>
      <c r="S1084">
        <v>3.048889</v>
      </c>
      <c r="T1084">
        <v>-0.1123146</v>
      </c>
      <c r="U1084">
        <v>0.38772580000000001</v>
      </c>
      <c r="V1084">
        <v>-1.1704590000000001E-2</v>
      </c>
      <c r="W1084">
        <v>0.16772709999999999</v>
      </c>
      <c r="X1084">
        <v>0.98576399999999997</v>
      </c>
      <c r="Y1084">
        <v>-0.121202</v>
      </c>
      <c r="Z1084">
        <v>2.8340459999999998E-3</v>
      </c>
      <c r="AA1084">
        <v>0.99262379999999995</v>
      </c>
      <c r="AB1084">
        <v>30</v>
      </c>
      <c r="AC1084">
        <v>28.8920999999999</v>
      </c>
      <c r="AD1084">
        <v>-1.071206122729</v>
      </c>
      <c r="AE1084">
        <v>3.6970000000000001</v>
      </c>
      <c r="AF1084">
        <v>-3.5510757341144998</v>
      </c>
      <c r="AG1084">
        <v>-1.071206122729</v>
      </c>
      <c r="AH1084">
        <v>28.870760206916501</v>
      </c>
      <c r="AI1084">
        <v>92.109019933190794</v>
      </c>
      <c r="AJ1084">
        <v>97.012105810334205</v>
      </c>
      <c r="AK1084">
        <v>29.1080472782367</v>
      </c>
      <c r="AL1084">
        <v>80.344306141977796</v>
      </c>
      <c r="AM1084">
        <v>90.680276511523005</v>
      </c>
      <c r="AN1084">
        <v>1.0000000205987301</v>
      </c>
    </row>
    <row r="1085" spans="1:40" x14ac:dyDescent="0.25">
      <c r="A1085" t="str">
        <f>"20190303161900138"</f>
        <v>20190303161900138</v>
      </c>
      <c r="B1085" t="str">
        <f>"1551601140133516"</f>
        <v>1551601140133516</v>
      </c>
      <c r="C1085" t="s">
        <v>40</v>
      </c>
      <c r="D1085">
        <v>4.6756449999999896</v>
      </c>
      <c r="E1085">
        <v>0.45723659999999999</v>
      </c>
      <c r="F1085" t="s">
        <v>41</v>
      </c>
      <c r="G1085">
        <v>-263.3399</v>
      </c>
      <c r="H1085" s="1">
        <v>-3.2013819999999999E-6</v>
      </c>
      <c r="I1085">
        <v>370.97640000000001</v>
      </c>
      <c r="J1085">
        <v>-292.23140000000001</v>
      </c>
      <c r="K1085">
        <v>1.07119599999999</v>
      </c>
      <c r="L1085">
        <v>367.26100000000002</v>
      </c>
      <c r="M1085">
        <v>0.99991580000000002</v>
      </c>
      <c r="N1085">
        <v>-1.202403E-2</v>
      </c>
      <c r="O1085">
        <v>4.8826709999999999E-3</v>
      </c>
      <c r="P1085">
        <v>0.98764799999999997</v>
      </c>
      <c r="Q1085">
        <v>0.15573799999999999</v>
      </c>
      <c r="R1085">
        <v>1.72345E-2</v>
      </c>
      <c r="S1085">
        <v>3.048737</v>
      </c>
      <c r="T1085">
        <v>-0.1123681</v>
      </c>
      <c r="U1085">
        <v>0.3898315</v>
      </c>
      <c r="V1085">
        <v>-1.240523E-2</v>
      </c>
      <c r="W1085">
        <v>0.1676039</v>
      </c>
      <c r="X1085">
        <v>0.9857764</v>
      </c>
      <c r="Y1085">
        <v>-0.121882</v>
      </c>
      <c r="Z1085">
        <v>2.8516489999999999E-3</v>
      </c>
      <c r="AA1085">
        <v>0.99254050000000005</v>
      </c>
      <c r="AB1085">
        <v>30</v>
      </c>
      <c r="AC1085">
        <v>28.891500000000001</v>
      </c>
      <c r="AD1085">
        <v>-1.07119920138199</v>
      </c>
      <c r="AE1085">
        <v>3.7154000000000398</v>
      </c>
      <c r="AF1085">
        <v>-3.5694508078512701</v>
      </c>
      <c r="AG1085">
        <v>-1.07119920138199</v>
      </c>
      <c r="AH1085">
        <v>28.8702563498417</v>
      </c>
      <c r="AI1085">
        <v>92.108879640805</v>
      </c>
      <c r="AJ1085">
        <v>97.048147784929299</v>
      </c>
      <c r="AK1085">
        <v>29.1097947176596</v>
      </c>
      <c r="AL1085">
        <v>80.351466471748495</v>
      </c>
      <c r="AM1085">
        <v>90.720984806274501</v>
      </c>
      <c r="AN1085">
        <v>1.0000000339117601</v>
      </c>
    </row>
    <row r="1086" spans="1:40" x14ac:dyDescent="0.25">
      <c r="A1086" t="str">
        <f>"20190303161900150"</f>
        <v>20190303161900150</v>
      </c>
      <c r="B1086" t="str">
        <f>"1551601140144252"</f>
        <v>1551601140144252</v>
      </c>
      <c r="C1086" t="s">
        <v>40</v>
      </c>
      <c r="D1086">
        <v>4.7504559999999998</v>
      </c>
      <c r="E1086">
        <v>0.45723659999999999</v>
      </c>
      <c r="F1086" t="s">
        <v>41</v>
      </c>
      <c r="G1086">
        <v>-263.113</v>
      </c>
      <c r="H1086" s="1">
        <v>-3.3195460000000002E-6</v>
      </c>
      <c r="I1086">
        <v>371.05470000000003</v>
      </c>
      <c r="J1086">
        <v>-292.0763</v>
      </c>
      <c r="K1086">
        <v>1.07119599999999</v>
      </c>
      <c r="L1086">
        <v>367.26179999999999</v>
      </c>
      <c r="M1086">
        <v>0.99991580000000002</v>
      </c>
      <c r="N1086">
        <v>-1.2024109999999999E-2</v>
      </c>
      <c r="O1086">
        <v>4.8826709999999999E-3</v>
      </c>
      <c r="P1086">
        <v>0.98760389999999998</v>
      </c>
      <c r="Q1086">
        <v>0.1559865</v>
      </c>
      <c r="R1086">
        <v>1.752037E-2</v>
      </c>
      <c r="S1086">
        <v>3.048279</v>
      </c>
      <c r="T1086">
        <v>-0.112139</v>
      </c>
      <c r="U1086">
        <v>0.3971558</v>
      </c>
      <c r="V1086">
        <v>-1.269142E-2</v>
      </c>
      <c r="W1086">
        <v>0.16785159999999999</v>
      </c>
      <c r="X1086">
        <v>0.98573060000000001</v>
      </c>
      <c r="Y1086">
        <v>-0.1242444</v>
      </c>
      <c r="Z1086">
        <v>2.9050819999999998E-3</v>
      </c>
      <c r="AA1086">
        <v>0.9922474</v>
      </c>
      <c r="AB1086">
        <v>30</v>
      </c>
      <c r="AC1086">
        <v>28.9633</v>
      </c>
      <c r="AD1086">
        <v>-1.0711993195459999</v>
      </c>
      <c r="AE1086">
        <v>3.7929000000000301</v>
      </c>
      <c r="AF1086">
        <v>-3.64652242680814</v>
      </c>
      <c r="AG1086">
        <v>-1.0711993195459999</v>
      </c>
      <c r="AH1086">
        <v>28.942553387815099</v>
      </c>
      <c r="AI1086">
        <v>92.103008761404396</v>
      </c>
      <c r="AJ1086">
        <v>97.180957369605295</v>
      </c>
      <c r="AK1086">
        <v>29.191025853812299</v>
      </c>
      <c r="AL1086">
        <v>80.337070264105805</v>
      </c>
      <c r="AM1086">
        <v>90.737650454905307</v>
      </c>
      <c r="AN1086">
        <v>1.00000002377026</v>
      </c>
    </row>
    <row r="1087" spans="1:40" x14ac:dyDescent="0.25">
      <c r="A1087" t="str">
        <f>"20190303161900160"</f>
        <v>20190303161900160</v>
      </c>
      <c r="B1087" t="str">
        <f>"1551601140154012"</f>
        <v>1551601140154012</v>
      </c>
      <c r="C1087" t="s">
        <v>40</v>
      </c>
      <c r="D1087">
        <v>4.6671360000000002</v>
      </c>
      <c r="E1087">
        <v>0.45707320000000001</v>
      </c>
      <c r="F1087" t="s">
        <v>41</v>
      </c>
      <c r="G1087">
        <v>-262.79570000000001</v>
      </c>
      <c r="H1087" s="1">
        <v>-3.4631610000000001E-6</v>
      </c>
      <c r="I1087">
        <v>371.0829</v>
      </c>
      <c r="J1087">
        <v>-291.92610000000002</v>
      </c>
      <c r="K1087">
        <v>1.071199</v>
      </c>
      <c r="L1087">
        <v>367.26249999999999</v>
      </c>
      <c r="M1087">
        <v>0.99991589999999997</v>
      </c>
      <c r="N1087">
        <v>-1.2024190000000001E-2</v>
      </c>
      <c r="O1087">
        <v>4.8826700000000004E-3</v>
      </c>
      <c r="P1087">
        <v>0.98762660000000002</v>
      </c>
      <c r="Q1087">
        <v>0.1558503</v>
      </c>
      <c r="R1087">
        <v>1.745118E-2</v>
      </c>
      <c r="S1087">
        <v>3.0482179999999999</v>
      </c>
      <c r="T1087">
        <v>-0.1115158</v>
      </c>
      <c r="U1087">
        <v>0.3977966</v>
      </c>
      <c r="V1087">
        <v>-1.262168E-2</v>
      </c>
      <c r="W1087">
        <v>0.1677158</v>
      </c>
      <c r="X1087">
        <v>0.98575460000000004</v>
      </c>
      <c r="Y1087">
        <v>-0.12445290000000001</v>
      </c>
      <c r="Z1087">
        <v>2.8985209999999998E-3</v>
      </c>
      <c r="AA1087">
        <v>0.99222129999999997</v>
      </c>
      <c r="AB1087">
        <v>30</v>
      </c>
      <c r="AC1087">
        <v>29.130400000000002</v>
      </c>
      <c r="AD1087">
        <v>-1.071202463161</v>
      </c>
      <c r="AE1087">
        <v>3.8203999999999998</v>
      </c>
      <c r="AF1087">
        <v>-3.6732269998627598</v>
      </c>
      <c r="AG1087">
        <v>-1.071202463161</v>
      </c>
      <c r="AH1087">
        <v>29.110010003956901</v>
      </c>
      <c r="AI1087">
        <v>92.090878074334896</v>
      </c>
      <c r="AJ1087">
        <v>97.191819525371301</v>
      </c>
      <c r="AK1087">
        <v>29.360394304914799</v>
      </c>
      <c r="AL1087">
        <v>80.344962822138001</v>
      </c>
      <c r="AM1087">
        <v>90.733579613430294</v>
      </c>
      <c r="AN1087">
        <v>1.00000001389841</v>
      </c>
    </row>
    <row r="1088" spans="1:40" x14ac:dyDescent="0.25">
      <c r="A1088" t="str">
        <f>"20190303161900173"</f>
        <v>20190303161900173</v>
      </c>
      <c r="B1088" t="str">
        <f>"1551601140163772"</f>
        <v>1551601140163772</v>
      </c>
      <c r="C1088" t="s">
        <v>40</v>
      </c>
      <c r="D1088">
        <v>4.6259399999999999</v>
      </c>
      <c r="E1088">
        <v>0.45695249999999998</v>
      </c>
      <c r="F1088" t="s">
        <v>41</v>
      </c>
      <c r="G1088">
        <v>-262.49259999999998</v>
      </c>
      <c r="H1088" s="1">
        <v>-3.6016960000000001E-6</v>
      </c>
      <c r="I1088">
        <v>371.11489999999998</v>
      </c>
      <c r="J1088">
        <v>-291.7756</v>
      </c>
      <c r="K1088">
        <v>1.071197</v>
      </c>
      <c r="L1088">
        <v>367.26319999999998</v>
      </c>
      <c r="M1088">
        <v>0.99991580000000002</v>
      </c>
      <c r="N1088">
        <v>-1.202427E-2</v>
      </c>
      <c r="O1088">
        <v>4.8828489999999999E-3</v>
      </c>
      <c r="P1088">
        <v>0.98761330000000003</v>
      </c>
      <c r="Q1088">
        <v>0.15591650000000001</v>
      </c>
      <c r="R1088">
        <v>1.7612699999999998E-2</v>
      </c>
      <c r="S1088">
        <v>3.0480649999999998</v>
      </c>
      <c r="T1088">
        <v>-0.1109313</v>
      </c>
      <c r="U1088">
        <v>0.39895629999999999</v>
      </c>
      <c r="V1088">
        <v>-1.278323E-2</v>
      </c>
      <c r="W1088">
        <v>0.16778209999999999</v>
      </c>
      <c r="X1088">
        <v>0.98574119999999998</v>
      </c>
      <c r="Y1088">
        <v>-0.12483089999999999</v>
      </c>
      <c r="Z1088">
        <v>2.8967810000000002E-3</v>
      </c>
      <c r="AA1088">
        <v>0.99217379999999999</v>
      </c>
      <c r="AB1088">
        <v>30</v>
      </c>
      <c r="AC1088">
        <v>29.283000000000001</v>
      </c>
      <c r="AD1088">
        <v>-1.0712006016959901</v>
      </c>
      <c r="AE1088">
        <v>3.8516999999999899</v>
      </c>
      <c r="AF1088">
        <v>-3.7037872770414202</v>
      </c>
      <c r="AG1088">
        <v>-1.0712006016959901</v>
      </c>
      <c r="AH1088">
        <v>29.262966706932499</v>
      </c>
      <c r="AI1088">
        <v>92.079855666375494</v>
      </c>
      <c r="AJ1088">
        <v>97.213518715645293</v>
      </c>
      <c r="AK1088">
        <v>29.515872533497699</v>
      </c>
      <c r="AL1088">
        <v>80.341109166492402</v>
      </c>
      <c r="AM1088">
        <v>90.742978049134194</v>
      </c>
      <c r="AN1088">
        <v>0.99999997871354096</v>
      </c>
    </row>
    <row r="1089" spans="1:40" x14ac:dyDescent="0.25">
      <c r="A1089" t="str">
        <f>"20190303161900185"</f>
        <v>20190303161900185</v>
      </c>
      <c r="B1089" t="str">
        <f>"1551601140173533"</f>
        <v>1551601140173533</v>
      </c>
      <c r="C1089" t="s">
        <v>40</v>
      </c>
      <c r="D1089">
        <v>4.6634460000000004</v>
      </c>
      <c r="E1089">
        <v>0.45684950000000002</v>
      </c>
      <c r="F1089" t="s">
        <v>41</v>
      </c>
      <c r="G1089">
        <v>-262.08269999999999</v>
      </c>
      <c r="H1089" s="1">
        <v>-3.7911570000000001E-6</v>
      </c>
      <c r="I1089">
        <v>371.166</v>
      </c>
      <c r="J1089">
        <v>-291.61739999999998</v>
      </c>
      <c r="K1089">
        <v>1.071197</v>
      </c>
      <c r="L1089">
        <v>367.26400000000001</v>
      </c>
      <c r="M1089">
        <v>0.99991589999999997</v>
      </c>
      <c r="N1089">
        <v>-1.202436E-2</v>
      </c>
      <c r="O1089">
        <v>4.8828480000000004E-3</v>
      </c>
      <c r="P1089">
        <v>0.9876625</v>
      </c>
      <c r="Q1089">
        <v>0.1555936</v>
      </c>
      <c r="R1089">
        <v>1.7707130000000001E-2</v>
      </c>
      <c r="S1089">
        <v>3.0477910000000001</v>
      </c>
      <c r="T1089">
        <v>-0.1099521</v>
      </c>
      <c r="U1089">
        <v>0.40060420000000002</v>
      </c>
      <c r="V1089">
        <v>-1.287748E-2</v>
      </c>
      <c r="W1089">
        <v>0.16746</v>
      </c>
      <c r="X1089">
        <v>0.98579479999999997</v>
      </c>
      <c r="Y1089">
        <v>-0.12537100000000001</v>
      </c>
      <c r="Z1089">
        <v>2.8914930000000002E-3</v>
      </c>
      <c r="AA1089">
        <v>0.99210569999999998</v>
      </c>
      <c r="AB1089">
        <v>30</v>
      </c>
      <c r="AC1089">
        <v>29.534699999999901</v>
      </c>
      <c r="AD1089">
        <v>-1.0712007911570001</v>
      </c>
      <c r="AE1089">
        <v>3.9019999999999802</v>
      </c>
      <c r="AF1089">
        <v>-3.7528775580051499</v>
      </c>
      <c r="AG1089">
        <v>-1.0712007911570001</v>
      </c>
      <c r="AH1089">
        <v>29.515242144644098</v>
      </c>
      <c r="AI1089">
        <v>92.061944759719594</v>
      </c>
      <c r="AJ1089">
        <v>97.246302575669205</v>
      </c>
      <c r="AK1089">
        <v>29.772152759874999</v>
      </c>
      <c r="AL1089">
        <v>80.359829536969201</v>
      </c>
      <c r="AM1089">
        <v>90.748414670881402</v>
      </c>
      <c r="AN1089">
        <v>1.00000003439909</v>
      </c>
    </row>
    <row r="1090" spans="1:40" x14ac:dyDescent="0.25">
      <c r="A1090" t="str">
        <f>"20190303161900198"</f>
        <v>20190303161900198</v>
      </c>
      <c r="B1090" t="str">
        <f>"1551601140184269"</f>
        <v>1551601140184269</v>
      </c>
      <c r="C1090" t="s">
        <v>40</v>
      </c>
      <c r="D1090">
        <v>4.6406099999999997</v>
      </c>
      <c r="E1090">
        <v>0.45680789999999999</v>
      </c>
      <c r="F1090" t="s">
        <v>41</v>
      </c>
      <c r="G1090">
        <v>-261.94439999999997</v>
      </c>
      <c r="H1090" s="1">
        <v>-3.8547569999999998E-6</v>
      </c>
      <c r="I1090">
        <v>371.18200000000002</v>
      </c>
      <c r="J1090">
        <v>-291.44009999999997</v>
      </c>
      <c r="K1090">
        <v>1.071199</v>
      </c>
      <c r="L1090">
        <v>367.26490000000001</v>
      </c>
      <c r="M1090">
        <v>0.99991580000000002</v>
      </c>
      <c r="N1090">
        <v>-1.2024450000000001E-2</v>
      </c>
      <c r="O1090">
        <v>4.8828470000000001E-3</v>
      </c>
      <c r="P1090">
        <v>0.98770340000000001</v>
      </c>
      <c r="Q1090">
        <v>0.15536459999999999</v>
      </c>
      <c r="R1090">
        <v>1.7433810000000001E-2</v>
      </c>
      <c r="S1090">
        <v>3.0476380000000001</v>
      </c>
      <c r="T1090">
        <v>-0.1100198</v>
      </c>
      <c r="U1090">
        <v>0.40240480000000001</v>
      </c>
      <c r="V1090">
        <v>-1.2603929999999999E-2</v>
      </c>
      <c r="W1090">
        <v>0.16723160000000001</v>
      </c>
      <c r="X1090">
        <v>0.98583710000000002</v>
      </c>
      <c r="Y1090">
        <v>-0.12595290000000001</v>
      </c>
      <c r="Z1090">
        <v>2.906797E-3</v>
      </c>
      <c r="AA1090">
        <v>0.99203200000000002</v>
      </c>
      <c r="AB1090">
        <v>30</v>
      </c>
      <c r="AC1090">
        <v>29.495699999999999</v>
      </c>
      <c r="AD1090">
        <v>-1.0712028547570001</v>
      </c>
      <c r="AE1090">
        <v>3.9170999999999401</v>
      </c>
      <c r="AF1090">
        <v>-3.7681360728859801</v>
      </c>
      <c r="AG1090">
        <v>-1.0712028547570001</v>
      </c>
      <c r="AH1090">
        <v>29.476272564600599</v>
      </c>
      <c r="AI1090">
        <v>92.064494938981994</v>
      </c>
      <c r="AJ1090">
        <v>97.284965029272399</v>
      </c>
      <c r="AK1090">
        <v>29.7354497077554</v>
      </c>
      <c r="AL1090">
        <v>80.373103004605099</v>
      </c>
      <c r="AM1090">
        <v>90.732486788510698</v>
      </c>
      <c r="AN1090">
        <v>1.0000000274131999</v>
      </c>
    </row>
    <row r="1091" spans="1:40" x14ac:dyDescent="0.25">
      <c r="A1091" t="str">
        <f>"20190303161900210"</f>
        <v>20190303161900210</v>
      </c>
      <c r="B1091" t="str">
        <f>"1551601140203789"</f>
        <v>1551601140203789</v>
      </c>
      <c r="C1091" t="s">
        <v>40</v>
      </c>
      <c r="D1091">
        <v>4.5804729999999996</v>
      </c>
      <c r="E1091">
        <v>0.45733649999999998</v>
      </c>
      <c r="F1091" t="s">
        <v>41</v>
      </c>
      <c r="G1091">
        <v>-261.88099999999997</v>
      </c>
      <c r="H1091" s="1">
        <v>-3.8770749999999996E-6</v>
      </c>
      <c r="I1091">
        <v>371.16359999999997</v>
      </c>
      <c r="J1091">
        <v>-291.27499999999998</v>
      </c>
      <c r="K1091">
        <v>1.0711980000000001</v>
      </c>
      <c r="L1091">
        <v>367.26569999999998</v>
      </c>
      <c r="M1091">
        <v>0.99991569999999996</v>
      </c>
      <c r="N1091">
        <v>-1.202455E-2</v>
      </c>
      <c r="O1091">
        <v>4.8830260000000004E-3</v>
      </c>
      <c r="P1091">
        <v>0.98772819999999995</v>
      </c>
      <c r="Q1091">
        <v>0.1552442</v>
      </c>
      <c r="R1091">
        <v>1.7097790000000002E-2</v>
      </c>
      <c r="S1091">
        <v>3.0476380000000001</v>
      </c>
      <c r="T1091">
        <v>-0.1104441</v>
      </c>
      <c r="U1091">
        <v>0.40197749999999999</v>
      </c>
      <c r="V1091">
        <v>-1.22676E-2</v>
      </c>
      <c r="W1091">
        <v>0.16711119999999999</v>
      </c>
      <c r="X1091">
        <v>0.98586169999999995</v>
      </c>
      <c r="Y1091">
        <v>-0.12581539999999999</v>
      </c>
      <c r="Z1091">
        <v>2.9115489999999998E-3</v>
      </c>
      <c r="AA1091">
        <v>0.99204939999999997</v>
      </c>
      <c r="AB1091">
        <v>30</v>
      </c>
      <c r="AC1091">
        <v>29.393999999999998</v>
      </c>
      <c r="AD1091">
        <v>-1.07120187707499</v>
      </c>
      <c r="AE1091">
        <v>3.8978999999999902</v>
      </c>
      <c r="AF1091">
        <v>-3.7494179803428</v>
      </c>
      <c r="AG1091">
        <v>-1.07120187707499</v>
      </c>
      <c r="AH1091">
        <v>29.374347027710101</v>
      </c>
      <c r="AI1091">
        <v>92.071700753470594</v>
      </c>
      <c r="AJ1091">
        <v>97.274047894859393</v>
      </c>
      <c r="AK1091">
        <v>29.632041305942899</v>
      </c>
      <c r="AL1091">
        <v>80.3800993134588</v>
      </c>
      <c r="AM1091">
        <v>90.712924976918899</v>
      </c>
      <c r="AN1091">
        <v>0.99999996935104396</v>
      </c>
    </row>
    <row r="1092" spans="1:40" x14ac:dyDescent="0.25">
      <c r="A1092" t="str">
        <f>"20190303161900224"</f>
        <v>20190303161900224</v>
      </c>
      <c r="B1092" t="str">
        <f>"1551601140213549"</f>
        <v>1551601140213549</v>
      </c>
      <c r="C1092" t="s">
        <v>40</v>
      </c>
      <c r="D1092">
        <v>4.6622890000000003</v>
      </c>
      <c r="E1092">
        <v>0.4572367</v>
      </c>
      <c r="F1092" t="s">
        <v>41</v>
      </c>
      <c r="G1092">
        <v>-261.96879999999999</v>
      </c>
      <c r="H1092" s="1">
        <v>-3.81634599999999E-6</v>
      </c>
      <c r="I1092">
        <v>371.07709999999997</v>
      </c>
      <c r="J1092">
        <v>-291.09390000000002</v>
      </c>
      <c r="K1092">
        <v>1.071199</v>
      </c>
      <c r="L1092">
        <v>367.26659999999998</v>
      </c>
      <c r="M1092">
        <v>0.99991580000000002</v>
      </c>
      <c r="N1092">
        <v>-1.202464E-2</v>
      </c>
      <c r="O1092">
        <v>4.883025E-3</v>
      </c>
      <c r="P1092">
        <v>0.98775610000000003</v>
      </c>
      <c r="Q1092">
        <v>0.1550907</v>
      </c>
      <c r="R1092">
        <v>1.6880559999999999E-2</v>
      </c>
      <c r="S1092">
        <v>3.0479129999999999</v>
      </c>
      <c r="T1092">
        <v>-0.1114073</v>
      </c>
      <c r="U1092">
        <v>0.39639279999999999</v>
      </c>
      <c r="V1092">
        <v>-1.2050730000000001E-2</v>
      </c>
      <c r="W1092">
        <v>0.16695839999999901</v>
      </c>
      <c r="X1092">
        <v>0.9858903</v>
      </c>
      <c r="Y1092">
        <v>-0.1240164</v>
      </c>
      <c r="Z1092">
        <v>2.8861849999999999E-3</v>
      </c>
      <c r="AA1092">
        <v>0.99227600000000005</v>
      </c>
      <c r="AB1092">
        <v>30</v>
      </c>
      <c r="AC1092">
        <v>29.1251</v>
      </c>
      <c r="AD1092">
        <v>-1.0712028163459999</v>
      </c>
      <c r="AE1092">
        <v>3.81049999999999</v>
      </c>
      <c r="AF1092">
        <v>-3.66335359016478</v>
      </c>
      <c r="AG1092">
        <v>-1.0712028163459999</v>
      </c>
      <c r="AH1092">
        <v>29.1046528919385</v>
      </c>
      <c r="AI1092">
        <v>92.091345189475206</v>
      </c>
      <c r="AJ1092">
        <v>97.173996436314695</v>
      </c>
      <c r="AK1092">
        <v>29.353849065506701</v>
      </c>
      <c r="AL1092">
        <v>80.388979208570106</v>
      </c>
      <c r="AM1092">
        <v>90.700302646174706</v>
      </c>
      <c r="AN1092">
        <v>1.0000000055290901</v>
      </c>
    </row>
    <row r="1093" spans="1:40" x14ac:dyDescent="0.25">
      <c r="A1093" t="str">
        <f>"20190303161900240"</f>
        <v>20190303161900240</v>
      </c>
      <c r="B1093" t="str">
        <f>"1551601140234045"</f>
        <v>1551601140234045</v>
      </c>
      <c r="C1093" t="s">
        <v>40</v>
      </c>
      <c r="D1093">
        <v>4.6678860000000002</v>
      </c>
      <c r="E1093">
        <v>0.45704539999999999</v>
      </c>
      <c r="F1093" t="s">
        <v>41</v>
      </c>
      <c r="G1093">
        <v>-261.82409999999999</v>
      </c>
      <c r="H1093" s="1">
        <v>-3.8765519999999998E-6</v>
      </c>
      <c r="I1093">
        <v>371.06990000000002</v>
      </c>
      <c r="J1093">
        <v>-290.88240000000002</v>
      </c>
      <c r="K1093">
        <v>1.0711949999999999</v>
      </c>
      <c r="L1093">
        <v>367.26769999999999</v>
      </c>
      <c r="M1093">
        <v>0.99991580000000002</v>
      </c>
      <c r="N1093">
        <v>-1.2024780000000001E-2</v>
      </c>
      <c r="O1093">
        <v>4.8830239999999997E-3</v>
      </c>
      <c r="P1093">
        <v>0.98780020000000002</v>
      </c>
      <c r="Q1093">
        <v>0.15487600000000001</v>
      </c>
      <c r="R1093">
        <v>1.62594E-2</v>
      </c>
      <c r="S1093">
        <v>3.0479430000000001</v>
      </c>
      <c r="T1093">
        <v>-0.1115468</v>
      </c>
      <c r="U1093">
        <v>0.3960571</v>
      </c>
      <c r="V1093">
        <v>-1.142873E-2</v>
      </c>
      <c r="W1093">
        <v>0.166744</v>
      </c>
      <c r="X1093">
        <v>0.98593399999999998</v>
      </c>
      <c r="Y1093">
        <v>-0.12390760000000001</v>
      </c>
      <c r="Z1093">
        <v>2.8861440000000002E-3</v>
      </c>
      <c r="AA1093">
        <v>0.99228950000000005</v>
      </c>
      <c r="AB1093">
        <v>30</v>
      </c>
      <c r="AC1093">
        <v>29.058299999999999</v>
      </c>
      <c r="AD1093">
        <v>-1.071198876552</v>
      </c>
      <c r="AE1093">
        <v>3.80220000000002</v>
      </c>
      <c r="AF1093">
        <v>-3.6553682258767299</v>
      </c>
      <c r="AG1093">
        <v>-1.071198876552</v>
      </c>
      <c r="AH1093">
        <v>29.037724840021198</v>
      </c>
      <c r="AI1093">
        <v>92.096149540159203</v>
      </c>
      <c r="AJ1093">
        <v>97.174848665773595</v>
      </c>
      <c r="AK1093">
        <v>29.2864925824972</v>
      </c>
      <c r="AL1093">
        <v>80.401438161506107</v>
      </c>
      <c r="AM1093">
        <v>90.664130324544999</v>
      </c>
      <c r="AN1093">
        <v>1.0000000148807</v>
      </c>
    </row>
    <row r="1094" spans="1:40" x14ac:dyDescent="0.25">
      <c r="A1094" t="str">
        <f>"20190303161900253"</f>
        <v>20190303161900253</v>
      </c>
      <c r="B1094" t="str">
        <f>"1551601140243806"</f>
        <v>1551601140243806</v>
      </c>
      <c r="C1094" t="s">
        <v>40</v>
      </c>
      <c r="D1094">
        <v>4.660946</v>
      </c>
      <c r="E1094">
        <v>0.4570188</v>
      </c>
      <c r="F1094" t="s">
        <v>41</v>
      </c>
      <c r="G1094">
        <v>-261.67660000000001</v>
      </c>
      <c r="H1094" s="1">
        <v>-3.9385359999999998E-6</v>
      </c>
      <c r="I1094">
        <v>371.06509999999997</v>
      </c>
      <c r="J1094">
        <v>-290.70639999999997</v>
      </c>
      <c r="K1094">
        <v>1.0711949999999999</v>
      </c>
      <c r="L1094">
        <v>367.26850000000002</v>
      </c>
      <c r="M1094">
        <v>0.99991580000000002</v>
      </c>
      <c r="N1094">
        <v>-1.202489E-2</v>
      </c>
      <c r="O1094">
        <v>4.8830230000000002E-3</v>
      </c>
      <c r="P1094">
        <v>0.98783699999999997</v>
      </c>
      <c r="Q1094">
        <v>0.15467429999999999</v>
      </c>
      <c r="R1094">
        <v>1.593466E-2</v>
      </c>
      <c r="S1094">
        <v>3.0480960000000001</v>
      </c>
      <c r="T1094">
        <v>-0.1117966</v>
      </c>
      <c r="U1094">
        <v>0.39633180000000001</v>
      </c>
      <c r="V1094">
        <v>-1.1103780000000001E-2</v>
      </c>
      <c r="W1094">
        <v>0.16654330000000001</v>
      </c>
      <c r="X1094">
        <v>0.98597159999999995</v>
      </c>
      <c r="Y1094">
        <v>-0.12398869999999999</v>
      </c>
      <c r="Z1094">
        <v>2.8926659999999999E-3</v>
      </c>
      <c r="AA1094">
        <v>0.99227940000000003</v>
      </c>
      <c r="AB1094">
        <v>30</v>
      </c>
      <c r="AC1094">
        <v>29.029799999999899</v>
      </c>
      <c r="AD1094">
        <v>-1.0711989385359999</v>
      </c>
      <c r="AE1094">
        <v>3.79659999999995</v>
      </c>
      <c r="AF1094">
        <v>-3.64990513569763</v>
      </c>
      <c r="AG1094">
        <v>-1.0711989385359999</v>
      </c>
      <c r="AH1094">
        <v>29.009159207679399</v>
      </c>
      <c r="AI1094">
        <v>92.098228634824906</v>
      </c>
      <c r="AJ1094">
        <v>97.171218368833294</v>
      </c>
      <c r="AK1094">
        <v>29.2574878040135</v>
      </c>
      <c r="AL1094">
        <v>80.413100162434901</v>
      </c>
      <c r="AM1094">
        <v>90.645224301438603</v>
      </c>
      <c r="AN1094">
        <v>0.99999998035586801</v>
      </c>
    </row>
    <row r="1095" spans="1:40" x14ac:dyDescent="0.25">
      <c r="A1095" t="str">
        <f>"20190303161900273"</f>
        <v>20190303161900273</v>
      </c>
      <c r="B1095" t="str">
        <f>"1551601140264300"</f>
        <v>1551601140264300</v>
      </c>
      <c r="C1095" t="s">
        <v>40</v>
      </c>
      <c r="D1095">
        <v>4.6605449999999999</v>
      </c>
      <c r="E1095">
        <v>0.45694240000000003</v>
      </c>
      <c r="F1095" t="s">
        <v>41</v>
      </c>
      <c r="G1095">
        <v>-261.464</v>
      </c>
      <c r="H1095" s="1">
        <v>-4.0289060000000003E-6</v>
      </c>
      <c r="I1095">
        <v>371.06200000000001</v>
      </c>
      <c r="J1095">
        <v>-290.4461</v>
      </c>
      <c r="K1095">
        <v>1.0711919999999999</v>
      </c>
      <c r="L1095">
        <v>367.26979999999998</v>
      </c>
      <c r="M1095">
        <v>0.99991589999999997</v>
      </c>
      <c r="N1095">
        <v>-1.2025060000000001E-2</v>
      </c>
      <c r="O1095">
        <v>4.8830219999999999E-3</v>
      </c>
      <c r="P1095">
        <v>0.98788629999999999</v>
      </c>
      <c r="Q1095">
        <v>0.1543649</v>
      </c>
      <c r="R1095">
        <v>1.588138E-2</v>
      </c>
      <c r="S1095">
        <v>3.0480649999999998</v>
      </c>
      <c r="T1095">
        <v>-0.1116557</v>
      </c>
      <c r="U1095">
        <v>0.3954163</v>
      </c>
      <c r="V1095">
        <v>-1.1050300000000001E-2</v>
      </c>
      <c r="W1095">
        <v>0.1662344</v>
      </c>
      <c r="X1095">
        <v>0.98602440000000002</v>
      </c>
      <c r="Y1095">
        <v>-0.1236973</v>
      </c>
      <c r="Z1095">
        <v>2.883025E-3</v>
      </c>
      <c r="AA1095">
        <v>0.99231579999999997</v>
      </c>
      <c r="AB1095">
        <v>30</v>
      </c>
      <c r="AC1095">
        <v>28.982099999999999</v>
      </c>
      <c r="AD1095">
        <v>-1.0711960289060001</v>
      </c>
      <c r="AE1095">
        <v>3.7921999999999798</v>
      </c>
      <c r="AF1095">
        <v>-3.64572778856791</v>
      </c>
      <c r="AG1095">
        <v>-1.0711960289060001</v>
      </c>
      <c r="AH1095">
        <v>28.9613753721626</v>
      </c>
      <c r="AI1095">
        <v>92.1016652497363</v>
      </c>
      <c r="AJ1095">
        <v>97.174791594797199</v>
      </c>
      <c r="AK1095">
        <v>29.209588416956301</v>
      </c>
      <c r="AL1095">
        <v>80.431049716169696</v>
      </c>
      <c r="AM1095">
        <v>90.642082536803798</v>
      </c>
      <c r="AN1095">
        <v>1.0000000511344</v>
      </c>
    </row>
    <row r="1096" spans="1:40" x14ac:dyDescent="0.25">
      <c r="A1096" t="str">
        <f>"20190303161900285"</f>
        <v>20190303161900285</v>
      </c>
      <c r="B1096" t="str">
        <f>"1551601140274061"</f>
        <v>1551601140274061</v>
      </c>
      <c r="C1096" t="s">
        <v>40</v>
      </c>
      <c r="D1096">
        <v>4.6628790000000002</v>
      </c>
      <c r="E1096">
        <v>0.45688430000000002</v>
      </c>
      <c r="F1096" t="s">
        <v>41</v>
      </c>
      <c r="G1096">
        <v>-261.30689999999998</v>
      </c>
      <c r="H1096" s="1">
        <v>-4.0859010000000004E-6</v>
      </c>
      <c r="I1096">
        <v>371.05180000000001</v>
      </c>
      <c r="J1096">
        <v>-290.28250000000003</v>
      </c>
      <c r="K1096">
        <v>1.071191</v>
      </c>
      <c r="L1096">
        <v>367.2706</v>
      </c>
      <c r="M1096">
        <v>0.99991580000000002</v>
      </c>
      <c r="N1096">
        <v>-1.202517E-2</v>
      </c>
      <c r="O1096">
        <v>4.8831999999999999E-3</v>
      </c>
      <c r="P1096">
        <v>0.98789009999999999</v>
      </c>
      <c r="Q1096">
        <v>0.15435839999999901</v>
      </c>
      <c r="R1096">
        <v>1.5709359999999999E-2</v>
      </c>
      <c r="S1096">
        <v>3.047974</v>
      </c>
      <c r="T1096">
        <v>-0.1120476</v>
      </c>
      <c r="U1096">
        <v>0.39559939999999999</v>
      </c>
      <c r="V1096">
        <v>-1.0878229999999999E-2</v>
      </c>
      <c r="W1096">
        <v>0.16622779999999901</v>
      </c>
      <c r="X1096">
        <v>0.9860274</v>
      </c>
      <c r="Y1096">
        <v>-0.12375890000000001</v>
      </c>
      <c r="Z1096">
        <v>2.8918699999999999E-3</v>
      </c>
      <c r="AA1096">
        <v>0.99230810000000003</v>
      </c>
      <c r="AB1096">
        <v>30</v>
      </c>
      <c r="AC1096">
        <v>28.9756</v>
      </c>
      <c r="AD1096">
        <v>-1.071195085901</v>
      </c>
      <c r="AE1096">
        <v>3.7812000000000099</v>
      </c>
      <c r="AF1096">
        <v>-3.6347665867090599</v>
      </c>
      <c r="AG1096">
        <v>-1.071195085901</v>
      </c>
      <c r="AH1096">
        <v>28.954810316631399</v>
      </c>
      <c r="AI1096">
        <v>92.102230469317803</v>
      </c>
      <c r="AJ1096">
        <v>97.155048879600798</v>
      </c>
      <c r="AK1096">
        <v>29.201712749837501</v>
      </c>
      <c r="AL1096">
        <v>80.431432955905294</v>
      </c>
      <c r="AM1096">
        <v>90.632083228490103</v>
      </c>
      <c r="AN1096">
        <v>1.0000000254657599</v>
      </c>
    </row>
    <row r="1097" spans="1:40" x14ac:dyDescent="0.25">
      <c r="A1097" t="str">
        <f>"20190303161900296"</f>
        <v>20190303161900296</v>
      </c>
      <c r="B1097" t="str">
        <f>"1551601140283820"</f>
        <v>1551601140283820</v>
      </c>
      <c r="C1097" t="s">
        <v>40</v>
      </c>
      <c r="D1097">
        <v>4.6920830000000002</v>
      </c>
      <c r="E1097">
        <v>0.45685799999999999</v>
      </c>
      <c r="F1097" t="s">
        <v>41</v>
      </c>
      <c r="G1097">
        <v>-260.9511</v>
      </c>
      <c r="H1097" s="1">
        <v>-4.2115460000000002E-6</v>
      </c>
      <c r="I1097">
        <v>371.07740000000001</v>
      </c>
      <c r="J1097">
        <v>-290.12900000000002</v>
      </c>
      <c r="K1097">
        <v>1.0711869999999999</v>
      </c>
      <c r="L1097">
        <v>367.27140000000003</v>
      </c>
      <c r="M1097">
        <v>0.99991569999999996</v>
      </c>
      <c r="N1097">
        <v>-1.2025259999999999E-2</v>
      </c>
      <c r="O1097">
        <v>4.8833779999999999E-3</v>
      </c>
      <c r="P1097">
        <v>0.98788980000000004</v>
      </c>
      <c r="Q1097">
        <v>0.15436129999999901</v>
      </c>
      <c r="R1097">
        <v>1.5694079999999999E-2</v>
      </c>
      <c r="S1097">
        <v>3.0478519999999998</v>
      </c>
      <c r="T1097">
        <v>-0.1113085</v>
      </c>
      <c r="U1097">
        <v>0.3955688</v>
      </c>
      <c r="V1097">
        <v>-1.086317E-2</v>
      </c>
      <c r="W1097">
        <v>0.16623109999999999</v>
      </c>
      <c r="X1097">
        <v>0.98602699999999999</v>
      </c>
      <c r="Y1097">
        <v>-0.1237552</v>
      </c>
      <c r="Z1097">
        <v>2.8781140000000002E-3</v>
      </c>
      <c r="AA1097">
        <v>0.99230859999999999</v>
      </c>
      <c r="AB1097">
        <v>30</v>
      </c>
      <c r="AC1097">
        <v>29.177900000000001</v>
      </c>
      <c r="AD1097">
        <v>-1.0711912115460001</v>
      </c>
      <c r="AE1097">
        <v>3.8059999999999801</v>
      </c>
      <c r="AF1097">
        <v>-3.6586090027654801</v>
      </c>
      <c r="AG1097">
        <v>-1.0711912115460001</v>
      </c>
      <c r="AH1097">
        <v>29.157498474475599</v>
      </c>
      <c r="AI1097">
        <v>92.087636415195306</v>
      </c>
      <c r="AJ1097">
        <v>97.151950637074194</v>
      </c>
      <c r="AK1097">
        <v>29.405655710013601</v>
      </c>
      <c r="AL1097">
        <v>80.431241119726295</v>
      </c>
      <c r="AM1097">
        <v>90.631208488993906</v>
      </c>
      <c r="AN1097">
        <v>1.0000000158993201</v>
      </c>
    </row>
    <row r="1098" spans="1:40" x14ac:dyDescent="0.25">
      <c r="A1098" t="str">
        <f>"20190303161900308"</f>
        <v>20190303161900308</v>
      </c>
      <c r="B1098" t="str">
        <f>"1551601140293581"</f>
        <v>1551601140293581</v>
      </c>
      <c r="C1098" t="s">
        <v>40</v>
      </c>
      <c r="D1098">
        <v>4.6430809999999996</v>
      </c>
      <c r="E1098">
        <v>0.45682539999999999</v>
      </c>
      <c r="F1098" t="s">
        <v>41</v>
      </c>
      <c r="G1098">
        <v>-260.7731</v>
      </c>
      <c r="H1098" s="1">
        <v>-4.2733710000000003E-6</v>
      </c>
      <c r="I1098">
        <v>371.08449999999999</v>
      </c>
      <c r="J1098">
        <v>-289.98090000000002</v>
      </c>
      <c r="K1098">
        <v>1.0711869999999999</v>
      </c>
      <c r="L1098">
        <v>367.27210000000002</v>
      </c>
      <c r="M1098">
        <v>0.99991580000000002</v>
      </c>
      <c r="N1098">
        <v>-1.2025350000000001E-2</v>
      </c>
      <c r="O1098">
        <v>4.8831990000000004E-3</v>
      </c>
      <c r="P1098">
        <v>0.98788330000000002</v>
      </c>
      <c r="Q1098">
        <v>0.154417</v>
      </c>
      <c r="R1098">
        <v>1.55645E-2</v>
      </c>
      <c r="S1098">
        <v>3.047882</v>
      </c>
      <c r="T1098">
        <v>-0.11121640000000001</v>
      </c>
      <c r="U1098">
        <v>0.39590449999999999</v>
      </c>
      <c r="V1098">
        <v>-1.073378E-2</v>
      </c>
      <c r="W1098">
        <v>0.16628660000000001</v>
      </c>
      <c r="X1098">
        <v>0.98601910000000004</v>
      </c>
      <c r="Y1098">
        <v>-0.12386170000000001</v>
      </c>
      <c r="Z1098">
        <v>2.8789589999999999E-3</v>
      </c>
      <c r="AA1098">
        <v>0.99229529999999999</v>
      </c>
      <c r="AB1098">
        <v>30</v>
      </c>
      <c r="AC1098">
        <v>29.207799999999999</v>
      </c>
      <c r="AD1098">
        <v>-1.0711912733710001</v>
      </c>
      <c r="AE1098">
        <v>3.8123999999999598</v>
      </c>
      <c r="AF1098">
        <v>-3.66486989642274</v>
      </c>
      <c r="AG1098">
        <v>-1.0711912733710001</v>
      </c>
      <c r="AH1098">
        <v>29.1874689942521</v>
      </c>
      <c r="AI1098">
        <v>92.085472728511206</v>
      </c>
      <c r="AJ1098">
        <v>97.156782602090203</v>
      </c>
      <c r="AK1098">
        <v>29.4361524046924</v>
      </c>
      <c r="AL1098">
        <v>80.428016713724205</v>
      </c>
      <c r="AM1098">
        <v>90.6236958295449</v>
      </c>
      <c r="AN1098">
        <v>1.0000000564687199</v>
      </c>
    </row>
    <row r="1099" spans="1:40" x14ac:dyDescent="0.25">
      <c r="A1099" t="str">
        <f>"20190303161900318"</f>
        <v>20190303161900318</v>
      </c>
      <c r="B1099" t="str">
        <f>"1551601140314077"</f>
        <v>1551601140314077</v>
      </c>
      <c r="C1099" t="s">
        <v>40</v>
      </c>
      <c r="D1099">
        <v>4.6955489999999998</v>
      </c>
      <c r="E1099">
        <v>0.45670349999999998</v>
      </c>
      <c r="F1099" t="s">
        <v>41</v>
      </c>
      <c r="G1099">
        <v>-260.29840000000002</v>
      </c>
      <c r="H1099" s="1">
        <v>-4.4429759999999998E-6</v>
      </c>
      <c r="I1099">
        <v>371.12990000000002</v>
      </c>
      <c r="J1099">
        <v>-289.82299999999998</v>
      </c>
      <c r="K1099">
        <v>1.071188</v>
      </c>
      <c r="L1099">
        <v>367.27289999999999</v>
      </c>
      <c r="M1099">
        <v>0.99991580000000002</v>
      </c>
      <c r="N1099">
        <v>-1.202544E-2</v>
      </c>
      <c r="O1099">
        <v>4.8833770000000004E-3</v>
      </c>
      <c r="P1099">
        <v>0.98789389999999999</v>
      </c>
      <c r="Q1099">
        <v>0.15435409999999999</v>
      </c>
      <c r="R1099">
        <v>1.5515279999999999E-2</v>
      </c>
      <c r="S1099">
        <v>3.0477599999999998</v>
      </c>
      <c r="T1099">
        <v>-0.10998819999999999</v>
      </c>
      <c r="U1099">
        <v>0.39611819999999998</v>
      </c>
      <c r="V1099">
        <v>-1.068405E-2</v>
      </c>
      <c r="W1099">
        <v>0.1662245</v>
      </c>
      <c r="X1099">
        <v>0.98602999999999996</v>
      </c>
      <c r="Y1099">
        <v>-0.1239369</v>
      </c>
      <c r="Z1099">
        <v>2.857966E-3</v>
      </c>
      <c r="AA1099">
        <v>0.992286</v>
      </c>
      <c r="AB1099">
        <v>30</v>
      </c>
      <c r="AC1099">
        <v>29.5245999999999</v>
      </c>
      <c r="AD1099">
        <v>-1.071192442976</v>
      </c>
      <c r="AE1099">
        <v>3.8570000000000202</v>
      </c>
      <c r="AF1099">
        <v>-3.7079647998305001</v>
      </c>
      <c r="AG1099">
        <v>-1.071192442976</v>
      </c>
      <c r="AH1099">
        <v>29.504897767965598</v>
      </c>
      <c r="AI1099">
        <v>92.063029919518499</v>
      </c>
      <c r="AJ1099">
        <v>97.162971964317293</v>
      </c>
      <c r="AK1099">
        <v>29.756267381927699</v>
      </c>
      <c r="AL1099">
        <v>80.431623942813104</v>
      </c>
      <c r="AM1099">
        <v>90.620799588239194</v>
      </c>
      <c r="AN1099">
        <v>0.99999994711232398</v>
      </c>
    </row>
    <row r="1100" spans="1:40" x14ac:dyDescent="0.25">
      <c r="A1100" t="str">
        <f>"20190303161900330"</f>
        <v>20190303161900330</v>
      </c>
      <c r="B1100" t="str">
        <f>"1551601140323836"</f>
        <v>1551601140323836</v>
      </c>
      <c r="C1100" t="s">
        <v>40</v>
      </c>
      <c r="D1100">
        <v>4.7565200000000001</v>
      </c>
      <c r="E1100">
        <v>0.45665889999999998</v>
      </c>
      <c r="F1100" t="s">
        <v>41</v>
      </c>
      <c r="G1100">
        <v>-259.8168</v>
      </c>
      <c r="H1100" s="1">
        <v>-4.7646940000000002E-7</v>
      </c>
      <c r="I1100">
        <v>371.1782</v>
      </c>
      <c r="J1100">
        <v>-289.67790000000002</v>
      </c>
      <c r="K1100">
        <v>1.0711919999999999</v>
      </c>
      <c r="L1100">
        <v>367.27359999999999</v>
      </c>
      <c r="M1100">
        <v>0.99991580000000002</v>
      </c>
      <c r="N1100">
        <v>-1.2025539999999999E-2</v>
      </c>
      <c r="O1100">
        <v>4.8834960000000002E-3</v>
      </c>
      <c r="P1100">
        <v>0.98785540000000005</v>
      </c>
      <c r="Q1100">
        <v>0.1545793</v>
      </c>
      <c r="R1100">
        <v>1.5714809999999999E-2</v>
      </c>
      <c r="S1100">
        <v>3.0475460000000001</v>
      </c>
      <c r="T1100">
        <v>-0.1087939</v>
      </c>
      <c r="U1100">
        <v>0.39663700000000002</v>
      </c>
      <c r="V1100">
        <v>-1.0883459999999999E-2</v>
      </c>
      <c r="W1100">
        <v>0.16644929999999999</v>
      </c>
      <c r="X1100">
        <v>0.98598989999999997</v>
      </c>
      <c r="Y1100">
        <v>-0.1241136</v>
      </c>
      <c r="Z1100">
        <v>2.8400410000000002E-3</v>
      </c>
      <c r="AA1100">
        <v>0.99226400000000003</v>
      </c>
      <c r="AB1100">
        <v>30</v>
      </c>
      <c r="AC1100">
        <v>29.8611</v>
      </c>
      <c r="AD1100">
        <v>-1.0711924764694001</v>
      </c>
      <c r="AE1100">
        <v>3.9046000000000101</v>
      </c>
      <c r="AF1100">
        <v>-3.7539667955059999</v>
      </c>
      <c r="AG1100">
        <v>-1.0711924764694001</v>
      </c>
      <c r="AH1100">
        <v>29.842057050048599</v>
      </c>
      <c r="AI1100">
        <v>92.039710728269199</v>
      </c>
      <c r="AJ1100">
        <v>97.169833406836901</v>
      </c>
      <c r="AK1100">
        <v>30.096313545046701</v>
      </c>
      <c r="AL1100">
        <v>80.4185619210065</v>
      </c>
      <c r="AM1100">
        <v>90.632411144259393</v>
      </c>
      <c r="AN1100">
        <v>0.99999995103703399</v>
      </c>
    </row>
    <row r="1101" spans="1:40" x14ac:dyDescent="0.25">
      <c r="A1101" t="str">
        <f>"20190303161900341"</f>
        <v>20190303161900341</v>
      </c>
      <c r="B1101" t="str">
        <f>"1551601140333596"</f>
        <v>1551601140333596</v>
      </c>
      <c r="C1101" t="s">
        <v>40</v>
      </c>
      <c r="D1101">
        <v>4.6868239999999997</v>
      </c>
      <c r="E1101">
        <v>0.45659119999999997</v>
      </c>
      <c r="F1101" t="s">
        <v>41</v>
      </c>
      <c r="G1101">
        <v>-259.54379999999998</v>
      </c>
      <c r="H1101" s="1">
        <v>-6.0121479999999996E-7</v>
      </c>
      <c r="I1101">
        <v>371.20670000000001</v>
      </c>
      <c r="J1101">
        <v>-289.52519999999998</v>
      </c>
      <c r="K1101">
        <v>1.0711930000000001</v>
      </c>
      <c r="L1101">
        <v>367.27429999999998</v>
      </c>
      <c r="M1101">
        <v>0.99991580000000002</v>
      </c>
      <c r="N1101">
        <v>-1.2025640000000001E-2</v>
      </c>
      <c r="O1101">
        <v>4.8834949999999998E-3</v>
      </c>
      <c r="P1101">
        <v>0.98787510000000001</v>
      </c>
      <c r="Q1101">
        <v>0.15447040000000001</v>
      </c>
      <c r="R1101">
        <v>1.5556510000000001E-2</v>
      </c>
      <c r="S1101">
        <v>3.0475159999999999</v>
      </c>
      <c r="T1101">
        <v>-0.1083311</v>
      </c>
      <c r="U1101">
        <v>0.39776610000000001</v>
      </c>
      <c r="V1101">
        <v>-1.0725220000000001E-2</v>
      </c>
      <c r="W1101">
        <v>0.16634019999999999</v>
      </c>
      <c r="X1101">
        <v>0.9860101</v>
      </c>
      <c r="Y1101">
        <v>-0.1244769</v>
      </c>
      <c r="Z1101">
        <v>2.8400180000000001E-3</v>
      </c>
      <c r="AA1101">
        <v>0.99221839999999994</v>
      </c>
      <c r="AB1101">
        <v>30</v>
      </c>
      <c r="AC1101">
        <v>29.981400000000001</v>
      </c>
      <c r="AD1101">
        <v>-1.0711936012148</v>
      </c>
      <c r="AE1101">
        <v>3.9324000000000199</v>
      </c>
      <c r="AF1101">
        <v>-3.7811833286363101</v>
      </c>
      <c r="AG1101">
        <v>-1.0711936012148</v>
      </c>
      <c r="AH1101">
        <v>29.9626462391725</v>
      </c>
      <c r="AI1101">
        <v>92.031409409688706</v>
      </c>
      <c r="AJ1101">
        <v>97.1925103171518</v>
      </c>
      <c r="AK1101">
        <v>30.21928147309</v>
      </c>
      <c r="AL1101">
        <v>80.424901786793697</v>
      </c>
      <c r="AM1101">
        <v>90.623204170296205</v>
      </c>
      <c r="AN1101">
        <v>1.00000000489104</v>
      </c>
    </row>
    <row r="1102" spans="1:40" x14ac:dyDescent="0.25">
      <c r="A1102" t="str">
        <f>"20190303161900353"</f>
        <v>20190303161900353</v>
      </c>
      <c r="B1102" t="str">
        <f>"1551601140344333"</f>
        <v>1551601140344333</v>
      </c>
      <c r="C1102" t="s">
        <v>40</v>
      </c>
      <c r="D1102">
        <v>4.8106970000000002</v>
      </c>
      <c r="E1102">
        <v>0.456625</v>
      </c>
      <c r="F1102" t="s">
        <v>41</v>
      </c>
      <c r="G1102">
        <v>-259.452</v>
      </c>
      <c r="H1102" s="1">
        <v>-6.3784249999999996E-7</v>
      </c>
      <c r="I1102">
        <v>371.19639999999998</v>
      </c>
      <c r="J1102">
        <v>-289.37759999999997</v>
      </c>
      <c r="K1102">
        <v>1.0711930000000001</v>
      </c>
      <c r="L1102">
        <v>367.27510000000001</v>
      </c>
      <c r="M1102">
        <v>0.99991580000000002</v>
      </c>
      <c r="N1102">
        <v>-1.202574E-2</v>
      </c>
      <c r="O1102">
        <v>4.8834949999999998E-3</v>
      </c>
      <c r="P1102">
        <v>0.98786969999999996</v>
      </c>
      <c r="Q1102">
        <v>0.154502</v>
      </c>
      <c r="R1102">
        <v>1.557601E-2</v>
      </c>
      <c r="S1102">
        <v>3.047577</v>
      </c>
      <c r="T1102">
        <v>-0.1085531</v>
      </c>
      <c r="U1102">
        <v>0.39746090000000001</v>
      </c>
      <c r="V1102">
        <v>-1.0744429999999999E-2</v>
      </c>
      <c r="W1102">
        <v>0.16637170000000001</v>
      </c>
      <c r="X1102">
        <v>0.98600460000000001</v>
      </c>
      <c r="Y1102">
        <v>-0.1243763</v>
      </c>
      <c r="Z1102">
        <v>2.84176E-3</v>
      </c>
      <c r="AA1102">
        <v>0.99223110000000003</v>
      </c>
      <c r="AB1102">
        <v>30</v>
      </c>
      <c r="AC1102">
        <v>29.9255999999999</v>
      </c>
      <c r="AD1102">
        <v>-1.0711936378425</v>
      </c>
      <c r="AE1102">
        <v>3.9212999999999698</v>
      </c>
      <c r="AF1102">
        <v>-3.7703517560514901</v>
      </c>
      <c r="AG1102">
        <v>-1.0711936378425</v>
      </c>
      <c r="AH1102">
        <v>29.906721552854101</v>
      </c>
      <c r="AI1102">
        <v>92.035236824544796</v>
      </c>
      <c r="AJ1102">
        <v>97.185393127457601</v>
      </c>
      <c r="AK1102">
        <v>30.162476725462501</v>
      </c>
      <c r="AL1102">
        <v>80.4230716917221</v>
      </c>
      <c r="AM1102">
        <v>90.624323788633703</v>
      </c>
      <c r="AN1102">
        <v>1.00000002827903</v>
      </c>
    </row>
    <row r="1103" spans="1:40" x14ac:dyDescent="0.25">
      <c r="A1103" t="str">
        <f>"20190303161900364"</f>
        <v>20190303161900364</v>
      </c>
      <c r="B1103" t="str">
        <f>"1551601140354093"</f>
        <v>1551601140354093</v>
      </c>
      <c r="C1103" t="s">
        <v>40</v>
      </c>
      <c r="D1103">
        <v>4.6974119999999999</v>
      </c>
      <c r="E1103">
        <v>0.45660640000000002</v>
      </c>
      <c r="F1103" t="s">
        <v>41</v>
      </c>
      <c r="G1103">
        <v>-258.77280000000002</v>
      </c>
      <c r="H1103" s="1">
        <v>-9.4788379999999996E-7</v>
      </c>
      <c r="I1103">
        <v>371.26659999999998</v>
      </c>
      <c r="J1103">
        <v>-289.22480000000002</v>
      </c>
      <c r="K1103">
        <v>1.0711930000000001</v>
      </c>
      <c r="L1103">
        <v>367.2758</v>
      </c>
      <c r="M1103">
        <v>0.99991580000000002</v>
      </c>
      <c r="N1103">
        <v>-1.2025839999999999E-2</v>
      </c>
      <c r="O1103">
        <v>4.8836729999999998E-3</v>
      </c>
      <c r="P1103">
        <v>0.98783750000000003</v>
      </c>
      <c r="Q1103">
        <v>0.154693</v>
      </c>
      <c r="R1103">
        <v>1.5732699999999999E-2</v>
      </c>
      <c r="S1103">
        <v>3.0472410000000001</v>
      </c>
      <c r="T1103">
        <v>-0.106656</v>
      </c>
      <c r="U1103">
        <v>0.39743040000000002</v>
      </c>
      <c r="V1103">
        <v>-1.090111E-2</v>
      </c>
      <c r="W1103">
        <v>0.16656260000000001</v>
      </c>
      <c r="X1103">
        <v>0.98597060000000003</v>
      </c>
      <c r="Y1103">
        <v>-0.12438339999999901</v>
      </c>
      <c r="Z1103">
        <v>2.8066520000000002E-3</v>
      </c>
      <c r="AA1103">
        <v>0.99223019999999995</v>
      </c>
      <c r="AB1103">
        <v>30</v>
      </c>
      <c r="AC1103">
        <v>30.452000000000002</v>
      </c>
      <c r="AD1103">
        <v>-1.0711939478838</v>
      </c>
      <c r="AE1103">
        <v>3.9907999999999699</v>
      </c>
      <c r="AF1103">
        <v>-3.8373559321470299</v>
      </c>
      <c r="AG1103">
        <v>-1.0711939478838</v>
      </c>
      <c r="AH1103">
        <v>30.434105144934101</v>
      </c>
      <c r="AI1103">
        <v>91.999994069925805</v>
      </c>
      <c r="AJ1103">
        <v>97.186350703628193</v>
      </c>
      <c r="AK1103">
        <v>30.6937699378371</v>
      </c>
      <c r="AL1103">
        <v>80.411978676502898</v>
      </c>
      <c r="AM1103">
        <v>90.6334490572048</v>
      </c>
      <c r="AN1103">
        <v>0.99999997899117499</v>
      </c>
    </row>
    <row r="1104" spans="1:40" x14ac:dyDescent="0.25">
      <c r="A1104" t="str">
        <f>"20190303161900375"</f>
        <v>20190303161900375</v>
      </c>
      <c r="B1104" t="str">
        <f>"1551601140363852"</f>
        <v>1551601140363852</v>
      </c>
      <c r="C1104" t="s">
        <v>40</v>
      </c>
      <c r="D1104">
        <v>4.7616420000000002</v>
      </c>
      <c r="E1104">
        <v>0.45652920000000002</v>
      </c>
      <c r="F1104" t="s">
        <v>41</v>
      </c>
      <c r="G1104">
        <v>-257.97089999999997</v>
      </c>
      <c r="H1104" s="1">
        <v>-1.3170639999999999E-6</v>
      </c>
      <c r="I1104">
        <v>371.3612</v>
      </c>
      <c r="J1104">
        <v>-289.07859999999999</v>
      </c>
      <c r="K1104">
        <v>1.071194</v>
      </c>
      <c r="L1104">
        <v>367.27659999999997</v>
      </c>
      <c r="M1104">
        <v>0.99991580000000002</v>
      </c>
      <c r="N1104">
        <v>-1.202758E-2</v>
      </c>
      <c r="O1104">
        <v>4.8836620000000004E-3</v>
      </c>
      <c r="P1104">
        <v>0.98780080000000003</v>
      </c>
      <c r="Q1104">
        <v>0.1549141</v>
      </c>
      <c r="R1104">
        <v>1.586361E-2</v>
      </c>
      <c r="S1104">
        <v>3.0469360000000001</v>
      </c>
      <c r="T1104">
        <v>-0.1044302</v>
      </c>
      <c r="U1104">
        <v>0.3982849</v>
      </c>
      <c r="V1104">
        <v>-1.1032800000000001E-2</v>
      </c>
      <c r="W1104">
        <v>0.1667854</v>
      </c>
      <c r="X1104">
        <v>0.98593149999999996</v>
      </c>
      <c r="Y1104">
        <v>-0.1246731</v>
      </c>
      <c r="Z1104">
        <v>2.7719760000000002E-3</v>
      </c>
      <c r="AA1104">
        <v>0.99219400000000002</v>
      </c>
      <c r="AB1104">
        <v>30</v>
      </c>
      <c r="AC1104">
        <v>31.107700000000001</v>
      </c>
      <c r="AD1104">
        <v>-1.0711953170640001</v>
      </c>
      <c r="AE1104">
        <v>4.0846000000000204</v>
      </c>
      <c r="AF1104">
        <v>-3.92804198829305</v>
      </c>
      <c r="AG1104">
        <v>-1.0711953170640001</v>
      </c>
      <c r="AH1104">
        <v>31.0910361718914</v>
      </c>
      <c r="AI1104">
        <v>91.957709983708099</v>
      </c>
      <c r="AJ1104">
        <v>97.200599877390204</v>
      </c>
      <c r="AK1104">
        <v>31.356490612167601</v>
      </c>
      <c r="AL1104">
        <v>80.399032356686007</v>
      </c>
      <c r="AM1104">
        <v>90.641126176317698</v>
      </c>
      <c r="AN1104">
        <v>1.0000000075106199</v>
      </c>
    </row>
    <row r="1105" spans="1:40" x14ac:dyDescent="0.25">
      <c r="A1105" t="str">
        <f>"20190303161900386"</f>
        <v>20190303161900386</v>
      </c>
      <c r="B1105" t="str">
        <f>"1551601140373613"</f>
        <v>1551601140373613</v>
      </c>
      <c r="C1105" t="s">
        <v>40</v>
      </c>
      <c r="D1105">
        <v>4.6774009999999997</v>
      </c>
      <c r="E1105">
        <v>0.45646819999999999</v>
      </c>
      <c r="F1105" t="s">
        <v>41</v>
      </c>
      <c r="G1105">
        <v>-257.08229999999998</v>
      </c>
      <c r="H1105" s="1">
        <v>-1.7264709999999999E-6</v>
      </c>
      <c r="I1105">
        <v>371.46710000000002</v>
      </c>
      <c r="J1105">
        <v>-288.93459999999999</v>
      </c>
      <c r="K1105">
        <v>1.071197</v>
      </c>
      <c r="L1105">
        <v>367.27730000000003</v>
      </c>
      <c r="M1105">
        <v>0.99991580000000002</v>
      </c>
      <c r="N1105">
        <v>-1.202979E-2</v>
      </c>
      <c r="O1105">
        <v>4.88347E-3</v>
      </c>
      <c r="P1105">
        <v>0.98773999999999995</v>
      </c>
      <c r="Q1105">
        <v>0.1552683</v>
      </c>
      <c r="R1105">
        <v>1.6177939999999998E-2</v>
      </c>
      <c r="S1105">
        <v>3.0466310000000001</v>
      </c>
      <c r="T1105">
        <v>-0.1019969</v>
      </c>
      <c r="U1105">
        <v>0.39901730000000002</v>
      </c>
      <c r="V1105">
        <v>-1.1347090000000001E-2</v>
      </c>
      <c r="W1105">
        <v>0.16714079999999901</v>
      </c>
      <c r="X1105">
        <v>0.98586770000000001</v>
      </c>
      <c r="Y1105">
        <v>-0.1249242</v>
      </c>
      <c r="Z1105">
        <v>2.732342E-3</v>
      </c>
      <c r="AA1105">
        <v>0.99216249999999995</v>
      </c>
      <c r="AB1105">
        <v>30</v>
      </c>
      <c r="AC1105">
        <v>31.8523</v>
      </c>
      <c r="AD1105">
        <v>-1.0711987264709999</v>
      </c>
      <c r="AE1105">
        <v>4.1897999999999902</v>
      </c>
      <c r="AF1105">
        <v>-4.0297089955242296</v>
      </c>
      <c r="AG1105">
        <v>-1.0711987264709999</v>
      </c>
      <c r="AH1105">
        <v>31.8369874949401</v>
      </c>
      <c r="AI1105">
        <v>91.911825265959294</v>
      </c>
      <c r="AJ1105">
        <v>97.213749392157297</v>
      </c>
      <c r="AK1105">
        <v>32.108874070156602</v>
      </c>
      <c r="AL1105">
        <v>80.378379100685294</v>
      </c>
      <c r="AM1105">
        <v>90.659430935882696</v>
      </c>
      <c r="AN1105">
        <v>0.99999996268969804</v>
      </c>
    </row>
    <row r="1106" spans="1:40" x14ac:dyDescent="0.25">
      <c r="A1106" t="str">
        <f>"20190303161900398"</f>
        <v>20190303161900398</v>
      </c>
      <c r="B1106" t="str">
        <f>"1551601140394109"</f>
        <v>1551601140394109</v>
      </c>
      <c r="C1106" t="s">
        <v>40</v>
      </c>
      <c r="D1106">
        <v>4.6718440000000001</v>
      </c>
      <c r="E1106">
        <v>0.4564146</v>
      </c>
      <c r="F1106" t="s">
        <v>41</v>
      </c>
      <c r="G1106">
        <v>-256.15230000000003</v>
      </c>
      <c r="H1106" s="1">
        <v>-2.1568720000000001E-6</v>
      </c>
      <c r="I1106">
        <v>371.58530000000002</v>
      </c>
      <c r="J1106">
        <v>-288.77080000000001</v>
      </c>
      <c r="K1106">
        <v>1.071204</v>
      </c>
      <c r="L1106">
        <v>367.27809999999999</v>
      </c>
      <c r="M1106">
        <v>0.99991569999999996</v>
      </c>
      <c r="N1106">
        <v>-1.203567E-2</v>
      </c>
      <c r="O1106">
        <v>4.8833180000000002E-3</v>
      </c>
      <c r="P1106">
        <v>0.98771109999999895</v>
      </c>
      <c r="Q1106">
        <v>0.155415</v>
      </c>
      <c r="R1106">
        <v>1.6535999999999999E-2</v>
      </c>
      <c r="S1106">
        <v>3.0463260000000001</v>
      </c>
      <c r="T1106">
        <v>-9.9541779999999996E-2</v>
      </c>
      <c r="U1106">
        <v>0.40032960000000001</v>
      </c>
      <c r="V1106">
        <v>-1.170594E-2</v>
      </c>
      <c r="W1106">
        <v>0.1672932</v>
      </c>
      <c r="X1106">
        <v>0.98583770000000004</v>
      </c>
      <c r="Y1106">
        <v>-0.12536069999999999</v>
      </c>
      <c r="Z1106">
        <v>2.6964599999999999E-3</v>
      </c>
      <c r="AA1106">
        <v>0.99210759999999998</v>
      </c>
      <c r="AB1106">
        <v>30</v>
      </c>
      <c r="AC1106">
        <v>32.618499999999898</v>
      </c>
      <c r="AD1106">
        <v>-1.0712061568719999</v>
      </c>
      <c r="AE1106">
        <v>4.3072000000000203</v>
      </c>
      <c r="AF1106">
        <v>-4.1434584825452303</v>
      </c>
      <c r="AG1106">
        <v>-1.0712061568719999</v>
      </c>
      <c r="AH1106">
        <v>32.604584716232203</v>
      </c>
      <c r="AI1106">
        <v>91.866742574795694</v>
      </c>
      <c r="AJ1106">
        <v>97.242445258704507</v>
      </c>
      <c r="AK1106">
        <v>32.884261818460502</v>
      </c>
      <c r="AL1106">
        <v>80.369522957382301</v>
      </c>
      <c r="AM1106">
        <v>90.680304109099694</v>
      </c>
      <c r="AN1106">
        <v>1.0000000072694</v>
      </c>
    </row>
    <row r="1107" spans="1:40" x14ac:dyDescent="0.25">
      <c r="A1107" t="str">
        <f>"20190303161900412"</f>
        <v>20190303161900412</v>
      </c>
      <c r="B1107" t="str">
        <f>"1551601140403868"</f>
        <v>1551601140403868</v>
      </c>
      <c r="C1107" t="s">
        <v>40</v>
      </c>
      <c r="D1107">
        <v>4.6793069999999997</v>
      </c>
      <c r="E1107">
        <v>0.45637640000000002</v>
      </c>
      <c r="F1107" t="s">
        <v>41</v>
      </c>
      <c r="G1107">
        <v>-254.77549999999999</v>
      </c>
      <c r="H1107" s="1">
        <v>-2.7940330000000001E-6</v>
      </c>
      <c r="I1107">
        <v>371.76010000000002</v>
      </c>
      <c r="J1107">
        <v>-288.59129999999999</v>
      </c>
      <c r="K1107">
        <v>1.0712079999999999</v>
      </c>
      <c r="L1107">
        <v>367.279</v>
      </c>
      <c r="M1107">
        <v>0.99991560000000002</v>
      </c>
      <c r="N1107">
        <v>-1.2043969999999999E-2</v>
      </c>
      <c r="O1107">
        <v>4.8833870000000003E-3</v>
      </c>
      <c r="P1107">
        <v>0.98766710000000002</v>
      </c>
      <c r="Q1107">
        <v>0.15567249999999999</v>
      </c>
      <c r="R1107">
        <v>1.6724349999999999E-2</v>
      </c>
      <c r="S1107">
        <v>3.0456850000000002</v>
      </c>
      <c r="T1107">
        <v>-9.5970509999999995E-2</v>
      </c>
      <c r="U1107">
        <v>0.40155030000000003</v>
      </c>
      <c r="V1107">
        <v>-1.1893900000000001E-2</v>
      </c>
      <c r="W1107">
        <v>0.16755829999999999</v>
      </c>
      <c r="X1107">
        <v>0.98579039999999996</v>
      </c>
      <c r="Y1107">
        <v>-0.1257836</v>
      </c>
      <c r="Z1107">
        <v>2.6391299999999999E-3</v>
      </c>
      <c r="AA1107">
        <v>0.9920542</v>
      </c>
      <c r="AB1107">
        <v>30</v>
      </c>
      <c r="AC1107">
        <v>33.815800000000003</v>
      </c>
      <c r="AD1107">
        <v>-1.071210794033</v>
      </c>
      <c r="AE1107">
        <v>4.4811000000000201</v>
      </c>
      <c r="AF1107">
        <v>-4.3116469496834799</v>
      </c>
      <c r="AG1107">
        <v>-1.071210794033</v>
      </c>
      <c r="AH1107">
        <v>33.803944928070401</v>
      </c>
      <c r="AI1107">
        <v>91.800457769326101</v>
      </c>
      <c r="AJ1107">
        <v>97.268750296498496</v>
      </c>
      <c r="AK1107">
        <v>34.094640116651497</v>
      </c>
      <c r="AL1107">
        <v>80.3541161193139</v>
      </c>
      <c r="AM1107">
        <v>90.691259731335606</v>
      </c>
      <c r="AN1107">
        <v>0.99999998074412899</v>
      </c>
    </row>
    <row r="1108" spans="1:40" x14ac:dyDescent="0.25">
      <c r="A1108" t="str">
        <f>"20190303161900426"</f>
        <v>20190303161900426</v>
      </c>
      <c r="B1108" t="str">
        <f>"1551601140413629"</f>
        <v>1551601140413629</v>
      </c>
      <c r="C1108" t="s">
        <v>40</v>
      </c>
      <c r="D1108">
        <v>4.702267</v>
      </c>
      <c r="E1108">
        <v>0.4563526</v>
      </c>
      <c r="F1108" t="s">
        <v>41</v>
      </c>
      <c r="G1108">
        <v>-253.785</v>
      </c>
      <c r="H1108" s="1">
        <v>-3.2505169999999999E-6</v>
      </c>
      <c r="I1108">
        <v>371.87869999999998</v>
      </c>
      <c r="J1108">
        <v>-288.40679999999998</v>
      </c>
      <c r="K1108">
        <v>1.07121</v>
      </c>
      <c r="L1108">
        <v>367.2799</v>
      </c>
      <c r="M1108">
        <v>0.99991549999999996</v>
      </c>
      <c r="N1108">
        <v>-1.2054260000000001E-2</v>
      </c>
      <c r="O1108">
        <v>4.8835010000000002E-3</v>
      </c>
      <c r="P1108">
        <v>0.98760329999999996</v>
      </c>
      <c r="Q1108">
        <v>0.15605459999999999</v>
      </c>
      <c r="R1108">
        <v>1.6937959999999998E-2</v>
      </c>
      <c r="S1108">
        <v>3.0454409999999998</v>
      </c>
      <c r="T1108">
        <v>-9.3727350000000001E-2</v>
      </c>
      <c r="U1108">
        <v>0.40246579999999998</v>
      </c>
      <c r="V1108">
        <v>-1.21079E-2</v>
      </c>
      <c r="W1108">
        <v>0.1679494</v>
      </c>
      <c r="X1108">
        <v>0.98572119999999996</v>
      </c>
      <c r="Y1108">
        <v>-0.12609000000000001</v>
      </c>
      <c r="Z1108">
        <v>2.6039790000000002E-3</v>
      </c>
      <c r="AA1108">
        <v>0.99201539999999999</v>
      </c>
      <c r="AB1108">
        <v>30</v>
      </c>
      <c r="AC1108">
        <v>34.621799999999901</v>
      </c>
      <c r="AD1108">
        <v>-1.071213250517</v>
      </c>
      <c r="AE1108">
        <v>4.5987999999999802</v>
      </c>
      <c r="AF1108">
        <v>-4.4254941709211399</v>
      </c>
      <c r="AG1108">
        <v>-1.071213250517</v>
      </c>
      <c r="AH1108">
        <v>34.611287706555203</v>
      </c>
      <c r="AI1108">
        <v>91.7584216479014</v>
      </c>
      <c r="AJ1108">
        <v>97.286458676031302</v>
      </c>
      <c r="AK1108">
        <v>34.909507776405</v>
      </c>
      <c r="AL1108">
        <v>80.331385256694304</v>
      </c>
      <c r="AM1108">
        <v>90.7037453207152</v>
      </c>
      <c r="AN1108">
        <v>0.99999994316610297</v>
      </c>
    </row>
    <row r="1109" spans="1:40" x14ac:dyDescent="0.25">
      <c r="A1109" t="str">
        <f>"20190303161900440"</f>
        <v>20190303161900440</v>
      </c>
      <c r="B1109" t="str">
        <f>"1551601140434124"</f>
        <v>1551601140434124</v>
      </c>
      <c r="C1109" t="s">
        <v>40</v>
      </c>
      <c r="D1109">
        <v>4.6817299999999999</v>
      </c>
      <c r="E1109">
        <v>0.45606560000000002</v>
      </c>
      <c r="F1109" t="s">
        <v>41</v>
      </c>
      <c r="G1109">
        <v>-252.6104</v>
      </c>
      <c r="H1109" s="1">
        <v>-3.7917999999999998E-6</v>
      </c>
      <c r="I1109">
        <v>372.01920000000001</v>
      </c>
      <c r="J1109">
        <v>-288.20280000000002</v>
      </c>
      <c r="K1109">
        <v>1.071213</v>
      </c>
      <c r="L1109">
        <v>367.28089999999997</v>
      </c>
      <c r="M1109">
        <v>0.9999152</v>
      </c>
      <c r="N1109">
        <v>-1.2067329999999999E-2</v>
      </c>
      <c r="O1109">
        <v>4.8832459999999999E-3</v>
      </c>
      <c r="P1109">
        <v>0.98750439999999995</v>
      </c>
      <c r="Q1109">
        <v>0.15664120000000001</v>
      </c>
      <c r="R1109">
        <v>1.7284270000000001E-2</v>
      </c>
      <c r="S1109">
        <v>3.0451350000000001</v>
      </c>
      <c r="T1109">
        <v>-9.1125849999999994E-2</v>
      </c>
      <c r="U1109">
        <v>0.40316770000000002</v>
      </c>
      <c r="V1109">
        <v>-1.24549E-2</v>
      </c>
      <c r="W1109">
        <v>0.1685478</v>
      </c>
      <c r="X1109">
        <v>0.98561480000000001</v>
      </c>
      <c r="Y1109">
        <v>-0.12633150000000001</v>
      </c>
      <c r="Z1109">
        <v>2.5606470000000001E-3</v>
      </c>
      <c r="AA1109">
        <v>0.9919848</v>
      </c>
      <c r="AB1109">
        <v>30</v>
      </c>
      <c r="AC1109">
        <v>35.592399999999998</v>
      </c>
      <c r="AD1109">
        <v>-1.0712167918</v>
      </c>
      <c r="AE1109">
        <v>4.7383000000000299</v>
      </c>
      <c r="AF1109">
        <v>-4.5603654654073296</v>
      </c>
      <c r="AG1109">
        <v>-1.0712167918</v>
      </c>
      <c r="AH1109">
        <v>35.583444760104399</v>
      </c>
      <c r="AI1109">
        <v>91.710351355852893</v>
      </c>
      <c r="AJ1109">
        <v>97.303201710712798</v>
      </c>
      <c r="AK1109">
        <v>35.890471988934799</v>
      </c>
      <c r="AL1109">
        <v>80.296604285405706</v>
      </c>
      <c r="AM1109">
        <v>90.723989963711603</v>
      </c>
      <c r="AN1109">
        <v>1.0000000096989401</v>
      </c>
    </row>
    <row r="1110" spans="1:40" x14ac:dyDescent="0.25">
      <c r="A1110" t="str">
        <f>"20190303161900452"</f>
        <v>20190303161900452</v>
      </c>
      <c r="B1110" t="str">
        <f>"1551601140443885"</f>
        <v>1551601140443885</v>
      </c>
      <c r="C1110" t="s">
        <v>40</v>
      </c>
      <c r="D1110">
        <v>4.656466</v>
      </c>
      <c r="E1110">
        <v>0.45638380000000001</v>
      </c>
      <c r="F1110" t="s">
        <v>46</v>
      </c>
      <c r="G1110">
        <v>-196.1824</v>
      </c>
      <c r="H1110">
        <v>5.709471E-2</v>
      </c>
      <c r="I1110">
        <v>379.6071</v>
      </c>
      <c r="J1110">
        <v>-288.05279999999999</v>
      </c>
      <c r="K1110">
        <v>1.0712159999999999</v>
      </c>
      <c r="L1110">
        <v>367.28160000000003</v>
      </c>
      <c r="M1110">
        <v>0.99991509999999995</v>
      </c>
      <c r="N1110">
        <v>-1.20771E-2</v>
      </c>
      <c r="O1110">
        <v>4.8833640000000003E-3</v>
      </c>
      <c r="P1110">
        <v>0.98746849999999997</v>
      </c>
      <c r="Q1110">
        <v>0.1568784</v>
      </c>
      <c r="R1110">
        <v>1.718006E-2</v>
      </c>
      <c r="S1110">
        <v>3.0362239999999998</v>
      </c>
      <c r="T1110">
        <v>-3.346097E-2</v>
      </c>
      <c r="U1110">
        <v>0.40670780000000001</v>
      </c>
      <c r="V1110">
        <v>-1.235051E-2</v>
      </c>
      <c r="W1110">
        <v>0.1687941</v>
      </c>
      <c r="X1110">
        <v>0.9855739</v>
      </c>
      <c r="Y1110">
        <v>-0.12790779999999999</v>
      </c>
      <c r="Z1110">
        <v>1.482693E-3</v>
      </c>
      <c r="AA1110">
        <v>0.99178489999999997</v>
      </c>
      <c r="AB1110">
        <v>30</v>
      </c>
      <c r="AC1110">
        <v>91.870400000000004</v>
      </c>
      <c r="AD1110">
        <v>-1.0141212899999901</v>
      </c>
      <c r="AE1110">
        <v>12.3254999999999</v>
      </c>
      <c r="AF1110">
        <v>-11.875262241135299</v>
      </c>
      <c r="AG1110">
        <v>-1.0141212899999901</v>
      </c>
      <c r="AH1110">
        <v>91.918496388790302</v>
      </c>
      <c r="AI1110">
        <v>90.626899343350701</v>
      </c>
      <c r="AJ1110">
        <v>97.361460216199006</v>
      </c>
      <c r="AK1110">
        <v>92.687972648357302</v>
      </c>
      <c r="AL1110">
        <v>80.282286598755306</v>
      </c>
      <c r="AM1110">
        <v>90.717952312610294</v>
      </c>
      <c r="AN1110">
        <v>0.99999994782663804</v>
      </c>
    </row>
    <row r="1111" spans="1:40" x14ac:dyDescent="0.25">
      <c r="A1111" t="str">
        <f>"20190303161900464"</f>
        <v>20190303161900464</v>
      </c>
      <c r="B1111" t="str">
        <f>"1551601140453645"</f>
        <v>1551601140453645</v>
      </c>
      <c r="C1111" t="s">
        <v>40</v>
      </c>
      <c r="D1111">
        <v>4.7346769999999996</v>
      </c>
      <c r="E1111">
        <v>0.4560207</v>
      </c>
      <c r="F1111" t="s">
        <v>41</v>
      </c>
      <c r="G1111">
        <v>-229.68549999999999</v>
      </c>
      <c r="H1111" s="1">
        <v>-1.559E-6</v>
      </c>
      <c r="I1111">
        <v>375.03500000000003</v>
      </c>
      <c r="J1111">
        <v>-287.90030000000002</v>
      </c>
      <c r="K1111">
        <v>1.071215</v>
      </c>
      <c r="L1111">
        <v>367.2824</v>
      </c>
      <c r="M1111">
        <v>0.99991509999999995</v>
      </c>
      <c r="N1111">
        <v>-1.208712E-2</v>
      </c>
      <c r="O1111">
        <v>4.8836579999999999E-3</v>
      </c>
      <c r="P1111">
        <v>0.98744580000000004</v>
      </c>
      <c r="Q1111">
        <v>0.15703590000000001</v>
      </c>
      <c r="R1111">
        <v>1.705688E-2</v>
      </c>
      <c r="S1111">
        <v>3.0398559999999999</v>
      </c>
      <c r="T1111">
        <v>-5.579054E-2</v>
      </c>
      <c r="U1111">
        <v>0.40380860000000002</v>
      </c>
      <c r="V1111">
        <v>-1.2227500000000001E-2</v>
      </c>
      <c r="W1111">
        <v>0.1689609</v>
      </c>
      <c r="X1111">
        <v>0.9855469</v>
      </c>
      <c r="Y1111">
        <v>-0.12680330000000001</v>
      </c>
      <c r="Z1111">
        <v>1.89781E-3</v>
      </c>
      <c r="AA1111">
        <v>0.99192610000000003</v>
      </c>
      <c r="AB1111">
        <v>30</v>
      </c>
      <c r="AC1111">
        <v>58.214799999999997</v>
      </c>
      <c r="AD1111">
        <v>-1.071216559</v>
      </c>
      <c r="AE1111">
        <v>7.7526000000000197</v>
      </c>
      <c r="AF1111">
        <v>-7.4657017733176003</v>
      </c>
      <c r="AG1111">
        <v>-1.071216559</v>
      </c>
      <c r="AH1111">
        <v>58.232595492703801</v>
      </c>
      <c r="AI1111">
        <v>91.045310832102203</v>
      </c>
      <c r="AJ1111">
        <v>97.305744434860102</v>
      </c>
      <c r="AK1111">
        <v>58.718986586122803</v>
      </c>
      <c r="AL1111">
        <v>80.272590857406897</v>
      </c>
      <c r="AM1111">
        <v>90.710821778803094</v>
      </c>
      <c r="AN1111">
        <v>0.99999999479233403</v>
      </c>
    </row>
    <row r="1112" spans="1:40" x14ac:dyDescent="0.25">
      <c r="A1112" t="str">
        <f>"20190303161900474"</f>
        <v>20190303161900474</v>
      </c>
      <c r="B1112" t="str">
        <f>"1551601140463405"</f>
        <v>1551601140463405</v>
      </c>
      <c r="C1112" t="s">
        <v>40</v>
      </c>
      <c r="D1112">
        <v>4.6313250000000004</v>
      </c>
      <c r="E1112">
        <v>0.45602670000000001</v>
      </c>
      <c r="F1112" t="s">
        <v>41</v>
      </c>
      <c r="G1112">
        <v>-223.81569999999999</v>
      </c>
      <c r="H1112" s="1">
        <v>-4.0819650000000001E-6</v>
      </c>
      <c r="I1112">
        <v>375.8426</v>
      </c>
      <c r="J1112">
        <v>-287.76479999999998</v>
      </c>
      <c r="K1112">
        <v>1.0712159999999999</v>
      </c>
      <c r="L1112">
        <v>367.28300000000002</v>
      </c>
      <c r="M1112">
        <v>0.99991490000000005</v>
      </c>
      <c r="N1112">
        <v>-1.209588E-2</v>
      </c>
      <c r="O1112">
        <v>4.8834270000000001E-3</v>
      </c>
      <c r="P1112">
        <v>0.98743599999999998</v>
      </c>
      <c r="Q1112">
        <v>0.15710189999999999</v>
      </c>
      <c r="R1112">
        <v>1.70067E-2</v>
      </c>
      <c r="S1112">
        <v>3.0392760000000001</v>
      </c>
      <c r="T1112">
        <v>-5.0803540000000001E-2</v>
      </c>
      <c r="U1112">
        <v>0.40597529999999998</v>
      </c>
      <c r="V1112">
        <v>-1.2177520000000001E-2</v>
      </c>
      <c r="W1112">
        <v>0.16903560000000001</v>
      </c>
      <c r="X1112">
        <v>0.98553469999999999</v>
      </c>
      <c r="Y1112">
        <v>-0.12752769999999999</v>
      </c>
      <c r="Z1112">
        <v>1.8134379999999999E-3</v>
      </c>
      <c r="AA1112">
        <v>0.99183330000000003</v>
      </c>
      <c r="AB1112">
        <v>30</v>
      </c>
      <c r="AC1112">
        <v>63.949099999999902</v>
      </c>
      <c r="AD1112">
        <v>-1.071220081965</v>
      </c>
      <c r="AE1112">
        <v>8.5595999999999801</v>
      </c>
      <c r="AF1112">
        <v>-8.2449114977612901</v>
      </c>
      <c r="AG1112">
        <v>-1.071220081965</v>
      </c>
      <c r="AH1112">
        <v>63.972505821357203</v>
      </c>
      <c r="AI1112">
        <v>90.951460439990697</v>
      </c>
      <c r="AJ1112">
        <v>97.343917203900105</v>
      </c>
      <c r="AK1112">
        <v>64.510523010850704</v>
      </c>
      <c r="AL1112">
        <v>80.268248310820098</v>
      </c>
      <c r="AM1112">
        <v>90.707925348081801</v>
      </c>
      <c r="AN1112">
        <v>0.99999998548239999</v>
      </c>
    </row>
    <row r="1113" spans="1:40" x14ac:dyDescent="0.25">
      <c r="A1113" t="str">
        <f>"20190303161900485"</f>
        <v>20190303161900485</v>
      </c>
      <c r="B1113" t="str">
        <f>"1551601140474141"</f>
        <v>1551601140474141</v>
      </c>
      <c r="C1113" t="s">
        <v>40</v>
      </c>
      <c r="D1113">
        <v>4.6261400000000004</v>
      </c>
      <c r="E1113">
        <v>0.45607039999999999</v>
      </c>
      <c r="F1113" t="s">
        <v>41</v>
      </c>
      <c r="G1113">
        <v>-239.50280000000001</v>
      </c>
      <c r="H1113" s="1">
        <v>-1.2890989999999901E-6</v>
      </c>
      <c r="I1113">
        <v>373.72609999999997</v>
      </c>
      <c r="J1113">
        <v>-287.62110000000001</v>
      </c>
      <c r="K1113">
        <v>1.0712189999999999</v>
      </c>
      <c r="L1113">
        <v>367.28379999999999</v>
      </c>
      <c r="M1113">
        <v>0.99991479999999999</v>
      </c>
      <c r="N1113">
        <v>-1.210515E-2</v>
      </c>
      <c r="O1113">
        <v>4.8833720000000004E-3</v>
      </c>
      <c r="P1113">
        <v>0.98742629999999998</v>
      </c>
      <c r="Q1113">
        <v>0.15716649999999999</v>
      </c>
      <c r="R1113">
        <v>1.697572E-2</v>
      </c>
      <c r="S1113">
        <v>3.0418699999999999</v>
      </c>
      <c r="T1113">
        <v>-6.7516919999999994E-2</v>
      </c>
      <c r="U1113">
        <v>0.4060974</v>
      </c>
      <c r="V1113">
        <v>-1.2146819999999999E-2</v>
      </c>
      <c r="W1113">
        <v>0.16910899999999901</v>
      </c>
      <c r="X1113">
        <v>0.98552249999999997</v>
      </c>
      <c r="Y1113">
        <v>-0.12743850000000001</v>
      </c>
      <c r="Z1113">
        <v>2.1337639999999998E-3</v>
      </c>
      <c r="AA1113">
        <v>0.99184419999999995</v>
      </c>
      <c r="AB1113">
        <v>30</v>
      </c>
      <c r="AC1113">
        <v>48.118299999999998</v>
      </c>
      <c r="AD1113">
        <v>-1.0712202890989999</v>
      </c>
      <c r="AE1113">
        <v>6.4422999999999799</v>
      </c>
      <c r="AF1113">
        <v>-6.2042056954701197</v>
      </c>
      <c r="AG1113">
        <v>-1.0712202890989999</v>
      </c>
      <c r="AH1113">
        <v>48.125757189531797</v>
      </c>
      <c r="AI1113">
        <v>91.264660918536606</v>
      </c>
      <c r="AJ1113">
        <v>97.345857211479597</v>
      </c>
      <c r="AK1113">
        <v>48.535844345032899</v>
      </c>
      <c r="AL1113">
        <v>80.263981500783601</v>
      </c>
      <c r="AM1113">
        <v>90.706149562368793</v>
      </c>
      <c r="AN1113">
        <v>0.99999999856168098</v>
      </c>
    </row>
    <row r="1114" spans="1:40" x14ac:dyDescent="0.25">
      <c r="A1114" t="str">
        <f>"20190303161900496"</f>
        <v>20190303161900496</v>
      </c>
      <c r="B1114" t="str">
        <f>"1551601140483901"</f>
        <v>1551601140483901</v>
      </c>
      <c r="C1114" t="s">
        <v>40</v>
      </c>
      <c r="D1114">
        <v>4.6779489999999999</v>
      </c>
      <c r="E1114">
        <v>0.45563740000000003</v>
      </c>
      <c r="F1114" t="s">
        <v>41</v>
      </c>
      <c r="G1114">
        <v>-246.09970000000001</v>
      </c>
      <c r="H1114" s="1">
        <v>-2.6759070000000001E-6</v>
      </c>
      <c r="I1114">
        <v>372.81729999999999</v>
      </c>
      <c r="J1114">
        <v>-287.47140000000002</v>
      </c>
      <c r="K1114">
        <v>1.0712189999999999</v>
      </c>
      <c r="L1114">
        <v>367.28449999999998</v>
      </c>
      <c r="M1114">
        <v>0.99991470000000005</v>
      </c>
      <c r="N1114">
        <v>-1.211426E-2</v>
      </c>
      <c r="O1114">
        <v>4.8836720000000004E-3</v>
      </c>
      <c r="P1114">
        <v>0.98743300000000001</v>
      </c>
      <c r="Q1114">
        <v>0.15714839999999999</v>
      </c>
      <c r="R1114">
        <v>1.6751789999999999E-2</v>
      </c>
      <c r="S1114">
        <v>3.0437319999999999</v>
      </c>
      <c r="T1114">
        <v>-7.8526020000000002E-2</v>
      </c>
      <c r="U1114">
        <v>0.40563959999999999</v>
      </c>
      <c r="V1114">
        <v>-1.1922210000000001E-2</v>
      </c>
      <c r="W1114">
        <v>0.1691</v>
      </c>
      <c r="X1114">
        <v>0.98552680000000004</v>
      </c>
      <c r="Y1114">
        <v>-0.1271987</v>
      </c>
      <c r="Z1114">
        <v>2.3408859999999999E-3</v>
      </c>
      <c r="AA1114">
        <v>0.99187449999999999</v>
      </c>
      <c r="AB1114">
        <v>30</v>
      </c>
      <c r="AC1114">
        <v>41.371699999999997</v>
      </c>
      <c r="AD1114">
        <v>-1.0712216759069999</v>
      </c>
      <c r="AE1114">
        <v>5.5327999999999999</v>
      </c>
      <c r="AF1114">
        <v>-5.3271646455493302</v>
      </c>
      <c r="AG1114">
        <v>-1.0712216759069999</v>
      </c>
      <c r="AH1114">
        <v>41.3709800131534</v>
      </c>
      <c r="AI1114">
        <v>91.471091940862806</v>
      </c>
      <c r="AJ1114">
        <v>97.337358282832</v>
      </c>
      <c r="AK1114">
        <v>41.726300893902199</v>
      </c>
      <c r="AL1114">
        <v>80.264504823085304</v>
      </c>
      <c r="AM1114">
        <v>90.693090229618406</v>
      </c>
      <c r="AN1114">
        <v>1.00000001130476</v>
      </c>
    </row>
    <row r="1115" spans="1:40" x14ac:dyDescent="0.25">
      <c r="A1115" t="str">
        <f>"20190303161900507"</f>
        <v>20190303161900507</v>
      </c>
      <c r="B1115" t="str">
        <f>"1551601140504397"</f>
        <v>1551601140504397</v>
      </c>
      <c r="C1115" t="s">
        <v>40</v>
      </c>
      <c r="D1115">
        <v>4.6432180000000001</v>
      </c>
      <c r="E1115">
        <v>0.45581349999999998</v>
      </c>
      <c r="F1115" t="s">
        <v>41</v>
      </c>
      <c r="G1115">
        <v>-247.31309999999999</v>
      </c>
      <c r="H1115" s="1">
        <v>-2.0634870000000001E-6</v>
      </c>
      <c r="I1115">
        <v>372.67140000000001</v>
      </c>
      <c r="J1115">
        <v>-287.32389999999998</v>
      </c>
      <c r="K1115">
        <v>1.0712189999999999</v>
      </c>
      <c r="L1115">
        <v>367.28519999999997</v>
      </c>
      <c r="M1115">
        <v>0.99991459999999999</v>
      </c>
      <c r="N1115">
        <v>-1.212309E-2</v>
      </c>
      <c r="O1115">
        <v>4.8837949999999998E-3</v>
      </c>
      <c r="P1115">
        <v>0.98741049999999997</v>
      </c>
      <c r="Q1115">
        <v>0.15731099999999901</v>
      </c>
      <c r="R1115">
        <v>1.654746E-2</v>
      </c>
      <c r="S1115">
        <v>3.0442200000000001</v>
      </c>
      <c r="T1115">
        <v>-8.1204299999999993E-2</v>
      </c>
      <c r="U1115">
        <v>0.40835569999999999</v>
      </c>
      <c r="V1115">
        <v>-1.171791E-2</v>
      </c>
      <c r="W1115">
        <v>0.16927159999999999</v>
      </c>
      <c r="X1115">
        <v>0.98549980000000004</v>
      </c>
      <c r="Y1115">
        <v>-0.1280432</v>
      </c>
      <c r="Z1115">
        <v>2.4089699999999999E-3</v>
      </c>
      <c r="AA1115">
        <v>0.99176569999999997</v>
      </c>
      <c r="AB1115">
        <v>30</v>
      </c>
      <c r="AC1115">
        <v>40.010799999999897</v>
      </c>
      <c r="AD1115">
        <v>-1.0712210634870001</v>
      </c>
      <c r="AE1115">
        <v>5.3862000000000299</v>
      </c>
      <c r="AF1115">
        <v>-5.1870648969069997</v>
      </c>
      <c r="AG1115">
        <v>-1.0712210634870001</v>
      </c>
      <c r="AH1115">
        <v>40.008461819383697</v>
      </c>
      <c r="AI1115">
        <v>91.520996360414202</v>
      </c>
      <c r="AJ1115">
        <v>97.387145676258399</v>
      </c>
      <c r="AK1115">
        <v>40.357529334247701</v>
      </c>
      <c r="AL1115">
        <v>80.254529143031306</v>
      </c>
      <c r="AM1115">
        <v>90.6812331674045</v>
      </c>
      <c r="AN1115">
        <v>1.00000001989068</v>
      </c>
    </row>
    <row r="1116" spans="1:40" x14ac:dyDescent="0.25">
      <c r="A1116" t="str">
        <f>"20190303161900520"</f>
        <v>20190303161900520</v>
      </c>
      <c r="B1116" t="str">
        <f>"1551601140514157"</f>
        <v>1551601140514157</v>
      </c>
      <c r="C1116" t="s">
        <v>40</v>
      </c>
      <c r="D1116">
        <v>4.7958860000000003</v>
      </c>
      <c r="E1116">
        <v>0.4555574</v>
      </c>
      <c r="F1116" t="s">
        <v>41</v>
      </c>
      <c r="G1116">
        <v>-248.9145</v>
      </c>
      <c r="H1116" s="1">
        <v>-1.2378700000000001E-6</v>
      </c>
      <c r="I1116">
        <v>372.4135</v>
      </c>
      <c r="J1116">
        <v>-287.15960000000001</v>
      </c>
      <c r="K1116">
        <v>1.0712219999999999</v>
      </c>
      <c r="L1116">
        <v>367.286</v>
      </c>
      <c r="M1116">
        <v>0.99991459999999999</v>
      </c>
      <c r="N1116">
        <v>-1.213239E-2</v>
      </c>
      <c r="O1116">
        <v>4.8835620000000001E-3</v>
      </c>
      <c r="P1116">
        <v>0.98744140000000002</v>
      </c>
      <c r="Q1116">
        <v>0.15714810000000001</v>
      </c>
      <c r="R1116">
        <v>1.6251080000000001E-2</v>
      </c>
      <c r="S1116">
        <v>3.0449519999999999</v>
      </c>
      <c r="T1116">
        <v>-8.4922310000000001E-2</v>
      </c>
      <c r="U1116">
        <v>0.40655520000000001</v>
      </c>
      <c r="V1116">
        <v>-1.142169E-2</v>
      </c>
      <c r="W1116">
        <v>0.16911789999999999</v>
      </c>
      <c r="X1116">
        <v>0.98552969999999895</v>
      </c>
      <c r="Y1116">
        <v>-0.12743119999999999</v>
      </c>
      <c r="Z1116">
        <v>2.4689159999999998E-3</v>
      </c>
      <c r="AA1116">
        <v>0.99184439999999996</v>
      </c>
      <c r="AB1116">
        <v>30</v>
      </c>
      <c r="AC1116">
        <v>38.245100000000001</v>
      </c>
      <c r="AD1116">
        <v>-1.07122323787</v>
      </c>
      <c r="AE1116">
        <v>5.1274999999999897</v>
      </c>
      <c r="AF1116">
        <v>-4.9368480995728801</v>
      </c>
      <c r="AG1116">
        <v>-1.07122323787</v>
      </c>
      <c r="AH1116">
        <v>38.240215389318401</v>
      </c>
      <c r="AI1116">
        <v>91.591406806395398</v>
      </c>
      <c r="AJ1116">
        <v>97.356250577381999</v>
      </c>
      <c r="AK1116">
        <v>38.572452105162697</v>
      </c>
      <c r="AL1116">
        <v>80.263464664644999</v>
      </c>
      <c r="AM1116">
        <v>90.663993520693097</v>
      </c>
      <c r="AN1116">
        <v>1.0000000543424701</v>
      </c>
    </row>
    <row r="1117" spans="1:40" x14ac:dyDescent="0.25">
      <c r="A1117" t="str">
        <f>"20190303161900531"</f>
        <v>20190303161900531</v>
      </c>
      <c r="B1117" t="str">
        <f>"1551601140523917"</f>
        <v>1551601140523917</v>
      </c>
      <c r="C1117" t="s">
        <v>40</v>
      </c>
      <c r="D1117">
        <v>4.6806729999999996</v>
      </c>
      <c r="E1117">
        <v>0.45544180000000001</v>
      </c>
      <c r="F1117" t="s">
        <v>41</v>
      </c>
      <c r="G1117">
        <v>-246.90270000000001</v>
      </c>
      <c r="H1117" s="1">
        <v>-2.258323E-6</v>
      </c>
      <c r="I1117">
        <v>372.67469999999997</v>
      </c>
      <c r="J1117">
        <v>-287.00659999999999</v>
      </c>
      <c r="K1117">
        <v>1.0712250000000001</v>
      </c>
      <c r="L1117">
        <v>367.28680000000003</v>
      </c>
      <c r="M1117">
        <v>0.99991450000000004</v>
      </c>
      <c r="N1117">
        <v>-1.2141620000000001E-2</v>
      </c>
      <c r="O1117">
        <v>4.8833260000000003E-3</v>
      </c>
      <c r="P1117">
        <v>0.98741800000000002</v>
      </c>
      <c r="Q1117">
        <v>0.1573215</v>
      </c>
      <c r="R1117">
        <v>1.6002039999999999E-2</v>
      </c>
      <c r="S1117">
        <v>3.0443419999999999</v>
      </c>
      <c r="T1117">
        <v>-8.1009029999999996E-2</v>
      </c>
      <c r="U1117">
        <v>0.40750120000000001</v>
      </c>
      <c r="V1117">
        <v>-1.1173209999999999E-2</v>
      </c>
      <c r="W1117">
        <v>0.16930020000000001</v>
      </c>
      <c r="X1117">
        <v>0.98550119999999997</v>
      </c>
      <c r="Y1117">
        <v>-0.1277654</v>
      </c>
      <c r="Z1117">
        <v>2.4010630000000002E-3</v>
      </c>
      <c r="AA1117">
        <v>0.9918015</v>
      </c>
      <c r="AB1117">
        <v>30</v>
      </c>
      <c r="AC1117">
        <v>40.103899999999904</v>
      </c>
      <c r="AD1117">
        <v>-1.071227258323</v>
      </c>
      <c r="AE1117">
        <v>5.3878999999999397</v>
      </c>
      <c r="AF1117">
        <v>-5.1883447020356099</v>
      </c>
      <c r="AG1117">
        <v>-1.071227258323</v>
      </c>
      <c r="AH1117">
        <v>40.101629588520403</v>
      </c>
      <c r="AI1117">
        <v>91.517525098229399</v>
      </c>
      <c r="AJ1117">
        <v>97.371970539009993</v>
      </c>
      <c r="AK1117">
        <v>40.450057407141102</v>
      </c>
      <c r="AL1117">
        <v>80.252866357506207</v>
      </c>
      <c r="AM1117">
        <v>90.649568310049403</v>
      </c>
      <c r="AN1117">
        <v>1.00000000677159</v>
      </c>
    </row>
    <row r="1118" spans="1:40" x14ac:dyDescent="0.25">
      <c r="A1118" t="str">
        <f>"20190303161900541"</f>
        <v>20190303161900541</v>
      </c>
      <c r="B1118" t="str">
        <f>"1551601140533677"</f>
        <v>1551601140533677</v>
      </c>
      <c r="C1118" t="s">
        <v>40</v>
      </c>
      <c r="D1118">
        <v>4.7205649999999997</v>
      </c>
      <c r="E1118">
        <v>0.4553064</v>
      </c>
      <c r="F1118" t="s">
        <v>41</v>
      </c>
      <c r="G1118">
        <v>-244.12260000000001</v>
      </c>
      <c r="H1118" s="1">
        <v>-3.6669489999999999E-6</v>
      </c>
      <c r="I1118">
        <v>373.02949999999998</v>
      </c>
      <c r="J1118">
        <v>-286.86239999999998</v>
      </c>
      <c r="K1118">
        <v>1.071226</v>
      </c>
      <c r="L1118">
        <v>367.28739999999999</v>
      </c>
      <c r="M1118">
        <v>0.99991430000000003</v>
      </c>
      <c r="N1118">
        <v>-1.215074E-2</v>
      </c>
      <c r="O1118">
        <v>4.8836239999999996E-3</v>
      </c>
      <c r="P1118">
        <v>0.98742779999999997</v>
      </c>
      <c r="Q1118">
        <v>0.15725810000000001</v>
      </c>
      <c r="R1118">
        <v>1.6017940000000001E-2</v>
      </c>
      <c r="S1118">
        <v>3.0437319999999999</v>
      </c>
      <c r="T1118">
        <v>-7.6031329999999994E-2</v>
      </c>
      <c r="U1118">
        <v>0.40759279999999998</v>
      </c>
      <c r="V1118">
        <v>-1.118835E-2</v>
      </c>
      <c r="W1118">
        <v>0.1692457</v>
      </c>
      <c r="X1118">
        <v>0.98551040000000001</v>
      </c>
      <c r="Y1118">
        <v>-0.12782689999999999</v>
      </c>
      <c r="Z1118">
        <v>2.3071089999999999E-3</v>
      </c>
      <c r="AA1118">
        <v>0.99179379999999995</v>
      </c>
      <c r="AB1118">
        <v>30</v>
      </c>
      <c r="AC1118">
        <v>42.739799999999903</v>
      </c>
      <c r="AD1118">
        <v>-1.071229666949</v>
      </c>
      <c r="AE1118">
        <v>5.74209999999999</v>
      </c>
      <c r="AF1118">
        <v>-5.5298787066847499</v>
      </c>
      <c r="AG1118">
        <v>-1.071229666949</v>
      </c>
      <c r="AH1118">
        <v>42.740960617451599</v>
      </c>
      <c r="AI1118">
        <v>91.4238580012249</v>
      </c>
      <c r="AJ1118">
        <v>97.372046519820003</v>
      </c>
      <c r="AK1118">
        <v>43.110518507813701</v>
      </c>
      <c r="AL1118">
        <v>80.256034802986605</v>
      </c>
      <c r="AM1118">
        <v>90.650442345419094</v>
      </c>
      <c r="AN1118">
        <v>1.00000001732618</v>
      </c>
    </row>
    <row r="1119" spans="1:40" x14ac:dyDescent="0.25">
      <c r="A1119" t="str">
        <f>"20190303161900552"</f>
        <v>20190303161900552</v>
      </c>
      <c r="B1119" t="str">
        <f>"1551601140543437"</f>
        <v>1551601140543437</v>
      </c>
      <c r="C1119" t="s">
        <v>40</v>
      </c>
      <c r="D1119">
        <v>4.7735019999999997</v>
      </c>
      <c r="E1119">
        <v>0.45499109999999998</v>
      </c>
      <c r="F1119" t="s">
        <v>41</v>
      </c>
      <c r="G1119">
        <v>-245.1112</v>
      </c>
      <c r="H1119" s="1">
        <v>-3.1648210000000001E-6</v>
      </c>
      <c r="I1119">
        <v>372.89879999999999</v>
      </c>
      <c r="J1119">
        <v>-286.73070000000001</v>
      </c>
      <c r="K1119">
        <v>1.071229</v>
      </c>
      <c r="L1119">
        <v>367.28809999999999</v>
      </c>
      <c r="M1119">
        <v>0.99991419999999998</v>
      </c>
      <c r="N1119">
        <v>-1.21598E-2</v>
      </c>
      <c r="O1119">
        <v>4.8835700000000003E-3</v>
      </c>
      <c r="P1119">
        <v>0.98744480000000001</v>
      </c>
      <c r="Q1119">
        <v>0.15716160000000001</v>
      </c>
      <c r="R1119">
        <v>1.589981E-2</v>
      </c>
      <c r="S1119">
        <v>3.0440369999999999</v>
      </c>
      <c r="T1119">
        <v>-7.8102350000000001E-2</v>
      </c>
      <c r="U1119">
        <v>0.4091187</v>
      </c>
      <c r="V1119">
        <v>-1.1070099999999999E-2</v>
      </c>
      <c r="W1119">
        <v>0.16915829999999901</v>
      </c>
      <c r="X1119">
        <v>0.98552669999999998</v>
      </c>
      <c r="Y1119">
        <v>-0.12829939999999901</v>
      </c>
      <c r="Z1119">
        <v>2.356454E-3</v>
      </c>
      <c r="AA1119">
        <v>0.99173270000000002</v>
      </c>
      <c r="AB1119">
        <v>30</v>
      </c>
      <c r="AC1119">
        <v>41.619500000000002</v>
      </c>
      <c r="AD1119">
        <v>-1.0712321648209999</v>
      </c>
      <c r="AE1119">
        <v>5.6106999999999996</v>
      </c>
      <c r="AF1119">
        <v>-5.403850276899</v>
      </c>
      <c r="AG1119">
        <v>-1.0712321648209999</v>
      </c>
      <c r="AH1119">
        <v>41.619326018577198</v>
      </c>
      <c r="AI1119">
        <v>91.462132275197803</v>
      </c>
      <c r="AJ1119">
        <v>97.397892892874694</v>
      </c>
      <c r="AK1119">
        <v>41.982346699615299</v>
      </c>
      <c r="AL1119">
        <v>80.261115317052202</v>
      </c>
      <c r="AM1119">
        <v>90.643557739124105</v>
      </c>
      <c r="AN1119">
        <v>0.999999976992894</v>
      </c>
    </row>
    <row r="1120" spans="1:40" x14ac:dyDescent="0.25">
      <c r="A1120" t="str">
        <f>"20190303161900563"</f>
        <v>20190303161900563</v>
      </c>
      <c r="B1120" t="str">
        <f>"1551601140554173"</f>
        <v>1551601140554173</v>
      </c>
      <c r="C1120" t="s">
        <v>40</v>
      </c>
      <c r="D1120">
        <v>4.7912439999999998</v>
      </c>
      <c r="E1120">
        <v>0.45500689999999999</v>
      </c>
      <c r="F1120" t="s">
        <v>41</v>
      </c>
      <c r="G1120">
        <v>-246.64660000000001</v>
      </c>
      <c r="H1120" s="1">
        <v>-2.3864569999999998E-6</v>
      </c>
      <c r="I1120">
        <v>372.7011</v>
      </c>
      <c r="J1120">
        <v>-286.5754</v>
      </c>
      <c r="K1120">
        <v>1.071232</v>
      </c>
      <c r="L1120">
        <v>367.28879999999998</v>
      </c>
      <c r="M1120">
        <v>0.99991399999999997</v>
      </c>
      <c r="N1120">
        <v>-1.2170820000000001E-2</v>
      </c>
      <c r="O1120">
        <v>4.8833260000000003E-3</v>
      </c>
      <c r="P1120">
        <v>0.98742929999999995</v>
      </c>
      <c r="Q1120">
        <v>0.15729489999999999</v>
      </c>
      <c r="R1120">
        <v>1.5538949999999999E-2</v>
      </c>
      <c r="S1120">
        <v>3.0444640000000001</v>
      </c>
      <c r="T1120">
        <v>-8.1362009999999998E-2</v>
      </c>
      <c r="U1120">
        <v>0.41113280000000002</v>
      </c>
      <c r="V1120">
        <v>-1.070986E-2</v>
      </c>
      <c r="W1120">
        <v>0.16930209999999901</v>
      </c>
      <c r="X1120">
        <v>0.98550599999999999</v>
      </c>
      <c r="Y1120">
        <v>-0.12892100000000001</v>
      </c>
      <c r="Z1120">
        <v>2.4321939999999999E-3</v>
      </c>
      <c r="AA1120">
        <v>0.99165190000000003</v>
      </c>
      <c r="AB1120">
        <v>30</v>
      </c>
      <c r="AC1120">
        <v>39.928800000000003</v>
      </c>
      <c r="AD1120">
        <v>-1.071234386457</v>
      </c>
      <c r="AE1120">
        <v>5.4123000000000099</v>
      </c>
      <c r="AF1120">
        <v>-5.2135507876761702</v>
      </c>
      <c r="AG1120">
        <v>-1.071234386457</v>
      </c>
      <c r="AH1120">
        <v>39.926536208546302</v>
      </c>
      <c r="AI1120">
        <v>91.523953637917003</v>
      </c>
      <c r="AJ1120">
        <v>97.439509522050201</v>
      </c>
      <c r="AK1120">
        <v>40.279733719809599</v>
      </c>
      <c r="AL1120">
        <v>80.252755727093998</v>
      </c>
      <c r="AM1120">
        <v>90.622630021913807</v>
      </c>
      <c r="AN1120">
        <v>0.999999989100814</v>
      </c>
    </row>
    <row r="1121" spans="1:40" x14ac:dyDescent="0.25">
      <c r="A1121" t="str">
        <f>"20190303161900577"</f>
        <v>20190303161900577</v>
      </c>
      <c r="B1121" t="str">
        <f>"1551601140573693"</f>
        <v>1551601140573693</v>
      </c>
      <c r="C1121" t="s">
        <v>40</v>
      </c>
      <c r="D1121">
        <v>4.7243849999999998</v>
      </c>
      <c r="E1121">
        <v>0.45500010000000002</v>
      </c>
      <c r="F1121" t="s">
        <v>41</v>
      </c>
      <c r="G1121">
        <v>-244.7637</v>
      </c>
      <c r="H1121" s="1">
        <v>-3.3355749999999998E-6</v>
      </c>
      <c r="I1121">
        <v>372.92320000000001</v>
      </c>
      <c r="J1121">
        <v>-286.39479999999998</v>
      </c>
      <c r="K1121">
        <v>1.0712349999999999</v>
      </c>
      <c r="L1121">
        <v>367.28980000000001</v>
      </c>
      <c r="M1121">
        <v>0.99991390000000002</v>
      </c>
      <c r="N1121">
        <v>-1.2183869999999999E-2</v>
      </c>
      <c r="O1121">
        <v>4.8835420000000003E-3</v>
      </c>
      <c r="P1121">
        <v>0.9874503</v>
      </c>
      <c r="Q1121">
        <v>0.15716620000000001</v>
      </c>
      <c r="R1121">
        <v>1.552192E-2</v>
      </c>
      <c r="S1121">
        <v>3.0441590000000001</v>
      </c>
      <c r="T1121">
        <v>-7.7992800000000001E-2</v>
      </c>
      <c r="U1121">
        <v>0.41021730000000001</v>
      </c>
      <c r="V1121">
        <v>-1.0692689999999999E-2</v>
      </c>
      <c r="W1121">
        <v>0.1691869</v>
      </c>
      <c r="X1121">
        <v>0.98552600000000001</v>
      </c>
      <c r="Y1121">
        <v>-0.1286456</v>
      </c>
      <c r="Z1121">
        <v>2.3624539999999999E-3</v>
      </c>
      <c r="AA1121">
        <v>0.99168780000000001</v>
      </c>
      <c r="AB1121">
        <v>30</v>
      </c>
      <c r="AC1121">
        <v>41.631099999999897</v>
      </c>
      <c r="AD1121">
        <v>-1.0712383355749999</v>
      </c>
      <c r="AE1121">
        <v>5.6333999999999902</v>
      </c>
      <c r="AF1121">
        <v>-5.4264821344117404</v>
      </c>
      <c r="AG1121">
        <v>-1.0712383355749999</v>
      </c>
      <c r="AH1121">
        <v>41.631047402076398</v>
      </c>
      <c r="AI1121">
        <v>91.461634424661895</v>
      </c>
      <c r="AJ1121">
        <v>97.426462478583503</v>
      </c>
      <c r="AK1121">
        <v>41.996885214508801</v>
      </c>
      <c r="AL1121">
        <v>80.259453103736504</v>
      </c>
      <c r="AM1121">
        <v>90.6216192883806</v>
      </c>
      <c r="AN1121">
        <v>1.0000000187135201</v>
      </c>
    </row>
    <row r="1122" spans="1:40" x14ac:dyDescent="0.25">
      <c r="A1122" t="str">
        <f>"20190303161900588"</f>
        <v>20190303161900588</v>
      </c>
      <c r="B1122" t="str">
        <f>"1551601140584429"</f>
        <v>1551601140584429</v>
      </c>
      <c r="C1122" t="s">
        <v>40</v>
      </c>
      <c r="D1122">
        <v>4.7250050000000003</v>
      </c>
      <c r="E1122">
        <v>0.45496370000000003</v>
      </c>
      <c r="F1122" t="s">
        <v>41</v>
      </c>
      <c r="G1122">
        <v>-241.73240000000001</v>
      </c>
      <c r="H1122" s="1">
        <v>-4.7001089999999997E-6</v>
      </c>
      <c r="I1122">
        <v>373.30360000000002</v>
      </c>
      <c r="J1122">
        <v>-286.24560000000002</v>
      </c>
      <c r="K1122">
        <v>1.0712360000000001</v>
      </c>
      <c r="L1122">
        <v>367.29039999999998</v>
      </c>
      <c r="M1122">
        <v>0.99991379999999996</v>
      </c>
      <c r="N1122">
        <v>-1.219455E-2</v>
      </c>
      <c r="O1122">
        <v>4.8834760000000003E-3</v>
      </c>
      <c r="P1122">
        <v>0.98741860000000004</v>
      </c>
      <c r="Q1122">
        <v>0.1573756</v>
      </c>
      <c r="R1122">
        <v>1.5422440000000001E-2</v>
      </c>
      <c r="S1122">
        <v>3.0433349999999999</v>
      </c>
      <c r="T1122">
        <v>-7.2995190000000001E-2</v>
      </c>
      <c r="U1122">
        <v>0.40978999999999999</v>
      </c>
      <c r="V1122">
        <v>-1.05936E-2</v>
      </c>
      <c r="W1122">
        <v>0.16940639999999901</v>
      </c>
      <c r="X1122">
        <v>0.98548939999999996</v>
      </c>
      <c r="Y1122">
        <v>-0.12855079999999999</v>
      </c>
      <c r="Z1122">
        <v>2.2647560000000001E-3</v>
      </c>
      <c r="AA1122">
        <v>0.99170040000000004</v>
      </c>
      <c r="AB1122">
        <v>30</v>
      </c>
      <c r="AC1122">
        <v>44.513199999999998</v>
      </c>
      <c r="AD1122">
        <v>-1.0712407001090001</v>
      </c>
      <c r="AE1122">
        <v>6.0132000000000403</v>
      </c>
      <c r="AF1122">
        <v>-5.7924383855258101</v>
      </c>
      <c r="AG1122">
        <v>-1.0712407001090001</v>
      </c>
      <c r="AH1122">
        <v>44.516716516213101</v>
      </c>
      <c r="AI1122">
        <v>91.3669683759435</v>
      </c>
      <c r="AJ1122">
        <v>97.413576093903401</v>
      </c>
      <c r="AK1122">
        <v>44.904765320315001</v>
      </c>
      <c r="AL1122">
        <v>80.246692841086897</v>
      </c>
      <c r="AM1122">
        <v>90.615882009841798</v>
      </c>
      <c r="AN1122">
        <v>1.00000005511713</v>
      </c>
    </row>
    <row r="1123" spans="1:40" x14ac:dyDescent="0.25">
      <c r="A1123" t="str">
        <f>"20190303161900600"</f>
        <v>20190303161900600</v>
      </c>
      <c r="B1123" t="str">
        <f>"1551601140594189"</f>
        <v>1551601140594189</v>
      </c>
      <c r="C1123" t="s">
        <v>40</v>
      </c>
      <c r="D1123">
        <v>4.9604489999999997</v>
      </c>
      <c r="E1123">
        <v>0.45498519999999998</v>
      </c>
      <c r="F1123" t="s">
        <v>41</v>
      </c>
      <c r="G1123">
        <v>-239.90110000000001</v>
      </c>
      <c r="H1123" s="1">
        <v>-1.0686640000000001E-6</v>
      </c>
      <c r="I1123">
        <v>373.53969999999998</v>
      </c>
      <c r="J1123">
        <v>-286.09769999999997</v>
      </c>
      <c r="K1123">
        <v>1.071234</v>
      </c>
      <c r="L1123">
        <v>367.2912</v>
      </c>
      <c r="M1123">
        <v>0.99991370000000002</v>
      </c>
      <c r="N1123">
        <v>-1.2204899999999999E-2</v>
      </c>
      <c r="O1123">
        <v>4.8832959999999996E-3</v>
      </c>
      <c r="P1123">
        <v>0.9874349</v>
      </c>
      <c r="Q1123">
        <v>0.1572935</v>
      </c>
      <c r="R1123">
        <v>1.521488E-2</v>
      </c>
      <c r="S1123">
        <v>3.0430600000000001</v>
      </c>
      <c r="T1123">
        <v>-7.0339079999999998E-2</v>
      </c>
      <c r="U1123">
        <v>0.41033940000000002</v>
      </c>
      <c r="V1123">
        <v>-1.0386019999999999E-2</v>
      </c>
      <c r="W1123">
        <v>0.1693345</v>
      </c>
      <c r="X1123">
        <v>0.98550389999999999</v>
      </c>
      <c r="Y1123">
        <v>-0.12874179999999999</v>
      </c>
      <c r="Z1123">
        <v>2.2173689999999999E-3</v>
      </c>
      <c r="AA1123">
        <v>0.99167570000000005</v>
      </c>
      <c r="AB1123">
        <v>30</v>
      </c>
      <c r="AC1123">
        <v>46.196599999999897</v>
      </c>
      <c r="AD1123">
        <v>-1.071235068664</v>
      </c>
      <c r="AE1123">
        <v>6.2484999999999697</v>
      </c>
      <c r="AF1123">
        <v>-6.01963835742293</v>
      </c>
      <c r="AG1123">
        <v>-1.071235068664</v>
      </c>
      <c r="AH1123">
        <v>46.202167539181197</v>
      </c>
      <c r="AI1123">
        <v>91.317083671798699</v>
      </c>
      <c r="AJ1123">
        <v>97.423199880780103</v>
      </c>
      <c r="AK1123">
        <v>46.604976942865903</v>
      </c>
      <c r="AL1123">
        <v>80.250872152601701</v>
      </c>
      <c r="AM1123">
        <v>90.603805913412501</v>
      </c>
      <c r="AN1123">
        <v>0.99999998960845005</v>
      </c>
    </row>
    <row r="1124" spans="1:40" x14ac:dyDescent="0.25">
      <c r="A1124" t="str">
        <f>"20190303161900613"</f>
        <v>20190303161900613</v>
      </c>
      <c r="B1124" t="str">
        <f>"1551601140603948"</f>
        <v>1551601140603948</v>
      </c>
      <c r="C1124" t="s">
        <v>40</v>
      </c>
      <c r="D1124">
        <v>4.9076659999999999</v>
      </c>
      <c r="E1124">
        <v>0.45498519999999998</v>
      </c>
      <c r="F1124" t="s">
        <v>41</v>
      </c>
      <c r="G1124">
        <v>-238.64279999999999</v>
      </c>
      <c r="H1124" s="1">
        <v>-1.6440860000000001E-6</v>
      </c>
      <c r="I1124">
        <v>373.67360000000002</v>
      </c>
      <c r="J1124">
        <v>-285.92540000000002</v>
      </c>
      <c r="K1124">
        <v>1.0712360000000001</v>
      </c>
      <c r="L1124">
        <v>367.29199999999997</v>
      </c>
      <c r="M1124">
        <v>0.99991350000000001</v>
      </c>
      <c r="N1124">
        <v>-1.22165E-2</v>
      </c>
      <c r="O1124">
        <v>4.8833440000000004E-3</v>
      </c>
      <c r="P1124">
        <v>0.98745099999999997</v>
      </c>
      <c r="Q1124">
        <v>0.15718840000000001</v>
      </c>
      <c r="R1124">
        <v>1.524999E-2</v>
      </c>
      <c r="S1124">
        <v>3.0428160000000002</v>
      </c>
      <c r="T1124">
        <v>-6.8687559999999995E-2</v>
      </c>
      <c r="U1124">
        <v>0.40924070000000001</v>
      </c>
      <c r="V1124">
        <v>-1.0420499999999999E-2</v>
      </c>
      <c r="W1124">
        <v>0.169241</v>
      </c>
      <c r="X1124">
        <v>0.98551960000000005</v>
      </c>
      <c r="Y1124">
        <v>-0.12840270000000001</v>
      </c>
      <c r="Z1124">
        <v>2.180272E-3</v>
      </c>
      <c r="AA1124">
        <v>0.99171969999999998</v>
      </c>
      <c r="AB1124">
        <v>30</v>
      </c>
      <c r="AC1124">
        <v>47.282600000000002</v>
      </c>
      <c r="AD1124">
        <v>-1.0712376440860001</v>
      </c>
      <c r="AE1124">
        <v>6.3816000000000397</v>
      </c>
      <c r="AF1124">
        <v>-6.1475104278536099</v>
      </c>
      <c r="AG1124">
        <v>-1.0712376440860001</v>
      </c>
      <c r="AH1124">
        <v>47.289362767989303</v>
      </c>
      <c r="AI1124">
        <v>91.286864920285296</v>
      </c>
      <c r="AJ1124">
        <v>97.406784961141199</v>
      </c>
      <c r="AK1124">
        <v>47.699300472367199</v>
      </c>
      <c r="AL1124">
        <v>80.256307789884403</v>
      </c>
      <c r="AM1124">
        <v>90.605800657414903</v>
      </c>
      <c r="AN1124">
        <v>0.99999999244270499</v>
      </c>
    </row>
    <row r="1125" spans="1:40" x14ac:dyDescent="0.25">
      <c r="A1125" t="str">
        <f>"20190303161900626"</f>
        <v>20190303161900626</v>
      </c>
      <c r="B1125" t="str">
        <f>"1551601140613709"</f>
        <v>1551601140613709</v>
      </c>
      <c r="C1125" t="s">
        <v>40</v>
      </c>
      <c r="D1125">
        <v>4.923889</v>
      </c>
      <c r="E1125">
        <v>0.47872890000000001</v>
      </c>
      <c r="F1125" t="s">
        <v>41</v>
      </c>
      <c r="G1125">
        <v>-238.66499999999999</v>
      </c>
      <c r="H1125" s="1">
        <v>-1.6292110000000001E-6</v>
      </c>
      <c r="I1125">
        <v>373.65350000000001</v>
      </c>
      <c r="J1125">
        <v>-285.74869999999999</v>
      </c>
      <c r="K1125">
        <v>1.0712360000000001</v>
      </c>
      <c r="L1125">
        <v>367.29289999999997</v>
      </c>
      <c r="M1125">
        <v>0.99991339999999995</v>
      </c>
      <c r="N1125">
        <v>-1.2227989999999999E-2</v>
      </c>
      <c r="O1125">
        <v>4.8836280000000001E-3</v>
      </c>
      <c r="P1125">
        <v>0.98746389999999995</v>
      </c>
      <c r="Q1125">
        <v>0.15710350000000001</v>
      </c>
      <c r="R1125">
        <v>1.528467E-2</v>
      </c>
      <c r="S1125">
        <v>3.042786</v>
      </c>
      <c r="T1125">
        <v>-6.8969849999999999E-2</v>
      </c>
      <c r="U1125">
        <v>0.40957640000000001</v>
      </c>
      <c r="V1125">
        <v>-1.0454939999999999E-2</v>
      </c>
      <c r="W1125">
        <v>0.16916819999999999</v>
      </c>
      <c r="X1125">
        <v>0.98553170000000001</v>
      </c>
      <c r="Y1125">
        <v>-0.12851080000000001</v>
      </c>
      <c r="Z1125">
        <v>2.1884360000000002E-3</v>
      </c>
      <c r="AA1125">
        <v>0.99170570000000002</v>
      </c>
      <c r="AB1125">
        <v>30</v>
      </c>
      <c r="AC1125">
        <v>47.083699999999901</v>
      </c>
      <c r="AD1125">
        <v>-1.071237629211</v>
      </c>
      <c r="AE1125">
        <v>6.36060000000003</v>
      </c>
      <c r="AF1125">
        <v>-6.1274527047190297</v>
      </c>
      <c r="AG1125">
        <v>-1.071237629211</v>
      </c>
      <c r="AH1125">
        <v>47.090264495164099</v>
      </c>
      <c r="AI1125">
        <v>91.292283506854702</v>
      </c>
      <c r="AJ1125">
        <v>97.413754001247497</v>
      </c>
      <c r="AK1125">
        <v>47.499328805061197</v>
      </c>
      <c r="AL1125">
        <v>80.2605396143517</v>
      </c>
      <c r="AM1125">
        <v>90.607795231198196</v>
      </c>
      <c r="AN1125">
        <v>0.99999995868326497</v>
      </c>
    </row>
    <row r="1126" spans="1:40" x14ac:dyDescent="0.25">
      <c r="A1126" t="str">
        <f>"20190303161900640"</f>
        <v>20190303161900640</v>
      </c>
      <c r="B1126" t="str">
        <f>"1551601140634205"</f>
        <v>1551601140634205</v>
      </c>
      <c r="C1126" t="s">
        <v>40</v>
      </c>
      <c r="D1126">
        <v>4.8035860000000001</v>
      </c>
      <c r="E1126">
        <v>0.49897239999999998</v>
      </c>
      <c r="F1126" t="s">
        <v>41</v>
      </c>
      <c r="G1126">
        <v>-242.01329999999999</v>
      </c>
      <c r="H1126" s="1">
        <v>-3.9775240000000003E-6</v>
      </c>
      <c r="I1126">
        <v>370.44940000000003</v>
      </c>
      <c r="J1126">
        <v>-285.56569999999999</v>
      </c>
      <c r="K1126">
        <v>1.0712390000000001</v>
      </c>
      <c r="L1126">
        <v>367.29379999999998</v>
      </c>
      <c r="M1126">
        <v>0.99991319999999995</v>
      </c>
      <c r="N1126">
        <v>-1.223902E-2</v>
      </c>
      <c r="O1126">
        <v>4.8833840000000002E-3</v>
      </c>
      <c r="P1126">
        <v>0.98748369999999996</v>
      </c>
      <c r="Q1126">
        <v>0.15698419999999999</v>
      </c>
      <c r="R1126">
        <v>1.5238460000000001E-2</v>
      </c>
      <c r="S1126">
        <v>3.0465089999999999</v>
      </c>
      <c r="T1126">
        <v>-7.4620130000000007E-2</v>
      </c>
      <c r="U1126">
        <v>0.2198792</v>
      </c>
      <c r="V1126">
        <v>-1.040955E-2</v>
      </c>
      <c r="W1126">
        <v>0.16905909999999999</v>
      </c>
      <c r="X1126">
        <v>0.98555090000000001</v>
      </c>
      <c r="Y1126">
        <v>-6.7085259999999994E-2</v>
      </c>
      <c r="Z1126">
        <v>1.1718189999999999E-3</v>
      </c>
      <c r="AA1126">
        <v>0.99774660000000004</v>
      </c>
      <c r="AB1126">
        <v>30</v>
      </c>
      <c r="AC1126">
        <v>43.552399999999999</v>
      </c>
      <c r="AD1126">
        <v>-1.071242977524</v>
      </c>
      <c r="AE1126">
        <v>3.1556000000000402</v>
      </c>
      <c r="AF1126">
        <v>-2.9410932940272301</v>
      </c>
      <c r="AG1126">
        <v>-1.071242977524</v>
      </c>
      <c r="AH1126">
        <v>43.541087200373198</v>
      </c>
      <c r="AI1126">
        <v>91.406162872378204</v>
      </c>
      <c r="AJ1126">
        <v>93.864318841937504</v>
      </c>
      <c r="AK1126">
        <v>43.653451935345998</v>
      </c>
      <c r="AL1126">
        <v>80.266881921412306</v>
      </c>
      <c r="AM1126">
        <v>90.605144903484501</v>
      </c>
      <c r="AN1126">
        <v>0.99999995725740998</v>
      </c>
    </row>
    <row r="1127" spans="1:40" x14ac:dyDescent="0.25">
      <c r="A1127" t="str">
        <f>"20190303161900652"</f>
        <v>20190303161900652</v>
      </c>
      <c r="B1127" t="str">
        <f>"1551601140643965"</f>
        <v>1551601140643965</v>
      </c>
      <c r="C1127" t="s">
        <v>40</v>
      </c>
      <c r="D1127">
        <v>4.8174739999999998</v>
      </c>
      <c r="E1127">
        <v>0.50673199999999996</v>
      </c>
      <c r="F1127" t="s">
        <v>41</v>
      </c>
      <c r="G1127">
        <v>-243.9479</v>
      </c>
      <c r="H1127" s="1">
        <v>-3.1108980000000001E-6</v>
      </c>
      <c r="I1127">
        <v>368.0967</v>
      </c>
      <c r="J1127">
        <v>-285.3956</v>
      </c>
      <c r="K1127">
        <v>1.0712379999999999</v>
      </c>
      <c r="L1127">
        <v>367.2946</v>
      </c>
      <c r="M1127">
        <v>0.9999131</v>
      </c>
      <c r="N1127">
        <v>-1.2248709999999999E-2</v>
      </c>
      <c r="O1127">
        <v>4.8835019999999996E-3</v>
      </c>
      <c r="P1127">
        <v>0.98746999999999996</v>
      </c>
      <c r="Q1127">
        <v>0.15707409999999999</v>
      </c>
      <c r="R1127">
        <v>1.519533E-2</v>
      </c>
      <c r="S1127">
        <v>3.0495909999999999</v>
      </c>
      <c r="T1127">
        <v>-7.8496579999999996E-2</v>
      </c>
      <c r="U1127">
        <v>5.8837889999999997E-2</v>
      </c>
      <c r="V1127">
        <v>-1.036566E-2</v>
      </c>
      <c r="W1127">
        <v>0.16915920000000001</v>
      </c>
      <c r="X1127">
        <v>0.98553429999999997</v>
      </c>
      <c r="Y1127">
        <v>-1.4400329999999999E-2</v>
      </c>
      <c r="Z1127">
        <v>2.0765209999999999E-4</v>
      </c>
      <c r="AA1127">
        <v>0.99989629999999996</v>
      </c>
      <c r="AB1127">
        <v>30</v>
      </c>
      <c r="AC1127">
        <v>41.447699999999998</v>
      </c>
      <c r="AD1127">
        <v>-1.071241110898</v>
      </c>
      <c r="AE1127">
        <v>0.80209999999999504</v>
      </c>
      <c r="AF1127">
        <v>-0.59926517478670005</v>
      </c>
      <c r="AG1127">
        <v>-1.071241110898</v>
      </c>
      <c r="AH1127">
        <v>41.423462707734402</v>
      </c>
      <c r="AI1127">
        <v>91.481225754898901</v>
      </c>
      <c r="AJ1127">
        <v>90.8288290753365</v>
      </c>
      <c r="AK1127">
        <v>41.441644983837897</v>
      </c>
      <c r="AL1127">
        <v>80.261063903249806</v>
      </c>
      <c r="AM1127">
        <v>90.602603756242999</v>
      </c>
      <c r="AN1127">
        <v>1.0000000691641799</v>
      </c>
    </row>
    <row r="1128" spans="1:40" x14ac:dyDescent="0.25">
      <c r="A1128" t="str">
        <f>"20190303161900666"</f>
        <v>20190303161900666</v>
      </c>
      <c r="B1128" t="str">
        <f>"1551601140653726"</f>
        <v>1551601140653726</v>
      </c>
      <c r="C1128" t="s">
        <v>40</v>
      </c>
      <c r="D1128">
        <v>4.8680209999999997</v>
      </c>
      <c r="E1128">
        <v>0.51078650000000003</v>
      </c>
      <c r="F1128" t="s">
        <v>41</v>
      </c>
      <c r="G1128">
        <v>-246.12020000000001</v>
      </c>
      <c r="H1128" s="1">
        <v>-2.2345279999999999E-6</v>
      </c>
      <c r="I1128">
        <v>367.24829999999997</v>
      </c>
      <c r="J1128">
        <v>-285.22059999999999</v>
      </c>
      <c r="K1128">
        <v>1.071231</v>
      </c>
      <c r="L1128">
        <v>367.29539999999997</v>
      </c>
      <c r="M1128">
        <v>0.99991300000000005</v>
      </c>
      <c r="N1128">
        <v>-1.225824E-2</v>
      </c>
      <c r="O1128">
        <v>4.883798E-3</v>
      </c>
      <c r="P1128">
        <v>0.98745640000000001</v>
      </c>
      <c r="Q1128">
        <v>0.1571707</v>
      </c>
      <c r="R1128">
        <v>1.5082770000000001E-2</v>
      </c>
      <c r="S1128">
        <v>3.051361</v>
      </c>
      <c r="T1128">
        <v>-8.32262E-2</v>
      </c>
      <c r="U1128">
        <v>-3.6010740000000001E-3</v>
      </c>
      <c r="V1128">
        <v>-1.0253160000000001E-2</v>
      </c>
      <c r="W1128">
        <v>0.16926449999999901</v>
      </c>
      <c r="X1128">
        <v>0.98551730000000004</v>
      </c>
      <c r="Y1128">
        <v>6.0604839999999997E-3</v>
      </c>
      <c r="Z1128">
        <v>-1.9310970000000001E-4</v>
      </c>
      <c r="AA1128">
        <v>0.99998160000000003</v>
      </c>
      <c r="AB1128">
        <v>30</v>
      </c>
      <c r="AC1128">
        <v>39.100399999999901</v>
      </c>
      <c r="AD1128">
        <v>-1.071233234528</v>
      </c>
      <c r="AE1128">
        <v>-4.7100000000000301E-2</v>
      </c>
      <c r="AF1128">
        <v>0.23789366894251199</v>
      </c>
      <c r="AG1128">
        <v>-1.071233234528</v>
      </c>
      <c r="AH1128">
        <v>39.070377593699199</v>
      </c>
      <c r="AI1128">
        <v>91.570515490040194</v>
      </c>
      <c r="AJ1128">
        <v>89.651138903619895</v>
      </c>
      <c r="AK1128">
        <v>39.085784364071699</v>
      </c>
      <c r="AL1128">
        <v>80.254941441875701</v>
      </c>
      <c r="AM1128">
        <v>90.596074366661099</v>
      </c>
      <c r="AN1128">
        <v>0.99999997342476199</v>
      </c>
    </row>
    <row r="1129" spans="1:40" x14ac:dyDescent="0.25">
      <c r="A1129" t="str">
        <f>"20190303161900677"</f>
        <v>20190303161900677</v>
      </c>
      <c r="B1129" t="str">
        <f>"1551601140663485"</f>
        <v>1551601140663485</v>
      </c>
      <c r="C1129" t="s">
        <v>40</v>
      </c>
      <c r="D1129">
        <v>4.8360079999999996</v>
      </c>
      <c r="E1129">
        <v>0.51389830000000003</v>
      </c>
      <c r="F1129" t="s">
        <v>41</v>
      </c>
      <c r="G1129">
        <v>-247.57579999999999</v>
      </c>
      <c r="H1129" s="1">
        <v>-1.6503610000000001E-6</v>
      </c>
      <c r="I1129">
        <v>366.85320000000002</v>
      </c>
      <c r="J1129">
        <v>-285.06049999999999</v>
      </c>
      <c r="K1129">
        <v>1.071232</v>
      </c>
      <c r="L1129">
        <v>367.2962</v>
      </c>
      <c r="M1129">
        <v>0.99991300000000005</v>
      </c>
      <c r="N1129">
        <v>-1.226612E-2</v>
      </c>
      <c r="O1129">
        <v>4.8833940000000001E-3</v>
      </c>
      <c r="P1129">
        <v>0.98747689999999999</v>
      </c>
      <c r="Q1129">
        <v>0.1570386</v>
      </c>
      <c r="R1129">
        <v>1.5120969999999999E-2</v>
      </c>
      <c r="S1129">
        <v>3.0524900000000001</v>
      </c>
      <c r="T1129">
        <v>-8.6862560000000005E-2</v>
      </c>
      <c r="U1129">
        <v>-3.5858149999999998E-2</v>
      </c>
      <c r="V1129">
        <v>-1.0291440000000001E-2</v>
      </c>
      <c r="W1129">
        <v>0.1691404</v>
      </c>
      <c r="X1129">
        <v>0.98553820000000003</v>
      </c>
      <c r="Y1129">
        <v>1.6619390000000001E-2</v>
      </c>
      <c r="Z1129">
        <v>-4.1740929999999998E-4</v>
      </c>
      <c r="AA1129">
        <v>0.99986180000000002</v>
      </c>
      <c r="AB1129">
        <v>30</v>
      </c>
      <c r="AC1129">
        <v>37.484699999999997</v>
      </c>
      <c r="AD1129">
        <v>-1.071233650361</v>
      </c>
      <c r="AE1129">
        <v>-0.44299999999998302</v>
      </c>
      <c r="AF1129">
        <v>0.62555020687251095</v>
      </c>
      <c r="AG1129">
        <v>-1.071233650361</v>
      </c>
      <c r="AH1129">
        <v>37.451507247215197</v>
      </c>
      <c r="AI1129">
        <v>91.638168616972195</v>
      </c>
      <c r="AJ1129">
        <v>89.043081125111698</v>
      </c>
      <c r="AK1129">
        <v>37.472046243609398</v>
      </c>
      <c r="AL1129">
        <v>80.262155799395401</v>
      </c>
      <c r="AM1129">
        <v>90.598286951756705</v>
      </c>
      <c r="AN1129">
        <v>0.99999996615433595</v>
      </c>
    </row>
    <row r="1130" spans="1:40" x14ac:dyDescent="0.25">
      <c r="A1130" t="str">
        <f>"20190303161900688"</f>
        <v>20190303161900688</v>
      </c>
      <c r="B1130" t="str">
        <f>"1551601140683980"</f>
        <v>1551601140683980</v>
      </c>
      <c r="C1130" t="s">
        <v>40</v>
      </c>
      <c r="D1130">
        <v>4.828341</v>
      </c>
      <c r="E1130">
        <v>0.5176058</v>
      </c>
      <c r="F1130" t="s">
        <v>41</v>
      </c>
      <c r="G1130">
        <v>-248.6551</v>
      </c>
      <c r="H1130" s="1">
        <v>-1.310761E-6</v>
      </c>
      <c r="I1130">
        <v>366.57170000000002</v>
      </c>
      <c r="J1130">
        <v>-284.91489999999999</v>
      </c>
      <c r="K1130">
        <v>1.071232</v>
      </c>
      <c r="L1130">
        <v>367.29700000000003</v>
      </c>
      <c r="M1130">
        <v>0.99991289999999999</v>
      </c>
      <c r="N1130">
        <v>-1.2273020000000001E-2</v>
      </c>
      <c r="O1130">
        <v>4.883353E-3</v>
      </c>
      <c r="P1130">
        <v>0.9874733</v>
      </c>
      <c r="Q1130">
        <v>0.1570551</v>
      </c>
      <c r="R1130">
        <v>1.518248E-2</v>
      </c>
      <c r="S1130">
        <v>3.0532530000000002</v>
      </c>
      <c r="T1130">
        <v>-8.9842439999999996E-2</v>
      </c>
      <c r="U1130">
        <v>-6.0760500000000002E-2</v>
      </c>
      <c r="V1130">
        <v>-1.035296E-2</v>
      </c>
      <c r="W1130">
        <v>0.16916389999999901</v>
      </c>
      <c r="X1130">
        <v>0.98553349999999995</v>
      </c>
      <c r="Y1130">
        <v>2.4762920000000001E-2</v>
      </c>
      <c r="Z1130">
        <v>-5.9996439999999995E-4</v>
      </c>
      <c r="AA1130">
        <v>0.99969319999999895</v>
      </c>
      <c r="AB1130">
        <v>30</v>
      </c>
      <c r="AC1130">
        <v>36.259799999999899</v>
      </c>
      <c r="AD1130">
        <v>-1.0712333107609999</v>
      </c>
      <c r="AE1130">
        <v>-0.72529999999994699</v>
      </c>
      <c r="AF1130">
        <v>0.90158747035714104</v>
      </c>
      <c r="AG1130">
        <v>-1.0712333107609999</v>
      </c>
      <c r="AH1130">
        <v>36.224221380148499</v>
      </c>
      <c r="AI1130">
        <v>91.6933498542639</v>
      </c>
      <c r="AJ1130">
        <v>88.574255227925406</v>
      </c>
      <c r="AK1130">
        <v>36.251270534573003</v>
      </c>
      <c r="AL1130">
        <v>80.260789446852598</v>
      </c>
      <c r="AM1130">
        <v>90.601865989375398</v>
      </c>
      <c r="AN1130">
        <v>0.99999994423310901</v>
      </c>
    </row>
    <row r="1131" spans="1:40" x14ac:dyDescent="0.25">
      <c r="A1131" t="str">
        <f>"20190303161900699"</f>
        <v>20190303161900699</v>
      </c>
      <c r="B1131" t="str">
        <f>"1551601140693742"</f>
        <v>1551601140693742</v>
      </c>
      <c r="C1131" t="s">
        <v>40</v>
      </c>
      <c r="D1131">
        <v>4.7927059999999999</v>
      </c>
      <c r="E1131">
        <v>0.51890809999999998</v>
      </c>
      <c r="F1131" t="s">
        <v>41</v>
      </c>
      <c r="G1131">
        <v>-249.6711</v>
      </c>
      <c r="H1131" s="1">
        <v>-1.004145E-6</v>
      </c>
      <c r="I1131">
        <v>366.25779999999997</v>
      </c>
      <c r="J1131">
        <v>-284.762</v>
      </c>
      <c r="K1131">
        <v>1.0712280000000001</v>
      </c>
      <c r="L1131">
        <v>367.29770000000002</v>
      </c>
      <c r="M1131">
        <v>0.99991269999999999</v>
      </c>
      <c r="N1131">
        <v>-1.2279699999999999E-2</v>
      </c>
      <c r="O1131">
        <v>4.8834909999999898E-3</v>
      </c>
      <c r="P1131">
        <v>0.98746909999999999</v>
      </c>
      <c r="Q1131">
        <v>0.15706879999999901</v>
      </c>
      <c r="R1131">
        <v>1.5303590000000001E-2</v>
      </c>
      <c r="S1131">
        <v>3.0541689999999999</v>
      </c>
      <c r="T1131">
        <v>-9.2831369999999996E-2</v>
      </c>
      <c r="U1131">
        <v>-9.0057369999999998E-2</v>
      </c>
      <c r="V1131">
        <v>-1.047417E-2</v>
      </c>
      <c r="W1131">
        <v>0.1691841</v>
      </c>
      <c r="X1131">
        <v>0.98552879999999998</v>
      </c>
      <c r="Y1131">
        <v>3.4332229999999998E-2</v>
      </c>
      <c r="Z1131">
        <v>-8.2086819999999995E-4</v>
      </c>
      <c r="AA1131">
        <v>0.99941020000000003</v>
      </c>
      <c r="AB1131">
        <v>30</v>
      </c>
      <c r="AC1131">
        <v>35.090899999999998</v>
      </c>
      <c r="AD1131">
        <v>-1.0712290041449899</v>
      </c>
      <c r="AE1131">
        <v>-1.03990000000004</v>
      </c>
      <c r="AF1131">
        <v>1.2101398538033099</v>
      </c>
      <c r="AG1131">
        <v>-1.0712290041449899</v>
      </c>
      <c r="AH1131">
        <v>35.052765291865398</v>
      </c>
      <c r="AI1131">
        <v>91.749399621305002</v>
      </c>
      <c r="AJ1131">
        <v>88.022741457509596</v>
      </c>
      <c r="AK1131">
        <v>35.090003201078403</v>
      </c>
      <c r="AL1131">
        <v>80.259615613536894</v>
      </c>
      <c r="AM1131">
        <v>90.608914869816701</v>
      </c>
      <c r="AN1131">
        <v>0.99999999177971899</v>
      </c>
    </row>
    <row r="1132" spans="1:40" x14ac:dyDescent="0.25">
      <c r="A1132" t="str">
        <f>"20190303161900711"</f>
        <v>20190303161900711</v>
      </c>
      <c r="B1132" t="str">
        <f>"1551601140703500"</f>
        <v>1551601140703500</v>
      </c>
      <c r="C1132" t="s">
        <v>40</v>
      </c>
      <c r="D1132">
        <v>4.7815190000000003</v>
      </c>
      <c r="E1132">
        <v>0.51986529999999997</v>
      </c>
      <c r="F1132" t="s">
        <v>41</v>
      </c>
      <c r="G1132">
        <v>-249.57900000000001</v>
      </c>
      <c r="H1132" s="1">
        <v>-1.070249E-6</v>
      </c>
      <c r="I1132">
        <v>366.1422</v>
      </c>
      <c r="J1132">
        <v>-284.62540000000001</v>
      </c>
      <c r="K1132">
        <v>1.0712269999999999</v>
      </c>
      <c r="L1132">
        <v>367.29840000000002</v>
      </c>
      <c r="M1132">
        <v>0.99991269999999999</v>
      </c>
      <c r="N1132">
        <v>-1.2285300000000001E-2</v>
      </c>
      <c r="O1132">
        <v>4.8834560000000004E-3</v>
      </c>
      <c r="P1132">
        <v>0.98750930000000003</v>
      </c>
      <c r="Q1132">
        <v>0.1568282</v>
      </c>
      <c r="R1132">
        <v>1.518683E-2</v>
      </c>
      <c r="S1132">
        <v>3.054443</v>
      </c>
      <c r="T1132">
        <v>-9.2999700000000005E-2</v>
      </c>
      <c r="U1132">
        <v>-0.10031130000000001</v>
      </c>
      <c r="V1132">
        <v>-1.0357109999999999E-2</v>
      </c>
      <c r="W1132">
        <v>0.16894960000000001</v>
      </c>
      <c r="X1132">
        <v>0.98557030000000001</v>
      </c>
      <c r="Y1132">
        <v>3.7678910000000003E-2</v>
      </c>
      <c r="Z1132">
        <v>-8.9356369999999904E-4</v>
      </c>
      <c r="AA1132">
        <v>0.99928950000000005</v>
      </c>
      <c r="AB1132">
        <v>30</v>
      </c>
      <c r="AC1132">
        <v>35.046399999999998</v>
      </c>
      <c r="AD1132">
        <v>-1.071228070249</v>
      </c>
      <c r="AE1132">
        <v>-1.1562000000000101</v>
      </c>
      <c r="AF1132">
        <v>1.3261090545891401</v>
      </c>
      <c r="AG1132">
        <v>-1.071228070249</v>
      </c>
      <c r="AH1132">
        <v>35.007663959056103</v>
      </c>
      <c r="AI1132">
        <v>91.751438027986396</v>
      </c>
      <c r="AJ1132">
        <v>87.830642426971096</v>
      </c>
      <c r="AK1132">
        <v>35.049145933579403</v>
      </c>
      <c r="AL1132">
        <v>80.273248056223494</v>
      </c>
      <c r="AM1132">
        <v>90.602084750229395</v>
      </c>
      <c r="AN1132">
        <v>1.0000000266549001</v>
      </c>
    </row>
    <row r="1133" spans="1:40" x14ac:dyDescent="0.25">
      <c r="A1133" t="str">
        <f>"20190303161900722"</f>
        <v>20190303161900722</v>
      </c>
      <c r="B1133" t="str">
        <f>"1551601140714237"</f>
        <v>1551601140714237</v>
      </c>
      <c r="C1133" t="s">
        <v>40</v>
      </c>
      <c r="D1133">
        <v>4.8314170000000001</v>
      </c>
      <c r="E1133">
        <v>0.52091529999999997</v>
      </c>
      <c r="F1133" t="s">
        <v>41</v>
      </c>
      <c r="G1133">
        <v>-250.53819999999999</v>
      </c>
      <c r="H1133" s="1">
        <v>-4.6666959999999996E-6</v>
      </c>
      <c r="I1133">
        <v>366.09120000000001</v>
      </c>
      <c r="J1133">
        <v>-284.46969999999999</v>
      </c>
      <c r="K1133">
        <v>1.0712269999999999</v>
      </c>
      <c r="L1133">
        <v>367.29910000000001</v>
      </c>
      <c r="M1133">
        <v>0.99991260000000004</v>
      </c>
      <c r="N1133">
        <v>-1.229133E-2</v>
      </c>
      <c r="O1133">
        <v>4.8834179999999996E-3</v>
      </c>
      <c r="P1133">
        <v>0.98754330000000001</v>
      </c>
      <c r="Q1133">
        <v>0.15661949999999999</v>
      </c>
      <c r="R1133">
        <v>1.511903E-2</v>
      </c>
      <c r="S1133">
        <v>3.0548709999999999</v>
      </c>
      <c r="T1133">
        <v>-9.6002939999999995E-2</v>
      </c>
      <c r="U1133">
        <v>-0.1081848</v>
      </c>
      <c r="V1133">
        <v>-1.0289329999999999E-2</v>
      </c>
      <c r="W1133">
        <v>0.16874700000000001</v>
      </c>
      <c r="X1133">
        <v>0.98560570000000003</v>
      </c>
      <c r="Y1133">
        <v>4.024349E-2</v>
      </c>
      <c r="Z1133">
        <v>-9.7287770000000005E-4</v>
      </c>
      <c r="AA1133">
        <v>0.99918940000000001</v>
      </c>
      <c r="AB1133">
        <v>30</v>
      </c>
      <c r="AC1133">
        <v>33.9315</v>
      </c>
      <c r="AD1133">
        <v>-1.071231666696</v>
      </c>
      <c r="AE1133">
        <v>-1.20789999999999</v>
      </c>
      <c r="AF1133">
        <v>1.37223383744929</v>
      </c>
      <c r="AG1133">
        <v>-1.071231666696</v>
      </c>
      <c r="AH1133">
        <v>33.891459642866401</v>
      </c>
      <c r="AI1133">
        <v>91.808904925181494</v>
      </c>
      <c r="AJ1133">
        <v>87.6814133595676</v>
      </c>
      <c r="AK1133">
        <v>33.936140023762498</v>
      </c>
      <c r="AL1133">
        <v>80.285025095566596</v>
      </c>
      <c r="AM1133">
        <v>90.598123334245301</v>
      </c>
      <c r="AN1133">
        <v>1.00000000809666</v>
      </c>
    </row>
    <row r="1134" spans="1:40" x14ac:dyDescent="0.25">
      <c r="A1134" t="str">
        <f>"20190303161900733"</f>
        <v>20190303161900733</v>
      </c>
      <c r="B1134" t="str">
        <f>"1551601140723997"</f>
        <v>1551601140723997</v>
      </c>
      <c r="C1134" t="s">
        <v>40</v>
      </c>
      <c r="D1134">
        <v>4.7886800000000003</v>
      </c>
      <c r="E1134">
        <v>0.52165629999999996</v>
      </c>
      <c r="F1134" t="s">
        <v>41</v>
      </c>
      <c r="G1134">
        <v>-251.2664</v>
      </c>
      <c r="H1134" s="1">
        <v>-4.3647589999999996E-6</v>
      </c>
      <c r="I1134">
        <v>366.03219999999999</v>
      </c>
      <c r="J1134">
        <v>-284.31909999999999</v>
      </c>
      <c r="K1134">
        <v>1.071232</v>
      </c>
      <c r="L1134">
        <v>367.2998</v>
      </c>
      <c r="M1134">
        <v>0.99991240000000003</v>
      </c>
      <c r="N1134">
        <v>-1.2296629999999999E-2</v>
      </c>
      <c r="O1134">
        <v>4.8835650000000003E-3</v>
      </c>
      <c r="P1134">
        <v>0.98757379999999995</v>
      </c>
      <c r="Q1134">
        <v>0.1564285</v>
      </c>
      <c r="R1134">
        <v>1.51031E-2</v>
      </c>
      <c r="S1134">
        <v>3.055237</v>
      </c>
      <c r="T1134">
        <v>-9.8570469999999993E-2</v>
      </c>
      <c r="U1134">
        <v>-0.1165771</v>
      </c>
      <c r="V1134">
        <v>-1.027321E-2</v>
      </c>
      <c r="W1134">
        <v>0.1685614</v>
      </c>
      <c r="X1134">
        <v>0.9856376</v>
      </c>
      <c r="Y1134">
        <v>4.297687E-2</v>
      </c>
      <c r="Z1134">
        <v>-1.0547219999999999E-3</v>
      </c>
      <c r="AA1134">
        <v>0.99907550000000001</v>
      </c>
      <c r="AB1134">
        <v>30</v>
      </c>
      <c r="AC1134">
        <v>33.052699999999902</v>
      </c>
      <c r="AD1134">
        <v>-1.071236364759</v>
      </c>
      <c r="AE1134">
        <v>-1.2676000000000101</v>
      </c>
      <c r="AF1134">
        <v>1.4275148403922</v>
      </c>
      <c r="AG1134">
        <v>-1.071236364759</v>
      </c>
      <c r="AH1134">
        <v>33.011490416916601</v>
      </c>
      <c r="AI1134">
        <v>91.856885149452907</v>
      </c>
      <c r="AJ1134">
        <v>87.523903038268898</v>
      </c>
      <c r="AK1134">
        <v>33.059701231482698</v>
      </c>
      <c r="AL1134">
        <v>80.295813475561204</v>
      </c>
      <c r="AM1134">
        <v>90.597167012946898</v>
      </c>
      <c r="AN1134">
        <v>0.99999998147371105</v>
      </c>
    </row>
    <row r="1135" spans="1:40" x14ac:dyDescent="0.25">
      <c r="A1135" t="str">
        <f>"20190303161900746"</f>
        <v>20190303161900746</v>
      </c>
      <c r="B1135" t="str">
        <f>"1551601140733758"</f>
        <v>1551601140733758</v>
      </c>
      <c r="C1135" t="s">
        <v>40</v>
      </c>
      <c r="D1135">
        <v>4.8201000000000001</v>
      </c>
      <c r="E1135">
        <v>0.52234380000000002</v>
      </c>
      <c r="F1135" t="s">
        <v>41</v>
      </c>
      <c r="G1135">
        <v>-250.89179999999999</v>
      </c>
      <c r="H1135" s="1">
        <v>-4.5386409999999997E-6</v>
      </c>
      <c r="I1135">
        <v>365.9579</v>
      </c>
      <c r="J1135">
        <v>-284.15710000000001</v>
      </c>
      <c r="K1135">
        <v>1.071231</v>
      </c>
      <c r="L1135">
        <v>367.30059999999997</v>
      </c>
      <c r="M1135">
        <v>0.99991240000000003</v>
      </c>
      <c r="N1135">
        <v>-1.230213E-2</v>
      </c>
      <c r="O1135">
        <v>4.8835299999999996E-3</v>
      </c>
      <c r="P1135">
        <v>0.98759969999999997</v>
      </c>
      <c r="Q1135">
        <v>0.1562606</v>
      </c>
      <c r="R1135">
        <v>1.5143800000000001E-2</v>
      </c>
      <c r="S1135">
        <v>3.0551759999999999</v>
      </c>
      <c r="T1135">
        <v>-9.7908380000000003E-2</v>
      </c>
      <c r="U1135">
        <v>-0.1226501</v>
      </c>
      <c r="V1135">
        <v>-1.031345E-2</v>
      </c>
      <c r="W1135">
        <v>0.16839970000000001</v>
      </c>
      <c r="X1135">
        <v>0.98566480000000001</v>
      </c>
      <c r="Y1135">
        <v>4.4959359999999997E-2</v>
      </c>
      <c r="Z1135">
        <v>-1.0930499999999999E-3</v>
      </c>
      <c r="AA1135">
        <v>0.99898819999999999</v>
      </c>
      <c r="AB1135">
        <v>30</v>
      </c>
      <c r="AC1135">
        <v>33.265300000000003</v>
      </c>
      <c r="AD1135">
        <v>-1.071235538641</v>
      </c>
      <c r="AE1135">
        <v>-1.34269999999997</v>
      </c>
      <c r="AF1135">
        <v>1.5035916533496301</v>
      </c>
      <c r="AG1135">
        <v>-1.071235538641</v>
      </c>
      <c r="AH1135">
        <v>33.223947804605501</v>
      </c>
      <c r="AI1135">
        <v>91.844853799938406</v>
      </c>
      <c r="AJ1135">
        <v>87.408775337162993</v>
      </c>
      <c r="AK1135">
        <v>33.2752015946173</v>
      </c>
      <c r="AL1135">
        <v>80.305212373677804</v>
      </c>
      <c r="AM1135">
        <v>90.599489393728305</v>
      </c>
      <c r="AN1135">
        <v>0.99999996208501496</v>
      </c>
    </row>
    <row r="1136" spans="1:40" x14ac:dyDescent="0.25">
      <c r="A1136" t="str">
        <f>"20190303161900758"</f>
        <v>20190303161900758</v>
      </c>
      <c r="B1136" t="str">
        <f>"1551601140743517"</f>
        <v>1551601140743517</v>
      </c>
      <c r="C1136" t="s">
        <v>40</v>
      </c>
      <c r="D1136">
        <v>4.831671</v>
      </c>
      <c r="E1136">
        <v>0.52290349999999997</v>
      </c>
      <c r="F1136" t="s">
        <v>41</v>
      </c>
      <c r="G1136">
        <v>-251.12280000000001</v>
      </c>
      <c r="H1136" s="1">
        <v>-4.447216E-6</v>
      </c>
      <c r="I1136">
        <v>365.91480000000001</v>
      </c>
      <c r="J1136">
        <v>-283.9941</v>
      </c>
      <c r="K1136">
        <v>1.0712299999999999</v>
      </c>
      <c r="L1136">
        <v>367.3014</v>
      </c>
      <c r="M1136">
        <v>0.99991249999999998</v>
      </c>
      <c r="N1136">
        <v>-1.230701E-2</v>
      </c>
      <c r="O1136">
        <v>4.8834999999999998E-3</v>
      </c>
      <c r="P1136">
        <v>0.98760570000000003</v>
      </c>
      <c r="Q1136">
        <v>0.15623210000000001</v>
      </c>
      <c r="R1136">
        <v>1.506061E-2</v>
      </c>
      <c r="S1136">
        <v>3.0553279999999998</v>
      </c>
      <c r="T1136">
        <v>-9.9077819999999997E-2</v>
      </c>
      <c r="U1136">
        <v>-0.1281738</v>
      </c>
      <c r="V1136">
        <v>-1.023077E-2</v>
      </c>
      <c r="W1136">
        <v>0.16837569999999999</v>
      </c>
      <c r="X1136">
        <v>0.98566980000000004</v>
      </c>
      <c r="Y1136">
        <v>4.6758279999999999E-2</v>
      </c>
      <c r="Z1136">
        <v>-1.1437610000000001E-3</v>
      </c>
      <c r="AA1136">
        <v>0.99890559999999995</v>
      </c>
      <c r="AB1136">
        <v>30</v>
      </c>
      <c r="AC1136">
        <v>32.871299999999898</v>
      </c>
      <c r="AD1136">
        <v>-1.07123444721599</v>
      </c>
      <c r="AE1136">
        <v>-1.3865999999999801</v>
      </c>
      <c r="AF1136">
        <v>1.54548415989969</v>
      </c>
      <c r="AG1136">
        <v>-1.07123444721599</v>
      </c>
      <c r="AH1136">
        <v>32.829332311166901</v>
      </c>
      <c r="AI1136">
        <v>91.866855404159907</v>
      </c>
      <c r="AJ1136">
        <v>87.304715440600205</v>
      </c>
      <c r="AK1136">
        <v>32.883143470879297</v>
      </c>
      <c r="AL1136">
        <v>80.306607761422896</v>
      </c>
      <c r="AM1136">
        <v>90.594680787602499</v>
      </c>
      <c r="AN1136">
        <v>0.99999999981866095</v>
      </c>
    </row>
    <row r="1137" spans="1:40" x14ac:dyDescent="0.25">
      <c r="A1137" t="str">
        <f>"20190303161900770"</f>
        <v>20190303161900770</v>
      </c>
      <c r="B1137" t="str">
        <f>"1551601140764013"</f>
        <v>1551601140764013</v>
      </c>
      <c r="C1137" t="s">
        <v>40</v>
      </c>
      <c r="D1137">
        <v>4.8465020000000001</v>
      </c>
      <c r="E1137">
        <v>0.52377379999999996</v>
      </c>
      <c r="F1137" t="s">
        <v>41</v>
      </c>
      <c r="G1137">
        <v>-251.54429999999999</v>
      </c>
      <c r="H1137" s="1">
        <v>-4.270797E-6</v>
      </c>
      <c r="I1137">
        <v>365.89</v>
      </c>
      <c r="J1137">
        <v>-283.82839999999999</v>
      </c>
      <c r="K1137">
        <v>1.071234</v>
      </c>
      <c r="L1137">
        <v>367.30220000000003</v>
      </c>
      <c r="M1137">
        <v>0.99991240000000003</v>
      </c>
      <c r="N1137">
        <v>-1.231168E-2</v>
      </c>
      <c r="O1137">
        <v>4.8835900000000002E-3</v>
      </c>
      <c r="P1137">
        <v>0.98762749999999999</v>
      </c>
      <c r="Q1137">
        <v>0.1561092</v>
      </c>
      <c r="R1137">
        <v>1.489653E-2</v>
      </c>
      <c r="S1137">
        <v>3.0556030000000001</v>
      </c>
      <c r="T1137">
        <v>-0.10087119999999999</v>
      </c>
      <c r="U1137">
        <v>-0.1329041</v>
      </c>
      <c r="V1137">
        <v>-1.006601E-2</v>
      </c>
      <c r="W1137">
        <v>0.1682582</v>
      </c>
      <c r="X1137">
        <v>0.98569150000000005</v>
      </c>
      <c r="Y1137">
        <v>4.829584E-2</v>
      </c>
      <c r="Z1137">
        <v>-1.1951520000000001E-3</v>
      </c>
      <c r="AA1137">
        <v>0.99883230000000001</v>
      </c>
      <c r="AB1137">
        <v>30</v>
      </c>
      <c r="AC1137">
        <v>32.284099999999903</v>
      </c>
      <c r="AD1137">
        <v>-1.0712382707969901</v>
      </c>
      <c r="AE1137">
        <v>-1.4122000000000401</v>
      </c>
      <c r="AF1137">
        <v>1.5681341489869201</v>
      </c>
      <c r="AG1137">
        <v>-1.0712382707969901</v>
      </c>
      <c r="AH1137">
        <v>32.241387248817702</v>
      </c>
      <c r="AI1137">
        <v>91.900739324405393</v>
      </c>
      <c r="AJ1137">
        <v>87.215482051131303</v>
      </c>
      <c r="AK1137">
        <v>32.297269975498999</v>
      </c>
      <c r="AL1137">
        <v>80.3134368682652</v>
      </c>
      <c r="AM1137">
        <v>90.585091625372002</v>
      </c>
      <c r="AN1137">
        <v>0.99999993979840296</v>
      </c>
    </row>
    <row r="1138" spans="1:40" x14ac:dyDescent="0.25">
      <c r="A1138" t="str">
        <f>"20190303161900783"</f>
        <v>20190303161900783</v>
      </c>
      <c r="B1138" t="str">
        <f>"1551601140773773"</f>
        <v>1551601140773773</v>
      </c>
      <c r="C1138" t="s">
        <v>40</v>
      </c>
      <c r="D1138">
        <v>4.8484210000000001</v>
      </c>
      <c r="E1138">
        <v>0.52410349999999895</v>
      </c>
      <c r="F1138" t="s">
        <v>41</v>
      </c>
      <c r="G1138">
        <v>-251.86279999999999</v>
      </c>
      <c r="H1138" s="1">
        <v>-4.1436749999999998E-6</v>
      </c>
      <c r="I1138">
        <v>365.83629999999999</v>
      </c>
      <c r="J1138">
        <v>-283.6576</v>
      </c>
      <c r="K1138">
        <v>1.071234</v>
      </c>
      <c r="L1138">
        <v>367.303</v>
      </c>
      <c r="M1138">
        <v>0.99991229999999998</v>
      </c>
      <c r="N1138">
        <v>-1.231612E-2</v>
      </c>
      <c r="O1138">
        <v>4.8837409999999996E-3</v>
      </c>
      <c r="P1138">
        <v>0.98765970000000003</v>
      </c>
      <c r="Q1138">
        <v>0.15590580000000001</v>
      </c>
      <c r="R1138">
        <v>1.4900719999999999E-2</v>
      </c>
      <c r="S1138">
        <v>3.0558779999999999</v>
      </c>
      <c r="T1138">
        <v>-0.10240879999999999</v>
      </c>
      <c r="U1138">
        <v>-0.1401367</v>
      </c>
      <c r="V1138">
        <v>-1.007011E-2</v>
      </c>
      <c r="W1138">
        <v>0.16805889999999901</v>
      </c>
      <c r="X1138">
        <v>0.98572550000000003</v>
      </c>
      <c r="Y1138">
        <v>5.0648470000000001E-2</v>
      </c>
      <c r="Z1138">
        <v>-1.2636049999999999E-3</v>
      </c>
      <c r="AA1138">
        <v>0.99871580000000004</v>
      </c>
      <c r="AB1138">
        <v>30</v>
      </c>
      <c r="AC1138">
        <v>31.794799999999999</v>
      </c>
      <c r="AD1138">
        <v>-1.071238143675</v>
      </c>
      <c r="AE1138">
        <v>-1.4667000000000501</v>
      </c>
      <c r="AF1138">
        <v>1.6201366206113701</v>
      </c>
      <c r="AG1138">
        <v>-1.071238143675</v>
      </c>
      <c r="AH1138">
        <v>31.7512907571823</v>
      </c>
      <c r="AI1138">
        <v>91.929826934226497</v>
      </c>
      <c r="AJ1138">
        <v>87.078967456298201</v>
      </c>
      <c r="AK1138">
        <v>31.810640650213902</v>
      </c>
      <c r="AL1138">
        <v>80.325021278636598</v>
      </c>
      <c r="AM1138">
        <v>90.585309735240699</v>
      </c>
      <c r="AN1138">
        <v>0.99999998116743505</v>
      </c>
    </row>
    <row r="1139" spans="1:40" x14ac:dyDescent="0.25">
      <c r="A1139" t="str">
        <f>"20190303161900798"</f>
        <v>20190303161900798</v>
      </c>
      <c r="B1139" t="str">
        <f>"1551601140783533"</f>
        <v>1551601140783533</v>
      </c>
      <c r="C1139" t="s">
        <v>40</v>
      </c>
      <c r="D1139">
        <v>4.9004580000000004</v>
      </c>
      <c r="E1139">
        <v>0.52437749999999905</v>
      </c>
      <c r="F1139" t="s">
        <v>41</v>
      </c>
      <c r="G1139">
        <v>-251.84829999999999</v>
      </c>
      <c r="H1139" s="1">
        <v>-4.1534349999999998E-6</v>
      </c>
      <c r="I1139">
        <v>365.81630000000001</v>
      </c>
      <c r="J1139">
        <v>-283.46429999999998</v>
      </c>
      <c r="K1139">
        <v>1.071234</v>
      </c>
      <c r="L1139">
        <v>367.30399999999997</v>
      </c>
      <c r="M1139">
        <v>0.99991220000000003</v>
      </c>
      <c r="N1139">
        <v>-1.232054E-2</v>
      </c>
      <c r="O1139">
        <v>4.8837139999999999E-3</v>
      </c>
      <c r="P1139">
        <v>0.98772360000000003</v>
      </c>
      <c r="Q1139">
        <v>0.15550729999999999</v>
      </c>
      <c r="R1139">
        <v>1.4830380000000001E-2</v>
      </c>
      <c r="S1139">
        <v>3.0559080000000001</v>
      </c>
      <c r="T1139">
        <v>-0.1029133</v>
      </c>
      <c r="U1139">
        <v>-0.14282230000000001</v>
      </c>
      <c r="V1139">
        <v>-9.9998180000000006E-3</v>
      </c>
      <c r="W1139">
        <v>0.16766600000000001</v>
      </c>
      <c r="X1139">
        <v>0.98579320000000004</v>
      </c>
      <c r="Y1139">
        <v>5.1522739999999997E-2</v>
      </c>
      <c r="Z1139">
        <v>-1.2887529999999999E-3</v>
      </c>
      <c r="AA1139">
        <v>0.99867099999999998</v>
      </c>
      <c r="AB1139">
        <v>30</v>
      </c>
      <c r="AC1139">
        <v>31.6159999999999</v>
      </c>
      <c r="AD1139">
        <v>-1.071238153435</v>
      </c>
      <c r="AE1139">
        <v>-1.48770000000001</v>
      </c>
      <c r="AF1139">
        <v>1.6402185922335699</v>
      </c>
      <c r="AG1139">
        <v>-1.071238153435</v>
      </c>
      <c r="AH1139">
        <v>31.572190697912401</v>
      </c>
      <c r="AI1139">
        <v>91.9406737955468</v>
      </c>
      <c r="AJ1139">
        <v>87.026079261682696</v>
      </c>
      <c r="AK1139">
        <v>31.632911558644601</v>
      </c>
      <c r="AL1139">
        <v>80.347857571521004</v>
      </c>
      <c r="AM1139">
        <v>90.581184488333903</v>
      </c>
      <c r="AN1139">
        <v>1.0000000585411299</v>
      </c>
    </row>
    <row r="1140" spans="1:40" x14ac:dyDescent="0.25">
      <c r="A1140" t="str">
        <f>"20190303161900812"</f>
        <v>20190303161900812</v>
      </c>
      <c r="B1140" t="str">
        <f>"1551601140804029"</f>
        <v>1551601140804029</v>
      </c>
      <c r="C1140" t="s">
        <v>40</v>
      </c>
      <c r="D1140">
        <v>4.8795739999999999</v>
      </c>
      <c r="E1140">
        <v>0.52486560000000004</v>
      </c>
      <c r="F1140" t="s">
        <v>41</v>
      </c>
      <c r="G1140">
        <v>-252.45089999999999</v>
      </c>
      <c r="H1140" s="1">
        <v>-3.8926200000000003E-6</v>
      </c>
      <c r="I1140">
        <v>365.82920000000001</v>
      </c>
      <c r="J1140">
        <v>-283.27440000000001</v>
      </c>
      <c r="K1140">
        <v>1.071232</v>
      </c>
      <c r="L1140">
        <v>367.30489999999998</v>
      </c>
      <c r="M1140">
        <v>0.99991209999999997</v>
      </c>
      <c r="N1140">
        <v>-1.232451E-2</v>
      </c>
      <c r="O1140">
        <v>4.8836890000000001E-3</v>
      </c>
      <c r="P1140">
        <v>0.98776629999999999</v>
      </c>
      <c r="Q1140">
        <v>0.15525539999999999</v>
      </c>
      <c r="R1140">
        <v>1.461905E-2</v>
      </c>
      <c r="S1140">
        <v>3.0560909999999999</v>
      </c>
      <c r="T1140">
        <v>-0.1055608</v>
      </c>
      <c r="U1140">
        <v>-0.1453247</v>
      </c>
      <c r="V1140">
        <v>-9.7882360000000005E-3</v>
      </c>
      <c r="W1140">
        <v>0.1674187</v>
      </c>
      <c r="X1140">
        <v>0.98583730000000003</v>
      </c>
      <c r="Y1140">
        <v>5.2333299999999999E-2</v>
      </c>
      <c r="Z1140">
        <v>-1.3342639999999999E-3</v>
      </c>
      <c r="AA1140">
        <v>0.99862879999999998</v>
      </c>
      <c r="AB1140">
        <v>30</v>
      </c>
      <c r="AC1140">
        <v>30.823499999999999</v>
      </c>
      <c r="AD1140">
        <v>-1.0712358926200001</v>
      </c>
      <c r="AE1140">
        <v>-1.47569999999996</v>
      </c>
      <c r="AF1140">
        <v>1.62426886791325</v>
      </c>
      <c r="AG1140">
        <v>-1.0712358926200001</v>
      </c>
      <c r="AH1140">
        <v>30.7788343293285</v>
      </c>
      <c r="AI1140">
        <v>91.990567475273494</v>
      </c>
      <c r="AJ1140">
        <v>86.979173982280201</v>
      </c>
      <c r="AK1140">
        <v>30.840272994335798</v>
      </c>
      <c r="AL1140">
        <v>80.362229465014394</v>
      </c>
      <c r="AM1140">
        <v>90.568862817085204</v>
      </c>
      <c r="AN1140">
        <v>1.0000000063724801</v>
      </c>
    </row>
    <row r="1141" spans="1:40" x14ac:dyDescent="0.25">
      <c r="A1141" t="str">
        <f>"20190303161900826"</f>
        <v>20190303161900826</v>
      </c>
      <c r="B1141" t="str">
        <f>"1551601140813789"</f>
        <v>1551601140813789</v>
      </c>
      <c r="C1141" t="s">
        <v>40</v>
      </c>
      <c r="D1141">
        <v>4.9235730000000002</v>
      </c>
      <c r="E1141">
        <v>0.525115</v>
      </c>
      <c r="F1141" t="s">
        <v>41</v>
      </c>
      <c r="G1141">
        <v>-252.48949999999999</v>
      </c>
      <c r="H1141" s="1">
        <v>-3.881698E-6</v>
      </c>
      <c r="I1141">
        <v>365.79759999999999</v>
      </c>
      <c r="J1141">
        <v>-283.0883</v>
      </c>
      <c r="K1141">
        <v>1.071231</v>
      </c>
      <c r="L1141">
        <v>367.30579999999998</v>
      </c>
      <c r="M1141">
        <v>0.99991209999999997</v>
      </c>
      <c r="N1141">
        <v>-1.232807E-2</v>
      </c>
      <c r="O1141">
        <v>4.8836670000000004E-3</v>
      </c>
      <c r="P1141">
        <v>0.98781629999999998</v>
      </c>
      <c r="Q1141">
        <v>0.1549529</v>
      </c>
      <c r="R1141">
        <v>1.443758E-2</v>
      </c>
      <c r="S1141">
        <v>3.0560610000000001</v>
      </c>
      <c r="T1141">
        <v>-0.1063426</v>
      </c>
      <c r="U1141">
        <v>-0.1496277</v>
      </c>
      <c r="V1141">
        <v>-9.6063369999999995E-3</v>
      </c>
      <c r="W1141">
        <v>0.1671202</v>
      </c>
      <c r="X1141">
        <v>0.98588969999999998</v>
      </c>
      <c r="Y1141">
        <v>5.3734799999999999E-2</v>
      </c>
      <c r="Z1141">
        <v>-1.375271E-3</v>
      </c>
      <c r="AA1141">
        <v>0.99855430000000001</v>
      </c>
      <c r="AB1141">
        <v>30</v>
      </c>
      <c r="AC1141">
        <v>30.598800000000001</v>
      </c>
      <c r="AD1141">
        <v>-1.071234881698</v>
      </c>
      <c r="AE1141">
        <v>-1.50819999999998</v>
      </c>
      <c r="AF1141">
        <v>1.6556034702425899</v>
      </c>
      <c r="AG1141">
        <v>-1.071234881698</v>
      </c>
      <c r="AH1141">
        <v>30.553712046396001</v>
      </c>
      <c r="AI1141">
        <v>92.005069206558403</v>
      </c>
      <c r="AJ1141">
        <v>86.898366623575996</v>
      </c>
      <c r="AK1141">
        <v>30.617280853082502</v>
      </c>
      <c r="AL1141">
        <v>80.379576319808507</v>
      </c>
      <c r="AM1141">
        <v>90.558262398800693</v>
      </c>
      <c r="AN1141">
        <v>0.99999997176234301</v>
      </c>
    </row>
    <row r="1142" spans="1:40" x14ac:dyDescent="0.25">
      <c r="A1142" t="str">
        <f>"20190303161900839"</f>
        <v>20190303161900839</v>
      </c>
      <c r="B1142" t="str">
        <f>"1551601140834286"</f>
        <v>1551601140834286</v>
      </c>
      <c r="C1142" t="s">
        <v>40</v>
      </c>
      <c r="D1142">
        <v>4.9253819999999999</v>
      </c>
      <c r="E1142">
        <v>0.52558240000000001</v>
      </c>
      <c r="F1142" t="s">
        <v>41</v>
      </c>
      <c r="G1142">
        <v>-252.857</v>
      </c>
      <c r="H1142" s="1">
        <v>-3.723217E-6</v>
      </c>
      <c r="I1142">
        <v>365.8021</v>
      </c>
      <c r="J1142">
        <v>-282.9162</v>
      </c>
      <c r="K1142">
        <v>1.0712330000000001</v>
      </c>
      <c r="L1142">
        <v>367.3066</v>
      </c>
      <c r="M1142">
        <v>0.99991209999999997</v>
      </c>
      <c r="N1142">
        <v>-1.233095E-2</v>
      </c>
      <c r="O1142">
        <v>4.8836490000000003E-3</v>
      </c>
      <c r="P1142">
        <v>0.98788580000000004</v>
      </c>
      <c r="Q1142">
        <v>0.154515299999999</v>
      </c>
      <c r="R1142">
        <v>1.438382E-2</v>
      </c>
      <c r="S1142">
        <v>3.0562130000000001</v>
      </c>
      <c r="T1142">
        <v>-0.10829560000000001</v>
      </c>
      <c r="U1142">
        <v>-0.15200810000000001</v>
      </c>
      <c r="V1142">
        <v>-9.5525139999999998E-3</v>
      </c>
      <c r="W1142">
        <v>0.16668669999999999</v>
      </c>
      <c r="X1142">
        <v>0.98596360000000005</v>
      </c>
      <c r="Y1142">
        <v>5.450605E-2</v>
      </c>
      <c r="Z1142">
        <v>-1.41394E-3</v>
      </c>
      <c r="AA1142">
        <v>0.99851239999999997</v>
      </c>
      <c r="AB1142">
        <v>30</v>
      </c>
      <c r="AC1142">
        <v>30.059200000000001</v>
      </c>
      <c r="AD1142">
        <v>-1.0712367232169999</v>
      </c>
      <c r="AE1142">
        <v>-1.5044999999999999</v>
      </c>
      <c r="AF1142">
        <v>1.6492024790205599</v>
      </c>
      <c r="AG1142">
        <v>-1.0712367232169999</v>
      </c>
      <c r="AH1142">
        <v>30.013470539749399</v>
      </c>
      <c r="AI1142">
        <v>92.041049079581896</v>
      </c>
      <c r="AJ1142">
        <v>86.854831861770094</v>
      </c>
      <c r="AK1142">
        <v>30.077829555577601</v>
      </c>
      <c r="AL1142">
        <v>80.404767310155293</v>
      </c>
      <c r="AM1142">
        <v>90.555093120904203</v>
      </c>
      <c r="AN1142">
        <v>0.99999996350278397</v>
      </c>
    </row>
    <row r="1143" spans="1:40" x14ac:dyDescent="0.25">
      <c r="A1143" t="str">
        <f>"20190303161900854"</f>
        <v>20190303161900854</v>
      </c>
      <c r="B1143" t="str">
        <f>"1551601140844045"</f>
        <v>1551601140844045</v>
      </c>
      <c r="C1143" t="s">
        <v>40</v>
      </c>
      <c r="D1143">
        <v>4.9276780000000002</v>
      </c>
      <c r="E1143">
        <v>0.52577779999999996</v>
      </c>
      <c r="F1143" t="s">
        <v>41</v>
      </c>
      <c r="G1143">
        <v>-253.5247</v>
      </c>
      <c r="H1143" s="1">
        <v>-3.4367000000000001E-6</v>
      </c>
      <c r="I1143">
        <v>365.80259999999998</v>
      </c>
      <c r="J1143">
        <v>-282.71839999999997</v>
      </c>
      <c r="K1143">
        <v>1.0712280000000001</v>
      </c>
      <c r="L1143">
        <v>367.3075</v>
      </c>
      <c r="M1143">
        <v>0.99991209999999997</v>
      </c>
      <c r="N1143">
        <v>-1.23354E-2</v>
      </c>
      <c r="O1143">
        <v>4.8836210000000003E-3</v>
      </c>
      <c r="P1143">
        <v>0.9878979</v>
      </c>
      <c r="Q1143">
        <v>0.1544846</v>
      </c>
      <c r="R1143">
        <v>1.3874849999999999E-2</v>
      </c>
      <c r="S1143">
        <v>3.0564879999999999</v>
      </c>
      <c r="T1143">
        <v>-0.1114</v>
      </c>
      <c r="U1143">
        <v>-0.1564026</v>
      </c>
      <c r="V1143">
        <v>-9.0429180000000005E-3</v>
      </c>
      <c r="W1143">
        <v>0.16666029999999901</v>
      </c>
      <c r="X1143">
        <v>0.98597290000000004</v>
      </c>
      <c r="Y1143">
        <v>5.592979E-2</v>
      </c>
      <c r="Z1143">
        <v>-1.4812180000000001E-3</v>
      </c>
      <c r="AA1143">
        <v>0.99843360000000003</v>
      </c>
      <c r="AB1143">
        <v>30</v>
      </c>
      <c r="AC1143">
        <v>29.1936999999999</v>
      </c>
      <c r="AD1143">
        <v>-1.0712314367</v>
      </c>
      <c r="AE1143">
        <v>-1.5049000000000201</v>
      </c>
      <c r="AF1143">
        <v>1.6452544780221401</v>
      </c>
      <c r="AG1143">
        <v>-1.0712314367</v>
      </c>
      <c r="AH1143">
        <v>29.1468612813613</v>
      </c>
      <c r="AI1143">
        <v>92.101495903265004</v>
      </c>
      <c r="AJ1143">
        <v>86.769250426190496</v>
      </c>
      <c r="AK1143">
        <v>29.212906764704901</v>
      </c>
      <c r="AL1143">
        <v>80.406301679694295</v>
      </c>
      <c r="AM1143">
        <v>90.525477433410998</v>
      </c>
      <c r="AN1143">
        <v>0.99999999474822698</v>
      </c>
    </row>
    <row r="1144" spans="1:40" x14ac:dyDescent="0.25">
      <c r="A1144" t="str">
        <f>"20190303161900868"</f>
        <v>20190303161900868</v>
      </c>
      <c r="B1144" t="str">
        <f>"1551601140853805"</f>
        <v>1551601140853805</v>
      </c>
      <c r="C1144" t="s">
        <v>40</v>
      </c>
      <c r="D1144">
        <v>4.9241460000000004</v>
      </c>
      <c r="E1144">
        <v>0.52594719999999995</v>
      </c>
      <c r="F1144" t="s">
        <v>41</v>
      </c>
      <c r="G1144">
        <v>-253.49449999999999</v>
      </c>
      <c r="H1144" s="1">
        <v>-3.4523540000000002E-6</v>
      </c>
      <c r="I1144">
        <v>365.78730000000002</v>
      </c>
      <c r="J1144">
        <v>-282.53489999999999</v>
      </c>
      <c r="K1144">
        <v>1.071223</v>
      </c>
      <c r="L1144">
        <v>367.30840000000001</v>
      </c>
      <c r="M1144">
        <v>0.99991189999999996</v>
      </c>
      <c r="N1144">
        <v>-1.2341070000000001E-2</v>
      </c>
      <c r="O1144">
        <v>4.883765E-3</v>
      </c>
      <c r="P1144">
        <v>0.98795350000000004</v>
      </c>
      <c r="Q1144">
        <v>0.15413859999999999</v>
      </c>
      <c r="R1144">
        <v>1.3751630000000001E-2</v>
      </c>
      <c r="S1144">
        <v>3.0564879999999999</v>
      </c>
      <c r="T1144">
        <v>-0.1120384</v>
      </c>
      <c r="U1144">
        <v>-0.15899659999999999</v>
      </c>
      <c r="V1144">
        <v>-8.9197889999999991E-3</v>
      </c>
      <c r="W1144">
        <v>0.16632040000000001</v>
      </c>
      <c r="X1144">
        <v>0.9860314</v>
      </c>
      <c r="Y1144">
        <v>5.6773740000000003E-2</v>
      </c>
      <c r="Z1144">
        <v>-1.508852E-3</v>
      </c>
      <c r="AA1144">
        <v>0.99838590000000005</v>
      </c>
      <c r="AB1144">
        <v>30</v>
      </c>
      <c r="AC1144">
        <v>29.040400000000002</v>
      </c>
      <c r="AD1144">
        <v>-1.071226452354</v>
      </c>
      <c r="AE1144">
        <v>-1.5210999999999899</v>
      </c>
      <c r="AF1144">
        <v>1.6606656910992199</v>
      </c>
      <c r="AG1144">
        <v>-1.071226452354</v>
      </c>
      <c r="AH1144">
        <v>28.993281594474499</v>
      </c>
      <c r="AI1144">
        <v>92.112508452779494</v>
      </c>
      <c r="AJ1144">
        <v>86.721816858344994</v>
      </c>
      <c r="AK1144">
        <v>29.060552545784599</v>
      </c>
      <c r="AL1144">
        <v>80.426052028197006</v>
      </c>
      <c r="AM1144">
        <v>90.518292139441101</v>
      </c>
      <c r="AN1144">
        <v>0.99999997993896195</v>
      </c>
    </row>
    <row r="1145" spans="1:40" x14ac:dyDescent="0.25">
      <c r="A1145" t="str">
        <f>"20190303161900880"</f>
        <v>20190303161900880</v>
      </c>
      <c r="B1145" t="str">
        <f>"1551601140874301"</f>
        <v>1551601140874301</v>
      </c>
      <c r="C1145" t="s">
        <v>40</v>
      </c>
      <c r="D1145">
        <v>4.9015690000000003</v>
      </c>
      <c r="E1145">
        <v>0.5262154</v>
      </c>
      <c r="F1145" t="s">
        <v>41</v>
      </c>
      <c r="G1145">
        <v>-253.62979999999999</v>
      </c>
      <c r="H1145" s="1">
        <v>-3.3938270000000001E-6</v>
      </c>
      <c r="I1145">
        <v>365.7901</v>
      </c>
      <c r="J1145">
        <v>-282.37110000000001</v>
      </c>
      <c r="K1145">
        <v>1.071224</v>
      </c>
      <c r="L1145">
        <v>367.30919999999998</v>
      </c>
      <c r="M1145">
        <v>0.99991200000000002</v>
      </c>
      <c r="N1145">
        <v>-1.234888E-2</v>
      </c>
      <c r="O1145">
        <v>4.8837159999999998E-3</v>
      </c>
      <c r="P1145">
        <v>0.98798330000000001</v>
      </c>
      <c r="Q1145">
        <v>0.15397259999999999</v>
      </c>
      <c r="R1145">
        <v>1.347722E-2</v>
      </c>
      <c r="S1145">
        <v>3.0564879999999999</v>
      </c>
      <c r="T1145">
        <v>-0.1132736</v>
      </c>
      <c r="U1145">
        <v>-0.160553</v>
      </c>
      <c r="V1145">
        <v>-8.6449679999999994E-3</v>
      </c>
      <c r="W1145">
        <v>0.16616239999999999</v>
      </c>
      <c r="X1145">
        <v>0.98606050000000001</v>
      </c>
      <c r="Y1145">
        <v>5.7279190000000001E-2</v>
      </c>
      <c r="Z1145">
        <v>-1.5349319999999999E-3</v>
      </c>
      <c r="AA1145">
        <v>0.99835700000000005</v>
      </c>
      <c r="AB1145">
        <v>30</v>
      </c>
      <c r="AC1145">
        <v>28.741299999999999</v>
      </c>
      <c r="AD1145">
        <v>-1.0712273938270001</v>
      </c>
      <c r="AE1145">
        <v>-1.5190999999999799</v>
      </c>
      <c r="AF1145">
        <v>1.6571612670059499</v>
      </c>
      <c r="AG1145">
        <v>-1.0712273938270001</v>
      </c>
      <c r="AH1145">
        <v>28.6937887171106</v>
      </c>
      <c r="AI1145">
        <v>92.134481295621399</v>
      </c>
      <c r="AJ1145">
        <v>86.694650773391601</v>
      </c>
      <c r="AK1145">
        <v>28.761558068650199</v>
      </c>
      <c r="AL1145">
        <v>80.435232644361605</v>
      </c>
      <c r="AM1145">
        <v>90.5023094326814</v>
      </c>
      <c r="AN1145">
        <v>0.999999994152865</v>
      </c>
    </row>
    <row r="1146" spans="1:40" x14ac:dyDescent="0.25">
      <c r="A1146" t="str">
        <f>"20190303161900899"</f>
        <v>20190303161900899</v>
      </c>
      <c r="B1146" t="str">
        <f>"1551601140894328"</f>
        <v>1551601140894328</v>
      </c>
      <c r="C1146" t="s">
        <v>40</v>
      </c>
      <c r="D1146">
        <v>4.8824560000000004</v>
      </c>
      <c r="E1146">
        <v>0.52647429999999995</v>
      </c>
      <c r="F1146" t="s">
        <v>41</v>
      </c>
      <c r="G1146">
        <v>-253.8631</v>
      </c>
      <c r="H1146" s="1">
        <v>-3.2947270000000001E-6</v>
      </c>
      <c r="I1146">
        <v>365.78440000000001</v>
      </c>
      <c r="J1146">
        <v>-282.12819999999999</v>
      </c>
      <c r="K1146">
        <v>1.0712299999999999</v>
      </c>
      <c r="L1146">
        <v>367.31040000000002</v>
      </c>
      <c r="M1146">
        <v>0.99991169999999996</v>
      </c>
      <c r="N1146">
        <v>-1.236364E-2</v>
      </c>
      <c r="O1146">
        <v>4.8838029999999999E-3</v>
      </c>
      <c r="P1146">
        <v>0.98802889999999999</v>
      </c>
      <c r="Q1146">
        <v>0.1537144</v>
      </c>
      <c r="R1146">
        <v>1.306647E-2</v>
      </c>
      <c r="S1146">
        <v>3.05661</v>
      </c>
      <c r="T1146">
        <v>-0.11485620000000001</v>
      </c>
      <c r="U1146">
        <v>-0.16348270000000001</v>
      </c>
      <c r="V1146">
        <v>-8.2343620000000003E-3</v>
      </c>
      <c r="W1146">
        <v>0.16591929999999999</v>
      </c>
      <c r="X1146">
        <v>0.98610500000000001</v>
      </c>
      <c r="Y1146">
        <v>5.8229139999999999E-2</v>
      </c>
      <c r="Z1146">
        <v>-1.5762549999999999E-3</v>
      </c>
      <c r="AA1146">
        <v>0.99830200000000002</v>
      </c>
      <c r="AB1146">
        <v>30</v>
      </c>
      <c r="AC1146">
        <v>28.265099999999901</v>
      </c>
      <c r="AD1146">
        <v>-1.07123329472699</v>
      </c>
      <c r="AE1146">
        <v>-1.52600000000001</v>
      </c>
      <c r="AF1146">
        <v>1.6616537050716</v>
      </c>
      <c r="AG1146">
        <v>-1.07123329472699</v>
      </c>
      <c r="AH1146">
        <v>28.216897429535901</v>
      </c>
      <c r="AI1146">
        <v>92.170390617154297</v>
      </c>
      <c r="AJ1146">
        <v>86.6298236957672</v>
      </c>
      <c r="AK1146">
        <v>28.286073151928701</v>
      </c>
      <c r="AL1146">
        <v>80.449357804267905</v>
      </c>
      <c r="AM1146">
        <v>90.478431023192698</v>
      </c>
      <c r="AN1146">
        <v>1.0000000449275099</v>
      </c>
    </row>
    <row r="1147" spans="1:40" x14ac:dyDescent="0.25">
      <c r="A1147" t="str">
        <f>"20190303161900911"</f>
        <v>20190303161900911</v>
      </c>
      <c r="B1147" t="str">
        <f>"1551601140904089"</f>
        <v>1551601140904089</v>
      </c>
      <c r="C1147" t="s">
        <v>40</v>
      </c>
      <c r="D1147">
        <v>4.9030579999999997</v>
      </c>
      <c r="E1147">
        <v>0.52657189999999998</v>
      </c>
      <c r="F1147" t="s">
        <v>41</v>
      </c>
      <c r="G1147">
        <v>-253.86850000000001</v>
      </c>
      <c r="H1147" s="1">
        <v>-3.2951800000000001E-6</v>
      </c>
      <c r="I1147">
        <v>365.76900000000001</v>
      </c>
      <c r="J1147">
        <v>-281.96699999999998</v>
      </c>
      <c r="K1147">
        <v>1.071232</v>
      </c>
      <c r="L1147">
        <v>367.31119999999999</v>
      </c>
      <c r="M1147">
        <v>0.99991149999999995</v>
      </c>
      <c r="N1147">
        <v>-1.237563E-2</v>
      </c>
      <c r="O1147">
        <v>4.8837289999999998E-3</v>
      </c>
      <c r="P1147">
        <v>0.98803649999999998</v>
      </c>
      <c r="Q1147">
        <v>0.15366679999999999</v>
      </c>
      <c r="R1147">
        <v>1.306036E-2</v>
      </c>
      <c r="S1147">
        <v>3.056549</v>
      </c>
      <c r="T1147">
        <v>-0.11586340000000001</v>
      </c>
      <c r="U1147">
        <v>-0.16671749999999999</v>
      </c>
      <c r="V1147">
        <v>-8.2278300000000002E-3</v>
      </c>
      <c r="W1147">
        <v>0.165884</v>
      </c>
      <c r="X1147">
        <v>0.98611090000000001</v>
      </c>
      <c r="Y1147">
        <v>5.9281670000000002E-2</v>
      </c>
      <c r="Z1147">
        <v>-1.6141790000000001E-3</v>
      </c>
      <c r="AA1147">
        <v>0.99824000000000002</v>
      </c>
      <c r="AB1147">
        <v>30</v>
      </c>
      <c r="AC1147">
        <v>28.098499999999898</v>
      </c>
      <c r="AD1147">
        <v>-1.0712352951799999</v>
      </c>
      <c r="AE1147">
        <v>-1.54219999999997</v>
      </c>
      <c r="AF1147">
        <v>1.67698745781849</v>
      </c>
      <c r="AG1147">
        <v>-1.0712352951799999</v>
      </c>
      <c r="AH1147">
        <v>28.049985474659</v>
      </c>
      <c r="AI1147">
        <v>92.183181484368504</v>
      </c>
      <c r="AJ1147">
        <v>86.578605372975503</v>
      </c>
      <c r="AK1147">
        <v>28.120482163716499</v>
      </c>
      <c r="AL1147">
        <v>80.451407879565494</v>
      </c>
      <c r="AM1147">
        <v>90.478048659941294</v>
      </c>
      <c r="AN1147">
        <v>0.99999995287065802</v>
      </c>
    </row>
    <row r="1148" spans="1:40" x14ac:dyDescent="0.25">
      <c r="A1148" t="str">
        <f>"20190303161900923"</f>
        <v>20190303161900923</v>
      </c>
      <c r="B1148" t="str">
        <f>"1551601140913847"</f>
        <v>1551601140913847</v>
      </c>
      <c r="C1148" t="s">
        <v>40</v>
      </c>
      <c r="D1148">
        <v>4.8933960000000001</v>
      </c>
      <c r="E1148">
        <v>0.52668219999999899</v>
      </c>
      <c r="F1148" t="s">
        <v>41</v>
      </c>
      <c r="G1148">
        <v>-253.7141</v>
      </c>
      <c r="H1148" s="1">
        <v>-3.3626819999999999E-6</v>
      </c>
      <c r="I1148">
        <v>365.76170000000002</v>
      </c>
      <c r="J1148">
        <v>-281.79759999999999</v>
      </c>
      <c r="K1148">
        <v>1.0712330000000001</v>
      </c>
      <c r="L1148">
        <v>367.31200000000001</v>
      </c>
      <c r="M1148">
        <v>0.9999112</v>
      </c>
      <c r="N1148">
        <v>-1.2389850000000001E-2</v>
      </c>
      <c r="O1148">
        <v>4.8838190000000002E-3</v>
      </c>
      <c r="P1148">
        <v>0.98806510000000003</v>
      </c>
      <c r="Q1148">
        <v>0.1534855</v>
      </c>
      <c r="R1148">
        <v>1.301736E-2</v>
      </c>
      <c r="S1148">
        <v>3.0565799999999999</v>
      </c>
      <c r="T1148">
        <v>-0.115893</v>
      </c>
      <c r="U1148">
        <v>-0.16763310000000001</v>
      </c>
      <c r="V1148">
        <v>-8.1848040000000004E-3</v>
      </c>
      <c r="W1148">
        <v>0.16571710000000001</v>
      </c>
      <c r="X1148">
        <v>0.9861394</v>
      </c>
      <c r="Y1148">
        <v>5.9578999999999903E-2</v>
      </c>
      <c r="Z1148">
        <v>-1.622322E-3</v>
      </c>
      <c r="AA1148">
        <v>0.99822230000000001</v>
      </c>
      <c r="AB1148">
        <v>30</v>
      </c>
      <c r="AC1148">
        <v>28.083499999999901</v>
      </c>
      <c r="AD1148">
        <v>-1.0712363626819901</v>
      </c>
      <c r="AE1148">
        <v>-1.5502999999999301</v>
      </c>
      <c r="AF1148">
        <v>1.68500252448225</v>
      </c>
      <c r="AG1148">
        <v>-1.0712363626819901</v>
      </c>
      <c r="AH1148">
        <v>28.034925688985599</v>
      </c>
      <c r="AI1148">
        <v>92.184313832585403</v>
      </c>
      <c r="AJ1148">
        <v>86.560449900854294</v>
      </c>
      <c r="AK1148">
        <v>28.105939572254002</v>
      </c>
      <c r="AL1148">
        <v>80.461105521328804</v>
      </c>
      <c r="AM1148">
        <v>90.475535160065405</v>
      </c>
      <c r="AN1148">
        <v>1.0000000322406399</v>
      </c>
    </row>
    <row r="1149" spans="1:40" x14ac:dyDescent="0.25">
      <c r="A1149" t="str">
        <f>"20190303161900937"</f>
        <v>20190303161900937</v>
      </c>
      <c r="B1149" t="str">
        <f>"1551601140923609"</f>
        <v>1551601140923609</v>
      </c>
      <c r="C1149" t="s">
        <v>40</v>
      </c>
      <c r="D1149">
        <v>4.8498469999999996</v>
      </c>
      <c r="E1149">
        <v>0.52675380000000005</v>
      </c>
      <c r="F1149" t="s">
        <v>41</v>
      </c>
      <c r="G1149">
        <v>-253.7047</v>
      </c>
      <c r="H1149" s="1">
        <v>-3.3668959999999998E-6</v>
      </c>
      <c r="I1149">
        <v>365.76089999999999</v>
      </c>
      <c r="J1149">
        <v>-281.62729999999999</v>
      </c>
      <c r="K1149">
        <v>1.0712379999999999</v>
      </c>
      <c r="L1149">
        <v>367.31279999999998</v>
      </c>
      <c r="M1149">
        <v>0.99991110000000005</v>
      </c>
      <c r="N1149">
        <v>-1.2407919999999999E-2</v>
      </c>
      <c r="O1149">
        <v>4.8837059999999998E-3</v>
      </c>
      <c r="P1149">
        <v>0.98810989999999999</v>
      </c>
      <c r="Q1149">
        <v>0.15319920000000001</v>
      </c>
      <c r="R1149">
        <v>1.299226E-2</v>
      </c>
      <c r="S1149">
        <v>3.0565799999999999</v>
      </c>
      <c r="T1149">
        <v>-0.1165528</v>
      </c>
      <c r="U1149">
        <v>-0.1687622</v>
      </c>
      <c r="V1149">
        <v>-8.1597849999999993E-3</v>
      </c>
      <c r="W1149">
        <v>0.16544909999999999</v>
      </c>
      <c r="X1149">
        <v>0.98618459999999997</v>
      </c>
      <c r="Y1149">
        <v>5.9945569999999997E-2</v>
      </c>
      <c r="Z1149">
        <v>-1.6394929999999999E-3</v>
      </c>
      <c r="AA1149">
        <v>0.99820030000000004</v>
      </c>
      <c r="AB1149">
        <v>30</v>
      </c>
      <c r="AC1149">
        <v>27.9225999999999</v>
      </c>
      <c r="AD1149">
        <v>-1.0712413668959999</v>
      </c>
      <c r="AE1149">
        <v>-1.5518999999999801</v>
      </c>
      <c r="AF1149">
        <v>1.68578417950403</v>
      </c>
      <c r="AG1149">
        <v>-1.0712413668959999</v>
      </c>
      <c r="AH1149">
        <v>27.873787714665301</v>
      </c>
      <c r="AI1149">
        <v>92.196889726715</v>
      </c>
      <c r="AJ1149">
        <v>86.539013187994399</v>
      </c>
      <c r="AK1149">
        <v>27.945258415843</v>
      </c>
      <c r="AL1149">
        <v>80.476675663622501</v>
      </c>
      <c r="AM1149">
        <v>90.474059900891504</v>
      </c>
      <c r="AN1149">
        <v>1.0000000260296</v>
      </c>
    </row>
    <row r="1150" spans="1:40" x14ac:dyDescent="0.25">
      <c r="A1150" t="str">
        <f>"20190303161900950"</f>
        <v>20190303161900950</v>
      </c>
      <c r="B1150" t="str">
        <f>"1551601140933369"</f>
        <v>1551601140933369</v>
      </c>
      <c r="C1150" t="s">
        <v>40</v>
      </c>
      <c r="D1150">
        <v>4.7000270000000004</v>
      </c>
      <c r="E1150">
        <v>0.52667749999999902</v>
      </c>
      <c r="F1150" t="s">
        <v>41</v>
      </c>
      <c r="G1150">
        <v>-253.63140000000001</v>
      </c>
      <c r="H1150" s="1">
        <v>-3.3981979999999999E-6</v>
      </c>
      <c r="I1150">
        <v>365.76170000000002</v>
      </c>
      <c r="J1150">
        <v>-281.44450000000001</v>
      </c>
      <c r="K1150">
        <v>1.0712410000000001</v>
      </c>
      <c r="L1150">
        <v>367.31369999999998</v>
      </c>
      <c r="M1150">
        <v>0.99991090000000005</v>
      </c>
      <c r="N1150">
        <v>-1.242974E-2</v>
      </c>
      <c r="O1150">
        <v>4.8837480000000003E-3</v>
      </c>
      <c r="P1150">
        <v>0.98808260000000003</v>
      </c>
      <c r="Q1150">
        <v>0.153365</v>
      </c>
      <c r="R1150">
        <v>1.3124780000000001E-2</v>
      </c>
      <c r="S1150">
        <v>3.0564269999999998</v>
      </c>
      <c r="T1150">
        <v>-0.1169515</v>
      </c>
      <c r="U1150">
        <v>-0.16934199999999999</v>
      </c>
      <c r="V1150">
        <v>-8.2926010000000001E-3</v>
      </c>
      <c r="W1150">
        <v>0.1656358</v>
      </c>
      <c r="X1150">
        <v>0.98615209999999998</v>
      </c>
      <c r="Y1150">
        <v>6.0136580000000002E-2</v>
      </c>
      <c r="Z1150">
        <v>-1.6494820000000001E-3</v>
      </c>
      <c r="AA1150">
        <v>0.99818879999999999</v>
      </c>
      <c r="AB1150">
        <v>30</v>
      </c>
      <c r="AC1150">
        <v>27.813099999999899</v>
      </c>
      <c r="AD1150">
        <v>-1.071244398198</v>
      </c>
      <c r="AE1150">
        <v>-1.5519999999999601</v>
      </c>
      <c r="AF1150">
        <v>1.6853317676516599</v>
      </c>
      <c r="AG1150">
        <v>-1.071244398198</v>
      </c>
      <c r="AH1150">
        <v>27.764128737919201</v>
      </c>
      <c r="AI1150">
        <v>92.205534779130204</v>
      </c>
      <c r="AJ1150">
        <v>86.526307074833696</v>
      </c>
      <c r="AK1150">
        <v>27.835853719681001</v>
      </c>
      <c r="AL1150">
        <v>80.465828393232897</v>
      </c>
      <c r="AM1150">
        <v>90.481791642272995</v>
      </c>
      <c r="AN1150">
        <v>0.99999997490369696</v>
      </c>
    </row>
    <row r="1151" spans="1:40" x14ac:dyDescent="0.25">
      <c r="A1151" t="str">
        <f>"20190303161900964"</f>
        <v>20190303161900964</v>
      </c>
      <c r="B1151" t="str">
        <f>"1551601140953863"</f>
        <v>1551601140953863</v>
      </c>
      <c r="C1151" t="s">
        <v>40</v>
      </c>
      <c r="D1151">
        <v>4.7918339999999997</v>
      </c>
      <c r="E1151">
        <v>0.52681180000000005</v>
      </c>
      <c r="F1151" t="s">
        <v>41</v>
      </c>
      <c r="G1151">
        <v>-253.11760000000001</v>
      </c>
      <c r="H1151" s="1">
        <v>-3.6200129999999998E-6</v>
      </c>
      <c r="I1151">
        <v>365.75380000000001</v>
      </c>
      <c r="J1151">
        <v>-281.255</v>
      </c>
      <c r="K1151">
        <v>1.0712489999999999</v>
      </c>
      <c r="L1151">
        <v>367.31459999999998</v>
      </c>
      <c r="M1151">
        <v>0.99991050000000004</v>
      </c>
      <c r="N1151">
        <v>-1.2455519999999999E-2</v>
      </c>
      <c r="O1151">
        <v>4.8838839999999998E-3</v>
      </c>
      <c r="P1151">
        <v>0.98808660000000004</v>
      </c>
      <c r="Q1151">
        <v>0.15333379999999999</v>
      </c>
      <c r="R1151">
        <v>1.3188999999999999E-2</v>
      </c>
      <c r="S1151">
        <v>3.0563959999999999</v>
      </c>
      <c r="T1151">
        <v>-0.11558400000000001</v>
      </c>
      <c r="U1151">
        <v>-0.16830439999999999</v>
      </c>
      <c r="V1151">
        <v>-8.3565589999999995E-3</v>
      </c>
      <c r="W1151">
        <v>0.1656301</v>
      </c>
      <c r="X1151">
        <v>0.98615249999999999</v>
      </c>
      <c r="Y1151">
        <v>5.9800949999999999E-2</v>
      </c>
      <c r="Z1151">
        <v>-1.6261120000000001E-3</v>
      </c>
      <c r="AA1151">
        <v>0.99820900000000001</v>
      </c>
      <c r="AB1151">
        <v>30</v>
      </c>
      <c r="AC1151">
        <v>28.1373999999999</v>
      </c>
      <c r="AD1151">
        <v>-1.0712526200129999</v>
      </c>
      <c r="AE1151">
        <v>-1.56079999999997</v>
      </c>
      <c r="AF1151">
        <v>1.69576138840173</v>
      </c>
      <c r="AG1151">
        <v>-1.0712526200129999</v>
      </c>
      <c r="AH1151">
        <v>28.088851342125199</v>
      </c>
      <c r="AI1151">
        <v>92.180122451371204</v>
      </c>
      <c r="AJ1151">
        <v>86.545170633058504</v>
      </c>
      <c r="AK1151">
        <v>28.1603756825488</v>
      </c>
      <c r="AL1151">
        <v>80.466159387605799</v>
      </c>
      <c r="AM1151">
        <v>90.485507162588107</v>
      </c>
      <c r="AN1151">
        <v>0.99999995768028904</v>
      </c>
    </row>
    <row r="1152" spans="1:40" x14ac:dyDescent="0.25">
      <c r="A1152" t="str">
        <f>"20190303161900978"</f>
        <v>20190303161900978</v>
      </c>
      <c r="B1152" t="str">
        <f>"1551601140963625"</f>
        <v>1551601140963625</v>
      </c>
      <c r="C1152" t="s">
        <v>40</v>
      </c>
      <c r="D1152">
        <v>4.8247849999999897</v>
      </c>
      <c r="E1152">
        <v>0.52690090000000001</v>
      </c>
      <c r="F1152" t="s">
        <v>41</v>
      </c>
      <c r="G1152">
        <v>-252.76779999999999</v>
      </c>
      <c r="H1152" s="1">
        <v>-3.7730009999999999E-6</v>
      </c>
      <c r="I1152">
        <v>365.7373</v>
      </c>
      <c r="J1152">
        <v>-281.08969999999999</v>
      </c>
      <c r="K1152">
        <v>1.0714189999999999</v>
      </c>
      <c r="L1152">
        <v>367.31549999999999</v>
      </c>
      <c r="M1152">
        <v>0.99990259999999997</v>
      </c>
      <c r="N1152">
        <v>-1.307533E-2</v>
      </c>
      <c r="O1152">
        <v>4.8837709999999899E-3</v>
      </c>
      <c r="P1152">
        <v>0.98819469999999998</v>
      </c>
      <c r="Q1152">
        <v>0.15262310000000001</v>
      </c>
      <c r="R1152">
        <v>1.3319269999999999E-2</v>
      </c>
      <c r="S1152">
        <v>3.056305</v>
      </c>
      <c r="T1152">
        <v>-0.11493100000000001</v>
      </c>
      <c r="U1152">
        <v>-0.16922000000000001</v>
      </c>
      <c r="V1152">
        <v>-8.4860159999999903E-3</v>
      </c>
      <c r="W1152">
        <v>0.16553190000000001</v>
      </c>
      <c r="X1152">
        <v>0.98616789999999999</v>
      </c>
      <c r="Y1152">
        <v>6.0100309999999997E-2</v>
      </c>
      <c r="Z1152">
        <v>-1.6418379999999901E-3</v>
      </c>
      <c r="AA1152">
        <v>0.99819100000000005</v>
      </c>
      <c r="AB1152">
        <v>30</v>
      </c>
      <c r="AC1152">
        <v>28.321899999999999</v>
      </c>
      <c r="AD1152">
        <v>-1.071422773001</v>
      </c>
      <c r="AE1152">
        <v>-1.5781999999999801</v>
      </c>
      <c r="AF1152">
        <v>1.7140652281983799</v>
      </c>
      <c r="AG1152">
        <v>-1.071422773001</v>
      </c>
      <c r="AH1152">
        <v>28.2735163306495</v>
      </c>
      <c r="AI1152">
        <v>92.166207535871806</v>
      </c>
      <c r="AJ1152">
        <v>86.530723283251305</v>
      </c>
      <c r="AK1152">
        <v>28.345682070899802</v>
      </c>
      <c r="AL1152">
        <v>80.471864750427201</v>
      </c>
      <c r="AM1152">
        <v>90.493020408985203</v>
      </c>
      <c r="AN1152">
        <v>0.99999997468778501</v>
      </c>
    </row>
    <row r="1153" spans="1:40" x14ac:dyDescent="0.25">
      <c r="A1153" t="str">
        <f>"20190303161900991"</f>
        <v>20190303161900991</v>
      </c>
      <c r="B1153" t="str">
        <f>"1551601140984120"</f>
        <v>1551601140984120</v>
      </c>
      <c r="C1153" t="s">
        <v>40</v>
      </c>
      <c r="D1153">
        <v>4.8586390000000002</v>
      </c>
      <c r="E1153">
        <v>0.5269085</v>
      </c>
      <c r="F1153" t="s">
        <v>41</v>
      </c>
      <c r="G1153">
        <v>-253.06710000000001</v>
      </c>
      <c r="H1153" s="1">
        <v>-3.6408610000000001E-6</v>
      </c>
      <c r="I1153">
        <v>365.75819999999999</v>
      </c>
      <c r="J1153">
        <v>-280.90859999999998</v>
      </c>
      <c r="K1153">
        <v>1.0717190000000001</v>
      </c>
      <c r="L1153">
        <v>367.31639999999999</v>
      </c>
      <c r="M1153">
        <v>0.99989220000000001</v>
      </c>
      <c r="N1153">
        <v>-1.385115E-2</v>
      </c>
      <c r="O1153">
        <v>4.8837530000000002E-3</v>
      </c>
      <c r="P1153">
        <v>0.98829549999999999</v>
      </c>
      <c r="Q1153">
        <v>0.15193690000000001</v>
      </c>
      <c r="R1153">
        <v>1.368349E-2</v>
      </c>
      <c r="S1153">
        <v>3.0561829999999999</v>
      </c>
      <c r="T1153">
        <v>-0.1168505</v>
      </c>
      <c r="U1153">
        <v>-0.16983029999999999</v>
      </c>
      <c r="V1153">
        <v>-8.8498610000000005E-3</v>
      </c>
      <c r="W1153">
        <v>0.16561219999999999</v>
      </c>
      <c r="X1153">
        <v>0.98615120000000001</v>
      </c>
      <c r="Y1153">
        <v>6.0298520000000001E-2</v>
      </c>
      <c r="Z1153">
        <v>-1.688515E-3</v>
      </c>
      <c r="AA1153">
        <v>0.99817900000000004</v>
      </c>
      <c r="AB1153">
        <v>30</v>
      </c>
      <c r="AC1153">
        <v>27.8414999999999</v>
      </c>
      <c r="AD1153">
        <v>-1.0717226408609899</v>
      </c>
      <c r="AE1153">
        <v>-1.55819999999999</v>
      </c>
      <c r="AF1153">
        <v>1.6916666337214801</v>
      </c>
      <c r="AG1153">
        <v>-1.0717226408609899</v>
      </c>
      <c r="AH1153">
        <v>27.792503926864502</v>
      </c>
      <c r="AI1153">
        <v>92.204245749020203</v>
      </c>
      <c r="AJ1153">
        <v>86.516833275248302</v>
      </c>
      <c r="AK1153">
        <v>27.8645581329287</v>
      </c>
      <c r="AL1153">
        <v>80.467199319122201</v>
      </c>
      <c r="AM1153">
        <v>90.514166664482701</v>
      </c>
      <c r="AN1153">
        <v>0.99999995504499795</v>
      </c>
    </row>
    <row r="1154" spans="1:40" x14ac:dyDescent="0.25">
      <c r="A1154" t="str">
        <f>"20190303161901005"</f>
        <v>20190303161901005</v>
      </c>
      <c r="B1154" t="str">
        <f>"1551601140993412"</f>
        <v>1551601140993412</v>
      </c>
      <c r="C1154" t="s">
        <v>40</v>
      </c>
      <c r="D1154">
        <v>4.7970030000000001</v>
      </c>
      <c r="E1154">
        <v>0.5269085</v>
      </c>
      <c r="F1154" t="s">
        <v>41</v>
      </c>
      <c r="G1154">
        <v>-253.35470000000001</v>
      </c>
      <c r="H1154" s="1">
        <v>-3.5101300000000001E-6</v>
      </c>
      <c r="I1154">
        <v>365.79969999999997</v>
      </c>
      <c r="J1154">
        <v>-280.73410000000001</v>
      </c>
      <c r="K1154">
        <v>1.072141</v>
      </c>
      <c r="L1154">
        <v>367.31720000000001</v>
      </c>
      <c r="M1154">
        <v>0.99988010000000005</v>
      </c>
      <c r="N1154">
        <v>-1.4697399999999999E-2</v>
      </c>
      <c r="O1154">
        <v>4.883208E-3</v>
      </c>
      <c r="P1154">
        <v>0.98842099999999999</v>
      </c>
      <c r="Q1154">
        <v>0.15112600000000001</v>
      </c>
      <c r="R1154">
        <v>1.3600869999999999E-2</v>
      </c>
      <c r="S1154">
        <v>3.0561219999999998</v>
      </c>
      <c r="T1154">
        <v>-0.11886910000000001</v>
      </c>
      <c r="U1154">
        <v>-0.1682129</v>
      </c>
      <c r="V1154">
        <v>-8.7670630000000003E-3</v>
      </c>
      <c r="W1154">
        <v>0.16563810000000001</v>
      </c>
      <c r="X1154">
        <v>0.98614760000000001</v>
      </c>
      <c r="Y1154">
        <v>5.9770230000000001E-2</v>
      </c>
      <c r="Z1154">
        <v>-1.7189179999999901E-3</v>
      </c>
      <c r="AA1154">
        <v>0.99821070000000001</v>
      </c>
      <c r="AB1154">
        <v>29</v>
      </c>
      <c r="AC1154">
        <v>27.3794</v>
      </c>
      <c r="AD1154">
        <v>-1.07214451013</v>
      </c>
      <c r="AE1154">
        <v>-1.51750000000004</v>
      </c>
      <c r="AF1154">
        <v>1.64867529019712</v>
      </c>
      <c r="AG1154">
        <v>-1.07214451013</v>
      </c>
      <c r="AH1154">
        <v>27.329882797395101</v>
      </c>
      <c r="AI1154">
        <v>92.242474781698206</v>
      </c>
      <c r="AJ1154">
        <v>86.547815435257306</v>
      </c>
      <c r="AK1154">
        <v>27.400549589058599</v>
      </c>
      <c r="AL1154">
        <v>80.465694674477405</v>
      </c>
      <c r="AM1154">
        <v>90.509358310657106</v>
      </c>
      <c r="AN1154">
        <v>0.99999996527550705</v>
      </c>
    </row>
    <row r="1155" spans="1:40" x14ac:dyDescent="0.25">
      <c r="A1155" t="str">
        <f>"20190303161901017"</f>
        <v>20190303161901017</v>
      </c>
      <c r="B1155" t="str">
        <f>"1551601141004148"</f>
        <v>1551601141004148</v>
      </c>
      <c r="C1155" t="s">
        <v>40</v>
      </c>
      <c r="D1155">
        <v>4.7855759999999998</v>
      </c>
      <c r="E1155">
        <v>0.51014009999999999</v>
      </c>
      <c r="F1155" t="s">
        <v>41</v>
      </c>
      <c r="G1155">
        <v>-253.72989999999999</v>
      </c>
      <c r="H1155" s="1">
        <v>-3.3443119999999998E-6</v>
      </c>
      <c r="I1155">
        <v>365.827</v>
      </c>
      <c r="J1155">
        <v>-280.57069999999999</v>
      </c>
      <c r="K1155">
        <v>1.072638</v>
      </c>
      <c r="L1155">
        <v>367.31799999999998</v>
      </c>
      <c r="M1155">
        <v>0.99987530000000002</v>
      </c>
      <c r="N1155">
        <v>-1.502001E-2</v>
      </c>
      <c r="O1155">
        <v>4.8828159999999999E-3</v>
      </c>
      <c r="P1155">
        <v>0.98847810000000003</v>
      </c>
      <c r="Q1155">
        <v>0.15072550000000001</v>
      </c>
      <c r="R1155">
        <v>1.38838E-2</v>
      </c>
      <c r="S1155">
        <v>3.0560299999999998</v>
      </c>
      <c r="T1155">
        <v>-0.121333</v>
      </c>
      <c r="U1155">
        <v>-0.16864009999999999</v>
      </c>
      <c r="V1155">
        <v>-9.0497960000000006E-3</v>
      </c>
      <c r="W1155">
        <v>0.1655567</v>
      </c>
      <c r="X1155">
        <v>0.98615870000000005</v>
      </c>
      <c r="Y1155">
        <v>5.9907809999999999E-2</v>
      </c>
      <c r="Z1155">
        <v>-1.7587779999999999E-3</v>
      </c>
      <c r="AA1155">
        <v>0.99820240000000005</v>
      </c>
      <c r="AB1155">
        <v>29</v>
      </c>
      <c r="AC1155">
        <v>26.840800000000002</v>
      </c>
      <c r="AD1155">
        <v>-1.072641344312</v>
      </c>
      <c r="AE1155">
        <v>-1.4910000000000401</v>
      </c>
      <c r="AF1155">
        <v>1.6194772640317701</v>
      </c>
      <c r="AG1155">
        <v>-1.072641344312</v>
      </c>
      <c r="AH1155">
        <v>26.790544675716401</v>
      </c>
      <c r="AI1155">
        <v>92.2886138350203</v>
      </c>
      <c r="AJ1155">
        <v>86.540703499795598</v>
      </c>
      <c r="AK1155">
        <v>26.860873963514301</v>
      </c>
      <c r="AL1155">
        <v>80.470423704034701</v>
      </c>
      <c r="AM1155">
        <v>90.525778012798995</v>
      </c>
      <c r="AN1155">
        <v>0.99999995065410896</v>
      </c>
    </row>
    <row r="1156" spans="1:40" x14ac:dyDescent="0.25">
      <c r="A1156" t="str">
        <f>"20190303161901033"</f>
        <v>20190303161901033</v>
      </c>
      <c r="B1156" t="str">
        <f>"1551601141023668"</f>
        <v>1551601141023668</v>
      </c>
      <c r="C1156" t="s">
        <v>40</v>
      </c>
      <c r="D1156">
        <v>4.7626269999999904</v>
      </c>
      <c r="E1156">
        <v>0.51002000000000003</v>
      </c>
      <c r="F1156" t="s">
        <v>41</v>
      </c>
      <c r="G1156">
        <v>-255.6926</v>
      </c>
      <c r="H1156" s="1">
        <v>-2.2870030000000002E-6</v>
      </c>
      <c r="I1156">
        <v>367.04090000000002</v>
      </c>
      <c r="J1156">
        <v>-280.36919999999998</v>
      </c>
      <c r="K1156">
        <v>1.0731999999999999</v>
      </c>
      <c r="L1156">
        <v>367.31900000000002</v>
      </c>
      <c r="M1156">
        <v>0.99987979999999999</v>
      </c>
      <c r="N1156">
        <v>-1.4724859999999999E-2</v>
      </c>
      <c r="O1156">
        <v>4.8824580000000001E-3</v>
      </c>
      <c r="P1156">
        <v>0.98842260000000004</v>
      </c>
      <c r="Q1156">
        <v>0.15106069999999999</v>
      </c>
      <c r="R1156">
        <v>1.4203159999999999E-2</v>
      </c>
      <c r="S1156">
        <v>3.055542</v>
      </c>
      <c r="T1156">
        <v>-0.1317421</v>
      </c>
      <c r="U1156">
        <v>-3.4027099999999998E-2</v>
      </c>
      <c r="V1156">
        <v>-9.3699569999999999E-3</v>
      </c>
      <c r="W1156">
        <v>0.16560050000000001</v>
      </c>
      <c r="X1156">
        <v>0.98614840000000004</v>
      </c>
      <c r="Y1156">
        <v>1.5996150000000001E-2</v>
      </c>
      <c r="Z1156">
        <v>-6.0106099999999996E-4</v>
      </c>
      <c r="AA1156">
        <v>0.99987190000000004</v>
      </c>
      <c r="AB1156">
        <v>29</v>
      </c>
      <c r="AC1156">
        <v>24.676599999999901</v>
      </c>
      <c r="AD1156">
        <v>-1.073202287003</v>
      </c>
      <c r="AE1156">
        <v>-0.27809999999999402</v>
      </c>
      <c r="AF1156">
        <v>0.39783980030791799</v>
      </c>
      <c r="AG1156">
        <v>-1.073202287003</v>
      </c>
      <c r="AH1156">
        <v>24.628370684415302</v>
      </c>
      <c r="AI1156">
        <v>92.494808958185601</v>
      </c>
      <c r="AJ1156">
        <v>89.0745405210548</v>
      </c>
      <c r="AK1156">
        <v>24.654952488790201</v>
      </c>
      <c r="AL1156">
        <v>80.4678794430328</v>
      </c>
      <c r="AM1156">
        <v>90.544383416685704</v>
      </c>
      <c r="AN1156">
        <v>0.99999999425849595</v>
      </c>
    </row>
    <row r="1157" spans="1:40" x14ac:dyDescent="0.25">
      <c r="A1157" t="str">
        <f>"20190303161901048"</f>
        <v>20190303161901048</v>
      </c>
      <c r="B1157" t="str">
        <f>"1551601141033428"</f>
        <v>1551601141033428</v>
      </c>
      <c r="C1157" t="s">
        <v>40</v>
      </c>
      <c r="D1157">
        <v>4.6924010000000003</v>
      </c>
      <c r="E1157">
        <v>0.51003809999999905</v>
      </c>
      <c r="F1157" t="s">
        <v>41</v>
      </c>
      <c r="G1157">
        <v>-255.8451</v>
      </c>
      <c r="H1157" s="1">
        <v>-2.2185009999999998E-6</v>
      </c>
      <c r="I1157">
        <v>367.05840000000001</v>
      </c>
      <c r="J1157">
        <v>-280.1859</v>
      </c>
      <c r="K1157">
        <v>1.073709</v>
      </c>
      <c r="L1157">
        <v>367.31990000000002</v>
      </c>
      <c r="M1157">
        <v>0.99989269999999997</v>
      </c>
      <c r="N1157">
        <v>-1.3820860000000001E-2</v>
      </c>
      <c r="O1157">
        <v>4.8827539999999996E-3</v>
      </c>
      <c r="P1157">
        <v>0.9882493</v>
      </c>
      <c r="Q1157">
        <v>0.15216729999999901</v>
      </c>
      <c r="R1157">
        <v>1.443759E-2</v>
      </c>
      <c r="S1157">
        <v>3.0560610000000001</v>
      </c>
      <c r="T1157">
        <v>-0.1337361</v>
      </c>
      <c r="U1157">
        <v>-3.2470699999999998E-2</v>
      </c>
      <c r="V1157">
        <v>-9.6047259999999992E-3</v>
      </c>
      <c r="W1157">
        <v>0.1658126</v>
      </c>
      <c r="X1157">
        <v>0.9861105</v>
      </c>
      <c r="Y1157">
        <v>1.5485550000000001E-2</v>
      </c>
      <c r="Z1157">
        <v>-5.9185049999999995E-4</v>
      </c>
      <c r="AA1157">
        <v>0.99987990000000004</v>
      </c>
      <c r="AB1157">
        <v>29</v>
      </c>
      <c r="AC1157">
        <v>24.340800000000002</v>
      </c>
      <c r="AD1157">
        <v>-1.073711218501</v>
      </c>
      <c r="AE1157">
        <v>-0.261500000000012</v>
      </c>
      <c r="AF1157">
        <v>0.37961976654073298</v>
      </c>
      <c r="AG1157">
        <v>-1.073711218501</v>
      </c>
      <c r="AH1157">
        <v>24.291970191015999</v>
      </c>
      <c r="AI1157">
        <v>92.530532072687905</v>
      </c>
      <c r="AJ1157">
        <v>89.104690153857703</v>
      </c>
      <c r="AK1157">
        <v>24.3186509228841</v>
      </c>
      <c r="AL1157">
        <v>80.455556640838296</v>
      </c>
      <c r="AM1157">
        <v>90.558043811449295</v>
      </c>
      <c r="AN1157">
        <v>0.99999999364527203</v>
      </c>
    </row>
    <row r="1158" spans="1:40" x14ac:dyDescent="0.25">
      <c r="A1158" t="str">
        <f>"20190303161901062"</f>
        <v>20190303161901062</v>
      </c>
      <c r="B1158" t="str">
        <f>"1551601141053924"</f>
        <v>1551601141053924</v>
      </c>
      <c r="C1158" t="s">
        <v>40</v>
      </c>
      <c r="D1158">
        <v>4.7063499999999996</v>
      </c>
      <c r="E1158">
        <v>0.51046800000000003</v>
      </c>
      <c r="F1158" t="s">
        <v>41</v>
      </c>
      <c r="G1158">
        <v>-254.60429999999999</v>
      </c>
      <c r="H1158" s="1">
        <v>-2.7510419999999999E-6</v>
      </c>
      <c r="I1158">
        <v>367.05700000000002</v>
      </c>
      <c r="J1158">
        <v>-279.9975</v>
      </c>
      <c r="K1158">
        <v>1.074309</v>
      </c>
      <c r="L1158">
        <v>367.32080000000002</v>
      </c>
      <c r="M1158">
        <v>0.99991090000000005</v>
      </c>
      <c r="N1158">
        <v>-1.2432169999999999E-2</v>
      </c>
      <c r="O1158">
        <v>4.8833560000000002E-3</v>
      </c>
      <c r="P1158">
        <v>0.98803850000000004</v>
      </c>
      <c r="Q1158">
        <v>0.1535348</v>
      </c>
      <c r="R1158">
        <v>1.439554E-2</v>
      </c>
      <c r="S1158">
        <v>3.0558779999999999</v>
      </c>
      <c r="T1158">
        <v>-0.12826109999999999</v>
      </c>
      <c r="U1158">
        <v>-3.1402590000000001E-2</v>
      </c>
      <c r="V1158">
        <v>-9.5633539999999996E-3</v>
      </c>
      <c r="W1158">
        <v>0.16580790000000001</v>
      </c>
      <c r="X1158">
        <v>0.98611170000000004</v>
      </c>
      <c r="Y1158">
        <v>1.513953E-2</v>
      </c>
      <c r="Z1158">
        <v>-5.5591419999999998E-4</v>
      </c>
      <c r="AA1158">
        <v>0.99988529999999998</v>
      </c>
      <c r="AB1158">
        <v>29</v>
      </c>
      <c r="AC1158">
        <v>25.3932</v>
      </c>
      <c r="AD1158">
        <v>-1.0743117510419999</v>
      </c>
      <c r="AE1158">
        <v>-0.26380000000005999</v>
      </c>
      <c r="AF1158">
        <v>0.38711763810576</v>
      </c>
      <c r="AG1158">
        <v>-1.0743117510419999</v>
      </c>
      <c r="AH1158">
        <v>25.346246804774101</v>
      </c>
      <c r="AI1158">
        <v>92.426771244810894</v>
      </c>
      <c r="AJ1158">
        <v>89.124979623495904</v>
      </c>
      <c r="AK1158">
        <v>25.371957608601701</v>
      </c>
      <c r="AL1158">
        <v>80.455829783316503</v>
      </c>
      <c r="AM1158">
        <v>90.555639533403806</v>
      </c>
      <c r="AN1158">
        <v>1.00000000115951</v>
      </c>
    </row>
    <row r="1159" spans="1:40" x14ac:dyDescent="0.25">
      <c r="A1159" t="str">
        <f>"20190303161901076"</f>
        <v>20190303161901076</v>
      </c>
      <c r="B1159" t="str">
        <f>"1551601141063685"</f>
        <v>1551601141063685</v>
      </c>
      <c r="C1159" t="s">
        <v>40</v>
      </c>
      <c r="D1159">
        <v>4.6995930000000001</v>
      </c>
      <c r="E1159">
        <v>0.51053519999999997</v>
      </c>
      <c r="F1159" t="s">
        <v>41</v>
      </c>
      <c r="G1159">
        <v>-253.45160000000001</v>
      </c>
      <c r="H1159" s="1">
        <v>-3.2531720000000001E-6</v>
      </c>
      <c r="I1159">
        <v>367.01409999999998</v>
      </c>
      <c r="J1159">
        <v>-279.8168</v>
      </c>
      <c r="K1159">
        <v>1.075027</v>
      </c>
      <c r="L1159">
        <v>367.32170000000002</v>
      </c>
      <c r="M1159">
        <v>0.9999266</v>
      </c>
      <c r="N1159">
        <v>-1.1087899999999999E-2</v>
      </c>
      <c r="O1159">
        <v>4.8839360000000002E-3</v>
      </c>
      <c r="P1159">
        <v>0.9877821</v>
      </c>
      <c r="Q1159">
        <v>0.15514990000000001</v>
      </c>
      <c r="R1159">
        <v>1.4655339999999999E-2</v>
      </c>
      <c r="S1159">
        <v>3.0560610000000001</v>
      </c>
      <c r="T1159">
        <v>-0.1236783</v>
      </c>
      <c r="U1159">
        <v>-3.5308840000000001E-2</v>
      </c>
      <c r="V1159">
        <v>-9.8233729999999998E-3</v>
      </c>
      <c r="W1159">
        <v>0.1660943</v>
      </c>
      <c r="X1159">
        <v>0.98606099999999997</v>
      </c>
      <c r="Y1159">
        <v>1.6417480000000002E-2</v>
      </c>
      <c r="Z1159">
        <v>-5.6656000000000002E-4</v>
      </c>
      <c r="AA1159">
        <v>0.99986509999999995</v>
      </c>
      <c r="AB1159">
        <v>29</v>
      </c>
      <c r="AC1159">
        <v>26.365199999999898</v>
      </c>
      <c r="AD1159">
        <v>-1.075030253172</v>
      </c>
      <c r="AE1159">
        <v>-0.30760000000003601</v>
      </c>
      <c r="AF1159">
        <v>0.43564600425356398</v>
      </c>
      <c r="AG1159">
        <v>-1.075030253172</v>
      </c>
      <c r="AH1159">
        <v>26.319630923959899</v>
      </c>
      <c r="AI1159">
        <v>92.338636719693397</v>
      </c>
      <c r="AJ1159">
        <v>89.0517192914144</v>
      </c>
      <c r="AK1159">
        <v>26.345178865586099</v>
      </c>
      <c r="AL1159">
        <v>80.439190061888795</v>
      </c>
      <c r="AM1159">
        <v>90.570775230701898</v>
      </c>
      <c r="AN1159">
        <v>1.0000000554352899</v>
      </c>
    </row>
    <row r="1160" spans="1:40" x14ac:dyDescent="0.25">
      <c r="A1160" t="str">
        <f>"20190303161901089"</f>
        <v>20190303161901089</v>
      </c>
      <c r="B1160" t="str">
        <f>"1551601141084181"</f>
        <v>1551601141084181</v>
      </c>
      <c r="C1160" t="s">
        <v>40</v>
      </c>
      <c r="D1160">
        <v>4.6815670000000003</v>
      </c>
      <c r="E1160">
        <v>0.51074579999999903</v>
      </c>
      <c r="F1160" t="s">
        <v>41</v>
      </c>
      <c r="G1160">
        <v>-251.6968</v>
      </c>
      <c r="H1160" s="1">
        <v>-4.0087950000000001E-6</v>
      </c>
      <c r="I1160">
        <v>366.99810000000002</v>
      </c>
      <c r="J1160">
        <v>-279.65589999999997</v>
      </c>
      <c r="K1160">
        <v>1.075739</v>
      </c>
      <c r="L1160">
        <v>367.32240000000002</v>
      </c>
      <c r="M1160">
        <v>0.99993889999999996</v>
      </c>
      <c r="N1160">
        <v>-9.9157129999999996E-3</v>
      </c>
      <c r="O1160">
        <v>4.8846030000000004E-3</v>
      </c>
      <c r="P1160">
        <v>0.98760300000000001</v>
      </c>
      <c r="Q1160">
        <v>0.1562915</v>
      </c>
      <c r="R1160">
        <v>1.4612160000000001E-2</v>
      </c>
      <c r="S1160">
        <v>3.055939</v>
      </c>
      <c r="T1160">
        <v>-0.1168283</v>
      </c>
      <c r="U1160">
        <v>-3.515625E-2</v>
      </c>
      <c r="V1160">
        <v>-9.780614E-3</v>
      </c>
      <c r="W1160">
        <v>0.166077799999999</v>
      </c>
      <c r="X1160">
        <v>0.9860641</v>
      </c>
      <c r="Y1160">
        <v>1.6370849999999999E-2</v>
      </c>
      <c r="Z1160">
        <v>-5.3225370000000002E-4</v>
      </c>
      <c r="AA1160">
        <v>0.99986580000000003</v>
      </c>
      <c r="AB1160">
        <v>29</v>
      </c>
      <c r="AC1160">
        <v>27.9590999999999</v>
      </c>
      <c r="AD1160">
        <v>-1.075743008795</v>
      </c>
      <c r="AE1160">
        <v>-0.32429999999999298</v>
      </c>
      <c r="AF1160">
        <v>0.46019078828398502</v>
      </c>
      <c r="AG1160">
        <v>-1.075743008795</v>
      </c>
      <c r="AH1160">
        <v>27.915861982786101</v>
      </c>
      <c r="AI1160">
        <v>92.206512267609199</v>
      </c>
      <c r="AJ1160">
        <v>89.055569127253506</v>
      </c>
      <c r="AK1160">
        <v>27.940371307922</v>
      </c>
      <c r="AL1160">
        <v>80.440147765777894</v>
      </c>
      <c r="AM1160">
        <v>90.568289147433703</v>
      </c>
      <c r="AN1160">
        <v>0.999999952685932</v>
      </c>
    </row>
    <row r="1161" spans="1:40" x14ac:dyDescent="0.25">
      <c r="A1161" t="str">
        <f>"20190303161901098"</f>
        <v>20190303161901098</v>
      </c>
      <c r="B1161" t="str">
        <f>"1551601141093940"</f>
        <v>1551601141093940</v>
      </c>
      <c r="C1161" t="s">
        <v>40</v>
      </c>
      <c r="D1161">
        <v>4.7036020000000001</v>
      </c>
      <c r="E1161">
        <v>0.51096450000000004</v>
      </c>
      <c r="F1161" t="s">
        <v>41</v>
      </c>
      <c r="G1161">
        <v>-250.03319999999999</v>
      </c>
      <c r="H1161" s="1">
        <v>-4.7272869999999999E-6</v>
      </c>
      <c r="I1161">
        <v>366.971</v>
      </c>
      <c r="J1161">
        <v>-279.5095</v>
      </c>
      <c r="K1161">
        <v>1.0764739999999999</v>
      </c>
      <c r="L1161">
        <v>367.32319999999999</v>
      </c>
      <c r="M1161">
        <v>0.99994830000000001</v>
      </c>
      <c r="N1161">
        <v>-8.9203100000000007E-3</v>
      </c>
      <c r="O1161">
        <v>4.8851019999999997E-3</v>
      </c>
      <c r="P1161">
        <v>0.98745499999999997</v>
      </c>
      <c r="Q1161">
        <v>0.1572431</v>
      </c>
      <c r="R1161">
        <v>1.4401779999999999E-2</v>
      </c>
      <c r="S1161">
        <v>3.0557560000000001</v>
      </c>
      <c r="T1161">
        <v>-0.1109691</v>
      </c>
      <c r="U1161">
        <v>-3.6254880000000003E-2</v>
      </c>
      <c r="V1161">
        <v>-9.5709599999999999E-3</v>
      </c>
      <c r="W1161">
        <v>0.16604630000000001</v>
      </c>
      <c r="X1161">
        <v>0.98607149999999999</v>
      </c>
      <c r="Y1161">
        <v>1.673287E-2</v>
      </c>
      <c r="Z1161">
        <v>-5.1215270000000001E-4</v>
      </c>
      <c r="AA1161">
        <v>0.99985990000000002</v>
      </c>
      <c r="AB1161">
        <v>29</v>
      </c>
      <c r="AC1161">
        <v>29.476299999999998</v>
      </c>
      <c r="AD1161">
        <v>-1.076478727287</v>
      </c>
      <c r="AE1161">
        <v>-0.35219999999998203</v>
      </c>
      <c r="AF1161">
        <v>0.49553544409717598</v>
      </c>
      <c r="AG1161">
        <v>-1.076478727287</v>
      </c>
      <c r="AH1161">
        <v>29.434975215469802</v>
      </c>
      <c r="AI1161">
        <v>92.094157900016697</v>
      </c>
      <c r="AJ1161">
        <v>89.0355212616751</v>
      </c>
      <c r="AK1161">
        <v>29.458820882071599</v>
      </c>
      <c r="AL1161">
        <v>80.441978355722995</v>
      </c>
      <c r="AM1161">
        <v>90.5561040899684</v>
      </c>
      <c r="AN1161">
        <v>0.99999999006563001</v>
      </c>
    </row>
    <row r="1162" spans="1:40" x14ac:dyDescent="0.25">
      <c r="A1162" t="str">
        <f>"20190303161901111"</f>
        <v>20190303161901111</v>
      </c>
      <c r="B1162" t="str">
        <f>"1551601141103700"</f>
        <v>1551601141103700</v>
      </c>
      <c r="C1162" t="s">
        <v>40</v>
      </c>
      <c r="D1162">
        <v>4.6768159999999996</v>
      </c>
      <c r="E1162">
        <v>0.51112659999999999</v>
      </c>
      <c r="F1162" t="s">
        <v>41</v>
      </c>
      <c r="G1162">
        <v>-248.80500000000001</v>
      </c>
      <c r="H1162" s="1">
        <v>-1.1562390000000001E-6</v>
      </c>
      <c r="I1162">
        <v>366.93619999999999</v>
      </c>
      <c r="J1162">
        <v>-279.35550000000001</v>
      </c>
      <c r="K1162">
        <v>1.077285</v>
      </c>
      <c r="L1162">
        <v>367.32389999999998</v>
      </c>
      <c r="M1162">
        <v>0.99995670000000003</v>
      </c>
      <c r="N1162">
        <v>-7.9180780000000003E-3</v>
      </c>
      <c r="O1162">
        <v>4.8854889999999998E-3</v>
      </c>
      <c r="P1162">
        <v>0.98731080000000004</v>
      </c>
      <c r="Q1162">
        <v>0.15816189999999999</v>
      </c>
      <c r="R1162">
        <v>1.422706E-2</v>
      </c>
      <c r="S1162">
        <v>3.0557560000000001</v>
      </c>
      <c r="T1162">
        <v>-0.1071323</v>
      </c>
      <c r="U1162">
        <v>-3.8513180000000001E-2</v>
      </c>
      <c r="V1162">
        <v>-9.3961610000000001E-3</v>
      </c>
      <c r="W1162">
        <v>0.16597529999999999</v>
      </c>
      <c r="X1162">
        <v>0.98608510000000005</v>
      </c>
      <c r="Y1162">
        <v>1.7472640000000001E-2</v>
      </c>
      <c r="Z1162">
        <v>-5.0793609999999999E-4</v>
      </c>
      <c r="AA1162">
        <v>0.99984720000000005</v>
      </c>
      <c r="AB1162">
        <v>29</v>
      </c>
      <c r="AC1162">
        <v>30.5505</v>
      </c>
      <c r="AD1162">
        <v>-1.0772861562389999</v>
      </c>
      <c r="AE1162">
        <v>-0.38769999999999499</v>
      </c>
      <c r="AF1162">
        <v>0.53628745121485599</v>
      </c>
      <c r="AG1162">
        <v>-1.0772861562389999</v>
      </c>
      <c r="AH1162">
        <v>30.510309531966101</v>
      </c>
      <c r="AI1162">
        <v>92.021900083458902</v>
      </c>
      <c r="AJ1162">
        <v>88.993001246211193</v>
      </c>
      <c r="AK1162">
        <v>30.534032446257999</v>
      </c>
      <c r="AL1162">
        <v>80.446103272116503</v>
      </c>
      <c r="AM1162">
        <v>90.545940787417607</v>
      </c>
      <c r="AN1162">
        <v>0.99999995624681803</v>
      </c>
    </row>
    <row r="1163" spans="1:40" x14ac:dyDescent="0.25">
      <c r="A1163" t="str">
        <f>"20190303161901122"</f>
        <v>20190303161901122</v>
      </c>
      <c r="B1163" t="str">
        <f>"1551601141113460"</f>
        <v>1551601141113460</v>
      </c>
      <c r="C1163" t="s">
        <v>40</v>
      </c>
      <c r="D1163">
        <v>4.6580300000000001</v>
      </c>
      <c r="E1163">
        <v>0.51127959999999995</v>
      </c>
      <c r="F1163" t="s">
        <v>41</v>
      </c>
      <c r="G1163">
        <v>-247.6198</v>
      </c>
      <c r="H1163" s="1">
        <v>-1.6196740000000001E-6</v>
      </c>
      <c r="I1163">
        <v>366.90499999999997</v>
      </c>
      <c r="J1163">
        <v>-279.21230000000003</v>
      </c>
      <c r="K1163">
        <v>1.0780650000000001</v>
      </c>
      <c r="L1163">
        <v>367.32459999999998</v>
      </c>
      <c r="M1163">
        <v>0.99996350000000001</v>
      </c>
      <c r="N1163">
        <v>-7.0223300000000002E-3</v>
      </c>
      <c r="O1163">
        <v>4.8857129999999999E-3</v>
      </c>
      <c r="P1163">
        <v>0.98711680000000002</v>
      </c>
      <c r="Q1163">
        <v>0.1594013</v>
      </c>
      <c r="R1163">
        <v>1.385456E-2</v>
      </c>
      <c r="S1163">
        <v>3.0557560000000001</v>
      </c>
      <c r="T1163">
        <v>-0.10372960000000001</v>
      </c>
      <c r="U1163">
        <v>-4.0344240000000003E-2</v>
      </c>
      <c r="V1163">
        <v>-9.0246240000000002E-3</v>
      </c>
      <c r="W1163">
        <v>0.166329799999999</v>
      </c>
      <c r="X1163">
        <v>0.98602889999999999</v>
      </c>
      <c r="Y1163">
        <v>1.807247E-2</v>
      </c>
      <c r="Z1163">
        <v>-5.016148E-4</v>
      </c>
      <c r="AA1163">
        <v>0.99983659999999996</v>
      </c>
      <c r="AB1163">
        <v>29</v>
      </c>
      <c r="AC1163">
        <v>31.592500000000001</v>
      </c>
      <c r="AD1163">
        <v>-1.0780666196740001</v>
      </c>
      <c r="AE1163">
        <v>-0.41960000000000203</v>
      </c>
      <c r="AF1163">
        <v>0.57328322583804503</v>
      </c>
      <c r="AG1163">
        <v>-1.0780666196740001</v>
      </c>
      <c r="AH1163">
        <v>31.553336821351401</v>
      </c>
      <c r="AI1163">
        <v>91.956511564890903</v>
      </c>
      <c r="AJ1163">
        <v>88.959124483243897</v>
      </c>
      <c r="AK1163">
        <v>31.576952763924801</v>
      </c>
      <c r="AL1163">
        <v>80.425506216732103</v>
      </c>
      <c r="AM1163">
        <v>90.524384660062395</v>
      </c>
      <c r="AN1163">
        <v>1.00000001892079</v>
      </c>
    </row>
    <row r="1164" spans="1:40" x14ac:dyDescent="0.25">
      <c r="A1164" t="str">
        <f>"20190303161901134"</f>
        <v>20190303161901134</v>
      </c>
      <c r="B1164" t="str">
        <f>"1551601141124196"</f>
        <v>1551601141124196</v>
      </c>
      <c r="C1164" t="s">
        <v>40</v>
      </c>
      <c r="D1164">
        <v>4.6822330000000001</v>
      </c>
      <c r="E1164">
        <v>0.51142549999999998</v>
      </c>
      <c r="F1164" t="s">
        <v>41</v>
      </c>
      <c r="G1164">
        <v>-246.17750000000001</v>
      </c>
      <c r="H1164" s="1">
        <v>-2.2760860000000001E-6</v>
      </c>
      <c r="I1164">
        <v>366.8614</v>
      </c>
      <c r="J1164">
        <v>-279.05439999999999</v>
      </c>
      <c r="K1164">
        <v>1.078948</v>
      </c>
      <c r="L1164">
        <v>367.3254</v>
      </c>
      <c r="M1164">
        <v>0.99996960000000001</v>
      </c>
      <c r="N1164">
        <v>-6.0955030000000004E-3</v>
      </c>
      <c r="O1164">
        <v>4.8857479999999997E-3</v>
      </c>
      <c r="P1164">
        <v>0.98696609999999996</v>
      </c>
      <c r="Q1164">
        <v>0.16035469999999999</v>
      </c>
      <c r="R1164">
        <v>1.360392E-2</v>
      </c>
      <c r="S1164">
        <v>3.055847</v>
      </c>
      <c r="T1164">
        <v>-9.9725369999999994E-2</v>
      </c>
      <c r="U1164">
        <v>-4.2846679999999998E-2</v>
      </c>
      <c r="V1164">
        <v>-8.7749009999999999E-3</v>
      </c>
      <c r="W1164">
        <v>0.16636879999999901</v>
      </c>
      <c r="X1164">
        <v>0.98602460000000003</v>
      </c>
      <c r="Y1164">
        <v>1.8891370000000001E-2</v>
      </c>
      <c r="Z1164">
        <v>-4.9537400000000003E-4</v>
      </c>
      <c r="AA1164">
        <v>0.99982139999999997</v>
      </c>
      <c r="AB1164">
        <v>29</v>
      </c>
      <c r="AC1164">
        <v>32.8768999999999</v>
      </c>
      <c r="AD1164">
        <v>-1.0789502760859999</v>
      </c>
      <c r="AE1164">
        <v>-0.46399999999999803</v>
      </c>
      <c r="AF1164">
        <v>0.62395380335374195</v>
      </c>
      <c r="AG1164">
        <v>-1.0789502760859999</v>
      </c>
      <c r="AH1164">
        <v>32.838879686840301</v>
      </c>
      <c r="AI1164">
        <v>91.8814869267852</v>
      </c>
      <c r="AJ1164">
        <v>88.9114848405072</v>
      </c>
      <c r="AK1164">
        <v>32.862523809557899</v>
      </c>
      <c r="AL1164">
        <v>80.423240351342002</v>
      </c>
      <c r="AM1164">
        <v>90.509877259736996</v>
      </c>
      <c r="AN1164">
        <v>1.0000000441530701</v>
      </c>
    </row>
    <row r="1165" spans="1:40" x14ac:dyDescent="0.25">
      <c r="A1165" t="str">
        <f>"20190303161901146"</f>
        <v>20190303161901146</v>
      </c>
      <c r="B1165" t="str">
        <f>"1551601141133956"</f>
        <v>1551601141133956</v>
      </c>
      <c r="C1165" t="s">
        <v>40</v>
      </c>
      <c r="D1165">
        <v>4.6473550000000001</v>
      </c>
      <c r="E1165">
        <v>0.51148570000000004</v>
      </c>
      <c r="F1165" t="s">
        <v>41</v>
      </c>
      <c r="G1165">
        <v>-244.81139999999999</v>
      </c>
      <c r="H1165" s="1">
        <v>-2.9292190000000002E-6</v>
      </c>
      <c r="I1165">
        <v>366.82</v>
      </c>
      <c r="J1165">
        <v>-278.90269999999998</v>
      </c>
      <c r="K1165">
        <v>1.079799</v>
      </c>
      <c r="L1165">
        <v>367.32619999999997</v>
      </c>
      <c r="M1165">
        <v>0.99997440000000004</v>
      </c>
      <c r="N1165">
        <v>-5.2300480000000002E-3</v>
      </c>
      <c r="O1165">
        <v>4.8858460000000001E-3</v>
      </c>
      <c r="P1165">
        <v>0.98681319999999995</v>
      </c>
      <c r="Q1165">
        <v>0.16128039999999999</v>
      </c>
      <c r="R1165">
        <v>1.3732100000000001E-2</v>
      </c>
      <c r="S1165">
        <v>3.0558779999999999</v>
      </c>
      <c r="T1165">
        <v>-9.6286650000000001E-2</v>
      </c>
      <c r="U1165">
        <v>-4.5104980000000003E-2</v>
      </c>
      <c r="V1165">
        <v>-8.9036189999999998E-3</v>
      </c>
      <c r="W1165">
        <v>0.16644030000000001</v>
      </c>
      <c r="X1165">
        <v>0.98601130000000003</v>
      </c>
      <c r="Y1165">
        <v>1.963063E-2</v>
      </c>
      <c r="Z1165">
        <v>-4.888809E-4</v>
      </c>
      <c r="AA1165">
        <v>0.99980720000000001</v>
      </c>
      <c r="AB1165">
        <v>29</v>
      </c>
      <c r="AC1165">
        <v>34.091299999999897</v>
      </c>
      <c r="AD1165">
        <v>-1.079801929219</v>
      </c>
      <c r="AE1165">
        <v>-0.506199999999978</v>
      </c>
      <c r="AF1165">
        <v>0.67208696558427194</v>
      </c>
      <c r="AG1165">
        <v>-1.079801929219</v>
      </c>
      <c r="AH1165">
        <v>34.054263060412602</v>
      </c>
      <c r="AI1165">
        <v>91.815788468825303</v>
      </c>
      <c r="AJ1165">
        <v>88.869370683531301</v>
      </c>
      <c r="AK1165">
        <v>34.078006187032599</v>
      </c>
      <c r="AL1165">
        <v>80.419085020779505</v>
      </c>
      <c r="AM1165">
        <v>90.517363164311107</v>
      </c>
      <c r="AN1165">
        <v>0.99999996581153705</v>
      </c>
    </row>
    <row r="1166" spans="1:40" x14ac:dyDescent="0.25">
      <c r="A1166" t="str">
        <f>"20190303161901157"</f>
        <v>20190303161901157</v>
      </c>
      <c r="B1166" t="str">
        <f>"1551601141143716"</f>
        <v>1551601141143716</v>
      </c>
      <c r="C1166" t="s">
        <v>40</v>
      </c>
      <c r="D1166">
        <v>4.6908849999999997</v>
      </c>
      <c r="E1166">
        <v>0.51161210000000001</v>
      </c>
      <c r="F1166" t="s">
        <v>41</v>
      </c>
      <c r="G1166">
        <v>-243.23830000000001</v>
      </c>
      <c r="H1166" s="1">
        <v>-3.676787E-6</v>
      </c>
      <c r="I1166">
        <v>366.79759999999999</v>
      </c>
      <c r="J1166">
        <v>-278.75709999999998</v>
      </c>
      <c r="K1166">
        <v>1.080614</v>
      </c>
      <c r="L1166">
        <v>367.32690000000002</v>
      </c>
      <c r="M1166">
        <v>0.99997809999999998</v>
      </c>
      <c r="N1166">
        <v>-4.471086E-3</v>
      </c>
      <c r="O1166">
        <v>4.8858640000000002E-3</v>
      </c>
      <c r="P1166">
        <v>0.98668520000000004</v>
      </c>
      <c r="Q1166">
        <v>0.16206479999999901</v>
      </c>
      <c r="R1166">
        <v>1.36957E-2</v>
      </c>
      <c r="S1166">
        <v>3.0558169999999998</v>
      </c>
      <c r="T1166">
        <v>-9.2520240000000004E-2</v>
      </c>
      <c r="U1166">
        <v>-4.5288090000000003E-2</v>
      </c>
      <c r="V1166">
        <v>-8.8678349999999993E-3</v>
      </c>
      <c r="W1166">
        <v>0.16647509999999999</v>
      </c>
      <c r="X1166">
        <v>0.98600580000000004</v>
      </c>
      <c r="Y1166">
        <v>1.9691879999999998E-2</v>
      </c>
      <c r="Z1166">
        <v>-4.6810230000000002E-4</v>
      </c>
      <c r="AA1166">
        <v>0.99980599999999997</v>
      </c>
      <c r="AB1166">
        <v>29</v>
      </c>
      <c r="AC1166">
        <v>35.518799999999899</v>
      </c>
      <c r="AD1166">
        <v>-1.0806176767869999</v>
      </c>
      <c r="AE1166">
        <v>-0.52930000000003397</v>
      </c>
      <c r="AF1166">
        <v>0.70218563257398403</v>
      </c>
      <c r="AG1166">
        <v>-1.0806176767869999</v>
      </c>
      <c r="AH1166">
        <v>35.482953879604203</v>
      </c>
      <c r="AI1166">
        <v>91.744037226150596</v>
      </c>
      <c r="AJ1166">
        <v>88.8663000651879</v>
      </c>
      <c r="AK1166">
        <v>35.5063489428031</v>
      </c>
      <c r="AL1166">
        <v>80.417063416633496</v>
      </c>
      <c r="AM1166">
        <v>90.515286847584207</v>
      </c>
      <c r="AN1166">
        <v>1.0000000175256101</v>
      </c>
    </row>
    <row r="1167" spans="1:40" x14ac:dyDescent="0.25">
      <c r="A1167" t="str">
        <f>"20190303161901170"</f>
        <v>20190303161901170</v>
      </c>
      <c r="B1167" t="str">
        <f>"1551601141164212"</f>
        <v>1551601141164212</v>
      </c>
      <c r="C1167" t="s">
        <v>40</v>
      </c>
      <c r="D1167">
        <v>4.701657</v>
      </c>
      <c r="E1167">
        <v>0.51182159999999999</v>
      </c>
      <c r="F1167" t="s">
        <v>41</v>
      </c>
      <c r="G1167">
        <v>-241.6669</v>
      </c>
      <c r="H1167" s="1">
        <v>-4.4258659999999997E-6</v>
      </c>
      <c r="I1167">
        <v>366.76240000000001</v>
      </c>
      <c r="J1167">
        <v>-278.60359999999997</v>
      </c>
      <c r="K1167">
        <v>1.081504</v>
      </c>
      <c r="L1167">
        <v>367.32760000000002</v>
      </c>
      <c r="M1167">
        <v>0.99998069999999895</v>
      </c>
      <c r="N1167">
        <v>-3.8547619999999999E-3</v>
      </c>
      <c r="O1167">
        <v>4.8856769999999997E-3</v>
      </c>
      <c r="P1167">
        <v>0.98658250000000003</v>
      </c>
      <c r="Q1167">
        <v>0.1627036</v>
      </c>
      <c r="R1167">
        <v>1.35272E-2</v>
      </c>
      <c r="S1167">
        <v>3.0557560000000001</v>
      </c>
      <c r="T1167">
        <v>-8.9028949999999996E-2</v>
      </c>
      <c r="U1167">
        <v>-4.6508790000000001E-2</v>
      </c>
      <c r="V1167">
        <v>-8.7004109999999999E-3</v>
      </c>
      <c r="W1167">
        <v>0.16650570000000001</v>
      </c>
      <c r="X1167">
        <v>0.98600209999999999</v>
      </c>
      <c r="Y1167">
        <v>2.0092059999999998E-2</v>
      </c>
      <c r="Z1167">
        <v>-4.5482459999999998E-4</v>
      </c>
      <c r="AA1167">
        <v>0.99979810000000002</v>
      </c>
      <c r="AB1167">
        <v>29</v>
      </c>
      <c r="AC1167">
        <v>36.936699999999902</v>
      </c>
      <c r="AD1167">
        <v>-1.0815084258659999</v>
      </c>
      <c r="AE1167">
        <v>-0.56520000000000403</v>
      </c>
      <c r="AF1167">
        <v>0.74501679970202295</v>
      </c>
      <c r="AG1167">
        <v>-1.0815084258659999</v>
      </c>
      <c r="AH1167">
        <v>36.901868396256198</v>
      </c>
      <c r="AI1167">
        <v>91.678384441912897</v>
      </c>
      <c r="AJ1167">
        <v>88.843404903391004</v>
      </c>
      <c r="AK1167">
        <v>36.925229879334097</v>
      </c>
      <c r="AL1167">
        <v>80.415285114536999</v>
      </c>
      <c r="AM1167">
        <v>90.5055606808519</v>
      </c>
      <c r="AN1167">
        <v>0.99999999324423405</v>
      </c>
    </row>
    <row r="1168" spans="1:40" x14ac:dyDescent="0.25">
      <c r="A1168" t="str">
        <f>"20190303161901180"</f>
        <v>20190303161901180</v>
      </c>
      <c r="B1168" t="str">
        <f>"1551601141173972"</f>
        <v>1551601141173972</v>
      </c>
      <c r="C1168" t="s">
        <v>40</v>
      </c>
      <c r="D1168">
        <v>4.682887</v>
      </c>
      <c r="E1168">
        <v>0.51191370000000003</v>
      </c>
      <c r="F1168" t="s">
        <v>41</v>
      </c>
      <c r="G1168">
        <v>-239.60769999999999</v>
      </c>
      <c r="H1168" s="1">
        <v>-8.9405049999999995E-7</v>
      </c>
      <c r="I1168">
        <v>366.7056</v>
      </c>
      <c r="J1168">
        <v>-278.4545</v>
      </c>
      <c r="K1168">
        <v>1.082436</v>
      </c>
      <c r="L1168">
        <v>367.32839999999999</v>
      </c>
      <c r="M1168">
        <v>0.99998160000000003</v>
      </c>
      <c r="N1168">
        <v>-3.5784979999999998E-3</v>
      </c>
      <c r="O1168">
        <v>4.8858410000000001E-3</v>
      </c>
      <c r="P1168">
        <v>0.98650499999999997</v>
      </c>
      <c r="Q1168">
        <v>0.16319029999999901</v>
      </c>
      <c r="R1168">
        <v>1.329106E-2</v>
      </c>
      <c r="S1168">
        <v>3.05545</v>
      </c>
      <c r="T1168">
        <v>-8.4739090000000003E-2</v>
      </c>
      <c r="U1168">
        <v>-4.873657E-2</v>
      </c>
      <c r="V1168">
        <v>-8.46407699999999E-3</v>
      </c>
      <c r="W1168">
        <v>0.16672010000000001</v>
      </c>
      <c r="X1168">
        <v>0.98596790000000001</v>
      </c>
      <c r="Y1168">
        <v>2.0823270000000001E-2</v>
      </c>
      <c r="Z1168">
        <v>-4.4393759999999998E-4</v>
      </c>
      <c r="AA1168">
        <v>0.99978310000000004</v>
      </c>
      <c r="AB1168">
        <v>29</v>
      </c>
      <c r="AC1168">
        <v>38.846800000000002</v>
      </c>
      <c r="AD1168">
        <v>-1.0824368940505</v>
      </c>
      <c r="AE1168">
        <v>-0.62279999999998303</v>
      </c>
      <c r="AF1168">
        <v>0.81196282213057003</v>
      </c>
      <c r="AG1168">
        <v>-1.0824368940505</v>
      </c>
      <c r="AH1168">
        <v>38.813165972184201</v>
      </c>
      <c r="AI1168">
        <v>91.597123989589804</v>
      </c>
      <c r="AJ1168">
        <v>88.801559809537096</v>
      </c>
      <c r="AK1168">
        <v>38.8367455644579</v>
      </c>
      <c r="AL1168">
        <v>80.402826498119296</v>
      </c>
      <c r="AM1168">
        <v>90.491845603978305</v>
      </c>
      <c r="AN1168">
        <v>0.99999996608693997</v>
      </c>
    </row>
    <row r="1169" spans="1:40" x14ac:dyDescent="0.25">
      <c r="A1169" t="str">
        <f>"20190303161901192"</f>
        <v>20190303161901192</v>
      </c>
      <c r="B1169" t="str">
        <f>"1551601141183732"</f>
        <v>1551601141183732</v>
      </c>
      <c r="C1169" t="s">
        <v>40</v>
      </c>
      <c r="D1169">
        <v>4.6755930000000001</v>
      </c>
      <c r="E1169">
        <v>0.51198299999999997</v>
      </c>
      <c r="F1169" t="s">
        <v>41</v>
      </c>
      <c r="G1169">
        <v>-238.4545</v>
      </c>
      <c r="H1169" s="1">
        <v>-1.2950329999999999E-6</v>
      </c>
      <c r="I1169">
        <v>366.67349999999999</v>
      </c>
      <c r="J1169">
        <v>-278.3141</v>
      </c>
      <c r="K1169">
        <v>1.0834589999999999</v>
      </c>
      <c r="L1169">
        <v>367.32900000000001</v>
      </c>
      <c r="M1169">
        <v>0.99998169999999997</v>
      </c>
      <c r="N1169">
        <v>-3.5987889999999998E-3</v>
      </c>
      <c r="O1169">
        <v>4.8855060000000004E-3</v>
      </c>
      <c r="P1169">
        <v>0.98648279999999999</v>
      </c>
      <c r="Q1169">
        <v>0.1633221</v>
      </c>
      <c r="R1169">
        <v>1.3328639999999999E-2</v>
      </c>
      <c r="S1169">
        <v>3.0553889999999999</v>
      </c>
      <c r="T1169">
        <v>-8.2681539999999998E-2</v>
      </c>
      <c r="U1169">
        <v>-5.0018310000000003E-2</v>
      </c>
      <c r="V1169">
        <v>-8.5024090000000007E-3</v>
      </c>
      <c r="W1169">
        <v>0.16687199999999999</v>
      </c>
      <c r="X1169">
        <v>0.98594190000000004</v>
      </c>
      <c r="Y1169">
        <v>2.1242859999999999E-2</v>
      </c>
      <c r="Z1169">
        <v>-4.4018459999999997E-4</v>
      </c>
      <c r="AA1169">
        <v>0.9997743</v>
      </c>
      <c r="AB1169">
        <v>29</v>
      </c>
      <c r="AC1169">
        <v>39.8596</v>
      </c>
      <c r="AD1169">
        <v>-1.0834602950329999</v>
      </c>
      <c r="AE1169">
        <v>-0.65550000000001696</v>
      </c>
      <c r="AF1169">
        <v>0.84960016873063104</v>
      </c>
      <c r="AG1169">
        <v>-1.0834602950329999</v>
      </c>
      <c r="AH1169">
        <v>39.826503716481596</v>
      </c>
      <c r="AI1169">
        <v>91.557964649575695</v>
      </c>
      <c r="AJ1169">
        <v>88.777921302124</v>
      </c>
      <c r="AK1169">
        <v>39.850296171252502</v>
      </c>
      <c r="AL1169">
        <v>80.393999875455407</v>
      </c>
      <c r="AM1169">
        <v>90.494085986089303</v>
      </c>
      <c r="AN1169">
        <v>0.99999999275920604</v>
      </c>
    </row>
    <row r="1170" spans="1:40" x14ac:dyDescent="0.25">
      <c r="A1170" t="str">
        <f>"20190303161901204"</f>
        <v>20190303161901204</v>
      </c>
      <c r="B1170" t="str">
        <f>"1551601141193492"</f>
        <v>1551601141193492</v>
      </c>
      <c r="C1170" t="s">
        <v>40</v>
      </c>
      <c r="D1170">
        <v>4.6661960000000002</v>
      </c>
      <c r="E1170">
        <v>0.51200179999999995</v>
      </c>
      <c r="F1170" t="s">
        <v>41</v>
      </c>
      <c r="G1170">
        <v>-237.89609999999999</v>
      </c>
      <c r="H1170" s="1">
        <v>-1.4886489999999999E-6</v>
      </c>
      <c r="I1170">
        <v>366.6601</v>
      </c>
      <c r="J1170">
        <v>-278.16000000000003</v>
      </c>
      <c r="K1170">
        <v>1.084681</v>
      </c>
      <c r="L1170">
        <v>367.32979999999998</v>
      </c>
      <c r="M1170">
        <v>0.99998089999999995</v>
      </c>
      <c r="N1170">
        <v>-3.811465E-3</v>
      </c>
      <c r="O1170">
        <v>4.8851060000000002E-3</v>
      </c>
      <c r="P1170">
        <v>0.98652479999999998</v>
      </c>
      <c r="Q1170">
        <v>0.16308349999999999</v>
      </c>
      <c r="R1170">
        <v>1.314659E-2</v>
      </c>
      <c r="S1170">
        <v>3.0553889999999999</v>
      </c>
      <c r="T1170">
        <v>-8.1903699999999996E-2</v>
      </c>
      <c r="U1170">
        <v>-5.0567630000000002E-2</v>
      </c>
      <c r="V1170">
        <v>-8.3205069999999996E-3</v>
      </c>
      <c r="W1170">
        <v>0.16684280000000001</v>
      </c>
      <c r="X1170">
        <v>0.98594839999999995</v>
      </c>
      <c r="Y1170">
        <v>2.1422239999999999E-2</v>
      </c>
      <c r="Z1170">
        <v>-4.4019559999999998E-4</v>
      </c>
      <c r="AA1170">
        <v>0.99977039999999995</v>
      </c>
      <c r="AB1170">
        <v>29</v>
      </c>
      <c r="AC1170">
        <v>40.2639</v>
      </c>
      <c r="AD1170">
        <v>-1.0846824886489901</v>
      </c>
      <c r="AE1170">
        <v>-0.66969999999997698</v>
      </c>
      <c r="AF1170">
        <v>0.86575870708512004</v>
      </c>
      <c r="AG1170">
        <v>-1.0846824886489901</v>
      </c>
      <c r="AH1170">
        <v>40.230959338662103</v>
      </c>
      <c r="AI1170">
        <v>91.544042268911198</v>
      </c>
      <c r="AJ1170">
        <v>88.767201535496397</v>
      </c>
      <c r="AK1170">
        <v>40.254889933387702</v>
      </c>
      <c r="AL1170">
        <v>80.395696761476898</v>
      </c>
      <c r="AM1170">
        <v>90.483512745397604</v>
      </c>
      <c r="AN1170">
        <v>0.99999999910556803</v>
      </c>
    </row>
    <row r="1171" spans="1:40" x14ac:dyDescent="0.25">
      <c r="A1171" t="str">
        <f>"20190303161901216"</f>
        <v>20190303161901216</v>
      </c>
      <c r="B1171" t="str">
        <f>"1551601141204228"</f>
        <v>1551601141204228</v>
      </c>
      <c r="C1171" t="s">
        <v>40</v>
      </c>
      <c r="D1171">
        <v>4.6812459999999998</v>
      </c>
      <c r="E1171">
        <v>0.51199329999999998</v>
      </c>
      <c r="F1171" t="s">
        <v>41</v>
      </c>
      <c r="G1171">
        <v>-237.87809999999999</v>
      </c>
      <c r="H1171" s="1">
        <v>-1.496422E-6</v>
      </c>
      <c r="I1171">
        <v>366.65379999999999</v>
      </c>
      <c r="J1171">
        <v>-277.99540000000002</v>
      </c>
      <c r="K1171">
        <v>1.0861099999999999</v>
      </c>
      <c r="L1171">
        <v>367.3306</v>
      </c>
      <c r="M1171">
        <v>0.99997999999999998</v>
      </c>
      <c r="N1171">
        <v>-4.008106E-3</v>
      </c>
      <c r="O1171">
        <v>4.8848340000000002E-3</v>
      </c>
      <c r="P1171">
        <v>0.9865121</v>
      </c>
      <c r="Q1171">
        <v>0.16314389999999901</v>
      </c>
      <c r="R1171">
        <v>1.334254E-2</v>
      </c>
      <c r="S1171">
        <v>3.055237</v>
      </c>
      <c r="T1171">
        <v>-8.226907E-2</v>
      </c>
      <c r="U1171">
        <v>-5.1269530000000001E-2</v>
      </c>
      <c r="V1171">
        <v>-8.5166510000000001E-3</v>
      </c>
      <c r="W1171">
        <v>0.1670971</v>
      </c>
      <c r="X1171">
        <v>0.98590370000000005</v>
      </c>
      <c r="Y1171">
        <v>2.16522E-2</v>
      </c>
      <c r="Z1171">
        <v>-4.4677649999999997E-4</v>
      </c>
      <c r="AA1171">
        <v>0.99976549999999997</v>
      </c>
      <c r="AB1171">
        <v>29</v>
      </c>
      <c r="AC1171">
        <v>40.1173</v>
      </c>
      <c r="AD1171">
        <v>-1.086111496422</v>
      </c>
      <c r="AE1171">
        <v>-0.67680000000001395</v>
      </c>
      <c r="AF1171">
        <v>0.872120801988988</v>
      </c>
      <c r="AG1171">
        <v>-1.086111496422</v>
      </c>
      <c r="AH1171">
        <v>40.084143212942799</v>
      </c>
      <c r="AI1171">
        <v>91.551727546795107</v>
      </c>
      <c r="AJ1171">
        <v>88.753597939316094</v>
      </c>
      <c r="AK1171">
        <v>40.108337911108102</v>
      </c>
      <c r="AL1171">
        <v>80.380919390528604</v>
      </c>
      <c r="AM1171">
        <v>90.494932741056104</v>
      </c>
      <c r="AN1171">
        <v>1.0000000399231701</v>
      </c>
    </row>
    <row r="1172" spans="1:40" x14ac:dyDescent="0.25">
      <c r="A1172" t="str">
        <f>"20190303161901230"</f>
        <v>20190303161901230</v>
      </c>
      <c r="B1172" t="str">
        <f>"1551601141223749"</f>
        <v>1551601141223749</v>
      </c>
      <c r="C1172" t="s">
        <v>40</v>
      </c>
      <c r="D1172">
        <v>4.6666780000000001</v>
      </c>
      <c r="E1172">
        <v>0.5120053</v>
      </c>
      <c r="F1172" t="s">
        <v>41</v>
      </c>
      <c r="G1172">
        <v>-237.6694</v>
      </c>
      <c r="H1172" s="1">
        <v>-1.5639030000000001E-6</v>
      </c>
      <c r="I1172">
        <v>366.6671</v>
      </c>
      <c r="J1172">
        <v>-277.82400000000001</v>
      </c>
      <c r="K1172">
        <v>1.087631</v>
      </c>
      <c r="L1172">
        <v>367.33139999999997</v>
      </c>
      <c r="M1172">
        <v>0.99997970000000003</v>
      </c>
      <c r="N1172">
        <v>-4.1229719999999999E-3</v>
      </c>
      <c r="O1172">
        <v>4.8842989999999999E-3</v>
      </c>
      <c r="P1172">
        <v>0.98646469999999997</v>
      </c>
      <c r="Q1172">
        <v>0.1634118</v>
      </c>
      <c r="R1172">
        <v>1.357599E-2</v>
      </c>
      <c r="S1172">
        <v>3.0553279999999998</v>
      </c>
      <c r="T1172">
        <v>-8.2289810000000005E-2</v>
      </c>
      <c r="U1172">
        <v>-5.026245E-2</v>
      </c>
      <c r="V1172">
        <v>-8.750664E-3</v>
      </c>
      <c r="W1172">
        <v>0.1674784</v>
      </c>
      <c r="X1172">
        <v>0.98583690000000002</v>
      </c>
      <c r="Y1172">
        <v>2.132183E-2</v>
      </c>
      <c r="Z1172">
        <v>-4.4241300000000001E-4</v>
      </c>
      <c r="AA1172">
        <v>0.99977249999999995</v>
      </c>
      <c r="AB1172">
        <v>29</v>
      </c>
      <c r="AC1172">
        <v>40.154600000000002</v>
      </c>
      <c r="AD1172">
        <v>-1.087632563903</v>
      </c>
      <c r="AE1172">
        <v>-0.66429999999996803</v>
      </c>
      <c r="AF1172">
        <v>0.85979017092481402</v>
      </c>
      <c r="AG1172">
        <v>-1.087632563903</v>
      </c>
      <c r="AH1172">
        <v>40.121448973079403</v>
      </c>
      <c r="AI1172">
        <v>91.5524664607848</v>
      </c>
      <c r="AJ1172">
        <v>88.772357169123197</v>
      </c>
      <c r="AK1172">
        <v>40.145396391510303</v>
      </c>
      <c r="AL1172">
        <v>80.358759770172199</v>
      </c>
      <c r="AM1172">
        <v>90.508565816442797</v>
      </c>
      <c r="AN1172">
        <v>0.99999999099430503</v>
      </c>
    </row>
    <row r="1173" spans="1:40" x14ac:dyDescent="0.25">
      <c r="A1173" t="str">
        <f>"20190303161901245"</f>
        <v>20190303161901245</v>
      </c>
      <c r="B1173" t="str">
        <f>"1551601141233508"</f>
        <v>1551601141233508</v>
      </c>
      <c r="C1173" t="s">
        <v>40</v>
      </c>
      <c r="D1173">
        <v>4.6566729999999996</v>
      </c>
      <c r="E1173">
        <v>0.51203379999999998</v>
      </c>
      <c r="F1173" t="s">
        <v>41</v>
      </c>
      <c r="G1173">
        <v>-236.22040000000001</v>
      </c>
      <c r="H1173" s="1">
        <v>-2.1290280000000002E-6</v>
      </c>
      <c r="I1173">
        <v>366.65519999999998</v>
      </c>
      <c r="J1173">
        <v>-277.6327</v>
      </c>
      <c r="K1173">
        <v>1.089372</v>
      </c>
      <c r="L1173">
        <v>367.33240000000001</v>
      </c>
      <c r="M1173">
        <v>0.99997970000000003</v>
      </c>
      <c r="N1173">
        <v>-4.0984699999999999E-3</v>
      </c>
      <c r="O1173">
        <v>4.8841709999999997E-3</v>
      </c>
      <c r="P1173">
        <v>0.98641880000000004</v>
      </c>
      <c r="Q1173">
        <v>0.16366169999999999</v>
      </c>
      <c r="R1173">
        <v>1.388472E-2</v>
      </c>
      <c r="S1173">
        <v>3.0550540000000002</v>
      </c>
      <c r="T1173">
        <v>-7.9867359999999998E-2</v>
      </c>
      <c r="U1173">
        <v>-4.9652099999999998E-2</v>
      </c>
      <c r="V1173">
        <v>-9.0596289999999996E-3</v>
      </c>
      <c r="W1173">
        <v>0.16770360000000001</v>
      </c>
      <c r="X1173">
        <v>0.98579589999999995</v>
      </c>
      <c r="Y1173">
        <v>2.1124150000000001E-2</v>
      </c>
      <c r="Z1173">
        <v>-4.2699840000000002E-4</v>
      </c>
      <c r="AA1173">
        <v>0.99977680000000002</v>
      </c>
      <c r="AB1173">
        <v>29</v>
      </c>
      <c r="AC1173">
        <v>41.412299999999902</v>
      </c>
      <c r="AD1173">
        <v>-1.0893741290279999</v>
      </c>
      <c r="AE1173">
        <v>-0.677200000000027</v>
      </c>
      <c r="AF1173">
        <v>0.87885038367764401</v>
      </c>
      <c r="AG1173">
        <v>-1.0893741290279999</v>
      </c>
      <c r="AH1173">
        <v>41.379871940618301</v>
      </c>
      <c r="AI1173">
        <v>91.507691070049802</v>
      </c>
      <c r="AJ1173">
        <v>88.783301005066605</v>
      </c>
      <c r="AK1173">
        <v>41.403537479445603</v>
      </c>
      <c r="AL1173">
        <v>80.345672375249407</v>
      </c>
      <c r="AM1173">
        <v>90.526542961629403</v>
      </c>
      <c r="AN1173">
        <v>1.00000006539369</v>
      </c>
    </row>
    <row r="1174" spans="1:40" x14ac:dyDescent="0.25">
      <c r="A1174" t="str">
        <f>"20190303161901259"</f>
        <v>20190303161901259</v>
      </c>
      <c r="B1174" t="str">
        <f>"1551601141254004"</f>
        <v>1551601141254004</v>
      </c>
      <c r="C1174" t="s">
        <v>40</v>
      </c>
      <c r="D1174">
        <v>4.69095</v>
      </c>
      <c r="E1174">
        <v>0.51194709999999999</v>
      </c>
      <c r="F1174" t="s">
        <v>41</v>
      </c>
      <c r="G1174">
        <v>-235.32919999999999</v>
      </c>
      <c r="H1174" s="1">
        <v>-2.5117680000000002E-6</v>
      </c>
      <c r="I1174">
        <v>366.65280000000001</v>
      </c>
      <c r="J1174">
        <v>-277.44490000000002</v>
      </c>
      <c r="K1174">
        <v>1.091167</v>
      </c>
      <c r="L1174">
        <v>367.33330000000001</v>
      </c>
      <c r="M1174">
        <v>0.99997970000000003</v>
      </c>
      <c r="N1174">
        <v>-4.0737500000000001E-3</v>
      </c>
      <c r="O1174">
        <v>4.884223E-3</v>
      </c>
      <c r="P1174">
        <v>0.98639370000000004</v>
      </c>
      <c r="Q1174">
        <v>0.16381370000000001</v>
      </c>
      <c r="R1174">
        <v>1.38812E-2</v>
      </c>
      <c r="S1174">
        <v>3.0550540000000002</v>
      </c>
      <c r="T1174">
        <v>-7.8671809999999995E-2</v>
      </c>
      <c r="U1174">
        <v>-4.9072270000000001E-2</v>
      </c>
      <c r="V1174">
        <v>-9.0566080000000007E-3</v>
      </c>
      <c r="W1174">
        <v>0.16783139999999999</v>
      </c>
      <c r="X1174">
        <v>0.98577409999999999</v>
      </c>
      <c r="Y1174">
        <v>2.093484E-2</v>
      </c>
      <c r="Z1174">
        <v>-4.1799540000000003E-4</v>
      </c>
      <c r="AA1174">
        <v>0.99978080000000003</v>
      </c>
      <c r="AB1174">
        <v>29</v>
      </c>
      <c r="AC1174">
        <v>42.115699999999997</v>
      </c>
      <c r="AD1174">
        <v>-1.091169511768</v>
      </c>
      <c r="AE1174">
        <v>-0.680499999999994</v>
      </c>
      <c r="AF1174">
        <v>0.88560175411826603</v>
      </c>
      <c r="AG1174">
        <v>-1.091169511768</v>
      </c>
      <c r="AH1174">
        <v>42.083631847042298</v>
      </c>
      <c r="AI1174">
        <v>91.484937752654304</v>
      </c>
      <c r="AJ1174">
        <v>88.794453984697896</v>
      </c>
      <c r="AK1174">
        <v>42.107089792666699</v>
      </c>
      <c r="AL1174">
        <v>80.338243950574295</v>
      </c>
      <c r="AM1174">
        <v>90.526379031631606</v>
      </c>
      <c r="AN1174">
        <v>0.99999998860261696</v>
      </c>
    </row>
    <row r="1175" spans="1:40" x14ac:dyDescent="0.25">
      <c r="A1175" t="str">
        <f>"20190303161901272"</f>
        <v>20190303161901272</v>
      </c>
      <c r="B1175" t="str">
        <f>"1551601141263764"</f>
        <v>1551601141263764</v>
      </c>
      <c r="C1175" t="s">
        <v>40</v>
      </c>
      <c r="D1175">
        <v>4.7123559999999998</v>
      </c>
      <c r="E1175">
        <v>0.51185199999999997</v>
      </c>
      <c r="F1175" t="s">
        <v>41</v>
      </c>
      <c r="G1175">
        <v>-233.41390000000001</v>
      </c>
      <c r="H1175" s="1">
        <v>-3.3363339999999998E-6</v>
      </c>
      <c r="I1175">
        <v>366.63650000000001</v>
      </c>
      <c r="J1175">
        <v>-277.2833</v>
      </c>
      <c r="K1175">
        <v>1.0927639999999901</v>
      </c>
      <c r="L1175">
        <v>367.334</v>
      </c>
      <c r="M1175">
        <v>0.99997959999999997</v>
      </c>
      <c r="N1175">
        <v>-4.1416220000000002E-3</v>
      </c>
      <c r="O1175">
        <v>4.8840810000000002E-3</v>
      </c>
      <c r="P1175">
        <v>0.98636429999999997</v>
      </c>
      <c r="Q1175">
        <v>0.16396089999999999</v>
      </c>
      <c r="R1175">
        <v>1.4235879999999999E-2</v>
      </c>
      <c r="S1175">
        <v>3.0546259999999998</v>
      </c>
      <c r="T1175">
        <v>-7.5699089999999997E-2</v>
      </c>
      <c r="U1175">
        <v>-4.8339840000000002E-2</v>
      </c>
      <c r="V1175">
        <v>-9.4116200000000007E-3</v>
      </c>
      <c r="W1175">
        <v>0.16804530000000001</v>
      </c>
      <c r="X1175">
        <v>0.98573429999999995</v>
      </c>
      <c r="Y1175">
        <v>2.0698009999999999E-2</v>
      </c>
      <c r="Z1175">
        <v>-4.0007049999999999E-4</v>
      </c>
      <c r="AA1175">
        <v>0.9997857</v>
      </c>
      <c r="AB1175">
        <v>29</v>
      </c>
      <c r="AC1175">
        <v>43.869399999999899</v>
      </c>
      <c r="AD1175">
        <v>-1.09276733633399</v>
      </c>
      <c r="AE1175">
        <v>-0.69749999999999002</v>
      </c>
      <c r="AF1175">
        <v>0.911189961283004</v>
      </c>
      <c r="AG1175">
        <v>-1.09276733633399</v>
      </c>
      <c r="AH1175">
        <v>43.838275912788703</v>
      </c>
      <c r="AI1175">
        <v>91.427621860511195</v>
      </c>
      <c r="AJ1175">
        <v>88.809263784892593</v>
      </c>
      <c r="AK1175">
        <v>43.861359333731301</v>
      </c>
      <c r="AL1175">
        <v>80.325811495573603</v>
      </c>
      <c r="AM1175">
        <v>90.547033535515197</v>
      </c>
      <c r="AN1175">
        <v>0.99999995581980095</v>
      </c>
    </row>
    <row r="1176" spans="1:40" x14ac:dyDescent="0.25">
      <c r="A1176" t="str">
        <f>"20190303161901285"</f>
        <v>20190303161901285</v>
      </c>
      <c r="B1176" t="str">
        <f>"1551601141273524"</f>
        <v>1551601141273524</v>
      </c>
      <c r="C1176" t="s">
        <v>40</v>
      </c>
      <c r="D1176">
        <v>4.6689470000000002</v>
      </c>
      <c r="E1176">
        <v>0.51180179999999997</v>
      </c>
      <c r="F1176" t="s">
        <v>41</v>
      </c>
      <c r="G1176">
        <v>-231.9487</v>
      </c>
      <c r="H1176" s="1">
        <v>-3.9632289999999998E-6</v>
      </c>
      <c r="I1176">
        <v>366.64600000000002</v>
      </c>
      <c r="J1176">
        <v>-277.10640000000001</v>
      </c>
      <c r="K1176">
        <v>1.094538</v>
      </c>
      <c r="L1176">
        <v>367.3349</v>
      </c>
      <c r="M1176">
        <v>0.99997879999999995</v>
      </c>
      <c r="N1176">
        <v>-4.3015329999999997E-3</v>
      </c>
      <c r="O1176">
        <v>4.8842159999999898E-3</v>
      </c>
      <c r="P1176">
        <v>0.98630609999999996</v>
      </c>
      <c r="Q1176">
        <v>0.16430620000000001</v>
      </c>
      <c r="R1176">
        <v>1.4274149999999999E-2</v>
      </c>
      <c r="S1176">
        <v>3.0543819999999999</v>
      </c>
      <c r="T1176">
        <v>-7.3624129999999996E-2</v>
      </c>
      <c r="U1176">
        <v>-4.6356199999999903E-2</v>
      </c>
      <c r="V1176">
        <v>-9.4498120000000001E-3</v>
      </c>
      <c r="W1176">
        <v>0.1685478</v>
      </c>
      <c r="X1176">
        <v>0.98564819999999997</v>
      </c>
      <c r="Y1176">
        <v>2.00509E-2</v>
      </c>
      <c r="Z1176">
        <v>-3.8144580000000001E-4</v>
      </c>
      <c r="AA1176">
        <v>0.99979890000000005</v>
      </c>
      <c r="AB1176">
        <v>29</v>
      </c>
      <c r="AC1176">
        <v>45.157699999999998</v>
      </c>
      <c r="AD1176">
        <v>-1.0945419632289899</v>
      </c>
      <c r="AE1176">
        <v>-0.68890000000004603</v>
      </c>
      <c r="AF1176">
        <v>0.90891993065167298</v>
      </c>
      <c r="AG1176">
        <v>-1.0945419632289899</v>
      </c>
      <c r="AH1176">
        <v>45.127290880124903</v>
      </c>
      <c r="AI1176">
        <v>91.389129095673695</v>
      </c>
      <c r="AJ1176">
        <v>88.846147540003102</v>
      </c>
      <c r="AK1176">
        <v>45.149712509926502</v>
      </c>
      <c r="AL1176">
        <v>80.296604356911004</v>
      </c>
      <c r="AM1176">
        <v>90.549301217662403</v>
      </c>
      <c r="AN1176">
        <v>1.0000000169974499</v>
      </c>
    </row>
    <row r="1177" spans="1:40" x14ac:dyDescent="0.25">
      <c r="A1177" t="str">
        <f>"20190303161901297"</f>
        <v>20190303161901297</v>
      </c>
      <c r="B1177" t="str">
        <f>"1551601141284261"</f>
        <v>1551601141284261</v>
      </c>
      <c r="C1177" t="s">
        <v>40</v>
      </c>
      <c r="D1177">
        <v>4.7055089999999904</v>
      </c>
      <c r="E1177">
        <v>0.51174969999999997</v>
      </c>
      <c r="F1177" t="s">
        <v>41</v>
      </c>
      <c r="G1177">
        <v>-230.1918</v>
      </c>
      <c r="H1177" s="1">
        <v>-4.720086E-6</v>
      </c>
      <c r="I1177">
        <v>366.62799999999999</v>
      </c>
      <c r="J1177">
        <v>-276.95749999999998</v>
      </c>
      <c r="K1177">
        <v>1.096061</v>
      </c>
      <c r="L1177">
        <v>367.3356</v>
      </c>
      <c r="M1177">
        <v>0.99997760000000002</v>
      </c>
      <c r="N1177">
        <v>-4.5938699999999999E-3</v>
      </c>
      <c r="O1177">
        <v>4.8844509999999997E-3</v>
      </c>
      <c r="P1177">
        <v>0.98630830000000003</v>
      </c>
      <c r="Q1177">
        <v>0.1642853</v>
      </c>
      <c r="R1177">
        <v>1.4373250000000001E-2</v>
      </c>
      <c r="S1177">
        <v>3.0541990000000001</v>
      </c>
      <c r="T1177">
        <v>-7.1256040000000007E-2</v>
      </c>
      <c r="U1177">
        <v>-4.6020510000000001E-2</v>
      </c>
      <c r="V1177">
        <v>-9.549007E-3</v>
      </c>
      <c r="W1177">
        <v>0.1688152</v>
      </c>
      <c r="X1177">
        <v>0.98560150000000002</v>
      </c>
      <c r="Y1177">
        <v>1.9942649999999999E-2</v>
      </c>
      <c r="Z1177">
        <v>-3.6990930000000002E-4</v>
      </c>
      <c r="AA1177">
        <v>0.99980100000000005</v>
      </c>
      <c r="AB1177">
        <v>29</v>
      </c>
      <c r="AC1177">
        <v>46.765699999999903</v>
      </c>
      <c r="AD1177">
        <v>-1.096065720086</v>
      </c>
      <c r="AE1177">
        <v>-0.70759999999995604</v>
      </c>
      <c r="AF1177">
        <v>0.93550495526396404</v>
      </c>
      <c r="AG1177">
        <v>-1.096065720086</v>
      </c>
      <c r="AH1177">
        <v>46.736019112271997</v>
      </c>
      <c r="AI1177">
        <v>91.343200831410996</v>
      </c>
      <c r="AJ1177">
        <v>88.853275703520296</v>
      </c>
      <c r="AK1177">
        <v>46.758229351064202</v>
      </c>
      <c r="AL1177">
        <v>80.281060921976007</v>
      </c>
      <c r="AM1177">
        <v>90.555093191117905</v>
      </c>
      <c r="AN1177">
        <v>1.00000003604398</v>
      </c>
    </row>
    <row r="1178" spans="1:40" x14ac:dyDescent="0.25">
      <c r="A1178" t="str">
        <f>"20190303161901312"</f>
        <v>20190303161901312</v>
      </c>
      <c r="B1178" t="str">
        <f>"1551601141303295"</f>
        <v>1551601141303295</v>
      </c>
      <c r="C1178" t="s">
        <v>40</v>
      </c>
      <c r="D1178">
        <v>4.6900690000000003</v>
      </c>
      <c r="E1178">
        <v>0.51166099999999903</v>
      </c>
      <c r="F1178" t="s">
        <v>41</v>
      </c>
      <c r="G1178">
        <v>-229.30770000000001</v>
      </c>
      <c r="H1178" s="1">
        <v>-1.0180569999999999E-6</v>
      </c>
      <c r="I1178">
        <v>366.62329999999997</v>
      </c>
      <c r="J1178">
        <v>-276.78089999999997</v>
      </c>
      <c r="K1178">
        <v>1.0978589999999999</v>
      </c>
      <c r="L1178">
        <v>367.3365</v>
      </c>
      <c r="M1178">
        <v>0.99997570000000002</v>
      </c>
      <c r="N1178">
        <v>-4.996693E-3</v>
      </c>
      <c r="O1178">
        <v>4.8847839999999997E-3</v>
      </c>
      <c r="P1178">
        <v>0.98630700000000004</v>
      </c>
      <c r="Q1178">
        <v>0.164275799999999</v>
      </c>
      <c r="R1178">
        <v>1.4569E-2</v>
      </c>
      <c r="S1178">
        <v>3.0540470000000002</v>
      </c>
      <c r="T1178">
        <v>-7.0250389999999996E-2</v>
      </c>
      <c r="U1178">
        <v>-4.5654300000000002E-2</v>
      </c>
      <c r="V1178">
        <v>-9.7438569999999999E-3</v>
      </c>
      <c r="W1178">
        <v>0.16920250000000001</v>
      </c>
      <c r="X1178">
        <v>0.98553310000000005</v>
      </c>
      <c r="Y1178">
        <v>1.9824069999999999E-2</v>
      </c>
      <c r="Z1178">
        <v>-3.6543349999999998E-4</v>
      </c>
      <c r="AA1178">
        <v>0.99980340000000001</v>
      </c>
      <c r="AB1178">
        <v>29</v>
      </c>
      <c r="AC1178">
        <v>47.473199999999899</v>
      </c>
      <c r="AD1178">
        <v>-1.097860018057</v>
      </c>
      <c r="AE1178">
        <v>-0.71320000000002803</v>
      </c>
      <c r="AF1178">
        <v>0.94458563023417796</v>
      </c>
      <c r="AG1178">
        <v>-1.097860018057</v>
      </c>
      <c r="AH1178">
        <v>47.443782197643102</v>
      </c>
      <c r="AI1178">
        <v>91.325338369605007</v>
      </c>
      <c r="AJ1178">
        <v>88.859415961483904</v>
      </c>
      <c r="AK1178">
        <v>47.465882566844599</v>
      </c>
      <c r="AL1178">
        <v>80.258545636881706</v>
      </c>
      <c r="AM1178">
        <v>90.566458592361798</v>
      </c>
      <c r="AN1178">
        <v>0.99999995997554703</v>
      </c>
    </row>
    <row r="1179" spans="1:40" x14ac:dyDescent="0.25">
      <c r="A1179" t="str">
        <f>"20190303161901322"</f>
        <v>20190303161901322</v>
      </c>
      <c r="B1179" t="str">
        <f>"1551601141314031"</f>
        <v>1551601141314031</v>
      </c>
      <c r="C1179" t="s">
        <v>40</v>
      </c>
      <c r="D1179">
        <v>4.6896139999999997</v>
      </c>
      <c r="E1179">
        <v>0.51165320000000003</v>
      </c>
      <c r="F1179" t="s">
        <v>41</v>
      </c>
      <c r="G1179">
        <v>-227.8502</v>
      </c>
      <c r="H1179" s="1">
        <v>-1.514657E-6</v>
      </c>
      <c r="I1179">
        <v>366.62099999999998</v>
      </c>
      <c r="J1179">
        <v>-276.62329999999997</v>
      </c>
      <c r="K1179">
        <v>1.0994429999999999</v>
      </c>
      <c r="L1179">
        <v>367.3372</v>
      </c>
      <c r="M1179">
        <v>0.99997349999999996</v>
      </c>
      <c r="N1179">
        <v>-5.4184159999999997E-3</v>
      </c>
      <c r="O1179">
        <v>4.8850439999999998E-3</v>
      </c>
      <c r="P1179">
        <v>0.98632129999999996</v>
      </c>
      <c r="Q1179">
        <v>0.16418289999999999</v>
      </c>
      <c r="R1179">
        <v>1.4640439999999999E-2</v>
      </c>
      <c r="S1179">
        <v>3.0537109999999998</v>
      </c>
      <c r="T1179">
        <v>-6.8516140000000003E-2</v>
      </c>
      <c r="U1179">
        <v>-4.4647220000000001E-2</v>
      </c>
      <c r="V1179">
        <v>-9.8152059999999999E-3</v>
      </c>
      <c r="W1179">
        <v>0.16952529999999999</v>
      </c>
      <c r="X1179">
        <v>0.98547700000000005</v>
      </c>
      <c r="Y1179">
        <v>1.949671E-2</v>
      </c>
      <c r="Z1179">
        <v>-3.546383E-4</v>
      </c>
      <c r="AA1179">
        <v>0.99980990000000003</v>
      </c>
      <c r="AB1179">
        <v>29</v>
      </c>
      <c r="AC1179">
        <v>48.7730999999999</v>
      </c>
      <c r="AD1179">
        <v>-1.099444514657</v>
      </c>
      <c r="AE1179">
        <v>-0.71620000000001405</v>
      </c>
      <c r="AF1179">
        <v>0.95396901649230703</v>
      </c>
      <c r="AG1179">
        <v>-1.099444514657</v>
      </c>
      <c r="AH1179">
        <v>48.744255597311302</v>
      </c>
      <c r="AI1179">
        <v>91.291860879766702</v>
      </c>
      <c r="AJ1179">
        <v>88.878813083887195</v>
      </c>
      <c r="AK1179">
        <v>48.765984957357801</v>
      </c>
      <c r="AL1179">
        <v>80.239780258509597</v>
      </c>
      <c r="AM1179">
        <v>90.570638669913194</v>
      </c>
      <c r="AN1179">
        <v>1.0000000415689501</v>
      </c>
    </row>
    <row r="1180" spans="1:40" x14ac:dyDescent="0.25">
      <c r="A1180" t="str">
        <f>"20190303161901336"</f>
        <v>20190303161901336</v>
      </c>
      <c r="B1180" t="str">
        <f>"1551601141323791"</f>
        <v>1551601141323791</v>
      </c>
      <c r="C1180" t="s">
        <v>40</v>
      </c>
      <c r="D1180">
        <v>4.6904079999999997</v>
      </c>
      <c r="E1180">
        <v>0.51161239999999997</v>
      </c>
      <c r="F1180" t="s">
        <v>41</v>
      </c>
      <c r="G1180">
        <v>-227.38829999999999</v>
      </c>
      <c r="H1180" s="1">
        <v>-1.6708510000000001E-6</v>
      </c>
      <c r="I1180">
        <v>366.62470000000002</v>
      </c>
      <c r="J1180">
        <v>-276.4649</v>
      </c>
      <c r="K1180">
        <v>1.1009719999999901</v>
      </c>
      <c r="L1180">
        <v>367.33800000000002</v>
      </c>
      <c r="M1180">
        <v>0.9999709</v>
      </c>
      <c r="N1180">
        <v>-5.8770879999999999E-3</v>
      </c>
      <c r="O1180">
        <v>4.8850459999999997E-3</v>
      </c>
      <c r="P1180">
        <v>0.98639549999999998</v>
      </c>
      <c r="Q1180">
        <v>0.16371340000000001</v>
      </c>
      <c r="R1180">
        <v>1.489645E-2</v>
      </c>
      <c r="S1180">
        <v>3.0536500000000002</v>
      </c>
      <c r="T1180">
        <v>-6.8189620000000006E-2</v>
      </c>
      <c r="U1180">
        <v>-4.4189449999999998E-2</v>
      </c>
      <c r="V1180">
        <v>-1.0070870000000001E-2</v>
      </c>
      <c r="W1180">
        <v>0.169508399999999</v>
      </c>
      <c r="X1180">
        <v>0.9854773</v>
      </c>
      <c r="Y1180">
        <v>1.934721E-2</v>
      </c>
      <c r="Z1180">
        <v>-3.5320479999999998E-4</v>
      </c>
      <c r="AA1180">
        <v>0.99981279999999995</v>
      </c>
      <c r="AB1180">
        <v>29</v>
      </c>
      <c r="AC1180">
        <v>49.076599999999999</v>
      </c>
      <c r="AD1180">
        <v>-1.1009736708509901</v>
      </c>
      <c r="AE1180">
        <v>-0.71330000000000304</v>
      </c>
      <c r="AF1180">
        <v>0.95255775634233297</v>
      </c>
      <c r="AG1180">
        <v>-1.1009736708509901</v>
      </c>
      <c r="AH1180">
        <v>49.047850519994697</v>
      </c>
      <c r="AI1180">
        <v>91.285656058004307</v>
      </c>
      <c r="AJ1180">
        <v>88.887399174537606</v>
      </c>
      <c r="AK1180">
        <v>49.069452309301603</v>
      </c>
      <c r="AL1180">
        <v>80.240762509637406</v>
      </c>
      <c r="AM1180">
        <v>90.585501321603402</v>
      </c>
      <c r="AN1180">
        <v>1.0000000144542001</v>
      </c>
    </row>
    <row r="1181" spans="1:40" x14ac:dyDescent="0.25">
      <c r="A1181" t="str">
        <f>"20190303161901347"</f>
        <v>20190303161901347</v>
      </c>
      <c r="B1181" t="str">
        <f>"1551601141333551"</f>
        <v>1551601141333551</v>
      </c>
      <c r="C1181" t="s">
        <v>40</v>
      </c>
      <c r="D1181">
        <v>4.7108730000000003</v>
      </c>
      <c r="E1181">
        <v>0.51156599999999997</v>
      </c>
      <c r="F1181" t="s">
        <v>41</v>
      </c>
      <c r="G1181">
        <v>-227.75280000000001</v>
      </c>
      <c r="H1181" s="1">
        <v>-1.53863E-6</v>
      </c>
      <c r="I1181">
        <v>366.65539999999999</v>
      </c>
      <c r="J1181">
        <v>-276.32029999999997</v>
      </c>
      <c r="K1181">
        <v>1.1023400000000001</v>
      </c>
      <c r="L1181">
        <v>367.33870000000002</v>
      </c>
      <c r="M1181">
        <v>0.99996830000000003</v>
      </c>
      <c r="N1181">
        <v>-6.3010459999999898E-3</v>
      </c>
      <c r="O1181">
        <v>4.8849339999999996E-3</v>
      </c>
      <c r="P1181">
        <v>0.98645340000000004</v>
      </c>
      <c r="Q1181">
        <v>0.1633705</v>
      </c>
      <c r="R1181">
        <v>1.4827409999999999E-2</v>
      </c>
      <c r="S1181">
        <v>3.0534970000000001</v>
      </c>
      <c r="T1181">
        <v>-6.9013950000000004E-2</v>
      </c>
      <c r="U1181">
        <v>-4.278564E-2</v>
      </c>
      <c r="V1181">
        <v>-1.0001660000000001E-2</v>
      </c>
      <c r="W1181">
        <v>0.1695836</v>
      </c>
      <c r="X1181">
        <v>0.98546500000000004</v>
      </c>
      <c r="Y1181">
        <v>1.8888209999999999E-2</v>
      </c>
      <c r="Z1181">
        <v>-3.5254760000000003E-4</v>
      </c>
      <c r="AA1181">
        <v>0.99982150000000003</v>
      </c>
      <c r="AB1181">
        <v>29</v>
      </c>
      <c r="AC1181">
        <v>48.567499999999903</v>
      </c>
      <c r="AD1181">
        <v>-1.10234153863</v>
      </c>
      <c r="AE1181">
        <v>-0.68330000000003099</v>
      </c>
      <c r="AF1181">
        <v>0.92007168022901697</v>
      </c>
      <c r="AG1181">
        <v>-1.10234153863</v>
      </c>
      <c r="AH1181">
        <v>48.538582445745803</v>
      </c>
      <c r="AI1181">
        <v>91.300765726164499</v>
      </c>
      <c r="AJ1181">
        <v>88.914061577169804</v>
      </c>
      <c r="AK1181">
        <v>48.559815430116799</v>
      </c>
      <c r="AL1181">
        <v>80.236389920198405</v>
      </c>
      <c r="AM1181">
        <v>90.581485117596799</v>
      </c>
      <c r="AN1181">
        <v>0.99999994840835604</v>
      </c>
    </row>
    <row r="1182" spans="1:40" x14ac:dyDescent="0.25">
      <c r="A1182" t="str">
        <f>"20190303161901358"</f>
        <v>20190303161901358</v>
      </c>
      <c r="B1182" t="str">
        <f>"1551601141354047"</f>
        <v>1551601141354047</v>
      </c>
      <c r="C1182" t="s">
        <v>40</v>
      </c>
      <c r="D1182">
        <v>4.82911</v>
      </c>
      <c r="E1182">
        <v>0.49075730000000001</v>
      </c>
      <c r="F1182" t="s">
        <v>41</v>
      </c>
      <c r="G1182">
        <v>-227.9195</v>
      </c>
      <c r="H1182" s="1">
        <v>-1.4790219999999999E-6</v>
      </c>
      <c r="I1182">
        <v>366.66629999999998</v>
      </c>
      <c r="J1182">
        <v>-276.1628</v>
      </c>
      <c r="K1182">
        <v>1.1037429999999999</v>
      </c>
      <c r="L1182">
        <v>367.33949999999999</v>
      </c>
      <c r="M1182">
        <v>0.99996529999999995</v>
      </c>
      <c r="N1182">
        <v>-6.7620359999999999E-3</v>
      </c>
      <c r="O1182">
        <v>4.8849030000000003E-3</v>
      </c>
      <c r="P1182">
        <v>0.98650369999999998</v>
      </c>
      <c r="Q1182">
        <v>0.16306860000000001</v>
      </c>
      <c r="R1182">
        <v>1.481318E-2</v>
      </c>
      <c r="S1182">
        <v>3.0533139999999999</v>
      </c>
      <c r="T1182">
        <v>-6.9540019999999994E-2</v>
      </c>
      <c r="U1182">
        <v>-4.2419430000000001E-2</v>
      </c>
      <c r="V1182">
        <v>-9.9872950000000002E-3</v>
      </c>
      <c r="W1182">
        <v>0.16973629999999901</v>
      </c>
      <c r="X1182">
        <v>0.98543890000000001</v>
      </c>
      <c r="Y1182">
        <v>1.8769020000000001E-2</v>
      </c>
      <c r="Z1182">
        <v>-3.5537779999999998E-4</v>
      </c>
      <c r="AA1182">
        <v>0.99982380000000004</v>
      </c>
      <c r="AB1182">
        <v>29</v>
      </c>
      <c r="AC1182">
        <v>48.243299999999998</v>
      </c>
      <c r="AD1182">
        <v>-1.1037444790219999</v>
      </c>
      <c r="AE1182">
        <v>-0.67320000000000801</v>
      </c>
      <c r="AF1182">
        <v>0.90838578559224603</v>
      </c>
      <c r="AG1182">
        <v>-1.1037444790219999</v>
      </c>
      <c r="AH1182">
        <v>48.214203674506699</v>
      </c>
      <c r="AI1182">
        <v>91.311182937741407</v>
      </c>
      <c r="AJ1182">
        <v>88.920639340534805</v>
      </c>
      <c r="AK1182">
        <v>48.235390042760599</v>
      </c>
      <c r="AL1182">
        <v>80.227512576570902</v>
      </c>
      <c r="AM1182">
        <v>90.580665387931305</v>
      </c>
      <c r="AN1182">
        <v>0.99999999161615805</v>
      </c>
    </row>
    <row r="1183" spans="1:40" x14ac:dyDescent="0.25">
      <c r="A1183" t="str">
        <f>"20190303161901370"</f>
        <v>20190303161901370</v>
      </c>
      <c r="B1183" t="str">
        <f>"1551601141363807"</f>
        <v>1551601141363807</v>
      </c>
      <c r="C1183" t="s">
        <v>40</v>
      </c>
      <c r="D1183">
        <v>4.7233219999999996</v>
      </c>
      <c r="E1183">
        <v>0.47982849999999999</v>
      </c>
      <c r="F1183" t="s">
        <v>41</v>
      </c>
      <c r="G1183">
        <v>-222.613</v>
      </c>
      <c r="H1183" s="1">
        <v>-3.171751E-6</v>
      </c>
      <c r="I1183">
        <v>369.50119999999998</v>
      </c>
      <c r="J1183">
        <v>-276.01780000000002</v>
      </c>
      <c r="K1183">
        <v>1.104978</v>
      </c>
      <c r="L1183">
        <v>367.34019999999998</v>
      </c>
      <c r="M1183">
        <v>0.99996240000000003</v>
      </c>
      <c r="N1183">
        <v>-7.1798809999999999E-3</v>
      </c>
      <c r="O1183">
        <v>4.8849820000000004E-3</v>
      </c>
      <c r="P1183">
        <v>0.98662119999999998</v>
      </c>
      <c r="Q1183">
        <v>0.162382</v>
      </c>
      <c r="R1183">
        <v>1.45255E-2</v>
      </c>
      <c r="S1183">
        <v>3.0495909999999999</v>
      </c>
      <c r="T1183">
        <v>-6.2856789999999996E-2</v>
      </c>
      <c r="U1183">
        <v>0.12310790000000001</v>
      </c>
      <c r="V1183">
        <v>-9.6987740000000003E-3</v>
      </c>
      <c r="W1183">
        <v>0.16946240000000001</v>
      </c>
      <c r="X1183">
        <v>0.98548899999999995</v>
      </c>
      <c r="Y1183">
        <v>-3.5444490000000002E-2</v>
      </c>
      <c r="Z1183">
        <v>4.268365E-4</v>
      </c>
      <c r="AA1183">
        <v>0.99937149999999997</v>
      </c>
      <c r="AB1183">
        <v>29</v>
      </c>
      <c r="AC1183">
        <v>53.404800000000002</v>
      </c>
      <c r="AD1183">
        <v>-1.1049811717510001</v>
      </c>
      <c r="AE1183">
        <v>2.161</v>
      </c>
      <c r="AF1183">
        <v>-1.8992742737377599</v>
      </c>
      <c r="AG1183">
        <v>-1.1049811717510001</v>
      </c>
      <c r="AH1183">
        <v>53.391899565021703</v>
      </c>
      <c r="AI1183">
        <v>91.184856133672</v>
      </c>
      <c r="AJ1183">
        <v>92.037285348909606</v>
      </c>
      <c r="AK1183">
        <v>53.4370954049541</v>
      </c>
      <c r="AL1183">
        <v>80.2434373542674</v>
      </c>
      <c r="AM1183">
        <v>90.5638630939807</v>
      </c>
      <c r="AN1183">
        <v>1.00000007017592</v>
      </c>
    </row>
    <row r="1184" spans="1:40" x14ac:dyDescent="0.25">
      <c r="A1184" t="str">
        <f>"20190303161901382"</f>
        <v>20190303161901382</v>
      </c>
      <c r="B1184" t="str">
        <f>"1551601141373568"</f>
        <v>1551601141373568</v>
      </c>
      <c r="C1184" t="s">
        <v>40</v>
      </c>
      <c r="D1184">
        <v>4.6664599999999998</v>
      </c>
      <c r="E1184">
        <v>0.47046549999999998</v>
      </c>
      <c r="F1184" t="s">
        <v>41</v>
      </c>
      <c r="G1184">
        <v>-231.34979999999999</v>
      </c>
      <c r="H1184" s="1">
        <v>-3.904052E-6</v>
      </c>
      <c r="I1184">
        <v>370.40879999999999</v>
      </c>
      <c r="J1184">
        <v>-275.8614</v>
      </c>
      <c r="K1184">
        <v>1.1062559999999999</v>
      </c>
      <c r="L1184">
        <v>367.34100000000001</v>
      </c>
      <c r="M1184">
        <v>0.99995919999999905</v>
      </c>
      <c r="N1184">
        <v>-7.6222199999999999E-3</v>
      </c>
      <c r="O1184">
        <v>4.8848199999999998E-3</v>
      </c>
      <c r="P1184">
        <v>0.98671030000000004</v>
      </c>
      <c r="Q1184">
        <v>0.16183789999999901</v>
      </c>
      <c r="R1184">
        <v>1.454865E-2</v>
      </c>
      <c r="S1184">
        <v>3.0500180000000001</v>
      </c>
      <c r="T1184">
        <v>-7.5450299999999998E-2</v>
      </c>
      <c r="U1184">
        <v>0.20953369999999999</v>
      </c>
      <c r="V1184">
        <v>-9.7219820000000005E-3</v>
      </c>
      <c r="W1184">
        <v>0.1693547</v>
      </c>
      <c r="X1184">
        <v>0.98550720000000003</v>
      </c>
      <c r="Y1184">
        <v>-6.363866E-2</v>
      </c>
      <c r="Z1184">
        <v>9.4547529999999998E-4</v>
      </c>
      <c r="AA1184">
        <v>0.99797250000000004</v>
      </c>
      <c r="AB1184">
        <v>29</v>
      </c>
      <c r="AC1184">
        <v>44.511600000000001</v>
      </c>
      <c r="AD1184">
        <v>-1.10625990405199</v>
      </c>
      <c r="AE1184">
        <v>3.0677999999999699</v>
      </c>
      <c r="AF1184">
        <v>-2.8485747585312899</v>
      </c>
      <c r="AG1184">
        <v>-1.10625990405199</v>
      </c>
      <c r="AH1184">
        <v>44.4986987058941</v>
      </c>
      <c r="AI1184">
        <v>91.421200603568494</v>
      </c>
      <c r="AJ1184">
        <v>93.662779401441497</v>
      </c>
      <c r="AK1184">
        <v>44.603501831674599</v>
      </c>
      <c r="AL1184">
        <v>80.249697784212003</v>
      </c>
      <c r="AM1184">
        <v>90.565201825673</v>
      </c>
      <c r="AN1184">
        <v>0.99999998629896902</v>
      </c>
    </row>
    <row r="1185" spans="1:40" x14ac:dyDescent="0.25">
      <c r="A1185" t="str">
        <f>"20190303161901394"</f>
        <v>20190303161901394</v>
      </c>
      <c r="B1185" t="str">
        <f>"1551601141384303"</f>
        <v>1551601141384303</v>
      </c>
      <c r="C1185" t="s">
        <v>40</v>
      </c>
      <c r="D1185">
        <v>4.8353710000000003</v>
      </c>
      <c r="E1185">
        <v>0.46363100000000002</v>
      </c>
      <c r="F1185" t="s">
        <v>41</v>
      </c>
      <c r="G1185">
        <v>-241.41419999999999</v>
      </c>
      <c r="H1185" s="1">
        <v>-4.2872600000000002E-6</v>
      </c>
      <c r="I1185">
        <v>370.54919999999998</v>
      </c>
      <c r="J1185">
        <v>-275.71690000000001</v>
      </c>
      <c r="K1185">
        <v>1.107353</v>
      </c>
      <c r="L1185">
        <v>367.3417</v>
      </c>
      <c r="M1185">
        <v>0.99995599999999996</v>
      </c>
      <c r="N1185">
        <v>-8.0160700000000001E-3</v>
      </c>
      <c r="O1185">
        <v>4.8848149999999998E-3</v>
      </c>
      <c r="P1185">
        <v>0.98678900000000003</v>
      </c>
      <c r="Q1185">
        <v>0.16135849999999999</v>
      </c>
      <c r="R1185">
        <v>1.452065E-2</v>
      </c>
      <c r="S1185">
        <v>3.0522770000000001</v>
      </c>
      <c r="T1185">
        <v>-9.8022819999999997E-2</v>
      </c>
      <c r="U1185">
        <v>0.2842712</v>
      </c>
      <c r="V1185">
        <v>-9.6934689999999997E-3</v>
      </c>
      <c r="W1185">
        <v>0.16926449999999901</v>
      </c>
      <c r="X1185">
        <v>0.98552300000000004</v>
      </c>
      <c r="Y1185">
        <v>-8.7813069999999993E-2</v>
      </c>
      <c r="Z1185">
        <v>1.642056E-3</v>
      </c>
      <c r="AA1185">
        <v>0.99613560000000001</v>
      </c>
      <c r="AB1185">
        <v>29</v>
      </c>
      <c r="AC1185">
        <v>34.302700000000002</v>
      </c>
      <c r="AD1185">
        <v>-1.1073572872599999</v>
      </c>
      <c r="AE1185">
        <v>3.20749999999998</v>
      </c>
      <c r="AF1185">
        <v>-3.03675676864319</v>
      </c>
      <c r="AG1185">
        <v>-1.1073572872599999</v>
      </c>
      <c r="AH1185">
        <v>34.282542303142698</v>
      </c>
      <c r="AI1185">
        <v>91.842851729417802</v>
      </c>
      <c r="AJ1185">
        <v>95.062063301311895</v>
      </c>
      <c r="AK1185">
        <v>34.434587823877301</v>
      </c>
      <c r="AL1185">
        <v>80.254941791106702</v>
      </c>
      <c r="AM1185">
        <v>90.563535253028604</v>
      </c>
      <c r="AN1185">
        <v>1.0000000089152501</v>
      </c>
    </row>
    <row r="1186" spans="1:40" x14ac:dyDescent="0.25">
      <c r="A1186" t="str">
        <f>"20190303161901405"</f>
        <v>20190303161901405</v>
      </c>
      <c r="B1186" t="str">
        <f>"1551601141394064"</f>
        <v>1551601141394064</v>
      </c>
      <c r="C1186" t="s">
        <v>40</v>
      </c>
      <c r="D1186">
        <v>4.8191569999999997</v>
      </c>
      <c r="E1186">
        <v>0.4592466</v>
      </c>
      <c r="F1186" t="s">
        <v>41</v>
      </c>
      <c r="G1186">
        <v>-246.28819999999999</v>
      </c>
      <c r="H1186" s="1">
        <v>-1.9980350000000001E-6</v>
      </c>
      <c r="I1186">
        <v>370.60469999999998</v>
      </c>
      <c r="J1186">
        <v>-275.57459999999998</v>
      </c>
      <c r="K1186">
        <v>1.108411</v>
      </c>
      <c r="L1186">
        <v>367.3424</v>
      </c>
      <c r="M1186">
        <v>0.99995290000000003</v>
      </c>
      <c r="N1186">
        <v>-8.3995679999999996E-3</v>
      </c>
      <c r="O1186">
        <v>4.8845379999999999E-3</v>
      </c>
      <c r="P1186">
        <v>0.98686470000000004</v>
      </c>
      <c r="Q1186">
        <v>0.16089870000000001</v>
      </c>
      <c r="R1186">
        <v>1.4490299999999999E-2</v>
      </c>
      <c r="S1186">
        <v>3.0539860000000001</v>
      </c>
      <c r="T1186">
        <v>-0.1149169</v>
      </c>
      <c r="U1186">
        <v>0.33862300000000001</v>
      </c>
      <c r="V1186">
        <v>-9.6630599999999994E-3</v>
      </c>
      <c r="W1186">
        <v>0.16918320000000001</v>
      </c>
      <c r="X1186">
        <v>0.9855372</v>
      </c>
      <c r="Y1186">
        <v>-0.1052593</v>
      </c>
      <c r="Z1186">
        <v>2.274983E-3</v>
      </c>
      <c r="AA1186">
        <v>0.99444219999999905</v>
      </c>
      <c r="AB1186">
        <v>29</v>
      </c>
      <c r="AC1186">
        <v>29.286399999999901</v>
      </c>
      <c r="AD1186">
        <v>-1.1084129980349999</v>
      </c>
      <c r="AE1186">
        <v>3.2622999999999802</v>
      </c>
      <c r="AF1186">
        <v>-3.1147984905160202</v>
      </c>
      <c r="AG1186">
        <v>-1.1084129980349999</v>
      </c>
      <c r="AH1186">
        <v>29.260586167616999</v>
      </c>
      <c r="AI1186">
        <v>92.157193685000607</v>
      </c>
      <c r="AJ1186">
        <v>96.0762710497104</v>
      </c>
      <c r="AK1186">
        <v>29.446773199847801</v>
      </c>
      <c r="AL1186">
        <v>80.259667535216593</v>
      </c>
      <c r="AM1186">
        <v>90.561759428600098</v>
      </c>
      <c r="AN1186">
        <v>0.99999995123732</v>
      </c>
    </row>
    <row r="1187" spans="1:40" x14ac:dyDescent="0.25">
      <c r="A1187" t="str">
        <f>"20190303161901418"</f>
        <v>20190303161901418</v>
      </c>
      <c r="B1187" t="str">
        <f>"1551601141413583"</f>
        <v>1551601141413583</v>
      </c>
      <c r="C1187" t="s">
        <v>40</v>
      </c>
      <c r="D1187">
        <v>4.7446809999999999</v>
      </c>
      <c r="E1187">
        <v>0.45354220000000001</v>
      </c>
      <c r="F1187" t="s">
        <v>41</v>
      </c>
      <c r="G1187">
        <v>-246.63220000000001</v>
      </c>
      <c r="H1187" s="1">
        <v>-1.9090720000000001E-6</v>
      </c>
      <c r="I1187">
        <v>370.88139999999999</v>
      </c>
      <c r="J1187">
        <v>-275.40280000000001</v>
      </c>
      <c r="K1187">
        <v>1.109561</v>
      </c>
      <c r="L1187">
        <v>367.34320000000002</v>
      </c>
      <c r="M1187">
        <v>0.99994919999999998</v>
      </c>
      <c r="N1187">
        <v>-8.8360330000000001E-3</v>
      </c>
      <c r="O1187">
        <v>4.8846669999999997E-3</v>
      </c>
      <c r="P1187">
        <v>0.98695189999999999</v>
      </c>
      <c r="Q1187">
        <v>0.16036889999999901</v>
      </c>
      <c r="R1187">
        <v>1.442543E-2</v>
      </c>
      <c r="S1187">
        <v>3.053528</v>
      </c>
      <c r="T1187">
        <v>-0.11694160000000001</v>
      </c>
      <c r="U1187">
        <v>0.37338260000000001</v>
      </c>
      <c r="V1187">
        <v>-9.5979020000000002E-3</v>
      </c>
      <c r="W1187">
        <v>0.1690845</v>
      </c>
      <c r="X1187">
        <v>0.98555479999999995</v>
      </c>
      <c r="Y1187">
        <v>-0.1164232</v>
      </c>
      <c r="Z1187">
        <v>2.5934719999999999E-3</v>
      </c>
      <c r="AA1187">
        <v>0.99319630000000003</v>
      </c>
      <c r="AB1187">
        <v>29</v>
      </c>
      <c r="AC1187">
        <v>28.770600000000002</v>
      </c>
      <c r="AD1187">
        <v>-1.1095629090719901</v>
      </c>
      <c r="AE1187">
        <v>3.5381999999999598</v>
      </c>
      <c r="AF1187">
        <v>-3.3926467309855002</v>
      </c>
      <c r="AG1187">
        <v>-1.1095629090719901</v>
      </c>
      <c r="AH1187">
        <v>28.745423512936501</v>
      </c>
      <c r="AI1187">
        <v>92.195277119548507</v>
      </c>
      <c r="AJ1187">
        <v>96.731132011761503</v>
      </c>
      <c r="AK1187">
        <v>28.9661967580927</v>
      </c>
      <c r="AL1187">
        <v>80.265405534045797</v>
      </c>
      <c r="AM1187">
        <v>90.557961762255204</v>
      </c>
      <c r="AN1187">
        <v>0.99999997583304501</v>
      </c>
    </row>
    <row r="1188" spans="1:40" x14ac:dyDescent="0.25">
      <c r="A1188" t="str">
        <f>"20190303161901433"</f>
        <v>20190303161901433</v>
      </c>
      <c r="B1188" t="str">
        <f>"1551601141424320"</f>
        <v>1551601141424320</v>
      </c>
      <c r="C1188" t="s">
        <v>40</v>
      </c>
      <c r="D1188">
        <v>4.7530760000000001</v>
      </c>
      <c r="E1188">
        <v>0.45229140000000001</v>
      </c>
      <c r="F1188" t="s">
        <v>41</v>
      </c>
      <c r="G1188">
        <v>-249.34610000000001</v>
      </c>
      <c r="H1188" s="1">
        <v>-6.35715E-7</v>
      </c>
      <c r="I1188">
        <v>370.9171</v>
      </c>
      <c r="J1188">
        <v>-275.22550000000001</v>
      </c>
      <c r="K1188">
        <v>1.1106819999999999</v>
      </c>
      <c r="L1188">
        <v>367.34410000000003</v>
      </c>
      <c r="M1188">
        <v>0.99994519999999998</v>
      </c>
      <c r="N1188">
        <v>-9.2695710000000008E-3</v>
      </c>
      <c r="O1188">
        <v>4.8845349999999997E-3</v>
      </c>
      <c r="P1188">
        <v>0.98702279999999998</v>
      </c>
      <c r="Q1188">
        <v>0.1599322</v>
      </c>
      <c r="R1188">
        <v>1.443089E-2</v>
      </c>
      <c r="S1188">
        <v>3.0546570000000002</v>
      </c>
      <c r="T1188">
        <v>-0.1300752</v>
      </c>
      <c r="U1188">
        <v>0.41897580000000001</v>
      </c>
      <c r="V1188">
        <v>-9.6030869999999997E-3</v>
      </c>
      <c r="W1188">
        <v>0.16907559999999999</v>
      </c>
      <c r="X1188">
        <v>0.98555630000000005</v>
      </c>
      <c r="Y1188">
        <v>-0.13090689999999999</v>
      </c>
      <c r="Z1188">
        <v>3.220985E-3</v>
      </c>
      <c r="AA1188">
        <v>0.99138950000000003</v>
      </c>
      <c r="AB1188">
        <v>29</v>
      </c>
      <c r="AC1188">
        <v>25.8794</v>
      </c>
      <c r="AD1188">
        <v>-1.1106826357149999</v>
      </c>
      <c r="AE1188">
        <v>3.5729999999999702</v>
      </c>
      <c r="AF1188">
        <v>-3.4403248333646399</v>
      </c>
      <c r="AG1188">
        <v>-1.1106826357149999</v>
      </c>
      <c r="AH1188">
        <v>25.8498216561395</v>
      </c>
      <c r="AI1188">
        <v>92.438821843757296</v>
      </c>
      <c r="AJ1188">
        <v>97.580883656193706</v>
      </c>
      <c r="AK1188">
        <v>26.101393267995601</v>
      </c>
      <c r="AL1188">
        <v>80.265923144595206</v>
      </c>
      <c r="AM1188">
        <v>90.558262316916199</v>
      </c>
      <c r="AN1188">
        <v>0.99999999913248905</v>
      </c>
    </row>
    <row r="1189" spans="1:40" x14ac:dyDescent="0.25">
      <c r="A1189" t="str">
        <f>"20190303161901446"</f>
        <v>20190303161901446</v>
      </c>
      <c r="B1189" t="str">
        <f>"1551601141434079"</f>
        <v>1551601141434079</v>
      </c>
      <c r="C1189" t="s">
        <v>40</v>
      </c>
      <c r="D1189">
        <v>4.744014</v>
      </c>
      <c r="E1189">
        <v>0.45141340000000002</v>
      </c>
      <c r="F1189" t="s">
        <v>41</v>
      </c>
      <c r="G1189">
        <v>-249.90620000000001</v>
      </c>
      <c r="H1189" s="1">
        <v>-3.666982E-7</v>
      </c>
      <c r="I1189">
        <v>370.90120000000002</v>
      </c>
      <c r="J1189">
        <v>-275.0521</v>
      </c>
      <c r="K1189">
        <v>1.111704</v>
      </c>
      <c r="L1189">
        <v>367.34500000000003</v>
      </c>
      <c r="M1189">
        <v>0.99994119999999997</v>
      </c>
      <c r="N1189">
        <v>-9.6764710000000007E-3</v>
      </c>
      <c r="O1189">
        <v>4.8846180000000003E-3</v>
      </c>
      <c r="P1189">
        <v>0.98711530000000003</v>
      </c>
      <c r="Q1189">
        <v>0.15935879999999999</v>
      </c>
      <c r="R1189">
        <v>1.443613E-2</v>
      </c>
      <c r="S1189">
        <v>3.0548709999999999</v>
      </c>
      <c r="T1189">
        <v>-0.13400799999999999</v>
      </c>
      <c r="U1189">
        <v>0.42916870000000001</v>
      </c>
      <c r="V1189">
        <v>-9.6076029999999993E-3</v>
      </c>
      <c r="W1189">
        <v>0.16890450000000001</v>
      </c>
      <c r="X1189">
        <v>0.98558559999999995</v>
      </c>
      <c r="Y1189">
        <v>-0.13412950000000001</v>
      </c>
      <c r="Z1189">
        <v>3.4125959999999999E-3</v>
      </c>
      <c r="AA1189">
        <v>0.99095789999999995</v>
      </c>
      <c r="AB1189">
        <v>29</v>
      </c>
      <c r="AC1189">
        <v>25.145899999999902</v>
      </c>
      <c r="AD1189">
        <v>-1.1117043666982001</v>
      </c>
      <c r="AE1189">
        <v>3.5561999999999898</v>
      </c>
      <c r="AF1189">
        <v>-3.4267572991969</v>
      </c>
      <c r="AG1189">
        <v>-1.1117043666982001</v>
      </c>
      <c r="AH1189">
        <v>25.114846068094501</v>
      </c>
      <c r="AI1189">
        <v>92.511295206381206</v>
      </c>
      <c r="AJ1189">
        <v>97.769657836319993</v>
      </c>
      <c r="AK1189">
        <v>25.371914496360301</v>
      </c>
      <c r="AL1189">
        <v>80.275869566368996</v>
      </c>
      <c r="AM1189">
        <v>90.558508228702806</v>
      </c>
      <c r="AN1189">
        <v>1.0000000055414999</v>
      </c>
    </row>
    <row r="1190" spans="1:40" x14ac:dyDescent="0.25">
      <c r="A1190" t="str">
        <f>"20190303161901460"</f>
        <v>20190303161901460</v>
      </c>
      <c r="B1190" t="str">
        <f>"1551601141453601"</f>
        <v>1551601141453601</v>
      </c>
      <c r="C1190" t="s">
        <v>40</v>
      </c>
      <c r="D1190">
        <v>4.7566550000000003</v>
      </c>
      <c r="E1190">
        <v>0.44945449999999998</v>
      </c>
      <c r="F1190" t="s">
        <v>41</v>
      </c>
      <c r="G1190">
        <v>-250.54429999999999</v>
      </c>
      <c r="H1190" s="1">
        <v>-4.3089819999999997E-6</v>
      </c>
      <c r="I1190">
        <v>370.84640000000002</v>
      </c>
      <c r="J1190">
        <v>-274.8698</v>
      </c>
      <c r="K1190">
        <v>1.1126720000000001</v>
      </c>
      <c r="L1190">
        <v>367.3458</v>
      </c>
      <c r="M1190">
        <v>0.99993739999999998</v>
      </c>
      <c r="N1190">
        <v>-1.007331E-2</v>
      </c>
      <c r="O1190">
        <v>4.8844889999999997E-3</v>
      </c>
      <c r="P1190">
        <v>0.98715589999999998</v>
      </c>
      <c r="Q1190">
        <v>0.15911449999999999</v>
      </c>
      <c r="R1190">
        <v>1.4351910000000001E-2</v>
      </c>
      <c r="S1190">
        <v>3.055145</v>
      </c>
      <c r="T1190">
        <v>-0.13858570000000001</v>
      </c>
      <c r="U1190">
        <v>0.43649290000000002</v>
      </c>
      <c r="V1190">
        <v>-9.5232359999999992E-3</v>
      </c>
      <c r="W1190">
        <v>0.1690516</v>
      </c>
      <c r="X1190">
        <v>0.98556120000000003</v>
      </c>
      <c r="Y1190">
        <v>-0.13643229999999901</v>
      </c>
      <c r="Z1190">
        <v>3.5968910000000001E-3</v>
      </c>
      <c r="AA1190">
        <v>0.99064280000000005</v>
      </c>
      <c r="AB1190">
        <v>28</v>
      </c>
      <c r="AC1190">
        <v>24.325500000000002</v>
      </c>
      <c r="AD1190">
        <v>-1.112676308982</v>
      </c>
      <c r="AE1190">
        <v>3.5006000000000199</v>
      </c>
      <c r="AF1190">
        <v>-3.3748168684736699</v>
      </c>
      <c r="AG1190">
        <v>-1.112676308982</v>
      </c>
      <c r="AH1190">
        <v>24.292514425023899</v>
      </c>
      <c r="AI1190">
        <v>92.597588289567099</v>
      </c>
      <c r="AJ1190">
        <v>97.909144657472595</v>
      </c>
      <c r="AK1190">
        <v>24.551042636806699</v>
      </c>
      <c r="AL1190">
        <v>80.267318406190896</v>
      </c>
      <c r="AM1190">
        <v>90.553617826166402</v>
      </c>
      <c r="AN1190">
        <v>1.0000000072159501</v>
      </c>
    </row>
    <row r="1191" spans="1:40" x14ac:dyDescent="0.25">
      <c r="A1191" t="str">
        <f>"20190303161901472"</f>
        <v>20190303161901472</v>
      </c>
      <c r="B1191" t="str">
        <f>"1551601141464336"</f>
        <v>1551601141464336</v>
      </c>
      <c r="C1191" t="s">
        <v>40</v>
      </c>
      <c r="D1191">
        <v>4.7825989999999896</v>
      </c>
      <c r="E1191">
        <v>0.44873249999999998</v>
      </c>
      <c r="F1191" t="s">
        <v>41</v>
      </c>
      <c r="G1191">
        <v>-250.8186</v>
      </c>
      <c r="H1191" s="1">
        <v>-4.2255800000000001E-6</v>
      </c>
      <c r="I1191">
        <v>370.90230000000003</v>
      </c>
      <c r="J1191">
        <v>-274.72340000000003</v>
      </c>
      <c r="K1191">
        <v>1.113402</v>
      </c>
      <c r="L1191">
        <v>367.34660000000002</v>
      </c>
      <c r="M1191">
        <v>0.99993430000000005</v>
      </c>
      <c r="N1191">
        <v>-1.0375540000000001E-2</v>
      </c>
      <c r="O1191">
        <v>4.8843020000000001E-3</v>
      </c>
      <c r="P1191">
        <v>0.98717580000000005</v>
      </c>
      <c r="Q1191">
        <v>0.1590046</v>
      </c>
      <c r="R1191">
        <v>1.419755E-2</v>
      </c>
      <c r="S1191">
        <v>3.055237</v>
      </c>
      <c r="T1191">
        <v>-0.14134289999999999</v>
      </c>
      <c r="U1191">
        <v>0.45178220000000002</v>
      </c>
      <c r="V1191">
        <v>-9.3692559999999994E-3</v>
      </c>
      <c r="W1191">
        <v>0.1692391</v>
      </c>
      <c r="X1191">
        <v>0.98553049999999998</v>
      </c>
      <c r="Y1191">
        <v>-0.14126849999999999</v>
      </c>
      <c r="Z1191">
        <v>3.8114490000000002E-3</v>
      </c>
      <c r="AA1191">
        <v>0.98996399999999996</v>
      </c>
      <c r="AB1191">
        <v>28</v>
      </c>
      <c r="AC1191">
        <v>23.904800000000002</v>
      </c>
      <c r="AD1191">
        <v>-1.1134062255799999</v>
      </c>
      <c r="AE1191">
        <v>3.5556999999999999</v>
      </c>
      <c r="AF1191">
        <v>-3.4316096939601799</v>
      </c>
      <c r="AG1191">
        <v>-1.1134062255799999</v>
      </c>
      <c r="AH1191">
        <v>23.871217913404401</v>
      </c>
      <c r="AI1191">
        <v>92.643331927654003</v>
      </c>
      <c r="AJ1191">
        <v>98.180517058292295</v>
      </c>
      <c r="AK1191">
        <v>24.142300287753901</v>
      </c>
      <c r="AL1191">
        <v>80.256418429534094</v>
      </c>
      <c r="AM1191">
        <v>90.544683958920601</v>
      </c>
      <c r="AN1191">
        <v>1.0000000111785201</v>
      </c>
    </row>
    <row r="1192" spans="1:40" x14ac:dyDescent="0.25">
      <c r="A1192" t="str">
        <f>"20190303161901482"</f>
        <v>20190303161901482</v>
      </c>
      <c r="B1192" t="str">
        <f>"1551601141474095"</f>
        <v>1551601141474095</v>
      </c>
      <c r="C1192" t="s">
        <v>40</v>
      </c>
      <c r="D1192">
        <v>4.7943939999999996</v>
      </c>
      <c r="E1192">
        <v>0.44815369999999999</v>
      </c>
      <c r="F1192" t="s">
        <v>41</v>
      </c>
      <c r="G1192">
        <v>-250.8681</v>
      </c>
      <c r="H1192" s="1">
        <v>-4.2114029999999999E-6</v>
      </c>
      <c r="I1192">
        <v>370.91739999999999</v>
      </c>
      <c r="J1192">
        <v>-274.58089999999999</v>
      </c>
      <c r="K1192">
        <v>1.114069</v>
      </c>
      <c r="L1192">
        <v>367.34730000000002</v>
      </c>
      <c r="M1192">
        <v>0.99993129999999997</v>
      </c>
      <c r="N1192">
        <v>-1.065958E-2</v>
      </c>
      <c r="O1192">
        <v>4.8842850000000004E-3</v>
      </c>
      <c r="P1192">
        <v>0.98723539999999999</v>
      </c>
      <c r="Q1192">
        <v>0.15860170000000001</v>
      </c>
      <c r="R1192">
        <v>1.454806E-2</v>
      </c>
      <c r="S1192">
        <v>3.0553279999999998</v>
      </c>
      <c r="T1192">
        <v>-0.14260129999999999</v>
      </c>
      <c r="U1192">
        <v>0.45733639999999998</v>
      </c>
      <c r="V1192">
        <v>-9.719564E-3</v>
      </c>
      <c r="W1192">
        <v>0.1691174</v>
      </c>
      <c r="X1192">
        <v>0.98554799999999998</v>
      </c>
      <c r="Y1192">
        <v>-0.14301849999999999</v>
      </c>
      <c r="Z1192">
        <v>3.9094910000000002E-3</v>
      </c>
      <c r="AA1192">
        <v>0.98971229999999999</v>
      </c>
      <c r="AB1192">
        <v>28</v>
      </c>
      <c r="AC1192">
        <v>23.712799999999898</v>
      </c>
      <c r="AD1192">
        <v>-1.1140732114030001</v>
      </c>
      <c r="AE1192">
        <v>3.5700999999999601</v>
      </c>
      <c r="AF1192">
        <v>-3.4467912826328799</v>
      </c>
      <c r="AG1192">
        <v>-1.1140732114030001</v>
      </c>
      <c r="AH1192">
        <v>23.678847587438401</v>
      </c>
      <c r="AI1192">
        <v>92.665687536070607</v>
      </c>
      <c r="AJ1192">
        <v>98.282042404750001</v>
      </c>
      <c r="AK1192">
        <v>23.954318031109501</v>
      </c>
      <c r="AL1192">
        <v>80.263493320882603</v>
      </c>
      <c r="AM1192">
        <v>90.565037869724904</v>
      </c>
      <c r="AN1192">
        <v>1.0000000126055499</v>
      </c>
    </row>
    <row r="1193" spans="1:40" x14ac:dyDescent="0.25">
      <c r="A1193" t="str">
        <f>"20190303161901494"</f>
        <v>20190303161901494</v>
      </c>
      <c r="B1193" t="str">
        <f>"1551601141483855"</f>
        <v>1551601141483855</v>
      </c>
      <c r="C1193" t="s">
        <v>40</v>
      </c>
      <c r="D1193">
        <v>4.7754659999999998</v>
      </c>
      <c r="E1193">
        <v>0.44755879999999998</v>
      </c>
      <c r="F1193" t="s">
        <v>41</v>
      </c>
      <c r="G1193">
        <v>-251.07300000000001</v>
      </c>
      <c r="H1193" s="1">
        <v>-4.1400570000000003E-6</v>
      </c>
      <c r="I1193">
        <v>370.90839999999997</v>
      </c>
      <c r="J1193">
        <v>-274.44779999999997</v>
      </c>
      <c r="K1193">
        <v>1.1146290000000001</v>
      </c>
      <c r="L1193">
        <v>367.34789999999998</v>
      </c>
      <c r="M1193">
        <v>0.99992879999999995</v>
      </c>
      <c r="N1193">
        <v>-1.090501E-2</v>
      </c>
      <c r="O1193">
        <v>4.8841420000000002E-3</v>
      </c>
      <c r="P1193">
        <v>0.98728419999999895</v>
      </c>
      <c r="Q1193">
        <v>0.1583253</v>
      </c>
      <c r="R1193">
        <v>1.4264219999999999E-2</v>
      </c>
      <c r="S1193">
        <v>3.0552670000000002</v>
      </c>
      <c r="T1193">
        <v>-0.14479330000000001</v>
      </c>
      <c r="U1193">
        <v>0.46282960000000001</v>
      </c>
      <c r="V1193">
        <v>-9.4357739999999992E-3</v>
      </c>
      <c r="W1193">
        <v>0.1690836</v>
      </c>
      <c r="X1193">
        <v>0.98555649999999995</v>
      </c>
      <c r="Y1193">
        <v>-0.14475299999999999</v>
      </c>
      <c r="Z1193">
        <v>4.0259270000000003E-3</v>
      </c>
      <c r="AA1193">
        <v>0.98945959999999999</v>
      </c>
      <c r="AB1193">
        <v>28</v>
      </c>
      <c r="AC1193">
        <v>23.3748</v>
      </c>
      <c r="AD1193">
        <v>-1.114633140057</v>
      </c>
      <c r="AE1193">
        <v>3.56049999999999</v>
      </c>
      <c r="AF1193">
        <v>-3.4386431502297499</v>
      </c>
      <c r="AG1193">
        <v>-1.114633140057</v>
      </c>
      <c r="AH1193">
        <v>23.340043125624</v>
      </c>
      <c r="AI1193">
        <v>92.704999684952099</v>
      </c>
      <c r="AJ1193">
        <v>98.380984806853803</v>
      </c>
      <c r="AK1193">
        <v>23.618304063956899</v>
      </c>
      <c r="AL1193">
        <v>80.265457660153402</v>
      </c>
      <c r="AM1193">
        <v>90.548536292983599</v>
      </c>
      <c r="AN1193">
        <v>0.99999995615609305</v>
      </c>
    </row>
    <row r="1194" spans="1:40" x14ac:dyDescent="0.25">
      <c r="A1194" t="str">
        <f>"20190303161901506"</f>
        <v>20190303161901506</v>
      </c>
      <c r="B1194" t="str">
        <f>"1551601141493615"</f>
        <v>1551601141493615</v>
      </c>
      <c r="C1194" t="s">
        <v>40</v>
      </c>
      <c r="D1194">
        <v>4.712726</v>
      </c>
      <c r="E1194">
        <v>0.44734390000000002</v>
      </c>
      <c r="F1194" t="s">
        <v>41</v>
      </c>
      <c r="G1194">
        <v>-251.10890000000001</v>
      </c>
      <c r="H1194" s="1">
        <v>-4.1289000000000004E-6</v>
      </c>
      <c r="I1194">
        <v>370.9144</v>
      </c>
      <c r="J1194">
        <v>-274.29109999999997</v>
      </c>
      <c r="K1194">
        <v>1.115264</v>
      </c>
      <c r="L1194">
        <v>367.34870000000001</v>
      </c>
      <c r="M1194">
        <v>0.99992559999999997</v>
      </c>
      <c r="N1194">
        <v>-1.118686E-2</v>
      </c>
      <c r="O1194">
        <v>4.8844200000000004E-3</v>
      </c>
      <c r="P1194">
        <v>0.98734999999999995</v>
      </c>
      <c r="Q1194">
        <v>0.15791640000000001</v>
      </c>
      <c r="R1194">
        <v>1.423978E-2</v>
      </c>
      <c r="S1194">
        <v>3.0552980000000001</v>
      </c>
      <c r="T1194">
        <v>-0.14591660000000001</v>
      </c>
      <c r="U1194">
        <v>0.46688839999999998</v>
      </c>
      <c r="V1194">
        <v>-9.4106090000000003E-3</v>
      </c>
      <c r="W1194">
        <v>0.16895289999999999</v>
      </c>
      <c r="X1194">
        <v>0.98557919999999999</v>
      </c>
      <c r="Y1194">
        <v>-0.14603039999999901</v>
      </c>
      <c r="Z1194">
        <v>4.1096839999999997E-3</v>
      </c>
      <c r="AA1194">
        <v>0.98927160000000003</v>
      </c>
      <c r="AB1194">
        <v>28</v>
      </c>
      <c r="AC1194">
        <v>23.182199999999899</v>
      </c>
      <c r="AD1194">
        <v>-1.1152681288999999</v>
      </c>
      <c r="AE1194">
        <v>3.5656999999999899</v>
      </c>
      <c r="AF1194">
        <v>-3.4446305862633801</v>
      </c>
      <c r="AG1194">
        <v>-1.1152681288999999</v>
      </c>
      <c r="AH1194">
        <v>23.1470062605149</v>
      </c>
      <c r="AI1194">
        <v>92.7284886847916</v>
      </c>
      <c r="AJ1194">
        <v>98.4643740596199</v>
      </c>
      <c r="AK1194">
        <v>23.4284698966765</v>
      </c>
      <c r="AL1194">
        <v>80.273055967775903</v>
      </c>
      <c r="AM1194">
        <v>90.547060848380895</v>
      </c>
      <c r="AN1194">
        <v>1.0000000007264001</v>
      </c>
    </row>
    <row r="1195" spans="1:40" x14ac:dyDescent="0.25">
      <c r="A1195" t="str">
        <f>"20190303161901517"</f>
        <v>20190303161901517</v>
      </c>
      <c r="B1195" t="str">
        <f>"1551601141504353"</f>
        <v>1551601141504353</v>
      </c>
      <c r="C1195" t="s">
        <v>40</v>
      </c>
      <c r="D1195">
        <v>4.7394660000000002</v>
      </c>
      <c r="E1195">
        <v>0.44694469999999997</v>
      </c>
      <c r="F1195" t="s">
        <v>41</v>
      </c>
      <c r="G1195">
        <v>-251.0256</v>
      </c>
      <c r="H1195" s="1">
        <v>-4.1576099999999997E-6</v>
      </c>
      <c r="I1195">
        <v>370.91629999999998</v>
      </c>
      <c r="J1195">
        <v>-274.149</v>
      </c>
      <c r="K1195">
        <v>1.1157779999999999</v>
      </c>
      <c r="L1195">
        <v>367.3494</v>
      </c>
      <c r="M1195">
        <v>0.99992289999999995</v>
      </c>
      <c r="N1195">
        <v>-1.142114E-2</v>
      </c>
      <c r="O1195">
        <v>4.8843960000000001E-3</v>
      </c>
      <c r="P1195">
        <v>0.98746350000000005</v>
      </c>
      <c r="Q1195">
        <v>0.15721559999999901</v>
      </c>
      <c r="R1195">
        <v>1.411695E-2</v>
      </c>
      <c r="S1195">
        <v>3.0551149999999998</v>
      </c>
      <c r="T1195">
        <v>-0.14645059999999999</v>
      </c>
      <c r="U1195">
        <v>0.46847529999999998</v>
      </c>
      <c r="V1195">
        <v>-9.2868259999999998E-3</v>
      </c>
      <c r="W1195">
        <v>0.168484299999999</v>
      </c>
      <c r="X1195">
        <v>0.9856606</v>
      </c>
      <c r="Y1195">
        <v>-0.14653849999999999</v>
      </c>
      <c r="Z1195">
        <v>4.1549849999999999E-3</v>
      </c>
      <c r="AA1195">
        <v>0.98919619999999997</v>
      </c>
      <c r="AB1195">
        <v>28</v>
      </c>
      <c r="AC1195">
        <v>23.1234</v>
      </c>
      <c r="AD1195">
        <v>-1.11578215761</v>
      </c>
      <c r="AE1195">
        <v>3.5668999999999702</v>
      </c>
      <c r="AF1195">
        <v>-3.4460689405899099</v>
      </c>
      <c r="AG1195">
        <v>-1.11578215761</v>
      </c>
      <c r="AH1195">
        <v>23.088038914114598</v>
      </c>
      <c r="AI1195">
        <v>92.736529350460103</v>
      </c>
      <c r="AJ1195">
        <v>98.489169601337807</v>
      </c>
      <c r="AK1195">
        <v>23.370449329574502</v>
      </c>
      <c r="AL1195">
        <v>80.300295370700496</v>
      </c>
      <c r="AM1195">
        <v>90.5398208982879</v>
      </c>
      <c r="AN1195">
        <v>1.0000000114380001</v>
      </c>
    </row>
    <row r="1196" spans="1:40" x14ac:dyDescent="0.25">
      <c r="A1196" t="str">
        <f>"20190303161901529"</f>
        <v>20190303161901529</v>
      </c>
      <c r="B1196" t="str">
        <f>"1551601141523871"</f>
        <v>1551601141523871</v>
      </c>
      <c r="C1196" t="s">
        <v>40</v>
      </c>
      <c r="D1196">
        <v>4.7607520000000001</v>
      </c>
      <c r="E1196">
        <v>0.44645570000000001</v>
      </c>
      <c r="F1196" t="s">
        <v>41</v>
      </c>
      <c r="G1196">
        <v>-251.06389999999999</v>
      </c>
      <c r="H1196" s="1">
        <v>-4.1438129999999998E-6</v>
      </c>
      <c r="I1196">
        <v>370.91199999999998</v>
      </c>
      <c r="J1196">
        <v>-274.00290000000001</v>
      </c>
      <c r="K1196">
        <v>1.1162810000000001</v>
      </c>
      <c r="L1196">
        <v>367.3501</v>
      </c>
      <c r="M1196">
        <v>0.99992009999999998</v>
      </c>
      <c r="N1196">
        <v>-1.1654360000000001E-2</v>
      </c>
      <c r="O1196">
        <v>4.8845889999999999E-3</v>
      </c>
      <c r="P1196">
        <v>0.98748139999999995</v>
      </c>
      <c r="Q1196">
        <v>0.15709799999999999</v>
      </c>
      <c r="R1196">
        <v>1.4170739999999999E-2</v>
      </c>
      <c r="S1196">
        <v>3.05484</v>
      </c>
      <c r="T1196">
        <v>-0.1476499</v>
      </c>
      <c r="U1196">
        <v>0.47143550000000001</v>
      </c>
      <c r="V1196">
        <v>-9.3402229999999999E-3</v>
      </c>
      <c r="W1196">
        <v>0.16859669999999999</v>
      </c>
      <c r="X1196">
        <v>0.98564090000000004</v>
      </c>
      <c r="Y1196">
        <v>-0.14748269999999999</v>
      </c>
      <c r="Z1196">
        <v>4.2282860000000004E-3</v>
      </c>
      <c r="AA1196">
        <v>0.98905560000000003</v>
      </c>
      <c r="AB1196">
        <v>28</v>
      </c>
      <c r="AC1196">
        <v>22.939</v>
      </c>
      <c r="AD1196">
        <v>-1.1162851438129999</v>
      </c>
      <c r="AE1196">
        <v>3.5618999999999699</v>
      </c>
      <c r="AF1196">
        <v>-3.4418435379706298</v>
      </c>
      <c r="AG1196">
        <v>-1.1162851438129999</v>
      </c>
      <c r="AH1196">
        <v>22.903165682323301</v>
      </c>
      <c r="AI1196">
        <v>92.759414315955993</v>
      </c>
      <c r="AJ1196">
        <v>98.546346629977506</v>
      </c>
      <c r="AK1196">
        <v>23.1872244508506</v>
      </c>
      <c r="AL1196">
        <v>80.2937620962213</v>
      </c>
      <c r="AM1196">
        <v>90.542935403211999</v>
      </c>
      <c r="AN1196">
        <v>1.0000000353846901</v>
      </c>
    </row>
    <row r="1197" spans="1:40" x14ac:dyDescent="0.25">
      <c r="A1197" t="str">
        <f>"20190303161901540"</f>
        <v>20190303161901540</v>
      </c>
      <c r="B1197" t="str">
        <f>"1551601141533631"</f>
        <v>1551601141533631</v>
      </c>
      <c r="C1197" t="s">
        <v>40</v>
      </c>
      <c r="D1197">
        <v>4.7129390000000004</v>
      </c>
      <c r="E1197">
        <v>0.44626569999999999</v>
      </c>
      <c r="F1197" t="s">
        <v>41</v>
      </c>
      <c r="G1197">
        <v>-250.8305</v>
      </c>
      <c r="H1197" s="1">
        <v>-4.2312240000000001E-6</v>
      </c>
      <c r="I1197">
        <v>370.95699999999999</v>
      </c>
      <c r="J1197">
        <v>-273.8485</v>
      </c>
      <c r="K1197">
        <v>1.1167640000000001</v>
      </c>
      <c r="L1197">
        <v>367.35079999999999</v>
      </c>
      <c r="M1197">
        <v>0.99991750000000001</v>
      </c>
      <c r="N1197">
        <v>-1.1884810000000001E-2</v>
      </c>
      <c r="O1197">
        <v>4.8845319999999996E-3</v>
      </c>
      <c r="P1197">
        <v>0.98753590000000002</v>
      </c>
      <c r="Q1197">
        <v>0.156765299999999</v>
      </c>
      <c r="R1197">
        <v>1.4064200000000001E-2</v>
      </c>
      <c r="S1197">
        <v>3.0546259999999998</v>
      </c>
      <c r="T1197">
        <v>-0.14715</v>
      </c>
      <c r="U1197">
        <v>0.47546389999999999</v>
      </c>
      <c r="V1197">
        <v>-9.2337019999999999E-3</v>
      </c>
      <c r="W1197">
        <v>0.1684919</v>
      </c>
      <c r="X1197">
        <v>0.98565979999999997</v>
      </c>
      <c r="Y1197">
        <v>-0.14876539999999999</v>
      </c>
      <c r="Z1197">
        <v>4.2736780000000004E-3</v>
      </c>
      <c r="AA1197">
        <v>0.9888633</v>
      </c>
      <c r="AB1197">
        <v>28</v>
      </c>
      <c r="AC1197">
        <v>23.018000000000001</v>
      </c>
      <c r="AD1197">
        <v>-1.1167682312239999</v>
      </c>
      <c r="AE1197">
        <v>3.6061999999999999</v>
      </c>
      <c r="AF1197">
        <v>-3.48570838666482</v>
      </c>
      <c r="AG1197">
        <v>-1.1167682312239999</v>
      </c>
      <c r="AH1197">
        <v>22.9825383035603</v>
      </c>
      <c r="AI1197">
        <v>92.750523893219096</v>
      </c>
      <c r="AJ1197">
        <v>98.624191403055704</v>
      </c>
      <c r="AK1197">
        <v>23.272180841377001</v>
      </c>
      <c r="AL1197">
        <v>80.299853607575599</v>
      </c>
      <c r="AM1197">
        <v>90.5367335444963</v>
      </c>
      <c r="AN1197">
        <v>1.0000000114771299</v>
      </c>
    </row>
    <row r="1198" spans="1:40" x14ac:dyDescent="0.25">
      <c r="A1198" t="str">
        <f>"20190303161901552"</f>
        <v>20190303161901552</v>
      </c>
      <c r="B1198" t="str">
        <f>"1551601141544367"</f>
        <v>1551601141544367</v>
      </c>
      <c r="C1198" t="s">
        <v>40</v>
      </c>
      <c r="D1198">
        <v>4.7533760000000003</v>
      </c>
      <c r="E1198">
        <v>0.44599509999999998</v>
      </c>
      <c r="F1198" t="s">
        <v>41</v>
      </c>
      <c r="G1198">
        <v>-250.76320000000001</v>
      </c>
      <c r="H1198" s="1">
        <v>-4.2531400000000002E-6</v>
      </c>
      <c r="I1198">
        <v>370.95139999999998</v>
      </c>
      <c r="J1198">
        <v>-273.70749999999998</v>
      </c>
      <c r="K1198">
        <v>1.117165</v>
      </c>
      <c r="L1198">
        <v>367.35149999999999</v>
      </c>
      <c r="M1198">
        <v>0.9999152</v>
      </c>
      <c r="N1198">
        <v>-1.208206E-2</v>
      </c>
      <c r="O1198">
        <v>4.8841759999999996E-3</v>
      </c>
      <c r="P1198">
        <v>0.98751270000000002</v>
      </c>
      <c r="Q1198">
        <v>0.15691279999999999</v>
      </c>
      <c r="R1198">
        <v>1.404442E-2</v>
      </c>
      <c r="S1198">
        <v>3.0545040000000001</v>
      </c>
      <c r="T1198">
        <v>-0.1477629</v>
      </c>
      <c r="U1198">
        <v>0.4764099</v>
      </c>
      <c r="V1198">
        <v>-9.2143569999999994E-3</v>
      </c>
      <c r="W1198">
        <v>0.1688335</v>
      </c>
      <c r="X1198">
        <v>0.98560150000000002</v>
      </c>
      <c r="Y1198">
        <v>-0.14906800000000001</v>
      </c>
      <c r="Z1198">
        <v>4.3124460000000002E-3</v>
      </c>
      <c r="AA1198">
        <v>0.98881750000000002</v>
      </c>
      <c r="AB1198">
        <v>28</v>
      </c>
      <c r="AC1198">
        <v>22.944299999999899</v>
      </c>
      <c r="AD1198">
        <v>-1.1171692531399999</v>
      </c>
      <c r="AE1198">
        <v>3.5998999999999901</v>
      </c>
      <c r="AF1198">
        <v>-3.4797334624768599</v>
      </c>
      <c r="AG1198">
        <v>-1.1171692531399999</v>
      </c>
      <c r="AH1198">
        <v>22.908604059476101</v>
      </c>
      <c r="AI1198">
        <v>92.760282954740603</v>
      </c>
      <c r="AJ1198">
        <v>98.636998191378495</v>
      </c>
      <c r="AK1198">
        <v>23.198292007470901</v>
      </c>
      <c r="AL1198">
        <v>80.279996648242403</v>
      </c>
      <c r="AM1198">
        <v>90.535640810720807</v>
      </c>
      <c r="AN1198">
        <v>0.99999998594971096</v>
      </c>
    </row>
    <row r="1199" spans="1:40" x14ac:dyDescent="0.25">
      <c r="A1199" t="str">
        <f>"20190303161901563"</f>
        <v>20190303161901563</v>
      </c>
      <c r="B1199" t="str">
        <f>"1551601141554128"</f>
        <v>1551601141554128</v>
      </c>
      <c r="C1199" t="s">
        <v>40</v>
      </c>
      <c r="D1199">
        <v>4.7194890000000003</v>
      </c>
      <c r="E1199">
        <v>0.44573289999999999</v>
      </c>
      <c r="F1199" t="s">
        <v>41</v>
      </c>
      <c r="G1199">
        <v>-250.5232</v>
      </c>
      <c r="H1199" s="1">
        <v>-4.3403419999999997E-6</v>
      </c>
      <c r="I1199">
        <v>370.98259999999999</v>
      </c>
      <c r="J1199">
        <v>-273.56150000000002</v>
      </c>
      <c r="K1199">
        <v>1.117564</v>
      </c>
      <c r="L1199">
        <v>367.35219999999998</v>
      </c>
      <c r="M1199">
        <v>0.99991269999999999</v>
      </c>
      <c r="N1199">
        <v>-1.2279170000000001E-2</v>
      </c>
      <c r="O1199">
        <v>4.8839820000000003E-3</v>
      </c>
      <c r="P1199">
        <v>0.98761030000000005</v>
      </c>
      <c r="Q1199">
        <v>0.1563117</v>
      </c>
      <c r="R1199">
        <v>1.3870560000000001E-2</v>
      </c>
      <c r="S1199">
        <v>3.054535</v>
      </c>
      <c r="T1199">
        <v>-0.14718629999999999</v>
      </c>
      <c r="U1199">
        <v>0.47839359999999997</v>
      </c>
      <c r="V1199">
        <v>-9.0401639999999998E-3</v>
      </c>
      <c r="W1199">
        <v>0.16842839999999901</v>
      </c>
      <c r="X1199">
        <v>0.9856724</v>
      </c>
      <c r="Y1199">
        <v>-0.1496934</v>
      </c>
      <c r="Z1199">
        <v>4.3338300000000003E-3</v>
      </c>
      <c r="AA1199">
        <v>0.98872300000000002</v>
      </c>
      <c r="AB1199">
        <v>28</v>
      </c>
      <c r="AC1199">
        <v>23.0383</v>
      </c>
      <c r="AD1199">
        <v>-1.117568340342</v>
      </c>
      <c r="AE1199">
        <v>3.6303999999999998</v>
      </c>
      <c r="AF1199">
        <v>-3.5097707132795302</v>
      </c>
      <c r="AG1199">
        <v>-1.117568340342</v>
      </c>
      <c r="AH1199">
        <v>23.002939803820201</v>
      </c>
      <c r="AI1199">
        <v>92.749681901618303</v>
      </c>
      <c r="AJ1199">
        <v>98.675237456684997</v>
      </c>
      <c r="AK1199">
        <v>23.295980105445398</v>
      </c>
      <c r="AL1199">
        <v>80.303544188039595</v>
      </c>
      <c r="AM1199">
        <v>90.525477552932898</v>
      </c>
      <c r="AN1199">
        <v>0.99999996530673296</v>
      </c>
    </row>
    <row r="1200" spans="1:40" x14ac:dyDescent="0.25">
      <c r="A1200" t="str">
        <f>"20190303161901576"</f>
        <v>20190303161901576</v>
      </c>
      <c r="B1200" t="str">
        <f>"1551601141563887"</f>
        <v>1551601141563887</v>
      </c>
      <c r="C1200" t="s">
        <v>40</v>
      </c>
      <c r="D1200">
        <v>4.7097170000000004</v>
      </c>
      <c r="E1200">
        <v>0.44556319999999999</v>
      </c>
      <c r="F1200" t="s">
        <v>41</v>
      </c>
      <c r="G1200">
        <v>-250.59200000000001</v>
      </c>
      <c r="H1200" s="1">
        <v>-4.3131390000000003E-6</v>
      </c>
      <c r="I1200">
        <v>370.96129999999999</v>
      </c>
      <c r="J1200">
        <v>-273.40370000000001</v>
      </c>
      <c r="K1200">
        <v>1.1179380000000001</v>
      </c>
      <c r="L1200">
        <v>367.35300000000001</v>
      </c>
      <c r="M1200">
        <v>0.99991039999999998</v>
      </c>
      <c r="N1200">
        <v>-1.24729E-2</v>
      </c>
      <c r="O1200">
        <v>4.8839629999999998E-3</v>
      </c>
      <c r="P1200">
        <v>0.98763000000000001</v>
      </c>
      <c r="Q1200">
        <v>0.15620220000000001</v>
      </c>
      <c r="R1200">
        <v>1.372311E-2</v>
      </c>
      <c r="S1200">
        <v>3.0544129999999998</v>
      </c>
      <c r="T1200">
        <v>-0.14860999999999999</v>
      </c>
      <c r="U1200">
        <v>0.4799194</v>
      </c>
      <c r="V1200">
        <v>-8.892456E-3</v>
      </c>
      <c r="W1200">
        <v>0.16850970000000001</v>
      </c>
      <c r="X1200">
        <v>0.98565990000000003</v>
      </c>
      <c r="Y1200">
        <v>-0.15017639999999999</v>
      </c>
      <c r="Z1200">
        <v>4.3964829999999996E-3</v>
      </c>
      <c r="AA1200">
        <v>0.98864940000000001</v>
      </c>
      <c r="AB1200">
        <v>28</v>
      </c>
      <c r="AC1200">
        <v>22.811699999999998</v>
      </c>
      <c r="AD1200">
        <v>-1.1179423131389901</v>
      </c>
      <c r="AE1200">
        <v>3.6082999999999799</v>
      </c>
      <c r="AF1200">
        <v>-3.4886625154794699</v>
      </c>
      <c r="AG1200">
        <v>-1.1179423131389901</v>
      </c>
      <c r="AH1200">
        <v>22.775686321720599</v>
      </c>
      <c r="AI1200">
        <v>92.777756263659896</v>
      </c>
      <c r="AJ1200">
        <v>98.708585355917506</v>
      </c>
      <c r="AK1200">
        <v>23.0684296948845</v>
      </c>
      <c r="AL1200">
        <v>80.298818999012894</v>
      </c>
      <c r="AM1200">
        <v>90.516898755504101</v>
      </c>
      <c r="AN1200">
        <v>1.0000000166178999</v>
      </c>
    </row>
    <row r="1201" spans="1:40" x14ac:dyDescent="0.25">
      <c r="A1201" t="str">
        <f>"20190303161901591"</f>
        <v>20190303161901591</v>
      </c>
      <c r="B1201" t="str">
        <f>"1551601141584383"</f>
        <v>1551601141584383</v>
      </c>
      <c r="C1201" t="s">
        <v>40</v>
      </c>
      <c r="D1201">
        <v>4.7293949999999896</v>
      </c>
      <c r="E1201">
        <v>0.44547160000000002</v>
      </c>
      <c r="F1201" t="s">
        <v>41</v>
      </c>
      <c r="G1201">
        <v>-250.27019999999999</v>
      </c>
      <c r="H1201" s="1">
        <v>-4.428284E-6</v>
      </c>
      <c r="I1201">
        <v>370.99310000000003</v>
      </c>
      <c r="J1201">
        <v>-273.22649999999999</v>
      </c>
      <c r="K1201">
        <v>1.118333</v>
      </c>
      <c r="L1201">
        <v>367.35379999999998</v>
      </c>
      <c r="M1201">
        <v>0.99990780000000001</v>
      </c>
      <c r="N1201">
        <v>-1.268004E-2</v>
      </c>
      <c r="O1201">
        <v>4.8838409999999999E-3</v>
      </c>
      <c r="P1201">
        <v>0.98771759999999997</v>
      </c>
      <c r="Q1201">
        <v>0.15567899999999901</v>
      </c>
      <c r="R1201">
        <v>1.3352309999999999E-2</v>
      </c>
      <c r="S1201">
        <v>3.0541990000000001</v>
      </c>
      <c r="T1201">
        <v>-0.1475958</v>
      </c>
      <c r="U1201">
        <v>0.48059079999999899</v>
      </c>
      <c r="V1201">
        <v>-8.5220939999999992E-3</v>
      </c>
      <c r="W1201">
        <v>0.16819200000000001</v>
      </c>
      <c r="X1201">
        <v>0.98571739999999997</v>
      </c>
      <c r="Y1201">
        <v>-0.1504006</v>
      </c>
      <c r="Z1201">
        <v>4.3970240000000002E-3</v>
      </c>
      <c r="AA1201">
        <v>0.98861529999999997</v>
      </c>
      <c r="AB1201">
        <v>28</v>
      </c>
      <c r="AC1201">
        <v>22.956299999999999</v>
      </c>
      <c r="AD1201">
        <v>-1.118337428284</v>
      </c>
      <c r="AE1201">
        <v>3.6393000000000399</v>
      </c>
      <c r="AF1201">
        <v>-3.5189860114387099</v>
      </c>
      <c r="AG1201">
        <v>-1.118337428284</v>
      </c>
      <c r="AH1201">
        <v>22.9207385106407</v>
      </c>
      <c r="AI1201">
        <v>92.761032681377202</v>
      </c>
      <c r="AJ1201">
        <v>98.728380560708402</v>
      </c>
      <c r="AK1201">
        <v>23.2162485131722</v>
      </c>
      <c r="AL1201">
        <v>80.317285116087405</v>
      </c>
      <c r="AM1201">
        <v>90.495342634414698</v>
      </c>
      <c r="AN1201">
        <v>0.99999998380645205</v>
      </c>
    </row>
    <row r="1202" spans="1:40" x14ac:dyDescent="0.25">
      <c r="A1202" t="str">
        <f>"20190303161901603"</f>
        <v>20190303161901603</v>
      </c>
      <c r="B1202" t="str">
        <f>"1551601141594143"</f>
        <v>1551601141594143</v>
      </c>
      <c r="C1202" t="s">
        <v>40</v>
      </c>
      <c r="D1202">
        <v>4.7196259999999999</v>
      </c>
      <c r="E1202">
        <v>0.44542710000000002</v>
      </c>
      <c r="F1202" t="s">
        <v>41</v>
      </c>
      <c r="G1202">
        <v>-249.5198</v>
      </c>
      <c r="H1202" s="1">
        <v>-5.9741390000000001E-7</v>
      </c>
      <c r="I1202">
        <v>371.08190000000002</v>
      </c>
      <c r="J1202">
        <v>-273.05849999999998</v>
      </c>
      <c r="K1202">
        <v>1.118679</v>
      </c>
      <c r="L1202">
        <v>367.3546</v>
      </c>
      <c r="M1202">
        <v>0.9999053</v>
      </c>
      <c r="N1202">
        <v>-1.2864260000000001E-2</v>
      </c>
      <c r="O1202">
        <v>4.883671E-3</v>
      </c>
      <c r="P1202">
        <v>0.9877669</v>
      </c>
      <c r="Q1202">
        <v>0.15538339999999901</v>
      </c>
      <c r="R1202">
        <v>1.314072E-2</v>
      </c>
      <c r="S1202">
        <v>3.053528</v>
      </c>
      <c r="T1202">
        <v>-0.14404649999999999</v>
      </c>
      <c r="U1202">
        <v>0.48019410000000001</v>
      </c>
      <c r="V1202">
        <v>-8.309805E-3</v>
      </c>
      <c r="W1202">
        <v>0.1680787</v>
      </c>
      <c r="X1202">
        <v>0.98573860000000002</v>
      </c>
      <c r="Y1202">
        <v>-0.15031720000000001</v>
      </c>
      <c r="Z1202">
        <v>4.3290170000000001E-3</v>
      </c>
      <c r="AA1202">
        <v>0.98862830000000002</v>
      </c>
      <c r="AB1202">
        <v>28</v>
      </c>
      <c r="AC1202">
        <v>23.538699999999899</v>
      </c>
      <c r="AD1202">
        <v>-1.1186795974139001</v>
      </c>
      <c r="AE1202">
        <v>3.7273000000000098</v>
      </c>
      <c r="AF1202">
        <v>-3.60434897671756</v>
      </c>
      <c r="AG1202">
        <v>-1.1186795974139001</v>
      </c>
      <c r="AH1202">
        <v>23.504833361897699</v>
      </c>
      <c r="AI1202">
        <v>92.693419864755398</v>
      </c>
      <c r="AJ1202">
        <v>98.718110785217206</v>
      </c>
      <c r="AK1202">
        <v>23.8058809322028</v>
      </c>
      <c r="AL1202">
        <v>80.323871074509995</v>
      </c>
      <c r="AM1202">
        <v>90.482993642618197</v>
      </c>
      <c r="AN1202">
        <v>1.0000000448913899</v>
      </c>
    </row>
    <row r="1203" spans="1:40" x14ac:dyDescent="0.25">
      <c r="A1203" t="str">
        <f>"20190303161901616"</f>
        <v>20190303161901616</v>
      </c>
      <c r="B1203" t="str">
        <f>"1551601141603903"</f>
        <v>1551601141603903</v>
      </c>
      <c r="C1203" t="s">
        <v>40</v>
      </c>
      <c r="D1203">
        <v>4.6791790000000004</v>
      </c>
      <c r="E1203">
        <v>0.4453975</v>
      </c>
      <c r="F1203" t="s">
        <v>41</v>
      </c>
      <c r="G1203">
        <v>-249.08779999999999</v>
      </c>
      <c r="H1203" s="1">
        <v>-8.121666E-7</v>
      </c>
      <c r="I1203">
        <v>371.1216</v>
      </c>
      <c r="J1203">
        <v>-272.90769999999998</v>
      </c>
      <c r="K1203">
        <v>1.118946</v>
      </c>
      <c r="L1203">
        <v>367.35539999999997</v>
      </c>
      <c r="M1203">
        <v>0.9999034</v>
      </c>
      <c r="N1203">
        <v>-1.3014049999999999E-2</v>
      </c>
      <c r="O1203">
        <v>4.8835279999999998E-3</v>
      </c>
      <c r="P1203">
        <v>0.98781560000000002</v>
      </c>
      <c r="Q1203">
        <v>0.1550743</v>
      </c>
      <c r="R1203">
        <v>1.3141119999999999E-2</v>
      </c>
      <c r="S1203">
        <v>3.0531920000000001</v>
      </c>
      <c r="T1203">
        <v>-0.1424887</v>
      </c>
      <c r="U1203">
        <v>0.47979739999999999</v>
      </c>
      <c r="V1203">
        <v>-8.3100350000000003E-3</v>
      </c>
      <c r="W1203">
        <v>0.16791789999999901</v>
      </c>
      <c r="X1203">
        <v>0.98576589999999997</v>
      </c>
      <c r="Y1203">
        <v>-0.15021219999999999</v>
      </c>
      <c r="Z1203">
        <v>4.3027539999999998E-3</v>
      </c>
      <c r="AA1203">
        <v>0.98864439999999998</v>
      </c>
      <c r="AB1203">
        <v>28</v>
      </c>
      <c r="AC1203">
        <v>23.819899999999901</v>
      </c>
      <c r="AD1203">
        <v>-1.1189468121666</v>
      </c>
      <c r="AE1203">
        <v>3.76620000000002</v>
      </c>
      <c r="AF1203">
        <v>-3.6419794170334101</v>
      </c>
      <c r="AG1203">
        <v>-1.1189468121666</v>
      </c>
      <c r="AH1203">
        <v>23.786800198782199</v>
      </c>
      <c r="AI1203">
        <v>92.662267129245393</v>
      </c>
      <c r="AJ1203">
        <v>98.704913096158293</v>
      </c>
      <c r="AK1203">
        <v>24.089996258599498</v>
      </c>
      <c r="AL1203">
        <v>80.333216079912305</v>
      </c>
      <c r="AM1203">
        <v>90.482993634493596</v>
      </c>
      <c r="AN1203">
        <v>0.99999994371245804</v>
      </c>
    </row>
    <row r="1204" spans="1:40" x14ac:dyDescent="0.25">
      <c r="A1204" t="str">
        <f>"20190303161901630"</f>
        <v>20190303161901630</v>
      </c>
      <c r="B1204" t="str">
        <f>"1551601141624400"</f>
        <v>1551601141624400</v>
      </c>
      <c r="C1204" t="s">
        <v>40</v>
      </c>
      <c r="D1204">
        <v>4.6727499999999997</v>
      </c>
      <c r="E1204">
        <v>0.44519979999999998</v>
      </c>
      <c r="F1204" t="s">
        <v>41</v>
      </c>
      <c r="G1204">
        <v>-248.8227</v>
      </c>
      <c r="H1204" s="1">
        <v>-9.4372209999999998E-7</v>
      </c>
      <c r="I1204">
        <v>371.14499999999998</v>
      </c>
      <c r="J1204">
        <v>-272.7405</v>
      </c>
      <c r="K1204">
        <v>1.119224</v>
      </c>
      <c r="L1204">
        <v>367.3562</v>
      </c>
      <c r="M1204">
        <v>0.99990140000000005</v>
      </c>
      <c r="N1204">
        <v>-1.317306E-2</v>
      </c>
      <c r="O1204">
        <v>4.8833119999999999E-3</v>
      </c>
      <c r="P1204">
        <v>0.98784059999999996</v>
      </c>
      <c r="Q1204">
        <v>0.1549314</v>
      </c>
      <c r="R1204">
        <v>1.293715E-2</v>
      </c>
      <c r="S1204">
        <v>3.0528870000000001</v>
      </c>
      <c r="T1204">
        <v>-0.14183200000000001</v>
      </c>
      <c r="U1204">
        <v>0.48034670000000002</v>
      </c>
      <c r="V1204">
        <v>-8.1064850000000001E-3</v>
      </c>
      <c r="W1204">
        <v>0.167932</v>
      </c>
      <c r="X1204">
        <v>0.98576520000000001</v>
      </c>
      <c r="Y1204">
        <v>-0.15040190000000001</v>
      </c>
      <c r="Z1204">
        <v>4.3064899999999996E-3</v>
      </c>
      <c r="AA1204">
        <v>0.98861560000000004</v>
      </c>
      <c r="AB1204">
        <v>28</v>
      </c>
      <c r="AC1204">
        <v>23.9178</v>
      </c>
      <c r="AD1204">
        <v>-1.1192249437221</v>
      </c>
      <c r="AE1204">
        <v>3.7887999999999802</v>
      </c>
      <c r="AF1204">
        <v>-3.66411955603655</v>
      </c>
      <c r="AG1204">
        <v>-1.1192249437221</v>
      </c>
      <c r="AH1204">
        <v>23.884996671350098</v>
      </c>
      <c r="AI1204">
        <v>92.651877742012104</v>
      </c>
      <c r="AJ1204">
        <v>98.721566389538296</v>
      </c>
      <c r="AK1204">
        <v>24.190318364709199</v>
      </c>
      <c r="AL1204">
        <v>80.332396639675594</v>
      </c>
      <c r="AM1204">
        <v>90.471163830371296</v>
      </c>
      <c r="AN1204">
        <v>0.99999995062704605</v>
      </c>
    </row>
    <row r="1205" spans="1:40" x14ac:dyDescent="0.25">
      <c r="A1205" t="str">
        <f>"20190303161901642"</f>
        <v>20190303161901642</v>
      </c>
      <c r="B1205" t="str">
        <f>"1551601141634160"</f>
        <v>1551601141634160</v>
      </c>
      <c r="C1205" t="s">
        <v>40</v>
      </c>
      <c r="D1205">
        <v>4.68492</v>
      </c>
      <c r="E1205">
        <v>0.44509209999999999</v>
      </c>
      <c r="F1205" t="s">
        <v>41</v>
      </c>
      <c r="G1205">
        <v>-248.21799999999999</v>
      </c>
      <c r="H1205" s="1">
        <v>-1.249438E-6</v>
      </c>
      <c r="I1205">
        <v>371.21949999999998</v>
      </c>
      <c r="J1205">
        <v>-272.57530000000003</v>
      </c>
      <c r="K1205">
        <v>1.119472</v>
      </c>
      <c r="L1205">
        <v>367.35700000000003</v>
      </c>
      <c r="M1205">
        <v>0.99989939999999999</v>
      </c>
      <c r="N1205">
        <v>-1.3319309999999999E-2</v>
      </c>
      <c r="O1205">
        <v>4.8835270000000004E-3</v>
      </c>
      <c r="P1205">
        <v>0.9878903</v>
      </c>
      <c r="Q1205">
        <v>0.15461440000000001</v>
      </c>
      <c r="R1205">
        <v>1.2942749999999999E-2</v>
      </c>
      <c r="S1205">
        <v>3.0524900000000001</v>
      </c>
      <c r="T1205">
        <v>-0.13931749999999901</v>
      </c>
      <c r="U1205">
        <v>0.48089599999999999</v>
      </c>
      <c r="V1205">
        <v>-8.1114259999999997E-3</v>
      </c>
      <c r="W1205">
        <v>0.16775999999999999</v>
      </c>
      <c r="X1205">
        <v>0.98579450000000002</v>
      </c>
      <c r="Y1205">
        <v>-0.1506004</v>
      </c>
      <c r="Z1205">
        <v>4.266985E-3</v>
      </c>
      <c r="AA1205">
        <v>0.98858550000000001</v>
      </c>
      <c r="AB1205">
        <v>28</v>
      </c>
      <c r="AC1205">
        <v>24.357299999999999</v>
      </c>
      <c r="AD1205">
        <v>-1.119473249438</v>
      </c>
      <c r="AE1205">
        <v>3.86250000000001</v>
      </c>
      <c r="AF1205">
        <v>-3.73579605745135</v>
      </c>
      <c r="AG1205">
        <v>-1.119473249438</v>
      </c>
      <c r="AH1205">
        <v>24.325749369455199</v>
      </c>
      <c r="AI1205">
        <v>92.604407480410103</v>
      </c>
      <c r="AJ1205">
        <v>98.730913778619495</v>
      </c>
      <c r="AK1205">
        <v>24.636385183801298</v>
      </c>
      <c r="AL1205">
        <v>80.342393860676097</v>
      </c>
      <c r="AM1205">
        <v>90.471436985490797</v>
      </c>
      <c r="AN1205">
        <v>1.000000004531</v>
      </c>
    </row>
    <row r="1206" spans="1:40" x14ac:dyDescent="0.25">
      <c r="A1206" t="str">
        <f>"20190303161901655"</f>
        <v>20190303161901655</v>
      </c>
      <c r="B1206" t="str">
        <f>"1551601141643920"</f>
        <v>1551601141643920</v>
      </c>
      <c r="C1206" t="s">
        <v>40</v>
      </c>
      <c r="D1206">
        <v>4.6872210000000001</v>
      </c>
      <c r="E1206">
        <v>0.44499709999999998</v>
      </c>
      <c r="F1206" t="s">
        <v>41</v>
      </c>
      <c r="G1206">
        <v>-247.9941</v>
      </c>
      <c r="H1206" s="1">
        <v>-1.360403E-6</v>
      </c>
      <c r="I1206">
        <v>371.23880000000003</v>
      </c>
      <c r="J1206">
        <v>-272.4187</v>
      </c>
      <c r="K1206">
        <v>1.1196820000000001</v>
      </c>
      <c r="L1206">
        <v>367.3578</v>
      </c>
      <c r="M1206">
        <v>0.99989779999999995</v>
      </c>
      <c r="N1206">
        <v>-1.344617E-2</v>
      </c>
      <c r="O1206">
        <v>4.8835049999999998E-3</v>
      </c>
      <c r="P1206">
        <v>0.98794170000000003</v>
      </c>
      <c r="Q1206">
        <v>0.1542779</v>
      </c>
      <c r="R1206">
        <v>1.302998E-2</v>
      </c>
      <c r="S1206">
        <v>3.052216</v>
      </c>
      <c r="T1206">
        <v>-0.1390033</v>
      </c>
      <c r="U1206">
        <v>0.4819946</v>
      </c>
      <c r="V1206">
        <v>-8.1982169999999903E-3</v>
      </c>
      <c r="W1206">
        <v>0.16754939999999999</v>
      </c>
      <c r="X1206">
        <v>0.98582959999999997</v>
      </c>
      <c r="Y1206">
        <v>-0.15096109999999999</v>
      </c>
      <c r="Z1206">
        <v>4.280847E-3</v>
      </c>
      <c r="AA1206">
        <v>0.98853049999999998</v>
      </c>
      <c r="AB1206">
        <v>28</v>
      </c>
      <c r="AC1206">
        <v>24.424600000000002</v>
      </c>
      <c r="AD1206">
        <v>-1.1196833604029901</v>
      </c>
      <c r="AE1206">
        <v>3.8810000000000202</v>
      </c>
      <c r="AF1206">
        <v>-3.75397048849167</v>
      </c>
      <c r="AG1206">
        <v>-1.1196833604029901</v>
      </c>
      <c r="AH1206">
        <v>24.393262561976201</v>
      </c>
      <c r="AI1206">
        <v>92.597571271706997</v>
      </c>
      <c r="AJ1206">
        <v>98.748825877361298</v>
      </c>
      <c r="AK1206">
        <v>24.705813965007099</v>
      </c>
      <c r="AL1206">
        <v>80.354633612154402</v>
      </c>
      <c r="AM1206">
        <v>90.476464092669602</v>
      </c>
      <c r="AN1206">
        <v>1.00000000621924</v>
      </c>
    </row>
    <row r="1207" spans="1:40" x14ac:dyDescent="0.25">
      <c r="A1207" t="str">
        <f>"20190303161901669"</f>
        <v>20190303161901669</v>
      </c>
      <c r="B1207" t="str">
        <f>"1551601141664417"</f>
        <v>1551601141664417</v>
      </c>
      <c r="C1207" t="s">
        <v>40</v>
      </c>
      <c r="D1207">
        <v>4.6492519999999997</v>
      </c>
      <c r="E1207">
        <v>0.44475720000000002</v>
      </c>
      <c r="F1207" t="s">
        <v>41</v>
      </c>
      <c r="G1207">
        <v>-248.01929999999999</v>
      </c>
      <c r="H1207" s="1">
        <v>-1.342568E-6</v>
      </c>
      <c r="I1207">
        <v>371.21660000000003</v>
      </c>
      <c r="J1207">
        <v>-272.24250000000001</v>
      </c>
      <c r="K1207">
        <v>1.119901</v>
      </c>
      <c r="L1207">
        <v>367.35860000000002</v>
      </c>
      <c r="M1207">
        <v>0.99989589999999995</v>
      </c>
      <c r="N1207">
        <v>-1.358139E-2</v>
      </c>
      <c r="O1207">
        <v>4.8835969999999999E-3</v>
      </c>
      <c r="P1207">
        <v>0.98795060000000001</v>
      </c>
      <c r="Q1207">
        <v>0.154198799999999</v>
      </c>
      <c r="R1207">
        <v>1.329176E-2</v>
      </c>
      <c r="S1207">
        <v>3.0520939999999999</v>
      </c>
      <c r="T1207">
        <v>-0.14006009999999999</v>
      </c>
      <c r="U1207">
        <v>0.48269649999999997</v>
      </c>
      <c r="V1207">
        <v>-8.4604420000000003E-3</v>
      </c>
      <c r="W1207">
        <v>0.16760340000000001</v>
      </c>
      <c r="X1207">
        <v>0.98581819999999998</v>
      </c>
      <c r="Y1207">
        <v>-0.1511855</v>
      </c>
      <c r="Z1207">
        <v>4.32278E-3</v>
      </c>
      <c r="AA1207">
        <v>0.98849589999999998</v>
      </c>
      <c r="AB1207">
        <v>28</v>
      </c>
      <c r="AC1207">
        <v>24.223199999999999</v>
      </c>
      <c r="AD1207">
        <v>-1.1199023425679999</v>
      </c>
      <c r="AE1207">
        <v>3.8580000000000001</v>
      </c>
      <c r="AF1207">
        <v>-3.73186736555183</v>
      </c>
      <c r="AG1207">
        <v>-1.1199023425679999</v>
      </c>
      <c r="AH1207">
        <v>24.191325041519001</v>
      </c>
      <c r="AI1207">
        <v>92.619589961430407</v>
      </c>
      <c r="AJ1207">
        <v>98.769586932233196</v>
      </c>
      <c r="AK1207">
        <v>24.5030859802471</v>
      </c>
      <c r="AL1207">
        <v>80.351495211185807</v>
      </c>
      <c r="AM1207">
        <v>90.491709038083798</v>
      </c>
      <c r="AN1207">
        <v>1.0000000011108101</v>
      </c>
    </row>
    <row r="1208" spans="1:40" x14ac:dyDescent="0.25">
      <c r="A1208" t="str">
        <f>"20190303161901680"</f>
        <v>20190303161901680</v>
      </c>
      <c r="B1208" t="str">
        <f>"1551601141674176"</f>
        <v>1551601141674176</v>
      </c>
      <c r="C1208" t="s">
        <v>40</v>
      </c>
      <c r="D1208">
        <v>4.6679870000000001</v>
      </c>
      <c r="E1208">
        <v>0.4446233</v>
      </c>
      <c r="F1208" t="s">
        <v>41</v>
      </c>
      <c r="G1208">
        <v>-247.73699999999999</v>
      </c>
      <c r="H1208" s="1">
        <v>-1.4876810000000001E-6</v>
      </c>
      <c r="I1208">
        <v>371.26049999999998</v>
      </c>
      <c r="J1208">
        <v>-272.10169999999999</v>
      </c>
      <c r="K1208">
        <v>1.1200559999999999</v>
      </c>
      <c r="L1208">
        <v>367.35930000000002</v>
      </c>
      <c r="M1208">
        <v>0.99989450000000002</v>
      </c>
      <c r="N1208">
        <v>-1.3681479999999999E-2</v>
      </c>
      <c r="O1208">
        <v>4.8835650000000003E-3</v>
      </c>
      <c r="P1208">
        <v>0.98795310000000003</v>
      </c>
      <c r="Q1208">
        <v>0.1541661</v>
      </c>
      <c r="R1208">
        <v>1.347659E-2</v>
      </c>
      <c r="S1208">
        <v>3.0518489999999998</v>
      </c>
      <c r="T1208">
        <v>-0.13947010000000001</v>
      </c>
      <c r="U1208">
        <v>0.48593140000000001</v>
      </c>
      <c r="V1208">
        <v>-8.6450799999999994E-3</v>
      </c>
      <c r="W1208">
        <v>0.1676697</v>
      </c>
      <c r="X1208">
        <v>0.9858053</v>
      </c>
      <c r="Y1208">
        <v>-0.1522194</v>
      </c>
      <c r="Z1208">
        <v>4.3479749999999996E-3</v>
      </c>
      <c r="AA1208">
        <v>0.98833720000000003</v>
      </c>
      <c r="AB1208">
        <v>28</v>
      </c>
      <c r="AC1208">
        <v>24.364699999999999</v>
      </c>
      <c r="AD1208">
        <v>-1.1200574876810001</v>
      </c>
      <c r="AE1208">
        <v>3.9011999999999598</v>
      </c>
      <c r="AF1208">
        <v>-3.77437877500277</v>
      </c>
      <c r="AG1208">
        <v>-1.1200574876810001</v>
      </c>
      <c r="AH1208">
        <v>24.3333250567763</v>
      </c>
      <c r="AI1208">
        <v>92.604351693383606</v>
      </c>
      <c r="AJ1208">
        <v>98.816971996190304</v>
      </c>
      <c r="AK1208">
        <v>24.6497702267514</v>
      </c>
      <c r="AL1208">
        <v>80.347641744287003</v>
      </c>
      <c r="AM1208">
        <v>90.502445970221103</v>
      </c>
      <c r="AN1208">
        <v>0.99999997760719295</v>
      </c>
    </row>
    <row r="1209" spans="1:40" x14ac:dyDescent="0.25">
      <c r="A1209" t="str">
        <f>"20190303161901691"</f>
        <v>20190303161901691</v>
      </c>
      <c r="B1209" t="str">
        <f>"1551601141683936"</f>
        <v>1551601141683936</v>
      </c>
      <c r="C1209" t="s">
        <v>40</v>
      </c>
      <c r="D1209">
        <v>4.6245399999999997</v>
      </c>
      <c r="E1209">
        <v>0.44447059999999999</v>
      </c>
      <c r="F1209" t="s">
        <v>41</v>
      </c>
      <c r="G1209">
        <v>-247.57310000000001</v>
      </c>
      <c r="H1209" s="1">
        <v>-1.5696059999999999E-6</v>
      </c>
      <c r="I1209">
        <v>371.27710000000002</v>
      </c>
      <c r="J1209">
        <v>-271.96730000000002</v>
      </c>
      <c r="K1209">
        <v>1.1201920000000001</v>
      </c>
      <c r="L1209">
        <v>367.36</v>
      </c>
      <c r="M1209">
        <v>0.99989320000000004</v>
      </c>
      <c r="N1209">
        <v>-1.377078E-2</v>
      </c>
      <c r="O1209">
        <v>4.8837809999999898E-3</v>
      </c>
      <c r="P1209">
        <v>0.98796229999999996</v>
      </c>
      <c r="Q1209">
        <v>0.1541149</v>
      </c>
      <c r="R1209">
        <v>1.339128E-2</v>
      </c>
      <c r="S1209">
        <v>3.0516969999999999</v>
      </c>
      <c r="T1209">
        <v>-0.13935069999999999</v>
      </c>
      <c r="U1209">
        <v>0.48742679999999999</v>
      </c>
      <c r="V1209">
        <v>-8.5594750000000004E-3</v>
      </c>
      <c r="W1209">
        <v>0.16770639999999901</v>
      </c>
      <c r="X1209">
        <v>0.9857998</v>
      </c>
      <c r="Y1209">
        <v>-0.15269849999999999</v>
      </c>
      <c r="Z1209">
        <v>4.36674E-3</v>
      </c>
      <c r="AA1209">
        <v>0.98826320000000001</v>
      </c>
      <c r="AB1209">
        <v>28</v>
      </c>
      <c r="AC1209">
        <v>24.394200000000001</v>
      </c>
      <c r="AD1209">
        <v>-1.1201935696059999</v>
      </c>
      <c r="AE1209">
        <v>3.9171</v>
      </c>
      <c r="AF1209">
        <v>-3.79011475409551</v>
      </c>
      <c r="AG1209">
        <v>-1.1201935696059999</v>
      </c>
      <c r="AH1209">
        <v>24.362958490540599</v>
      </c>
      <c r="AI1209">
        <v>92.601323723059906</v>
      </c>
      <c r="AJ1209">
        <v>98.842552122284701</v>
      </c>
      <c r="AK1209">
        <v>24.681441406336099</v>
      </c>
      <c r="AL1209">
        <v>80.345508746127706</v>
      </c>
      <c r="AM1209">
        <v>90.497473694474905</v>
      </c>
      <c r="AN1209">
        <v>0.99999997344663705</v>
      </c>
    </row>
    <row r="1210" spans="1:40" x14ac:dyDescent="0.25">
      <c r="A1210" t="str">
        <f>"20190303161901702"</f>
        <v>20190303161901702</v>
      </c>
      <c r="B1210" t="str">
        <f>"1551601141693695"</f>
        <v>1551601141693695</v>
      </c>
      <c r="C1210" t="s">
        <v>40</v>
      </c>
      <c r="D1210">
        <v>4.6586129999999999</v>
      </c>
      <c r="E1210">
        <v>0.44431709999999902</v>
      </c>
      <c r="F1210" t="s">
        <v>41</v>
      </c>
      <c r="G1210">
        <v>-247.3707</v>
      </c>
      <c r="H1210" s="1">
        <v>-1.6710759999999999E-6</v>
      </c>
      <c r="I1210">
        <v>371.2989</v>
      </c>
      <c r="J1210">
        <v>-271.82859999999999</v>
      </c>
      <c r="K1210">
        <v>1.120322</v>
      </c>
      <c r="L1210">
        <v>367.36070000000001</v>
      </c>
      <c r="M1210">
        <v>0.99989209999999995</v>
      </c>
      <c r="N1210">
        <v>-1.385896E-2</v>
      </c>
      <c r="O1210">
        <v>4.8837029999999997E-3</v>
      </c>
      <c r="P1210">
        <v>0.98797290000000004</v>
      </c>
      <c r="Q1210">
        <v>0.1540359</v>
      </c>
      <c r="R1210">
        <v>1.35143E-2</v>
      </c>
      <c r="S1210">
        <v>3.0516049999999999</v>
      </c>
      <c r="T1210">
        <v>-0.1389775</v>
      </c>
      <c r="U1210">
        <v>0.488678</v>
      </c>
      <c r="V1210">
        <v>-8.6821490000000001E-3</v>
      </c>
      <c r="W1210">
        <v>0.1677148</v>
      </c>
      <c r="X1210">
        <v>0.98579729999999999</v>
      </c>
      <c r="Y1210">
        <v>-0.15309829999999999</v>
      </c>
      <c r="Z1210">
        <v>4.3771359999999898E-3</v>
      </c>
      <c r="AA1210">
        <v>0.98820129999999995</v>
      </c>
      <c r="AB1210">
        <v>28</v>
      </c>
      <c r="AC1210">
        <v>24.457899999999899</v>
      </c>
      <c r="AD1210">
        <v>-1.1203236710760001</v>
      </c>
      <c r="AE1210">
        <v>3.9381999999999899</v>
      </c>
      <c r="AF1210">
        <v>-3.81090245054886</v>
      </c>
      <c r="AG1210">
        <v>-1.1203236710760001</v>
      </c>
      <c r="AH1210">
        <v>24.426885676258099</v>
      </c>
      <c r="AI1210">
        <v>92.594651138049102</v>
      </c>
      <c r="AJ1210">
        <v>98.867381977543602</v>
      </c>
      <c r="AK1210">
        <v>24.7477442700654</v>
      </c>
      <c r="AL1210">
        <v>80.345020564606003</v>
      </c>
      <c r="AM1210">
        <v>90.504604378021895</v>
      </c>
      <c r="AN1210">
        <v>0.99999997526879303</v>
      </c>
    </row>
    <row r="1211" spans="1:40" x14ac:dyDescent="0.25">
      <c r="A1211" t="str">
        <f>"20190303161901714"</f>
        <v>20190303161901714</v>
      </c>
      <c r="B1211" t="str">
        <f>"1551601141704432"</f>
        <v>1551601141704432</v>
      </c>
      <c r="C1211" t="s">
        <v>40</v>
      </c>
      <c r="D1211">
        <v>4.6251949999999997</v>
      </c>
      <c r="E1211">
        <v>0.44421339999999998</v>
      </c>
      <c r="F1211" t="s">
        <v>41</v>
      </c>
      <c r="G1211">
        <v>-247.23070000000001</v>
      </c>
      <c r="H1211" s="1">
        <v>-1.7407919999999999E-6</v>
      </c>
      <c r="I1211">
        <v>371.31220000000002</v>
      </c>
      <c r="J1211">
        <v>-271.6934</v>
      </c>
      <c r="K1211">
        <v>1.1204320000000001</v>
      </c>
      <c r="L1211">
        <v>367.36130000000003</v>
      </c>
      <c r="M1211">
        <v>0.99989099999999997</v>
      </c>
      <c r="N1211">
        <v>-1.393759E-2</v>
      </c>
      <c r="O1211">
        <v>4.8836289999999996E-3</v>
      </c>
      <c r="P1211">
        <v>0.9879407</v>
      </c>
      <c r="Q1211">
        <v>0.1542269</v>
      </c>
      <c r="R1211">
        <v>1.3680869999999999E-2</v>
      </c>
      <c r="S1211">
        <v>3.0514830000000002</v>
      </c>
      <c r="T1211">
        <v>-0.1389811</v>
      </c>
      <c r="U1211">
        <v>0.49020390000000003</v>
      </c>
      <c r="V1211">
        <v>-8.8486139999999994E-3</v>
      </c>
      <c r="W1211">
        <v>0.167982299999999</v>
      </c>
      <c r="X1211">
        <v>0.98575029999999997</v>
      </c>
      <c r="Y1211">
        <v>-0.15358540000000001</v>
      </c>
      <c r="Z1211">
        <v>4.3981389999999997E-3</v>
      </c>
      <c r="AA1211">
        <v>0.98812560000000005</v>
      </c>
      <c r="AB1211">
        <v>28</v>
      </c>
      <c r="AC1211">
        <v>24.462699999999899</v>
      </c>
      <c r="AD1211">
        <v>-1.120433740792</v>
      </c>
      <c r="AE1211">
        <v>3.9508999999999901</v>
      </c>
      <c r="AF1211">
        <v>-3.82355738428133</v>
      </c>
      <c r="AG1211">
        <v>-1.120433740792</v>
      </c>
      <c r="AH1211">
        <v>24.431754874809499</v>
      </c>
      <c r="AI1211">
        <v>92.594196856293493</v>
      </c>
      <c r="AJ1211">
        <v>98.894613141117006</v>
      </c>
      <c r="AK1211">
        <v>24.754506844232999</v>
      </c>
      <c r="AL1211">
        <v>80.329473637946506</v>
      </c>
      <c r="AM1211">
        <v>90.514303287583999</v>
      </c>
      <c r="AN1211">
        <v>1.0000000025165501</v>
      </c>
    </row>
    <row r="1212" spans="1:40" x14ac:dyDescent="0.25">
      <c r="A1212" t="str">
        <f>"20190303161901724"</f>
        <v>20190303161901724</v>
      </c>
      <c r="B1212" t="str">
        <f>"1551601141714192"</f>
        <v>1551601141714192</v>
      </c>
      <c r="C1212" t="s">
        <v>40</v>
      </c>
      <c r="D1212">
        <v>4.6339489999999897</v>
      </c>
      <c r="E1212">
        <v>0.44407210000000003</v>
      </c>
      <c r="F1212" t="s">
        <v>41</v>
      </c>
      <c r="G1212">
        <v>-246.97110000000001</v>
      </c>
      <c r="H1212" s="1">
        <v>-1.8721869999999999E-6</v>
      </c>
      <c r="I1212">
        <v>371.34480000000002</v>
      </c>
      <c r="J1212">
        <v>-271.55079999999998</v>
      </c>
      <c r="K1212">
        <v>1.1205459999999901</v>
      </c>
      <c r="L1212">
        <v>367.3621</v>
      </c>
      <c r="M1212">
        <v>0.9998899</v>
      </c>
      <c r="N1212">
        <v>-1.4018360000000001E-2</v>
      </c>
      <c r="O1212">
        <v>4.8835969999999999E-3</v>
      </c>
      <c r="P1212">
        <v>0.98792489999999999</v>
      </c>
      <c r="Q1212">
        <v>0.15433459999999999</v>
      </c>
      <c r="R1212">
        <v>1.362417E-2</v>
      </c>
      <c r="S1212">
        <v>3.0514220000000001</v>
      </c>
      <c r="T1212">
        <v>-0.13829259999999999</v>
      </c>
      <c r="U1212">
        <v>0.49166870000000001</v>
      </c>
      <c r="V1212">
        <v>-8.7923930000000008E-3</v>
      </c>
      <c r="W1212">
        <v>0.16816989999999901</v>
      </c>
      <c r="X1212">
        <v>0.98571880000000001</v>
      </c>
      <c r="Y1212">
        <v>-0.15405170000000001</v>
      </c>
      <c r="Z1212">
        <v>4.402441E-3</v>
      </c>
      <c r="AA1212">
        <v>0.98805299999999996</v>
      </c>
      <c r="AB1212">
        <v>28</v>
      </c>
      <c r="AC1212">
        <v>24.5796999999999</v>
      </c>
      <c r="AD1212">
        <v>-1.1205478721869999</v>
      </c>
      <c r="AE1212">
        <v>3.9827000000000199</v>
      </c>
      <c r="AF1212">
        <v>-3.8547969026430602</v>
      </c>
      <c r="AG1212">
        <v>-1.1205478721869999</v>
      </c>
      <c r="AH1212">
        <v>24.549143468315801</v>
      </c>
      <c r="AI1212">
        <v>92.581864644360707</v>
      </c>
      <c r="AJ1212">
        <v>98.923926310140402</v>
      </c>
      <c r="AK1212">
        <v>24.875199129302299</v>
      </c>
      <c r="AL1212">
        <v>80.318569681323694</v>
      </c>
      <c r="AM1212">
        <v>90.511052088127897</v>
      </c>
      <c r="AN1212">
        <v>0.99999998705705795</v>
      </c>
    </row>
    <row r="1213" spans="1:40" x14ac:dyDescent="0.25">
      <c r="A1213" t="str">
        <f>"20190303161901736"</f>
        <v>20190303161901736</v>
      </c>
      <c r="B1213" t="str">
        <f>"1551601141723951"</f>
        <v>1551601141723951</v>
      </c>
      <c r="C1213" t="s">
        <v>40</v>
      </c>
      <c r="D1213">
        <v>4.5657379999999996</v>
      </c>
      <c r="E1213">
        <v>0.44404569999999999</v>
      </c>
      <c r="F1213" t="s">
        <v>41</v>
      </c>
      <c r="G1213">
        <v>-246.77850000000001</v>
      </c>
      <c r="H1213" s="1">
        <v>-1.9674640000000001E-6</v>
      </c>
      <c r="I1213">
        <v>371.36070000000001</v>
      </c>
      <c r="J1213">
        <v>-271.40390000000002</v>
      </c>
      <c r="K1213">
        <v>1.120649</v>
      </c>
      <c r="L1213">
        <v>367.36279999999999</v>
      </c>
      <c r="M1213">
        <v>0.99988889999999997</v>
      </c>
      <c r="N1213">
        <v>-1.4092729999999999E-2</v>
      </c>
      <c r="O1213">
        <v>4.8835470000000002E-3</v>
      </c>
      <c r="P1213">
        <v>0.98791070000000003</v>
      </c>
      <c r="Q1213">
        <v>0.154424799999999</v>
      </c>
      <c r="R1213">
        <v>1.3623079999999999E-2</v>
      </c>
      <c r="S1213">
        <v>3.051453</v>
      </c>
      <c r="T1213">
        <v>-0.1380287</v>
      </c>
      <c r="U1213">
        <v>0.49255369999999998</v>
      </c>
      <c r="V1213">
        <v>-8.7916750000000005E-3</v>
      </c>
      <c r="W1213">
        <v>0.16833299999999901</v>
      </c>
      <c r="X1213">
        <v>0.98569099999999998</v>
      </c>
      <c r="Y1213">
        <v>-0.15432950000000001</v>
      </c>
      <c r="Z1213">
        <v>4.4105129999999996E-3</v>
      </c>
      <c r="AA1213">
        <v>0.98800960000000004</v>
      </c>
      <c r="AB1213">
        <v>28</v>
      </c>
      <c r="AC1213">
        <v>24.625399999999999</v>
      </c>
      <c r="AD1213">
        <v>-1.1206509674639999</v>
      </c>
      <c r="AE1213">
        <v>3.9979000000000098</v>
      </c>
      <c r="AF1213">
        <v>-3.8697727077448598</v>
      </c>
      <c r="AG1213">
        <v>-1.1206509674639999</v>
      </c>
      <c r="AH1213">
        <v>24.595004642181099</v>
      </c>
      <c r="AI1213">
        <v>92.577168842437899</v>
      </c>
      <c r="AJ1213">
        <v>98.941600914037807</v>
      </c>
      <c r="AK1213">
        <v>24.922785814378599</v>
      </c>
      <c r="AL1213">
        <v>80.309089914372606</v>
      </c>
      <c r="AM1213">
        <v>90.511024768610397</v>
      </c>
      <c r="AN1213">
        <v>1.0000000199596499</v>
      </c>
    </row>
    <row r="1214" spans="1:40" x14ac:dyDescent="0.25">
      <c r="A1214" t="str">
        <f>"20190303161901748"</f>
        <v>20190303161901748</v>
      </c>
      <c r="B1214" t="str">
        <f>"1551601141744447"</f>
        <v>1551601141744447</v>
      </c>
      <c r="C1214" t="s">
        <v>40</v>
      </c>
      <c r="D1214">
        <v>4.6097070000000002</v>
      </c>
      <c r="E1214">
        <v>0.44378440000000002</v>
      </c>
      <c r="F1214" t="s">
        <v>41</v>
      </c>
      <c r="G1214">
        <v>-246.4502</v>
      </c>
      <c r="H1214" s="1">
        <v>-2.131108E-6</v>
      </c>
      <c r="I1214">
        <v>371.39260000000002</v>
      </c>
      <c r="J1214">
        <v>-271.26850000000002</v>
      </c>
      <c r="K1214">
        <v>1.120738</v>
      </c>
      <c r="L1214">
        <v>367.36340000000001</v>
      </c>
      <c r="M1214">
        <v>0.99988779999999999</v>
      </c>
      <c r="N1214">
        <v>-1.415922E-2</v>
      </c>
      <c r="O1214">
        <v>4.8835500000000004E-3</v>
      </c>
      <c r="P1214">
        <v>0.98793050000000004</v>
      </c>
      <c r="Q1214">
        <v>0.1542906</v>
      </c>
      <c r="R1214">
        <v>1.3712159999999999E-2</v>
      </c>
      <c r="S1214">
        <v>3.0513309999999998</v>
      </c>
      <c r="T1214">
        <v>-0.13703299999999999</v>
      </c>
      <c r="U1214">
        <v>0.49276730000000002</v>
      </c>
      <c r="V1214">
        <v>-8.8810829999999997E-3</v>
      </c>
      <c r="W1214">
        <v>0.16826440000000001</v>
      </c>
      <c r="X1214">
        <v>0.98570190000000002</v>
      </c>
      <c r="Y1214">
        <v>-0.1544053</v>
      </c>
      <c r="Z1214">
        <v>4.3949419999999998E-3</v>
      </c>
      <c r="AA1214">
        <v>0.98799780000000004</v>
      </c>
      <c r="AB1214">
        <v>28</v>
      </c>
      <c r="AC1214">
        <v>24.818300000000001</v>
      </c>
      <c r="AD1214">
        <v>-1.1207401311080001</v>
      </c>
      <c r="AE1214">
        <v>4.0292000000000003</v>
      </c>
      <c r="AF1214">
        <v>-3.9001892478221998</v>
      </c>
      <c r="AG1214">
        <v>-1.1207401311080001</v>
      </c>
      <c r="AH1214">
        <v>24.788431606955999</v>
      </c>
      <c r="AI1214">
        <v>92.557289151446597</v>
      </c>
      <c r="AJ1214">
        <v>98.941562080839205</v>
      </c>
      <c r="AK1214">
        <v>25.118397165086702</v>
      </c>
      <c r="AL1214">
        <v>80.313077171268304</v>
      </c>
      <c r="AM1214">
        <v>90.516215708724005</v>
      </c>
      <c r="AN1214">
        <v>1.00000000880311</v>
      </c>
    </row>
    <row r="1215" spans="1:40" x14ac:dyDescent="0.25">
      <c r="A1215" t="str">
        <f>"20190303161901759"</f>
        <v>20190303161901759</v>
      </c>
      <c r="B1215" t="str">
        <f>"1551601141754207"</f>
        <v>1551601141754207</v>
      </c>
      <c r="C1215" t="s">
        <v>40</v>
      </c>
      <c r="D1215">
        <v>4.5935800000000002</v>
      </c>
      <c r="E1215">
        <v>0.44367250000000003</v>
      </c>
      <c r="F1215" t="s">
        <v>41</v>
      </c>
      <c r="G1215">
        <v>-246.208</v>
      </c>
      <c r="H1215" s="1">
        <v>-2.2553440000000002E-6</v>
      </c>
      <c r="I1215">
        <v>371.42910000000001</v>
      </c>
      <c r="J1215">
        <v>-271.12639999999999</v>
      </c>
      <c r="K1215">
        <v>1.1208180000000001</v>
      </c>
      <c r="L1215">
        <v>367.36410000000001</v>
      </c>
      <c r="M1215">
        <v>0.99988699999999997</v>
      </c>
      <c r="N1215">
        <v>-1.4223410000000001E-2</v>
      </c>
      <c r="O1215">
        <v>4.8834489999999998E-3</v>
      </c>
      <c r="P1215">
        <v>0.98791309999999999</v>
      </c>
      <c r="Q1215">
        <v>0.15443109999999999</v>
      </c>
      <c r="R1215">
        <v>1.338452E-2</v>
      </c>
      <c r="S1215">
        <v>3.0510860000000002</v>
      </c>
      <c r="T1215">
        <v>-0.1364485</v>
      </c>
      <c r="U1215">
        <v>0.49499510000000002</v>
      </c>
      <c r="V1215">
        <v>-8.5531770000000003E-3</v>
      </c>
      <c r="W1215">
        <v>0.16846829999999999</v>
      </c>
      <c r="X1215">
        <v>0.98567000000000005</v>
      </c>
      <c r="Y1215">
        <v>-0.15512110000000001</v>
      </c>
      <c r="Z1215">
        <v>4.4076480000000001E-3</v>
      </c>
      <c r="AA1215">
        <v>0.98788569999999998</v>
      </c>
      <c r="AB1215">
        <v>28</v>
      </c>
      <c r="AC1215">
        <v>24.918399999999899</v>
      </c>
      <c r="AD1215">
        <v>-1.1208202553440001</v>
      </c>
      <c r="AE1215">
        <v>4.0649999999999897</v>
      </c>
      <c r="AF1215">
        <v>-3.9354957170430298</v>
      </c>
      <c r="AG1215">
        <v>-1.1208202553440001</v>
      </c>
      <c r="AH1215">
        <v>24.888906937613299</v>
      </c>
      <c r="AI1215">
        <v>92.546854292123498</v>
      </c>
      <c r="AJ1215">
        <v>98.985357550385999</v>
      </c>
      <c r="AK1215">
        <v>25.223046071654998</v>
      </c>
      <c r="AL1215">
        <v>80.301225646776203</v>
      </c>
      <c r="AM1215">
        <v>90.497173134662802</v>
      </c>
      <c r="AN1215">
        <v>1.0000000369208399</v>
      </c>
    </row>
    <row r="1216" spans="1:40" x14ac:dyDescent="0.25">
      <c r="A1216" t="str">
        <f>"20190303161901770"</f>
        <v>20190303161901770</v>
      </c>
      <c r="B1216" t="str">
        <f>"1551601141763967"</f>
        <v>1551601141763967</v>
      </c>
      <c r="C1216" t="s">
        <v>40</v>
      </c>
      <c r="D1216">
        <v>4.5891409999999997</v>
      </c>
      <c r="E1216">
        <v>0.44350640000000002</v>
      </c>
      <c r="F1216" t="s">
        <v>41</v>
      </c>
      <c r="G1216">
        <v>-245.9151</v>
      </c>
      <c r="H1216" s="1">
        <v>-2.4007140000000001E-6</v>
      </c>
      <c r="I1216">
        <v>371.45510000000002</v>
      </c>
      <c r="J1216">
        <v>-270.99059999999997</v>
      </c>
      <c r="K1216">
        <v>1.1208880000000001</v>
      </c>
      <c r="L1216">
        <v>367.3648</v>
      </c>
      <c r="M1216">
        <v>0.99988619999999995</v>
      </c>
      <c r="N1216">
        <v>-1.428133E-2</v>
      </c>
      <c r="O1216">
        <v>4.8833899999999996E-3</v>
      </c>
      <c r="P1216">
        <v>0.98794349999999997</v>
      </c>
      <c r="Q1216">
        <v>0.15423100000000001</v>
      </c>
      <c r="R1216">
        <v>1.344894E-2</v>
      </c>
      <c r="S1216">
        <v>3.0512079999999999</v>
      </c>
      <c r="T1216">
        <v>-0.13564780000000001</v>
      </c>
      <c r="U1216">
        <v>0.49511719999999998</v>
      </c>
      <c r="V1216">
        <v>-8.6177800000000002E-3</v>
      </c>
      <c r="W1216">
        <v>0.16832549999999999</v>
      </c>
      <c r="X1216">
        <v>0.98569379999999995</v>
      </c>
      <c r="Y1216">
        <v>-0.15515519999999999</v>
      </c>
      <c r="Z1216">
        <v>4.3943919999999996E-3</v>
      </c>
      <c r="AA1216">
        <v>0.98788030000000004</v>
      </c>
      <c r="AB1216">
        <v>28</v>
      </c>
      <c r="AC1216">
        <v>25.075499999999899</v>
      </c>
      <c r="AD1216">
        <v>-1.1208904007139999</v>
      </c>
      <c r="AE1216">
        <v>4.0903000000000098</v>
      </c>
      <c r="AF1216">
        <v>-3.9600775715576901</v>
      </c>
      <c r="AG1216">
        <v>-1.1208904007139999</v>
      </c>
      <c r="AH1216">
        <v>25.0464282199111</v>
      </c>
      <c r="AI1216">
        <v>92.531020838734193</v>
      </c>
      <c r="AJ1216">
        <v>98.984630430999601</v>
      </c>
      <c r="AK1216">
        <v>25.382320150812198</v>
      </c>
      <c r="AL1216">
        <v>80.309525694312796</v>
      </c>
      <c r="AM1216">
        <v>90.500916047849699</v>
      </c>
      <c r="AN1216">
        <v>1.0000000037204</v>
      </c>
    </row>
    <row r="1217" spans="1:40" x14ac:dyDescent="0.25">
      <c r="A1217" t="str">
        <f>"20190303161901782"</f>
        <v>20190303161901782</v>
      </c>
      <c r="B1217" t="str">
        <f>"1551601141773727"</f>
        <v>1551601141773727</v>
      </c>
      <c r="C1217" t="s">
        <v>40</v>
      </c>
      <c r="D1217">
        <v>4.556565</v>
      </c>
      <c r="E1217">
        <v>0.44334760000000001</v>
      </c>
      <c r="F1217" t="s">
        <v>41</v>
      </c>
      <c r="G1217">
        <v>-245.81659999999999</v>
      </c>
      <c r="H1217" s="1">
        <v>-2.4487700000000002E-6</v>
      </c>
      <c r="I1217">
        <v>371.46080000000001</v>
      </c>
      <c r="J1217">
        <v>-270.85120000000001</v>
      </c>
      <c r="K1217">
        <v>1.1209549999999999</v>
      </c>
      <c r="L1217">
        <v>367.36540000000002</v>
      </c>
      <c r="M1217">
        <v>0.99988520000000003</v>
      </c>
      <c r="N1217">
        <v>-1.4337280000000001E-2</v>
      </c>
      <c r="O1217">
        <v>4.8834630000000002E-3</v>
      </c>
      <c r="P1217">
        <v>0.98791390000000001</v>
      </c>
      <c r="Q1217">
        <v>0.1544315</v>
      </c>
      <c r="R1217">
        <v>1.329529E-2</v>
      </c>
      <c r="S1217">
        <v>3.051056</v>
      </c>
      <c r="T1217">
        <v>-0.13585069999999999</v>
      </c>
      <c r="U1217">
        <v>0.49642940000000002</v>
      </c>
      <c r="V1217">
        <v>-8.4637110000000005E-3</v>
      </c>
      <c r="W1217">
        <v>0.16858119999999999</v>
      </c>
      <c r="X1217">
        <v>0.98565139999999996</v>
      </c>
      <c r="Y1217">
        <v>-0.15557560000000001</v>
      </c>
      <c r="Z1217">
        <v>4.4162460000000004E-3</v>
      </c>
      <c r="AA1217">
        <v>0.98781410000000003</v>
      </c>
      <c r="AB1217">
        <v>28</v>
      </c>
      <c r="AC1217">
        <v>25.034600000000001</v>
      </c>
      <c r="AD1217">
        <v>-1.12095744877</v>
      </c>
      <c r="AE1217">
        <v>4.0953999999999802</v>
      </c>
      <c r="AF1217">
        <v>-3.9653400609517</v>
      </c>
      <c r="AG1217">
        <v>-1.12095744877</v>
      </c>
      <c r="AH1217">
        <v>25.005475940892399</v>
      </c>
      <c r="AI1217">
        <v>92.535128433627406</v>
      </c>
      <c r="AJ1217">
        <v>99.010866929358698</v>
      </c>
      <c r="AK1217">
        <v>25.342736522157399</v>
      </c>
      <c r="AL1217">
        <v>80.294662425115405</v>
      </c>
      <c r="AM1217">
        <v>90.491982257538993</v>
      </c>
      <c r="AN1217">
        <v>0.99999996885964504</v>
      </c>
    </row>
    <row r="1218" spans="1:40" x14ac:dyDescent="0.25">
      <c r="A1218" t="str">
        <f>"20190303161901794"</f>
        <v>20190303161901794</v>
      </c>
      <c r="B1218" t="str">
        <f>"1551601141784463"</f>
        <v>1551601141784463</v>
      </c>
      <c r="C1218" t="s">
        <v>40</v>
      </c>
      <c r="D1218">
        <v>4.5192119999999996</v>
      </c>
      <c r="E1218">
        <v>0.44319120000000001</v>
      </c>
      <c r="F1218" t="s">
        <v>41</v>
      </c>
      <c r="G1218">
        <v>-245.4898</v>
      </c>
      <c r="H1218" s="1">
        <v>-2.614073E-6</v>
      </c>
      <c r="I1218">
        <v>371.50150000000002</v>
      </c>
      <c r="J1218">
        <v>-270.7081</v>
      </c>
      <c r="K1218">
        <v>1.121019</v>
      </c>
      <c r="L1218">
        <v>367.36619999999999</v>
      </c>
      <c r="M1218">
        <v>0.99988449999999995</v>
      </c>
      <c r="N1218">
        <v>-1.4389849999999999E-2</v>
      </c>
      <c r="O1218">
        <v>4.8832609999999999E-3</v>
      </c>
      <c r="P1218">
        <v>0.9879696</v>
      </c>
      <c r="Q1218">
        <v>0.15409439999999999</v>
      </c>
      <c r="R1218">
        <v>1.3081270000000001E-2</v>
      </c>
      <c r="S1218">
        <v>3.0511170000000001</v>
      </c>
      <c r="T1218">
        <v>-0.13485739999999999</v>
      </c>
      <c r="U1218">
        <v>0.49758910000000001</v>
      </c>
      <c r="V1218">
        <v>-8.2498009999999993E-3</v>
      </c>
      <c r="W1218">
        <v>0.16829630000000001</v>
      </c>
      <c r="X1218">
        <v>0.98570190000000002</v>
      </c>
      <c r="Y1218">
        <v>-0.155940299999999</v>
      </c>
      <c r="Z1218">
        <v>4.4075900000000003E-3</v>
      </c>
      <c r="AA1218">
        <v>0.98775670000000004</v>
      </c>
      <c r="AB1218">
        <v>28</v>
      </c>
      <c r="AC1218">
        <v>25.218299999999999</v>
      </c>
      <c r="AD1218">
        <v>-1.1210216140730001</v>
      </c>
      <c r="AE1218">
        <v>4.1353000000000204</v>
      </c>
      <c r="AF1218">
        <v>-4.0043847512111501</v>
      </c>
      <c r="AG1218">
        <v>-1.1210216140730001</v>
      </c>
      <c r="AH1218">
        <v>25.189722527198199</v>
      </c>
      <c r="AI1218">
        <v>92.516601542211802</v>
      </c>
      <c r="AJ1218">
        <v>99.032669667884406</v>
      </c>
      <c r="AK1218">
        <v>25.530646440938199</v>
      </c>
      <c r="AL1218">
        <v>80.311222611667503</v>
      </c>
      <c r="AM1218">
        <v>90.479524025318199</v>
      </c>
      <c r="AN1218">
        <v>0.99999996973691896</v>
      </c>
    </row>
    <row r="1219" spans="1:40" x14ac:dyDescent="0.25">
      <c r="A1219" t="str">
        <f>"20190303161901805"</f>
        <v>20190303161901805</v>
      </c>
      <c r="B1219" t="str">
        <f>"1551601141794224"</f>
        <v>1551601141794224</v>
      </c>
      <c r="C1219" t="s">
        <v>40</v>
      </c>
      <c r="D1219">
        <v>4.6121910000000002</v>
      </c>
      <c r="E1219">
        <v>0.44310379999999999</v>
      </c>
      <c r="F1219" t="s">
        <v>41</v>
      </c>
      <c r="G1219">
        <v>-245.43100000000001</v>
      </c>
      <c r="H1219" s="1">
        <v>-2.6396140000000001E-6</v>
      </c>
      <c r="I1219">
        <v>371.49310000000003</v>
      </c>
      <c r="J1219">
        <v>-270.5566</v>
      </c>
      <c r="K1219">
        <v>1.121076</v>
      </c>
      <c r="L1219">
        <v>367.36689999999999</v>
      </c>
      <c r="M1219">
        <v>0.99988379999999999</v>
      </c>
      <c r="N1219">
        <v>-1.444317E-2</v>
      </c>
      <c r="O1219">
        <v>4.8832320000000004E-3</v>
      </c>
      <c r="P1219">
        <v>0.98799930000000002</v>
      </c>
      <c r="Q1219">
        <v>0.15393380000000001</v>
      </c>
      <c r="R1219">
        <v>1.271776E-2</v>
      </c>
      <c r="S1219">
        <v>3.0510860000000002</v>
      </c>
      <c r="T1219">
        <v>-0.13531360000000001</v>
      </c>
      <c r="U1219">
        <v>0.49813839999999998</v>
      </c>
      <c r="V1219">
        <v>-7.8861509999999992E-3</v>
      </c>
      <c r="W1219">
        <v>0.1681887</v>
      </c>
      <c r="X1219">
        <v>0.98572329999999997</v>
      </c>
      <c r="Y1219">
        <v>-0.15611349999999999</v>
      </c>
      <c r="Z1219">
        <v>4.4279580000000001E-3</v>
      </c>
      <c r="AA1219">
        <v>0.98772919999999997</v>
      </c>
      <c r="AB1219">
        <v>28</v>
      </c>
      <c r="AC1219">
        <v>25.125599999999999</v>
      </c>
      <c r="AD1219">
        <v>-1.121078639614</v>
      </c>
      <c r="AE1219">
        <v>4.1262000000000398</v>
      </c>
      <c r="AF1219">
        <v>-3.9956979167352702</v>
      </c>
      <c r="AG1219">
        <v>-1.121078639614</v>
      </c>
      <c r="AH1219">
        <v>25.096799711717601</v>
      </c>
      <c r="AI1219">
        <v>92.525940822510194</v>
      </c>
      <c r="AJ1219">
        <v>99.046218773717499</v>
      </c>
      <c r="AK1219">
        <v>25.4376055266228</v>
      </c>
      <c r="AL1219">
        <v>80.317477348515197</v>
      </c>
      <c r="AM1219">
        <v>90.458377649245705</v>
      </c>
      <c r="AN1219">
        <v>1.0000000271740801</v>
      </c>
    </row>
    <row r="1220" spans="1:40" x14ac:dyDescent="0.25">
      <c r="A1220" t="str">
        <f>"20190303161901819"</f>
        <v>20190303161901819</v>
      </c>
      <c r="B1220" t="str">
        <f>"1551601141803983"</f>
        <v>1551601141803983</v>
      </c>
      <c r="C1220" t="s">
        <v>40</v>
      </c>
      <c r="D1220">
        <v>4.6332430000000002</v>
      </c>
      <c r="E1220">
        <v>0.44326159999999998</v>
      </c>
      <c r="F1220" t="s">
        <v>41</v>
      </c>
      <c r="G1220">
        <v>-245.32839999999999</v>
      </c>
      <c r="H1220" s="1">
        <v>-2.685281E-6</v>
      </c>
      <c r="I1220">
        <v>371.48239999999998</v>
      </c>
      <c r="J1220">
        <v>-270.3931</v>
      </c>
      <c r="K1220">
        <v>1.121135</v>
      </c>
      <c r="L1220">
        <v>367.36770000000001</v>
      </c>
      <c r="M1220">
        <v>0.99988319999999997</v>
      </c>
      <c r="N1220">
        <v>-1.449458E-2</v>
      </c>
      <c r="O1220">
        <v>4.8831539999999998E-3</v>
      </c>
      <c r="P1220">
        <v>0.98799440000000005</v>
      </c>
      <c r="Q1220">
        <v>0.15396279999999901</v>
      </c>
      <c r="R1220">
        <v>1.275978E-2</v>
      </c>
      <c r="S1220">
        <v>3.0511469999999998</v>
      </c>
      <c r="T1220">
        <v>-0.13558539999999999</v>
      </c>
      <c r="U1220">
        <v>0.49774170000000001</v>
      </c>
      <c r="V1220">
        <v>-7.9278760000000004E-3</v>
      </c>
      <c r="W1220">
        <v>0.1682681</v>
      </c>
      <c r="X1220">
        <v>0.98570939999999996</v>
      </c>
      <c r="Y1220">
        <v>-0.1559847</v>
      </c>
      <c r="Z1220">
        <v>4.4348979999999996E-3</v>
      </c>
      <c r="AA1220">
        <v>0.98774949999999995</v>
      </c>
      <c r="AB1220">
        <v>28</v>
      </c>
      <c r="AC1220">
        <v>25.064699999999998</v>
      </c>
      <c r="AD1220">
        <v>-1.121137685281</v>
      </c>
      <c r="AE1220">
        <v>4.1146999999999698</v>
      </c>
      <c r="AF1220">
        <v>-3.9844805558144998</v>
      </c>
      <c r="AG1220">
        <v>-1.121137685281</v>
      </c>
      <c r="AH1220">
        <v>25.0357201806858</v>
      </c>
      <c r="AI1220">
        <v>92.532251936365299</v>
      </c>
      <c r="AJ1220">
        <v>99.042886836472803</v>
      </c>
      <c r="AK1220">
        <v>25.375585115906599</v>
      </c>
      <c r="AL1220">
        <v>80.312862151232395</v>
      </c>
      <c r="AM1220">
        <v>90.460809282499298</v>
      </c>
      <c r="AN1220">
        <v>1.00000001297192</v>
      </c>
    </row>
    <row r="1221" spans="1:40" x14ac:dyDescent="0.25">
      <c r="A1221" t="str">
        <f>"20190303161901834"</f>
        <v>20190303161901834</v>
      </c>
      <c r="B1221" t="str">
        <f>"1551601141824480"</f>
        <v>1551601141824480</v>
      </c>
      <c r="C1221" t="s">
        <v>40</v>
      </c>
      <c r="D1221">
        <v>4.6584110000000001</v>
      </c>
      <c r="E1221">
        <v>0.48152889999999998</v>
      </c>
      <c r="F1221" t="s">
        <v>41</v>
      </c>
      <c r="G1221">
        <v>-245.1003</v>
      </c>
      <c r="H1221" s="1">
        <v>-2.7933809999999999E-6</v>
      </c>
      <c r="I1221">
        <v>371.48340000000002</v>
      </c>
      <c r="J1221">
        <v>-270.22390000000001</v>
      </c>
      <c r="K1221">
        <v>1.1211880000000001</v>
      </c>
      <c r="L1221">
        <v>367.36849999999998</v>
      </c>
      <c r="M1221">
        <v>0.99988239999999995</v>
      </c>
      <c r="N1221">
        <v>-1.454416E-2</v>
      </c>
      <c r="O1221">
        <v>4.8831489999999998E-3</v>
      </c>
      <c r="P1221">
        <v>0.98800209999999999</v>
      </c>
      <c r="Q1221">
        <v>0.1539316</v>
      </c>
      <c r="R1221">
        <v>1.2534119999999999E-2</v>
      </c>
      <c r="S1221">
        <v>3.0511469999999998</v>
      </c>
      <c r="T1221">
        <v>-0.13524639999999999</v>
      </c>
      <c r="U1221">
        <v>0.4964905</v>
      </c>
      <c r="V1221">
        <v>-7.70224E-3</v>
      </c>
      <c r="W1221">
        <v>0.16828599999999999</v>
      </c>
      <c r="X1221">
        <v>0.98570809999999998</v>
      </c>
      <c r="Y1221">
        <v>-0.15559120000000001</v>
      </c>
      <c r="Z1221">
        <v>4.4195019999999996E-3</v>
      </c>
      <c r="AA1221">
        <v>0.98781160000000001</v>
      </c>
      <c r="AB1221">
        <v>28</v>
      </c>
      <c r="AC1221">
        <v>25.1236</v>
      </c>
      <c r="AD1221">
        <v>-1.1211907933809999</v>
      </c>
      <c r="AE1221">
        <v>4.1149000000000298</v>
      </c>
      <c r="AF1221">
        <v>-3.9844277287092198</v>
      </c>
      <c r="AG1221">
        <v>-1.1211907933809999</v>
      </c>
      <c r="AH1221">
        <v>25.094723998998099</v>
      </c>
      <c r="AI1221">
        <v>92.526572451001499</v>
      </c>
      <c r="AJ1221">
        <v>99.021857274461198</v>
      </c>
      <c r="AK1221">
        <v>25.433794559726199</v>
      </c>
      <c r="AL1221">
        <v>80.311821400891105</v>
      </c>
      <c r="AM1221">
        <v>90.4476952796484</v>
      </c>
      <c r="AN1221">
        <v>0.99999998035131299</v>
      </c>
    </row>
    <row r="1222" spans="1:40" x14ac:dyDescent="0.25">
      <c r="A1222" t="str">
        <f>"20190303161901847"</f>
        <v>20190303161901847</v>
      </c>
      <c r="B1222" t="str">
        <f>"1551601141843999"</f>
        <v>1551601141843999</v>
      </c>
      <c r="C1222" t="s">
        <v>40</v>
      </c>
      <c r="D1222">
        <v>4.5677490000000001</v>
      </c>
      <c r="E1222">
        <v>0.49838189999999999</v>
      </c>
      <c r="F1222" t="s">
        <v>41</v>
      </c>
      <c r="G1222">
        <v>-253.25059999999999</v>
      </c>
      <c r="H1222" s="1">
        <v>-3.0885359999999999E-6</v>
      </c>
      <c r="I1222">
        <v>368.42829999999998</v>
      </c>
      <c r="J1222">
        <v>-270.05090000000001</v>
      </c>
      <c r="K1222">
        <v>1.121243</v>
      </c>
      <c r="L1222">
        <v>367.36939999999998</v>
      </c>
      <c r="M1222">
        <v>0.99988169999999998</v>
      </c>
      <c r="N1222">
        <v>-1.459133E-2</v>
      </c>
      <c r="O1222">
        <v>4.8831589999999998E-3</v>
      </c>
      <c r="P1222">
        <v>0.98799590000000004</v>
      </c>
      <c r="Q1222">
        <v>0.1539769</v>
      </c>
      <c r="R1222">
        <v>1.247291E-2</v>
      </c>
      <c r="S1222">
        <v>3.0655519999999998</v>
      </c>
      <c r="T1222">
        <v>-0.20249700000000001</v>
      </c>
      <c r="U1222">
        <v>0.1914063</v>
      </c>
      <c r="V1222">
        <v>-7.6410159999999996E-3</v>
      </c>
      <c r="W1222">
        <v>0.16837759999999999</v>
      </c>
      <c r="X1222">
        <v>0.98569289999999998</v>
      </c>
      <c r="Y1222">
        <v>-5.7295930000000002E-2</v>
      </c>
      <c r="Z1222">
        <v>2.056708E-3</v>
      </c>
      <c r="AA1222">
        <v>0.9983552</v>
      </c>
      <c r="AB1222">
        <v>27</v>
      </c>
      <c r="AC1222">
        <v>16.8003</v>
      </c>
      <c r="AD1222">
        <v>-1.1212460885360001</v>
      </c>
      <c r="AE1222">
        <v>1.05889999999999</v>
      </c>
      <c r="AF1222">
        <v>-0.97252544500263205</v>
      </c>
      <c r="AG1222">
        <v>-1.1212460885360001</v>
      </c>
      <c r="AH1222">
        <v>16.731042775602099</v>
      </c>
      <c r="AI1222">
        <v>93.827554640529499</v>
      </c>
      <c r="AJ1222">
        <v>93.326688879713203</v>
      </c>
      <c r="AK1222">
        <v>16.796749414433201</v>
      </c>
      <c r="AL1222">
        <v>80.306496807782693</v>
      </c>
      <c r="AM1222">
        <v>90.444143605859793</v>
      </c>
      <c r="AN1222">
        <v>0.999999947208839</v>
      </c>
    </row>
    <row r="1223" spans="1:40" x14ac:dyDescent="0.25">
      <c r="A1223" t="str">
        <f>"20190303161901861"</f>
        <v>20190303161901861</v>
      </c>
      <c r="B1223" t="str">
        <f>"1551601141853760"</f>
        <v>1551601141853760</v>
      </c>
      <c r="C1223" t="s">
        <v>40</v>
      </c>
      <c r="D1223">
        <v>4.5610280000000003</v>
      </c>
      <c r="E1223">
        <v>0.50435889999999906</v>
      </c>
      <c r="F1223" t="s">
        <v>41</v>
      </c>
      <c r="G1223">
        <v>-256.13639999999998</v>
      </c>
      <c r="H1223" s="1">
        <v>-1.9924909999999999E-6</v>
      </c>
      <c r="I1223">
        <v>367.62810000000002</v>
      </c>
      <c r="J1223">
        <v>-269.87979999999999</v>
      </c>
      <c r="K1223">
        <v>1.121289</v>
      </c>
      <c r="L1223">
        <v>367.37020000000001</v>
      </c>
      <c r="M1223">
        <v>0.99988109999999997</v>
      </c>
      <c r="N1223">
        <v>-1.4633119999999999E-2</v>
      </c>
      <c r="O1223">
        <v>4.8831500000000002E-3</v>
      </c>
      <c r="P1223">
        <v>0.98803319999999994</v>
      </c>
      <c r="Q1223">
        <v>0.15374649999999901</v>
      </c>
      <c r="R1223">
        <v>1.236377E-2</v>
      </c>
      <c r="S1223">
        <v>3.0743710000000002</v>
      </c>
      <c r="T1223">
        <v>-0.2477335</v>
      </c>
      <c r="U1223">
        <v>5.7159420000000002E-2</v>
      </c>
      <c r="V1223">
        <v>-7.5322189999999997E-3</v>
      </c>
      <c r="W1223">
        <v>0.16818920000000001</v>
      </c>
      <c r="X1223">
        <v>0.98572590000000004</v>
      </c>
      <c r="Y1223">
        <v>-1.3664219999999999E-2</v>
      </c>
      <c r="Z1223">
        <v>3.2832589999999898E-4</v>
      </c>
      <c r="AA1223">
        <v>0.99990659999999998</v>
      </c>
      <c r="AB1223">
        <v>27</v>
      </c>
      <c r="AC1223">
        <v>13.743399999999999</v>
      </c>
      <c r="AD1223">
        <v>-1.1212909924909999</v>
      </c>
      <c r="AE1223">
        <v>0.25790000000000601</v>
      </c>
      <c r="AF1223">
        <v>-0.189517574231265</v>
      </c>
      <c r="AG1223">
        <v>-1.1212909924909999</v>
      </c>
      <c r="AH1223">
        <v>13.653641640751299</v>
      </c>
      <c r="AI1223">
        <v>94.694370015942397</v>
      </c>
      <c r="AJ1223">
        <v>90.795235451465899</v>
      </c>
      <c r="AK1223">
        <v>13.700917504125099</v>
      </c>
      <c r="AL1223">
        <v>80.317447489428901</v>
      </c>
      <c r="AM1223">
        <v>90.437805235488796</v>
      </c>
      <c r="AN1223">
        <v>0.99999994562525496</v>
      </c>
    </row>
    <row r="1224" spans="1:40" x14ac:dyDescent="0.25">
      <c r="A1224" t="str">
        <f>"20190303161901875"</f>
        <v>20190303161901875</v>
      </c>
      <c r="B1224" t="str">
        <f>"1551601141864496"</f>
        <v>1551601141864496</v>
      </c>
      <c r="C1224" t="s">
        <v>40</v>
      </c>
      <c r="D1224">
        <v>4.5426929999999999</v>
      </c>
      <c r="E1224">
        <v>0.50797709999999996</v>
      </c>
      <c r="F1224" t="s">
        <v>41</v>
      </c>
      <c r="G1224">
        <v>-257.1936</v>
      </c>
      <c r="H1224" s="1">
        <v>-1.5776079999999999E-6</v>
      </c>
      <c r="I1224">
        <v>367.41</v>
      </c>
      <c r="J1224">
        <v>-269.72050000000002</v>
      </c>
      <c r="K1224">
        <v>1.1213219999999999</v>
      </c>
      <c r="L1224">
        <v>367.37099999999998</v>
      </c>
      <c r="M1224">
        <v>0.99988060000000001</v>
      </c>
      <c r="N1224">
        <v>-1.4668809999999999E-2</v>
      </c>
      <c r="O1224">
        <v>4.8830649999999998E-3</v>
      </c>
      <c r="P1224">
        <v>0.98800049999999995</v>
      </c>
      <c r="Q1224">
        <v>0.15396760000000001</v>
      </c>
      <c r="R1224">
        <v>1.2232959999999999E-2</v>
      </c>
      <c r="S1224">
        <v>3.0785520000000002</v>
      </c>
      <c r="T1224">
        <v>-0.27210200000000001</v>
      </c>
      <c r="U1224">
        <v>9.6740720000000006E-3</v>
      </c>
      <c r="V1224">
        <v>-7.40122099999999E-3</v>
      </c>
      <c r="W1224">
        <v>0.16844489999999901</v>
      </c>
      <c r="X1224">
        <v>0.98568330000000004</v>
      </c>
      <c r="Y1224">
        <v>1.720145E-3</v>
      </c>
      <c r="Z1224">
        <v>-4.4775309999999999E-4</v>
      </c>
      <c r="AA1224">
        <v>0.99999839999999995</v>
      </c>
      <c r="AB1224">
        <v>27</v>
      </c>
      <c r="AC1224">
        <v>12.526899999999999</v>
      </c>
      <c r="AD1224">
        <v>-1.1213235776079999</v>
      </c>
      <c r="AE1224">
        <v>3.9000000000044097E-2</v>
      </c>
      <c r="AF1224">
        <v>2.2000427608451799E-2</v>
      </c>
      <c r="AG1224">
        <v>-1.1213235776079999</v>
      </c>
      <c r="AH1224">
        <v>12.427366248933801</v>
      </c>
      <c r="AI1224">
        <v>95.1558390127053</v>
      </c>
      <c r="AJ1224">
        <v>89.898568183527402</v>
      </c>
      <c r="AK1224">
        <v>12.4778717123415</v>
      </c>
      <c r="AL1224">
        <v>80.302585592777504</v>
      </c>
      <c r="AM1224">
        <v>90.430209943913994</v>
      </c>
      <c r="AN1224">
        <v>1.0000000151535899</v>
      </c>
    </row>
    <row r="1225" spans="1:40" x14ac:dyDescent="0.25">
      <c r="A1225" t="str">
        <f>"20190303161901886"</f>
        <v>20190303161901886</v>
      </c>
      <c r="B1225" t="str">
        <f>"1551601141874256"</f>
        <v>1551601141874256</v>
      </c>
      <c r="C1225" t="s">
        <v>40</v>
      </c>
      <c r="D1225">
        <v>4.4756150000000003</v>
      </c>
      <c r="E1225">
        <v>0.51029179999999996</v>
      </c>
      <c r="F1225" t="s">
        <v>42</v>
      </c>
      <c r="G1225">
        <v>-268.8562</v>
      </c>
      <c r="H1225">
        <v>1.0406219999999999</v>
      </c>
      <c r="I1225">
        <v>367.36540000000002</v>
      </c>
      <c r="J1225">
        <v>-269.56869999999998</v>
      </c>
      <c r="K1225">
        <v>1.1213550000000001</v>
      </c>
      <c r="L1225">
        <v>367.37169999999998</v>
      </c>
      <c r="M1225">
        <v>0.99988010000000005</v>
      </c>
      <c r="N1225">
        <v>-1.4700990000000001E-2</v>
      </c>
      <c r="O1225">
        <v>4.883185E-3</v>
      </c>
      <c r="P1225">
        <v>0.98799130000000002</v>
      </c>
      <c r="Q1225">
        <v>0.15401519999999999</v>
      </c>
      <c r="R1225">
        <v>1.237392E-2</v>
      </c>
      <c r="S1225">
        <v>3.0815429999999999</v>
      </c>
      <c r="T1225">
        <v>-0.28784969999999999</v>
      </c>
      <c r="U1225">
        <v>-1.9622799999999999E-2</v>
      </c>
      <c r="V1225">
        <v>-7.5421209999999997E-3</v>
      </c>
      <c r="W1225">
        <v>0.16852429999999999</v>
      </c>
      <c r="X1225">
        <v>0.98566869999999995</v>
      </c>
      <c r="Y1225">
        <v>1.11797999999999E-2</v>
      </c>
      <c r="Z1225">
        <v>-9.8689580000000006E-4</v>
      </c>
      <c r="AA1225">
        <v>0.99993699999999996</v>
      </c>
      <c r="AB1225">
        <v>27</v>
      </c>
      <c r="AC1225">
        <v>0.71249999999997704</v>
      </c>
      <c r="AD1225">
        <v>-8.0732999999999902E-2</v>
      </c>
      <c r="AE1225">
        <v>-6.2999999999533403E-3</v>
      </c>
      <c r="AF1225">
        <v>9.6556108484538092E-3</v>
      </c>
      <c r="AG1225">
        <v>-8.0732999999999902E-2</v>
      </c>
      <c r="AH1225">
        <v>0.70343007714601502</v>
      </c>
      <c r="AI1225">
        <v>96.546605211051002</v>
      </c>
      <c r="AJ1225">
        <v>89.213580671880706</v>
      </c>
      <c r="AK1225">
        <v>0.70811363603838795</v>
      </c>
      <c r="AL1225">
        <v>80.297970717052607</v>
      </c>
      <c r="AM1225">
        <v>90.438406199201197</v>
      </c>
      <c r="AN1225">
        <v>1.0000000547196699</v>
      </c>
    </row>
    <row r="1226" spans="1:40" x14ac:dyDescent="0.25">
      <c r="A1226" t="str">
        <f>"20190303161901898"</f>
        <v>20190303161901898</v>
      </c>
      <c r="B1226" t="str">
        <f>"1551601141893775"</f>
        <v>1551601141893775</v>
      </c>
      <c r="C1226" t="s">
        <v>40</v>
      </c>
      <c r="D1226">
        <v>4.4576969999999996</v>
      </c>
      <c r="E1226">
        <v>0.51321559999999999</v>
      </c>
      <c r="F1226" t="s">
        <v>42</v>
      </c>
      <c r="G1226">
        <v>-268.62079999999997</v>
      </c>
      <c r="H1226">
        <v>1.0297289999999999</v>
      </c>
      <c r="I1226">
        <v>367.36</v>
      </c>
      <c r="J1226">
        <v>-269.42349999999999</v>
      </c>
      <c r="K1226">
        <v>1.1213820000000001</v>
      </c>
      <c r="L1226">
        <v>367.37240000000003</v>
      </c>
      <c r="M1226">
        <v>0.99987959999999998</v>
      </c>
      <c r="N1226">
        <v>-1.4728460000000001E-2</v>
      </c>
      <c r="O1226">
        <v>4.8832789999999999E-3</v>
      </c>
      <c r="P1226">
        <v>0.98792670000000005</v>
      </c>
      <c r="Q1226">
        <v>0.1544277</v>
      </c>
      <c r="R1226">
        <v>1.237226E-2</v>
      </c>
      <c r="S1226">
        <v>3.0834350000000001</v>
      </c>
      <c r="T1226">
        <v>-0.29821419999999998</v>
      </c>
      <c r="U1226">
        <v>-3.7414549999999998E-2</v>
      </c>
      <c r="V1226">
        <v>-7.540606E-3</v>
      </c>
      <c r="W1226">
        <v>0.1689628</v>
      </c>
      <c r="X1226">
        <v>0.98559359999999996</v>
      </c>
      <c r="Y1226">
        <v>1.6909130000000001E-2</v>
      </c>
      <c r="Z1226">
        <v>-1.340007E-3</v>
      </c>
      <c r="AA1226">
        <v>0.99985610000000003</v>
      </c>
      <c r="AB1226">
        <v>27</v>
      </c>
      <c r="AC1226">
        <v>0.80270000000001496</v>
      </c>
      <c r="AD1226">
        <v>-9.1652999999999707E-2</v>
      </c>
      <c r="AE1226">
        <v>-1.24000000000137E-2</v>
      </c>
      <c r="AF1226">
        <v>1.61101036705655E-2</v>
      </c>
      <c r="AG1226">
        <v>-9.1652999999999707E-2</v>
      </c>
      <c r="AH1226">
        <v>0.79230286157294405</v>
      </c>
      <c r="AI1226">
        <v>96.597251936604593</v>
      </c>
      <c r="AJ1226">
        <v>88.835150273596696</v>
      </c>
      <c r="AK1226">
        <v>0.79774910360711304</v>
      </c>
      <c r="AL1226">
        <v>80.272480620083797</v>
      </c>
      <c r="AM1226">
        <v>90.438351536707501</v>
      </c>
      <c r="AN1226">
        <v>1.0000000164418199</v>
      </c>
    </row>
    <row r="1227" spans="1:40" x14ac:dyDescent="0.25">
      <c r="A1227" t="str">
        <f>"20190303161901909"</f>
        <v>20190303161901909</v>
      </c>
      <c r="B1227" t="str">
        <f>"1551601141904512"</f>
        <v>1551601141904512</v>
      </c>
      <c r="C1227" t="s">
        <v>40</v>
      </c>
      <c r="D1227">
        <v>4.5251060000000001</v>
      </c>
      <c r="E1227">
        <v>0.51425580000000004</v>
      </c>
      <c r="F1227" t="s">
        <v>42</v>
      </c>
      <c r="G1227">
        <v>-268.61410000000001</v>
      </c>
      <c r="H1227">
        <v>1.040416</v>
      </c>
      <c r="I1227">
        <v>367.3562</v>
      </c>
      <c r="J1227">
        <v>-269.29419999999999</v>
      </c>
      <c r="K1227">
        <v>1.121399</v>
      </c>
      <c r="L1227">
        <v>367.37299999999999</v>
      </c>
      <c r="M1227">
        <v>0.99987939999999997</v>
      </c>
      <c r="N1227">
        <v>-1.4751739999999999E-2</v>
      </c>
      <c r="O1227">
        <v>4.8829870000000001E-3</v>
      </c>
      <c r="P1227">
        <v>0.98792080000000004</v>
      </c>
      <c r="Q1227">
        <v>0.15445449999999999</v>
      </c>
      <c r="R1227">
        <v>1.2514620000000001E-2</v>
      </c>
      <c r="S1227">
        <v>3.0856629999999998</v>
      </c>
      <c r="T1227">
        <v>-0.30885040000000002</v>
      </c>
      <c r="U1227">
        <v>-6.0943600000000001E-2</v>
      </c>
      <c r="V1227">
        <v>-7.6834099999999999E-3</v>
      </c>
      <c r="W1227">
        <v>0.16901260000000001</v>
      </c>
      <c r="X1227">
        <v>0.98558400000000002</v>
      </c>
      <c r="Y1227">
        <v>2.447098E-2</v>
      </c>
      <c r="Z1227">
        <v>-1.8181549999999999E-3</v>
      </c>
      <c r="AA1227">
        <v>0.99969889999999995</v>
      </c>
      <c r="AB1227">
        <v>27</v>
      </c>
      <c r="AC1227">
        <v>0.68009999999998105</v>
      </c>
      <c r="AD1227">
        <v>-8.0982999999999999E-2</v>
      </c>
      <c r="AE1227">
        <v>-1.6800000000046101E-2</v>
      </c>
      <c r="AF1227">
        <v>1.9839943290226501E-2</v>
      </c>
      <c r="AG1227">
        <v>-8.0982999999999999E-2</v>
      </c>
      <c r="AH1227">
        <v>0.67050857872152303</v>
      </c>
      <c r="AI1227">
        <v>96.883755324492</v>
      </c>
      <c r="AJ1227">
        <v>88.3051470567097</v>
      </c>
      <c r="AK1227">
        <v>0.675672719427029</v>
      </c>
      <c r="AL1227">
        <v>80.269586057828704</v>
      </c>
      <c r="AM1227">
        <v>90.446657055528703</v>
      </c>
      <c r="AN1227">
        <v>1.0000000574019901</v>
      </c>
    </row>
    <row r="1228" spans="1:40" x14ac:dyDescent="0.25">
      <c r="A1228" t="str">
        <f>"20190303161901922"</f>
        <v>20190303161901922</v>
      </c>
      <c r="B1228" t="str">
        <f>"1551601141914272"</f>
        <v>1551601141914272</v>
      </c>
      <c r="C1228" t="s">
        <v>40</v>
      </c>
      <c r="D1228">
        <v>4.4947929999999996</v>
      </c>
      <c r="E1228">
        <v>0.51504479999999997</v>
      </c>
      <c r="F1228" t="s">
        <v>42</v>
      </c>
      <c r="G1228">
        <v>-268.37830000000002</v>
      </c>
      <c r="H1228">
        <v>1.0286169999999999</v>
      </c>
      <c r="I1228">
        <v>367.35239999999999</v>
      </c>
      <c r="J1228">
        <v>-269.1397</v>
      </c>
      <c r="K1228">
        <v>1.1214219999999999</v>
      </c>
      <c r="L1228">
        <v>367.37380000000002</v>
      </c>
      <c r="M1228">
        <v>0.99987890000000001</v>
      </c>
      <c r="N1228">
        <v>-1.477732E-2</v>
      </c>
      <c r="O1228">
        <v>4.8830940000000001E-3</v>
      </c>
      <c r="P1228">
        <v>0.98787420000000004</v>
      </c>
      <c r="Q1228">
        <v>0.15471760000000001</v>
      </c>
      <c r="R1228">
        <v>1.2928190000000001E-2</v>
      </c>
      <c r="S1228">
        <v>3.0864259999999999</v>
      </c>
      <c r="T1228">
        <v>-0.31274930000000001</v>
      </c>
      <c r="U1228">
        <v>-6.9427489999999994E-2</v>
      </c>
      <c r="V1228">
        <v>-8.0970399999999998E-3</v>
      </c>
      <c r="W1228">
        <v>0.16930020000000001</v>
      </c>
      <c r="X1228">
        <v>0.9855313</v>
      </c>
      <c r="Y1228">
        <v>2.7193060000000002E-2</v>
      </c>
      <c r="Z1228">
        <v>-1.9970890000000001E-3</v>
      </c>
      <c r="AA1228">
        <v>0.99962819999999997</v>
      </c>
      <c r="AB1228">
        <v>27</v>
      </c>
      <c r="AC1228">
        <v>0.76139999999997998</v>
      </c>
      <c r="AD1228">
        <v>-9.2804999999999804E-2</v>
      </c>
      <c r="AE1228">
        <v>-2.1400000000028199E-2</v>
      </c>
      <c r="AF1228">
        <v>2.4750719299112298E-2</v>
      </c>
      <c r="AG1228">
        <v>-9.2804999999999804E-2</v>
      </c>
      <c r="AH1228">
        <v>0.75015058258474898</v>
      </c>
      <c r="AI1228">
        <v>97.048724562048506</v>
      </c>
      <c r="AJ1228">
        <v>88.110249426322596</v>
      </c>
      <c r="AK1228">
        <v>0.75627459476241898</v>
      </c>
      <c r="AL1228">
        <v>80.252866601167696</v>
      </c>
      <c r="AM1228">
        <v>90.470726582139207</v>
      </c>
      <c r="AN1228">
        <v>1.00000003152824</v>
      </c>
    </row>
    <row r="1229" spans="1:40" x14ac:dyDescent="0.25">
      <c r="A1229" t="str">
        <f>"20190303161901933"</f>
        <v>20190303161901933</v>
      </c>
      <c r="B1229" t="str">
        <f>"1551601141924032"</f>
        <v>1551601141924032</v>
      </c>
      <c r="C1229" t="s">
        <v>40</v>
      </c>
      <c r="D1229">
        <v>4.4996229999999997</v>
      </c>
      <c r="E1229">
        <v>0.51581049999999995</v>
      </c>
      <c r="F1229" t="s">
        <v>42</v>
      </c>
      <c r="G1229">
        <v>-268.36900000000003</v>
      </c>
      <c r="H1229">
        <v>1.0429200000000001</v>
      </c>
      <c r="I1229">
        <v>367.35509999999999</v>
      </c>
      <c r="J1229">
        <v>-268.99189999999999</v>
      </c>
      <c r="K1229">
        <v>1.1214409999999999</v>
      </c>
      <c r="L1229">
        <v>367.37450000000001</v>
      </c>
      <c r="M1229">
        <v>0.99987859999999995</v>
      </c>
      <c r="N1229">
        <v>-1.479952E-2</v>
      </c>
      <c r="O1229">
        <v>4.8829290000000003E-3</v>
      </c>
      <c r="P1229">
        <v>0.98786839999999998</v>
      </c>
      <c r="Q1229">
        <v>0.15471879999999999</v>
      </c>
      <c r="R1229">
        <v>1.335459E-2</v>
      </c>
      <c r="S1229">
        <v>3.0870669999999998</v>
      </c>
      <c r="T1229">
        <v>-0.31457299999999999</v>
      </c>
      <c r="U1229">
        <v>-7.440186E-2</v>
      </c>
      <c r="V1229">
        <v>-8.5237109999999998E-3</v>
      </c>
      <c r="W1229">
        <v>0.1693228</v>
      </c>
      <c r="X1229">
        <v>0.98552379999999995</v>
      </c>
      <c r="Y1229">
        <v>2.8786699999999998E-2</v>
      </c>
      <c r="Z1229">
        <v>-2.100499E-3</v>
      </c>
      <c r="AA1229">
        <v>0.99958340000000001</v>
      </c>
      <c r="AB1229">
        <v>27</v>
      </c>
      <c r="AC1229">
        <v>0.62289999999995804</v>
      </c>
      <c r="AD1229">
        <v>-7.8520999999999799E-2</v>
      </c>
      <c r="AE1229">
        <v>-1.9400000000018701E-2</v>
      </c>
      <c r="AF1229">
        <v>2.2090983644627901E-2</v>
      </c>
      <c r="AG1229">
        <v>-7.8520999999999799E-2</v>
      </c>
      <c r="AH1229">
        <v>0.61306541547423599</v>
      </c>
      <c r="AI1229">
        <v>97.293984787232503</v>
      </c>
      <c r="AJ1229">
        <v>87.936316893995098</v>
      </c>
      <c r="AK1229">
        <v>0.61846807730875197</v>
      </c>
      <c r="AL1229">
        <v>80.251552558754099</v>
      </c>
      <c r="AM1229">
        <v>90.4955339376599</v>
      </c>
      <c r="AN1229">
        <v>1.0000000123077399</v>
      </c>
    </row>
    <row r="1230" spans="1:40" x14ac:dyDescent="0.25">
      <c r="A1230" t="str">
        <f>"20190303161901949"</f>
        <v>20190303161901949</v>
      </c>
      <c r="B1230" t="str">
        <f>"1551601141943551"</f>
        <v>1551601141943551</v>
      </c>
      <c r="C1230" t="s">
        <v>40</v>
      </c>
      <c r="D1230">
        <v>4.5467259999999996</v>
      </c>
      <c r="E1230">
        <v>0.51703540000000003</v>
      </c>
      <c r="F1230" t="s">
        <v>42</v>
      </c>
      <c r="G1230">
        <v>-268.13319999999999</v>
      </c>
      <c r="H1230">
        <v>1.0334190000000001</v>
      </c>
      <c r="I1230">
        <v>367.35239999999999</v>
      </c>
      <c r="J1230">
        <v>-268.81420000000003</v>
      </c>
      <c r="K1230">
        <v>1.1214710000000001</v>
      </c>
      <c r="L1230">
        <v>367.37540000000001</v>
      </c>
      <c r="M1230">
        <v>0.9998783</v>
      </c>
      <c r="N1230">
        <v>-1.482441E-2</v>
      </c>
      <c r="O1230">
        <v>4.8829219999999996E-3</v>
      </c>
      <c r="P1230">
        <v>0.98783799999999999</v>
      </c>
      <c r="Q1230">
        <v>0.15488669999999999</v>
      </c>
      <c r="R1230">
        <v>1.365801E-2</v>
      </c>
      <c r="S1230">
        <v>3.0875240000000002</v>
      </c>
      <c r="T1230">
        <v>-0.31671749999999999</v>
      </c>
      <c r="U1230">
        <v>-7.8765870000000002E-2</v>
      </c>
      <c r="V1230">
        <v>-8.8269919999999901E-3</v>
      </c>
      <c r="W1230">
        <v>0.169515</v>
      </c>
      <c r="X1230">
        <v>0.98548809999999998</v>
      </c>
      <c r="Y1230">
        <v>3.0184229999999999E-2</v>
      </c>
      <c r="Z1230">
        <v>-2.195584E-3</v>
      </c>
      <c r="AA1230">
        <v>0.99954189999999998</v>
      </c>
      <c r="AB1230">
        <v>27</v>
      </c>
      <c r="AC1230">
        <v>0.68100000000004002</v>
      </c>
      <c r="AD1230">
        <v>-8.8051999999999797E-2</v>
      </c>
      <c r="AE1230">
        <v>-2.3000000000024501E-2</v>
      </c>
      <c r="AF1230">
        <v>2.58929752503495E-2</v>
      </c>
      <c r="AG1230">
        <v>-8.8051999999999797E-2</v>
      </c>
      <c r="AH1230">
        <v>0.66969633563376296</v>
      </c>
      <c r="AI1230">
        <v>97.484783300049699</v>
      </c>
      <c r="AJ1230">
        <v>87.785832870486701</v>
      </c>
      <c r="AK1230">
        <v>0.67595619890093805</v>
      </c>
      <c r="AL1230">
        <v>80.240378890059105</v>
      </c>
      <c r="AM1230">
        <v>90.513183125256603</v>
      </c>
      <c r="AN1230">
        <v>1.0000000231271799</v>
      </c>
    </row>
    <row r="1231" spans="1:40" x14ac:dyDescent="0.25">
      <c r="A1231" t="str">
        <f>"20190303161901971"</f>
        <v>20190303161901971</v>
      </c>
      <c r="B1231" t="str">
        <f>"1551601141964048"</f>
        <v>1551601141964048</v>
      </c>
      <c r="C1231" t="s">
        <v>40</v>
      </c>
      <c r="D1231">
        <v>4.5320919999999996</v>
      </c>
      <c r="E1231">
        <v>0.51792970000000005</v>
      </c>
      <c r="F1231" t="s">
        <v>42</v>
      </c>
      <c r="G1231">
        <v>-267.8956</v>
      </c>
      <c r="H1231">
        <v>1.0241979999999999</v>
      </c>
      <c r="I1231">
        <v>367.34910000000002</v>
      </c>
      <c r="J1231">
        <v>-268.5394</v>
      </c>
      <c r="K1231">
        <v>1.121502</v>
      </c>
      <c r="L1231">
        <v>367.37670000000003</v>
      </c>
      <c r="M1231">
        <v>0.99987769999999998</v>
      </c>
      <c r="N1231">
        <v>-1.485772E-2</v>
      </c>
      <c r="O1231">
        <v>4.8830289999999997E-3</v>
      </c>
      <c r="P1231">
        <v>0.98782859999999995</v>
      </c>
      <c r="Q1231">
        <v>0.15491070000000001</v>
      </c>
      <c r="R1231">
        <v>1.40488E-2</v>
      </c>
      <c r="S1231">
        <v>3.0894469999999998</v>
      </c>
      <c r="T1231">
        <v>-0.32726240000000001</v>
      </c>
      <c r="U1231">
        <v>-8.7921139999999995E-2</v>
      </c>
      <c r="V1231">
        <v>-9.2178699999999995E-3</v>
      </c>
      <c r="W1231">
        <v>0.16957139999999901</v>
      </c>
      <c r="X1231">
        <v>0.98547479999999998</v>
      </c>
      <c r="Y1231">
        <v>3.3096939999999998E-2</v>
      </c>
      <c r="Z1231">
        <v>-2.4377919999999998E-3</v>
      </c>
      <c r="AA1231">
        <v>0.99944920000000004</v>
      </c>
      <c r="AB1231">
        <v>27</v>
      </c>
      <c r="AC1231">
        <v>0.64379999999999804</v>
      </c>
      <c r="AD1231">
        <v>-9.7304000000000002E-2</v>
      </c>
      <c r="AE1231">
        <v>-2.7600000000006699E-2</v>
      </c>
      <c r="AF1231">
        <v>3.0058339004941401E-2</v>
      </c>
      <c r="AG1231">
        <v>-9.7304000000000002E-2</v>
      </c>
      <c r="AH1231">
        <v>0.62930840773615604</v>
      </c>
      <c r="AI1231">
        <v>98.779646815145796</v>
      </c>
      <c r="AJ1231">
        <v>87.265397950129596</v>
      </c>
      <c r="AK1231">
        <v>0.637495603284565</v>
      </c>
      <c r="AL1231">
        <v>80.237099760559502</v>
      </c>
      <c r="AM1231">
        <v>90.535913901627893</v>
      </c>
      <c r="AN1231">
        <v>1.0000000051301601</v>
      </c>
    </row>
    <row r="1232" spans="1:40" x14ac:dyDescent="0.25">
      <c r="A1232" t="str">
        <f>"20190303161901984"</f>
        <v>20190303161901984</v>
      </c>
      <c r="B1232" t="str">
        <f>"1551601141973807"</f>
        <v>1551601141973807</v>
      </c>
      <c r="C1232" t="s">
        <v>40</v>
      </c>
      <c r="D1232">
        <v>4.5388260000000002</v>
      </c>
      <c r="E1232">
        <v>0.51821320000000004</v>
      </c>
      <c r="F1232" t="s">
        <v>42</v>
      </c>
      <c r="G1232">
        <v>-267.65339999999998</v>
      </c>
      <c r="H1232">
        <v>1.0250490000000001</v>
      </c>
      <c r="I1232">
        <v>367.34960000000001</v>
      </c>
      <c r="J1232">
        <v>-268.37729999999999</v>
      </c>
      <c r="K1232">
        <v>1.1215200000000001</v>
      </c>
      <c r="L1232">
        <v>367.3775</v>
      </c>
      <c r="M1232">
        <v>0.99987760000000003</v>
      </c>
      <c r="N1232">
        <v>-1.487545E-2</v>
      </c>
      <c r="O1232">
        <v>4.8828969999999998E-3</v>
      </c>
      <c r="P1232">
        <v>0.98786490000000005</v>
      </c>
      <c r="Q1232">
        <v>0.15467229999999901</v>
      </c>
      <c r="R1232">
        <v>1.4134829999999999E-2</v>
      </c>
      <c r="S1232">
        <v>3.0910950000000001</v>
      </c>
      <c r="T1232">
        <v>-0.33670260000000002</v>
      </c>
      <c r="U1232">
        <v>-9.3383789999999994E-2</v>
      </c>
      <c r="V1232">
        <v>-9.3037529999999997E-3</v>
      </c>
      <c r="W1232">
        <v>0.169351</v>
      </c>
      <c r="X1232">
        <v>0.9855119</v>
      </c>
      <c r="Y1232">
        <v>3.482205E-2</v>
      </c>
      <c r="Z1232">
        <v>-2.6082039999999998E-3</v>
      </c>
      <c r="AA1232">
        <v>0.99939009999999995</v>
      </c>
      <c r="AB1232">
        <v>27</v>
      </c>
      <c r="AC1232">
        <v>0.72390000000001398</v>
      </c>
      <c r="AD1232">
        <v>-9.6471000000000195E-2</v>
      </c>
      <c r="AE1232">
        <v>-2.7899999999988202E-2</v>
      </c>
      <c r="AF1232">
        <v>3.0887054808644399E-2</v>
      </c>
      <c r="AG1232">
        <v>-9.6471000000000195E-2</v>
      </c>
      <c r="AH1232">
        <v>0.71114412397159399</v>
      </c>
      <c r="AI1232">
        <v>97.718171842791193</v>
      </c>
      <c r="AJ1232">
        <v>87.513040909482797</v>
      </c>
      <c r="AK1232">
        <v>0.71832209283515602</v>
      </c>
      <c r="AL1232">
        <v>80.2499131488226</v>
      </c>
      <c r="AM1232">
        <v>90.540886360820394</v>
      </c>
      <c r="AN1232">
        <v>1.0000000130312401</v>
      </c>
    </row>
    <row r="1233" spans="1:40" x14ac:dyDescent="0.25">
      <c r="A1233" t="str">
        <f>"20190303161901998"</f>
        <v>20190303161901998</v>
      </c>
      <c r="B1233" t="str">
        <f>"1551601141994304"</f>
        <v>1551601141994304</v>
      </c>
      <c r="C1233" t="s">
        <v>40</v>
      </c>
      <c r="D1233">
        <v>4.7408700000000001</v>
      </c>
      <c r="E1233">
        <v>0.51858230000000005</v>
      </c>
      <c r="F1233" t="s">
        <v>42</v>
      </c>
      <c r="G1233">
        <v>-267.64440000000002</v>
      </c>
      <c r="H1233">
        <v>1.04097</v>
      </c>
      <c r="I1233">
        <v>367.3546</v>
      </c>
      <c r="J1233">
        <v>-268.2183</v>
      </c>
      <c r="K1233">
        <v>1.1215299999999999</v>
      </c>
      <c r="L1233">
        <v>367.37830000000002</v>
      </c>
      <c r="M1233">
        <v>0.99987720000000002</v>
      </c>
      <c r="N1233">
        <v>-1.4890479999999999E-2</v>
      </c>
      <c r="O1233">
        <v>4.8829030000000001E-3</v>
      </c>
      <c r="P1233">
        <v>0.98785270000000003</v>
      </c>
      <c r="Q1233">
        <v>0.1547481</v>
      </c>
      <c r="R1233">
        <v>1.414728E-2</v>
      </c>
      <c r="S1233">
        <v>3.0914920000000001</v>
      </c>
      <c r="T1233">
        <v>-0.34005259999999998</v>
      </c>
      <c r="U1233">
        <v>-9.5245360000000001E-2</v>
      </c>
      <c r="V1233">
        <v>-9.3162929999999998E-3</v>
      </c>
      <c r="W1233">
        <v>0.16944219999999999</v>
      </c>
      <c r="X1233">
        <v>0.98549609999999999</v>
      </c>
      <c r="Y1233">
        <v>3.5410549999999999E-2</v>
      </c>
      <c r="Z1233">
        <v>-2.6686829999999998E-3</v>
      </c>
      <c r="AA1233">
        <v>0.99936930000000002</v>
      </c>
      <c r="AB1233">
        <v>27</v>
      </c>
      <c r="AC1233">
        <v>0.57389999999997998</v>
      </c>
      <c r="AD1233">
        <v>-8.0559999999999701E-2</v>
      </c>
      <c r="AE1233">
        <v>-2.3700000000019299E-2</v>
      </c>
      <c r="AF1233">
        <v>2.5991056093537801E-2</v>
      </c>
      <c r="AG1233">
        <v>-8.0559999999999701E-2</v>
      </c>
      <c r="AH1233">
        <v>0.56270838214873098</v>
      </c>
      <c r="AI1233">
        <v>98.138812441900996</v>
      </c>
      <c r="AJ1233">
        <v>87.355432770174502</v>
      </c>
      <c r="AK1233">
        <v>0.56903969276079402</v>
      </c>
      <c r="AL1233">
        <v>80.244611097442302</v>
      </c>
      <c r="AM1233">
        <v>90.541624030360595</v>
      </c>
      <c r="AN1233">
        <v>1.0000000077856499</v>
      </c>
    </row>
    <row r="1234" spans="1:40" x14ac:dyDescent="0.25">
      <c r="A1234" t="str">
        <f>"20190303161902009"</f>
        <v>20190303161902009</v>
      </c>
      <c r="B1234" t="str">
        <f>"1551601142004064"</f>
        <v>1551601142004064</v>
      </c>
      <c r="C1234" t="s">
        <v>40</v>
      </c>
      <c r="D1234">
        <v>4.6712829999999999</v>
      </c>
      <c r="E1234">
        <v>0.53282180000000001</v>
      </c>
      <c r="F1234" t="s">
        <v>42</v>
      </c>
      <c r="G1234">
        <v>-267.4083</v>
      </c>
      <c r="H1234">
        <v>1.0325610000000001</v>
      </c>
      <c r="I1234">
        <v>367.3526</v>
      </c>
      <c r="J1234">
        <v>-268.07249999999999</v>
      </c>
      <c r="K1234">
        <v>1.1215489999999999</v>
      </c>
      <c r="L1234">
        <v>367.37909999999999</v>
      </c>
      <c r="M1234">
        <v>0.99987709999999996</v>
      </c>
      <c r="N1234">
        <v>-1.4903400000000001E-2</v>
      </c>
      <c r="O1234">
        <v>4.882806E-3</v>
      </c>
      <c r="P1234">
        <v>0.98789539999999998</v>
      </c>
      <c r="Q1234">
        <v>0.15448319999999999</v>
      </c>
      <c r="R1234">
        <v>1.406805E-2</v>
      </c>
      <c r="S1234">
        <v>3.0914920000000001</v>
      </c>
      <c r="T1234">
        <v>-0.33966479999999999</v>
      </c>
      <c r="U1234">
        <v>-9.799194E-2</v>
      </c>
      <c r="V1234">
        <v>-9.2368120000000005E-3</v>
      </c>
      <c r="W1234">
        <v>0.1691898</v>
      </c>
      <c r="X1234">
        <v>0.98554019999999998</v>
      </c>
      <c r="Y1234">
        <v>3.6291990000000003E-2</v>
      </c>
      <c r="Z1234">
        <v>-2.720859E-3</v>
      </c>
      <c r="AA1234">
        <v>0.99933760000000005</v>
      </c>
      <c r="AB1234">
        <v>27</v>
      </c>
      <c r="AC1234">
        <v>0.66419999999999302</v>
      </c>
      <c r="AD1234">
        <v>-8.8987999999999803E-2</v>
      </c>
      <c r="AE1234">
        <v>-2.6499999999998601E-2</v>
      </c>
      <c r="AF1234">
        <v>2.9219545612054101E-2</v>
      </c>
      <c r="AG1234">
        <v>-8.8987999999999803E-2</v>
      </c>
      <c r="AH1234">
        <v>0.65237120049628305</v>
      </c>
      <c r="AI1234">
        <v>97.759920497350507</v>
      </c>
      <c r="AJ1234">
        <v>87.435450145046502</v>
      </c>
      <c r="AK1234">
        <v>0.65906056567415405</v>
      </c>
      <c r="AL1234">
        <v>80.259284296768399</v>
      </c>
      <c r="AM1234">
        <v>90.536979464251104</v>
      </c>
      <c r="AN1234">
        <v>0.99999999646800097</v>
      </c>
    </row>
    <row r="1235" spans="1:40" x14ac:dyDescent="0.25">
      <c r="A1235" t="str">
        <f>"20190303161902022"</f>
        <v>20190303161902022</v>
      </c>
      <c r="B1235" t="str">
        <f>"1551601142013823"</f>
        <v>1551601142013823</v>
      </c>
      <c r="C1235" t="s">
        <v>40</v>
      </c>
      <c r="D1235">
        <v>4.63544</v>
      </c>
      <c r="E1235">
        <v>0.53321669999999999</v>
      </c>
      <c r="F1235" t="s">
        <v>42</v>
      </c>
      <c r="G1235">
        <v>-267.20979999999997</v>
      </c>
      <c r="H1235">
        <v>0.94714339999999997</v>
      </c>
      <c r="I1235">
        <v>367.32130000000001</v>
      </c>
      <c r="J1235">
        <v>-267.91419999999999</v>
      </c>
      <c r="K1235">
        <v>1.121559</v>
      </c>
      <c r="L1235">
        <v>367.37979999999999</v>
      </c>
      <c r="M1235">
        <v>0.99987689999999996</v>
      </c>
      <c r="N1235">
        <v>-1.4916159999999999E-2</v>
      </c>
      <c r="O1235">
        <v>4.8828889999999996E-3</v>
      </c>
      <c r="P1235">
        <v>0.98788730000000002</v>
      </c>
      <c r="Q1235">
        <v>0.15454470000000001</v>
      </c>
      <c r="R1235">
        <v>1.3958959999999999E-2</v>
      </c>
      <c r="S1235">
        <v>3.1390380000000002</v>
      </c>
      <c r="T1235">
        <v>-0.63474240000000004</v>
      </c>
      <c r="U1235">
        <v>-0.20953369999999999</v>
      </c>
      <c r="V1235">
        <v>-9.1281379999999992E-3</v>
      </c>
      <c r="W1235">
        <v>0.169264</v>
      </c>
      <c r="X1235">
        <v>0.98552850000000003</v>
      </c>
      <c r="Y1235">
        <v>6.9875549999999995E-2</v>
      </c>
      <c r="Z1235">
        <v>-8.4181299999999994E-3</v>
      </c>
      <c r="AA1235">
        <v>0.99752019999999997</v>
      </c>
      <c r="AB1235">
        <v>27</v>
      </c>
      <c r="AC1235">
        <v>0.70440000000002101</v>
      </c>
      <c r="AD1235">
        <v>-0.174415599999999</v>
      </c>
      <c r="AE1235">
        <v>-5.8499999999980901E-2</v>
      </c>
      <c r="AF1235">
        <v>5.8384172667867398E-2</v>
      </c>
      <c r="AG1235">
        <v>-0.174415599999999</v>
      </c>
      <c r="AH1235">
        <v>0.663693541195988</v>
      </c>
      <c r="AI1235">
        <v>104.66994111442099</v>
      </c>
      <c r="AJ1235">
        <v>84.972713311465498</v>
      </c>
      <c r="AK1235">
        <v>0.68870794228522003</v>
      </c>
      <c r="AL1235">
        <v>80.254971011337403</v>
      </c>
      <c r="AM1235">
        <v>90.530668394860896</v>
      </c>
      <c r="AN1235">
        <v>1.0000000244557901</v>
      </c>
    </row>
    <row r="1236" spans="1:40" x14ac:dyDescent="0.25">
      <c r="A1236" t="str">
        <f>"20190303161902039"</f>
        <v>20190303161902039</v>
      </c>
      <c r="B1236" t="str">
        <f>"1551601142034320"</f>
        <v>1551601142034320</v>
      </c>
      <c r="C1236" t="s">
        <v>40</v>
      </c>
      <c r="D1236">
        <v>4.6051190000000002</v>
      </c>
      <c r="E1236">
        <v>0.53391279999999997</v>
      </c>
      <c r="F1236" t="s">
        <v>42</v>
      </c>
      <c r="G1236">
        <v>-267.20569999999998</v>
      </c>
      <c r="H1236">
        <v>0.95523369999999996</v>
      </c>
      <c r="I1236">
        <v>367.33190000000002</v>
      </c>
      <c r="J1236">
        <v>-267.73099999999999</v>
      </c>
      <c r="K1236">
        <v>1.1215649999999999</v>
      </c>
      <c r="L1236">
        <v>367.38069999999999</v>
      </c>
      <c r="M1236">
        <v>0.99987669999999995</v>
      </c>
      <c r="N1236">
        <v>-1.492899E-2</v>
      </c>
      <c r="O1236">
        <v>4.8827920000000004E-3</v>
      </c>
      <c r="P1236">
        <v>0.98796139999999999</v>
      </c>
      <c r="Q1236">
        <v>0.15409</v>
      </c>
      <c r="R1236">
        <v>1.3736470000000001E-2</v>
      </c>
      <c r="S1236">
        <v>3.1557010000000001</v>
      </c>
      <c r="T1236">
        <v>-0.74093690000000001</v>
      </c>
      <c r="U1236">
        <v>-0.2124634</v>
      </c>
      <c r="V1236">
        <v>-8.9051300000000007E-3</v>
      </c>
      <c r="W1236">
        <v>0.16882369999999999</v>
      </c>
      <c r="X1236">
        <v>0.98560599999999998</v>
      </c>
      <c r="Y1236">
        <v>6.9913299999999998E-2</v>
      </c>
      <c r="Z1236">
        <v>-9.6765779999999999E-3</v>
      </c>
      <c r="AA1236">
        <v>0.99750609999999995</v>
      </c>
      <c r="AB1236">
        <v>27</v>
      </c>
      <c r="AC1236">
        <v>0.52530000000001498</v>
      </c>
      <c r="AD1236">
        <v>-0.16633129999999899</v>
      </c>
      <c r="AE1236">
        <v>-4.8799999999971498E-2</v>
      </c>
      <c r="AF1236">
        <v>4.6720462496349299E-2</v>
      </c>
      <c r="AG1236">
        <v>-0.16633129999999899</v>
      </c>
      <c r="AH1236">
        <v>0.47758214898259199</v>
      </c>
      <c r="AI1236">
        <v>109.11750391139201</v>
      </c>
      <c r="AJ1236">
        <v>84.412700224426004</v>
      </c>
      <c r="AK1236">
        <v>0.50787164914217597</v>
      </c>
      <c r="AL1236">
        <v>80.280566120018904</v>
      </c>
      <c r="AM1236">
        <v>90.517663733446199</v>
      </c>
      <c r="AN1236">
        <v>0.99999996512900202</v>
      </c>
    </row>
    <row r="1237" spans="1:40" x14ac:dyDescent="0.25">
      <c r="A1237" t="str">
        <f>"20190303161902054"</f>
        <v>20190303161902054</v>
      </c>
      <c r="B1237" t="str">
        <f>"1551601142044080"</f>
        <v>1551601142044080</v>
      </c>
      <c r="C1237" t="s">
        <v>40</v>
      </c>
      <c r="D1237">
        <v>4.6533319999999998</v>
      </c>
      <c r="E1237">
        <v>0.53439799999999904</v>
      </c>
      <c r="F1237" t="s">
        <v>42</v>
      </c>
      <c r="G1237">
        <v>-266.98090000000002</v>
      </c>
      <c r="H1237">
        <v>0.92349599999999998</v>
      </c>
      <c r="I1237">
        <v>367.32900000000001</v>
      </c>
      <c r="J1237">
        <v>-267.54629999999997</v>
      </c>
      <c r="K1237">
        <v>1.1215759999999999</v>
      </c>
      <c r="L1237">
        <v>367.38159999999999</v>
      </c>
      <c r="M1237">
        <v>0.99987649999999995</v>
      </c>
      <c r="N1237">
        <v>-1.494055E-2</v>
      </c>
      <c r="O1237">
        <v>4.8827050000000002E-3</v>
      </c>
      <c r="P1237">
        <v>0.98797020000000002</v>
      </c>
      <c r="Q1237">
        <v>0.15402289999999999</v>
      </c>
      <c r="R1237">
        <v>1.3850070000000001E-2</v>
      </c>
      <c r="S1237">
        <v>3.170166</v>
      </c>
      <c r="T1237">
        <v>-0.83714679999999997</v>
      </c>
      <c r="U1237">
        <v>-0.2182007</v>
      </c>
      <c r="V1237">
        <v>-9.0189529999999997E-3</v>
      </c>
      <c r="W1237">
        <v>0.1687678</v>
      </c>
      <c r="X1237">
        <v>0.98561460000000001</v>
      </c>
      <c r="Y1237">
        <v>7.0830580000000004E-2</v>
      </c>
      <c r="Z1237">
        <v>-1.0917949999999999E-2</v>
      </c>
      <c r="AA1237">
        <v>0.9974286</v>
      </c>
      <c r="AB1237">
        <v>27</v>
      </c>
      <c r="AC1237">
        <v>0.56539999999995405</v>
      </c>
      <c r="AD1237">
        <v>-0.19808000000000001</v>
      </c>
      <c r="AE1237">
        <v>-5.2599999999983903E-2</v>
      </c>
      <c r="AF1237">
        <v>4.9354765715308599E-2</v>
      </c>
      <c r="AG1237">
        <v>-0.19808000000000001</v>
      </c>
      <c r="AH1237">
        <v>0.50382933633707405</v>
      </c>
      <c r="AI1237">
        <v>111.369220444541</v>
      </c>
      <c r="AJ1237">
        <v>84.405196320936298</v>
      </c>
      <c r="AK1237">
        <v>0.54361344671804201</v>
      </c>
      <c r="AL1237">
        <v>80.283816175578394</v>
      </c>
      <c r="AM1237">
        <v>90.524275432055305</v>
      </c>
      <c r="AN1237">
        <v>1.0000000257816</v>
      </c>
    </row>
    <row r="1238" spans="1:40" x14ac:dyDescent="0.25">
      <c r="A1238" t="str">
        <f>"20190303161902068"</f>
        <v>20190303161902068</v>
      </c>
      <c r="B1238" t="str">
        <f>"1551601142063600"</f>
        <v>1551601142063600</v>
      </c>
      <c r="C1238" t="s">
        <v>40</v>
      </c>
      <c r="D1238">
        <v>4.6320829999999997</v>
      </c>
      <c r="E1238">
        <v>0.53514790000000001</v>
      </c>
      <c r="F1238" t="s">
        <v>42</v>
      </c>
      <c r="G1238">
        <v>-266.74900000000002</v>
      </c>
      <c r="H1238">
        <v>0.90609669999999998</v>
      </c>
      <c r="I1238">
        <v>367.32560000000001</v>
      </c>
      <c r="J1238">
        <v>-267.37689999999998</v>
      </c>
      <c r="K1238">
        <v>1.121583</v>
      </c>
      <c r="L1238">
        <v>367.38240000000002</v>
      </c>
      <c r="M1238">
        <v>0.9998764</v>
      </c>
      <c r="N1238">
        <v>-1.4950089999999999E-2</v>
      </c>
      <c r="O1238">
        <v>4.8826329999999999E-3</v>
      </c>
      <c r="P1238">
        <v>0.98801119999999998</v>
      </c>
      <c r="Q1238">
        <v>0.1537549</v>
      </c>
      <c r="R1238">
        <v>1.390829E-2</v>
      </c>
      <c r="S1238">
        <v>3.17334</v>
      </c>
      <c r="T1238">
        <v>-0.85773630000000001</v>
      </c>
      <c r="U1238">
        <v>-0.2217102</v>
      </c>
      <c r="V1238">
        <v>-9.0766949999999992E-3</v>
      </c>
      <c r="W1238">
        <v>0.16850970000000001</v>
      </c>
      <c r="X1238">
        <v>0.98565820000000004</v>
      </c>
      <c r="Y1238">
        <v>7.1703020000000006E-2</v>
      </c>
      <c r="Z1238">
        <v>-1.127862E-2</v>
      </c>
      <c r="AA1238">
        <v>0.99736230000000003</v>
      </c>
      <c r="AB1238">
        <v>27</v>
      </c>
      <c r="AC1238">
        <v>0.62789999999995405</v>
      </c>
      <c r="AD1238">
        <v>-0.21548629999999999</v>
      </c>
      <c r="AE1238">
        <v>-5.6800000000009697E-2</v>
      </c>
      <c r="AF1238">
        <v>5.3603485812660598E-2</v>
      </c>
      <c r="AG1238">
        <v>-0.21548629999999999</v>
      </c>
      <c r="AH1238">
        <v>0.56196601278892999</v>
      </c>
      <c r="AI1238">
        <v>110.892764938833</v>
      </c>
      <c r="AJ1238">
        <v>84.551290581408395</v>
      </c>
      <c r="AK1238">
        <v>0.60424620702892795</v>
      </c>
      <c r="AL1238">
        <v>80.298818800065604</v>
      </c>
      <c r="AM1238">
        <v>90.527608470848705</v>
      </c>
      <c r="AN1238">
        <v>0.99999999630672598</v>
      </c>
    </row>
    <row r="1239" spans="1:40" x14ac:dyDescent="0.25">
      <c r="A1239" t="str">
        <f>"20190303161902082"</f>
        <v>20190303161902082</v>
      </c>
      <c r="B1239" t="str">
        <f>"1551601142074336"</f>
        <v>1551601142074336</v>
      </c>
      <c r="C1239" t="s">
        <v>40</v>
      </c>
      <c r="D1239">
        <v>4.6694389999999997</v>
      </c>
      <c r="E1239">
        <v>0.53568709999999997</v>
      </c>
      <c r="F1239" t="s">
        <v>42</v>
      </c>
      <c r="G1239">
        <v>-266.51870000000002</v>
      </c>
      <c r="H1239">
        <v>0.88467929999999995</v>
      </c>
      <c r="I1239">
        <v>367.32089999999999</v>
      </c>
      <c r="J1239">
        <v>-267.20830000000001</v>
      </c>
      <c r="K1239">
        <v>1.121586</v>
      </c>
      <c r="L1239">
        <v>367.38319999999999</v>
      </c>
      <c r="M1239">
        <v>0.99987630000000005</v>
      </c>
      <c r="N1239">
        <v>-1.4958340000000001E-2</v>
      </c>
      <c r="O1239">
        <v>4.8825700000000001E-3</v>
      </c>
      <c r="P1239">
        <v>0.98804639999999999</v>
      </c>
      <c r="Q1239">
        <v>0.1535368</v>
      </c>
      <c r="R1239">
        <v>1.382415E-2</v>
      </c>
      <c r="S1239">
        <v>3.1760250000000001</v>
      </c>
      <c r="T1239">
        <v>-0.87676160000000003</v>
      </c>
      <c r="U1239">
        <v>-0.22708130000000001</v>
      </c>
      <c r="V1239">
        <v>-8.9928930000000001E-3</v>
      </c>
      <c r="W1239">
        <v>0.16830049999999999</v>
      </c>
      <c r="X1239">
        <v>0.98569470000000003</v>
      </c>
      <c r="Y1239">
        <v>7.3147450000000003E-2</v>
      </c>
      <c r="Z1239">
        <v>-1.170735E-2</v>
      </c>
      <c r="AA1239">
        <v>0.99725240000000004</v>
      </c>
      <c r="AB1239">
        <v>27</v>
      </c>
      <c r="AC1239">
        <v>0.689599999999984</v>
      </c>
      <c r="AD1239">
        <v>-0.2369067</v>
      </c>
      <c r="AE1239">
        <v>-6.2299999999993298E-2</v>
      </c>
      <c r="AF1239">
        <v>5.8784947885233099E-2</v>
      </c>
      <c r="AG1239">
        <v>-0.2369067</v>
      </c>
      <c r="AH1239">
        <v>0.617051896071105</v>
      </c>
      <c r="AI1239">
        <v>110.916990607369</v>
      </c>
      <c r="AJ1239">
        <v>84.558002363070202</v>
      </c>
      <c r="AK1239">
        <v>0.66357629331351597</v>
      </c>
      <c r="AL1239">
        <v>80.310978646471497</v>
      </c>
      <c r="AM1239">
        <v>90.522718159301903</v>
      </c>
      <c r="AN1239">
        <v>0.99999998601642404</v>
      </c>
    </row>
    <row r="1240" spans="1:40" x14ac:dyDescent="0.25">
      <c r="A1240" t="str">
        <f>"20190303161902093"</f>
        <v>20190303161902093</v>
      </c>
      <c r="B1240" t="str">
        <f>"1551601142084095"</f>
        <v>1551601142084095</v>
      </c>
      <c r="C1240" t="s">
        <v>40</v>
      </c>
      <c r="D1240">
        <v>4.6464299999999996</v>
      </c>
      <c r="E1240">
        <v>0.53603020000000001</v>
      </c>
      <c r="F1240" t="s">
        <v>42</v>
      </c>
      <c r="G1240">
        <v>-266.50029999999998</v>
      </c>
      <c r="H1240">
        <v>0.92560949999999997</v>
      </c>
      <c r="I1240">
        <v>367.33139999999997</v>
      </c>
      <c r="J1240">
        <v>-267.06630000000001</v>
      </c>
      <c r="K1240">
        <v>1.1215930000000001</v>
      </c>
      <c r="L1240">
        <v>367.38389999999998</v>
      </c>
      <c r="M1240">
        <v>0.99987610000000005</v>
      </c>
      <c r="N1240">
        <v>-1.4964440000000001E-2</v>
      </c>
      <c r="O1240">
        <v>4.8827030000000004E-3</v>
      </c>
      <c r="P1240">
        <v>0.98807619999999896</v>
      </c>
      <c r="Q1240">
        <v>0.1533477</v>
      </c>
      <c r="R1240">
        <v>1.3780250000000001E-2</v>
      </c>
      <c r="S1240">
        <v>3.1761780000000002</v>
      </c>
      <c r="T1240">
        <v>-0.8792489</v>
      </c>
      <c r="U1240">
        <v>-0.2319031</v>
      </c>
      <c r="V1240">
        <v>-8.9485239999999994E-3</v>
      </c>
      <c r="W1240">
        <v>0.16811770000000001</v>
      </c>
      <c r="X1240">
        <v>0.98572630000000006</v>
      </c>
      <c r="Y1240">
        <v>7.4577649999999995E-2</v>
      </c>
      <c r="Z1240">
        <v>-1.194225E-2</v>
      </c>
      <c r="AA1240">
        <v>0.99714369999999997</v>
      </c>
      <c r="AB1240">
        <v>27</v>
      </c>
      <c r="AC1240">
        <v>0.56600000000003003</v>
      </c>
      <c r="AD1240">
        <v>-0.1959835</v>
      </c>
      <c r="AE1240">
        <v>-5.2500000000008998E-2</v>
      </c>
      <c r="AF1240">
        <v>4.9391898244776203E-2</v>
      </c>
      <c r="AG1240">
        <v>-0.1959835</v>
      </c>
      <c r="AH1240">
        <v>0.50563071288100903</v>
      </c>
      <c r="AI1240">
        <v>111.094914109173</v>
      </c>
      <c r="AJ1240">
        <v>84.420834810784797</v>
      </c>
      <c r="AK1240">
        <v>0.544528704195683</v>
      </c>
      <c r="AL1240">
        <v>80.321603725710503</v>
      </c>
      <c r="AM1240">
        <v>90.520122648873198</v>
      </c>
      <c r="AN1240">
        <v>0.99999998782337896</v>
      </c>
    </row>
    <row r="1241" spans="1:40" x14ac:dyDescent="0.25">
      <c r="A1241" t="str">
        <f>"20190303161902105"</f>
        <v>20190303161902105</v>
      </c>
      <c r="B1241" t="str">
        <f>"1551601142093856"</f>
        <v>1551601142093856</v>
      </c>
      <c r="C1241" t="s">
        <v>40</v>
      </c>
      <c r="D1241">
        <v>4.6559720000000002</v>
      </c>
      <c r="E1241">
        <v>0.5362365</v>
      </c>
      <c r="F1241" t="s">
        <v>42</v>
      </c>
      <c r="G1241">
        <v>-266.27260000000001</v>
      </c>
      <c r="H1241">
        <v>0.9013968</v>
      </c>
      <c r="I1241">
        <v>367.32499999999999</v>
      </c>
      <c r="J1241">
        <v>-266.92959999999999</v>
      </c>
      <c r="K1241">
        <v>1.1215980000000001</v>
      </c>
      <c r="L1241">
        <v>367.38459999999998</v>
      </c>
      <c r="M1241">
        <v>0.99987599999999999</v>
      </c>
      <c r="N1241">
        <v>-1.4969990000000001E-2</v>
      </c>
      <c r="O1241">
        <v>4.8826609999999999E-3</v>
      </c>
      <c r="P1241">
        <v>0.98808300000000004</v>
      </c>
      <c r="Q1241">
        <v>0.15331159999999999</v>
      </c>
      <c r="R1241">
        <v>1.369152E-2</v>
      </c>
      <c r="S1241">
        <v>3.1762700000000001</v>
      </c>
      <c r="T1241">
        <v>-0.88134219999999897</v>
      </c>
      <c r="U1241">
        <v>-0.23455809999999999</v>
      </c>
      <c r="V1241">
        <v>-8.8597329999999998E-3</v>
      </c>
      <c r="W1241">
        <v>0.1680876</v>
      </c>
      <c r="X1241">
        <v>0.98573230000000001</v>
      </c>
      <c r="Y1241">
        <v>7.5359579999999995E-2</v>
      </c>
      <c r="Z1241">
        <v>-1.208042E-2</v>
      </c>
      <c r="AA1241">
        <v>0.99708319999999995</v>
      </c>
      <c r="AB1241">
        <v>27</v>
      </c>
      <c r="AC1241">
        <v>0.65699999999998204</v>
      </c>
      <c r="AD1241">
        <v>-0.22020119999999899</v>
      </c>
      <c r="AE1241">
        <v>-5.9599999999989002E-2</v>
      </c>
      <c r="AF1241">
        <v>5.6511271919701803E-2</v>
      </c>
      <c r="AG1241">
        <v>-0.22020119999999899</v>
      </c>
      <c r="AH1241">
        <v>0.59086864077731505</v>
      </c>
      <c r="AI1241">
        <v>110.353888809205</v>
      </c>
      <c r="AJ1241">
        <v>84.536791192923999</v>
      </c>
      <c r="AK1241">
        <v>0.633093865859917</v>
      </c>
      <c r="AL1241">
        <v>80.323353849036593</v>
      </c>
      <c r="AM1241">
        <v>90.514958919278399</v>
      </c>
      <c r="AN1241">
        <v>1.0000000517029299</v>
      </c>
    </row>
    <row r="1242" spans="1:40" x14ac:dyDescent="0.25">
      <c r="A1242" t="str">
        <f>"20190303161902116"</f>
        <v>20190303161902116</v>
      </c>
      <c r="B1242" t="str">
        <f>"1551601142114353"</f>
        <v>1551601142114353</v>
      </c>
      <c r="C1242" t="s">
        <v>40</v>
      </c>
      <c r="D1242">
        <v>4.6828370000000001</v>
      </c>
      <c r="E1242">
        <v>0.53623279999999995</v>
      </c>
      <c r="F1242" t="s">
        <v>42</v>
      </c>
      <c r="G1242">
        <v>-266.0446</v>
      </c>
      <c r="H1242">
        <v>0.87540189999999996</v>
      </c>
      <c r="I1242">
        <v>367.3186</v>
      </c>
      <c r="J1242">
        <v>-266.79230000000001</v>
      </c>
      <c r="K1242">
        <v>1.121602</v>
      </c>
      <c r="L1242">
        <v>367.38529999999997</v>
      </c>
      <c r="M1242">
        <v>0.99987599999999999</v>
      </c>
      <c r="N1242">
        <v>-1.497457E-2</v>
      </c>
      <c r="O1242">
        <v>4.8826260000000002E-3</v>
      </c>
      <c r="P1242">
        <v>0.98808660000000004</v>
      </c>
      <c r="Q1242">
        <v>0.15328339999999999</v>
      </c>
      <c r="R1242">
        <v>1.375405E-2</v>
      </c>
      <c r="S1242">
        <v>3.1765750000000001</v>
      </c>
      <c r="T1242">
        <v>-0.88374349999999902</v>
      </c>
      <c r="U1242">
        <v>-0.23672489999999999</v>
      </c>
      <c r="V1242">
        <v>-8.9222840000000008E-3</v>
      </c>
      <c r="W1242">
        <v>0.16806360000000001</v>
      </c>
      <c r="X1242">
        <v>0.98573580000000005</v>
      </c>
      <c r="Y1242">
        <v>7.5987979999999997E-2</v>
      </c>
      <c r="Z1242">
        <v>-1.220016E-2</v>
      </c>
      <c r="AA1242">
        <v>0.99703410000000003</v>
      </c>
      <c r="AB1242">
        <v>27</v>
      </c>
      <c r="AC1242">
        <v>0.74770000000000802</v>
      </c>
      <c r="AD1242">
        <v>-0.24620009999999901</v>
      </c>
      <c r="AE1242">
        <v>-6.6699999999968895E-2</v>
      </c>
      <c r="AF1242">
        <v>6.3517917624774406E-2</v>
      </c>
      <c r="AG1242">
        <v>-0.24620009999999901</v>
      </c>
      <c r="AH1242">
        <v>0.67478115152286899</v>
      </c>
      <c r="AI1242">
        <v>109.963724445919</v>
      </c>
      <c r="AJ1242">
        <v>84.622528391717097</v>
      </c>
      <c r="AK1242">
        <v>0.72109542887881894</v>
      </c>
      <c r="AL1242">
        <v>80.324748522337799</v>
      </c>
      <c r="AM1242">
        <v>90.518592564826207</v>
      </c>
      <c r="AN1242">
        <v>1.00000002409918</v>
      </c>
    </row>
    <row r="1243" spans="1:40" x14ac:dyDescent="0.25">
      <c r="A1243" t="str">
        <f>"20190303161902128"</f>
        <v>20190303161902128</v>
      </c>
      <c r="B1243" t="str">
        <f>"1551601142124112"</f>
        <v>1551601142124112</v>
      </c>
      <c r="C1243" t="s">
        <v>40</v>
      </c>
      <c r="D1243">
        <v>4.6840060000000001</v>
      </c>
      <c r="E1243">
        <v>0.53618920000000003</v>
      </c>
      <c r="F1243" t="s">
        <v>42</v>
      </c>
      <c r="G1243">
        <v>-266.03059999999999</v>
      </c>
      <c r="H1243">
        <v>0.90856300000000001</v>
      </c>
      <c r="I1243">
        <v>367.32859999999999</v>
      </c>
      <c r="J1243">
        <v>-266.66019999999997</v>
      </c>
      <c r="K1243">
        <v>1.121607</v>
      </c>
      <c r="L1243">
        <v>367.38589999999999</v>
      </c>
      <c r="M1243">
        <v>0.99987599999999999</v>
      </c>
      <c r="N1243">
        <v>-1.4978750000000001E-2</v>
      </c>
      <c r="O1243">
        <v>4.882595E-3</v>
      </c>
      <c r="P1243">
        <v>0.98809230000000003</v>
      </c>
      <c r="Q1243">
        <v>0.1532502</v>
      </c>
      <c r="R1243">
        <v>1.37149E-2</v>
      </c>
      <c r="S1243">
        <v>3.1773380000000002</v>
      </c>
      <c r="T1243">
        <v>-0.88870139999999997</v>
      </c>
      <c r="U1243">
        <v>-0.23617550000000001</v>
      </c>
      <c r="V1243">
        <v>-8.8828469999999993E-3</v>
      </c>
      <c r="W1243">
        <v>0.1680345</v>
      </c>
      <c r="X1243">
        <v>0.98574110000000004</v>
      </c>
      <c r="Y1243">
        <v>7.5774220000000003E-2</v>
      </c>
      <c r="Z1243">
        <v>-1.2230029999999999E-2</v>
      </c>
      <c r="AA1243">
        <v>0.99704999999999999</v>
      </c>
      <c r="AB1243">
        <v>27</v>
      </c>
      <c r="AC1243">
        <v>0.62959999999998195</v>
      </c>
      <c r="AD1243">
        <v>-0.21304400000000001</v>
      </c>
      <c r="AE1243">
        <v>-5.7299999999997901E-2</v>
      </c>
      <c r="AF1243">
        <v>5.4216856929991702E-2</v>
      </c>
      <c r="AG1243">
        <v>-0.21304400000000001</v>
      </c>
      <c r="AH1243">
        <v>0.56513567367456496</v>
      </c>
      <c r="AI1243">
        <v>110.568882654438</v>
      </c>
      <c r="AJ1243">
        <v>84.520042927252106</v>
      </c>
      <c r="AK1243">
        <v>0.60638728810140097</v>
      </c>
      <c r="AL1243">
        <v>80.326439717843201</v>
      </c>
      <c r="AM1243">
        <v>90.516297704888402</v>
      </c>
      <c r="AN1243">
        <v>1.00000000719514</v>
      </c>
    </row>
    <row r="1244" spans="1:40" x14ac:dyDescent="0.25">
      <c r="A1244" t="str">
        <f>"20190303161902140"</f>
        <v>20190303161902140</v>
      </c>
      <c r="B1244" t="str">
        <f>"1551601142133873"</f>
        <v>1551601142133873</v>
      </c>
      <c r="C1244" t="s">
        <v>40</v>
      </c>
      <c r="D1244">
        <v>4.7062089999999897</v>
      </c>
      <c r="E1244">
        <v>0.53618540000000003</v>
      </c>
      <c r="F1244" t="s">
        <v>42</v>
      </c>
      <c r="G1244">
        <v>-265.80399999999997</v>
      </c>
      <c r="H1244">
        <v>0.88147770000000003</v>
      </c>
      <c r="I1244">
        <v>367.322</v>
      </c>
      <c r="J1244">
        <v>-266.50810000000001</v>
      </c>
      <c r="K1244">
        <v>1.1216109999999999</v>
      </c>
      <c r="L1244">
        <v>367.38670000000002</v>
      </c>
      <c r="M1244">
        <v>0.99987590000000004</v>
      </c>
      <c r="N1244">
        <v>-1.4982820000000001E-2</v>
      </c>
      <c r="O1244">
        <v>4.8825630000000004E-3</v>
      </c>
      <c r="P1244">
        <v>0.9880949</v>
      </c>
      <c r="Q1244">
        <v>0.1532502</v>
      </c>
      <c r="R1244">
        <v>1.353937E-2</v>
      </c>
      <c r="S1244">
        <v>3.177673</v>
      </c>
      <c r="T1244">
        <v>-0.89132869999999997</v>
      </c>
      <c r="U1244">
        <v>-0.2363586</v>
      </c>
      <c r="V1244">
        <v>-8.7075160000000002E-3</v>
      </c>
      <c r="W1244">
        <v>0.16803870000000001</v>
      </c>
      <c r="X1244">
        <v>0.98574189999999995</v>
      </c>
      <c r="Y1244">
        <v>7.5804609999999994E-2</v>
      </c>
      <c r="Z1244">
        <v>-1.226679E-2</v>
      </c>
      <c r="AA1244">
        <v>0.99704720000000002</v>
      </c>
      <c r="AB1244">
        <v>27</v>
      </c>
      <c r="AC1244">
        <v>0.70409999999998196</v>
      </c>
      <c r="AD1244">
        <v>-0.24013329999999999</v>
      </c>
      <c r="AE1244">
        <v>-6.4700000000073005E-2</v>
      </c>
      <c r="AF1244">
        <v>6.10911068428244E-2</v>
      </c>
      <c r="AG1244">
        <v>-0.24013329999999999</v>
      </c>
      <c r="AH1244">
        <v>0.63099586349911096</v>
      </c>
      <c r="AI1244">
        <v>110.746248486791</v>
      </c>
      <c r="AJ1244">
        <v>84.470031755468995</v>
      </c>
      <c r="AK1244">
        <v>0.67790257770358098</v>
      </c>
      <c r="AL1244">
        <v>80.326195138382204</v>
      </c>
      <c r="AM1244">
        <v>90.5061070661028</v>
      </c>
      <c r="AN1244">
        <v>0.99999995947409404</v>
      </c>
    </row>
    <row r="1245" spans="1:40" x14ac:dyDescent="0.25">
      <c r="A1245" t="str">
        <f>"20190303161902160"</f>
        <v>20190303161902160</v>
      </c>
      <c r="B1245" t="str">
        <f>"1551601142154370"</f>
        <v>1551601142154370</v>
      </c>
      <c r="C1245" t="s">
        <v>40</v>
      </c>
      <c r="D1245">
        <v>4.7272730000000003</v>
      </c>
      <c r="E1245">
        <v>0.53638909999999995</v>
      </c>
      <c r="F1245" t="s">
        <v>42</v>
      </c>
      <c r="G1245">
        <v>-265.78739999999999</v>
      </c>
      <c r="H1245">
        <v>0.91923560000000004</v>
      </c>
      <c r="I1245">
        <v>367.33280000000002</v>
      </c>
      <c r="J1245">
        <v>-266.27339999999998</v>
      </c>
      <c r="K1245">
        <v>1.1216189999999999</v>
      </c>
      <c r="L1245">
        <v>367.38780000000003</v>
      </c>
      <c r="M1245">
        <v>0.99987579999999998</v>
      </c>
      <c r="N1245">
        <v>-1.4988029999999999E-2</v>
      </c>
      <c r="O1245">
        <v>4.8825240000000001E-3</v>
      </c>
      <c r="P1245">
        <v>0.98802319999999999</v>
      </c>
      <c r="Q1245">
        <v>0.1537152</v>
      </c>
      <c r="R1245">
        <v>1.3489019999999999E-2</v>
      </c>
      <c r="S1245">
        <v>3.177826</v>
      </c>
      <c r="T1245">
        <v>-0.89247469999999995</v>
      </c>
      <c r="U1245">
        <v>-0.23654169999999999</v>
      </c>
      <c r="V1245">
        <v>-8.6574600000000005E-3</v>
      </c>
      <c r="W1245">
        <v>0.168507399999999</v>
      </c>
      <c r="X1245">
        <v>0.98566240000000005</v>
      </c>
      <c r="Y1245">
        <v>7.5848620000000005E-2</v>
      </c>
      <c r="Z1245">
        <v>-1.2287370000000001E-2</v>
      </c>
      <c r="AA1245">
        <v>0.99704360000000003</v>
      </c>
      <c r="AB1245">
        <v>27</v>
      </c>
      <c r="AC1245">
        <v>0.48599999999999</v>
      </c>
      <c r="AD1245">
        <v>-0.20238339999999999</v>
      </c>
      <c r="AE1245">
        <v>-5.50000000000068E-2</v>
      </c>
      <c r="AF1245">
        <v>4.8985327273967198E-2</v>
      </c>
      <c r="AG1245">
        <v>-0.20238339999999999</v>
      </c>
      <c r="AH1245">
        <v>0.41471823729707402</v>
      </c>
      <c r="AI1245">
        <v>115.85636708711201</v>
      </c>
      <c r="AJ1245">
        <v>83.263599327824394</v>
      </c>
      <c r="AK1245">
        <v>0.46405799123653702</v>
      </c>
      <c r="AL1245">
        <v>80.2989528331304</v>
      </c>
      <c r="AM1245">
        <v>90.503238394642906</v>
      </c>
      <c r="AN1245">
        <v>1.0000000311210799</v>
      </c>
    </row>
    <row r="1246" spans="1:40" x14ac:dyDescent="0.25">
      <c r="A1246" t="str">
        <f>"20190303161902171"</f>
        <v>20190303161902171</v>
      </c>
      <c r="B1246" t="str">
        <f>"1551601142164128"</f>
        <v>1551601142164128</v>
      </c>
      <c r="C1246" t="s">
        <v>40</v>
      </c>
      <c r="D1246">
        <v>4.7243190000000004</v>
      </c>
      <c r="E1246">
        <v>0.53651569999999904</v>
      </c>
      <c r="F1246" t="s">
        <v>42</v>
      </c>
      <c r="G1246">
        <v>-265.55029999999999</v>
      </c>
      <c r="H1246">
        <v>0.91797689999999998</v>
      </c>
      <c r="I1246">
        <v>367.33350000000002</v>
      </c>
      <c r="J1246">
        <v>-266.1377</v>
      </c>
      <c r="K1246">
        <v>1.121626</v>
      </c>
      <c r="L1246">
        <v>367.38850000000002</v>
      </c>
      <c r="M1246">
        <v>0.99987570000000003</v>
      </c>
      <c r="N1246">
        <v>-1.4990430000000001E-2</v>
      </c>
      <c r="O1246">
        <v>4.882684E-3</v>
      </c>
      <c r="P1246">
        <v>0.98795549999999999</v>
      </c>
      <c r="Q1246">
        <v>0.15410589999999999</v>
      </c>
      <c r="R1246">
        <v>1.39775E-2</v>
      </c>
      <c r="S1246">
        <v>3.1788940000000001</v>
      </c>
      <c r="T1246">
        <v>-0.89522900000000005</v>
      </c>
      <c r="U1246">
        <v>-0.23831179999999999</v>
      </c>
      <c r="V1246">
        <v>-9.1461070000000005E-3</v>
      </c>
      <c r="W1246">
        <v>0.16889979999999999</v>
      </c>
      <c r="X1246">
        <v>0.98559079999999999</v>
      </c>
      <c r="Y1246">
        <v>7.6338939999999994E-2</v>
      </c>
      <c r="Z1246">
        <v>-1.2389910000000001E-2</v>
      </c>
      <c r="AA1246">
        <v>0.99700489999999997</v>
      </c>
      <c r="AB1246">
        <v>27</v>
      </c>
      <c r="AC1246">
        <v>0.58740000000000203</v>
      </c>
      <c r="AD1246">
        <v>-0.2036491</v>
      </c>
      <c r="AE1246">
        <v>-5.50000000000068E-2</v>
      </c>
      <c r="AF1246">
        <v>5.1706726530035503E-2</v>
      </c>
      <c r="AG1246">
        <v>-0.2036491</v>
      </c>
      <c r="AH1246">
        <v>0.52461481643984398</v>
      </c>
      <c r="AI1246">
        <v>111.122343675919</v>
      </c>
      <c r="AJ1246">
        <v>84.371032830423601</v>
      </c>
      <c r="AK1246">
        <v>0.56512586839346901</v>
      </c>
      <c r="AL1246">
        <v>80.276142819543594</v>
      </c>
      <c r="AM1246">
        <v>90.531679362732703</v>
      </c>
      <c r="AN1246">
        <v>1.0000000093789601</v>
      </c>
    </row>
    <row r="1247" spans="1:40" x14ac:dyDescent="0.25">
      <c r="A1247" t="str">
        <f>"20190303161902183"</f>
        <v>20190303161902183</v>
      </c>
      <c r="B1247" t="str">
        <f>"1551601142173888"</f>
        <v>1551601142173888</v>
      </c>
      <c r="C1247" t="s">
        <v>40</v>
      </c>
      <c r="D1247">
        <v>4.6757589999999896</v>
      </c>
      <c r="E1247">
        <v>0.53651569999999904</v>
      </c>
      <c r="F1247" t="s">
        <v>42</v>
      </c>
      <c r="G1247">
        <v>-265.32470000000001</v>
      </c>
      <c r="H1247">
        <v>0.89188219999999996</v>
      </c>
      <c r="I1247">
        <v>367.32740000000001</v>
      </c>
      <c r="J1247">
        <v>-265.9948</v>
      </c>
      <c r="K1247">
        <v>1.1216330000000001</v>
      </c>
      <c r="L1247">
        <v>367.38920000000002</v>
      </c>
      <c r="M1247">
        <v>0.99987570000000003</v>
      </c>
      <c r="N1247">
        <v>-1.499266E-2</v>
      </c>
      <c r="O1247">
        <v>4.8826679999999997E-3</v>
      </c>
      <c r="P1247">
        <v>0.98792329999999995</v>
      </c>
      <c r="Q1247">
        <v>0.15431549999999999</v>
      </c>
      <c r="R1247">
        <v>1.393905E-2</v>
      </c>
      <c r="S1247">
        <v>3.180145</v>
      </c>
      <c r="T1247">
        <v>-0.89880040000000005</v>
      </c>
      <c r="U1247">
        <v>-0.2378845</v>
      </c>
      <c r="V1247">
        <v>-9.1081719999999994E-3</v>
      </c>
      <c r="W1247">
        <v>0.16911129999999999</v>
      </c>
      <c r="X1247">
        <v>0.98555490000000001</v>
      </c>
      <c r="Y1247">
        <v>7.6161000000000006E-2</v>
      </c>
      <c r="Z1247">
        <v>-1.240523E-2</v>
      </c>
      <c r="AA1247">
        <v>0.99701830000000002</v>
      </c>
      <c r="AB1247">
        <v>27</v>
      </c>
      <c r="AC1247">
        <v>0.67009999999999004</v>
      </c>
      <c r="AD1247">
        <v>-0.22975080000000001</v>
      </c>
      <c r="AE1247">
        <v>-6.1800000000005101E-2</v>
      </c>
      <c r="AF1247">
        <v>5.8278459418984602E-2</v>
      </c>
      <c r="AG1247">
        <v>-0.22975080000000001</v>
      </c>
      <c r="AH1247">
        <v>0.59986843042751903</v>
      </c>
      <c r="AI1247">
        <v>110.867206412326</v>
      </c>
      <c r="AJ1247">
        <v>84.451010814324306</v>
      </c>
      <c r="AK1247">
        <v>0.64499918043084803</v>
      </c>
      <c r="AL1247">
        <v>80.263848062025303</v>
      </c>
      <c r="AM1247">
        <v>90.529493545577694</v>
      </c>
      <c r="AN1247">
        <v>1.0000000257494399</v>
      </c>
    </row>
    <row r="1248" spans="1:40" x14ac:dyDescent="0.25">
      <c r="A1248" t="str">
        <f>"20190303161902194"</f>
        <v>20190303161902194</v>
      </c>
      <c r="B1248" t="str">
        <f>"1551601142183649"</f>
        <v>1551601142183649</v>
      </c>
      <c r="C1248" t="s">
        <v>40</v>
      </c>
      <c r="D1248">
        <v>4.6952410000000002</v>
      </c>
      <c r="E1248">
        <v>0.53745220000000005</v>
      </c>
      <c r="F1248" t="s">
        <v>42</v>
      </c>
      <c r="G1248">
        <v>-265.3082</v>
      </c>
      <c r="H1248">
        <v>0.92777069999999995</v>
      </c>
      <c r="I1248">
        <v>367.33730000000003</v>
      </c>
      <c r="J1248">
        <v>-265.87360000000001</v>
      </c>
      <c r="K1248">
        <v>1.1216360000000001</v>
      </c>
      <c r="L1248">
        <v>367.3897</v>
      </c>
      <c r="M1248">
        <v>0.99987579999999998</v>
      </c>
      <c r="N1248">
        <v>-1.499405E-2</v>
      </c>
      <c r="O1248">
        <v>4.882478E-3</v>
      </c>
      <c r="P1248">
        <v>0.98781509999999995</v>
      </c>
      <c r="Q1248">
        <v>0.15499099999999999</v>
      </c>
      <c r="R1248">
        <v>1.411724E-2</v>
      </c>
      <c r="S1248">
        <v>3.1802980000000001</v>
      </c>
      <c r="T1248">
        <v>-0.89800499999999905</v>
      </c>
      <c r="U1248">
        <v>-0.23861689999999999</v>
      </c>
      <c r="V1248">
        <v>-9.2870699999999997E-3</v>
      </c>
      <c r="W1248">
        <v>0.1697861</v>
      </c>
      <c r="X1248">
        <v>0.98543720000000001</v>
      </c>
      <c r="Y1248">
        <v>7.6382459999999999E-2</v>
      </c>
      <c r="Z1248">
        <v>-1.242676E-2</v>
      </c>
      <c r="AA1248">
        <v>0.99700120000000003</v>
      </c>
      <c r="AB1248">
        <v>27</v>
      </c>
      <c r="AC1248">
        <v>0.565400000000011</v>
      </c>
      <c r="AD1248">
        <v>-0.19386529999999999</v>
      </c>
      <c r="AE1248">
        <v>-5.2399999999977298E-2</v>
      </c>
      <c r="AF1248">
        <v>4.9401653827709502E-2</v>
      </c>
      <c r="AG1248">
        <v>-0.19386529999999999</v>
      </c>
      <c r="AH1248">
        <v>0.50613852450561203</v>
      </c>
      <c r="AI1248">
        <v>110.867675652779</v>
      </c>
      <c r="AJ1248">
        <v>84.425303224752696</v>
      </c>
      <c r="AK1248">
        <v>0.54424303756108905</v>
      </c>
      <c r="AL1248">
        <v>80.224617524029398</v>
      </c>
      <c r="AM1248">
        <v>90.539957454710105</v>
      </c>
      <c r="AN1248">
        <v>1.00000002228311</v>
      </c>
    </row>
    <row r="1249" spans="1:40" x14ac:dyDescent="0.25">
      <c r="A1249" t="str">
        <f>"20190303161902207"</f>
        <v>20190303161902207</v>
      </c>
      <c r="B1249" t="str">
        <f>"1551601142204144"</f>
        <v>1551601142204144</v>
      </c>
      <c r="C1249" t="s">
        <v>40</v>
      </c>
      <c r="D1249">
        <v>4.6997369999999998</v>
      </c>
      <c r="E1249">
        <v>0.53776999999999997</v>
      </c>
      <c r="F1249" t="s">
        <v>42</v>
      </c>
      <c r="G1249">
        <v>-265.09949999999998</v>
      </c>
      <c r="H1249">
        <v>0.86293699999999995</v>
      </c>
      <c r="I1249">
        <v>367.33069999999998</v>
      </c>
      <c r="J1249">
        <v>-265.72430000000003</v>
      </c>
      <c r="K1249">
        <v>1.1216410000000001</v>
      </c>
      <c r="L1249">
        <v>367.39049999999997</v>
      </c>
      <c r="M1249">
        <v>0.99987579999999998</v>
      </c>
      <c r="N1249">
        <v>-1.49956E-2</v>
      </c>
      <c r="O1249">
        <v>4.8824669999999997E-3</v>
      </c>
      <c r="P1249">
        <v>0.98776969999999997</v>
      </c>
      <c r="Q1249">
        <v>0.15524279999999999</v>
      </c>
      <c r="R1249">
        <v>1.4520119999999999E-2</v>
      </c>
      <c r="S1249">
        <v>3.2087400000000001</v>
      </c>
      <c r="T1249">
        <v>-1.0722719999999999</v>
      </c>
      <c r="U1249">
        <v>-0.24429319999999999</v>
      </c>
      <c r="V1249">
        <v>-9.6898090000000006E-3</v>
      </c>
      <c r="W1249">
        <v>0.17003889999999999</v>
      </c>
      <c r="X1249">
        <v>0.98538970000000004</v>
      </c>
      <c r="Y1249">
        <v>7.6224699999999895E-2</v>
      </c>
      <c r="Z1249">
        <v>-1.448578E-2</v>
      </c>
      <c r="AA1249">
        <v>0.99698540000000002</v>
      </c>
      <c r="AB1249">
        <v>27</v>
      </c>
      <c r="AC1249">
        <v>0.62480000000004998</v>
      </c>
      <c r="AD1249">
        <v>-0.25870399999999899</v>
      </c>
      <c r="AE1249">
        <v>-5.97999999999956E-2</v>
      </c>
      <c r="AF1249">
        <v>5.3723234981465202E-2</v>
      </c>
      <c r="AG1249">
        <v>-0.25870399999999899</v>
      </c>
      <c r="AH1249">
        <v>0.53381202115607096</v>
      </c>
      <c r="AI1249">
        <v>115.74332678024</v>
      </c>
      <c r="AJ1249">
        <v>84.2530611539609</v>
      </c>
      <c r="AK1249">
        <v>0.59562506623177303</v>
      </c>
      <c r="AL1249">
        <v>80.209919113178302</v>
      </c>
      <c r="AM1249">
        <v>90.5633986899349</v>
      </c>
      <c r="AN1249">
        <v>0.99999999038887799</v>
      </c>
    </row>
    <row r="1250" spans="1:40" x14ac:dyDescent="0.25">
      <c r="A1250" t="str">
        <f>"20190303161902216"</f>
        <v>20190303161902216</v>
      </c>
      <c r="B1250" t="str">
        <f>"1551601142213903"</f>
        <v>1551601142213903</v>
      </c>
      <c r="C1250" t="s">
        <v>40</v>
      </c>
      <c r="D1250">
        <v>4.7082139999999999</v>
      </c>
      <c r="E1250">
        <v>0.53788819999999904</v>
      </c>
      <c r="F1250" t="s">
        <v>42</v>
      </c>
      <c r="G1250">
        <v>-264.8734</v>
      </c>
      <c r="H1250">
        <v>0.83683339999999995</v>
      </c>
      <c r="I1250">
        <v>367.32530000000003</v>
      </c>
      <c r="J1250">
        <v>-265.60120000000001</v>
      </c>
      <c r="K1250">
        <v>1.1216440000000001</v>
      </c>
      <c r="L1250">
        <v>367.39109999999999</v>
      </c>
      <c r="M1250">
        <v>0.99987579999999998</v>
      </c>
      <c r="N1250">
        <v>-1.499643E-2</v>
      </c>
      <c r="O1250">
        <v>4.8824599999999999E-3</v>
      </c>
      <c r="P1250">
        <v>0.98774110000000004</v>
      </c>
      <c r="Q1250">
        <v>0.155416</v>
      </c>
      <c r="R1250">
        <v>1.4620269999999999E-2</v>
      </c>
      <c r="S1250">
        <v>3.2095950000000002</v>
      </c>
      <c r="T1250">
        <v>-1.074381</v>
      </c>
      <c r="U1250">
        <v>-0.24484249999999999</v>
      </c>
      <c r="V1250">
        <v>-9.7900639999999994E-3</v>
      </c>
      <c r="W1250">
        <v>0.17021229999999901</v>
      </c>
      <c r="X1250">
        <v>0.98535879999999998</v>
      </c>
      <c r="Y1250">
        <v>7.6352219999999998E-2</v>
      </c>
      <c r="Z1250">
        <v>-1.4530039999999999E-2</v>
      </c>
      <c r="AA1250">
        <v>0.99697499999999994</v>
      </c>
      <c r="AB1250">
        <v>26</v>
      </c>
      <c r="AC1250">
        <v>0.727800000000002</v>
      </c>
      <c r="AD1250">
        <v>-0.28481059999999903</v>
      </c>
      <c r="AE1250">
        <v>-6.5799999999967398E-2</v>
      </c>
      <c r="AF1250">
        <v>6.0207634838476597E-2</v>
      </c>
      <c r="AG1250">
        <v>-0.28481059999999903</v>
      </c>
      <c r="AH1250">
        <v>0.63154017638039395</v>
      </c>
      <c r="AI1250">
        <v>114.177327371828</v>
      </c>
      <c r="AJ1250">
        <v>84.554187978976501</v>
      </c>
      <c r="AK1250">
        <v>0.69540278367848196</v>
      </c>
      <c r="AL1250">
        <v>80.199837331529906</v>
      </c>
      <c r="AM1250">
        <v>90.569245326792199</v>
      </c>
      <c r="AN1250">
        <v>1.0000000185809199</v>
      </c>
    </row>
    <row r="1251" spans="1:40" x14ac:dyDescent="0.25">
      <c r="A1251" t="str">
        <f>"20190303161902228"</f>
        <v>20190303161902228</v>
      </c>
      <c r="B1251" t="str">
        <f>"1551601142223664"</f>
        <v>1551601142223664</v>
      </c>
      <c r="C1251" t="s">
        <v>40</v>
      </c>
      <c r="D1251">
        <v>4.7065479999999997</v>
      </c>
      <c r="E1251">
        <v>0.53792079999999998</v>
      </c>
      <c r="F1251" t="s">
        <v>42</v>
      </c>
      <c r="G1251">
        <v>-264.85890000000001</v>
      </c>
      <c r="H1251">
        <v>0.873552</v>
      </c>
      <c r="I1251">
        <v>367.33409999999998</v>
      </c>
      <c r="J1251">
        <v>-265.47320000000002</v>
      </c>
      <c r="K1251">
        <v>1.1216469999999901</v>
      </c>
      <c r="L1251">
        <v>367.39170000000001</v>
      </c>
      <c r="M1251">
        <v>0.99987570000000003</v>
      </c>
      <c r="N1251">
        <v>-1.4997170000000001E-2</v>
      </c>
      <c r="O1251">
        <v>4.8824539999999996E-3</v>
      </c>
      <c r="P1251">
        <v>0.9877186</v>
      </c>
      <c r="Q1251">
        <v>0.15555369999999999</v>
      </c>
      <c r="R1251">
        <v>1.4663890000000001E-2</v>
      </c>
      <c r="S1251">
        <v>3.209686</v>
      </c>
      <c r="T1251">
        <v>-1.0726899999999999</v>
      </c>
      <c r="U1251">
        <v>-0.2449646</v>
      </c>
      <c r="V1251">
        <v>-9.8339910000000003E-3</v>
      </c>
      <c r="W1251">
        <v>0.17035049999999999</v>
      </c>
      <c r="X1251">
        <v>0.9853345</v>
      </c>
      <c r="Y1251">
        <v>7.6399149999999999E-2</v>
      </c>
      <c r="Z1251">
        <v>-1.4516680000000001E-2</v>
      </c>
      <c r="AA1251">
        <v>0.99697159999999996</v>
      </c>
      <c r="AB1251">
        <v>26</v>
      </c>
      <c r="AC1251">
        <v>0.61430000000001395</v>
      </c>
      <c r="AD1251">
        <v>-0.24809499999999901</v>
      </c>
      <c r="AE1251">
        <v>-5.7600000000036199E-2</v>
      </c>
      <c r="AF1251">
        <v>5.2164632157567399E-2</v>
      </c>
      <c r="AG1251">
        <v>-0.24809499999999901</v>
      </c>
      <c r="AH1251">
        <v>0.52855179691718701</v>
      </c>
      <c r="AI1251">
        <v>115.03807354666399</v>
      </c>
      <c r="AJ1251">
        <v>84.363531609401605</v>
      </c>
      <c r="AK1251">
        <v>0.58620753995280594</v>
      </c>
      <c r="AL1251">
        <v>80.191801896243803</v>
      </c>
      <c r="AM1251">
        <v>90.571813402816403</v>
      </c>
      <c r="AN1251">
        <v>1.0000000385597401</v>
      </c>
    </row>
    <row r="1252" spans="1:40" x14ac:dyDescent="0.25">
      <c r="A1252" t="str">
        <f>"20190303161902242"</f>
        <v>20190303161902242</v>
      </c>
      <c r="B1252" t="str">
        <f>"1551601142234400"</f>
        <v>1551601142234400</v>
      </c>
      <c r="C1252" t="s">
        <v>40</v>
      </c>
      <c r="D1252">
        <v>4.7402660000000001</v>
      </c>
      <c r="E1252">
        <v>0.53797410000000001</v>
      </c>
      <c r="F1252" t="s">
        <v>42</v>
      </c>
      <c r="G1252">
        <v>-264.6354</v>
      </c>
      <c r="H1252">
        <v>0.84198269999999997</v>
      </c>
      <c r="I1252">
        <v>367.32760000000002</v>
      </c>
      <c r="J1252">
        <v>-265.30349999999999</v>
      </c>
      <c r="K1252">
        <v>1.1216489999999999</v>
      </c>
      <c r="L1252">
        <v>367.39249999999998</v>
      </c>
      <c r="M1252">
        <v>0.99987570000000003</v>
      </c>
      <c r="N1252">
        <v>-1.4997689999999999E-2</v>
      </c>
      <c r="O1252">
        <v>4.88245E-3</v>
      </c>
      <c r="P1252">
        <v>0.98769209999999996</v>
      </c>
      <c r="Q1252">
        <v>0.15572939999999999</v>
      </c>
      <c r="R1252">
        <v>1.4580330000000001E-2</v>
      </c>
      <c r="S1252">
        <v>3.2096559999999998</v>
      </c>
      <c r="T1252">
        <v>-1.071356</v>
      </c>
      <c r="U1252">
        <v>-0.2449646</v>
      </c>
      <c r="V1252">
        <v>-9.7505279999999996E-3</v>
      </c>
      <c r="W1252">
        <v>0.17052619999999999</v>
      </c>
      <c r="X1252">
        <v>0.98530490000000004</v>
      </c>
      <c r="Y1252">
        <v>7.6410030000000004E-2</v>
      </c>
      <c r="Z1252">
        <v>-1.450211E-2</v>
      </c>
      <c r="AA1252">
        <v>0.99697100000000005</v>
      </c>
      <c r="AB1252">
        <v>26</v>
      </c>
      <c r="AC1252">
        <v>0.66809999999998104</v>
      </c>
      <c r="AD1252">
        <v>-0.27966629999999898</v>
      </c>
      <c r="AE1252">
        <v>-6.4899999999965902E-2</v>
      </c>
      <c r="AF1252">
        <v>5.8079657126809001E-2</v>
      </c>
      <c r="AG1252">
        <v>-0.27966629999999898</v>
      </c>
      <c r="AH1252">
        <v>0.56900328840895897</v>
      </c>
      <c r="AI1252">
        <v>116.056852049596</v>
      </c>
      <c r="AJ1252">
        <v>84.171854469173397</v>
      </c>
      <c r="AK1252">
        <v>0.63667199416015396</v>
      </c>
      <c r="AL1252">
        <v>80.181585181757697</v>
      </c>
      <c r="AM1252">
        <v>90.566977660285104</v>
      </c>
      <c r="AN1252">
        <v>1.0000000018233599</v>
      </c>
    </row>
    <row r="1253" spans="1:40" x14ac:dyDescent="0.25">
      <c r="A1253" t="str">
        <f>"20190303161902255"</f>
        <v>20190303161902255</v>
      </c>
      <c r="B1253" t="str">
        <f>"1551601142244160"</f>
        <v>1551601142244160</v>
      </c>
      <c r="C1253" t="s">
        <v>40</v>
      </c>
      <c r="D1253">
        <v>4.718426</v>
      </c>
      <c r="E1253">
        <v>0.5379486</v>
      </c>
      <c r="F1253" t="s">
        <v>42</v>
      </c>
      <c r="G1253">
        <v>-264.61520000000002</v>
      </c>
      <c r="H1253">
        <v>0.892312199999999</v>
      </c>
      <c r="I1253">
        <v>367.33969999999999</v>
      </c>
      <c r="J1253">
        <v>-265.15410000000003</v>
      </c>
      <c r="K1253">
        <v>1.12165</v>
      </c>
      <c r="L1253">
        <v>367.39330000000001</v>
      </c>
      <c r="M1253">
        <v>0.99987570000000003</v>
      </c>
      <c r="N1253">
        <v>-1.4997770000000001E-2</v>
      </c>
      <c r="O1253">
        <v>4.88245E-3</v>
      </c>
      <c r="P1253">
        <v>0.98766980000000004</v>
      </c>
      <c r="Q1253">
        <v>0.15587989999999999</v>
      </c>
      <c r="R1253">
        <v>1.4494369999999999E-2</v>
      </c>
      <c r="S1253">
        <v>3.2095950000000002</v>
      </c>
      <c r="T1253">
        <v>-1.0694680000000001</v>
      </c>
      <c r="U1253">
        <v>-0.24588009999999999</v>
      </c>
      <c r="V1253">
        <v>-9.6647639999999993E-3</v>
      </c>
      <c r="W1253">
        <v>0.17067660000000001</v>
      </c>
      <c r="X1253">
        <v>0.98527969999999998</v>
      </c>
      <c r="Y1253">
        <v>7.6693529999999996E-2</v>
      </c>
      <c r="Z1253">
        <v>-1.4526910000000001E-2</v>
      </c>
      <c r="AA1253">
        <v>0.99694890000000003</v>
      </c>
      <c r="AB1253">
        <v>26</v>
      </c>
      <c r="AC1253">
        <v>0.53890000000001204</v>
      </c>
      <c r="AD1253">
        <v>-0.22933780000000001</v>
      </c>
      <c r="AE1253">
        <v>-5.3600000000017099E-2</v>
      </c>
      <c r="AF1253">
        <v>4.7680187975624899E-2</v>
      </c>
      <c r="AG1253">
        <v>-0.22933780000000001</v>
      </c>
      <c r="AH1253">
        <v>0.45672591493400999</v>
      </c>
      <c r="AI1253">
        <v>116.538475201167</v>
      </c>
      <c r="AJ1253">
        <v>84.040159642991796</v>
      </c>
      <c r="AK1253">
        <v>0.51329113396447801</v>
      </c>
      <c r="AL1253">
        <v>80.172839654135302</v>
      </c>
      <c r="AM1253">
        <v>90.562005314510401</v>
      </c>
      <c r="AN1253">
        <v>0.99999999834141196</v>
      </c>
    </row>
    <row r="1254" spans="1:40" x14ac:dyDescent="0.25">
      <c r="A1254" t="str">
        <f>"20190303161902268"</f>
        <v>20190303161902268</v>
      </c>
      <c r="B1254" t="str">
        <f>"1551601142263679"</f>
        <v>1551601142263679</v>
      </c>
      <c r="C1254" t="s">
        <v>40</v>
      </c>
      <c r="D1254">
        <v>4.7462179999999998</v>
      </c>
      <c r="E1254">
        <v>0.53783149999999902</v>
      </c>
      <c r="F1254" t="s">
        <v>42</v>
      </c>
      <c r="G1254">
        <v>-264.39</v>
      </c>
      <c r="H1254">
        <v>0.86686189999999996</v>
      </c>
      <c r="I1254">
        <v>367.33449999999999</v>
      </c>
      <c r="J1254">
        <v>-264.99680000000001</v>
      </c>
      <c r="K1254">
        <v>1.121653</v>
      </c>
      <c r="L1254">
        <v>367.39400000000001</v>
      </c>
      <c r="M1254">
        <v>0.99987559999999998</v>
      </c>
      <c r="N1254">
        <v>-1.499764E-2</v>
      </c>
      <c r="O1254">
        <v>4.8824510000000003E-3</v>
      </c>
      <c r="P1254">
        <v>0.98766659999999995</v>
      </c>
      <c r="Q1254">
        <v>0.15589909999999901</v>
      </c>
      <c r="R1254">
        <v>1.4495289999999999E-2</v>
      </c>
      <c r="S1254">
        <v>3.209991</v>
      </c>
      <c r="T1254">
        <v>-1.070311</v>
      </c>
      <c r="U1254">
        <v>-0.24627689999999999</v>
      </c>
      <c r="V1254">
        <v>-9.6652019999999995E-3</v>
      </c>
      <c r="W1254">
        <v>0.17069529999999999</v>
      </c>
      <c r="X1254">
        <v>0.9852765</v>
      </c>
      <c r="Y1254">
        <v>7.6795160000000001E-2</v>
      </c>
      <c r="Z1254">
        <v>-1.455297E-2</v>
      </c>
      <c r="AA1254">
        <v>0.99694070000000001</v>
      </c>
      <c r="AB1254">
        <v>26</v>
      </c>
      <c r="AC1254">
        <v>0.60680000000002099</v>
      </c>
      <c r="AD1254">
        <v>-0.25479109999999899</v>
      </c>
      <c r="AE1254">
        <v>-5.9500000000014097E-2</v>
      </c>
      <c r="AF1254">
        <v>5.3176094441330202E-2</v>
      </c>
      <c r="AG1254">
        <v>-0.25479109999999899</v>
      </c>
      <c r="AH1254">
        <v>0.51633420798917895</v>
      </c>
      <c r="AI1254">
        <v>116.144818596017</v>
      </c>
      <c r="AJ1254">
        <v>84.1199673469944</v>
      </c>
      <c r="AK1254">
        <v>0.57822765066974702</v>
      </c>
      <c r="AL1254">
        <v>80.171752694665201</v>
      </c>
      <c r="AM1254">
        <v>90.562032607801697</v>
      </c>
      <c r="AN1254">
        <v>1.0000000415120101</v>
      </c>
    </row>
    <row r="1255" spans="1:40" x14ac:dyDescent="0.25">
      <c r="A1255" t="str">
        <f>"20190303161902281"</f>
        <v>20190303161902281</v>
      </c>
      <c r="B1255" t="str">
        <f>"1551601142274416"</f>
        <v>1551601142274416</v>
      </c>
      <c r="C1255" t="s">
        <v>40</v>
      </c>
      <c r="D1255">
        <v>4.7537799999999999</v>
      </c>
      <c r="E1255">
        <v>0.53775220000000001</v>
      </c>
      <c r="F1255" t="s">
        <v>42</v>
      </c>
      <c r="G1255">
        <v>-264.16419999999999</v>
      </c>
      <c r="H1255">
        <v>0.84338269999999904</v>
      </c>
      <c r="I1255">
        <v>367.33030000000002</v>
      </c>
      <c r="J1255">
        <v>-264.84370000000001</v>
      </c>
      <c r="K1255">
        <v>1.121656</v>
      </c>
      <c r="L1255">
        <v>367.39479999999998</v>
      </c>
      <c r="M1255">
        <v>0.99987559999999998</v>
      </c>
      <c r="N1255">
        <v>-1.4997170000000001E-2</v>
      </c>
      <c r="O1255">
        <v>4.8824539999999996E-3</v>
      </c>
      <c r="P1255">
        <v>0.98766229999999999</v>
      </c>
      <c r="Q1255">
        <v>0.15593950000000001</v>
      </c>
      <c r="R1255">
        <v>1.436133E-2</v>
      </c>
      <c r="S1255">
        <v>3.2104490000000001</v>
      </c>
      <c r="T1255">
        <v>-1.0730409999999999</v>
      </c>
      <c r="U1255">
        <v>-0.24551390000000001</v>
      </c>
      <c r="V1255">
        <v>-9.5321780000000005E-3</v>
      </c>
      <c r="W1255">
        <v>0.17073529999999901</v>
      </c>
      <c r="X1255">
        <v>0.9852708</v>
      </c>
      <c r="Y1255">
        <v>7.6541929999999994E-2</v>
      </c>
      <c r="Z1255">
        <v>-1.4542100000000001E-2</v>
      </c>
      <c r="AA1255">
        <v>0.99696030000000002</v>
      </c>
      <c r="AB1255">
        <v>26</v>
      </c>
      <c r="AC1255">
        <v>0.67950000000001798</v>
      </c>
      <c r="AD1255">
        <v>-0.2782733</v>
      </c>
      <c r="AE1255">
        <v>-6.4499999999952706E-2</v>
      </c>
      <c r="AF1255">
        <v>5.81516006127622E-2</v>
      </c>
      <c r="AG1255">
        <v>-0.2782733</v>
      </c>
      <c r="AH1255">
        <v>0.58237744980493</v>
      </c>
      <c r="AI1255">
        <v>115.429150451043</v>
      </c>
      <c r="AJ1255">
        <v>84.297798176130797</v>
      </c>
      <c r="AK1255">
        <v>0.64805951284431496</v>
      </c>
      <c r="AL1255">
        <v>80.169426080766101</v>
      </c>
      <c r="AM1255">
        <v>90.554300939439401</v>
      </c>
      <c r="AN1255">
        <v>0.99999997720807599</v>
      </c>
    </row>
    <row r="1256" spans="1:40" x14ac:dyDescent="0.25">
      <c r="A1256" t="str">
        <f>"20190303161902294"</f>
        <v>20190303161902294</v>
      </c>
      <c r="B1256" t="str">
        <f>"1551601142284176"</f>
        <v>1551601142284176</v>
      </c>
      <c r="C1256" t="s">
        <v>40</v>
      </c>
      <c r="D1256">
        <v>4.7727909999999998</v>
      </c>
      <c r="E1256">
        <v>0.53769259999999997</v>
      </c>
      <c r="F1256" t="s">
        <v>42</v>
      </c>
      <c r="G1256">
        <v>-264.1463</v>
      </c>
      <c r="H1256">
        <v>0.88835370000000002</v>
      </c>
      <c r="I1256">
        <v>367.34160000000003</v>
      </c>
      <c r="J1256">
        <v>-264.68669999999997</v>
      </c>
      <c r="K1256">
        <v>1.1216549999999901</v>
      </c>
      <c r="L1256">
        <v>367.3956</v>
      </c>
      <c r="M1256">
        <v>0.99987579999999998</v>
      </c>
      <c r="N1256">
        <v>-1.499641E-2</v>
      </c>
      <c r="O1256">
        <v>4.8822809999999996E-3</v>
      </c>
      <c r="P1256">
        <v>0.98772020000000005</v>
      </c>
      <c r="Q1256">
        <v>0.1556023</v>
      </c>
      <c r="R1256">
        <v>1.4039640000000001E-2</v>
      </c>
      <c r="S1256">
        <v>3.2106319999999999</v>
      </c>
      <c r="T1256">
        <v>-1.074095</v>
      </c>
      <c r="U1256">
        <v>-0.24462890000000001</v>
      </c>
      <c r="V1256">
        <v>-9.2099590000000002E-3</v>
      </c>
      <c r="W1256">
        <v>0.17039840000000001</v>
      </c>
      <c r="X1256">
        <v>0.98533219999999999</v>
      </c>
      <c r="Y1256">
        <v>7.6271370000000005E-2</v>
      </c>
      <c r="Z1256">
        <v>-1.4508399999999999E-2</v>
      </c>
      <c r="AA1256">
        <v>0.99698160000000002</v>
      </c>
      <c r="AB1256">
        <v>26</v>
      </c>
      <c r="AC1256">
        <v>0.54039999999997601</v>
      </c>
      <c r="AD1256">
        <v>-0.23330129999999899</v>
      </c>
      <c r="AE1256">
        <v>-5.3999999999973597E-2</v>
      </c>
      <c r="AF1256">
        <v>4.7814405240983703E-2</v>
      </c>
      <c r="AG1256">
        <v>-0.23330129999999899</v>
      </c>
      <c r="AH1256">
        <v>0.45598312531072599</v>
      </c>
      <c r="AI1256">
        <v>116.96947937093</v>
      </c>
      <c r="AJ1256">
        <v>84.013839274058796</v>
      </c>
      <c r="AK1256">
        <v>0.514428152902206</v>
      </c>
      <c r="AL1256">
        <v>80.189016238238807</v>
      </c>
      <c r="AM1256">
        <v>90.535531481956497</v>
      </c>
      <c r="AN1256">
        <v>0.99999999121209004</v>
      </c>
    </row>
    <row r="1257" spans="1:40" x14ac:dyDescent="0.25">
      <c r="A1257" t="str">
        <f>"20190303161902306"</f>
        <v>20190303161902306</v>
      </c>
      <c r="B1257" t="str">
        <f>"1551601142303696"</f>
        <v>1551601142303696</v>
      </c>
      <c r="C1257" t="s">
        <v>40</v>
      </c>
      <c r="D1257">
        <v>4.7873020000000004</v>
      </c>
      <c r="E1257">
        <v>0.53781290000000004</v>
      </c>
      <c r="F1257" t="s">
        <v>42</v>
      </c>
      <c r="G1257">
        <v>-263.92090000000002</v>
      </c>
      <c r="H1257">
        <v>0.86506309999999997</v>
      </c>
      <c r="I1257">
        <v>367.33690000000001</v>
      </c>
      <c r="J1257">
        <v>-264.54559999999998</v>
      </c>
      <c r="K1257">
        <v>1.1216549999999901</v>
      </c>
      <c r="L1257">
        <v>367.3963</v>
      </c>
      <c r="M1257">
        <v>0.99987570000000003</v>
      </c>
      <c r="N1257">
        <v>-1.499559E-2</v>
      </c>
      <c r="O1257">
        <v>4.8822880000000003E-3</v>
      </c>
      <c r="P1257">
        <v>0.9878055</v>
      </c>
      <c r="Q1257">
        <v>0.15508759999999999</v>
      </c>
      <c r="R1257">
        <v>1.3718599999999999E-2</v>
      </c>
      <c r="S1257">
        <v>3.2102050000000002</v>
      </c>
      <c r="T1257">
        <v>-1.075496</v>
      </c>
      <c r="U1257">
        <v>-0.24502560000000001</v>
      </c>
      <c r="V1257">
        <v>-8.8884480000000002E-3</v>
      </c>
      <c r="W1257">
        <v>0.1698839</v>
      </c>
      <c r="X1257">
        <v>0.98542399999999997</v>
      </c>
      <c r="Y1257">
        <v>7.6384930000000004E-2</v>
      </c>
      <c r="Z1257">
        <v>-1.454681E-2</v>
      </c>
      <c r="AA1257">
        <v>0.99697230000000003</v>
      </c>
      <c r="AB1257">
        <v>26</v>
      </c>
      <c r="AC1257">
        <v>0.62469999999996095</v>
      </c>
      <c r="AD1257">
        <v>-0.25659189999999898</v>
      </c>
      <c r="AE1257">
        <v>-5.93999999999823E-2</v>
      </c>
      <c r="AF1257">
        <v>5.3503810872966198E-2</v>
      </c>
      <c r="AG1257">
        <v>-0.25659189999999898</v>
      </c>
      <c r="AH1257">
        <v>0.53495801308953495</v>
      </c>
      <c r="AI1257">
        <v>115.513629212114</v>
      </c>
      <c r="AJ1257">
        <v>84.288557506431502</v>
      </c>
      <c r="AK1257">
        <v>0.59571984748893803</v>
      </c>
      <c r="AL1257">
        <v>80.218931190191796</v>
      </c>
      <c r="AM1257">
        <v>90.516789469556102</v>
      </c>
      <c r="AN1257">
        <v>1.0000000018815201</v>
      </c>
    </row>
    <row r="1258" spans="1:40" x14ac:dyDescent="0.25">
      <c r="A1258" t="str">
        <f>"20190303161902319"</f>
        <v>20190303161902319</v>
      </c>
      <c r="B1258" t="str">
        <f>"1551601142314432"</f>
        <v>1551601142314432</v>
      </c>
      <c r="C1258" t="s">
        <v>40</v>
      </c>
      <c r="D1258">
        <v>4.8059890000000003</v>
      </c>
      <c r="E1258">
        <v>0.53780899999999998</v>
      </c>
      <c r="F1258" t="s">
        <v>42</v>
      </c>
      <c r="G1258">
        <v>-263.69720000000001</v>
      </c>
      <c r="H1258">
        <v>0.83851359999999997</v>
      </c>
      <c r="I1258">
        <v>367.33069999999998</v>
      </c>
      <c r="J1258">
        <v>-264.3929</v>
      </c>
      <c r="K1258">
        <v>1.1216569999999999</v>
      </c>
      <c r="L1258">
        <v>367.39699999999999</v>
      </c>
      <c r="M1258">
        <v>0.99987570000000003</v>
      </c>
      <c r="N1258">
        <v>-1.4994399999999901E-2</v>
      </c>
      <c r="O1258">
        <v>4.8822969999999999E-3</v>
      </c>
      <c r="P1258">
        <v>0.98785690000000004</v>
      </c>
      <c r="Q1258">
        <v>0.1547703</v>
      </c>
      <c r="R1258">
        <v>1.358792E-2</v>
      </c>
      <c r="S1258">
        <v>3.2085880000000002</v>
      </c>
      <c r="T1258">
        <v>-1.070819</v>
      </c>
      <c r="U1258">
        <v>-0.2470398</v>
      </c>
      <c r="V1258">
        <v>-8.7578350000000003E-3</v>
      </c>
      <c r="W1258">
        <v>0.1695662</v>
      </c>
      <c r="X1258">
        <v>0.98547989999999996</v>
      </c>
      <c r="Y1258">
        <v>7.7042139999999995E-2</v>
      </c>
      <c r="Z1258">
        <v>-1.4606829999999999E-2</v>
      </c>
      <c r="AA1258">
        <v>0.99692080000000005</v>
      </c>
      <c r="AB1258">
        <v>26</v>
      </c>
      <c r="AC1258">
        <v>0.695699999999987</v>
      </c>
      <c r="AD1258">
        <v>-0.28314339999999899</v>
      </c>
      <c r="AE1258">
        <v>-6.6300000000012405E-2</v>
      </c>
      <c r="AF1258">
        <v>5.9868720562517297E-2</v>
      </c>
      <c r="AG1258">
        <v>-0.28314339999999899</v>
      </c>
      <c r="AH1258">
        <v>0.59731789798669199</v>
      </c>
      <c r="AI1258">
        <v>115.251443908985</v>
      </c>
      <c r="AJ1258">
        <v>84.276402564989596</v>
      </c>
      <c r="AK1258">
        <v>0.66373422385815894</v>
      </c>
      <c r="AL1258">
        <v>80.237402169806401</v>
      </c>
      <c r="AM1258">
        <v>90.509166928723502</v>
      </c>
      <c r="AN1258">
        <v>1.00000001458016</v>
      </c>
    </row>
    <row r="1259" spans="1:40" x14ac:dyDescent="0.25">
      <c r="A1259" t="str">
        <f>"20190303161902332"</f>
        <v>20190303161902332</v>
      </c>
      <c r="B1259" t="str">
        <f>"1551601142324192"</f>
        <v>1551601142324192</v>
      </c>
      <c r="C1259" t="s">
        <v>40</v>
      </c>
      <c r="D1259">
        <v>4.8028769999999996</v>
      </c>
      <c r="E1259">
        <v>0.53777869999999905</v>
      </c>
      <c r="F1259" t="s">
        <v>42</v>
      </c>
      <c r="G1259">
        <v>-263.67930000000001</v>
      </c>
      <c r="H1259">
        <v>0.88371429999999995</v>
      </c>
      <c r="I1259">
        <v>367.34190000000001</v>
      </c>
      <c r="J1259">
        <v>-264.26010000000002</v>
      </c>
      <c r="K1259">
        <v>1.121656</v>
      </c>
      <c r="L1259">
        <v>367.39769999999999</v>
      </c>
      <c r="M1259">
        <v>0.99987579999999998</v>
      </c>
      <c r="N1259">
        <v>-1.499323E-2</v>
      </c>
      <c r="O1259">
        <v>4.8821280000000003E-3</v>
      </c>
      <c r="P1259">
        <v>0.98786470000000004</v>
      </c>
      <c r="Q1259">
        <v>0.15473629999999999</v>
      </c>
      <c r="R1259">
        <v>1.34202E-2</v>
      </c>
      <c r="S1259">
        <v>3.2078250000000001</v>
      </c>
      <c r="T1259">
        <v>-1.0695429999999999</v>
      </c>
      <c r="U1259">
        <v>-0.2468262</v>
      </c>
      <c r="V1259">
        <v>-8.5896600000000007E-3</v>
      </c>
      <c r="W1259">
        <v>0.16953099999999999</v>
      </c>
      <c r="X1259">
        <v>0.98548740000000001</v>
      </c>
      <c r="Y1259">
        <v>7.7004630000000004E-2</v>
      </c>
      <c r="Z1259">
        <v>-1.4587599999999999E-2</v>
      </c>
      <c r="AA1259">
        <v>0.99692400000000003</v>
      </c>
      <c r="AB1259">
        <v>26</v>
      </c>
      <c r="AC1259">
        <v>0.58080000000000997</v>
      </c>
      <c r="AD1259">
        <v>-0.23794170000000001</v>
      </c>
      <c r="AE1259">
        <v>-5.57999999999765E-2</v>
      </c>
      <c r="AF1259">
        <v>5.02744487842589E-2</v>
      </c>
      <c r="AG1259">
        <v>-0.23794170000000001</v>
      </c>
      <c r="AH1259">
        <v>0.49774466072273599</v>
      </c>
      <c r="AI1259">
        <v>115.436682201849</v>
      </c>
      <c r="AJ1259">
        <v>84.232428980346896</v>
      </c>
      <c r="AK1259">
        <v>0.55397971088970599</v>
      </c>
      <c r="AL1259">
        <v>80.239448258156798</v>
      </c>
      <c r="AM1259">
        <v>90.499386194983003</v>
      </c>
      <c r="AN1259">
        <v>0.999999978889337</v>
      </c>
    </row>
    <row r="1260" spans="1:40" x14ac:dyDescent="0.25">
      <c r="A1260" t="str">
        <f>"20190303161902342"</f>
        <v>20190303161902342</v>
      </c>
      <c r="B1260" t="str">
        <f>"1551601142333951"</f>
        <v>1551601142333951</v>
      </c>
      <c r="C1260" t="s">
        <v>40</v>
      </c>
      <c r="D1260">
        <v>4.8156600000000003</v>
      </c>
      <c r="E1260">
        <v>0.53774880000000003</v>
      </c>
      <c r="F1260" t="s">
        <v>42</v>
      </c>
      <c r="G1260">
        <v>-263.4572</v>
      </c>
      <c r="H1260">
        <v>0.8541938</v>
      </c>
      <c r="I1260">
        <v>367.33539999999999</v>
      </c>
      <c r="J1260">
        <v>-264.11919999999998</v>
      </c>
      <c r="K1260">
        <v>1.1216569999999999</v>
      </c>
      <c r="L1260">
        <v>367.39830000000001</v>
      </c>
      <c r="M1260">
        <v>0.99987579999999998</v>
      </c>
      <c r="N1260">
        <v>-1.4991859999999999E-2</v>
      </c>
      <c r="O1260">
        <v>4.8821389999999997E-3</v>
      </c>
      <c r="P1260">
        <v>0.98789530000000003</v>
      </c>
      <c r="Q1260">
        <v>0.1545628</v>
      </c>
      <c r="R1260">
        <v>1.3171810000000001E-2</v>
      </c>
      <c r="S1260">
        <v>3.2075809999999998</v>
      </c>
      <c r="T1260">
        <v>-1.0685530000000001</v>
      </c>
      <c r="U1260">
        <v>-0.2472839</v>
      </c>
      <c r="V1260">
        <v>-8.3413250000000001E-3</v>
      </c>
      <c r="W1260">
        <v>0.16935710000000001</v>
      </c>
      <c r="X1260">
        <v>0.98551949999999999</v>
      </c>
      <c r="Y1260">
        <v>7.7151159999999996E-2</v>
      </c>
      <c r="Z1260">
        <v>-1.4600989999999999E-2</v>
      </c>
      <c r="AA1260">
        <v>0.99691249999999998</v>
      </c>
      <c r="AB1260">
        <v>26</v>
      </c>
      <c r="AC1260">
        <v>0.66199999999997705</v>
      </c>
      <c r="AD1260">
        <v>-0.26746319999999901</v>
      </c>
      <c r="AE1260">
        <v>-6.2900000000013195E-2</v>
      </c>
      <c r="AF1260">
        <v>5.6922934021386498E-2</v>
      </c>
      <c r="AG1260">
        <v>-0.26746319999999901</v>
      </c>
      <c r="AH1260">
        <v>0.56954704063978201</v>
      </c>
      <c r="AI1260">
        <v>115.045690791227</v>
      </c>
      <c r="AJ1260">
        <v>84.292571265985799</v>
      </c>
      <c r="AK1260">
        <v>0.63179159164504295</v>
      </c>
      <c r="AL1260">
        <v>80.249558836365907</v>
      </c>
      <c r="AM1260">
        <v>90.484933384029105</v>
      </c>
      <c r="AN1260">
        <v>1.0000000449516999</v>
      </c>
    </row>
    <row r="1261" spans="1:40" x14ac:dyDescent="0.25">
      <c r="A1261" t="str">
        <f>"20190303161902354"</f>
        <v>20190303161902354</v>
      </c>
      <c r="B1261" t="str">
        <f>"1551601142343712"</f>
        <v>1551601142343712</v>
      </c>
      <c r="C1261" t="s">
        <v>40</v>
      </c>
      <c r="D1261">
        <v>4.808948</v>
      </c>
      <c r="E1261">
        <v>0.53771689999999905</v>
      </c>
      <c r="F1261" t="s">
        <v>42</v>
      </c>
      <c r="G1261">
        <v>-263.44040000000001</v>
      </c>
      <c r="H1261">
        <v>0.89553959999999999</v>
      </c>
      <c r="I1261">
        <v>367.34550000000002</v>
      </c>
      <c r="J1261">
        <v>-263.98630000000003</v>
      </c>
      <c r="K1261">
        <v>1.121658</v>
      </c>
      <c r="L1261">
        <v>367.399</v>
      </c>
      <c r="M1261">
        <v>0.99987579999999998</v>
      </c>
      <c r="N1261">
        <v>-1.4990379999999999E-2</v>
      </c>
      <c r="O1261">
        <v>4.8820309999999898E-3</v>
      </c>
      <c r="P1261">
        <v>0.98788929999999997</v>
      </c>
      <c r="Q1261">
        <v>0.1546035</v>
      </c>
      <c r="R1261">
        <v>1.314909E-2</v>
      </c>
      <c r="S1261">
        <v>3.207214</v>
      </c>
      <c r="T1261">
        <v>-1.0683560000000001</v>
      </c>
      <c r="U1261">
        <v>-0.2479248</v>
      </c>
      <c r="V1261">
        <v>-8.3191800000000007E-3</v>
      </c>
      <c r="W1261">
        <v>0.16939609999999999</v>
      </c>
      <c r="X1261">
        <v>0.98551290000000003</v>
      </c>
      <c r="Y1261">
        <v>7.7347490000000005E-2</v>
      </c>
      <c r="Z1261">
        <v>-1.4633180000000001E-2</v>
      </c>
      <c r="AA1261">
        <v>0.99689680000000003</v>
      </c>
      <c r="AB1261">
        <v>26</v>
      </c>
      <c r="AC1261">
        <v>0.54590000000001704</v>
      </c>
      <c r="AD1261">
        <v>-0.226118399999999</v>
      </c>
      <c r="AE1261">
        <v>-5.34999999999854E-2</v>
      </c>
      <c r="AF1261">
        <v>4.8006553647352602E-2</v>
      </c>
      <c r="AG1261">
        <v>-0.226118399999999</v>
      </c>
      <c r="AH1261">
        <v>0.46637649682335602</v>
      </c>
      <c r="AI1261">
        <v>115.747666045119</v>
      </c>
      <c r="AJ1261">
        <v>84.122946755687593</v>
      </c>
      <c r="AK1261">
        <v>0.52052012141787796</v>
      </c>
      <c r="AL1261">
        <v>80.247290722558006</v>
      </c>
      <c r="AM1261">
        <v>90.483649256767393</v>
      </c>
      <c r="AN1261">
        <v>0.99999996175874495</v>
      </c>
    </row>
    <row r="1262" spans="1:40" x14ac:dyDescent="0.25">
      <c r="A1262" t="str">
        <f>"20190303161902367"</f>
        <v>20190303161902367</v>
      </c>
      <c r="B1262" t="str">
        <f>"1551601142364208"</f>
        <v>1551601142364208</v>
      </c>
      <c r="C1262" t="s">
        <v>40</v>
      </c>
      <c r="D1262">
        <v>4.8278470000000002</v>
      </c>
      <c r="E1262">
        <v>0.53776829999999998</v>
      </c>
      <c r="F1262" t="s">
        <v>42</v>
      </c>
      <c r="G1262">
        <v>-263.21910000000003</v>
      </c>
      <c r="H1262">
        <v>0.86619809999999997</v>
      </c>
      <c r="I1262">
        <v>367.33949999999999</v>
      </c>
      <c r="J1262">
        <v>-263.84199999999998</v>
      </c>
      <c r="K1262">
        <v>1.121658</v>
      </c>
      <c r="L1262">
        <v>367.3997</v>
      </c>
      <c r="M1262">
        <v>0.99987579999999998</v>
      </c>
      <c r="N1262">
        <v>-1.4988690000000001E-2</v>
      </c>
      <c r="O1262">
        <v>4.8821630000000001E-3</v>
      </c>
      <c r="P1262">
        <v>0.98792380000000002</v>
      </c>
      <c r="Q1262">
        <v>0.15439800000000001</v>
      </c>
      <c r="R1262">
        <v>1.295441E-2</v>
      </c>
      <c r="S1262">
        <v>3.207214</v>
      </c>
      <c r="T1262">
        <v>-1.0678449999999999</v>
      </c>
      <c r="U1262">
        <v>-0.2477722</v>
      </c>
      <c r="V1262">
        <v>-8.1239840000000008E-3</v>
      </c>
      <c r="W1262">
        <v>0.16918929999999999</v>
      </c>
      <c r="X1262">
        <v>0.98555009999999998</v>
      </c>
      <c r="Y1262">
        <v>7.7306940000000005E-2</v>
      </c>
      <c r="Z1262">
        <v>-1.461989E-2</v>
      </c>
      <c r="AA1262">
        <v>0.99690009999999996</v>
      </c>
      <c r="AB1262">
        <v>26</v>
      </c>
      <c r="AC1262">
        <v>0.62289999999995804</v>
      </c>
      <c r="AD1262">
        <v>-0.25545990000000002</v>
      </c>
      <c r="AE1262">
        <v>-6.0200000000008899E-2</v>
      </c>
      <c r="AF1262">
        <v>5.4207716109712499E-2</v>
      </c>
      <c r="AG1262">
        <v>-0.25545990000000002</v>
      </c>
      <c r="AH1262">
        <v>0.53366957821508298</v>
      </c>
      <c r="AI1262">
        <v>115.46542599822401</v>
      </c>
      <c r="AJ1262">
        <v>84.200049183469403</v>
      </c>
      <c r="AK1262">
        <v>0.59413925615642105</v>
      </c>
      <c r="AL1262">
        <v>80.2593134867667</v>
      </c>
      <c r="AM1262">
        <v>90.472283909035895</v>
      </c>
      <c r="AN1262">
        <v>1.0000000089802601</v>
      </c>
    </row>
    <row r="1263" spans="1:40" x14ac:dyDescent="0.25">
      <c r="A1263" t="str">
        <f>"20190303161902378"</f>
        <v>20190303161902378</v>
      </c>
      <c r="B1263" t="str">
        <f>"1551601142373968"</f>
        <v>1551601142373968</v>
      </c>
      <c r="C1263" t="s">
        <v>40</v>
      </c>
      <c r="D1263">
        <v>4.8439370000000004</v>
      </c>
      <c r="E1263">
        <v>0.53782359999999996</v>
      </c>
      <c r="F1263" t="s">
        <v>42</v>
      </c>
      <c r="G1263">
        <v>-262.99639999999999</v>
      </c>
      <c r="H1263">
        <v>0.84040249999999905</v>
      </c>
      <c r="I1263">
        <v>367.3338</v>
      </c>
      <c r="J1263">
        <v>-263.70749999999998</v>
      </c>
      <c r="K1263">
        <v>1.121658</v>
      </c>
      <c r="L1263">
        <v>367.40030000000002</v>
      </c>
      <c r="M1263">
        <v>0.99987579999999998</v>
      </c>
      <c r="N1263">
        <v>-1.4986950000000001E-2</v>
      </c>
      <c r="O1263">
        <v>4.8821759999999898E-3</v>
      </c>
      <c r="P1263">
        <v>0.98787499999999995</v>
      </c>
      <c r="Q1263">
        <v>0.15469530000000001</v>
      </c>
      <c r="R1263">
        <v>1.312572E-2</v>
      </c>
      <c r="S1263">
        <v>3.206604</v>
      </c>
      <c r="T1263">
        <v>-1.066535</v>
      </c>
      <c r="U1263">
        <v>-0.24862670000000001</v>
      </c>
      <c r="V1263">
        <v>-8.2955589999999992E-3</v>
      </c>
      <c r="W1263">
        <v>0.16948450000000001</v>
      </c>
      <c r="X1263">
        <v>0.98549799999999999</v>
      </c>
      <c r="Y1263">
        <v>7.7579540000000002E-2</v>
      </c>
      <c r="Z1263">
        <v>-1.465197E-2</v>
      </c>
      <c r="AA1263">
        <v>0.9968785</v>
      </c>
      <c r="AB1263">
        <v>26</v>
      </c>
      <c r="AC1263">
        <v>0.71109999999998696</v>
      </c>
      <c r="AD1263">
        <v>-0.28125549999999999</v>
      </c>
      <c r="AE1263">
        <v>-6.6500000000019099E-2</v>
      </c>
      <c r="AF1263">
        <v>6.0576965108938702E-2</v>
      </c>
      <c r="AG1263">
        <v>-0.28125549999999999</v>
      </c>
      <c r="AH1263">
        <v>0.61533927911684505</v>
      </c>
      <c r="AI1263">
        <v>114.45960085983501</v>
      </c>
      <c r="AJ1263">
        <v>84.377643349887606</v>
      </c>
      <c r="AK1263">
        <v>0.67927656621298105</v>
      </c>
      <c r="AL1263">
        <v>80.242152432312906</v>
      </c>
      <c r="AM1263">
        <v>90.482283367223502</v>
      </c>
      <c r="AN1263">
        <v>1.0000000600216801</v>
      </c>
    </row>
    <row r="1264" spans="1:40" x14ac:dyDescent="0.25">
      <c r="A1264" t="str">
        <f>"20190303161902391"</f>
        <v>20190303161902391</v>
      </c>
      <c r="B1264" t="str">
        <f>"1551601142383728"</f>
        <v>1551601142383728</v>
      </c>
      <c r="C1264" t="s">
        <v>40</v>
      </c>
      <c r="D1264">
        <v>4.8655400000000002</v>
      </c>
      <c r="E1264">
        <v>0.53776729999999995</v>
      </c>
      <c r="F1264" t="s">
        <v>42</v>
      </c>
      <c r="G1264">
        <v>-262.98059999999998</v>
      </c>
      <c r="H1264">
        <v>0.88023779999999996</v>
      </c>
      <c r="I1264">
        <v>367.34379999999999</v>
      </c>
      <c r="J1264">
        <v>-263.5659</v>
      </c>
      <c r="K1264">
        <v>1.121661</v>
      </c>
      <c r="L1264">
        <v>367.40100000000001</v>
      </c>
      <c r="M1264">
        <v>0.99987590000000004</v>
      </c>
      <c r="N1264">
        <v>-1.498503E-2</v>
      </c>
      <c r="O1264">
        <v>4.8820720000000003E-3</v>
      </c>
      <c r="P1264">
        <v>0.98791870000000004</v>
      </c>
      <c r="Q1264">
        <v>0.1544382</v>
      </c>
      <c r="R1264">
        <v>1.287746E-2</v>
      </c>
      <c r="S1264">
        <v>3.206909</v>
      </c>
      <c r="T1264">
        <v>-1.0650409999999999</v>
      </c>
      <c r="U1264">
        <v>-0.24835209999999999</v>
      </c>
      <c r="V1264">
        <v>-8.0473309999999996E-3</v>
      </c>
      <c r="W1264">
        <v>0.1692255</v>
      </c>
      <c r="X1264">
        <v>0.98554450000000005</v>
      </c>
      <c r="Y1264">
        <v>7.7504580000000003E-2</v>
      </c>
      <c r="Z1264">
        <v>-1.4619129999999999E-2</v>
      </c>
      <c r="AA1264">
        <v>0.99688480000000002</v>
      </c>
      <c r="AB1264">
        <v>26</v>
      </c>
      <c r="AC1264">
        <v>0.58530000000001703</v>
      </c>
      <c r="AD1264">
        <v>-0.24142319999999901</v>
      </c>
      <c r="AE1264">
        <v>-5.7200000000023003E-2</v>
      </c>
      <c r="AF1264">
        <v>5.1395516765000003E-2</v>
      </c>
      <c r="AG1264">
        <v>-0.24142319999999901</v>
      </c>
      <c r="AH1264">
        <v>0.50064148256386698</v>
      </c>
      <c r="AI1264">
        <v>115.627339017406</v>
      </c>
      <c r="AJ1264">
        <v>84.138587406706407</v>
      </c>
      <c r="AK1264">
        <v>0.55818326265262397</v>
      </c>
      <c r="AL1264">
        <v>80.257208901073398</v>
      </c>
      <c r="AM1264">
        <v>90.467830580832796</v>
      </c>
      <c r="AN1264">
        <v>0.99999999543336104</v>
      </c>
    </row>
    <row r="1265" spans="1:40" x14ac:dyDescent="0.25">
      <c r="A1265" t="str">
        <f>"20190303161902402"</f>
        <v>20190303161902402</v>
      </c>
      <c r="B1265" t="str">
        <f>"1551601142394465"</f>
        <v>1551601142394465</v>
      </c>
      <c r="C1265" t="s">
        <v>40</v>
      </c>
      <c r="D1265">
        <v>4.8688070000000003</v>
      </c>
      <c r="E1265">
        <v>0.53761300000000001</v>
      </c>
      <c r="F1265" t="s">
        <v>42</v>
      </c>
      <c r="G1265">
        <v>-262.75880000000001</v>
      </c>
      <c r="H1265">
        <v>0.85334909999999997</v>
      </c>
      <c r="I1265">
        <v>367.3381</v>
      </c>
      <c r="J1265">
        <v>-263.42559999999997</v>
      </c>
      <c r="K1265">
        <v>1.1216619999999999</v>
      </c>
      <c r="L1265">
        <v>367.40170000000001</v>
      </c>
      <c r="M1265">
        <v>0.99987579999999998</v>
      </c>
      <c r="N1265">
        <v>-1.498302E-2</v>
      </c>
      <c r="O1265">
        <v>4.8822070000000004E-3</v>
      </c>
      <c r="P1265">
        <v>0.98789669999999896</v>
      </c>
      <c r="Q1265">
        <v>0.1545916</v>
      </c>
      <c r="R1265">
        <v>1.2722860000000001E-2</v>
      </c>
      <c r="S1265">
        <v>3.2065730000000001</v>
      </c>
      <c r="T1265">
        <v>-1.066036</v>
      </c>
      <c r="U1265">
        <v>-0.24874879999999999</v>
      </c>
      <c r="V1265">
        <v>-7.8925119999999904E-3</v>
      </c>
      <c r="W1265">
        <v>0.1693769</v>
      </c>
      <c r="X1265">
        <v>0.98551979999999995</v>
      </c>
      <c r="Y1265">
        <v>7.7619839999999996E-2</v>
      </c>
      <c r="Z1265">
        <v>-1.4652490000000001E-2</v>
      </c>
      <c r="AA1265">
        <v>0.99687530000000002</v>
      </c>
      <c r="AB1265">
        <v>26</v>
      </c>
      <c r="AC1265">
        <v>0.66679999999996598</v>
      </c>
      <c r="AD1265">
        <v>-0.26831290000000002</v>
      </c>
      <c r="AE1265">
        <v>-6.3600000000008095E-2</v>
      </c>
      <c r="AF1265">
        <v>5.7610976145488997E-2</v>
      </c>
      <c r="AG1265">
        <v>-0.26831290000000002</v>
      </c>
      <c r="AH1265">
        <v>0.57432673783009003</v>
      </c>
      <c r="AI1265">
        <v>114.93114024400499</v>
      </c>
      <c r="AJ1265">
        <v>84.271795783795696</v>
      </c>
      <c r="AK1265">
        <v>0.63652339993546103</v>
      </c>
      <c r="AL1265">
        <v>80.248407810802703</v>
      </c>
      <c r="AM1265">
        <v>90.458842085342596</v>
      </c>
      <c r="AN1265">
        <v>1.0000000510956499</v>
      </c>
    </row>
    <row r="1266" spans="1:40" x14ac:dyDescent="0.25">
      <c r="A1266" t="str">
        <f>"20190303161902416"</f>
        <v>20190303161902416</v>
      </c>
      <c r="B1266" t="str">
        <f>"1551601142413984"</f>
        <v>1551601142413984</v>
      </c>
      <c r="C1266" t="s">
        <v>40</v>
      </c>
      <c r="D1266">
        <v>4.8555830000000002</v>
      </c>
      <c r="E1266">
        <v>0.53789750000000003</v>
      </c>
      <c r="F1266" t="s">
        <v>42</v>
      </c>
      <c r="G1266">
        <v>-262.74200000000002</v>
      </c>
      <c r="H1266">
        <v>0.89460799999999996</v>
      </c>
      <c r="I1266">
        <v>367.34859999999998</v>
      </c>
      <c r="J1266">
        <v>-263.2602</v>
      </c>
      <c r="K1266">
        <v>1.1216630000000001</v>
      </c>
      <c r="L1266">
        <v>367.40249999999997</v>
      </c>
      <c r="M1266">
        <v>0.99987599999999999</v>
      </c>
      <c r="N1266">
        <v>-1.4980500000000001E-2</v>
      </c>
      <c r="O1266">
        <v>4.8821070000000001E-3</v>
      </c>
      <c r="P1266">
        <v>0.98790999999999995</v>
      </c>
      <c r="Q1266">
        <v>0.15451999999999999</v>
      </c>
      <c r="R1266">
        <v>1.25551E-2</v>
      </c>
      <c r="S1266">
        <v>3.2066349999999999</v>
      </c>
      <c r="T1266">
        <v>-1.0651299999999999</v>
      </c>
      <c r="U1266">
        <v>-0.24771119999999999</v>
      </c>
      <c r="V1266">
        <v>-7.7248450000000001E-3</v>
      </c>
      <c r="W1266">
        <v>0.1693035</v>
      </c>
      <c r="X1266">
        <v>0.98553369999999996</v>
      </c>
      <c r="Y1266">
        <v>7.7321860000000006E-2</v>
      </c>
      <c r="Z1266">
        <v>-1.459042E-2</v>
      </c>
      <c r="AA1266">
        <v>0.99689939999999999</v>
      </c>
      <c r="AB1266">
        <v>26</v>
      </c>
      <c r="AC1266">
        <v>0.51819999999997801</v>
      </c>
      <c r="AD1266">
        <v>-0.22705499999999901</v>
      </c>
      <c r="AE1266">
        <v>-5.3899999999998699E-2</v>
      </c>
      <c r="AF1266">
        <v>4.7422571524692203E-2</v>
      </c>
      <c r="AG1266">
        <v>-0.22705499999999901</v>
      </c>
      <c r="AH1266">
        <v>0.43526137737593301</v>
      </c>
      <c r="AI1266">
        <v>117.41049725084601</v>
      </c>
      <c r="AJ1266">
        <v>83.782039744961807</v>
      </c>
      <c r="AK1266">
        <v>0.493209225329584</v>
      </c>
      <c r="AL1266">
        <v>80.252674554495599</v>
      </c>
      <c r="AM1266">
        <v>90.449088602513598</v>
      </c>
      <c r="AN1266">
        <v>1.0000000110891001</v>
      </c>
    </row>
    <row r="1267" spans="1:40" x14ac:dyDescent="0.25">
      <c r="A1267" t="str">
        <f>"20190303161902430"</f>
        <v>20190303161902430</v>
      </c>
      <c r="B1267" t="str">
        <f>"1551601142423744"</f>
        <v>1551601142423744</v>
      </c>
      <c r="C1267" t="s">
        <v>40</v>
      </c>
      <c r="D1267">
        <v>4.8396569999999999</v>
      </c>
      <c r="E1267">
        <v>0.53789750000000003</v>
      </c>
      <c r="F1267" t="s">
        <v>42</v>
      </c>
      <c r="G1267">
        <v>-262.505</v>
      </c>
      <c r="H1267">
        <v>0.90633980000000003</v>
      </c>
      <c r="I1267">
        <v>367.3426</v>
      </c>
      <c r="J1267">
        <v>-263.1103</v>
      </c>
      <c r="K1267">
        <v>1.121664</v>
      </c>
      <c r="L1267">
        <v>367.40320000000003</v>
      </c>
      <c r="M1267">
        <v>0.99987599999999999</v>
      </c>
      <c r="N1267">
        <v>-1.4978119999999999E-2</v>
      </c>
      <c r="O1267">
        <v>4.8819459999999999E-3</v>
      </c>
      <c r="P1267">
        <v>0.98788719999999997</v>
      </c>
      <c r="Q1267">
        <v>0.15468009999999999</v>
      </c>
      <c r="R1267">
        <v>1.236368E-2</v>
      </c>
      <c r="S1267">
        <v>3.1818240000000002</v>
      </c>
      <c r="T1267">
        <v>-0.90726549999999995</v>
      </c>
      <c r="U1267">
        <v>-0.25122070000000002</v>
      </c>
      <c r="V1267">
        <v>-7.5333730000000003E-3</v>
      </c>
      <c r="W1267">
        <v>0.1694609</v>
      </c>
      <c r="X1267">
        <v>0.9855081</v>
      </c>
      <c r="Y1267">
        <v>8.0056749999999996E-2</v>
      </c>
      <c r="Z1267">
        <v>-1.3078319999999999E-2</v>
      </c>
      <c r="AA1267">
        <v>0.99670449999999999</v>
      </c>
      <c r="AB1267">
        <v>26</v>
      </c>
      <c r="AC1267">
        <v>0.60529999999999895</v>
      </c>
      <c r="AD1267">
        <v>-0.21532419999999899</v>
      </c>
      <c r="AE1267">
        <v>-6.0600000000022101E-2</v>
      </c>
      <c r="AF1267">
        <v>5.6478513263992801E-2</v>
      </c>
      <c r="AG1267">
        <v>-0.21532419999999899</v>
      </c>
      <c r="AH1267">
        <v>0.53763690513453499</v>
      </c>
      <c r="AI1267">
        <v>111.71785860784701</v>
      </c>
      <c r="AJ1267">
        <v>84.003099195670501</v>
      </c>
      <c r="AK1267">
        <v>0.58190014205943597</v>
      </c>
      <c r="AL1267">
        <v>80.2435236880481</v>
      </c>
      <c r="AM1267">
        <v>90.4379690755773</v>
      </c>
      <c r="AN1267">
        <v>0.999999981751588</v>
      </c>
    </row>
    <row r="1268" spans="1:40" x14ac:dyDescent="0.25">
      <c r="A1268" t="str">
        <f>"20190303161902446"</f>
        <v>20190303161902446</v>
      </c>
      <c r="B1268" t="str">
        <f>"1551601142434480"</f>
        <v>1551601142434480</v>
      </c>
      <c r="C1268" t="s">
        <v>40</v>
      </c>
      <c r="D1268">
        <v>4.894857</v>
      </c>
      <c r="E1268">
        <v>0.54616809999999905</v>
      </c>
      <c r="F1268" t="s">
        <v>42</v>
      </c>
      <c r="G1268">
        <v>-262.28210000000001</v>
      </c>
      <c r="H1268">
        <v>0.88566409999999995</v>
      </c>
      <c r="I1268">
        <v>367.33769999999998</v>
      </c>
      <c r="J1268">
        <v>-262.93329999999997</v>
      </c>
      <c r="K1268">
        <v>1.1216660000000001</v>
      </c>
      <c r="L1268">
        <v>367.40410000000003</v>
      </c>
      <c r="M1268">
        <v>0.99987599999999999</v>
      </c>
      <c r="N1268">
        <v>-1.4975199999999999E-2</v>
      </c>
      <c r="O1268">
        <v>4.8819689999999999E-3</v>
      </c>
      <c r="P1268">
        <v>0.98789229999999995</v>
      </c>
      <c r="Q1268">
        <v>0.15465290000000001</v>
      </c>
      <c r="R1268">
        <v>1.231839E-2</v>
      </c>
      <c r="S1268">
        <v>3.1819459999999999</v>
      </c>
      <c r="T1268">
        <v>-0.90676440000000003</v>
      </c>
      <c r="U1268">
        <v>-0.25164789999999998</v>
      </c>
      <c r="V1268">
        <v>-7.4882999999999998E-3</v>
      </c>
      <c r="W1268">
        <v>0.16943039999999901</v>
      </c>
      <c r="X1268">
        <v>0.98551369999999905</v>
      </c>
      <c r="Y1268">
        <v>8.0185439999999997E-2</v>
      </c>
      <c r="Z1268">
        <v>-1.308995E-2</v>
      </c>
      <c r="AA1268">
        <v>0.99669399999999997</v>
      </c>
      <c r="AB1268">
        <v>26</v>
      </c>
      <c r="AC1268">
        <v>0.65119999999996003</v>
      </c>
      <c r="AD1268">
        <v>-0.23600189999999999</v>
      </c>
      <c r="AE1268">
        <v>-6.6400000000044201E-2</v>
      </c>
      <c r="AF1268">
        <v>6.15746147111337E-2</v>
      </c>
      <c r="AG1268">
        <v>-0.23600189999999999</v>
      </c>
      <c r="AH1268">
        <v>0.57599447715566399</v>
      </c>
      <c r="AI1268">
        <v>112.16638235611801</v>
      </c>
      <c r="AJ1268">
        <v>83.898174373588901</v>
      </c>
      <c r="AK1268">
        <v>0.62550616918961</v>
      </c>
      <c r="AL1268">
        <v>80.245296970600606</v>
      </c>
      <c r="AM1268">
        <v>90.435346285848595</v>
      </c>
      <c r="AN1268">
        <v>0.99999999398436901</v>
      </c>
    </row>
    <row r="1269" spans="1:40" x14ac:dyDescent="0.25">
      <c r="A1269" t="str">
        <f>"20190303161902458"</f>
        <v>20190303161902458</v>
      </c>
      <c r="B1269" t="str">
        <f>"1551601142454000"</f>
        <v>1551601142454000</v>
      </c>
      <c r="C1269" t="s">
        <v>40</v>
      </c>
      <c r="D1269">
        <v>4.9486169999999996</v>
      </c>
      <c r="E1269">
        <v>0.54387779999999997</v>
      </c>
      <c r="F1269" t="s">
        <v>42</v>
      </c>
      <c r="G1269">
        <v>-261.99680000000001</v>
      </c>
      <c r="H1269">
        <v>0.99811760000000005</v>
      </c>
      <c r="I1269">
        <v>367.3066</v>
      </c>
      <c r="J1269">
        <v>-262.77339999999998</v>
      </c>
      <c r="K1269">
        <v>1.1216649999999999</v>
      </c>
      <c r="L1269">
        <v>367.4049</v>
      </c>
      <c r="M1269">
        <v>0.99987599999999999</v>
      </c>
      <c r="N1269">
        <v>-1.497243E-2</v>
      </c>
      <c r="O1269">
        <v>4.8821680000000001E-3</v>
      </c>
      <c r="P1269">
        <v>0.98786759999999996</v>
      </c>
      <c r="Q1269">
        <v>0.15484189999999901</v>
      </c>
      <c r="R1269">
        <v>1.190269E-2</v>
      </c>
      <c r="S1269">
        <v>3.1049500000000001</v>
      </c>
      <c r="T1269">
        <v>-0.40989179999999997</v>
      </c>
      <c r="U1269">
        <v>-0.32235720000000001</v>
      </c>
      <c r="V1269">
        <v>-7.0726519999999996E-3</v>
      </c>
      <c r="W1269">
        <v>0.16961599999999999</v>
      </c>
      <c r="X1269">
        <v>0.98548480000000005</v>
      </c>
      <c r="Y1269">
        <v>0.10706259999999999</v>
      </c>
      <c r="Z1269">
        <v>-8.3926019999999903E-3</v>
      </c>
      <c r="AA1269">
        <v>0.99421689999999996</v>
      </c>
      <c r="AB1269">
        <v>26</v>
      </c>
      <c r="AC1269">
        <v>0.77659999999997298</v>
      </c>
      <c r="AD1269">
        <v>-0.123547399999999</v>
      </c>
      <c r="AE1269">
        <v>-9.8299999999994697E-2</v>
      </c>
      <c r="AF1269">
        <v>9.96094969982321E-2</v>
      </c>
      <c r="AG1269">
        <v>-0.123547399999999</v>
      </c>
      <c r="AH1269">
        <v>0.75724791374728095</v>
      </c>
      <c r="AI1269">
        <v>99.188556493699494</v>
      </c>
      <c r="AJ1269">
        <v>82.506253622646398</v>
      </c>
      <c r="AK1269">
        <v>0.77369917591633197</v>
      </c>
      <c r="AL1269">
        <v>80.234506268219405</v>
      </c>
      <c r="AM1269">
        <v>90.411194726044599</v>
      </c>
      <c r="AN1269">
        <v>0.999999950446675</v>
      </c>
    </row>
    <row r="1270" spans="1:40" x14ac:dyDescent="0.25">
      <c r="A1270" t="str">
        <f>"20190303161902474"</f>
        <v>20190303161902474</v>
      </c>
      <c r="B1270" t="str">
        <f>"1551601142463760"</f>
        <v>1551601142463760</v>
      </c>
      <c r="C1270" t="s">
        <v>40</v>
      </c>
      <c r="D1270">
        <v>4.9325299999999999</v>
      </c>
      <c r="E1270">
        <v>0.54395729999999998</v>
      </c>
      <c r="F1270" t="s">
        <v>42</v>
      </c>
      <c r="G1270">
        <v>-261.9676</v>
      </c>
      <c r="H1270">
        <v>1.0508109999999999</v>
      </c>
      <c r="I1270">
        <v>367.32440000000003</v>
      </c>
      <c r="J1270">
        <v>-262.6035</v>
      </c>
      <c r="K1270">
        <v>1.1216630000000001</v>
      </c>
      <c r="L1270">
        <v>367.40570000000002</v>
      </c>
      <c r="M1270">
        <v>0.99987610000000005</v>
      </c>
      <c r="N1270">
        <v>-1.4969400000000001E-2</v>
      </c>
      <c r="O1270">
        <v>4.8820119999999998E-3</v>
      </c>
      <c r="P1270">
        <v>0.98789839999999995</v>
      </c>
      <c r="Q1270">
        <v>0.15465100000000001</v>
      </c>
      <c r="R1270">
        <v>1.183154E-2</v>
      </c>
      <c r="S1270">
        <v>3.0830989999999998</v>
      </c>
      <c r="T1270">
        <v>-0.27144859999999998</v>
      </c>
      <c r="U1270">
        <v>-0.30688480000000001</v>
      </c>
      <c r="V1270">
        <v>-7.0014600000000001E-3</v>
      </c>
      <c r="W1270">
        <v>0.16942289999999999</v>
      </c>
      <c r="X1270">
        <v>0.98551860000000002</v>
      </c>
      <c r="Y1270">
        <v>0.1034284</v>
      </c>
      <c r="Z1270">
        <v>-5.6662090000000002E-3</v>
      </c>
      <c r="AA1270">
        <v>0.99462070000000002</v>
      </c>
      <c r="AB1270">
        <v>26</v>
      </c>
      <c r="AC1270">
        <v>0.63589999999999203</v>
      </c>
      <c r="AD1270">
        <v>-7.0851999999999596E-2</v>
      </c>
      <c r="AE1270">
        <v>-8.1299999999998804E-2</v>
      </c>
      <c r="AF1270">
        <v>8.3385317951925497E-2</v>
      </c>
      <c r="AG1270">
        <v>-7.0851999999999596E-2</v>
      </c>
      <c r="AH1270">
        <v>0.62782671228315501</v>
      </c>
      <c r="AI1270">
        <v>96.383162248275696</v>
      </c>
      <c r="AJ1270">
        <v>82.434492155531998</v>
      </c>
      <c r="AK1270">
        <v>0.63729074825405996</v>
      </c>
      <c r="AL1270">
        <v>80.245733300228906</v>
      </c>
      <c r="AM1270">
        <v>90.407041896178299</v>
      </c>
      <c r="AN1270">
        <v>1.00000002521625</v>
      </c>
    </row>
    <row r="1271" spans="1:40" x14ac:dyDescent="0.25">
      <c r="A1271" t="str">
        <f>"20190303161902488"</f>
        <v>20190303161902488</v>
      </c>
      <c r="B1271" t="str">
        <f>"1551601142484256"</f>
        <v>1551601142484256</v>
      </c>
      <c r="C1271" t="s">
        <v>40</v>
      </c>
      <c r="D1271">
        <v>4.9249359999999998</v>
      </c>
      <c r="E1271">
        <v>0.54404200000000003</v>
      </c>
      <c r="F1271" t="s">
        <v>41</v>
      </c>
      <c r="G1271">
        <v>-248.553</v>
      </c>
      <c r="H1271" s="1">
        <v>-1.5019799999999899E-6</v>
      </c>
      <c r="I1271">
        <v>366.00049999999999</v>
      </c>
      <c r="J1271">
        <v>-262.44130000000001</v>
      </c>
      <c r="K1271">
        <v>1.121664</v>
      </c>
      <c r="L1271">
        <v>367.40649999999999</v>
      </c>
      <c r="M1271">
        <v>0.99987610000000005</v>
      </c>
      <c r="N1271">
        <v>-1.4966429999999999E-2</v>
      </c>
      <c r="O1271">
        <v>4.8820349999999998E-3</v>
      </c>
      <c r="P1271">
        <v>0.98790900000000004</v>
      </c>
      <c r="Q1271">
        <v>0.15459609999999999</v>
      </c>
      <c r="R1271">
        <v>1.166786E-2</v>
      </c>
      <c r="S1271">
        <v>3.0789179999999998</v>
      </c>
      <c r="T1271">
        <v>-0.24579309999999999</v>
      </c>
      <c r="U1271">
        <v>-0.30792239999999999</v>
      </c>
      <c r="V1271">
        <v>-6.8379929999999997E-3</v>
      </c>
      <c r="W1271">
        <v>0.16936509999999999</v>
      </c>
      <c r="X1271">
        <v>0.98552969999999895</v>
      </c>
      <c r="Y1271">
        <v>0.1039708</v>
      </c>
      <c r="Z1271">
        <v>-5.2300549999999999E-3</v>
      </c>
      <c r="AA1271">
        <v>0.99456659999999997</v>
      </c>
      <c r="AB1271">
        <v>26</v>
      </c>
      <c r="AC1271">
        <v>13.888299999999999</v>
      </c>
      <c r="AD1271">
        <v>-1.1216655019799999</v>
      </c>
      <c r="AE1271">
        <v>-1.4059999999999999</v>
      </c>
      <c r="AF1271">
        <v>1.4643394268883301</v>
      </c>
      <c r="AG1271">
        <v>-1.1216655019799999</v>
      </c>
      <c r="AH1271">
        <v>13.7922194520459</v>
      </c>
      <c r="AI1271">
        <v>94.623529674220904</v>
      </c>
      <c r="AJ1271">
        <v>83.939530033907701</v>
      </c>
      <c r="AK1271">
        <v>13.9150185364183</v>
      </c>
      <c r="AL1271">
        <v>80.249093726582004</v>
      </c>
      <c r="AM1271">
        <v>90.397534292834905</v>
      </c>
      <c r="AN1271">
        <v>1.0000000424141799</v>
      </c>
    </row>
    <row r="1272" spans="1:40" x14ac:dyDescent="0.25">
      <c r="A1272" t="str">
        <f>"20190303161902500"</f>
        <v>20190303161902500</v>
      </c>
      <c r="B1272" t="str">
        <f>"1551601142494017"</f>
        <v>1551601142494017</v>
      </c>
      <c r="C1272" t="s">
        <v>40</v>
      </c>
      <c r="D1272">
        <v>4.9531109999999998</v>
      </c>
      <c r="E1272">
        <v>0.54390190000000005</v>
      </c>
      <c r="F1272" t="s">
        <v>41</v>
      </c>
      <c r="G1272">
        <v>-246.8075</v>
      </c>
      <c r="H1272" s="1">
        <v>-2.2161249999999999E-6</v>
      </c>
      <c r="I1272">
        <v>365.83580000000001</v>
      </c>
      <c r="J1272">
        <v>-262.29340000000002</v>
      </c>
      <c r="K1272">
        <v>1.121664</v>
      </c>
      <c r="L1272">
        <v>367.40719999999999</v>
      </c>
      <c r="M1272">
        <v>0.99987610000000005</v>
      </c>
      <c r="N1272">
        <v>-1.496365E-2</v>
      </c>
      <c r="O1272">
        <v>4.8820560000000001E-3</v>
      </c>
      <c r="P1272">
        <v>0.98796779999999995</v>
      </c>
      <c r="Q1272">
        <v>0.1542335</v>
      </c>
      <c r="R1272">
        <v>1.1476510000000001E-2</v>
      </c>
      <c r="S1272">
        <v>3.0748899999999999</v>
      </c>
      <c r="T1272">
        <v>-0.2206119</v>
      </c>
      <c r="U1272">
        <v>-0.30892940000000002</v>
      </c>
      <c r="V1272">
        <v>-6.6462099999999996E-3</v>
      </c>
      <c r="W1272">
        <v>0.16900079999999901</v>
      </c>
      <c r="X1272">
        <v>0.98559350000000001</v>
      </c>
      <c r="Y1272">
        <v>0.1044924</v>
      </c>
      <c r="Z1272">
        <v>-4.795466E-3</v>
      </c>
      <c r="AA1272">
        <v>0.99451409999999996</v>
      </c>
      <c r="AB1272">
        <v>26</v>
      </c>
      <c r="AC1272">
        <v>15.485900000000001</v>
      </c>
      <c r="AD1272">
        <v>-1.1216662161249999</v>
      </c>
      <c r="AE1272">
        <v>-1.5713999999999799</v>
      </c>
      <c r="AF1272">
        <v>1.6384843705330701</v>
      </c>
      <c r="AG1272">
        <v>-1.1216662161249999</v>
      </c>
      <c r="AH1272">
        <v>15.3980830174002</v>
      </c>
      <c r="AI1272">
        <v>94.143018594859996</v>
      </c>
      <c r="AJ1272">
        <v>83.926107067294396</v>
      </c>
      <c r="AK1272">
        <v>15.5255829759666</v>
      </c>
      <c r="AL1272">
        <v>80.270271401270506</v>
      </c>
      <c r="AM1272">
        <v>90.386360107786999</v>
      </c>
      <c r="AN1272">
        <v>0.99999999487512703</v>
      </c>
    </row>
    <row r="1273" spans="1:40" x14ac:dyDescent="0.25">
      <c r="A1273" t="str">
        <f>"20190303161902512"</f>
        <v>20190303161902512</v>
      </c>
      <c r="B1273" t="str">
        <f>"1551601142503776"</f>
        <v>1551601142503776</v>
      </c>
      <c r="C1273" t="s">
        <v>40</v>
      </c>
      <c r="D1273">
        <v>4.9822379999999997</v>
      </c>
      <c r="E1273">
        <v>0.54398290000000005</v>
      </c>
      <c r="F1273" t="s">
        <v>41</v>
      </c>
      <c r="G1273">
        <v>-246.38460000000001</v>
      </c>
      <c r="H1273" s="1">
        <v>-2.385437E-6</v>
      </c>
      <c r="I1273">
        <v>365.8098</v>
      </c>
      <c r="J1273">
        <v>-262.15550000000002</v>
      </c>
      <c r="K1273">
        <v>1.1216630000000001</v>
      </c>
      <c r="L1273">
        <v>367.40789999999998</v>
      </c>
      <c r="M1273">
        <v>0.99987630000000005</v>
      </c>
      <c r="N1273">
        <v>-1.4960970000000001E-2</v>
      </c>
      <c r="O1273">
        <v>4.8817189999999996E-3</v>
      </c>
      <c r="P1273">
        <v>0.98800089999999996</v>
      </c>
      <c r="Q1273">
        <v>0.1540347</v>
      </c>
      <c r="R1273">
        <v>1.1313119999999999E-2</v>
      </c>
      <c r="S1273">
        <v>3.073944</v>
      </c>
      <c r="T1273">
        <v>-0.2167307</v>
      </c>
      <c r="U1273">
        <v>-0.30865479999999901</v>
      </c>
      <c r="V1273">
        <v>-6.4824189999999997E-3</v>
      </c>
      <c r="W1273">
        <v>0.1687997</v>
      </c>
      <c r="X1273">
        <v>0.98562910000000004</v>
      </c>
      <c r="Y1273">
        <v>0.1044451</v>
      </c>
      <c r="Z1273">
        <v>-4.7228469999999996E-3</v>
      </c>
      <c r="AA1273">
        <v>0.99451940000000005</v>
      </c>
      <c r="AB1273">
        <v>26</v>
      </c>
      <c r="AC1273">
        <v>15.770899999999999</v>
      </c>
      <c r="AD1273">
        <v>-1.12166538543699</v>
      </c>
      <c r="AE1273">
        <v>-1.5980999999999801</v>
      </c>
      <c r="AF1273">
        <v>1.6667333402545199</v>
      </c>
      <c r="AG1273">
        <v>-1.12166538543699</v>
      </c>
      <c r="AH1273">
        <v>15.6843781174556</v>
      </c>
      <c r="AI1273">
        <v>94.067707324685998</v>
      </c>
      <c r="AJ1273">
        <v>83.934108871329101</v>
      </c>
      <c r="AK1273">
        <v>15.8125219429325</v>
      </c>
      <c r="AL1273">
        <v>80.281961991676894</v>
      </c>
      <c r="AM1273">
        <v>90.376825211990706</v>
      </c>
      <c r="AN1273">
        <v>1.00000004162149</v>
      </c>
    </row>
    <row r="1274" spans="1:40" x14ac:dyDescent="0.25">
      <c r="A1274" t="str">
        <f>"20190303161902524"</f>
        <v>20190303161902524</v>
      </c>
      <c r="B1274" t="str">
        <f>"1551601142514512"</f>
        <v>1551601142514512</v>
      </c>
      <c r="C1274" t="s">
        <v>40</v>
      </c>
      <c r="D1274">
        <v>4.9912609999999997</v>
      </c>
      <c r="E1274">
        <v>0.54398880000000005</v>
      </c>
      <c r="F1274" t="s">
        <v>41</v>
      </c>
      <c r="G1274">
        <v>-246.0421</v>
      </c>
      <c r="H1274" s="1">
        <v>-2.531637E-6</v>
      </c>
      <c r="I1274">
        <v>365.78149999999999</v>
      </c>
      <c r="J1274">
        <v>-262.01580000000001</v>
      </c>
      <c r="K1274">
        <v>1.1216619999999999</v>
      </c>
      <c r="L1274">
        <v>367.40859999999998</v>
      </c>
      <c r="M1274">
        <v>0.99987619999999999</v>
      </c>
      <c r="N1274">
        <v>-1.495821E-2</v>
      </c>
      <c r="O1274">
        <v>4.8819179999999998E-3</v>
      </c>
      <c r="P1274">
        <v>0.98799689999999996</v>
      </c>
      <c r="Q1274">
        <v>0.1540591</v>
      </c>
      <c r="R1274">
        <v>1.130257E-2</v>
      </c>
      <c r="S1274">
        <v>3.0733640000000002</v>
      </c>
      <c r="T1274">
        <v>-0.2139394</v>
      </c>
      <c r="U1274">
        <v>-0.31021120000000002</v>
      </c>
      <c r="V1274">
        <v>-6.4720530000000002E-3</v>
      </c>
      <c r="W1274">
        <v>0.16882130000000001</v>
      </c>
      <c r="X1274">
        <v>0.98562539999999998</v>
      </c>
      <c r="Y1274">
        <v>0.1049684</v>
      </c>
      <c r="Z1274">
        <v>-4.6939019999999998E-3</v>
      </c>
      <c r="AA1274">
        <v>0.99446449999999997</v>
      </c>
      <c r="AB1274">
        <v>26</v>
      </c>
      <c r="AC1274">
        <v>15.973699999999999</v>
      </c>
      <c r="AD1274">
        <v>-1.121664531637</v>
      </c>
      <c r="AE1274">
        <v>-1.62709999999998</v>
      </c>
      <c r="AF1274">
        <v>1.6967910522868399</v>
      </c>
      <c r="AG1274">
        <v>-1.121664531637</v>
      </c>
      <c r="AH1274">
        <v>15.8880295825457</v>
      </c>
      <c r="AI1274">
        <v>94.015513086476702</v>
      </c>
      <c r="AJ1274">
        <v>83.904098542722195</v>
      </c>
      <c r="AK1274">
        <v>16.017700060011698</v>
      </c>
      <c r="AL1274">
        <v>80.280705719097199</v>
      </c>
      <c r="AM1274">
        <v>90.376224062519199</v>
      </c>
      <c r="AN1274">
        <v>0.99999997396444196</v>
      </c>
    </row>
    <row r="1275" spans="1:40" x14ac:dyDescent="0.25">
      <c r="A1275" t="str">
        <f>"20190303161902536"</f>
        <v>20190303161902536</v>
      </c>
      <c r="B1275" t="str">
        <f>"1551601142524272"</f>
        <v>1551601142524272</v>
      </c>
      <c r="C1275" t="s">
        <v>40</v>
      </c>
      <c r="D1275">
        <v>4.9792170000000002</v>
      </c>
      <c r="E1275">
        <v>0.54389690000000002</v>
      </c>
      <c r="F1275" t="s">
        <v>41</v>
      </c>
      <c r="G1275">
        <v>-245.74080000000001</v>
      </c>
      <c r="H1275" s="1">
        <v>-2.6768139999999999E-6</v>
      </c>
      <c r="I1275">
        <v>365.76609999999999</v>
      </c>
      <c r="J1275">
        <v>-261.88069999999999</v>
      </c>
      <c r="K1275">
        <v>1.1216619999999999</v>
      </c>
      <c r="L1275">
        <v>367.4092</v>
      </c>
      <c r="M1275">
        <v>0.9998764</v>
      </c>
      <c r="N1275">
        <v>-1.495549E-2</v>
      </c>
      <c r="O1275">
        <v>4.8817599999999997E-3</v>
      </c>
      <c r="P1275">
        <v>0.98802599999999996</v>
      </c>
      <c r="Q1275">
        <v>0.15387609999999999</v>
      </c>
      <c r="R1275">
        <v>1.1268149999999999E-2</v>
      </c>
      <c r="S1275">
        <v>3.073029</v>
      </c>
      <c r="T1275">
        <v>-0.21179129999999999</v>
      </c>
      <c r="U1275">
        <v>-0.3101196</v>
      </c>
      <c r="V1275">
        <v>-6.4374829999999999E-3</v>
      </c>
      <c r="W1275">
        <v>0.16863620000000001</v>
      </c>
      <c r="X1275">
        <v>0.98565729999999996</v>
      </c>
      <c r="Y1275">
        <v>0.10495549999999999</v>
      </c>
      <c r="Z1275">
        <v>-4.6537799999999997E-3</v>
      </c>
      <c r="AA1275">
        <v>0.99446599999999996</v>
      </c>
      <c r="AB1275">
        <v>26</v>
      </c>
      <c r="AC1275">
        <v>16.139899999999901</v>
      </c>
      <c r="AD1275">
        <v>-1.121664676814</v>
      </c>
      <c r="AE1275">
        <v>-1.6431</v>
      </c>
      <c r="AF1275">
        <v>1.7136885522779499</v>
      </c>
      <c r="AG1275">
        <v>-1.121664676814</v>
      </c>
      <c r="AH1275">
        <v>16.054939611922201</v>
      </c>
      <c r="AI1275">
        <v>93.973926223969002</v>
      </c>
      <c r="AJ1275">
        <v>83.907372860168294</v>
      </c>
      <c r="AK1275">
        <v>16.185053167780801</v>
      </c>
      <c r="AL1275">
        <v>80.291465309175905</v>
      </c>
      <c r="AM1275">
        <v>90.374202435570297</v>
      </c>
      <c r="AN1275">
        <v>0.999999961090551</v>
      </c>
    </row>
    <row r="1276" spans="1:40" x14ac:dyDescent="0.25">
      <c r="A1276" t="str">
        <f>"20190303161902547"</f>
        <v>20190303161902547</v>
      </c>
      <c r="B1276" t="str">
        <f>"1551601142543792"</f>
        <v>1551601142543792</v>
      </c>
      <c r="C1276" t="s">
        <v>40</v>
      </c>
      <c r="D1276">
        <v>5.0363480000000003</v>
      </c>
      <c r="E1276">
        <v>0.54397859999999998</v>
      </c>
      <c r="F1276" t="s">
        <v>41</v>
      </c>
      <c r="G1276">
        <v>-245.39109999999999</v>
      </c>
      <c r="H1276" s="1">
        <v>-2.8454610000000001E-6</v>
      </c>
      <c r="I1276">
        <v>365.7473</v>
      </c>
      <c r="J1276">
        <v>-261.7525</v>
      </c>
      <c r="K1276">
        <v>1.1216619999999999</v>
      </c>
      <c r="L1276">
        <v>367.40989999999999</v>
      </c>
      <c r="M1276">
        <v>0.9998764</v>
      </c>
      <c r="N1276">
        <v>-1.49529E-2</v>
      </c>
      <c r="O1276">
        <v>4.8815999999999998E-3</v>
      </c>
      <c r="P1276">
        <v>0.98803399999999997</v>
      </c>
      <c r="Q1276">
        <v>0.15383069999999999</v>
      </c>
      <c r="R1276">
        <v>1.1195500000000001E-2</v>
      </c>
      <c r="S1276">
        <v>3.0724490000000002</v>
      </c>
      <c r="T1276">
        <v>-0.20899580000000001</v>
      </c>
      <c r="U1276">
        <v>-0.30966189999999999</v>
      </c>
      <c r="V1276">
        <v>-6.3651559999999899E-3</v>
      </c>
      <c r="W1276">
        <v>0.16858819999999999</v>
      </c>
      <c r="X1276">
        <v>0.98566600000000004</v>
      </c>
      <c r="Y1276">
        <v>0.1048351</v>
      </c>
      <c r="Z1276">
        <v>-4.5975199999999999E-3</v>
      </c>
      <c r="AA1276">
        <v>0.994479</v>
      </c>
      <c r="AB1276">
        <v>26</v>
      </c>
      <c r="AC1276">
        <v>16.3614</v>
      </c>
      <c r="AD1276">
        <v>-1.1216648454610001</v>
      </c>
      <c r="AE1276">
        <v>-1.6625999999999901</v>
      </c>
      <c r="AF1276">
        <v>1.7343908274717399</v>
      </c>
      <c r="AG1276">
        <v>-1.1216648454610001</v>
      </c>
      <c r="AH1276">
        <v>16.277368420593199</v>
      </c>
      <c r="AI1276">
        <v>93.919870850384896</v>
      </c>
      <c r="AJ1276">
        <v>83.917951685199398</v>
      </c>
      <c r="AK1276">
        <v>16.407893413466802</v>
      </c>
      <c r="AL1276">
        <v>80.294255639745501</v>
      </c>
      <c r="AM1276">
        <v>90.369995013852801</v>
      </c>
      <c r="AN1276">
        <v>0.999999979973072</v>
      </c>
    </row>
    <row r="1277" spans="1:40" x14ac:dyDescent="0.25">
      <c r="A1277" t="str">
        <f>"20190303161902562"</f>
        <v>20190303161902562</v>
      </c>
      <c r="B1277" t="str">
        <f>"1551601142553552"</f>
        <v>1551601142553552</v>
      </c>
      <c r="C1277" t="s">
        <v>40</v>
      </c>
      <c r="D1277">
        <v>5.0163890000000002</v>
      </c>
      <c r="E1277">
        <v>0.54404069999999904</v>
      </c>
      <c r="F1277" t="s">
        <v>41</v>
      </c>
      <c r="G1277">
        <v>-245.20859999999999</v>
      </c>
      <c r="H1277" s="1">
        <v>-2.9333770000000002E-6</v>
      </c>
      <c r="I1277">
        <v>365.73779999999999</v>
      </c>
      <c r="J1277">
        <v>-261.58550000000002</v>
      </c>
      <c r="K1277">
        <v>1.1216660000000001</v>
      </c>
      <c r="L1277">
        <v>367.41070000000002</v>
      </c>
      <c r="M1277">
        <v>0.9998764</v>
      </c>
      <c r="N1277">
        <v>-1.4949580000000001E-2</v>
      </c>
      <c r="O1277">
        <v>4.8818029999999997E-3</v>
      </c>
      <c r="P1277">
        <v>0.98803260000000004</v>
      </c>
      <c r="Q1277">
        <v>0.153841899999999</v>
      </c>
      <c r="R1277">
        <v>1.1162719999999999E-2</v>
      </c>
      <c r="S1277">
        <v>3.0722960000000001</v>
      </c>
      <c r="T1277">
        <v>-0.2083006</v>
      </c>
      <c r="U1277">
        <v>-0.31051640000000003</v>
      </c>
      <c r="V1277">
        <v>-6.3322469999999896E-3</v>
      </c>
      <c r="W1277">
        <v>0.1685962</v>
      </c>
      <c r="X1277">
        <v>0.98566480000000001</v>
      </c>
      <c r="Y1277">
        <v>0.105115</v>
      </c>
      <c r="Z1277">
        <v>-4.5961830000000002E-3</v>
      </c>
      <c r="AA1277">
        <v>0.99444940000000004</v>
      </c>
      <c r="AB1277">
        <v>26</v>
      </c>
      <c r="AC1277">
        <v>16.376899999999999</v>
      </c>
      <c r="AD1277">
        <v>-1.121668933377</v>
      </c>
      <c r="AE1277">
        <v>-1.67290000000002</v>
      </c>
      <c r="AF1277">
        <v>1.7447377363691301</v>
      </c>
      <c r="AG1277">
        <v>-1.121668933377</v>
      </c>
      <c r="AH1277">
        <v>16.2928963359543</v>
      </c>
      <c r="AI1277">
        <v>93.915940915880896</v>
      </c>
      <c r="AJ1277">
        <v>83.887728839242797</v>
      </c>
      <c r="AK1277">
        <v>16.424394112994499</v>
      </c>
      <c r="AL1277">
        <v>80.293790195803098</v>
      </c>
      <c r="AM1277">
        <v>90.368082574041694</v>
      </c>
      <c r="AN1277">
        <v>0.99999993698277201</v>
      </c>
    </row>
    <row r="1278" spans="1:40" x14ac:dyDescent="0.25">
      <c r="A1278" t="str">
        <f>"20190303161902576"</f>
        <v>20190303161902576</v>
      </c>
      <c r="B1278" t="str">
        <f>"1551601142565265"</f>
        <v>1551601142565265</v>
      </c>
      <c r="C1278" t="s">
        <v>40</v>
      </c>
      <c r="D1278">
        <v>5.0233420000000004</v>
      </c>
      <c r="E1278">
        <v>0.54401899999999903</v>
      </c>
      <c r="F1278" t="s">
        <v>41</v>
      </c>
      <c r="G1278">
        <v>-244.99420000000001</v>
      </c>
      <c r="H1278" s="1">
        <v>-3.0360050000000002E-6</v>
      </c>
      <c r="I1278">
        <v>365.73079999999999</v>
      </c>
      <c r="J1278">
        <v>-261.43200000000002</v>
      </c>
      <c r="K1278">
        <v>1.1216660000000001</v>
      </c>
      <c r="L1278">
        <v>367.41140000000001</v>
      </c>
      <c r="M1278">
        <v>0.9998766</v>
      </c>
      <c r="N1278">
        <v>-1.49464E-2</v>
      </c>
      <c r="O1278">
        <v>4.8816479999999997E-3</v>
      </c>
      <c r="P1278">
        <v>0.98801680000000003</v>
      </c>
      <c r="Q1278">
        <v>0.15394620000000001</v>
      </c>
      <c r="R1278">
        <v>1.113448E-2</v>
      </c>
      <c r="S1278">
        <v>3.072235</v>
      </c>
      <c r="T1278">
        <v>-0.2077003</v>
      </c>
      <c r="U1278">
        <v>-0.3110657</v>
      </c>
      <c r="V1278">
        <v>-6.3044069999999997E-3</v>
      </c>
      <c r="W1278">
        <v>0.16869719999999999</v>
      </c>
      <c r="X1278">
        <v>0.98564770000000002</v>
      </c>
      <c r="Y1278">
        <v>0.105293899999999</v>
      </c>
      <c r="Z1278">
        <v>-4.5922760000000002E-3</v>
      </c>
      <c r="AA1278">
        <v>0.99443049999999999</v>
      </c>
      <c r="AB1278">
        <v>26</v>
      </c>
      <c r="AC1278">
        <v>16.437799999999999</v>
      </c>
      <c r="AD1278">
        <v>-1.1216690360049999</v>
      </c>
      <c r="AE1278">
        <v>-1.6806000000000201</v>
      </c>
      <c r="AF1278">
        <v>1.7527555227079601</v>
      </c>
      <c r="AG1278">
        <v>-1.1216690360049999</v>
      </c>
      <c r="AH1278">
        <v>16.3540373381582</v>
      </c>
      <c r="AI1278">
        <v>93.901309439109795</v>
      </c>
      <c r="AJ1278">
        <v>83.882635613120996</v>
      </c>
      <c r="AK1278">
        <v>16.485897931462102</v>
      </c>
      <c r="AL1278">
        <v>80.287919255690397</v>
      </c>
      <c r="AM1278">
        <v>90.366470684805407</v>
      </c>
      <c r="AN1278">
        <v>0.99999993967537404</v>
      </c>
    </row>
    <row r="1279" spans="1:40" x14ac:dyDescent="0.25">
      <c r="A1279" t="str">
        <f>"20190303161902587"</f>
        <v>20190303161902587</v>
      </c>
      <c r="B1279" t="str">
        <f>"1551601142583808"</f>
        <v>1551601142583808</v>
      </c>
      <c r="C1279" t="s">
        <v>40</v>
      </c>
      <c r="D1279">
        <v>5.0246740000000001</v>
      </c>
      <c r="E1279">
        <v>0.5441378</v>
      </c>
      <c r="F1279" t="s">
        <v>41</v>
      </c>
      <c r="G1279">
        <v>-244.88939999999999</v>
      </c>
      <c r="H1279" s="1">
        <v>-3.0844710000000001E-6</v>
      </c>
      <c r="I1279">
        <v>365.73669999999998</v>
      </c>
      <c r="J1279">
        <v>-261.29969999999997</v>
      </c>
      <c r="K1279">
        <v>1.121667</v>
      </c>
      <c r="L1279">
        <v>367.41210000000001</v>
      </c>
      <c r="M1279">
        <v>0.9998766</v>
      </c>
      <c r="N1279">
        <v>-1.4943639999999999E-2</v>
      </c>
      <c r="O1279">
        <v>4.8815500000000001E-3</v>
      </c>
      <c r="P1279">
        <v>0.98805419999999999</v>
      </c>
      <c r="Q1279">
        <v>0.15371560000000001</v>
      </c>
      <c r="R1279">
        <v>1.099288E-2</v>
      </c>
      <c r="S1279">
        <v>3.0723569999999998</v>
      </c>
      <c r="T1279">
        <v>-0.2083207</v>
      </c>
      <c r="U1279">
        <v>-0.31103520000000001</v>
      </c>
      <c r="V1279">
        <v>-6.1627169999999998E-3</v>
      </c>
      <c r="W1279">
        <v>0.16846459999999999</v>
      </c>
      <c r="X1279">
        <v>0.98568840000000002</v>
      </c>
      <c r="Y1279">
        <v>0.1052785</v>
      </c>
      <c r="Z1279">
        <v>-4.6029060000000004E-3</v>
      </c>
      <c r="AA1279">
        <v>0.99443219999999999</v>
      </c>
      <c r="AB1279">
        <v>26</v>
      </c>
      <c r="AC1279">
        <v>16.4102999999999</v>
      </c>
      <c r="AD1279">
        <v>-1.1216700844709999</v>
      </c>
      <c r="AE1279">
        <v>-1.67540000000002</v>
      </c>
      <c r="AF1279">
        <v>1.7474170538837599</v>
      </c>
      <c r="AG1279">
        <v>-1.1216700844709999</v>
      </c>
      <c r="AH1279">
        <v>16.326435690887202</v>
      </c>
      <c r="AI1279">
        <v>93.907948398935901</v>
      </c>
      <c r="AJ1279">
        <v>83.890894072930607</v>
      </c>
      <c r="AK1279">
        <v>16.457949826976499</v>
      </c>
      <c r="AL1279">
        <v>80.301439973700695</v>
      </c>
      <c r="AM1279">
        <v>90.358219771769797</v>
      </c>
      <c r="AN1279">
        <v>0.99999996121427004</v>
      </c>
    </row>
    <row r="1280" spans="1:40" x14ac:dyDescent="0.25">
      <c r="A1280" t="str">
        <f>"20190303161902598"</f>
        <v>20190303161902598</v>
      </c>
      <c r="B1280" t="str">
        <f>"1551601142593568"</f>
        <v>1551601142593568</v>
      </c>
      <c r="C1280" t="s">
        <v>40</v>
      </c>
      <c r="D1280">
        <v>4.9929509999999997</v>
      </c>
      <c r="E1280">
        <v>0.54411180000000003</v>
      </c>
      <c r="F1280" t="s">
        <v>41</v>
      </c>
      <c r="G1280">
        <v>-244.75069999999999</v>
      </c>
      <c r="H1280" s="1">
        <v>-3.150917E-6</v>
      </c>
      <c r="I1280">
        <v>365.73169999999999</v>
      </c>
      <c r="J1280">
        <v>-261.17360000000002</v>
      </c>
      <c r="K1280">
        <v>1.121667</v>
      </c>
      <c r="L1280">
        <v>367.41269999999997</v>
      </c>
      <c r="M1280">
        <v>0.9998766</v>
      </c>
      <c r="N1280">
        <v>-1.4941029999999999E-2</v>
      </c>
      <c r="O1280">
        <v>4.8815689999999997E-3</v>
      </c>
      <c r="P1280">
        <v>0.98805460000000001</v>
      </c>
      <c r="Q1280">
        <v>0.153717299999999</v>
      </c>
      <c r="R1280">
        <v>1.09286E-2</v>
      </c>
      <c r="S1280">
        <v>3.0721440000000002</v>
      </c>
      <c r="T1280">
        <v>-0.20822640000000001</v>
      </c>
      <c r="U1280">
        <v>-0.31195070000000003</v>
      </c>
      <c r="V1280">
        <v>-6.0983269999999997E-3</v>
      </c>
      <c r="W1280">
        <v>0.16846320000000001</v>
      </c>
      <c r="X1280">
        <v>0.98568909999999998</v>
      </c>
      <c r="Y1280">
        <v>0.1055782</v>
      </c>
      <c r="Z1280">
        <v>-4.6136170000000004E-3</v>
      </c>
      <c r="AA1280">
        <v>0.99440030000000001</v>
      </c>
      <c r="AB1280">
        <v>26</v>
      </c>
      <c r="AC1280">
        <v>16.422899999999998</v>
      </c>
      <c r="AD1280">
        <v>-1.121670150917</v>
      </c>
      <c r="AE1280">
        <v>-1.6809999999999801</v>
      </c>
      <c r="AF1280">
        <v>1.75306555835174</v>
      </c>
      <c r="AG1280">
        <v>-1.121670150917</v>
      </c>
      <c r="AH1280">
        <v>16.3390696303785</v>
      </c>
      <c r="AI1280">
        <v>93.904827774788103</v>
      </c>
      <c r="AJ1280">
        <v>83.875999413820495</v>
      </c>
      <c r="AK1280">
        <v>16.471083120599399</v>
      </c>
      <c r="AL1280">
        <v>80.3015219323933</v>
      </c>
      <c r="AM1280">
        <v>90.354476823528003</v>
      </c>
      <c r="AN1280">
        <v>1.0000000206026201</v>
      </c>
    </row>
    <row r="1281" spans="1:40" x14ac:dyDescent="0.25">
      <c r="A1281" t="str">
        <f>"20190303161902608"</f>
        <v>20190303161902608</v>
      </c>
      <c r="B1281" t="str">
        <f>"1551601142604305"</f>
        <v>1551601142604305</v>
      </c>
      <c r="C1281" t="s">
        <v>40</v>
      </c>
      <c r="D1281">
        <v>5.0283419999999897</v>
      </c>
      <c r="E1281">
        <v>0.54416309999999901</v>
      </c>
      <c r="F1281" t="s">
        <v>41</v>
      </c>
      <c r="G1281">
        <v>-244.66800000000001</v>
      </c>
      <c r="H1281" s="1">
        <v>-3.189172E-6</v>
      </c>
      <c r="I1281">
        <v>365.7364</v>
      </c>
      <c r="J1281">
        <v>-261.0591</v>
      </c>
      <c r="K1281">
        <v>1.121667</v>
      </c>
      <c r="L1281">
        <v>367.41329999999999</v>
      </c>
      <c r="M1281">
        <v>0.9998766</v>
      </c>
      <c r="N1281">
        <v>-1.493864E-2</v>
      </c>
      <c r="O1281">
        <v>4.8815869999999997E-3</v>
      </c>
      <c r="P1281">
        <v>0.98807029999999996</v>
      </c>
      <c r="Q1281">
        <v>0.15362290000000001</v>
      </c>
      <c r="R1281">
        <v>1.082756E-2</v>
      </c>
      <c r="S1281">
        <v>3.0722049999999999</v>
      </c>
      <c r="T1281">
        <v>-0.20877870000000001</v>
      </c>
      <c r="U1281">
        <v>-0.3120117</v>
      </c>
      <c r="V1281">
        <v>-5.9969039999999999E-3</v>
      </c>
      <c r="W1281">
        <v>0.168367299999999</v>
      </c>
      <c r="X1281">
        <v>0.98570610000000003</v>
      </c>
      <c r="Y1281">
        <v>0.1055943</v>
      </c>
      <c r="Z1281">
        <v>-4.6243999999999999E-3</v>
      </c>
      <c r="AA1281">
        <v>0.99439849999999996</v>
      </c>
      <c r="AB1281">
        <v>26</v>
      </c>
      <c r="AC1281">
        <v>16.391099999999899</v>
      </c>
      <c r="AD1281">
        <v>-1.121670189172</v>
      </c>
      <c r="AE1281">
        <v>-1.6768999999999801</v>
      </c>
      <c r="AF1281">
        <v>1.7487989068219401</v>
      </c>
      <c r="AG1281">
        <v>-1.121670189172</v>
      </c>
      <c r="AH1281">
        <v>16.307144197865199</v>
      </c>
      <c r="AI1281">
        <v>93.912470232766907</v>
      </c>
      <c r="AJ1281">
        <v>83.878921661154195</v>
      </c>
      <c r="AK1281">
        <v>16.438959624007499</v>
      </c>
      <c r="AL1281">
        <v>80.307096146193501</v>
      </c>
      <c r="AM1281">
        <v>90.348575554317307</v>
      </c>
      <c r="AN1281">
        <v>1.0000000130720399</v>
      </c>
    </row>
    <row r="1282" spans="1:40" x14ac:dyDescent="0.25">
      <c r="A1282" t="str">
        <f>"20190303161902619"</f>
        <v>20190303161902619</v>
      </c>
      <c r="B1282" t="str">
        <f>"1551601142614065"</f>
        <v>1551601142614065</v>
      </c>
      <c r="C1282" t="s">
        <v>40</v>
      </c>
      <c r="D1282">
        <v>5.0484080000000002</v>
      </c>
      <c r="E1282">
        <v>0.54422999999999999</v>
      </c>
      <c r="F1282" t="s">
        <v>41</v>
      </c>
      <c r="G1282">
        <v>-244.60820000000001</v>
      </c>
      <c r="H1282" s="1">
        <v>-3.2168350000000002E-6</v>
      </c>
      <c r="I1282">
        <v>365.73989999999998</v>
      </c>
      <c r="J1282">
        <v>-260.9221</v>
      </c>
      <c r="K1282">
        <v>1.121669</v>
      </c>
      <c r="L1282">
        <v>367.41390000000001</v>
      </c>
      <c r="M1282">
        <v>0.9998766</v>
      </c>
      <c r="N1282">
        <v>-1.493571E-2</v>
      </c>
      <c r="O1282">
        <v>4.8816090000000003E-3</v>
      </c>
      <c r="P1282">
        <v>0.98808180000000001</v>
      </c>
      <c r="Q1282">
        <v>0.15356510000000001</v>
      </c>
      <c r="R1282">
        <v>1.0594009999999999E-2</v>
      </c>
      <c r="S1282">
        <v>3.0722049999999999</v>
      </c>
      <c r="T1282">
        <v>-0.20947189999999999</v>
      </c>
      <c r="U1282">
        <v>-0.3125</v>
      </c>
      <c r="V1282">
        <v>-5.763364E-3</v>
      </c>
      <c r="W1282">
        <v>0.16830619999999999</v>
      </c>
      <c r="X1282">
        <v>0.98571790000000004</v>
      </c>
      <c r="Y1282">
        <v>0.1057485</v>
      </c>
      <c r="Z1282">
        <v>-4.6435720000000003E-3</v>
      </c>
      <c r="AA1282">
        <v>0.99438210000000005</v>
      </c>
      <c r="AB1282">
        <v>26</v>
      </c>
      <c r="AC1282">
        <v>16.313899999999901</v>
      </c>
      <c r="AD1282">
        <v>-1.121672216835</v>
      </c>
      <c r="AE1282">
        <v>-1.6740000000000299</v>
      </c>
      <c r="AF1282">
        <v>1.74546160433554</v>
      </c>
      <c r="AG1282">
        <v>-1.121672216835</v>
      </c>
      <c r="AH1282">
        <v>16.229609469438</v>
      </c>
      <c r="AI1282">
        <v>93.930982537968504</v>
      </c>
      <c r="AJ1282">
        <v>83.861549412876599</v>
      </c>
      <c r="AK1282">
        <v>16.3616933202129</v>
      </c>
      <c r="AL1282">
        <v>80.310647332828907</v>
      </c>
      <c r="AM1282">
        <v>90.334997132710299</v>
      </c>
      <c r="AN1282">
        <v>0.99999998585172301</v>
      </c>
    </row>
    <row r="1283" spans="1:40" x14ac:dyDescent="0.25">
      <c r="A1283" t="str">
        <f>"20190303161902631"</f>
        <v>20190303161902631</v>
      </c>
      <c r="B1283" t="str">
        <f>"1551601142623824"</f>
        <v>1551601142623824</v>
      </c>
      <c r="C1283" t="s">
        <v>40</v>
      </c>
      <c r="D1283">
        <v>5.0308960000000003</v>
      </c>
      <c r="E1283">
        <v>0.54428390000000004</v>
      </c>
      <c r="F1283" t="s">
        <v>41</v>
      </c>
      <c r="G1283">
        <v>-244.50829999999999</v>
      </c>
      <c r="H1283" s="1">
        <v>-3.2646800000000001E-6</v>
      </c>
      <c r="I1283">
        <v>365.73649999999998</v>
      </c>
      <c r="J1283">
        <v>-260.7989</v>
      </c>
      <c r="K1283">
        <v>1.121667</v>
      </c>
      <c r="L1283">
        <v>367.41449999999998</v>
      </c>
      <c r="M1283">
        <v>0.99987669999999995</v>
      </c>
      <c r="N1283">
        <v>-1.4933E-2</v>
      </c>
      <c r="O1283">
        <v>4.8814499999999999E-3</v>
      </c>
      <c r="P1283">
        <v>0.98809349999999996</v>
      </c>
      <c r="Q1283">
        <v>0.1535031</v>
      </c>
      <c r="R1283">
        <v>1.040045E-2</v>
      </c>
      <c r="S1283">
        <v>3.0722049999999999</v>
      </c>
      <c r="T1283">
        <v>-0.20994570000000001</v>
      </c>
      <c r="U1283">
        <v>-0.31396479999999999</v>
      </c>
      <c r="V1283">
        <v>-5.5697749999999999E-3</v>
      </c>
      <c r="W1283">
        <v>0.1682418</v>
      </c>
      <c r="X1283">
        <v>0.98573010000000005</v>
      </c>
      <c r="Y1283">
        <v>0.106215</v>
      </c>
      <c r="Z1283">
        <v>-4.6715949999999997E-3</v>
      </c>
      <c r="AA1283">
        <v>0.9943322</v>
      </c>
      <c r="AB1283">
        <v>26</v>
      </c>
      <c r="AC1283">
        <v>16.290600000000001</v>
      </c>
      <c r="AD1283">
        <v>-1.1216702646800001</v>
      </c>
      <c r="AE1283">
        <v>-1.6779999999999899</v>
      </c>
      <c r="AF1283">
        <v>1.74930448604087</v>
      </c>
      <c r="AG1283">
        <v>-1.1216702646800001</v>
      </c>
      <c r="AH1283">
        <v>16.2061893691207</v>
      </c>
      <c r="AI1283">
        <v>93.936474585860694</v>
      </c>
      <c r="AJ1283">
        <v>83.839316315229198</v>
      </c>
      <c r="AK1283">
        <v>16.3388734077766</v>
      </c>
      <c r="AL1283">
        <v>80.314391458185995</v>
      </c>
      <c r="AM1283">
        <v>90.323740955220003</v>
      </c>
      <c r="AN1283">
        <v>1.00000007785339</v>
      </c>
    </row>
    <row r="1284" spans="1:40" x14ac:dyDescent="0.25">
      <c r="A1284" t="str">
        <f>"20190303161902643"</f>
        <v>20190303161902643</v>
      </c>
      <c r="B1284" t="str">
        <f>"1551601142633584"</f>
        <v>1551601142633584</v>
      </c>
      <c r="C1284" t="s">
        <v>40</v>
      </c>
      <c r="D1284">
        <v>5.0110449999999904</v>
      </c>
      <c r="E1284">
        <v>0.54437219999999997</v>
      </c>
      <c r="F1284" t="s">
        <v>41</v>
      </c>
      <c r="G1284">
        <v>-244.38239999999999</v>
      </c>
      <c r="H1284" s="1">
        <v>-3.3250170000000002E-6</v>
      </c>
      <c r="I1284">
        <v>365.73180000000002</v>
      </c>
      <c r="J1284">
        <v>-260.66129999999998</v>
      </c>
      <c r="K1284">
        <v>1.1216660000000001</v>
      </c>
      <c r="L1284">
        <v>367.41520000000003</v>
      </c>
      <c r="M1284">
        <v>0.99987669999999995</v>
      </c>
      <c r="N1284">
        <v>-1.4929899999999999E-2</v>
      </c>
      <c r="O1284">
        <v>4.8814740000000002E-3</v>
      </c>
      <c r="P1284">
        <v>0.98808070000000003</v>
      </c>
      <c r="Q1284">
        <v>0.15360579999999999</v>
      </c>
      <c r="R1284">
        <v>1.0088389999999999E-2</v>
      </c>
      <c r="S1284">
        <v>3.0720519999999998</v>
      </c>
      <c r="T1284">
        <v>-0.20990010000000001</v>
      </c>
      <c r="U1284">
        <v>-0.3148804</v>
      </c>
      <c r="V1284">
        <v>-5.2575819999999898E-3</v>
      </c>
      <c r="W1284">
        <v>0.1683414</v>
      </c>
      <c r="X1284">
        <v>0.98571470000000005</v>
      </c>
      <c r="Y1284">
        <v>0.1065126</v>
      </c>
      <c r="Z1284">
        <v>-4.6830969999999998E-3</v>
      </c>
      <c r="AA1284">
        <v>0.99430030000000003</v>
      </c>
      <c r="AB1284">
        <v>25</v>
      </c>
      <c r="AC1284">
        <v>16.278899999999901</v>
      </c>
      <c r="AD1284">
        <v>-1.121669325017</v>
      </c>
      <c r="AE1284">
        <v>-1.6834</v>
      </c>
      <c r="AF1284">
        <v>1.7546116575164501</v>
      </c>
      <c r="AG1284">
        <v>-1.121669325017</v>
      </c>
      <c r="AH1284">
        <v>16.194415526495401</v>
      </c>
      <c r="AI1284">
        <v>93.939153727354196</v>
      </c>
      <c r="AJ1284">
        <v>83.816312247197899</v>
      </c>
      <c r="AK1284">
        <v>16.327764647623098</v>
      </c>
      <c r="AL1284">
        <v>80.308601168076393</v>
      </c>
      <c r="AM1284">
        <v>90.3055999899792</v>
      </c>
      <c r="AN1284">
        <v>0.99999996945926695</v>
      </c>
    </row>
    <row r="1285" spans="1:40" x14ac:dyDescent="0.25">
      <c r="A1285" t="str">
        <f>"20190303161902656"</f>
        <v>20190303161902656</v>
      </c>
      <c r="B1285" t="str">
        <f>"1551601142644321"</f>
        <v>1551601142644321</v>
      </c>
      <c r="C1285" t="s">
        <v>40</v>
      </c>
      <c r="D1285">
        <v>5.0222689999999997</v>
      </c>
      <c r="E1285">
        <v>0.54441030000000001</v>
      </c>
      <c r="F1285" t="s">
        <v>41</v>
      </c>
      <c r="G1285">
        <v>-244.24719999999999</v>
      </c>
      <c r="H1285" s="1">
        <v>-3.3903040000000001E-6</v>
      </c>
      <c r="I1285">
        <v>365.72399999999999</v>
      </c>
      <c r="J1285">
        <v>-260.51900000000001</v>
      </c>
      <c r="K1285">
        <v>1.121667</v>
      </c>
      <c r="L1285">
        <v>367.41590000000002</v>
      </c>
      <c r="M1285">
        <v>0.99987669999999995</v>
      </c>
      <c r="N1285">
        <v>-1.492658E-2</v>
      </c>
      <c r="O1285">
        <v>4.8814990000000001E-3</v>
      </c>
      <c r="P1285">
        <v>0.98810140000000002</v>
      </c>
      <c r="Q1285">
        <v>0.15348110000000001</v>
      </c>
      <c r="R1285">
        <v>9.9568120000000006E-3</v>
      </c>
      <c r="S1285">
        <v>3.0720830000000001</v>
      </c>
      <c r="T1285">
        <v>-0.20993319999999999</v>
      </c>
      <c r="U1285">
        <v>-0.31652829999999998</v>
      </c>
      <c r="V1285">
        <v>-5.126088E-3</v>
      </c>
      <c r="W1285">
        <v>0.16821410000000001</v>
      </c>
      <c r="X1285">
        <v>0.98573710000000003</v>
      </c>
      <c r="Y1285">
        <v>0.1070378</v>
      </c>
      <c r="Z1285">
        <v>-4.7052489999999999E-3</v>
      </c>
      <c r="AA1285">
        <v>0.99424380000000001</v>
      </c>
      <c r="AB1285">
        <v>25</v>
      </c>
      <c r="AC1285">
        <v>16.271799999999999</v>
      </c>
      <c r="AD1285">
        <v>-1.121670390304</v>
      </c>
      <c r="AE1285">
        <v>-1.6919000000000299</v>
      </c>
      <c r="AF1285">
        <v>1.76303146960585</v>
      </c>
      <c r="AG1285">
        <v>-1.121670390304</v>
      </c>
      <c r="AH1285">
        <v>16.187250074089</v>
      </c>
      <c r="AI1285">
        <v>93.940656063264498</v>
      </c>
      <c r="AJ1285">
        <v>83.784141484099194</v>
      </c>
      <c r="AK1285">
        <v>16.3215651635619</v>
      </c>
      <c r="AL1285">
        <v>80.316000200896895</v>
      </c>
      <c r="AM1285">
        <v>90.297950194171605</v>
      </c>
      <c r="AN1285">
        <v>0.9999999452667</v>
      </c>
    </row>
    <row r="1286" spans="1:40" x14ac:dyDescent="0.25">
      <c r="A1286" t="str">
        <f>"20190303161902669"</f>
        <v>20190303161902669</v>
      </c>
      <c r="B1286" t="str">
        <f>"1551601142663840"</f>
        <v>1551601142663840</v>
      </c>
      <c r="C1286" t="s">
        <v>40</v>
      </c>
      <c r="D1286">
        <v>5.0173940000000004</v>
      </c>
      <c r="E1286">
        <v>0.54409039999999997</v>
      </c>
      <c r="F1286" t="s">
        <v>41</v>
      </c>
      <c r="G1286">
        <v>-244.19200000000001</v>
      </c>
      <c r="H1286" s="1">
        <v>-3.4155120000000001E-6</v>
      </c>
      <c r="I1286">
        <v>365.72910000000002</v>
      </c>
      <c r="J1286">
        <v>-260.36669999999998</v>
      </c>
      <c r="K1286">
        <v>1.121667</v>
      </c>
      <c r="L1286">
        <v>367.41660000000002</v>
      </c>
      <c r="M1286">
        <v>0.99987689999999996</v>
      </c>
      <c r="N1286">
        <v>-1.4922990000000001E-2</v>
      </c>
      <c r="O1286">
        <v>4.881168E-3</v>
      </c>
      <c r="P1286">
        <v>0.98812180000000005</v>
      </c>
      <c r="Q1286">
        <v>0.15337429999999999</v>
      </c>
      <c r="R1286">
        <v>9.5896420000000007E-3</v>
      </c>
      <c r="S1286">
        <v>3.0721129999999999</v>
      </c>
      <c r="T1286">
        <v>-0.2110553</v>
      </c>
      <c r="U1286">
        <v>-0.31738280000000002</v>
      </c>
      <c r="V1286">
        <v>-4.7590799999999997E-3</v>
      </c>
      <c r="W1286">
        <v>0.16810359999999999</v>
      </c>
      <c r="X1286">
        <v>0.98575780000000002</v>
      </c>
      <c r="Y1286">
        <v>0.107306399999999</v>
      </c>
      <c r="Z1286">
        <v>-4.7373859999999997E-3</v>
      </c>
      <c r="AA1286">
        <v>0.99421470000000001</v>
      </c>
      <c r="AB1286">
        <v>25</v>
      </c>
      <c r="AC1286">
        <v>16.174699999999898</v>
      </c>
      <c r="AD1286">
        <v>-1.1216704155120001</v>
      </c>
      <c r="AE1286">
        <v>-1.6875</v>
      </c>
      <c r="AF1286">
        <v>1.75807648113029</v>
      </c>
      <c r="AG1286">
        <v>-1.1216704155120001</v>
      </c>
      <c r="AH1286">
        <v>16.089726445997702</v>
      </c>
      <c r="AI1286">
        <v>93.9643154158736</v>
      </c>
      <c r="AJ1286">
        <v>83.764199315585898</v>
      </c>
      <c r="AK1286">
        <v>16.2243112193268</v>
      </c>
      <c r="AL1286">
        <v>80.322422936251201</v>
      </c>
      <c r="AM1286">
        <v>90.276612652608506</v>
      </c>
      <c r="AN1286">
        <v>0.99999995471812198</v>
      </c>
    </row>
    <row r="1287" spans="1:40" x14ac:dyDescent="0.25">
      <c r="A1287" t="str">
        <f>"20190303161902683"</f>
        <v>20190303161902683</v>
      </c>
      <c r="B1287" t="str">
        <f>"1551601142673600"</f>
        <v>1551601142673600</v>
      </c>
      <c r="C1287" t="s">
        <v>40</v>
      </c>
      <c r="D1287">
        <v>4.9983940000000002</v>
      </c>
      <c r="E1287">
        <v>0.5439176</v>
      </c>
      <c r="F1287" t="s">
        <v>41</v>
      </c>
      <c r="G1287">
        <v>-243.8081</v>
      </c>
      <c r="H1287" s="1">
        <v>-3.5996339999999999E-6</v>
      </c>
      <c r="I1287">
        <v>365.71409999999997</v>
      </c>
      <c r="J1287">
        <v>-260.21539999999999</v>
      </c>
      <c r="K1287">
        <v>1.1216660000000001</v>
      </c>
      <c r="L1287">
        <v>367.41739999999999</v>
      </c>
      <c r="M1287">
        <v>0.99987689999999996</v>
      </c>
      <c r="N1287">
        <v>-1.491937E-2</v>
      </c>
      <c r="O1287">
        <v>4.8811940000000002E-3</v>
      </c>
      <c r="P1287">
        <v>0.98813030000000002</v>
      </c>
      <c r="Q1287">
        <v>0.15332299999999999</v>
      </c>
      <c r="R1287">
        <v>9.5456819999999998E-3</v>
      </c>
      <c r="S1287">
        <v>3.0714109999999999</v>
      </c>
      <c r="T1287">
        <v>-0.2080555</v>
      </c>
      <c r="U1287">
        <v>-0.31579590000000002</v>
      </c>
      <c r="V1287">
        <v>-4.7154110000000001E-3</v>
      </c>
      <c r="W1287">
        <v>0.16804910000000001</v>
      </c>
      <c r="X1287">
        <v>0.98576739999999996</v>
      </c>
      <c r="Y1287">
        <v>0.1068306</v>
      </c>
      <c r="Z1287">
        <v>-4.6617330000000004E-3</v>
      </c>
      <c r="AA1287">
        <v>0.99426630000000005</v>
      </c>
      <c r="AB1287">
        <v>25</v>
      </c>
      <c r="AC1287">
        <v>16.4072999999999</v>
      </c>
      <c r="AD1287">
        <v>-1.121669599634</v>
      </c>
      <c r="AE1287">
        <v>-1.70330000000001</v>
      </c>
      <c r="AF1287">
        <v>1.7751677810347199</v>
      </c>
      <c r="AG1287">
        <v>-1.121669599634</v>
      </c>
      <c r="AH1287">
        <v>16.323313493857</v>
      </c>
      <c r="AI1287">
        <v>93.907976949735598</v>
      </c>
      <c r="AJ1287">
        <v>83.793448770917493</v>
      </c>
      <c r="AK1287">
        <v>16.457822661588601</v>
      </c>
      <c r="AL1287">
        <v>80.325591560405499</v>
      </c>
      <c r="AM1287">
        <v>90.274071843231098</v>
      </c>
      <c r="AN1287">
        <v>1.00000005100723</v>
      </c>
    </row>
    <row r="1288" spans="1:40" x14ac:dyDescent="0.25">
      <c r="A1288" t="str">
        <f>"20190303161902697"</f>
        <v>20190303161902697</v>
      </c>
      <c r="B1288" t="str">
        <f>"1551601142684336"</f>
        <v>1551601142684336</v>
      </c>
      <c r="C1288" t="s">
        <v>40</v>
      </c>
      <c r="D1288">
        <v>4.9490230000000004</v>
      </c>
      <c r="E1288">
        <v>0.54378819999999894</v>
      </c>
      <c r="F1288" t="s">
        <v>41</v>
      </c>
      <c r="G1288">
        <v>-243.43279999999999</v>
      </c>
      <c r="H1288" s="1">
        <v>-3.780061E-6</v>
      </c>
      <c r="I1288">
        <v>365.697</v>
      </c>
      <c r="J1288">
        <v>-260.05869999999999</v>
      </c>
      <c r="K1288">
        <v>1.1216619999999999</v>
      </c>
      <c r="L1288">
        <v>367.41809999999998</v>
      </c>
      <c r="M1288">
        <v>0.99987700000000002</v>
      </c>
      <c r="N1288">
        <v>-1.4915599999999999E-2</v>
      </c>
      <c r="O1288">
        <v>4.8812220000000002E-3</v>
      </c>
      <c r="P1288">
        <v>0.98818039999999996</v>
      </c>
      <c r="Q1288">
        <v>0.1530126</v>
      </c>
      <c r="R1288">
        <v>9.3195719999999999E-3</v>
      </c>
      <c r="S1288">
        <v>3.0709230000000001</v>
      </c>
      <c r="T1288">
        <v>-0.20524609999999999</v>
      </c>
      <c r="U1288">
        <v>-0.31478879999999998</v>
      </c>
      <c r="V1288">
        <v>-4.4890889999999999E-3</v>
      </c>
      <c r="W1288">
        <v>0.16773550000000001</v>
      </c>
      <c r="X1288">
        <v>0.98582179999999997</v>
      </c>
      <c r="Y1288">
        <v>0.10653219999999999</v>
      </c>
      <c r="Z1288">
        <v>-4.5970109999999998E-3</v>
      </c>
      <c r="AA1288">
        <v>0.99429860000000003</v>
      </c>
      <c r="AB1288">
        <v>25</v>
      </c>
      <c r="AC1288">
        <v>16.625900000000001</v>
      </c>
      <c r="AD1288">
        <v>-1.1216657800609999</v>
      </c>
      <c r="AE1288">
        <v>-1.7211000000000301</v>
      </c>
      <c r="AF1288">
        <v>1.7941636246831101</v>
      </c>
      <c r="AG1288">
        <v>-1.1216657800609999</v>
      </c>
      <c r="AH1288">
        <v>16.542803278381001</v>
      </c>
      <c r="AI1288">
        <v>93.856391924641699</v>
      </c>
      <c r="AJ1288">
        <v>83.810132234505005</v>
      </c>
      <c r="AK1288">
        <v>16.677574690029399</v>
      </c>
      <c r="AL1288">
        <v>80.343817599957006</v>
      </c>
      <c r="AM1288">
        <v>90.260903213740903</v>
      </c>
      <c r="AN1288">
        <v>0.99999998561776904</v>
      </c>
    </row>
    <row r="1289" spans="1:40" x14ac:dyDescent="0.25">
      <c r="A1289" t="str">
        <f>"20190303161902708"</f>
        <v>20190303161902708</v>
      </c>
      <c r="B1289" t="str">
        <f>"1551601142703856"</f>
        <v>1551601142703856</v>
      </c>
      <c r="C1289" t="s">
        <v>40</v>
      </c>
      <c r="D1289">
        <v>4.8958849999999998</v>
      </c>
      <c r="E1289">
        <v>0.54345619999999994</v>
      </c>
      <c r="F1289" t="s">
        <v>41</v>
      </c>
      <c r="G1289">
        <v>-243.13550000000001</v>
      </c>
      <c r="H1289" s="1">
        <v>-3.9225299999999997E-6</v>
      </c>
      <c r="I1289">
        <v>365.68610000000001</v>
      </c>
      <c r="J1289">
        <v>-259.92939999999999</v>
      </c>
      <c r="K1289">
        <v>1.1216619999999999</v>
      </c>
      <c r="L1289">
        <v>367.41879999999998</v>
      </c>
      <c r="M1289">
        <v>0.99987700000000002</v>
      </c>
      <c r="N1289">
        <v>-1.491249E-2</v>
      </c>
      <c r="O1289">
        <v>4.8810659999999999E-3</v>
      </c>
      <c r="P1289">
        <v>0.98822489999999996</v>
      </c>
      <c r="Q1289">
        <v>0.15273619999999999</v>
      </c>
      <c r="R1289">
        <v>9.1296880000000004E-3</v>
      </c>
      <c r="S1289">
        <v>3.0703740000000002</v>
      </c>
      <c r="T1289">
        <v>-0.20350370000000001</v>
      </c>
      <c r="U1289">
        <v>-0.3142395</v>
      </c>
      <c r="V1289">
        <v>-4.2989159999999998E-3</v>
      </c>
      <c r="W1289">
        <v>0.16745679999999999</v>
      </c>
      <c r="X1289">
        <v>0.98587009999999997</v>
      </c>
      <c r="Y1289">
        <v>0.106379</v>
      </c>
      <c r="Z1289">
        <v>-4.5585390000000003E-3</v>
      </c>
      <c r="AA1289">
        <v>0.99431519999999995</v>
      </c>
      <c r="AB1289">
        <v>25</v>
      </c>
      <c r="AC1289">
        <v>16.793899999999901</v>
      </c>
      <c r="AD1289">
        <v>-1.1216659225299901</v>
      </c>
      <c r="AE1289">
        <v>-1.7326999999999599</v>
      </c>
      <c r="AF1289">
        <v>1.8066860126728499</v>
      </c>
      <c r="AG1289">
        <v>-1.1216659225299901</v>
      </c>
      <c r="AH1289">
        <v>16.711478262130999</v>
      </c>
      <c r="AI1289">
        <v>93.817724828976495</v>
      </c>
      <c r="AJ1289">
        <v>83.829690317180706</v>
      </c>
      <c r="AK1289">
        <v>16.8462385859821</v>
      </c>
      <c r="AL1289">
        <v>80.360015732513304</v>
      </c>
      <c r="AM1289">
        <v>90.249838373402099</v>
      </c>
      <c r="AN1289">
        <v>1.00000005730951</v>
      </c>
    </row>
    <row r="1290" spans="1:40" x14ac:dyDescent="0.25">
      <c r="A1290" t="str">
        <f>"20190303161902721"</f>
        <v>20190303161902721</v>
      </c>
      <c r="B1290" t="str">
        <f>"1551601142713616"</f>
        <v>1551601142713616</v>
      </c>
      <c r="C1290" t="s">
        <v>40</v>
      </c>
      <c r="D1290">
        <v>4.8816759999999997</v>
      </c>
      <c r="E1290">
        <v>0.54336490000000004</v>
      </c>
      <c r="F1290" t="s">
        <v>41</v>
      </c>
      <c r="G1290">
        <v>-242.69970000000001</v>
      </c>
      <c r="H1290" s="1">
        <v>-4.131963E-6</v>
      </c>
      <c r="I1290">
        <v>365.66669999999999</v>
      </c>
      <c r="J1290">
        <v>-259.78059999999999</v>
      </c>
      <c r="K1290">
        <v>1.1216619999999999</v>
      </c>
      <c r="L1290">
        <v>367.41950000000003</v>
      </c>
      <c r="M1290">
        <v>0.99987700000000002</v>
      </c>
      <c r="N1290">
        <v>-1.4908899999999999E-2</v>
      </c>
      <c r="O1290">
        <v>4.8810920000000001E-3</v>
      </c>
      <c r="P1290">
        <v>0.98825730000000001</v>
      </c>
      <c r="Q1290">
        <v>0.15254319999999999</v>
      </c>
      <c r="R1290">
        <v>8.8359119999999996E-3</v>
      </c>
      <c r="S1290">
        <v>3.06955</v>
      </c>
      <c r="T1290">
        <v>-0.19983049999999999</v>
      </c>
      <c r="U1290">
        <v>-0.31213380000000002</v>
      </c>
      <c r="V1290">
        <v>-4.0047679999999997E-3</v>
      </c>
      <c r="W1290">
        <v>0.1672612</v>
      </c>
      <c r="X1290">
        <v>0.98590449999999996</v>
      </c>
      <c r="Y1290">
        <v>0.1057419</v>
      </c>
      <c r="Z1290">
        <v>-4.4649370000000004E-3</v>
      </c>
      <c r="AA1290">
        <v>0.99438360000000003</v>
      </c>
      <c r="AB1290">
        <v>25</v>
      </c>
      <c r="AC1290">
        <v>17.0808999999999</v>
      </c>
      <c r="AD1290">
        <v>-1.1216661319629999</v>
      </c>
      <c r="AE1290">
        <v>-1.7528000000000299</v>
      </c>
      <c r="AF1290">
        <v>1.82835960602728</v>
      </c>
      <c r="AG1290">
        <v>-1.1216661319629999</v>
      </c>
      <c r="AH1290">
        <v>16.999597038048702</v>
      </c>
      <c r="AI1290">
        <v>93.753429450570195</v>
      </c>
      <c r="AJ1290">
        <v>83.861258208946893</v>
      </c>
      <c r="AK1290">
        <v>17.134390366061499</v>
      </c>
      <c r="AL1290">
        <v>80.371382701873799</v>
      </c>
      <c r="AM1290">
        <v>90.232735566506406</v>
      </c>
      <c r="AN1290">
        <v>1.0000000151562101</v>
      </c>
    </row>
    <row r="1291" spans="1:40" x14ac:dyDescent="0.25">
      <c r="A1291" t="str">
        <f>"20190303161902733"</f>
        <v>20190303161902733</v>
      </c>
      <c r="B1291" t="str">
        <f>"1551601142724353"</f>
        <v>1551601142724353</v>
      </c>
      <c r="C1291" t="s">
        <v>40</v>
      </c>
      <c r="D1291">
        <v>4.8365179999999999</v>
      </c>
      <c r="E1291">
        <v>0.54328659999999995</v>
      </c>
      <c r="F1291" t="s">
        <v>41</v>
      </c>
      <c r="G1291">
        <v>-242.4076</v>
      </c>
      <c r="H1291" s="1">
        <v>-4.2724699999999998E-6</v>
      </c>
      <c r="I1291">
        <v>365.65320000000003</v>
      </c>
      <c r="J1291">
        <v>-259.65629999999999</v>
      </c>
      <c r="K1291">
        <v>1.121658</v>
      </c>
      <c r="L1291">
        <v>367.42009999999999</v>
      </c>
      <c r="M1291">
        <v>0.99987700000000002</v>
      </c>
      <c r="N1291">
        <v>-1.49059E-2</v>
      </c>
      <c r="O1291">
        <v>4.8811150000000001E-3</v>
      </c>
      <c r="P1291">
        <v>0.98826939999999996</v>
      </c>
      <c r="Q1291">
        <v>0.1524807</v>
      </c>
      <c r="R1291">
        <v>8.5798619999999902E-3</v>
      </c>
      <c r="S1291">
        <v>3.0690309999999998</v>
      </c>
      <c r="T1291">
        <v>-0.1981473</v>
      </c>
      <c r="U1291">
        <v>-0.3120117</v>
      </c>
      <c r="V1291">
        <v>-3.7490660000000001E-3</v>
      </c>
      <c r="W1291">
        <v>0.16719539999999999</v>
      </c>
      <c r="X1291">
        <v>0.98591669999999998</v>
      </c>
      <c r="Y1291">
        <v>0.105724</v>
      </c>
      <c r="Z1291">
        <v>-4.433205E-3</v>
      </c>
      <c r="AA1291">
        <v>0.99438570000000004</v>
      </c>
      <c r="AB1291">
        <v>25</v>
      </c>
      <c r="AC1291">
        <v>17.2486999999999</v>
      </c>
      <c r="AD1291">
        <v>-1.1216622724700001</v>
      </c>
      <c r="AE1291">
        <v>-1.7668999999999599</v>
      </c>
      <c r="AF1291">
        <v>1.8433670069596999</v>
      </c>
      <c r="AG1291">
        <v>-1.1216622724700001</v>
      </c>
      <c r="AH1291">
        <v>17.168023774976898</v>
      </c>
      <c r="AI1291">
        <v>93.716768702838294</v>
      </c>
      <c r="AJ1291">
        <v>83.871510373783295</v>
      </c>
      <c r="AK1291">
        <v>17.303097078673598</v>
      </c>
      <c r="AL1291">
        <v>80.375206933757397</v>
      </c>
      <c r="AM1291">
        <v>90.217872994308493</v>
      </c>
      <c r="AN1291">
        <v>1.0000000483079601</v>
      </c>
    </row>
    <row r="1292" spans="1:40" x14ac:dyDescent="0.25">
      <c r="A1292" t="str">
        <f>"20190303161902743"</f>
        <v>20190303161902743</v>
      </c>
      <c r="B1292" t="str">
        <f>"1551601142734113"</f>
        <v>1551601142734113</v>
      </c>
      <c r="C1292" t="s">
        <v>40</v>
      </c>
      <c r="D1292">
        <v>4.8094109999999999</v>
      </c>
      <c r="E1292">
        <v>0.54323849999999996</v>
      </c>
      <c r="F1292" t="s">
        <v>41</v>
      </c>
      <c r="G1292">
        <v>-242.114</v>
      </c>
      <c r="H1292" s="1">
        <v>-4.4146110000000001E-6</v>
      </c>
      <c r="I1292">
        <v>365.6343</v>
      </c>
      <c r="J1292">
        <v>-259.51949999999999</v>
      </c>
      <c r="K1292">
        <v>1.1216569999999999</v>
      </c>
      <c r="L1292">
        <v>367.42070000000001</v>
      </c>
      <c r="M1292">
        <v>0.99987700000000002</v>
      </c>
      <c r="N1292">
        <v>-1.490259E-2</v>
      </c>
      <c r="O1292">
        <v>4.8811389999999996E-3</v>
      </c>
      <c r="P1292">
        <v>0.98825459999999998</v>
      </c>
      <c r="Q1292">
        <v>0.15257579999999901</v>
      </c>
      <c r="R1292">
        <v>8.5765640000000001E-3</v>
      </c>
      <c r="S1292">
        <v>3.0686040000000001</v>
      </c>
      <c r="T1292">
        <v>-0.1962074</v>
      </c>
      <c r="U1292">
        <v>-0.31237789999999999</v>
      </c>
      <c r="V1292">
        <v>-3.745717E-3</v>
      </c>
      <c r="W1292">
        <v>0.16728709999999999</v>
      </c>
      <c r="X1292">
        <v>0.98590109999999997</v>
      </c>
      <c r="Y1292">
        <v>0.10585990000000001</v>
      </c>
      <c r="Z1292">
        <v>-4.4025729999999999E-3</v>
      </c>
      <c r="AA1292">
        <v>0.99437129999999996</v>
      </c>
      <c r="AB1292">
        <v>25</v>
      </c>
      <c r="AC1292">
        <v>17.4054999999999</v>
      </c>
      <c r="AD1292">
        <v>-1.121661414611</v>
      </c>
      <c r="AE1292">
        <v>-1.78640000000001</v>
      </c>
      <c r="AF1292">
        <v>1.8636878035320601</v>
      </c>
      <c r="AG1292">
        <v>-1.121661414611</v>
      </c>
      <c r="AH1292">
        <v>17.3253715958265</v>
      </c>
      <c r="AI1292">
        <v>93.683026629846495</v>
      </c>
      <c r="AJ1292">
        <v>83.860309712288895</v>
      </c>
      <c r="AK1292">
        <v>17.461384752977999</v>
      </c>
      <c r="AL1292">
        <v>80.369877305033597</v>
      </c>
      <c r="AM1292">
        <v>90.217681816910101</v>
      </c>
      <c r="AN1292">
        <v>0.99999999160173203</v>
      </c>
    </row>
    <row r="1293" spans="1:40" x14ac:dyDescent="0.25">
      <c r="A1293" t="str">
        <f>"20190303161902757"</f>
        <v>20190303161902757</v>
      </c>
      <c r="B1293" t="str">
        <f>"1551601142743873"</f>
        <v>1551601142743873</v>
      </c>
      <c r="C1293" t="s">
        <v>40</v>
      </c>
      <c r="D1293">
        <v>4.7865209999999996</v>
      </c>
      <c r="E1293">
        <v>0.543207199999999</v>
      </c>
      <c r="F1293" t="s">
        <v>41</v>
      </c>
      <c r="G1293">
        <v>-241.7912</v>
      </c>
      <c r="H1293" s="1">
        <v>-4.5703250000000002E-6</v>
      </c>
      <c r="I1293">
        <v>365.61660000000001</v>
      </c>
      <c r="J1293">
        <v>-259.38350000000003</v>
      </c>
      <c r="K1293">
        <v>1.121658</v>
      </c>
      <c r="L1293">
        <v>367.42140000000001</v>
      </c>
      <c r="M1293">
        <v>0.99987720000000002</v>
      </c>
      <c r="N1293">
        <v>-1.4899310000000001E-2</v>
      </c>
      <c r="O1293">
        <v>4.8808660000000002E-3</v>
      </c>
      <c r="P1293">
        <v>0.98825039999999997</v>
      </c>
      <c r="Q1293">
        <v>0.15261920000000001</v>
      </c>
      <c r="R1293">
        <v>8.2727449999999998E-3</v>
      </c>
      <c r="S1293">
        <v>3.0683289999999999</v>
      </c>
      <c r="T1293">
        <v>-0.19413159999999999</v>
      </c>
      <c r="U1293">
        <v>-0.31225589999999998</v>
      </c>
      <c r="V1293">
        <v>-3.441529E-3</v>
      </c>
      <c r="W1293">
        <v>0.167327</v>
      </c>
      <c r="X1293">
        <v>0.98589550000000004</v>
      </c>
      <c r="Y1293">
        <v>0.1058346</v>
      </c>
      <c r="Z1293">
        <v>-4.362838E-3</v>
      </c>
      <c r="AA1293">
        <v>0.99437419999999999</v>
      </c>
      <c r="AB1293">
        <v>25</v>
      </c>
      <c r="AC1293">
        <v>17.592300000000002</v>
      </c>
      <c r="AD1293">
        <v>-1.1216625703250001</v>
      </c>
      <c r="AE1293">
        <v>-1.8048</v>
      </c>
      <c r="AF1293">
        <v>1.88307836477413</v>
      </c>
      <c r="AG1293">
        <v>-1.1216625703250001</v>
      </c>
      <c r="AH1293">
        <v>17.512829212784101</v>
      </c>
      <c r="AI1293">
        <v>93.643731054265203</v>
      </c>
      <c r="AJ1293">
        <v>83.862813750741594</v>
      </c>
      <c r="AK1293">
        <v>17.6494560280393</v>
      </c>
      <c r="AL1293">
        <v>80.367559116669</v>
      </c>
      <c r="AM1293">
        <v>90.200005260039106</v>
      </c>
      <c r="AN1293">
        <v>1.0000000529855499</v>
      </c>
    </row>
    <row r="1294" spans="1:40" x14ac:dyDescent="0.25">
      <c r="A1294" t="str">
        <f>"20190303161902768"</f>
        <v>20190303161902768</v>
      </c>
      <c r="B1294" t="str">
        <f>"1551601142764369"</f>
        <v>1551601142764369</v>
      </c>
      <c r="C1294" t="s">
        <v>40</v>
      </c>
      <c r="D1294">
        <v>4.7468320000000004</v>
      </c>
      <c r="E1294">
        <v>0.5431473</v>
      </c>
      <c r="F1294" t="s">
        <v>41</v>
      </c>
      <c r="G1294">
        <v>-241.4717</v>
      </c>
      <c r="H1294" s="1">
        <v>-4.7253469999999997E-6</v>
      </c>
      <c r="I1294">
        <v>365.59410000000003</v>
      </c>
      <c r="J1294">
        <v>-259.25720000000001</v>
      </c>
      <c r="K1294">
        <v>1.121664</v>
      </c>
      <c r="L1294">
        <v>367.42200000000003</v>
      </c>
      <c r="M1294">
        <v>0.99987720000000002</v>
      </c>
      <c r="N1294">
        <v>-1.489626E-2</v>
      </c>
      <c r="O1294">
        <v>4.8808879999999999E-3</v>
      </c>
      <c r="P1294">
        <v>0.98831049999999998</v>
      </c>
      <c r="Q1294">
        <v>0.15222179999999999</v>
      </c>
      <c r="R1294">
        <v>8.4321420000000001E-3</v>
      </c>
      <c r="S1294">
        <v>3.067993</v>
      </c>
      <c r="T1294">
        <v>-0.1921223</v>
      </c>
      <c r="U1294">
        <v>-0.3129883</v>
      </c>
      <c r="V1294">
        <v>-3.6011429999999998E-3</v>
      </c>
      <c r="W1294">
        <v>0.166927399999999</v>
      </c>
      <c r="X1294">
        <v>0.98596260000000002</v>
      </c>
      <c r="Y1294">
        <v>0.1060849</v>
      </c>
      <c r="Z1294">
        <v>-4.3350709999999898E-3</v>
      </c>
      <c r="AA1294">
        <v>0.9943476</v>
      </c>
      <c r="AB1294">
        <v>25</v>
      </c>
      <c r="AC1294">
        <v>17.785499999999999</v>
      </c>
      <c r="AD1294">
        <v>-1.1216687253469999</v>
      </c>
      <c r="AE1294">
        <v>-1.8278999999999399</v>
      </c>
      <c r="AF1294">
        <v>1.90719054812365</v>
      </c>
      <c r="AG1294">
        <v>-1.1216687253469999</v>
      </c>
      <c r="AH1294">
        <v>17.706675273381801</v>
      </c>
      <c r="AI1294">
        <v>93.603895693760705</v>
      </c>
      <c r="AJ1294">
        <v>83.852357701017198</v>
      </c>
      <c r="AK1294">
        <v>17.844379108090699</v>
      </c>
      <c r="AL1294">
        <v>80.390780477059707</v>
      </c>
      <c r="AM1294">
        <v>90.209266941605904</v>
      </c>
      <c r="AN1294">
        <v>0.99999998685021296</v>
      </c>
    </row>
    <row r="1295" spans="1:40" x14ac:dyDescent="0.25">
      <c r="A1295" t="str">
        <f>"20190303161902779"</f>
        <v>20190303161902779</v>
      </c>
      <c r="B1295" t="str">
        <f>"1551601142774129"</f>
        <v>1551601142774129</v>
      </c>
      <c r="C1295" t="s">
        <v>40</v>
      </c>
      <c r="D1295">
        <v>4.7022700000000004</v>
      </c>
      <c r="E1295">
        <v>0.54316600000000004</v>
      </c>
      <c r="F1295" t="s">
        <v>41</v>
      </c>
      <c r="G1295">
        <v>-241.11959999999999</v>
      </c>
      <c r="H1295" s="1">
        <v>-4.8945380000000001E-6</v>
      </c>
      <c r="I1295">
        <v>365.57850000000002</v>
      </c>
      <c r="J1295">
        <v>-259.1354</v>
      </c>
      <c r="K1295">
        <v>1.1216630000000001</v>
      </c>
      <c r="L1295">
        <v>367.42259999999999</v>
      </c>
      <c r="M1295">
        <v>0.99987720000000002</v>
      </c>
      <c r="N1295">
        <v>-1.489332E-2</v>
      </c>
      <c r="O1295">
        <v>4.8810290000000003E-3</v>
      </c>
      <c r="P1295">
        <v>0.98831999999999998</v>
      </c>
      <c r="Q1295">
        <v>0.15216360000000001</v>
      </c>
      <c r="R1295">
        <v>8.3569890000000004E-3</v>
      </c>
      <c r="S1295">
        <v>3.0673520000000001</v>
      </c>
      <c r="T1295">
        <v>-0.18969179999999999</v>
      </c>
      <c r="U1295">
        <v>-0.31176759999999998</v>
      </c>
      <c r="V1295">
        <v>-3.525958E-3</v>
      </c>
      <c r="W1295">
        <v>0.16686670000000001</v>
      </c>
      <c r="X1295">
        <v>0.98597319999999999</v>
      </c>
      <c r="Y1295">
        <v>0.1057211</v>
      </c>
      <c r="Z1295">
        <v>-4.2761409999999998E-3</v>
      </c>
      <c r="AA1295">
        <v>0.99438660000000001</v>
      </c>
      <c r="AB1295">
        <v>25</v>
      </c>
      <c r="AC1295">
        <v>18.015799999999999</v>
      </c>
      <c r="AD1295">
        <v>-1.1216678945380001</v>
      </c>
      <c r="AE1295">
        <v>-1.8440999999999601</v>
      </c>
      <c r="AF1295">
        <v>1.9246402268103999</v>
      </c>
      <c r="AG1295">
        <v>-1.1216678945380001</v>
      </c>
      <c r="AH1295">
        <v>17.9377713836525</v>
      </c>
      <c r="AI1295">
        <v>93.557739785021099</v>
      </c>
      <c r="AJ1295">
        <v>83.875856112193404</v>
      </c>
      <c r="AK1295">
        <v>18.075564198123299</v>
      </c>
      <c r="AL1295">
        <v>80.394308314911001</v>
      </c>
      <c r="AM1295">
        <v>90.204895681697906</v>
      </c>
      <c r="AN1295">
        <v>1.0000000395334701</v>
      </c>
    </row>
    <row r="1296" spans="1:40" x14ac:dyDescent="0.25">
      <c r="A1296" t="str">
        <f>"20190303161902790"</f>
        <v>20190303161902790</v>
      </c>
      <c r="B1296" t="str">
        <f>"1551601142783888"</f>
        <v>1551601142783888</v>
      </c>
      <c r="C1296" t="s">
        <v>40</v>
      </c>
      <c r="D1296">
        <v>4.6535080000000004</v>
      </c>
      <c r="E1296">
        <v>0.54316500000000001</v>
      </c>
      <c r="F1296" t="s">
        <v>41</v>
      </c>
      <c r="G1296">
        <v>-240.82149999999999</v>
      </c>
      <c r="H1296" s="1">
        <v>-5.0392150000000002E-6</v>
      </c>
      <c r="I1296">
        <v>365.55739999999997</v>
      </c>
      <c r="J1296">
        <v>-259.0052</v>
      </c>
      <c r="K1296">
        <v>1.1216649999999999</v>
      </c>
      <c r="L1296">
        <v>367.42329999999998</v>
      </c>
      <c r="M1296">
        <v>0.99987729999999997</v>
      </c>
      <c r="N1296">
        <v>-1.4890169999999999E-2</v>
      </c>
      <c r="O1296">
        <v>4.880934E-3</v>
      </c>
      <c r="P1296">
        <v>0.98835360000000005</v>
      </c>
      <c r="Q1296">
        <v>0.15194589999999999</v>
      </c>
      <c r="R1296">
        <v>8.3511000000000002E-3</v>
      </c>
      <c r="S1296">
        <v>3.0670169999999999</v>
      </c>
      <c r="T1296">
        <v>-0.18784529999999999</v>
      </c>
      <c r="U1296">
        <v>-0.31237789999999999</v>
      </c>
      <c r="V1296">
        <v>-3.519978E-3</v>
      </c>
      <c r="W1296">
        <v>0.16664670000000001</v>
      </c>
      <c r="X1296">
        <v>0.98601039999999995</v>
      </c>
      <c r="Y1296">
        <v>0.10593180000000001</v>
      </c>
      <c r="Z1296">
        <v>-4.2497560000000004E-3</v>
      </c>
      <c r="AA1296">
        <v>0.99436429999999998</v>
      </c>
      <c r="AB1296">
        <v>25</v>
      </c>
      <c r="AC1296">
        <v>18.183700000000002</v>
      </c>
      <c r="AD1296">
        <v>-1.1216700392150001</v>
      </c>
      <c r="AE1296">
        <v>-1.8659000000000101</v>
      </c>
      <c r="AF1296">
        <v>1.9473085526249601</v>
      </c>
      <c r="AG1296">
        <v>-1.1216700392150001</v>
      </c>
      <c r="AH1296">
        <v>18.106197059328998</v>
      </c>
      <c r="AI1296">
        <v>93.524641080952904</v>
      </c>
      <c r="AJ1296">
        <v>83.861475096843407</v>
      </c>
      <c r="AK1296">
        <v>18.245123354673499</v>
      </c>
      <c r="AL1296">
        <v>80.407092110152803</v>
      </c>
      <c r="AM1296">
        <v>90.204540465929497</v>
      </c>
      <c r="AN1296">
        <v>1.0000000108870799</v>
      </c>
    </row>
    <row r="1297" spans="1:40" x14ac:dyDescent="0.25">
      <c r="A1297" t="str">
        <f>"20190303161902801"</f>
        <v>20190303161902801</v>
      </c>
      <c r="B1297" t="str">
        <f>"1551601142793648"</f>
        <v>1551601142793648</v>
      </c>
      <c r="C1297" t="s">
        <v>40</v>
      </c>
      <c r="D1297">
        <v>4.642385</v>
      </c>
      <c r="E1297">
        <v>0.5431648</v>
      </c>
      <c r="F1297" t="s">
        <v>41</v>
      </c>
      <c r="G1297">
        <v>-240.5318</v>
      </c>
      <c r="H1297" s="1">
        <v>-5.179011E-6</v>
      </c>
      <c r="I1297">
        <v>365.54129999999998</v>
      </c>
      <c r="J1297">
        <v>-258.8759</v>
      </c>
      <c r="K1297">
        <v>1.121659</v>
      </c>
      <c r="L1297">
        <v>367.4239</v>
      </c>
      <c r="M1297">
        <v>0.99987720000000002</v>
      </c>
      <c r="N1297">
        <v>-1.4887030000000001E-2</v>
      </c>
      <c r="O1297">
        <v>4.880957E-3</v>
      </c>
      <c r="P1297">
        <v>0.98836279999999999</v>
      </c>
      <c r="Q1297">
        <v>0.1518862</v>
      </c>
      <c r="R1297">
        <v>8.330357E-3</v>
      </c>
      <c r="S1297">
        <v>3.0666199999999999</v>
      </c>
      <c r="T1297">
        <v>-0.1861988</v>
      </c>
      <c r="U1297">
        <v>-0.31240839999999998</v>
      </c>
      <c r="V1297">
        <v>-3.4988580000000001E-3</v>
      </c>
      <c r="W1297">
        <v>0.16658419999999999</v>
      </c>
      <c r="X1297">
        <v>0.98602100000000004</v>
      </c>
      <c r="Y1297">
        <v>0.105958399999999</v>
      </c>
      <c r="Z1297">
        <v>-4.2201529999999999E-3</v>
      </c>
      <c r="AA1297">
        <v>0.99436159999999996</v>
      </c>
      <c r="AB1297">
        <v>25</v>
      </c>
      <c r="AC1297">
        <v>18.344100000000001</v>
      </c>
      <c r="AD1297">
        <v>-1.121664179011</v>
      </c>
      <c r="AE1297">
        <v>-1.88260000000002</v>
      </c>
      <c r="AF1297">
        <v>1.96485461910038</v>
      </c>
      <c r="AG1297">
        <v>-1.121664179011</v>
      </c>
      <c r="AH1297">
        <v>18.267106199380599</v>
      </c>
      <c r="AI1297">
        <v>93.4936477933974</v>
      </c>
      <c r="AJ1297">
        <v>83.860729681350406</v>
      </c>
      <c r="AK1297">
        <v>18.406682294865799</v>
      </c>
      <c r="AL1297">
        <v>80.410723514405504</v>
      </c>
      <c r="AM1297">
        <v>90.203311040141401</v>
      </c>
      <c r="AN1297">
        <v>0.99999997506897098</v>
      </c>
    </row>
    <row r="1298" spans="1:40" x14ac:dyDescent="0.25">
      <c r="A1298" t="str">
        <f>"20190303161902814"</f>
        <v>20190303161902814</v>
      </c>
      <c r="B1298" t="str">
        <f>"1551601142804385"</f>
        <v>1551601142804385</v>
      </c>
      <c r="C1298" t="s">
        <v>40</v>
      </c>
      <c r="D1298">
        <v>4.6100560000000002</v>
      </c>
      <c r="E1298">
        <v>0.54317459999999995</v>
      </c>
      <c r="F1298" t="s">
        <v>41</v>
      </c>
      <c r="G1298">
        <v>-240.2432</v>
      </c>
      <c r="H1298" s="1">
        <v>-5.3183859999999998E-6</v>
      </c>
      <c r="I1298">
        <v>365.52480000000003</v>
      </c>
      <c r="J1298">
        <v>-258.7482</v>
      </c>
      <c r="K1298">
        <v>1.121661</v>
      </c>
      <c r="L1298">
        <v>367.42450000000002</v>
      </c>
      <c r="M1298">
        <v>0.99987729999999997</v>
      </c>
      <c r="N1298">
        <v>-1.488391E-2</v>
      </c>
      <c r="O1298">
        <v>4.8808009999999997E-3</v>
      </c>
      <c r="P1298">
        <v>0.98835070000000003</v>
      </c>
      <c r="Q1298">
        <v>0.15196309999999999</v>
      </c>
      <c r="R1298">
        <v>8.3860940000000002E-3</v>
      </c>
      <c r="S1298">
        <v>3.0663299999999998</v>
      </c>
      <c r="T1298">
        <v>-0.18458910000000001</v>
      </c>
      <c r="U1298">
        <v>-0.31253049999999999</v>
      </c>
      <c r="V1298">
        <v>-3.5552349999999999E-3</v>
      </c>
      <c r="W1298">
        <v>0.16665749999999999</v>
      </c>
      <c r="X1298">
        <v>0.98600840000000001</v>
      </c>
      <c r="Y1298">
        <v>0.1060106</v>
      </c>
      <c r="Z1298">
        <v>-4.1920480000000003E-3</v>
      </c>
      <c r="AA1298">
        <v>0.99435620000000002</v>
      </c>
      <c r="AB1298">
        <v>25</v>
      </c>
      <c r="AC1298">
        <v>18.5049999999999</v>
      </c>
      <c r="AD1298">
        <v>-1.1216663183859901</v>
      </c>
      <c r="AE1298">
        <v>-1.89969999999999</v>
      </c>
      <c r="AF1298">
        <v>1.9827976048265401</v>
      </c>
      <c r="AG1298">
        <v>-1.1216663183859901</v>
      </c>
      <c r="AH1298">
        <v>18.428504679721499</v>
      </c>
      <c r="AI1298">
        <v>93.463119886557294</v>
      </c>
      <c r="AJ1298">
        <v>83.858939142619903</v>
      </c>
      <c r="AK1298">
        <v>18.568775037735399</v>
      </c>
      <c r="AL1298">
        <v>80.406464080121296</v>
      </c>
      <c r="AM1298">
        <v>90.206589596923394</v>
      </c>
      <c r="AN1298">
        <v>0.999999963436356</v>
      </c>
    </row>
    <row r="1299" spans="1:40" x14ac:dyDescent="0.25">
      <c r="A1299" t="str">
        <f>"20190303161902827"</f>
        <v>20190303161902827</v>
      </c>
      <c r="B1299" t="str">
        <f>"1551601142814145"</f>
        <v>1551601142814145</v>
      </c>
      <c r="C1299" t="s">
        <v>40</v>
      </c>
      <c r="D1299">
        <v>4.5912790000000001</v>
      </c>
      <c r="E1299">
        <v>0.54317459999999995</v>
      </c>
      <c r="F1299" t="s">
        <v>41</v>
      </c>
      <c r="G1299">
        <v>-239.88159999999999</v>
      </c>
      <c r="H1299" s="1">
        <v>-1.121264E-6</v>
      </c>
      <c r="I1299">
        <v>365.50130000000001</v>
      </c>
      <c r="J1299">
        <v>-258.59129999999999</v>
      </c>
      <c r="K1299">
        <v>1.1216649999999999</v>
      </c>
      <c r="L1299">
        <v>367.42529999999999</v>
      </c>
      <c r="M1299">
        <v>0.99987749999999997</v>
      </c>
      <c r="N1299">
        <v>-1.488009E-2</v>
      </c>
      <c r="O1299">
        <v>4.8808300000000001E-3</v>
      </c>
      <c r="P1299">
        <v>0.98834789999999995</v>
      </c>
      <c r="Q1299">
        <v>0.15198599999999901</v>
      </c>
      <c r="R1299">
        <v>8.2992329999999996E-3</v>
      </c>
      <c r="S1299">
        <v>3.0660099999999999</v>
      </c>
      <c r="T1299">
        <v>-0.1822809</v>
      </c>
      <c r="U1299">
        <v>-0.31253049999999999</v>
      </c>
      <c r="V1299">
        <v>-3.4682430000000002E-3</v>
      </c>
      <c r="W1299">
        <v>0.1666763</v>
      </c>
      <c r="X1299">
        <v>0.98600549999999998</v>
      </c>
      <c r="Y1299">
        <v>0.1060265</v>
      </c>
      <c r="Z1299">
        <v>-4.1494430000000001E-3</v>
      </c>
      <c r="AA1299">
        <v>0.99435469999999904</v>
      </c>
      <c r="AB1299">
        <v>25</v>
      </c>
      <c r="AC1299">
        <v>18.709700000000002</v>
      </c>
      <c r="AD1299">
        <v>-1.121666121264</v>
      </c>
      <c r="AE1299">
        <v>-1.92399999999997</v>
      </c>
      <c r="AF1299">
        <v>2.00816397051236</v>
      </c>
      <c r="AG1299">
        <v>-1.121666121264</v>
      </c>
      <c r="AH1299">
        <v>18.633813837958801</v>
      </c>
      <c r="AI1299">
        <v>93.424989686785096</v>
      </c>
      <c r="AJ1299">
        <v>83.848980495000504</v>
      </c>
      <c r="AK1299">
        <v>18.775246351719598</v>
      </c>
      <c r="AL1299">
        <v>80.405371333923398</v>
      </c>
      <c r="AM1299">
        <v>90.201535251770693</v>
      </c>
      <c r="AN1299">
        <v>0.999999931860721</v>
      </c>
    </row>
    <row r="1300" spans="1:40" x14ac:dyDescent="0.25">
      <c r="A1300" t="str">
        <f>"20190303161902840"</f>
        <v>20190303161902840</v>
      </c>
      <c r="B1300" t="str">
        <f>"1551601142833665"</f>
        <v>1551601142833665</v>
      </c>
      <c r="C1300" t="s">
        <v>40</v>
      </c>
      <c r="D1300">
        <v>4.5429500000000003</v>
      </c>
      <c r="E1300">
        <v>0.5431994</v>
      </c>
      <c r="F1300" t="s">
        <v>41</v>
      </c>
      <c r="G1300">
        <v>-239.732</v>
      </c>
      <c r="H1300" s="1">
        <v>-1.17142E-6</v>
      </c>
      <c r="I1300">
        <v>365.50420000000003</v>
      </c>
      <c r="J1300">
        <v>-258.43549999999999</v>
      </c>
      <c r="K1300">
        <v>1.1216619999999999</v>
      </c>
      <c r="L1300">
        <v>367.42610000000002</v>
      </c>
      <c r="M1300">
        <v>0.99987760000000003</v>
      </c>
      <c r="N1300">
        <v>-1.48764E-2</v>
      </c>
      <c r="O1300">
        <v>4.8806789999999997E-3</v>
      </c>
      <c r="P1300">
        <v>0.98840280000000003</v>
      </c>
      <c r="Q1300">
        <v>0.15162819999999999</v>
      </c>
      <c r="R1300">
        <v>8.3199390000000002E-3</v>
      </c>
      <c r="S1300">
        <v>3.0660400000000001</v>
      </c>
      <c r="T1300">
        <v>-0.1823533</v>
      </c>
      <c r="U1300">
        <v>-0.31231690000000001</v>
      </c>
      <c r="V1300">
        <v>-3.4886750000000001E-3</v>
      </c>
      <c r="W1300">
        <v>0.16631570000000001</v>
      </c>
      <c r="X1300">
        <v>0.98606640000000001</v>
      </c>
      <c r="Y1300">
        <v>0.1059568</v>
      </c>
      <c r="Z1300">
        <v>-4.1480060000000001E-3</v>
      </c>
      <c r="AA1300">
        <v>0.99436210000000003</v>
      </c>
      <c r="AB1300">
        <v>25</v>
      </c>
      <c r="AC1300">
        <v>18.703499999999899</v>
      </c>
      <c r="AD1300">
        <v>-1.12166317142</v>
      </c>
      <c r="AE1300">
        <v>-1.9218999999999899</v>
      </c>
      <c r="AF1300">
        <v>2.00603366850636</v>
      </c>
      <c r="AG1300">
        <v>-1.12166317142</v>
      </c>
      <c r="AH1300">
        <v>18.627601925489799</v>
      </c>
      <c r="AI1300">
        <v>93.426148685403206</v>
      </c>
      <c r="AJ1300">
        <v>83.853422289318402</v>
      </c>
      <c r="AK1300">
        <v>18.7688532639533</v>
      </c>
      <c r="AL1300">
        <v>80.426325451752703</v>
      </c>
      <c r="AM1300">
        <v>90.2027099996413</v>
      </c>
      <c r="AN1300">
        <v>1.0000000140643499</v>
      </c>
    </row>
    <row r="1301" spans="1:40" x14ac:dyDescent="0.25">
      <c r="A1301" t="str">
        <f>"20190303161902856"</f>
        <v>20190303161902856</v>
      </c>
      <c r="B1301" t="str">
        <f>"1551601142844400"</f>
        <v>1551601142844400</v>
      </c>
      <c r="C1301" t="s">
        <v>40</v>
      </c>
      <c r="D1301">
        <v>4.5180300000000004</v>
      </c>
      <c r="E1301">
        <v>0.54320729999999995</v>
      </c>
      <c r="F1301" t="s">
        <v>41</v>
      </c>
      <c r="G1301">
        <v>-224.4222</v>
      </c>
      <c r="H1301" s="1">
        <v>-3.3944539999999999E-6</v>
      </c>
      <c r="I1301">
        <v>363.94040000000001</v>
      </c>
      <c r="J1301">
        <v>-258.26900000000001</v>
      </c>
      <c r="K1301">
        <v>1.1216619999999999</v>
      </c>
      <c r="L1301">
        <v>367.42689999999999</v>
      </c>
      <c r="M1301">
        <v>0.99987749999999997</v>
      </c>
      <c r="N1301">
        <v>-1.4872410000000001E-2</v>
      </c>
      <c r="O1301">
        <v>4.8807089999999996E-3</v>
      </c>
      <c r="P1301">
        <v>0.98838930000000003</v>
      </c>
      <c r="Q1301">
        <v>0.1517155</v>
      </c>
      <c r="R1301">
        <v>8.3087379999999995E-3</v>
      </c>
      <c r="S1301">
        <v>3.0533139999999999</v>
      </c>
      <c r="T1301">
        <v>-0.1006896</v>
      </c>
      <c r="U1301">
        <v>-0.31289670000000003</v>
      </c>
      <c r="V1301">
        <v>-3.4773410000000001E-3</v>
      </c>
      <c r="W1301">
        <v>0.1663994</v>
      </c>
      <c r="X1301">
        <v>0.98605229999999999</v>
      </c>
      <c r="Y1301">
        <v>0.10671410000000001</v>
      </c>
      <c r="Z1301">
        <v>-2.638582E-3</v>
      </c>
      <c r="AA1301">
        <v>0.99428620000000001</v>
      </c>
      <c r="AB1301">
        <v>25</v>
      </c>
      <c r="AC1301">
        <v>33.846800000000002</v>
      </c>
      <c r="AD1301">
        <v>-1.121665394454</v>
      </c>
      <c r="AE1301">
        <v>-3.4864999999999702</v>
      </c>
      <c r="AF1301">
        <v>3.6477091702288398</v>
      </c>
      <c r="AG1301">
        <v>-1.121665394454</v>
      </c>
      <c r="AH1301">
        <v>33.792655999051902</v>
      </c>
      <c r="AI1301">
        <v>91.890124878109006</v>
      </c>
      <c r="AJ1301">
        <v>83.8391280107368</v>
      </c>
      <c r="AK1301">
        <v>34.007462635691397</v>
      </c>
      <c r="AL1301">
        <v>80.421461844011901</v>
      </c>
      <c r="AM1301">
        <v>90.202054330489105</v>
      </c>
      <c r="AN1301">
        <v>0.99999999527803995</v>
      </c>
    </row>
    <row r="1302" spans="1:40" x14ac:dyDescent="0.25">
      <c r="A1302" t="str">
        <f>"20190303161902869"</f>
        <v>20190303161902869</v>
      </c>
      <c r="B1302" t="str">
        <f>"1551601142863920"</f>
        <v>1551601142863920</v>
      </c>
      <c r="C1302" t="s">
        <v>40</v>
      </c>
      <c r="D1302">
        <v>4.4989540000000003</v>
      </c>
      <c r="E1302">
        <v>0.54342199999999996</v>
      </c>
      <c r="F1302" t="s">
        <v>41</v>
      </c>
      <c r="G1302">
        <v>-222.56809999999999</v>
      </c>
      <c r="H1302" s="1">
        <v>-4.2085179999999997E-6</v>
      </c>
      <c r="I1302">
        <v>363.76490000000001</v>
      </c>
      <c r="J1302">
        <v>-258.12209999999999</v>
      </c>
      <c r="K1302">
        <v>1.121669</v>
      </c>
      <c r="L1302">
        <v>367.42759999999998</v>
      </c>
      <c r="M1302">
        <v>0.99987760000000003</v>
      </c>
      <c r="N1302">
        <v>-1.4868869999999999E-2</v>
      </c>
      <c r="O1302">
        <v>4.8805560000000003E-3</v>
      </c>
      <c r="P1302">
        <v>0.98838769999999998</v>
      </c>
      <c r="Q1302">
        <v>0.15174209999999999</v>
      </c>
      <c r="R1302">
        <v>8.0231969999999993E-3</v>
      </c>
      <c r="S1302">
        <v>3.052597</v>
      </c>
      <c r="T1302">
        <v>-9.5907690000000004E-2</v>
      </c>
      <c r="U1302">
        <v>-0.31311040000000001</v>
      </c>
      <c r="V1302">
        <v>-3.1923950000000002E-3</v>
      </c>
      <c r="W1302">
        <v>0.1664224</v>
      </c>
      <c r="X1302">
        <v>0.98604939999999996</v>
      </c>
      <c r="Y1302">
        <v>0.10681309999999999</v>
      </c>
      <c r="Z1302">
        <v>-2.5501920000000002E-3</v>
      </c>
      <c r="AA1302">
        <v>0.99427589999999999</v>
      </c>
      <c r="AB1302">
        <v>25</v>
      </c>
      <c r="AC1302">
        <v>35.554000000000002</v>
      </c>
      <c r="AD1302">
        <v>-1.1216732085179999</v>
      </c>
      <c r="AE1302">
        <v>-3.6626999999999699</v>
      </c>
      <c r="AF1302">
        <v>3.8324244589585299</v>
      </c>
      <c r="AG1302">
        <v>-1.1216732085179999</v>
      </c>
      <c r="AH1302">
        <v>35.500735497802502</v>
      </c>
      <c r="AI1302">
        <v>91.799255543643795</v>
      </c>
      <c r="AJ1302">
        <v>83.838587791861897</v>
      </c>
      <c r="AK1302">
        <v>35.724611249183198</v>
      </c>
      <c r="AL1302">
        <v>80.420125577092506</v>
      </c>
      <c r="AM1302">
        <v>90.185497928364001</v>
      </c>
      <c r="AN1302">
        <v>1.0000000129239699</v>
      </c>
    </row>
    <row r="1303" spans="1:40" x14ac:dyDescent="0.25">
      <c r="A1303" t="str">
        <f>"20190303161902883"</f>
        <v>20190303161902883</v>
      </c>
      <c r="B1303" t="str">
        <f>"1551601142873681"</f>
        <v>1551601142873681</v>
      </c>
      <c r="C1303" t="s">
        <v>40</v>
      </c>
      <c r="D1303">
        <v>4.4748429999999999</v>
      </c>
      <c r="E1303">
        <v>0.54340269999999902</v>
      </c>
      <c r="F1303" t="s">
        <v>41</v>
      </c>
      <c r="G1303">
        <v>-222.13659999999999</v>
      </c>
      <c r="H1303" s="1">
        <v>-4.404854E-6</v>
      </c>
      <c r="I1303">
        <v>363.70170000000002</v>
      </c>
      <c r="J1303">
        <v>-257.97089999999997</v>
      </c>
      <c r="K1303">
        <v>1.121669</v>
      </c>
      <c r="L1303">
        <v>367.42840000000001</v>
      </c>
      <c r="M1303">
        <v>0.99987760000000003</v>
      </c>
      <c r="N1303">
        <v>-1.486521E-2</v>
      </c>
      <c r="O1303">
        <v>4.8805840000000003E-3</v>
      </c>
      <c r="P1303">
        <v>0.98838329999999996</v>
      </c>
      <c r="Q1303">
        <v>0.15177839999999901</v>
      </c>
      <c r="R1303">
        <v>7.8607699999999996E-3</v>
      </c>
      <c r="S1303">
        <v>3.0524140000000002</v>
      </c>
      <c r="T1303">
        <v>-9.5144030000000004E-2</v>
      </c>
      <c r="U1303">
        <v>-0.31603999999999999</v>
      </c>
      <c r="V1303">
        <v>-3.0292240000000001E-3</v>
      </c>
      <c r="W1303">
        <v>0.16645489999999999</v>
      </c>
      <c r="X1303">
        <v>0.98604440000000004</v>
      </c>
      <c r="Y1303">
        <v>0.10776380000000001</v>
      </c>
      <c r="Z1303">
        <v>-2.5574009999999999E-3</v>
      </c>
      <c r="AA1303">
        <v>0.99417319999999998</v>
      </c>
      <c r="AB1303">
        <v>25</v>
      </c>
      <c r="AC1303">
        <v>35.834299999999899</v>
      </c>
      <c r="AD1303">
        <v>-1.121673404854</v>
      </c>
      <c r="AE1303">
        <v>-3.7266999999999899</v>
      </c>
      <c r="AF1303">
        <v>3.8977890726352098</v>
      </c>
      <c r="AG1303">
        <v>-1.121673404854</v>
      </c>
      <c r="AH1303">
        <v>35.780999722854901</v>
      </c>
      <c r="AI1303">
        <v>91.784984245058197</v>
      </c>
      <c r="AJ1303">
        <v>83.783021322114394</v>
      </c>
      <c r="AK1303">
        <v>36.010149292232299</v>
      </c>
      <c r="AL1303">
        <v>80.418236847427195</v>
      </c>
      <c r="AM1303">
        <v>90.176017636112803</v>
      </c>
      <c r="AN1303">
        <v>0.99999998435170501</v>
      </c>
    </row>
    <row r="1304" spans="1:40" x14ac:dyDescent="0.25">
      <c r="A1304" t="str">
        <f>"20190303161902897"</f>
        <v>20190303161902897</v>
      </c>
      <c r="B1304" t="str">
        <f>"1551601142894177"</f>
        <v>1551601142894177</v>
      </c>
      <c r="C1304" t="s">
        <v>40</v>
      </c>
      <c r="D1304">
        <v>4.4076469999999999</v>
      </c>
      <c r="E1304">
        <v>0.5436744</v>
      </c>
      <c r="F1304" t="s">
        <v>41</v>
      </c>
      <c r="G1304">
        <v>-221.2756</v>
      </c>
      <c r="H1304" s="1">
        <v>-4.7876569999999998E-6</v>
      </c>
      <c r="I1304">
        <v>363.62599999999998</v>
      </c>
      <c r="J1304">
        <v>-257.81450000000001</v>
      </c>
      <c r="K1304">
        <v>1.1216660000000001</v>
      </c>
      <c r="L1304">
        <v>367.42910000000001</v>
      </c>
      <c r="M1304">
        <v>0.99987780000000004</v>
      </c>
      <c r="N1304">
        <v>-1.486138E-2</v>
      </c>
      <c r="O1304">
        <v>4.880433E-3</v>
      </c>
      <c r="P1304">
        <v>0.98841239999999997</v>
      </c>
      <c r="Q1304">
        <v>0.15161040000000001</v>
      </c>
      <c r="R1304">
        <v>7.4413509999999997E-3</v>
      </c>
      <c r="S1304">
        <v>3.0521090000000002</v>
      </c>
      <c r="T1304">
        <v>-9.3294379999999996E-2</v>
      </c>
      <c r="U1304">
        <v>-0.31625370000000003</v>
      </c>
      <c r="V1304">
        <v>-2.6103680000000001E-3</v>
      </c>
      <c r="W1304">
        <v>0.16628370000000001</v>
      </c>
      <c r="X1304">
        <v>0.98607449999999996</v>
      </c>
      <c r="Y1304">
        <v>0.1078451</v>
      </c>
      <c r="Z1304">
        <v>-2.5237329999999998E-3</v>
      </c>
      <c r="AA1304">
        <v>0.99416450000000001</v>
      </c>
      <c r="AB1304">
        <v>25</v>
      </c>
      <c r="AC1304">
        <v>36.538899999999998</v>
      </c>
      <c r="AD1304">
        <v>-1.121670787657</v>
      </c>
      <c r="AE1304">
        <v>-3.8031000000000201</v>
      </c>
      <c r="AF1304">
        <v>3.9776917496965498</v>
      </c>
      <c r="AG1304">
        <v>-1.121670787657</v>
      </c>
      <c r="AH1304">
        <v>36.485887338338003</v>
      </c>
      <c r="AI1304">
        <v>91.750500808816298</v>
      </c>
      <c r="AJ1304">
        <v>83.778185491659499</v>
      </c>
      <c r="AK1304">
        <v>36.719206852509501</v>
      </c>
      <c r="AL1304">
        <v>80.428184683709205</v>
      </c>
      <c r="AM1304">
        <v>90.151674868385896</v>
      </c>
      <c r="AN1304">
        <v>1.00000000122851</v>
      </c>
    </row>
    <row r="1305" spans="1:40" x14ac:dyDescent="0.25">
      <c r="A1305" t="str">
        <f>"20190303161902911"</f>
        <v>20190303161902911</v>
      </c>
      <c r="B1305" t="str">
        <f>"1551601142903938"</f>
        <v>1551601142903938</v>
      </c>
      <c r="C1305" t="s">
        <v>40</v>
      </c>
      <c r="D1305">
        <v>4.4189379999999998</v>
      </c>
      <c r="E1305">
        <v>0.54377439999999999</v>
      </c>
      <c r="F1305" t="s">
        <v>41</v>
      </c>
      <c r="G1305">
        <v>-221.0309</v>
      </c>
      <c r="H1305" s="1">
        <v>-4.9018509999999997E-6</v>
      </c>
      <c r="I1305">
        <v>363.57389999999998</v>
      </c>
      <c r="J1305">
        <v>-257.65429999999998</v>
      </c>
      <c r="K1305">
        <v>1.121664</v>
      </c>
      <c r="L1305">
        <v>367.42989999999998</v>
      </c>
      <c r="M1305">
        <v>0.99987769999999998</v>
      </c>
      <c r="N1305">
        <v>-1.4857459999999999E-2</v>
      </c>
      <c r="O1305">
        <v>4.8804629999999998E-3</v>
      </c>
      <c r="P1305">
        <v>0.98841979999999996</v>
      </c>
      <c r="Q1305">
        <v>0.1515657</v>
      </c>
      <c r="R1305">
        <v>7.3814350000000004E-3</v>
      </c>
      <c r="S1305">
        <v>3.0518489999999998</v>
      </c>
      <c r="T1305">
        <v>-9.3062279999999997E-2</v>
      </c>
      <c r="U1305">
        <v>-0.31985469999999999</v>
      </c>
      <c r="V1305">
        <v>-2.5506729999999998E-3</v>
      </c>
      <c r="W1305">
        <v>0.16623479999999999</v>
      </c>
      <c r="X1305">
        <v>0.98608289999999998</v>
      </c>
      <c r="Y1305">
        <v>0.10901370000000001</v>
      </c>
      <c r="Z1305">
        <v>-2.5456519999999998E-3</v>
      </c>
      <c r="AA1305">
        <v>0.99403699999999995</v>
      </c>
      <c r="AB1305">
        <v>25</v>
      </c>
      <c r="AC1305">
        <v>36.623399999999897</v>
      </c>
      <c r="AD1305">
        <v>-1.121668901851</v>
      </c>
      <c r="AE1305">
        <v>-3.8559999999999901</v>
      </c>
      <c r="AF1305">
        <v>4.0309732716878504</v>
      </c>
      <c r="AG1305">
        <v>-1.121668901851</v>
      </c>
      <c r="AH1305">
        <v>36.5702151091837</v>
      </c>
      <c r="AI1305">
        <v>91.746235959810207</v>
      </c>
      <c r="AJ1305">
        <v>83.709931406272304</v>
      </c>
      <c r="AK1305">
        <v>36.808796771619797</v>
      </c>
      <c r="AL1305">
        <v>80.431025982198904</v>
      </c>
      <c r="AM1305">
        <v>90.148205056469706</v>
      </c>
      <c r="AN1305">
        <v>1.0000000001681</v>
      </c>
    </row>
    <row r="1306" spans="1:40" x14ac:dyDescent="0.25">
      <c r="A1306" t="str">
        <f>"20190303161902925"</f>
        <v>20190303161902925</v>
      </c>
      <c r="B1306" t="str">
        <f>"1551601142913697"</f>
        <v>1551601142913697</v>
      </c>
      <c r="C1306" t="s">
        <v>40</v>
      </c>
      <c r="D1306">
        <v>4.4073890000000002</v>
      </c>
      <c r="E1306">
        <v>0.54382410000000003</v>
      </c>
      <c r="F1306" t="s">
        <v>41</v>
      </c>
      <c r="G1306">
        <v>-219.7585</v>
      </c>
      <c r="H1306" s="1">
        <v>-1.709918E-6</v>
      </c>
      <c r="I1306">
        <v>363.44659999999999</v>
      </c>
      <c r="J1306">
        <v>-257.50450000000001</v>
      </c>
      <c r="K1306">
        <v>1.1216660000000001</v>
      </c>
      <c r="L1306">
        <v>367.43060000000003</v>
      </c>
      <c r="M1306">
        <v>0.99987789999999999</v>
      </c>
      <c r="N1306">
        <v>-1.485381E-2</v>
      </c>
      <c r="O1306">
        <v>4.880311E-3</v>
      </c>
      <c r="P1306">
        <v>0.98845510000000003</v>
      </c>
      <c r="Q1306">
        <v>0.1513555</v>
      </c>
      <c r="R1306">
        <v>6.964306E-3</v>
      </c>
      <c r="S1306">
        <v>3.0513919999999999</v>
      </c>
      <c r="T1306">
        <v>-9.0317010000000003E-2</v>
      </c>
      <c r="U1306">
        <v>-0.32073970000000002</v>
      </c>
      <c r="V1306">
        <v>-2.1332130000000001E-3</v>
      </c>
      <c r="W1306">
        <v>0.16602140000000001</v>
      </c>
      <c r="X1306">
        <v>0.98611990000000005</v>
      </c>
      <c r="Y1306">
        <v>0.1093177</v>
      </c>
      <c r="Z1306">
        <v>-2.4992130000000001E-3</v>
      </c>
      <c r="AA1306">
        <v>0.99400370000000005</v>
      </c>
      <c r="AB1306">
        <v>25</v>
      </c>
      <c r="AC1306">
        <v>37.746000000000002</v>
      </c>
      <c r="AD1306">
        <v>-1.1216677099179999</v>
      </c>
      <c r="AE1306">
        <v>-3.9840000000000302</v>
      </c>
      <c r="AF1306">
        <v>4.1645480668127703</v>
      </c>
      <c r="AG1306">
        <v>-1.1216677099179999</v>
      </c>
      <c r="AH1306">
        <v>37.693186744394097</v>
      </c>
      <c r="AI1306">
        <v>91.694192363185195</v>
      </c>
      <c r="AJ1306">
        <v>83.695222204848804</v>
      </c>
      <c r="AK1306">
        <v>37.939134491973199</v>
      </c>
      <c r="AL1306">
        <v>80.443425742391</v>
      </c>
      <c r="AM1306">
        <v>90.123944269910297</v>
      </c>
      <c r="AN1306">
        <v>1.00000005651583</v>
      </c>
    </row>
    <row r="1307" spans="1:40" x14ac:dyDescent="0.25">
      <c r="A1307" t="str">
        <f>"20190303161902938"</f>
        <v>20190303161902938</v>
      </c>
      <c r="B1307" t="str">
        <f>"1551601142934192"</f>
        <v>1551601142934192</v>
      </c>
      <c r="C1307" t="s">
        <v>40</v>
      </c>
      <c r="D1307">
        <v>4.3670669999999996</v>
      </c>
      <c r="E1307">
        <v>0.54396180000000005</v>
      </c>
      <c r="F1307" t="s">
        <v>41</v>
      </c>
      <c r="G1307">
        <v>-218.78870000000001</v>
      </c>
      <c r="H1307" s="1">
        <v>-2.0686430000000001E-6</v>
      </c>
      <c r="I1307">
        <v>363.33870000000002</v>
      </c>
      <c r="J1307">
        <v>-257.35879999999997</v>
      </c>
      <c r="K1307">
        <v>1.1216600000000001</v>
      </c>
      <c r="L1307">
        <v>367.43130000000002</v>
      </c>
      <c r="M1307">
        <v>0.99987789999999999</v>
      </c>
      <c r="N1307">
        <v>-1.485028E-2</v>
      </c>
      <c r="O1307">
        <v>4.8803379999999997E-3</v>
      </c>
      <c r="P1307">
        <v>0.98844520000000002</v>
      </c>
      <c r="Q1307">
        <v>0.1514211</v>
      </c>
      <c r="R1307">
        <v>6.9123999999999904E-3</v>
      </c>
      <c r="S1307">
        <v>3.0508419999999998</v>
      </c>
      <c r="T1307">
        <v>-8.8388439999999999E-2</v>
      </c>
      <c r="U1307">
        <v>-0.32244869999999998</v>
      </c>
      <c r="V1307">
        <v>-2.0809969999999998E-3</v>
      </c>
      <c r="W1307">
        <v>0.16608339999999999</v>
      </c>
      <c r="X1307">
        <v>0.98610949999999997</v>
      </c>
      <c r="Y1307">
        <v>0.10988920000000001</v>
      </c>
      <c r="Z1307">
        <v>-2.4743180000000001E-3</v>
      </c>
      <c r="AA1307">
        <v>0.99394079999999996</v>
      </c>
      <c r="AB1307">
        <v>25</v>
      </c>
      <c r="AC1307">
        <v>38.570099999999897</v>
      </c>
      <c r="AD1307">
        <v>-1.1216620686429899</v>
      </c>
      <c r="AE1307">
        <v>-4.0926</v>
      </c>
      <c r="AF1307">
        <v>4.2772300877358704</v>
      </c>
      <c r="AG1307">
        <v>-1.1216620686429899</v>
      </c>
      <c r="AH1307">
        <v>38.5174530951344</v>
      </c>
      <c r="AI1307">
        <v>91.657847347337395</v>
      </c>
      <c r="AJ1307">
        <v>83.663462532428795</v>
      </c>
      <c r="AK1307">
        <v>38.770439976295599</v>
      </c>
      <c r="AL1307">
        <v>80.439822713543606</v>
      </c>
      <c r="AM1307">
        <v>90.120911692142698</v>
      </c>
      <c r="AN1307">
        <v>0.99999998614716101</v>
      </c>
    </row>
    <row r="1308" spans="1:40" x14ac:dyDescent="0.25">
      <c r="A1308" t="str">
        <f>"20190303161902950"</f>
        <v>20190303161902950</v>
      </c>
      <c r="B1308" t="str">
        <f>"1551601142943953"</f>
        <v>1551601142943953</v>
      </c>
      <c r="C1308" t="s">
        <v>40</v>
      </c>
      <c r="D1308">
        <v>4.2428520000000001</v>
      </c>
      <c r="E1308">
        <v>0.54391080000000003</v>
      </c>
      <c r="F1308" t="s">
        <v>41</v>
      </c>
      <c r="G1308">
        <v>-218.19579999999999</v>
      </c>
      <c r="H1308" s="1">
        <v>-2.287128E-6</v>
      </c>
      <c r="I1308">
        <v>363.2758</v>
      </c>
      <c r="J1308">
        <v>-257.2199</v>
      </c>
      <c r="K1308">
        <v>1.1216600000000001</v>
      </c>
      <c r="L1308">
        <v>367.43189999999998</v>
      </c>
      <c r="M1308">
        <v>0.99987800000000004</v>
      </c>
      <c r="N1308">
        <v>-1.484692E-2</v>
      </c>
      <c r="O1308">
        <v>4.8800650000000003E-3</v>
      </c>
      <c r="P1308">
        <v>0.98844719999999997</v>
      </c>
      <c r="Q1308">
        <v>0.15141930000000001</v>
      </c>
      <c r="R1308">
        <v>6.6892740000000003E-3</v>
      </c>
      <c r="S1308">
        <v>3.0507200000000001</v>
      </c>
      <c r="T1308">
        <v>-8.7375040000000001E-2</v>
      </c>
      <c r="U1308">
        <v>-0.32369999999999999</v>
      </c>
      <c r="V1308">
        <v>-1.8581159999999999E-3</v>
      </c>
      <c r="W1308">
        <v>0.16607820000000001</v>
      </c>
      <c r="X1308">
        <v>0.98611079999999995</v>
      </c>
      <c r="Y1308">
        <v>0.1102973</v>
      </c>
      <c r="Z1308">
        <v>-2.4632510000000001E-3</v>
      </c>
      <c r="AA1308">
        <v>0.99389559999999999</v>
      </c>
      <c r="AB1308">
        <v>25</v>
      </c>
      <c r="AC1308">
        <v>39.024099999999997</v>
      </c>
      <c r="AD1308">
        <v>-1.121662287128</v>
      </c>
      <c r="AE1308">
        <v>-4.1560999999999799</v>
      </c>
      <c r="AF1308">
        <v>4.3429639163016098</v>
      </c>
      <c r="AG1308">
        <v>-1.121662287128</v>
      </c>
      <c r="AH1308">
        <v>38.971515748590903</v>
      </c>
      <c r="AI1308">
        <v>91.638471743647401</v>
      </c>
      <c r="AJ1308">
        <v>83.641226440873396</v>
      </c>
      <c r="AK1308">
        <v>39.228796841189698</v>
      </c>
      <c r="AL1308">
        <v>80.440124648294798</v>
      </c>
      <c r="AM1308">
        <v>90.107961578604105</v>
      </c>
      <c r="AN1308">
        <v>0.99999996549347403</v>
      </c>
    </row>
    <row r="1309" spans="1:40" x14ac:dyDescent="0.25">
      <c r="A1309" t="str">
        <f>"20190303161902965"</f>
        <v>20190303161902965</v>
      </c>
      <c r="B1309" t="str">
        <f>"1551601142953713"</f>
        <v>1551601142953713</v>
      </c>
      <c r="C1309" t="s">
        <v>40</v>
      </c>
      <c r="D1309">
        <v>4.3682699999999999</v>
      </c>
      <c r="E1309">
        <v>0.54392680000000004</v>
      </c>
      <c r="F1309" t="s">
        <v>41</v>
      </c>
      <c r="G1309">
        <v>-216.59639999999999</v>
      </c>
      <c r="H1309" s="1">
        <v>-2.8740700000000002E-6</v>
      </c>
      <c r="I1309">
        <v>363.11540000000002</v>
      </c>
      <c r="J1309">
        <v>-257.05930000000001</v>
      </c>
      <c r="K1309">
        <v>1.1216649999999999</v>
      </c>
      <c r="L1309">
        <v>367.43270000000001</v>
      </c>
      <c r="M1309">
        <v>0.99987800000000004</v>
      </c>
      <c r="N1309">
        <v>-1.484304E-2</v>
      </c>
      <c r="O1309">
        <v>4.8800939999999998E-3</v>
      </c>
      <c r="P1309">
        <v>0.98837600000000003</v>
      </c>
      <c r="Q1309">
        <v>0.15189079999999999</v>
      </c>
      <c r="R1309">
        <v>6.5049039999999997E-3</v>
      </c>
      <c r="S1309">
        <v>3.0501559999999999</v>
      </c>
      <c r="T1309">
        <v>-8.4218379999999995E-2</v>
      </c>
      <c r="U1309">
        <v>-0.32409670000000002</v>
      </c>
      <c r="V1309">
        <v>-1.6741289999999999E-3</v>
      </c>
      <c r="W1309">
        <v>0.16654469999999999</v>
      </c>
      <c r="X1309">
        <v>0.98603249999999998</v>
      </c>
      <c r="Y1309">
        <v>0.1104484</v>
      </c>
      <c r="Z1309">
        <v>-2.4046419999999998E-3</v>
      </c>
      <c r="AA1309">
        <v>0.99387899999999996</v>
      </c>
      <c r="AB1309">
        <v>25</v>
      </c>
      <c r="AC1309">
        <v>40.462899999999998</v>
      </c>
      <c r="AD1309">
        <v>-1.1216678740699999</v>
      </c>
      <c r="AE1309">
        <v>-4.3172999999999799</v>
      </c>
      <c r="AF1309">
        <v>4.5113053941980397</v>
      </c>
      <c r="AG1309">
        <v>-1.1216678740699999</v>
      </c>
      <c r="AH1309">
        <v>40.410642986636702</v>
      </c>
      <c r="AI1309">
        <v>91.580125235267204</v>
      </c>
      <c r="AJ1309">
        <v>83.630070801059702</v>
      </c>
      <c r="AK1309">
        <v>40.677144464340799</v>
      </c>
      <c r="AL1309">
        <v>80.413019151646097</v>
      </c>
      <c r="AM1309">
        <v>90.097279180849895</v>
      </c>
      <c r="AN1309">
        <v>1.0000000154311199</v>
      </c>
    </row>
    <row r="1310" spans="1:40" x14ac:dyDescent="0.25">
      <c r="A1310" t="str">
        <f>"20190303161902979"</f>
        <v>20190303161902979</v>
      </c>
      <c r="B1310" t="str">
        <f>"1551601142974209"</f>
        <v>1551601142974209</v>
      </c>
      <c r="C1310" t="s">
        <v>40</v>
      </c>
      <c r="D1310">
        <v>4.3342320000000001</v>
      </c>
      <c r="E1310">
        <v>0.54403959999999996</v>
      </c>
      <c r="F1310" t="s">
        <v>41</v>
      </c>
      <c r="G1310">
        <v>-214.1403</v>
      </c>
      <c r="H1310" s="1">
        <v>-3.776968E-6</v>
      </c>
      <c r="I1310">
        <v>362.86340000000001</v>
      </c>
      <c r="J1310">
        <v>-256.90679999999998</v>
      </c>
      <c r="K1310">
        <v>1.121667</v>
      </c>
      <c r="L1310">
        <v>367.43349999999998</v>
      </c>
      <c r="M1310">
        <v>0.99987800000000004</v>
      </c>
      <c r="N1310">
        <v>-1.4839359999999999E-2</v>
      </c>
      <c r="O1310">
        <v>4.8801209999999899E-3</v>
      </c>
      <c r="P1310">
        <v>0.98839619999999995</v>
      </c>
      <c r="Q1310">
        <v>0.1517675</v>
      </c>
      <c r="R1310">
        <v>6.3099469999999998E-3</v>
      </c>
      <c r="S1310">
        <v>3.0496669999999999</v>
      </c>
      <c r="T1310">
        <v>-7.9701540000000001E-2</v>
      </c>
      <c r="U1310">
        <v>-0.32467649999999998</v>
      </c>
      <c r="V1310">
        <v>-1.4795079999999901E-3</v>
      </c>
      <c r="W1310">
        <v>0.1664187</v>
      </c>
      <c r="X1310">
        <v>0.98605410000000004</v>
      </c>
      <c r="Y1310">
        <v>0.11065750000000001</v>
      </c>
      <c r="Z1310">
        <v>-2.3202499999999998E-3</v>
      </c>
      <c r="AA1310">
        <v>0.99385590000000001</v>
      </c>
      <c r="AB1310">
        <v>25</v>
      </c>
      <c r="AC1310">
        <v>42.766499999999901</v>
      </c>
      <c r="AD1310">
        <v>-1.1216707769680001</v>
      </c>
      <c r="AE1310">
        <v>-4.5700999999999601</v>
      </c>
      <c r="AF1310">
        <v>4.7755262617860401</v>
      </c>
      <c r="AG1310">
        <v>-1.1216707769680001</v>
      </c>
      <c r="AH1310">
        <v>42.7146340181135</v>
      </c>
      <c r="AI1310">
        <v>91.494911205905694</v>
      </c>
      <c r="AJ1310">
        <v>83.620782147970203</v>
      </c>
      <c r="AK1310">
        <v>42.995392261384097</v>
      </c>
      <c r="AL1310">
        <v>80.420340738470003</v>
      </c>
      <c r="AM1310">
        <v>90.085968407354102</v>
      </c>
      <c r="AN1310">
        <v>1.0000000303902099</v>
      </c>
    </row>
    <row r="1311" spans="1:40" x14ac:dyDescent="0.25">
      <c r="A1311" t="str">
        <f>"20190303161902992"</f>
        <v>20190303161902992</v>
      </c>
      <c r="B1311" t="str">
        <f>"1551601142983969"</f>
        <v>1551601142983969</v>
      </c>
      <c r="C1311" t="s">
        <v>40</v>
      </c>
      <c r="D1311">
        <v>4.3619719999999997</v>
      </c>
      <c r="E1311">
        <v>0.54411359999999998</v>
      </c>
      <c r="F1311" t="s">
        <v>41</v>
      </c>
      <c r="G1311">
        <v>-212.26740000000001</v>
      </c>
      <c r="H1311" s="1">
        <v>-4.5341600000000003E-6</v>
      </c>
      <c r="I1311">
        <v>362.65640000000002</v>
      </c>
      <c r="J1311">
        <v>-256.75940000000003</v>
      </c>
      <c r="K1311">
        <v>1.121667</v>
      </c>
      <c r="L1311">
        <v>367.43419999999998</v>
      </c>
      <c r="M1311">
        <v>0.99987800000000004</v>
      </c>
      <c r="N1311">
        <v>-1.483581E-2</v>
      </c>
      <c r="O1311">
        <v>4.8799689999999996E-3</v>
      </c>
      <c r="P1311">
        <v>0.98836679999999999</v>
      </c>
      <c r="Q1311">
        <v>0.15196470000000001</v>
      </c>
      <c r="R1311">
        <v>6.1670099999999997E-3</v>
      </c>
      <c r="S1311">
        <v>3.0490719999999998</v>
      </c>
      <c r="T1311">
        <v>-7.6615100000000005E-2</v>
      </c>
      <c r="U1311">
        <v>-0.32629390000000003</v>
      </c>
      <c r="V1311">
        <v>-1.3365269999999999E-3</v>
      </c>
      <c r="W1311">
        <v>0.1666115</v>
      </c>
      <c r="X1311">
        <v>0.9860217</v>
      </c>
      <c r="Y1311">
        <v>0.1112025</v>
      </c>
      <c r="Z1311">
        <v>-2.2704790000000002E-3</v>
      </c>
      <c r="AA1311">
        <v>0.99379519999999999</v>
      </c>
      <c r="AB1311">
        <v>25</v>
      </c>
      <c r="AC1311">
        <v>44.491999999999997</v>
      </c>
      <c r="AD1311">
        <v>-1.1216715341600001</v>
      </c>
      <c r="AE1311">
        <v>-4.7777999999999503</v>
      </c>
      <c r="AF1311">
        <v>4.9917501158167799</v>
      </c>
      <c r="AG1311">
        <v>-1.1216715341600001</v>
      </c>
      <c r="AH1311">
        <v>44.440228882970899</v>
      </c>
      <c r="AI1311">
        <v>91.436806902876697</v>
      </c>
      <c r="AJ1311">
        <v>83.5911131175789</v>
      </c>
      <c r="AK1311">
        <v>44.733764199093997</v>
      </c>
      <c r="AL1311">
        <v>80.409137271818096</v>
      </c>
      <c r="AM1311">
        <v>90.077662904788497</v>
      </c>
      <c r="AN1311">
        <v>0.99999998555378</v>
      </c>
    </row>
    <row r="1312" spans="1:40" x14ac:dyDescent="0.25">
      <c r="A1312" t="str">
        <f>"20190303161903006"</f>
        <v>20190303161903006</v>
      </c>
      <c r="B1312" t="str">
        <f>"1551601142993729"</f>
        <v>1551601142993729</v>
      </c>
      <c r="C1312" t="s">
        <v>40</v>
      </c>
      <c r="D1312">
        <v>4.3695190000000004</v>
      </c>
      <c r="E1312">
        <v>0.54419219999999902</v>
      </c>
      <c r="F1312" t="s">
        <v>41</v>
      </c>
      <c r="G1312">
        <v>-211.61689999999999</v>
      </c>
      <c r="H1312" s="1">
        <v>-4.8251450000000004E-6</v>
      </c>
      <c r="I1312">
        <v>362.58909999999997</v>
      </c>
      <c r="J1312">
        <v>-256.61540000000002</v>
      </c>
      <c r="K1312">
        <v>1.121669</v>
      </c>
      <c r="L1312">
        <v>367.43490000000003</v>
      </c>
      <c r="M1312">
        <v>0.99987800000000004</v>
      </c>
      <c r="N1312">
        <v>-1.4832339999999999E-2</v>
      </c>
      <c r="O1312">
        <v>4.8801740000000001E-3</v>
      </c>
      <c r="P1312">
        <v>0.98835059999999997</v>
      </c>
      <c r="Q1312">
        <v>0.15207039999999999</v>
      </c>
      <c r="R1312">
        <v>6.1551840000000002E-3</v>
      </c>
      <c r="S1312">
        <v>3.0489959999999998</v>
      </c>
      <c r="T1312">
        <v>-7.5759409999999999E-2</v>
      </c>
      <c r="U1312">
        <v>-0.32723999999999998</v>
      </c>
      <c r="V1312">
        <v>-1.3247489999999901E-3</v>
      </c>
      <c r="W1312">
        <v>0.1667139</v>
      </c>
      <c r="X1312">
        <v>0.9860044</v>
      </c>
      <c r="Y1312">
        <v>0.111511</v>
      </c>
      <c r="Z1312">
        <v>-2.2595279999999998E-3</v>
      </c>
      <c r="AA1312">
        <v>0.99376059999999999</v>
      </c>
      <c r="AB1312">
        <v>25</v>
      </c>
      <c r="AC1312">
        <v>44.9985</v>
      </c>
      <c r="AD1312">
        <v>-1.121673825145</v>
      </c>
      <c r="AE1312">
        <v>-4.8458000000000503</v>
      </c>
      <c r="AF1312">
        <v>5.0622575903612104</v>
      </c>
      <c r="AG1312">
        <v>-1.121673825145</v>
      </c>
      <c r="AH1312">
        <v>44.946705553564897</v>
      </c>
      <c r="AI1312">
        <v>91.420578200714701</v>
      </c>
      <c r="AJ1312">
        <v>83.573971125187001</v>
      </c>
      <c r="AK1312">
        <v>45.244789138640499</v>
      </c>
      <c r="AL1312">
        <v>80.403186890638295</v>
      </c>
      <c r="AM1312">
        <v>90.076979860275202</v>
      </c>
      <c r="AN1312">
        <v>0.99999997811624097</v>
      </c>
    </row>
    <row r="1313" spans="1:40" x14ac:dyDescent="0.25">
      <c r="A1313" t="str">
        <f>"20190303161903020"</f>
        <v>20190303161903020</v>
      </c>
      <c r="B1313" t="str">
        <f>"1551601143014225"</f>
        <v>1551601143014225</v>
      </c>
      <c r="C1313" t="s">
        <v>40</v>
      </c>
      <c r="D1313">
        <v>4.3258390000000002</v>
      </c>
      <c r="E1313">
        <v>0.54412099999999997</v>
      </c>
      <c r="F1313" t="s">
        <v>41</v>
      </c>
      <c r="G1313">
        <v>-211.36089999999999</v>
      </c>
      <c r="H1313" s="1">
        <v>-4.9388510000000004E-6</v>
      </c>
      <c r="I1313">
        <v>362.5675</v>
      </c>
      <c r="J1313">
        <v>-256.45280000000002</v>
      </c>
      <c r="K1313">
        <v>1.121672</v>
      </c>
      <c r="L1313">
        <v>367.4357</v>
      </c>
      <c r="M1313">
        <v>0.99987820000000005</v>
      </c>
      <c r="N1313">
        <v>-1.482844E-2</v>
      </c>
      <c r="O1313">
        <v>4.8800240000000002E-3</v>
      </c>
      <c r="P1313">
        <v>0.98827509999999996</v>
      </c>
      <c r="Q1313">
        <v>0.1525668</v>
      </c>
      <c r="R1313">
        <v>6.0242400000000002E-3</v>
      </c>
      <c r="S1313">
        <v>3.049026</v>
      </c>
      <c r="T1313">
        <v>-7.5572730000000005E-2</v>
      </c>
      <c r="U1313">
        <v>-0.32794190000000001</v>
      </c>
      <c r="V1313">
        <v>-1.1944130000000001E-3</v>
      </c>
      <c r="W1313">
        <v>0.16720479999999999</v>
      </c>
      <c r="X1313">
        <v>0.98592139999999995</v>
      </c>
      <c r="Y1313">
        <v>0.1117361</v>
      </c>
      <c r="Z1313">
        <v>-2.2600580000000001E-3</v>
      </c>
      <c r="AA1313">
        <v>0.99373540000000005</v>
      </c>
      <c r="AB1313">
        <v>25</v>
      </c>
      <c r="AC1313">
        <v>45.091900000000003</v>
      </c>
      <c r="AD1313">
        <v>-1.1216769388509999</v>
      </c>
      <c r="AE1313">
        <v>-4.8681999999999999</v>
      </c>
      <c r="AF1313">
        <v>5.0851054334385797</v>
      </c>
      <c r="AG1313">
        <v>-1.1216769388509999</v>
      </c>
      <c r="AH1313">
        <v>45.040054485569499</v>
      </c>
      <c r="AI1313">
        <v>91.417595871559399</v>
      </c>
      <c r="AJ1313">
        <v>83.558477789257594</v>
      </c>
      <c r="AK1313">
        <v>45.340081213948103</v>
      </c>
      <c r="AL1313">
        <v>80.374659605076801</v>
      </c>
      <c r="AM1313">
        <v>90.069412014401905</v>
      </c>
      <c r="AN1313">
        <v>0.99999993937170495</v>
      </c>
    </row>
    <row r="1314" spans="1:40" x14ac:dyDescent="0.25">
      <c r="A1314" t="str">
        <f>"20190303161903032"</f>
        <v>20190303161903032</v>
      </c>
      <c r="B1314" t="str">
        <f>"1551601143023985"</f>
        <v>1551601143023985</v>
      </c>
      <c r="C1314" t="s">
        <v>40</v>
      </c>
      <c r="D1314">
        <v>4.3141629999999997</v>
      </c>
      <c r="E1314">
        <v>0.54410319999999901</v>
      </c>
      <c r="F1314" t="s">
        <v>46</v>
      </c>
      <c r="G1314">
        <v>-208.3964</v>
      </c>
      <c r="H1314" s="1">
        <v>-5.8959380000000004E-6</v>
      </c>
      <c r="I1314">
        <v>362.26850000000002</v>
      </c>
      <c r="J1314">
        <v>-256.3279</v>
      </c>
      <c r="K1314">
        <v>1.1216759999999999</v>
      </c>
      <c r="L1314">
        <v>367.43630000000002</v>
      </c>
      <c r="M1314">
        <v>0.99987820000000005</v>
      </c>
      <c r="N1314">
        <v>-1.482544E-2</v>
      </c>
      <c r="O1314">
        <v>4.8798679999999999E-3</v>
      </c>
      <c r="P1314">
        <v>0.98824160000000005</v>
      </c>
      <c r="Q1314">
        <v>0.1527705</v>
      </c>
      <c r="R1314">
        <v>6.3177750000000003E-3</v>
      </c>
      <c r="S1314">
        <v>3.0485690000000001</v>
      </c>
      <c r="T1314">
        <v>-7.1156259999999999E-2</v>
      </c>
      <c r="U1314">
        <v>-0.32778930000000001</v>
      </c>
      <c r="V1314">
        <v>-1.4881899999999999E-3</v>
      </c>
      <c r="W1314">
        <v>0.16740550000000001</v>
      </c>
      <c r="X1314">
        <v>0.98588699999999996</v>
      </c>
      <c r="Y1314">
        <v>0.11170769999999999</v>
      </c>
      <c r="Z1314">
        <v>-2.171854E-3</v>
      </c>
      <c r="AA1314">
        <v>0.99373869999999997</v>
      </c>
      <c r="AB1314">
        <v>25</v>
      </c>
      <c r="AC1314">
        <v>47.9315</v>
      </c>
      <c r="AD1314">
        <v>-1.1216818959379999</v>
      </c>
      <c r="AE1314">
        <v>-5.1677999999999997</v>
      </c>
      <c r="AF1314">
        <v>5.3987409468411798</v>
      </c>
      <c r="AG1314">
        <v>-1.1216818959379999</v>
      </c>
      <c r="AH1314">
        <v>47.879788497704297</v>
      </c>
      <c r="AI1314">
        <v>91.333577588139804</v>
      </c>
      <c r="AJ1314">
        <v>83.566720400658795</v>
      </c>
      <c r="AK1314">
        <v>48.1962521434154</v>
      </c>
      <c r="AL1314">
        <v>80.362996499318697</v>
      </c>
      <c r="AM1314">
        <v>90.086487540003404</v>
      </c>
      <c r="AN1314">
        <v>0.99999999645436299</v>
      </c>
    </row>
    <row r="1315" spans="1:40" x14ac:dyDescent="0.25">
      <c r="A1315" t="str">
        <f>"20190303161903044"</f>
        <v>20190303161903044</v>
      </c>
      <c r="B1315" t="str">
        <f>"1551601143033745"</f>
        <v>1551601143033745</v>
      </c>
      <c r="C1315" t="s">
        <v>40</v>
      </c>
      <c r="D1315">
        <v>4.3023089999999904</v>
      </c>
      <c r="E1315">
        <v>0.54408559999999995</v>
      </c>
      <c r="F1315" t="s">
        <v>46</v>
      </c>
      <c r="G1315">
        <v>-206.3878</v>
      </c>
      <c r="H1315" s="1">
        <v>-5.2524150000000001E-6</v>
      </c>
      <c r="I1315">
        <v>362.0838</v>
      </c>
      <c r="J1315">
        <v>-256.19159999999999</v>
      </c>
      <c r="K1315">
        <v>1.121678</v>
      </c>
      <c r="L1315">
        <v>367.43700000000001</v>
      </c>
      <c r="M1315">
        <v>0.9998783</v>
      </c>
      <c r="N1315">
        <v>-1.4822170000000001E-2</v>
      </c>
      <c r="O1315">
        <v>4.8798920000000003E-3</v>
      </c>
      <c r="P1315">
        <v>0.98819599999999996</v>
      </c>
      <c r="Q1315">
        <v>0.15307009999999999</v>
      </c>
      <c r="R1315">
        <v>6.1979110000000004E-3</v>
      </c>
      <c r="S1315">
        <v>3.0484010000000001</v>
      </c>
      <c r="T1315">
        <v>-6.8468689999999999E-2</v>
      </c>
      <c r="U1315">
        <v>-0.32672119999999999</v>
      </c>
      <c r="V1315">
        <v>-1.368242E-3</v>
      </c>
      <c r="W1315">
        <v>0.16770119999999999</v>
      </c>
      <c r="X1315">
        <v>0.98583690000000002</v>
      </c>
      <c r="Y1315">
        <v>0.1113725</v>
      </c>
      <c r="Z1315">
        <v>-2.1121450000000002E-3</v>
      </c>
      <c r="AA1315">
        <v>0.99377649999999995</v>
      </c>
      <c r="AB1315">
        <v>25</v>
      </c>
      <c r="AC1315">
        <v>49.803800000000003</v>
      </c>
      <c r="AD1315">
        <v>-1.121683252415</v>
      </c>
      <c r="AE1315">
        <v>-5.3531999999999504</v>
      </c>
      <c r="AF1315">
        <v>5.5933952958826998</v>
      </c>
      <c r="AG1315">
        <v>-1.121683252415</v>
      </c>
      <c r="AH1315">
        <v>49.752132804244098</v>
      </c>
      <c r="AI1315">
        <v>91.283456335028902</v>
      </c>
      <c r="AJ1315">
        <v>83.585443401901898</v>
      </c>
      <c r="AK1315">
        <v>50.078128587497098</v>
      </c>
      <c r="AL1315">
        <v>80.345811018353302</v>
      </c>
      <c r="AM1315">
        <v>90.079520701260407</v>
      </c>
      <c r="AN1315">
        <v>0.99999997898461002</v>
      </c>
    </row>
    <row r="1316" spans="1:40" x14ac:dyDescent="0.25">
      <c r="A1316" t="str">
        <f>"20190303161903058"</f>
        <v>20190303161903058</v>
      </c>
      <c r="B1316" t="str">
        <f>"1551601143054241"</f>
        <v>1551601143054241</v>
      </c>
      <c r="C1316" t="s">
        <v>40</v>
      </c>
      <c r="D1316">
        <v>4.3521839999999896</v>
      </c>
      <c r="E1316">
        <v>0.5440642</v>
      </c>
      <c r="F1316" t="s">
        <v>46</v>
      </c>
      <c r="G1316">
        <v>-204.3792</v>
      </c>
      <c r="H1316" s="1">
        <v>-4.3583799999999999E-6</v>
      </c>
      <c r="I1316">
        <v>361.87759999999997</v>
      </c>
      <c r="J1316">
        <v>-256.04570000000001</v>
      </c>
      <c r="K1316">
        <v>1.12168</v>
      </c>
      <c r="L1316">
        <v>367.43770000000001</v>
      </c>
      <c r="M1316">
        <v>0.9998783</v>
      </c>
      <c r="N1316">
        <v>-1.4818700000000001E-2</v>
      </c>
      <c r="O1316">
        <v>4.8799179999999996E-3</v>
      </c>
      <c r="P1316">
        <v>0.98810949999999997</v>
      </c>
      <c r="Q1316">
        <v>0.1536169</v>
      </c>
      <c r="R1316">
        <v>6.4393690000000003E-3</v>
      </c>
      <c r="S1316">
        <v>3.048111</v>
      </c>
      <c r="T1316">
        <v>-6.5988179999999994E-2</v>
      </c>
      <c r="U1316">
        <v>-0.32705689999999998</v>
      </c>
      <c r="V1316">
        <v>-1.6097139999999999E-3</v>
      </c>
      <c r="W1316">
        <v>0.1682427</v>
      </c>
      <c r="X1316">
        <v>0.98574430000000002</v>
      </c>
      <c r="Y1316">
        <v>0.11149340000000001</v>
      </c>
      <c r="Z1316">
        <v>-2.0651570000000002E-3</v>
      </c>
      <c r="AA1316">
        <v>0.99376299999999995</v>
      </c>
      <c r="AB1316">
        <v>25</v>
      </c>
      <c r="AC1316">
        <v>51.666499999999999</v>
      </c>
      <c r="AD1316">
        <v>-1.12168435838</v>
      </c>
      <c r="AE1316">
        <v>-5.5601000000000296</v>
      </c>
      <c r="AF1316">
        <v>5.8094829259040903</v>
      </c>
      <c r="AG1316">
        <v>-1.12168435838</v>
      </c>
      <c r="AH1316">
        <v>51.614699925265903</v>
      </c>
      <c r="AI1316">
        <v>91.2371396342255</v>
      </c>
      <c r="AJ1316">
        <v>83.578111955513904</v>
      </c>
      <c r="AK1316">
        <v>51.952723855842699</v>
      </c>
      <c r="AL1316">
        <v>80.314338493855203</v>
      </c>
      <c r="AM1316">
        <v>90.093563550345806</v>
      </c>
      <c r="AN1316">
        <v>1.0000000111324701</v>
      </c>
    </row>
    <row r="1317" spans="1:40" x14ac:dyDescent="0.25">
      <c r="A1317" t="str">
        <f>"20190303161903071"</f>
        <v>20190303161903071</v>
      </c>
      <c r="B1317" t="str">
        <f>"1551601143064000"</f>
        <v>1551601143064000</v>
      </c>
      <c r="C1317" t="s">
        <v>40</v>
      </c>
      <c r="D1317">
        <v>4.3606619999999996</v>
      </c>
      <c r="E1317">
        <v>0.54406509999999997</v>
      </c>
      <c r="F1317" t="s">
        <v>46</v>
      </c>
      <c r="G1317">
        <v>-200.20169999999999</v>
      </c>
      <c r="H1317" s="1">
        <v>-2.2837310000000001E-6</v>
      </c>
      <c r="I1317">
        <v>361.46179999999998</v>
      </c>
      <c r="J1317">
        <v>-255.89840000000001</v>
      </c>
      <c r="K1317">
        <v>1.1216820000000001</v>
      </c>
      <c r="L1317">
        <v>367.4384</v>
      </c>
      <c r="M1317">
        <v>0.9998783</v>
      </c>
      <c r="N1317">
        <v>-1.4815210000000001E-2</v>
      </c>
      <c r="O1317">
        <v>4.8797650000000003E-3</v>
      </c>
      <c r="P1317">
        <v>0.98805330000000002</v>
      </c>
      <c r="Q1317">
        <v>0.153978</v>
      </c>
      <c r="R1317">
        <v>6.445681E-3</v>
      </c>
      <c r="S1317">
        <v>3.0477449999999999</v>
      </c>
      <c r="T1317">
        <v>-6.1217069999999998E-2</v>
      </c>
      <c r="U1317">
        <v>-0.32614140000000003</v>
      </c>
      <c r="V1317">
        <v>-1.617135E-3</v>
      </c>
      <c r="W1317">
        <v>0.1685999</v>
      </c>
      <c r="X1317">
        <v>0.98568330000000004</v>
      </c>
      <c r="Y1317">
        <v>0.1112158</v>
      </c>
      <c r="Z1317">
        <v>-1.9656719999999999E-3</v>
      </c>
      <c r="AA1317">
        <v>0.99379430000000002</v>
      </c>
      <c r="AB1317">
        <v>24</v>
      </c>
      <c r="AC1317">
        <v>55.6967</v>
      </c>
      <c r="AD1317">
        <v>-1.1216842837309999</v>
      </c>
      <c r="AE1317">
        <v>-5.9766000000000101</v>
      </c>
      <c r="AF1317">
        <v>6.2458410918647802</v>
      </c>
      <c r="AG1317">
        <v>-1.1216842837309999</v>
      </c>
      <c r="AH1317">
        <v>55.644557405893899</v>
      </c>
      <c r="AI1317">
        <v>91.147608464196693</v>
      </c>
      <c r="AJ1317">
        <v>83.595623454762205</v>
      </c>
      <c r="AK1317">
        <v>56.005227215635998</v>
      </c>
      <c r="AL1317">
        <v>80.293576275811404</v>
      </c>
      <c r="AM1317">
        <v>90.094000707196201</v>
      </c>
      <c r="AN1317">
        <v>1.0000000546522501</v>
      </c>
    </row>
    <row r="1318" spans="1:40" x14ac:dyDescent="0.25">
      <c r="A1318" t="str">
        <f>"20190303161903084"</f>
        <v>20190303161903084</v>
      </c>
      <c r="B1318" t="str">
        <f>"1551601143073760"</f>
        <v>1551601143073760</v>
      </c>
      <c r="C1318" t="s">
        <v>40</v>
      </c>
      <c r="D1318">
        <v>4.3207969999999998</v>
      </c>
      <c r="E1318">
        <v>0.54406730000000003</v>
      </c>
      <c r="F1318" t="s">
        <v>46</v>
      </c>
      <c r="G1318">
        <v>-198.0154</v>
      </c>
      <c r="H1318" s="1">
        <v>-9.4062460000000007E-6</v>
      </c>
      <c r="I1318">
        <v>361.2457</v>
      </c>
      <c r="J1318">
        <v>-255.75569999999999</v>
      </c>
      <c r="K1318">
        <v>1.1216839999999999</v>
      </c>
      <c r="L1318">
        <v>367.4391</v>
      </c>
      <c r="M1318">
        <v>0.99987839999999995</v>
      </c>
      <c r="N1318">
        <v>-1.481183E-2</v>
      </c>
      <c r="O1318">
        <v>4.8797909999999996E-3</v>
      </c>
      <c r="P1318">
        <v>0.9880253</v>
      </c>
      <c r="Q1318">
        <v>0.1541428</v>
      </c>
      <c r="R1318">
        <v>6.7979750000000004E-3</v>
      </c>
      <c r="S1318">
        <v>3.0475919999999999</v>
      </c>
      <c r="T1318">
        <v>-5.9058069999999997E-2</v>
      </c>
      <c r="U1318">
        <v>-0.3260498</v>
      </c>
      <c r="V1318">
        <v>-1.9691180000000002E-3</v>
      </c>
      <c r="W1318">
        <v>0.16876070000000001</v>
      </c>
      <c r="X1318">
        <v>0.98565510000000001</v>
      </c>
      <c r="Y1318">
        <v>0.11119370000000001</v>
      </c>
      <c r="Z1318">
        <v>-1.9224590000000001E-3</v>
      </c>
      <c r="AA1318">
        <v>0.99379689999999998</v>
      </c>
      <c r="AB1318">
        <v>24</v>
      </c>
      <c r="AC1318">
        <v>57.740299999999898</v>
      </c>
      <c r="AD1318">
        <v>-1.121693406246</v>
      </c>
      <c r="AE1318">
        <v>-6.1933999999999898</v>
      </c>
      <c r="AF1318">
        <v>6.47270280256242</v>
      </c>
      <c r="AG1318">
        <v>-1.121693406246</v>
      </c>
      <c r="AH1318">
        <v>57.687863381068397</v>
      </c>
      <c r="AI1318">
        <v>91.106984730051906</v>
      </c>
      <c r="AJ1318">
        <v>83.598065595733502</v>
      </c>
      <c r="AK1318">
        <v>58.060689447686798</v>
      </c>
      <c r="AL1318">
        <v>80.284228777178896</v>
      </c>
      <c r="AM1318">
        <v>90.114463974942595</v>
      </c>
      <c r="AN1318">
        <v>1.00000001372309</v>
      </c>
    </row>
    <row r="1319" spans="1:40" x14ac:dyDescent="0.25">
      <c r="A1319" t="str">
        <f>"20190303161903099"</f>
        <v>20190303161903099</v>
      </c>
      <c r="B1319" t="str">
        <f>"1551601143094256"</f>
        <v>1551601143094256</v>
      </c>
      <c r="C1319" t="s">
        <v>40</v>
      </c>
      <c r="D1319">
        <v>4.349888</v>
      </c>
      <c r="E1319">
        <v>0.54425269999999903</v>
      </c>
      <c r="F1319" t="s">
        <v>46</v>
      </c>
      <c r="G1319">
        <v>-196.036</v>
      </c>
      <c r="H1319" s="1">
        <v>-8.7377549999999998E-6</v>
      </c>
      <c r="I1319">
        <v>361.07740000000001</v>
      </c>
      <c r="J1319">
        <v>-255.5985</v>
      </c>
      <c r="K1319">
        <v>1.12168</v>
      </c>
      <c r="L1319">
        <v>367.43979999999999</v>
      </c>
      <c r="M1319">
        <v>0.99987859999999995</v>
      </c>
      <c r="N1319">
        <v>-1.480805E-2</v>
      </c>
      <c r="O1319">
        <v>4.8796999999999998E-3</v>
      </c>
      <c r="P1319">
        <v>0.98790290000000003</v>
      </c>
      <c r="Q1319">
        <v>0.15492729999999999</v>
      </c>
      <c r="R1319">
        <v>6.7833569999999899E-3</v>
      </c>
      <c r="S1319">
        <v>3.0475620000000001</v>
      </c>
      <c r="T1319">
        <v>-5.7241199999999902E-2</v>
      </c>
      <c r="U1319">
        <v>-0.32464599999999999</v>
      </c>
      <c r="V1319">
        <v>-1.9552229999999999E-3</v>
      </c>
      <c r="W1319">
        <v>0.16953940000000001</v>
      </c>
      <c r="X1319">
        <v>0.98552139999999999</v>
      </c>
      <c r="Y1319">
        <v>0.11074389999999899</v>
      </c>
      <c r="Z1319">
        <v>-1.878783E-3</v>
      </c>
      <c r="AA1319">
        <v>0.99384720000000004</v>
      </c>
      <c r="AB1319">
        <v>24</v>
      </c>
      <c r="AC1319">
        <v>59.5625</v>
      </c>
      <c r="AD1319">
        <v>-1.121688737755</v>
      </c>
      <c r="AE1319">
        <v>-6.3623999999999796</v>
      </c>
      <c r="AF1319">
        <v>6.6506711470612796</v>
      </c>
      <c r="AG1319">
        <v>-1.121688737755</v>
      </c>
      <c r="AH1319">
        <v>59.509873676370702</v>
      </c>
      <c r="AI1319">
        <v>91.073148595814004</v>
      </c>
      <c r="AJ1319">
        <v>83.623230535305396</v>
      </c>
      <c r="AK1319">
        <v>59.890856374812003</v>
      </c>
      <c r="AL1319">
        <v>80.238959426841703</v>
      </c>
      <c r="AM1319">
        <v>90.1136716857972</v>
      </c>
      <c r="AN1319">
        <v>0.99999993045364699</v>
      </c>
    </row>
    <row r="1320" spans="1:40" x14ac:dyDescent="0.25">
      <c r="A1320" t="str">
        <f>"20190303161903111"</f>
        <v>20190303161903111</v>
      </c>
      <c r="B1320" t="str">
        <f>"1551601143104017"</f>
        <v>1551601143104017</v>
      </c>
      <c r="C1320" t="s">
        <v>40</v>
      </c>
      <c r="D1320">
        <v>4.3480220000000003</v>
      </c>
      <c r="E1320">
        <v>0.54428359999999998</v>
      </c>
      <c r="F1320" t="s">
        <v>46</v>
      </c>
      <c r="G1320">
        <v>-194.5685</v>
      </c>
      <c r="H1320" s="1">
        <v>-8.2481580000000002E-6</v>
      </c>
      <c r="I1320">
        <v>360.91390000000001</v>
      </c>
      <c r="J1320">
        <v>-255.4599</v>
      </c>
      <c r="K1320">
        <v>1.1216820000000001</v>
      </c>
      <c r="L1320">
        <v>367.44060000000002</v>
      </c>
      <c r="M1320">
        <v>0.99987859999999995</v>
      </c>
      <c r="N1320">
        <v>-1.480472E-2</v>
      </c>
      <c r="O1320">
        <v>4.8795449999999999E-3</v>
      </c>
      <c r="P1320">
        <v>0.98784300000000003</v>
      </c>
      <c r="Q1320">
        <v>0.1553215</v>
      </c>
      <c r="R1320">
        <v>6.4834439999999997E-3</v>
      </c>
      <c r="S1320">
        <v>3.0477599999999998</v>
      </c>
      <c r="T1320">
        <v>-5.601561E-2</v>
      </c>
      <c r="U1320">
        <v>-0.3258972</v>
      </c>
      <c r="V1320">
        <v>-1.6562320000000001E-3</v>
      </c>
      <c r="W1320">
        <v>0.16992950000000001</v>
      </c>
      <c r="X1320">
        <v>0.98545490000000002</v>
      </c>
      <c r="Y1320">
        <v>0.1111414</v>
      </c>
      <c r="Z1320">
        <v>-1.86097E-3</v>
      </c>
      <c r="AA1320">
        <v>0.99380279999999999</v>
      </c>
      <c r="AB1320">
        <v>24</v>
      </c>
      <c r="AC1320">
        <v>60.891399999999997</v>
      </c>
      <c r="AD1320">
        <v>-1.121690248158</v>
      </c>
      <c r="AE1320">
        <v>-6.5266999999999999</v>
      </c>
      <c r="AF1320">
        <v>6.8214886393333698</v>
      </c>
      <c r="AG1320">
        <v>-1.121690248158</v>
      </c>
      <c r="AH1320">
        <v>60.838413747496602</v>
      </c>
      <c r="AI1320">
        <v>91.049678149572998</v>
      </c>
      <c r="AJ1320">
        <v>83.6024487459201</v>
      </c>
      <c r="AK1320">
        <v>61.229923106116601</v>
      </c>
      <c r="AL1320">
        <v>80.216280617252707</v>
      </c>
      <c r="AM1320">
        <v>90.096295643915596</v>
      </c>
      <c r="AN1320">
        <v>1.00000006900434</v>
      </c>
    </row>
    <row r="1321" spans="1:40" x14ac:dyDescent="0.25">
      <c r="A1321" t="str">
        <f>"20190303161903124"</f>
        <v>20190303161903124</v>
      </c>
      <c r="B1321" t="str">
        <f>"1551601143113777"</f>
        <v>1551601143113777</v>
      </c>
      <c r="C1321" t="s">
        <v>40</v>
      </c>
      <c r="D1321">
        <v>4.3735839999999904</v>
      </c>
      <c r="E1321">
        <v>0.54413069999999997</v>
      </c>
      <c r="F1321" t="s">
        <v>46</v>
      </c>
      <c r="G1321">
        <v>-193.89750000000001</v>
      </c>
      <c r="H1321" s="1">
        <v>-8.0250759999999998E-6</v>
      </c>
      <c r="I1321">
        <v>360.83429999999998</v>
      </c>
      <c r="J1321">
        <v>-255.32300000000001</v>
      </c>
      <c r="K1321">
        <v>1.1216839999999999</v>
      </c>
      <c r="L1321">
        <v>367.44119999999998</v>
      </c>
      <c r="M1321">
        <v>0.99987859999999995</v>
      </c>
      <c r="N1321">
        <v>-1.4801460000000001E-2</v>
      </c>
      <c r="O1321">
        <v>4.8795699999999997E-3</v>
      </c>
      <c r="P1321">
        <v>0.98783639999999995</v>
      </c>
      <c r="Q1321">
        <v>0.15537039999999999</v>
      </c>
      <c r="R1321">
        <v>6.2921130000000002E-3</v>
      </c>
      <c r="S1321">
        <v>3.0477910000000001</v>
      </c>
      <c r="T1321">
        <v>-5.5531860000000002E-2</v>
      </c>
      <c r="U1321">
        <v>-0.32705689999999998</v>
      </c>
      <c r="V1321">
        <v>-1.464501E-3</v>
      </c>
      <c r="W1321">
        <v>0.16997499999999999</v>
      </c>
      <c r="X1321">
        <v>0.98544730000000003</v>
      </c>
      <c r="Y1321">
        <v>0.11151460000000001</v>
      </c>
      <c r="Z1321">
        <v>-1.8573820000000001E-3</v>
      </c>
      <c r="AA1321">
        <v>0.99376109999999895</v>
      </c>
      <c r="AB1321">
        <v>24</v>
      </c>
      <c r="AC1321">
        <v>61.4254999999999</v>
      </c>
      <c r="AD1321">
        <v>-1.1216920250759901</v>
      </c>
      <c r="AE1321">
        <v>-6.6068999999999898</v>
      </c>
      <c r="AF1321">
        <v>6.9043081638958901</v>
      </c>
      <c r="AG1321">
        <v>-1.1216920250759901</v>
      </c>
      <c r="AH1321">
        <v>61.372294762266797</v>
      </c>
      <c r="AI1321">
        <v>91.040507442754006</v>
      </c>
      <c r="AJ1321">
        <v>83.581282410076696</v>
      </c>
      <c r="AK1321">
        <v>61.7696222151935</v>
      </c>
      <c r="AL1321">
        <v>80.213634623184603</v>
      </c>
      <c r="AM1321">
        <v>90.085148809702005</v>
      </c>
      <c r="AN1321">
        <v>1.00000001323273</v>
      </c>
    </row>
    <row r="1322" spans="1:40" x14ac:dyDescent="0.25">
      <c r="A1322" t="str">
        <f>"20190303161903137"</f>
        <v>20190303161903137</v>
      </c>
      <c r="B1322" t="str">
        <f>"1551601143123537"</f>
        <v>1551601143123537</v>
      </c>
      <c r="C1322" t="s">
        <v>40</v>
      </c>
      <c r="D1322">
        <v>4.3497769999999996</v>
      </c>
      <c r="E1322">
        <v>0.54413069999999997</v>
      </c>
      <c r="F1322" t="s">
        <v>46</v>
      </c>
      <c r="G1322">
        <v>-194.14570000000001</v>
      </c>
      <c r="H1322" s="1">
        <v>-8.1038289999999996E-6</v>
      </c>
      <c r="I1322">
        <v>360.88799999999998</v>
      </c>
      <c r="J1322">
        <v>-255.18860000000001</v>
      </c>
      <c r="K1322">
        <v>1.121685</v>
      </c>
      <c r="L1322">
        <v>367.44189999999998</v>
      </c>
      <c r="M1322">
        <v>0.99987859999999995</v>
      </c>
      <c r="N1322">
        <v>-1.4798260000000001E-2</v>
      </c>
      <c r="O1322">
        <v>4.8795940000000001E-3</v>
      </c>
      <c r="P1322">
        <v>0.98778259999999996</v>
      </c>
      <c r="Q1322">
        <v>0.155714299999999</v>
      </c>
      <c r="R1322">
        <v>6.2240749999999999E-3</v>
      </c>
      <c r="S1322">
        <v>3.0477910000000001</v>
      </c>
      <c r="T1322">
        <v>-5.588162E-2</v>
      </c>
      <c r="U1322">
        <v>-0.32647710000000002</v>
      </c>
      <c r="V1322">
        <v>-1.396752E-3</v>
      </c>
      <c r="W1322">
        <v>0.17031470000000001</v>
      </c>
      <c r="X1322">
        <v>0.98538870000000001</v>
      </c>
      <c r="Y1322">
        <v>0.11132740000000001</v>
      </c>
      <c r="Z1322">
        <v>-1.861059E-3</v>
      </c>
      <c r="AA1322">
        <v>0.99378200000000005</v>
      </c>
      <c r="AB1322">
        <v>24</v>
      </c>
      <c r="AC1322">
        <v>61.042900000000003</v>
      </c>
      <c r="AD1322">
        <v>-1.1216931038289999</v>
      </c>
      <c r="AE1322">
        <v>-6.5538999999999401</v>
      </c>
      <c r="AF1322">
        <v>6.8494327297698598</v>
      </c>
      <c r="AG1322">
        <v>-1.1216931038289999</v>
      </c>
      <c r="AH1322">
        <v>60.989830180928003</v>
      </c>
      <c r="AI1322">
        <v>91.047054552023397</v>
      </c>
      <c r="AJ1322">
        <v>83.592274518611205</v>
      </c>
      <c r="AK1322">
        <v>61.383485642616002</v>
      </c>
      <c r="AL1322">
        <v>80.193882815732195</v>
      </c>
      <c r="AM1322">
        <v>90.081214591794094</v>
      </c>
      <c r="AN1322">
        <v>0.99999996901996402</v>
      </c>
    </row>
    <row r="1323" spans="1:40" x14ac:dyDescent="0.25">
      <c r="A1323" t="str">
        <f>"20190303161903149"</f>
        <v>20190303161903149</v>
      </c>
      <c r="B1323" t="str">
        <f>"1551601143144033"</f>
        <v>1551601143144033</v>
      </c>
      <c r="C1323" t="s">
        <v>40</v>
      </c>
      <c r="D1323">
        <v>4.3642409999999998</v>
      </c>
      <c r="E1323">
        <v>0.53050319999999995</v>
      </c>
      <c r="F1323" t="s">
        <v>46</v>
      </c>
      <c r="G1323">
        <v>-192.79339999999999</v>
      </c>
      <c r="H1323" s="1">
        <v>-7.6509709999999906E-6</v>
      </c>
      <c r="I1323">
        <v>360.74810000000002</v>
      </c>
      <c r="J1323">
        <v>-255.05099999999999</v>
      </c>
      <c r="K1323">
        <v>1.121685</v>
      </c>
      <c r="L1323">
        <v>367.4425</v>
      </c>
      <c r="M1323">
        <v>0.99987870000000001</v>
      </c>
      <c r="N1323">
        <v>-1.4794989999999999E-2</v>
      </c>
      <c r="O1323">
        <v>4.8794390000000002E-3</v>
      </c>
      <c r="P1323">
        <v>0.98775919999999895</v>
      </c>
      <c r="Q1323">
        <v>0.15586720000000001</v>
      </c>
      <c r="R1323">
        <v>6.1216789999999997E-3</v>
      </c>
      <c r="S1323">
        <v>3.0477910000000001</v>
      </c>
      <c r="T1323">
        <v>-5.4790739999999998E-2</v>
      </c>
      <c r="U1323">
        <v>-0.32696530000000001</v>
      </c>
      <c r="V1323">
        <v>-1.294756E-3</v>
      </c>
      <c r="W1323">
        <v>0.17046459999999999</v>
      </c>
      <c r="X1323">
        <v>0.98536290000000004</v>
      </c>
      <c r="Y1323">
        <v>0.1114856</v>
      </c>
      <c r="Z1323">
        <v>-1.841875E-3</v>
      </c>
      <c r="AA1323">
        <v>0.99376430000000004</v>
      </c>
      <c r="AB1323">
        <v>24</v>
      </c>
      <c r="AC1323">
        <v>62.257599999999996</v>
      </c>
      <c r="AD1323">
        <v>-1.1216926509709999</v>
      </c>
      <c r="AE1323">
        <v>-6.6943999999999697</v>
      </c>
      <c r="AF1323">
        <v>6.9958907009654103</v>
      </c>
      <c r="AG1323">
        <v>-1.1216926509709999</v>
      </c>
      <c r="AH1323">
        <v>62.204228830211697</v>
      </c>
      <c r="AI1323">
        <v>91.026598703297694</v>
      </c>
      <c r="AJ1323">
        <v>83.5831097887244</v>
      </c>
      <c r="AK1323">
        <v>62.6064434819966</v>
      </c>
      <c r="AL1323">
        <v>80.185166536730804</v>
      </c>
      <c r="AM1323">
        <v>90.075285980022898</v>
      </c>
      <c r="AN1323">
        <v>0.99999995047133305</v>
      </c>
    </row>
    <row r="1324" spans="1:40" x14ac:dyDescent="0.25">
      <c r="A1324" t="str">
        <f>"20190303161903166"</f>
        <v>20190303161903166</v>
      </c>
      <c r="B1324" t="str">
        <f>"1551601143153793"</f>
        <v>1551601143153793</v>
      </c>
      <c r="C1324" t="s">
        <v>40</v>
      </c>
      <c r="D1324">
        <v>4.3396970000000001</v>
      </c>
      <c r="E1324">
        <v>0.53050369999999902</v>
      </c>
      <c r="F1324" t="s">
        <v>46</v>
      </c>
      <c r="G1324">
        <v>-206.14410000000001</v>
      </c>
      <c r="H1324" s="1">
        <v>-4.7462770000000002E-6</v>
      </c>
      <c r="I1324">
        <v>363.94080000000002</v>
      </c>
      <c r="J1324">
        <v>-254.87029999999999</v>
      </c>
      <c r="K1324">
        <v>1.121688</v>
      </c>
      <c r="L1324">
        <v>367.4434</v>
      </c>
      <c r="M1324">
        <v>0.99987870000000001</v>
      </c>
      <c r="N1324">
        <v>-1.479074E-2</v>
      </c>
      <c r="O1324">
        <v>4.8794700000000003E-3</v>
      </c>
      <c r="P1324">
        <v>0.98771830000000005</v>
      </c>
      <c r="Q1324">
        <v>0.15614059999999999</v>
      </c>
      <c r="R1324">
        <v>5.7261789999999996E-3</v>
      </c>
      <c r="S1324">
        <v>3.0495909999999999</v>
      </c>
      <c r="T1324">
        <v>-6.9942950000000004E-2</v>
      </c>
      <c r="U1324">
        <v>-0.2183533</v>
      </c>
      <c r="V1324">
        <v>-8.9909359999999999E-4</v>
      </c>
      <c r="W1324">
        <v>0.17073289999999999</v>
      </c>
      <c r="X1324">
        <v>0.98531690000000005</v>
      </c>
      <c r="Y1324">
        <v>7.6251650000000004E-2</v>
      </c>
      <c r="Z1324">
        <v>-1.477655E-3</v>
      </c>
      <c r="AA1324">
        <v>0.99708750000000002</v>
      </c>
      <c r="AB1324">
        <v>24</v>
      </c>
      <c r="AC1324">
        <v>48.726199999999899</v>
      </c>
      <c r="AD1324">
        <v>-1.1216927462770001</v>
      </c>
      <c r="AE1324">
        <v>-3.50259999999997</v>
      </c>
      <c r="AF1324">
        <v>3.7383714264327499</v>
      </c>
      <c r="AG1324">
        <v>-1.1216927462770001</v>
      </c>
      <c r="AH1324">
        <v>48.682860964079801</v>
      </c>
      <c r="AI1324">
        <v>91.3160347713427</v>
      </c>
      <c r="AJ1324">
        <v>85.608857612796797</v>
      </c>
      <c r="AK1324">
        <v>48.839068041752597</v>
      </c>
      <c r="AL1324">
        <v>80.169565493431804</v>
      </c>
      <c r="AM1324">
        <v>90.052281914955003</v>
      </c>
      <c r="AN1324">
        <v>0.99999996246865996</v>
      </c>
    </row>
    <row r="1325" spans="1:40" x14ac:dyDescent="0.25">
      <c r="A1325" t="str">
        <f>"20190303161903178"</f>
        <v>20190303161903178</v>
      </c>
      <c r="B1325" t="str">
        <f>"1551601143174290"</f>
        <v>1551601143174290</v>
      </c>
      <c r="C1325" t="s">
        <v>40</v>
      </c>
      <c r="D1325">
        <v>4.3537670000000004</v>
      </c>
      <c r="E1325">
        <v>0.53041619999999901</v>
      </c>
      <c r="F1325" t="s">
        <v>46</v>
      </c>
      <c r="G1325">
        <v>-203.20849999999999</v>
      </c>
      <c r="H1325" s="1">
        <v>-3.3597350000000001E-6</v>
      </c>
      <c r="I1325">
        <v>363.72460000000001</v>
      </c>
      <c r="J1325">
        <v>-254.7347</v>
      </c>
      <c r="K1325">
        <v>1.121688</v>
      </c>
      <c r="L1325">
        <v>367.44409999999999</v>
      </c>
      <c r="M1325">
        <v>0.99987890000000001</v>
      </c>
      <c r="N1325">
        <v>-1.478752E-2</v>
      </c>
      <c r="O1325">
        <v>4.87967E-3</v>
      </c>
      <c r="P1325">
        <v>0.98772669999999996</v>
      </c>
      <c r="Q1325">
        <v>0.1560976</v>
      </c>
      <c r="R1325">
        <v>5.4648400000000003E-3</v>
      </c>
      <c r="S1325">
        <v>3.049026</v>
      </c>
      <c r="T1325">
        <v>-6.6201090000000004E-2</v>
      </c>
      <c r="U1325">
        <v>-0.21948239999999999</v>
      </c>
      <c r="V1325">
        <v>-6.3786989999999998E-4</v>
      </c>
      <c r="W1325">
        <v>0.1706869</v>
      </c>
      <c r="X1325">
        <v>0.98532509999999995</v>
      </c>
      <c r="Y1325">
        <v>7.6635040000000001E-2</v>
      </c>
      <c r="Z1325">
        <v>-1.432022E-3</v>
      </c>
      <c r="AA1325">
        <v>0.99705820000000001</v>
      </c>
      <c r="AB1325">
        <v>24</v>
      </c>
      <c r="AC1325">
        <v>51.526200000000003</v>
      </c>
      <c r="AD1325">
        <v>-1.121691359735</v>
      </c>
      <c r="AE1325">
        <v>-3.71949999999998</v>
      </c>
      <c r="AF1325">
        <v>3.9690428217922298</v>
      </c>
      <c r="AG1325">
        <v>-1.121691359735</v>
      </c>
      <c r="AH1325">
        <v>51.483162889934398</v>
      </c>
      <c r="AI1325">
        <v>91.244444969390003</v>
      </c>
      <c r="AJ1325">
        <v>85.591559361027095</v>
      </c>
      <c r="AK1325">
        <v>51.648112778486301</v>
      </c>
      <c r="AL1325">
        <v>80.172240623260606</v>
      </c>
      <c r="AM1325">
        <v>90.037091563021093</v>
      </c>
      <c r="AN1325">
        <v>0.99999998869981399</v>
      </c>
    </row>
    <row r="1326" spans="1:40" x14ac:dyDescent="0.25">
      <c r="A1326" t="str">
        <f>"20190303161903189"</f>
        <v>20190303161903189</v>
      </c>
      <c r="B1326" t="str">
        <f>"1551601143184050"</f>
        <v>1551601143184050</v>
      </c>
      <c r="C1326" t="s">
        <v>40</v>
      </c>
      <c r="D1326">
        <v>4.3618259999999998</v>
      </c>
      <c r="E1326">
        <v>0.5303293</v>
      </c>
      <c r="F1326" t="s">
        <v>46</v>
      </c>
      <c r="G1326">
        <v>-200.6275</v>
      </c>
      <c r="H1326" s="1">
        <v>-1.9816689999999998E-6</v>
      </c>
      <c r="I1326">
        <v>363.54410000000001</v>
      </c>
      <c r="J1326">
        <v>-254.6147</v>
      </c>
      <c r="K1326">
        <v>1.1216889999999999</v>
      </c>
      <c r="L1326">
        <v>367.44459999999998</v>
      </c>
      <c r="M1326">
        <v>0.99987879999999996</v>
      </c>
      <c r="N1326">
        <v>-1.478467E-2</v>
      </c>
      <c r="O1326">
        <v>4.8796909999999898E-3</v>
      </c>
      <c r="P1326">
        <v>0.98772450000000001</v>
      </c>
      <c r="Q1326">
        <v>0.15611229999999901</v>
      </c>
      <c r="R1326">
        <v>5.3946819999999996E-3</v>
      </c>
      <c r="S1326">
        <v>3.0484770000000001</v>
      </c>
      <c r="T1326">
        <v>-6.3197610000000001E-2</v>
      </c>
      <c r="U1326">
        <v>-0.21972659999999999</v>
      </c>
      <c r="V1326">
        <v>-5.6739300000000002E-4</v>
      </c>
      <c r="W1326">
        <v>0.17069860000000001</v>
      </c>
      <c r="X1326">
        <v>0.98532310000000001</v>
      </c>
      <c r="Y1326">
        <v>7.6729489999999997E-2</v>
      </c>
      <c r="Z1326">
        <v>-1.391272E-3</v>
      </c>
      <c r="AA1326">
        <v>0.99705100000000002</v>
      </c>
      <c r="AB1326">
        <v>24</v>
      </c>
      <c r="AC1326">
        <v>53.987200000000001</v>
      </c>
      <c r="AD1326">
        <v>-1.1216909816689999</v>
      </c>
      <c r="AE1326">
        <v>-3.9004999999999601</v>
      </c>
      <c r="AF1326">
        <v>4.1621358078189896</v>
      </c>
      <c r="AG1326">
        <v>-1.1216909816689999</v>
      </c>
      <c r="AH1326">
        <v>53.944355852303303</v>
      </c>
      <c r="AI1326">
        <v>91.187678187843701</v>
      </c>
      <c r="AJ1326">
        <v>85.588022503498394</v>
      </c>
      <c r="AK1326">
        <v>54.1163107894562</v>
      </c>
      <c r="AL1326">
        <v>80.171560119133105</v>
      </c>
      <c r="AM1326">
        <v>90.032993462379906</v>
      </c>
      <c r="AN1326">
        <v>0.99999997268519203</v>
      </c>
    </row>
    <row r="1327" spans="1:40" x14ac:dyDescent="0.25">
      <c r="A1327" t="str">
        <f>"20190303161903200"</f>
        <v>20190303161903200</v>
      </c>
      <c r="B1327" t="str">
        <f>"1551601143193809"</f>
        <v>1551601143193809</v>
      </c>
      <c r="C1327" t="s">
        <v>40</v>
      </c>
      <c r="D1327">
        <v>4.4089289999999997</v>
      </c>
      <c r="E1327">
        <v>0.53040569999999998</v>
      </c>
      <c r="F1327" t="s">
        <v>46</v>
      </c>
      <c r="G1327">
        <v>-199.62479999999999</v>
      </c>
      <c r="H1327" s="1">
        <v>-9.6644869999999998E-6</v>
      </c>
      <c r="I1327">
        <v>363.49250000000001</v>
      </c>
      <c r="J1327">
        <v>-254.49369999999999</v>
      </c>
      <c r="K1327">
        <v>1.121686</v>
      </c>
      <c r="L1327">
        <v>367.44529999999997</v>
      </c>
      <c r="M1327">
        <v>0.99987890000000001</v>
      </c>
      <c r="N1327">
        <v>-1.478178E-2</v>
      </c>
      <c r="O1327">
        <v>4.8795369999999998E-3</v>
      </c>
      <c r="P1327">
        <v>0.98770840000000004</v>
      </c>
      <c r="Q1327">
        <v>0.1562201</v>
      </c>
      <c r="R1327">
        <v>5.2353709999999999E-3</v>
      </c>
      <c r="S1327">
        <v>3.0483250000000002</v>
      </c>
      <c r="T1327">
        <v>-6.2180640000000002E-2</v>
      </c>
      <c r="U1327">
        <v>-0.21908569999999999</v>
      </c>
      <c r="V1327">
        <v>-4.085801E-4</v>
      </c>
      <c r="W1327">
        <v>0.17080339999999999</v>
      </c>
      <c r="X1327">
        <v>0.98530510000000004</v>
      </c>
      <c r="Y1327">
        <v>7.6525159999999995E-2</v>
      </c>
      <c r="Z1327">
        <v>-1.373221E-3</v>
      </c>
      <c r="AA1327">
        <v>0.99706669999999997</v>
      </c>
      <c r="AB1327">
        <v>24</v>
      </c>
      <c r="AC1327">
        <v>54.868899999999996</v>
      </c>
      <c r="AD1327">
        <v>-1.121695664487</v>
      </c>
      <c r="AE1327">
        <v>-3.9527999999999599</v>
      </c>
      <c r="AF1327">
        <v>4.2187629772210702</v>
      </c>
      <c r="AG1327">
        <v>-1.121695664487</v>
      </c>
      <c r="AH1327">
        <v>54.826161822150397</v>
      </c>
      <c r="AI1327">
        <v>91.168604802117997</v>
      </c>
      <c r="AJ1327">
        <v>85.599875603512402</v>
      </c>
      <c r="AK1327">
        <v>54.999674384220903</v>
      </c>
      <c r="AL1327">
        <v>80.165466834688402</v>
      </c>
      <c r="AM1327">
        <v>90.023759050857606</v>
      </c>
      <c r="AN1327">
        <v>1.0000000542376299</v>
      </c>
    </row>
    <row r="1328" spans="1:40" x14ac:dyDescent="0.25">
      <c r="A1328" t="str">
        <f>"20190303161903214"</f>
        <v>20190303161903214</v>
      </c>
      <c r="B1328" t="str">
        <f>"1551601143203569"</f>
        <v>1551601143203569</v>
      </c>
      <c r="C1328" t="s">
        <v>40</v>
      </c>
      <c r="D1328">
        <v>4.3810909999999996</v>
      </c>
      <c r="E1328">
        <v>0.53044340000000001</v>
      </c>
      <c r="F1328" t="s">
        <v>46</v>
      </c>
      <c r="G1328">
        <v>-200.51900000000001</v>
      </c>
      <c r="H1328" s="1">
        <v>-1.9152779999999999E-6</v>
      </c>
      <c r="I1328">
        <v>363.55220000000003</v>
      </c>
      <c r="J1328">
        <v>-254.35929999999999</v>
      </c>
      <c r="K1328">
        <v>1.1216870000000001</v>
      </c>
      <c r="L1328">
        <v>367.44589999999999</v>
      </c>
      <c r="M1328">
        <v>0.99987899999999996</v>
      </c>
      <c r="N1328">
        <v>-1.477856E-2</v>
      </c>
      <c r="O1328">
        <v>4.8793830000000002E-3</v>
      </c>
      <c r="P1328">
        <v>0.98772000000000004</v>
      </c>
      <c r="Q1328">
        <v>0.15614879999999901</v>
      </c>
      <c r="R1328">
        <v>5.180746E-3</v>
      </c>
      <c r="S1328">
        <v>3.0485380000000002</v>
      </c>
      <c r="T1328">
        <v>-6.3353900000000005E-2</v>
      </c>
      <c r="U1328">
        <v>-0.2198792</v>
      </c>
      <c r="V1328">
        <v>-3.5361429999999997E-4</v>
      </c>
      <c r="W1328">
        <v>0.17072870000000001</v>
      </c>
      <c r="X1328">
        <v>0.98531800000000003</v>
      </c>
      <c r="Y1328">
        <v>7.6777269999999995E-2</v>
      </c>
      <c r="Z1328">
        <v>-1.3941100000000001E-3</v>
      </c>
      <c r="AA1328">
        <v>0.99704729999999997</v>
      </c>
      <c r="AB1328">
        <v>24</v>
      </c>
      <c r="AC1328">
        <v>53.8402999999999</v>
      </c>
      <c r="AD1328">
        <v>-1.1216889152779901</v>
      </c>
      <c r="AE1328">
        <v>-3.89369999999996</v>
      </c>
      <c r="AF1328">
        <v>4.1545958665690499</v>
      </c>
      <c r="AG1328">
        <v>-1.1216889152779901</v>
      </c>
      <c r="AH1328">
        <v>53.797429248693902</v>
      </c>
      <c r="AI1328">
        <v>91.190912292494602</v>
      </c>
      <c r="AJ1328">
        <v>85.584003241390903</v>
      </c>
      <c r="AK1328">
        <v>53.969271318087998</v>
      </c>
      <c r="AL1328">
        <v>80.169809970896097</v>
      </c>
      <c r="AM1328">
        <v>90.020562504790902</v>
      </c>
      <c r="AN1328">
        <v>0.999999987585381</v>
      </c>
    </row>
    <row r="1329" spans="1:40" x14ac:dyDescent="0.25">
      <c r="A1329" t="str">
        <f>"20190303161903226"</f>
        <v>20190303161903226</v>
      </c>
      <c r="B1329" t="str">
        <f>"1551601143214305"</f>
        <v>1551601143214305</v>
      </c>
      <c r="C1329" t="s">
        <v>40</v>
      </c>
      <c r="D1329">
        <v>4.4091389999999997</v>
      </c>
      <c r="E1329">
        <v>0.53061999999999998</v>
      </c>
      <c r="F1329" t="s">
        <v>46</v>
      </c>
      <c r="G1329">
        <v>-200.88800000000001</v>
      </c>
      <c r="H1329" s="1">
        <v>-2.1265829999999998E-6</v>
      </c>
      <c r="I1329">
        <v>363.57900000000001</v>
      </c>
      <c r="J1329">
        <v>-254.2319</v>
      </c>
      <c r="K1329">
        <v>1.121688</v>
      </c>
      <c r="L1329">
        <v>367.44650000000001</v>
      </c>
      <c r="M1329">
        <v>0.99987899999999996</v>
      </c>
      <c r="N1329">
        <v>-1.477549E-2</v>
      </c>
      <c r="O1329">
        <v>4.8792269999999999E-3</v>
      </c>
      <c r="P1329">
        <v>0.98771699999999996</v>
      </c>
      <c r="Q1329">
        <v>0.15616869999999999</v>
      </c>
      <c r="R1329">
        <v>5.1582520000000003E-3</v>
      </c>
      <c r="S1329">
        <v>3.0485530000000001</v>
      </c>
      <c r="T1329">
        <v>-6.3950779999999999E-2</v>
      </c>
      <c r="U1329">
        <v>-0.22045899999999999</v>
      </c>
      <c r="V1329">
        <v>-3.3153129999999997E-4</v>
      </c>
      <c r="W1329">
        <v>0.1707456</v>
      </c>
      <c r="X1329">
        <v>0.9853151</v>
      </c>
      <c r="Y1329">
        <v>7.6964909999999997E-2</v>
      </c>
      <c r="Z1329">
        <v>-1.4058129999999999E-3</v>
      </c>
      <c r="AA1329">
        <v>0.99703280000000005</v>
      </c>
      <c r="AB1329">
        <v>24</v>
      </c>
      <c r="AC1329">
        <v>53.343899999999898</v>
      </c>
      <c r="AD1329">
        <v>-1.1216901265829999</v>
      </c>
      <c r="AE1329">
        <v>-3.8675000000000002</v>
      </c>
      <c r="AF1329">
        <v>4.1259445733775797</v>
      </c>
      <c r="AG1329">
        <v>-1.1216901265829999</v>
      </c>
      <c r="AH1329">
        <v>53.3009482711823</v>
      </c>
      <c r="AI1329">
        <v>91.201986520298803</v>
      </c>
      <c r="AJ1329">
        <v>85.573648593754896</v>
      </c>
      <c r="AK1329">
        <v>53.472167470282201</v>
      </c>
      <c r="AL1329">
        <v>80.168827445716701</v>
      </c>
      <c r="AM1329">
        <v>90.019278445595305</v>
      </c>
      <c r="AN1329">
        <v>1.0000000080601801</v>
      </c>
    </row>
    <row r="1330" spans="1:40" x14ac:dyDescent="0.25">
      <c r="A1330" t="str">
        <f>"20190303161903236"</f>
        <v>20190303161903236</v>
      </c>
      <c r="B1330" t="str">
        <f>"1551601143224065"</f>
        <v>1551601143224065</v>
      </c>
      <c r="C1330" t="s">
        <v>40</v>
      </c>
      <c r="D1330">
        <v>4.4074499999999999</v>
      </c>
      <c r="E1330">
        <v>0.53067129999999996</v>
      </c>
      <c r="F1330" t="s">
        <v>46</v>
      </c>
      <c r="G1330">
        <v>-200.66919999999999</v>
      </c>
      <c r="H1330" s="1">
        <v>-2.0049570000000002E-6</v>
      </c>
      <c r="I1330">
        <v>363.54950000000002</v>
      </c>
      <c r="J1330">
        <v>-254.10409999999999</v>
      </c>
      <c r="K1330">
        <v>1.121691</v>
      </c>
      <c r="L1330">
        <v>367.44720000000001</v>
      </c>
      <c r="M1330">
        <v>0.99987910000000002</v>
      </c>
      <c r="N1330">
        <v>-1.477239E-2</v>
      </c>
      <c r="O1330">
        <v>4.8792509999999898E-3</v>
      </c>
      <c r="P1330">
        <v>0.98772769999999999</v>
      </c>
      <c r="Q1330">
        <v>0.1561072</v>
      </c>
      <c r="R1330">
        <v>4.973819E-3</v>
      </c>
      <c r="S1330">
        <v>3.0485530000000001</v>
      </c>
      <c r="T1330">
        <v>-6.3841699999999904E-2</v>
      </c>
      <c r="U1330">
        <v>-0.22180179999999999</v>
      </c>
      <c r="V1330">
        <v>-1.4688759999999999E-4</v>
      </c>
      <c r="W1330">
        <v>0.17068169999999999</v>
      </c>
      <c r="X1330">
        <v>0.98532620000000004</v>
      </c>
      <c r="Y1330">
        <v>7.7401699999999907E-2</v>
      </c>
      <c r="Z1330">
        <v>-1.4119530000000001E-3</v>
      </c>
      <c r="AA1330">
        <v>0.99699899999999997</v>
      </c>
      <c r="AB1330">
        <v>24</v>
      </c>
      <c r="AC1330">
        <v>53.434899999999999</v>
      </c>
      <c r="AD1330">
        <v>-1.121693004957</v>
      </c>
      <c r="AE1330">
        <v>-3.89769999999998</v>
      </c>
      <c r="AF1330">
        <v>4.1565823808869498</v>
      </c>
      <c r="AG1330">
        <v>-1.121693004957</v>
      </c>
      <c r="AH1330">
        <v>53.391841037130298</v>
      </c>
      <c r="AI1330">
        <v>91.199903051149406</v>
      </c>
      <c r="AJ1330">
        <v>85.548472633485403</v>
      </c>
      <c r="AK1330">
        <v>53.565138491566103</v>
      </c>
      <c r="AL1330">
        <v>80.172543034655604</v>
      </c>
      <c r="AM1330">
        <v>90.008541373892598</v>
      </c>
      <c r="AN1330">
        <v>0.999999992348648</v>
      </c>
    </row>
    <row r="1331" spans="1:40" x14ac:dyDescent="0.25">
      <c r="A1331" t="str">
        <f>"20190303161903249"</f>
        <v>20190303161903249</v>
      </c>
      <c r="B1331" t="str">
        <f>"1551601143243585"</f>
        <v>1551601143243585</v>
      </c>
      <c r="C1331" t="s">
        <v>40</v>
      </c>
      <c r="D1331">
        <v>4.4095940000000002</v>
      </c>
      <c r="E1331">
        <v>0.53081449999999997</v>
      </c>
      <c r="F1331" t="s">
        <v>46</v>
      </c>
      <c r="G1331">
        <v>-202.1182</v>
      </c>
      <c r="H1331" s="1">
        <v>-2.8281940000000001E-6</v>
      </c>
      <c r="I1331">
        <v>363.6474</v>
      </c>
      <c r="J1331">
        <v>-253.9862</v>
      </c>
      <c r="K1331">
        <v>1.121691</v>
      </c>
      <c r="L1331">
        <v>367.4477</v>
      </c>
      <c r="M1331">
        <v>0.99987890000000001</v>
      </c>
      <c r="N1331">
        <v>-1.4769539999999999E-2</v>
      </c>
      <c r="O1331">
        <v>4.8792710000000001E-3</v>
      </c>
      <c r="P1331">
        <v>0.98775950000000001</v>
      </c>
      <c r="Q1331">
        <v>0.15590379999999901</v>
      </c>
      <c r="R1331">
        <v>5.0253379999999999E-3</v>
      </c>
      <c r="S1331">
        <v>3.0487669999999998</v>
      </c>
      <c r="T1331">
        <v>-6.5782899999999894E-2</v>
      </c>
      <c r="U1331">
        <v>-0.22283939999999999</v>
      </c>
      <c r="V1331">
        <v>-1.9857729999999999E-4</v>
      </c>
      <c r="W1331">
        <v>0.17047590000000001</v>
      </c>
      <c r="X1331">
        <v>0.98536179999999995</v>
      </c>
      <c r="Y1331">
        <v>7.7732620000000002E-2</v>
      </c>
      <c r="Z1331">
        <v>-1.4455099999999999E-3</v>
      </c>
      <c r="AA1331">
        <v>0.9969732</v>
      </c>
      <c r="AB1331">
        <v>24</v>
      </c>
      <c r="AC1331">
        <v>51.868000000000002</v>
      </c>
      <c r="AD1331">
        <v>-1.1216938281939901</v>
      </c>
      <c r="AE1331">
        <v>-3.8002999999999898</v>
      </c>
      <c r="AF1331">
        <v>4.05147573814551</v>
      </c>
      <c r="AG1331">
        <v>-1.1216938281939901</v>
      </c>
      <c r="AH1331">
        <v>51.824729706333699</v>
      </c>
      <c r="AI1331">
        <v>91.236145110190705</v>
      </c>
      <c r="AJ1331">
        <v>85.529908386119203</v>
      </c>
      <c r="AK1331">
        <v>51.994954195917302</v>
      </c>
      <c r="AL1331">
        <v>80.1845097141493</v>
      </c>
      <c r="AM1331">
        <v>90.011546663411394</v>
      </c>
      <c r="AN1331">
        <v>0.99999997440649602</v>
      </c>
    </row>
    <row r="1332" spans="1:40" x14ac:dyDescent="0.25">
      <c r="A1332" t="str">
        <f>"20190303161903262"</f>
        <v>20190303161903262</v>
      </c>
      <c r="B1332" t="str">
        <f>"1551601143254321"</f>
        <v>1551601143254321</v>
      </c>
      <c r="C1332" t="s">
        <v>40</v>
      </c>
      <c r="D1332">
        <v>4.4752049999999999</v>
      </c>
      <c r="E1332">
        <v>0.53088760000000002</v>
      </c>
      <c r="F1332" t="s">
        <v>46</v>
      </c>
      <c r="G1332">
        <v>-203.5172</v>
      </c>
      <c r="H1332" s="1">
        <v>-3.5106630000000002E-6</v>
      </c>
      <c r="I1332">
        <v>363.74450000000002</v>
      </c>
      <c r="J1332">
        <v>-253.83539999999999</v>
      </c>
      <c r="K1332">
        <v>1.1216889999999999</v>
      </c>
      <c r="L1332">
        <v>367.44850000000002</v>
      </c>
      <c r="M1332">
        <v>0.99987919999999997</v>
      </c>
      <c r="N1332">
        <v>-1.47658999999999E-2</v>
      </c>
      <c r="O1332">
        <v>4.879474E-3</v>
      </c>
      <c r="P1332">
        <v>0.98778889999999997</v>
      </c>
      <c r="Q1332">
        <v>0.15572159999999999</v>
      </c>
      <c r="R1332">
        <v>4.9222099999999998E-3</v>
      </c>
      <c r="S1332">
        <v>3.049026</v>
      </c>
      <c r="T1332">
        <v>-6.7765829999999999E-2</v>
      </c>
      <c r="U1332">
        <v>-0.22372439999999999</v>
      </c>
      <c r="V1332" s="1">
        <v>-9.4836230000000001E-5</v>
      </c>
      <c r="W1332">
        <v>0.17029079999999999</v>
      </c>
      <c r="X1332">
        <v>0.98539379999999999</v>
      </c>
      <c r="Y1332">
        <v>7.8012899999999996E-2</v>
      </c>
      <c r="Z1332">
        <v>-1.4788939999999999E-3</v>
      </c>
      <c r="AA1332">
        <v>0.99695129999999998</v>
      </c>
      <c r="AB1332">
        <v>24</v>
      </c>
      <c r="AC1332">
        <v>50.318199999999898</v>
      </c>
      <c r="AD1332">
        <v>-1.121692510663</v>
      </c>
      <c r="AE1332">
        <v>-3.7040000000000002</v>
      </c>
      <c r="AF1332">
        <v>3.9475578855734401</v>
      </c>
      <c r="AG1332">
        <v>-1.121692510663</v>
      </c>
      <c r="AH1332">
        <v>50.274676828181903</v>
      </c>
      <c r="AI1332">
        <v>91.274209616039897</v>
      </c>
      <c r="AJ1332">
        <v>85.510358123612605</v>
      </c>
      <c r="AK1332">
        <v>50.441892683825401</v>
      </c>
      <c r="AL1332">
        <v>80.195272330029397</v>
      </c>
      <c r="AM1332">
        <v>90.005514258063201</v>
      </c>
      <c r="AN1332">
        <v>0.99999995331849401</v>
      </c>
    </row>
    <row r="1333" spans="1:40" x14ac:dyDescent="0.25">
      <c r="A1333" t="str">
        <f>"20190303161903276"</f>
        <v>20190303161903276</v>
      </c>
      <c r="B1333" t="str">
        <f>"1551601143264081"</f>
        <v>1551601143264081</v>
      </c>
      <c r="C1333" t="s">
        <v>40</v>
      </c>
      <c r="D1333">
        <v>4.479609</v>
      </c>
      <c r="E1333">
        <v>0.53083849999999999</v>
      </c>
      <c r="F1333" t="s">
        <v>46</v>
      </c>
      <c r="G1333">
        <v>-205.89179999999999</v>
      </c>
      <c r="H1333" s="1">
        <v>-4.6340190000000003E-6</v>
      </c>
      <c r="I1333">
        <v>363.9171</v>
      </c>
      <c r="J1333">
        <v>-253.6875</v>
      </c>
      <c r="K1333">
        <v>1.121678</v>
      </c>
      <c r="L1333">
        <v>367.44920000000002</v>
      </c>
      <c r="M1333">
        <v>0.99987919999999997</v>
      </c>
      <c r="N1333">
        <v>-1.4762340000000001E-2</v>
      </c>
      <c r="O1333">
        <v>4.8791440000000002E-3</v>
      </c>
      <c r="P1333">
        <v>0.9878072</v>
      </c>
      <c r="Q1333">
        <v>0.15560650000000001</v>
      </c>
      <c r="R1333">
        <v>4.8613780000000004E-3</v>
      </c>
      <c r="S1333">
        <v>3.0494690000000002</v>
      </c>
      <c r="T1333">
        <v>-7.1345809999999996E-2</v>
      </c>
      <c r="U1333">
        <v>-0.22460939999999999</v>
      </c>
      <c r="V1333" s="1">
        <v>-3.4229020000000002E-5</v>
      </c>
      <c r="W1333">
        <v>0.17017189999999999</v>
      </c>
      <c r="X1333">
        <v>0.98541440000000002</v>
      </c>
      <c r="Y1333">
        <v>7.8286869999999995E-2</v>
      </c>
      <c r="Z1333">
        <v>-1.5352930000000001E-3</v>
      </c>
      <c r="AA1333">
        <v>0.99692970000000003</v>
      </c>
      <c r="AB1333">
        <v>24</v>
      </c>
      <c r="AC1333">
        <v>47.795699999999997</v>
      </c>
      <c r="AD1333">
        <v>-1.121682634019</v>
      </c>
      <c r="AE1333">
        <v>-3.53210000000001</v>
      </c>
      <c r="AF1333">
        <v>3.7632240728034101</v>
      </c>
      <c r="AG1333">
        <v>-1.121682634019</v>
      </c>
      <c r="AH1333">
        <v>47.751738561717602</v>
      </c>
      <c r="AI1333">
        <v>91.341465800913298</v>
      </c>
      <c r="AJ1333">
        <v>85.493941355798299</v>
      </c>
      <c r="AK1333">
        <v>47.912926888473599</v>
      </c>
      <c r="AL1333">
        <v>80.202186248576993</v>
      </c>
      <c r="AM1333">
        <v>90.001990206741496</v>
      </c>
      <c r="AN1333">
        <v>1.0000000082242899</v>
      </c>
    </row>
    <row r="1334" spans="1:40" x14ac:dyDescent="0.25">
      <c r="A1334" t="str">
        <f>"20190303161903290"</f>
        <v>20190303161903290</v>
      </c>
      <c r="B1334" t="str">
        <f>"1551601143283601"</f>
        <v>1551601143283601</v>
      </c>
      <c r="C1334" t="s">
        <v>40</v>
      </c>
      <c r="D1334">
        <v>4.5236299999999998</v>
      </c>
      <c r="E1334">
        <v>0.5308813</v>
      </c>
      <c r="F1334" t="s">
        <v>46</v>
      </c>
      <c r="G1334">
        <v>-206.97749999999999</v>
      </c>
      <c r="H1334" s="1">
        <v>-5.1178140000000003E-6</v>
      </c>
      <c r="I1334">
        <v>364.01600000000002</v>
      </c>
      <c r="J1334">
        <v>-253.53720000000001</v>
      </c>
      <c r="K1334">
        <v>1.121677</v>
      </c>
      <c r="L1334">
        <v>367.44990000000001</v>
      </c>
      <c r="M1334">
        <v>0.99987910000000002</v>
      </c>
      <c r="N1334">
        <v>-1.47587E-2</v>
      </c>
      <c r="O1334">
        <v>4.8791720000000002E-3</v>
      </c>
      <c r="P1334">
        <v>0.98784240000000001</v>
      </c>
      <c r="Q1334">
        <v>0.1553852</v>
      </c>
      <c r="R1334">
        <v>4.7677960000000004E-3</v>
      </c>
      <c r="S1334">
        <v>3.0496829999999999</v>
      </c>
      <c r="T1334">
        <v>-7.3234320000000006E-2</v>
      </c>
      <c r="U1334">
        <v>-0.22415160000000001</v>
      </c>
      <c r="V1334" s="1">
        <v>5.9440269999999897E-5</v>
      </c>
      <c r="W1334">
        <v>0.16994779999999901</v>
      </c>
      <c r="X1334">
        <v>0.98545309999999997</v>
      </c>
      <c r="Y1334">
        <v>7.8131519999999996E-2</v>
      </c>
      <c r="Z1334">
        <v>-1.559307E-3</v>
      </c>
      <c r="AA1334">
        <v>0.99694190000000005</v>
      </c>
      <c r="AB1334">
        <v>24</v>
      </c>
      <c r="AC1334">
        <v>46.559699999999999</v>
      </c>
      <c r="AD1334">
        <v>-1.121682117814</v>
      </c>
      <c r="AE1334">
        <v>-3.4339000000000501</v>
      </c>
      <c r="AF1334">
        <v>3.6589445419206901</v>
      </c>
      <c r="AG1334">
        <v>-1.121682117814</v>
      </c>
      <c r="AH1334">
        <v>46.515538196936703</v>
      </c>
      <c r="AI1334">
        <v>91.377118389142296</v>
      </c>
      <c r="AJ1334">
        <v>85.502335372600598</v>
      </c>
      <c r="AK1334">
        <v>46.672704439371799</v>
      </c>
      <c r="AL1334">
        <v>80.2152162952232</v>
      </c>
      <c r="AM1334">
        <v>89.996544050041507</v>
      </c>
      <c r="AN1334">
        <v>1.0000000352787899</v>
      </c>
    </row>
    <row r="1335" spans="1:40" x14ac:dyDescent="0.25">
      <c r="A1335" t="str">
        <f>"20190303161903305"</f>
        <v>20190303161903305</v>
      </c>
      <c r="B1335" t="str">
        <f>"1551601143294337"</f>
        <v>1551601143294337</v>
      </c>
      <c r="C1335" t="s">
        <v>40</v>
      </c>
      <c r="D1335">
        <v>4.4991070000000004</v>
      </c>
      <c r="E1335">
        <v>0.53099659999999904</v>
      </c>
      <c r="F1335" t="s">
        <v>46</v>
      </c>
      <c r="G1335">
        <v>-208.88419999999999</v>
      </c>
      <c r="H1335" s="1">
        <v>-5.7645030000000003E-6</v>
      </c>
      <c r="I1335">
        <v>364.15530000000001</v>
      </c>
      <c r="J1335">
        <v>-253.38149999999999</v>
      </c>
      <c r="K1335">
        <v>1.1216809999999999</v>
      </c>
      <c r="L1335">
        <v>367.45069999999998</v>
      </c>
      <c r="M1335">
        <v>0.99987939999999997</v>
      </c>
      <c r="N1335">
        <v>-1.4754929999999999E-2</v>
      </c>
      <c r="O1335">
        <v>4.879375E-3</v>
      </c>
      <c r="P1335">
        <v>0.98782449999999999</v>
      </c>
      <c r="Q1335">
        <v>0.1554989</v>
      </c>
      <c r="R1335">
        <v>4.8112959999999996E-3</v>
      </c>
      <c r="S1335">
        <v>3.0500790000000002</v>
      </c>
      <c r="T1335">
        <v>-7.6617840000000006E-2</v>
      </c>
      <c r="U1335">
        <v>-0.2250366</v>
      </c>
      <c r="V1335" s="1">
        <v>1.618837E-5</v>
      </c>
      <c r="W1335">
        <v>0.17005770000000001</v>
      </c>
      <c r="X1335">
        <v>0.98543409999999998</v>
      </c>
      <c r="Y1335">
        <v>7.8407000000000004E-2</v>
      </c>
      <c r="Z1335">
        <v>-1.6132E-3</v>
      </c>
      <c r="AA1335">
        <v>0.99692009999999998</v>
      </c>
      <c r="AB1335">
        <v>24</v>
      </c>
      <c r="AC1335">
        <v>44.497300000000003</v>
      </c>
      <c r="AD1335">
        <v>-1.121686764503</v>
      </c>
      <c r="AE1335">
        <v>-3.2953999999999701</v>
      </c>
      <c r="AF1335">
        <v>3.5102849626583299</v>
      </c>
      <c r="AG1335">
        <v>-1.121686764503</v>
      </c>
      <c r="AH1335">
        <v>44.452595975344799</v>
      </c>
      <c r="AI1335">
        <v>91.440972338418007</v>
      </c>
      <c r="AJ1335">
        <v>85.484897782379605</v>
      </c>
      <c r="AK1335">
        <v>44.6050845830828</v>
      </c>
      <c r="AL1335">
        <v>80.208826063521101</v>
      </c>
      <c r="AM1335">
        <v>89.999058764783797</v>
      </c>
      <c r="AN1335">
        <v>0.99999999351708102</v>
      </c>
    </row>
    <row r="1336" spans="1:40" x14ac:dyDescent="0.25">
      <c r="A1336" t="str">
        <f>"20190303161903319"</f>
        <v>20190303161903319</v>
      </c>
      <c r="B1336" t="str">
        <f>"1551601143304097"</f>
        <v>1551601143304097</v>
      </c>
      <c r="C1336" t="s">
        <v>40</v>
      </c>
      <c r="D1336">
        <v>4.5263169999999997</v>
      </c>
      <c r="E1336">
        <v>0.53102050000000001</v>
      </c>
      <c r="F1336" t="s">
        <v>46</v>
      </c>
      <c r="G1336">
        <v>-207.90100000000001</v>
      </c>
      <c r="H1336" s="1">
        <v>-5.4457589999999999E-6</v>
      </c>
      <c r="I1336">
        <v>364.089</v>
      </c>
      <c r="J1336">
        <v>-253.23249999999999</v>
      </c>
      <c r="K1336">
        <v>1.121683</v>
      </c>
      <c r="L1336">
        <v>367.45139999999998</v>
      </c>
      <c r="M1336">
        <v>0.99987930000000003</v>
      </c>
      <c r="N1336">
        <v>-1.475132E-2</v>
      </c>
      <c r="O1336">
        <v>4.8791080000000001E-3</v>
      </c>
      <c r="P1336">
        <v>0.98784970000000005</v>
      </c>
      <c r="Q1336">
        <v>0.1553397</v>
      </c>
      <c r="R1336">
        <v>4.750588E-3</v>
      </c>
      <c r="S1336">
        <v>3.0499269999999998</v>
      </c>
      <c r="T1336">
        <v>-7.5220350000000005E-2</v>
      </c>
      <c r="U1336">
        <v>-0.2254333</v>
      </c>
      <c r="V1336" s="1">
        <v>7.6586440000000005E-5</v>
      </c>
      <c r="W1336">
        <v>0.16989509999999999</v>
      </c>
      <c r="X1336">
        <v>0.98546210000000001</v>
      </c>
      <c r="Y1336">
        <v>7.8540479999999996E-2</v>
      </c>
      <c r="Z1336">
        <v>-1.5955889999999999E-3</v>
      </c>
      <c r="AA1336">
        <v>0.99690970000000001</v>
      </c>
      <c r="AB1336">
        <v>24</v>
      </c>
      <c r="AC1336">
        <v>45.331499999999998</v>
      </c>
      <c r="AD1336">
        <v>-1.121688445759</v>
      </c>
      <c r="AE1336">
        <v>-3.3623999999999801</v>
      </c>
      <c r="AF1336">
        <v>3.58138053845102</v>
      </c>
      <c r="AG1336">
        <v>-1.121688445759</v>
      </c>
      <c r="AH1336">
        <v>45.2869767820074</v>
      </c>
      <c r="AI1336">
        <v>91.414423671564293</v>
      </c>
      <c r="AJ1336">
        <v>85.478350811469198</v>
      </c>
      <c r="AK1336">
        <v>45.442213167765303</v>
      </c>
      <c r="AL1336">
        <v>80.218279505817193</v>
      </c>
      <c r="AM1336">
        <v>89.995547185659305</v>
      </c>
      <c r="AN1336">
        <v>0.99999995070295</v>
      </c>
    </row>
    <row r="1337" spans="1:40" x14ac:dyDescent="0.25">
      <c r="A1337" t="str">
        <f>"20190303161903330"</f>
        <v>20190303161903330</v>
      </c>
      <c r="B1337" t="str">
        <f>"1551601143323617"</f>
        <v>1551601143323617</v>
      </c>
      <c r="C1337" t="s">
        <v>40</v>
      </c>
      <c r="D1337">
        <v>4.5160229999999997</v>
      </c>
      <c r="E1337">
        <v>0.53101609999999999</v>
      </c>
      <c r="F1337" t="s">
        <v>46</v>
      </c>
      <c r="G1337">
        <v>-209.13290000000001</v>
      </c>
      <c r="H1337" s="1">
        <v>-5.8436219999999996E-6</v>
      </c>
      <c r="I1337">
        <v>364.18189999999998</v>
      </c>
      <c r="J1337">
        <v>-253.1035</v>
      </c>
      <c r="K1337">
        <v>1.121686</v>
      </c>
      <c r="L1337">
        <v>367.452</v>
      </c>
      <c r="M1337">
        <v>0.99987930000000003</v>
      </c>
      <c r="N1337">
        <v>-1.474818E-2</v>
      </c>
      <c r="O1337">
        <v>4.8791310000000001E-3</v>
      </c>
      <c r="P1337">
        <v>0.98784620000000001</v>
      </c>
      <c r="Q1337">
        <v>0.15535879999999999</v>
      </c>
      <c r="R1337">
        <v>4.8212929999999999E-3</v>
      </c>
      <c r="S1337">
        <v>3.0501710000000002</v>
      </c>
      <c r="T1337">
        <v>-7.7582120000000004E-2</v>
      </c>
      <c r="U1337">
        <v>-0.22613530000000001</v>
      </c>
      <c r="V1337" s="1">
        <v>5.97943999999999E-6</v>
      </c>
      <c r="W1337">
        <v>0.16991110000000001</v>
      </c>
      <c r="X1337">
        <v>0.98545939999999999</v>
      </c>
      <c r="Y1337">
        <v>7.876068E-2</v>
      </c>
      <c r="Z1337">
        <v>-1.633944E-3</v>
      </c>
      <c r="AA1337">
        <v>0.99689220000000001</v>
      </c>
      <c r="AB1337">
        <v>24</v>
      </c>
      <c r="AC1337">
        <v>43.970599999999898</v>
      </c>
      <c r="AD1337">
        <v>-1.121691843622</v>
      </c>
      <c r="AE1337">
        <v>-3.27010000000001</v>
      </c>
      <c r="AF1337">
        <v>3.4823689993270199</v>
      </c>
      <c r="AG1337">
        <v>-1.121691843622</v>
      </c>
      <c r="AH1337">
        <v>43.9256915719454</v>
      </c>
      <c r="AI1337">
        <v>91.458220772911403</v>
      </c>
      <c r="AJ1337">
        <v>85.467149252204294</v>
      </c>
      <c r="AK1337">
        <v>44.077788811522801</v>
      </c>
      <c r="AL1337">
        <v>80.217349789338897</v>
      </c>
      <c r="AM1337">
        <v>89.999652348259204</v>
      </c>
      <c r="AN1337">
        <v>1.00000000549366</v>
      </c>
    </row>
    <row r="1338" spans="1:40" x14ac:dyDescent="0.25">
      <c r="A1338" t="str">
        <f>"20190303161903344"</f>
        <v>20190303161903344</v>
      </c>
      <c r="B1338" t="str">
        <f>"1551601143334354"</f>
        <v>1551601143334354</v>
      </c>
      <c r="C1338" t="s">
        <v>40</v>
      </c>
      <c r="D1338">
        <v>4.5163630000000001</v>
      </c>
      <c r="E1338">
        <v>0.53092620000000001</v>
      </c>
      <c r="F1338" t="s">
        <v>46</v>
      </c>
      <c r="G1338">
        <v>-209.887</v>
      </c>
      <c r="H1338" s="1">
        <v>-6.085261E-6</v>
      </c>
      <c r="I1338">
        <v>364.2509</v>
      </c>
      <c r="J1338">
        <v>-252.96</v>
      </c>
      <c r="K1338">
        <v>1.1216919999999999</v>
      </c>
      <c r="L1338">
        <v>367.45269999999999</v>
      </c>
      <c r="M1338">
        <v>0.99987939999999997</v>
      </c>
      <c r="N1338">
        <v>-1.4744709999999999E-2</v>
      </c>
      <c r="O1338">
        <v>4.8794520000000003E-3</v>
      </c>
      <c r="P1338">
        <v>0.98781969999999997</v>
      </c>
      <c r="Q1338">
        <v>0.155531</v>
      </c>
      <c r="R1338">
        <v>4.7445739999999997E-3</v>
      </c>
      <c r="S1338">
        <v>3.0504609999999999</v>
      </c>
      <c r="T1338">
        <v>-7.9175229999999999E-2</v>
      </c>
      <c r="U1338">
        <v>-0.22595209999999999</v>
      </c>
      <c r="V1338" s="1">
        <v>8.2823909999999999E-5</v>
      </c>
      <c r="W1338">
        <v>0.17007939999999999</v>
      </c>
      <c r="X1338">
        <v>0.98543040000000004</v>
      </c>
      <c r="Y1338">
        <v>7.8693159999999998E-2</v>
      </c>
      <c r="Z1338">
        <v>-1.655426E-3</v>
      </c>
      <c r="AA1338">
        <v>0.99689749999999999</v>
      </c>
      <c r="AB1338">
        <v>24</v>
      </c>
      <c r="AC1338">
        <v>43.073</v>
      </c>
      <c r="AD1338">
        <v>-1.1216980852609999</v>
      </c>
      <c r="AE1338">
        <v>-3.2017999999999902</v>
      </c>
      <c r="AF1338">
        <v>3.4096577211211598</v>
      </c>
      <c r="AG1338">
        <v>-1.1216980852609999</v>
      </c>
      <c r="AH1338">
        <v>43.027842343927702</v>
      </c>
      <c r="AI1338">
        <v>91.488647931531105</v>
      </c>
      <c r="AJ1338">
        <v>85.469175219772595</v>
      </c>
      <c r="AK1338">
        <v>43.177299465617097</v>
      </c>
      <c r="AL1338">
        <v>80.207564836541593</v>
      </c>
      <c r="AM1338">
        <v>89.995184377836694</v>
      </c>
      <c r="AN1338">
        <v>1.0000000412041501</v>
      </c>
    </row>
    <row r="1339" spans="1:40" x14ac:dyDescent="0.25">
      <c r="A1339" t="str">
        <f>"20190303161903359"</f>
        <v>20190303161903359</v>
      </c>
      <c r="B1339" t="str">
        <f>"1551601143353874"</f>
        <v>1551601143353874</v>
      </c>
      <c r="C1339" t="s">
        <v>40</v>
      </c>
      <c r="D1339">
        <v>4.5662099999999999</v>
      </c>
      <c r="E1339">
        <v>0.53094659999999905</v>
      </c>
      <c r="F1339" t="s">
        <v>46</v>
      </c>
      <c r="G1339">
        <v>-209.42089999999999</v>
      </c>
      <c r="H1339" s="1">
        <v>-5.9319219999999899E-6</v>
      </c>
      <c r="I1339">
        <v>364.23379999999997</v>
      </c>
      <c r="J1339">
        <v>-252.81379999999999</v>
      </c>
      <c r="K1339">
        <v>1.1216919999999999</v>
      </c>
      <c r="L1339">
        <v>367.45339999999999</v>
      </c>
      <c r="M1339">
        <v>0.99987959999999998</v>
      </c>
      <c r="N1339">
        <v>-1.474117E-2</v>
      </c>
      <c r="O1339">
        <v>4.8790040000000002E-3</v>
      </c>
      <c r="P1339">
        <v>0.98782119999999995</v>
      </c>
      <c r="Q1339">
        <v>0.15551909999999999</v>
      </c>
      <c r="R1339">
        <v>4.8824920000000004E-3</v>
      </c>
      <c r="S1339">
        <v>3.0504609999999999</v>
      </c>
      <c r="T1339">
        <v>-7.8588959999999999E-2</v>
      </c>
      <c r="U1339">
        <v>-0.2255249</v>
      </c>
      <c r="V1339" s="1">
        <v>-5.5782729999999999E-5</v>
      </c>
      <c r="W1339">
        <v>0.17006389999999999</v>
      </c>
      <c r="X1339">
        <v>0.985433</v>
      </c>
      <c r="Y1339">
        <v>7.8554460000000007E-2</v>
      </c>
      <c r="Z1339">
        <v>-1.6440070000000001E-3</v>
      </c>
      <c r="AA1339">
        <v>0.99690849999999998</v>
      </c>
      <c r="AB1339">
        <v>24</v>
      </c>
      <c r="AC1339">
        <v>43.392899999999997</v>
      </c>
      <c r="AD1339">
        <v>-1.121697931922</v>
      </c>
      <c r="AE1339">
        <v>-3.21960000000001</v>
      </c>
      <c r="AF1339">
        <v>3.4290200074700898</v>
      </c>
      <c r="AG1339">
        <v>-1.121697931922</v>
      </c>
      <c r="AH1339">
        <v>43.347866268989101</v>
      </c>
      <c r="AI1339">
        <v>91.477678470450101</v>
      </c>
      <c r="AJ1339">
        <v>85.477052986848705</v>
      </c>
      <c r="AK1339">
        <v>43.497745855805803</v>
      </c>
      <c r="AL1339">
        <v>80.208465300114497</v>
      </c>
      <c r="AM1339">
        <v>90.003243361035501</v>
      </c>
      <c r="AN1339">
        <v>0.99999996534196001</v>
      </c>
    </row>
    <row r="1340" spans="1:40" x14ac:dyDescent="0.25">
      <c r="A1340" t="str">
        <f>"20190303161903370"</f>
        <v>20190303161903370</v>
      </c>
      <c r="B1340" t="str">
        <f>"1551601143363633"</f>
        <v>1551601143363633</v>
      </c>
      <c r="C1340" t="s">
        <v>40</v>
      </c>
      <c r="D1340">
        <v>4.5135239999999897</v>
      </c>
      <c r="E1340">
        <v>0.53093959999999996</v>
      </c>
      <c r="F1340" t="s">
        <v>46</v>
      </c>
      <c r="G1340">
        <v>-209.90790000000001</v>
      </c>
      <c r="H1340" s="1">
        <v>-6.0868309999999997E-6</v>
      </c>
      <c r="I1340">
        <v>364.28579999999999</v>
      </c>
      <c r="J1340">
        <v>-252.67910000000001</v>
      </c>
      <c r="K1340">
        <v>1.121685</v>
      </c>
      <c r="L1340">
        <v>367.45409999999998</v>
      </c>
      <c r="M1340">
        <v>0.99987950000000003</v>
      </c>
      <c r="N1340">
        <v>-1.4737899999999899E-2</v>
      </c>
      <c r="O1340">
        <v>4.879029E-3</v>
      </c>
      <c r="P1340">
        <v>0.9878207</v>
      </c>
      <c r="Q1340">
        <v>0.15551760000000001</v>
      </c>
      <c r="R1340">
        <v>4.9920210000000001E-3</v>
      </c>
      <c r="S1340">
        <v>3.050659</v>
      </c>
      <c r="T1340">
        <v>-7.9754110000000003E-2</v>
      </c>
      <c r="U1340">
        <v>-0.22521969999999999</v>
      </c>
      <c r="V1340">
        <v>-1.6522950000000001E-4</v>
      </c>
      <c r="W1340">
        <v>0.17005909999999999</v>
      </c>
      <c r="X1340">
        <v>0.98543380000000003</v>
      </c>
      <c r="Y1340">
        <v>7.8449580000000005E-2</v>
      </c>
      <c r="Z1340">
        <v>-1.658517E-3</v>
      </c>
      <c r="AA1340">
        <v>0.99691669999999999</v>
      </c>
      <c r="AB1340">
        <v>24</v>
      </c>
      <c r="AC1340">
        <v>42.771199999999901</v>
      </c>
      <c r="AD1340">
        <v>-1.1216910868309999</v>
      </c>
      <c r="AE1340">
        <v>-3.1682999999999799</v>
      </c>
      <c r="AF1340">
        <v>3.3746585456527098</v>
      </c>
      <c r="AG1340">
        <v>-1.1216910868309999</v>
      </c>
      <c r="AH1340">
        <v>42.726005567595998</v>
      </c>
      <c r="AI1340">
        <v>91.499180869166196</v>
      </c>
      <c r="AJ1340">
        <v>85.483942076387294</v>
      </c>
      <c r="AK1340">
        <v>42.873745613793297</v>
      </c>
      <c r="AL1340">
        <v>80.208744228413295</v>
      </c>
      <c r="AM1340">
        <v>90.009606888775593</v>
      </c>
      <c r="AN1340">
        <v>0.99999994948801696</v>
      </c>
    </row>
    <row r="1341" spans="1:40" x14ac:dyDescent="0.25">
      <c r="A1341" t="str">
        <f>"20190303161903382"</f>
        <v>20190303161903382</v>
      </c>
      <c r="B1341" t="str">
        <f>"1551601143374369"</f>
        <v>1551601143374369</v>
      </c>
      <c r="C1341" t="s">
        <v>40</v>
      </c>
      <c r="D1341">
        <v>4.5025219999999999</v>
      </c>
      <c r="E1341">
        <v>0.53093169999999901</v>
      </c>
      <c r="F1341" t="s">
        <v>41</v>
      </c>
      <c r="G1341">
        <v>-210.3066</v>
      </c>
      <c r="H1341" s="1">
        <v>-5.0781959999999998E-6</v>
      </c>
      <c r="I1341">
        <v>364.33159999999998</v>
      </c>
      <c r="J1341">
        <v>-252.554</v>
      </c>
      <c r="K1341">
        <v>1.1216839999999999</v>
      </c>
      <c r="L1341">
        <v>367.4547</v>
      </c>
      <c r="M1341">
        <v>0.99987969999999904</v>
      </c>
      <c r="N1341">
        <v>-1.4734850000000001E-2</v>
      </c>
      <c r="O1341">
        <v>4.8792280000000002E-3</v>
      </c>
      <c r="P1341">
        <v>0.98781980000000003</v>
      </c>
      <c r="Q1341">
        <v>0.1555251</v>
      </c>
      <c r="R1341">
        <v>4.9589999999999999E-3</v>
      </c>
      <c r="S1341">
        <v>3.0508419999999998</v>
      </c>
      <c r="T1341">
        <v>-8.0762150000000005E-2</v>
      </c>
      <c r="U1341">
        <v>-0.224823</v>
      </c>
      <c r="V1341">
        <v>-1.3186719999999999E-4</v>
      </c>
      <c r="W1341">
        <v>0.17006389999999999</v>
      </c>
      <c r="X1341">
        <v>0.985433</v>
      </c>
      <c r="Y1341">
        <v>7.8315640000000006E-2</v>
      </c>
      <c r="Z1341">
        <v>-1.6701379999999901E-3</v>
      </c>
      <c r="AA1341">
        <v>0.99692720000000001</v>
      </c>
      <c r="AB1341">
        <v>24</v>
      </c>
      <c r="AC1341">
        <v>42.247399999999999</v>
      </c>
      <c r="AD1341">
        <v>-1.1216890781960001</v>
      </c>
      <c r="AE1341">
        <v>-3.12310000000002</v>
      </c>
      <c r="AF1341">
        <v>3.3268873885526502</v>
      </c>
      <c r="AG1341">
        <v>-1.1216890781960001</v>
      </c>
      <c r="AH1341">
        <v>42.202069282895899</v>
      </c>
      <c r="AI1341">
        <v>91.517799754866502</v>
      </c>
      <c r="AJ1341">
        <v>85.4925620767102</v>
      </c>
      <c r="AK1341">
        <v>42.3478572993086</v>
      </c>
      <c r="AL1341">
        <v>80.208465370701106</v>
      </c>
      <c r="AM1341">
        <v>90.007667120921496</v>
      </c>
      <c r="AN1341">
        <v>0.99999997248058303</v>
      </c>
    </row>
    <row r="1342" spans="1:40" x14ac:dyDescent="0.25">
      <c r="A1342" t="str">
        <f>"20190303161903394"</f>
        <v>20190303161903394</v>
      </c>
      <c r="B1342" t="str">
        <f>"1551601143384129"</f>
        <v>1551601143384129</v>
      </c>
      <c r="C1342" t="s">
        <v>40</v>
      </c>
      <c r="D1342">
        <v>4.4426100000000002</v>
      </c>
      <c r="E1342">
        <v>0.53083259999999999</v>
      </c>
      <c r="F1342" t="s">
        <v>41</v>
      </c>
      <c r="G1342">
        <v>-210.42089999999999</v>
      </c>
      <c r="H1342" s="1">
        <v>-5.0266810000000002E-6</v>
      </c>
      <c r="I1342">
        <v>364.34559999999999</v>
      </c>
      <c r="J1342">
        <v>-252.43369999999999</v>
      </c>
      <c r="K1342">
        <v>1.121685</v>
      </c>
      <c r="L1342">
        <v>367.45530000000002</v>
      </c>
      <c r="M1342">
        <v>0.99987969999999904</v>
      </c>
      <c r="N1342">
        <v>-1.4731920000000001E-2</v>
      </c>
      <c r="O1342">
        <v>4.8790730000000003E-3</v>
      </c>
      <c r="P1342">
        <v>0.98781819999999998</v>
      </c>
      <c r="Q1342">
        <v>0.15552179999999999</v>
      </c>
      <c r="R1342">
        <v>5.321353E-3</v>
      </c>
      <c r="S1342">
        <v>3.050888</v>
      </c>
      <c r="T1342">
        <v>-8.1222180000000005E-2</v>
      </c>
      <c r="U1342">
        <v>-0.2251282</v>
      </c>
      <c r="V1342">
        <v>-4.9462339999999897E-4</v>
      </c>
      <c r="W1342">
        <v>0.17005770000000001</v>
      </c>
      <c r="X1342">
        <v>0.98543400000000003</v>
      </c>
      <c r="Y1342">
        <v>7.8413099999999999E-2</v>
      </c>
      <c r="Z1342">
        <v>-1.6786590000000001E-3</v>
      </c>
      <c r="AA1342">
        <v>0.99691949999999996</v>
      </c>
      <c r="AB1342">
        <v>24</v>
      </c>
      <c r="AC1342">
        <v>42.012799999999999</v>
      </c>
      <c r="AD1342">
        <v>-1.1216900266809999</v>
      </c>
      <c r="AE1342">
        <v>-3.1097000000000299</v>
      </c>
      <c r="AF1342">
        <v>3.31232048075378</v>
      </c>
      <c r="AG1342">
        <v>-1.1216900266809999</v>
      </c>
      <c r="AH1342">
        <v>41.967373367235503</v>
      </c>
      <c r="AI1342">
        <v>91.526273884359995</v>
      </c>
      <c r="AJ1342">
        <v>85.487223436581999</v>
      </c>
      <c r="AK1342">
        <v>42.1128256333878</v>
      </c>
      <c r="AL1342">
        <v>80.208826297380099</v>
      </c>
      <c r="AM1342">
        <v>90.028758730557698</v>
      </c>
      <c r="AN1342">
        <v>1.0000000171687899</v>
      </c>
    </row>
    <row r="1343" spans="1:40" x14ac:dyDescent="0.25">
      <c r="A1343" t="str">
        <f>"20190303161903406"</f>
        <v>20190303161903406</v>
      </c>
      <c r="B1343" t="str">
        <f>"1551601143393889"</f>
        <v>1551601143393889</v>
      </c>
      <c r="C1343" t="s">
        <v>40</v>
      </c>
      <c r="D1343">
        <v>4.5501550000000002</v>
      </c>
      <c r="E1343">
        <v>0.53089900000000001</v>
      </c>
      <c r="F1343" t="s">
        <v>41</v>
      </c>
      <c r="G1343">
        <v>-210.7987</v>
      </c>
      <c r="H1343" s="1">
        <v>-4.852448E-6</v>
      </c>
      <c r="I1343">
        <v>364.41410000000002</v>
      </c>
      <c r="J1343">
        <v>-252.30279999999999</v>
      </c>
      <c r="K1343">
        <v>1.1216889999999999</v>
      </c>
      <c r="L1343">
        <v>367.45589999999999</v>
      </c>
      <c r="M1343">
        <v>0.99987959999999998</v>
      </c>
      <c r="N1343">
        <v>-1.4728730000000001E-2</v>
      </c>
      <c r="O1343">
        <v>4.8787409999999998E-3</v>
      </c>
      <c r="P1343">
        <v>0.98779969999999995</v>
      </c>
      <c r="Q1343">
        <v>0.15562870000000001</v>
      </c>
      <c r="R1343">
        <v>5.6170009999999999E-3</v>
      </c>
      <c r="S1343">
        <v>3.0511170000000001</v>
      </c>
      <c r="T1343">
        <v>-8.2200049999999997E-2</v>
      </c>
      <c r="U1343">
        <v>-0.22286990000000001</v>
      </c>
      <c r="V1343">
        <v>-7.9064089999999999E-4</v>
      </c>
      <c r="W1343">
        <v>0.17016110000000001</v>
      </c>
      <c r="X1343">
        <v>0.98541590000000001</v>
      </c>
      <c r="Y1343">
        <v>7.767288E-2</v>
      </c>
      <c r="Z1343">
        <v>-1.6771620000000001E-3</v>
      </c>
      <c r="AA1343">
        <v>0.99697749999999996</v>
      </c>
      <c r="AB1343">
        <v>24</v>
      </c>
      <c r="AC1343">
        <v>41.504100000000001</v>
      </c>
      <c r="AD1343">
        <v>-1.121693852448</v>
      </c>
      <c r="AE1343">
        <v>-3.0417999999999599</v>
      </c>
      <c r="AF1343">
        <v>3.2419182390277999</v>
      </c>
      <c r="AG1343">
        <v>-1.121693852448</v>
      </c>
      <c r="AH1343">
        <v>41.458644160171502</v>
      </c>
      <c r="AI1343">
        <v>91.5450866536452</v>
      </c>
      <c r="AJ1343">
        <v>85.528772776510905</v>
      </c>
      <c r="AK1343">
        <v>41.6003294045478</v>
      </c>
      <c r="AL1343">
        <v>80.202813729498104</v>
      </c>
      <c r="AM1343">
        <v>90.045970819995503</v>
      </c>
      <c r="AN1343">
        <v>0.999999960519525</v>
      </c>
    </row>
    <row r="1344" spans="1:40" x14ac:dyDescent="0.25">
      <c r="A1344" t="str">
        <f>"20190303161903418"</f>
        <v>20190303161903418</v>
      </c>
      <c r="B1344" t="str">
        <f>"1551601143403649"</f>
        <v>1551601143403649</v>
      </c>
      <c r="C1344" t="s">
        <v>40</v>
      </c>
      <c r="D1344">
        <v>4.5366679999999997</v>
      </c>
      <c r="E1344">
        <v>0.53093409999999996</v>
      </c>
      <c r="F1344" t="s">
        <v>41</v>
      </c>
      <c r="G1344">
        <v>-210.9615</v>
      </c>
      <c r="H1344" s="1">
        <v>-4.777944E-6</v>
      </c>
      <c r="I1344">
        <v>364.44049999999999</v>
      </c>
      <c r="J1344">
        <v>-252.1756</v>
      </c>
      <c r="K1344">
        <v>1.121691</v>
      </c>
      <c r="L1344">
        <v>367.45659999999998</v>
      </c>
      <c r="M1344">
        <v>0.99987969999999904</v>
      </c>
      <c r="N1344">
        <v>-1.472565E-2</v>
      </c>
      <c r="O1344">
        <v>4.87894E-3</v>
      </c>
      <c r="P1344">
        <v>0.98782479999999995</v>
      </c>
      <c r="Q1344">
        <v>0.1554652</v>
      </c>
      <c r="R1344">
        <v>5.740907E-3</v>
      </c>
      <c r="S1344">
        <v>3.0513460000000001</v>
      </c>
      <c r="T1344">
        <v>-8.2790610000000001E-2</v>
      </c>
      <c r="U1344">
        <v>-0.2225647</v>
      </c>
      <c r="V1344">
        <v>-9.1377669999999995E-4</v>
      </c>
      <c r="W1344">
        <v>0.16999520000000001</v>
      </c>
      <c r="X1344">
        <v>0.98544449999999995</v>
      </c>
      <c r="Y1344">
        <v>7.7567999999999998E-2</v>
      </c>
      <c r="Z1344">
        <v>-1.6832259999999999E-3</v>
      </c>
      <c r="AA1344">
        <v>0.99698560000000003</v>
      </c>
      <c r="AB1344">
        <v>24</v>
      </c>
      <c r="AC1344">
        <v>41.214100000000002</v>
      </c>
      <c r="AD1344">
        <v>-1.121695777944</v>
      </c>
      <c r="AE1344">
        <v>-3.01609999999999</v>
      </c>
      <c r="AF1344">
        <v>3.2147984093605402</v>
      </c>
      <c r="AG1344">
        <v>-1.121695777944</v>
      </c>
      <c r="AH1344">
        <v>41.168560148500802</v>
      </c>
      <c r="AI1344">
        <v>91.555984074893004</v>
      </c>
      <c r="AJ1344">
        <v>85.534909455248894</v>
      </c>
      <c r="AK1344">
        <v>41.309120965372898</v>
      </c>
      <c r="AL1344">
        <v>80.212460349358295</v>
      </c>
      <c r="AM1344">
        <v>90.053128850302201</v>
      </c>
      <c r="AN1344">
        <v>1.00000003279557</v>
      </c>
    </row>
    <row r="1345" spans="1:40" x14ac:dyDescent="0.25">
      <c r="A1345" t="str">
        <f>"20190303161903430"</f>
        <v>20190303161903430</v>
      </c>
      <c r="B1345" t="str">
        <f>"1551601143424145"</f>
        <v>1551601143424145</v>
      </c>
      <c r="C1345" t="s">
        <v>40</v>
      </c>
      <c r="D1345">
        <v>4.5712679999999999</v>
      </c>
      <c r="E1345">
        <v>0.53079880000000002</v>
      </c>
      <c r="F1345" t="s">
        <v>41</v>
      </c>
      <c r="G1345">
        <v>-211.21100000000001</v>
      </c>
      <c r="H1345" s="1">
        <v>-4.6656949999999997E-6</v>
      </c>
      <c r="I1345">
        <v>364.4699</v>
      </c>
      <c r="J1345">
        <v>-252.0487</v>
      </c>
      <c r="K1345">
        <v>1.121691</v>
      </c>
      <c r="L1345">
        <v>367.4572</v>
      </c>
      <c r="M1345">
        <v>0.99987979999999999</v>
      </c>
      <c r="N1345">
        <v>-1.4722570000000001E-2</v>
      </c>
      <c r="O1345">
        <v>4.8789609999999898E-3</v>
      </c>
      <c r="P1345">
        <v>0.98782610000000004</v>
      </c>
      <c r="Q1345">
        <v>0.15544829999999901</v>
      </c>
      <c r="R1345">
        <v>5.9591119999999999E-3</v>
      </c>
      <c r="S1345">
        <v>3.0514070000000002</v>
      </c>
      <c r="T1345">
        <v>-8.3553550000000004E-2</v>
      </c>
      <c r="U1345">
        <v>-0.22247310000000001</v>
      </c>
      <c r="V1345">
        <v>-1.132283E-3</v>
      </c>
      <c r="W1345">
        <v>0.16997499999999999</v>
      </c>
      <c r="X1345">
        <v>0.98544770000000004</v>
      </c>
      <c r="Y1345">
        <v>7.7536179999999996E-2</v>
      </c>
      <c r="Z1345">
        <v>-1.69332799999999E-3</v>
      </c>
      <c r="AA1345">
        <v>0.99698810000000004</v>
      </c>
      <c r="AB1345">
        <v>24</v>
      </c>
      <c r="AC1345">
        <v>40.837699999999998</v>
      </c>
      <c r="AD1345">
        <v>-1.1216956656949999</v>
      </c>
      <c r="AE1345">
        <v>-2.9872999999999998</v>
      </c>
      <c r="AF1345">
        <v>3.1841420886940202</v>
      </c>
      <c r="AG1345">
        <v>-1.1216956656949999</v>
      </c>
      <c r="AH1345">
        <v>40.792025803432303</v>
      </c>
      <c r="AI1345">
        <v>91.570343147624797</v>
      </c>
      <c r="AJ1345">
        <v>85.536659086296794</v>
      </c>
      <c r="AK1345">
        <v>40.931483373502601</v>
      </c>
      <c r="AL1345">
        <v>80.213634255844198</v>
      </c>
      <c r="AM1345">
        <v>90.065833030575703</v>
      </c>
      <c r="AN1345">
        <v>0.99999997606253999</v>
      </c>
    </row>
    <row r="1346" spans="1:40" x14ac:dyDescent="0.25">
      <c r="A1346" t="str">
        <f>"20190303161903444"</f>
        <v>20190303161903444</v>
      </c>
      <c r="B1346" t="str">
        <f>"1551601143433905"</f>
        <v>1551601143433905</v>
      </c>
      <c r="C1346" t="s">
        <v>40</v>
      </c>
      <c r="D1346">
        <v>4.565658</v>
      </c>
      <c r="E1346">
        <v>0.53079880000000002</v>
      </c>
      <c r="F1346" t="s">
        <v>41</v>
      </c>
      <c r="G1346">
        <v>-211.27160000000001</v>
      </c>
      <c r="H1346" s="1">
        <v>-4.6326999999999997E-6</v>
      </c>
      <c r="I1346">
        <v>364.50920000000002</v>
      </c>
      <c r="J1346">
        <v>-251.89599999999999</v>
      </c>
      <c r="K1346">
        <v>1.121686</v>
      </c>
      <c r="L1346">
        <v>367.4579</v>
      </c>
      <c r="M1346">
        <v>0.99987990000000004</v>
      </c>
      <c r="N1346">
        <v>-1.471889E-2</v>
      </c>
      <c r="O1346">
        <v>4.8789879999999999E-3</v>
      </c>
      <c r="P1346">
        <v>0.9878711</v>
      </c>
      <c r="Q1346">
        <v>0.1551602</v>
      </c>
      <c r="R1346">
        <v>6.0276899999999996E-3</v>
      </c>
      <c r="S1346">
        <v>3.0515140000000001</v>
      </c>
      <c r="T1346">
        <v>-8.3940979999999998E-2</v>
      </c>
      <c r="U1346">
        <v>-0.22061159999999999</v>
      </c>
      <c r="V1346">
        <v>-1.200479E-3</v>
      </c>
      <c r="W1346">
        <v>0.1696841</v>
      </c>
      <c r="X1346">
        <v>0.98549779999999998</v>
      </c>
      <c r="Y1346">
        <v>7.6928629999999998E-2</v>
      </c>
      <c r="Z1346">
        <v>-1.6858839999999999E-3</v>
      </c>
      <c r="AA1346">
        <v>0.99703520000000001</v>
      </c>
      <c r="AB1346">
        <v>24</v>
      </c>
      <c r="AC1346">
        <v>40.624399999999902</v>
      </c>
      <c r="AD1346">
        <v>-1.1216906327</v>
      </c>
      <c r="AE1346">
        <v>-2.9486999999999699</v>
      </c>
      <c r="AF1346">
        <v>3.1445075537227698</v>
      </c>
      <c r="AG1346">
        <v>-1.1216906327</v>
      </c>
      <c r="AH1346">
        <v>40.578753791014201</v>
      </c>
      <c r="AI1346">
        <v>91.578654339875001</v>
      </c>
      <c r="AJ1346">
        <v>85.568920717630306</v>
      </c>
      <c r="AK1346">
        <v>40.715861489874598</v>
      </c>
      <c r="AL1346">
        <v>80.230547763140905</v>
      </c>
      <c r="AM1346">
        <v>90.069794520162901</v>
      </c>
      <c r="AN1346">
        <v>1.0000000243737299</v>
      </c>
    </row>
    <row r="1347" spans="1:40" x14ac:dyDescent="0.25">
      <c r="A1347" t="str">
        <f>"20190303161903458"</f>
        <v>20190303161903458</v>
      </c>
      <c r="B1347" t="str">
        <f>"1551601143454402"</f>
        <v>1551601143454402</v>
      </c>
      <c r="C1347" t="s">
        <v>40</v>
      </c>
      <c r="D1347">
        <v>4.5942679999999996</v>
      </c>
      <c r="E1347">
        <v>0.52030159999999903</v>
      </c>
      <c r="F1347" t="s">
        <v>41</v>
      </c>
      <c r="G1347">
        <v>-211.51949999999999</v>
      </c>
      <c r="H1347" s="1">
        <v>-4.5208269999999997E-6</v>
      </c>
      <c r="I1347">
        <v>364.54050000000001</v>
      </c>
      <c r="J1347">
        <v>-251.75790000000001</v>
      </c>
      <c r="K1347">
        <v>1.1216839999999999</v>
      </c>
      <c r="L1347">
        <v>367.45859999999999</v>
      </c>
      <c r="M1347">
        <v>0.99987999999999999</v>
      </c>
      <c r="N1347">
        <v>-1.4715570000000001E-2</v>
      </c>
      <c r="O1347">
        <v>4.8790129999999998E-3</v>
      </c>
      <c r="P1347">
        <v>0.98787919999999996</v>
      </c>
      <c r="Q1347">
        <v>0.15510579999999999</v>
      </c>
      <c r="R1347">
        <v>6.105096E-3</v>
      </c>
      <c r="S1347">
        <v>3.0515140000000001</v>
      </c>
      <c r="T1347">
        <v>-8.4773180000000004E-2</v>
      </c>
      <c r="U1347">
        <v>-0.2204895</v>
      </c>
      <c r="V1347">
        <v>-1.2775589999999999E-3</v>
      </c>
      <c r="W1347">
        <v>0.169626799999999</v>
      </c>
      <c r="X1347">
        <v>0.98550749999999998</v>
      </c>
      <c r="Y1347">
        <v>7.688826E-2</v>
      </c>
      <c r="Z1347">
        <v>-1.6967169999999999E-3</v>
      </c>
      <c r="AA1347">
        <v>0.99703819999999999</v>
      </c>
      <c r="AB1347">
        <v>24</v>
      </c>
      <c r="AC1347">
        <v>40.238399999999999</v>
      </c>
      <c r="AD1347">
        <v>-1.121688520827</v>
      </c>
      <c r="AE1347">
        <v>-2.9180999999999799</v>
      </c>
      <c r="AF1347">
        <v>3.1120045502633502</v>
      </c>
      <c r="AG1347">
        <v>-1.121688520827</v>
      </c>
      <c r="AH1347">
        <v>40.1926126836535</v>
      </c>
      <c r="AI1347">
        <v>91.593817981251803</v>
      </c>
      <c r="AJ1347">
        <v>85.572577158361796</v>
      </c>
      <c r="AK1347">
        <v>40.328511896632101</v>
      </c>
      <c r="AL1347">
        <v>80.233878449606706</v>
      </c>
      <c r="AM1347">
        <v>90.074275130098101</v>
      </c>
      <c r="AN1347">
        <v>0.99999995799574304</v>
      </c>
    </row>
    <row r="1348" spans="1:40" x14ac:dyDescent="0.25">
      <c r="A1348" t="str">
        <f>"20190303161903472"</f>
        <v>20190303161903472</v>
      </c>
      <c r="B1348" t="str">
        <f>"1551601143464161"</f>
        <v>1551601143464161</v>
      </c>
      <c r="C1348" t="s">
        <v>40</v>
      </c>
      <c r="D1348">
        <v>4.565277</v>
      </c>
      <c r="E1348">
        <v>0.51969089999999996</v>
      </c>
      <c r="F1348" t="s">
        <v>41</v>
      </c>
      <c r="G1348">
        <v>-225.01730000000001</v>
      </c>
      <c r="H1348" s="1">
        <v>-2.7137360000000001E-6</v>
      </c>
      <c r="I1348">
        <v>366.26859999999999</v>
      </c>
      <c r="J1348">
        <v>-251.6088</v>
      </c>
      <c r="K1348">
        <v>1.1216919999999999</v>
      </c>
      <c r="L1348">
        <v>367.45940000000002</v>
      </c>
      <c r="M1348">
        <v>0.99987990000000004</v>
      </c>
      <c r="N1348">
        <v>-1.471198E-2</v>
      </c>
      <c r="O1348">
        <v>4.8790400000000003E-3</v>
      </c>
      <c r="P1348">
        <v>0.98791819999999997</v>
      </c>
      <c r="Q1348">
        <v>0.1548658</v>
      </c>
      <c r="R1348">
        <v>5.8631359999999997E-3</v>
      </c>
      <c r="S1348">
        <v>3.0577700000000001</v>
      </c>
      <c r="T1348">
        <v>-0.12826369999999901</v>
      </c>
      <c r="U1348">
        <v>-0.1360779</v>
      </c>
      <c r="V1348">
        <v>-1.035591E-3</v>
      </c>
      <c r="W1348">
        <v>0.1693839</v>
      </c>
      <c r="X1348">
        <v>0.98554960000000003</v>
      </c>
      <c r="Y1348">
        <v>4.9272280000000002E-2</v>
      </c>
      <c r="Z1348">
        <v>-1.5280510000000001E-3</v>
      </c>
      <c r="AA1348">
        <v>0.99878420000000001</v>
      </c>
      <c r="AB1348">
        <v>24</v>
      </c>
      <c r="AC1348">
        <v>26.5915</v>
      </c>
      <c r="AD1348">
        <v>-1.1216947137359901</v>
      </c>
      <c r="AE1348">
        <v>-1.1908000000000201</v>
      </c>
      <c r="AF1348">
        <v>1.31819999720137</v>
      </c>
      <c r="AG1348">
        <v>-1.1216947137359901</v>
      </c>
      <c r="AH1348">
        <v>26.538246262388402</v>
      </c>
      <c r="AI1348">
        <v>92.417309144398999</v>
      </c>
      <c r="AJ1348">
        <v>87.156357966718801</v>
      </c>
      <c r="AK1348">
        <v>26.594630378078602</v>
      </c>
      <c r="AL1348">
        <v>80.248000318128305</v>
      </c>
      <c r="AM1348">
        <v>90.060204957481503</v>
      </c>
      <c r="AN1348">
        <v>0.99999999604404399</v>
      </c>
    </row>
    <row r="1349" spans="1:40" x14ac:dyDescent="0.25">
      <c r="A1349" t="str">
        <f>"20190303161903486"</f>
        <v>20190303161903486</v>
      </c>
      <c r="B1349" t="str">
        <f>"1551601143473921"</f>
        <v>1551601143473921</v>
      </c>
      <c r="C1349" t="s">
        <v>40</v>
      </c>
      <c r="D1349">
        <v>4.5539930000000002</v>
      </c>
      <c r="E1349">
        <v>0.51927690000000004</v>
      </c>
      <c r="F1349" t="s">
        <v>41</v>
      </c>
      <c r="G1349">
        <v>-223.7114</v>
      </c>
      <c r="H1349" s="1">
        <v>-3.2765509999999998E-6</v>
      </c>
      <c r="I1349">
        <v>366.25389999999999</v>
      </c>
      <c r="J1349">
        <v>-251.4676</v>
      </c>
      <c r="K1349">
        <v>1.1216930000000001</v>
      </c>
      <c r="L1349">
        <v>367.46010000000001</v>
      </c>
      <c r="M1349">
        <v>0.99988010000000005</v>
      </c>
      <c r="N1349">
        <v>-1.4708580000000001E-2</v>
      </c>
      <c r="O1349">
        <v>4.8788870000000002E-3</v>
      </c>
      <c r="P1349">
        <v>0.98796039999999996</v>
      </c>
      <c r="Q1349">
        <v>0.1546006</v>
      </c>
      <c r="R1349">
        <v>5.7857109999999998E-3</v>
      </c>
      <c r="S1349">
        <v>3.0567319999999998</v>
      </c>
      <c r="T1349">
        <v>-0.1229045</v>
      </c>
      <c r="U1349">
        <v>-0.13208010000000001</v>
      </c>
      <c r="V1349">
        <v>-9.5809379999999998E-4</v>
      </c>
      <c r="W1349">
        <v>0.1691155</v>
      </c>
      <c r="X1349">
        <v>0.98559580000000002</v>
      </c>
      <c r="Y1349">
        <v>4.7989160000000003E-2</v>
      </c>
      <c r="Z1349">
        <v>-1.441527E-3</v>
      </c>
      <c r="AA1349">
        <v>0.99884680000000003</v>
      </c>
      <c r="AB1349">
        <v>24</v>
      </c>
      <c r="AC1349">
        <v>27.7562</v>
      </c>
      <c r="AD1349">
        <v>-1.1216962765509999</v>
      </c>
      <c r="AE1349">
        <v>-1.2062000000000199</v>
      </c>
      <c r="AF1349">
        <v>1.3394362312911501</v>
      </c>
      <c r="AG1349">
        <v>-1.1216962765509999</v>
      </c>
      <c r="AH1349">
        <v>27.704822720721999</v>
      </c>
      <c r="AI1349">
        <v>92.315788992461194</v>
      </c>
      <c r="AJ1349">
        <v>87.2320944411711</v>
      </c>
      <c r="AK1349">
        <v>27.7598539971153</v>
      </c>
      <c r="AL1349">
        <v>80.263603901871903</v>
      </c>
      <c r="AM1349">
        <v>90.055696984327994</v>
      </c>
      <c r="AN1349">
        <v>1.0000000256307999</v>
      </c>
    </row>
    <row r="1350" spans="1:40" x14ac:dyDescent="0.25">
      <c r="A1350" t="str">
        <f>"20190303161903499"</f>
        <v>20190303161903499</v>
      </c>
      <c r="B1350" t="str">
        <f>"1551601143493441"</f>
        <v>1551601143493441</v>
      </c>
      <c r="C1350" t="s">
        <v>40</v>
      </c>
      <c r="D1350">
        <v>4.5597079999999997</v>
      </c>
      <c r="E1350">
        <v>0.51880959999999998</v>
      </c>
      <c r="F1350" t="s">
        <v>41</v>
      </c>
      <c r="G1350">
        <v>-223.52260000000001</v>
      </c>
      <c r="H1350" s="1">
        <v>-3.352728E-6</v>
      </c>
      <c r="I1350">
        <v>366.28120000000001</v>
      </c>
      <c r="J1350">
        <v>-251.31950000000001</v>
      </c>
      <c r="K1350">
        <v>1.1216930000000001</v>
      </c>
      <c r="L1350">
        <v>367.46080000000001</v>
      </c>
      <c r="M1350">
        <v>0.99988010000000005</v>
      </c>
      <c r="N1350">
        <v>-1.4704989999999999E-2</v>
      </c>
      <c r="O1350">
        <v>4.8789139999999998E-3</v>
      </c>
      <c r="P1350">
        <v>0.98800480000000002</v>
      </c>
      <c r="Q1350">
        <v>0.15431159999999999</v>
      </c>
      <c r="R1350">
        <v>5.8914419999999898E-3</v>
      </c>
      <c r="S1350">
        <v>3.0565340000000001</v>
      </c>
      <c r="T1350">
        <v>-0.1226872</v>
      </c>
      <c r="U1350">
        <v>-0.12893679999999999</v>
      </c>
      <c r="V1350">
        <v>-1.063891E-3</v>
      </c>
      <c r="W1350">
        <v>0.16882369999999999</v>
      </c>
      <c r="X1350">
        <v>0.98564569999999996</v>
      </c>
      <c r="Y1350">
        <v>4.6967920000000003E-2</v>
      </c>
      <c r="Z1350">
        <v>-1.411505E-3</v>
      </c>
      <c r="AA1350">
        <v>0.99889539999999999</v>
      </c>
      <c r="AB1350">
        <v>23</v>
      </c>
      <c r="AC1350">
        <v>27.796899999999901</v>
      </c>
      <c r="AD1350">
        <v>-1.1216963527279999</v>
      </c>
      <c r="AE1350">
        <v>-1.17959999999999</v>
      </c>
      <c r="AF1350">
        <v>1.31308492190167</v>
      </c>
      <c r="AG1350">
        <v>-1.1216963527279999</v>
      </c>
      <c r="AH1350">
        <v>27.745713732926401</v>
      </c>
      <c r="AI1350">
        <v>92.312492459321007</v>
      </c>
      <c r="AJ1350">
        <v>87.290459622978005</v>
      </c>
      <c r="AK1350">
        <v>27.799406922978601</v>
      </c>
      <c r="AL1350">
        <v>80.280566557791801</v>
      </c>
      <c r="AM1350">
        <v>90.061844170262304</v>
      </c>
      <c r="AN1350">
        <v>1.00000000973712</v>
      </c>
    </row>
    <row r="1351" spans="1:40" x14ac:dyDescent="0.25">
      <c r="A1351" t="str">
        <f>"20190303161903511"</f>
        <v>20190303161903511</v>
      </c>
      <c r="B1351" t="str">
        <f>"1551601143504177"</f>
        <v>1551601143504177</v>
      </c>
      <c r="C1351" t="s">
        <v>40</v>
      </c>
      <c r="D1351">
        <v>4.5749700000000004</v>
      </c>
      <c r="E1351">
        <v>0.51862540000000001</v>
      </c>
      <c r="F1351" t="s">
        <v>41</v>
      </c>
      <c r="G1351">
        <v>-224.1721</v>
      </c>
      <c r="H1351" s="1">
        <v>-3.0613339999999999E-6</v>
      </c>
      <c r="I1351">
        <v>366.35309999999998</v>
      </c>
      <c r="J1351">
        <v>-251.1902</v>
      </c>
      <c r="K1351">
        <v>1.121683</v>
      </c>
      <c r="L1351">
        <v>367.46140000000003</v>
      </c>
      <c r="M1351">
        <v>0.99987999999999999</v>
      </c>
      <c r="N1351">
        <v>-1.470192E-2</v>
      </c>
      <c r="O1351">
        <v>4.8789360000000004E-3</v>
      </c>
      <c r="P1351">
        <v>0.98803680000000005</v>
      </c>
      <c r="Q1351">
        <v>0.15412020000000001</v>
      </c>
      <c r="R1351">
        <v>5.5271829999999997E-3</v>
      </c>
      <c r="S1351">
        <v>3.0569000000000002</v>
      </c>
      <c r="T1351">
        <v>-0.12630669999999999</v>
      </c>
      <c r="U1351">
        <v>-0.1247253</v>
      </c>
      <c r="V1351">
        <v>-6.9920029999999997E-4</v>
      </c>
      <c r="W1351">
        <v>0.16863</v>
      </c>
      <c r="X1351">
        <v>0.98567910000000003</v>
      </c>
      <c r="Y1351">
        <v>4.5587849999999999E-2</v>
      </c>
      <c r="Z1351">
        <v>-1.4062269999999999E-3</v>
      </c>
      <c r="AA1351">
        <v>0.99895940000000005</v>
      </c>
      <c r="AB1351">
        <v>23</v>
      </c>
      <c r="AC1351">
        <v>27.0181</v>
      </c>
      <c r="AD1351">
        <v>-1.1216860613339901</v>
      </c>
      <c r="AE1351">
        <v>-1.10830000000004</v>
      </c>
      <c r="AF1351">
        <v>1.23799043870481</v>
      </c>
      <c r="AG1351">
        <v>-1.1216860613339901</v>
      </c>
      <c r="AH1351">
        <v>26.965970349298601</v>
      </c>
      <c r="AI1351">
        <v>92.379419099195701</v>
      </c>
      <c r="AJ1351">
        <v>87.371433115507202</v>
      </c>
      <c r="AK1351">
        <v>27.0176674941744</v>
      </c>
      <c r="AL1351">
        <v>80.2918253699128</v>
      </c>
      <c r="AM1351">
        <v>90.040643267676799</v>
      </c>
      <c r="AN1351">
        <v>0.99999992697893203</v>
      </c>
    </row>
    <row r="1352" spans="1:40" x14ac:dyDescent="0.25">
      <c r="A1352" t="str">
        <f>"20190303161903525"</f>
        <v>20190303161903525</v>
      </c>
      <c r="B1352" t="str">
        <f>"1551601143513937"</f>
        <v>1551601143513937</v>
      </c>
      <c r="C1352" t="s">
        <v>40</v>
      </c>
      <c r="D1352">
        <v>4.5776519999999996</v>
      </c>
      <c r="E1352">
        <v>0.51850039999999997</v>
      </c>
      <c r="F1352" t="s">
        <v>41</v>
      </c>
      <c r="G1352">
        <v>-224.6694</v>
      </c>
      <c r="H1352" s="1">
        <v>-2.8429010000000002E-6</v>
      </c>
      <c r="I1352">
        <v>366.3818</v>
      </c>
      <c r="J1352">
        <v>-251.05449999999999</v>
      </c>
      <c r="K1352">
        <v>1.121683</v>
      </c>
      <c r="L1352">
        <v>367.46199999999999</v>
      </c>
      <c r="M1352">
        <v>0.99988010000000005</v>
      </c>
      <c r="N1352">
        <v>-1.469877E-2</v>
      </c>
      <c r="O1352">
        <v>4.8787809999999996E-3</v>
      </c>
      <c r="P1352">
        <v>0.98807100000000003</v>
      </c>
      <c r="Q1352">
        <v>0.15390290000000001</v>
      </c>
      <c r="R1352">
        <v>5.4483509999999997E-3</v>
      </c>
      <c r="S1352">
        <v>3.0571899999999999</v>
      </c>
      <c r="T1352">
        <v>-0.1293021</v>
      </c>
      <c r="U1352">
        <v>-0.1244507</v>
      </c>
      <c r="V1352">
        <v>-6.2073269999999995E-4</v>
      </c>
      <c r="W1352">
        <v>0.16841010000000001</v>
      </c>
      <c r="X1352">
        <v>0.98571679999999995</v>
      </c>
      <c r="Y1352">
        <v>4.5492039999999997E-2</v>
      </c>
      <c r="Z1352">
        <v>-1.430408E-3</v>
      </c>
      <c r="AA1352">
        <v>0.99896370000000001</v>
      </c>
      <c r="AB1352">
        <v>23</v>
      </c>
      <c r="AC1352">
        <v>26.385099999999898</v>
      </c>
      <c r="AD1352">
        <v>-1.1216858429009999</v>
      </c>
      <c r="AE1352">
        <v>-1.0801999999999901</v>
      </c>
      <c r="AF1352">
        <v>1.2067508844872401</v>
      </c>
      <c r="AG1352">
        <v>-1.1216858429009999</v>
      </c>
      <c r="AH1352">
        <v>26.332005657955101</v>
      </c>
      <c r="AI1352">
        <v>92.436645891252894</v>
      </c>
      <c r="AJ1352">
        <v>87.376068126506098</v>
      </c>
      <c r="AK1352">
        <v>26.383497660430699</v>
      </c>
      <c r="AL1352">
        <v>80.304608024046004</v>
      </c>
      <c r="AM1352">
        <v>90.036080707171195</v>
      </c>
      <c r="AN1352">
        <v>0.99999997844666699</v>
      </c>
    </row>
    <row r="1353" spans="1:40" x14ac:dyDescent="0.25">
      <c r="A1353" t="str">
        <f>"20190303161903536"</f>
        <v>20190303161903536</v>
      </c>
      <c r="B1353" t="str">
        <f>"1551601143523697"</f>
        <v>1551601143523697</v>
      </c>
      <c r="C1353" t="s">
        <v>40</v>
      </c>
      <c r="D1353">
        <v>4.5521320000000003</v>
      </c>
      <c r="E1353">
        <v>0.51833099999999999</v>
      </c>
      <c r="F1353" t="s">
        <v>41</v>
      </c>
      <c r="G1353">
        <v>-225.00550000000001</v>
      </c>
      <c r="H1353" s="1">
        <v>-2.694131E-6</v>
      </c>
      <c r="I1353">
        <v>366.40769999999998</v>
      </c>
      <c r="J1353">
        <v>-250.9358</v>
      </c>
      <c r="K1353">
        <v>1.1216790000000001</v>
      </c>
      <c r="L1353">
        <v>367.46260000000001</v>
      </c>
      <c r="M1353">
        <v>0.99988010000000005</v>
      </c>
      <c r="N1353">
        <v>-1.4696000000000001E-2</v>
      </c>
      <c r="O1353">
        <v>4.8788019999999998E-3</v>
      </c>
      <c r="P1353">
        <v>0.98807400000000001</v>
      </c>
      <c r="Q1353">
        <v>0.15388640000000001</v>
      </c>
      <c r="R1353">
        <v>5.3946659999999898E-3</v>
      </c>
      <c r="S1353">
        <v>3.057404</v>
      </c>
      <c r="T1353">
        <v>-0.1316533</v>
      </c>
      <c r="U1353">
        <v>-0.12374880000000001</v>
      </c>
      <c r="V1353">
        <v>-5.6668129999999997E-4</v>
      </c>
      <c r="W1353">
        <v>0.16839079999999901</v>
      </c>
      <c r="X1353">
        <v>0.98572020000000005</v>
      </c>
      <c r="Y1353">
        <v>4.5258699999999999E-2</v>
      </c>
      <c r="Z1353">
        <v>-1.444758E-3</v>
      </c>
      <c r="AA1353">
        <v>0.99897429999999998</v>
      </c>
      <c r="AB1353">
        <v>23</v>
      </c>
      <c r="AC1353">
        <v>25.9302999999999</v>
      </c>
      <c r="AD1353">
        <v>-1.1216816941309999</v>
      </c>
      <c r="AE1353">
        <v>-1.0549000000000299</v>
      </c>
      <c r="AF1353">
        <v>1.17920699962458</v>
      </c>
      <c r="AG1353">
        <v>-1.1216816941309999</v>
      </c>
      <c r="AH1353">
        <v>25.8765035706178</v>
      </c>
      <c r="AI1353">
        <v>92.479504858134405</v>
      </c>
      <c r="AJ1353">
        <v>87.390803861402503</v>
      </c>
      <c r="AK1353">
        <v>25.927632672712502</v>
      </c>
      <c r="AL1353">
        <v>80.305730531390594</v>
      </c>
      <c r="AM1353">
        <v>90.032938802757599</v>
      </c>
      <c r="AN1353">
        <v>1.00000004767018</v>
      </c>
    </row>
    <row r="1354" spans="1:40" x14ac:dyDescent="0.25">
      <c r="A1354" t="str">
        <f>"20190303161903547"</f>
        <v>20190303161903547</v>
      </c>
      <c r="B1354" t="str">
        <f>"1551601143534433"</f>
        <v>1551601143534433</v>
      </c>
      <c r="C1354" t="s">
        <v>40</v>
      </c>
      <c r="D1354">
        <v>4.567221</v>
      </c>
      <c r="E1354">
        <v>0.51835880000000001</v>
      </c>
      <c r="F1354" t="s">
        <v>41</v>
      </c>
      <c r="G1354">
        <v>-225.21899999999999</v>
      </c>
      <c r="H1354" s="1">
        <v>-2.5980860000000002E-6</v>
      </c>
      <c r="I1354">
        <v>366.43279999999999</v>
      </c>
      <c r="J1354">
        <v>-250.8278</v>
      </c>
      <c r="K1354">
        <v>1.121678</v>
      </c>
      <c r="L1354">
        <v>367.46319999999997</v>
      </c>
      <c r="M1354">
        <v>0.99988030000000006</v>
      </c>
      <c r="N1354">
        <v>-1.469345E-2</v>
      </c>
      <c r="O1354">
        <v>4.8787020000000004E-3</v>
      </c>
      <c r="P1354">
        <v>0.98808739999999995</v>
      </c>
      <c r="Q1354">
        <v>0.15380369999999999</v>
      </c>
      <c r="R1354">
        <v>5.3079310000000001E-3</v>
      </c>
      <c r="S1354">
        <v>3.0576479999999999</v>
      </c>
      <c r="T1354">
        <v>-0.1333637</v>
      </c>
      <c r="U1354">
        <v>-0.1224365</v>
      </c>
      <c r="V1354">
        <v>-4.7973349999999999E-4</v>
      </c>
      <c r="W1354">
        <v>0.1683057</v>
      </c>
      <c r="X1354">
        <v>0.98573480000000002</v>
      </c>
      <c r="Y1354">
        <v>4.482655E-2</v>
      </c>
      <c r="Z1354">
        <v>-1.4473929999999999E-3</v>
      </c>
      <c r="AA1354">
        <v>0.99899380000000004</v>
      </c>
      <c r="AB1354">
        <v>23</v>
      </c>
      <c r="AC1354">
        <v>25.608799999999899</v>
      </c>
      <c r="AD1354">
        <v>-1.1216805980859901</v>
      </c>
      <c r="AE1354">
        <v>-1.03039999999998</v>
      </c>
      <c r="AF1354">
        <v>1.1531302127149601</v>
      </c>
      <c r="AG1354">
        <v>-1.1216805980859901</v>
      </c>
      <c r="AH1354">
        <v>25.5545207118425</v>
      </c>
      <c r="AI1354">
        <v>92.510754680917302</v>
      </c>
      <c r="AJ1354">
        <v>87.416319945133594</v>
      </c>
      <c r="AK1354">
        <v>25.605105066442999</v>
      </c>
      <c r="AL1354">
        <v>80.310677192714607</v>
      </c>
      <c r="AM1354">
        <v>90.0278844803601</v>
      </c>
      <c r="AN1354">
        <v>1.00000006736387</v>
      </c>
    </row>
    <row r="1355" spans="1:40" x14ac:dyDescent="0.25">
      <c r="A1355" t="str">
        <f>"20190303161903557"</f>
        <v>20190303161903557</v>
      </c>
      <c r="B1355" t="str">
        <f>"1551601143544194"</f>
        <v>1551601143544194</v>
      </c>
      <c r="C1355" t="s">
        <v>40</v>
      </c>
      <c r="D1355">
        <v>4.5635510000000004</v>
      </c>
      <c r="E1355">
        <v>0.51816209999999996</v>
      </c>
      <c r="F1355" t="s">
        <v>41</v>
      </c>
      <c r="G1355">
        <v>-225.33279999999999</v>
      </c>
      <c r="H1355" s="1">
        <v>-2.5481799999999999E-6</v>
      </c>
      <c r="I1355">
        <v>366.43869999999998</v>
      </c>
      <c r="J1355">
        <v>-250.71260000000001</v>
      </c>
      <c r="K1355">
        <v>1.121677</v>
      </c>
      <c r="L1355">
        <v>367.46370000000002</v>
      </c>
      <c r="M1355">
        <v>0.99988030000000006</v>
      </c>
      <c r="N1355">
        <v>-1.469065E-2</v>
      </c>
      <c r="O1355">
        <v>4.8787229999999997E-3</v>
      </c>
      <c r="P1355">
        <v>0.98809349999999996</v>
      </c>
      <c r="Q1355">
        <v>0.15376619999999999</v>
      </c>
      <c r="R1355">
        <v>5.2507169999999898E-3</v>
      </c>
      <c r="S1355">
        <v>3.057785</v>
      </c>
      <c r="T1355">
        <v>-0.13453029999999999</v>
      </c>
      <c r="U1355">
        <v>-0.1228638</v>
      </c>
      <c r="V1355">
        <v>-4.2286199999999998E-4</v>
      </c>
      <c r="W1355">
        <v>0.16826529999999901</v>
      </c>
      <c r="X1355">
        <v>0.98574170000000005</v>
      </c>
      <c r="Y1355">
        <v>4.4963040000000003E-2</v>
      </c>
      <c r="Z1355">
        <v>-1.461689E-3</v>
      </c>
      <c r="AA1355">
        <v>0.99898759999999998</v>
      </c>
      <c r="AB1355">
        <v>23</v>
      </c>
      <c r="AC1355">
        <v>25.379799999999999</v>
      </c>
      <c r="AD1355">
        <v>-1.1216795481799999</v>
      </c>
      <c r="AE1355">
        <v>-1.0250000000000301</v>
      </c>
      <c r="AF1355">
        <v>1.14658622185756</v>
      </c>
      <c r="AG1355">
        <v>-1.1216795481799999</v>
      </c>
      <c r="AH1355">
        <v>25.325110553571299</v>
      </c>
      <c r="AI1355">
        <v>92.533449583974004</v>
      </c>
      <c r="AJ1355">
        <v>87.407722287073994</v>
      </c>
      <c r="AK1355">
        <v>25.375855641210698</v>
      </c>
      <c r="AL1355">
        <v>80.313025208883602</v>
      </c>
      <c r="AM1355">
        <v>90.024578656285101</v>
      </c>
      <c r="AN1355">
        <v>1.00000004455762</v>
      </c>
    </row>
    <row r="1356" spans="1:40" x14ac:dyDescent="0.25">
      <c r="A1356" t="str">
        <f>"20190303161903570"</f>
        <v>20190303161903570</v>
      </c>
      <c r="B1356" t="str">
        <f>"1551601143563713"</f>
        <v>1551601143563713</v>
      </c>
      <c r="C1356" t="s">
        <v>40</v>
      </c>
      <c r="D1356">
        <v>4.5987739999999997</v>
      </c>
      <c r="E1356">
        <v>0.51811560000000001</v>
      </c>
      <c r="F1356" t="s">
        <v>41</v>
      </c>
      <c r="G1356">
        <v>-225.26920000000001</v>
      </c>
      <c r="H1356" s="1">
        <v>-2.573102E-6</v>
      </c>
      <c r="I1356">
        <v>366.4522</v>
      </c>
      <c r="J1356">
        <v>-250.58349999999999</v>
      </c>
      <c r="K1356">
        <v>1.1216820000000001</v>
      </c>
      <c r="L1356">
        <v>367.46429999999998</v>
      </c>
      <c r="M1356">
        <v>0.9998802</v>
      </c>
      <c r="N1356">
        <v>-1.4687479999999999E-2</v>
      </c>
      <c r="O1356">
        <v>4.8787459999999998E-3</v>
      </c>
      <c r="P1356">
        <v>0.98811070000000001</v>
      </c>
      <c r="Q1356">
        <v>0.15366260000000001</v>
      </c>
      <c r="R1356">
        <v>5.0281299999999996E-3</v>
      </c>
      <c r="S1356">
        <v>3.0577549999999998</v>
      </c>
      <c r="T1356">
        <v>-0.13480110000000001</v>
      </c>
      <c r="U1356">
        <v>-0.12155150000000001</v>
      </c>
      <c r="V1356">
        <v>-2.0006789999999999E-4</v>
      </c>
      <c r="W1356">
        <v>0.168159</v>
      </c>
      <c r="X1356">
        <v>0.98575990000000002</v>
      </c>
      <c r="Y1356">
        <v>4.4535749999999999E-2</v>
      </c>
      <c r="Z1356">
        <v>-1.4515210000000001E-3</v>
      </c>
      <c r="AA1356">
        <v>0.99900670000000003</v>
      </c>
      <c r="AB1356">
        <v>23</v>
      </c>
      <c r="AC1356">
        <v>25.3142999999999</v>
      </c>
      <c r="AD1356">
        <v>-1.121684573102</v>
      </c>
      <c r="AE1356">
        <v>-1.01209999999997</v>
      </c>
      <c r="AF1356">
        <v>1.1333815847608999</v>
      </c>
      <c r="AG1356">
        <v>-1.121684573102</v>
      </c>
      <c r="AH1356">
        <v>25.2595448162803</v>
      </c>
      <c r="AI1356">
        <v>92.540074614438396</v>
      </c>
      <c r="AJ1356">
        <v>87.430893736639803</v>
      </c>
      <c r="AK1356">
        <v>25.309826835122401</v>
      </c>
      <c r="AL1356">
        <v>80.319203695092895</v>
      </c>
      <c r="AM1356">
        <v>90.011628639112402</v>
      </c>
      <c r="AN1356">
        <v>1.00000003487808</v>
      </c>
    </row>
    <row r="1357" spans="1:40" x14ac:dyDescent="0.25">
      <c r="A1357" t="str">
        <f>"20190303161903583"</f>
        <v>20190303161903583</v>
      </c>
      <c r="B1357" t="str">
        <f>"1551601143574449"</f>
        <v>1551601143574449</v>
      </c>
      <c r="C1357" t="s">
        <v>40</v>
      </c>
      <c r="D1357">
        <v>4.5923119999999997</v>
      </c>
      <c r="E1357">
        <v>0.51808779999999999</v>
      </c>
      <c r="F1357" t="s">
        <v>41</v>
      </c>
      <c r="G1357">
        <v>-225.64250000000001</v>
      </c>
      <c r="H1357" s="1">
        <v>-2.409608E-6</v>
      </c>
      <c r="I1357">
        <v>366.471</v>
      </c>
      <c r="J1357">
        <v>-250.45359999999999</v>
      </c>
      <c r="K1357">
        <v>1.1216839999999999</v>
      </c>
      <c r="L1357">
        <v>367.4649</v>
      </c>
      <c r="M1357">
        <v>0.9998804</v>
      </c>
      <c r="N1357">
        <v>-1.4684249999999999E-2</v>
      </c>
      <c r="O1357">
        <v>4.8785909999999998E-3</v>
      </c>
      <c r="P1357">
        <v>0.98817829999999995</v>
      </c>
      <c r="Q1357">
        <v>0.1532366</v>
      </c>
      <c r="R1357">
        <v>4.7773900000000003E-3</v>
      </c>
      <c r="S1357">
        <v>3.0581209999999999</v>
      </c>
      <c r="T1357">
        <v>-0.1375344</v>
      </c>
      <c r="U1357">
        <v>-0.12179570000000001</v>
      </c>
      <c r="V1357" s="1">
        <v>5.067454E-5</v>
      </c>
      <c r="W1357">
        <v>0.16773080000000001</v>
      </c>
      <c r="X1357">
        <v>0.98583279999999995</v>
      </c>
      <c r="Y1357">
        <v>4.4608210000000002E-2</v>
      </c>
      <c r="Z1357">
        <v>-1.477702E-3</v>
      </c>
      <c r="AA1357">
        <v>0.99900350000000004</v>
      </c>
      <c r="AB1357">
        <v>23</v>
      </c>
      <c r="AC1357">
        <v>24.8110999999999</v>
      </c>
      <c r="AD1357">
        <v>-1.1216864096079999</v>
      </c>
      <c r="AE1357">
        <v>-0.99389999999999601</v>
      </c>
      <c r="AF1357">
        <v>1.1126739115330999</v>
      </c>
      <c r="AG1357">
        <v>-1.1216864096079999</v>
      </c>
      <c r="AH1357">
        <v>24.7554397607875</v>
      </c>
      <c r="AI1357">
        <v>92.591724639819802</v>
      </c>
      <c r="AJ1357">
        <v>87.426479133700795</v>
      </c>
      <c r="AK1357">
        <v>24.805806203082401</v>
      </c>
      <c r="AL1357">
        <v>80.344090575684703</v>
      </c>
      <c r="AM1357">
        <v>89.997054838033094</v>
      </c>
      <c r="AN1357">
        <v>0.99999996669619395</v>
      </c>
    </row>
    <row r="1358" spans="1:40" x14ac:dyDescent="0.25">
      <c r="A1358" t="str">
        <f>"20190303161903593"</f>
        <v>20190303161903593</v>
      </c>
      <c r="B1358" t="str">
        <f>"1551601143584209"</f>
        <v>1551601143584209</v>
      </c>
      <c r="C1358" t="s">
        <v>40</v>
      </c>
      <c r="D1358">
        <v>4.613715</v>
      </c>
      <c r="E1358">
        <v>0.51797820000000006</v>
      </c>
      <c r="F1358" t="s">
        <v>41</v>
      </c>
      <c r="G1358">
        <v>-225.70330000000001</v>
      </c>
      <c r="H1358" s="1">
        <v>-2.3829629999999999E-6</v>
      </c>
      <c r="I1358">
        <v>366.4742</v>
      </c>
      <c r="J1358">
        <v>-250.3372</v>
      </c>
      <c r="K1358">
        <v>1.1216839999999999</v>
      </c>
      <c r="L1358">
        <v>367.46550000000002</v>
      </c>
      <c r="M1358">
        <v>0.9998804</v>
      </c>
      <c r="N1358">
        <v>-1.4681309999999999E-2</v>
      </c>
      <c r="O1358">
        <v>4.8786130000000004E-3</v>
      </c>
      <c r="P1358">
        <v>0.98819659999999998</v>
      </c>
      <c r="Q1358">
        <v>0.1531151</v>
      </c>
      <c r="R1358">
        <v>4.8501289999999999E-3</v>
      </c>
      <c r="S1358">
        <v>3.0579830000000001</v>
      </c>
      <c r="T1358">
        <v>-0.13858770000000001</v>
      </c>
      <c r="U1358">
        <v>-0.122406</v>
      </c>
      <c r="V1358" s="1">
        <v>-2.179248E-5</v>
      </c>
      <c r="W1358">
        <v>0.16760720000000001</v>
      </c>
      <c r="X1358">
        <v>0.98585389999999995</v>
      </c>
      <c r="Y1358">
        <v>4.4807960000000001E-2</v>
      </c>
      <c r="Z1358">
        <v>-1.493042E-3</v>
      </c>
      <c r="AA1358">
        <v>0.99899450000000001</v>
      </c>
      <c r="AB1358">
        <v>23</v>
      </c>
      <c r="AC1358">
        <v>24.633899999999901</v>
      </c>
      <c r="AD1358">
        <v>-1.1216863829629999</v>
      </c>
      <c r="AE1358">
        <v>-0.99130000000002305</v>
      </c>
      <c r="AF1358">
        <v>1.10918437963671</v>
      </c>
      <c r="AG1358">
        <v>-1.1216863829629999</v>
      </c>
      <c r="AH1358">
        <v>24.577893442722999</v>
      </c>
      <c r="AI1358">
        <v>92.610399521994395</v>
      </c>
      <c r="AJ1358">
        <v>87.416031924731698</v>
      </c>
      <c r="AK1358">
        <v>24.628465571602302</v>
      </c>
      <c r="AL1358">
        <v>80.351274771734296</v>
      </c>
      <c r="AM1358">
        <v>90.001266533640404</v>
      </c>
      <c r="AN1358">
        <v>1.0000000430559799</v>
      </c>
    </row>
    <row r="1359" spans="1:40" x14ac:dyDescent="0.25">
      <c r="A1359" t="str">
        <f>"20190303161903606"</f>
        <v>20190303161903606</v>
      </c>
      <c r="B1359" t="str">
        <f>"1551601143593969"</f>
        <v>1551601143593969</v>
      </c>
      <c r="C1359" t="s">
        <v>40</v>
      </c>
      <c r="D1359">
        <v>4.6165940000000001</v>
      </c>
      <c r="E1359">
        <v>0.51817550000000001</v>
      </c>
      <c r="F1359" t="s">
        <v>41</v>
      </c>
      <c r="G1359">
        <v>-225.72569999999999</v>
      </c>
      <c r="H1359" s="1">
        <v>-2.3702120000000001E-6</v>
      </c>
      <c r="I1359">
        <v>366.49189999999999</v>
      </c>
      <c r="J1359">
        <v>-250.21449999999999</v>
      </c>
      <c r="K1359">
        <v>1.121683</v>
      </c>
      <c r="L1359">
        <v>367.46609999999998</v>
      </c>
      <c r="M1359">
        <v>0.9998804</v>
      </c>
      <c r="N1359">
        <v>-1.4678220000000001E-2</v>
      </c>
      <c r="O1359">
        <v>4.8784570000000001E-3</v>
      </c>
      <c r="P1359">
        <v>0.98820350000000001</v>
      </c>
      <c r="Q1359">
        <v>0.1530745</v>
      </c>
      <c r="R1359">
        <v>4.6861289999999998E-3</v>
      </c>
      <c r="S1359">
        <v>3.0580440000000002</v>
      </c>
      <c r="T1359">
        <v>-0.1393723</v>
      </c>
      <c r="U1359">
        <v>-0.1209717</v>
      </c>
      <c r="V1359">
        <v>1.4214619999999999E-4</v>
      </c>
      <c r="W1359">
        <v>0.1675635</v>
      </c>
      <c r="X1359">
        <v>0.98586130000000005</v>
      </c>
      <c r="Y1359">
        <v>4.4339179999999999E-2</v>
      </c>
      <c r="Z1359">
        <v>-1.485838E-3</v>
      </c>
      <c r="AA1359">
        <v>0.99901549999999995</v>
      </c>
      <c r="AB1359">
        <v>23</v>
      </c>
      <c r="AC1359">
        <v>24.488800000000001</v>
      </c>
      <c r="AD1359">
        <v>-1.121685370212</v>
      </c>
      <c r="AE1359">
        <v>-0.97419999999999596</v>
      </c>
      <c r="AF1359">
        <v>1.0913827189147101</v>
      </c>
      <c r="AG1359">
        <v>-1.121685370212</v>
      </c>
      <c r="AH1359">
        <v>24.432576678823001</v>
      </c>
      <c r="AI1359">
        <v>92.625955339326694</v>
      </c>
      <c r="AJ1359">
        <v>87.442345779639496</v>
      </c>
      <c r="AK1359">
        <v>24.4826489064288</v>
      </c>
      <c r="AL1359">
        <v>80.353814337428702</v>
      </c>
      <c r="AM1359">
        <v>89.991738820382295</v>
      </c>
      <c r="AN1359">
        <v>1.0000000247877401</v>
      </c>
    </row>
    <row r="1360" spans="1:40" x14ac:dyDescent="0.25">
      <c r="A1360" t="str">
        <f>"20190303161903617"</f>
        <v>20190303161903617</v>
      </c>
      <c r="B1360" t="str">
        <f>"1551601143603729"</f>
        <v>1551601143603729</v>
      </c>
      <c r="C1360" t="s">
        <v>40</v>
      </c>
      <c r="D1360">
        <v>4.6208910000000003</v>
      </c>
      <c r="E1360">
        <v>0.51831430000000001</v>
      </c>
      <c r="F1360" t="s">
        <v>41</v>
      </c>
      <c r="G1360">
        <v>-225.49170000000001</v>
      </c>
      <c r="H1360" s="1">
        <v>-2.4745589999999999E-6</v>
      </c>
      <c r="I1360">
        <v>366.46949999999998</v>
      </c>
      <c r="J1360">
        <v>-250.09010000000001</v>
      </c>
      <c r="K1360">
        <v>1.1216809999999999</v>
      </c>
      <c r="L1360">
        <v>367.4667</v>
      </c>
      <c r="M1360">
        <v>0.99988049999999995</v>
      </c>
      <c r="N1360">
        <v>-1.46751E-2</v>
      </c>
      <c r="O1360">
        <v>4.8784800000000001E-3</v>
      </c>
      <c r="P1360">
        <v>0.98821309999999996</v>
      </c>
      <c r="Q1360">
        <v>0.1530195</v>
      </c>
      <c r="R1360">
        <v>4.5034910000000001E-3</v>
      </c>
      <c r="S1360">
        <v>3.0578919999999998</v>
      </c>
      <c r="T1360">
        <v>-0.13873759999999999</v>
      </c>
      <c r="U1360">
        <v>-0.1232605</v>
      </c>
      <c r="V1360">
        <v>3.247244E-4</v>
      </c>
      <c r="W1360">
        <v>0.16750519999999999</v>
      </c>
      <c r="X1360">
        <v>0.9858711</v>
      </c>
      <c r="Y1360">
        <v>4.5087219999999997E-2</v>
      </c>
      <c r="Z1360">
        <v>-1.502677E-3</v>
      </c>
      <c r="AA1360">
        <v>0.99898200000000004</v>
      </c>
      <c r="AB1360">
        <v>23</v>
      </c>
      <c r="AC1360">
        <v>24.598400000000002</v>
      </c>
      <c r="AD1360">
        <v>-1.1216834745590001</v>
      </c>
      <c r="AE1360">
        <v>-0.99720000000001996</v>
      </c>
      <c r="AF1360">
        <v>1.1148894088082699</v>
      </c>
      <c r="AG1360">
        <v>-1.1216834745590001</v>
      </c>
      <c r="AH1360">
        <v>24.542293666267501</v>
      </c>
      <c r="AI1360">
        <v>92.614138871922606</v>
      </c>
      <c r="AJ1360">
        <v>87.398997326991307</v>
      </c>
      <c r="AK1360">
        <v>24.5931968359602</v>
      </c>
      <c r="AL1360">
        <v>80.357201955058898</v>
      </c>
      <c r="AM1360">
        <v>89.9811280227688</v>
      </c>
      <c r="AN1360">
        <v>0.99999996164409199</v>
      </c>
    </row>
    <row r="1361" spans="1:40" x14ac:dyDescent="0.25">
      <c r="A1361" t="str">
        <f>"20190303161903630"</f>
        <v>20190303161903630</v>
      </c>
      <c r="B1361" t="str">
        <f>"1551601143624225"</f>
        <v>1551601143624225</v>
      </c>
      <c r="C1361" t="s">
        <v>40</v>
      </c>
      <c r="D1361">
        <v>4.6542760000000003</v>
      </c>
      <c r="E1361">
        <v>0.51831309999999997</v>
      </c>
      <c r="F1361" t="s">
        <v>41</v>
      </c>
      <c r="G1361">
        <v>-225.3777</v>
      </c>
      <c r="H1361" s="1">
        <v>-2.5256680000000002E-6</v>
      </c>
      <c r="I1361">
        <v>366.4572</v>
      </c>
      <c r="J1361">
        <v>-249.97059999999999</v>
      </c>
      <c r="K1361">
        <v>1.1216820000000001</v>
      </c>
      <c r="L1361">
        <v>367.46730000000002</v>
      </c>
      <c r="M1361">
        <v>0.99988060000000001</v>
      </c>
      <c r="N1361">
        <v>-1.467209E-2</v>
      </c>
      <c r="O1361">
        <v>4.8783239999999999E-3</v>
      </c>
      <c r="P1361">
        <v>0.9882377</v>
      </c>
      <c r="Q1361">
        <v>0.15286279999999999</v>
      </c>
      <c r="R1361">
        <v>4.4086380000000003E-3</v>
      </c>
      <c r="S1361">
        <v>3.0578609999999999</v>
      </c>
      <c r="T1361">
        <v>-0.13879430000000001</v>
      </c>
      <c r="U1361">
        <v>-0.1249084</v>
      </c>
      <c r="V1361">
        <v>4.1959480000000002E-4</v>
      </c>
      <c r="W1361">
        <v>0.16734579999999999</v>
      </c>
      <c r="X1361">
        <v>0.98589819999999995</v>
      </c>
      <c r="Y1361">
        <v>4.5624169999999999E-2</v>
      </c>
      <c r="Z1361">
        <v>-1.519248E-3</v>
      </c>
      <c r="AA1361">
        <v>0.99895750000000005</v>
      </c>
      <c r="AB1361">
        <v>23</v>
      </c>
      <c r="AC1361">
        <v>24.592899999999901</v>
      </c>
      <c r="AD1361">
        <v>-1.1216845256679999</v>
      </c>
      <c r="AE1361">
        <v>-1.01010000000002</v>
      </c>
      <c r="AF1361">
        <v>1.1277309646460401</v>
      </c>
      <c r="AG1361">
        <v>-1.1216845256679999</v>
      </c>
      <c r="AH1361">
        <v>24.536721870426501</v>
      </c>
      <c r="AI1361">
        <v>92.614670572718197</v>
      </c>
      <c r="AJ1361">
        <v>87.368483638328897</v>
      </c>
      <c r="AK1361">
        <v>24.588222250712001</v>
      </c>
      <c r="AL1361">
        <v>80.366466296077206</v>
      </c>
      <c r="AM1361">
        <v>89.975615119599397</v>
      </c>
      <c r="AN1361">
        <v>1.00000002680033</v>
      </c>
    </row>
    <row r="1362" spans="1:40" x14ac:dyDescent="0.25">
      <c r="A1362" t="str">
        <f>"20190303161903640"</f>
        <v>20190303161903640</v>
      </c>
      <c r="B1362" t="str">
        <f>"1551601143633987"</f>
        <v>1551601143633987</v>
      </c>
      <c r="C1362" t="s">
        <v>40</v>
      </c>
      <c r="D1362">
        <v>4.6214649999999997</v>
      </c>
      <c r="E1362">
        <v>0.51847449999999995</v>
      </c>
      <c r="F1362" t="s">
        <v>41</v>
      </c>
      <c r="G1362">
        <v>-225.2508</v>
      </c>
      <c r="H1362" s="1">
        <v>-2.5804989999999999E-6</v>
      </c>
      <c r="I1362">
        <v>366.45499999999998</v>
      </c>
      <c r="J1362">
        <v>-249.84639999999999</v>
      </c>
      <c r="K1362">
        <v>1.1216809999999999</v>
      </c>
      <c r="L1362">
        <v>367.46789999999999</v>
      </c>
      <c r="M1362">
        <v>0.9998804</v>
      </c>
      <c r="N1362">
        <v>-1.466898E-2</v>
      </c>
      <c r="O1362">
        <v>4.8785259999999898E-3</v>
      </c>
      <c r="P1362">
        <v>0.98822089999999996</v>
      </c>
      <c r="Q1362">
        <v>0.15296019999999999</v>
      </c>
      <c r="R1362">
        <v>4.7148529999999998E-3</v>
      </c>
      <c r="S1362">
        <v>3.0577239999999999</v>
      </c>
      <c r="T1362">
        <v>-0.1387466</v>
      </c>
      <c r="U1362">
        <v>-0.12521360000000001</v>
      </c>
      <c r="V1362">
        <v>1.1362359999999999E-4</v>
      </c>
      <c r="W1362">
        <v>0.1674398</v>
      </c>
      <c r="X1362">
        <v>0.98588229999999999</v>
      </c>
      <c r="Y1362">
        <v>4.5725639999999998E-2</v>
      </c>
      <c r="Z1362">
        <v>-1.5218670000000001E-3</v>
      </c>
      <c r="AA1362">
        <v>0.99895290000000003</v>
      </c>
      <c r="AB1362">
        <v>23</v>
      </c>
      <c r="AC1362">
        <v>24.595599999999902</v>
      </c>
      <c r="AD1362">
        <v>-1.121683580499</v>
      </c>
      <c r="AE1362">
        <v>-1.0128999999999999</v>
      </c>
      <c r="AF1362">
        <v>1.13054379480147</v>
      </c>
      <c r="AG1362">
        <v>-1.121683580499</v>
      </c>
      <c r="AH1362">
        <v>24.539414088081301</v>
      </c>
      <c r="AI1362">
        <v>92.614368778531897</v>
      </c>
      <c r="AJ1362">
        <v>87.362218283278594</v>
      </c>
      <c r="AK1362">
        <v>24.591037942979298</v>
      </c>
      <c r="AL1362">
        <v>80.361003196155195</v>
      </c>
      <c r="AM1362">
        <v>89.993396622797405</v>
      </c>
      <c r="AN1362">
        <v>1.00000000449382</v>
      </c>
    </row>
    <row r="1363" spans="1:40" x14ac:dyDescent="0.25">
      <c r="A1363" t="str">
        <f>"20190303161903652"</f>
        <v>20190303161903652</v>
      </c>
      <c r="B1363" t="str">
        <f>"1551601143643745"</f>
        <v>1551601143643745</v>
      </c>
      <c r="C1363" t="s">
        <v>40</v>
      </c>
      <c r="D1363">
        <v>4.6187399999999998</v>
      </c>
      <c r="E1363">
        <v>0.51861409999999997</v>
      </c>
      <c r="F1363" t="s">
        <v>41</v>
      </c>
      <c r="G1363">
        <v>-225.02969999999999</v>
      </c>
      <c r="H1363" s="1">
        <v>-2.6770349999999999E-6</v>
      </c>
      <c r="I1363">
        <v>366.44540000000001</v>
      </c>
      <c r="J1363">
        <v>-249.73140000000001</v>
      </c>
      <c r="K1363">
        <v>1.12168</v>
      </c>
      <c r="L1363">
        <v>367.46850000000001</v>
      </c>
      <c r="M1363">
        <v>0.99988060000000001</v>
      </c>
      <c r="N1363">
        <v>-1.466611E-2</v>
      </c>
      <c r="O1363">
        <v>4.8783680000000001E-3</v>
      </c>
      <c r="P1363">
        <v>0.98823269999999996</v>
      </c>
      <c r="Q1363">
        <v>0.15288270000000001</v>
      </c>
      <c r="R1363">
        <v>4.8075799999999997E-3</v>
      </c>
      <c r="S1363">
        <v>3.0577549999999998</v>
      </c>
      <c r="T1363">
        <v>-0.1382062</v>
      </c>
      <c r="U1363">
        <v>-0.12597659999999999</v>
      </c>
      <c r="V1363" s="1">
        <v>2.0594279999999999E-5</v>
      </c>
      <c r="W1363">
        <v>0.16736039999999999</v>
      </c>
      <c r="X1363">
        <v>0.98589579999999999</v>
      </c>
      <c r="Y1363">
        <v>4.5974019999999997E-2</v>
      </c>
      <c r="Z1363">
        <v>-1.52433E-3</v>
      </c>
      <c r="AA1363">
        <v>0.99894150000000004</v>
      </c>
      <c r="AB1363">
        <v>23</v>
      </c>
      <c r="AC1363">
        <v>24.701699999999999</v>
      </c>
      <c r="AD1363">
        <v>-1.1216826770349999</v>
      </c>
      <c r="AE1363">
        <v>-1.0230999999999899</v>
      </c>
      <c r="AF1363">
        <v>1.14125553521135</v>
      </c>
      <c r="AG1363">
        <v>-1.1216826770349999</v>
      </c>
      <c r="AH1363">
        <v>24.645682312716399</v>
      </c>
      <c r="AI1363">
        <v>92.6030812124813</v>
      </c>
      <c r="AJ1363">
        <v>87.348726364628504</v>
      </c>
      <c r="AK1363">
        <v>24.697576660149299</v>
      </c>
      <c r="AL1363">
        <v>80.365617708314204</v>
      </c>
      <c r="AM1363">
        <v>89.998803154120395</v>
      </c>
      <c r="AN1363">
        <v>1.00000001618496</v>
      </c>
    </row>
    <row r="1364" spans="1:40" x14ac:dyDescent="0.25">
      <c r="A1364" t="str">
        <f>"20190303161903664"</f>
        <v>20190303161903664</v>
      </c>
      <c r="B1364" t="str">
        <f>"1551601143653506"</f>
        <v>1551601143653506</v>
      </c>
      <c r="C1364" t="s">
        <v>40</v>
      </c>
      <c r="D1364">
        <v>4.6076860000000002</v>
      </c>
      <c r="E1364">
        <v>0.51871329999999904</v>
      </c>
      <c r="F1364" t="s">
        <v>41</v>
      </c>
      <c r="G1364">
        <v>-224.87360000000001</v>
      </c>
      <c r="H1364" s="1">
        <v>-2.7456239999999998E-6</v>
      </c>
      <c r="I1364">
        <v>366.43630000000002</v>
      </c>
      <c r="J1364">
        <v>-249.61359999999999</v>
      </c>
      <c r="K1364">
        <v>1.1216790000000001</v>
      </c>
      <c r="L1364">
        <v>367.46899999999999</v>
      </c>
      <c r="M1364">
        <v>0.99988060000000001</v>
      </c>
      <c r="N1364">
        <v>-1.466317E-2</v>
      </c>
      <c r="O1364">
        <v>4.8783899999999998E-3</v>
      </c>
      <c r="P1364">
        <v>0.9882031</v>
      </c>
      <c r="Q1364">
        <v>0.1530637</v>
      </c>
      <c r="R1364">
        <v>5.1132019999999999E-3</v>
      </c>
      <c r="S1364">
        <v>3.0577239999999999</v>
      </c>
      <c r="T1364">
        <v>-0.13797609999999999</v>
      </c>
      <c r="U1364">
        <v>-0.12695310000000001</v>
      </c>
      <c r="V1364">
        <v>-2.8517670000000002E-4</v>
      </c>
      <c r="W1364">
        <v>0.16753760000000001</v>
      </c>
      <c r="X1364">
        <v>0.98586569999999996</v>
      </c>
      <c r="Y1364">
        <v>4.6292710000000001E-2</v>
      </c>
      <c r="Z1364">
        <v>-1.5317130000000001E-3</v>
      </c>
      <c r="AA1364">
        <v>0.9989268</v>
      </c>
      <c r="AB1364">
        <v>23</v>
      </c>
      <c r="AC1364">
        <v>24.739999999999899</v>
      </c>
      <c r="AD1364">
        <v>-1.121681745624</v>
      </c>
      <c r="AE1364">
        <v>-1.03269999999997</v>
      </c>
      <c r="AF1364">
        <v>1.1510301039450701</v>
      </c>
      <c r="AG1364">
        <v>-1.121681745624</v>
      </c>
      <c r="AH1364">
        <v>24.684014733940501</v>
      </c>
      <c r="AI1364">
        <v>92.599003213164806</v>
      </c>
      <c r="AJ1364">
        <v>87.330198113567306</v>
      </c>
      <c r="AK1364">
        <v>24.736281523787</v>
      </c>
      <c r="AL1364">
        <v>80.355319857342195</v>
      </c>
      <c r="AM1364">
        <v>90.016573678209596</v>
      </c>
      <c r="AN1364">
        <v>1.00000005358799</v>
      </c>
    </row>
    <row r="1365" spans="1:40" x14ac:dyDescent="0.25">
      <c r="A1365" t="str">
        <f>"20190303161903676"</f>
        <v>20190303161903676</v>
      </c>
      <c r="B1365" t="str">
        <f>"1551601143664242"</f>
        <v>1551601143664242</v>
      </c>
      <c r="C1365" t="s">
        <v>40</v>
      </c>
      <c r="D1365">
        <v>4.6195820000000003</v>
      </c>
      <c r="E1365">
        <v>0.5188026</v>
      </c>
      <c r="F1365" t="s">
        <v>41</v>
      </c>
      <c r="G1365">
        <v>-224.53790000000001</v>
      </c>
      <c r="H1365" s="1">
        <v>-2.8904019999999999E-6</v>
      </c>
      <c r="I1365">
        <v>366.43209999999999</v>
      </c>
      <c r="J1365">
        <v>-249.48240000000001</v>
      </c>
      <c r="K1365">
        <v>1.121683</v>
      </c>
      <c r="L1365">
        <v>367.46969999999999</v>
      </c>
      <c r="M1365">
        <v>0.99988069999999896</v>
      </c>
      <c r="N1365">
        <v>-1.4659899999999899E-2</v>
      </c>
      <c r="O1365">
        <v>4.8782359999999898E-3</v>
      </c>
      <c r="P1365">
        <v>0.98822220000000005</v>
      </c>
      <c r="Q1365">
        <v>0.15292410000000001</v>
      </c>
      <c r="R1365">
        <v>5.6038349999999997E-3</v>
      </c>
      <c r="S1365">
        <v>3.0576479999999999</v>
      </c>
      <c r="T1365">
        <v>-0.136773799999999</v>
      </c>
      <c r="U1365">
        <v>-0.1264343</v>
      </c>
      <c r="V1365">
        <v>-7.7597739999999999E-4</v>
      </c>
      <c r="W1365">
        <v>0.16739519999999999</v>
      </c>
      <c r="X1365">
        <v>0.98588960000000003</v>
      </c>
      <c r="Y1365">
        <v>4.6125609999999997E-2</v>
      </c>
      <c r="Z1365">
        <v>-1.515721E-3</v>
      </c>
      <c r="AA1365">
        <v>0.99893449999999995</v>
      </c>
      <c r="AB1365">
        <v>23</v>
      </c>
      <c r="AC1365">
        <v>24.944500000000001</v>
      </c>
      <c r="AD1365">
        <v>-1.121685890402</v>
      </c>
      <c r="AE1365">
        <v>-1.0375999999999901</v>
      </c>
      <c r="AF1365">
        <v>1.15695050314674</v>
      </c>
      <c r="AG1365">
        <v>-1.121685890402</v>
      </c>
      <c r="AH1365">
        <v>24.888901135927</v>
      </c>
      <c r="AI1365">
        <v>92.577664064576894</v>
      </c>
      <c r="AJ1365">
        <v>87.3385447320493</v>
      </c>
      <c r="AK1365">
        <v>24.941012679067601</v>
      </c>
      <c r="AL1365">
        <v>80.363595411703798</v>
      </c>
      <c r="AM1365">
        <v>90.045096551212694</v>
      </c>
      <c r="AN1365">
        <v>1.00000002925606</v>
      </c>
    </row>
    <row r="1366" spans="1:40" x14ac:dyDescent="0.25">
      <c r="A1366" t="str">
        <f>"20190303161903691"</f>
        <v>20190303161903691</v>
      </c>
      <c r="B1366" t="str">
        <f>"1551601143683761"</f>
        <v>1551601143683761</v>
      </c>
      <c r="C1366" t="s">
        <v>40</v>
      </c>
      <c r="D1366">
        <v>4.6343040000000002</v>
      </c>
      <c r="E1366">
        <v>0.51903639999999995</v>
      </c>
      <c r="F1366" t="s">
        <v>41</v>
      </c>
      <c r="G1366">
        <v>-224.57300000000001</v>
      </c>
      <c r="H1366" s="1">
        <v>-2.8729110000000001E-6</v>
      </c>
      <c r="I1366">
        <v>366.44589999999999</v>
      </c>
      <c r="J1366">
        <v>-249.33160000000001</v>
      </c>
      <c r="K1366">
        <v>1.1216870000000001</v>
      </c>
      <c r="L1366">
        <v>367.47039999999998</v>
      </c>
      <c r="M1366">
        <v>0.99988080000000001</v>
      </c>
      <c r="N1366">
        <v>-1.465614E-2</v>
      </c>
      <c r="O1366">
        <v>4.8780840000000004E-3</v>
      </c>
      <c r="P1366">
        <v>0.98813269999999997</v>
      </c>
      <c r="Q1366">
        <v>0.15348800000000001</v>
      </c>
      <c r="R1366">
        <v>5.9398119999999896E-3</v>
      </c>
      <c r="S1366">
        <v>3.0577549999999998</v>
      </c>
      <c r="T1366">
        <v>-0.13769210000000001</v>
      </c>
      <c r="U1366">
        <v>-0.12567139999999999</v>
      </c>
      <c r="V1366">
        <v>-1.1119979999999999E-3</v>
      </c>
      <c r="W1366">
        <v>0.1679541</v>
      </c>
      <c r="X1366">
        <v>0.98579419999999995</v>
      </c>
      <c r="Y1366">
        <v>4.5874770000000002E-2</v>
      </c>
      <c r="Z1366">
        <v>-1.5165039999999999E-3</v>
      </c>
      <c r="AA1366">
        <v>0.99894609999999995</v>
      </c>
      <c r="AB1366">
        <v>23</v>
      </c>
      <c r="AC1366">
        <v>24.758600000000001</v>
      </c>
      <c r="AD1366">
        <v>-1.1216898729109901</v>
      </c>
      <c r="AE1366">
        <v>-1.02449999999998</v>
      </c>
      <c r="AF1366">
        <v>1.14293338285043</v>
      </c>
      <c r="AG1366">
        <v>-1.1216898729109901</v>
      </c>
      <c r="AH1366">
        <v>24.702690426504802</v>
      </c>
      <c r="AI1366">
        <v>92.597103438889704</v>
      </c>
      <c r="AJ1366">
        <v>87.350952869195794</v>
      </c>
      <c r="AK1366">
        <v>24.754543001161601</v>
      </c>
      <c r="AL1366">
        <v>80.331112743482294</v>
      </c>
      <c r="AM1366">
        <v>90.064630898826096</v>
      </c>
      <c r="AN1366">
        <v>1.0000000105</v>
      </c>
    </row>
    <row r="1367" spans="1:40" x14ac:dyDescent="0.25">
      <c r="A1367" t="str">
        <f>"20190303161903706"</f>
        <v>20190303161903706</v>
      </c>
      <c r="B1367" t="str">
        <f>"1551601143694497"</f>
        <v>1551601143694497</v>
      </c>
      <c r="C1367" t="s">
        <v>40</v>
      </c>
      <c r="D1367">
        <v>4.638166</v>
      </c>
      <c r="E1367">
        <v>0.51917650000000004</v>
      </c>
      <c r="F1367" t="s">
        <v>41</v>
      </c>
      <c r="G1367">
        <v>-224.0994</v>
      </c>
      <c r="H1367" s="1">
        <v>-3.07929E-6</v>
      </c>
      <c r="I1367">
        <v>366.42759999999998</v>
      </c>
      <c r="J1367">
        <v>-249.18049999999999</v>
      </c>
      <c r="K1367">
        <v>1.1216870000000001</v>
      </c>
      <c r="L1367">
        <v>367.47120000000001</v>
      </c>
      <c r="M1367">
        <v>0.99988080000000001</v>
      </c>
      <c r="N1367">
        <v>-1.465238E-2</v>
      </c>
      <c r="O1367">
        <v>4.8781120000000004E-3</v>
      </c>
      <c r="P1367">
        <v>0.98814559999999996</v>
      </c>
      <c r="Q1367">
        <v>0.153398799999999</v>
      </c>
      <c r="R1367">
        <v>6.0761929999999997E-3</v>
      </c>
      <c r="S1367">
        <v>3.0579070000000002</v>
      </c>
      <c r="T1367">
        <v>-0.1359379</v>
      </c>
      <c r="U1367">
        <v>-0.12637329999999999</v>
      </c>
      <c r="V1367">
        <v>-1.2488060000000001E-3</v>
      </c>
      <c r="W1367">
        <v>0.16786099999999901</v>
      </c>
      <c r="X1367">
        <v>0.98580990000000002</v>
      </c>
      <c r="Y1367">
        <v>4.6102829999999997E-2</v>
      </c>
      <c r="Z1367">
        <v>-1.507176E-3</v>
      </c>
      <c r="AA1367">
        <v>0.99893560000000003</v>
      </c>
      <c r="AB1367">
        <v>23</v>
      </c>
      <c r="AC1367">
        <v>25.0810999999999</v>
      </c>
      <c r="AD1367">
        <v>-1.12169007929</v>
      </c>
      <c r="AE1367">
        <v>-1.0436000000000201</v>
      </c>
      <c r="AF1367">
        <v>1.1636257746473</v>
      </c>
      <c r="AG1367">
        <v>-1.12169007929</v>
      </c>
      <c r="AH1367">
        <v>25.025742594810499</v>
      </c>
      <c r="AI1367">
        <v>92.563596250263501</v>
      </c>
      <c r="AJ1367">
        <v>87.337826812920696</v>
      </c>
      <c r="AK1367">
        <v>25.077878817777101</v>
      </c>
      <c r="AL1367">
        <v>80.336523864999094</v>
      </c>
      <c r="AM1367">
        <v>90.072581209578999</v>
      </c>
      <c r="AN1367">
        <v>1.0000000168877099</v>
      </c>
    </row>
    <row r="1368" spans="1:40" x14ac:dyDescent="0.25">
      <c r="A1368" t="str">
        <f>"20190303161903719"</f>
        <v>20190303161903719</v>
      </c>
      <c r="B1368" t="str">
        <f>"1551601143715970"</f>
        <v>1551601143715970</v>
      </c>
      <c r="C1368" t="s">
        <v>40</v>
      </c>
      <c r="D1368">
        <v>4.6608609999999997</v>
      </c>
      <c r="E1368">
        <v>0.51943700000000004</v>
      </c>
      <c r="F1368" t="s">
        <v>41</v>
      </c>
      <c r="G1368">
        <v>-224.0333</v>
      </c>
      <c r="H1368" s="1">
        <v>-3.1066419999999999E-6</v>
      </c>
      <c r="I1368">
        <v>366.43340000000001</v>
      </c>
      <c r="J1368">
        <v>-249.03870000000001</v>
      </c>
      <c r="K1368">
        <v>1.1216889999999999</v>
      </c>
      <c r="L1368">
        <v>367.47190000000001</v>
      </c>
      <c r="M1368">
        <v>0.99988080000000001</v>
      </c>
      <c r="N1368">
        <v>-1.464885E-2</v>
      </c>
      <c r="O1368">
        <v>4.8781379999999997E-3</v>
      </c>
      <c r="P1368">
        <v>0.98816309999999996</v>
      </c>
      <c r="Q1368">
        <v>0.15328429999999901</v>
      </c>
      <c r="R1368">
        <v>6.1342660000000002E-3</v>
      </c>
      <c r="S1368">
        <v>3.0579679999999998</v>
      </c>
      <c r="T1368">
        <v>-0.1364001</v>
      </c>
      <c r="U1368">
        <v>-0.1261902</v>
      </c>
      <c r="V1368">
        <v>-1.3066519999999999E-3</v>
      </c>
      <c r="W1368">
        <v>0.16774349999999999</v>
      </c>
      <c r="X1368">
        <v>0.98582979999999998</v>
      </c>
      <c r="Y1368">
        <v>4.6042029999999998E-2</v>
      </c>
      <c r="Z1368">
        <v>-1.5095029999999999E-3</v>
      </c>
      <c r="AA1368">
        <v>0.9989384</v>
      </c>
      <c r="AB1368">
        <v>23</v>
      </c>
      <c r="AC1368">
        <v>25.005400000000002</v>
      </c>
      <c r="AD1368">
        <v>-1.121692106642</v>
      </c>
      <c r="AE1368">
        <v>-1.03849999999999</v>
      </c>
      <c r="AF1368">
        <v>1.1581540521131199</v>
      </c>
      <c r="AG1368">
        <v>-1.121692106642</v>
      </c>
      <c r="AH1368">
        <v>24.949917159398399</v>
      </c>
      <c r="AI1368">
        <v>92.571390775429506</v>
      </c>
      <c r="AJ1368">
        <v>87.342286171892596</v>
      </c>
      <c r="AK1368">
        <v>25.001957528389099</v>
      </c>
      <c r="AL1368">
        <v>80.3433527067033</v>
      </c>
      <c r="AM1368">
        <v>90.075941710274606</v>
      </c>
      <c r="AN1368">
        <v>0.99999999184986899</v>
      </c>
    </row>
    <row r="1369" spans="1:40" x14ac:dyDescent="0.25">
      <c r="A1369" t="str">
        <f>"20190303161903733"</f>
        <v>20190303161903733</v>
      </c>
      <c r="B1369" t="str">
        <f>"1551601143724753"</f>
        <v>1551601143724753</v>
      </c>
      <c r="C1369" t="s">
        <v>40</v>
      </c>
      <c r="D1369">
        <v>4.6800119999999996</v>
      </c>
      <c r="E1369">
        <v>0.51955220000000002</v>
      </c>
      <c r="F1369" t="s">
        <v>41</v>
      </c>
      <c r="G1369">
        <v>-224.03630000000001</v>
      </c>
      <c r="H1369" s="1">
        <v>-3.106828E-6</v>
      </c>
      <c r="I1369">
        <v>366.42509999999999</v>
      </c>
      <c r="J1369">
        <v>-248.90770000000001</v>
      </c>
      <c r="K1369">
        <v>1.121691</v>
      </c>
      <c r="L1369">
        <v>367.47250000000003</v>
      </c>
      <c r="M1369">
        <v>0.99988100000000002</v>
      </c>
      <c r="N1369">
        <v>-1.46456E-2</v>
      </c>
      <c r="O1369">
        <v>4.8780430000000003E-3</v>
      </c>
      <c r="P1369">
        <v>0.98818019999999995</v>
      </c>
      <c r="Q1369">
        <v>0.15318099999999901</v>
      </c>
      <c r="R1369">
        <v>5.9903739999999997E-3</v>
      </c>
      <c r="S1369">
        <v>3.0580289999999999</v>
      </c>
      <c r="T1369">
        <v>-0.13719310000000001</v>
      </c>
      <c r="U1369">
        <v>-0.1280212</v>
      </c>
      <c r="V1369">
        <v>-1.162829E-3</v>
      </c>
      <c r="W1369">
        <v>0.16763729999999999</v>
      </c>
      <c r="X1369">
        <v>0.9858481</v>
      </c>
      <c r="Y1369">
        <v>4.6636759999999999E-2</v>
      </c>
      <c r="Z1369">
        <v>-1.5343170000000001E-3</v>
      </c>
      <c r="AA1369">
        <v>0.99891070000000004</v>
      </c>
      <c r="AB1369">
        <v>23</v>
      </c>
      <c r="AC1369">
        <v>24.871399999999898</v>
      </c>
      <c r="AD1369">
        <v>-1.121694106828</v>
      </c>
      <c r="AE1369">
        <v>-1.0474000000000301</v>
      </c>
      <c r="AF1369">
        <v>1.1663561349512399</v>
      </c>
      <c r="AG1369">
        <v>-1.121694106828</v>
      </c>
      <c r="AH1369">
        <v>24.815608917342701</v>
      </c>
      <c r="AI1369">
        <v>92.585223550679999</v>
      </c>
      <c r="AJ1369">
        <v>87.309026740824393</v>
      </c>
      <c r="AK1369">
        <v>24.8683137796138</v>
      </c>
      <c r="AL1369">
        <v>80.349525450320201</v>
      </c>
      <c r="AM1369">
        <v>90.067581570728294</v>
      </c>
      <c r="AN1369">
        <v>1.00000004639809</v>
      </c>
    </row>
    <row r="1370" spans="1:40" x14ac:dyDescent="0.25">
      <c r="A1370" t="str">
        <f>"20190303161903746"</f>
        <v>20190303161903746</v>
      </c>
      <c r="B1370" t="str">
        <f>"1551601143734513"</f>
        <v>1551601143734513</v>
      </c>
      <c r="C1370" t="s">
        <v>40</v>
      </c>
      <c r="D1370">
        <v>4.6723999999999997</v>
      </c>
      <c r="E1370">
        <v>0.5195862</v>
      </c>
      <c r="F1370" t="s">
        <v>41</v>
      </c>
      <c r="G1370">
        <v>-223.88679999999999</v>
      </c>
      <c r="H1370" s="1">
        <v>-3.1730170000000002E-6</v>
      </c>
      <c r="I1370">
        <v>366.41340000000002</v>
      </c>
      <c r="J1370">
        <v>-248.76949999999999</v>
      </c>
      <c r="K1370">
        <v>1.121685</v>
      </c>
      <c r="L1370">
        <v>367.47309999999999</v>
      </c>
      <c r="M1370">
        <v>0.99988100000000002</v>
      </c>
      <c r="N1370">
        <v>-1.4642169999999999E-2</v>
      </c>
      <c r="O1370">
        <v>4.8778889999999998E-3</v>
      </c>
      <c r="P1370">
        <v>0.98814930000000001</v>
      </c>
      <c r="Q1370">
        <v>0.15340980000000001</v>
      </c>
      <c r="R1370">
        <v>5.1848520000000002E-3</v>
      </c>
      <c r="S1370">
        <v>3.057922</v>
      </c>
      <c r="T1370">
        <v>-0.1370873</v>
      </c>
      <c r="U1370">
        <v>-0.12942500000000001</v>
      </c>
      <c r="V1370">
        <v>-3.5755180000000001E-4</v>
      </c>
      <c r="W1370">
        <v>0.16786199999999901</v>
      </c>
      <c r="X1370">
        <v>0.98581050000000003</v>
      </c>
      <c r="Y1370">
        <v>4.7095289999999998E-2</v>
      </c>
      <c r="Z1370">
        <v>-1.546941E-3</v>
      </c>
      <c r="AA1370">
        <v>0.99888920000000003</v>
      </c>
      <c r="AB1370">
        <v>23</v>
      </c>
      <c r="AC1370">
        <v>24.8827</v>
      </c>
      <c r="AD1370">
        <v>-1.1216881730169901</v>
      </c>
      <c r="AE1370">
        <v>-1.0596999999999599</v>
      </c>
      <c r="AF1370">
        <v>1.1786845479597501</v>
      </c>
      <c r="AG1370">
        <v>-1.1216881730169901</v>
      </c>
      <c r="AH1370">
        <v>24.826874414694501</v>
      </c>
      <c r="AI1370">
        <v>92.583980609693199</v>
      </c>
      <c r="AJ1370">
        <v>87.281857659324899</v>
      </c>
      <c r="AK1370">
        <v>24.880136149629401</v>
      </c>
      <c r="AL1370">
        <v>80.336466169028697</v>
      </c>
      <c r="AM1370">
        <v>90.020781081352794</v>
      </c>
      <c r="AN1370">
        <v>1.00000006039876</v>
      </c>
    </row>
    <row r="1371" spans="1:40" x14ac:dyDescent="0.25">
      <c r="A1371" t="str">
        <f>"20190303161903759"</f>
        <v>20190303161903759</v>
      </c>
      <c r="B1371" t="str">
        <f>"1551601143754033"</f>
        <v>1551601143754033</v>
      </c>
      <c r="C1371" t="s">
        <v>40</v>
      </c>
      <c r="D1371">
        <v>4.6741000000000001</v>
      </c>
      <c r="E1371">
        <v>0.51941590000000004</v>
      </c>
      <c r="F1371" t="s">
        <v>41</v>
      </c>
      <c r="G1371">
        <v>-223.71289999999999</v>
      </c>
      <c r="H1371" s="1">
        <v>-3.2523249999999998E-6</v>
      </c>
      <c r="I1371">
        <v>366.38679999999999</v>
      </c>
      <c r="J1371">
        <v>-248.62780000000001</v>
      </c>
      <c r="K1371">
        <v>1.121686</v>
      </c>
      <c r="L1371">
        <v>367.47379999999998</v>
      </c>
      <c r="M1371">
        <v>0.99988089999999996</v>
      </c>
      <c r="N1371">
        <v>-1.4638730000000001E-2</v>
      </c>
      <c r="O1371">
        <v>4.878093E-3</v>
      </c>
      <c r="P1371">
        <v>0.98815489999999995</v>
      </c>
      <c r="Q1371">
        <v>0.153387</v>
      </c>
      <c r="R1371">
        <v>4.74619E-3</v>
      </c>
      <c r="S1371">
        <v>3.057922</v>
      </c>
      <c r="T1371">
        <v>-0.13689119999999999</v>
      </c>
      <c r="U1371">
        <v>-0.1325684</v>
      </c>
      <c r="V1371" s="1">
        <v>8.1274189999999994E-5</v>
      </c>
      <c r="W1371">
        <v>0.16783609999999999</v>
      </c>
      <c r="X1371">
        <v>0.98581490000000005</v>
      </c>
      <c r="Y1371">
        <v>4.8119179999999998E-2</v>
      </c>
      <c r="Z1371">
        <v>-1.5754429999999999E-3</v>
      </c>
      <c r="AA1371">
        <v>0.99884030000000001</v>
      </c>
      <c r="AB1371">
        <v>23</v>
      </c>
      <c r="AC1371">
        <v>24.914899999999999</v>
      </c>
      <c r="AD1371">
        <v>-1.1216892523249999</v>
      </c>
      <c r="AE1371">
        <v>-1.08699999999998</v>
      </c>
      <c r="AF1371">
        <v>1.20609733033355</v>
      </c>
      <c r="AG1371">
        <v>-1.1216892523249999</v>
      </c>
      <c r="AH1371">
        <v>24.8590100800829</v>
      </c>
      <c r="AI1371">
        <v>92.580518740666903</v>
      </c>
      <c r="AJ1371">
        <v>87.222329437666303</v>
      </c>
      <c r="AK1371">
        <v>24.9135152018073</v>
      </c>
      <c r="AL1371">
        <v>80.337970799917102</v>
      </c>
      <c r="AM1371">
        <v>89.995276326154297</v>
      </c>
      <c r="AN1371">
        <v>0.999999990065357</v>
      </c>
    </row>
    <row r="1372" spans="1:40" x14ac:dyDescent="0.25">
      <c r="A1372" t="str">
        <f>"20190303161903781"</f>
        <v>20190303161903781</v>
      </c>
      <c r="B1372" t="str">
        <f>"1551601143774529"</f>
        <v>1551601143774529</v>
      </c>
      <c r="C1372" t="s">
        <v>40</v>
      </c>
      <c r="D1372">
        <v>4.6629940000000003</v>
      </c>
      <c r="E1372">
        <v>0.51051259999999998</v>
      </c>
      <c r="F1372" t="s">
        <v>41</v>
      </c>
      <c r="G1372">
        <v>-223.53720000000001</v>
      </c>
      <c r="H1372" s="1">
        <v>-3.3277910000000001E-6</v>
      </c>
      <c r="I1372">
        <v>366.38630000000001</v>
      </c>
      <c r="J1372">
        <v>-248.41489999999999</v>
      </c>
      <c r="K1372">
        <v>1.1216790000000001</v>
      </c>
      <c r="L1372">
        <v>367.47489999999999</v>
      </c>
      <c r="M1372">
        <v>0.99988109999999997</v>
      </c>
      <c r="N1372">
        <v>-1.463358E-2</v>
      </c>
      <c r="O1372">
        <v>4.878131E-3</v>
      </c>
      <c r="P1372">
        <v>0.98814480000000005</v>
      </c>
      <c r="Q1372">
        <v>0.15345520000000001</v>
      </c>
      <c r="R1372">
        <v>4.6370120000000003E-3</v>
      </c>
      <c r="S1372">
        <v>3.0577999999999999</v>
      </c>
      <c r="T1372">
        <v>-0.1367003</v>
      </c>
      <c r="U1372">
        <v>-0.13253779999999901</v>
      </c>
      <c r="V1372">
        <v>1.9048749999999999E-4</v>
      </c>
      <c r="W1372">
        <v>0.1678991</v>
      </c>
      <c r="X1372">
        <v>0.98580409999999996</v>
      </c>
      <c r="Y1372">
        <v>4.8111170000000002E-2</v>
      </c>
      <c r="Z1372">
        <v>-1.573355E-3</v>
      </c>
      <c r="AA1372">
        <v>0.99884070000000003</v>
      </c>
      <c r="AB1372">
        <v>23</v>
      </c>
      <c r="AC1372">
        <v>24.877699999999901</v>
      </c>
      <c r="AD1372">
        <v>-1.121682327791</v>
      </c>
      <c r="AE1372">
        <v>-1.08859999999998</v>
      </c>
      <c r="AF1372">
        <v>1.2075066435814901</v>
      </c>
      <c r="AG1372">
        <v>-1.121682327791</v>
      </c>
      <c r="AH1372">
        <v>24.8217289970375</v>
      </c>
      <c r="AI1372">
        <v>92.584357158662698</v>
      </c>
      <c r="AJ1372">
        <v>87.214918620081207</v>
      </c>
      <c r="AK1372">
        <v>24.876383859820699</v>
      </c>
      <c r="AL1372">
        <v>80.334308657254496</v>
      </c>
      <c r="AM1372">
        <v>89.988928703315196</v>
      </c>
      <c r="AN1372">
        <v>0.99999993382155095</v>
      </c>
    </row>
    <row r="1373" spans="1:40" x14ac:dyDescent="0.25">
      <c r="A1373" t="str">
        <f>"20190303161903792"</f>
        <v>20190303161903792</v>
      </c>
      <c r="B1373" t="str">
        <f>"1551601143784289"</f>
        <v>1551601143784289</v>
      </c>
      <c r="C1373" t="s">
        <v>40</v>
      </c>
      <c r="D1373">
        <v>4.6624439999999998</v>
      </c>
      <c r="E1373">
        <v>0.51055220000000001</v>
      </c>
      <c r="F1373" t="s">
        <v>41</v>
      </c>
      <c r="G1373">
        <v>-220.69759999999999</v>
      </c>
      <c r="H1373" s="1">
        <v>-4.4523970000000001E-6</v>
      </c>
      <c r="I1373">
        <v>366.91399999999999</v>
      </c>
      <c r="J1373">
        <v>-248.30240000000001</v>
      </c>
      <c r="K1373">
        <v>1.1216740000000001</v>
      </c>
      <c r="L1373">
        <v>367.47539999999998</v>
      </c>
      <c r="M1373">
        <v>0.99988109999999997</v>
      </c>
      <c r="N1373">
        <v>-1.4630829999999999E-2</v>
      </c>
      <c r="O1373">
        <v>4.8779729999999999E-3</v>
      </c>
      <c r="P1373">
        <v>0.98817089999999996</v>
      </c>
      <c r="Q1373">
        <v>0.15330199999999999</v>
      </c>
      <c r="R1373">
        <v>4.1035660000000003E-3</v>
      </c>
      <c r="S1373">
        <v>3.055466</v>
      </c>
      <c r="T1373">
        <v>-0.1236502</v>
      </c>
      <c r="U1373">
        <v>-6.1828609999999999E-2</v>
      </c>
      <c r="V1373">
        <v>7.2401869999999904E-4</v>
      </c>
      <c r="W1373">
        <v>0.16774349999999999</v>
      </c>
      <c r="X1373">
        <v>0.9858304</v>
      </c>
      <c r="Y1373">
        <v>2.5078960000000001E-2</v>
      </c>
      <c r="Z1373">
        <v>-8.1674789999999905E-4</v>
      </c>
      <c r="AA1373">
        <v>0.99968520000000005</v>
      </c>
      <c r="AB1373">
        <v>23</v>
      </c>
      <c r="AC1373">
        <v>27.604800000000001</v>
      </c>
      <c r="AD1373">
        <v>-1.121678452397</v>
      </c>
      <c r="AE1373">
        <v>-0.56139999999999102</v>
      </c>
      <c r="AF1373">
        <v>0.69491631174461899</v>
      </c>
      <c r="AG1373">
        <v>-1.121678452397</v>
      </c>
      <c r="AH1373">
        <v>27.556254007669502</v>
      </c>
      <c r="AI1373">
        <v>92.330200237104293</v>
      </c>
      <c r="AJ1373">
        <v>88.555415599192003</v>
      </c>
      <c r="AK1373">
        <v>27.587827137455101</v>
      </c>
      <c r="AL1373">
        <v>80.343352706019701</v>
      </c>
      <c r="AM1373">
        <v>89.957920542579998</v>
      </c>
      <c r="AN1373">
        <v>0.99999999177974297</v>
      </c>
    </row>
    <row r="1374" spans="1:40" x14ac:dyDescent="0.25">
      <c r="A1374" t="str">
        <f>"20190303161903803"</f>
        <v>20190303161903803</v>
      </c>
      <c r="B1374" t="str">
        <f>"1551601143794049"</f>
        <v>1551601143794049</v>
      </c>
      <c r="C1374" t="s">
        <v>40</v>
      </c>
      <c r="D1374">
        <v>4.6606509999999997</v>
      </c>
      <c r="E1374">
        <v>0.51059160000000003</v>
      </c>
      <c r="F1374" t="s">
        <v>41</v>
      </c>
      <c r="G1374">
        <v>-220.96709999999999</v>
      </c>
      <c r="H1374" s="1">
        <v>-4.3385759999999996E-6</v>
      </c>
      <c r="I1374">
        <v>366.90370000000001</v>
      </c>
      <c r="J1374">
        <v>-248.18279999999999</v>
      </c>
      <c r="K1374">
        <v>1.1216759999999999</v>
      </c>
      <c r="L1374">
        <v>367.476</v>
      </c>
      <c r="M1374">
        <v>0.99988129999999997</v>
      </c>
      <c r="N1374">
        <v>-1.4627899999999999E-2</v>
      </c>
      <c r="O1374">
        <v>4.8778149999999998E-3</v>
      </c>
      <c r="P1374">
        <v>0.98819460000000003</v>
      </c>
      <c r="Q1374">
        <v>0.15314939999999999</v>
      </c>
      <c r="R1374">
        <v>4.1068260000000001E-3</v>
      </c>
      <c r="S1374">
        <v>3.055634</v>
      </c>
      <c r="T1374">
        <v>-0.12538489999999999</v>
      </c>
      <c r="U1374">
        <v>-6.3903810000000005E-2</v>
      </c>
      <c r="V1374">
        <v>7.207356E-4</v>
      </c>
      <c r="W1374">
        <v>0.16758890000000001</v>
      </c>
      <c r="X1374">
        <v>0.98585670000000003</v>
      </c>
      <c r="Y1374">
        <v>2.575479E-2</v>
      </c>
      <c r="Z1374">
        <v>-8.4536279999999995E-4</v>
      </c>
      <c r="AA1374">
        <v>0.99966790000000005</v>
      </c>
      <c r="AB1374">
        <v>23</v>
      </c>
      <c r="AC1374">
        <v>27.215699999999998</v>
      </c>
      <c r="AD1374">
        <v>-1.1216803385759999</v>
      </c>
      <c r="AE1374">
        <v>-0.57229999999998404</v>
      </c>
      <c r="AF1374">
        <v>0.70386544002271401</v>
      </c>
      <c r="AG1374">
        <v>-1.1216803385759999</v>
      </c>
      <c r="AH1374">
        <v>27.166458875471601</v>
      </c>
      <c r="AI1374">
        <v>92.363559500840495</v>
      </c>
      <c r="AJ1374">
        <v>88.515835325864501</v>
      </c>
      <c r="AK1374">
        <v>27.198714697064201</v>
      </c>
      <c r="AL1374">
        <v>80.352337868714102</v>
      </c>
      <c r="AM1374">
        <v>89.958112471449596</v>
      </c>
      <c r="AN1374">
        <v>0.99999999589895205</v>
      </c>
    </row>
    <row r="1375" spans="1:40" x14ac:dyDescent="0.25">
      <c r="A1375" t="str">
        <f>"20190303161903817"</f>
        <v>20190303161903817</v>
      </c>
      <c r="B1375" t="str">
        <f>"1551601143803809"</f>
        <v>1551601143803809</v>
      </c>
      <c r="C1375" t="s">
        <v>40</v>
      </c>
      <c r="D1375">
        <v>4.6650919999999996</v>
      </c>
      <c r="E1375">
        <v>0.51051449999999998</v>
      </c>
      <c r="F1375" t="s">
        <v>41</v>
      </c>
      <c r="G1375">
        <v>-221.4032</v>
      </c>
      <c r="H1375" s="1">
        <v>-4.14995E-6</v>
      </c>
      <c r="I1375">
        <v>366.91250000000002</v>
      </c>
      <c r="J1375">
        <v>-248.06059999999999</v>
      </c>
      <c r="K1375">
        <v>1.121675</v>
      </c>
      <c r="L1375">
        <v>367.47669999999999</v>
      </c>
      <c r="M1375">
        <v>0.99988129999999997</v>
      </c>
      <c r="N1375">
        <v>-1.462486E-2</v>
      </c>
      <c r="O1375">
        <v>4.8778379999999998E-3</v>
      </c>
      <c r="P1375">
        <v>0.988174</v>
      </c>
      <c r="Q1375">
        <v>0.15328449999999999</v>
      </c>
      <c r="R1375">
        <v>4.0472529999999998E-3</v>
      </c>
      <c r="S1375">
        <v>3.0559229999999999</v>
      </c>
      <c r="T1375">
        <v>-0.12799859999999999</v>
      </c>
      <c r="U1375">
        <v>-6.4300540000000003E-2</v>
      </c>
      <c r="V1375">
        <v>7.8015369999999895E-4</v>
      </c>
      <c r="W1375">
        <v>0.16772000000000001</v>
      </c>
      <c r="X1375">
        <v>0.9858344</v>
      </c>
      <c r="Y1375">
        <v>2.5881230000000002E-2</v>
      </c>
      <c r="Z1375">
        <v>-8.6401070000000004E-4</v>
      </c>
      <c r="AA1375">
        <v>0.99966469999999996</v>
      </c>
      <c r="AB1375">
        <v>23</v>
      </c>
      <c r="AC1375">
        <v>26.657399999999999</v>
      </c>
      <c r="AD1375">
        <v>-1.1216791499500001</v>
      </c>
      <c r="AE1375">
        <v>-0.56419999999997095</v>
      </c>
      <c r="AF1375">
        <v>0.69301121082725503</v>
      </c>
      <c r="AG1375">
        <v>-1.1216791499500001</v>
      </c>
      <c r="AH1375">
        <v>26.607242768446898</v>
      </c>
      <c r="AI1375">
        <v>92.413166243842298</v>
      </c>
      <c r="AJ1375">
        <v>88.508013676990799</v>
      </c>
      <c r="AK1375">
        <v>26.6398910732164</v>
      </c>
      <c r="AL1375">
        <v>80.344718934048103</v>
      </c>
      <c r="AM1375">
        <v>89.954658201163994</v>
      </c>
      <c r="AN1375">
        <v>1.0000000356315699</v>
      </c>
    </row>
    <row r="1376" spans="1:40" x14ac:dyDescent="0.25">
      <c r="A1376" t="str">
        <f>"20190303161903830"</f>
        <v>20190303161903830</v>
      </c>
      <c r="B1376" t="str">
        <f>"1551601143824305"</f>
        <v>1551601143824305</v>
      </c>
      <c r="C1376" t="s">
        <v>40</v>
      </c>
      <c r="D1376">
        <v>4.6937720000000001</v>
      </c>
      <c r="E1376">
        <v>0.51050470000000003</v>
      </c>
      <c r="F1376" t="s">
        <v>41</v>
      </c>
      <c r="G1376">
        <v>-221.3201</v>
      </c>
      <c r="H1376" s="1">
        <v>-4.1845469999999997E-6</v>
      </c>
      <c r="I1376">
        <v>366.91849999999999</v>
      </c>
      <c r="J1376">
        <v>-247.9178</v>
      </c>
      <c r="K1376">
        <v>1.1216740000000001</v>
      </c>
      <c r="L1376">
        <v>367.47730000000001</v>
      </c>
      <c r="M1376">
        <v>0.99988129999999997</v>
      </c>
      <c r="N1376">
        <v>-1.462132E-2</v>
      </c>
      <c r="O1376">
        <v>4.877686E-3</v>
      </c>
      <c r="P1376">
        <v>0.98814230000000003</v>
      </c>
      <c r="Q1376">
        <v>0.15348499999999901</v>
      </c>
      <c r="R1376">
        <v>4.2017599999999997E-3</v>
      </c>
      <c r="S1376">
        <v>3.0560610000000001</v>
      </c>
      <c r="T1376">
        <v>-0.12819120000000001</v>
      </c>
      <c r="U1376">
        <v>-6.3781740000000003E-2</v>
      </c>
      <c r="V1376">
        <v>6.2521530000000003E-4</v>
      </c>
      <c r="W1376">
        <v>0.16791700000000001</v>
      </c>
      <c r="X1376">
        <v>0.98580089999999998</v>
      </c>
      <c r="Y1376">
        <v>2.571062E-2</v>
      </c>
      <c r="Z1376">
        <v>-8.6024279999999897E-4</v>
      </c>
      <c r="AA1376">
        <v>0.99966909999999998</v>
      </c>
      <c r="AB1376">
        <v>23</v>
      </c>
      <c r="AC1376">
        <v>26.5977</v>
      </c>
      <c r="AD1376">
        <v>-1.1216781845469901</v>
      </c>
      <c r="AE1376">
        <v>-0.55880000000001895</v>
      </c>
      <c r="AF1376">
        <v>0.68732059267576995</v>
      </c>
      <c r="AG1376">
        <v>-1.1216781845469901</v>
      </c>
      <c r="AH1376">
        <v>26.547464346735399</v>
      </c>
      <c r="AI1376">
        <v>92.4186013428466</v>
      </c>
      <c r="AJ1376">
        <v>88.5169290311526</v>
      </c>
      <c r="AK1376">
        <v>26.580038276646501</v>
      </c>
      <c r="AL1376">
        <v>80.333268568418703</v>
      </c>
      <c r="AM1376">
        <v>89.963661837624599</v>
      </c>
      <c r="AN1376">
        <v>0.99999996211198905</v>
      </c>
    </row>
    <row r="1377" spans="1:40" x14ac:dyDescent="0.25">
      <c r="A1377" t="str">
        <f>"20190303161903841"</f>
        <v>20190303161903841</v>
      </c>
      <c r="B1377" t="str">
        <f>"1551601143834066"</f>
        <v>1551601143834066</v>
      </c>
      <c r="C1377" t="s">
        <v>40</v>
      </c>
      <c r="D1377">
        <v>4.6535380000000002</v>
      </c>
      <c r="E1377">
        <v>0.51054690000000003</v>
      </c>
      <c r="F1377" t="s">
        <v>41</v>
      </c>
      <c r="G1377">
        <v>-221.57419999999999</v>
      </c>
      <c r="H1377" s="1">
        <v>-4.0725829999999999E-6</v>
      </c>
      <c r="I1377">
        <v>366.93520000000001</v>
      </c>
      <c r="J1377">
        <v>-247.7938</v>
      </c>
      <c r="K1377">
        <v>1.1216790000000001</v>
      </c>
      <c r="L1377">
        <v>367.47789999999998</v>
      </c>
      <c r="M1377">
        <v>0.99988129999999997</v>
      </c>
      <c r="N1377">
        <v>-1.4618280000000001E-2</v>
      </c>
      <c r="O1377">
        <v>4.8777079999999997E-3</v>
      </c>
      <c r="P1377">
        <v>0.98811170000000004</v>
      </c>
      <c r="Q1377">
        <v>0.15368080000000001</v>
      </c>
      <c r="R1377">
        <v>4.2315180000000001E-3</v>
      </c>
      <c r="S1377">
        <v>3.0564879999999999</v>
      </c>
      <c r="T1377">
        <v>-0.130140899999999</v>
      </c>
      <c r="U1377">
        <v>-6.2896729999999998E-2</v>
      </c>
      <c r="V1377">
        <v>5.9545810000000002E-4</v>
      </c>
      <c r="W1377">
        <v>0.1681088</v>
      </c>
      <c r="X1377">
        <v>0.98576830000000004</v>
      </c>
      <c r="Y1377">
        <v>2.541786E-2</v>
      </c>
      <c r="Z1377">
        <v>-8.63045E-4</v>
      </c>
      <c r="AA1377">
        <v>0.99967649999999997</v>
      </c>
      <c r="AB1377">
        <v>23</v>
      </c>
      <c r="AC1377">
        <v>26.2196</v>
      </c>
      <c r="AD1377">
        <v>-1.121683072583</v>
      </c>
      <c r="AE1377">
        <v>-0.54269999999996799</v>
      </c>
      <c r="AF1377">
        <v>0.66937422099393795</v>
      </c>
      <c r="AG1377">
        <v>-1.121683072583</v>
      </c>
      <c r="AH1377">
        <v>26.1687681782902</v>
      </c>
      <c r="AI1377">
        <v>92.453589474089</v>
      </c>
      <c r="AJ1377">
        <v>88.534743543736994</v>
      </c>
      <c r="AK1377">
        <v>26.201348490719798</v>
      </c>
      <c r="AL1377">
        <v>80.322121454510494</v>
      </c>
      <c r="AM1377">
        <v>89.965390212023095</v>
      </c>
      <c r="AN1377">
        <v>1.0000000322463301</v>
      </c>
    </row>
    <row r="1378" spans="1:40" x14ac:dyDescent="0.25">
      <c r="A1378" t="str">
        <f>"20190303161903853"</f>
        <v>20190303161903853</v>
      </c>
      <c r="B1378" t="str">
        <f>"1551601143843825"</f>
        <v>1551601143843825</v>
      </c>
      <c r="C1378" t="s">
        <v>40</v>
      </c>
      <c r="D1378">
        <v>4.6783809999999999</v>
      </c>
      <c r="E1378">
        <v>0.51059589999999999</v>
      </c>
      <c r="F1378" t="s">
        <v>41</v>
      </c>
      <c r="G1378">
        <v>-221.4633</v>
      </c>
      <c r="H1378" s="1">
        <v>-4.1204000000000004E-6</v>
      </c>
      <c r="I1378">
        <v>366.93369999999999</v>
      </c>
      <c r="J1378">
        <v>-247.6848</v>
      </c>
      <c r="K1378">
        <v>1.1216820000000001</v>
      </c>
      <c r="L1378">
        <v>367.4785</v>
      </c>
      <c r="M1378">
        <v>0.99988129999999997</v>
      </c>
      <c r="N1378">
        <v>-1.4615629999999999E-2</v>
      </c>
      <c r="O1378">
        <v>4.8777270000000001E-3</v>
      </c>
      <c r="P1378">
        <v>0.98814800000000003</v>
      </c>
      <c r="Q1378">
        <v>0.15345230000000001</v>
      </c>
      <c r="R1378">
        <v>3.9858630000000001E-3</v>
      </c>
      <c r="S1378">
        <v>3.05661</v>
      </c>
      <c r="T1378">
        <v>-0.13021170000000001</v>
      </c>
      <c r="U1378">
        <v>-6.3171389999999994E-2</v>
      </c>
      <c r="V1378">
        <v>8.413699E-4</v>
      </c>
      <c r="W1378">
        <v>0.16787839999999901</v>
      </c>
      <c r="X1378">
        <v>0.9858074</v>
      </c>
      <c r="Y1378">
        <v>2.5506709999999998E-2</v>
      </c>
      <c r="Z1378">
        <v>-8.6594280000000003E-4</v>
      </c>
      <c r="AA1378">
        <v>0.99967430000000002</v>
      </c>
      <c r="AB1378">
        <v>23</v>
      </c>
      <c r="AC1378">
        <v>26.221499999999899</v>
      </c>
      <c r="AD1378">
        <v>-1.1216861203999999</v>
      </c>
      <c r="AE1378">
        <v>-0.54480000000000905</v>
      </c>
      <c r="AF1378">
        <v>0.67148028540219695</v>
      </c>
      <c r="AG1378">
        <v>-1.1216861203999999</v>
      </c>
      <c r="AH1378">
        <v>26.170661269157801</v>
      </c>
      <c r="AI1378">
        <v>92.453413932961197</v>
      </c>
      <c r="AJ1378">
        <v>88.530241677752997</v>
      </c>
      <c r="AK1378">
        <v>26.2032932432429</v>
      </c>
      <c r="AL1378">
        <v>80.335512865937304</v>
      </c>
      <c r="AM1378">
        <v>89.951099035598403</v>
      </c>
      <c r="AN1378">
        <v>1.0000000474923101</v>
      </c>
    </row>
    <row r="1379" spans="1:40" x14ac:dyDescent="0.25">
      <c r="A1379" t="str">
        <f>"20190303161903864"</f>
        <v>20190303161903864</v>
      </c>
      <c r="B1379" t="str">
        <f>"1551601143854561"</f>
        <v>1551601143854561</v>
      </c>
      <c r="C1379" t="s">
        <v>40</v>
      </c>
      <c r="D1379">
        <v>4.6218009999999996</v>
      </c>
      <c r="E1379">
        <v>0.51052900000000001</v>
      </c>
      <c r="F1379" t="s">
        <v>41</v>
      </c>
      <c r="G1379">
        <v>-221.55520000000001</v>
      </c>
      <c r="H1379" s="1">
        <v>-4.0814130000000002E-6</v>
      </c>
      <c r="I1379">
        <v>366.93130000000002</v>
      </c>
      <c r="J1379">
        <v>-247.56710000000001</v>
      </c>
      <c r="K1379">
        <v>1.12168</v>
      </c>
      <c r="L1379">
        <v>367.47899999999998</v>
      </c>
      <c r="M1379">
        <v>0.99988129999999997</v>
      </c>
      <c r="N1379">
        <v>-1.4612790000000001E-2</v>
      </c>
      <c r="O1379">
        <v>4.8777489999999998E-3</v>
      </c>
      <c r="P1379">
        <v>0.98811970000000005</v>
      </c>
      <c r="Q1379">
        <v>0.1536381</v>
      </c>
      <c r="R1379">
        <v>3.8670950000000001E-3</v>
      </c>
      <c r="S1379">
        <v>3.0566249999999999</v>
      </c>
      <c r="T1379">
        <v>-0.13121379999999999</v>
      </c>
      <c r="U1379">
        <v>-6.3995360000000001E-2</v>
      </c>
      <c r="V1379">
        <v>9.6005289999999996E-4</v>
      </c>
      <c r="W1379">
        <v>0.168061299999999</v>
      </c>
      <c r="X1379">
        <v>0.98577610000000004</v>
      </c>
      <c r="Y1379">
        <v>2.5775200000000002E-2</v>
      </c>
      <c r="Z1379">
        <v>-8.7941219999999995E-4</v>
      </c>
      <c r="AA1379">
        <v>0.99966739999999998</v>
      </c>
      <c r="AB1379">
        <v>23</v>
      </c>
      <c r="AC1379">
        <v>26.011900000000001</v>
      </c>
      <c r="AD1379">
        <v>-1.121684081413</v>
      </c>
      <c r="AE1379">
        <v>-0.54770000000001995</v>
      </c>
      <c r="AF1379">
        <v>0.67333504081155304</v>
      </c>
      <c r="AG1379">
        <v>-1.121684081413</v>
      </c>
      <c r="AH1379">
        <v>25.960666107636602</v>
      </c>
      <c r="AI1379">
        <v>92.473212734271598</v>
      </c>
      <c r="AJ1379">
        <v>88.514267375663906</v>
      </c>
      <c r="AK1379">
        <v>25.993609599435601</v>
      </c>
      <c r="AL1379">
        <v>80.324882171796105</v>
      </c>
      <c r="AM1379">
        <v>89.944199335033503</v>
      </c>
      <c r="AN1379">
        <v>1.00000002079523</v>
      </c>
    </row>
    <row r="1380" spans="1:40" x14ac:dyDescent="0.25">
      <c r="A1380" t="str">
        <f>"20190303161903877"</f>
        <v>20190303161903877</v>
      </c>
      <c r="B1380" t="str">
        <f>"1551601143864322"</f>
        <v>1551601143864322</v>
      </c>
      <c r="C1380" t="s">
        <v>40</v>
      </c>
      <c r="D1380">
        <v>4.6696989999999996</v>
      </c>
      <c r="E1380">
        <v>0.51047399999999998</v>
      </c>
      <c r="F1380" t="s">
        <v>41</v>
      </c>
      <c r="G1380">
        <v>-221.31819999999999</v>
      </c>
      <c r="H1380" s="1">
        <v>-4.1835410000000003E-6</v>
      </c>
      <c r="I1380">
        <v>366.92860000000002</v>
      </c>
      <c r="J1380">
        <v>-247.44069999999999</v>
      </c>
      <c r="K1380">
        <v>1.121685</v>
      </c>
      <c r="L1380">
        <v>367.4796</v>
      </c>
      <c r="M1380">
        <v>0.99988140000000003</v>
      </c>
      <c r="N1380">
        <v>-1.4609749999999999E-2</v>
      </c>
      <c r="O1380">
        <v>4.877592E-3</v>
      </c>
      <c r="P1380">
        <v>0.98812460000000002</v>
      </c>
      <c r="Q1380">
        <v>0.15360679999999999</v>
      </c>
      <c r="R1380">
        <v>3.889549E-3</v>
      </c>
      <c r="S1380">
        <v>3.05661</v>
      </c>
      <c r="T1380">
        <v>-0.1306165</v>
      </c>
      <c r="U1380">
        <v>-6.4086909999999997E-2</v>
      </c>
      <c r="V1380">
        <v>9.3717959999999999E-4</v>
      </c>
      <c r="W1380">
        <v>0.1680265</v>
      </c>
      <c r="X1380">
        <v>0.98578200000000005</v>
      </c>
      <c r="Y1380">
        <v>2.580532E-2</v>
      </c>
      <c r="Z1380">
        <v>-8.7678319999999997E-4</v>
      </c>
      <c r="AA1380">
        <v>0.99966659999999996</v>
      </c>
      <c r="AB1380">
        <v>23</v>
      </c>
      <c r="AC1380">
        <v>26.122499999999999</v>
      </c>
      <c r="AD1380">
        <v>-1.1216891835409999</v>
      </c>
      <c r="AE1380">
        <v>-0.55099999999998694</v>
      </c>
      <c r="AF1380">
        <v>0.67717391510180402</v>
      </c>
      <c r="AG1380">
        <v>-1.1216891835409999</v>
      </c>
      <c r="AH1380">
        <v>26.071451990669299</v>
      </c>
      <c r="AI1380">
        <v>92.462725060130296</v>
      </c>
      <c r="AJ1380">
        <v>88.512147089016693</v>
      </c>
      <c r="AK1380">
        <v>26.104355192908798</v>
      </c>
      <c r="AL1380">
        <v>80.326904305267604</v>
      </c>
      <c r="AM1380">
        <v>89.945529113385703</v>
      </c>
      <c r="AN1380">
        <v>0.99999996726592499</v>
      </c>
    </row>
    <row r="1381" spans="1:40" x14ac:dyDescent="0.25">
      <c r="A1381" t="str">
        <f>"20190303161903891"</f>
        <v>20190303161903891</v>
      </c>
      <c r="B1381" t="str">
        <f>"1551601143883843"</f>
        <v>1551601143883843</v>
      </c>
      <c r="C1381" t="s">
        <v>40</v>
      </c>
      <c r="D1381">
        <v>4.6634060000000002</v>
      </c>
      <c r="E1381">
        <v>0.51035920000000001</v>
      </c>
      <c r="F1381" t="s">
        <v>41</v>
      </c>
      <c r="G1381">
        <v>-221.22620000000001</v>
      </c>
      <c r="H1381" s="1">
        <v>-4.2221529999999998E-6</v>
      </c>
      <c r="I1381">
        <v>366.93360000000001</v>
      </c>
      <c r="J1381">
        <v>-247.30330000000001</v>
      </c>
      <c r="K1381">
        <v>1.1216839999999999</v>
      </c>
      <c r="L1381">
        <v>367.4803</v>
      </c>
      <c r="M1381">
        <v>0.99988140000000003</v>
      </c>
      <c r="N1381">
        <v>-1.460645E-2</v>
      </c>
      <c r="O1381">
        <v>4.8776169999999999E-3</v>
      </c>
      <c r="P1381">
        <v>0.98810949999999997</v>
      </c>
      <c r="Q1381">
        <v>0.1537057</v>
      </c>
      <c r="R1381">
        <v>3.7725789999999999E-3</v>
      </c>
      <c r="S1381">
        <v>3.0566559999999998</v>
      </c>
      <c r="T1381">
        <v>-0.13078999999999999</v>
      </c>
      <c r="U1381">
        <v>-6.3659670000000002E-2</v>
      </c>
      <c r="V1381">
        <v>1.0542959999999999E-3</v>
      </c>
      <c r="W1381">
        <v>0.16812189999999999</v>
      </c>
      <c r="X1381">
        <v>0.98576560000000002</v>
      </c>
      <c r="Y1381">
        <v>2.5665460000000001E-2</v>
      </c>
      <c r="Z1381">
        <v>-8.7374149999999999E-4</v>
      </c>
      <c r="AA1381">
        <v>0.99967019999999995</v>
      </c>
      <c r="AB1381">
        <v>23</v>
      </c>
      <c r="AC1381">
        <v>26.077100000000002</v>
      </c>
      <c r="AD1381">
        <v>-1.121688222153</v>
      </c>
      <c r="AE1381">
        <v>-0.54669999999998697</v>
      </c>
      <c r="AF1381">
        <v>0.67265715127261005</v>
      </c>
      <c r="AG1381">
        <v>-1.121688222153</v>
      </c>
      <c r="AH1381">
        <v>26.025989938356801</v>
      </c>
      <c r="AI1381">
        <v>92.467027689567601</v>
      </c>
      <c r="AJ1381">
        <v>88.5194861844423</v>
      </c>
      <c r="AK1381">
        <v>26.058833519217998</v>
      </c>
      <c r="AL1381">
        <v>80.321359253591098</v>
      </c>
      <c r="AM1381">
        <v>89.938721042685003</v>
      </c>
      <c r="AN1381">
        <v>0.99999995147151099</v>
      </c>
    </row>
    <row r="1382" spans="1:40" x14ac:dyDescent="0.25">
      <c r="A1382" t="str">
        <f>"20190303161903904"</f>
        <v>20190303161903904</v>
      </c>
      <c r="B1382" t="str">
        <f>"1551601143894577"</f>
        <v>1551601143894577</v>
      </c>
      <c r="C1382" t="s">
        <v>40</v>
      </c>
      <c r="D1382">
        <v>4.683338</v>
      </c>
      <c r="E1382">
        <v>0.51040609999999997</v>
      </c>
      <c r="F1382" t="s">
        <v>41</v>
      </c>
      <c r="G1382">
        <v>-221.02869999999999</v>
      </c>
      <c r="H1382" s="1">
        <v>-4.3061589999999999E-6</v>
      </c>
      <c r="I1382">
        <v>366.9375</v>
      </c>
      <c r="J1382">
        <v>-247.16659999999999</v>
      </c>
      <c r="K1382">
        <v>1.1216870000000001</v>
      </c>
      <c r="L1382">
        <v>367.48099999999999</v>
      </c>
      <c r="M1382">
        <v>0.99988160000000004</v>
      </c>
      <c r="N1382">
        <v>-1.460316E-2</v>
      </c>
      <c r="O1382">
        <v>4.8774619999999999E-3</v>
      </c>
      <c r="P1382">
        <v>0.98806550000000004</v>
      </c>
      <c r="Q1382">
        <v>0.1539924</v>
      </c>
      <c r="R1382">
        <v>3.6433799999999999E-3</v>
      </c>
      <c r="S1382">
        <v>3.0566559999999998</v>
      </c>
      <c r="T1382">
        <v>-0.13049140000000001</v>
      </c>
      <c r="U1382">
        <v>-6.3140870000000002E-2</v>
      </c>
      <c r="V1382">
        <v>1.1831179999999999E-3</v>
      </c>
      <c r="W1382">
        <v>0.1684049</v>
      </c>
      <c r="X1382">
        <v>0.98571719999999896</v>
      </c>
      <c r="Y1382">
        <v>2.5496049999999999E-2</v>
      </c>
      <c r="Z1382">
        <v>-8.6713149999999902E-4</v>
      </c>
      <c r="AA1382">
        <v>0.99967459999999997</v>
      </c>
      <c r="AB1382">
        <v>23</v>
      </c>
      <c r="AC1382">
        <v>26.137899999999998</v>
      </c>
      <c r="AD1382">
        <v>-1.1216913061589999</v>
      </c>
      <c r="AE1382">
        <v>-0.54349999999999399</v>
      </c>
      <c r="AF1382">
        <v>0.66976080016501505</v>
      </c>
      <c r="AG1382">
        <v>-1.1216913061589999</v>
      </c>
      <c r="AH1382">
        <v>26.0869158344616</v>
      </c>
      <c r="AI1382">
        <v>92.461290654049193</v>
      </c>
      <c r="AJ1382">
        <v>88.529299553436999</v>
      </c>
      <c r="AK1382">
        <v>26.1196085091265</v>
      </c>
      <c r="AL1382">
        <v>80.304910531597599</v>
      </c>
      <c r="AM1382">
        <v>89.931230138305594</v>
      </c>
      <c r="AN1382">
        <v>1.00000000424402</v>
      </c>
    </row>
    <row r="1383" spans="1:40" x14ac:dyDescent="0.25">
      <c r="A1383" t="str">
        <f>"20190303161903918"</f>
        <v>20190303161903918</v>
      </c>
      <c r="B1383" t="str">
        <f>"1551601143904338"</f>
        <v>1551601143904338</v>
      </c>
      <c r="C1383" t="s">
        <v>40</v>
      </c>
      <c r="D1383">
        <v>4.6947939999999999</v>
      </c>
      <c r="E1383">
        <v>0.51043369999999999</v>
      </c>
      <c r="F1383" t="s">
        <v>41</v>
      </c>
      <c r="G1383">
        <v>-220.6465</v>
      </c>
      <c r="H1383" s="1">
        <v>-4.47175E-6</v>
      </c>
      <c r="I1383">
        <v>366.92829999999998</v>
      </c>
      <c r="J1383">
        <v>-247.03210000000001</v>
      </c>
      <c r="K1383">
        <v>1.121688</v>
      </c>
      <c r="L1383">
        <v>367.48160000000001</v>
      </c>
      <c r="M1383">
        <v>0.99988160000000004</v>
      </c>
      <c r="N1383">
        <v>-1.4599920000000001E-2</v>
      </c>
      <c r="O1383">
        <v>4.8773669999999996E-3</v>
      </c>
      <c r="P1383">
        <v>0.98802650000000003</v>
      </c>
      <c r="Q1383">
        <v>0.15424070000000001</v>
      </c>
      <c r="R1383">
        <v>3.7052069999999999E-3</v>
      </c>
      <c r="S1383">
        <v>3.05661</v>
      </c>
      <c r="T1383">
        <v>-0.12928199999999901</v>
      </c>
      <c r="U1383">
        <v>-6.3690189999999994E-2</v>
      </c>
      <c r="V1383">
        <v>1.120984E-3</v>
      </c>
      <c r="W1383">
        <v>0.1686493</v>
      </c>
      <c r="X1383">
        <v>0.98567550000000004</v>
      </c>
      <c r="Y1383">
        <v>2.567618E-2</v>
      </c>
      <c r="Z1383">
        <v>-8.6527109999999996E-4</v>
      </c>
      <c r="AA1383">
        <v>0.9996699</v>
      </c>
      <c r="AB1383">
        <v>23</v>
      </c>
      <c r="AC1383">
        <v>26.3856</v>
      </c>
      <c r="AD1383">
        <v>-1.1216924717499901</v>
      </c>
      <c r="AE1383">
        <v>-0.55330000000003499</v>
      </c>
      <c r="AF1383">
        <v>0.68076961270341996</v>
      </c>
      <c r="AG1383">
        <v>-1.1216924717499901</v>
      </c>
      <c r="AH1383">
        <v>26.335014621967201</v>
      </c>
      <c r="AI1383">
        <v>92.4381227522057</v>
      </c>
      <c r="AJ1383">
        <v>88.519213246251894</v>
      </c>
      <c r="AK1383">
        <v>26.367681665364302</v>
      </c>
      <c r="AL1383">
        <v>80.290704377469694</v>
      </c>
      <c r="AM1383">
        <v>89.934838976507805</v>
      </c>
      <c r="AN1383">
        <v>1.00000001714793</v>
      </c>
    </row>
    <row r="1384" spans="1:40" x14ac:dyDescent="0.25">
      <c r="A1384" t="str">
        <f>"20190303161903937"</f>
        <v>20190303161903937</v>
      </c>
      <c r="B1384" t="str">
        <f>"1551601143923858"</f>
        <v>1551601143923858</v>
      </c>
      <c r="C1384" t="s">
        <v>40</v>
      </c>
      <c r="D1384">
        <v>4.6806839999999896</v>
      </c>
      <c r="E1384">
        <v>0.51045189999999996</v>
      </c>
      <c r="F1384" t="s">
        <v>41</v>
      </c>
      <c r="G1384">
        <v>-220.4931</v>
      </c>
      <c r="H1384" s="1">
        <v>-4.5377060000000004E-6</v>
      </c>
      <c r="I1384">
        <v>366.92750000000001</v>
      </c>
      <c r="J1384">
        <v>-246.84129999999999</v>
      </c>
      <c r="K1384">
        <v>1.121694</v>
      </c>
      <c r="L1384">
        <v>367.48250000000002</v>
      </c>
      <c r="M1384">
        <v>0.99988169999999998</v>
      </c>
      <c r="N1384">
        <v>-1.459531E-2</v>
      </c>
      <c r="O1384">
        <v>4.8773999999999996E-3</v>
      </c>
      <c r="P1384">
        <v>0.98799170000000003</v>
      </c>
      <c r="Q1384">
        <v>0.15445780000000001</v>
      </c>
      <c r="R1384">
        <v>3.8775189999999998E-3</v>
      </c>
      <c r="S1384">
        <v>3.056778</v>
      </c>
      <c r="T1384">
        <v>-0.12919659999999999</v>
      </c>
      <c r="U1384">
        <v>-6.3812259999999996E-2</v>
      </c>
      <c r="V1384">
        <v>9.4881179999999998E-4</v>
      </c>
      <c r="W1384">
        <v>0.16886129999999999</v>
      </c>
      <c r="X1384">
        <v>0.98563940000000005</v>
      </c>
      <c r="Y1384">
        <v>2.571497E-2</v>
      </c>
      <c r="Z1384">
        <v>-8.6580239999999996E-4</v>
      </c>
      <c r="AA1384">
        <v>0.99966900000000003</v>
      </c>
      <c r="AB1384">
        <v>23</v>
      </c>
      <c r="AC1384">
        <v>26.348199999999899</v>
      </c>
      <c r="AD1384">
        <v>-1.121698537706</v>
      </c>
      <c r="AE1384">
        <v>-0.55500000000000604</v>
      </c>
      <c r="AF1384">
        <v>0.68228177461862405</v>
      </c>
      <c r="AG1384">
        <v>-1.121698537706</v>
      </c>
      <c r="AH1384">
        <v>26.2975391654129</v>
      </c>
      <c r="AI1384">
        <v>92.441600244783004</v>
      </c>
      <c r="AJ1384">
        <v>88.5138115718904</v>
      </c>
      <c r="AK1384">
        <v>26.330292102175601</v>
      </c>
      <c r="AL1384">
        <v>80.278381083430205</v>
      </c>
      <c r="AM1384">
        <v>89.944845046880104</v>
      </c>
      <c r="AN1384">
        <v>1.0000000328569401</v>
      </c>
    </row>
    <row r="1385" spans="1:40" x14ac:dyDescent="0.25">
      <c r="A1385" t="str">
        <f>"20190303161903951"</f>
        <v>20190303161903951</v>
      </c>
      <c r="B1385" t="str">
        <f>"1551601143944353"</f>
        <v>1551601143944353</v>
      </c>
      <c r="C1385" t="s">
        <v>40</v>
      </c>
      <c r="D1385">
        <v>4.7094529999999999</v>
      </c>
      <c r="E1385">
        <v>0.51422780000000001</v>
      </c>
      <c r="F1385" t="s">
        <v>41</v>
      </c>
      <c r="G1385">
        <v>-220.19659999999999</v>
      </c>
      <c r="H1385" s="1">
        <v>-4.6650859999999996E-6</v>
      </c>
      <c r="I1385">
        <v>366.92649999999998</v>
      </c>
      <c r="J1385">
        <v>-246.70419999999999</v>
      </c>
      <c r="K1385">
        <v>1.121699</v>
      </c>
      <c r="L1385">
        <v>367.48320000000001</v>
      </c>
      <c r="M1385">
        <v>0.99988169999999998</v>
      </c>
      <c r="N1385">
        <v>-1.4591990000000001E-2</v>
      </c>
      <c r="O1385">
        <v>4.877246E-3</v>
      </c>
      <c r="P1385">
        <v>0.98796680000000003</v>
      </c>
      <c r="Q1385">
        <v>0.15461250000000001</v>
      </c>
      <c r="R1385">
        <v>4.0672490000000002E-3</v>
      </c>
      <c r="S1385">
        <v>3.0568240000000002</v>
      </c>
      <c r="T1385">
        <v>-0.12868689999999999</v>
      </c>
      <c r="U1385">
        <v>-6.3781740000000003E-2</v>
      </c>
      <c r="V1385">
        <v>7.5866520000000002E-4</v>
      </c>
      <c r="W1385">
        <v>0.16901260000000001</v>
      </c>
      <c r="X1385">
        <v>0.98561359999999998</v>
      </c>
      <c r="Y1385">
        <v>2.570478E-2</v>
      </c>
      <c r="Z1385">
        <v>-8.6251759999999905E-4</v>
      </c>
      <c r="AA1385">
        <v>0.99966920000000004</v>
      </c>
      <c r="AB1385">
        <v>23</v>
      </c>
      <c r="AC1385">
        <v>26.5076</v>
      </c>
      <c r="AD1385">
        <v>-1.1217036650859999</v>
      </c>
      <c r="AE1385">
        <v>-0.55670000000003395</v>
      </c>
      <c r="AF1385">
        <v>0.68476557298063401</v>
      </c>
      <c r="AG1385">
        <v>-1.1217036650859999</v>
      </c>
      <c r="AH1385">
        <v>26.457213962019399</v>
      </c>
      <c r="AI1385">
        <v>92.4268973669122</v>
      </c>
      <c r="AJ1385">
        <v>88.517401712767295</v>
      </c>
      <c r="AK1385">
        <v>26.48983377891</v>
      </c>
      <c r="AL1385">
        <v>80.2695855087686</v>
      </c>
      <c r="AM1385">
        <v>89.955897214244501</v>
      </c>
      <c r="AN1385">
        <v>1.0000000015182999</v>
      </c>
    </row>
    <row r="1386" spans="1:40" x14ac:dyDescent="0.25">
      <c r="A1386" t="str">
        <f>"20190303161903962"</f>
        <v>20190303161903962</v>
      </c>
      <c r="B1386" t="str">
        <f>"1551601143954114"</f>
        <v>1551601143954114</v>
      </c>
      <c r="C1386" t="s">
        <v>40</v>
      </c>
      <c r="D1386">
        <v>4.6207209999999996</v>
      </c>
      <c r="E1386">
        <v>0.51422780000000001</v>
      </c>
      <c r="F1386" t="s">
        <v>41</v>
      </c>
      <c r="G1386">
        <v>-212.2713</v>
      </c>
      <c r="H1386" s="1">
        <v>-3.8638909999999999E-6</v>
      </c>
      <c r="I1386">
        <v>366.42570000000001</v>
      </c>
      <c r="J1386">
        <v>-246.57570000000001</v>
      </c>
      <c r="K1386">
        <v>1.1216999999999999</v>
      </c>
      <c r="L1386">
        <v>367.48379999999997</v>
      </c>
      <c r="M1386">
        <v>0.99988169999999998</v>
      </c>
      <c r="N1386">
        <v>-1.458887E-2</v>
      </c>
      <c r="O1386">
        <v>4.877269E-3</v>
      </c>
      <c r="P1386">
        <v>0.9879348</v>
      </c>
      <c r="Q1386">
        <v>0.15481400000000001</v>
      </c>
      <c r="R1386">
        <v>4.1807040000000004E-3</v>
      </c>
      <c r="S1386">
        <v>3.0524900000000001</v>
      </c>
      <c r="T1386">
        <v>-9.9439379999999994E-2</v>
      </c>
      <c r="U1386">
        <v>-9.375E-2</v>
      </c>
      <c r="V1386">
        <v>6.4512459999999897E-4</v>
      </c>
      <c r="W1386">
        <v>0.16921050000000001</v>
      </c>
      <c r="X1386">
        <v>0.98557969999999895</v>
      </c>
      <c r="Y1386">
        <v>3.5545199999999999E-2</v>
      </c>
      <c r="Z1386">
        <v>-9.2581320000000001E-4</v>
      </c>
      <c r="AA1386">
        <v>0.99936769999999997</v>
      </c>
      <c r="AB1386">
        <v>22</v>
      </c>
      <c r="AC1386">
        <v>34.304400000000001</v>
      </c>
      <c r="AD1386">
        <v>-1.121703863891</v>
      </c>
      <c r="AE1386">
        <v>-1.0580999999999601</v>
      </c>
      <c r="AF1386">
        <v>1.22410943642315</v>
      </c>
      <c r="AG1386">
        <v>-1.121703863891</v>
      </c>
      <c r="AH1386">
        <v>34.262232534017997</v>
      </c>
      <c r="AI1386">
        <v>91.8739296912957</v>
      </c>
      <c r="AJ1386">
        <v>87.953826128028993</v>
      </c>
      <c r="AK1386">
        <v>34.302437838814498</v>
      </c>
      <c r="AL1386">
        <v>80.258080734736396</v>
      </c>
      <c r="AM1386">
        <v>89.962496273450896</v>
      </c>
      <c r="AN1386">
        <v>0.99999997727404399</v>
      </c>
    </row>
    <row r="1387" spans="1:40" x14ac:dyDescent="0.25">
      <c r="A1387" t="str">
        <f>"20190303161903975"</f>
        <v>20190303161903975</v>
      </c>
      <c r="B1387" t="str">
        <f>"1551601143963875"</f>
        <v>1551601143963875</v>
      </c>
      <c r="C1387" t="s">
        <v>40</v>
      </c>
      <c r="D1387">
        <v>4.6974819999999999</v>
      </c>
      <c r="E1387">
        <v>0.51201509999999995</v>
      </c>
      <c r="F1387" t="s">
        <v>41</v>
      </c>
      <c r="G1387">
        <v>-211.9444</v>
      </c>
      <c r="H1387" s="1">
        <v>-4.0036430000000002E-6</v>
      </c>
      <c r="I1387">
        <v>366.42849999999999</v>
      </c>
      <c r="J1387">
        <v>-246.45419999999999</v>
      </c>
      <c r="K1387">
        <v>1.1217010000000001</v>
      </c>
      <c r="L1387">
        <v>367.48439999999999</v>
      </c>
      <c r="M1387">
        <v>0.99988169999999998</v>
      </c>
      <c r="N1387">
        <v>-1.458592E-2</v>
      </c>
      <c r="O1387">
        <v>4.8772909999999997E-3</v>
      </c>
      <c r="P1387">
        <v>0.98791180000000001</v>
      </c>
      <c r="Q1387">
        <v>0.15495619999999999</v>
      </c>
      <c r="R1387">
        <v>4.3594059999999997E-3</v>
      </c>
      <c r="S1387">
        <v>3.052521</v>
      </c>
      <c r="T1387">
        <v>-9.8870520000000003E-2</v>
      </c>
      <c r="U1387">
        <v>-9.3017580000000002E-2</v>
      </c>
      <c r="V1387">
        <v>4.66269E-4</v>
      </c>
      <c r="W1387">
        <v>0.16934959999999999</v>
      </c>
      <c r="X1387">
        <v>0.98555590000000004</v>
      </c>
      <c r="Y1387">
        <v>3.5305820000000002E-2</v>
      </c>
      <c r="Z1387">
        <v>-9.1592989999999999E-4</v>
      </c>
      <c r="AA1387">
        <v>0.99937609999999999</v>
      </c>
      <c r="AB1387">
        <v>22</v>
      </c>
      <c r="AC1387">
        <v>34.509799999999899</v>
      </c>
      <c r="AD1387">
        <v>-1.1217050036430001</v>
      </c>
      <c r="AE1387">
        <v>-1.0559000000000001</v>
      </c>
      <c r="AF1387">
        <v>1.22292886207926</v>
      </c>
      <c r="AG1387">
        <v>-1.1217050036430001</v>
      </c>
      <c r="AH1387">
        <v>34.467857494337402</v>
      </c>
      <c r="AI1387">
        <v>91.862776551611304</v>
      </c>
      <c r="AJ1387">
        <v>87.967982701735906</v>
      </c>
      <c r="AK1387">
        <v>34.507781403139397</v>
      </c>
      <c r="AL1387">
        <v>80.249994097392999</v>
      </c>
      <c r="AM1387">
        <v>89.972893223180293</v>
      </c>
      <c r="AN1387">
        <v>0.999999968225874</v>
      </c>
    </row>
    <row r="1388" spans="1:40" x14ac:dyDescent="0.25">
      <c r="A1388" t="str">
        <f>"20190303161903989"</f>
        <v>20190303161903989</v>
      </c>
      <c r="B1388" t="str">
        <f>"1551601143984369"</f>
        <v>1551601143984369</v>
      </c>
      <c r="C1388" t="s">
        <v>40</v>
      </c>
      <c r="D1388">
        <v>4.8348110000000002</v>
      </c>
      <c r="E1388">
        <v>0.51584969999999997</v>
      </c>
      <c r="F1388" t="s">
        <v>41</v>
      </c>
      <c r="G1388">
        <v>-214.3246</v>
      </c>
      <c r="H1388" s="1">
        <v>-2.9344210000000002E-6</v>
      </c>
      <c r="I1388">
        <v>366.69959999999998</v>
      </c>
      <c r="J1388">
        <v>-246.3202</v>
      </c>
      <c r="K1388">
        <v>1.121702</v>
      </c>
      <c r="L1388">
        <v>367.48509999999999</v>
      </c>
      <c r="M1388">
        <v>0.99988169999999998</v>
      </c>
      <c r="N1388">
        <v>-1.4582680000000001E-2</v>
      </c>
      <c r="O1388">
        <v>4.8771359999999998E-3</v>
      </c>
      <c r="P1388">
        <v>0.98790350000000005</v>
      </c>
      <c r="Q1388">
        <v>0.15501479999999901</v>
      </c>
      <c r="R1388">
        <v>4.118638E-3</v>
      </c>
      <c r="S1388">
        <v>3.0537570000000001</v>
      </c>
      <c r="T1388">
        <v>-0.1066122</v>
      </c>
      <c r="U1388">
        <v>-7.4584960000000006E-2</v>
      </c>
      <c r="V1388">
        <v>7.0678820000000004E-4</v>
      </c>
      <c r="W1388">
        <v>0.16940450000000001</v>
      </c>
      <c r="X1388">
        <v>0.98554640000000004</v>
      </c>
      <c r="Y1388">
        <v>2.926635E-2</v>
      </c>
      <c r="Z1388">
        <v>-8.2325849999999995E-4</v>
      </c>
      <c r="AA1388">
        <v>0.99957130000000005</v>
      </c>
      <c r="AB1388">
        <v>22</v>
      </c>
      <c r="AC1388">
        <v>31.9956</v>
      </c>
      <c r="AD1388">
        <v>-1.1217049344209999</v>
      </c>
      <c r="AE1388">
        <v>-0.78550000000001297</v>
      </c>
      <c r="AF1388">
        <v>0.94039903406638203</v>
      </c>
      <c r="AG1388">
        <v>-1.1217049344209999</v>
      </c>
      <c r="AH1388">
        <v>31.9521402147084</v>
      </c>
      <c r="AI1388">
        <v>92.009718054925699</v>
      </c>
      <c r="AJ1388">
        <v>88.314186593014099</v>
      </c>
      <c r="AK1388">
        <v>31.985650479606601</v>
      </c>
      <c r="AL1388">
        <v>80.246803203500093</v>
      </c>
      <c r="AM1388">
        <v>89.958910129520802</v>
      </c>
      <c r="AN1388">
        <v>1.00000004536138</v>
      </c>
    </row>
    <row r="1389" spans="1:40" x14ac:dyDescent="0.25">
      <c r="A1389" t="str">
        <f>"20190303161904001"</f>
        <v>20190303161904001</v>
      </c>
      <c r="B1389" t="str">
        <f>"1551601143994130"</f>
        <v>1551601143994130</v>
      </c>
      <c r="C1389" t="s">
        <v>40</v>
      </c>
      <c r="D1389">
        <v>4.8360979999999998</v>
      </c>
      <c r="E1389">
        <v>0.51868510000000001</v>
      </c>
      <c r="F1389" t="s">
        <v>41</v>
      </c>
      <c r="G1389">
        <v>-214.71530000000001</v>
      </c>
      <c r="H1389" s="1">
        <v>-2.8212760000000002E-6</v>
      </c>
      <c r="I1389">
        <v>366.39269999999999</v>
      </c>
      <c r="J1389">
        <v>-246.18950000000001</v>
      </c>
      <c r="K1389">
        <v>1.1217029999999999</v>
      </c>
      <c r="L1389">
        <v>367.48570000000001</v>
      </c>
      <c r="M1389">
        <v>0.99988189999999999</v>
      </c>
      <c r="N1389">
        <v>-1.457956E-2</v>
      </c>
      <c r="O1389">
        <v>4.8769800000000004E-3</v>
      </c>
      <c r="P1389">
        <v>0.98786960000000001</v>
      </c>
      <c r="Q1389">
        <v>0.15523290000000001</v>
      </c>
      <c r="R1389">
        <v>4.0829639999999997E-3</v>
      </c>
      <c r="S1389">
        <v>3.0541839999999998</v>
      </c>
      <c r="T1389">
        <v>-0.1083972</v>
      </c>
      <c r="U1389">
        <v>-0.1055603</v>
      </c>
      <c r="V1389">
        <v>7.422339E-4</v>
      </c>
      <c r="W1389">
        <v>0.1696193</v>
      </c>
      <c r="X1389">
        <v>0.98550939999999998</v>
      </c>
      <c r="Y1389">
        <v>3.9380060000000001E-2</v>
      </c>
      <c r="Z1389">
        <v>-1.087614E-3</v>
      </c>
      <c r="AA1389">
        <v>0.99922370000000005</v>
      </c>
      <c r="AB1389">
        <v>22</v>
      </c>
      <c r="AC1389">
        <v>31.4742</v>
      </c>
      <c r="AD1389">
        <v>-1.121705821276</v>
      </c>
      <c r="AE1389">
        <v>-1.09300000000001</v>
      </c>
      <c r="AF1389">
        <v>1.2449230360154999</v>
      </c>
      <c r="AG1389">
        <v>-1.121705821276</v>
      </c>
      <c r="AH1389">
        <v>31.428624116271202</v>
      </c>
      <c r="AI1389">
        <v>92.0424516180247</v>
      </c>
      <c r="AJ1389">
        <v>87.731635828343599</v>
      </c>
      <c r="AK1389">
        <v>31.473265975379</v>
      </c>
      <c r="AL1389">
        <v>80.234315075006606</v>
      </c>
      <c r="AM1389">
        <v>89.956847837432406</v>
      </c>
      <c r="AN1389">
        <v>1.000000017666</v>
      </c>
    </row>
    <row r="1390" spans="1:40" x14ac:dyDescent="0.25">
      <c r="A1390" t="str">
        <f>"20190303161904015"</f>
        <v>20190303161904015</v>
      </c>
      <c r="B1390" t="str">
        <f>"1551601144003789"</f>
        <v>1551601144003789</v>
      </c>
      <c r="C1390" t="s">
        <v>40</v>
      </c>
      <c r="D1390">
        <v>4.7633380000000001</v>
      </c>
      <c r="E1390">
        <v>0.51868510000000001</v>
      </c>
      <c r="F1390" t="s">
        <v>41</v>
      </c>
      <c r="G1390">
        <v>-214.30430000000001</v>
      </c>
      <c r="H1390" s="1">
        <v>-3.0415119999999999E-6</v>
      </c>
      <c r="I1390">
        <v>366.14510000000001</v>
      </c>
      <c r="J1390">
        <v>-246.0598</v>
      </c>
      <c r="K1390">
        <v>1.121705</v>
      </c>
      <c r="L1390">
        <v>367.4864</v>
      </c>
      <c r="M1390">
        <v>0.99988200000000005</v>
      </c>
      <c r="N1390">
        <v>-1.457644E-2</v>
      </c>
      <c r="O1390">
        <v>4.8770020000000001E-3</v>
      </c>
      <c r="P1390">
        <v>0.98788399999999998</v>
      </c>
      <c r="Q1390">
        <v>0.1551517</v>
      </c>
      <c r="R1390">
        <v>3.6735600000000002E-3</v>
      </c>
      <c r="S1390">
        <v>3.0542600000000002</v>
      </c>
      <c r="T1390">
        <v>-0.1074471</v>
      </c>
      <c r="U1390">
        <v>-0.128418</v>
      </c>
      <c r="V1390">
        <v>1.15161E-3</v>
      </c>
      <c r="W1390">
        <v>0.1695352</v>
      </c>
      <c r="X1390">
        <v>0.9855235</v>
      </c>
      <c r="Y1390">
        <v>4.6839159999999998E-2</v>
      </c>
      <c r="Z1390">
        <v>-1.2653600000000001E-3</v>
      </c>
      <c r="AA1390">
        <v>0.9989017</v>
      </c>
      <c r="AB1390">
        <v>22</v>
      </c>
      <c r="AC1390">
        <v>31.755499999999898</v>
      </c>
      <c r="AD1390">
        <v>-1.121708041512</v>
      </c>
      <c r="AE1390">
        <v>-1.34129999999998</v>
      </c>
      <c r="AF1390">
        <v>1.49431093560803</v>
      </c>
      <c r="AG1390">
        <v>-1.121708041512</v>
      </c>
      <c r="AH1390">
        <v>31.709086024767799</v>
      </c>
      <c r="AI1390">
        <v>92.023747718376299</v>
      </c>
      <c r="AJ1390">
        <v>87.301895946465905</v>
      </c>
      <c r="AK1390">
        <v>31.7640886950782</v>
      </c>
      <c r="AL1390">
        <v>80.239204680155694</v>
      </c>
      <c r="AM1390">
        <v>89.933048412733797</v>
      </c>
      <c r="AN1390">
        <v>1.0000000396484401</v>
      </c>
    </row>
    <row r="1391" spans="1:40" x14ac:dyDescent="0.25">
      <c r="A1391" t="str">
        <f>"20190303161904028"</f>
        <v>20190303161904028</v>
      </c>
      <c r="B1391" t="str">
        <f>"1551601144024266"</f>
        <v>1551601144024266</v>
      </c>
      <c r="C1391" t="s">
        <v>40</v>
      </c>
      <c r="D1391">
        <v>4.7486639999999998</v>
      </c>
      <c r="E1391">
        <v>0.55144550000000003</v>
      </c>
      <c r="F1391" t="s">
        <v>41</v>
      </c>
      <c r="G1391">
        <v>-214.2415</v>
      </c>
      <c r="H1391" s="1">
        <v>-3.0701710000000001E-6</v>
      </c>
      <c r="I1391">
        <v>366.1354</v>
      </c>
      <c r="J1391">
        <v>-245.93469999999999</v>
      </c>
      <c r="K1391">
        <v>1.1217060000000001</v>
      </c>
      <c r="L1391">
        <v>367.48689999999999</v>
      </c>
      <c r="M1391">
        <v>0.99988200000000005</v>
      </c>
      <c r="N1391">
        <v>-1.457342E-2</v>
      </c>
      <c r="O1391">
        <v>4.8768459999999998E-3</v>
      </c>
      <c r="P1391">
        <v>0.98792709999999995</v>
      </c>
      <c r="Q1391">
        <v>0.15487770000000001</v>
      </c>
      <c r="R1391">
        <v>3.6600489999999999E-3</v>
      </c>
      <c r="S1391">
        <v>3.0541689999999999</v>
      </c>
      <c r="T1391">
        <v>-0.1076701</v>
      </c>
      <c r="U1391">
        <v>-0.12966920000000001</v>
      </c>
      <c r="V1391">
        <v>1.165169E-3</v>
      </c>
      <c r="W1391">
        <v>0.16925879999999999</v>
      </c>
      <c r="X1391">
        <v>0.98557099999999997</v>
      </c>
      <c r="Y1391">
        <v>4.7248239999999997E-2</v>
      </c>
      <c r="Z1391">
        <v>-1.277577E-3</v>
      </c>
      <c r="AA1391">
        <v>0.99888239999999995</v>
      </c>
      <c r="AB1391">
        <v>22</v>
      </c>
      <c r="AC1391">
        <v>31.693199999999901</v>
      </c>
      <c r="AD1391">
        <v>-1.121709070171</v>
      </c>
      <c r="AE1391">
        <v>-1.3514999999999799</v>
      </c>
      <c r="AF1391">
        <v>1.50418239464662</v>
      </c>
      <c r="AG1391">
        <v>-1.121709070171</v>
      </c>
      <c r="AH1391">
        <v>31.646661170692202</v>
      </c>
      <c r="AI1391">
        <v>92.027699468764098</v>
      </c>
      <c r="AJ1391">
        <v>87.278749570466502</v>
      </c>
      <c r="AK1391">
        <v>31.702239024508501</v>
      </c>
      <c r="AL1391">
        <v>80.255273538142802</v>
      </c>
      <c r="AM1391">
        <v>89.932263393487403</v>
      </c>
      <c r="AN1391">
        <v>1.0000000475186099</v>
      </c>
    </row>
    <row r="1392" spans="1:40" x14ac:dyDescent="0.25">
      <c r="A1392" t="str">
        <f>"20190303161904039"</f>
        <v>20190303161904039</v>
      </c>
      <c r="B1392" t="str">
        <f>"1551601144034026"</f>
        <v>1551601144034026</v>
      </c>
      <c r="C1392" t="s">
        <v>40</v>
      </c>
      <c r="D1392">
        <v>4.7304329999999997</v>
      </c>
      <c r="E1392">
        <v>0.55222190000000004</v>
      </c>
      <c r="F1392" t="s">
        <v>46</v>
      </c>
      <c r="G1392">
        <v>-204.2903</v>
      </c>
      <c r="H1392" s="1">
        <v>-4.2539879999999999E-6</v>
      </c>
      <c r="I1392">
        <v>362.14670000000001</v>
      </c>
      <c r="J1392">
        <v>-245.80869999999999</v>
      </c>
      <c r="K1392">
        <v>1.1216969999999999</v>
      </c>
      <c r="L1392">
        <v>367.48750000000001</v>
      </c>
      <c r="M1392">
        <v>0.99988200000000005</v>
      </c>
      <c r="N1392">
        <v>-1.4570359999999999E-2</v>
      </c>
      <c r="O1392">
        <v>4.8768680000000003E-3</v>
      </c>
      <c r="P1392">
        <v>0.98794340000000003</v>
      </c>
      <c r="Q1392">
        <v>0.15477639999999901</v>
      </c>
      <c r="R1392">
        <v>3.5232689999999999E-3</v>
      </c>
      <c r="S1392">
        <v>3.05098</v>
      </c>
      <c r="T1392">
        <v>-8.2179550000000004E-2</v>
      </c>
      <c r="U1392">
        <v>-0.39123540000000001</v>
      </c>
      <c r="V1392">
        <v>1.3021599999999999E-3</v>
      </c>
      <c r="W1392">
        <v>0.169155</v>
      </c>
      <c r="X1392">
        <v>0.98558860000000004</v>
      </c>
      <c r="Y1392">
        <v>0.13195419999999999</v>
      </c>
      <c r="Z1392">
        <v>-2.7951569999999999E-3</v>
      </c>
      <c r="AA1392">
        <v>0.99125189999999996</v>
      </c>
      <c r="AB1392">
        <v>22</v>
      </c>
      <c r="AC1392">
        <v>41.5183999999999</v>
      </c>
      <c r="AD1392">
        <v>-1.121701253988</v>
      </c>
      <c r="AE1392">
        <v>-5.3407999999999998</v>
      </c>
      <c r="AF1392">
        <v>5.5392603348420097</v>
      </c>
      <c r="AG1392">
        <v>-1.121701253988</v>
      </c>
      <c r="AH1392">
        <v>41.462085794951101</v>
      </c>
      <c r="AI1392">
        <v>91.536041899332403</v>
      </c>
      <c r="AJ1392">
        <v>82.390446072182201</v>
      </c>
      <c r="AK1392">
        <v>41.845503667995601</v>
      </c>
      <c r="AL1392">
        <v>80.261307374589293</v>
      </c>
      <c r="AM1392">
        <v>89.924300840290201</v>
      </c>
      <c r="AN1392">
        <v>0.999999999047812</v>
      </c>
    </row>
    <row r="1393" spans="1:40" x14ac:dyDescent="0.25">
      <c r="A1393" t="str">
        <f>"20190303161904051"</f>
        <v>20190303161904051</v>
      </c>
      <c r="B1393" t="str">
        <f>"1551601144043785"</f>
        <v>1551601144043785</v>
      </c>
      <c r="C1393" t="s">
        <v>40</v>
      </c>
      <c r="D1393">
        <v>4.7392339999999997</v>
      </c>
      <c r="E1393">
        <v>0.55245100000000003</v>
      </c>
      <c r="F1393" t="s">
        <v>46</v>
      </c>
      <c r="G1393">
        <v>-204.3869</v>
      </c>
      <c r="H1393" s="1">
        <v>-4.3159810000000004E-6</v>
      </c>
      <c r="I1393">
        <v>362.08640000000003</v>
      </c>
      <c r="J1393">
        <v>-245.69380000000001</v>
      </c>
      <c r="K1393">
        <v>1.12169599999999</v>
      </c>
      <c r="L1393">
        <v>367.48809999999997</v>
      </c>
      <c r="M1393">
        <v>0.99988200000000005</v>
      </c>
      <c r="N1393">
        <v>-1.456759E-2</v>
      </c>
      <c r="O1393">
        <v>4.8770669999999997E-3</v>
      </c>
      <c r="P1393">
        <v>0.98800589999999999</v>
      </c>
      <c r="Q1393">
        <v>0.15438250000000001</v>
      </c>
      <c r="R1393">
        <v>3.2466299999999999E-3</v>
      </c>
      <c r="S1393">
        <v>3.050964</v>
      </c>
      <c r="T1393">
        <v>-8.2620020000000002E-2</v>
      </c>
      <c r="U1393">
        <v>-0.39782709999999999</v>
      </c>
      <c r="V1393">
        <v>1.5791869999999999E-3</v>
      </c>
      <c r="W1393">
        <v>0.16875879999999999</v>
      </c>
      <c r="X1393">
        <v>0.98565610000000003</v>
      </c>
      <c r="Y1393">
        <v>0.1340594</v>
      </c>
      <c r="Z1393">
        <v>-2.848845E-3</v>
      </c>
      <c r="AA1393">
        <v>0.99096919999999999</v>
      </c>
      <c r="AB1393">
        <v>22</v>
      </c>
      <c r="AC1393">
        <v>41.306899999999999</v>
      </c>
      <c r="AD1393">
        <v>-1.12170031598099</v>
      </c>
      <c r="AE1393">
        <v>-5.4016999999999404</v>
      </c>
      <c r="AF1393">
        <v>5.5990542660024101</v>
      </c>
      <c r="AG1393">
        <v>-1.12170031598099</v>
      </c>
      <c r="AH1393">
        <v>41.250154577124299</v>
      </c>
      <c r="AI1393">
        <v>91.543492623382207</v>
      </c>
      <c r="AJ1393">
        <v>82.270246000319403</v>
      </c>
      <c r="AK1393">
        <v>41.643521379791601</v>
      </c>
      <c r="AL1393">
        <v>80.284338960505707</v>
      </c>
      <c r="AM1393">
        <v>89.908202594452106</v>
      </c>
      <c r="AN1393">
        <v>0.99999998693811498</v>
      </c>
    </row>
    <row r="1394" spans="1:40" x14ac:dyDescent="0.25">
      <c r="A1394" t="str">
        <f>"20190303161904063"</f>
        <v>20190303161904063</v>
      </c>
      <c r="B1394" t="str">
        <f>"1551601144053546"</f>
        <v>1551601144053546</v>
      </c>
      <c r="C1394" t="s">
        <v>40</v>
      </c>
      <c r="D1394">
        <v>4.7314660000000002</v>
      </c>
      <c r="E1394">
        <v>0.55276840000000005</v>
      </c>
      <c r="F1394" t="s">
        <v>46</v>
      </c>
      <c r="G1394">
        <v>-204.3827</v>
      </c>
      <c r="H1394" s="1">
        <v>-4.3192619999999997E-6</v>
      </c>
      <c r="I1394">
        <v>362.06200000000001</v>
      </c>
      <c r="J1394">
        <v>-245.57390000000001</v>
      </c>
      <c r="K1394">
        <v>1.1216930000000001</v>
      </c>
      <c r="L1394">
        <v>367.48869999999999</v>
      </c>
      <c r="M1394">
        <v>0.99988220000000005</v>
      </c>
      <c r="N1394">
        <v>-1.456471E-2</v>
      </c>
      <c r="O1394">
        <v>4.8769089999999996E-3</v>
      </c>
      <c r="P1394">
        <v>0.98799570000000003</v>
      </c>
      <c r="Q1394">
        <v>0.15444739999999901</v>
      </c>
      <c r="R1394">
        <v>3.257509E-3</v>
      </c>
      <c r="S1394">
        <v>3.0506899999999999</v>
      </c>
      <c r="T1394">
        <v>-8.283401E-2</v>
      </c>
      <c r="U1394">
        <v>-0.40069579999999999</v>
      </c>
      <c r="V1394">
        <v>1.5681689999999999E-3</v>
      </c>
      <c r="W1394">
        <v>0.1688209</v>
      </c>
      <c r="X1394">
        <v>0.98564549999999995</v>
      </c>
      <c r="Y1394">
        <v>0.13498579999999999</v>
      </c>
      <c r="Z1394">
        <v>-2.873104E-3</v>
      </c>
      <c r="AA1394">
        <v>0.99084340000000004</v>
      </c>
      <c r="AB1394">
        <v>22</v>
      </c>
      <c r="AC1394">
        <v>41.191200000000002</v>
      </c>
      <c r="AD1394">
        <v>-1.1216973192619999</v>
      </c>
      <c r="AE1394">
        <v>-5.4267000000000296</v>
      </c>
      <c r="AF1394">
        <v>5.6234435216073804</v>
      </c>
      <c r="AG1394">
        <v>-1.1216973192619999</v>
      </c>
      <c r="AH1394">
        <v>41.1342588627883</v>
      </c>
      <c r="AI1394">
        <v>91.547633372594007</v>
      </c>
      <c r="AJ1394">
        <v>82.215380720749096</v>
      </c>
      <c r="AK1394">
        <v>41.532018661601597</v>
      </c>
      <c r="AL1394">
        <v>80.280729261498706</v>
      </c>
      <c r="AM1394">
        <v>89.908842084246999</v>
      </c>
      <c r="AN1394">
        <v>1.0000000035505301</v>
      </c>
    </row>
    <row r="1395" spans="1:40" x14ac:dyDescent="0.25">
      <c r="A1395" t="str">
        <f>"20190303161904075"</f>
        <v>20190303161904075</v>
      </c>
      <c r="B1395" t="str">
        <f>"1551601144064282"</f>
        <v>1551601144064282</v>
      </c>
      <c r="C1395" t="s">
        <v>40</v>
      </c>
      <c r="D1395">
        <v>4.7353009999999998</v>
      </c>
      <c r="E1395">
        <v>0.55283530000000003</v>
      </c>
      <c r="F1395" t="s">
        <v>46</v>
      </c>
      <c r="G1395">
        <v>-204.17590000000001</v>
      </c>
      <c r="H1395" s="1">
        <v>-4.2239429999999996E-6</v>
      </c>
      <c r="I1395">
        <v>362.02269999999999</v>
      </c>
      <c r="J1395">
        <v>-245.4513</v>
      </c>
      <c r="K1395">
        <v>1.1216919999999999</v>
      </c>
      <c r="L1395">
        <v>367.48930000000001</v>
      </c>
      <c r="M1395">
        <v>0.9998823</v>
      </c>
      <c r="N1395">
        <v>-1.456177E-2</v>
      </c>
      <c r="O1395">
        <v>4.8768120000000003E-3</v>
      </c>
      <c r="P1395">
        <v>0.98803929999999995</v>
      </c>
      <c r="Q1395">
        <v>0.15416969999999999</v>
      </c>
      <c r="R1395">
        <v>3.229375E-3</v>
      </c>
      <c r="S1395">
        <v>3.0506899999999999</v>
      </c>
      <c r="T1395">
        <v>-8.2659839999999998E-2</v>
      </c>
      <c r="U1395">
        <v>-0.40280149999999998</v>
      </c>
      <c r="V1395">
        <v>1.596419E-3</v>
      </c>
      <c r="W1395">
        <v>0.1685412</v>
      </c>
      <c r="X1395">
        <v>0.98569329999999999</v>
      </c>
      <c r="Y1395">
        <v>0.1356579</v>
      </c>
      <c r="Z1395">
        <v>-2.882744E-3</v>
      </c>
      <c r="AA1395">
        <v>0.99075159999999995</v>
      </c>
      <c r="AB1395">
        <v>22</v>
      </c>
      <c r="AC1395">
        <v>41.275399999999898</v>
      </c>
      <c r="AD1395">
        <v>-1.1216962239429999</v>
      </c>
      <c r="AE1395">
        <v>-5.4666000000000201</v>
      </c>
      <c r="AF1395">
        <v>5.6637379130026098</v>
      </c>
      <c r="AG1395">
        <v>-1.1216962239429999</v>
      </c>
      <c r="AH1395">
        <v>41.2183304573418</v>
      </c>
      <c r="AI1395">
        <v>91.544331633401598</v>
      </c>
      <c r="AJ1395">
        <v>82.176083911489499</v>
      </c>
      <c r="AK1395">
        <v>41.620750777185897</v>
      </c>
      <c r="AL1395">
        <v>80.296987665872194</v>
      </c>
      <c r="AM1395">
        <v>89.9072044102776</v>
      </c>
      <c r="AN1395">
        <v>0.999999983157976</v>
      </c>
    </row>
    <row r="1396" spans="1:40" x14ac:dyDescent="0.25">
      <c r="A1396" t="str">
        <f>"20190303161904089"</f>
        <v>20190303161904089</v>
      </c>
      <c r="B1396" t="str">
        <f>"1551601144083802"</f>
        <v>1551601144083802</v>
      </c>
      <c r="C1396" t="s">
        <v>40</v>
      </c>
      <c r="D1396">
        <v>4.7493679999999996</v>
      </c>
      <c r="E1396">
        <v>0.55310760000000003</v>
      </c>
      <c r="F1396" t="s">
        <v>46</v>
      </c>
      <c r="G1396">
        <v>-204.05520000000001</v>
      </c>
      <c r="H1396" s="1">
        <v>-4.1646370000000003E-6</v>
      </c>
      <c r="I1396">
        <v>362.01620000000003</v>
      </c>
      <c r="J1396">
        <v>-245.31800000000001</v>
      </c>
      <c r="K1396">
        <v>1.1216870000000001</v>
      </c>
      <c r="L1396">
        <v>367.49</v>
      </c>
      <c r="M1396">
        <v>0.9998821</v>
      </c>
      <c r="N1396">
        <v>-1.455857E-2</v>
      </c>
      <c r="O1396">
        <v>4.8769540000000002E-3</v>
      </c>
      <c r="P1396">
        <v>0.98801859999999997</v>
      </c>
      <c r="Q1396">
        <v>0.1543002</v>
      </c>
      <c r="R1396">
        <v>3.2595050000000002E-3</v>
      </c>
      <c r="S1396">
        <v>3.0505369999999998</v>
      </c>
      <c r="T1396">
        <v>-8.2659360000000001E-2</v>
      </c>
      <c r="U1396">
        <v>-0.40332030000000002</v>
      </c>
      <c r="V1396">
        <v>1.566425E-3</v>
      </c>
      <c r="W1396">
        <v>0.16866809999999999</v>
      </c>
      <c r="X1396">
        <v>0.98567159999999998</v>
      </c>
      <c r="Y1396">
        <v>0.13583000000000001</v>
      </c>
      <c r="Z1396">
        <v>-2.8861989999999999E-3</v>
      </c>
      <c r="AA1396">
        <v>0.99072800000000005</v>
      </c>
      <c r="AB1396">
        <v>22</v>
      </c>
      <c r="AC1396">
        <v>41.262799999999899</v>
      </c>
      <c r="AD1396">
        <v>-1.121691164637</v>
      </c>
      <c r="AE1396">
        <v>-5.4737999999999802</v>
      </c>
      <c r="AF1396">
        <v>5.6708748429957003</v>
      </c>
      <c r="AG1396">
        <v>-1.121691164637</v>
      </c>
      <c r="AH1396">
        <v>41.205687533160102</v>
      </c>
      <c r="AI1396">
        <v>91.544753399722694</v>
      </c>
      <c r="AJ1396">
        <v>82.1639735471487</v>
      </c>
      <c r="AK1396">
        <v>41.609202078797097</v>
      </c>
      <c r="AL1396">
        <v>80.289610828320704</v>
      </c>
      <c r="AM1396">
        <v>89.908945874195297</v>
      </c>
      <c r="AN1396">
        <v>0.99999994234572298</v>
      </c>
    </row>
    <row r="1397" spans="1:40" x14ac:dyDescent="0.25">
      <c r="A1397" t="str">
        <f>"20190303161904103"</f>
        <v>20190303161904103</v>
      </c>
      <c r="B1397" t="str">
        <f>"1551601144094538"</f>
        <v>1551601144094538</v>
      </c>
      <c r="C1397" t="s">
        <v>40</v>
      </c>
      <c r="D1397">
        <v>4.7599790000000004</v>
      </c>
      <c r="E1397">
        <v>0.55312859999999997</v>
      </c>
      <c r="F1397" t="s">
        <v>46</v>
      </c>
      <c r="G1397">
        <v>-203.7235</v>
      </c>
      <c r="H1397" s="1">
        <v>-4.0099280000000003E-6</v>
      </c>
      <c r="I1397">
        <v>361.96109999999999</v>
      </c>
      <c r="J1397">
        <v>-245.1747</v>
      </c>
      <c r="K1397">
        <v>1.121686</v>
      </c>
      <c r="L1397">
        <v>367.4907</v>
      </c>
      <c r="M1397">
        <v>0.9998823</v>
      </c>
      <c r="N1397">
        <v>-1.4555159999999999E-2</v>
      </c>
      <c r="O1397">
        <v>4.8768600000000002E-3</v>
      </c>
      <c r="P1397">
        <v>0.98805580000000004</v>
      </c>
      <c r="Q1397">
        <v>0.15405920000000001</v>
      </c>
      <c r="R1397">
        <v>3.412754E-3</v>
      </c>
      <c r="S1397">
        <v>3.0505369999999998</v>
      </c>
      <c r="T1397">
        <v>-8.2264660000000003E-2</v>
      </c>
      <c r="U1397">
        <v>-0.40548709999999999</v>
      </c>
      <c r="V1397">
        <v>1.413114E-3</v>
      </c>
      <c r="W1397">
        <v>0.16842460000000001</v>
      </c>
      <c r="X1397">
        <v>0.98571350000000002</v>
      </c>
      <c r="Y1397">
        <v>0.13652159999999999</v>
      </c>
      <c r="Z1397">
        <v>-2.890905E-3</v>
      </c>
      <c r="AA1397">
        <v>0.99063290000000004</v>
      </c>
      <c r="AB1397">
        <v>22</v>
      </c>
      <c r="AC1397">
        <v>41.4512</v>
      </c>
      <c r="AD1397">
        <v>-1.1216900099280001</v>
      </c>
      <c r="AE1397">
        <v>-5.5296000000000101</v>
      </c>
      <c r="AF1397">
        <v>5.7275865090892903</v>
      </c>
      <c r="AG1397">
        <v>-1.1216900099280001</v>
      </c>
      <c r="AH1397">
        <v>41.393955434300203</v>
      </c>
      <c r="AI1397">
        <v>91.537574487607799</v>
      </c>
      <c r="AJ1397">
        <v>82.122136022096697</v>
      </c>
      <c r="AK1397">
        <v>41.803384817431997</v>
      </c>
      <c r="AL1397">
        <v>80.303765146963997</v>
      </c>
      <c r="AM1397">
        <v>89.917861110044299</v>
      </c>
      <c r="AN1397">
        <v>0.99999997342929303</v>
      </c>
    </row>
    <row r="1398" spans="1:40" x14ac:dyDescent="0.25">
      <c r="A1398" t="str">
        <f>"20190303161904119"</f>
        <v>20190303161904119</v>
      </c>
      <c r="B1398" t="str">
        <f>"1551601144115034"</f>
        <v>1551601144115034</v>
      </c>
      <c r="C1398" t="s">
        <v>40</v>
      </c>
      <c r="D1398">
        <v>4.7568760000000001</v>
      </c>
      <c r="E1398">
        <v>0.55314359999999996</v>
      </c>
      <c r="F1398" t="s">
        <v>46</v>
      </c>
      <c r="G1398">
        <v>-204.38220000000001</v>
      </c>
      <c r="H1398" s="1">
        <v>-4.315077E-6</v>
      </c>
      <c r="I1398">
        <v>362.07979999999998</v>
      </c>
      <c r="J1398">
        <v>-245.0292</v>
      </c>
      <c r="K1398">
        <v>1.121686</v>
      </c>
      <c r="L1398">
        <v>367.4914</v>
      </c>
      <c r="M1398">
        <v>0.9998823</v>
      </c>
      <c r="N1398">
        <v>-1.4551659999999999E-2</v>
      </c>
      <c r="O1398">
        <v>4.8768860000000004E-3</v>
      </c>
      <c r="P1398">
        <v>0.98805100000000001</v>
      </c>
      <c r="Q1398">
        <v>0.15409510000000001</v>
      </c>
      <c r="R1398">
        <v>3.1371070000000001E-3</v>
      </c>
      <c r="S1398">
        <v>3.050751</v>
      </c>
      <c r="T1398">
        <v>-8.3887820000000002E-2</v>
      </c>
      <c r="U1398">
        <v>-0.4046631</v>
      </c>
      <c r="V1398">
        <v>1.6888280000000001E-3</v>
      </c>
      <c r="W1398">
        <v>0.16845660000000001</v>
      </c>
      <c r="X1398">
        <v>0.98570760000000002</v>
      </c>
      <c r="Y1398">
        <v>0.13624739999999999</v>
      </c>
      <c r="Z1398">
        <v>-2.9235350000000001E-3</v>
      </c>
      <c r="AA1398">
        <v>0.99067059999999996</v>
      </c>
      <c r="AB1398">
        <v>22</v>
      </c>
      <c r="AC1398">
        <v>40.646999999999899</v>
      </c>
      <c r="AD1398">
        <v>-1.1216903150769999</v>
      </c>
      <c r="AE1398">
        <v>-5.4116000000000204</v>
      </c>
      <c r="AF1398">
        <v>5.6055928955464696</v>
      </c>
      <c r="AG1398">
        <v>-1.1216903150769999</v>
      </c>
      <c r="AH1398">
        <v>40.589749877328202</v>
      </c>
      <c r="AI1398">
        <v>91.568079981636401</v>
      </c>
      <c r="AJ1398">
        <v>82.136981036356104</v>
      </c>
      <c r="AK1398">
        <v>40.990348327107498</v>
      </c>
      <c r="AL1398">
        <v>80.301905125224195</v>
      </c>
      <c r="AM1398">
        <v>89.9018343552966</v>
      </c>
      <c r="AN1398">
        <v>0.99999997546066599</v>
      </c>
    </row>
    <row r="1399" spans="1:40" x14ac:dyDescent="0.25">
      <c r="A1399" t="str">
        <f>"20190303161904132"</f>
        <v>20190303161904132</v>
      </c>
      <c r="B1399" t="str">
        <f>"1551601144123817"</f>
        <v>1551601144123817</v>
      </c>
      <c r="C1399" t="s">
        <v>40</v>
      </c>
      <c r="D1399">
        <v>4.7657590000000001</v>
      </c>
      <c r="E1399">
        <v>0.55311919999999903</v>
      </c>
      <c r="F1399" t="s">
        <v>46</v>
      </c>
      <c r="G1399">
        <v>-203.75479999999999</v>
      </c>
      <c r="H1399" s="1">
        <v>-4.0159339999999996E-6</v>
      </c>
      <c r="I1399">
        <v>362.00490000000002</v>
      </c>
      <c r="J1399">
        <v>-244.89250000000001</v>
      </c>
      <c r="K1399">
        <v>1.121685</v>
      </c>
      <c r="L1399">
        <v>367.49200000000002</v>
      </c>
      <c r="M1399">
        <v>0.9998823</v>
      </c>
      <c r="N1399">
        <v>-1.454839E-2</v>
      </c>
      <c r="O1399">
        <v>4.8767309999999996E-3</v>
      </c>
      <c r="P1399">
        <v>0.98807160000000005</v>
      </c>
      <c r="Q1399">
        <v>0.15396750000000001</v>
      </c>
      <c r="R1399">
        <v>2.961511E-3</v>
      </c>
      <c r="S1399">
        <v>3.0504910000000001</v>
      </c>
      <c r="T1399">
        <v>-8.2901359999999993E-2</v>
      </c>
      <c r="U1399">
        <v>-0.40548709999999999</v>
      </c>
      <c r="V1399">
        <v>1.8643189999999999E-3</v>
      </c>
      <c r="W1399">
        <v>0.1683259</v>
      </c>
      <c r="X1399">
        <v>0.98572959999999998</v>
      </c>
      <c r="Y1399">
        <v>0.13652249999999999</v>
      </c>
      <c r="Z1399">
        <v>-2.9057129999999999E-3</v>
      </c>
      <c r="AA1399">
        <v>0.99063270000000003</v>
      </c>
      <c r="AB1399">
        <v>22</v>
      </c>
      <c r="AC1399">
        <v>41.137700000000002</v>
      </c>
      <c r="AD1399">
        <v>-1.1216890159340001</v>
      </c>
      <c r="AE1399">
        <v>-5.4870999999999404</v>
      </c>
      <c r="AF1399">
        <v>5.6835217844047197</v>
      </c>
      <c r="AG1399">
        <v>-1.1216890159340001</v>
      </c>
      <c r="AH1399">
        <v>41.080440478073498</v>
      </c>
      <c r="AI1399">
        <v>91.549305278261002</v>
      </c>
      <c r="AJ1399">
        <v>82.123072612946004</v>
      </c>
      <c r="AK1399">
        <v>41.486903909484603</v>
      </c>
      <c r="AL1399">
        <v>80.309502058628297</v>
      </c>
      <c r="AM1399">
        <v>89.891636121100106</v>
      </c>
      <c r="AN1399">
        <v>0.99999996430615101</v>
      </c>
    </row>
    <row r="1400" spans="1:40" x14ac:dyDescent="0.25">
      <c r="A1400" t="str">
        <f>"20190303161904144"</f>
        <v>20190303161904144</v>
      </c>
      <c r="B1400" t="str">
        <f>"1551601144133578"</f>
        <v>1551601144133578</v>
      </c>
      <c r="C1400" t="s">
        <v>40</v>
      </c>
      <c r="D1400">
        <v>4.7782309999999999</v>
      </c>
      <c r="E1400">
        <v>0.55318940000000005</v>
      </c>
      <c r="F1400" t="s">
        <v>46</v>
      </c>
      <c r="G1400">
        <v>-205.66200000000001</v>
      </c>
      <c r="H1400" s="1">
        <v>-4.8899800000000001E-6</v>
      </c>
      <c r="I1400">
        <v>362.27980000000002</v>
      </c>
      <c r="J1400">
        <v>-244.77260000000001</v>
      </c>
      <c r="K1400">
        <v>1.1216870000000001</v>
      </c>
      <c r="L1400">
        <v>367.49259999999998</v>
      </c>
      <c r="M1400">
        <v>0.99988239999999995</v>
      </c>
      <c r="N1400">
        <v>-1.4545509999999999E-2</v>
      </c>
      <c r="O1400">
        <v>4.8767519999999998E-3</v>
      </c>
      <c r="P1400">
        <v>0.98803920000000001</v>
      </c>
      <c r="Q1400">
        <v>0.15418309999999999</v>
      </c>
      <c r="R1400">
        <v>2.51294E-3</v>
      </c>
      <c r="S1400">
        <v>3.0510250000000001</v>
      </c>
      <c r="T1400">
        <v>-8.7235690000000005E-2</v>
      </c>
      <c r="U1400">
        <v>-0.40536499999999998</v>
      </c>
      <c r="V1400">
        <v>2.312765E-3</v>
      </c>
      <c r="W1400">
        <v>0.1685384</v>
      </c>
      <c r="X1400">
        <v>0.98569240000000002</v>
      </c>
      <c r="Y1400">
        <v>0.13645409999999999</v>
      </c>
      <c r="Z1400">
        <v>-3.007128E-3</v>
      </c>
      <c r="AA1400">
        <v>0.99064180000000002</v>
      </c>
      <c r="AB1400">
        <v>22</v>
      </c>
      <c r="AC1400">
        <v>39.110599999999998</v>
      </c>
      <c r="AD1400">
        <v>-1.1216918899799999</v>
      </c>
      <c r="AE1400">
        <v>-5.2127999999999499</v>
      </c>
      <c r="AF1400">
        <v>5.3991273651040999</v>
      </c>
      <c r="AG1400">
        <v>-1.1216918899799999</v>
      </c>
      <c r="AH1400">
        <v>39.053148423367702</v>
      </c>
      <c r="AI1400">
        <v>91.629715464586695</v>
      </c>
      <c r="AJ1400">
        <v>82.128710686152004</v>
      </c>
      <c r="AK1400">
        <v>39.440552364010401</v>
      </c>
      <c r="AL1400">
        <v>80.297150825242198</v>
      </c>
      <c r="AM1400">
        <v>89.865565129309402</v>
      </c>
      <c r="AN1400">
        <v>1.0000000242871301</v>
      </c>
    </row>
    <row r="1401" spans="1:40" x14ac:dyDescent="0.25">
      <c r="A1401" t="str">
        <f>"20190303161904160"</f>
        <v>20190303161904160</v>
      </c>
      <c r="B1401" t="str">
        <f>"1551601144154074"</f>
        <v>1551601144154074</v>
      </c>
      <c r="C1401" t="s">
        <v>40</v>
      </c>
      <c r="D1401">
        <v>4.7939800000000004</v>
      </c>
      <c r="E1401">
        <v>0.55320469999999999</v>
      </c>
      <c r="F1401" t="s">
        <v>46</v>
      </c>
      <c r="G1401">
        <v>-206.21530000000001</v>
      </c>
      <c r="H1401" s="1">
        <v>-5.1335150000000003E-6</v>
      </c>
      <c r="I1401">
        <v>362.34390000000002</v>
      </c>
      <c r="J1401">
        <v>-244.62110000000001</v>
      </c>
      <c r="K1401">
        <v>1.121688</v>
      </c>
      <c r="L1401">
        <v>367.49329999999998</v>
      </c>
      <c r="M1401">
        <v>0.99988250000000001</v>
      </c>
      <c r="N1401">
        <v>-1.454183E-2</v>
      </c>
      <c r="O1401">
        <v>4.8766010000000004E-3</v>
      </c>
      <c r="P1401">
        <v>0.98806590000000005</v>
      </c>
      <c r="Q1401">
        <v>0.15401960000000001</v>
      </c>
      <c r="R1401">
        <v>2.0055569999999998E-3</v>
      </c>
      <c r="S1401">
        <v>3.0512239999999999</v>
      </c>
      <c r="T1401">
        <v>-8.8764789999999996E-2</v>
      </c>
      <c r="U1401">
        <v>-0.40744019999999997</v>
      </c>
      <c r="V1401">
        <v>2.8200349999999998E-3</v>
      </c>
      <c r="W1401">
        <v>0.16837149999999901</v>
      </c>
      <c r="X1401">
        <v>0.98571960000000003</v>
      </c>
      <c r="Y1401">
        <v>0.1371047</v>
      </c>
      <c r="Z1401">
        <v>-3.057344E-3</v>
      </c>
      <c r="AA1401">
        <v>0.99055179999999998</v>
      </c>
      <c r="AB1401">
        <v>22</v>
      </c>
      <c r="AC1401">
        <v>38.405799999999999</v>
      </c>
      <c r="AD1401">
        <v>-1.121693133515</v>
      </c>
      <c r="AE1401">
        <v>-5.1493999999999502</v>
      </c>
      <c r="AF1401">
        <v>5.33218021751438</v>
      </c>
      <c r="AG1401">
        <v>-1.121693133515</v>
      </c>
      <c r="AH1401">
        <v>38.348095344217597</v>
      </c>
      <c r="AI1401">
        <v>91.659484393673594</v>
      </c>
      <c r="AJ1401">
        <v>82.083960673668699</v>
      </c>
      <c r="AK1401">
        <v>38.733277138489498</v>
      </c>
      <c r="AL1401">
        <v>80.306852108250098</v>
      </c>
      <c r="AM1401">
        <v>89.8360835446869</v>
      </c>
      <c r="AN1401">
        <v>1.0000000222169001</v>
      </c>
    </row>
    <row r="1402" spans="1:40" x14ac:dyDescent="0.25">
      <c r="A1402" t="str">
        <f>"20190303161904172"</f>
        <v>20190303161904172</v>
      </c>
      <c r="B1402" t="str">
        <f>"1551601144163834"</f>
        <v>1551601144163834</v>
      </c>
      <c r="C1402" t="s">
        <v>40</v>
      </c>
      <c r="D1402">
        <v>4.8037359999999998</v>
      </c>
      <c r="E1402">
        <v>0.55326769999999903</v>
      </c>
      <c r="F1402" t="s">
        <v>46</v>
      </c>
      <c r="G1402">
        <v>-208.18170000000001</v>
      </c>
      <c r="H1402" s="1">
        <v>-5.7704970000000002E-6</v>
      </c>
      <c r="I1402">
        <v>362.61149999999998</v>
      </c>
      <c r="J1402">
        <v>-244.50059999999999</v>
      </c>
      <c r="K1402">
        <v>1.1216950000000001</v>
      </c>
      <c r="L1402">
        <v>367.4939</v>
      </c>
      <c r="M1402">
        <v>0.99988250000000001</v>
      </c>
      <c r="N1402">
        <v>-1.453892E-2</v>
      </c>
      <c r="O1402">
        <v>4.8766219999999997E-3</v>
      </c>
      <c r="P1402">
        <v>0.9880255</v>
      </c>
      <c r="Q1402">
        <v>0.1542828</v>
      </c>
      <c r="R1402">
        <v>1.59673E-3</v>
      </c>
      <c r="S1402">
        <v>3.0517120000000002</v>
      </c>
      <c r="T1402">
        <v>-9.393907E-2</v>
      </c>
      <c r="U1402">
        <v>-0.40884399999999999</v>
      </c>
      <c r="V1402">
        <v>3.2287430000000001E-3</v>
      </c>
      <c r="W1402">
        <v>0.16863139999999999</v>
      </c>
      <c r="X1402">
        <v>0.98567389999999999</v>
      </c>
      <c r="Y1402">
        <v>0.1375227</v>
      </c>
      <c r="Z1402">
        <v>-3.190142E-3</v>
      </c>
      <c r="AA1402">
        <v>0.99049350000000003</v>
      </c>
      <c r="AB1402">
        <v>22</v>
      </c>
      <c r="AC1402">
        <v>36.3188999999999</v>
      </c>
      <c r="AD1402">
        <v>-1.1217007704969999</v>
      </c>
      <c r="AE1402">
        <v>-4.8824000000000103</v>
      </c>
      <c r="AF1402">
        <v>5.0547382156544396</v>
      </c>
      <c r="AG1402">
        <v>-1.1217007704969999</v>
      </c>
      <c r="AH1402">
        <v>36.260681950123299</v>
      </c>
      <c r="AI1402">
        <v>91.754884920839601</v>
      </c>
      <c r="AJ1402">
        <v>82.064110316373402</v>
      </c>
      <c r="AK1402">
        <v>36.628481357207903</v>
      </c>
      <c r="AL1402">
        <v>80.291744760030596</v>
      </c>
      <c r="AM1402">
        <v>89.812318571714201</v>
      </c>
      <c r="AN1402">
        <v>1.0000000054942599</v>
      </c>
    </row>
    <row r="1403" spans="1:40" x14ac:dyDescent="0.25">
      <c r="A1403" t="str">
        <f>"20190303161904184"</f>
        <v>20190303161904184</v>
      </c>
      <c r="B1403" t="str">
        <f>"1551601144173594"</f>
        <v>1551601144173594</v>
      </c>
      <c r="C1403" t="s">
        <v>40</v>
      </c>
      <c r="D1403">
        <v>4.8227520000000004</v>
      </c>
      <c r="E1403">
        <v>0.55332619999999999</v>
      </c>
      <c r="F1403" t="s">
        <v>46</v>
      </c>
      <c r="G1403">
        <v>-208.3578</v>
      </c>
      <c r="H1403" s="1">
        <v>-5.82611499999999E-6</v>
      </c>
      <c r="I1403">
        <v>362.63279999999997</v>
      </c>
      <c r="J1403">
        <v>-244.38130000000001</v>
      </c>
      <c r="K1403">
        <v>1.12169599999999</v>
      </c>
      <c r="L1403">
        <v>367.49450000000002</v>
      </c>
      <c r="M1403">
        <v>0.99988250000000001</v>
      </c>
      <c r="N1403">
        <v>-1.453605E-2</v>
      </c>
      <c r="O1403">
        <v>4.876643E-3</v>
      </c>
      <c r="P1403">
        <v>0.98801360000000005</v>
      </c>
      <c r="Q1403">
        <v>0.15436420000000001</v>
      </c>
      <c r="R1403">
        <v>1.204285E-3</v>
      </c>
      <c r="S1403">
        <v>3.0518339999999999</v>
      </c>
      <c r="T1403">
        <v>-9.4714400000000004E-2</v>
      </c>
      <c r="U1403">
        <v>-0.41046139999999998</v>
      </c>
      <c r="V1403">
        <v>3.6210130000000002E-3</v>
      </c>
      <c r="W1403">
        <v>0.16870950000000001</v>
      </c>
      <c r="X1403">
        <v>0.98565919999999896</v>
      </c>
      <c r="Y1403">
        <v>0.1380315</v>
      </c>
      <c r="Z1403">
        <v>-3.2200179999999998E-3</v>
      </c>
      <c r="AA1403">
        <v>0.99042260000000004</v>
      </c>
      <c r="AB1403">
        <v>22</v>
      </c>
      <c r="AC1403">
        <v>36.023499999999999</v>
      </c>
      <c r="AD1403">
        <v>-1.12170182611499</v>
      </c>
      <c r="AE1403">
        <v>-4.8617000000000399</v>
      </c>
      <c r="AF1403">
        <v>5.0325423201185897</v>
      </c>
      <c r="AG1403">
        <v>-1.12170182611499</v>
      </c>
      <c r="AH1403">
        <v>35.965113050739703</v>
      </c>
      <c r="AI1403">
        <v>91.769171466766295</v>
      </c>
      <c r="AJ1403">
        <v>82.0344106697532</v>
      </c>
      <c r="AK1403">
        <v>36.332823368725201</v>
      </c>
      <c r="AL1403">
        <v>80.287205183178898</v>
      </c>
      <c r="AM1403">
        <v>89.789513627901499</v>
      </c>
      <c r="AN1403">
        <v>1.00000003283501</v>
      </c>
    </row>
    <row r="1404" spans="1:40" x14ac:dyDescent="0.25">
      <c r="A1404" t="str">
        <f>"20190303161904196"</f>
        <v>20190303161904196</v>
      </c>
      <c r="B1404" t="str">
        <f>"1551601144184330"</f>
        <v>1551601144184330</v>
      </c>
      <c r="C1404" t="s">
        <v>40</v>
      </c>
      <c r="D1404">
        <v>4.8318510000000003</v>
      </c>
      <c r="E1404">
        <v>0.55342170000000002</v>
      </c>
      <c r="F1404" t="s">
        <v>46</v>
      </c>
      <c r="G1404">
        <v>-208.6782</v>
      </c>
      <c r="H1404" s="1">
        <v>-5.9265849999999999E-6</v>
      </c>
      <c r="I1404">
        <v>362.67619999999999</v>
      </c>
      <c r="J1404">
        <v>-244.27359999999999</v>
      </c>
      <c r="K1404">
        <v>1.1216980000000001</v>
      </c>
      <c r="L1404">
        <v>367.495</v>
      </c>
      <c r="M1404">
        <v>0.99988250000000001</v>
      </c>
      <c r="N1404">
        <v>-1.453341E-2</v>
      </c>
      <c r="O1404">
        <v>4.8766620000000004E-3</v>
      </c>
      <c r="P1404">
        <v>0.98797889999999999</v>
      </c>
      <c r="Q1404">
        <v>0.15458669999999999</v>
      </c>
      <c r="R1404">
        <v>9.0300199999999997E-4</v>
      </c>
      <c r="S1404">
        <v>3.0518800000000001</v>
      </c>
      <c r="T1404">
        <v>-9.5882419999999996E-2</v>
      </c>
      <c r="U1404">
        <v>-0.41186519999999999</v>
      </c>
      <c r="V1404">
        <v>3.9221819999999998E-3</v>
      </c>
      <c r="W1404">
        <v>0.168929</v>
      </c>
      <c r="X1404">
        <v>0.98562039999999995</v>
      </c>
      <c r="Y1404">
        <v>0.1384746</v>
      </c>
      <c r="Z1404">
        <v>-3.25808E-3</v>
      </c>
      <c r="AA1404">
        <v>0.99036060000000004</v>
      </c>
      <c r="AB1404">
        <v>22</v>
      </c>
      <c r="AC1404">
        <v>35.595399999999898</v>
      </c>
      <c r="AD1404">
        <v>-1.121703926585</v>
      </c>
      <c r="AE1404">
        <v>-4.8188000000000004</v>
      </c>
      <c r="AF1404">
        <v>4.9874840983692197</v>
      </c>
      <c r="AG1404">
        <v>-1.121703926585</v>
      </c>
      <c r="AH1404">
        <v>35.536819972171898</v>
      </c>
      <c r="AI1404">
        <v>91.790380326078804</v>
      </c>
      <c r="AJ1404">
        <v>82.010894210725098</v>
      </c>
      <c r="AK1404">
        <v>35.902629305734102</v>
      </c>
      <c r="AL1404">
        <v>80.2744451204249</v>
      </c>
      <c r="AM1404">
        <v>89.771998135516</v>
      </c>
      <c r="AN1404">
        <v>0.99999998172439997</v>
      </c>
    </row>
    <row r="1405" spans="1:40" x14ac:dyDescent="0.25">
      <c r="A1405" t="str">
        <f>"20190303161904207"</f>
        <v>20190303161904207</v>
      </c>
      <c r="B1405" t="str">
        <f>"1551601144194090"</f>
        <v>1551601144194090</v>
      </c>
      <c r="C1405" t="s">
        <v>40</v>
      </c>
      <c r="D1405">
        <v>4.8260389999999997</v>
      </c>
      <c r="E1405">
        <v>0.5534173</v>
      </c>
      <c r="F1405" t="s">
        <v>46</v>
      </c>
      <c r="G1405">
        <v>-208.51009999999999</v>
      </c>
      <c r="H1405" s="1">
        <v>-5.8741899999999997E-6</v>
      </c>
      <c r="I1405">
        <v>362.65140000000002</v>
      </c>
      <c r="J1405">
        <v>-244.16229999999999</v>
      </c>
      <c r="K1405">
        <v>1.121705</v>
      </c>
      <c r="L1405">
        <v>367.49549999999999</v>
      </c>
      <c r="M1405">
        <v>0.99988250000000001</v>
      </c>
      <c r="N1405">
        <v>-1.4530690000000001E-2</v>
      </c>
      <c r="O1405">
        <v>4.8765029999999999E-3</v>
      </c>
      <c r="P1405">
        <v>0.98794249999999995</v>
      </c>
      <c r="Q1405">
        <v>0.15482019999999999</v>
      </c>
      <c r="R1405">
        <v>4.8113710000000001E-4</v>
      </c>
      <c r="S1405">
        <v>3.0518649999999998</v>
      </c>
      <c r="T1405">
        <v>-9.5720169999999993E-2</v>
      </c>
      <c r="U1405">
        <v>-0.41333009999999898</v>
      </c>
      <c r="V1405">
        <v>4.3439919999999996E-3</v>
      </c>
      <c r="W1405">
        <v>0.16915920000000001</v>
      </c>
      <c r="X1405">
        <v>0.98557910000000004</v>
      </c>
      <c r="Y1405">
        <v>0.13894189999999901</v>
      </c>
      <c r="Z1405">
        <v>-3.2646580000000001E-3</v>
      </c>
      <c r="AA1405">
        <v>0.99029520000000004</v>
      </c>
      <c r="AB1405">
        <v>22</v>
      </c>
      <c r="AC1405">
        <v>35.652199999999901</v>
      </c>
      <c r="AD1405">
        <v>-1.1217108741899999</v>
      </c>
      <c r="AE1405">
        <v>-4.8440999999999601</v>
      </c>
      <c r="AF1405">
        <v>5.0130463730837604</v>
      </c>
      <c r="AG1405">
        <v>-1.1217108741899999</v>
      </c>
      <c r="AH1405">
        <v>35.593556007019998</v>
      </c>
      <c r="AI1405">
        <v>91.787417607621506</v>
      </c>
      <c r="AJ1405">
        <v>81.983112955470901</v>
      </c>
      <c r="AK1405">
        <v>35.962342783095202</v>
      </c>
      <c r="AL1405">
        <v>80.261062571944393</v>
      </c>
      <c r="AM1405">
        <v>89.747467457302207</v>
      </c>
      <c r="AN1405">
        <v>0.99999993378397001</v>
      </c>
    </row>
    <row r="1406" spans="1:40" x14ac:dyDescent="0.25">
      <c r="A1406" t="str">
        <f>"20190303161904218"</f>
        <v>20190303161904218</v>
      </c>
      <c r="B1406" t="str">
        <f>"1551601144213610"</f>
        <v>1551601144213610</v>
      </c>
      <c r="C1406" t="s">
        <v>40</v>
      </c>
      <c r="D1406">
        <v>4.8531360000000001</v>
      </c>
      <c r="E1406">
        <v>0.55343880000000001</v>
      </c>
      <c r="F1406" t="s">
        <v>46</v>
      </c>
      <c r="G1406">
        <v>-208.70650000000001</v>
      </c>
      <c r="H1406" s="1">
        <v>-5.9355049999999997E-6</v>
      </c>
      <c r="I1406">
        <v>362.67989999999998</v>
      </c>
      <c r="J1406">
        <v>-244.05240000000001</v>
      </c>
      <c r="K1406">
        <v>1.1217079999999999</v>
      </c>
      <c r="L1406">
        <v>367.49610000000001</v>
      </c>
      <c r="M1406">
        <v>0.99988259999999995</v>
      </c>
      <c r="N1406">
        <v>-1.4528050000000001E-2</v>
      </c>
      <c r="O1406">
        <v>4.8765229999999998E-3</v>
      </c>
      <c r="P1406">
        <v>0.98788670000000001</v>
      </c>
      <c r="Q1406">
        <v>0.1551767</v>
      </c>
      <c r="R1406">
        <v>2.4261230000000001E-4</v>
      </c>
      <c r="S1406">
        <v>3.0519409999999998</v>
      </c>
      <c r="T1406">
        <v>-9.6553920000000001E-2</v>
      </c>
      <c r="U1406">
        <v>-0.41452030000000001</v>
      </c>
      <c r="V1406">
        <v>4.5820720000000004E-3</v>
      </c>
      <c r="W1406">
        <v>0.1695122</v>
      </c>
      <c r="X1406">
        <v>0.98551739999999999</v>
      </c>
      <c r="Y1406">
        <v>0.1393161</v>
      </c>
      <c r="Z1406">
        <v>-3.2932270000000001E-3</v>
      </c>
      <c r="AA1406">
        <v>0.99024250000000003</v>
      </c>
      <c r="AB1406">
        <v>22</v>
      </c>
      <c r="AC1406">
        <v>35.3459</v>
      </c>
      <c r="AD1406">
        <v>-1.1217139355050001</v>
      </c>
      <c r="AE1406">
        <v>-4.8162000000000296</v>
      </c>
      <c r="AF1406">
        <v>4.9835983549392999</v>
      </c>
      <c r="AG1406">
        <v>-1.1217139355050001</v>
      </c>
      <c r="AH1406">
        <v>35.2870999065481</v>
      </c>
      <c r="AI1406">
        <v>91.802838592816101</v>
      </c>
      <c r="AJ1406">
        <v>81.961280269513907</v>
      </c>
      <c r="AK1406">
        <v>35.6549283343995</v>
      </c>
      <c r="AL1406">
        <v>80.240541086624205</v>
      </c>
      <c r="AM1406">
        <v>89.733610491988898</v>
      </c>
      <c r="AN1406">
        <v>0.99999996351770504</v>
      </c>
    </row>
    <row r="1407" spans="1:40" x14ac:dyDescent="0.25">
      <c r="A1407" t="str">
        <f>"20190303161904230"</f>
        <v>20190303161904230</v>
      </c>
      <c r="B1407" t="str">
        <f>"1551601144224346"</f>
        <v>1551601144224346</v>
      </c>
      <c r="C1407" t="s">
        <v>40</v>
      </c>
      <c r="D1407">
        <v>4.8240410000000002</v>
      </c>
      <c r="E1407">
        <v>0.55344689999999996</v>
      </c>
      <c r="F1407" t="s">
        <v>46</v>
      </c>
      <c r="G1407">
        <v>-208.9032</v>
      </c>
      <c r="H1407" s="1">
        <v>-5.9959340000000001E-6</v>
      </c>
      <c r="I1407">
        <v>362.71440000000001</v>
      </c>
      <c r="J1407">
        <v>-243.9374</v>
      </c>
      <c r="K1407">
        <v>1.12171</v>
      </c>
      <c r="L1407">
        <v>367.4966</v>
      </c>
      <c r="M1407">
        <v>0.99988270000000001</v>
      </c>
      <c r="N1407">
        <v>-1.452528E-2</v>
      </c>
      <c r="O1407">
        <v>4.8763640000000002E-3</v>
      </c>
      <c r="P1407">
        <v>0.98788540000000002</v>
      </c>
      <c r="Q1407">
        <v>0.1551864</v>
      </c>
      <c r="R1407" s="1">
        <v>-1.972308E-5</v>
      </c>
      <c r="S1407">
        <v>3.0522</v>
      </c>
      <c r="T1407">
        <v>-9.7404599999999994E-2</v>
      </c>
      <c r="U1407">
        <v>-0.41522219999999999</v>
      </c>
      <c r="V1407">
        <v>4.8442659999999998E-3</v>
      </c>
      <c r="W1407">
        <v>0.16951920000000001</v>
      </c>
      <c r="X1407">
        <v>0.98551500000000003</v>
      </c>
      <c r="Y1407">
        <v>0.1395267</v>
      </c>
      <c r="Z1407">
        <v>-3.3183760000000001E-3</v>
      </c>
      <c r="AA1407">
        <v>0.99021269999999995</v>
      </c>
      <c r="AB1407">
        <v>22</v>
      </c>
      <c r="AC1407">
        <v>35.034199999999998</v>
      </c>
      <c r="AD1407">
        <v>-1.121715995934</v>
      </c>
      <c r="AE1407">
        <v>-4.78219999999998</v>
      </c>
      <c r="AF1407">
        <v>4.9480210403837503</v>
      </c>
      <c r="AG1407">
        <v>-1.121715995934</v>
      </c>
      <c r="AH1407">
        <v>34.975262607470299</v>
      </c>
      <c r="AI1407">
        <v>91.818844225830802</v>
      </c>
      <c r="AJ1407">
        <v>81.9476871599487</v>
      </c>
      <c r="AK1407">
        <v>35.341337742834902</v>
      </c>
      <c r="AL1407">
        <v>80.240134689508807</v>
      </c>
      <c r="AM1407">
        <v>89.718366781578496</v>
      </c>
      <c r="AN1407">
        <v>1.0000000206533499</v>
      </c>
    </row>
    <row r="1408" spans="1:40" x14ac:dyDescent="0.25">
      <c r="A1408" t="str">
        <f>"20190303161904240"</f>
        <v>20190303161904240</v>
      </c>
      <c r="B1408" t="str">
        <f>"1551601144234106"</f>
        <v>1551601144234106</v>
      </c>
      <c r="C1408" t="s">
        <v>40</v>
      </c>
      <c r="D1408">
        <v>4.8251910000000002</v>
      </c>
      <c r="E1408">
        <v>0.55343339999999996</v>
      </c>
      <c r="F1408" t="s">
        <v>46</v>
      </c>
      <c r="G1408">
        <v>-209.2672</v>
      </c>
      <c r="H1408" s="1">
        <v>-6.1086530000000002E-6</v>
      </c>
      <c r="I1408">
        <v>362.77289999999999</v>
      </c>
      <c r="J1408">
        <v>-243.8252</v>
      </c>
      <c r="K1408">
        <v>1.121712</v>
      </c>
      <c r="L1408">
        <v>367.49709999999999</v>
      </c>
      <c r="M1408">
        <v>0.99988270000000001</v>
      </c>
      <c r="N1408">
        <v>-1.452258E-2</v>
      </c>
      <c r="O1408">
        <v>4.8763840000000001E-3</v>
      </c>
      <c r="P1408">
        <v>0.98783869999999896</v>
      </c>
      <c r="Q1408">
        <v>0.1554818</v>
      </c>
      <c r="R1408">
        <v>-4.9805040000000002E-4</v>
      </c>
      <c r="S1408">
        <v>3.0522770000000001</v>
      </c>
      <c r="T1408">
        <v>-9.8752980000000004E-2</v>
      </c>
      <c r="U1408">
        <v>-0.41586299999999998</v>
      </c>
      <c r="V1408">
        <v>5.3224070000000004E-3</v>
      </c>
      <c r="W1408">
        <v>0.16981099999999999</v>
      </c>
      <c r="X1408">
        <v>0.98546219999999995</v>
      </c>
      <c r="Y1408">
        <v>0.13972490000000001</v>
      </c>
      <c r="Z1408">
        <v>-3.3555659999999999E-3</v>
      </c>
      <c r="AA1408">
        <v>0.99018470000000003</v>
      </c>
      <c r="AB1408">
        <v>22</v>
      </c>
      <c r="AC1408">
        <v>34.5579999999999</v>
      </c>
      <c r="AD1408">
        <v>-1.1217181086529999</v>
      </c>
      <c r="AE1408">
        <v>-4.72419999999999</v>
      </c>
      <c r="AF1408">
        <v>4.8876245949441799</v>
      </c>
      <c r="AG1408">
        <v>-1.1217181086529999</v>
      </c>
      <c r="AH1408">
        <v>34.498868838323197</v>
      </c>
      <c r="AI1408">
        <v>91.843894945306602</v>
      </c>
      <c r="AJ1408">
        <v>81.936290074758901</v>
      </c>
      <c r="AK1408">
        <v>34.861426775452102</v>
      </c>
      <c r="AL1408">
        <v>80.223168883272706</v>
      </c>
      <c r="AM1408">
        <v>89.690552826014496</v>
      </c>
      <c r="AN1408">
        <v>0.99999992568305396</v>
      </c>
    </row>
    <row r="1409" spans="1:40" x14ac:dyDescent="0.25">
      <c r="A1409" t="str">
        <f>"20190303161904252"</f>
        <v>20190303161904252</v>
      </c>
      <c r="B1409" t="str">
        <f>"1551601144243866"</f>
        <v>1551601144243866</v>
      </c>
      <c r="C1409" t="s">
        <v>40</v>
      </c>
      <c r="D1409">
        <v>4.8105359999999999</v>
      </c>
      <c r="E1409">
        <v>0.55339969999999905</v>
      </c>
      <c r="F1409" t="s">
        <v>46</v>
      </c>
      <c r="G1409">
        <v>-209.0883</v>
      </c>
      <c r="H1409" s="1">
        <v>-6.0516349999999997E-6</v>
      </c>
      <c r="I1409">
        <v>362.75450000000001</v>
      </c>
      <c r="J1409">
        <v>-243.7184</v>
      </c>
      <c r="K1409">
        <v>1.121712</v>
      </c>
      <c r="L1409">
        <v>367.49770000000001</v>
      </c>
      <c r="M1409">
        <v>0.99988259999999995</v>
      </c>
      <c r="N1409">
        <v>-1.4519999999999899E-2</v>
      </c>
      <c r="O1409">
        <v>4.8764029999999996E-3</v>
      </c>
      <c r="P1409">
        <v>0.98782749999999997</v>
      </c>
      <c r="Q1409">
        <v>0.15555079999999999</v>
      </c>
      <c r="R1409">
        <v>-9.1983009999999999E-4</v>
      </c>
      <c r="S1409">
        <v>3.0522309999999999</v>
      </c>
      <c r="T1409">
        <v>-9.8562120000000003E-2</v>
      </c>
      <c r="U1409">
        <v>-0.41671750000000002</v>
      </c>
      <c r="V1409">
        <v>5.7440829999999997E-3</v>
      </c>
      <c r="W1409">
        <v>0.16987729999999901</v>
      </c>
      <c r="X1409">
        <v>0.98544849999999995</v>
      </c>
      <c r="Y1409">
        <v>0.13999929999999999</v>
      </c>
      <c r="Z1409">
        <v>-3.3571690000000001E-3</v>
      </c>
      <c r="AA1409">
        <v>0.99014590000000002</v>
      </c>
      <c r="AB1409">
        <v>22</v>
      </c>
      <c r="AC1409">
        <v>34.630099999999999</v>
      </c>
      <c r="AD1409">
        <v>-1.121718051635</v>
      </c>
      <c r="AE1409">
        <v>-4.7431999999999999</v>
      </c>
      <c r="AF1409">
        <v>4.9069781209366496</v>
      </c>
      <c r="AG1409">
        <v>-1.121718051635</v>
      </c>
      <c r="AH1409">
        <v>34.570951931072997</v>
      </c>
      <c r="AI1409">
        <v>91.839985247559099</v>
      </c>
      <c r="AJ1409">
        <v>81.921438726543101</v>
      </c>
      <c r="AK1409">
        <v>34.935474851320897</v>
      </c>
      <c r="AL1409">
        <v>80.219315087561398</v>
      </c>
      <c r="AM1409">
        <v>89.666032282927205</v>
      </c>
      <c r="AN1409">
        <v>1.0000000188485201</v>
      </c>
    </row>
    <row r="1410" spans="1:40" x14ac:dyDescent="0.25">
      <c r="A1410" t="str">
        <f>"20190303161904263"</f>
        <v>20190303161904263</v>
      </c>
      <c r="B1410" t="str">
        <f>"1551601144254602"</f>
        <v>1551601144254602</v>
      </c>
      <c r="C1410" t="s">
        <v>40</v>
      </c>
      <c r="D1410">
        <v>4.8405809999999896</v>
      </c>
      <c r="E1410">
        <v>0.55342259999999999</v>
      </c>
      <c r="F1410" t="s">
        <v>46</v>
      </c>
      <c r="G1410">
        <v>-209.0549</v>
      </c>
      <c r="H1410" s="1">
        <v>-6.0407309999999901E-6</v>
      </c>
      <c r="I1410">
        <v>362.75279999999998</v>
      </c>
      <c r="J1410">
        <v>-243.60599999999999</v>
      </c>
      <c r="K1410">
        <v>1.121713</v>
      </c>
      <c r="L1410">
        <v>367.4982</v>
      </c>
      <c r="M1410">
        <v>0.99988279999999996</v>
      </c>
      <c r="N1410">
        <v>-1.451729E-2</v>
      </c>
      <c r="O1410">
        <v>4.8762440000000001E-3</v>
      </c>
      <c r="P1410">
        <v>0.98783109999999996</v>
      </c>
      <c r="Q1410">
        <v>0.15552659999999999</v>
      </c>
      <c r="R1410">
        <v>-1.2936759999999999E-3</v>
      </c>
      <c r="S1410">
        <v>3.0521090000000002</v>
      </c>
      <c r="T1410">
        <v>-9.8766919999999994E-2</v>
      </c>
      <c r="U1410">
        <v>-0.41778559999999998</v>
      </c>
      <c r="V1410">
        <v>6.1178450000000002E-3</v>
      </c>
      <c r="W1410">
        <v>0.16985049999999999</v>
      </c>
      <c r="X1410">
        <v>0.98545090000000002</v>
      </c>
      <c r="Y1410">
        <v>0.14034389999999999</v>
      </c>
      <c r="Z1410">
        <v>-3.3701149999999999E-3</v>
      </c>
      <c r="AA1410">
        <v>0.99009709999999995</v>
      </c>
      <c r="AB1410">
        <v>22</v>
      </c>
      <c r="AC1410">
        <v>34.551099999999899</v>
      </c>
      <c r="AD1410">
        <v>-1.121719040731</v>
      </c>
      <c r="AE1410">
        <v>-4.7454000000000098</v>
      </c>
      <c r="AF1410">
        <v>4.9087628178040701</v>
      </c>
      <c r="AG1410">
        <v>-1.121719040731</v>
      </c>
      <c r="AH1410">
        <v>34.491865306881898</v>
      </c>
      <c r="AI1410">
        <v>91.844106035982605</v>
      </c>
      <c r="AJ1410">
        <v>81.900254897853898</v>
      </c>
      <c r="AK1410">
        <v>34.857466608402298</v>
      </c>
      <c r="AL1410">
        <v>80.220873549769095</v>
      </c>
      <c r="AM1410">
        <v>89.6443027297843</v>
      </c>
      <c r="AN1410">
        <v>1.0000000483442499</v>
      </c>
    </row>
    <row r="1411" spans="1:40" x14ac:dyDescent="0.25">
      <c r="A1411" t="str">
        <f>"20190303161904276"</f>
        <v>20190303161904276</v>
      </c>
      <c r="B1411" t="str">
        <f>"1551601144265339"</f>
        <v>1551601144265339</v>
      </c>
      <c r="C1411" t="s">
        <v>40</v>
      </c>
      <c r="D1411">
        <v>4.7948430000000002</v>
      </c>
      <c r="E1411">
        <v>0.55340979999999995</v>
      </c>
      <c r="F1411" t="s">
        <v>46</v>
      </c>
      <c r="G1411">
        <v>-209.10489999999999</v>
      </c>
      <c r="H1411" s="1">
        <v>-6.0556049999999996E-6</v>
      </c>
      <c r="I1411">
        <v>362.7647</v>
      </c>
      <c r="J1411">
        <v>-243.49379999999999</v>
      </c>
      <c r="K1411">
        <v>1.121713</v>
      </c>
      <c r="L1411">
        <v>367.49880000000002</v>
      </c>
      <c r="M1411">
        <v>0.99988290000000002</v>
      </c>
      <c r="N1411">
        <v>-1.4514569999999999E-2</v>
      </c>
      <c r="O1411">
        <v>4.8761450000000001E-3</v>
      </c>
      <c r="P1411">
        <v>0.98780409999999996</v>
      </c>
      <c r="Q1411">
        <v>0.15569620000000001</v>
      </c>
      <c r="R1411">
        <v>-1.50066E-3</v>
      </c>
      <c r="S1411">
        <v>3.0520320000000001</v>
      </c>
      <c r="T1411">
        <v>-9.9229339999999999E-2</v>
      </c>
      <c r="U1411">
        <v>-0.41873169999999998</v>
      </c>
      <c r="V1411">
        <v>6.3245200000000001E-3</v>
      </c>
      <c r="W1411">
        <v>0.1700168</v>
      </c>
      <c r="X1411">
        <v>0.98542090000000004</v>
      </c>
      <c r="Y1411">
        <v>0.1406473</v>
      </c>
      <c r="Z1411">
        <v>-3.3884000000000002E-3</v>
      </c>
      <c r="AA1411">
        <v>0.99005399999999999</v>
      </c>
      <c r="AB1411">
        <v>22</v>
      </c>
      <c r="AC1411">
        <v>34.3889</v>
      </c>
      <c r="AD1411">
        <v>-1.1217190556050001</v>
      </c>
      <c r="AE1411">
        <v>-4.7341000000000104</v>
      </c>
      <c r="AF1411">
        <v>4.8966336134856103</v>
      </c>
      <c r="AG1411">
        <v>-1.1217190556050001</v>
      </c>
      <c r="AH1411">
        <v>34.329558023240601</v>
      </c>
      <c r="AI1411">
        <v>91.852736160710094</v>
      </c>
      <c r="AJ1411">
        <v>81.882310631863604</v>
      </c>
      <c r="AK1411">
        <v>34.695155691471797</v>
      </c>
      <c r="AL1411">
        <v>80.211204461102795</v>
      </c>
      <c r="AM1411">
        <v>89.632275580896106</v>
      </c>
      <c r="AN1411">
        <v>1.0000000309961301</v>
      </c>
    </row>
    <row r="1412" spans="1:40" x14ac:dyDescent="0.25">
      <c r="A1412" t="str">
        <f>"20190303161904294"</f>
        <v>20190303161904294</v>
      </c>
      <c r="B1412" t="str">
        <f>"1551601144284858"</f>
        <v>1551601144284858</v>
      </c>
      <c r="C1412" t="s">
        <v>40</v>
      </c>
      <c r="D1412">
        <v>4.8014070000000002</v>
      </c>
      <c r="E1412">
        <v>0.55337109999999901</v>
      </c>
      <c r="F1412" t="s">
        <v>46</v>
      </c>
      <c r="G1412">
        <v>-209.3091</v>
      </c>
      <c r="H1412" s="1">
        <v>-6.1179180000000004E-6</v>
      </c>
      <c r="I1412">
        <v>362.80340000000001</v>
      </c>
      <c r="J1412">
        <v>-243.3159</v>
      </c>
      <c r="K1412">
        <v>1.1217170000000001</v>
      </c>
      <c r="L1412">
        <v>367.49959999999999</v>
      </c>
      <c r="M1412">
        <v>0.99988279999999996</v>
      </c>
      <c r="N1412">
        <v>-1.4510230000000001E-2</v>
      </c>
      <c r="O1412">
        <v>4.8762950000000001E-3</v>
      </c>
      <c r="P1412">
        <v>0.98776299999999995</v>
      </c>
      <c r="Q1412">
        <v>0.15594769999999999</v>
      </c>
      <c r="R1412">
        <v>-2.1152749999999998E-3</v>
      </c>
      <c r="S1412">
        <v>3.052155</v>
      </c>
      <c r="T1412">
        <v>-0.1001519</v>
      </c>
      <c r="U1412">
        <v>-0.41921999999999998</v>
      </c>
      <c r="V1412">
        <v>6.9391740000000002E-3</v>
      </c>
      <c r="W1412">
        <v>0.17026350000000001</v>
      </c>
      <c r="X1412">
        <v>0.98537419999999998</v>
      </c>
      <c r="Y1412">
        <v>0.1407958</v>
      </c>
      <c r="Z1412">
        <v>-3.4141250000000001E-3</v>
      </c>
      <c r="AA1412">
        <v>0.99003280000000005</v>
      </c>
      <c r="AB1412">
        <v>22</v>
      </c>
      <c r="AC1412">
        <v>34.006799999999998</v>
      </c>
      <c r="AD1412">
        <v>-1.1217231179180001</v>
      </c>
      <c r="AE1412">
        <v>-4.69619999999997</v>
      </c>
      <c r="AF1412">
        <v>4.8568033621485602</v>
      </c>
      <c r="AG1412">
        <v>-1.1217231179180001</v>
      </c>
      <c r="AH1412">
        <v>33.947248795152298</v>
      </c>
      <c r="AI1412">
        <v>91.873479909171195</v>
      </c>
      <c r="AJ1412">
        <v>81.857994931628397</v>
      </c>
      <c r="AK1412">
        <v>34.3112591201754</v>
      </c>
      <c r="AL1412">
        <v>80.196860770130101</v>
      </c>
      <c r="AM1412">
        <v>89.596519970456399</v>
      </c>
      <c r="AN1412">
        <v>1.00000006279684</v>
      </c>
    </row>
    <row r="1413" spans="1:40" x14ac:dyDescent="0.25">
      <c r="A1413" t="str">
        <f>"20190303161904309"</f>
        <v>20190303161904309</v>
      </c>
      <c r="B1413" t="str">
        <f>"1551601144304380"</f>
        <v>1551601144304380</v>
      </c>
      <c r="C1413" t="s">
        <v>40</v>
      </c>
      <c r="D1413">
        <v>4.8213210000000002</v>
      </c>
      <c r="E1413">
        <v>0.55334629999999996</v>
      </c>
      <c r="F1413" t="s">
        <v>46</v>
      </c>
      <c r="G1413">
        <v>-209.22900000000001</v>
      </c>
      <c r="H1413" s="1">
        <v>-6.0917009999999999E-6</v>
      </c>
      <c r="I1413">
        <v>362.79969999999997</v>
      </c>
      <c r="J1413">
        <v>-243.17240000000001</v>
      </c>
      <c r="K1413">
        <v>1.1217159999999999</v>
      </c>
      <c r="L1413">
        <v>367.50029999999998</v>
      </c>
      <c r="M1413">
        <v>0.99988290000000002</v>
      </c>
      <c r="N1413">
        <v>-1.4506730000000001E-2</v>
      </c>
      <c r="O1413">
        <v>4.8762019999999996E-3</v>
      </c>
      <c r="P1413">
        <v>0.98771390000000003</v>
      </c>
      <c r="Q1413">
        <v>0.1562557</v>
      </c>
      <c r="R1413">
        <v>-2.38259E-3</v>
      </c>
      <c r="S1413">
        <v>3.0521389999999999</v>
      </c>
      <c r="T1413">
        <v>-0.1004393</v>
      </c>
      <c r="U1413">
        <v>-0.42083739999999997</v>
      </c>
      <c r="V1413">
        <v>7.2060550000000003E-3</v>
      </c>
      <c r="W1413">
        <v>0.1705671</v>
      </c>
      <c r="X1413">
        <v>0.98531970000000002</v>
      </c>
      <c r="Y1413">
        <v>0.141310299999999</v>
      </c>
      <c r="Z1413">
        <v>-3.4330810000000002E-3</v>
      </c>
      <c r="AA1413">
        <v>0.98995940000000004</v>
      </c>
      <c r="AB1413">
        <v>22</v>
      </c>
      <c r="AC1413">
        <v>33.943399999999997</v>
      </c>
      <c r="AD1413">
        <v>-1.121722091701</v>
      </c>
      <c r="AE1413">
        <v>-4.7005999999999997</v>
      </c>
      <c r="AF1413">
        <v>4.8608677615173601</v>
      </c>
      <c r="AG1413">
        <v>-1.121722091701</v>
      </c>
      <c r="AH1413">
        <v>33.883764942751597</v>
      </c>
      <c r="AI1413">
        <v>91.876883633481697</v>
      </c>
      <c r="AJ1413">
        <v>81.836211135042504</v>
      </c>
      <c r="AK1413">
        <v>34.249026592614499</v>
      </c>
      <c r="AL1413">
        <v>80.179206795400901</v>
      </c>
      <c r="AM1413">
        <v>89.580979475366703</v>
      </c>
      <c r="AN1413">
        <v>0.99999998701958104</v>
      </c>
    </row>
    <row r="1414" spans="1:40" x14ac:dyDescent="0.25">
      <c r="A1414" t="str">
        <f>"20190303161904321"</f>
        <v>20190303161904321</v>
      </c>
      <c r="B1414" t="str">
        <f>"1551601144314138"</f>
        <v>1551601144314138</v>
      </c>
      <c r="C1414" t="s">
        <v>40</v>
      </c>
      <c r="D1414">
        <v>4.8326190000000002</v>
      </c>
      <c r="E1414">
        <v>0.5533342</v>
      </c>
      <c r="F1414" t="s">
        <v>46</v>
      </c>
      <c r="G1414">
        <v>-209.16130000000001</v>
      </c>
      <c r="H1414" s="1">
        <v>-6.0682709999999998E-6</v>
      </c>
      <c r="I1414">
        <v>362.80439999999999</v>
      </c>
      <c r="J1414">
        <v>-243.0437</v>
      </c>
      <c r="K1414">
        <v>1.1217159999999999</v>
      </c>
      <c r="L1414">
        <v>367.5009</v>
      </c>
      <c r="M1414">
        <v>0.99988310000000002</v>
      </c>
      <c r="N1414">
        <v>-1.450355E-2</v>
      </c>
      <c r="O1414">
        <v>4.8760460000000002E-3</v>
      </c>
      <c r="P1414">
        <v>0.98767169999999904</v>
      </c>
      <c r="Q1414">
        <v>0.15652099999999999</v>
      </c>
      <c r="R1414">
        <v>-2.4682200000000001E-3</v>
      </c>
      <c r="S1414">
        <v>3.052216</v>
      </c>
      <c r="T1414">
        <v>-0.1006652</v>
      </c>
      <c r="U1414">
        <v>-0.42141719999999999</v>
      </c>
      <c r="V1414">
        <v>7.2914329999999999E-3</v>
      </c>
      <c r="W1414">
        <v>0.170828799999999</v>
      </c>
      <c r="X1414">
        <v>0.98527379999999998</v>
      </c>
      <c r="Y1414">
        <v>0.1414908</v>
      </c>
      <c r="Z1414">
        <v>-3.442629E-3</v>
      </c>
      <c r="AA1414">
        <v>0.98993359999999997</v>
      </c>
      <c r="AB1414">
        <v>22</v>
      </c>
      <c r="AC1414">
        <v>33.882399999999897</v>
      </c>
      <c r="AD1414">
        <v>-1.1217220682710001</v>
      </c>
      <c r="AE1414">
        <v>-4.6965000000000101</v>
      </c>
      <c r="AF1414">
        <v>4.8564511755884201</v>
      </c>
      <c r="AG1414">
        <v>-1.1217220682710001</v>
      </c>
      <c r="AH1414">
        <v>33.822722490346699</v>
      </c>
      <c r="AI1414">
        <v>91.880234613577002</v>
      </c>
      <c r="AJ1414">
        <v>81.829006899846704</v>
      </c>
      <c r="AK1414">
        <v>34.188008644528097</v>
      </c>
      <c r="AL1414">
        <v>80.163989796190407</v>
      </c>
      <c r="AM1414">
        <v>89.575995310910301</v>
      </c>
      <c r="AN1414">
        <v>1.0000000524355299</v>
      </c>
    </row>
    <row r="1415" spans="1:40" x14ac:dyDescent="0.25">
      <c r="A1415" t="str">
        <f>"20190303161904333"</f>
        <v>20190303161904333</v>
      </c>
      <c r="B1415" t="str">
        <f>"1551601144323898"</f>
        <v>1551601144323898</v>
      </c>
      <c r="C1415" t="s">
        <v>40</v>
      </c>
      <c r="D1415">
        <v>4.8113229999999998</v>
      </c>
      <c r="E1415">
        <v>0.55332990000000004</v>
      </c>
      <c r="F1415" t="s">
        <v>46</v>
      </c>
      <c r="G1415">
        <v>-208.9914</v>
      </c>
      <c r="H1415" s="1">
        <v>-6.0114809999999996E-6</v>
      </c>
      <c r="I1415">
        <v>362.80399999999997</v>
      </c>
      <c r="J1415">
        <v>-242.9331</v>
      </c>
      <c r="K1415">
        <v>1.1217170000000001</v>
      </c>
      <c r="L1415">
        <v>367.50150000000002</v>
      </c>
      <c r="M1415">
        <v>0.99988310000000002</v>
      </c>
      <c r="N1415">
        <v>-1.4500860000000001E-2</v>
      </c>
      <c r="O1415">
        <v>4.8760660000000001E-3</v>
      </c>
      <c r="P1415">
        <v>0.98765970000000003</v>
      </c>
      <c r="Q1415">
        <v>0.15659310000000001</v>
      </c>
      <c r="R1415">
        <v>-2.7290830000000002E-3</v>
      </c>
      <c r="S1415">
        <v>3.0523220000000002</v>
      </c>
      <c r="T1415">
        <v>-0.100547</v>
      </c>
      <c r="U1415">
        <v>-0.42102050000000002</v>
      </c>
      <c r="V1415">
        <v>7.5521549999999996E-3</v>
      </c>
      <c r="W1415">
        <v>0.17089789999999999</v>
      </c>
      <c r="X1415">
        <v>0.98525980000000002</v>
      </c>
      <c r="Y1415">
        <v>0.14136019999999999</v>
      </c>
      <c r="Z1415">
        <v>-3.4363689999999999E-3</v>
      </c>
      <c r="AA1415">
        <v>0.98995230000000001</v>
      </c>
      <c r="AB1415">
        <v>22</v>
      </c>
      <c r="AC1415">
        <v>33.941699999999997</v>
      </c>
      <c r="AD1415">
        <v>-1.121723011481</v>
      </c>
      <c r="AE1415">
        <v>-4.69749999999999</v>
      </c>
      <c r="AF1415">
        <v>4.8577575449439001</v>
      </c>
      <c r="AG1415">
        <v>-1.121723011481</v>
      </c>
      <c r="AH1415">
        <v>33.882078025527797</v>
      </c>
      <c r="AI1415">
        <v>91.877000863025899</v>
      </c>
      <c r="AJ1415">
        <v>81.840963640493896</v>
      </c>
      <c r="AK1415">
        <v>34.24691638977</v>
      </c>
      <c r="AL1415">
        <v>80.159971051647901</v>
      </c>
      <c r="AM1415">
        <v>89.560828389062806</v>
      </c>
      <c r="AN1415">
        <v>1.00000000038279</v>
      </c>
    </row>
    <row r="1416" spans="1:40" x14ac:dyDescent="0.25">
      <c r="A1416" t="str">
        <f>"20190303161904344"</f>
        <v>20190303161904344</v>
      </c>
      <c r="B1416" t="str">
        <f>"1551601144333659"</f>
        <v>1551601144333659</v>
      </c>
      <c r="C1416" t="s">
        <v>40</v>
      </c>
      <c r="D1416">
        <v>4.8148119999999999</v>
      </c>
      <c r="E1416">
        <v>0.55333030000000005</v>
      </c>
      <c r="F1416" t="s">
        <v>46</v>
      </c>
      <c r="G1416">
        <v>-208.9391</v>
      </c>
      <c r="H1416" s="1">
        <v>-5.9940779999999997E-6</v>
      </c>
      <c r="I1416">
        <v>362.80329999999998</v>
      </c>
      <c r="J1416">
        <v>-242.82320000000001</v>
      </c>
      <c r="K1416">
        <v>1.121715</v>
      </c>
      <c r="L1416">
        <v>367.50200000000001</v>
      </c>
      <c r="M1416">
        <v>0.99988310000000002</v>
      </c>
      <c r="N1416">
        <v>-1.4498189999999999E-2</v>
      </c>
      <c r="O1416">
        <v>4.8760849999999996E-3</v>
      </c>
      <c r="P1416">
        <v>0.98761310000000002</v>
      </c>
      <c r="Q1416">
        <v>0.156886</v>
      </c>
      <c r="R1416">
        <v>-2.7129739999999999E-3</v>
      </c>
      <c r="S1416">
        <v>3.0522770000000001</v>
      </c>
      <c r="T1416">
        <v>-0.1007179</v>
      </c>
      <c r="U1416">
        <v>-0.42184450000000001</v>
      </c>
      <c r="V1416">
        <v>7.5358719999999999E-3</v>
      </c>
      <c r="W1416">
        <v>0.1711877</v>
      </c>
      <c r="X1416">
        <v>0.98520960000000002</v>
      </c>
      <c r="Y1416">
        <v>0.1416239</v>
      </c>
      <c r="Z1416">
        <v>-3.4466649999999998E-3</v>
      </c>
      <c r="AA1416">
        <v>0.98991450000000003</v>
      </c>
      <c r="AB1416">
        <v>22</v>
      </c>
      <c r="AC1416">
        <v>33.884099999999997</v>
      </c>
      <c r="AD1416">
        <v>-1.121720994078</v>
      </c>
      <c r="AE1416">
        <v>-4.6986999999999703</v>
      </c>
      <c r="AF1416">
        <v>4.85865900270485</v>
      </c>
      <c r="AG1416">
        <v>-1.121720994078</v>
      </c>
      <c r="AH1416">
        <v>33.824414025960799</v>
      </c>
      <c r="AI1416">
        <v>91.880123494844796</v>
      </c>
      <c r="AJ1416">
        <v>81.825745703260694</v>
      </c>
      <c r="AK1416">
        <v>34.189995751575204</v>
      </c>
      <c r="AL1416">
        <v>80.143118253495302</v>
      </c>
      <c r="AM1416">
        <v>89.561752910025206</v>
      </c>
      <c r="AN1416">
        <v>0.99999998696512504</v>
      </c>
    </row>
    <row r="1417" spans="1:40" x14ac:dyDescent="0.25">
      <c r="A1417" t="str">
        <f>"20190303161904355"</f>
        <v>20190303161904355</v>
      </c>
      <c r="B1417" t="str">
        <f>"1551601144344395"</f>
        <v>1551601144344395</v>
      </c>
      <c r="C1417" t="s">
        <v>40</v>
      </c>
      <c r="D1417">
        <v>4.7853519999999996</v>
      </c>
      <c r="E1417">
        <v>0.55329969999999995</v>
      </c>
      <c r="F1417" t="s">
        <v>46</v>
      </c>
      <c r="G1417">
        <v>-208.67060000000001</v>
      </c>
      <c r="H1417" s="1">
        <v>-5.9072019999999996E-6</v>
      </c>
      <c r="I1417">
        <v>362.78410000000002</v>
      </c>
      <c r="J1417">
        <v>-242.72069999999999</v>
      </c>
      <c r="K1417">
        <v>1.1217170000000001</v>
      </c>
      <c r="L1417">
        <v>367.5025</v>
      </c>
      <c r="M1417">
        <v>0.99988319999999997</v>
      </c>
      <c r="N1417">
        <v>-1.44957E-2</v>
      </c>
      <c r="O1417">
        <v>4.8759240000000002E-3</v>
      </c>
      <c r="P1417">
        <v>0.98759819999999998</v>
      </c>
      <c r="Q1417">
        <v>0.156976</v>
      </c>
      <c r="R1417">
        <v>-2.950355E-3</v>
      </c>
      <c r="S1417">
        <v>3.0523829999999998</v>
      </c>
      <c r="T1417">
        <v>-0.1002537</v>
      </c>
      <c r="U1417">
        <v>-0.42166140000000002</v>
      </c>
      <c r="V1417">
        <v>7.7730919999999997E-3</v>
      </c>
      <c r="W1417">
        <v>0.1712746</v>
      </c>
      <c r="X1417">
        <v>0.98519270000000003</v>
      </c>
      <c r="Y1417">
        <v>0.14156170000000001</v>
      </c>
      <c r="Z1417">
        <v>-3.4334959999999999E-3</v>
      </c>
      <c r="AA1417">
        <v>0.98992349999999996</v>
      </c>
      <c r="AB1417">
        <v>22</v>
      </c>
      <c r="AC1417">
        <v>34.050099999999901</v>
      </c>
      <c r="AD1417">
        <v>-1.1217229072020001</v>
      </c>
      <c r="AE1417">
        <v>-4.7183999999999697</v>
      </c>
      <c r="AF1417">
        <v>4.8791915838028004</v>
      </c>
      <c r="AG1417">
        <v>-1.1217229072020001</v>
      </c>
      <c r="AH1417">
        <v>33.990492600823998</v>
      </c>
      <c r="AI1417">
        <v>91.870972608213194</v>
      </c>
      <c r="AJ1417">
        <v>81.831234809762094</v>
      </c>
      <c r="AK1417">
        <v>34.357217000779698</v>
      </c>
      <c r="AL1417">
        <v>80.138065069395694</v>
      </c>
      <c r="AM1417">
        <v>89.547950239323299</v>
      </c>
      <c r="AN1417">
        <v>1.0000000328488401</v>
      </c>
    </row>
    <row r="1418" spans="1:40" x14ac:dyDescent="0.25">
      <c r="A1418" t="str">
        <f>"20190303161904367"</f>
        <v>20190303161904367</v>
      </c>
      <c r="B1418" t="str">
        <f>"1551601144354154"</f>
        <v>1551601144354154</v>
      </c>
      <c r="C1418" t="s">
        <v>40</v>
      </c>
      <c r="D1418">
        <v>4.7713320000000001</v>
      </c>
      <c r="E1418">
        <v>0.55328389999999905</v>
      </c>
      <c r="F1418" t="s">
        <v>46</v>
      </c>
      <c r="G1418">
        <v>-208.67779999999999</v>
      </c>
      <c r="H1418" s="1">
        <v>-5.9076640000000001E-6</v>
      </c>
      <c r="I1418">
        <v>362.79640000000001</v>
      </c>
      <c r="J1418">
        <v>-242.60910000000001</v>
      </c>
      <c r="K1418">
        <v>1.1217159999999999</v>
      </c>
      <c r="L1418">
        <v>367.50310000000002</v>
      </c>
      <c r="M1418">
        <v>0.99988310000000002</v>
      </c>
      <c r="N1418">
        <v>-1.4492959999999999E-2</v>
      </c>
      <c r="O1418">
        <v>4.8759440000000001E-3</v>
      </c>
      <c r="P1418">
        <v>0.9875562</v>
      </c>
      <c r="Q1418">
        <v>0.15723500000000001</v>
      </c>
      <c r="R1418">
        <v>-3.1606910000000002E-3</v>
      </c>
      <c r="S1418">
        <v>3.0524140000000002</v>
      </c>
      <c r="T1418">
        <v>-0.10057770000000001</v>
      </c>
      <c r="U1418">
        <v>-0.42196660000000002</v>
      </c>
      <c r="V1418">
        <v>7.9832359999999995E-3</v>
      </c>
      <c r="W1418">
        <v>0.17153019999999999</v>
      </c>
      <c r="X1418">
        <v>0.98514650000000004</v>
      </c>
      <c r="Y1418">
        <v>0.1416569</v>
      </c>
      <c r="Z1418">
        <v>-3.4435210000000002E-3</v>
      </c>
      <c r="AA1418">
        <v>0.98990979999999995</v>
      </c>
      <c r="AB1418">
        <v>22</v>
      </c>
      <c r="AC1418">
        <v>33.9313</v>
      </c>
      <c r="AD1418">
        <v>-1.1217219076639999</v>
      </c>
      <c r="AE1418">
        <v>-4.7067000000000103</v>
      </c>
      <c r="AF1418">
        <v>4.8668900523094401</v>
      </c>
      <c r="AG1418">
        <v>-1.1217219076639999</v>
      </c>
      <c r="AH1418">
        <v>33.871625993122699</v>
      </c>
      <c r="AI1418">
        <v>91.877494989361395</v>
      </c>
      <c r="AJ1418">
        <v>81.823343615280507</v>
      </c>
      <c r="AK1418">
        <v>34.237872688550397</v>
      </c>
      <c r="AL1418">
        <v>80.123199799087104</v>
      </c>
      <c r="AM1418">
        <v>89.535707919901199</v>
      </c>
      <c r="AN1418">
        <v>0.99999998401566004</v>
      </c>
    </row>
    <row r="1419" spans="1:40" x14ac:dyDescent="0.25">
      <c r="A1419" t="str">
        <f>"20190303161904378"</f>
        <v>20190303161904378</v>
      </c>
      <c r="B1419" t="str">
        <f>"1551601144373675"</f>
        <v>1551601144373675</v>
      </c>
      <c r="C1419" t="s">
        <v>40</v>
      </c>
      <c r="D1419">
        <v>4.7909439999999996</v>
      </c>
      <c r="E1419">
        <v>0.55330880000000005</v>
      </c>
      <c r="F1419" t="s">
        <v>46</v>
      </c>
      <c r="G1419">
        <v>-208.48740000000001</v>
      </c>
      <c r="H1419" s="1">
        <v>-5.8468469999999999E-6</v>
      </c>
      <c r="I1419">
        <v>362.77789999999999</v>
      </c>
      <c r="J1419">
        <v>-242.4999</v>
      </c>
      <c r="K1419">
        <v>1.1217090000000001</v>
      </c>
      <c r="L1419">
        <v>367.50360000000001</v>
      </c>
      <c r="M1419">
        <v>0.99988310000000002</v>
      </c>
      <c r="N1419">
        <v>-1.449026E-2</v>
      </c>
      <c r="O1419">
        <v>4.875964E-3</v>
      </c>
      <c r="P1419">
        <v>0.98758040000000002</v>
      </c>
      <c r="Q1419">
        <v>0.1570802</v>
      </c>
      <c r="R1419">
        <v>-3.3355809999999998E-3</v>
      </c>
      <c r="S1419">
        <v>3.0524290000000001</v>
      </c>
      <c r="T1419">
        <v>-0.1003462</v>
      </c>
      <c r="U1419">
        <v>-0.42269899999999999</v>
      </c>
      <c r="V1419">
        <v>8.1582970000000001E-3</v>
      </c>
      <c r="W1419">
        <v>0.17137330000000001</v>
      </c>
      <c r="X1419">
        <v>0.98517239999999995</v>
      </c>
      <c r="Y1419">
        <v>0.1418896</v>
      </c>
      <c r="Z1419">
        <v>-3.443097E-3</v>
      </c>
      <c r="AA1419">
        <v>0.98987650000000005</v>
      </c>
      <c r="AB1419">
        <v>22</v>
      </c>
      <c r="AC1419">
        <v>34.012499999999903</v>
      </c>
      <c r="AD1419">
        <v>-1.121714846847</v>
      </c>
      <c r="AE1419">
        <v>-4.7257000000000096</v>
      </c>
      <c r="AF1419">
        <v>4.88629104686619</v>
      </c>
      <c r="AG1419">
        <v>-1.121714846847</v>
      </c>
      <c r="AH1419">
        <v>33.952821535889598</v>
      </c>
      <c r="AI1419">
        <v>91.872936458828505</v>
      </c>
      <c r="AJ1419">
        <v>81.810556310186797</v>
      </c>
      <c r="AK1419">
        <v>34.320958241871502</v>
      </c>
      <c r="AL1419">
        <v>80.1323248990482</v>
      </c>
      <c r="AM1419">
        <v>89.525539589282602</v>
      </c>
      <c r="AN1419">
        <v>1.00000001174229</v>
      </c>
    </row>
    <row r="1420" spans="1:40" x14ac:dyDescent="0.25">
      <c r="A1420" t="str">
        <f>"20190303161904389"</f>
        <v>20190303161904389</v>
      </c>
      <c r="B1420" t="str">
        <f>"1551601144384410"</f>
        <v>1551601144384410</v>
      </c>
      <c r="C1420" t="s">
        <v>40</v>
      </c>
      <c r="D1420">
        <v>4.764475</v>
      </c>
      <c r="E1420">
        <v>0.55331059999999999</v>
      </c>
      <c r="F1420" t="s">
        <v>46</v>
      </c>
      <c r="G1420">
        <v>-208.68340000000001</v>
      </c>
      <c r="H1420" s="1">
        <v>-5.9065689999999997E-6</v>
      </c>
      <c r="I1420">
        <v>362.81560000000002</v>
      </c>
      <c r="J1420">
        <v>-242.39619999999999</v>
      </c>
      <c r="K1420">
        <v>1.1217090000000001</v>
      </c>
      <c r="L1420">
        <v>367.50409999999999</v>
      </c>
      <c r="M1420">
        <v>0.99988319999999997</v>
      </c>
      <c r="N1420">
        <v>-1.4487699999999999E-2</v>
      </c>
      <c r="O1420">
        <v>4.8758040000000001E-3</v>
      </c>
      <c r="P1420">
        <v>0.98758009999999996</v>
      </c>
      <c r="Q1420">
        <v>0.15707689999999999</v>
      </c>
      <c r="R1420">
        <v>-3.5667339999999998E-3</v>
      </c>
      <c r="S1420">
        <v>3.0523989999999999</v>
      </c>
      <c r="T1420">
        <v>-0.1012501</v>
      </c>
      <c r="U1420">
        <v>-0.4231567</v>
      </c>
      <c r="V1420">
        <v>8.389199E-3</v>
      </c>
      <c r="W1420">
        <v>0.17136760000000001</v>
      </c>
      <c r="X1420">
        <v>0.98517140000000003</v>
      </c>
      <c r="Y1420">
        <v>0.14203460000000001</v>
      </c>
      <c r="Z1420">
        <v>-3.4687170000000001E-3</v>
      </c>
      <c r="AA1420">
        <v>0.98985559999999995</v>
      </c>
      <c r="AB1420">
        <v>22</v>
      </c>
      <c r="AC1420">
        <v>33.712799999999902</v>
      </c>
      <c r="AD1420">
        <v>-1.121714906569</v>
      </c>
      <c r="AE1420">
        <v>-4.6884999999999701</v>
      </c>
      <c r="AF1420">
        <v>4.8475737284281299</v>
      </c>
      <c r="AG1420">
        <v>-1.121714906569</v>
      </c>
      <c r="AH1420">
        <v>33.6529872381549</v>
      </c>
      <c r="AI1420">
        <v>91.889576524633497</v>
      </c>
      <c r="AJ1420">
        <v>81.803162075769805</v>
      </c>
      <c r="AK1420">
        <v>34.018829571806002</v>
      </c>
      <c r="AL1420">
        <v>80.132655874991997</v>
      </c>
      <c r="AM1420">
        <v>89.5121112138564</v>
      </c>
      <c r="AN1420">
        <v>0.99999996018379</v>
      </c>
    </row>
    <row r="1421" spans="1:40" x14ac:dyDescent="0.25">
      <c r="A1421" t="str">
        <f>"20190303161904401"</f>
        <v>20190303161904401</v>
      </c>
      <c r="B1421" t="str">
        <f>"1551601144394171"</f>
        <v>1551601144394171</v>
      </c>
      <c r="C1421" t="s">
        <v>40</v>
      </c>
      <c r="D1421">
        <v>4.7601110000000002</v>
      </c>
      <c r="E1421">
        <v>0.55330190000000001</v>
      </c>
      <c r="F1421" t="s">
        <v>46</v>
      </c>
      <c r="G1421">
        <v>-208.63319999999999</v>
      </c>
      <c r="H1421" s="1">
        <v>-5.8898690000000003E-6</v>
      </c>
      <c r="I1421">
        <v>362.81490000000002</v>
      </c>
      <c r="J1421">
        <v>-242.2816</v>
      </c>
      <c r="K1421">
        <v>1.1217079999999999</v>
      </c>
      <c r="L1421">
        <v>367.50470000000001</v>
      </c>
      <c r="M1421">
        <v>0.99988319999999997</v>
      </c>
      <c r="N1421">
        <v>-1.448491E-2</v>
      </c>
      <c r="O1421">
        <v>4.875824E-3</v>
      </c>
      <c r="P1421">
        <v>0.98759479999999999</v>
      </c>
      <c r="Q1421">
        <v>0.15698219999999999</v>
      </c>
      <c r="R1421">
        <v>-3.6167930000000001E-3</v>
      </c>
      <c r="S1421">
        <v>3.0523069999999999</v>
      </c>
      <c r="T1421">
        <v>-0.1014075</v>
      </c>
      <c r="U1421">
        <v>-0.42391970000000001</v>
      </c>
      <c r="V1421">
        <v>8.4395010000000003E-3</v>
      </c>
      <c r="W1421">
        <v>0.17127039999999999</v>
      </c>
      <c r="X1421">
        <v>0.98518790000000001</v>
      </c>
      <c r="Y1421">
        <v>0.14228089999999999</v>
      </c>
      <c r="Z1421">
        <v>-3.4783399999999999E-3</v>
      </c>
      <c r="AA1421">
        <v>0.98982020000000004</v>
      </c>
      <c r="AB1421">
        <v>22</v>
      </c>
      <c r="AC1421">
        <v>33.648400000000002</v>
      </c>
      <c r="AD1421">
        <v>-1.121713889869</v>
      </c>
      <c r="AE1421">
        <v>-4.6897999999999902</v>
      </c>
      <c r="AF1421">
        <v>4.8485395755766199</v>
      </c>
      <c r="AG1421">
        <v>-1.121713889869</v>
      </c>
      <c r="AH1421">
        <v>33.588514933908399</v>
      </c>
      <c r="AI1421">
        <v>91.893117594398703</v>
      </c>
      <c r="AJ1421">
        <v>81.786028925460997</v>
      </c>
      <c r="AK1421">
        <v>33.955189787896103</v>
      </c>
      <c r="AL1421">
        <v>80.138308861139294</v>
      </c>
      <c r="AM1421">
        <v>89.509194174069194</v>
      </c>
      <c r="AN1421">
        <v>0.99999998669984902</v>
      </c>
    </row>
    <row r="1422" spans="1:40" x14ac:dyDescent="0.25">
      <c r="A1422" t="str">
        <f>"20190303161904413"</f>
        <v>20190303161904413</v>
      </c>
      <c r="B1422" t="str">
        <f>"1551601144403930"</f>
        <v>1551601144403930</v>
      </c>
      <c r="C1422" t="s">
        <v>40</v>
      </c>
      <c r="D1422">
        <v>4.75441</v>
      </c>
      <c r="E1422">
        <v>0.55325170000000001</v>
      </c>
      <c r="F1422" t="s">
        <v>46</v>
      </c>
      <c r="G1422">
        <v>-208.76070000000001</v>
      </c>
      <c r="H1422" s="1">
        <v>-5.9275289999999997E-6</v>
      </c>
      <c r="I1422">
        <v>362.84690000000001</v>
      </c>
      <c r="J1422">
        <v>-242.1694</v>
      </c>
      <c r="K1422">
        <v>1.1217029999999999</v>
      </c>
      <c r="L1422">
        <v>367.5052</v>
      </c>
      <c r="M1422">
        <v>0.99988330000000003</v>
      </c>
      <c r="N1422">
        <v>-1.4482170000000001E-2</v>
      </c>
      <c r="O1422">
        <v>4.8756659999999999E-3</v>
      </c>
      <c r="P1422">
        <v>0.98763020000000001</v>
      </c>
      <c r="Q1422">
        <v>0.1567529</v>
      </c>
      <c r="R1422">
        <v>-3.9219040000000004E-3</v>
      </c>
      <c r="S1422">
        <v>3.052368</v>
      </c>
      <c r="T1422">
        <v>-0.1021416</v>
      </c>
      <c r="U1422">
        <v>-0.42413329999999999</v>
      </c>
      <c r="V1422">
        <v>8.7445969999999998E-3</v>
      </c>
      <c r="W1422">
        <v>0.17103879999999999</v>
      </c>
      <c r="X1422">
        <v>0.98522549999999998</v>
      </c>
      <c r="Y1422">
        <v>0.14234459999999999</v>
      </c>
      <c r="Z1422">
        <v>-3.4978069999999999E-3</v>
      </c>
      <c r="AA1422">
        <v>0.989811</v>
      </c>
      <c r="AB1422">
        <v>22</v>
      </c>
      <c r="AC1422">
        <v>33.408699999999897</v>
      </c>
      <c r="AD1422">
        <v>-1.121708927529</v>
      </c>
      <c r="AE1422">
        <v>-4.6582999999999899</v>
      </c>
      <c r="AF1422">
        <v>4.8158259893689799</v>
      </c>
      <c r="AG1422">
        <v>-1.121708927529</v>
      </c>
      <c r="AH1422">
        <v>33.348710930325701</v>
      </c>
      <c r="AI1422">
        <v>91.906696816271094</v>
      </c>
      <c r="AJ1422">
        <v>81.782827208714707</v>
      </c>
      <c r="AK1422">
        <v>33.7133049639516</v>
      </c>
      <c r="AL1422">
        <v>80.151777557996695</v>
      </c>
      <c r="AM1422">
        <v>89.491471398691502</v>
      </c>
      <c r="AN1422">
        <v>1.0000000124661901</v>
      </c>
    </row>
    <row r="1423" spans="1:40" x14ac:dyDescent="0.25">
      <c r="A1423" t="str">
        <f>"20190303161904424"</f>
        <v>20190303161904424</v>
      </c>
      <c r="B1423" t="str">
        <f>"1551601144413690"</f>
        <v>1551601144413690</v>
      </c>
      <c r="C1423" t="s">
        <v>40</v>
      </c>
      <c r="D1423">
        <v>4.7532800000000002</v>
      </c>
      <c r="E1423">
        <v>0.55327700000000002</v>
      </c>
      <c r="F1423" t="s">
        <v>46</v>
      </c>
      <c r="G1423">
        <v>-209.0522</v>
      </c>
      <c r="H1423" s="1">
        <v>-6.0166089999999997E-6</v>
      </c>
      <c r="I1423">
        <v>362.90140000000002</v>
      </c>
      <c r="J1423">
        <v>-242.05680000000001</v>
      </c>
      <c r="K1423">
        <v>1.1217029999999999</v>
      </c>
      <c r="L1423">
        <v>367.50580000000002</v>
      </c>
      <c r="M1423">
        <v>0.99988339999999998</v>
      </c>
      <c r="N1423">
        <v>-1.447942E-2</v>
      </c>
      <c r="O1423">
        <v>4.8756859999999997E-3</v>
      </c>
      <c r="P1423">
        <v>0.98766620000000005</v>
      </c>
      <c r="Q1423">
        <v>0.15651809999999999</v>
      </c>
      <c r="R1423">
        <v>-4.2328890000000001E-3</v>
      </c>
      <c r="S1423">
        <v>3.052292</v>
      </c>
      <c r="T1423">
        <v>-0.103384</v>
      </c>
      <c r="U1423">
        <v>-0.42431639999999998</v>
      </c>
      <c r="V1423">
        <v>9.0557120000000005E-3</v>
      </c>
      <c r="W1423">
        <v>0.17080200000000001</v>
      </c>
      <c r="X1423">
        <v>0.98526380000000002</v>
      </c>
      <c r="Y1423">
        <v>0.142403799999999</v>
      </c>
      <c r="Z1423">
        <v>-3.5298999999999999E-3</v>
      </c>
      <c r="AA1423">
        <v>0.98980239999999997</v>
      </c>
      <c r="AB1423">
        <v>21</v>
      </c>
      <c r="AC1423">
        <v>33.004600000000003</v>
      </c>
      <c r="AD1423">
        <v>-1.121709016609</v>
      </c>
      <c r="AE1423">
        <v>-4.6043999999999903</v>
      </c>
      <c r="AF1423">
        <v>4.7598890951419897</v>
      </c>
      <c r="AG1423">
        <v>-1.121709016609</v>
      </c>
      <c r="AH1423">
        <v>32.944428731783397</v>
      </c>
      <c r="AI1423">
        <v>91.930057427873095</v>
      </c>
      <c r="AJ1423">
        <v>81.778662277938807</v>
      </c>
      <c r="AK1423">
        <v>33.305407365464603</v>
      </c>
      <c r="AL1423">
        <v>80.165548127081294</v>
      </c>
      <c r="AM1423">
        <v>89.473400455432994</v>
      </c>
      <c r="AN1423">
        <v>1.00000004235713</v>
      </c>
    </row>
    <row r="1424" spans="1:40" x14ac:dyDescent="0.25">
      <c r="A1424" t="str">
        <f>"20190303161904439"</f>
        <v>20190303161904439</v>
      </c>
      <c r="B1424" t="str">
        <f>"1551601144434186"</f>
        <v>1551601144434186</v>
      </c>
      <c r="C1424" t="s">
        <v>40</v>
      </c>
      <c r="D1424">
        <v>4.7475239999999896</v>
      </c>
      <c r="E1424">
        <v>0.55322660000000001</v>
      </c>
      <c r="F1424" t="s">
        <v>46</v>
      </c>
      <c r="G1424">
        <v>-209.22120000000001</v>
      </c>
      <c r="H1424" s="1">
        <v>-6.0688999999999996E-6</v>
      </c>
      <c r="I1424">
        <v>362.92880000000002</v>
      </c>
      <c r="J1424">
        <v>-241.91839999999999</v>
      </c>
      <c r="K1424">
        <v>1.1217010000000001</v>
      </c>
      <c r="L1424">
        <v>367.50639999999999</v>
      </c>
      <c r="M1424">
        <v>0.99988350000000004</v>
      </c>
      <c r="N1424">
        <v>-1.4476030000000001E-2</v>
      </c>
      <c r="O1424">
        <v>4.8755909999999899E-3</v>
      </c>
      <c r="P1424">
        <v>0.98771350000000002</v>
      </c>
      <c r="Q1424">
        <v>0.1562074</v>
      </c>
      <c r="R1424">
        <v>-4.6828420000000004E-3</v>
      </c>
      <c r="S1424">
        <v>3.0521699999999998</v>
      </c>
      <c r="T1424">
        <v>-0.1042664</v>
      </c>
      <c r="U1424">
        <v>-0.42544559999999998</v>
      </c>
      <c r="V1424">
        <v>9.5055650000000005E-3</v>
      </c>
      <c r="W1424">
        <v>0.17048859999999999</v>
      </c>
      <c r="X1424">
        <v>0.98531380000000002</v>
      </c>
      <c r="Y1424">
        <v>0.14276629999999901</v>
      </c>
      <c r="Z1424">
        <v>-3.56041E-3</v>
      </c>
      <c r="AA1424">
        <v>0.98975000000000002</v>
      </c>
      <c r="AB1424">
        <v>21</v>
      </c>
      <c r="AC1424">
        <v>32.697199999999903</v>
      </c>
      <c r="AD1424">
        <v>-1.1217070688999999</v>
      </c>
      <c r="AE1424">
        <v>-4.5775999999999604</v>
      </c>
      <c r="AF1424">
        <v>4.7315189756386298</v>
      </c>
      <c r="AG1424">
        <v>-1.1217070688999999</v>
      </c>
      <c r="AH1424">
        <v>32.636818696012902</v>
      </c>
      <c r="AI1424">
        <v>91.948095446731401</v>
      </c>
      <c r="AJ1424">
        <v>81.751022233884797</v>
      </c>
      <c r="AK1424">
        <v>32.997082191637297</v>
      </c>
      <c r="AL1424">
        <v>80.183771515547406</v>
      </c>
      <c r="AM1424">
        <v>89.447270644898097</v>
      </c>
      <c r="AN1424">
        <v>1.00000000148318</v>
      </c>
    </row>
    <row r="1425" spans="1:40" x14ac:dyDescent="0.25">
      <c r="A1425" t="str">
        <f>"20190303161904452"</f>
        <v>20190303161904452</v>
      </c>
      <c r="B1425" t="str">
        <f>"1551601144443946"</f>
        <v>1551601144443946</v>
      </c>
      <c r="C1425" t="s">
        <v>40</v>
      </c>
      <c r="D1425">
        <v>4.7396830000000003</v>
      </c>
      <c r="E1425">
        <v>0.55317550000000004</v>
      </c>
      <c r="F1425" t="s">
        <v>46</v>
      </c>
      <c r="G1425">
        <v>-209.62729999999999</v>
      </c>
      <c r="H1425" s="1">
        <v>-6.1943369999999997E-6</v>
      </c>
      <c r="I1425">
        <v>362.99619999999999</v>
      </c>
      <c r="J1425">
        <v>-241.79560000000001</v>
      </c>
      <c r="K1425">
        <v>1.1216969999999999</v>
      </c>
      <c r="L1425">
        <v>367.50700000000001</v>
      </c>
      <c r="M1425">
        <v>0.99988339999999998</v>
      </c>
      <c r="N1425">
        <v>-1.4473059999999999E-2</v>
      </c>
      <c r="O1425">
        <v>4.875613E-3</v>
      </c>
      <c r="P1425">
        <v>0.98775210000000002</v>
      </c>
      <c r="Q1425">
        <v>0.15595629999999999</v>
      </c>
      <c r="R1425">
        <v>-4.8768869999999999E-3</v>
      </c>
      <c r="S1425">
        <v>3.052063</v>
      </c>
      <c r="T1425">
        <v>-0.1060208</v>
      </c>
      <c r="U1425">
        <v>-0.42630000000000001</v>
      </c>
      <c r="V1425">
        <v>9.699816E-3</v>
      </c>
      <c r="W1425">
        <v>0.17023489999999999</v>
      </c>
      <c r="X1425">
        <v>0.9853558</v>
      </c>
      <c r="Y1425">
        <v>0.14303929999999901</v>
      </c>
      <c r="Z1425">
        <v>-3.6105740000000001E-3</v>
      </c>
      <c r="AA1425">
        <v>0.98971050000000005</v>
      </c>
      <c r="AB1425">
        <v>21</v>
      </c>
      <c r="AC1425">
        <v>32.168300000000002</v>
      </c>
      <c r="AD1425">
        <v>-1.1217031943369999</v>
      </c>
      <c r="AE1425">
        <v>-4.5107999999999597</v>
      </c>
      <c r="AF1425">
        <v>4.66204369030386</v>
      </c>
      <c r="AG1425">
        <v>-1.1217031943369999</v>
      </c>
      <c r="AH1425">
        <v>32.107635353871402</v>
      </c>
      <c r="AI1425">
        <v>91.980107452832897</v>
      </c>
      <c r="AJ1425">
        <v>81.738363622430995</v>
      </c>
      <c r="AK1425">
        <v>32.463720018563201</v>
      </c>
      <c r="AL1425">
        <v>80.198523382828796</v>
      </c>
      <c r="AM1425">
        <v>89.436000104539005</v>
      </c>
      <c r="AN1425">
        <v>1.0000000301010401</v>
      </c>
    </row>
    <row r="1426" spans="1:40" x14ac:dyDescent="0.25">
      <c r="A1426" t="str">
        <f>"20190303161904464"</f>
        <v>20190303161904464</v>
      </c>
      <c r="B1426" t="str">
        <f>"1551601144453706"</f>
        <v>1551601144453706</v>
      </c>
      <c r="C1426" t="s">
        <v>40</v>
      </c>
      <c r="D1426">
        <v>4.7520230000000003</v>
      </c>
      <c r="E1426">
        <v>0.55318319999999999</v>
      </c>
      <c r="F1426" t="s">
        <v>46</v>
      </c>
      <c r="G1426">
        <v>-209.89</v>
      </c>
      <c r="H1426" s="1">
        <v>-6.2736000000000004E-6</v>
      </c>
      <c r="I1426">
        <v>363.05149999999998</v>
      </c>
      <c r="J1426">
        <v>-241.67609999999999</v>
      </c>
      <c r="K1426">
        <v>1.1216969999999999</v>
      </c>
      <c r="L1426">
        <v>367.5077</v>
      </c>
      <c r="M1426">
        <v>0.99988339999999998</v>
      </c>
      <c r="N1426">
        <v>-1.4470190000000001E-2</v>
      </c>
      <c r="O1426">
        <v>4.8756340000000002E-3</v>
      </c>
      <c r="P1426">
        <v>0.98779349999999999</v>
      </c>
      <c r="Q1426">
        <v>0.15568379999999901</v>
      </c>
      <c r="R1426">
        <v>-5.1691339999999997E-3</v>
      </c>
      <c r="S1426">
        <v>3.0520320000000001</v>
      </c>
      <c r="T1426">
        <v>-0.1072999</v>
      </c>
      <c r="U1426">
        <v>-0.42620849999999999</v>
      </c>
      <c r="V1426">
        <v>9.9923919999999992E-3</v>
      </c>
      <c r="W1426">
        <v>0.16996</v>
      </c>
      <c r="X1426">
        <v>0.98540030000000001</v>
      </c>
      <c r="Y1426">
        <v>0.143009</v>
      </c>
      <c r="Z1426">
        <v>-3.6415050000000002E-3</v>
      </c>
      <c r="AA1426">
        <v>0.98971469999999995</v>
      </c>
      <c r="AB1426">
        <v>21</v>
      </c>
      <c r="AC1426">
        <v>31.786100000000001</v>
      </c>
      <c r="AD1426">
        <v>-1.1217032736000001</v>
      </c>
      <c r="AE1426">
        <v>-4.4562000000000204</v>
      </c>
      <c r="AF1426">
        <v>4.60551584521302</v>
      </c>
      <c r="AG1426">
        <v>-1.1217032736000001</v>
      </c>
      <c r="AH1426">
        <v>31.725246437776701</v>
      </c>
      <c r="AI1426">
        <v>92.003963785409496</v>
      </c>
      <c r="AJ1426">
        <v>81.740140821582997</v>
      </c>
      <c r="AK1426">
        <v>32.077410368858899</v>
      </c>
      <c r="AL1426">
        <v>80.2145066224776</v>
      </c>
      <c r="AM1426">
        <v>89.419015534911793</v>
      </c>
      <c r="AN1426">
        <v>1.00000000036898</v>
      </c>
    </row>
    <row r="1427" spans="1:40" x14ac:dyDescent="0.25">
      <c r="A1427" t="str">
        <f>"20190303161904476"</f>
        <v>20190303161904476</v>
      </c>
      <c r="B1427" t="str">
        <f>"1551601144464444"</f>
        <v>1551601144464444</v>
      </c>
      <c r="C1427" t="s">
        <v>40</v>
      </c>
      <c r="D1427">
        <v>4.745425</v>
      </c>
      <c r="E1427">
        <v>0.55319600000000002</v>
      </c>
      <c r="F1427" t="s">
        <v>41</v>
      </c>
      <c r="G1427">
        <v>-210.04089999999999</v>
      </c>
      <c r="H1427" s="1">
        <v>-5.4142249999999998E-6</v>
      </c>
      <c r="I1427">
        <v>363.07990000000001</v>
      </c>
      <c r="J1427">
        <v>-241.56829999999999</v>
      </c>
      <c r="K1427">
        <v>1.1216950000000001</v>
      </c>
      <c r="L1427">
        <v>367.50819999999999</v>
      </c>
      <c r="M1427">
        <v>0.99988350000000004</v>
      </c>
      <c r="N1427">
        <v>-1.4467570000000001E-2</v>
      </c>
      <c r="O1427">
        <v>4.8754740000000003E-3</v>
      </c>
      <c r="P1427">
        <v>0.98784620000000001</v>
      </c>
      <c r="Q1427">
        <v>0.155339899999999</v>
      </c>
      <c r="R1427">
        <v>-5.4336940000000002E-3</v>
      </c>
      <c r="S1427">
        <v>3.0518800000000001</v>
      </c>
      <c r="T1427">
        <v>-0.1082115</v>
      </c>
      <c r="U1427">
        <v>-0.42715449999999999</v>
      </c>
      <c r="V1427">
        <v>1.025707E-2</v>
      </c>
      <c r="W1427">
        <v>0.1696146</v>
      </c>
      <c r="X1427">
        <v>0.98545709999999997</v>
      </c>
      <c r="Y1427">
        <v>0.14331450000000001</v>
      </c>
      <c r="Z1427">
        <v>-3.6717239999999999E-3</v>
      </c>
      <c r="AA1427">
        <v>0.98967039999999995</v>
      </c>
      <c r="AB1427">
        <v>21</v>
      </c>
      <c r="AC1427">
        <v>31.5274</v>
      </c>
      <c r="AD1427">
        <v>-1.121700414225</v>
      </c>
      <c r="AE1427">
        <v>-4.4282999999999699</v>
      </c>
      <c r="AF1427">
        <v>4.5762936952428497</v>
      </c>
      <c r="AG1427">
        <v>-1.121700414225</v>
      </c>
      <c r="AH1427">
        <v>31.466372239445199</v>
      </c>
      <c r="AI1427">
        <v>92.020355360114095</v>
      </c>
      <c r="AJ1427">
        <v>81.725236212283704</v>
      </c>
      <c r="AK1427">
        <v>31.8171849432931</v>
      </c>
      <c r="AL1427">
        <v>80.234588229011294</v>
      </c>
      <c r="AM1427">
        <v>89.403661914778894</v>
      </c>
      <c r="AN1427">
        <v>1.0000000079792699</v>
      </c>
    </row>
    <row r="1428" spans="1:40" x14ac:dyDescent="0.25">
      <c r="A1428" t="str">
        <f>"20190303161904490"</f>
        <v>20190303161904490</v>
      </c>
      <c r="B1428" t="str">
        <f>"1551601144483962"</f>
        <v>1551601144483962</v>
      </c>
      <c r="C1428" t="s">
        <v>40</v>
      </c>
      <c r="D1428">
        <v>4.7344359999999996</v>
      </c>
      <c r="E1428">
        <v>0.55320309999999995</v>
      </c>
      <c r="F1428" t="s">
        <v>41</v>
      </c>
      <c r="G1428">
        <v>-210.25139999999999</v>
      </c>
      <c r="H1428" s="1">
        <v>-5.3177900000000003E-6</v>
      </c>
      <c r="I1428">
        <v>363.11439999999999</v>
      </c>
      <c r="J1428">
        <v>-241.43270000000001</v>
      </c>
      <c r="K1428">
        <v>1.1216930000000001</v>
      </c>
      <c r="L1428">
        <v>367.50889999999998</v>
      </c>
      <c r="M1428">
        <v>0.99988359999999998</v>
      </c>
      <c r="N1428">
        <v>-1.446424E-2</v>
      </c>
      <c r="O1428">
        <v>4.8753199999999998E-3</v>
      </c>
      <c r="P1428">
        <v>0.98788180000000003</v>
      </c>
      <c r="Q1428">
        <v>0.15509770000000001</v>
      </c>
      <c r="R1428">
        <v>-5.8506819999999899E-3</v>
      </c>
      <c r="S1428">
        <v>3.0517430000000001</v>
      </c>
      <c r="T1428">
        <v>-0.1093063</v>
      </c>
      <c r="U1428">
        <v>-0.42816159999999998</v>
      </c>
      <c r="V1428">
        <v>1.067419E-2</v>
      </c>
      <c r="W1428">
        <v>0.1693693</v>
      </c>
      <c r="X1428">
        <v>0.98549489999999995</v>
      </c>
      <c r="Y1428">
        <v>0.14363819999999999</v>
      </c>
      <c r="Z1428">
        <v>-3.7070100000000002E-3</v>
      </c>
      <c r="AA1428">
        <v>0.98962329999999998</v>
      </c>
      <c r="AB1428">
        <v>21</v>
      </c>
      <c r="AC1428">
        <v>31.1813</v>
      </c>
      <c r="AD1428">
        <v>-1.12169831779</v>
      </c>
      <c r="AE1428">
        <v>-4.3944999999999901</v>
      </c>
      <c r="AF1428">
        <v>4.5407208172532902</v>
      </c>
      <c r="AG1428">
        <v>-1.12169831779</v>
      </c>
      <c r="AH1428">
        <v>31.120014807776599</v>
      </c>
      <c r="AI1428">
        <v>92.0426801577335</v>
      </c>
      <c r="AJ1428">
        <v>81.698554855548906</v>
      </c>
      <c r="AK1428">
        <v>31.469535654226</v>
      </c>
      <c r="AL1428">
        <v>80.248849612002601</v>
      </c>
      <c r="AM1428">
        <v>89.379436543084694</v>
      </c>
      <c r="AN1428">
        <v>1.0000000480203199</v>
      </c>
    </row>
    <row r="1429" spans="1:40" x14ac:dyDescent="0.25">
      <c r="A1429" t="str">
        <f>"20190303161904504"</f>
        <v>20190303161904504</v>
      </c>
      <c r="B1429" t="str">
        <f>"1551601144493723"</f>
        <v>1551601144493723</v>
      </c>
      <c r="C1429" t="s">
        <v>40</v>
      </c>
      <c r="D1429">
        <v>4.7088020000000004</v>
      </c>
      <c r="E1429">
        <v>0.55320329999999995</v>
      </c>
      <c r="F1429" t="s">
        <v>41</v>
      </c>
      <c r="G1429">
        <v>-210.38550000000001</v>
      </c>
      <c r="H1429" s="1">
        <v>-5.2557449999999899E-6</v>
      </c>
      <c r="I1429">
        <v>363.14</v>
      </c>
      <c r="J1429">
        <v>-241.2955</v>
      </c>
      <c r="K1429">
        <v>1.1216919999999999</v>
      </c>
      <c r="L1429">
        <v>367.5095</v>
      </c>
      <c r="M1429">
        <v>0.99988359999999998</v>
      </c>
      <c r="N1429">
        <v>-1.4460829999999999E-2</v>
      </c>
      <c r="O1429">
        <v>4.8753440000000002E-3</v>
      </c>
      <c r="P1429">
        <v>0.98794029999999999</v>
      </c>
      <c r="Q1429">
        <v>0.15471699999999999</v>
      </c>
      <c r="R1429">
        <v>-6.0557600000000003E-3</v>
      </c>
      <c r="S1429">
        <v>3.0516049999999999</v>
      </c>
      <c r="T1429">
        <v>-0.1102505</v>
      </c>
      <c r="U1429">
        <v>-0.42941279999999998</v>
      </c>
      <c r="V1429">
        <v>1.087953E-2</v>
      </c>
      <c r="W1429">
        <v>0.16898629999999901</v>
      </c>
      <c r="X1429">
        <v>0.9855583</v>
      </c>
      <c r="Y1429">
        <v>0.14404</v>
      </c>
      <c r="Z1429">
        <v>-3.740593E-3</v>
      </c>
      <c r="AA1429">
        <v>0.98956480000000002</v>
      </c>
      <c r="AB1429">
        <v>21</v>
      </c>
      <c r="AC1429">
        <v>30.91</v>
      </c>
      <c r="AD1429">
        <v>-1.121697255745</v>
      </c>
      <c r="AE1429">
        <v>-4.3695000000000102</v>
      </c>
      <c r="AF1429">
        <v>4.5143322345426702</v>
      </c>
      <c r="AG1429">
        <v>-1.121697255745</v>
      </c>
      <c r="AH1429">
        <v>30.848498995769901</v>
      </c>
      <c r="AI1429">
        <v>92.060515299634005</v>
      </c>
      <c r="AJ1429">
        <v>81.674499236662399</v>
      </c>
      <c r="AK1429">
        <v>31.197232097565799</v>
      </c>
      <c r="AL1429">
        <v>80.271113855333496</v>
      </c>
      <c r="AM1429">
        <v>89.367540374083802</v>
      </c>
      <c r="AN1429">
        <v>0.99999994822979899</v>
      </c>
    </row>
    <row r="1430" spans="1:40" x14ac:dyDescent="0.25">
      <c r="A1430" t="str">
        <f>"20190303161904520"</f>
        <v>20190303161904520</v>
      </c>
      <c r="B1430" t="str">
        <f>"1551601144504458"</f>
        <v>1551601144504458</v>
      </c>
      <c r="C1430" t="s">
        <v>40</v>
      </c>
      <c r="D1430">
        <v>4.7474369999999997</v>
      </c>
      <c r="E1430">
        <v>0.55318869999999998</v>
      </c>
      <c r="F1430" t="s">
        <v>41</v>
      </c>
      <c r="G1430">
        <v>-210.60220000000001</v>
      </c>
      <c r="H1430" s="1">
        <v>-5.1548589999999999E-6</v>
      </c>
      <c r="I1430">
        <v>363.18439999999998</v>
      </c>
      <c r="J1430">
        <v>-241.15440000000001</v>
      </c>
      <c r="K1430">
        <v>1.12169599999999</v>
      </c>
      <c r="L1430">
        <v>367.5102</v>
      </c>
      <c r="M1430">
        <v>0.99988359999999998</v>
      </c>
      <c r="N1430">
        <v>-1.4457499999999899E-2</v>
      </c>
      <c r="O1430">
        <v>4.8753679999999997E-3</v>
      </c>
      <c r="P1430">
        <v>0.98802559999999995</v>
      </c>
      <c r="Q1430">
        <v>0.15415479999999901</v>
      </c>
      <c r="R1430">
        <v>-6.4735119999999998E-3</v>
      </c>
      <c r="S1430">
        <v>3.051437</v>
      </c>
      <c r="T1430">
        <v>-0.1115159</v>
      </c>
      <c r="U1430">
        <v>-0.42999270000000001</v>
      </c>
      <c r="V1430">
        <v>1.129753E-2</v>
      </c>
      <c r="W1430">
        <v>0.16842179999999901</v>
      </c>
      <c r="X1430">
        <v>0.98565029999999998</v>
      </c>
      <c r="Y1430">
        <v>0.1442292</v>
      </c>
      <c r="Z1430">
        <v>-3.7770199999999999E-3</v>
      </c>
      <c r="AA1430">
        <v>0.98953709999999995</v>
      </c>
      <c r="AB1430">
        <v>21</v>
      </c>
      <c r="AC1430">
        <v>30.552199999999999</v>
      </c>
      <c r="AD1430">
        <v>-1.1217011548589999</v>
      </c>
      <c r="AE1430">
        <v>-4.3258000000000099</v>
      </c>
      <c r="AF1430">
        <v>4.4688120751684801</v>
      </c>
      <c r="AG1430">
        <v>-1.1217011548589999</v>
      </c>
      <c r="AH1430">
        <v>30.4904532823351</v>
      </c>
      <c r="AI1430">
        <v>92.084630354034701</v>
      </c>
      <c r="AJ1430">
        <v>81.661849923671198</v>
      </c>
      <c r="AK1430">
        <v>30.836605458549499</v>
      </c>
      <c r="AL1430">
        <v>80.303928408841799</v>
      </c>
      <c r="AM1430">
        <v>89.3433041686107</v>
      </c>
      <c r="AN1430">
        <v>1.0000000253947099</v>
      </c>
    </row>
    <row r="1431" spans="1:40" x14ac:dyDescent="0.25">
      <c r="A1431" t="str">
        <f>"20190303161904534"</f>
        <v>20190303161904534</v>
      </c>
      <c r="B1431" t="str">
        <f>"1551601144523979"</f>
        <v>1551601144523979</v>
      </c>
      <c r="C1431" t="s">
        <v>40</v>
      </c>
      <c r="D1431">
        <v>4.7403789999999999</v>
      </c>
      <c r="E1431">
        <v>0.5533034</v>
      </c>
      <c r="F1431" t="s">
        <v>41</v>
      </c>
      <c r="G1431">
        <v>-210.9931</v>
      </c>
      <c r="H1431" s="1">
        <v>-4.9754230000000003E-6</v>
      </c>
      <c r="I1431">
        <v>363.25060000000002</v>
      </c>
      <c r="J1431">
        <v>-241.0154</v>
      </c>
      <c r="K1431">
        <v>1.1216919999999999</v>
      </c>
      <c r="L1431">
        <v>367.51080000000002</v>
      </c>
      <c r="M1431">
        <v>0.99988370000000004</v>
      </c>
      <c r="N1431">
        <v>-1.445419E-2</v>
      </c>
      <c r="O1431">
        <v>4.8752140000000001E-3</v>
      </c>
      <c r="P1431">
        <v>0.98808019999999996</v>
      </c>
      <c r="Q1431">
        <v>0.15380379999999999</v>
      </c>
      <c r="R1431">
        <v>-6.5039929999999996E-3</v>
      </c>
      <c r="S1431">
        <v>3.0512389999999998</v>
      </c>
      <c r="T1431">
        <v>-0.1134754</v>
      </c>
      <c r="U1431">
        <v>-0.43090820000000002</v>
      </c>
      <c r="V1431">
        <v>1.1328120000000001E-2</v>
      </c>
      <c r="W1431">
        <v>0.1680683</v>
      </c>
      <c r="X1431">
        <v>0.98571030000000004</v>
      </c>
      <c r="Y1431">
        <v>0.1445246</v>
      </c>
      <c r="Z1431">
        <v>-3.8337179999999998E-3</v>
      </c>
      <c r="AA1431">
        <v>0.98949379999999998</v>
      </c>
      <c r="AB1431">
        <v>21</v>
      </c>
      <c r="AC1431">
        <v>30.022300000000001</v>
      </c>
      <c r="AD1431">
        <v>-1.121696975423</v>
      </c>
      <c r="AE1431">
        <v>-4.2601999999999904</v>
      </c>
      <c r="AF1431">
        <v>4.4005082376961697</v>
      </c>
      <c r="AG1431">
        <v>-1.121696975423</v>
      </c>
      <c r="AH1431">
        <v>29.960174833402998</v>
      </c>
      <c r="AI1431">
        <v>92.121390158246101</v>
      </c>
      <c r="AJ1431">
        <v>81.644222155824593</v>
      </c>
      <c r="AK1431">
        <v>30.3023885676159</v>
      </c>
      <c r="AL1431">
        <v>80.324475478801006</v>
      </c>
      <c r="AM1431">
        <v>89.3415662860222</v>
      </c>
      <c r="AN1431">
        <v>1.0000000376468501</v>
      </c>
    </row>
    <row r="1432" spans="1:40" x14ac:dyDescent="0.25">
      <c r="A1432" t="str">
        <f>"20190303161904546"</f>
        <v>20190303161904546</v>
      </c>
      <c r="B1432" t="str">
        <f>"1551601144533738"</f>
        <v>1551601144533738</v>
      </c>
      <c r="C1432" t="s">
        <v>40</v>
      </c>
      <c r="D1432">
        <v>4.7313010000000002</v>
      </c>
      <c r="E1432">
        <v>0.5533034</v>
      </c>
      <c r="F1432" t="s">
        <v>41</v>
      </c>
      <c r="G1432">
        <v>-211.28380000000001</v>
      </c>
      <c r="H1432" s="1">
        <v>-4.8415570000000002E-6</v>
      </c>
      <c r="I1432">
        <v>363.30220000000003</v>
      </c>
      <c r="J1432">
        <v>-240.8997</v>
      </c>
      <c r="K1432">
        <v>1.1216900000000001</v>
      </c>
      <c r="L1432">
        <v>367.51139999999998</v>
      </c>
      <c r="M1432">
        <v>0.99988370000000004</v>
      </c>
      <c r="N1432">
        <v>-1.445141E-2</v>
      </c>
      <c r="O1432">
        <v>4.875234E-3</v>
      </c>
      <c r="P1432">
        <v>0.9881221</v>
      </c>
      <c r="Q1432">
        <v>0.1535311</v>
      </c>
      <c r="R1432">
        <v>-6.5677409999999898E-3</v>
      </c>
      <c r="S1432">
        <v>3.0512700000000001</v>
      </c>
      <c r="T1432">
        <v>-0.11511639999999999</v>
      </c>
      <c r="U1432">
        <v>-0.4319153</v>
      </c>
      <c r="V1432">
        <v>1.139221E-2</v>
      </c>
      <c r="W1432">
        <v>0.16779379999999999</v>
      </c>
      <c r="X1432">
        <v>0.98575630000000003</v>
      </c>
      <c r="Y1432">
        <v>0.14483969999999999</v>
      </c>
      <c r="Z1432">
        <v>-3.8829110000000002E-3</v>
      </c>
      <c r="AA1432">
        <v>0.98944750000000004</v>
      </c>
      <c r="AB1432">
        <v>21</v>
      </c>
      <c r="AC1432">
        <v>29.6158999999999</v>
      </c>
      <c r="AD1432">
        <v>-1.1216948415569901</v>
      </c>
      <c r="AE1432">
        <v>-4.2091999999999503</v>
      </c>
      <c r="AF1432">
        <v>4.3474365836839901</v>
      </c>
      <c r="AG1432">
        <v>-1.1216948415569901</v>
      </c>
      <c r="AH1432">
        <v>29.553470041124498</v>
      </c>
      <c r="AI1432">
        <v>92.150482982293298</v>
      </c>
      <c r="AJ1432">
        <v>81.631574710382694</v>
      </c>
      <c r="AK1432">
        <v>29.892574255797602</v>
      </c>
      <c r="AL1432">
        <v>80.340429493863397</v>
      </c>
      <c r="AM1432">
        <v>89.337872357209605</v>
      </c>
      <c r="AN1432">
        <v>1.0000000123784001</v>
      </c>
    </row>
    <row r="1433" spans="1:40" x14ac:dyDescent="0.25">
      <c r="A1433" t="str">
        <f>"20190303161904558"</f>
        <v>20190303161904558</v>
      </c>
      <c r="B1433" t="str">
        <f>"1551601144544474"</f>
        <v>1551601144544474</v>
      </c>
      <c r="C1433" t="s">
        <v>40</v>
      </c>
      <c r="D1433">
        <v>4.7446970000000004</v>
      </c>
      <c r="E1433">
        <v>0.55845999999999996</v>
      </c>
      <c r="F1433" t="s">
        <v>41</v>
      </c>
      <c r="G1433">
        <v>-211.3877</v>
      </c>
      <c r="H1433" s="1">
        <v>-4.7919190000000001E-6</v>
      </c>
      <c r="I1433">
        <v>363.33089999999999</v>
      </c>
      <c r="J1433">
        <v>-240.7851</v>
      </c>
      <c r="K1433">
        <v>1.1216900000000001</v>
      </c>
      <c r="L1433">
        <v>367.512</v>
      </c>
      <c r="M1433">
        <v>0.99988370000000004</v>
      </c>
      <c r="N1433">
        <v>-1.4448559999999999E-2</v>
      </c>
      <c r="O1433">
        <v>4.8752550000000002E-3</v>
      </c>
      <c r="P1433">
        <v>0.98819109999999999</v>
      </c>
      <c r="Q1433">
        <v>0.1530851</v>
      </c>
      <c r="R1433">
        <v>-6.6017209999999996E-3</v>
      </c>
      <c r="S1433">
        <v>3.0512079999999999</v>
      </c>
      <c r="T1433">
        <v>-0.11597010000000001</v>
      </c>
      <c r="U1433">
        <v>-0.43222050000000001</v>
      </c>
      <c r="V1433">
        <v>1.1426459999999999E-2</v>
      </c>
      <c r="W1433">
        <v>0.16734579999999999</v>
      </c>
      <c r="X1433">
        <v>0.98583200000000004</v>
      </c>
      <c r="Y1433">
        <v>0.1449376</v>
      </c>
      <c r="Z1433">
        <v>-3.9068280000000002E-3</v>
      </c>
      <c r="AA1433">
        <v>0.98943309999999995</v>
      </c>
      <c r="AB1433">
        <v>21</v>
      </c>
      <c r="AC1433">
        <v>29.397400000000001</v>
      </c>
      <c r="AD1433">
        <v>-1.1216947919189999</v>
      </c>
      <c r="AE1433">
        <v>-4.1810999999999501</v>
      </c>
      <c r="AF1433">
        <v>4.31822284051679</v>
      </c>
      <c r="AG1433">
        <v>-1.1216947919189999</v>
      </c>
      <c r="AH1433">
        <v>29.334802765711501</v>
      </c>
      <c r="AI1433">
        <v>92.166466398405802</v>
      </c>
      <c r="AJ1433">
        <v>81.625929047134903</v>
      </c>
      <c r="AK1433">
        <v>29.672140148795702</v>
      </c>
      <c r="AL1433">
        <v>80.366465612331893</v>
      </c>
      <c r="AM1433">
        <v>89.335932879652802</v>
      </c>
      <c r="AN1433">
        <v>0.99999995649488405</v>
      </c>
    </row>
    <row r="1434" spans="1:40" x14ac:dyDescent="0.25">
      <c r="A1434" t="str">
        <f>"20190303161904572"</f>
        <v>20190303161904572</v>
      </c>
      <c r="B1434" t="str">
        <f>"1551601144563995"</f>
        <v>1551601144563995</v>
      </c>
      <c r="C1434" t="s">
        <v>40</v>
      </c>
      <c r="D1434">
        <v>4.7390470000000002</v>
      </c>
      <c r="E1434">
        <v>0.55880069999999904</v>
      </c>
      <c r="F1434" t="s">
        <v>41</v>
      </c>
      <c r="G1434">
        <v>-216.1619</v>
      </c>
      <c r="H1434" s="1">
        <v>-2.867084E-6</v>
      </c>
      <c r="I1434">
        <v>363.69749999999999</v>
      </c>
      <c r="J1434">
        <v>-240.65090000000001</v>
      </c>
      <c r="K1434">
        <v>1.121694</v>
      </c>
      <c r="L1434">
        <v>367.51260000000002</v>
      </c>
      <c r="M1434">
        <v>0.99988390000000005</v>
      </c>
      <c r="N1434">
        <v>-1.444517E-2</v>
      </c>
      <c r="O1434">
        <v>4.8751009999999997E-3</v>
      </c>
      <c r="P1434">
        <v>0.98822129999999997</v>
      </c>
      <c r="Q1434">
        <v>0.15289140000000001</v>
      </c>
      <c r="R1434">
        <v>-6.576897E-3</v>
      </c>
      <c r="S1434">
        <v>3.0542600000000002</v>
      </c>
      <c r="T1434">
        <v>-0.13913429999999999</v>
      </c>
      <c r="U1434">
        <v>-0.47314450000000002</v>
      </c>
      <c r="V1434">
        <v>1.1401680000000001E-2</v>
      </c>
      <c r="W1434">
        <v>0.16714979999999999</v>
      </c>
      <c r="X1434">
        <v>0.98586560000000001</v>
      </c>
      <c r="Y1434">
        <v>0.15768960000000001</v>
      </c>
      <c r="Z1434">
        <v>-4.8657939999999997E-3</v>
      </c>
      <c r="AA1434">
        <v>0.98747680000000004</v>
      </c>
      <c r="AB1434">
        <v>21</v>
      </c>
      <c r="AC1434">
        <v>24.489000000000001</v>
      </c>
      <c r="AD1434">
        <v>-1.121696867084</v>
      </c>
      <c r="AE1434">
        <v>-3.8151000000000201</v>
      </c>
      <c r="AF1434">
        <v>3.9264109617315999</v>
      </c>
      <c r="AG1434">
        <v>-1.121696867084</v>
      </c>
      <c r="AH1434">
        <v>24.420088221332598</v>
      </c>
      <c r="AI1434">
        <v>92.596635833447195</v>
      </c>
      <c r="AJ1434">
        <v>80.865812017549004</v>
      </c>
      <c r="AK1434">
        <v>24.759152159145099</v>
      </c>
      <c r="AL1434">
        <v>80.377856614379695</v>
      </c>
      <c r="AM1434">
        <v>89.337395462164594</v>
      </c>
      <c r="AN1434">
        <v>1.00000001760511</v>
      </c>
    </row>
    <row r="1435" spans="1:40" x14ac:dyDescent="0.25">
      <c r="A1435" t="str">
        <f>"20190303161904587"</f>
        <v>20190303161904587</v>
      </c>
      <c r="B1435" t="str">
        <f>"1551601144573754"</f>
        <v>1551601144573754</v>
      </c>
      <c r="C1435" t="s">
        <v>40</v>
      </c>
      <c r="D1435">
        <v>4.7385440000000001</v>
      </c>
      <c r="E1435">
        <v>0.55890859999999998</v>
      </c>
      <c r="F1435" t="s">
        <v>41</v>
      </c>
      <c r="G1435">
        <v>-215.91059999999999</v>
      </c>
      <c r="H1435" s="1">
        <v>-2.9634869999999999E-6</v>
      </c>
      <c r="I1435">
        <v>363.65649999999999</v>
      </c>
      <c r="J1435">
        <v>-240.51650000000001</v>
      </c>
      <c r="K1435">
        <v>1.12169599999999</v>
      </c>
      <c r="L1435">
        <v>367.51319999999998</v>
      </c>
      <c r="M1435">
        <v>0.99988390000000005</v>
      </c>
      <c r="N1435">
        <v>-1.444172E-2</v>
      </c>
      <c r="O1435">
        <v>4.8751259999999996E-3</v>
      </c>
      <c r="P1435">
        <v>0.98822449999999995</v>
      </c>
      <c r="Q1435">
        <v>0.1528678</v>
      </c>
      <c r="R1435">
        <v>-6.6464180000000003E-3</v>
      </c>
      <c r="S1435">
        <v>3.0540470000000002</v>
      </c>
      <c r="T1435">
        <v>-0.1384667</v>
      </c>
      <c r="U1435">
        <v>-0.47601320000000003</v>
      </c>
      <c r="V1435">
        <v>1.147113E-2</v>
      </c>
      <c r="W1435">
        <v>0.16712249999999901</v>
      </c>
      <c r="X1435">
        <v>0.98586940000000001</v>
      </c>
      <c r="Y1435">
        <v>0.1586062</v>
      </c>
      <c r="Z1435">
        <v>-4.8747549999999997E-3</v>
      </c>
      <c r="AA1435">
        <v>0.98732989999999998</v>
      </c>
      <c r="AB1435">
        <v>21</v>
      </c>
      <c r="AC1435">
        <v>24.605899999999998</v>
      </c>
      <c r="AD1435">
        <v>-1.1216989634869901</v>
      </c>
      <c r="AE1435">
        <v>-3.85669999999998</v>
      </c>
      <c r="AF1435">
        <v>3.9685740374412499</v>
      </c>
      <c r="AG1435">
        <v>-1.1216989634869901</v>
      </c>
      <c r="AH1435">
        <v>24.537035031308999</v>
      </c>
      <c r="AI1435">
        <v>92.583895418899203</v>
      </c>
      <c r="AJ1435">
        <v>80.8126480682362</v>
      </c>
      <c r="AK1435">
        <v>24.881195240241599</v>
      </c>
      <c r="AL1435">
        <v>80.379442888777405</v>
      </c>
      <c r="AM1435">
        <v>89.333362332812101</v>
      </c>
      <c r="AN1435">
        <v>0.99999999534304296</v>
      </c>
    </row>
    <row r="1436" spans="1:40" x14ac:dyDescent="0.25">
      <c r="A1436" t="str">
        <f>"20190303161904598"</f>
        <v>20190303161904598</v>
      </c>
      <c r="B1436" t="str">
        <f>"1551601144584491"</f>
        <v>1551601144584491</v>
      </c>
      <c r="C1436" t="s">
        <v>40</v>
      </c>
      <c r="D1436">
        <v>4.7180010000000001</v>
      </c>
      <c r="E1436">
        <v>0.55873819999999996</v>
      </c>
      <c r="F1436" t="s">
        <v>41</v>
      </c>
      <c r="G1436">
        <v>-215.86770000000001</v>
      </c>
      <c r="H1436" s="1">
        <v>-2.9754610000000001E-6</v>
      </c>
      <c r="I1436">
        <v>363.66649999999998</v>
      </c>
      <c r="J1436">
        <v>-240.41249999999999</v>
      </c>
      <c r="K1436">
        <v>1.12169599999999</v>
      </c>
      <c r="L1436">
        <v>367.5138</v>
      </c>
      <c r="M1436">
        <v>0.99988390000000005</v>
      </c>
      <c r="N1436">
        <v>-1.443903E-2</v>
      </c>
      <c r="O1436">
        <v>4.8751460000000003E-3</v>
      </c>
      <c r="P1436">
        <v>0.98823490000000003</v>
      </c>
      <c r="Q1436">
        <v>0.15280379999999999</v>
      </c>
      <c r="R1436">
        <v>-6.5612450000000003E-3</v>
      </c>
      <c r="S1436">
        <v>3.0540470000000002</v>
      </c>
      <c r="T1436">
        <v>-0.13898060000000001</v>
      </c>
      <c r="U1436">
        <v>-0.47662349999999998</v>
      </c>
      <c r="V1436">
        <v>1.1386149999999999E-2</v>
      </c>
      <c r="W1436">
        <v>0.16705619999999999</v>
      </c>
      <c r="X1436">
        <v>0.98588160000000002</v>
      </c>
      <c r="Y1436">
        <v>0.1587972</v>
      </c>
      <c r="Z1436">
        <v>-4.8942839999999996E-3</v>
      </c>
      <c r="AA1436">
        <v>0.98729909999999999</v>
      </c>
      <c r="AB1436">
        <v>21</v>
      </c>
      <c r="AC1436">
        <v>24.544799999999899</v>
      </c>
      <c r="AD1436">
        <v>-1.1216989754609901</v>
      </c>
      <c r="AE1436">
        <v>-3.8473000000000099</v>
      </c>
      <c r="AF1436">
        <v>3.9588564391487</v>
      </c>
      <c r="AG1436">
        <v>-1.1216989754609901</v>
      </c>
      <c r="AH1436">
        <v>24.4758582327695</v>
      </c>
      <c r="AI1436">
        <v>92.590342094030504</v>
      </c>
      <c r="AJ1436">
        <v>80.812244239088002</v>
      </c>
      <c r="AK1436">
        <v>24.819314840018698</v>
      </c>
      <c r="AL1436">
        <v>80.383295554432195</v>
      </c>
      <c r="AM1436">
        <v>89.338308640127806</v>
      </c>
      <c r="AN1436">
        <v>0.99999997379440997</v>
      </c>
    </row>
    <row r="1437" spans="1:40" x14ac:dyDescent="0.25">
      <c r="A1437" t="str">
        <f>"20190303161904608"</f>
        <v>20190303161904608</v>
      </c>
      <c r="B1437" t="str">
        <f>"1551601144594251"</f>
        <v>1551601144594251</v>
      </c>
      <c r="C1437" t="s">
        <v>40</v>
      </c>
      <c r="D1437">
        <v>4.7408279999999996</v>
      </c>
      <c r="E1437">
        <v>0.55877849999999996</v>
      </c>
      <c r="F1437" t="s">
        <v>41</v>
      </c>
      <c r="G1437">
        <v>-216.0009</v>
      </c>
      <c r="H1437" s="1">
        <v>-2.9157930000000001E-6</v>
      </c>
      <c r="I1437">
        <v>363.72030000000001</v>
      </c>
      <c r="J1437">
        <v>-240.31530000000001</v>
      </c>
      <c r="K1437">
        <v>1.1216950000000001</v>
      </c>
      <c r="L1437">
        <v>367.51429999999999</v>
      </c>
      <c r="M1437">
        <v>0.99988390000000005</v>
      </c>
      <c r="N1437">
        <v>-1.443653E-2</v>
      </c>
      <c r="O1437">
        <v>4.8751640000000004E-3</v>
      </c>
      <c r="P1437">
        <v>0.98826519999999995</v>
      </c>
      <c r="Q1437">
        <v>0.15261549999999999</v>
      </c>
      <c r="R1437">
        <v>-6.3585890000000004E-3</v>
      </c>
      <c r="S1437">
        <v>3.0542449999999999</v>
      </c>
      <c r="T1437">
        <v>-0.14033999999999999</v>
      </c>
      <c r="U1437">
        <v>-0.47460940000000001</v>
      </c>
      <c r="V1437">
        <v>1.118364E-2</v>
      </c>
      <c r="W1437">
        <v>0.16686529999999899</v>
      </c>
      <c r="X1437">
        <v>0.98591629999999997</v>
      </c>
      <c r="Y1437">
        <v>0.15814890000000001</v>
      </c>
      <c r="Z1437">
        <v>-4.9117140000000002E-3</v>
      </c>
      <c r="AA1437">
        <v>0.98740300000000003</v>
      </c>
      <c r="AB1437">
        <v>21</v>
      </c>
      <c r="AC1437">
        <v>24.314399999999999</v>
      </c>
      <c r="AD1437">
        <v>-1.121697915793</v>
      </c>
      <c r="AE1437">
        <v>-3.7939999999999801</v>
      </c>
      <c r="AF1437">
        <v>3.9043918984769901</v>
      </c>
      <c r="AG1437">
        <v>-1.121697915793</v>
      </c>
      <c r="AH1437">
        <v>24.2452390292766</v>
      </c>
      <c r="AI1437">
        <v>92.615235538179306</v>
      </c>
      <c r="AJ1437">
        <v>80.851773698929605</v>
      </c>
      <c r="AK1437">
        <v>24.583207640540799</v>
      </c>
      <c r="AL1437">
        <v>80.394389542049893</v>
      </c>
      <c r="AM1437">
        <v>89.350099100407903</v>
      </c>
      <c r="AN1437">
        <v>1.0000000263767099</v>
      </c>
    </row>
    <row r="1438" spans="1:40" x14ac:dyDescent="0.25">
      <c r="A1438" t="str">
        <f>"20190303161904619"</f>
        <v>20190303161904619</v>
      </c>
      <c r="B1438" t="str">
        <f>"1551601144613770"</f>
        <v>1551601144613770</v>
      </c>
      <c r="C1438" t="s">
        <v>40</v>
      </c>
      <c r="D1438">
        <v>4.7186159999999999</v>
      </c>
      <c r="E1438">
        <v>0.558809</v>
      </c>
      <c r="F1438" t="s">
        <v>41</v>
      </c>
      <c r="G1438">
        <v>-216.0076</v>
      </c>
      <c r="H1438" s="1">
        <v>-2.9071789999999999E-6</v>
      </c>
      <c r="I1438">
        <v>363.74419999999998</v>
      </c>
      <c r="J1438">
        <v>-240.20529999999999</v>
      </c>
      <c r="K1438">
        <v>1.121694</v>
      </c>
      <c r="L1438">
        <v>367.51479999999998</v>
      </c>
      <c r="M1438">
        <v>0.99988390000000005</v>
      </c>
      <c r="N1438">
        <v>-1.4433710000000001E-2</v>
      </c>
      <c r="O1438">
        <v>4.8751849999999998E-3</v>
      </c>
      <c r="P1438">
        <v>0.98828389999999999</v>
      </c>
      <c r="Q1438">
        <v>0.1524826</v>
      </c>
      <c r="R1438">
        <v>-6.6415090000000003E-3</v>
      </c>
      <c r="S1438">
        <v>3.0543520000000002</v>
      </c>
      <c r="T1438">
        <v>-0.14094470000000001</v>
      </c>
      <c r="U1438">
        <v>-0.47372439999999999</v>
      </c>
      <c r="V1438">
        <v>1.146662E-2</v>
      </c>
      <c r="W1438">
        <v>0.16672989999999999</v>
      </c>
      <c r="X1438">
        <v>0.98593589999999998</v>
      </c>
      <c r="Y1438">
        <v>0.15786310000000001</v>
      </c>
      <c r="Z1438">
        <v>-4.9193049999999997E-3</v>
      </c>
      <c r="AA1438">
        <v>0.98744880000000002</v>
      </c>
      <c r="AB1438">
        <v>21</v>
      </c>
      <c r="AC1438">
        <v>24.197700000000001</v>
      </c>
      <c r="AD1438">
        <v>-1.1216969071789999</v>
      </c>
      <c r="AE1438">
        <v>-3.7706</v>
      </c>
      <c r="AF1438">
        <v>3.8803950823067002</v>
      </c>
      <c r="AG1438">
        <v>-1.1216969071789999</v>
      </c>
      <c r="AH1438">
        <v>24.128409238831001</v>
      </c>
      <c r="AI1438">
        <v>92.627966869131797</v>
      </c>
      <c r="AJ1438">
        <v>80.863770282063001</v>
      </c>
      <c r="AK1438">
        <v>24.4641738536757</v>
      </c>
      <c r="AL1438">
        <v>80.4022570756579</v>
      </c>
      <c r="AM1438">
        <v>89.333669347100795</v>
      </c>
      <c r="AN1438">
        <v>0.999999970918521</v>
      </c>
    </row>
    <row r="1439" spans="1:40" x14ac:dyDescent="0.25">
      <c r="A1439" t="str">
        <f>"20190303161904631"</f>
        <v>20190303161904631</v>
      </c>
      <c r="B1439" t="str">
        <f>"1551601144624508"</f>
        <v>1551601144624508</v>
      </c>
      <c r="C1439" t="s">
        <v>40</v>
      </c>
      <c r="D1439">
        <v>4.7640349999999998</v>
      </c>
      <c r="E1439">
        <v>0.5588689</v>
      </c>
      <c r="F1439" t="s">
        <v>41</v>
      </c>
      <c r="G1439">
        <v>-215.8186</v>
      </c>
      <c r="H1439" s="1">
        <v>-2.9772769999999999E-6</v>
      </c>
      <c r="I1439">
        <v>363.72239999999999</v>
      </c>
      <c r="J1439">
        <v>-240.09909999999999</v>
      </c>
      <c r="K1439">
        <v>1.1216950000000001</v>
      </c>
      <c r="L1439">
        <v>367.51530000000002</v>
      </c>
      <c r="M1439">
        <v>0.99988410000000005</v>
      </c>
      <c r="N1439">
        <v>-1.4431009999999999E-2</v>
      </c>
      <c r="O1439">
        <v>4.8750260000000002E-3</v>
      </c>
      <c r="P1439">
        <v>0.98830980000000002</v>
      </c>
      <c r="Q1439">
        <v>0.1523041</v>
      </c>
      <c r="R1439">
        <v>-6.8675259999999997E-3</v>
      </c>
      <c r="S1439">
        <v>3.0540620000000001</v>
      </c>
      <c r="T1439">
        <v>-0.1404754</v>
      </c>
      <c r="U1439">
        <v>-0.47494510000000001</v>
      </c>
      <c r="V1439">
        <v>1.169283E-2</v>
      </c>
      <c r="W1439">
        <v>0.16654939999999999</v>
      </c>
      <c r="X1439">
        <v>0.98596379999999995</v>
      </c>
      <c r="Y1439">
        <v>0.15826319999999999</v>
      </c>
      <c r="Z1439">
        <v>-4.9186400000000002E-3</v>
      </c>
      <c r="AA1439">
        <v>0.9873847</v>
      </c>
      <c r="AB1439">
        <v>21</v>
      </c>
      <c r="AC1439">
        <v>24.2804999999999</v>
      </c>
      <c r="AD1439">
        <v>-1.1216979772769999</v>
      </c>
      <c r="AE1439">
        <v>-3.7929000000000301</v>
      </c>
      <c r="AF1439">
        <v>3.90310369734443</v>
      </c>
      <c r="AG1439">
        <v>-1.1216979772769999</v>
      </c>
      <c r="AH1439">
        <v>24.211277984009801</v>
      </c>
      <c r="AI1439">
        <v>92.618828034736893</v>
      </c>
      <c r="AJ1439">
        <v>80.842130225990303</v>
      </c>
      <c r="AK1439">
        <v>24.549509291296399</v>
      </c>
      <c r="AL1439">
        <v>80.412746090541205</v>
      </c>
      <c r="AM1439">
        <v>89.320544624098503</v>
      </c>
      <c r="AN1439">
        <v>1.0000000199121</v>
      </c>
    </row>
    <row r="1440" spans="1:40" x14ac:dyDescent="0.25">
      <c r="A1440" t="str">
        <f>"20190303161904644"</f>
        <v>20190303161904644</v>
      </c>
      <c r="B1440" t="str">
        <f>"1551601144634266"</f>
        <v>1551601144634266</v>
      </c>
      <c r="C1440" t="s">
        <v>40</v>
      </c>
      <c r="D1440">
        <v>4.7758560000000001</v>
      </c>
      <c r="E1440">
        <v>0.55898300000000001</v>
      </c>
      <c r="F1440" t="s">
        <v>41</v>
      </c>
      <c r="G1440">
        <v>-215.83590000000001</v>
      </c>
      <c r="H1440" s="1">
        <v>-2.9693710000000002E-6</v>
      </c>
      <c r="I1440">
        <v>363.73</v>
      </c>
      <c r="J1440">
        <v>-239.97749999999999</v>
      </c>
      <c r="K1440">
        <v>1.1216950000000001</v>
      </c>
      <c r="L1440">
        <v>367.51589999999999</v>
      </c>
      <c r="M1440">
        <v>0.99988410000000005</v>
      </c>
      <c r="N1440">
        <v>-1.442792E-2</v>
      </c>
      <c r="O1440">
        <v>4.8750479999999999E-3</v>
      </c>
      <c r="P1440">
        <v>0.98833400000000005</v>
      </c>
      <c r="Q1440">
        <v>0.15213470000000001</v>
      </c>
      <c r="R1440">
        <v>-7.1399269999999999E-3</v>
      </c>
      <c r="S1440">
        <v>3.0539399999999999</v>
      </c>
      <c r="T1440">
        <v>-0.14118439999999999</v>
      </c>
      <c r="U1440">
        <v>-0.47644039999999999</v>
      </c>
      <c r="V1440">
        <v>1.19652E-2</v>
      </c>
      <c r="W1440">
        <v>0.16637729999999901</v>
      </c>
      <c r="X1440">
        <v>0.98598960000000002</v>
      </c>
      <c r="Y1440">
        <v>0.15873870000000001</v>
      </c>
      <c r="Z1440">
        <v>-4.952199E-3</v>
      </c>
      <c r="AA1440">
        <v>0.98730819999999997</v>
      </c>
      <c r="AB1440">
        <v>21</v>
      </c>
      <c r="AC1440">
        <v>24.141599999999901</v>
      </c>
      <c r="AD1440">
        <v>-1.1216979693709901</v>
      </c>
      <c r="AE1440">
        <v>-3.7858999999999599</v>
      </c>
      <c r="AF1440">
        <v>3.8953511242191898</v>
      </c>
      <c r="AG1440">
        <v>-1.1216979693709901</v>
      </c>
      <c r="AH1440">
        <v>24.072134247515802</v>
      </c>
      <c r="AI1440">
        <v>92.633691873121904</v>
      </c>
      <c r="AJ1440">
        <v>80.8080804219085</v>
      </c>
      <c r="AK1440">
        <v>24.411055158388098</v>
      </c>
      <c r="AL1440">
        <v>80.422746332732899</v>
      </c>
      <c r="AM1440">
        <v>89.304737279622202</v>
      </c>
      <c r="AN1440">
        <v>1.0000000316372399</v>
      </c>
    </row>
    <row r="1441" spans="1:40" x14ac:dyDescent="0.25">
      <c r="A1441" t="str">
        <f>"20190303161904655"</f>
        <v>20190303161904655</v>
      </c>
      <c r="B1441" t="str">
        <f>"1551601144644027"</f>
        <v>1551601144644027</v>
      </c>
      <c r="C1441" t="s">
        <v>40</v>
      </c>
      <c r="D1441">
        <v>4.7975089999999998</v>
      </c>
      <c r="E1441">
        <v>0.55902410000000002</v>
      </c>
      <c r="F1441" t="s">
        <v>41</v>
      </c>
      <c r="G1441">
        <v>-215.78399999999999</v>
      </c>
      <c r="H1441" s="1">
        <v>-2.9876410000000001E-6</v>
      </c>
      <c r="I1441">
        <v>363.72770000000003</v>
      </c>
      <c r="J1441">
        <v>-239.86699999999999</v>
      </c>
      <c r="K1441">
        <v>1.1216930000000001</v>
      </c>
      <c r="L1441">
        <v>367.51639999999998</v>
      </c>
      <c r="M1441">
        <v>0.99988410000000005</v>
      </c>
      <c r="N1441">
        <v>-1.442513E-2</v>
      </c>
      <c r="O1441">
        <v>4.8750690000000001E-3</v>
      </c>
      <c r="P1441">
        <v>0.98834540000000004</v>
      </c>
      <c r="Q1441">
        <v>0.15205070000000001</v>
      </c>
      <c r="R1441">
        <v>-7.3477289999999999E-3</v>
      </c>
      <c r="S1441">
        <v>3.053741</v>
      </c>
      <c r="T1441">
        <v>-0.14158200000000001</v>
      </c>
      <c r="U1441">
        <v>-0.4781494</v>
      </c>
      <c r="V1441">
        <v>1.2173069999999999E-2</v>
      </c>
      <c r="W1441">
        <v>0.16629079999999999</v>
      </c>
      <c r="X1441">
        <v>0.98600160000000003</v>
      </c>
      <c r="Y1441">
        <v>0.15928589999999901</v>
      </c>
      <c r="Z1441">
        <v>-4.9795899999999999E-3</v>
      </c>
      <c r="AA1441">
        <v>0.98721990000000004</v>
      </c>
      <c r="AB1441">
        <v>21</v>
      </c>
      <c r="AC1441">
        <v>24.082999999999998</v>
      </c>
      <c r="AD1441">
        <v>-1.121695987641</v>
      </c>
      <c r="AE1441">
        <v>-3.78869999999994</v>
      </c>
      <c r="AF1441">
        <v>3.8978219552099702</v>
      </c>
      <c r="AG1441">
        <v>-1.121695987641</v>
      </c>
      <c r="AH1441">
        <v>24.013406361724801</v>
      </c>
      <c r="AI1441">
        <v>92.6399115481954</v>
      </c>
      <c r="AJ1441">
        <v>80.780241380872297</v>
      </c>
      <c r="AK1441">
        <v>24.353539844887699</v>
      </c>
      <c r="AL1441">
        <v>80.427771978341497</v>
      </c>
      <c r="AM1441">
        <v>89.2926683873428</v>
      </c>
      <c r="AN1441">
        <v>0.99999998450021199</v>
      </c>
    </row>
    <row r="1442" spans="1:40" x14ac:dyDescent="0.25">
      <c r="A1442" t="str">
        <f>"20190303161904667"</f>
        <v>20190303161904667</v>
      </c>
      <c r="B1442" t="str">
        <f>"1551601144653787"</f>
        <v>1551601144653787</v>
      </c>
      <c r="C1442" t="s">
        <v>40</v>
      </c>
      <c r="D1442">
        <v>4.7927439999999999</v>
      </c>
      <c r="E1442">
        <v>0.55905689999999997</v>
      </c>
      <c r="F1442" t="s">
        <v>41</v>
      </c>
      <c r="G1442">
        <v>-215.66820000000001</v>
      </c>
      <c r="H1442" s="1">
        <v>-3.0294869999999998E-6</v>
      </c>
      <c r="I1442">
        <v>363.71850000000001</v>
      </c>
      <c r="J1442">
        <v>-239.76070000000001</v>
      </c>
      <c r="K1442">
        <v>1.1216930000000001</v>
      </c>
      <c r="L1442">
        <v>367.51690000000002</v>
      </c>
      <c r="M1442">
        <v>0.9998842</v>
      </c>
      <c r="N1442">
        <v>-1.442245E-2</v>
      </c>
      <c r="O1442">
        <v>4.8749689999999998E-3</v>
      </c>
      <c r="P1442">
        <v>0.98837759999999997</v>
      </c>
      <c r="Q1442">
        <v>0.1518321</v>
      </c>
      <c r="R1442">
        <v>-7.5296599999999997E-3</v>
      </c>
      <c r="S1442">
        <v>3.053604</v>
      </c>
      <c r="T1442">
        <v>-0.14154459999999999</v>
      </c>
      <c r="U1442">
        <v>-0.47924800000000001</v>
      </c>
      <c r="V1442">
        <v>1.235501E-2</v>
      </c>
      <c r="W1442">
        <v>0.16606979999999999</v>
      </c>
      <c r="X1442">
        <v>0.98603660000000004</v>
      </c>
      <c r="Y1442">
        <v>0.1596389</v>
      </c>
      <c r="Z1442">
        <v>-4.989144E-3</v>
      </c>
      <c r="AA1442">
        <v>0.98716289999999995</v>
      </c>
      <c r="AB1442">
        <v>21</v>
      </c>
      <c r="AC1442">
        <v>24.092500000000001</v>
      </c>
      <c r="AD1442">
        <v>-1.121696029487</v>
      </c>
      <c r="AE1442">
        <v>-3.7984000000000102</v>
      </c>
      <c r="AF1442">
        <v>3.9075525262832298</v>
      </c>
      <c r="AG1442">
        <v>-1.121696029487</v>
      </c>
      <c r="AH1442">
        <v>24.0228846972954</v>
      </c>
      <c r="AI1442">
        <v>92.638729275640401</v>
      </c>
      <c r="AJ1442">
        <v>80.761205504763097</v>
      </c>
      <c r="AK1442">
        <v>24.364444543386899</v>
      </c>
      <c r="AL1442">
        <v>80.440613049585494</v>
      </c>
      <c r="AM1442">
        <v>89.282123111808602</v>
      </c>
      <c r="AN1442">
        <v>1.0000000006418499</v>
      </c>
    </row>
    <row r="1443" spans="1:40" x14ac:dyDescent="0.25">
      <c r="A1443" t="str">
        <f>"20190303161904678"</f>
        <v>20190303161904678</v>
      </c>
      <c r="B1443" t="str">
        <f>"1551601144664522"</f>
        <v>1551601144664522</v>
      </c>
      <c r="C1443" t="s">
        <v>40</v>
      </c>
      <c r="D1443">
        <v>4.777704</v>
      </c>
      <c r="E1443">
        <v>0.55905559999999999</v>
      </c>
      <c r="F1443" t="s">
        <v>41</v>
      </c>
      <c r="G1443">
        <v>-215.60919999999999</v>
      </c>
      <c r="H1443" s="1">
        <v>-3.0494380000000002E-6</v>
      </c>
      <c r="I1443">
        <v>363.71899999999999</v>
      </c>
      <c r="J1443">
        <v>-239.65600000000001</v>
      </c>
      <c r="K1443">
        <v>1.121691</v>
      </c>
      <c r="L1443">
        <v>367.51749999999998</v>
      </c>
      <c r="M1443">
        <v>0.9998842</v>
      </c>
      <c r="N1443">
        <v>-1.4419799999999899E-2</v>
      </c>
      <c r="O1443">
        <v>4.8749880000000002E-3</v>
      </c>
      <c r="P1443">
        <v>0.9883826</v>
      </c>
      <c r="Q1443">
        <v>0.15178150000000001</v>
      </c>
      <c r="R1443">
        <v>-7.8923510000000006E-3</v>
      </c>
      <c r="S1443">
        <v>3.0534059999999998</v>
      </c>
      <c r="T1443">
        <v>-0.14181260000000001</v>
      </c>
      <c r="U1443">
        <v>-0.48016360000000002</v>
      </c>
      <c r="V1443">
        <v>1.271768E-2</v>
      </c>
      <c r="W1443">
        <v>0.16601669999999999</v>
      </c>
      <c r="X1443">
        <v>0.9860409</v>
      </c>
      <c r="Y1443">
        <v>0.15993640000000001</v>
      </c>
      <c r="Z1443">
        <v>-5.005537E-3</v>
      </c>
      <c r="AA1443">
        <v>0.98711459999999995</v>
      </c>
      <c r="AB1443">
        <v>21</v>
      </c>
      <c r="AC1443">
        <v>24.046799999999902</v>
      </c>
      <c r="AD1443">
        <v>-1.1216940494380001</v>
      </c>
      <c r="AE1443">
        <v>-3.79849999999999</v>
      </c>
      <c r="AF1443">
        <v>3.9073998584703999</v>
      </c>
      <c r="AG1443">
        <v>-1.1216940494380001</v>
      </c>
      <c r="AH1443">
        <v>23.977093531872502</v>
      </c>
      <c r="AI1443">
        <v>92.643629480131807</v>
      </c>
      <c r="AJ1443">
        <v>80.744221851260804</v>
      </c>
      <c r="AK1443">
        <v>24.319271893514401</v>
      </c>
      <c r="AL1443">
        <v>80.443697990253796</v>
      </c>
      <c r="AM1443">
        <v>89.261056018850496</v>
      </c>
      <c r="AN1443">
        <v>0.99999997026814003</v>
      </c>
    </row>
    <row r="1444" spans="1:40" x14ac:dyDescent="0.25">
      <c r="A1444" t="str">
        <f>"20190303161904691"</f>
        <v>20190303161904691</v>
      </c>
      <c r="B1444" t="str">
        <f>"1551601144684042"</f>
        <v>1551601144684042</v>
      </c>
      <c r="C1444" t="s">
        <v>40</v>
      </c>
      <c r="D1444">
        <v>4.801939</v>
      </c>
      <c r="E1444">
        <v>0.55928699999999998</v>
      </c>
      <c r="F1444" t="s">
        <v>41</v>
      </c>
      <c r="G1444">
        <v>-215.4667</v>
      </c>
      <c r="H1444" s="1">
        <v>-3.1010629999999999E-6</v>
      </c>
      <c r="I1444">
        <v>363.7072</v>
      </c>
      <c r="J1444">
        <v>-239.5368</v>
      </c>
      <c r="K1444">
        <v>1.121691</v>
      </c>
      <c r="L1444">
        <v>367.5181</v>
      </c>
      <c r="M1444">
        <v>0.9998842</v>
      </c>
      <c r="N1444">
        <v>-1.4416780000000001E-2</v>
      </c>
      <c r="O1444">
        <v>4.8750099999999999E-3</v>
      </c>
      <c r="P1444">
        <v>0.98840649999999997</v>
      </c>
      <c r="Q1444">
        <v>0.15162200000000001</v>
      </c>
      <c r="R1444">
        <v>-7.9758889999999999E-3</v>
      </c>
      <c r="S1444">
        <v>3.0531619999999999</v>
      </c>
      <c r="T1444">
        <v>-0.14157919999999999</v>
      </c>
      <c r="U1444">
        <v>-0.48092649999999998</v>
      </c>
      <c r="V1444">
        <v>1.2801440000000001E-2</v>
      </c>
      <c r="W1444">
        <v>0.16585440000000001</v>
      </c>
      <c r="X1444">
        <v>0.98606720000000003</v>
      </c>
      <c r="Y1444">
        <v>0.16018949999999901</v>
      </c>
      <c r="Z1444">
        <v>-5.0067940000000002E-3</v>
      </c>
      <c r="AA1444">
        <v>0.9870736</v>
      </c>
      <c r="AB1444">
        <v>21</v>
      </c>
      <c r="AC1444">
        <v>24.0701</v>
      </c>
      <c r="AD1444">
        <v>-1.1216941010629999</v>
      </c>
      <c r="AE1444">
        <v>-3.8109000000000002</v>
      </c>
      <c r="AF1444">
        <v>3.91990432396502</v>
      </c>
      <c r="AG1444">
        <v>-1.1216941010629999</v>
      </c>
      <c r="AH1444">
        <v>24.000387533817602</v>
      </c>
      <c r="AI1444">
        <v>92.640915346937703</v>
      </c>
      <c r="AJ1444">
        <v>80.723971442326004</v>
      </c>
      <c r="AK1444">
        <v>24.344248793890301</v>
      </c>
      <c r="AL1444">
        <v>80.453128505674002</v>
      </c>
      <c r="AM1444">
        <v>89.256209636177005</v>
      </c>
      <c r="AN1444">
        <v>1.00000004089063</v>
      </c>
    </row>
    <row r="1445" spans="1:40" x14ac:dyDescent="0.25">
      <c r="A1445" t="str">
        <f>"20190303161904705"</f>
        <v>20190303161904705</v>
      </c>
      <c r="B1445" t="str">
        <f>"1551601144693802"</f>
        <v>1551601144693802</v>
      </c>
      <c r="C1445" t="s">
        <v>40</v>
      </c>
      <c r="D1445">
        <v>4.8231400000000004</v>
      </c>
      <c r="E1445">
        <v>0.55932369999999898</v>
      </c>
      <c r="F1445" t="s">
        <v>41</v>
      </c>
      <c r="G1445">
        <v>-215.29239999999999</v>
      </c>
      <c r="H1445" s="1">
        <v>-3.1671160000000002E-6</v>
      </c>
      <c r="I1445">
        <v>363.68189999999998</v>
      </c>
      <c r="J1445">
        <v>-239.4057</v>
      </c>
      <c r="K1445">
        <v>1.121688</v>
      </c>
      <c r="L1445">
        <v>367.51870000000002</v>
      </c>
      <c r="M1445">
        <v>0.99988440000000001</v>
      </c>
      <c r="N1445">
        <v>-1.441344E-2</v>
      </c>
      <c r="O1445">
        <v>4.8748560000000003E-3</v>
      </c>
      <c r="P1445">
        <v>0.98846440000000002</v>
      </c>
      <c r="Q1445">
        <v>0.15124170000000001</v>
      </c>
      <c r="R1445">
        <v>-8.0161550000000005E-3</v>
      </c>
      <c r="S1445">
        <v>3.0529630000000001</v>
      </c>
      <c r="T1445">
        <v>-0.14124819999999999</v>
      </c>
      <c r="U1445">
        <v>-0.48306270000000001</v>
      </c>
      <c r="V1445">
        <v>1.2841730000000001E-2</v>
      </c>
      <c r="W1445">
        <v>0.16547210000000001</v>
      </c>
      <c r="X1445">
        <v>0.98613079999999997</v>
      </c>
      <c r="Y1445">
        <v>0.16087299999999999</v>
      </c>
      <c r="Z1445">
        <v>-5.0181660000000001E-3</v>
      </c>
      <c r="AA1445">
        <v>0.98696240000000002</v>
      </c>
      <c r="AB1445">
        <v>21</v>
      </c>
      <c r="AC1445">
        <v>24.113299999999999</v>
      </c>
      <c r="AD1445">
        <v>-1.1216911671159999</v>
      </c>
      <c r="AE1445">
        <v>-3.83680000000003</v>
      </c>
      <c r="AF1445">
        <v>3.9459876541625598</v>
      </c>
      <c r="AG1445">
        <v>-1.1216911671159999</v>
      </c>
      <c r="AH1445">
        <v>24.0435649208091</v>
      </c>
      <c r="AI1445">
        <v>92.635840388697005</v>
      </c>
      <c r="AJ1445">
        <v>80.679803778160405</v>
      </c>
      <c r="AK1445">
        <v>24.3910234254808</v>
      </c>
      <c r="AL1445">
        <v>80.475338618724905</v>
      </c>
      <c r="AM1445">
        <v>89.253917083275496</v>
      </c>
      <c r="AN1445">
        <v>0.99999994030821904</v>
      </c>
    </row>
    <row r="1446" spans="1:40" x14ac:dyDescent="0.25">
      <c r="A1446" t="str">
        <f>"20190303161904718"</f>
        <v>20190303161904718</v>
      </c>
      <c r="B1446" t="str">
        <f>"1551601144704538"</f>
        <v>1551601144704538</v>
      </c>
      <c r="C1446" t="s">
        <v>40</v>
      </c>
      <c r="D1446">
        <v>4.825418</v>
      </c>
      <c r="E1446">
        <v>0.55932709999999997</v>
      </c>
      <c r="F1446" t="s">
        <v>41</v>
      </c>
      <c r="G1446">
        <v>-215.35069999999999</v>
      </c>
      <c r="H1446" s="1">
        <v>-3.1401129999999999E-6</v>
      </c>
      <c r="I1446">
        <v>363.7088</v>
      </c>
      <c r="J1446">
        <v>-239.28630000000001</v>
      </c>
      <c r="K1446">
        <v>1.1216839999999999</v>
      </c>
      <c r="L1446">
        <v>367.51929999999999</v>
      </c>
      <c r="M1446">
        <v>0.99988440000000001</v>
      </c>
      <c r="N1446">
        <v>-1.441048E-2</v>
      </c>
      <c r="O1446">
        <v>4.8748769999999997E-3</v>
      </c>
      <c r="P1446">
        <v>0.98853080000000004</v>
      </c>
      <c r="Q1446">
        <v>0.15079870000000001</v>
      </c>
      <c r="R1446">
        <v>-8.1813890000000007E-3</v>
      </c>
      <c r="S1446">
        <v>3.0528719999999998</v>
      </c>
      <c r="T1446">
        <v>-0.1423558</v>
      </c>
      <c r="U1446">
        <v>-0.48352050000000002</v>
      </c>
      <c r="V1446">
        <v>1.3007289999999999E-2</v>
      </c>
      <c r="W1446">
        <v>0.16502720000000001</v>
      </c>
      <c r="X1446">
        <v>0.9862033</v>
      </c>
      <c r="Y1446">
        <v>0.16101869999999999</v>
      </c>
      <c r="Z1446">
        <v>-5.0531780000000002E-3</v>
      </c>
      <c r="AA1446">
        <v>0.98693839999999999</v>
      </c>
      <c r="AB1446">
        <v>21</v>
      </c>
      <c r="AC1446">
        <v>23.935600000000001</v>
      </c>
      <c r="AD1446">
        <v>-1.121687140113</v>
      </c>
      <c r="AE1446">
        <v>-3.81049999999999</v>
      </c>
      <c r="AF1446">
        <v>3.9187566070173099</v>
      </c>
      <c r="AG1446">
        <v>-1.121687140113</v>
      </c>
      <c r="AH1446">
        <v>23.865621751788499</v>
      </c>
      <c r="AI1446">
        <v>92.6554207524388</v>
      </c>
      <c r="AJ1446">
        <v>80.675192127150794</v>
      </c>
      <c r="AK1446">
        <v>24.211210977247202</v>
      </c>
      <c r="AL1446">
        <v>80.501185977568099</v>
      </c>
      <c r="AM1446">
        <v>89.244354982418699</v>
      </c>
      <c r="AN1446">
        <v>1.0000000576319299</v>
      </c>
    </row>
    <row r="1447" spans="1:40" x14ac:dyDescent="0.25">
      <c r="A1447" t="str">
        <f>"20190303161904735"</f>
        <v>20190303161904735</v>
      </c>
      <c r="B1447" t="str">
        <f>"1551601144724058"</f>
        <v>1551601144724058</v>
      </c>
      <c r="C1447" t="s">
        <v>40</v>
      </c>
      <c r="D1447">
        <v>4.8421659999999997</v>
      </c>
      <c r="E1447">
        <v>0.55931759999999997</v>
      </c>
      <c r="F1447" t="s">
        <v>41</v>
      </c>
      <c r="G1447">
        <v>-215.50739999999999</v>
      </c>
      <c r="H1447" s="1">
        <v>-3.0763850000000001E-6</v>
      </c>
      <c r="I1447">
        <v>363.74799999999999</v>
      </c>
      <c r="J1447">
        <v>-239.1234</v>
      </c>
      <c r="K1447">
        <v>1.121685</v>
      </c>
      <c r="L1447">
        <v>367.52010000000001</v>
      </c>
      <c r="M1447">
        <v>0.99988440000000001</v>
      </c>
      <c r="N1447">
        <v>-1.4406459999999999E-2</v>
      </c>
      <c r="O1447">
        <v>4.874906E-3</v>
      </c>
      <c r="P1447">
        <v>0.98854980000000003</v>
      </c>
      <c r="Q1447">
        <v>0.1506731</v>
      </c>
      <c r="R1447">
        <v>-8.1888050000000004E-3</v>
      </c>
      <c r="S1447">
        <v>3.052765</v>
      </c>
      <c r="T1447">
        <v>-0.144003399999999</v>
      </c>
      <c r="U1447">
        <v>-0.48416140000000002</v>
      </c>
      <c r="V1447">
        <v>1.301481E-2</v>
      </c>
      <c r="W1447">
        <v>0.16489789999999999</v>
      </c>
      <c r="X1447">
        <v>0.98622480000000001</v>
      </c>
      <c r="Y1447">
        <v>0.16122120000000001</v>
      </c>
      <c r="Z1447">
        <v>-5.104918E-3</v>
      </c>
      <c r="AA1447">
        <v>0.98690509999999998</v>
      </c>
      <c r="AB1447">
        <v>21</v>
      </c>
      <c r="AC1447">
        <v>23.616</v>
      </c>
      <c r="AD1447">
        <v>-1.1216880763849999</v>
      </c>
      <c r="AE1447">
        <v>-3.77209999999996</v>
      </c>
      <c r="AF1447">
        <v>3.8786604690066602</v>
      </c>
      <c r="AG1447">
        <v>-1.1216880763849999</v>
      </c>
      <c r="AH1447">
        <v>23.545532446893301</v>
      </c>
      <c r="AI1447">
        <v>92.6912415531432</v>
      </c>
      <c r="AJ1447">
        <v>80.645663782163894</v>
      </c>
      <c r="AK1447">
        <v>23.889208638677101</v>
      </c>
      <c r="AL1447">
        <v>80.508696956557898</v>
      </c>
      <c r="AM1447">
        <v>89.2439346474209</v>
      </c>
      <c r="AN1447">
        <v>1.00000002941939</v>
      </c>
    </row>
    <row r="1448" spans="1:40" x14ac:dyDescent="0.25">
      <c r="A1448" t="str">
        <f>"20190303161904748"</f>
        <v>20190303161904748</v>
      </c>
      <c r="B1448" t="str">
        <f>"1551601144733818"</f>
        <v>1551601144733818</v>
      </c>
      <c r="C1448" t="s">
        <v>40</v>
      </c>
      <c r="D1448">
        <v>4.8760969999999997</v>
      </c>
      <c r="E1448">
        <v>0.55931759999999997</v>
      </c>
      <c r="F1448" t="s">
        <v>41</v>
      </c>
      <c r="G1448">
        <v>-215.19730000000001</v>
      </c>
      <c r="H1448" s="1">
        <v>-3.1872519999999999E-6</v>
      </c>
      <c r="I1448">
        <v>363.7278</v>
      </c>
      <c r="J1448">
        <v>-239.00829999999999</v>
      </c>
      <c r="K1448">
        <v>1.121686</v>
      </c>
      <c r="L1448">
        <v>367.5206</v>
      </c>
      <c r="M1448">
        <v>0.99988440000000001</v>
      </c>
      <c r="N1448">
        <v>-1.4403620000000001E-2</v>
      </c>
      <c r="O1448">
        <v>4.8747479999999999E-3</v>
      </c>
      <c r="P1448">
        <v>0.98858029999999997</v>
      </c>
      <c r="Q1448">
        <v>0.15047720000000001</v>
      </c>
      <c r="R1448">
        <v>-8.1180430000000001E-3</v>
      </c>
      <c r="S1448">
        <v>3.0525359999999999</v>
      </c>
      <c r="T1448">
        <v>-0.14310719999999999</v>
      </c>
      <c r="U1448">
        <v>-0.48382570000000003</v>
      </c>
      <c r="V1448">
        <v>1.2943980000000001E-2</v>
      </c>
      <c r="W1448">
        <v>0.1646994</v>
      </c>
      <c r="X1448">
        <v>0.98625890000000005</v>
      </c>
      <c r="Y1448">
        <v>0.1611293</v>
      </c>
      <c r="Z1448">
        <v>-5.0772999999999999E-3</v>
      </c>
      <c r="AA1448">
        <v>0.98692020000000003</v>
      </c>
      <c r="AB1448">
        <v>21</v>
      </c>
      <c r="AC1448">
        <v>23.8109999999999</v>
      </c>
      <c r="AD1448">
        <v>-1.1216891872520001</v>
      </c>
      <c r="AE1448">
        <v>-3.7928000000000002</v>
      </c>
      <c r="AF1448">
        <v>3.9003981407782602</v>
      </c>
      <c r="AG1448">
        <v>-1.1216891872520001</v>
      </c>
      <c r="AH1448">
        <v>23.740844962047301</v>
      </c>
      <c r="AI1448">
        <v>92.669323558842194</v>
      </c>
      <c r="AJ1448">
        <v>80.670186661423799</v>
      </c>
      <c r="AK1448">
        <v>24.085244690501899</v>
      </c>
      <c r="AL1448">
        <v>80.520227817695897</v>
      </c>
      <c r="AM1448">
        <v>89.248074874861999</v>
      </c>
      <c r="AN1448">
        <v>1.0000000284038999</v>
      </c>
    </row>
    <row r="1449" spans="1:40" x14ac:dyDescent="0.25">
      <c r="A1449" t="str">
        <f>"20190303161904760"</f>
        <v>20190303161904760</v>
      </c>
      <c r="B1449" t="str">
        <f>"1551601144754315"</f>
        <v>1551601144754315</v>
      </c>
      <c r="C1449" t="s">
        <v>40</v>
      </c>
      <c r="D1449">
        <v>4.8836890000000004</v>
      </c>
      <c r="E1449">
        <v>0.54520950000000001</v>
      </c>
      <c r="F1449" t="s">
        <v>41</v>
      </c>
      <c r="G1449">
        <v>-215.1841</v>
      </c>
      <c r="H1449" s="1">
        <v>-3.1874990000000002E-6</v>
      </c>
      <c r="I1449">
        <v>363.74380000000002</v>
      </c>
      <c r="J1449">
        <v>-238.89609999999999</v>
      </c>
      <c r="K1449">
        <v>1.121685</v>
      </c>
      <c r="L1449">
        <v>367.52120000000002</v>
      </c>
      <c r="M1449">
        <v>0.99988440000000001</v>
      </c>
      <c r="N1449">
        <v>-1.440088E-2</v>
      </c>
      <c r="O1449">
        <v>4.8747679999999998E-3</v>
      </c>
      <c r="P1449">
        <v>0.98855680000000001</v>
      </c>
      <c r="Q1449">
        <v>0.15062410000000001</v>
      </c>
      <c r="R1449">
        <v>-8.2466959999999995E-3</v>
      </c>
      <c r="S1449">
        <v>3.0525509999999998</v>
      </c>
      <c r="T1449">
        <v>-0.14371989999999901</v>
      </c>
      <c r="U1449">
        <v>-0.48391719999999999</v>
      </c>
      <c r="V1449">
        <v>1.307271E-2</v>
      </c>
      <c r="W1449">
        <v>0.1648434</v>
      </c>
      <c r="X1449">
        <v>0.98623309999999997</v>
      </c>
      <c r="Y1449">
        <v>0.16115570000000001</v>
      </c>
      <c r="Z1449">
        <v>-5.0948950000000003E-3</v>
      </c>
      <c r="AA1449">
        <v>0.98691580000000001</v>
      </c>
      <c r="AB1449">
        <v>21</v>
      </c>
      <c r="AC1449">
        <v>23.7119999999999</v>
      </c>
      <c r="AD1449">
        <v>-1.1216881874989999</v>
      </c>
      <c r="AE1449">
        <v>-3.7774000000000001</v>
      </c>
      <c r="AF1449">
        <v>3.88448030727699</v>
      </c>
      <c r="AG1449">
        <v>-1.1216881874989999</v>
      </c>
      <c r="AH1449">
        <v>23.6417078953532</v>
      </c>
      <c r="AI1449">
        <v>92.680491497770205</v>
      </c>
      <c r="AJ1449">
        <v>80.6693148162027</v>
      </c>
      <c r="AK1449">
        <v>23.984947860206098</v>
      </c>
      <c r="AL1449">
        <v>80.511862475500706</v>
      </c>
      <c r="AM1449">
        <v>89.240577864093595</v>
      </c>
      <c r="AN1449">
        <v>0.99999998490295605</v>
      </c>
    </row>
    <row r="1450" spans="1:40" x14ac:dyDescent="0.25">
      <c r="A1450" t="str">
        <f>"20190303161904773"</f>
        <v>20190303161904773</v>
      </c>
      <c r="B1450" t="str">
        <f>"1551601144764075"</f>
        <v>1551601144764075</v>
      </c>
      <c r="C1450" t="s">
        <v>40</v>
      </c>
      <c r="D1450">
        <v>4.8672899999999997</v>
      </c>
      <c r="E1450">
        <v>0.54514280000000004</v>
      </c>
      <c r="F1450" t="s">
        <v>41</v>
      </c>
      <c r="G1450">
        <v>-214.0093</v>
      </c>
      <c r="H1450" s="1">
        <v>-3.4614259999999999E-6</v>
      </c>
      <c r="I1450">
        <v>364.49119999999999</v>
      </c>
      <c r="J1450">
        <v>-238.76830000000001</v>
      </c>
      <c r="K1450">
        <v>1.121686</v>
      </c>
      <c r="L1450">
        <v>367.52179999999998</v>
      </c>
      <c r="M1450">
        <v>0.99988469999999996</v>
      </c>
      <c r="N1450">
        <v>-1.4397750000000001E-2</v>
      </c>
      <c r="O1450">
        <v>4.8746120000000004E-3</v>
      </c>
      <c r="P1450">
        <v>0.98852779999999996</v>
      </c>
      <c r="Q1450">
        <v>0.15082190000000001</v>
      </c>
      <c r="R1450">
        <v>-8.1163219999999901E-3</v>
      </c>
      <c r="S1450">
        <v>3.0525820000000001</v>
      </c>
      <c r="T1450">
        <v>-0.13758429999999999</v>
      </c>
      <c r="U1450">
        <v>-0.3716431</v>
      </c>
      <c r="V1450">
        <v>1.294199E-2</v>
      </c>
      <c r="W1450">
        <v>0.16503760000000001</v>
      </c>
      <c r="X1450">
        <v>0.98620240000000003</v>
      </c>
      <c r="Y1450">
        <v>0.1255242</v>
      </c>
      <c r="Z1450">
        <v>-3.8734659999999999E-3</v>
      </c>
      <c r="AA1450">
        <v>0.99208300000000005</v>
      </c>
      <c r="AB1450">
        <v>21</v>
      </c>
      <c r="AC1450">
        <v>24.759</v>
      </c>
      <c r="AD1450">
        <v>-1.121689461426</v>
      </c>
      <c r="AE1450">
        <v>-3.03059999999999</v>
      </c>
      <c r="AF1450">
        <v>3.1449074094954299</v>
      </c>
      <c r="AG1450">
        <v>-1.121689461426</v>
      </c>
      <c r="AH1450">
        <v>24.693995476145201</v>
      </c>
      <c r="AI1450">
        <v>92.579981034248902</v>
      </c>
      <c r="AJ1450">
        <v>82.742158439757404</v>
      </c>
      <c r="AK1450">
        <v>24.918708683197298</v>
      </c>
      <c r="AL1450">
        <v>80.5005816400719</v>
      </c>
      <c r="AM1450">
        <v>89.248147395548003</v>
      </c>
      <c r="AN1450">
        <v>1.00000003914233</v>
      </c>
    </row>
    <row r="1451" spans="1:40" x14ac:dyDescent="0.25">
      <c r="A1451" t="str">
        <f>"20190303161904787"</f>
        <v>20190303161904787</v>
      </c>
      <c r="B1451" t="str">
        <f>"1551601144784570"</f>
        <v>1551601144784570</v>
      </c>
      <c r="C1451" t="s">
        <v>40</v>
      </c>
      <c r="D1451">
        <v>4.8809250000000004</v>
      </c>
      <c r="E1451">
        <v>0.54576089999999999</v>
      </c>
      <c r="F1451" t="s">
        <v>41</v>
      </c>
      <c r="G1451">
        <v>-213.49160000000001</v>
      </c>
      <c r="H1451" s="1">
        <v>-3.690841E-6</v>
      </c>
      <c r="I1451">
        <v>364.45010000000002</v>
      </c>
      <c r="J1451">
        <v>-238.64840000000001</v>
      </c>
      <c r="K1451">
        <v>1.121686</v>
      </c>
      <c r="L1451">
        <v>367.5224</v>
      </c>
      <c r="M1451">
        <v>0.99988469999999996</v>
      </c>
      <c r="N1451">
        <v>-1.4394819999999999E-2</v>
      </c>
      <c r="O1451">
        <v>4.8744540000000003E-3</v>
      </c>
      <c r="P1451">
        <v>0.98851619999999996</v>
      </c>
      <c r="Q1451">
        <v>0.1508919</v>
      </c>
      <c r="R1451">
        <v>-8.2260349999999996E-3</v>
      </c>
      <c r="S1451">
        <v>3.05246</v>
      </c>
      <c r="T1451">
        <v>-0.13545660000000001</v>
      </c>
      <c r="U1451">
        <v>-0.37094120000000003</v>
      </c>
      <c r="V1451">
        <v>1.3051490000000001E-2</v>
      </c>
      <c r="W1451">
        <v>0.16510429999999901</v>
      </c>
      <c r="X1451">
        <v>0.98618969999999995</v>
      </c>
      <c r="Y1451">
        <v>0.1253088</v>
      </c>
      <c r="Z1451">
        <v>-3.8202029999999999E-3</v>
      </c>
      <c r="AA1451">
        <v>0.99211039999999995</v>
      </c>
      <c r="AB1451">
        <v>21</v>
      </c>
      <c r="AC1451">
        <v>25.1568</v>
      </c>
      <c r="AD1451">
        <v>-1.1216896908409999</v>
      </c>
      <c r="AE1451">
        <v>-3.0722999999999798</v>
      </c>
      <c r="AF1451">
        <v>3.1886556858791999</v>
      </c>
      <c r="AG1451">
        <v>-1.1216896908409999</v>
      </c>
      <c r="AH1451">
        <v>25.092371102137701</v>
      </c>
      <c r="AI1451">
        <v>92.539163266019898</v>
      </c>
      <c r="AJ1451">
        <v>82.757858226678493</v>
      </c>
      <c r="AK1451">
        <v>25.319020525546101</v>
      </c>
      <c r="AL1451">
        <v>80.496705980430093</v>
      </c>
      <c r="AM1451">
        <v>89.241777073664394</v>
      </c>
      <c r="AN1451">
        <v>0.99999994782789803</v>
      </c>
    </row>
    <row r="1452" spans="1:40" x14ac:dyDescent="0.25">
      <c r="A1452" t="str">
        <f>"20190303161904798"</f>
        <v>20190303161904798</v>
      </c>
      <c r="B1452" t="str">
        <f>"1551601144794330"</f>
        <v>1551601144794330</v>
      </c>
      <c r="C1452" t="s">
        <v>40</v>
      </c>
      <c r="D1452">
        <v>4.8723549999999998</v>
      </c>
      <c r="E1452">
        <v>0.54611229999999999</v>
      </c>
      <c r="F1452" t="s">
        <v>41</v>
      </c>
      <c r="G1452">
        <v>-211.95490000000001</v>
      </c>
      <c r="H1452" s="1">
        <v>-4.389068E-6</v>
      </c>
      <c r="I1452">
        <v>364.2303</v>
      </c>
      <c r="J1452">
        <v>-238.5487</v>
      </c>
      <c r="K1452">
        <v>1.121686</v>
      </c>
      <c r="L1452">
        <v>367.52289999999999</v>
      </c>
      <c r="M1452">
        <v>0.99988469999999996</v>
      </c>
      <c r="N1452">
        <v>-1.4392429999999999E-2</v>
      </c>
      <c r="O1452">
        <v>4.874471E-3</v>
      </c>
      <c r="P1452">
        <v>0.98846869999999998</v>
      </c>
      <c r="Q1452">
        <v>0.1512212</v>
      </c>
      <c r="R1452">
        <v>-7.8778770000000001E-3</v>
      </c>
      <c r="S1452">
        <v>3.0512700000000001</v>
      </c>
      <c r="T1452">
        <v>-0.1282172</v>
      </c>
      <c r="U1452">
        <v>-0.37631229999999999</v>
      </c>
      <c r="V1452">
        <v>1.270307E-2</v>
      </c>
      <c r="W1452">
        <v>0.16543079999999999</v>
      </c>
      <c r="X1452">
        <v>0.98613960000000001</v>
      </c>
      <c r="Y1452">
        <v>0.12708849999999999</v>
      </c>
      <c r="Z1452">
        <v>-3.7116580000000001E-3</v>
      </c>
      <c r="AA1452">
        <v>0.9918844</v>
      </c>
      <c r="AB1452">
        <v>21</v>
      </c>
      <c r="AC1452">
        <v>26.593799999999899</v>
      </c>
      <c r="AD1452">
        <v>-1.1216903890679999</v>
      </c>
      <c r="AE1452">
        <v>-3.29259999999999</v>
      </c>
      <c r="AF1452">
        <v>3.4162191633465899</v>
      </c>
      <c r="AG1452">
        <v>-1.1216903890679999</v>
      </c>
      <c r="AH1452">
        <v>26.530945694975699</v>
      </c>
      <c r="AI1452">
        <v>92.401141523603599</v>
      </c>
      <c r="AJ1452">
        <v>82.662763989102999</v>
      </c>
      <c r="AK1452">
        <v>26.773491034429799</v>
      </c>
      <c r="AL1452">
        <v>80.477738712546696</v>
      </c>
      <c r="AM1452">
        <v>89.261978685360702</v>
      </c>
      <c r="AN1452">
        <v>1.0000000141321099</v>
      </c>
    </row>
    <row r="1453" spans="1:40" x14ac:dyDescent="0.25">
      <c r="A1453" t="str">
        <f>"20190303161904809"</f>
        <v>20190303161904809</v>
      </c>
      <c r="B1453" t="str">
        <f>"1551601144804091"</f>
        <v>1551601144804091</v>
      </c>
      <c r="C1453" t="s">
        <v>40</v>
      </c>
      <c r="D1453">
        <v>4.8825209999999997</v>
      </c>
      <c r="E1453">
        <v>0.54626719999999995</v>
      </c>
      <c r="F1453" t="s">
        <v>41</v>
      </c>
      <c r="G1453">
        <v>-211.29750000000001</v>
      </c>
      <c r="H1453" s="1">
        <v>-4.68592E-6</v>
      </c>
      <c r="I1453">
        <v>364.14659999999998</v>
      </c>
      <c r="J1453">
        <v>-238.4418</v>
      </c>
      <c r="K1453">
        <v>1.121686</v>
      </c>
      <c r="L1453">
        <v>367.52339999999998</v>
      </c>
      <c r="M1453">
        <v>0.99988469999999996</v>
      </c>
      <c r="N1453">
        <v>-1.4389880000000001E-2</v>
      </c>
      <c r="O1453">
        <v>4.8744900000000004E-3</v>
      </c>
      <c r="P1453">
        <v>0.98843400000000003</v>
      </c>
      <c r="Q1453">
        <v>0.15143870000000001</v>
      </c>
      <c r="R1453">
        <v>-8.0642070000000003E-3</v>
      </c>
      <c r="S1453">
        <v>3.051193</v>
      </c>
      <c r="T1453">
        <v>-0.12559029999999999</v>
      </c>
      <c r="U1453">
        <v>-0.3780212</v>
      </c>
      <c r="V1453">
        <v>1.2889400000000001E-2</v>
      </c>
      <c r="W1453">
        <v>0.1656456</v>
      </c>
      <c r="X1453">
        <v>0.98610109999999995</v>
      </c>
      <c r="Y1453">
        <v>0.12764349999999999</v>
      </c>
      <c r="Z1453">
        <v>-3.6682730000000001E-3</v>
      </c>
      <c r="AA1453">
        <v>0.99181330000000001</v>
      </c>
      <c r="AB1453">
        <v>21</v>
      </c>
      <c r="AC1453">
        <v>27.144299999999902</v>
      </c>
      <c r="AD1453">
        <v>-1.12169068592</v>
      </c>
      <c r="AE1453">
        <v>-3.3767999999999998</v>
      </c>
      <c r="AF1453">
        <v>3.5031972469665802</v>
      </c>
      <c r="AG1453">
        <v>-1.12169068592</v>
      </c>
      <c r="AH1453">
        <v>27.0819748699315</v>
      </c>
      <c r="AI1453">
        <v>92.3521657580403</v>
      </c>
      <c r="AJ1453">
        <v>82.629415014881602</v>
      </c>
      <c r="AK1453">
        <v>27.330641115817901</v>
      </c>
      <c r="AL1453">
        <v>80.465259178871193</v>
      </c>
      <c r="AM1453">
        <v>89.251125299430001</v>
      </c>
      <c r="AN1453">
        <v>0.99999999042646404</v>
      </c>
    </row>
    <row r="1454" spans="1:40" x14ac:dyDescent="0.25">
      <c r="A1454" t="str">
        <f>"20190303161904824"</f>
        <v>20190303161904824</v>
      </c>
      <c r="B1454" t="str">
        <f>"1551601144813851"</f>
        <v>1551601144813851</v>
      </c>
      <c r="C1454" t="s">
        <v>40</v>
      </c>
      <c r="D1454">
        <v>4.8729930000000001</v>
      </c>
      <c r="E1454">
        <v>0.54655719999999997</v>
      </c>
      <c r="F1454" t="s">
        <v>41</v>
      </c>
      <c r="G1454">
        <v>-211.0427</v>
      </c>
      <c r="H1454" s="1">
        <v>-4.8008970000000002E-6</v>
      </c>
      <c r="I1454">
        <v>364.1146</v>
      </c>
      <c r="J1454">
        <v>-238.30690000000001</v>
      </c>
      <c r="K1454">
        <v>1.1216900000000001</v>
      </c>
      <c r="L1454">
        <v>367.52409999999998</v>
      </c>
      <c r="M1454">
        <v>0.99988460000000001</v>
      </c>
      <c r="N1454">
        <v>-1.4386660000000001E-2</v>
      </c>
      <c r="O1454">
        <v>4.8746919999999999E-3</v>
      </c>
      <c r="P1454">
        <v>0.98843919999999996</v>
      </c>
      <c r="Q1454">
        <v>0.15139620000000001</v>
      </c>
      <c r="R1454">
        <v>-8.2108939999999998E-3</v>
      </c>
      <c r="S1454">
        <v>3.0511469999999998</v>
      </c>
      <c r="T1454">
        <v>-0.12491049999999999</v>
      </c>
      <c r="U1454">
        <v>-0.37960820000000001</v>
      </c>
      <c r="V1454">
        <v>1.303613E-2</v>
      </c>
      <c r="W1454">
        <v>0.16559960000000001</v>
      </c>
      <c r="X1454">
        <v>0.98610690000000001</v>
      </c>
      <c r="Y1454">
        <v>0.128154399999999</v>
      </c>
      <c r="Z1454">
        <v>-3.666941E-3</v>
      </c>
      <c r="AA1454">
        <v>0.99174739999999995</v>
      </c>
      <c r="AB1454">
        <v>21</v>
      </c>
      <c r="AC1454">
        <v>27.264199999999999</v>
      </c>
      <c r="AD1454">
        <v>-1.12169480089699</v>
      </c>
      <c r="AE1454">
        <v>-3.4094999999999702</v>
      </c>
      <c r="AF1454">
        <v>3.53648400501657</v>
      </c>
      <c r="AG1454">
        <v>-1.12169480089699</v>
      </c>
      <c r="AH1454">
        <v>27.201919987720402</v>
      </c>
      <c r="AI1454">
        <v>92.341619291481393</v>
      </c>
      <c r="AJ1454">
        <v>82.592602343586407</v>
      </c>
      <c r="AK1454">
        <v>27.4537678536561</v>
      </c>
      <c r="AL1454">
        <v>80.467931721152993</v>
      </c>
      <c r="AM1454">
        <v>89.242605721844996</v>
      </c>
      <c r="AN1454">
        <v>0.99999999321657296</v>
      </c>
    </row>
    <row r="1455" spans="1:40" x14ac:dyDescent="0.25">
      <c r="A1455" t="str">
        <f>"20190303161904837"</f>
        <v>20190303161904837</v>
      </c>
      <c r="B1455" t="str">
        <f>"1551601144824586"</f>
        <v>1551601144824586</v>
      </c>
      <c r="C1455" t="s">
        <v>40</v>
      </c>
      <c r="D1455">
        <v>4.8776250000000001</v>
      </c>
      <c r="E1455">
        <v>0.54674299999999998</v>
      </c>
      <c r="F1455" t="s">
        <v>41</v>
      </c>
      <c r="G1455">
        <v>-210.52529999999999</v>
      </c>
      <c r="H1455" s="1">
        <v>-5.0360270000000003E-6</v>
      </c>
      <c r="I1455">
        <v>364.04050000000001</v>
      </c>
      <c r="J1455">
        <v>-238.191</v>
      </c>
      <c r="K1455">
        <v>1.121688</v>
      </c>
      <c r="L1455">
        <v>367.52460000000002</v>
      </c>
      <c r="M1455">
        <v>0.99988469999999996</v>
      </c>
      <c r="N1455">
        <v>-1.438386E-2</v>
      </c>
      <c r="O1455">
        <v>4.8743559999999998E-3</v>
      </c>
      <c r="P1455">
        <v>0.98834739999999999</v>
      </c>
      <c r="Q1455">
        <v>0.15197840000000001</v>
      </c>
      <c r="R1455">
        <v>-8.4882159999999998E-3</v>
      </c>
      <c r="S1455">
        <v>3.0507970000000002</v>
      </c>
      <c r="T1455">
        <v>-0.1231768</v>
      </c>
      <c r="U1455">
        <v>-0.38253779999999998</v>
      </c>
      <c r="V1455">
        <v>1.331271E-2</v>
      </c>
      <c r="W1455">
        <v>0.16617750000000001</v>
      </c>
      <c r="X1455">
        <v>0.98600600000000005</v>
      </c>
      <c r="Y1455">
        <v>0.1291081</v>
      </c>
      <c r="Z1455">
        <v>-3.6540449999999999E-3</v>
      </c>
      <c r="AA1455">
        <v>0.99162380000000006</v>
      </c>
      <c r="AB1455">
        <v>21</v>
      </c>
      <c r="AC1455">
        <v>27.665699999999902</v>
      </c>
      <c r="AD1455">
        <v>-1.1216930360269901</v>
      </c>
      <c r="AE1455">
        <v>-3.48410000000001</v>
      </c>
      <c r="AF1455">
        <v>3.6130783532522499</v>
      </c>
      <c r="AG1455">
        <v>-1.1216930360269901</v>
      </c>
      <c r="AH1455">
        <v>27.603718561893299</v>
      </c>
      <c r="AI1455">
        <v>92.307307394475302</v>
      </c>
      <c r="AJ1455">
        <v>82.542891423280494</v>
      </c>
      <c r="AK1455">
        <v>27.8617624872875</v>
      </c>
      <c r="AL1455">
        <v>80.434355441858003</v>
      </c>
      <c r="AM1455">
        <v>89.226459318897795</v>
      </c>
      <c r="AN1455">
        <v>1.0000000108948901</v>
      </c>
    </row>
    <row r="1456" spans="1:40" x14ac:dyDescent="0.25">
      <c r="A1456" t="str">
        <f>"20190303161904848"</f>
        <v>20190303161904848</v>
      </c>
      <c r="B1456" t="str">
        <f>"1551601144844106"</f>
        <v>1551601144844106</v>
      </c>
      <c r="C1456" t="s">
        <v>40</v>
      </c>
      <c r="D1456">
        <v>4.8721909999999999</v>
      </c>
      <c r="E1456">
        <v>0.54701949999999999</v>
      </c>
      <c r="F1456" t="s">
        <v>46</v>
      </c>
      <c r="G1456">
        <v>-209.68190000000001</v>
      </c>
      <c r="H1456" s="1">
        <v>-6.0668850000000001E-6</v>
      </c>
      <c r="I1456">
        <v>363.92899999999997</v>
      </c>
      <c r="J1456">
        <v>-238.08330000000001</v>
      </c>
      <c r="K1456">
        <v>1.1216889999999999</v>
      </c>
      <c r="L1456">
        <v>367.52510000000001</v>
      </c>
      <c r="M1456">
        <v>0.99988480000000002</v>
      </c>
      <c r="N1456">
        <v>-1.438122E-2</v>
      </c>
      <c r="O1456">
        <v>4.8743750000000002E-3</v>
      </c>
      <c r="P1456">
        <v>0.98831460000000004</v>
      </c>
      <c r="Q1456">
        <v>0.15218219999999999</v>
      </c>
      <c r="R1456">
        <v>-8.6588900000000007E-3</v>
      </c>
      <c r="S1456">
        <v>3.0505369999999998</v>
      </c>
      <c r="T1456">
        <v>-0.12002359999999999</v>
      </c>
      <c r="U1456">
        <v>-0.3847351</v>
      </c>
      <c r="V1456">
        <v>1.3483409999999999E-2</v>
      </c>
      <c r="W1456">
        <v>0.1663782</v>
      </c>
      <c r="X1456">
        <v>0.98596980000000001</v>
      </c>
      <c r="Y1456">
        <v>0.1298272</v>
      </c>
      <c r="Z1456">
        <v>-3.6019020000000001E-3</v>
      </c>
      <c r="AA1456">
        <v>0.99153009999999997</v>
      </c>
      <c r="AB1456">
        <v>21</v>
      </c>
      <c r="AC1456">
        <v>28.401399999999899</v>
      </c>
      <c r="AD1456">
        <v>-1.1216950668850001</v>
      </c>
      <c r="AE1456">
        <v>-3.5960999999999701</v>
      </c>
      <c r="AF1456">
        <v>3.7287862449913902</v>
      </c>
      <c r="AG1456">
        <v>-1.1216950668850001</v>
      </c>
      <c r="AH1456">
        <v>28.3400245864492</v>
      </c>
      <c r="AI1456">
        <v>92.247229710252</v>
      </c>
      <c r="AJ1456">
        <v>82.504468993429995</v>
      </c>
      <c r="AK1456">
        <v>28.606276238693798</v>
      </c>
      <c r="AL1456">
        <v>80.422693510856405</v>
      </c>
      <c r="AM1456">
        <v>89.216513190058393</v>
      </c>
      <c r="AN1456">
        <v>0.99999997714625299</v>
      </c>
    </row>
    <row r="1457" spans="1:40" x14ac:dyDescent="0.25">
      <c r="A1457" t="str">
        <f>"20190303161904859"</f>
        <v>20190303161904859</v>
      </c>
      <c r="B1457" t="str">
        <f>"1551601144853866"</f>
        <v>1551601144853866</v>
      </c>
      <c r="C1457" t="s">
        <v>40</v>
      </c>
      <c r="D1457">
        <v>4.9071429999999996</v>
      </c>
      <c r="E1457">
        <v>0.54710409999999998</v>
      </c>
      <c r="F1457" t="s">
        <v>46</v>
      </c>
      <c r="G1457">
        <v>-208.9194</v>
      </c>
      <c r="H1457" s="1">
        <v>-5.8294079999999998E-6</v>
      </c>
      <c r="I1457">
        <v>363.81529999999998</v>
      </c>
      <c r="J1457">
        <v>-237.97319999999999</v>
      </c>
      <c r="K1457">
        <v>1.121691</v>
      </c>
      <c r="L1457">
        <v>367.52569999999997</v>
      </c>
      <c r="M1457">
        <v>0.99988480000000002</v>
      </c>
      <c r="N1457">
        <v>-1.4378480000000001E-2</v>
      </c>
      <c r="O1457">
        <v>4.8742760000000003E-3</v>
      </c>
      <c r="P1457">
        <v>0.98827560000000003</v>
      </c>
      <c r="Q1457">
        <v>0.15242839999999999</v>
      </c>
      <c r="R1457">
        <v>-8.7936850000000007E-3</v>
      </c>
      <c r="S1457">
        <v>3.0501399999999999</v>
      </c>
      <c r="T1457">
        <v>-0.11731370000000001</v>
      </c>
      <c r="U1457">
        <v>-0.38800050000000003</v>
      </c>
      <c r="V1457">
        <v>1.3617829999999999E-2</v>
      </c>
      <c r="W1457">
        <v>0.1666213</v>
      </c>
      <c r="X1457">
        <v>0.98592690000000005</v>
      </c>
      <c r="Y1457">
        <v>0.13089210000000001</v>
      </c>
      <c r="Z1457">
        <v>-3.568346E-3</v>
      </c>
      <c r="AA1457">
        <v>0.9913902</v>
      </c>
      <c r="AB1457">
        <v>21</v>
      </c>
      <c r="AC1457">
        <v>29.053799999999899</v>
      </c>
      <c r="AD1457">
        <v>-1.1216968294079901</v>
      </c>
      <c r="AE1457">
        <v>-3.7103999999999902</v>
      </c>
      <c r="AF1457">
        <v>3.84634563887882</v>
      </c>
      <c r="AG1457">
        <v>-1.1216968294079901</v>
      </c>
      <c r="AH1457">
        <v>28.992845762482698</v>
      </c>
      <c r="AI1457">
        <v>92.196372045038402</v>
      </c>
      <c r="AJ1457">
        <v>82.442964785972805</v>
      </c>
      <c r="AK1457">
        <v>29.268373442300099</v>
      </c>
      <c r="AL1457">
        <v>80.408567735429997</v>
      </c>
      <c r="AM1457">
        <v>89.208668945725094</v>
      </c>
      <c r="AN1457">
        <v>0.99999997752560399</v>
      </c>
    </row>
    <row r="1458" spans="1:40" x14ac:dyDescent="0.25">
      <c r="A1458" t="str">
        <f>"20190303161904874"</f>
        <v>20190303161904874</v>
      </c>
      <c r="B1458" t="str">
        <f>"1551601144864602"</f>
        <v>1551601144864602</v>
      </c>
      <c r="C1458" t="s">
        <v>40</v>
      </c>
      <c r="D1458">
        <v>4.9218659999999996</v>
      </c>
      <c r="E1458">
        <v>0.54711799999999999</v>
      </c>
      <c r="F1458" t="s">
        <v>46</v>
      </c>
      <c r="G1458">
        <v>-208.54480000000001</v>
      </c>
      <c r="H1458" s="1">
        <v>-5.710402E-6</v>
      </c>
      <c r="I1458">
        <v>363.77449999999999</v>
      </c>
      <c r="J1458">
        <v>-237.84620000000001</v>
      </c>
      <c r="K1458">
        <v>1.121694</v>
      </c>
      <c r="L1458">
        <v>367.52629999999999</v>
      </c>
      <c r="M1458">
        <v>0.99988480000000002</v>
      </c>
      <c r="N1458">
        <v>-1.437536E-2</v>
      </c>
      <c r="O1458">
        <v>4.8742990000000003E-3</v>
      </c>
      <c r="P1458">
        <v>0.98821559999999997</v>
      </c>
      <c r="Q1458">
        <v>0.15277170000000001</v>
      </c>
      <c r="R1458">
        <v>-9.5236379999999992E-3</v>
      </c>
      <c r="S1458">
        <v>3.0500790000000002</v>
      </c>
      <c r="T1458">
        <v>-0.116257399999999</v>
      </c>
      <c r="U1458">
        <v>-0.38879390000000003</v>
      </c>
      <c r="V1458">
        <v>1.4347510000000001E-2</v>
      </c>
      <c r="W1458">
        <v>0.16696079999999999</v>
      </c>
      <c r="X1458">
        <v>0.98585919999999905</v>
      </c>
      <c r="Y1458">
        <v>0.13115019999999999</v>
      </c>
      <c r="Z1458">
        <v>-3.5507049999999999E-3</v>
      </c>
      <c r="AA1458">
        <v>0.99135609999999996</v>
      </c>
      <c r="AB1458">
        <v>21</v>
      </c>
      <c r="AC1458">
        <v>29.301400000000001</v>
      </c>
      <c r="AD1458">
        <v>-1.1216997104019999</v>
      </c>
      <c r="AE1458">
        <v>-3.7517999999999998</v>
      </c>
      <c r="AF1458">
        <v>3.8889867059169401</v>
      </c>
      <c r="AG1458">
        <v>-1.1216997104019999</v>
      </c>
      <c r="AH1458">
        <v>29.240602576777299</v>
      </c>
      <c r="AI1458">
        <v>92.177690769918797</v>
      </c>
      <c r="AJ1458">
        <v>82.424148314717002</v>
      </c>
      <c r="AK1458">
        <v>29.519404921037101</v>
      </c>
      <c r="AL1458">
        <v>80.388840279316994</v>
      </c>
      <c r="AM1458">
        <v>89.166215885191406</v>
      </c>
      <c r="AN1458">
        <v>1.0000000610022299</v>
      </c>
    </row>
    <row r="1459" spans="1:40" x14ac:dyDescent="0.25">
      <c r="A1459" t="str">
        <f>"20190303161904889"</f>
        <v>20190303161904889</v>
      </c>
      <c r="B1459" t="str">
        <f>"1551601144884123"</f>
        <v>1551601144884123</v>
      </c>
      <c r="C1459" t="s">
        <v>40</v>
      </c>
      <c r="D1459">
        <v>4.9443630000000001</v>
      </c>
      <c r="E1459">
        <v>0.54719649999999997</v>
      </c>
      <c r="F1459" t="s">
        <v>46</v>
      </c>
      <c r="G1459">
        <v>-208.43289999999999</v>
      </c>
      <c r="H1459" s="1">
        <v>-5.6749950000000004E-6</v>
      </c>
      <c r="I1459">
        <v>363.76130000000001</v>
      </c>
      <c r="J1459">
        <v>-237.71610000000001</v>
      </c>
      <c r="K1459">
        <v>1.1216969999999999</v>
      </c>
      <c r="L1459">
        <v>367.52690000000001</v>
      </c>
      <c r="M1459">
        <v>0.99988480000000002</v>
      </c>
      <c r="N1459">
        <v>-1.437221E-2</v>
      </c>
      <c r="O1459">
        <v>4.8741430000000001E-3</v>
      </c>
      <c r="P1459">
        <v>0.98819679999999999</v>
      </c>
      <c r="Q1459">
        <v>0.15286459999999999</v>
      </c>
      <c r="R1459">
        <v>-9.9735599999999994E-3</v>
      </c>
      <c r="S1459">
        <v>3.0499879999999999</v>
      </c>
      <c r="T1459">
        <v>-0.11631379999999999</v>
      </c>
      <c r="U1459">
        <v>-0.39041140000000002</v>
      </c>
      <c r="V1459">
        <v>1.479722E-2</v>
      </c>
      <c r="W1459">
        <v>0.16704959999999999</v>
      </c>
      <c r="X1459">
        <v>0.98583750000000003</v>
      </c>
      <c r="Y1459">
        <v>0.13167039999999999</v>
      </c>
      <c r="Z1459">
        <v>-3.5654609999999998E-3</v>
      </c>
      <c r="AA1459">
        <v>0.99128709999999998</v>
      </c>
      <c r="AB1459">
        <v>21</v>
      </c>
      <c r="AC1459">
        <v>29.283200000000001</v>
      </c>
      <c r="AD1459">
        <v>-1.1217026749950001</v>
      </c>
      <c r="AE1459">
        <v>-3.7656000000000001</v>
      </c>
      <c r="AF1459">
        <v>3.9026672867946601</v>
      </c>
      <c r="AG1459">
        <v>-1.1217026749950001</v>
      </c>
      <c r="AH1459">
        <v>29.2223157508542</v>
      </c>
      <c r="AI1459">
        <v>92.178900793943299</v>
      </c>
      <c r="AJ1459">
        <v>82.393107686098901</v>
      </c>
      <c r="AK1459">
        <v>29.503097577799</v>
      </c>
      <c r="AL1459">
        <v>80.383679850411497</v>
      </c>
      <c r="AM1459">
        <v>89.140066599534606</v>
      </c>
      <c r="AN1459">
        <v>1.00000005149306</v>
      </c>
    </row>
    <row r="1460" spans="1:40" x14ac:dyDescent="0.25">
      <c r="A1460" t="str">
        <f>"20190303161904900"</f>
        <v>20190303161904900</v>
      </c>
      <c r="B1460" t="str">
        <f>"1551601144893882"</f>
        <v>1551601144893882</v>
      </c>
      <c r="C1460" t="s">
        <v>40</v>
      </c>
      <c r="D1460">
        <v>4.9218099999999998</v>
      </c>
      <c r="E1460">
        <v>0.54701999999999995</v>
      </c>
      <c r="F1460" t="s">
        <v>46</v>
      </c>
      <c r="G1460">
        <v>-208.3777</v>
      </c>
      <c r="H1460" s="1">
        <v>-5.6576849999999999E-6</v>
      </c>
      <c r="I1460">
        <v>363.75380000000001</v>
      </c>
      <c r="J1460">
        <v>-237.5992</v>
      </c>
      <c r="K1460">
        <v>1.121699</v>
      </c>
      <c r="L1460">
        <v>367.52749999999997</v>
      </c>
      <c r="M1460">
        <v>0.99988489999999997</v>
      </c>
      <c r="N1460">
        <v>-1.4369399999999999E-2</v>
      </c>
      <c r="O1460">
        <v>4.8741640000000003E-3</v>
      </c>
      <c r="P1460">
        <v>0.98819400000000002</v>
      </c>
      <c r="Q1460">
        <v>0.152865</v>
      </c>
      <c r="R1460">
        <v>-1.0268869999999999E-2</v>
      </c>
      <c r="S1460">
        <v>3.0499269999999998</v>
      </c>
      <c r="T1460">
        <v>-0.1166084</v>
      </c>
      <c r="U1460">
        <v>-0.39224239999999999</v>
      </c>
      <c r="V1460">
        <v>1.5092329999999999E-2</v>
      </c>
      <c r="W1460">
        <v>0.1670478</v>
      </c>
      <c r="X1460">
        <v>0.98583330000000002</v>
      </c>
      <c r="Y1460">
        <v>0.13225729999999999</v>
      </c>
      <c r="Z1460">
        <v>-3.587481E-3</v>
      </c>
      <c r="AA1460">
        <v>0.99120889999999995</v>
      </c>
      <c r="AB1460">
        <v>20</v>
      </c>
      <c r="AC1460">
        <v>29.221499999999899</v>
      </c>
      <c r="AD1460">
        <v>-1.1217046576850001</v>
      </c>
      <c r="AE1460">
        <v>-3.7736999999999599</v>
      </c>
      <c r="AF1460">
        <v>3.9104327223565298</v>
      </c>
      <c r="AG1460">
        <v>-1.1217046576850001</v>
      </c>
      <c r="AH1460">
        <v>29.160493949630201</v>
      </c>
      <c r="AI1460">
        <v>92.183362001187902</v>
      </c>
      <c r="AJ1460">
        <v>82.362181254402302</v>
      </c>
      <c r="AK1460">
        <v>29.442895795107699</v>
      </c>
      <c r="AL1460">
        <v>80.383784153194497</v>
      </c>
      <c r="AM1460">
        <v>89.122915339118194</v>
      </c>
      <c r="AN1460">
        <v>1.0000000206492701</v>
      </c>
    </row>
    <row r="1461" spans="1:40" x14ac:dyDescent="0.25">
      <c r="A1461" t="str">
        <f>"20190303161904919"</f>
        <v>20190303161904919</v>
      </c>
      <c r="B1461" t="str">
        <f>"1551601144914378"</f>
        <v>1551601144914378</v>
      </c>
      <c r="C1461" t="s">
        <v>40</v>
      </c>
      <c r="D1461">
        <v>4.9524759999999999</v>
      </c>
      <c r="E1461">
        <v>0.54725119999999905</v>
      </c>
      <c r="F1461" t="s">
        <v>46</v>
      </c>
      <c r="G1461">
        <v>-208.81649999999999</v>
      </c>
      <c r="H1461" s="1">
        <v>-5.7929219999999901E-6</v>
      </c>
      <c r="I1461">
        <v>363.82839999999999</v>
      </c>
      <c r="J1461">
        <v>-237.4331</v>
      </c>
      <c r="K1461">
        <v>1.1216980000000001</v>
      </c>
      <c r="L1461">
        <v>367.5283</v>
      </c>
      <c r="M1461">
        <v>0.99988500000000002</v>
      </c>
      <c r="N1461">
        <v>-1.436544E-2</v>
      </c>
      <c r="O1461">
        <v>4.8740140000000003E-3</v>
      </c>
      <c r="P1461">
        <v>0.98821119999999996</v>
      </c>
      <c r="Q1461">
        <v>0.15269579999999999</v>
      </c>
      <c r="R1461">
        <v>-1.108846E-2</v>
      </c>
      <c r="S1461">
        <v>3.0501559999999999</v>
      </c>
      <c r="T1461">
        <v>-0.11886910000000001</v>
      </c>
      <c r="U1461">
        <v>-0.39199830000000002</v>
      </c>
      <c r="V1461">
        <v>1.5911870000000002E-2</v>
      </c>
      <c r="W1461">
        <v>0.1668743</v>
      </c>
      <c r="X1461">
        <v>0.9858498</v>
      </c>
      <c r="Y1461">
        <v>0.13216530000000001</v>
      </c>
      <c r="Z1461">
        <v>-3.6369599999999998E-3</v>
      </c>
      <c r="AA1461">
        <v>0.99122100000000002</v>
      </c>
      <c r="AB1461">
        <v>20</v>
      </c>
      <c r="AC1461">
        <v>28.616599999999998</v>
      </c>
      <c r="AD1461">
        <v>-1.121703792922</v>
      </c>
      <c r="AE1461">
        <v>-3.6999000000000102</v>
      </c>
      <c r="AF1461">
        <v>3.8335548884152302</v>
      </c>
      <c r="AG1461">
        <v>-1.121703792922</v>
      </c>
      <c r="AH1461">
        <v>28.555072517180498</v>
      </c>
      <c r="AI1461">
        <v>92.229561140995699</v>
      </c>
      <c r="AJ1461">
        <v>82.353687360555696</v>
      </c>
      <c r="AK1461">
        <v>28.833080462256898</v>
      </c>
      <c r="AL1461">
        <v>80.393866522929699</v>
      </c>
      <c r="AM1461">
        <v>89.075311634032701</v>
      </c>
      <c r="AN1461">
        <v>1.0000000238837099</v>
      </c>
    </row>
    <row r="1462" spans="1:40" x14ac:dyDescent="0.25">
      <c r="A1462" t="str">
        <f>"20190303161904936"</f>
        <v>20190303161904936</v>
      </c>
      <c r="B1462" t="str">
        <f>"1551601144924138"</f>
        <v>1551601144924138</v>
      </c>
      <c r="C1462" t="s">
        <v>40</v>
      </c>
      <c r="D1462">
        <v>4.9281600000000001</v>
      </c>
      <c r="E1462">
        <v>0.54713979999999995</v>
      </c>
      <c r="F1462" t="s">
        <v>46</v>
      </c>
      <c r="G1462">
        <v>-208.83</v>
      </c>
      <c r="H1462" s="1">
        <v>-5.7997520000000003E-6</v>
      </c>
      <c r="I1462">
        <v>363.81349999999998</v>
      </c>
      <c r="J1462">
        <v>-237.2782</v>
      </c>
      <c r="K1462">
        <v>1.1216999999999999</v>
      </c>
      <c r="L1462">
        <v>367.52910000000003</v>
      </c>
      <c r="M1462">
        <v>0.99988509999999997</v>
      </c>
      <c r="N1462">
        <v>-1.4361759999999999E-2</v>
      </c>
      <c r="O1462">
        <v>4.874041E-3</v>
      </c>
      <c r="P1462">
        <v>0.98822650000000001</v>
      </c>
      <c r="Q1462">
        <v>0.1525832</v>
      </c>
      <c r="R1462">
        <v>-1.1270189999999999E-2</v>
      </c>
      <c r="S1462">
        <v>3.0498050000000001</v>
      </c>
      <c r="T1462">
        <v>-0.1196015</v>
      </c>
      <c r="U1462">
        <v>-0.39608759999999998</v>
      </c>
      <c r="V1462">
        <v>1.6093699999999999E-2</v>
      </c>
      <c r="W1462">
        <v>0.16675870000000001</v>
      </c>
      <c r="X1462">
        <v>0.98586640000000003</v>
      </c>
      <c r="Y1462">
        <v>0.13348399999999999</v>
      </c>
      <c r="Z1462">
        <v>-3.689112E-3</v>
      </c>
      <c r="AA1462">
        <v>0.99104409999999998</v>
      </c>
      <c r="AB1462">
        <v>20</v>
      </c>
      <c r="AC1462">
        <v>28.4481999999999</v>
      </c>
      <c r="AD1462">
        <v>-1.1217057997519999</v>
      </c>
      <c r="AE1462">
        <v>-3.71560000000005</v>
      </c>
      <c r="AF1462">
        <v>3.84834514089088</v>
      </c>
      <c r="AG1462">
        <v>-1.1217057997519999</v>
      </c>
      <c r="AH1462">
        <v>28.3863579349551</v>
      </c>
      <c r="AI1462">
        <v>92.242411554981899</v>
      </c>
      <c r="AJ1462">
        <v>82.2794675397611</v>
      </c>
      <c r="AK1462">
        <v>28.6679839025349</v>
      </c>
      <c r="AL1462">
        <v>80.400583954230399</v>
      </c>
      <c r="AM1462">
        <v>89.064762537202299</v>
      </c>
      <c r="AN1462">
        <v>1.00000001492716</v>
      </c>
    </row>
    <row r="1463" spans="1:40" x14ac:dyDescent="0.25">
      <c r="A1463" t="str">
        <f>"20190303161904951"</f>
        <v>20190303161904951</v>
      </c>
      <c r="B1463" t="str">
        <f>"1551601144944635"</f>
        <v>1551601144944635</v>
      </c>
      <c r="C1463" t="s">
        <v>40</v>
      </c>
      <c r="D1463">
        <v>4.926558</v>
      </c>
      <c r="E1463">
        <v>0.54710099999999995</v>
      </c>
      <c r="F1463" t="s">
        <v>46</v>
      </c>
      <c r="G1463">
        <v>-209.0847</v>
      </c>
      <c r="H1463" s="1">
        <v>-5.8764329999999996E-6</v>
      </c>
      <c r="I1463">
        <v>363.86849999999998</v>
      </c>
      <c r="J1463">
        <v>-237.14580000000001</v>
      </c>
      <c r="K1463">
        <v>1.121699</v>
      </c>
      <c r="L1463">
        <v>367.52969999999999</v>
      </c>
      <c r="M1463">
        <v>0.99988500000000002</v>
      </c>
      <c r="N1463">
        <v>-1.4358599999999999E-2</v>
      </c>
      <c r="O1463">
        <v>4.874064E-3</v>
      </c>
      <c r="P1463">
        <v>0.98821919999999996</v>
      </c>
      <c r="Q1463">
        <v>0.1525957</v>
      </c>
      <c r="R1463">
        <v>-1.1703109999999999E-2</v>
      </c>
      <c r="S1463">
        <v>3.049957</v>
      </c>
      <c r="T1463">
        <v>-0.1213456</v>
      </c>
      <c r="U1463">
        <v>-0.39599610000000002</v>
      </c>
      <c r="V1463">
        <v>1.6526909999999999E-2</v>
      </c>
      <c r="W1463">
        <v>0.166768</v>
      </c>
      <c r="X1463">
        <v>0.98585769999999995</v>
      </c>
      <c r="Y1463">
        <v>0.13344489999999901</v>
      </c>
      <c r="Z1463">
        <v>-3.7284729999999999E-3</v>
      </c>
      <c r="AA1463">
        <v>0.99104919999999996</v>
      </c>
      <c r="AB1463">
        <v>20</v>
      </c>
      <c r="AC1463">
        <v>28.0611</v>
      </c>
      <c r="AD1463">
        <v>-1.121704876433</v>
      </c>
      <c r="AE1463">
        <v>-3.6612</v>
      </c>
      <c r="AF1463">
        <v>3.7919844369294999</v>
      </c>
      <c r="AG1463">
        <v>-1.121704876433</v>
      </c>
      <c r="AH1463">
        <v>27.998929393431801</v>
      </c>
      <c r="AI1463">
        <v>92.273447598490193</v>
      </c>
      <c r="AJ1463">
        <v>82.287177693838601</v>
      </c>
      <c r="AK1463">
        <v>28.276799942322199</v>
      </c>
      <c r="AL1463">
        <v>80.400043920580103</v>
      </c>
      <c r="AM1463">
        <v>89.039584007521398</v>
      </c>
      <c r="AN1463">
        <v>1.00000005461371</v>
      </c>
    </row>
    <row r="1464" spans="1:40" x14ac:dyDescent="0.25">
      <c r="A1464" t="str">
        <f>"20190303161904964"</f>
        <v>20190303161904964</v>
      </c>
      <c r="B1464" t="str">
        <f>"1551601144954394"</f>
        <v>1551601144954394</v>
      </c>
      <c r="C1464" t="s">
        <v>40</v>
      </c>
      <c r="D1464">
        <v>4.9367080000000003</v>
      </c>
      <c r="E1464">
        <v>0.5470739</v>
      </c>
      <c r="F1464" t="s">
        <v>46</v>
      </c>
      <c r="G1464">
        <v>-209.42740000000001</v>
      </c>
      <c r="H1464" s="1">
        <v>-5.9821279999999998E-6</v>
      </c>
      <c r="I1464">
        <v>363.92630000000003</v>
      </c>
      <c r="J1464">
        <v>-237.0274</v>
      </c>
      <c r="K1464">
        <v>1.12169599999999</v>
      </c>
      <c r="L1464">
        <v>367.53030000000001</v>
      </c>
      <c r="M1464">
        <v>0.99988520000000003</v>
      </c>
      <c r="N1464">
        <v>-1.435576E-2</v>
      </c>
      <c r="O1464">
        <v>4.8739059999999999E-3</v>
      </c>
      <c r="P1464">
        <v>0.98823709999999998</v>
      </c>
      <c r="Q1464">
        <v>0.1524073</v>
      </c>
      <c r="R1464">
        <v>-1.26237E-2</v>
      </c>
      <c r="S1464">
        <v>3.0501100000000001</v>
      </c>
      <c r="T1464">
        <v>-0.12343129999999999</v>
      </c>
      <c r="U1464">
        <v>-0.3965149</v>
      </c>
      <c r="V1464">
        <v>1.744733E-2</v>
      </c>
      <c r="W1464">
        <v>0.16657669999999999</v>
      </c>
      <c r="X1464">
        <v>0.98587409999999998</v>
      </c>
      <c r="Y1464">
        <v>0.13359969999999999</v>
      </c>
      <c r="Z1464">
        <v>-3.7810780000000002E-3</v>
      </c>
      <c r="AA1464">
        <v>0.99102820000000003</v>
      </c>
      <c r="AB1464">
        <v>20</v>
      </c>
      <c r="AC1464">
        <v>27.599999999999898</v>
      </c>
      <c r="AD1464">
        <v>-1.1217019821280001</v>
      </c>
      <c r="AE1464">
        <v>-3.6039999999999801</v>
      </c>
      <c r="AF1464">
        <v>3.7324292592919099</v>
      </c>
      <c r="AG1464">
        <v>-1.1217019821280001</v>
      </c>
      <c r="AH1464">
        <v>27.537383209779701</v>
      </c>
      <c r="AI1464">
        <v>92.311472303345695</v>
      </c>
      <c r="AJ1464">
        <v>82.281143260908905</v>
      </c>
      <c r="AK1464">
        <v>27.811808958688498</v>
      </c>
      <c r="AL1464">
        <v>80.411159308468797</v>
      </c>
      <c r="AM1464">
        <v>88.986124060202798</v>
      </c>
      <c r="AN1464">
        <v>0.99999997367891402</v>
      </c>
    </row>
    <row r="1465" spans="1:40" x14ac:dyDescent="0.25">
      <c r="A1465" t="str">
        <f>"20190303161904979"</f>
        <v>20190303161904979</v>
      </c>
      <c r="B1465" t="str">
        <f>"1551601144973914"</f>
        <v>1551601144973914</v>
      </c>
      <c r="C1465" t="s">
        <v>40</v>
      </c>
      <c r="D1465">
        <v>4.9282389999999996</v>
      </c>
      <c r="E1465">
        <v>0.54701820000000001</v>
      </c>
      <c r="F1465" t="s">
        <v>46</v>
      </c>
      <c r="G1465">
        <v>-209.78700000000001</v>
      </c>
      <c r="H1465" s="1">
        <v>-6.0966920000000002E-6</v>
      </c>
      <c r="I1465">
        <v>363.96350000000001</v>
      </c>
      <c r="J1465">
        <v>-236.89060000000001</v>
      </c>
      <c r="K1465">
        <v>1.12169599999999</v>
      </c>
      <c r="L1465">
        <v>367.53089999999997</v>
      </c>
      <c r="M1465">
        <v>0.99988520000000003</v>
      </c>
      <c r="N1465">
        <v>-1.4352490000000001E-2</v>
      </c>
      <c r="O1465">
        <v>4.8739300000000003E-3</v>
      </c>
      <c r="P1465">
        <v>0.98824780000000001</v>
      </c>
      <c r="Q1465">
        <v>0.15230969999999999</v>
      </c>
      <c r="R1465">
        <v>-1.2967950000000001E-2</v>
      </c>
      <c r="S1465">
        <v>3.049957</v>
      </c>
      <c r="T1465">
        <v>-0.1255907</v>
      </c>
      <c r="U1465">
        <v>-0.39935300000000001</v>
      </c>
      <c r="V1465">
        <v>1.7791479999999998E-2</v>
      </c>
      <c r="W1465">
        <v>0.1664765</v>
      </c>
      <c r="X1465">
        <v>0.98588489999999995</v>
      </c>
      <c r="Y1465">
        <v>0.13450719999999999</v>
      </c>
      <c r="Z1465">
        <v>-3.8565330000000001E-3</v>
      </c>
      <c r="AA1465">
        <v>0.99090509999999998</v>
      </c>
      <c r="AB1465">
        <v>20</v>
      </c>
      <c r="AC1465">
        <v>27.1036</v>
      </c>
      <c r="AD1465">
        <v>-1.1217020966919899</v>
      </c>
      <c r="AE1465">
        <v>-3.5673999999999602</v>
      </c>
      <c r="AF1465">
        <v>3.6932542614227999</v>
      </c>
      <c r="AG1465">
        <v>-1.1217020966919899</v>
      </c>
      <c r="AH1465">
        <v>27.0403635015224</v>
      </c>
      <c r="AI1465">
        <v>92.353584119425406</v>
      </c>
      <c r="AJ1465">
        <v>82.222494570749703</v>
      </c>
      <c r="AK1465">
        <v>27.3144577271398</v>
      </c>
      <c r="AL1465">
        <v>80.416981887479906</v>
      </c>
      <c r="AM1465">
        <v>88.966140897068897</v>
      </c>
      <c r="AN1465">
        <v>0.99999999893042502</v>
      </c>
    </row>
    <row r="1466" spans="1:40" x14ac:dyDescent="0.25">
      <c r="A1466" t="str">
        <f>"20190303161904993"</f>
        <v>20190303161904993</v>
      </c>
      <c r="B1466" t="str">
        <f>"1551601144984651"</f>
        <v>1551601144984651</v>
      </c>
      <c r="C1466" t="s">
        <v>40</v>
      </c>
      <c r="D1466">
        <v>4.9266809999999897</v>
      </c>
      <c r="E1466">
        <v>0.54692719999999995</v>
      </c>
      <c r="F1466" t="s">
        <v>41</v>
      </c>
      <c r="G1466">
        <v>-210.0615</v>
      </c>
      <c r="H1466" s="1">
        <v>-5.2391549999999898E-6</v>
      </c>
      <c r="I1466">
        <v>364.017</v>
      </c>
      <c r="J1466">
        <v>-236.76900000000001</v>
      </c>
      <c r="K1466">
        <v>1.1216969999999999</v>
      </c>
      <c r="L1466">
        <v>367.53149999999999</v>
      </c>
      <c r="M1466">
        <v>0.99988509999999997</v>
      </c>
      <c r="N1466">
        <v>-1.4349580000000001E-2</v>
      </c>
      <c r="O1466">
        <v>4.8739509999999996E-3</v>
      </c>
      <c r="P1466">
        <v>0.98825980000000002</v>
      </c>
      <c r="Q1466">
        <v>0.1521951</v>
      </c>
      <c r="R1466">
        <v>-1.3384770000000001E-2</v>
      </c>
      <c r="S1466">
        <v>3.0500790000000002</v>
      </c>
      <c r="T1466">
        <v>-0.12752060000000001</v>
      </c>
      <c r="U1466">
        <v>-0.39947510000000003</v>
      </c>
      <c r="V1466">
        <v>1.8208390000000001E-2</v>
      </c>
      <c r="W1466">
        <v>0.16635849999999999</v>
      </c>
      <c r="X1466">
        <v>0.98589720000000003</v>
      </c>
      <c r="Y1466">
        <v>0.13453699999999999</v>
      </c>
      <c r="Z1466">
        <v>-3.9024609999999999E-3</v>
      </c>
      <c r="AA1466">
        <v>0.99090089999999997</v>
      </c>
      <c r="AB1466">
        <v>20</v>
      </c>
      <c r="AC1466">
        <v>26.7075</v>
      </c>
      <c r="AD1466">
        <v>-1.121702239155</v>
      </c>
      <c r="AE1466">
        <v>-3.5144999999999902</v>
      </c>
      <c r="AF1466">
        <v>3.6383340733095402</v>
      </c>
      <c r="AG1466">
        <v>-1.121702239155</v>
      </c>
      <c r="AH1466">
        <v>26.643852756992199</v>
      </c>
      <c r="AI1466">
        <v>92.388579086061497</v>
      </c>
      <c r="AJ1466">
        <v>82.224106483513907</v>
      </c>
      <c r="AK1466">
        <v>26.9145050201302</v>
      </c>
      <c r="AL1466">
        <v>80.423838338568601</v>
      </c>
      <c r="AM1466">
        <v>88.941932988134894</v>
      </c>
      <c r="AN1466">
        <v>0.99999999247824101</v>
      </c>
    </row>
    <row r="1467" spans="1:40" x14ac:dyDescent="0.25">
      <c r="A1467" t="str">
        <f>"20190303161905008"</f>
        <v>20190303161905008</v>
      </c>
      <c r="B1467" t="str">
        <f>"1551601145004171"</f>
        <v>1551601145004171</v>
      </c>
      <c r="C1467" t="s">
        <v>40</v>
      </c>
      <c r="D1467">
        <v>4.9135450000000001</v>
      </c>
      <c r="E1467">
        <v>0.54698009999999997</v>
      </c>
      <c r="F1467" t="s">
        <v>41</v>
      </c>
      <c r="G1467">
        <v>-210.13800000000001</v>
      </c>
      <c r="H1467" s="1">
        <v>-5.202186E-6</v>
      </c>
      <c r="I1467">
        <v>364.0403</v>
      </c>
      <c r="J1467">
        <v>-236.63409999999999</v>
      </c>
      <c r="K1467">
        <v>1.1216919999999999</v>
      </c>
      <c r="L1467">
        <v>367.53219999999999</v>
      </c>
      <c r="M1467">
        <v>0.99988529999999998</v>
      </c>
      <c r="N1467">
        <v>-1.4346350000000001E-2</v>
      </c>
      <c r="O1467">
        <v>4.8737959999999997E-3</v>
      </c>
      <c r="P1467">
        <v>0.98826320000000001</v>
      </c>
      <c r="Q1467">
        <v>0.15215000000000001</v>
      </c>
      <c r="R1467">
        <v>-1.3654960000000001E-2</v>
      </c>
      <c r="S1467">
        <v>3.0500029999999998</v>
      </c>
      <c r="T1467">
        <v>-0.12846669999999999</v>
      </c>
      <c r="U1467">
        <v>-0.39984130000000001</v>
      </c>
      <c r="V1467">
        <v>1.8478439999999999E-2</v>
      </c>
      <c r="W1467">
        <v>0.1663105</v>
      </c>
      <c r="X1467">
        <v>0.98590029999999995</v>
      </c>
      <c r="Y1467">
        <v>0.13465479999999999</v>
      </c>
      <c r="Z1467">
        <v>-3.9278960000000002E-3</v>
      </c>
      <c r="AA1467">
        <v>0.99088480000000001</v>
      </c>
      <c r="AB1467">
        <v>20</v>
      </c>
      <c r="AC1467">
        <v>26.496099999999899</v>
      </c>
      <c r="AD1467">
        <v>-1.1216972021860001</v>
      </c>
      <c r="AE1467">
        <v>-3.4918999999999798</v>
      </c>
      <c r="AF1467">
        <v>3.61464080578964</v>
      </c>
      <c r="AG1467">
        <v>-1.1216972021860001</v>
      </c>
      <c r="AH1467">
        <v>26.4322015209125</v>
      </c>
      <c r="AI1467">
        <v>92.407608427952695</v>
      </c>
      <c r="AJ1467">
        <v>82.213022966744802</v>
      </c>
      <c r="AK1467">
        <v>26.701781026935301</v>
      </c>
      <c r="AL1467">
        <v>80.426627639181902</v>
      </c>
      <c r="AM1467">
        <v>88.9262477393344</v>
      </c>
      <c r="AN1467">
        <v>1.0000000183475799</v>
      </c>
    </row>
    <row r="1468" spans="1:40" x14ac:dyDescent="0.25">
      <c r="A1468" t="str">
        <f>"20190303161905019"</f>
        <v>20190303161905019</v>
      </c>
      <c r="B1468" t="str">
        <f>"1551601145013930"</f>
        <v>1551601145013930</v>
      </c>
      <c r="C1468" t="s">
        <v>40</v>
      </c>
      <c r="D1468">
        <v>4.9366250000000003</v>
      </c>
      <c r="E1468">
        <v>0.54701690000000003</v>
      </c>
      <c r="F1468" t="s">
        <v>41</v>
      </c>
      <c r="G1468">
        <v>-209.9932</v>
      </c>
      <c r="H1468" s="1">
        <v>-5.2662690000000001E-6</v>
      </c>
      <c r="I1468">
        <v>364.02940000000001</v>
      </c>
      <c r="J1468">
        <v>-236.5222</v>
      </c>
      <c r="K1468">
        <v>1.121694</v>
      </c>
      <c r="L1468">
        <v>367.53269999999998</v>
      </c>
      <c r="M1468">
        <v>0.99988540000000004</v>
      </c>
      <c r="N1468">
        <v>-1.4343669999999999E-2</v>
      </c>
      <c r="O1468">
        <v>4.8736969999999998E-3</v>
      </c>
      <c r="P1468">
        <v>0.98827240000000005</v>
      </c>
      <c r="Q1468">
        <v>0.15205560000000001</v>
      </c>
      <c r="R1468">
        <v>-1.402432E-2</v>
      </c>
      <c r="S1468">
        <v>3.0498660000000002</v>
      </c>
      <c r="T1468">
        <v>-0.128412</v>
      </c>
      <c r="U1468">
        <v>-0.401001</v>
      </c>
      <c r="V1468">
        <v>1.8847699999999998E-2</v>
      </c>
      <c r="W1468">
        <v>0.16621369999999999</v>
      </c>
      <c r="X1468">
        <v>0.98590960000000005</v>
      </c>
      <c r="Y1468">
        <v>0.1350305</v>
      </c>
      <c r="Z1468">
        <v>-3.9371019999999996E-3</v>
      </c>
      <c r="AA1468">
        <v>0.99083359999999998</v>
      </c>
      <c r="AB1468">
        <v>20</v>
      </c>
      <c r="AC1468">
        <v>26.529</v>
      </c>
      <c r="AD1468">
        <v>-1.121699266269</v>
      </c>
      <c r="AE1468">
        <v>-3.5032999999999599</v>
      </c>
      <c r="AF1468">
        <v>3.6261942949652699</v>
      </c>
      <c r="AG1468">
        <v>-1.121699266269</v>
      </c>
      <c r="AH1468">
        <v>26.465106561822601</v>
      </c>
      <c r="AI1468">
        <v>92.404536882503393</v>
      </c>
      <c r="AJ1468">
        <v>82.198032940762602</v>
      </c>
      <c r="AK1468">
        <v>26.735918903927999</v>
      </c>
      <c r="AL1468">
        <v>80.432251829063205</v>
      </c>
      <c r="AM1468">
        <v>88.904806141546899</v>
      </c>
      <c r="AN1468">
        <v>0.999999984617569</v>
      </c>
    </row>
    <row r="1469" spans="1:40" x14ac:dyDescent="0.25">
      <c r="A1469" t="str">
        <f>"20190303161905034"</f>
        <v>20190303161905034</v>
      </c>
      <c r="B1469" t="str">
        <f>"1551601145023691"</f>
        <v>1551601145023691</v>
      </c>
      <c r="C1469" t="s">
        <v>40</v>
      </c>
      <c r="D1469">
        <v>4.9447349999999997</v>
      </c>
      <c r="E1469">
        <v>0.54705760000000003</v>
      </c>
      <c r="F1469" t="s">
        <v>41</v>
      </c>
      <c r="G1469">
        <v>-210.08099999999999</v>
      </c>
      <c r="H1469" s="1">
        <v>-5.2254650000000003E-6</v>
      </c>
      <c r="I1469">
        <v>364.0471</v>
      </c>
      <c r="J1469">
        <v>-236.39189999999999</v>
      </c>
      <c r="K1469">
        <v>1.12169599999999</v>
      </c>
      <c r="L1469">
        <v>367.5333</v>
      </c>
      <c r="M1469">
        <v>0.99988540000000004</v>
      </c>
      <c r="N1469">
        <v>-1.4340540000000001E-2</v>
      </c>
      <c r="O1469">
        <v>4.8735410000000003E-3</v>
      </c>
      <c r="P1469">
        <v>0.98826530000000001</v>
      </c>
      <c r="Q1469">
        <v>0.15206979999999901</v>
      </c>
      <c r="R1469">
        <v>-1.4385459999999999E-2</v>
      </c>
      <c r="S1469">
        <v>3.04982</v>
      </c>
      <c r="T1469">
        <v>-0.1293803</v>
      </c>
      <c r="U1469">
        <v>-0.40203860000000002</v>
      </c>
      <c r="V1469">
        <v>1.920852E-2</v>
      </c>
      <c r="W1469">
        <v>0.1662245</v>
      </c>
      <c r="X1469">
        <v>0.98590080000000002</v>
      </c>
      <c r="Y1469">
        <v>0.13536110000000001</v>
      </c>
      <c r="Z1469">
        <v>-3.9691259999999999E-3</v>
      </c>
      <c r="AA1469">
        <v>0.99078840000000001</v>
      </c>
      <c r="AB1469">
        <v>20</v>
      </c>
      <c r="AC1469">
        <v>26.3109</v>
      </c>
      <c r="AD1469">
        <v>-1.1217012254649901</v>
      </c>
      <c r="AE1469">
        <v>-3.48619999999999</v>
      </c>
      <c r="AF1469">
        <v>3.6079545673019999</v>
      </c>
      <c r="AG1469">
        <v>-1.1217012254649901</v>
      </c>
      <c r="AH1469">
        <v>26.246714308043199</v>
      </c>
      <c r="AI1469">
        <v>92.424379669602601</v>
      </c>
      <c r="AJ1469">
        <v>82.172998797804993</v>
      </c>
      <c r="AK1469">
        <v>26.517269123478101</v>
      </c>
      <c r="AL1469">
        <v>80.431624159434094</v>
      </c>
      <c r="AM1469">
        <v>88.883835065836607</v>
      </c>
      <c r="AN1469">
        <v>0.999999969540739</v>
      </c>
    </row>
    <row r="1470" spans="1:40" x14ac:dyDescent="0.25">
      <c r="A1470" t="str">
        <f>"20190303161905046"</f>
        <v>20190303161905046</v>
      </c>
      <c r="B1470" t="str">
        <f>"1551601145034427"</f>
        <v>1551601145034427</v>
      </c>
      <c r="C1470" t="s">
        <v>40</v>
      </c>
      <c r="D1470">
        <v>4.9570040000000004</v>
      </c>
      <c r="E1470">
        <v>0.54709200000000002</v>
      </c>
      <c r="F1470" t="s">
        <v>41</v>
      </c>
      <c r="G1470">
        <v>-210.08779999999999</v>
      </c>
      <c r="H1470" s="1">
        <v>-5.2215509999999901E-6</v>
      </c>
      <c r="I1470">
        <v>364.05259999999998</v>
      </c>
      <c r="J1470">
        <v>-236.28729999999999</v>
      </c>
      <c r="K1470">
        <v>1.12169599999999</v>
      </c>
      <c r="L1470">
        <v>367.53379999999999</v>
      </c>
      <c r="M1470">
        <v>0.99988540000000004</v>
      </c>
      <c r="N1470">
        <v>-1.433802E-2</v>
      </c>
      <c r="O1470">
        <v>4.8735590000000004E-3</v>
      </c>
      <c r="P1470">
        <v>0.98830609999999997</v>
      </c>
      <c r="Q1470">
        <v>0.15179200000000001</v>
      </c>
      <c r="R1470">
        <v>-1.4513470000000001E-2</v>
      </c>
      <c r="S1470">
        <v>3.049744</v>
      </c>
      <c r="T1470">
        <v>-0.13005159999999999</v>
      </c>
      <c r="U1470">
        <v>-0.40356449999999999</v>
      </c>
      <c r="V1470">
        <v>1.933677E-2</v>
      </c>
      <c r="W1470">
        <v>0.1659447</v>
      </c>
      <c r="X1470">
        <v>0.98594550000000003</v>
      </c>
      <c r="Y1470">
        <v>0.13584939999999901</v>
      </c>
      <c r="Z1470">
        <v>-3.9987440000000003E-3</v>
      </c>
      <c r="AA1470">
        <v>0.99072139999999997</v>
      </c>
      <c r="AB1470">
        <v>20</v>
      </c>
      <c r="AC1470">
        <v>26.1995</v>
      </c>
      <c r="AD1470">
        <v>-1.1217012215509901</v>
      </c>
      <c r="AE1470">
        <v>-3.4811999999999999</v>
      </c>
      <c r="AF1470">
        <v>3.60236790410843</v>
      </c>
      <c r="AG1470">
        <v>-1.1217012215509901</v>
      </c>
      <c r="AH1470">
        <v>26.135145964669199</v>
      </c>
      <c r="AI1470">
        <v>92.434594119818399</v>
      </c>
      <c r="AJ1470">
        <v>82.152021739039895</v>
      </c>
      <c r="AK1470">
        <v>26.406081169714401</v>
      </c>
      <c r="AL1470">
        <v>80.447882000658794</v>
      </c>
      <c r="AM1470">
        <v>88.876435572565001</v>
      </c>
      <c r="AN1470">
        <v>1.0000000415511801</v>
      </c>
    </row>
    <row r="1471" spans="1:40" x14ac:dyDescent="0.25">
      <c r="A1471" t="str">
        <f>"20190303161905057"</f>
        <v>20190303161905057</v>
      </c>
      <c r="B1471" t="str">
        <f>"1551601145044187"</f>
        <v>1551601145044187</v>
      </c>
      <c r="C1471" t="s">
        <v>40</v>
      </c>
      <c r="D1471">
        <v>4.967066</v>
      </c>
      <c r="E1471">
        <v>0.54707209999999995</v>
      </c>
      <c r="F1471" t="s">
        <v>41</v>
      </c>
      <c r="G1471">
        <v>-210.23079999999999</v>
      </c>
      <c r="H1471" s="1">
        <v>-5.1548509999999997E-6</v>
      </c>
      <c r="I1471">
        <v>364.08269999999999</v>
      </c>
      <c r="J1471">
        <v>-236.17580000000001</v>
      </c>
      <c r="K1471">
        <v>1.1216919999999999</v>
      </c>
      <c r="L1471">
        <v>367.53440000000001</v>
      </c>
      <c r="M1471">
        <v>0.99988549999999998</v>
      </c>
      <c r="N1471">
        <v>-1.433533E-2</v>
      </c>
      <c r="O1471">
        <v>4.8733999999999904E-3</v>
      </c>
      <c r="P1471">
        <v>0.98827900000000002</v>
      </c>
      <c r="Q1471">
        <v>0.15195049999999999</v>
      </c>
      <c r="R1471">
        <v>-1.469346E-2</v>
      </c>
      <c r="S1471">
        <v>3.049744</v>
      </c>
      <c r="T1471">
        <v>-0.13128770000000001</v>
      </c>
      <c r="U1471">
        <v>-0.40393069999999998</v>
      </c>
      <c r="V1471">
        <v>1.951659E-2</v>
      </c>
      <c r="W1471">
        <v>0.16610039999999901</v>
      </c>
      <c r="X1471">
        <v>0.98591569999999995</v>
      </c>
      <c r="Y1471">
        <v>0.13596329999999901</v>
      </c>
      <c r="Z1471">
        <v>-4.0311590000000003E-3</v>
      </c>
      <c r="AA1471">
        <v>0.99070570000000002</v>
      </c>
      <c r="AB1471">
        <v>20</v>
      </c>
      <c r="AC1471">
        <v>25.945</v>
      </c>
      <c r="AD1471">
        <v>-1.121697154851</v>
      </c>
      <c r="AE1471">
        <v>-3.45170000000001</v>
      </c>
      <c r="AF1471">
        <v>3.57155268102334</v>
      </c>
      <c r="AG1471">
        <v>-1.121697154851</v>
      </c>
      <c r="AH1471">
        <v>25.880335700983199</v>
      </c>
      <c r="AI1471">
        <v>92.458470948856004</v>
      </c>
      <c r="AJ1471">
        <v>82.142664918892606</v>
      </c>
      <c r="AK1471">
        <v>26.149683918856699</v>
      </c>
      <c r="AL1471">
        <v>80.438835136448603</v>
      </c>
      <c r="AM1471">
        <v>88.865955566957396</v>
      </c>
      <c r="AN1471">
        <v>1.00000000383593</v>
      </c>
    </row>
    <row r="1472" spans="1:40" x14ac:dyDescent="0.25">
      <c r="A1472" t="str">
        <f>"20190303161905069"</f>
        <v>20190303161905069</v>
      </c>
      <c r="B1472" t="str">
        <f>"1551601145063706"</f>
        <v>1551601145063706</v>
      </c>
      <c r="C1472" t="s">
        <v>40</v>
      </c>
      <c r="D1472">
        <v>4.9441300000000004</v>
      </c>
      <c r="E1472">
        <v>0.54726509999999995</v>
      </c>
      <c r="F1472" t="s">
        <v>41</v>
      </c>
      <c r="G1472">
        <v>-210.0522</v>
      </c>
      <c r="H1472" s="1">
        <v>-5.2340430000000003E-6</v>
      </c>
      <c r="I1472">
        <v>364.06830000000002</v>
      </c>
      <c r="J1472">
        <v>-236.07329999999999</v>
      </c>
      <c r="K1472">
        <v>1.1216889999999999</v>
      </c>
      <c r="L1472">
        <v>367.53489999999999</v>
      </c>
      <c r="M1472">
        <v>0.99988549999999998</v>
      </c>
      <c r="N1472">
        <v>-1.4332849999999999E-2</v>
      </c>
      <c r="O1472">
        <v>4.8732389999999997E-3</v>
      </c>
      <c r="P1472">
        <v>0.98831959999999996</v>
      </c>
      <c r="Q1472">
        <v>0.15165120000000001</v>
      </c>
      <c r="R1472">
        <v>-1.5053220000000001E-2</v>
      </c>
      <c r="S1472">
        <v>3.0496829999999999</v>
      </c>
      <c r="T1472">
        <v>-0.13094739999999999</v>
      </c>
      <c r="U1472">
        <v>-0.40463260000000001</v>
      </c>
      <c r="V1472">
        <v>1.9876350000000001E-2</v>
      </c>
      <c r="W1472">
        <v>0.16579940000000001</v>
      </c>
      <c r="X1472">
        <v>0.98595920000000004</v>
      </c>
      <c r="Y1472">
        <v>0.13619029999999999</v>
      </c>
      <c r="Z1472">
        <v>-4.029426E-3</v>
      </c>
      <c r="AA1472">
        <v>0.99067450000000001</v>
      </c>
      <c r="AB1472">
        <v>20</v>
      </c>
      <c r="AC1472">
        <v>26.021099999999901</v>
      </c>
      <c r="AD1472">
        <v>-1.1216942340429901</v>
      </c>
      <c r="AE1472">
        <v>-3.4665999999999699</v>
      </c>
      <c r="AF1472">
        <v>3.5868299863712201</v>
      </c>
      <c r="AG1472">
        <v>-1.1216942340429901</v>
      </c>
      <c r="AH1472">
        <v>25.9565038186729</v>
      </c>
      <c r="AI1472">
        <v>92.451198206119798</v>
      </c>
      <c r="AJ1472">
        <v>82.132341626784907</v>
      </c>
      <c r="AK1472">
        <v>26.227154588224</v>
      </c>
      <c r="AL1472">
        <v>80.456323883739103</v>
      </c>
      <c r="AM1472">
        <v>88.845107657092697</v>
      </c>
      <c r="AN1472">
        <v>1.0000000271971601</v>
      </c>
    </row>
    <row r="1473" spans="1:40" x14ac:dyDescent="0.25">
      <c r="A1473" t="str">
        <f>"20190303161905081"</f>
        <v>20190303161905081</v>
      </c>
      <c r="B1473" t="str">
        <f>"1551601145074442"</f>
        <v>1551601145074442</v>
      </c>
      <c r="C1473" t="s">
        <v>40</v>
      </c>
      <c r="D1473">
        <v>4.9398339999999896</v>
      </c>
      <c r="E1473">
        <v>0.54726509999999995</v>
      </c>
      <c r="F1473" t="s">
        <v>41</v>
      </c>
      <c r="G1473">
        <v>-210.30350000000001</v>
      </c>
      <c r="H1473" s="1">
        <v>-5.1218200000000004E-6</v>
      </c>
      <c r="I1473">
        <v>364.09320000000002</v>
      </c>
      <c r="J1473">
        <v>-235.96559999999999</v>
      </c>
      <c r="K1473">
        <v>1.121688</v>
      </c>
      <c r="L1473">
        <v>367.53539999999998</v>
      </c>
      <c r="M1473">
        <v>0.99988560000000004</v>
      </c>
      <c r="N1473">
        <v>-1.4330249999999999E-2</v>
      </c>
      <c r="O1473">
        <v>4.8734360000000001E-3</v>
      </c>
      <c r="P1473">
        <v>0.98829540000000005</v>
      </c>
      <c r="Q1473">
        <v>0.1517828</v>
      </c>
      <c r="R1473">
        <v>-1.531019E-2</v>
      </c>
      <c r="S1473">
        <v>3.0496219999999998</v>
      </c>
      <c r="T1473">
        <v>-0.13274169999999999</v>
      </c>
      <c r="U1473">
        <v>-0.40728760000000003</v>
      </c>
      <c r="V1473">
        <v>2.0133419999999999E-2</v>
      </c>
      <c r="W1473">
        <v>0.1659273</v>
      </c>
      <c r="X1473">
        <v>0.98593240000000004</v>
      </c>
      <c r="Y1473">
        <v>0.1370354</v>
      </c>
      <c r="Z1473">
        <v>-4.096298E-3</v>
      </c>
      <c r="AA1473">
        <v>0.99055769999999999</v>
      </c>
      <c r="AB1473">
        <v>20</v>
      </c>
      <c r="AC1473">
        <v>25.662099999999899</v>
      </c>
      <c r="AD1473">
        <v>-1.1216931218199999</v>
      </c>
      <c r="AE1473">
        <v>-3.44219999999995</v>
      </c>
      <c r="AF1473">
        <v>3.56055207683983</v>
      </c>
      <c r="AG1473">
        <v>-1.1216931218199999</v>
      </c>
      <c r="AH1473">
        <v>25.596977589486599</v>
      </c>
      <c r="AI1473">
        <v>92.485272808046503</v>
      </c>
      <c r="AJ1473">
        <v>82.080943340336404</v>
      </c>
      <c r="AK1473">
        <v>25.8677596298579</v>
      </c>
      <c r="AL1473">
        <v>80.448892180552605</v>
      </c>
      <c r="AM1473">
        <v>88.830143236321504</v>
      </c>
      <c r="AN1473">
        <v>0.99999996042797201</v>
      </c>
    </row>
    <row r="1474" spans="1:40" x14ac:dyDescent="0.25">
      <c r="A1474" t="str">
        <f>"20190303161905093"</f>
        <v>20190303161905093</v>
      </c>
      <c r="B1474" t="str">
        <f>"1551601145084203"</f>
        <v>1551601145084203</v>
      </c>
      <c r="C1474" t="s">
        <v>40</v>
      </c>
      <c r="D1474">
        <v>4.9022790000000001</v>
      </c>
      <c r="E1474">
        <v>0.55507309999999999</v>
      </c>
      <c r="F1474" t="s">
        <v>41</v>
      </c>
      <c r="G1474">
        <v>-210.125</v>
      </c>
      <c r="H1474" s="1">
        <v>-5.2005060000000002E-6</v>
      </c>
      <c r="I1474">
        <v>364.08139999999997</v>
      </c>
      <c r="J1474">
        <v>-235.85050000000001</v>
      </c>
      <c r="K1474">
        <v>1.1216889999999999</v>
      </c>
      <c r="L1474">
        <v>367.536</v>
      </c>
      <c r="M1474">
        <v>0.99988560000000004</v>
      </c>
      <c r="N1474">
        <v>-1.432747E-2</v>
      </c>
      <c r="O1474">
        <v>4.873456E-3</v>
      </c>
      <c r="P1474">
        <v>0.9883267</v>
      </c>
      <c r="Q1474">
        <v>0.15151389999999901</v>
      </c>
      <c r="R1474">
        <v>-1.5936599999999999E-2</v>
      </c>
      <c r="S1474">
        <v>3.0495299999999999</v>
      </c>
      <c r="T1474">
        <v>-0.1323742</v>
      </c>
      <c r="U1474">
        <v>-0.40762330000000002</v>
      </c>
      <c r="V1474">
        <v>2.0760000000000001E-2</v>
      </c>
      <c r="W1474">
        <v>0.16565639999999901</v>
      </c>
      <c r="X1474">
        <v>0.98596499999999998</v>
      </c>
      <c r="Y1474">
        <v>0.1371472</v>
      </c>
      <c r="Z1474">
        <v>-4.0906229999999998E-3</v>
      </c>
      <c r="AA1474">
        <v>0.99054219999999904</v>
      </c>
      <c r="AB1474">
        <v>20</v>
      </c>
      <c r="AC1474">
        <v>25.7255</v>
      </c>
      <c r="AD1474">
        <v>-1.121694200506</v>
      </c>
      <c r="AE1474">
        <v>-3.4546000000000201</v>
      </c>
      <c r="AF1474">
        <v>3.5732708487889902</v>
      </c>
      <c r="AG1474">
        <v>-1.121694200506</v>
      </c>
      <c r="AH1474">
        <v>25.660436134560101</v>
      </c>
      <c r="AI1474">
        <v>92.479085490218395</v>
      </c>
      <c r="AJ1474">
        <v>82.072418989315807</v>
      </c>
      <c r="AK1474">
        <v>25.932305047066201</v>
      </c>
      <c r="AL1474">
        <v>80.464631815942695</v>
      </c>
      <c r="AM1474">
        <v>88.793786135320104</v>
      </c>
      <c r="AN1474">
        <v>1.0000000008429799</v>
      </c>
    </row>
    <row r="1475" spans="1:40" x14ac:dyDescent="0.25">
      <c r="A1475" t="str">
        <f>"20190303161905108"</f>
        <v>20190303161905108</v>
      </c>
      <c r="B1475" t="str">
        <f>"1551601145093964"</f>
        <v>1551601145093964</v>
      </c>
      <c r="C1475" t="s">
        <v>40</v>
      </c>
      <c r="D1475">
        <v>4.9312870000000002</v>
      </c>
      <c r="E1475">
        <v>0.55551090000000003</v>
      </c>
      <c r="F1475" t="s">
        <v>41</v>
      </c>
      <c r="G1475">
        <v>-215.08090000000001</v>
      </c>
      <c r="H1475" s="1">
        <v>-3.066071E-6</v>
      </c>
      <c r="I1475">
        <v>364.3322</v>
      </c>
      <c r="J1475">
        <v>-235.7277</v>
      </c>
      <c r="K1475">
        <v>1.1216930000000001</v>
      </c>
      <c r="L1475">
        <v>367.53660000000002</v>
      </c>
      <c r="M1475">
        <v>0.99988560000000004</v>
      </c>
      <c r="N1475">
        <v>-1.43245E-2</v>
      </c>
      <c r="O1475">
        <v>4.8734770000000002E-3</v>
      </c>
      <c r="P1475">
        <v>0.98829979999999995</v>
      </c>
      <c r="Q1475">
        <v>0.1516256</v>
      </c>
      <c r="R1475">
        <v>-1.654332E-2</v>
      </c>
      <c r="S1475">
        <v>3.0531009999999998</v>
      </c>
      <c r="T1475">
        <v>-0.16488610000000001</v>
      </c>
      <c r="U1475">
        <v>-0.47094730000000001</v>
      </c>
      <c r="V1475">
        <v>2.1366389999999999E-2</v>
      </c>
      <c r="W1475">
        <v>0.16576459999999901</v>
      </c>
      <c r="X1475">
        <v>0.98593379999999997</v>
      </c>
      <c r="Y1475">
        <v>0.15697659999999999</v>
      </c>
      <c r="Z1475">
        <v>-5.5350310000000002E-3</v>
      </c>
      <c r="AA1475">
        <v>0.98758679999999999</v>
      </c>
      <c r="AB1475">
        <v>20</v>
      </c>
      <c r="AC1475">
        <v>20.646799999999899</v>
      </c>
      <c r="AD1475">
        <v>-1.121696066071</v>
      </c>
      <c r="AE1475">
        <v>-3.2044000000000201</v>
      </c>
      <c r="AF1475">
        <v>3.29549603611179</v>
      </c>
      <c r="AG1475">
        <v>-1.121696066071</v>
      </c>
      <c r="AH1475">
        <v>20.571647198417999</v>
      </c>
      <c r="AI1475">
        <v>93.081820635933298</v>
      </c>
      <c r="AJ1475">
        <v>80.898772553730495</v>
      </c>
      <c r="AK1475">
        <v>20.864111882484899</v>
      </c>
      <c r="AL1475">
        <v>80.458344930309593</v>
      </c>
      <c r="AM1475">
        <v>88.758524782689406</v>
      </c>
      <c r="AN1475">
        <v>0.99999994160861405</v>
      </c>
    </row>
    <row r="1476" spans="1:40" x14ac:dyDescent="0.25">
      <c r="A1476" t="str">
        <f>"20190303161905121"</f>
        <v>20190303161905121</v>
      </c>
      <c r="B1476" t="str">
        <f>"1551601145114458"</f>
        <v>1551601145114458</v>
      </c>
      <c r="C1476" t="s">
        <v>40</v>
      </c>
      <c r="D1476">
        <v>4.9281509999999997</v>
      </c>
      <c r="E1476">
        <v>0.55544609999999905</v>
      </c>
      <c r="F1476" t="s">
        <v>41</v>
      </c>
      <c r="G1476">
        <v>-215.04400000000001</v>
      </c>
      <c r="H1476" s="1">
        <v>-3.0843669999999998E-6</v>
      </c>
      <c r="I1476">
        <v>364.31060000000002</v>
      </c>
      <c r="J1476">
        <v>-235.6114</v>
      </c>
      <c r="K1476">
        <v>1.1216950000000001</v>
      </c>
      <c r="L1476">
        <v>367.53719999999998</v>
      </c>
      <c r="M1476">
        <v>0.99988569999999999</v>
      </c>
      <c r="N1476">
        <v>-1.43217E-2</v>
      </c>
      <c r="O1476">
        <v>4.8734970000000001E-3</v>
      </c>
      <c r="P1476">
        <v>0.98832299999999995</v>
      </c>
      <c r="Q1476">
        <v>0.15129690000000001</v>
      </c>
      <c r="R1476">
        <v>-1.8095340000000001E-2</v>
      </c>
      <c r="S1476">
        <v>3.0529630000000001</v>
      </c>
      <c r="T1476">
        <v>-0.1655645</v>
      </c>
      <c r="U1476">
        <v>-0.47616579999999997</v>
      </c>
      <c r="V1476">
        <v>2.2918709999999998E-2</v>
      </c>
      <c r="W1476">
        <v>0.1654331</v>
      </c>
      <c r="X1476">
        <v>0.98595469999999996</v>
      </c>
      <c r="Y1476">
        <v>0.1586265</v>
      </c>
      <c r="Z1476">
        <v>-5.6093109999999996E-3</v>
      </c>
      <c r="AA1476">
        <v>0.9873227</v>
      </c>
      <c r="AB1476">
        <v>20</v>
      </c>
      <c r="AC1476">
        <v>20.5673999999999</v>
      </c>
      <c r="AD1476">
        <v>-1.1216980843669999</v>
      </c>
      <c r="AE1476">
        <v>-3.2265999999999599</v>
      </c>
      <c r="AF1476">
        <v>3.31717762430941</v>
      </c>
      <c r="AG1476">
        <v>-1.1216980843669999</v>
      </c>
      <c r="AH1476">
        <v>20.491942925961801</v>
      </c>
      <c r="AI1476">
        <v>93.092975118187098</v>
      </c>
      <c r="AJ1476">
        <v>80.804884917244905</v>
      </c>
      <c r="AK1476">
        <v>20.788977821542101</v>
      </c>
      <c r="AL1476">
        <v>80.477605187375801</v>
      </c>
      <c r="AM1476">
        <v>88.668388195796993</v>
      </c>
      <c r="AN1476">
        <v>1.0000000241478799</v>
      </c>
    </row>
    <row r="1477" spans="1:40" x14ac:dyDescent="0.25">
      <c r="A1477" t="str">
        <f>"20190303161905136"</f>
        <v>20190303161905136</v>
      </c>
      <c r="B1477" t="str">
        <f>"1551601145124219"</f>
        <v>1551601145124219</v>
      </c>
      <c r="C1477" t="s">
        <v>40</v>
      </c>
      <c r="D1477">
        <v>4.9078119999999998</v>
      </c>
      <c r="E1477">
        <v>0.55566280000000001</v>
      </c>
      <c r="F1477" t="s">
        <v>41</v>
      </c>
      <c r="G1477">
        <v>-215.17859999999999</v>
      </c>
      <c r="H1477" s="1">
        <v>-3.036022E-6</v>
      </c>
      <c r="I1477">
        <v>364.32010000000002</v>
      </c>
      <c r="J1477">
        <v>-235.47139999999999</v>
      </c>
      <c r="K1477">
        <v>1.1216930000000001</v>
      </c>
      <c r="L1477">
        <v>367.53789999999998</v>
      </c>
      <c r="M1477">
        <v>0.99988569999999999</v>
      </c>
      <c r="N1477">
        <v>-1.4318320000000001E-2</v>
      </c>
      <c r="O1477">
        <v>4.8735219999999999E-3</v>
      </c>
      <c r="P1477">
        <v>0.98831869999999999</v>
      </c>
      <c r="Q1477">
        <v>0.15125849999999999</v>
      </c>
      <c r="R1477">
        <v>-1.863633E-2</v>
      </c>
      <c r="S1477">
        <v>3.0522770000000001</v>
      </c>
      <c r="T1477">
        <v>-0.16756019999999999</v>
      </c>
      <c r="U1477">
        <v>-0.4805603</v>
      </c>
      <c r="V1477">
        <v>2.3459730000000002E-2</v>
      </c>
      <c r="W1477">
        <v>0.1653917</v>
      </c>
      <c r="X1477">
        <v>0.98594890000000002</v>
      </c>
      <c r="Y1477">
        <v>0.1600385</v>
      </c>
      <c r="Z1477">
        <v>-5.7129850000000003E-3</v>
      </c>
      <c r="AA1477">
        <v>0.98709420000000003</v>
      </c>
      <c r="AB1477">
        <v>20</v>
      </c>
      <c r="AC1477">
        <v>20.2928</v>
      </c>
      <c r="AD1477">
        <v>-1.1216960360220001</v>
      </c>
      <c r="AE1477">
        <v>-3.2177999999999498</v>
      </c>
      <c r="AF1477">
        <v>3.3068135304461101</v>
      </c>
      <c r="AG1477">
        <v>-1.1216960360220001</v>
      </c>
      <c r="AH1477">
        <v>20.216620747209799</v>
      </c>
      <c r="AI1477">
        <v>93.134168909667494</v>
      </c>
      <c r="AJ1477">
        <v>80.7104474261955</v>
      </c>
      <c r="AK1477">
        <v>20.515968711198699</v>
      </c>
      <c r="AL1477">
        <v>80.480010165654406</v>
      </c>
      <c r="AM1477">
        <v>88.636957819983607</v>
      </c>
      <c r="AN1477">
        <v>1.00000000338588</v>
      </c>
    </row>
    <row r="1478" spans="1:40" x14ac:dyDescent="0.25">
      <c r="A1478" t="str">
        <f>"20190303161905151"</f>
        <v>20190303161905151</v>
      </c>
      <c r="B1478" t="str">
        <f>"1551601145143738"</f>
        <v>1551601145143738</v>
      </c>
      <c r="C1478" t="s">
        <v>40</v>
      </c>
      <c r="D1478">
        <v>4.9347219999999998</v>
      </c>
      <c r="E1478">
        <v>0.55604750000000003</v>
      </c>
      <c r="F1478" t="s">
        <v>41</v>
      </c>
      <c r="G1478">
        <v>-215.0249</v>
      </c>
      <c r="H1478" s="1">
        <v>-3.0947389999999998E-6</v>
      </c>
      <c r="I1478">
        <v>364.29610000000002</v>
      </c>
      <c r="J1478">
        <v>-235.34559999999999</v>
      </c>
      <c r="K1478">
        <v>1.1216950000000001</v>
      </c>
      <c r="L1478">
        <v>367.5385</v>
      </c>
      <c r="M1478">
        <v>0.99988580000000005</v>
      </c>
      <c r="N1478">
        <v>-1.431527E-2</v>
      </c>
      <c r="O1478">
        <v>4.8733650000000002E-3</v>
      </c>
      <c r="P1478">
        <v>0.98833740000000003</v>
      </c>
      <c r="Q1478">
        <v>0.15108579999999999</v>
      </c>
      <c r="R1478">
        <v>-1.9043979999999999E-2</v>
      </c>
      <c r="S1478">
        <v>3.0519560000000001</v>
      </c>
      <c r="T1478">
        <v>-0.1674302</v>
      </c>
      <c r="U1478">
        <v>-0.4838867</v>
      </c>
      <c r="V1478">
        <v>2.3867159999999998E-2</v>
      </c>
      <c r="W1478">
        <v>0.16521629999999901</v>
      </c>
      <c r="X1478">
        <v>0.98596850000000003</v>
      </c>
      <c r="Y1478">
        <v>0.1611023</v>
      </c>
      <c r="Z1478">
        <v>-5.7459969999999897E-3</v>
      </c>
      <c r="AA1478">
        <v>0.98692100000000005</v>
      </c>
      <c r="AB1478">
        <v>20</v>
      </c>
      <c r="AC1478">
        <v>20.320699999999899</v>
      </c>
      <c r="AD1478">
        <v>-1.1216980947390001</v>
      </c>
      <c r="AE1478">
        <v>-3.2423999999999702</v>
      </c>
      <c r="AF1478">
        <v>3.33150270137928</v>
      </c>
      <c r="AG1478">
        <v>-1.1216980947390001</v>
      </c>
      <c r="AH1478">
        <v>20.244501828184301</v>
      </c>
      <c r="AI1478">
        <v>93.129370641447196</v>
      </c>
      <c r="AJ1478">
        <v>80.654972676882096</v>
      </c>
      <c r="AK1478">
        <v>20.547432227322101</v>
      </c>
      <c r="AL1478">
        <v>80.490199758833498</v>
      </c>
      <c r="AM1478">
        <v>88.613322303306703</v>
      </c>
      <c r="AN1478">
        <v>0.99999997505220195</v>
      </c>
    </row>
    <row r="1479" spans="1:40" x14ac:dyDescent="0.25">
      <c r="A1479" t="str">
        <f>"20190303161905165"</f>
        <v>20190303161905165</v>
      </c>
      <c r="B1479" t="str">
        <f>"1551601145154476"</f>
        <v>1551601145154476</v>
      </c>
      <c r="C1479" t="s">
        <v>40</v>
      </c>
      <c r="D1479">
        <v>4.9294079999999996</v>
      </c>
      <c r="E1479">
        <v>0.55630869999999999</v>
      </c>
      <c r="F1479" t="s">
        <v>41</v>
      </c>
      <c r="G1479">
        <v>-214.9462</v>
      </c>
      <c r="H1479" s="1">
        <v>-3.1271830000000001E-6</v>
      </c>
      <c r="I1479">
        <v>364.27480000000003</v>
      </c>
      <c r="J1479">
        <v>-235.21889999999999</v>
      </c>
      <c r="K1479">
        <v>1.1216980000000001</v>
      </c>
      <c r="L1479">
        <v>367.53910000000002</v>
      </c>
      <c r="M1479">
        <v>0.99988589999999999</v>
      </c>
      <c r="N1479">
        <v>-1.4312180000000001E-2</v>
      </c>
      <c r="O1479">
        <v>4.8733880000000002E-3</v>
      </c>
      <c r="P1479">
        <v>0.98828340000000003</v>
      </c>
      <c r="Q1479">
        <v>0.15129609999999999</v>
      </c>
      <c r="R1479">
        <v>-2.0139799999999999E-2</v>
      </c>
      <c r="S1479">
        <v>3.0516510000000001</v>
      </c>
      <c r="T1479">
        <v>-0.1677999</v>
      </c>
      <c r="U1479">
        <v>-0.48822019999999999</v>
      </c>
      <c r="V1479">
        <v>2.4962789999999999E-2</v>
      </c>
      <c r="W1479">
        <v>0.16542279999999901</v>
      </c>
      <c r="X1479">
        <v>0.98590679999999997</v>
      </c>
      <c r="Y1479">
        <v>0.1624805</v>
      </c>
      <c r="Z1479">
        <v>-5.8036669999999898E-3</v>
      </c>
      <c r="AA1479">
        <v>0.98669470000000004</v>
      </c>
      <c r="AB1479">
        <v>20</v>
      </c>
      <c r="AC1479">
        <v>20.272699999999901</v>
      </c>
      <c r="AD1479">
        <v>-1.121701127183</v>
      </c>
      <c r="AE1479">
        <v>-3.2642999999999902</v>
      </c>
      <c r="AF1479">
        <v>3.3530621618738499</v>
      </c>
      <c r="AG1479">
        <v>-1.121701127183</v>
      </c>
      <c r="AH1479">
        <v>20.196281498462401</v>
      </c>
      <c r="AI1479">
        <v>93.136100316798903</v>
      </c>
      <c r="AJ1479">
        <v>80.573522988233506</v>
      </c>
      <c r="AK1479">
        <v>20.503439361366901</v>
      </c>
      <c r="AL1479">
        <v>80.478203644115794</v>
      </c>
      <c r="AM1479">
        <v>88.549602264429495</v>
      </c>
      <c r="AN1479">
        <v>1.0000000309653301</v>
      </c>
    </row>
    <row r="1480" spans="1:40" x14ac:dyDescent="0.25">
      <c r="A1480" t="str">
        <f>"20190303161905177"</f>
        <v>20190303161905177</v>
      </c>
      <c r="B1480" t="str">
        <f>"1551601145164235"</f>
        <v>1551601145164235</v>
      </c>
      <c r="C1480" t="s">
        <v>40</v>
      </c>
      <c r="D1480">
        <v>4.8974510000000002</v>
      </c>
      <c r="E1480">
        <v>0.55641079999999998</v>
      </c>
      <c r="F1480" t="s">
        <v>41</v>
      </c>
      <c r="G1480">
        <v>-214.55930000000001</v>
      </c>
      <c r="H1480" s="1">
        <v>-3.27971E-6</v>
      </c>
      <c r="I1480">
        <v>364.19639999999998</v>
      </c>
      <c r="J1480">
        <v>-235.10220000000001</v>
      </c>
      <c r="K1480">
        <v>1.121699</v>
      </c>
      <c r="L1480">
        <v>367.53960000000001</v>
      </c>
      <c r="M1480">
        <v>0.99988569999999999</v>
      </c>
      <c r="N1480">
        <v>-1.430933E-2</v>
      </c>
      <c r="O1480">
        <v>4.8734080000000001E-3</v>
      </c>
      <c r="P1480">
        <v>0.9882919</v>
      </c>
      <c r="Q1480">
        <v>0.15116660000000001</v>
      </c>
      <c r="R1480">
        <v>-2.0688160000000001E-2</v>
      </c>
      <c r="S1480">
        <v>3.050888</v>
      </c>
      <c r="T1480">
        <v>-0.16564499999999999</v>
      </c>
      <c r="U1480">
        <v>-0.4936218</v>
      </c>
      <c r="V1480">
        <v>2.5511229999999999E-2</v>
      </c>
      <c r="W1480">
        <v>0.1652901</v>
      </c>
      <c r="X1480">
        <v>0.98591499999999999</v>
      </c>
      <c r="Y1480">
        <v>0.16422539999999999</v>
      </c>
      <c r="Z1480">
        <v>-5.8034089999999998E-3</v>
      </c>
      <c r="AA1480">
        <v>0.9864058</v>
      </c>
      <c r="AB1480">
        <v>20</v>
      </c>
      <c r="AC1480">
        <v>20.542899999999999</v>
      </c>
      <c r="AD1480">
        <v>-1.12170227971</v>
      </c>
      <c r="AE1480">
        <v>-3.3432000000000199</v>
      </c>
      <c r="AF1480">
        <v>3.43331224745579</v>
      </c>
      <c r="AG1480">
        <v>-1.12170227971</v>
      </c>
      <c r="AH1480">
        <v>20.4669143499009</v>
      </c>
      <c r="AI1480">
        <v>93.093850876396701</v>
      </c>
      <c r="AJ1480">
        <v>80.477329975394596</v>
      </c>
      <c r="AK1480">
        <v>20.783176658033199</v>
      </c>
      <c r="AL1480">
        <v>80.485912754170002</v>
      </c>
      <c r="AM1480">
        <v>88.517762975873296</v>
      </c>
      <c r="AN1480">
        <v>1.0000000136195599</v>
      </c>
    </row>
    <row r="1481" spans="1:40" x14ac:dyDescent="0.25">
      <c r="A1481" t="str">
        <f>"20190303161905190"</f>
        <v>20190303161905190</v>
      </c>
      <c r="B1481" t="str">
        <f>"1551601145183755"</f>
        <v>1551601145183755</v>
      </c>
      <c r="C1481" t="s">
        <v>40</v>
      </c>
      <c r="D1481">
        <v>4.8799929999999998</v>
      </c>
      <c r="E1481">
        <v>0.556536699999999</v>
      </c>
      <c r="F1481" t="s">
        <v>41</v>
      </c>
      <c r="G1481">
        <v>-214.45330000000001</v>
      </c>
      <c r="H1481" s="1">
        <v>-3.325832E-6</v>
      </c>
      <c r="I1481">
        <v>364.18189999999998</v>
      </c>
      <c r="J1481">
        <v>-234.99760000000001</v>
      </c>
      <c r="K1481">
        <v>1.121699</v>
      </c>
      <c r="L1481">
        <v>367.5401</v>
      </c>
      <c r="M1481">
        <v>0.99988569999999999</v>
      </c>
      <c r="N1481">
        <v>-1.430677E-2</v>
      </c>
      <c r="O1481">
        <v>4.8732480000000002E-3</v>
      </c>
      <c r="P1481">
        <v>0.98826270000000005</v>
      </c>
      <c r="Q1481">
        <v>0.15128269999999999</v>
      </c>
      <c r="R1481">
        <v>-2.122485E-2</v>
      </c>
      <c r="S1481">
        <v>3.0505070000000001</v>
      </c>
      <c r="T1481">
        <v>-0.16571069999999999</v>
      </c>
      <c r="U1481">
        <v>-0.49603269999999999</v>
      </c>
      <c r="V1481">
        <v>2.604764E-2</v>
      </c>
      <c r="W1481">
        <v>0.16540350000000001</v>
      </c>
      <c r="X1481">
        <v>0.98588189999999998</v>
      </c>
      <c r="Y1481">
        <v>0.1650026</v>
      </c>
      <c r="Z1481">
        <v>-5.8319829999999998E-3</v>
      </c>
      <c r="AA1481">
        <v>0.98627589999999998</v>
      </c>
      <c r="AB1481">
        <v>20</v>
      </c>
      <c r="AC1481">
        <v>20.5443</v>
      </c>
      <c r="AD1481">
        <v>-1.121702325832</v>
      </c>
      <c r="AE1481">
        <v>-3.3582000000000098</v>
      </c>
      <c r="AF1481">
        <v>3.44827579757863</v>
      </c>
      <c r="AG1481">
        <v>-1.121702325832</v>
      </c>
      <c r="AH1481">
        <v>20.4682595480343</v>
      </c>
      <c r="AI1481">
        <v>93.0932846171455</v>
      </c>
      <c r="AJ1481">
        <v>80.437208780285502</v>
      </c>
      <c r="AK1481">
        <v>20.7869784001822</v>
      </c>
      <c r="AL1481">
        <v>80.479324207613402</v>
      </c>
      <c r="AM1481">
        <v>88.486560386117304</v>
      </c>
      <c r="AN1481">
        <v>0.99999995905471395</v>
      </c>
    </row>
    <row r="1482" spans="1:40" x14ac:dyDescent="0.25">
      <c r="A1482" t="str">
        <f>"20190303161905201"</f>
        <v>20190303161905201</v>
      </c>
      <c r="B1482" t="str">
        <f>"1551601145194490"</f>
        <v>1551601145194490</v>
      </c>
      <c r="C1482" t="s">
        <v>40</v>
      </c>
      <c r="D1482">
        <v>4.8765409999999996</v>
      </c>
      <c r="E1482">
        <v>0.55657789999999996</v>
      </c>
      <c r="F1482" t="s">
        <v>41</v>
      </c>
      <c r="G1482">
        <v>-214.13499999999999</v>
      </c>
      <c r="H1482" s="1">
        <v>-3.4715589999999999E-6</v>
      </c>
      <c r="I1482">
        <v>364.13029999999998</v>
      </c>
      <c r="J1482">
        <v>-234.89080000000001</v>
      </c>
      <c r="K1482">
        <v>1.12169599999999</v>
      </c>
      <c r="L1482">
        <v>367.54059999999998</v>
      </c>
      <c r="M1482">
        <v>0.99988589999999999</v>
      </c>
      <c r="N1482">
        <v>-1.430416E-2</v>
      </c>
      <c r="O1482">
        <v>4.8730880000000002E-3</v>
      </c>
      <c r="P1482">
        <v>0.98825390000000002</v>
      </c>
      <c r="Q1482">
        <v>0.1512781</v>
      </c>
      <c r="R1482">
        <v>-2.1665319999999998E-2</v>
      </c>
      <c r="S1482">
        <v>3.0500340000000001</v>
      </c>
      <c r="T1482">
        <v>-0.16398789999999999</v>
      </c>
      <c r="U1482">
        <v>-0.49850460000000002</v>
      </c>
      <c r="V1482">
        <v>2.648795E-2</v>
      </c>
      <c r="W1482">
        <v>0.16539589999999901</v>
      </c>
      <c r="X1482">
        <v>0.98587150000000001</v>
      </c>
      <c r="Y1482">
        <v>0.1658094</v>
      </c>
      <c r="Z1482">
        <v>-5.8106729999999997E-3</v>
      </c>
      <c r="AA1482">
        <v>0.98614069999999998</v>
      </c>
      <c r="AB1482">
        <v>20</v>
      </c>
      <c r="AC1482">
        <v>20.755800000000001</v>
      </c>
      <c r="AD1482">
        <v>-1.1216994715589901</v>
      </c>
      <c r="AE1482">
        <v>-3.4102999999999999</v>
      </c>
      <c r="AF1482">
        <v>3.5014570963792</v>
      </c>
      <c r="AG1482">
        <v>-1.1216994715589901</v>
      </c>
      <c r="AH1482">
        <v>20.6801221564488</v>
      </c>
      <c r="AI1482">
        <v>93.061223196713797</v>
      </c>
      <c r="AJ1482">
        <v>80.390098246678804</v>
      </c>
      <c r="AK1482">
        <v>21.0044248649642</v>
      </c>
      <c r="AL1482">
        <v>80.479766273248302</v>
      </c>
      <c r="AM1482">
        <v>88.460973136929098</v>
      </c>
      <c r="AN1482">
        <v>1.00000001487213</v>
      </c>
    </row>
    <row r="1483" spans="1:40" x14ac:dyDescent="0.25">
      <c r="A1483" t="str">
        <f>"20190303161905214"</f>
        <v>20190303161905214</v>
      </c>
      <c r="B1483" t="str">
        <f>"1551601145204251"</f>
        <v>1551601145204251</v>
      </c>
      <c r="C1483" t="s">
        <v>40</v>
      </c>
      <c r="D1483">
        <v>4.8726890000000003</v>
      </c>
      <c r="E1483">
        <v>0.55664009999999997</v>
      </c>
      <c r="F1483" t="s">
        <v>41</v>
      </c>
      <c r="G1483">
        <v>-213.94470000000001</v>
      </c>
      <c r="H1483" s="1">
        <v>-3.557669E-6</v>
      </c>
      <c r="I1483">
        <v>364.10500000000002</v>
      </c>
      <c r="J1483">
        <v>-234.79220000000001</v>
      </c>
      <c r="K1483">
        <v>1.1216969999999999</v>
      </c>
      <c r="L1483">
        <v>367.54109999999997</v>
      </c>
      <c r="M1483">
        <v>0.99988600000000005</v>
      </c>
      <c r="N1483">
        <v>-1.430175E-2</v>
      </c>
      <c r="O1483">
        <v>4.8729869999999996E-3</v>
      </c>
      <c r="P1483">
        <v>0.98825280000000004</v>
      </c>
      <c r="Q1483">
        <v>0.1512339</v>
      </c>
      <c r="R1483">
        <v>-2.2027669999999999E-2</v>
      </c>
      <c r="S1483">
        <v>3.0496829999999999</v>
      </c>
      <c r="T1483">
        <v>-0.16331509999999999</v>
      </c>
      <c r="U1483">
        <v>-0.50021359999999904</v>
      </c>
      <c r="V1483">
        <v>2.6849990000000001E-2</v>
      </c>
      <c r="W1483">
        <v>0.16534989999999999</v>
      </c>
      <c r="X1483">
        <v>0.98586940000000001</v>
      </c>
      <c r="Y1483">
        <v>0.16636679999999901</v>
      </c>
      <c r="Z1483">
        <v>-5.8104819999999996E-3</v>
      </c>
      <c r="AA1483">
        <v>0.98604689999999995</v>
      </c>
      <c r="AB1483">
        <v>20</v>
      </c>
      <c r="AC1483">
        <v>20.8475</v>
      </c>
      <c r="AD1483">
        <v>-1.121700557669</v>
      </c>
      <c r="AE1483">
        <v>-3.43609999999995</v>
      </c>
      <c r="AF1483">
        <v>3.5277165889078601</v>
      </c>
      <c r="AG1483">
        <v>-1.121700557669</v>
      </c>
      <c r="AH1483">
        <v>20.771962582037698</v>
      </c>
      <c r="AI1483">
        <v>93.047458422397398</v>
      </c>
      <c r="AJ1483">
        <v>80.361383618571793</v>
      </c>
      <c r="AK1483">
        <v>21.099228089726498</v>
      </c>
      <c r="AL1483">
        <v>80.482438461359607</v>
      </c>
      <c r="AM1483">
        <v>88.439944564641493</v>
      </c>
      <c r="AN1483">
        <v>0.99999999262468497</v>
      </c>
    </row>
    <row r="1484" spans="1:40" x14ac:dyDescent="0.25">
      <c r="A1484" t="str">
        <f>"20190303161905225"</f>
        <v>20190303161905225</v>
      </c>
      <c r="B1484" t="str">
        <f>"1551601145214011"</f>
        <v>1551601145214011</v>
      </c>
      <c r="C1484" t="s">
        <v>40</v>
      </c>
      <c r="D1484">
        <v>4.8845729999999996</v>
      </c>
      <c r="E1484">
        <v>0.55661959999999999</v>
      </c>
      <c r="F1484" t="s">
        <v>41</v>
      </c>
      <c r="G1484">
        <v>-213.70009999999999</v>
      </c>
      <c r="H1484" s="1">
        <v>-3.6686899999999999E-6</v>
      </c>
      <c r="I1484">
        <v>364.07060000000001</v>
      </c>
      <c r="J1484">
        <v>-234.685</v>
      </c>
      <c r="K1484">
        <v>1.1216969999999999</v>
      </c>
      <c r="L1484">
        <v>367.54160000000002</v>
      </c>
      <c r="M1484">
        <v>0.99988600000000005</v>
      </c>
      <c r="N1484">
        <v>-1.429913E-2</v>
      </c>
      <c r="O1484">
        <v>4.8730049999999997E-3</v>
      </c>
      <c r="P1484">
        <v>0.98823139999999998</v>
      </c>
      <c r="Q1484">
        <v>0.15132860000000001</v>
      </c>
      <c r="R1484">
        <v>-2.232816E-2</v>
      </c>
      <c r="S1484">
        <v>3.0493009999999998</v>
      </c>
      <c r="T1484">
        <v>-0.16216459999999999</v>
      </c>
      <c r="U1484">
        <v>-0.5017395</v>
      </c>
      <c r="V1484">
        <v>2.7150580000000001E-2</v>
      </c>
      <c r="W1484">
        <v>0.16544110000000001</v>
      </c>
      <c r="X1484">
        <v>0.98584590000000005</v>
      </c>
      <c r="Y1484">
        <v>0.16686979999999901</v>
      </c>
      <c r="Z1484">
        <v>-5.7946719999999998E-3</v>
      </c>
      <c r="AA1484">
        <v>0.98596189999999995</v>
      </c>
      <c r="AB1484">
        <v>20</v>
      </c>
      <c r="AC1484">
        <v>20.9849</v>
      </c>
      <c r="AD1484">
        <v>-1.12170066869</v>
      </c>
      <c r="AE1484">
        <v>-3.4710000000000001</v>
      </c>
      <c r="AF1484">
        <v>3.5633187681130298</v>
      </c>
      <c r="AG1484">
        <v>-1.12170066869</v>
      </c>
      <c r="AH1484">
        <v>20.9095830296252</v>
      </c>
      <c r="AI1484">
        <v>93.027146509053296</v>
      </c>
      <c r="AJ1484">
        <v>80.328813973479498</v>
      </c>
      <c r="AK1484">
        <v>21.2406712583693</v>
      </c>
      <c r="AL1484">
        <v>80.477140425492294</v>
      </c>
      <c r="AM1484">
        <v>88.422450681987996</v>
      </c>
      <c r="AN1484">
        <v>1.0000000250551699</v>
      </c>
    </row>
    <row r="1485" spans="1:40" x14ac:dyDescent="0.25">
      <c r="A1485" t="str">
        <f>"20190303161905237"</f>
        <v>20190303161905237</v>
      </c>
      <c r="B1485" t="str">
        <f>"1551601145223771"</f>
        <v>1551601145223771</v>
      </c>
      <c r="C1485" t="s">
        <v>40</v>
      </c>
      <c r="D1485">
        <v>4.8775740000000001</v>
      </c>
      <c r="E1485">
        <v>0.55658909999999995</v>
      </c>
      <c r="F1485" t="s">
        <v>41</v>
      </c>
      <c r="G1485">
        <v>-213.5198</v>
      </c>
      <c r="H1485" s="1">
        <v>-3.7487690000000002E-6</v>
      </c>
      <c r="I1485">
        <v>364.05520000000001</v>
      </c>
      <c r="J1485">
        <v>-234.57390000000001</v>
      </c>
      <c r="K1485">
        <v>1.12169599999999</v>
      </c>
      <c r="L1485">
        <v>367.54219999999998</v>
      </c>
      <c r="M1485">
        <v>0.99988600000000005</v>
      </c>
      <c r="N1485">
        <v>-1.4296410000000001E-2</v>
      </c>
      <c r="O1485">
        <v>4.8730249999999996E-3</v>
      </c>
      <c r="P1485">
        <v>0.98821380000000003</v>
      </c>
      <c r="Q1485">
        <v>0.15137149999999999</v>
      </c>
      <c r="R1485">
        <v>-2.2811830000000002E-2</v>
      </c>
      <c r="S1485">
        <v>3.049118</v>
      </c>
      <c r="T1485">
        <v>-0.16159490000000001</v>
      </c>
      <c r="U1485">
        <v>-0.50225829999999905</v>
      </c>
      <c r="V1485">
        <v>2.7633999999999999E-2</v>
      </c>
      <c r="W1485">
        <v>0.16548099999999999</v>
      </c>
      <c r="X1485">
        <v>0.98582570000000003</v>
      </c>
      <c r="Y1485">
        <v>0.1670441</v>
      </c>
      <c r="Z1485">
        <v>-5.7841680000000001E-3</v>
      </c>
      <c r="AA1485">
        <v>0.98593249999999999</v>
      </c>
      <c r="AB1485">
        <v>20</v>
      </c>
      <c r="AC1485">
        <v>21.054099999999998</v>
      </c>
      <c r="AD1485">
        <v>-1.1216997487689899</v>
      </c>
      <c r="AE1485">
        <v>-3.4869999999999601</v>
      </c>
      <c r="AF1485">
        <v>3.5796767924321999</v>
      </c>
      <c r="AG1485">
        <v>-1.1216997487689899</v>
      </c>
      <c r="AH1485">
        <v>20.978898421100102</v>
      </c>
      <c r="AI1485">
        <v>93.017052570581299</v>
      </c>
      <c r="AJ1485">
        <v>80.316750209094593</v>
      </c>
      <c r="AK1485">
        <v>21.311651161454002</v>
      </c>
      <c r="AL1485">
        <v>80.474821699627498</v>
      </c>
      <c r="AM1485">
        <v>88.394343880404094</v>
      </c>
      <c r="AN1485">
        <v>0.99999995504874395</v>
      </c>
    </row>
    <row r="1486" spans="1:40" x14ac:dyDescent="0.25">
      <c r="A1486" t="str">
        <f>"20190303161905249"</f>
        <v>20190303161905249</v>
      </c>
      <c r="B1486" t="str">
        <f>"1551601145244267"</f>
        <v>1551601145244267</v>
      </c>
      <c r="C1486" t="s">
        <v>40</v>
      </c>
      <c r="D1486">
        <v>4.9701719999999998</v>
      </c>
      <c r="E1486">
        <v>0.55636909999999995</v>
      </c>
      <c r="F1486" t="s">
        <v>41</v>
      </c>
      <c r="G1486">
        <v>-213.29300000000001</v>
      </c>
      <c r="H1486" s="1">
        <v>-3.8510659999999998E-6</v>
      </c>
      <c r="I1486">
        <v>364.02719999999999</v>
      </c>
      <c r="J1486">
        <v>-234.47059999999999</v>
      </c>
      <c r="K1486">
        <v>1.1216950000000001</v>
      </c>
      <c r="L1486">
        <v>367.54270000000002</v>
      </c>
      <c r="M1486">
        <v>0.99988600000000005</v>
      </c>
      <c r="N1486">
        <v>-1.429388E-2</v>
      </c>
      <c r="O1486">
        <v>4.8728640000000002E-3</v>
      </c>
      <c r="P1486">
        <v>0.98817180000000004</v>
      </c>
      <c r="Q1486">
        <v>0.15159829999999999</v>
      </c>
      <c r="R1486">
        <v>-2.3126669999999998E-2</v>
      </c>
      <c r="S1486">
        <v>3.0487669999999998</v>
      </c>
      <c r="T1486">
        <v>-0.1606977</v>
      </c>
      <c r="U1486">
        <v>-0.50357059999999998</v>
      </c>
      <c r="V1486">
        <v>2.7948609999999999E-2</v>
      </c>
      <c r="W1486">
        <v>0.16570489999999999</v>
      </c>
      <c r="X1486">
        <v>0.98577930000000002</v>
      </c>
      <c r="Y1486">
        <v>0.1674775</v>
      </c>
      <c r="Z1486">
        <v>-5.7730350000000001E-3</v>
      </c>
      <c r="AA1486">
        <v>0.98585900000000004</v>
      </c>
      <c r="AB1486">
        <v>20</v>
      </c>
      <c r="AC1486">
        <v>21.177599999999899</v>
      </c>
      <c r="AD1486">
        <v>-1.121698851066</v>
      </c>
      <c r="AE1486">
        <v>-3.51550000000003</v>
      </c>
      <c r="AF1486">
        <v>3.60881160410979</v>
      </c>
      <c r="AG1486">
        <v>-1.121698851066</v>
      </c>
      <c r="AH1486">
        <v>21.102602025841701</v>
      </c>
      <c r="AI1486">
        <v>92.999207564605797</v>
      </c>
      <c r="AJ1486">
        <v>80.295574026326193</v>
      </c>
      <c r="AK1486">
        <v>21.438319471625999</v>
      </c>
      <c r="AL1486">
        <v>80.461814341636796</v>
      </c>
      <c r="AM1486">
        <v>88.375997002038702</v>
      </c>
      <c r="AN1486">
        <v>1.0000000334967101</v>
      </c>
    </row>
    <row r="1487" spans="1:40" x14ac:dyDescent="0.25">
      <c r="A1487" t="str">
        <f>"20190303161905260"</f>
        <v>20190303161905260</v>
      </c>
      <c r="B1487" t="str">
        <f>"1551601145254028"</f>
        <v>1551601145254028</v>
      </c>
      <c r="C1487" t="s">
        <v>40</v>
      </c>
      <c r="D1487">
        <v>4.9409229999999997</v>
      </c>
      <c r="E1487">
        <v>0.53927609999999904</v>
      </c>
      <c r="F1487" t="s">
        <v>41</v>
      </c>
      <c r="G1487">
        <v>-213.17670000000001</v>
      </c>
      <c r="H1487" s="1">
        <v>-3.9007139999999997E-6</v>
      </c>
      <c r="I1487">
        <v>364.02850000000001</v>
      </c>
      <c r="J1487">
        <v>-234.3647</v>
      </c>
      <c r="K1487">
        <v>1.12169599999999</v>
      </c>
      <c r="L1487">
        <v>367.54320000000001</v>
      </c>
      <c r="M1487">
        <v>0.99988600000000005</v>
      </c>
      <c r="N1487">
        <v>-1.429129E-2</v>
      </c>
      <c r="O1487">
        <v>4.8730609999999997E-3</v>
      </c>
      <c r="P1487">
        <v>0.98816079999999995</v>
      </c>
      <c r="Q1487">
        <v>0.1516333</v>
      </c>
      <c r="R1487">
        <v>-2.3360800000000001E-2</v>
      </c>
      <c r="S1487">
        <v>3.0487669999999998</v>
      </c>
      <c r="T1487">
        <v>-0.16059899999999999</v>
      </c>
      <c r="U1487">
        <v>-0.50314329999999996</v>
      </c>
      <c r="V1487">
        <v>2.8182929999999998E-2</v>
      </c>
      <c r="W1487">
        <v>0.16573689999999999</v>
      </c>
      <c r="X1487">
        <v>0.98576719999999896</v>
      </c>
      <c r="Y1487">
        <v>0.16734370000000001</v>
      </c>
      <c r="Z1487">
        <v>-5.7655680000000004E-3</v>
      </c>
      <c r="AA1487">
        <v>0.98588169999999997</v>
      </c>
      <c r="AB1487">
        <v>20</v>
      </c>
      <c r="AC1487">
        <v>21.187999999999899</v>
      </c>
      <c r="AD1487">
        <v>-1.1216999007139901</v>
      </c>
      <c r="AE1487">
        <v>-3.5146999999999999</v>
      </c>
      <c r="AF1487">
        <v>3.60807774170453</v>
      </c>
      <c r="AG1487">
        <v>-1.1216999007139901</v>
      </c>
      <c r="AH1487">
        <v>21.113030863099802</v>
      </c>
      <c r="AI1487">
        <v>92.997790860645694</v>
      </c>
      <c r="AJ1487">
        <v>80.302211473850605</v>
      </c>
      <c r="AK1487">
        <v>21.4484616670672</v>
      </c>
      <c r="AL1487">
        <v>80.459954703202996</v>
      </c>
      <c r="AM1487">
        <v>88.362368720425394</v>
      </c>
      <c r="AN1487">
        <v>0.99999998508041699</v>
      </c>
    </row>
    <row r="1488" spans="1:40" x14ac:dyDescent="0.25">
      <c r="A1488" t="str">
        <f>"20190303161905273"</f>
        <v>20190303161905273</v>
      </c>
      <c r="B1488" t="str">
        <f>"1551601145263788"</f>
        <v>1551601145263788</v>
      </c>
      <c r="C1488" t="s">
        <v>40</v>
      </c>
      <c r="D1488">
        <v>4.871321</v>
      </c>
      <c r="E1488">
        <v>0.53927609999999904</v>
      </c>
      <c r="F1488" t="s">
        <v>41</v>
      </c>
      <c r="G1488">
        <v>-212.50059999999999</v>
      </c>
      <c r="H1488" s="1">
        <v>-4.0338389999999901E-6</v>
      </c>
      <c r="I1488">
        <v>364.91309999999999</v>
      </c>
      <c r="J1488">
        <v>-234.2604</v>
      </c>
      <c r="K1488">
        <v>1.121702</v>
      </c>
      <c r="L1488">
        <v>367.5437</v>
      </c>
      <c r="M1488">
        <v>0.99988619999999995</v>
      </c>
      <c r="N1488">
        <v>-1.4288729999999999E-2</v>
      </c>
      <c r="O1488">
        <v>4.8729009999999998E-3</v>
      </c>
      <c r="P1488">
        <v>0.98814279999999999</v>
      </c>
      <c r="Q1488">
        <v>0.15174119999999999</v>
      </c>
      <c r="R1488">
        <v>-2.3421020000000001E-2</v>
      </c>
      <c r="S1488">
        <v>3.051285</v>
      </c>
      <c r="T1488">
        <v>-0.15653989999999901</v>
      </c>
      <c r="U1488">
        <v>-0.3670349</v>
      </c>
      <c r="V1488">
        <v>2.824289E-2</v>
      </c>
      <c r="W1488">
        <v>0.16584170000000001</v>
      </c>
      <c r="X1488">
        <v>0.98574790000000001</v>
      </c>
      <c r="Y1488">
        <v>0.12405529999999999</v>
      </c>
      <c r="Z1488">
        <v>-4.2385829999999998E-3</v>
      </c>
      <c r="AA1488">
        <v>0.99226619999999999</v>
      </c>
      <c r="AB1488">
        <v>20</v>
      </c>
      <c r="AC1488">
        <v>21.759799999999998</v>
      </c>
      <c r="AD1488">
        <v>-1.1217060338389999</v>
      </c>
      <c r="AE1488">
        <v>-2.63060000000001</v>
      </c>
      <c r="AF1488">
        <v>2.72946426472449</v>
      </c>
      <c r="AG1488">
        <v>-1.1217060338389999</v>
      </c>
      <c r="AH1488">
        <v>21.6899142482367</v>
      </c>
      <c r="AI1488">
        <v>92.937320926374994</v>
      </c>
      <c r="AJ1488">
        <v>82.827586356452102</v>
      </c>
      <c r="AK1488">
        <v>21.889736857591998</v>
      </c>
      <c r="AL1488">
        <v>80.453866240286004</v>
      </c>
      <c r="AM1488">
        <v>88.358854401848106</v>
      </c>
      <c r="AN1488">
        <v>1.00000002632442</v>
      </c>
    </row>
    <row r="1489" spans="1:40" x14ac:dyDescent="0.25">
      <c r="A1489" t="str">
        <f>"20190303161905288"</f>
        <v>20190303161905288</v>
      </c>
      <c r="B1489" t="str">
        <f>"1551601145284284"</f>
        <v>1551601145284284</v>
      </c>
      <c r="C1489" t="s">
        <v>40</v>
      </c>
      <c r="D1489">
        <v>4.8621639999999999</v>
      </c>
      <c r="E1489">
        <v>0.52110489999999998</v>
      </c>
      <c r="F1489" t="s">
        <v>41</v>
      </c>
      <c r="G1489">
        <v>-212.35069999999999</v>
      </c>
      <c r="H1489" s="1">
        <v>-4.0991250000000003E-6</v>
      </c>
      <c r="I1489">
        <v>364.90750000000003</v>
      </c>
      <c r="J1489">
        <v>-234.13319999999999</v>
      </c>
      <c r="K1489">
        <v>1.1216999999999999</v>
      </c>
      <c r="L1489">
        <v>367.54430000000002</v>
      </c>
      <c r="M1489">
        <v>0.9998861</v>
      </c>
      <c r="N1489">
        <v>-1.4285610000000001E-2</v>
      </c>
      <c r="O1489">
        <v>4.8731019999999998E-3</v>
      </c>
      <c r="P1489">
        <v>0.98806700000000003</v>
      </c>
      <c r="Q1489">
        <v>0.15222459999999999</v>
      </c>
      <c r="R1489">
        <v>-2.348163E-2</v>
      </c>
      <c r="S1489">
        <v>3.051285</v>
      </c>
      <c r="T1489">
        <v>-0.1562154</v>
      </c>
      <c r="U1489">
        <v>-0.36712650000000002</v>
      </c>
      <c r="V1489">
        <v>2.830336E-2</v>
      </c>
      <c r="W1489">
        <v>0.16632139999999901</v>
      </c>
      <c r="X1489">
        <v>0.98566529999999997</v>
      </c>
      <c r="Y1489">
        <v>0.1240856</v>
      </c>
      <c r="Z1489">
        <v>-4.2323159999999999E-3</v>
      </c>
      <c r="AA1489">
        <v>0.99226250000000005</v>
      </c>
      <c r="AB1489">
        <v>20</v>
      </c>
      <c r="AC1489">
        <v>21.782499999999999</v>
      </c>
      <c r="AD1489">
        <v>-1.121704099125</v>
      </c>
      <c r="AE1489">
        <v>-2.6367999999999898</v>
      </c>
      <c r="AF1489">
        <v>2.7357778894259699</v>
      </c>
      <c r="AG1489">
        <v>-1.121704099125</v>
      </c>
      <c r="AH1489">
        <v>21.712644484010099</v>
      </c>
      <c r="AI1489">
        <v>92.934188524115797</v>
      </c>
      <c r="AJ1489">
        <v>82.818616089204198</v>
      </c>
      <c r="AK1489">
        <v>21.913047055014498</v>
      </c>
      <c r="AL1489">
        <v>80.425993981246606</v>
      </c>
      <c r="AM1489">
        <v>88.355204773607198</v>
      </c>
      <c r="AN1489">
        <v>0.99999998595466899</v>
      </c>
    </row>
    <row r="1490" spans="1:40" x14ac:dyDescent="0.25">
      <c r="A1490" t="str">
        <f>"20190303161905301"</f>
        <v>20190303161905301</v>
      </c>
      <c r="B1490" t="str">
        <f>"1551601145294043"</f>
        <v>1551601145294043</v>
      </c>
      <c r="C1490" t="s">
        <v>40</v>
      </c>
      <c r="D1490">
        <v>4.8400610000000004</v>
      </c>
      <c r="E1490">
        <v>0.52107609999999904</v>
      </c>
      <c r="F1490" t="s">
        <v>41</v>
      </c>
      <c r="G1490">
        <v>-213.44159999999999</v>
      </c>
      <c r="H1490" s="1">
        <v>-3.4305890000000001E-6</v>
      </c>
      <c r="I1490">
        <v>366.03820000000002</v>
      </c>
      <c r="J1490">
        <v>-234.0103</v>
      </c>
      <c r="K1490">
        <v>1.121705</v>
      </c>
      <c r="L1490">
        <v>367.54489999999998</v>
      </c>
      <c r="M1490">
        <v>0.9998861</v>
      </c>
      <c r="N1490">
        <v>-1.428259E-2</v>
      </c>
      <c r="O1490">
        <v>4.8731240000000004E-3</v>
      </c>
      <c r="P1490">
        <v>0.98805050000000005</v>
      </c>
      <c r="Q1490">
        <v>0.15234300000000001</v>
      </c>
      <c r="R1490">
        <v>-2.3410380000000001E-2</v>
      </c>
      <c r="S1490">
        <v>3.0565030000000002</v>
      </c>
      <c r="T1490">
        <v>-0.16569410000000001</v>
      </c>
      <c r="U1490">
        <v>-0.22247310000000001</v>
      </c>
      <c r="V1490">
        <v>2.82321E-2</v>
      </c>
      <c r="W1490">
        <v>0.16643659999999999</v>
      </c>
      <c r="X1490">
        <v>0.98564790000000002</v>
      </c>
      <c r="Y1490">
        <v>7.7307970000000004E-2</v>
      </c>
      <c r="Z1490">
        <v>-2.8386660000000001E-3</v>
      </c>
      <c r="AA1490">
        <v>0.99700319999999998</v>
      </c>
      <c r="AB1490">
        <v>20</v>
      </c>
      <c r="AC1490">
        <v>20.5687</v>
      </c>
      <c r="AD1490">
        <v>-1.1217084305889999</v>
      </c>
      <c r="AE1490">
        <v>-1.50669999999996</v>
      </c>
      <c r="AF1490">
        <v>1.6021866295334599</v>
      </c>
      <c r="AG1490">
        <v>-1.1217084305889999</v>
      </c>
      <c r="AH1490">
        <v>20.500468903072601</v>
      </c>
      <c r="AI1490">
        <v>93.122383914350806</v>
      </c>
      <c r="AJ1490">
        <v>85.531208937409204</v>
      </c>
      <c r="AK1490">
        <v>20.593553774056499</v>
      </c>
      <c r="AL1490">
        <v>80.419300228824795</v>
      </c>
      <c r="AM1490">
        <v>88.359314697738697</v>
      </c>
      <c r="AN1490">
        <v>0.99999998803218904</v>
      </c>
    </row>
    <row r="1491" spans="1:40" x14ac:dyDescent="0.25">
      <c r="A1491" t="str">
        <f>"20190303161905315"</f>
        <v>20190303161905315</v>
      </c>
      <c r="B1491" t="str">
        <f>"1551601145303803"</f>
        <v>1551601145303803</v>
      </c>
      <c r="C1491" t="s">
        <v>40</v>
      </c>
      <c r="D1491">
        <v>4.7987339999999996</v>
      </c>
      <c r="E1491">
        <v>0.52123829999999904</v>
      </c>
      <c r="F1491" t="s">
        <v>41</v>
      </c>
      <c r="G1491">
        <v>-213.52379999999999</v>
      </c>
      <c r="H1491" s="1">
        <v>-3.391438E-6</v>
      </c>
      <c r="I1491">
        <v>366.06009999999998</v>
      </c>
      <c r="J1491">
        <v>-233.8914</v>
      </c>
      <c r="K1491">
        <v>1.1217060000000001</v>
      </c>
      <c r="L1491">
        <v>367.5455</v>
      </c>
      <c r="M1491">
        <v>0.99988630000000001</v>
      </c>
      <c r="N1491">
        <v>-1.427967E-2</v>
      </c>
      <c r="O1491">
        <v>4.8729659999999899E-3</v>
      </c>
      <c r="P1491">
        <v>0.9880468</v>
      </c>
      <c r="Q1491">
        <v>0.1523582</v>
      </c>
      <c r="R1491">
        <v>-2.3470410000000001E-2</v>
      </c>
      <c r="S1491">
        <v>3.0568390000000001</v>
      </c>
      <c r="T1491">
        <v>-0.16737199999999999</v>
      </c>
      <c r="U1491">
        <v>-0.22155759999999999</v>
      </c>
      <c r="V1491">
        <v>2.8291799999999999E-2</v>
      </c>
      <c r="W1491">
        <v>0.16644879999999901</v>
      </c>
      <c r="X1491">
        <v>0.98564419999999997</v>
      </c>
      <c r="Y1491">
        <v>7.7000739999999998E-2</v>
      </c>
      <c r="Z1491">
        <v>-2.8515469999999998E-3</v>
      </c>
      <c r="AA1491">
        <v>0.997027</v>
      </c>
      <c r="AB1491">
        <v>20</v>
      </c>
      <c r="AC1491">
        <v>20.367599999999999</v>
      </c>
      <c r="AD1491">
        <v>-1.1217093914380001</v>
      </c>
      <c r="AE1491">
        <v>-1.48540000000002</v>
      </c>
      <c r="AF1491">
        <v>1.5798765812136499</v>
      </c>
      <c r="AG1491">
        <v>-1.1217093914380001</v>
      </c>
      <c r="AH1491">
        <v>20.298877103395998</v>
      </c>
      <c r="AI1491">
        <v>93.153412073258295</v>
      </c>
      <c r="AJ1491">
        <v>85.549599023005996</v>
      </c>
      <c r="AK1491">
        <v>20.391141547973199</v>
      </c>
      <c r="AL1491">
        <v>80.418592018194701</v>
      </c>
      <c r="AM1491">
        <v>88.3558410149748</v>
      </c>
      <c r="AN1491">
        <v>1.00000005898115</v>
      </c>
    </row>
    <row r="1492" spans="1:40" x14ac:dyDescent="0.25">
      <c r="A1492" t="str">
        <f>"20190303161905329"</f>
        <v>20190303161905329</v>
      </c>
      <c r="B1492" t="str">
        <f>"1551601145324299"</f>
        <v>1551601145324299</v>
      </c>
      <c r="C1492" t="s">
        <v>40</v>
      </c>
      <c r="D1492">
        <v>4.8336249999999996</v>
      </c>
      <c r="E1492">
        <v>0.52202899999999997</v>
      </c>
      <c r="F1492" t="s">
        <v>41</v>
      </c>
      <c r="G1492">
        <v>-213.66489999999999</v>
      </c>
      <c r="H1492" s="1">
        <v>-3.3291940000000001E-6</v>
      </c>
      <c r="I1492">
        <v>366.06970000000001</v>
      </c>
      <c r="J1492">
        <v>-233.7749</v>
      </c>
      <c r="K1492">
        <v>1.1217079999999999</v>
      </c>
      <c r="L1492">
        <v>367.54610000000002</v>
      </c>
      <c r="M1492">
        <v>0.99988630000000001</v>
      </c>
      <c r="N1492">
        <v>-1.4276809999999999E-2</v>
      </c>
      <c r="O1492">
        <v>4.8729869999999996E-3</v>
      </c>
      <c r="P1492">
        <v>0.98802489999999998</v>
      </c>
      <c r="Q1492">
        <v>0.1524954</v>
      </c>
      <c r="R1492">
        <v>-2.3500440000000001E-2</v>
      </c>
      <c r="S1492">
        <v>3.0571440000000001</v>
      </c>
      <c r="T1492">
        <v>-0.169541</v>
      </c>
      <c r="U1492">
        <v>-0.223053</v>
      </c>
      <c r="V1492">
        <v>2.832169E-2</v>
      </c>
      <c r="W1492">
        <v>0.1665828</v>
      </c>
      <c r="X1492">
        <v>0.98562059999999996</v>
      </c>
      <c r="Y1492">
        <v>7.7474310000000005E-2</v>
      </c>
      <c r="Z1492">
        <v>-2.8983530000000002E-3</v>
      </c>
      <c r="AA1492">
        <v>0.99699009999999999</v>
      </c>
      <c r="AB1492">
        <v>20</v>
      </c>
      <c r="AC1492">
        <v>20.11</v>
      </c>
      <c r="AD1492">
        <v>-1.121711329194</v>
      </c>
      <c r="AE1492">
        <v>-1.4764000000000099</v>
      </c>
      <c r="AF1492">
        <v>1.56953115500909</v>
      </c>
      <c r="AG1492">
        <v>-1.121711329194</v>
      </c>
      <c r="AH1492">
        <v>20.040548632131099</v>
      </c>
      <c r="AI1492">
        <v>93.193861885317901</v>
      </c>
      <c r="AJ1492">
        <v>85.521862981896504</v>
      </c>
      <c r="AK1492">
        <v>20.133187870513598</v>
      </c>
      <c r="AL1492">
        <v>80.410804692821003</v>
      </c>
      <c r="AM1492">
        <v>88.354065544473499</v>
      </c>
      <c r="AN1492">
        <v>0.99999995726232704</v>
      </c>
    </row>
    <row r="1493" spans="1:40" x14ac:dyDescent="0.25">
      <c r="A1493" t="str">
        <f>"20190303161905341"</f>
        <v>20190303161905341</v>
      </c>
      <c r="B1493" t="str">
        <f>"1551601145334059"</f>
        <v>1551601145334059</v>
      </c>
      <c r="C1493" t="s">
        <v>40</v>
      </c>
      <c r="D1493">
        <v>4.8366389999999999</v>
      </c>
      <c r="E1493">
        <v>0.52226850000000002</v>
      </c>
      <c r="F1493" t="s">
        <v>41</v>
      </c>
      <c r="G1493">
        <v>-213.5635</v>
      </c>
      <c r="H1493" s="1">
        <v>-3.3795439999999999E-6</v>
      </c>
      <c r="I1493">
        <v>366.03100000000001</v>
      </c>
      <c r="J1493">
        <v>-233.6558</v>
      </c>
      <c r="K1493">
        <v>1.1217029999999999</v>
      </c>
      <c r="L1493">
        <v>367.54660000000001</v>
      </c>
      <c r="M1493">
        <v>0.99988630000000001</v>
      </c>
      <c r="N1493">
        <v>-1.4273879999999999E-2</v>
      </c>
      <c r="O1493">
        <v>4.8730079999999999E-3</v>
      </c>
      <c r="P1493">
        <v>0.98801450000000002</v>
      </c>
      <c r="Q1493">
        <v>0.1525724</v>
      </c>
      <c r="R1493">
        <v>-2.3439959999999999E-2</v>
      </c>
      <c r="S1493">
        <v>3.0570979999999999</v>
      </c>
      <c r="T1493">
        <v>-0.1696655</v>
      </c>
      <c r="U1493">
        <v>-0.22915650000000001</v>
      </c>
      <c r="V1493">
        <v>2.826126E-2</v>
      </c>
      <c r="W1493">
        <v>0.1666571</v>
      </c>
      <c r="X1493">
        <v>0.98560979999999998</v>
      </c>
      <c r="Y1493">
        <v>7.9450930000000003E-2</v>
      </c>
      <c r="Z1493">
        <v>-2.9688010000000001E-3</v>
      </c>
      <c r="AA1493">
        <v>0.99683429999999995</v>
      </c>
      <c r="AB1493">
        <v>20</v>
      </c>
      <c r="AC1493">
        <v>20.092299999999899</v>
      </c>
      <c r="AD1493">
        <v>-1.1217063795440001</v>
      </c>
      <c r="AE1493">
        <v>-1.5156000000000001</v>
      </c>
      <c r="AF1493">
        <v>1.60851696313308</v>
      </c>
      <c r="AG1493">
        <v>-1.1217063795440001</v>
      </c>
      <c r="AH1493">
        <v>20.022623088749299</v>
      </c>
      <c r="AI1493">
        <v>93.196193998099702</v>
      </c>
      <c r="AJ1493">
        <v>85.407008539048505</v>
      </c>
      <c r="AK1493">
        <v>20.1184240778624</v>
      </c>
      <c r="AL1493">
        <v>80.406487511274193</v>
      </c>
      <c r="AM1493">
        <v>88.357557562467306</v>
      </c>
      <c r="AN1493">
        <v>0.99999998282661795</v>
      </c>
    </row>
    <row r="1494" spans="1:40" x14ac:dyDescent="0.25">
      <c r="A1494" t="str">
        <f>"20190303161905355"</f>
        <v>20190303161905355</v>
      </c>
      <c r="B1494" t="str">
        <f>"1551601145343818"</f>
        <v>1551601145343818</v>
      </c>
      <c r="C1494" t="s">
        <v>40</v>
      </c>
      <c r="D1494">
        <v>4.8447149999999999</v>
      </c>
      <c r="E1494">
        <v>0.52261199999999997</v>
      </c>
      <c r="F1494" t="s">
        <v>41</v>
      </c>
      <c r="G1494">
        <v>-213.54040000000001</v>
      </c>
      <c r="H1494" s="1">
        <v>-3.3900320000000002E-6</v>
      </c>
      <c r="I1494">
        <v>366.02780000000001</v>
      </c>
      <c r="J1494">
        <v>-233.5402</v>
      </c>
      <c r="K1494">
        <v>1.1217029999999999</v>
      </c>
      <c r="L1494">
        <v>367.54719999999998</v>
      </c>
      <c r="M1494">
        <v>0.99988639999999995</v>
      </c>
      <c r="N1494">
        <v>-1.4271030000000001E-2</v>
      </c>
      <c r="O1494">
        <v>4.8728499999999998E-3</v>
      </c>
      <c r="P1494">
        <v>0.98795149999999998</v>
      </c>
      <c r="Q1494">
        <v>0.15302879999999899</v>
      </c>
      <c r="R1494">
        <v>-2.3114530000000001E-2</v>
      </c>
      <c r="S1494">
        <v>3.05722</v>
      </c>
      <c r="T1494">
        <v>-0.17048079999999999</v>
      </c>
      <c r="U1494">
        <v>-0.23083500000000001</v>
      </c>
      <c r="V1494">
        <v>2.7935379999999999E-2</v>
      </c>
      <c r="W1494">
        <v>0.1671098</v>
      </c>
      <c r="X1494">
        <v>0.98554249999999999</v>
      </c>
      <c r="Y1494">
        <v>7.9989599999999994E-2</v>
      </c>
      <c r="Z1494">
        <v>-2.9992539999999998E-3</v>
      </c>
      <c r="AA1494">
        <v>0.99679119999999999</v>
      </c>
      <c r="AB1494">
        <v>20</v>
      </c>
      <c r="AC1494">
        <v>19.9998</v>
      </c>
      <c r="AD1494">
        <v>-1.1217063900319999</v>
      </c>
      <c r="AE1494">
        <v>-1.5193999999999599</v>
      </c>
      <c r="AF1494">
        <v>1.61180685087423</v>
      </c>
      <c r="AG1494">
        <v>-1.1217063900319999</v>
      </c>
      <c r="AH1494">
        <v>19.929825919138501</v>
      </c>
      <c r="AI1494">
        <v>93.210906716512497</v>
      </c>
      <c r="AJ1494">
        <v>85.376318124498198</v>
      </c>
      <c r="AK1494">
        <v>20.026335354156299</v>
      </c>
      <c r="AL1494">
        <v>80.380181406329598</v>
      </c>
      <c r="AM1494">
        <v>88.376375531054606</v>
      </c>
      <c r="AN1494">
        <v>1.0000000450090101</v>
      </c>
    </row>
    <row r="1495" spans="1:40" x14ac:dyDescent="0.25">
      <c r="A1495" t="str">
        <f>"20190303161905368"</f>
        <v>20190303161905368</v>
      </c>
      <c r="B1495" t="str">
        <f>"1551601145364316"</f>
        <v>1551601145364316</v>
      </c>
      <c r="C1495" t="s">
        <v>40</v>
      </c>
      <c r="D1495">
        <v>4.813682</v>
      </c>
      <c r="E1495">
        <v>0.52238149999999905</v>
      </c>
      <c r="F1495" t="s">
        <v>41</v>
      </c>
      <c r="G1495">
        <v>-213.04429999999999</v>
      </c>
      <c r="H1495" s="1">
        <v>-3.6100179999999998E-6</v>
      </c>
      <c r="I1495">
        <v>365.98750000000001</v>
      </c>
      <c r="J1495">
        <v>-233.43100000000001</v>
      </c>
      <c r="K1495">
        <v>1.1217090000000001</v>
      </c>
      <c r="L1495">
        <v>367.54770000000002</v>
      </c>
      <c r="M1495">
        <v>0.99988650000000001</v>
      </c>
      <c r="N1495">
        <v>-1.4268329999999999E-2</v>
      </c>
      <c r="O1495">
        <v>4.8726899999999998E-3</v>
      </c>
      <c r="P1495">
        <v>0.98796759999999995</v>
      </c>
      <c r="Q1495">
        <v>0.1529894</v>
      </c>
      <c r="R1495">
        <v>-2.2688969999999999E-2</v>
      </c>
      <c r="S1495">
        <v>3.0570680000000001</v>
      </c>
      <c r="T1495">
        <v>-0.1673075</v>
      </c>
      <c r="U1495">
        <v>-0.2326355</v>
      </c>
      <c r="V1495">
        <v>2.750988E-2</v>
      </c>
      <c r="W1495">
        <v>0.16706750000000001</v>
      </c>
      <c r="X1495">
        <v>0.98556160000000004</v>
      </c>
      <c r="Y1495">
        <v>8.0581120000000006E-2</v>
      </c>
      <c r="Z1495">
        <v>-2.973196E-3</v>
      </c>
      <c r="AA1495">
        <v>0.99674359999999995</v>
      </c>
      <c r="AB1495">
        <v>20</v>
      </c>
      <c r="AC1495">
        <v>20.386699999999902</v>
      </c>
      <c r="AD1495">
        <v>-1.1217126100179999</v>
      </c>
      <c r="AE1495">
        <v>-1.5602</v>
      </c>
      <c r="AF1495">
        <v>1.65454982724489</v>
      </c>
      <c r="AG1495">
        <v>-1.1217126100179999</v>
      </c>
      <c r="AH1495">
        <v>20.317703193186102</v>
      </c>
      <c r="AI1495">
        <v>93.149608744518204</v>
      </c>
      <c r="AJ1495">
        <v>85.344454090076596</v>
      </c>
      <c r="AK1495">
        <v>20.4157987195386</v>
      </c>
      <c r="AL1495">
        <v>80.382639188670495</v>
      </c>
      <c r="AM1495">
        <v>88.401123932445699</v>
      </c>
      <c r="AN1495">
        <v>1.00000000522421</v>
      </c>
    </row>
    <row r="1496" spans="1:40" x14ac:dyDescent="0.25">
      <c r="A1496" t="str">
        <f>"20190303161905379"</f>
        <v>20190303161905379</v>
      </c>
      <c r="B1496" t="str">
        <f>"1551601145374075"</f>
        <v>1551601145374075</v>
      </c>
      <c r="C1496" t="s">
        <v>40</v>
      </c>
      <c r="D1496">
        <v>4.7691140000000001</v>
      </c>
      <c r="E1496">
        <v>0.52239840000000004</v>
      </c>
      <c r="F1496" t="s">
        <v>41</v>
      </c>
      <c r="G1496">
        <v>-213.03049999999999</v>
      </c>
      <c r="H1496" s="1">
        <v>-3.6109839999999998E-6</v>
      </c>
      <c r="I1496">
        <v>366.0154</v>
      </c>
      <c r="J1496">
        <v>-233.3254</v>
      </c>
      <c r="K1496">
        <v>1.1217079999999999</v>
      </c>
      <c r="L1496">
        <v>367.54829999999998</v>
      </c>
      <c r="M1496">
        <v>0.99988639999999995</v>
      </c>
      <c r="N1496">
        <v>-1.4265720000000001E-2</v>
      </c>
      <c r="O1496">
        <v>4.8727090000000002E-3</v>
      </c>
      <c r="P1496">
        <v>0.98792970000000002</v>
      </c>
      <c r="Q1496">
        <v>0.15327550000000001</v>
      </c>
      <c r="R1496">
        <v>-2.240253E-2</v>
      </c>
      <c r="S1496">
        <v>3.0572810000000001</v>
      </c>
      <c r="T1496">
        <v>-0.16810269999999999</v>
      </c>
      <c r="U1496">
        <v>-0.22964480000000001</v>
      </c>
      <c r="V1496">
        <v>2.722306E-2</v>
      </c>
      <c r="W1496">
        <v>0.167351</v>
      </c>
      <c r="X1496">
        <v>0.98552139999999999</v>
      </c>
      <c r="Y1496">
        <v>7.9606850000000007E-2</v>
      </c>
      <c r="Z1496">
        <v>-2.951015E-3</v>
      </c>
      <c r="AA1496">
        <v>0.99682199999999999</v>
      </c>
      <c r="AB1496">
        <v>20</v>
      </c>
      <c r="AC1496">
        <v>20.294899999999998</v>
      </c>
      <c r="AD1496">
        <v>-1.121711610984</v>
      </c>
      <c r="AE1496">
        <v>-1.5328999999999799</v>
      </c>
      <c r="AF1496">
        <v>1.6268414505511899</v>
      </c>
      <c r="AG1496">
        <v>-1.121711610984</v>
      </c>
      <c r="AH1496">
        <v>20.225752913228298</v>
      </c>
      <c r="AI1496">
        <v>93.164149480823696</v>
      </c>
      <c r="AJ1496">
        <v>85.401362237048104</v>
      </c>
      <c r="AK1496">
        <v>20.322055283617601</v>
      </c>
      <c r="AL1496">
        <v>80.366163262158196</v>
      </c>
      <c r="AM1496">
        <v>88.417720905275203</v>
      </c>
      <c r="AN1496">
        <v>0.99999994102736001</v>
      </c>
    </row>
    <row r="1497" spans="1:40" x14ac:dyDescent="0.25">
      <c r="A1497" t="str">
        <f>"20190303161905392"</f>
        <v>20190303161905392</v>
      </c>
      <c r="B1497" t="str">
        <f>"1551601145383834"</f>
        <v>1551601145383834</v>
      </c>
      <c r="C1497" t="s">
        <v>40</v>
      </c>
      <c r="D1497">
        <v>4.8201010000000002</v>
      </c>
      <c r="E1497">
        <v>0.52249380000000001</v>
      </c>
      <c r="F1497" t="s">
        <v>41</v>
      </c>
      <c r="G1497">
        <v>-212.90119999999999</v>
      </c>
      <c r="H1497" s="1">
        <v>-3.6656070000000001E-6</v>
      </c>
      <c r="I1497">
        <v>366.02019999999999</v>
      </c>
      <c r="J1497">
        <v>-233.21709999999999</v>
      </c>
      <c r="K1497">
        <v>1.1217109999999999</v>
      </c>
      <c r="L1497">
        <v>367.54880000000003</v>
      </c>
      <c r="M1497">
        <v>0.99988650000000001</v>
      </c>
      <c r="N1497">
        <v>-1.4263059999999999E-2</v>
      </c>
      <c r="O1497">
        <v>4.8725490000000003E-3</v>
      </c>
      <c r="P1497">
        <v>0.98792780000000002</v>
      </c>
      <c r="Q1497">
        <v>0.15329029999999999</v>
      </c>
      <c r="R1497">
        <v>-2.2387859999999999E-2</v>
      </c>
      <c r="S1497">
        <v>3.0575410000000001</v>
      </c>
      <c r="T1497">
        <v>-0.1679214</v>
      </c>
      <c r="U1497">
        <v>-0.22875980000000001</v>
      </c>
      <c r="V1497">
        <v>2.7208240000000002E-2</v>
      </c>
      <c r="W1497">
        <v>0.1673627</v>
      </c>
      <c r="X1497">
        <v>0.9855199</v>
      </c>
      <c r="Y1497">
        <v>7.9314330000000002E-2</v>
      </c>
      <c r="Z1497">
        <v>-2.9379800000000002E-3</v>
      </c>
      <c r="AA1497">
        <v>0.99684530000000005</v>
      </c>
      <c r="AB1497">
        <v>20</v>
      </c>
      <c r="AC1497">
        <v>20.315899999999999</v>
      </c>
      <c r="AD1497">
        <v>-1.1217146656070001</v>
      </c>
      <c r="AE1497">
        <v>-1.5286000000000399</v>
      </c>
      <c r="AF1497">
        <v>1.6226632147934701</v>
      </c>
      <c r="AG1497">
        <v>-1.1217146656070001</v>
      </c>
      <c r="AH1497">
        <v>20.246833921975401</v>
      </c>
      <c r="AI1497">
        <v>93.160943248344793</v>
      </c>
      <c r="AJ1497">
        <v>85.417878018984098</v>
      </c>
      <c r="AK1497">
        <v>20.342702956188901</v>
      </c>
      <c r="AL1497">
        <v>80.365484055399904</v>
      </c>
      <c r="AM1497">
        <v>88.418579441137894</v>
      </c>
      <c r="AN1497">
        <v>1.0000000174855901</v>
      </c>
    </row>
    <row r="1498" spans="1:40" x14ac:dyDescent="0.25">
      <c r="A1498" t="str">
        <f>"20190303161905405"</f>
        <v>20190303161905405</v>
      </c>
      <c r="B1498" t="str">
        <f>"1551601145393595"</f>
        <v>1551601145393595</v>
      </c>
      <c r="C1498" t="s">
        <v>40</v>
      </c>
      <c r="D1498">
        <v>4.8082909999999996</v>
      </c>
      <c r="E1498">
        <v>0.52261800000000003</v>
      </c>
      <c r="F1498" t="s">
        <v>41</v>
      </c>
      <c r="G1498">
        <v>-212.89850000000001</v>
      </c>
      <c r="H1498" s="1">
        <v>-3.6664659999999999E-6</v>
      </c>
      <c r="I1498">
        <v>366.02170000000001</v>
      </c>
      <c r="J1498">
        <v>-233.10759999999999</v>
      </c>
      <c r="K1498">
        <v>1.1217140000000001</v>
      </c>
      <c r="L1498">
        <v>367.54930000000002</v>
      </c>
      <c r="M1498">
        <v>0.99988650000000001</v>
      </c>
      <c r="N1498">
        <v>-1.426038E-2</v>
      </c>
      <c r="O1498">
        <v>4.8727470000000002E-3</v>
      </c>
      <c r="P1498">
        <v>0.98790670000000003</v>
      </c>
      <c r="Q1498">
        <v>0.15344459999999999</v>
      </c>
      <c r="R1498">
        <v>-2.2246220000000001E-2</v>
      </c>
      <c r="S1498">
        <v>3.0576629999999998</v>
      </c>
      <c r="T1498">
        <v>-0.168801799999999</v>
      </c>
      <c r="U1498">
        <v>-0.22979740000000001</v>
      </c>
      <c r="V1498">
        <v>2.7067009999999999E-2</v>
      </c>
      <c r="W1498">
        <v>0.1675141</v>
      </c>
      <c r="X1498">
        <v>0.98549810000000004</v>
      </c>
      <c r="Y1498">
        <v>7.9645869999999994E-2</v>
      </c>
      <c r="Z1498">
        <v>-2.9620559999999998E-3</v>
      </c>
      <c r="AA1498">
        <v>0.9968188</v>
      </c>
      <c r="AB1498">
        <v>20</v>
      </c>
      <c r="AC1498">
        <v>20.2090999999999</v>
      </c>
      <c r="AD1498">
        <v>-1.12171766646599</v>
      </c>
      <c r="AE1498">
        <v>-1.5276000000000001</v>
      </c>
      <c r="AF1498">
        <v>1.6210996805871201</v>
      </c>
      <c r="AG1498">
        <v>-1.12171766646599</v>
      </c>
      <c r="AH1498">
        <v>20.1397203491216</v>
      </c>
      <c r="AI1498">
        <v>93.177640695804797</v>
      </c>
      <c r="AJ1498">
        <v>85.398031957139693</v>
      </c>
      <c r="AK1498">
        <v>20.235971694941799</v>
      </c>
      <c r="AL1498">
        <v>80.356685583316406</v>
      </c>
      <c r="AM1498">
        <v>88.426749212511993</v>
      </c>
      <c r="AN1498">
        <v>1.00000005091637</v>
      </c>
    </row>
    <row r="1499" spans="1:40" x14ac:dyDescent="0.25">
      <c r="A1499" t="str">
        <f>"20190303161905417"</f>
        <v>20190303161905417</v>
      </c>
      <c r="B1499" t="str">
        <f>"1551601145414091"</f>
        <v>1551601145414091</v>
      </c>
      <c r="C1499" t="s">
        <v>40</v>
      </c>
      <c r="D1499">
        <v>4.8202210000000001</v>
      </c>
      <c r="E1499">
        <v>0.52289180000000002</v>
      </c>
      <c r="F1499" t="s">
        <v>41</v>
      </c>
      <c r="G1499">
        <v>-212.73429999999999</v>
      </c>
      <c r="H1499" s="1">
        <v>-3.7377619999999998E-6</v>
      </c>
      <c r="I1499">
        <v>366.017</v>
      </c>
      <c r="J1499">
        <v>-232.99639999999999</v>
      </c>
      <c r="K1499">
        <v>1.121715</v>
      </c>
      <c r="L1499">
        <v>367.54989999999998</v>
      </c>
      <c r="M1499">
        <v>0.99988650000000001</v>
      </c>
      <c r="N1499">
        <v>-1.425772E-2</v>
      </c>
      <c r="O1499">
        <v>4.8727659999999997E-3</v>
      </c>
      <c r="P1499">
        <v>0.98788739999999997</v>
      </c>
      <c r="Q1499">
        <v>0.15360209999999999</v>
      </c>
      <c r="R1499">
        <v>-2.201908E-2</v>
      </c>
      <c r="S1499">
        <v>3.057693</v>
      </c>
      <c r="T1499">
        <v>-0.16835049999999999</v>
      </c>
      <c r="U1499">
        <v>-0.2299805</v>
      </c>
      <c r="V1499">
        <v>2.683951E-2</v>
      </c>
      <c r="W1499">
        <v>0.16766879999999901</v>
      </c>
      <c r="X1499">
        <v>0.98547799999999997</v>
      </c>
      <c r="Y1499">
        <v>7.9705139999999994E-2</v>
      </c>
      <c r="Z1499">
        <v>-2.9574110000000001E-3</v>
      </c>
      <c r="AA1499">
        <v>0.99681410000000004</v>
      </c>
      <c r="AB1499">
        <v>19</v>
      </c>
      <c r="AC1499">
        <v>20.2621</v>
      </c>
      <c r="AD1499">
        <v>-1.1217187377619999</v>
      </c>
      <c r="AE1499">
        <v>-1.5328999999999799</v>
      </c>
      <c r="AF1499">
        <v>1.6266673014122599</v>
      </c>
      <c r="AG1499">
        <v>-1.1217187377619999</v>
      </c>
      <c r="AH1499">
        <v>20.192854747611999</v>
      </c>
      <c r="AI1499">
        <v>93.169283136204598</v>
      </c>
      <c r="AJ1499">
        <v>85.394393305637905</v>
      </c>
      <c r="AK1499">
        <v>20.289299699454599</v>
      </c>
      <c r="AL1499">
        <v>80.347694631080103</v>
      </c>
      <c r="AM1499">
        <v>88.439934123783601</v>
      </c>
      <c r="AN1499">
        <v>1.00000003713723</v>
      </c>
    </row>
    <row r="1500" spans="1:40" x14ac:dyDescent="0.25">
      <c r="A1500" t="str">
        <f>"20190303161905433"</f>
        <v>20190303161905433</v>
      </c>
      <c r="B1500" t="str">
        <f>"1551601145423851"</f>
        <v>1551601145423851</v>
      </c>
      <c r="C1500" t="s">
        <v>40</v>
      </c>
      <c r="D1500">
        <v>4.8184760000000004</v>
      </c>
      <c r="E1500">
        <v>0.52299180000000001</v>
      </c>
      <c r="F1500" t="s">
        <v>41</v>
      </c>
      <c r="G1500">
        <v>-212.70429999999999</v>
      </c>
      <c r="H1500" s="1">
        <v>-3.7511220000000001E-6</v>
      </c>
      <c r="I1500">
        <v>366.01420000000002</v>
      </c>
      <c r="J1500">
        <v>-232.8673</v>
      </c>
      <c r="K1500">
        <v>1.121715</v>
      </c>
      <c r="L1500">
        <v>367.5505</v>
      </c>
      <c r="M1500">
        <v>0.99988670000000002</v>
      </c>
      <c r="N1500">
        <v>-1.4254620000000001E-2</v>
      </c>
      <c r="O1500">
        <v>4.8724909999999996E-3</v>
      </c>
      <c r="P1500">
        <v>0.98779510000000004</v>
      </c>
      <c r="Q1500">
        <v>0.15425990000000001</v>
      </c>
      <c r="R1500">
        <v>-2.1572520000000001E-2</v>
      </c>
      <c r="S1500">
        <v>3.0578919999999998</v>
      </c>
      <c r="T1500">
        <v>-0.16903599999999999</v>
      </c>
      <c r="U1500">
        <v>-0.2314148</v>
      </c>
      <c r="V1500">
        <v>2.6392229999999999E-2</v>
      </c>
      <c r="W1500">
        <v>0.16832220000000001</v>
      </c>
      <c r="X1500">
        <v>0.98537870000000005</v>
      </c>
      <c r="Y1500">
        <v>8.0162960000000005E-2</v>
      </c>
      <c r="Z1500">
        <v>-2.9829909999999999E-3</v>
      </c>
      <c r="AA1500">
        <v>0.99677729999999998</v>
      </c>
      <c r="AB1500">
        <v>19</v>
      </c>
      <c r="AC1500">
        <v>20.163</v>
      </c>
      <c r="AD1500">
        <v>-1.1217187511219999</v>
      </c>
      <c r="AE1500">
        <v>-1.53629999999998</v>
      </c>
      <c r="AF1500">
        <v>1.62952153699999</v>
      </c>
      <c r="AG1500">
        <v>-1.1217187511219999</v>
      </c>
      <c r="AH1500">
        <v>20.093444409282601</v>
      </c>
      <c r="AI1500">
        <v>93.184792716517293</v>
      </c>
      <c r="AJ1500">
        <v>85.363620598216102</v>
      </c>
      <c r="AK1500">
        <v>20.190594385136301</v>
      </c>
      <c r="AL1500">
        <v>80.309717936677004</v>
      </c>
      <c r="AM1500">
        <v>88.465765547028894</v>
      </c>
      <c r="AN1500">
        <v>1.00000004761545</v>
      </c>
    </row>
    <row r="1501" spans="1:40" x14ac:dyDescent="0.25">
      <c r="A1501" t="str">
        <f>"20190303161905446"</f>
        <v>20190303161905446</v>
      </c>
      <c r="B1501" t="str">
        <f>"1551601145433612"</f>
        <v>1551601145433612</v>
      </c>
      <c r="C1501" t="s">
        <v>40</v>
      </c>
      <c r="D1501">
        <v>4.8155839999999897</v>
      </c>
      <c r="E1501">
        <v>0.523063099999999</v>
      </c>
      <c r="F1501" t="s">
        <v>41</v>
      </c>
      <c r="G1501">
        <v>-212.4658</v>
      </c>
      <c r="H1501" s="1">
        <v>-3.8546089999999999E-6</v>
      </c>
      <c r="I1501">
        <v>366.00779999999997</v>
      </c>
      <c r="J1501">
        <v>-232.75470000000001</v>
      </c>
      <c r="K1501">
        <v>1.1217170000000001</v>
      </c>
      <c r="L1501">
        <v>367.55110000000002</v>
      </c>
      <c r="M1501">
        <v>0.99988659999999996</v>
      </c>
      <c r="N1501">
        <v>-1.425189E-2</v>
      </c>
      <c r="O1501">
        <v>4.8726289999999998E-3</v>
      </c>
      <c r="P1501">
        <v>0.98778149999999998</v>
      </c>
      <c r="Q1501">
        <v>0.15437110000000001</v>
      </c>
      <c r="R1501">
        <v>-2.1395549999999999E-2</v>
      </c>
      <c r="S1501">
        <v>3.0582579999999999</v>
      </c>
      <c r="T1501">
        <v>-0.16814899999999999</v>
      </c>
      <c r="U1501">
        <v>-0.2312622</v>
      </c>
      <c r="V1501">
        <v>2.6215470000000001E-2</v>
      </c>
      <c r="W1501">
        <v>0.16843069999999999</v>
      </c>
      <c r="X1501">
        <v>0.98536489999999999</v>
      </c>
      <c r="Y1501">
        <v>8.0106300000000005E-2</v>
      </c>
      <c r="Z1501">
        <v>-2.9676529999999998E-3</v>
      </c>
      <c r="AA1501">
        <v>0.9967819</v>
      </c>
      <c r="AB1501">
        <v>19</v>
      </c>
      <c r="AC1501">
        <v>20.288900000000002</v>
      </c>
      <c r="AD1501">
        <v>-1.1217208546089901</v>
      </c>
      <c r="AE1501">
        <v>-1.5433000000000401</v>
      </c>
      <c r="AF1501">
        <v>1.63717643028009</v>
      </c>
      <c r="AG1501">
        <v>-1.1217208546089901</v>
      </c>
      <c r="AH1501">
        <v>20.219688467915901</v>
      </c>
      <c r="AI1501">
        <v>93.164987039198905</v>
      </c>
      <c r="AJ1501">
        <v>85.370892603577602</v>
      </c>
      <c r="AK1501">
        <v>20.3168502991754</v>
      </c>
      <c r="AL1501">
        <v>80.303411511622201</v>
      </c>
      <c r="AM1501">
        <v>88.476014773357406</v>
      </c>
      <c r="AN1501">
        <v>1.0000000688609001</v>
      </c>
    </row>
    <row r="1502" spans="1:40" x14ac:dyDescent="0.25">
      <c r="A1502" t="str">
        <f>"20190303161905457"</f>
        <v>20190303161905457</v>
      </c>
      <c r="B1502" t="str">
        <f>"1551601145444347"</f>
        <v>1551601145444347</v>
      </c>
      <c r="C1502" t="s">
        <v>40</v>
      </c>
      <c r="D1502">
        <v>4.8337760000000003</v>
      </c>
      <c r="E1502">
        <v>0.5232272</v>
      </c>
      <c r="F1502" t="s">
        <v>41</v>
      </c>
      <c r="G1502">
        <v>-212.33619999999999</v>
      </c>
      <c r="H1502" s="1">
        <v>-3.9106910000000001E-6</v>
      </c>
      <c r="I1502">
        <v>366.00490000000002</v>
      </c>
      <c r="J1502">
        <v>-232.6559</v>
      </c>
      <c r="K1502">
        <v>1.121718</v>
      </c>
      <c r="L1502">
        <v>367.55160000000001</v>
      </c>
      <c r="M1502">
        <v>0.99988670000000002</v>
      </c>
      <c r="N1502">
        <v>-1.424951E-2</v>
      </c>
      <c r="O1502">
        <v>4.8725269999999998E-3</v>
      </c>
      <c r="P1502">
        <v>0.98778060000000001</v>
      </c>
      <c r="Q1502">
        <v>0.15443270000000001</v>
      </c>
      <c r="R1502">
        <v>-2.0982199999999999E-2</v>
      </c>
      <c r="S1502">
        <v>3.0583650000000002</v>
      </c>
      <c r="T1502">
        <v>-0.16801569999999999</v>
      </c>
      <c r="U1502">
        <v>-0.2315979</v>
      </c>
      <c r="V1502">
        <v>2.580199E-2</v>
      </c>
      <c r="W1502">
        <v>0.16848949999999999</v>
      </c>
      <c r="X1502">
        <v>0.98536570000000001</v>
      </c>
      <c r="Y1502">
        <v>8.0212409999999998E-2</v>
      </c>
      <c r="Z1502">
        <v>-2.969186E-3</v>
      </c>
      <c r="AA1502">
        <v>0.99677340000000003</v>
      </c>
      <c r="AB1502">
        <v>19</v>
      </c>
      <c r="AC1502">
        <v>20.319700000000001</v>
      </c>
      <c r="AD1502">
        <v>-1.1217219106909999</v>
      </c>
      <c r="AE1502">
        <v>-1.54669999999998</v>
      </c>
      <c r="AF1502">
        <v>1.6407287390243099</v>
      </c>
      <c r="AG1502">
        <v>-1.1217219106909999</v>
      </c>
      <c r="AH1502">
        <v>20.250564664512499</v>
      </c>
      <c r="AI1502">
        <v>93.160160928975998</v>
      </c>
      <c r="AJ1502">
        <v>85.367934744610906</v>
      </c>
      <c r="AK1502">
        <v>20.347865246054401</v>
      </c>
      <c r="AL1502">
        <v>80.299993082916799</v>
      </c>
      <c r="AM1502">
        <v>88.500041775190695</v>
      </c>
      <c r="AN1502">
        <v>1.0000000085173499</v>
      </c>
    </row>
    <row r="1503" spans="1:40" x14ac:dyDescent="0.25">
      <c r="A1503" t="str">
        <f>"20190303161905468"</f>
        <v>20190303161905468</v>
      </c>
      <c r="B1503" t="str">
        <f>"1551601145463867"</f>
        <v>1551601145463867</v>
      </c>
      <c r="C1503" t="s">
        <v>40</v>
      </c>
      <c r="D1503">
        <v>4.7875100000000002</v>
      </c>
      <c r="E1503">
        <v>0.52342889999999997</v>
      </c>
      <c r="F1503" t="s">
        <v>41</v>
      </c>
      <c r="G1503">
        <v>-212.20310000000001</v>
      </c>
      <c r="H1503" s="1">
        <v>-3.968478E-6</v>
      </c>
      <c r="I1503">
        <v>366.00110000000001</v>
      </c>
      <c r="J1503">
        <v>-232.55770000000001</v>
      </c>
      <c r="K1503">
        <v>1.12171</v>
      </c>
      <c r="L1503">
        <v>367.55200000000002</v>
      </c>
      <c r="M1503">
        <v>0.99988659999999996</v>
      </c>
      <c r="N1503">
        <v>-1.424714E-2</v>
      </c>
      <c r="O1503">
        <v>4.8725449999999998E-3</v>
      </c>
      <c r="P1503">
        <v>0.98776750000000002</v>
      </c>
      <c r="Q1503">
        <v>0.15457850000000001</v>
      </c>
      <c r="R1503">
        <v>-2.0517779999999999E-2</v>
      </c>
      <c r="S1503">
        <v>3.058395</v>
      </c>
      <c r="T1503">
        <v>-0.167735299999999</v>
      </c>
      <c r="U1503">
        <v>-0.23184199999999999</v>
      </c>
      <c r="V1503">
        <v>2.5337599999999998E-2</v>
      </c>
      <c r="W1503">
        <v>0.1686328</v>
      </c>
      <c r="X1503">
        <v>0.98535320000000004</v>
      </c>
      <c r="Y1503">
        <v>8.0291109999999999E-2</v>
      </c>
      <c r="Z1503">
        <v>-2.9676780000000001E-3</v>
      </c>
      <c r="AA1503">
        <v>0.99676699999999996</v>
      </c>
      <c r="AB1503">
        <v>19</v>
      </c>
      <c r="AC1503">
        <v>20.354600000000001</v>
      </c>
      <c r="AD1503">
        <v>-1.121713968478</v>
      </c>
      <c r="AE1503">
        <v>-1.55089999999995</v>
      </c>
      <c r="AF1503">
        <v>1.6451030855140201</v>
      </c>
      <c r="AG1503">
        <v>-1.121713968478</v>
      </c>
      <c r="AH1503">
        <v>20.285549910398501</v>
      </c>
      <c r="AI1503">
        <v>93.154680274642303</v>
      </c>
      <c r="AJ1503">
        <v>85.363614044896494</v>
      </c>
      <c r="AK1503">
        <v>20.383035631532302</v>
      </c>
      <c r="AL1503">
        <v>80.291663051990199</v>
      </c>
      <c r="AM1503">
        <v>88.527007679656293</v>
      </c>
      <c r="AN1503">
        <v>0.99999997197991897</v>
      </c>
    </row>
    <row r="1504" spans="1:40" x14ac:dyDescent="0.25">
      <c r="A1504" t="str">
        <f>"20190303161905479"</f>
        <v>20190303161905479</v>
      </c>
      <c r="B1504" t="str">
        <f>"1551601145473627"</f>
        <v>1551601145473627</v>
      </c>
      <c r="C1504" t="s">
        <v>40</v>
      </c>
      <c r="D1504">
        <v>4.8210089999999903</v>
      </c>
      <c r="E1504">
        <v>0.52352600000000005</v>
      </c>
      <c r="F1504" t="s">
        <v>41</v>
      </c>
      <c r="G1504">
        <v>-212.0549</v>
      </c>
      <c r="H1504" s="1">
        <v>-4.0327810000000003E-6</v>
      </c>
      <c r="I1504">
        <v>365.99700000000001</v>
      </c>
      <c r="J1504">
        <v>-232.4633</v>
      </c>
      <c r="K1504">
        <v>1.1217090000000001</v>
      </c>
      <c r="L1504">
        <v>367.55250000000001</v>
      </c>
      <c r="M1504">
        <v>0.99988679999999996</v>
      </c>
      <c r="N1504">
        <v>-1.424487E-2</v>
      </c>
      <c r="O1504">
        <v>4.8723819999999998E-3</v>
      </c>
      <c r="P1504">
        <v>0.98776359999999996</v>
      </c>
      <c r="Q1504">
        <v>0.1546197</v>
      </c>
      <c r="R1504">
        <v>-2.0401269999999999E-2</v>
      </c>
      <c r="S1504">
        <v>3.0585170000000002</v>
      </c>
      <c r="T1504">
        <v>-0.1673317</v>
      </c>
      <c r="U1504">
        <v>-0.23196410000000001</v>
      </c>
      <c r="V1504">
        <v>2.5220949999999999E-2</v>
      </c>
      <c r="W1504">
        <v>0.16867179999999901</v>
      </c>
      <c r="X1504">
        <v>0.98534949999999999</v>
      </c>
      <c r="Y1504">
        <v>8.0328129999999998E-2</v>
      </c>
      <c r="Z1504">
        <v>-2.9628440000000001E-3</v>
      </c>
      <c r="AA1504">
        <v>0.99676410000000004</v>
      </c>
      <c r="AB1504">
        <v>19</v>
      </c>
      <c r="AC1504">
        <v>20.4084</v>
      </c>
      <c r="AD1504">
        <v>-1.1217130327810001</v>
      </c>
      <c r="AE1504">
        <v>-1.5555000000000501</v>
      </c>
      <c r="AF1504">
        <v>1.6499734081188699</v>
      </c>
      <c r="AG1504">
        <v>-1.1217130327810001</v>
      </c>
      <c r="AH1504">
        <v>20.3394879607985</v>
      </c>
      <c r="AI1504">
        <v>93.146322454759002</v>
      </c>
      <c r="AJ1504">
        <v>85.362225698134907</v>
      </c>
      <c r="AK1504">
        <v>20.437108965870799</v>
      </c>
      <c r="AL1504">
        <v>80.289395874476298</v>
      </c>
      <c r="AM1504">
        <v>88.533780615426593</v>
      </c>
      <c r="AN1504">
        <v>0.99999995479219494</v>
      </c>
    </row>
    <row r="1505" spans="1:40" x14ac:dyDescent="0.25">
      <c r="A1505" t="str">
        <f>"20190303161905491"</f>
        <v>20190303161905491</v>
      </c>
      <c r="B1505" t="str">
        <f>"1551601145484363"</f>
        <v>1551601145484363</v>
      </c>
      <c r="C1505" t="s">
        <v>40</v>
      </c>
      <c r="D1505">
        <v>4.8400540000000003</v>
      </c>
      <c r="E1505">
        <v>0.52369509999999997</v>
      </c>
      <c r="F1505" t="s">
        <v>41</v>
      </c>
      <c r="G1505">
        <v>-212.0438</v>
      </c>
      <c r="H1505" s="1">
        <v>-4.036644E-6</v>
      </c>
      <c r="I1505">
        <v>366.00209999999998</v>
      </c>
      <c r="J1505">
        <v>-232.36019999999999</v>
      </c>
      <c r="K1505">
        <v>1.1217109999999999</v>
      </c>
      <c r="L1505">
        <v>367.553</v>
      </c>
      <c r="M1505">
        <v>0.99988679999999996</v>
      </c>
      <c r="N1505">
        <v>-1.4242380000000001E-2</v>
      </c>
      <c r="O1505">
        <v>4.8723999999999998E-3</v>
      </c>
      <c r="P1505">
        <v>0.98780420000000002</v>
      </c>
      <c r="Q1505">
        <v>0.15437529999999999</v>
      </c>
      <c r="R1505">
        <v>-2.0283410000000002E-2</v>
      </c>
      <c r="S1505">
        <v>3.0586549999999999</v>
      </c>
      <c r="T1505">
        <v>-0.168021799999999</v>
      </c>
      <c r="U1505">
        <v>-0.2322388</v>
      </c>
      <c r="V1505">
        <v>2.5103239999999999E-2</v>
      </c>
      <c r="W1505">
        <v>0.16842560000000001</v>
      </c>
      <c r="X1505">
        <v>0.98539469999999996</v>
      </c>
      <c r="Y1505">
        <v>8.0412479999999995E-2</v>
      </c>
      <c r="Z1505">
        <v>-2.9756829999999998E-3</v>
      </c>
      <c r="AA1505">
        <v>0.99675720000000001</v>
      </c>
      <c r="AB1505">
        <v>19</v>
      </c>
      <c r="AC1505">
        <v>20.316399999999899</v>
      </c>
      <c r="AD1505">
        <v>-1.1217150366440001</v>
      </c>
      <c r="AE1505">
        <v>-1.5509000000000599</v>
      </c>
      <c r="AF1505">
        <v>1.6448959999974</v>
      </c>
      <c r="AG1505">
        <v>-1.1217150366440001</v>
      </c>
      <c r="AH1505">
        <v>20.247237387830101</v>
      </c>
      <c r="AI1505">
        <v>93.160604152542504</v>
      </c>
      <c r="AJ1505">
        <v>85.3554614404228</v>
      </c>
      <c r="AK1505">
        <v>20.344890004946802</v>
      </c>
      <c r="AL1505">
        <v>80.303707624482797</v>
      </c>
      <c r="AM1505">
        <v>88.540687630168193</v>
      </c>
      <c r="AN1505">
        <v>1.0000000350909699</v>
      </c>
    </row>
    <row r="1506" spans="1:40" x14ac:dyDescent="0.25">
      <c r="A1506" t="str">
        <f>"20190303161905501"</f>
        <v>20190303161905501</v>
      </c>
      <c r="B1506" t="str">
        <f>"1551601145494124"</f>
        <v>1551601145494124</v>
      </c>
      <c r="C1506" t="s">
        <v>40</v>
      </c>
      <c r="D1506">
        <v>4.7935080000000001</v>
      </c>
      <c r="E1506">
        <v>0.52379639999999905</v>
      </c>
      <c r="F1506" t="s">
        <v>41</v>
      </c>
      <c r="G1506">
        <v>-212.0924</v>
      </c>
      <c r="H1506" s="1">
        <v>-4.0145929999999997E-6</v>
      </c>
      <c r="I1506">
        <v>366.00889999999998</v>
      </c>
      <c r="J1506">
        <v>-232.27070000000001</v>
      </c>
      <c r="K1506">
        <v>1.1217060000000001</v>
      </c>
      <c r="L1506">
        <v>367.55349999999999</v>
      </c>
      <c r="M1506">
        <v>0.99988679999999996</v>
      </c>
      <c r="N1506">
        <v>-1.424021E-2</v>
      </c>
      <c r="O1506">
        <v>4.8724160000000001E-3</v>
      </c>
      <c r="P1506">
        <v>0.98780880000000004</v>
      </c>
      <c r="Q1506">
        <v>0.1543756</v>
      </c>
      <c r="R1506">
        <v>-2.0055690000000001E-2</v>
      </c>
      <c r="S1506">
        <v>3.058716</v>
      </c>
      <c r="T1506">
        <v>-0.16928280000000001</v>
      </c>
      <c r="U1506">
        <v>-0.23303219999999999</v>
      </c>
      <c r="V1506">
        <v>2.4875560000000001E-2</v>
      </c>
      <c r="W1506">
        <v>0.16842409999999999</v>
      </c>
      <c r="X1506">
        <v>0.98540070000000002</v>
      </c>
      <c r="Y1506">
        <v>8.066545E-2</v>
      </c>
      <c r="Z1506">
        <v>-3.0028530000000002E-3</v>
      </c>
      <c r="AA1506">
        <v>0.99673670000000003</v>
      </c>
      <c r="AB1506">
        <v>19</v>
      </c>
      <c r="AC1506">
        <v>20.1783</v>
      </c>
      <c r="AD1506">
        <v>-1.1217100145929999</v>
      </c>
      <c r="AE1506">
        <v>-1.5446</v>
      </c>
      <c r="AF1506">
        <v>1.63787675104871</v>
      </c>
      <c r="AG1506">
        <v>-1.1217100145929999</v>
      </c>
      <c r="AH1506">
        <v>20.108754872827902</v>
      </c>
      <c r="AI1506">
        <v>93.182257412911298</v>
      </c>
      <c r="AJ1506">
        <v>85.343484918050095</v>
      </c>
      <c r="AK1506">
        <v>20.206506282481001</v>
      </c>
      <c r="AL1506">
        <v>80.303794521584607</v>
      </c>
      <c r="AM1506">
        <v>88.553926377667196</v>
      </c>
      <c r="AN1506">
        <v>1.0000000052533</v>
      </c>
    </row>
    <row r="1507" spans="1:40" x14ac:dyDescent="0.25">
      <c r="A1507" t="str">
        <f>"20190303161905516"</f>
        <v>20190303161905516</v>
      </c>
      <c r="B1507" t="str">
        <f>"1551601145503883"</f>
        <v>1551601145503883</v>
      </c>
      <c r="C1507" t="s">
        <v>40</v>
      </c>
      <c r="D1507">
        <v>4.7812140000000003</v>
      </c>
      <c r="E1507">
        <v>0.52388729999999994</v>
      </c>
      <c r="F1507" t="s">
        <v>41</v>
      </c>
      <c r="G1507">
        <v>-212.09200000000001</v>
      </c>
      <c r="H1507" s="1">
        <v>-4.0135249999999998E-6</v>
      </c>
      <c r="I1507">
        <v>366.01580000000001</v>
      </c>
      <c r="J1507">
        <v>-232.15119999999999</v>
      </c>
      <c r="K1507">
        <v>1.1217029999999999</v>
      </c>
      <c r="L1507">
        <v>367.55399999999997</v>
      </c>
      <c r="M1507">
        <v>0.99988679999999996</v>
      </c>
      <c r="N1507">
        <v>-1.4237329999999999E-2</v>
      </c>
      <c r="O1507">
        <v>4.8722569999999996E-3</v>
      </c>
      <c r="P1507">
        <v>0.98784269999999996</v>
      </c>
      <c r="Q1507">
        <v>0.15416199999999999</v>
      </c>
      <c r="R1507">
        <v>-2.002257E-2</v>
      </c>
      <c r="S1507">
        <v>3.0588679999999999</v>
      </c>
      <c r="T1507">
        <v>-0.17003859999999901</v>
      </c>
      <c r="U1507">
        <v>-0.2330933</v>
      </c>
      <c r="V1507">
        <v>2.4842409999999999E-2</v>
      </c>
      <c r="W1507">
        <v>0.16820839999999901</v>
      </c>
      <c r="X1507">
        <v>0.98543829999999999</v>
      </c>
      <c r="Y1507">
        <v>8.0680009999999996E-2</v>
      </c>
      <c r="Z1507">
        <v>-3.0142580000000001E-3</v>
      </c>
      <c r="AA1507">
        <v>0.9967355</v>
      </c>
      <c r="AB1507">
        <v>19</v>
      </c>
      <c r="AC1507">
        <v>20.059199999999901</v>
      </c>
      <c r="AD1507">
        <v>-1.121707013525</v>
      </c>
      <c r="AE1507">
        <v>-1.53820000000001</v>
      </c>
      <c r="AF1507">
        <v>1.63085530422397</v>
      </c>
      <c r="AG1507">
        <v>-1.121707013525</v>
      </c>
      <c r="AH1507">
        <v>19.9893248430554</v>
      </c>
      <c r="AI1507">
        <v>93.201187419240497</v>
      </c>
      <c r="AJ1507">
        <v>85.335779178153501</v>
      </c>
      <c r="AK1507">
        <v>20.0870859840023</v>
      </c>
      <c r="AL1507">
        <v>80.316331330395897</v>
      </c>
      <c r="AM1507">
        <v>88.555907725920306</v>
      </c>
      <c r="AN1507">
        <v>0.99999992713602603</v>
      </c>
    </row>
    <row r="1508" spans="1:40" x14ac:dyDescent="0.25">
      <c r="A1508" t="str">
        <f>"20190303161905530"</f>
        <v>20190303161905530</v>
      </c>
      <c r="B1508" t="str">
        <f>"1551601145524379"</f>
        <v>1551601145524379</v>
      </c>
      <c r="C1508" t="s">
        <v>40</v>
      </c>
      <c r="D1508">
        <v>4.8140660000000004</v>
      </c>
      <c r="E1508">
        <v>0.52412479999999995</v>
      </c>
      <c r="F1508" t="s">
        <v>41</v>
      </c>
      <c r="G1508">
        <v>-212.114</v>
      </c>
      <c r="H1508" s="1">
        <v>-4.002623E-6</v>
      </c>
      <c r="I1508">
        <v>366.02420000000001</v>
      </c>
      <c r="J1508">
        <v>-232.03039999999999</v>
      </c>
      <c r="K1508">
        <v>1.1217029999999999</v>
      </c>
      <c r="L1508">
        <v>367.55459999999999</v>
      </c>
      <c r="M1508">
        <v>0.99988690000000002</v>
      </c>
      <c r="N1508">
        <v>-1.4234409999999999E-2</v>
      </c>
      <c r="O1508">
        <v>4.8720990000000004E-3</v>
      </c>
      <c r="P1508">
        <v>0.98789939999999998</v>
      </c>
      <c r="Q1508">
        <v>0.153806</v>
      </c>
      <c r="R1508">
        <v>-1.996444E-2</v>
      </c>
      <c r="S1508">
        <v>3.0588989999999998</v>
      </c>
      <c r="T1508">
        <v>-0.17123949999999999</v>
      </c>
      <c r="U1508">
        <v>-0.23355100000000001</v>
      </c>
      <c r="V1508">
        <v>2.4784469999999999E-2</v>
      </c>
      <c r="W1508">
        <v>0.1678502</v>
      </c>
      <c r="X1508">
        <v>0.98550090000000001</v>
      </c>
      <c r="Y1508">
        <v>8.0825079999999994E-2</v>
      </c>
      <c r="Z1508">
        <v>-3.03689E-3</v>
      </c>
      <c r="AA1508">
        <v>0.99672369999999999</v>
      </c>
      <c r="AB1508">
        <v>19</v>
      </c>
      <c r="AC1508">
        <v>19.9163999999999</v>
      </c>
      <c r="AD1508">
        <v>-1.121707002623</v>
      </c>
      <c r="AE1508">
        <v>-1.53039999999998</v>
      </c>
      <c r="AF1508">
        <v>1.62231051898806</v>
      </c>
      <c r="AG1508">
        <v>-1.121707002623</v>
      </c>
      <c r="AH1508">
        <v>19.8461235953474</v>
      </c>
      <c r="AI1508">
        <v>93.224195969116394</v>
      </c>
      <c r="AJ1508">
        <v>85.326778421356096</v>
      </c>
      <c r="AK1508">
        <v>19.943889785635001</v>
      </c>
      <c r="AL1508">
        <v>80.337151320216293</v>
      </c>
      <c r="AM1508">
        <v>88.559365841624896</v>
      </c>
      <c r="AN1508">
        <v>0.99999999174701504</v>
      </c>
    </row>
    <row r="1509" spans="1:40" x14ac:dyDescent="0.25">
      <c r="A1509" t="str">
        <f>"20190303161905542"</f>
        <v>20190303161905542</v>
      </c>
      <c r="B1509" t="str">
        <f>"1551601145534139"</f>
        <v>1551601145534139</v>
      </c>
      <c r="C1509" t="s">
        <v>40</v>
      </c>
      <c r="D1509">
        <v>5.1438470000000001</v>
      </c>
      <c r="E1509">
        <v>0.52415119999999904</v>
      </c>
      <c r="F1509" t="s">
        <v>41</v>
      </c>
      <c r="G1509">
        <v>-212.18979999999999</v>
      </c>
      <c r="H1509" s="1">
        <v>-3.9691590000000004E-6</v>
      </c>
      <c r="I1509">
        <v>366.02949999999998</v>
      </c>
      <c r="J1509">
        <v>-231.9153</v>
      </c>
      <c r="K1509">
        <v>1.12171</v>
      </c>
      <c r="L1509">
        <v>367.55520000000001</v>
      </c>
      <c r="M1509">
        <v>0.99988690000000002</v>
      </c>
      <c r="N1509">
        <v>-1.423162E-2</v>
      </c>
      <c r="O1509">
        <v>4.8722979999999997E-3</v>
      </c>
      <c r="P1509">
        <v>0.9879407</v>
      </c>
      <c r="Q1509">
        <v>0.153532</v>
      </c>
      <c r="R1509">
        <v>-2.002263E-2</v>
      </c>
      <c r="S1509">
        <v>3.058929</v>
      </c>
      <c r="T1509">
        <v>-0.1729386</v>
      </c>
      <c r="U1509">
        <v>-0.23513790000000001</v>
      </c>
      <c r="V1509">
        <v>2.4843110000000002E-2</v>
      </c>
      <c r="W1509">
        <v>0.16757379999999999</v>
      </c>
      <c r="X1509">
        <v>0.98554649999999999</v>
      </c>
      <c r="Y1509">
        <v>8.1334630000000005E-2</v>
      </c>
      <c r="Z1509">
        <v>-3.079811E-3</v>
      </c>
      <c r="AA1509">
        <v>0.99668210000000002</v>
      </c>
      <c r="AB1509">
        <v>19</v>
      </c>
      <c r="AC1509">
        <v>19.7255</v>
      </c>
      <c r="AD1509">
        <v>-1.1217139691589999</v>
      </c>
      <c r="AE1509">
        <v>-1.52570000000002</v>
      </c>
      <c r="AF1509">
        <v>1.6166035066979001</v>
      </c>
      <c r="AG1509">
        <v>-1.1217139691589999</v>
      </c>
      <c r="AH1509">
        <v>19.654650888966199</v>
      </c>
      <c r="AI1509">
        <v>93.255424674018997</v>
      </c>
      <c r="AJ1509">
        <v>85.297981640097305</v>
      </c>
      <c r="AK1509">
        <v>19.7528972734031</v>
      </c>
      <c r="AL1509">
        <v>80.353215788393598</v>
      </c>
      <c r="AM1509">
        <v>88.556025531679097</v>
      </c>
      <c r="AN1509">
        <v>1.00000003111158</v>
      </c>
    </row>
    <row r="1510" spans="1:40" x14ac:dyDescent="0.25">
      <c r="A1510" t="str">
        <f>"20190303161905556"</f>
        <v>20190303161905556</v>
      </c>
      <c r="B1510" t="str">
        <f>"1551601145543899"</f>
        <v>1551601145543899</v>
      </c>
      <c r="C1510" t="s">
        <v>40</v>
      </c>
      <c r="D1510">
        <v>4.8416449999999998</v>
      </c>
      <c r="E1510">
        <v>0.5241903</v>
      </c>
      <c r="F1510" t="s">
        <v>41</v>
      </c>
      <c r="G1510">
        <v>-212.0531</v>
      </c>
      <c r="H1510" s="1">
        <v>-4.0282800000000003E-6</v>
      </c>
      <c r="I1510">
        <v>366.02670000000001</v>
      </c>
      <c r="J1510">
        <v>-231.8022</v>
      </c>
      <c r="K1510">
        <v>1.1217109999999999</v>
      </c>
      <c r="L1510">
        <v>367.5557</v>
      </c>
      <c r="M1510">
        <v>0.99988699999999997</v>
      </c>
      <c r="N1510">
        <v>-1.4228889999999999E-2</v>
      </c>
      <c r="O1510">
        <v>4.8721390000000002E-3</v>
      </c>
      <c r="P1510">
        <v>0.98799740000000003</v>
      </c>
      <c r="Q1510">
        <v>0.15309049999999999</v>
      </c>
      <c r="R1510">
        <v>-2.0608870000000001E-2</v>
      </c>
      <c r="S1510">
        <v>3.0586850000000001</v>
      </c>
      <c r="T1510">
        <v>-0.17273829999999901</v>
      </c>
      <c r="U1510">
        <v>-0.23538210000000001</v>
      </c>
      <c r="V1510">
        <v>2.5429429999999999E-2</v>
      </c>
      <c r="W1510">
        <v>0.167131</v>
      </c>
      <c r="X1510">
        <v>0.98560669999999995</v>
      </c>
      <c r="Y1510">
        <v>8.1419779999999997E-2</v>
      </c>
      <c r="Z1510">
        <v>-3.0799400000000002E-3</v>
      </c>
      <c r="AA1510">
        <v>0.99667510000000004</v>
      </c>
      <c r="AB1510">
        <v>19</v>
      </c>
      <c r="AC1510">
        <v>19.749099999999999</v>
      </c>
      <c r="AD1510">
        <v>-1.1217150282799999</v>
      </c>
      <c r="AE1510">
        <v>-1.5289999999999899</v>
      </c>
      <c r="AF1510">
        <v>1.6200168328558</v>
      </c>
      <c r="AG1510">
        <v>-1.1217150282799999</v>
      </c>
      <c r="AH1510">
        <v>19.678310430920799</v>
      </c>
      <c r="AI1510">
        <v>93.251502318473499</v>
      </c>
      <c r="AJ1510">
        <v>85.293738098681004</v>
      </c>
      <c r="AK1510">
        <v>19.776718649945298</v>
      </c>
      <c r="AL1510">
        <v>80.378948944138401</v>
      </c>
      <c r="AM1510">
        <v>88.522051600512896</v>
      </c>
      <c r="AN1510">
        <v>0.99999999707800702</v>
      </c>
    </row>
    <row r="1511" spans="1:40" x14ac:dyDescent="0.25">
      <c r="A1511" t="str">
        <f>"20190303161905571"</f>
        <v>20190303161905571</v>
      </c>
      <c r="B1511" t="str">
        <f>"1551601145564395"</f>
        <v>1551601145564395</v>
      </c>
      <c r="C1511" t="s">
        <v>40</v>
      </c>
      <c r="D1511">
        <v>4.8339169999999996</v>
      </c>
      <c r="E1511">
        <v>0.52431099999999997</v>
      </c>
      <c r="F1511" t="s">
        <v>41</v>
      </c>
      <c r="G1511">
        <v>-212.00030000000001</v>
      </c>
      <c r="H1511" s="1">
        <v>-4.0531680000000004E-6</v>
      </c>
      <c r="I1511">
        <v>366.01409999999998</v>
      </c>
      <c r="J1511">
        <v>-231.67449999999999</v>
      </c>
      <c r="K1511">
        <v>1.1217109999999999</v>
      </c>
      <c r="L1511">
        <v>367.55630000000002</v>
      </c>
      <c r="M1511">
        <v>0.99988690000000002</v>
      </c>
      <c r="N1511">
        <v>-1.422579E-2</v>
      </c>
      <c r="O1511">
        <v>4.8721609999999999E-3</v>
      </c>
      <c r="P1511">
        <v>0.98801470000000002</v>
      </c>
      <c r="Q1511">
        <v>0.15295729999999999</v>
      </c>
      <c r="R1511">
        <v>-2.076279E-2</v>
      </c>
      <c r="S1511">
        <v>3.058319</v>
      </c>
      <c r="T1511">
        <v>-0.17324300000000001</v>
      </c>
      <c r="U1511">
        <v>-0.23809810000000001</v>
      </c>
      <c r="V1511">
        <v>2.5583359999999999E-2</v>
      </c>
      <c r="W1511">
        <v>0.16699459999999999</v>
      </c>
      <c r="X1511">
        <v>0.98562590000000005</v>
      </c>
      <c r="Y1511">
        <v>8.2306099999999993E-2</v>
      </c>
      <c r="Z1511">
        <v>-3.1189329999999999E-3</v>
      </c>
      <c r="AA1511">
        <v>0.99660219999999999</v>
      </c>
      <c r="AB1511">
        <v>19</v>
      </c>
      <c r="AC1511">
        <v>19.6741999999999</v>
      </c>
      <c r="AD1511">
        <v>-1.121715053168</v>
      </c>
      <c r="AE1511">
        <v>-1.54220000000003</v>
      </c>
      <c r="AF1511">
        <v>1.63277210011434</v>
      </c>
      <c r="AG1511">
        <v>-1.121715053168</v>
      </c>
      <c r="AH1511">
        <v>19.603118005287001</v>
      </c>
      <c r="AI1511">
        <v>93.263688523986303</v>
      </c>
      <c r="AJ1511">
        <v>85.238741572801999</v>
      </c>
      <c r="AK1511">
        <v>19.702954725640101</v>
      </c>
      <c r="AL1511">
        <v>80.386876094218195</v>
      </c>
      <c r="AM1511">
        <v>88.513138205590394</v>
      </c>
      <c r="AN1511">
        <v>1.0000000597444201</v>
      </c>
    </row>
    <row r="1512" spans="1:40" x14ac:dyDescent="0.25">
      <c r="A1512" t="str">
        <f>"20190303161905583"</f>
        <v>20190303161905583</v>
      </c>
      <c r="B1512" t="str">
        <f>"1551601145574155"</f>
        <v>1551601145574155</v>
      </c>
      <c r="C1512" t="s">
        <v>40</v>
      </c>
      <c r="D1512">
        <v>4.8283519999999998</v>
      </c>
      <c r="E1512">
        <v>0.52442250000000001</v>
      </c>
      <c r="F1512" t="s">
        <v>41</v>
      </c>
      <c r="G1512">
        <v>-211.7799</v>
      </c>
      <c r="H1512" s="1">
        <v>-4.1505210000000003E-6</v>
      </c>
      <c r="I1512">
        <v>365.9982</v>
      </c>
      <c r="J1512">
        <v>-231.56960000000001</v>
      </c>
      <c r="K1512">
        <v>1.121707</v>
      </c>
      <c r="L1512">
        <v>367.55680000000001</v>
      </c>
      <c r="M1512">
        <v>0.99988699999999997</v>
      </c>
      <c r="N1512">
        <v>-1.422324E-2</v>
      </c>
      <c r="O1512">
        <v>4.8721789999999999E-3</v>
      </c>
      <c r="P1512">
        <v>0.98805050000000005</v>
      </c>
      <c r="Q1512">
        <v>0.152701</v>
      </c>
      <c r="R1512">
        <v>-2.0953289999999999E-2</v>
      </c>
      <c r="S1512">
        <v>3.0580440000000002</v>
      </c>
      <c r="T1512">
        <v>-0.1724212</v>
      </c>
      <c r="U1512">
        <v>-0.23950199999999999</v>
      </c>
      <c r="V1512">
        <v>2.5773959999999999E-2</v>
      </c>
      <c r="W1512">
        <v>0.16673650000000001</v>
      </c>
      <c r="X1512">
        <v>0.98566450000000005</v>
      </c>
      <c r="Y1512">
        <v>8.2768289999999994E-2</v>
      </c>
      <c r="Z1512">
        <v>-3.123008E-3</v>
      </c>
      <c r="AA1512">
        <v>0.99656389999999995</v>
      </c>
      <c r="AB1512">
        <v>19</v>
      </c>
      <c r="AC1512">
        <v>19.7897</v>
      </c>
      <c r="AD1512">
        <v>-1.121711150521</v>
      </c>
      <c r="AE1512">
        <v>-1.55860000000001</v>
      </c>
      <c r="AF1512">
        <v>1.64974259127321</v>
      </c>
      <c r="AG1512">
        <v>-1.121711150521</v>
      </c>
      <c r="AH1512">
        <v>19.718908162816199</v>
      </c>
      <c r="AI1512">
        <v>93.2444541089653</v>
      </c>
      <c r="AJ1512">
        <v>85.217601797305704</v>
      </c>
      <c r="AK1512">
        <v>19.819566737349302</v>
      </c>
      <c r="AL1512">
        <v>80.401873177951401</v>
      </c>
      <c r="AM1512">
        <v>88.502124517339297</v>
      </c>
      <c r="AN1512">
        <v>0.99999993200328796</v>
      </c>
    </row>
    <row r="1513" spans="1:40" x14ac:dyDescent="0.25">
      <c r="A1513" t="str">
        <f>"20190303161905594"</f>
        <v>20190303161905594</v>
      </c>
      <c r="B1513" t="str">
        <f>"1551601145583915"</f>
        <v>1551601145583915</v>
      </c>
      <c r="C1513" t="s">
        <v>40</v>
      </c>
      <c r="D1513">
        <v>4.8380289999999997</v>
      </c>
      <c r="E1513">
        <v>0.52455689999999999</v>
      </c>
      <c r="F1513" t="s">
        <v>41</v>
      </c>
      <c r="G1513">
        <v>-211.88589999999999</v>
      </c>
      <c r="H1513" s="1">
        <v>-4.1036150000000002E-6</v>
      </c>
      <c r="I1513">
        <v>366.00639999999999</v>
      </c>
      <c r="J1513">
        <v>-231.48179999999999</v>
      </c>
      <c r="K1513">
        <v>1.121705</v>
      </c>
      <c r="L1513">
        <v>367.5573</v>
      </c>
      <c r="M1513">
        <v>0.99988699999999997</v>
      </c>
      <c r="N1513">
        <v>-1.422109E-2</v>
      </c>
      <c r="O1513">
        <v>4.8721939999999998E-3</v>
      </c>
      <c r="P1513">
        <v>0.98808039999999997</v>
      </c>
      <c r="Q1513">
        <v>0.15248539999999999</v>
      </c>
      <c r="R1513">
        <v>-2.110445E-2</v>
      </c>
      <c r="S1513">
        <v>3.0581209999999999</v>
      </c>
      <c r="T1513">
        <v>-0.1742715</v>
      </c>
      <c r="U1513">
        <v>-0.24087520000000001</v>
      </c>
      <c r="V1513">
        <v>2.592537E-2</v>
      </c>
      <c r="W1513">
        <v>0.16651879999999999</v>
      </c>
      <c r="X1513">
        <v>0.98569739999999995</v>
      </c>
      <c r="Y1513">
        <v>8.3206970000000005E-2</v>
      </c>
      <c r="Z1513">
        <v>-3.1663170000000001E-3</v>
      </c>
      <c r="AA1513">
        <v>0.9965273</v>
      </c>
      <c r="AB1513">
        <v>19</v>
      </c>
      <c r="AC1513">
        <v>19.5959</v>
      </c>
      <c r="AD1513">
        <v>-1.121709103615</v>
      </c>
      <c r="AE1513">
        <v>-1.5509000000000099</v>
      </c>
      <c r="AF1513">
        <v>1.6410226850971901</v>
      </c>
      <c r="AG1513">
        <v>-1.121709103615</v>
      </c>
      <c r="AH1513">
        <v>19.524533483610199</v>
      </c>
      <c r="AI1513">
        <v>93.276572802650406</v>
      </c>
      <c r="AJ1513">
        <v>85.195623773015001</v>
      </c>
      <c r="AK1513">
        <v>19.625457816793801</v>
      </c>
      <c r="AL1513">
        <v>80.414523978007693</v>
      </c>
      <c r="AM1513">
        <v>88.493379506773095</v>
      </c>
      <c r="AN1513">
        <v>0.99999999996491795</v>
      </c>
    </row>
    <row r="1514" spans="1:40" x14ac:dyDescent="0.25">
      <c r="A1514" t="str">
        <f>"20190303161905607"</f>
        <v>20190303161905607</v>
      </c>
      <c r="B1514" t="str">
        <f>"1551601145593675"</f>
        <v>1551601145593675</v>
      </c>
      <c r="C1514" t="s">
        <v>40</v>
      </c>
      <c r="D1514">
        <v>4.8590350000000004</v>
      </c>
      <c r="E1514">
        <v>0.52465620000000002</v>
      </c>
      <c r="F1514" t="s">
        <v>41</v>
      </c>
      <c r="G1514">
        <v>-211.88239999999999</v>
      </c>
      <c r="H1514" s="1">
        <v>-4.1054340000000002E-6</v>
      </c>
      <c r="I1514">
        <v>366.00439999999998</v>
      </c>
      <c r="J1514">
        <v>-231.37280000000001</v>
      </c>
      <c r="K1514">
        <v>1.121702</v>
      </c>
      <c r="L1514">
        <v>367.55779999999999</v>
      </c>
      <c r="M1514">
        <v>0.99988719999999998</v>
      </c>
      <c r="N1514">
        <v>-1.4218430000000001E-2</v>
      </c>
      <c r="O1514">
        <v>4.8720350000000003E-3</v>
      </c>
      <c r="P1514">
        <v>0.98814299999999999</v>
      </c>
      <c r="Q1514">
        <v>0.1520542</v>
      </c>
      <c r="R1514">
        <v>-2.1281950000000001E-2</v>
      </c>
      <c r="S1514">
        <v>3.058014</v>
      </c>
      <c r="T1514">
        <v>-0.17501539999999999</v>
      </c>
      <c r="U1514">
        <v>-0.2422791</v>
      </c>
      <c r="V1514">
        <v>2.610318E-2</v>
      </c>
      <c r="W1514">
        <v>0.16608619999999999</v>
      </c>
      <c r="X1514">
        <v>0.98576569999999997</v>
      </c>
      <c r="Y1514">
        <v>8.3661890000000003E-2</v>
      </c>
      <c r="Z1514">
        <v>-3.1937649999999999E-3</v>
      </c>
      <c r="AA1514">
        <v>0.99648910000000002</v>
      </c>
      <c r="AB1514">
        <v>19</v>
      </c>
      <c r="AC1514">
        <v>19.490400000000001</v>
      </c>
      <c r="AD1514">
        <v>-1.1217061054340001</v>
      </c>
      <c r="AE1514">
        <v>-1.5534000000000101</v>
      </c>
      <c r="AF1514">
        <v>1.64294165218465</v>
      </c>
      <c r="AG1514">
        <v>-1.1217061054340001</v>
      </c>
      <c r="AH1514">
        <v>19.418687044649499</v>
      </c>
      <c r="AI1514">
        <v>93.294231278627507</v>
      </c>
      <c r="AJ1514">
        <v>85.1639380797603</v>
      </c>
      <c r="AK1514">
        <v>19.520319884609801</v>
      </c>
      <c r="AL1514">
        <v>80.439660242214998</v>
      </c>
      <c r="AM1514">
        <v>88.483156167019402</v>
      </c>
      <c r="AN1514">
        <v>1.0000000085665199</v>
      </c>
    </row>
    <row r="1515" spans="1:40" x14ac:dyDescent="0.25">
      <c r="A1515" t="str">
        <f>"20190303161905619"</f>
        <v>20190303161905619</v>
      </c>
      <c r="B1515" t="str">
        <f>"1551601145614171"</f>
        <v>1551601145614171</v>
      </c>
      <c r="C1515" t="s">
        <v>40</v>
      </c>
      <c r="D1515">
        <v>4.8078070000000004</v>
      </c>
      <c r="E1515">
        <v>0.5248718</v>
      </c>
      <c r="F1515" t="s">
        <v>41</v>
      </c>
      <c r="G1515">
        <v>-211.9376</v>
      </c>
      <c r="H1515" s="1">
        <v>-4.0808360000000001E-6</v>
      </c>
      <c r="I1515">
        <v>366.00979999999998</v>
      </c>
      <c r="J1515">
        <v>-231.2672</v>
      </c>
      <c r="K1515">
        <v>1.1217029999999999</v>
      </c>
      <c r="L1515">
        <v>367.55829999999997</v>
      </c>
      <c r="M1515">
        <v>0.99988710000000003</v>
      </c>
      <c r="N1515">
        <v>-1.421585E-2</v>
      </c>
      <c r="O1515">
        <v>4.8720530000000003E-3</v>
      </c>
      <c r="P1515">
        <v>0.98821530000000002</v>
      </c>
      <c r="Q1515">
        <v>0.1515628</v>
      </c>
      <c r="R1515">
        <v>-2.1430870000000001E-2</v>
      </c>
      <c r="S1515">
        <v>3.0579070000000002</v>
      </c>
      <c r="T1515">
        <v>-0.17648710000000001</v>
      </c>
      <c r="U1515">
        <v>-0.24356079999999999</v>
      </c>
      <c r="V1515">
        <v>2.6252350000000001E-2</v>
      </c>
      <c r="W1515">
        <v>0.1655935</v>
      </c>
      <c r="X1515">
        <v>0.98584459999999996</v>
      </c>
      <c r="Y1515">
        <v>8.4076170000000006E-2</v>
      </c>
      <c r="Z1515">
        <v>-3.231004E-3</v>
      </c>
      <c r="AA1515">
        <v>0.99645410000000001</v>
      </c>
      <c r="AB1515">
        <v>19</v>
      </c>
      <c r="AC1515">
        <v>19.329599999999999</v>
      </c>
      <c r="AD1515">
        <v>-1.1217070808359999</v>
      </c>
      <c r="AE1515">
        <v>-1.54849999999998</v>
      </c>
      <c r="AF1515">
        <v>1.63718782499251</v>
      </c>
      <c r="AG1515">
        <v>-1.1217070808359999</v>
      </c>
      <c r="AH1515">
        <v>19.2573888446205</v>
      </c>
      <c r="AI1515">
        <v>93.3216504359428</v>
      </c>
      <c r="AJ1515">
        <v>85.140622036943697</v>
      </c>
      <c r="AK1515">
        <v>19.359381081595</v>
      </c>
      <c r="AL1515">
        <v>80.468286031967196</v>
      </c>
      <c r="AM1515">
        <v>88.474614084155107</v>
      </c>
      <c r="AN1515">
        <v>0.99999998423596603</v>
      </c>
    </row>
    <row r="1516" spans="1:40" x14ac:dyDescent="0.25">
      <c r="A1516" t="str">
        <f>"20190303161905634"</f>
        <v>20190303161905634</v>
      </c>
      <c r="B1516" t="str">
        <f>"1551601145623931"</f>
        <v>1551601145623931</v>
      </c>
      <c r="C1516" t="s">
        <v>40</v>
      </c>
      <c r="D1516">
        <v>4.8421130000000003</v>
      </c>
      <c r="E1516">
        <v>0.52498250000000002</v>
      </c>
      <c r="F1516" t="s">
        <v>41</v>
      </c>
      <c r="G1516">
        <v>-212.0762</v>
      </c>
      <c r="H1516" s="1">
        <v>-4.0201900000000002E-6</v>
      </c>
      <c r="I1516">
        <v>366.0163</v>
      </c>
      <c r="J1516">
        <v>-231.142</v>
      </c>
      <c r="K1516">
        <v>1.1216950000000001</v>
      </c>
      <c r="L1516">
        <v>367.55889999999999</v>
      </c>
      <c r="M1516">
        <v>0.99988730000000003</v>
      </c>
      <c r="N1516">
        <v>-1.4212850000000001E-2</v>
      </c>
      <c r="O1516">
        <v>4.8717769999999999E-3</v>
      </c>
      <c r="P1516">
        <v>0.98828879999999997</v>
      </c>
      <c r="Q1516">
        <v>0.15110879999999999</v>
      </c>
      <c r="R1516">
        <v>-2.1260580000000001E-2</v>
      </c>
      <c r="S1516">
        <v>3.0578609999999999</v>
      </c>
      <c r="T1516">
        <v>-0.1787308</v>
      </c>
      <c r="U1516">
        <v>-0.245697</v>
      </c>
      <c r="V1516">
        <v>2.6081960000000001E-2</v>
      </c>
      <c r="W1516">
        <v>0.16513729999999999</v>
      </c>
      <c r="X1516">
        <v>0.98592570000000002</v>
      </c>
      <c r="Y1516">
        <v>8.4763160000000004E-2</v>
      </c>
      <c r="Z1516">
        <v>-3.2900820000000002E-3</v>
      </c>
      <c r="AA1516">
        <v>0.9963957</v>
      </c>
      <c r="AB1516">
        <v>19</v>
      </c>
      <c r="AC1516">
        <v>19.065799999999999</v>
      </c>
      <c r="AD1516">
        <v>-1.1216990201899999</v>
      </c>
      <c r="AE1516">
        <v>-1.54259999999999</v>
      </c>
      <c r="AF1516">
        <v>1.6298705586905</v>
      </c>
      <c r="AG1516">
        <v>-1.1216990201899999</v>
      </c>
      <c r="AH1516">
        <v>18.992745192819399</v>
      </c>
      <c r="AI1516">
        <v>93.367576398847405</v>
      </c>
      <c r="AJ1516">
        <v>85.095154831605001</v>
      </c>
      <c r="AK1516">
        <v>19.0955245198802</v>
      </c>
      <c r="AL1516">
        <v>80.494789800374406</v>
      </c>
      <c r="AM1516">
        <v>88.484634520955694</v>
      </c>
      <c r="AN1516">
        <v>1.0000000412046099</v>
      </c>
    </row>
    <row r="1517" spans="1:40" x14ac:dyDescent="0.25">
      <c r="A1517" t="str">
        <f>"20190303161905648"</f>
        <v>20190303161905648</v>
      </c>
      <c r="B1517" t="str">
        <f>"1551601145644427"</f>
        <v>1551601145644427</v>
      </c>
      <c r="C1517" t="s">
        <v>40</v>
      </c>
      <c r="D1517">
        <v>4.8584370000000003</v>
      </c>
      <c r="E1517">
        <v>0.52521229999999997</v>
      </c>
      <c r="F1517" t="s">
        <v>41</v>
      </c>
      <c r="G1517">
        <v>-212.10640000000001</v>
      </c>
      <c r="H1517" s="1">
        <v>-4.0049889999999997E-6</v>
      </c>
      <c r="I1517">
        <v>366.029</v>
      </c>
      <c r="J1517">
        <v>-231.0223</v>
      </c>
      <c r="K1517">
        <v>1.1216950000000001</v>
      </c>
      <c r="L1517">
        <v>367.55950000000001</v>
      </c>
      <c r="M1517">
        <v>0.99988719999999998</v>
      </c>
      <c r="N1517">
        <v>-1.421E-2</v>
      </c>
      <c r="O1517">
        <v>4.8719159999999996E-3</v>
      </c>
      <c r="P1517">
        <v>0.98831190000000002</v>
      </c>
      <c r="Q1517">
        <v>0.15095520000000001</v>
      </c>
      <c r="R1517">
        <v>-2.126898E-2</v>
      </c>
      <c r="S1517">
        <v>3.0578159999999999</v>
      </c>
      <c r="T1517">
        <v>-0.1801854</v>
      </c>
      <c r="U1517">
        <v>-0.24575810000000001</v>
      </c>
      <c r="V1517">
        <v>2.609061E-2</v>
      </c>
      <c r="W1517">
        <v>0.16498160000000001</v>
      </c>
      <c r="X1517">
        <v>0.98595149999999998</v>
      </c>
      <c r="Y1517">
        <v>8.4781460000000003E-2</v>
      </c>
      <c r="Z1517">
        <v>-3.313084E-3</v>
      </c>
      <c r="AA1517">
        <v>0.996394</v>
      </c>
      <c r="AB1517">
        <v>19</v>
      </c>
      <c r="AC1517">
        <v>18.915899999999901</v>
      </c>
      <c r="AD1517">
        <v>-1.1216990049889899</v>
      </c>
      <c r="AE1517">
        <v>-1.53050000000001</v>
      </c>
      <c r="AF1517">
        <v>1.6169987731209601</v>
      </c>
      <c r="AG1517">
        <v>-1.1216990049889899</v>
      </c>
      <c r="AH1517">
        <v>18.842391736005499</v>
      </c>
      <c r="AI1517">
        <v>93.394384978643401</v>
      </c>
      <c r="AJ1517">
        <v>85.095061676731902</v>
      </c>
      <c r="AK1517">
        <v>18.9448837426667</v>
      </c>
      <c r="AL1517">
        <v>80.503834464181296</v>
      </c>
      <c r="AM1517">
        <v>88.484171837348399</v>
      </c>
      <c r="AN1517">
        <v>1.00000000431049</v>
      </c>
    </row>
    <row r="1518" spans="1:40" x14ac:dyDescent="0.25">
      <c r="A1518" t="str">
        <f>"20190303161905660"</f>
        <v>20190303161905660</v>
      </c>
      <c r="B1518" t="str">
        <f>"1551601145654188"</f>
        <v>1551601145654188</v>
      </c>
      <c r="C1518" t="s">
        <v>40</v>
      </c>
      <c r="D1518">
        <v>4.8275410000000001</v>
      </c>
      <c r="E1518">
        <v>0.52531870000000003</v>
      </c>
      <c r="F1518" t="s">
        <v>41</v>
      </c>
      <c r="G1518">
        <v>-212.0727</v>
      </c>
      <c r="H1518" s="1">
        <v>-4.0204279999999996E-6</v>
      </c>
      <c r="I1518">
        <v>366.02359999999999</v>
      </c>
      <c r="J1518">
        <v>-230.91630000000001</v>
      </c>
      <c r="K1518">
        <v>1.121694</v>
      </c>
      <c r="L1518">
        <v>367.56</v>
      </c>
      <c r="M1518">
        <v>0.99988719999999998</v>
      </c>
      <c r="N1518">
        <v>-1.420747E-2</v>
      </c>
      <c r="O1518">
        <v>4.8718149999999998E-3</v>
      </c>
      <c r="P1518">
        <v>0.98832189999999998</v>
      </c>
      <c r="Q1518">
        <v>0.15087449999999999</v>
      </c>
      <c r="R1518">
        <v>-2.1376059999999999E-2</v>
      </c>
      <c r="S1518">
        <v>3.0577700000000001</v>
      </c>
      <c r="T1518">
        <v>-0.18100040000000001</v>
      </c>
      <c r="U1518">
        <v>-0.24783330000000001</v>
      </c>
      <c r="V1518">
        <v>2.6197729999999999E-2</v>
      </c>
      <c r="W1518">
        <v>0.16489789999999999</v>
      </c>
      <c r="X1518">
        <v>0.98596260000000002</v>
      </c>
      <c r="Y1518">
        <v>8.54513999999999E-2</v>
      </c>
      <c r="Z1518">
        <v>-3.3500679999999999E-3</v>
      </c>
      <c r="AA1518">
        <v>0.99633669999999996</v>
      </c>
      <c r="AB1518">
        <v>19</v>
      </c>
      <c r="AC1518">
        <v>18.843599999999999</v>
      </c>
      <c r="AD1518">
        <v>-1.121698020428</v>
      </c>
      <c r="AE1518">
        <v>-1.53640000000001</v>
      </c>
      <c r="AF1518">
        <v>1.6224823736048799</v>
      </c>
      <c r="AG1518">
        <v>-1.121698020428</v>
      </c>
      <c r="AH1518">
        <v>18.769820155311798</v>
      </c>
      <c r="AI1518">
        <v>93.407293833504099</v>
      </c>
      <c r="AJ1518">
        <v>85.0595750667581</v>
      </c>
      <c r="AK1518">
        <v>18.873176843458001</v>
      </c>
      <c r="AL1518">
        <v>80.508696133913304</v>
      </c>
      <c r="AM1518">
        <v>88.477968363022597</v>
      </c>
      <c r="AN1518">
        <v>0.99999994354015898</v>
      </c>
    </row>
    <row r="1519" spans="1:40" x14ac:dyDescent="0.25">
      <c r="A1519" t="str">
        <f>"20190303161905671"</f>
        <v>20190303161905671</v>
      </c>
      <c r="B1519" t="str">
        <f>"1551601145663947"</f>
        <v>1551601145663947</v>
      </c>
      <c r="C1519" t="s">
        <v>40</v>
      </c>
      <c r="D1519">
        <v>4.8398099999999999</v>
      </c>
      <c r="E1519">
        <v>0.52536149999999904</v>
      </c>
      <c r="F1519" t="s">
        <v>41</v>
      </c>
      <c r="G1519">
        <v>-211.9906</v>
      </c>
      <c r="H1519" s="1">
        <v>-4.056606E-6</v>
      </c>
      <c r="I1519">
        <v>366.0181</v>
      </c>
      <c r="J1519">
        <v>-230.8184</v>
      </c>
      <c r="K1519">
        <v>1.1216919999999999</v>
      </c>
      <c r="L1519">
        <v>367.56049999999999</v>
      </c>
      <c r="M1519">
        <v>0.99988730000000003</v>
      </c>
      <c r="N1519">
        <v>-1.420508E-2</v>
      </c>
      <c r="O1519">
        <v>4.8716539999999996E-3</v>
      </c>
      <c r="P1519">
        <v>0.98837430000000004</v>
      </c>
      <c r="Q1519">
        <v>0.15052929999999901</v>
      </c>
      <c r="R1519">
        <v>-2.13869E-2</v>
      </c>
      <c r="S1519">
        <v>3.0577239999999999</v>
      </c>
      <c r="T1519">
        <v>-0.181226</v>
      </c>
      <c r="U1519">
        <v>-0.249115</v>
      </c>
      <c r="V1519">
        <v>2.6208599999999999E-2</v>
      </c>
      <c r="W1519">
        <v>0.16455129999999901</v>
      </c>
      <c r="X1519">
        <v>0.98602029999999996</v>
      </c>
      <c r="Y1519">
        <v>8.5866029999999996E-2</v>
      </c>
      <c r="Z1519">
        <v>-3.3686839999999998E-3</v>
      </c>
      <c r="AA1519">
        <v>0.99630099999999999</v>
      </c>
      <c r="AB1519">
        <v>19</v>
      </c>
      <c r="AC1519">
        <v>18.8278</v>
      </c>
      <c r="AD1519">
        <v>-1.1216960566059999</v>
      </c>
      <c r="AE1519">
        <v>-1.54239999999998</v>
      </c>
      <c r="AF1519">
        <v>1.6283723043771701</v>
      </c>
      <c r="AG1519">
        <v>-1.1216960566059999</v>
      </c>
      <c r="AH1519">
        <v>18.7539408132006</v>
      </c>
      <c r="AI1519">
        <v>93.410052808417902</v>
      </c>
      <c r="AJ1519">
        <v>85.037552283507196</v>
      </c>
      <c r="AK1519">
        <v>18.857892099333299</v>
      </c>
      <c r="AL1519">
        <v>80.528830680725406</v>
      </c>
      <c r="AM1519">
        <v>88.477426198037904</v>
      </c>
      <c r="AN1519">
        <v>1.00000002652886</v>
      </c>
    </row>
    <row r="1520" spans="1:40" x14ac:dyDescent="0.25">
      <c r="A1520" t="str">
        <f>"20190303161905684"</f>
        <v>20190303161905684</v>
      </c>
      <c r="B1520" t="str">
        <f>"1551601145673707"</f>
        <v>1551601145673707</v>
      </c>
      <c r="C1520" t="s">
        <v>40</v>
      </c>
      <c r="D1520">
        <v>4.8380229999999997</v>
      </c>
      <c r="E1520">
        <v>0.52541719999999903</v>
      </c>
      <c r="F1520" t="s">
        <v>41</v>
      </c>
      <c r="G1520">
        <v>-212.04419999999999</v>
      </c>
      <c r="H1520" s="1">
        <v>-4.0315359999999996E-6</v>
      </c>
      <c r="I1520">
        <v>366.02980000000002</v>
      </c>
      <c r="J1520">
        <v>-230.71690000000001</v>
      </c>
      <c r="K1520">
        <v>1.121691</v>
      </c>
      <c r="L1520">
        <v>367.56099999999998</v>
      </c>
      <c r="M1520">
        <v>0.99988739999999998</v>
      </c>
      <c r="N1520">
        <v>-1.4202559999999999E-2</v>
      </c>
      <c r="O1520">
        <v>4.8716719999999996E-3</v>
      </c>
      <c r="P1520">
        <v>0.98839399999999999</v>
      </c>
      <c r="Q1520">
        <v>0.15038570000000001</v>
      </c>
      <c r="R1520">
        <v>-2.1488779999999999E-2</v>
      </c>
      <c r="S1520">
        <v>3.0576780000000001</v>
      </c>
      <c r="T1520">
        <v>-0.18268599999999999</v>
      </c>
      <c r="U1520">
        <v>-0.24929809999999999</v>
      </c>
      <c r="V1520">
        <v>2.6310460000000001E-2</v>
      </c>
      <c r="W1520">
        <v>0.16440550000000001</v>
      </c>
      <c r="X1520">
        <v>0.98604190000000003</v>
      </c>
      <c r="Y1520">
        <v>8.5923570000000005E-2</v>
      </c>
      <c r="Z1520">
        <v>-3.3934880000000001E-3</v>
      </c>
      <c r="AA1520">
        <v>0.99629590000000001</v>
      </c>
      <c r="AB1520">
        <v>19</v>
      </c>
      <c r="AC1520">
        <v>18.672699999999999</v>
      </c>
      <c r="AD1520">
        <v>-1.1216950315359999</v>
      </c>
      <c r="AE1520">
        <v>-1.5311999999999499</v>
      </c>
      <c r="AF1520">
        <v>1.6163644524270899</v>
      </c>
      <c r="AG1520">
        <v>-1.1216950315359999</v>
      </c>
      <c r="AH1520">
        <v>18.598352904408799</v>
      </c>
      <c r="AI1520">
        <v>93.438485049482395</v>
      </c>
      <c r="AJ1520">
        <v>85.032961033239403</v>
      </c>
      <c r="AK1520">
        <v>18.7021272732214</v>
      </c>
      <c r="AL1520">
        <v>80.537299672771297</v>
      </c>
      <c r="AM1520">
        <v>88.471544967451393</v>
      </c>
      <c r="AN1520">
        <v>1.0000000186456299</v>
      </c>
    </row>
    <row r="1521" spans="1:40" x14ac:dyDescent="0.25">
      <c r="A1521" t="str">
        <f>"20190303161905696"</f>
        <v>20190303161905696</v>
      </c>
      <c r="B1521" t="str">
        <f>"1551601145684444"</f>
        <v>1551601145684444</v>
      </c>
      <c r="C1521" t="s">
        <v>40</v>
      </c>
      <c r="D1521">
        <v>4.8582929999999998</v>
      </c>
      <c r="E1521">
        <v>0.5254877</v>
      </c>
      <c r="F1521" t="s">
        <v>41</v>
      </c>
      <c r="G1521">
        <v>-212.02099999999999</v>
      </c>
      <c r="H1521" s="1">
        <v>-4.0415080000000004E-6</v>
      </c>
      <c r="I1521">
        <v>366.02980000000002</v>
      </c>
      <c r="J1521">
        <v>-230.61369999999999</v>
      </c>
      <c r="K1521">
        <v>1.121691</v>
      </c>
      <c r="L1521">
        <v>367.56150000000002</v>
      </c>
      <c r="M1521">
        <v>0.99988730000000003</v>
      </c>
      <c r="N1521">
        <v>-1.4199929999999999E-2</v>
      </c>
      <c r="O1521">
        <v>4.871691E-3</v>
      </c>
      <c r="P1521">
        <v>0.98838930000000003</v>
      </c>
      <c r="Q1521">
        <v>0.15043879999999901</v>
      </c>
      <c r="R1521">
        <v>-2.1327019999999999E-2</v>
      </c>
      <c r="S1521">
        <v>3.0576780000000001</v>
      </c>
      <c r="T1521">
        <v>-0.1834499</v>
      </c>
      <c r="U1521">
        <v>-0.25042720000000002</v>
      </c>
      <c r="V1521">
        <v>2.6148910000000001E-2</v>
      </c>
      <c r="W1521">
        <v>0.1644562</v>
      </c>
      <c r="X1521">
        <v>0.98603770000000002</v>
      </c>
      <c r="Y1521">
        <v>8.6286790000000002E-2</v>
      </c>
      <c r="Z1521">
        <v>-3.4187129999999999E-3</v>
      </c>
      <c r="AA1521">
        <v>0.9962645</v>
      </c>
      <c r="AB1521">
        <v>19</v>
      </c>
      <c r="AC1521">
        <v>18.592700000000001</v>
      </c>
      <c r="AD1521">
        <v>-1.121695041508</v>
      </c>
      <c r="AE1521">
        <v>-1.5317000000000001</v>
      </c>
      <c r="AF1521">
        <v>1.61642521218915</v>
      </c>
      <c r="AG1521">
        <v>-1.121695041508</v>
      </c>
      <c r="AH1521">
        <v>18.518070862571999</v>
      </c>
      <c r="AI1521">
        <v>93.453242887203203</v>
      </c>
      <c r="AJ1521">
        <v>85.011349107715901</v>
      </c>
      <c r="AK1521">
        <v>18.622297890002201</v>
      </c>
      <c r="AL1521">
        <v>80.534354289082302</v>
      </c>
      <c r="AM1521">
        <v>88.480919022333097</v>
      </c>
      <c r="AN1521">
        <v>0.99999997651695804</v>
      </c>
    </row>
    <row r="1522" spans="1:40" x14ac:dyDescent="0.25">
      <c r="A1522" t="str">
        <f>"20190303161905708"</f>
        <v>20190303161905708</v>
      </c>
      <c r="B1522" t="str">
        <f>"1551601145703964"</f>
        <v>1551601145703964</v>
      </c>
      <c r="C1522" t="s">
        <v>40</v>
      </c>
      <c r="D1522">
        <v>4.874333</v>
      </c>
      <c r="E1522">
        <v>0.53714280000000003</v>
      </c>
      <c r="F1522" t="s">
        <v>41</v>
      </c>
      <c r="G1522">
        <v>-211.97929999999999</v>
      </c>
      <c r="H1522" s="1">
        <v>-4.0582179999999996E-6</v>
      </c>
      <c r="I1522">
        <v>366.03649999999999</v>
      </c>
      <c r="J1522">
        <v>-230.50880000000001</v>
      </c>
      <c r="K1522">
        <v>1.1216930000000001</v>
      </c>
      <c r="L1522">
        <v>367.56200000000001</v>
      </c>
      <c r="M1522">
        <v>0.99988750000000004</v>
      </c>
      <c r="N1522">
        <v>-1.419723E-2</v>
      </c>
      <c r="O1522">
        <v>4.8713519999999998E-3</v>
      </c>
      <c r="P1522">
        <v>0.9883729</v>
      </c>
      <c r="Q1522">
        <v>0.150559</v>
      </c>
      <c r="R1522">
        <v>-2.1242609999999999E-2</v>
      </c>
      <c r="S1522">
        <v>3.0578609999999999</v>
      </c>
      <c r="T1522">
        <v>-0.18406610000000001</v>
      </c>
      <c r="U1522">
        <v>-0.25024410000000002</v>
      </c>
      <c r="V1522">
        <v>2.6063960000000001E-2</v>
      </c>
      <c r="W1522">
        <v>0.16457339999999901</v>
      </c>
      <c r="X1522">
        <v>0.98602040000000002</v>
      </c>
      <c r="Y1522">
        <v>8.6221309999999995E-2</v>
      </c>
      <c r="Z1522">
        <v>-3.4256349999999998E-3</v>
      </c>
      <c r="AA1522">
        <v>0.99627010000000005</v>
      </c>
      <c r="AB1522">
        <v>19</v>
      </c>
      <c r="AC1522">
        <v>18.529499999999999</v>
      </c>
      <c r="AD1522">
        <v>-1.1216970582179999</v>
      </c>
      <c r="AE1522">
        <v>-1.5254999999999601</v>
      </c>
      <c r="AF1522">
        <v>1.6098948329096501</v>
      </c>
      <c r="AG1522">
        <v>-1.1216970582179999</v>
      </c>
      <c r="AH1522">
        <v>18.454674838694299</v>
      </c>
      <c r="AI1522">
        <v>93.465099091557406</v>
      </c>
      <c r="AJ1522">
        <v>85.014419842402205</v>
      </c>
      <c r="AK1522">
        <v>18.558690391980299</v>
      </c>
      <c r="AL1522">
        <v>80.527546512984003</v>
      </c>
      <c r="AM1522">
        <v>88.485825207912399</v>
      </c>
      <c r="AN1522">
        <v>0.99999998160729997</v>
      </c>
    </row>
    <row r="1523" spans="1:40" x14ac:dyDescent="0.25">
      <c r="A1523" t="str">
        <f>"20190303161905722"</f>
        <v>20190303161905722</v>
      </c>
      <c r="B1523" t="str">
        <f>"1551601145713723"</f>
        <v>1551601145713723</v>
      </c>
      <c r="C1523" t="s">
        <v>40</v>
      </c>
      <c r="D1523">
        <v>4.8720270000000001</v>
      </c>
      <c r="E1523">
        <v>0.53762710000000002</v>
      </c>
      <c r="F1523" t="s">
        <v>42</v>
      </c>
      <c r="G1523">
        <v>-229.65479999999999</v>
      </c>
      <c r="H1523">
        <v>1.0173110000000001</v>
      </c>
      <c r="I1523">
        <v>367.46839999999997</v>
      </c>
      <c r="J1523">
        <v>-230.39510000000001</v>
      </c>
      <c r="K1523">
        <v>1.1216919999999999</v>
      </c>
      <c r="L1523">
        <v>367.5625</v>
      </c>
      <c r="M1523">
        <v>0.99988750000000004</v>
      </c>
      <c r="N1523">
        <v>-1.419428E-2</v>
      </c>
      <c r="O1523">
        <v>4.8715520000000003E-3</v>
      </c>
      <c r="P1523">
        <v>0.98834960000000005</v>
      </c>
      <c r="Q1523">
        <v>0.15068119999999999</v>
      </c>
      <c r="R1523">
        <v>-2.1465399999999999E-2</v>
      </c>
      <c r="S1523">
        <v>3.0855100000000002</v>
      </c>
      <c r="T1523">
        <v>-0.37722420000000001</v>
      </c>
      <c r="U1523">
        <v>-0.3375244</v>
      </c>
      <c r="V1523">
        <v>2.6286879999999999E-2</v>
      </c>
      <c r="W1523">
        <v>0.16469239999999999</v>
      </c>
      <c r="X1523">
        <v>0.98599460000000005</v>
      </c>
      <c r="Y1523">
        <v>0.1126286</v>
      </c>
      <c r="Z1523">
        <v>-8.1670719999999992E-3</v>
      </c>
      <c r="AA1523">
        <v>0.99360360000000003</v>
      </c>
      <c r="AB1523">
        <v>19</v>
      </c>
      <c r="AC1523">
        <v>0.74030000000001905</v>
      </c>
      <c r="AD1523">
        <v>-0.104380999999999</v>
      </c>
      <c r="AE1523">
        <v>-9.4100000000025802E-2</v>
      </c>
      <c r="AF1523">
        <v>9.58307842317285E-2</v>
      </c>
      <c r="AG1523">
        <v>-0.104380999999999</v>
      </c>
      <c r="AH1523">
        <v>0.72563611888986201</v>
      </c>
      <c r="AI1523">
        <v>98.116187153929303</v>
      </c>
      <c r="AJ1523">
        <v>82.476796406888496</v>
      </c>
      <c r="AK1523">
        <v>0.73934207874637503</v>
      </c>
      <c r="AL1523">
        <v>80.520633872075905</v>
      </c>
      <c r="AM1523">
        <v>88.4728409303315</v>
      </c>
      <c r="AN1523">
        <v>0.99999996895352605</v>
      </c>
    </row>
    <row r="1524" spans="1:40" x14ac:dyDescent="0.25">
      <c r="A1524" t="str">
        <f>"20190303161905736"</f>
        <v>20190303161905736</v>
      </c>
      <c r="B1524" t="str">
        <f>"1551601145724459"</f>
        <v>1551601145724459</v>
      </c>
      <c r="C1524" t="s">
        <v>40</v>
      </c>
      <c r="D1524">
        <v>4.8506790000000004</v>
      </c>
      <c r="E1524">
        <v>0.53774350000000004</v>
      </c>
      <c r="F1524" t="s">
        <v>42</v>
      </c>
      <c r="G1524">
        <v>-229.654</v>
      </c>
      <c r="H1524">
        <v>1.0191889999999999</v>
      </c>
      <c r="I1524">
        <v>367.48070000000001</v>
      </c>
      <c r="J1524">
        <v>-230.27719999999999</v>
      </c>
      <c r="K1524">
        <v>1.1217010000000001</v>
      </c>
      <c r="L1524">
        <v>367.56310000000002</v>
      </c>
      <c r="M1524">
        <v>0.99988750000000004</v>
      </c>
      <c r="N1524">
        <v>-1.4191250000000001E-2</v>
      </c>
      <c r="O1524">
        <v>4.8717530000000004E-3</v>
      </c>
      <c r="P1524">
        <v>0.98828819999999995</v>
      </c>
      <c r="Q1524">
        <v>0.15114610000000001</v>
      </c>
      <c r="R1524">
        <v>-2.1011479999999999E-2</v>
      </c>
      <c r="S1524">
        <v>3.0932010000000001</v>
      </c>
      <c r="T1524">
        <v>-0.42798730000000001</v>
      </c>
      <c r="U1524">
        <v>-0.3408813</v>
      </c>
      <c r="V1524">
        <v>2.5832899999999999E-2</v>
      </c>
      <c r="W1524">
        <v>0.1651533</v>
      </c>
      <c r="X1524">
        <v>0.98592950000000001</v>
      </c>
      <c r="Y1524">
        <v>0.1131682</v>
      </c>
      <c r="Z1524">
        <v>-9.1788010000000003E-3</v>
      </c>
      <c r="AA1524">
        <v>0.99353340000000001</v>
      </c>
      <c r="AB1524">
        <v>19</v>
      </c>
      <c r="AC1524">
        <v>0.623199999999968</v>
      </c>
      <c r="AD1524">
        <v>-0.10251200000000001</v>
      </c>
      <c r="AE1524">
        <v>-8.2400000000006898E-2</v>
      </c>
      <c r="AF1524">
        <v>8.3222272507041395E-2</v>
      </c>
      <c r="AG1524">
        <v>-0.10251200000000001</v>
      </c>
      <c r="AH1524">
        <v>0.606658255576771</v>
      </c>
      <c r="AI1524">
        <v>99.503771727707402</v>
      </c>
      <c r="AJ1524">
        <v>82.188835926350293</v>
      </c>
      <c r="AK1524">
        <v>0.620861414362889</v>
      </c>
      <c r="AL1524">
        <v>80.493859575070204</v>
      </c>
      <c r="AM1524">
        <v>88.499104072697193</v>
      </c>
      <c r="AN1524">
        <v>0.99999996509677402</v>
      </c>
    </row>
    <row r="1525" spans="1:40" x14ac:dyDescent="0.25">
      <c r="A1525" t="str">
        <f>"20190303161905752"</f>
        <v>20190303161905752</v>
      </c>
      <c r="B1525" t="str">
        <f>"1551601145743979"</f>
        <v>1551601145743979</v>
      </c>
      <c r="C1525" t="s">
        <v>40</v>
      </c>
      <c r="D1525">
        <v>4.8667619999999996</v>
      </c>
      <c r="E1525">
        <v>0.53807839999999996</v>
      </c>
      <c r="F1525" t="s">
        <v>42</v>
      </c>
      <c r="G1525">
        <v>-229.49199999999999</v>
      </c>
      <c r="H1525">
        <v>1.0064660000000001</v>
      </c>
      <c r="I1525">
        <v>367.47649999999999</v>
      </c>
      <c r="J1525">
        <v>-230.14850000000001</v>
      </c>
      <c r="K1525">
        <v>1.121705</v>
      </c>
      <c r="L1525">
        <v>367.56380000000001</v>
      </c>
      <c r="M1525">
        <v>0.99988759999999999</v>
      </c>
      <c r="N1525">
        <v>-1.418795E-2</v>
      </c>
      <c r="O1525">
        <v>4.8715970000000001E-3</v>
      </c>
      <c r="P1525">
        <v>0.98823000000000005</v>
      </c>
      <c r="Q1525">
        <v>0.15152679999999999</v>
      </c>
      <c r="R1525">
        <v>-2.1008909999999999E-2</v>
      </c>
      <c r="S1525">
        <v>3.0979000000000001</v>
      </c>
      <c r="T1525">
        <v>-0.45488070000000003</v>
      </c>
      <c r="U1525">
        <v>-0.34048460000000003</v>
      </c>
      <c r="V1525">
        <v>2.5829899999999999E-2</v>
      </c>
      <c r="W1525">
        <v>0.16552999999999901</v>
      </c>
      <c r="X1525">
        <v>0.98586640000000003</v>
      </c>
      <c r="Y1525">
        <v>0.1127374</v>
      </c>
      <c r="Z1525">
        <v>-9.6561389999999993E-3</v>
      </c>
      <c r="AA1525">
        <v>0.99357790000000001</v>
      </c>
      <c r="AB1525">
        <v>19</v>
      </c>
      <c r="AC1525">
        <v>0.65649999999999398</v>
      </c>
      <c r="AD1525">
        <v>-0.115238999999999</v>
      </c>
      <c r="AE1525">
        <v>-8.7300000000027397E-2</v>
      </c>
      <c r="AF1525">
        <v>8.7837992911716206E-2</v>
      </c>
      <c r="AG1525">
        <v>-0.115238999999999</v>
      </c>
      <c r="AH1525">
        <v>0.636786702601286</v>
      </c>
      <c r="AI1525">
        <v>100.16356917261</v>
      </c>
      <c r="AJ1525">
        <v>82.146214817238501</v>
      </c>
      <c r="AK1525">
        <v>0.65306419648421798</v>
      </c>
      <c r="AL1525">
        <v>80.471975009749698</v>
      </c>
      <c r="AM1525">
        <v>88.499182284313306</v>
      </c>
      <c r="AN1525">
        <v>0.99999996164148397</v>
      </c>
    </row>
    <row r="1526" spans="1:40" x14ac:dyDescent="0.25">
      <c r="A1526" t="str">
        <f>"20190303161905766"</f>
        <v>20190303161905766</v>
      </c>
      <c r="B1526" t="str">
        <f>"1551601145753742"</f>
        <v>1551601145753742</v>
      </c>
      <c r="C1526" t="s">
        <v>40</v>
      </c>
      <c r="D1526">
        <v>4.8618259999999998</v>
      </c>
      <c r="E1526">
        <v>0.5380606</v>
      </c>
      <c r="F1526" t="s">
        <v>42</v>
      </c>
      <c r="G1526">
        <v>-229.3305</v>
      </c>
      <c r="H1526">
        <v>0.99364200000000003</v>
      </c>
      <c r="I1526">
        <v>367.4735</v>
      </c>
      <c r="J1526">
        <v>-230.0284</v>
      </c>
      <c r="K1526">
        <v>1.121707</v>
      </c>
      <c r="L1526">
        <v>367.56439999999998</v>
      </c>
      <c r="M1526">
        <v>0.99988759999999999</v>
      </c>
      <c r="N1526">
        <v>-1.418489E-2</v>
      </c>
      <c r="O1526">
        <v>4.8716189999999998E-3</v>
      </c>
      <c r="P1526">
        <v>0.98816459999999995</v>
      </c>
      <c r="Q1526">
        <v>0.15195510000000001</v>
      </c>
      <c r="R1526">
        <v>-2.0989440000000002E-2</v>
      </c>
      <c r="S1526">
        <v>3.102951</v>
      </c>
      <c r="T1526">
        <v>-0.48579230000000001</v>
      </c>
      <c r="U1526">
        <v>-0.34213259999999901</v>
      </c>
      <c r="V1526">
        <v>2.5810130000000001E-2</v>
      </c>
      <c r="W1526">
        <v>0.16595409999999999</v>
      </c>
      <c r="X1526">
        <v>0.98579570000000005</v>
      </c>
      <c r="Y1526">
        <v>0.1129043</v>
      </c>
      <c r="Z1526">
        <v>-1.0254289999999999E-2</v>
      </c>
      <c r="AA1526">
        <v>0.99355300000000002</v>
      </c>
      <c r="AB1526">
        <v>19</v>
      </c>
      <c r="AC1526">
        <v>0.69790000000000396</v>
      </c>
      <c r="AD1526">
        <v>-0.12806499999999901</v>
      </c>
      <c r="AE1526">
        <v>-9.0899999999976402E-2</v>
      </c>
      <c r="AF1526">
        <v>9.1276920683780405E-2</v>
      </c>
      <c r="AG1526">
        <v>-0.12806499999999901</v>
      </c>
      <c r="AH1526">
        <v>0.67509592537544605</v>
      </c>
      <c r="AI1526">
        <v>100.646689977569</v>
      </c>
      <c r="AJ1526">
        <v>82.299969126047998</v>
      </c>
      <c r="AK1526">
        <v>0.69317142824343403</v>
      </c>
      <c r="AL1526">
        <v>80.447335872387896</v>
      </c>
      <c r="AM1526">
        <v>88.5002229682311</v>
      </c>
      <c r="AN1526">
        <v>1.00000004412795</v>
      </c>
    </row>
    <row r="1527" spans="1:40" x14ac:dyDescent="0.25">
      <c r="A1527" t="str">
        <f>"20190303161905779"</f>
        <v>20190303161905779</v>
      </c>
      <c r="B1527" t="str">
        <f>"1551601145774235"</f>
        <v>1551601145774235</v>
      </c>
      <c r="C1527" t="s">
        <v>40</v>
      </c>
      <c r="D1527">
        <v>4.8674249999999999</v>
      </c>
      <c r="E1527">
        <v>0.53804680000000005</v>
      </c>
      <c r="F1527" t="s">
        <v>42</v>
      </c>
      <c r="G1527">
        <v>-229.167</v>
      </c>
      <c r="H1527">
        <v>0.9851297</v>
      </c>
      <c r="I1527">
        <v>367.46929999999998</v>
      </c>
      <c r="J1527">
        <v>-229.91470000000001</v>
      </c>
      <c r="K1527">
        <v>1.12171</v>
      </c>
      <c r="L1527">
        <v>367.56490000000002</v>
      </c>
      <c r="M1527">
        <v>0.99988759999999999</v>
      </c>
      <c r="N1527">
        <v>-1.418199E-2</v>
      </c>
      <c r="O1527">
        <v>4.87164E-3</v>
      </c>
      <c r="P1527">
        <v>0.98808470000000004</v>
      </c>
      <c r="Q1527">
        <v>0.15247330000000001</v>
      </c>
      <c r="R1527">
        <v>-2.1001059999999998E-2</v>
      </c>
      <c r="S1527">
        <v>3.1044160000000001</v>
      </c>
      <c r="T1527">
        <v>-0.49253960000000002</v>
      </c>
      <c r="U1527">
        <v>-0.34115600000000001</v>
      </c>
      <c r="V1527">
        <v>2.5821259999999999E-2</v>
      </c>
      <c r="W1527">
        <v>0.16646849999999999</v>
      </c>
      <c r="X1527">
        <v>0.98570869999999999</v>
      </c>
      <c r="Y1527">
        <v>0.1125101</v>
      </c>
      <c r="Z1527">
        <v>-1.03467E-2</v>
      </c>
      <c r="AA1527">
        <v>0.9935967</v>
      </c>
      <c r="AB1527">
        <v>19</v>
      </c>
      <c r="AC1527">
        <v>0.74770000000000802</v>
      </c>
      <c r="AD1527">
        <v>-0.13658029999999999</v>
      </c>
      <c r="AE1527">
        <v>-9.5600000000047203E-2</v>
      </c>
      <c r="AF1527">
        <v>9.6087156590868097E-2</v>
      </c>
      <c r="AG1527">
        <v>-0.13658029999999999</v>
      </c>
      <c r="AH1527">
        <v>0.72347327917416304</v>
      </c>
      <c r="AI1527">
        <v>100.59977498089199</v>
      </c>
      <c r="AJ1527">
        <v>82.434611871709805</v>
      </c>
      <c r="AK1527">
        <v>0.74249613176690998</v>
      </c>
      <c r="AL1527">
        <v>80.417447428720195</v>
      </c>
      <c r="AM1527">
        <v>88.499444152018995</v>
      </c>
      <c r="AN1527">
        <v>1.0000000701079601</v>
      </c>
    </row>
    <row r="1528" spans="1:40" x14ac:dyDescent="0.25">
      <c r="A1528" t="str">
        <f>"20190303161905792"</f>
        <v>20190303161905792</v>
      </c>
      <c r="B1528" t="str">
        <f>"1551601145783995"</f>
        <v>1551601145783995</v>
      </c>
      <c r="C1528" t="s">
        <v>40</v>
      </c>
      <c r="D1528">
        <v>4.8799359999999998</v>
      </c>
      <c r="E1528">
        <v>0.53797640000000002</v>
      </c>
      <c r="F1528" t="s">
        <v>42</v>
      </c>
      <c r="G1528">
        <v>-229.15979999999999</v>
      </c>
      <c r="H1528">
        <v>1.000183</v>
      </c>
      <c r="I1528">
        <v>367.48180000000002</v>
      </c>
      <c r="J1528">
        <v>-229.80510000000001</v>
      </c>
      <c r="K1528">
        <v>1.121712</v>
      </c>
      <c r="L1528">
        <v>367.56540000000001</v>
      </c>
      <c r="M1528">
        <v>0.99988770000000005</v>
      </c>
      <c r="N1528">
        <v>-1.417919E-2</v>
      </c>
      <c r="O1528">
        <v>4.8713029999999996E-3</v>
      </c>
      <c r="P1528">
        <v>0.98805829999999994</v>
      </c>
      <c r="Q1528">
        <v>0.1526825</v>
      </c>
      <c r="R1528">
        <v>-2.0715879999999999E-2</v>
      </c>
      <c r="S1528">
        <v>3.1061550000000002</v>
      </c>
      <c r="T1528">
        <v>-0.50032639999999995</v>
      </c>
      <c r="U1528">
        <v>-0.34033200000000002</v>
      </c>
      <c r="V1528">
        <v>2.5535840000000001E-2</v>
      </c>
      <c r="W1528">
        <v>0.166674499999999</v>
      </c>
      <c r="X1528">
        <v>0.98568120000000004</v>
      </c>
      <c r="Y1528">
        <v>0.11214780000000001</v>
      </c>
      <c r="Z1528">
        <v>-1.0459950000000001E-2</v>
      </c>
      <c r="AA1528">
        <v>0.99363650000000003</v>
      </c>
      <c r="AB1528">
        <v>19</v>
      </c>
      <c r="AC1528">
        <v>0.64530000000001997</v>
      </c>
      <c r="AD1528">
        <v>-0.121529</v>
      </c>
      <c r="AE1528">
        <v>-8.3599999999989905E-2</v>
      </c>
      <c r="AF1528">
        <v>8.3818958522958897E-2</v>
      </c>
      <c r="AG1528">
        <v>-0.121529</v>
      </c>
      <c r="AH1528">
        <v>0.62314808150537504</v>
      </c>
      <c r="AI1528">
        <v>100.939438708201</v>
      </c>
      <c r="AJ1528">
        <v>82.339188751755501</v>
      </c>
      <c r="AK1528">
        <v>0.64039710112765402</v>
      </c>
      <c r="AL1528">
        <v>80.405476086270994</v>
      </c>
      <c r="AM1528">
        <v>88.515981977441598</v>
      </c>
      <c r="AN1528">
        <v>0.99999994805409598</v>
      </c>
    </row>
    <row r="1529" spans="1:40" x14ac:dyDescent="0.25">
      <c r="A1529" t="str">
        <f>"20190303161905803"</f>
        <v>20190303161905803</v>
      </c>
      <c r="B1529" t="str">
        <f>"1551601145793755"</f>
        <v>1551601145793755</v>
      </c>
      <c r="C1529" t="s">
        <v>40</v>
      </c>
      <c r="D1529">
        <v>4.8765039999999997</v>
      </c>
      <c r="E1529">
        <v>0.53795930000000003</v>
      </c>
      <c r="F1529" t="s">
        <v>42</v>
      </c>
      <c r="G1529">
        <v>-228.99719999999999</v>
      </c>
      <c r="H1529">
        <v>0.99086419999999997</v>
      </c>
      <c r="I1529">
        <v>367.47699999999998</v>
      </c>
      <c r="J1529">
        <v>-229.71039999999999</v>
      </c>
      <c r="K1529">
        <v>1.121715</v>
      </c>
      <c r="L1529">
        <v>367.5659</v>
      </c>
      <c r="M1529">
        <v>0.99988759999999999</v>
      </c>
      <c r="N1529">
        <v>-1.417677E-2</v>
      </c>
      <c r="O1529">
        <v>4.8713200000000002E-3</v>
      </c>
      <c r="P1529">
        <v>0.98803600000000003</v>
      </c>
      <c r="Q1529">
        <v>0.1528139</v>
      </c>
      <c r="R1529">
        <v>-2.0805830000000001E-2</v>
      </c>
      <c r="S1529">
        <v>3.1069339999999999</v>
      </c>
      <c r="T1529">
        <v>-0.50335920000000001</v>
      </c>
      <c r="U1529">
        <v>-0.33932499999999999</v>
      </c>
      <c r="V1529">
        <v>2.562567E-2</v>
      </c>
      <c r="W1529">
        <v>0.166802799999999</v>
      </c>
      <c r="X1529">
        <v>0.98565720000000001</v>
      </c>
      <c r="Y1529">
        <v>0.1117896</v>
      </c>
      <c r="Z1529">
        <v>-1.0484530000000001E-2</v>
      </c>
      <c r="AA1529">
        <v>0.99367660000000002</v>
      </c>
      <c r="AB1529">
        <v>19</v>
      </c>
      <c r="AC1529">
        <v>0.71319999999999995</v>
      </c>
      <c r="AD1529">
        <v>-0.13085079999999999</v>
      </c>
      <c r="AE1529">
        <v>-8.8900000000023696E-2</v>
      </c>
      <c r="AF1529">
        <v>8.9409918054243198E-2</v>
      </c>
      <c r="AG1529">
        <v>-0.13085079999999999</v>
      </c>
      <c r="AH1529">
        <v>0.68989114210291702</v>
      </c>
      <c r="AI1529">
        <v>100.652623526159</v>
      </c>
      <c r="AJ1529">
        <v>82.615624325398898</v>
      </c>
      <c r="AK1529">
        <v>0.70786005202947699</v>
      </c>
      <c r="AL1529">
        <v>80.398021003634497</v>
      </c>
      <c r="AM1529">
        <v>88.510727598954801</v>
      </c>
      <c r="AN1529">
        <v>0.99999998248131405</v>
      </c>
    </row>
    <row r="1530" spans="1:40" x14ac:dyDescent="0.25">
      <c r="A1530" t="str">
        <f>"20190303161905816"</f>
        <v>20190303161905816</v>
      </c>
      <c r="B1530" t="str">
        <f>"1551601145804491"</f>
        <v>1551601145804491</v>
      </c>
      <c r="C1530" t="s">
        <v>40</v>
      </c>
      <c r="D1530">
        <v>4.8577909999999997</v>
      </c>
      <c r="E1530">
        <v>0.53791389999999994</v>
      </c>
      <c r="F1530" t="s">
        <v>42</v>
      </c>
      <c r="G1530">
        <v>-228.99039999999999</v>
      </c>
      <c r="H1530">
        <v>1.0048429999999999</v>
      </c>
      <c r="I1530">
        <v>367.48700000000002</v>
      </c>
      <c r="J1530">
        <v>-229.61250000000001</v>
      </c>
      <c r="K1530">
        <v>1.121715</v>
      </c>
      <c r="L1530">
        <v>367.56639999999999</v>
      </c>
      <c r="M1530">
        <v>0.99988759999999999</v>
      </c>
      <c r="N1530">
        <v>-1.4174269999999999E-2</v>
      </c>
      <c r="O1530">
        <v>4.8713380000000002E-3</v>
      </c>
      <c r="P1530">
        <v>0.98803949999999996</v>
      </c>
      <c r="Q1530">
        <v>0.15280550000000001</v>
      </c>
      <c r="R1530">
        <v>-2.0701239999999999E-2</v>
      </c>
      <c r="S1530">
        <v>3.107224</v>
      </c>
      <c r="T1530">
        <v>-0.50459109999999996</v>
      </c>
      <c r="U1530">
        <v>-0.33966059999999998</v>
      </c>
      <c r="V1530">
        <v>2.552107E-2</v>
      </c>
      <c r="W1530">
        <v>0.16679249999999901</v>
      </c>
      <c r="X1530">
        <v>0.98566169999999997</v>
      </c>
      <c r="Y1530">
        <v>0.1118772</v>
      </c>
      <c r="Z1530">
        <v>-1.051472E-2</v>
      </c>
      <c r="AA1530">
        <v>0.99366639999999995</v>
      </c>
      <c r="AB1530">
        <v>19</v>
      </c>
      <c r="AC1530">
        <v>0.62210000000001697</v>
      </c>
      <c r="AD1530">
        <v>-0.116872</v>
      </c>
      <c r="AE1530">
        <v>-7.9400000000020995E-2</v>
      </c>
      <c r="AF1530">
        <v>7.9663256274519104E-2</v>
      </c>
      <c r="AG1530">
        <v>-0.116872</v>
      </c>
      <c r="AH1530">
        <v>0.60083968314976799</v>
      </c>
      <c r="AI1530">
        <v>100.91421519651</v>
      </c>
      <c r="AJ1530">
        <v>82.447401303813393</v>
      </c>
      <c r="AK1530">
        <v>0.61726301009518802</v>
      </c>
      <c r="AL1530">
        <v>80.398619946611106</v>
      </c>
      <c r="AM1530">
        <v>88.516810624798893</v>
      </c>
      <c r="AN1530">
        <v>1.0000000249585399</v>
      </c>
    </row>
    <row r="1531" spans="1:40" x14ac:dyDescent="0.25">
      <c r="A1531" t="str">
        <f>"20190303161905829"</f>
        <v>20190303161905829</v>
      </c>
      <c r="B1531" t="str">
        <f>"1551601145824012"</f>
        <v>1551601145824012</v>
      </c>
      <c r="C1531" t="s">
        <v>40</v>
      </c>
      <c r="D1531">
        <v>4.855721</v>
      </c>
      <c r="E1531">
        <v>0.53800130000000002</v>
      </c>
      <c r="F1531" t="s">
        <v>42</v>
      </c>
      <c r="G1531">
        <v>-228.8288</v>
      </c>
      <c r="H1531">
        <v>0.99404780000000004</v>
      </c>
      <c r="I1531">
        <v>367.48079999999999</v>
      </c>
      <c r="J1531">
        <v>-229.49959999999999</v>
      </c>
      <c r="K1531">
        <v>1.1217140000000001</v>
      </c>
      <c r="L1531">
        <v>367.56700000000001</v>
      </c>
      <c r="M1531">
        <v>0.99988779999999999</v>
      </c>
      <c r="N1531">
        <v>-1.4171390000000001E-2</v>
      </c>
      <c r="O1531">
        <v>4.8711800000000001E-3</v>
      </c>
      <c r="P1531">
        <v>0.98803819999999998</v>
      </c>
      <c r="Q1531">
        <v>0.15276789999999901</v>
      </c>
      <c r="R1531">
        <v>-2.1049060000000001E-2</v>
      </c>
      <c r="S1531">
        <v>3.107513</v>
      </c>
      <c r="T1531">
        <v>-0.50639069999999997</v>
      </c>
      <c r="U1531">
        <v>-0.33883669999999999</v>
      </c>
      <c r="V1531">
        <v>2.5868539999999999E-2</v>
      </c>
      <c r="W1531">
        <v>0.1667516</v>
      </c>
      <c r="X1531">
        <v>0.98565950000000002</v>
      </c>
      <c r="Y1531">
        <v>0.1115997</v>
      </c>
      <c r="Z1531">
        <v>-1.0523869999999999E-2</v>
      </c>
      <c r="AA1531">
        <v>0.99369750000000001</v>
      </c>
      <c r="AB1531">
        <v>19</v>
      </c>
      <c r="AC1531">
        <v>0.67079999999998496</v>
      </c>
      <c r="AD1531">
        <v>-0.12766619999999901</v>
      </c>
      <c r="AE1531">
        <v>-8.6199999999962501E-2</v>
      </c>
      <c r="AF1531">
        <v>8.6388604604539801E-2</v>
      </c>
      <c r="AG1531">
        <v>-0.12766619999999901</v>
      </c>
      <c r="AH1531">
        <v>0.64730660498173698</v>
      </c>
      <c r="AI1531">
        <v>101.061445196092</v>
      </c>
      <c r="AJ1531">
        <v>82.398307355725805</v>
      </c>
      <c r="AK1531">
        <v>0.66540776256438605</v>
      </c>
      <c r="AL1531">
        <v>80.4009960346594</v>
      </c>
      <c r="AM1531">
        <v>88.496622815820203</v>
      </c>
      <c r="AN1531">
        <v>0.99999996370226996</v>
      </c>
    </row>
    <row r="1532" spans="1:40" x14ac:dyDescent="0.25">
      <c r="A1532" t="str">
        <f>"20190303161905841"</f>
        <v>20190303161905841</v>
      </c>
      <c r="B1532" t="str">
        <f>"1551601145833772"</f>
        <v>1551601145833772</v>
      </c>
      <c r="C1532" t="s">
        <v>40</v>
      </c>
      <c r="D1532">
        <v>4.8472390000000001</v>
      </c>
      <c r="E1532">
        <v>0.5381051</v>
      </c>
      <c r="F1532" t="s">
        <v>42</v>
      </c>
      <c r="G1532">
        <v>-228.66650000000001</v>
      </c>
      <c r="H1532">
        <v>0.98525320000000005</v>
      </c>
      <c r="I1532">
        <v>367.47539999999998</v>
      </c>
      <c r="J1532">
        <v>-229.3922</v>
      </c>
      <c r="K1532">
        <v>1.1217109999999999</v>
      </c>
      <c r="L1532">
        <v>367.5675</v>
      </c>
      <c r="M1532">
        <v>0.99988790000000005</v>
      </c>
      <c r="N1532">
        <v>-1.416866E-2</v>
      </c>
      <c r="O1532">
        <v>4.8710799999999999E-3</v>
      </c>
      <c r="P1532">
        <v>0.98807100000000003</v>
      </c>
      <c r="Q1532">
        <v>0.15258060000000001</v>
      </c>
      <c r="R1532">
        <v>-2.0865689999999999E-2</v>
      </c>
      <c r="S1532">
        <v>3.1077880000000002</v>
      </c>
      <c r="T1532">
        <v>-0.50919619999999999</v>
      </c>
      <c r="U1532">
        <v>-0.34066770000000002</v>
      </c>
      <c r="V1532">
        <v>2.568527E-2</v>
      </c>
      <c r="W1532">
        <v>0.1665625</v>
      </c>
      <c r="X1532">
        <v>0.98569629999999997</v>
      </c>
      <c r="Y1532">
        <v>0.1121438</v>
      </c>
      <c r="Z1532">
        <v>-1.062424E-2</v>
      </c>
      <c r="AA1532">
        <v>0.99363520000000005</v>
      </c>
      <c r="AB1532">
        <v>19</v>
      </c>
      <c r="AC1532">
        <v>0.72569999999998902</v>
      </c>
      <c r="AD1532">
        <v>-0.13645779999999999</v>
      </c>
      <c r="AE1532">
        <v>-9.2100000000016197E-2</v>
      </c>
      <c r="AF1532">
        <v>9.2418313877070599E-2</v>
      </c>
      <c r="AG1532">
        <v>-0.13645779999999999</v>
      </c>
      <c r="AH1532">
        <v>0.70085498816705405</v>
      </c>
      <c r="AI1532">
        <v>100.925479907482</v>
      </c>
      <c r="AJ1532">
        <v>82.488026578728594</v>
      </c>
      <c r="AK1532">
        <v>0.71997193720266806</v>
      </c>
      <c r="AL1532">
        <v>80.411984668010902</v>
      </c>
      <c r="AM1532">
        <v>88.507324611301001</v>
      </c>
      <c r="AN1532">
        <v>0.99999999766745595</v>
      </c>
    </row>
    <row r="1533" spans="1:40" x14ac:dyDescent="0.25">
      <c r="A1533" t="str">
        <f>"20190303161905854"</f>
        <v>20190303161905854</v>
      </c>
      <c r="B1533" t="str">
        <f>"1551601145844507"</f>
        <v>1551601145844507</v>
      </c>
      <c r="C1533" t="s">
        <v>40</v>
      </c>
      <c r="D1533">
        <v>4.8699760000000003</v>
      </c>
      <c r="E1533">
        <v>0.5381051</v>
      </c>
      <c r="F1533" t="s">
        <v>42</v>
      </c>
      <c r="G1533">
        <v>-228.65860000000001</v>
      </c>
      <c r="H1533">
        <v>1.001609</v>
      </c>
      <c r="I1533">
        <v>367.48680000000002</v>
      </c>
      <c r="J1533">
        <v>-229.2945</v>
      </c>
      <c r="K1533">
        <v>1.1217109999999999</v>
      </c>
      <c r="L1533">
        <v>367.56790000000001</v>
      </c>
      <c r="M1533">
        <v>0.99988790000000005</v>
      </c>
      <c r="N1533">
        <v>-1.416619E-2</v>
      </c>
      <c r="O1533">
        <v>4.8710969999999996E-3</v>
      </c>
      <c r="P1533">
        <v>0.98807909999999999</v>
      </c>
      <c r="Q1533">
        <v>0.152499</v>
      </c>
      <c r="R1533">
        <v>-2.1072750000000001E-2</v>
      </c>
      <c r="S1533">
        <v>3.1075900000000001</v>
      </c>
      <c r="T1533">
        <v>-0.50895829999999997</v>
      </c>
      <c r="U1533">
        <v>-0.34112550000000003</v>
      </c>
      <c r="V1533">
        <v>2.5892450000000001E-2</v>
      </c>
      <c r="W1533">
        <v>0.1664784</v>
      </c>
      <c r="X1533">
        <v>0.9857051</v>
      </c>
      <c r="Y1533">
        <v>0.11229450000000001</v>
      </c>
      <c r="Z1533">
        <v>-1.0633399999999999E-2</v>
      </c>
      <c r="AA1533">
        <v>0.99361809999999995</v>
      </c>
      <c r="AB1533">
        <v>19</v>
      </c>
      <c r="AC1533">
        <v>0.63589999999999203</v>
      </c>
      <c r="AD1533">
        <v>-0.120102</v>
      </c>
      <c r="AE1533">
        <v>-8.1099999999992095E-2</v>
      </c>
      <c r="AF1533">
        <v>8.1341727668390804E-2</v>
      </c>
      <c r="AG1533">
        <v>-0.120102</v>
      </c>
      <c r="AH1533">
        <v>0.613947389382975</v>
      </c>
      <c r="AI1533">
        <v>100.975024317977</v>
      </c>
      <c r="AJ1533">
        <v>82.4528521523672</v>
      </c>
      <c r="AK1533">
        <v>0.63085050843622903</v>
      </c>
      <c r="AL1533">
        <v>80.416871595807905</v>
      </c>
      <c r="AM1533">
        <v>88.495303480246506</v>
      </c>
      <c r="AN1533">
        <v>1.0000000103997799</v>
      </c>
    </row>
    <row r="1534" spans="1:40" x14ac:dyDescent="0.25">
      <c r="A1534" t="str">
        <f>"20190303161905865"</f>
        <v>20190303161905865</v>
      </c>
      <c r="B1534" t="str">
        <f>"1551601145854268"</f>
        <v>1551601145854268</v>
      </c>
      <c r="C1534" t="s">
        <v>40</v>
      </c>
      <c r="D1534">
        <v>4.8734320000000002</v>
      </c>
      <c r="E1534">
        <v>0.55194469999999995</v>
      </c>
      <c r="F1534" t="s">
        <v>42</v>
      </c>
      <c r="G1534">
        <v>-228.4975</v>
      </c>
      <c r="H1534">
        <v>0.99117730000000004</v>
      </c>
      <c r="I1534">
        <v>367.48009999999999</v>
      </c>
      <c r="J1534">
        <v>-229.1953</v>
      </c>
      <c r="K1534">
        <v>1.1217109999999999</v>
      </c>
      <c r="L1534">
        <v>367.56849999999997</v>
      </c>
      <c r="M1534">
        <v>0.99988790000000005</v>
      </c>
      <c r="N1534">
        <v>-1.416369E-2</v>
      </c>
      <c r="O1534">
        <v>4.871116E-3</v>
      </c>
      <c r="P1534">
        <v>0.98811640000000001</v>
      </c>
      <c r="Q1534">
        <v>0.1522635</v>
      </c>
      <c r="R1534">
        <v>-2.1028310000000001E-2</v>
      </c>
      <c r="S1534">
        <v>3.107513</v>
      </c>
      <c r="T1534">
        <v>-0.50927829999999996</v>
      </c>
      <c r="U1534">
        <v>-0.34115600000000001</v>
      </c>
      <c r="V1534">
        <v>2.5848220000000002E-2</v>
      </c>
      <c r="W1534">
        <v>0.166241</v>
      </c>
      <c r="X1534">
        <v>0.98574629999999996</v>
      </c>
      <c r="Y1534">
        <v>0.1123046</v>
      </c>
      <c r="Z1534">
        <v>-1.064054E-2</v>
      </c>
      <c r="AA1534">
        <v>0.99361690000000003</v>
      </c>
      <c r="AB1534">
        <v>19</v>
      </c>
      <c r="AC1534">
        <v>0.69779999999999998</v>
      </c>
      <c r="AD1534">
        <v>-0.130533699999999</v>
      </c>
      <c r="AE1534">
        <v>-8.8399999999978704E-2</v>
      </c>
      <c r="AF1534">
        <v>8.8742040811722295E-2</v>
      </c>
      <c r="AG1534">
        <v>-0.130533699999999</v>
      </c>
      <c r="AH1534">
        <v>0.67414327315797895</v>
      </c>
      <c r="AI1534">
        <v>100.867027032666</v>
      </c>
      <c r="AJ1534">
        <v>82.500885956107496</v>
      </c>
      <c r="AK1534">
        <v>0.69237515075807898</v>
      </c>
      <c r="AL1534">
        <v>80.430665582128299</v>
      </c>
      <c r="AM1534">
        <v>88.497935408008402</v>
      </c>
      <c r="AN1534">
        <v>0.99999998426092895</v>
      </c>
    </row>
    <row r="1535" spans="1:40" x14ac:dyDescent="0.25">
      <c r="A1535" t="str">
        <f>"20190303161905877"</f>
        <v>20190303161905877</v>
      </c>
      <c r="B1535" t="str">
        <f>"1551601145864027"</f>
        <v>1551601145864027</v>
      </c>
      <c r="C1535" t="s">
        <v>40</v>
      </c>
      <c r="D1535">
        <v>4.8280770000000004</v>
      </c>
      <c r="E1535">
        <v>0.55762900000000004</v>
      </c>
      <c r="F1535" t="s">
        <v>42</v>
      </c>
      <c r="G1535">
        <v>-228.31780000000001</v>
      </c>
      <c r="H1535">
        <v>1.017598</v>
      </c>
      <c r="I1535">
        <v>367.43869999999998</v>
      </c>
      <c r="J1535">
        <v>-229.0958</v>
      </c>
      <c r="K1535">
        <v>1.12171</v>
      </c>
      <c r="L1535">
        <v>367.56889999999999</v>
      </c>
      <c r="M1535">
        <v>0.999888</v>
      </c>
      <c r="N1535">
        <v>-1.4161200000000001E-2</v>
      </c>
      <c r="O1535">
        <v>4.8711329999999997E-3</v>
      </c>
      <c r="P1535">
        <v>0.98809420000000003</v>
      </c>
      <c r="Q1535">
        <v>0.15239240000000001</v>
      </c>
      <c r="R1535">
        <v>-2.1143539999999999E-2</v>
      </c>
      <c r="S1535">
        <v>3.0827939999999998</v>
      </c>
      <c r="T1535">
        <v>-0.36589110000000002</v>
      </c>
      <c r="U1535">
        <v>-0.45526119999999998</v>
      </c>
      <c r="V1535">
        <v>2.596327E-2</v>
      </c>
      <c r="W1535">
        <v>0.16636699999999999</v>
      </c>
      <c r="X1535">
        <v>0.98572210000000005</v>
      </c>
      <c r="Y1535">
        <v>0.1497308</v>
      </c>
      <c r="Z1535">
        <v>-1.038203E-2</v>
      </c>
      <c r="AA1535">
        <v>0.98867229999999995</v>
      </c>
      <c r="AB1535">
        <v>19</v>
      </c>
      <c r="AC1535">
        <v>0.77799999999999103</v>
      </c>
      <c r="AD1535">
        <v>-0.104111999999999</v>
      </c>
      <c r="AE1535">
        <v>-0.13020000000000201</v>
      </c>
      <c r="AF1535">
        <v>0.131694467523957</v>
      </c>
      <c r="AG1535">
        <v>-0.104111999999999</v>
      </c>
      <c r="AH1535">
        <v>0.76404684007916601</v>
      </c>
      <c r="AI1535">
        <v>97.648140178825301</v>
      </c>
      <c r="AJ1535">
        <v>80.220341865612795</v>
      </c>
      <c r="AK1535">
        <v>0.782272532532861</v>
      </c>
      <c r="AL1535">
        <v>80.423345135637803</v>
      </c>
      <c r="AM1535">
        <v>88.491215803230901</v>
      </c>
      <c r="AN1535">
        <v>1.0000000642532401</v>
      </c>
    </row>
    <row r="1536" spans="1:40" x14ac:dyDescent="0.25">
      <c r="A1536" t="str">
        <f>"20190303161905890"</f>
        <v>20190303161905890</v>
      </c>
      <c r="B1536" t="str">
        <f>"1551601145884523"</f>
        <v>1551601145884523</v>
      </c>
      <c r="C1536" t="s">
        <v>40</v>
      </c>
      <c r="D1536">
        <v>4.8131950000000003</v>
      </c>
      <c r="E1536">
        <v>0.56613789999999997</v>
      </c>
      <c r="F1536" t="s">
        <v>42</v>
      </c>
      <c r="G1536">
        <v>-228.3048</v>
      </c>
      <c r="H1536">
        <v>1.0390010000000001</v>
      </c>
      <c r="I1536">
        <v>367.43950000000001</v>
      </c>
      <c r="J1536">
        <v>-228.99</v>
      </c>
      <c r="K1536">
        <v>1.12171</v>
      </c>
      <c r="L1536">
        <v>367.56939999999997</v>
      </c>
      <c r="M1536">
        <v>0.99988779999999999</v>
      </c>
      <c r="N1536">
        <v>-1.4158530000000001E-2</v>
      </c>
      <c r="O1536">
        <v>4.8712720000000003E-3</v>
      </c>
      <c r="P1536">
        <v>0.98810659999999895</v>
      </c>
      <c r="Q1536">
        <v>0.1523081</v>
      </c>
      <c r="R1536">
        <v>-2.1150200000000001E-2</v>
      </c>
      <c r="S1536">
        <v>3.0750120000000001</v>
      </c>
      <c r="T1536">
        <v>-0.32169900000000001</v>
      </c>
      <c r="U1536">
        <v>-0.50228879999999998</v>
      </c>
      <c r="V1536">
        <v>2.5970509999999999E-2</v>
      </c>
      <c r="W1536">
        <v>0.16628039999999999</v>
      </c>
      <c r="X1536">
        <v>0.98573639999999996</v>
      </c>
      <c r="Y1536">
        <v>0.16499639999999999</v>
      </c>
      <c r="Z1536">
        <v>-1.0166970000000001E-2</v>
      </c>
      <c r="AA1536">
        <v>0.98624179999999995</v>
      </c>
      <c r="AB1536">
        <v>19</v>
      </c>
      <c r="AC1536">
        <v>0.68520000000000802</v>
      </c>
      <c r="AD1536">
        <v>-8.2708999999999894E-2</v>
      </c>
      <c r="AE1536">
        <v>-0.12989999999996299</v>
      </c>
      <c r="AF1536">
        <v>0.131388623714499</v>
      </c>
      <c r="AG1536">
        <v>-8.2708999999999894E-2</v>
      </c>
      <c r="AH1536">
        <v>0.67506432803524496</v>
      </c>
      <c r="AI1536">
        <v>96.857654849488</v>
      </c>
      <c r="AJ1536">
        <v>78.986145474245802</v>
      </c>
      <c r="AK1536">
        <v>0.69268722819773998</v>
      </c>
      <c r="AL1536">
        <v>80.428375881602705</v>
      </c>
      <c r="AM1536">
        <v>88.490817148841003</v>
      </c>
      <c r="AN1536">
        <v>0.99999994454938801</v>
      </c>
    </row>
    <row r="1537" spans="1:40" x14ac:dyDescent="0.25">
      <c r="A1537" t="str">
        <f>"20190303161905904"</f>
        <v>20190303161905904</v>
      </c>
      <c r="B1537" t="str">
        <f>"1551601145894283"</f>
        <v>1551601145894283</v>
      </c>
      <c r="C1537" t="s">
        <v>40</v>
      </c>
      <c r="D1537">
        <v>4.8025419999999999</v>
      </c>
      <c r="E1537">
        <v>0.56847819999999905</v>
      </c>
      <c r="F1537" t="s">
        <v>41</v>
      </c>
      <c r="G1537">
        <v>-215.57140000000001</v>
      </c>
      <c r="H1537" s="1">
        <v>-2.7042540000000001E-6</v>
      </c>
      <c r="I1537">
        <v>365.06470000000002</v>
      </c>
      <c r="J1537">
        <v>-228.87899999999999</v>
      </c>
      <c r="K1537">
        <v>1.1217109999999999</v>
      </c>
      <c r="L1537">
        <v>367.56990000000002</v>
      </c>
      <c r="M1537">
        <v>0.99988809999999995</v>
      </c>
      <c r="N1537">
        <v>-1.415574E-2</v>
      </c>
      <c r="O1537">
        <v>4.871172E-3</v>
      </c>
      <c r="P1537">
        <v>0.98811629999999995</v>
      </c>
      <c r="Q1537">
        <v>0.15220410000000001</v>
      </c>
      <c r="R1537">
        <v>-2.1459329999999999E-2</v>
      </c>
      <c r="S1537">
        <v>3.063339</v>
      </c>
      <c r="T1537">
        <v>-0.25607550000000001</v>
      </c>
      <c r="U1537">
        <v>-0.57180790000000004</v>
      </c>
      <c r="V1537">
        <v>2.6279299999999998E-2</v>
      </c>
      <c r="W1537">
        <v>0.16617370000000001</v>
      </c>
      <c r="X1537">
        <v>0.98574629999999996</v>
      </c>
      <c r="Y1537">
        <v>0.1875252</v>
      </c>
      <c r="Z1537">
        <v>-9.4337980000000002E-3</v>
      </c>
      <c r="AA1537">
        <v>0.98221449999999999</v>
      </c>
      <c r="AB1537">
        <v>19</v>
      </c>
      <c r="AC1537">
        <v>13.307600000000001</v>
      </c>
      <c r="AD1537">
        <v>-1.121713704254</v>
      </c>
      <c r="AE1537">
        <v>-2.5051999999999999</v>
      </c>
      <c r="AF1537">
        <v>2.5524856442149999</v>
      </c>
      <c r="AG1537">
        <v>-1.121713704254</v>
      </c>
      <c r="AH1537">
        <v>13.2046296853212</v>
      </c>
      <c r="AI1537">
        <v>94.767694980946402</v>
      </c>
      <c r="AJ1537">
        <v>79.059527127395995</v>
      </c>
      <c r="AK1537">
        <v>13.4957648810544</v>
      </c>
      <c r="AL1537">
        <v>80.434576459477299</v>
      </c>
      <c r="AM1537">
        <v>88.472896704837197</v>
      </c>
      <c r="AN1537">
        <v>1.0000000340719299</v>
      </c>
    </row>
    <row r="1538" spans="1:40" x14ac:dyDescent="0.25">
      <c r="A1538" t="str">
        <f>"20190303161905915"</f>
        <v>20190303161905915</v>
      </c>
      <c r="B1538" t="str">
        <f>"1551601145904043"</f>
        <v>1551601145904043</v>
      </c>
      <c r="C1538" t="s">
        <v>40</v>
      </c>
      <c r="D1538">
        <v>4.822279</v>
      </c>
      <c r="E1538">
        <v>0.57007859999999999</v>
      </c>
      <c r="F1538" t="s">
        <v>41</v>
      </c>
      <c r="G1538">
        <v>-214.41220000000001</v>
      </c>
      <c r="H1538" s="1">
        <v>-3.2387079999999998E-6</v>
      </c>
      <c r="I1538">
        <v>364.77249999999998</v>
      </c>
      <c r="J1538">
        <v>-228.78659999999999</v>
      </c>
      <c r="K1538">
        <v>1.1217090000000001</v>
      </c>
      <c r="L1538">
        <v>367.57040000000001</v>
      </c>
      <c r="M1538">
        <v>0.999888</v>
      </c>
      <c r="N1538">
        <v>-1.415344E-2</v>
      </c>
      <c r="O1538">
        <v>4.8711889999999997E-3</v>
      </c>
      <c r="P1538">
        <v>0.9881337</v>
      </c>
      <c r="Q1538">
        <v>0.15205639999999901</v>
      </c>
      <c r="R1538">
        <v>-2.169871E-2</v>
      </c>
      <c r="S1538">
        <v>3.0597690000000002</v>
      </c>
      <c r="T1538">
        <v>-0.23724439999999999</v>
      </c>
      <c r="U1538">
        <v>-0.59167479999999995</v>
      </c>
      <c r="V1538">
        <v>2.6518779999999999E-2</v>
      </c>
      <c r="W1538">
        <v>0.16602420000000001</v>
      </c>
      <c r="X1538">
        <v>0.985765</v>
      </c>
      <c r="Y1538">
        <v>0.19395960000000001</v>
      </c>
      <c r="Z1538">
        <v>-9.1327470000000001E-3</v>
      </c>
      <c r="AA1538">
        <v>0.98096700000000003</v>
      </c>
      <c r="AB1538">
        <v>19</v>
      </c>
      <c r="AC1538">
        <v>14.3743999999999</v>
      </c>
      <c r="AD1538">
        <v>-1.1217122387080001</v>
      </c>
      <c r="AE1538">
        <v>-2.7979000000000198</v>
      </c>
      <c r="AF1538">
        <v>2.8511657659936298</v>
      </c>
      <c r="AG1538">
        <v>-1.1217122387080001</v>
      </c>
      <c r="AH1538">
        <v>14.2768334024876</v>
      </c>
      <c r="AI1538">
        <v>94.405781192699294</v>
      </c>
      <c r="AJ1538">
        <v>78.706279123323995</v>
      </c>
      <c r="AK1538">
        <v>14.601895650018401</v>
      </c>
      <c r="AL1538">
        <v>80.443262105662697</v>
      </c>
      <c r="AM1538">
        <v>88.459016300929306</v>
      </c>
      <c r="AN1538">
        <v>0.99999995795166297</v>
      </c>
    </row>
    <row r="1539" spans="1:40" x14ac:dyDescent="0.25">
      <c r="A1539" t="str">
        <f>"20190303161905930"</f>
        <v>20190303161905930</v>
      </c>
      <c r="B1539" t="str">
        <f>"1551601145923914"</f>
        <v>1551601145923914</v>
      </c>
      <c r="C1539" t="s">
        <v>40</v>
      </c>
      <c r="D1539">
        <v>4.8120149999999997</v>
      </c>
      <c r="E1539">
        <v>0.57221359999999999</v>
      </c>
      <c r="F1539" t="s">
        <v>41</v>
      </c>
      <c r="G1539">
        <v>-213.48490000000001</v>
      </c>
      <c r="H1539" s="1">
        <v>-3.677999E-6</v>
      </c>
      <c r="I1539">
        <v>364.53859999999997</v>
      </c>
      <c r="J1539">
        <v>-228.66329999999999</v>
      </c>
      <c r="K1539">
        <v>1.1217079999999999</v>
      </c>
      <c r="L1539">
        <v>367.57100000000003</v>
      </c>
      <c r="M1539">
        <v>0.99988809999999995</v>
      </c>
      <c r="N1539">
        <v>-1.4150390000000001E-2</v>
      </c>
      <c r="O1539">
        <v>4.8710309999999996E-3</v>
      </c>
      <c r="P1539">
        <v>0.98813779999999996</v>
      </c>
      <c r="Q1539">
        <v>0.15200759999999999</v>
      </c>
      <c r="R1539">
        <v>-2.1856939999999998E-2</v>
      </c>
      <c r="S1539">
        <v>3.0572050000000002</v>
      </c>
      <c r="T1539">
        <v>-0.2241117</v>
      </c>
      <c r="U1539">
        <v>-0.60574340000000004</v>
      </c>
      <c r="V1539">
        <v>2.6676829999999999E-2</v>
      </c>
      <c r="W1539">
        <v>0.16597200000000001</v>
      </c>
      <c r="X1539">
        <v>0.98576960000000002</v>
      </c>
      <c r="Y1539">
        <v>0.1985112</v>
      </c>
      <c r="Z1539">
        <v>-8.901918E-3</v>
      </c>
      <c r="AA1539">
        <v>0.98005819999999999</v>
      </c>
      <c r="AB1539">
        <v>19</v>
      </c>
      <c r="AC1539">
        <v>15.1783999999999</v>
      </c>
      <c r="AD1539">
        <v>-1.121711677999</v>
      </c>
      <c r="AE1539">
        <v>-3.0323999999999902</v>
      </c>
      <c r="AF1539">
        <v>3.0900772151098699</v>
      </c>
      <c r="AG1539">
        <v>-1.121711677999</v>
      </c>
      <c r="AH1539">
        <v>15.0842272355435</v>
      </c>
      <c r="AI1539">
        <v>94.166655599654504</v>
      </c>
      <c r="AJ1539">
        <v>78.422854689073503</v>
      </c>
      <c r="AK1539">
        <v>15.4382876504298</v>
      </c>
      <c r="AL1539">
        <v>80.446295729971297</v>
      </c>
      <c r="AM1539">
        <v>88.449843848254801</v>
      </c>
      <c r="AN1539">
        <v>1.0000000311635</v>
      </c>
    </row>
    <row r="1540" spans="1:40" x14ac:dyDescent="0.25">
      <c r="A1540" t="str">
        <f>"20190303161905948"</f>
        <v>20190303161905948</v>
      </c>
      <c r="B1540" t="str">
        <f>"1551601145933675"</f>
        <v>1551601145933675</v>
      </c>
      <c r="C1540" t="s">
        <v>40</v>
      </c>
      <c r="D1540">
        <v>4.8005370000000003</v>
      </c>
      <c r="E1540">
        <v>0.57293260000000001</v>
      </c>
      <c r="F1540" t="s">
        <v>41</v>
      </c>
      <c r="G1540">
        <v>-212.24780000000001</v>
      </c>
      <c r="H1540" s="1">
        <v>-4.2651110000000001E-6</v>
      </c>
      <c r="I1540">
        <v>364.22059999999999</v>
      </c>
      <c r="J1540">
        <v>-228.51920000000001</v>
      </c>
      <c r="K1540">
        <v>1.121702</v>
      </c>
      <c r="L1540">
        <v>367.57170000000002</v>
      </c>
      <c r="M1540">
        <v>0.9998882</v>
      </c>
      <c r="N1540">
        <v>-1.4146860000000001E-2</v>
      </c>
      <c r="O1540">
        <v>4.870699E-3</v>
      </c>
      <c r="P1540">
        <v>0.98817860000000002</v>
      </c>
      <c r="Q1540">
        <v>0.15172169999999999</v>
      </c>
      <c r="R1540">
        <v>-2.200148E-2</v>
      </c>
      <c r="S1540">
        <v>3.0543520000000002</v>
      </c>
      <c r="T1540">
        <v>-0.20871129999999999</v>
      </c>
      <c r="U1540">
        <v>-0.62338260000000001</v>
      </c>
      <c r="V1540">
        <v>2.6821439999999998E-2</v>
      </c>
      <c r="W1540">
        <v>0.16568329999999901</v>
      </c>
      <c r="X1540">
        <v>0.98581419999999997</v>
      </c>
      <c r="Y1540">
        <v>0.20418230000000001</v>
      </c>
      <c r="Z1540">
        <v>-8.6191669999999901E-3</v>
      </c>
      <c r="AA1540">
        <v>0.97889490000000001</v>
      </c>
      <c r="AB1540">
        <v>18</v>
      </c>
      <c r="AC1540">
        <v>16.2714</v>
      </c>
      <c r="AD1540">
        <v>-1.1217062651109999</v>
      </c>
      <c r="AE1540">
        <v>-3.3511000000000299</v>
      </c>
      <c r="AF1540">
        <v>3.4147534656654899</v>
      </c>
      <c r="AG1540">
        <v>-1.1217062651109999</v>
      </c>
      <c r="AH1540">
        <v>16.181113765701699</v>
      </c>
      <c r="AI1540">
        <v>93.880316691912995</v>
      </c>
      <c r="AJ1540">
        <v>78.083530812495695</v>
      </c>
      <c r="AK1540">
        <v>16.575500260174501</v>
      </c>
      <c r="AL1540">
        <v>80.463068870318395</v>
      </c>
      <c r="AM1540">
        <v>88.441515358334499</v>
      </c>
      <c r="AN1540">
        <v>0.99999999123210104</v>
      </c>
    </row>
    <row r="1541" spans="1:40" x14ac:dyDescent="0.25">
      <c r="A1541" t="str">
        <f>"20190303161905963"</f>
        <v>20190303161905963</v>
      </c>
      <c r="B1541" t="str">
        <f>"1551601145954170"</f>
        <v>1551601145954170</v>
      </c>
      <c r="C1541" t="s">
        <v>40</v>
      </c>
      <c r="D1541">
        <v>4.7970969999999999</v>
      </c>
      <c r="E1541">
        <v>0.57376850000000001</v>
      </c>
      <c r="F1541" t="s">
        <v>41</v>
      </c>
      <c r="G1541">
        <v>-211.77180000000001</v>
      </c>
      <c r="H1541" s="1">
        <v>-4.4871069999999998E-6</v>
      </c>
      <c r="I1541">
        <v>364.12040000000002</v>
      </c>
      <c r="J1541">
        <v>-228.3897</v>
      </c>
      <c r="K1541">
        <v>1.121702</v>
      </c>
      <c r="L1541">
        <v>367.57229999999998</v>
      </c>
      <c r="M1541">
        <v>0.99988809999999995</v>
      </c>
      <c r="N1541">
        <v>-1.41437E-2</v>
      </c>
      <c r="O1541">
        <v>4.8708999999999896E-3</v>
      </c>
      <c r="P1541">
        <v>0.98818470000000003</v>
      </c>
      <c r="Q1541">
        <v>0.15161929999999901</v>
      </c>
      <c r="R1541">
        <v>-2.2423269999999999E-2</v>
      </c>
      <c r="S1541">
        <v>3.0532840000000001</v>
      </c>
      <c r="T1541">
        <v>-0.2045015</v>
      </c>
      <c r="U1541">
        <v>-0.62921139999999998</v>
      </c>
      <c r="V1541">
        <v>2.724323E-2</v>
      </c>
      <c r="W1541">
        <v>0.16557839999999999</v>
      </c>
      <c r="X1541">
        <v>0.98582029999999998</v>
      </c>
      <c r="Y1541">
        <v>0.20605809999999999</v>
      </c>
      <c r="Z1541">
        <v>-8.550251E-3</v>
      </c>
      <c r="AA1541">
        <v>0.97850239999999999</v>
      </c>
      <c r="AB1541">
        <v>18</v>
      </c>
      <c r="AC1541">
        <v>16.617899999999899</v>
      </c>
      <c r="AD1541">
        <v>-1.1217064871069999</v>
      </c>
      <c r="AE1541">
        <v>-3.4518999999999598</v>
      </c>
      <c r="AF1541">
        <v>3.5174478540090002</v>
      </c>
      <c r="AG1541">
        <v>-1.1217064871069999</v>
      </c>
      <c r="AH1541">
        <v>16.528693692051299</v>
      </c>
      <c r="AI1541">
        <v>93.797596641372706</v>
      </c>
      <c r="AJ1541">
        <v>77.986185238748902</v>
      </c>
      <c r="AK1541">
        <v>16.9360083849338</v>
      </c>
      <c r="AL1541">
        <v>80.469163768310295</v>
      </c>
      <c r="AM1541">
        <v>88.417029022873507</v>
      </c>
      <c r="AN1541">
        <v>1.00000003200974</v>
      </c>
    </row>
    <row r="1542" spans="1:40" x14ac:dyDescent="0.25">
      <c r="A1542" t="str">
        <f>"20190303161905980"</f>
        <v>20190303161905980</v>
      </c>
      <c r="B1542" t="str">
        <f>"1551601145973691"</f>
        <v>1551601145973691</v>
      </c>
      <c r="C1542" t="s">
        <v>40</v>
      </c>
      <c r="D1542">
        <v>4.829396</v>
      </c>
      <c r="E1542">
        <v>0.57403249999999995</v>
      </c>
      <c r="F1542" t="s">
        <v>41</v>
      </c>
      <c r="G1542">
        <v>-211.09059999999999</v>
      </c>
      <c r="H1542" s="1">
        <v>-4.808062E-6</v>
      </c>
      <c r="I1542">
        <v>363.95850000000002</v>
      </c>
      <c r="J1542">
        <v>-228.2475</v>
      </c>
      <c r="K1542">
        <v>1.1217010000000001</v>
      </c>
      <c r="L1542">
        <v>367.57299999999998</v>
      </c>
      <c r="M1542">
        <v>0.9998882</v>
      </c>
      <c r="N1542">
        <v>-1.4140170000000001E-2</v>
      </c>
      <c r="O1542">
        <v>4.8707469999999999E-3</v>
      </c>
      <c r="P1542">
        <v>0.98817339999999998</v>
      </c>
      <c r="Q1542">
        <v>0.1516411</v>
      </c>
      <c r="R1542">
        <v>-2.2767269999999999E-2</v>
      </c>
      <c r="S1542">
        <v>3.0517729999999998</v>
      </c>
      <c r="T1542">
        <v>-0.19788159999999999</v>
      </c>
      <c r="U1542">
        <v>-0.63751219999999997</v>
      </c>
      <c r="V1542">
        <v>2.7587190000000001E-2</v>
      </c>
      <c r="W1542">
        <v>0.1655963</v>
      </c>
      <c r="X1542">
        <v>0.98580769999999995</v>
      </c>
      <c r="Y1542">
        <v>0.20872959999999999</v>
      </c>
      <c r="Z1542">
        <v>-8.4255990000000006E-3</v>
      </c>
      <c r="AA1542">
        <v>0.9779371</v>
      </c>
      <c r="AB1542">
        <v>18</v>
      </c>
      <c r="AC1542">
        <v>17.1569</v>
      </c>
      <c r="AD1542">
        <v>-1.1217058080619999</v>
      </c>
      <c r="AE1542">
        <v>-3.61450000000002</v>
      </c>
      <c r="AF1542">
        <v>3.6829587772782402</v>
      </c>
      <c r="AG1542">
        <v>-1.1217058080619999</v>
      </c>
      <c r="AH1542">
        <v>17.069228446562899</v>
      </c>
      <c r="AI1542">
        <v>93.675449016028097</v>
      </c>
      <c r="AJ1542">
        <v>77.824178165035306</v>
      </c>
      <c r="AK1542">
        <v>17.4980275755847</v>
      </c>
      <c r="AL1542">
        <v>80.468123552861201</v>
      </c>
      <c r="AM1542">
        <v>88.397033072719594</v>
      </c>
      <c r="AN1542">
        <v>1.0000000045025299</v>
      </c>
    </row>
    <row r="1543" spans="1:40" x14ac:dyDescent="0.25">
      <c r="A1543" t="str">
        <f>"20190303161905997"</f>
        <v>20190303161905997</v>
      </c>
      <c r="B1543" t="str">
        <f>"1551601145984427"</f>
        <v>1551601145984427</v>
      </c>
      <c r="C1543" t="s">
        <v>40</v>
      </c>
      <c r="D1543">
        <v>4.9401080000000004</v>
      </c>
      <c r="E1543">
        <v>0.57403249999999995</v>
      </c>
      <c r="F1543" t="s">
        <v>41</v>
      </c>
      <c r="G1543">
        <v>-210.97020000000001</v>
      </c>
      <c r="H1543" s="1">
        <v>-4.8619669999999999E-6</v>
      </c>
      <c r="I1543">
        <v>363.94569999999999</v>
      </c>
      <c r="J1543">
        <v>-228.1225</v>
      </c>
      <c r="K1543">
        <v>1.1217010000000001</v>
      </c>
      <c r="L1543">
        <v>367.5736</v>
      </c>
      <c r="M1543">
        <v>0.9998882</v>
      </c>
      <c r="N1543">
        <v>-1.413706E-2</v>
      </c>
      <c r="O1543">
        <v>4.8707689999999996E-3</v>
      </c>
      <c r="P1543">
        <v>0.98816590000000004</v>
      </c>
      <c r="Q1543">
        <v>0.151669</v>
      </c>
      <c r="R1543">
        <v>-2.2906220000000001E-2</v>
      </c>
      <c r="S1543">
        <v>3.0515590000000001</v>
      </c>
      <c r="T1543">
        <v>-0.1981174</v>
      </c>
      <c r="U1543">
        <v>-0.64065550000000004</v>
      </c>
      <c r="V1543">
        <v>2.7726130000000002E-2</v>
      </c>
      <c r="W1543">
        <v>0.16562070000000001</v>
      </c>
      <c r="X1543">
        <v>0.98579969999999995</v>
      </c>
      <c r="Y1543">
        <v>0.2097048</v>
      </c>
      <c r="Z1543">
        <v>-8.4717860000000002E-3</v>
      </c>
      <c r="AA1543">
        <v>0.97772809999999999</v>
      </c>
      <c r="AB1543">
        <v>18</v>
      </c>
      <c r="AC1543">
        <v>17.152299999999901</v>
      </c>
      <c r="AD1543">
        <v>-1.121705861967</v>
      </c>
      <c r="AE1543">
        <v>-3.6279000000000101</v>
      </c>
      <c r="AF1543">
        <v>3.6962790775947498</v>
      </c>
      <c r="AG1543">
        <v>-1.121705861967</v>
      </c>
      <c r="AH1543">
        <v>17.064568401201999</v>
      </c>
      <c r="AI1543">
        <v>93.675814502832907</v>
      </c>
      <c r="AJ1543">
        <v>77.778225754834097</v>
      </c>
      <c r="AK1543">
        <v>17.496290972075698</v>
      </c>
      <c r="AL1543">
        <v>80.466705932601897</v>
      </c>
      <c r="AM1543">
        <v>88.388951074084304</v>
      </c>
      <c r="AN1543">
        <v>1.0000000015366699</v>
      </c>
    </row>
    <row r="1544" spans="1:40" x14ac:dyDescent="0.25">
      <c r="A1544" t="str">
        <f>"20190303161906011"</f>
        <v>20190303161906011</v>
      </c>
      <c r="B1544" t="str">
        <f>"1551601146003947"</f>
        <v>1551601146003947</v>
      </c>
      <c r="C1544" t="s">
        <v>40</v>
      </c>
      <c r="D1544">
        <v>4.8523250000000004</v>
      </c>
      <c r="E1544">
        <v>0.54182109999999895</v>
      </c>
      <c r="F1544" t="s">
        <v>41</v>
      </c>
      <c r="G1544">
        <v>-210.82749999999999</v>
      </c>
      <c r="H1544" s="1">
        <v>-4.9243090000000001E-6</v>
      </c>
      <c r="I1544">
        <v>363.93950000000001</v>
      </c>
      <c r="J1544">
        <v>-227.9939</v>
      </c>
      <c r="K1544">
        <v>1.121705</v>
      </c>
      <c r="L1544">
        <v>367.57420000000002</v>
      </c>
      <c r="M1544">
        <v>0.99988840000000001</v>
      </c>
      <c r="N1544">
        <v>-1.413386E-2</v>
      </c>
      <c r="O1544">
        <v>4.8706130000000002E-3</v>
      </c>
      <c r="P1544">
        <v>0.98813439999999997</v>
      </c>
      <c r="Q1544">
        <v>0.15184639999999999</v>
      </c>
      <c r="R1544">
        <v>-2.3094900000000002E-2</v>
      </c>
      <c r="S1544">
        <v>3.051437</v>
      </c>
      <c r="T1544">
        <v>-0.19790659999999999</v>
      </c>
      <c r="U1544">
        <v>-0.64117429999999997</v>
      </c>
      <c r="V1544">
        <v>2.7914399999999999E-2</v>
      </c>
      <c r="W1544">
        <v>0.16579469999999999</v>
      </c>
      <c r="X1544">
        <v>0.98576520000000001</v>
      </c>
      <c r="Y1544">
        <v>0.20987230000000001</v>
      </c>
      <c r="Z1544">
        <v>-8.470722E-3</v>
      </c>
      <c r="AA1544">
        <v>0.97769209999999995</v>
      </c>
      <c r="AB1544">
        <v>18</v>
      </c>
      <c r="AC1544">
        <v>17.166399999999999</v>
      </c>
      <c r="AD1544">
        <v>-1.1217099243090001</v>
      </c>
      <c r="AE1544">
        <v>-3.6347000000000098</v>
      </c>
      <c r="AF1544">
        <v>3.70314303744706</v>
      </c>
      <c r="AG1544">
        <v>-1.1217099243090001</v>
      </c>
      <c r="AH1544">
        <v>17.0786984356006</v>
      </c>
      <c r="AI1544">
        <v>93.672626080234807</v>
      </c>
      <c r="AJ1544">
        <v>77.766038729253495</v>
      </c>
      <c r="AK1544">
        <v>17.511523113774899</v>
      </c>
      <c r="AL1544">
        <v>80.4565972971495</v>
      </c>
      <c r="AM1544">
        <v>88.377960583240494</v>
      </c>
      <c r="AN1544">
        <v>1.00000006290324</v>
      </c>
    </row>
    <row r="1545" spans="1:40" x14ac:dyDescent="0.25">
      <c r="A1545" t="str">
        <f>"20190303161906024"</f>
        <v>20190303161906024</v>
      </c>
      <c r="B1545" t="str">
        <f>"1551601146014232"</f>
        <v>1551601146014232</v>
      </c>
      <c r="C1545" t="s">
        <v>40</v>
      </c>
      <c r="D1545">
        <v>4.8549980000000001</v>
      </c>
      <c r="E1545">
        <v>0.5374601</v>
      </c>
      <c r="F1545" t="s">
        <v>42</v>
      </c>
      <c r="G1545">
        <v>-227.1721</v>
      </c>
      <c r="H1545">
        <v>1.0070669999999999</v>
      </c>
      <c r="I1545">
        <v>367.47359999999998</v>
      </c>
      <c r="J1545">
        <v>-227.88509999999999</v>
      </c>
      <c r="K1545">
        <v>1.1217090000000001</v>
      </c>
      <c r="L1545">
        <v>367.57470000000001</v>
      </c>
      <c r="M1545">
        <v>0.99988840000000001</v>
      </c>
      <c r="N1545">
        <v>-1.413116E-2</v>
      </c>
      <c r="O1545">
        <v>4.8706319999999997E-3</v>
      </c>
      <c r="P1545">
        <v>0.98808050000000003</v>
      </c>
      <c r="Q1545">
        <v>0.15216830000000001</v>
      </c>
      <c r="R1545">
        <v>-2.3284619999999999E-2</v>
      </c>
      <c r="S1545">
        <v>3.0935359999999998</v>
      </c>
      <c r="T1545">
        <v>-0.43172500000000003</v>
      </c>
      <c r="U1545">
        <v>-0.37808229999999998</v>
      </c>
      <c r="V1545">
        <v>2.8103940000000001E-2</v>
      </c>
      <c r="W1545">
        <v>0.16611310000000001</v>
      </c>
      <c r="X1545">
        <v>0.98570619999999998</v>
      </c>
      <c r="Y1545">
        <v>0.12479510000000001</v>
      </c>
      <c r="Z1545">
        <v>-1.012981E-2</v>
      </c>
      <c r="AA1545">
        <v>0.99213079999999998</v>
      </c>
      <c r="AB1545">
        <v>18</v>
      </c>
      <c r="AC1545">
        <v>0.71299999999999297</v>
      </c>
      <c r="AD1545">
        <v>-0.11464199999999999</v>
      </c>
      <c r="AE1545">
        <v>-0.10110000000003</v>
      </c>
      <c r="AF1545">
        <v>0.101987214810126</v>
      </c>
      <c r="AG1545">
        <v>-0.11464199999999999</v>
      </c>
      <c r="AH1545">
        <v>0.694888306951569</v>
      </c>
      <c r="AI1545">
        <v>99.270650590198002</v>
      </c>
      <c r="AJ1545">
        <v>81.650437075996393</v>
      </c>
      <c r="AK1545">
        <v>0.71162766900026098</v>
      </c>
      <c r="AL1545">
        <v>80.438097704131494</v>
      </c>
      <c r="AM1545">
        <v>88.366855114175294</v>
      </c>
      <c r="AN1545">
        <v>1.0000000530767801</v>
      </c>
    </row>
    <row r="1546" spans="1:40" x14ac:dyDescent="0.25">
      <c r="A1546" t="str">
        <f>"20190303161906039"</f>
        <v>20190303161906039</v>
      </c>
      <c r="B1546" t="str">
        <f>"1551601146034708"</f>
        <v>1551601146034708</v>
      </c>
      <c r="C1546" t="s">
        <v>40</v>
      </c>
      <c r="D1546">
        <v>4.8054959999999998</v>
      </c>
      <c r="E1546">
        <v>0.53447440000000002</v>
      </c>
      <c r="F1546" t="s">
        <v>42</v>
      </c>
      <c r="G1546">
        <v>-227.1712</v>
      </c>
      <c r="H1546">
        <v>1.0095430000000001</v>
      </c>
      <c r="I1546">
        <v>367.49579999999997</v>
      </c>
      <c r="J1546">
        <v>-227.76580000000001</v>
      </c>
      <c r="K1546">
        <v>1.1217029999999999</v>
      </c>
      <c r="L1546">
        <v>367.57530000000003</v>
      </c>
      <c r="M1546">
        <v>0.99988840000000001</v>
      </c>
      <c r="N1546">
        <v>-1.412824E-2</v>
      </c>
      <c r="O1546">
        <v>4.8705329999999998E-3</v>
      </c>
      <c r="P1546">
        <v>0.98809259999999999</v>
      </c>
      <c r="Q1546">
        <v>0.1520637</v>
      </c>
      <c r="R1546">
        <v>-2.3447989999999998E-2</v>
      </c>
      <c r="S1546">
        <v>3.103256</v>
      </c>
      <c r="T1546">
        <v>-0.48783500000000002</v>
      </c>
      <c r="U1546">
        <v>-0.34249879999999999</v>
      </c>
      <c r="V1546">
        <v>2.8267179999999999E-2</v>
      </c>
      <c r="W1546">
        <v>0.16600580000000001</v>
      </c>
      <c r="X1546">
        <v>0.98571960000000003</v>
      </c>
      <c r="Y1546">
        <v>0.1129956</v>
      </c>
      <c r="Z1546">
        <v>-1.0297540000000001E-2</v>
      </c>
      <c r="AA1546">
        <v>0.99354209999999998</v>
      </c>
      <c r="AB1546">
        <v>18</v>
      </c>
      <c r="AC1546">
        <v>0.59460000000001401</v>
      </c>
      <c r="AD1546">
        <v>-0.11216</v>
      </c>
      <c r="AE1546">
        <v>-7.9500000000052695E-2</v>
      </c>
      <c r="AF1546">
        <v>7.9612374635843294E-2</v>
      </c>
      <c r="AG1546">
        <v>-0.11216</v>
      </c>
      <c r="AH1546">
        <v>0.57413577815339001</v>
      </c>
      <c r="AI1546">
        <v>100.951556873998</v>
      </c>
      <c r="AJ1546">
        <v>82.105438764461098</v>
      </c>
      <c r="AK1546">
        <v>0.59038113752978005</v>
      </c>
      <c r="AL1546">
        <v>80.4443320178097</v>
      </c>
      <c r="AM1546">
        <v>88.357396592805699</v>
      </c>
      <c r="AN1546">
        <v>1.0000000444614701</v>
      </c>
    </row>
    <row r="1547" spans="1:40" x14ac:dyDescent="0.25">
      <c r="A1547" t="str">
        <f>"20190303161906050"</f>
        <v>20190303161906050</v>
      </c>
      <c r="B1547" t="str">
        <f>"1551601146044469"</f>
        <v>1551601146044469</v>
      </c>
      <c r="C1547" t="s">
        <v>40</v>
      </c>
      <c r="D1547">
        <v>4.8018799999999997</v>
      </c>
      <c r="E1547">
        <v>0.53394549999999996</v>
      </c>
      <c r="F1547" t="s">
        <v>42</v>
      </c>
      <c r="G1547">
        <v>-227.01990000000001</v>
      </c>
      <c r="H1547">
        <v>0.98569300000000004</v>
      </c>
      <c r="I1547">
        <v>367.49939999999998</v>
      </c>
      <c r="J1547">
        <v>-227.67740000000001</v>
      </c>
      <c r="K1547">
        <v>1.121702</v>
      </c>
      <c r="L1547">
        <v>367.57569999999998</v>
      </c>
      <c r="M1547">
        <v>0.99988849999999996</v>
      </c>
      <c r="N1547">
        <v>-1.4126079999999999E-2</v>
      </c>
      <c r="O1547">
        <v>4.8703699999999997E-3</v>
      </c>
      <c r="P1547">
        <v>0.98804409999999998</v>
      </c>
      <c r="Q1547">
        <v>0.15238560000000001</v>
      </c>
      <c r="R1547">
        <v>-2.3407130000000002E-2</v>
      </c>
      <c r="S1547">
        <v>3.1160739999999998</v>
      </c>
      <c r="T1547">
        <v>-0.56822349999999999</v>
      </c>
      <c r="U1547">
        <v>-0.31719969999999997</v>
      </c>
      <c r="V1547">
        <v>2.8226049999999999E-2</v>
      </c>
      <c r="W1547">
        <v>0.16632459999999999</v>
      </c>
      <c r="X1547">
        <v>0.98566699999999996</v>
      </c>
      <c r="Y1547">
        <v>0.104212</v>
      </c>
      <c r="Z1547">
        <v>-1.095526E-2</v>
      </c>
      <c r="AA1547">
        <v>0.99449480000000001</v>
      </c>
      <c r="AB1547">
        <v>18</v>
      </c>
      <c r="AC1547">
        <v>0.65749999999999797</v>
      </c>
      <c r="AD1547">
        <v>-0.13600899999999899</v>
      </c>
      <c r="AE1547">
        <v>-7.6300000000003296E-2</v>
      </c>
      <c r="AF1547">
        <v>7.6280979770883203E-2</v>
      </c>
      <c r="AG1547">
        <v>-0.13600899999999899</v>
      </c>
      <c r="AH1547">
        <v>0.63049986198891905</v>
      </c>
      <c r="AI1547">
        <v>102.087569564746</v>
      </c>
      <c r="AJ1547">
        <v>83.101602013556899</v>
      </c>
      <c r="AK1547">
        <v>0.649497738197642</v>
      </c>
      <c r="AL1547">
        <v>80.425808264492403</v>
      </c>
      <c r="AM1547">
        <v>88.359697865013999</v>
      </c>
      <c r="AN1547">
        <v>1.0000000086763801</v>
      </c>
    </row>
    <row r="1548" spans="1:40" x14ac:dyDescent="0.25">
      <c r="A1548" t="str">
        <f>"20190303161906062"</f>
        <v>20190303161906062</v>
      </c>
      <c r="B1548" t="str">
        <f>"1551601146054229"</f>
        <v>1551601146054229</v>
      </c>
      <c r="C1548" t="s">
        <v>40</v>
      </c>
      <c r="D1548">
        <v>4.7873250000000001</v>
      </c>
      <c r="E1548">
        <v>0.53332329999999994</v>
      </c>
      <c r="F1548" t="s">
        <v>42</v>
      </c>
      <c r="G1548">
        <v>-226.86600000000001</v>
      </c>
      <c r="H1548">
        <v>0.96749220000000002</v>
      </c>
      <c r="I1548">
        <v>367.49450000000002</v>
      </c>
      <c r="J1548">
        <v>-227.5838</v>
      </c>
      <c r="K1548">
        <v>1.1217010000000001</v>
      </c>
      <c r="L1548">
        <v>367.57619999999997</v>
      </c>
      <c r="M1548">
        <v>0.99988849999999996</v>
      </c>
      <c r="N1548">
        <v>-1.4123810000000001E-2</v>
      </c>
      <c r="O1548">
        <v>4.8705650000000003E-3</v>
      </c>
      <c r="P1548">
        <v>0.98804009999999998</v>
      </c>
      <c r="Q1548">
        <v>0.15240300000000001</v>
      </c>
      <c r="R1548">
        <v>-2.346993E-2</v>
      </c>
      <c r="S1548">
        <v>3.1203919999999998</v>
      </c>
      <c r="T1548">
        <v>-0.59319029999999995</v>
      </c>
      <c r="U1548">
        <v>-0.31176759999999998</v>
      </c>
      <c r="V1548">
        <v>2.8288779999999999E-2</v>
      </c>
      <c r="W1548">
        <v>0.16633970000000001</v>
      </c>
      <c r="X1548">
        <v>0.98566260000000006</v>
      </c>
      <c r="Y1548">
        <v>0.1022382</v>
      </c>
      <c r="Z1548">
        <v>-1.1186379999999999E-2</v>
      </c>
      <c r="AA1548">
        <v>0.99469700000000005</v>
      </c>
      <c r="AB1548">
        <v>18</v>
      </c>
      <c r="AC1548">
        <v>0.71780000000001098</v>
      </c>
      <c r="AD1548">
        <v>-0.15420880000000001</v>
      </c>
      <c r="AE1548">
        <v>-8.1699999999955197E-2</v>
      </c>
      <c r="AF1548">
        <v>8.1482793670402898E-2</v>
      </c>
      <c r="AG1548">
        <v>-0.15420880000000001</v>
      </c>
      <c r="AH1548">
        <v>0.68613070230787199</v>
      </c>
      <c r="AI1548">
        <v>102.58125820843701</v>
      </c>
      <c r="AJ1548">
        <v>83.227447022980499</v>
      </c>
      <c r="AK1548">
        <v>0.70795136860611196</v>
      </c>
      <c r="AL1548">
        <v>80.424930366447597</v>
      </c>
      <c r="AM1548">
        <v>88.356047096395102</v>
      </c>
      <c r="AN1548">
        <v>0.99999995595436797</v>
      </c>
    </row>
    <row r="1549" spans="1:40" x14ac:dyDescent="0.25">
      <c r="A1549" t="str">
        <f>"20190303161906072"</f>
        <v>20190303161906072</v>
      </c>
      <c r="B1549" t="str">
        <f>"1551601146063989"</f>
        <v>1551601146063989</v>
      </c>
      <c r="C1549" t="s">
        <v>40</v>
      </c>
      <c r="D1549">
        <v>4.8036960000000004</v>
      </c>
      <c r="E1549">
        <v>0.53289750000000002</v>
      </c>
      <c r="F1549" t="s">
        <v>42</v>
      </c>
      <c r="G1549">
        <v>-226.86019999999999</v>
      </c>
      <c r="H1549">
        <v>0.97955360000000002</v>
      </c>
      <c r="I1549">
        <v>367.50490000000002</v>
      </c>
      <c r="J1549">
        <v>-227.49449999999999</v>
      </c>
      <c r="K1549">
        <v>1.121704</v>
      </c>
      <c r="L1549">
        <v>367.57659999999998</v>
      </c>
      <c r="M1549">
        <v>0.99988849999999996</v>
      </c>
      <c r="N1549">
        <v>-1.412164E-2</v>
      </c>
      <c r="O1549">
        <v>4.8705809999999997E-3</v>
      </c>
      <c r="P1549">
        <v>0.9880333</v>
      </c>
      <c r="Q1549">
        <v>0.15248419999999999</v>
      </c>
      <c r="R1549">
        <v>-2.3212590000000002E-2</v>
      </c>
      <c r="S1549">
        <v>3.123688</v>
      </c>
      <c r="T1549">
        <v>-0.61369090000000004</v>
      </c>
      <c r="U1549">
        <v>-0.30673220000000001</v>
      </c>
      <c r="V1549">
        <v>2.8031690000000001E-2</v>
      </c>
      <c r="W1549">
        <v>0.1664187</v>
      </c>
      <c r="X1549">
        <v>0.98565670000000005</v>
      </c>
      <c r="Y1549">
        <v>0.10044989999999999</v>
      </c>
      <c r="Z1549">
        <v>-1.134696E-2</v>
      </c>
      <c r="AA1549">
        <v>0.99487740000000002</v>
      </c>
      <c r="AB1549">
        <v>18</v>
      </c>
      <c r="AC1549">
        <v>0.63429999999999598</v>
      </c>
      <c r="AD1549">
        <v>-0.14215039999999901</v>
      </c>
      <c r="AE1549">
        <v>-7.1699999999964306E-2</v>
      </c>
      <c r="AF1549">
        <v>7.12553268202685E-2</v>
      </c>
      <c r="AG1549">
        <v>-0.14215039999999901</v>
      </c>
      <c r="AH1549">
        <v>0.60399138595235802</v>
      </c>
      <c r="AI1549">
        <v>103.155617838483</v>
      </c>
      <c r="AJ1549">
        <v>83.271682873653006</v>
      </c>
      <c r="AK1549">
        <v>0.62457157486157899</v>
      </c>
      <c r="AL1549">
        <v>80.4203408778544</v>
      </c>
      <c r="AM1549">
        <v>88.370969598551198</v>
      </c>
      <c r="AN1549">
        <v>1.00000004480441</v>
      </c>
    </row>
    <row r="1550" spans="1:40" x14ac:dyDescent="0.25">
      <c r="A1550" t="str">
        <f>"20190303161906086"</f>
        <v>20190303161906086</v>
      </c>
      <c r="B1550" t="str">
        <f>"1551601146074725"</f>
        <v>1551601146074725</v>
      </c>
      <c r="C1550" t="s">
        <v>40</v>
      </c>
      <c r="D1550">
        <v>4.8179230000000004</v>
      </c>
      <c r="E1550">
        <v>0.53254840000000003</v>
      </c>
      <c r="F1550" t="s">
        <v>42</v>
      </c>
      <c r="G1550">
        <v>-226.70570000000001</v>
      </c>
      <c r="H1550">
        <v>0.96312319999999996</v>
      </c>
      <c r="I1550">
        <v>367.50040000000001</v>
      </c>
      <c r="J1550">
        <v>-227.38640000000001</v>
      </c>
      <c r="K1550">
        <v>1.121705</v>
      </c>
      <c r="L1550">
        <v>367.5772</v>
      </c>
      <c r="M1550">
        <v>0.99988860000000002</v>
      </c>
      <c r="N1550">
        <v>-1.411901E-2</v>
      </c>
      <c r="O1550">
        <v>4.8704200000000003E-3</v>
      </c>
      <c r="P1550">
        <v>0.98803620000000003</v>
      </c>
      <c r="Q1550">
        <v>0.15249460000000001</v>
      </c>
      <c r="R1550">
        <v>-2.3026109999999999E-2</v>
      </c>
      <c r="S1550">
        <v>3.1262819999999998</v>
      </c>
      <c r="T1550">
        <v>-0.62862850000000003</v>
      </c>
      <c r="U1550">
        <v>-0.30191040000000002</v>
      </c>
      <c r="V1550">
        <v>2.784501E-2</v>
      </c>
      <c r="W1550">
        <v>0.16642670000000001</v>
      </c>
      <c r="X1550">
        <v>0.9856606</v>
      </c>
      <c r="Y1550">
        <v>9.8787369999999999E-2</v>
      </c>
      <c r="Z1550">
        <v>-1.141736E-2</v>
      </c>
      <c r="AA1550">
        <v>0.99504300000000001</v>
      </c>
      <c r="AB1550">
        <v>18</v>
      </c>
      <c r="AC1550">
        <v>0.68070000000000097</v>
      </c>
      <c r="AD1550">
        <v>-0.15858179999999999</v>
      </c>
      <c r="AE1550">
        <v>-7.67999999999915E-2</v>
      </c>
      <c r="AF1550">
        <v>7.6039583915528397E-2</v>
      </c>
      <c r="AG1550">
        <v>-0.15858179999999999</v>
      </c>
      <c r="AH1550">
        <v>0.64571266564640895</v>
      </c>
      <c r="AI1550">
        <v>103.707181966424</v>
      </c>
      <c r="AJ1550">
        <v>83.283740270675494</v>
      </c>
      <c r="AK1550">
        <v>0.66923467646968005</v>
      </c>
      <c r="AL1550">
        <v>80.419875641494599</v>
      </c>
      <c r="AM1550">
        <v>88.381818910514994</v>
      </c>
      <c r="AN1550">
        <v>1.00000000472357</v>
      </c>
    </row>
    <row r="1551" spans="1:40" x14ac:dyDescent="0.25">
      <c r="A1551" t="str">
        <f>"20190303161906098"</f>
        <v>20190303161906098</v>
      </c>
      <c r="B1551" t="str">
        <f>"1551601146094245"</f>
        <v>1551601146094245</v>
      </c>
      <c r="C1551" t="s">
        <v>40</v>
      </c>
      <c r="D1551">
        <v>4.767366</v>
      </c>
      <c r="E1551">
        <v>0.53204090000000004</v>
      </c>
      <c r="F1551" t="s">
        <v>42</v>
      </c>
      <c r="G1551">
        <v>-226.5498</v>
      </c>
      <c r="H1551">
        <v>0.95034110000000005</v>
      </c>
      <c r="I1551">
        <v>367.49720000000002</v>
      </c>
      <c r="J1551">
        <v>-227.29050000000001</v>
      </c>
      <c r="K1551">
        <v>1.121704</v>
      </c>
      <c r="L1551">
        <v>367.57760000000002</v>
      </c>
      <c r="M1551">
        <v>0.99988869999999996</v>
      </c>
      <c r="N1551">
        <v>-1.411663E-2</v>
      </c>
      <c r="O1551">
        <v>4.8704380000000004E-3</v>
      </c>
      <c r="P1551">
        <v>0.9880544</v>
      </c>
      <c r="Q1551">
        <v>0.1524365</v>
      </c>
      <c r="R1551">
        <v>-2.2623049999999999E-2</v>
      </c>
      <c r="S1551">
        <v>3.1282960000000002</v>
      </c>
      <c r="T1551">
        <v>-0.6409224</v>
      </c>
      <c r="U1551">
        <v>-0.29840090000000002</v>
      </c>
      <c r="V1551">
        <v>2.744212E-2</v>
      </c>
      <c r="W1551">
        <v>0.1663665</v>
      </c>
      <c r="X1551">
        <v>0.98568210000000001</v>
      </c>
      <c r="Y1551">
        <v>9.7566410000000006E-2</v>
      </c>
      <c r="Z1551">
        <v>-1.1485499999999999E-2</v>
      </c>
      <c r="AA1551">
        <v>0.99516269999999996</v>
      </c>
      <c r="AB1551">
        <v>18</v>
      </c>
      <c r="AC1551">
        <v>0.74070000000000302</v>
      </c>
      <c r="AD1551">
        <v>-0.17136289999999901</v>
      </c>
      <c r="AE1551">
        <v>-8.0399999999997293E-2</v>
      </c>
      <c r="AF1551">
        <v>7.9786188776232406E-2</v>
      </c>
      <c r="AG1551">
        <v>-0.17136289999999901</v>
      </c>
      <c r="AH1551">
        <v>0.70310481532130498</v>
      </c>
      <c r="AI1551">
        <v>103.613176182849</v>
      </c>
      <c r="AJ1551">
        <v>83.525943850910807</v>
      </c>
      <c r="AK1551">
        <v>0.72807105473563005</v>
      </c>
      <c r="AL1551">
        <v>80.423373975863598</v>
      </c>
      <c r="AM1551">
        <v>88.405254992813198</v>
      </c>
      <c r="AN1551">
        <v>1.00000004226637</v>
      </c>
    </row>
    <row r="1552" spans="1:40" x14ac:dyDescent="0.25">
      <c r="A1552" t="str">
        <f>"20190303161906109"</f>
        <v>20190303161906109</v>
      </c>
      <c r="B1552" t="str">
        <f>"1551601146104005"</f>
        <v>1551601146104005</v>
      </c>
      <c r="C1552" t="s">
        <v>40</v>
      </c>
      <c r="D1552">
        <v>4.7853320000000004</v>
      </c>
      <c r="E1552">
        <v>0.53189489999999995</v>
      </c>
      <c r="F1552" t="s">
        <v>42</v>
      </c>
      <c r="G1552">
        <v>-226.54310000000001</v>
      </c>
      <c r="H1552">
        <v>0.96426129999999999</v>
      </c>
      <c r="I1552">
        <v>367.50749999999999</v>
      </c>
      <c r="J1552">
        <v>-227.1918</v>
      </c>
      <c r="K1552">
        <v>1.121705</v>
      </c>
      <c r="L1552">
        <v>367.57810000000001</v>
      </c>
      <c r="M1552">
        <v>0.99988869999999996</v>
      </c>
      <c r="N1552">
        <v>-1.41142E-2</v>
      </c>
      <c r="O1552">
        <v>4.8704550000000001E-3</v>
      </c>
      <c r="P1552">
        <v>0.98808099999999999</v>
      </c>
      <c r="Q1552">
        <v>0.15227599999999999</v>
      </c>
      <c r="R1552">
        <v>-2.2551649999999999E-2</v>
      </c>
      <c r="S1552">
        <v>3.131332</v>
      </c>
      <c r="T1552">
        <v>-0.65977629999999998</v>
      </c>
      <c r="U1552">
        <v>-0.29284670000000002</v>
      </c>
      <c r="V1552">
        <v>2.737059E-2</v>
      </c>
      <c r="W1552">
        <v>0.1662043</v>
      </c>
      <c r="X1552">
        <v>0.98571140000000002</v>
      </c>
      <c r="Y1552">
        <v>9.5645670000000002E-2</v>
      </c>
      <c r="Z1552">
        <v>-1.157525E-2</v>
      </c>
      <c r="AA1552">
        <v>0.99534820000000002</v>
      </c>
      <c r="AB1552">
        <v>18</v>
      </c>
      <c r="AC1552">
        <v>0.64869999999999095</v>
      </c>
      <c r="AD1552">
        <v>-0.15744369999999899</v>
      </c>
      <c r="AE1552">
        <v>-7.0600000000013097E-2</v>
      </c>
      <c r="AF1552">
        <v>6.9701156763396194E-2</v>
      </c>
      <c r="AG1552">
        <v>-0.15744369999999899</v>
      </c>
      <c r="AH1552">
        <v>0.61268009113252897</v>
      </c>
      <c r="AI1552">
        <v>104.323218703691</v>
      </c>
      <c r="AJ1552">
        <v>83.509686409382596</v>
      </c>
      <c r="AK1552">
        <v>0.63641469498591097</v>
      </c>
      <c r="AL1552">
        <v>80.4327980710829</v>
      </c>
      <c r="AM1552">
        <v>88.409456935943496</v>
      </c>
      <c r="AN1552">
        <v>0.99999999131269901</v>
      </c>
    </row>
    <row r="1553" spans="1:40" x14ac:dyDescent="0.25">
      <c r="A1553" t="str">
        <f>"20190303161906121"</f>
        <v>20190303161906121</v>
      </c>
      <c r="B1553" t="str">
        <f>"1551601146114292"</f>
        <v>1551601146114292</v>
      </c>
      <c r="C1553" t="s">
        <v>40</v>
      </c>
      <c r="D1553">
        <v>4.7645999999999997</v>
      </c>
      <c r="E1553">
        <v>0.53177200000000002</v>
      </c>
      <c r="F1553" t="s">
        <v>42</v>
      </c>
      <c r="G1553">
        <v>-226.38800000000001</v>
      </c>
      <c r="H1553">
        <v>0.95059700000000003</v>
      </c>
      <c r="I1553">
        <v>367.50319999999999</v>
      </c>
      <c r="J1553">
        <v>-227.0975</v>
      </c>
      <c r="K1553">
        <v>1.121705</v>
      </c>
      <c r="L1553">
        <v>367.57859999999999</v>
      </c>
      <c r="M1553">
        <v>0.99988869999999996</v>
      </c>
      <c r="N1553">
        <v>-1.411189E-2</v>
      </c>
      <c r="O1553">
        <v>4.8704710000000003E-3</v>
      </c>
      <c r="P1553">
        <v>0.98808289999999999</v>
      </c>
      <c r="Q1553">
        <v>0.1522732</v>
      </c>
      <c r="R1553">
        <v>-2.2473420000000001E-2</v>
      </c>
      <c r="S1553">
        <v>3.1322939999999999</v>
      </c>
      <c r="T1553">
        <v>-0.66681119999999905</v>
      </c>
      <c r="U1553">
        <v>-0.29125980000000001</v>
      </c>
      <c r="V1553">
        <v>2.7292569999999999E-2</v>
      </c>
      <c r="W1553">
        <v>0.16619909999999999</v>
      </c>
      <c r="X1553">
        <v>0.98571439999999999</v>
      </c>
      <c r="Y1553">
        <v>9.5084199999999994E-2</v>
      </c>
      <c r="Z1553">
        <v>-1.162357E-2</v>
      </c>
      <c r="AA1553">
        <v>0.99540139999999999</v>
      </c>
      <c r="AB1553">
        <v>18</v>
      </c>
      <c r="AC1553">
        <v>0.70949999999999103</v>
      </c>
      <c r="AD1553">
        <v>-0.17110800000000001</v>
      </c>
      <c r="AE1553">
        <v>-7.5400000000001896E-2</v>
      </c>
      <c r="AF1553">
        <v>7.4566575083914899E-2</v>
      </c>
      <c r="AG1553">
        <v>-0.17110800000000001</v>
      </c>
      <c r="AH1553">
        <v>0.67055911375847599</v>
      </c>
      <c r="AI1553">
        <v>104.230691363971</v>
      </c>
      <c r="AJ1553">
        <v>83.654743555892907</v>
      </c>
      <c r="AK1553">
        <v>0.69605146851960498</v>
      </c>
      <c r="AL1553">
        <v>80.433099829735795</v>
      </c>
      <c r="AM1553">
        <v>88.4139932922361</v>
      </c>
      <c r="AN1553">
        <v>0.99999995179268597</v>
      </c>
    </row>
    <row r="1554" spans="1:40" x14ac:dyDescent="0.25">
      <c r="A1554" t="str">
        <f>"20190303161906134"</f>
        <v>20190303161906134</v>
      </c>
      <c r="B1554" t="str">
        <f>"1551601146124032"</f>
        <v>1551601146124032</v>
      </c>
      <c r="C1554" t="s">
        <v>40</v>
      </c>
      <c r="D1554">
        <v>4.7624890000000004</v>
      </c>
      <c r="E1554">
        <v>0.53157790000000005</v>
      </c>
      <c r="F1554" t="s">
        <v>42</v>
      </c>
      <c r="G1554">
        <v>-226.37960000000001</v>
      </c>
      <c r="H1554">
        <v>0.96766719999999895</v>
      </c>
      <c r="I1554">
        <v>367.512</v>
      </c>
      <c r="J1554">
        <v>-226.99870000000001</v>
      </c>
      <c r="K1554">
        <v>1.121704</v>
      </c>
      <c r="L1554">
        <v>367.57909999999998</v>
      </c>
      <c r="M1554">
        <v>0.99988869999999996</v>
      </c>
      <c r="N1554">
        <v>-1.4109500000000001E-2</v>
      </c>
      <c r="O1554">
        <v>4.8704880000000001E-3</v>
      </c>
      <c r="P1554">
        <v>0.98807990000000001</v>
      </c>
      <c r="Q1554">
        <v>0.15232789999999999</v>
      </c>
      <c r="R1554">
        <v>-2.2247780000000002E-2</v>
      </c>
      <c r="S1554">
        <v>3.1332089999999999</v>
      </c>
      <c r="T1554">
        <v>-0.67240599999999995</v>
      </c>
      <c r="U1554">
        <v>-0.29010010000000003</v>
      </c>
      <c r="V1554">
        <v>2.706687E-2</v>
      </c>
      <c r="W1554">
        <v>0.16625129999999999</v>
      </c>
      <c r="X1554">
        <v>0.98571189999999997</v>
      </c>
      <c r="Y1554">
        <v>9.4665349999999995E-2</v>
      </c>
      <c r="Z1554">
        <v>-1.166362E-2</v>
      </c>
      <c r="AA1554">
        <v>0.99544080000000001</v>
      </c>
      <c r="AB1554">
        <v>18</v>
      </c>
      <c r="AC1554">
        <v>0.61910000000000298</v>
      </c>
      <c r="AD1554">
        <v>-0.1540368</v>
      </c>
      <c r="AE1554">
        <v>-6.7100000000039003E-2</v>
      </c>
      <c r="AF1554">
        <v>6.6072103398314097E-2</v>
      </c>
      <c r="AG1554">
        <v>-0.1540368</v>
      </c>
      <c r="AH1554">
        <v>0.58308866887351096</v>
      </c>
      <c r="AI1554">
        <v>104.707984550866</v>
      </c>
      <c r="AJ1554">
        <v>83.535162158900405</v>
      </c>
      <c r="AK1554">
        <v>0.60670030028870103</v>
      </c>
      <c r="AL1554">
        <v>80.430067549245805</v>
      </c>
      <c r="AM1554">
        <v>88.427098409265</v>
      </c>
      <c r="AN1554">
        <v>1.0000000300024401</v>
      </c>
    </row>
    <row r="1555" spans="1:40" x14ac:dyDescent="0.25">
      <c r="A1555" t="str">
        <f>"20190303161906148"</f>
        <v>20190303161906148</v>
      </c>
      <c r="B1555" t="str">
        <f>"1551601146144528"</f>
        <v>1551601146144528</v>
      </c>
      <c r="C1555" t="s">
        <v>40</v>
      </c>
      <c r="D1555">
        <v>4.7613490000000001</v>
      </c>
      <c r="E1555">
        <v>0.53146850000000001</v>
      </c>
      <c r="F1555" t="s">
        <v>42</v>
      </c>
      <c r="G1555">
        <v>-226.22450000000001</v>
      </c>
      <c r="H1555">
        <v>0.95447789999999999</v>
      </c>
      <c r="I1555">
        <v>367.50779999999997</v>
      </c>
      <c r="J1555">
        <v>-226.88730000000001</v>
      </c>
      <c r="K1555">
        <v>1.1217090000000001</v>
      </c>
      <c r="L1555">
        <v>367.57960000000003</v>
      </c>
      <c r="M1555">
        <v>0.99988869999999996</v>
      </c>
      <c r="N1555">
        <v>-1.4106799999999999E-2</v>
      </c>
      <c r="O1555">
        <v>4.8703289999999996E-3</v>
      </c>
      <c r="P1555">
        <v>0.98813059999999997</v>
      </c>
      <c r="Q1555">
        <v>0.1520291</v>
      </c>
      <c r="R1555">
        <v>-2.202699E-2</v>
      </c>
      <c r="S1555">
        <v>3.134109</v>
      </c>
      <c r="T1555">
        <v>-0.67707969999999995</v>
      </c>
      <c r="U1555">
        <v>-0.28750609999999999</v>
      </c>
      <c r="V1555">
        <v>2.6846160000000001E-2</v>
      </c>
      <c r="W1555">
        <v>0.16595079999999901</v>
      </c>
      <c r="X1555">
        <v>0.98576859999999999</v>
      </c>
      <c r="Y1555">
        <v>9.3812019999999996E-2</v>
      </c>
      <c r="Z1555">
        <v>-1.1638920000000001E-2</v>
      </c>
      <c r="AA1555">
        <v>0.99552189999999996</v>
      </c>
      <c r="AB1555">
        <v>18</v>
      </c>
      <c r="AC1555">
        <v>0.66280000000000405</v>
      </c>
      <c r="AD1555">
        <v>-0.16723109999999999</v>
      </c>
      <c r="AE1555">
        <v>-7.1800000000052905E-2</v>
      </c>
      <c r="AF1555">
        <v>7.0586106499331502E-2</v>
      </c>
      <c r="AG1555">
        <v>-0.16723109999999999</v>
      </c>
      <c r="AH1555">
        <v>0.62322769871441297</v>
      </c>
      <c r="AI1555">
        <v>104.92924317572</v>
      </c>
      <c r="AJ1555">
        <v>83.538276490716001</v>
      </c>
      <c r="AK1555">
        <v>0.649123565804546</v>
      </c>
      <c r="AL1555">
        <v>80.447527746020398</v>
      </c>
      <c r="AM1555">
        <v>88.440007565544505</v>
      </c>
      <c r="AN1555">
        <v>1.00000005853667</v>
      </c>
    </row>
    <row r="1556" spans="1:40" x14ac:dyDescent="0.25">
      <c r="A1556" t="str">
        <f>"20190303161906160"</f>
        <v>20190303161906160</v>
      </c>
      <c r="B1556" t="str">
        <f>"1551601146154288"</f>
        <v>1551601146154288</v>
      </c>
      <c r="C1556" t="s">
        <v>40</v>
      </c>
      <c r="D1556">
        <v>4.7627819999999996</v>
      </c>
      <c r="E1556">
        <v>0.5315261</v>
      </c>
      <c r="F1556" t="s">
        <v>42</v>
      </c>
      <c r="G1556">
        <v>-226.06909999999999</v>
      </c>
      <c r="H1556">
        <v>0.94271559999999999</v>
      </c>
      <c r="I1556">
        <v>367.505</v>
      </c>
      <c r="J1556">
        <v>-226.78659999999999</v>
      </c>
      <c r="K1556">
        <v>1.1217060000000001</v>
      </c>
      <c r="L1556">
        <v>367.58010000000002</v>
      </c>
      <c r="M1556">
        <v>0.99988869999999996</v>
      </c>
      <c r="N1556">
        <v>-1.410439E-2</v>
      </c>
      <c r="O1556">
        <v>4.8705249999999997E-3</v>
      </c>
      <c r="P1556">
        <v>0.98825370000000001</v>
      </c>
      <c r="Q1556">
        <v>0.1512445</v>
      </c>
      <c r="R1556">
        <v>-2.1901520000000001E-2</v>
      </c>
      <c r="S1556">
        <v>3.1352229999999999</v>
      </c>
      <c r="T1556">
        <v>-0.68594250000000001</v>
      </c>
      <c r="U1556">
        <v>-0.28573609999999999</v>
      </c>
      <c r="V1556">
        <v>2.6721559999999998E-2</v>
      </c>
      <c r="W1556">
        <v>0.16516549999999999</v>
      </c>
      <c r="X1556">
        <v>0.9859038</v>
      </c>
      <c r="Y1556">
        <v>9.3179429999999994E-2</v>
      </c>
      <c r="Z1556">
        <v>-1.170383E-2</v>
      </c>
      <c r="AA1556">
        <v>0.99558060000000004</v>
      </c>
      <c r="AB1556">
        <v>18</v>
      </c>
      <c r="AC1556">
        <v>0.71750000000000103</v>
      </c>
      <c r="AD1556">
        <v>-0.17899039999999999</v>
      </c>
      <c r="AE1556">
        <v>-7.5100000000020303E-2</v>
      </c>
      <c r="AF1556">
        <v>7.4036527337258504E-2</v>
      </c>
      <c r="AG1556">
        <v>-0.17899039999999999</v>
      </c>
      <c r="AH1556">
        <v>0.67554082103989599</v>
      </c>
      <c r="AI1556">
        <v>104.75555055430701</v>
      </c>
      <c r="AJ1556">
        <v>83.745577000436199</v>
      </c>
      <c r="AK1556">
        <v>0.70276195938851005</v>
      </c>
      <c r="AL1556">
        <v>80.493151105900097</v>
      </c>
      <c r="AM1556">
        <v>88.447457172604203</v>
      </c>
      <c r="AN1556">
        <v>0.99999999350676105</v>
      </c>
    </row>
    <row r="1557" spans="1:40" x14ac:dyDescent="0.25">
      <c r="A1557" t="str">
        <f>"20190303161906175"</f>
        <v>20190303161906175</v>
      </c>
      <c r="B1557" t="str">
        <f>"1551601146164049"</f>
        <v>1551601146164049</v>
      </c>
      <c r="C1557" t="s">
        <v>40</v>
      </c>
      <c r="D1557">
        <v>4.7326180000000004</v>
      </c>
      <c r="E1557">
        <v>0.5315261</v>
      </c>
      <c r="F1557" t="s">
        <v>42</v>
      </c>
      <c r="G1557">
        <v>-226.05940000000001</v>
      </c>
      <c r="H1557">
        <v>0.96261609999999997</v>
      </c>
      <c r="I1557">
        <v>367.51369999999997</v>
      </c>
      <c r="J1557">
        <v>-226.66589999999999</v>
      </c>
      <c r="K1557">
        <v>1.121707</v>
      </c>
      <c r="L1557">
        <v>367.58069999999998</v>
      </c>
      <c r="M1557">
        <v>0.99988880000000002</v>
      </c>
      <c r="N1557">
        <v>-1.4101499999999999E-2</v>
      </c>
      <c r="O1557">
        <v>4.8703660000000001E-3</v>
      </c>
      <c r="P1557">
        <v>0.98839500000000002</v>
      </c>
      <c r="Q1557">
        <v>0.15031169999999999</v>
      </c>
      <c r="R1557">
        <v>-2.1954089999999999E-2</v>
      </c>
      <c r="S1557">
        <v>3.1342469999999998</v>
      </c>
      <c r="T1557">
        <v>-0.68571689999999996</v>
      </c>
      <c r="U1557">
        <v>-0.28585820000000001</v>
      </c>
      <c r="V1557">
        <v>2.6774579999999999E-2</v>
      </c>
      <c r="W1557">
        <v>0.16423189999999999</v>
      </c>
      <c r="X1557">
        <v>0.98605830000000005</v>
      </c>
      <c r="Y1557">
        <v>9.3244279999999999E-2</v>
      </c>
      <c r="Z1557">
        <v>-1.171092E-2</v>
      </c>
      <c r="AA1557">
        <v>0.99557439999999997</v>
      </c>
      <c r="AB1557">
        <v>18</v>
      </c>
      <c r="AC1557">
        <v>0.60649999999998205</v>
      </c>
      <c r="AD1557">
        <v>-0.15909090000000001</v>
      </c>
      <c r="AE1557">
        <v>-6.7000000000007207E-2</v>
      </c>
      <c r="AF1557">
        <v>6.5500833723633703E-2</v>
      </c>
      <c r="AG1557">
        <v>-0.15909090000000001</v>
      </c>
      <c r="AH1557">
        <v>0.56758388043831998</v>
      </c>
      <c r="AI1557">
        <v>105.559698371164</v>
      </c>
      <c r="AJ1557">
        <v>83.417020690413807</v>
      </c>
      <c r="AK1557">
        <v>0.59308661678942198</v>
      </c>
      <c r="AL1557">
        <v>80.547382943887897</v>
      </c>
      <c r="AM1557">
        <v>88.444621804712</v>
      </c>
      <c r="AN1557">
        <v>0.99999998305533799</v>
      </c>
    </row>
    <row r="1558" spans="1:40" x14ac:dyDescent="0.25">
      <c r="A1558" t="str">
        <f>"20190303161906190"</f>
        <v>20190303161906190</v>
      </c>
      <c r="B1558" t="str">
        <f>"1551601146184544"</f>
        <v>1551601146184544</v>
      </c>
      <c r="C1558" t="s">
        <v>40</v>
      </c>
      <c r="D1558">
        <v>4.7041820000000003</v>
      </c>
      <c r="E1558">
        <v>0.563179599999999</v>
      </c>
      <c r="F1558" t="s">
        <v>42</v>
      </c>
      <c r="G1558">
        <v>-225.90270000000001</v>
      </c>
      <c r="H1558">
        <v>0.95403579999999999</v>
      </c>
      <c r="I1558">
        <v>367.51080000000002</v>
      </c>
      <c r="J1558">
        <v>-226.54679999999999</v>
      </c>
      <c r="K1558">
        <v>1.1217029999999999</v>
      </c>
      <c r="L1558">
        <v>367.5813</v>
      </c>
      <c r="M1558">
        <v>0.99988880000000002</v>
      </c>
      <c r="N1558">
        <v>-1.4098660000000001E-2</v>
      </c>
      <c r="O1558">
        <v>4.870208E-3</v>
      </c>
      <c r="P1558">
        <v>0.98841869999999998</v>
      </c>
      <c r="Q1558">
        <v>0.15019879999999999</v>
      </c>
      <c r="R1558">
        <v>-2.166614E-2</v>
      </c>
      <c r="S1558">
        <v>3.1335600000000001</v>
      </c>
      <c r="T1558">
        <v>-0.68863090000000005</v>
      </c>
      <c r="U1558">
        <v>-0.28607179999999999</v>
      </c>
      <c r="V1558">
        <v>2.6486539999999999E-2</v>
      </c>
      <c r="W1558">
        <v>0.1641167</v>
      </c>
      <c r="X1558">
        <v>0.98608530000000005</v>
      </c>
      <c r="Y1558">
        <v>9.330861E-2</v>
      </c>
      <c r="Z1558">
        <v>-1.1766749999999999E-2</v>
      </c>
      <c r="AA1558">
        <v>0.99556770000000006</v>
      </c>
      <c r="AB1558">
        <v>18</v>
      </c>
      <c r="AC1558">
        <v>0.64409999999998002</v>
      </c>
      <c r="AD1558">
        <v>-0.16766719999999999</v>
      </c>
      <c r="AE1558">
        <v>-7.04999999999813E-2</v>
      </c>
      <c r="AF1558">
        <v>6.9015102979169907E-2</v>
      </c>
      <c r="AG1558">
        <v>-0.16766719999999999</v>
      </c>
      <c r="AH1558">
        <v>0.60334856313503105</v>
      </c>
      <c r="AI1558">
        <v>105.434511526406</v>
      </c>
      <c r="AJ1558">
        <v>83.474481992612397</v>
      </c>
      <c r="AK1558">
        <v>0.63000385953752003</v>
      </c>
      <c r="AL1558">
        <v>80.5540745943171</v>
      </c>
      <c r="AM1558">
        <v>88.461388531566598</v>
      </c>
      <c r="AN1558">
        <v>1.0000000234480699</v>
      </c>
    </row>
    <row r="1559" spans="1:40" x14ac:dyDescent="0.25">
      <c r="A1559" t="str">
        <f>"20190303161906203"</f>
        <v>20190303161906203</v>
      </c>
      <c r="B1559" t="str">
        <f>"1551601146194304"</f>
        <v>1551601146194304</v>
      </c>
      <c r="C1559" t="s">
        <v>40</v>
      </c>
      <c r="D1559">
        <v>4.6994860000000003</v>
      </c>
      <c r="E1559">
        <v>0.56720740000000003</v>
      </c>
      <c r="F1559" t="s">
        <v>41</v>
      </c>
      <c r="G1559">
        <v>-212.08500000000001</v>
      </c>
      <c r="H1559" s="1">
        <v>-4.2001270000000004E-6</v>
      </c>
      <c r="I1559">
        <v>364.98070000000001</v>
      </c>
      <c r="J1559">
        <v>-226.43709999999999</v>
      </c>
      <c r="K1559">
        <v>1.121688</v>
      </c>
      <c r="L1559">
        <v>367.58179999999999</v>
      </c>
      <c r="M1559">
        <v>0.99988880000000002</v>
      </c>
      <c r="N1559">
        <v>-1.4096050000000001E-2</v>
      </c>
      <c r="O1559">
        <v>4.8704050000000004E-3</v>
      </c>
      <c r="P1559">
        <v>0.98855660000000001</v>
      </c>
      <c r="Q1559">
        <v>0.14930829999999901</v>
      </c>
      <c r="R1559">
        <v>-2.1513379999999999E-2</v>
      </c>
      <c r="S1559">
        <v>3.059158</v>
      </c>
      <c r="T1559">
        <v>-0.2372774</v>
      </c>
      <c r="U1559">
        <v>-0.55010990000000004</v>
      </c>
      <c r="V1559">
        <v>2.6334779999999999E-2</v>
      </c>
      <c r="W1559">
        <v>0.1632257</v>
      </c>
      <c r="X1559">
        <v>0.98623720000000004</v>
      </c>
      <c r="Y1559">
        <v>0.18114189999999999</v>
      </c>
      <c r="Z1559">
        <v>-8.5541999999999997E-3</v>
      </c>
      <c r="AA1559">
        <v>0.98341979999999996</v>
      </c>
      <c r="AB1559">
        <v>18</v>
      </c>
      <c r="AC1559">
        <v>14.352099999999901</v>
      </c>
      <c r="AD1559">
        <v>-1.121692200127</v>
      </c>
      <c r="AE1559">
        <v>-2.60109999999997</v>
      </c>
      <c r="AF1559">
        <v>2.6552733561247099</v>
      </c>
      <c r="AG1559">
        <v>-1.121692200127</v>
      </c>
      <c r="AH1559">
        <v>14.254956343512101</v>
      </c>
      <c r="AI1559">
        <v>94.423437313523806</v>
      </c>
      <c r="AJ1559">
        <v>79.448429974057007</v>
      </c>
      <c r="AK1559">
        <v>14.543467617559701</v>
      </c>
      <c r="AL1559">
        <v>80.605822573279895</v>
      </c>
      <c r="AM1559">
        <v>88.470435624042906</v>
      </c>
      <c r="AN1559">
        <v>0.99999998222098896</v>
      </c>
    </row>
    <row r="1560" spans="1:40" x14ac:dyDescent="0.25">
      <c r="A1560" t="str">
        <f>"20190303161906218"</f>
        <v>20190303161906218</v>
      </c>
      <c r="B1560" t="str">
        <f>"1551601146204064"</f>
        <v>1551601146204064</v>
      </c>
      <c r="C1560" t="s">
        <v>40</v>
      </c>
      <c r="D1560">
        <v>4.6790349999999998</v>
      </c>
      <c r="E1560">
        <v>0.56947869999999901</v>
      </c>
      <c r="F1560" t="s">
        <v>46</v>
      </c>
      <c r="G1560">
        <v>-208.09690000000001</v>
      </c>
      <c r="H1560" s="1">
        <v>-5.5133019999999999E-6</v>
      </c>
      <c r="I1560">
        <v>364.0763</v>
      </c>
      <c r="J1560">
        <v>-226.31950000000001</v>
      </c>
      <c r="K1560">
        <v>1.121685</v>
      </c>
      <c r="L1560">
        <v>367.58240000000001</v>
      </c>
      <c r="M1560">
        <v>0.99988889999999997</v>
      </c>
      <c r="N1560">
        <v>-1.409319E-2</v>
      </c>
      <c r="O1560">
        <v>4.8702470000000003E-3</v>
      </c>
      <c r="P1560">
        <v>0.98858789999999996</v>
      </c>
      <c r="Q1560">
        <v>0.14908850000000001</v>
      </c>
      <c r="R1560">
        <v>-2.1608619999999999E-2</v>
      </c>
      <c r="S1560">
        <v>3.0502009999999999</v>
      </c>
      <c r="T1560">
        <v>-0.18655070000000001</v>
      </c>
      <c r="U1560">
        <v>-0.58300779999999996</v>
      </c>
      <c r="V1560">
        <v>2.6429689999999999E-2</v>
      </c>
      <c r="W1560">
        <v>0.16300319999999999</v>
      </c>
      <c r="X1560">
        <v>0.98627149999999997</v>
      </c>
      <c r="Y1560">
        <v>0.1920869</v>
      </c>
      <c r="Z1560">
        <v>-7.4103169999999996E-3</v>
      </c>
      <c r="AA1560">
        <v>0.9813499</v>
      </c>
      <c r="AB1560">
        <v>18</v>
      </c>
      <c r="AC1560">
        <v>18.2226</v>
      </c>
      <c r="AD1560">
        <v>-1.1216905133020001</v>
      </c>
      <c r="AE1560">
        <v>-3.5061</v>
      </c>
      <c r="AF1560">
        <v>3.58172904651863</v>
      </c>
      <c r="AG1560">
        <v>-1.1216905133020001</v>
      </c>
      <c r="AH1560">
        <v>18.139031127208799</v>
      </c>
      <c r="AI1560">
        <v>93.471713472604193</v>
      </c>
      <c r="AJ1560">
        <v>78.830081837965196</v>
      </c>
      <c r="AK1560">
        <v>18.5232670661565</v>
      </c>
      <c r="AL1560">
        <v>80.618744312215298</v>
      </c>
      <c r="AM1560">
        <v>88.464979099097107</v>
      </c>
      <c r="AN1560">
        <v>1.0000000217179901</v>
      </c>
    </row>
    <row r="1561" spans="1:40" x14ac:dyDescent="0.25">
      <c r="A1561" t="str">
        <f>"20190303161906230"</f>
        <v>20190303161906230</v>
      </c>
      <c r="B1561" t="str">
        <f>"1551601146224559"</f>
        <v>1551601146224559</v>
      </c>
      <c r="C1561" t="s">
        <v>40</v>
      </c>
      <c r="D1561">
        <v>4.7063110000000004</v>
      </c>
      <c r="E1561">
        <v>0.57185109999999995</v>
      </c>
      <c r="F1561" t="s">
        <v>46</v>
      </c>
      <c r="G1561">
        <v>-203.60599999999999</v>
      </c>
      <c r="H1561" s="1">
        <v>-3.701866E-6</v>
      </c>
      <c r="I1561">
        <v>363.08390000000003</v>
      </c>
      <c r="J1561">
        <v>-226.2276</v>
      </c>
      <c r="K1561">
        <v>1.1216820000000001</v>
      </c>
      <c r="L1561">
        <v>367.5829</v>
      </c>
      <c r="M1561">
        <v>0.99988889999999997</v>
      </c>
      <c r="N1561">
        <v>-1.409095E-2</v>
      </c>
      <c r="O1561">
        <v>4.8700840000000002E-3</v>
      </c>
      <c r="P1561">
        <v>0.98860680000000001</v>
      </c>
      <c r="Q1561">
        <v>0.14895050000000001</v>
      </c>
      <c r="R1561">
        <v>-2.1691160000000001E-2</v>
      </c>
      <c r="S1561">
        <v>3.044098</v>
      </c>
      <c r="T1561">
        <v>-0.15033099999999999</v>
      </c>
      <c r="U1561">
        <v>-0.60290529999999998</v>
      </c>
      <c r="V1561">
        <v>2.6512339999999999E-2</v>
      </c>
      <c r="W1561">
        <v>0.16286349999999999</v>
      </c>
      <c r="X1561">
        <v>0.98629239999999996</v>
      </c>
      <c r="Y1561">
        <v>0.19875390000000001</v>
      </c>
      <c r="Z1561">
        <v>-6.4426619999999896E-3</v>
      </c>
      <c r="AA1561">
        <v>0.98002829999999996</v>
      </c>
      <c r="AB1561">
        <v>18</v>
      </c>
      <c r="AC1561">
        <v>22.621600000000001</v>
      </c>
      <c r="AD1561">
        <v>-1.121685701866</v>
      </c>
      <c r="AE1561">
        <v>-4.4989999999999597</v>
      </c>
      <c r="AF1561">
        <v>4.59825135428044</v>
      </c>
      <c r="AG1561">
        <v>-1.121685701866</v>
      </c>
      <c r="AH1561">
        <v>22.5460953047285</v>
      </c>
      <c r="AI1561">
        <v>92.790804097805307</v>
      </c>
      <c r="AJ1561">
        <v>78.4726804348999</v>
      </c>
      <c r="AK1561">
        <v>23.037545611909501</v>
      </c>
      <c r="AL1561">
        <v>80.626857312866406</v>
      </c>
      <c r="AM1561">
        <v>88.460213756755806</v>
      </c>
      <c r="AN1561">
        <v>1.0000000610511399</v>
      </c>
    </row>
    <row r="1562" spans="1:40" x14ac:dyDescent="0.25">
      <c r="A1562" t="str">
        <f>"20190303161906241"</f>
        <v>20190303161906241</v>
      </c>
      <c r="B1562" t="str">
        <f>"1551601146234320"</f>
        <v>1551601146234320</v>
      </c>
      <c r="C1562" t="s">
        <v>40</v>
      </c>
      <c r="D1562">
        <v>4.6887319999999999</v>
      </c>
      <c r="E1562">
        <v>0.57240360000000001</v>
      </c>
      <c r="F1562" t="s">
        <v>46</v>
      </c>
      <c r="G1562">
        <v>-195.93989999999999</v>
      </c>
      <c r="H1562" s="1">
        <v>-8.6580499999999992E-6</v>
      </c>
      <c r="I1562">
        <v>361.37169999999998</v>
      </c>
      <c r="J1562">
        <v>-226.13200000000001</v>
      </c>
      <c r="K1562">
        <v>1.121688</v>
      </c>
      <c r="L1562">
        <v>367.58330000000001</v>
      </c>
      <c r="M1562">
        <v>0.99988889999999997</v>
      </c>
      <c r="N1562">
        <v>-1.4088659999999999E-2</v>
      </c>
      <c r="O1562">
        <v>4.8700999999999996E-3</v>
      </c>
      <c r="P1562">
        <v>0.98865159999999996</v>
      </c>
      <c r="Q1562">
        <v>0.14866070000000001</v>
      </c>
      <c r="R1562">
        <v>-2.1637770000000001E-2</v>
      </c>
      <c r="S1562">
        <v>3.0378720000000001</v>
      </c>
      <c r="T1562">
        <v>-0.11250639999999899</v>
      </c>
      <c r="U1562">
        <v>-0.62298580000000003</v>
      </c>
      <c r="V1562">
        <v>2.6459110000000001E-2</v>
      </c>
      <c r="W1562">
        <v>0.16257179999999999</v>
      </c>
      <c r="X1562">
        <v>0.98634189999999999</v>
      </c>
      <c r="Y1562">
        <v>0.2054715</v>
      </c>
      <c r="Z1562">
        <v>-5.3379760000000004E-3</v>
      </c>
      <c r="AA1562">
        <v>0.97864850000000003</v>
      </c>
      <c r="AB1562">
        <v>18</v>
      </c>
      <c r="AC1562">
        <v>30.1921</v>
      </c>
      <c r="AD1562">
        <v>-1.1216966580500001</v>
      </c>
      <c r="AE1562">
        <v>-6.21160000000003</v>
      </c>
      <c r="AF1562">
        <v>6.3501704397040299</v>
      </c>
      <c r="AG1562">
        <v>-1.1216966580500001</v>
      </c>
      <c r="AH1562">
        <v>30.121600142995</v>
      </c>
      <c r="AI1562">
        <v>92.086821529746103</v>
      </c>
      <c r="AJ1562">
        <v>78.095349115677195</v>
      </c>
      <c r="AK1562">
        <v>30.804117633531501</v>
      </c>
      <c r="AL1562">
        <v>80.643795751672997</v>
      </c>
      <c r="AM1562">
        <v>88.463380852811596</v>
      </c>
      <c r="AN1562">
        <v>1.0000000091764201</v>
      </c>
    </row>
    <row r="1563" spans="1:40" x14ac:dyDescent="0.25">
      <c r="A1563" t="str">
        <f>"20190303161906253"</f>
        <v>20190303161906253</v>
      </c>
      <c r="B1563" t="str">
        <f>"1551601146244081"</f>
        <v>1551601146244081</v>
      </c>
      <c r="C1563" t="s">
        <v>40</v>
      </c>
      <c r="D1563">
        <v>4.682137</v>
      </c>
      <c r="E1563">
        <v>0.57279559999999996</v>
      </c>
      <c r="F1563" t="s">
        <v>46</v>
      </c>
      <c r="G1563">
        <v>-193.43020000000001</v>
      </c>
      <c r="H1563" s="1">
        <v>-7.8618309999999996E-6</v>
      </c>
      <c r="I1563">
        <v>360.82940000000002</v>
      </c>
      <c r="J1563">
        <v>-226.04179999999999</v>
      </c>
      <c r="K1563">
        <v>1.121691</v>
      </c>
      <c r="L1563">
        <v>367.5838</v>
      </c>
      <c r="M1563">
        <v>0.99988900000000003</v>
      </c>
      <c r="N1563">
        <v>-1.408648E-2</v>
      </c>
      <c r="O1563">
        <v>4.8699360000000001E-3</v>
      </c>
      <c r="P1563">
        <v>0.98867289999999997</v>
      </c>
      <c r="Q1563">
        <v>0.14851929999999999</v>
      </c>
      <c r="R1563">
        <v>-2.1632510000000001E-2</v>
      </c>
      <c r="S1563">
        <v>3.036362</v>
      </c>
      <c r="T1563">
        <v>-0.1041493</v>
      </c>
      <c r="U1563">
        <v>-0.62710569999999999</v>
      </c>
      <c r="V1563">
        <v>2.6454080000000001E-2</v>
      </c>
      <c r="W1563">
        <v>0.16242870000000001</v>
      </c>
      <c r="X1563">
        <v>0.98636559999999995</v>
      </c>
      <c r="Y1563">
        <v>0.2068632</v>
      </c>
      <c r="Z1563">
        <v>-5.079994E-3</v>
      </c>
      <c r="AA1563">
        <v>0.97835669999999997</v>
      </c>
      <c r="AB1563">
        <v>18</v>
      </c>
      <c r="AC1563">
        <v>32.611599999999903</v>
      </c>
      <c r="AD1563">
        <v>-1.121698861831</v>
      </c>
      <c r="AE1563">
        <v>-6.7543999999999702</v>
      </c>
      <c r="AF1563">
        <v>6.9053186361555996</v>
      </c>
      <c r="AG1563">
        <v>-1.121698861831</v>
      </c>
      <c r="AH1563">
        <v>32.5414014334523</v>
      </c>
      <c r="AI1563">
        <v>91.931229638473198</v>
      </c>
      <c r="AJ1563">
        <v>78.019491760747002</v>
      </c>
      <c r="AK1563">
        <v>33.284898092927499</v>
      </c>
      <c r="AL1563">
        <v>80.652105126024694</v>
      </c>
      <c r="AM1563">
        <v>88.463709727819406</v>
      </c>
      <c r="AN1563">
        <v>0.99999999889784796</v>
      </c>
    </row>
    <row r="1564" spans="1:40" x14ac:dyDescent="0.25">
      <c r="A1564" t="str">
        <f>"20190303161906264"</f>
        <v>20190303161906264</v>
      </c>
      <c r="B1564" t="str">
        <f>"1551601146253841"</f>
        <v>1551601146253841</v>
      </c>
      <c r="C1564" t="s">
        <v>40</v>
      </c>
      <c r="D1564">
        <v>4.7051619999999996</v>
      </c>
      <c r="E1564">
        <v>0.57308740000000002</v>
      </c>
      <c r="F1564" t="s">
        <v>46</v>
      </c>
      <c r="G1564">
        <v>-191.18899999999999</v>
      </c>
      <c r="H1564" s="1">
        <v>-7.151121E-6</v>
      </c>
      <c r="I1564">
        <v>360.34289999999999</v>
      </c>
      <c r="J1564">
        <v>-225.95160000000001</v>
      </c>
      <c r="K1564">
        <v>1.121691</v>
      </c>
      <c r="L1564">
        <v>367.58420000000001</v>
      </c>
      <c r="M1564">
        <v>0.99988909999999998</v>
      </c>
      <c r="N1564">
        <v>-1.4084299999999999E-2</v>
      </c>
      <c r="O1564">
        <v>4.8699520000000003E-3</v>
      </c>
      <c r="P1564">
        <v>0.9886528</v>
      </c>
      <c r="Q1564">
        <v>0.1486392</v>
      </c>
      <c r="R1564">
        <v>-2.1731440000000001E-2</v>
      </c>
      <c r="S1564">
        <v>3.0352329999999998</v>
      </c>
      <c r="T1564">
        <v>-9.7685460000000002E-2</v>
      </c>
      <c r="U1564">
        <v>-0.6305847</v>
      </c>
      <c r="V1564">
        <v>2.6552659999999999E-2</v>
      </c>
      <c r="W1564">
        <v>0.16254589999999999</v>
      </c>
      <c r="X1564">
        <v>0.98634359999999999</v>
      </c>
      <c r="Y1564">
        <v>0.20802680000000001</v>
      </c>
      <c r="Z1564">
        <v>-4.8796000000000004E-3</v>
      </c>
      <c r="AA1564">
        <v>0.97811099999999995</v>
      </c>
      <c r="AB1564">
        <v>18</v>
      </c>
      <c r="AC1564">
        <v>34.7625999999999</v>
      </c>
      <c r="AD1564">
        <v>-1.121698151121</v>
      </c>
      <c r="AE1564">
        <v>-7.2413000000000203</v>
      </c>
      <c r="AF1564">
        <v>7.4031356050368702</v>
      </c>
      <c r="AG1564">
        <v>-1.121698151121</v>
      </c>
      <c r="AH1564">
        <v>34.692300526294098</v>
      </c>
      <c r="AI1564">
        <v>91.811136286286498</v>
      </c>
      <c r="AJ1564">
        <v>77.954089478938997</v>
      </c>
      <c r="AK1564">
        <v>35.491130431919203</v>
      </c>
      <c r="AL1564">
        <v>80.645299208388494</v>
      </c>
      <c r="AM1564">
        <v>88.457953189249494</v>
      </c>
      <c r="AN1564">
        <v>0.99999995531042096</v>
      </c>
    </row>
    <row r="1565" spans="1:40" x14ac:dyDescent="0.25">
      <c r="A1565" t="str">
        <f>"20190303161906275"</f>
        <v>20190303161906275</v>
      </c>
      <c r="B1565" t="str">
        <f>"1551601146264576"</f>
        <v>1551601146264576</v>
      </c>
      <c r="C1565" t="s">
        <v>40</v>
      </c>
      <c r="D1565">
        <v>4.7025639999999997</v>
      </c>
      <c r="E1565">
        <v>0.57336030000000004</v>
      </c>
      <c r="F1565" t="s">
        <v>46</v>
      </c>
      <c r="G1565">
        <v>-189.17580000000001</v>
      </c>
      <c r="H1565" s="1">
        <v>-5.4470060000000003E-6</v>
      </c>
      <c r="I1565">
        <v>359.90820000000002</v>
      </c>
      <c r="J1565">
        <v>-225.8622</v>
      </c>
      <c r="K1565">
        <v>1.1216900000000001</v>
      </c>
      <c r="L1565">
        <v>367.58460000000002</v>
      </c>
      <c r="M1565">
        <v>0.99988900000000003</v>
      </c>
      <c r="N1565">
        <v>-1.40821E-2</v>
      </c>
      <c r="O1565">
        <v>4.8699679999999997E-3</v>
      </c>
      <c r="P1565">
        <v>0.98861900000000003</v>
      </c>
      <c r="Q1565">
        <v>0.14883299999999999</v>
      </c>
      <c r="R1565">
        <v>-2.1939009999999998E-2</v>
      </c>
      <c r="S1565">
        <v>3.034424</v>
      </c>
      <c r="T1565">
        <v>-9.2552780000000001E-2</v>
      </c>
      <c r="U1565">
        <v>-0.63336179999999997</v>
      </c>
      <c r="V1565">
        <v>2.676015E-2</v>
      </c>
      <c r="W1565">
        <v>0.1627374</v>
      </c>
      <c r="X1565">
        <v>0.98630649999999997</v>
      </c>
      <c r="Y1565">
        <v>0.2089491</v>
      </c>
      <c r="Z1565">
        <v>-4.718463E-3</v>
      </c>
      <c r="AA1565">
        <v>0.97791510000000004</v>
      </c>
      <c r="AB1565">
        <v>18</v>
      </c>
      <c r="AC1565">
        <v>36.6863999999999</v>
      </c>
      <c r="AD1565">
        <v>-1.1216954470060001</v>
      </c>
      <c r="AE1565">
        <v>-7.6764000000000001</v>
      </c>
      <c r="AF1565">
        <v>7.8479593785148198</v>
      </c>
      <c r="AG1565">
        <v>-1.1216954470060001</v>
      </c>
      <c r="AH1565">
        <v>36.615783083018599</v>
      </c>
      <c r="AI1565">
        <v>91.715719746758296</v>
      </c>
      <c r="AJ1565">
        <v>77.902669461006596</v>
      </c>
      <c r="AK1565">
        <v>37.464172723621203</v>
      </c>
      <c r="AL1565">
        <v>80.634179798099794</v>
      </c>
      <c r="AM1565">
        <v>88.4458506569121</v>
      </c>
      <c r="AN1565">
        <v>1.0000000394645101</v>
      </c>
    </row>
    <row r="1566" spans="1:40" x14ac:dyDescent="0.25">
      <c r="A1566" t="str">
        <f>"20190303161906288"</f>
        <v>20190303161906288</v>
      </c>
      <c r="B1566" t="str">
        <f>"1551601146274336"</f>
        <v>1551601146274336</v>
      </c>
      <c r="C1566" t="s">
        <v>40</v>
      </c>
      <c r="D1566">
        <v>4.672167</v>
      </c>
      <c r="E1566">
        <v>0.57357829999999999</v>
      </c>
      <c r="F1566" t="s">
        <v>46</v>
      </c>
      <c r="G1566">
        <v>-186.80179999999999</v>
      </c>
      <c r="H1566" s="1">
        <v>-5.37638699999999E-6</v>
      </c>
      <c r="I1566">
        <v>359.39319999999998</v>
      </c>
      <c r="J1566">
        <v>-225.76589999999999</v>
      </c>
      <c r="K1566">
        <v>1.121691</v>
      </c>
      <c r="L1566">
        <v>367.58510000000001</v>
      </c>
      <c r="M1566">
        <v>0.99988909999999998</v>
      </c>
      <c r="N1566">
        <v>-1.407971E-2</v>
      </c>
      <c r="O1566">
        <v>4.8698650000000001E-3</v>
      </c>
      <c r="P1566">
        <v>0.98856809999999995</v>
      </c>
      <c r="Q1566">
        <v>0.14913899999999999</v>
      </c>
      <c r="R1566">
        <v>-2.2157960000000001E-2</v>
      </c>
      <c r="S1566">
        <v>3.0335239999999999</v>
      </c>
      <c r="T1566">
        <v>-8.7113620000000003E-2</v>
      </c>
      <c r="U1566">
        <v>-0.6361694</v>
      </c>
      <c r="V1566">
        <v>2.697859E-2</v>
      </c>
      <c r="W1566">
        <v>0.1630404</v>
      </c>
      <c r="X1566">
        <v>0.98625050000000003</v>
      </c>
      <c r="Y1566">
        <v>0.20988680000000001</v>
      </c>
      <c r="Z1566">
        <v>-4.5451399999999996E-3</v>
      </c>
      <c r="AA1566">
        <v>0.97771509999999995</v>
      </c>
      <c r="AB1566">
        <v>18</v>
      </c>
      <c r="AC1566">
        <v>38.964100000000002</v>
      </c>
      <c r="AD1566">
        <v>-1.121696376387</v>
      </c>
      <c r="AE1566">
        <v>-8.1919000000000306</v>
      </c>
      <c r="AF1566">
        <v>8.3749246645514592</v>
      </c>
      <c r="AG1566">
        <v>-1.121696376387</v>
      </c>
      <c r="AH1566">
        <v>38.892872590831303</v>
      </c>
      <c r="AI1566">
        <v>91.614992799920799</v>
      </c>
      <c r="AJ1566">
        <v>77.847876497499996</v>
      </c>
      <c r="AK1566">
        <v>39.800164626096098</v>
      </c>
      <c r="AL1566">
        <v>80.616584112311202</v>
      </c>
      <c r="AM1566">
        <v>88.433081693014898</v>
      </c>
      <c r="AN1566">
        <v>1.0000000325503899</v>
      </c>
    </row>
    <row r="1567" spans="1:40" x14ac:dyDescent="0.25">
      <c r="A1567" t="str">
        <f>"20190303161906298"</f>
        <v>20190303161906298</v>
      </c>
      <c r="B1567" t="str">
        <f>"1551601146284096"</f>
        <v>1551601146284096</v>
      </c>
      <c r="C1567" t="s">
        <v>40</v>
      </c>
      <c r="D1567">
        <v>4.6684289999999997</v>
      </c>
      <c r="E1567">
        <v>0.5738124</v>
      </c>
      <c r="F1567" t="s">
        <v>46</v>
      </c>
      <c r="G1567">
        <v>-184.95859999999999</v>
      </c>
      <c r="H1567" s="1">
        <v>-5.2976720000000002E-6</v>
      </c>
      <c r="I1567">
        <v>358.99450000000002</v>
      </c>
      <c r="J1567">
        <v>-225.67570000000001</v>
      </c>
      <c r="K1567">
        <v>1.1216930000000001</v>
      </c>
      <c r="L1567">
        <v>367.58550000000002</v>
      </c>
      <c r="M1567">
        <v>0.99988900000000003</v>
      </c>
      <c r="N1567">
        <v>-1.407743E-2</v>
      </c>
      <c r="O1567">
        <v>4.8700000000000002E-3</v>
      </c>
      <c r="P1567">
        <v>0.98851250000000002</v>
      </c>
      <c r="Q1567">
        <v>0.14949489999999999</v>
      </c>
      <c r="R1567">
        <v>-2.2235230000000002E-2</v>
      </c>
      <c r="S1567">
        <v>3.0329739999999998</v>
      </c>
      <c r="T1567">
        <v>-8.3369369999999998E-2</v>
      </c>
      <c r="U1567">
        <v>-0.63848879999999997</v>
      </c>
      <c r="V1567">
        <v>2.7055989999999999E-2</v>
      </c>
      <c r="W1567">
        <v>0.16339319999999999</v>
      </c>
      <c r="X1567">
        <v>0.98619000000000001</v>
      </c>
      <c r="Y1567">
        <v>0.210647</v>
      </c>
      <c r="Z1567">
        <v>-4.4270359999999996E-3</v>
      </c>
      <c r="AA1567">
        <v>0.97755219999999998</v>
      </c>
      <c r="AB1567">
        <v>18</v>
      </c>
      <c r="AC1567">
        <v>40.717100000000002</v>
      </c>
      <c r="AD1567">
        <v>-1.121698297672</v>
      </c>
      <c r="AE1567">
        <v>-8.5909999999999993</v>
      </c>
      <c r="AF1567">
        <v>8.7828286257195494</v>
      </c>
      <c r="AG1567">
        <v>-1.121698297672</v>
      </c>
      <c r="AH1567">
        <v>40.645242778259998</v>
      </c>
      <c r="AI1567">
        <v>91.5451621536711</v>
      </c>
      <c r="AJ1567">
        <v>77.806712026431697</v>
      </c>
      <c r="AK1567">
        <v>41.598462065843897</v>
      </c>
      <c r="AL1567">
        <v>80.596095486123104</v>
      </c>
      <c r="AM1567">
        <v>88.428492193228294</v>
      </c>
      <c r="AN1567">
        <v>1.00000004025055</v>
      </c>
    </row>
    <row r="1568" spans="1:40" x14ac:dyDescent="0.25">
      <c r="A1568" t="str">
        <f>"20190303161906310"</f>
        <v>20190303161906310</v>
      </c>
      <c r="B1568" t="str">
        <f>"1551601146304591"</f>
        <v>1551601146304591</v>
      </c>
      <c r="C1568" t="s">
        <v>40</v>
      </c>
      <c r="D1568">
        <v>4.6712490000000004</v>
      </c>
      <c r="E1568">
        <v>0.57404540000000004</v>
      </c>
      <c r="F1568" t="s">
        <v>46</v>
      </c>
      <c r="G1568">
        <v>-183.065</v>
      </c>
      <c r="H1568" s="1">
        <v>-5.2151329999999997E-6</v>
      </c>
      <c r="I1568">
        <v>358.58139999999997</v>
      </c>
      <c r="J1568">
        <v>-225.58420000000001</v>
      </c>
      <c r="K1568">
        <v>1.1216980000000001</v>
      </c>
      <c r="L1568">
        <v>367.58600000000001</v>
      </c>
      <c r="M1568">
        <v>0.99988920000000003</v>
      </c>
      <c r="N1568">
        <v>-1.407511E-2</v>
      </c>
      <c r="O1568">
        <v>4.8698969999999998E-3</v>
      </c>
      <c r="P1568">
        <v>0.98851670000000003</v>
      </c>
      <c r="Q1568">
        <v>0.14943499999999901</v>
      </c>
      <c r="R1568">
        <v>-2.244968E-2</v>
      </c>
      <c r="S1568">
        <v>3.0325160000000002</v>
      </c>
      <c r="T1568">
        <v>-7.9828979999999994E-2</v>
      </c>
      <c r="U1568">
        <v>-0.64080809999999999</v>
      </c>
      <c r="V1568">
        <v>2.727038E-2</v>
      </c>
      <c r="W1568">
        <v>0.16333110000000001</v>
      </c>
      <c r="X1568">
        <v>0.98619429999999997</v>
      </c>
      <c r="Y1568">
        <v>0.21140010000000001</v>
      </c>
      <c r="Z1568">
        <v>-4.3150869999999996E-3</v>
      </c>
      <c r="AA1568">
        <v>0.97739010000000004</v>
      </c>
      <c r="AB1568">
        <v>18</v>
      </c>
      <c r="AC1568">
        <v>42.519199999999998</v>
      </c>
      <c r="AD1568">
        <v>-1.12170321513299</v>
      </c>
      <c r="AE1568">
        <v>-9.0046000000000301</v>
      </c>
      <c r="AF1568">
        <v>9.2054461734095803</v>
      </c>
      <c r="AG1568">
        <v>-1.12170321513299</v>
      </c>
      <c r="AH1568">
        <v>42.446566720592799</v>
      </c>
      <c r="AI1568">
        <v>91.479385219012499</v>
      </c>
      <c r="AJ1568">
        <v>77.763673653764599</v>
      </c>
      <c r="AK1568">
        <v>43.447778812271999</v>
      </c>
      <c r="AL1568">
        <v>80.599701238229798</v>
      </c>
      <c r="AM1568">
        <v>88.416052883637605</v>
      </c>
      <c r="AN1568">
        <v>0.99999995960252097</v>
      </c>
    </row>
    <row r="1569" spans="1:40" x14ac:dyDescent="0.25">
      <c r="A1569" t="str">
        <f>"20190303161906321"</f>
        <v>20190303161906321</v>
      </c>
      <c r="B1569" t="str">
        <f>"1551601146314352"</f>
        <v>1551601146314352</v>
      </c>
      <c r="C1569" t="s">
        <v>40</v>
      </c>
      <c r="D1569">
        <v>4.6591480000000001</v>
      </c>
      <c r="E1569">
        <v>0.57415930000000004</v>
      </c>
      <c r="F1569" t="s">
        <v>46</v>
      </c>
      <c r="G1569">
        <v>-181.2894</v>
      </c>
      <c r="H1569" s="1">
        <v>-5.258105E-6</v>
      </c>
      <c r="I1569">
        <v>358.1832</v>
      </c>
      <c r="J1569">
        <v>-225.49029999999999</v>
      </c>
      <c r="K1569">
        <v>1.1216999999999999</v>
      </c>
      <c r="L1569">
        <v>367.58640000000003</v>
      </c>
      <c r="M1569">
        <v>0.99988909999999998</v>
      </c>
      <c r="N1569">
        <v>-1.4072690000000001E-2</v>
      </c>
      <c r="O1569">
        <v>4.8700339999999996E-3</v>
      </c>
      <c r="P1569">
        <v>0.98846630000000002</v>
      </c>
      <c r="Q1569">
        <v>0.14977009999999999</v>
      </c>
      <c r="R1569">
        <v>-2.243502E-2</v>
      </c>
      <c r="S1569">
        <v>3.0318299999999998</v>
      </c>
      <c r="T1569">
        <v>-7.6776739999999996E-2</v>
      </c>
      <c r="U1569">
        <v>-0.64358519999999997</v>
      </c>
      <c r="V1569">
        <v>2.7255649999999999E-2</v>
      </c>
      <c r="W1569">
        <v>0.16366269999999999</v>
      </c>
      <c r="X1569">
        <v>0.98613980000000001</v>
      </c>
      <c r="Y1569">
        <v>0.2123081</v>
      </c>
      <c r="Z1569">
        <v>-4.2231329999999996E-3</v>
      </c>
      <c r="AA1569">
        <v>0.97719370000000005</v>
      </c>
      <c r="AB1569">
        <v>18</v>
      </c>
      <c r="AC1569">
        <v>44.200899999999898</v>
      </c>
      <c r="AD1569">
        <v>-1.121705258105</v>
      </c>
      <c r="AE1569">
        <v>-9.4032000000000195</v>
      </c>
      <c r="AF1569">
        <v>9.6124471626329804</v>
      </c>
      <c r="AG1569">
        <v>-1.121705258105</v>
      </c>
      <c r="AH1569">
        <v>44.127389102449698</v>
      </c>
      <c r="AI1569">
        <v>91.422777144163305</v>
      </c>
      <c r="AJ1569">
        <v>77.711006677478807</v>
      </c>
      <c r="AK1569">
        <v>45.176142289260099</v>
      </c>
      <c r="AL1569">
        <v>80.580443457808698</v>
      </c>
      <c r="AM1569">
        <v>88.416820564987106</v>
      </c>
      <c r="AN1569">
        <v>1.00000002748612</v>
      </c>
    </row>
    <row r="1570" spans="1:40" x14ac:dyDescent="0.25">
      <c r="A1570" t="str">
        <f>"20190303161906336"</f>
        <v>20190303161906336</v>
      </c>
      <c r="B1570" t="str">
        <f>"1551601146324619"</f>
        <v>1551601146324619</v>
      </c>
      <c r="C1570" t="s">
        <v>40</v>
      </c>
      <c r="D1570">
        <v>4.6488509999999996</v>
      </c>
      <c r="E1570">
        <v>0.57430809999999999</v>
      </c>
      <c r="F1570" t="s">
        <v>46</v>
      </c>
      <c r="G1570">
        <v>-180</v>
      </c>
      <c r="H1570">
        <v>1.2150960000000001E-2</v>
      </c>
      <c r="I1570">
        <v>357.9117</v>
      </c>
      <c r="J1570">
        <v>-225.3777</v>
      </c>
      <c r="K1570">
        <v>1.1217010000000001</v>
      </c>
      <c r="L1570">
        <v>367.58699999999999</v>
      </c>
      <c r="M1570">
        <v>0.99988909999999998</v>
      </c>
      <c r="N1570">
        <v>-1.406978E-2</v>
      </c>
      <c r="O1570">
        <v>4.8700540000000004E-3</v>
      </c>
      <c r="P1570">
        <v>0.98846369999999895</v>
      </c>
      <c r="Q1570">
        <v>0.1498101</v>
      </c>
      <c r="R1570">
        <v>-2.2279630000000002E-2</v>
      </c>
      <c r="S1570">
        <v>3.0315699999999999</v>
      </c>
      <c r="T1570">
        <v>-7.3942659999999993E-2</v>
      </c>
      <c r="U1570">
        <v>-0.64474489999999995</v>
      </c>
      <c r="V1570">
        <v>2.7100269999999999E-2</v>
      </c>
      <c r="W1570">
        <v>0.16369990000000001</v>
      </c>
      <c r="X1570">
        <v>0.98613790000000001</v>
      </c>
      <c r="Y1570">
        <v>0.21268870000000001</v>
      </c>
      <c r="Z1570">
        <v>-4.1276990000000003E-3</v>
      </c>
      <c r="AA1570">
        <v>0.97711130000000002</v>
      </c>
      <c r="AB1570">
        <v>18</v>
      </c>
      <c r="AC1570">
        <v>45.377699999999997</v>
      </c>
      <c r="AD1570">
        <v>-1.10955004</v>
      </c>
      <c r="AE1570">
        <v>-9.6752999999999894</v>
      </c>
      <c r="AF1570">
        <v>9.89054282877043</v>
      </c>
      <c r="AG1570">
        <v>-1.10955004</v>
      </c>
      <c r="AH1570">
        <v>45.304129589331197</v>
      </c>
      <c r="AI1570">
        <v>91.370687493442205</v>
      </c>
      <c r="AJ1570">
        <v>77.684734440685901</v>
      </c>
      <c r="AK1570">
        <v>46.3844596452942</v>
      </c>
      <c r="AL1570">
        <v>80.578282843679006</v>
      </c>
      <c r="AM1570">
        <v>88.425838426291406</v>
      </c>
      <c r="AN1570">
        <v>1.0000000198552399</v>
      </c>
    </row>
    <row r="1571" spans="1:40" x14ac:dyDescent="0.25">
      <c r="A1571" t="str">
        <f>"20190303161906350"</f>
        <v>20190303161906350</v>
      </c>
      <c r="B1571" t="str">
        <f>"1551601146344139"</f>
        <v>1551601146344139</v>
      </c>
      <c r="C1571" t="s">
        <v>40</v>
      </c>
      <c r="D1571">
        <v>4.642436</v>
      </c>
      <c r="E1571">
        <v>0.57461450000000003</v>
      </c>
      <c r="F1571" t="s">
        <v>46</v>
      </c>
      <c r="G1571">
        <v>-180</v>
      </c>
      <c r="H1571">
        <v>3.9757149999999998E-2</v>
      </c>
      <c r="I1571">
        <v>357.92790000000002</v>
      </c>
      <c r="J1571">
        <v>-225.2705</v>
      </c>
      <c r="K1571">
        <v>1.1217029999999999</v>
      </c>
      <c r="L1571">
        <v>367.58749999999998</v>
      </c>
      <c r="M1571">
        <v>0.99988929999999998</v>
      </c>
      <c r="N1571">
        <v>-1.406701E-2</v>
      </c>
      <c r="O1571">
        <v>4.8697760000000001E-3</v>
      </c>
      <c r="P1571">
        <v>0.98845430000000001</v>
      </c>
      <c r="Q1571">
        <v>0.149843</v>
      </c>
      <c r="R1571">
        <v>-2.2486180000000001E-2</v>
      </c>
      <c r="S1571">
        <v>3.0314179999999999</v>
      </c>
      <c r="T1571">
        <v>-7.2278380000000003E-2</v>
      </c>
      <c r="U1571">
        <v>-0.6452637</v>
      </c>
      <c r="V1571">
        <v>2.7306179999999999E-2</v>
      </c>
      <c r="W1571">
        <v>0.16372999999999999</v>
      </c>
      <c r="X1571">
        <v>0.98612719999999998</v>
      </c>
      <c r="Y1571">
        <v>0.21286179999999999</v>
      </c>
      <c r="Z1571">
        <v>-4.0704290000000004E-3</v>
      </c>
      <c r="AA1571">
        <v>0.97707379999999999</v>
      </c>
      <c r="AB1571">
        <v>18</v>
      </c>
      <c r="AC1571">
        <v>45.270499999999998</v>
      </c>
      <c r="AD1571">
        <v>-1.0819458500000001</v>
      </c>
      <c r="AE1571">
        <v>-9.6595999999999496</v>
      </c>
      <c r="AF1571">
        <v>9.8745697847226896</v>
      </c>
      <c r="AG1571">
        <v>-1.0819458500000001</v>
      </c>
      <c r="AH1571">
        <v>45.198225822494898</v>
      </c>
      <c r="AI1571">
        <v>91.339685559831906</v>
      </c>
      <c r="AJ1571">
        <v>77.676086627013404</v>
      </c>
      <c r="AK1571">
        <v>46.276963521356201</v>
      </c>
      <c r="AL1571">
        <v>80.576534440781302</v>
      </c>
      <c r="AM1571">
        <v>88.413866707132797</v>
      </c>
      <c r="AN1571">
        <v>0.99999999747301604</v>
      </c>
    </row>
    <row r="1572" spans="1:40" x14ac:dyDescent="0.25">
      <c r="A1572" t="str">
        <f>"20190303161906364"</f>
        <v>20190303161906364</v>
      </c>
      <c r="B1572" t="str">
        <f>"1551601146353900"</f>
        <v>1551601146353900</v>
      </c>
      <c r="C1572" t="s">
        <v>40</v>
      </c>
      <c r="D1572">
        <v>4.6327949999999998</v>
      </c>
      <c r="E1572">
        <v>0.57473619999999903</v>
      </c>
      <c r="F1572" t="s">
        <v>46</v>
      </c>
      <c r="G1572">
        <v>-179.9709</v>
      </c>
      <c r="H1572">
        <v>7.9045980000000002E-2</v>
      </c>
      <c r="I1572">
        <v>357.89229999999998</v>
      </c>
      <c r="J1572">
        <v>-225.16059999999999</v>
      </c>
      <c r="K1572">
        <v>1.121705</v>
      </c>
      <c r="L1572">
        <v>367.58800000000002</v>
      </c>
      <c r="M1572">
        <v>0.99988940000000004</v>
      </c>
      <c r="N1572">
        <v>-1.4064180000000001E-2</v>
      </c>
      <c r="O1572">
        <v>4.869796E-3</v>
      </c>
      <c r="P1572">
        <v>0.9884503</v>
      </c>
      <c r="Q1572">
        <v>0.14983550000000001</v>
      </c>
      <c r="R1572">
        <v>-2.2706859999999999E-2</v>
      </c>
      <c r="S1572">
        <v>3.0308839999999999</v>
      </c>
      <c r="T1572">
        <v>-6.9761749999999997E-2</v>
      </c>
      <c r="U1572">
        <v>-0.64868159999999997</v>
      </c>
      <c r="V1572">
        <v>2.752715E-2</v>
      </c>
      <c r="W1572">
        <v>0.1637197</v>
      </c>
      <c r="X1572">
        <v>0.98612279999999997</v>
      </c>
      <c r="Y1572">
        <v>0.21395539999999999</v>
      </c>
      <c r="Z1572">
        <v>-3.9993269999999996E-3</v>
      </c>
      <c r="AA1572">
        <v>0.97683529999999996</v>
      </c>
      <c r="AB1572">
        <v>18</v>
      </c>
      <c r="AC1572">
        <v>45.189699999999903</v>
      </c>
      <c r="AD1572">
        <v>-1.0426590200000001</v>
      </c>
      <c r="AE1572">
        <v>-9.6957000000000395</v>
      </c>
      <c r="AF1572">
        <v>9.9106275255114706</v>
      </c>
      <c r="AG1572">
        <v>-1.0426590200000001</v>
      </c>
      <c r="AH1572">
        <v>45.118980813833403</v>
      </c>
      <c r="AI1572">
        <v>91.293003792675094</v>
      </c>
      <c r="AJ1572">
        <v>77.611415766525297</v>
      </c>
      <c r="AK1572">
        <v>46.206385981382297</v>
      </c>
      <c r="AL1572">
        <v>80.577132972912494</v>
      </c>
      <c r="AM1572">
        <v>88.401030734857102</v>
      </c>
      <c r="AN1572">
        <v>1.0000000304175201</v>
      </c>
    </row>
    <row r="1573" spans="1:40" x14ac:dyDescent="0.25">
      <c r="A1573" t="str">
        <f>"20190303161906378"</f>
        <v>20190303161906378</v>
      </c>
      <c r="B1573" t="str">
        <f>"1551601146364635"</f>
        <v>1551601146364635</v>
      </c>
      <c r="C1573" t="s">
        <v>40</v>
      </c>
      <c r="D1573">
        <v>4.6827170000000002</v>
      </c>
      <c r="E1573">
        <v>0.57487569999999999</v>
      </c>
      <c r="F1573" t="s">
        <v>46</v>
      </c>
      <c r="G1573">
        <v>-179.62950000000001</v>
      </c>
      <c r="H1573">
        <v>7.9987899999999904E-2</v>
      </c>
      <c r="I1573">
        <v>357.82150000000001</v>
      </c>
      <c r="J1573">
        <v>-225.0548</v>
      </c>
      <c r="K1573">
        <v>1.121704</v>
      </c>
      <c r="L1573">
        <v>367.58850000000001</v>
      </c>
      <c r="M1573">
        <v>0.99988929999999998</v>
      </c>
      <c r="N1573">
        <v>-1.406145E-2</v>
      </c>
      <c r="O1573">
        <v>4.8698159999999999E-3</v>
      </c>
      <c r="P1573">
        <v>0.98843320000000001</v>
      </c>
      <c r="Q1573">
        <v>0.14991170000000001</v>
      </c>
      <c r="R1573">
        <v>-2.2944019999999999E-2</v>
      </c>
      <c r="S1573">
        <v>3.030624</v>
      </c>
      <c r="T1573">
        <v>-6.9338440000000001E-2</v>
      </c>
      <c r="U1573">
        <v>-0.65008540000000004</v>
      </c>
      <c r="V1573">
        <v>2.776406E-2</v>
      </c>
      <c r="W1573">
        <v>0.16379299999999999</v>
      </c>
      <c r="X1573">
        <v>0.98610399999999998</v>
      </c>
      <c r="Y1573">
        <v>0.21440580000000001</v>
      </c>
      <c r="Z1573">
        <v>-3.9920670000000002E-3</v>
      </c>
      <c r="AA1573">
        <v>0.97673650000000001</v>
      </c>
      <c r="AB1573">
        <v>18</v>
      </c>
      <c r="AC1573">
        <v>45.425299999999901</v>
      </c>
      <c r="AD1573">
        <v>-1.0417160999999999</v>
      </c>
      <c r="AE1573">
        <v>-9.7669999999999906</v>
      </c>
      <c r="AF1573">
        <v>9.9831007605287603</v>
      </c>
      <c r="AG1573">
        <v>-1.0417160999999999</v>
      </c>
      <c r="AH1573">
        <v>45.354395142666299</v>
      </c>
      <c r="AI1573">
        <v>91.285008439380505</v>
      </c>
      <c r="AJ1573">
        <v>77.586395509368302</v>
      </c>
      <c r="AK1573">
        <v>46.451788253898101</v>
      </c>
      <c r="AL1573">
        <v>80.572875855506396</v>
      </c>
      <c r="AM1573">
        <v>88.387245852407503</v>
      </c>
      <c r="AN1573">
        <v>1.0000000443463399</v>
      </c>
    </row>
    <row r="1574" spans="1:40" x14ac:dyDescent="0.25">
      <c r="A1574" t="str">
        <f>"20190303161906391"</f>
        <v>20190303161906391</v>
      </c>
      <c r="B1574" t="str">
        <f>"1551601146384156"</f>
        <v>1551601146384156</v>
      </c>
      <c r="C1574" t="s">
        <v>40</v>
      </c>
      <c r="D1574">
        <v>4.6725770000000004</v>
      </c>
      <c r="E1574">
        <v>0.5753028</v>
      </c>
      <c r="F1574" t="s">
        <v>46</v>
      </c>
      <c r="G1574">
        <v>-177.9992</v>
      </c>
      <c r="H1574">
        <v>7.9987970000000005E-2</v>
      </c>
      <c r="I1574">
        <v>357.46820000000002</v>
      </c>
      <c r="J1574">
        <v>-224.94460000000001</v>
      </c>
      <c r="K1574">
        <v>1.121704</v>
      </c>
      <c r="L1574">
        <v>367.58909999999997</v>
      </c>
      <c r="M1574">
        <v>0.99988929999999998</v>
      </c>
      <c r="N1574">
        <v>-1.4058609999999999E-2</v>
      </c>
      <c r="O1574">
        <v>4.8696570000000003E-3</v>
      </c>
      <c r="P1574">
        <v>0.98843000000000003</v>
      </c>
      <c r="Q1574">
        <v>0.14990249999999999</v>
      </c>
      <c r="R1574">
        <v>-2.314217E-2</v>
      </c>
      <c r="S1574">
        <v>3.030151</v>
      </c>
      <c r="T1574">
        <v>-6.7081450000000001E-2</v>
      </c>
      <c r="U1574">
        <v>-0.65170289999999997</v>
      </c>
      <c r="V1574">
        <v>2.7962049999999999E-2</v>
      </c>
      <c r="W1574">
        <v>0.1637808</v>
      </c>
      <c r="X1574">
        <v>0.98610039999999999</v>
      </c>
      <c r="Y1574">
        <v>0.21493960000000001</v>
      </c>
      <c r="Z1574">
        <v>-3.919227E-3</v>
      </c>
      <c r="AA1574">
        <v>0.97661949999999997</v>
      </c>
      <c r="AB1574">
        <v>18</v>
      </c>
      <c r="AC1574">
        <v>46.945399999999999</v>
      </c>
      <c r="AD1574">
        <v>-1.0417160299999999</v>
      </c>
      <c r="AE1574">
        <v>-10.120899999999899</v>
      </c>
      <c r="AF1574">
        <v>10.344543206714601</v>
      </c>
      <c r="AG1574">
        <v>-1.0417160299999999</v>
      </c>
      <c r="AH1574">
        <v>46.873497950123998</v>
      </c>
      <c r="AI1574">
        <v>91.243225505983006</v>
      </c>
      <c r="AJ1574">
        <v>77.554841895826897</v>
      </c>
      <c r="AK1574">
        <v>48.012702033139398</v>
      </c>
      <c r="AL1574">
        <v>80.5735841325655</v>
      </c>
      <c r="AM1574">
        <v>88.3757452542024</v>
      </c>
      <c r="AN1574">
        <v>1.0000000127844999</v>
      </c>
    </row>
    <row r="1575" spans="1:40" x14ac:dyDescent="0.25">
      <c r="A1575" t="str">
        <f>"20190303161906403"</f>
        <v>20190303161906403</v>
      </c>
      <c r="B1575" t="str">
        <f>"1551601146393916"</f>
        <v>1551601146393916</v>
      </c>
      <c r="C1575" t="s">
        <v>40</v>
      </c>
      <c r="D1575">
        <v>4.6051739999999999</v>
      </c>
      <c r="E1575">
        <v>0.59538919999999995</v>
      </c>
      <c r="F1575" t="s">
        <v>46</v>
      </c>
      <c r="G1575">
        <v>-179.33690000000001</v>
      </c>
      <c r="H1575">
        <v>7.9987909999999995E-2</v>
      </c>
      <c r="I1575">
        <v>357.72480000000002</v>
      </c>
      <c r="J1575">
        <v>-224.845</v>
      </c>
      <c r="K1575">
        <v>1.1217029999999999</v>
      </c>
      <c r="L1575">
        <v>367.58949999999999</v>
      </c>
      <c r="M1575">
        <v>0.99988940000000004</v>
      </c>
      <c r="N1575">
        <v>-1.4056040000000001E-2</v>
      </c>
      <c r="O1575">
        <v>4.8696750000000004E-3</v>
      </c>
      <c r="P1575">
        <v>0.98846000000000001</v>
      </c>
      <c r="Q1575">
        <v>0.1496112</v>
      </c>
      <c r="R1575">
        <v>-2.373248E-2</v>
      </c>
      <c r="S1575">
        <v>3.030243</v>
      </c>
      <c r="T1575">
        <v>-6.9213150000000001E-2</v>
      </c>
      <c r="U1575">
        <v>-0.65539550000000002</v>
      </c>
      <c r="V1575">
        <v>2.855272E-2</v>
      </c>
      <c r="W1575">
        <v>0.163487299999999</v>
      </c>
      <c r="X1575">
        <v>0.98613209999999996</v>
      </c>
      <c r="Y1575">
        <v>0.21606590000000001</v>
      </c>
      <c r="Z1575">
        <v>-4.017606E-3</v>
      </c>
      <c r="AA1575">
        <v>0.97637050000000003</v>
      </c>
      <c r="AB1575">
        <v>18</v>
      </c>
      <c r="AC1575">
        <v>45.508099999999899</v>
      </c>
      <c r="AD1575">
        <v>-1.0417150900000001</v>
      </c>
      <c r="AE1575">
        <v>-9.8646999999999707</v>
      </c>
      <c r="AF1575">
        <v>10.0811692232518</v>
      </c>
      <c r="AG1575">
        <v>-1.0417150900000001</v>
      </c>
      <c r="AH1575">
        <v>45.436777904424297</v>
      </c>
      <c r="AI1575">
        <v>91.282202872897798</v>
      </c>
      <c r="AJ1575">
        <v>77.490291108491107</v>
      </c>
      <c r="AK1575">
        <v>46.553366468737202</v>
      </c>
      <c r="AL1575">
        <v>80.590629485028501</v>
      </c>
      <c r="AM1575">
        <v>88.341506767974494</v>
      </c>
      <c r="AN1575">
        <v>0.999999936865547</v>
      </c>
    </row>
    <row r="1576" spans="1:40" x14ac:dyDescent="0.25">
      <c r="A1576" t="str">
        <f>"20190303161906419"</f>
        <v>20190303161906419</v>
      </c>
      <c r="B1576" t="str">
        <f>"1551601146414412"</f>
        <v>1551601146414412</v>
      </c>
      <c r="C1576" t="s">
        <v>40</v>
      </c>
      <c r="D1576">
        <v>4.9050539999999998</v>
      </c>
      <c r="E1576">
        <v>0.59043630000000003</v>
      </c>
      <c r="F1576" t="s">
        <v>46</v>
      </c>
      <c r="G1576">
        <v>-204.33359999999999</v>
      </c>
      <c r="H1576" s="1">
        <v>-4.2868640000000003E-6</v>
      </c>
      <c r="I1576">
        <v>362.09660000000002</v>
      </c>
      <c r="J1576">
        <v>-224.72130000000001</v>
      </c>
      <c r="K1576">
        <v>1.121702</v>
      </c>
      <c r="L1576">
        <v>367.59010000000001</v>
      </c>
      <c r="M1576">
        <v>0.99988940000000004</v>
      </c>
      <c r="N1576">
        <v>-1.405287E-2</v>
      </c>
      <c r="O1576">
        <v>4.8696980000000004E-3</v>
      </c>
      <c r="P1576">
        <v>0.98854569999999997</v>
      </c>
      <c r="Q1576">
        <v>0.1489934</v>
      </c>
      <c r="R1576">
        <v>-2.4049230000000001E-2</v>
      </c>
      <c r="S1576">
        <v>3.0406339999999998</v>
      </c>
      <c r="T1576">
        <v>-0.1662825</v>
      </c>
      <c r="U1576">
        <v>-0.81426999999999905</v>
      </c>
      <c r="V1576">
        <v>2.886973E-2</v>
      </c>
      <c r="W1576">
        <v>0.1628677</v>
      </c>
      <c r="X1576">
        <v>0.98622549999999998</v>
      </c>
      <c r="Y1576">
        <v>0.26291219999999998</v>
      </c>
      <c r="Z1576">
        <v>-9.1348450000000008E-3</v>
      </c>
      <c r="AA1576">
        <v>0.96477650000000004</v>
      </c>
      <c r="AB1576">
        <v>18</v>
      </c>
      <c r="AC1576">
        <v>20.387699999999999</v>
      </c>
      <c r="AD1576">
        <v>-1.121706286864</v>
      </c>
      <c r="AE1576">
        <v>-5.4934999999999796</v>
      </c>
      <c r="AF1576">
        <v>5.5769874200124798</v>
      </c>
      <c r="AG1576">
        <v>-1.121706286864</v>
      </c>
      <c r="AH1576">
        <v>20.303404337180801</v>
      </c>
      <c r="AI1576">
        <v>93.049491120644703</v>
      </c>
      <c r="AJ1576">
        <v>74.640668940066305</v>
      </c>
      <c r="AK1576">
        <v>21.085284948418899</v>
      </c>
      <c r="AL1576">
        <v>80.626613242765899</v>
      </c>
      <c r="AM1576">
        <v>88.323262322511098</v>
      </c>
      <c r="AN1576">
        <v>1.0000000429319</v>
      </c>
    </row>
    <row r="1577" spans="1:40" x14ac:dyDescent="0.25">
      <c r="A1577" t="str">
        <f>"20190303161906432"</f>
        <v>20190303161906432</v>
      </c>
      <c r="B1577" t="str">
        <f>"1551601146423702"</f>
        <v>1551601146423702</v>
      </c>
      <c r="C1577" t="s">
        <v>40</v>
      </c>
      <c r="D1577">
        <v>4.8549930000000003</v>
      </c>
      <c r="E1577">
        <v>0.58822589999999997</v>
      </c>
      <c r="F1577" t="s">
        <v>41</v>
      </c>
      <c r="G1577">
        <v>-210.68950000000001</v>
      </c>
      <c r="H1577" s="1">
        <v>-4.9669109999999999E-6</v>
      </c>
      <c r="I1577">
        <v>364.03309999999999</v>
      </c>
      <c r="J1577">
        <v>-224.62899999999999</v>
      </c>
      <c r="K1577">
        <v>1.1216999999999999</v>
      </c>
      <c r="L1577">
        <v>367.59059999999999</v>
      </c>
      <c r="M1577">
        <v>0.99988960000000005</v>
      </c>
      <c r="N1577">
        <v>-1.405051E-2</v>
      </c>
      <c r="O1577">
        <v>4.8693570000000004E-3</v>
      </c>
      <c r="P1577">
        <v>0.98861370000000004</v>
      </c>
      <c r="Q1577">
        <v>0.14846029999999999</v>
      </c>
      <c r="R1577">
        <v>-2.4550900000000001E-2</v>
      </c>
      <c r="S1577">
        <v>3.0527190000000002</v>
      </c>
      <c r="T1577">
        <v>-0.24403420000000001</v>
      </c>
      <c r="U1577">
        <v>-0.77386469999999996</v>
      </c>
      <c r="V1577">
        <v>2.937153E-2</v>
      </c>
      <c r="W1577">
        <v>0.16233320000000001</v>
      </c>
      <c r="X1577">
        <v>0.98629869999999997</v>
      </c>
      <c r="Y1577">
        <v>0.2495484</v>
      </c>
      <c r="Z1577">
        <v>-1.1903270000000001E-2</v>
      </c>
      <c r="AA1577">
        <v>0.96828919999999996</v>
      </c>
      <c r="AB1577">
        <v>18</v>
      </c>
      <c r="AC1577">
        <v>13.939500000000001</v>
      </c>
      <c r="AD1577">
        <v>-1.121704966911</v>
      </c>
      <c r="AE1577">
        <v>-3.5575000000000001</v>
      </c>
      <c r="AF1577">
        <v>3.6034342558430899</v>
      </c>
      <c r="AG1577">
        <v>-1.121704966911</v>
      </c>
      <c r="AH1577">
        <v>13.837884485243601</v>
      </c>
      <c r="AI1577">
        <v>94.485347891358998</v>
      </c>
      <c r="AJ1577">
        <v>75.404128232709098</v>
      </c>
      <c r="AK1577">
        <v>14.343291375968199</v>
      </c>
      <c r="AL1577">
        <v>80.657649915848395</v>
      </c>
      <c r="AM1577">
        <v>88.294261662821597</v>
      </c>
      <c r="AN1577">
        <v>0.99999994010923299</v>
      </c>
    </row>
    <row r="1578" spans="1:40" x14ac:dyDescent="0.25">
      <c r="A1578" t="str">
        <f>"20190303161906445"</f>
        <v>20190303161906445</v>
      </c>
      <c r="B1578" t="str">
        <f>"1551601146434439"</f>
        <v>1551601146434439</v>
      </c>
      <c r="C1578" t="s">
        <v>40</v>
      </c>
      <c r="D1578">
        <v>4.556667</v>
      </c>
      <c r="E1578">
        <v>0.58953919999999904</v>
      </c>
      <c r="F1578" t="s">
        <v>41</v>
      </c>
      <c r="G1578">
        <v>-212.51490000000001</v>
      </c>
      <c r="H1578" s="1">
        <v>-4.0843769999999998E-6</v>
      </c>
      <c r="I1578">
        <v>364.59350000000001</v>
      </c>
      <c r="J1578">
        <v>-224.5247</v>
      </c>
      <c r="K1578">
        <v>1.1216950000000001</v>
      </c>
      <c r="L1578">
        <v>367.59109999999998</v>
      </c>
      <c r="M1578">
        <v>0.99988949999999999</v>
      </c>
      <c r="N1578">
        <v>-1.4047860000000001E-2</v>
      </c>
      <c r="O1578">
        <v>4.8693749999999996E-3</v>
      </c>
      <c r="P1578">
        <v>0.98868480000000003</v>
      </c>
      <c r="Q1578">
        <v>0.14790599999999901</v>
      </c>
      <c r="R1578">
        <v>-2.5030879999999998E-2</v>
      </c>
      <c r="S1578">
        <v>3.0582889999999998</v>
      </c>
      <c r="T1578">
        <v>-0.28317999999999999</v>
      </c>
      <c r="U1578">
        <v>-0.75662229999999997</v>
      </c>
      <c r="V1578">
        <v>2.9851659999999999E-2</v>
      </c>
      <c r="W1578">
        <v>0.161777</v>
      </c>
      <c r="X1578">
        <v>0.98637569999999997</v>
      </c>
      <c r="Y1578">
        <v>0.24373059999999999</v>
      </c>
      <c r="Z1578">
        <v>-1.3211290000000001E-2</v>
      </c>
      <c r="AA1578">
        <v>0.96975299999999998</v>
      </c>
      <c r="AB1578">
        <v>18</v>
      </c>
      <c r="AC1578">
        <v>12.009799999999901</v>
      </c>
      <c r="AD1578">
        <v>-1.1216990843770001</v>
      </c>
      <c r="AE1578">
        <v>-2.9975999999999701</v>
      </c>
      <c r="AF1578">
        <v>3.0311593785716502</v>
      </c>
      <c r="AG1578">
        <v>-1.1216990843770001</v>
      </c>
      <c r="AH1578">
        <v>11.8973617764766</v>
      </c>
      <c r="AI1578">
        <v>95.2202068470516</v>
      </c>
      <c r="AJ1578">
        <v>75.7065124181035</v>
      </c>
      <c r="AK1578">
        <v>12.328558441868299</v>
      </c>
      <c r="AL1578">
        <v>80.689944997711606</v>
      </c>
      <c r="AM1578">
        <v>88.266530456922894</v>
      </c>
      <c r="AN1578">
        <v>0.99999997044212197</v>
      </c>
    </row>
    <row r="1579" spans="1:40" x14ac:dyDescent="0.25">
      <c r="A1579" t="str">
        <f>"20190303161906456"</f>
        <v>20190303161906456</v>
      </c>
      <c r="B1579" t="str">
        <f>"1551601146444198"</f>
        <v>1551601146444198</v>
      </c>
      <c r="C1579" t="s">
        <v>40</v>
      </c>
      <c r="D1579">
        <v>4.57674</v>
      </c>
      <c r="E1579">
        <v>0.59097419999999901</v>
      </c>
      <c r="F1579" t="s">
        <v>41</v>
      </c>
      <c r="G1579">
        <v>-211.90270000000001</v>
      </c>
      <c r="H1579" s="1">
        <v>-4.3787869999999998E-6</v>
      </c>
      <c r="I1579">
        <v>364.4144</v>
      </c>
      <c r="J1579">
        <v>-224.43279999999999</v>
      </c>
      <c r="K1579">
        <v>1.1216930000000001</v>
      </c>
      <c r="L1579">
        <v>367.5915</v>
      </c>
      <c r="M1579">
        <v>0.99988960000000005</v>
      </c>
      <c r="N1579">
        <v>-1.404557E-2</v>
      </c>
      <c r="O1579">
        <v>4.8693909999999998E-3</v>
      </c>
      <c r="P1579">
        <v>0.98878540000000004</v>
      </c>
      <c r="Q1579">
        <v>0.14718299999999901</v>
      </c>
      <c r="R1579">
        <v>-2.531102E-2</v>
      </c>
      <c r="S1579">
        <v>3.055466</v>
      </c>
      <c r="T1579">
        <v>-0.27153379999999999</v>
      </c>
      <c r="U1579">
        <v>-0.7689819</v>
      </c>
      <c r="V1579">
        <v>3.0132329999999999E-2</v>
      </c>
      <c r="W1579">
        <v>0.16105329999999901</v>
      </c>
      <c r="X1579">
        <v>0.98648559999999996</v>
      </c>
      <c r="Y1579">
        <v>0.247699</v>
      </c>
      <c r="Z1579">
        <v>-1.2945170000000001E-2</v>
      </c>
      <c r="AA1579">
        <v>0.96875049999999996</v>
      </c>
      <c r="AB1579">
        <v>18</v>
      </c>
      <c r="AC1579">
        <v>12.5300999999999</v>
      </c>
      <c r="AD1579">
        <v>-1.1216973787869999</v>
      </c>
      <c r="AE1579">
        <v>-3.17709999999999</v>
      </c>
      <c r="AF1579">
        <v>3.2138824949076699</v>
      </c>
      <c r="AG1579">
        <v>-1.1216973787869999</v>
      </c>
      <c r="AH1579">
        <v>12.420952419676</v>
      </c>
      <c r="AI1579">
        <v>94.9965304921474</v>
      </c>
      <c r="AJ1579">
        <v>75.493057360272203</v>
      </c>
      <c r="AK1579">
        <v>12.878948121353099</v>
      </c>
      <c r="AL1579">
        <v>80.731961025144102</v>
      </c>
      <c r="AM1579">
        <v>88.2504369999575</v>
      </c>
      <c r="AN1579">
        <v>0.99999998087973896</v>
      </c>
    </row>
    <row r="1580" spans="1:40" x14ac:dyDescent="0.25">
      <c r="A1580" t="str">
        <f>"20190303161906471"</f>
        <v>20190303161906471</v>
      </c>
      <c r="B1580" t="str">
        <f>"1551601146464695"</f>
        <v>1551601146464695</v>
      </c>
      <c r="C1580" t="s">
        <v>40</v>
      </c>
      <c r="D1580">
        <v>4.6077519999999996</v>
      </c>
      <c r="E1580">
        <v>0.59106919999999996</v>
      </c>
      <c r="F1580" t="s">
        <v>41</v>
      </c>
      <c r="G1580">
        <v>-211.33420000000001</v>
      </c>
      <c r="H1580" s="1">
        <v>-4.6533489999999999E-6</v>
      </c>
      <c r="I1580">
        <v>364.2414</v>
      </c>
      <c r="J1580">
        <v>-224.32130000000001</v>
      </c>
      <c r="K1580">
        <v>1.121678</v>
      </c>
      <c r="L1580">
        <v>367.59199999999998</v>
      </c>
      <c r="M1580">
        <v>0.99988960000000005</v>
      </c>
      <c r="N1580">
        <v>-1.404277E-2</v>
      </c>
      <c r="O1580">
        <v>4.8692919999999999E-3</v>
      </c>
      <c r="P1580">
        <v>0.98891450000000003</v>
      </c>
      <c r="Q1580">
        <v>0.1459908</v>
      </c>
      <c r="R1580">
        <v>-2.711005E-2</v>
      </c>
      <c r="S1580">
        <v>3.0529480000000002</v>
      </c>
      <c r="T1580">
        <v>-0.26143899999999998</v>
      </c>
      <c r="U1580">
        <v>-0.78082280000000004</v>
      </c>
      <c r="V1580">
        <v>3.1931809999999998E-2</v>
      </c>
      <c r="W1580">
        <v>0.15986059999999999</v>
      </c>
      <c r="X1580">
        <v>0.98662300000000003</v>
      </c>
      <c r="Y1580">
        <v>0.25147399999999998</v>
      </c>
      <c r="Z1580">
        <v>-1.271831E-2</v>
      </c>
      <c r="AA1580">
        <v>0.96778050000000004</v>
      </c>
      <c r="AB1580">
        <v>18</v>
      </c>
      <c r="AC1580">
        <v>12.9870999999999</v>
      </c>
      <c r="AD1580">
        <v>-1.1216826533490001</v>
      </c>
      <c r="AE1580">
        <v>-3.35059999999998</v>
      </c>
      <c r="AF1580">
        <v>3.3900939359498099</v>
      </c>
      <c r="AG1580">
        <v>-1.1216826533490001</v>
      </c>
      <c r="AH1580">
        <v>12.8805419567255</v>
      </c>
      <c r="AI1580">
        <v>94.813831876894497</v>
      </c>
      <c r="AJ1580">
        <v>75.254450165509496</v>
      </c>
      <c r="AK1580">
        <v>13.366348415642699</v>
      </c>
      <c r="AL1580">
        <v>80.801194939156403</v>
      </c>
      <c r="AM1580">
        <v>88.146283291981007</v>
      </c>
      <c r="AN1580">
        <v>0.99999999802561801</v>
      </c>
    </row>
    <row r="1581" spans="1:40" x14ac:dyDescent="0.25">
      <c r="A1581" t="str">
        <f>"20190303161906486"</f>
        <v>20190303161906486</v>
      </c>
      <c r="B1581" t="str">
        <f>"1551601146474455"</f>
        <v>1551601146474455</v>
      </c>
      <c r="C1581" t="s">
        <v>40</v>
      </c>
      <c r="D1581">
        <v>4.920712</v>
      </c>
      <c r="E1581">
        <v>0.5904201</v>
      </c>
      <c r="F1581" t="s">
        <v>41</v>
      </c>
      <c r="G1581">
        <v>-211.37739999999999</v>
      </c>
      <c r="H1581" s="1">
        <v>-4.6324199999999996E-6</v>
      </c>
      <c r="I1581">
        <v>364.255</v>
      </c>
      <c r="J1581">
        <v>-224.20500000000001</v>
      </c>
      <c r="K1581">
        <v>1.121675</v>
      </c>
      <c r="L1581">
        <v>367.59269999999998</v>
      </c>
      <c r="M1581">
        <v>0.99988969999999999</v>
      </c>
      <c r="N1581">
        <v>-1.403983E-2</v>
      </c>
      <c r="O1581">
        <v>4.8691339999999998E-3</v>
      </c>
      <c r="P1581">
        <v>0.98902789999999996</v>
      </c>
      <c r="Q1581">
        <v>0.14505499999999999</v>
      </c>
      <c r="R1581">
        <v>-2.7989440000000001E-2</v>
      </c>
      <c r="S1581">
        <v>3.0511020000000002</v>
      </c>
      <c r="T1581">
        <v>-0.26439879999999999</v>
      </c>
      <c r="U1581">
        <v>-0.78659060000000003</v>
      </c>
      <c r="V1581">
        <v>3.2811510000000002E-2</v>
      </c>
      <c r="W1581">
        <v>0.15892339999999999</v>
      </c>
      <c r="X1581">
        <v>0.98674550000000005</v>
      </c>
      <c r="Y1581">
        <v>0.25330039999999998</v>
      </c>
      <c r="Z1581">
        <v>-1.293714E-2</v>
      </c>
      <c r="AA1581">
        <v>0.96730110000000002</v>
      </c>
      <c r="AB1581">
        <v>17</v>
      </c>
      <c r="AC1581">
        <v>12.8276</v>
      </c>
      <c r="AD1581">
        <v>-1.12167963242</v>
      </c>
      <c r="AE1581">
        <v>-3.3376999999999799</v>
      </c>
      <c r="AF1581">
        <v>3.3759494259721001</v>
      </c>
      <c r="AG1581">
        <v>-1.12167963242</v>
      </c>
      <c r="AH1581">
        <v>12.720101135982301</v>
      </c>
      <c r="AI1581">
        <v>94.871600864130997</v>
      </c>
      <c r="AJ1581">
        <v>75.136215054131497</v>
      </c>
      <c r="AK1581">
        <v>13.2081858191852</v>
      </c>
      <c r="AL1581">
        <v>80.855587608156895</v>
      </c>
      <c r="AM1581">
        <v>88.095488043149899</v>
      </c>
      <c r="AN1581">
        <v>0.99999996201314401</v>
      </c>
    </row>
    <row r="1582" spans="1:40" x14ac:dyDescent="0.25">
      <c r="A1582" t="str">
        <f>"20190303161906496"</f>
        <v>20190303161906496</v>
      </c>
      <c r="B1582" t="str">
        <f>"1551601146484216"</f>
        <v>1551601146484216</v>
      </c>
      <c r="C1582" t="s">
        <v>40</v>
      </c>
      <c r="D1582">
        <v>4.9258769999999998</v>
      </c>
      <c r="E1582">
        <v>0.58985469999999995</v>
      </c>
      <c r="F1582" t="s">
        <v>41</v>
      </c>
      <c r="G1582">
        <v>-211.70840000000001</v>
      </c>
      <c r="H1582" s="1">
        <v>-4.4678069999999998E-6</v>
      </c>
      <c r="I1582">
        <v>364.38249999999999</v>
      </c>
      <c r="J1582">
        <v>-224.12110000000001</v>
      </c>
      <c r="K1582">
        <v>1.121672</v>
      </c>
      <c r="L1582">
        <v>367.59300000000002</v>
      </c>
      <c r="M1582">
        <v>0.99988969999999999</v>
      </c>
      <c r="N1582">
        <v>-1.40377E-2</v>
      </c>
      <c r="O1582">
        <v>4.869328E-3</v>
      </c>
      <c r="P1582">
        <v>0.98912650000000002</v>
      </c>
      <c r="Q1582">
        <v>0.1442389</v>
      </c>
      <c r="R1582">
        <v>-2.8709330000000002E-2</v>
      </c>
      <c r="S1582">
        <v>3.0512700000000001</v>
      </c>
      <c r="T1582">
        <v>-0.2738777</v>
      </c>
      <c r="U1582">
        <v>-0.78381350000000005</v>
      </c>
      <c r="V1582">
        <v>3.3531949999999998E-2</v>
      </c>
      <c r="W1582">
        <v>0.1581061</v>
      </c>
      <c r="X1582">
        <v>0.98685259999999997</v>
      </c>
      <c r="Y1582">
        <v>0.25239440000000002</v>
      </c>
      <c r="Z1582">
        <v>-1.3291000000000001E-2</v>
      </c>
      <c r="AA1582">
        <v>0.96753319999999998</v>
      </c>
      <c r="AB1582">
        <v>17</v>
      </c>
      <c r="AC1582">
        <v>12.412699999999999</v>
      </c>
      <c r="AD1582">
        <v>-1.1216764678069999</v>
      </c>
      <c r="AE1582">
        <v>-3.2105000000000201</v>
      </c>
      <c r="AF1582">
        <v>3.2460645061508302</v>
      </c>
      <c r="AG1582">
        <v>-1.1216764678069999</v>
      </c>
      <c r="AH1582">
        <v>12.3027548863204</v>
      </c>
      <c r="AI1582">
        <v>95.037935992293399</v>
      </c>
      <c r="AJ1582">
        <v>75.219432716788603</v>
      </c>
      <c r="AK1582">
        <v>12.773130809218401</v>
      </c>
      <c r="AL1582">
        <v>80.903015374386797</v>
      </c>
      <c r="AM1582">
        <v>88.053913688623993</v>
      </c>
      <c r="AN1582">
        <v>0.99999999232738601</v>
      </c>
    </row>
    <row r="1583" spans="1:40" x14ac:dyDescent="0.25">
      <c r="A1583" t="str">
        <f>"20190303161906508"</f>
        <v>20190303161906508</v>
      </c>
      <c r="B1583" t="str">
        <f>"1551601146493975"</f>
        <v>1551601146493975</v>
      </c>
      <c r="C1583" t="s">
        <v>40</v>
      </c>
      <c r="D1583">
        <v>4.9424289999999997</v>
      </c>
      <c r="E1583">
        <v>0.58947499999999997</v>
      </c>
      <c r="F1583" t="s">
        <v>41</v>
      </c>
      <c r="G1583">
        <v>-212.0001</v>
      </c>
      <c r="H1583" s="1">
        <v>-4.3233919999999998E-6</v>
      </c>
      <c r="I1583">
        <v>364.49110000000002</v>
      </c>
      <c r="J1583">
        <v>-224.0343</v>
      </c>
      <c r="K1583">
        <v>1.121664</v>
      </c>
      <c r="L1583">
        <v>367.59339999999997</v>
      </c>
      <c r="M1583">
        <v>0.99988969999999999</v>
      </c>
      <c r="N1583">
        <v>-1.4035489999999999E-2</v>
      </c>
      <c r="O1583">
        <v>4.8693429999999999E-3</v>
      </c>
      <c r="P1583">
        <v>0.98922569999999999</v>
      </c>
      <c r="Q1583">
        <v>0.1433526</v>
      </c>
      <c r="R1583">
        <v>-2.9706420000000001E-2</v>
      </c>
      <c r="S1583">
        <v>3.051498</v>
      </c>
      <c r="T1583">
        <v>-0.28238370000000002</v>
      </c>
      <c r="U1583">
        <v>-0.78091429999999995</v>
      </c>
      <c r="V1583">
        <v>3.4529669999999998E-2</v>
      </c>
      <c r="W1583">
        <v>0.15721940000000001</v>
      </c>
      <c r="X1583">
        <v>0.9869599</v>
      </c>
      <c r="Y1583">
        <v>0.25145269999999997</v>
      </c>
      <c r="Z1583">
        <v>-1.3599160000000001E-2</v>
      </c>
      <c r="AA1583">
        <v>0.96777400000000002</v>
      </c>
      <c r="AB1583">
        <v>17</v>
      </c>
      <c r="AC1583">
        <v>12.034199999999901</v>
      </c>
      <c r="AD1583">
        <v>-1.121668323392</v>
      </c>
      <c r="AE1583">
        <v>-3.1022999999999499</v>
      </c>
      <c r="AF1583">
        <v>3.1353268361357798</v>
      </c>
      <c r="AG1583">
        <v>-1.121668323392</v>
      </c>
      <c r="AH1583">
        <v>11.921832797186401</v>
      </c>
      <c r="AI1583">
        <v>95.199093497504293</v>
      </c>
      <c r="AJ1583">
        <v>75.265416050374796</v>
      </c>
      <c r="AK1583">
        <v>12.378146526890101</v>
      </c>
      <c r="AL1583">
        <v>80.954463443132795</v>
      </c>
      <c r="AM1583">
        <v>87.996273451357695</v>
      </c>
      <c r="AN1583">
        <v>1.00000004102733</v>
      </c>
    </row>
    <row r="1584" spans="1:40" x14ac:dyDescent="0.25">
      <c r="A1584" t="str">
        <f>"20190303161906519"</f>
        <v>20190303161906519</v>
      </c>
      <c r="B1584" t="str">
        <f>"1551601146503735"</f>
        <v>1551601146503735</v>
      </c>
      <c r="C1584" t="s">
        <v>40</v>
      </c>
      <c r="D1584">
        <v>4.9382590000000004</v>
      </c>
      <c r="E1584">
        <v>0.58917269999999999</v>
      </c>
      <c r="F1584" t="s">
        <v>41</v>
      </c>
      <c r="G1584">
        <v>-212.20920000000001</v>
      </c>
      <c r="H1584" s="1">
        <v>-4.2198709999999999E-6</v>
      </c>
      <c r="I1584">
        <v>364.56900000000002</v>
      </c>
      <c r="J1584">
        <v>-223.94649999999999</v>
      </c>
      <c r="K1584">
        <v>1.1216630000000001</v>
      </c>
      <c r="L1584">
        <v>367.59390000000002</v>
      </c>
      <c r="M1584">
        <v>0.9998899</v>
      </c>
      <c r="N1584">
        <v>-1.403327E-2</v>
      </c>
      <c r="O1584">
        <v>4.8691799999999999E-3</v>
      </c>
      <c r="P1584">
        <v>0.98931159999999996</v>
      </c>
      <c r="Q1584">
        <v>0.1425681</v>
      </c>
      <c r="R1584">
        <v>-3.0615679999999999E-2</v>
      </c>
      <c r="S1584">
        <v>3.051193</v>
      </c>
      <c r="T1584">
        <v>-0.28942050000000002</v>
      </c>
      <c r="U1584">
        <v>-0.78039550000000002</v>
      </c>
      <c r="V1584">
        <v>3.5438999999999998E-2</v>
      </c>
      <c r="W1584">
        <v>0.156433399999999</v>
      </c>
      <c r="X1584">
        <v>0.9870525</v>
      </c>
      <c r="Y1584">
        <v>0.2512664</v>
      </c>
      <c r="Z1584">
        <v>-1.388499E-2</v>
      </c>
      <c r="AA1584">
        <v>0.96781839999999997</v>
      </c>
      <c r="AB1584">
        <v>17</v>
      </c>
      <c r="AC1584">
        <v>11.7372999999999</v>
      </c>
      <c r="AD1584">
        <v>-1.1216672198709901</v>
      </c>
      <c r="AE1584">
        <v>-3.0249000000000001</v>
      </c>
      <c r="AF1584">
        <v>3.0558512174986401</v>
      </c>
      <c r="AG1584">
        <v>-1.1216672198709901</v>
      </c>
      <c r="AH1584">
        <v>11.622894988045401</v>
      </c>
      <c r="AI1584">
        <v>95.332142698088106</v>
      </c>
      <c r="AJ1584">
        <v>75.269371446116196</v>
      </c>
      <c r="AK1584">
        <v>12.070130567593299</v>
      </c>
      <c r="AL1584">
        <v>81.000061642809797</v>
      </c>
      <c r="AM1584">
        <v>87.943743311771897</v>
      </c>
      <c r="AN1584">
        <v>0.99999998455640404</v>
      </c>
    </row>
    <row r="1585" spans="1:40" x14ac:dyDescent="0.25">
      <c r="A1585" t="str">
        <f>"20190303161906531"</f>
        <v>20190303161906531</v>
      </c>
      <c r="B1585" t="str">
        <f>"1551601146514471"</f>
        <v>1551601146514471</v>
      </c>
      <c r="C1585" t="s">
        <v>40</v>
      </c>
      <c r="D1585">
        <v>4.9508229999999998</v>
      </c>
      <c r="E1585">
        <v>0.58887819999999902</v>
      </c>
      <c r="F1585" t="s">
        <v>41</v>
      </c>
      <c r="G1585">
        <v>-212.39</v>
      </c>
      <c r="H1585" s="1">
        <v>-4.1301819999999998E-6</v>
      </c>
      <c r="I1585">
        <v>364.63740000000001</v>
      </c>
      <c r="J1585">
        <v>-223.86179999999999</v>
      </c>
      <c r="K1585">
        <v>1.1216619999999999</v>
      </c>
      <c r="L1585">
        <v>367.59429999999998</v>
      </c>
      <c r="M1585">
        <v>0.99988969999999999</v>
      </c>
      <c r="N1585">
        <v>-1.4031129999999999E-2</v>
      </c>
      <c r="O1585">
        <v>4.8691960000000001E-3</v>
      </c>
      <c r="P1585">
        <v>0.9893246</v>
      </c>
      <c r="Q1585">
        <v>0.14224619999999999</v>
      </c>
      <c r="R1585">
        <v>-3.1672779999999998E-2</v>
      </c>
      <c r="S1585">
        <v>3.0509339999999998</v>
      </c>
      <c r="T1585">
        <v>-0.29612159999999998</v>
      </c>
      <c r="U1585">
        <v>-0.78051759999999903</v>
      </c>
      <c r="V1585">
        <v>3.6496260000000003E-2</v>
      </c>
      <c r="W1585">
        <v>0.1561099</v>
      </c>
      <c r="X1585">
        <v>0.98706519999999998</v>
      </c>
      <c r="Y1585">
        <v>0.25126809999999999</v>
      </c>
      <c r="Z1585">
        <v>-1.416622E-2</v>
      </c>
      <c r="AA1585">
        <v>0.96781379999999995</v>
      </c>
      <c r="AB1585">
        <v>17</v>
      </c>
      <c r="AC1585">
        <v>11.4718</v>
      </c>
      <c r="AD1585">
        <v>-1.1216661301819999</v>
      </c>
      <c r="AE1585">
        <v>-2.9568999999999601</v>
      </c>
      <c r="AF1585">
        <v>2.9859610621902801</v>
      </c>
      <c r="AG1585">
        <v>-1.1216661301819999</v>
      </c>
      <c r="AH1585">
        <v>11.3554680877086</v>
      </c>
      <c r="AI1585">
        <v>95.456913219154401</v>
      </c>
      <c r="AJ1585">
        <v>75.267385542900101</v>
      </c>
      <c r="AK1585">
        <v>11.794946115327599</v>
      </c>
      <c r="AL1585">
        <v>81.018827462228103</v>
      </c>
      <c r="AM1585">
        <v>87.882480781877405</v>
      </c>
      <c r="AN1585">
        <v>0.99999999346151802</v>
      </c>
    </row>
    <row r="1586" spans="1:40" x14ac:dyDescent="0.25">
      <c r="A1586" t="str">
        <f>"20190303161906544"</f>
        <v>20190303161906544</v>
      </c>
      <c r="B1586" t="str">
        <f>"1551601146533991"</f>
        <v>1551601146533991</v>
      </c>
      <c r="C1586" t="s">
        <v>40</v>
      </c>
      <c r="D1586">
        <v>4.6201470000000002</v>
      </c>
      <c r="E1586">
        <v>0.58939960000000002</v>
      </c>
      <c r="F1586" t="s">
        <v>41</v>
      </c>
      <c r="G1586">
        <v>-212.48070000000001</v>
      </c>
      <c r="H1586" s="1">
        <v>-4.0834779999999998E-6</v>
      </c>
      <c r="I1586">
        <v>364.6814</v>
      </c>
      <c r="J1586">
        <v>-223.75470000000001</v>
      </c>
      <c r="K1586">
        <v>1.121661</v>
      </c>
      <c r="L1586">
        <v>367.59480000000002</v>
      </c>
      <c r="M1586">
        <v>0.99988980000000005</v>
      </c>
      <c r="N1586">
        <v>-1.402843E-2</v>
      </c>
      <c r="O1586">
        <v>4.8692149999999997E-3</v>
      </c>
      <c r="P1586">
        <v>0.98934200000000005</v>
      </c>
      <c r="Q1586">
        <v>0.1418953</v>
      </c>
      <c r="R1586">
        <v>-3.2683980000000001E-2</v>
      </c>
      <c r="S1586">
        <v>3.0506129999999998</v>
      </c>
      <c r="T1586">
        <v>-0.300651</v>
      </c>
      <c r="U1586">
        <v>-0.780761699999999</v>
      </c>
      <c r="V1586">
        <v>3.7507520000000003E-2</v>
      </c>
      <c r="W1586">
        <v>0.1557566</v>
      </c>
      <c r="X1586">
        <v>0.98708309999999999</v>
      </c>
      <c r="Y1586">
        <v>0.25132749999999998</v>
      </c>
      <c r="Z1586">
        <v>-1.435987E-2</v>
      </c>
      <c r="AA1586">
        <v>0.96779559999999998</v>
      </c>
      <c r="AB1586">
        <v>17</v>
      </c>
      <c r="AC1586">
        <v>11.273999999999999</v>
      </c>
      <c r="AD1586">
        <v>-1.121665083478</v>
      </c>
      <c r="AE1586">
        <v>-2.9134000000000202</v>
      </c>
      <c r="AF1586">
        <v>2.9409774047547899</v>
      </c>
      <c r="AG1586">
        <v>-1.121665083478</v>
      </c>
      <c r="AH1586">
        <v>11.156162252978</v>
      </c>
      <c r="AI1586">
        <v>95.552887813378604</v>
      </c>
      <c r="AJ1586">
        <v>75.231726555760403</v>
      </c>
      <c r="AK1586">
        <v>11.5916968934468</v>
      </c>
      <c r="AL1586">
        <v>81.0393207068321</v>
      </c>
      <c r="AM1586">
        <v>87.823902379400394</v>
      </c>
      <c r="AN1586">
        <v>0.99999998940285995</v>
      </c>
    </row>
    <row r="1587" spans="1:40" x14ac:dyDescent="0.25">
      <c r="A1587" t="str">
        <f>"20190303161906558"</f>
        <v>20190303161906558</v>
      </c>
      <c r="B1587" t="str">
        <f>"1551601146543751"</f>
        <v>1551601146543751</v>
      </c>
      <c r="C1587" t="s">
        <v>40</v>
      </c>
      <c r="D1587">
        <v>4.6574790000000004</v>
      </c>
      <c r="E1587">
        <v>0.58993370000000001</v>
      </c>
      <c r="F1587" t="s">
        <v>41</v>
      </c>
      <c r="G1587">
        <v>-212.23570000000001</v>
      </c>
      <c r="H1587" s="1">
        <v>-4.1996079999999998E-6</v>
      </c>
      <c r="I1587">
        <v>364.61919999999998</v>
      </c>
      <c r="J1587">
        <v>-223.64519999999999</v>
      </c>
      <c r="K1587">
        <v>1.1216600000000001</v>
      </c>
      <c r="L1587">
        <v>367.59530000000001</v>
      </c>
      <c r="M1587">
        <v>0.9998899</v>
      </c>
      <c r="N1587">
        <v>-1.4025650000000001E-2</v>
      </c>
      <c r="O1587">
        <v>4.8690549999999997E-3</v>
      </c>
      <c r="P1587">
        <v>0.98933610000000005</v>
      </c>
      <c r="Q1587">
        <v>0.14158399999999999</v>
      </c>
      <c r="R1587">
        <v>-3.4180750000000003E-2</v>
      </c>
      <c r="S1587">
        <v>3.0488740000000001</v>
      </c>
      <c r="T1587">
        <v>-0.296882599999999</v>
      </c>
      <c r="U1587">
        <v>-0.78756709999999996</v>
      </c>
      <c r="V1587">
        <v>3.9003990000000002E-2</v>
      </c>
      <c r="W1587">
        <v>0.15544240000000001</v>
      </c>
      <c r="X1587">
        <v>0.98707460000000002</v>
      </c>
      <c r="Y1587">
        <v>0.25350489999999998</v>
      </c>
      <c r="Z1587">
        <v>-1.432542E-2</v>
      </c>
      <c r="AA1587">
        <v>0.96722810000000004</v>
      </c>
      <c r="AB1587">
        <v>17</v>
      </c>
      <c r="AC1587">
        <v>11.4094999999999</v>
      </c>
      <c r="AD1587">
        <v>-1.1216641996079999</v>
      </c>
      <c r="AE1587">
        <v>-2.9761000000000299</v>
      </c>
      <c r="AF1587">
        <v>3.0044362281247801</v>
      </c>
      <c r="AG1587">
        <v>-1.1216641996079999</v>
      </c>
      <c r="AH1587">
        <v>11.2926839415377</v>
      </c>
      <c r="AI1587">
        <v>95.482883079224493</v>
      </c>
      <c r="AJ1587">
        <v>75.101490856764599</v>
      </c>
      <c r="AK1587">
        <v>11.739228178590601</v>
      </c>
      <c r="AL1587">
        <v>81.057544729964306</v>
      </c>
      <c r="AM1587">
        <v>87.737149786963002</v>
      </c>
      <c r="AN1587">
        <v>0.99999995845941902</v>
      </c>
    </row>
    <row r="1588" spans="1:40" x14ac:dyDescent="0.25">
      <c r="A1588" t="str">
        <f>"20190303161906573"</f>
        <v>20190303161906573</v>
      </c>
      <c r="B1588" t="str">
        <f>"1551601146564246"</f>
        <v>1551601146564246</v>
      </c>
      <c r="C1588" t="s">
        <v>40</v>
      </c>
      <c r="D1588">
        <v>4.8455370000000002</v>
      </c>
      <c r="E1588">
        <v>0.5896865</v>
      </c>
      <c r="F1588" t="s">
        <v>41</v>
      </c>
      <c r="G1588">
        <v>-211.96039999999999</v>
      </c>
      <c r="H1588" s="1">
        <v>-4.3313649999999998E-6</v>
      </c>
      <c r="I1588">
        <v>364.54219999999998</v>
      </c>
      <c r="J1588">
        <v>-223.53489999999999</v>
      </c>
      <c r="K1588">
        <v>1.1216619999999999</v>
      </c>
      <c r="L1588">
        <v>367.59589999999997</v>
      </c>
      <c r="M1588">
        <v>0.99988980000000005</v>
      </c>
      <c r="N1588">
        <v>-1.402286E-2</v>
      </c>
      <c r="O1588">
        <v>4.8690749999999996E-3</v>
      </c>
      <c r="P1588">
        <v>0.98920889999999995</v>
      </c>
      <c r="Q1588">
        <v>0.14129839999999999</v>
      </c>
      <c r="R1588">
        <v>-3.8738099999999998E-2</v>
      </c>
      <c r="S1588">
        <v>3.0466769999999999</v>
      </c>
      <c r="T1588">
        <v>-0.29245969999999999</v>
      </c>
      <c r="U1588">
        <v>-0.79605099999999995</v>
      </c>
      <c r="V1588">
        <v>4.3560759999999997E-2</v>
      </c>
      <c r="W1588">
        <v>0.15515129999999999</v>
      </c>
      <c r="X1588">
        <v>0.98692979999999997</v>
      </c>
      <c r="Y1588">
        <v>0.2562179</v>
      </c>
      <c r="Z1588">
        <v>-1.4290539999999999E-2</v>
      </c>
      <c r="AA1588">
        <v>0.96651339999999997</v>
      </c>
      <c r="AB1588">
        <v>17</v>
      </c>
      <c r="AC1588">
        <v>11.5745</v>
      </c>
      <c r="AD1588">
        <v>-1.1216663313649999</v>
      </c>
      <c r="AE1588">
        <v>-3.0536999999999899</v>
      </c>
      <c r="AF1588">
        <v>3.0829577996077702</v>
      </c>
      <c r="AG1588">
        <v>-1.1216663313649999</v>
      </c>
      <c r="AH1588">
        <v>11.4588825941777</v>
      </c>
      <c r="AI1588">
        <v>95.399830495801496</v>
      </c>
      <c r="AJ1588">
        <v>74.941423984018599</v>
      </c>
      <c r="AK1588">
        <v>11.9192598117597</v>
      </c>
      <c r="AL1588">
        <v>81.074428272101002</v>
      </c>
      <c r="AM1588">
        <v>87.472739352570002</v>
      </c>
      <c r="AN1588">
        <v>0.99999994791575197</v>
      </c>
    </row>
    <row r="1589" spans="1:40" x14ac:dyDescent="0.25">
      <c r="A1589" t="str">
        <f>"20190303161906589"</f>
        <v>20190303161906589</v>
      </c>
      <c r="B1589" t="str">
        <f>"1551601146574007"</f>
        <v>1551601146574007</v>
      </c>
      <c r="C1589" t="s">
        <v>40</v>
      </c>
      <c r="D1589">
        <v>5.0203559999999996</v>
      </c>
      <c r="E1589">
        <v>0.58941719999999997</v>
      </c>
      <c r="F1589" t="s">
        <v>41</v>
      </c>
      <c r="G1589">
        <v>-212.02529999999999</v>
      </c>
      <c r="H1589" s="1">
        <v>-4.3029680000000001E-6</v>
      </c>
      <c r="I1589">
        <v>364.5453</v>
      </c>
      <c r="J1589">
        <v>-223.40479999999999</v>
      </c>
      <c r="K1589">
        <v>1.1216649999999999</v>
      </c>
      <c r="L1589">
        <v>367.59640000000002</v>
      </c>
      <c r="M1589">
        <v>0.99988999999999995</v>
      </c>
      <c r="N1589">
        <v>-1.401956E-2</v>
      </c>
      <c r="O1589">
        <v>4.8687409999999898E-3</v>
      </c>
      <c r="P1589">
        <v>0.9891588</v>
      </c>
      <c r="Q1589">
        <v>0.1407523</v>
      </c>
      <c r="R1589">
        <v>-4.1877400000000002E-2</v>
      </c>
      <c r="S1589">
        <v>3.0435029999999998</v>
      </c>
      <c r="T1589">
        <v>-0.29660379999999997</v>
      </c>
      <c r="U1589">
        <v>-0.80667109999999997</v>
      </c>
      <c r="V1589">
        <v>4.6699589999999999E-2</v>
      </c>
      <c r="W1589">
        <v>0.15460160000000001</v>
      </c>
      <c r="X1589">
        <v>0.98687259999999999</v>
      </c>
      <c r="Y1589">
        <v>0.25956380000000001</v>
      </c>
      <c r="Z1589">
        <v>-1.4658869999999999E-2</v>
      </c>
      <c r="AA1589">
        <v>0.96561470000000005</v>
      </c>
      <c r="AB1589">
        <v>17</v>
      </c>
      <c r="AC1589">
        <v>11.3795</v>
      </c>
      <c r="AD1589">
        <v>-1.1216693029679901</v>
      </c>
      <c r="AE1589">
        <v>-3.0511000000000101</v>
      </c>
      <c r="AF1589">
        <v>3.0785681090532799</v>
      </c>
      <c r="AG1589">
        <v>-1.1216693029679901</v>
      </c>
      <c r="AH1589">
        <v>11.2624228924329</v>
      </c>
      <c r="AI1589">
        <v>95.487535007625894</v>
      </c>
      <c r="AJ1589">
        <v>74.711748931591302</v>
      </c>
      <c r="AK1589">
        <v>11.7293602994919</v>
      </c>
      <c r="AL1589">
        <v>81.106309059300798</v>
      </c>
      <c r="AM1589">
        <v>87.290739548791507</v>
      </c>
      <c r="AN1589">
        <v>1.0000000175297401</v>
      </c>
    </row>
    <row r="1590" spans="1:40" x14ac:dyDescent="0.25">
      <c r="A1590" t="str">
        <f>"20190303161906601"</f>
        <v>20190303161906601</v>
      </c>
      <c r="B1590" t="str">
        <f>"1551601146594503"</f>
        <v>1551601146594503</v>
      </c>
      <c r="C1590" t="s">
        <v>40</v>
      </c>
      <c r="D1590">
        <v>5.036613</v>
      </c>
      <c r="E1590">
        <v>0.5891691</v>
      </c>
      <c r="F1590" t="s">
        <v>41</v>
      </c>
      <c r="G1590">
        <v>-212.0513</v>
      </c>
      <c r="H1590" s="1">
        <v>-4.2895880000000001E-6</v>
      </c>
      <c r="I1590">
        <v>364.55799999999999</v>
      </c>
      <c r="J1590">
        <v>-223.30789999999999</v>
      </c>
      <c r="K1590">
        <v>1.1216660000000001</v>
      </c>
      <c r="L1590">
        <v>367.59690000000001</v>
      </c>
      <c r="M1590">
        <v>0.99988999999999995</v>
      </c>
      <c r="N1590">
        <v>-1.4017109999999999E-2</v>
      </c>
      <c r="O1590">
        <v>4.8689370000000003E-3</v>
      </c>
      <c r="P1590">
        <v>0.98906760000000005</v>
      </c>
      <c r="Q1590">
        <v>0.14036660000000001</v>
      </c>
      <c r="R1590">
        <v>-4.5196640000000003E-2</v>
      </c>
      <c r="S1590">
        <v>3.0411830000000002</v>
      </c>
      <c r="T1590">
        <v>-0.30044999999999999</v>
      </c>
      <c r="U1590">
        <v>-0.81387330000000002</v>
      </c>
      <c r="V1590">
        <v>5.0018359999999998E-2</v>
      </c>
      <c r="W1590">
        <v>0.1542115</v>
      </c>
      <c r="X1590">
        <v>0.98677099999999995</v>
      </c>
      <c r="Y1590">
        <v>0.26183529999999999</v>
      </c>
      <c r="Z1590">
        <v>-1.4957369999999999E-2</v>
      </c>
      <c r="AA1590">
        <v>0.96499659999999998</v>
      </c>
      <c r="AB1590">
        <v>17</v>
      </c>
      <c r="AC1590">
        <v>11.256599999999899</v>
      </c>
      <c r="AD1590">
        <v>-1.121670289588</v>
      </c>
      <c r="AE1590">
        <v>-3.0388999999999502</v>
      </c>
      <c r="AF1590">
        <v>3.0653084009526501</v>
      </c>
      <c r="AG1590">
        <v>-1.121670289588</v>
      </c>
      <c r="AH1590">
        <v>11.1385841998495</v>
      </c>
      <c r="AI1590">
        <v>95.545572242501393</v>
      </c>
      <c r="AJ1590">
        <v>74.613239123334395</v>
      </c>
      <c r="AK1590">
        <v>11.606994348608699</v>
      </c>
      <c r="AL1590">
        <v>81.1289314190998</v>
      </c>
      <c r="AM1590">
        <v>87.098222143339399</v>
      </c>
      <c r="AN1590">
        <v>1.00000001475516</v>
      </c>
    </row>
    <row r="1591" spans="1:40" x14ac:dyDescent="0.25">
      <c r="A1591" t="str">
        <f>"20190303161906614"</f>
        <v>20190303161906614</v>
      </c>
      <c r="B1591" t="str">
        <f>"1551601146604263"</f>
        <v>1551601146604263</v>
      </c>
      <c r="C1591" t="s">
        <v>40</v>
      </c>
      <c r="D1591">
        <v>5.0402610000000001</v>
      </c>
      <c r="E1591">
        <v>0.58896930000000003</v>
      </c>
      <c r="F1591" t="s">
        <v>41</v>
      </c>
      <c r="G1591">
        <v>-212.07230000000001</v>
      </c>
      <c r="H1591" s="1">
        <v>-4.2802680000000003E-6</v>
      </c>
      <c r="I1591">
        <v>364.55959999999999</v>
      </c>
      <c r="J1591">
        <v>-223.21700000000001</v>
      </c>
      <c r="K1591">
        <v>1.1216660000000001</v>
      </c>
      <c r="L1591">
        <v>367.59730000000002</v>
      </c>
      <c r="M1591">
        <v>0.99988999999999995</v>
      </c>
      <c r="N1591">
        <v>-1.4014820000000001E-2</v>
      </c>
      <c r="O1591">
        <v>4.8689529999999996E-3</v>
      </c>
      <c r="P1591">
        <v>0.98892480000000005</v>
      </c>
      <c r="Q1591">
        <v>0.13999819999999999</v>
      </c>
      <c r="R1591">
        <v>-4.9279379999999998E-2</v>
      </c>
      <c r="S1591">
        <v>3.0386660000000001</v>
      </c>
      <c r="T1591">
        <v>-0.303355599999999</v>
      </c>
      <c r="U1591">
        <v>-0.82144169999999905</v>
      </c>
      <c r="V1591">
        <v>5.4100410000000002E-2</v>
      </c>
      <c r="W1591">
        <v>0.15383829999999901</v>
      </c>
      <c r="X1591">
        <v>0.98661390000000004</v>
      </c>
      <c r="Y1591">
        <v>0.26423629999999998</v>
      </c>
      <c r="Z1591">
        <v>-1.522542E-2</v>
      </c>
      <c r="AA1591">
        <v>0.96433780000000002</v>
      </c>
      <c r="AB1591">
        <v>17</v>
      </c>
      <c r="AC1591">
        <v>11.1447</v>
      </c>
      <c r="AD1591">
        <v>-1.1216702802680001</v>
      </c>
      <c r="AE1591">
        <v>-3.0377000000000201</v>
      </c>
      <c r="AF1591">
        <v>3.06305050165835</v>
      </c>
      <c r="AG1591">
        <v>-1.1216702802680001</v>
      </c>
      <c r="AH1591">
        <v>11.025812436108099</v>
      </c>
      <c r="AI1591">
        <v>95.598202811684104</v>
      </c>
      <c r="AJ1591">
        <v>74.474321971799597</v>
      </c>
      <c r="AK1591">
        <v>11.4982156211119</v>
      </c>
      <c r="AL1591">
        <v>81.150572603367706</v>
      </c>
      <c r="AM1591">
        <v>86.861361886866902</v>
      </c>
      <c r="AN1591">
        <v>1.00000003229113</v>
      </c>
    </row>
    <row r="1592" spans="1:40" x14ac:dyDescent="0.25">
      <c r="A1592" t="str">
        <f>"20190303161906625"</f>
        <v>20190303161906625</v>
      </c>
      <c r="B1592" t="str">
        <f>"1551601146614023"</f>
        <v>1551601146614023</v>
      </c>
      <c r="C1592" t="s">
        <v>40</v>
      </c>
      <c r="D1592">
        <v>5.0315589999999997</v>
      </c>
      <c r="E1592">
        <v>0.58880030000000005</v>
      </c>
      <c r="F1592" t="s">
        <v>41</v>
      </c>
      <c r="G1592">
        <v>-212.09370000000001</v>
      </c>
      <c r="H1592" s="1">
        <v>-4.2727349999999997E-6</v>
      </c>
      <c r="I1592">
        <v>364.55029999999999</v>
      </c>
      <c r="J1592">
        <v>-223.12119999999999</v>
      </c>
      <c r="K1592">
        <v>1.1216649999999999</v>
      </c>
      <c r="L1592">
        <v>367.59780000000001</v>
      </c>
      <c r="M1592">
        <v>0.99988999999999995</v>
      </c>
      <c r="N1592">
        <v>-1.40124E-2</v>
      </c>
      <c r="O1592">
        <v>4.8687909999999999E-3</v>
      </c>
      <c r="P1592">
        <v>0.98872800000000005</v>
      </c>
      <c r="Q1592">
        <v>0.13974200000000001</v>
      </c>
      <c r="R1592">
        <v>-5.3750510000000001E-2</v>
      </c>
      <c r="S1592">
        <v>3.0354920000000001</v>
      </c>
      <c r="T1592">
        <v>-0.30609819999999999</v>
      </c>
      <c r="U1592">
        <v>-0.83151249999999999</v>
      </c>
      <c r="V1592">
        <v>5.8570410000000003E-2</v>
      </c>
      <c r="W1592">
        <v>0.15357680000000001</v>
      </c>
      <c r="X1592">
        <v>0.98639940000000004</v>
      </c>
      <c r="Y1592">
        <v>0.2674243</v>
      </c>
      <c r="Z1592">
        <v>-1.553475E-2</v>
      </c>
      <c r="AA1592">
        <v>0.96345369999999997</v>
      </c>
      <c r="AB1592">
        <v>17</v>
      </c>
      <c r="AC1592">
        <v>11.0274999999999</v>
      </c>
      <c r="AD1592">
        <v>-1.1216692727349999</v>
      </c>
      <c r="AE1592">
        <v>-3.0475000000000101</v>
      </c>
      <c r="AF1592">
        <v>3.07163521650061</v>
      </c>
      <c r="AG1592">
        <v>-1.1216692727349999</v>
      </c>
      <c r="AH1592">
        <v>10.907685637996799</v>
      </c>
      <c r="AI1592">
        <v>95.652900640365999</v>
      </c>
      <c r="AJ1592">
        <v>74.272629746136204</v>
      </c>
      <c r="AK1592">
        <v>11.3873039319238</v>
      </c>
      <c r="AL1592">
        <v>81.165735810895995</v>
      </c>
      <c r="AM1592">
        <v>86.601881877535007</v>
      </c>
      <c r="AN1592">
        <v>1.00000005137308</v>
      </c>
    </row>
    <row r="1593" spans="1:40" x14ac:dyDescent="0.25">
      <c r="A1593" t="str">
        <f>"20190303161906639"</f>
        <v>20190303161906639</v>
      </c>
      <c r="B1593" t="str">
        <f>"1551601146634523"</f>
        <v>1551601146634523</v>
      </c>
      <c r="C1593" t="s">
        <v>40</v>
      </c>
      <c r="D1593">
        <v>5.0520889999999996</v>
      </c>
      <c r="E1593">
        <v>0.58914809999999995</v>
      </c>
      <c r="F1593" t="s">
        <v>41</v>
      </c>
      <c r="G1593">
        <v>-212.095</v>
      </c>
      <c r="H1593" s="1">
        <v>-4.275762E-6</v>
      </c>
      <c r="I1593">
        <v>364.53019999999998</v>
      </c>
      <c r="J1593">
        <v>-223.0205</v>
      </c>
      <c r="K1593">
        <v>1.121664</v>
      </c>
      <c r="L1593">
        <v>367.59820000000002</v>
      </c>
      <c r="M1593">
        <v>0.9998901</v>
      </c>
      <c r="N1593">
        <v>-1.4009870000000001E-2</v>
      </c>
      <c r="O1593">
        <v>4.868809E-3</v>
      </c>
      <c r="P1593">
        <v>0.98800279999999996</v>
      </c>
      <c r="Q1593">
        <v>0.14027220000000001</v>
      </c>
      <c r="R1593">
        <v>-6.4610119999999993E-2</v>
      </c>
      <c r="S1593">
        <v>3.0319669999999999</v>
      </c>
      <c r="T1593">
        <v>-0.30843369999999998</v>
      </c>
      <c r="U1593">
        <v>-0.84353639999999996</v>
      </c>
      <c r="V1593">
        <v>6.9426249999999995E-2</v>
      </c>
      <c r="W1593">
        <v>0.15409320000000001</v>
      </c>
      <c r="X1593">
        <v>0.9856142</v>
      </c>
      <c r="Y1593">
        <v>0.27121430000000002</v>
      </c>
      <c r="Z1593">
        <v>-1.5863619999999998E-2</v>
      </c>
      <c r="AA1593">
        <v>0.96238829999999997</v>
      </c>
      <c r="AB1593">
        <v>17</v>
      </c>
      <c r="AC1593">
        <v>10.9255</v>
      </c>
      <c r="AD1593">
        <v>-1.121668275762</v>
      </c>
      <c r="AE1593">
        <v>-3.06800000000004</v>
      </c>
      <c r="AF1593">
        <v>3.0909650761946401</v>
      </c>
      <c r="AG1593">
        <v>-1.121668275762</v>
      </c>
      <c r="AH1593">
        <v>10.804870673468701</v>
      </c>
      <c r="AI1593">
        <v>95.699683067354897</v>
      </c>
      <c r="AJ1593">
        <v>74.035686059299394</v>
      </c>
      <c r="AK1593">
        <v>11.2941327729707</v>
      </c>
      <c r="AL1593">
        <v>81.135791687372205</v>
      </c>
      <c r="AM1593">
        <v>85.970764576352494</v>
      </c>
      <c r="AN1593">
        <v>1.0000000348584701</v>
      </c>
    </row>
    <row r="1594" spans="1:40" x14ac:dyDescent="0.25">
      <c r="A1594" t="str">
        <f>"20190303161906654"</f>
        <v>20190303161906654</v>
      </c>
      <c r="B1594" t="str">
        <f>"1551601146644279"</f>
        <v>1551601146644279</v>
      </c>
      <c r="C1594" t="s">
        <v>40</v>
      </c>
      <c r="D1594">
        <v>5.0272699999999997</v>
      </c>
      <c r="E1594">
        <v>0.59001230000000005</v>
      </c>
      <c r="F1594" t="s">
        <v>41</v>
      </c>
      <c r="G1594">
        <v>-212.08109999999999</v>
      </c>
      <c r="H1594" s="1">
        <v>-4.3007259999999996E-6</v>
      </c>
      <c r="I1594">
        <v>364.42309999999998</v>
      </c>
      <c r="J1594">
        <v>-222.91480000000001</v>
      </c>
      <c r="K1594">
        <v>1.1216660000000001</v>
      </c>
      <c r="L1594">
        <v>367.59870000000001</v>
      </c>
      <c r="M1594">
        <v>0.9998901</v>
      </c>
      <c r="N1594">
        <v>-1.4007210000000001E-2</v>
      </c>
      <c r="O1594">
        <v>4.8688280000000004E-3</v>
      </c>
      <c r="P1594">
        <v>0.98748369999999996</v>
      </c>
      <c r="Q1594">
        <v>0.14079369999999999</v>
      </c>
      <c r="R1594">
        <v>-7.1086209999999997E-2</v>
      </c>
      <c r="S1594">
        <v>3.0230410000000001</v>
      </c>
      <c r="T1594">
        <v>-0.30996439999999997</v>
      </c>
      <c r="U1594">
        <v>-0.87741089999999999</v>
      </c>
      <c r="V1594">
        <v>7.5899889999999998E-2</v>
      </c>
      <c r="W1594">
        <v>0.15460389999999999</v>
      </c>
      <c r="X1594">
        <v>0.98505679999999995</v>
      </c>
      <c r="Y1594">
        <v>0.28183059999999899</v>
      </c>
      <c r="Z1594">
        <v>-1.6562299999999999E-2</v>
      </c>
      <c r="AA1594">
        <v>0.95932119999999999</v>
      </c>
      <c r="AB1594">
        <v>17</v>
      </c>
      <c r="AC1594">
        <v>10.8337</v>
      </c>
      <c r="AD1594">
        <v>-1.121670300726</v>
      </c>
      <c r="AE1594">
        <v>-3.17560000000003</v>
      </c>
      <c r="AF1594">
        <v>3.1967584685741599</v>
      </c>
      <c r="AG1594">
        <v>-1.121670300726</v>
      </c>
      <c r="AH1594">
        <v>10.712362593369299</v>
      </c>
      <c r="AI1594">
        <v>95.729635482415404</v>
      </c>
      <c r="AJ1594">
        <v>73.383966120404693</v>
      </c>
      <c r="AK1594">
        <v>11.2353069073234</v>
      </c>
      <c r="AL1594">
        <v>81.106175780036494</v>
      </c>
      <c r="AM1594">
        <v>85.593992274816401</v>
      </c>
      <c r="AN1594">
        <v>1.0000000292117299</v>
      </c>
    </row>
    <row r="1595" spans="1:40" x14ac:dyDescent="0.25">
      <c r="A1595" t="str">
        <f>"20190303161906665"</f>
        <v>20190303161906665</v>
      </c>
      <c r="B1595" t="str">
        <f>"1551601146654038"</f>
        <v>1551601146654038</v>
      </c>
      <c r="C1595" t="s">
        <v>40</v>
      </c>
      <c r="D1595">
        <v>4.7912290000000004</v>
      </c>
      <c r="E1595">
        <v>0.59118930000000003</v>
      </c>
      <c r="F1595" t="s">
        <v>41</v>
      </c>
      <c r="G1595">
        <v>-211.87569999999999</v>
      </c>
      <c r="H1595" s="1">
        <v>-4.4118569999999999E-6</v>
      </c>
      <c r="I1595">
        <v>364.29320000000001</v>
      </c>
      <c r="J1595">
        <v>-222.8185</v>
      </c>
      <c r="K1595">
        <v>1.121661</v>
      </c>
      <c r="L1595">
        <v>367.59910000000002</v>
      </c>
      <c r="M1595">
        <v>0.9998901</v>
      </c>
      <c r="N1595">
        <v>-1.400479E-2</v>
      </c>
      <c r="O1595">
        <v>4.8688450000000001E-3</v>
      </c>
      <c r="P1595">
        <v>0.98698169999999996</v>
      </c>
      <c r="Q1595">
        <v>0.141015</v>
      </c>
      <c r="R1595">
        <v>-7.7343949999999995E-2</v>
      </c>
      <c r="S1595">
        <v>3.0167079999999999</v>
      </c>
      <c r="T1595">
        <v>-0.30652279999999998</v>
      </c>
      <c r="U1595">
        <v>-0.90328980000000003</v>
      </c>
      <c r="V1595">
        <v>8.2154969999999994E-2</v>
      </c>
      <c r="W1595">
        <v>0.15481500000000001</v>
      </c>
      <c r="X1595">
        <v>0.9845216</v>
      </c>
      <c r="Y1595">
        <v>0.28991650000000002</v>
      </c>
      <c r="Z1595">
        <v>-1.6873869999999999E-2</v>
      </c>
      <c r="AA1595">
        <v>0.95690319999999995</v>
      </c>
      <c r="AB1595">
        <v>17</v>
      </c>
      <c r="AC1595">
        <v>10.9428</v>
      </c>
      <c r="AD1595">
        <v>-1.121665411857</v>
      </c>
      <c r="AE1595">
        <v>-3.3058999999999998</v>
      </c>
      <c r="AF1595">
        <v>3.3271112618924601</v>
      </c>
      <c r="AG1595">
        <v>-1.121665411857</v>
      </c>
      <c r="AH1595">
        <v>10.8223745004622</v>
      </c>
      <c r="AI1595">
        <v>95.657678477028597</v>
      </c>
      <c r="AJ1595">
        <v>72.911056158014205</v>
      </c>
      <c r="AK1595">
        <v>11.3776795733323</v>
      </c>
      <c r="AL1595">
        <v>81.093932548899403</v>
      </c>
      <c r="AM1595">
        <v>85.229914010731306</v>
      </c>
      <c r="AN1595">
        <v>0.99999995209362902</v>
      </c>
    </row>
    <row r="1596" spans="1:40" x14ac:dyDescent="0.25">
      <c r="A1596" t="str">
        <f>"20190303161906677"</f>
        <v>20190303161906677</v>
      </c>
      <c r="B1596" t="str">
        <f>"1551601146674535"</f>
        <v>1551601146674535</v>
      </c>
      <c r="C1596" t="s">
        <v>40</v>
      </c>
      <c r="D1596">
        <v>4.7577540000000003</v>
      </c>
      <c r="E1596">
        <v>0.59302919999999903</v>
      </c>
      <c r="F1596" t="s">
        <v>41</v>
      </c>
      <c r="G1596">
        <v>-211.72550000000001</v>
      </c>
      <c r="H1596" s="1">
        <v>-4.4987639999999999E-6</v>
      </c>
      <c r="I1596">
        <v>364.16660000000002</v>
      </c>
      <c r="J1596">
        <v>-222.72880000000001</v>
      </c>
      <c r="K1596">
        <v>1.121659</v>
      </c>
      <c r="L1596">
        <v>367.59949999999998</v>
      </c>
      <c r="M1596">
        <v>0.99989030000000001</v>
      </c>
      <c r="N1596">
        <v>-1.4002529999999999E-2</v>
      </c>
      <c r="O1596">
        <v>4.8675400000000001E-3</v>
      </c>
      <c r="P1596">
        <v>0.98647110000000005</v>
      </c>
      <c r="Q1596">
        <v>0.14092360000000001</v>
      </c>
      <c r="R1596">
        <v>-8.3759189999999997E-2</v>
      </c>
      <c r="S1596">
        <v>3.0100859999999998</v>
      </c>
      <c r="T1596">
        <v>-0.30436239999999998</v>
      </c>
      <c r="U1596">
        <v>-0.93139649999999996</v>
      </c>
      <c r="V1596">
        <v>8.8566619999999999E-2</v>
      </c>
      <c r="W1596">
        <v>0.15471370000000001</v>
      </c>
      <c r="X1596">
        <v>0.98398149999999995</v>
      </c>
      <c r="Y1596">
        <v>0.2986296</v>
      </c>
      <c r="Z1596">
        <v>-1.7275450000000001E-2</v>
      </c>
      <c r="AA1596">
        <v>0.95421270000000002</v>
      </c>
      <c r="AB1596">
        <v>17</v>
      </c>
      <c r="AC1596">
        <v>11.0032999999999</v>
      </c>
      <c r="AD1596">
        <v>-1.121663498764</v>
      </c>
      <c r="AE1596">
        <v>-3.4328999999999601</v>
      </c>
      <c r="AF1596">
        <v>3.4537176601212898</v>
      </c>
      <c r="AG1596">
        <v>-1.121663498764</v>
      </c>
      <c r="AH1596">
        <v>10.8833949745309</v>
      </c>
      <c r="AI1596">
        <v>95.610408343838799</v>
      </c>
      <c r="AJ1596">
        <v>72.393775313204301</v>
      </c>
      <c r="AK1596">
        <v>11.4732114445754</v>
      </c>
      <c r="AL1596">
        <v>81.099807679227396</v>
      </c>
      <c r="AM1596">
        <v>84.856756895476394</v>
      </c>
      <c r="AN1596">
        <v>0.99999998374408205</v>
      </c>
    </row>
    <row r="1597" spans="1:40" x14ac:dyDescent="0.25">
      <c r="A1597" t="str">
        <f>"20190303161906689"</f>
        <v>20190303161906689</v>
      </c>
      <c r="B1597" t="str">
        <f>"1551601146684295"</f>
        <v>1551601146684295</v>
      </c>
      <c r="C1597" t="s">
        <v>40</v>
      </c>
      <c r="D1597">
        <v>4.7606919999999997</v>
      </c>
      <c r="E1597">
        <v>0.59378369999999903</v>
      </c>
      <c r="F1597" t="s">
        <v>41</v>
      </c>
      <c r="G1597">
        <v>-211.54320000000001</v>
      </c>
      <c r="H1597" s="1">
        <v>-4.6062540000000003E-6</v>
      </c>
      <c r="I1597">
        <v>364.0016</v>
      </c>
      <c r="J1597">
        <v>-222.64109999999999</v>
      </c>
      <c r="K1597">
        <v>1.121659</v>
      </c>
      <c r="L1597">
        <v>367.59989999999999</v>
      </c>
      <c r="M1597">
        <v>0.99989030000000001</v>
      </c>
      <c r="N1597">
        <v>-1.400032E-2</v>
      </c>
      <c r="O1597">
        <v>4.8649729999999999E-3</v>
      </c>
      <c r="P1597">
        <v>0.98598770000000002</v>
      </c>
      <c r="Q1597">
        <v>0.1403085</v>
      </c>
      <c r="R1597">
        <v>-9.023378E-2</v>
      </c>
      <c r="S1597">
        <v>3.002151</v>
      </c>
      <c r="T1597">
        <v>-0.30104629999999999</v>
      </c>
      <c r="U1597">
        <v>-0.96563719999999997</v>
      </c>
      <c r="V1597">
        <v>9.5036599999999999E-2</v>
      </c>
      <c r="W1597">
        <v>0.15408849999999999</v>
      </c>
      <c r="X1597">
        <v>0.98347589999999996</v>
      </c>
      <c r="Y1597">
        <v>0.30919150000000001</v>
      </c>
      <c r="Z1597">
        <v>-1.7717719999999999E-2</v>
      </c>
      <c r="AA1597">
        <v>0.95083479999999998</v>
      </c>
      <c r="AB1597">
        <v>17</v>
      </c>
      <c r="AC1597">
        <v>11.0978999999999</v>
      </c>
      <c r="AD1597">
        <v>-1.121663606254</v>
      </c>
      <c r="AE1597">
        <v>-3.5982999999999898</v>
      </c>
      <c r="AF1597">
        <v>3.6188036419840701</v>
      </c>
      <c r="AG1597">
        <v>-1.121663606254</v>
      </c>
      <c r="AH1597">
        <v>10.978780082679799</v>
      </c>
      <c r="AI1597">
        <v>95.542132296208095</v>
      </c>
      <c r="AJ1597">
        <v>71.756849356159194</v>
      </c>
      <c r="AK1597">
        <v>11.6141069888596</v>
      </c>
      <c r="AL1597">
        <v>81.136064220717202</v>
      </c>
      <c r="AM1597">
        <v>84.480453141390001</v>
      </c>
      <c r="AN1597">
        <v>1.0000000335263</v>
      </c>
    </row>
    <row r="1598" spans="1:40" x14ac:dyDescent="0.25">
      <c r="A1598" t="str">
        <f>"20190303161906700"</f>
        <v>20190303161906700</v>
      </c>
      <c r="B1598" t="str">
        <f>"1551601146694056"</f>
        <v>1551601146694056</v>
      </c>
      <c r="C1598" t="s">
        <v>40</v>
      </c>
      <c r="D1598">
        <v>4.7965099999999996</v>
      </c>
      <c r="E1598">
        <v>0.59448129999999999</v>
      </c>
      <c r="F1598" t="s">
        <v>41</v>
      </c>
      <c r="G1598">
        <v>-211.50839999999999</v>
      </c>
      <c r="H1598" s="1">
        <v>-4.6362800000000003E-6</v>
      </c>
      <c r="I1598">
        <v>363.91629999999998</v>
      </c>
      <c r="J1598">
        <v>-222.54400000000001</v>
      </c>
      <c r="K1598">
        <v>1.121656</v>
      </c>
      <c r="L1598">
        <v>367.6003</v>
      </c>
      <c r="M1598">
        <v>0.99989019999999995</v>
      </c>
      <c r="N1598">
        <v>-1.3997870000000001E-2</v>
      </c>
      <c r="O1598">
        <v>4.8594069999999996E-3</v>
      </c>
      <c r="P1598">
        <v>0.98550780000000004</v>
      </c>
      <c r="Q1598">
        <v>0.1397235</v>
      </c>
      <c r="R1598">
        <v>-9.6187190000000006E-2</v>
      </c>
      <c r="S1598">
        <v>2.994888</v>
      </c>
      <c r="T1598">
        <v>-0.3017455</v>
      </c>
      <c r="U1598">
        <v>-0.99093629999999999</v>
      </c>
      <c r="V1598">
        <v>0.100983</v>
      </c>
      <c r="W1598">
        <v>0.15349289999999999</v>
      </c>
      <c r="X1598">
        <v>0.98297630000000003</v>
      </c>
      <c r="Y1598">
        <v>0.31705409999999901</v>
      </c>
      <c r="Z1598">
        <v>-1.8213429999999999E-2</v>
      </c>
      <c r="AA1598">
        <v>0.94823250000000003</v>
      </c>
      <c r="AB1598">
        <v>17</v>
      </c>
      <c r="AC1598">
        <v>11.035600000000001</v>
      </c>
      <c r="AD1598">
        <v>-1.1216606362799999</v>
      </c>
      <c r="AE1598">
        <v>-3.6840000000000201</v>
      </c>
      <c r="AF1598">
        <v>3.70316767349868</v>
      </c>
      <c r="AG1598">
        <v>-1.1216606362799999</v>
      </c>
      <c r="AH1598">
        <v>10.9161018653688</v>
      </c>
      <c r="AI1598">
        <v>95.557734554383899</v>
      </c>
      <c r="AJ1598">
        <v>71.261058910925101</v>
      </c>
      <c r="AK1598">
        <v>11.5815738712894</v>
      </c>
      <c r="AL1598">
        <v>81.170600341436696</v>
      </c>
      <c r="AM1598">
        <v>84.134473897326799</v>
      </c>
      <c r="AN1598">
        <v>1.00000002150054</v>
      </c>
    </row>
    <row r="1599" spans="1:40" x14ac:dyDescent="0.25">
      <c r="A1599" t="str">
        <f>"20190303161906713"</f>
        <v>20190303161906713</v>
      </c>
      <c r="B1599" t="str">
        <f>"1551601146703815"</f>
        <v>1551601146703815</v>
      </c>
      <c r="C1599" t="s">
        <v>40</v>
      </c>
      <c r="D1599">
        <v>4.7502219999999999</v>
      </c>
      <c r="E1599">
        <v>0.59534319999999996</v>
      </c>
      <c r="F1599" t="s">
        <v>41</v>
      </c>
      <c r="G1599">
        <v>-211.45009999999999</v>
      </c>
      <c r="H1599" s="1">
        <v>-4.6756069999999997E-6</v>
      </c>
      <c r="I1599">
        <v>363.83580000000001</v>
      </c>
      <c r="J1599">
        <v>-222.45689999999999</v>
      </c>
      <c r="K1599">
        <v>1.1216489999999999</v>
      </c>
      <c r="L1599">
        <v>367.60070000000002</v>
      </c>
      <c r="M1599">
        <v>0.99989039999999996</v>
      </c>
      <c r="N1599">
        <v>-1.399568E-2</v>
      </c>
      <c r="O1599">
        <v>4.8474240000000004E-3</v>
      </c>
      <c r="P1599">
        <v>0.98507990000000001</v>
      </c>
      <c r="Q1599">
        <v>0.138625</v>
      </c>
      <c r="R1599">
        <v>-0.1019863</v>
      </c>
      <c r="S1599">
        <v>2.9880070000000001</v>
      </c>
      <c r="T1599">
        <v>-0.30210189999999998</v>
      </c>
      <c r="U1599">
        <v>-1.013916</v>
      </c>
      <c r="V1599">
        <v>0.1067697</v>
      </c>
      <c r="W1599">
        <v>0.15238460000000001</v>
      </c>
      <c r="X1599">
        <v>0.98253710000000005</v>
      </c>
      <c r="Y1599">
        <v>0.32419559999999997</v>
      </c>
      <c r="Z1599">
        <v>-1.8651520000000001E-2</v>
      </c>
      <c r="AA1599">
        <v>0.94580620000000004</v>
      </c>
      <c r="AB1599">
        <v>17</v>
      </c>
      <c r="AC1599">
        <v>11.006799999999901</v>
      </c>
      <c r="AD1599">
        <v>-1.1216536756069999</v>
      </c>
      <c r="AE1599">
        <v>-3.7649000000000101</v>
      </c>
      <c r="AF1599">
        <v>3.7830446775568598</v>
      </c>
      <c r="AG1599">
        <v>-1.1216536756069999</v>
      </c>
      <c r="AH1599">
        <v>10.887200610408801</v>
      </c>
      <c r="AI1599">
        <v>95.558368899427407</v>
      </c>
      <c r="AJ1599">
        <v>70.838869944715995</v>
      </c>
      <c r="AK1599">
        <v>11.580184416997801</v>
      </c>
      <c r="AL1599">
        <v>81.234856952087299</v>
      </c>
      <c r="AM1599">
        <v>83.798154932355303</v>
      </c>
      <c r="AN1599">
        <v>0.99999999401582995</v>
      </c>
    </row>
    <row r="1600" spans="1:40" x14ac:dyDescent="0.25">
      <c r="A1600" t="str">
        <f>"20190303161906725"</f>
        <v>20190303161906725</v>
      </c>
      <c r="B1600" t="str">
        <f>"1551601146714552"</f>
        <v>1551601146714552</v>
      </c>
      <c r="C1600" t="s">
        <v>40</v>
      </c>
      <c r="D1600">
        <v>4.7721839999999904</v>
      </c>
      <c r="E1600">
        <v>0.59534319999999996</v>
      </c>
      <c r="F1600" t="s">
        <v>41</v>
      </c>
      <c r="G1600">
        <v>-211.4512</v>
      </c>
      <c r="H1600" s="1">
        <v>-4.6867929999999998E-6</v>
      </c>
      <c r="I1600">
        <v>363.77</v>
      </c>
      <c r="J1600">
        <v>-222.36429999999999</v>
      </c>
      <c r="K1600">
        <v>1.121642</v>
      </c>
      <c r="L1600">
        <v>367.60109999999997</v>
      </c>
      <c r="M1600">
        <v>0.99989050000000002</v>
      </c>
      <c r="N1600">
        <v>-1.399336E-2</v>
      </c>
      <c r="O1600">
        <v>4.8316629999999999E-3</v>
      </c>
      <c r="P1600">
        <v>0.98462709999999998</v>
      </c>
      <c r="Q1600">
        <v>0.13729420000000001</v>
      </c>
      <c r="R1600">
        <v>-0.1079812</v>
      </c>
      <c r="S1600">
        <v>2.9807589999999999</v>
      </c>
      <c r="T1600">
        <v>-0.30378369999999999</v>
      </c>
      <c r="U1600">
        <v>-1.0374760000000001</v>
      </c>
      <c r="V1600">
        <v>0.112749</v>
      </c>
      <c r="W1600">
        <v>0.15104329999999999</v>
      </c>
      <c r="X1600">
        <v>0.98207619999999896</v>
      </c>
      <c r="Y1600">
        <v>0.33149499999999998</v>
      </c>
      <c r="Z1600">
        <v>-1.9174170000000001E-2</v>
      </c>
      <c r="AA1600">
        <v>0.94326209999999999</v>
      </c>
      <c r="AB1600">
        <v>17</v>
      </c>
      <c r="AC1600">
        <v>10.913099999999901</v>
      </c>
      <c r="AD1600">
        <v>-1.1216466867929999</v>
      </c>
      <c r="AE1600">
        <v>-3.83109999999999</v>
      </c>
      <c r="AF1600">
        <v>3.8476034229454199</v>
      </c>
      <c r="AG1600">
        <v>-1.1216466867929999</v>
      </c>
      <c r="AH1600">
        <v>10.792956036331599</v>
      </c>
      <c r="AI1600">
        <v>95.590854502736093</v>
      </c>
      <c r="AJ1600">
        <v>70.379251218909303</v>
      </c>
      <c r="AK1600">
        <v>11.5130379740728</v>
      </c>
      <c r="AL1600">
        <v>81.312608191535901</v>
      </c>
      <c r="AM1600">
        <v>83.450730389670099</v>
      </c>
      <c r="AN1600">
        <v>1.0000000390411601</v>
      </c>
    </row>
    <row r="1601" spans="1:40" x14ac:dyDescent="0.25">
      <c r="A1601" t="str">
        <f>"20190303161906736"</f>
        <v>20190303161906736</v>
      </c>
      <c r="B1601" t="str">
        <f>"1551601146724311"</f>
        <v>1551601146724311</v>
      </c>
      <c r="C1601" t="s">
        <v>40</v>
      </c>
      <c r="D1601">
        <v>4.9880100000000001</v>
      </c>
      <c r="E1601">
        <v>0.59551299999999996</v>
      </c>
      <c r="F1601" t="s">
        <v>41</v>
      </c>
      <c r="G1601">
        <v>-211.55549999999999</v>
      </c>
      <c r="H1601" s="1">
        <v>-4.6424730000000003E-6</v>
      </c>
      <c r="I1601">
        <v>363.76749999999998</v>
      </c>
      <c r="J1601">
        <v>-222.27369999999999</v>
      </c>
      <c r="K1601">
        <v>1.121626</v>
      </c>
      <c r="L1601">
        <v>367.60149999999999</v>
      </c>
      <c r="M1601">
        <v>0.99989079999999997</v>
      </c>
      <c r="N1601">
        <v>-1.399106E-2</v>
      </c>
      <c r="O1601">
        <v>4.8002640000000003E-3</v>
      </c>
      <c r="P1601">
        <v>0.98412310000000003</v>
      </c>
      <c r="Q1601">
        <v>0.13637579999999999</v>
      </c>
      <c r="R1601">
        <v>-0.11359610000000001</v>
      </c>
      <c r="S1601">
        <v>2.9742130000000002</v>
      </c>
      <c r="T1601">
        <v>-0.30863580000000002</v>
      </c>
      <c r="U1601">
        <v>-1.05484</v>
      </c>
      <c r="V1601">
        <v>0.1183343</v>
      </c>
      <c r="W1601">
        <v>0.15011179999999999</v>
      </c>
      <c r="X1601">
        <v>0.98156169999999998</v>
      </c>
      <c r="Y1601">
        <v>0.33691840000000001</v>
      </c>
      <c r="Z1601">
        <v>-1.9772459999999999E-2</v>
      </c>
      <c r="AA1601">
        <v>0.9413262</v>
      </c>
      <c r="AB1601">
        <v>17</v>
      </c>
      <c r="AC1601">
        <v>10.7181999999999</v>
      </c>
      <c r="AD1601">
        <v>-1.121630642473</v>
      </c>
      <c r="AE1601">
        <v>-3.8340000000000001</v>
      </c>
      <c r="AF1601">
        <v>3.8480512189255802</v>
      </c>
      <c r="AG1601">
        <v>-1.121630642473</v>
      </c>
      <c r="AH1601">
        <v>10.5967887726976</v>
      </c>
      <c r="AI1601">
        <v>95.681642372233</v>
      </c>
      <c r="AJ1601">
        <v>70.042334030138406</v>
      </c>
      <c r="AK1601">
        <v>11.329496271890401</v>
      </c>
      <c r="AL1601">
        <v>81.366594109838303</v>
      </c>
      <c r="AM1601">
        <v>83.125758389875998</v>
      </c>
      <c r="AN1601">
        <v>0.99999996498130905</v>
      </c>
    </row>
    <row r="1602" spans="1:40" x14ac:dyDescent="0.25">
      <c r="A1602" t="str">
        <f>"20190303161906751"</f>
        <v>20190303161906751</v>
      </c>
      <c r="B1602" t="str">
        <f>"1551601146743831"</f>
        <v>1551601146743831</v>
      </c>
      <c r="C1602" t="s">
        <v>40</v>
      </c>
      <c r="D1602">
        <v>4.9739089999999999</v>
      </c>
      <c r="E1602">
        <v>0.59531780000000001</v>
      </c>
      <c r="F1602" t="s">
        <v>41</v>
      </c>
      <c r="G1602">
        <v>-211.57050000000001</v>
      </c>
      <c r="H1602" s="1">
        <v>-4.6417500000000001E-6</v>
      </c>
      <c r="I1602">
        <v>363.73540000000003</v>
      </c>
      <c r="J1602">
        <v>-222.1651</v>
      </c>
      <c r="K1602">
        <v>1.121605</v>
      </c>
      <c r="L1602">
        <v>367.6019</v>
      </c>
      <c r="M1602">
        <v>0.99989090000000003</v>
      </c>
      <c r="N1602">
        <v>-1.398832E-2</v>
      </c>
      <c r="O1602">
        <v>4.75276E-3</v>
      </c>
      <c r="P1602">
        <v>0.98308180000000001</v>
      </c>
      <c r="Q1602">
        <v>0.1343116</v>
      </c>
      <c r="R1602">
        <v>-0.1245435</v>
      </c>
      <c r="S1602">
        <v>2.967743</v>
      </c>
      <c r="T1602">
        <v>-0.31099870000000002</v>
      </c>
      <c r="U1602">
        <v>-1.07196</v>
      </c>
      <c r="V1602">
        <v>0.12923509999999999</v>
      </c>
      <c r="W1602">
        <v>0.14802390000000001</v>
      </c>
      <c r="X1602">
        <v>0.98050360000000003</v>
      </c>
      <c r="Y1602">
        <v>0.34226709999999999</v>
      </c>
      <c r="Z1602">
        <v>-2.0232070000000001E-2</v>
      </c>
      <c r="AA1602">
        <v>0.93938480000000002</v>
      </c>
      <c r="AB1602">
        <v>17</v>
      </c>
      <c r="AC1602">
        <v>10.5945999999999</v>
      </c>
      <c r="AD1602">
        <v>-1.1216096417500001</v>
      </c>
      <c r="AE1602">
        <v>-3.8664999999999701</v>
      </c>
      <c r="AF1602">
        <v>3.8784555113520902</v>
      </c>
      <c r="AG1602">
        <v>-1.1216096417500001</v>
      </c>
      <c r="AH1602">
        <v>10.472524916688799</v>
      </c>
      <c r="AI1602">
        <v>95.735206309669096</v>
      </c>
      <c r="AJ1602">
        <v>69.678101656800607</v>
      </c>
      <c r="AK1602">
        <v>11.2238230328472</v>
      </c>
      <c r="AL1602">
        <v>81.487574415040399</v>
      </c>
      <c r="AM1602">
        <v>82.491421456944295</v>
      </c>
      <c r="AN1602">
        <v>1.0000000478280799</v>
      </c>
    </row>
    <row r="1603" spans="1:40" x14ac:dyDescent="0.25">
      <c r="A1603" t="str">
        <f>"20190303161906768"</f>
        <v>20190303161906768</v>
      </c>
      <c r="B1603" t="str">
        <f>"1551601146754567"</f>
        <v>1551601146754567</v>
      </c>
      <c r="C1603" t="s">
        <v>40</v>
      </c>
      <c r="D1603">
        <v>4.9378659999999996</v>
      </c>
      <c r="E1603">
        <v>0.59495659999999995</v>
      </c>
      <c r="F1603" t="s">
        <v>41</v>
      </c>
      <c r="G1603">
        <v>-211.8167</v>
      </c>
      <c r="H1603" s="1">
        <v>-4.5346029999999996E-6</v>
      </c>
      <c r="I1603">
        <v>363.74400000000003</v>
      </c>
      <c r="J1603">
        <v>-222.04409999999999</v>
      </c>
      <c r="K1603">
        <v>1.1215850000000001</v>
      </c>
      <c r="L1603">
        <v>367.60230000000001</v>
      </c>
      <c r="M1603">
        <v>0.99989139999999999</v>
      </c>
      <c r="N1603">
        <v>-1.3985310000000001E-2</v>
      </c>
      <c r="O1603">
        <v>4.6814439999999999E-3</v>
      </c>
      <c r="P1603">
        <v>0.98252390000000001</v>
      </c>
      <c r="Q1603">
        <v>0.1336842</v>
      </c>
      <c r="R1603">
        <v>-0.12951979999999999</v>
      </c>
      <c r="S1603">
        <v>2.9557799999999999</v>
      </c>
      <c r="T1603">
        <v>-0.320359</v>
      </c>
      <c r="U1603">
        <v>-1.101898</v>
      </c>
      <c r="V1603">
        <v>0.1341463</v>
      </c>
      <c r="W1603">
        <v>0.147377799999999</v>
      </c>
      <c r="X1603">
        <v>0.97994110000000001</v>
      </c>
      <c r="Y1603">
        <v>0.3516068</v>
      </c>
      <c r="Z1603">
        <v>-2.135826E-2</v>
      </c>
      <c r="AA1603">
        <v>0.93590410000000002</v>
      </c>
      <c r="AB1603">
        <v>17</v>
      </c>
      <c r="AC1603">
        <v>10.2273999999999</v>
      </c>
      <c r="AD1603">
        <v>-1.121589534603</v>
      </c>
      <c r="AE1603">
        <v>-3.8582999999999799</v>
      </c>
      <c r="AF1603">
        <v>3.86544557347271</v>
      </c>
      <c r="AG1603">
        <v>-1.121589534603</v>
      </c>
      <c r="AH1603">
        <v>10.1028597641098</v>
      </c>
      <c r="AI1603">
        <v>95.919662741718895</v>
      </c>
      <c r="AJ1603">
        <v>69.062697031274794</v>
      </c>
      <c r="AK1603">
        <v>10.875081975731501</v>
      </c>
      <c r="AL1603">
        <v>81.525003352732696</v>
      </c>
      <c r="AM1603">
        <v>82.205104083876904</v>
      </c>
      <c r="AN1603">
        <v>1.0000000026028699</v>
      </c>
    </row>
    <row r="1604" spans="1:40" x14ac:dyDescent="0.25">
      <c r="A1604" t="str">
        <f>"20190303161906781"</f>
        <v>20190303161906781</v>
      </c>
      <c r="B1604" t="str">
        <f>"1551601146774087"</f>
        <v>1551601146774087</v>
      </c>
      <c r="C1604" t="s">
        <v>40</v>
      </c>
      <c r="D1604">
        <v>4.9674180000000003</v>
      </c>
      <c r="E1604">
        <v>0.59445429999999999</v>
      </c>
      <c r="F1604" t="s">
        <v>41</v>
      </c>
      <c r="G1604">
        <v>-211.90199999999999</v>
      </c>
      <c r="H1604" s="1">
        <v>-4.4920679999999997E-6</v>
      </c>
      <c r="I1604">
        <v>363.7774</v>
      </c>
      <c r="J1604">
        <v>-221.93629999999999</v>
      </c>
      <c r="K1604">
        <v>1.1215630000000001</v>
      </c>
      <c r="L1604">
        <v>367.60270000000003</v>
      </c>
      <c r="M1604">
        <v>0.9998918</v>
      </c>
      <c r="N1604">
        <v>-1.3982609999999999E-2</v>
      </c>
      <c r="O1604">
        <v>4.5955079999999999E-3</v>
      </c>
      <c r="P1604">
        <v>0.98184680000000002</v>
      </c>
      <c r="Q1604">
        <v>0.13328570000000001</v>
      </c>
      <c r="R1604">
        <v>-0.13495209999999999</v>
      </c>
      <c r="S1604">
        <v>2.95105</v>
      </c>
      <c r="T1604">
        <v>-0.32634629999999998</v>
      </c>
      <c r="U1604">
        <v>-1.1129150000000001</v>
      </c>
      <c r="V1604">
        <v>0.13949829999999999</v>
      </c>
      <c r="W1604">
        <v>0.14695899999999901</v>
      </c>
      <c r="X1604">
        <v>0.97925649999999997</v>
      </c>
      <c r="Y1604">
        <v>0.35498059999999998</v>
      </c>
      <c r="Z1604">
        <v>-2.1923600000000001E-2</v>
      </c>
      <c r="AA1604">
        <v>0.93461660000000002</v>
      </c>
      <c r="AB1604">
        <v>17</v>
      </c>
      <c r="AC1604">
        <v>10.034299999999901</v>
      </c>
      <c r="AD1604">
        <v>-1.1215674920680001</v>
      </c>
      <c r="AE1604">
        <v>-3.8253000000000199</v>
      </c>
      <c r="AF1604">
        <v>3.8296034265670098</v>
      </c>
      <c r="AG1604">
        <v>-1.1215674920680001</v>
      </c>
      <c r="AH1604">
        <v>9.9085306829984994</v>
      </c>
      <c r="AI1604">
        <v>96.027000051644904</v>
      </c>
      <c r="AJ1604">
        <v>68.868702688582303</v>
      </c>
      <c r="AK1604">
        <v>10.6818891746713</v>
      </c>
      <c r="AL1604">
        <v>81.549263024131093</v>
      </c>
      <c r="AM1604">
        <v>81.892575793524998</v>
      </c>
      <c r="AN1604">
        <v>1.00000000808807</v>
      </c>
    </row>
    <row r="1605" spans="1:40" x14ac:dyDescent="0.25">
      <c r="A1605" t="str">
        <f>"20190303161906794"</f>
        <v>20190303161906794</v>
      </c>
      <c r="B1605" t="str">
        <f>"1551601146783847"</f>
        <v>1551601146783847</v>
      </c>
      <c r="C1605" t="s">
        <v>40</v>
      </c>
      <c r="D1605">
        <v>4.8726900000000004</v>
      </c>
      <c r="E1605">
        <v>0.59448669999999904</v>
      </c>
      <c r="F1605" t="s">
        <v>41</v>
      </c>
      <c r="G1605">
        <v>-211.8734</v>
      </c>
      <c r="H1605" s="1">
        <v>-4.5070799999999999E-6</v>
      </c>
      <c r="I1605">
        <v>363.76209999999998</v>
      </c>
      <c r="J1605">
        <v>-221.83940000000001</v>
      </c>
      <c r="K1605">
        <v>1.121542</v>
      </c>
      <c r="L1605">
        <v>367.60300000000001</v>
      </c>
      <c r="M1605">
        <v>0.99989220000000001</v>
      </c>
      <c r="N1605">
        <v>-1.398023E-2</v>
      </c>
      <c r="O1605">
        <v>4.4991090000000003E-3</v>
      </c>
      <c r="P1605">
        <v>0.9810799</v>
      </c>
      <c r="Q1605">
        <v>0.13323570000000001</v>
      </c>
      <c r="R1605">
        <v>-0.14046719999999999</v>
      </c>
      <c r="S1605">
        <v>2.9455260000000001</v>
      </c>
      <c r="T1605">
        <v>-0.328291099999999</v>
      </c>
      <c r="U1605">
        <v>-1.1241760000000001</v>
      </c>
      <c r="V1605">
        <v>0.1449222</v>
      </c>
      <c r="W1605">
        <v>0.1468882</v>
      </c>
      <c r="X1605">
        <v>0.97847910000000005</v>
      </c>
      <c r="Y1605">
        <v>0.35853930000000001</v>
      </c>
      <c r="Z1605">
        <v>-2.226937E-2</v>
      </c>
      <c r="AA1605">
        <v>0.933249</v>
      </c>
      <c r="AB1605">
        <v>17</v>
      </c>
      <c r="AC1605">
        <v>9.9659999999999993</v>
      </c>
      <c r="AD1605">
        <v>-1.1215465070799999</v>
      </c>
      <c r="AE1605">
        <v>-3.8409000000000302</v>
      </c>
      <c r="AF1605">
        <v>3.8433240853562198</v>
      </c>
      <c r="AG1605">
        <v>-1.1215465070799999</v>
      </c>
      <c r="AH1605">
        <v>9.8401119349712705</v>
      </c>
      <c r="AI1605">
        <v>96.060188101776205</v>
      </c>
      <c r="AJ1605">
        <v>68.665513283163193</v>
      </c>
      <c r="AK1605">
        <v>10.6234085624806</v>
      </c>
      <c r="AL1605">
        <v>81.553363731481895</v>
      </c>
      <c r="AM1605">
        <v>81.575189229497497</v>
      </c>
      <c r="AN1605">
        <v>0.99999996824444404</v>
      </c>
    </row>
    <row r="1606" spans="1:40" x14ac:dyDescent="0.25">
      <c r="A1606" t="str">
        <f>"20190303161906806"</f>
        <v>20190303161906806</v>
      </c>
      <c r="B1606" t="str">
        <f>"1551601146794584"</f>
        <v>1551601146794584</v>
      </c>
      <c r="C1606" t="s">
        <v>40</v>
      </c>
      <c r="D1606">
        <v>4.8773059999999999</v>
      </c>
      <c r="E1606">
        <v>0.59447469999999902</v>
      </c>
      <c r="F1606" t="s">
        <v>41</v>
      </c>
      <c r="G1606">
        <v>-211.7602</v>
      </c>
      <c r="H1606" s="1">
        <v>-4.5676570000000002E-6</v>
      </c>
      <c r="I1606">
        <v>363.69420000000002</v>
      </c>
      <c r="J1606">
        <v>-221.74860000000001</v>
      </c>
      <c r="K1606">
        <v>1.1215250000000001</v>
      </c>
      <c r="L1606">
        <v>367.60320000000002</v>
      </c>
      <c r="M1606">
        <v>0.99989269999999997</v>
      </c>
      <c r="N1606">
        <v>-1.3978020000000001E-2</v>
      </c>
      <c r="O1606">
        <v>4.3990909999999999E-3</v>
      </c>
      <c r="P1606">
        <v>0.97939620000000005</v>
      </c>
      <c r="Q1606">
        <v>0.1329362</v>
      </c>
      <c r="R1606">
        <v>-0.15202389999999999</v>
      </c>
      <c r="S1606">
        <v>2.9391020000000001</v>
      </c>
      <c r="T1606">
        <v>-0.32704100000000003</v>
      </c>
      <c r="U1606">
        <v>-1.1398010000000001</v>
      </c>
      <c r="V1606">
        <v>0.15637989999999999</v>
      </c>
      <c r="W1606">
        <v>0.14655199999999999</v>
      </c>
      <c r="X1606">
        <v>0.97676399999999997</v>
      </c>
      <c r="Y1606">
        <v>0.3634232</v>
      </c>
      <c r="Z1606">
        <v>-2.25063E-2</v>
      </c>
      <c r="AA1606">
        <v>0.93135230000000002</v>
      </c>
      <c r="AB1606">
        <v>17</v>
      </c>
      <c r="AC1606">
        <v>9.9884000000000093</v>
      </c>
      <c r="AD1606">
        <v>-1.1215295676570001</v>
      </c>
      <c r="AE1606">
        <v>-3.90899999999999</v>
      </c>
      <c r="AF1606">
        <v>3.9101564546964398</v>
      </c>
      <c r="AG1606">
        <v>-1.1215295676570001</v>
      </c>
      <c r="AH1606">
        <v>9.8632701113248498</v>
      </c>
      <c r="AI1606">
        <v>96.034005347170606</v>
      </c>
      <c r="AJ1606">
        <v>68.374837363391194</v>
      </c>
      <c r="AK1606">
        <v>10.6691728526764</v>
      </c>
      <c r="AL1606">
        <v>81.572837897062001</v>
      </c>
      <c r="AM1606">
        <v>80.904137542344898</v>
      </c>
      <c r="AN1606">
        <v>1.0000000367620001</v>
      </c>
    </row>
    <row r="1607" spans="1:40" x14ac:dyDescent="0.25">
      <c r="A1607" t="str">
        <f>"20190303161906821"</f>
        <v>20190303161906821</v>
      </c>
      <c r="B1607" t="str">
        <f>"1551601146815079"</f>
        <v>1551601146815079</v>
      </c>
      <c r="C1607" t="s">
        <v>40</v>
      </c>
      <c r="D1607">
        <v>4.8535050000000002</v>
      </c>
      <c r="E1607">
        <v>0.59457260000000001</v>
      </c>
      <c r="F1607" t="s">
        <v>41</v>
      </c>
      <c r="G1607">
        <v>-211.73079999999999</v>
      </c>
      <c r="H1607" s="1">
        <v>-4.5990899999999999E-6</v>
      </c>
      <c r="I1607">
        <v>363.58819999999997</v>
      </c>
      <c r="J1607">
        <v>-221.63050000000001</v>
      </c>
      <c r="K1607">
        <v>1.1214980000000001</v>
      </c>
      <c r="L1607">
        <v>367.6035</v>
      </c>
      <c r="M1607">
        <v>0.99989340000000004</v>
      </c>
      <c r="N1607">
        <v>-1.397519E-2</v>
      </c>
      <c r="O1607">
        <v>4.2378850000000003E-3</v>
      </c>
      <c r="P1607">
        <v>0.97848740000000001</v>
      </c>
      <c r="Q1607">
        <v>0.13268579999999999</v>
      </c>
      <c r="R1607">
        <v>-0.1579776</v>
      </c>
      <c r="S1607">
        <v>2.9255680000000002</v>
      </c>
      <c r="T1607">
        <v>-0.32752439999999999</v>
      </c>
      <c r="U1607">
        <v>-1.1725159999999999</v>
      </c>
      <c r="V1607">
        <v>0.1621803</v>
      </c>
      <c r="W1607">
        <v>0.1462746</v>
      </c>
      <c r="X1607">
        <v>0.97585929999999999</v>
      </c>
      <c r="Y1607">
        <v>0.37363350000000001</v>
      </c>
      <c r="Z1607">
        <v>-2.3194880000000001E-2</v>
      </c>
      <c r="AA1607">
        <v>0.92728639999999996</v>
      </c>
      <c r="AB1607">
        <v>17</v>
      </c>
      <c r="AC1607">
        <v>9.8997000000000206</v>
      </c>
      <c r="AD1607">
        <v>-1.1215025990899901</v>
      </c>
      <c r="AE1607">
        <v>-4.0153000000000203</v>
      </c>
      <c r="AF1607">
        <v>4.0129953812038703</v>
      </c>
      <c r="AG1607">
        <v>-1.1215025990899901</v>
      </c>
      <c r="AH1607">
        <v>9.7748661466930695</v>
      </c>
      <c r="AI1607">
        <v>96.058519534732795</v>
      </c>
      <c r="AJ1607">
        <v>67.679779123868499</v>
      </c>
      <c r="AK1607">
        <v>10.625907405727499</v>
      </c>
      <c r="AL1607">
        <v>81.588904926296493</v>
      </c>
      <c r="AM1607">
        <v>80.5641245474241</v>
      </c>
      <c r="AN1607">
        <v>1.0000000408548599</v>
      </c>
    </row>
    <row r="1608" spans="1:40" x14ac:dyDescent="0.25">
      <c r="A1608" t="str">
        <f>"20190303161906840"</f>
        <v>20190303161906840</v>
      </c>
      <c r="B1608" t="str">
        <f>"1551601146834599"</f>
        <v>1551601146834599</v>
      </c>
      <c r="C1608" t="s">
        <v>40</v>
      </c>
      <c r="D1608">
        <v>4.9124179999999997</v>
      </c>
      <c r="E1608">
        <v>0.5943503</v>
      </c>
      <c r="F1608" t="s">
        <v>41</v>
      </c>
      <c r="G1608">
        <v>-211.51259999999999</v>
      </c>
      <c r="H1608" s="1">
        <v>-4.7127279999999997E-6</v>
      </c>
      <c r="I1608">
        <v>363.4753</v>
      </c>
      <c r="J1608">
        <v>-221.49199999999999</v>
      </c>
      <c r="K1608">
        <v>1.1214660000000001</v>
      </c>
      <c r="L1608">
        <v>367.60390000000001</v>
      </c>
      <c r="M1608">
        <v>0.99989450000000002</v>
      </c>
      <c r="N1608">
        <v>-1.3971900000000001E-2</v>
      </c>
      <c r="O1608">
        <v>4.0127019999999999E-3</v>
      </c>
      <c r="P1608">
        <v>0.97659110000000005</v>
      </c>
      <c r="Q1608">
        <v>0.13219320000000001</v>
      </c>
      <c r="R1608">
        <v>-0.1696927</v>
      </c>
      <c r="S1608">
        <v>2.9176329999999999</v>
      </c>
      <c r="T1608">
        <v>-0.3233975</v>
      </c>
      <c r="U1608">
        <v>-1.1904300000000001</v>
      </c>
      <c r="V1608">
        <v>0.17367639999999901</v>
      </c>
      <c r="W1608">
        <v>0.1457368</v>
      </c>
      <c r="X1608">
        <v>0.97395960000000004</v>
      </c>
      <c r="Y1608">
        <v>0.37919649999999999</v>
      </c>
      <c r="Z1608">
        <v>-2.3283829999999998E-2</v>
      </c>
      <c r="AA1608">
        <v>0.92502320000000005</v>
      </c>
      <c r="AB1608">
        <v>17</v>
      </c>
      <c r="AC1608">
        <v>9.9794000000000196</v>
      </c>
      <c r="AD1608">
        <v>-1.1214707127279999</v>
      </c>
      <c r="AE1608">
        <v>-4.1285999999999996</v>
      </c>
      <c r="AF1608">
        <v>4.1241431528459103</v>
      </c>
      <c r="AG1608">
        <v>-1.1214707127279999</v>
      </c>
      <c r="AH1608">
        <v>9.8564659798155692</v>
      </c>
      <c r="AI1608">
        <v>95.991963458802203</v>
      </c>
      <c r="AJ1608">
        <v>67.294587252395402</v>
      </c>
      <c r="AK1608">
        <v>10.743192026392</v>
      </c>
      <c r="AL1608">
        <v>81.620052073670905</v>
      </c>
      <c r="AM1608">
        <v>79.8892939006695</v>
      </c>
      <c r="AN1608">
        <v>1.0000000046116799</v>
      </c>
    </row>
    <row r="1609" spans="1:40" x14ac:dyDescent="0.25">
      <c r="A1609" t="str">
        <f>"20190303161906854"</f>
        <v>20190303161906854</v>
      </c>
      <c r="B1609" t="str">
        <f>"1551601146844359"</f>
        <v>1551601146844359</v>
      </c>
      <c r="C1609" t="s">
        <v>40</v>
      </c>
      <c r="D1609">
        <v>4.86808</v>
      </c>
      <c r="E1609">
        <v>0.5942269</v>
      </c>
      <c r="F1609" t="s">
        <v>41</v>
      </c>
      <c r="G1609">
        <v>-211.35249999999999</v>
      </c>
      <c r="H1609" s="1">
        <v>-4.8069450000000003E-6</v>
      </c>
      <c r="I1609">
        <v>363.33139999999997</v>
      </c>
      <c r="J1609">
        <v>-221.39060000000001</v>
      </c>
      <c r="K1609">
        <v>1.1214470000000001</v>
      </c>
      <c r="L1609">
        <v>367.60399999999998</v>
      </c>
      <c r="M1609">
        <v>0.99989510000000004</v>
      </c>
      <c r="N1609">
        <v>-1.3969509999999999E-2</v>
      </c>
      <c r="O1609">
        <v>3.8230059999999999E-3</v>
      </c>
      <c r="P1609">
        <v>0.97564640000000002</v>
      </c>
      <c r="Q1609">
        <v>0.13175700000000001</v>
      </c>
      <c r="R1609">
        <v>-0.1753682</v>
      </c>
      <c r="S1609">
        <v>2.9028320000000001</v>
      </c>
      <c r="T1609">
        <v>-0.32106200000000001</v>
      </c>
      <c r="U1609">
        <v>-1.2231449999999999</v>
      </c>
      <c r="V1609">
        <v>0.17916899999999999</v>
      </c>
      <c r="W1609">
        <v>0.14527590000000001</v>
      </c>
      <c r="X1609">
        <v>0.97303309999999998</v>
      </c>
      <c r="Y1609">
        <v>0.38949519999999999</v>
      </c>
      <c r="Z1609">
        <v>-2.3797829999999999E-2</v>
      </c>
      <c r="AA1609">
        <v>0.92072100000000001</v>
      </c>
      <c r="AB1609">
        <v>17</v>
      </c>
      <c r="AC1609">
        <v>10.0381</v>
      </c>
      <c r="AD1609">
        <v>-1.1214518069449999</v>
      </c>
      <c r="AE1609">
        <v>-4.2726000000000601</v>
      </c>
      <c r="AF1609">
        <v>4.2658713082811399</v>
      </c>
      <c r="AG1609">
        <v>-1.1214518069449999</v>
      </c>
      <c r="AH1609">
        <v>9.9169002250409193</v>
      </c>
      <c r="AI1609">
        <v>95.930700624222595</v>
      </c>
      <c r="AJ1609">
        <v>66.724473490547396</v>
      </c>
      <c r="AK1609">
        <v>10.8535810794195</v>
      </c>
      <c r="AL1609">
        <v>81.646743863010698</v>
      </c>
      <c r="AM1609">
        <v>79.566735643027599</v>
      </c>
      <c r="AN1609">
        <v>1.0000000156886999</v>
      </c>
    </row>
    <row r="1610" spans="1:40" x14ac:dyDescent="0.25">
      <c r="A1610" t="str">
        <f>"20190303161906867"</f>
        <v>20190303161906867</v>
      </c>
      <c r="B1610" t="str">
        <f>"1551601146854119"</f>
        <v>1551601146854119</v>
      </c>
      <c r="C1610" t="s">
        <v>40</v>
      </c>
      <c r="D1610">
        <v>4.8918939999999997</v>
      </c>
      <c r="E1610">
        <v>0.5940356</v>
      </c>
      <c r="F1610" t="s">
        <v>41</v>
      </c>
      <c r="G1610">
        <v>-211.2552</v>
      </c>
      <c r="H1610" s="1">
        <v>-4.8601360000000004E-6</v>
      </c>
      <c r="I1610">
        <v>363.26670000000001</v>
      </c>
      <c r="J1610">
        <v>-221.2886</v>
      </c>
      <c r="K1610">
        <v>1.1214230000000001</v>
      </c>
      <c r="L1610">
        <v>367.60410000000002</v>
      </c>
      <c r="M1610">
        <v>0.99989600000000001</v>
      </c>
      <c r="N1610">
        <v>-1.3967139999999999E-2</v>
      </c>
      <c r="O1610">
        <v>3.6162830000000001E-3</v>
      </c>
      <c r="P1610">
        <v>0.974638</v>
      </c>
      <c r="Q1610">
        <v>0.13156950000000001</v>
      </c>
      <c r="R1610">
        <v>-0.18102689999999999</v>
      </c>
      <c r="S1610">
        <v>2.8954469999999999</v>
      </c>
      <c r="T1610">
        <v>-0.32037120000000002</v>
      </c>
      <c r="U1610">
        <v>-1.239044</v>
      </c>
      <c r="V1610">
        <v>0.18462770000000001</v>
      </c>
      <c r="W1610">
        <v>0.1450622</v>
      </c>
      <c r="X1610">
        <v>0.97204400000000002</v>
      </c>
      <c r="Y1610">
        <v>0.39439750000000001</v>
      </c>
      <c r="Z1610">
        <v>-2.4058980000000001E-2</v>
      </c>
      <c r="AA1610">
        <v>0.91862489999999997</v>
      </c>
      <c r="AB1610">
        <v>17</v>
      </c>
      <c r="AC1610">
        <v>10.0334</v>
      </c>
      <c r="AD1610">
        <v>-1.1214278601359999</v>
      </c>
      <c r="AE1610">
        <v>-4.3373999999999997</v>
      </c>
      <c r="AF1610">
        <v>4.3281036535329802</v>
      </c>
      <c r="AG1610">
        <v>-1.1214278601359999</v>
      </c>
      <c r="AH1610">
        <v>9.9133058300599792</v>
      </c>
      <c r="AI1610">
        <v>95.918899150533093</v>
      </c>
      <c r="AJ1610">
        <v>66.414140073156304</v>
      </c>
      <c r="AK1610">
        <v>10.874912145002099</v>
      </c>
      <c r="AL1610">
        <v>81.659118794407604</v>
      </c>
      <c r="AM1610">
        <v>79.245483891354695</v>
      </c>
      <c r="AN1610">
        <v>0.99999998370606402</v>
      </c>
    </row>
    <row r="1611" spans="1:40" x14ac:dyDescent="0.25">
      <c r="A1611" t="str">
        <f>"20190303161906878"</f>
        <v>20190303161906878</v>
      </c>
      <c r="B1611" t="str">
        <f>"1551601146863879"</f>
        <v>1551601146863879</v>
      </c>
      <c r="C1611" t="s">
        <v>40</v>
      </c>
      <c r="D1611">
        <v>4.9629580000000004</v>
      </c>
      <c r="E1611">
        <v>0.5935918</v>
      </c>
      <c r="F1611" t="s">
        <v>41</v>
      </c>
      <c r="G1611">
        <v>-211.1215</v>
      </c>
      <c r="H1611" s="1">
        <v>-4.9316210000000003E-6</v>
      </c>
      <c r="I1611">
        <v>363.18709999999999</v>
      </c>
      <c r="J1611">
        <v>-221.2039</v>
      </c>
      <c r="K1611">
        <v>1.1214090000000001</v>
      </c>
      <c r="L1611">
        <v>367.60419999999999</v>
      </c>
      <c r="M1611">
        <v>0.99989669999999997</v>
      </c>
      <c r="N1611">
        <v>-1.396523E-2</v>
      </c>
      <c r="O1611">
        <v>3.4262569999999998E-3</v>
      </c>
      <c r="P1611">
        <v>0.97364499999999998</v>
      </c>
      <c r="Q1611">
        <v>0.13123370000000001</v>
      </c>
      <c r="R1611">
        <v>-0.18652969999999999</v>
      </c>
      <c r="S1611">
        <v>2.8880309999999998</v>
      </c>
      <c r="T1611">
        <v>-0.3185461</v>
      </c>
      <c r="U1611">
        <v>-1.254669</v>
      </c>
      <c r="V1611">
        <v>0.18994610000000001</v>
      </c>
      <c r="W1611">
        <v>0.1447022</v>
      </c>
      <c r="X1611">
        <v>0.97107250000000001</v>
      </c>
      <c r="Y1611">
        <v>0.39925179999999999</v>
      </c>
      <c r="Z1611">
        <v>-2.4243000000000001E-2</v>
      </c>
      <c r="AA1611">
        <v>0.91652069999999997</v>
      </c>
      <c r="AB1611">
        <v>17</v>
      </c>
      <c r="AC1611">
        <v>10.0824</v>
      </c>
      <c r="AD1611">
        <v>-1.1214139316209999</v>
      </c>
      <c r="AE1611">
        <v>-4.4170999999999996</v>
      </c>
      <c r="AF1611">
        <v>4.4058938523465203</v>
      </c>
      <c r="AG1611">
        <v>-1.1214139316209999</v>
      </c>
      <c r="AH1611">
        <v>9.96379169136077</v>
      </c>
      <c r="AI1611">
        <v>95.877009639044601</v>
      </c>
      <c r="AJ1611">
        <v>66.145441849519898</v>
      </c>
      <c r="AK1611">
        <v>10.952014185208499</v>
      </c>
      <c r="AL1611">
        <v>81.679965565046203</v>
      </c>
      <c r="AM1611">
        <v>78.932431141364106</v>
      </c>
      <c r="AN1611">
        <v>1.0000000239231399</v>
      </c>
    </row>
    <row r="1612" spans="1:40" x14ac:dyDescent="0.25">
      <c r="A1612" t="str">
        <f>"20190303161906892"</f>
        <v>20190303161906892</v>
      </c>
      <c r="B1612" t="str">
        <f>"1551601146884375"</f>
        <v>1551601146884375</v>
      </c>
      <c r="C1612" t="s">
        <v>40</v>
      </c>
      <c r="D1612">
        <v>5.0991739999999997</v>
      </c>
      <c r="E1612">
        <v>0.59324370000000004</v>
      </c>
      <c r="F1612" t="s">
        <v>41</v>
      </c>
      <c r="G1612">
        <v>-211.10939999999999</v>
      </c>
      <c r="H1612" s="1">
        <v>-4.9410050000000001E-6</v>
      </c>
      <c r="I1612">
        <v>363.16340000000002</v>
      </c>
      <c r="J1612">
        <v>-221.11019999999999</v>
      </c>
      <c r="K1612">
        <v>1.1213959999999901</v>
      </c>
      <c r="L1612">
        <v>367.60419999999999</v>
      </c>
      <c r="M1612">
        <v>0.99989749999999999</v>
      </c>
      <c r="N1612">
        <v>-1.3963100000000001E-2</v>
      </c>
      <c r="O1612">
        <v>3.204939E-3</v>
      </c>
      <c r="P1612">
        <v>0.97255519999999995</v>
      </c>
      <c r="Q1612">
        <v>0.1308211</v>
      </c>
      <c r="R1612">
        <v>-0.19241240000000001</v>
      </c>
      <c r="S1612">
        <v>2.8814540000000002</v>
      </c>
      <c r="T1612">
        <v>-0.32010559999999899</v>
      </c>
      <c r="U1612">
        <v>-1.267609</v>
      </c>
      <c r="V1612">
        <v>0.19561390000000001</v>
      </c>
      <c r="W1612">
        <v>0.14426439999999999</v>
      </c>
      <c r="X1612">
        <v>0.97001190000000004</v>
      </c>
      <c r="Y1612">
        <v>0.40321469999999998</v>
      </c>
      <c r="Z1612">
        <v>-2.4594209999999998E-2</v>
      </c>
      <c r="AA1612">
        <v>0.9147748</v>
      </c>
      <c r="AB1612">
        <v>17</v>
      </c>
      <c r="AC1612">
        <v>10.0007999999999</v>
      </c>
      <c r="AD1612">
        <v>-1.1214009410050001</v>
      </c>
      <c r="AE1612">
        <v>-4.4407999999999603</v>
      </c>
      <c r="AF1612">
        <v>4.4263443846273098</v>
      </c>
      <c r="AG1612">
        <v>-1.1214009410050001</v>
      </c>
      <c r="AH1612">
        <v>9.8827210316095293</v>
      </c>
      <c r="AI1612">
        <v>95.912375014321796</v>
      </c>
      <c r="AJ1612">
        <v>65.873002633243203</v>
      </c>
      <c r="AK1612">
        <v>10.886608272112399</v>
      </c>
      <c r="AL1612">
        <v>81.705315871807301</v>
      </c>
      <c r="AM1612">
        <v>78.598570109488406</v>
      </c>
      <c r="AN1612">
        <v>1.00000005056108</v>
      </c>
    </row>
    <row r="1613" spans="1:40" x14ac:dyDescent="0.25">
      <c r="A1613" t="str">
        <f>"20190303161906903"</f>
        <v>20190303161906903</v>
      </c>
      <c r="B1613" t="str">
        <f>"1551601146894135"</f>
        <v>1551601146894135</v>
      </c>
      <c r="C1613" t="s">
        <v>40</v>
      </c>
      <c r="D1613">
        <v>4.9291879999999999</v>
      </c>
      <c r="E1613">
        <v>0.59315419999999996</v>
      </c>
      <c r="F1613" t="s">
        <v>41</v>
      </c>
      <c r="G1613">
        <v>-211.03550000000001</v>
      </c>
      <c r="H1613" s="1">
        <v>-4.982818E-6</v>
      </c>
      <c r="I1613">
        <v>363.10649999999998</v>
      </c>
      <c r="J1613">
        <v>-221.01689999999999</v>
      </c>
      <c r="K1613">
        <v>1.1213799999999901</v>
      </c>
      <c r="L1613">
        <v>367.60419999999999</v>
      </c>
      <c r="M1613">
        <v>0.99989819999999996</v>
      </c>
      <c r="N1613">
        <v>-1.396098E-2</v>
      </c>
      <c r="O1613">
        <v>2.97446E-3</v>
      </c>
      <c r="P1613">
        <v>0.97147890000000003</v>
      </c>
      <c r="Q1613">
        <v>0.13059860000000001</v>
      </c>
      <c r="R1613">
        <v>-0.1979215</v>
      </c>
      <c r="S1613">
        <v>2.8738709999999998</v>
      </c>
      <c r="T1613">
        <v>-0.31988499999999997</v>
      </c>
      <c r="U1613">
        <v>-1.2829900000000001</v>
      </c>
      <c r="V1613">
        <v>0.20089960000000001</v>
      </c>
      <c r="W1613">
        <v>0.14401659999999999</v>
      </c>
      <c r="X1613">
        <v>0.96896780000000005</v>
      </c>
      <c r="Y1613">
        <v>0.40794910000000001</v>
      </c>
      <c r="Z1613">
        <v>-2.4876200000000001E-2</v>
      </c>
      <c r="AA1613">
        <v>0.91266570000000002</v>
      </c>
      <c r="AB1613">
        <v>17</v>
      </c>
      <c r="AC1613">
        <v>9.9813999999999794</v>
      </c>
      <c r="AD1613">
        <v>-1.12138498281799</v>
      </c>
      <c r="AE1613">
        <v>-4.4977</v>
      </c>
      <c r="AF1613">
        <v>4.4803658448402297</v>
      </c>
      <c r="AG1613">
        <v>-1.12138498281799</v>
      </c>
      <c r="AH1613">
        <v>9.8644816365067207</v>
      </c>
      <c r="AI1613">
        <v>95.909265581684707</v>
      </c>
      <c r="AJ1613">
        <v>65.572844668501602</v>
      </c>
      <c r="AK1613">
        <v>10.8921614172889</v>
      </c>
      <c r="AL1613">
        <v>81.719663289489304</v>
      </c>
      <c r="AM1613">
        <v>78.286618790174501</v>
      </c>
      <c r="AN1613">
        <v>1.0000000138962799</v>
      </c>
    </row>
    <row r="1614" spans="1:40" x14ac:dyDescent="0.25">
      <c r="A1614" t="str">
        <f>"20190303161906918"</f>
        <v>20190303161906918</v>
      </c>
      <c r="B1614" t="str">
        <f>"1551601146914632"</f>
        <v>1551601146914632</v>
      </c>
      <c r="C1614" t="s">
        <v>40</v>
      </c>
      <c r="D1614">
        <v>4.8890409999999997</v>
      </c>
      <c r="E1614">
        <v>0.59311639999999999</v>
      </c>
      <c r="F1614" t="s">
        <v>41</v>
      </c>
      <c r="G1614">
        <v>-211.01</v>
      </c>
      <c r="H1614" s="1">
        <v>-5.0005120000000001E-6</v>
      </c>
      <c r="I1614">
        <v>363.0684</v>
      </c>
      <c r="J1614">
        <v>-220.9075</v>
      </c>
      <c r="K1614">
        <v>1.1213679999999999</v>
      </c>
      <c r="L1614">
        <v>367.60419999999999</v>
      </c>
      <c r="M1614">
        <v>0.99989910000000004</v>
      </c>
      <c r="N1614">
        <v>-1.3958419999999999E-2</v>
      </c>
      <c r="O1614">
        <v>2.6820440000000002E-3</v>
      </c>
      <c r="P1614">
        <v>0.96925119999999998</v>
      </c>
      <c r="Q1614">
        <v>0.1300674</v>
      </c>
      <c r="R1614">
        <v>-0.2088903</v>
      </c>
      <c r="S1614">
        <v>2.8665310000000002</v>
      </c>
      <c r="T1614">
        <v>-0.3212236</v>
      </c>
      <c r="U1614">
        <v>-1.2992859999999999</v>
      </c>
      <c r="V1614">
        <v>0.21158170000000001</v>
      </c>
      <c r="W1614">
        <v>0.1434395</v>
      </c>
      <c r="X1614">
        <v>0.96677729999999995</v>
      </c>
      <c r="Y1614">
        <v>0.41280800000000001</v>
      </c>
      <c r="Z1614">
        <v>-2.5264669999999999E-2</v>
      </c>
      <c r="AA1614">
        <v>0.91046760000000004</v>
      </c>
      <c r="AB1614">
        <v>17</v>
      </c>
      <c r="AC1614">
        <v>9.8975000000000009</v>
      </c>
      <c r="AD1614">
        <v>-1.121373000512</v>
      </c>
      <c r="AE1614">
        <v>-4.5357999999999903</v>
      </c>
      <c r="AF1614">
        <v>4.5144399945324603</v>
      </c>
      <c r="AG1614">
        <v>-1.121373000512</v>
      </c>
      <c r="AH1614">
        <v>9.7815298446585199</v>
      </c>
      <c r="AI1614">
        <v>95.942553093053306</v>
      </c>
      <c r="AJ1614">
        <v>65.225401436937602</v>
      </c>
      <c r="AK1614">
        <v>10.8312497881111</v>
      </c>
      <c r="AL1614">
        <v>81.753075704112803</v>
      </c>
      <c r="AM1614">
        <v>77.655304201647496</v>
      </c>
      <c r="AN1614">
        <v>1.0000000268652101</v>
      </c>
    </row>
    <row r="1615" spans="1:40" x14ac:dyDescent="0.25">
      <c r="A1615" t="str">
        <f>"20190303161906934"</f>
        <v>20190303161906934</v>
      </c>
      <c r="B1615" t="str">
        <f>"1551601146924391"</f>
        <v>1551601146924391</v>
      </c>
      <c r="C1615" t="s">
        <v>40</v>
      </c>
      <c r="D1615">
        <v>4.8980230000000002</v>
      </c>
      <c r="E1615">
        <v>0.59310669999999899</v>
      </c>
      <c r="F1615" t="s">
        <v>41</v>
      </c>
      <c r="G1615">
        <v>-211.05520000000001</v>
      </c>
      <c r="H1615" s="1">
        <v>-4.9940019999999996E-6</v>
      </c>
      <c r="I1615">
        <v>362.9957</v>
      </c>
      <c r="J1615">
        <v>-220.7928</v>
      </c>
      <c r="K1615">
        <v>1.1213630000000001</v>
      </c>
      <c r="L1615">
        <v>367.60410000000002</v>
      </c>
      <c r="M1615">
        <v>0.99989989999999995</v>
      </c>
      <c r="N1615">
        <v>-1.39557E-2</v>
      </c>
      <c r="O1615">
        <v>2.3596419999999999E-3</v>
      </c>
      <c r="P1615">
        <v>0.96822330000000001</v>
      </c>
      <c r="Q1615">
        <v>0.12969249999999999</v>
      </c>
      <c r="R1615">
        <v>-0.21383089999999999</v>
      </c>
      <c r="S1615">
        <v>2.8512879999999998</v>
      </c>
      <c r="T1615">
        <v>-0.32452930000000002</v>
      </c>
      <c r="U1615">
        <v>-1.33371</v>
      </c>
      <c r="V1615">
        <v>0.21621180000000001</v>
      </c>
      <c r="W1615">
        <v>0.14303929999999901</v>
      </c>
      <c r="X1615">
        <v>0.96581170000000005</v>
      </c>
      <c r="Y1615">
        <v>0.42325639999999998</v>
      </c>
      <c r="Z1615">
        <v>-2.616508E-2</v>
      </c>
      <c r="AA1615">
        <v>0.90563199999999999</v>
      </c>
      <c r="AB1615">
        <v>17</v>
      </c>
      <c r="AC1615">
        <v>9.7375999999999792</v>
      </c>
      <c r="AD1615">
        <v>-1.1213679940019901</v>
      </c>
      <c r="AE1615">
        <v>-4.6084000000000103</v>
      </c>
      <c r="AF1615">
        <v>4.5817246335643702</v>
      </c>
      <c r="AG1615">
        <v>-1.1213679940019901</v>
      </c>
      <c r="AH1615">
        <v>9.6224405383595801</v>
      </c>
      <c r="AI1615">
        <v>96.006452034974899</v>
      </c>
      <c r="AJ1615">
        <v>64.538547492073505</v>
      </c>
      <c r="AK1615">
        <v>10.716390656841901</v>
      </c>
      <c r="AL1615">
        <v>81.776244263981795</v>
      </c>
      <c r="AM1615">
        <v>77.381508147872495</v>
      </c>
      <c r="AN1615">
        <v>1.0000000118303001</v>
      </c>
    </row>
    <row r="1616" spans="1:40" x14ac:dyDescent="0.25">
      <c r="A1616" t="str">
        <f>"20190303161906948"</f>
        <v>20190303161906948</v>
      </c>
      <c r="B1616" t="str">
        <f>"1551601146934151"</f>
        <v>1551601146934151</v>
      </c>
      <c r="C1616" t="s">
        <v>40</v>
      </c>
      <c r="D1616">
        <v>4.9912599999999996</v>
      </c>
      <c r="E1616">
        <v>0.59315260000000003</v>
      </c>
      <c r="F1616" t="s">
        <v>41</v>
      </c>
      <c r="G1616">
        <v>-211.01140000000001</v>
      </c>
      <c r="H1616" s="1">
        <v>-5.0185929999999997E-6</v>
      </c>
      <c r="I1616">
        <v>362.9631</v>
      </c>
      <c r="J1616">
        <v>-220.68709999999999</v>
      </c>
      <c r="K1616">
        <v>1.121351</v>
      </c>
      <c r="L1616">
        <v>367.60390000000001</v>
      </c>
      <c r="M1616">
        <v>0.99990060000000003</v>
      </c>
      <c r="N1616">
        <v>-1.3953159999999999E-2</v>
      </c>
      <c r="O1616">
        <v>2.047924E-3</v>
      </c>
      <c r="P1616">
        <v>0.96723650000000005</v>
      </c>
      <c r="Q1616">
        <v>0.12926509999999999</v>
      </c>
      <c r="R1616">
        <v>-0.21850520000000001</v>
      </c>
      <c r="S1616">
        <v>2.844131</v>
      </c>
      <c r="T1616">
        <v>-0.32605469999999998</v>
      </c>
      <c r="U1616">
        <v>-1.349426</v>
      </c>
      <c r="V1616">
        <v>0.2205857</v>
      </c>
      <c r="W1616">
        <v>0.14258760000000001</v>
      </c>
      <c r="X1616">
        <v>0.96488890000000005</v>
      </c>
      <c r="Y1616">
        <v>0.42788229999999999</v>
      </c>
      <c r="Z1616">
        <v>-2.6558419999999999E-2</v>
      </c>
      <c r="AA1616">
        <v>0.90344420000000003</v>
      </c>
      <c r="AB1616">
        <v>17</v>
      </c>
      <c r="AC1616">
        <v>9.6756999999999707</v>
      </c>
      <c r="AD1616">
        <v>-1.121356018593</v>
      </c>
      <c r="AE1616">
        <v>-4.6408000000000103</v>
      </c>
      <c r="AF1616">
        <v>4.6102658453524601</v>
      </c>
      <c r="AG1616">
        <v>-1.121356018593</v>
      </c>
      <c r="AH1616">
        <v>9.56176580063517</v>
      </c>
      <c r="AI1616">
        <v>96.030194754554003</v>
      </c>
      <c r="AJ1616">
        <v>64.258665607405604</v>
      </c>
      <c r="AK1616">
        <v>10.6742379452331</v>
      </c>
      <c r="AL1616">
        <v>81.802392141168198</v>
      </c>
      <c r="AM1616">
        <v>77.122760029062903</v>
      </c>
      <c r="AN1616">
        <v>0.99999993203072701</v>
      </c>
    </row>
    <row r="1617" spans="1:40" x14ac:dyDescent="0.25">
      <c r="A1617" t="str">
        <f>"20190303161906962"</f>
        <v>20190303161906962</v>
      </c>
      <c r="B1617" t="str">
        <f>"1551601146954649"</f>
        <v>1551601146954649</v>
      </c>
      <c r="C1617" t="s">
        <v>40</v>
      </c>
      <c r="D1617">
        <v>4.9122490000000001</v>
      </c>
      <c r="E1617">
        <v>0.59313139999999998</v>
      </c>
      <c r="F1617" t="s">
        <v>41</v>
      </c>
      <c r="G1617">
        <v>-210.97329999999999</v>
      </c>
      <c r="H1617" s="1">
        <v>-5.0404010000000003E-6</v>
      </c>
      <c r="I1617">
        <v>362.93220000000002</v>
      </c>
      <c r="J1617">
        <v>-220.5822</v>
      </c>
      <c r="K1617">
        <v>1.1213420000000001</v>
      </c>
      <c r="L1617">
        <v>367.60379999999998</v>
      </c>
      <c r="M1617">
        <v>0.99990120000000005</v>
      </c>
      <c r="N1617">
        <v>-1.395065E-2</v>
      </c>
      <c r="O1617">
        <v>1.7223799999999999E-3</v>
      </c>
      <c r="P1617">
        <v>0.96639249999999999</v>
      </c>
      <c r="Q1617">
        <v>0.12873579999999901</v>
      </c>
      <c r="R1617">
        <v>-0.2225152</v>
      </c>
      <c r="S1617">
        <v>2.8371580000000001</v>
      </c>
      <c r="T1617">
        <v>-0.32751970000000002</v>
      </c>
      <c r="U1617">
        <v>-1.3645020000000001</v>
      </c>
      <c r="V1617">
        <v>0.22428310000000001</v>
      </c>
      <c r="W1617">
        <v>0.14203589999999999</v>
      </c>
      <c r="X1617">
        <v>0.96411769999999997</v>
      </c>
      <c r="Y1617">
        <v>0.43229699999999999</v>
      </c>
      <c r="Z1617">
        <v>-2.693514E-2</v>
      </c>
      <c r="AA1617">
        <v>0.90132889999999999</v>
      </c>
      <c r="AB1617">
        <v>17</v>
      </c>
      <c r="AC1617">
        <v>9.6089000000000002</v>
      </c>
      <c r="AD1617">
        <v>-1.121347040401</v>
      </c>
      <c r="AE1617">
        <v>-4.67159999999995</v>
      </c>
      <c r="AF1617">
        <v>4.6370673973796901</v>
      </c>
      <c r="AG1617">
        <v>-1.121347040401</v>
      </c>
      <c r="AH1617">
        <v>9.4962373042376402</v>
      </c>
      <c r="AI1617">
        <v>96.056910741628201</v>
      </c>
      <c r="AJ1617">
        <v>63.973476470679998</v>
      </c>
      <c r="AK1617">
        <v>10.6272449944118</v>
      </c>
      <c r="AL1617">
        <v>81.8343280096516</v>
      </c>
      <c r="AM1617">
        <v>76.9041784283814</v>
      </c>
      <c r="AN1617">
        <v>1.0000000226438499</v>
      </c>
    </row>
    <row r="1618" spans="1:40" x14ac:dyDescent="0.25">
      <c r="A1618" t="str">
        <f>"20190303161906977"</f>
        <v>20190303161906977</v>
      </c>
      <c r="B1618" t="str">
        <f>"1551601146964407"</f>
        <v>1551601146964407</v>
      </c>
      <c r="C1618" t="s">
        <v>40</v>
      </c>
      <c r="D1618">
        <v>4.9153989999999999</v>
      </c>
      <c r="E1618">
        <v>0.59304509999999999</v>
      </c>
      <c r="F1618" t="s">
        <v>41</v>
      </c>
      <c r="G1618">
        <v>-210.9768</v>
      </c>
      <c r="H1618" s="1">
        <v>-5.0388699999999998E-6</v>
      </c>
      <c r="I1618">
        <v>362.93239999999997</v>
      </c>
      <c r="J1618">
        <v>-220.47300000000001</v>
      </c>
      <c r="K1618">
        <v>1.121329</v>
      </c>
      <c r="L1618">
        <v>367.6035</v>
      </c>
      <c r="M1618">
        <v>0.99990190000000001</v>
      </c>
      <c r="N1618">
        <v>-1.394806E-2</v>
      </c>
      <c r="O1618">
        <v>1.367098E-3</v>
      </c>
      <c r="P1618">
        <v>0.96484630000000005</v>
      </c>
      <c r="Q1618">
        <v>0.12861429999999999</v>
      </c>
      <c r="R1618">
        <v>-0.22919590000000001</v>
      </c>
      <c r="S1618">
        <v>2.8312840000000001</v>
      </c>
      <c r="T1618">
        <v>-0.33052730000000002</v>
      </c>
      <c r="U1618">
        <v>-1.3769229999999999</v>
      </c>
      <c r="V1618">
        <v>0.2306221</v>
      </c>
      <c r="W1618">
        <v>0.14188110000000001</v>
      </c>
      <c r="X1618">
        <v>0.9626439</v>
      </c>
      <c r="Y1618">
        <v>0.43583630000000001</v>
      </c>
      <c r="Z1618">
        <v>-2.7364690000000001E-2</v>
      </c>
      <c r="AA1618">
        <v>0.89960989999999996</v>
      </c>
      <c r="AB1618">
        <v>17</v>
      </c>
      <c r="AC1618">
        <v>9.4961999999999804</v>
      </c>
      <c r="AD1618">
        <v>-1.1213340388699999</v>
      </c>
      <c r="AE1618">
        <v>-4.6711000000000196</v>
      </c>
      <c r="AF1618">
        <v>4.6320748347938601</v>
      </c>
      <c r="AG1618">
        <v>-1.1213340388699999</v>
      </c>
      <c r="AH1618">
        <v>9.3844454974184401</v>
      </c>
      <c r="AI1618">
        <v>96.115744827373007</v>
      </c>
      <c r="AJ1618">
        <v>63.729482927426098</v>
      </c>
      <c r="AK1618">
        <v>10.525270761166899</v>
      </c>
      <c r="AL1618">
        <v>81.843288272152606</v>
      </c>
      <c r="AM1618">
        <v>76.527479880876996</v>
      </c>
      <c r="AN1618">
        <v>1.0000000388764101</v>
      </c>
    </row>
    <row r="1619" spans="1:40" x14ac:dyDescent="0.25">
      <c r="A1619" t="str">
        <f>"20190303161906993"</f>
        <v>20190303161906993</v>
      </c>
      <c r="B1619" t="str">
        <f>"1551601146983927"</f>
        <v>1551601146983927</v>
      </c>
      <c r="C1619" t="s">
        <v>40</v>
      </c>
      <c r="D1619">
        <v>4.8877790000000001</v>
      </c>
      <c r="E1619">
        <v>0.59295980000000004</v>
      </c>
      <c r="F1619" t="s">
        <v>41</v>
      </c>
      <c r="G1619">
        <v>-210.88749999999999</v>
      </c>
      <c r="H1619" s="1">
        <v>-5.0911609999999996E-6</v>
      </c>
      <c r="I1619">
        <v>362.85359999999997</v>
      </c>
      <c r="J1619">
        <v>-220.35239999999999</v>
      </c>
      <c r="K1619">
        <v>1.1213169999999999</v>
      </c>
      <c r="L1619">
        <v>367.60329999999999</v>
      </c>
      <c r="M1619">
        <v>0.99990239999999997</v>
      </c>
      <c r="N1619">
        <v>-1.3945229999999999E-2</v>
      </c>
      <c r="O1619">
        <v>9.5869589999999995E-4</v>
      </c>
      <c r="P1619">
        <v>0.96411210000000003</v>
      </c>
      <c r="Q1619">
        <v>0.1287584</v>
      </c>
      <c r="R1619">
        <v>-0.2321839</v>
      </c>
      <c r="S1619">
        <v>2.8211979999999999</v>
      </c>
      <c r="T1619">
        <v>-0.33003009999999999</v>
      </c>
      <c r="U1619">
        <v>-1.39801</v>
      </c>
      <c r="V1619">
        <v>0.2332195</v>
      </c>
      <c r="W1619">
        <v>0.14200470000000001</v>
      </c>
      <c r="X1619">
        <v>0.96199970000000001</v>
      </c>
      <c r="Y1619">
        <v>0.44210060000000001</v>
      </c>
      <c r="Z1619">
        <v>-2.7724990000000001E-2</v>
      </c>
      <c r="AA1619">
        <v>0.89653689999999997</v>
      </c>
      <c r="AB1619">
        <v>17</v>
      </c>
      <c r="AC1619">
        <v>9.4649000000000001</v>
      </c>
      <c r="AD1619">
        <v>-1.12132209116099</v>
      </c>
      <c r="AE1619">
        <v>-4.7497000000000096</v>
      </c>
      <c r="AF1619">
        <v>4.7060086840226099</v>
      </c>
      <c r="AG1619">
        <v>-1.12132209116099</v>
      </c>
      <c r="AH1619">
        <v>9.3554479971579099</v>
      </c>
      <c r="AI1619">
        <v>96.111611442051696</v>
      </c>
      <c r="AJ1619">
        <v>63.296536853403502</v>
      </c>
      <c r="AK1619">
        <v>10.5322499112842</v>
      </c>
      <c r="AL1619">
        <v>81.836134138610106</v>
      </c>
      <c r="AM1619">
        <v>76.372585970210494</v>
      </c>
      <c r="AN1619">
        <v>1.00000004640121</v>
      </c>
    </row>
    <row r="1620" spans="1:40" x14ac:dyDescent="0.25">
      <c r="A1620" t="str">
        <f>"20190303161907009"</f>
        <v>20190303161907009</v>
      </c>
      <c r="B1620" t="str">
        <f>"1551601147004423"</f>
        <v>1551601147004423</v>
      </c>
      <c r="C1620" t="s">
        <v>40</v>
      </c>
      <c r="D1620">
        <v>4.9884259999999996</v>
      </c>
      <c r="E1620">
        <v>0.59284219999999999</v>
      </c>
      <c r="F1620" t="s">
        <v>41</v>
      </c>
      <c r="G1620">
        <v>-210.78469999999999</v>
      </c>
      <c r="H1620" s="1">
        <v>-5.1405439999999997E-6</v>
      </c>
      <c r="I1620">
        <v>362.82389999999998</v>
      </c>
      <c r="J1620">
        <v>-220.2431</v>
      </c>
      <c r="K1620">
        <v>1.1213070000000001</v>
      </c>
      <c r="L1620">
        <v>367.6028</v>
      </c>
      <c r="M1620">
        <v>0.99990259999999997</v>
      </c>
      <c r="N1620">
        <v>-1.3942700000000001E-2</v>
      </c>
      <c r="O1620">
        <v>5.7313869999999997E-4</v>
      </c>
      <c r="P1620">
        <v>0.96352740000000003</v>
      </c>
      <c r="Q1620">
        <v>0.1286233</v>
      </c>
      <c r="R1620">
        <v>-0.2346733</v>
      </c>
      <c r="S1620">
        <v>2.8168950000000001</v>
      </c>
      <c r="T1620">
        <v>-0.33013399999999998</v>
      </c>
      <c r="U1620">
        <v>-1.407135</v>
      </c>
      <c r="V1620">
        <v>0.2353401</v>
      </c>
      <c r="W1620">
        <v>0.141852799999999</v>
      </c>
      <c r="X1620">
        <v>0.96150550000000001</v>
      </c>
      <c r="Y1620">
        <v>0.44460680000000002</v>
      </c>
      <c r="Z1620">
        <v>-2.7870579999999999E-2</v>
      </c>
      <c r="AA1620">
        <v>0.89529219999999898</v>
      </c>
      <c r="AB1620">
        <v>17</v>
      </c>
      <c r="AC1620">
        <v>9.4584000000000099</v>
      </c>
      <c r="AD1620">
        <v>-1.1213121405440001</v>
      </c>
      <c r="AE1620">
        <v>-4.7789000000000197</v>
      </c>
      <c r="AF1620">
        <v>4.7313469183046202</v>
      </c>
      <c r="AG1620">
        <v>-1.1213121405440001</v>
      </c>
      <c r="AH1620">
        <v>9.3509625912878196</v>
      </c>
      <c r="AI1620">
        <v>96.107269942891094</v>
      </c>
      <c r="AJ1620">
        <v>63.161761183713203</v>
      </c>
      <c r="AK1620">
        <v>10.539615076536</v>
      </c>
      <c r="AL1620">
        <v>81.844926015904093</v>
      </c>
      <c r="AM1620">
        <v>76.246559137252106</v>
      </c>
      <c r="AN1620">
        <v>1.00000000303304</v>
      </c>
    </row>
    <row r="1621" spans="1:40" x14ac:dyDescent="0.25">
      <c r="A1621" t="str">
        <f>"20190303161907022"</f>
        <v>20190303161907022</v>
      </c>
      <c r="B1621" t="str">
        <f>"1551601147014184"</f>
        <v>1551601147014184</v>
      </c>
      <c r="C1621" t="s">
        <v>40</v>
      </c>
      <c r="D1621">
        <v>4.9158480000000004</v>
      </c>
      <c r="E1621">
        <v>0.59272609999999903</v>
      </c>
      <c r="F1621" t="s">
        <v>41</v>
      </c>
      <c r="G1621">
        <v>-210.6908</v>
      </c>
      <c r="H1621" s="1">
        <v>-5.1846719999999997E-6</v>
      </c>
      <c r="I1621">
        <v>362.8021</v>
      </c>
      <c r="J1621">
        <v>-220.13480000000001</v>
      </c>
      <c r="K1621">
        <v>1.1212930000000001</v>
      </c>
      <c r="L1621">
        <v>367.60250000000002</v>
      </c>
      <c r="M1621">
        <v>0.99990279999999998</v>
      </c>
      <c r="N1621">
        <v>-1.39402E-2</v>
      </c>
      <c r="O1621">
        <v>1.72683499999999E-4</v>
      </c>
      <c r="P1621">
        <v>0.96263960000000004</v>
      </c>
      <c r="Q1621">
        <v>0.12818759999999901</v>
      </c>
      <c r="R1621">
        <v>-0.23852290000000001</v>
      </c>
      <c r="S1621">
        <v>2.8132779999999999</v>
      </c>
      <c r="T1621">
        <v>-0.33024049999999999</v>
      </c>
      <c r="U1621">
        <v>-1.4138790000000001</v>
      </c>
      <c r="V1621">
        <v>0.2388072</v>
      </c>
      <c r="W1621">
        <v>0.1413944</v>
      </c>
      <c r="X1621">
        <v>0.96071779999999996</v>
      </c>
      <c r="Y1621">
        <v>0.4464089</v>
      </c>
      <c r="Z1621">
        <v>-2.7969359999999999E-2</v>
      </c>
      <c r="AA1621">
        <v>0.89439190000000002</v>
      </c>
      <c r="AB1621">
        <v>17</v>
      </c>
      <c r="AC1621">
        <v>9.4440000000000097</v>
      </c>
      <c r="AD1621">
        <v>-1.121298184672</v>
      </c>
      <c r="AE1621">
        <v>-4.8004000000000202</v>
      </c>
      <c r="AF1621">
        <v>4.7488312936269699</v>
      </c>
      <c r="AG1621">
        <v>-1.121298184672</v>
      </c>
      <c r="AH1621">
        <v>9.3385540376471798</v>
      </c>
      <c r="AI1621">
        <v>96.109020789393796</v>
      </c>
      <c r="AJ1621">
        <v>63.0458029254347</v>
      </c>
      <c r="AK1621">
        <v>10.5364747324869</v>
      </c>
      <c r="AL1621">
        <v>81.8714575823453</v>
      </c>
      <c r="AM1621">
        <v>76.040807272808607</v>
      </c>
      <c r="AN1621">
        <v>0.99999997318001899</v>
      </c>
    </row>
    <row r="1622" spans="1:40" x14ac:dyDescent="0.25">
      <c r="A1622" t="str">
        <f>"20190303161907037"</f>
        <v>20190303161907037</v>
      </c>
      <c r="B1622" t="str">
        <f>"1551601147034681"</f>
        <v>1551601147034681</v>
      </c>
      <c r="C1622" t="s">
        <v>40</v>
      </c>
      <c r="D1622">
        <v>4.94041</v>
      </c>
      <c r="E1622">
        <v>0.59246290000000001</v>
      </c>
      <c r="F1622" t="s">
        <v>41</v>
      </c>
      <c r="G1622">
        <v>-210.62440000000001</v>
      </c>
      <c r="H1622" s="1">
        <v>-5.2185659999999998E-6</v>
      </c>
      <c r="I1622">
        <v>362.77159999999998</v>
      </c>
      <c r="J1622">
        <v>-220.02690000000001</v>
      </c>
      <c r="K1622">
        <v>1.121283</v>
      </c>
      <c r="L1622">
        <v>367.60199999999998</v>
      </c>
      <c r="M1622">
        <v>0.99990279999999998</v>
      </c>
      <c r="N1622">
        <v>-1.3937720000000001E-2</v>
      </c>
      <c r="O1622">
        <v>-2.4452239999999997E-4</v>
      </c>
      <c r="P1622">
        <v>0.96238460000000003</v>
      </c>
      <c r="Q1622">
        <v>0.1273996</v>
      </c>
      <c r="R1622">
        <v>-0.23996990000000001</v>
      </c>
      <c r="S1622">
        <v>2.8071899999999999</v>
      </c>
      <c r="T1622">
        <v>-0.33097409999999999</v>
      </c>
      <c r="U1622">
        <v>-1.425934</v>
      </c>
      <c r="V1622">
        <v>0.2398555</v>
      </c>
      <c r="W1622">
        <v>0.1405952</v>
      </c>
      <c r="X1622">
        <v>0.96057400000000004</v>
      </c>
      <c r="Y1622">
        <v>0.44983319999999999</v>
      </c>
      <c r="Z1622">
        <v>-2.822616E-2</v>
      </c>
      <c r="AA1622">
        <v>0.89266650000000003</v>
      </c>
      <c r="AB1622">
        <v>17</v>
      </c>
      <c r="AC1622">
        <v>9.4024999999999999</v>
      </c>
      <c r="AD1622">
        <v>-1.121288218566</v>
      </c>
      <c r="AE1622">
        <v>-4.8303999999999903</v>
      </c>
      <c r="AF1622">
        <v>4.7743795600958201</v>
      </c>
      <c r="AG1622">
        <v>-1.121288218566</v>
      </c>
      <c r="AH1622">
        <v>9.2990487955782495</v>
      </c>
      <c r="AI1622">
        <v>96.122627912297304</v>
      </c>
      <c r="AJ1622">
        <v>62.822826998313701</v>
      </c>
      <c r="AK1622">
        <v>10.5130535980513</v>
      </c>
      <c r="AL1622">
        <v>81.917710968399206</v>
      </c>
      <c r="AM1622">
        <v>75.979925637077798</v>
      </c>
      <c r="AN1622">
        <v>1.0000000403096401</v>
      </c>
    </row>
    <row r="1623" spans="1:40" x14ac:dyDescent="0.25">
      <c r="A1623" t="str">
        <f>"20190303161907050"</f>
        <v>20190303161907050</v>
      </c>
      <c r="B1623" t="str">
        <f>"1551601147044439"</f>
        <v>1551601147044439</v>
      </c>
      <c r="C1623" t="s">
        <v>40</v>
      </c>
      <c r="D1623">
        <v>4.9270129999999996</v>
      </c>
      <c r="E1623">
        <v>0.59237469999999903</v>
      </c>
      <c r="F1623" t="s">
        <v>41</v>
      </c>
      <c r="G1623">
        <v>-210.63290000000001</v>
      </c>
      <c r="H1623" s="1">
        <v>-5.2067599999999996E-6</v>
      </c>
      <c r="I1623">
        <v>362.8177</v>
      </c>
      <c r="J1623">
        <v>-219.93100000000001</v>
      </c>
      <c r="K1623">
        <v>1.12127</v>
      </c>
      <c r="L1623">
        <v>367.60149999999999</v>
      </c>
      <c r="M1623">
        <v>0.99990270000000003</v>
      </c>
      <c r="N1623">
        <v>-1.393553E-2</v>
      </c>
      <c r="O1623">
        <v>-6.2875959999999999E-4</v>
      </c>
      <c r="P1623">
        <v>0.96212660000000005</v>
      </c>
      <c r="Q1623">
        <v>0.12683720000000001</v>
      </c>
      <c r="R1623">
        <v>-0.2412986</v>
      </c>
      <c r="S1623">
        <v>2.8053279999999998</v>
      </c>
      <c r="T1623">
        <v>-0.3348467</v>
      </c>
      <c r="U1623">
        <v>-1.4287110000000001</v>
      </c>
      <c r="V1623">
        <v>0.24081749999999999</v>
      </c>
      <c r="W1623">
        <v>0.1400216</v>
      </c>
      <c r="X1623">
        <v>0.96041699999999997</v>
      </c>
      <c r="Y1623">
        <v>0.45036589999999999</v>
      </c>
      <c r="Z1623">
        <v>-2.8521589999999999E-2</v>
      </c>
      <c r="AA1623">
        <v>0.89238839999999997</v>
      </c>
      <c r="AB1623">
        <v>17</v>
      </c>
      <c r="AC1623">
        <v>9.2980999999999696</v>
      </c>
      <c r="AD1623">
        <v>-1.12127520676</v>
      </c>
      <c r="AE1623">
        <v>-4.7837999999999798</v>
      </c>
      <c r="AF1623">
        <v>4.72363666290358</v>
      </c>
      <c r="AG1623">
        <v>-1.12127520676</v>
      </c>
      <c r="AH1623">
        <v>9.1953717401110904</v>
      </c>
      <c r="AI1623">
        <v>96.190380285309203</v>
      </c>
      <c r="AJ1623">
        <v>62.810561481431201</v>
      </c>
      <c r="AK1623">
        <v>10.3983105767838</v>
      </c>
      <c r="AL1623">
        <v>81.950903571397404</v>
      </c>
      <c r="AM1623">
        <v>75.923716014516202</v>
      </c>
      <c r="AN1623">
        <v>0.99999996533090396</v>
      </c>
    </row>
    <row r="1624" spans="1:40" x14ac:dyDescent="0.25">
      <c r="A1624" t="str">
        <f>"20190303161907063"</f>
        <v>20190303161907063</v>
      </c>
      <c r="B1624" t="str">
        <f>"1551601147054199"</f>
        <v>1551601147054199</v>
      </c>
      <c r="C1624" t="s">
        <v>40</v>
      </c>
      <c r="D1624">
        <v>4.9512929999999997</v>
      </c>
      <c r="E1624">
        <v>0.59216519999999995</v>
      </c>
      <c r="F1624" t="s">
        <v>41</v>
      </c>
      <c r="G1624">
        <v>-210.56739999999999</v>
      </c>
      <c r="H1624" s="1">
        <v>-5.2350489999999997E-6</v>
      </c>
      <c r="I1624">
        <v>362.81670000000003</v>
      </c>
      <c r="J1624">
        <v>-219.83109999999999</v>
      </c>
      <c r="K1624">
        <v>1.121254</v>
      </c>
      <c r="L1624">
        <v>367.601</v>
      </c>
      <c r="M1624">
        <v>0.99990250000000003</v>
      </c>
      <c r="N1624">
        <v>-1.3933269999999999E-2</v>
      </c>
      <c r="O1624">
        <v>-1.0440110000000001E-3</v>
      </c>
      <c r="P1624">
        <v>0.96183850000000004</v>
      </c>
      <c r="Q1624">
        <v>0.12610360000000001</v>
      </c>
      <c r="R1624">
        <v>-0.24282670000000001</v>
      </c>
      <c r="S1624">
        <v>2.8031009999999998</v>
      </c>
      <c r="T1624">
        <v>-0.33566319999999999</v>
      </c>
      <c r="U1624">
        <v>-1.4323729999999999</v>
      </c>
      <c r="V1624">
        <v>0.24194930000000001</v>
      </c>
      <c r="W1624">
        <v>0.13927600000000001</v>
      </c>
      <c r="X1624">
        <v>0.96024100000000001</v>
      </c>
      <c r="Y1624">
        <v>0.4511887</v>
      </c>
      <c r="Z1624">
        <v>-2.8605080000000001E-2</v>
      </c>
      <c r="AA1624">
        <v>0.89197000000000004</v>
      </c>
      <c r="AB1624">
        <v>16</v>
      </c>
      <c r="AC1624">
        <v>9.2637</v>
      </c>
      <c r="AD1624">
        <v>-1.121259235049</v>
      </c>
      <c r="AE1624">
        <v>-4.7842999999999698</v>
      </c>
      <c r="AF1624">
        <v>4.7200360410700597</v>
      </c>
      <c r="AG1624">
        <v>-1.121259235049</v>
      </c>
      <c r="AH1624">
        <v>9.1627199620077597</v>
      </c>
      <c r="AI1624">
        <v>96.2085766535603</v>
      </c>
      <c r="AJ1624">
        <v>62.745427860748599</v>
      </c>
      <c r="AK1624">
        <v>10.3678059204133</v>
      </c>
      <c r="AL1624">
        <v>81.994046521038001</v>
      </c>
      <c r="AM1624">
        <v>75.857720022584104</v>
      </c>
      <c r="AN1624">
        <v>1.00000002301374</v>
      </c>
    </row>
    <row r="1625" spans="1:40" x14ac:dyDescent="0.25">
      <c r="A1625" t="str">
        <f>"20190303161907078"</f>
        <v>20190303161907078</v>
      </c>
      <c r="B1625" t="str">
        <f>"1551601147074695"</f>
        <v>1551601147074695</v>
      </c>
      <c r="C1625" t="s">
        <v>40</v>
      </c>
      <c r="D1625">
        <v>4.957738</v>
      </c>
      <c r="E1625">
        <v>0.59184650000000005</v>
      </c>
      <c r="F1625" t="s">
        <v>41</v>
      </c>
      <c r="G1625">
        <v>-210.53659999999999</v>
      </c>
      <c r="H1625" s="1">
        <v>-5.2454730000000003E-6</v>
      </c>
      <c r="I1625">
        <v>362.83229999999998</v>
      </c>
      <c r="J1625">
        <v>-219.72919999999999</v>
      </c>
      <c r="K1625">
        <v>1.12124</v>
      </c>
      <c r="L1625">
        <v>367.6003</v>
      </c>
      <c r="M1625">
        <v>0.99990190000000001</v>
      </c>
      <c r="N1625">
        <v>-1.3931010000000001E-2</v>
      </c>
      <c r="O1625">
        <v>-1.4937559999999999E-3</v>
      </c>
      <c r="P1625">
        <v>0.96156620000000004</v>
      </c>
      <c r="Q1625">
        <v>0.12568850000000001</v>
      </c>
      <c r="R1625">
        <v>-0.244117</v>
      </c>
      <c r="S1625">
        <v>2.800583</v>
      </c>
      <c r="T1625">
        <v>-0.3378505</v>
      </c>
      <c r="U1625">
        <v>-1.4368590000000001</v>
      </c>
      <c r="V1625">
        <v>0.24281159999999999</v>
      </c>
      <c r="W1625">
        <v>0.1388472</v>
      </c>
      <c r="X1625">
        <v>0.96008539999999998</v>
      </c>
      <c r="Y1625">
        <v>0.4522021</v>
      </c>
      <c r="Z1625">
        <v>-2.8800940000000001E-2</v>
      </c>
      <c r="AA1625">
        <v>0.89145030000000003</v>
      </c>
      <c r="AB1625">
        <v>16</v>
      </c>
      <c r="AC1625">
        <v>9.1926000000000005</v>
      </c>
      <c r="AD1625">
        <v>-1.121245245473</v>
      </c>
      <c r="AE1625">
        <v>-4.7680000000000202</v>
      </c>
      <c r="AF1625">
        <v>4.6991715682838002</v>
      </c>
      <c r="AG1625">
        <v>-1.121245245473</v>
      </c>
      <c r="AH1625">
        <v>9.0931104710058506</v>
      </c>
      <c r="AI1625">
        <v>96.251483144752299</v>
      </c>
      <c r="AJ1625">
        <v>62.670814818595801</v>
      </c>
      <c r="AK1625">
        <v>10.296798646500701</v>
      </c>
      <c r="AL1625">
        <v>82.018855794868799</v>
      </c>
      <c r="AM1625">
        <v>75.807143108284606</v>
      </c>
      <c r="AN1625">
        <v>0.99999999666777994</v>
      </c>
    </row>
    <row r="1626" spans="1:40" x14ac:dyDescent="0.25">
      <c r="A1626" t="str">
        <f>"20190303161907090"</f>
        <v>20190303161907090</v>
      </c>
      <c r="B1626" t="str">
        <f>"1551601147084456"</f>
        <v>1551601147084456</v>
      </c>
      <c r="C1626" t="s">
        <v>40</v>
      </c>
      <c r="D1626">
        <v>5.0106080000000004</v>
      </c>
      <c r="E1626">
        <v>0.59176879999999998</v>
      </c>
      <c r="F1626" t="s">
        <v>41</v>
      </c>
      <c r="G1626">
        <v>-210.4769</v>
      </c>
      <c r="H1626" s="1">
        <v>-5.2692909999999899E-6</v>
      </c>
      <c r="I1626">
        <v>362.8426</v>
      </c>
      <c r="J1626">
        <v>-219.6371</v>
      </c>
      <c r="K1626">
        <v>1.121224</v>
      </c>
      <c r="L1626">
        <v>367.59969999999998</v>
      </c>
      <c r="M1626">
        <v>0.99990109999999999</v>
      </c>
      <c r="N1626">
        <v>-1.392901E-2</v>
      </c>
      <c r="O1626">
        <v>-1.914663E-3</v>
      </c>
      <c r="P1626">
        <v>0.9613642</v>
      </c>
      <c r="Q1626">
        <v>0.12539069999999999</v>
      </c>
      <c r="R1626">
        <v>-0.24506339999999999</v>
      </c>
      <c r="S1626">
        <v>2.7988740000000001</v>
      </c>
      <c r="T1626">
        <v>-0.339180599999999</v>
      </c>
      <c r="U1626">
        <v>-1.4392400000000001</v>
      </c>
      <c r="V1626">
        <v>0.24335789999999999</v>
      </c>
      <c r="W1626">
        <v>0.13853750000000001</v>
      </c>
      <c r="X1626">
        <v>0.95999179999999995</v>
      </c>
      <c r="Y1626">
        <v>0.45262380000000002</v>
      </c>
      <c r="Z1626">
        <v>-2.8894719999999999E-2</v>
      </c>
      <c r="AA1626">
        <v>0.89123330000000001</v>
      </c>
      <c r="AB1626">
        <v>16</v>
      </c>
      <c r="AC1626">
        <v>9.1601999999999997</v>
      </c>
      <c r="AD1626">
        <v>-1.121229269291</v>
      </c>
      <c r="AE1626">
        <v>-4.7570999999999799</v>
      </c>
      <c r="AF1626">
        <v>4.6842767766873701</v>
      </c>
      <c r="AG1626">
        <v>-1.121229269291</v>
      </c>
      <c r="AH1626">
        <v>9.0623572201633298</v>
      </c>
      <c r="AI1626">
        <v>96.272160677688902</v>
      </c>
      <c r="AJ1626">
        <v>62.665835289261501</v>
      </c>
      <c r="AK1626">
        <v>10.262841827718701</v>
      </c>
      <c r="AL1626">
        <v>82.036773339248697</v>
      </c>
      <c r="AM1626">
        <v>75.775174673422896</v>
      </c>
      <c r="AN1626">
        <v>0.99999998123294898</v>
      </c>
    </row>
    <row r="1627" spans="1:40" x14ac:dyDescent="0.25">
      <c r="A1627" t="str">
        <f>"20190303161907102"</f>
        <v>20190303161907102</v>
      </c>
      <c r="B1627" t="str">
        <f>"1551601147094216"</f>
        <v>1551601147094216</v>
      </c>
      <c r="C1627" t="s">
        <v>40</v>
      </c>
      <c r="D1627">
        <v>4.978745</v>
      </c>
      <c r="E1627">
        <v>0.59167209999999903</v>
      </c>
      <c r="F1627" t="s">
        <v>41</v>
      </c>
      <c r="G1627">
        <v>-210.38419999999999</v>
      </c>
      <c r="H1627" s="1">
        <v>-5.3115519999999996E-6</v>
      </c>
      <c r="I1627">
        <v>362.82839999999999</v>
      </c>
      <c r="J1627">
        <v>-219.54169999999999</v>
      </c>
      <c r="K1627">
        <v>1.1212040000000001</v>
      </c>
      <c r="L1627">
        <v>367.59899999999999</v>
      </c>
      <c r="M1627">
        <v>0.99990029999999996</v>
      </c>
      <c r="N1627">
        <v>-1.392698E-2</v>
      </c>
      <c r="O1627">
        <v>-2.3692330000000001E-3</v>
      </c>
      <c r="P1627">
        <v>0.96101800000000004</v>
      </c>
      <c r="Q1627">
        <v>0.1244577</v>
      </c>
      <c r="R1627">
        <v>-0.246891</v>
      </c>
      <c r="S1627">
        <v>2.7970890000000002</v>
      </c>
      <c r="T1627">
        <v>-0.33893640000000003</v>
      </c>
      <c r="U1627">
        <v>-1.4423220000000001</v>
      </c>
      <c r="V1627">
        <v>0.24475369999999999</v>
      </c>
      <c r="W1627">
        <v>0.13758870000000001</v>
      </c>
      <c r="X1627">
        <v>0.9597734</v>
      </c>
      <c r="Y1627">
        <v>0.4532272</v>
      </c>
      <c r="Z1627">
        <v>-2.8878279999999999E-2</v>
      </c>
      <c r="AA1627">
        <v>0.89092709999999997</v>
      </c>
      <c r="AB1627">
        <v>16</v>
      </c>
      <c r="AC1627">
        <v>9.1575000000000006</v>
      </c>
      <c r="AD1627">
        <v>-1.1212093115520001</v>
      </c>
      <c r="AE1627">
        <v>-4.7706</v>
      </c>
      <c r="AF1627">
        <v>4.6935478465734697</v>
      </c>
      <c r="AG1627">
        <v>-1.1212093115520001</v>
      </c>
      <c r="AH1627">
        <v>9.0619311664788391</v>
      </c>
      <c r="AI1627">
        <v>96.269683045160406</v>
      </c>
      <c r="AJ1627">
        <v>62.618497970289198</v>
      </c>
      <c r="AK1627">
        <v>10.2666985041144</v>
      </c>
      <c r="AL1627">
        <v>82.091661378221701</v>
      </c>
      <c r="AM1627">
        <v>75.693804505648799</v>
      </c>
      <c r="AN1627">
        <v>1.0000000016894699</v>
      </c>
    </row>
    <row r="1628" spans="1:40" x14ac:dyDescent="0.25">
      <c r="A1628" t="str">
        <f>"20190303161907113"</f>
        <v>20190303161907113</v>
      </c>
      <c r="B1628" t="str">
        <f>"1551601147103975"</f>
        <v>1551601147103975</v>
      </c>
      <c r="C1628" t="s">
        <v>40</v>
      </c>
      <c r="D1628">
        <v>5.0351749999999997</v>
      </c>
      <c r="E1628">
        <v>0.59157869999999901</v>
      </c>
      <c r="F1628" t="s">
        <v>41</v>
      </c>
      <c r="G1628">
        <v>-210.31010000000001</v>
      </c>
      <c r="H1628" s="1">
        <v>-5.3465199999999899E-6</v>
      </c>
      <c r="I1628">
        <v>362.81049999999999</v>
      </c>
      <c r="J1628">
        <v>-219.46279999999999</v>
      </c>
      <c r="K1628">
        <v>1.121186</v>
      </c>
      <c r="L1628">
        <v>367.59840000000003</v>
      </c>
      <c r="M1628">
        <v>0.99989930000000005</v>
      </c>
      <c r="N1628">
        <v>-1.3925359999999999E-2</v>
      </c>
      <c r="O1628">
        <v>-2.7679940000000002E-3</v>
      </c>
      <c r="P1628">
        <v>0.96099659999999998</v>
      </c>
      <c r="Q1628">
        <v>0.1238939</v>
      </c>
      <c r="R1628">
        <v>-0.24725759999999999</v>
      </c>
      <c r="S1628">
        <v>2.793396</v>
      </c>
      <c r="T1628">
        <v>-0.3392657</v>
      </c>
      <c r="U1628">
        <v>-1.448944</v>
      </c>
      <c r="V1628">
        <v>0.24474119999999999</v>
      </c>
      <c r="W1628">
        <v>0.13701479999999999</v>
      </c>
      <c r="X1628">
        <v>0.95985869999999995</v>
      </c>
      <c r="Y1628">
        <v>0.45499859999999998</v>
      </c>
      <c r="Z1628">
        <v>-2.8995079999999999E-2</v>
      </c>
      <c r="AA1628">
        <v>0.89002000000000003</v>
      </c>
      <c r="AB1628">
        <v>16</v>
      </c>
      <c r="AC1628">
        <v>9.1526999999999799</v>
      </c>
      <c r="AD1628">
        <v>-1.1211913465200001</v>
      </c>
      <c r="AE1628">
        <v>-4.7879000000000298</v>
      </c>
      <c r="AF1628">
        <v>4.70708661783019</v>
      </c>
      <c r="AG1628">
        <v>-1.1211913465200001</v>
      </c>
      <c r="AH1628">
        <v>9.0591855599109703</v>
      </c>
      <c r="AI1628">
        <v>96.267269956024407</v>
      </c>
      <c r="AJ1628">
        <v>62.543941237071699</v>
      </c>
      <c r="AK1628">
        <v>10.2704711416841</v>
      </c>
      <c r="AL1628">
        <v>82.124857943923303</v>
      </c>
      <c r="AM1628">
        <v>75.695724276009997</v>
      </c>
      <c r="AN1628">
        <v>1.0000000171810799</v>
      </c>
    </row>
    <row r="1629" spans="1:40" x14ac:dyDescent="0.25">
      <c r="A1629" t="str">
        <f>"20190303161907127"</f>
        <v>20190303161907127</v>
      </c>
      <c r="B1629" t="str">
        <f>"1551601147124471"</f>
        <v>1551601147124471</v>
      </c>
      <c r="C1629" t="s">
        <v>40</v>
      </c>
      <c r="D1629">
        <v>4.9950340000000004</v>
      </c>
      <c r="E1629">
        <v>0.59140349999999997</v>
      </c>
      <c r="F1629" t="s">
        <v>41</v>
      </c>
      <c r="G1629">
        <v>-210.23269999999999</v>
      </c>
      <c r="H1629" s="1">
        <v>-5.3808869999999999E-6</v>
      </c>
      <c r="I1629">
        <v>362.8039</v>
      </c>
      <c r="J1629">
        <v>-219.36760000000001</v>
      </c>
      <c r="K1629">
        <v>1.121162</v>
      </c>
      <c r="L1629">
        <v>367.5976</v>
      </c>
      <c r="M1629">
        <v>0.99989790000000001</v>
      </c>
      <c r="N1629">
        <v>-1.392345E-2</v>
      </c>
      <c r="O1629">
        <v>-3.2602799999999999E-3</v>
      </c>
      <c r="P1629">
        <v>0.96099670000000004</v>
      </c>
      <c r="Q1629">
        <v>0.1231341</v>
      </c>
      <c r="R1629">
        <v>-0.24763560000000001</v>
      </c>
      <c r="S1629">
        <v>2.792313</v>
      </c>
      <c r="T1629">
        <v>-0.33918229999999999</v>
      </c>
      <c r="U1629">
        <v>-1.4504090000000001</v>
      </c>
      <c r="V1629">
        <v>0.24465149999999999</v>
      </c>
      <c r="W1629">
        <v>0.136243899999999</v>
      </c>
      <c r="X1629">
        <v>0.95999129999999999</v>
      </c>
      <c r="Y1629">
        <v>0.45507199999999998</v>
      </c>
      <c r="Z1629">
        <v>-2.8949820000000001E-2</v>
      </c>
      <c r="AA1629">
        <v>0.88998389999999905</v>
      </c>
      <c r="AB1629">
        <v>16</v>
      </c>
      <c r="AC1629">
        <v>9.1349000000000107</v>
      </c>
      <c r="AD1629">
        <v>-1.121167380887</v>
      </c>
      <c r="AE1629">
        <v>-4.7937000000000003</v>
      </c>
      <c r="AF1629">
        <v>4.7082789662098996</v>
      </c>
      <c r="AG1629">
        <v>-1.121167380887</v>
      </c>
      <c r="AH1629">
        <v>9.0436653853947107</v>
      </c>
      <c r="AI1629">
        <v>96.275197649728199</v>
      </c>
      <c r="AJ1629">
        <v>62.4977831130143</v>
      </c>
      <c r="AK1629">
        <v>10.257328634815501</v>
      </c>
      <c r="AL1629">
        <v>82.169445463873203</v>
      </c>
      <c r="AM1629">
        <v>75.702646018713494</v>
      </c>
      <c r="AN1629">
        <v>1.0000000264075699</v>
      </c>
    </row>
    <row r="1630" spans="1:40" x14ac:dyDescent="0.25">
      <c r="A1630" t="str">
        <f>"20190303161907140"</f>
        <v>20190303161907140</v>
      </c>
      <c r="B1630" t="str">
        <f>"1551601147134231"</f>
        <v>1551601147134231</v>
      </c>
      <c r="C1630" t="s">
        <v>40</v>
      </c>
      <c r="D1630">
        <v>5.006831</v>
      </c>
      <c r="E1630">
        <v>0.59131290000000003</v>
      </c>
      <c r="F1630" t="s">
        <v>41</v>
      </c>
      <c r="G1630">
        <v>-210.15479999999999</v>
      </c>
      <c r="H1630" s="1">
        <v>-5.4137630000000002E-6</v>
      </c>
      <c r="I1630">
        <v>362.80700000000002</v>
      </c>
      <c r="J1630">
        <v>-219.273</v>
      </c>
      <c r="K1630">
        <v>1.12114</v>
      </c>
      <c r="L1630">
        <v>367.5967</v>
      </c>
      <c r="M1630">
        <v>0.99989600000000001</v>
      </c>
      <c r="N1630">
        <v>-1.3921630000000001E-2</v>
      </c>
      <c r="O1630">
        <v>-3.7790660000000002E-3</v>
      </c>
      <c r="P1630">
        <v>0.96102520000000002</v>
      </c>
      <c r="Q1630">
        <v>0.122279</v>
      </c>
      <c r="R1630">
        <v>-0.24794910000000001</v>
      </c>
      <c r="S1630">
        <v>2.7912750000000002</v>
      </c>
      <c r="T1630">
        <v>-0.33968530000000002</v>
      </c>
      <c r="U1630">
        <v>-1.451416</v>
      </c>
      <c r="V1630">
        <v>0.24447150000000001</v>
      </c>
      <c r="W1630">
        <v>0.1353771</v>
      </c>
      <c r="X1630">
        <v>0.96015980000000001</v>
      </c>
      <c r="Y1630">
        <v>0.45499240000000002</v>
      </c>
      <c r="Z1630">
        <v>-2.8936300000000002E-2</v>
      </c>
      <c r="AA1630">
        <v>0.89002499999999996</v>
      </c>
      <c r="AB1630">
        <v>16</v>
      </c>
      <c r="AC1630">
        <v>9.1181999999999999</v>
      </c>
      <c r="AD1630">
        <v>-1.1211454137629999</v>
      </c>
      <c r="AE1630">
        <v>-4.78970000000003</v>
      </c>
      <c r="AF1630">
        <v>4.6995199181583001</v>
      </c>
      <c r="AG1630">
        <v>-1.1211454137629999</v>
      </c>
      <c r="AH1630">
        <v>9.0292503190528599</v>
      </c>
      <c r="AI1630">
        <v>96.285368382499001</v>
      </c>
      <c r="AJ1630">
        <v>62.5040456169422</v>
      </c>
      <c r="AK1630">
        <v>10.2405964584141</v>
      </c>
      <c r="AL1630">
        <v>82.219574137818398</v>
      </c>
      <c r="AM1630">
        <v>75.715139016651605</v>
      </c>
      <c r="AN1630">
        <v>1.0000000575263399</v>
      </c>
    </row>
    <row r="1631" spans="1:40" x14ac:dyDescent="0.25">
      <c r="A1631" t="str">
        <f>"20190303161907153"</f>
        <v>20190303161907153</v>
      </c>
      <c r="B1631" t="str">
        <f>"1551601147143991"</f>
        <v>1551601147143991</v>
      </c>
      <c r="C1631" t="s">
        <v>40</v>
      </c>
      <c r="D1631">
        <v>5.00047</v>
      </c>
      <c r="E1631">
        <v>0.59124480000000001</v>
      </c>
      <c r="F1631" t="s">
        <v>41</v>
      </c>
      <c r="G1631">
        <v>-210.09309999999999</v>
      </c>
      <c r="H1631" s="1">
        <v>-5.4383989999999899E-6</v>
      </c>
      <c r="I1631">
        <v>362.81740000000002</v>
      </c>
      <c r="J1631">
        <v>-219.1754</v>
      </c>
      <c r="K1631">
        <v>1.121111</v>
      </c>
      <c r="L1631">
        <v>367.59570000000002</v>
      </c>
      <c r="M1631">
        <v>0.99989380000000005</v>
      </c>
      <c r="N1631">
        <v>-1.3919829999999999E-2</v>
      </c>
      <c r="O1631">
        <v>-4.3370809999999996E-3</v>
      </c>
      <c r="P1631">
        <v>0.96114520000000003</v>
      </c>
      <c r="Q1631">
        <v>0.12148150000000001</v>
      </c>
      <c r="R1631">
        <v>-0.2478764</v>
      </c>
      <c r="S1631">
        <v>2.7902680000000002</v>
      </c>
      <c r="T1631">
        <v>-0.34077299999999999</v>
      </c>
      <c r="U1631">
        <v>-1.4526669999999999</v>
      </c>
      <c r="V1631">
        <v>0.24386749999999999</v>
      </c>
      <c r="W1631">
        <v>0.13456949999999901</v>
      </c>
      <c r="X1631">
        <v>0.96042680000000002</v>
      </c>
      <c r="Y1631">
        <v>0.454926</v>
      </c>
      <c r="Z1631">
        <v>-2.8962370000000001E-2</v>
      </c>
      <c r="AA1631">
        <v>0.89005820000000002</v>
      </c>
      <c r="AB1631">
        <v>16</v>
      </c>
      <c r="AC1631">
        <v>9.0823</v>
      </c>
      <c r="AD1631">
        <v>-1.121116438399</v>
      </c>
      <c r="AE1631">
        <v>-4.7782999999999998</v>
      </c>
      <c r="AF1631">
        <v>4.6829735459260897</v>
      </c>
      <c r="AG1631">
        <v>-1.121116438399</v>
      </c>
      <c r="AH1631">
        <v>8.9955863199239108</v>
      </c>
      <c r="AI1631">
        <v>96.308261185184193</v>
      </c>
      <c r="AJ1631">
        <v>62.499159573259597</v>
      </c>
      <c r="AK1631">
        <v>10.203318898255301</v>
      </c>
      <c r="AL1631">
        <v>82.266272885707806</v>
      </c>
      <c r="AM1631">
        <v>75.752792827180599</v>
      </c>
      <c r="AN1631">
        <v>0.99999997302236898</v>
      </c>
    </row>
    <row r="1632" spans="1:40" x14ac:dyDescent="0.25">
      <c r="A1632" t="str">
        <f>"20190303161907171"</f>
        <v>20190303161907171</v>
      </c>
      <c r="B1632" t="str">
        <f>"1551601147164487"</f>
        <v>1551601147164487</v>
      </c>
      <c r="C1632" t="s">
        <v>40</v>
      </c>
      <c r="D1632">
        <v>4.9866400000000004</v>
      </c>
      <c r="E1632">
        <v>0.59091830000000001</v>
      </c>
      <c r="F1632" t="s">
        <v>41</v>
      </c>
      <c r="G1632">
        <v>-209.99979999999999</v>
      </c>
      <c r="H1632" s="1">
        <v>-5.4790450000000002E-6</v>
      </c>
      <c r="I1632">
        <v>362.81369999999998</v>
      </c>
      <c r="J1632">
        <v>-219.05080000000001</v>
      </c>
      <c r="K1632">
        <v>1.1210830000000001</v>
      </c>
      <c r="L1632">
        <v>367.59429999999998</v>
      </c>
      <c r="M1632">
        <v>0.99989039999999996</v>
      </c>
      <c r="N1632">
        <v>-1.3917590000000001E-2</v>
      </c>
      <c r="O1632">
        <v>-5.0823420000000001E-3</v>
      </c>
      <c r="P1632">
        <v>0.96113230000000005</v>
      </c>
      <c r="Q1632">
        <v>0.12120649999999999</v>
      </c>
      <c r="R1632">
        <v>-0.24806039999999999</v>
      </c>
      <c r="S1632">
        <v>2.789444</v>
      </c>
      <c r="T1632">
        <v>-0.34082509999999999</v>
      </c>
      <c r="U1632">
        <v>-1.453735</v>
      </c>
      <c r="V1632">
        <v>0.2433427</v>
      </c>
      <c r="W1632">
        <v>0.1342795</v>
      </c>
      <c r="X1632">
        <v>0.96060049999999997</v>
      </c>
      <c r="Y1632">
        <v>0.45464300000000002</v>
      </c>
      <c r="Z1632">
        <v>-2.887675E-2</v>
      </c>
      <c r="AA1632">
        <v>0.89020549999999998</v>
      </c>
      <c r="AB1632">
        <v>16</v>
      </c>
      <c r="AC1632">
        <v>9.0510000000000108</v>
      </c>
      <c r="AD1632">
        <v>-1.121088479045</v>
      </c>
      <c r="AE1632">
        <v>-4.78059999999999</v>
      </c>
      <c r="AF1632">
        <v>4.67841299151325</v>
      </c>
      <c r="AG1632">
        <v>-1.121088479045</v>
      </c>
      <c r="AH1632">
        <v>8.9676099112469903</v>
      </c>
      <c r="AI1632">
        <v>96.324756494295698</v>
      </c>
      <c r="AJ1632">
        <v>62.448895996876203</v>
      </c>
      <c r="AK1632">
        <v>10.1765620431117</v>
      </c>
      <c r="AL1632">
        <v>82.283040960980301</v>
      </c>
      <c r="AM1632">
        <v>75.784674880087493</v>
      </c>
      <c r="AN1632">
        <v>0.99999998718189398</v>
      </c>
    </row>
    <row r="1633" spans="1:40" x14ac:dyDescent="0.25">
      <c r="A1633" t="str">
        <f>"20190303161907184"</f>
        <v>20190303161907184</v>
      </c>
      <c r="B1633" t="str">
        <f>"1551601147174247"</f>
        <v>1551601147174247</v>
      </c>
      <c r="C1633" t="s">
        <v>40</v>
      </c>
      <c r="D1633">
        <v>5.0190919999999997</v>
      </c>
      <c r="E1633">
        <v>0.59084179999999997</v>
      </c>
      <c r="F1633" t="s">
        <v>46</v>
      </c>
      <c r="G1633">
        <v>-209.9409</v>
      </c>
      <c r="H1633" s="1">
        <v>-6.3219439999999999E-6</v>
      </c>
      <c r="I1633">
        <v>362.85120000000001</v>
      </c>
      <c r="J1633">
        <v>-218.94550000000001</v>
      </c>
      <c r="K1633">
        <v>1.121059</v>
      </c>
      <c r="L1633">
        <v>367.59300000000002</v>
      </c>
      <c r="M1633">
        <v>0.99988679999999996</v>
      </c>
      <c r="N1633">
        <v>-1.391567E-2</v>
      </c>
      <c r="O1633">
        <v>-5.7402540000000002E-3</v>
      </c>
      <c r="P1633">
        <v>0.96112540000000002</v>
      </c>
      <c r="Q1633">
        <v>0.1211792</v>
      </c>
      <c r="R1633">
        <v>-0.24810099999999999</v>
      </c>
      <c r="S1633">
        <v>2.7897340000000002</v>
      </c>
      <c r="T1633">
        <v>-0.34331080000000003</v>
      </c>
      <c r="U1633">
        <v>-1.4524840000000001</v>
      </c>
      <c r="V1633">
        <v>0.242757</v>
      </c>
      <c r="W1633">
        <v>0.13424069999999999</v>
      </c>
      <c r="X1633">
        <v>0.96075410000000006</v>
      </c>
      <c r="Y1633">
        <v>0.45367439999999998</v>
      </c>
      <c r="Z1633">
        <v>-2.8930399999999998E-2</v>
      </c>
      <c r="AA1633">
        <v>0.89069779999999998</v>
      </c>
      <c r="AB1633">
        <v>16</v>
      </c>
      <c r="AC1633">
        <v>9.0045999999999999</v>
      </c>
      <c r="AD1633">
        <v>-1.1210653219439899</v>
      </c>
      <c r="AE1633">
        <v>-4.7418000000000102</v>
      </c>
      <c r="AF1633">
        <v>4.6337972211153202</v>
      </c>
      <c r="AG1633">
        <v>-1.1210653219439899</v>
      </c>
      <c r="AH1633">
        <v>8.9233884139429094</v>
      </c>
      <c r="AI1633">
        <v>96.361950224828405</v>
      </c>
      <c r="AJ1633">
        <v>62.557746499799201</v>
      </c>
      <c r="AK1633">
        <v>10.1171006186838</v>
      </c>
      <c r="AL1633">
        <v>82.2852843210039</v>
      </c>
      <c r="AM1633">
        <v>75.819683473967302</v>
      </c>
      <c r="AN1633">
        <v>0.99999998362614995</v>
      </c>
    </row>
    <row r="1634" spans="1:40" x14ac:dyDescent="0.25">
      <c r="A1634" t="str">
        <f>"20190303161907197"</f>
        <v>20190303161907197</v>
      </c>
      <c r="B1634" t="str">
        <f>"1551601147194744"</f>
        <v>1551601147194744</v>
      </c>
      <c r="C1634" t="s">
        <v>40</v>
      </c>
      <c r="D1634">
        <v>4.9957830000000003</v>
      </c>
      <c r="E1634">
        <v>0.59068379999999998</v>
      </c>
      <c r="F1634" t="s">
        <v>46</v>
      </c>
      <c r="G1634">
        <v>-209.7998</v>
      </c>
      <c r="H1634" s="1">
        <v>-6.2781549999999997E-6</v>
      </c>
      <c r="I1634">
        <v>362.82920000000001</v>
      </c>
      <c r="J1634">
        <v>-218.85210000000001</v>
      </c>
      <c r="K1634">
        <v>1.1210469999999999</v>
      </c>
      <c r="L1634">
        <v>367.59179999999998</v>
      </c>
      <c r="M1634">
        <v>0.99988310000000002</v>
      </c>
      <c r="N1634">
        <v>-1.391395E-2</v>
      </c>
      <c r="O1634">
        <v>-6.3567169999999996E-3</v>
      </c>
      <c r="P1634">
        <v>0.96142749999999999</v>
      </c>
      <c r="Q1634">
        <v>0.12165860000000001</v>
      </c>
      <c r="R1634">
        <v>-0.24669170000000001</v>
      </c>
      <c r="S1634">
        <v>2.7893829999999999</v>
      </c>
      <c r="T1634">
        <v>-0.34192040000000001</v>
      </c>
      <c r="U1634">
        <v>-1.452942</v>
      </c>
      <c r="V1634">
        <v>0.24075849999999999</v>
      </c>
      <c r="W1634">
        <v>0.13471749999999999</v>
      </c>
      <c r="X1634">
        <v>0.96119019999999999</v>
      </c>
      <c r="Y1634">
        <v>0.45331490000000002</v>
      </c>
      <c r="Z1634">
        <v>-2.8743310000000001E-2</v>
      </c>
      <c r="AA1634">
        <v>0.89088690000000004</v>
      </c>
      <c r="AB1634">
        <v>16</v>
      </c>
      <c r="AC1634">
        <v>9.0523000000000007</v>
      </c>
      <c r="AD1634">
        <v>-1.121053278155</v>
      </c>
      <c r="AE1634">
        <v>-4.76259999999996</v>
      </c>
      <c r="AF1634">
        <v>4.6491107424711799</v>
      </c>
      <c r="AG1634">
        <v>-1.121053278155</v>
      </c>
      <c r="AH1634">
        <v>8.9745928046383199</v>
      </c>
      <c r="AI1634">
        <v>96.329102922160502</v>
      </c>
      <c r="AJ1634">
        <v>62.614475909715601</v>
      </c>
      <c r="AK1634">
        <v>10.169282529130999</v>
      </c>
      <c r="AL1634">
        <v>82.257715631159002</v>
      </c>
      <c r="AM1634">
        <v>75.937898876452095</v>
      </c>
      <c r="AN1634">
        <v>1.00000003035226</v>
      </c>
    </row>
    <row r="1635" spans="1:40" x14ac:dyDescent="0.25">
      <c r="A1635" t="str">
        <f>"20190303161907212"</f>
        <v>20190303161907212</v>
      </c>
      <c r="B1635" t="str">
        <f>"1551601147204506"</f>
        <v>1551601147204506</v>
      </c>
      <c r="C1635" t="s">
        <v>40</v>
      </c>
      <c r="D1635">
        <v>5.0007599999999996</v>
      </c>
      <c r="E1635">
        <v>0.59062079999999995</v>
      </c>
      <c r="F1635" t="s">
        <v>46</v>
      </c>
      <c r="G1635">
        <v>-209.58430000000001</v>
      </c>
      <c r="H1635" s="1">
        <v>-6.2138279999999996E-6</v>
      </c>
      <c r="I1635">
        <v>362.77910000000003</v>
      </c>
      <c r="J1635">
        <v>-218.75219999999999</v>
      </c>
      <c r="K1635">
        <v>1.1210370000000001</v>
      </c>
      <c r="L1635">
        <v>367.59030000000001</v>
      </c>
      <c r="M1635">
        <v>0.9998785</v>
      </c>
      <c r="N1635">
        <v>-1.39121E-2</v>
      </c>
      <c r="O1635">
        <v>-7.0321699999999999E-3</v>
      </c>
      <c r="P1635">
        <v>0.96160919999999905</v>
      </c>
      <c r="Q1635">
        <v>0.1224478</v>
      </c>
      <c r="R1635">
        <v>-0.24559030000000001</v>
      </c>
      <c r="S1635">
        <v>2.7911830000000002</v>
      </c>
      <c r="T1635">
        <v>-0.337626599999999</v>
      </c>
      <c r="U1635">
        <v>-1.4494320000000001</v>
      </c>
      <c r="V1635">
        <v>0.23901159999999999</v>
      </c>
      <c r="W1635">
        <v>0.13550219999999999</v>
      </c>
      <c r="X1635">
        <v>0.96151580000000003</v>
      </c>
      <c r="Y1635">
        <v>0.4516811</v>
      </c>
      <c r="Z1635">
        <v>-2.8245849999999999E-2</v>
      </c>
      <c r="AA1635">
        <v>0.89173219999999997</v>
      </c>
      <c r="AB1635">
        <v>16</v>
      </c>
      <c r="AC1635">
        <v>9.1678999999999693</v>
      </c>
      <c r="AD1635">
        <v>-1.121043213828</v>
      </c>
      <c r="AE1635">
        <v>-4.8111999999999799</v>
      </c>
      <c r="AF1635">
        <v>4.6916024677988704</v>
      </c>
      <c r="AG1635">
        <v>-1.121043213828</v>
      </c>
      <c r="AH1635">
        <v>9.0948856834870906</v>
      </c>
      <c r="AI1635">
        <v>96.251513959905495</v>
      </c>
      <c r="AJ1635">
        <v>62.713025296579801</v>
      </c>
      <c r="AK1635">
        <v>10.294892772575301</v>
      </c>
      <c r="AL1635">
        <v>82.212339422245506</v>
      </c>
      <c r="AM1635">
        <v>76.040468309595795</v>
      </c>
      <c r="AN1635">
        <v>1.0000000123945201</v>
      </c>
    </row>
    <row r="1636" spans="1:40" x14ac:dyDescent="0.25">
      <c r="A1636" t="str">
        <f>"20190303161907224"</f>
        <v>20190303161907224</v>
      </c>
      <c r="B1636" t="str">
        <f>"1551601147214265"</f>
        <v>1551601147214265</v>
      </c>
      <c r="C1636" t="s">
        <v>40</v>
      </c>
      <c r="D1636">
        <v>4.8499819999999998</v>
      </c>
      <c r="E1636">
        <v>0.59062309999999996</v>
      </c>
      <c r="F1636" t="s">
        <v>46</v>
      </c>
      <c r="G1636">
        <v>-209.38720000000001</v>
      </c>
      <c r="H1636" s="1">
        <v>-6.1540839999999996E-6</v>
      </c>
      <c r="I1636">
        <v>362.73910000000001</v>
      </c>
      <c r="J1636">
        <v>-218.66059999999999</v>
      </c>
      <c r="K1636">
        <v>1.1210290000000001</v>
      </c>
      <c r="L1636">
        <v>367.589</v>
      </c>
      <c r="M1636">
        <v>0.99987389999999998</v>
      </c>
      <c r="N1636">
        <v>-1.391041E-2</v>
      </c>
      <c r="O1636">
        <v>-7.6662029999999999E-3</v>
      </c>
      <c r="P1636">
        <v>0.96174760000000004</v>
      </c>
      <c r="Q1636">
        <v>0.12332319999999999</v>
      </c>
      <c r="R1636">
        <v>-0.24460799999999999</v>
      </c>
      <c r="S1636">
        <v>2.792862</v>
      </c>
      <c r="T1636">
        <v>-0.33432079999999997</v>
      </c>
      <c r="U1636">
        <v>-1.446747</v>
      </c>
      <c r="V1636">
        <v>0.23742279999999999</v>
      </c>
      <c r="W1636">
        <v>0.1363752</v>
      </c>
      <c r="X1636">
        <v>0.96178589999999997</v>
      </c>
      <c r="Y1636">
        <v>0.45028760000000001</v>
      </c>
      <c r="Z1636">
        <v>-2.7843630000000001E-2</v>
      </c>
      <c r="AA1636">
        <v>0.89244939999999995</v>
      </c>
      <c r="AB1636">
        <v>16</v>
      </c>
      <c r="AC1636">
        <v>9.2733999999999792</v>
      </c>
      <c r="AD1636">
        <v>-1.121035154084</v>
      </c>
      <c r="AE1636">
        <v>-4.8498999999999901</v>
      </c>
      <c r="AF1636">
        <v>4.7244455075687997</v>
      </c>
      <c r="AG1636">
        <v>-1.121035154084</v>
      </c>
      <c r="AH1636">
        <v>9.2046870036961792</v>
      </c>
      <c r="AI1636">
        <v>96.183927413669096</v>
      </c>
      <c r="AJ1636">
        <v>62.830148586339</v>
      </c>
      <c r="AK1636">
        <v>10.4068904100452</v>
      </c>
      <c r="AL1636">
        <v>82.161851041510602</v>
      </c>
      <c r="AM1636">
        <v>76.133413032005095</v>
      </c>
      <c r="AN1636">
        <v>0.99999994928684299</v>
      </c>
    </row>
    <row r="1637" spans="1:40" x14ac:dyDescent="0.25">
      <c r="A1637" t="str">
        <f>"20190303161907236"</f>
        <v>20190303161907236</v>
      </c>
      <c r="B1637" t="str">
        <f>"1551601147224024"</f>
        <v>1551601147224024</v>
      </c>
      <c r="C1637" t="s">
        <v>40</v>
      </c>
      <c r="D1637">
        <v>4.8567359999999997</v>
      </c>
      <c r="E1637">
        <v>0.59063999999999905</v>
      </c>
      <c r="F1637" t="s">
        <v>46</v>
      </c>
      <c r="G1637">
        <v>-209.17779999999999</v>
      </c>
      <c r="H1637" s="1">
        <v>-6.0923269999999998E-6</v>
      </c>
      <c r="I1637">
        <v>362.6859</v>
      </c>
      <c r="J1637">
        <v>-218.5735</v>
      </c>
      <c r="K1637">
        <v>1.121027</v>
      </c>
      <c r="L1637">
        <v>367.58760000000001</v>
      </c>
      <c r="M1637">
        <v>0.99986889999999995</v>
      </c>
      <c r="N1637">
        <v>-1.3908790000000001E-2</v>
      </c>
      <c r="O1637">
        <v>-8.2924139999999997E-3</v>
      </c>
      <c r="P1637">
        <v>0.96193050000000002</v>
      </c>
      <c r="Q1637">
        <v>0.12451429999999999</v>
      </c>
      <c r="R1637">
        <v>-0.2432821</v>
      </c>
      <c r="S1637">
        <v>2.7942200000000001</v>
      </c>
      <c r="T1637">
        <v>-0.33032669999999997</v>
      </c>
      <c r="U1637">
        <v>-1.444763</v>
      </c>
      <c r="V1637">
        <v>0.2354966</v>
      </c>
      <c r="W1637">
        <v>0.13756650000000001</v>
      </c>
      <c r="X1637">
        <v>0.96208979999999999</v>
      </c>
      <c r="Y1637">
        <v>0.44912679999999999</v>
      </c>
      <c r="Z1637">
        <v>-2.7411600000000001E-2</v>
      </c>
      <c r="AA1637">
        <v>0.89304749999999999</v>
      </c>
      <c r="AB1637">
        <v>16</v>
      </c>
      <c r="AC1637">
        <v>9.3956999999999997</v>
      </c>
      <c r="AD1637">
        <v>-1.121033092327</v>
      </c>
      <c r="AE1637">
        <v>-4.9016999999999999</v>
      </c>
      <c r="AF1637">
        <v>4.7702314290891001</v>
      </c>
      <c r="AG1637">
        <v>-1.121033092327</v>
      </c>
      <c r="AH1637">
        <v>9.3316060083806001</v>
      </c>
      <c r="AI1637">
        <v>96.105545482132499</v>
      </c>
      <c r="AJ1637">
        <v>62.924298342006303</v>
      </c>
      <c r="AK1637">
        <v>10.539957010197201</v>
      </c>
      <c r="AL1637">
        <v>82.092945438082495</v>
      </c>
      <c r="AM1637">
        <v>76.245801424552496</v>
      </c>
      <c r="AN1637">
        <v>0.999999986898924</v>
      </c>
    </row>
    <row r="1638" spans="1:40" x14ac:dyDescent="0.25">
      <c r="A1638" t="str">
        <f>"20190303161907248"</f>
        <v>20190303161907248</v>
      </c>
      <c r="B1638" t="str">
        <f>"1551601147244520"</f>
        <v>1551601147244520</v>
      </c>
      <c r="C1638" t="s">
        <v>40</v>
      </c>
      <c r="D1638">
        <v>4.8279290000000001</v>
      </c>
      <c r="E1638">
        <v>0.59070739999999999</v>
      </c>
      <c r="F1638" t="s">
        <v>46</v>
      </c>
      <c r="G1638">
        <v>-208.95959999999999</v>
      </c>
      <c r="H1638" s="1">
        <v>-6.0273419999999998E-6</v>
      </c>
      <c r="I1638">
        <v>362.6343</v>
      </c>
      <c r="J1638">
        <v>-218.49170000000001</v>
      </c>
      <c r="K1638">
        <v>1.121022</v>
      </c>
      <c r="L1638">
        <v>367.58629999999999</v>
      </c>
      <c r="M1638">
        <v>0.99986390000000003</v>
      </c>
      <c r="N1638">
        <v>-1.3907259999999999E-2</v>
      </c>
      <c r="O1638">
        <v>-8.885815E-3</v>
      </c>
      <c r="P1638">
        <v>0.96217229999999998</v>
      </c>
      <c r="Q1638">
        <v>0.12567449999999999</v>
      </c>
      <c r="R1638">
        <v>-0.24172489999999999</v>
      </c>
      <c r="S1638">
        <v>2.7965390000000001</v>
      </c>
      <c r="T1638">
        <v>-0.32609339999999998</v>
      </c>
      <c r="U1638">
        <v>-1.4408570000000001</v>
      </c>
      <c r="V1638">
        <v>0.23336950000000001</v>
      </c>
      <c r="W1638">
        <v>0.1387292</v>
      </c>
      <c r="X1638">
        <v>0.96244110000000005</v>
      </c>
      <c r="Y1638">
        <v>0.44739040000000002</v>
      </c>
      <c r="Z1638">
        <v>-2.6929020000000001E-2</v>
      </c>
      <c r="AA1638">
        <v>0.89393319999999998</v>
      </c>
      <c r="AB1638">
        <v>16</v>
      </c>
      <c r="AC1638">
        <v>9.5321000000000105</v>
      </c>
      <c r="AD1638">
        <v>-1.1210280273419999</v>
      </c>
      <c r="AE1638">
        <v>-4.9519999999999902</v>
      </c>
      <c r="AF1638">
        <v>4.8146566583553199</v>
      </c>
      <c r="AG1638">
        <v>-1.1210280273419999</v>
      </c>
      <c r="AH1638">
        <v>9.4725594274874005</v>
      </c>
      <c r="AI1638">
        <v>96.022388820514806</v>
      </c>
      <c r="AJ1638">
        <v>63.056948367280697</v>
      </c>
      <c r="AK1638">
        <v>10.684896100721399</v>
      </c>
      <c r="AL1638">
        <v>82.0256827360122</v>
      </c>
      <c r="AM1638">
        <v>76.370168763654902</v>
      </c>
      <c r="AN1638">
        <v>0.99999999271605</v>
      </c>
    </row>
    <row r="1639" spans="1:40" x14ac:dyDescent="0.25">
      <c r="A1639" t="str">
        <f>"20190303161907259"</f>
        <v>20190303161907259</v>
      </c>
      <c r="B1639" t="str">
        <f>"1551601147254279"</f>
        <v>1551601147254279</v>
      </c>
      <c r="C1639" t="s">
        <v>40</v>
      </c>
      <c r="D1639">
        <v>4.8278939999999997</v>
      </c>
      <c r="E1639">
        <v>0.59073140000000002</v>
      </c>
      <c r="F1639" t="s">
        <v>46</v>
      </c>
      <c r="G1639">
        <v>-208.73179999999999</v>
      </c>
      <c r="H1639" s="1">
        <v>-5.9600300000000001E-6</v>
      </c>
      <c r="I1639">
        <v>362.57690000000002</v>
      </c>
      <c r="J1639">
        <v>-218.4083</v>
      </c>
      <c r="K1639">
        <v>1.1210249999999999</v>
      </c>
      <c r="L1639">
        <v>367.5849</v>
      </c>
      <c r="M1639">
        <v>0.99985829999999998</v>
      </c>
      <c r="N1639">
        <v>-1.390569E-2</v>
      </c>
      <c r="O1639">
        <v>-9.5032429999999998E-3</v>
      </c>
      <c r="P1639">
        <v>0.96247629999999995</v>
      </c>
      <c r="Q1639">
        <v>0.1258232</v>
      </c>
      <c r="R1639">
        <v>-0.24043390000000001</v>
      </c>
      <c r="S1639">
        <v>2.7990110000000001</v>
      </c>
      <c r="T1639">
        <v>-0.32149650000000002</v>
      </c>
      <c r="U1639">
        <v>-1.436615</v>
      </c>
      <c r="V1639">
        <v>0.23148189999999999</v>
      </c>
      <c r="W1639">
        <v>0.1388827</v>
      </c>
      <c r="X1639">
        <v>0.96287469999999997</v>
      </c>
      <c r="Y1639">
        <v>0.44553120000000002</v>
      </c>
      <c r="Z1639">
        <v>-2.6414569999999998E-2</v>
      </c>
      <c r="AA1639">
        <v>0.89487669999999997</v>
      </c>
      <c r="AB1639">
        <v>16</v>
      </c>
      <c r="AC1639">
        <v>9.6765000000000008</v>
      </c>
      <c r="AD1639">
        <v>-1.1210309600299999</v>
      </c>
      <c r="AE1639">
        <v>-5.0079999999999796</v>
      </c>
      <c r="AF1639">
        <v>4.8643133271496604</v>
      </c>
      <c r="AG1639">
        <v>-1.1210309600299999</v>
      </c>
      <c r="AH1639">
        <v>9.6218036673649099</v>
      </c>
      <c r="AI1639">
        <v>95.936130162127697</v>
      </c>
      <c r="AJ1639">
        <v>63.181071006752802</v>
      </c>
      <c r="AK1639">
        <v>10.8396199366651</v>
      </c>
      <c r="AL1639">
        <v>82.016801770385698</v>
      </c>
      <c r="AM1639">
        <v>76.482214803679398</v>
      </c>
      <c r="AN1639">
        <v>0.99999998114349398</v>
      </c>
    </row>
    <row r="1640" spans="1:40" x14ac:dyDescent="0.25">
      <c r="A1640" t="str">
        <f>"20190303161907270"</f>
        <v>20190303161907270</v>
      </c>
      <c r="B1640" t="str">
        <f>"1551601147264039"</f>
        <v>1551601147264039</v>
      </c>
      <c r="C1640" t="s">
        <v>40</v>
      </c>
      <c r="D1640">
        <v>4.9390099999999997</v>
      </c>
      <c r="E1640">
        <v>0.59061790000000003</v>
      </c>
      <c r="F1640" t="s">
        <v>46</v>
      </c>
      <c r="G1640">
        <v>-208.6232</v>
      </c>
      <c r="H1640" s="1">
        <v>-5.9231049999999996E-6</v>
      </c>
      <c r="I1640">
        <v>362.5806</v>
      </c>
      <c r="J1640">
        <v>-218.321</v>
      </c>
      <c r="K1640">
        <v>1.121027</v>
      </c>
      <c r="L1640">
        <v>367.58330000000001</v>
      </c>
      <c r="M1640">
        <v>0.99985190000000002</v>
      </c>
      <c r="N1640">
        <v>-1.390393E-2</v>
      </c>
      <c r="O1640">
        <v>-1.0155320000000001E-2</v>
      </c>
      <c r="P1640">
        <v>0.96272069999999998</v>
      </c>
      <c r="Q1640">
        <v>0.12629969999999999</v>
      </c>
      <c r="R1640">
        <v>-0.23920230000000001</v>
      </c>
      <c r="S1640">
        <v>2.8010709999999999</v>
      </c>
      <c r="T1640">
        <v>-0.3209052</v>
      </c>
      <c r="U1640">
        <v>-1.432526</v>
      </c>
      <c r="V1640">
        <v>0.22962009999999999</v>
      </c>
      <c r="W1640">
        <v>0.13936390000000001</v>
      </c>
      <c r="X1640">
        <v>0.96325090000000002</v>
      </c>
      <c r="Y1640">
        <v>0.44366909999999998</v>
      </c>
      <c r="Z1640">
        <v>-2.618763E-2</v>
      </c>
      <c r="AA1640">
        <v>0.89580799999999905</v>
      </c>
      <c r="AB1640">
        <v>16</v>
      </c>
      <c r="AC1640">
        <v>9.6978000000000009</v>
      </c>
      <c r="AD1640">
        <v>-1.121032923105</v>
      </c>
      <c r="AE1640">
        <v>-5.0026999999999999</v>
      </c>
      <c r="AF1640">
        <v>4.8527322958179804</v>
      </c>
      <c r="AG1640">
        <v>-1.121032923105</v>
      </c>
      <c r="AH1640">
        <v>9.6463013311363497</v>
      </c>
      <c r="AI1640">
        <v>95.927047798676099</v>
      </c>
      <c r="AJ1640">
        <v>63.294557382890801</v>
      </c>
      <c r="AK1640">
        <v>10.8561897054465</v>
      </c>
      <c r="AL1640">
        <v>81.988960368575405</v>
      </c>
      <c r="AM1640">
        <v>76.592043160390205</v>
      </c>
      <c r="AN1640">
        <v>0.99999999164901499</v>
      </c>
    </row>
    <row r="1641" spans="1:40" x14ac:dyDescent="0.25">
      <c r="A1641" t="str">
        <f>"20190303161907284"</f>
        <v>20190303161907284</v>
      </c>
      <c r="B1641" t="str">
        <f>"1551601147273799"</f>
        <v>1551601147273799</v>
      </c>
      <c r="C1641" t="s">
        <v>40</v>
      </c>
      <c r="D1641">
        <v>4.9351039999999999</v>
      </c>
      <c r="E1641">
        <v>0.59049059999999998</v>
      </c>
      <c r="F1641" t="s">
        <v>46</v>
      </c>
      <c r="G1641">
        <v>-208.5395</v>
      </c>
      <c r="H1641" s="1">
        <v>-5.891842E-6</v>
      </c>
      <c r="I1641">
        <v>362.60140000000001</v>
      </c>
      <c r="J1641">
        <v>-218.22749999999999</v>
      </c>
      <c r="K1641">
        <v>1.1210329999999999</v>
      </c>
      <c r="L1641">
        <v>367.58150000000001</v>
      </c>
      <c r="M1641">
        <v>0.99984439999999997</v>
      </c>
      <c r="N1641">
        <v>-1.390196E-2</v>
      </c>
      <c r="O1641">
        <v>-1.085908E-2</v>
      </c>
      <c r="P1641">
        <v>0.9628044</v>
      </c>
      <c r="Q1641">
        <v>0.12674959999999999</v>
      </c>
      <c r="R1641">
        <v>-0.23862610000000001</v>
      </c>
      <c r="S1641">
        <v>2.8035429999999999</v>
      </c>
      <c r="T1641">
        <v>-0.32130789999999998</v>
      </c>
      <c r="U1641">
        <v>-1.4278869999999999</v>
      </c>
      <c r="V1641">
        <v>0.2283645</v>
      </c>
      <c r="W1641">
        <v>0.1398171</v>
      </c>
      <c r="X1641">
        <v>0.96348370000000005</v>
      </c>
      <c r="Y1641">
        <v>0.44155290000000003</v>
      </c>
      <c r="Z1641">
        <v>-2.600848E-2</v>
      </c>
      <c r="AA1641">
        <v>0.89685820000000005</v>
      </c>
      <c r="AB1641">
        <v>16</v>
      </c>
      <c r="AC1641">
        <v>9.6879999999999793</v>
      </c>
      <c r="AD1641">
        <v>-1.121038891842</v>
      </c>
      <c r="AE1641">
        <v>-4.9800999999999904</v>
      </c>
      <c r="AF1641">
        <v>4.8235070634442803</v>
      </c>
      <c r="AG1641">
        <v>-1.121038891842</v>
      </c>
      <c r="AH1641">
        <v>9.6394209977735699</v>
      </c>
      <c r="AI1641">
        <v>95.937591871692007</v>
      </c>
      <c r="AJ1641">
        <v>63.416898539270001</v>
      </c>
      <c r="AK1641">
        <v>10.837037683815501</v>
      </c>
      <c r="AL1641">
        <v>81.962737271671699</v>
      </c>
      <c r="AM1641">
        <v>76.665840775815994</v>
      </c>
      <c r="AN1641">
        <v>1.00000000323917</v>
      </c>
    </row>
    <row r="1642" spans="1:40" x14ac:dyDescent="0.25">
      <c r="A1642" t="str">
        <f>"20190303161907296"</f>
        <v>20190303161907296</v>
      </c>
      <c r="B1642" t="str">
        <f>"1551601147284536"</f>
        <v>1551601147284536</v>
      </c>
      <c r="C1642" t="s">
        <v>40</v>
      </c>
      <c r="D1642">
        <v>4.9264999999999999</v>
      </c>
      <c r="E1642">
        <v>0.5904085</v>
      </c>
      <c r="F1642" t="s">
        <v>46</v>
      </c>
      <c r="G1642">
        <v>-208.43870000000001</v>
      </c>
      <c r="H1642" s="1">
        <v>-5.8573410000000003E-6</v>
      </c>
      <c r="I1642">
        <v>362.6062</v>
      </c>
      <c r="J1642">
        <v>-218.13839999999999</v>
      </c>
      <c r="K1642">
        <v>1.121041</v>
      </c>
      <c r="L1642">
        <v>367.57979999999998</v>
      </c>
      <c r="M1642">
        <v>0.99983699999999998</v>
      </c>
      <c r="N1642">
        <v>-1.3899959999999999E-2</v>
      </c>
      <c r="O1642">
        <v>-1.15338E-2</v>
      </c>
      <c r="P1642">
        <v>0.96288899999999999</v>
      </c>
      <c r="Q1642">
        <v>0.1271591</v>
      </c>
      <c r="R1642">
        <v>-0.2380661</v>
      </c>
      <c r="S1642">
        <v>2.8048549999999999</v>
      </c>
      <c r="T1642">
        <v>-0.32121850000000002</v>
      </c>
      <c r="U1642">
        <v>-1.4255979999999999</v>
      </c>
      <c r="V1642">
        <v>0.2271514</v>
      </c>
      <c r="W1642">
        <v>0.14023169999999999</v>
      </c>
      <c r="X1642">
        <v>0.96371019999999996</v>
      </c>
      <c r="Y1642">
        <v>0.44020989999999999</v>
      </c>
      <c r="Z1642">
        <v>-2.584974E-2</v>
      </c>
      <c r="AA1642">
        <v>0.89752269999999901</v>
      </c>
      <c r="AB1642">
        <v>16</v>
      </c>
      <c r="AC1642">
        <v>9.6996999999999804</v>
      </c>
      <c r="AD1642">
        <v>-1.121046857341</v>
      </c>
      <c r="AE1642">
        <v>-4.97359999999997</v>
      </c>
      <c r="AF1642">
        <v>4.8105041187498898</v>
      </c>
      <c r="AG1642">
        <v>-1.121046857341</v>
      </c>
      <c r="AH1642">
        <v>9.6543128776085396</v>
      </c>
      <c r="AI1642">
        <v>95.9335268270694</v>
      </c>
      <c r="AJ1642">
        <v>63.514065031242801</v>
      </c>
      <c r="AK1642">
        <v>10.844512578793999</v>
      </c>
      <c r="AL1642">
        <v>81.938746208500802</v>
      </c>
      <c r="AM1642">
        <v>76.737170367869396</v>
      </c>
      <c r="AN1642">
        <v>1.0000000188954401</v>
      </c>
    </row>
    <row r="1643" spans="1:40" x14ac:dyDescent="0.25">
      <c r="A1643" t="str">
        <f>"20190303161907309"</f>
        <v>20190303161907309</v>
      </c>
      <c r="B1643" t="str">
        <f>"1551601147304055"</f>
        <v>1551601147304055</v>
      </c>
      <c r="C1643" t="s">
        <v>40</v>
      </c>
      <c r="D1643">
        <v>4.9261049999999997</v>
      </c>
      <c r="E1643">
        <v>0.59038590000000002</v>
      </c>
      <c r="F1643" t="s">
        <v>46</v>
      </c>
      <c r="G1643">
        <v>-208.33250000000001</v>
      </c>
      <c r="H1643" s="1">
        <v>-5.8218599999999999E-6</v>
      </c>
      <c r="I1643">
        <v>362.60570000000001</v>
      </c>
      <c r="J1643">
        <v>-218.04640000000001</v>
      </c>
      <c r="K1643">
        <v>1.1210530000000001</v>
      </c>
      <c r="L1643">
        <v>367.5779</v>
      </c>
      <c r="M1643">
        <v>0.99982879999999996</v>
      </c>
      <c r="N1643">
        <v>-1.389786E-2</v>
      </c>
      <c r="O1643">
        <v>-1.2230660000000001E-2</v>
      </c>
      <c r="P1643">
        <v>0.96310589999999996</v>
      </c>
      <c r="Q1643">
        <v>0.12797829999999999</v>
      </c>
      <c r="R1643">
        <v>-0.23674680000000001</v>
      </c>
      <c r="S1643">
        <v>2.806076</v>
      </c>
      <c r="T1643">
        <v>-0.32079849999999999</v>
      </c>
      <c r="U1643">
        <v>-1.42337</v>
      </c>
      <c r="V1643">
        <v>0.22515579999999999</v>
      </c>
      <c r="W1643">
        <v>0.1410602</v>
      </c>
      <c r="X1643">
        <v>0.96405750000000001</v>
      </c>
      <c r="Y1643">
        <v>0.4388784</v>
      </c>
      <c r="Z1643">
        <v>-2.5667490000000001E-2</v>
      </c>
      <c r="AA1643">
        <v>0.89817979999999997</v>
      </c>
      <c r="AB1643">
        <v>16</v>
      </c>
      <c r="AC1643">
        <v>9.71389999999999</v>
      </c>
      <c r="AD1643">
        <v>-1.1210588218599999</v>
      </c>
      <c r="AE1643">
        <v>-4.9721999999999804</v>
      </c>
      <c r="AF1643">
        <v>4.8023264206110703</v>
      </c>
      <c r="AG1643">
        <v>-1.1210588218599999</v>
      </c>
      <c r="AH1643">
        <v>9.6719170667904297</v>
      </c>
      <c r="AI1643">
        <v>95.926977369235402</v>
      </c>
      <c r="AJ1643">
        <v>63.594557894498202</v>
      </c>
      <c r="AK1643">
        <v>10.8565690565224</v>
      </c>
      <c r="AL1643">
        <v>81.890799822202993</v>
      </c>
      <c r="AM1643">
        <v>76.854195522681493</v>
      </c>
      <c r="AN1643">
        <v>0.99999998880196495</v>
      </c>
    </row>
    <row r="1644" spans="1:40" x14ac:dyDescent="0.25">
      <c r="A1644" t="str">
        <f>"20190303161907322"</f>
        <v>20190303161907322</v>
      </c>
      <c r="B1644" t="str">
        <f>"1551601147313815"</f>
        <v>1551601147313815</v>
      </c>
      <c r="C1644" t="s">
        <v>40</v>
      </c>
      <c r="D1644">
        <v>4.9064930000000002</v>
      </c>
      <c r="E1644">
        <v>0.5903851</v>
      </c>
      <c r="F1644" t="s">
        <v>46</v>
      </c>
      <c r="G1644">
        <v>-208.12700000000001</v>
      </c>
      <c r="H1644" s="1">
        <v>-5.7599249999999997E-6</v>
      </c>
      <c r="I1644">
        <v>362.56189999999998</v>
      </c>
      <c r="J1644">
        <v>-217.9512</v>
      </c>
      <c r="K1644">
        <v>1.1210629999999999</v>
      </c>
      <c r="L1644">
        <v>367.57589999999999</v>
      </c>
      <c r="M1644">
        <v>0.99981969999999998</v>
      </c>
      <c r="N1644">
        <v>-1.3895650000000001E-2</v>
      </c>
      <c r="O1644">
        <v>-1.2952150000000001E-2</v>
      </c>
      <c r="P1644">
        <v>0.96314869999999997</v>
      </c>
      <c r="Q1644">
        <v>0.12862089999999901</v>
      </c>
      <c r="R1644">
        <v>-0.23622380000000001</v>
      </c>
      <c r="S1644">
        <v>2.8080440000000002</v>
      </c>
      <c r="T1644">
        <v>-0.31735409999999997</v>
      </c>
      <c r="U1644">
        <v>-1.4199520000000001</v>
      </c>
      <c r="V1644">
        <v>0.2239331</v>
      </c>
      <c r="W1644">
        <v>0.14170969999999999</v>
      </c>
      <c r="X1644">
        <v>0.96424699999999997</v>
      </c>
      <c r="Y1644">
        <v>0.43717099999999998</v>
      </c>
      <c r="Z1644">
        <v>-2.5249489999999999E-2</v>
      </c>
      <c r="AA1644">
        <v>0.89902399999999905</v>
      </c>
      <c r="AB1644">
        <v>16</v>
      </c>
      <c r="AC1644">
        <v>9.8241999999999905</v>
      </c>
      <c r="AD1644">
        <v>-1.121068759925</v>
      </c>
      <c r="AE1644">
        <v>-5.0140000000000002</v>
      </c>
      <c r="AF1644">
        <v>4.8363590669890399</v>
      </c>
      <c r="AG1644">
        <v>-1.121068759925</v>
      </c>
      <c r="AH1644">
        <v>9.7872142982330192</v>
      </c>
      <c r="AI1644">
        <v>95.863185695802301</v>
      </c>
      <c r="AJ1644">
        <v>63.7036865206179</v>
      </c>
      <c r="AK1644">
        <v>10.9743668568562</v>
      </c>
      <c r="AL1644">
        <v>81.853208481074105</v>
      </c>
      <c r="AM1644">
        <v>76.925605228558993</v>
      </c>
      <c r="AN1644">
        <v>0.99999997467934898</v>
      </c>
    </row>
    <row r="1645" spans="1:40" x14ac:dyDescent="0.25">
      <c r="A1645" t="str">
        <f>"20190303161907335"</f>
        <v>20190303161907335</v>
      </c>
      <c r="B1645" t="str">
        <f>"1551601147324552"</f>
        <v>1551601147324552</v>
      </c>
      <c r="C1645" t="s">
        <v>40</v>
      </c>
      <c r="D1645">
        <v>4.9041160000000001</v>
      </c>
      <c r="E1645">
        <v>0.59029370000000003</v>
      </c>
      <c r="F1645" t="s">
        <v>46</v>
      </c>
      <c r="G1645">
        <v>-207.96459999999999</v>
      </c>
      <c r="H1645" s="1">
        <v>-5.7102430000000001E-6</v>
      </c>
      <c r="I1645">
        <v>362.53199999999998</v>
      </c>
      <c r="J1645">
        <v>-217.864</v>
      </c>
      <c r="K1645">
        <v>1.1210690000000001</v>
      </c>
      <c r="L1645">
        <v>367.57409999999999</v>
      </c>
      <c r="M1645">
        <v>0.99981109999999895</v>
      </c>
      <c r="N1645">
        <v>-1.3893519999999999E-2</v>
      </c>
      <c r="O1645">
        <v>-1.361008E-2</v>
      </c>
      <c r="P1645">
        <v>0.96315099999999998</v>
      </c>
      <c r="Q1645">
        <v>0.1289033</v>
      </c>
      <c r="R1645">
        <v>-0.23606089999999999</v>
      </c>
      <c r="S1645">
        <v>2.808945</v>
      </c>
      <c r="T1645">
        <v>-0.31532510000000002</v>
      </c>
      <c r="U1645">
        <v>-1.418701</v>
      </c>
      <c r="V1645">
        <v>0.22313150000000001</v>
      </c>
      <c r="W1645">
        <v>0.14199809999999999</v>
      </c>
      <c r="X1645">
        <v>0.96439039999999998</v>
      </c>
      <c r="Y1645">
        <v>0.4361833</v>
      </c>
      <c r="Z1645">
        <v>-2.4985179999999999E-2</v>
      </c>
      <c r="AA1645">
        <v>0.8995109</v>
      </c>
      <c r="AB1645">
        <v>16</v>
      </c>
      <c r="AC1645">
        <v>9.8994000000000106</v>
      </c>
      <c r="AD1645">
        <v>-1.1210747102429901</v>
      </c>
      <c r="AE1645">
        <v>-5.0420999999999996</v>
      </c>
      <c r="AF1645">
        <v>4.8574246174422697</v>
      </c>
      <c r="AG1645">
        <v>-1.1210747102429901</v>
      </c>
      <c r="AH1645">
        <v>9.8666398410959992</v>
      </c>
      <c r="AI1645">
        <v>95.820567745457296</v>
      </c>
      <c r="AJ1645">
        <v>63.7886129776765</v>
      </c>
      <c r="AK1645">
        <v>11.054499725178999</v>
      </c>
      <c r="AL1645">
        <v>81.836515658585697</v>
      </c>
      <c r="AM1645">
        <v>76.972678576368295</v>
      </c>
      <c r="AN1645">
        <v>0.99999998515400901</v>
      </c>
    </row>
    <row r="1646" spans="1:40" x14ac:dyDescent="0.25">
      <c r="A1646" t="str">
        <f>"20190303161907350"</f>
        <v>20190303161907350</v>
      </c>
      <c r="B1646" t="str">
        <f>"1551601147344072"</f>
        <v>1551601147344072</v>
      </c>
      <c r="C1646" t="s">
        <v>40</v>
      </c>
      <c r="D1646">
        <v>4.9046900000000004</v>
      </c>
      <c r="E1646">
        <v>0.59016409999999997</v>
      </c>
      <c r="F1646" t="s">
        <v>46</v>
      </c>
      <c r="G1646">
        <v>-207.89240000000001</v>
      </c>
      <c r="H1646" s="1">
        <v>-5.68441E-6</v>
      </c>
      <c r="I1646">
        <v>362.54250000000002</v>
      </c>
      <c r="J1646">
        <v>-217.75880000000001</v>
      </c>
      <c r="K1646">
        <v>1.1210819999999999</v>
      </c>
      <c r="L1646">
        <v>367.57170000000002</v>
      </c>
      <c r="M1646">
        <v>0.99979989999999996</v>
      </c>
      <c r="N1646">
        <v>-1.3890950000000001E-2</v>
      </c>
      <c r="O1646">
        <v>-1.440087E-2</v>
      </c>
      <c r="P1646">
        <v>0.96321089999999998</v>
      </c>
      <c r="Q1646">
        <v>0.12925829999999999</v>
      </c>
      <c r="R1646">
        <v>-0.23562140000000001</v>
      </c>
      <c r="S1646">
        <v>2.8095699999999999</v>
      </c>
      <c r="T1646">
        <v>-0.31587019999999999</v>
      </c>
      <c r="U1646">
        <v>-1.417664</v>
      </c>
      <c r="V1646">
        <v>0.22192319999999999</v>
      </c>
      <c r="W1646">
        <v>0.14236199999999999</v>
      </c>
      <c r="X1646">
        <v>0.96461549999999996</v>
      </c>
      <c r="Y1646">
        <v>0.43512889999999999</v>
      </c>
      <c r="Z1646">
        <v>-2.488218E-2</v>
      </c>
      <c r="AA1646">
        <v>0.9000243</v>
      </c>
      <c r="AB1646">
        <v>16</v>
      </c>
      <c r="AC1646">
        <v>9.8664000000000005</v>
      </c>
      <c r="AD1646">
        <v>-1.12108768441</v>
      </c>
      <c r="AE1646">
        <v>-5.0292000000000003</v>
      </c>
      <c r="AF1646">
        <v>4.8370088472700701</v>
      </c>
      <c r="AG1646">
        <v>-1.12108768441</v>
      </c>
      <c r="AH1646">
        <v>9.83699607696059</v>
      </c>
      <c r="AI1646">
        <v>95.839413510902801</v>
      </c>
      <c r="AJ1646">
        <v>63.815913919028901</v>
      </c>
      <c r="AK1646">
        <v>11.0190736454042</v>
      </c>
      <c r="AL1646">
        <v>81.815451477258804</v>
      </c>
      <c r="AM1646">
        <v>77.043758503293304</v>
      </c>
      <c r="AN1646">
        <v>0.999999954291244</v>
      </c>
    </row>
    <row r="1647" spans="1:40" x14ac:dyDescent="0.25">
      <c r="A1647" t="str">
        <f>"20190303161907364"</f>
        <v>20190303161907364</v>
      </c>
      <c r="B1647" t="str">
        <f>"1551601147353831"</f>
        <v>1551601147353831</v>
      </c>
      <c r="C1647" t="s">
        <v>40</v>
      </c>
      <c r="D1647">
        <v>4.9291679999999998</v>
      </c>
      <c r="E1647">
        <v>0.59021020000000002</v>
      </c>
      <c r="F1647" t="s">
        <v>46</v>
      </c>
      <c r="G1647">
        <v>-207.8365</v>
      </c>
      <c r="H1647" s="1">
        <v>-5.660814E-6</v>
      </c>
      <c r="I1647">
        <v>362.57380000000001</v>
      </c>
      <c r="J1647">
        <v>-217.6558</v>
      </c>
      <c r="K1647">
        <v>1.121095</v>
      </c>
      <c r="L1647">
        <v>367.5693</v>
      </c>
      <c r="M1647">
        <v>0.99978849999999997</v>
      </c>
      <c r="N1647">
        <v>-1.388847E-2</v>
      </c>
      <c r="O1647">
        <v>-1.51708E-2</v>
      </c>
      <c r="P1647">
        <v>0.96325830000000001</v>
      </c>
      <c r="Q1647">
        <v>0.12938830000000001</v>
      </c>
      <c r="R1647">
        <v>-0.2353557</v>
      </c>
      <c r="S1647">
        <v>2.810883</v>
      </c>
      <c r="T1647">
        <v>-0.31759120000000002</v>
      </c>
      <c r="U1647">
        <v>-1.4158329999999999</v>
      </c>
      <c r="V1647">
        <v>0.2209084</v>
      </c>
      <c r="W1647">
        <v>0.1425003</v>
      </c>
      <c r="X1647">
        <v>0.96482800000000002</v>
      </c>
      <c r="Y1647">
        <v>0.43378689999999998</v>
      </c>
      <c r="Z1647">
        <v>-2.4838789999999999E-2</v>
      </c>
      <c r="AA1647">
        <v>0.9006731</v>
      </c>
      <c r="AB1647">
        <v>16</v>
      </c>
      <c r="AC1647">
        <v>9.8192999999999895</v>
      </c>
      <c r="AD1647">
        <v>-1.1211006608139999</v>
      </c>
      <c r="AE1647">
        <v>-4.9954999999999901</v>
      </c>
      <c r="AF1647">
        <v>4.7962768729213296</v>
      </c>
      <c r="AG1647">
        <v>-1.1211006608139999</v>
      </c>
      <c r="AH1647">
        <v>9.7925574378824294</v>
      </c>
      <c r="AI1647">
        <v>95.870239299094095</v>
      </c>
      <c r="AJ1647">
        <v>63.904942928703797</v>
      </c>
      <c r="AK1647">
        <v>10.961538199888899</v>
      </c>
      <c r="AL1647">
        <v>81.807445923877793</v>
      </c>
      <c r="AM1647">
        <v>77.103764195325198</v>
      </c>
      <c r="AN1647">
        <v>0.99999996313732398</v>
      </c>
    </row>
    <row r="1648" spans="1:40" x14ac:dyDescent="0.25">
      <c r="A1648" t="str">
        <f>"20190303161907378"</f>
        <v>20190303161907378</v>
      </c>
      <c r="B1648" t="str">
        <f>"1551601147364568"</f>
        <v>1551601147364568</v>
      </c>
      <c r="C1648" t="s">
        <v>40</v>
      </c>
      <c r="D1648">
        <v>4.8703409999999998</v>
      </c>
      <c r="E1648">
        <v>0.59018729999999997</v>
      </c>
      <c r="F1648" t="s">
        <v>46</v>
      </c>
      <c r="G1648">
        <v>-207.71600000000001</v>
      </c>
      <c r="H1648" s="1">
        <v>-5.6217559999999997E-6</v>
      </c>
      <c r="I1648">
        <v>362.56569999999999</v>
      </c>
      <c r="J1648">
        <v>-217.56270000000001</v>
      </c>
      <c r="K1648">
        <v>1.1211070000000001</v>
      </c>
      <c r="L1648">
        <v>367.56709999999998</v>
      </c>
      <c r="M1648">
        <v>0.99977780000000005</v>
      </c>
      <c r="N1648">
        <v>-1.388614E-2</v>
      </c>
      <c r="O1648">
        <v>-1.5860780000000001E-2</v>
      </c>
      <c r="P1648">
        <v>0.96385149999999997</v>
      </c>
      <c r="Q1648">
        <v>0.12962099999999999</v>
      </c>
      <c r="R1648">
        <v>-0.23278509999999999</v>
      </c>
      <c r="S1648">
        <v>2.8112789999999999</v>
      </c>
      <c r="T1648">
        <v>-0.31708160000000002</v>
      </c>
      <c r="U1648">
        <v>-1.4151609999999999</v>
      </c>
      <c r="V1648">
        <v>0.2176583</v>
      </c>
      <c r="W1648">
        <v>0.14275089999999999</v>
      </c>
      <c r="X1648">
        <v>0.96552939999999998</v>
      </c>
      <c r="Y1648">
        <v>0.43295840000000002</v>
      </c>
      <c r="Z1648">
        <v>-2.4688060000000001E-2</v>
      </c>
      <c r="AA1648">
        <v>0.90107579999999998</v>
      </c>
      <c r="AB1648">
        <v>16</v>
      </c>
      <c r="AC1648">
        <v>9.8467000000000198</v>
      </c>
      <c r="AD1648">
        <v>-1.1211126217559999</v>
      </c>
      <c r="AE1648">
        <v>-5.0013999999999896</v>
      </c>
      <c r="AF1648">
        <v>4.7951660643236904</v>
      </c>
      <c r="AG1648">
        <v>-1.1211126217559999</v>
      </c>
      <c r="AH1648">
        <v>9.8235648987710604</v>
      </c>
      <c r="AI1648">
        <v>95.855706850490705</v>
      </c>
      <c r="AJ1648">
        <v>63.981658832528801</v>
      </c>
      <c r="AK1648">
        <v>10.9887641896379</v>
      </c>
      <c r="AL1648">
        <v>81.792939506221501</v>
      </c>
      <c r="AM1648">
        <v>77.296224697208999</v>
      </c>
      <c r="AN1648">
        <v>0.99999998863702899</v>
      </c>
    </row>
    <row r="1649" spans="1:40" x14ac:dyDescent="0.25">
      <c r="A1649" t="str">
        <f>"20190303161907391"</f>
        <v>20190303161907391</v>
      </c>
      <c r="B1649" t="str">
        <f>"1551601147384088"</f>
        <v>1551601147384088</v>
      </c>
      <c r="C1649" t="s">
        <v>40</v>
      </c>
      <c r="D1649">
        <v>4.900029</v>
      </c>
      <c r="E1649">
        <v>0.59028849999999999</v>
      </c>
      <c r="F1649" t="s">
        <v>46</v>
      </c>
      <c r="G1649">
        <v>-207.58529999999999</v>
      </c>
      <c r="H1649" s="1">
        <v>-5.5764520000000003E-6</v>
      </c>
      <c r="I1649">
        <v>362.57569999999998</v>
      </c>
      <c r="J1649">
        <v>-217.45660000000001</v>
      </c>
      <c r="K1649">
        <v>1.1211180000000001</v>
      </c>
      <c r="L1649">
        <v>367.56450000000001</v>
      </c>
      <c r="M1649">
        <v>0.99976509999999996</v>
      </c>
      <c r="N1649">
        <v>-1.388347E-2</v>
      </c>
      <c r="O1649">
        <v>-1.6642179999999999E-2</v>
      </c>
      <c r="P1649">
        <v>0.96413550000000003</v>
      </c>
      <c r="Q1649">
        <v>0.12960839999999901</v>
      </c>
      <c r="R1649">
        <v>-0.23161290000000001</v>
      </c>
      <c r="S1649">
        <v>2.8149410000000001</v>
      </c>
      <c r="T1649">
        <v>-0.31630429999999998</v>
      </c>
      <c r="U1649">
        <v>-1.408234</v>
      </c>
      <c r="V1649">
        <v>0.21572169999999999</v>
      </c>
      <c r="W1649">
        <v>0.14274999999999999</v>
      </c>
      <c r="X1649">
        <v>0.96596409999999999</v>
      </c>
      <c r="Y1649">
        <v>0.43004340000000002</v>
      </c>
      <c r="Z1649">
        <v>-2.4372169999999999E-2</v>
      </c>
      <c r="AA1649">
        <v>0.90247920000000004</v>
      </c>
      <c r="AB1649">
        <v>16</v>
      </c>
      <c r="AC1649">
        <v>9.8713000000000193</v>
      </c>
      <c r="AD1649">
        <v>-1.121123576452</v>
      </c>
      <c r="AE1649">
        <v>-4.9888000000000199</v>
      </c>
      <c r="AF1649">
        <v>4.7747537424052799</v>
      </c>
      <c r="AG1649">
        <v>-1.121123576452</v>
      </c>
      <c r="AH1649">
        <v>9.85174092350276</v>
      </c>
      <c r="AI1649">
        <v>95.847047436110202</v>
      </c>
      <c r="AJ1649">
        <v>64.142345420619705</v>
      </c>
      <c r="AK1649">
        <v>11.005089304413101</v>
      </c>
      <c r="AL1649">
        <v>81.792991934741806</v>
      </c>
      <c r="AM1649">
        <v>77.411121384020802</v>
      </c>
      <c r="AN1649">
        <v>1.00000002841984</v>
      </c>
    </row>
    <row r="1650" spans="1:40" x14ac:dyDescent="0.25">
      <c r="A1650" t="str">
        <f>"20190303161907405"</f>
        <v>20190303161907405</v>
      </c>
      <c r="B1650" t="str">
        <f>"1551601147393848"</f>
        <v>1551601147393848</v>
      </c>
      <c r="C1650" t="s">
        <v>40</v>
      </c>
      <c r="D1650">
        <v>4.8787929999999999</v>
      </c>
      <c r="E1650">
        <v>0.59025669999999897</v>
      </c>
      <c r="F1650" t="s">
        <v>46</v>
      </c>
      <c r="G1650">
        <v>-207.47319999999999</v>
      </c>
      <c r="H1650" s="1">
        <v>-5.5381390000000004E-6</v>
      </c>
      <c r="I1650">
        <v>362.58069999999998</v>
      </c>
      <c r="J1650">
        <v>-217.36349999999999</v>
      </c>
      <c r="K1650">
        <v>1.121129</v>
      </c>
      <c r="L1650">
        <v>367.56220000000002</v>
      </c>
      <c r="M1650">
        <v>0.99975369999999997</v>
      </c>
      <c r="N1650">
        <v>-1.38811E-2</v>
      </c>
      <c r="O1650">
        <v>-1.732539E-2</v>
      </c>
      <c r="P1650">
        <v>0.96441560000000004</v>
      </c>
      <c r="Q1650">
        <v>0.12981899999999999</v>
      </c>
      <c r="R1650">
        <v>-0.23032540000000001</v>
      </c>
      <c r="S1650">
        <v>2.816376</v>
      </c>
      <c r="T1650">
        <v>-0.31627460000000002</v>
      </c>
      <c r="U1650">
        <v>-1.405945</v>
      </c>
      <c r="V1650">
        <v>0.21376539999999999</v>
      </c>
      <c r="W1650">
        <v>0.14297089999999901</v>
      </c>
      <c r="X1650">
        <v>0.96636619999999995</v>
      </c>
      <c r="Y1650">
        <v>0.4286682</v>
      </c>
      <c r="Z1650">
        <v>-2.4217099999999998E-2</v>
      </c>
      <c r="AA1650">
        <v>0.90313739999999998</v>
      </c>
      <c r="AB1650">
        <v>16</v>
      </c>
      <c r="AC1650">
        <v>9.8902999999999892</v>
      </c>
      <c r="AD1650">
        <v>-1.1211345381389899</v>
      </c>
      <c r="AE1650">
        <v>-4.9815000000000396</v>
      </c>
      <c r="AF1650">
        <v>4.76058825520699</v>
      </c>
      <c r="AG1650">
        <v>-1.1211345381389899</v>
      </c>
      <c r="AH1650">
        <v>9.8739261928259801</v>
      </c>
      <c r="AI1650">
        <v>95.839789257679598</v>
      </c>
      <c r="AJ1650">
        <v>64.259549329645907</v>
      </c>
      <c r="AK1650">
        <v>11.0188275986875</v>
      </c>
      <c r="AL1650">
        <v>81.780203717626605</v>
      </c>
      <c r="AM1650">
        <v>77.526723456360898</v>
      </c>
      <c r="AN1650">
        <v>0.99999997849320399</v>
      </c>
    </row>
    <row r="1651" spans="1:40" x14ac:dyDescent="0.25">
      <c r="A1651" t="str">
        <f>"20190303161907418"</f>
        <v>20190303161907418</v>
      </c>
      <c r="B1651" t="str">
        <f>"1551601147404584"</f>
        <v>1551601147404584</v>
      </c>
      <c r="C1651" t="s">
        <v>40</v>
      </c>
      <c r="D1651">
        <v>4.8539700000000003</v>
      </c>
      <c r="E1651">
        <v>0.59020499999999998</v>
      </c>
      <c r="F1651" t="s">
        <v>46</v>
      </c>
      <c r="G1651">
        <v>-207.39189999999999</v>
      </c>
      <c r="H1651" s="1">
        <v>-5.5075269999999999E-6</v>
      </c>
      <c r="I1651">
        <v>362.60250000000002</v>
      </c>
      <c r="J1651">
        <v>-217.2688</v>
      </c>
      <c r="K1651">
        <v>1.1211390000000001</v>
      </c>
      <c r="L1651">
        <v>367.55970000000002</v>
      </c>
      <c r="M1651">
        <v>0.9997414</v>
      </c>
      <c r="N1651">
        <v>-1.38786E-2</v>
      </c>
      <c r="O1651">
        <v>-1.801293E-2</v>
      </c>
      <c r="P1651">
        <v>0.96482860000000004</v>
      </c>
      <c r="Q1651">
        <v>0.12939870000000001</v>
      </c>
      <c r="R1651">
        <v>-0.22882759999999999</v>
      </c>
      <c r="S1651">
        <v>2.8185419999999999</v>
      </c>
      <c r="T1651">
        <v>-0.31689869999999998</v>
      </c>
      <c r="U1651">
        <v>-1.401886</v>
      </c>
      <c r="V1651">
        <v>0.21159130000000001</v>
      </c>
      <c r="W1651">
        <v>0.1425622</v>
      </c>
      <c r="X1651">
        <v>0.96690489999999996</v>
      </c>
      <c r="Y1651">
        <v>0.4267339</v>
      </c>
      <c r="Z1651">
        <v>-2.4068079999999999E-2</v>
      </c>
      <c r="AA1651">
        <v>0.90405690000000005</v>
      </c>
      <c r="AB1651">
        <v>16</v>
      </c>
      <c r="AC1651">
        <v>9.8768999999999991</v>
      </c>
      <c r="AD1651">
        <v>-1.1211445075269999</v>
      </c>
      <c r="AE1651">
        <v>-4.9572000000000003</v>
      </c>
      <c r="AF1651">
        <v>4.7297862300311397</v>
      </c>
      <c r="AG1651">
        <v>-1.1211445075269999</v>
      </c>
      <c r="AH1651">
        <v>9.86308587210703</v>
      </c>
      <c r="AI1651">
        <v>95.852097217877002</v>
      </c>
      <c r="AJ1651">
        <v>64.380220230889094</v>
      </c>
      <c r="AK1651">
        <v>10.9958312877702</v>
      </c>
      <c r="AL1651">
        <v>81.803862807911102</v>
      </c>
      <c r="AM1651">
        <v>77.656340488883004</v>
      </c>
      <c r="AN1651">
        <v>0.99999997237426896</v>
      </c>
    </row>
    <row r="1652" spans="1:40" x14ac:dyDescent="0.25">
      <c r="A1652" t="str">
        <f>"20190303161907432"</f>
        <v>20190303161907432</v>
      </c>
      <c r="B1652" t="str">
        <f>"1551601147424104"</f>
        <v>1551601147424104</v>
      </c>
      <c r="C1652" t="s">
        <v>40</v>
      </c>
      <c r="D1652">
        <v>4.8782420000000002</v>
      </c>
      <c r="E1652">
        <v>0.59017089999999905</v>
      </c>
      <c r="F1652" t="s">
        <v>46</v>
      </c>
      <c r="G1652">
        <v>-207.36750000000001</v>
      </c>
      <c r="H1652" s="1">
        <v>-5.4913409999999999E-6</v>
      </c>
      <c r="I1652">
        <v>362.65379999999999</v>
      </c>
      <c r="J1652">
        <v>-217.17269999999999</v>
      </c>
      <c r="K1652">
        <v>1.121135</v>
      </c>
      <c r="L1652">
        <v>367.55720000000002</v>
      </c>
      <c r="M1652">
        <v>0.99972879999999997</v>
      </c>
      <c r="N1652">
        <v>-1.387613E-2</v>
      </c>
      <c r="O1652">
        <v>-1.8708700000000002E-2</v>
      </c>
      <c r="P1652">
        <v>0.96568569999999998</v>
      </c>
      <c r="Q1652">
        <v>0.1290258</v>
      </c>
      <c r="R1652">
        <v>-0.22539709999999999</v>
      </c>
      <c r="S1652">
        <v>2.8207239999999998</v>
      </c>
      <c r="T1652">
        <v>-0.31939640000000002</v>
      </c>
      <c r="U1652">
        <v>-1.3976139999999999</v>
      </c>
      <c r="V1652">
        <v>0.2074685</v>
      </c>
      <c r="W1652">
        <v>0.14220869999999999</v>
      </c>
      <c r="X1652">
        <v>0.96784999999999999</v>
      </c>
      <c r="Y1652">
        <v>0.42470760000000002</v>
      </c>
      <c r="Z1652">
        <v>-2.4033059999999998E-2</v>
      </c>
      <c r="AA1652">
        <v>0.90501149999999997</v>
      </c>
      <c r="AB1652">
        <v>16</v>
      </c>
      <c r="AC1652">
        <v>9.8051999999999797</v>
      </c>
      <c r="AD1652">
        <v>-1.1211404913409999</v>
      </c>
      <c r="AE1652">
        <v>-4.9034000000000297</v>
      </c>
      <c r="AF1652">
        <v>4.6702378252425802</v>
      </c>
      <c r="AG1652">
        <v>-1.1211404913409999</v>
      </c>
      <c r="AH1652">
        <v>9.7928106271358093</v>
      </c>
      <c r="AI1652">
        <v>95.899792804605596</v>
      </c>
      <c r="AJ1652">
        <v>64.503304361002506</v>
      </c>
      <c r="AK1652">
        <v>10.907209419672601</v>
      </c>
      <c r="AL1652">
        <v>81.824326055817494</v>
      </c>
      <c r="AM1652">
        <v>77.901163739016596</v>
      </c>
      <c r="AN1652">
        <v>1.0000000576739601</v>
      </c>
    </row>
    <row r="1653" spans="1:40" x14ac:dyDescent="0.25">
      <c r="A1653" t="str">
        <f>"20190303161907446"</f>
        <v>20190303161907446</v>
      </c>
      <c r="B1653" t="str">
        <f>"1551601147433863"</f>
        <v>1551601147433863</v>
      </c>
      <c r="C1653" t="s">
        <v>40</v>
      </c>
      <c r="D1653">
        <v>4.751989</v>
      </c>
      <c r="E1653">
        <v>0.59022959999999902</v>
      </c>
      <c r="F1653" t="s">
        <v>46</v>
      </c>
      <c r="G1653">
        <v>-207.34379999999999</v>
      </c>
      <c r="H1653" s="1">
        <v>-5.4711760000000004E-6</v>
      </c>
      <c r="I1653">
        <v>362.73200000000003</v>
      </c>
      <c r="J1653">
        <v>-217.07249999999999</v>
      </c>
      <c r="K1653">
        <v>1.1211370000000001</v>
      </c>
      <c r="L1653">
        <v>367.55450000000002</v>
      </c>
      <c r="M1653">
        <v>0.99971500000000002</v>
      </c>
      <c r="N1653">
        <v>-1.387358E-2</v>
      </c>
      <c r="O1653">
        <v>-1.943156E-2</v>
      </c>
      <c r="P1653">
        <v>0.96603260000000002</v>
      </c>
      <c r="Q1653">
        <v>0.1287123</v>
      </c>
      <c r="R1653">
        <v>-0.22408549999999999</v>
      </c>
      <c r="S1653">
        <v>2.8258670000000001</v>
      </c>
      <c r="T1653">
        <v>-0.32233260000000002</v>
      </c>
      <c r="U1653">
        <v>-1.3872679999999999</v>
      </c>
      <c r="V1653">
        <v>0.20544689999999999</v>
      </c>
      <c r="W1653">
        <v>0.14190420000000001</v>
      </c>
      <c r="X1653">
        <v>0.96832569999999996</v>
      </c>
      <c r="Y1653">
        <v>0.42071730000000002</v>
      </c>
      <c r="Z1653">
        <v>-2.3889000000000001E-2</v>
      </c>
      <c r="AA1653">
        <v>0.90687720000000005</v>
      </c>
      <c r="AB1653">
        <v>16</v>
      </c>
      <c r="AC1653">
        <v>9.7286999999999999</v>
      </c>
      <c r="AD1653">
        <v>-1.1211424711759901</v>
      </c>
      <c r="AE1653">
        <v>-4.8225000000000398</v>
      </c>
      <c r="AF1653">
        <v>4.5836614646419704</v>
      </c>
      <c r="AG1653">
        <v>-1.1211424711759901</v>
      </c>
      <c r="AH1653">
        <v>9.7169889161757492</v>
      </c>
      <c r="AI1653">
        <v>95.957381402852207</v>
      </c>
      <c r="AJ1653">
        <v>64.7459871025806</v>
      </c>
      <c r="AK1653">
        <v>10.802165822658001</v>
      </c>
      <c r="AL1653">
        <v>81.841950448442404</v>
      </c>
      <c r="AM1653">
        <v>78.021349092154594</v>
      </c>
      <c r="AN1653">
        <v>0.99999994598886799</v>
      </c>
    </row>
    <row r="1654" spans="1:40" x14ac:dyDescent="0.25">
      <c r="A1654" t="str">
        <f>"20190303161907459"</f>
        <v>20190303161907459</v>
      </c>
      <c r="B1654" t="str">
        <f>"1551601147454359"</f>
        <v>1551601147454359</v>
      </c>
      <c r="C1654" t="s">
        <v>40</v>
      </c>
      <c r="D1654">
        <v>4.6961380000000004</v>
      </c>
      <c r="E1654">
        <v>0.59014820000000001</v>
      </c>
      <c r="F1654" t="s">
        <v>46</v>
      </c>
      <c r="G1654">
        <v>-207.23159999999999</v>
      </c>
      <c r="H1654" s="1">
        <v>-5.4323599999999996E-6</v>
      </c>
      <c r="I1654">
        <v>362.74020000000002</v>
      </c>
      <c r="J1654">
        <v>-216.97800000000001</v>
      </c>
      <c r="K1654">
        <v>1.121138</v>
      </c>
      <c r="L1654">
        <v>367.55180000000001</v>
      </c>
      <c r="M1654">
        <v>0.99970159999999997</v>
      </c>
      <c r="N1654">
        <v>-1.387121E-2</v>
      </c>
      <c r="O1654">
        <v>-2.0112830000000002E-2</v>
      </c>
      <c r="P1654">
        <v>0.96635570000000004</v>
      </c>
      <c r="Q1654">
        <v>0.12818379999999999</v>
      </c>
      <c r="R1654">
        <v>-0.22299250000000001</v>
      </c>
      <c r="S1654">
        <v>2.8275600000000001</v>
      </c>
      <c r="T1654">
        <v>-0.32213439999999999</v>
      </c>
      <c r="U1654">
        <v>-1.38327</v>
      </c>
      <c r="V1654">
        <v>0.20368449999999999</v>
      </c>
      <c r="W1654">
        <v>0.1413836</v>
      </c>
      <c r="X1654">
        <v>0.96877409999999997</v>
      </c>
      <c r="Y1654">
        <v>0.41886760000000001</v>
      </c>
      <c r="Z1654">
        <v>-2.369284E-2</v>
      </c>
      <c r="AA1654">
        <v>0.90773809999999999</v>
      </c>
      <c r="AB1654">
        <v>16</v>
      </c>
      <c r="AC1654">
        <v>9.7463999999999906</v>
      </c>
      <c r="AD1654">
        <v>-1.12114343236</v>
      </c>
      <c r="AE1654">
        <v>-4.8115999999999897</v>
      </c>
      <c r="AF1654">
        <v>4.5660011106329597</v>
      </c>
      <c r="AG1654">
        <v>-1.12114343236</v>
      </c>
      <c r="AH1654">
        <v>9.7376113082346993</v>
      </c>
      <c r="AI1654">
        <v>95.951257117575594</v>
      </c>
      <c r="AJ1654">
        <v>64.877949745977901</v>
      </c>
      <c r="AK1654">
        <v>10.8132512561433</v>
      </c>
      <c r="AL1654">
        <v>81.872082690405193</v>
      </c>
      <c r="AM1654">
        <v>78.126517045462904</v>
      </c>
      <c r="AN1654">
        <v>0.99999997736000901</v>
      </c>
    </row>
    <row r="1655" spans="1:40" x14ac:dyDescent="0.25">
      <c r="A1655" t="str">
        <f>"20190303161907476"</f>
        <v>20190303161907476</v>
      </c>
      <c r="B1655" t="str">
        <f>"1551601147464121"</f>
        <v>1551601147464121</v>
      </c>
      <c r="C1655" t="s">
        <v>40</v>
      </c>
      <c r="D1655">
        <v>4.7348109999999997</v>
      </c>
      <c r="E1655">
        <v>0.5810767</v>
      </c>
      <c r="F1655" t="s">
        <v>46</v>
      </c>
      <c r="G1655">
        <v>-207.15119999999999</v>
      </c>
      <c r="H1655" s="1">
        <v>-5.4018749999999998E-6</v>
      </c>
      <c r="I1655">
        <v>362.7629</v>
      </c>
      <c r="J1655">
        <v>-216.857</v>
      </c>
      <c r="K1655">
        <v>1.121138</v>
      </c>
      <c r="L1655">
        <v>367.54840000000002</v>
      </c>
      <c r="M1655">
        <v>0.99968369999999995</v>
      </c>
      <c r="N1655">
        <v>-1.3868109999999999E-2</v>
      </c>
      <c r="O1655">
        <v>-2.098556E-2</v>
      </c>
      <c r="P1655">
        <v>0.96685350000000003</v>
      </c>
      <c r="Q1655">
        <v>0.12735439999999901</v>
      </c>
      <c r="R1655">
        <v>-0.22130359999999999</v>
      </c>
      <c r="S1655">
        <v>2.829132</v>
      </c>
      <c r="T1655">
        <v>-0.32277670000000003</v>
      </c>
      <c r="U1655">
        <v>-1.3787229999999999</v>
      </c>
      <c r="V1655">
        <v>0.20113590000000001</v>
      </c>
      <c r="W1655">
        <v>0.140565</v>
      </c>
      <c r="X1655">
        <v>0.96942550000000005</v>
      </c>
      <c r="Y1655">
        <v>0.41670570000000001</v>
      </c>
      <c r="Z1655">
        <v>-2.3513550000000001E-2</v>
      </c>
      <c r="AA1655">
        <v>0.90873729999999997</v>
      </c>
      <c r="AB1655">
        <v>16</v>
      </c>
      <c r="AC1655">
        <v>9.7058</v>
      </c>
      <c r="AD1655">
        <v>-1.1211434018749999</v>
      </c>
      <c r="AE1655">
        <v>-4.7855000000000096</v>
      </c>
      <c r="AF1655">
        <v>4.5320982215819701</v>
      </c>
      <c r="AG1655">
        <v>-1.1211434018749999</v>
      </c>
      <c r="AH1655">
        <v>9.6999808646390893</v>
      </c>
      <c r="AI1655">
        <v>95.977995733846498</v>
      </c>
      <c r="AJ1655">
        <v>64.956723293200398</v>
      </c>
      <c r="AK1655">
        <v>10.7650594792596</v>
      </c>
      <c r="AL1655">
        <v>81.919458204848794</v>
      </c>
      <c r="AM1655">
        <v>78.278606134730197</v>
      </c>
      <c r="AN1655">
        <v>0.99999998477203</v>
      </c>
    </row>
    <row r="1656" spans="1:40" x14ac:dyDescent="0.25">
      <c r="A1656" t="str">
        <f>"20190303161907490"</f>
        <v>20190303161907490</v>
      </c>
      <c r="B1656" t="str">
        <f>"1551601147484616"</f>
        <v>1551601147484616</v>
      </c>
      <c r="C1656" t="s">
        <v>40</v>
      </c>
      <c r="D1656">
        <v>4.6563879999999997</v>
      </c>
      <c r="E1656">
        <v>0.58198159999999999</v>
      </c>
      <c r="F1656" t="s">
        <v>46</v>
      </c>
      <c r="G1656">
        <v>-184.3837</v>
      </c>
      <c r="H1656" s="1">
        <v>-2.5350779999999999E-6</v>
      </c>
      <c r="I1656">
        <v>352.56439999999998</v>
      </c>
      <c r="J1656">
        <v>-216.7621</v>
      </c>
      <c r="K1656">
        <v>1.121138</v>
      </c>
      <c r="L1656">
        <v>367.54559999999998</v>
      </c>
      <c r="M1656">
        <v>0.99966900000000003</v>
      </c>
      <c r="N1656">
        <v>-1.386569E-2</v>
      </c>
      <c r="O1656">
        <v>-2.1673089999999999E-2</v>
      </c>
      <c r="P1656">
        <v>0.96693200000000001</v>
      </c>
      <c r="Q1656">
        <v>0.12704209999999999</v>
      </c>
      <c r="R1656">
        <v>-0.22114030000000001</v>
      </c>
      <c r="S1656">
        <v>2.8180540000000001</v>
      </c>
      <c r="T1656">
        <v>-9.7293379999999999E-2</v>
      </c>
      <c r="U1656">
        <v>-1.3003229999999999</v>
      </c>
      <c r="V1656">
        <v>0.20030200000000001</v>
      </c>
      <c r="W1656">
        <v>0.14025480000000001</v>
      </c>
      <c r="X1656">
        <v>0.96964309999999998</v>
      </c>
      <c r="Y1656">
        <v>0.39891009999999999</v>
      </c>
      <c r="Z1656">
        <v>-9.0278210000000001E-3</v>
      </c>
      <c r="AA1656">
        <v>0.91694560000000003</v>
      </c>
      <c r="AB1656">
        <v>16</v>
      </c>
      <c r="AC1656">
        <v>32.378399999999999</v>
      </c>
      <c r="AD1656">
        <v>-1.1211405350779999</v>
      </c>
      <c r="AE1656">
        <v>-14.981199999999999</v>
      </c>
      <c r="AF1656">
        <v>14.2617887029981</v>
      </c>
      <c r="AG1656">
        <v>-1.1211405350779999</v>
      </c>
      <c r="AH1656">
        <v>32.663256571130198</v>
      </c>
      <c r="AI1656">
        <v>91.801725334628898</v>
      </c>
      <c r="AJ1656">
        <v>66.412429050568207</v>
      </c>
      <c r="AK1656">
        <v>35.658714263694897</v>
      </c>
      <c r="AL1656">
        <v>81.937409480161406</v>
      </c>
      <c r="AM1656">
        <v>78.328413906320904</v>
      </c>
      <c r="AN1656">
        <v>1.0000000207523201</v>
      </c>
    </row>
    <row r="1657" spans="1:40" x14ac:dyDescent="0.25">
      <c r="A1657" t="str">
        <f>"20190303161907502"</f>
        <v>20190303161907502</v>
      </c>
      <c r="B1657" t="str">
        <f>"1551601147494376"</f>
        <v>1551601147494376</v>
      </c>
      <c r="C1657" t="s">
        <v>40</v>
      </c>
      <c r="D1657">
        <v>4.668463</v>
      </c>
      <c r="E1657">
        <v>0.58287690000000003</v>
      </c>
      <c r="F1657" t="s">
        <v>46</v>
      </c>
      <c r="G1657">
        <v>-185.4101</v>
      </c>
      <c r="H1657" s="1">
        <v>-2.6499170000000001E-6</v>
      </c>
      <c r="I1657">
        <v>352.99979999999999</v>
      </c>
      <c r="J1657">
        <v>-216.67699999999999</v>
      </c>
      <c r="K1657">
        <v>1.121135</v>
      </c>
      <c r="L1657">
        <v>367.54309999999998</v>
      </c>
      <c r="M1657">
        <v>0.99965539999999997</v>
      </c>
      <c r="N1657">
        <v>-1.386358E-2</v>
      </c>
      <c r="O1657">
        <v>-2.2292579999999999E-2</v>
      </c>
      <c r="P1657">
        <v>0.96701919999999997</v>
      </c>
      <c r="Q1657">
        <v>0.1265773</v>
      </c>
      <c r="R1657">
        <v>-0.22102620000000001</v>
      </c>
      <c r="S1657">
        <v>2.8169249999999999</v>
      </c>
      <c r="T1657">
        <v>-0.1007329</v>
      </c>
      <c r="U1657">
        <v>-1.306915</v>
      </c>
      <c r="V1657">
        <v>0.1995835</v>
      </c>
      <c r="W1657">
        <v>0.1397912</v>
      </c>
      <c r="X1657">
        <v>0.9698582</v>
      </c>
      <c r="Y1657">
        <v>0.4002309</v>
      </c>
      <c r="Z1657">
        <v>-9.2535919999999997E-3</v>
      </c>
      <c r="AA1657">
        <v>0.91636759999999995</v>
      </c>
      <c r="AB1657">
        <v>16</v>
      </c>
      <c r="AC1657">
        <v>31.2669</v>
      </c>
      <c r="AD1657">
        <v>-1.121137649917</v>
      </c>
      <c r="AE1657">
        <v>-14.543299999999901</v>
      </c>
      <c r="AF1657">
        <v>13.8279816334859</v>
      </c>
      <c r="AG1657">
        <v>-1.121137649917</v>
      </c>
      <c r="AH1657">
        <v>31.550017678229398</v>
      </c>
      <c r="AI1657">
        <v>91.864116575503004</v>
      </c>
      <c r="AJ1657">
        <v>66.332756685642096</v>
      </c>
      <c r="AK1657">
        <v>34.465542809923598</v>
      </c>
      <c r="AL1657">
        <v>81.964236252732704</v>
      </c>
      <c r="AM1657">
        <v>78.371647467272894</v>
      </c>
      <c r="AN1657">
        <v>1.0000000405884599</v>
      </c>
    </row>
    <row r="1658" spans="1:40" x14ac:dyDescent="0.25">
      <c r="A1658" t="str">
        <f>"20190303161907514"</f>
        <v>20190303161907514</v>
      </c>
      <c r="B1658" t="str">
        <f>"1551601147504135"</f>
        <v>1551601147504135</v>
      </c>
      <c r="C1658" t="s">
        <v>40</v>
      </c>
      <c r="D1658">
        <v>4.6390019999999996</v>
      </c>
      <c r="E1658">
        <v>0.58342709999999998</v>
      </c>
      <c r="F1658" t="s">
        <v>46</v>
      </c>
      <c r="G1658">
        <v>-186.30199999999999</v>
      </c>
      <c r="H1658" s="1">
        <v>-2.7457600000000002E-6</v>
      </c>
      <c r="I1658">
        <v>353.3716</v>
      </c>
      <c r="J1658">
        <v>-216.59780000000001</v>
      </c>
      <c r="K1658">
        <v>1.1211310000000001</v>
      </c>
      <c r="L1658">
        <v>367.54059999999998</v>
      </c>
      <c r="M1658">
        <v>0.99964229999999998</v>
      </c>
      <c r="N1658">
        <v>-1.3861689999999999E-2</v>
      </c>
      <c r="O1658">
        <v>-2.2875400000000001E-2</v>
      </c>
      <c r="P1658">
        <v>0.96705149999999995</v>
      </c>
      <c r="Q1658">
        <v>0.125554</v>
      </c>
      <c r="R1658">
        <v>-0.2214672</v>
      </c>
      <c r="S1658">
        <v>2.815674</v>
      </c>
      <c r="T1658">
        <v>-0.1039264</v>
      </c>
      <c r="U1658">
        <v>-1.31366</v>
      </c>
      <c r="V1658">
        <v>0.19945679999999999</v>
      </c>
      <c r="W1658">
        <v>0.13876749999999999</v>
      </c>
      <c r="X1658">
        <v>0.97003119999999998</v>
      </c>
      <c r="Y1658">
        <v>0.40163900000000002</v>
      </c>
      <c r="Z1658">
        <v>-9.4678550000000007E-3</v>
      </c>
      <c r="AA1658">
        <v>0.91574909999999998</v>
      </c>
      <c r="AB1658">
        <v>16</v>
      </c>
      <c r="AC1658">
        <v>30.2957999999999</v>
      </c>
      <c r="AD1658">
        <v>-1.1211337457599999</v>
      </c>
      <c r="AE1658">
        <v>-14.168999999999899</v>
      </c>
      <c r="AF1658">
        <v>13.4570751099916</v>
      </c>
      <c r="AG1658">
        <v>-1.1211337457599999</v>
      </c>
      <c r="AH1658">
        <v>30.577664024909499</v>
      </c>
      <c r="AI1658">
        <v>91.922065540271504</v>
      </c>
      <c r="AJ1658">
        <v>66.245948473509799</v>
      </c>
      <c r="AK1658">
        <v>33.426686174553502</v>
      </c>
      <c r="AL1658">
        <v>82.0234667854414</v>
      </c>
      <c r="AM1658">
        <v>78.380844755572198</v>
      </c>
      <c r="AN1658">
        <v>0.99999998154796399</v>
      </c>
    </row>
    <row r="1659" spans="1:40" x14ac:dyDescent="0.25">
      <c r="A1659" t="str">
        <f>"20190303161907533"</f>
        <v>20190303161907533</v>
      </c>
      <c r="B1659" t="str">
        <f>"1551601147524632"</f>
        <v>1551601147524632</v>
      </c>
      <c r="C1659" t="s">
        <v>40</v>
      </c>
      <c r="D1659">
        <v>4.6929129999999999</v>
      </c>
      <c r="E1659">
        <v>0.58367569999999902</v>
      </c>
      <c r="F1659" t="s">
        <v>46</v>
      </c>
      <c r="G1659">
        <v>-187.98779999999999</v>
      </c>
      <c r="H1659" s="1">
        <v>-2.9592029999999998E-6</v>
      </c>
      <c r="I1659">
        <v>354.12869999999998</v>
      </c>
      <c r="J1659">
        <v>-216.46119999999999</v>
      </c>
      <c r="K1659">
        <v>1.1211139999999999</v>
      </c>
      <c r="L1659">
        <v>367.53620000000001</v>
      </c>
      <c r="M1659">
        <v>0.99961849999999997</v>
      </c>
      <c r="N1659">
        <v>-1.3858499999999999E-2</v>
      </c>
      <c r="O1659">
        <v>-2.3892799999999999E-2</v>
      </c>
      <c r="P1659">
        <v>0.96702589999999999</v>
      </c>
      <c r="Q1659">
        <v>0.1236424</v>
      </c>
      <c r="R1659">
        <v>-0.2226514</v>
      </c>
      <c r="S1659">
        <v>2.8143919999999998</v>
      </c>
      <c r="T1659">
        <v>-0.1102868</v>
      </c>
      <c r="U1659">
        <v>-1.3193360000000001</v>
      </c>
      <c r="V1659">
        <v>0.19965240000000001</v>
      </c>
      <c r="W1659">
        <v>0.1368519</v>
      </c>
      <c r="X1659">
        <v>0.97026310000000004</v>
      </c>
      <c r="Y1659">
        <v>0.4023485</v>
      </c>
      <c r="Z1659">
        <v>-9.8442600000000005E-3</v>
      </c>
      <c r="AA1659">
        <v>0.91543359999999996</v>
      </c>
      <c r="AB1659">
        <v>16</v>
      </c>
      <c r="AC1659">
        <v>28.473400000000002</v>
      </c>
      <c r="AD1659">
        <v>-1.1211169592029999</v>
      </c>
      <c r="AE1659">
        <v>-13.407500000000001</v>
      </c>
      <c r="AF1659">
        <v>12.7071722652012</v>
      </c>
      <c r="AG1659">
        <v>-1.1211169592029999</v>
      </c>
      <c r="AH1659">
        <v>28.749161851644399</v>
      </c>
      <c r="AI1659">
        <v>92.042744150341903</v>
      </c>
      <c r="AJ1659">
        <v>66.154500097707896</v>
      </c>
      <c r="AK1659">
        <v>31.452240578148899</v>
      </c>
      <c r="AL1659">
        <v>82.134280071299102</v>
      </c>
      <c r="AM1659">
        <v>78.3724645632104</v>
      </c>
      <c r="AN1659">
        <v>1.0000000032904901</v>
      </c>
    </row>
    <row r="1660" spans="1:40" x14ac:dyDescent="0.25">
      <c r="A1660" t="str">
        <f>"20190303161907547"</f>
        <v>20190303161907547</v>
      </c>
      <c r="B1660" t="str">
        <f>"1551601147534392"</f>
        <v>1551601147534392</v>
      </c>
      <c r="C1660" t="s">
        <v>40</v>
      </c>
      <c r="D1660">
        <v>4.7212160000000001</v>
      </c>
      <c r="E1660">
        <v>0.58345319999999901</v>
      </c>
      <c r="F1660" t="s">
        <v>46</v>
      </c>
      <c r="G1660">
        <v>-191.1086</v>
      </c>
      <c r="H1660" s="1">
        <v>-3.6735090000000001E-6</v>
      </c>
      <c r="I1660">
        <v>355.60829999999999</v>
      </c>
      <c r="J1660">
        <v>-216.36179999999999</v>
      </c>
      <c r="K1660">
        <v>1.121102</v>
      </c>
      <c r="L1660">
        <v>367.53300000000002</v>
      </c>
      <c r="M1660">
        <v>0.9996003</v>
      </c>
      <c r="N1660">
        <v>-1.3856230000000001E-2</v>
      </c>
      <c r="O1660">
        <v>-2.46462E-2</v>
      </c>
      <c r="P1660">
        <v>0.96667270000000005</v>
      </c>
      <c r="Q1660">
        <v>0.1234329</v>
      </c>
      <c r="R1660">
        <v>-0.22429560000000001</v>
      </c>
      <c r="S1660">
        <v>2.8134459999999999</v>
      </c>
      <c r="T1660">
        <v>-0.1244133</v>
      </c>
      <c r="U1660">
        <v>-1.323669</v>
      </c>
      <c r="V1660">
        <v>0.20057469999999999</v>
      </c>
      <c r="W1660">
        <v>0.1366327</v>
      </c>
      <c r="X1660">
        <v>0.97010370000000001</v>
      </c>
      <c r="Y1660">
        <v>0.4028524</v>
      </c>
      <c r="Z1660">
        <v>-1.0682290000000001E-2</v>
      </c>
      <c r="AA1660">
        <v>0.91520259999999998</v>
      </c>
      <c r="AB1660">
        <v>16</v>
      </c>
      <c r="AC1660">
        <v>25.2532</v>
      </c>
      <c r="AD1660">
        <v>-1.1211056735089999</v>
      </c>
      <c r="AE1660">
        <v>-11.9247</v>
      </c>
      <c r="AF1660">
        <v>11.280442991253199</v>
      </c>
      <c r="AG1660">
        <v>-1.1211056735089999</v>
      </c>
      <c r="AH1660">
        <v>25.498362572773502</v>
      </c>
      <c r="AI1660">
        <v>92.302548956006405</v>
      </c>
      <c r="AJ1660">
        <v>66.135462789511607</v>
      </c>
      <c r="AK1660">
        <v>27.9046907508882</v>
      </c>
      <c r="AL1660">
        <v>82.146957952204602</v>
      </c>
      <c r="AM1660">
        <v>78.318356924014097</v>
      </c>
      <c r="AN1660">
        <v>0.99999994687153304</v>
      </c>
    </row>
    <row r="1661" spans="1:40" x14ac:dyDescent="0.25">
      <c r="A1661" t="str">
        <f>"20190303161907560"</f>
        <v>20190303161907560</v>
      </c>
      <c r="B1661" t="str">
        <f>"1551601147553911"</f>
        <v>1551601147553911</v>
      </c>
      <c r="C1661" t="s">
        <v>40</v>
      </c>
      <c r="D1661">
        <v>4.7234170000000004</v>
      </c>
      <c r="E1661">
        <v>0.58340319999999901</v>
      </c>
      <c r="F1661" t="s">
        <v>46</v>
      </c>
      <c r="G1661">
        <v>-192.57089999999999</v>
      </c>
      <c r="H1661" s="1">
        <v>-4.327006E-6</v>
      </c>
      <c r="I1661">
        <v>356.3152</v>
      </c>
      <c r="J1661">
        <v>-216.2704</v>
      </c>
      <c r="K1661">
        <v>1.121089</v>
      </c>
      <c r="L1661">
        <v>367.5299</v>
      </c>
      <c r="M1661">
        <v>0.99958250000000004</v>
      </c>
      <c r="N1661">
        <v>-1.385424E-2</v>
      </c>
      <c r="O1661">
        <v>-2.535339E-2</v>
      </c>
      <c r="P1661">
        <v>0.96634100000000001</v>
      </c>
      <c r="Q1661">
        <v>0.12329759999999999</v>
      </c>
      <c r="R1661">
        <v>-0.2257932</v>
      </c>
      <c r="S1661">
        <v>2.8126220000000002</v>
      </c>
      <c r="T1661">
        <v>-0.1325402</v>
      </c>
      <c r="U1661">
        <v>-1.3262020000000001</v>
      </c>
      <c r="V1661">
        <v>0.2013962</v>
      </c>
      <c r="W1661">
        <v>0.1364862</v>
      </c>
      <c r="X1661">
        <v>0.96995410000000004</v>
      </c>
      <c r="Y1661">
        <v>0.40293390000000001</v>
      </c>
      <c r="Z1661">
        <v>-1.114793E-2</v>
      </c>
      <c r="AA1661">
        <v>0.91516120000000001</v>
      </c>
      <c r="AB1661">
        <v>16</v>
      </c>
      <c r="AC1661">
        <v>23.6995</v>
      </c>
      <c r="AD1661">
        <v>-1.121093327006</v>
      </c>
      <c r="AE1661">
        <v>-11.214699999999899</v>
      </c>
      <c r="AF1661">
        <v>10.5908106337319</v>
      </c>
      <c r="AG1661">
        <v>-1.121093327006</v>
      </c>
      <c r="AH1661">
        <v>23.932482172939899</v>
      </c>
      <c r="AI1661">
        <v>92.452879409539804</v>
      </c>
      <c r="AJ1661">
        <v>66.129233999262993</v>
      </c>
      <c r="AK1661">
        <v>26.195148846408799</v>
      </c>
      <c r="AL1661">
        <v>82.155431061902704</v>
      </c>
      <c r="AM1661">
        <v>78.270076021667506</v>
      </c>
      <c r="AN1661">
        <v>0.99999993413584298</v>
      </c>
    </row>
    <row r="1662" spans="1:40" x14ac:dyDescent="0.25">
      <c r="A1662" t="str">
        <f>"20190303161907578"</f>
        <v>20190303161907578</v>
      </c>
      <c r="B1662" t="str">
        <f>"1551601147563671"</f>
        <v>1551601147563671</v>
      </c>
      <c r="C1662" t="s">
        <v>40</v>
      </c>
      <c r="D1662">
        <v>4.7413629999999998</v>
      </c>
      <c r="E1662">
        <v>0.58332869999999903</v>
      </c>
      <c r="F1662" t="s">
        <v>46</v>
      </c>
      <c r="G1662">
        <v>-194.19980000000001</v>
      </c>
      <c r="H1662" s="1">
        <v>-5.0502460000000004E-6</v>
      </c>
      <c r="I1662">
        <v>357.0924</v>
      </c>
      <c r="J1662">
        <v>-216.14789999999999</v>
      </c>
      <c r="K1662">
        <v>1.1210709999999999</v>
      </c>
      <c r="L1662">
        <v>367.52569999999997</v>
      </c>
      <c r="M1662">
        <v>0.99955760000000005</v>
      </c>
      <c r="N1662">
        <v>-1.385165E-2</v>
      </c>
      <c r="O1662">
        <v>-2.6326800000000001E-2</v>
      </c>
      <c r="P1662">
        <v>0.96526889999999999</v>
      </c>
      <c r="Q1662">
        <v>0.1237202</v>
      </c>
      <c r="R1662">
        <v>-0.23010810000000001</v>
      </c>
      <c r="S1662">
        <v>2.8120120000000002</v>
      </c>
      <c r="T1662">
        <v>-0.1428382</v>
      </c>
      <c r="U1662">
        <v>-1.329834</v>
      </c>
      <c r="V1662">
        <v>0.20479839999999999</v>
      </c>
      <c r="W1662">
        <v>0.13688159999999999</v>
      </c>
      <c r="X1662">
        <v>0.96918579999999999</v>
      </c>
      <c r="Y1662">
        <v>0.4030205</v>
      </c>
      <c r="Z1662">
        <v>-1.172809E-2</v>
      </c>
      <c r="AA1662">
        <v>0.91511580000000003</v>
      </c>
      <c r="AB1662">
        <v>16</v>
      </c>
      <c r="AC1662">
        <v>21.948099999999901</v>
      </c>
      <c r="AD1662">
        <v>-1.121076050246</v>
      </c>
      <c r="AE1662">
        <v>-10.4332999999999</v>
      </c>
      <c r="AF1662">
        <v>9.8308831174138902</v>
      </c>
      <c r="AG1662">
        <v>-1.121076050246</v>
      </c>
      <c r="AH1662">
        <v>22.168016552026401</v>
      </c>
      <c r="AI1662">
        <v>92.646885270970998</v>
      </c>
      <c r="AJ1662">
        <v>66.084079227814996</v>
      </c>
      <c r="AK1662">
        <v>24.2759970388366</v>
      </c>
      <c r="AL1662">
        <v>82.132562479666007</v>
      </c>
      <c r="AM1662">
        <v>78.0683668356818</v>
      </c>
      <c r="AN1662">
        <v>1.0000000359913701</v>
      </c>
    </row>
    <row r="1663" spans="1:40" x14ac:dyDescent="0.25">
      <c r="A1663" t="str">
        <f>"20190303161907593"</f>
        <v>20190303161907593</v>
      </c>
      <c r="B1663" t="str">
        <f>"1551601147584168"</f>
        <v>1551601147584168</v>
      </c>
      <c r="C1663" t="s">
        <v>40</v>
      </c>
      <c r="D1663">
        <v>4.7618340000000003</v>
      </c>
      <c r="E1663">
        <v>0.58330599999999999</v>
      </c>
      <c r="F1663" t="s">
        <v>46</v>
      </c>
      <c r="G1663">
        <v>-194.58430000000001</v>
      </c>
      <c r="H1663" s="1">
        <v>-5.1974210000000004E-6</v>
      </c>
      <c r="I1663">
        <v>357.2253</v>
      </c>
      <c r="J1663">
        <v>-216.04230000000001</v>
      </c>
      <c r="K1663">
        <v>1.1210469999999999</v>
      </c>
      <c r="L1663">
        <v>367.52190000000002</v>
      </c>
      <c r="M1663">
        <v>0.99953440000000005</v>
      </c>
      <c r="N1663">
        <v>-1.384957E-2</v>
      </c>
      <c r="O1663">
        <v>-2.7192830000000001E-2</v>
      </c>
      <c r="P1663">
        <v>0.96465049999999997</v>
      </c>
      <c r="Q1663">
        <v>0.1244064</v>
      </c>
      <c r="R1663">
        <v>-0.23232050000000001</v>
      </c>
      <c r="S1663">
        <v>2.8070529999999998</v>
      </c>
      <c r="T1663">
        <v>-0.14593680000000001</v>
      </c>
      <c r="U1663">
        <v>-1.340851</v>
      </c>
      <c r="V1663">
        <v>0.2061934</v>
      </c>
      <c r="W1663">
        <v>0.13754810000000001</v>
      </c>
      <c r="X1663">
        <v>0.96879550000000003</v>
      </c>
      <c r="Y1663">
        <v>0.40575460000000002</v>
      </c>
      <c r="Z1663">
        <v>-1.1976000000000001E-2</v>
      </c>
      <c r="AA1663">
        <v>0.91390360000000004</v>
      </c>
      <c r="AB1663">
        <v>16</v>
      </c>
      <c r="AC1663">
        <v>21.457999999999998</v>
      </c>
      <c r="AD1663">
        <v>-1.1210521974209999</v>
      </c>
      <c r="AE1663">
        <v>-10.2966</v>
      </c>
      <c r="AF1663">
        <v>9.6877388529792494</v>
      </c>
      <c r="AG1663">
        <v>-1.1210521974209999</v>
      </c>
      <c r="AH1663">
        <v>21.681980431996202</v>
      </c>
      <c r="AI1663">
        <v>92.702724697347406</v>
      </c>
      <c r="AJ1663">
        <v>65.924401587408497</v>
      </c>
      <c r="AK1663">
        <v>23.774299517889698</v>
      </c>
      <c r="AL1663">
        <v>82.094009579802801</v>
      </c>
      <c r="AM1663">
        <v>77.984747906473302</v>
      </c>
      <c r="AN1663">
        <v>0.99999995941870901</v>
      </c>
    </row>
    <row r="1664" spans="1:40" x14ac:dyDescent="0.25">
      <c r="A1664" t="str">
        <f>"20190303161907605"</f>
        <v>20190303161907605</v>
      </c>
      <c r="B1664" t="str">
        <f>"1551601147593928"</f>
        <v>1551601147593928</v>
      </c>
      <c r="C1664" t="s">
        <v>40</v>
      </c>
      <c r="D1664">
        <v>4.7522200000000003</v>
      </c>
      <c r="E1664">
        <v>0.58333829999999998</v>
      </c>
      <c r="F1664" t="s">
        <v>46</v>
      </c>
      <c r="G1664">
        <v>-194.92670000000001</v>
      </c>
      <c r="H1664" s="1">
        <v>-5.3135790000000003E-6</v>
      </c>
      <c r="I1664">
        <v>357.3802</v>
      </c>
      <c r="J1664">
        <v>-215.95660000000001</v>
      </c>
      <c r="K1664">
        <v>1.121027</v>
      </c>
      <c r="L1664">
        <v>367.51870000000002</v>
      </c>
      <c r="M1664">
        <v>0.99951449999999997</v>
      </c>
      <c r="N1664">
        <v>-1.3847959999999999E-2</v>
      </c>
      <c r="O1664">
        <v>-2.7911149999999999E-2</v>
      </c>
      <c r="P1664">
        <v>0.96398360000000005</v>
      </c>
      <c r="Q1664">
        <v>0.1247467</v>
      </c>
      <c r="R1664">
        <v>-0.23489199999999999</v>
      </c>
      <c r="S1664">
        <v>2.8047179999999998</v>
      </c>
      <c r="T1664">
        <v>-0.14890599999999901</v>
      </c>
      <c r="U1664">
        <v>-1.3470759999999999</v>
      </c>
      <c r="V1664">
        <v>0.2080922</v>
      </c>
      <c r="W1664">
        <v>0.1378683</v>
      </c>
      <c r="X1664">
        <v>0.96834390000000004</v>
      </c>
      <c r="Y1664">
        <v>0.40702129999999997</v>
      </c>
      <c r="Z1664">
        <v>-1.217011E-2</v>
      </c>
      <c r="AA1664">
        <v>0.91333759999999997</v>
      </c>
      <c r="AB1664">
        <v>16</v>
      </c>
      <c r="AC1664">
        <v>21.029900000000001</v>
      </c>
      <c r="AD1664">
        <v>-1.1210323135789999</v>
      </c>
      <c r="AE1664">
        <v>-10.138500000000001</v>
      </c>
      <c r="AF1664">
        <v>9.5255612845706104</v>
      </c>
      <c r="AG1664">
        <v>-1.1210323135789999</v>
      </c>
      <c r="AH1664">
        <v>21.255700358989401</v>
      </c>
      <c r="AI1664">
        <v>92.755430403948097</v>
      </c>
      <c r="AJ1664">
        <v>65.860868950201706</v>
      </c>
      <c r="AK1664">
        <v>23.3194731712648</v>
      </c>
      <c r="AL1664">
        <v>82.075487089286497</v>
      </c>
      <c r="AM1664">
        <v>77.871873733522904</v>
      </c>
      <c r="AN1664">
        <v>0.99999997025646903</v>
      </c>
    </row>
    <row r="1665" spans="1:40" x14ac:dyDescent="0.25">
      <c r="A1665" t="str">
        <f>"20190303161907617"</f>
        <v>20190303161907617</v>
      </c>
      <c r="B1665" t="str">
        <f>"1551601147603688"</f>
        <v>1551601147603688</v>
      </c>
      <c r="C1665" t="s">
        <v>40</v>
      </c>
      <c r="D1665">
        <v>4.7561400000000003</v>
      </c>
      <c r="E1665">
        <v>0.58342340000000004</v>
      </c>
      <c r="F1665" t="s">
        <v>46</v>
      </c>
      <c r="G1665">
        <v>-194.93610000000001</v>
      </c>
      <c r="H1665" s="1">
        <v>-5.3060809999999996E-6</v>
      </c>
      <c r="I1665">
        <v>357.3535</v>
      </c>
      <c r="J1665">
        <v>-215.8715</v>
      </c>
      <c r="K1665">
        <v>1.121005</v>
      </c>
      <c r="L1665">
        <v>367.5154</v>
      </c>
      <c r="M1665">
        <v>0.99949339999999998</v>
      </c>
      <c r="N1665">
        <v>-1.3846580000000001E-2</v>
      </c>
      <c r="O1665">
        <v>-2.8661499999999999E-2</v>
      </c>
      <c r="P1665">
        <v>0.96328080000000005</v>
      </c>
      <c r="Q1665">
        <v>0.12504999999999999</v>
      </c>
      <c r="R1665">
        <v>-0.23759830000000001</v>
      </c>
      <c r="S1665">
        <v>2.8013309999999998</v>
      </c>
      <c r="T1665">
        <v>-0.14939549999999999</v>
      </c>
      <c r="U1665">
        <v>-1.3546750000000001</v>
      </c>
      <c r="V1665">
        <v>0.2100976</v>
      </c>
      <c r="W1665">
        <v>0.1381484</v>
      </c>
      <c r="X1665">
        <v>0.96787089999999998</v>
      </c>
      <c r="Y1665">
        <v>0.40877010000000003</v>
      </c>
      <c r="Z1665">
        <v>-1.2234119999999999E-2</v>
      </c>
      <c r="AA1665">
        <v>0.91255540000000002</v>
      </c>
      <c r="AB1665">
        <v>16</v>
      </c>
      <c r="AC1665">
        <v>20.935399999999898</v>
      </c>
      <c r="AD1665">
        <v>-1.1210103060809999</v>
      </c>
      <c r="AE1665">
        <v>-10.161899999999999</v>
      </c>
      <c r="AF1665">
        <v>9.5355001490070208</v>
      </c>
      <c r="AG1665">
        <v>-1.1210103060809999</v>
      </c>
      <c r="AH1665">
        <v>21.168958751961199</v>
      </c>
      <c r="AI1665">
        <v>92.764269211539201</v>
      </c>
      <c r="AJ1665">
        <v>65.750946019774403</v>
      </c>
      <c r="AK1665">
        <v>23.2445099290195</v>
      </c>
      <c r="AL1665">
        <v>82.059283971241101</v>
      </c>
      <c r="AM1665">
        <v>77.752700714515896</v>
      </c>
      <c r="AN1665">
        <v>1.00000003050756</v>
      </c>
    </row>
    <row r="1666" spans="1:40" x14ac:dyDescent="0.25">
      <c r="A1666" t="str">
        <f>"20190303161907630"</f>
        <v>20190303161907630</v>
      </c>
      <c r="B1666" t="str">
        <f>"1551601147624183"</f>
        <v>1551601147624183</v>
      </c>
      <c r="C1666" t="s">
        <v>40</v>
      </c>
      <c r="D1666">
        <v>4.7466330000000001</v>
      </c>
      <c r="E1666">
        <v>0.58357099999999995</v>
      </c>
      <c r="F1666" t="s">
        <v>46</v>
      </c>
      <c r="G1666">
        <v>-194.95150000000001</v>
      </c>
      <c r="H1666" s="1">
        <v>-5.2976669999999998E-6</v>
      </c>
      <c r="I1666">
        <v>357.32119999999998</v>
      </c>
      <c r="J1666">
        <v>-215.7876</v>
      </c>
      <c r="K1666">
        <v>1.1209819999999999</v>
      </c>
      <c r="L1666">
        <v>367.51209999999998</v>
      </c>
      <c r="M1666">
        <v>0.99947140000000001</v>
      </c>
      <c r="N1666">
        <v>-1.384532E-2</v>
      </c>
      <c r="O1666">
        <v>-2.9416870000000001E-2</v>
      </c>
      <c r="P1666">
        <v>0.96265639999999997</v>
      </c>
      <c r="Q1666">
        <v>0.12521450000000001</v>
      </c>
      <c r="R1666">
        <v>-0.24002989999999999</v>
      </c>
      <c r="S1666">
        <v>2.7975620000000001</v>
      </c>
      <c r="T1666">
        <v>-0.1499093</v>
      </c>
      <c r="U1666">
        <v>-1.363251</v>
      </c>
      <c r="V1666">
        <v>0.21182210000000001</v>
      </c>
      <c r="W1666">
        <v>0.13829050000000001</v>
      </c>
      <c r="X1666">
        <v>0.96747459999999996</v>
      </c>
      <c r="Y1666">
        <v>0.41081780000000001</v>
      </c>
      <c r="Z1666">
        <v>-1.230988E-2</v>
      </c>
      <c r="AA1666">
        <v>0.91163430000000001</v>
      </c>
      <c r="AB1666">
        <v>16</v>
      </c>
      <c r="AC1666">
        <v>20.836099999999899</v>
      </c>
      <c r="AD1666">
        <v>-1.1209872976669999</v>
      </c>
      <c r="AE1666">
        <v>-10.190899999999999</v>
      </c>
      <c r="AF1666">
        <v>9.5511883594781395</v>
      </c>
      <c r="AG1666">
        <v>-1.1209872976669999</v>
      </c>
      <c r="AH1666">
        <v>21.077662580280901</v>
      </c>
      <c r="AI1666">
        <v>92.773365023551193</v>
      </c>
      <c r="AJ1666">
        <v>65.622691297517505</v>
      </c>
      <c r="AK1666">
        <v>23.1678585857203</v>
      </c>
      <c r="AL1666">
        <v>82.051062956762294</v>
      </c>
      <c r="AM1666">
        <v>77.650342601131896</v>
      </c>
      <c r="AN1666">
        <v>0.99999998304190896</v>
      </c>
    </row>
    <row r="1667" spans="1:40" x14ac:dyDescent="0.25">
      <c r="A1667" t="str">
        <f>"20190303161907641"</f>
        <v>20190303161907641</v>
      </c>
      <c r="B1667" t="str">
        <f>"1551601147633944"</f>
        <v>1551601147633944</v>
      </c>
      <c r="C1667" t="s">
        <v>40</v>
      </c>
      <c r="D1667">
        <v>4.7516689999999997</v>
      </c>
      <c r="E1667">
        <v>0.58358659999999996</v>
      </c>
      <c r="F1667" t="s">
        <v>46</v>
      </c>
      <c r="G1667">
        <v>-194.88720000000001</v>
      </c>
      <c r="H1667" s="1">
        <v>-5.2662459999999997E-6</v>
      </c>
      <c r="I1667">
        <v>357.25729999999999</v>
      </c>
      <c r="J1667">
        <v>-215.70529999999999</v>
      </c>
      <c r="K1667">
        <v>1.12096</v>
      </c>
      <c r="L1667">
        <v>367.50889999999998</v>
      </c>
      <c r="M1667">
        <v>0.99944849999999996</v>
      </c>
      <c r="N1667">
        <v>-1.3844230000000001E-2</v>
      </c>
      <c r="O1667">
        <v>-3.0180720000000001E-2</v>
      </c>
      <c r="P1667">
        <v>0.96199020000000002</v>
      </c>
      <c r="Q1667">
        <v>0.12526909999999999</v>
      </c>
      <c r="R1667">
        <v>-0.2426577</v>
      </c>
      <c r="S1667">
        <v>2.7940520000000002</v>
      </c>
      <c r="T1667">
        <v>-0.14985850000000001</v>
      </c>
      <c r="U1667">
        <v>-1.370911</v>
      </c>
      <c r="V1667">
        <v>0.2137367</v>
      </c>
      <c r="W1667">
        <v>0.1383221</v>
      </c>
      <c r="X1667">
        <v>0.96704889999999999</v>
      </c>
      <c r="Y1667">
        <v>0.41258549999999999</v>
      </c>
      <c r="Z1667">
        <v>-1.234238E-2</v>
      </c>
      <c r="AA1667">
        <v>0.91083530000000001</v>
      </c>
      <c r="AB1667">
        <v>15</v>
      </c>
      <c r="AC1667">
        <v>20.818099999999902</v>
      </c>
      <c r="AD1667">
        <v>-1.1209652662459999</v>
      </c>
      <c r="AE1667">
        <v>-10.2515999999999</v>
      </c>
      <c r="AF1667">
        <v>9.5961708913567403</v>
      </c>
      <c r="AG1667">
        <v>-1.1209652662459999</v>
      </c>
      <c r="AH1667">
        <v>21.0688807822903</v>
      </c>
      <c r="AI1667">
        <v>92.772041567203104</v>
      </c>
      <c r="AJ1667">
        <v>65.512321300757193</v>
      </c>
      <c r="AK1667">
        <v>23.17845543436</v>
      </c>
      <c r="AL1667">
        <v>82.049234797715798</v>
      </c>
      <c r="AM1667">
        <v>77.536875019014502</v>
      </c>
      <c r="AN1667">
        <v>0.99999997763325399</v>
      </c>
    </row>
    <row r="1668" spans="1:40" x14ac:dyDescent="0.25">
      <c r="A1668" t="str">
        <f>"20190303161907656"</f>
        <v>20190303161907656</v>
      </c>
      <c r="B1668" t="str">
        <f>"1551601147643704"</f>
        <v>1551601147643704</v>
      </c>
      <c r="C1668" t="s">
        <v>40</v>
      </c>
      <c r="D1668">
        <v>4.788964</v>
      </c>
      <c r="E1668">
        <v>0.58356039999999998</v>
      </c>
      <c r="F1668" t="s">
        <v>46</v>
      </c>
      <c r="G1668">
        <v>-194.94239999999999</v>
      </c>
      <c r="H1668" s="1">
        <v>-5.2737180000000001E-6</v>
      </c>
      <c r="I1668">
        <v>357.25389999999999</v>
      </c>
      <c r="J1668">
        <v>-215.60720000000001</v>
      </c>
      <c r="K1668">
        <v>1.1209279999999999</v>
      </c>
      <c r="L1668">
        <v>367.50479999999999</v>
      </c>
      <c r="M1668">
        <v>0.99941959999999996</v>
      </c>
      <c r="N1668">
        <v>-1.3843050000000001E-2</v>
      </c>
      <c r="O1668">
        <v>-3.1132099999999999E-2</v>
      </c>
      <c r="P1668">
        <v>0.96073489999999995</v>
      </c>
      <c r="Q1668">
        <v>0.12523879999999901</v>
      </c>
      <c r="R1668">
        <v>-0.24759639999999999</v>
      </c>
      <c r="S1668">
        <v>2.7904819999999999</v>
      </c>
      <c r="T1668">
        <v>-0.15065429999999999</v>
      </c>
      <c r="U1668">
        <v>-1.3782350000000001</v>
      </c>
      <c r="V1668">
        <v>0.21780040000000001</v>
      </c>
      <c r="W1668">
        <v>0.13825409999999999</v>
      </c>
      <c r="X1668">
        <v>0.96615150000000005</v>
      </c>
      <c r="Y1668">
        <v>0.41409499999999999</v>
      </c>
      <c r="Z1668">
        <v>-1.241015E-2</v>
      </c>
      <c r="AA1668">
        <v>0.91014910000000004</v>
      </c>
      <c r="AB1668">
        <v>15</v>
      </c>
      <c r="AC1668">
        <v>20.6648</v>
      </c>
      <c r="AD1668">
        <v>-1.120933273718</v>
      </c>
      <c r="AE1668">
        <v>-10.2509</v>
      </c>
      <c r="AF1668">
        <v>9.57990887846608</v>
      </c>
      <c r="AG1668">
        <v>-1.120933273718</v>
      </c>
      <c r="AH1668">
        <v>20.924534544407599</v>
      </c>
      <c r="AI1668">
        <v>92.788565678222497</v>
      </c>
      <c r="AJ1668">
        <v>65.400206006765998</v>
      </c>
      <c r="AK1668">
        <v>23.040557532836502</v>
      </c>
      <c r="AL1668">
        <v>82.053168612037297</v>
      </c>
      <c r="AM1668">
        <v>77.296119691919202</v>
      </c>
      <c r="AN1668">
        <v>0.99999996567960903</v>
      </c>
    </row>
    <row r="1669" spans="1:40" x14ac:dyDescent="0.25">
      <c r="A1669" t="str">
        <f>"20190303161907670"</f>
        <v>20190303161907670</v>
      </c>
      <c r="B1669" t="str">
        <f>"1551601147654439"</f>
        <v>1551601147654439</v>
      </c>
      <c r="C1669" t="s">
        <v>40</v>
      </c>
      <c r="D1669">
        <v>4.8150219999999999</v>
      </c>
      <c r="E1669">
        <v>0.58357530000000002</v>
      </c>
      <c r="F1669" t="s">
        <v>46</v>
      </c>
      <c r="G1669">
        <v>-195.20509999999999</v>
      </c>
      <c r="H1669" s="1">
        <v>-5.33229799999999E-6</v>
      </c>
      <c r="I1669">
        <v>357.30630000000002</v>
      </c>
      <c r="J1669">
        <v>-215.5154</v>
      </c>
      <c r="K1669">
        <v>1.120895</v>
      </c>
      <c r="L1669">
        <v>367.5009</v>
      </c>
      <c r="M1669">
        <v>0.99939040000000001</v>
      </c>
      <c r="N1669">
        <v>-1.384203E-2</v>
      </c>
      <c r="O1669">
        <v>-3.2051280000000001E-2</v>
      </c>
      <c r="P1669">
        <v>0.95994089999999999</v>
      </c>
      <c r="Q1669">
        <v>0.1252376</v>
      </c>
      <c r="R1669">
        <v>-0.25065769999999998</v>
      </c>
      <c r="S1669">
        <v>2.7839200000000002</v>
      </c>
      <c r="T1669">
        <v>-0.1529539</v>
      </c>
      <c r="U1669">
        <v>-1.391602</v>
      </c>
      <c r="V1669">
        <v>0.22000600000000001</v>
      </c>
      <c r="W1669">
        <v>0.1382244</v>
      </c>
      <c r="X1669">
        <v>0.96565590000000001</v>
      </c>
      <c r="Y1669">
        <v>0.41758709999999999</v>
      </c>
      <c r="Z1669">
        <v>-1.2640429999999999E-2</v>
      </c>
      <c r="AA1669">
        <v>0.90854900000000005</v>
      </c>
      <c r="AB1669">
        <v>15</v>
      </c>
      <c r="AC1669">
        <v>20.310300000000002</v>
      </c>
      <c r="AD1669">
        <v>-1.120900332298</v>
      </c>
      <c r="AE1669">
        <v>-10.1945999999999</v>
      </c>
      <c r="AF1669">
        <v>9.5151787864317807</v>
      </c>
      <c r="AG1669">
        <v>-1.120900332298</v>
      </c>
      <c r="AH1669">
        <v>20.576584584919001</v>
      </c>
      <c r="AI1669">
        <v>92.830624282773996</v>
      </c>
      <c r="AJ1669">
        <v>65.182880222718595</v>
      </c>
      <c r="AK1669">
        <v>22.697816592637999</v>
      </c>
      <c r="AL1669">
        <v>82.054886835768698</v>
      </c>
      <c r="AM1669">
        <v>77.165341695694494</v>
      </c>
      <c r="AN1669">
        <v>0.99999997099808402</v>
      </c>
    </row>
    <row r="1670" spans="1:40" x14ac:dyDescent="0.25">
      <c r="A1670" t="str">
        <f>"20190303161907680"</f>
        <v>20190303161907680</v>
      </c>
      <c r="B1670" t="str">
        <f>"1551601147673960"</f>
        <v>1551601147673960</v>
      </c>
      <c r="C1670" t="s">
        <v>40</v>
      </c>
      <c r="D1670">
        <v>4.7787689999999996</v>
      </c>
      <c r="E1670">
        <v>0.58367230000000003</v>
      </c>
      <c r="F1670" t="s">
        <v>46</v>
      </c>
      <c r="G1670">
        <v>-195.27520000000001</v>
      </c>
      <c r="H1670" s="1">
        <v>-5.3436279999999999E-6</v>
      </c>
      <c r="I1670">
        <v>357.30739999999997</v>
      </c>
      <c r="J1670">
        <v>-215.43559999999999</v>
      </c>
      <c r="K1670">
        <v>1.120868</v>
      </c>
      <c r="L1670">
        <v>367.4973</v>
      </c>
      <c r="M1670">
        <v>0.99936340000000001</v>
      </c>
      <c r="N1670">
        <v>-1.3841269999999999E-2</v>
      </c>
      <c r="O1670">
        <v>-3.2881710000000001E-2</v>
      </c>
      <c r="P1670">
        <v>0.95923930000000002</v>
      </c>
      <c r="Q1670">
        <v>0.12451280000000001</v>
      </c>
      <c r="R1670">
        <v>-0.25368649999999998</v>
      </c>
      <c r="S1670">
        <v>2.7797239999999999</v>
      </c>
      <c r="T1670">
        <v>-0.15394099999999999</v>
      </c>
      <c r="U1670">
        <v>-1.3999330000000001</v>
      </c>
      <c r="V1670">
        <v>0.22226029999999999</v>
      </c>
      <c r="W1670">
        <v>0.1374735</v>
      </c>
      <c r="X1670">
        <v>0.96524679999999996</v>
      </c>
      <c r="Y1670">
        <v>0.41954419999999998</v>
      </c>
      <c r="Z1670">
        <v>-1.2740929999999999E-2</v>
      </c>
      <c r="AA1670">
        <v>0.90764549999999999</v>
      </c>
      <c r="AB1670">
        <v>15</v>
      </c>
      <c r="AC1670">
        <v>20.1603999999999</v>
      </c>
      <c r="AD1670">
        <v>-1.1208733436280001</v>
      </c>
      <c r="AE1670">
        <v>-10.1899</v>
      </c>
      <c r="AF1670">
        <v>9.4980315867230694</v>
      </c>
      <c r="AG1670">
        <v>-1.1208733436280001</v>
      </c>
      <c r="AH1670">
        <v>20.434278102101601</v>
      </c>
      <c r="AI1670">
        <v>92.847651629764499</v>
      </c>
      <c r="AJ1670">
        <v>65.070581950355503</v>
      </c>
      <c r="AK1670">
        <v>22.5616640039886</v>
      </c>
      <c r="AL1670">
        <v>82.098325118184405</v>
      </c>
      <c r="AM1670">
        <v>77.032942866749707</v>
      </c>
      <c r="AN1670">
        <v>0.99999999453429</v>
      </c>
    </row>
    <row r="1671" spans="1:40" x14ac:dyDescent="0.25">
      <c r="A1671" t="str">
        <f>"20190303161907693"</f>
        <v>20190303161907693</v>
      </c>
      <c r="B1671" t="str">
        <f>"1551601147683721"</f>
        <v>1551601147683721</v>
      </c>
      <c r="C1671" t="s">
        <v>40</v>
      </c>
      <c r="D1671">
        <v>4.7774179999999999</v>
      </c>
      <c r="E1671">
        <v>0.58370699999999998</v>
      </c>
      <c r="F1671" t="s">
        <v>46</v>
      </c>
      <c r="G1671">
        <v>-195.52330000000001</v>
      </c>
      <c r="H1671" s="1">
        <v>-5.4101309999999999E-6</v>
      </c>
      <c r="I1671">
        <v>357.3904</v>
      </c>
      <c r="J1671">
        <v>-215.35230000000001</v>
      </c>
      <c r="K1671">
        <v>1.1208359999999999</v>
      </c>
      <c r="L1671">
        <v>367.49349999999998</v>
      </c>
      <c r="M1671">
        <v>0.99933349999999999</v>
      </c>
      <c r="N1671">
        <v>-1.384061E-2</v>
      </c>
      <c r="O1671">
        <v>-3.378142E-2</v>
      </c>
      <c r="P1671">
        <v>0.95853489999999997</v>
      </c>
      <c r="Q1671">
        <v>0.1239508</v>
      </c>
      <c r="R1671">
        <v>-0.25660769999999999</v>
      </c>
      <c r="S1671">
        <v>2.775223</v>
      </c>
      <c r="T1671">
        <v>-0.1562183</v>
      </c>
      <c r="U1671">
        <v>-1.4086299999999901</v>
      </c>
      <c r="V1671">
        <v>0.22434180000000001</v>
      </c>
      <c r="W1671">
        <v>0.1368859</v>
      </c>
      <c r="X1671">
        <v>0.9648487</v>
      </c>
      <c r="Y1671">
        <v>0.4215622</v>
      </c>
      <c r="Z1671">
        <v>-1.2919190000000001E-2</v>
      </c>
      <c r="AA1671">
        <v>0.9067075</v>
      </c>
      <c r="AB1671">
        <v>15</v>
      </c>
      <c r="AC1671">
        <v>19.829000000000001</v>
      </c>
      <c r="AD1671">
        <v>-1.120841410131</v>
      </c>
      <c r="AE1671">
        <v>-10.1030999999999</v>
      </c>
      <c r="AF1671">
        <v>9.4035634600549702</v>
      </c>
      <c r="AG1671">
        <v>-1.120841410131</v>
      </c>
      <c r="AH1671">
        <v>20.108003924086098</v>
      </c>
      <c r="AI1671">
        <v>92.890552912940393</v>
      </c>
      <c r="AJ1671">
        <v>64.936729075409403</v>
      </c>
      <c r="AK1671">
        <v>22.2264507518634</v>
      </c>
      <c r="AL1671">
        <v>82.132313508428396</v>
      </c>
      <c r="AM1671">
        <v>76.910451597069397</v>
      </c>
      <c r="AN1671">
        <v>1.0000000033688601</v>
      </c>
    </row>
    <row r="1672" spans="1:40" x14ac:dyDescent="0.25">
      <c r="A1672" t="str">
        <f>"20190303161907704"</f>
        <v>20190303161907704</v>
      </c>
      <c r="B1672" t="str">
        <f>"1551601147694456"</f>
        <v>1551601147694456</v>
      </c>
      <c r="C1672" t="s">
        <v>40</v>
      </c>
      <c r="D1672">
        <v>4.8067599999999997</v>
      </c>
      <c r="E1672">
        <v>0.58371589999999995</v>
      </c>
      <c r="F1672" t="s">
        <v>46</v>
      </c>
      <c r="G1672">
        <v>-195.65889999999999</v>
      </c>
      <c r="H1672" s="1">
        <v>-5.4428089999999901E-6</v>
      </c>
      <c r="I1672">
        <v>357.42469999999997</v>
      </c>
      <c r="J1672">
        <v>-215.2697</v>
      </c>
      <c r="K1672">
        <v>1.1208039999999999</v>
      </c>
      <c r="L1672">
        <v>367.48970000000003</v>
      </c>
      <c r="M1672">
        <v>0.99930240000000004</v>
      </c>
      <c r="N1672">
        <v>-1.383999E-2</v>
      </c>
      <c r="O1672">
        <v>-3.4689709999999999E-2</v>
      </c>
      <c r="P1672">
        <v>0.95783010000000002</v>
      </c>
      <c r="Q1672">
        <v>0.1233766</v>
      </c>
      <c r="R1672">
        <v>-0.25950000000000001</v>
      </c>
      <c r="S1672">
        <v>2.7709199999999998</v>
      </c>
      <c r="T1672">
        <v>-0.15770600000000001</v>
      </c>
      <c r="U1672">
        <v>-1.4167179999999999</v>
      </c>
      <c r="V1672">
        <v>0.22638630000000001</v>
      </c>
      <c r="W1672">
        <v>0.13628599999999999</v>
      </c>
      <c r="X1672">
        <v>0.96445599999999998</v>
      </c>
      <c r="Y1672">
        <v>0.42339169999999998</v>
      </c>
      <c r="Z1672">
        <v>-1.3043300000000001E-2</v>
      </c>
      <c r="AA1672">
        <v>0.90585289999999996</v>
      </c>
      <c r="AB1672">
        <v>15</v>
      </c>
      <c r="AC1672">
        <v>19.610800000000001</v>
      </c>
      <c r="AD1672">
        <v>-1.1208094428090001</v>
      </c>
      <c r="AE1672">
        <v>-10.065</v>
      </c>
      <c r="AF1672">
        <v>9.3543981148318291</v>
      </c>
      <c r="AG1672">
        <v>-1.1208094428090001</v>
      </c>
      <c r="AH1672">
        <v>19.8967389262464</v>
      </c>
      <c r="AI1672">
        <v>92.918314186236699</v>
      </c>
      <c r="AJ1672">
        <v>64.819563135644898</v>
      </c>
      <c r="AK1672">
        <v>22.014567853970402</v>
      </c>
      <c r="AL1672">
        <v>82.167010417962999</v>
      </c>
      <c r="AM1672">
        <v>76.790135661942799</v>
      </c>
      <c r="AN1672">
        <v>1.00000000327984</v>
      </c>
    </row>
    <row r="1673" spans="1:40" x14ac:dyDescent="0.25">
      <c r="A1673" t="str">
        <f>"20190303161907716"</f>
        <v>20190303161907716</v>
      </c>
      <c r="B1673" t="str">
        <f>"1551601147704216"</f>
        <v>1551601147704216</v>
      </c>
      <c r="C1673" t="s">
        <v>40</v>
      </c>
      <c r="D1673">
        <v>4.8002739999999999</v>
      </c>
      <c r="E1673">
        <v>0.58365739999999999</v>
      </c>
      <c r="F1673" t="s">
        <v>46</v>
      </c>
      <c r="G1673">
        <v>-195.81100000000001</v>
      </c>
      <c r="H1673" s="1">
        <v>-5.48164599999999E-6</v>
      </c>
      <c r="I1673">
        <v>357.46980000000002</v>
      </c>
      <c r="J1673">
        <v>-215.1893</v>
      </c>
      <c r="K1673">
        <v>1.120779</v>
      </c>
      <c r="L1673">
        <v>367.48579999999998</v>
      </c>
      <c r="M1673">
        <v>0.99926959999999998</v>
      </c>
      <c r="N1673">
        <v>-1.3839539999999999E-2</v>
      </c>
      <c r="O1673">
        <v>-3.5619030000000003E-2</v>
      </c>
      <c r="P1673">
        <v>0.95715839999999996</v>
      </c>
      <c r="Q1673">
        <v>0.1227475</v>
      </c>
      <c r="R1673">
        <v>-0.26226169999999999</v>
      </c>
      <c r="S1673">
        <v>2.7666469999999999</v>
      </c>
      <c r="T1673">
        <v>-0.15935769999999999</v>
      </c>
      <c r="U1673">
        <v>-1.424652</v>
      </c>
      <c r="V1673">
        <v>0.2282786</v>
      </c>
      <c r="W1673">
        <v>0.13563310000000001</v>
      </c>
      <c r="X1673">
        <v>0.96410189999999996</v>
      </c>
      <c r="Y1673">
        <v>0.42515599999999998</v>
      </c>
      <c r="Z1673">
        <v>-1.317434E-2</v>
      </c>
      <c r="AA1673">
        <v>0.90502419999999995</v>
      </c>
      <c r="AB1673">
        <v>15</v>
      </c>
      <c r="AC1673">
        <v>19.378299999999999</v>
      </c>
      <c r="AD1673">
        <v>-1.120784481646</v>
      </c>
      <c r="AE1673">
        <v>-10.015999999999901</v>
      </c>
      <c r="AF1673">
        <v>9.2948034950520597</v>
      </c>
      <c r="AG1673">
        <v>-1.120784481646</v>
      </c>
      <c r="AH1673">
        <v>19.670866594821302</v>
      </c>
      <c r="AI1673">
        <v>92.949008774697006</v>
      </c>
      <c r="AJ1673">
        <v>64.708505965558004</v>
      </c>
      <c r="AK1673">
        <v>21.785144536063701</v>
      </c>
      <c r="AL1673">
        <v>82.204769150829904</v>
      </c>
      <c r="AM1673">
        <v>76.678919630972402</v>
      </c>
      <c r="AN1673">
        <v>0.99999996530858903</v>
      </c>
    </row>
    <row r="1674" spans="1:40" x14ac:dyDescent="0.25">
      <c r="A1674" t="str">
        <f>"20190303161907728"</f>
        <v>20190303161907728</v>
      </c>
      <c r="B1674" t="str">
        <f>"1551601147713976"</f>
        <v>1551601147713976</v>
      </c>
      <c r="C1674" t="s">
        <v>40</v>
      </c>
      <c r="D1674">
        <v>4.774025</v>
      </c>
      <c r="E1674">
        <v>0.58371450000000003</v>
      </c>
      <c r="F1674" t="s">
        <v>46</v>
      </c>
      <c r="G1674">
        <v>-196.00020000000001</v>
      </c>
      <c r="H1674" s="1">
        <v>-5.5354329999999998E-6</v>
      </c>
      <c r="I1674">
        <v>357.5421</v>
      </c>
      <c r="J1674">
        <v>-215.10929999999999</v>
      </c>
      <c r="K1674">
        <v>1.120754</v>
      </c>
      <c r="L1674">
        <v>367.4819</v>
      </c>
      <c r="M1674">
        <v>0.99923589999999995</v>
      </c>
      <c r="N1674">
        <v>-1.383908E-2</v>
      </c>
      <c r="O1674">
        <v>-3.6557880000000001E-2</v>
      </c>
      <c r="P1674">
        <v>0.95637689999999997</v>
      </c>
      <c r="Q1674">
        <v>0.12289120000000001</v>
      </c>
      <c r="R1674">
        <v>-0.26503100000000002</v>
      </c>
      <c r="S1674">
        <v>2.7626949999999999</v>
      </c>
      <c r="T1674">
        <v>-0.16136130000000001</v>
      </c>
      <c r="U1674">
        <v>-1.43161</v>
      </c>
      <c r="V1674">
        <v>0.23017560000000001</v>
      </c>
      <c r="W1674">
        <v>0.13575209999999999</v>
      </c>
      <c r="X1674">
        <v>0.96363399999999999</v>
      </c>
      <c r="Y1674">
        <v>0.42661320000000003</v>
      </c>
      <c r="Z1674">
        <v>-1.331509E-2</v>
      </c>
      <c r="AA1674">
        <v>0.90433620000000003</v>
      </c>
      <c r="AB1674">
        <v>15</v>
      </c>
      <c r="AC1674">
        <v>19.109099999999899</v>
      </c>
      <c r="AD1674">
        <v>-1.120759535433</v>
      </c>
      <c r="AE1674">
        <v>-9.9397999999999893</v>
      </c>
      <c r="AF1674">
        <v>9.2095657280701602</v>
      </c>
      <c r="AG1674">
        <v>-1.120759535433</v>
      </c>
      <c r="AH1674">
        <v>19.4071942215806</v>
      </c>
      <c r="AI1674">
        <v>92.986597305069196</v>
      </c>
      <c r="AJ1674">
        <v>64.613607293236299</v>
      </c>
      <c r="AK1674">
        <v>21.510727332892799</v>
      </c>
      <c r="AL1674">
        <v>82.197887282218602</v>
      </c>
      <c r="AM1674">
        <v>76.565930971620702</v>
      </c>
      <c r="AN1674">
        <v>0.99999996272288405</v>
      </c>
    </row>
    <row r="1675" spans="1:40" x14ac:dyDescent="0.25">
      <c r="A1675" t="str">
        <f>"20190303161907740"</f>
        <v>20190303161907740</v>
      </c>
      <c r="B1675" t="str">
        <f>"1551601147734472"</f>
        <v>1551601147734472</v>
      </c>
      <c r="C1675" t="s">
        <v>40</v>
      </c>
      <c r="D1675">
        <v>4.7757829999999997</v>
      </c>
      <c r="E1675">
        <v>0.58346969999999898</v>
      </c>
      <c r="F1675" t="s">
        <v>46</v>
      </c>
      <c r="G1675">
        <v>-195.7998</v>
      </c>
      <c r="H1675" s="1">
        <v>-5.4584119999999996E-6</v>
      </c>
      <c r="I1675">
        <v>357.40559999999999</v>
      </c>
      <c r="J1675">
        <v>-215.0249</v>
      </c>
      <c r="K1675">
        <v>1.1207309999999999</v>
      </c>
      <c r="L1675">
        <v>367.4776</v>
      </c>
      <c r="M1675">
        <v>0.99919780000000002</v>
      </c>
      <c r="N1675">
        <v>-1.3838629999999999E-2</v>
      </c>
      <c r="O1675">
        <v>-3.7583030000000003E-2</v>
      </c>
      <c r="P1675">
        <v>0.95555540000000005</v>
      </c>
      <c r="Q1675">
        <v>0.1232721</v>
      </c>
      <c r="R1675">
        <v>-0.26780279999999901</v>
      </c>
      <c r="S1675">
        <v>2.7585139999999999</v>
      </c>
      <c r="T1675">
        <v>-0.16010929999999901</v>
      </c>
      <c r="U1675">
        <v>-1.439484</v>
      </c>
      <c r="V1675">
        <v>0.2319946</v>
      </c>
      <c r="W1675">
        <v>0.13610829999999999</v>
      </c>
      <c r="X1675">
        <v>0.96314750000000005</v>
      </c>
      <c r="Y1675">
        <v>0.42828240000000001</v>
      </c>
      <c r="Z1675">
        <v>-1.3264099999999999E-2</v>
      </c>
      <c r="AA1675">
        <v>0.90354760000000001</v>
      </c>
      <c r="AB1675">
        <v>15</v>
      </c>
      <c r="AC1675">
        <v>19.225100000000001</v>
      </c>
      <c r="AD1675">
        <v>-1.1207364584120001</v>
      </c>
      <c r="AE1675">
        <v>-10.071999999999999</v>
      </c>
      <c r="AF1675">
        <v>9.3174313760393908</v>
      </c>
      <c r="AG1675">
        <v>-1.1207364584120001</v>
      </c>
      <c r="AH1675">
        <v>19.537989617260699</v>
      </c>
      <c r="AI1675">
        <v>92.963887150871798</v>
      </c>
      <c r="AJ1675">
        <v>64.504089251319698</v>
      </c>
      <c r="AK1675">
        <v>21.6749536548663</v>
      </c>
      <c r="AL1675">
        <v>82.177287895402799</v>
      </c>
      <c r="AM1675">
        <v>76.457072598063206</v>
      </c>
      <c r="AN1675">
        <v>1.0000000352571401</v>
      </c>
    </row>
    <row r="1676" spans="1:40" x14ac:dyDescent="0.25">
      <c r="A1676" t="str">
        <f>"20190303161907753"</f>
        <v>20190303161907753</v>
      </c>
      <c r="B1676" t="str">
        <f>"1551601147744231"</f>
        <v>1551601147744231</v>
      </c>
      <c r="C1676" t="s">
        <v>40</v>
      </c>
      <c r="D1676">
        <v>4.7810600000000001</v>
      </c>
      <c r="E1676">
        <v>0.58334830000000004</v>
      </c>
      <c r="F1676" t="s">
        <v>46</v>
      </c>
      <c r="G1676">
        <v>-195.7594</v>
      </c>
      <c r="H1676" s="1">
        <v>-5.441704E-6</v>
      </c>
      <c r="I1676">
        <v>357.37450000000001</v>
      </c>
      <c r="J1676">
        <v>-214.93469999999999</v>
      </c>
      <c r="K1676">
        <v>1.120711</v>
      </c>
      <c r="L1676">
        <v>367.47289999999998</v>
      </c>
      <c r="M1676">
        <v>0.99915489999999996</v>
      </c>
      <c r="N1676">
        <v>-1.3838130000000001E-2</v>
      </c>
      <c r="O1676">
        <v>-3.8706839999999999E-2</v>
      </c>
      <c r="P1676">
        <v>0.95459959999999999</v>
      </c>
      <c r="Q1676">
        <v>0.1239874</v>
      </c>
      <c r="R1676">
        <v>-0.27086349999999998</v>
      </c>
      <c r="S1676">
        <v>2.75528</v>
      </c>
      <c r="T1676">
        <v>-0.16028399999999901</v>
      </c>
      <c r="U1676">
        <v>-1.4449160000000001</v>
      </c>
      <c r="V1676">
        <v>0.23401369999999999</v>
      </c>
      <c r="W1676">
        <v>0.136798</v>
      </c>
      <c r="X1676">
        <v>0.96256109999999995</v>
      </c>
      <c r="Y1676">
        <v>0.42909710000000001</v>
      </c>
      <c r="Z1676">
        <v>-1.3263540000000001E-2</v>
      </c>
      <c r="AA1676">
        <v>0.90316099999999999</v>
      </c>
      <c r="AB1676">
        <v>15</v>
      </c>
      <c r="AC1676">
        <v>19.1753</v>
      </c>
      <c r="AD1676">
        <v>-1.1207164417039901</v>
      </c>
      <c r="AE1676">
        <v>-10.0983999999999</v>
      </c>
      <c r="AF1676">
        <v>9.3236111614030008</v>
      </c>
      <c r="AG1676">
        <v>-1.1207164417039901</v>
      </c>
      <c r="AH1676">
        <v>19.499695320936699</v>
      </c>
      <c r="AI1676">
        <v>92.968199928632401</v>
      </c>
      <c r="AJ1676">
        <v>64.445607044582502</v>
      </c>
      <c r="AK1676">
        <v>21.643101627102901</v>
      </c>
      <c r="AL1676">
        <v>82.137397512049503</v>
      </c>
      <c r="AM1676">
        <v>76.335593414595905</v>
      </c>
      <c r="AN1676">
        <v>0.99999998791244904</v>
      </c>
    </row>
    <row r="1677" spans="1:40" x14ac:dyDescent="0.25">
      <c r="A1677" t="str">
        <f>"20190303161907768"</f>
        <v>20190303161907768</v>
      </c>
      <c r="B1677" t="str">
        <f>"1551601147753992"</f>
        <v>1551601147753992</v>
      </c>
      <c r="C1677" t="s">
        <v>40</v>
      </c>
      <c r="D1677">
        <v>4.7472940000000001</v>
      </c>
      <c r="E1677">
        <v>0.5832849</v>
      </c>
      <c r="F1677" t="s">
        <v>46</v>
      </c>
      <c r="G1677">
        <v>-195.5008</v>
      </c>
      <c r="H1677" s="1">
        <v>-5.3466409999999901E-6</v>
      </c>
      <c r="I1677">
        <v>357.21120000000002</v>
      </c>
      <c r="J1677">
        <v>-214.8338</v>
      </c>
      <c r="K1677">
        <v>1.120698</v>
      </c>
      <c r="L1677">
        <v>367.4676</v>
      </c>
      <c r="M1677">
        <v>0.9991042</v>
      </c>
      <c r="N1677">
        <v>-1.3837500000000001E-2</v>
      </c>
      <c r="O1677">
        <v>-3.9991680000000002E-2</v>
      </c>
      <c r="P1677">
        <v>0.95303930000000003</v>
      </c>
      <c r="Q1677">
        <v>0.12571570000000001</v>
      </c>
      <c r="R1677">
        <v>-0.27552019999999999</v>
      </c>
      <c r="S1677">
        <v>2.751099</v>
      </c>
      <c r="T1677">
        <v>-0.15865029999999999</v>
      </c>
      <c r="U1677">
        <v>-1.4526669999999999</v>
      </c>
      <c r="V1677">
        <v>0.23749980000000001</v>
      </c>
      <c r="W1677">
        <v>0.13849069999999999</v>
      </c>
      <c r="X1677">
        <v>0.9614646</v>
      </c>
      <c r="Y1677">
        <v>0.43050240000000001</v>
      </c>
      <c r="Z1677">
        <v>-1.3170309999999999E-2</v>
      </c>
      <c r="AA1677">
        <v>0.9024934</v>
      </c>
      <c r="AB1677">
        <v>15</v>
      </c>
      <c r="AC1677">
        <v>19.332999999999998</v>
      </c>
      <c r="AD1677">
        <v>-1.1207033466409999</v>
      </c>
      <c r="AE1677">
        <v>-10.2563999999999</v>
      </c>
      <c r="AF1677">
        <v>9.4501790041941707</v>
      </c>
      <c r="AG1677">
        <v>-1.1207033466409999</v>
      </c>
      <c r="AH1677">
        <v>19.676143956369501</v>
      </c>
      <c r="AI1677">
        <v>92.939141440406402</v>
      </c>
      <c r="AJ1677">
        <v>64.345671578015498</v>
      </c>
      <c r="AK1677">
        <v>21.856635152608899</v>
      </c>
      <c r="AL1677">
        <v>82.039481055795804</v>
      </c>
      <c r="AM1677">
        <v>76.124633259485407</v>
      </c>
      <c r="AN1677">
        <v>1.0000000030198399</v>
      </c>
    </row>
    <row r="1678" spans="1:40" x14ac:dyDescent="0.25">
      <c r="A1678" t="str">
        <f>"20190303161907783"</f>
        <v>20190303161907783</v>
      </c>
      <c r="B1678" t="str">
        <f>"1551601147774488"</f>
        <v>1551601147774488</v>
      </c>
      <c r="C1678" t="s">
        <v>40</v>
      </c>
      <c r="D1678">
        <v>4.7036959999999999</v>
      </c>
      <c r="E1678">
        <v>0.58313899999999996</v>
      </c>
      <c r="F1678" t="s">
        <v>46</v>
      </c>
      <c r="G1678">
        <v>-194.79259999999999</v>
      </c>
      <c r="H1678" s="1">
        <v>-5.0292759999999996E-6</v>
      </c>
      <c r="I1678">
        <v>356.76519999999999</v>
      </c>
      <c r="J1678">
        <v>-214.73050000000001</v>
      </c>
      <c r="K1678">
        <v>1.1206830000000001</v>
      </c>
      <c r="L1678">
        <v>367.46179999999998</v>
      </c>
      <c r="M1678">
        <v>0.99904950000000003</v>
      </c>
      <c r="N1678">
        <v>-1.383676E-2</v>
      </c>
      <c r="O1678">
        <v>-4.1339250000000001E-2</v>
      </c>
      <c r="P1678">
        <v>0.95216710000000004</v>
      </c>
      <c r="Q1678">
        <v>0.1261777</v>
      </c>
      <c r="R1678">
        <v>-0.278312</v>
      </c>
      <c r="S1678">
        <v>2.7443849999999999</v>
      </c>
      <c r="T1678">
        <v>-0.15346589999999999</v>
      </c>
      <c r="U1678">
        <v>-1.465546</v>
      </c>
      <c r="V1678">
        <v>0.23903240000000001</v>
      </c>
      <c r="W1678">
        <v>0.13893269999999999</v>
      </c>
      <c r="X1678">
        <v>0.96102089999999996</v>
      </c>
      <c r="Y1678">
        <v>0.43352940000000001</v>
      </c>
      <c r="Z1678">
        <v>-1.292278E-2</v>
      </c>
      <c r="AA1678">
        <v>0.90104680000000004</v>
      </c>
      <c r="AB1678">
        <v>15</v>
      </c>
      <c r="AC1678">
        <v>19.937899999999999</v>
      </c>
      <c r="AD1678">
        <v>-1.120688029276</v>
      </c>
      <c r="AE1678">
        <v>-10.696599999999901</v>
      </c>
      <c r="AF1678">
        <v>9.8390196404382806</v>
      </c>
      <c r="AG1678">
        <v>-1.120688029276</v>
      </c>
      <c r="AH1678">
        <v>20.3132501258319</v>
      </c>
      <c r="AI1678">
        <v>92.8425407405378</v>
      </c>
      <c r="AJ1678">
        <v>64.156094245051193</v>
      </c>
      <c r="AK1678">
        <v>22.598459678006801</v>
      </c>
      <c r="AL1678">
        <v>82.013908901438697</v>
      </c>
      <c r="AM1678">
        <v>76.032393012711097</v>
      </c>
      <c r="AN1678">
        <v>0.99999997680792896</v>
      </c>
    </row>
    <row r="1679" spans="1:40" x14ac:dyDescent="0.25">
      <c r="A1679" t="str">
        <f>"20190303161907796"</f>
        <v>20190303161907796</v>
      </c>
      <c r="B1679" t="str">
        <f>"1551601147784248"</f>
        <v>1551601147784248</v>
      </c>
      <c r="C1679" t="s">
        <v>40</v>
      </c>
      <c r="D1679">
        <v>4.7111499999999999</v>
      </c>
      <c r="E1679">
        <v>0.58322099999999999</v>
      </c>
      <c r="F1679" t="s">
        <v>46</v>
      </c>
      <c r="G1679">
        <v>-194.24690000000001</v>
      </c>
      <c r="H1679" s="1">
        <v>-4.7653099999999998E-6</v>
      </c>
      <c r="I1679">
        <v>356.45830000000001</v>
      </c>
      <c r="J1679">
        <v>-214.63919999999999</v>
      </c>
      <c r="K1679">
        <v>1.120676</v>
      </c>
      <c r="L1679">
        <v>367.45659999999998</v>
      </c>
      <c r="M1679">
        <v>0.99899830000000001</v>
      </c>
      <c r="N1679">
        <v>-1.383593E-2</v>
      </c>
      <c r="O1679">
        <v>-4.255685E-2</v>
      </c>
      <c r="P1679">
        <v>0.95139289999999999</v>
      </c>
      <c r="Q1679">
        <v>0.12658039999999901</v>
      </c>
      <c r="R1679">
        <v>-0.28076600000000002</v>
      </c>
      <c r="S1679">
        <v>2.7402799999999998</v>
      </c>
      <c r="T1679">
        <v>-0.149925</v>
      </c>
      <c r="U1679">
        <v>-1.472046</v>
      </c>
      <c r="V1679">
        <v>0.24034730000000001</v>
      </c>
      <c r="W1679">
        <v>0.139320899999999</v>
      </c>
      <c r="X1679">
        <v>0.96063670000000001</v>
      </c>
      <c r="Y1679">
        <v>0.43467630000000002</v>
      </c>
      <c r="Z1679">
        <v>-1.271105E-2</v>
      </c>
      <c r="AA1679">
        <v>0.90049709999999905</v>
      </c>
      <c r="AB1679">
        <v>15</v>
      </c>
      <c r="AC1679">
        <v>20.392299999999899</v>
      </c>
      <c r="AD1679">
        <v>-1.1206807653099999</v>
      </c>
      <c r="AE1679">
        <v>-10.998299999999899</v>
      </c>
      <c r="AF1679">
        <v>10.096796451943799</v>
      </c>
      <c r="AG1679">
        <v>-1.1206807653099999</v>
      </c>
      <c r="AH1679">
        <v>20.793271521351301</v>
      </c>
      <c r="AI1679">
        <v>92.775682697717002</v>
      </c>
      <c r="AJ1679">
        <v>64.099718406435002</v>
      </c>
      <c r="AK1679">
        <v>23.142198783399099</v>
      </c>
      <c r="AL1679">
        <v>81.991448455566598</v>
      </c>
      <c r="AM1679">
        <v>75.953196602636297</v>
      </c>
      <c r="AN1679">
        <v>1.0000000035904899</v>
      </c>
    </row>
    <row r="1680" spans="1:40" x14ac:dyDescent="0.25">
      <c r="A1680" t="str">
        <f>"20190303161907810"</f>
        <v>20190303161907810</v>
      </c>
      <c r="B1680" t="str">
        <f>"1551601147803768"</f>
        <v>1551601147803768</v>
      </c>
      <c r="C1680" t="s">
        <v>40</v>
      </c>
      <c r="D1680">
        <v>4.7175039999999999</v>
      </c>
      <c r="E1680">
        <v>0.58326579999999995</v>
      </c>
      <c r="F1680" t="s">
        <v>46</v>
      </c>
      <c r="G1680">
        <v>-193.90600000000001</v>
      </c>
      <c r="H1680" s="1">
        <v>-4.5911089999999996E-6</v>
      </c>
      <c r="I1680">
        <v>356.2466</v>
      </c>
      <c r="J1680">
        <v>-214.5489</v>
      </c>
      <c r="K1680">
        <v>1.120665</v>
      </c>
      <c r="L1680">
        <v>367.45139999999998</v>
      </c>
      <c r="M1680">
        <v>0.99894570000000005</v>
      </c>
      <c r="N1680">
        <v>-1.383498E-2</v>
      </c>
      <c r="O1680">
        <v>-4.377379E-2</v>
      </c>
      <c r="P1680">
        <v>0.95060659999999997</v>
      </c>
      <c r="Q1680">
        <v>0.12675049999999999</v>
      </c>
      <c r="R1680">
        <v>-0.28334029999999999</v>
      </c>
      <c r="S1680">
        <v>2.7363590000000002</v>
      </c>
      <c r="T1680">
        <v>-0.14790699999999901</v>
      </c>
      <c r="U1680">
        <v>-1.479492</v>
      </c>
      <c r="V1680">
        <v>0.24178330000000001</v>
      </c>
      <c r="W1680">
        <v>0.13947809999999999</v>
      </c>
      <c r="X1680">
        <v>0.96025340000000003</v>
      </c>
      <c r="Y1680">
        <v>0.43602800000000003</v>
      </c>
      <c r="Z1680">
        <v>-1.259676E-2</v>
      </c>
      <c r="AA1680">
        <v>0.89984489999999995</v>
      </c>
      <c r="AB1680">
        <v>15</v>
      </c>
      <c r="AC1680">
        <v>20.642900000000001</v>
      </c>
      <c r="AD1680">
        <v>-1.1206695911090001</v>
      </c>
      <c r="AE1680">
        <v>-11.204799999999899</v>
      </c>
      <c r="AF1680">
        <v>10.266980425378099</v>
      </c>
      <c r="AG1680">
        <v>-1.1206695911090001</v>
      </c>
      <c r="AH1680">
        <v>21.065676514051098</v>
      </c>
      <c r="AI1680">
        <v>92.737881548824006</v>
      </c>
      <c r="AJ1680">
        <v>64.016341698804595</v>
      </c>
      <c r="AK1680">
        <v>23.4612342894013</v>
      </c>
      <c r="AL1680">
        <v>81.982352305014302</v>
      </c>
      <c r="AM1680">
        <v>75.8672092042343</v>
      </c>
      <c r="AN1680">
        <v>0.99999994837502804</v>
      </c>
    </row>
    <row r="1681" spans="1:40" x14ac:dyDescent="0.25">
      <c r="A1681" t="str">
        <f>"20190303161907823"</f>
        <v>20190303161907823</v>
      </c>
      <c r="B1681" t="str">
        <f>"1551601147814505"</f>
        <v>1551601147814505</v>
      </c>
      <c r="C1681" t="s">
        <v>40</v>
      </c>
      <c r="D1681">
        <v>4.713978</v>
      </c>
      <c r="E1681">
        <v>0.58323780000000003</v>
      </c>
      <c r="F1681" t="s">
        <v>46</v>
      </c>
      <c r="G1681">
        <v>-193.63749999999999</v>
      </c>
      <c r="H1681" s="1">
        <v>-4.4486869999999997E-6</v>
      </c>
      <c r="I1681">
        <v>356.06869999999998</v>
      </c>
      <c r="J1681">
        <v>-214.45689999999999</v>
      </c>
      <c r="K1681">
        <v>1.120668</v>
      </c>
      <c r="L1681">
        <v>367.44589999999999</v>
      </c>
      <c r="M1681">
        <v>0.99888999999999994</v>
      </c>
      <c r="N1681">
        <v>-1.383387E-2</v>
      </c>
      <c r="O1681">
        <v>-4.5028209999999999E-2</v>
      </c>
      <c r="P1681">
        <v>0.94929030000000003</v>
      </c>
      <c r="Q1681">
        <v>0.12719330000000001</v>
      </c>
      <c r="R1681">
        <v>-0.287524</v>
      </c>
      <c r="S1681">
        <v>2.732132</v>
      </c>
      <c r="T1681">
        <v>-0.14641889999999999</v>
      </c>
      <c r="U1681">
        <v>-1.4871829999999999</v>
      </c>
      <c r="V1681">
        <v>0.2448159</v>
      </c>
      <c r="W1681">
        <v>0.1398993</v>
      </c>
      <c r="X1681">
        <v>0.95942349999999998</v>
      </c>
      <c r="Y1681">
        <v>0.43744480000000002</v>
      </c>
      <c r="Z1681">
        <v>-1.251592E-2</v>
      </c>
      <c r="AA1681">
        <v>0.89915820000000002</v>
      </c>
      <c r="AB1681">
        <v>15</v>
      </c>
      <c r="AC1681">
        <v>20.819400000000002</v>
      </c>
      <c r="AD1681">
        <v>-1.1206724486869999</v>
      </c>
      <c r="AE1681">
        <v>-11.3772</v>
      </c>
      <c r="AF1681">
        <v>10.4048928873276</v>
      </c>
      <c r="AG1681">
        <v>-1.1206724486869999</v>
      </c>
      <c r="AH1681">
        <v>21.263181047661998</v>
      </c>
      <c r="AI1681">
        <v>92.710404323774796</v>
      </c>
      <c r="AJ1681">
        <v>63.925717467806301</v>
      </c>
      <c r="AK1681">
        <v>23.698957171142801</v>
      </c>
      <c r="AL1681">
        <v>81.957981153600997</v>
      </c>
      <c r="AM1681">
        <v>75.685313840198305</v>
      </c>
      <c r="AN1681">
        <v>1.00000004569277</v>
      </c>
    </row>
    <row r="1682" spans="1:40" x14ac:dyDescent="0.25">
      <c r="A1682" t="str">
        <f>"20190303161907839"</f>
        <v>20190303161907839</v>
      </c>
      <c r="B1682" t="str">
        <f>"1551601147834541"</f>
        <v>1551601147834541</v>
      </c>
      <c r="C1682" t="s">
        <v>40</v>
      </c>
      <c r="D1682">
        <v>4.70885</v>
      </c>
      <c r="E1682">
        <v>0.58260000000000001</v>
      </c>
      <c r="F1682" t="s">
        <v>41</v>
      </c>
      <c r="G1682">
        <v>-179.08340000000001</v>
      </c>
      <c r="H1682">
        <v>7.9986360000000006E-2</v>
      </c>
      <c r="I1682">
        <v>347.93430000000001</v>
      </c>
      <c r="J1682">
        <v>-214.3544</v>
      </c>
      <c r="K1682">
        <v>1.1206700000000001</v>
      </c>
      <c r="L1682">
        <v>367.43959999999998</v>
      </c>
      <c r="M1682">
        <v>0.99882530000000003</v>
      </c>
      <c r="N1682">
        <v>-1.383238E-2</v>
      </c>
      <c r="O1682">
        <v>-4.6442039999999997E-2</v>
      </c>
      <c r="P1682">
        <v>0.94824739999999996</v>
      </c>
      <c r="Q1682">
        <v>0.12776870000000001</v>
      </c>
      <c r="R1682">
        <v>-0.29069240000000002</v>
      </c>
      <c r="S1682">
        <v>2.717041</v>
      </c>
      <c r="T1682">
        <v>-7.9934839999999993E-2</v>
      </c>
      <c r="U1682">
        <v>-1.498688</v>
      </c>
      <c r="V1682">
        <v>0.2466691</v>
      </c>
      <c r="W1682">
        <v>0.14046210000000001</v>
      </c>
      <c r="X1682">
        <v>0.95886640000000001</v>
      </c>
      <c r="Y1682">
        <v>0.44156689999999998</v>
      </c>
      <c r="Z1682">
        <v>-8.6517279999999992E-3</v>
      </c>
      <c r="AA1682">
        <v>0.89718659999999995</v>
      </c>
      <c r="AB1682">
        <v>15</v>
      </c>
      <c r="AC1682">
        <v>35.270999999999901</v>
      </c>
      <c r="AD1682">
        <v>-1.0406836399999999</v>
      </c>
      <c r="AE1682">
        <v>-19.505299999999899</v>
      </c>
      <c r="AF1682">
        <v>17.834146034312901</v>
      </c>
      <c r="AG1682">
        <v>-1.0406836399999999</v>
      </c>
      <c r="AH1682">
        <v>36.114810308311803</v>
      </c>
      <c r="AI1682">
        <v>91.480042906455495</v>
      </c>
      <c r="AJ1682">
        <v>63.719007573191597</v>
      </c>
      <c r="AK1682">
        <v>40.291677934991903</v>
      </c>
      <c r="AL1682">
        <v>81.925413222782097</v>
      </c>
      <c r="AM1682">
        <v>75.573428653323901</v>
      </c>
      <c r="AN1682">
        <v>1.0000000097400801</v>
      </c>
    </row>
    <row r="1683" spans="1:40" x14ac:dyDescent="0.25">
      <c r="A1683" t="str">
        <f>"20190303161907851"</f>
        <v>20190303161907851</v>
      </c>
      <c r="B1683" t="str">
        <f>"1551601147844291"</f>
        <v>1551601147844291</v>
      </c>
      <c r="C1683" t="s">
        <v>40</v>
      </c>
      <c r="D1683">
        <v>4.7687850000000003</v>
      </c>
      <c r="E1683">
        <v>0.58260000000000001</v>
      </c>
      <c r="F1683" t="s">
        <v>41</v>
      </c>
      <c r="G1683">
        <v>-179.95779999999999</v>
      </c>
      <c r="H1683">
        <v>2.4591769999999999E-2</v>
      </c>
      <c r="I1683">
        <v>348.40069999999997</v>
      </c>
      <c r="J1683">
        <v>-214.268</v>
      </c>
      <c r="K1683">
        <v>1.1206750000000001</v>
      </c>
      <c r="L1683">
        <v>367.4341</v>
      </c>
      <c r="M1683">
        <v>0.99876889999999996</v>
      </c>
      <c r="N1683">
        <v>-1.383097E-2</v>
      </c>
      <c r="O1683">
        <v>-4.7641389999999999E-2</v>
      </c>
      <c r="P1683">
        <v>0.94733029999999996</v>
      </c>
      <c r="Q1683">
        <v>0.1281361</v>
      </c>
      <c r="R1683">
        <v>-0.29350749999999998</v>
      </c>
      <c r="S1683">
        <v>2.7147220000000001</v>
      </c>
      <c r="T1683">
        <v>-8.6506959999999994E-2</v>
      </c>
      <c r="U1683">
        <v>-1.5026250000000001</v>
      </c>
      <c r="V1683">
        <v>0.2483706</v>
      </c>
      <c r="W1683">
        <v>0.14081949999999999</v>
      </c>
      <c r="X1683">
        <v>0.95837459999999997</v>
      </c>
      <c r="Y1683">
        <v>0.4417798</v>
      </c>
      <c r="Z1683">
        <v>-9.0333859999999992E-3</v>
      </c>
      <c r="AA1683">
        <v>0.89707800000000004</v>
      </c>
      <c r="AB1683">
        <v>15</v>
      </c>
      <c r="AC1683">
        <v>34.310200000000002</v>
      </c>
      <c r="AD1683">
        <v>-1.0960832300000001</v>
      </c>
      <c r="AE1683">
        <v>-19.0334</v>
      </c>
      <c r="AF1683">
        <v>17.3634912845286</v>
      </c>
      <c r="AG1683">
        <v>-1.0960832300000001</v>
      </c>
      <c r="AH1683">
        <v>35.150666038026401</v>
      </c>
      <c r="AI1683">
        <v>91.601428748827701</v>
      </c>
      <c r="AJ1683">
        <v>63.711856762590799</v>
      </c>
      <c r="AK1683">
        <v>39.220677594246901</v>
      </c>
      <c r="AL1683">
        <v>81.904729895071199</v>
      </c>
      <c r="AM1683">
        <v>75.470972670373797</v>
      </c>
      <c r="AN1683">
        <v>0.99999998022488401</v>
      </c>
    </row>
    <row r="1684" spans="1:40" x14ac:dyDescent="0.25">
      <c r="A1684" t="str">
        <f>"20190303161907863"</f>
        <v>20190303161907863</v>
      </c>
      <c r="B1684" t="str">
        <f>"1551601147854052"</f>
        <v>1551601147854052</v>
      </c>
      <c r="C1684" t="s">
        <v>40</v>
      </c>
      <c r="D1684">
        <v>4.8330609999999998</v>
      </c>
      <c r="E1684">
        <v>0.5816732</v>
      </c>
      <c r="F1684" t="s">
        <v>41</v>
      </c>
      <c r="G1684">
        <v>-179.95779999999999</v>
      </c>
      <c r="H1684">
        <v>3.6708310000000001E-2</v>
      </c>
      <c r="I1684">
        <v>348.31079999999997</v>
      </c>
      <c r="J1684">
        <v>-214.1833</v>
      </c>
      <c r="K1684">
        <v>1.120679</v>
      </c>
      <c r="L1684">
        <v>367.42869999999999</v>
      </c>
      <c r="M1684">
        <v>0.99871180000000004</v>
      </c>
      <c r="N1684">
        <v>-1.382946E-2</v>
      </c>
      <c r="O1684">
        <v>-4.882235E-2</v>
      </c>
      <c r="P1684">
        <v>0.94634960000000001</v>
      </c>
      <c r="Q1684">
        <v>0.12865299999999999</v>
      </c>
      <c r="R1684">
        <v>-0.29643019999999998</v>
      </c>
      <c r="S1684">
        <v>2.7103419999999998</v>
      </c>
      <c r="T1684">
        <v>-8.562815E-2</v>
      </c>
      <c r="U1684">
        <v>-1.510651</v>
      </c>
      <c r="V1684">
        <v>0.25020150000000002</v>
      </c>
      <c r="W1684">
        <v>0.14132600000000001</v>
      </c>
      <c r="X1684">
        <v>0.95782369999999994</v>
      </c>
      <c r="Y1684">
        <v>0.4433648</v>
      </c>
      <c r="Z1684">
        <v>-9.0022290000000005E-3</v>
      </c>
      <c r="AA1684">
        <v>0.89629599999999898</v>
      </c>
      <c r="AB1684">
        <v>15</v>
      </c>
      <c r="AC1684">
        <v>34.225499999999997</v>
      </c>
      <c r="AD1684">
        <v>-1.0839706899999999</v>
      </c>
      <c r="AE1684">
        <v>-19.117899999999999</v>
      </c>
      <c r="AF1684">
        <v>17.41065708699</v>
      </c>
      <c r="AG1684">
        <v>-1.0839706899999999</v>
      </c>
      <c r="AH1684">
        <v>35.091319122506199</v>
      </c>
      <c r="AI1684">
        <v>91.585044412750406</v>
      </c>
      <c r="AJ1684">
        <v>63.611561598388803</v>
      </c>
      <c r="AK1684">
        <v>39.188093222496903</v>
      </c>
      <c r="AL1684">
        <v>81.875416869203093</v>
      </c>
      <c r="AM1684">
        <v>75.360396105169201</v>
      </c>
      <c r="AN1684">
        <v>1.00000003457996</v>
      </c>
    </row>
    <row r="1685" spans="1:40" x14ac:dyDescent="0.25">
      <c r="A1685" t="str">
        <f>"20190303161907875"</f>
        <v>20190303161907875</v>
      </c>
      <c r="B1685" t="str">
        <f>"1551601147863812"</f>
        <v>1551601147863812</v>
      </c>
      <c r="C1685" t="s">
        <v>40</v>
      </c>
      <c r="D1685">
        <v>4.9531559999999999</v>
      </c>
      <c r="E1685">
        <v>0.5816732</v>
      </c>
      <c r="F1685" t="s">
        <v>46</v>
      </c>
      <c r="G1685">
        <v>-191.62110000000001</v>
      </c>
      <c r="H1685" s="1">
        <v>-3.441169E-6</v>
      </c>
      <c r="I1685">
        <v>354.86559999999997</v>
      </c>
      <c r="J1685">
        <v>-214.10650000000001</v>
      </c>
      <c r="K1685">
        <v>1.120684</v>
      </c>
      <c r="L1685">
        <v>367.4237</v>
      </c>
      <c r="M1685">
        <v>0.99865870000000001</v>
      </c>
      <c r="N1685">
        <v>-1.382797E-2</v>
      </c>
      <c r="O1685">
        <v>-4.9897450000000003E-2</v>
      </c>
      <c r="P1685">
        <v>0.94548180000000004</v>
      </c>
      <c r="Q1685">
        <v>0.1292712</v>
      </c>
      <c r="R1685">
        <v>-0.29892049999999998</v>
      </c>
      <c r="S1685">
        <v>2.71489</v>
      </c>
      <c r="T1685">
        <v>-0.1348511</v>
      </c>
      <c r="U1685">
        <v>-1.511719</v>
      </c>
      <c r="V1685">
        <v>0.25169819999999998</v>
      </c>
      <c r="W1685">
        <v>0.1419359</v>
      </c>
      <c r="X1685">
        <v>0.95734129999999995</v>
      </c>
      <c r="Y1685">
        <v>0.44175219999999998</v>
      </c>
      <c r="Z1685">
        <v>-1.1832479999999999E-2</v>
      </c>
      <c r="AA1685">
        <v>0.8970591</v>
      </c>
      <c r="AB1685">
        <v>15</v>
      </c>
      <c r="AC1685">
        <v>22.485399999999998</v>
      </c>
      <c r="AD1685">
        <v>-1.120687441169</v>
      </c>
      <c r="AE1685">
        <v>-12.5581</v>
      </c>
      <c r="AF1685">
        <v>11.398799312896999</v>
      </c>
      <c r="AG1685">
        <v>-1.120687441169</v>
      </c>
      <c r="AH1685">
        <v>23.040436163824701</v>
      </c>
      <c r="AI1685">
        <v>92.496313148092</v>
      </c>
      <c r="AJ1685">
        <v>63.677008021613602</v>
      </c>
      <c r="AK1685">
        <v>25.730337439213201</v>
      </c>
      <c r="AL1685">
        <v>81.840116652839299</v>
      </c>
      <c r="AM1685">
        <v>75.269519932018198</v>
      </c>
      <c r="AN1685">
        <v>1.0000000741388599</v>
      </c>
    </row>
    <row r="1686" spans="1:40" x14ac:dyDescent="0.25">
      <c r="A1686" t="str">
        <f>"20190303161907887"</f>
        <v>20190303161907887</v>
      </c>
      <c r="B1686" t="str">
        <f>"1551601147874547"</f>
        <v>1551601147874547</v>
      </c>
      <c r="C1686" t="s">
        <v>40</v>
      </c>
      <c r="D1686">
        <v>4.8984040000000002</v>
      </c>
      <c r="E1686">
        <v>0.59129589999999999</v>
      </c>
      <c r="F1686" t="s">
        <v>46</v>
      </c>
      <c r="G1686">
        <v>-191.31360000000001</v>
      </c>
      <c r="H1686" s="1">
        <v>-3.2747059999999999E-6</v>
      </c>
      <c r="I1686">
        <v>354.65460000000002</v>
      </c>
      <c r="J1686">
        <v>-214.02549999999999</v>
      </c>
      <c r="K1686">
        <v>1.12069</v>
      </c>
      <c r="L1686">
        <v>367.41829999999999</v>
      </c>
      <c r="M1686">
        <v>0.99860139999999997</v>
      </c>
      <c r="N1686">
        <v>-1.3826389999999999E-2</v>
      </c>
      <c r="O1686">
        <v>-5.103249E-2</v>
      </c>
      <c r="P1686">
        <v>0.94472970000000001</v>
      </c>
      <c r="Q1686">
        <v>0.12933310000000001</v>
      </c>
      <c r="R1686">
        <v>-0.30126229999999998</v>
      </c>
      <c r="S1686">
        <v>2.7110599999999998</v>
      </c>
      <c r="T1686">
        <v>-0.13329830000000001</v>
      </c>
      <c r="U1686">
        <v>-1.518799</v>
      </c>
      <c r="V1686">
        <v>0.25298300000000001</v>
      </c>
      <c r="W1686">
        <v>0.14199249999999999</v>
      </c>
      <c r="X1686">
        <v>0.95699409999999896</v>
      </c>
      <c r="Y1686">
        <v>0.44306459999999998</v>
      </c>
      <c r="Z1686">
        <v>-1.175051E-2</v>
      </c>
      <c r="AA1686">
        <v>0.89641269999999995</v>
      </c>
      <c r="AB1686">
        <v>15</v>
      </c>
      <c r="AC1686">
        <v>22.711899999999901</v>
      </c>
      <c r="AD1686">
        <v>-1.1206932747060001</v>
      </c>
      <c r="AE1686">
        <v>-12.763699999999901</v>
      </c>
      <c r="AF1686">
        <v>11.566507357259599</v>
      </c>
      <c r="AG1686">
        <v>-1.1206932747060001</v>
      </c>
      <c r="AH1686">
        <v>23.290628908550499</v>
      </c>
      <c r="AI1686">
        <v>92.467692983375699</v>
      </c>
      <c r="AJ1686">
        <v>63.590253260944898</v>
      </c>
      <c r="AK1686">
        <v>26.028704170921099</v>
      </c>
      <c r="AL1686">
        <v>81.836839821853701</v>
      </c>
      <c r="AM1686">
        <v>75.192486992502495</v>
      </c>
      <c r="AN1686">
        <v>0.99999998789002897</v>
      </c>
    </row>
    <row r="1687" spans="1:40" x14ac:dyDescent="0.25">
      <c r="A1687" t="str">
        <f>"20190303161907899"</f>
        <v>20190303161907899</v>
      </c>
      <c r="B1687" t="str">
        <f>"1551601147894067"</f>
        <v>1551601147894067</v>
      </c>
      <c r="C1687" t="s">
        <v>40</v>
      </c>
      <c r="D1687">
        <v>5.0458679999999996</v>
      </c>
      <c r="E1687">
        <v>0.58879049999999999</v>
      </c>
      <c r="F1687" t="s">
        <v>46</v>
      </c>
      <c r="G1687">
        <v>-202.18639999999999</v>
      </c>
      <c r="H1687" s="1">
        <v>-3.5797389999999998E-6</v>
      </c>
      <c r="I1687">
        <v>360.41269999999997</v>
      </c>
      <c r="J1687">
        <v>-213.93440000000001</v>
      </c>
      <c r="K1687">
        <v>1.1206940000000001</v>
      </c>
      <c r="L1687">
        <v>367.41219999999998</v>
      </c>
      <c r="M1687">
        <v>0.99853510000000001</v>
      </c>
      <c r="N1687">
        <v>-1.382453E-2</v>
      </c>
      <c r="O1687">
        <v>-5.2314869999999999E-2</v>
      </c>
      <c r="P1687">
        <v>0.94433469999999997</v>
      </c>
      <c r="Q1687">
        <v>0.12934689999999999</v>
      </c>
      <c r="R1687">
        <v>-0.30249300000000001</v>
      </c>
      <c r="S1687">
        <v>2.7008670000000001</v>
      </c>
      <c r="T1687">
        <v>-0.25566450000000002</v>
      </c>
      <c r="U1687">
        <v>-1.598206</v>
      </c>
      <c r="V1687">
        <v>0.25299880000000002</v>
      </c>
      <c r="W1687">
        <v>0.1420081</v>
      </c>
      <c r="X1687">
        <v>0.95698760000000005</v>
      </c>
      <c r="Y1687">
        <v>0.46185690000000001</v>
      </c>
      <c r="Z1687">
        <v>-1.9740190000000001E-2</v>
      </c>
      <c r="AA1687">
        <v>0.88673480000000005</v>
      </c>
      <c r="AB1687">
        <v>15</v>
      </c>
      <c r="AC1687">
        <v>11.747999999999999</v>
      </c>
      <c r="AD1687">
        <v>-1.120697579739</v>
      </c>
      <c r="AE1687">
        <v>-6.99950000000001</v>
      </c>
      <c r="AF1687">
        <v>6.3327285182458102</v>
      </c>
      <c r="AG1687">
        <v>-1.120697579739</v>
      </c>
      <c r="AH1687">
        <v>12.017412714125999</v>
      </c>
      <c r="AI1687">
        <v>94.716338101510502</v>
      </c>
      <c r="AJ1687">
        <v>62.212441080257598</v>
      </c>
      <c r="AK1687">
        <v>13.6300264817305</v>
      </c>
      <c r="AL1687">
        <v>81.835936792006805</v>
      </c>
      <c r="AM1687">
        <v>75.191506667309298</v>
      </c>
      <c r="AN1687">
        <v>0.99999997991040401</v>
      </c>
    </row>
    <row r="1688" spans="1:40" x14ac:dyDescent="0.25">
      <c r="A1688" t="str">
        <f>"20190303161907912"</f>
        <v>20190303161907912</v>
      </c>
      <c r="B1688" t="str">
        <f>"1551601147903826"</f>
        <v>1551601147903826</v>
      </c>
      <c r="C1688" t="s">
        <v>40</v>
      </c>
      <c r="D1688">
        <v>4.8766669999999896</v>
      </c>
      <c r="E1688">
        <v>0.58955369999999996</v>
      </c>
      <c r="F1688" t="s">
        <v>46</v>
      </c>
      <c r="G1688">
        <v>-203.8544</v>
      </c>
      <c r="H1688" s="1">
        <v>-4.1720869999999997E-6</v>
      </c>
      <c r="I1688">
        <v>361.52690000000001</v>
      </c>
      <c r="J1688">
        <v>-213.85570000000001</v>
      </c>
      <c r="K1688">
        <v>1.120692</v>
      </c>
      <c r="L1688">
        <v>367.40679999999998</v>
      </c>
      <c r="M1688">
        <v>0.99847600000000003</v>
      </c>
      <c r="N1688">
        <v>-1.3822869999999999E-2</v>
      </c>
      <c r="O1688">
        <v>-5.34279E-2</v>
      </c>
      <c r="P1688">
        <v>0.94302649999999999</v>
      </c>
      <c r="Q1688">
        <v>0.12940889999999999</v>
      </c>
      <c r="R1688">
        <v>-0.30651980000000001</v>
      </c>
      <c r="S1688">
        <v>2.7110750000000001</v>
      </c>
      <c r="T1688">
        <v>-0.30141780000000001</v>
      </c>
      <c r="U1688">
        <v>-1.582886</v>
      </c>
      <c r="V1688">
        <v>0.25601970000000002</v>
      </c>
      <c r="W1688">
        <v>0.14205290000000001</v>
      </c>
      <c r="X1688">
        <v>0.95617719999999995</v>
      </c>
      <c r="Y1688">
        <v>0.45512760000000002</v>
      </c>
      <c r="Z1688">
        <v>-2.1991259999999999E-2</v>
      </c>
      <c r="AA1688">
        <v>0.89015469999999897</v>
      </c>
      <c r="AB1688">
        <v>15</v>
      </c>
      <c r="AC1688">
        <v>10.001300000000001</v>
      </c>
      <c r="AD1688">
        <v>-1.1206961720869999</v>
      </c>
      <c r="AE1688">
        <v>-5.8798999999999602</v>
      </c>
      <c r="AF1688">
        <v>5.2877599994405102</v>
      </c>
      <c r="AG1688">
        <v>-1.1206961720869999</v>
      </c>
      <c r="AH1688">
        <v>10.205960326331899</v>
      </c>
      <c r="AI1688">
        <v>95.568681659259099</v>
      </c>
      <c r="AJ1688">
        <v>62.611096165064701</v>
      </c>
      <c r="AK1688">
        <v>11.548938994750801</v>
      </c>
      <c r="AL1688">
        <v>81.833343616194199</v>
      </c>
      <c r="AM1688">
        <v>75.010466916586495</v>
      </c>
      <c r="AN1688">
        <v>0.99999997549316899</v>
      </c>
    </row>
    <row r="1689" spans="1:40" x14ac:dyDescent="0.25">
      <c r="A1689" t="str">
        <f>"20190303161907927"</f>
        <v>20190303161907927</v>
      </c>
      <c r="B1689" t="str">
        <f>"1551601147914563"</f>
        <v>1551601147914563</v>
      </c>
      <c r="C1689" t="s">
        <v>40</v>
      </c>
      <c r="D1689">
        <v>4.8818330000000003</v>
      </c>
      <c r="E1689">
        <v>0.58980919999999903</v>
      </c>
      <c r="F1689" t="s">
        <v>46</v>
      </c>
      <c r="G1689">
        <v>-203.65700000000001</v>
      </c>
      <c r="H1689" s="1">
        <v>-4.108756E-6</v>
      </c>
      <c r="I1689">
        <v>361.36439999999999</v>
      </c>
      <c r="J1689">
        <v>-213.7603</v>
      </c>
      <c r="K1689">
        <v>1.120695</v>
      </c>
      <c r="L1689">
        <v>367.40010000000001</v>
      </c>
      <c r="M1689">
        <v>0.99840289999999998</v>
      </c>
      <c r="N1689">
        <v>-1.3820839999999999E-2</v>
      </c>
      <c r="O1689">
        <v>-5.477982E-2</v>
      </c>
      <c r="P1689">
        <v>0.94227360000000004</v>
      </c>
      <c r="Q1689">
        <v>0.129221</v>
      </c>
      <c r="R1689">
        <v>-0.3089054</v>
      </c>
      <c r="S1689">
        <v>2.7017060000000002</v>
      </c>
      <c r="T1689">
        <v>-0.29687980000000003</v>
      </c>
      <c r="U1689">
        <v>-1.6006769999999999</v>
      </c>
      <c r="V1689">
        <v>0.25714379999999998</v>
      </c>
      <c r="W1689">
        <v>0.14185889999999901</v>
      </c>
      <c r="X1689">
        <v>0.95590439999999999</v>
      </c>
      <c r="Y1689">
        <v>0.45964969999999999</v>
      </c>
      <c r="Z1689">
        <v>-2.1896579999999999E-2</v>
      </c>
      <c r="AA1689">
        <v>0.88783040000000002</v>
      </c>
      <c r="AB1689">
        <v>15</v>
      </c>
      <c r="AC1689">
        <v>10.1032999999999</v>
      </c>
      <c r="AD1689">
        <v>-1.1206991087559901</v>
      </c>
      <c r="AE1689">
        <v>-6.0357000000000101</v>
      </c>
      <c r="AF1689">
        <v>5.4239416965757901</v>
      </c>
      <c r="AG1689">
        <v>-1.1206991087559901</v>
      </c>
      <c r="AH1689">
        <v>10.3251647670214</v>
      </c>
      <c r="AI1689">
        <v>95.488654760185497</v>
      </c>
      <c r="AJ1689">
        <v>62.286477225479999</v>
      </c>
      <c r="AK1689">
        <v>11.716831375690299</v>
      </c>
      <c r="AL1689">
        <v>81.844573340422301</v>
      </c>
      <c r="AM1689">
        <v>74.943532691123906</v>
      </c>
      <c r="AN1689">
        <v>1.0000000516634999</v>
      </c>
    </row>
    <row r="1690" spans="1:40" x14ac:dyDescent="0.25">
      <c r="A1690" t="str">
        <f>"20190303161907938"</f>
        <v>20190303161907938</v>
      </c>
      <c r="B1690" t="str">
        <f>"1551601147924323"</f>
        <v>1551601147924323</v>
      </c>
      <c r="C1690" t="s">
        <v>40</v>
      </c>
      <c r="D1690">
        <v>4.8509539999999998</v>
      </c>
      <c r="E1690">
        <v>0.58986749999999999</v>
      </c>
      <c r="F1690" t="s">
        <v>46</v>
      </c>
      <c r="G1690">
        <v>-203.56440000000001</v>
      </c>
      <c r="H1690" s="1">
        <v>-4.0735619999999996E-6</v>
      </c>
      <c r="I1690">
        <v>361.31299999999999</v>
      </c>
      <c r="J1690">
        <v>-213.67429999999999</v>
      </c>
      <c r="K1690">
        <v>1.120698</v>
      </c>
      <c r="L1690">
        <v>367.39400000000001</v>
      </c>
      <c r="M1690">
        <v>0.99833450000000001</v>
      </c>
      <c r="N1690">
        <v>-1.3819049999999999E-2</v>
      </c>
      <c r="O1690">
        <v>-5.6011199999999997E-2</v>
      </c>
      <c r="P1690">
        <v>0.94175929999999997</v>
      </c>
      <c r="Q1690">
        <v>0.12883169999999999</v>
      </c>
      <c r="R1690">
        <v>-0.31063210000000002</v>
      </c>
      <c r="S1690">
        <v>2.6966860000000001</v>
      </c>
      <c r="T1690">
        <v>-0.296409599999999</v>
      </c>
      <c r="U1690">
        <v>-1.609955</v>
      </c>
      <c r="V1690">
        <v>0.25771430000000001</v>
      </c>
      <c r="W1690">
        <v>0.1414648</v>
      </c>
      <c r="X1690">
        <v>0.95580909999999997</v>
      </c>
      <c r="Y1690">
        <v>0.46153300000000003</v>
      </c>
      <c r="Z1690">
        <v>-2.188613E-2</v>
      </c>
      <c r="AA1690">
        <v>0.886853</v>
      </c>
      <c r="AB1690">
        <v>15</v>
      </c>
      <c r="AC1690">
        <v>10.1098999999999</v>
      </c>
      <c r="AD1690">
        <v>-1.1207020735619999</v>
      </c>
      <c r="AE1690">
        <v>-6.0809999999999498</v>
      </c>
      <c r="AF1690">
        <v>5.4558986741750299</v>
      </c>
      <c r="AG1690">
        <v>-1.1207020735619999</v>
      </c>
      <c r="AH1690">
        <v>10.3413470027677</v>
      </c>
      <c r="AI1690">
        <v>95.475042597857694</v>
      </c>
      <c r="AJ1690">
        <v>62.1847204718906</v>
      </c>
      <c r="AK1690">
        <v>11.745904022773299</v>
      </c>
      <c r="AL1690">
        <v>81.867383164049201</v>
      </c>
      <c r="AM1690">
        <v>74.910214091296695</v>
      </c>
      <c r="AN1690">
        <v>0.99999999285316998</v>
      </c>
    </row>
    <row r="1691" spans="1:40" x14ac:dyDescent="0.25">
      <c r="A1691" t="str">
        <f>"20190303161907953"</f>
        <v>20190303161907953</v>
      </c>
      <c r="B1691" t="str">
        <f>"1551601147943842"</f>
        <v>1551601147943842</v>
      </c>
      <c r="C1691" t="s">
        <v>40</v>
      </c>
      <c r="D1691">
        <v>4.8822229999999998</v>
      </c>
      <c r="E1691">
        <v>0.59020090000000003</v>
      </c>
      <c r="F1691" t="s">
        <v>46</v>
      </c>
      <c r="G1691">
        <v>-203.5214</v>
      </c>
      <c r="H1691" s="1">
        <v>-4.0541099999999997E-6</v>
      </c>
      <c r="I1691">
        <v>361.30309999999997</v>
      </c>
      <c r="J1691">
        <v>-213.5848</v>
      </c>
      <c r="K1691">
        <v>1.12069</v>
      </c>
      <c r="L1691">
        <v>367.38740000000001</v>
      </c>
      <c r="M1691">
        <v>0.99826119999999996</v>
      </c>
      <c r="N1691">
        <v>-1.3817279999999999E-2</v>
      </c>
      <c r="O1691">
        <v>-5.7304870000000001E-2</v>
      </c>
      <c r="P1691">
        <v>0.94122360000000005</v>
      </c>
      <c r="Q1691">
        <v>0.1285992</v>
      </c>
      <c r="R1691">
        <v>-0.31234780000000001</v>
      </c>
      <c r="S1691">
        <v>2.6932680000000002</v>
      </c>
      <c r="T1691">
        <v>-0.29728840000000001</v>
      </c>
      <c r="U1691">
        <v>-1.615723</v>
      </c>
      <c r="V1691">
        <v>0.25821739999999999</v>
      </c>
      <c r="W1691">
        <v>0.14122499999999999</v>
      </c>
      <c r="X1691">
        <v>0.95570880000000002</v>
      </c>
      <c r="Y1691">
        <v>0.46226519999999999</v>
      </c>
      <c r="Z1691">
        <v>-2.187886E-2</v>
      </c>
      <c r="AA1691">
        <v>0.88647180000000003</v>
      </c>
      <c r="AB1691">
        <v>15</v>
      </c>
      <c r="AC1691">
        <v>10.0634</v>
      </c>
      <c r="AD1691">
        <v>-1.1206940541099999</v>
      </c>
      <c r="AE1691">
        <v>-6.0843000000000398</v>
      </c>
      <c r="AF1691">
        <v>5.4480836383503002</v>
      </c>
      <c r="AG1691">
        <v>-1.1206940541099999</v>
      </c>
      <c r="AH1691">
        <v>10.3019906033227</v>
      </c>
      <c r="AI1691">
        <v>95.492957254790497</v>
      </c>
      <c r="AJ1691">
        <v>62.128414587153898</v>
      </c>
      <c r="AK1691">
        <v>11.7076291743601</v>
      </c>
      <c r="AL1691">
        <v>81.881262238535101</v>
      </c>
      <c r="AM1691">
        <v>74.880589533655495</v>
      </c>
      <c r="AN1691">
        <v>1.0000000183425899</v>
      </c>
    </row>
    <row r="1692" spans="1:40" x14ac:dyDescent="0.25">
      <c r="A1692" t="str">
        <f>"20190303161907968"</f>
        <v>20190303161907968</v>
      </c>
      <c r="B1692" t="str">
        <f>"1551601147954580"</f>
        <v>1551601147954580</v>
      </c>
      <c r="C1692" t="s">
        <v>40</v>
      </c>
      <c r="D1692">
        <v>4.9407949999999996</v>
      </c>
      <c r="E1692">
        <v>0.59023059999999905</v>
      </c>
      <c r="F1692" t="s">
        <v>46</v>
      </c>
      <c r="G1692">
        <v>-203.39959999999999</v>
      </c>
      <c r="H1692" s="1">
        <v>-4.0077690000000002E-6</v>
      </c>
      <c r="I1692">
        <v>361.23570000000001</v>
      </c>
      <c r="J1692">
        <v>-213.48609999999999</v>
      </c>
      <c r="K1692">
        <v>1.120684</v>
      </c>
      <c r="L1692">
        <v>367.38010000000003</v>
      </c>
      <c r="M1692">
        <v>0.99817750000000005</v>
      </c>
      <c r="N1692">
        <v>-1.381544E-2</v>
      </c>
      <c r="O1692">
        <v>-5.8744400000000002E-2</v>
      </c>
      <c r="P1692">
        <v>0.94061669999999997</v>
      </c>
      <c r="Q1692">
        <v>0.12853229999999999</v>
      </c>
      <c r="R1692">
        <v>-0.31419750000000002</v>
      </c>
      <c r="S1692">
        <v>2.688828</v>
      </c>
      <c r="T1692">
        <v>-0.29585699999999998</v>
      </c>
      <c r="U1692">
        <v>-1.624023</v>
      </c>
      <c r="V1692">
        <v>0.25872129999999999</v>
      </c>
      <c r="W1692">
        <v>0.14114849999999901</v>
      </c>
      <c r="X1692">
        <v>0.95558379999999998</v>
      </c>
      <c r="Y1692">
        <v>0.46365610000000002</v>
      </c>
      <c r="Z1692">
        <v>-2.176258E-2</v>
      </c>
      <c r="AA1692">
        <v>0.88574789999999903</v>
      </c>
      <c r="AB1692">
        <v>15</v>
      </c>
      <c r="AC1692">
        <v>10.086499999999999</v>
      </c>
      <c r="AD1692">
        <v>-1.120688007769</v>
      </c>
      <c r="AE1692">
        <v>-6.1444000000000099</v>
      </c>
      <c r="AF1692">
        <v>5.4917586685969901</v>
      </c>
      <c r="AG1692">
        <v>-1.120688007769</v>
      </c>
      <c r="AH1692">
        <v>10.3369898371419</v>
      </c>
      <c r="AI1692">
        <v>95.468964073268495</v>
      </c>
      <c r="AJ1692">
        <v>62.019519200096603</v>
      </c>
      <c r="AK1692">
        <v>11.758771780166599</v>
      </c>
      <c r="AL1692">
        <v>81.885689602421294</v>
      </c>
      <c r="AM1692">
        <v>74.850548766598294</v>
      </c>
      <c r="AN1692">
        <v>1.0000000044741899</v>
      </c>
    </row>
    <row r="1693" spans="1:40" x14ac:dyDescent="0.25">
      <c r="A1693" t="str">
        <f>"20190303161907980"</f>
        <v>20190303161907980</v>
      </c>
      <c r="B1693" t="str">
        <f>"1551601147964340"</f>
        <v>1551601147964340</v>
      </c>
      <c r="C1693" t="s">
        <v>40</v>
      </c>
      <c r="D1693">
        <v>4.8944449999999904</v>
      </c>
      <c r="E1693">
        <v>0.5902231</v>
      </c>
      <c r="F1693" t="s">
        <v>46</v>
      </c>
      <c r="G1693">
        <v>-203.30959999999999</v>
      </c>
      <c r="H1693" s="1">
        <v>-3.9700990000000001E-6</v>
      </c>
      <c r="I1693">
        <v>361.2013</v>
      </c>
      <c r="J1693">
        <v>-213.3922</v>
      </c>
      <c r="K1693">
        <v>1.1206780000000001</v>
      </c>
      <c r="L1693">
        <v>367.37290000000002</v>
      </c>
      <c r="M1693">
        <v>0.99809440000000005</v>
      </c>
      <c r="N1693">
        <v>-1.381392E-2</v>
      </c>
      <c r="O1693">
        <v>-6.0140539999999999E-2</v>
      </c>
      <c r="P1693">
        <v>0.93990289999999999</v>
      </c>
      <c r="Q1693">
        <v>0.12868650000000001</v>
      </c>
      <c r="R1693">
        <v>-0.31626349999999998</v>
      </c>
      <c r="S1693">
        <v>2.6852420000000001</v>
      </c>
      <c r="T1693">
        <v>-0.29571259999999999</v>
      </c>
      <c r="U1693">
        <v>-1.630371</v>
      </c>
      <c r="V1693">
        <v>0.25949220000000001</v>
      </c>
      <c r="W1693">
        <v>0.14128729999999901</v>
      </c>
      <c r="X1693">
        <v>0.95535420000000004</v>
      </c>
      <c r="Y1693">
        <v>0.4644739</v>
      </c>
      <c r="Z1693">
        <v>-2.1690919999999999E-2</v>
      </c>
      <c r="AA1693">
        <v>0.88532109999999997</v>
      </c>
      <c r="AB1693">
        <v>15</v>
      </c>
      <c r="AC1693">
        <v>10.082599999999999</v>
      </c>
      <c r="AD1693">
        <v>-1.1206819700990001</v>
      </c>
      <c r="AE1693">
        <v>-6.1716000000000104</v>
      </c>
      <c r="AF1693">
        <v>5.5045260771697704</v>
      </c>
      <c r="AG1693">
        <v>-1.1206819700990001</v>
      </c>
      <c r="AH1693">
        <v>10.3425947485362</v>
      </c>
      <c r="AI1693">
        <v>95.463857680973902</v>
      </c>
      <c r="AJ1693">
        <v>61.977240845623299</v>
      </c>
      <c r="AK1693">
        <v>11.769664461861099</v>
      </c>
      <c r="AL1693">
        <v>81.877656205124694</v>
      </c>
      <c r="AM1693">
        <v>74.804009663921704</v>
      </c>
      <c r="AN1693">
        <v>0.99999997522988404</v>
      </c>
    </row>
    <row r="1694" spans="1:40" x14ac:dyDescent="0.25">
      <c r="A1694" t="str">
        <f>"20190303161907996"</f>
        <v>20190303161907996</v>
      </c>
      <c r="B1694" t="str">
        <f>"1551601147983858"</f>
        <v>1551601147983858</v>
      </c>
      <c r="C1694" t="s">
        <v>40</v>
      </c>
      <c r="D1694">
        <v>4.933268</v>
      </c>
      <c r="E1694">
        <v>0.5906574</v>
      </c>
      <c r="F1694" t="s">
        <v>46</v>
      </c>
      <c r="G1694">
        <v>-203.1232</v>
      </c>
      <c r="H1694" s="1">
        <v>-3.8984870000000003E-6</v>
      </c>
      <c r="I1694">
        <v>361.10129999999998</v>
      </c>
      <c r="J1694">
        <v>-213.29679999999999</v>
      </c>
      <c r="K1694">
        <v>1.120662</v>
      </c>
      <c r="L1694">
        <v>367.36540000000002</v>
      </c>
      <c r="M1694">
        <v>0.99800610000000001</v>
      </c>
      <c r="N1694">
        <v>-1.3812680000000001E-2</v>
      </c>
      <c r="O1694">
        <v>-6.1587450000000002E-2</v>
      </c>
      <c r="P1694">
        <v>0.93920650000000006</v>
      </c>
      <c r="Q1694">
        <v>0.12889529999999999</v>
      </c>
      <c r="R1694">
        <v>-0.31824059999999998</v>
      </c>
      <c r="S1694">
        <v>2.680939</v>
      </c>
      <c r="T1694">
        <v>-0.29257909999999998</v>
      </c>
      <c r="U1694">
        <v>-1.637329</v>
      </c>
      <c r="V1694">
        <v>0.26012770000000002</v>
      </c>
      <c r="W1694">
        <v>0.14147889999999999</v>
      </c>
      <c r="X1694">
        <v>0.95515300000000003</v>
      </c>
      <c r="Y1694">
        <v>0.4655358</v>
      </c>
      <c r="Z1694">
        <v>-2.1457339999999998E-2</v>
      </c>
      <c r="AA1694">
        <v>0.88476889999999997</v>
      </c>
      <c r="AB1694">
        <v>15</v>
      </c>
      <c r="AC1694">
        <v>10.173599999999899</v>
      </c>
      <c r="AD1694">
        <v>-1.1206658984869999</v>
      </c>
      <c r="AE1694">
        <v>-6.26410000000004</v>
      </c>
      <c r="AF1694">
        <v>5.5765162874246901</v>
      </c>
      <c r="AG1694">
        <v>-1.1206658984869999</v>
      </c>
      <c r="AH1694">
        <v>10.4481832198662</v>
      </c>
      <c r="AI1694">
        <v>95.405519832874504</v>
      </c>
      <c r="AJ1694">
        <v>61.909789865265203</v>
      </c>
      <c r="AK1694">
        <v>11.8961320838261</v>
      </c>
      <c r="AL1694">
        <v>81.866566951188304</v>
      </c>
      <c r="AM1694">
        <v>74.765461868264396</v>
      </c>
      <c r="AN1694">
        <v>0.999999976430749</v>
      </c>
    </row>
    <row r="1695" spans="1:40" x14ac:dyDescent="0.25">
      <c r="A1695" t="str">
        <f>"20190303161908012"</f>
        <v>20190303161908012</v>
      </c>
      <c r="B1695" t="str">
        <f>"1551601148004355"</f>
        <v>1551601148004355</v>
      </c>
      <c r="C1695" t="s">
        <v>40</v>
      </c>
      <c r="D1695">
        <v>4.8233639999999998</v>
      </c>
      <c r="E1695">
        <v>0.59153100000000003</v>
      </c>
      <c r="F1695" t="s">
        <v>46</v>
      </c>
      <c r="G1695">
        <v>-202.7414</v>
      </c>
      <c r="H1695" s="1">
        <v>-3.7581679999999998E-6</v>
      </c>
      <c r="I1695">
        <v>360.86770000000001</v>
      </c>
      <c r="J1695">
        <v>-213.19309999999999</v>
      </c>
      <c r="K1695">
        <v>1.1206449999999999</v>
      </c>
      <c r="L1695">
        <v>367.3571</v>
      </c>
      <c r="M1695">
        <v>0.99790599999999996</v>
      </c>
      <c r="N1695">
        <v>-1.381162E-2</v>
      </c>
      <c r="O1695">
        <v>-6.3189670000000003E-2</v>
      </c>
      <c r="P1695">
        <v>0.9384171</v>
      </c>
      <c r="Q1695">
        <v>0.1287421</v>
      </c>
      <c r="R1695">
        <v>-0.320623299999999</v>
      </c>
      <c r="S1695">
        <v>2.6751399999999999</v>
      </c>
      <c r="T1695">
        <v>-0.28402149999999998</v>
      </c>
      <c r="U1695">
        <v>-1.64679</v>
      </c>
      <c r="V1695">
        <v>0.26102639999999999</v>
      </c>
      <c r="W1695">
        <v>0.14130379999999901</v>
      </c>
      <c r="X1695">
        <v>0.95493380000000005</v>
      </c>
      <c r="Y1695">
        <v>0.46734569999999998</v>
      </c>
      <c r="Z1695">
        <v>-2.0943110000000001E-2</v>
      </c>
      <c r="AA1695">
        <v>0.88382659999999902</v>
      </c>
      <c r="AB1695">
        <v>15</v>
      </c>
      <c r="AC1695">
        <v>10.451699999999899</v>
      </c>
      <c r="AD1695">
        <v>-1.120648758168</v>
      </c>
      <c r="AE1695">
        <v>-6.4893999999999803</v>
      </c>
      <c r="AF1695">
        <v>5.7680648034815096</v>
      </c>
      <c r="AG1695">
        <v>-1.120648758168</v>
      </c>
      <c r="AH1695">
        <v>10.751696890092999</v>
      </c>
      <c r="AI1695">
        <v>95.247741243944304</v>
      </c>
      <c r="AJ1695">
        <v>61.787354696205398</v>
      </c>
      <c r="AK1695">
        <v>12.252567536348501</v>
      </c>
      <c r="AL1695">
        <v>81.876701887322099</v>
      </c>
      <c r="AM1695">
        <v>74.711942454843495</v>
      </c>
      <c r="AN1695">
        <v>1.00000005388691</v>
      </c>
    </row>
    <row r="1696" spans="1:40" x14ac:dyDescent="0.25">
      <c r="A1696" t="str">
        <f>"20190303161908028"</f>
        <v>20190303161908028</v>
      </c>
      <c r="B1696" t="str">
        <f>"1551601148023874"</f>
        <v>1551601148023874</v>
      </c>
      <c r="C1696" t="s">
        <v>40</v>
      </c>
      <c r="D1696">
        <v>4.806737</v>
      </c>
      <c r="E1696">
        <v>0.59246339999999997</v>
      </c>
      <c r="F1696" t="s">
        <v>46</v>
      </c>
      <c r="G1696">
        <v>-202.19880000000001</v>
      </c>
      <c r="H1696" s="1">
        <v>-3.5640379999999999E-6</v>
      </c>
      <c r="I1696">
        <v>360.51170000000002</v>
      </c>
      <c r="J1696">
        <v>-213.0822</v>
      </c>
      <c r="K1696">
        <v>1.1206179999999999</v>
      </c>
      <c r="L1696">
        <v>367.34809999999999</v>
      </c>
      <c r="M1696">
        <v>0.99779329999999999</v>
      </c>
      <c r="N1696">
        <v>-1.381081E-2</v>
      </c>
      <c r="O1696">
        <v>-6.4944360000000007E-2</v>
      </c>
      <c r="P1696">
        <v>0.93737239999999999</v>
      </c>
      <c r="Q1696">
        <v>0.1276977</v>
      </c>
      <c r="R1696">
        <v>-0.32407780000000003</v>
      </c>
      <c r="S1696">
        <v>2.666855</v>
      </c>
      <c r="T1696">
        <v>-0.2718332</v>
      </c>
      <c r="U1696">
        <v>-1.6604920000000001</v>
      </c>
      <c r="V1696">
        <v>0.26286670000000001</v>
      </c>
      <c r="W1696">
        <v>0.1402293</v>
      </c>
      <c r="X1696">
        <v>0.95458730000000003</v>
      </c>
      <c r="Y1696">
        <v>0.47043620000000003</v>
      </c>
      <c r="Z1696">
        <v>-2.0285129999999998E-2</v>
      </c>
      <c r="AA1696">
        <v>0.88220080000000001</v>
      </c>
      <c r="AB1696">
        <v>15</v>
      </c>
      <c r="AC1696">
        <v>10.8833999999999</v>
      </c>
      <c r="AD1696">
        <v>-1.120621564038</v>
      </c>
      <c r="AE1696">
        <v>-6.8363999999999603</v>
      </c>
      <c r="AF1696">
        <v>6.0689437084361204</v>
      </c>
      <c r="AG1696">
        <v>-1.120621564038</v>
      </c>
      <c r="AH1696">
        <v>11.219155527682499</v>
      </c>
      <c r="AI1696">
        <v>95.020791196846801</v>
      </c>
      <c r="AJ1696">
        <v>61.589059171900999</v>
      </c>
      <c r="AK1696">
        <v>12.8045820384846</v>
      </c>
      <c r="AL1696">
        <v>81.938885228945693</v>
      </c>
      <c r="AM1696">
        <v>74.603930353004799</v>
      </c>
      <c r="AN1696">
        <v>1.00000003593433</v>
      </c>
    </row>
    <row r="1697" spans="1:40" x14ac:dyDescent="0.25">
      <c r="A1697" t="str">
        <f>"20190303161908043"</f>
        <v>20190303161908043</v>
      </c>
      <c r="B1697" t="str">
        <f>"1551601148034611"</f>
        <v>1551601148034611</v>
      </c>
      <c r="C1697" t="s">
        <v>40</v>
      </c>
      <c r="D1697">
        <v>5.1321560000000002</v>
      </c>
      <c r="E1697">
        <v>0.59191780000000005</v>
      </c>
      <c r="F1697" t="s">
        <v>46</v>
      </c>
      <c r="G1697">
        <v>-201.88</v>
      </c>
      <c r="H1697" s="1">
        <v>-3.4556040000000001E-6</v>
      </c>
      <c r="I1697">
        <v>360.27710000000002</v>
      </c>
      <c r="J1697">
        <v>-212.97739999999999</v>
      </c>
      <c r="K1697">
        <v>1.1205889999999901</v>
      </c>
      <c r="L1697">
        <v>367.33929999999998</v>
      </c>
      <c r="M1697">
        <v>0.99768109999999999</v>
      </c>
      <c r="N1697">
        <v>-1.3810380000000001E-2</v>
      </c>
      <c r="O1697">
        <v>-6.6644910000000002E-2</v>
      </c>
      <c r="P1697">
        <v>0.93647789999999997</v>
      </c>
      <c r="Q1697">
        <v>0.1270492</v>
      </c>
      <c r="R1697">
        <v>-0.32690629999999998</v>
      </c>
      <c r="S1697">
        <v>2.6568450000000001</v>
      </c>
      <c r="T1697">
        <v>-0.2657795</v>
      </c>
      <c r="U1697">
        <v>-1.6770320000000001</v>
      </c>
      <c r="V1697">
        <v>0.26412629999999998</v>
      </c>
      <c r="W1697">
        <v>0.13955509999999999</v>
      </c>
      <c r="X1697">
        <v>0.95433840000000003</v>
      </c>
      <c r="Y1697">
        <v>0.47441519999999998</v>
      </c>
      <c r="Z1697">
        <v>-2.004191E-2</v>
      </c>
      <c r="AA1697">
        <v>0.88007299999999999</v>
      </c>
      <c r="AB1697">
        <v>15</v>
      </c>
      <c r="AC1697">
        <v>11.097399999999899</v>
      </c>
      <c r="AD1697">
        <v>-1.1205924556039999</v>
      </c>
      <c r="AE1697">
        <v>-7.0621999999999598</v>
      </c>
      <c r="AF1697">
        <v>6.2613986561828296</v>
      </c>
      <c r="AG1697">
        <v>-1.1205924556039999</v>
      </c>
      <c r="AH1697">
        <v>11.460255903446001</v>
      </c>
      <c r="AI1697">
        <v>94.904462039582199</v>
      </c>
      <c r="AJ1697">
        <v>61.349675616554102</v>
      </c>
      <c r="AK1697">
        <v>13.107185279672899</v>
      </c>
      <c r="AL1697">
        <v>81.977897816244194</v>
      </c>
      <c r="AM1697">
        <v>74.529839321127398</v>
      </c>
      <c r="AN1697">
        <v>1.0000000550011201</v>
      </c>
    </row>
    <row r="1698" spans="1:40" x14ac:dyDescent="0.25">
      <c r="A1698" t="str">
        <f>"20190303161908058"</f>
        <v>20190303161908058</v>
      </c>
      <c r="B1698" t="str">
        <f>"1551601148044371"</f>
        <v>1551601148044371</v>
      </c>
      <c r="C1698" t="s">
        <v>40</v>
      </c>
      <c r="D1698">
        <v>4.7949510000000002</v>
      </c>
      <c r="E1698">
        <v>0.59221360000000001</v>
      </c>
      <c r="F1698" t="s">
        <v>46</v>
      </c>
      <c r="G1698">
        <v>-202.0342</v>
      </c>
      <c r="H1698" s="1">
        <v>-3.504307E-6</v>
      </c>
      <c r="I1698">
        <v>360.4074</v>
      </c>
      <c r="J1698">
        <v>-212.88560000000001</v>
      </c>
      <c r="K1698">
        <v>1.1205689999999999</v>
      </c>
      <c r="L1698">
        <v>367.3313</v>
      </c>
      <c r="M1698">
        <v>0.99757779999999996</v>
      </c>
      <c r="N1698">
        <v>-1.3810090000000001E-2</v>
      </c>
      <c r="O1698">
        <v>-6.8173919999999999E-2</v>
      </c>
      <c r="P1698">
        <v>0.93453430000000004</v>
      </c>
      <c r="Q1698">
        <v>0.1267713</v>
      </c>
      <c r="R1698">
        <v>-0.33252809999999999</v>
      </c>
      <c r="S1698">
        <v>2.65361</v>
      </c>
      <c r="T1698">
        <v>-0.27173130000000001</v>
      </c>
      <c r="U1698">
        <v>-1.6809080000000001</v>
      </c>
      <c r="V1698">
        <v>0.2684086</v>
      </c>
      <c r="W1698">
        <v>0.13923489999999999</v>
      </c>
      <c r="X1698">
        <v>0.95318959999999997</v>
      </c>
      <c r="Y1698">
        <v>0.47439890000000001</v>
      </c>
      <c r="Z1698">
        <v>-2.0280030000000001E-2</v>
      </c>
      <c r="AA1698">
        <v>0.88007630000000003</v>
      </c>
      <c r="AB1698">
        <v>15</v>
      </c>
      <c r="AC1698">
        <v>10.8514</v>
      </c>
      <c r="AD1698">
        <v>-1.1205725043070001</v>
      </c>
      <c r="AE1698">
        <v>-6.9238999999999997</v>
      </c>
      <c r="AF1698">
        <v>6.1215438129627202</v>
      </c>
      <c r="AG1698">
        <v>-1.1205725043070001</v>
      </c>
      <c r="AH1698">
        <v>11.213245351881399</v>
      </c>
      <c r="AI1698">
        <v>95.012783071926293</v>
      </c>
      <c r="AJ1698">
        <v>61.368955787667801</v>
      </c>
      <c r="AK1698">
        <v>12.8244240694435</v>
      </c>
      <c r="AL1698">
        <v>81.996424150893603</v>
      </c>
      <c r="AM1698">
        <v>74.273314505016003</v>
      </c>
      <c r="AN1698">
        <v>0.999999973740064</v>
      </c>
    </row>
    <row r="1699" spans="1:40" x14ac:dyDescent="0.25">
      <c r="A1699" t="str">
        <f>"20190303161908070"</f>
        <v>20190303161908070</v>
      </c>
      <c r="B1699" t="str">
        <f>"1551601148063891"</f>
        <v>1551601148063891</v>
      </c>
      <c r="C1699" t="s">
        <v>40</v>
      </c>
      <c r="D1699">
        <v>4.9882580000000001</v>
      </c>
      <c r="E1699">
        <v>0.59191510000000003</v>
      </c>
      <c r="F1699" t="s">
        <v>46</v>
      </c>
      <c r="G1699">
        <v>-201.8553</v>
      </c>
      <c r="H1699" s="1">
        <v>-3.451789E-6</v>
      </c>
      <c r="I1699">
        <v>360.23829999999998</v>
      </c>
      <c r="J1699">
        <v>-212.79750000000001</v>
      </c>
      <c r="K1699">
        <v>1.1205529999999999</v>
      </c>
      <c r="L1699">
        <v>367.32350000000002</v>
      </c>
      <c r="M1699">
        <v>0.99747509999999995</v>
      </c>
      <c r="N1699">
        <v>-1.3809760000000001E-2</v>
      </c>
      <c r="O1699">
        <v>-6.9659819999999997E-2</v>
      </c>
      <c r="P1699">
        <v>0.93320890000000001</v>
      </c>
      <c r="Q1699">
        <v>0.12714449999999999</v>
      </c>
      <c r="R1699">
        <v>-0.33608909999999997</v>
      </c>
      <c r="S1699">
        <v>2.6420590000000002</v>
      </c>
      <c r="T1699">
        <v>-0.26840849999999999</v>
      </c>
      <c r="U1699">
        <v>-1.6989749999999999</v>
      </c>
      <c r="V1699">
        <v>0.27063779999999998</v>
      </c>
      <c r="W1699">
        <v>0.1395797</v>
      </c>
      <c r="X1699">
        <v>0.95250860000000004</v>
      </c>
      <c r="Y1699">
        <v>0.47910989999999998</v>
      </c>
      <c r="Z1699">
        <v>-2.026004E-2</v>
      </c>
      <c r="AA1699">
        <v>0.87752109999999905</v>
      </c>
      <c r="AB1699">
        <v>15</v>
      </c>
      <c r="AC1699">
        <v>10.9422</v>
      </c>
      <c r="AD1699">
        <v>-1.1205564517890001</v>
      </c>
      <c r="AE1699">
        <v>-7.0852000000000404</v>
      </c>
      <c r="AF1699">
        <v>6.259429225671</v>
      </c>
      <c r="AG1699">
        <v>-1.1205564517890001</v>
      </c>
      <c r="AH1699">
        <v>11.3255293380826</v>
      </c>
      <c r="AI1699">
        <v>94.9491915291417</v>
      </c>
      <c r="AJ1699">
        <v>61.071310710214703</v>
      </c>
      <c r="AK1699">
        <v>12.9885994541598</v>
      </c>
      <c r="AL1699">
        <v>81.976473740379902</v>
      </c>
      <c r="AM1699">
        <v>74.138476034546002</v>
      </c>
      <c r="AN1699">
        <v>0.99999997225744397</v>
      </c>
    </row>
    <row r="1700" spans="1:40" x14ac:dyDescent="0.25">
      <c r="A1700" t="str">
        <f>"20190303161908093"</f>
        <v>20190303161908093</v>
      </c>
      <c r="B1700" t="str">
        <f>"1551601148084391"</f>
        <v>1551601148084391</v>
      </c>
      <c r="C1700" t="s">
        <v>40</v>
      </c>
      <c r="D1700">
        <v>4.9511750000000001</v>
      </c>
      <c r="E1700">
        <v>0.59239509999999995</v>
      </c>
      <c r="F1700" t="s">
        <v>46</v>
      </c>
      <c r="G1700">
        <v>-201.8202</v>
      </c>
      <c r="H1700" s="1">
        <v>-3.438186E-6</v>
      </c>
      <c r="I1700">
        <v>360.2201</v>
      </c>
      <c r="J1700">
        <v>-212.6559</v>
      </c>
      <c r="K1700">
        <v>1.120541</v>
      </c>
      <c r="L1700">
        <v>367.31060000000002</v>
      </c>
      <c r="M1700">
        <v>0.99730189999999996</v>
      </c>
      <c r="N1700">
        <v>-1.380895E-2</v>
      </c>
      <c r="O1700">
        <v>-7.2100230000000001E-2</v>
      </c>
      <c r="P1700">
        <v>0.93020930000000002</v>
      </c>
      <c r="Q1700">
        <v>0.1287769</v>
      </c>
      <c r="R1700">
        <v>-0.34369719999999998</v>
      </c>
      <c r="S1700">
        <v>2.6368710000000002</v>
      </c>
      <c r="T1700">
        <v>-0.26917079999999999</v>
      </c>
      <c r="U1700">
        <v>-1.706329</v>
      </c>
      <c r="V1700">
        <v>0.27611799999999997</v>
      </c>
      <c r="W1700">
        <v>0.14115739999999999</v>
      </c>
      <c r="X1700">
        <v>0.95070149999999998</v>
      </c>
      <c r="Y1700">
        <v>0.47947060000000002</v>
      </c>
      <c r="Z1700">
        <v>-2.0148449999999998E-2</v>
      </c>
      <c r="AA1700">
        <v>0.87732659999999996</v>
      </c>
      <c r="AB1700">
        <v>15</v>
      </c>
      <c r="AC1700">
        <v>10.835699999999999</v>
      </c>
      <c r="AD1700">
        <v>-1.1205444381859999</v>
      </c>
      <c r="AE1700">
        <v>-7.0905000000000102</v>
      </c>
      <c r="AF1700">
        <v>6.2439579725306897</v>
      </c>
      <c r="AG1700">
        <v>-1.1205444381859999</v>
      </c>
      <c r="AH1700">
        <v>11.2346455485084</v>
      </c>
      <c r="AI1700">
        <v>94.982466823061301</v>
      </c>
      <c r="AJ1700">
        <v>60.935699938186097</v>
      </c>
      <c r="AK1700">
        <v>12.901933638075301</v>
      </c>
      <c r="AL1700">
        <v>81.885174082486998</v>
      </c>
      <c r="AM1700">
        <v>73.804797345245106</v>
      </c>
      <c r="AN1700">
        <v>0.99999995180050305</v>
      </c>
    </row>
    <row r="1701" spans="1:40" x14ac:dyDescent="0.25">
      <c r="A1701" t="str">
        <f>"20190303161908103"</f>
        <v>20190303161908103</v>
      </c>
      <c r="B1701" t="str">
        <f>"1551601148094147"</f>
        <v>1551601148094147</v>
      </c>
      <c r="C1701" t="s">
        <v>40</v>
      </c>
      <c r="D1701">
        <v>4.8755290000000002</v>
      </c>
      <c r="E1701">
        <v>0.5936304</v>
      </c>
      <c r="F1701" t="s">
        <v>46</v>
      </c>
      <c r="G1701">
        <v>-202.0026</v>
      </c>
      <c r="H1701" s="1">
        <v>-3.5156700000000001E-6</v>
      </c>
      <c r="I1701">
        <v>360.28449999999998</v>
      </c>
      <c r="J1701">
        <v>-212.5771</v>
      </c>
      <c r="K1701">
        <v>1.1205320000000001</v>
      </c>
      <c r="L1701">
        <v>367.30340000000001</v>
      </c>
      <c r="M1701">
        <v>0.99720160000000002</v>
      </c>
      <c r="N1701">
        <v>-1.3808330000000001E-2</v>
      </c>
      <c r="O1701">
        <v>-7.3475020000000002E-2</v>
      </c>
      <c r="P1701">
        <v>0.9284405</v>
      </c>
      <c r="Q1701">
        <v>0.12952049999999901</v>
      </c>
      <c r="R1701">
        <v>-0.34817150000000002</v>
      </c>
      <c r="S1701">
        <v>2.6238860000000002</v>
      </c>
      <c r="T1701">
        <v>-0.2759877</v>
      </c>
      <c r="U1701">
        <v>-1.7305299999999999</v>
      </c>
      <c r="V1701">
        <v>0.27940120000000002</v>
      </c>
      <c r="W1701">
        <v>0.1418721</v>
      </c>
      <c r="X1701">
        <v>0.94963529999999996</v>
      </c>
      <c r="Y1701">
        <v>0.48577589999999998</v>
      </c>
      <c r="Z1701">
        <v>-2.0815879999999998E-2</v>
      </c>
      <c r="AA1701">
        <v>0.87383549999999999</v>
      </c>
      <c r="AB1701">
        <v>15</v>
      </c>
      <c r="AC1701">
        <v>10.5745</v>
      </c>
      <c r="AD1701">
        <v>-1.1205355156700001</v>
      </c>
      <c r="AE1701">
        <v>-7.0189000000000297</v>
      </c>
      <c r="AF1701">
        <v>6.17475909671737</v>
      </c>
      <c r="AG1701">
        <v>-1.1205355156700001</v>
      </c>
      <c r="AH1701">
        <v>10.976120285745001</v>
      </c>
      <c r="AI1701">
        <v>95.084527562264199</v>
      </c>
      <c r="AJ1701">
        <v>60.639504730723097</v>
      </c>
      <c r="AK1701">
        <v>12.643514791050499</v>
      </c>
      <c r="AL1701">
        <v>81.843808581969398</v>
      </c>
      <c r="AM1701">
        <v>73.605089985054903</v>
      </c>
      <c r="AN1701">
        <v>0.99999996316296902</v>
      </c>
    </row>
    <row r="1702" spans="1:40" x14ac:dyDescent="0.25">
      <c r="A1702" t="str">
        <f>"20190303161908116"</f>
        <v>20190303161908116</v>
      </c>
      <c r="B1702" t="str">
        <f>"1551601148103907"</f>
        <v>1551601148103907</v>
      </c>
      <c r="C1702" t="s">
        <v>40</v>
      </c>
      <c r="D1702">
        <v>4.8977449999999996</v>
      </c>
      <c r="E1702">
        <v>0.59485310000000002</v>
      </c>
      <c r="F1702" t="s">
        <v>46</v>
      </c>
      <c r="G1702">
        <v>-202.03139999999999</v>
      </c>
      <c r="H1702" s="1">
        <v>-3.5412699999999902E-6</v>
      </c>
      <c r="I1702">
        <v>360.2346</v>
      </c>
      <c r="J1702">
        <v>-212.5016</v>
      </c>
      <c r="K1702">
        <v>1.12053799999999</v>
      </c>
      <c r="L1702">
        <v>367.2962</v>
      </c>
      <c r="M1702">
        <v>0.99710259999999995</v>
      </c>
      <c r="N1702">
        <v>-1.3807440000000001E-2</v>
      </c>
      <c r="O1702">
        <v>-7.4806990000000004E-2</v>
      </c>
      <c r="P1702">
        <v>0.92667730000000004</v>
      </c>
      <c r="Q1702">
        <v>0.12981769999999901</v>
      </c>
      <c r="R1702">
        <v>-0.35272740000000002</v>
      </c>
      <c r="S1702">
        <v>2.6130979999999999</v>
      </c>
      <c r="T1702">
        <v>-0.27765790000000001</v>
      </c>
      <c r="U1702">
        <v>-1.751587</v>
      </c>
      <c r="V1702">
        <v>0.282806</v>
      </c>
      <c r="W1702">
        <v>0.14214450000000001</v>
      </c>
      <c r="X1702">
        <v>0.94858620000000005</v>
      </c>
      <c r="Y1702">
        <v>0.49108859999999899</v>
      </c>
      <c r="Z1702">
        <v>-2.1128950000000001E-2</v>
      </c>
      <c r="AA1702">
        <v>0.8708534</v>
      </c>
      <c r="AB1702">
        <v>15</v>
      </c>
      <c r="AC1702">
        <v>10.4702</v>
      </c>
      <c r="AD1702">
        <v>-1.1205415412699899</v>
      </c>
      <c r="AE1702">
        <v>-7.0615999999999897</v>
      </c>
      <c r="AF1702">
        <v>6.2096053302225203</v>
      </c>
      <c r="AG1702">
        <v>-1.1205415412699899</v>
      </c>
      <c r="AH1702">
        <v>10.88348309057</v>
      </c>
      <c r="AI1702">
        <v>95.110154879369404</v>
      </c>
      <c r="AJ1702">
        <v>60.292945255616502</v>
      </c>
      <c r="AK1702">
        <v>12.5803424391215</v>
      </c>
      <c r="AL1702">
        <v>81.828042014751404</v>
      </c>
      <c r="AM1702">
        <v>73.398881043420104</v>
      </c>
      <c r="AN1702">
        <v>1.0000000356733401</v>
      </c>
    </row>
    <row r="1703" spans="1:40" x14ac:dyDescent="0.25">
      <c r="A1703" t="str">
        <f>"20190303161908128"</f>
        <v>20190303161908128</v>
      </c>
      <c r="B1703" t="str">
        <f>"1551601148124403"</f>
        <v>1551601148124403</v>
      </c>
      <c r="C1703" t="s">
        <v>40</v>
      </c>
      <c r="D1703">
        <v>5.1624689999999998</v>
      </c>
      <c r="E1703">
        <v>0.59638669999999905</v>
      </c>
      <c r="F1703" t="s">
        <v>46</v>
      </c>
      <c r="G1703">
        <v>-202.09729999999999</v>
      </c>
      <c r="H1703" s="1">
        <v>-3.5806300000000001E-6</v>
      </c>
      <c r="I1703">
        <v>360.20650000000001</v>
      </c>
      <c r="J1703">
        <v>-212.4203</v>
      </c>
      <c r="K1703">
        <v>1.120541</v>
      </c>
      <c r="L1703">
        <v>367.28840000000002</v>
      </c>
      <c r="M1703">
        <v>0.99699360000000004</v>
      </c>
      <c r="N1703">
        <v>-1.380633E-2</v>
      </c>
      <c r="O1703">
        <v>-7.6245720000000003E-2</v>
      </c>
      <c r="P1703">
        <v>0.92477430000000005</v>
      </c>
      <c r="Q1703">
        <v>0.1297122</v>
      </c>
      <c r="R1703">
        <v>-0.35772589999999999</v>
      </c>
      <c r="S1703">
        <v>2.601807</v>
      </c>
      <c r="T1703">
        <v>-0.28021499999999999</v>
      </c>
      <c r="U1703">
        <v>-1.7729189999999999</v>
      </c>
      <c r="V1703">
        <v>0.28656160000000003</v>
      </c>
      <c r="W1703">
        <v>0.14201469999999999</v>
      </c>
      <c r="X1703">
        <v>0.94747780000000004</v>
      </c>
      <c r="Y1703">
        <v>0.49640719999999999</v>
      </c>
      <c r="Z1703">
        <v>-2.1490680000000002E-2</v>
      </c>
      <c r="AA1703">
        <v>0.86782369999999898</v>
      </c>
      <c r="AB1703">
        <v>15</v>
      </c>
      <c r="AC1703">
        <v>10.323</v>
      </c>
      <c r="AD1703">
        <v>-1.1205445806299901</v>
      </c>
      <c r="AE1703">
        <v>-7.0819000000000099</v>
      </c>
      <c r="AF1703">
        <v>6.2242529286720796</v>
      </c>
      <c r="AG1703">
        <v>-1.1205445806299901</v>
      </c>
      <c r="AH1703">
        <v>10.746856871642301</v>
      </c>
      <c r="AI1703">
        <v>95.155658651681506</v>
      </c>
      <c r="AJ1703">
        <v>59.921881075633102</v>
      </c>
      <c r="AK1703">
        <v>12.4696382183617</v>
      </c>
      <c r="AL1703">
        <v>81.835554551377598</v>
      </c>
      <c r="AM1703">
        <v>73.172228242528007</v>
      </c>
      <c r="AN1703">
        <v>0.99999995355174398</v>
      </c>
    </row>
    <row r="1704" spans="1:40" x14ac:dyDescent="0.25">
      <c r="A1704" t="str">
        <f>"20190303161908140"</f>
        <v>20190303161908140</v>
      </c>
      <c r="B1704" t="str">
        <f>"1551601148134163"</f>
        <v>1551601148134163</v>
      </c>
      <c r="C1704" t="s">
        <v>40</v>
      </c>
      <c r="D1704">
        <v>5.1154799999999998</v>
      </c>
      <c r="E1704">
        <v>0.59676300000000004</v>
      </c>
      <c r="F1704" t="s">
        <v>46</v>
      </c>
      <c r="G1704">
        <v>-202.2706</v>
      </c>
      <c r="H1704" s="1">
        <v>-3.6608550000000002E-6</v>
      </c>
      <c r="I1704">
        <v>360.238</v>
      </c>
      <c r="J1704">
        <v>-212.33439999999999</v>
      </c>
      <c r="K1704">
        <v>1.120549</v>
      </c>
      <c r="L1704">
        <v>367.28</v>
      </c>
      <c r="M1704">
        <v>0.99687570000000003</v>
      </c>
      <c r="N1704">
        <v>-1.3804769999999999E-2</v>
      </c>
      <c r="O1704">
        <v>-7.7771569999999998E-2</v>
      </c>
      <c r="P1704">
        <v>0.92288669999999995</v>
      </c>
      <c r="Q1704">
        <v>0.12900590000000001</v>
      </c>
      <c r="R1704">
        <v>-0.36281970000000002</v>
      </c>
      <c r="S1704">
        <v>2.588562</v>
      </c>
      <c r="T1704">
        <v>-0.2857828</v>
      </c>
      <c r="U1704">
        <v>-1.7981259999999999</v>
      </c>
      <c r="V1704">
        <v>0.29032859999999899</v>
      </c>
      <c r="W1704">
        <v>0.14128769999999999</v>
      </c>
      <c r="X1704">
        <v>0.94643909999999998</v>
      </c>
      <c r="Y1704">
        <v>0.5027528</v>
      </c>
      <c r="Z1704">
        <v>-2.2092819999999999E-2</v>
      </c>
      <c r="AA1704">
        <v>0.86414789999999997</v>
      </c>
      <c r="AB1704">
        <v>15</v>
      </c>
      <c r="AC1704">
        <v>10.063799999999899</v>
      </c>
      <c r="AD1704">
        <v>-1.120552660855</v>
      </c>
      <c r="AE1704">
        <v>-7.0419999999999101</v>
      </c>
      <c r="AF1704">
        <v>6.1864275681791003</v>
      </c>
      <c r="AG1704">
        <v>-1.120552660855</v>
      </c>
      <c r="AH1704">
        <v>10.4936970744111</v>
      </c>
      <c r="AI1704">
        <v>95.255726119205903</v>
      </c>
      <c r="AJ1704">
        <v>59.479057406421497</v>
      </c>
      <c r="AK1704">
        <v>12.232955595912999</v>
      </c>
      <c r="AL1704">
        <v>81.877632767143893</v>
      </c>
      <c r="AM1704">
        <v>72.946139789990397</v>
      </c>
      <c r="AN1704">
        <v>0.99999994007902804</v>
      </c>
    </row>
    <row r="1705" spans="1:40" x14ac:dyDescent="0.25">
      <c r="A1705" t="str">
        <f>"20190303161908152"</f>
        <v>20190303161908152</v>
      </c>
      <c r="B1705" t="str">
        <f>"1551601148143923"</f>
        <v>1551601148143923</v>
      </c>
      <c r="C1705" t="s">
        <v>40</v>
      </c>
      <c r="D1705">
        <v>5.1387519999999904</v>
      </c>
      <c r="E1705">
        <v>0.59705900000000001</v>
      </c>
      <c r="F1705" t="s">
        <v>46</v>
      </c>
      <c r="G1705">
        <v>-202.40010000000001</v>
      </c>
      <c r="H1705" s="1">
        <v>-3.7147830000000002E-6</v>
      </c>
      <c r="I1705">
        <v>360.28859999999997</v>
      </c>
      <c r="J1705">
        <v>-212.2602</v>
      </c>
      <c r="K1705">
        <v>1.1205590000000001</v>
      </c>
      <c r="L1705">
        <v>367.27260000000001</v>
      </c>
      <c r="M1705">
        <v>0.99677199999999999</v>
      </c>
      <c r="N1705">
        <v>-1.380322E-2</v>
      </c>
      <c r="O1705">
        <v>-7.9090820000000006E-2</v>
      </c>
      <c r="P1705">
        <v>0.92108040000000002</v>
      </c>
      <c r="Q1705">
        <v>0.1280029</v>
      </c>
      <c r="R1705">
        <v>-0.367732</v>
      </c>
      <c r="S1705">
        <v>2.578049</v>
      </c>
      <c r="T1705">
        <v>-0.29079310000000003</v>
      </c>
      <c r="U1705">
        <v>-1.8143309999999999</v>
      </c>
      <c r="V1705">
        <v>0.2941067</v>
      </c>
      <c r="W1705">
        <v>0.14026620000000001</v>
      </c>
      <c r="X1705">
        <v>0.94542409999999999</v>
      </c>
      <c r="Y1705">
        <v>0.50680829999999999</v>
      </c>
      <c r="Z1705">
        <v>-2.2551390000000001E-2</v>
      </c>
      <c r="AA1705">
        <v>0.86176379999999997</v>
      </c>
      <c r="AB1705">
        <v>15</v>
      </c>
      <c r="AC1705">
        <v>9.8600999999999797</v>
      </c>
      <c r="AD1705">
        <v>-1.120562714783</v>
      </c>
      <c r="AE1705">
        <v>-6.9840000000000302</v>
      </c>
      <c r="AF1705">
        <v>6.129483383767</v>
      </c>
      <c r="AG1705">
        <v>-1.120562714783</v>
      </c>
      <c r="AH1705">
        <v>10.2931030497802</v>
      </c>
      <c r="AI1705">
        <v>95.343711616398707</v>
      </c>
      <c r="AJ1705">
        <v>59.226445945731903</v>
      </c>
      <c r="AK1705">
        <v>12.032214997374</v>
      </c>
      <c r="AL1705">
        <v>81.936749970437702</v>
      </c>
      <c r="AM1705">
        <v>72.7198964004629</v>
      </c>
      <c r="AN1705">
        <v>1.0000000433540599</v>
      </c>
    </row>
    <row r="1706" spans="1:40" x14ac:dyDescent="0.25">
      <c r="A1706" t="str">
        <f>"20190303161908164"</f>
        <v>20190303161908164</v>
      </c>
      <c r="B1706" t="str">
        <f>"1551601148154659"</f>
        <v>1551601148154659</v>
      </c>
      <c r="C1706" t="s">
        <v>40</v>
      </c>
      <c r="D1706">
        <v>5.1583129999999997</v>
      </c>
      <c r="E1706">
        <v>0.59735919999999998</v>
      </c>
      <c r="F1706" t="s">
        <v>46</v>
      </c>
      <c r="G1706">
        <v>-202.56059999999999</v>
      </c>
      <c r="H1706" s="1">
        <v>-3.779438E-6</v>
      </c>
      <c r="I1706">
        <v>360.36130000000003</v>
      </c>
      <c r="J1706">
        <v>-212.1816</v>
      </c>
      <c r="K1706">
        <v>1.1205689999999999</v>
      </c>
      <c r="L1706">
        <v>367.26479999999998</v>
      </c>
      <c r="M1706">
        <v>0.99665999999999999</v>
      </c>
      <c r="N1706">
        <v>-1.380149E-2</v>
      </c>
      <c r="O1706">
        <v>-8.0488210000000004E-2</v>
      </c>
      <c r="P1706">
        <v>0.91916100000000001</v>
      </c>
      <c r="Q1706">
        <v>0.127327</v>
      </c>
      <c r="R1706">
        <v>-0.37273430000000002</v>
      </c>
      <c r="S1706">
        <v>2.5677949999999998</v>
      </c>
      <c r="T1706">
        <v>-0.29664800000000002</v>
      </c>
      <c r="U1706">
        <v>-1.8296509999999999</v>
      </c>
      <c r="V1706">
        <v>0.29791279999999998</v>
      </c>
      <c r="W1706">
        <v>0.13957259999999999</v>
      </c>
      <c r="X1706">
        <v>0.94433440000000002</v>
      </c>
      <c r="Y1706">
        <v>0.51053300000000001</v>
      </c>
      <c r="Z1706">
        <v>-2.3038340000000001E-2</v>
      </c>
      <c r="AA1706">
        <v>0.85954949999999997</v>
      </c>
      <c r="AB1706">
        <v>15</v>
      </c>
      <c r="AC1706">
        <v>9.6210000000000093</v>
      </c>
      <c r="AD1706">
        <v>-1.120572779438</v>
      </c>
      <c r="AE1706">
        <v>-6.9034999999999496</v>
      </c>
      <c r="AF1706">
        <v>6.0524474206059997</v>
      </c>
      <c r="AG1706">
        <v>-1.120572779438</v>
      </c>
      <c r="AH1706">
        <v>10.0554364531058</v>
      </c>
      <c r="AI1706">
        <v>95.453960350854899</v>
      </c>
      <c r="AJ1706">
        <v>58.955929455502698</v>
      </c>
      <c r="AK1706">
        <v>11.789809387588299</v>
      </c>
      <c r="AL1706">
        <v>81.976884810488698</v>
      </c>
      <c r="AM1706">
        <v>72.490877659671597</v>
      </c>
      <c r="AN1706">
        <v>1.00000000304898</v>
      </c>
    </row>
    <row r="1707" spans="1:40" x14ac:dyDescent="0.25">
      <c r="A1707" t="str">
        <f>"20190303161908181"</f>
        <v>20190303161908181</v>
      </c>
      <c r="B1707" t="str">
        <f>"1551601148174181"</f>
        <v>1551601148174181</v>
      </c>
      <c r="C1707" t="s">
        <v>40</v>
      </c>
      <c r="D1707">
        <v>5.138649</v>
      </c>
      <c r="E1707">
        <v>0.59769629999999996</v>
      </c>
      <c r="F1707" t="s">
        <v>46</v>
      </c>
      <c r="G1707">
        <v>-202.65819999999999</v>
      </c>
      <c r="H1707" s="1">
        <v>-3.8217449999999999E-6</v>
      </c>
      <c r="I1707">
        <v>360.392</v>
      </c>
      <c r="J1707">
        <v>-212.06979999999999</v>
      </c>
      <c r="K1707">
        <v>1.1205879999999999</v>
      </c>
      <c r="L1707">
        <v>367.2534</v>
      </c>
      <c r="M1707">
        <v>0.9964982</v>
      </c>
      <c r="N1707">
        <v>-1.379852E-2</v>
      </c>
      <c r="O1707">
        <v>-8.2468349999999996E-2</v>
      </c>
      <c r="P1707">
        <v>0.91700599999999999</v>
      </c>
      <c r="Q1707">
        <v>0.126878399999999</v>
      </c>
      <c r="R1707">
        <v>-0.3781562</v>
      </c>
      <c r="S1707">
        <v>2.5571440000000001</v>
      </c>
      <c r="T1707">
        <v>-0.30088720000000002</v>
      </c>
      <c r="U1707">
        <v>-1.8454280000000001</v>
      </c>
      <c r="V1707">
        <v>0.30160520000000002</v>
      </c>
      <c r="W1707">
        <v>0.13911029999999999</v>
      </c>
      <c r="X1707">
        <v>0.94322989999999995</v>
      </c>
      <c r="Y1707">
        <v>0.513934</v>
      </c>
      <c r="Z1707">
        <v>-2.335841E-2</v>
      </c>
      <c r="AA1707">
        <v>0.85751169999999999</v>
      </c>
      <c r="AB1707">
        <v>15</v>
      </c>
      <c r="AC1707">
        <v>9.4115999999999893</v>
      </c>
      <c r="AD1707">
        <v>-1.1205918217449999</v>
      </c>
      <c r="AE1707">
        <v>-6.8613999999999997</v>
      </c>
      <c r="AF1707">
        <v>6.0061933874523898</v>
      </c>
      <c r="AG1707">
        <v>-1.1205918217449999</v>
      </c>
      <c r="AH1707">
        <v>9.8542203820462095</v>
      </c>
      <c r="AI1707">
        <v>95.546143905690002</v>
      </c>
      <c r="AJ1707">
        <v>58.637497161888099</v>
      </c>
      <c r="AK1707">
        <v>11.594642917156699</v>
      </c>
      <c r="AL1707">
        <v>82.003633641986696</v>
      </c>
      <c r="AM1707">
        <v>72.267912749416197</v>
      </c>
      <c r="AN1707">
        <v>1.00000000824357</v>
      </c>
    </row>
    <row r="1708" spans="1:40" x14ac:dyDescent="0.25">
      <c r="A1708" t="str">
        <f>"20190303161908196"</f>
        <v>20190303161908196</v>
      </c>
      <c r="B1708" t="str">
        <f>"1551601148183938"</f>
        <v>1551601148183938</v>
      </c>
      <c r="C1708" t="s">
        <v>40</v>
      </c>
      <c r="D1708">
        <v>5.1221899999999998</v>
      </c>
      <c r="E1708">
        <v>0.59774740000000004</v>
      </c>
      <c r="F1708" t="s">
        <v>46</v>
      </c>
      <c r="G1708">
        <v>-202.76400000000001</v>
      </c>
      <c r="H1708" s="1">
        <v>-3.8632419999999996E-6</v>
      </c>
      <c r="I1708">
        <v>360.44490000000002</v>
      </c>
      <c r="J1708">
        <v>-211.9768</v>
      </c>
      <c r="K1708">
        <v>1.120601</v>
      </c>
      <c r="L1708">
        <v>367.24369999999999</v>
      </c>
      <c r="M1708">
        <v>0.9963611</v>
      </c>
      <c r="N1708">
        <v>-1.379585E-2</v>
      </c>
      <c r="O1708">
        <v>-8.4107860000000007E-2</v>
      </c>
      <c r="P1708">
        <v>0.9132903</v>
      </c>
      <c r="Q1708">
        <v>0.12672459999999999</v>
      </c>
      <c r="R1708">
        <v>-0.3870941</v>
      </c>
      <c r="S1708">
        <v>2.5458069999999999</v>
      </c>
      <c r="T1708">
        <v>-0.30656169999999999</v>
      </c>
      <c r="U1708">
        <v>-1.8626100000000001</v>
      </c>
      <c r="V1708">
        <v>0.30926239999999999</v>
      </c>
      <c r="W1708">
        <v>0.13891289999999901</v>
      </c>
      <c r="X1708">
        <v>0.94077630000000001</v>
      </c>
      <c r="Y1708">
        <v>0.51800610000000002</v>
      </c>
      <c r="Z1708">
        <v>-2.3840650000000001E-2</v>
      </c>
      <c r="AA1708">
        <v>0.85504460000000004</v>
      </c>
      <c r="AB1708">
        <v>15</v>
      </c>
      <c r="AC1708">
        <v>9.2127999999999801</v>
      </c>
      <c r="AD1708">
        <v>-1.120604863242</v>
      </c>
      <c r="AE1708">
        <v>-6.7987999999999698</v>
      </c>
      <c r="AF1708">
        <v>5.9428378589533901</v>
      </c>
      <c r="AG1708">
        <v>-1.120604863242</v>
      </c>
      <c r="AH1708">
        <v>9.6595115230048005</v>
      </c>
      <c r="AI1708">
        <v>95.642968159207996</v>
      </c>
      <c r="AJ1708">
        <v>58.398852323704197</v>
      </c>
      <c r="AK1708">
        <v>11.3964573416651</v>
      </c>
      <c r="AL1708">
        <v>82.015054943861998</v>
      </c>
      <c r="AM1708">
        <v>71.802699155559296</v>
      </c>
      <c r="AN1708">
        <v>1.00000003624092</v>
      </c>
    </row>
    <row r="1709" spans="1:40" x14ac:dyDescent="0.25">
      <c r="A1709" t="str">
        <f>"20190303161908211"</f>
        <v>20190303161908211</v>
      </c>
      <c r="B1709" t="str">
        <f>"1551601148204436"</f>
        <v>1551601148204436</v>
      </c>
      <c r="C1709" t="s">
        <v>40</v>
      </c>
      <c r="D1709">
        <v>5.1159059999999998</v>
      </c>
      <c r="E1709">
        <v>0.59795469999999995</v>
      </c>
      <c r="F1709" t="s">
        <v>46</v>
      </c>
      <c r="G1709">
        <v>-202.83629999999999</v>
      </c>
      <c r="H1709" s="1">
        <v>-3.9046519999999996E-6</v>
      </c>
      <c r="I1709">
        <v>360.42239999999998</v>
      </c>
      <c r="J1709">
        <v>-211.88050000000001</v>
      </c>
      <c r="K1709">
        <v>1.120608</v>
      </c>
      <c r="L1709">
        <v>367.23360000000002</v>
      </c>
      <c r="M1709">
        <v>0.99621700000000002</v>
      </c>
      <c r="N1709">
        <v>-1.379298E-2</v>
      </c>
      <c r="O1709">
        <v>-8.580103E-2</v>
      </c>
      <c r="P1709">
        <v>0.91106940000000003</v>
      </c>
      <c r="Q1709">
        <v>0.12616330000000001</v>
      </c>
      <c r="R1709">
        <v>-0.39247399999999999</v>
      </c>
      <c r="S1709">
        <v>2.528168</v>
      </c>
      <c r="T1709">
        <v>-0.30994709999999998</v>
      </c>
      <c r="U1709">
        <v>-1.886719</v>
      </c>
      <c r="V1709">
        <v>0.31320330000000002</v>
      </c>
      <c r="W1709">
        <v>0.13833489999999901</v>
      </c>
      <c r="X1709">
        <v>0.93955690000000003</v>
      </c>
      <c r="Y1709">
        <v>0.52454630000000002</v>
      </c>
      <c r="Z1709">
        <v>-2.4360550000000002E-2</v>
      </c>
      <c r="AA1709">
        <v>0.85103329999999999</v>
      </c>
      <c r="AB1709">
        <v>15</v>
      </c>
      <c r="AC1709">
        <v>9.0442000000000107</v>
      </c>
      <c r="AD1709">
        <v>-1.120611904652</v>
      </c>
      <c r="AE1709">
        <v>-6.8112000000000403</v>
      </c>
      <c r="AF1709">
        <v>5.9516982988710598</v>
      </c>
      <c r="AG1709">
        <v>-1.120611904652</v>
      </c>
      <c r="AH1709">
        <v>9.5022193929570609</v>
      </c>
      <c r="AI1709">
        <v>95.707483582246496</v>
      </c>
      <c r="AJ1709">
        <v>57.939101400569101</v>
      </c>
      <c r="AK1709">
        <v>11.2681257125363</v>
      </c>
      <c r="AL1709">
        <v>82.048494551940607</v>
      </c>
      <c r="AM1709">
        <v>71.564081573475093</v>
      </c>
      <c r="AN1709">
        <v>1.00000001001325</v>
      </c>
    </row>
    <row r="1710" spans="1:40" x14ac:dyDescent="0.25">
      <c r="A1710" t="str">
        <f>"20190303161908226"</f>
        <v>20190303161908226</v>
      </c>
      <c r="B1710" t="str">
        <f>"1551601148214197"</f>
        <v>1551601148214197</v>
      </c>
      <c r="C1710" t="s">
        <v>40</v>
      </c>
      <c r="D1710">
        <v>5.1385079999999999</v>
      </c>
      <c r="E1710">
        <v>0.59798689999999999</v>
      </c>
      <c r="F1710" t="s">
        <v>46</v>
      </c>
      <c r="G1710">
        <v>-202.9066</v>
      </c>
      <c r="H1710" s="1">
        <v>-3.9343900000000001E-6</v>
      </c>
      <c r="I1710">
        <v>360.44779999999997</v>
      </c>
      <c r="J1710">
        <v>-211.77879999999999</v>
      </c>
      <c r="K1710">
        <v>1.1206100000000001</v>
      </c>
      <c r="L1710">
        <v>367.22269999999997</v>
      </c>
      <c r="M1710">
        <v>0.99606229999999996</v>
      </c>
      <c r="N1710">
        <v>-1.3789839999999999E-2</v>
      </c>
      <c r="O1710">
        <v>-8.7577769999999999E-2</v>
      </c>
      <c r="P1710">
        <v>0.90720919999999905</v>
      </c>
      <c r="Q1710">
        <v>0.1236584</v>
      </c>
      <c r="R1710">
        <v>-0.40209499999999998</v>
      </c>
      <c r="S1710">
        <v>2.5165709999999999</v>
      </c>
      <c r="T1710">
        <v>-0.31425829999999999</v>
      </c>
      <c r="U1710">
        <v>-1.902954</v>
      </c>
      <c r="V1710">
        <v>0.32143379999999999</v>
      </c>
      <c r="W1710">
        <v>0.13578519999999999</v>
      </c>
      <c r="X1710">
        <v>0.93714609999999998</v>
      </c>
      <c r="Y1710">
        <v>0.52832000000000001</v>
      </c>
      <c r="Z1710">
        <v>-2.473761E-2</v>
      </c>
      <c r="AA1710">
        <v>0.84868489999999996</v>
      </c>
      <c r="AB1710">
        <v>15</v>
      </c>
      <c r="AC1710">
        <v>8.8721999999999905</v>
      </c>
      <c r="AD1710">
        <v>-1.1206139343899999</v>
      </c>
      <c r="AE1710">
        <v>-6.7748999999999997</v>
      </c>
      <c r="AF1710">
        <v>5.9122038021296603</v>
      </c>
      <c r="AG1710">
        <v>-1.1206139343899999</v>
      </c>
      <c r="AH1710">
        <v>9.3373956929369708</v>
      </c>
      <c r="AI1710">
        <v>95.789831536839202</v>
      </c>
      <c r="AJ1710">
        <v>57.659039220284697</v>
      </c>
      <c r="AK1710">
        <v>11.1084151756379</v>
      </c>
      <c r="AL1710">
        <v>82.195973835373394</v>
      </c>
      <c r="AM1710">
        <v>71.068431759482493</v>
      </c>
      <c r="AN1710">
        <v>1.0000000605333399</v>
      </c>
    </row>
    <row r="1711" spans="1:40" x14ac:dyDescent="0.25">
      <c r="A1711" t="str">
        <f>"20190303161908239"</f>
        <v>20190303161908239</v>
      </c>
      <c r="B1711" t="str">
        <f>"1551601148234221"</f>
        <v>1551601148234221</v>
      </c>
      <c r="C1711" t="s">
        <v>40</v>
      </c>
      <c r="D1711">
        <v>5.0913360000000001</v>
      </c>
      <c r="E1711">
        <v>0.59804899999999905</v>
      </c>
      <c r="F1711" t="s">
        <v>46</v>
      </c>
      <c r="G1711">
        <v>-203.1121</v>
      </c>
      <c r="H1711" s="1">
        <v>-4.02078E-6</v>
      </c>
      <c r="I1711">
        <v>360.52440000000001</v>
      </c>
      <c r="J1711">
        <v>-211.69309999999999</v>
      </c>
      <c r="K1711">
        <v>1.120614</v>
      </c>
      <c r="L1711">
        <v>367.21339999999998</v>
      </c>
      <c r="M1711">
        <v>0.9959306</v>
      </c>
      <c r="N1711">
        <v>-1.378707E-2</v>
      </c>
      <c r="O1711">
        <v>-8.9064340000000006E-2</v>
      </c>
      <c r="P1711">
        <v>0.90505619999999998</v>
      </c>
      <c r="Q1711">
        <v>0.1224445</v>
      </c>
      <c r="R1711">
        <v>-0.40728530000000002</v>
      </c>
      <c r="S1711">
        <v>2.4958649999999998</v>
      </c>
      <c r="T1711">
        <v>-0.3227177</v>
      </c>
      <c r="U1711">
        <v>-1.9289860000000001</v>
      </c>
      <c r="V1711">
        <v>0.32538669999999997</v>
      </c>
      <c r="W1711">
        <v>0.1345507</v>
      </c>
      <c r="X1711">
        <v>0.93595919999999999</v>
      </c>
      <c r="Y1711">
        <v>0.53579739999999998</v>
      </c>
      <c r="Z1711">
        <v>-2.5683950000000001E-2</v>
      </c>
      <c r="AA1711">
        <v>0.84395589999999998</v>
      </c>
      <c r="AB1711">
        <v>15</v>
      </c>
      <c r="AC1711">
        <v>8.58099999999998</v>
      </c>
      <c r="AD1711">
        <v>-1.1206180207799901</v>
      </c>
      <c r="AE1711">
        <v>-6.6889999999999601</v>
      </c>
      <c r="AF1711">
        <v>5.8361659157067498</v>
      </c>
      <c r="AG1711">
        <v>-1.1206180207799901</v>
      </c>
      <c r="AH1711">
        <v>9.0467280091112006</v>
      </c>
      <c r="AI1711">
        <v>95.942506030866596</v>
      </c>
      <c r="AJ1711">
        <v>57.173393707477899</v>
      </c>
      <c r="AK1711">
        <v>10.8240429145024</v>
      </c>
      <c r="AL1711">
        <v>82.267360218241507</v>
      </c>
      <c r="AM1711">
        <v>70.8299661973181</v>
      </c>
      <c r="AN1711">
        <v>1.00000000973601</v>
      </c>
    </row>
    <row r="1712" spans="1:40" x14ac:dyDescent="0.25">
      <c r="A1712" t="str">
        <f>"20190303161908251"</f>
        <v>20190303161908251</v>
      </c>
      <c r="B1712" t="str">
        <f>"1551601148243981"</f>
        <v>1551601148243981</v>
      </c>
      <c r="C1712" t="s">
        <v>40</v>
      </c>
      <c r="D1712">
        <v>5.0445060000000002</v>
      </c>
      <c r="E1712">
        <v>0.59790059999999901</v>
      </c>
      <c r="F1712" t="s">
        <v>46</v>
      </c>
      <c r="G1712">
        <v>-203.16560000000001</v>
      </c>
      <c r="H1712" s="1">
        <v>-4.0440900000000001E-6</v>
      </c>
      <c r="I1712">
        <v>360.54079999999999</v>
      </c>
      <c r="J1712">
        <v>-211.61529999999999</v>
      </c>
      <c r="K1712">
        <v>1.120614</v>
      </c>
      <c r="L1712">
        <v>367.20479999999998</v>
      </c>
      <c r="M1712">
        <v>0.99580930000000001</v>
      </c>
      <c r="N1712">
        <v>-1.3784579999999999E-2</v>
      </c>
      <c r="O1712">
        <v>-9.0411030000000003E-2</v>
      </c>
      <c r="P1712">
        <v>0.90308029999999995</v>
      </c>
      <c r="Q1712">
        <v>0.12023449999999999</v>
      </c>
      <c r="R1712">
        <v>-0.41229909999999997</v>
      </c>
      <c r="S1712">
        <v>2.4841609999999998</v>
      </c>
      <c r="T1712">
        <v>-0.32644899999999999</v>
      </c>
      <c r="U1712">
        <v>-1.9437869999999999</v>
      </c>
      <c r="V1712">
        <v>0.32928160000000001</v>
      </c>
      <c r="W1712">
        <v>0.13232160000000001</v>
      </c>
      <c r="X1712">
        <v>0.93491420000000003</v>
      </c>
      <c r="Y1712">
        <v>0.53961590000000004</v>
      </c>
      <c r="Z1712">
        <v>-2.6082169999999998E-2</v>
      </c>
      <c r="AA1712">
        <v>0.84150729999999996</v>
      </c>
      <c r="AB1712">
        <v>15</v>
      </c>
      <c r="AC1712">
        <v>8.4496999999999698</v>
      </c>
      <c r="AD1712">
        <v>-1.12061804409</v>
      </c>
      <c r="AE1712">
        <v>-6.6639999999999802</v>
      </c>
      <c r="AF1712">
        <v>5.8096848284790203</v>
      </c>
      <c r="AG1712">
        <v>-1.12061804409</v>
      </c>
      <c r="AH1712">
        <v>8.9209073806411592</v>
      </c>
      <c r="AI1712">
        <v>96.008994167052407</v>
      </c>
      <c r="AJ1712">
        <v>56.926066432364998</v>
      </c>
      <c r="AK1712">
        <v>10.7047097625754</v>
      </c>
      <c r="AL1712">
        <v>82.396230396468496</v>
      </c>
      <c r="AM1712">
        <v>70.597473553297903</v>
      </c>
      <c r="AN1712">
        <v>0.99999996964337901</v>
      </c>
    </row>
    <row r="1713" spans="1:40" x14ac:dyDescent="0.25">
      <c r="A1713" t="str">
        <f>"20190303161908263"</f>
        <v>20190303161908263</v>
      </c>
      <c r="B1713" t="str">
        <f>"1551601148253741"</f>
        <v>1551601148253741</v>
      </c>
      <c r="C1713" t="s">
        <v>40</v>
      </c>
      <c r="D1713">
        <v>5.0476349999999996</v>
      </c>
      <c r="E1713">
        <v>0.59754449999999903</v>
      </c>
      <c r="F1713" t="s">
        <v>46</v>
      </c>
      <c r="G1713">
        <v>-203.3365</v>
      </c>
      <c r="H1713" s="1">
        <v>-4.104637E-6</v>
      </c>
      <c r="I1713">
        <v>360.65570000000002</v>
      </c>
      <c r="J1713">
        <v>-211.53649999999999</v>
      </c>
      <c r="K1713">
        <v>1.1206130000000001</v>
      </c>
      <c r="L1713">
        <v>367.19600000000003</v>
      </c>
      <c r="M1713">
        <v>0.99568469999999998</v>
      </c>
      <c r="N1713">
        <v>-1.378207E-2</v>
      </c>
      <c r="O1713">
        <v>-9.1772999999999993E-2</v>
      </c>
      <c r="P1713">
        <v>0.90115389999999995</v>
      </c>
      <c r="Q1713">
        <v>0.11883050000000001</v>
      </c>
      <c r="R1713">
        <v>-0.41689520000000002</v>
      </c>
      <c r="S1713">
        <v>2.4732970000000001</v>
      </c>
      <c r="T1713">
        <v>-0.33478570000000002</v>
      </c>
      <c r="U1713">
        <v>-1.9565429999999999</v>
      </c>
      <c r="V1713">
        <v>0.33274779999999998</v>
      </c>
      <c r="W1713">
        <v>0.13089880000000001</v>
      </c>
      <c r="X1713">
        <v>0.93388669999999996</v>
      </c>
      <c r="Y1713">
        <v>0.54277249999999999</v>
      </c>
      <c r="Z1713">
        <v>-2.6728890000000002E-2</v>
      </c>
      <c r="AA1713">
        <v>0.83945439999999905</v>
      </c>
      <c r="AB1713">
        <v>14</v>
      </c>
      <c r="AC1713">
        <v>8.1999999999999797</v>
      </c>
      <c r="AD1713">
        <v>-1.1206171046369999</v>
      </c>
      <c r="AE1713">
        <v>-6.5402999999999398</v>
      </c>
      <c r="AF1713">
        <v>5.6950773937172201</v>
      </c>
      <c r="AG1713">
        <v>-1.1206171046369999</v>
      </c>
      <c r="AH1713">
        <v>8.6667415830057895</v>
      </c>
      <c r="AI1713">
        <v>96.167373231440607</v>
      </c>
      <c r="AJ1713">
        <v>56.690338473379299</v>
      </c>
      <c r="AK1713">
        <v>10.430824458413399</v>
      </c>
      <c r="AL1713">
        <v>82.478466253990405</v>
      </c>
      <c r="AM1713">
        <v>70.388800550874706</v>
      </c>
      <c r="AN1713">
        <v>0.99999998134158397</v>
      </c>
    </row>
    <row r="1714" spans="1:40" x14ac:dyDescent="0.25">
      <c r="A1714" t="str">
        <f>"20190303161908276"</f>
        <v>20190303161908276</v>
      </c>
      <c r="B1714" t="str">
        <f>"1551601148264478"</f>
        <v>1551601148264478</v>
      </c>
      <c r="C1714" t="s">
        <v>40</v>
      </c>
      <c r="D1714">
        <v>5.0318480000000001</v>
      </c>
      <c r="E1714">
        <v>0.59727430000000004</v>
      </c>
      <c r="F1714" t="s">
        <v>46</v>
      </c>
      <c r="G1714">
        <v>-203.46520000000001</v>
      </c>
      <c r="H1714" s="1">
        <v>-4.1470209999999901E-6</v>
      </c>
      <c r="I1714">
        <v>360.75650000000002</v>
      </c>
      <c r="J1714">
        <v>-211.4573</v>
      </c>
      <c r="K1714">
        <v>1.1206149999999999</v>
      </c>
      <c r="L1714">
        <v>367.18709999999999</v>
      </c>
      <c r="M1714">
        <v>0.9955579</v>
      </c>
      <c r="N1714">
        <v>-1.377958E-2</v>
      </c>
      <c r="O1714">
        <v>-9.313739E-2</v>
      </c>
      <c r="P1714">
        <v>0.89917009999999897</v>
      </c>
      <c r="Q1714">
        <v>0.11768629999999999</v>
      </c>
      <c r="R1714">
        <v>-0.4214774</v>
      </c>
      <c r="S1714">
        <v>2.4645389999999998</v>
      </c>
      <c r="T1714">
        <v>-0.34217520000000001</v>
      </c>
      <c r="U1714">
        <v>-1.966278</v>
      </c>
      <c r="V1714">
        <v>0.3362079</v>
      </c>
      <c r="W1714">
        <v>0.12973289999999901</v>
      </c>
      <c r="X1714">
        <v>0.93280949999999996</v>
      </c>
      <c r="Y1714">
        <v>0.54496369999999905</v>
      </c>
      <c r="Z1714">
        <v>-2.7243750000000001E-2</v>
      </c>
      <c r="AA1714">
        <v>0.83801689999999995</v>
      </c>
      <c r="AB1714">
        <v>14</v>
      </c>
      <c r="AC1714">
        <v>7.99209999999999</v>
      </c>
      <c r="AD1714">
        <v>-1.1206191470210001</v>
      </c>
      <c r="AE1714">
        <v>-6.4305999999999699</v>
      </c>
      <c r="AF1714">
        <v>5.59147894773277</v>
      </c>
      <c r="AG1714">
        <v>-1.1206191470210001</v>
      </c>
      <c r="AH1714">
        <v>8.4554315564084597</v>
      </c>
      <c r="AI1714">
        <v>96.308280440410698</v>
      </c>
      <c r="AJ1714">
        <v>56.523797672704397</v>
      </c>
      <c r="AK1714">
        <v>10.19876202785</v>
      </c>
      <c r="AL1714">
        <v>82.545841870274103</v>
      </c>
      <c r="AM1714">
        <v>70.179567682567495</v>
      </c>
      <c r="AN1714">
        <v>0.99999997032753396</v>
      </c>
    </row>
    <row r="1715" spans="1:40" x14ac:dyDescent="0.25">
      <c r="A1715" t="str">
        <f>"20190303161908288"</f>
        <v>20190303161908288</v>
      </c>
      <c r="B1715" t="str">
        <f>"1551601148274237"</f>
        <v>1551601148274237</v>
      </c>
      <c r="C1715" t="s">
        <v>40</v>
      </c>
      <c r="D1715">
        <v>5.0375480000000001</v>
      </c>
      <c r="E1715">
        <v>0.59704009999999996</v>
      </c>
      <c r="F1715" t="s">
        <v>46</v>
      </c>
      <c r="G1715">
        <v>-203.57929999999999</v>
      </c>
      <c r="H1715" s="1">
        <v>-4.1841910000000001E-6</v>
      </c>
      <c r="I1715">
        <v>360.84780000000001</v>
      </c>
      <c r="J1715">
        <v>-211.37430000000001</v>
      </c>
      <c r="K1715">
        <v>1.1206149999999999</v>
      </c>
      <c r="L1715">
        <v>367.17759999999998</v>
      </c>
      <c r="M1715">
        <v>0.99542310000000001</v>
      </c>
      <c r="N1715">
        <v>-1.3777029999999999E-2</v>
      </c>
      <c r="O1715">
        <v>-9.4568669999999994E-2</v>
      </c>
      <c r="P1715">
        <v>0.89715080000000003</v>
      </c>
      <c r="Q1715">
        <v>0.1167998</v>
      </c>
      <c r="R1715">
        <v>-0.42600349999999998</v>
      </c>
      <c r="S1715">
        <v>2.4558409999999999</v>
      </c>
      <c r="T1715">
        <v>-0.34933229999999998</v>
      </c>
      <c r="U1715">
        <v>-1.9761660000000001</v>
      </c>
      <c r="V1715">
        <v>0.33955679999999999</v>
      </c>
      <c r="W1715">
        <v>0.128825</v>
      </c>
      <c r="X1715">
        <v>0.93172169999999999</v>
      </c>
      <c r="Y1715">
        <v>0.54711929999999998</v>
      </c>
      <c r="Z1715">
        <v>-2.7733290000000001E-2</v>
      </c>
      <c r="AA1715">
        <v>0.83659509999999904</v>
      </c>
      <c r="AB1715">
        <v>14</v>
      </c>
      <c r="AC1715">
        <v>7.7950000000000097</v>
      </c>
      <c r="AD1715">
        <v>-1.12061918419099</v>
      </c>
      <c r="AE1715">
        <v>-6.3297999999999703</v>
      </c>
      <c r="AF1715">
        <v>5.4957460515160603</v>
      </c>
      <c r="AG1715">
        <v>-1.12061918419099</v>
      </c>
      <c r="AH1715">
        <v>8.2558917017990492</v>
      </c>
      <c r="AI1715">
        <v>96.446541976402102</v>
      </c>
      <c r="AJ1715">
        <v>56.349260541941703</v>
      </c>
      <c r="AK1715">
        <v>9.9809197878034102</v>
      </c>
      <c r="AL1715">
        <v>82.598301256952695</v>
      </c>
      <c r="AM1715">
        <v>69.976228723547294</v>
      </c>
      <c r="AN1715">
        <v>1.0000000136510601</v>
      </c>
    </row>
    <row r="1716" spans="1:40" x14ac:dyDescent="0.25">
      <c r="A1716" t="str">
        <f>"20190303161908300"</f>
        <v>20190303161908300</v>
      </c>
      <c r="B1716" t="str">
        <f>"1551601148294733"</f>
        <v>1551601148294733</v>
      </c>
      <c r="C1716" t="s">
        <v>40</v>
      </c>
      <c r="D1716">
        <v>5.0193430000000001</v>
      </c>
      <c r="E1716">
        <v>0.59662469999999901</v>
      </c>
      <c r="F1716" t="s">
        <v>46</v>
      </c>
      <c r="G1716">
        <v>-203.63720000000001</v>
      </c>
      <c r="H1716" s="1">
        <v>-4.2029769999999998E-6</v>
      </c>
      <c r="I1716">
        <v>360.89449999999999</v>
      </c>
      <c r="J1716">
        <v>-211.29300000000001</v>
      </c>
      <c r="K1716">
        <v>1.1206130000000001</v>
      </c>
      <c r="L1716">
        <v>367.16829999999999</v>
      </c>
      <c r="M1716">
        <v>0.99528879999999997</v>
      </c>
      <c r="N1716">
        <v>-1.3774649999999999E-2</v>
      </c>
      <c r="O1716">
        <v>-9.5970680000000003E-2</v>
      </c>
      <c r="P1716">
        <v>0.89531059999999996</v>
      </c>
      <c r="Q1716">
        <v>0.1161018</v>
      </c>
      <c r="R1716">
        <v>-0.43004619999999999</v>
      </c>
      <c r="S1716">
        <v>2.446609</v>
      </c>
      <c r="T1716">
        <v>-0.35435870000000003</v>
      </c>
      <c r="U1716">
        <v>-1.986847</v>
      </c>
      <c r="V1716">
        <v>0.34243990000000002</v>
      </c>
      <c r="W1716">
        <v>0.12810669999999999</v>
      </c>
      <c r="X1716">
        <v>0.93076499999999995</v>
      </c>
      <c r="Y1716">
        <v>0.54958079999999998</v>
      </c>
      <c r="Z1716">
        <v>-2.8114259999999999E-2</v>
      </c>
      <c r="AA1716">
        <v>0.83496740000000003</v>
      </c>
      <c r="AB1716">
        <v>14</v>
      </c>
      <c r="AC1716">
        <v>7.6557999999999904</v>
      </c>
      <c r="AD1716">
        <v>-1.1206172029769901</v>
      </c>
      <c r="AE1716">
        <v>-6.2737999999999898</v>
      </c>
      <c r="AF1716">
        <v>5.4403009007879204</v>
      </c>
      <c r="AG1716">
        <v>-1.1206172029769901</v>
      </c>
      <c r="AH1716">
        <v>8.1185514226704996</v>
      </c>
      <c r="AI1716">
        <v>96.541358141184404</v>
      </c>
      <c r="AJ1716">
        <v>56.1736702936795</v>
      </c>
      <c r="AK1716">
        <v>9.8368457347498897</v>
      </c>
      <c r="AL1716">
        <v>82.639800200294204</v>
      </c>
      <c r="AM1716">
        <v>69.800810037257605</v>
      </c>
      <c r="AN1716">
        <v>0.99999994846094797</v>
      </c>
    </row>
    <row r="1717" spans="1:40" x14ac:dyDescent="0.25">
      <c r="A1717" t="str">
        <f>"20190303161908315"</f>
        <v>20190303161908315</v>
      </c>
      <c r="B1717" t="str">
        <f>"1551601148304493"</f>
        <v>1551601148304493</v>
      </c>
      <c r="C1717" t="s">
        <v>40</v>
      </c>
      <c r="D1717">
        <v>4.9055150000000003</v>
      </c>
      <c r="E1717">
        <v>0.59655509999999901</v>
      </c>
      <c r="F1717" t="s">
        <v>46</v>
      </c>
      <c r="G1717">
        <v>-203.66079999999999</v>
      </c>
      <c r="H1717" s="1">
        <v>-4.2072930000000004E-6</v>
      </c>
      <c r="I1717">
        <v>360.92860000000002</v>
      </c>
      <c r="J1717">
        <v>-211.20339999999999</v>
      </c>
      <c r="K1717">
        <v>1.1206</v>
      </c>
      <c r="L1717">
        <v>367.15769999999998</v>
      </c>
      <c r="M1717">
        <v>0.99513850000000004</v>
      </c>
      <c r="N1717">
        <v>-1.3772110000000001E-2</v>
      </c>
      <c r="O1717">
        <v>-9.7518729999999998E-2</v>
      </c>
      <c r="P1717">
        <v>0.89243479999999997</v>
      </c>
      <c r="Q1717">
        <v>0.1143359</v>
      </c>
      <c r="R1717">
        <v>-0.43644939999999999</v>
      </c>
      <c r="S1717">
        <v>2.4393310000000001</v>
      </c>
      <c r="T1717">
        <v>-0.35816179999999997</v>
      </c>
      <c r="U1717">
        <v>-1.9942629999999999</v>
      </c>
      <c r="V1717">
        <v>0.34763759999999999</v>
      </c>
      <c r="W1717">
        <v>0.12630379999999999</v>
      </c>
      <c r="X1717">
        <v>0.92908310000000005</v>
      </c>
      <c r="Y1717">
        <v>0.5509501</v>
      </c>
      <c r="Z1717">
        <v>-2.8315969999999999E-2</v>
      </c>
      <c r="AA1717">
        <v>0.83405759999999995</v>
      </c>
      <c r="AB1717">
        <v>14</v>
      </c>
      <c r="AC1717">
        <v>7.5425999999999904</v>
      </c>
      <c r="AD1717">
        <v>-1.120604207293</v>
      </c>
      <c r="AE1717">
        <v>-6.2290999999999599</v>
      </c>
      <c r="AF1717">
        <v>5.3930185584298904</v>
      </c>
      <c r="AG1717">
        <v>-1.120604207293</v>
      </c>
      <c r="AH1717">
        <v>8.0090530533926199</v>
      </c>
      <c r="AI1717">
        <v>96.620021481288006</v>
      </c>
      <c r="AJ1717">
        <v>56.045042539337302</v>
      </c>
      <c r="AK1717">
        <v>9.7203566690235004</v>
      </c>
      <c r="AL1717">
        <v>82.743945030086607</v>
      </c>
      <c r="AM1717">
        <v>69.485519267837205</v>
      </c>
      <c r="AN1717">
        <v>0.99999997876690405</v>
      </c>
    </row>
    <row r="1718" spans="1:40" x14ac:dyDescent="0.25">
      <c r="A1718" t="str">
        <f>"20190303161908328"</f>
        <v>20190303161908328</v>
      </c>
      <c r="B1718" t="str">
        <f>"1551601148324013"</f>
        <v>1551601148324013</v>
      </c>
      <c r="C1718" t="s">
        <v>40</v>
      </c>
      <c r="D1718">
        <v>4.911168</v>
      </c>
      <c r="E1718">
        <v>0.59640680000000001</v>
      </c>
      <c r="F1718" t="s">
        <v>46</v>
      </c>
      <c r="G1718">
        <v>-203.69710000000001</v>
      </c>
      <c r="H1718" s="1">
        <v>-4.2249479999999996E-6</v>
      </c>
      <c r="I1718">
        <v>360.9314</v>
      </c>
      <c r="J1718">
        <v>-211.11869999999999</v>
      </c>
      <c r="K1718">
        <v>1.120593</v>
      </c>
      <c r="L1718">
        <v>367.14769999999999</v>
      </c>
      <c r="M1718">
        <v>0.99499349999999998</v>
      </c>
      <c r="N1718">
        <v>-1.3769780000000001E-2</v>
      </c>
      <c r="O1718">
        <v>-9.8987430000000001E-2</v>
      </c>
      <c r="P1718">
        <v>0.89077729999999999</v>
      </c>
      <c r="Q1718">
        <v>0.1131698</v>
      </c>
      <c r="R1718">
        <v>-0.44012390000000001</v>
      </c>
      <c r="S1718">
        <v>2.4244379999999999</v>
      </c>
      <c r="T1718">
        <v>-0.36193920000000002</v>
      </c>
      <c r="U1718">
        <v>-2.0110169999999998</v>
      </c>
      <c r="V1718">
        <v>0.35008119999999998</v>
      </c>
      <c r="W1718">
        <v>0.12511829999999999</v>
      </c>
      <c r="X1718">
        <v>0.92832570000000003</v>
      </c>
      <c r="Y1718">
        <v>0.555536699999999</v>
      </c>
      <c r="Z1718">
        <v>-2.8792160000000001E-2</v>
      </c>
      <c r="AA1718">
        <v>0.83099339999999999</v>
      </c>
      <c r="AB1718">
        <v>14</v>
      </c>
      <c r="AC1718">
        <v>7.4215999999999802</v>
      </c>
      <c r="AD1718">
        <v>-1.1205972249479901</v>
      </c>
      <c r="AE1718">
        <v>-6.2162999999999897</v>
      </c>
      <c r="AF1718">
        <v>5.3789792179179896</v>
      </c>
      <c r="AG1718">
        <v>-1.1205972249479901</v>
      </c>
      <c r="AH1718">
        <v>7.89475943798484</v>
      </c>
      <c r="AI1718">
        <v>96.690371560648202</v>
      </c>
      <c r="AJ1718">
        <v>55.732009653263198</v>
      </c>
      <c r="AK1718">
        <v>9.61854366060712</v>
      </c>
      <c r="AL1718">
        <v>82.8124126415657</v>
      </c>
      <c r="AM1718">
        <v>69.338023076305006</v>
      </c>
      <c r="AN1718">
        <v>1.0000000204344099</v>
      </c>
    </row>
    <row r="1719" spans="1:40" x14ac:dyDescent="0.25">
      <c r="A1719" t="str">
        <f>"20190303161908341"</f>
        <v>20190303161908341</v>
      </c>
      <c r="B1719" t="str">
        <f>"1551601148334749"</f>
        <v>1551601148334749</v>
      </c>
      <c r="C1719" t="s">
        <v>40</v>
      </c>
      <c r="D1719">
        <v>4.8433809999999999</v>
      </c>
      <c r="E1719">
        <v>0.596329199999999</v>
      </c>
      <c r="F1719" t="s">
        <v>46</v>
      </c>
      <c r="G1719">
        <v>-203.6508</v>
      </c>
      <c r="H1719" s="1">
        <v>-4.2076110000000003E-6</v>
      </c>
      <c r="I1719">
        <v>360.90460000000002</v>
      </c>
      <c r="J1719">
        <v>-211.03129999999999</v>
      </c>
      <c r="K1719">
        <v>1.1205830000000001</v>
      </c>
      <c r="L1719">
        <v>367.13720000000001</v>
      </c>
      <c r="M1719">
        <v>0.99484090000000003</v>
      </c>
      <c r="N1719">
        <v>-1.37675E-2</v>
      </c>
      <c r="O1719">
        <v>-0.1005108</v>
      </c>
      <c r="P1719">
        <v>0.88947379999999998</v>
      </c>
      <c r="Q1719">
        <v>0.11151229999999999</v>
      </c>
      <c r="R1719">
        <v>-0.44317250000000002</v>
      </c>
      <c r="S1719">
        <v>2.4159700000000002</v>
      </c>
      <c r="T1719">
        <v>-0.36253020000000002</v>
      </c>
      <c r="U1719">
        <v>-2.0197449999999999</v>
      </c>
      <c r="V1719">
        <v>0.35181790000000002</v>
      </c>
      <c r="W1719">
        <v>0.12344620000000001</v>
      </c>
      <c r="X1719">
        <v>0.92789290000000002</v>
      </c>
      <c r="Y1719">
        <v>0.55744079999999996</v>
      </c>
      <c r="Z1719">
        <v>-2.883635E-2</v>
      </c>
      <c r="AA1719">
        <v>0.8297158</v>
      </c>
      <c r="AB1719">
        <v>14</v>
      </c>
      <c r="AC1719">
        <v>7.3804999999999801</v>
      </c>
      <c r="AD1719">
        <v>-1.1205872076109999</v>
      </c>
      <c r="AE1719">
        <v>-6.2325999999999899</v>
      </c>
      <c r="AF1719">
        <v>5.3866565728108098</v>
      </c>
      <c r="AG1719">
        <v>-1.1205872076109999</v>
      </c>
      <c r="AH1719">
        <v>7.8638019125921099</v>
      </c>
      <c r="AI1719">
        <v>96.705078793115803</v>
      </c>
      <c r="AJ1719">
        <v>55.589093350244902</v>
      </c>
      <c r="AK1719">
        <v>9.5974561860815299</v>
      </c>
      <c r="AL1719">
        <v>82.908965479516397</v>
      </c>
      <c r="AM1719">
        <v>69.235382796601201</v>
      </c>
      <c r="AN1719">
        <v>1.0000000164626299</v>
      </c>
    </row>
    <row r="1720" spans="1:40" x14ac:dyDescent="0.25">
      <c r="A1720" t="str">
        <f>"20190303161908354"</f>
        <v>20190303161908354</v>
      </c>
      <c r="B1720" t="str">
        <f>"1551601148344511"</f>
        <v>1551601148344511</v>
      </c>
      <c r="C1720" t="s">
        <v>40</v>
      </c>
      <c r="D1720">
        <v>4.8811669999999996</v>
      </c>
      <c r="E1720">
        <v>0.59627209999999997</v>
      </c>
      <c r="F1720" t="s">
        <v>46</v>
      </c>
      <c r="G1720">
        <v>-203.6575</v>
      </c>
      <c r="H1720" s="1">
        <v>-4.2046000000000004E-6</v>
      </c>
      <c r="I1720">
        <v>360.93329999999997</v>
      </c>
      <c r="J1720">
        <v>-210.9538</v>
      </c>
      <c r="K1720">
        <v>1.1205700000000001</v>
      </c>
      <c r="L1720">
        <v>367.12779999999998</v>
      </c>
      <c r="M1720">
        <v>0.99470259999999999</v>
      </c>
      <c r="N1720">
        <v>-1.3765609999999999E-2</v>
      </c>
      <c r="O1720">
        <v>-0.1018699</v>
      </c>
      <c r="P1720">
        <v>0.88830609999999999</v>
      </c>
      <c r="Q1720">
        <v>0.109816899999999</v>
      </c>
      <c r="R1720">
        <v>-0.44592979999999999</v>
      </c>
      <c r="S1720">
        <v>2.40889</v>
      </c>
      <c r="T1720">
        <v>-0.36607640000000002</v>
      </c>
      <c r="U1720">
        <v>-2.0267029999999999</v>
      </c>
      <c r="V1720">
        <v>0.35340660000000002</v>
      </c>
      <c r="W1720">
        <v>0.121735999999999</v>
      </c>
      <c r="X1720">
        <v>0.92751499999999998</v>
      </c>
      <c r="Y1720">
        <v>0.55883850000000002</v>
      </c>
      <c r="Z1720">
        <v>-2.9044049999999998E-2</v>
      </c>
      <c r="AA1720">
        <v>0.8287677</v>
      </c>
      <c r="AB1720">
        <v>14</v>
      </c>
      <c r="AC1720">
        <v>7.2962999999999996</v>
      </c>
      <c r="AD1720">
        <v>-1.1205742046</v>
      </c>
      <c r="AE1720">
        <v>-6.1944999999999997</v>
      </c>
      <c r="AF1720">
        <v>5.3456508317656999</v>
      </c>
      <c r="AG1720">
        <v>-1.1205742046</v>
      </c>
      <c r="AH1720">
        <v>7.7827486184228096</v>
      </c>
      <c r="AI1720">
        <v>96.768349052538895</v>
      </c>
      <c r="AJ1720">
        <v>55.516423997678302</v>
      </c>
      <c r="AK1720">
        <v>9.5080410927138104</v>
      </c>
      <c r="AL1720">
        <v>83.007697163880906</v>
      </c>
      <c r="AM1720">
        <v>69.141897954788604</v>
      </c>
      <c r="AN1720">
        <v>0.99999997692227904</v>
      </c>
    </row>
    <row r="1721" spans="1:40" x14ac:dyDescent="0.25">
      <c r="A1721" t="str">
        <f>"20190303161908367"</f>
        <v>20190303161908367</v>
      </c>
      <c r="B1721" t="str">
        <f>"1551601148364029"</f>
        <v>1551601148364029</v>
      </c>
      <c r="C1721" t="s">
        <v>40</v>
      </c>
      <c r="D1721">
        <v>4.9774510000000003</v>
      </c>
      <c r="E1721">
        <v>0.59631129999999999</v>
      </c>
      <c r="F1721" t="s">
        <v>46</v>
      </c>
      <c r="G1721">
        <v>-203.67019999999999</v>
      </c>
      <c r="H1721" s="1">
        <v>-4.2047209999999997E-6</v>
      </c>
      <c r="I1721">
        <v>360.96170000000001</v>
      </c>
      <c r="J1721">
        <v>-210.8706</v>
      </c>
      <c r="K1721">
        <v>1.120555</v>
      </c>
      <c r="L1721">
        <v>367.11750000000001</v>
      </c>
      <c r="M1721">
        <v>0.99455150000000003</v>
      </c>
      <c r="N1721">
        <v>-1.3763650000000001E-2</v>
      </c>
      <c r="O1721">
        <v>-0.103334</v>
      </c>
      <c r="P1721">
        <v>0.88700900000000005</v>
      </c>
      <c r="Q1721">
        <v>0.10879659999999999</v>
      </c>
      <c r="R1721">
        <v>-0.4487526</v>
      </c>
      <c r="S1721">
        <v>2.4020229999999998</v>
      </c>
      <c r="T1721">
        <v>-0.36955120000000002</v>
      </c>
      <c r="U1721">
        <v>-2.0335079999999999</v>
      </c>
      <c r="V1721">
        <v>0.3549794</v>
      </c>
      <c r="W1721">
        <v>0.1206989</v>
      </c>
      <c r="X1721">
        <v>0.92704989999999998</v>
      </c>
      <c r="Y1721">
        <v>0.56008459999999904</v>
      </c>
      <c r="Z1721">
        <v>-2.9221150000000001E-2</v>
      </c>
      <c r="AA1721">
        <v>0.82791990000000004</v>
      </c>
      <c r="AB1721">
        <v>14</v>
      </c>
      <c r="AC1721">
        <v>7.2004000000000001</v>
      </c>
      <c r="AD1721">
        <v>-1.120559204721</v>
      </c>
      <c r="AE1721">
        <v>-6.1557999999999904</v>
      </c>
      <c r="AF1721">
        <v>5.3045018406848801</v>
      </c>
      <c r="AG1721">
        <v>-1.120559204721</v>
      </c>
      <c r="AH1721">
        <v>7.6904050413493996</v>
      </c>
      <c r="AI1721">
        <v>96.839590685447604</v>
      </c>
      <c r="AJ1721">
        <v>55.403802499182902</v>
      </c>
      <c r="AK1721">
        <v>9.4093422941843592</v>
      </c>
      <c r="AL1721">
        <v>83.067560616090702</v>
      </c>
      <c r="AM1721">
        <v>69.047510487518693</v>
      </c>
      <c r="AN1721">
        <v>1.0000000579877799</v>
      </c>
    </row>
    <row r="1722" spans="1:40" x14ac:dyDescent="0.25">
      <c r="A1722" t="str">
        <f>"20190303161908381"</f>
        <v>20190303161908381</v>
      </c>
      <c r="B1722" t="str">
        <f>"1551601148374765"</f>
        <v>1551601148374765</v>
      </c>
      <c r="C1722" t="s">
        <v>40</v>
      </c>
      <c r="D1722">
        <v>4.8760139999999996</v>
      </c>
      <c r="E1722">
        <v>0.59625969999999995</v>
      </c>
      <c r="F1722" t="s">
        <v>46</v>
      </c>
      <c r="G1722">
        <v>-203.6798</v>
      </c>
      <c r="H1722" s="1">
        <v>-4.2034539999999997E-6</v>
      </c>
      <c r="I1722">
        <v>360.98899999999998</v>
      </c>
      <c r="J1722">
        <v>-210.78059999999999</v>
      </c>
      <c r="K1722">
        <v>1.1205449999999999</v>
      </c>
      <c r="L1722">
        <v>367.10629999999998</v>
      </c>
      <c r="M1722">
        <v>0.99438409999999999</v>
      </c>
      <c r="N1722">
        <v>-1.376171E-2</v>
      </c>
      <c r="O1722">
        <v>-0.1049332</v>
      </c>
      <c r="P1722">
        <v>0.88565039999999995</v>
      </c>
      <c r="Q1722">
        <v>0.107698</v>
      </c>
      <c r="R1722">
        <v>-0.4516907</v>
      </c>
      <c r="S1722">
        <v>2.395187</v>
      </c>
      <c r="T1722">
        <v>-0.37324499999999999</v>
      </c>
      <c r="U1722">
        <v>-2.0413209999999999</v>
      </c>
      <c r="V1722">
        <v>0.35654989999999998</v>
      </c>
      <c r="W1722">
        <v>0.1195817</v>
      </c>
      <c r="X1722">
        <v>0.92659179999999997</v>
      </c>
      <c r="Y1722">
        <v>0.5614114</v>
      </c>
      <c r="Z1722">
        <v>-2.939773E-2</v>
      </c>
      <c r="AA1722">
        <v>0.82701460000000004</v>
      </c>
      <c r="AB1722">
        <v>14</v>
      </c>
      <c r="AC1722">
        <v>7.1007999999999898</v>
      </c>
      <c r="AD1722">
        <v>-1.1205492034540001</v>
      </c>
      <c r="AE1722">
        <v>-6.1172999999999398</v>
      </c>
      <c r="AF1722">
        <v>5.2631101501672299</v>
      </c>
      <c r="AG1722">
        <v>-1.1205492034540001</v>
      </c>
      <c r="AH1722">
        <v>7.5949961486767199</v>
      </c>
      <c r="AI1722">
        <v>96.914314842300399</v>
      </c>
      <c r="AJ1722">
        <v>55.279173060674502</v>
      </c>
      <c r="AK1722">
        <v>9.30805701897925</v>
      </c>
      <c r="AL1722">
        <v>83.132038002727299</v>
      </c>
      <c r="AM1722">
        <v>68.953416328564501</v>
      </c>
      <c r="AN1722">
        <v>0.99999998899606901</v>
      </c>
    </row>
    <row r="1723" spans="1:40" x14ac:dyDescent="0.25">
      <c r="A1723" t="str">
        <f>"20190303161908394"</f>
        <v>20190303161908394</v>
      </c>
      <c r="B1723" t="str">
        <f>"1551601148384526"</f>
        <v>1551601148384526</v>
      </c>
      <c r="C1723" t="s">
        <v>40</v>
      </c>
      <c r="D1723">
        <v>4.8847589999999999</v>
      </c>
      <c r="E1723">
        <v>0.59628680000000001</v>
      </c>
      <c r="F1723" t="s">
        <v>46</v>
      </c>
      <c r="G1723">
        <v>-203.7107</v>
      </c>
      <c r="H1723" s="1">
        <v>-4.2070830000000001E-6</v>
      </c>
      <c r="I1723">
        <v>361.0428</v>
      </c>
      <c r="J1723">
        <v>-210.7012</v>
      </c>
      <c r="K1723">
        <v>1.120528</v>
      </c>
      <c r="L1723">
        <v>367.09620000000001</v>
      </c>
      <c r="M1723">
        <v>0.99423309999999998</v>
      </c>
      <c r="N1723">
        <v>-1.3760079999999999E-2</v>
      </c>
      <c r="O1723">
        <v>-0.1063547</v>
      </c>
      <c r="P1723">
        <v>0.88364989999999999</v>
      </c>
      <c r="Q1723">
        <v>0.1055521</v>
      </c>
      <c r="R1723">
        <v>-0.4560941</v>
      </c>
      <c r="S1723">
        <v>2.3885800000000001</v>
      </c>
      <c r="T1723">
        <v>-0.3785771</v>
      </c>
      <c r="U1723">
        <v>-2.0485530000000001</v>
      </c>
      <c r="V1723">
        <v>0.35981039999999997</v>
      </c>
      <c r="W1723">
        <v>0.1174057</v>
      </c>
      <c r="X1723">
        <v>0.92560920000000002</v>
      </c>
      <c r="Y1723">
        <v>0.56269709999999995</v>
      </c>
      <c r="Z1723">
        <v>-2.9693359999999999E-2</v>
      </c>
      <c r="AA1723">
        <v>0.82612969999999897</v>
      </c>
      <c r="AB1723">
        <v>14</v>
      </c>
      <c r="AC1723">
        <v>6.9904999999999902</v>
      </c>
      <c r="AD1723">
        <v>-1.1205322070829999</v>
      </c>
      <c r="AE1723">
        <v>-6.0534000000000097</v>
      </c>
      <c r="AF1723">
        <v>5.1991754432527397</v>
      </c>
      <c r="AG1723">
        <v>-1.1205322070829999</v>
      </c>
      <c r="AH1723">
        <v>7.4848097924590702</v>
      </c>
      <c r="AI1723">
        <v>97.009594448768794</v>
      </c>
      <c r="AJ1723">
        <v>55.214986281105404</v>
      </c>
      <c r="AK1723">
        <v>9.1820147759695896</v>
      </c>
      <c r="AL1723">
        <v>83.257598362978996</v>
      </c>
      <c r="AM1723">
        <v>68.757492154590906</v>
      </c>
      <c r="AN1723">
        <v>1.00000000673264</v>
      </c>
    </row>
    <row r="1724" spans="1:40" x14ac:dyDescent="0.25">
      <c r="A1724" t="str">
        <f>"20190303161908409"</f>
        <v>20190303161908409</v>
      </c>
      <c r="B1724" t="str">
        <f>"1551601148404046"</f>
        <v>1551601148404046</v>
      </c>
      <c r="C1724" t="s">
        <v>40</v>
      </c>
      <c r="D1724">
        <v>4.896147</v>
      </c>
      <c r="E1724">
        <v>0.59643579999999996</v>
      </c>
      <c r="F1724" t="s">
        <v>46</v>
      </c>
      <c r="G1724">
        <v>-203.8134</v>
      </c>
      <c r="H1724" s="1">
        <v>-4.2399550000000003E-6</v>
      </c>
      <c r="I1724">
        <v>361.12759999999997</v>
      </c>
      <c r="J1724">
        <v>-210.60419999999999</v>
      </c>
      <c r="K1724">
        <v>1.120522</v>
      </c>
      <c r="L1724">
        <v>367.08370000000002</v>
      </c>
      <c r="M1724">
        <v>0.9940447</v>
      </c>
      <c r="N1724">
        <v>-1.375816E-2</v>
      </c>
      <c r="O1724">
        <v>-0.1081017</v>
      </c>
      <c r="P1724">
        <v>0.88208920000000002</v>
      </c>
      <c r="Q1724">
        <v>0.1045292</v>
      </c>
      <c r="R1724">
        <v>-0.45933940000000001</v>
      </c>
      <c r="S1724">
        <v>2.3777309999999998</v>
      </c>
      <c r="T1724">
        <v>-0.38681379999999999</v>
      </c>
      <c r="U1724">
        <v>-2.0603940000000001</v>
      </c>
      <c r="V1724">
        <v>0.36157549999999999</v>
      </c>
      <c r="W1724">
        <v>0.1163609</v>
      </c>
      <c r="X1724">
        <v>0.92505309999999996</v>
      </c>
      <c r="Y1724">
        <v>0.56528369999999994</v>
      </c>
      <c r="Z1724">
        <v>-3.0251360000000001E-2</v>
      </c>
      <c r="AA1724">
        <v>0.82434169999999996</v>
      </c>
      <c r="AB1724">
        <v>14</v>
      </c>
      <c r="AC1724">
        <v>6.7907999999999902</v>
      </c>
      <c r="AD1724">
        <v>-1.120526239955</v>
      </c>
      <c r="AE1724">
        <v>-5.9561000000000401</v>
      </c>
      <c r="AF1724">
        <v>5.1084105673192903</v>
      </c>
      <c r="AG1724">
        <v>-1.120526239955</v>
      </c>
      <c r="AH1724">
        <v>7.2828479406131397</v>
      </c>
      <c r="AI1724">
        <v>97.179217812665399</v>
      </c>
      <c r="AJ1724">
        <v>54.953014794661399</v>
      </c>
      <c r="AK1724">
        <v>8.9661202147205294</v>
      </c>
      <c r="AL1724">
        <v>83.317873897136806</v>
      </c>
      <c r="AM1724">
        <v>68.650962913714295</v>
      </c>
      <c r="AN1724">
        <v>0.99999996953433401</v>
      </c>
    </row>
    <row r="1725" spans="1:40" x14ac:dyDescent="0.25">
      <c r="A1725" t="str">
        <f>"20190303161908422"</f>
        <v>20190303161908422</v>
      </c>
      <c r="B1725" t="str">
        <f>"1551601148413805"</f>
        <v>1551601148413805</v>
      </c>
      <c r="C1725" t="s">
        <v>40</v>
      </c>
      <c r="D1725">
        <v>4.799112</v>
      </c>
      <c r="E1725">
        <v>0.59641899999999903</v>
      </c>
      <c r="F1725" t="s">
        <v>46</v>
      </c>
      <c r="G1725">
        <v>-203.83519999999999</v>
      </c>
      <c r="H1725" s="1">
        <v>-4.2415669999999999E-6</v>
      </c>
      <c r="I1725">
        <v>361.16980000000001</v>
      </c>
      <c r="J1725">
        <v>-210.51900000000001</v>
      </c>
      <c r="K1725">
        <v>1.1205099999999999</v>
      </c>
      <c r="L1725">
        <v>367.07260000000002</v>
      </c>
      <c r="M1725">
        <v>0.99387510000000001</v>
      </c>
      <c r="N1725">
        <v>-1.3756569999999999E-2</v>
      </c>
      <c r="O1725">
        <v>-0.10965030000000001</v>
      </c>
      <c r="P1725">
        <v>0.88071730000000004</v>
      </c>
      <c r="Q1725">
        <v>0.1036942</v>
      </c>
      <c r="R1725">
        <v>-0.46215250000000002</v>
      </c>
      <c r="S1725">
        <v>2.3694760000000001</v>
      </c>
      <c r="T1725">
        <v>-0.39223400000000003</v>
      </c>
      <c r="U1725">
        <v>-2.0701290000000001</v>
      </c>
      <c r="V1725">
        <v>0.36307840000000002</v>
      </c>
      <c r="W1725">
        <v>0.115507</v>
      </c>
      <c r="X1725">
        <v>0.92457140000000004</v>
      </c>
      <c r="Y1725">
        <v>0.56722649999999997</v>
      </c>
      <c r="Z1725">
        <v>-3.059065E-2</v>
      </c>
      <c r="AA1725">
        <v>0.82299349999999905</v>
      </c>
      <c r="AB1725">
        <v>14</v>
      </c>
      <c r="AC1725">
        <v>6.6838000000000104</v>
      </c>
      <c r="AD1725">
        <v>-1.120514241567</v>
      </c>
      <c r="AE1725">
        <v>-5.9028000000000098</v>
      </c>
      <c r="AF1725">
        <v>5.0544416697381997</v>
      </c>
      <c r="AG1725">
        <v>-1.120514241567</v>
      </c>
      <c r="AH1725">
        <v>7.1774642141400804</v>
      </c>
      <c r="AI1725">
        <v>97.274010398093594</v>
      </c>
      <c r="AJ1725">
        <v>54.846412532311</v>
      </c>
      <c r="AK1725">
        <v>8.8497980374470604</v>
      </c>
      <c r="AL1725">
        <v>83.367131330566806</v>
      </c>
      <c r="AM1725">
        <v>68.560106263126698</v>
      </c>
      <c r="AN1725">
        <v>1.00000003264675</v>
      </c>
    </row>
    <row r="1726" spans="1:40" x14ac:dyDescent="0.25">
      <c r="A1726" t="str">
        <f>"20190303161908434"</f>
        <v>20190303161908434</v>
      </c>
      <c r="B1726" t="str">
        <f>"1551601148423567"</f>
        <v>1551601148423567</v>
      </c>
      <c r="C1726" t="s">
        <v>40</v>
      </c>
      <c r="D1726">
        <v>4.8143919999999998</v>
      </c>
      <c r="E1726">
        <v>0.59645039999999905</v>
      </c>
      <c r="F1726" t="s">
        <v>46</v>
      </c>
      <c r="G1726">
        <v>-203.83269999999999</v>
      </c>
      <c r="H1726" s="1">
        <v>-4.2352669999999996E-6</v>
      </c>
      <c r="I1726">
        <v>361.1927</v>
      </c>
      <c r="J1726">
        <v>-210.4435</v>
      </c>
      <c r="K1726">
        <v>1.1205020000000001</v>
      </c>
      <c r="L1726">
        <v>367.06270000000001</v>
      </c>
      <c r="M1726">
        <v>0.99372169999999904</v>
      </c>
      <c r="N1726">
        <v>-1.37552E-2</v>
      </c>
      <c r="O1726">
        <v>-0.1110318</v>
      </c>
      <c r="P1726">
        <v>0.87950659999999903</v>
      </c>
      <c r="Q1726">
        <v>0.1031203</v>
      </c>
      <c r="R1726">
        <v>-0.46457999999999999</v>
      </c>
      <c r="S1726">
        <v>2.3626399999999999</v>
      </c>
      <c r="T1726">
        <v>-0.39594170000000001</v>
      </c>
      <c r="U1726">
        <v>-2.077728</v>
      </c>
      <c r="V1726">
        <v>0.36433759999999998</v>
      </c>
      <c r="W1726">
        <v>0.1149178</v>
      </c>
      <c r="X1726">
        <v>0.92414940000000001</v>
      </c>
      <c r="Y1726">
        <v>0.56867559999999995</v>
      </c>
      <c r="Z1726">
        <v>-3.079753E-2</v>
      </c>
      <c r="AA1726">
        <v>0.82198510000000002</v>
      </c>
      <c r="AB1726">
        <v>14</v>
      </c>
      <c r="AC1726">
        <v>6.61080000000001</v>
      </c>
      <c r="AD1726">
        <v>-1.1205062352670001</v>
      </c>
      <c r="AE1726">
        <v>-5.87</v>
      </c>
      <c r="AF1726">
        <v>5.01899581790562</v>
      </c>
      <c r="AG1726">
        <v>-1.1205062352670001</v>
      </c>
      <c r="AH1726">
        <v>7.10756107651964</v>
      </c>
      <c r="AI1726">
        <v>97.338090514212496</v>
      </c>
      <c r="AJ1726">
        <v>54.772218531389697</v>
      </c>
      <c r="AK1726">
        <v>8.7728716906086905</v>
      </c>
      <c r="AL1726">
        <v>83.401116431853296</v>
      </c>
      <c r="AM1726">
        <v>68.483607081064804</v>
      </c>
      <c r="AN1726">
        <v>1.00000005052547</v>
      </c>
    </row>
    <row r="1727" spans="1:40" x14ac:dyDescent="0.25">
      <c r="A1727" t="str">
        <f>"20190303161908449"</f>
        <v>20190303161908449</v>
      </c>
      <c r="B1727" t="str">
        <f>"1551601148444462"</f>
        <v>1551601148444462</v>
      </c>
      <c r="C1727" t="s">
        <v>40</v>
      </c>
      <c r="D1727">
        <v>4.8315710000000003</v>
      </c>
      <c r="E1727">
        <v>0.59648020000000002</v>
      </c>
      <c r="F1727" t="s">
        <v>46</v>
      </c>
      <c r="G1727">
        <v>-203.81049999999999</v>
      </c>
      <c r="H1727" s="1">
        <v>-4.2235649999999998E-6</v>
      </c>
      <c r="I1727">
        <v>361.19510000000002</v>
      </c>
      <c r="J1727">
        <v>-210.34960000000001</v>
      </c>
      <c r="K1727">
        <v>1.120495</v>
      </c>
      <c r="L1727">
        <v>367.05009999999999</v>
      </c>
      <c r="M1727">
        <v>0.9935273</v>
      </c>
      <c r="N1727">
        <v>-1.375349E-2</v>
      </c>
      <c r="O1727">
        <v>-0.1127594</v>
      </c>
      <c r="P1727">
        <v>0.87818799999999997</v>
      </c>
      <c r="Q1727">
        <v>0.1024626</v>
      </c>
      <c r="R1727">
        <v>-0.46721259999999998</v>
      </c>
      <c r="S1727">
        <v>2.3565369999999999</v>
      </c>
      <c r="T1727">
        <v>-0.39808789999999999</v>
      </c>
      <c r="U1727">
        <v>-2.0845950000000002</v>
      </c>
      <c r="V1727">
        <v>0.36549219999999999</v>
      </c>
      <c r="W1727">
        <v>0.1142446</v>
      </c>
      <c r="X1727">
        <v>0.92377690000000001</v>
      </c>
      <c r="Y1727">
        <v>0.5696059</v>
      </c>
      <c r="Z1727">
        <v>-3.081557E-2</v>
      </c>
      <c r="AA1727">
        <v>0.82134010000000002</v>
      </c>
      <c r="AB1727">
        <v>14</v>
      </c>
      <c r="AC1727">
        <v>6.5391000000000101</v>
      </c>
      <c r="AD1727">
        <v>-1.120499223565</v>
      </c>
      <c r="AE1727">
        <v>-5.8549999999999596</v>
      </c>
      <c r="AF1727">
        <v>4.9987730536805097</v>
      </c>
      <c r="AG1727">
        <v>-1.120499223565</v>
      </c>
      <c r="AH1727">
        <v>7.0428801187526</v>
      </c>
      <c r="AI1727">
        <v>97.392223192654498</v>
      </c>
      <c r="AJ1727">
        <v>54.634291656625301</v>
      </c>
      <c r="AK1727">
        <v>8.7089270819850597</v>
      </c>
      <c r="AL1727">
        <v>83.439943791313894</v>
      </c>
      <c r="AM1727">
        <v>68.413778445760897</v>
      </c>
      <c r="AN1727">
        <v>1.0000000689318</v>
      </c>
    </row>
    <row r="1728" spans="1:40" x14ac:dyDescent="0.25">
      <c r="A1728" t="str">
        <f>"20190303161908461"</f>
        <v>20190303161908461</v>
      </c>
      <c r="B1728" t="str">
        <f>"1551601148454224"</f>
        <v>1551601148454224</v>
      </c>
      <c r="C1728" t="s">
        <v>40</v>
      </c>
      <c r="D1728">
        <v>4.8435240000000004</v>
      </c>
      <c r="E1728">
        <v>0.59645890000000001</v>
      </c>
      <c r="F1728" t="s">
        <v>46</v>
      </c>
      <c r="G1728">
        <v>-203.78659999999999</v>
      </c>
      <c r="H1728" s="1">
        <v>-4.2090879999999997E-6</v>
      </c>
      <c r="I1728">
        <v>361.20609999999999</v>
      </c>
      <c r="J1728">
        <v>-210.274</v>
      </c>
      <c r="K1728">
        <v>1.120492</v>
      </c>
      <c r="L1728">
        <v>367.03989999999999</v>
      </c>
      <c r="M1728">
        <v>0.99336709999999995</v>
      </c>
      <c r="N1728">
        <v>-1.375208E-2</v>
      </c>
      <c r="O1728">
        <v>-0.11416129999999999</v>
      </c>
      <c r="P1728">
        <v>0.87723390000000001</v>
      </c>
      <c r="Q1728">
        <v>0.10234360000000001</v>
      </c>
      <c r="R1728">
        <v>-0.46902779999999999</v>
      </c>
      <c r="S1728">
        <v>2.349777</v>
      </c>
      <c r="T1728">
        <v>-0.40117659999999999</v>
      </c>
      <c r="U1728">
        <v>-2.092346</v>
      </c>
      <c r="V1728">
        <v>0.36609900000000001</v>
      </c>
      <c r="W1728">
        <v>0.1141167</v>
      </c>
      <c r="X1728">
        <v>0.92355229999999999</v>
      </c>
      <c r="Y1728">
        <v>0.5710634</v>
      </c>
      <c r="Z1728">
        <v>-3.097776E-2</v>
      </c>
      <c r="AA1728">
        <v>0.82032129999999903</v>
      </c>
      <c r="AB1728">
        <v>14</v>
      </c>
      <c r="AC1728">
        <v>6.4874000000000001</v>
      </c>
      <c r="AD1728">
        <v>-1.120496209088</v>
      </c>
      <c r="AE1728">
        <v>-5.8337999999999903</v>
      </c>
      <c r="AF1728">
        <v>4.9729491715090699</v>
      </c>
      <c r="AG1728">
        <v>-1.120496209088</v>
      </c>
      <c r="AH1728">
        <v>6.9956501203262302</v>
      </c>
      <c r="AI1728">
        <v>97.437731495893701</v>
      </c>
      <c r="AJ1728">
        <v>54.592385381031399</v>
      </c>
      <c r="AK1728">
        <v>8.65591449952076</v>
      </c>
      <c r="AL1728">
        <v>83.447319543766895</v>
      </c>
      <c r="AM1728">
        <v>68.376471658699401</v>
      </c>
      <c r="AN1728">
        <v>0.99999997492758896</v>
      </c>
    </row>
    <row r="1729" spans="1:40" x14ac:dyDescent="0.25">
      <c r="A1729" t="str">
        <f>"20190303161908472"</f>
        <v>20190303161908472</v>
      </c>
      <c r="B1729" t="str">
        <f>"1551601148463982"</f>
        <v>1551601148463982</v>
      </c>
      <c r="C1729" t="s">
        <v>40</v>
      </c>
      <c r="D1729">
        <v>4.8388999999999998</v>
      </c>
      <c r="E1729">
        <v>0.59643000000000002</v>
      </c>
      <c r="F1729" t="s">
        <v>46</v>
      </c>
      <c r="G1729">
        <v>-203.74610000000001</v>
      </c>
      <c r="H1729" s="1">
        <v>-4.1895509999999998E-6</v>
      </c>
      <c r="I1729">
        <v>361.20229999999998</v>
      </c>
      <c r="J1729">
        <v>-210.2045</v>
      </c>
      <c r="K1729">
        <v>1.1204889999999901</v>
      </c>
      <c r="L1729">
        <v>367.03039999999999</v>
      </c>
      <c r="M1729">
        <v>0.99321760000000003</v>
      </c>
      <c r="N1729">
        <v>-1.3750790000000001E-2</v>
      </c>
      <c r="O1729">
        <v>-0.1154553</v>
      </c>
      <c r="P1729">
        <v>0.87651029999999996</v>
      </c>
      <c r="Q1729">
        <v>0.1023881</v>
      </c>
      <c r="R1729">
        <v>-0.47036909999999998</v>
      </c>
      <c r="S1729">
        <v>2.3453979999999999</v>
      </c>
      <c r="T1729">
        <v>-0.40258539999999998</v>
      </c>
      <c r="U1729">
        <v>-2.0974119999999998</v>
      </c>
      <c r="V1729">
        <v>0.36631039999999998</v>
      </c>
      <c r="W1729">
        <v>0.1141551</v>
      </c>
      <c r="X1729">
        <v>0.92346379999999995</v>
      </c>
      <c r="Y1729">
        <v>0.57171459999999996</v>
      </c>
      <c r="Z1729">
        <v>-3.09714E-2</v>
      </c>
      <c r="AA1729">
        <v>0.81986780000000004</v>
      </c>
      <c r="AB1729">
        <v>14</v>
      </c>
      <c r="AC1729">
        <v>6.4583999999999797</v>
      </c>
      <c r="AD1729">
        <v>-1.12049318955099</v>
      </c>
      <c r="AE1729">
        <v>-5.8281000000000001</v>
      </c>
      <c r="AF1729">
        <v>4.96108606469872</v>
      </c>
      <c r="AG1729">
        <v>-1.12049318955099</v>
      </c>
      <c r="AH1729">
        <v>6.9724764770843999</v>
      </c>
      <c r="AI1729">
        <v>97.459849718649906</v>
      </c>
      <c r="AJ1729">
        <v>54.567226739166799</v>
      </c>
      <c r="AK1729">
        <v>8.6303712638954995</v>
      </c>
      <c r="AL1729">
        <v>83.445105361375397</v>
      </c>
      <c r="AM1729">
        <v>68.363256770640703</v>
      </c>
      <c r="AN1729">
        <v>1.0000000429572999</v>
      </c>
    </row>
    <row r="1730" spans="1:40" x14ac:dyDescent="0.25">
      <c r="A1730" t="str">
        <f>"20190303161908484"</f>
        <v>20190303161908484</v>
      </c>
      <c r="B1730" t="str">
        <f>"1551601148474718"</f>
        <v>1551601148474718</v>
      </c>
      <c r="C1730" t="s">
        <v>40</v>
      </c>
      <c r="D1730">
        <v>4.7979520000000004</v>
      </c>
      <c r="E1730">
        <v>0.59636840000000002</v>
      </c>
      <c r="F1730" t="s">
        <v>46</v>
      </c>
      <c r="G1730">
        <v>-203.69919999999999</v>
      </c>
      <c r="H1730" s="1">
        <v>-4.1670729999999998E-6</v>
      </c>
      <c r="I1730">
        <v>361.19709999999998</v>
      </c>
      <c r="J1730">
        <v>-210.12649999999999</v>
      </c>
      <c r="K1730">
        <v>1.120484</v>
      </c>
      <c r="L1730">
        <v>367.0197</v>
      </c>
      <c r="M1730">
        <v>0.99304729999999997</v>
      </c>
      <c r="N1730">
        <v>-1.3749330000000001E-2</v>
      </c>
      <c r="O1730">
        <v>-0.116911</v>
      </c>
      <c r="P1730">
        <v>0.87555239999999901</v>
      </c>
      <c r="Q1730">
        <v>0.1027565</v>
      </c>
      <c r="R1730">
        <v>-0.47206949999999998</v>
      </c>
      <c r="S1730">
        <v>2.3425600000000002</v>
      </c>
      <c r="T1730">
        <v>-0.40349049999999997</v>
      </c>
      <c r="U1730">
        <v>-2.1005549999999999</v>
      </c>
      <c r="V1730">
        <v>0.36675669999999999</v>
      </c>
      <c r="W1730">
        <v>0.1145161</v>
      </c>
      <c r="X1730">
        <v>0.92324189999999995</v>
      </c>
      <c r="Y1730">
        <v>0.57161090000000003</v>
      </c>
      <c r="Z1730">
        <v>-3.084334E-2</v>
      </c>
      <c r="AA1730">
        <v>0.81994489999999998</v>
      </c>
      <c r="AB1730">
        <v>14</v>
      </c>
      <c r="AC1730">
        <v>6.4272999999999998</v>
      </c>
      <c r="AD1730">
        <v>-1.120488167073</v>
      </c>
      <c r="AE1730">
        <v>-5.82260000000002</v>
      </c>
      <c r="AF1730">
        <v>4.9485661532724698</v>
      </c>
      <c r="AG1730">
        <v>-1.120488167073</v>
      </c>
      <c r="AH1730">
        <v>6.9480258384847602</v>
      </c>
      <c r="AI1730">
        <v>97.483317028408095</v>
      </c>
      <c r="AJ1730">
        <v>54.5405338411055</v>
      </c>
      <c r="AK1730">
        <v>8.6034216308464302</v>
      </c>
      <c r="AL1730">
        <v>83.424284832512697</v>
      </c>
      <c r="AM1730">
        <v>68.334611058098403</v>
      </c>
      <c r="AN1730">
        <v>1.0000000100348501</v>
      </c>
    </row>
    <row r="1731" spans="1:40" x14ac:dyDescent="0.25">
      <c r="A1731" t="str">
        <f>"20190303161908497"</f>
        <v>20190303161908497</v>
      </c>
      <c r="B1731" t="str">
        <f>"1551601148484479"</f>
        <v>1551601148484479</v>
      </c>
      <c r="C1731" t="s">
        <v>40</v>
      </c>
      <c r="D1731">
        <v>4.7849760000000003</v>
      </c>
      <c r="E1731">
        <v>0.59632510000000005</v>
      </c>
      <c r="F1731" t="s">
        <v>46</v>
      </c>
      <c r="G1731">
        <v>-203.63249999999999</v>
      </c>
      <c r="H1731" s="1">
        <v>-4.1388290000000002E-6</v>
      </c>
      <c r="I1731">
        <v>361.17320000000001</v>
      </c>
      <c r="J1731">
        <v>-210.05199999999999</v>
      </c>
      <c r="K1731">
        <v>1.120479</v>
      </c>
      <c r="L1731">
        <v>367.00920000000002</v>
      </c>
      <c r="M1731">
        <v>0.99288100000000001</v>
      </c>
      <c r="N1731">
        <v>-1.374792E-2</v>
      </c>
      <c r="O1731">
        <v>-0.1183152</v>
      </c>
      <c r="P1731">
        <v>0.87461169999999999</v>
      </c>
      <c r="Q1731">
        <v>0.1027082</v>
      </c>
      <c r="R1731">
        <v>-0.47382030000000003</v>
      </c>
      <c r="S1731">
        <v>2.3386079999999998</v>
      </c>
      <c r="T1731">
        <v>-0.40350619999999998</v>
      </c>
      <c r="U1731">
        <v>-2.1054080000000002</v>
      </c>
      <c r="V1731">
        <v>0.36729909999999999</v>
      </c>
      <c r="W1731">
        <v>0.1144597</v>
      </c>
      <c r="X1731">
        <v>0.9230332</v>
      </c>
      <c r="Y1731">
        <v>0.57208539999999997</v>
      </c>
      <c r="Z1731">
        <v>-3.0718260000000001E-2</v>
      </c>
      <c r="AA1731">
        <v>0.81961859999999997</v>
      </c>
      <c r="AB1731">
        <v>14</v>
      </c>
      <c r="AC1731">
        <v>6.4195000000000197</v>
      </c>
      <c r="AD1731">
        <v>-1.120483138829</v>
      </c>
      <c r="AE1731">
        <v>-5.8360000000000101</v>
      </c>
      <c r="AF1731">
        <v>4.9527921227961</v>
      </c>
      <c r="AG1731">
        <v>-1.120483138829</v>
      </c>
      <c r="AH1731">
        <v>6.9490443288363499</v>
      </c>
      <c r="AI1731">
        <v>97.480438611414201</v>
      </c>
      <c r="AJ1731">
        <v>54.5213893654754</v>
      </c>
      <c r="AK1731">
        <v>8.6066746981725597</v>
      </c>
      <c r="AL1731">
        <v>83.427537439231898</v>
      </c>
      <c r="AM1731">
        <v>68.301094394304499</v>
      </c>
      <c r="AN1731">
        <v>0.999999970043569</v>
      </c>
    </row>
    <row r="1732" spans="1:40" x14ac:dyDescent="0.25">
      <c r="A1732" t="str">
        <f>"20190303161908508"</f>
        <v>20190303161908508</v>
      </c>
      <c r="B1732" t="str">
        <f>"1551601148504000"</f>
        <v>1551601148504000</v>
      </c>
      <c r="C1732" t="s">
        <v>40</v>
      </c>
      <c r="D1732">
        <v>4.8185469999999997</v>
      </c>
      <c r="E1732">
        <v>0.59626919999999894</v>
      </c>
      <c r="F1732" t="s">
        <v>46</v>
      </c>
      <c r="G1732">
        <v>-203.5872</v>
      </c>
      <c r="H1732" s="1">
        <v>-4.117362E-6</v>
      </c>
      <c r="I1732">
        <v>361.16730000000001</v>
      </c>
      <c r="J1732">
        <v>-209.9759</v>
      </c>
      <c r="K1732">
        <v>1.120474</v>
      </c>
      <c r="L1732">
        <v>366.9984</v>
      </c>
      <c r="M1732">
        <v>0.99270809999999998</v>
      </c>
      <c r="N1732">
        <v>-1.374651E-2</v>
      </c>
      <c r="O1732">
        <v>-0.1197564</v>
      </c>
      <c r="P1732">
        <v>0.87348479999999995</v>
      </c>
      <c r="Q1732">
        <v>0.1021238</v>
      </c>
      <c r="R1732">
        <v>-0.47602040000000001</v>
      </c>
      <c r="S1732">
        <v>2.334686</v>
      </c>
      <c r="T1732">
        <v>-0.40464820000000001</v>
      </c>
      <c r="U1732">
        <v>-2.1097410000000001</v>
      </c>
      <c r="V1732">
        <v>0.36827530000000003</v>
      </c>
      <c r="W1732">
        <v>0.1138638</v>
      </c>
      <c r="X1732">
        <v>0.92271789999999998</v>
      </c>
      <c r="Y1732">
        <v>0.57240249999999904</v>
      </c>
      <c r="Z1732">
        <v>-3.06447E-2</v>
      </c>
      <c r="AA1732">
        <v>0.81940000000000002</v>
      </c>
      <c r="AB1732">
        <v>14</v>
      </c>
      <c r="AC1732">
        <v>6.3887</v>
      </c>
      <c r="AD1732">
        <v>-1.120478117362</v>
      </c>
      <c r="AE1732">
        <v>-5.8310999999999904</v>
      </c>
      <c r="AF1732">
        <v>4.9410539415769898</v>
      </c>
      <c r="AG1732">
        <v>-1.120478117362</v>
      </c>
      <c r="AH1732">
        <v>6.9248881405978802</v>
      </c>
      <c r="AI1732">
        <v>97.503427651030407</v>
      </c>
      <c r="AJ1732">
        <v>54.4913407186055</v>
      </c>
      <c r="AK1732">
        <v>8.5804172989927299</v>
      </c>
      <c r="AL1732">
        <v>83.4619048286972</v>
      </c>
      <c r="AM1732">
        <v>68.2420624057483</v>
      </c>
      <c r="AN1732">
        <v>0.99999999226046998</v>
      </c>
    </row>
    <row r="1733" spans="1:40" x14ac:dyDescent="0.25">
      <c r="A1733" t="str">
        <f>"20190303161908519"</f>
        <v>20190303161908519</v>
      </c>
      <c r="B1733" t="str">
        <f>"1551601148514734"</f>
        <v>1551601148514734</v>
      </c>
      <c r="C1733" t="s">
        <v>40</v>
      </c>
      <c r="D1733">
        <v>4.808192</v>
      </c>
      <c r="E1733">
        <v>0.59629809999999905</v>
      </c>
      <c r="F1733" t="s">
        <v>46</v>
      </c>
      <c r="G1733">
        <v>-203.57169999999999</v>
      </c>
      <c r="H1733" s="1">
        <v>-4.105564E-6</v>
      </c>
      <c r="I1733">
        <v>361.18540000000002</v>
      </c>
      <c r="J1733">
        <v>-209.90190000000001</v>
      </c>
      <c r="K1733">
        <v>1.1204620000000001</v>
      </c>
      <c r="L1733">
        <v>366.98790000000002</v>
      </c>
      <c r="M1733">
        <v>0.99253670000000005</v>
      </c>
      <c r="N1733">
        <v>-1.3745210000000001E-2</v>
      </c>
      <c r="O1733">
        <v>-0.1211695</v>
      </c>
      <c r="P1733">
        <v>0.87237500000000001</v>
      </c>
      <c r="Q1733">
        <v>0.10146330000000001</v>
      </c>
      <c r="R1733">
        <v>-0.47819149999999999</v>
      </c>
      <c r="S1733">
        <v>2.329742</v>
      </c>
      <c r="T1733">
        <v>-0.407613</v>
      </c>
      <c r="U1733">
        <v>-2.114716</v>
      </c>
      <c r="V1733">
        <v>0.36924879999999999</v>
      </c>
      <c r="W1733">
        <v>0.1131906</v>
      </c>
      <c r="X1733">
        <v>0.9224116</v>
      </c>
      <c r="Y1733">
        <v>0.57300430000000002</v>
      </c>
      <c r="Z1733">
        <v>-3.071314E-2</v>
      </c>
      <c r="AA1733">
        <v>0.8189767</v>
      </c>
      <c r="AB1733">
        <v>14</v>
      </c>
      <c r="AC1733">
        <v>6.3302000000000103</v>
      </c>
      <c r="AD1733">
        <v>-1.1204661055639999</v>
      </c>
      <c r="AE1733">
        <v>-5.8025000000000002</v>
      </c>
      <c r="AF1733">
        <v>4.9090608402174496</v>
      </c>
      <c r="AG1733">
        <v>-1.1204661055639999</v>
      </c>
      <c r="AH1733">
        <v>6.8697429812451496</v>
      </c>
      <c r="AI1733">
        <v>97.559101321592394</v>
      </c>
      <c r="AJ1733">
        <v>54.4507176904593</v>
      </c>
      <c r="AK1733">
        <v>8.5174932494860993</v>
      </c>
      <c r="AL1733">
        <v>83.500727221351099</v>
      </c>
      <c r="AM1733">
        <v>68.1833760485151</v>
      </c>
      <c r="AN1733">
        <v>0.99999997402217899</v>
      </c>
    </row>
    <row r="1734" spans="1:40" x14ac:dyDescent="0.25">
      <c r="A1734" t="str">
        <f>"20190303161908531"</f>
        <v>20190303161908531</v>
      </c>
      <c r="B1734" t="str">
        <f>"1551601148524495"</f>
        <v>1551601148524495</v>
      </c>
      <c r="C1734" t="s">
        <v>40</v>
      </c>
      <c r="D1734">
        <v>4.6771039999999999</v>
      </c>
      <c r="E1734">
        <v>0.59682860000000004</v>
      </c>
      <c r="F1734" t="s">
        <v>46</v>
      </c>
      <c r="G1734">
        <v>-203.5522</v>
      </c>
      <c r="H1734" s="1">
        <v>-4.0939470000000001E-6</v>
      </c>
      <c r="I1734">
        <v>361.19330000000002</v>
      </c>
      <c r="J1734">
        <v>-209.83189999999999</v>
      </c>
      <c r="K1734">
        <v>1.1204540000000001</v>
      </c>
      <c r="L1734">
        <v>366.97770000000003</v>
      </c>
      <c r="M1734">
        <v>0.9923708</v>
      </c>
      <c r="N1734">
        <v>-1.374412E-2</v>
      </c>
      <c r="O1734">
        <v>-0.12252109999999999</v>
      </c>
      <c r="P1734">
        <v>0.8710869</v>
      </c>
      <c r="Q1734">
        <v>0.1003767</v>
      </c>
      <c r="R1734">
        <v>-0.48076269999999999</v>
      </c>
      <c r="S1734">
        <v>2.324036</v>
      </c>
      <c r="T1734">
        <v>-0.41009380000000001</v>
      </c>
      <c r="U1734">
        <v>-2.120819</v>
      </c>
      <c r="V1734">
        <v>0.37069879999999999</v>
      </c>
      <c r="W1734">
        <v>0.11208609999999999</v>
      </c>
      <c r="X1734">
        <v>0.92196480000000003</v>
      </c>
      <c r="Y1734">
        <v>0.57401179999999996</v>
      </c>
      <c r="Z1734">
        <v>-3.0795329999999999E-2</v>
      </c>
      <c r="AA1734">
        <v>0.81826769999999904</v>
      </c>
      <c r="AB1734">
        <v>14</v>
      </c>
      <c r="AC1734">
        <v>6.2796999999999903</v>
      </c>
      <c r="AD1734">
        <v>-1.1204580939469999</v>
      </c>
      <c r="AE1734">
        <v>-5.7843999999999998</v>
      </c>
      <c r="AF1734">
        <v>4.8871730914352902</v>
      </c>
      <c r="AG1734">
        <v>-1.1204580939469999</v>
      </c>
      <c r="AH1734">
        <v>6.8236360635277196</v>
      </c>
      <c r="AI1734">
        <v>97.603761512945297</v>
      </c>
      <c r="AJ1734">
        <v>54.3892902516221</v>
      </c>
      <c r="AK1734">
        <v>8.4676972249494504</v>
      </c>
      <c r="AL1734">
        <v>83.564415849757694</v>
      </c>
      <c r="AM1734">
        <v>68.096184145345504</v>
      </c>
      <c r="AN1734">
        <v>0.99999999328684497</v>
      </c>
    </row>
    <row r="1735" spans="1:40" x14ac:dyDescent="0.25">
      <c r="A1735" t="str">
        <f>"20190303161908543"</f>
        <v>20190303161908543</v>
      </c>
      <c r="B1735" t="str">
        <f>"1551601148534256"</f>
        <v>1551601148534256</v>
      </c>
      <c r="C1735" t="s">
        <v>40</v>
      </c>
      <c r="D1735">
        <v>4.780456</v>
      </c>
      <c r="E1735">
        <v>0.59688529999999995</v>
      </c>
      <c r="F1735" t="s">
        <v>46</v>
      </c>
      <c r="G1735">
        <v>-203.52809999999999</v>
      </c>
      <c r="H1735" s="1">
        <v>-4.0851689999999996E-6</v>
      </c>
      <c r="I1735">
        <v>361.17829999999998</v>
      </c>
      <c r="J1735">
        <v>-209.7586</v>
      </c>
      <c r="K1735">
        <v>1.1204529999999999</v>
      </c>
      <c r="L1735">
        <v>366.96699999999998</v>
      </c>
      <c r="M1735">
        <v>0.99219420000000003</v>
      </c>
      <c r="N1735">
        <v>-1.374306E-2</v>
      </c>
      <c r="O1735">
        <v>-0.123942899999999</v>
      </c>
      <c r="P1735">
        <v>0.86981209999999898</v>
      </c>
      <c r="Q1735">
        <v>9.9432149999999997E-2</v>
      </c>
      <c r="R1735">
        <v>-0.48326000000000002</v>
      </c>
      <c r="S1735">
        <v>2.3156590000000001</v>
      </c>
      <c r="T1735">
        <v>-0.41159609999999902</v>
      </c>
      <c r="U1735">
        <v>-2.1303709999999998</v>
      </c>
      <c r="V1735">
        <v>0.3720116</v>
      </c>
      <c r="W1735">
        <v>0.11112279999999999</v>
      </c>
      <c r="X1735">
        <v>0.92155260000000006</v>
      </c>
      <c r="Y1735">
        <v>0.57609690000000002</v>
      </c>
      <c r="Z1735">
        <v>-3.091008E-2</v>
      </c>
      <c r="AA1735">
        <v>0.81679679999999999</v>
      </c>
      <c r="AB1735">
        <v>14</v>
      </c>
      <c r="AC1735">
        <v>6.2305000000000001</v>
      </c>
      <c r="AD1735">
        <v>-1.1204570851689999</v>
      </c>
      <c r="AE1735">
        <v>-5.7887000000000004</v>
      </c>
      <c r="AF1735">
        <v>4.8869336288639103</v>
      </c>
      <c r="AG1735">
        <v>-1.1204570851689999</v>
      </c>
      <c r="AH1735">
        <v>6.7822637189370401</v>
      </c>
      <c r="AI1735">
        <v>97.634083844979898</v>
      </c>
      <c r="AJ1735">
        <v>54.225511612408503</v>
      </c>
      <c r="AK1735">
        <v>8.4342542957771993</v>
      </c>
      <c r="AL1735">
        <v>83.619956220370696</v>
      </c>
      <c r="AM1735">
        <v>68.017095848911694</v>
      </c>
      <c r="AN1735">
        <v>1.00000005089057</v>
      </c>
    </row>
    <row r="1736" spans="1:40" x14ac:dyDescent="0.25">
      <c r="A1736" t="str">
        <f>"20190303161908555"</f>
        <v>20190303161908555</v>
      </c>
      <c r="B1736" t="str">
        <f>"1551601148544015"</f>
        <v>1551601148544015</v>
      </c>
      <c r="C1736" t="s">
        <v>40</v>
      </c>
      <c r="D1736">
        <v>4.7975019999999997</v>
      </c>
      <c r="E1736">
        <v>0.59693439999999998</v>
      </c>
      <c r="F1736" t="s">
        <v>46</v>
      </c>
      <c r="G1736">
        <v>-203.54239999999999</v>
      </c>
      <c r="H1736" s="1">
        <v>-4.0837399999999998E-6</v>
      </c>
      <c r="I1736">
        <v>361.21710000000002</v>
      </c>
      <c r="J1736">
        <v>-209.6815</v>
      </c>
      <c r="K1736">
        <v>1.120441</v>
      </c>
      <c r="L1736">
        <v>366.9556</v>
      </c>
      <c r="M1736">
        <v>0.9920023</v>
      </c>
      <c r="N1736">
        <v>-1.3742310000000001E-2</v>
      </c>
      <c r="O1736">
        <v>-0.12546959999999999</v>
      </c>
      <c r="P1736">
        <v>0.86804609999999904</v>
      </c>
      <c r="Q1736">
        <v>9.904702E-2</v>
      </c>
      <c r="R1736">
        <v>-0.48650389999999999</v>
      </c>
      <c r="S1736">
        <v>2.3096619999999999</v>
      </c>
      <c r="T1736">
        <v>-0.4163095</v>
      </c>
      <c r="U1736">
        <v>-2.1363829999999999</v>
      </c>
      <c r="V1736">
        <v>0.37403419999999998</v>
      </c>
      <c r="W1736">
        <v>0.11070430000000001</v>
      </c>
      <c r="X1736">
        <v>0.92078389999999999</v>
      </c>
      <c r="Y1736">
        <v>0.57694789999999996</v>
      </c>
      <c r="Z1736">
        <v>-3.1089390000000001E-2</v>
      </c>
      <c r="AA1736">
        <v>0.8161891</v>
      </c>
      <c r="AB1736">
        <v>14</v>
      </c>
      <c r="AC1736">
        <v>6.1391000000000098</v>
      </c>
      <c r="AD1736">
        <v>-1.12044508374</v>
      </c>
      <c r="AE1736">
        <v>-5.7384999999999797</v>
      </c>
      <c r="AF1736">
        <v>4.8368151832764603</v>
      </c>
      <c r="AG1736">
        <v>-1.12044508374</v>
      </c>
      <c r="AH1736">
        <v>6.6916929831396104</v>
      </c>
      <c r="AI1736">
        <v>97.727882809675606</v>
      </c>
      <c r="AJ1736">
        <v>54.140262286181802</v>
      </c>
      <c r="AK1736">
        <v>8.3324026116991501</v>
      </c>
      <c r="AL1736">
        <v>83.644083090189298</v>
      </c>
      <c r="AM1736">
        <v>67.892381481002801</v>
      </c>
      <c r="AN1736">
        <v>1.0000000076536699</v>
      </c>
    </row>
    <row r="1737" spans="1:40" x14ac:dyDescent="0.25">
      <c r="A1737" t="str">
        <f>"20190303161908568"</f>
        <v>20190303161908568</v>
      </c>
      <c r="B1737" t="str">
        <f>"1551601148564511"</f>
        <v>1551601148564511</v>
      </c>
      <c r="C1737" t="s">
        <v>40</v>
      </c>
      <c r="D1737">
        <v>4.7632269999999997</v>
      </c>
      <c r="E1737">
        <v>0.59737929999999995</v>
      </c>
      <c r="F1737" t="s">
        <v>46</v>
      </c>
      <c r="G1737">
        <v>-203.51750000000001</v>
      </c>
      <c r="H1737" s="1">
        <v>-4.0721030000000002E-6</v>
      </c>
      <c r="I1737">
        <v>361.2131</v>
      </c>
      <c r="J1737">
        <v>-209.6035</v>
      </c>
      <c r="K1737">
        <v>1.120425</v>
      </c>
      <c r="L1737">
        <v>366.94389999999999</v>
      </c>
      <c r="M1737">
        <v>0.9918034</v>
      </c>
      <c r="N1737">
        <v>-1.374179E-2</v>
      </c>
      <c r="O1737">
        <v>-0.1270327</v>
      </c>
      <c r="P1737">
        <v>0.86601589999999995</v>
      </c>
      <c r="Q1737">
        <v>9.9473030000000004E-2</v>
      </c>
      <c r="R1737">
        <v>-0.49002220000000002</v>
      </c>
      <c r="S1737">
        <v>2.301895</v>
      </c>
      <c r="T1737">
        <v>-0.4184194</v>
      </c>
      <c r="U1737">
        <v>-2.1444700000000001</v>
      </c>
      <c r="V1737">
        <v>0.37633529999999998</v>
      </c>
      <c r="W1737">
        <v>0.11109049999999999</v>
      </c>
      <c r="X1737">
        <v>0.91979929999999999</v>
      </c>
      <c r="Y1737">
        <v>0.57851850000000005</v>
      </c>
      <c r="Z1737">
        <v>-3.1175850000000001E-2</v>
      </c>
      <c r="AA1737">
        <v>0.8150733</v>
      </c>
      <c r="AB1737">
        <v>14</v>
      </c>
      <c r="AC1737">
        <v>6.0859999999999799</v>
      </c>
      <c r="AD1737">
        <v>-1.1204290721029999</v>
      </c>
      <c r="AE1737">
        <v>-5.7307999999999799</v>
      </c>
      <c r="AF1737">
        <v>4.8245012476284099</v>
      </c>
      <c r="AG1737">
        <v>-1.1204290721029999</v>
      </c>
      <c r="AH1737">
        <v>6.6453742853514299</v>
      </c>
      <c r="AI1737">
        <v>97.769357926657406</v>
      </c>
      <c r="AJ1737">
        <v>54.0205789327727</v>
      </c>
      <c r="AK1737">
        <v>8.2880741421871793</v>
      </c>
      <c r="AL1737">
        <v>83.621818428390796</v>
      </c>
      <c r="AM1737">
        <v>67.748107261021403</v>
      </c>
      <c r="AN1737">
        <v>1.00000005474841</v>
      </c>
    </row>
    <row r="1738" spans="1:40" x14ac:dyDescent="0.25">
      <c r="A1738" t="str">
        <f>"20190303161908581"</f>
        <v>20190303161908581</v>
      </c>
      <c r="B1738" t="str">
        <f>"1551601148574271"</f>
        <v>1551601148574271</v>
      </c>
      <c r="C1738" t="s">
        <v>40</v>
      </c>
      <c r="D1738">
        <v>4.6025530000000003</v>
      </c>
      <c r="E1738">
        <v>0.59778509999999996</v>
      </c>
      <c r="F1738" t="s">
        <v>46</v>
      </c>
      <c r="G1738">
        <v>-203.43010000000001</v>
      </c>
      <c r="H1738" s="1">
        <v>-4.0456909999999996E-6</v>
      </c>
      <c r="I1738">
        <v>361.13400000000001</v>
      </c>
      <c r="J1738">
        <v>-209.52</v>
      </c>
      <c r="K1738">
        <v>1.1204000000000001</v>
      </c>
      <c r="L1738">
        <v>366.93119999999999</v>
      </c>
      <c r="M1738">
        <v>0.9915815</v>
      </c>
      <c r="N1738">
        <v>-1.3741949999999999E-2</v>
      </c>
      <c r="O1738">
        <v>-0.12875319999999901</v>
      </c>
      <c r="P1738">
        <v>0.86406249999999996</v>
      </c>
      <c r="Q1738">
        <v>0.1001076</v>
      </c>
      <c r="R1738">
        <v>-0.49333050000000001</v>
      </c>
      <c r="S1738">
        <v>2.2916110000000001</v>
      </c>
      <c r="T1738">
        <v>-0.41591220000000001</v>
      </c>
      <c r="U1738">
        <v>-2.1567080000000001</v>
      </c>
      <c r="V1738">
        <v>0.37827959999999999</v>
      </c>
      <c r="W1738">
        <v>0.11167580000000001</v>
      </c>
      <c r="X1738">
        <v>0.91893040000000004</v>
      </c>
      <c r="Y1738">
        <v>0.58126809999999995</v>
      </c>
      <c r="Z1738">
        <v>-3.1075240000000001E-2</v>
      </c>
      <c r="AA1738">
        <v>0.81311849999999997</v>
      </c>
      <c r="AB1738">
        <v>14</v>
      </c>
      <c r="AC1738">
        <v>6.0899000000000001</v>
      </c>
      <c r="AD1738">
        <v>-1.1204040456910001</v>
      </c>
      <c r="AE1738">
        <v>-5.7971999999999699</v>
      </c>
      <c r="AF1738">
        <v>4.8781504581332404</v>
      </c>
      <c r="AG1738">
        <v>-1.1204040456910001</v>
      </c>
      <c r="AH1738">
        <v>6.6672909978552699</v>
      </c>
      <c r="AI1738">
        <v>97.723374563117304</v>
      </c>
      <c r="AJ1738">
        <v>53.808780508869297</v>
      </c>
      <c r="AK1738">
        <v>8.3369314719426697</v>
      </c>
      <c r="AL1738">
        <v>83.588072944053096</v>
      </c>
      <c r="AM1738">
        <v>67.625383223927102</v>
      </c>
      <c r="AN1738">
        <v>1.00000001006298</v>
      </c>
    </row>
    <row r="1739" spans="1:40" x14ac:dyDescent="0.25">
      <c r="A1739" t="str">
        <f>"20190303161908595"</f>
        <v>20190303161908595</v>
      </c>
      <c r="B1739" t="str">
        <f>"1551601148584030"</f>
        <v>1551601148584030</v>
      </c>
      <c r="C1739" t="s">
        <v>40</v>
      </c>
      <c r="D1739">
        <v>4.622109</v>
      </c>
      <c r="E1739">
        <v>0.59819829999999996</v>
      </c>
      <c r="F1739" t="s">
        <v>46</v>
      </c>
      <c r="G1739">
        <v>-203.3141</v>
      </c>
      <c r="H1739" s="1">
        <v>-4.0097820000000001E-6</v>
      </c>
      <c r="I1739">
        <v>361.0326</v>
      </c>
      <c r="J1739">
        <v>-209.43430000000001</v>
      </c>
      <c r="K1739">
        <v>1.1203689999999999</v>
      </c>
      <c r="L1739">
        <v>366.91800000000001</v>
      </c>
      <c r="M1739">
        <v>0.99134389999999994</v>
      </c>
      <c r="N1739">
        <v>-1.3742860000000001E-2</v>
      </c>
      <c r="O1739">
        <v>-0.1305704</v>
      </c>
      <c r="P1739">
        <v>0.8613054</v>
      </c>
      <c r="Q1739">
        <v>0.1026296</v>
      </c>
      <c r="R1739">
        <v>-0.49761490000000003</v>
      </c>
      <c r="S1739">
        <v>2.281555</v>
      </c>
      <c r="T1739">
        <v>-0.41191220000000001</v>
      </c>
      <c r="U1739">
        <v>-2.1686100000000001</v>
      </c>
      <c r="V1739">
        <v>0.38121939999999999</v>
      </c>
      <c r="W1739">
        <v>0.1141286</v>
      </c>
      <c r="X1739">
        <v>0.91741289999999998</v>
      </c>
      <c r="Y1739">
        <v>0.58385880000000001</v>
      </c>
      <c r="Z1739">
        <v>-3.0859000000000001E-2</v>
      </c>
      <c r="AA1739">
        <v>0.81126860000000001</v>
      </c>
      <c r="AB1739">
        <v>14</v>
      </c>
      <c r="AC1739">
        <v>6.1202000000000103</v>
      </c>
      <c r="AD1739">
        <v>-1.1203730097819999</v>
      </c>
      <c r="AE1739">
        <v>-5.8853999999999997</v>
      </c>
      <c r="AF1739">
        <v>4.9496357753009104</v>
      </c>
      <c r="AG1739">
        <v>-1.1203730097819999</v>
      </c>
      <c r="AH1739">
        <v>6.7193370441114997</v>
      </c>
      <c r="AI1739">
        <v>97.646115966201805</v>
      </c>
      <c r="AJ1739">
        <v>53.623688258424302</v>
      </c>
      <c r="AK1739">
        <v>8.4204287480837792</v>
      </c>
      <c r="AL1739">
        <v>83.446633396467007</v>
      </c>
      <c r="AM1739">
        <v>67.435286493333095</v>
      </c>
      <c r="AN1739">
        <v>0.99999999868036504</v>
      </c>
    </row>
    <row r="1740" spans="1:40" x14ac:dyDescent="0.25">
      <c r="A1740" t="str">
        <f>"20190303161908610"</f>
        <v>20190303161908610</v>
      </c>
      <c r="B1740" t="str">
        <f>"1551601148604527"</f>
        <v>1551601148604527</v>
      </c>
      <c r="C1740" t="s">
        <v>40</v>
      </c>
      <c r="D1740">
        <v>4.600727</v>
      </c>
      <c r="E1740">
        <v>0.59887029999999997</v>
      </c>
      <c r="F1740" t="s">
        <v>46</v>
      </c>
      <c r="G1740">
        <v>-203.07069999999999</v>
      </c>
      <c r="H1740" s="1">
        <v>-3.9426000000000002E-6</v>
      </c>
      <c r="I1740">
        <v>360.78320000000002</v>
      </c>
      <c r="J1740">
        <v>-209.34360000000001</v>
      </c>
      <c r="K1740">
        <v>1.120309</v>
      </c>
      <c r="L1740">
        <v>366.90379999999999</v>
      </c>
      <c r="M1740">
        <v>0.99108110000000005</v>
      </c>
      <c r="N1740">
        <v>-1.3744559999999999E-2</v>
      </c>
      <c r="O1740">
        <v>-0.13254959999999999</v>
      </c>
      <c r="P1740">
        <v>0.85964889999999905</v>
      </c>
      <c r="Q1740">
        <v>0.1043403</v>
      </c>
      <c r="R1740">
        <v>-0.50011709999999998</v>
      </c>
      <c r="S1740">
        <v>2.2676240000000001</v>
      </c>
      <c r="T1740">
        <v>-0.39923520000000001</v>
      </c>
      <c r="U1740">
        <v>-2.186096</v>
      </c>
      <c r="V1740">
        <v>0.3821041</v>
      </c>
      <c r="W1740">
        <v>0.1157789</v>
      </c>
      <c r="X1740">
        <v>0.91683789999999998</v>
      </c>
      <c r="Y1740">
        <v>0.58818689999999996</v>
      </c>
      <c r="Z1740">
        <v>-3.026475E-2</v>
      </c>
      <c r="AA1740">
        <v>0.8081585</v>
      </c>
      <c r="AB1740">
        <v>14</v>
      </c>
      <c r="AC1740">
        <v>6.2729000000000203</v>
      </c>
      <c r="AD1740">
        <v>-1.1203129426</v>
      </c>
      <c r="AE1740">
        <v>-6.1205999999999596</v>
      </c>
      <c r="AF1740">
        <v>5.1508691458049096</v>
      </c>
      <c r="AG1740">
        <v>-1.1203129426</v>
      </c>
      <c r="AH1740">
        <v>6.9158929676185696</v>
      </c>
      <c r="AI1740">
        <v>97.402246954259795</v>
      </c>
      <c r="AJ1740">
        <v>53.321727717020003</v>
      </c>
      <c r="AK1740">
        <v>8.6957535375675192</v>
      </c>
      <c r="AL1740">
        <v>83.351447270736898</v>
      </c>
      <c r="AM1740">
        <v>67.375432942891194</v>
      </c>
      <c r="AN1740">
        <v>1.0000000158992099</v>
      </c>
    </row>
    <row r="1741" spans="1:40" x14ac:dyDescent="0.25">
      <c r="A1741" t="str">
        <f>"20190303161908624"</f>
        <v>20190303161908624</v>
      </c>
      <c r="B1741" t="str">
        <f>"1551601148614287"</f>
        <v>1551601148614287</v>
      </c>
      <c r="C1741" t="s">
        <v>40</v>
      </c>
      <c r="D1741">
        <v>4.6573549999999999</v>
      </c>
      <c r="E1741">
        <v>0.59918110000000002</v>
      </c>
      <c r="F1741" t="s">
        <v>46</v>
      </c>
      <c r="G1741">
        <v>-202.8356</v>
      </c>
      <c r="H1741" s="1">
        <v>-3.8725879999999997E-6</v>
      </c>
      <c r="I1741">
        <v>360.56529999999998</v>
      </c>
      <c r="J1741">
        <v>-209.25460000000001</v>
      </c>
      <c r="K1741">
        <v>1.120247</v>
      </c>
      <c r="L1741">
        <v>366.8895</v>
      </c>
      <c r="M1741">
        <v>0.99081109999999994</v>
      </c>
      <c r="N1741">
        <v>-1.3747229999999999E-2</v>
      </c>
      <c r="O1741">
        <v>-0.13455249999999999</v>
      </c>
      <c r="P1741">
        <v>0.85830659999999903</v>
      </c>
      <c r="Q1741">
        <v>0.10567459999999999</v>
      </c>
      <c r="R1741">
        <v>-0.50213850000000004</v>
      </c>
      <c r="S1741">
        <v>2.2577210000000001</v>
      </c>
      <c r="T1741">
        <v>-0.3886541</v>
      </c>
      <c r="U1741">
        <v>-2.1989139999999998</v>
      </c>
      <c r="V1741">
        <v>0.38245299999999999</v>
      </c>
      <c r="W1741">
        <v>0.1170509</v>
      </c>
      <c r="X1741">
        <v>0.91653079999999998</v>
      </c>
      <c r="Y1741">
        <v>0.59087199999999995</v>
      </c>
      <c r="Z1741">
        <v>-2.963787E-2</v>
      </c>
      <c r="AA1741">
        <v>0.80622079999999996</v>
      </c>
      <c r="AB1741">
        <v>14</v>
      </c>
      <c r="AC1741">
        <v>6.4190000000000103</v>
      </c>
      <c r="AD1741">
        <v>-1.120250872588</v>
      </c>
      <c r="AE1741">
        <v>-6.32420000000001</v>
      </c>
      <c r="AF1741">
        <v>5.32067263930184</v>
      </c>
      <c r="AG1741">
        <v>-1.120250872588</v>
      </c>
      <c r="AH1741">
        <v>7.1018727568833597</v>
      </c>
      <c r="AI1741">
        <v>97.195018872936004</v>
      </c>
      <c r="AJ1741">
        <v>53.159709648183899</v>
      </c>
      <c r="AK1741">
        <v>8.9443342964757004</v>
      </c>
      <c r="AL1741">
        <v>83.278067720948599</v>
      </c>
      <c r="AM1741">
        <v>67.3500373880604</v>
      </c>
      <c r="AN1741">
        <v>0.99999995887422399</v>
      </c>
    </row>
    <row r="1742" spans="1:40" x14ac:dyDescent="0.25">
      <c r="A1742" t="str">
        <f>"20190303161908636"</f>
        <v>20190303161908636</v>
      </c>
      <c r="B1742" t="str">
        <f>"1551601148633807"</f>
        <v>1551601148633807</v>
      </c>
      <c r="C1742" t="s">
        <v>40</v>
      </c>
      <c r="D1742">
        <v>4.6336500000000003</v>
      </c>
      <c r="E1742">
        <v>0.59984729999999997</v>
      </c>
      <c r="F1742" t="s">
        <v>46</v>
      </c>
      <c r="G1742">
        <v>-202.64779999999999</v>
      </c>
      <c r="H1742" s="1">
        <v>-3.8125049999999998E-6</v>
      </c>
      <c r="I1742">
        <v>360.41</v>
      </c>
      <c r="J1742">
        <v>-209.1754</v>
      </c>
      <c r="K1742">
        <v>1.120187</v>
      </c>
      <c r="L1742">
        <v>366.8766</v>
      </c>
      <c r="M1742">
        <v>0.9905543</v>
      </c>
      <c r="N1742">
        <v>-1.3750979999999999E-2</v>
      </c>
      <c r="O1742">
        <v>-0.1364311</v>
      </c>
      <c r="P1742">
        <v>0.85730849999999903</v>
      </c>
      <c r="Q1742">
        <v>0.1064973</v>
      </c>
      <c r="R1742">
        <v>-0.50366750000000005</v>
      </c>
      <c r="S1742">
        <v>2.2508240000000002</v>
      </c>
      <c r="T1742">
        <v>-0.3816464</v>
      </c>
      <c r="U1742">
        <v>-2.2074280000000002</v>
      </c>
      <c r="V1742">
        <v>0.38238329999999998</v>
      </c>
      <c r="W1742">
        <v>0.11781709999999999</v>
      </c>
      <c r="X1742">
        <v>0.91646179999999999</v>
      </c>
      <c r="Y1742">
        <v>0.59226569999999901</v>
      </c>
      <c r="Z1742">
        <v>-2.9128609999999999E-2</v>
      </c>
      <c r="AA1742">
        <v>0.80521609999999999</v>
      </c>
      <c r="AB1742">
        <v>14</v>
      </c>
      <c r="AC1742">
        <v>6.5275999999999996</v>
      </c>
      <c r="AD1742">
        <v>-1.120190812505</v>
      </c>
      <c r="AE1742">
        <v>-6.4665999999999704</v>
      </c>
      <c r="AF1742">
        <v>5.43469562012368</v>
      </c>
      <c r="AG1742">
        <v>-1.120190812505</v>
      </c>
      <c r="AH1742">
        <v>7.2412546367578701</v>
      </c>
      <c r="AI1742">
        <v>97.053118852357898</v>
      </c>
      <c r="AJ1742">
        <v>53.111093790839398</v>
      </c>
      <c r="AK1742">
        <v>9.1228566060296892</v>
      </c>
      <c r="AL1742">
        <v>83.233862396111704</v>
      </c>
      <c r="AM1742">
        <v>67.352215614963399</v>
      </c>
      <c r="AN1742">
        <v>1.0000000440152601</v>
      </c>
    </row>
    <row r="1743" spans="1:40" x14ac:dyDescent="0.25">
      <c r="A1743" t="str">
        <f>"20190303161908651"</f>
        <v>20190303161908651</v>
      </c>
      <c r="B1743" t="str">
        <f>"1551601148644543"</f>
        <v>1551601148644543</v>
      </c>
      <c r="C1743" t="s">
        <v>40</v>
      </c>
      <c r="D1743">
        <v>4.8087229999999996</v>
      </c>
      <c r="E1743">
        <v>0.59993149999999995</v>
      </c>
      <c r="F1743" t="s">
        <v>46</v>
      </c>
      <c r="G1743">
        <v>-202.45830000000001</v>
      </c>
      <c r="H1743" s="1">
        <v>-3.7558070000000001E-6</v>
      </c>
      <c r="I1743">
        <v>360.23579999999998</v>
      </c>
      <c r="J1743">
        <v>-209.09059999999999</v>
      </c>
      <c r="K1743">
        <v>1.120117</v>
      </c>
      <c r="L1743">
        <v>366.86250000000001</v>
      </c>
      <c r="M1743">
        <v>0.99026720000000001</v>
      </c>
      <c r="N1743">
        <v>-1.375564E-2</v>
      </c>
      <c r="O1743">
        <v>-0.13849829999999999</v>
      </c>
      <c r="P1743">
        <v>0.8572919</v>
      </c>
      <c r="Q1743">
        <v>0.1076125</v>
      </c>
      <c r="R1743">
        <v>-0.50345839999999997</v>
      </c>
      <c r="S1743">
        <v>2.2429960000000002</v>
      </c>
      <c r="T1743">
        <v>-0.3740598</v>
      </c>
      <c r="U1743">
        <v>-2.2174990000000001</v>
      </c>
      <c r="V1743">
        <v>0.38028659999999997</v>
      </c>
      <c r="W1743">
        <v>0.1188872</v>
      </c>
      <c r="X1743">
        <v>0.91719569999999995</v>
      </c>
      <c r="Y1743">
        <v>0.593958599999999</v>
      </c>
      <c r="Z1743">
        <v>-2.8593170000000001E-2</v>
      </c>
      <c r="AA1743">
        <v>0.80398729999999996</v>
      </c>
      <c r="AB1743">
        <v>14</v>
      </c>
      <c r="AC1743">
        <v>6.6322999999999803</v>
      </c>
      <c r="AD1743">
        <v>-1.1201207558069901</v>
      </c>
      <c r="AE1743">
        <v>-6.62670000000002</v>
      </c>
      <c r="AF1743">
        <v>5.5647452636396304</v>
      </c>
      <c r="AG1743">
        <v>-1.1201207558069901</v>
      </c>
      <c r="AH1743">
        <v>7.3808906849500202</v>
      </c>
      <c r="AI1743">
        <v>96.909307325835897</v>
      </c>
      <c r="AJ1743">
        <v>52.985915461943499</v>
      </c>
      <c r="AK1743">
        <v>9.3112087110090798</v>
      </c>
      <c r="AL1743">
        <v>83.172115965347302</v>
      </c>
      <c r="AM1743">
        <v>67.480183651374205</v>
      </c>
      <c r="AN1743">
        <v>1.0000000082809399</v>
      </c>
    </row>
    <row r="1744" spans="1:40" x14ac:dyDescent="0.25">
      <c r="A1744" t="str">
        <f>"20190303161908663"</f>
        <v>20190303161908663</v>
      </c>
      <c r="B1744" t="str">
        <f>"1551601148654303"</f>
        <v>1551601148654303</v>
      </c>
      <c r="C1744" t="s">
        <v>40</v>
      </c>
      <c r="D1744">
        <v>4.7995739999999998</v>
      </c>
      <c r="E1744">
        <v>0.59987619999999997</v>
      </c>
      <c r="F1744" t="s">
        <v>46</v>
      </c>
      <c r="G1744">
        <v>-202.23859999999999</v>
      </c>
      <c r="H1744" s="1">
        <v>-3.6803460000000002E-6</v>
      </c>
      <c r="I1744">
        <v>360.07740000000001</v>
      </c>
      <c r="J1744">
        <v>-209.01320000000001</v>
      </c>
      <c r="K1744">
        <v>1.120045</v>
      </c>
      <c r="L1744">
        <v>366.84949999999998</v>
      </c>
      <c r="M1744">
        <v>0.98999179999999998</v>
      </c>
      <c r="N1744">
        <v>-1.3760649999999999E-2</v>
      </c>
      <c r="O1744">
        <v>-0.14045239999999901</v>
      </c>
      <c r="P1744">
        <v>0.85707299999999997</v>
      </c>
      <c r="Q1744">
        <v>0.1076044</v>
      </c>
      <c r="R1744">
        <v>-0.50383239999999996</v>
      </c>
      <c r="S1744">
        <v>2.2417449999999999</v>
      </c>
      <c r="T1744">
        <v>-0.36646250000000002</v>
      </c>
      <c r="U1744">
        <v>-2.219849</v>
      </c>
      <c r="V1744">
        <v>0.3788938</v>
      </c>
      <c r="W1744">
        <v>0.1188328</v>
      </c>
      <c r="X1744">
        <v>0.91777900000000001</v>
      </c>
      <c r="Y1744">
        <v>0.59318199999999999</v>
      </c>
      <c r="Z1744">
        <v>-2.7860650000000001E-2</v>
      </c>
      <c r="AA1744">
        <v>0.80458619999999903</v>
      </c>
      <c r="AB1744">
        <v>14</v>
      </c>
      <c r="AC1744">
        <v>6.7746000000000199</v>
      </c>
      <c r="AD1744">
        <v>-1.1200486803459999</v>
      </c>
      <c r="AE1744">
        <v>-6.77209999999996</v>
      </c>
      <c r="AF1744">
        <v>5.6757595665161498</v>
      </c>
      <c r="AG1744">
        <v>-1.1200486803459999</v>
      </c>
      <c r="AH1744">
        <v>7.5553829871705496</v>
      </c>
      <c r="AI1744">
        <v>96.759538721582601</v>
      </c>
      <c r="AJ1744">
        <v>53.085368931206197</v>
      </c>
      <c r="AK1744">
        <v>9.5159112956180305</v>
      </c>
      <c r="AL1744">
        <v>83.175255185547002</v>
      </c>
      <c r="AM1744">
        <v>67.567317752862394</v>
      </c>
      <c r="AN1744">
        <v>1.00000001943763</v>
      </c>
    </row>
    <row r="1745" spans="1:40" x14ac:dyDescent="0.25">
      <c r="A1745" t="str">
        <f>"20190303161908674"</f>
        <v>20190303161908674</v>
      </c>
      <c r="B1745" t="str">
        <f>"1551601148664062"</f>
        <v>1551601148664062</v>
      </c>
      <c r="C1745" t="s">
        <v>40</v>
      </c>
      <c r="D1745">
        <v>4.8056859999999997</v>
      </c>
      <c r="E1745">
        <v>0.59984799999999905</v>
      </c>
      <c r="F1745" t="s">
        <v>46</v>
      </c>
      <c r="G1745">
        <v>-202.14279999999999</v>
      </c>
      <c r="H1745" s="1">
        <v>-3.6414820000000001E-6</v>
      </c>
      <c r="I1745">
        <v>360.03519999999997</v>
      </c>
      <c r="J1745">
        <v>-208.94220000000001</v>
      </c>
      <c r="K1745">
        <v>1.119977</v>
      </c>
      <c r="L1745">
        <v>366.8372</v>
      </c>
      <c r="M1745">
        <v>0.98972300000000002</v>
      </c>
      <c r="N1745">
        <v>-1.3766270000000001E-2</v>
      </c>
      <c r="O1745">
        <v>-0.14233390000000001</v>
      </c>
      <c r="P1745">
        <v>0.85748409999999997</v>
      </c>
      <c r="Q1745">
        <v>0.1068453</v>
      </c>
      <c r="R1745">
        <v>-0.50329429999999997</v>
      </c>
      <c r="S1745">
        <v>2.2400669999999998</v>
      </c>
      <c r="T1745">
        <v>-0.36518780000000001</v>
      </c>
      <c r="U1745">
        <v>-2.2217709999999999</v>
      </c>
      <c r="V1745">
        <v>0.37656990000000001</v>
      </c>
      <c r="W1745">
        <v>0.118044</v>
      </c>
      <c r="X1745">
        <v>0.9188366</v>
      </c>
      <c r="Y1745">
        <v>0.59234489999999995</v>
      </c>
      <c r="Z1745">
        <v>-2.7510980000000001E-2</v>
      </c>
      <c r="AA1745">
        <v>0.80521469999999995</v>
      </c>
      <c r="AB1745">
        <v>14</v>
      </c>
      <c r="AC1745">
        <v>6.7994000000000101</v>
      </c>
      <c r="AD1745">
        <v>-1.1199806414819999</v>
      </c>
      <c r="AE1745">
        <v>-6.80200000000002</v>
      </c>
      <c r="AF1745">
        <v>5.6877269545767204</v>
      </c>
      <c r="AG1745">
        <v>-1.1199806414819999</v>
      </c>
      <c r="AH1745">
        <v>7.5954075565372197</v>
      </c>
      <c r="AI1745">
        <v>96.731466031716096</v>
      </c>
      <c r="AJ1745">
        <v>53.172749621870501</v>
      </c>
      <c r="AK1745">
        <v>9.5548317880021205</v>
      </c>
      <c r="AL1745">
        <v>83.220770236242601</v>
      </c>
      <c r="AM1745">
        <v>67.714544601234707</v>
      </c>
      <c r="AN1745">
        <v>0.99999998651078403</v>
      </c>
    </row>
    <row r="1746" spans="1:40" x14ac:dyDescent="0.25">
      <c r="A1746" t="str">
        <f>"20190303161908686"</f>
        <v>20190303161908686</v>
      </c>
      <c r="B1746" t="str">
        <f>"1551601148674799"</f>
        <v>1551601148674799</v>
      </c>
      <c r="C1746" t="s">
        <v>40</v>
      </c>
      <c r="D1746">
        <v>4.8193390000000003</v>
      </c>
      <c r="E1746">
        <v>0.59982449999999998</v>
      </c>
      <c r="F1746" t="s">
        <v>46</v>
      </c>
      <c r="G1746">
        <v>-202.09450000000001</v>
      </c>
      <c r="H1746" s="1">
        <v>-3.6138750000000002E-6</v>
      </c>
      <c r="I1746">
        <v>360.05020000000002</v>
      </c>
      <c r="J1746">
        <v>-208.87029999999999</v>
      </c>
      <c r="K1746">
        <v>1.119902</v>
      </c>
      <c r="L1746">
        <v>366.82459999999998</v>
      </c>
      <c r="M1746">
        <v>0.98944200000000004</v>
      </c>
      <c r="N1746">
        <v>-1.3772120000000001E-2</v>
      </c>
      <c r="O1746">
        <v>-0.14427379999999901</v>
      </c>
      <c r="P1746">
        <v>0.85790349999999904</v>
      </c>
      <c r="Q1746">
        <v>0.10535410000000001</v>
      </c>
      <c r="R1746">
        <v>-0.50289419999999996</v>
      </c>
      <c r="S1746">
        <v>2.240723</v>
      </c>
      <c r="T1746">
        <v>-0.3664808</v>
      </c>
      <c r="U1746">
        <v>-2.2208559999999999</v>
      </c>
      <c r="V1746">
        <v>0.3743205</v>
      </c>
      <c r="W1746">
        <v>0.1165239</v>
      </c>
      <c r="X1746">
        <v>0.91994909999999996</v>
      </c>
      <c r="Y1746">
        <v>0.59048769999999995</v>
      </c>
      <c r="Z1746">
        <v>-2.7214929999999998E-2</v>
      </c>
      <c r="AA1746">
        <v>0.80658759999999996</v>
      </c>
      <c r="AB1746">
        <v>14</v>
      </c>
      <c r="AC1746">
        <v>6.7757999999999701</v>
      </c>
      <c r="AD1746">
        <v>-1.1199056138750001</v>
      </c>
      <c r="AE1746">
        <v>-6.7743999999999502</v>
      </c>
      <c r="AF1746">
        <v>5.6486783459318799</v>
      </c>
      <c r="AG1746">
        <v>-1.1199056138750001</v>
      </c>
      <c r="AH1746">
        <v>7.5788190924639602</v>
      </c>
      <c r="AI1746">
        <v>96.756884068977996</v>
      </c>
      <c r="AJ1746">
        <v>53.3019406355481</v>
      </c>
      <c r="AK1746">
        <v>9.5184165950059594</v>
      </c>
      <c r="AL1746">
        <v>83.308470932627401</v>
      </c>
      <c r="AM1746">
        <v>67.858955129057094</v>
      </c>
      <c r="AN1746">
        <v>1.0000000012911301</v>
      </c>
    </row>
    <row r="1747" spans="1:40" x14ac:dyDescent="0.25">
      <c r="A1747" t="str">
        <f>"20190303161908698"</f>
        <v>20190303161908698</v>
      </c>
      <c r="B1747" t="str">
        <f>"1551601148694319"</f>
        <v>1551601148694319</v>
      </c>
      <c r="C1747" t="s">
        <v>40</v>
      </c>
      <c r="D1747">
        <v>4.8237399999999999</v>
      </c>
      <c r="E1747">
        <v>0.59981169999999995</v>
      </c>
      <c r="F1747" t="s">
        <v>46</v>
      </c>
      <c r="G1747">
        <v>-202.07599999999999</v>
      </c>
      <c r="H1747" s="1">
        <v>-3.5950060000000001E-6</v>
      </c>
      <c r="I1747">
        <v>360.09320000000002</v>
      </c>
      <c r="J1747">
        <v>-208.79660000000001</v>
      </c>
      <c r="K1747">
        <v>1.1198250000000001</v>
      </c>
      <c r="L1747">
        <v>366.81139999999999</v>
      </c>
      <c r="M1747">
        <v>0.98913519999999999</v>
      </c>
      <c r="N1747">
        <v>-1.3779110000000001E-2</v>
      </c>
      <c r="O1747">
        <v>-0.14636209999999999</v>
      </c>
      <c r="P1747">
        <v>0.85823950000000004</v>
      </c>
      <c r="Q1747">
        <v>0.1033828</v>
      </c>
      <c r="R1747">
        <v>-0.5027298</v>
      </c>
      <c r="S1747">
        <v>2.2408600000000001</v>
      </c>
      <c r="T1747">
        <v>-0.36936099999999999</v>
      </c>
      <c r="U1747">
        <v>-2.2201230000000001</v>
      </c>
      <c r="V1747">
        <v>0.37217289999999997</v>
      </c>
      <c r="W1747">
        <v>0.1145251</v>
      </c>
      <c r="X1747">
        <v>0.92107079999999997</v>
      </c>
      <c r="Y1747">
        <v>0.5886053</v>
      </c>
      <c r="Z1747">
        <v>-2.6988080000000001E-2</v>
      </c>
      <c r="AA1747">
        <v>0.80796999999999997</v>
      </c>
      <c r="AB1747">
        <v>14</v>
      </c>
      <c r="AC1747">
        <v>6.7206000000000099</v>
      </c>
      <c r="AD1747">
        <v>-1.1198285950059901</v>
      </c>
      <c r="AE1747">
        <v>-6.7181999999999604</v>
      </c>
      <c r="AF1747">
        <v>5.5845507129102598</v>
      </c>
      <c r="AG1747">
        <v>-1.1198285950059901</v>
      </c>
      <c r="AH1747">
        <v>7.5270664893354402</v>
      </c>
      <c r="AI1747">
        <v>96.813407647328404</v>
      </c>
      <c r="AJ1747">
        <v>53.427199791403098</v>
      </c>
      <c r="AK1747">
        <v>9.4391711861866501</v>
      </c>
      <c r="AL1747">
        <v>83.423765968670907</v>
      </c>
      <c r="AM1747">
        <v>67.998067342160894</v>
      </c>
      <c r="AN1747">
        <v>1.00000004231852</v>
      </c>
    </row>
    <row r="1748" spans="1:40" x14ac:dyDescent="0.25">
      <c r="A1748" t="str">
        <f>"20190303161908710"</f>
        <v>20190303161908710</v>
      </c>
      <c r="B1748" t="str">
        <f>"1551601148704079"</f>
        <v>1551601148704079</v>
      </c>
      <c r="C1748" t="s">
        <v>40</v>
      </c>
      <c r="D1748">
        <v>4.8226849999999999</v>
      </c>
      <c r="E1748">
        <v>0.59976260000000003</v>
      </c>
      <c r="F1748" t="s">
        <v>46</v>
      </c>
      <c r="G1748">
        <v>-202.09520000000001</v>
      </c>
      <c r="H1748" s="1">
        <v>-3.5869450000000001E-6</v>
      </c>
      <c r="I1748">
        <v>360.17320000000001</v>
      </c>
      <c r="J1748">
        <v>-208.72550000000001</v>
      </c>
      <c r="K1748">
        <v>1.119756</v>
      </c>
      <c r="L1748">
        <v>366.79849999999999</v>
      </c>
      <c r="M1748">
        <v>0.98882709999999996</v>
      </c>
      <c r="N1748">
        <v>-1.3786079999999999E-2</v>
      </c>
      <c r="O1748">
        <v>-0.14842820000000001</v>
      </c>
      <c r="P1748">
        <v>0.85865740000000002</v>
      </c>
      <c r="Q1748">
        <v>0.10107140000000001</v>
      </c>
      <c r="R1748">
        <v>-0.50248619999999999</v>
      </c>
      <c r="S1748">
        <v>2.2405550000000001</v>
      </c>
      <c r="T1748">
        <v>-0.37440119999999999</v>
      </c>
      <c r="U1748">
        <v>-2.2194210000000001</v>
      </c>
      <c r="V1748">
        <v>0.36994860000000002</v>
      </c>
      <c r="W1748">
        <v>0.11219179999999999</v>
      </c>
      <c r="X1748">
        <v>0.92225330000000005</v>
      </c>
      <c r="Y1748">
        <v>0.58678350000000001</v>
      </c>
      <c r="Z1748">
        <v>-2.6882179999999999E-2</v>
      </c>
      <c r="AA1748">
        <v>0.80929759999999995</v>
      </c>
      <c r="AB1748">
        <v>14</v>
      </c>
      <c r="AC1748">
        <v>6.6303000000000001</v>
      </c>
      <c r="AD1748">
        <v>-1.1197595869450001</v>
      </c>
      <c r="AE1748">
        <v>-6.6252999999999798</v>
      </c>
      <c r="AF1748">
        <v>5.4893386449859998</v>
      </c>
      <c r="AG1748">
        <v>-1.1197595869450001</v>
      </c>
      <c r="AH1748">
        <v>7.43421801700757</v>
      </c>
      <c r="AI1748">
        <v>96.908842962354797</v>
      </c>
      <c r="AJ1748">
        <v>53.558278569238901</v>
      </c>
      <c r="AK1748">
        <v>9.3088290249790209</v>
      </c>
      <c r="AL1748">
        <v>83.558321662908497</v>
      </c>
      <c r="AM1748">
        <v>68.142523545620605</v>
      </c>
      <c r="AN1748">
        <v>1.0000000579950401</v>
      </c>
    </row>
    <row r="1749" spans="1:40" x14ac:dyDescent="0.25">
      <c r="A1749" t="str">
        <f>"20190303161908722"</f>
        <v>20190303161908722</v>
      </c>
      <c r="B1749" t="str">
        <f>"1551601148713838"</f>
        <v>1551601148713838</v>
      </c>
      <c r="C1749" t="s">
        <v>40</v>
      </c>
      <c r="D1749">
        <v>4.8522790000000002</v>
      </c>
      <c r="E1749">
        <v>0.59971240000000003</v>
      </c>
      <c r="F1749" t="s">
        <v>46</v>
      </c>
      <c r="G1749">
        <v>-202.15309999999999</v>
      </c>
      <c r="H1749" s="1">
        <v>-3.5895429999999998E-6</v>
      </c>
      <c r="I1749">
        <v>360.29289999999997</v>
      </c>
      <c r="J1749">
        <v>-208.65010000000001</v>
      </c>
      <c r="K1749">
        <v>1.119688</v>
      </c>
      <c r="L1749">
        <v>366.78449999999998</v>
      </c>
      <c r="M1749">
        <v>0.98848579999999997</v>
      </c>
      <c r="N1749">
        <v>-1.379379E-2</v>
      </c>
      <c r="O1749">
        <v>-0.1506845</v>
      </c>
      <c r="P1749">
        <v>0.85889020000000005</v>
      </c>
      <c r="Q1749">
        <v>9.8649509999999996E-2</v>
      </c>
      <c r="R1749">
        <v>-0.50256970000000001</v>
      </c>
      <c r="S1749">
        <v>2.2407840000000001</v>
      </c>
      <c r="T1749">
        <v>-0.38176850000000001</v>
      </c>
      <c r="U1749">
        <v>-2.2179869999999999</v>
      </c>
      <c r="V1749">
        <v>0.36789240000000001</v>
      </c>
      <c r="W1749">
        <v>0.10974739999999999</v>
      </c>
      <c r="X1749">
        <v>0.9233692</v>
      </c>
      <c r="Y1749">
        <v>0.58453580000000005</v>
      </c>
      <c r="Z1749">
        <v>-2.6830489999999999E-2</v>
      </c>
      <c r="AA1749">
        <v>0.81092419999999898</v>
      </c>
      <c r="AB1749">
        <v>14</v>
      </c>
      <c r="AC1749">
        <v>6.4970000000000097</v>
      </c>
      <c r="AD1749">
        <v>-1.119691589543</v>
      </c>
      <c r="AE1749">
        <v>-6.4916</v>
      </c>
      <c r="AF1749">
        <v>5.3587279408544397</v>
      </c>
      <c r="AG1749">
        <v>-1.119691589543</v>
      </c>
      <c r="AH1749">
        <v>7.2926887634409399</v>
      </c>
      <c r="AI1749">
        <v>97.053091747183103</v>
      </c>
      <c r="AJ1749">
        <v>53.691246883868097</v>
      </c>
      <c r="AK1749">
        <v>9.1188257906489891</v>
      </c>
      <c r="AL1749">
        <v>83.699245469909798</v>
      </c>
      <c r="AM1749">
        <v>68.276478708970103</v>
      </c>
      <c r="AN1749">
        <v>0.99999999464657996</v>
      </c>
    </row>
    <row r="1750" spans="1:40" x14ac:dyDescent="0.25">
      <c r="A1750" t="str">
        <f>"20190303161908734"</f>
        <v>20190303161908734</v>
      </c>
      <c r="B1750" t="str">
        <f>"1551601148724575"</f>
        <v>1551601148724575</v>
      </c>
      <c r="C1750" t="s">
        <v>40</v>
      </c>
      <c r="D1750">
        <v>4.8184469999999999</v>
      </c>
      <c r="E1750">
        <v>0.59967539999999997</v>
      </c>
      <c r="F1750" t="s">
        <v>46</v>
      </c>
      <c r="G1750">
        <v>-202.20320000000001</v>
      </c>
      <c r="H1750" s="1">
        <v>-3.5907389999999998E-6</v>
      </c>
      <c r="I1750">
        <v>360.40120000000002</v>
      </c>
      <c r="J1750">
        <v>-208.5754</v>
      </c>
      <c r="K1750">
        <v>1.1196269999999999</v>
      </c>
      <c r="L1750">
        <v>366.7704</v>
      </c>
      <c r="M1750">
        <v>0.98812849999999997</v>
      </c>
      <c r="N1750">
        <v>-1.3801920000000001E-2</v>
      </c>
      <c r="O1750">
        <v>-0.15300830000000001</v>
      </c>
      <c r="P1750">
        <v>0.85871900000000001</v>
      </c>
      <c r="Q1750">
        <v>9.7064330000000004E-2</v>
      </c>
      <c r="R1750">
        <v>-0.50317029999999996</v>
      </c>
      <c r="S1750">
        <v>2.2398530000000001</v>
      </c>
      <c r="T1750">
        <v>-0.3890188</v>
      </c>
      <c r="U1750">
        <v>-2.2177730000000002</v>
      </c>
      <c r="V1750">
        <v>0.36634410000000001</v>
      </c>
      <c r="W1750">
        <v>0.1081387</v>
      </c>
      <c r="X1750">
        <v>0.92417419999999995</v>
      </c>
      <c r="Y1750">
        <v>0.58266010000000001</v>
      </c>
      <c r="Z1750">
        <v>-2.6781409999999999E-2</v>
      </c>
      <c r="AA1750">
        <v>0.81227459999999996</v>
      </c>
      <c r="AB1750">
        <v>14</v>
      </c>
      <c r="AC1750">
        <v>6.3721999999999897</v>
      </c>
      <c r="AD1750">
        <v>-1.1196305907390001</v>
      </c>
      <c r="AE1750">
        <v>-6.36919999999997</v>
      </c>
      <c r="AF1750">
        <v>5.2381992663041297</v>
      </c>
      <c r="AG1750">
        <v>-1.1196305907390001</v>
      </c>
      <c r="AH1750">
        <v>7.1611919352859301</v>
      </c>
      <c r="AI1750">
        <v>97.1921953395331</v>
      </c>
      <c r="AJ1750">
        <v>53.815638093934098</v>
      </c>
      <c r="AK1750">
        <v>8.9428728128734996</v>
      </c>
      <c r="AL1750">
        <v>83.791968908203501</v>
      </c>
      <c r="AM1750">
        <v>68.376547904800105</v>
      </c>
      <c r="AN1750">
        <v>0.99999996499406896</v>
      </c>
    </row>
    <row r="1751" spans="1:40" x14ac:dyDescent="0.25">
      <c r="A1751" t="str">
        <f>"20190303161908746"</f>
        <v>20190303161908746</v>
      </c>
      <c r="B1751" t="str">
        <f>"1551601148734336"</f>
        <v>1551601148734336</v>
      </c>
      <c r="C1751" t="s">
        <v>40</v>
      </c>
      <c r="D1751">
        <v>4.8440120000000002</v>
      </c>
      <c r="E1751">
        <v>0.59966549999999996</v>
      </c>
      <c r="F1751" t="s">
        <v>46</v>
      </c>
      <c r="G1751">
        <v>-202.21629999999999</v>
      </c>
      <c r="H1751" s="1">
        <v>-3.582928E-6</v>
      </c>
      <c r="I1751">
        <v>360.46609999999998</v>
      </c>
      <c r="J1751">
        <v>-208.5052</v>
      </c>
      <c r="K1751">
        <v>1.1195710000000001</v>
      </c>
      <c r="L1751">
        <v>366.75700000000001</v>
      </c>
      <c r="M1751">
        <v>0.98778189999999999</v>
      </c>
      <c r="N1751">
        <v>-1.380959E-2</v>
      </c>
      <c r="O1751">
        <v>-0.15523049999999999</v>
      </c>
      <c r="P1751">
        <v>0.8584427</v>
      </c>
      <c r="Q1751">
        <v>9.5336599999999994E-2</v>
      </c>
      <c r="R1751">
        <v>-0.50397219999999998</v>
      </c>
      <c r="S1751">
        <v>2.238022</v>
      </c>
      <c r="T1751">
        <v>-0.39403870000000002</v>
      </c>
      <c r="U1751">
        <v>-2.2187190000000001</v>
      </c>
      <c r="V1751">
        <v>0.36510120000000001</v>
      </c>
      <c r="W1751">
        <v>0.10638930000000001</v>
      </c>
      <c r="X1751">
        <v>0.92486889999999999</v>
      </c>
      <c r="Y1751">
        <v>0.58127580000000001</v>
      </c>
      <c r="Z1751">
        <v>-2.665872E-2</v>
      </c>
      <c r="AA1751">
        <v>0.81326989999999999</v>
      </c>
      <c r="AB1751">
        <v>14</v>
      </c>
      <c r="AC1751">
        <v>6.2889000000000097</v>
      </c>
      <c r="AD1751">
        <v>-1.1195745829279999</v>
      </c>
      <c r="AE1751">
        <v>-6.2908999999999597</v>
      </c>
      <c r="AF1751">
        <v>5.1566196631850296</v>
      </c>
      <c r="AG1751">
        <v>-1.1195745829279999</v>
      </c>
      <c r="AH1751">
        <v>7.07717456595255</v>
      </c>
      <c r="AI1751">
        <v>97.286062026568601</v>
      </c>
      <c r="AJ1751">
        <v>53.921912836927604</v>
      </c>
      <c r="AK1751">
        <v>8.8278294860316997</v>
      </c>
      <c r="AL1751">
        <v>83.892784178621696</v>
      </c>
      <c r="AM1751">
        <v>68.457878632350301</v>
      </c>
      <c r="AN1751">
        <v>1.00000002579156</v>
      </c>
    </row>
    <row r="1752" spans="1:40" x14ac:dyDescent="0.25">
      <c r="A1752" t="str">
        <f>"20190303161908756"</f>
        <v>20190303161908756</v>
      </c>
      <c r="B1752" t="str">
        <f>"1551601148753854"</f>
        <v>1551601148753854</v>
      </c>
      <c r="C1752" t="s">
        <v>40</v>
      </c>
      <c r="D1752">
        <v>4.9065399999999997</v>
      </c>
      <c r="E1752">
        <v>0.60002599999999995</v>
      </c>
      <c r="F1752" t="s">
        <v>46</v>
      </c>
      <c r="G1752">
        <v>-202.2251</v>
      </c>
      <c r="H1752" s="1">
        <v>-3.5753759999999999E-6</v>
      </c>
      <c r="I1752">
        <v>360.52030000000002</v>
      </c>
      <c r="J1752">
        <v>-208.43690000000001</v>
      </c>
      <c r="K1752">
        <v>1.1195250000000001</v>
      </c>
      <c r="L1752">
        <v>366.74360000000001</v>
      </c>
      <c r="M1752">
        <v>0.98742450000000004</v>
      </c>
      <c r="N1752">
        <v>-1.381752E-2</v>
      </c>
      <c r="O1752">
        <v>-0.15748670000000001</v>
      </c>
      <c r="P1752">
        <v>0.85783949999999998</v>
      </c>
      <c r="Q1752">
        <v>9.4283160000000005E-2</v>
      </c>
      <c r="R1752">
        <v>-0.50519539999999996</v>
      </c>
      <c r="S1752">
        <v>2.2355649999999998</v>
      </c>
      <c r="T1752">
        <v>-0.3985437</v>
      </c>
      <c r="U1752">
        <v>-2.2201230000000001</v>
      </c>
      <c r="V1752">
        <v>0.36429420000000001</v>
      </c>
      <c r="W1752">
        <v>0.105312</v>
      </c>
      <c r="X1752">
        <v>0.92531030000000003</v>
      </c>
      <c r="Y1752">
        <v>0.58006659999999999</v>
      </c>
      <c r="Z1752">
        <v>-2.6513269999999999E-2</v>
      </c>
      <c r="AA1752">
        <v>0.81413749999999996</v>
      </c>
      <c r="AB1752">
        <v>14</v>
      </c>
      <c r="AC1752">
        <v>6.21180000000001</v>
      </c>
      <c r="AD1752">
        <v>-1.119528575376</v>
      </c>
      <c r="AE1752">
        <v>-6.2232999999999903</v>
      </c>
      <c r="AF1752">
        <v>5.0848274304455598</v>
      </c>
      <c r="AG1752">
        <v>-1.119528575376</v>
      </c>
      <c r="AH1752">
        <v>7.0009588717136397</v>
      </c>
      <c r="AI1752">
        <v>97.372267193318507</v>
      </c>
      <c r="AJ1752">
        <v>54.008929889030902</v>
      </c>
      <c r="AK1752">
        <v>8.7248059778954996</v>
      </c>
      <c r="AL1752">
        <v>83.954857592695106</v>
      </c>
      <c r="AM1752">
        <v>68.510465196808099</v>
      </c>
      <c r="AN1752">
        <v>1.0000000163918601</v>
      </c>
    </row>
    <row r="1753" spans="1:40" x14ac:dyDescent="0.25">
      <c r="A1753" t="str">
        <f>"20190303161908769"</f>
        <v>20190303161908769</v>
      </c>
      <c r="B1753" t="str">
        <f>"1551601148764591"</f>
        <v>1551601148764591</v>
      </c>
      <c r="C1753" t="s">
        <v>40</v>
      </c>
      <c r="D1753">
        <v>4.9077219999999997</v>
      </c>
      <c r="E1753">
        <v>0.60014449999999997</v>
      </c>
      <c r="F1753" t="s">
        <v>46</v>
      </c>
      <c r="G1753">
        <v>-202.18709999999999</v>
      </c>
      <c r="H1753" s="1">
        <v>-3.5591270000000001E-6</v>
      </c>
      <c r="I1753">
        <v>360.50720000000001</v>
      </c>
      <c r="J1753">
        <v>-208.36490000000001</v>
      </c>
      <c r="K1753">
        <v>1.1194809999999999</v>
      </c>
      <c r="L1753">
        <v>366.7294</v>
      </c>
      <c r="M1753">
        <v>0.98703560000000001</v>
      </c>
      <c r="N1753">
        <v>-1.3825820000000001E-2</v>
      </c>
      <c r="O1753">
        <v>-0.15990480000000001</v>
      </c>
      <c r="P1753">
        <v>0.85701289999999997</v>
      </c>
      <c r="Q1753">
        <v>9.4181689999999998E-2</v>
      </c>
      <c r="R1753">
        <v>-0.50661520000000004</v>
      </c>
      <c r="S1753">
        <v>2.2303769999999998</v>
      </c>
      <c r="T1753">
        <v>-0.39952520000000002</v>
      </c>
      <c r="U1753">
        <v>-2.2255859999999998</v>
      </c>
      <c r="V1753">
        <v>0.36356850000000002</v>
      </c>
      <c r="W1753">
        <v>0.1051835</v>
      </c>
      <c r="X1753">
        <v>0.92561020000000005</v>
      </c>
      <c r="Y1753">
        <v>0.58001899999999995</v>
      </c>
      <c r="Z1753">
        <v>-2.6270479999999999E-2</v>
      </c>
      <c r="AA1753">
        <v>0.81417919999999999</v>
      </c>
      <c r="AB1753">
        <v>14</v>
      </c>
      <c r="AC1753">
        <v>6.1778000000000102</v>
      </c>
      <c r="AD1753">
        <v>-1.119484559127</v>
      </c>
      <c r="AE1753">
        <v>-6.2221999999999804</v>
      </c>
      <c r="AF1753">
        <v>5.0714947336819503</v>
      </c>
      <c r="AG1753">
        <v>-1.119484559127</v>
      </c>
      <c r="AH1753">
        <v>6.9795714718703197</v>
      </c>
      <c r="AI1753">
        <v>97.393224286579397</v>
      </c>
      <c r="AJ1753">
        <v>53.9971028635049</v>
      </c>
      <c r="AK1753">
        <v>8.6998691049252894</v>
      </c>
      <c r="AL1753">
        <v>83.962260711982907</v>
      </c>
      <c r="AM1753">
        <v>68.555699925142406</v>
      </c>
      <c r="AN1753">
        <v>0.99999993260426701</v>
      </c>
    </row>
    <row r="1754" spans="1:40" x14ac:dyDescent="0.25">
      <c r="A1754" t="str">
        <f>"20190303161908782"</f>
        <v>20190303161908782</v>
      </c>
      <c r="B1754" t="str">
        <f>"1551601148774351"</f>
        <v>1551601148774351</v>
      </c>
      <c r="C1754" t="s">
        <v>40</v>
      </c>
      <c r="D1754">
        <v>4.7314410000000002</v>
      </c>
      <c r="E1754">
        <v>0.60044229999999998</v>
      </c>
      <c r="F1754" t="s">
        <v>46</v>
      </c>
      <c r="G1754">
        <v>-202.1172</v>
      </c>
      <c r="H1754" s="1">
        <v>-3.5317870000000001E-6</v>
      </c>
      <c r="I1754">
        <v>360.47199999999998</v>
      </c>
      <c r="J1754">
        <v>-208.2884</v>
      </c>
      <c r="K1754">
        <v>1.1194489999999999</v>
      </c>
      <c r="L1754">
        <v>366.71390000000002</v>
      </c>
      <c r="M1754">
        <v>0.98660429999999999</v>
      </c>
      <c r="N1754">
        <v>-1.383472E-2</v>
      </c>
      <c r="O1754">
        <v>-0.16254440000000001</v>
      </c>
      <c r="P1754">
        <v>0.85590580000000005</v>
      </c>
      <c r="Q1754">
        <v>9.4340530000000006E-2</v>
      </c>
      <c r="R1754">
        <v>-0.50845399999999996</v>
      </c>
      <c r="S1754">
        <v>2.2262729999999999</v>
      </c>
      <c r="T1754">
        <v>-0.39891290000000001</v>
      </c>
      <c r="U1754">
        <v>-2.2297359999999999</v>
      </c>
      <c r="V1754">
        <v>0.363095</v>
      </c>
      <c r="W1754">
        <v>0.1053139</v>
      </c>
      <c r="X1754">
        <v>0.92578130000000003</v>
      </c>
      <c r="Y1754">
        <v>0.57938679999999998</v>
      </c>
      <c r="Z1754">
        <v>-2.5868820000000001E-2</v>
      </c>
      <c r="AA1754">
        <v>0.81464209999999904</v>
      </c>
      <c r="AB1754">
        <v>14</v>
      </c>
      <c r="AC1754">
        <v>6.17119999999999</v>
      </c>
      <c r="AD1754">
        <v>-1.1194525317870001</v>
      </c>
      <c r="AE1754">
        <v>-6.2419000000000402</v>
      </c>
      <c r="AF1754">
        <v>5.0731670009366399</v>
      </c>
      <c r="AG1754">
        <v>-1.1194525317870001</v>
      </c>
      <c r="AH1754">
        <v>6.9901004542476599</v>
      </c>
      <c r="AI1754">
        <v>97.384971413038301</v>
      </c>
      <c r="AJ1754">
        <v>54.029186005750503</v>
      </c>
      <c r="AK1754">
        <v>8.7092882459354897</v>
      </c>
      <c r="AL1754">
        <v>83.954748058871004</v>
      </c>
      <c r="AM1754">
        <v>68.584696697517302</v>
      </c>
      <c r="AN1754">
        <v>1.00000000599395</v>
      </c>
    </row>
    <row r="1755" spans="1:40" x14ac:dyDescent="0.25">
      <c r="A1755" t="str">
        <f>"20190303161908796"</f>
        <v>20190303161908796</v>
      </c>
      <c r="B1755" t="str">
        <f>"1551601148784110"</f>
        <v>1551601148784110</v>
      </c>
      <c r="C1755" t="s">
        <v>40</v>
      </c>
      <c r="D1755">
        <v>4.9489330000000002</v>
      </c>
      <c r="E1755">
        <v>0.6004969</v>
      </c>
      <c r="F1755" t="s">
        <v>46</v>
      </c>
      <c r="G1755">
        <v>-202.03030000000001</v>
      </c>
      <c r="H1755" s="1">
        <v>-3.502297E-6</v>
      </c>
      <c r="I1755">
        <v>360.4076</v>
      </c>
      <c r="J1755">
        <v>-208.20259999999999</v>
      </c>
      <c r="K1755">
        <v>1.119426</v>
      </c>
      <c r="L1755">
        <v>366.6961</v>
      </c>
      <c r="M1755">
        <v>0.98609559999999996</v>
      </c>
      <c r="N1755">
        <v>-1.3845120000000001E-2</v>
      </c>
      <c r="O1755">
        <v>-0.1656011</v>
      </c>
      <c r="P1755">
        <v>0.85371569999999997</v>
      </c>
      <c r="Q1755">
        <v>9.7513230000000006E-2</v>
      </c>
      <c r="R1755">
        <v>-0.51152849999999905</v>
      </c>
      <c r="S1755">
        <v>2.2199249999999999</v>
      </c>
      <c r="T1755">
        <v>-0.39709909999999998</v>
      </c>
      <c r="U1755">
        <v>-2.2370000000000001</v>
      </c>
      <c r="V1755">
        <v>0.36364400000000002</v>
      </c>
      <c r="W1755">
        <v>0.1084411</v>
      </c>
      <c r="X1755">
        <v>0.92520460000000004</v>
      </c>
      <c r="Y1755">
        <v>0.57940539999999996</v>
      </c>
      <c r="Z1755">
        <v>-2.5419509999999999E-2</v>
      </c>
      <c r="AA1755">
        <v>0.81464300000000001</v>
      </c>
      <c r="AB1755">
        <v>14</v>
      </c>
      <c r="AC1755">
        <v>6.1722999999999697</v>
      </c>
      <c r="AD1755">
        <v>-1.119429502297</v>
      </c>
      <c r="AE1755">
        <v>-6.2884999999999902</v>
      </c>
      <c r="AF1755">
        <v>5.0971528756559197</v>
      </c>
      <c r="AG1755">
        <v>-1.119429502297</v>
      </c>
      <c r="AH1755">
        <v>7.0153191136916897</v>
      </c>
      <c r="AI1755">
        <v>97.355763046389995</v>
      </c>
      <c r="AJ1755">
        <v>53.998796248400502</v>
      </c>
      <c r="AK1755">
        <v>8.7434999922999008</v>
      </c>
      <c r="AL1755">
        <v>83.774540336566105</v>
      </c>
      <c r="AM1755">
        <v>68.543103111378997</v>
      </c>
      <c r="AN1755">
        <v>0.99999999138318496</v>
      </c>
    </row>
    <row r="1756" spans="1:40" x14ac:dyDescent="0.25">
      <c r="A1756" t="str">
        <f>"20190303161908814"</f>
        <v>20190303161908814</v>
      </c>
      <c r="B1756" t="str">
        <f>"1551601148804607"</f>
        <v>1551601148804607</v>
      </c>
      <c r="C1756" t="s">
        <v>40</v>
      </c>
      <c r="D1756">
        <v>4.9204819999999998</v>
      </c>
      <c r="E1756">
        <v>0.60056560000000003</v>
      </c>
      <c r="F1756" t="s">
        <v>46</v>
      </c>
      <c r="G1756">
        <v>-201.8159</v>
      </c>
      <c r="H1756" s="1">
        <v>-3.4379460000000002E-6</v>
      </c>
      <c r="I1756">
        <v>360.21129999999999</v>
      </c>
      <c r="J1756">
        <v>-208.10130000000001</v>
      </c>
      <c r="K1756">
        <v>1.119386</v>
      </c>
      <c r="L1756">
        <v>366.67469999999997</v>
      </c>
      <c r="M1756">
        <v>0.98546520000000004</v>
      </c>
      <c r="N1756">
        <v>-1.3857589999999999E-2</v>
      </c>
      <c r="O1756">
        <v>-0.1693112</v>
      </c>
      <c r="P1756">
        <v>0.85114339999999999</v>
      </c>
      <c r="Q1756">
        <v>9.9753220000000004E-2</v>
      </c>
      <c r="R1756">
        <v>-0.5153683</v>
      </c>
      <c r="S1756">
        <v>2.2123870000000001</v>
      </c>
      <c r="T1756">
        <v>-0.38777600000000001</v>
      </c>
      <c r="U1756">
        <v>-2.2463679999999999</v>
      </c>
      <c r="V1756">
        <v>0.36440119999999998</v>
      </c>
      <c r="W1756">
        <v>0.1106299</v>
      </c>
      <c r="X1756">
        <v>0.92464740000000001</v>
      </c>
      <c r="Y1756">
        <v>0.579617099999999</v>
      </c>
      <c r="Z1756">
        <v>-2.4566810000000001E-2</v>
      </c>
      <c r="AA1756">
        <v>0.81451850000000003</v>
      </c>
      <c r="AB1756">
        <v>14</v>
      </c>
      <c r="AC1756">
        <v>6.2854000000000099</v>
      </c>
      <c r="AD1756">
        <v>-1.1193894379459901</v>
      </c>
      <c r="AE1756">
        <v>-6.4633999999999698</v>
      </c>
      <c r="AF1756">
        <v>5.2252250936696996</v>
      </c>
      <c r="AG1756">
        <v>-1.1193894379459901</v>
      </c>
      <c r="AH1756">
        <v>7.1784072975328099</v>
      </c>
      <c r="AI1756">
        <v>97.1856463883869</v>
      </c>
      <c r="AJ1756">
        <v>53.948801198822601</v>
      </c>
      <c r="AK1756">
        <v>8.9490525377032508</v>
      </c>
      <c r="AL1756">
        <v>83.648372268776399</v>
      </c>
      <c r="AM1756">
        <v>68.490725791821205</v>
      </c>
      <c r="AN1756">
        <v>1.0000000118311001</v>
      </c>
    </row>
    <row r="1757" spans="1:40" x14ac:dyDescent="0.25">
      <c r="A1757" t="str">
        <f>"20190303161908829"</f>
        <v>20190303161908829</v>
      </c>
      <c r="B1757" t="str">
        <f>"1551601148824127"</f>
        <v>1551601148824127</v>
      </c>
      <c r="C1757" t="s">
        <v>40</v>
      </c>
      <c r="D1757">
        <v>4.9664289999999998</v>
      </c>
      <c r="E1757">
        <v>0.60058840000000002</v>
      </c>
      <c r="F1757" t="s">
        <v>46</v>
      </c>
      <c r="G1757">
        <v>-201.6396</v>
      </c>
      <c r="H1757" s="1">
        <v>-3.384049E-6</v>
      </c>
      <c r="I1757">
        <v>360.05419999999998</v>
      </c>
      <c r="J1757">
        <v>-208.00630000000001</v>
      </c>
      <c r="K1757">
        <v>1.1193489999999999</v>
      </c>
      <c r="L1757">
        <v>366.6542</v>
      </c>
      <c r="M1757">
        <v>0.98484389999999999</v>
      </c>
      <c r="N1757">
        <v>-1.3869360000000001E-2</v>
      </c>
      <c r="O1757">
        <v>-0.17288809999999999</v>
      </c>
      <c r="P1757">
        <v>0.84868339999999998</v>
      </c>
      <c r="Q1757">
        <v>0.1022655</v>
      </c>
      <c r="R1757">
        <v>-0.51892050000000001</v>
      </c>
      <c r="S1757">
        <v>2.2028050000000001</v>
      </c>
      <c r="T1757">
        <v>-0.38160319999999998</v>
      </c>
      <c r="U1757">
        <v>-2.2569270000000001</v>
      </c>
      <c r="V1757">
        <v>0.36498829999999999</v>
      </c>
      <c r="W1757">
        <v>0.1130963</v>
      </c>
      <c r="X1757">
        <v>0.92411730000000003</v>
      </c>
      <c r="Y1757">
        <v>0.58045869999999999</v>
      </c>
      <c r="Z1757">
        <v>-2.395133E-2</v>
      </c>
      <c r="AA1757">
        <v>0.81393740000000003</v>
      </c>
      <c r="AB1757">
        <v>14</v>
      </c>
      <c r="AC1757">
        <v>6.3666999999999998</v>
      </c>
      <c r="AD1757">
        <v>-1.1193523840489901</v>
      </c>
      <c r="AE1757">
        <v>-6.6000000000000201</v>
      </c>
      <c r="AF1757">
        <v>5.3204907328010798</v>
      </c>
      <c r="AG1757">
        <v>-1.1193523840489901</v>
      </c>
      <c r="AH1757">
        <v>7.3031677740493297</v>
      </c>
      <c r="AI1757">
        <v>97.061884982784505</v>
      </c>
      <c r="AJ1757">
        <v>53.925980276246896</v>
      </c>
      <c r="AK1757">
        <v>9.1047696804153695</v>
      </c>
      <c r="AL1757">
        <v>83.506165354963002</v>
      </c>
      <c r="AM1757">
        <v>68.448019941136195</v>
      </c>
      <c r="AN1757">
        <v>1.0000000081849301</v>
      </c>
    </row>
    <row r="1758" spans="1:40" x14ac:dyDescent="0.25">
      <c r="A1758" t="str">
        <f>"20190303161908839"</f>
        <v>20190303161908839</v>
      </c>
      <c r="B1758" t="str">
        <f>"1551601148833887"</f>
        <v>1551601148833887</v>
      </c>
      <c r="C1758" t="s">
        <v>40</v>
      </c>
      <c r="D1758">
        <v>4.9938630000000002</v>
      </c>
      <c r="E1758">
        <v>0.60059459999999998</v>
      </c>
      <c r="F1758" t="s">
        <v>46</v>
      </c>
      <c r="G1758">
        <v>-201.446</v>
      </c>
      <c r="H1758" s="1">
        <v>-3.326927E-6</v>
      </c>
      <c r="I1758">
        <v>359.8725</v>
      </c>
      <c r="J1758">
        <v>-207.93729999999999</v>
      </c>
      <c r="K1758">
        <v>1.119345</v>
      </c>
      <c r="L1758">
        <v>366.63889999999998</v>
      </c>
      <c r="M1758">
        <v>0.98437180000000002</v>
      </c>
      <c r="N1758">
        <v>-1.387795E-2</v>
      </c>
      <c r="O1758">
        <v>-0.1755555</v>
      </c>
      <c r="P1758">
        <v>0.84557959999999999</v>
      </c>
      <c r="Q1758">
        <v>0.10819670000000001</v>
      </c>
      <c r="R1758">
        <v>-0.52277079999999998</v>
      </c>
      <c r="S1758">
        <v>2.1935120000000001</v>
      </c>
      <c r="T1758">
        <v>-0.37426979999999999</v>
      </c>
      <c r="U1758">
        <v>-2.2675480000000001</v>
      </c>
      <c r="V1758">
        <v>0.3668573</v>
      </c>
      <c r="W1758">
        <v>0.11897389999999999</v>
      </c>
      <c r="X1758">
        <v>0.92263799999999996</v>
      </c>
      <c r="Y1758">
        <v>0.58200859999999999</v>
      </c>
      <c r="Z1758">
        <v>-2.345879E-2</v>
      </c>
      <c r="AA1758">
        <v>0.81284419999999902</v>
      </c>
      <c r="AB1758">
        <v>14</v>
      </c>
      <c r="AC1758">
        <v>6.4912999999999901</v>
      </c>
      <c r="AD1758">
        <v>-1.1193483269269999</v>
      </c>
      <c r="AE1758">
        <v>-6.7663999999999698</v>
      </c>
      <c r="AF1758">
        <v>5.44401993558456</v>
      </c>
      <c r="AG1758">
        <v>-1.1193483269269999</v>
      </c>
      <c r="AH1758">
        <v>7.4719794045934798</v>
      </c>
      <c r="AI1758">
        <v>96.903632891859502</v>
      </c>
      <c r="AJ1758">
        <v>53.923240952964399</v>
      </c>
      <c r="AK1758">
        <v>9.3123987220643407</v>
      </c>
      <c r="AL1758">
        <v>83.167112671970301</v>
      </c>
      <c r="AM1758">
        <v>68.316350438213902</v>
      </c>
      <c r="AN1758">
        <v>0.99999997324424905</v>
      </c>
    </row>
    <row r="1759" spans="1:40" x14ac:dyDescent="0.25">
      <c r="A1759" t="str">
        <f>"20190303161908852"</f>
        <v>20190303161908852</v>
      </c>
      <c r="B1759" t="str">
        <f>"1551601148844623"</f>
        <v>1551601148844623</v>
      </c>
      <c r="C1759" t="s">
        <v>40</v>
      </c>
      <c r="D1759">
        <v>5.0244419999999996</v>
      </c>
      <c r="E1759">
        <v>0.600595199999999</v>
      </c>
      <c r="F1759" t="s">
        <v>46</v>
      </c>
      <c r="G1759">
        <v>-201.08080000000001</v>
      </c>
      <c r="H1759" s="1">
        <v>-6.3816110000000001E-6</v>
      </c>
      <c r="I1759">
        <v>359.48410000000001</v>
      </c>
      <c r="J1759">
        <v>-207.8629</v>
      </c>
      <c r="K1759">
        <v>1.119329</v>
      </c>
      <c r="L1759">
        <v>366.62209999999999</v>
      </c>
      <c r="M1759">
        <v>0.98384550000000004</v>
      </c>
      <c r="N1759">
        <v>-1.388693E-2</v>
      </c>
      <c r="O1759">
        <v>-0.17848069999999999</v>
      </c>
      <c r="P1759">
        <v>0.84344730000000001</v>
      </c>
      <c r="Q1759">
        <v>0.11063919999999999</v>
      </c>
      <c r="R1759">
        <v>-0.52569540000000003</v>
      </c>
      <c r="S1759">
        <v>2.184326</v>
      </c>
      <c r="T1759">
        <v>-0.35660059999999999</v>
      </c>
      <c r="U1759">
        <v>-2.2793580000000002</v>
      </c>
      <c r="V1759">
        <v>0.3673903</v>
      </c>
      <c r="W1759">
        <v>0.1213848</v>
      </c>
      <c r="X1759">
        <v>0.92211169999999998</v>
      </c>
      <c r="Y1759">
        <v>0.58369819999999994</v>
      </c>
      <c r="Z1759">
        <v>-2.250272E-2</v>
      </c>
      <c r="AA1759">
        <v>0.81165889999999996</v>
      </c>
      <c r="AB1759">
        <v>14</v>
      </c>
      <c r="AC1759">
        <v>6.7820999999999803</v>
      </c>
      <c r="AD1759">
        <v>-1.1193353816110001</v>
      </c>
      <c r="AE1759">
        <v>-7.1379999999999697</v>
      </c>
      <c r="AF1759">
        <v>5.73861197027672</v>
      </c>
      <c r="AG1759">
        <v>-1.1193353816110001</v>
      </c>
      <c r="AH1759">
        <v>7.8459025079822498</v>
      </c>
      <c r="AI1759">
        <v>96.568733944307098</v>
      </c>
      <c r="AJ1759">
        <v>53.817696851203799</v>
      </c>
      <c r="AK1759">
        <v>9.7848232077381798</v>
      </c>
      <c r="AL1759">
        <v>83.027969557752996</v>
      </c>
      <c r="AM1759">
        <v>68.276536723273097</v>
      </c>
      <c r="AN1759">
        <v>0.99999994474100795</v>
      </c>
    </row>
    <row r="1760" spans="1:40" x14ac:dyDescent="0.25">
      <c r="A1760" t="str">
        <f>"20190303161908864"</f>
        <v>20190303161908864</v>
      </c>
      <c r="B1760" t="str">
        <f>"1551601148854384"</f>
        <v>1551601148854384</v>
      </c>
      <c r="C1760" t="s">
        <v>40</v>
      </c>
      <c r="D1760">
        <v>4.9501239999999997</v>
      </c>
      <c r="E1760">
        <v>0.60057819999999995</v>
      </c>
      <c r="F1760" t="s">
        <v>46</v>
      </c>
      <c r="G1760">
        <v>-200.88759999999999</v>
      </c>
      <c r="H1760" s="1">
        <v>-6.40309099999999E-6</v>
      </c>
      <c r="I1760">
        <v>359.28930000000003</v>
      </c>
      <c r="J1760">
        <v>-207.79400000000001</v>
      </c>
      <c r="K1760">
        <v>1.1193059999999999</v>
      </c>
      <c r="L1760">
        <v>366.60640000000001</v>
      </c>
      <c r="M1760">
        <v>0.98334379999999999</v>
      </c>
      <c r="N1760">
        <v>-1.3895029999999999E-2</v>
      </c>
      <c r="O1760">
        <v>-0.18122389999999999</v>
      </c>
      <c r="P1760">
        <v>0.84127879999999999</v>
      </c>
      <c r="Q1760">
        <v>0.1130603</v>
      </c>
      <c r="R1760">
        <v>-0.52864739999999999</v>
      </c>
      <c r="S1760">
        <v>2.1765289999999999</v>
      </c>
      <c r="T1760">
        <v>-0.34927010000000003</v>
      </c>
      <c r="U1760">
        <v>-2.2880859999999998</v>
      </c>
      <c r="V1760">
        <v>0.36813059999999997</v>
      </c>
      <c r="W1760">
        <v>0.1237756</v>
      </c>
      <c r="X1760">
        <v>0.9214985</v>
      </c>
      <c r="Y1760">
        <v>0.5845574</v>
      </c>
      <c r="Z1760">
        <v>-2.19689E-2</v>
      </c>
      <c r="AA1760">
        <v>0.81105490000000002</v>
      </c>
      <c r="AB1760">
        <v>14</v>
      </c>
      <c r="AC1760">
        <v>6.9064000000000103</v>
      </c>
      <c r="AD1760">
        <v>-1.119312403091</v>
      </c>
      <c r="AE1760">
        <v>-7.3170999999999804</v>
      </c>
      <c r="AF1760">
        <v>5.8715311360771896</v>
      </c>
      <c r="AG1760">
        <v>-1.119312403091</v>
      </c>
      <c r="AH1760">
        <v>8.0189446284562802</v>
      </c>
      <c r="AI1760">
        <v>96.425648206842993</v>
      </c>
      <c r="AJ1760">
        <v>53.7881332283348</v>
      </c>
      <c r="AK1760">
        <v>10.0015604328467</v>
      </c>
      <c r="AL1760">
        <v>82.889946353726003</v>
      </c>
      <c r="AM1760">
        <v>68.223722902995604</v>
      </c>
      <c r="AN1760">
        <v>1.00000001165698</v>
      </c>
    </row>
    <row r="1761" spans="1:40" x14ac:dyDescent="0.25">
      <c r="A1761" t="str">
        <f>"20190303161908875"</f>
        <v>20190303161908875</v>
      </c>
      <c r="B1761" t="str">
        <f>"1551601148864143"</f>
        <v>1551601148864143</v>
      </c>
      <c r="C1761" t="s">
        <v>40</v>
      </c>
      <c r="D1761">
        <v>4.9668599999999996</v>
      </c>
      <c r="E1761">
        <v>0.60058669999999903</v>
      </c>
      <c r="F1761" t="s">
        <v>46</v>
      </c>
      <c r="G1761">
        <v>-200.68559999999999</v>
      </c>
      <c r="H1761" s="1">
        <v>-6.4233150000000002E-6</v>
      </c>
      <c r="I1761">
        <v>359.07769999999999</v>
      </c>
      <c r="J1761">
        <v>-207.7235</v>
      </c>
      <c r="K1761">
        <v>1.1192949999999999</v>
      </c>
      <c r="L1761">
        <v>366.5899</v>
      </c>
      <c r="M1761">
        <v>0.98280889999999999</v>
      </c>
      <c r="N1761">
        <v>-1.3902869999999999E-2</v>
      </c>
      <c r="O1761">
        <v>-0.18410119999999999</v>
      </c>
      <c r="P1761">
        <v>0.83938979999999996</v>
      </c>
      <c r="Q1761">
        <v>0.1150487</v>
      </c>
      <c r="R1761">
        <v>-0.53121439999999998</v>
      </c>
      <c r="S1761">
        <v>2.1685940000000001</v>
      </c>
      <c r="T1761">
        <v>-0.341472099999999</v>
      </c>
      <c r="U1761">
        <v>-2.2968139999999999</v>
      </c>
      <c r="V1761">
        <v>0.36831659999999999</v>
      </c>
      <c r="W1761">
        <v>0.1257451</v>
      </c>
      <c r="X1761">
        <v>0.92115749999999996</v>
      </c>
      <c r="Y1761">
        <v>0.58533329999999995</v>
      </c>
      <c r="Z1761">
        <v>-2.1405810000000001E-2</v>
      </c>
      <c r="AA1761">
        <v>0.81051019999999996</v>
      </c>
      <c r="AB1761">
        <v>14</v>
      </c>
      <c r="AC1761">
        <v>7.0378999999999996</v>
      </c>
      <c r="AD1761">
        <v>-1.119301423315</v>
      </c>
      <c r="AE1761">
        <v>-7.5122</v>
      </c>
      <c r="AF1761">
        <v>6.0168225401958102</v>
      </c>
      <c r="AG1761">
        <v>-1.119301423315</v>
      </c>
      <c r="AH1761">
        <v>8.2037252069291995</v>
      </c>
      <c r="AI1761">
        <v>96.278407748798102</v>
      </c>
      <c r="AJ1761">
        <v>53.742722586817898</v>
      </c>
      <c r="AK1761">
        <v>10.235042570856701</v>
      </c>
      <c r="AL1761">
        <v>82.776213928081205</v>
      </c>
      <c r="AM1761">
        <v>68.206440983069498</v>
      </c>
      <c r="AN1761">
        <v>1.0000000439079</v>
      </c>
    </row>
    <row r="1762" spans="1:40" x14ac:dyDescent="0.25">
      <c r="A1762" t="str">
        <f>"20190303161908887"</f>
        <v>20190303161908887</v>
      </c>
      <c r="B1762" t="str">
        <f>"1551601148884639"</f>
        <v>1551601148884639</v>
      </c>
      <c r="C1762" t="s">
        <v>40</v>
      </c>
      <c r="D1762">
        <v>4.9558119999999999</v>
      </c>
      <c r="E1762">
        <v>0.60057439999999995</v>
      </c>
      <c r="F1762" t="s">
        <v>46</v>
      </c>
      <c r="G1762">
        <v>-200.51089999999999</v>
      </c>
      <c r="H1762" s="1">
        <v>-6.4338589999999999E-6</v>
      </c>
      <c r="I1762">
        <v>358.90120000000002</v>
      </c>
      <c r="J1762">
        <v>-207.65389999999999</v>
      </c>
      <c r="K1762">
        <v>1.119283</v>
      </c>
      <c r="L1762">
        <v>366.57350000000002</v>
      </c>
      <c r="M1762">
        <v>0.98226840000000004</v>
      </c>
      <c r="N1762">
        <v>-1.391033E-2</v>
      </c>
      <c r="O1762">
        <v>-0.1869633</v>
      </c>
      <c r="P1762">
        <v>0.83745449999999999</v>
      </c>
      <c r="Q1762">
        <v>0.11654249999999999</v>
      </c>
      <c r="R1762">
        <v>-0.53393649999999904</v>
      </c>
      <c r="S1762">
        <v>2.161667</v>
      </c>
      <c r="T1762">
        <v>-0.33546160000000003</v>
      </c>
      <c r="U1762">
        <v>-2.3043520000000002</v>
      </c>
      <c r="V1762">
        <v>0.3686779</v>
      </c>
      <c r="W1762">
        <v>0.12722049999999999</v>
      </c>
      <c r="X1762">
        <v>0.92081029999999997</v>
      </c>
      <c r="Y1762">
        <v>0.58569469999999901</v>
      </c>
      <c r="Z1762">
        <v>-2.0897530000000001E-2</v>
      </c>
      <c r="AA1762">
        <v>0.81026239999999905</v>
      </c>
      <c r="AB1762">
        <v>14</v>
      </c>
      <c r="AC1762">
        <v>7.1429999999999998</v>
      </c>
      <c r="AD1762">
        <v>-1.119289433859</v>
      </c>
      <c r="AE1762">
        <v>-7.6722999999999999</v>
      </c>
      <c r="AF1762">
        <v>6.1314745955904302</v>
      </c>
      <c r="AG1762">
        <v>-1.119289433859</v>
      </c>
      <c r="AH1762">
        <v>8.3563296497390596</v>
      </c>
      <c r="AI1762">
        <v>96.163623648683298</v>
      </c>
      <c r="AJ1762">
        <v>53.730561884522501</v>
      </c>
      <c r="AK1762">
        <v>10.4247798426742</v>
      </c>
      <c r="AL1762">
        <v>82.690995213986696</v>
      </c>
      <c r="AM1762">
        <v>68.179616019665005</v>
      </c>
      <c r="AN1762">
        <v>1.0000000290773701</v>
      </c>
    </row>
    <row r="1763" spans="1:40" x14ac:dyDescent="0.25">
      <c r="A1763" t="str">
        <f>"20190303161908899"</f>
        <v>20190303161908899</v>
      </c>
      <c r="B1763" t="str">
        <f>"1551601148894399"</f>
        <v>1551601148894399</v>
      </c>
      <c r="C1763" t="s">
        <v>40</v>
      </c>
      <c r="D1763">
        <v>4.9709219999999998</v>
      </c>
      <c r="E1763">
        <v>0.63218560000000001</v>
      </c>
      <c r="F1763" t="s">
        <v>46</v>
      </c>
      <c r="G1763">
        <v>-200.37190000000001</v>
      </c>
      <c r="H1763" s="1">
        <v>-6.4347899999999999E-6</v>
      </c>
      <c r="I1763">
        <v>358.75670000000002</v>
      </c>
      <c r="J1763">
        <v>-207.58070000000001</v>
      </c>
      <c r="K1763">
        <v>1.1192770000000001</v>
      </c>
      <c r="L1763">
        <v>366.55590000000001</v>
      </c>
      <c r="M1763">
        <v>0.98167819999999995</v>
      </c>
      <c r="N1763">
        <v>-1.391769E-2</v>
      </c>
      <c r="O1763">
        <v>-0.1900385</v>
      </c>
      <c r="P1763">
        <v>0.83568189999999998</v>
      </c>
      <c r="Q1763">
        <v>0.1179958</v>
      </c>
      <c r="R1763">
        <v>-0.53638940000000002</v>
      </c>
      <c r="S1763">
        <v>2.1541139999999999</v>
      </c>
      <c r="T1763">
        <v>-0.33110070000000003</v>
      </c>
      <c r="U1763">
        <v>-2.3123170000000002</v>
      </c>
      <c r="V1763">
        <v>0.36854579999999998</v>
      </c>
      <c r="W1763">
        <v>0.12866379999999999</v>
      </c>
      <c r="X1763">
        <v>0.9206626</v>
      </c>
      <c r="Y1763">
        <v>0.58604389999999995</v>
      </c>
      <c r="Z1763">
        <v>-2.0444690000000001E-2</v>
      </c>
      <c r="AA1763">
        <v>0.81002130000000006</v>
      </c>
      <c r="AB1763">
        <v>13</v>
      </c>
      <c r="AC1763">
        <v>7.2087999999999903</v>
      </c>
      <c r="AD1763">
        <v>-1.11928343479</v>
      </c>
      <c r="AE1763">
        <v>-7.7991999999999804</v>
      </c>
      <c r="AF1763">
        <v>6.21790106445241</v>
      </c>
      <c r="AG1763">
        <v>-1.11928343479</v>
      </c>
      <c r="AH1763">
        <v>8.4656699627664</v>
      </c>
      <c r="AI1763">
        <v>96.082475947068204</v>
      </c>
      <c r="AJ1763">
        <v>53.703304831166399</v>
      </c>
      <c r="AK1763">
        <v>10.563269236992801</v>
      </c>
      <c r="AL1763">
        <v>82.607614756239897</v>
      </c>
      <c r="AM1763">
        <v>68.183529517440505</v>
      </c>
      <c r="AN1763">
        <v>1.0000000015834201</v>
      </c>
    </row>
    <row r="1764" spans="1:40" x14ac:dyDescent="0.25">
      <c r="A1764" t="str">
        <f>"20190303161908910"</f>
        <v>20190303161908910</v>
      </c>
      <c r="B1764" t="str">
        <f>"1551601148904159"</f>
        <v>1551601148904159</v>
      </c>
      <c r="C1764" t="s">
        <v>40</v>
      </c>
      <c r="D1764">
        <v>4.9453870000000002</v>
      </c>
      <c r="E1764">
        <v>0.63203849999999995</v>
      </c>
      <c r="F1764" t="s">
        <v>46</v>
      </c>
      <c r="G1764">
        <v>-199.16040000000001</v>
      </c>
      <c r="H1764" s="1">
        <v>-5.4913140000000002E-6</v>
      </c>
      <c r="I1764">
        <v>355.93579999999997</v>
      </c>
      <c r="J1764">
        <v>-207.51410000000001</v>
      </c>
      <c r="K1764">
        <v>1.1192690000000001</v>
      </c>
      <c r="L1764">
        <v>366.53960000000001</v>
      </c>
      <c r="M1764">
        <v>0.98112710000000003</v>
      </c>
      <c r="N1764">
        <v>-1.392384E-2</v>
      </c>
      <c r="O1764">
        <v>-0.19286239999999999</v>
      </c>
      <c r="P1764">
        <v>0.83387489999999997</v>
      </c>
      <c r="Q1764">
        <v>0.11891649999999999</v>
      </c>
      <c r="R1764">
        <v>-0.53899160000000002</v>
      </c>
      <c r="S1764">
        <v>2.0046689999999998</v>
      </c>
      <c r="T1764">
        <v>-0.2664745</v>
      </c>
      <c r="U1764">
        <v>-2.528381</v>
      </c>
      <c r="V1764">
        <v>0.36880109999999999</v>
      </c>
      <c r="W1764">
        <v>0.12957550000000001</v>
      </c>
      <c r="X1764">
        <v>0.92043240000000004</v>
      </c>
      <c r="Y1764">
        <v>0.64698089999999997</v>
      </c>
      <c r="Z1764">
        <v>-2.1518260000000001E-2</v>
      </c>
      <c r="AA1764">
        <v>0.76220250000000001</v>
      </c>
      <c r="AB1764">
        <v>13</v>
      </c>
      <c r="AC1764">
        <v>8.3536999999999999</v>
      </c>
      <c r="AD1764">
        <v>-1.119274491314</v>
      </c>
      <c r="AE1764">
        <v>-10.6038</v>
      </c>
      <c r="AF1764">
        <v>8.7333716912196007</v>
      </c>
      <c r="AG1764">
        <v>-1.119274491314</v>
      </c>
      <c r="AH1764">
        <v>10.1721752589748</v>
      </c>
      <c r="AI1764">
        <v>94.772269645035294</v>
      </c>
      <c r="AJ1764">
        <v>49.352096525479801</v>
      </c>
      <c r="AK1764">
        <v>13.4535387903407</v>
      </c>
      <c r="AL1764">
        <v>82.554936710759193</v>
      </c>
      <c r="AM1764">
        <v>68.1648907420429</v>
      </c>
      <c r="AN1764">
        <v>0.99999993226560702</v>
      </c>
    </row>
    <row r="1765" spans="1:40" x14ac:dyDescent="0.25">
      <c r="A1765" t="str">
        <f>"20190303161908923"</f>
        <v>20190303161908923</v>
      </c>
      <c r="B1765" t="str">
        <f>"1551601148913919"</f>
        <v>1551601148913919</v>
      </c>
      <c r="C1765" t="s">
        <v>40</v>
      </c>
      <c r="D1765">
        <v>4.9426589999999999</v>
      </c>
      <c r="E1765">
        <v>0.63165780000000005</v>
      </c>
      <c r="F1765" t="s">
        <v>46</v>
      </c>
      <c r="G1765">
        <v>-199.5147</v>
      </c>
      <c r="H1765" s="1">
        <v>-5.7009559999999998E-6</v>
      </c>
      <c r="I1765">
        <v>356.39679999999998</v>
      </c>
      <c r="J1765">
        <v>-207.44040000000001</v>
      </c>
      <c r="K1765">
        <v>1.119259</v>
      </c>
      <c r="L1765">
        <v>366.5213</v>
      </c>
      <c r="M1765">
        <v>0.98050119999999996</v>
      </c>
      <c r="N1765">
        <v>-1.393021E-2</v>
      </c>
      <c r="O1765">
        <v>-0.19601930000000001</v>
      </c>
      <c r="P1765">
        <v>0.83223910000000001</v>
      </c>
      <c r="Q1765">
        <v>0.1194935</v>
      </c>
      <c r="R1765">
        <v>-0.54138699999999995</v>
      </c>
      <c r="S1765">
        <v>1.9991300000000001</v>
      </c>
      <c r="T1765">
        <v>-0.2797173</v>
      </c>
      <c r="U1765">
        <v>-2.5347900000000001</v>
      </c>
      <c r="V1765">
        <v>0.36850680000000002</v>
      </c>
      <c r="W1765">
        <v>0.13015280000000001</v>
      </c>
      <c r="X1765">
        <v>0.92046890000000003</v>
      </c>
      <c r="Y1765">
        <v>0.6463295</v>
      </c>
      <c r="Z1765">
        <v>-2.1899789999999999E-2</v>
      </c>
      <c r="AA1765">
        <v>0.76274409999999904</v>
      </c>
      <c r="AB1765">
        <v>13</v>
      </c>
      <c r="AC1765">
        <v>7.9257</v>
      </c>
      <c r="AD1765">
        <v>-1.1192647009559999</v>
      </c>
      <c r="AE1765">
        <v>-10.124499999999999</v>
      </c>
      <c r="AF1765">
        <v>8.3113255786471996</v>
      </c>
      <c r="AG1765">
        <v>-1.1192647009559999</v>
      </c>
      <c r="AH1765">
        <v>9.6833245665191097</v>
      </c>
      <c r="AI1765">
        <v>95.012546091565795</v>
      </c>
      <c r="AJ1765">
        <v>49.360071094263098</v>
      </c>
      <c r="AK1765">
        <v>12.8100609290367</v>
      </c>
      <c r="AL1765">
        <v>82.521577903462102</v>
      </c>
      <c r="AM1765">
        <v>68.1814619527198</v>
      </c>
      <c r="AN1765">
        <v>1.0000000044306401</v>
      </c>
    </row>
    <row r="1766" spans="1:40" x14ac:dyDescent="0.25">
      <c r="A1766" t="str">
        <f>"20190303161908938"</f>
        <v>20190303161908938</v>
      </c>
      <c r="B1766" t="str">
        <f>"1551601148934416"</f>
        <v>1551601148934416</v>
      </c>
      <c r="C1766" t="s">
        <v>40</v>
      </c>
      <c r="D1766">
        <v>4.9611140000000002</v>
      </c>
      <c r="E1766">
        <v>0.62406159999999999</v>
      </c>
      <c r="F1766" t="s">
        <v>46</v>
      </c>
      <c r="G1766">
        <v>-199.6823</v>
      </c>
      <c r="H1766" s="1">
        <v>-5.80842499999999E-6</v>
      </c>
      <c r="I1766">
        <v>356.63959999999997</v>
      </c>
      <c r="J1766">
        <v>-207.3569</v>
      </c>
      <c r="K1766">
        <v>1.119256</v>
      </c>
      <c r="L1766">
        <v>366.50020000000001</v>
      </c>
      <c r="M1766">
        <v>0.97976870000000005</v>
      </c>
      <c r="N1766">
        <v>-1.393633E-2</v>
      </c>
      <c r="O1766">
        <v>-0.1996474</v>
      </c>
      <c r="P1766">
        <v>0.83026049999999996</v>
      </c>
      <c r="Q1766">
        <v>0.1200116</v>
      </c>
      <c r="R1766">
        <v>-0.54430269999999903</v>
      </c>
      <c r="S1766">
        <v>1.9939119999999999</v>
      </c>
      <c r="T1766">
        <v>-0.28766550000000002</v>
      </c>
      <c r="U1766">
        <v>-2.5397340000000002</v>
      </c>
      <c r="V1766">
        <v>0.36834630000000002</v>
      </c>
      <c r="W1766">
        <v>0.13067609999999999</v>
      </c>
      <c r="X1766">
        <v>0.92045900000000003</v>
      </c>
      <c r="Y1766">
        <v>0.64510819999999902</v>
      </c>
      <c r="Z1766">
        <v>-2.191005E-2</v>
      </c>
      <c r="AA1766">
        <v>0.76377700000000004</v>
      </c>
      <c r="AB1766">
        <v>13</v>
      </c>
      <c r="AC1766">
        <v>7.6745999999999901</v>
      </c>
      <c r="AD1766">
        <v>-1.1192618084249999</v>
      </c>
      <c r="AE1766">
        <v>-9.86060000000003</v>
      </c>
      <c r="AF1766">
        <v>8.0649718974770899</v>
      </c>
      <c r="AG1766">
        <v>-1.1192618084249999</v>
      </c>
      <c r="AH1766">
        <v>9.4133674847427606</v>
      </c>
      <c r="AI1766">
        <v>95.159462832710801</v>
      </c>
      <c r="AJ1766">
        <v>49.411440414480801</v>
      </c>
      <c r="AK1766">
        <v>12.446204485934899</v>
      </c>
      <c r="AL1766">
        <v>82.491336755481299</v>
      </c>
      <c r="AM1766">
        <v>68.189860372324503</v>
      </c>
      <c r="AN1766">
        <v>1.0000000052579401</v>
      </c>
    </row>
    <row r="1767" spans="1:40" x14ac:dyDescent="0.25">
      <c r="A1767" t="str">
        <f>"20190303161908952"</f>
        <v>20190303161908952</v>
      </c>
      <c r="B1767" t="str">
        <f>"1551601148944176"</f>
        <v>1551601148944176</v>
      </c>
      <c r="C1767" t="s">
        <v>40</v>
      </c>
      <c r="D1767">
        <v>4.9717799999999999</v>
      </c>
      <c r="E1767">
        <v>0.62454149999999997</v>
      </c>
      <c r="F1767" t="s">
        <v>46</v>
      </c>
      <c r="G1767">
        <v>-201.1001</v>
      </c>
      <c r="H1767">
        <v>5.1046689999999999E-2</v>
      </c>
      <c r="I1767">
        <v>358.77179999999998</v>
      </c>
      <c r="J1767">
        <v>-207.2713</v>
      </c>
      <c r="K1767">
        <v>1.1192580000000001</v>
      </c>
      <c r="L1767">
        <v>366.47809999999998</v>
      </c>
      <c r="M1767">
        <v>0.97899659999999999</v>
      </c>
      <c r="N1767">
        <v>-1.3941759999999999E-2</v>
      </c>
      <c r="O1767">
        <v>-0.2033991</v>
      </c>
      <c r="P1767">
        <v>0.82891919999999897</v>
      </c>
      <c r="Q1767">
        <v>0.1202138</v>
      </c>
      <c r="R1767">
        <v>-0.54629819999999996</v>
      </c>
      <c r="S1767">
        <v>2.0241850000000001</v>
      </c>
      <c r="T1767">
        <v>-0.34558240000000001</v>
      </c>
      <c r="U1767">
        <v>-2.5002439999999999</v>
      </c>
      <c r="V1767">
        <v>0.36703799999999998</v>
      </c>
      <c r="W1767">
        <v>0.13090019999999999</v>
      </c>
      <c r="X1767">
        <v>0.92094960000000003</v>
      </c>
      <c r="Y1767">
        <v>0.62988049999999995</v>
      </c>
      <c r="Z1767">
        <v>-2.3102170000000002E-2</v>
      </c>
      <c r="AA1767">
        <v>0.77634840000000005</v>
      </c>
      <c r="AB1767">
        <v>13</v>
      </c>
      <c r="AC1767">
        <v>6.17119999999999</v>
      </c>
      <c r="AD1767">
        <v>-1.0682113099999999</v>
      </c>
      <c r="AE1767">
        <v>-7.7062999999999899</v>
      </c>
      <c r="AF1767">
        <v>6.2170544667938401</v>
      </c>
      <c r="AG1767">
        <v>-1.0682113099999999</v>
      </c>
      <c r="AH1767">
        <v>7.5217225923150597</v>
      </c>
      <c r="AI1767">
        <v>96.247001157972207</v>
      </c>
      <c r="AJ1767">
        <v>50.424681087762799</v>
      </c>
      <c r="AK1767">
        <v>9.8167791256417694</v>
      </c>
      <c r="AL1767">
        <v>82.478385188106003</v>
      </c>
      <c r="AM1767">
        <v>68.270593007371602</v>
      </c>
      <c r="AN1767">
        <v>0.99999996077209896</v>
      </c>
    </row>
    <row r="1768" spans="1:40" x14ac:dyDescent="0.25">
      <c r="A1768" t="str">
        <f>"20190303161908967"</f>
        <v>20190303161908967</v>
      </c>
      <c r="B1768" t="str">
        <f>"1551601148964671"</f>
        <v>1551601148964671</v>
      </c>
      <c r="C1768" t="s">
        <v>40</v>
      </c>
      <c r="D1768">
        <v>5.2563209999999998</v>
      </c>
      <c r="E1768">
        <v>0.62080119999999905</v>
      </c>
      <c r="F1768" t="s">
        <v>46</v>
      </c>
      <c r="G1768">
        <v>-201.00399999999999</v>
      </c>
      <c r="H1768">
        <v>5.4836709999999997E-2</v>
      </c>
      <c r="I1768">
        <v>358.6703</v>
      </c>
      <c r="J1768">
        <v>-207.18039999999999</v>
      </c>
      <c r="K1768">
        <v>1.1192660000000001</v>
      </c>
      <c r="L1768">
        <v>366.45440000000002</v>
      </c>
      <c r="M1768">
        <v>0.97815339999999995</v>
      </c>
      <c r="N1768">
        <v>-1.3946480000000001E-2</v>
      </c>
      <c r="O1768">
        <v>-0.2074162</v>
      </c>
      <c r="P1768">
        <v>0.82702699999999996</v>
      </c>
      <c r="Q1768">
        <v>0.12017750000000001</v>
      </c>
      <c r="R1768">
        <v>-0.54916659999999995</v>
      </c>
      <c r="S1768">
        <v>2.0146639999999998</v>
      </c>
      <c r="T1768">
        <v>-0.3421651</v>
      </c>
      <c r="U1768">
        <v>-2.5098880000000001</v>
      </c>
      <c r="V1768">
        <v>0.36644300000000002</v>
      </c>
      <c r="W1768">
        <v>0.130882199999999</v>
      </c>
      <c r="X1768">
        <v>0.92118909999999998</v>
      </c>
      <c r="Y1768">
        <v>0.63001750000000001</v>
      </c>
      <c r="Z1768">
        <v>-2.2550520000000001E-2</v>
      </c>
      <c r="AA1768">
        <v>0.77625350000000004</v>
      </c>
      <c r="AB1768">
        <v>13</v>
      </c>
      <c r="AC1768">
        <v>6.1763999999999699</v>
      </c>
      <c r="AD1768">
        <v>-1.0644292900000001</v>
      </c>
      <c r="AE1768">
        <v>-7.78410000000002</v>
      </c>
      <c r="AF1768">
        <v>6.26172310007746</v>
      </c>
      <c r="AG1768">
        <v>-1.0644292900000001</v>
      </c>
      <c r="AH1768">
        <v>7.5698975286163801</v>
      </c>
      <c r="AI1768">
        <v>96.183818384810493</v>
      </c>
      <c r="AJ1768">
        <v>50.402879425022803</v>
      </c>
      <c r="AK1768">
        <v>9.8815755064263993</v>
      </c>
      <c r="AL1768">
        <v>82.479425684840507</v>
      </c>
      <c r="AM1768">
        <v>68.307660777984495</v>
      </c>
      <c r="AN1768">
        <v>0.999999990242325</v>
      </c>
    </row>
    <row r="1769" spans="1:40" x14ac:dyDescent="0.25">
      <c r="A1769" t="str">
        <f>"20190303161908982"</f>
        <v>20190303161908982</v>
      </c>
      <c r="B1769" t="str">
        <f>"1551601148974431"</f>
        <v>1551601148974431</v>
      </c>
      <c r="C1769" t="s">
        <v>40</v>
      </c>
      <c r="D1769">
        <v>5.0374129999999999</v>
      </c>
      <c r="E1769">
        <v>0.62127100000000002</v>
      </c>
      <c r="F1769" t="s">
        <v>46</v>
      </c>
      <c r="G1769">
        <v>-201.04079999999999</v>
      </c>
      <c r="H1769" s="1">
        <v>-6.2270660000000004E-6</v>
      </c>
      <c r="I1769">
        <v>358.89150000000001</v>
      </c>
      <c r="J1769">
        <v>-207.09819999999999</v>
      </c>
      <c r="K1769">
        <v>1.1192799999999901</v>
      </c>
      <c r="L1769">
        <v>366.43239999999997</v>
      </c>
      <c r="M1769">
        <v>0.97736909999999999</v>
      </c>
      <c r="N1769">
        <v>-1.394949E-2</v>
      </c>
      <c r="O1769">
        <v>-0.2110804</v>
      </c>
      <c r="P1769">
        <v>0.82513369999999997</v>
      </c>
      <c r="Q1769">
        <v>0.1203182</v>
      </c>
      <c r="R1769">
        <v>-0.55197619999999903</v>
      </c>
      <c r="S1769">
        <v>2.0248719999999998</v>
      </c>
      <c r="T1769">
        <v>-0.36914010000000003</v>
      </c>
      <c r="U1769">
        <v>-2.4942630000000001</v>
      </c>
      <c r="V1769">
        <v>0.36612450000000002</v>
      </c>
      <c r="W1769">
        <v>0.13104060000000001</v>
      </c>
      <c r="X1769">
        <v>0.92129329999999998</v>
      </c>
      <c r="Y1769">
        <v>0.62244929999999998</v>
      </c>
      <c r="Z1769">
        <v>-2.265238E-2</v>
      </c>
      <c r="AA1769">
        <v>0.78233219999999903</v>
      </c>
      <c r="AB1769">
        <v>13</v>
      </c>
      <c r="AC1769">
        <v>6.0574000000000003</v>
      </c>
      <c r="AD1769">
        <v>-1.11928622706599</v>
      </c>
      <c r="AE1769">
        <v>-7.5408999999999597</v>
      </c>
      <c r="AF1769">
        <v>6.0117357315240403</v>
      </c>
      <c r="AG1769">
        <v>-1.11928622706599</v>
      </c>
      <c r="AH1769">
        <v>7.41351076274265</v>
      </c>
      <c r="AI1769">
        <v>96.688411010691595</v>
      </c>
      <c r="AJ1769">
        <v>50.9608451918646</v>
      </c>
      <c r="AK1769">
        <v>9.6100941719154704</v>
      </c>
      <c r="AL1769">
        <v>82.470271767312397</v>
      </c>
      <c r="AM1769">
        <v>68.326990554469901</v>
      </c>
      <c r="AN1769">
        <v>1.0000000664867399</v>
      </c>
    </row>
    <row r="1770" spans="1:40" x14ac:dyDescent="0.25">
      <c r="A1770" t="str">
        <f>"20190303161908998"</f>
        <v>20190303161908998</v>
      </c>
      <c r="B1770" t="str">
        <f>"1551601148993951"</f>
        <v>1551601148993951</v>
      </c>
      <c r="C1770" t="s">
        <v>40</v>
      </c>
      <c r="D1770">
        <v>5.3110670000000004</v>
      </c>
      <c r="E1770">
        <v>0.61587440000000004</v>
      </c>
      <c r="F1770" t="s">
        <v>46</v>
      </c>
      <c r="G1770">
        <v>-200.93979999999999</v>
      </c>
      <c r="H1770" s="1">
        <v>-6.2338639999999996E-6</v>
      </c>
      <c r="I1770">
        <v>358.77429999999998</v>
      </c>
      <c r="J1770">
        <v>-207.0034</v>
      </c>
      <c r="K1770">
        <v>1.1192899999999999</v>
      </c>
      <c r="L1770">
        <v>366.4067</v>
      </c>
      <c r="M1770">
        <v>0.97644310000000001</v>
      </c>
      <c r="N1770">
        <v>-1.3951389999999999E-2</v>
      </c>
      <c r="O1770">
        <v>-0.21532380000000001</v>
      </c>
      <c r="P1770">
        <v>0.82272869999999998</v>
      </c>
      <c r="Q1770">
        <v>0.11961330000000001</v>
      </c>
      <c r="R1770">
        <v>-0.55570750000000002</v>
      </c>
      <c r="S1770">
        <v>2.013855</v>
      </c>
      <c r="T1770">
        <v>-0.36602069999999998</v>
      </c>
      <c r="U1770">
        <v>-2.5043030000000002</v>
      </c>
      <c r="V1770">
        <v>0.36626229999999999</v>
      </c>
      <c r="W1770">
        <v>0.1303551</v>
      </c>
      <c r="X1770">
        <v>0.92133569999999998</v>
      </c>
      <c r="Y1770">
        <v>0.62274759999999996</v>
      </c>
      <c r="Z1770">
        <v>-2.208535E-2</v>
      </c>
      <c r="AA1770">
        <v>0.782111</v>
      </c>
      <c r="AB1770">
        <v>13</v>
      </c>
      <c r="AC1770">
        <v>6.0636000000000001</v>
      </c>
      <c r="AD1770">
        <v>-1.11929623386399</v>
      </c>
      <c r="AE1770">
        <v>-7.6324000000000103</v>
      </c>
      <c r="AF1770">
        <v>6.0675656400487998</v>
      </c>
      <c r="AG1770">
        <v>-1.11929623386399</v>
      </c>
      <c r="AH1770">
        <v>7.4664898889127196</v>
      </c>
      <c r="AI1770">
        <v>96.635888479155099</v>
      </c>
      <c r="AJ1770">
        <v>50.901322219055501</v>
      </c>
      <c r="AK1770">
        <v>9.6858994479954692</v>
      </c>
      <c r="AL1770">
        <v>82.509887325524801</v>
      </c>
      <c r="AM1770">
        <v>68.320495099663304</v>
      </c>
      <c r="AN1770">
        <v>0.99999999829589403</v>
      </c>
    </row>
    <row r="1771" spans="1:40" x14ac:dyDescent="0.25">
      <c r="A1771" t="str">
        <f>"20190303161909013"</f>
        <v>20190303161909013</v>
      </c>
      <c r="B1771" t="str">
        <f>"1551601149004689"</f>
        <v>1551601149004689</v>
      </c>
      <c r="C1771" t="s">
        <v>40</v>
      </c>
      <c r="D1771">
        <v>5.3129689999999998</v>
      </c>
      <c r="E1771">
        <v>0.61382499999999995</v>
      </c>
      <c r="F1771" t="s">
        <v>46</v>
      </c>
      <c r="G1771">
        <v>-201.3716</v>
      </c>
      <c r="H1771" s="1">
        <v>-6.2767749999999997E-6</v>
      </c>
      <c r="I1771">
        <v>359.5256</v>
      </c>
      <c r="J1771">
        <v>-206.91730000000001</v>
      </c>
      <c r="K1771">
        <v>1.1193070000000001</v>
      </c>
      <c r="L1771">
        <v>366.38299999999998</v>
      </c>
      <c r="M1771">
        <v>0.97558100000000003</v>
      </c>
      <c r="N1771">
        <v>-1.3952050000000001E-2</v>
      </c>
      <c r="O1771">
        <v>-0.2191961</v>
      </c>
      <c r="P1771">
        <v>0.8204321</v>
      </c>
      <c r="Q1771">
        <v>0.1189154</v>
      </c>
      <c r="R1771">
        <v>-0.55924099999999999</v>
      </c>
      <c r="S1771">
        <v>2.0298609999999999</v>
      </c>
      <c r="T1771">
        <v>-0.40342309999999998</v>
      </c>
      <c r="U1771">
        <v>-2.4801329999999999</v>
      </c>
      <c r="V1771">
        <v>0.36653750000000002</v>
      </c>
      <c r="W1771">
        <v>0.12967480000000001</v>
      </c>
      <c r="X1771">
        <v>0.92132230000000004</v>
      </c>
      <c r="Y1771">
        <v>0.61236169999999901</v>
      </c>
      <c r="Z1771">
        <v>-2.2102190000000001E-2</v>
      </c>
      <c r="AA1771">
        <v>0.79026869999999905</v>
      </c>
      <c r="AB1771">
        <v>13</v>
      </c>
      <c r="AC1771">
        <v>5.5457000000000098</v>
      </c>
      <c r="AD1771">
        <v>-1.119313276775</v>
      </c>
      <c r="AE1771">
        <v>-6.8574000000000401</v>
      </c>
      <c r="AF1771">
        <v>5.3880949593910801</v>
      </c>
      <c r="AG1771">
        <v>-1.119313276775</v>
      </c>
      <c r="AH1771">
        <v>6.8044617966835901</v>
      </c>
      <c r="AI1771">
        <v>97.348409300441503</v>
      </c>
      <c r="AJ1771">
        <v>51.626151697616898</v>
      </c>
      <c r="AK1771">
        <v>8.7512930384890506</v>
      </c>
      <c r="AL1771">
        <v>82.549199610908104</v>
      </c>
      <c r="AM1771">
        <v>68.305431831942201</v>
      </c>
      <c r="AN1771">
        <v>1.00000003656928</v>
      </c>
    </row>
    <row r="1772" spans="1:40" x14ac:dyDescent="0.25">
      <c r="A1772" t="str">
        <f>"20190303161909029"</f>
        <v>20190303161909029</v>
      </c>
      <c r="B1772" t="str">
        <f>"1551601149024207"</f>
        <v>1551601149024207</v>
      </c>
      <c r="C1772" t="s">
        <v>40</v>
      </c>
      <c r="D1772">
        <v>5.025239</v>
      </c>
      <c r="E1772">
        <v>0.61530169999999995</v>
      </c>
      <c r="F1772" t="s">
        <v>46</v>
      </c>
      <c r="G1772">
        <v>-201.49950000000001</v>
      </c>
      <c r="H1772" s="1">
        <v>-3.3762049999999999E-6</v>
      </c>
      <c r="I1772">
        <v>359.77170000000001</v>
      </c>
      <c r="J1772">
        <v>-206.82910000000001</v>
      </c>
      <c r="K1772">
        <v>1.119324</v>
      </c>
      <c r="L1772">
        <v>366.35820000000001</v>
      </c>
      <c r="M1772">
        <v>0.97467800000000004</v>
      </c>
      <c r="N1772">
        <v>-1.395181E-2</v>
      </c>
      <c r="O1772">
        <v>-0.22317699999999999</v>
      </c>
      <c r="P1772">
        <v>0.81803519999999996</v>
      </c>
      <c r="Q1772">
        <v>0.1178188</v>
      </c>
      <c r="R1772">
        <v>-0.56297189999999997</v>
      </c>
      <c r="S1772">
        <v>2.0293730000000001</v>
      </c>
      <c r="T1772">
        <v>-0.41926259999999999</v>
      </c>
      <c r="U1772">
        <v>-2.47641</v>
      </c>
      <c r="V1772">
        <v>0.36692409999999998</v>
      </c>
      <c r="W1772">
        <v>0.12859619999999999</v>
      </c>
      <c r="X1772">
        <v>0.92131949999999996</v>
      </c>
      <c r="Y1772">
        <v>0.60844160000000003</v>
      </c>
      <c r="Z1772">
        <v>-2.177946E-2</v>
      </c>
      <c r="AA1772">
        <v>0.79329969999999905</v>
      </c>
      <c r="AB1772">
        <v>13</v>
      </c>
      <c r="AC1772">
        <v>5.3295999999999903</v>
      </c>
      <c r="AD1772">
        <v>-1.119327376205</v>
      </c>
      <c r="AE1772">
        <v>-6.5865</v>
      </c>
      <c r="AF1772">
        <v>5.1410550984899599</v>
      </c>
      <c r="AG1772">
        <v>-1.119327376205</v>
      </c>
      <c r="AH1772">
        <v>6.5509151844450102</v>
      </c>
      <c r="AI1772">
        <v>97.655562124356393</v>
      </c>
      <c r="AJ1772">
        <v>51.875735334734003</v>
      </c>
      <c r="AK1772">
        <v>8.4022515467357799</v>
      </c>
      <c r="AL1772">
        <v>82.611520009074994</v>
      </c>
      <c r="AM1772">
        <v>68.284618139166795</v>
      </c>
      <c r="AN1772">
        <v>0.99999994944774795</v>
      </c>
    </row>
    <row r="1773" spans="1:40" x14ac:dyDescent="0.25">
      <c r="A1773" t="str">
        <f>"20190303161909041"</f>
        <v>20190303161909041</v>
      </c>
      <c r="B1773" t="str">
        <f>"1551601149033968"</f>
        <v>1551601149033968</v>
      </c>
      <c r="C1773" t="s">
        <v>40</v>
      </c>
      <c r="D1773">
        <v>5.0367829999999998</v>
      </c>
      <c r="E1773">
        <v>0.6158534</v>
      </c>
      <c r="F1773" t="s">
        <v>46</v>
      </c>
      <c r="G1773">
        <v>-201.40430000000001</v>
      </c>
      <c r="H1773" s="1">
        <v>-3.360037E-6</v>
      </c>
      <c r="I1773">
        <v>359.6284</v>
      </c>
      <c r="J1773">
        <v>-206.74979999999999</v>
      </c>
      <c r="K1773">
        <v>1.1193329999999999</v>
      </c>
      <c r="L1773">
        <v>366.3356</v>
      </c>
      <c r="M1773">
        <v>0.97385029999999995</v>
      </c>
      <c r="N1773">
        <v>-1.395062E-2</v>
      </c>
      <c r="O1773">
        <v>-0.2267622</v>
      </c>
      <c r="P1773">
        <v>0.8153918</v>
      </c>
      <c r="Q1773">
        <v>0.1162205</v>
      </c>
      <c r="R1773">
        <v>-0.56712390000000001</v>
      </c>
      <c r="S1773">
        <v>2.0105590000000002</v>
      </c>
      <c r="T1773">
        <v>-0.41484529999999997</v>
      </c>
      <c r="U1773">
        <v>-2.494202</v>
      </c>
      <c r="V1773">
        <v>0.36815209999999998</v>
      </c>
      <c r="W1773">
        <v>0.12700620000000001</v>
      </c>
      <c r="X1773">
        <v>0.92105020000000004</v>
      </c>
      <c r="Y1773">
        <v>0.61197659999999998</v>
      </c>
      <c r="Z1773">
        <v>-2.1517209999999998E-2</v>
      </c>
      <c r="AA1773">
        <v>0.79058309999999998</v>
      </c>
      <c r="AB1773">
        <v>13</v>
      </c>
      <c r="AC1773">
        <v>5.3454999999999799</v>
      </c>
      <c r="AD1773">
        <v>-1.1193363600370001</v>
      </c>
      <c r="AE1773">
        <v>-6.7072000000000003</v>
      </c>
      <c r="AF1773">
        <v>5.2310714395971099</v>
      </c>
      <c r="AG1773">
        <v>-1.1193363600370001</v>
      </c>
      <c r="AH1773">
        <v>6.6146475722598499</v>
      </c>
      <c r="AI1773">
        <v>97.560723448008901</v>
      </c>
      <c r="AJ1773">
        <v>51.661943421359602</v>
      </c>
      <c r="AK1773">
        <v>8.5070902662586505</v>
      </c>
      <c r="AL1773">
        <v>82.703373954235403</v>
      </c>
      <c r="AM1773">
        <v>68.212962847263498</v>
      </c>
      <c r="AN1773">
        <v>1.0000000072464399</v>
      </c>
    </row>
    <row r="1774" spans="1:40" x14ac:dyDescent="0.25">
      <c r="A1774" t="str">
        <f>"20190303161909055"</f>
        <v>20190303161909055</v>
      </c>
      <c r="B1774" t="str">
        <f>"1551601149044703"</f>
        <v>1551601149044703</v>
      </c>
      <c r="C1774" t="s">
        <v>40</v>
      </c>
      <c r="D1774">
        <v>5.0690150000000003</v>
      </c>
      <c r="E1774">
        <v>0.61632299999999995</v>
      </c>
      <c r="F1774" t="s">
        <v>46</v>
      </c>
      <c r="G1774">
        <v>-201.41390000000001</v>
      </c>
      <c r="H1774" s="1">
        <v>-3.363972E-6</v>
      </c>
      <c r="I1774">
        <v>359.6327</v>
      </c>
      <c r="J1774">
        <v>-206.6754</v>
      </c>
      <c r="K1774">
        <v>1.1193500000000001</v>
      </c>
      <c r="L1774">
        <v>366.31400000000002</v>
      </c>
      <c r="M1774">
        <v>0.97305850000000005</v>
      </c>
      <c r="N1774">
        <v>-1.394888E-2</v>
      </c>
      <c r="O1774">
        <v>-0.23013600000000001</v>
      </c>
      <c r="P1774">
        <v>0.81278430000000002</v>
      </c>
      <c r="Q1774">
        <v>0.1150597</v>
      </c>
      <c r="R1774">
        <v>-0.57108939999999997</v>
      </c>
      <c r="S1774">
        <v>1.9954529999999999</v>
      </c>
      <c r="T1774">
        <v>-0.41859439999999998</v>
      </c>
      <c r="U1774">
        <v>-2.5066830000000002</v>
      </c>
      <c r="V1774">
        <v>0.36939810000000001</v>
      </c>
      <c r="W1774">
        <v>0.12585060000000001</v>
      </c>
      <c r="X1774">
        <v>0.92070980000000002</v>
      </c>
      <c r="Y1774">
        <v>0.61400829999999995</v>
      </c>
      <c r="Z1774">
        <v>-2.140827E-2</v>
      </c>
      <c r="AA1774">
        <v>0.78900919999999997</v>
      </c>
      <c r="AB1774">
        <v>13</v>
      </c>
      <c r="AC1774">
        <v>5.2614999999999803</v>
      </c>
      <c r="AD1774">
        <v>-1.1193533639719999</v>
      </c>
      <c r="AE1774">
        <v>-6.6813000000000198</v>
      </c>
      <c r="AF1774">
        <v>5.2008486185204896</v>
      </c>
      <c r="AG1774">
        <v>-1.1193533639719999</v>
      </c>
      <c r="AH1774">
        <v>6.5446213896356698</v>
      </c>
      <c r="AI1774">
        <v>97.626669923846904</v>
      </c>
      <c r="AJ1774">
        <v>51.5267035182424</v>
      </c>
      <c r="AK1774">
        <v>8.4340884178362003</v>
      </c>
      <c r="AL1774">
        <v>82.770120011805105</v>
      </c>
      <c r="AM1774">
        <v>68.138843542899295</v>
      </c>
      <c r="AN1774">
        <v>0.99999993281000199</v>
      </c>
    </row>
    <row r="1775" spans="1:40" x14ac:dyDescent="0.25">
      <c r="A1775" t="str">
        <f>"20190303161909068"</f>
        <v>20190303161909068</v>
      </c>
      <c r="B1775" t="str">
        <f>"1551601149064223"</f>
        <v>1551601149064223</v>
      </c>
      <c r="C1775" t="s">
        <v>40</v>
      </c>
      <c r="D1775">
        <v>5.3472489999999997</v>
      </c>
      <c r="E1775">
        <v>0.61521859999999995</v>
      </c>
      <c r="F1775" t="s">
        <v>46</v>
      </c>
      <c r="G1775">
        <v>-201.40430000000001</v>
      </c>
      <c r="H1775" s="1">
        <v>-3.3630420000000001E-6</v>
      </c>
      <c r="I1775">
        <v>359.61500000000001</v>
      </c>
      <c r="J1775">
        <v>-206.5984</v>
      </c>
      <c r="K1775">
        <v>1.11937</v>
      </c>
      <c r="L1775">
        <v>366.29160000000002</v>
      </c>
      <c r="M1775">
        <v>0.9722269</v>
      </c>
      <c r="N1775">
        <v>-1.3946760000000001E-2</v>
      </c>
      <c r="O1775">
        <v>-0.23362479999999999</v>
      </c>
      <c r="P1775">
        <v>0.80981590000000003</v>
      </c>
      <c r="Q1775">
        <v>0.1144155</v>
      </c>
      <c r="R1775">
        <v>-0.57541969999999898</v>
      </c>
      <c r="S1775">
        <v>1.9813229999999999</v>
      </c>
      <c r="T1775">
        <v>-0.4207456</v>
      </c>
      <c r="U1775">
        <v>-2.5180660000000001</v>
      </c>
      <c r="V1775">
        <v>0.37098059999999999</v>
      </c>
      <c r="W1775">
        <v>0.12520729999999999</v>
      </c>
      <c r="X1775">
        <v>0.92016120000000001</v>
      </c>
      <c r="Y1775">
        <v>0.61561659999999996</v>
      </c>
      <c r="Z1775">
        <v>-2.118652E-2</v>
      </c>
      <c r="AA1775">
        <v>0.78776099999999905</v>
      </c>
      <c r="AB1775">
        <v>13</v>
      </c>
      <c r="AC1775">
        <v>5.1940999999999899</v>
      </c>
      <c r="AD1775">
        <v>-1.119373363042</v>
      </c>
      <c r="AE1775">
        <v>-6.6765999999999996</v>
      </c>
      <c r="AF1775">
        <v>5.1873772569513799</v>
      </c>
      <c r="AG1775">
        <v>-1.119373363042</v>
      </c>
      <c r="AH1775">
        <v>6.4965456327907196</v>
      </c>
      <c r="AI1775">
        <v>97.668501613275296</v>
      </c>
      <c r="AJ1775">
        <v>51.393251061213803</v>
      </c>
      <c r="AK1775">
        <v>8.3885031257523295</v>
      </c>
      <c r="AL1775">
        <v>82.807273140501295</v>
      </c>
      <c r="AM1775">
        <v>68.042228700083996</v>
      </c>
      <c r="AN1775">
        <v>1.00000005376754</v>
      </c>
    </row>
    <row r="1776" spans="1:40" x14ac:dyDescent="0.25">
      <c r="A1776" t="str">
        <f>"20190303161909079"</f>
        <v>20190303161909079</v>
      </c>
      <c r="B1776" t="str">
        <f>"1551601149073983"</f>
        <v>1551601149073983</v>
      </c>
      <c r="C1776" t="s">
        <v>40</v>
      </c>
      <c r="D1776">
        <v>5.3629569999999998</v>
      </c>
      <c r="E1776">
        <v>0.61376109999999995</v>
      </c>
      <c r="F1776" t="s">
        <v>46</v>
      </c>
      <c r="G1776">
        <v>-201.4913</v>
      </c>
      <c r="H1776" s="1">
        <v>-3.3713950000000001E-6</v>
      </c>
      <c r="I1776">
        <v>359.7747</v>
      </c>
      <c r="J1776">
        <v>-206.5275</v>
      </c>
      <c r="K1776">
        <v>1.1193839999999999</v>
      </c>
      <c r="L1776">
        <v>366.27050000000003</v>
      </c>
      <c r="M1776">
        <v>0.97144779999999997</v>
      </c>
      <c r="N1776">
        <v>-1.394428E-2</v>
      </c>
      <c r="O1776">
        <v>-0.23684330000000001</v>
      </c>
      <c r="P1776">
        <v>0.80694659999999996</v>
      </c>
      <c r="Q1776">
        <v>0.11332250000000001</v>
      </c>
      <c r="R1776">
        <v>-0.57965119999999903</v>
      </c>
      <c r="S1776">
        <v>1.975006</v>
      </c>
      <c r="T1776">
        <v>-0.43287779999999998</v>
      </c>
      <c r="U1776">
        <v>-2.5201419999999999</v>
      </c>
      <c r="V1776">
        <v>0.3727047</v>
      </c>
      <c r="W1776">
        <v>0.1241115</v>
      </c>
      <c r="X1776">
        <v>0.91961269999999995</v>
      </c>
      <c r="Y1776">
        <v>0.61437419999999998</v>
      </c>
      <c r="Z1776">
        <v>-2.101799E-2</v>
      </c>
      <c r="AA1776">
        <v>0.78873490000000002</v>
      </c>
      <c r="AB1776">
        <v>13</v>
      </c>
      <c r="AC1776">
        <v>5.0362</v>
      </c>
      <c r="AD1776">
        <v>-1.119387371395</v>
      </c>
      <c r="AE1776">
        <v>-6.4958000000000302</v>
      </c>
      <c r="AF1776">
        <v>5.0248410056563797</v>
      </c>
      <c r="AG1776">
        <v>-1.119387371395</v>
      </c>
      <c r="AH1776">
        <v>6.3144026126096602</v>
      </c>
      <c r="AI1776">
        <v>97.897341631245993</v>
      </c>
      <c r="AJ1776">
        <v>51.488117949963801</v>
      </c>
      <c r="AK1776">
        <v>8.1470077681008899</v>
      </c>
      <c r="AL1776">
        <v>82.870550980226895</v>
      </c>
      <c r="AM1776">
        <v>67.938054152599406</v>
      </c>
      <c r="AN1776">
        <v>0.99999998791781397</v>
      </c>
    </row>
    <row r="1777" spans="1:40" x14ac:dyDescent="0.25">
      <c r="A1777" t="str">
        <f>"20190303161909091"</f>
        <v>20190303161909091</v>
      </c>
      <c r="B1777" t="str">
        <f>"1551601149084719"</f>
        <v>1551601149084719</v>
      </c>
      <c r="C1777" t="s">
        <v>40</v>
      </c>
      <c r="D1777">
        <v>5.0825969999999998</v>
      </c>
      <c r="E1777">
        <v>0.61435629999999997</v>
      </c>
      <c r="F1777" t="s">
        <v>46</v>
      </c>
      <c r="G1777">
        <v>-201.59889999999999</v>
      </c>
      <c r="H1777" s="1">
        <v>-3.383403E-6</v>
      </c>
      <c r="I1777">
        <v>359.96480000000003</v>
      </c>
      <c r="J1777">
        <v>-206.46010000000001</v>
      </c>
      <c r="K1777">
        <v>1.1193959999999901</v>
      </c>
      <c r="L1777">
        <v>366.25020000000001</v>
      </c>
      <c r="M1777">
        <v>0.97069629999999996</v>
      </c>
      <c r="N1777">
        <v>-1.394165E-2</v>
      </c>
      <c r="O1777">
        <v>-0.23990510000000001</v>
      </c>
      <c r="P1777">
        <v>0.804065699999999</v>
      </c>
      <c r="Q1777">
        <v>0.1121511</v>
      </c>
      <c r="R1777">
        <v>-0.58386680000000002</v>
      </c>
      <c r="S1777">
        <v>1.970032</v>
      </c>
      <c r="T1777">
        <v>-0.44743240000000001</v>
      </c>
      <c r="U1777">
        <v>-2.5204469999999999</v>
      </c>
      <c r="V1777">
        <v>0.37457020000000002</v>
      </c>
      <c r="W1777">
        <v>0.122935199999999</v>
      </c>
      <c r="X1777">
        <v>0.91901259999999996</v>
      </c>
      <c r="Y1777">
        <v>0.61268769999999995</v>
      </c>
      <c r="Z1777">
        <v>-2.0862579999999999E-2</v>
      </c>
      <c r="AA1777">
        <v>0.79004969999999997</v>
      </c>
      <c r="AB1777">
        <v>13</v>
      </c>
      <c r="AC1777">
        <v>4.8612000000000197</v>
      </c>
      <c r="AD1777">
        <v>-1.1193993834029901</v>
      </c>
      <c r="AE1777">
        <v>-6.2853999999999797</v>
      </c>
      <c r="AF1777">
        <v>4.8394219014968396</v>
      </c>
      <c r="AG1777">
        <v>-1.1193993834029901</v>
      </c>
      <c r="AH1777">
        <v>6.10606943616708</v>
      </c>
      <c r="AI1777">
        <v>98.175924700203595</v>
      </c>
      <c r="AJ1777">
        <v>51.601089801453803</v>
      </c>
      <c r="AK1777">
        <v>7.87128599909469</v>
      </c>
      <c r="AL1777">
        <v>82.938468431280199</v>
      </c>
      <c r="AM1777">
        <v>67.825224650726099</v>
      </c>
      <c r="AN1777">
        <v>1.00000002854291</v>
      </c>
    </row>
    <row r="1778" spans="1:40" x14ac:dyDescent="0.25">
      <c r="A1778" t="str">
        <f>"20190303161909103"</f>
        <v>20190303161909103</v>
      </c>
      <c r="B1778" t="str">
        <f>"1551601149094479"</f>
        <v>1551601149094479</v>
      </c>
      <c r="C1778" t="s">
        <v>40</v>
      </c>
      <c r="D1778">
        <v>5.1232089999999904</v>
      </c>
      <c r="E1778">
        <v>0.61477950000000003</v>
      </c>
      <c r="F1778" t="s">
        <v>46</v>
      </c>
      <c r="G1778">
        <v>-201.59190000000001</v>
      </c>
      <c r="H1778" s="1">
        <v>-3.3852580000000001E-6</v>
      </c>
      <c r="I1778">
        <v>359.94060000000002</v>
      </c>
      <c r="J1778">
        <v>-206.3904</v>
      </c>
      <c r="K1778">
        <v>1.1194</v>
      </c>
      <c r="L1778">
        <v>366.22910000000002</v>
      </c>
      <c r="M1778">
        <v>0.96990900000000002</v>
      </c>
      <c r="N1778">
        <v>-1.393877E-2</v>
      </c>
      <c r="O1778">
        <v>-0.24306839999999999</v>
      </c>
      <c r="P1778">
        <v>0.80128369999999904</v>
      </c>
      <c r="Q1778">
        <v>0.11079</v>
      </c>
      <c r="R1778">
        <v>-0.58793769999999901</v>
      </c>
      <c r="S1778">
        <v>1.9543759999999999</v>
      </c>
      <c r="T1778">
        <v>-0.44939299999999999</v>
      </c>
      <c r="U1778">
        <v>-2.5330509999999999</v>
      </c>
      <c r="V1778">
        <v>0.37617879999999998</v>
      </c>
      <c r="W1778">
        <v>0.1215717</v>
      </c>
      <c r="X1778">
        <v>0.91853680000000004</v>
      </c>
      <c r="Y1778">
        <v>0.61503469999999905</v>
      </c>
      <c r="Z1778">
        <v>-2.0723490000000001E-2</v>
      </c>
      <c r="AA1778">
        <v>0.78822769999999898</v>
      </c>
      <c r="AB1778">
        <v>13</v>
      </c>
      <c r="AC1778">
        <v>4.79849999999999</v>
      </c>
      <c r="AD1778">
        <v>-1.1194033852580001</v>
      </c>
      <c r="AE1778">
        <v>-6.2884999999999902</v>
      </c>
      <c r="AF1778">
        <v>4.8365303587846196</v>
      </c>
      <c r="AG1778">
        <v>-1.1194033852580001</v>
      </c>
      <c r="AH1778">
        <v>6.0618481065793404</v>
      </c>
      <c r="AI1778">
        <v>98.213819610987699</v>
      </c>
      <c r="AJ1778">
        <v>51.414893907979398</v>
      </c>
      <c r="AK1778">
        <v>7.8352467936633596</v>
      </c>
      <c r="AL1778">
        <v>83.0171815381144</v>
      </c>
      <c r="AM1778">
        <v>67.728871488803307</v>
      </c>
      <c r="AN1778">
        <v>1.0000000103822799</v>
      </c>
    </row>
    <row r="1779" spans="1:40" x14ac:dyDescent="0.25">
      <c r="A1779" t="str">
        <f>"20190303161909115"</f>
        <v>20190303161909115</v>
      </c>
      <c r="B1779" t="str">
        <f>"1551601149104240"</f>
        <v>1551601149104240</v>
      </c>
      <c r="C1779" t="s">
        <v>40</v>
      </c>
      <c r="D1779">
        <v>5.3594089999999897</v>
      </c>
      <c r="E1779">
        <v>0.61357079999999997</v>
      </c>
      <c r="F1779" t="s">
        <v>46</v>
      </c>
      <c r="G1779">
        <v>-201.58580000000001</v>
      </c>
      <c r="H1779" s="1">
        <v>-3.3846019999999998E-6</v>
      </c>
      <c r="I1779">
        <v>359.92970000000003</v>
      </c>
      <c r="J1779">
        <v>-206.3245</v>
      </c>
      <c r="K1779">
        <v>1.1194109999999999</v>
      </c>
      <c r="L1779">
        <v>366.2088</v>
      </c>
      <c r="M1779">
        <v>0.96915410000000002</v>
      </c>
      <c r="N1779">
        <v>-1.393553E-2</v>
      </c>
      <c r="O1779">
        <v>-0.24606130000000001</v>
      </c>
      <c r="P1779">
        <v>0.79845710000000003</v>
      </c>
      <c r="Q1779">
        <v>0.10880289999999999</v>
      </c>
      <c r="R1779">
        <v>-0.59213890000000002</v>
      </c>
      <c r="S1779">
        <v>1.9400790000000001</v>
      </c>
      <c r="T1779">
        <v>-0.45201029999999998</v>
      </c>
      <c r="U1779">
        <v>-2.5436709999999998</v>
      </c>
      <c r="V1779">
        <v>0.3780888</v>
      </c>
      <c r="W1779">
        <v>0.1195784</v>
      </c>
      <c r="X1779">
        <v>0.91801410000000006</v>
      </c>
      <c r="Y1779">
        <v>0.61694150000000003</v>
      </c>
      <c r="Z1779">
        <v>-2.0579219999999999E-2</v>
      </c>
      <c r="AA1779">
        <v>0.78673990000000005</v>
      </c>
      <c r="AB1779">
        <v>13</v>
      </c>
      <c r="AC1779">
        <v>4.7386999999999899</v>
      </c>
      <c r="AD1779">
        <v>-1.1194143846019999</v>
      </c>
      <c r="AE1779">
        <v>-6.2790999999999704</v>
      </c>
      <c r="AF1779">
        <v>4.8222345406908298</v>
      </c>
      <c r="AG1779">
        <v>-1.1194143846019999</v>
      </c>
      <c r="AH1779">
        <v>6.0163419325341696</v>
      </c>
      <c r="AI1779">
        <v>98.260619274552795</v>
      </c>
      <c r="AJ1779">
        <v>51.287034029445003</v>
      </c>
      <c r="AK1779">
        <v>7.7912389758660696</v>
      </c>
      <c r="AL1779">
        <v>83.132228597953002</v>
      </c>
      <c r="AM1779">
        <v>67.6154361292472</v>
      </c>
      <c r="AN1779">
        <v>1.0000000111153999</v>
      </c>
    </row>
    <row r="1780" spans="1:40" x14ac:dyDescent="0.25">
      <c r="A1780" t="str">
        <f>"20190303161909128"</f>
        <v>20190303161909128</v>
      </c>
      <c r="B1780" t="str">
        <f>"1551601149124736"</f>
        <v>1551601149124736</v>
      </c>
      <c r="C1780" t="s">
        <v>40</v>
      </c>
      <c r="D1780">
        <v>5.0451449999999998</v>
      </c>
      <c r="E1780">
        <v>0.61439719999999998</v>
      </c>
      <c r="F1780" t="s">
        <v>46</v>
      </c>
      <c r="G1780">
        <v>-201.68539999999999</v>
      </c>
      <c r="H1780" s="1">
        <v>-3.3959299999999999E-6</v>
      </c>
      <c r="I1780">
        <v>360.1046</v>
      </c>
      <c r="J1780">
        <v>-206.2544</v>
      </c>
      <c r="K1780">
        <v>1.119418</v>
      </c>
      <c r="L1780">
        <v>366.18700000000001</v>
      </c>
      <c r="M1780">
        <v>0.96834070000000005</v>
      </c>
      <c r="N1780">
        <v>-1.393202E-2</v>
      </c>
      <c r="O1780">
        <v>-0.2492431</v>
      </c>
      <c r="P1780">
        <v>0.79571769999999997</v>
      </c>
      <c r="Q1780">
        <v>0.10690429999999999</v>
      </c>
      <c r="R1780">
        <v>-0.59615859999999998</v>
      </c>
      <c r="S1780">
        <v>1.933792</v>
      </c>
      <c r="T1780">
        <v>-0.4666228</v>
      </c>
      <c r="U1780">
        <v>-2.544495</v>
      </c>
      <c r="V1780">
        <v>0.3796273</v>
      </c>
      <c r="W1780">
        <v>0.1176775</v>
      </c>
      <c r="X1780">
        <v>0.91762469999999996</v>
      </c>
      <c r="Y1780">
        <v>0.61549409999999904</v>
      </c>
      <c r="Z1780">
        <v>-2.0367779999999999E-2</v>
      </c>
      <c r="AA1780">
        <v>0.78787830000000003</v>
      </c>
      <c r="AB1780">
        <v>13</v>
      </c>
      <c r="AC1780">
        <v>4.5690000000000097</v>
      </c>
      <c r="AD1780">
        <v>-1.1194213959299999</v>
      </c>
      <c r="AE1780">
        <v>-6.0823999999999501</v>
      </c>
      <c r="AF1780">
        <v>4.6508000113904302</v>
      </c>
      <c r="AG1780">
        <v>-1.1194213959299999</v>
      </c>
      <c r="AH1780">
        <v>5.8150077195448997</v>
      </c>
      <c r="AI1780">
        <v>98.549637717675296</v>
      </c>
      <c r="AJ1780">
        <v>51.347439090008898</v>
      </c>
      <c r="AK1780">
        <v>7.5297649223585896</v>
      </c>
      <c r="AL1780">
        <v>83.241916519699799</v>
      </c>
      <c r="AM1780">
        <v>67.524802491001495</v>
      </c>
      <c r="AN1780">
        <v>0.99999998548081404</v>
      </c>
    </row>
    <row r="1781" spans="1:40" x14ac:dyDescent="0.25">
      <c r="A1781" t="str">
        <f>"20190303161909145"</f>
        <v>20190303161909145</v>
      </c>
      <c r="B1781" t="str">
        <f>"1551601149134495"</f>
        <v>1551601149134495</v>
      </c>
      <c r="C1781" t="s">
        <v>40</v>
      </c>
      <c r="D1781">
        <v>5.3287089999999999</v>
      </c>
      <c r="E1781">
        <v>0.6134482</v>
      </c>
      <c r="F1781" t="s">
        <v>46</v>
      </c>
      <c r="G1781">
        <v>-201.6678</v>
      </c>
      <c r="H1781" s="1">
        <v>-3.3948819999999998E-6</v>
      </c>
      <c r="I1781">
        <v>360.06950000000001</v>
      </c>
      <c r="J1781">
        <v>-206.1591</v>
      </c>
      <c r="K1781">
        <v>1.1194360000000001</v>
      </c>
      <c r="L1781">
        <v>366.15699999999998</v>
      </c>
      <c r="M1781">
        <v>0.96721800000000002</v>
      </c>
      <c r="N1781">
        <v>-1.3926920000000001E-2</v>
      </c>
      <c r="O1781">
        <v>-0.2535656</v>
      </c>
      <c r="P1781">
        <v>0.79137109999999899</v>
      </c>
      <c r="Q1781">
        <v>0.10338219999999999</v>
      </c>
      <c r="R1781">
        <v>-0.60253179999999995</v>
      </c>
      <c r="S1781">
        <v>1.9171910000000001</v>
      </c>
      <c r="T1781">
        <v>-0.46791640000000001</v>
      </c>
      <c r="U1781">
        <v>-2.5571290000000002</v>
      </c>
      <c r="V1781">
        <v>0.38275999999999999</v>
      </c>
      <c r="W1781">
        <v>0.1141419</v>
      </c>
      <c r="X1781">
        <v>0.91676959999999996</v>
      </c>
      <c r="Y1781">
        <v>0.61711280000000002</v>
      </c>
      <c r="Z1781">
        <v>-1.9943470000000001E-2</v>
      </c>
      <c r="AA1781">
        <v>0.78662200000000004</v>
      </c>
      <c r="AB1781">
        <v>13</v>
      </c>
      <c r="AC1781">
        <v>4.4912999999999901</v>
      </c>
      <c r="AD1781">
        <v>-1.1194393948819901</v>
      </c>
      <c r="AE1781">
        <v>-6.0874999999999702</v>
      </c>
      <c r="AF1781">
        <v>4.6477887591304503</v>
      </c>
      <c r="AG1781">
        <v>-1.1194393948819901</v>
      </c>
      <c r="AH1781">
        <v>5.76204676758499</v>
      </c>
      <c r="AI1781">
        <v>98.598895592373594</v>
      </c>
      <c r="AJ1781">
        <v>51.109618411809301</v>
      </c>
      <c r="AK1781">
        <v>7.4870733841835504</v>
      </c>
      <c r="AL1781">
        <v>83.445866656417707</v>
      </c>
      <c r="AM1781">
        <v>67.339001104730698</v>
      </c>
      <c r="AN1781">
        <v>1.0000000452098801</v>
      </c>
    </row>
    <row r="1782" spans="1:40" x14ac:dyDescent="0.25">
      <c r="A1782" t="str">
        <f>"20190303161909156"</f>
        <v>20190303161909156</v>
      </c>
      <c r="B1782" t="str">
        <f>"1551601149154015"</f>
        <v>1551601149154015</v>
      </c>
      <c r="C1782" t="s">
        <v>40</v>
      </c>
      <c r="D1782">
        <v>5.0697400000000004</v>
      </c>
      <c r="E1782">
        <v>0.61426020000000003</v>
      </c>
      <c r="F1782" t="s">
        <v>46</v>
      </c>
      <c r="G1782">
        <v>-201.78630000000001</v>
      </c>
      <c r="H1782" s="1">
        <v>-3.4102699999999998E-6</v>
      </c>
      <c r="I1782">
        <v>360.26900000000001</v>
      </c>
      <c r="J1782">
        <v>-206.08959999999999</v>
      </c>
      <c r="K1782">
        <v>1.1194459999999999</v>
      </c>
      <c r="L1782">
        <v>366.13470000000001</v>
      </c>
      <c r="M1782">
        <v>0.96638489999999999</v>
      </c>
      <c r="N1782">
        <v>-1.392293E-2</v>
      </c>
      <c r="O1782">
        <v>-0.25672240000000002</v>
      </c>
      <c r="P1782">
        <v>0.78840059999999901</v>
      </c>
      <c r="Q1782">
        <v>0.1023434</v>
      </c>
      <c r="R1782">
        <v>-0.60658909999999999</v>
      </c>
      <c r="S1782">
        <v>1.9032899999999999</v>
      </c>
      <c r="T1782">
        <v>-0.4872437</v>
      </c>
      <c r="U1782">
        <v>-2.5627749999999998</v>
      </c>
      <c r="V1782">
        <v>0.3844339</v>
      </c>
      <c r="W1782">
        <v>0.113096699999999</v>
      </c>
      <c r="X1782">
        <v>0.91619850000000003</v>
      </c>
      <c r="Y1782">
        <v>0.61778129999999998</v>
      </c>
      <c r="Z1782">
        <v>-2.0029749999999999E-2</v>
      </c>
      <c r="AA1782">
        <v>0.78609479999999998</v>
      </c>
      <c r="AB1782">
        <v>13</v>
      </c>
      <c r="AC1782">
        <v>4.3032999999999699</v>
      </c>
      <c r="AD1782">
        <v>-1.1194494102699999</v>
      </c>
      <c r="AE1782">
        <v>-5.8657000000000004</v>
      </c>
      <c r="AF1782">
        <v>4.4586400096043999</v>
      </c>
      <c r="AG1782">
        <v>-1.1194494102699999</v>
      </c>
      <c r="AH1782">
        <v>5.5340140535294902</v>
      </c>
      <c r="AI1782">
        <v>98.951727873617699</v>
      </c>
      <c r="AJ1782">
        <v>51.142329624907802</v>
      </c>
      <c r="AK1782">
        <v>7.1942997756599496</v>
      </c>
      <c r="AL1782">
        <v>83.506142164915005</v>
      </c>
      <c r="AM1782">
        <v>67.237237808603297</v>
      </c>
      <c r="AN1782">
        <v>0.99999998921117395</v>
      </c>
    </row>
    <row r="1783" spans="1:40" x14ac:dyDescent="0.25">
      <c r="A1783" t="str">
        <f>"20190303161909169"</f>
        <v>20190303161909169</v>
      </c>
      <c r="B1783" t="str">
        <f>"1551601149163775"</f>
        <v>1551601149163775</v>
      </c>
      <c r="C1783" t="s">
        <v>40</v>
      </c>
      <c r="D1783">
        <v>5.1067589999999896</v>
      </c>
      <c r="E1783">
        <v>0.61464269999999999</v>
      </c>
      <c r="F1783" t="s">
        <v>46</v>
      </c>
      <c r="G1783">
        <v>-201.7372</v>
      </c>
      <c r="H1783" s="1">
        <v>-3.4027780000000001E-6</v>
      </c>
      <c r="I1783">
        <v>360.19119999999998</v>
      </c>
      <c r="J1783">
        <v>-206.02099999999999</v>
      </c>
      <c r="K1783">
        <v>1.119462</v>
      </c>
      <c r="L1783">
        <v>366.11270000000002</v>
      </c>
      <c r="M1783">
        <v>0.96555440000000003</v>
      </c>
      <c r="N1783">
        <v>-1.3918979999999999E-2</v>
      </c>
      <c r="O1783">
        <v>-0.25982889999999997</v>
      </c>
      <c r="P1783">
        <v>0.78562699999999996</v>
      </c>
      <c r="Q1783">
        <v>0.1019082</v>
      </c>
      <c r="R1783">
        <v>-0.61025030000000002</v>
      </c>
      <c r="S1783">
        <v>1.8862920000000001</v>
      </c>
      <c r="T1783">
        <v>-0.48515960000000002</v>
      </c>
      <c r="U1783">
        <v>-2.5758670000000001</v>
      </c>
      <c r="V1783">
        <v>0.38573020000000002</v>
      </c>
      <c r="W1783">
        <v>0.11265849999999999</v>
      </c>
      <c r="X1783">
        <v>0.91570750000000001</v>
      </c>
      <c r="Y1783">
        <v>0.62055990000000005</v>
      </c>
      <c r="Z1783">
        <v>-1.9817660000000001E-2</v>
      </c>
      <c r="AA1783">
        <v>0.78390859999999996</v>
      </c>
      <c r="AB1783">
        <v>13</v>
      </c>
      <c r="AC1783">
        <v>4.2837999999999798</v>
      </c>
      <c r="AD1783">
        <v>-1.119465402778</v>
      </c>
      <c r="AE1783">
        <v>-5.9215000000000302</v>
      </c>
      <c r="AF1783">
        <v>4.4993591381753602</v>
      </c>
      <c r="AG1783">
        <v>-1.119465402778</v>
      </c>
      <c r="AH1783">
        <v>5.5452675533090696</v>
      </c>
      <c r="AI1783">
        <v>98.909482624778903</v>
      </c>
      <c r="AJ1783">
        <v>50.944567147424202</v>
      </c>
      <c r="AK1783">
        <v>7.2282382141211601</v>
      </c>
      <c r="AL1783">
        <v>83.5314105783917</v>
      </c>
      <c r="AM1783">
        <v>67.157356629500001</v>
      </c>
      <c r="AN1783">
        <v>0.99999997518526895</v>
      </c>
    </row>
    <row r="1784" spans="1:40" x14ac:dyDescent="0.25">
      <c r="A1784" t="str">
        <f>"20190303161909184"</f>
        <v>20190303161909184</v>
      </c>
      <c r="B1784" t="str">
        <f>"1551601149174513"</f>
        <v>1551601149174513</v>
      </c>
      <c r="C1784" t="s">
        <v>40</v>
      </c>
      <c r="D1784">
        <v>5.0771030000000001</v>
      </c>
      <c r="E1784">
        <v>0.61500779999999999</v>
      </c>
      <c r="F1784" t="s">
        <v>46</v>
      </c>
      <c r="G1784">
        <v>-201.68680000000001</v>
      </c>
      <c r="H1784" s="1">
        <v>-3.3915660000000002E-6</v>
      </c>
      <c r="I1784">
        <v>360.12740000000002</v>
      </c>
      <c r="J1784">
        <v>-205.93639999999999</v>
      </c>
      <c r="K1784">
        <v>1.1194820000000001</v>
      </c>
      <c r="L1784">
        <v>366.08499999999998</v>
      </c>
      <c r="M1784">
        <v>0.96451379999999998</v>
      </c>
      <c r="N1784">
        <v>-1.391392E-2</v>
      </c>
      <c r="O1784">
        <v>-0.2636656</v>
      </c>
      <c r="P1784">
        <v>0.78243680000000004</v>
      </c>
      <c r="Q1784">
        <v>0.1019108</v>
      </c>
      <c r="R1784">
        <v>-0.61433459999999995</v>
      </c>
      <c r="S1784">
        <v>1.8726499999999999</v>
      </c>
      <c r="T1784">
        <v>-0.48367399999999999</v>
      </c>
      <c r="U1784">
        <v>-2.5859679999999998</v>
      </c>
      <c r="V1784">
        <v>0.38685659999999999</v>
      </c>
      <c r="W1784">
        <v>0.11266139999999999</v>
      </c>
      <c r="X1784">
        <v>0.91523189999999999</v>
      </c>
      <c r="Y1784">
        <v>0.62166119999999903</v>
      </c>
      <c r="Z1784">
        <v>-1.9318729999999999E-2</v>
      </c>
      <c r="AA1784">
        <v>0.78304799999999997</v>
      </c>
      <c r="AB1784">
        <v>13</v>
      </c>
      <c r="AC1784">
        <v>4.2495999999999796</v>
      </c>
      <c r="AD1784">
        <v>-1.1194853915659999</v>
      </c>
      <c r="AE1784">
        <v>-5.9575999999999496</v>
      </c>
      <c r="AF1784">
        <v>4.5203742707302403</v>
      </c>
      <c r="AG1784">
        <v>-1.1194853915659999</v>
      </c>
      <c r="AH1784">
        <v>5.5404998805649397</v>
      </c>
      <c r="AI1784">
        <v>98.897912128960101</v>
      </c>
      <c r="AJ1784">
        <v>50.789736870948197</v>
      </c>
      <c r="AK1784">
        <v>7.2376909312259103</v>
      </c>
      <c r="AL1784">
        <v>83.531243682208199</v>
      </c>
      <c r="AM1784">
        <v>67.086852759821994</v>
      </c>
      <c r="AN1784">
        <v>1.0000000253955601</v>
      </c>
    </row>
    <row r="1785" spans="1:40" x14ac:dyDescent="0.25">
      <c r="A1785" t="str">
        <f>"20190303161909200"</f>
        <v>20190303161909200</v>
      </c>
      <c r="B1785" t="str">
        <f>"1551601149194031"</f>
        <v>1551601149194031</v>
      </c>
      <c r="C1785" t="s">
        <v>40</v>
      </c>
      <c r="D1785">
        <v>5.2098370000000003</v>
      </c>
      <c r="E1785">
        <v>0.61444860000000001</v>
      </c>
      <c r="F1785" t="s">
        <v>46</v>
      </c>
      <c r="G1785">
        <v>-201.60570000000001</v>
      </c>
      <c r="H1785" s="1">
        <v>-3.3731299999999999E-6</v>
      </c>
      <c r="I1785">
        <v>360.02659999999997</v>
      </c>
      <c r="J1785">
        <v>-205.84370000000001</v>
      </c>
      <c r="K1785">
        <v>1.11951</v>
      </c>
      <c r="L1785">
        <v>366.05430000000001</v>
      </c>
      <c r="M1785">
        <v>0.96335820000000005</v>
      </c>
      <c r="N1785">
        <v>-1.390811E-2</v>
      </c>
      <c r="O1785">
        <v>-0.26785759999999997</v>
      </c>
      <c r="P1785">
        <v>0.77870909999999904</v>
      </c>
      <c r="Q1785">
        <v>0.1035485</v>
      </c>
      <c r="R1785">
        <v>-0.61878120000000003</v>
      </c>
      <c r="S1785">
        <v>1.8569789999999999</v>
      </c>
      <c r="T1785">
        <v>-0.48003630000000003</v>
      </c>
      <c r="U1785">
        <v>-2.597839</v>
      </c>
      <c r="V1785">
        <v>0.38815169999999999</v>
      </c>
      <c r="W1785">
        <v>0.1142953</v>
      </c>
      <c r="X1785">
        <v>0.91448059999999998</v>
      </c>
      <c r="Y1785">
        <v>0.623162199999999</v>
      </c>
      <c r="Z1785">
        <v>-1.8765520000000001E-2</v>
      </c>
      <c r="AA1785">
        <v>0.78186739999999999</v>
      </c>
      <c r="AB1785">
        <v>13</v>
      </c>
      <c r="AC1785">
        <v>4.2380000000000004</v>
      </c>
      <c r="AD1785">
        <v>-1.11951337313</v>
      </c>
      <c r="AE1785">
        <v>-6.0277000000000296</v>
      </c>
      <c r="AF1785">
        <v>4.5666885059876003</v>
      </c>
      <c r="AG1785">
        <v>-1.11951337313</v>
      </c>
      <c r="AH1785">
        <v>5.5692678418254102</v>
      </c>
      <c r="AI1785">
        <v>98.835401338667396</v>
      </c>
      <c r="AJ1785">
        <v>50.648930966869003</v>
      </c>
      <c r="AK1785">
        <v>7.2886691787545699</v>
      </c>
      <c r="AL1785">
        <v>83.437019042570398</v>
      </c>
      <c r="AM1785">
        <v>67.001183066588197</v>
      </c>
      <c r="AN1785">
        <v>0.99999996279566905</v>
      </c>
    </row>
    <row r="1786" spans="1:40" x14ac:dyDescent="0.25">
      <c r="A1786" t="str">
        <f>"20190303161909215"</f>
        <v>20190303161909215</v>
      </c>
      <c r="B1786" t="str">
        <f>"1551601149204767"</f>
        <v>1551601149204767</v>
      </c>
      <c r="C1786" t="s">
        <v>40</v>
      </c>
      <c r="D1786">
        <v>5.1801190000000004</v>
      </c>
      <c r="E1786">
        <v>0.6140892</v>
      </c>
      <c r="F1786" t="s">
        <v>46</v>
      </c>
      <c r="G1786">
        <v>-201.4776</v>
      </c>
      <c r="H1786" s="1">
        <v>-3.3391150000000001E-6</v>
      </c>
      <c r="I1786">
        <v>359.88920000000002</v>
      </c>
      <c r="J1786">
        <v>-205.76150000000001</v>
      </c>
      <c r="K1786">
        <v>1.119529</v>
      </c>
      <c r="L1786">
        <v>366.02670000000001</v>
      </c>
      <c r="M1786">
        <v>0.96231599999999995</v>
      </c>
      <c r="N1786">
        <v>-1.3902919999999999E-2</v>
      </c>
      <c r="O1786">
        <v>-0.271578599999999</v>
      </c>
      <c r="P1786">
        <v>0.77594079999999999</v>
      </c>
      <c r="Q1786">
        <v>0.1040181</v>
      </c>
      <c r="R1786">
        <v>-0.62217119999999904</v>
      </c>
      <c r="S1786">
        <v>1.8451390000000001</v>
      </c>
      <c r="T1786">
        <v>-0.47310530000000001</v>
      </c>
      <c r="U1786">
        <v>-2.6053769999999998</v>
      </c>
      <c r="V1786">
        <v>0.38862089999999999</v>
      </c>
      <c r="W1786">
        <v>0.1147695</v>
      </c>
      <c r="X1786">
        <v>0.91422190000000003</v>
      </c>
      <c r="Y1786">
        <v>0.62372359999999905</v>
      </c>
      <c r="Z1786">
        <v>-1.812188E-2</v>
      </c>
      <c r="AA1786">
        <v>0.78143499999999999</v>
      </c>
      <c r="AB1786">
        <v>13</v>
      </c>
      <c r="AC1786">
        <v>4.2839000000000098</v>
      </c>
      <c r="AD1786">
        <v>-1.1195323391150001</v>
      </c>
      <c r="AE1786">
        <v>-6.1374999999999797</v>
      </c>
      <c r="AF1786">
        <v>4.639457876502</v>
      </c>
      <c r="AG1786">
        <v>-1.1195323391150001</v>
      </c>
      <c r="AH1786">
        <v>5.6631363658289704</v>
      </c>
      <c r="AI1786">
        <v>98.694464140038406</v>
      </c>
      <c r="AJ1786">
        <v>50.674354683021299</v>
      </c>
      <c r="AK1786">
        <v>7.4060134717765198</v>
      </c>
      <c r="AL1786">
        <v>83.409669405074098</v>
      </c>
      <c r="AM1786">
        <v>66.970442320924704</v>
      </c>
      <c r="AN1786">
        <v>0.99999996224333398</v>
      </c>
    </row>
    <row r="1787" spans="1:40" x14ac:dyDescent="0.25">
      <c r="A1787" t="str">
        <f>"20190303161909232"</f>
        <v>20190303161909232</v>
      </c>
      <c r="B1787" t="str">
        <f>"1551601149224287"</f>
        <v>1551601149224287</v>
      </c>
      <c r="C1787" t="s">
        <v>40</v>
      </c>
      <c r="D1787">
        <v>5.2301219999999997</v>
      </c>
      <c r="E1787">
        <v>0.61375449999999998</v>
      </c>
      <c r="F1787" t="s">
        <v>46</v>
      </c>
      <c r="G1787">
        <v>-201.399</v>
      </c>
      <c r="H1787" s="1">
        <v>-3.31497E-6</v>
      </c>
      <c r="I1787">
        <v>359.81990000000002</v>
      </c>
      <c r="J1787">
        <v>-205.6679</v>
      </c>
      <c r="K1787">
        <v>1.1195440000000001</v>
      </c>
      <c r="L1787">
        <v>365.99489999999997</v>
      </c>
      <c r="M1787">
        <v>0.96111270000000004</v>
      </c>
      <c r="N1787">
        <v>-1.389699E-2</v>
      </c>
      <c r="O1787">
        <v>-0.27580680000000002</v>
      </c>
      <c r="P1787">
        <v>0.77304069999999903</v>
      </c>
      <c r="Q1787">
        <v>0.1042144</v>
      </c>
      <c r="R1787">
        <v>-0.6257374</v>
      </c>
      <c r="S1787">
        <v>1.835464</v>
      </c>
      <c r="T1787">
        <v>-0.47103689999999998</v>
      </c>
      <c r="U1787">
        <v>-2.6114809999999999</v>
      </c>
      <c r="V1787">
        <v>0.38881500000000002</v>
      </c>
      <c r="W1787">
        <v>0.11497549999999999</v>
      </c>
      <c r="X1787">
        <v>0.91411350000000002</v>
      </c>
      <c r="Y1787">
        <v>0.62316969999999905</v>
      </c>
      <c r="Z1787">
        <v>-1.738514E-2</v>
      </c>
      <c r="AA1787">
        <v>0.78189339999999996</v>
      </c>
      <c r="AB1787">
        <v>13</v>
      </c>
      <c r="AC1787">
        <v>4.2689000000000004</v>
      </c>
      <c r="AD1787">
        <v>-1.1195473149699999</v>
      </c>
      <c r="AE1787">
        <v>-6.1749999999999501</v>
      </c>
      <c r="AF1787">
        <v>4.6544183369600596</v>
      </c>
      <c r="AG1787">
        <v>-1.1195473149699999</v>
      </c>
      <c r="AH1787">
        <v>5.6802260061279997</v>
      </c>
      <c r="AI1787">
        <v>98.668110675227297</v>
      </c>
      <c r="AJ1787">
        <v>50.668560868963503</v>
      </c>
      <c r="AK1787">
        <v>7.4284563488371802</v>
      </c>
      <c r="AL1787">
        <v>83.397787940930499</v>
      </c>
      <c r="AM1787">
        <v>66.957693253165104</v>
      </c>
      <c r="AN1787">
        <v>0.99999998035374904</v>
      </c>
    </row>
    <row r="1788" spans="1:40" x14ac:dyDescent="0.25">
      <c r="A1788" t="str">
        <f>"20190303161909245"</f>
        <v>20190303161909245</v>
      </c>
      <c r="B1788" t="str">
        <f>"1551601149234047"</f>
        <v>1551601149234047</v>
      </c>
      <c r="C1788" t="s">
        <v>40</v>
      </c>
      <c r="D1788">
        <v>5.2363999999999997</v>
      </c>
      <c r="E1788">
        <v>0.61377469999999901</v>
      </c>
      <c r="F1788" t="s">
        <v>46</v>
      </c>
      <c r="G1788">
        <v>-201.29230000000001</v>
      </c>
      <c r="H1788" s="1">
        <v>-3.284137E-6</v>
      </c>
      <c r="I1788">
        <v>359.71660000000003</v>
      </c>
      <c r="J1788">
        <v>-205.59219999999999</v>
      </c>
      <c r="K1788">
        <v>1.1195550000000001</v>
      </c>
      <c r="L1788">
        <v>365.96890000000002</v>
      </c>
      <c r="M1788">
        <v>0.96012560000000002</v>
      </c>
      <c r="N1788">
        <v>-1.389219E-2</v>
      </c>
      <c r="O1788">
        <v>-0.27922409999999998</v>
      </c>
      <c r="P1788">
        <v>0.77057119999999901</v>
      </c>
      <c r="Q1788">
        <v>0.10376290000000001</v>
      </c>
      <c r="R1788">
        <v>-0.6288513</v>
      </c>
      <c r="S1788">
        <v>1.8245849999999999</v>
      </c>
      <c r="T1788">
        <v>-0.46683920000000001</v>
      </c>
      <c r="U1788">
        <v>-2.61795</v>
      </c>
      <c r="V1788">
        <v>0.38922859999999998</v>
      </c>
      <c r="W1788">
        <v>0.1145284</v>
      </c>
      <c r="X1788">
        <v>0.91399370000000002</v>
      </c>
      <c r="Y1788">
        <v>0.62357819999999997</v>
      </c>
      <c r="Z1788">
        <v>-1.6844930000000001E-2</v>
      </c>
      <c r="AA1788">
        <v>0.78157949999999998</v>
      </c>
      <c r="AB1788">
        <v>13</v>
      </c>
      <c r="AC1788">
        <v>4.2998999999999796</v>
      </c>
      <c r="AD1788">
        <v>-1.11955828413699</v>
      </c>
      <c r="AE1788">
        <v>-6.2522999999999902</v>
      </c>
      <c r="AF1788">
        <v>4.7004998980101602</v>
      </c>
      <c r="AG1788">
        <v>-1.11955828413699</v>
      </c>
      <c r="AH1788">
        <v>5.7496447357244298</v>
      </c>
      <c r="AI1788">
        <v>98.572872173283798</v>
      </c>
      <c r="AJ1788">
        <v>50.733013950384098</v>
      </c>
      <c r="AK1788">
        <v>7.51042772615628</v>
      </c>
      <c r="AL1788">
        <v>83.423575826772705</v>
      </c>
      <c r="AM1788">
        <v>66.933037509679195</v>
      </c>
      <c r="AN1788">
        <v>1.0000000705520999</v>
      </c>
    </row>
    <row r="1789" spans="1:40" x14ac:dyDescent="0.25">
      <c r="A1789" t="str">
        <f>"20190303161909257"</f>
        <v>20190303161909257</v>
      </c>
      <c r="B1789" t="str">
        <f>"1551601149254544"</f>
        <v>1551601149254544</v>
      </c>
      <c r="C1789" t="s">
        <v>40</v>
      </c>
      <c r="D1789">
        <v>5.2749230000000003</v>
      </c>
      <c r="E1789">
        <v>0.61365709999999996</v>
      </c>
      <c r="F1789" t="s">
        <v>46</v>
      </c>
      <c r="G1789">
        <v>-201.23009999999999</v>
      </c>
      <c r="H1789" s="1">
        <v>-3.2663610000000002E-6</v>
      </c>
      <c r="I1789">
        <v>359.65559999999999</v>
      </c>
      <c r="J1789">
        <v>-205.52549999999999</v>
      </c>
      <c r="K1789">
        <v>1.1195619999999999</v>
      </c>
      <c r="L1789">
        <v>365.94560000000001</v>
      </c>
      <c r="M1789">
        <v>0.95924450000000006</v>
      </c>
      <c r="N1789">
        <v>-1.388795E-2</v>
      </c>
      <c r="O1789">
        <v>-0.28223599999999999</v>
      </c>
      <c r="P1789">
        <v>0.76874919999999902</v>
      </c>
      <c r="Q1789">
        <v>0.102946</v>
      </c>
      <c r="R1789">
        <v>-0.63121130000000003</v>
      </c>
      <c r="S1789">
        <v>1.8137209999999999</v>
      </c>
      <c r="T1789">
        <v>-0.46549420000000002</v>
      </c>
      <c r="U1789">
        <v>-2.6249690000000001</v>
      </c>
      <c r="V1789">
        <v>0.38912419999999998</v>
      </c>
      <c r="W1789">
        <v>0.11372019999999999</v>
      </c>
      <c r="X1789">
        <v>0.91413900000000003</v>
      </c>
      <c r="Y1789">
        <v>0.62433169999999905</v>
      </c>
      <c r="Z1789">
        <v>-1.645692E-2</v>
      </c>
      <c r="AA1789">
        <v>0.78098599999999996</v>
      </c>
      <c r="AB1789">
        <v>13</v>
      </c>
      <c r="AC1789">
        <v>4.2953999999999999</v>
      </c>
      <c r="AD1789">
        <v>-1.1195652663609901</v>
      </c>
      <c r="AE1789">
        <v>-6.2900000000000196</v>
      </c>
      <c r="AF1789">
        <v>4.7198227617011002</v>
      </c>
      <c r="AG1789">
        <v>-1.1195652663609901</v>
      </c>
      <c r="AH1789">
        <v>5.7714768455398202</v>
      </c>
      <c r="AI1789">
        <v>98.539921258190006</v>
      </c>
      <c r="AJ1789">
        <v>50.724241236039099</v>
      </c>
      <c r="AK1789">
        <v>7.53923724697108</v>
      </c>
      <c r="AL1789">
        <v>83.470186470311305</v>
      </c>
      <c r="AM1789">
        <v>66.941859992804098</v>
      </c>
      <c r="AN1789">
        <v>1.0000000191173399</v>
      </c>
    </row>
    <row r="1790" spans="1:40" x14ac:dyDescent="0.25">
      <c r="A1790" t="str">
        <f>"20190303161909270"</f>
        <v>20190303161909270</v>
      </c>
      <c r="B1790" t="str">
        <f>"1551601149264303"</f>
        <v>1551601149264303</v>
      </c>
      <c r="C1790" t="s">
        <v>40</v>
      </c>
      <c r="D1790">
        <v>5.2715209999999999</v>
      </c>
      <c r="E1790">
        <v>0.61359439999999998</v>
      </c>
      <c r="F1790" t="s">
        <v>46</v>
      </c>
      <c r="G1790">
        <v>-201.15450000000001</v>
      </c>
      <c r="H1790" s="1">
        <v>-6.3809129999999999E-6</v>
      </c>
      <c r="I1790">
        <v>359.58460000000002</v>
      </c>
      <c r="J1790">
        <v>-205.45830000000001</v>
      </c>
      <c r="K1790">
        <v>1.1195710000000001</v>
      </c>
      <c r="L1790">
        <v>365.92200000000003</v>
      </c>
      <c r="M1790">
        <v>0.95834819999999998</v>
      </c>
      <c r="N1790">
        <v>-1.388371E-2</v>
      </c>
      <c r="O1790">
        <v>-0.2852654</v>
      </c>
      <c r="P1790">
        <v>0.76662509999999995</v>
      </c>
      <c r="Q1790">
        <v>0.1020155</v>
      </c>
      <c r="R1790">
        <v>-0.63393949999999999</v>
      </c>
      <c r="S1790">
        <v>1.806168</v>
      </c>
      <c r="T1790">
        <v>-0.46263219999999999</v>
      </c>
      <c r="U1790">
        <v>-2.6285099999999999</v>
      </c>
      <c r="V1790">
        <v>0.38944289999999998</v>
      </c>
      <c r="W1790">
        <v>0.11279400000000001</v>
      </c>
      <c r="X1790">
        <v>0.91411799999999999</v>
      </c>
      <c r="Y1790">
        <v>0.62395800000000001</v>
      </c>
      <c r="Z1790">
        <v>-1.5922749999999999E-2</v>
      </c>
      <c r="AA1790">
        <v>0.78129569999999904</v>
      </c>
      <c r="AB1790">
        <v>13</v>
      </c>
      <c r="AC1790">
        <v>4.3037999999999901</v>
      </c>
      <c r="AD1790">
        <v>-1.1195773809130001</v>
      </c>
      <c r="AE1790">
        <v>-6.3373999999999402</v>
      </c>
      <c r="AF1790">
        <v>4.7448324784433202</v>
      </c>
      <c r="AG1790">
        <v>-1.1195773809130001</v>
      </c>
      <c r="AH1790">
        <v>5.80887943401844</v>
      </c>
      <c r="AI1790">
        <v>98.489762618624795</v>
      </c>
      <c r="AJ1790">
        <v>50.757223450152601</v>
      </c>
      <c r="AK1790">
        <v>7.5835327545481697</v>
      </c>
      <c r="AL1790">
        <v>83.523597283920097</v>
      </c>
      <c r="AM1790">
        <v>66.9244764799883</v>
      </c>
      <c r="AN1790">
        <v>0.99999998836020498</v>
      </c>
    </row>
    <row r="1791" spans="1:40" x14ac:dyDescent="0.25">
      <c r="A1791" t="str">
        <f>"20190303161909282"</f>
        <v>20190303161909282</v>
      </c>
      <c r="B1791" t="str">
        <f>"1551601149274064"</f>
        <v>1551601149274064</v>
      </c>
      <c r="C1791" t="s">
        <v>40</v>
      </c>
      <c r="D1791">
        <v>5.2204689999999996</v>
      </c>
      <c r="E1791">
        <v>0.61330079999999998</v>
      </c>
      <c r="F1791" t="s">
        <v>46</v>
      </c>
      <c r="G1791">
        <v>-201.11510000000001</v>
      </c>
      <c r="H1791" s="1">
        <v>-6.3893449999999997E-6</v>
      </c>
      <c r="I1791">
        <v>359.55880000000002</v>
      </c>
      <c r="J1791">
        <v>-205.38399999999999</v>
      </c>
      <c r="K1791">
        <v>1.11958</v>
      </c>
      <c r="L1791">
        <v>365.8956</v>
      </c>
      <c r="M1791">
        <v>0.95734609999999998</v>
      </c>
      <c r="N1791">
        <v>-1.3879030000000001E-2</v>
      </c>
      <c r="O1791">
        <v>-0.28861039999999999</v>
      </c>
      <c r="P1791">
        <v>0.7644204</v>
      </c>
      <c r="Q1791">
        <v>0.1012156</v>
      </c>
      <c r="R1791">
        <v>-0.63672390000000001</v>
      </c>
      <c r="S1791">
        <v>1.797363</v>
      </c>
      <c r="T1791">
        <v>-0.46332000000000001</v>
      </c>
      <c r="U1791">
        <v>-2.6333009999999999</v>
      </c>
      <c r="V1791">
        <v>0.3895381</v>
      </c>
      <c r="W1791">
        <v>0.1120008</v>
      </c>
      <c r="X1791">
        <v>0.91417499999999996</v>
      </c>
      <c r="Y1791">
        <v>0.62369479999999999</v>
      </c>
      <c r="Z1791">
        <v>-1.5410099999999999E-2</v>
      </c>
      <c r="AA1791">
        <v>0.78151599999999999</v>
      </c>
      <c r="AB1791">
        <v>13</v>
      </c>
      <c r="AC1791">
        <v>4.2689000000000004</v>
      </c>
      <c r="AD1791">
        <v>-1.119586389345</v>
      </c>
      <c r="AE1791">
        <v>-6.3367999999999798</v>
      </c>
      <c r="AF1791">
        <v>4.7332962935778902</v>
      </c>
      <c r="AG1791">
        <v>-1.119586389345</v>
      </c>
      <c r="AH1791">
        <v>5.7918901093197999</v>
      </c>
      <c r="AI1791">
        <v>98.512707275167202</v>
      </c>
      <c r="AJ1791">
        <v>50.743335153889703</v>
      </c>
      <c r="AK1791">
        <v>7.5633034134854897</v>
      </c>
      <c r="AL1791">
        <v>83.569334325106297</v>
      </c>
      <c r="AM1791">
        <v>66.920714712267298</v>
      </c>
      <c r="AN1791">
        <v>1.0000000205886199</v>
      </c>
    </row>
    <row r="1792" spans="1:40" x14ac:dyDescent="0.25">
      <c r="A1792" t="str">
        <f>"20190303161909296"</f>
        <v>20190303161909296</v>
      </c>
      <c r="B1792" t="str">
        <f>"1551601149284799"</f>
        <v>1551601149284799</v>
      </c>
      <c r="C1792" t="s">
        <v>40</v>
      </c>
      <c r="D1792">
        <v>5.2879630000000004</v>
      </c>
      <c r="E1792">
        <v>0.61324029999999996</v>
      </c>
      <c r="F1792" t="s">
        <v>46</v>
      </c>
      <c r="G1792">
        <v>-201.0882</v>
      </c>
      <c r="H1792" s="1">
        <v>-6.4008800000000003E-6</v>
      </c>
      <c r="I1792">
        <v>359.56139999999999</v>
      </c>
      <c r="J1792">
        <v>-205.31489999999999</v>
      </c>
      <c r="K1792">
        <v>1.119586</v>
      </c>
      <c r="L1792">
        <v>365.8707</v>
      </c>
      <c r="M1792">
        <v>0.95640480000000005</v>
      </c>
      <c r="N1792">
        <v>-1.387466E-2</v>
      </c>
      <c r="O1792">
        <v>-0.29171429999999998</v>
      </c>
      <c r="P1792">
        <v>0.76253210000000005</v>
      </c>
      <c r="Q1792">
        <v>0.10088080000000001</v>
      </c>
      <c r="R1792">
        <v>-0.63903650000000001</v>
      </c>
      <c r="S1792">
        <v>1.7890170000000001</v>
      </c>
      <c r="T1792">
        <v>-0.4662654</v>
      </c>
      <c r="U1792">
        <v>-2.6379389999999998</v>
      </c>
      <c r="V1792">
        <v>0.38932430000000001</v>
      </c>
      <c r="W1792">
        <v>0.1116748</v>
      </c>
      <c r="X1792">
        <v>0.9143059</v>
      </c>
      <c r="Y1792">
        <v>0.62347410000000003</v>
      </c>
      <c r="Z1792">
        <v>-1.496521E-2</v>
      </c>
      <c r="AA1792">
        <v>0.78170079999999997</v>
      </c>
      <c r="AB1792">
        <v>13</v>
      </c>
      <c r="AC1792">
        <v>4.2266999999999904</v>
      </c>
      <c r="AD1792">
        <v>-1.11959240088</v>
      </c>
      <c r="AE1792">
        <v>-6.3093000000000004</v>
      </c>
      <c r="AF1792">
        <v>4.6995747863036499</v>
      </c>
      <c r="AG1792">
        <v>-1.11959240088</v>
      </c>
      <c r="AH1792">
        <v>5.7583598731840802</v>
      </c>
      <c r="AI1792">
        <v>98.566124832310805</v>
      </c>
      <c r="AJ1792">
        <v>50.781056772296303</v>
      </c>
      <c r="AK1792">
        <v>7.5165283705488504</v>
      </c>
      <c r="AL1792">
        <v>83.588130375691904</v>
      </c>
      <c r="AM1792">
        <v>66.935013596854802</v>
      </c>
      <c r="AN1792">
        <v>0.99999997515016903</v>
      </c>
    </row>
    <row r="1793" spans="1:40" x14ac:dyDescent="0.25">
      <c r="A1793" t="str">
        <f>"20190303161909310"</f>
        <v>20190303161909310</v>
      </c>
      <c r="B1793" t="str">
        <f>"1551601149304333"</f>
        <v>1551601149304333</v>
      </c>
      <c r="C1793" t="s">
        <v>40</v>
      </c>
      <c r="D1793">
        <v>5.3143739999999999</v>
      </c>
      <c r="E1793">
        <v>0.61254069999999905</v>
      </c>
      <c r="F1793" t="s">
        <v>46</v>
      </c>
      <c r="G1793">
        <v>-201.02619999999999</v>
      </c>
      <c r="H1793" s="1">
        <v>-6.4101550000000003E-6</v>
      </c>
      <c r="I1793">
        <v>359.50720000000001</v>
      </c>
      <c r="J1793">
        <v>-205.23750000000001</v>
      </c>
      <c r="K1793">
        <v>1.11959599999999</v>
      </c>
      <c r="L1793">
        <v>365.84269999999998</v>
      </c>
      <c r="M1793">
        <v>0.95533840000000003</v>
      </c>
      <c r="N1793">
        <v>-1.386972E-2</v>
      </c>
      <c r="O1793">
        <v>-0.29518879999999997</v>
      </c>
      <c r="P1793">
        <v>0.76063630000000004</v>
      </c>
      <c r="Q1793">
        <v>0.1005896</v>
      </c>
      <c r="R1793">
        <v>-0.64133830000000003</v>
      </c>
      <c r="S1793">
        <v>1.7810360000000001</v>
      </c>
      <c r="T1793">
        <v>-0.46495340000000002</v>
      </c>
      <c r="U1793">
        <v>-2.6427</v>
      </c>
      <c r="V1793">
        <v>0.3887467</v>
      </c>
      <c r="W1793">
        <v>0.1113981</v>
      </c>
      <c r="X1793">
        <v>0.91458539999999999</v>
      </c>
      <c r="Y1793">
        <v>0.62296940000000001</v>
      </c>
      <c r="Z1793">
        <v>-1.437366E-2</v>
      </c>
      <c r="AA1793">
        <v>0.78211409999999904</v>
      </c>
      <c r="AB1793">
        <v>13</v>
      </c>
      <c r="AC1793">
        <v>4.21130000000002</v>
      </c>
      <c r="AD1793">
        <v>-1.11960241015499</v>
      </c>
      <c r="AE1793">
        <v>-6.3354999999999597</v>
      </c>
      <c r="AF1793">
        <v>4.7079092376117604</v>
      </c>
      <c r="AG1793">
        <v>-1.11960241015499</v>
      </c>
      <c r="AH1793">
        <v>5.7689981961183898</v>
      </c>
      <c r="AI1793">
        <v>98.550886280914398</v>
      </c>
      <c r="AJ1793">
        <v>50.783130186118498</v>
      </c>
      <c r="AK1793">
        <v>7.5298910439150601</v>
      </c>
      <c r="AL1793">
        <v>83.604083780295994</v>
      </c>
      <c r="AM1793">
        <v>66.971966088034307</v>
      </c>
      <c r="AN1793">
        <v>0.99999999366882997</v>
      </c>
    </row>
    <row r="1794" spans="1:40" x14ac:dyDescent="0.25">
      <c r="A1794" t="str">
        <f>"20190303161909322"</f>
        <v>20190303161909322</v>
      </c>
      <c r="B1794" t="str">
        <f>"1551601149314080"</f>
        <v>1551601149314080</v>
      </c>
      <c r="C1794" t="s">
        <v>40</v>
      </c>
      <c r="D1794">
        <v>5.2849199999999996</v>
      </c>
      <c r="E1794">
        <v>0.61254069999999905</v>
      </c>
      <c r="F1794" t="s">
        <v>46</v>
      </c>
      <c r="G1794">
        <v>-200.9563</v>
      </c>
      <c r="H1794" s="1">
        <v>-6.4284479999999998E-6</v>
      </c>
      <c r="I1794">
        <v>359.47320000000002</v>
      </c>
      <c r="J1794">
        <v>-205.16489999999999</v>
      </c>
      <c r="K1794">
        <v>1.1196060000000001</v>
      </c>
      <c r="L1794">
        <v>365.81610000000001</v>
      </c>
      <c r="M1794">
        <v>0.95432729999999999</v>
      </c>
      <c r="N1794">
        <v>-1.3864970000000001E-2</v>
      </c>
      <c r="O1794">
        <v>-0.29844120000000002</v>
      </c>
      <c r="P1794">
        <v>0.75858190000000003</v>
      </c>
      <c r="Q1794">
        <v>0.1007272</v>
      </c>
      <c r="R1794">
        <v>-0.64374489999999995</v>
      </c>
      <c r="S1794">
        <v>1.776718</v>
      </c>
      <c r="T1794">
        <v>-0.46464050000000001</v>
      </c>
      <c r="U1794">
        <v>-2.6433719999999998</v>
      </c>
      <c r="V1794">
        <v>0.38853169999999998</v>
      </c>
      <c r="W1794">
        <v>0.11154550000000001</v>
      </c>
      <c r="X1794">
        <v>0.91465879999999999</v>
      </c>
      <c r="Y1794">
        <v>0.62133109999999903</v>
      </c>
      <c r="Z1794">
        <v>-1.3707260000000001E-2</v>
      </c>
      <c r="AA1794">
        <v>0.78342819999999902</v>
      </c>
      <c r="AB1794">
        <v>13</v>
      </c>
      <c r="AC1794">
        <v>4.2085999999999899</v>
      </c>
      <c r="AD1794">
        <v>-1.11961242844799</v>
      </c>
      <c r="AE1794">
        <v>-6.3428999999999798</v>
      </c>
      <c r="AF1794">
        <v>4.6960533139260798</v>
      </c>
      <c r="AG1794">
        <v>-1.11961242844799</v>
      </c>
      <c r="AH1794">
        <v>5.7847889175836098</v>
      </c>
      <c r="AI1794">
        <v>98.545576604820894</v>
      </c>
      <c r="AJ1794">
        <v>50.930536820542997</v>
      </c>
      <c r="AK1794">
        <v>7.5346022813529796</v>
      </c>
      <c r="AL1794">
        <v>83.595585460700804</v>
      </c>
      <c r="AM1794">
        <v>66.985029699391205</v>
      </c>
      <c r="AN1794">
        <v>1.0000000004462899</v>
      </c>
    </row>
    <row r="1795" spans="1:40" x14ac:dyDescent="0.25">
      <c r="A1795" t="str">
        <f>"20190303161909334"</f>
        <v>20190303161909334</v>
      </c>
      <c r="B1795" t="str">
        <f>"1551601149324817"</f>
        <v>1551601149324817</v>
      </c>
      <c r="C1795" t="s">
        <v>40</v>
      </c>
      <c r="D1795">
        <v>5.3210449999999998</v>
      </c>
      <c r="E1795">
        <v>0.58088869999999904</v>
      </c>
      <c r="F1795" t="s">
        <v>46</v>
      </c>
      <c r="G1795">
        <v>-200.9014</v>
      </c>
      <c r="H1795" s="1">
        <v>-6.4379429999999999E-6</v>
      </c>
      <c r="I1795">
        <v>359.42959999999999</v>
      </c>
      <c r="J1795">
        <v>-205.102</v>
      </c>
      <c r="K1795">
        <v>1.119615</v>
      </c>
      <c r="L1795">
        <v>365.7928</v>
      </c>
      <c r="M1795">
        <v>0.95344390000000001</v>
      </c>
      <c r="N1795">
        <v>-1.3860630000000001E-2</v>
      </c>
      <c r="O1795">
        <v>-0.30125190000000002</v>
      </c>
      <c r="P1795">
        <v>0.75683679999999998</v>
      </c>
      <c r="Q1795">
        <v>0.1004876</v>
      </c>
      <c r="R1795">
        <v>-0.64583330000000005</v>
      </c>
      <c r="S1795">
        <v>1.7684169999999999</v>
      </c>
      <c r="T1795">
        <v>-0.46439469999999999</v>
      </c>
      <c r="U1795">
        <v>-2.6490170000000002</v>
      </c>
      <c r="V1795">
        <v>0.38834289999999999</v>
      </c>
      <c r="W1795">
        <v>0.1113161</v>
      </c>
      <c r="X1795">
        <v>0.91476690000000005</v>
      </c>
      <c r="Y1795">
        <v>0.62152050000000003</v>
      </c>
      <c r="Z1795">
        <v>-1.330373E-2</v>
      </c>
      <c r="AA1795">
        <v>0.78328500000000001</v>
      </c>
      <c r="AB1795">
        <v>13</v>
      </c>
      <c r="AC1795">
        <v>4.2005999999999997</v>
      </c>
      <c r="AD1795">
        <v>-1.1196214379430001</v>
      </c>
      <c r="AE1795">
        <v>-6.3632</v>
      </c>
      <c r="AF1795">
        <v>4.7006187726706203</v>
      </c>
      <c r="AG1795">
        <v>-1.1196214379430001</v>
      </c>
      <c r="AH1795">
        <v>5.7975212843443904</v>
      </c>
      <c r="AI1795">
        <v>98.531245376083206</v>
      </c>
      <c r="AJ1795">
        <v>50.964929307707898</v>
      </c>
      <c r="AK1795">
        <v>7.5472261164424701</v>
      </c>
      <c r="AL1795">
        <v>83.608811361418901</v>
      </c>
      <c r="AM1795">
        <v>66.997485064128099</v>
      </c>
      <c r="AN1795">
        <v>0.99999998171761395</v>
      </c>
    </row>
    <row r="1796" spans="1:40" x14ac:dyDescent="0.25">
      <c r="A1796" t="str">
        <f>"20190303161909348"</f>
        <v>20190303161909348</v>
      </c>
      <c r="B1796" t="str">
        <f>"1551601149334576"</f>
        <v>1551601149334576</v>
      </c>
      <c r="C1796" t="s">
        <v>40</v>
      </c>
      <c r="D1796">
        <v>5.2957910000000004</v>
      </c>
      <c r="E1796">
        <v>0.58056249999999998</v>
      </c>
      <c r="F1796" t="s">
        <v>46</v>
      </c>
      <c r="G1796">
        <v>-200.46039999999999</v>
      </c>
      <c r="H1796" s="1">
        <v>-2.834126E-6</v>
      </c>
      <c r="I1796">
        <v>359.85829999999999</v>
      </c>
      <c r="J1796">
        <v>-205.0335</v>
      </c>
      <c r="K1796">
        <v>1.1196269999999999</v>
      </c>
      <c r="L1796">
        <v>365.7672</v>
      </c>
      <c r="M1796">
        <v>0.95247250000000006</v>
      </c>
      <c r="N1796">
        <v>-1.3855879999999999E-2</v>
      </c>
      <c r="O1796">
        <v>-0.30430970000000002</v>
      </c>
      <c r="P1796">
        <v>0.75491900000000001</v>
      </c>
      <c r="Q1796">
        <v>9.9819030000000003E-2</v>
      </c>
      <c r="R1796">
        <v>-0.64817749999999996</v>
      </c>
      <c r="S1796">
        <v>1.9251400000000001</v>
      </c>
      <c r="T1796">
        <v>-0.4643757</v>
      </c>
      <c r="U1796">
        <v>-2.461395</v>
      </c>
      <c r="V1796">
        <v>0.38821070000000002</v>
      </c>
      <c r="W1796">
        <v>0.1106588</v>
      </c>
      <c r="X1796">
        <v>0.91490280000000002</v>
      </c>
      <c r="Y1796">
        <v>0.55911230000000001</v>
      </c>
      <c r="Z1796">
        <v>-6.3134130000000004E-3</v>
      </c>
      <c r="AA1796">
        <v>0.82906789999999997</v>
      </c>
      <c r="AB1796">
        <v>13</v>
      </c>
      <c r="AC1796">
        <v>4.5731000000000099</v>
      </c>
      <c r="AD1796">
        <v>-1.119629834126</v>
      </c>
      <c r="AE1796">
        <v>-5.9089000000000098</v>
      </c>
      <c r="AF1796">
        <v>4.1437875708577998</v>
      </c>
      <c r="AG1796">
        <v>-1.119629834126</v>
      </c>
      <c r="AH1796">
        <v>6.0193196935005897</v>
      </c>
      <c r="AI1796">
        <v>98.710627137536903</v>
      </c>
      <c r="AJ1796">
        <v>55.455908317882397</v>
      </c>
      <c r="AK1796">
        <v>7.3930207608544398</v>
      </c>
      <c r="AL1796">
        <v>83.646706278549999</v>
      </c>
      <c r="AM1796">
        <v>67.007561928562595</v>
      </c>
      <c r="AN1796">
        <v>1.00000002552988</v>
      </c>
    </row>
    <row r="1797" spans="1:40" x14ac:dyDescent="0.25">
      <c r="A1797" t="str">
        <f>"20190303161909359"</f>
        <v>20190303161909359</v>
      </c>
      <c r="B1797" t="str">
        <f>"1551601149354095"</f>
        <v>1551601149354095</v>
      </c>
      <c r="C1797" t="s">
        <v>40</v>
      </c>
      <c r="D1797">
        <v>5.2719269999999998</v>
      </c>
      <c r="E1797">
        <v>0.57957139999999996</v>
      </c>
      <c r="F1797" t="s">
        <v>46</v>
      </c>
      <c r="G1797">
        <v>-200.3792</v>
      </c>
      <c r="H1797" s="1">
        <v>-2.80875E-6</v>
      </c>
      <c r="I1797">
        <v>359.78820000000002</v>
      </c>
      <c r="J1797">
        <v>-204.9622</v>
      </c>
      <c r="K1797">
        <v>1.1196429999999999</v>
      </c>
      <c r="L1797">
        <v>365.74029999999999</v>
      </c>
      <c r="M1797">
        <v>0.95145400000000002</v>
      </c>
      <c r="N1797">
        <v>-1.3850690000000001E-2</v>
      </c>
      <c r="O1797">
        <v>-0.30747950000000002</v>
      </c>
      <c r="P1797">
        <v>0.7533048</v>
      </c>
      <c r="Q1797">
        <v>9.878141E-2</v>
      </c>
      <c r="R1797">
        <v>-0.65021119999999899</v>
      </c>
      <c r="S1797">
        <v>1.918701</v>
      </c>
      <c r="T1797">
        <v>-0.46155829999999998</v>
      </c>
      <c r="U1797">
        <v>-2.4647830000000002</v>
      </c>
      <c r="V1797">
        <v>0.38757930000000002</v>
      </c>
      <c r="W1797">
        <v>0.1096403</v>
      </c>
      <c r="X1797">
        <v>0.91529300000000002</v>
      </c>
      <c r="Y1797">
        <v>0.55832809999999999</v>
      </c>
      <c r="Z1797">
        <v>-5.7691749999999997E-3</v>
      </c>
      <c r="AA1797">
        <v>0.82960020000000001</v>
      </c>
      <c r="AB1797">
        <v>13</v>
      </c>
      <c r="AC1797">
        <v>4.5829999999999904</v>
      </c>
      <c r="AD1797">
        <v>-1.1196458087500001</v>
      </c>
      <c r="AE1797">
        <v>-5.9520999999999704</v>
      </c>
      <c r="AF1797">
        <v>4.1619225878743302</v>
      </c>
      <c r="AG1797">
        <v>-1.1196458087500001</v>
      </c>
      <c r="AH1797">
        <v>6.05670770115427</v>
      </c>
      <c r="AI1797">
        <v>98.662794659104804</v>
      </c>
      <c r="AJ1797">
        <v>55.504737341240997</v>
      </c>
      <c r="AK1797">
        <v>7.4336340064420403</v>
      </c>
      <c r="AL1797">
        <v>83.705419089708002</v>
      </c>
      <c r="AM1797">
        <v>67.049852233581205</v>
      </c>
      <c r="AN1797">
        <v>0.99999999251078997</v>
      </c>
    </row>
    <row r="1798" spans="1:40" x14ac:dyDescent="0.25">
      <c r="A1798" t="str">
        <f>"20190303161909371"</f>
        <v>20190303161909371</v>
      </c>
      <c r="B1798" t="str">
        <f>"1551601149364831"</f>
        <v>1551601149364831</v>
      </c>
      <c r="C1798" t="s">
        <v>40</v>
      </c>
      <c r="D1798">
        <v>5.2825860000000002</v>
      </c>
      <c r="E1798">
        <v>0.57931080000000001</v>
      </c>
      <c r="F1798" t="s">
        <v>46</v>
      </c>
      <c r="G1798">
        <v>-200.3614</v>
      </c>
      <c r="H1798" s="1">
        <v>-2.7907900000000002E-6</v>
      </c>
      <c r="I1798">
        <v>359.82889999999998</v>
      </c>
      <c r="J1798">
        <v>-204.8997</v>
      </c>
      <c r="K1798">
        <v>1.1196520000000001</v>
      </c>
      <c r="L1798">
        <v>365.71660000000003</v>
      </c>
      <c r="M1798">
        <v>0.95055500000000004</v>
      </c>
      <c r="N1798">
        <v>-1.3846020000000001E-2</v>
      </c>
      <c r="O1798">
        <v>-0.3102472</v>
      </c>
      <c r="P1798">
        <v>0.75185249999999904</v>
      </c>
      <c r="Q1798">
        <v>9.8116739999999994E-2</v>
      </c>
      <c r="R1798">
        <v>-0.65199019999999996</v>
      </c>
      <c r="S1798">
        <v>1.917297</v>
      </c>
      <c r="T1798">
        <v>-0.46659420000000001</v>
      </c>
      <c r="U1798">
        <v>-2.46347</v>
      </c>
      <c r="V1798">
        <v>0.38704450000000001</v>
      </c>
      <c r="W1798">
        <v>0.1089919</v>
      </c>
      <c r="X1798">
        <v>0.91559669999999904</v>
      </c>
      <c r="Y1798">
        <v>0.5559788</v>
      </c>
      <c r="Z1798">
        <v>-5.0802570000000003E-3</v>
      </c>
      <c r="AA1798">
        <v>0.83118099999999995</v>
      </c>
      <c r="AB1798">
        <v>13</v>
      </c>
      <c r="AC1798">
        <v>4.5382999999999898</v>
      </c>
      <c r="AD1798">
        <v>-1.1196547907899901</v>
      </c>
      <c r="AE1798">
        <v>-5.8877000000000503</v>
      </c>
      <c r="AF1798">
        <v>4.0960683750565199</v>
      </c>
      <c r="AG1798">
        <v>-1.1196547907899901</v>
      </c>
      <c r="AH1798">
        <v>6.0049110213936503</v>
      </c>
      <c r="AI1798">
        <v>98.756667431232401</v>
      </c>
      <c r="AJ1798">
        <v>55.701329617847598</v>
      </c>
      <c r="AK1798">
        <v>7.3546148341386397</v>
      </c>
      <c r="AL1798">
        <v>83.742793693920106</v>
      </c>
      <c r="AM1798">
        <v>67.085063384942302</v>
      </c>
      <c r="AN1798">
        <v>0.99999999814837404</v>
      </c>
    </row>
    <row r="1799" spans="1:40" x14ac:dyDescent="0.25">
      <c r="A1799" t="str">
        <f>"20190303161909387"</f>
        <v>20190303161909387</v>
      </c>
      <c r="B1799" t="str">
        <f>"1551601149374591"</f>
        <v>1551601149374591</v>
      </c>
      <c r="C1799" t="s">
        <v>40</v>
      </c>
      <c r="D1799">
        <v>5.2534989999999997</v>
      </c>
      <c r="E1799">
        <v>0.5792448</v>
      </c>
      <c r="F1799" t="s">
        <v>46</v>
      </c>
      <c r="G1799">
        <v>-200.36259999999999</v>
      </c>
      <c r="H1799" s="1">
        <v>-2.783103E-6</v>
      </c>
      <c r="I1799">
        <v>359.86630000000002</v>
      </c>
      <c r="J1799">
        <v>-204.81720000000001</v>
      </c>
      <c r="K1799">
        <v>1.1196710000000001</v>
      </c>
      <c r="L1799">
        <v>365.68490000000003</v>
      </c>
      <c r="M1799">
        <v>0.94935590000000003</v>
      </c>
      <c r="N1799">
        <v>-1.383973E-2</v>
      </c>
      <c r="O1799">
        <v>-0.31389830000000002</v>
      </c>
      <c r="P1799">
        <v>0.7497376</v>
      </c>
      <c r="Q1799">
        <v>9.7616170000000002E-2</v>
      </c>
      <c r="R1799">
        <v>-0.65449590000000002</v>
      </c>
      <c r="S1799">
        <v>1.9128719999999999</v>
      </c>
      <c r="T1799">
        <v>-0.472049</v>
      </c>
      <c r="U1799">
        <v>-2.4664920000000001</v>
      </c>
      <c r="V1799">
        <v>0.38655240000000002</v>
      </c>
      <c r="W1799">
        <v>0.1085108</v>
      </c>
      <c r="X1799">
        <v>0.9158617</v>
      </c>
      <c r="Y1799">
        <v>0.55419390000000002</v>
      </c>
      <c r="Z1799">
        <v>-4.2968989999999999E-3</v>
      </c>
      <c r="AA1799">
        <v>0.83237649999999996</v>
      </c>
      <c r="AB1799">
        <v>13</v>
      </c>
      <c r="AC1799">
        <v>4.4546000000000197</v>
      </c>
      <c r="AD1799">
        <v>-1.1196737831029999</v>
      </c>
      <c r="AE1799">
        <v>-5.8186</v>
      </c>
      <c r="AF1799">
        <v>4.03189679721459</v>
      </c>
      <c r="AG1799">
        <v>-1.1196737831029999</v>
      </c>
      <c r="AH1799">
        <v>5.91787000803052</v>
      </c>
      <c r="AI1799">
        <v>98.886870700162305</v>
      </c>
      <c r="AJ1799">
        <v>55.733051997173497</v>
      </c>
      <c r="AK1799">
        <v>7.2478304751080298</v>
      </c>
      <c r="AL1799">
        <v>83.770523185490106</v>
      </c>
      <c r="AM1799">
        <v>67.117134817715794</v>
      </c>
      <c r="AN1799">
        <v>1.0000000025946401</v>
      </c>
    </row>
    <row r="1800" spans="1:40" x14ac:dyDescent="0.25">
      <c r="A1800" t="str">
        <f>"20190303161909400"</f>
        <v>20190303161909400</v>
      </c>
      <c r="B1800" t="str">
        <f>"1551601149394112"</f>
        <v>1551601149394112</v>
      </c>
      <c r="C1800" t="s">
        <v>40</v>
      </c>
      <c r="D1800">
        <v>5.2695949999999998</v>
      </c>
      <c r="E1800">
        <v>0.57901009999999997</v>
      </c>
      <c r="F1800" t="s">
        <v>46</v>
      </c>
      <c r="G1800">
        <v>-200.33260000000001</v>
      </c>
      <c r="H1800" s="1">
        <v>-2.7687330000000001E-6</v>
      </c>
      <c r="I1800">
        <v>359.86309999999997</v>
      </c>
      <c r="J1800">
        <v>-204.74420000000001</v>
      </c>
      <c r="K1800">
        <v>1.119688</v>
      </c>
      <c r="L1800">
        <v>365.65660000000003</v>
      </c>
      <c r="M1800">
        <v>0.94828840000000003</v>
      </c>
      <c r="N1800">
        <v>-1.3834000000000001E-2</v>
      </c>
      <c r="O1800">
        <v>-0.31710880000000002</v>
      </c>
      <c r="P1800">
        <v>0.74880069999999999</v>
      </c>
      <c r="Q1800">
        <v>9.7435060000000004E-2</v>
      </c>
      <c r="R1800">
        <v>-0.65559480000000003</v>
      </c>
      <c r="S1800">
        <v>1.9047240000000001</v>
      </c>
      <c r="T1800">
        <v>-0.4755607</v>
      </c>
      <c r="U1800">
        <v>-2.4727169999999998</v>
      </c>
      <c r="V1800">
        <v>0.38478000000000001</v>
      </c>
      <c r="W1800">
        <v>0.1083596</v>
      </c>
      <c r="X1800">
        <v>0.91662560000000004</v>
      </c>
      <c r="Y1800">
        <v>0.55409849999999905</v>
      </c>
      <c r="Z1800">
        <v>-3.757842E-3</v>
      </c>
      <c r="AA1800">
        <v>0.83244259999999903</v>
      </c>
      <c r="AB1800">
        <v>13</v>
      </c>
      <c r="AC1800">
        <v>4.4115999999999902</v>
      </c>
      <c r="AD1800">
        <v>-1.119690768733</v>
      </c>
      <c r="AE1800">
        <v>-5.7935000000000496</v>
      </c>
      <c r="AF1800">
        <v>4.0007537066450798</v>
      </c>
      <c r="AG1800">
        <v>-1.119690768733</v>
      </c>
      <c r="AH1800">
        <v>5.88214355844348</v>
      </c>
      <c r="AI1800">
        <v>98.944843987434496</v>
      </c>
      <c r="AJ1800">
        <v>55.7783297111012</v>
      </c>
      <c r="AK1800">
        <v>7.2013436580237196</v>
      </c>
      <c r="AL1800">
        <v>83.779237494588003</v>
      </c>
      <c r="AM1800">
        <v>67.228368222454293</v>
      </c>
      <c r="AN1800">
        <v>0.99999997094375903</v>
      </c>
    </row>
    <row r="1801" spans="1:40" x14ac:dyDescent="0.25">
      <c r="A1801" t="str">
        <f>"20190303161909415"</f>
        <v>20190303161909415</v>
      </c>
      <c r="B1801" t="str">
        <f>"1551601149404847"</f>
        <v>1551601149404847</v>
      </c>
      <c r="C1801" t="s">
        <v>40</v>
      </c>
      <c r="D1801">
        <v>5.2729629999999998</v>
      </c>
      <c r="E1801">
        <v>0.578704199999999</v>
      </c>
      <c r="F1801" t="s">
        <v>46</v>
      </c>
      <c r="G1801">
        <v>-200.28039999999999</v>
      </c>
      <c r="H1801" s="1">
        <v>-2.746074E-6</v>
      </c>
      <c r="I1801">
        <v>359.84690000000001</v>
      </c>
      <c r="J1801">
        <v>-204.6661</v>
      </c>
      <c r="K1801">
        <v>1.11971</v>
      </c>
      <c r="L1801">
        <v>365.62599999999998</v>
      </c>
      <c r="M1801">
        <v>0.94713499999999995</v>
      </c>
      <c r="N1801">
        <v>-1.3827839999999999E-2</v>
      </c>
      <c r="O1801">
        <v>-0.32053739999999997</v>
      </c>
      <c r="P1801">
        <v>0.74703189999999997</v>
      </c>
      <c r="Q1801">
        <v>9.8021200000000003E-2</v>
      </c>
      <c r="R1801">
        <v>-0.65752259999999996</v>
      </c>
      <c r="S1801">
        <v>1.9015660000000001</v>
      </c>
      <c r="T1801">
        <v>-0.4769833</v>
      </c>
      <c r="U1801">
        <v>-2.474945</v>
      </c>
      <c r="V1801">
        <v>0.3838471</v>
      </c>
      <c r="W1801">
        <v>0.1089664</v>
      </c>
      <c r="X1801">
        <v>0.9169448</v>
      </c>
      <c r="Y1801">
        <v>0.55215789999999998</v>
      </c>
      <c r="Z1801">
        <v>-3.0083620000000001E-3</v>
      </c>
      <c r="AA1801">
        <v>0.83373410000000003</v>
      </c>
      <c r="AB1801">
        <v>13</v>
      </c>
      <c r="AC1801">
        <v>4.3857000000000097</v>
      </c>
      <c r="AD1801">
        <v>-1.119712746074</v>
      </c>
      <c r="AE1801">
        <v>-5.7790999999999704</v>
      </c>
      <c r="AF1801">
        <v>3.9735418433460001</v>
      </c>
      <c r="AG1801">
        <v>-1.119712746074</v>
      </c>
      <c r="AH1801">
        <v>5.8670816588113697</v>
      </c>
      <c r="AI1801">
        <v>98.9794698954192</v>
      </c>
      <c r="AJ1801">
        <v>55.891771729924102</v>
      </c>
      <c r="AK1801">
        <v>7.1739416366250799</v>
      </c>
      <c r="AL1801">
        <v>83.7442636236878</v>
      </c>
      <c r="AM1801">
        <v>67.285069686040302</v>
      </c>
      <c r="AN1801">
        <v>1.0000000193772001</v>
      </c>
    </row>
    <row r="1802" spans="1:40" x14ac:dyDescent="0.25">
      <c r="A1802" t="str">
        <f>"20190303161909430"</f>
        <v>20190303161909430</v>
      </c>
      <c r="B1802" t="str">
        <f>"1551601149424367"</f>
        <v>1551601149424367</v>
      </c>
      <c r="C1802" t="s">
        <v>40</v>
      </c>
      <c r="D1802">
        <v>5.2688179999999996</v>
      </c>
      <c r="E1802">
        <v>0.57813919999999996</v>
      </c>
      <c r="F1802" t="s">
        <v>46</v>
      </c>
      <c r="G1802">
        <v>-200.2294</v>
      </c>
      <c r="H1802" s="1">
        <v>-2.7243299999999999E-6</v>
      </c>
      <c r="I1802">
        <v>359.82909999999998</v>
      </c>
      <c r="J1802">
        <v>-204.5882</v>
      </c>
      <c r="K1802">
        <v>1.119731</v>
      </c>
      <c r="L1802">
        <v>365.59519999999998</v>
      </c>
      <c r="M1802">
        <v>0.94597520000000002</v>
      </c>
      <c r="N1802">
        <v>-1.3821740000000001E-2</v>
      </c>
      <c r="O1802">
        <v>-0.32394450000000002</v>
      </c>
      <c r="P1802">
        <v>0.74527469999999996</v>
      </c>
      <c r="Q1802">
        <v>9.8792400000000002E-2</v>
      </c>
      <c r="R1802">
        <v>-0.65939820000000005</v>
      </c>
      <c r="S1802">
        <v>1.8970640000000001</v>
      </c>
      <c r="T1802">
        <v>-0.47877340000000002</v>
      </c>
      <c r="U1802">
        <v>-2.4786679999999999</v>
      </c>
      <c r="V1802">
        <v>0.38288159999999999</v>
      </c>
      <c r="W1802">
        <v>0.1097574</v>
      </c>
      <c r="X1802">
        <v>0.91725400000000001</v>
      </c>
      <c r="Y1802">
        <v>0.55074690000000004</v>
      </c>
      <c r="Z1802">
        <v>-2.3085100000000002E-3</v>
      </c>
      <c r="AA1802">
        <v>0.834669199999999</v>
      </c>
      <c r="AB1802">
        <v>13</v>
      </c>
      <c r="AC1802">
        <v>4.3587999999999996</v>
      </c>
      <c r="AD1802">
        <v>-1.1197337243300001</v>
      </c>
      <c r="AE1802">
        <v>-5.76609999999999</v>
      </c>
      <c r="AF1802">
        <v>3.9482164855166602</v>
      </c>
      <c r="AG1802">
        <v>-1.1197337243300001</v>
      </c>
      <c r="AH1802">
        <v>5.8513662384106597</v>
      </c>
      <c r="AI1802">
        <v>99.0136736512016</v>
      </c>
      <c r="AJ1802">
        <v>55.990443678886997</v>
      </c>
      <c r="AK1802">
        <v>7.1470765971773202</v>
      </c>
      <c r="AL1802">
        <v>83.698668769450407</v>
      </c>
      <c r="AM1802">
        <v>67.343290750086197</v>
      </c>
      <c r="AN1802">
        <v>0.99999995349465798</v>
      </c>
    </row>
    <row r="1803" spans="1:40" x14ac:dyDescent="0.25">
      <c r="A1803" t="str">
        <f>"20190303161909443"</f>
        <v>20190303161909443</v>
      </c>
      <c r="B1803" t="str">
        <f>"1551601149434128"</f>
        <v>1551601149434128</v>
      </c>
      <c r="C1803" t="s">
        <v>40</v>
      </c>
      <c r="D1803">
        <v>5.3352380000000004</v>
      </c>
      <c r="E1803">
        <v>0.57815030000000001</v>
      </c>
      <c r="F1803" t="s">
        <v>46</v>
      </c>
      <c r="G1803">
        <v>-200.20310000000001</v>
      </c>
      <c r="H1803" s="1">
        <v>-2.7059100000000001E-6</v>
      </c>
      <c r="I1803">
        <v>359.85250000000002</v>
      </c>
      <c r="J1803">
        <v>-204.5112</v>
      </c>
      <c r="K1803">
        <v>1.119756</v>
      </c>
      <c r="L1803">
        <v>365.56459999999998</v>
      </c>
      <c r="M1803">
        <v>0.94482109999999997</v>
      </c>
      <c r="N1803">
        <v>-1.3815799999999901E-2</v>
      </c>
      <c r="O1803">
        <v>-0.32729570000000002</v>
      </c>
      <c r="P1803">
        <v>0.7441065</v>
      </c>
      <c r="Q1803">
        <v>0.1012692</v>
      </c>
      <c r="R1803">
        <v>-0.66034110000000001</v>
      </c>
      <c r="S1803">
        <v>1.894409</v>
      </c>
      <c r="T1803">
        <v>-0.48374010000000001</v>
      </c>
      <c r="U1803">
        <v>-2.4809269999999999</v>
      </c>
      <c r="V1803">
        <v>0.38090249999999998</v>
      </c>
      <c r="W1803">
        <v>0.1122605</v>
      </c>
      <c r="X1803">
        <v>0.91777500000000001</v>
      </c>
      <c r="Y1803">
        <v>0.54871709999999996</v>
      </c>
      <c r="Z1803">
        <v>-1.5035980000000001E-3</v>
      </c>
      <c r="AA1803">
        <v>0.83600680000000005</v>
      </c>
      <c r="AB1803">
        <v>13</v>
      </c>
      <c r="AC1803">
        <v>4.3080999999999898</v>
      </c>
      <c r="AD1803">
        <v>-1.11975870591</v>
      </c>
      <c r="AE1803">
        <v>-5.7120999999999604</v>
      </c>
      <c r="AF1803">
        <v>3.8919359881164999</v>
      </c>
      <c r="AG1803">
        <v>-1.11975870591</v>
      </c>
      <c r="AH1803">
        <v>5.7984608497729004</v>
      </c>
      <c r="AI1803">
        <v>99.109460891289402</v>
      </c>
      <c r="AJ1803">
        <v>56.130426156946697</v>
      </c>
      <c r="AK1803">
        <v>7.0727062374600802</v>
      </c>
      <c r="AL1803">
        <v>83.554360318357794</v>
      </c>
      <c r="AM1803">
        <v>67.460171952077999</v>
      </c>
      <c r="AN1803">
        <v>1.00000004249574</v>
      </c>
    </row>
    <row r="1804" spans="1:40" x14ac:dyDescent="0.25">
      <c r="A1804" t="str">
        <f>"20190303161909458"</f>
        <v>20190303161909458</v>
      </c>
      <c r="B1804" t="str">
        <f>"1551601149443888"</f>
        <v>1551601149443888</v>
      </c>
      <c r="C1804" t="s">
        <v>40</v>
      </c>
      <c r="D1804">
        <v>5.3168419999999896</v>
      </c>
      <c r="E1804">
        <v>0.57811179999999995</v>
      </c>
      <c r="F1804" t="s">
        <v>46</v>
      </c>
      <c r="G1804">
        <v>-200.0635</v>
      </c>
      <c r="H1804" s="1">
        <v>-2.6654809999999998E-6</v>
      </c>
      <c r="I1804">
        <v>359.71800000000002</v>
      </c>
      <c r="J1804">
        <v>-204.43700000000001</v>
      </c>
      <c r="K1804">
        <v>1.1197729999999999</v>
      </c>
      <c r="L1804">
        <v>365.53460000000001</v>
      </c>
      <c r="M1804">
        <v>0.94369999999999998</v>
      </c>
      <c r="N1804">
        <v>-1.3810100000000001E-2</v>
      </c>
      <c r="O1804">
        <v>-0.33051459999999999</v>
      </c>
      <c r="P1804">
        <v>0.74244650000000001</v>
      </c>
      <c r="Q1804">
        <v>0.1024072</v>
      </c>
      <c r="R1804">
        <v>-0.66203239999999997</v>
      </c>
      <c r="S1804">
        <v>1.8907929999999999</v>
      </c>
      <c r="T1804">
        <v>-0.47602680000000003</v>
      </c>
      <c r="U1804">
        <v>-2.485474</v>
      </c>
      <c r="V1804">
        <v>0.37991249999999999</v>
      </c>
      <c r="W1804">
        <v>0.11341469999999999</v>
      </c>
      <c r="X1804">
        <v>0.91804339999999995</v>
      </c>
      <c r="Y1804">
        <v>0.54752279999999998</v>
      </c>
      <c r="Z1804">
        <v>-9.9156799999999996E-4</v>
      </c>
      <c r="AA1804">
        <v>0.83679009999999998</v>
      </c>
      <c r="AB1804">
        <v>13</v>
      </c>
      <c r="AC1804">
        <v>4.3734999999999999</v>
      </c>
      <c r="AD1804">
        <v>-1.1197756654809901</v>
      </c>
      <c r="AE1804">
        <v>-5.8165999999999896</v>
      </c>
      <c r="AF1804">
        <v>3.95047280861594</v>
      </c>
      <c r="AG1804">
        <v>-1.1197756654809901</v>
      </c>
      <c r="AH1804">
        <v>5.9103840083166803</v>
      </c>
      <c r="AI1804">
        <v>98.951322761101693</v>
      </c>
      <c r="AJ1804">
        <v>56.241419226457602</v>
      </c>
      <c r="AK1804">
        <v>7.1967195358984899</v>
      </c>
      <c r="AL1804">
        <v>83.487804469624507</v>
      </c>
      <c r="AM1804">
        <v>67.518835275316704</v>
      </c>
      <c r="AN1804">
        <v>1.0000000430579401</v>
      </c>
    </row>
    <row r="1805" spans="1:40" x14ac:dyDescent="0.25">
      <c r="A1805" t="str">
        <f>"20190303161909470"</f>
        <v>20190303161909470</v>
      </c>
      <c r="B1805" t="str">
        <f>"1551601149464384"</f>
        <v>1551601149464384</v>
      </c>
      <c r="C1805" t="s">
        <v>40</v>
      </c>
      <c r="D1805">
        <v>5.2972830000000002</v>
      </c>
      <c r="E1805">
        <v>0.57786479999999996</v>
      </c>
      <c r="F1805" t="s">
        <v>46</v>
      </c>
      <c r="G1805">
        <v>-199.9691</v>
      </c>
      <c r="H1805" s="1">
        <v>-1.034372E-5</v>
      </c>
      <c r="I1805">
        <v>359.6343</v>
      </c>
      <c r="J1805">
        <v>-204.37459999999999</v>
      </c>
      <c r="K1805">
        <v>1.1197900000000001</v>
      </c>
      <c r="L1805">
        <v>365.50920000000002</v>
      </c>
      <c r="M1805">
        <v>0.94275070000000005</v>
      </c>
      <c r="N1805">
        <v>-1.3805400000000001E-2</v>
      </c>
      <c r="O1805">
        <v>-0.33321289999999998</v>
      </c>
      <c r="P1805">
        <v>0.74116669999999996</v>
      </c>
      <c r="Q1805">
        <v>0.1032787</v>
      </c>
      <c r="R1805">
        <v>-0.66332939999999996</v>
      </c>
      <c r="S1805">
        <v>1.885529</v>
      </c>
      <c r="T1805">
        <v>-0.47256959999999998</v>
      </c>
      <c r="U1805">
        <v>-2.490021</v>
      </c>
      <c r="V1805">
        <v>0.37893080000000001</v>
      </c>
      <c r="W1805">
        <v>0.1143001</v>
      </c>
      <c r="X1805">
        <v>0.91833920000000002</v>
      </c>
      <c r="Y1805">
        <v>0.54706460000000001</v>
      </c>
      <c r="Z1805">
        <v>-5.8151039999999995E-4</v>
      </c>
      <c r="AA1805">
        <v>0.83709020000000001</v>
      </c>
      <c r="AB1805">
        <v>13</v>
      </c>
      <c r="AC1805">
        <v>4.4054999999999804</v>
      </c>
      <c r="AD1805">
        <v>-1.1198003437199999</v>
      </c>
      <c r="AE1805">
        <v>-5.8749000000000198</v>
      </c>
      <c r="AF1805">
        <v>3.9784665054330701</v>
      </c>
      <c r="AG1805">
        <v>-1.1198003437199999</v>
      </c>
      <c r="AH1805">
        <v>5.9725726069474296</v>
      </c>
      <c r="AI1805">
        <v>98.868949633307196</v>
      </c>
      <c r="AJ1805">
        <v>56.331512951293803</v>
      </c>
      <c r="AK1805">
        <v>7.2631791999032398</v>
      </c>
      <c r="AL1805">
        <v>83.436742290057694</v>
      </c>
      <c r="AM1805">
        <v>67.577674280017007</v>
      </c>
      <c r="AN1805">
        <v>0.99999997515264405</v>
      </c>
    </row>
    <row r="1806" spans="1:40" x14ac:dyDescent="0.25">
      <c r="A1806" t="str">
        <f>"20190303161909481"</f>
        <v>20190303161909481</v>
      </c>
      <c r="B1806" t="str">
        <f>"1551601149474145"</f>
        <v>1551601149474145</v>
      </c>
      <c r="C1806" t="s">
        <v>40</v>
      </c>
      <c r="D1806">
        <v>5.3252819999999996</v>
      </c>
      <c r="E1806">
        <v>0.57796709999999996</v>
      </c>
      <c r="F1806" t="s">
        <v>46</v>
      </c>
      <c r="G1806">
        <v>-199.91030000000001</v>
      </c>
      <c r="H1806" s="1">
        <v>-6.8333899999999998E-6</v>
      </c>
      <c r="I1806">
        <v>359.59519999999998</v>
      </c>
      <c r="J1806">
        <v>-204.3107</v>
      </c>
      <c r="K1806">
        <v>1.119804</v>
      </c>
      <c r="L1806">
        <v>365.483</v>
      </c>
      <c r="M1806">
        <v>0.9417719</v>
      </c>
      <c r="N1806">
        <v>-1.3800659999999999E-2</v>
      </c>
      <c r="O1806">
        <v>-0.33596920000000002</v>
      </c>
      <c r="P1806">
        <v>0.73984939999999999</v>
      </c>
      <c r="Q1806">
        <v>0.10403279999999999</v>
      </c>
      <c r="R1806">
        <v>-0.66468039999999995</v>
      </c>
      <c r="S1806">
        <v>1.882034</v>
      </c>
      <c r="T1806">
        <v>-0.47207710000000003</v>
      </c>
      <c r="U1806">
        <v>-2.4932249999999998</v>
      </c>
      <c r="V1806">
        <v>0.37795420000000002</v>
      </c>
      <c r="W1806">
        <v>0.1150679</v>
      </c>
      <c r="X1806">
        <v>0.91864570000000001</v>
      </c>
      <c r="Y1806">
        <v>0.545929</v>
      </c>
      <c r="Z1806" s="1">
        <v>-4.9263240000000002E-5</v>
      </c>
      <c r="AA1806">
        <v>0.83783149999999995</v>
      </c>
      <c r="AB1806">
        <v>13</v>
      </c>
      <c r="AC1806">
        <v>4.4003999999999897</v>
      </c>
      <c r="AD1806">
        <v>-1.1198108333900001</v>
      </c>
      <c r="AE1806">
        <v>-5.8878000000000199</v>
      </c>
      <c r="AF1806">
        <v>3.97470392576091</v>
      </c>
      <c r="AG1806">
        <v>-1.1198108333900001</v>
      </c>
      <c r="AH1806">
        <v>5.9839928275174703</v>
      </c>
      <c r="AI1806">
        <v>98.860010172761704</v>
      </c>
      <c r="AJ1806">
        <v>56.406984639083497</v>
      </c>
      <c r="AK1806">
        <v>7.2705170214928598</v>
      </c>
      <c r="AL1806">
        <v>83.392458307131804</v>
      </c>
      <c r="AM1806">
        <v>67.636488032560194</v>
      </c>
      <c r="AN1806">
        <v>0.999999960518269</v>
      </c>
    </row>
    <row r="1807" spans="1:40" x14ac:dyDescent="0.25">
      <c r="A1807" t="str">
        <f>"20190303161909493"</f>
        <v>20190303161909493</v>
      </c>
      <c r="B1807" t="str">
        <f>"1551601149483903"</f>
        <v>1551601149483903</v>
      </c>
      <c r="C1807" t="s">
        <v>40</v>
      </c>
      <c r="D1807">
        <v>5.3132780000000004</v>
      </c>
      <c r="E1807">
        <v>0.57801759999999902</v>
      </c>
      <c r="F1807" t="s">
        <v>46</v>
      </c>
      <c r="G1807">
        <v>-199.82509999999999</v>
      </c>
      <c r="H1807" s="1">
        <v>-6.7923080000000004E-6</v>
      </c>
      <c r="I1807">
        <v>359.51220000000001</v>
      </c>
      <c r="J1807">
        <v>-204.2467</v>
      </c>
      <c r="K1807">
        <v>1.1198170000000001</v>
      </c>
      <c r="L1807">
        <v>365.45659999999998</v>
      </c>
      <c r="M1807">
        <v>0.94078410000000001</v>
      </c>
      <c r="N1807">
        <v>-1.379611E-2</v>
      </c>
      <c r="O1807">
        <v>-0.33872590000000002</v>
      </c>
      <c r="P1807">
        <v>0.73868500000000004</v>
      </c>
      <c r="Q1807">
        <v>0.104727</v>
      </c>
      <c r="R1807">
        <v>-0.66586610000000002</v>
      </c>
      <c r="S1807">
        <v>1.8766020000000001</v>
      </c>
      <c r="T1807">
        <v>-0.46847870000000003</v>
      </c>
      <c r="U1807">
        <v>-2.497925</v>
      </c>
      <c r="V1807">
        <v>0.3767684</v>
      </c>
      <c r="W1807">
        <v>0.115776</v>
      </c>
      <c r="X1807">
        <v>0.91904379999999997</v>
      </c>
      <c r="Y1807">
        <v>0.54547270000000003</v>
      </c>
      <c r="Z1807">
        <v>3.5519529999999998E-4</v>
      </c>
      <c r="AA1807">
        <v>0.83812849999999905</v>
      </c>
      <c r="AB1807">
        <v>13</v>
      </c>
      <c r="AC1807">
        <v>4.4216000000000104</v>
      </c>
      <c r="AD1807">
        <v>-1.1198237923080001</v>
      </c>
      <c r="AE1807">
        <v>-5.9443999999999697</v>
      </c>
      <c r="AF1807">
        <v>4.0036042689499602</v>
      </c>
      <c r="AG1807">
        <v>-1.1198237923080001</v>
      </c>
      <c r="AH1807">
        <v>6.0359743499815099</v>
      </c>
      <c r="AI1807">
        <v>98.788718915520903</v>
      </c>
      <c r="AJ1807">
        <v>56.444062460747503</v>
      </c>
      <c r="AK1807">
        <v>7.3291090059984896</v>
      </c>
      <c r="AL1807">
        <v>83.351614499795403</v>
      </c>
      <c r="AM1807">
        <v>67.708482127366807</v>
      </c>
      <c r="AN1807">
        <v>1.0000000078664999</v>
      </c>
    </row>
    <row r="1808" spans="1:40" x14ac:dyDescent="0.25">
      <c r="A1808" t="str">
        <f>"20190303161909506"</f>
        <v>20190303161909506</v>
      </c>
      <c r="B1808" t="str">
        <f>"1551601149494640"</f>
        <v>1551601149494640</v>
      </c>
      <c r="C1808" t="s">
        <v>40</v>
      </c>
      <c r="D1808">
        <v>5.3314199999999996</v>
      </c>
      <c r="E1808">
        <v>0.57838279999999997</v>
      </c>
      <c r="F1808" t="s">
        <v>46</v>
      </c>
      <c r="G1808">
        <v>-199.74709999999999</v>
      </c>
      <c r="H1808" s="1">
        <v>-6.7569800000000001E-6</v>
      </c>
      <c r="I1808">
        <v>359.44299999999998</v>
      </c>
      <c r="J1808">
        <v>-204.1833</v>
      </c>
      <c r="K1808">
        <v>1.1198250000000001</v>
      </c>
      <c r="L1808">
        <v>365.43020000000001</v>
      </c>
      <c r="M1808">
        <v>0.93979820000000003</v>
      </c>
      <c r="N1808">
        <v>-1.379172E-2</v>
      </c>
      <c r="O1808">
        <v>-0.34145189999999997</v>
      </c>
      <c r="P1808">
        <v>0.73735859999999998</v>
      </c>
      <c r="Q1808">
        <v>0.1052342</v>
      </c>
      <c r="R1808">
        <v>-0.66725459999999903</v>
      </c>
      <c r="S1808">
        <v>1.872055</v>
      </c>
      <c r="T1808">
        <v>-0.4659008</v>
      </c>
      <c r="U1808">
        <v>-2.5019230000000001</v>
      </c>
      <c r="V1808">
        <v>0.37585629999999998</v>
      </c>
      <c r="W1808">
        <v>0.1162932</v>
      </c>
      <c r="X1808">
        <v>0.9193519</v>
      </c>
      <c r="Y1808">
        <v>0.54472799999999999</v>
      </c>
      <c r="Z1808">
        <v>7.9632550000000002E-4</v>
      </c>
      <c r="AA1808">
        <v>0.83861239999999904</v>
      </c>
      <c r="AB1808">
        <v>13</v>
      </c>
      <c r="AC1808">
        <v>4.4362000000000101</v>
      </c>
      <c r="AD1808">
        <v>-1.11983175698</v>
      </c>
      <c r="AE1808">
        <v>-5.9871999999999703</v>
      </c>
      <c r="AF1808">
        <v>4.0215771201629904</v>
      </c>
      <c r="AG1808">
        <v>-1.11983175698</v>
      </c>
      <c r="AH1808">
        <v>6.0768232510176698</v>
      </c>
      <c r="AI1808">
        <v>98.736557928363297</v>
      </c>
      <c r="AJ1808">
        <v>56.503831987015502</v>
      </c>
      <c r="AK1808">
        <v>7.3725766541602198</v>
      </c>
      <c r="AL1808">
        <v>83.321779481880398</v>
      </c>
      <c r="AM1808">
        <v>67.763908177590395</v>
      </c>
      <c r="AN1808">
        <v>0.99999999132477002</v>
      </c>
    </row>
    <row r="1809" spans="1:40" x14ac:dyDescent="0.25">
      <c r="A1809" t="str">
        <f>"20190303161909518"</f>
        <v>20190303161909518</v>
      </c>
      <c r="B1809" t="str">
        <f>"1551601149514159"</f>
        <v>1551601149514159</v>
      </c>
      <c r="C1809" t="s">
        <v>40</v>
      </c>
      <c r="D1809">
        <v>5.3468039999999997</v>
      </c>
      <c r="E1809">
        <v>0.57887390000000005</v>
      </c>
      <c r="F1809" t="s">
        <v>46</v>
      </c>
      <c r="G1809">
        <v>-199.6174</v>
      </c>
      <c r="H1809" s="1">
        <v>-6.6848849999999999E-6</v>
      </c>
      <c r="I1809">
        <v>359.28820000000002</v>
      </c>
      <c r="J1809">
        <v>-204.11770000000001</v>
      </c>
      <c r="K1809">
        <v>1.1198300000000001</v>
      </c>
      <c r="L1809">
        <v>365.40260000000001</v>
      </c>
      <c r="M1809">
        <v>0.93876890000000002</v>
      </c>
      <c r="N1809">
        <v>-1.3787590000000001E-2</v>
      </c>
      <c r="O1809">
        <v>-0.34427160000000001</v>
      </c>
      <c r="P1809">
        <v>0.73574390000000001</v>
      </c>
      <c r="Q1809">
        <v>0.1057138</v>
      </c>
      <c r="R1809">
        <v>-0.66895869999999902</v>
      </c>
      <c r="S1809">
        <v>1.8643339999999999</v>
      </c>
      <c r="T1809">
        <v>-0.45724579999999998</v>
      </c>
      <c r="U1809">
        <v>-2.5079039999999999</v>
      </c>
      <c r="V1809">
        <v>0.37524689999999999</v>
      </c>
      <c r="W1809">
        <v>0.1167791</v>
      </c>
      <c r="X1809">
        <v>0.9195392</v>
      </c>
      <c r="Y1809">
        <v>0.54495280000000001</v>
      </c>
      <c r="Z1809">
        <v>1.0250470000000001E-3</v>
      </c>
      <c r="AA1809">
        <v>0.83846620000000005</v>
      </c>
      <c r="AB1809">
        <v>13</v>
      </c>
      <c r="AC1809">
        <v>4.50030000000001</v>
      </c>
      <c r="AD1809">
        <v>-1.1198366848850001</v>
      </c>
      <c r="AE1809">
        <v>-6.1143999999999803</v>
      </c>
      <c r="AF1809">
        <v>4.1018382040679802</v>
      </c>
      <c r="AG1809">
        <v>-1.1198366848850001</v>
      </c>
      <c r="AH1809">
        <v>6.1955615075855199</v>
      </c>
      <c r="AI1809">
        <v>98.5706146384817</v>
      </c>
      <c r="AJ1809">
        <v>56.493020096406198</v>
      </c>
      <c r="AK1809">
        <v>7.5142593279338703</v>
      </c>
      <c r="AL1809">
        <v>83.2937483091915</v>
      </c>
      <c r="AM1809">
        <v>67.8005392958746</v>
      </c>
      <c r="AN1809">
        <v>0.99999996724652895</v>
      </c>
    </row>
    <row r="1810" spans="1:40" x14ac:dyDescent="0.25">
      <c r="A1810" t="str">
        <f>"20190303161909533"</f>
        <v>20190303161909533</v>
      </c>
      <c r="B1810" t="str">
        <f>"1551601149523920"</f>
        <v>1551601149523920</v>
      </c>
      <c r="C1810" t="s">
        <v>40</v>
      </c>
      <c r="D1810">
        <v>5.3143659999999997</v>
      </c>
      <c r="E1810">
        <v>0.57888269999999997</v>
      </c>
      <c r="F1810" t="s">
        <v>46</v>
      </c>
      <c r="G1810">
        <v>-199.45320000000001</v>
      </c>
      <c r="H1810" s="1">
        <v>-6.5882849999999999E-6</v>
      </c>
      <c r="I1810">
        <v>359.07619999999997</v>
      </c>
      <c r="J1810">
        <v>-204.03989999999999</v>
      </c>
      <c r="K1810">
        <v>1.1198380000000001</v>
      </c>
      <c r="L1810">
        <v>365.36970000000002</v>
      </c>
      <c r="M1810">
        <v>0.93753699999999995</v>
      </c>
      <c r="N1810">
        <v>-1.378301E-2</v>
      </c>
      <c r="O1810">
        <v>-0.34761320000000001</v>
      </c>
      <c r="P1810">
        <v>0.73453859999999904</v>
      </c>
      <c r="Q1810">
        <v>0.106003</v>
      </c>
      <c r="R1810">
        <v>-0.67023699999999997</v>
      </c>
      <c r="S1810">
        <v>1.8545069999999999</v>
      </c>
      <c r="T1810">
        <v>-0.44522440000000002</v>
      </c>
      <c r="U1810">
        <v>-2.5152589999999999</v>
      </c>
      <c r="V1810">
        <v>0.37358140000000001</v>
      </c>
      <c r="W1810">
        <v>0.1170831</v>
      </c>
      <c r="X1810">
        <v>0.92017850000000001</v>
      </c>
      <c r="Y1810">
        <v>0.54541580000000001</v>
      </c>
      <c r="Z1810">
        <v>1.2183490000000001E-3</v>
      </c>
      <c r="AA1810">
        <v>0.83816469999999899</v>
      </c>
      <c r="AB1810">
        <v>13</v>
      </c>
      <c r="AC1810">
        <v>4.5866999999999702</v>
      </c>
      <c r="AD1810">
        <v>-1.1198445882850001</v>
      </c>
      <c r="AE1810">
        <v>-6.2935000000000496</v>
      </c>
      <c r="AF1810">
        <v>4.2191548489505504</v>
      </c>
      <c r="AG1810">
        <v>-1.1198445882850001</v>
      </c>
      <c r="AH1810">
        <v>6.3570662798328899</v>
      </c>
      <c r="AI1810">
        <v>98.349846311599293</v>
      </c>
      <c r="AJ1810">
        <v>56.427958332996702</v>
      </c>
      <c r="AK1810">
        <v>7.7115245721920997</v>
      </c>
      <c r="AL1810">
        <v>83.276210255797096</v>
      </c>
      <c r="AM1810">
        <v>67.903439346653499</v>
      </c>
      <c r="AN1810">
        <v>0.99999999329690903</v>
      </c>
    </row>
    <row r="1811" spans="1:40" x14ac:dyDescent="0.25">
      <c r="A1811" t="str">
        <f>"20190303161909546"</f>
        <v>20190303161909546</v>
      </c>
      <c r="B1811" t="str">
        <f>"1551601149534655"</f>
        <v>1551601149534655</v>
      </c>
      <c r="C1811" t="s">
        <v>40</v>
      </c>
      <c r="D1811">
        <v>5.3190689999999998</v>
      </c>
      <c r="E1811">
        <v>0.57875209999999999</v>
      </c>
      <c r="F1811" t="s">
        <v>46</v>
      </c>
      <c r="G1811">
        <v>-199.38</v>
      </c>
      <c r="H1811" s="1">
        <v>-6.5595380000000002E-6</v>
      </c>
      <c r="I1811">
        <v>359.02449999999999</v>
      </c>
      <c r="J1811">
        <v>-203.97479999999999</v>
      </c>
      <c r="K1811">
        <v>1.1198410000000001</v>
      </c>
      <c r="L1811">
        <v>365.34190000000001</v>
      </c>
      <c r="M1811">
        <v>0.93649629999999995</v>
      </c>
      <c r="N1811">
        <v>-1.377943E-2</v>
      </c>
      <c r="O1811">
        <v>-0.35040719999999997</v>
      </c>
      <c r="P1811">
        <v>0.73310350000000002</v>
      </c>
      <c r="Q1811">
        <v>0.106295</v>
      </c>
      <c r="R1811">
        <v>-0.67176000000000002</v>
      </c>
      <c r="S1811">
        <v>1.849915</v>
      </c>
      <c r="T1811">
        <v>-0.44456269999999998</v>
      </c>
      <c r="U1811">
        <v>-2.5189509999999999</v>
      </c>
      <c r="V1811">
        <v>0.37276160000000003</v>
      </c>
      <c r="W1811">
        <v>0.1173815</v>
      </c>
      <c r="X1811">
        <v>0.92047290000000004</v>
      </c>
      <c r="Y1811">
        <v>0.54453680000000004</v>
      </c>
      <c r="Z1811">
        <v>1.6935769999999999E-3</v>
      </c>
      <c r="AA1811">
        <v>0.83873529999999996</v>
      </c>
      <c r="AB1811">
        <v>13</v>
      </c>
      <c r="AC1811">
        <v>4.5947999999999896</v>
      </c>
      <c r="AD1811">
        <v>-1.119847559538</v>
      </c>
      <c r="AE1811">
        <v>-6.3174000000000197</v>
      </c>
      <c r="AF1811">
        <v>4.2198563982013404</v>
      </c>
      <c r="AG1811">
        <v>-1.119847559538</v>
      </c>
      <c r="AH1811">
        <v>6.3860532203862803</v>
      </c>
      <c r="AI1811">
        <v>98.323457556904103</v>
      </c>
      <c r="AJ1811">
        <v>56.543569089126301</v>
      </c>
      <c r="AK1811">
        <v>7.7358207264420296</v>
      </c>
      <c r="AL1811">
        <v>83.258994484057595</v>
      </c>
      <c r="AM1811">
        <v>67.953652761740599</v>
      </c>
      <c r="AN1811">
        <v>0.99999999330560996</v>
      </c>
    </row>
    <row r="1812" spans="1:40" x14ac:dyDescent="0.25">
      <c r="A1812" t="str">
        <f>"20190303161909558"</f>
        <v>20190303161909558</v>
      </c>
      <c r="B1812" t="str">
        <f>"1551601149554175"</f>
        <v>1551601149554175</v>
      </c>
      <c r="C1812" t="s">
        <v>40</v>
      </c>
      <c r="D1812">
        <v>5.3834269999999904</v>
      </c>
      <c r="E1812">
        <v>0.57871459999999997</v>
      </c>
      <c r="F1812" t="s">
        <v>46</v>
      </c>
      <c r="G1812">
        <v>-199.333</v>
      </c>
      <c r="H1812" s="1">
        <v>-6.5434580000000002E-6</v>
      </c>
      <c r="I1812">
        <v>358.9984</v>
      </c>
      <c r="J1812">
        <v>-203.91159999999999</v>
      </c>
      <c r="K1812">
        <v>1.1198410000000001</v>
      </c>
      <c r="L1812">
        <v>365.31459999999998</v>
      </c>
      <c r="M1812">
        <v>0.93547610000000003</v>
      </c>
      <c r="N1812">
        <v>-1.377634E-2</v>
      </c>
      <c r="O1812">
        <v>-0.35312179999999999</v>
      </c>
      <c r="P1812">
        <v>0.73167990000000005</v>
      </c>
      <c r="Q1812">
        <v>0.1063876</v>
      </c>
      <c r="R1812">
        <v>-0.67329559999999999</v>
      </c>
      <c r="S1812">
        <v>1.845596</v>
      </c>
      <c r="T1812">
        <v>-0.4452527</v>
      </c>
      <c r="U1812">
        <v>-2.522186</v>
      </c>
      <c r="V1812">
        <v>0.37202560000000001</v>
      </c>
      <c r="W1812">
        <v>0.1174781</v>
      </c>
      <c r="X1812">
        <v>0.92075830000000003</v>
      </c>
      <c r="Y1812">
        <v>0.54357809999999995</v>
      </c>
      <c r="Z1812">
        <v>2.1964269999999999E-3</v>
      </c>
      <c r="AA1812">
        <v>0.83935569999999904</v>
      </c>
      <c r="AB1812">
        <v>12</v>
      </c>
      <c r="AC1812">
        <v>4.57859999999999</v>
      </c>
      <c r="AD1812">
        <v>-1.119847543458</v>
      </c>
      <c r="AE1812">
        <v>-6.3161999999999798</v>
      </c>
      <c r="AF1812">
        <v>4.20559545581024</v>
      </c>
      <c r="AG1812">
        <v>-1.119847543458</v>
      </c>
      <c r="AH1812">
        <v>6.3826529243999399</v>
      </c>
      <c r="AI1812">
        <v>98.334937353990696</v>
      </c>
      <c r="AJ1812">
        <v>56.618703142818497</v>
      </c>
      <c r="AK1812">
        <v>7.7252410973297003</v>
      </c>
      <c r="AL1812">
        <v>83.253421189639994</v>
      </c>
      <c r="AM1812">
        <v>67.999192284193697</v>
      </c>
      <c r="AN1812">
        <v>0.99999999902693004</v>
      </c>
    </row>
    <row r="1813" spans="1:40" x14ac:dyDescent="0.25">
      <c r="A1813" t="str">
        <f>"20190303161909570"</f>
        <v>20190303161909570</v>
      </c>
      <c r="B1813" t="str">
        <f>"1551601149563935"</f>
        <v>1551601149563935</v>
      </c>
      <c r="C1813" t="s">
        <v>40</v>
      </c>
      <c r="D1813">
        <v>5.3830349999999996</v>
      </c>
      <c r="E1813">
        <v>0.57870959999999905</v>
      </c>
      <c r="F1813" t="s">
        <v>46</v>
      </c>
      <c r="G1813">
        <v>-199.3038</v>
      </c>
      <c r="H1813" s="1">
        <v>-6.5364739999999997E-6</v>
      </c>
      <c r="I1813">
        <v>358.99110000000002</v>
      </c>
      <c r="J1813">
        <v>-203.8459</v>
      </c>
      <c r="K1813">
        <v>1.1198410000000001</v>
      </c>
      <c r="L1813">
        <v>365.28609999999998</v>
      </c>
      <c r="M1813">
        <v>0.93440599999999996</v>
      </c>
      <c r="N1813">
        <v>-1.377331E-2</v>
      </c>
      <c r="O1813">
        <v>-0.35594350000000002</v>
      </c>
      <c r="P1813">
        <v>0.73032159999999902</v>
      </c>
      <c r="Q1813">
        <v>0.106432</v>
      </c>
      <c r="R1813">
        <v>-0.6747611</v>
      </c>
      <c r="S1813">
        <v>1.8406979999999999</v>
      </c>
      <c r="T1813">
        <v>-0.4473509</v>
      </c>
      <c r="U1813">
        <v>-2.526062</v>
      </c>
      <c r="V1813">
        <v>0.37109370000000003</v>
      </c>
      <c r="W1813">
        <v>0.1175288</v>
      </c>
      <c r="X1813">
        <v>0.9211279</v>
      </c>
      <c r="Y1813">
        <v>0.5427324</v>
      </c>
      <c r="Z1813">
        <v>2.740901E-3</v>
      </c>
      <c r="AA1813">
        <v>0.83990119999999902</v>
      </c>
      <c r="AB1813">
        <v>12</v>
      </c>
      <c r="AC1813">
        <v>4.5420999999999996</v>
      </c>
      <c r="AD1813">
        <v>-1.1198475364739999</v>
      </c>
      <c r="AE1813">
        <v>-6.2949999999999502</v>
      </c>
      <c r="AF1813">
        <v>4.1787920156983196</v>
      </c>
      <c r="AG1813">
        <v>-1.1198475364739999</v>
      </c>
      <c r="AH1813">
        <v>6.3532241455897802</v>
      </c>
      <c r="AI1813">
        <v>98.377423722253894</v>
      </c>
      <c r="AJ1813">
        <v>56.665339909799499</v>
      </c>
      <c r="AK1813">
        <v>7.6863397179357102</v>
      </c>
      <c r="AL1813">
        <v>83.250496582522103</v>
      </c>
      <c r="AM1813">
        <v>68.057032004037296</v>
      </c>
      <c r="AN1813">
        <v>1.0000000805837601</v>
      </c>
    </row>
    <row r="1814" spans="1:40" x14ac:dyDescent="0.25">
      <c r="A1814" t="str">
        <f>"20190303161909582"</f>
        <v>20190303161909582</v>
      </c>
      <c r="B1814" t="str">
        <f>"1551601149574671"</f>
        <v>1551601149574671</v>
      </c>
      <c r="C1814" t="s">
        <v>40</v>
      </c>
      <c r="D1814">
        <v>5.3311109999999999</v>
      </c>
      <c r="E1814">
        <v>0.57869890000000002</v>
      </c>
      <c r="F1814" t="s">
        <v>46</v>
      </c>
      <c r="G1814">
        <v>-199.26009999999999</v>
      </c>
      <c r="H1814" s="1">
        <v>-6.5204479999999999E-6</v>
      </c>
      <c r="I1814">
        <v>358.96370000000002</v>
      </c>
      <c r="J1814">
        <v>-203.7834</v>
      </c>
      <c r="K1814">
        <v>1.119842</v>
      </c>
      <c r="L1814">
        <v>365.25869999999998</v>
      </c>
      <c r="M1814">
        <v>0.93337800000000004</v>
      </c>
      <c r="N1814">
        <v>-1.3770630000000001E-2</v>
      </c>
      <c r="O1814">
        <v>-0.35863070000000002</v>
      </c>
      <c r="P1814">
        <v>0.72892190000000001</v>
      </c>
      <c r="Q1814">
        <v>0.10630199999999999</v>
      </c>
      <c r="R1814">
        <v>-0.67629340000000004</v>
      </c>
      <c r="S1814">
        <v>1.835297</v>
      </c>
      <c r="T1814">
        <v>-0.44817210000000002</v>
      </c>
      <c r="U1814">
        <v>-2.5302730000000002</v>
      </c>
      <c r="V1814">
        <v>0.37036940000000002</v>
      </c>
      <c r="W1814">
        <v>0.1174033</v>
      </c>
      <c r="X1814">
        <v>0.92143529999999996</v>
      </c>
      <c r="Y1814">
        <v>0.54217579999999999</v>
      </c>
      <c r="Z1814">
        <v>3.2092409999999998E-3</v>
      </c>
      <c r="AA1814">
        <v>0.84025899999999998</v>
      </c>
      <c r="AB1814">
        <v>12</v>
      </c>
      <c r="AC1814">
        <v>4.5232999999999999</v>
      </c>
      <c r="AD1814">
        <v>-1.119848520448</v>
      </c>
      <c r="AE1814">
        <v>-6.2949999999999502</v>
      </c>
      <c r="AF1814">
        <v>4.1668583301045397</v>
      </c>
      <c r="AG1814">
        <v>-1.119848520448</v>
      </c>
      <c r="AH1814">
        <v>6.34766318826206</v>
      </c>
      <c r="AI1814">
        <v>98.389612962508295</v>
      </c>
      <c r="AJ1814">
        <v>56.717514166709599</v>
      </c>
      <c r="AK1814">
        <v>7.6752587580829097</v>
      </c>
      <c r="AL1814">
        <v>83.257736918277999</v>
      </c>
      <c r="AM1814">
        <v>68.102420450477695</v>
      </c>
      <c r="AN1814">
        <v>1.0000000196966601</v>
      </c>
    </row>
    <row r="1815" spans="1:40" x14ac:dyDescent="0.25">
      <c r="A1815" t="str">
        <f>"20190303161909596"</f>
        <v>20190303161909596</v>
      </c>
      <c r="B1815" t="str">
        <f>"1551601149584431"</f>
        <v>1551601149584431</v>
      </c>
      <c r="C1815" t="s">
        <v>40</v>
      </c>
      <c r="D1815">
        <v>5.3620130000000001</v>
      </c>
      <c r="E1815">
        <v>0.57867990000000002</v>
      </c>
      <c r="F1815" t="s">
        <v>46</v>
      </c>
      <c r="G1815">
        <v>-199.22020000000001</v>
      </c>
      <c r="H1815" s="1">
        <v>-6.5057960000000003E-6</v>
      </c>
      <c r="I1815">
        <v>358.93849999999998</v>
      </c>
      <c r="J1815">
        <v>-203.71430000000001</v>
      </c>
      <c r="K1815">
        <v>1.1198410000000001</v>
      </c>
      <c r="L1815">
        <v>365.22809999999998</v>
      </c>
      <c r="M1815">
        <v>0.93222950000000004</v>
      </c>
      <c r="N1815">
        <v>-1.3767980000000001E-2</v>
      </c>
      <c r="O1815">
        <v>-0.36160540000000002</v>
      </c>
      <c r="P1815">
        <v>0.72726780000000002</v>
      </c>
      <c r="Q1815">
        <v>0.10612199999999999</v>
      </c>
      <c r="R1815">
        <v>-0.67810049999999999</v>
      </c>
      <c r="S1815">
        <v>1.8298030000000001</v>
      </c>
      <c r="T1815">
        <v>-0.44904830000000001</v>
      </c>
      <c r="U1815">
        <v>-2.534332</v>
      </c>
      <c r="V1815">
        <v>0.36970619999999998</v>
      </c>
      <c r="W1815">
        <v>0.1172271</v>
      </c>
      <c r="X1815">
        <v>0.92172399999999999</v>
      </c>
      <c r="Y1815">
        <v>0.54135730000000004</v>
      </c>
      <c r="Z1815">
        <v>3.7486329999999999E-3</v>
      </c>
      <c r="AA1815">
        <v>0.84078430000000004</v>
      </c>
      <c r="AB1815">
        <v>12</v>
      </c>
      <c r="AC1815">
        <v>4.4941000000000004</v>
      </c>
      <c r="AD1815">
        <v>-1.119847505796</v>
      </c>
      <c r="AE1815">
        <v>-6.2896000000000001</v>
      </c>
      <c r="AF1815">
        <v>4.1515364181654597</v>
      </c>
      <c r="AG1815">
        <v>-1.119847505796</v>
      </c>
      <c r="AH1815">
        <v>6.3316216662528504</v>
      </c>
      <c r="AI1815">
        <v>98.413435348319595</v>
      </c>
      <c r="AJ1815">
        <v>56.747827067331798</v>
      </c>
      <c r="AK1815">
        <v>7.6536753257604397</v>
      </c>
      <c r="AL1815">
        <v>83.267902496419197</v>
      </c>
      <c r="AM1815">
        <v>68.1441341570318</v>
      </c>
      <c r="AN1815">
        <v>0.99999999973442499</v>
      </c>
    </row>
    <row r="1816" spans="1:40" x14ac:dyDescent="0.25">
      <c r="A1816" t="str">
        <f>"20190303161909611"</f>
        <v>20190303161909611</v>
      </c>
      <c r="B1816" t="str">
        <f>"1551601149603953"</f>
        <v>1551601149603953</v>
      </c>
      <c r="C1816" t="s">
        <v>40</v>
      </c>
      <c r="D1816">
        <v>5.3722500000000002</v>
      </c>
      <c r="E1816">
        <v>0.57883629999999997</v>
      </c>
      <c r="F1816" t="s">
        <v>46</v>
      </c>
      <c r="G1816">
        <v>-199.17830000000001</v>
      </c>
      <c r="H1816" s="1">
        <v>-6.4908450000000004E-6</v>
      </c>
      <c r="I1816">
        <v>358.91340000000002</v>
      </c>
      <c r="J1816">
        <v>-203.6353</v>
      </c>
      <c r="K1816">
        <v>1.119837</v>
      </c>
      <c r="L1816">
        <v>365.19290000000001</v>
      </c>
      <c r="M1816">
        <v>0.93090309999999998</v>
      </c>
      <c r="N1816">
        <v>-1.3765110000000001E-2</v>
      </c>
      <c r="O1816">
        <v>-0.36500680000000002</v>
      </c>
      <c r="P1816">
        <v>0.72548840000000003</v>
      </c>
      <c r="Q1816">
        <v>0.1059831</v>
      </c>
      <c r="R1816">
        <v>-0.6800252</v>
      </c>
      <c r="S1816">
        <v>1.8236239999999999</v>
      </c>
      <c r="T1816">
        <v>-0.45021870000000003</v>
      </c>
      <c r="U1816">
        <v>-2.5387569999999999</v>
      </c>
      <c r="V1816">
        <v>0.36877379999999998</v>
      </c>
      <c r="W1816">
        <v>0.1170945</v>
      </c>
      <c r="X1816">
        <v>0.92211430000000005</v>
      </c>
      <c r="Y1816">
        <v>0.54035949999999999</v>
      </c>
      <c r="Z1816">
        <v>4.379272E-3</v>
      </c>
      <c r="AA1816">
        <v>0.84142289999999997</v>
      </c>
      <c r="AB1816">
        <v>12</v>
      </c>
      <c r="AC1816">
        <v>4.4569999999999901</v>
      </c>
      <c r="AD1816">
        <v>-1.1198434908449999</v>
      </c>
      <c r="AE1816">
        <v>-6.2794999999999801</v>
      </c>
      <c r="AF1816">
        <v>4.1317887418113601</v>
      </c>
      <c r="AG1816">
        <v>-1.1198434908449999</v>
      </c>
      <c r="AH1816">
        <v>6.3082938025348501</v>
      </c>
      <c r="AI1816">
        <v>98.446763411958202</v>
      </c>
      <c r="AJ1816">
        <v>56.776114530879802</v>
      </c>
      <c r="AK1816">
        <v>7.6236669884017498</v>
      </c>
      <c r="AL1816">
        <v>83.275552671942606</v>
      </c>
      <c r="AM1816">
        <v>68.202443001204401</v>
      </c>
      <c r="AN1816">
        <v>1.0000000098805899</v>
      </c>
    </row>
    <row r="1817" spans="1:40" x14ac:dyDescent="0.25">
      <c r="A1817" t="str">
        <f>"20190303161909624"</f>
        <v>20190303161909624</v>
      </c>
      <c r="B1817" t="str">
        <f>"1551601149614687"</f>
        <v>1551601149614687</v>
      </c>
      <c r="C1817" t="s">
        <v>40</v>
      </c>
      <c r="D1817">
        <v>5.3818049999999999</v>
      </c>
      <c r="E1817">
        <v>0.57882959999999894</v>
      </c>
      <c r="F1817" t="s">
        <v>46</v>
      </c>
      <c r="G1817">
        <v>-199.10130000000001</v>
      </c>
      <c r="H1817" s="1">
        <v>-6.4548289999999998E-6</v>
      </c>
      <c r="I1817">
        <v>358.8417</v>
      </c>
      <c r="J1817">
        <v>-203.56559999999999</v>
      </c>
      <c r="K1817">
        <v>1.1198399999999999</v>
      </c>
      <c r="L1817">
        <v>365.16160000000002</v>
      </c>
      <c r="M1817">
        <v>0.92971809999999999</v>
      </c>
      <c r="N1817">
        <v>-1.3762669999999999E-2</v>
      </c>
      <c r="O1817">
        <v>-0.36801509999999998</v>
      </c>
      <c r="P1817">
        <v>0.72462859999999996</v>
      </c>
      <c r="Q1817">
        <v>0.10567169999999999</v>
      </c>
      <c r="R1817">
        <v>-0.68098990000000004</v>
      </c>
      <c r="S1817">
        <v>1.8161160000000001</v>
      </c>
      <c r="T1817">
        <v>-0.44855499999999998</v>
      </c>
      <c r="U1817">
        <v>-2.5439759999999998</v>
      </c>
      <c r="V1817">
        <v>0.36699730000000003</v>
      </c>
      <c r="W1817">
        <v>0.116799</v>
      </c>
      <c r="X1817">
        <v>0.92286020000000002</v>
      </c>
      <c r="Y1817">
        <v>0.5401435</v>
      </c>
      <c r="Z1817">
        <v>4.7962739999999997E-3</v>
      </c>
      <c r="AA1817">
        <v>0.84155919999999895</v>
      </c>
      <c r="AB1817">
        <v>12</v>
      </c>
      <c r="AC1817">
        <v>4.4642999999999802</v>
      </c>
      <c r="AD1817">
        <v>-1.1198464548289999</v>
      </c>
      <c r="AE1817">
        <v>-6.3199000000000103</v>
      </c>
      <c r="AF1817">
        <v>4.1463468721804304</v>
      </c>
      <c r="AG1817">
        <v>-1.1198464548289999</v>
      </c>
      <c r="AH1817">
        <v>6.3440888623164096</v>
      </c>
      <c r="AI1817">
        <v>98.405123800248106</v>
      </c>
      <c r="AJ1817">
        <v>56.832316005922401</v>
      </c>
      <c r="AK1817">
        <v>7.6611821515873499</v>
      </c>
      <c r="AL1817">
        <v>83.292600397713997</v>
      </c>
      <c r="AM1817">
        <v>68.313581603889602</v>
      </c>
      <c r="AN1817">
        <v>0.99999998667616496</v>
      </c>
    </row>
    <row r="1818" spans="1:40" x14ac:dyDescent="0.25">
      <c r="A1818" t="str">
        <f>"20190303161909638"</f>
        <v>20190303161909638</v>
      </c>
      <c r="B1818" t="str">
        <f>"1551601149634207"</f>
        <v>1551601149634207</v>
      </c>
      <c r="C1818" t="s">
        <v>40</v>
      </c>
      <c r="D1818">
        <v>5.3384289999999996</v>
      </c>
      <c r="E1818">
        <v>0.57876660000000002</v>
      </c>
      <c r="F1818" t="s">
        <v>46</v>
      </c>
      <c r="G1818">
        <v>-199.0583</v>
      </c>
      <c r="H1818" s="1">
        <v>-6.4445190000000002E-6</v>
      </c>
      <c r="I1818">
        <v>358.83100000000002</v>
      </c>
      <c r="J1818">
        <v>-203.5001</v>
      </c>
      <c r="K1818">
        <v>1.119842</v>
      </c>
      <c r="L1818">
        <v>365.13189999999997</v>
      </c>
      <c r="M1818">
        <v>0.92859480000000005</v>
      </c>
      <c r="N1818">
        <v>-1.3760430000000001E-2</v>
      </c>
      <c r="O1818">
        <v>-0.3708398</v>
      </c>
      <c r="P1818">
        <v>0.72315569999999996</v>
      </c>
      <c r="Q1818">
        <v>0.1058134</v>
      </c>
      <c r="R1818">
        <v>-0.68253149999999996</v>
      </c>
      <c r="S1818">
        <v>1.812851</v>
      </c>
      <c r="T1818">
        <v>-0.45041249999999999</v>
      </c>
      <c r="U1818">
        <v>-2.5462340000000001</v>
      </c>
      <c r="V1818">
        <v>0.36616340000000003</v>
      </c>
      <c r="W1818">
        <v>0.1169477</v>
      </c>
      <c r="X1818">
        <v>0.92317260000000001</v>
      </c>
      <c r="Y1818">
        <v>0.53867519999999902</v>
      </c>
      <c r="Z1818">
        <v>5.4100750000000003E-3</v>
      </c>
      <c r="AA1818">
        <v>0.84249619999999903</v>
      </c>
      <c r="AB1818">
        <v>12</v>
      </c>
      <c r="AC1818">
        <v>4.4417999999999997</v>
      </c>
      <c r="AD1818">
        <v>-1.119848444519</v>
      </c>
      <c r="AE1818">
        <v>-6.3009000000000102</v>
      </c>
      <c r="AF1818">
        <v>4.1173053506372597</v>
      </c>
      <c r="AG1818">
        <v>-1.119848444519</v>
      </c>
      <c r="AH1818">
        <v>6.3283342112664203</v>
      </c>
      <c r="AI1818">
        <v>98.437025713559507</v>
      </c>
      <c r="AJ1818">
        <v>56.951392544864198</v>
      </c>
      <c r="AK1818">
        <v>7.6324359007176001</v>
      </c>
      <c r="AL1818">
        <v>83.284021980672307</v>
      </c>
      <c r="AM1818">
        <v>68.364945459275503</v>
      </c>
      <c r="AN1818">
        <v>1.0000000247128</v>
      </c>
    </row>
    <row r="1819" spans="1:40" x14ac:dyDescent="0.25">
      <c r="A1819" t="str">
        <f>"20190303161909649"</f>
        <v>20190303161909649</v>
      </c>
      <c r="B1819" t="str">
        <f>"1551601149643967"</f>
        <v>1551601149643967</v>
      </c>
      <c r="C1819" t="s">
        <v>40</v>
      </c>
      <c r="D1819">
        <v>5.348268</v>
      </c>
      <c r="E1819">
        <v>0.5787601</v>
      </c>
      <c r="F1819" t="s">
        <v>46</v>
      </c>
      <c r="G1819">
        <v>-199.02459999999999</v>
      </c>
      <c r="H1819" s="1">
        <v>-6.4350220000000004E-6</v>
      </c>
      <c r="I1819">
        <v>358.8184</v>
      </c>
      <c r="J1819">
        <v>-203.43879999999999</v>
      </c>
      <c r="K1819">
        <v>1.1198440000000001</v>
      </c>
      <c r="L1819">
        <v>365.10379999999998</v>
      </c>
      <c r="M1819">
        <v>0.92753149999999995</v>
      </c>
      <c r="N1819">
        <v>-1.3758340000000001E-2</v>
      </c>
      <c r="O1819">
        <v>-0.37349130000000003</v>
      </c>
      <c r="P1819">
        <v>0.72185279999999996</v>
      </c>
      <c r="Q1819">
        <v>0.1060932</v>
      </c>
      <c r="R1819">
        <v>-0.68386639999999999</v>
      </c>
      <c r="S1819">
        <v>1.807785</v>
      </c>
      <c r="T1819">
        <v>-0.4523335</v>
      </c>
      <c r="U1819">
        <v>-2.5501710000000002</v>
      </c>
      <c r="V1819">
        <v>0.3652455</v>
      </c>
      <c r="W1819">
        <v>0.1172356</v>
      </c>
      <c r="X1819">
        <v>0.92349959999999998</v>
      </c>
      <c r="Y1819">
        <v>0.53800700000000001</v>
      </c>
      <c r="Z1819">
        <v>5.9277899999999996E-3</v>
      </c>
      <c r="AA1819">
        <v>0.84291949999999904</v>
      </c>
      <c r="AB1819">
        <v>12</v>
      </c>
      <c r="AC1819">
        <v>4.4141999999999904</v>
      </c>
      <c r="AD1819">
        <v>-1.119850435022</v>
      </c>
      <c r="AE1819">
        <v>-6.2853999999999797</v>
      </c>
      <c r="AF1819">
        <v>4.09459293259631</v>
      </c>
      <c r="AG1819">
        <v>-1.119850435022</v>
      </c>
      <c r="AH1819">
        <v>6.3083566542726501</v>
      </c>
      <c r="AI1819">
        <v>98.469243547796793</v>
      </c>
      <c r="AJ1819">
        <v>57.0134289604785</v>
      </c>
      <c r="AK1819">
        <v>7.6036254482972003</v>
      </c>
      <c r="AL1819">
        <v>83.267412009216699</v>
      </c>
      <c r="AM1819">
        <v>68.421127388489793</v>
      </c>
      <c r="AN1819">
        <v>0.99999998618888397</v>
      </c>
    </row>
    <row r="1820" spans="1:40" x14ac:dyDescent="0.25">
      <c r="A1820" t="str">
        <f>"20190303161909660"</f>
        <v>20190303161909660</v>
      </c>
      <c r="B1820" t="str">
        <f>"1551601149654703"</f>
        <v>1551601149654703</v>
      </c>
      <c r="C1820" t="s">
        <v>40</v>
      </c>
      <c r="D1820">
        <v>5.3905960000000004</v>
      </c>
      <c r="E1820">
        <v>0.57891949999999903</v>
      </c>
      <c r="F1820" t="s">
        <v>46</v>
      </c>
      <c r="G1820">
        <v>-198.9718</v>
      </c>
      <c r="H1820" s="1">
        <v>-6.4129470000000003E-6</v>
      </c>
      <c r="I1820">
        <v>358.77699999999999</v>
      </c>
      <c r="J1820">
        <v>-203.3809</v>
      </c>
      <c r="K1820">
        <v>1.119847</v>
      </c>
      <c r="L1820">
        <v>365.07709999999997</v>
      </c>
      <c r="M1820">
        <v>0.92652020000000002</v>
      </c>
      <c r="N1820">
        <v>-1.375641E-2</v>
      </c>
      <c r="O1820">
        <v>-0.37599349999999998</v>
      </c>
      <c r="P1820">
        <v>0.72073739999999997</v>
      </c>
      <c r="Q1820">
        <v>0.1059353</v>
      </c>
      <c r="R1820">
        <v>-0.68506599999999995</v>
      </c>
      <c r="S1820">
        <v>1.80307</v>
      </c>
      <c r="T1820">
        <v>-0.45202140000000002</v>
      </c>
      <c r="U1820">
        <v>-2.553741</v>
      </c>
      <c r="V1820">
        <v>0.36427710000000002</v>
      </c>
      <c r="W1820">
        <v>0.11708789999999999</v>
      </c>
      <c r="X1820">
        <v>0.92390079999999997</v>
      </c>
      <c r="Y1820">
        <v>0.53735730000000004</v>
      </c>
      <c r="Z1820">
        <v>6.3513220000000004E-3</v>
      </c>
      <c r="AA1820">
        <v>0.84333069999999899</v>
      </c>
      <c r="AB1820">
        <v>12</v>
      </c>
      <c r="AC1820">
        <v>4.4090999999999898</v>
      </c>
      <c r="AD1820">
        <v>-1.1198534129469999</v>
      </c>
      <c r="AE1820">
        <v>-6.30009999999998</v>
      </c>
      <c r="AF1820">
        <v>4.0929678860844003</v>
      </c>
      <c r="AG1820">
        <v>-1.1198534129469999</v>
      </c>
      <c r="AH1820">
        <v>6.3204814120939297</v>
      </c>
      <c r="AI1820">
        <v>98.4589685421832</v>
      </c>
      <c r="AJ1820">
        <v>57.074029500185098</v>
      </c>
      <c r="AK1820">
        <v>7.6128143983439003</v>
      </c>
      <c r="AL1820">
        <v>83.275933613542605</v>
      </c>
      <c r="AM1820">
        <v>68.4815939283435</v>
      </c>
      <c r="AN1820">
        <v>1.0000000350757201</v>
      </c>
    </row>
    <row r="1821" spans="1:40" x14ac:dyDescent="0.25">
      <c r="A1821" t="str">
        <f>"20190303161909672"</f>
        <v>20190303161909672</v>
      </c>
      <c r="B1821" t="str">
        <f>"1551601149664465"</f>
        <v>1551601149664465</v>
      </c>
      <c r="C1821" t="s">
        <v>40</v>
      </c>
      <c r="D1821">
        <v>5.4023680000000001</v>
      </c>
      <c r="E1821">
        <v>0.57904739999999999</v>
      </c>
      <c r="F1821" t="s">
        <v>46</v>
      </c>
      <c r="G1821">
        <v>-198.90190000000001</v>
      </c>
      <c r="H1821" s="1">
        <v>-6.3776529999999997E-6</v>
      </c>
      <c r="I1821">
        <v>358.70429999999999</v>
      </c>
      <c r="J1821">
        <v>-203.3253</v>
      </c>
      <c r="K1821">
        <v>1.119853</v>
      </c>
      <c r="L1821">
        <v>365.05130000000003</v>
      </c>
      <c r="M1821">
        <v>0.92553980000000002</v>
      </c>
      <c r="N1821">
        <v>-1.3754540000000001E-2</v>
      </c>
      <c r="O1821">
        <v>-0.37840040000000003</v>
      </c>
      <c r="P1821">
        <v>0.71964479999999997</v>
      </c>
      <c r="Q1821">
        <v>0.1059568</v>
      </c>
      <c r="R1821">
        <v>-0.68621049999999995</v>
      </c>
      <c r="S1821">
        <v>1.79750099999999</v>
      </c>
      <c r="T1821">
        <v>-0.44941340000000002</v>
      </c>
      <c r="U1821">
        <v>-2.5575260000000002</v>
      </c>
      <c r="V1821">
        <v>0.36334280000000002</v>
      </c>
      <c r="W1821">
        <v>0.1171191</v>
      </c>
      <c r="X1821">
        <v>0.92426470000000005</v>
      </c>
      <c r="Y1821">
        <v>0.53703000000000001</v>
      </c>
      <c r="Z1821">
        <v>6.6526679999999996E-3</v>
      </c>
      <c r="AA1821">
        <v>0.84353690000000003</v>
      </c>
      <c r="AB1821">
        <v>12</v>
      </c>
      <c r="AC1821">
        <v>4.4233999999999796</v>
      </c>
      <c r="AD1821">
        <v>-1.1198593776529999</v>
      </c>
      <c r="AE1821">
        <v>-6.3470000000000297</v>
      </c>
      <c r="AF1821">
        <v>4.1147635696401501</v>
      </c>
      <c r="AG1821">
        <v>-1.1198593776529999</v>
      </c>
      <c r="AH1821">
        <v>6.3630270718607997</v>
      </c>
      <c r="AI1821">
        <v>98.406681175274201</v>
      </c>
      <c r="AJ1821">
        <v>57.110559270577497</v>
      </c>
      <c r="AK1821">
        <v>7.65986147244117</v>
      </c>
      <c r="AL1821">
        <v>83.274133733835299</v>
      </c>
      <c r="AM1821">
        <v>68.539440090639602</v>
      </c>
      <c r="AN1821">
        <v>1.0000000547813599</v>
      </c>
    </row>
    <row r="1822" spans="1:40" x14ac:dyDescent="0.25">
      <c r="A1822" t="str">
        <f>"20190303161909683"</f>
        <v>20190303161909683</v>
      </c>
      <c r="B1822" t="str">
        <f>"1551601149674223"</f>
        <v>1551601149674223</v>
      </c>
      <c r="C1822" t="s">
        <v>40</v>
      </c>
      <c r="D1822">
        <v>5.3759360000000003</v>
      </c>
      <c r="E1822">
        <v>0.57917649999999998</v>
      </c>
      <c r="F1822" t="s">
        <v>46</v>
      </c>
      <c r="G1822">
        <v>-198.8306</v>
      </c>
      <c r="H1822" s="1">
        <v>-6.3410699999999998E-6</v>
      </c>
      <c r="I1822">
        <v>358.62819999999999</v>
      </c>
      <c r="J1822">
        <v>-203.2611</v>
      </c>
      <c r="K1822">
        <v>1.1198600000000001</v>
      </c>
      <c r="L1822">
        <v>365.0213</v>
      </c>
      <c r="M1822">
        <v>0.92439930000000003</v>
      </c>
      <c r="N1822">
        <v>-1.375238E-2</v>
      </c>
      <c r="O1822">
        <v>-0.38117849999999998</v>
      </c>
      <c r="P1822">
        <v>0.71825869999999903</v>
      </c>
      <c r="Q1822">
        <v>0.1061319</v>
      </c>
      <c r="R1822">
        <v>-0.68763450000000004</v>
      </c>
      <c r="S1822">
        <v>1.7922669999999901</v>
      </c>
      <c r="T1822">
        <v>-0.44654129999999997</v>
      </c>
      <c r="U1822">
        <v>-2.561188</v>
      </c>
      <c r="V1822">
        <v>0.36240509999999998</v>
      </c>
      <c r="W1822">
        <v>0.1173043</v>
      </c>
      <c r="X1822">
        <v>0.92460920000000002</v>
      </c>
      <c r="Y1822">
        <v>0.53627799999999903</v>
      </c>
      <c r="Z1822">
        <v>7.0337840000000004E-3</v>
      </c>
      <c r="AA1822">
        <v>0.84401209999999904</v>
      </c>
      <c r="AB1822">
        <v>12</v>
      </c>
      <c r="AC1822">
        <v>4.4304999999999897</v>
      </c>
      <c r="AD1822">
        <v>-1.11986634107</v>
      </c>
      <c r="AE1822">
        <v>-6.3930999999999996</v>
      </c>
      <c r="AF1822">
        <v>4.1356386271929502</v>
      </c>
      <c r="AG1822">
        <v>-1.11986634107</v>
      </c>
      <c r="AH1822">
        <v>6.4004090484617597</v>
      </c>
      <c r="AI1822">
        <v>98.360264715147693</v>
      </c>
      <c r="AJ1822">
        <v>57.131386090714301</v>
      </c>
      <c r="AK1822">
        <v>7.7021323972146201</v>
      </c>
      <c r="AL1822">
        <v>83.263448290712404</v>
      </c>
      <c r="AM1822">
        <v>68.597060809335801</v>
      </c>
      <c r="AN1822">
        <v>0.99999996401456903</v>
      </c>
    </row>
    <row r="1823" spans="1:40" x14ac:dyDescent="0.25">
      <c r="A1823" t="str">
        <f>"20190303161909696"</f>
        <v>20190303161909696</v>
      </c>
      <c r="B1823" t="str">
        <f>"1551601149683984"</f>
        <v>1551601149683984</v>
      </c>
      <c r="C1823" t="s">
        <v>40</v>
      </c>
      <c r="D1823">
        <v>5.4001549999999998</v>
      </c>
      <c r="E1823">
        <v>0.57934019999999897</v>
      </c>
      <c r="F1823" t="s">
        <v>46</v>
      </c>
      <c r="G1823">
        <v>-198.74809999999999</v>
      </c>
      <c r="H1823" s="1">
        <v>-6.2977449999999996E-6</v>
      </c>
      <c r="I1823">
        <v>358.53730000000002</v>
      </c>
      <c r="J1823">
        <v>-203.20259999999999</v>
      </c>
      <c r="K1823">
        <v>1.119866</v>
      </c>
      <c r="L1823">
        <v>364.99369999999999</v>
      </c>
      <c r="M1823">
        <v>0.92335060000000002</v>
      </c>
      <c r="N1823">
        <v>-1.375036E-2</v>
      </c>
      <c r="O1823">
        <v>-0.383712</v>
      </c>
      <c r="P1823">
        <v>0.71691070000000001</v>
      </c>
      <c r="Q1823">
        <v>0.1066518</v>
      </c>
      <c r="R1823">
        <v>-0.68895919999999999</v>
      </c>
      <c r="S1823">
        <v>1.7858430000000001</v>
      </c>
      <c r="T1823">
        <v>-0.4431427</v>
      </c>
      <c r="U1823">
        <v>-2.5657960000000002</v>
      </c>
      <c r="V1823">
        <v>0.36160599999999998</v>
      </c>
      <c r="W1823">
        <v>0.1178323</v>
      </c>
      <c r="X1823">
        <v>0.92485490000000004</v>
      </c>
      <c r="Y1823">
        <v>0.53615080000000004</v>
      </c>
      <c r="Z1823">
        <v>7.2956869999999899E-3</v>
      </c>
      <c r="AA1823">
        <v>0.84409069999999997</v>
      </c>
      <c r="AB1823">
        <v>12</v>
      </c>
      <c r="AC1823">
        <v>4.4544999999999897</v>
      </c>
      <c r="AD1823">
        <v>-1.119872297745</v>
      </c>
      <c r="AE1823">
        <v>-6.4563999999999702</v>
      </c>
      <c r="AF1823">
        <v>4.1677266552552696</v>
      </c>
      <c r="AG1823">
        <v>-1.119872297745</v>
      </c>
      <c r="AH1823">
        <v>6.4594235829672098</v>
      </c>
      <c r="AI1823">
        <v>98.288476754368901</v>
      </c>
      <c r="AJ1823">
        <v>57.169224807870201</v>
      </c>
      <c r="AK1823">
        <v>7.7684111927970703</v>
      </c>
      <c r="AL1823">
        <v>83.232984875370803</v>
      </c>
      <c r="AM1823">
        <v>68.645160743145595</v>
      </c>
      <c r="AN1823">
        <v>0.99999996810664904</v>
      </c>
    </row>
    <row r="1824" spans="1:40" x14ac:dyDescent="0.25">
      <c r="A1824" t="str">
        <f>"20190303161909708"</f>
        <v>20190303161909708</v>
      </c>
      <c r="B1824" t="str">
        <f>"1551601149704480"</f>
        <v>1551601149704480</v>
      </c>
      <c r="C1824" t="s">
        <v>40</v>
      </c>
      <c r="D1824">
        <v>5.4232659999999999</v>
      </c>
      <c r="E1824">
        <v>0.57930569999999904</v>
      </c>
      <c r="F1824" t="s">
        <v>46</v>
      </c>
      <c r="G1824">
        <v>-198.6626</v>
      </c>
      <c r="H1824" s="1">
        <v>-6.2502120000000002E-6</v>
      </c>
      <c r="I1824">
        <v>358.43520000000001</v>
      </c>
      <c r="J1824">
        <v>-203.1421</v>
      </c>
      <c r="K1824">
        <v>1.1198779999999999</v>
      </c>
      <c r="L1824">
        <v>364.96499999999997</v>
      </c>
      <c r="M1824">
        <v>0.92225610000000002</v>
      </c>
      <c r="N1824">
        <v>-1.374829E-2</v>
      </c>
      <c r="O1824">
        <v>-0.38633489999999998</v>
      </c>
      <c r="P1824">
        <v>0.71535499999999996</v>
      </c>
      <c r="Q1824">
        <v>0.1071159</v>
      </c>
      <c r="R1824">
        <v>-0.69050219999999995</v>
      </c>
      <c r="S1824">
        <v>1.779495</v>
      </c>
      <c r="T1824">
        <v>-0.43894359999999999</v>
      </c>
      <c r="U1824">
        <v>-2.5706790000000002</v>
      </c>
      <c r="V1824">
        <v>0.3609964</v>
      </c>
      <c r="W1824">
        <v>0.1183034</v>
      </c>
      <c r="X1824">
        <v>0.92503299999999999</v>
      </c>
      <c r="Y1824">
        <v>0.53597209999999995</v>
      </c>
      <c r="Z1824">
        <v>7.53791599999999E-3</v>
      </c>
      <c r="AA1824">
        <v>0.84420200000000001</v>
      </c>
      <c r="AB1824">
        <v>12</v>
      </c>
      <c r="AC1824">
        <v>4.4794999999999998</v>
      </c>
      <c r="AD1824">
        <v>-1.1198842502120001</v>
      </c>
      <c r="AE1824">
        <v>-6.5297999999999599</v>
      </c>
      <c r="AF1824">
        <v>4.2078064488534199</v>
      </c>
      <c r="AG1824">
        <v>-1.1198842502120001</v>
      </c>
      <c r="AH1824">
        <v>6.5240773860373196</v>
      </c>
      <c r="AI1824">
        <v>98.208473399635693</v>
      </c>
      <c r="AJ1824">
        <v>57.179369878890398</v>
      </c>
      <c r="AK1824">
        <v>7.8436829094430403</v>
      </c>
      <c r="AL1824">
        <v>83.205803424883001</v>
      </c>
      <c r="AM1824">
        <v>68.681662420771104</v>
      </c>
      <c r="AN1824">
        <v>1.00000007317675</v>
      </c>
    </row>
    <row r="1825" spans="1:40" x14ac:dyDescent="0.25">
      <c r="A1825" t="str">
        <f>"20190303161909723"</f>
        <v>20190303161909723</v>
      </c>
      <c r="B1825" t="str">
        <f>"1551601149714244"</f>
        <v>1551601149714244</v>
      </c>
      <c r="C1825" t="s">
        <v>40</v>
      </c>
      <c r="D1825">
        <v>5.4371790000000004</v>
      </c>
      <c r="E1825">
        <v>0.57943310000000003</v>
      </c>
      <c r="F1825" t="s">
        <v>46</v>
      </c>
      <c r="G1825">
        <v>-198.62960000000001</v>
      </c>
      <c r="H1825" s="1">
        <v>-6.2384719999999997E-6</v>
      </c>
      <c r="I1825">
        <v>358.41550000000001</v>
      </c>
      <c r="J1825">
        <v>-203.0676</v>
      </c>
      <c r="K1825">
        <v>1.1198900000000001</v>
      </c>
      <c r="L1825">
        <v>364.92939999999999</v>
      </c>
      <c r="M1825">
        <v>0.92089639999999995</v>
      </c>
      <c r="N1825">
        <v>-1.3745729999999999E-2</v>
      </c>
      <c r="O1825">
        <v>-0.3895653</v>
      </c>
      <c r="P1825">
        <v>0.71401749999999997</v>
      </c>
      <c r="Q1825">
        <v>0.10829270000000001</v>
      </c>
      <c r="R1825">
        <v>-0.69170259999999995</v>
      </c>
      <c r="S1825">
        <v>1.774124</v>
      </c>
      <c r="T1825">
        <v>-0.44029279999999998</v>
      </c>
      <c r="U1825">
        <v>-2.5749819999999999</v>
      </c>
      <c r="V1825">
        <v>0.35937609999999998</v>
      </c>
      <c r="W1825">
        <v>0.11949609999999999</v>
      </c>
      <c r="X1825">
        <v>0.92551039999999996</v>
      </c>
      <c r="Y1825">
        <v>0.53489119999999901</v>
      </c>
      <c r="Z1825">
        <v>8.154873E-3</v>
      </c>
      <c r="AA1825">
        <v>0.84488159999999901</v>
      </c>
      <c r="AB1825">
        <v>12</v>
      </c>
      <c r="AC1825">
        <v>4.4379999999999802</v>
      </c>
      <c r="AD1825">
        <v>-1.1198962384719999</v>
      </c>
      <c r="AE1825">
        <v>-6.5138999999999703</v>
      </c>
      <c r="AF1825">
        <v>4.1856425731599796</v>
      </c>
      <c r="AG1825">
        <v>-1.1198962384719999</v>
      </c>
      <c r="AH1825">
        <v>6.4940556511552696</v>
      </c>
      <c r="AI1825">
        <v>98.247584824475993</v>
      </c>
      <c r="AJ1825">
        <v>57.196825280673501</v>
      </c>
      <c r="AK1825">
        <v>7.80682586814223</v>
      </c>
      <c r="AL1825">
        <v>83.136978018027193</v>
      </c>
      <c r="AM1825">
        <v>68.778786579079906</v>
      </c>
      <c r="AN1825">
        <v>0.99999999983728904</v>
      </c>
    </row>
    <row r="1826" spans="1:40" x14ac:dyDescent="0.25">
      <c r="A1826" t="str">
        <f>"20190303161909735"</f>
        <v>20190303161909735</v>
      </c>
      <c r="B1826" t="str">
        <f>"1551601149724975"</f>
        <v>1551601149724975</v>
      </c>
      <c r="C1826" t="s">
        <v>40</v>
      </c>
      <c r="D1826">
        <v>5.4050560000000001</v>
      </c>
      <c r="E1826">
        <v>0.57955159999999994</v>
      </c>
      <c r="F1826" t="s">
        <v>46</v>
      </c>
      <c r="G1826">
        <v>-198.50579999999999</v>
      </c>
      <c r="H1826" s="1">
        <v>-6.1719589999999999E-6</v>
      </c>
      <c r="I1826">
        <v>358.27460000000002</v>
      </c>
      <c r="J1826">
        <v>-203.00389999999999</v>
      </c>
      <c r="K1826">
        <v>1.119896</v>
      </c>
      <c r="L1826">
        <v>364.89859999999999</v>
      </c>
      <c r="M1826">
        <v>0.9197227</v>
      </c>
      <c r="N1826">
        <v>-1.3743409999999999E-2</v>
      </c>
      <c r="O1826">
        <v>-0.39232840000000002</v>
      </c>
      <c r="P1826">
        <v>0.71225859999999996</v>
      </c>
      <c r="Q1826">
        <v>0.108765</v>
      </c>
      <c r="R1826">
        <v>-0.69343949999999999</v>
      </c>
      <c r="S1826">
        <v>1.7683259999999901</v>
      </c>
      <c r="T1826">
        <v>-0.43411929999999999</v>
      </c>
      <c r="U1826">
        <v>-2.5796809999999999</v>
      </c>
      <c r="V1826">
        <v>0.35887980000000003</v>
      </c>
      <c r="W1826">
        <v>0.1199737</v>
      </c>
      <c r="X1826">
        <v>0.92564120000000005</v>
      </c>
      <c r="Y1826">
        <v>0.53444499999999995</v>
      </c>
      <c r="Z1826">
        <v>8.3499739999999996E-3</v>
      </c>
      <c r="AA1826">
        <v>0.84516199999999997</v>
      </c>
      <c r="AB1826">
        <v>12</v>
      </c>
      <c r="AC1826">
        <v>4.4980999999999902</v>
      </c>
      <c r="AD1826">
        <v>-1.1199021719589899</v>
      </c>
      <c r="AE1826">
        <v>-6.6239999999999597</v>
      </c>
      <c r="AF1826">
        <v>4.2448769281901804</v>
      </c>
      <c r="AG1826">
        <v>-1.1199021719589899</v>
      </c>
      <c r="AH1826">
        <v>6.6071680611750896</v>
      </c>
      <c r="AI1826">
        <v>98.115861247306199</v>
      </c>
      <c r="AJ1826">
        <v>57.280658019681198</v>
      </c>
      <c r="AK1826">
        <v>7.9327063981249202</v>
      </c>
      <c r="AL1826">
        <v>83.109415371556906</v>
      </c>
      <c r="AM1826">
        <v>68.808219530442202</v>
      </c>
      <c r="AN1826">
        <v>1.00000001533858</v>
      </c>
    </row>
    <row r="1827" spans="1:40" x14ac:dyDescent="0.25">
      <c r="A1827" t="str">
        <f>"20190303161909747"</f>
        <v>20190303161909747</v>
      </c>
      <c r="B1827" t="str">
        <f>"1551601149734736"</f>
        <v>1551601149734736</v>
      </c>
      <c r="C1827" t="s">
        <v>40</v>
      </c>
      <c r="D1827">
        <v>5.3799530000000004</v>
      </c>
      <c r="E1827">
        <v>0.579654</v>
      </c>
      <c r="F1827" t="s">
        <v>46</v>
      </c>
      <c r="G1827">
        <v>-198.42269999999999</v>
      </c>
      <c r="H1827" s="1">
        <v>-6.12521399999999E-6</v>
      </c>
      <c r="I1827">
        <v>358.1737</v>
      </c>
      <c r="J1827">
        <v>-202.94630000000001</v>
      </c>
      <c r="K1827">
        <v>1.119904</v>
      </c>
      <c r="L1827">
        <v>364.87060000000002</v>
      </c>
      <c r="M1827">
        <v>0.91865269999999999</v>
      </c>
      <c r="N1827">
        <v>-1.374131E-2</v>
      </c>
      <c r="O1827">
        <v>-0.39482729999999999</v>
      </c>
      <c r="P1827">
        <v>0.7108738</v>
      </c>
      <c r="Q1827">
        <v>0.1098393</v>
      </c>
      <c r="R1827">
        <v>-0.69469009999999998</v>
      </c>
      <c r="S1827">
        <v>1.7609859999999999</v>
      </c>
      <c r="T1827">
        <v>-0.43048380000000003</v>
      </c>
      <c r="U1827">
        <v>-2.584991</v>
      </c>
      <c r="V1827">
        <v>0.35805670000000001</v>
      </c>
      <c r="W1827">
        <v>0.1210553</v>
      </c>
      <c r="X1827">
        <v>0.92581910000000001</v>
      </c>
      <c r="Y1827">
        <v>0.5346419</v>
      </c>
      <c r="Z1827">
        <v>8.5428510000000006E-3</v>
      </c>
      <c r="AA1827">
        <v>0.84503549999999905</v>
      </c>
      <c r="AB1827">
        <v>12</v>
      </c>
      <c r="AC1827">
        <v>4.5236000000000098</v>
      </c>
      <c r="AD1827">
        <v>-1.119910125214</v>
      </c>
      <c r="AE1827">
        <v>-6.6969000000000198</v>
      </c>
      <c r="AF1827">
        <v>4.2842248142236503</v>
      </c>
      <c r="AG1827">
        <v>-1.119910125214</v>
      </c>
      <c r="AH1827">
        <v>6.6722481055465899</v>
      </c>
      <c r="AI1827">
        <v>98.039128305244404</v>
      </c>
      <c r="AJ1827">
        <v>57.295636175269998</v>
      </c>
      <c r="AK1827">
        <v>8.0079757572895094</v>
      </c>
      <c r="AL1827">
        <v>83.046989130577401</v>
      </c>
      <c r="AM1827">
        <v>68.856228232314393</v>
      </c>
      <c r="AN1827">
        <v>0.999999995998895</v>
      </c>
    </row>
    <row r="1828" spans="1:40" x14ac:dyDescent="0.25">
      <c r="A1828" t="str">
        <f>"20190303161909758"</f>
        <v>20190303161909758</v>
      </c>
      <c r="B1828" t="str">
        <f>"1551601149754258"</f>
        <v>1551601149754258</v>
      </c>
      <c r="C1828" t="s">
        <v>40</v>
      </c>
      <c r="D1828">
        <v>5.404763</v>
      </c>
      <c r="E1828">
        <v>0.57985900000000001</v>
      </c>
      <c r="F1828" t="s">
        <v>46</v>
      </c>
      <c r="G1828">
        <v>-198.32220000000001</v>
      </c>
      <c r="H1828" s="1">
        <v>-6.0688710000000003E-6</v>
      </c>
      <c r="I1828">
        <v>358.05220000000003</v>
      </c>
      <c r="J1828">
        <v>-202.8895</v>
      </c>
      <c r="K1828">
        <v>1.1199140000000001</v>
      </c>
      <c r="L1828">
        <v>364.84280000000001</v>
      </c>
      <c r="M1828">
        <v>0.91758850000000003</v>
      </c>
      <c r="N1828">
        <v>-1.3739299999999999E-2</v>
      </c>
      <c r="O1828">
        <v>-0.39729399999999998</v>
      </c>
      <c r="P1828">
        <v>0.70963589999999999</v>
      </c>
      <c r="Q1828">
        <v>0.110488</v>
      </c>
      <c r="R1828">
        <v>-0.69585169999999996</v>
      </c>
      <c r="S1828">
        <v>1.7557830000000001</v>
      </c>
      <c r="T1828">
        <v>-0.42524000000000001</v>
      </c>
      <c r="U1828">
        <v>-2.5889890000000002</v>
      </c>
      <c r="V1828">
        <v>0.35712329999999998</v>
      </c>
      <c r="W1828">
        <v>0.1217128</v>
      </c>
      <c r="X1828">
        <v>0.92609339999999996</v>
      </c>
      <c r="Y1828">
        <v>0.53420789999999996</v>
      </c>
      <c r="Z1828">
        <v>8.7132119999999997E-3</v>
      </c>
      <c r="AA1828">
        <v>0.84530819999999995</v>
      </c>
      <c r="AB1828">
        <v>12</v>
      </c>
      <c r="AC1828">
        <v>4.5672999999999799</v>
      </c>
      <c r="AD1828">
        <v>-1.11992006887099</v>
      </c>
      <c r="AE1828">
        <v>-6.79059999999998</v>
      </c>
      <c r="AF1828">
        <v>4.3356373471029803</v>
      </c>
      <c r="AG1828">
        <v>-1.11992006887099</v>
      </c>
      <c r="AH1828">
        <v>6.7627679415197397</v>
      </c>
      <c r="AI1828">
        <v>97.936505498286905</v>
      </c>
      <c r="AJ1828">
        <v>57.335906701910197</v>
      </c>
      <c r="AK1828">
        <v>8.1109187147388706</v>
      </c>
      <c r="AL1828">
        <v>83.009036696352894</v>
      </c>
      <c r="AM1828">
        <v>68.912192830844106</v>
      </c>
      <c r="AN1828">
        <v>1.0000000213051401</v>
      </c>
    </row>
    <row r="1829" spans="1:40" x14ac:dyDescent="0.25">
      <c r="A1829" t="str">
        <f>"20190303161909769"</f>
        <v>20190303161909769</v>
      </c>
      <c r="B1829" t="str">
        <f>"1551601149764017"</f>
        <v>1551601149764017</v>
      </c>
      <c r="C1829" t="s">
        <v>40</v>
      </c>
      <c r="D1829">
        <v>5.4072930000000001</v>
      </c>
      <c r="E1829">
        <v>0.57996150000000002</v>
      </c>
      <c r="F1829" t="s">
        <v>46</v>
      </c>
      <c r="G1829">
        <v>-198.21809999999999</v>
      </c>
      <c r="H1829" s="1">
        <v>-6.0072099999999997E-6</v>
      </c>
      <c r="I1829">
        <v>357.91669999999999</v>
      </c>
      <c r="J1829">
        <v>-202.83609999999999</v>
      </c>
      <c r="K1829">
        <v>1.119918</v>
      </c>
      <c r="L1829">
        <v>364.81650000000002</v>
      </c>
      <c r="M1829">
        <v>0.91658130000000004</v>
      </c>
      <c r="N1829">
        <v>-1.373741E-2</v>
      </c>
      <c r="O1829">
        <v>-0.39961259999999998</v>
      </c>
      <c r="P1829">
        <v>0.7085553</v>
      </c>
      <c r="Q1829">
        <v>0.11066869999999999</v>
      </c>
      <c r="R1829">
        <v>-0.69692349999999903</v>
      </c>
      <c r="S1829">
        <v>1.7494050000000001</v>
      </c>
      <c r="T1829">
        <v>-0.4194061</v>
      </c>
      <c r="U1829">
        <v>-2.5938110000000001</v>
      </c>
      <c r="V1829">
        <v>0.35619099999999998</v>
      </c>
      <c r="W1829">
        <v>0.121903</v>
      </c>
      <c r="X1829">
        <v>0.92642740000000001</v>
      </c>
      <c r="Y1829">
        <v>0.53429209999999905</v>
      </c>
      <c r="Z1829">
        <v>8.7829380000000006E-3</v>
      </c>
      <c r="AA1829">
        <v>0.84525419999999996</v>
      </c>
      <c r="AB1829">
        <v>12</v>
      </c>
      <c r="AC1829">
        <v>4.6179999999999897</v>
      </c>
      <c r="AD1829">
        <v>-1.1199240072100001</v>
      </c>
      <c r="AE1829">
        <v>-6.8998000000000204</v>
      </c>
      <c r="AF1829">
        <v>4.3991960447436096</v>
      </c>
      <c r="AG1829">
        <v>-1.1199240072100001</v>
      </c>
      <c r="AH1829">
        <v>6.8657567950851597</v>
      </c>
      <c r="AI1829">
        <v>97.820226848891096</v>
      </c>
      <c r="AJ1829">
        <v>57.350504760190198</v>
      </c>
      <c r="AK1829">
        <v>8.2307819793304695</v>
      </c>
      <c r="AL1829">
        <v>82.9980574758779</v>
      </c>
      <c r="AM1829">
        <v>68.969343988653605</v>
      </c>
      <c r="AN1829">
        <v>1.00000004868037</v>
      </c>
    </row>
    <row r="1830" spans="1:40" x14ac:dyDescent="0.25">
      <c r="A1830" t="str">
        <f>"20190303161909780"</f>
        <v>20190303161909780</v>
      </c>
      <c r="B1830" t="str">
        <f>"1551601149773776"</f>
        <v>1551601149773776</v>
      </c>
      <c r="C1830" t="s">
        <v>40</v>
      </c>
      <c r="D1830">
        <v>5.4041689999999996</v>
      </c>
      <c r="E1830">
        <v>0.58002359999999997</v>
      </c>
      <c r="F1830" t="s">
        <v>46</v>
      </c>
      <c r="G1830">
        <v>-198.1557</v>
      </c>
      <c r="H1830" s="1">
        <v>-5.974885E-6</v>
      </c>
      <c r="I1830">
        <v>357.8492</v>
      </c>
      <c r="J1830">
        <v>-202.78129999999999</v>
      </c>
      <c r="K1830">
        <v>1.119923</v>
      </c>
      <c r="L1830">
        <v>364.78930000000003</v>
      </c>
      <c r="M1830">
        <v>0.91554000000000002</v>
      </c>
      <c r="N1830">
        <v>-1.373544E-2</v>
      </c>
      <c r="O1830">
        <v>-0.40199210000000002</v>
      </c>
      <c r="P1830">
        <v>0.7074646</v>
      </c>
      <c r="Q1830">
        <v>0.110960199999999</v>
      </c>
      <c r="R1830">
        <v>-0.69798419999999906</v>
      </c>
      <c r="S1830">
        <v>1.744659</v>
      </c>
      <c r="T1830">
        <v>-0.4174639</v>
      </c>
      <c r="U1830">
        <v>-2.597137</v>
      </c>
      <c r="V1830">
        <v>0.35518929999999999</v>
      </c>
      <c r="W1830">
        <v>0.12220449999999999</v>
      </c>
      <c r="X1830">
        <v>0.92677220000000005</v>
      </c>
      <c r="Y1830">
        <v>0.53369960000000005</v>
      </c>
      <c r="Z1830">
        <v>9.0799629999999999E-3</v>
      </c>
      <c r="AA1830">
        <v>0.84562530000000002</v>
      </c>
      <c r="AB1830">
        <v>12</v>
      </c>
      <c r="AC1830">
        <v>4.6255999999999897</v>
      </c>
      <c r="AD1830">
        <v>-1.1199289748850001</v>
      </c>
      <c r="AE1830">
        <v>-6.9401000000000197</v>
      </c>
      <c r="AF1830">
        <v>4.41529777888565</v>
      </c>
      <c r="AG1830">
        <v>-1.1199289748850001</v>
      </c>
      <c r="AH1830">
        <v>6.9010199801408403</v>
      </c>
      <c r="AI1830">
        <v>97.784075821650404</v>
      </c>
      <c r="AJ1830">
        <v>57.3887386060292</v>
      </c>
      <c r="AK1830">
        <v>8.2688071782647494</v>
      </c>
      <c r="AL1830">
        <v>82.980652643717605</v>
      </c>
      <c r="AM1830">
        <v>69.030461854030904</v>
      </c>
      <c r="AN1830">
        <v>1.00000004467378</v>
      </c>
    </row>
    <row r="1831" spans="1:40" x14ac:dyDescent="0.25">
      <c r="A1831" t="str">
        <f>"20190303161909792"</f>
        <v>20190303161909792</v>
      </c>
      <c r="B1831" t="str">
        <f>"1551601149784512"</f>
        <v>1551601149784512</v>
      </c>
      <c r="C1831" t="s">
        <v>40</v>
      </c>
      <c r="D1831">
        <v>5.4684629999999999</v>
      </c>
      <c r="E1831">
        <v>0.58012959999999902</v>
      </c>
      <c r="F1831" t="s">
        <v>46</v>
      </c>
      <c r="G1831">
        <v>-198.08789999999999</v>
      </c>
      <c r="H1831" s="1">
        <v>-5.9390999999999996E-6</v>
      </c>
      <c r="I1831">
        <v>357.77390000000003</v>
      </c>
      <c r="J1831">
        <v>-202.72399999999999</v>
      </c>
      <c r="K1831">
        <v>1.119928</v>
      </c>
      <c r="L1831">
        <v>364.76069999999999</v>
      </c>
      <c r="M1831">
        <v>0.91444179999999997</v>
      </c>
      <c r="N1831">
        <v>-1.37334E-2</v>
      </c>
      <c r="O1831">
        <v>-0.40448460000000003</v>
      </c>
      <c r="P1831">
        <v>0.70612050000000004</v>
      </c>
      <c r="Q1831">
        <v>0.1109227</v>
      </c>
      <c r="R1831">
        <v>-0.69934980000000002</v>
      </c>
      <c r="S1831">
        <v>1.7398530000000001</v>
      </c>
      <c r="T1831">
        <v>-0.41515990000000003</v>
      </c>
      <c r="U1831">
        <v>-2.600616</v>
      </c>
      <c r="V1831">
        <v>0.35445079999999901</v>
      </c>
      <c r="W1831">
        <v>0.1221752</v>
      </c>
      <c r="X1831">
        <v>0.92705870000000001</v>
      </c>
      <c r="Y1831">
        <v>0.53304030000000002</v>
      </c>
      <c r="Z1831">
        <v>9.3779750000000002E-3</v>
      </c>
      <c r="AA1831">
        <v>0.84603790000000001</v>
      </c>
      <c r="AB1831">
        <v>12</v>
      </c>
      <c r="AC1831">
        <v>4.6361000000000203</v>
      </c>
      <c r="AD1831">
        <v>-1.1199339391000001</v>
      </c>
      <c r="AE1831">
        <v>-6.9867999999999597</v>
      </c>
      <c r="AF1831">
        <v>4.4350976283875898</v>
      </c>
      <c r="AG1831">
        <v>-1.1199339391000001</v>
      </c>
      <c r="AH1831">
        <v>6.9423169909521496</v>
      </c>
      <c r="AI1831">
        <v>97.741678129222095</v>
      </c>
      <c r="AJ1831">
        <v>57.427534466688101</v>
      </c>
      <c r="AK1831">
        <v>8.3138503837957192</v>
      </c>
      <c r="AL1831">
        <v>82.982343707091303</v>
      </c>
      <c r="AM1831">
        <v>69.0761895562772</v>
      </c>
      <c r="AN1831">
        <v>0.99999999118068394</v>
      </c>
    </row>
    <row r="1832" spans="1:40" x14ac:dyDescent="0.25">
      <c r="A1832" t="str">
        <f>"20190303161909806"</f>
        <v>20190303161909806</v>
      </c>
      <c r="B1832" t="str">
        <f>"1551601149794272"</f>
        <v>1551601149794272</v>
      </c>
      <c r="C1832" t="s">
        <v>40</v>
      </c>
      <c r="D1832">
        <v>5.4162629999999998</v>
      </c>
      <c r="E1832">
        <v>0.58021489999999998</v>
      </c>
      <c r="F1832" t="s">
        <v>46</v>
      </c>
      <c r="G1832">
        <v>-198.03700000000001</v>
      </c>
      <c r="H1832" s="1">
        <v>-5.9135009999999996E-6</v>
      </c>
      <c r="I1832">
        <v>357.72120000000001</v>
      </c>
      <c r="J1832">
        <v>-202.65270000000001</v>
      </c>
      <c r="K1832">
        <v>1.1199380000000001</v>
      </c>
      <c r="L1832">
        <v>364.72480000000002</v>
      </c>
      <c r="M1832">
        <v>0.91306449999999995</v>
      </c>
      <c r="N1832">
        <v>-1.3730900000000001E-2</v>
      </c>
      <c r="O1832">
        <v>-0.40758420000000001</v>
      </c>
      <c r="P1832">
        <v>0.70436580000000004</v>
      </c>
      <c r="Q1832">
        <v>0.1106475</v>
      </c>
      <c r="R1832">
        <v>-0.70116060000000002</v>
      </c>
      <c r="S1832">
        <v>1.7341310000000001</v>
      </c>
      <c r="T1832">
        <v>-0.41436000000000001</v>
      </c>
      <c r="U1832">
        <v>-2.604492</v>
      </c>
      <c r="V1832">
        <v>0.35366520000000001</v>
      </c>
      <c r="W1832">
        <v>0.1219078</v>
      </c>
      <c r="X1832">
        <v>0.92739389999999999</v>
      </c>
      <c r="Y1832">
        <v>0.53207479999999996</v>
      </c>
      <c r="Z1832">
        <v>9.8500889999999994E-3</v>
      </c>
      <c r="AA1832">
        <v>0.84664010000000001</v>
      </c>
      <c r="AB1832">
        <v>12</v>
      </c>
      <c r="AC1832">
        <v>4.6157000000000004</v>
      </c>
      <c r="AD1832">
        <v>-1.1199439135010001</v>
      </c>
      <c r="AE1832">
        <v>-7.0035999999999996</v>
      </c>
      <c r="AF1832">
        <v>4.4348143885692304</v>
      </c>
      <c r="AG1832">
        <v>-1.1199439135010001</v>
      </c>
      <c r="AH1832">
        <v>6.9458257245553803</v>
      </c>
      <c r="AI1832">
        <v>97.739143411775004</v>
      </c>
      <c r="AJ1832">
        <v>57.442327382154303</v>
      </c>
      <c r="AK1832">
        <v>8.3166308097897392</v>
      </c>
      <c r="AL1832">
        <v>82.997780156588206</v>
      </c>
      <c r="AM1832">
        <v>69.125459174071395</v>
      </c>
      <c r="AN1832">
        <v>1.0000000155745401</v>
      </c>
    </row>
    <row r="1833" spans="1:40" x14ac:dyDescent="0.25">
      <c r="A1833" t="str">
        <f>"20190303161909821"</f>
        <v>20190303161909821</v>
      </c>
      <c r="B1833" t="str">
        <f>"1551601149813792"</f>
        <v>1551601149813792</v>
      </c>
      <c r="C1833" t="s">
        <v>40</v>
      </c>
      <c r="D1833">
        <v>5.434431</v>
      </c>
      <c r="E1833">
        <v>0.58039059999999998</v>
      </c>
      <c r="F1833" t="s">
        <v>46</v>
      </c>
      <c r="G1833">
        <v>-197.98580000000001</v>
      </c>
      <c r="H1833" s="1">
        <v>-5.8902919999999898E-6</v>
      </c>
      <c r="I1833">
        <v>357.67579999999998</v>
      </c>
      <c r="J1833">
        <v>-202.57939999999999</v>
      </c>
      <c r="K1833">
        <v>1.1199440000000001</v>
      </c>
      <c r="L1833">
        <v>364.68759999999997</v>
      </c>
      <c r="M1833">
        <v>0.91163300000000003</v>
      </c>
      <c r="N1833">
        <v>-1.372837E-2</v>
      </c>
      <c r="O1833">
        <v>-0.41077609999999998</v>
      </c>
      <c r="P1833">
        <v>0.70192869999999996</v>
      </c>
      <c r="Q1833">
        <v>0.1108161</v>
      </c>
      <c r="R1833">
        <v>-0.70357429999999999</v>
      </c>
      <c r="S1833">
        <v>1.7272799999999999</v>
      </c>
      <c r="T1833">
        <v>-0.4145066</v>
      </c>
      <c r="U1833">
        <v>-2.6089479999999998</v>
      </c>
      <c r="V1833">
        <v>0.35361409999999999</v>
      </c>
      <c r="W1833">
        <v>0.1220777</v>
      </c>
      <c r="X1833">
        <v>0.92739110000000002</v>
      </c>
      <c r="Y1833">
        <v>0.53135069999999995</v>
      </c>
      <c r="Z1833">
        <v>1.0357689999999999E-2</v>
      </c>
      <c r="AA1833">
        <v>0.84708869999999903</v>
      </c>
      <c r="AB1833">
        <v>12</v>
      </c>
      <c r="AC1833">
        <v>4.5935999999999799</v>
      </c>
      <c r="AD1833">
        <v>-1.119949890292</v>
      </c>
      <c r="AE1833">
        <v>-7.0117999999999903</v>
      </c>
      <c r="AF1833">
        <v>4.4266536323238901</v>
      </c>
      <c r="AG1833">
        <v>-1.119949890292</v>
      </c>
      <c r="AH1833">
        <v>6.9446574665466798</v>
      </c>
      <c r="AI1833">
        <v>97.744173074490604</v>
      </c>
      <c r="AJ1833">
        <v>57.4858068904473</v>
      </c>
      <c r="AK1833">
        <v>8.3113066039578793</v>
      </c>
      <c r="AL1833">
        <v>82.987972764156694</v>
      </c>
      <c r="AM1833">
        <v>69.128157835235996</v>
      </c>
      <c r="AN1833">
        <v>1.00000007445765</v>
      </c>
    </row>
    <row r="1834" spans="1:40" x14ac:dyDescent="0.25">
      <c r="A1834" t="str">
        <f>"20190303161909837"</f>
        <v>20190303161909837</v>
      </c>
      <c r="B1834" t="str">
        <f>"1551601149824527"</f>
        <v>1551601149824527</v>
      </c>
      <c r="C1834" t="s">
        <v>40</v>
      </c>
      <c r="D1834">
        <v>5.4612089999999904</v>
      </c>
      <c r="E1834">
        <v>0.58047289999999996</v>
      </c>
      <c r="F1834" t="s">
        <v>46</v>
      </c>
      <c r="G1834">
        <v>-197.9188</v>
      </c>
      <c r="H1834" s="1">
        <v>-5.8510240000000002E-6</v>
      </c>
      <c r="I1834">
        <v>357.58969999999999</v>
      </c>
      <c r="J1834">
        <v>-202.50729999999999</v>
      </c>
      <c r="K1834">
        <v>1.119953</v>
      </c>
      <c r="L1834">
        <v>364.6506</v>
      </c>
      <c r="M1834">
        <v>0.91021030000000003</v>
      </c>
      <c r="N1834">
        <v>-1.3725859999999999E-2</v>
      </c>
      <c r="O1834">
        <v>-0.41391929999999999</v>
      </c>
      <c r="P1834">
        <v>0.69970209999999999</v>
      </c>
      <c r="Q1834">
        <v>0.1112422</v>
      </c>
      <c r="R1834">
        <v>-0.70572170000000001</v>
      </c>
      <c r="S1834">
        <v>1.7174529999999999</v>
      </c>
      <c r="T1834">
        <v>-0.41270790000000002</v>
      </c>
      <c r="U1834">
        <v>-2.6156009999999998</v>
      </c>
      <c r="V1834">
        <v>0.35328349999999997</v>
      </c>
      <c r="W1834">
        <v>0.1225074</v>
      </c>
      <c r="X1834">
        <v>0.92746039999999996</v>
      </c>
      <c r="Y1834">
        <v>0.53167129999999996</v>
      </c>
      <c r="Z1834">
        <v>1.0676130000000001E-2</v>
      </c>
      <c r="AA1834">
        <v>0.84688349999999901</v>
      </c>
      <c r="AB1834">
        <v>12</v>
      </c>
      <c r="AC1834">
        <v>4.5884999999999803</v>
      </c>
      <c r="AD1834">
        <v>-1.1199588510239999</v>
      </c>
      <c r="AE1834">
        <v>-7.0609000000000002</v>
      </c>
      <c r="AF1834">
        <v>4.4493581266740803</v>
      </c>
      <c r="AG1834">
        <v>-1.1199588510239999</v>
      </c>
      <c r="AH1834">
        <v>6.9764075689820002</v>
      </c>
      <c r="AI1834">
        <v>97.7081940012324</v>
      </c>
      <c r="AJ1834">
        <v>57.471405510159897</v>
      </c>
      <c r="AK1834">
        <v>8.3499316246264605</v>
      </c>
      <c r="AL1834">
        <v>82.963166361090401</v>
      </c>
      <c r="AM1834">
        <v>69.147416544536696</v>
      </c>
      <c r="AN1834">
        <v>1.00000004399758</v>
      </c>
    </row>
    <row r="1835" spans="1:40" x14ac:dyDescent="0.25">
      <c r="A1835" t="str">
        <f>"20190303161909850"</f>
        <v>20190303161909850</v>
      </c>
      <c r="B1835" t="str">
        <f>"1551601149844048"</f>
        <v>1551601149844048</v>
      </c>
      <c r="C1835" t="s">
        <v>40</v>
      </c>
      <c r="D1835">
        <v>5.2743409999999997</v>
      </c>
      <c r="E1835">
        <v>0.58093169999999905</v>
      </c>
      <c r="F1835" t="s">
        <v>46</v>
      </c>
      <c r="G1835">
        <v>-197.86859999999999</v>
      </c>
      <c r="H1835" s="1">
        <v>-5.8285619999999998E-6</v>
      </c>
      <c r="I1835">
        <v>357.54599999999999</v>
      </c>
      <c r="J1835">
        <v>-202.4391</v>
      </c>
      <c r="K1835">
        <v>1.119956</v>
      </c>
      <c r="L1835">
        <v>364.61540000000002</v>
      </c>
      <c r="M1835">
        <v>0.90885269999999996</v>
      </c>
      <c r="N1835">
        <v>-1.37234E-2</v>
      </c>
      <c r="O1835">
        <v>-0.41689159999999997</v>
      </c>
      <c r="P1835">
        <v>0.69714619999999905</v>
      </c>
      <c r="Q1835">
        <v>0.1113473</v>
      </c>
      <c r="R1835">
        <v>-0.70823000000000003</v>
      </c>
      <c r="S1835">
        <v>1.7106479999999999</v>
      </c>
      <c r="T1835">
        <v>-0.41301979999999999</v>
      </c>
      <c r="U1835">
        <v>-2.6200260000000002</v>
      </c>
      <c r="V1835">
        <v>0.35359010000000002</v>
      </c>
      <c r="W1835">
        <v>0.1226106</v>
      </c>
      <c r="X1835">
        <v>0.92732990000000004</v>
      </c>
      <c r="Y1835">
        <v>0.5311226</v>
      </c>
      <c r="Z1835">
        <v>1.1145739999999999E-2</v>
      </c>
      <c r="AA1835">
        <v>0.84722169999999897</v>
      </c>
      <c r="AB1835">
        <v>12</v>
      </c>
      <c r="AC1835">
        <v>4.5705000000000098</v>
      </c>
      <c r="AD1835">
        <v>-1.1199618285620001</v>
      </c>
      <c r="AE1835">
        <v>-7.0694000000000301</v>
      </c>
      <c r="AF1835">
        <v>4.4414525188015501</v>
      </c>
      <c r="AG1835">
        <v>-1.1199618285620001</v>
      </c>
      <c r="AH1835">
        <v>6.9782392365386396</v>
      </c>
      <c r="AI1835">
        <v>97.710702928326796</v>
      </c>
      <c r="AJ1835">
        <v>57.524396710025897</v>
      </c>
      <c r="AK1835">
        <v>8.3472533097164305</v>
      </c>
      <c r="AL1835">
        <v>82.957208428295701</v>
      </c>
      <c r="AM1835">
        <v>69.128193677585102</v>
      </c>
      <c r="AN1835">
        <v>1.0000000307421799</v>
      </c>
    </row>
    <row r="1836" spans="1:40" x14ac:dyDescent="0.25">
      <c r="A1836" t="str">
        <f>"20190303161909863"</f>
        <v>20190303161909863</v>
      </c>
      <c r="B1836" t="str">
        <f>"1551601149853807"</f>
        <v>1551601149853807</v>
      </c>
      <c r="C1836" t="s">
        <v>40</v>
      </c>
      <c r="D1836">
        <v>5.2755280000000004</v>
      </c>
      <c r="E1836">
        <v>0.58111769999999996</v>
      </c>
      <c r="F1836" t="s">
        <v>46</v>
      </c>
      <c r="G1836">
        <v>-197.80179999999999</v>
      </c>
      <c r="H1836" s="1">
        <v>-5.7837879999999899E-6</v>
      </c>
      <c r="I1836">
        <v>357.44349999999997</v>
      </c>
      <c r="J1836">
        <v>-202.37200000000001</v>
      </c>
      <c r="K1836">
        <v>1.1199589999999999</v>
      </c>
      <c r="L1836">
        <v>364.58049999999997</v>
      </c>
      <c r="M1836">
        <v>0.90750560000000002</v>
      </c>
      <c r="N1836">
        <v>-1.372086E-2</v>
      </c>
      <c r="O1836">
        <v>-0.41981580000000002</v>
      </c>
      <c r="P1836">
        <v>0.69474440000000004</v>
      </c>
      <c r="Q1836">
        <v>0.11147459999999999</v>
      </c>
      <c r="R1836">
        <v>-0.71056560000000002</v>
      </c>
      <c r="S1836">
        <v>1.6991270000000001</v>
      </c>
      <c r="T1836">
        <v>-0.410358</v>
      </c>
      <c r="U1836">
        <v>-2.6278079999999999</v>
      </c>
      <c r="V1836">
        <v>0.3537247</v>
      </c>
      <c r="W1836">
        <v>0.12273829999999999</v>
      </c>
      <c r="X1836">
        <v>0.92726169999999997</v>
      </c>
      <c r="Y1836">
        <v>0.5321863</v>
      </c>
      <c r="Z1836">
        <v>1.1323690000000001E-2</v>
      </c>
      <c r="AA1836">
        <v>0.84655159999999996</v>
      </c>
      <c r="AB1836">
        <v>12</v>
      </c>
      <c r="AC1836">
        <v>4.5702000000000202</v>
      </c>
      <c r="AD1836">
        <v>-1.119964783788</v>
      </c>
      <c r="AE1836">
        <v>-7.1369999999999996</v>
      </c>
      <c r="AF1836">
        <v>4.4804088859610802</v>
      </c>
      <c r="AG1836">
        <v>-1.119964783788</v>
      </c>
      <c r="AH1836">
        <v>7.0217526075418002</v>
      </c>
      <c r="AI1836">
        <v>97.658007599488698</v>
      </c>
      <c r="AJ1836">
        <v>57.4590467628393</v>
      </c>
      <c r="AK1836">
        <v>8.4043675897621508</v>
      </c>
      <c r="AL1836">
        <v>82.949836259761099</v>
      </c>
      <c r="AM1836">
        <v>69.119530040952696</v>
      </c>
      <c r="AN1836">
        <v>1.0000000569819301</v>
      </c>
    </row>
    <row r="1837" spans="1:40" x14ac:dyDescent="0.25">
      <c r="A1837" t="str">
        <f>"20190303161909880"</f>
        <v>20190303161909880</v>
      </c>
      <c r="B1837" t="str">
        <f>"1551601149874307"</f>
        <v>1551601149874307</v>
      </c>
      <c r="C1837" t="s">
        <v>40</v>
      </c>
      <c r="D1837">
        <v>5.278206</v>
      </c>
      <c r="E1837">
        <v>0.58150970000000002</v>
      </c>
      <c r="F1837" t="s">
        <v>46</v>
      </c>
      <c r="G1837">
        <v>-197.74799999999999</v>
      </c>
      <c r="H1837" s="1">
        <v>-5.7518539999999999E-6</v>
      </c>
      <c r="I1837">
        <v>357.37310000000002</v>
      </c>
      <c r="J1837">
        <v>-202.29499999999999</v>
      </c>
      <c r="K1837">
        <v>1.119964</v>
      </c>
      <c r="L1837">
        <v>364.54</v>
      </c>
      <c r="M1837">
        <v>0.90594439999999998</v>
      </c>
      <c r="N1837">
        <v>-1.371792E-2</v>
      </c>
      <c r="O1837">
        <v>-0.42317450000000001</v>
      </c>
      <c r="P1837">
        <v>0.69150269999999903</v>
      </c>
      <c r="Q1837">
        <v>0.1105954</v>
      </c>
      <c r="R1837">
        <v>-0.71385779999999999</v>
      </c>
      <c r="S1837">
        <v>1.6898959999999901</v>
      </c>
      <c r="T1837">
        <v>-0.40930440000000001</v>
      </c>
      <c r="U1837">
        <v>-2.6340029999999999</v>
      </c>
      <c r="V1837">
        <v>0.35463060000000002</v>
      </c>
      <c r="W1837">
        <v>0.1218552</v>
      </c>
      <c r="X1837">
        <v>0.92703210000000003</v>
      </c>
      <c r="Y1837">
        <v>0.53208730000000004</v>
      </c>
      <c r="Z1837">
        <v>1.173604E-2</v>
      </c>
      <c r="AA1837">
        <v>0.84660820000000003</v>
      </c>
      <c r="AB1837">
        <v>12</v>
      </c>
      <c r="AC1837">
        <v>4.5469999999999899</v>
      </c>
      <c r="AD1837">
        <v>-1.1199697518539999</v>
      </c>
      <c r="AE1837">
        <v>-7.1668999999999903</v>
      </c>
      <c r="AF1837">
        <v>4.49087446927805</v>
      </c>
      <c r="AG1837">
        <v>-1.1199697518539999</v>
      </c>
      <c r="AH1837">
        <v>7.0304393952428601</v>
      </c>
      <c r="AI1837">
        <v>97.646291011211204</v>
      </c>
      <c r="AJ1837">
        <v>57.430544907217701</v>
      </c>
      <c r="AK1837">
        <v>8.4172064150800097</v>
      </c>
      <c r="AL1837">
        <v>83.000816676779806</v>
      </c>
      <c r="AM1837">
        <v>69.065946497653499</v>
      </c>
      <c r="AN1837">
        <v>1.0000000333268999</v>
      </c>
    </row>
    <row r="1838" spans="1:40" x14ac:dyDescent="0.25">
      <c r="A1838" t="str">
        <f>"20190303161909892"</f>
        <v>20190303161909892</v>
      </c>
      <c r="B1838" t="str">
        <f>"1551601149884064"</f>
        <v>1551601149884064</v>
      </c>
      <c r="C1838" t="s">
        <v>40</v>
      </c>
      <c r="D1838">
        <v>5.4049050000000003</v>
      </c>
      <c r="E1838">
        <v>0.58155469999999998</v>
      </c>
      <c r="F1838" t="s">
        <v>46</v>
      </c>
      <c r="G1838">
        <v>-197.71960000000001</v>
      </c>
      <c r="H1838" s="1">
        <v>-5.7298809999999997E-6</v>
      </c>
      <c r="I1838">
        <v>357.32080000000002</v>
      </c>
      <c r="J1838">
        <v>-202.23509999999999</v>
      </c>
      <c r="K1838">
        <v>1.119969</v>
      </c>
      <c r="L1838">
        <v>364.50830000000002</v>
      </c>
      <c r="M1838">
        <v>0.90471860000000004</v>
      </c>
      <c r="N1838">
        <v>-1.371561E-2</v>
      </c>
      <c r="O1838">
        <v>-0.42578909999999998</v>
      </c>
      <c r="P1838">
        <v>0.6890693</v>
      </c>
      <c r="Q1838">
        <v>0.1104335</v>
      </c>
      <c r="R1838">
        <v>-0.71623219999999899</v>
      </c>
      <c r="S1838">
        <v>1.6752929999999999</v>
      </c>
      <c r="T1838">
        <v>-0.41007329999999997</v>
      </c>
      <c r="U1838">
        <v>-2.6433110000000002</v>
      </c>
      <c r="V1838">
        <v>0.35512949999999999</v>
      </c>
      <c r="W1838">
        <v>0.12169099999999999</v>
      </c>
      <c r="X1838">
        <v>0.92686270000000004</v>
      </c>
      <c r="Y1838">
        <v>0.53431530000000005</v>
      </c>
      <c r="Z1838">
        <v>1.194714E-2</v>
      </c>
      <c r="AA1838">
        <v>0.84520079999999997</v>
      </c>
      <c r="AB1838">
        <v>12</v>
      </c>
      <c r="AC1838">
        <v>4.5154999999999701</v>
      </c>
      <c r="AD1838">
        <v>-1.1199747298810001</v>
      </c>
      <c r="AE1838">
        <v>-7.1875</v>
      </c>
      <c r="AF1838">
        <v>4.5020664566103701</v>
      </c>
      <c r="AG1838">
        <v>-1.1199747298810001</v>
      </c>
      <c r="AH1838">
        <v>7.0240039177993996</v>
      </c>
      <c r="AI1838">
        <v>97.645770854441096</v>
      </c>
      <c r="AJ1838">
        <v>57.341979010724998</v>
      </c>
      <c r="AK1838">
        <v>8.4178130659078896</v>
      </c>
      <c r="AL1838">
        <v>83.010295390950105</v>
      </c>
      <c r="AM1838">
        <v>69.035554731141204</v>
      </c>
      <c r="AN1838">
        <v>1.00000006295126</v>
      </c>
    </row>
    <row r="1839" spans="1:40" x14ac:dyDescent="0.25">
      <c r="A1839" t="str">
        <f>"20190303161909903"</f>
        <v>20190303161909903</v>
      </c>
      <c r="B1839" t="str">
        <f>"1551601149893823"</f>
        <v>1551601149893823</v>
      </c>
      <c r="C1839" t="s">
        <v>40</v>
      </c>
      <c r="D1839">
        <v>5.1207589999999996</v>
      </c>
      <c r="E1839">
        <v>0.58155469999999998</v>
      </c>
      <c r="F1839" t="s">
        <v>46</v>
      </c>
      <c r="G1839">
        <v>-197.69130000000001</v>
      </c>
      <c r="H1839" s="1">
        <v>-5.713307E-6</v>
      </c>
      <c r="I1839">
        <v>357.28449999999998</v>
      </c>
      <c r="J1839">
        <v>-202.1788</v>
      </c>
      <c r="K1839">
        <v>1.119969</v>
      </c>
      <c r="L1839">
        <v>364.47829999999999</v>
      </c>
      <c r="M1839">
        <v>0.90355680000000005</v>
      </c>
      <c r="N1839">
        <v>-1.371344E-2</v>
      </c>
      <c r="O1839">
        <v>-0.42824859999999998</v>
      </c>
      <c r="P1839">
        <v>0.68665039999999999</v>
      </c>
      <c r="Q1839">
        <v>0.11028200000000001</v>
      </c>
      <c r="R1839">
        <v>-0.7185745</v>
      </c>
      <c r="S1839">
        <v>1.666183</v>
      </c>
      <c r="T1839">
        <v>-0.41068660000000001</v>
      </c>
      <c r="U1839">
        <v>-2.6489259999999999</v>
      </c>
      <c r="V1839">
        <v>0.35575289999999998</v>
      </c>
      <c r="W1839">
        <v>0.1215362</v>
      </c>
      <c r="X1839">
        <v>0.92664380000000002</v>
      </c>
      <c r="Y1839">
        <v>0.53491129999999998</v>
      </c>
      <c r="Z1839">
        <v>1.2267500000000001E-2</v>
      </c>
      <c r="AA1839">
        <v>0.84481919999999899</v>
      </c>
      <c r="AB1839">
        <v>12</v>
      </c>
      <c r="AC1839">
        <v>4.4874999999999803</v>
      </c>
      <c r="AD1839">
        <v>-1.1199747133069999</v>
      </c>
      <c r="AE1839">
        <v>-7.1938000000000004</v>
      </c>
      <c r="AF1839">
        <v>4.5001515029663004</v>
      </c>
      <c r="AG1839">
        <v>-1.1199747133069999</v>
      </c>
      <c r="AH1839">
        <v>7.0137385654381497</v>
      </c>
      <c r="AI1839">
        <v>97.654542235647398</v>
      </c>
      <c r="AJ1839">
        <v>57.314977361244097</v>
      </c>
      <c r="AK1839">
        <v>8.4082242817619601</v>
      </c>
      <c r="AL1839">
        <v>83.019230330302904</v>
      </c>
      <c r="AM1839">
        <v>68.997430975821203</v>
      </c>
      <c r="AN1839">
        <v>0.99999995292364396</v>
      </c>
    </row>
    <row r="1840" spans="1:40" x14ac:dyDescent="0.25">
      <c r="A1840" t="str">
        <f>"20190303161909916"</f>
        <v>20190303161909916</v>
      </c>
      <c r="B1840" t="str">
        <f>"1551601149904560"</f>
        <v>1551601149904560</v>
      </c>
      <c r="C1840" t="s">
        <v>40</v>
      </c>
      <c r="D1840">
        <v>5.1310830000000003</v>
      </c>
      <c r="E1840">
        <v>0.59213760000000004</v>
      </c>
      <c r="F1840" t="s">
        <v>46</v>
      </c>
      <c r="G1840">
        <v>-197.67</v>
      </c>
      <c r="H1840" s="1">
        <v>-5.703098E-6</v>
      </c>
      <c r="I1840">
        <v>357.26389999999998</v>
      </c>
      <c r="J1840">
        <v>-202.1217</v>
      </c>
      <c r="K1840">
        <v>1.119974</v>
      </c>
      <c r="L1840">
        <v>364.44760000000002</v>
      </c>
      <c r="M1840">
        <v>0.90237020000000001</v>
      </c>
      <c r="N1840">
        <v>-1.371118E-2</v>
      </c>
      <c r="O1840">
        <v>-0.43074380000000001</v>
      </c>
      <c r="P1840">
        <v>0.68372730000000004</v>
      </c>
      <c r="Q1840">
        <v>0.1104142</v>
      </c>
      <c r="R1840">
        <v>-0.72133639999999999</v>
      </c>
      <c r="S1840">
        <v>1.6583399999999999</v>
      </c>
      <c r="T1840">
        <v>-0.41192879999999898</v>
      </c>
      <c r="U1840">
        <v>-2.653473</v>
      </c>
      <c r="V1840">
        <v>0.35693709999999901</v>
      </c>
      <c r="W1840">
        <v>0.1216607</v>
      </c>
      <c r="X1840">
        <v>0.926172</v>
      </c>
      <c r="Y1840">
        <v>0.53502850000000002</v>
      </c>
      <c r="Z1840">
        <v>1.266925E-2</v>
      </c>
      <c r="AA1840">
        <v>0.84473909999999997</v>
      </c>
      <c r="AB1840">
        <v>12</v>
      </c>
      <c r="AC1840">
        <v>4.4517000000000104</v>
      </c>
      <c r="AD1840">
        <v>-1.1199797030979901</v>
      </c>
      <c r="AE1840">
        <v>-7.1837000000000399</v>
      </c>
      <c r="AF1840">
        <v>4.4864509791625196</v>
      </c>
      <c r="AG1840">
        <v>-1.1199797030979901</v>
      </c>
      <c r="AH1840">
        <v>6.9893347939639199</v>
      </c>
      <c r="AI1840">
        <v>97.680017866574801</v>
      </c>
      <c r="AJ1840">
        <v>57.303612114564103</v>
      </c>
      <c r="AK1840">
        <v>8.3805368435378007</v>
      </c>
      <c r="AL1840">
        <v>83.012043981499602</v>
      </c>
      <c r="AM1840">
        <v>68.9238537921361</v>
      </c>
      <c r="AN1840">
        <v>0.99999999643244997</v>
      </c>
    </row>
    <row r="1841" spans="1:40" x14ac:dyDescent="0.25">
      <c r="A1841" t="str">
        <f>"20190303161909928"</f>
        <v>20190303161909928</v>
      </c>
      <c r="B1841" t="str">
        <f>"1551601149924080"</f>
        <v>1551601149924080</v>
      </c>
      <c r="C1841" t="s">
        <v>40</v>
      </c>
      <c r="D1841">
        <v>5.0780880000000002</v>
      </c>
      <c r="E1841">
        <v>0.58753120000000003</v>
      </c>
      <c r="F1841" t="s">
        <v>46</v>
      </c>
      <c r="G1841">
        <v>-194.54349999999999</v>
      </c>
      <c r="H1841" s="1">
        <v>-2.2669689999999998E-6</v>
      </c>
      <c r="I1841">
        <v>351.39019999999999</v>
      </c>
      <c r="J1841">
        <v>-202.0607</v>
      </c>
      <c r="K1841">
        <v>1.1199779999999999</v>
      </c>
      <c r="L1841">
        <v>364.41469999999998</v>
      </c>
      <c r="M1841">
        <v>0.90109309999999998</v>
      </c>
      <c r="N1841">
        <v>-1.370877E-2</v>
      </c>
      <c r="O1841">
        <v>-0.43340879999999998</v>
      </c>
      <c r="P1841">
        <v>0.68015040000000004</v>
      </c>
      <c r="Q1841">
        <v>0.110434199999999</v>
      </c>
      <c r="R1841">
        <v>-0.72470679999999998</v>
      </c>
      <c r="S1841">
        <v>1.570435</v>
      </c>
      <c r="T1841">
        <v>-0.23209389999999999</v>
      </c>
      <c r="U1841">
        <v>-2.705902</v>
      </c>
      <c r="V1841">
        <v>0.35877940000000003</v>
      </c>
      <c r="W1841">
        <v>0.12166589999999999</v>
      </c>
      <c r="X1841">
        <v>0.92545920000000004</v>
      </c>
      <c r="Y1841">
        <v>0.56091669999999905</v>
      </c>
      <c r="Z1841">
        <v>1.890784E-3</v>
      </c>
      <c r="AA1841">
        <v>0.82787009999999905</v>
      </c>
      <c r="AB1841">
        <v>12</v>
      </c>
      <c r="AC1841">
        <v>7.5171999999999999</v>
      </c>
      <c r="AD1841">
        <v>-1.119980266969</v>
      </c>
      <c r="AE1841">
        <v>-13.0244999999999</v>
      </c>
      <c r="AF1841">
        <v>8.4322925646607398</v>
      </c>
      <c r="AG1841">
        <v>-1.119980266969</v>
      </c>
      <c r="AH1841">
        <v>12.351289235359699</v>
      </c>
      <c r="AI1841">
        <v>94.282831125655406</v>
      </c>
      <c r="AJ1841">
        <v>55.678433299963103</v>
      </c>
      <c r="AK1841">
        <v>14.9970750304833</v>
      </c>
      <c r="AL1841">
        <v>83.011743768281605</v>
      </c>
      <c r="AM1841">
        <v>68.809825382244895</v>
      </c>
      <c r="AN1841">
        <v>0.999999989975905</v>
      </c>
    </row>
    <row r="1842" spans="1:40" x14ac:dyDescent="0.25">
      <c r="A1842" t="str">
        <f>"20190303161909942"</f>
        <v>20190303161909942</v>
      </c>
      <c r="B1842" t="str">
        <f>"1551601149933839"</f>
        <v>1551601149933839</v>
      </c>
      <c r="C1842" t="s">
        <v>40</v>
      </c>
      <c r="D1842">
        <v>5.0843410000000002</v>
      </c>
      <c r="E1842">
        <v>0.58641160000000003</v>
      </c>
      <c r="F1842" t="s">
        <v>46</v>
      </c>
      <c r="G1842">
        <v>-193.74959999999999</v>
      </c>
      <c r="H1842" s="1">
        <v>-1.419419E-6</v>
      </c>
      <c r="I1842">
        <v>350.3152</v>
      </c>
      <c r="J1842">
        <v>-201.99379999999999</v>
      </c>
      <c r="K1842">
        <v>1.1199790000000001</v>
      </c>
      <c r="L1842">
        <v>364.37830000000002</v>
      </c>
      <c r="M1842">
        <v>0.89968219999999999</v>
      </c>
      <c r="N1842">
        <v>-1.370613E-2</v>
      </c>
      <c r="O1842">
        <v>-0.4363303</v>
      </c>
      <c r="P1842">
        <v>0.67593760000000003</v>
      </c>
      <c r="Q1842">
        <v>0.1102316</v>
      </c>
      <c r="R1842">
        <v>-0.72866850000000005</v>
      </c>
      <c r="S1842">
        <v>1.5833889999999999</v>
      </c>
      <c r="T1842">
        <v>-0.21337249999999999</v>
      </c>
      <c r="U1842">
        <v>-2.6861570000000001</v>
      </c>
      <c r="V1842">
        <v>0.36116979999999999</v>
      </c>
      <c r="W1842">
        <v>0.12144439999999999</v>
      </c>
      <c r="X1842">
        <v>0.92455799999999999</v>
      </c>
      <c r="Y1842">
        <v>0.552724199999999</v>
      </c>
      <c r="Z1842">
        <v>1.5859400000000001E-3</v>
      </c>
      <c r="AA1842">
        <v>0.83336279999999996</v>
      </c>
      <c r="AB1842">
        <v>12</v>
      </c>
      <c r="AC1842">
        <v>8.2441999999999993</v>
      </c>
      <c r="AD1842">
        <v>-1.119980419419</v>
      </c>
      <c r="AE1842">
        <v>-14.0631</v>
      </c>
      <c r="AF1842">
        <v>9.0134309968407802</v>
      </c>
      <c r="AG1842">
        <v>-1.119980419419</v>
      </c>
      <c r="AH1842">
        <v>13.4909086512779</v>
      </c>
      <c r="AI1842">
        <v>93.9487836316016</v>
      </c>
      <c r="AJ1842">
        <v>56.252660121747901</v>
      </c>
      <c r="AK1842">
        <v>16.263483965983902</v>
      </c>
      <c r="AL1842">
        <v>83.024529181480503</v>
      </c>
      <c r="AM1842">
        <v>68.662370166382601</v>
      </c>
      <c r="AN1842">
        <v>0.999999931043697</v>
      </c>
    </row>
    <row r="1843" spans="1:40" x14ac:dyDescent="0.25">
      <c r="A1843" t="str">
        <f>"20190303161909959"</f>
        <v>20190303161909959</v>
      </c>
      <c r="B1843" t="str">
        <f>"1551601149954336"</f>
        <v>1551601149954336</v>
      </c>
      <c r="C1843" t="s">
        <v>40</v>
      </c>
      <c r="D1843">
        <v>5.0591679999999997</v>
      </c>
      <c r="E1843">
        <v>0.58532720000000005</v>
      </c>
      <c r="F1843" t="s">
        <v>46</v>
      </c>
      <c r="G1843">
        <v>-193.422</v>
      </c>
      <c r="H1843" s="1">
        <v>-9.9326609999999993E-7</v>
      </c>
      <c r="I1843">
        <v>349.74250000000001</v>
      </c>
      <c r="J1843">
        <v>-201.91569999999999</v>
      </c>
      <c r="K1843">
        <v>1.1199809999999999</v>
      </c>
      <c r="L1843">
        <v>364.33530000000002</v>
      </c>
      <c r="M1843">
        <v>0.89801629999999999</v>
      </c>
      <c r="N1843">
        <v>-1.370301E-2</v>
      </c>
      <c r="O1843">
        <v>-0.4397488</v>
      </c>
      <c r="P1843">
        <v>0.66879500000000003</v>
      </c>
      <c r="Q1843">
        <v>0.1092026</v>
      </c>
      <c r="R1843">
        <v>-0.73538309999999996</v>
      </c>
      <c r="S1843">
        <v>1.574203</v>
      </c>
      <c r="T1843">
        <v>-0.20568410000000001</v>
      </c>
      <c r="U1843">
        <v>-2.6878660000000001</v>
      </c>
      <c r="V1843">
        <v>0.36681039999999998</v>
      </c>
      <c r="W1843">
        <v>0.12036570000000001</v>
      </c>
      <c r="X1843">
        <v>0.92247610000000002</v>
      </c>
      <c r="Y1843">
        <v>0.55194919999999903</v>
      </c>
      <c r="Z1843">
        <v>1.448352E-3</v>
      </c>
      <c r="AA1843">
        <v>0.83387649999999902</v>
      </c>
      <c r="AB1843">
        <v>12</v>
      </c>
      <c r="AC1843">
        <v>8.4936999999999898</v>
      </c>
      <c r="AD1843">
        <v>-1.1199819932660999</v>
      </c>
      <c r="AE1843">
        <v>-14.5928</v>
      </c>
      <c r="AF1843">
        <v>9.3293100339900796</v>
      </c>
      <c r="AG1843">
        <v>-1.1199819932660999</v>
      </c>
      <c r="AH1843">
        <v>13.984436592107199</v>
      </c>
      <c r="AI1843">
        <v>93.811587466453204</v>
      </c>
      <c r="AJ1843">
        <v>56.291918183355598</v>
      </c>
      <c r="AK1843">
        <v>16.8479925265361</v>
      </c>
      <c r="AL1843">
        <v>83.086791116730495</v>
      </c>
      <c r="AM1843">
        <v>68.315413266832195</v>
      </c>
      <c r="AN1843">
        <v>0.99999996317792905</v>
      </c>
    </row>
    <row r="1844" spans="1:40" x14ac:dyDescent="0.25">
      <c r="A1844" t="str">
        <f>"20190303161909973"</f>
        <v>20190303161909973</v>
      </c>
      <c r="B1844" t="str">
        <f>"1551601149964096"</f>
        <v>1551601149964096</v>
      </c>
      <c r="C1844" t="s">
        <v>40</v>
      </c>
      <c r="D1844">
        <v>5.0752410000000001</v>
      </c>
      <c r="E1844">
        <v>0.58488759999999995</v>
      </c>
      <c r="F1844" t="s">
        <v>41</v>
      </c>
      <c r="G1844">
        <v>-193.155</v>
      </c>
      <c r="H1844" s="1">
        <v>-4.6984050000000001E-6</v>
      </c>
      <c r="I1844">
        <v>349.14870000000002</v>
      </c>
      <c r="J1844">
        <v>-201.84970000000001</v>
      </c>
      <c r="K1844">
        <v>1.1199859999999999</v>
      </c>
      <c r="L1844">
        <v>364.29880000000003</v>
      </c>
      <c r="M1844">
        <v>0.89659699999999998</v>
      </c>
      <c r="N1844">
        <v>-1.3700489999999999E-2</v>
      </c>
      <c r="O1844">
        <v>-0.44263580000000002</v>
      </c>
      <c r="P1844">
        <v>0.66413659999999997</v>
      </c>
      <c r="Q1844">
        <v>0.1084812</v>
      </c>
      <c r="R1844">
        <v>-0.739699199999999</v>
      </c>
      <c r="S1844">
        <v>1.5547489999999999</v>
      </c>
      <c r="T1844">
        <v>-0.19876340000000001</v>
      </c>
      <c r="U1844">
        <v>-2.69516</v>
      </c>
      <c r="V1844">
        <v>0.36976369999999997</v>
      </c>
      <c r="W1844">
        <v>0.11961869999999999</v>
      </c>
      <c r="X1844">
        <v>0.92139360000000003</v>
      </c>
      <c r="Y1844">
        <v>0.55477959999999904</v>
      </c>
      <c r="Z1844">
        <v>1.1356669999999999E-3</v>
      </c>
      <c r="AA1844">
        <v>0.83199659999999998</v>
      </c>
      <c r="AB1844">
        <v>12</v>
      </c>
      <c r="AC1844">
        <v>8.6947000000000099</v>
      </c>
      <c r="AD1844">
        <v>-1.1199906984049901</v>
      </c>
      <c r="AE1844">
        <v>-15.1501</v>
      </c>
      <c r="AF1844">
        <v>9.6960000569718403</v>
      </c>
      <c r="AG1844">
        <v>-1.1199906984049901</v>
      </c>
      <c r="AH1844">
        <v>14.4435988856396</v>
      </c>
      <c r="AI1844">
        <v>93.6836818916439</v>
      </c>
      <c r="AJ1844">
        <v>56.1265048958196</v>
      </c>
      <c r="AK1844">
        <v>17.432278825172599</v>
      </c>
      <c r="AL1844">
        <v>83.129902785181798</v>
      </c>
      <c r="AM1844">
        <v>68.1339560451718</v>
      </c>
      <c r="AN1844">
        <v>0.99999999667417006</v>
      </c>
    </row>
    <row r="1845" spans="1:40" x14ac:dyDescent="0.25">
      <c r="A1845" t="str">
        <f>"20190303161909987"</f>
        <v>20190303161909987</v>
      </c>
      <c r="B1845" t="str">
        <f>"1551601149984592"</f>
        <v>1551601149984592</v>
      </c>
      <c r="C1845" t="s">
        <v>40</v>
      </c>
      <c r="D1845">
        <v>5.0642529999999999</v>
      </c>
      <c r="E1845">
        <v>0.58421309999999904</v>
      </c>
      <c r="F1845" t="s">
        <v>41</v>
      </c>
      <c r="G1845">
        <v>-193.2585</v>
      </c>
      <c r="H1845" s="1">
        <v>-4.7445960000000002E-6</v>
      </c>
      <c r="I1845">
        <v>349.23050000000001</v>
      </c>
      <c r="J1845">
        <v>-201.78059999999999</v>
      </c>
      <c r="K1845">
        <v>1.1199859999999999</v>
      </c>
      <c r="L1845">
        <v>364.26029999999997</v>
      </c>
      <c r="M1845">
        <v>0.89509570000000005</v>
      </c>
      <c r="N1845">
        <v>-1.369799E-2</v>
      </c>
      <c r="O1845">
        <v>-0.4456637</v>
      </c>
      <c r="P1845">
        <v>0.65930580000000005</v>
      </c>
      <c r="Q1845">
        <v>0.1071535</v>
      </c>
      <c r="R1845">
        <v>-0.74420030000000004</v>
      </c>
      <c r="S1845">
        <v>1.540543</v>
      </c>
      <c r="T1845">
        <v>-0.20083300000000001</v>
      </c>
      <c r="U1845">
        <v>-2.7019959999999998</v>
      </c>
      <c r="V1845">
        <v>0.37281839999999999</v>
      </c>
      <c r="W1845">
        <v>0.1182636</v>
      </c>
      <c r="X1845">
        <v>0.92033699999999996</v>
      </c>
      <c r="Y1845">
        <v>0.55616219999999905</v>
      </c>
      <c r="Z1845">
        <v>1.3808889999999999E-3</v>
      </c>
      <c r="AA1845">
        <v>0.83107260000000005</v>
      </c>
      <c r="AB1845">
        <v>12</v>
      </c>
      <c r="AC1845">
        <v>8.5220999999999894</v>
      </c>
      <c r="AD1845">
        <v>-1.119990744596</v>
      </c>
      <c r="AE1845">
        <v>-15.0297999999999</v>
      </c>
      <c r="AF1845">
        <v>9.6156196601659492</v>
      </c>
      <c r="AG1845">
        <v>-1.119990744596</v>
      </c>
      <c r="AH1845">
        <v>14.2677223466582</v>
      </c>
      <c r="AI1845">
        <v>93.724417352183906</v>
      </c>
      <c r="AJ1845">
        <v>56.022308629416401</v>
      </c>
      <c r="AK1845">
        <v>17.2418798765761</v>
      </c>
      <c r="AL1845">
        <v>83.208099528374703</v>
      </c>
      <c r="AM1845">
        <v>67.947671635548801</v>
      </c>
      <c r="AN1845">
        <v>1.0000000160162501</v>
      </c>
    </row>
    <row r="1846" spans="1:40" x14ac:dyDescent="0.25">
      <c r="A1846" t="str">
        <f>"20190303161910004"</f>
        <v>20190303161910004</v>
      </c>
      <c r="B1846" t="str">
        <f>"1551601149994352"</f>
        <v>1551601149994352</v>
      </c>
      <c r="C1846" t="s">
        <v>40</v>
      </c>
      <c r="D1846">
        <v>5.0837589999999997</v>
      </c>
      <c r="E1846">
        <v>0.58384139999999995</v>
      </c>
      <c r="F1846" t="s">
        <v>41</v>
      </c>
      <c r="G1846">
        <v>-193.24889999999999</v>
      </c>
      <c r="H1846" s="1">
        <v>-4.7085459999999999E-6</v>
      </c>
      <c r="I1846">
        <v>349.12959999999998</v>
      </c>
      <c r="J1846">
        <v>-201.7037</v>
      </c>
      <c r="K1846">
        <v>1.1199730000000001</v>
      </c>
      <c r="L1846">
        <v>364.21699999999998</v>
      </c>
      <c r="M1846">
        <v>0.89340450000000005</v>
      </c>
      <c r="N1846">
        <v>-1.3695479999999999E-2</v>
      </c>
      <c r="O1846">
        <v>-0.44904500000000003</v>
      </c>
      <c r="P1846">
        <v>0.65225180000000005</v>
      </c>
      <c r="Q1846">
        <v>0.1043235</v>
      </c>
      <c r="R1846">
        <v>-0.75078979999999995</v>
      </c>
      <c r="S1846">
        <v>1.5267029999999999</v>
      </c>
      <c r="T1846">
        <v>-0.2004155</v>
      </c>
      <c r="U1846">
        <v>-2.7075499999999999</v>
      </c>
      <c r="V1846">
        <v>0.37837369999999998</v>
      </c>
      <c r="W1846">
        <v>0.1153829</v>
      </c>
      <c r="X1846">
        <v>0.91843350000000001</v>
      </c>
      <c r="Y1846">
        <v>0.55697379999999996</v>
      </c>
      <c r="Z1846">
        <v>1.541022E-3</v>
      </c>
      <c r="AA1846">
        <v>0.83052859999999995</v>
      </c>
      <c r="AB1846">
        <v>12</v>
      </c>
      <c r="AC1846">
        <v>8.4548000000000005</v>
      </c>
      <c r="AD1846">
        <v>-1.1199777085460001</v>
      </c>
      <c r="AE1846">
        <v>-15.087400000000001</v>
      </c>
      <c r="AF1846">
        <v>9.6430321206457403</v>
      </c>
      <c r="AG1846">
        <v>-1.1199777085460001</v>
      </c>
      <c r="AH1846">
        <v>14.2699756829976</v>
      </c>
      <c r="AI1846">
        <v>93.720664677640201</v>
      </c>
      <c r="AJ1846">
        <v>55.950874287705098</v>
      </c>
      <c r="AK1846">
        <v>17.259044716924201</v>
      </c>
      <c r="AL1846">
        <v>83.374289261819797</v>
      </c>
      <c r="AM1846">
        <v>67.609453686149706</v>
      </c>
      <c r="AN1846">
        <v>0.99999998219317399</v>
      </c>
    </row>
    <row r="1847" spans="1:40" x14ac:dyDescent="0.25">
      <c r="A1847" t="str">
        <f>"20190303161910026"</f>
        <v>20190303161910026</v>
      </c>
      <c r="B1847" t="str">
        <f>"1551601150013872"</f>
        <v>1551601150013872</v>
      </c>
      <c r="C1847" t="s">
        <v>40</v>
      </c>
      <c r="D1847">
        <v>5.0794110000000003</v>
      </c>
      <c r="E1847">
        <v>0.5828816</v>
      </c>
      <c r="F1847" t="s">
        <v>41</v>
      </c>
      <c r="G1847">
        <v>-193.56290000000001</v>
      </c>
      <c r="H1847" s="1">
        <v>-4.8853789999999999E-6</v>
      </c>
      <c r="I1847">
        <v>349.48559999999998</v>
      </c>
      <c r="J1847">
        <v>-201.60069999999999</v>
      </c>
      <c r="K1847">
        <v>1.11995</v>
      </c>
      <c r="L1847">
        <v>364.15839999999997</v>
      </c>
      <c r="M1847">
        <v>0.89110849999999897</v>
      </c>
      <c r="N1847">
        <v>-1.369275E-2</v>
      </c>
      <c r="O1847">
        <v>-0.45358389999999998</v>
      </c>
      <c r="P1847">
        <v>0.64509559999999999</v>
      </c>
      <c r="Q1847">
        <v>0.1014615</v>
      </c>
      <c r="R1847">
        <v>-0.7573356</v>
      </c>
      <c r="S1847">
        <v>1.5026250000000001</v>
      </c>
      <c r="T1847">
        <v>-0.20672460000000001</v>
      </c>
      <c r="U1847">
        <v>-2.7191160000000001</v>
      </c>
      <c r="V1847">
        <v>0.3827583</v>
      </c>
      <c r="W1847">
        <v>0.1124766</v>
      </c>
      <c r="X1847">
        <v>0.91697609999999996</v>
      </c>
      <c r="Y1847">
        <v>0.55983879999999997</v>
      </c>
      <c r="Z1847">
        <v>2.0686459999999999E-3</v>
      </c>
      <c r="AA1847">
        <v>0.82859899999999997</v>
      </c>
      <c r="AB1847">
        <v>12</v>
      </c>
      <c r="AC1847">
        <v>8.0377999999999705</v>
      </c>
      <c r="AD1847">
        <v>-1.119954885379</v>
      </c>
      <c r="AE1847">
        <v>-14.672799999999899</v>
      </c>
      <c r="AF1847">
        <v>9.3880527174489306</v>
      </c>
      <c r="AG1847">
        <v>-1.119954885379</v>
      </c>
      <c r="AH1847">
        <v>13.757540455175601</v>
      </c>
      <c r="AI1847">
        <v>93.846913166026695</v>
      </c>
      <c r="AJ1847">
        <v>55.6906364415143</v>
      </c>
      <c r="AK1847">
        <v>16.6931049282834</v>
      </c>
      <c r="AL1847">
        <v>83.541899733876406</v>
      </c>
      <c r="AM1847">
        <v>67.343679119580798</v>
      </c>
      <c r="AN1847">
        <v>1.0000000348688201</v>
      </c>
    </row>
    <row r="1848" spans="1:40" x14ac:dyDescent="0.25">
      <c r="A1848" t="str">
        <f>"20190303161910041"</f>
        <v>20190303161910041</v>
      </c>
      <c r="B1848" t="str">
        <f>"1551601150034368"</f>
        <v>1551601150034368</v>
      </c>
      <c r="C1848" t="s">
        <v>40</v>
      </c>
      <c r="D1848">
        <v>5.0903179999999999</v>
      </c>
      <c r="E1848">
        <v>0.58194119999999905</v>
      </c>
      <c r="F1848" t="s">
        <v>46</v>
      </c>
      <c r="G1848">
        <v>-193.78290000000001</v>
      </c>
      <c r="H1848" s="1">
        <v>-1.0953999999999999E-6</v>
      </c>
      <c r="I1848">
        <v>349.75279999999998</v>
      </c>
      <c r="J1848">
        <v>-201.53030000000001</v>
      </c>
      <c r="K1848">
        <v>1.1199330000000001</v>
      </c>
      <c r="L1848">
        <v>364.11790000000002</v>
      </c>
      <c r="M1848">
        <v>0.88951089999999999</v>
      </c>
      <c r="N1848">
        <v>-1.369131E-2</v>
      </c>
      <c r="O1848">
        <v>-0.45670889999999997</v>
      </c>
      <c r="P1848">
        <v>0.64141800000000004</v>
      </c>
      <c r="Q1848">
        <v>9.9709359999999997E-2</v>
      </c>
      <c r="R1848">
        <v>-0.76068469999999999</v>
      </c>
      <c r="S1848">
        <v>1.4807129999999999</v>
      </c>
      <c r="T1848">
        <v>-0.212121</v>
      </c>
      <c r="U1848">
        <v>-2.7284549999999999</v>
      </c>
      <c r="V1848">
        <v>0.38418580000000002</v>
      </c>
      <c r="W1848">
        <v>0.11070670000000001</v>
      </c>
      <c r="X1848">
        <v>0.91659440000000003</v>
      </c>
      <c r="Y1848">
        <v>0.56321769999999904</v>
      </c>
      <c r="Z1848">
        <v>2.4397540000000001E-3</v>
      </c>
      <c r="AA1848">
        <v>0.82630499999999996</v>
      </c>
      <c r="AB1848">
        <v>12</v>
      </c>
      <c r="AC1848">
        <v>7.7473999999999901</v>
      </c>
      <c r="AD1848">
        <v>-1.1199340954000001</v>
      </c>
      <c r="AE1848">
        <v>-14.3651</v>
      </c>
      <c r="AF1848">
        <v>9.19716688070001</v>
      </c>
      <c r="AG1848">
        <v>-1.1199340954000001</v>
      </c>
      <c r="AH1848">
        <v>13.390277364183101</v>
      </c>
      <c r="AI1848">
        <v>93.943838431734406</v>
      </c>
      <c r="AJ1848">
        <v>55.516614324363303</v>
      </c>
      <c r="AK1848">
        <v>16.2831710332858</v>
      </c>
      <c r="AL1848">
        <v>83.643944669702805</v>
      </c>
      <c r="AM1848">
        <v>67.259257679483397</v>
      </c>
      <c r="AN1848">
        <v>0.99999999822894503</v>
      </c>
    </row>
    <row r="1849" spans="1:40" x14ac:dyDescent="0.25">
      <c r="A1849" t="str">
        <f>"20190303161910055"</f>
        <v>20190303161910055</v>
      </c>
      <c r="B1849" t="str">
        <f>"1551601150044128"</f>
        <v>1551601150044128</v>
      </c>
      <c r="C1849" t="s">
        <v>40</v>
      </c>
      <c r="D1849">
        <v>5.0968859999999996</v>
      </c>
      <c r="E1849">
        <v>0.58194119999999905</v>
      </c>
      <c r="F1849" t="s">
        <v>46</v>
      </c>
      <c r="G1849">
        <v>-193.80260000000001</v>
      </c>
      <c r="H1849" s="1">
        <v>-1.1178769999999999E-6</v>
      </c>
      <c r="I1849">
        <v>349.78199999999998</v>
      </c>
      <c r="J1849">
        <v>-201.4607</v>
      </c>
      <c r="K1849">
        <v>1.119915</v>
      </c>
      <c r="L1849">
        <v>364.07760000000002</v>
      </c>
      <c r="M1849">
        <v>0.88791500000000001</v>
      </c>
      <c r="N1849">
        <v>-1.3690219999999999E-2</v>
      </c>
      <c r="O1849">
        <v>-0.45980389999999999</v>
      </c>
      <c r="P1849">
        <v>0.63838359999999905</v>
      </c>
      <c r="Q1849">
        <v>9.8410010000000006E-2</v>
      </c>
      <c r="R1849">
        <v>-0.76340169999999996</v>
      </c>
      <c r="S1849">
        <v>1.471954</v>
      </c>
      <c r="T1849">
        <v>-0.21332229999999999</v>
      </c>
      <c r="U1849">
        <v>-2.7306819999999998</v>
      </c>
      <c r="V1849">
        <v>0.38479089999999999</v>
      </c>
      <c r="W1849">
        <v>0.1093958</v>
      </c>
      <c r="X1849">
        <v>0.91649800000000003</v>
      </c>
      <c r="Y1849">
        <v>0.56267339999999999</v>
      </c>
      <c r="Z1849">
        <v>2.7569980000000001E-3</v>
      </c>
      <c r="AA1849">
        <v>0.82667469999999998</v>
      </c>
      <c r="AB1849">
        <v>12</v>
      </c>
      <c r="AC1849">
        <v>7.6580999999999904</v>
      </c>
      <c r="AD1849">
        <v>-1.1199161178770001</v>
      </c>
      <c r="AE1849">
        <v>-14.2956</v>
      </c>
      <c r="AF1849">
        <v>9.1293776079537992</v>
      </c>
      <c r="AG1849">
        <v>-1.1199161178770001</v>
      </c>
      <c r="AH1849">
        <v>13.310692867625599</v>
      </c>
      <c r="AI1849">
        <v>93.969099988669797</v>
      </c>
      <c r="AJ1849">
        <v>55.555022686936901</v>
      </c>
      <c r="AK1849">
        <v>16.179440417886799</v>
      </c>
      <c r="AL1849">
        <v>83.719512925652197</v>
      </c>
      <c r="AM1849">
        <v>67.224942047689495</v>
      </c>
      <c r="AN1849">
        <v>1.0000000308922199</v>
      </c>
    </row>
    <row r="1850" spans="1:40" x14ac:dyDescent="0.25">
      <c r="A1850" t="str">
        <f>"20190303161910070"</f>
        <v>20190303161910070</v>
      </c>
      <c r="B1850" t="str">
        <f>"1551601150064624"</f>
        <v>1551601150064624</v>
      </c>
      <c r="C1850" t="s">
        <v>40</v>
      </c>
      <c r="D1850">
        <v>5.0891339999999996</v>
      </c>
      <c r="E1850">
        <v>0.57268180000000002</v>
      </c>
      <c r="F1850" t="s">
        <v>46</v>
      </c>
      <c r="G1850">
        <v>-193.90389999999999</v>
      </c>
      <c r="H1850" s="1">
        <v>-1.2237489999999999E-6</v>
      </c>
      <c r="I1850">
        <v>349.9153</v>
      </c>
      <c r="J1850">
        <v>-201.39670000000001</v>
      </c>
      <c r="K1850">
        <v>1.1198889999999999</v>
      </c>
      <c r="L1850">
        <v>364.04020000000003</v>
      </c>
      <c r="M1850">
        <v>0.88642690000000002</v>
      </c>
      <c r="N1850">
        <v>-1.3689420000000001E-2</v>
      </c>
      <c r="O1850">
        <v>-0.46266639999999998</v>
      </c>
      <c r="P1850">
        <v>0.63598369999999904</v>
      </c>
      <c r="Q1850">
        <v>9.5381359999999998E-2</v>
      </c>
      <c r="R1850">
        <v>-0.7657853</v>
      </c>
      <c r="S1850">
        <v>1.460175</v>
      </c>
      <c r="T1850">
        <v>-0.2163967</v>
      </c>
      <c r="U1850">
        <v>-2.736542</v>
      </c>
      <c r="V1850">
        <v>0.3850403</v>
      </c>
      <c r="W1850">
        <v>0.10636180000000001</v>
      </c>
      <c r="X1850">
        <v>0.91675030000000002</v>
      </c>
      <c r="Y1850">
        <v>0.56349719999999903</v>
      </c>
      <c r="Z1850">
        <v>3.10152E-3</v>
      </c>
      <c r="AA1850">
        <v>0.82611209999999902</v>
      </c>
      <c r="AB1850">
        <v>12</v>
      </c>
      <c r="AC1850">
        <v>7.4928000000000097</v>
      </c>
      <c r="AD1850">
        <v>-1.1198902237489901</v>
      </c>
      <c r="AE1850">
        <v>-14.1249</v>
      </c>
      <c r="AF1850">
        <v>9.0106686638942701</v>
      </c>
      <c r="AG1850">
        <v>-1.1198902237489901</v>
      </c>
      <c r="AH1850">
        <v>13.1138373940808</v>
      </c>
      <c r="AI1850">
        <v>94.026064606437103</v>
      </c>
      <c r="AJ1850">
        <v>55.506594359199298</v>
      </c>
      <c r="AK1850">
        <v>15.950518332710301</v>
      </c>
      <c r="AL1850">
        <v>83.894368577150601</v>
      </c>
      <c r="AM1850">
        <v>67.217319390174694</v>
      </c>
      <c r="AN1850">
        <v>0.99999998883670904</v>
      </c>
    </row>
    <row r="1851" spans="1:40" x14ac:dyDescent="0.25">
      <c r="A1851" t="str">
        <f>"20190303161910083"</f>
        <v>20190303161910083</v>
      </c>
      <c r="B1851" t="str">
        <f>"1551601150074384"</f>
        <v>1551601150074384</v>
      </c>
      <c r="C1851" t="s">
        <v>40</v>
      </c>
      <c r="D1851">
        <v>5.0556130000000001</v>
      </c>
      <c r="E1851">
        <v>0.57230409999999998</v>
      </c>
      <c r="F1851" t="s">
        <v>41</v>
      </c>
      <c r="G1851">
        <v>-192.17939999999999</v>
      </c>
      <c r="H1851" s="1">
        <v>-3.9735939999999998E-6</v>
      </c>
      <c r="I1851">
        <v>347.5274</v>
      </c>
      <c r="J1851">
        <v>-201.3372</v>
      </c>
      <c r="K1851">
        <v>1.119872</v>
      </c>
      <c r="L1851">
        <v>364.0052</v>
      </c>
      <c r="M1851">
        <v>0.88502919999999996</v>
      </c>
      <c r="N1851">
        <v>-1.3688870000000001E-2</v>
      </c>
      <c r="O1851">
        <v>-0.46533459999999899</v>
      </c>
      <c r="P1851">
        <v>0.63435330000000001</v>
      </c>
      <c r="Q1851">
        <v>9.4024999999999997E-2</v>
      </c>
      <c r="R1851">
        <v>-0.76730419999999999</v>
      </c>
      <c r="S1851">
        <v>1.502777</v>
      </c>
      <c r="T1851">
        <v>-0.1825862</v>
      </c>
      <c r="U1851">
        <v>-2.6922299999999999</v>
      </c>
      <c r="V1851">
        <v>0.38437199999999999</v>
      </c>
      <c r="W1851">
        <v>0.10500669999999999</v>
      </c>
      <c r="X1851">
        <v>0.91718690000000003</v>
      </c>
      <c r="Y1851">
        <v>0.54541680000000003</v>
      </c>
      <c r="Z1851">
        <v>2.0299770000000001E-3</v>
      </c>
      <c r="AA1851">
        <v>0.83816250000000003</v>
      </c>
      <c r="AB1851">
        <v>12</v>
      </c>
      <c r="AC1851">
        <v>9.1577999999999999</v>
      </c>
      <c r="AD1851">
        <v>-1.119875973594</v>
      </c>
      <c r="AE1851">
        <v>-16.477799999999998</v>
      </c>
      <c r="AF1851">
        <v>10.2865577782421</v>
      </c>
      <c r="AG1851">
        <v>-1.119875973594</v>
      </c>
      <c r="AH1851">
        <v>15.7186161379048</v>
      </c>
      <c r="AI1851">
        <v>93.411617449878406</v>
      </c>
      <c r="AJ1851">
        <v>56.798510561081898</v>
      </c>
      <c r="AK1851">
        <v>18.818668561089702</v>
      </c>
      <c r="AL1851">
        <v>83.972447578353197</v>
      </c>
      <c r="AM1851">
        <v>67.262559699064894</v>
      </c>
      <c r="AN1851">
        <v>1.0000000254802499</v>
      </c>
    </row>
    <row r="1852" spans="1:40" x14ac:dyDescent="0.25">
      <c r="A1852" t="str">
        <f>"20190303161910094"</f>
        <v>20190303161910094</v>
      </c>
      <c r="B1852" t="str">
        <f>"1551601150084145"</f>
        <v>1551601150084145</v>
      </c>
      <c r="C1852" t="s">
        <v>40</v>
      </c>
      <c r="D1852">
        <v>5.0891500000000001</v>
      </c>
      <c r="E1852">
        <v>0.57217910000000005</v>
      </c>
      <c r="F1852" t="s">
        <v>41</v>
      </c>
      <c r="G1852">
        <v>-192.18770000000001</v>
      </c>
      <c r="H1852" s="1">
        <v>-3.9866229999999997E-6</v>
      </c>
      <c r="I1852">
        <v>347.56130000000002</v>
      </c>
      <c r="J1852">
        <v>-201.28479999999999</v>
      </c>
      <c r="K1852">
        <v>1.1198589999999999</v>
      </c>
      <c r="L1852">
        <v>363.97410000000002</v>
      </c>
      <c r="M1852">
        <v>0.883781699999999</v>
      </c>
      <c r="N1852">
        <v>-1.3688530000000001E-2</v>
      </c>
      <c r="O1852">
        <v>-0.46769929999999899</v>
      </c>
      <c r="P1852">
        <v>0.63318450000000004</v>
      </c>
      <c r="Q1852">
        <v>9.2522279999999998E-2</v>
      </c>
      <c r="R1852">
        <v>-0.76845129999999995</v>
      </c>
      <c r="S1852">
        <v>1.4985809999999999</v>
      </c>
      <c r="T1852">
        <v>-0.18342140000000001</v>
      </c>
      <c r="U1852">
        <v>-2.693298</v>
      </c>
      <c r="V1852">
        <v>0.38347039999999999</v>
      </c>
      <c r="W1852">
        <v>0.1035095</v>
      </c>
      <c r="X1852">
        <v>0.9177343</v>
      </c>
      <c r="Y1852">
        <v>0.54431470000000004</v>
      </c>
      <c r="Z1852">
        <v>2.270907E-3</v>
      </c>
      <c r="AA1852">
        <v>0.83887809999999896</v>
      </c>
      <c r="AB1852">
        <v>12</v>
      </c>
      <c r="AC1852">
        <v>9.0970999999999798</v>
      </c>
      <c r="AD1852">
        <v>-1.1198629866230001</v>
      </c>
      <c r="AE1852">
        <v>-16.412800000000001</v>
      </c>
      <c r="AF1852">
        <v>10.2152047579723</v>
      </c>
      <c r="AG1852">
        <v>-1.1198629866230001</v>
      </c>
      <c r="AH1852">
        <v>15.661799811451599</v>
      </c>
      <c r="AI1852">
        <v>93.427338920303299</v>
      </c>
      <c r="AJ1852">
        <v>56.886123580416303</v>
      </c>
      <c r="AK1852">
        <v>18.732230905316499</v>
      </c>
      <c r="AL1852">
        <v>84.058700759302795</v>
      </c>
      <c r="AM1852">
        <v>67.322648146926895</v>
      </c>
      <c r="AN1852">
        <v>1.0000000048314499</v>
      </c>
    </row>
    <row r="1853" spans="1:40" x14ac:dyDescent="0.25">
      <c r="A1853" t="str">
        <f>"20190303161910106"</f>
        <v>20190303161910106</v>
      </c>
      <c r="B1853" t="str">
        <f>"1551601150093904"</f>
        <v>1551601150093904</v>
      </c>
      <c r="C1853" t="s">
        <v>40</v>
      </c>
      <c r="D1853">
        <v>5.0721239999999996</v>
      </c>
      <c r="E1853">
        <v>0.57161070000000003</v>
      </c>
      <c r="F1853" t="s">
        <v>41</v>
      </c>
      <c r="G1853">
        <v>-192.11859999999999</v>
      </c>
      <c r="H1853" s="1">
        <v>-3.9295490000000001E-6</v>
      </c>
      <c r="I1853">
        <v>347.435</v>
      </c>
      <c r="J1853">
        <v>-201.2286</v>
      </c>
      <c r="K1853">
        <v>1.1198490000000001</v>
      </c>
      <c r="L1853">
        <v>363.94069999999999</v>
      </c>
      <c r="M1853">
        <v>0.88243349999999898</v>
      </c>
      <c r="N1853">
        <v>-1.3688179999999999E-2</v>
      </c>
      <c r="O1853">
        <v>-0.47023799999999999</v>
      </c>
      <c r="P1853">
        <v>0.6317178</v>
      </c>
      <c r="Q1853">
        <v>9.1222800000000007E-2</v>
      </c>
      <c r="R1853">
        <v>-0.76981250000000001</v>
      </c>
      <c r="S1853">
        <v>1.4937129999999901</v>
      </c>
      <c r="T1853">
        <v>-0.18249119999999999</v>
      </c>
      <c r="U1853">
        <v>-2.6951900000000002</v>
      </c>
      <c r="V1853">
        <v>0.3827139</v>
      </c>
      <c r="W1853">
        <v>0.1022132</v>
      </c>
      <c r="X1853">
        <v>0.91819519999999999</v>
      </c>
      <c r="Y1853">
        <v>0.54331989999999997</v>
      </c>
      <c r="Z1853">
        <v>2.3979230000000002E-3</v>
      </c>
      <c r="AA1853">
        <v>0.83952229999999906</v>
      </c>
      <c r="AB1853">
        <v>12</v>
      </c>
      <c r="AC1853">
        <v>9.1100000000000101</v>
      </c>
      <c r="AD1853">
        <v>-1.1198529295489901</v>
      </c>
      <c r="AE1853">
        <v>-16.505699999999901</v>
      </c>
      <c r="AF1853">
        <v>10.246126052141699</v>
      </c>
      <c r="AG1853">
        <v>-1.1198529295489901</v>
      </c>
      <c r="AH1853">
        <v>15.746498161453699</v>
      </c>
      <c r="AI1853">
        <v>93.411320115418903</v>
      </c>
      <c r="AJ1853">
        <v>56.948254227739604</v>
      </c>
      <c r="AK1853">
        <v>18.819919606865</v>
      </c>
      <c r="AL1853">
        <v>84.133369003707102</v>
      </c>
      <c r="AM1853">
        <v>67.373086896489994</v>
      </c>
      <c r="AN1853">
        <v>0.99999994640524303</v>
      </c>
    </row>
    <row r="1854" spans="1:40" x14ac:dyDescent="0.25">
      <c r="A1854" t="str">
        <f>"20190303161910127"</f>
        <v>20190303161910127</v>
      </c>
      <c r="B1854" t="str">
        <f>"1551601150114401"</f>
        <v>1551601150114401</v>
      </c>
      <c r="C1854" t="s">
        <v>40</v>
      </c>
      <c r="D1854">
        <v>5.0856260000000004</v>
      </c>
      <c r="E1854">
        <v>0.5709149</v>
      </c>
      <c r="F1854" t="s">
        <v>41</v>
      </c>
      <c r="G1854">
        <v>-192.05090000000001</v>
      </c>
      <c r="H1854" s="1">
        <v>-3.8769339999999998E-6</v>
      </c>
      <c r="I1854">
        <v>347.35430000000002</v>
      </c>
      <c r="J1854">
        <v>-201.13749999999999</v>
      </c>
      <c r="K1854">
        <v>1.119837</v>
      </c>
      <c r="L1854">
        <v>363.88569999999999</v>
      </c>
      <c r="M1854">
        <v>0.88021380000000005</v>
      </c>
      <c r="N1854">
        <v>-1.3687650000000001E-2</v>
      </c>
      <c r="O1854">
        <v>-0.47438019999999997</v>
      </c>
      <c r="P1854">
        <v>0.62936939999999997</v>
      </c>
      <c r="Q1854">
        <v>8.8712529999999998E-2</v>
      </c>
      <c r="R1854">
        <v>-0.77202630000000005</v>
      </c>
      <c r="S1854">
        <v>1.4911350000000001</v>
      </c>
      <c r="T1854">
        <v>-0.181947</v>
      </c>
      <c r="U1854">
        <v>-2.694855</v>
      </c>
      <c r="V1854">
        <v>0.3814419</v>
      </c>
      <c r="W1854">
        <v>9.9713590000000005E-2</v>
      </c>
      <c r="X1854">
        <v>0.91899909999999996</v>
      </c>
      <c r="Y1854">
        <v>0.5399545</v>
      </c>
      <c r="Z1854">
        <v>2.7423149999999999E-3</v>
      </c>
      <c r="AA1854">
        <v>0.84168980000000004</v>
      </c>
      <c r="AB1854">
        <v>12</v>
      </c>
      <c r="AC1854">
        <v>9.0865999999999705</v>
      </c>
      <c r="AD1854">
        <v>-1.119840876934</v>
      </c>
      <c r="AE1854">
        <v>-16.531399999999898</v>
      </c>
      <c r="AF1854">
        <v>10.2056562075659</v>
      </c>
      <c r="AG1854">
        <v>-1.119840876934</v>
      </c>
      <c r="AH1854">
        <v>15.7861703908388</v>
      </c>
      <c r="AI1854">
        <v>93.409244496548595</v>
      </c>
      <c r="AJ1854">
        <v>57.117595294331302</v>
      </c>
      <c r="AK1854">
        <v>18.831161350943798</v>
      </c>
      <c r="AL1854">
        <v>84.2773222374055</v>
      </c>
      <c r="AM1854">
        <v>67.458503883357295</v>
      </c>
      <c r="AN1854">
        <v>1.00000003445355</v>
      </c>
    </row>
    <row r="1855" spans="1:40" x14ac:dyDescent="0.25">
      <c r="A1855" t="str">
        <f>"20190303161910138"</f>
        <v>20190303161910138</v>
      </c>
      <c r="B1855" t="str">
        <f>"1551601150134446"</f>
        <v>1551601150134446</v>
      </c>
      <c r="C1855" t="s">
        <v>40</v>
      </c>
      <c r="D1855">
        <v>5.0789720000000003</v>
      </c>
      <c r="E1855">
        <v>0.57041500000000001</v>
      </c>
      <c r="F1855" t="s">
        <v>41</v>
      </c>
      <c r="G1855">
        <v>-192.02</v>
      </c>
      <c r="H1855" s="1">
        <v>-3.8558499999999997E-6</v>
      </c>
      <c r="I1855">
        <v>347.32429999999999</v>
      </c>
      <c r="J1855">
        <v>-201.08269999999999</v>
      </c>
      <c r="K1855">
        <v>1.1198330000000001</v>
      </c>
      <c r="L1855">
        <v>363.85239999999999</v>
      </c>
      <c r="M1855">
        <v>0.87886339999999996</v>
      </c>
      <c r="N1855">
        <v>-1.368718E-2</v>
      </c>
      <c r="O1855">
        <v>-0.47687750000000001</v>
      </c>
      <c r="P1855">
        <v>0.62733749999999999</v>
      </c>
      <c r="Q1855">
        <v>8.7424299999999996E-2</v>
      </c>
      <c r="R1855">
        <v>-0.77382499999999999</v>
      </c>
      <c r="S1855">
        <v>1.4845889999999999</v>
      </c>
      <c r="T1855">
        <v>-0.18234300000000001</v>
      </c>
      <c r="U1855">
        <v>-2.6966860000000001</v>
      </c>
      <c r="V1855">
        <v>0.38137189999999999</v>
      </c>
      <c r="W1855">
        <v>9.8428180000000004E-2</v>
      </c>
      <c r="X1855">
        <v>0.9191667</v>
      </c>
      <c r="Y1855">
        <v>0.53937500000000005</v>
      </c>
      <c r="Z1855">
        <v>2.9433049999999998E-3</v>
      </c>
      <c r="AA1855">
        <v>0.84206049999999999</v>
      </c>
      <c r="AB1855">
        <v>12</v>
      </c>
      <c r="AC1855">
        <v>9.0626999999999693</v>
      </c>
      <c r="AD1855">
        <v>-1.11983685585</v>
      </c>
      <c r="AE1855">
        <v>-16.528099999999899</v>
      </c>
      <c r="AF1855">
        <v>10.169207294808199</v>
      </c>
      <c r="AG1855">
        <v>-1.11983685585</v>
      </c>
      <c r="AH1855">
        <v>15.7924979183255</v>
      </c>
      <c r="AI1855">
        <v>93.411847731891399</v>
      </c>
      <c r="AJ1855">
        <v>57.2214431387861</v>
      </c>
      <c r="AK1855">
        <v>18.816742600376301</v>
      </c>
      <c r="AL1855">
        <v>84.351334883378001</v>
      </c>
      <c r="AM1855">
        <v>67.465925462875703</v>
      </c>
      <c r="AN1855">
        <v>1.0000000275583001</v>
      </c>
    </row>
    <row r="1856" spans="1:40" x14ac:dyDescent="0.25">
      <c r="A1856" t="str">
        <f>"20190303161910151"</f>
        <v>20190303161910151</v>
      </c>
      <c r="B1856" t="str">
        <f>"1551601150144186"</f>
        <v>1551601150144186</v>
      </c>
      <c r="C1856" t="s">
        <v>40</v>
      </c>
      <c r="D1856">
        <v>5.0362749999999998</v>
      </c>
      <c r="E1856">
        <v>0.57008780000000003</v>
      </c>
      <c r="F1856" t="s">
        <v>41</v>
      </c>
      <c r="G1856">
        <v>-191.85</v>
      </c>
      <c r="H1856" s="1">
        <v>-3.6808119999999999E-6</v>
      </c>
      <c r="I1856">
        <v>347.02179999999998</v>
      </c>
      <c r="J1856">
        <v>-201.02799999999999</v>
      </c>
      <c r="K1856">
        <v>1.119828</v>
      </c>
      <c r="L1856">
        <v>363.81900000000002</v>
      </c>
      <c r="M1856">
        <v>0.87750269999999997</v>
      </c>
      <c r="N1856">
        <v>-1.3686490000000001E-2</v>
      </c>
      <c r="O1856">
        <v>-0.47937649999999998</v>
      </c>
      <c r="P1856">
        <v>0.62495900000000004</v>
      </c>
      <c r="Q1856">
        <v>8.6378689999999994E-2</v>
      </c>
      <c r="R1856">
        <v>-0.7758642</v>
      </c>
      <c r="S1856">
        <v>1.4797819999999999</v>
      </c>
      <c r="T1856">
        <v>-0.17948220000000001</v>
      </c>
      <c r="U1856">
        <v>-2.69754</v>
      </c>
      <c r="V1856">
        <v>0.38167590000000001</v>
      </c>
      <c r="W1856">
        <v>9.7382759999999999E-2</v>
      </c>
      <c r="X1856">
        <v>0.91915179999999996</v>
      </c>
      <c r="Y1856">
        <v>0.53825970000000001</v>
      </c>
      <c r="Z1856">
        <v>2.932306E-3</v>
      </c>
      <c r="AA1856">
        <v>0.84277389999999996</v>
      </c>
      <c r="AB1856">
        <v>12</v>
      </c>
      <c r="AC1856">
        <v>9.1779999999999902</v>
      </c>
      <c r="AD1856">
        <v>-1.1198316808119999</v>
      </c>
      <c r="AE1856">
        <v>-16.7972</v>
      </c>
      <c r="AF1856">
        <v>10.3055655913259</v>
      </c>
      <c r="AG1856">
        <v>-1.1198316808119999</v>
      </c>
      <c r="AH1856">
        <v>16.0524671532193</v>
      </c>
      <c r="AI1856">
        <v>93.359652316249694</v>
      </c>
      <c r="AJ1856">
        <v>57.299836124977801</v>
      </c>
      <c r="AK1856">
        <v>19.108647436583698</v>
      </c>
      <c r="AL1856">
        <v>84.4115218332783</v>
      </c>
      <c r="AM1856">
        <v>67.449431809127006</v>
      </c>
      <c r="AN1856">
        <v>0.99999996301463301</v>
      </c>
    </row>
    <row r="1857" spans="1:40" x14ac:dyDescent="0.25">
      <c r="A1857" t="str">
        <f>"20190303161910162"</f>
        <v>20190303161910162</v>
      </c>
      <c r="B1857" t="str">
        <f>"1551601150153946"</f>
        <v>1551601150153946</v>
      </c>
      <c r="C1857" t="s">
        <v>40</v>
      </c>
      <c r="D1857">
        <v>5.0424730000000002</v>
      </c>
      <c r="E1857">
        <v>0.5698761</v>
      </c>
      <c r="F1857" t="s">
        <v>41</v>
      </c>
      <c r="G1857">
        <v>-191.8151</v>
      </c>
      <c r="H1857" s="1">
        <v>-3.6348349999999998E-6</v>
      </c>
      <c r="I1857">
        <v>346.93619999999999</v>
      </c>
      <c r="J1857">
        <v>-200.97319999999999</v>
      </c>
      <c r="K1857">
        <v>1.119829</v>
      </c>
      <c r="L1857">
        <v>363.78519999999997</v>
      </c>
      <c r="M1857">
        <v>0.876127399999999</v>
      </c>
      <c r="N1857">
        <v>-1.3685549999999999E-2</v>
      </c>
      <c r="O1857">
        <v>-0.48188530000000002</v>
      </c>
      <c r="P1857">
        <v>0.62235479999999999</v>
      </c>
      <c r="Q1857">
        <v>8.5025980000000001E-2</v>
      </c>
      <c r="R1857">
        <v>-0.77810380000000001</v>
      </c>
      <c r="S1857">
        <v>1.473282</v>
      </c>
      <c r="T1857">
        <v>-0.1790776</v>
      </c>
      <c r="U1857">
        <v>-2.6997990000000001</v>
      </c>
      <c r="V1857">
        <v>0.38225140000000002</v>
      </c>
      <c r="W1857">
        <v>9.6029210000000004E-2</v>
      </c>
      <c r="X1857">
        <v>0.91905510000000001</v>
      </c>
      <c r="Y1857">
        <v>0.53771259999999999</v>
      </c>
      <c r="Z1857">
        <v>3.071215E-3</v>
      </c>
      <c r="AA1857">
        <v>0.843122699999999</v>
      </c>
      <c r="AB1857">
        <v>12</v>
      </c>
      <c r="AC1857">
        <v>9.1580999999999904</v>
      </c>
      <c r="AD1857">
        <v>-1.1198326348350001</v>
      </c>
      <c r="AE1857">
        <v>-16.848999999999901</v>
      </c>
      <c r="AF1857">
        <v>10.314514768592399</v>
      </c>
      <c r="AG1857">
        <v>-1.1198326348350001</v>
      </c>
      <c r="AH1857">
        <v>16.089596069498199</v>
      </c>
      <c r="AI1857">
        <v>93.353326646739504</v>
      </c>
      <c r="AJ1857">
        <v>57.3373934156781</v>
      </c>
      <c r="AK1857">
        <v>19.1446687545427</v>
      </c>
      <c r="AL1857">
        <v>84.489440002976593</v>
      </c>
      <c r="AM1857">
        <v>67.416703180343404</v>
      </c>
      <c r="AN1857">
        <v>1.0000000094055901</v>
      </c>
    </row>
    <row r="1858" spans="1:40" x14ac:dyDescent="0.25">
      <c r="A1858" t="str">
        <f>"20190303161910176"</f>
        <v>20190303161910176</v>
      </c>
      <c r="B1858" t="str">
        <f>"1551601150164682"</f>
        <v>1551601150164682</v>
      </c>
      <c r="C1858" t="s">
        <v>40</v>
      </c>
      <c r="D1858">
        <v>5.0423359999999997</v>
      </c>
      <c r="E1858">
        <v>0.56967860000000003</v>
      </c>
      <c r="F1858" t="s">
        <v>41</v>
      </c>
      <c r="G1858">
        <v>-191.91759999999999</v>
      </c>
      <c r="H1858" s="1">
        <v>-3.721734E-6</v>
      </c>
      <c r="I1858">
        <v>347.0752</v>
      </c>
      <c r="J1858">
        <v>-200.91470000000001</v>
      </c>
      <c r="K1858">
        <v>1.1198330000000001</v>
      </c>
      <c r="L1858">
        <v>363.74889999999999</v>
      </c>
      <c r="M1858">
        <v>0.87464799999999998</v>
      </c>
      <c r="N1858">
        <v>-1.368404E-2</v>
      </c>
      <c r="O1858">
        <v>-0.48456579999999999</v>
      </c>
      <c r="P1858">
        <v>0.61929829999999997</v>
      </c>
      <c r="Q1858">
        <v>8.4175070000000005E-2</v>
      </c>
      <c r="R1858">
        <v>-0.78063099999999996</v>
      </c>
      <c r="S1858">
        <v>1.4650879999999999</v>
      </c>
      <c r="T1858">
        <v>-0.1811767</v>
      </c>
      <c r="U1858">
        <v>-2.7034910000000001</v>
      </c>
      <c r="V1858">
        <v>0.38311800000000001</v>
      </c>
      <c r="W1858">
        <v>9.5177670000000006E-2</v>
      </c>
      <c r="X1858">
        <v>0.91878280000000001</v>
      </c>
      <c r="Y1858">
        <v>0.53758309999999998</v>
      </c>
      <c r="Z1858">
        <v>3.3870670000000001E-3</v>
      </c>
      <c r="AA1858">
        <v>0.84320399999999995</v>
      </c>
      <c r="AB1858">
        <v>12</v>
      </c>
      <c r="AC1858">
        <v>8.9971000000000103</v>
      </c>
      <c r="AD1858">
        <v>-1.119836721734</v>
      </c>
      <c r="AE1858">
        <v>-16.673699999999901</v>
      </c>
      <c r="AF1858">
        <v>10.189290271057001</v>
      </c>
      <c r="AG1858">
        <v>-1.119836721734</v>
      </c>
      <c r="AH1858">
        <v>15.894761946425501</v>
      </c>
      <c r="AI1858">
        <v>93.394378977454096</v>
      </c>
      <c r="AJ1858">
        <v>57.338217852139898</v>
      </c>
      <c r="AK1858">
        <v>18.913464194714301</v>
      </c>
      <c r="AL1858">
        <v>84.538454176666605</v>
      </c>
      <c r="AM1858">
        <v>67.364630062450303</v>
      </c>
      <c r="AN1858">
        <v>1.00000001218323</v>
      </c>
    </row>
    <row r="1859" spans="1:40" x14ac:dyDescent="0.25">
      <c r="A1859" t="str">
        <f>"20190303161910192"</f>
        <v>20190303161910192</v>
      </c>
      <c r="B1859" t="str">
        <f>"1551601150184203"</f>
        <v>1551601150184203</v>
      </c>
      <c r="C1859" t="s">
        <v>40</v>
      </c>
      <c r="D1859">
        <v>5.0441469999999997</v>
      </c>
      <c r="E1859">
        <v>0.56945129999999999</v>
      </c>
      <c r="F1859" t="s">
        <v>41</v>
      </c>
      <c r="G1859">
        <v>-191.96860000000001</v>
      </c>
      <c r="H1859" s="1">
        <v>-3.747342E-6</v>
      </c>
      <c r="I1859">
        <v>347.10329999999999</v>
      </c>
      <c r="J1859">
        <v>-200.8459</v>
      </c>
      <c r="K1859">
        <v>1.1198429999999999</v>
      </c>
      <c r="L1859">
        <v>363.70600000000002</v>
      </c>
      <c r="M1859">
        <v>0.87289629999999996</v>
      </c>
      <c r="N1859">
        <v>-1.368191E-2</v>
      </c>
      <c r="O1859">
        <v>-0.48771399999999998</v>
      </c>
      <c r="P1859">
        <v>0.61543510000000001</v>
      </c>
      <c r="Q1859">
        <v>8.4189310000000003E-2</v>
      </c>
      <c r="R1859">
        <v>-0.78367849999999994</v>
      </c>
      <c r="S1859">
        <v>1.455444</v>
      </c>
      <c r="T1859">
        <v>-0.18218780000000001</v>
      </c>
      <c r="U1859">
        <v>-2.7080989999999998</v>
      </c>
      <c r="V1859">
        <v>0.38434259999999998</v>
      </c>
      <c r="W1859">
        <v>9.5189070000000001E-2</v>
      </c>
      <c r="X1859">
        <v>0.91827000000000003</v>
      </c>
      <c r="Y1859">
        <v>0.53747219999999996</v>
      </c>
      <c r="Z1859">
        <v>3.651367E-3</v>
      </c>
      <c r="AA1859">
        <v>0.84327350000000001</v>
      </c>
      <c r="AB1859">
        <v>12</v>
      </c>
      <c r="AC1859">
        <v>8.8772999999999893</v>
      </c>
      <c r="AD1859">
        <v>-1.119846747342</v>
      </c>
      <c r="AE1859">
        <v>-16.602699999999899</v>
      </c>
      <c r="AF1859">
        <v>10.1279702915289</v>
      </c>
      <c r="AG1859">
        <v>-1.119846747342</v>
      </c>
      <c r="AH1859">
        <v>15.791942718648899</v>
      </c>
      <c r="AI1859">
        <v>93.416007357463499</v>
      </c>
      <c r="AJ1859">
        <v>57.326411355887501</v>
      </c>
      <c r="AK1859">
        <v>18.794022820905401</v>
      </c>
      <c r="AL1859">
        <v>84.537797920936299</v>
      </c>
      <c r="AM1859">
        <v>67.288215382898301</v>
      </c>
      <c r="AN1859">
        <v>0.99999999306111198</v>
      </c>
    </row>
    <row r="1860" spans="1:40" x14ac:dyDescent="0.25">
      <c r="A1860" t="str">
        <f>"20190303161910206"</f>
        <v>20190303161910206</v>
      </c>
      <c r="B1860" t="str">
        <f>"1551601150193962"</f>
        <v>1551601150193962</v>
      </c>
      <c r="C1860" t="s">
        <v>40</v>
      </c>
      <c r="D1860">
        <v>5.0514979999999996</v>
      </c>
      <c r="E1860">
        <v>0.56759729999999997</v>
      </c>
      <c r="F1860" t="s">
        <v>41</v>
      </c>
      <c r="G1860">
        <v>-191.90209999999999</v>
      </c>
      <c r="H1860" s="1">
        <v>-3.642568E-6</v>
      </c>
      <c r="I1860">
        <v>346.90030000000002</v>
      </c>
      <c r="J1860">
        <v>-200.77930000000001</v>
      </c>
      <c r="K1860">
        <v>1.1198549999999901</v>
      </c>
      <c r="L1860">
        <v>363.66410000000002</v>
      </c>
      <c r="M1860">
        <v>0.87118449999999903</v>
      </c>
      <c r="N1860">
        <v>-1.3679480000000001E-2</v>
      </c>
      <c r="O1860">
        <v>-0.4907649</v>
      </c>
      <c r="P1860">
        <v>0.61116979999999999</v>
      </c>
      <c r="Q1860">
        <v>8.6075899999999997E-2</v>
      </c>
      <c r="R1860">
        <v>-0.78680530000000004</v>
      </c>
      <c r="S1860">
        <v>1.444061</v>
      </c>
      <c r="T1860">
        <v>-0.18080969999999999</v>
      </c>
      <c r="U1860">
        <v>-2.7134399999999999</v>
      </c>
      <c r="V1860">
        <v>0.38594529999999999</v>
      </c>
      <c r="W1860">
        <v>9.7067630000000002E-2</v>
      </c>
      <c r="X1860">
        <v>0.91740069999999996</v>
      </c>
      <c r="Y1860">
        <v>0.53797359999999905</v>
      </c>
      <c r="Z1860">
        <v>3.7052270000000002E-3</v>
      </c>
      <c r="AA1860">
        <v>0.84295359999999997</v>
      </c>
      <c r="AB1860">
        <v>12</v>
      </c>
      <c r="AC1860">
        <v>8.8772000000000109</v>
      </c>
      <c r="AD1860">
        <v>-1.1198586425679899</v>
      </c>
      <c r="AE1860">
        <v>-16.7638</v>
      </c>
      <c r="AF1860">
        <v>10.213109923406799</v>
      </c>
      <c r="AG1860">
        <v>-1.1198586425679899</v>
      </c>
      <c r="AH1860">
        <v>15.906820574605501</v>
      </c>
      <c r="AI1860">
        <v>93.390322737781204</v>
      </c>
      <c r="AJ1860">
        <v>57.297162162646202</v>
      </c>
      <c r="AK1860">
        <v>18.9364367946987</v>
      </c>
      <c r="AL1860">
        <v>84.429663449866098</v>
      </c>
      <c r="AM1860">
        <v>67.183784331609999</v>
      </c>
      <c r="AN1860">
        <v>0.999999971873198</v>
      </c>
    </row>
    <row r="1861" spans="1:40" x14ac:dyDescent="0.25">
      <c r="A1861" t="str">
        <f>"20190303161910229"</f>
        <v>20190303161910229</v>
      </c>
      <c r="B1861" t="str">
        <f>"1551601150224218"</f>
        <v>1551601150224218</v>
      </c>
      <c r="C1861" t="s">
        <v>40</v>
      </c>
      <c r="D1861">
        <v>5.0232640000000002</v>
      </c>
      <c r="E1861">
        <v>0.5663648</v>
      </c>
      <c r="F1861" t="s">
        <v>41</v>
      </c>
      <c r="G1861">
        <v>-188.00139999999999</v>
      </c>
      <c r="H1861" s="1">
        <v>-4.6235669999999998E-6</v>
      </c>
      <c r="I1861">
        <v>339.584</v>
      </c>
      <c r="J1861">
        <v>-200.68199999999999</v>
      </c>
      <c r="K1861">
        <v>1.1198790000000001</v>
      </c>
      <c r="L1861">
        <v>363.60219999999998</v>
      </c>
      <c r="M1861">
        <v>0.86865599999999998</v>
      </c>
      <c r="N1861">
        <v>-1.367521E-2</v>
      </c>
      <c r="O1861">
        <v>-0.49522680000000002</v>
      </c>
      <c r="P1861">
        <v>0.60625509999999905</v>
      </c>
      <c r="Q1861">
        <v>8.8376910000000003E-2</v>
      </c>
      <c r="R1861">
        <v>-0.7903443</v>
      </c>
      <c r="S1861">
        <v>1.4379120000000001</v>
      </c>
      <c r="T1861">
        <v>-0.12601850000000001</v>
      </c>
      <c r="U1861">
        <v>-2.7097470000000001</v>
      </c>
      <c r="V1861">
        <v>0.38674180000000002</v>
      </c>
      <c r="W1861">
        <v>9.9372940000000007E-2</v>
      </c>
      <c r="X1861">
        <v>0.91681829999999997</v>
      </c>
      <c r="Y1861">
        <v>0.53486469999999997</v>
      </c>
      <c r="Z1861">
        <v>-2.2262519999999999E-4</v>
      </c>
      <c r="AA1861">
        <v>0.84493770000000001</v>
      </c>
      <c r="AB1861">
        <v>12</v>
      </c>
      <c r="AC1861">
        <v>12.6806</v>
      </c>
      <c r="AD1861">
        <v>-1.119883623567</v>
      </c>
      <c r="AE1861">
        <v>-24.018199999999901</v>
      </c>
      <c r="AF1861">
        <v>14.560391002366901</v>
      </c>
      <c r="AG1861">
        <v>-1.119883623567</v>
      </c>
      <c r="AH1861">
        <v>22.872793116212399</v>
      </c>
      <c r="AI1861">
        <v>92.365129725668993</v>
      </c>
      <c r="AJ1861">
        <v>57.519934468393501</v>
      </c>
      <c r="AK1861">
        <v>27.1371293693566</v>
      </c>
      <c r="AL1861">
        <v>84.296937260594802</v>
      </c>
      <c r="AM1861">
        <v>67.128505749634101</v>
      </c>
      <c r="AN1861">
        <v>0.99999999814318596</v>
      </c>
    </row>
    <row r="1862" spans="1:40" x14ac:dyDescent="0.25">
      <c r="A1862" t="str">
        <f>"20190303161910251"</f>
        <v>20190303161910251</v>
      </c>
      <c r="B1862" t="str">
        <f>"1551601150244246"</f>
        <v>1551601150244246</v>
      </c>
      <c r="C1862" t="s">
        <v>40</v>
      </c>
      <c r="D1862">
        <v>5.0226499999999996</v>
      </c>
      <c r="E1862">
        <v>0.56580810000000004</v>
      </c>
      <c r="F1862" t="s">
        <v>41</v>
      </c>
      <c r="G1862">
        <v>-187.3115</v>
      </c>
      <c r="H1862" s="1">
        <v>-4.1730560000000004E-6</v>
      </c>
      <c r="I1862">
        <v>338.24860000000001</v>
      </c>
      <c r="J1862">
        <v>-200.5831</v>
      </c>
      <c r="K1862">
        <v>1.1198999999999999</v>
      </c>
      <c r="L1862">
        <v>363.53859999999997</v>
      </c>
      <c r="M1862">
        <v>0.8660601</v>
      </c>
      <c r="N1862">
        <v>-1.36705E-2</v>
      </c>
      <c r="O1862">
        <v>-0.49975310000000001</v>
      </c>
      <c r="P1862">
        <v>0.60209109999999999</v>
      </c>
      <c r="Q1862">
        <v>8.8697609999999996E-2</v>
      </c>
      <c r="R1862">
        <v>-0.79348580000000002</v>
      </c>
      <c r="S1862">
        <v>1.4302520000000001</v>
      </c>
      <c r="T1862">
        <v>-0.1197952</v>
      </c>
      <c r="U1862">
        <v>-2.712097</v>
      </c>
      <c r="V1862">
        <v>0.38674399999999998</v>
      </c>
      <c r="W1862">
        <v>9.9706459999999997E-2</v>
      </c>
      <c r="X1862">
        <v>0.91678119999999996</v>
      </c>
      <c r="Y1862">
        <v>0.53264669999999903</v>
      </c>
      <c r="Z1862">
        <v>-4.8820809999999999E-4</v>
      </c>
      <c r="AA1862">
        <v>0.84633760000000002</v>
      </c>
      <c r="AB1862">
        <v>12</v>
      </c>
      <c r="AC1862">
        <v>13.271599999999999</v>
      </c>
      <c r="AD1862">
        <v>-1.119904173056</v>
      </c>
      <c r="AE1862">
        <v>-25.2899999999999</v>
      </c>
      <c r="AF1862">
        <v>15.248118382684799</v>
      </c>
      <c r="AG1862">
        <v>-1.119904173056</v>
      </c>
      <c r="AH1862">
        <v>24.0979616317268</v>
      </c>
      <c r="AI1862">
        <v>92.248936490055897</v>
      </c>
      <c r="AJ1862">
        <v>57.676191015013501</v>
      </c>
      <c r="AK1862">
        <v>28.538939265035399</v>
      </c>
      <c r="AL1862">
        <v>84.277732800806902</v>
      </c>
      <c r="AM1862">
        <v>67.127558713897102</v>
      </c>
      <c r="AN1862">
        <v>1.0000000341875801</v>
      </c>
    </row>
    <row r="1863" spans="1:40" x14ac:dyDescent="0.25">
      <c r="A1863" t="str">
        <f>"20190303161910272"</f>
        <v>20190303161910272</v>
      </c>
      <c r="B1863" t="str">
        <f>"1551601150264746"</f>
        <v>1551601150264746</v>
      </c>
      <c r="C1863" t="s">
        <v>40</v>
      </c>
      <c r="D1863">
        <v>5.0268350000000002</v>
      </c>
      <c r="E1863">
        <v>0.56445210000000001</v>
      </c>
      <c r="F1863" t="s">
        <v>41</v>
      </c>
      <c r="G1863">
        <v>-186.46119999999999</v>
      </c>
      <c r="H1863" s="1">
        <v>-3.5854730000000001E-6</v>
      </c>
      <c r="I1863">
        <v>336.52730000000003</v>
      </c>
      <c r="J1863">
        <v>-200.48920000000001</v>
      </c>
      <c r="K1863">
        <v>1.1199140000000001</v>
      </c>
      <c r="L1863">
        <v>363.4776</v>
      </c>
      <c r="M1863">
        <v>0.86356650000000001</v>
      </c>
      <c r="N1863">
        <v>-1.366589E-2</v>
      </c>
      <c r="O1863">
        <v>-0.50404989999999905</v>
      </c>
      <c r="P1863">
        <v>0.59906329999999997</v>
      </c>
      <c r="Q1863">
        <v>8.7579939999999995E-2</v>
      </c>
      <c r="R1863">
        <v>-0.79589809999999905</v>
      </c>
      <c r="S1863">
        <v>1.419937</v>
      </c>
      <c r="T1863">
        <v>-0.1126045</v>
      </c>
      <c r="U1863">
        <v>-2.7159420000000001</v>
      </c>
      <c r="V1863">
        <v>0.38577980000000001</v>
      </c>
      <c r="W1863">
        <v>9.8608039999999994E-2</v>
      </c>
      <c r="X1863">
        <v>0.91730610000000001</v>
      </c>
      <c r="Y1863">
        <v>0.53148219999999902</v>
      </c>
      <c r="Z1863">
        <v>-8.9833929999999897E-4</v>
      </c>
      <c r="AA1863">
        <v>0.84706899999999996</v>
      </c>
      <c r="AB1863">
        <v>12</v>
      </c>
      <c r="AC1863">
        <v>14.028</v>
      </c>
      <c r="AD1863">
        <v>-1.1199175854729999</v>
      </c>
      <c r="AE1863">
        <v>-26.950299999999899</v>
      </c>
      <c r="AF1863">
        <v>16.182089632633399</v>
      </c>
      <c r="AG1863">
        <v>-1.1199175854729999</v>
      </c>
      <c r="AH1863">
        <v>25.6659327018358</v>
      </c>
      <c r="AI1863">
        <v>92.113859275137202</v>
      </c>
      <c r="AJ1863">
        <v>57.769017470908302</v>
      </c>
      <c r="AK1863">
        <v>30.362054306848101</v>
      </c>
      <c r="AL1863">
        <v>84.340979360178494</v>
      </c>
      <c r="AM1863">
        <v>67.1904555080622</v>
      </c>
      <c r="AN1863">
        <v>1.00000004036894</v>
      </c>
    </row>
    <row r="1864" spans="1:40" x14ac:dyDescent="0.25">
      <c r="A1864" t="str">
        <f>"20190303161910287"</f>
        <v>20190303161910287</v>
      </c>
      <c r="B1864" t="str">
        <f>"1551601150274501"</f>
        <v>1551601150274501</v>
      </c>
      <c r="C1864" t="s">
        <v>40</v>
      </c>
      <c r="D1864">
        <v>4.9991390000000004</v>
      </c>
      <c r="E1864">
        <v>0.5639014</v>
      </c>
      <c r="F1864" t="s">
        <v>41</v>
      </c>
      <c r="G1864">
        <v>-187.64099999999999</v>
      </c>
      <c r="H1864" s="1">
        <v>-4.386297E-6</v>
      </c>
      <c r="I1864">
        <v>338.88189999999997</v>
      </c>
      <c r="J1864">
        <v>-200.42660000000001</v>
      </c>
      <c r="K1864">
        <v>1.119923</v>
      </c>
      <c r="L1864">
        <v>363.4366</v>
      </c>
      <c r="M1864">
        <v>0.86189090000000002</v>
      </c>
      <c r="N1864">
        <v>-1.3662830000000001E-2</v>
      </c>
      <c r="O1864">
        <v>-0.50691009999999903</v>
      </c>
      <c r="P1864">
        <v>0.59696930000000004</v>
      </c>
      <c r="Q1864">
        <v>8.7252270000000007E-2</v>
      </c>
      <c r="R1864">
        <v>-0.79750580000000004</v>
      </c>
      <c r="S1864">
        <v>1.4184110000000001</v>
      </c>
      <c r="T1864">
        <v>-0.1236362</v>
      </c>
      <c r="U1864">
        <v>-2.7153019999999999</v>
      </c>
      <c r="V1864">
        <v>0.38517669999999998</v>
      </c>
      <c r="W1864">
        <v>9.8291050000000005E-2</v>
      </c>
      <c r="X1864">
        <v>0.91759349999999995</v>
      </c>
      <c r="Y1864">
        <v>0.52893259999999998</v>
      </c>
      <c r="Z1864">
        <v>2.0544700000000001E-4</v>
      </c>
      <c r="AA1864">
        <v>0.84866390000000003</v>
      </c>
      <c r="AB1864">
        <v>11</v>
      </c>
      <c r="AC1864">
        <v>12.785600000000001</v>
      </c>
      <c r="AD1864">
        <v>-1.1199273862970001</v>
      </c>
      <c r="AE1864">
        <v>-24.5547</v>
      </c>
      <c r="AF1864">
        <v>14.659699121416701</v>
      </c>
      <c r="AG1864">
        <v>-1.1199273862970001</v>
      </c>
      <c r="AH1864">
        <v>23.430658351084599</v>
      </c>
      <c r="AI1864">
        <v>92.320363394859399</v>
      </c>
      <c r="AJ1864">
        <v>57.967302870944501</v>
      </c>
      <c r="AK1864">
        <v>27.661467178121502</v>
      </c>
      <c r="AL1864">
        <v>84.359230129113996</v>
      </c>
      <c r="AM1864">
        <v>67.228878064221107</v>
      </c>
      <c r="AN1864">
        <v>1.0000000259876201</v>
      </c>
    </row>
    <row r="1865" spans="1:40" x14ac:dyDescent="0.25">
      <c r="A1865" t="str">
        <f>"20190303161910299"</f>
        <v>20190303161910299</v>
      </c>
      <c r="B1865" t="str">
        <f>"1551601150294022"</f>
        <v>1551601150294022</v>
      </c>
      <c r="C1865" t="s">
        <v>40</v>
      </c>
      <c r="D1865">
        <v>5.0000119999999999</v>
      </c>
      <c r="E1865">
        <v>0.56282809999999905</v>
      </c>
      <c r="F1865" t="s">
        <v>41</v>
      </c>
      <c r="G1865">
        <v>-187.94149999999999</v>
      </c>
      <c r="H1865" s="1">
        <v>-4.584681E-6</v>
      </c>
      <c r="I1865">
        <v>339.46859999999998</v>
      </c>
      <c r="J1865">
        <v>-200.3706</v>
      </c>
      <c r="K1865">
        <v>1.119931</v>
      </c>
      <c r="L1865">
        <v>363.39960000000002</v>
      </c>
      <c r="M1865">
        <v>0.86037830000000004</v>
      </c>
      <c r="N1865">
        <v>-1.3660139999999999E-2</v>
      </c>
      <c r="O1865">
        <v>-0.50947310000000001</v>
      </c>
      <c r="P1865">
        <v>0.59527050000000004</v>
      </c>
      <c r="Q1865">
        <v>8.7564600000000006E-2</v>
      </c>
      <c r="R1865">
        <v>-0.79874049999999996</v>
      </c>
      <c r="S1865">
        <v>1.415009</v>
      </c>
      <c r="T1865">
        <v>-0.12692809999999999</v>
      </c>
      <c r="U1865">
        <v>-2.716431</v>
      </c>
      <c r="V1865">
        <v>0.38436819999999999</v>
      </c>
      <c r="W1865">
        <v>9.8612309999999995E-2</v>
      </c>
      <c r="X1865">
        <v>0.91789799999999999</v>
      </c>
      <c r="Y1865">
        <v>0.52737889999999998</v>
      </c>
      <c r="Z1865">
        <v>6.3082669999999896E-4</v>
      </c>
      <c r="AA1865">
        <v>0.84962990000000005</v>
      </c>
      <c r="AB1865">
        <v>11</v>
      </c>
      <c r="AC1865">
        <v>12.4291</v>
      </c>
      <c r="AD1865">
        <v>-1.119935584681</v>
      </c>
      <c r="AE1865">
        <v>-23.931000000000001</v>
      </c>
      <c r="AF1865">
        <v>14.2341979386627</v>
      </c>
      <c r="AG1865">
        <v>-1.119935584681</v>
      </c>
      <c r="AH1865">
        <v>22.8486511784686</v>
      </c>
      <c r="AI1865">
        <v>92.382287605957401</v>
      </c>
      <c r="AJ1865">
        <v>58.078018255864301</v>
      </c>
      <c r="AK1865">
        <v>26.943041909669301</v>
      </c>
      <c r="AL1865">
        <v>84.3407333912116</v>
      </c>
      <c r="AM1865">
        <v>67.278586155874507</v>
      </c>
      <c r="AN1865">
        <v>1.0000000196293799</v>
      </c>
    </row>
    <row r="1866" spans="1:40" x14ac:dyDescent="0.25">
      <c r="A1866" t="str">
        <f>"20190303161910316"</f>
        <v>20190303161910316</v>
      </c>
      <c r="B1866" t="str">
        <f>"1551601150304757"</f>
        <v>1551601150304757</v>
      </c>
      <c r="C1866" t="s">
        <v>40</v>
      </c>
      <c r="D1866">
        <v>4.9878349999999996</v>
      </c>
      <c r="E1866">
        <v>0.56278309999999998</v>
      </c>
      <c r="F1866" t="s">
        <v>41</v>
      </c>
      <c r="G1866">
        <v>-188.14930000000001</v>
      </c>
      <c r="H1866" s="1">
        <v>-6.0484119999999997E-7</v>
      </c>
      <c r="I1866">
        <v>339.97840000000002</v>
      </c>
      <c r="J1866">
        <v>-200.29669999999999</v>
      </c>
      <c r="K1866">
        <v>1.1199429999999999</v>
      </c>
      <c r="L1866">
        <v>363.35050000000001</v>
      </c>
      <c r="M1866">
        <v>0.85836859999999904</v>
      </c>
      <c r="N1866">
        <v>-1.3656730000000001E-2</v>
      </c>
      <c r="O1866">
        <v>-0.51285179999999997</v>
      </c>
      <c r="P1866">
        <v>0.59361889999999995</v>
      </c>
      <c r="Q1866">
        <v>8.9484460000000002E-2</v>
      </c>
      <c r="R1866">
        <v>-0.79975620000000003</v>
      </c>
      <c r="S1866">
        <v>1.416428</v>
      </c>
      <c r="T1866">
        <v>-0.12979830000000001</v>
      </c>
      <c r="U1866">
        <v>-2.7144780000000002</v>
      </c>
      <c r="V1866">
        <v>0.3824767</v>
      </c>
      <c r="W1866">
        <v>0.1005491</v>
      </c>
      <c r="X1866">
        <v>0.91847780000000001</v>
      </c>
      <c r="Y1866">
        <v>0.52343090000000003</v>
      </c>
      <c r="Z1866">
        <v>1.134337E-3</v>
      </c>
      <c r="AA1866">
        <v>0.85206740000000003</v>
      </c>
      <c r="AB1866">
        <v>11</v>
      </c>
      <c r="AC1866">
        <v>12.1473999999999</v>
      </c>
      <c r="AD1866">
        <v>-1.1199436048411999</v>
      </c>
      <c r="AE1866">
        <v>-23.3720999999999</v>
      </c>
      <c r="AF1866">
        <v>13.808387251764399</v>
      </c>
      <c r="AG1866">
        <v>-1.1199436048411999</v>
      </c>
      <c r="AH1866">
        <v>22.375009840581299</v>
      </c>
      <c r="AI1866">
        <v>92.439040978611004</v>
      </c>
      <c r="AJ1866">
        <v>58.319839091492703</v>
      </c>
      <c r="AK1866">
        <v>26.3166657754896</v>
      </c>
      <c r="AL1866">
        <v>84.229209084585705</v>
      </c>
      <c r="AM1866">
        <v>67.391956463027398</v>
      </c>
      <c r="AN1866">
        <v>1.0000000083232601</v>
      </c>
    </row>
    <row r="1867" spans="1:40" x14ac:dyDescent="0.25">
      <c r="A1867" t="str">
        <f>"20190303161910329"</f>
        <v>20190303161910329</v>
      </c>
      <c r="B1867" t="str">
        <f>"1551601150324278"</f>
        <v>1551601150324278</v>
      </c>
      <c r="C1867" t="s">
        <v>40</v>
      </c>
      <c r="D1867">
        <v>5.3479559999999999</v>
      </c>
      <c r="E1867">
        <v>0.56352000000000002</v>
      </c>
      <c r="F1867" t="s">
        <v>41</v>
      </c>
      <c r="G1867">
        <v>-187.42019999999999</v>
      </c>
      <c r="H1867" s="1">
        <v>-4.2868689999999998E-6</v>
      </c>
      <c r="I1867">
        <v>338.55889999999999</v>
      </c>
      <c r="J1867">
        <v>-200.2415</v>
      </c>
      <c r="K1867">
        <v>1.1199509999999999</v>
      </c>
      <c r="L1867">
        <v>363.31349999999998</v>
      </c>
      <c r="M1867">
        <v>0.85685219999999995</v>
      </c>
      <c r="N1867">
        <v>-1.3654299999999999E-2</v>
      </c>
      <c r="O1867">
        <v>-0.51538119999999998</v>
      </c>
      <c r="P1867">
        <v>0.59197319999999998</v>
      </c>
      <c r="Q1867">
        <v>9.0862689999999996E-2</v>
      </c>
      <c r="R1867">
        <v>-0.80081959999999996</v>
      </c>
      <c r="S1867">
        <v>1.411362</v>
      </c>
      <c r="T1867">
        <v>-0.12275469999999999</v>
      </c>
      <c r="U1867">
        <v>-2.717346</v>
      </c>
      <c r="V1867">
        <v>0.3815267</v>
      </c>
      <c r="W1867">
        <v>0.10193480000000001</v>
      </c>
      <c r="X1867">
        <v>0.91872010000000004</v>
      </c>
      <c r="Y1867">
        <v>0.52256029999999998</v>
      </c>
      <c r="Z1867">
        <v>6.2964949999999998E-4</v>
      </c>
      <c r="AA1867">
        <v>0.85260210000000003</v>
      </c>
      <c r="AB1867">
        <v>11</v>
      </c>
      <c r="AC1867">
        <v>12.821300000000001</v>
      </c>
      <c r="AD1867">
        <v>-1.1199552868689999</v>
      </c>
      <c r="AE1867">
        <v>-24.7545999999999</v>
      </c>
      <c r="AF1867">
        <v>14.5810060396865</v>
      </c>
      <c r="AG1867">
        <v>-1.1199552868689999</v>
      </c>
      <c r="AH1867">
        <v>23.707966551524901</v>
      </c>
      <c r="AI1867">
        <v>92.304250875438399</v>
      </c>
      <c r="AJ1867">
        <v>58.407420613635701</v>
      </c>
      <c r="AK1867">
        <v>27.8554790836953</v>
      </c>
      <c r="AL1867">
        <v>84.149404066199295</v>
      </c>
      <c r="AM1867">
        <v>67.447832719495906</v>
      </c>
      <c r="AN1867">
        <v>0.99999997420396902</v>
      </c>
    </row>
    <row r="1868" spans="1:40" x14ac:dyDescent="0.25">
      <c r="A1868" t="str">
        <f>"20190303161910342"</f>
        <v>20190303161910342</v>
      </c>
      <c r="B1868" t="str">
        <f>"1551601150334564"</f>
        <v>1551601150334564</v>
      </c>
      <c r="C1868" t="s">
        <v>40</v>
      </c>
      <c r="D1868">
        <v>5.1617610000000003</v>
      </c>
      <c r="E1868">
        <v>0.57597500000000001</v>
      </c>
      <c r="F1868" t="s">
        <v>41</v>
      </c>
      <c r="G1868">
        <v>-186.87629999999999</v>
      </c>
      <c r="H1868" s="1">
        <v>-3.8558429999999997E-6</v>
      </c>
      <c r="I1868">
        <v>337.32929999999999</v>
      </c>
      <c r="J1868">
        <v>-200.1849</v>
      </c>
      <c r="K1868">
        <v>1.119966</v>
      </c>
      <c r="L1868">
        <v>363.27539999999999</v>
      </c>
      <c r="M1868">
        <v>0.85528740000000003</v>
      </c>
      <c r="N1868">
        <v>-1.3651959999999999E-2</v>
      </c>
      <c r="O1868">
        <v>-0.5179743</v>
      </c>
      <c r="P1868">
        <v>0.59069519999999998</v>
      </c>
      <c r="Q1868">
        <v>9.2409309999999995E-2</v>
      </c>
      <c r="R1868">
        <v>-0.80158619999999903</v>
      </c>
      <c r="S1868">
        <v>1.4010469999999999</v>
      </c>
      <c r="T1868">
        <v>-0.1174026</v>
      </c>
      <c r="U1868">
        <v>-2.7238769999999999</v>
      </c>
      <c r="V1868">
        <v>0.38006139999999999</v>
      </c>
      <c r="W1868">
        <v>0.1034924</v>
      </c>
      <c r="X1868">
        <v>0.9191532</v>
      </c>
      <c r="Y1868">
        <v>0.5233797</v>
      </c>
      <c r="Z1868">
        <v>2.136924E-4</v>
      </c>
      <c r="AA1868">
        <v>0.85209950000000001</v>
      </c>
      <c r="AB1868">
        <v>11</v>
      </c>
      <c r="AC1868">
        <v>13.3086</v>
      </c>
      <c r="AD1868">
        <v>-1.119969855843</v>
      </c>
      <c r="AE1868">
        <v>-25.946100000000001</v>
      </c>
      <c r="AF1868">
        <v>15.2767479962013</v>
      </c>
      <c r="AG1868">
        <v>-1.119969855843</v>
      </c>
      <c r="AH1868">
        <v>24.787835421713002</v>
      </c>
      <c r="AI1868">
        <v>92.2027447207725</v>
      </c>
      <c r="AJ1868">
        <v>58.354463430273903</v>
      </c>
      <c r="AK1868">
        <v>29.138808258255299</v>
      </c>
      <c r="AL1868">
        <v>84.059685628725703</v>
      </c>
      <c r="AM1868">
        <v>67.535355302591796</v>
      </c>
      <c r="AN1868">
        <v>0.99999997484897896</v>
      </c>
    </row>
    <row r="1869" spans="1:40" x14ac:dyDescent="0.25">
      <c r="A1869" t="str">
        <f>"20190303161910355"</f>
        <v>20190303161910355</v>
      </c>
      <c r="B1869" t="str">
        <f>"1551601150344305"</f>
        <v>1551601150344305</v>
      </c>
      <c r="C1869" t="s">
        <v>40</v>
      </c>
      <c r="D1869">
        <v>5.1446630000000004</v>
      </c>
      <c r="E1869">
        <v>0.58317839999999999</v>
      </c>
      <c r="F1869" t="s">
        <v>46</v>
      </c>
      <c r="G1869">
        <v>-195.476</v>
      </c>
      <c r="H1869" s="1">
        <v>-3.5721270000000002E-6</v>
      </c>
      <c r="I1869">
        <v>353.4076</v>
      </c>
      <c r="J1869">
        <v>-200.12860000000001</v>
      </c>
      <c r="K1869">
        <v>1.119974</v>
      </c>
      <c r="L1869">
        <v>363.2371</v>
      </c>
      <c r="M1869">
        <v>0.85371280000000005</v>
      </c>
      <c r="N1869">
        <v>-1.3649949999999999E-2</v>
      </c>
      <c r="O1869">
        <v>-0.52056539999999996</v>
      </c>
      <c r="P1869">
        <v>0.58939189999999997</v>
      </c>
      <c r="Q1869">
        <v>9.3710470000000004E-2</v>
      </c>
      <c r="R1869">
        <v>-0.80239399999999905</v>
      </c>
      <c r="S1869">
        <v>1.334244</v>
      </c>
      <c r="T1869">
        <v>-0.31733359999999999</v>
      </c>
      <c r="U1869">
        <v>-2.7959589999999999</v>
      </c>
      <c r="V1869">
        <v>0.37864150000000002</v>
      </c>
      <c r="W1869">
        <v>0.1048046</v>
      </c>
      <c r="X1869">
        <v>0.91959040000000003</v>
      </c>
      <c r="Y1869">
        <v>0.54524410000000001</v>
      </c>
      <c r="Z1869">
        <v>1.6752599999999999E-2</v>
      </c>
      <c r="AA1869">
        <v>0.83811000000000002</v>
      </c>
      <c r="AB1869">
        <v>11</v>
      </c>
      <c r="AC1869">
        <v>4.6525999999999996</v>
      </c>
      <c r="AD1869">
        <v>-1.119977572127</v>
      </c>
      <c r="AE1869">
        <v>-9.8294999999999906</v>
      </c>
      <c r="AF1869">
        <v>5.9074870297820903</v>
      </c>
      <c r="AG1869">
        <v>-1.119977572127</v>
      </c>
      <c r="AH1869">
        <v>8.9943320536070495</v>
      </c>
      <c r="AI1869">
        <v>95.941875841096305</v>
      </c>
      <c r="AJ1869">
        <v>56.703047629110401</v>
      </c>
      <c r="AK1869">
        <v>10.8190000397289</v>
      </c>
      <c r="AL1869">
        <v>83.984090827646597</v>
      </c>
      <c r="AM1869">
        <v>67.620577246628599</v>
      </c>
      <c r="AN1869">
        <v>0.99999994673778303</v>
      </c>
    </row>
    <row r="1870" spans="1:40" x14ac:dyDescent="0.25">
      <c r="A1870" t="str">
        <f>"20190303161910373"</f>
        <v>20190303161910373</v>
      </c>
      <c r="B1870" t="str">
        <f>"1551601150363824"</f>
        <v>1551601150363824</v>
      </c>
      <c r="C1870" t="s">
        <v>40</v>
      </c>
      <c r="D1870">
        <v>5.219951</v>
      </c>
      <c r="E1870">
        <v>0.58325119999999997</v>
      </c>
      <c r="F1870" t="s">
        <v>46</v>
      </c>
      <c r="G1870">
        <v>-195.38050000000001</v>
      </c>
      <c r="H1870" s="1">
        <v>-3.2219290000000002E-6</v>
      </c>
      <c r="I1870">
        <v>352.75369999999998</v>
      </c>
      <c r="J1870">
        <v>-200.05369999999999</v>
      </c>
      <c r="K1870">
        <v>1.1199840000000001</v>
      </c>
      <c r="L1870">
        <v>363.18579999999997</v>
      </c>
      <c r="M1870">
        <v>0.85160029999999998</v>
      </c>
      <c r="N1870">
        <v>-1.364746E-2</v>
      </c>
      <c r="O1870">
        <v>-0.52401399999999998</v>
      </c>
      <c r="P1870">
        <v>0.58779579999999998</v>
      </c>
      <c r="Q1870">
        <v>9.6104270000000006E-2</v>
      </c>
      <c r="R1870">
        <v>-0.80328100000000002</v>
      </c>
      <c r="S1870">
        <v>1.2826229999999901</v>
      </c>
      <c r="T1870">
        <v>-0.3025447</v>
      </c>
      <c r="U1870">
        <v>-2.831909</v>
      </c>
      <c r="V1870">
        <v>0.37651469999999998</v>
      </c>
      <c r="W1870">
        <v>0.1072133</v>
      </c>
      <c r="X1870">
        <v>0.9201859</v>
      </c>
      <c r="Y1870">
        <v>0.55853369999999902</v>
      </c>
      <c r="Z1870">
        <v>1.493568E-2</v>
      </c>
      <c r="AA1870">
        <v>0.82934739999999996</v>
      </c>
      <c r="AB1870">
        <v>11</v>
      </c>
      <c r="AC1870">
        <v>4.67319999999998</v>
      </c>
      <c r="AD1870">
        <v>-1.1199872219289999</v>
      </c>
      <c r="AE1870">
        <v>-10.432099999999901</v>
      </c>
      <c r="AF1870">
        <v>6.3745626339907799</v>
      </c>
      <c r="AG1870">
        <v>-1.1199872219289999</v>
      </c>
      <c r="AH1870">
        <v>9.3573171935213093</v>
      </c>
      <c r="AI1870">
        <v>95.649247148156206</v>
      </c>
      <c r="AJ1870">
        <v>55.7358110300666</v>
      </c>
      <c r="AK1870">
        <v>11.377557084546901</v>
      </c>
      <c r="AL1870">
        <v>83.845301024278598</v>
      </c>
      <c r="AM1870">
        <v>67.746975313012996</v>
      </c>
      <c r="AN1870">
        <v>1.0000000507858899</v>
      </c>
    </row>
    <row r="1871" spans="1:40" x14ac:dyDescent="0.25">
      <c r="A1871" t="str">
        <f>"20190303161910395"</f>
        <v>20190303161910395</v>
      </c>
      <c r="B1871" t="str">
        <f>"1551601150384321"</f>
        <v>1551601150384321</v>
      </c>
      <c r="C1871" t="s">
        <v>40</v>
      </c>
      <c r="D1871">
        <v>5.1813070000000003</v>
      </c>
      <c r="E1871">
        <v>0.58353199999999905</v>
      </c>
      <c r="F1871" t="s">
        <v>46</v>
      </c>
      <c r="G1871">
        <v>-196.01820000000001</v>
      </c>
      <c r="H1871" s="1">
        <v>-4.118162E-6</v>
      </c>
      <c r="I1871">
        <v>354.25369999999998</v>
      </c>
      <c r="J1871">
        <v>-199.9623</v>
      </c>
      <c r="K1871">
        <v>1.119991</v>
      </c>
      <c r="L1871">
        <v>363.12270000000001</v>
      </c>
      <c r="M1871">
        <v>0.84898619999999902</v>
      </c>
      <c r="N1871">
        <v>-1.3644710000000001E-2</v>
      </c>
      <c r="O1871">
        <v>-0.52823929999999997</v>
      </c>
      <c r="P1871">
        <v>0.58495989999999998</v>
      </c>
      <c r="Q1871">
        <v>9.7940180000000002E-2</v>
      </c>
      <c r="R1871">
        <v>-0.80512740000000005</v>
      </c>
      <c r="S1871">
        <v>1.2825470000000001</v>
      </c>
      <c r="T1871">
        <v>-0.35595139999999997</v>
      </c>
      <c r="U1871">
        <v>-2.8387760000000002</v>
      </c>
      <c r="V1871">
        <v>0.37500430000000001</v>
      </c>
      <c r="W1871">
        <v>0.109056399999999</v>
      </c>
      <c r="X1871">
        <v>0.92058589999999996</v>
      </c>
      <c r="Y1871">
        <v>0.55496889999999999</v>
      </c>
      <c r="Z1871">
        <v>2.015345E-2</v>
      </c>
      <c r="AA1871">
        <v>0.83162700000000001</v>
      </c>
      <c r="AB1871">
        <v>11</v>
      </c>
      <c r="AC1871">
        <v>3.9440999999999899</v>
      </c>
      <c r="AD1871">
        <v>-1.119995118162</v>
      </c>
      <c r="AE1871">
        <v>-8.8690000000000193</v>
      </c>
      <c r="AF1871">
        <v>5.3751701152363198</v>
      </c>
      <c r="AG1871">
        <v>-1.119995118162</v>
      </c>
      <c r="AH1871">
        <v>7.9286242330015</v>
      </c>
      <c r="AI1871">
        <v>96.668914848229505</v>
      </c>
      <c r="AJ1871">
        <v>55.864893394815397</v>
      </c>
      <c r="AK1871">
        <v>9.6441653376834502</v>
      </c>
      <c r="AL1871">
        <v>83.739075723687293</v>
      </c>
      <c r="AM1871">
        <v>67.836281243312598</v>
      </c>
      <c r="AN1871">
        <v>0.99999996133912905</v>
      </c>
    </row>
    <row r="1872" spans="1:40" x14ac:dyDescent="0.25">
      <c r="A1872" t="str">
        <f>"20190303161910408"</f>
        <v>20190303161910408</v>
      </c>
      <c r="B1872" t="str">
        <f>"1551601150404817"</f>
        <v>1551601150404817</v>
      </c>
      <c r="C1872" t="s">
        <v>40</v>
      </c>
      <c r="D1872">
        <v>5.1828019999999997</v>
      </c>
      <c r="E1872">
        <v>0.58435630000000005</v>
      </c>
      <c r="F1872" t="s">
        <v>46</v>
      </c>
      <c r="G1872">
        <v>-196.15600000000001</v>
      </c>
      <c r="H1872" s="1">
        <v>-4.3294459999999996E-6</v>
      </c>
      <c r="I1872">
        <v>354.6139</v>
      </c>
      <c r="J1872">
        <v>-199.9051</v>
      </c>
      <c r="K1872">
        <v>1.1199969999999999</v>
      </c>
      <c r="L1872">
        <v>363.08280000000002</v>
      </c>
      <c r="M1872">
        <v>0.84732819999999998</v>
      </c>
      <c r="N1872">
        <v>-1.3643199999999999E-2</v>
      </c>
      <c r="O1872">
        <v>-0.53089430000000004</v>
      </c>
      <c r="P1872">
        <v>0.58289440000000003</v>
      </c>
      <c r="Q1872">
        <v>9.8673579999999997E-2</v>
      </c>
      <c r="R1872">
        <v>-0.80653430000000004</v>
      </c>
      <c r="S1872">
        <v>1.2733760000000001</v>
      </c>
      <c r="T1872">
        <v>-0.37468360000000001</v>
      </c>
      <c r="U1872">
        <v>-2.846527</v>
      </c>
      <c r="V1872">
        <v>0.37440810000000002</v>
      </c>
      <c r="W1872">
        <v>0.109792</v>
      </c>
      <c r="X1872">
        <v>0.92074109999999998</v>
      </c>
      <c r="Y1872">
        <v>0.55536569999999996</v>
      </c>
      <c r="Z1872">
        <v>2.205174E-2</v>
      </c>
      <c r="AA1872">
        <v>0.83131379999999999</v>
      </c>
      <c r="AB1872">
        <v>11</v>
      </c>
      <c r="AC1872">
        <v>3.7491000000000199</v>
      </c>
      <c r="AD1872">
        <v>-1.1200013294459901</v>
      </c>
      <c r="AE1872">
        <v>-8.4689000000000192</v>
      </c>
      <c r="AF1872">
        <v>5.1112979796986302</v>
      </c>
      <c r="AG1872">
        <v>-1.1200013294459901</v>
      </c>
      <c r="AH1872">
        <v>7.5629242872931801</v>
      </c>
      <c r="AI1872">
        <v>96.995083864980799</v>
      </c>
      <c r="AJ1872">
        <v>55.947748736642097</v>
      </c>
      <c r="AK1872">
        <v>9.1966077327763198</v>
      </c>
      <c r="AL1872">
        <v>83.696674202103097</v>
      </c>
      <c r="AM1872">
        <v>67.871484395279595</v>
      </c>
      <c r="AN1872">
        <v>0.99999994091940803</v>
      </c>
    </row>
    <row r="1873" spans="1:40" x14ac:dyDescent="0.25">
      <c r="A1873" t="str">
        <f>"20190303161910429"</f>
        <v>20190303161910429</v>
      </c>
      <c r="B1873" t="str">
        <f>"1551601150424337"</f>
        <v>1551601150424337</v>
      </c>
      <c r="C1873" t="s">
        <v>40</v>
      </c>
      <c r="D1873">
        <v>5.1984469999999998</v>
      </c>
      <c r="E1873">
        <v>0.58413549999999903</v>
      </c>
      <c r="F1873" t="s">
        <v>46</v>
      </c>
      <c r="G1873">
        <v>-196.12719999999999</v>
      </c>
      <c r="H1873" s="1">
        <v>-4.2827459999999997E-6</v>
      </c>
      <c r="I1873">
        <v>354.53280000000001</v>
      </c>
      <c r="J1873">
        <v>-199.8184</v>
      </c>
      <c r="K1873">
        <v>1.120001</v>
      </c>
      <c r="L1873">
        <v>363.02190000000002</v>
      </c>
      <c r="M1873">
        <v>0.84478519999999901</v>
      </c>
      <c r="N1873">
        <v>-1.364131E-2</v>
      </c>
      <c r="O1873">
        <v>-0.53493159999999995</v>
      </c>
      <c r="P1873">
        <v>0.58007449999999905</v>
      </c>
      <c r="Q1873">
        <v>0.10069060000000001</v>
      </c>
      <c r="R1873">
        <v>-0.80831609999999998</v>
      </c>
      <c r="S1873">
        <v>1.261047</v>
      </c>
      <c r="T1873">
        <v>-0.37385309999999999</v>
      </c>
      <c r="U1873">
        <v>-2.8539729999999999</v>
      </c>
      <c r="V1873">
        <v>0.37302600000000002</v>
      </c>
      <c r="W1873">
        <v>0.1118151</v>
      </c>
      <c r="X1873">
        <v>0.92105870000000001</v>
      </c>
      <c r="Y1873">
        <v>0.55523059999999902</v>
      </c>
      <c r="Z1873">
        <v>2.2501340000000002E-2</v>
      </c>
      <c r="AA1873">
        <v>0.83139209999999997</v>
      </c>
      <c r="AB1873">
        <v>11</v>
      </c>
      <c r="AC1873">
        <v>3.6911999999999998</v>
      </c>
      <c r="AD1873">
        <v>-1.1200052827460001</v>
      </c>
      <c r="AE1873">
        <v>-8.4891000000000005</v>
      </c>
      <c r="AF1873">
        <v>5.1224231836581096</v>
      </c>
      <c r="AG1873">
        <v>-1.1200052827460001</v>
      </c>
      <c r="AH1873">
        <v>7.54955411494399</v>
      </c>
      <c r="AI1873">
        <v>96.998776952312795</v>
      </c>
      <c r="AJ1873">
        <v>55.8428442198989</v>
      </c>
      <c r="AK1873">
        <v>9.1918114885111102</v>
      </c>
      <c r="AL1873">
        <v>83.580041732217097</v>
      </c>
      <c r="AM1873">
        <v>67.952200754675701</v>
      </c>
      <c r="AN1873">
        <v>1.00000007105484</v>
      </c>
    </row>
    <row r="1874" spans="1:40" x14ac:dyDescent="0.25">
      <c r="A1874" t="str">
        <f>"20190303161910452"</f>
        <v>20190303161910452</v>
      </c>
      <c r="B1874" t="str">
        <f>"1551601150444363"</f>
        <v>1551601150444363</v>
      </c>
      <c r="C1874" t="s">
        <v>40</v>
      </c>
      <c r="D1874">
        <v>5.1590989999999897</v>
      </c>
      <c r="E1874">
        <v>0.58387290000000003</v>
      </c>
      <c r="F1874" t="s">
        <v>46</v>
      </c>
      <c r="G1874">
        <v>-196.14410000000001</v>
      </c>
      <c r="H1874" s="1">
        <v>-4.3401189999999996E-6</v>
      </c>
      <c r="I1874">
        <v>354.64249999999998</v>
      </c>
      <c r="J1874">
        <v>-199.7227</v>
      </c>
      <c r="K1874">
        <v>1.120009</v>
      </c>
      <c r="L1874">
        <v>362.95370000000003</v>
      </c>
      <c r="M1874">
        <v>0.84193059999999997</v>
      </c>
      <c r="N1874">
        <v>-1.363954E-2</v>
      </c>
      <c r="O1874">
        <v>-0.53941349999999999</v>
      </c>
      <c r="P1874">
        <v>0.57640590000000003</v>
      </c>
      <c r="Q1874">
        <v>0.1025491</v>
      </c>
      <c r="R1874">
        <v>-0.81070369999999903</v>
      </c>
      <c r="S1874">
        <v>1.253784</v>
      </c>
      <c r="T1874">
        <v>-0.38217879999999999</v>
      </c>
      <c r="U1874">
        <v>-2.859283</v>
      </c>
      <c r="V1874">
        <v>0.3721159</v>
      </c>
      <c r="W1874">
        <v>0.11367380000000001</v>
      </c>
      <c r="X1874">
        <v>0.92119930000000005</v>
      </c>
      <c r="Y1874">
        <v>0.55314739999999996</v>
      </c>
      <c r="Z1874">
        <v>2.3975119999999999E-2</v>
      </c>
      <c r="AA1874">
        <v>0.83273839999999999</v>
      </c>
      <c r="AB1874">
        <v>11</v>
      </c>
      <c r="AC1874">
        <v>3.57859999999999</v>
      </c>
      <c r="AD1874">
        <v>-1.120013340119</v>
      </c>
      <c r="AE1874">
        <v>-8.3112000000000403</v>
      </c>
      <c r="AF1874">
        <v>4.99111624664123</v>
      </c>
      <c r="AG1874">
        <v>-1.120013340119</v>
      </c>
      <c r="AH1874">
        <v>7.3836860665738699</v>
      </c>
      <c r="AI1874">
        <v>97.162796635780595</v>
      </c>
      <c r="AJ1874">
        <v>55.942667610767501</v>
      </c>
      <c r="AK1874">
        <v>8.9824546310709295</v>
      </c>
      <c r="AL1874">
        <v>83.472862634420196</v>
      </c>
      <c r="AM1874">
        <v>68.003891377508396</v>
      </c>
      <c r="AN1874">
        <v>1.00000006307986</v>
      </c>
    </row>
    <row r="1875" spans="1:40" x14ac:dyDescent="0.25">
      <c r="A1875" t="str">
        <f>"20190303161910472"</f>
        <v>20190303161910472</v>
      </c>
      <c r="B1875" t="str">
        <f>"1551601150463884"</f>
        <v>1551601150463884</v>
      </c>
      <c r="C1875" t="s">
        <v>40</v>
      </c>
      <c r="D1875">
        <v>5.1735800000000003</v>
      </c>
      <c r="E1875">
        <v>0.58368219999999904</v>
      </c>
      <c r="F1875" t="s">
        <v>46</v>
      </c>
      <c r="G1875">
        <v>-196.10679999999999</v>
      </c>
      <c r="H1875" s="1">
        <v>-4.3201660000000001E-6</v>
      </c>
      <c r="I1875">
        <v>354.61739999999998</v>
      </c>
      <c r="J1875">
        <v>-199.63679999999999</v>
      </c>
      <c r="K1875">
        <v>1.1200060000000001</v>
      </c>
      <c r="L1875">
        <v>362.89190000000002</v>
      </c>
      <c r="M1875">
        <v>0.83932410000000002</v>
      </c>
      <c r="N1875">
        <v>-1.3638320000000001E-2</v>
      </c>
      <c r="O1875">
        <v>-0.54346039999999995</v>
      </c>
      <c r="P1875">
        <v>0.57290830000000004</v>
      </c>
      <c r="Q1875">
        <v>0.1044467</v>
      </c>
      <c r="R1875">
        <v>-0.81293760000000004</v>
      </c>
      <c r="S1875">
        <v>1.2429049999999999</v>
      </c>
      <c r="T1875">
        <v>-0.38498769999999999</v>
      </c>
      <c r="U1875">
        <v>-2.8654790000000001</v>
      </c>
      <c r="V1875">
        <v>0.37145450000000002</v>
      </c>
      <c r="W1875">
        <v>0.11556900000000001</v>
      </c>
      <c r="X1875">
        <v>0.9212304</v>
      </c>
      <c r="Y1875">
        <v>0.55246819999999996</v>
      </c>
      <c r="Z1875">
        <v>2.481415E-2</v>
      </c>
      <c r="AA1875">
        <v>0.83316460000000003</v>
      </c>
      <c r="AB1875">
        <v>11</v>
      </c>
      <c r="AC1875">
        <v>3.53</v>
      </c>
      <c r="AD1875">
        <v>-1.1200103201659899</v>
      </c>
      <c r="AE1875">
        <v>-8.2745000000000406</v>
      </c>
      <c r="AF1875">
        <v>4.9503072912210104</v>
      </c>
      <c r="AG1875">
        <v>-1.1200103201659899</v>
      </c>
      <c r="AH1875">
        <v>7.3464965401848898</v>
      </c>
      <c r="AI1875">
        <v>97.205706163026804</v>
      </c>
      <c r="AJ1875">
        <v>56.0266341002499</v>
      </c>
      <c r="AK1875">
        <v>8.9292203920467106</v>
      </c>
      <c r="AL1875">
        <v>83.363555121902905</v>
      </c>
      <c r="AM1875">
        <v>68.039937297987194</v>
      </c>
      <c r="AN1875">
        <v>1.0000000446077</v>
      </c>
    </row>
    <row r="1876" spans="1:40" x14ac:dyDescent="0.25">
      <c r="A1876" t="str">
        <f>"20190303161910484"</f>
        <v>20190303161910484</v>
      </c>
      <c r="B1876" t="str">
        <f>"1551601150474620"</f>
        <v>1551601150474620</v>
      </c>
      <c r="C1876" t="s">
        <v>40</v>
      </c>
      <c r="D1876">
        <v>5.1650780000000003</v>
      </c>
      <c r="E1876">
        <v>0.5835013</v>
      </c>
      <c r="F1876" t="s">
        <v>46</v>
      </c>
      <c r="G1876">
        <v>-196.0744</v>
      </c>
      <c r="H1876" s="1">
        <v>-4.3001609999999999E-6</v>
      </c>
      <c r="I1876">
        <v>354.59059999999999</v>
      </c>
      <c r="J1876">
        <v>-199.5865</v>
      </c>
      <c r="K1876">
        <v>1.120004</v>
      </c>
      <c r="L1876">
        <v>362.85550000000001</v>
      </c>
      <c r="M1876">
        <v>0.83777959999999996</v>
      </c>
      <c r="N1876">
        <v>-1.3637700000000001E-2</v>
      </c>
      <c r="O1876">
        <v>-0.5458385</v>
      </c>
      <c r="P1876">
        <v>0.57079429999999998</v>
      </c>
      <c r="Q1876">
        <v>0.1052273</v>
      </c>
      <c r="R1876">
        <v>-0.81432269999999995</v>
      </c>
      <c r="S1876">
        <v>1.232315</v>
      </c>
      <c r="T1876">
        <v>-0.3874438</v>
      </c>
      <c r="U1876">
        <v>-2.8716430000000002</v>
      </c>
      <c r="V1876">
        <v>0.37115480000000001</v>
      </c>
      <c r="W1876">
        <v>0.116347699999999</v>
      </c>
      <c r="X1876">
        <v>0.92125310000000005</v>
      </c>
      <c r="Y1876">
        <v>0.55334319999999904</v>
      </c>
      <c r="Z1876">
        <v>2.528261E-2</v>
      </c>
      <c r="AA1876">
        <v>0.83256949999999996</v>
      </c>
      <c r="AB1876">
        <v>11</v>
      </c>
      <c r="AC1876">
        <v>3.5121000000000002</v>
      </c>
      <c r="AD1876">
        <v>-1.1200083001609999</v>
      </c>
      <c r="AE1876">
        <v>-8.2649000000000097</v>
      </c>
      <c r="AF1876">
        <v>4.9308895194657003</v>
      </c>
      <c r="AG1876">
        <v>-1.1200083001609999</v>
      </c>
      <c r="AH1876">
        <v>7.3401809780062601</v>
      </c>
      <c r="AI1876">
        <v>97.218657973930803</v>
      </c>
      <c r="AJ1876">
        <v>56.108106906882803</v>
      </c>
      <c r="AK1876">
        <v>8.9132680221953997</v>
      </c>
      <c r="AL1876">
        <v>83.318635400584498</v>
      </c>
      <c r="AM1876">
        <v>68.056461559684806</v>
      </c>
      <c r="AN1876">
        <v>0.99999997355896897</v>
      </c>
    </row>
    <row r="1877" spans="1:40" x14ac:dyDescent="0.25">
      <c r="A1877" t="str">
        <f>"20190303161910496"</f>
        <v>20190303161910496</v>
      </c>
      <c r="B1877" t="str">
        <f>"1551601150484379"</f>
        <v>1551601150484379</v>
      </c>
      <c r="C1877" t="s">
        <v>40</v>
      </c>
      <c r="D1877">
        <v>5.1417299999999999</v>
      </c>
      <c r="E1877">
        <v>0.58344759999999996</v>
      </c>
      <c r="F1877" t="s">
        <v>46</v>
      </c>
      <c r="G1877">
        <v>-196.0565</v>
      </c>
      <c r="H1877" s="1">
        <v>-4.2922430000000003E-6</v>
      </c>
      <c r="I1877">
        <v>354.58280000000002</v>
      </c>
      <c r="J1877">
        <v>-199.53829999999999</v>
      </c>
      <c r="K1877">
        <v>1.120001</v>
      </c>
      <c r="L1877">
        <v>362.8202</v>
      </c>
      <c r="M1877">
        <v>0.83628089999999999</v>
      </c>
      <c r="N1877">
        <v>-1.363729E-2</v>
      </c>
      <c r="O1877">
        <v>-0.54813190000000001</v>
      </c>
      <c r="P1877">
        <v>0.56840539999999995</v>
      </c>
      <c r="Q1877">
        <v>0.1056021</v>
      </c>
      <c r="R1877">
        <v>-0.81594359999999999</v>
      </c>
      <c r="S1877">
        <v>1.2265779999999999</v>
      </c>
      <c r="T1877">
        <v>-0.38917760000000001</v>
      </c>
      <c r="U1877">
        <v>-2.8745729999999998</v>
      </c>
      <c r="V1877">
        <v>0.37129279999999998</v>
      </c>
      <c r="W1877">
        <v>0.1167166</v>
      </c>
      <c r="X1877">
        <v>0.92115089999999999</v>
      </c>
      <c r="Y1877">
        <v>0.55278059999999996</v>
      </c>
      <c r="Z1877">
        <v>2.579584E-2</v>
      </c>
      <c r="AA1877">
        <v>0.83292749999999904</v>
      </c>
      <c r="AB1877">
        <v>11</v>
      </c>
      <c r="AC1877">
        <v>3.48179999999999</v>
      </c>
      <c r="AD1877">
        <v>-1.1200052922429999</v>
      </c>
      <c r="AE1877">
        <v>-8.2373999999999796</v>
      </c>
      <c r="AF1877">
        <v>4.9038426337936798</v>
      </c>
      <c r="AG1877">
        <v>-1.1200052922429999</v>
      </c>
      <c r="AH1877">
        <v>7.3129342712829697</v>
      </c>
      <c r="AI1877">
        <v>97.249215737537199</v>
      </c>
      <c r="AJ1877">
        <v>56.155335599785097</v>
      </c>
      <c r="AK1877">
        <v>8.8758713424525197</v>
      </c>
      <c r="AL1877">
        <v>83.297354471297396</v>
      </c>
      <c r="AM1877">
        <v>68.046873835773397</v>
      </c>
      <c r="AN1877">
        <v>1.0000000443090999</v>
      </c>
    </row>
    <row r="1878" spans="1:40" x14ac:dyDescent="0.25">
      <c r="A1878" t="str">
        <f>"20190303161910509"</f>
        <v>20190303161910509</v>
      </c>
      <c r="B1878" t="str">
        <f>"1551601150503899"</f>
        <v>1551601150503899</v>
      </c>
      <c r="C1878" t="s">
        <v>40</v>
      </c>
      <c r="D1878">
        <v>5.0918109999999999</v>
      </c>
      <c r="E1878">
        <v>0.58315139999999999</v>
      </c>
      <c r="F1878" t="s">
        <v>46</v>
      </c>
      <c r="G1878">
        <v>-196.04910000000001</v>
      </c>
      <c r="H1878" s="1">
        <v>-4.2883580000000004E-6</v>
      </c>
      <c r="I1878">
        <v>354.57830000000001</v>
      </c>
      <c r="J1878">
        <v>-199.48570000000001</v>
      </c>
      <c r="K1878">
        <v>1.1200030000000001</v>
      </c>
      <c r="L1878">
        <v>362.78160000000003</v>
      </c>
      <c r="M1878">
        <v>0.83463069999999895</v>
      </c>
      <c r="N1878">
        <v>-1.363691E-2</v>
      </c>
      <c r="O1878">
        <v>-0.55064119999999905</v>
      </c>
      <c r="P1878">
        <v>0.56595799999999996</v>
      </c>
      <c r="Q1878">
        <v>0.1058991</v>
      </c>
      <c r="R1878">
        <v>-0.81760480000000002</v>
      </c>
      <c r="S1878">
        <v>1.2185969999999999</v>
      </c>
      <c r="T1878">
        <v>-0.39115889999999998</v>
      </c>
      <c r="U1878">
        <v>-2.8784480000000001</v>
      </c>
      <c r="V1878">
        <v>0.3712567</v>
      </c>
      <c r="W1878">
        <v>0.1170088</v>
      </c>
      <c r="X1878">
        <v>0.92112830000000001</v>
      </c>
      <c r="Y1878">
        <v>0.55264360000000001</v>
      </c>
      <c r="Z1878">
        <v>2.6333450000000001E-2</v>
      </c>
      <c r="AA1878">
        <v>0.83300160000000001</v>
      </c>
      <c r="AB1878">
        <v>11</v>
      </c>
      <c r="AC1878">
        <v>3.4365999999999901</v>
      </c>
      <c r="AD1878">
        <v>-1.1200072883579999</v>
      </c>
      <c r="AE1878">
        <v>-8.2033000000000094</v>
      </c>
      <c r="AF1878">
        <v>4.87750671811843</v>
      </c>
      <c r="AG1878">
        <v>-1.1200072883579999</v>
      </c>
      <c r="AH1878">
        <v>7.2707554905561302</v>
      </c>
      <c r="AI1878">
        <v>97.289937357828194</v>
      </c>
      <c r="AJ1878">
        <v>56.144747919255799</v>
      </c>
      <c r="AK1878">
        <v>8.8265720137954808</v>
      </c>
      <c r="AL1878">
        <v>83.280496644023302</v>
      </c>
      <c r="AM1878">
        <v>68.048318066068404</v>
      </c>
      <c r="AN1878">
        <v>0.99999997081660896</v>
      </c>
    </row>
    <row r="1879" spans="1:40" x14ac:dyDescent="0.25">
      <c r="A1879" t="str">
        <f>"20190303161910522"</f>
        <v>20190303161910522</v>
      </c>
      <c r="B1879" t="str">
        <f>"1551601150514635"</f>
        <v>1551601150514635</v>
      </c>
      <c r="C1879" t="s">
        <v>40</v>
      </c>
      <c r="D1879">
        <v>5.160215</v>
      </c>
      <c r="E1879">
        <v>0.58333749999999995</v>
      </c>
      <c r="F1879" t="s">
        <v>46</v>
      </c>
      <c r="G1879">
        <v>-196.06549999999999</v>
      </c>
      <c r="H1879" s="1">
        <v>-4.3252200000000002E-6</v>
      </c>
      <c r="I1879">
        <v>354.64789999999999</v>
      </c>
      <c r="J1879">
        <v>-199.42959999999999</v>
      </c>
      <c r="K1879">
        <v>1.1199950000000001</v>
      </c>
      <c r="L1879">
        <v>362.74009999999998</v>
      </c>
      <c r="M1879">
        <v>0.8328508</v>
      </c>
      <c r="N1879">
        <v>-1.363666E-2</v>
      </c>
      <c r="O1879">
        <v>-0.55332950000000003</v>
      </c>
      <c r="P1879">
        <v>0.56343359999999998</v>
      </c>
      <c r="Q1879">
        <v>0.1062356</v>
      </c>
      <c r="R1879">
        <v>-0.81930259999999999</v>
      </c>
      <c r="S1879">
        <v>1.2118070000000001</v>
      </c>
      <c r="T1879">
        <v>-0.39683259999999998</v>
      </c>
      <c r="U1879">
        <v>-2.881866</v>
      </c>
      <c r="V1879">
        <v>0.37109419999999999</v>
      </c>
      <c r="W1879">
        <v>0.11734029999999999</v>
      </c>
      <c r="X1879">
        <v>0.92115159999999996</v>
      </c>
      <c r="Y1879">
        <v>0.55197089999999904</v>
      </c>
      <c r="Z1879">
        <v>2.7292440000000001E-2</v>
      </c>
      <c r="AA1879">
        <v>0.83341659999999995</v>
      </c>
      <c r="AB1879">
        <v>11</v>
      </c>
      <c r="AC1879">
        <v>3.3641000000000001</v>
      </c>
      <c r="AD1879">
        <v>-1.11999932522</v>
      </c>
      <c r="AE1879">
        <v>-8.0921999999999894</v>
      </c>
      <c r="AF1879">
        <v>4.8001910871109796</v>
      </c>
      <c r="AG1879">
        <v>-1.11999932522</v>
      </c>
      <c r="AH1879">
        <v>7.1631271948666697</v>
      </c>
      <c r="AI1879">
        <v>97.400630959029002</v>
      </c>
      <c r="AJ1879">
        <v>56.172969401444597</v>
      </c>
      <c r="AK1879">
        <v>8.6952069653983095</v>
      </c>
      <c r="AL1879">
        <v>83.261371276407502</v>
      </c>
      <c r="AM1879">
        <v>68.057516205042702</v>
      </c>
      <c r="AN1879">
        <v>0.99999996073014397</v>
      </c>
    </row>
    <row r="1880" spans="1:40" x14ac:dyDescent="0.25">
      <c r="A1880" t="str">
        <f>"20190303161910540"</f>
        <v>20190303161910540</v>
      </c>
      <c r="B1880" t="str">
        <f>"1551601150534156"</f>
        <v>1551601150534156</v>
      </c>
      <c r="C1880" t="s">
        <v>40</v>
      </c>
      <c r="D1880">
        <v>5.2023549999999998</v>
      </c>
      <c r="E1880">
        <v>0.5831324</v>
      </c>
      <c r="F1880" t="s">
        <v>46</v>
      </c>
      <c r="G1880">
        <v>-195.99459999999999</v>
      </c>
      <c r="H1880" s="1">
        <v>-4.2274810000000003E-6</v>
      </c>
      <c r="I1880">
        <v>354.48140000000001</v>
      </c>
      <c r="J1880">
        <v>-199.36259999999999</v>
      </c>
      <c r="K1880">
        <v>1.1199889999999999</v>
      </c>
      <c r="L1880">
        <v>362.69009999999997</v>
      </c>
      <c r="M1880">
        <v>0.83069439999999894</v>
      </c>
      <c r="N1880">
        <v>-1.3636769999999999E-2</v>
      </c>
      <c r="O1880">
        <v>-0.55656149999999904</v>
      </c>
      <c r="P1880">
        <v>0.56099489999999996</v>
      </c>
      <c r="Q1880">
        <v>0.1061443</v>
      </c>
      <c r="R1880">
        <v>-0.820986199999999</v>
      </c>
      <c r="S1880">
        <v>1.200653</v>
      </c>
      <c r="T1880">
        <v>-0.39147999999999999</v>
      </c>
      <c r="U1880">
        <v>-2.8867189999999998</v>
      </c>
      <c r="V1880">
        <v>0.37026419999999999</v>
      </c>
      <c r="W1880">
        <v>0.1172498</v>
      </c>
      <c r="X1880">
        <v>0.92149709999999996</v>
      </c>
      <c r="Y1880">
        <v>0.55201140000000004</v>
      </c>
      <c r="Z1880">
        <v>2.7223939999999999E-2</v>
      </c>
      <c r="AA1880">
        <v>0.83339200000000002</v>
      </c>
      <c r="AB1880">
        <v>11</v>
      </c>
      <c r="AC1880">
        <v>3.3679999999999901</v>
      </c>
      <c r="AD1880">
        <v>-1.1199932274809901</v>
      </c>
      <c r="AE1880">
        <v>-8.2086999999999595</v>
      </c>
      <c r="AF1880">
        <v>4.8673285023055897</v>
      </c>
      <c r="AG1880">
        <v>-1.1199932274809901</v>
      </c>
      <c r="AH1880">
        <v>7.2515677353387202</v>
      </c>
      <c r="AI1880">
        <v>97.307685052073694</v>
      </c>
      <c r="AJ1880">
        <v>56.1300726343935</v>
      </c>
      <c r="AK1880">
        <v>8.8051408960427899</v>
      </c>
      <c r="AL1880">
        <v>83.266592848070601</v>
      </c>
      <c r="AM1880">
        <v>68.109381674582394</v>
      </c>
      <c r="AN1880">
        <v>0.99999999935504402</v>
      </c>
    </row>
    <row r="1881" spans="1:40" x14ac:dyDescent="0.25">
      <c r="A1881" t="str">
        <f>"20190303161910551"</f>
        <v>20190303161910551</v>
      </c>
      <c r="B1881" t="str">
        <f>"1551601150543916"</f>
        <v>1551601150543916</v>
      </c>
      <c r="C1881" t="s">
        <v>40</v>
      </c>
      <c r="D1881">
        <v>5.1460970000000001</v>
      </c>
      <c r="E1881">
        <v>0.58298589999999995</v>
      </c>
      <c r="F1881" t="s">
        <v>46</v>
      </c>
      <c r="G1881">
        <v>-195.99529999999999</v>
      </c>
      <c r="H1881" s="1">
        <v>-4.2500190000000003E-6</v>
      </c>
      <c r="I1881">
        <v>354.5258</v>
      </c>
      <c r="J1881">
        <v>-199.3135</v>
      </c>
      <c r="K1881">
        <v>1.119983</v>
      </c>
      <c r="L1881">
        <v>362.65320000000003</v>
      </c>
      <c r="M1881">
        <v>0.82909259999999996</v>
      </c>
      <c r="N1881">
        <v>-1.363693E-2</v>
      </c>
      <c r="O1881">
        <v>-0.55894509999999997</v>
      </c>
      <c r="P1881">
        <v>0.55857880000000004</v>
      </c>
      <c r="Q1881">
        <v>0.1062382</v>
      </c>
      <c r="R1881">
        <v>-0.82262019999999902</v>
      </c>
      <c r="S1881">
        <v>1.192261</v>
      </c>
      <c r="T1881">
        <v>-0.39654820000000002</v>
      </c>
      <c r="U1881">
        <v>-2.8906559999999999</v>
      </c>
      <c r="V1881">
        <v>0.37031890000000001</v>
      </c>
      <c r="W1881">
        <v>0.1173375</v>
      </c>
      <c r="X1881">
        <v>0.92146399999999995</v>
      </c>
      <c r="Y1881">
        <v>0.55207459999999997</v>
      </c>
      <c r="Z1881">
        <v>2.803976E-2</v>
      </c>
      <c r="AA1881">
        <v>0.83332309999999998</v>
      </c>
      <c r="AB1881">
        <v>11</v>
      </c>
      <c r="AC1881">
        <v>3.3182000000000098</v>
      </c>
      <c r="AD1881">
        <v>-1.119987250019</v>
      </c>
      <c r="AE1881">
        <v>-8.1274000000000193</v>
      </c>
      <c r="AF1881">
        <v>4.8059047528013998</v>
      </c>
      <c r="AG1881">
        <v>-1.119987250019</v>
      </c>
      <c r="AH1881">
        <v>7.1777132319536099</v>
      </c>
      <c r="AI1881">
        <v>97.387590327314101</v>
      </c>
      <c r="AJ1881">
        <v>56.195344938215698</v>
      </c>
      <c r="AK1881">
        <v>8.7103765230537604</v>
      </c>
      <c r="AL1881">
        <v>83.261533356848105</v>
      </c>
      <c r="AM1881">
        <v>68.105741344478602</v>
      </c>
      <c r="AN1881">
        <v>1.00000003994972</v>
      </c>
    </row>
    <row r="1882" spans="1:40" x14ac:dyDescent="0.25">
      <c r="A1882" t="str">
        <f>"20190303161910563"</f>
        <v>20190303161910563</v>
      </c>
      <c r="B1882" t="str">
        <f>"1551601150554651"</f>
        <v>1551601150554651</v>
      </c>
      <c r="C1882" t="s">
        <v>40</v>
      </c>
      <c r="D1882">
        <v>5.1184440000000002</v>
      </c>
      <c r="E1882">
        <v>0.58282639999999997</v>
      </c>
      <c r="F1882" t="s">
        <v>46</v>
      </c>
      <c r="G1882">
        <v>-195.98509999999999</v>
      </c>
      <c r="H1882" s="1">
        <v>-4.2448590000000001E-6</v>
      </c>
      <c r="I1882">
        <v>354.52010000000001</v>
      </c>
      <c r="J1882">
        <v>-199.26349999999999</v>
      </c>
      <c r="K1882">
        <v>1.1199779999999999</v>
      </c>
      <c r="L1882">
        <v>362.61540000000002</v>
      </c>
      <c r="M1882">
        <v>0.82744769999999901</v>
      </c>
      <c r="N1882">
        <v>-1.3637140000000001E-2</v>
      </c>
      <c r="O1882">
        <v>-0.56137720000000002</v>
      </c>
      <c r="P1882">
        <v>0.55616589999999999</v>
      </c>
      <c r="Q1882">
        <v>0.10647570000000001</v>
      </c>
      <c r="R1882">
        <v>-0.82422260000000003</v>
      </c>
      <c r="S1882">
        <v>1.1843870000000001</v>
      </c>
      <c r="T1882">
        <v>-0.3985398</v>
      </c>
      <c r="U1882">
        <v>-2.894104</v>
      </c>
      <c r="V1882">
        <v>0.37029050000000002</v>
      </c>
      <c r="W1882">
        <v>0.11756999999999999</v>
      </c>
      <c r="X1882">
        <v>0.92144570000000003</v>
      </c>
      <c r="Y1882">
        <v>0.55192109999999905</v>
      </c>
      <c r="Z1882">
        <v>2.85878E-2</v>
      </c>
      <c r="AA1882">
        <v>0.83340619999999999</v>
      </c>
      <c r="AB1882">
        <v>11</v>
      </c>
      <c r="AC1882">
        <v>3.2784</v>
      </c>
      <c r="AD1882">
        <v>-1.119982244859</v>
      </c>
      <c r="AE1882">
        <v>-8.0952999999999999</v>
      </c>
      <c r="AF1882">
        <v>4.7798709723155097</v>
      </c>
      <c r="AG1882">
        <v>-1.119982244859</v>
      </c>
      <c r="AH1882">
        <v>7.1404797848995596</v>
      </c>
      <c r="AI1882">
        <v>97.426175407939496</v>
      </c>
      <c r="AJ1882">
        <v>56.201460650482503</v>
      </c>
      <c r="AK1882">
        <v>8.6653319785997294</v>
      </c>
      <c r="AL1882">
        <v>83.2481187573363</v>
      </c>
      <c r="AM1882">
        <v>68.106868009515097</v>
      </c>
      <c r="AN1882">
        <v>0.99999996866936902</v>
      </c>
    </row>
    <row r="1883" spans="1:40" x14ac:dyDescent="0.25">
      <c r="A1883" t="str">
        <f>"20190303161910578"</f>
        <v>20190303161910578</v>
      </c>
      <c r="B1883" t="str">
        <f>"1551601150564411"</f>
        <v>1551601150564411</v>
      </c>
      <c r="C1883" t="s">
        <v>40</v>
      </c>
      <c r="D1883">
        <v>5.1088500000000003</v>
      </c>
      <c r="E1883">
        <v>0.58263100000000001</v>
      </c>
      <c r="F1883" t="s">
        <v>46</v>
      </c>
      <c r="G1883">
        <v>-195.9699</v>
      </c>
      <c r="H1883" s="1">
        <v>-4.2361290000000001E-6</v>
      </c>
      <c r="I1883">
        <v>354.50940000000003</v>
      </c>
      <c r="J1883">
        <v>-199.2099</v>
      </c>
      <c r="K1883">
        <v>1.119964</v>
      </c>
      <c r="L1883">
        <v>362.57459999999998</v>
      </c>
      <c r="M1883">
        <v>0.8256616</v>
      </c>
      <c r="N1883">
        <v>-1.3637399999999999E-2</v>
      </c>
      <c r="O1883">
        <v>-0.56400069999999902</v>
      </c>
      <c r="P1883">
        <v>0.55362330000000004</v>
      </c>
      <c r="Q1883">
        <v>0.1069326</v>
      </c>
      <c r="R1883">
        <v>-0.82587319999999997</v>
      </c>
      <c r="S1883">
        <v>1.1771849999999999</v>
      </c>
      <c r="T1883">
        <v>-0.40030209999999999</v>
      </c>
      <c r="U1883">
        <v>-2.8972169999999999</v>
      </c>
      <c r="V1883">
        <v>0.37015989999999999</v>
      </c>
      <c r="W1883">
        <v>0.11802260000000001</v>
      </c>
      <c r="X1883">
        <v>0.92144040000000005</v>
      </c>
      <c r="Y1883">
        <v>0.55137440000000004</v>
      </c>
      <c r="Z1883">
        <v>2.917467E-2</v>
      </c>
      <c r="AA1883">
        <v>0.83374769999999898</v>
      </c>
      <c r="AB1883">
        <v>11</v>
      </c>
      <c r="AC1883">
        <v>3.24</v>
      </c>
      <c r="AD1883">
        <v>-1.119968236129</v>
      </c>
      <c r="AE1883">
        <v>-8.0651999999999404</v>
      </c>
      <c r="AF1883">
        <v>4.7532910928597198</v>
      </c>
      <c r="AG1883">
        <v>-1.119968236129</v>
      </c>
      <c r="AH1883">
        <v>7.1065984588894997</v>
      </c>
      <c r="AI1883">
        <v>97.462961252142904</v>
      </c>
      <c r="AJ1883">
        <v>56.223177018318999</v>
      </c>
      <c r="AK1883">
        <v>8.6227516906894692</v>
      </c>
      <c r="AL1883">
        <v>83.222005417564802</v>
      </c>
      <c r="AM1883">
        <v>68.113746024075894</v>
      </c>
      <c r="AN1883">
        <v>1.0000000482154601</v>
      </c>
    </row>
    <row r="1884" spans="1:40" x14ac:dyDescent="0.25">
      <c r="A1884" t="str">
        <f>"20190303161910596"</f>
        <v>20190303161910596</v>
      </c>
      <c r="B1884" t="str">
        <f>"1551601150583932"</f>
        <v>1551601150583932</v>
      </c>
      <c r="C1884" t="s">
        <v>40</v>
      </c>
      <c r="D1884">
        <v>5.0696190000000003</v>
      </c>
      <c r="E1884">
        <v>0.58236730000000003</v>
      </c>
      <c r="F1884" t="s">
        <v>46</v>
      </c>
      <c r="G1884">
        <v>-195.95050000000001</v>
      </c>
      <c r="H1884" s="1">
        <v>-4.2248419999999997E-6</v>
      </c>
      <c r="I1884">
        <v>354.49549999999999</v>
      </c>
      <c r="J1884">
        <v>-199.13470000000001</v>
      </c>
      <c r="K1884">
        <v>1.1199600000000001</v>
      </c>
      <c r="L1884">
        <v>362.51670000000001</v>
      </c>
      <c r="M1884">
        <v>0.8231212</v>
      </c>
      <c r="N1884">
        <v>-1.3637639999999999E-2</v>
      </c>
      <c r="O1884">
        <v>-0.56770209999999999</v>
      </c>
      <c r="P1884">
        <v>0.54978719999999903</v>
      </c>
      <c r="Q1884">
        <v>0.1082854</v>
      </c>
      <c r="R1884">
        <v>-0.8282562</v>
      </c>
      <c r="S1884">
        <v>1.1700900000000001</v>
      </c>
      <c r="T1884">
        <v>-0.40205469999999999</v>
      </c>
      <c r="U1884">
        <v>-2.9002690000000002</v>
      </c>
      <c r="V1884">
        <v>0.37015870000000001</v>
      </c>
      <c r="W1884">
        <v>0.11936919999999999</v>
      </c>
      <c r="X1884">
        <v>0.92126730000000001</v>
      </c>
      <c r="Y1884">
        <v>0.54970989999999997</v>
      </c>
      <c r="Z1884">
        <v>3.0004079999999999E-2</v>
      </c>
      <c r="AA1884">
        <v>0.83481659999999902</v>
      </c>
      <c r="AB1884">
        <v>11</v>
      </c>
      <c r="AC1884">
        <v>3.1842000000000001</v>
      </c>
      <c r="AD1884">
        <v>-1.1199642248420001</v>
      </c>
      <c r="AE1884">
        <v>-8.0212000000000199</v>
      </c>
      <c r="AF1884">
        <v>4.7157685752975604</v>
      </c>
      <c r="AG1884">
        <v>-1.1199642248420001</v>
      </c>
      <c r="AH1884">
        <v>7.0564612633455699</v>
      </c>
      <c r="AI1884">
        <v>97.5172963156988</v>
      </c>
      <c r="AJ1884">
        <v>56.245554954951501</v>
      </c>
      <c r="AK1884">
        <v>8.5607498901548595</v>
      </c>
      <c r="AL1884">
        <v>83.144300951355405</v>
      </c>
      <c r="AM1884">
        <v>68.110086610850004</v>
      </c>
      <c r="AN1884">
        <v>0.99999995357180804</v>
      </c>
    </row>
    <row r="1885" spans="1:40" x14ac:dyDescent="0.25">
      <c r="A1885" t="str">
        <f>"20190303161910609"</f>
        <v>20190303161910609</v>
      </c>
      <c r="B1885" t="str">
        <f>"1551601150604428"</f>
        <v>1551601150604428</v>
      </c>
      <c r="C1885" t="s">
        <v>40</v>
      </c>
      <c r="D1885">
        <v>5.1011649999999999</v>
      </c>
      <c r="E1885">
        <v>0.58228769999999996</v>
      </c>
      <c r="F1885" t="s">
        <v>46</v>
      </c>
      <c r="G1885">
        <v>-195.9034</v>
      </c>
      <c r="H1885" s="1">
        <v>-4.1744869999999999E-6</v>
      </c>
      <c r="I1885">
        <v>354.41629999999998</v>
      </c>
      <c r="J1885">
        <v>-199.08600000000001</v>
      </c>
      <c r="K1885">
        <v>1.1199589999999999</v>
      </c>
      <c r="L1885">
        <v>362.47890000000001</v>
      </c>
      <c r="M1885">
        <v>0.82145569999999901</v>
      </c>
      <c r="N1885">
        <v>-1.3637639999999999E-2</v>
      </c>
      <c r="O1885">
        <v>-0.57010959999999999</v>
      </c>
      <c r="P1885">
        <v>0.5474348</v>
      </c>
      <c r="Q1885">
        <v>0.1089132</v>
      </c>
      <c r="R1885">
        <v>-0.82973069999999904</v>
      </c>
      <c r="S1885">
        <v>1.1589659999999999</v>
      </c>
      <c r="T1885">
        <v>-0.40169080000000001</v>
      </c>
      <c r="U1885">
        <v>-2.9053339999999999</v>
      </c>
      <c r="V1885">
        <v>0.37001089999999998</v>
      </c>
      <c r="W1885">
        <v>0.1199955</v>
      </c>
      <c r="X1885">
        <v>0.92124539999999999</v>
      </c>
      <c r="Y1885">
        <v>0.55053039999999998</v>
      </c>
      <c r="Z1885">
        <v>3.0242870000000002E-2</v>
      </c>
      <c r="AA1885">
        <v>0.83426710000000004</v>
      </c>
      <c r="AB1885">
        <v>11</v>
      </c>
      <c r="AC1885">
        <v>3.1825999999999701</v>
      </c>
      <c r="AD1885">
        <v>-1.119963174487</v>
      </c>
      <c r="AE1885">
        <v>-8.06260000000003</v>
      </c>
      <c r="AF1885">
        <v>4.7301181338517804</v>
      </c>
      <c r="AG1885">
        <v>-1.119963174487</v>
      </c>
      <c r="AH1885">
        <v>7.0931839890067296</v>
      </c>
      <c r="AI1885">
        <v>97.483720309150598</v>
      </c>
      <c r="AJ1885">
        <v>56.3025021937178</v>
      </c>
      <c r="AK1885">
        <v>8.5989298272693109</v>
      </c>
      <c r="AL1885">
        <v>83.108157381593401</v>
      </c>
      <c r="AM1885">
        <v>68.117530350798106</v>
      </c>
      <c r="AN1885">
        <v>1.0000000365801001</v>
      </c>
    </row>
    <row r="1886" spans="1:40" x14ac:dyDescent="0.25">
      <c r="A1886" t="str">
        <f>"20190303161910621"</f>
        <v>20190303161910621</v>
      </c>
      <c r="B1886" t="str">
        <f>"1551601150614188"</f>
        <v>1551601150614188</v>
      </c>
      <c r="C1886" t="s">
        <v>40</v>
      </c>
      <c r="D1886">
        <v>5.0528750000000002</v>
      </c>
      <c r="E1886">
        <v>0.58215680000000003</v>
      </c>
      <c r="F1886" t="s">
        <v>46</v>
      </c>
      <c r="G1886">
        <v>-195.852</v>
      </c>
      <c r="H1886" s="1">
        <v>-4.1084490000000002E-6</v>
      </c>
      <c r="I1886">
        <v>354.30770000000001</v>
      </c>
      <c r="J1886">
        <v>-199.03030000000001</v>
      </c>
      <c r="K1886">
        <v>1.1199589999999999</v>
      </c>
      <c r="L1886">
        <v>362.43560000000002</v>
      </c>
      <c r="M1886">
        <v>0.81953449999999906</v>
      </c>
      <c r="N1886">
        <v>-1.3637369999999999E-2</v>
      </c>
      <c r="O1886">
        <v>-0.57286769999999998</v>
      </c>
      <c r="P1886">
        <v>0.54486730000000005</v>
      </c>
      <c r="Q1886">
        <v>0.109419</v>
      </c>
      <c r="R1886">
        <v>-0.8313528</v>
      </c>
      <c r="S1886">
        <v>1.151108</v>
      </c>
      <c r="T1886">
        <v>-0.39863900000000002</v>
      </c>
      <c r="U1886">
        <v>-2.9084780000000001</v>
      </c>
      <c r="V1886">
        <v>0.3697087</v>
      </c>
      <c r="W1886">
        <v>0.1205039</v>
      </c>
      <c r="X1886">
        <v>0.92130029999999996</v>
      </c>
      <c r="Y1886">
        <v>0.55001049999999996</v>
      </c>
      <c r="Z1886">
        <v>3.0363190000000002E-2</v>
      </c>
      <c r="AA1886">
        <v>0.83460559999999995</v>
      </c>
      <c r="AB1886">
        <v>11</v>
      </c>
      <c r="AC1886">
        <v>3.1783000000000001</v>
      </c>
      <c r="AD1886">
        <v>-1.1199631084489901</v>
      </c>
      <c r="AE1886">
        <v>-8.1279000000000092</v>
      </c>
      <c r="AF1886">
        <v>4.7623694072962701</v>
      </c>
      <c r="AG1886">
        <v>-1.1199631084489901</v>
      </c>
      <c r="AH1886">
        <v>7.1439617391088399</v>
      </c>
      <c r="AI1886">
        <v>97.431888212676697</v>
      </c>
      <c r="AJ1886">
        <v>56.311441383609498</v>
      </c>
      <c r="AK1886">
        <v>8.6585604499644901</v>
      </c>
      <c r="AL1886">
        <v>83.078814883393207</v>
      </c>
      <c r="AM1886">
        <v>68.134896515633599</v>
      </c>
      <c r="AN1886">
        <v>0.99999997777549399</v>
      </c>
    </row>
    <row r="1887" spans="1:40" x14ac:dyDescent="0.25">
      <c r="A1887" t="str">
        <f>"20190303161910636"</f>
        <v>20190303161910636</v>
      </c>
      <c r="B1887" t="str">
        <f>"1551601150623947"</f>
        <v>1551601150623947</v>
      </c>
      <c r="C1887" t="s">
        <v>40</v>
      </c>
      <c r="D1887">
        <v>5.0534780000000001</v>
      </c>
      <c r="E1887">
        <v>0.5821347</v>
      </c>
      <c r="F1887" t="s">
        <v>46</v>
      </c>
      <c r="G1887">
        <v>-195.8169</v>
      </c>
      <c r="H1887" s="1">
        <v>-4.070315E-6</v>
      </c>
      <c r="I1887">
        <v>354.2473</v>
      </c>
      <c r="J1887">
        <v>-198.97540000000001</v>
      </c>
      <c r="K1887">
        <v>1.119964</v>
      </c>
      <c r="L1887">
        <v>362.39229999999998</v>
      </c>
      <c r="M1887">
        <v>0.81761689999999998</v>
      </c>
      <c r="N1887">
        <v>-1.363671E-2</v>
      </c>
      <c r="O1887">
        <v>-0.57560140000000004</v>
      </c>
      <c r="P1887">
        <v>0.5424213</v>
      </c>
      <c r="Q1887">
        <v>0.1096589</v>
      </c>
      <c r="R1887">
        <v>-0.83291930000000003</v>
      </c>
      <c r="S1887">
        <v>1.1428069999999999</v>
      </c>
      <c r="T1887">
        <v>-0.39830090000000001</v>
      </c>
      <c r="U1887">
        <v>-2.912048</v>
      </c>
      <c r="V1887">
        <v>0.36931350000000002</v>
      </c>
      <c r="W1887">
        <v>0.12075</v>
      </c>
      <c r="X1887">
        <v>0.92142659999999998</v>
      </c>
      <c r="Y1887">
        <v>0.54964820000000003</v>
      </c>
      <c r="Z1887">
        <v>3.0741649999999999E-2</v>
      </c>
      <c r="AA1887">
        <v>0.83483039999999997</v>
      </c>
      <c r="AB1887">
        <v>11</v>
      </c>
      <c r="AC1887">
        <v>3.1585000000000001</v>
      </c>
      <c r="AD1887">
        <v>-1.1199680703149999</v>
      </c>
      <c r="AE1887">
        <v>-8.14499999999998</v>
      </c>
      <c r="AF1887">
        <v>4.7636086445124297</v>
      </c>
      <c r="AG1887">
        <v>-1.1199680703149999</v>
      </c>
      <c r="AH1887">
        <v>7.1538131350964997</v>
      </c>
      <c r="AI1887">
        <v>97.424323142019603</v>
      </c>
      <c r="AJ1887">
        <v>56.340995075408699</v>
      </c>
      <c r="AK1887">
        <v>8.6673720451171299</v>
      </c>
      <c r="AL1887">
        <v>83.064610836494396</v>
      </c>
      <c r="AM1887">
        <v>68.158780705576106</v>
      </c>
      <c r="AN1887">
        <v>1.0000000014849</v>
      </c>
    </row>
    <row r="1888" spans="1:40" x14ac:dyDescent="0.25">
      <c r="A1888" t="str">
        <f>"20190303161910653"</f>
        <v>20190303161910653</v>
      </c>
      <c r="B1888" t="str">
        <f>"1551601150644443"</f>
        <v>1551601150644443</v>
      </c>
      <c r="C1888" t="s">
        <v>40</v>
      </c>
      <c r="D1888">
        <v>4.7719449999999997</v>
      </c>
      <c r="E1888">
        <v>0.58236899999999903</v>
      </c>
      <c r="F1888" t="s">
        <v>46</v>
      </c>
      <c r="G1888">
        <v>-195.78970000000001</v>
      </c>
      <c r="H1888" s="1">
        <v>-4.0440559999999996E-6</v>
      </c>
      <c r="I1888">
        <v>354.20710000000003</v>
      </c>
      <c r="J1888">
        <v>-198.9117</v>
      </c>
      <c r="K1888">
        <v>1.11998</v>
      </c>
      <c r="L1888">
        <v>362.34190000000001</v>
      </c>
      <c r="M1888">
        <v>0.8153726</v>
      </c>
      <c r="N1888">
        <v>-1.363555E-2</v>
      </c>
      <c r="O1888">
        <v>-0.57877619999999996</v>
      </c>
      <c r="P1888">
        <v>0.53976519999999995</v>
      </c>
      <c r="Q1888">
        <v>0.1101747</v>
      </c>
      <c r="R1888">
        <v>-0.83457519999999996</v>
      </c>
      <c r="S1888">
        <v>1.134644</v>
      </c>
      <c r="T1888">
        <v>-0.39890150000000002</v>
      </c>
      <c r="U1888">
        <v>-2.9153440000000002</v>
      </c>
      <c r="V1888">
        <v>0.36860939999999998</v>
      </c>
      <c r="W1888">
        <v>0.1212773</v>
      </c>
      <c r="X1888">
        <v>0.92163930000000005</v>
      </c>
      <c r="Y1888">
        <v>0.54876800000000003</v>
      </c>
      <c r="Z1888">
        <v>3.1323129999999998E-2</v>
      </c>
      <c r="AA1888">
        <v>0.83538760000000001</v>
      </c>
      <c r="AB1888">
        <v>11</v>
      </c>
      <c r="AC1888">
        <v>3.1219999999999799</v>
      </c>
      <c r="AD1888">
        <v>-1.119984044056</v>
      </c>
      <c r="AE1888">
        <v>-8.1347999999999807</v>
      </c>
      <c r="AF1888">
        <v>4.7479570159340003</v>
      </c>
      <c r="AG1888">
        <v>-1.119984044056</v>
      </c>
      <c r="AH1888">
        <v>7.1365861457300497</v>
      </c>
      <c r="AI1888">
        <v>97.444137520082407</v>
      </c>
      <c r="AJ1888">
        <v>56.364253799490697</v>
      </c>
      <c r="AK1888">
        <v>8.6445544650677597</v>
      </c>
      <c r="AL1888">
        <v>83.034175338198494</v>
      </c>
      <c r="AM1888">
        <v>68.201072959217299</v>
      </c>
      <c r="AN1888">
        <v>1.00000003628406</v>
      </c>
    </row>
    <row r="1889" spans="1:40" x14ac:dyDescent="0.25">
      <c r="A1889" t="str">
        <f>"20190303161910674"</f>
        <v>20190303161910674</v>
      </c>
      <c r="B1889" t="str">
        <f>"1551601150663963"</f>
        <v>1551601150663963</v>
      </c>
      <c r="C1889" t="s">
        <v>40</v>
      </c>
      <c r="D1889">
        <v>4.6716980000000001</v>
      </c>
      <c r="E1889">
        <v>0.635799</v>
      </c>
      <c r="F1889" t="s">
        <v>46</v>
      </c>
      <c r="G1889">
        <v>-195.7509</v>
      </c>
      <c r="H1889" s="1">
        <v>-3.9958599999999999E-6</v>
      </c>
      <c r="I1889">
        <v>354.1284</v>
      </c>
      <c r="J1889">
        <v>-198.82749999999999</v>
      </c>
      <c r="K1889">
        <v>1.1200000000000001</v>
      </c>
      <c r="L1889">
        <v>362.27460000000002</v>
      </c>
      <c r="M1889">
        <v>0.81237230000000005</v>
      </c>
      <c r="N1889">
        <v>-1.363312E-2</v>
      </c>
      <c r="O1889">
        <v>-0.58298019999999995</v>
      </c>
      <c r="P1889">
        <v>0.53539169999999903</v>
      </c>
      <c r="Q1889">
        <v>0.1106506</v>
      </c>
      <c r="R1889">
        <v>-0.83732479999999998</v>
      </c>
      <c r="S1889">
        <v>1.1237950000000001</v>
      </c>
      <c r="T1889">
        <v>-0.39820719999999998</v>
      </c>
      <c r="U1889">
        <v>-2.9202880000000002</v>
      </c>
      <c r="V1889">
        <v>0.36861699999999997</v>
      </c>
      <c r="W1889">
        <v>0.12176289999999999</v>
      </c>
      <c r="X1889">
        <v>0.92157210000000001</v>
      </c>
      <c r="Y1889">
        <v>0.54765810000000004</v>
      </c>
      <c r="Z1889">
        <v>3.1924979999999999E-2</v>
      </c>
      <c r="AA1889">
        <v>0.83609290000000003</v>
      </c>
      <c r="AB1889">
        <v>11</v>
      </c>
      <c r="AC1889">
        <v>3.07659999999998</v>
      </c>
      <c r="AD1889">
        <v>-1.1200039958600001</v>
      </c>
      <c r="AE1889">
        <v>-8.1462000000000199</v>
      </c>
      <c r="AF1889">
        <v>4.7460818405249796</v>
      </c>
      <c r="AG1889">
        <v>-1.1200039958600001</v>
      </c>
      <c r="AH1889">
        <v>7.1311178559558099</v>
      </c>
      <c r="AI1889">
        <v>97.449073162253399</v>
      </c>
      <c r="AJ1889">
        <v>56.354436711022103</v>
      </c>
      <c r="AK1889">
        <v>8.6390128870858405</v>
      </c>
      <c r="AL1889">
        <v>83.006143927630504</v>
      </c>
      <c r="AM1889">
        <v>68.199225097404707</v>
      </c>
      <c r="AN1889">
        <v>0.99999991600190596</v>
      </c>
    </row>
    <row r="1890" spans="1:40" x14ac:dyDescent="0.25">
      <c r="A1890" t="str">
        <f>"20190303161910689"</f>
        <v>20190303161910689</v>
      </c>
      <c r="B1890" t="str">
        <f>"1551601150684460"</f>
        <v>1551601150684460</v>
      </c>
      <c r="C1890" t="s">
        <v>40</v>
      </c>
      <c r="D1890">
        <v>4.6337609999999998</v>
      </c>
      <c r="E1890">
        <v>0.6380806</v>
      </c>
      <c r="F1890" t="s">
        <v>41</v>
      </c>
      <c r="G1890">
        <v>-195.601</v>
      </c>
      <c r="H1890" s="1">
        <v>-4.930208E-6</v>
      </c>
      <c r="I1890">
        <v>348.55489999999998</v>
      </c>
      <c r="J1890">
        <v>-198.77279999999999</v>
      </c>
      <c r="K1890">
        <v>1.1200129999999999</v>
      </c>
      <c r="L1890">
        <v>362.23050000000001</v>
      </c>
      <c r="M1890">
        <v>0.81040480000000004</v>
      </c>
      <c r="N1890">
        <v>-1.3631010000000001E-2</v>
      </c>
      <c r="O1890">
        <v>-0.5857118</v>
      </c>
      <c r="P1890">
        <v>0.53255649999999999</v>
      </c>
      <c r="Q1890">
        <v>0.110332399999999</v>
      </c>
      <c r="R1890">
        <v>-0.83917299999999995</v>
      </c>
      <c r="S1890">
        <v>0.73939509999999997</v>
      </c>
      <c r="T1890">
        <v>-0.25666319999999998</v>
      </c>
      <c r="U1890">
        <v>-3.1440429999999999</v>
      </c>
      <c r="V1890">
        <v>0.36866070000000001</v>
      </c>
      <c r="W1890">
        <v>0.1214539</v>
      </c>
      <c r="X1890">
        <v>0.92159550000000001</v>
      </c>
      <c r="Y1890">
        <v>0.65389459999999999</v>
      </c>
      <c r="Z1890">
        <v>1.044288E-2</v>
      </c>
      <c r="AA1890">
        <v>0.75651359999999901</v>
      </c>
      <c r="AB1890">
        <v>11</v>
      </c>
      <c r="AC1890">
        <v>3.17179999999999</v>
      </c>
      <c r="AD1890">
        <v>-1.120017930208</v>
      </c>
      <c r="AE1890">
        <v>-13.675599999999999</v>
      </c>
      <c r="AF1890">
        <v>9.1675163231082504</v>
      </c>
      <c r="AG1890">
        <v>-1.120017930208</v>
      </c>
      <c r="AH1890">
        <v>10.514459890956401</v>
      </c>
      <c r="AI1890">
        <v>94.590380460676499</v>
      </c>
      <c r="AJ1890">
        <v>48.914954425178799</v>
      </c>
      <c r="AK1890">
        <v>13.9947012292859</v>
      </c>
      <c r="AL1890">
        <v>83.023981390990897</v>
      </c>
      <c r="AM1890">
        <v>68.197384636237899</v>
      </c>
      <c r="AN1890">
        <v>1.00000001358497</v>
      </c>
    </row>
    <row r="1891" spans="1:40" x14ac:dyDescent="0.25">
      <c r="A1891" t="str">
        <f>"20190303161910700"</f>
        <v>20190303161910700</v>
      </c>
      <c r="B1891" t="str">
        <f>"1551601150694219"</f>
        <v>1551601150694219</v>
      </c>
      <c r="C1891" t="s">
        <v>40</v>
      </c>
      <c r="D1891">
        <v>4.6372530000000003</v>
      </c>
      <c r="E1891">
        <v>0.63863049999999999</v>
      </c>
      <c r="F1891" t="s">
        <v>41</v>
      </c>
      <c r="G1891">
        <v>-195.6935</v>
      </c>
      <c r="H1891" s="1">
        <v>-4.9660420000000003E-6</v>
      </c>
      <c r="I1891">
        <v>348.61200000000002</v>
      </c>
      <c r="J1891">
        <v>-198.7268</v>
      </c>
      <c r="K1891">
        <v>1.120023</v>
      </c>
      <c r="L1891">
        <v>362.19319999999999</v>
      </c>
      <c r="M1891">
        <v>0.80873830000000002</v>
      </c>
      <c r="N1891">
        <v>-1.362882E-2</v>
      </c>
      <c r="O1891">
        <v>-0.58801099999999995</v>
      </c>
      <c r="P1891">
        <v>0.52976309999999904</v>
      </c>
      <c r="Q1891">
        <v>0.1097508</v>
      </c>
      <c r="R1891">
        <v>-0.84101519999999996</v>
      </c>
      <c r="S1891">
        <v>0.71366879999999999</v>
      </c>
      <c r="T1891">
        <v>-0.25957269999999999</v>
      </c>
      <c r="U1891">
        <v>-3.1561889999999999</v>
      </c>
      <c r="V1891">
        <v>0.36916460000000001</v>
      </c>
      <c r="W1891">
        <v>0.12087639999999999</v>
      </c>
      <c r="X1891">
        <v>0.92146969999999995</v>
      </c>
      <c r="Y1891">
        <v>0.65821730000000001</v>
      </c>
      <c r="Z1891">
        <v>1.0620660000000001E-2</v>
      </c>
      <c r="AA1891">
        <v>0.75275300000000001</v>
      </c>
      <c r="AB1891">
        <v>11</v>
      </c>
      <c r="AC1891">
        <v>3.0332999999999899</v>
      </c>
      <c r="AD1891">
        <v>-1.1200279660420001</v>
      </c>
      <c r="AE1891">
        <v>-13.581200000000001</v>
      </c>
      <c r="AF1891">
        <v>9.1416563314208492</v>
      </c>
      <c r="AG1891">
        <v>-1.1200279660420001</v>
      </c>
      <c r="AH1891">
        <v>10.3728138361324</v>
      </c>
      <c r="AI1891">
        <v>94.631267399414696</v>
      </c>
      <c r="AJ1891">
        <v>48.609975642023201</v>
      </c>
      <c r="AK1891">
        <v>13.8715395686846</v>
      </c>
      <c r="AL1891">
        <v>83.057315249845701</v>
      </c>
      <c r="AM1891">
        <v>68.167683657108896</v>
      </c>
      <c r="AN1891">
        <v>1.0000000069941</v>
      </c>
    </row>
    <row r="1892" spans="1:40" x14ac:dyDescent="0.25">
      <c r="A1892" t="str">
        <f>"20190303161910718"</f>
        <v>20190303161910718</v>
      </c>
      <c r="B1892" t="str">
        <f>"1551601150714716"</f>
        <v>1551601150714716</v>
      </c>
      <c r="C1892" t="s">
        <v>40</v>
      </c>
      <c r="D1892">
        <v>4.9287960000000002</v>
      </c>
      <c r="E1892">
        <v>0.63023090000000004</v>
      </c>
      <c r="F1892" t="s">
        <v>41</v>
      </c>
      <c r="G1892">
        <v>-195.7372</v>
      </c>
      <c r="H1892" s="1">
        <v>-4.9978139999999998E-6</v>
      </c>
      <c r="I1892">
        <v>348.68259999999998</v>
      </c>
      <c r="J1892">
        <v>-198.65880000000001</v>
      </c>
      <c r="K1892">
        <v>1.120039</v>
      </c>
      <c r="L1892">
        <v>362.13749999999999</v>
      </c>
      <c r="M1892">
        <v>0.80625539999999996</v>
      </c>
      <c r="N1892">
        <v>-1.3625119999999999E-2</v>
      </c>
      <c r="O1892">
        <v>-0.59141080000000001</v>
      </c>
      <c r="P1892">
        <v>0.52616370000000001</v>
      </c>
      <c r="Q1892">
        <v>0.10844040000000001</v>
      </c>
      <c r="R1892">
        <v>-0.8434412</v>
      </c>
      <c r="S1892">
        <v>0.69940190000000002</v>
      </c>
      <c r="T1892">
        <v>-0.26202490000000001</v>
      </c>
      <c r="U1892">
        <v>-3.160736</v>
      </c>
      <c r="V1892">
        <v>0.36935000000000001</v>
      </c>
      <c r="W1892">
        <v>0.1195789</v>
      </c>
      <c r="X1892">
        <v>0.92156470000000001</v>
      </c>
      <c r="Y1892">
        <v>0.65851059999999995</v>
      </c>
      <c r="Z1892">
        <v>1.1128539999999999E-2</v>
      </c>
      <c r="AA1892">
        <v>0.75248909999999902</v>
      </c>
      <c r="AB1892">
        <v>11</v>
      </c>
      <c r="AC1892">
        <v>2.92160000000001</v>
      </c>
      <c r="AD1892">
        <v>-1.120043997814</v>
      </c>
      <c r="AE1892">
        <v>-13.4549</v>
      </c>
      <c r="AF1892">
        <v>9.0611032489309498</v>
      </c>
      <c r="AG1892">
        <v>-1.120043997814</v>
      </c>
      <c r="AH1892">
        <v>10.246081139705</v>
      </c>
      <c r="AI1892">
        <v>94.681331857123496</v>
      </c>
      <c r="AJ1892">
        <v>48.512121331764803</v>
      </c>
      <c r="AK1892">
        <v>13.7237119383294</v>
      </c>
      <c r="AL1892">
        <v>83.132199777113698</v>
      </c>
      <c r="AM1892">
        <v>68.159790521916193</v>
      </c>
      <c r="AN1892">
        <v>1.0000000160556499</v>
      </c>
    </row>
    <row r="1893" spans="1:40" x14ac:dyDescent="0.25">
      <c r="A1893" t="str">
        <f>"20190303161910732"</f>
        <v>20190303161910732</v>
      </c>
      <c r="B1893" t="str">
        <f>"1551601150724476"</f>
        <v>1551601150724476</v>
      </c>
      <c r="C1893" t="s">
        <v>40</v>
      </c>
      <c r="D1893">
        <v>4.6249510000000003</v>
      </c>
      <c r="E1893">
        <v>0.63058899999999996</v>
      </c>
      <c r="F1893" t="s">
        <v>46</v>
      </c>
      <c r="G1893">
        <v>-195.9315</v>
      </c>
      <c r="H1893" s="1">
        <v>-2.2100500000000001E-6</v>
      </c>
      <c r="I1893">
        <v>350.67009999999999</v>
      </c>
      <c r="J1893">
        <v>-198.61009999999999</v>
      </c>
      <c r="K1893">
        <v>1.1200540000000001</v>
      </c>
      <c r="L1893">
        <v>362.09739999999999</v>
      </c>
      <c r="M1893">
        <v>0.80446709999999999</v>
      </c>
      <c r="N1893">
        <v>-1.3622230000000001E-2</v>
      </c>
      <c r="O1893">
        <v>-0.59384099999999995</v>
      </c>
      <c r="P1893">
        <v>0.5234219</v>
      </c>
      <c r="Q1893">
        <v>0.1082776</v>
      </c>
      <c r="R1893">
        <v>-0.84516610000000003</v>
      </c>
      <c r="S1893">
        <v>0.74478149999999999</v>
      </c>
      <c r="T1893">
        <v>-0.30586410000000003</v>
      </c>
      <c r="U1893">
        <v>-3.131561</v>
      </c>
      <c r="V1893">
        <v>0.36957479999999998</v>
      </c>
      <c r="W1893">
        <v>0.11942220000000001</v>
      </c>
      <c r="X1893">
        <v>0.92149490000000001</v>
      </c>
      <c r="Y1893">
        <v>0.64412290000000005</v>
      </c>
      <c r="Z1893">
        <v>1.6378960000000001E-2</v>
      </c>
      <c r="AA1893">
        <v>0.7647467</v>
      </c>
      <c r="AB1893">
        <v>11</v>
      </c>
      <c r="AC1893">
        <v>2.6785999999999799</v>
      </c>
      <c r="AD1893">
        <v>-1.12005621005</v>
      </c>
      <c r="AE1893">
        <v>-11.427300000000001</v>
      </c>
      <c r="AF1893">
        <v>7.5343167882854498</v>
      </c>
      <c r="AG1893">
        <v>-1.12005621005</v>
      </c>
      <c r="AH1893">
        <v>8.8609798764782806</v>
      </c>
      <c r="AI1893">
        <v>95.500522142332201</v>
      </c>
      <c r="AJ1893">
        <v>49.6261404521304</v>
      </c>
      <c r="AK1893">
        <v>11.6849227533289</v>
      </c>
      <c r="AL1893">
        <v>83.141242872606796</v>
      </c>
      <c r="AM1893">
        <v>68.146250202599504</v>
      </c>
      <c r="AN1893">
        <v>1.0000000226869401</v>
      </c>
    </row>
    <row r="1894" spans="1:40" x14ac:dyDescent="0.25">
      <c r="A1894" t="str">
        <f>"20190303161910745"</f>
        <v>20190303161910745</v>
      </c>
      <c r="B1894" t="str">
        <f>"1551601150734236"</f>
        <v>1551601150734236</v>
      </c>
      <c r="C1894" t="s">
        <v>40</v>
      </c>
      <c r="D1894">
        <v>4.6196820000000001</v>
      </c>
      <c r="E1894">
        <v>0.63111130000000004</v>
      </c>
      <c r="F1894" t="s">
        <v>46</v>
      </c>
      <c r="G1894">
        <v>-195.8913</v>
      </c>
      <c r="H1894" s="1">
        <v>-2.0645080000000001E-6</v>
      </c>
      <c r="I1894">
        <v>350.44229999999999</v>
      </c>
      <c r="J1894">
        <v>-198.5547</v>
      </c>
      <c r="K1894">
        <v>1.120069</v>
      </c>
      <c r="L1894">
        <v>362.05160000000001</v>
      </c>
      <c r="M1894">
        <v>0.80242179999999996</v>
      </c>
      <c r="N1894">
        <v>-1.3618770000000001E-2</v>
      </c>
      <c r="O1894">
        <v>-0.59660210000000002</v>
      </c>
      <c r="P1894">
        <v>0.52053890000000003</v>
      </c>
      <c r="Q1894">
        <v>0.108224</v>
      </c>
      <c r="R1894">
        <v>-0.84695180000000003</v>
      </c>
      <c r="S1894">
        <v>0.73136899999999905</v>
      </c>
      <c r="T1894">
        <v>-0.30129679999999998</v>
      </c>
      <c r="U1894">
        <v>-3.1352540000000002</v>
      </c>
      <c r="V1894">
        <v>0.36954949999999998</v>
      </c>
      <c r="W1894">
        <v>0.1193782</v>
      </c>
      <c r="X1894">
        <v>0.92151070000000002</v>
      </c>
      <c r="Y1894">
        <v>0.64482469999999903</v>
      </c>
      <c r="Z1894">
        <v>1.620972E-2</v>
      </c>
      <c r="AA1894">
        <v>0.76415859999999902</v>
      </c>
      <c r="AB1894">
        <v>11</v>
      </c>
      <c r="AC1894">
        <v>2.66339999999999</v>
      </c>
      <c r="AD1894">
        <v>-1.1200710645080001</v>
      </c>
      <c r="AE1894">
        <v>-11.609299999999999</v>
      </c>
      <c r="AF1894">
        <v>7.6595471646839099</v>
      </c>
      <c r="AG1894">
        <v>-1.1200710645080001</v>
      </c>
      <c r="AH1894">
        <v>8.9846902646941906</v>
      </c>
      <c r="AI1894">
        <v>95.419377157330899</v>
      </c>
      <c r="AJ1894">
        <v>49.5520435112916</v>
      </c>
      <c r="AK1894">
        <v>11.859505938699799</v>
      </c>
      <c r="AL1894">
        <v>83.143781749952495</v>
      </c>
      <c r="AM1894">
        <v>68.147944709936098</v>
      </c>
      <c r="AN1894">
        <v>0.99999997889998904</v>
      </c>
    </row>
    <row r="1895" spans="1:40" x14ac:dyDescent="0.25">
      <c r="A1895" t="str">
        <f>"20190303161910763"</f>
        <v>20190303161910763</v>
      </c>
      <c r="B1895" t="str">
        <f>"1551601150754732"</f>
        <v>1551601150754732</v>
      </c>
      <c r="C1895" t="s">
        <v>40</v>
      </c>
      <c r="D1895">
        <v>4.6836570000000002</v>
      </c>
      <c r="E1895">
        <v>0.63106410000000002</v>
      </c>
      <c r="F1895" t="s">
        <v>46</v>
      </c>
      <c r="G1895">
        <v>-195.85249999999999</v>
      </c>
      <c r="H1895" s="1">
        <v>-1.912771E-6</v>
      </c>
      <c r="I1895">
        <v>350.20339999999999</v>
      </c>
      <c r="J1895">
        <v>-198.48560000000001</v>
      </c>
      <c r="K1895">
        <v>1.120082</v>
      </c>
      <c r="L1895">
        <v>361.99380000000002</v>
      </c>
      <c r="M1895">
        <v>0.79984809999999995</v>
      </c>
      <c r="N1895">
        <v>-1.361418E-2</v>
      </c>
      <c r="O1895">
        <v>-0.60004809999999997</v>
      </c>
      <c r="P1895">
        <v>0.51723279999999905</v>
      </c>
      <c r="Q1895">
        <v>0.1081276</v>
      </c>
      <c r="R1895">
        <v>-0.84898700000000005</v>
      </c>
      <c r="S1895">
        <v>0.71611020000000003</v>
      </c>
      <c r="T1895">
        <v>-0.2968287</v>
      </c>
      <c r="U1895">
        <v>-3.1398929999999998</v>
      </c>
      <c r="V1895">
        <v>0.36918289999999998</v>
      </c>
      <c r="W1895">
        <v>0.119294899999999</v>
      </c>
      <c r="X1895">
        <v>0.9216685</v>
      </c>
      <c r="Y1895">
        <v>0.645343</v>
      </c>
      <c r="Z1895">
        <v>1.6122879999999999E-2</v>
      </c>
      <c r="AA1895">
        <v>0.76372280000000003</v>
      </c>
      <c r="AB1895">
        <v>11</v>
      </c>
      <c r="AC1895">
        <v>2.63310000000001</v>
      </c>
      <c r="AD1895">
        <v>-1.1200839127710001</v>
      </c>
      <c r="AE1895">
        <v>-11.7904</v>
      </c>
      <c r="AF1895">
        <v>7.7843539268828703</v>
      </c>
      <c r="AG1895">
        <v>-1.1200839127710001</v>
      </c>
      <c r="AH1895">
        <v>9.1034824634997005</v>
      </c>
      <c r="AI1895">
        <v>95.342347910403802</v>
      </c>
      <c r="AJ1895">
        <v>49.466371053561403</v>
      </c>
      <c r="AK1895">
        <v>12.0301349532693</v>
      </c>
      <c r="AL1895">
        <v>83.148589366969404</v>
      </c>
      <c r="AM1895">
        <v>68.170969807230506</v>
      </c>
      <c r="AN1895">
        <v>1.0000000553553301</v>
      </c>
    </row>
    <row r="1896" spans="1:40" x14ac:dyDescent="0.25">
      <c r="A1896" t="str">
        <f>"20190303161910776"</f>
        <v>20190303161910776</v>
      </c>
      <c r="B1896" t="str">
        <f>"1551601150764493"</f>
        <v>1551601150764493</v>
      </c>
      <c r="C1896" t="s">
        <v>40</v>
      </c>
      <c r="D1896">
        <v>4.5704070000000003</v>
      </c>
      <c r="E1896">
        <v>0.63146630000000004</v>
      </c>
      <c r="F1896" t="s">
        <v>46</v>
      </c>
      <c r="G1896">
        <v>-195.7664</v>
      </c>
      <c r="H1896" s="1">
        <v>-1.6764740000000001E-6</v>
      </c>
      <c r="I1896">
        <v>349.84289999999999</v>
      </c>
      <c r="J1896">
        <v>-198.4374</v>
      </c>
      <c r="K1896">
        <v>1.1200889999999999</v>
      </c>
      <c r="L1896">
        <v>361.95319999999998</v>
      </c>
      <c r="M1896">
        <v>0.79804090000000005</v>
      </c>
      <c r="N1896">
        <v>-1.361092E-2</v>
      </c>
      <c r="O1896">
        <v>-0.60244960000000003</v>
      </c>
      <c r="P1896">
        <v>0.51500119999999905</v>
      </c>
      <c r="Q1896">
        <v>0.10749060000000001</v>
      </c>
      <c r="R1896">
        <v>-0.8504235</v>
      </c>
      <c r="S1896">
        <v>0.70317079999999998</v>
      </c>
      <c r="T1896">
        <v>-0.28964269999999998</v>
      </c>
      <c r="U1896">
        <v>-3.1421199999999998</v>
      </c>
      <c r="V1896">
        <v>0.36889169999999999</v>
      </c>
      <c r="W1896">
        <v>0.11866699999999999</v>
      </c>
      <c r="X1896">
        <v>0.92186610000000002</v>
      </c>
      <c r="Y1896">
        <v>0.64619459999999995</v>
      </c>
      <c r="Z1896">
        <v>1.5648970000000002E-2</v>
      </c>
      <c r="AA1896">
        <v>0.76301229999999998</v>
      </c>
      <c r="AB1896">
        <v>11</v>
      </c>
      <c r="AC1896">
        <v>2.67099999999999</v>
      </c>
      <c r="AD1896">
        <v>-1.120090676474</v>
      </c>
      <c r="AE1896">
        <v>-12.110299999999899</v>
      </c>
      <c r="AF1896">
        <v>7.9909302022673696</v>
      </c>
      <c r="AG1896">
        <v>-1.120090676474</v>
      </c>
      <c r="AH1896">
        <v>9.3519949104058409</v>
      </c>
      <c r="AI1896">
        <v>95.202824096211202</v>
      </c>
      <c r="AJ1896">
        <v>49.487348665193402</v>
      </c>
      <c r="AK1896">
        <v>12.351897725664999</v>
      </c>
      <c r="AL1896">
        <v>83.184822558740294</v>
      </c>
      <c r="AM1896">
        <v>68.190808011688603</v>
      </c>
      <c r="AN1896">
        <v>1.0000000247735401</v>
      </c>
    </row>
    <row r="1897" spans="1:40" x14ac:dyDescent="0.25">
      <c r="A1897" t="str">
        <f>"20190303161910788"</f>
        <v>20190303161910788</v>
      </c>
      <c r="B1897" t="str">
        <f>"1551601150784011"</f>
        <v>1551601150784011</v>
      </c>
      <c r="C1897" t="s">
        <v>40</v>
      </c>
      <c r="D1897">
        <v>4.5766669999999996</v>
      </c>
      <c r="E1897">
        <v>0.63199349999999999</v>
      </c>
      <c r="F1897" t="s">
        <v>46</v>
      </c>
      <c r="G1897">
        <v>-195.7567</v>
      </c>
      <c r="H1897" s="1">
        <v>-1.62626E-6</v>
      </c>
      <c r="I1897">
        <v>349.76240000000001</v>
      </c>
      <c r="J1897">
        <v>-198.39009999999999</v>
      </c>
      <c r="K1897">
        <v>1.12009</v>
      </c>
      <c r="L1897">
        <v>361.91320000000002</v>
      </c>
      <c r="M1897">
        <v>0.79625669999999904</v>
      </c>
      <c r="N1897">
        <v>-1.360772E-2</v>
      </c>
      <c r="O1897">
        <v>-0.60480599999999995</v>
      </c>
      <c r="P1897">
        <v>0.51279249999999998</v>
      </c>
      <c r="Q1897">
        <v>0.10691150000000001</v>
      </c>
      <c r="R1897">
        <v>-0.85182999999999998</v>
      </c>
      <c r="S1897">
        <v>0.6916504</v>
      </c>
      <c r="T1897">
        <v>-0.28899150000000001</v>
      </c>
      <c r="U1897">
        <v>-3.1453250000000001</v>
      </c>
      <c r="V1897">
        <v>0.3686122</v>
      </c>
      <c r="W1897">
        <v>0.11809600000000001</v>
      </c>
      <c r="X1897">
        <v>0.92205119999999896</v>
      </c>
      <c r="Y1897">
        <v>0.64677479999999998</v>
      </c>
      <c r="Z1897">
        <v>1.579498E-2</v>
      </c>
      <c r="AA1897">
        <v>0.76251749999999996</v>
      </c>
      <c r="AB1897">
        <v>11</v>
      </c>
      <c r="AC1897">
        <v>2.6333999999999902</v>
      </c>
      <c r="AD1897">
        <v>-1.12009162626</v>
      </c>
      <c r="AE1897">
        <v>-12.1508</v>
      </c>
      <c r="AF1897">
        <v>8.0181291280821991</v>
      </c>
      <c r="AG1897">
        <v>-1.12009162626</v>
      </c>
      <c r="AH1897">
        <v>9.3705577375583999</v>
      </c>
      <c r="AI1897">
        <v>95.189492884883506</v>
      </c>
      <c r="AJ1897">
        <v>49.447303581450299</v>
      </c>
      <c r="AK1897">
        <v>12.3835516827255</v>
      </c>
      <c r="AL1897">
        <v>83.217770078810702</v>
      </c>
      <c r="AM1897">
        <v>68.209748632905701</v>
      </c>
      <c r="AN1897">
        <v>1.00000001731313</v>
      </c>
    </row>
    <row r="1898" spans="1:40" x14ac:dyDescent="0.25">
      <c r="A1898" t="str">
        <f>"20190303161910801"</f>
        <v>20190303161910801</v>
      </c>
      <c r="B1898" t="str">
        <f>"1551601150794748"</f>
        <v>1551601150794748</v>
      </c>
      <c r="C1898" t="s">
        <v>40</v>
      </c>
      <c r="D1898">
        <v>4.8859510000000004</v>
      </c>
      <c r="E1898">
        <v>0.63008039999999998</v>
      </c>
      <c r="F1898" t="s">
        <v>46</v>
      </c>
      <c r="G1898">
        <v>-195.74930000000001</v>
      </c>
      <c r="H1898" s="1">
        <v>-1.5701039999999999E-6</v>
      </c>
      <c r="I1898">
        <v>349.67090000000002</v>
      </c>
      <c r="J1898">
        <v>-198.34280000000001</v>
      </c>
      <c r="K1898">
        <v>1.1200920000000001</v>
      </c>
      <c r="L1898">
        <v>361.87299999999999</v>
      </c>
      <c r="M1898">
        <v>0.79446539999999999</v>
      </c>
      <c r="N1898">
        <v>-1.3604450000000001E-2</v>
      </c>
      <c r="O1898">
        <v>-0.60715719999999995</v>
      </c>
      <c r="P1898">
        <v>0.51036049999999999</v>
      </c>
      <c r="Q1898">
        <v>0.1059278</v>
      </c>
      <c r="R1898">
        <v>-0.85341180000000005</v>
      </c>
      <c r="S1898">
        <v>0.67929079999999997</v>
      </c>
      <c r="T1898">
        <v>-0.28811409999999998</v>
      </c>
      <c r="U1898">
        <v>-3.1490170000000002</v>
      </c>
      <c r="V1898">
        <v>0.36860809999999999</v>
      </c>
      <c r="W1898">
        <v>0.11711870000000001</v>
      </c>
      <c r="X1898">
        <v>0.92217749999999998</v>
      </c>
      <c r="Y1898">
        <v>0.64757200000000004</v>
      </c>
      <c r="Z1898">
        <v>1.5901729999999999E-2</v>
      </c>
      <c r="AA1898">
        <v>0.76183829999999997</v>
      </c>
      <c r="AB1898">
        <v>11</v>
      </c>
      <c r="AC1898">
        <v>2.5935000000000001</v>
      </c>
      <c r="AD1898">
        <v>-1.120093570104</v>
      </c>
      <c r="AE1898">
        <v>-12.2021</v>
      </c>
      <c r="AF1898">
        <v>8.0552917864601099</v>
      </c>
      <c r="AG1898">
        <v>-1.120093570104</v>
      </c>
      <c r="AH1898">
        <v>9.3941770931011597</v>
      </c>
      <c r="AI1898">
        <v>95.171936953180705</v>
      </c>
      <c r="AJ1898">
        <v>49.387667163853301</v>
      </c>
      <c r="AK1898">
        <v>12.425493898728799</v>
      </c>
      <c r="AL1898">
        <v>83.274156652916801</v>
      </c>
      <c r="AM1898">
        <v>68.212673131502598</v>
      </c>
      <c r="AN1898">
        <v>1.00000003139077</v>
      </c>
    </row>
    <row r="1899" spans="1:40" x14ac:dyDescent="0.25">
      <c r="A1899" t="str">
        <f>"20190303161910816"</f>
        <v>20190303161910816</v>
      </c>
      <c r="B1899" t="str">
        <f>"1551601150804507"</f>
        <v>1551601150804507</v>
      </c>
      <c r="C1899" t="s">
        <v>40</v>
      </c>
      <c r="D1899">
        <v>4.8704479999999997</v>
      </c>
      <c r="E1899">
        <v>0.6284227</v>
      </c>
      <c r="F1899" t="s">
        <v>46</v>
      </c>
      <c r="G1899">
        <v>-195.78120000000001</v>
      </c>
      <c r="H1899" s="1">
        <v>-1.831639E-6</v>
      </c>
      <c r="I1899">
        <v>350.09829999999999</v>
      </c>
      <c r="J1899">
        <v>-198.29310000000001</v>
      </c>
      <c r="K1899">
        <v>1.1200950000000001</v>
      </c>
      <c r="L1899">
        <v>361.8304</v>
      </c>
      <c r="M1899">
        <v>0.7925683</v>
      </c>
      <c r="N1899">
        <v>-1.360106E-2</v>
      </c>
      <c r="O1899">
        <v>-0.609631699999999</v>
      </c>
      <c r="P1899">
        <v>0.50803980000000004</v>
      </c>
      <c r="Q1899">
        <v>0.1046504</v>
      </c>
      <c r="R1899">
        <v>-0.85495279999999996</v>
      </c>
      <c r="S1899">
        <v>0.68386840000000004</v>
      </c>
      <c r="T1899">
        <v>-0.2990295</v>
      </c>
      <c r="U1899">
        <v>-3.1434630000000001</v>
      </c>
      <c r="V1899">
        <v>0.36835509999999999</v>
      </c>
      <c r="W1899">
        <v>0.11584949999999999</v>
      </c>
      <c r="X1899">
        <v>0.92243889999999995</v>
      </c>
      <c r="Y1899">
        <v>0.64381690000000003</v>
      </c>
      <c r="Z1899">
        <v>1.75108E-2</v>
      </c>
      <c r="AA1899">
        <v>0.76497919999999997</v>
      </c>
      <c r="AB1899">
        <v>11</v>
      </c>
      <c r="AC1899">
        <v>2.51189999999999</v>
      </c>
      <c r="AD1899">
        <v>-1.1200968316390001</v>
      </c>
      <c r="AE1899">
        <v>-11.732100000000001</v>
      </c>
      <c r="AF1899">
        <v>7.7007577882036502</v>
      </c>
      <c r="AG1899">
        <v>-1.1200968316390001</v>
      </c>
      <c r="AH1899">
        <v>9.0649508855004406</v>
      </c>
      <c r="AI1899">
        <v>95.379717337103699</v>
      </c>
      <c r="AJ1899">
        <v>49.6517980268397</v>
      </c>
      <c r="AK1899">
        <v>11.946950321373301</v>
      </c>
      <c r="AL1899">
        <v>83.347375047815405</v>
      </c>
      <c r="AM1899">
        <v>68.231821368715103</v>
      </c>
      <c r="AN1899">
        <v>1.0000000552897299</v>
      </c>
    </row>
    <row r="1900" spans="1:40" x14ac:dyDescent="0.25">
      <c r="A1900" t="str">
        <f>"20190303161910830"</f>
        <v>20190303161910830</v>
      </c>
      <c r="B1900" t="str">
        <f>"1551601150824028"</f>
        <v>1551601150824028</v>
      </c>
      <c r="C1900" t="s">
        <v>40</v>
      </c>
      <c r="D1900">
        <v>4.8586320000000001</v>
      </c>
      <c r="E1900">
        <v>0.62575950000000002</v>
      </c>
      <c r="F1900" t="s">
        <v>46</v>
      </c>
      <c r="G1900">
        <v>-195.815</v>
      </c>
      <c r="H1900" s="1">
        <v>-2.0795650000000001E-6</v>
      </c>
      <c r="I1900">
        <v>350.50199999999899</v>
      </c>
      <c r="J1900">
        <v>-198.2354</v>
      </c>
      <c r="K1900">
        <v>1.1200909999999999</v>
      </c>
      <c r="L1900">
        <v>361.78059999999999</v>
      </c>
      <c r="M1900">
        <v>0.79035569999999999</v>
      </c>
      <c r="N1900">
        <v>-1.3597140000000001E-2</v>
      </c>
      <c r="O1900">
        <v>-0.61249730000000002</v>
      </c>
      <c r="P1900">
        <v>0.50560989999999995</v>
      </c>
      <c r="Q1900">
        <v>0.1021779</v>
      </c>
      <c r="R1900">
        <v>-0.85669059999999897</v>
      </c>
      <c r="S1900">
        <v>0.68664550000000002</v>
      </c>
      <c r="T1900">
        <v>-0.31035980000000002</v>
      </c>
      <c r="U1900">
        <v>-3.1388850000000001</v>
      </c>
      <c r="V1900">
        <v>0.36785790000000002</v>
      </c>
      <c r="W1900">
        <v>0.1133895</v>
      </c>
      <c r="X1900">
        <v>0.92294279999999995</v>
      </c>
      <c r="Y1900">
        <v>0.64012729999999995</v>
      </c>
      <c r="Z1900">
        <v>1.9234620000000001E-2</v>
      </c>
      <c r="AA1900">
        <v>0.76802809999999999</v>
      </c>
      <c r="AB1900">
        <v>11</v>
      </c>
      <c r="AC1900">
        <v>2.4203999999999999</v>
      </c>
      <c r="AD1900">
        <v>-1.1200930795649999</v>
      </c>
      <c r="AE1900">
        <v>-11.278600000000001</v>
      </c>
      <c r="AF1900">
        <v>7.3628834230681202</v>
      </c>
      <c r="AG1900">
        <v>-1.1200930795649999</v>
      </c>
      <c r="AH1900">
        <v>8.7395040598856593</v>
      </c>
      <c r="AI1900">
        <v>95.598028784608502</v>
      </c>
      <c r="AJ1900">
        <v>49.886432560001197</v>
      </c>
      <c r="AK1900">
        <v>11.4824035820614</v>
      </c>
      <c r="AL1900">
        <v>83.4892574991337</v>
      </c>
      <c r="AM1900">
        <v>68.269225680150697</v>
      </c>
      <c r="AN1900">
        <v>1.0000000126872499</v>
      </c>
    </row>
    <row r="1901" spans="1:40" x14ac:dyDescent="0.25">
      <c r="A1901" t="str">
        <f>"20190303161910846"</f>
        <v>20190303161910846</v>
      </c>
      <c r="B1901" t="str">
        <f>"1551601150834764"</f>
        <v>1551601150834764</v>
      </c>
      <c r="C1901" t="s">
        <v>40</v>
      </c>
      <c r="D1901">
        <v>4.851426</v>
      </c>
      <c r="E1901">
        <v>0.62484469999999903</v>
      </c>
      <c r="F1901" t="s">
        <v>46</v>
      </c>
      <c r="G1901">
        <v>-195.83459999999999</v>
      </c>
      <c r="H1901" s="1">
        <v>-2.3652959999999999E-6</v>
      </c>
      <c r="I1901">
        <v>350.976</v>
      </c>
      <c r="J1901">
        <v>-198.18029999999999</v>
      </c>
      <c r="K1901">
        <v>1.120096</v>
      </c>
      <c r="L1901">
        <v>361.7328</v>
      </c>
      <c r="M1901">
        <v>0.78822700000000001</v>
      </c>
      <c r="N1901">
        <v>-1.3593340000000001E-2</v>
      </c>
      <c r="O1901">
        <v>-0.61523450000000002</v>
      </c>
      <c r="P1901">
        <v>0.50320140000000002</v>
      </c>
      <c r="Q1901">
        <v>0.10115300000000001</v>
      </c>
      <c r="R1901">
        <v>-0.85822869999999996</v>
      </c>
      <c r="S1901">
        <v>0.69551090000000004</v>
      </c>
      <c r="T1901">
        <v>-0.32448320000000003</v>
      </c>
      <c r="U1901">
        <v>-3.1300349999999999</v>
      </c>
      <c r="V1901">
        <v>0.36733830000000001</v>
      </c>
      <c r="W1901">
        <v>0.11237469999999999</v>
      </c>
      <c r="X1901">
        <v>0.92327380000000003</v>
      </c>
      <c r="Y1901">
        <v>0.63488020000000001</v>
      </c>
      <c r="Z1901">
        <v>2.1404030000000001E-2</v>
      </c>
      <c r="AA1901">
        <v>0.7723141</v>
      </c>
      <c r="AB1901">
        <v>11</v>
      </c>
      <c r="AC1901">
        <v>2.3456999999999901</v>
      </c>
      <c r="AD1901">
        <v>-1.1200983652959999</v>
      </c>
      <c r="AE1901">
        <v>-10.756799999999901</v>
      </c>
      <c r="AF1901">
        <v>6.9642099711399696</v>
      </c>
      <c r="AG1901">
        <v>-1.1200983652959999</v>
      </c>
      <c r="AH1901">
        <v>8.3809320094717492</v>
      </c>
      <c r="AI1901">
        <v>95.868906506800997</v>
      </c>
      <c r="AJ1901">
        <v>50.274811872760203</v>
      </c>
      <c r="AK1901">
        <v>10.9542166409767</v>
      </c>
      <c r="AL1901">
        <v>83.5477752298723</v>
      </c>
      <c r="AM1901">
        <v>68.304123588127098</v>
      </c>
      <c r="AN1901">
        <v>1.0000000048067099</v>
      </c>
    </row>
    <row r="1902" spans="1:40" x14ac:dyDescent="0.25">
      <c r="A1902" t="str">
        <f>"20190303161910865"</f>
        <v>20190303161910865</v>
      </c>
      <c r="B1902" t="str">
        <f>"1551601150854284"</f>
        <v>1551601150854284</v>
      </c>
      <c r="C1902" t="s">
        <v>40</v>
      </c>
      <c r="D1902">
        <v>4.8341269999999996</v>
      </c>
      <c r="E1902">
        <v>0.62240490000000004</v>
      </c>
      <c r="F1902" t="s">
        <v>46</v>
      </c>
      <c r="G1902">
        <v>-195.8048</v>
      </c>
      <c r="H1902" s="1">
        <v>-2.3724459999999999E-6</v>
      </c>
      <c r="I1902">
        <v>351.00139999999999</v>
      </c>
      <c r="J1902">
        <v>-198.1095</v>
      </c>
      <c r="K1902">
        <v>1.120098</v>
      </c>
      <c r="L1902">
        <v>361.67079999999999</v>
      </c>
      <c r="M1902">
        <v>0.78547219999999995</v>
      </c>
      <c r="N1902">
        <v>-1.3588289999999999E-2</v>
      </c>
      <c r="O1902">
        <v>-0.61874810000000002</v>
      </c>
      <c r="P1902">
        <v>0.49945840000000002</v>
      </c>
      <c r="Q1902">
        <v>9.9722669999999999E-2</v>
      </c>
      <c r="R1902">
        <v>-0.8605796</v>
      </c>
      <c r="S1902">
        <v>0.69242859999999995</v>
      </c>
      <c r="T1902">
        <v>-0.32649929999999999</v>
      </c>
      <c r="U1902">
        <v>-3.1281129999999999</v>
      </c>
      <c r="V1902">
        <v>0.36736039999999998</v>
      </c>
      <c r="W1902">
        <v>0.1109512</v>
      </c>
      <c r="X1902">
        <v>0.92343710000000001</v>
      </c>
      <c r="Y1902">
        <v>0.63206370000000001</v>
      </c>
      <c r="Z1902">
        <v>2.2251010000000002E-2</v>
      </c>
      <c r="AA1902">
        <v>0.77459690000000003</v>
      </c>
      <c r="AB1902">
        <v>11</v>
      </c>
      <c r="AC1902">
        <v>2.3046999999999902</v>
      </c>
      <c r="AD1902">
        <v>-1.1201003724459999</v>
      </c>
      <c r="AE1902">
        <v>-10.6693999999999</v>
      </c>
      <c r="AF1902">
        <v>6.8826546772965296</v>
      </c>
      <c r="AG1902">
        <v>-1.1201003724459999</v>
      </c>
      <c r="AH1902">
        <v>8.32506082287426</v>
      </c>
      <c r="AI1902">
        <v>95.920200856658894</v>
      </c>
      <c r="AJ1902">
        <v>50.418124353532299</v>
      </c>
      <c r="AK1902">
        <v>10.859659200721699</v>
      </c>
      <c r="AL1902">
        <v>83.629848738462599</v>
      </c>
      <c r="AM1902">
        <v>68.306420104962797</v>
      </c>
      <c r="AN1902">
        <v>0.99999995496300398</v>
      </c>
    </row>
    <row r="1903" spans="1:40" x14ac:dyDescent="0.25">
      <c r="A1903" t="str">
        <f>"20190303161910887"</f>
        <v>20190303161910887</v>
      </c>
      <c r="B1903" t="str">
        <f>"1551601150884540"</f>
        <v>1551601150884540</v>
      </c>
      <c r="C1903" t="s">
        <v>40</v>
      </c>
      <c r="D1903">
        <v>4.7735620000000001</v>
      </c>
      <c r="E1903">
        <v>0.61952050000000003</v>
      </c>
      <c r="F1903" t="s">
        <v>46</v>
      </c>
      <c r="G1903">
        <v>-195.82749999999999</v>
      </c>
      <c r="H1903" s="1">
        <v>-2.6334940000000001E-6</v>
      </c>
      <c r="I1903">
        <v>351.4323</v>
      </c>
      <c r="J1903">
        <v>-198.0292</v>
      </c>
      <c r="K1903">
        <v>1.120106</v>
      </c>
      <c r="L1903">
        <v>361.59980000000002</v>
      </c>
      <c r="M1903">
        <v>0.78231419999999996</v>
      </c>
      <c r="N1903">
        <v>-1.3582759999999999E-2</v>
      </c>
      <c r="O1903">
        <v>-0.62273590000000001</v>
      </c>
      <c r="P1903">
        <v>0.49511939999999999</v>
      </c>
      <c r="Q1903">
        <v>9.934962E-2</v>
      </c>
      <c r="R1903">
        <v>-0.86312639999999996</v>
      </c>
      <c r="S1903">
        <v>0.6958008</v>
      </c>
      <c r="T1903">
        <v>-0.3415204</v>
      </c>
      <c r="U1903">
        <v>-3.1217649999999999</v>
      </c>
      <c r="V1903">
        <v>0.36734070000000002</v>
      </c>
      <c r="W1903">
        <v>0.1105844</v>
      </c>
      <c r="X1903">
        <v>0.923489</v>
      </c>
      <c r="Y1903">
        <v>0.62694110000000003</v>
      </c>
      <c r="Z1903">
        <v>2.4745300000000001E-2</v>
      </c>
      <c r="AA1903">
        <v>0.77867359999999997</v>
      </c>
      <c r="AB1903">
        <v>11</v>
      </c>
      <c r="AC1903">
        <v>2.20170000000001</v>
      </c>
      <c r="AD1903">
        <v>-1.120108633494</v>
      </c>
      <c r="AE1903">
        <v>-10.1675</v>
      </c>
      <c r="AF1903">
        <v>6.5082600074137504</v>
      </c>
      <c r="AG1903">
        <v>-1.120108633494</v>
      </c>
      <c r="AH1903">
        <v>7.96252309221157</v>
      </c>
      <c r="AI1903">
        <v>96.216057781362295</v>
      </c>
      <c r="AJ1903">
        <v>50.738757569888499</v>
      </c>
      <c r="AK1903">
        <v>10.344750633482199</v>
      </c>
      <c r="AL1903">
        <v>83.650995349462306</v>
      </c>
      <c r="AM1903">
        <v>68.308581332148805</v>
      </c>
      <c r="AN1903">
        <v>1.0000000162604199</v>
      </c>
    </row>
    <row r="1904" spans="1:40" x14ac:dyDescent="0.25">
      <c r="A1904" t="str">
        <f>"20190303161910900"</f>
        <v>20190303161910900</v>
      </c>
      <c r="B1904" t="str">
        <f>"1551601150894300"</f>
        <v>1551601150894300</v>
      </c>
      <c r="C1904" t="s">
        <v>40</v>
      </c>
      <c r="D1904">
        <v>4.7753560000000004</v>
      </c>
      <c r="E1904">
        <v>0.61882349999999997</v>
      </c>
      <c r="F1904" t="s">
        <v>46</v>
      </c>
      <c r="G1904">
        <v>-195.79060000000001</v>
      </c>
      <c r="H1904" s="1">
        <v>-2.7495699999999999E-6</v>
      </c>
      <c r="I1904">
        <v>351.64490000000001</v>
      </c>
      <c r="J1904">
        <v>-197.98150000000001</v>
      </c>
      <c r="K1904">
        <v>1.1201129999999999</v>
      </c>
      <c r="L1904">
        <v>361.5573</v>
      </c>
      <c r="M1904">
        <v>0.78042529999999999</v>
      </c>
      <c r="N1904">
        <v>-1.3579559999999999E-2</v>
      </c>
      <c r="O1904">
        <v>-0.62510169999999998</v>
      </c>
      <c r="P1904">
        <v>0.49261739999999998</v>
      </c>
      <c r="Q1904">
        <v>9.9025550000000004E-2</v>
      </c>
      <c r="R1904">
        <v>-0.86459370000000002</v>
      </c>
      <c r="S1904">
        <v>0.70031739999999998</v>
      </c>
      <c r="T1904">
        <v>-0.350412099999999</v>
      </c>
      <c r="U1904">
        <v>-3.114258</v>
      </c>
      <c r="V1904">
        <v>0.36724499999999999</v>
      </c>
      <c r="W1904">
        <v>0.110265</v>
      </c>
      <c r="X1904">
        <v>0.92356519999999998</v>
      </c>
      <c r="Y1904">
        <v>0.62308319999999995</v>
      </c>
      <c r="Z1904">
        <v>2.6352649999999998E-2</v>
      </c>
      <c r="AA1904">
        <v>0.7817115</v>
      </c>
      <c r="AB1904">
        <v>11</v>
      </c>
      <c r="AC1904">
        <v>2.1908999999999899</v>
      </c>
      <c r="AD1904">
        <v>-1.12011574956999</v>
      </c>
      <c r="AE1904">
        <v>-9.9123999999999892</v>
      </c>
      <c r="AF1904">
        <v>6.29035650026543</v>
      </c>
      <c r="AG1904">
        <v>-1.12011574956999</v>
      </c>
      <c r="AH1904">
        <v>7.8117158934489099</v>
      </c>
      <c r="AI1904">
        <v>96.372487252031206</v>
      </c>
      <c r="AJ1904">
        <v>51.157367877296103</v>
      </c>
      <c r="AK1904">
        <v>10.091885324003</v>
      </c>
      <c r="AL1904">
        <v>83.6694079277421</v>
      </c>
      <c r="AM1904">
        <v>68.315331103936401</v>
      </c>
      <c r="AN1904">
        <v>0.99999996945051906</v>
      </c>
    </row>
    <row r="1905" spans="1:40" x14ac:dyDescent="0.25">
      <c r="A1905" t="str">
        <f>"20190303161910912"</f>
        <v>20190303161910912</v>
      </c>
      <c r="B1905" t="str">
        <f>"1551601150904060"</f>
        <v>1551601150904060</v>
      </c>
      <c r="C1905" t="s">
        <v>40</v>
      </c>
      <c r="D1905">
        <v>4.7506300000000001</v>
      </c>
      <c r="E1905">
        <v>0.61810929999999997</v>
      </c>
      <c r="F1905" t="s">
        <v>46</v>
      </c>
      <c r="G1905">
        <v>-195.77459999999999</v>
      </c>
      <c r="H1905" s="1">
        <v>-2.772374E-6</v>
      </c>
      <c r="I1905">
        <v>351.69060000000002</v>
      </c>
      <c r="J1905">
        <v>-197.9357</v>
      </c>
      <c r="K1905">
        <v>1.1201129999999999</v>
      </c>
      <c r="L1905">
        <v>361.51609999999999</v>
      </c>
      <c r="M1905">
        <v>0.77859990000000001</v>
      </c>
      <c r="N1905">
        <v>-1.3576410000000001E-2</v>
      </c>
      <c r="O1905">
        <v>-0.62737410000000005</v>
      </c>
      <c r="P1905">
        <v>0.49005769999999998</v>
      </c>
      <c r="Q1905">
        <v>9.8628099999999996E-2</v>
      </c>
      <c r="R1905">
        <v>-0.86609290000000005</v>
      </c>
      <c r="S1905">
        <v>0.6964264</v>
      </c>
      <c r="T1905">
        <v>-0.35346830000000001</v>
      </c>
      <c r="U1905">
        <v>-3.113556</v>
      </c>
      <c r="V1905">
        <v>0.36731720000000001</v>
      </c>
      <c r="W1905">
        <v>0.1098707</v>
      </c>
      <c r="X1905">
        <v>0.9235835</v>
      </c>
      <c r="Y1905">
        <v>0.62169439999999998</v>
      </c>
      <c r="Z1905">
        <v>2.7102629999999999E-2</v>
      </c>
      <c r="AA1905">
        <v>0.78279080000000001</v>
      </c>
      <c r="AB1905">
        <v>11</v>
      </c>
      <c r="AC1905">
        <v>2.1610999999999998</v>
      </c>
      <c r="AD1905">
        <v>-1.1201157723739901</v>
      </c>
      <c r="AE1905">
        <v>-9.8254999999999697</v>
      </c>
      <c r="AF1905">
        <v>6.2178149802894902</v>
      </c>
      <c r="AG1905">
        <v>-1.1201157723739901</v>
      </c>
      <c r="AH1905">
        <v>7.7515264515509701</v>
      </c>
      <c r="AI1905">
        <v>96.4312211781549</v>
      </c>
      <c r="AJ1905">
        <v>51.265480775304901</v>
      </c>
      <c r="AK1905">
        <v>10.0001022395637</v>
      </c>
      <c r="AL1905">
        <v>83.692137881760104</v>
      </c>
      <c r="AM1905">
        <v>68.311853470208007</v>
      </c>
      <c r="AN1905">
        <v>0.999999988803289</v>
      </c>
    </row>
    <row r="1906" spans="1:40" x14ac:dyDescent="0.25">
      <c r="A1906" t="str">
        <f>"20190303161910932"</f>
        <v>20190303161910932</v>
      </c>
      <c r="B1906" t="str">
        <f>"1551601150924556"</f>
        <v>1551601150924556</v>
      </c>
      <c r="C1906" t="s">
        <v>40</v>
      </c>
      <c r="D1906">
        <v>4.7394869999999996</v>
      </c>
      <c r="E1906">
        <v>0.61758310000000005</v>
      </c>
      <c r="F1906" t="s">
        <v>46</v>
      </c>
      <c r="G1906">
        <v>-195.75919999999999</v>
      </c>
      <c r="H1906" s="1">
        <v>-2.786658E-6</v>
      </c>
      <c r="I1906">
        <v>351.72190000000001</v>
      </c>
      <c r="J1906">
        <v>-197.86770000000001</v>
      </c>
      <c r="K1906">
        <v>1.120126</v>
      </c>
      <c r="L1906">
        <v>361.45479999999998</v>
      </c>
      <c r="M1906">
        <v>0.77587289999999998</v>
      </c>
      <c r="N1906">
        <v>-1.3571730000000001E-2</v>
      </c>
      <c r="O1906">
        <v>-0.63074359999999996</v>
      </c>
      <c r="P1906">
        <v>0.48628939999999998</v>
      </c>
      <c r="Q1906">
        <v>9.8601229999999998E-2</v>
      </c>
      <c r="R1906">
        <v>-0.86821729999999997</v>
      </c>
      <c r="S1906">
        <v>0.69177250000000001</v>
      </c>
      <c r="T1906">
        <v>-0.35601850000000002</v>
      </c>
      <c r="U1906">
        <v>-3.1130070000000001</v>
      </c>
      <c r="V1906">
        <v>0.3673266</v>
      </c>
      <c r="W1906">
        <v>0.1098479</v>
      </c>
      <c r="X1906">
        <v>0.92358249999999997</v>
      </c>
      <c r="Y1906">
        <v>0.61939279999999997</v>
      </c>
      <c r="Z1906">
        <v>2.801381E-2</v>
      </c>
      <c r="AA1906">
        <v>0.78458130000000004</v>
      </c>
      <c r="AB1906">
        <v>11</v>
      </c>
      <c r="AC1906">
        <v>2.1085000000000198</v>
      </c>
      <c r="AD1906">
        <v>-1.1201287866580001</v>
      </c>
      <c r="AE1906">
        <v>-9.7328999999999706</v>
      </c>
      <c r="AF1906">
        <v>6.1444077689186702</v>
      </c>
      <c r="AG1906">
        <v>-1.1201287866580001</v>
      </c>
      <c r="AH1906">
        <v>7.6784647021075001</v>
      </c>
      <c r="AI1906">
        <v>96.4980271563267</v>
      </c>
      <c r="AJ1906">
        <v>51.3327488066721</v>
      </c>
      <c r="AK1906">
        <v>9.8978409519934605</v>
      </c>
      <c r="AL1906">
        <v>83.693452335630695</v>
      </c>
      <c r="AM1906">
        <v>68.311328666691693</v>
      </c>
      <c r="AN1906">
        <v>1.0000000132541</v>
      </c>
    </row>
    <row r="1907" spans="1:40" x14ac:dyDescent="0.25">
      <c r="A1907" t="str">
        <f>"20190303161910947"</f>
        <v>20190303161910947</v>
      </c>
      <c r="B1907" t="str">
        <f>"1551601150934316"</f>
        <v>1551601150934316</v>
      </c>
      <c r="C1907" t="s">
        <v>40</v>
      </c>
      <c r="D1907">
        <v>4.7326680000000003</v>
      </c>
      <c r="E1907">
        <v>0.59939419999999899</v>
      </c>
      <c r="F1907" t="s">
        <v>46</v>
      </c>
      <c r="G1907">
        <v>-195.72790000000001</v>
      </c>
      <c r="H1907" s="1">
        <v>-2.7516649999999999E-6</v>
      </c>
      <c r="I1907">
        <v>351.67660000000001</v>
      </c>
      <c r="J1907">
        <v>-197.81450000000001</v>
      </c>
      <c r="K1907">
        <v>1.120134</v>
      </c>
      <c r="L1907">
        <v>361.40649999999999</v>
      </c>
      <c r="M1907">
        <v>0.77372549999999995</v>
      </c>
      <c r="N1907">
        <v>-1.3568180000000001E-2</v>
      </c>
      <c r="O1907">
        <v>-0.63337580000000004</v>
      </c>
      <c r="P1907">
        <v>0.48319319999999999</v>
      </c>
      <c r="Q1907">
        <v>9.8984119999999995E-2</v>
      </c>
      <c r="R1907">
        <v>-0.86990080000000003</v>
      </c>
      <c r="S1907">
        <v>0.68147279999999999</v>
      </c>
      <c r="T1907">
        <v>-0.35673749999999999</v>
      </c>
      <c r="U1907">
        <v>-3.1141359999999998</v>
      </c>
      <c r="V1907">
        <v>0.36744520000000003</v>
      </c>
      <c r="W1907">
        <v>0.11023280000000001</v>
      </c>
      <c r="X1907">
        <v>0.92348949999999996</v>
      </c>
      <c r="Y1907">
        <v>0.61926630000000005</v>
      </c>
      <c r="Z1907">
        <v>2.8470929999999998E-2</v>
      </c>
      <c r="AA1907">
        <v>0.78466480000000005</v>
      </c>
      <c r="AB1907">
        <v>11</v>
      </c>
      <c r="AC1907">
        <v>2.0865999999999998</v>
      </c>
      <c r="AD1907">
        <v>-1.120136751665</v>
      </c>
      <c r="AE1907">
        <v>-9.7298999999999793</v>
      </c>
      <c r="AF1907">
        <v>6.1295752035125801</v>
      </c>
      <c r="AG1907">
        <v>-1.120136751665</v>
      </c>
      <c r="AH1907">
        <v>7.6805370423176198</v>
      </c>
      <c r="AI1907">
        <v>96.503082383002393</v>
      </c>
      <c r="AJ1907">
        <v>51.407823852787601</v>
      </c>
      <c r="AK1907">
        <v>9.8902501371987501</v>
      </c>
      <c r="AL1907">
        <v>83.671264685127497</v>
      </c>
      <c r="AM1907">
        <v>68.302994445079193</v>
      </c>
      <c r="AN1907">
        <v>1.0000000509045599</v>
      </c>
    </row>
    <row r="1908" spans="1:40" x14ac:dyDescent="0.25">
      <c r="A1908" t="str">
        <f>"20190303161910966"</f>
        <v>20190303161910966</v>
      </c>
      <c r="B1908" t="str">
        <f>"1551601150954813"</f>
        <v>1551601150954813</v>
      </c>
      <c r="C1908" t="s">
        <v>40</v>
      </c>
      <c r="D1908">
        <v>4.7504030000000004</v>
      </c>
      <c r="E1908">
        <v>0.59914489999999998</v>
      </c>
      <c r="F1908" t="s">
        <v>46</v>
      </c>
      <c r="G1908">
        <v>-195.5514</v>
      </c>
      <c r="H1908" s="1">
        <v>-3.2715430000000001E-6</v>
      </c>
      <c r="I1908">
        <v>352.77699999999999</v>
      </c>
      <c r="J1908">
        <v>-197.74700000000001</v>
      </c>
      <c r="K1908">
        <v>1.120139</v>
      </c>
      <c r="L1908">
        <v>361.34460000000001</v>
      </c>
      <c r="M1908">
        <v>0.77097890000000002</v>
      </c>
      <c r="N1908">
        <v>-1.356363E-2</v>
      </c>
      <c r="O1908">
        <v>-0.63671639999999996</v>
      </c>
      <c r="P1908">
        <v>0.47929240000000001</v>
      </c>
      <c r="Q1908">
        <v>9.8978010000000005E-2</v>
      </c>
      <c r="R1908">
        <v>-0.87205639999999995</v>
      </c>
      <c r="S1908">
        <v>0.79974369999999995</v>
      </c>
      <c r="T1908">
        <v>-0.39583089999999999</v>
      </c>
      <c r="U1908">
        <v>-3.0494690000000002</v>
      </c>
      <c r="V1908">
        <v>0.367585</v>
      </c>
      <c r="W1908">
        <v>0.11022949999999999</v>
      </c>
      <c r="X1908">
        <v>0.92343419999999998</v>
      </c>
      <c r="Y1908">
        <v>0.583086199999999</v>
      </c>
      <c r="Z1908">
        <v>3.6584119999999998E-2</v>
      </c>
      <c r="AA1908">
        <v>0.81158619999999904</v>
      </c>
      <c r="AB1908">
        <v>11</v>
      </c>
      <c r="AC1908">
        <v>2.19560000000001</v>
      </c>
      <c r="AD1908">
        <v>-1.1201422715430001</v>
      </c>
      <c r="AE1908">
        <v>-8.5676000000000201</v>
      </c>
      <c r="AF1908">
        <v>5.1257262533078496</v>
      </c>
      <c r="AG1908">
        <v>-1.1201422715430001</v>
      </c>
      <c r="AH1908">
        <v>7.0356970676406902</v>
      </c>
      <c r="AI1908">
        <v>97.332555042556393</v>
      </c>
      <c r="AJ1908">
        <v>53.925486572456002</v>
      </c>
      <c r="AK1908">
        <v>8.7766064945373206</v>
      </c>
      <c r="AL1908">
        <v>83.671454586296804</v>
      </c>
      <c r="AM1908">
        <v>68.2943277989975</v>
      </c>
      <c r="AN1908">
        <v>0.99999999831244402</v>
      </c>
    </row>
    <row r="1909" spans="1:40" x14ac:dyDescent="0.25">
      <c r="A1909" t="str">
        <f>"20190303161910980"</f>
        <v>20190303161910980</v>
      </c>
      <c r="B1909" t="str">
        <f>"1551601150974332"</f>
        <v>1551601150974332</v>
      </c>
      <c r="C1909" t="s">
        <v>40</v>
      </c>
      <c r="D1909">
        <v>4.7710210000000002</v>
      </c>
      <c r="E1909">
        <v>0.59969619999999901</v>
      </c>
      <c r="F1909" t="s">
        <v>46</v>
      </c>
      <c r="G1909">
        <v>-195.49719999999999</v>
      </c>
      <c r="H1909" s="1">
        <v>-3.1883999999999998E-6</v>
      </c>
      <c r="I1909">
        <v>352.63569999999999</v>
      </c>
      <c r="J1909">
        <v>-197.69640000000001</v>
      </c>
      <c r="K1909">
        <v>1.1201449999999999</v>
      </c>
      <c r="L1909">
        <v>361.2978</v>
      </c>
      <c r="M1909">
        <v>0.76890219999999998</v>
      </c>
      <c r="N1909">
        <v>-1.356018E-2</v>
      </c>
      <c r="O1909">
        <v>-0.63922259999999997</v>
      </c>
      <c r="P1909">
        <v>0.47632930000000001</v>
      </c>
      <c r="Q1909">
        <v>9.9052429999999997E-2</v>
      </c>
      <c r="R1909">
        <v>-0.87367009999999901</v>
      </c>
      <c r="S1909">
        <v>0.78829959999999999</v>
      </c>
      <c r="T1909">
        <v>-0.39248139999999998</v>
      </c>
      <c r="U1909">
        <v>-3.0514830000000002</v>
      </c>
      <c r="V1909">
        <v>0.36770599999999998</v>
      </c>
      <c r="W1909">
        <v>0.1103058</v>
      </c>
      <c r="X1909">
        <v>0.92337689999999994</v>
      </c>
      <c r="Y1909">
        <v>0.58344410000000002</v>
      </c>
      <c r="Z1909">
        <v>3.653638E-2</v>
      </c>
      <c r="AA1909">
        <v>0.81133100000000002</v>
      </c>
      <c r="AB1909">
        <v>11</v>
      </c>
      <c r="AC1909">
        <v>2.19920000000001</v>
      </c>
      <c r="AD1909">
        <v>-1.1201481884</v>
      </c>
      <c r="AE1909">
        <v>-8.6621000000000095</v>
      </c>
      <c r="AF1909">
        <v>5.1737333049783203</v>
      </c>
      <c r="AG1909">
        <v>-1.1201481884</v>
      </c>
      <c r="AH1909">
        <v>7.1168390064230804</v>
      </c>
      <c r="AI1909">
        <v>97.255214081874897</v>
      </c>
      <c r="AJ1909">
        <v>53.983947254305399</v>
      </c>
      <c r="AK1909">
        <v>8.8697038123244401</v>
      </c>
      <c r="AL1909">
        <v>83.667056015816897</v>
      </c>
      <c r="AM1909">
        <v>68.286625371350993</v>
      </c>
      <c r="AN1909">
        <v>0.99999998570162396</v>
      </c>
    </row>
    <row r="1910" spans="1:40" x14ac:dyDescent="0.25">
      <c r="A1910" t="str">
        <f>"20190303161911000"</f>
        <v>20190303161911000</v>
      </c>
      <c r="B1910" t="str">
        <f>"1551601150994828"</f>
        <v>1551601150994828</v>
      </c>
      <c r="C1910" t="s">
        <v>40</v>
      </c>
      <c r="D1910">
        <v>4.6853660000000001</v>
      </c>
      <c r="E1910">
        <v>0.59978469999999995</v>
      </c>
      <c r="F1910" t="s">
        <v>46</v>
      </c>
      <c r="G1910">
        <v>-195.38730000000001</v>
      </c>
      <c r="H1910" s="1">
        <v>-2.9284089999999998E-6</v>
      </c>
      <c r="I1910">
        <v>352.16750000000002</v>
      </c>
      <c r="J1910">
        <v>-197.62710000000001</v>
      </c>
      <c r="K1910">
        <v>1.120161</v>
      </c>
      <c r="L1910">
        <v>361.23340000000002</v>
      </c>
      <c r="M1910">
        <v>0.76604309999999998</v>
      </c>
      <c r="N1910">
        <v>-1.355545E-2</v>
      </c>
      <c r="O1910">
        <v>-0.64264659999999996</v>
      </c>
      <c r="P1910">
        <v>0.47273520000000002</v>
      </c>
      <c r="Q1910">
        <v>9.8832219999999998E-2</v>
      </c>
      <c r="R1910">
        <v>-0.87564500000000001</v>
      </c>
      <c r="S1910">
        <v>0.77265930000000005</v>
      </c>
      <c r="T1910">
        <v>-0.37481019999999998</v>
      </c>
      <c r="U1910">
        <v>-3.0550839999999999</v>
      </c>
      <c r="V1910">
        <v>0.36739650000000001</v>
      </c>
      <c r="W1910">
        <v>0.110092</v>
      </c>
      <c r="X1910">
        <v>0.92352559999999995</v>
      </c>
      <c r="Y1910">
        <v>0.58402690000000002</v>
      </c>
      <c r="Z1910">
        <v>3.4819070000000001E-2</v>
      </c>
      <c r="AA1910">
        <v>0.81098719999999902</v>
      </c>
      <c r="AB1910">
        <v>11</v>
      </c>
      <c r="AC1910">
        <v>2.2397999999999998</v>
      </c>
      <c r="AD1910">
        <v>-1.1201639284089999</v>
      </c>
      <c r="AE1910">
        <v>-9.0658999999999992</v>
      </c>
      <c r="AF1910">
        <v>5.4278768570897604</v>
      </c>
      <c r="AG1910">
        <v>-1.1201639284089999</v>
      </c>
      <c r="AH1910">
        <v>7.4356577760785996</v>
      </c>
      <c r="AI1910">
        <v>96.937492172535599</v>
      </c>
      <c r="AJ1910">
        <v>53.871326566637201</v>
      </c>
      <c r="AK1910">
        <v>9.2739215526764909</v>
      </c>
      <c r="AL1910">
        <v>83.679380915057195</v>
      </c>
      <c r="AM1910">
        <v>68.306372269734993</v>
      </c>
      <c r="AN1910">
        <v>0.99999998526580403</v>
      </c>
    </row>
    <row r="1911" spans="1:40" x14ac:dyDescent="0.25">
      <c r="A1911" t="str">
        <f>"20190303161911021"</f>
        <v>20190303161911021</v>
      </c>
      <c r="B1911" t="str">
        <f>"1551601151014348"</f>
        <v>1551601151014348</v>
      </c>
      <c r="C1911" t="s">
        <v>40</v>
      </c>
      <c r="D1911">
        <v>4.7505670000000002</v>
      </c>
      <c r="E1911">
        <v>0.59909400000000002</v>
      </c>
      <c r="F1911" t="s">
        <v>46</v>
      </c>
      <c r="G1911">
        <v>-195.29640000000001</v>
      </c>
      <c r="H1911" s="1">
        <v>-2.7354609999999999E-6</v>
      </c>
      <c r="I1911">
        <v>351.84320000000002</v>
      </c>
      <c r="J1911">
        <v>-197.5531</v>
      </c>
      <c r="K1911">
        <v>1.120169</v>
      </c>
      <c r="L1911">
        <v>361.16379999999998</v>
      </c>
      <c r="M1911">
        <v>0.76295669999999904</v>
      </c>
      <c r="N1911">
        <v>-1.355044E-2</v>
      </c>
      <c r="O1911">
        <v>-0.64630769999999904</v>
      </c>
      <c r="P1911">
        <v>0.46909060000000002</v>
      </c>
      <c r="Q1911">
        <v>9.8931179999999994E-2</v>
      </c>
      <c r="R1911">
        <v>-0.87759169999999997</v>
      </c>
      <c r="S1911">
        <v>0.75891109999999995</v>
      </c>
      <c r="T1911">
        <v>-0.36473660000000002</v>
      </c>
      <c r="U1911">
        <v>-3.0575260000000002</v>
      </c>
      <c r="V1911">
        <v>0.36680180000000001</v>
      </c>
      <c r="W1911">
        <v>0.11019959999999999</v>
      </c>
      <c r="X1911">
        <v>0.92374909999999999</v>
      </c>
      <c r="Y1911">
        <v>0.58377559999999995</v>
      </c>
      <c r="Z1911">
        <v>3.4104950000000002E-2</v>
      </c>
      <c r="AA1911">
        <v>0.81119849999999905</v>
      </c>
      <c r="AB1911">
        <v>11</v>
      </c>
      <c r="AC1911">
        <v>2.2566999999999902</v>
      </c>
      <c r="AD1911">
        <v>-1.1201717354609999</v>
      </c>
      <c r="AE1911">
        <v>-9.3205999999999491</v>
      </c>
      <c r="AF1911">
        <v>5.5771161627290597</v>
      </c>
      <c r="AG1911">
        <v>-1.1201717354609999</v>
      </c>
      <c r="AH1911">
        <v>7.64218078610212</v>
      </c>
      <c r="AI1911">
        <v>96.752446703239798</v>
      </c>
      <c r="AJ1911">
        <v>53.878752988635199</v>
      </c>
      <c r="AK1911">
        <v>9.5269059288400495</v>
      </c>
      <c r="AL1911">
        <v>83.673177962300699</v>
      </c>
      <c r="AM1911">
        <v>68.342989277301896</v>
      </c>
      <c r="AN1911">
        <v>0.99999995603710401</v>
      </c>
    </row>
    <row r="1912" spans="1:40" x14ac:dyDescent="0.25">
      <c r="A1912" t="str">
        <f>"20190303161911033"</f>
        <v>20190303161911033</v>
      </c>
      <c r="B1912" t="str">
        <f>"1551601151024109"</f>
        <v>1551601151024109</v>
      </c>
      <c r="C1912" t="s">
        <v>40</v>
      </c>
      <c r="D1912">
        <v>4.7231030000000001</v>
      </c>
      <c r="E1912">
        <v>0.59884399999999904</v>
      </c>
      <c r="F1912" t="s">
        <v>46</v>
      </c>
      <c r="G1912">
        <v>-195.286</v>
      </c>
      <c r="H1912" s="1">
        <v>-2.7889659999999998E-6</v>
      </c>
      <c r="I1912">
        <v>351.93830000000003</v>
      </c>
      <c r="J1912">
        <v>-197.511</v>
      </c>
      <c r="K1912">
        <v>1.1201760000000001</v>
      </c>
      <c r="L1912">
        <v>361.12389999999999</v>
      </c>
      <c r="M1912">
        <v>0.76118819999999998</v>
      </c>
      <c r="N1912">
        <v>-1.354762E-2</v>
      </c>
      <c r="O1912">
        <v>-0.64838949999999995</v>
      </c>
      <c r="P1912">
        <v>0.46676820000000002</v>
      </c>
      <c r="Q1912">
        <v>9.9117919999999998E-2</v>
      </c>
      <c r="R1912">
        <v>-0.87880800000000003</v>
      </c>
      <c r="S1912">
        <v>0.75158689999999995</v>
      </c>
      <c r="T1912">
        <v>-0.37137029999999999</v>
      </c>
      <c r="U1912">
        <v>-3.0585330000000002</v>
      </c>
      <c r="V1912">
        <v>0.36670429999999998</v>
      </c>
      <c r="W1912">
        <v>0.11038870000000001</v>
      </c>
      <c r="X1912">
        <v>0.92376530000000001</v>
      </c>
      <c r="Y1912">
        <v>0.58343619999999996</v>
      </c>
      <c r="Z1912">
        <v>3.5265379999999999E-2</v>
      </c>
      <c r="AA1912">
        <v>0.81139300000000003</v>
      </c>
      <c r="AB1912">
        <v>10</v>
      </c>
      <c r="AC1912">
        <v>2.2250000000000201</v>
      </c>
      <c r="AD1912">
        <v>-1.120178788966</v>
      </c>
      <c r="AE1912">
        <v>-9.18559999999996</v>
      </c>
      <c r="AF1912">
        <v>5.4729324028212201</v>
      </c>
      <c r="AG1912">
        <v>-1.120178788966</v>
      </c>
      <c r="AH1912">
        <v>7.5442156073098401</v>
      </c>
      <c r="AI1912">
        <v>96.853327472302695</v>
      </c>
      <c r="AJ1912">
        <v>54.041085312288502</v>
      </c>
      <c r="AK1912">
        <v>9.3873840197723499</v>
      </c>
      <c r="AL1912">
        <v>83.662277223264994</v>
      </c>
      <c r="AM1912">
        <v>68.348557855663302</v>
      </c>
      <c r="AN1912">
        <v>1.0000000191051299</v>
      </c>
    </row>
    <row r="1913" spans="1:40" x14ac:dyDescent="0.25">
      <c r="A1913" t="str">
        <f>"20190303161911046"</f>
        <v>20190303161911046</v>
      </c>
      <c r="B1913" t="str">
        <f>"1551601151034844"</f>
        <v>1551601151034844</v>
      </c>
      <c r="C1913" t="s">
        <v>40</v>
      </c>
      <c r="D1913">
        <v>4.7213580000000004</v>
      </c>
      <c r="E1913">
        <v>0.59873089999999995</v>
      </c>
      <c r="F1913" t="s">
        <v>46</v>
      </c>
      <c r="G1913">
        <v>-195.26390000000001</v>
      </c>
      <c r="H1913" s="1">
        <v>-2.7611090000000002E-6</v>
      </c>
      <c r="I1913">
        <v>351.90120000000002</v>
      </c>
      <c r="J1913">
        <v>-197.46610000000001</v>
      </c>
      <c r="K1913">
        <v>1.1201810000000001</v>
      </c>
      <c r="L1913">
        <v>361.0813</v>
      </c>
      <c r="M1913">
        <v>0.759297</v>
      </c>
      <c r="N1913">
        <v>-1.354465E-2</v>
      </c>
      <c r="O1913">
        <v>-0.65060369999999901</v>
      </c>
      <c r="P1913">
        <v>0.46444770000000002</v>
      </c>
      <c r="Q1913">
        <v>9.9139149999999995E-2</v>
      </c>
      <c r="R1913">
        <v>-0.88003410000000004</v>
      </c>
      <c r="S1913">
        <v>0.74545289999999997</v>
      </c>
      <c r="T1913">
        <v>-0.37161640000000001</v>
      </c>
      <c r="U1913">
        <v>-3.059631</v>
      </c>
      <c r="V1913">
        <v>0.3664482</v>
      </c>
      <c r="W1913">
        <v>0.11041339999999999</v>
      </c>
      <c r="X1913">
        <v>0.92386389999999996</v>
      </c>
      <c r="Y1913">
        <v>0.58268399999999998</v>
      </c>
      <c r="Z1913">
        <v>3.5665229999999999E-2</v>
      </c>
      <c r="AA1913">
        <v>0.81191590000000002</v>
      </c>
      <c r="AB1913">
        <v>10</v>
      </c>
      <c r="AC1913">
        <v>2.2021999999999999</v>
      </c>
      <c r="AD1913">
        <v>-1.120183761109</v>
      </c>
      <c r="AE1913">
        <v>-9.1800999999999799</v>
      </c>
      <c r="AF1913">
        <v>5.4612778508825199</v>
      </c>
      <c r="AG1913">
        <v>-1.120183761109</v>
      </c>
      <c r="AH1913">
        <v>7.5392814660312304</v>
      </c>
      <c r="AI1913">
        <v>96.861258157010695</v>
      </c>
      <c r="AJ1913">
        <v>54.081313333673599</v>
      </c>
      <c r="AK1913">
        <v>9.3766269226857002</v>
      </c>
      <c r="AL1913">
        <v>83.660852898645999</v>
      </c>
      <c r="AM1913">
        <v>68.364377137051093</v>
      </c>
      <c r="AN1913">
        <v>0.99999995395300401</v>
      </c>
    </row>
    <row r="1914" spans="1:40" x14ac:dyDescent="0.25">
      <c r="A1914" t="str">
        <f>"20190303161911067"</f>
        <v>20190303161911067</v>
      </c>
      <c r="B1914" t="str">
        <f>"1551601151054365"</f>
        <v>1551601151054365</v>
      </c>
      <c r="C1914" t="s">
        <v>40</v>
      </c>
      <c r="D1914">
        <v>4.7304180000000002</v>
      </c>
      <c r="E1914">
        <v>0.59824669999999902</v>
      </c>
      <c r="F1914" t="s">
        <v>46</v>
      </c>
      <c r="G1914">
        <v>-195.23500000000001</v>
      </c>
      <c r="H1914" s="1">
        <v>-2.7116730000000001E-6</v>
      </c>
      <c r="I1914">
        <v>351.8306</v>
      </c>
      <c r="J1914">
        <v>-197.39789999999999</v>
      </c>
      <c r="K1914">
        <v>1.1201840000000001</v>
      </c>
      <c r="L1914">
        <v>361.01589999999999</v>
      </c>
      <c r="M1914">
        <v>0.75639519999999905</v>
      </c>
      <c r="N1914">
        <v>-1.354028E-2</v>
      </c>
      <c r="O1914">
        <v>-0.65397490000000003</v>
      </c>
      <c r="P1914">
        <v>0.46126879999999998</v>
      </c>
      <c r="Q1914">
        <v>9.8624100000000006E-2</v>
      </c>
      <c r="R1914">
        <v>-0.88176239999999995</v>
      </c>
      <c r="S1914">
        <v>0.73828130000000003</v>
      </c>
      <c r="T1914">
        <v>-0.37067020000000001</v>
      </c>
      <c r="U1914">
        <v>-3.0610659999999998</v>
      </c>
      <c r="V1914">
        <v>0.36571120000000001</v>
      </c>
      <c r="W1914">
        <v>0.109907199999999</v>
      </c>
      <c r="X1914">
        <v>0.92421629999999999</v>
      </c>
      <c r="Y1914">
        <v>0.58097589999999999</v>
      </c>
      <c r="Z1914">
        <v>3.6138120000000003E-2</v>
      </c>
      <c r="AA1914">
        <v>0.81311809999999995</v>
      </c>
      <c r="AB1914">
        <v>10</v>
      </c>
      <c r="AC1914">
        <v>2.1628999999999698</v>
      </c>
      <c r="AD1914">
        <v>-1.120186711673</v>
      </c>
      <c r="AE1914">
        <v>-9.1852999999999803</v>
      </c>
      <c r="AF1914">
        <v>5.4568460866849602</v>
      </c>
      <c r="AG1914">
        <v>-1.120186711673</v>
      </c>
      <c r="AH1914">
        <v>7.5374487829165</v>
      </c>
      <c r="AI1914">
        <v>96.864258422215599</v>
      </c>
      <c r="AJ1914">
        <v>54.096792377155602</v>
      </c>
      <c r="AK1914">
        <v>9.3725728398272405</v>
      </c>
      <c r="AL1914">
        <v>83.690034052520005</v>
      </c>
      <c r="AM1914">
        <v>68.411358234592598</v>
      </c>
      <c r="AN1914">
        <v>1.00000002180148</v>
      </c>
    </row>
    <row r="1915" spans="1:40" x14ac:dyDescent="0.25">
      <c r="A1915" t="str">
        <f>"20190303161911089"</f>
        <v>20190303161911089</v>
      </c>
      <c r="B1915" t="str">
        <f>"1551601151084622"</f>
        <v>1551601151084622</v>
      </c>
      <c r="C1915" t="s">
        <v>40</v>
      </c>
      <c r="D1915">
        <v>4.7791810000000003</v>
      </c>
      <c r="E1915">
        <v>0.59753889999999998</v>
      </c>
      <c r="F1915" t="s">
        <v>46</v>
      </c>
      <c r="G1915">
        <v>-195.21270000000001</v>
      </c>
      <c r="H1915" s="1">
        <v>-2.7201180000000001E-6</v>
      </c>
      <c r="I1915">
        <v>351.85489999999999</v>
      </c>
      <c r="J1915">
        <v>-197.3202</v>
      </c>
      <c r="K1915">
        <v>1.1201890000000001</v>
      </c>
      <c r="L1915">
        <v>360.94080000000002</v>
      </c>
      <c r="M1915">
        <v>0.7530616</v>
      </c>
      <c r="N1915">
        <v>-1.3535439999999999E-2</v>
      </c>
      <c r="O1915">
        <v>-0.65781089999999998</v>
      </c>
      <c r="P1915">
        <v>0.45793420000000001</v>
      </c>
      <c r="Q1915">
        <v>9.8398819999999998E-2</v>
      </c>
      <c r="R1915">
        <v>-0.88352379999999997</v>
      </c>
      <c r="S1915">
        <v>0.7303925</v>
      </c>
      <c r="T1915">
        <v>-0.37442429999999999</v>
      </c>
      <c r="U1915">
        <v>-3.0620729999999998</v>
      </c>
      <c r="V1915">
        <v>0.3645198</v>
      </c>
      <c r="W1915">
        <v>0.1096944</v>
      </c>
      <c r="X1915">
        <v>0.92471210000000004</v>
      </c>
      <c r="Y1915">
        <v>0.57889099999999905</v>
      </c>
      <c r="Z1915">
        <v>3.7322569999999999E-2</v>
      </c>
      <c r="AA1915">
        <v>0.81455040000000001</v>
      </c>
      <c r="AB1915">
        <v>10</v>
      </c>
      <c r="AC1915">
        <v>2.1074999999999799</v>
      </c>
      <c r="AD1915">
        <v>-1.1201917201179901</v>
      </c>
      <c r="AE1915">
        <v>-9.0859000000000307</v>
      </c>
      <c r="AF1915">
        <v>5.3788205023900098</v>
      </c>
      <c r="AG1915">
        <v>-1.1201917201179901</v>
      </c>
      <c r="AH1915">
        <v>7.4570127920408398</v>
      </c>
      <c r="AI1915">
        <v>96.946275384963997</v>
      </c>
      <c r="AJ1915">
        <v>54.196698328621899</v>
      </c>
      <c r="AK1915">
        <v>9.2624823491012798</v>
      </c>
      <c r="AL1915">
        <v>83.7023006694358</v>
      </c>
      <c r="AM1915">
        <v>68.485732808678804</v>
      </c>
      <c r="AN1915">
        <v>1.0000000069349</v>
      </c>
    </row>
    <row r="1916" spans="1:40" x14ac:dyDescent="0.25">
      <c r="A1916" t="str">
        <f>"20190303161911110"</f>
        <v>20190303161911110</v>
      </c>
      <c r="B1916" t="str">
        <f>"1551601151104140"</f>
        <v>1551601151104140</v>
      </c>
      <c r="C1916" t="s">
        <v>40</v>
      </c>
      <c r="D1916">
        <v>4.7949299999999999</v>
      </c>
      <c r="E1916">
        <v>0.59724060000000001</v>
      </c>
      <c r="F1916" t="s">
        <v>46</v>
      </c>
      <c r="G1916">
        <v>-195.16980000000001</v>
      </c>
      <c r="H1916" s="1">
        <v>-2.7004660000000001E-6</v>
      </c>
      <c r="I1916">
        <v>351.84100000000001</v>
      </c>
      <c r="J1916">
        <v>-197.2474</v>
      </c>
      <c r="K1916">
        <v>1.1201939999999999</v>
      </c>
      <c r="L1916">
        <v>360.86950000000002</v>
      </c>
      <c r="M1916">
        <v>0.74990009999999996</v>
      </c>
      <c r="N1916">
        <v>-1.353102E-2</v>
      </c>
      <c r="O1916">
        <v>-0.66141269999999996</v>
      </c>
      <c r="P1916">
        <v>0.4546869</v>
      </c>
      <c r="Q1916">
        <v>9.8702540000000005E-2</v>
      </c>
      <c r="R1916">
        <v>-0.88516539999999999</v>
      </c>
      <c r="S1916">
        <v>0.72369380000000005</v>
      </c>
      <c r="T1916">
        <v>-0.37698150000000002</v>
      </c>
      <c r="U1916">
        <v>-3.0623779999999998</v>
      </c>
      <c r="V1916">
        <v>0.36345559999999899</v>
      </c>
      <c r="W1916">
        <v>0.1100072</v>
      </c>
      <c r="X1916">
        <v>0.92509379999999997</v>
      </c>
      <c r="Y1916">
        <v>0.57670120000000002</v>
      </c>
      <c r="Z1916">
        <v>3.8341760000000003E-2</v>
      </c>
      <c r="AA1916">
        <v>0.81605490000000003</v>
      </c>
      <c r="AB1916">
        <v>10</v>
      </c>
      <c r="AC1916">
        <v>2.0775999999999799</v>
      </c>
      <c r="AD1916">
        <v>-1.1201967004660001</v>
      </c>
      <c r="AE1916">
        <v>-9.0284999999999993</v>
      </c>
      <c r="AF1916">
        <v>5.3190513813287899</v>
      </c>
      <c r="AG1916">
        <v>-1.1201967004660001</v>
      </c>
      <c r="AH1916">
        <v>7.4217402909714396</v>
      </c>
      <c r="AI1916">
        <v>96.994158682063699</v>
      </c>
      <c r="AJ1916">
        <v>54.371391381141201</v>
      </c>
      <c r="AK1916">
        <v>9.1994226553398093</v>
      </c>
      <c r="AL1916">
        <v>83.684269686636796</v>
      </c>
      <c r="AM1916">
        <v>68.550874423603702</v>
      </c>
      <c r="AN1916">
        <v>1.00000004801081</v>
      </c>
    </row>
    <row r="1917" spans="1:40" x14ac:dyDescent="0.25">
      <c r="A1917" t="str">
        <f>"20190303161911124"</f>
        <v>20190303161911124</v>
      </c>
      <c r="B1917" t="str">
        <f>"1551601151114877"</f>
        <v>1551601151114877</v>
      </c>
      <c r="C1917" t="s">
        <v>40</v>
      </c>
      <c r="D1917">
        <v>4.7922359999999999</v>
      </c>
      <c r="E1917">
        <v>0.59712430000000005</v>
      </c>
      <c r="F1917" t="s">
        <v>46</v>
      </c>
      <c r="G1917">
        <v>-195.1174</v>
      </c>
      <c r="H1917" s="1">
        <v>-2.624631E-6</v>
      </c>
      <c r="I1917">
        <v>351.7364</v>
      </c>
      <c r="J1917">
        <v>-197.20150000000001</v>
      </c>
      <c r="K1917">
        <v>1.1201989999999999</v>
      </c>
      <c r="L1917">
        <v>360.82440000000003</v>
      </c>
      <c r="M1917">
        <v>0.74789569999999905</v>
      </c>
      <c r="N1917">
        <v>-1.3528429999999999E-2</v>
      </c>
      <c r="O1917">
        <v>-0.66367860000000001</v>
      </c>
      <c r="P1917">
        <v>0.45236709999999902</v>
      </c>
      <c r="Q1917">
        <v>9.9041630000000005E-2</v>
      </c>
      <c r="R1917">
        <v>-0.88631569999999904</v>
      </c>
      <c r="S1917">
        <v>0.71456909999999996</v>
      </c>
      <c r="T1917">
        <v>-0.37581360000000003</v>
      </c>
      <c r="U1917">
        <v>-3.0640559999999999</v>
      </c>
      <c r="V1917">
        <v>0.36305100000000001</v>
      </c>
      <c r="W1917">
        <v>0.1103498</v>
      </c>
      <c r="X1917">
        <v>0.92521180000000003</v>
      </c>
      <c r="Y1917">
        <v>0.57664490000000002</v>
      </c>
      <c r="Z1917">
        <v>3.8522460000000001E-2</v>
      </c>
      <c r="AA1917">
        <v>0.81608619999999898</v>
      </c>
      <c r="AB1917">
        <v>10</v>
      </c>
      <c r="AC1917">
        <v>2.0840999999999998</v>
      </c>
      <c r="AD1917">
        <v>-1.120201624631</v>
      </c>
      <c r="AE1917">
        <v>-9.0880000000000205</v>
      </c>
      <c r="AF1917">
        <v>5.3371599312289497</v>
      </c>
      <c r="AG1917">
        <v>-1.120201624631</v>
      </c>
      <c r="AH1917">
        <v>7.4828837293180603</v>
      </c>
      <c r="AI1917">
        <v>96.948775365863597</v>
      </c>
      <c r="AJ1917">
        <v>54.501670485870598</v>
      </c>
      <c r="AK1917">
        <v>9.2592481723860693</v>
      </c>
      <c r="AL1917">
        <v>83.6645195499338</v>
      </c>
      <c r="AM1917">
        <v>68.575070845881896</v>
      </c>
      <c r="AN1917">
        <v>0.99999999091014002</v>
      </c>
    </row>
    <row r="1918" spans="1:40" x14ac:dyDescent="0.25">
      <c r="A1918" t="str">
        <f>"20190303161911137"</f>
        <v>20190303161911137</v>
      </c>
      <c r="B1918" t="str">
        <f>"1551601151124636"</f>
        <v>1551601151124636</v>
      </c>
      <c r="C1918" t="s">
        <v>40</v>
      </c>
      <c r="D1918">
        <v>4.7966670000000002</v>
      </c>
      <c r="E1918">
        <v>0.59683809999999904</v>
      </c>
      <c r="F1918" t="s">
        <v>46</v>
      </c>
      <c r="G1918">
        <v>-195.0857</v>
      </c>
      <c r="H1918" s="1">
        <v>-2.5704680000000002E-6</v>
      </c>
      <c r="I1918">
        <v>351.6592</v>
      </c>
      <c r="J1918">
        <v>-197.15899999999999</v>
      </c>
      <c r="K1918">
        <v>1.1202080000000001</v>
      </c>
      <c r="L1918">
        <v>360.78230000000002</v>
      </c>
      <c r="M1918">
        <v>0.74602250000000003</v>
      </c>
      <c r="N1918">
        <v>-1.352603E-2</v>
      </c>
      <c r="O1918">
        <v>-0.66578359999999903</v>
      </c>
      <c r="P1918">
        <v>0.4503701</v>
      </c>
      <c r="Q1918">
        <v>9.9495440000000004E-2</v>
      </c>
      <c r="R1918">
        <v>-0.88728099999999999</v>
      </c>
      <c r="S1918">
        <v>0.70767209999999903</v>
      </c>
      <c r="T1918">
        <v>-0.3746736</v>
      </c>
      <c r="U1918">
        <v>-3.0654910000000002</v>
      </c>
      <c r="V1918">
        <v>0.36248910000000001</v>
      </c>
      <c r="W1918">
        <v>0.11080810000000001</v>
      </c>
      <c r="X1918">
        <v>0.92537729999999996</v>
      </c>
      <c r="Y1918">
        <v>0.57618279999999999</v>
      </c>
      <c r="Z1918">
        <v>3.8704500000000003E-2</v>
      </c>
      <c r="AA1918">
        <v>0.81640389999999996</v>
      </c>
      <c r="AB1918">
        <v>10</v>
      </c>
      <c r="AC1918">
        <v>2.0733000000000099</v>
      </c>
      <c r="AD1918">
        <v>-1.1202105704680001</v>
      </c>
      <c r="AE1918">
        <v>-9.1231000000000204</v>
      </c>
      <c r="AF1918">
        <v>5.3494712579746002</v>
      </c>
      <c r="AG1918">
        <v>-1.1202105704680001</v>
      </c>
      <c r="AH1918">
        <v>7.5137140222656598</v>
      </c>
      <c r="AI1918">
        <v>96.924768325674506</v>
      </c>
      <c r="AJ1918">
        <v>54.550617242491001</v>
      </c>
      <c r="AK1918">
        <v>9.2912654073853798</v>
      </c>
      <c r="AL1918">
        <v>83.638098699184695</v>
      </c>
      <c r="AM1918">
        <v>68.608711542995394</v>
      </c>
      <c r="AN1918">
        <v>0.999999964999854</v>
      </c>
    </row>
    <row r="1919" spans="1:40" x14ac:dyDescent="0.25">
      <c r="A1919" t="str">
        <f>"20190303161911150"</f>
        <v>20190303161911150</v>
      </c>
      <c r="B1919" t="str">
        <f>"1551601151144156"</f>
        <v>1551601151144156</v>
      </c>
      <c r="C1919" t="s">
        <v>40</v>
      </c>
      <c r="D1919">
        <v>4.8112550000000001</v>
      </c>
      <c r="E1919">
        <v>0.59646089999999996</v>
      </c>
      <c r="F1919" t="s">
        <v>46</v>
      </c>
      <c r="G1919">
        <v>-195.054</v>
      </c>
      <c r="H1919" s="1">
        <v>-2.5265310000000001E-6</v>
      </c>
      <c r="I1919">
        <v>351.5992</v>
      </c>
      <c r="J1919">
        <v>-197.11510000000001</v>
      </c>
      <c r="K1919">
        <v>1.120215</v>
      </c>
      <c r="L1919">
        <v>360.73860000000002</v>
      </c>
      <c r="M1919">
        <v>0.74407880000000004</v>
      </c>
      <c r="N1919">
        <v>-1.352361E-2</v>
      </c>
      <c r="O1919">
        <v>-0.66795509999999902</v>
      </c>
      <c r="P1919">
        <v>0.4481909</v>
      </c>
      <c r="Q1919">
        <v>9.9548049999999999E-2</v>
      </c>
      <c r="R1919">
        <v>-0.88837809999999995</v>
      </c>
      <c r="S1919">
        <v>0.70288090000000003</v>
      </c>
      <c r="T1919">
        <v>-0.37404880000000001</v>
      </c>
      <c r="U1919">
        <v>-3.0663149999999999</v>
      </c>
      <c r="V1919">
        <v>0.36205749999999998</v>
      </c>
      <c r="W1919">
        <v>0.11086550000000001</v>
      </c>
      <c r="X1919">
        <v>0.92553940000000001</v>
      </c>
      <c r="Y1919">
        <v>0.57507489999999895</v>
      </c>
      <c r="Z1919">
        <v>3.9008389999999997E-2</v>
      </c>
      <c r="AA1919">
        <v>0.81717030000000002</v>
      </c>
      <c r="AB1919">
        <v>10</v>
      </c>
      <c r="AC1919">
        <v>2.0611000000000099</v>
      </c>
      <c r="AD1919">
        <v>-1.1202175265309999</v>
      </c>
      <c r="AE1919">
        <v>-9.1394000000000197</v>
      </c>
      <c r="AF1919">
        <v>5.3477537604696996</v>
      </c>
      <c r="AG1919">
        <v>-1.1202175265309999</v>
      </c>
      <c r="AH1919">
        <v>7.53135669694871</v>
      </c>
      <c r="AI1919">
        <v>96.914874673278106</v>
      </c>
      <c r="AJ1919">
        <v>54.622767289854202</v>
      </c>
      <c r="AK1919">
        <v>9.3045521808434906</v>
      </c>
      <c r="AL1919">
        <v>83.634789670824503</v>
      </c>
      <c r="AM1919">
        <v>68.635288229058204</v>
      </c>
      <c r="AN1919">
        <v>0.99999998667442902</v>
      </c>
    </row>
    <row r="1920" spans="1:40" x14ac:dyDescent="0.25">
      <c r="A1920" t="str">
        <f>"20190303161911166"</f>
        <v>20190303161911166</v>
      </c>
      <c r="B1920" t="str">
        <f>"1551601151154893"</f>
        <v>1551601151154893</v>
      </c>
      <c r="C1920" t="s">
        <v>40</v>
      </c>
      <c r="D1920">
        <v>4.79955</v>
      </c>
      <c r="E1920">
        <v>0.59619359999999999</v>
      </c>
      <c r="F1920" t="s">
        <v>46</v>
      </c>
      <c r="G1920">
        <v>-195.02430000000001</v>
      </c>
      <c r="H1920" s="1">
        <v>-2.4894880000000001E-6</v>
      </c>
      <c r="I1920">
        <v>351.55</v>
      </c>
      <c r="J1920">
        <v>-197.0626</v>
      </c>
      <c r="K1920">
        <v>1.12022</v>
      </c>
      <c r="L1920">
        <v>360.6859</v>
      </c>
      <c r="M1920">
        <v>0.7417357</v>
      </c>
      <c r="N1920">
        <v>-1.3520819999999999E-2</v>
      </c>
      <c r="O1920">
        <v>-0.67055640000000005</v>
      </c>
      <c r="P1920">
        <v>0.44591049999999899</v>
      </c>
      <c r="Q1920">
        <v>0.10008889999999999</v>
      </c>
      <c r="R1920">
        <v>-0.88946429999999999</v>
      </c>
      <c r="S1920">
        <v>0.69783019999999996</v>
      </c>
      <c r="T1920">
        <v>-0.37388969999999999</v>
      </c>
      <c r="U1920">
        <v>-3.0668329999999999</v>
      </c>
      <c r="V1920">
        <v>0.36114550000000001</v>
      </c>
      <c r="W1920">
        <v>0.1114142</v>
      </c>
      <c r="X1920">
        <v>0.92582980000000004</v>
      </c>
      <c r="Y1920">
        <v>0.57353589999999999</v>
      </c>
      <c r="Z1920">
        <v>3.9470020000000001E-2</v>
      </c>
      <c r="AA1920">
        <v>0.81822899999999998</v>
      </c>
      <c r="AB1920">
        <v>10</v>
      </c>
      <c r="AC1920">
        <v>2.0382999999999898</v>
      </c>
      <c r="AD1920">
        <v>-1.120222489488</v>
      </c>
      <c r="AE1920">
        <v>-9.1358999999999906</v>
      </c>
      <c r="AF1920">
        <v>5.3337305741274896</v>
      </c>
      <c r="AG1920">
        <v>-1.120222489488</v>
      </c>
      <c r="AH1920">
        <v>7.5308541395859603</v>
      </c>
      <c r="AI1920">
        <v>96.921228627322606</v>
      </c>
      <c r="AJ1920">
        <v>54.691950246966798</v>
      </c>
      <c r="AK1920">
        <v>9.2960929607580898</v>
      </c>
      <c r="AL1920">
        <v>83.603155627787203</v>
      </c>
      <c r="AM1920">
        <v>68.690355506019998</v>
      </c>
      <c r="AN1920">
        <v>1.00000000734996</v>
      </c>
    </row>
    <row r="1921" spans="1:40" x14ac:dyDescent="0.25">
      <c r="A1921" t="str">
        <f>"20190303161911179"</f>
        <v>20190303161911179</v>
      </c>
      <c r="B1921" t="str">
        <f>"1551601151174412"</f>
        <v>1551601151174412</v>
      </c>
      <c r="C1921" t="s">
        <v>40</v>
      </c>
      <c r="D1921">
        <v>4.8326520000000004</v>
      </c>
      <c r="E1921">
        <v>0.59575069999999997</v>
      </c>
      <c r="F1921" t="s">
        <v>46</v>
      </c>
      <c r="G1921">
        <v>-194.9811</v>
      </c>
      <c r="H1921" s="1">
        <v>-2.4184189999999999E-6</v>
      </c>
      <c r="I1921">
        <v>351.44929999999999</v>
      </c>
      <c r="J1921">
        <v>-197.01840000000001</v>
      </c>
      <c r="K1921">
        <v>1.1202270000000001</v>
      </c>
      <c r="L1921">
        <v>360.64120000000003</v>
      </c>
      <c r="M1921">
        <v>0.73974839999999997</v>
      </c>
      <c r="N1921">
        <v>-1.351843E-2</v>
      </c>
      <c r="O1921">
        <v>-0.67274780000000001</v>
      </c>
      <c r="P1921">
        <v>0.4437951</v>
      </c>
      <c r="Q1921">
        <v>0.10065</v>
      </c>
      <c r="R1921">
        <v>-0.89045830000000004</v>
      </c>
      <c r="S1921">
        <v>0.69139099999999998</v>
      </c>
      <c r="T1921">
        <v>-0.37209979999999998</v>
      </c>
      <c r="U1921">
        <v>-3.068085</v>
      </c>
      <c r="V1921">
        <v>0.36056009999999999</v>
      </c>
      <c r="W1921">
        <v>0.11198</v>
      </c>
      <c r="X1921">
        <v>0.92598970000000003</v>
      </c>
      <c r="Y1921">
        <v>0.57283419999999996</v>
      </c>
      <c r="Z1921">
        <v>3.9586099999999999E-2</v>
      </c>
      <c r="AA1921">
        <v>0.81871479999999996</v>
      </c>
      <c r="AB1921">
        <v>10</v>
      </c>
      <c r="AC1921">
        <v>2.0373000000000099</v>
      </c>
      <c r="AD1921">
        <v>-1.120229418419</v>
      </c>
      <c r="AE1921">
        <v>-9.1919000000000306</v>
      </c>
      <c r="AF1921">
        <v>5.3538055422484598</v>
      </c>
      <c r="AG1921">
        <v>-1.120229418419</v>
      </c>
      <c r="AH1921">
        <v>7.5842510985457103</v>
      </c>
      <c r="AI1921">
        <v>96.880520889538005</v>
      </c>
      <c r="AJ1921">
        <v>54.7813152517951</v>
      </c>
      <c r="AK1921">
        <v>9.3508829775531606</v>
      </c>
      <c r="AL1921">
        <v>83.570533587636106</v>
      </c>
      <c r="AM1921">
        <v>68.7251515128726</v>
      </c>
      <c r="AN1921">
        <v>1.00000001530904</v>
      </c>
    </row>
    <row r="1922" spans="1:40" x14ac:dyDescent="0.25">
      <c r="A1922" t="str">
        <f>"20190303161911193"</f>
        <v>20190303161911193</v>
      </c>
      <c r="B1922" t="str">
        <f>"1551601151184173"</f>
        <v>1551601151184173</v>
      </c>
      <c r="C1922" t="s">
        <v>40</v>
      </c>
      <c r="D1922">
        <v>4.8460199999999896</v>
      </c>
      <c r="E1922">
        <v>0.59549560000000001</v>
      </c>
      <c r="F1922" t="s">
        <v>46</v>
      </c>
      <c r="G1922">
        <v>-194.94409999999999</v>
      </c>
      <c r="H1922" s="1">
        <v>-2.3657819999999998E-6</v>
      </c>
      <c r="I1922">
        <v>351.37699999999899</v>
      </c>
      <c r="J1922">
        <v>-196.97329999999999</v>
      </c>
      <c r="K1922">
        <v>1.120233</v>
      </c>
      <c r="L1922">
        <v>360.59539999999998</v>
      </c>
      <c r="M1922">
        <v>0.73770719999999901</v>
      </c>
      <c r="N1922">
        <v>-1.3515950000000001E-2</v>
      </c>
      <c r="O1922">
        <v>-0.67498549999999902</v>
      </c>
      <c r="P1922">
        <v>0.44175340000000002</v>
      </c>
      <c r="Q1922">
        <v>0.10115830000000001</v>
      </c>
      <c r="R1922">
        <v>-0.89141519999999996</v>
      </c>
      <c r="S1922">
        <v>0.68707280000000004</v>
      </c>
      <c r="T1922">
        <v>-0.37105389999999999</v>
      </c>
      <c r="U1922">
        <v>-3.0685730000000002</v>
      </c>
      <c r="V1922">
        <v>0.35983409999999999</v>
      </c>
      <c r="W1922">
        <v>0.112495</v>
      </c>
      <c r="X1922">
        <v>0.92620959999999997</v>
      </c>
      <c r="Y1922">
        <v>0.57149259999999902</v>
      </c>
      <c r="Z1922">
        <v>3.9854630000000002E-2</v>
      </c>
      <c r="AA1922">
        <v>0.8196388</v>
      </c>
      <c r="AB1922">
        <v>10</v>
      </c>
      <c r="AC1922">
        <v>2.0291999999999999</v>
      </c>
      <c r="AD1922">
        <v>-1.1202353657819999</v>
      </c>
      <c r="AE1922">
        <v>-9.2184000000000292</v>
      </c>
      <c r="AF1922">
        <v>5.3558581405604704</v>
      </c>
      <c r="AG1922">
        <v>-1.1202353657819999</v>
      </c>
      <c r="AH1922">
        <v>7.6127215023148</v>
      </c>
      <c r="AI1922">
        <v>96.862652692226206</v>
      </c>
      <c r="AJ1922">
        <v>54.872060112067899</v>
      </c>
      <c r="AK1922">
        <v>9.3751625249039208</v>
      </c>
      <c r="AL1922">
        <v>83.540838297168406</v>
      </c>
      <c r="AM1922">
        <v>68.768761860640396</v>
      </c>
      <c r="AN1922">
        <v>0.99999996383998402</v>
      </c>
    </row>
    <row r="1923" spans="1:40" x14ac:dyDescent="0.25">
      <c r="A1923" t="str">
        <f>"20190303161911210"</f>
        <v>20190303161911210</v>
      </c>
      <c r="B1923" t="str">
        <f>"1551601151204669"</f>
        <v>1551601151204669</v>
      </c>
      <c r="C1923" t="s">
        <v>40</v>
      </c>
      <c r="D1923">
        <v>4.8544539999999996</v>
      </c>
      <c r="E1923">
        <v>0.59508539999999999</v>
      </c>
      <c r="F1923" t="s">
        <v>46</v>
      </c>
      <c r="G1923">
        <v>-194.9075</v>
      </c>
      <c r="H1923" s="1">
        <v>-2.306481E-6</v>
      </c>
      <c r="I1923">
        <v>351.29329999999999</v>
      </c>
      <c r="J1923">
        <v>-196.9178</v>
      </c>
      <c r="K1923">
        <v>1.1202460000000001</v>
      </c>
      <c r="L1923">
        <v>360.53870000000001</v>
      </c>
      <c r="M1923">
        <v>0.73518070000000002</v>
      </c>
      <c r="N1923">
        <v>-1.351288E-2</v>
      </c>
      <c r="O1923">
        <v>-0.67773669999999997</v>
      </c>
      <c r="P1923">
        <v>0.43912519999999999</v>
      </c>
      <c r="Q1923">
        <v>0.10264470000000001</v>
      </c>
      <c r="R1923">
        <v>-0.89254339999999999</v>
      </c>
      <c r="S1923">
        <v>0.68167109999999997</v>
      </c>
      <c r="T1923">
        <v>-0.36965599999999998</v>
      </c>
      <c r="U1923">
        <v>-3.0695190000000001</v>
      </c>
      <c r="V1923">
        <v>0.35898059999999998</v>
      </c>
      <c r="W1923">
        <v>0.1139874</v>
      </c>
      <c r="X1923">
        <v>0.92635840000000003</v>
      </c>
      <c r="Y1923">
        <v>0.56987519999999903</v>
      </c>
      <c r="Z1923">
        <v>4.0158350000000002E-2</v>
      </c>
      <c r="AA1923">
        <v>0.82074939999999996</v>
      </c>
      <c r="AB1923">
        <v>10</v>
      </c>
      <c r="AC1923">
        <v>2.0103</v>
      </c>
      <c r="AD1923">
        <v>-1.1202483064809901</v>
      </c>
      <c r="AE1923">
        <v>-9.2454000000000107</v>
      </c>
      <c r="AF1923">
        <v>5.35994039724081</v>
      </c>
      <c r="AG1923">
        <v>-1.1202483064809901</v>
      </c>
      <c r="AH1923">
        <v>7.6375168423447697</v>
      </c>
      <c r="AI1923">
        <v>96.846241464599998</v>
      </c>
      <c r="AJ1923">
        <v>54.9391683680809</v>
      </c>
      <c r="AK1923">
        <v>9.3976369820954293</v>
      </c>
      <c r="AL1923">
        <v>83.454776987088806</v>
      </c>
      <c r="AM1923">
        <v>68.817751374105299</v>
      </c>
      <c r="AN1923">
        <v>1.0000000418928301</v>
      </c>
    </row>
    <row r="1924" spans="1:40" x14ac:dyDescent="0.25">
      <c r="A1924" t="str">
        <f>"20190303161911222"</f>
        <v>20190303161911222</v>
      </c>
      <c r="B1924" t="str">
        <f>"1551601151214429"</f>
        <v>1551601151214429</v>
      </c>
      <c r="C1924" t="s">
        <v>40</v>
      </c>
      <c r="D1924">
        <v>4.862565</v>
      </c>
      <c r="E1924">
        <v>0.5948637</v>
      </c>
      <c r="F1924" t="s">
        <v>46</v>
      </c>
      <c r="G1924">
        <v>-194.83969999999999</v>
      </c>
      <c r="H1924" s="1">
        <v>-2.1705100000000001E-6</v>
      </c>
      <c r="I1924">
        <v>351.09410000000003</v>
      </c>
      <c r="J1924">
        <v>-196.87719999999999</v>
      </c>
      <c r="K1924">
        <v>1.1202540000000001</v>
      </c>
      <c r="L1924">
        <v>360.49700000000001</v>
      </c>
      <c r="M1924">
        <v>0.73331800000000003</v>
      </c>
      <c r="N1924">
        <v>-1.3510660000000001E-2</v>
      </c>
      <c r="O1924">
        <v>-0.67975169999999996</v>
      </c>
      <c r="P1924">
        <v>0.43699280000000001</v>
      </c>
      <c r="Q1924">
        <v>0.102948</v>
      </c>
      <c r="R1924">
        <v>-0.89355459999999998</v>
      </c>
      <c r="S1924">
        <v>0.67564389999999996</v>
      </c>
      <c r="T1924">
        <v>-0.36421229999999999</v>
      </c>
      <c r="U1924">
        <v>-3.0706180000000001</v>
      </c>
      <c r="V1924">
        <v>0.3586241</v>
      </c>
      <c r="W1924">
        <v>0.1142949</v>
      </c>
      <c r="X1924">
        <v>0.92645849999999996</v>
      </c>
      <c r="Y1924">
        <v>0.56924330000000001</v>
      </c>
      <c r="Z1924">
        <v>3.9718469999999999E-2</v>
      </c>
      <c r="AA1924">
        <v>0.82120919999999897</v>
      </c>
      <c r="AB1924">
        <v>10</v>
      </c>
      <c r="AC1924">
        <v>2.0374999999999899</v>
      </c>
      <c r="AD1924">
        <v>-1.12025617051</v>
      </c>
      <c r="AE1924">
        <v>-9.4028999999999296</v>
      </c>
      <c r="AF1924">
        <v>5.4371098936284099</v>
      </c>
      <c r="AG1924">
        <v>-1.12025617051</v>
      </c>
      <c r="AH1924">
        <v>7.7809998686398298</v>
      </c>
      <c r="AI1924">
        <v>96.7306753890892</v>
      </c>
      <c r="AJ1924">
        <v>55.055400904978598</v>
      </c>
      <c r="AK1924">
        <v>9.5582998926969598</v>
      </c>
      <c r="AL1924">
        <v>83.437042098540303</v>
      </c>
      <c r="AM1924">
        <v>68.839008933054998</v>
      </c>
      <c r="AN1924">
        <v>0.99999996074453401</v>
      </c>
    </row>
    <row r="1925" spans="1:40" x14ac:dyDescent="0.25">
      <c r="A1925" t="str">
        <f>"20190303161911234"</f>
        <v>20190303161911234</v>
      </c>
      <c r="B1925" t="str">
        <f>"1551601151224188"</f>
        <v>1551601151224188</v>
      </c>
      <c r="C1925" t="s">
        <v>40</v>
      </c>
      <c r="D1925">
        <v>4.8965690000000004</v>
      </c>
      <c r="E1925">
        <v>0.59482500000000005</v>
      </c>
      <c r="F1925" t="s">
        <v>46</v>
      </c>
      <c r="G1925">
        <v>-194.8142</v>
      </c>
      <c r="H1925" s="1">
        <v>-2.128781E-6</v>
      </c>
      <c r="I1925">
        <v>351.03500000000003</v>
      </c>
      <c r="J1925">
        <v>-196.83850000000001</v>
      </c>
      <c r="K1925">
        <v>1.120258</v>
      </c>
      <c r="L1925">
        <v>360.45690000000002</v>
      </c>
      <c r="M1925">
        <v>0.73153230000000002</v>
      </c>
      <c r="N1925">
        <v>-1.350852E-2</v>
      </c>
      <c r="O1925">
        <v>-0.68167290000000003</v>
      </c>
      <c r="P1925">
        <v>0.4347029</v>
      </c>
      <c r="Q1925">
        <v>0.1032569</v>
      </c>
      <c r="R1925">
        <v>-0.89463499999999996</v>
      </c>
      <c r="S1925">
        <v>0.66972349999999903</v>
      </c>
      <c r="T1925">
        <v>-0.36368220000000001</v>
      </c>
      <c r="U1925">
        <v>-3.0717469999999998</v>
      </c>
      <c r="V1925">
        <v>0.35854029999999998</v>
      </c>
      <c r="W1925">
        <v>0.1146051</v>
      </c>
      <c r="X1925">
        <v>0.92645259999999996</v>
      </c>
      <c r="Y1925">
        <v>0.56867040000000002</v>
      </c>
      <c r="Z1925">
        <v>3.9950689999999997E-2</v>
      </c>
      <c r="AA1925">
        <v>0.82159479999999996</v>
      </c>
      <c r="AB1925">
        <v>10</v>
      </c>
      <c r="AC1925">
        <v>2.02430000000001</v>
      </c>
      <c r="AD1925">
        <v>-1.1202601287809999</v>
      </c>
      <c r="AE1925">
        <v>-9.4218999999999902</v>
      </c>
      <c r="AF1925">
        <v>5.4395110496035102</v>
      </c>
      <c r="AG1925">
        <v>-1.1202601287809999</v>
      </c>
      <c r="AH1925">
        <v>7.7988280954193199</v>
      </c>
      <c r="AI1925">
        <v>96.719481756007795</v>
      </c>
      <c r="AJ1925">
        <v>55.105074451069797</v>
      </c>
      <c r="AK1925">
        <v>9.5741831441014806</v>
      </c>
      <c r="AL1925">
        <v>83.419151302088395</v>
      </c>
      <c r="AM1925">
        <v>68.843393419136902</v>
      </c>
      <c r="AN1925">
        <v>0.99999994785842805</v>
      </c>
    </row>
    <row r="1926" spans="1:40" x14ac:dyDescent="0.25">
      <c r="A1926" t="str">
        <f>"20190303161911249"</f>
        <v>20190303161911249</v>
      </c>
      <c r="B1926" t="str">
        <f>"1551601151244684"</f>
        <v>1551601151244684</v>
      </c>
      <c r="C1926" t="s">
        <v>40</v>
      </c>
      <c r="D1926">
        <v>4.899546</v>
      </c>
      <c r="E1926">
        <v>0.5943138</v>
      </c>
      <c r="F1926" t="s">
        <v>46</v>
      </c>
      <c r="G1926">
        <v>-194.77420000000001</v>
      </c>
      <c r="H1926" s="1">
        <v>-2.01912E-6</v>
      </c>
      <c r="I1926">
        <v>350.86779999999999</v>
      </c>
      <c r="J1926">
        <v>-196.79339999999999</v>
      </c>
      <c r="K1926">
        <v>1.1202650000000001</v>
      </c>
      <c r="L1926">
        <v>360.40989999999999</v>
      </c>
      <c r="M1926">
        <v>0.72943599999999997</v>
      </c>
      <c r="N1926">
        <v>-1.350604E-2</v>
      </c>
      <c r="O1926">
        <v>-0.68391610000000003</v>
      </c>
      <c r="P1926">
        <v>0.43227130000000002</v>
      </c>
      <c r="Q1926">
        <v>0.10357719999999999</v>
      </c>
      <c r="R1926">
        <v>-0.89577559999999901</v>
      </c>
      <c r="S1926">
        <v>0.66160580000000002</v>
      </c>
      <c r="T1926">
        <v>-0.35903170000000001</v>
      </c>
      <c r="U1926">
        <v>-3.0732119999999998</v>
      </c>
      <c r="V1926">
        <v>0.35818440000000001</v>
      </c>
      <c r="W1926">
        <v>0.11492960000000001</v>
      </c>
      <c r="X1926">
        <v>0.92655010000000004</v>
      </c>
      <c r="Y1926">
        <v>0.56832059999999995</v>
      </c>
      <c r="Z1926">
        <v>3.9624470000000002E-2</v>
      </c>
      <c r="AA1926">
        <v>0.82185249999999999</v>
      </c>
      <c r="AB1926">
        <v>10</v>
      </c>
      <c r="AC1926">
        <v>2.0191999999999801</v>
      </c>
      <c r="AD1926">
        <v>-1.1202670191199999</v>
      </c>
      <c r="AE1926">
        <v>-9.5420999999999996</v>
      </c>
      <c r="AF1926">
        <v>5.5072404492756997</v>
      </c>
      <c r="AG1926">
        <v>-1.1202670191199999</v>
      </c>
      <c r="AH1926">
        <v>7.89543905673768</v>
      </c>
      <c r="AI1926">
        <v>96.637903837470802</v>
      </c>
      <c r="AJ1926">
        <v>55.103388379880101</v>
      </c>
      <c r="AK1926">
        <v>9.6913700506649292</v>
      </c>
      <c r="AL1926">
        <v>83.400435381883099</v>
      </c>
      <c r="AM1926">
        <v>68.864567059818896</v>
      </c>
      <c r="AN1926">
        <v>0.99999998258476397</v>
      </c>
    </row>
    <row r="1927" spans="1:40" x14ac:dyDescent="0.25">
      <c r="A1927" t="str">
        <f>"20190303161911268"</f>
        <v>20190303161911268</v>
      </c>
      <c r="B1927" t="str">
        <f>"1551601151254444"</f>
        <v>1551601151254444</v>
      </c>
      <c r="C1927" t="s">
        <v>40</v>
      </c>
      <c r="D1927">
        <v>4.9864459999999999</v>
      </c>
      <c r="E1927">
        <v>0.59405929999999996</v>
      </c>
      <c r="F1927" t="s">
        <v>46</v>
      </c>
      <c r="G1927">
        <v>-194.744</v>
      </c>
      <c r="H1927" s="1">
        <v>-1.9842040000000001E-6</v>
      </c>
      <c r="I1927">
        <v>350.82229999999998</v>
      </c>
      <c r="J1927">
        <v>-196.7328</v>
      </c>
      <c r="K1927">
        <v>1.1202669999999999</v>
      </c>
      <c r="L1927">
        <v>360.34649999999999</v>
      </c>
      <c r="M1927">
        <v>0.72660309999999995</v>
      </c>
      <c r="N1927">
        <v>-1.3502699999999999E-2</v>
      </c>
      <c r="O1927">
        <v>-0.68692509999999996</v>
      </c>
      <c r="P1927">
        <v>0.42866670000000001</v>
      </c>
      <c r="Q1927">
        <v>0.1039192</v>
      </c>
      <c r="R1927">
        <v>-0.89746649999999994</v>
      </c>
      <c r="S1927">
        <v>0.65696719999999997</v>
      </c>
      <c r="T1927">
        <v>-0.35912569999999999</v>
      </c>
      <c r="U1927">
        <v>-3.0735169999999998</v>
      </c>
      <c r="V1927">
        <v>0.35805019999999999</v>
      </c>
      <c r="W1927">
        <v>0.1152744</v>
      </c>
      <c r="X1927">
        <v>0.92655920000000003</v>
      </c>
      <c r="Y1927">
        <v>0.56613950000000002</v>
      </c>
      <c r="Z1927">
        <v>4.019967E-2</v>
      </c>
      <c r="AA1927">
        <v>0.82332870000000002</v>
      </c>
      <c r="AB1927">
        <v>10</v>
      </c>
      <c r="AC1927">
        <v>1.9887999999999599</v>
      </c>
      <c r="AD1927">
        <v>-1.1202689842039999</v>
      </c>
      <c r="AE1927">
        <v>-9.5242000000000004</v>
      </c>
      <c r="AF1927">
        <v>5.4819858624583597</v>
      </c>
      <c r="AG1927">
        <v>-1.1202689842039999</v>
      </c>
      <c r="AH1927">
        <v>7.8836909168207798</v>
      </c>
      <c r="AI1927">
        <v>96.654407914913406</v>
      </c>
      <c r="AJ1927">
        <v>55.186878955563003</v>
      </c>
      <c r="AK1927">
        <v>9.6674585111664797</v>
      </c>
      <c r="AL1927">
        <v>83.380548011614906</v>
      </c>
      <c r="AM1927">
        <v>68.871976305848506</v>
      </c>
      <c r="AN1927">
        <v>1.0000000420600099</v>
      </c>
    </row>
    <row r="1928" spans="1:40" x14ac:dyDescent="0.25">
      <c r="A1928" t="str">
        <f>"20190303161911290"</f>
        <v>20190303161911290</v>
      </c>
      <c r="B1928" t="str">
        <f>"1551601151284700"</f>
        <v>1551601151284700</v>
      </c>
      <c r="C1928" t="s">
        <v>40</v>
      </c>
      <c r="D1928">
        <v>4.7742399999999998</v>
      </c>
      <c r="E1928">
        <v>0.58491510000000002</v>
      </c>
      <c r="F1928" t="s">
        <v>46</v>
      </c>
      <c r="G1928">
        <v>-194.71780000000001</v>
      </c>
      <c r="H1928" s="1">
        <v>-1.94509E-6</v>
      </c>
      <c r="I1928">
        <v>350.76799999999997</v>
      </c>
      <c r="J1928">
        <v>-196.65940000000001</v>
      </c>
      <c r="K1928">
        <v>1.120277</v>
      </c>
      <c r="L1928">
        <v>360.2688</v>
      </c>
      <c r="M1928">
        <v>0.72313479999999997</v>
      </c>
      <c r="N1928">
        <v>-1.3498629999999999E-2</v>
      </c>
      <c r="O1928">
        <v>-0.69057519999999994</v>
      </c>
      <c r="P1928">
        <v>0.42414770000000002</v>
      </c>
      <c r="Q1928">
        <v>0.104458</v>
      </c>
      <c r="R1928">
        <v>-0.89954880000000004</v>
      </c>
      <c r="S1928">
        <v>0.64695740000000002</v>
      </c>
      <c r="T1928">
        <v>-0.35968820000000001</v>
      </c>
      <c r="U1928">
        <v>-3.0753780000000002</v>
      </c>
      <c r="V1928">
        <v>0.35799880000000001</v>
      </c>
      <c r="W1928">
        <v>0.1158153</v>
      </c>
      <c r="X1928">
        <v>0.92651159999999999</v>
      </c>
      <c r="Y1928">
        <v>0.56467019999999901</v>
      </c>
      <c r="Z1928">
        <v>4.0882080000000001E-2</v>
      </c>
      <c r="AA1928">
        <v>0.82430349999999997</v>
      </c>
      <c r="AB1928">
        <v>10</v>
      </c>
      <c r="AC1928">
        <v>1.94159999999999</v>
      </c>
      <c r="AD1928">
        <v>-1.1202789450899999</v>
      </c>
      <c r="AE1928">
        <v>-9.5007999999999697</v>
      </c>
      <c r="AF1928">
        <v>5.4572075839063103</v>
      </c>
      <c r="AG1928">
        <v>-1.1202789450899999</v>
      </c>
      <c r="AH1928">
        <v>7.8608661906777098</v>
      </c>
      <c r="AI1928">
        <v>96.677126613114396</v>
      </c>
      <c r="AJ1928">
        <v>55.230663078207698</v>
      </c>
      <c r="AK1928">
        <v>9.6347992608251296</v>
      </c>
      <c r="AL1928">
        <v>83.349347705309299</v>
      </c>
      <c r="AM1928">
        <v>68.8737522324097</v>
      </c>
      <c r="AN1928">
        <v>1.00000003472504</v>
      </c>
    </row>
    <row r="1929" spans="1:40" x14ac:dyDescent="0.25">
      <c r="A1929" t="str">
        <f>"20190303161911312"</f>
        <v>20190303161911312</v>
      </c>
      <c r="B1929" t="str">
        <f>"1551601151304221"</f>
        <v>1551601151304221</v>
      </c>
      <c r="C1929" t="s">
        <v>40</v>
      </c>
      <c r="D1929">
        <v>4.8027939999999996</v>
      </c>
      <c r="E1929">
        <v>0.58355459999999904</v>
      </c>
      <c r="F1929" t="s">
        <v>41</v>
      </c>
      <c r="G1929">
        <v>-192.3167</v>
      </c>
      <c r="H1929" s="1">
        <v>-1.270286E-6</v>
      </c>
      <c r="I1929">
        <v>341.11329999999998</v>
      </c>
      <c r="J1929">
        <v>-196.59360000000001</v>
      </c>
      <c r="K1929">
        <v>1.1202859999999999</v>
      </c>
      <c r="L1929">
        <v>360.19850000000002</v>
      </c>
      <c r="M1929">
        <v>0.71999199999999997</v>
      </c>
      <c r="N1929">
        <v>-1.349495E-2</v>
      </c>
      <c r="O1929">
        <v>-0.6938512</v>
      </c>
      <c r="P1929">
        <v>0.42011690000000002</v>
      </c>
      <c r="Q1929">
        <v>0.1051628</v>
      </c>
      <c r="R1929">
        <v>-0.9013565</v>
      </c>
      <c r="S1929">
        <v>0.68727109999999902</v>
      </c>
      <c r="T1929">
        <v>-0.1772956</v>
      </c>
      <c r="U1929">
        <v>-3.031555</v>
      </c>
      <c r="V1929">
        <v>0.3578809</v>
      </c>
      <c r="W1929">
        <v>0.1165229</v>
      </c>
      <c r="X1929">
        <v>0.92646839999999997</v>
      </c>
      <c r="Y1929">
        <v>0.54842230000000003</v>
      </c>
      <c r="Z1929">
        <v>1.5020759999999999E-2</v>
      </c>
      <c r="AA1929">
        <v>0.83606650000000005</v>
      </c>
      <c r="AB1929">
        <v>10</v>
      </c>
      <c r="AC1929">
        <v>4.2769000000000101</v>
      </c>
      <c r="AD1929">
        <v>-1.1202872702860001</v>
      </c>
      <c r="AE1929">
        <v>-19.0852</v>
      </c>
      <c r="AF1929">
        <v>10.739405510999999</v>
      </c>
      <c r="AG1929">
        <v>-1.1202872702860001</v>
      </c>
      <c r="AH1929">
        <v>16.269729984758001</v>
      </c>
      <c r="AI1929">
        <v>93.288975150362802</v>
      </c>
      <c r="AJ1929">
        <v>56.5717945941228</v>
      </c>
      <c r="AK1929">
        <v>19.526750576442499</v>
      </c>
      <c r="AL1929">
        <v>83.308528683314407</v>
      </c>
      <c r="AM1929">
        <v>68.879198364798796</v>
      </c>
      <c r="AN1929">
        <v>1.00000001050389</v>
      </c>
    </row>
    <row r="1930" spans="1:40" x14ac:dyDescent="0.25">
      <c r="A1930" t="str">
        <f>"20190303161911325"</f>
        <v>20190303161911325</v>
      </c>
      <c r="B1930" t="str">
        <f>"1551601151313980"</f>
        <v>1551601151313980</v>
      </c>
      <c r="C1930" t="s">
        <v>40</v>
      </c>
      <c r="D1930">
        <v>4.7936439999999996</v>
      </c>
      <c r="E1930">
        <v>0.58339419999999897</v>
      </c>
      <c r="F1930" t="s">
        <v>41</v>
      </c>
      <c r="G1930">
        <v>-192.00129999999999</v>
      </c>
      <c r="H1930" s="1">
        <v>-6.399089E-7</v>
      </c>
      <c r="I1930">
        <v>339.83949999999999</v>
      </c>
      <c r="J1930">
        <v>-196.55009999999999</v>
      </c>
      <c r="K1930">
        <v>1.1202920000000001</v>
      </c>
      <c r="L1930">
        <v>360.15179999999998</v>
      </c>
      <c r="M1930">
        <v>0.71790159999999903</v>
      </c>
      <c r="N1930">
        <v>-1.3492530000000001E-2</v>
      </c>
      <c r="O1930">
        <v>-0.69601389999999996</v>
      </c>
      <c r="P1930">
        <v>0.41766310000000001</v>
      </c>
      <c r="Q1930">
        <v>0.1053432</v>
      </c>
      <c r="R1930">
        <v>-0.90247489999999997</v>
      </c>
      <c r="S1930">
        <v>0.68328859999999902</v>
      </c>
      <c r="T1930">
        <v>-0.16669010000000001</v>
      </c>
      <c r="U1930">
        <v>-3.0292659999999998</v>
      </c>
      <c r="V1930">
        <v>0.35759819999999998</v>
      </c>
      <c r="W1930">
        <v>0.11670709999999999</v>
      </c>
      <c r="X1930">
        <v>0.92655430000000005</v>
      </c>
      <c r="Y1930">
        <v>0.54684109999999997</v>
      </c>
      <c r="Z1930">
        <v>1.3597450000000001E-2</v>
      </c>
      <c r="AA1930">
        <v>0.83712600000000004</v>
      </c>
      <c r="AB1930">
        <v>10</v>
      </c>
      <c r="AC1930">
        <v>4.5488</v>
      </c>
      <c r="AD1930">
        <v>-1.1202926399088999</v>
      </c>
      <c r="AE1930">
        <v>-20.3123</v>
      </c>
      <c r="AF1930">
        <v>11.3842673123581</v>
      </c>
      <c r="AG1930">
        <v>-1.1202926399088999</v>
      </c>
      <c r="AH1930">
        <v>17.3545476351979</v>
      </c>
      <c r="AI1930">
        <v>93.089613663467603</v>
      </c>
      <c r="AJ1930">
        <v>56.735854505282099</v>
      </c>
      <c r="AK1930">
        <v>20.785497864150699</v>
      </c>
      <c r="AL1930">
        <v>83.297901860352695</v>
      </c>
      <c r="AM1930">
        <v>68.896197409575606</v>
      </c>
      <c r="AN1930">
        <v>0.99999994534106795</v>
      </c>
    </row>
    <row r="1931" spans="1:40" x14ac:dyDescent="0.25">
      <c r="A1931" t="str">
        <f>"20190303161911338"</f>
        <v>20190303161911338</v>
      </c>
      <c r="B1931" t="str">
        <f>"1551601151324716"</f>
        <v>1551601151324716</v>
      </c>
      <c r="C1931" t="s">
        <v>40</v>
      </c>
      <c r="D1931">
        <v>4.8132960000000002</v>
      </c>
      <c r="E1931">
        <v>0.58325059999999995</v>
      </c>
      <c r="F1931" t="s">
        <v>41</v>
      </c>
      <c r="G1931">
        <v>-191.9272</v>
      </c>
      <c r="H1931" s="1">
        <v>-4.577062E-6</v>
      </c>
      <c r="I1931">
        <v>339.43220000000002</v>
      </c>
      <c r="J1931">
        <v>-196.5078</v>
      </c>
      <c r="K1931">
        <v>1.1202989999999999</v>
      </c>
      <c r="L1931">
        <v>360.10590000000002</v>
      </c>
      <c r="M1931">
        <v>0.71585379999999998</v>
      </c>
      <c r="N1931">
        <v>-1.3490159999999999E-2</v>
      </c>
      <c r="O1931">
        <v>-0.69812010000000002</v>
      </c>
      <c r="P1931">
        <v>0.41516649999999999</v>
      </c>
      <c r="Q1931">
        <v>0.10530059999999999</v>
      </c>
      <c r="R1931">
        <v>-0.90363130000000003</v>
      </c>
      <c r="S1931">
        <v>0.67613219999999996</v>
      </c>
      <c r="T1931">
        <v>-0.16385169999999999</v>
      </c>
      <c r="U1931">
        <v>-3.0303960000000001</v>
      </c>
      <c r="V1931">
        <v>0.35743970000000003</v>
      </c>
      <c r="W1931">
        <v>0.1166673</v>
      </c>
      <c r="X1931">
        <v>0.92662049999999996</v>
      </c>
      <c r="Y1931">
        <v>0.54633849999999995</v>
      </c>
      <c r="Z1931">
        <v>1.3302039999999999E-2</v>
      </c>
      <c r="AA1931">
        <v>0.83745879999999995</v>
      </c>
      <c r="AB1931">
        <v>10</v>
      </c>
      <c r="AC1931">
        <v>4.5805999999999996</v>
      </c>
      <c r="AD1931">
        <v>-1.120303577062</v>
      </c>
      <c r="AE1931">
        <v>-20.6737</v>
      </c>
      <c r="AF1931">
        <v>11.5702053072</v>
      </c>
      <c r="AG1931">
        <v>-1.120303577062</v>
      </c>
      <c r="AH1931">
        <v>17.663930965468701</v>
      </c>
      <c r="AI1931">
        <v>93.036969067814994</v>
      </c>
      <c r="AJ1931">
        <v>56.774450966420702</v>
      </c>
      <c r="AK1931">
        <v>21.145665941473201</v>
      </c>
      <c r="AL1931">
        <v>83.3001981139317</v>
      </c>
      <c r="AM1931">
        <v>68.906103040225602</v>
      </c>
      <c r="AN1931">
        <v>0.99999997452281397</v>
      </c>
    </row>
    <row r="1932" spans="1:40" x14ac:dyDescent="0.25">
      <c r="A1932" t="str">
        <f>"20190303161911356"</f>
        <v>20190303161911356</v>
      </c>
      <c r="B1932" t="str">
        <f>"1551601151344236"</f>
        <v>1551601151344236</v>
      </c>
      <c r="C1932" t="s">
        <v>40</v>
      </c>
      <c r="D1932">
        <v>4.8237589999999999</v>
      </c>
      <c r="E1932">
        <v>0.58300359999999996</v>
      </c>
      <c r="F1932" t="s">
        <v>41</v>
      </c>
      <c r="G1932">
        <v>-191.89449999999999</v>
      </c>
      <c r="H1932" s="1">
        <v>-4.488219E-6</v>
      </c>
      <c r="I1932">
        <v>339.18810000000002</v>
      </c>
      <c r="J1932">
        <v>-196.4547</v>
      </c>
      <c r="K1932">
        <v>1.120309</v>
      </c>
      <c r="L1932">
        <v>360.048</v>
      </c>
      <c r="M1932">
        <v>0.713265699999999</v>
      </c>
      <c r="N1932">
        <v>-1.348716E-2</v>
      </c>
      <c r="O1932">
        <v>-0.7007641</v>
      </c>
      <c r="P1932">
        <v>0.41242960000000001</v>
      </c>
      <c r="Q1932">
        <v>0.1053494</v>
      </c>
      <c r="R1932">
        <v>-0.90487779999999995</v>
      </c>
      <c r="S1932">
        <v>0.66862489999999997</v>
      </c>
      <c r="T1932">
        <v>-0.1623706</v>
      </c>
      <c r="U1932">
        <v>-3.0317080000000001</v>
      </c>
      <c r="V1932">
        <v>0.35680879999999998</v>
      </c>
      <c r="W1932">
        <v>0.1167232</v>
      </c>
      <c r="X1932">
        <v>0.92685660000000003</v>
      </c>
      <c r="Y1932">
        <v>0.54529859999999997</v>
      </c>
      <c r="Z1932">
        <v>1.326135E-2</v>
      </c>
      <c r="AA1932">
        <v>0.83813700000000002</v>
      </c>
      <c r="AB1932">
        <v>10</v>
      </c>
      <c r="AC1932">
        <v>4.5602</v>
      </c>
      <c r="AD1932">
        <v>-1.120313488219</v>
      </c>
      <c r="AE1932">
        <v>-20.8598999999999</v>
      </c>
      <c r="AF1932">
        <v>11.652012310781901</v>
      </c>
      <c r="AG1932">
        <v>-1.120313488219</v>
      </c>
      <c r="AH1932">
        <v>17.823063257725099</v>
      </c>
      <c r="AI1932">
        <v>93.011663004549604</v>
      </c>
      <c r="AJ1932">
        <v>56.824931827464702</v>
      </c>
      <c r="AK1932">
        <v>21.3233692715614</v>
      </c>
      <c r="AL1932">
        <v>83.296973358160599</v>
      </c>
      <c r="AM1932">
        <v>68.944962899057202</v>
      </c>
      <c r="AN1932">
        <v>0.99999999106962001</v>
      </c>
    </row>
    <row r="1933" spans="1:40" x14ac:dyDescent="0.25">
      <c r="A1933" t="str">
        <f>"20190303161911370"</f>
        <v>20190303161911370</v>
      </c>
      <c r="B1933" t="str">
        <f>"1551601151353996"</f>
        <v>1551601151353996</v>
      </c>
      <c r="C1933" t="s">
        <v>40</v>
      </c>
      <c r="D1933">
        <v>4.8103699999999998</v>
      </c>
      <c r="E1933">
        <v>0.58284480000000005</v>
      </c>
      <c r="F1933" t="s">
        <v>41</v>
      </c>
      <c r="G1933">
        <v>-191.85329999999999</v>
      </c>
      <c r="H1933" s="1">
        <v>-4.3934670000000001E-6</v>
      </c>
      <c r="I1933">
        <v>338.93119999999999</v>
      </c>
      <c r="J1933">
        <v>-196.41249999999999</v>
      </c>
      <c r="K1933">
        <v>1.120317</v>
      </c>
      <c r="L1933">
        <v>360.0018</v>
      </c>
      <c r="M1933">
        <v>0.71119619999999995</v>
      </c>
      <c r="N1933">
        <v>-1.348473E-2</v>
      </c>
      <c r="O1933">
        <v>-0.7028645</v>
      </c>
      <c r="P1933">
        <v>0.41006870000000001</v>
      </c>
      <c r="Q1933">
        <v>0.1054282</v>
      </c>
      <c r="R1933">
        <v>-0.90594110000000005</v>
      </c>
      <c r="S1933">
        <v>0.66084290000000001</v>
      </c>
      <c r="T1933">
        <v>-0.1608994</v>
      </c>
      <c r="U1933">
        <v>-3.0328059999999999</v>
      </c>
      <c r="V1933">
        <v>0.35648439999999998</v>
      </c>
      <c r="W1933">
        <v>0.1168066</v>
      </c>
      <c r="X1933">
        <v>0.92697090000000004</v>
      </c>
      <c r="Y1933">
        <v>0.54494719999999996</v>
      </c>
      <c r="Z1933">
        <v>1.316822E-2</v>
      </c>
      <c r="AA1933">
        <v>0.83836699999999997</v>
      </c>
      <c r="AB1933">
        <v>10</v>
      </c>
      <c r="AC1933">
        <v>4.5591999999999997</v>
      </c>
      <c r="AD1933">
        <v>-1.120321393467</v>
      </c>
      <c r="AE1933">
        <v>-21.070599999999999</v>
      </c>
      <c r="AF1933">
        <v>11.7501673741991</v>
      </c>
      <c r="AG1933">
        <v>-1.120321393467</v>
      </c>
      <c r="AH1933">
        <v>18.005275556269101</v>
      </c>
      <c r="AI1933">
        <v>92.982848527375197</v>
      </c>
      <c r="AJ1933">
        <v>56.8717018275755</v>
      </c>
      <c r="AK1933">
        <v>21.529317248894301</v>
      </c>
      <c r="AL1933">
        <v>83.292161899266006</v>
      </c>
      <c r="AM1933">
        <v>68.964797283479498</v>
      </c>
      <c r="AN1933">
        <v>0.99999997934686402</v>
      </c>
    </row>
    <row r="1934" spans="1:40" x14ac:dyDescent="0.25">
      <c r="A1934" t="str">
        <f>"20190303161911383"</f>
        <v>20190303161911383</v>
      </c>
      <c r="B1934" t="str">
        <f>"1551601151374493"</f>
        <v>1551601151374493</v>
      </c>
      <c r="C1934" t="s">
        <v>40</v>
      </c>
      <c r="D1934">
        <v>4.8177320000000003</v>
      </c>
      <c r="E1934">
        <v>0.58243459999999903</v>
      </c>
      <c r="F1934" t="s">
        <v>41</v>
      </c>
      <c r="G1934">
        <v>-191.86660000000001</v>
      </c>
      <c r="H1934" s="1">
        <v>-4.3947449999999901E-6</v>
      </c>
      <c r="I1934">
        <v>338.928</v>
      </c>
      <c r="J1934">
        <v>-196.3708</v>
      </c>
      <c r="K1934">
        <v>1.120323</v>
      </c>
      <c r="L1934">
        <v>359.95580000000001</v>
      </c>
      <c r="M1934">
        <v>0.70913590000000004</v>
      </c>
      <c r="N1934">
        <v>-1.3482279999999999E-2</v>
      </c>
      <c r="O1934">
        <v>-0.70494299999999999</v>
      </c>
      <c r="P1934">
        <v>0.40765790000000002</v>
      </c>
      <c r="Q1934">
        <v>0.1053655</v>
      </c>
      <c r="R1934">
        <v>-0.90703560000000005</v>
      </c>
      <c r="S1934">
        <v>0.65447999999999995</v>
      </c>
      <c r="T1934">
        <v>-0.1612943</v>
      </c>
      <c r="U1934">
        <v>-3.034027</v>
      </c>
      <c r="V1934">
        <v>0.35624</v>
      </c>
      <c r="W1934">
        <v>0.1167474</v>
      </c>
      <c r="X1934">
        <v>0.92707229999999996</v>
      </c>
      <c r="Y1934">
        <v>0.5442439</v>
      </c>
      <c r="Z1934">
        <v>1.337518E-2</v>
      </c>
      <c r="AA1934">
        <v>0.83882040000000002</v>
      </c>
      <c r="AB1934">
        <v>10</v>
      </c>
      <c r="AC1934">
        <v>4.5041999999999902</v>
      </c>
      <c r="AD1934">
        <v>-1.1203273947450001</v>
      </c>
      <c r="AE1934">
        <v>-21.0277999999999</v>
      </c>
      <c r="AF1934">
        <v>11.70565981787</v>
      </c>
      <c r="AG1934">
        <v>-1.1203273947450001</v>
      </c>
      <c r="AH1934">
        <v>17.970354321166301</v>
      </c>
      <c r="AI1934">
        <v>92.990300435779702</v>
      </c>
      <c r="AJ1934">
        <v>56.920291584469702</v>
      </c>
      <c r="AK1934">
        <v>21.475829196363399</v>
      </c>
      <c r="AL1934">
        <v>83.295577121504905</v>
      </c>
      <c r="AM1934">
        <v>68.980056934054105</v>
      </c>
      <c r="AN1934">
        <v>0.999999971217024</v>
      </c>
    </row>
    <row r="1935" spans="1:40" x14ac:dyDescent="0.25">
      <c r="A1935" t="str">
        <f>"20190303161911401"</f>
        <v>20190303161911401</v>
      </c>
      <c r="B1935" t="str">
        <f>"1551601151394012"</f>
        <v>1551601151394012</v>
      </c>
      <c r="C1935" t="s">
        <v>40</v>
      </c>
      <c r="D1935">
        <v>4.8358919999999896</v>
      </c>
      <c r="E1935">
        <v>0.58202149999999997</v>
      </c>
      <c r="F1935" t="s">
        <v>41</v>
      </c>
      <c r="G1935">
        <v>-191.90479999999999</v>
      </c>
      <c r="H1935" s="1">
        <v>-4.455178E-6</v>
      </c>
      <c r="I1935">
        <v>339.08569999999997</v>
      </c>
      <c r="J1935">
        <v>-196.3158</v>
      </c>
      <c r="K1935">
        <v>1.1203270000000001</v>
      </c>
      <c r="L1935">
        <v>359.89460000000003</v>
      </c>
      <c r="M1935">
        <v>0.70639659999999904</v>
      </c>
      <c r="N1935">
        <v>-1.347897E-2</v>
      </c>
      <c r="O1935">
        <v>-0.70768799999999998</v>
      </c>
      <c r="P1935">
        <v>0.404559</v>
      </c>
      <c r="Q1935">
        <v>0.1054694</v>
      </c>
      <c r="R1935">
        <v>-0.90841000000000005</v>
      </c>
      <c r="S1935">
        <v>0.64936830000000001</v>
      </c>
      <c r="T1935">
        <v>-0.16289890000000001</v>
      </c>
      <c r="U1935">
        <v>-3.0345759999999999</v>
      </c>
      <c r="V1935">
        <v>0.35579880000000003</v>
      </c>
      <c r="W1935">
        <v>0.1168563</v>
      </c>
      <c r="X1935">
        <v>0.92722800000000005</v>
      </c>
      <c r="Y1935">
        <v>0.54237199999999997</v>
      </c>
      <c r="Z1935">
        <v>1.385488E-2</v>
      </c>
      <c r="AA1935">
        <v>0.8400242</v>
      </c>
      <c r="AB1935">
        <v>10</v>
      </c>
      <c r="AC1935">
        <v>4.4109999999999996</v>
      </c>
      <c r="AD1935">
        <v>-1.1203314551779999</v>
      </c>
      <c r="AE1935">
        <v>-20.808900000000001</v>
      </c>
      <c r="AF1935">
        <v>11.546744853722799</v>
      </c>
      <c r="AG1935">
        <v>-1.1203314551779999</v>
      </c>
      <c r="AH1935">
        <v>17.794382403937799</v>
      </c>
      <c r="AI1935">
        <v>93.023258860690802</v>
      </c>
      <c r="AJ1935">
        <v>57.020528488401801</v>
      </c>
      <c r="AK1935">
        <v>21.241998597683899</v>
      </c>
      <c r="AL1935">
        <v>83.289294616991796</v>
      </c>
      <c r="AM1935">
        <v>69.007038402252604</v>
      </c>
      <c r="AN1935">
        <v>0.999999972457564</v>
      </c>
    </row>
    <row r="1936" spans="1:40" x14ac:dyDescent="0.25">
      <c r="A1936" t="str">
        <f>"20190303161911414"</f>
        <v>20190303161911414</v>
      </c>
      <c r="B1936" t="str">
        <f>"1551601151404748"</f>
        <v>1551601151404748</v>
      </c>
      <c r="C1936" t="s">
        <v>40</v>
      </c>
      <c r="D1936">
        <v>4.8472160000000004</v>
      </c>
      <c r="E1936">
        <v>0.58180929999999997</v>
      </c>
      <c r="F1936" t="s">
        <v>41</v>
      </c>
      <c r="G1936">
        <v>-191.95400000000001</v>
      </c>
      <c r="H1936" s="1">
        <v>-4.5314590000000001E-6</v>
      </c>
      <c r="I1936">
        <v>339.2842</v>
      </c>
      <c r="J1936">
        <v>-196.27549999999999</v>
      </c>
      <c r="K1936">
        <v>1.120331</v>
      </c>
      <c r="L1936">
        <v>359.84949999999998</v>
      </c>
      <c r="M1936">
        <v>0.70437349999999999</v>
      </c>
      <c r="N1936">
        <v>-1.347662E-2</v>
      </c>
      <c r="O1936">
        <v>-0.70970169999999999</v>
      </c>
      <c r="P1936">
        <v>0.40209600000000001</v>
      </c>
      <c r="Q1936">
        <v>0.1052111</v>
      </c>
      <c r="R1936">
        <v>-0.90953260000000002</v>
      </c>
      <c r="S1936">
        <v>0.64242549999999998</v>
      </c>
      <c r="T1936">
        <v>-0.16500680000000001</v>
      </c>
      <c r="U1936">
        <v>-3.0355829999999999</v>
      </c>
      <c r="V1936">
        <v>0.35568349999999999</v>
      </c>
      <c r="W1936">
        <v>0.1166001</v>
      </c>
      <c r="X1936">
        <v>0.92730449999999998</v>
      </c>
      <c r="Y1936">
        <v>0.54186619999999996</v>
      </c>
      <c r="Z1936">
        <v>1.4334329999999999E-2</v>
      </c>
      <c r="AA1936">
        <v>0.84034249999999899</v>
      </c>
      <c r="AB1936">
        <v>10</v>
      </c>
      <c r="AC1936">
        <v>4.3214999999999799</v>
      </c>
      <c r="AD1936">
        <v>-1.120335531459</v>
      </c>
      <c r="AE1936">
        <v>-20.565299999999901</v>
      </c>
      <c r="AF1936">
        <v>11.387347111515201</v>
      </c>
      <c r="AG1936">
        <v>-1.120335531459</v>
      </c>
      <c r="AH1936">
        <v>17.590781978027898</v>
      </c>
      <c r="AI1936">
        <v>93.060357305695604</v>
      </c>
      <c r="AJ1936">
        <v>57.083103698821098</v>
      </c>
      <c r="AK1936">
        <v>20.9848144270969</v>
      </c>
      <c r="AL1936">
        <v>83.304074923687693</v>
      </c>
      <c r="AM1936">
        <v>69.014829528633697</v>
      </c>
      <c r="AN1936">
        <v>0.99999998560625403</v>
      </c>
    </row>
    <row r="1937" spans="1:40" x14ac:dyDescent="0.25">
      <c r="A1937" t="str">
        <f>"20190303161911428"</f>
        <v>20190303161911428</v>
      </c>
      <c r="B1937" t="str">
        <f>"1551601151414510"</f>
        <v>1551601151414510</v>
      </c>
      <c r="C1937" t="s">
        <v>40</v>
      </c>
      <c r="D1937">
        <v>4.8483739999999997</v>
      </c>
      <c r="E1937">
        <v>0.58161790000000002</v>
      </c>
      <c r="F1937" t="s">
        <v>41</v>
      </c>
      <c r="G1937">
        <v>-192.01390000000001</v>
      </c>
      <c r="H1937" s="1">
        <v>-4.6118219999999998E-6</v>
      </c>
      <c r="I1937">
        <v>339.48910000000001</v>
      </c>
      <c r="J1937">
        <v>-196.2362</v>
      </c>
      <c r="K1937">
        <v>1.1203339999999999</v>
      </c>
      <c r="L1937">
        <v>359.80529999999999</v>
      </c>
      <c r="M1937">
        <v>0.70239280000000004</v>
      </c>
      <c r="N1937">
        <v>-1.3474409999999999E-2</v>
      </c>
      <c r="O1937">
        <v>-0.71166229999999997</v>
      </c>
      <c r="P1937">
        <v>0.39986349999999998</v>
      </c>
      <c r="Q1937">
        <v>0.10479960000000001</v>
      </c>
      <c r="R1937">
        <v>-0.91056409999999999</v>
      </c>
      <c r="S1937">
        <v>0.63560490000000003</v>
      </c>
      <c r="T1937">
        <v>-0.16709570000000001</v>
      </c>
      <c r="U1937">
        <v>-3.0367130000000002</v>
      </c>
      <c r="V1937">
        <v>0.35540450000000001</v>
      </c>
      <c r="W1937">
        <v>0.1161923</v>
      </c>
      <c r="X1937">
        <v>0.92746269999999997</v>
      </c>
      <c r="Y1937">
        <v>0.54139219999999999</v>
      </c>
      <c r="Z1937">
        <v>1.48091E-2</v>
      </c>
      <c r="AA1937">
        <v>0.84063969999999899</v>
      </c>
      <c r="AB1937">
        <v>10</v>
      </c>
      <c r="AC1937">
        <v>4.22229999999999</v>
      </c>
      <c r="AD1937">
        <v>-1.120338611822</v>
      </c>
      <c r="AE1937">
        <v>-20.316199999999899</v>
      </c>
      <c r="AF1937">
        <v>11.2333751348005</v>
      </c>
      <c r="AG1937">
        <v>-1.120338611822</v>
      </c>
      <c r="AH1937">
        <v>17.3749158190085</v>
      </c>
      <c r="AI1937">
        <v>93.099469448737295</v>
      </c>
      <c r="AJ1937">
        <v>57.116187461444198</v>
      </c>
      <c r="AK1937">
        <v>20.720317932935401</v>
      </c>
      <c r="AL1937">
        <v>83.327600374623103</v>
      </c>
      <c r="AM1937">
        <v>69.033124826004098</v>
      </c>
      <c r="AN1937">
        <v>1.0000000345454101</v>
      </c>
    </row>
    <row r="1938" spans="1:40" x14ac:dyDescent="0.25">
      <c r="A1938" t="str">
        <f>"20190303161911446"</f>
        <v>20190303161911446</v>
      </c>
      <c r="B1938" t="str">
        <f>"1551601151434028"</f>
        <v>1551601151434028</v>
      </c>
      <c r="C1938" t="s">
        <v>40</v>
      </c>
      <c r="D1938">
        <v>4.8525780000000003</v>
      </c>
      <c r="E1938">
        <v>0.58138380000000001</v>
      </c>
      <c r="F1938" t="s">
        <v>41</v>
      </c>
      <c r="G1938">
        <v>-192.0692</v>
      </c>
      <c r="H1938" s="1">
        <v>-5.9852699999999997E-7</v>
      </c>
      <c r="I1938">
        <v>339.70089999999999</v>
      </c>
      <c r="J1938">
        <v>-196.18029999999999</v>
      </c>
      <c r="K1938">
        <v>1.120333</v>
      </c>
      <c r="L1938">
        <v>359.74200000000002</v>
      </c>
      <c r="M1938">
        <v>0.69954839999999996</v>
      </c>
      <c r="N1938">
        <v>-1.3471439999999999E-2</v>
      </c>
      <c r="O1938">
        <v>-0.7144585</v>
      </c>
      <c r="P1938">
        <v>0.39638119999999999</v>
      </c>
      <c r="Q1938">
        <v>0.1041972</v>
      </c>
      <c r="R1938">
        <v>-0.91215449999999998</v>
      </c>
      <c r="S1938">
        <v>0.62960819999999995</v>
      </c>
      <c r="T1938">
        <v>-0.16927609999999901</v>
      </c>
      <c r="U1938">
        <v>-3.0376590000000001</v>
      </c>
      <c r="V1938">
        <v>0.35529369999999999</v>
      </c>
      <c r="W1938">
        <v>0.1155923</v>
      </c>
      <c r="X1938">
        <v>0.92758010000000002</v>
      </c>
      <c r="Y1938">
        <v>0.53968019999999906</v>
      </c>
      <c r="Z1938">
        <v>1.53927E-2</v>
      </c>
      <c r="AA1938">
        <v>0.84172930000000001</v>
      </c>
      <c r="AB1938">
        <v>10</v>
      </c>
      <c r="AC1938">
        <v>4.1110999999999898</v>
      </c>
      <c r="AD1938">
        <v>-1.120333598527</v>
      </c>
      <c r="AE1938">
        <v>-20.041099999999901</v>
      </c>
      <c r="AF1938">
        <v>11.0503745856062</v>
      </c>
      <c r="AG1938">
        <v>-1.120333598527</v>
      </c>
      <c r="AH1938">
        <v>17.144591161721699</v>
      </c>
      <c r="AI1938">
        <v>93.143852951285197</v>
      </c>
      <c r="AJ1938">
        <v>57.196601007345699</v>
      </c>
      <c r="AK1938">
        <v>20.4279938309367</v>
      </c>
      <c r="AL1938">
        <v>83.362210942191297</v>
      </c>
      <c r="AM1938">
        <v>69.041516044703499</v>
      </c>
      <c r="AN1938">
        <v>1.0000000174974899</v>
      </c>
    </row>
    <row r="1939" spans="1:40" x14ac:dyDescent="0.25">
      <c r="A1939" t="str">
        <f>"20190303161911461"</f>
        <v>20190303161911461</v>
      </c>
      <c r="B1939" t="str">
        <f>"1551601151454524"</f>
        <v>1551601151454524</v>
      </c>
      <c r="C1939" t="s">
        <v>40</v>
      </c>
      <c r="D1939">
        <v>4.8788140000000002</v>
      </c>
      <c r="E1939">
        <v>0.58112240000000004</v>
      </c>
      <c r="F1939" t="s">
        <v>41</v>
      </c>
      <c r="G1939">
        <v>-192.1514</v>
      </c>
      <c r="H1939" s="1">
        <v>-7.38922E-7</v>
      </c>
      <c r="I1939">
        <v>339.97719999999998</v>
      </c>
      <c r="J1939">
        <v>-196.13650000000001</v>
      </c>
      <c r="K1939">
        <v>1.1203320000000001</v>
      </c>
      <c r="L1939">
        <v>359.69189999999998</v>
      </c>
      <c r="M1939">
        <v>0.69729960000000002</v>
      </c>
      <c r="N1939">
        <v>-1.3469200000000001E-2</v>
      </c>
      <c r="O1939">
        <v>-0.71665330000000005</v>
      </c>
      <c r="P1939">
        <v>0.39374039999999999</v>
      </c>
      <c r="Q1939">
        <v>0.1040494</v>
      </c>
      <c r="R1939">
        <v>-0.91331439999999997</v>
      </c>
      <c r="S1939">
        <v>0.61955260000000001</v>
      </c>
      <c r="T1939">
        <v>-0.17228189999999999</v>
      </c>
      <c r="U1939">
        <v>-3.0393680000000001</v>
      </c>
      <c r="V1939">
        <v>0.35507260000000002</v>
      </c>
      <c r="W1939">
        <v>0.11544690000000001</v>
      </c>
      <c r="X1939">
        <v>0.92768289999999998</v>
      </c>
      <c r="Y1939">
        <v>0.539796099999999</v>
      </c>
      <c r="Z1939">
        <v>1.6024340000000001E-2</v>
      </c>
      <c r="AA1939">
        <v>0.84164329999999998</v>
      </c>
      <c r="AB1939">
        <v>10</v>
      </c>
      <c r="AC1939">
        <v>3.9851000000000099</v>
      </c>
      <c r="AD1939">
        <v>-1.1203327389219999</v>
      </c>
      <c r="AE1939">
        <v>-19.714700000000001</v>
      </c>
      <c r="AF1939">
        <v>10.8584158757195</v>
      </c>
      <c r="AG1939">
        <v>-1.1203327389219999</v>
      </c>
      <c r="AH1939">
        <v>16.856647539229598</v>
      </c>
      <c r="AI1939">
        <v>93.197991839190706</v>
      </c>
      <c r="AJ1939">
        <v>57.211894554831098</v>
      </c>
      <c r="AK1939">
        <v>20.082502509343701</v>
      </c>
      <c r="AL1939">
        <v>83.370598116950902</v>
      </c>
      <c r="AM1939">
        <v>69.055546635701802</v>
      </c>
      <c r="AN1939">
        <v>1.00000005047138</v>
      </c>
    </row>
    <row r="1940" spans="1:40" x14ac:dyDescent="0.25">
      <c r="A1940" t="str">
        <f>"20190303161911480"</f>
        <v>20190303161911480</v>
      </c>
      <c r="B1940" t="str">
        <f>"1551601151474044"</f>
        <v>1551601151474044</v>
      </c>
      <c r="C1940" t="s">
        <v>40</v>
      </c>
      <c r="D1940">
        <v>4.8494609999999998</v>
      </c>
      <c r="E1940">
        <v>0.58087149999999999</v>
      </c>
      <c r="F1940" t="s">
        <v>41</v>
      </c>
      <c r="G1940">
        <v>-192.1559</v>
      </c>
      <c r="H1940" s="1">
        <v>-7.2261370000000001E-7</v>
      </c>
      <c r="I1940">
        <v>339.93639999999999</v>
      </c>
      <c r="J1940">
        <v>-196.0806</v>
      </c>
      <c r="K1940">
        <v>1.1203270000000001</v>
      </c>
      <c r="L1940">
        <v>359.62759999999997</v>
      </c>
      <c r="M1940">
        <v>0.69440570000000001</v>
      </c>
      <c r="N1940">
        <v>-1.346641E-2</v>
      </c>
      <c r="O1940">
        <v>-0.71945769999999998</v>
      </c>
      <c r="P1940">
        <v>0.3901828</v>
      </c>
      <c r="Q1940">
        <v>0.1032376</v>
      </c>
      <c r="R1940">
        <v>-0.91493170000000001</v>
      </c>
      <c r="S1940">
        <v>0.61259459999999999</v>
      </c>
      <c r="T1940">
        <v>-0.17241570000000001</v>
      </c>
      <c r="U1940">
        <v>-3.040314</v>
      </c>
      <c r="V1940">
        <v>0.35500479999999901</v>
      </c>
      <c r="W1940">
        <v>0.1146364</v>
      </c>
      <c r="X1940">
        <v>0.92780929999999995</v>
      </c>
      <c r="Y1940">
        <v>0.53830789999999995</v>
      </c>
      <c r="Z1940">
        <v>1.627555E-2</v>
      </c>
      <c r="AA1940">
        <v>0.84259099999999998</v>
      </c>
      <c r="AB1940">
        <v>10</v>
      </c>
      <c r="AC1940">
        <v>3.9247000000000001</v>
      </c>
      <c r="AD1940">
        <v>-1.1203277226136901</v>
      </c>
      <c r="AE1940">
        <v>-19.691199999999899</v>
      </c>
      <c r="AF1940">
        <v>10.817331722888399</v>
      </c>
      <c r="AG1940">
        <v>-1.1203277226136901</v>
      </c>
      <c r="AH1940">
        <v>16.841418231083001</v>
      </c>
      <c r="AI1940">
        <v>93.203563289869805</v>
      </c>
      <c r="AJ1940">
        <v>57.287152959448697</v>
      </c>
      <c r="AK1940">
        <v>20.047522735822501</v>
      </c>
      <c r="AL1940">
        <v>83.4173464220423</v>
      </c>
      <c r="AM1940">
        <v>69.0618046880777</v>
      </c>
      <c r="AN1940">
        <v>1.0000000046972399</v>
      </c>
    </row>
    <row r="1941" spans="1:40" x14ac:dyDescent="0.25">
      <c r="A1941" t="str">
        <f>"20190303161911501"</f>
        <v>20190303161911501</v>
      </c>
      <c r="B1941" t="str">
        <f>"1551601151494540"</f>
        <v>1551601151494540</v>
      </c>
      <c r="C1941" t="s">
        <v>40</v>
      </c>
      <c r="D1941">
        <v>4.8141470000000002</v>
      </c>
      <c r="E1941">
        <v>0.58077699999999999</v>
      </c>
      <c r="F1941" t="s">
        <v>41</v>
      </c>
      <c r="G1941">
        <v>-192.2363</v>
      </c>
      <c r="H1941" s="1">
        <v>-8.6716480000000004E-7</v>
      </c>
      <c r="I1941">
        <v>340.2235</v>
      </c>
      <c r="J1941">
        <v>-196.01730000000001</v>
      </c>
      <c r="K1941">
        <v>1.120322</v>
      </c>
      <c r="L1941">
        <v>359.55430000000001</v>
      </c>
      <c r="M1941">
        <v>0.69109390000000004</v>
      </c>
      <c r="N1941">
        <v>-1.346346E-2</v>
      </c>
      <c r="O1941">
        <v>-0.7226399</v>
      </c>
      <c r="P1941">
        <v>0.38706659999999998</v>
      </c>
      <c r="Q1941">
        <v>0.1028694</v>
      </c>
      <c r="R1941">
        <v>-0.91629559999999999</v>
      </c>
      <c r="S1941">
        <v>0.60261540000000002</v>
      </c>
      <c r="T1941">
        <v>-0.17562159999999999</v>
      </c>
      <c r="U1941">
        <v>-3.041779</v>
      </c>
      <c r="V1941">
        <v>0.35392630000000003</v>
      </c>
      <c r="W1941">
        <v>0.1142754</v>
      </c>
      <c r="X1941">
        <v>0.92826580000000003</v>
      </c>
      <c r="Y1941">
        <v>0.53717099999999995</v>
      </c>
      <c r="Z1941">
        <v>1.7056020000000002E-2</v>
      </c>
      <c r="AA1941">
        <v>0.84330090000000002</v>
      </c>
      <c r="AB1941">
        <v>10</v>
      </c>
      <c r="AC1941">
        <v>3.7810000000000001</v>
      </c>
      <c r="AD1941">
        <v>-1.1203228671648</v>
      </c>
      <c r="AE1941">
        <v>-19.3308</v>
      </c>
      <c r="AF1941">
        <v>10.593785812239</v>
      </c>
      <c r="AG1941">
        <v>-1.1203228671648</v>
      </c>
      <c r="AH1941">
        <v>16.530256319919499</v>
      </c>
      <c r="AI1941">
        <v>93.265844675605393</v>
      </c>
      <c r="AJ1941">
        <v>57.345308777525901</v>
      </c>
      <c r="AK1941">
        <v>19.665523007652901</v>
      </c>
      <c r="AL1941">
        <v>83.438167284702004</v>
      </c>
      <c r="AM1941">
        <v>69.129306910542297</v>
      </c>
      <c r="AN1941">
        <v>1.00000004416324</v>
      </c>
    </row>
    <row r="1942" spans="1:40" x14ac:dyDescent="0.25">
      <c r="A1942" t="str">
        <f>"20190303161911516"</f>
        <v>20190303161911516</v>
      </c>
      <c r="B1942" t="str">
        <f>"1551601151504301"</f>
        <v>1551601151504301</v>
      </c>
      <c r="C1942" t="s">
        <v>40</v>
      </c>
      <c r="D1942">
        <v>4.8126480000000003</v>
      </c>
      <c r="E1942">
        <v>0.58076969999999895</v>
      </c>
      <c r="F1942" t="s">
        <v>41</v>
      </c>
      <c r="G1942">
        <v>-192.2199</v>
      </c>
      <c r="H1942" s="1">
        <v>-7.9034710000000005E-7</v>
      </c>
      <c r="I1942">
        <v>340.05459999999999</v>
      </c>
      <c r="J1942">
        <v>-195.97470000000001</v>
      </c>
      <c r="K1942">
        <v>1.1203209999999999</v>
      </c>
      <c r="L1942">
        <v>359.50439999999998</v>
      </c>
      <c r="M1942">
        <v>0.68883709999999998</v>
      </c>
      <c r="N1942">
        <v>-1.3461829999999999E-2</v>
      </c>
      <c r="O1942">
        <v>-0.72479119999999997</v>
      </c>
      <c r="P1942">
        <v>0.3851523</v>
      </c>
      <c r="Q1942">
        <v>0.10283349999999999</v>
      </c>
      <c r="R1942">
        <v>-0.91710590000000003</v>
      </c>
      <c r="S1942">
        <v>0.59266660000000004</v>
      </c>
      <c r="T1942">
        <v>-0.17485010000000001</v>
      </c>
      <c r="U1942">
        <v>-3.0433349999999999</v>
      </c>
      <c r="V1942">
        <v>0.3529717</v>
      </c>
      <c r="W1942">
        <v>0.1142442</v>
      </c>
      <c r="X1942">
        <v>0.92863300000000004</v>
      </c>
      <c r="Y1942">
        <v>0.53728050000000005</v>
      </c>
      <c r="Z1942">
        <v>1.7066609999999999E-2</v>
      </c>
      <c r="AA1942">
        <v>0.84323099999999995</v>
      </c>
      <c r="AB1942">
        <v>10</v>
      </c>
      <c r="AC1942">
        <v>3.7548000000000101</v>
      </c>
      <c r="AD1942">
        <v>-1.1203217903471001</v>
      </c>
      <c r="AE1942">
        <v>-19.4497999999999</v>
      </c>
      <c r="AF1942">
        <v>10.6432213225492</v>
      </c>
      <c r="AG1942">
        <v>-1.1203217903471001</v>
      </c>
      <c r="AH1942">
        <v>16.631801885951599</v>
      </c>
      <c r="AI1942">
        <v>93.247328458321405</v>
      </c>
      <c r="AJ1942">
        <v>57.383523252234802</v>
      </c>
      <c r="AK1942">
        <v>19.7775153901656</v>
      </c>
      <c r="AL1942">
        <v>83.439966429294401</v>
      </c>
      <c r="AM1942">
        <v>69.188294357260006</v>
      </c>
      <c r="AN1942">
        <v>1.00000000346176</v>
      </c>
    </row>
    <row r="1943" spans="1:40" x14ac:dyDescent="0.25">
      <c r="A1943" t="str">
        <f>"20190303161911529"</f>
        <v>20190303161911529</v>
      </c>
      <c r="B1943" t="str">
        <f>"1551601151524797"</f>
        <v>1551601151524797</v>
      </c>
      <c r="C1943" t="s">
        <v>40</v>
      </c>
      <c r="D1943">
        <v>4.7819129999999896</v>
      </c>
      <c r="E1943">
        <v>0.58074429999999999</v>
      </c>
      <c r="F1943" t="s">
        <v>41</v>
      </c>
      <c r="G1943">
        <v>-192.1842</v>
      </c>
      <c r="H1943" s="1">
        <v>-6.7767949999999995E-7</v>
      </c>
      <c r="I1943">
        <v>339.8141</v>
      </c>
      <c r="J1943">
        <v>-195.93559999999999</v>
      </c>
      <c r="K1943">
        <v>1.1203209999999999</v>
      </c>
      <c r="L1943">
        <v>359.45850000000002</v>
      </c>
      <c r="M1943">
        <v>0.68675019999999998</v>
      </c>
      <c r="N1943">
        <v>-1.346059E-2</v>
      </c>
      <c r="O1943">
        <v>-0.72676879999999999</v>
      </c>
      <c r="P1943">
        <v>0.38332060000000001</v>
      </c>
      <c r="Q1943">
        <v>0.1028927</v>
      </c>
      <c r="R1943">
        <v>-0.91786610000000002</v>
      </c>
      <c r="S1943">
        <v>0.58607480000000001</v>
      </c>
      <c r="T1943">
        <v>-0.17321789999999901</v>
      </c>
      <c r="U1943">
        <v>-3.044403</v>
      </c>
      <c r="V1943">
        <v>0.35215039999999997</v>
      </c>
      <c r="W1943">
        <v>0.1143067</v>
      </c>
      <c r="X1943">
        <v>0.92893709999999996</v>
      </c>
      <c r="Y1943">
        <v>0.53667569999999998</v>
      </c>
      <c r="Z1943">
        <v>1.6938950000000001E-2</v>
      </c>
      <c r="AA1943">
        <v>0.8436186</v>
      </c>
      <c r="AB1943">
        <v>10</v>
      </c>
      <c r="AC1943">
        <v>3.7513999999999799</v>
      </c>
      <c r="AD1943">
        <v>-1.1203216776795</v>
      </c>
      <c r="AE1943">
        <v>-19.644400000000001</v>
      </c>
      <c r="AF1943">
        <v>10.7316949417775</v>
      </c>
      <c r="AG1943">
        <v>-1.1203216776795</v>
      </c>
      <c r="AH1943">
        <v>16.8020148230584</v>
      </c>
      <c r="AI1943">
        <v>93.216272812612601</v>
      </c>
      <c r="AJ1943">
        <v>57.433028170246402</v>
      </c>
      <c r="AK1943">
        <v>19.968277319266399</v>
      </c>
      <c r="AL1943">
        <v>83.436362010092594</v>
      </c>
      <c r="AM1943">
        <v>69.2388027036382</v>
      </c>
      <c r="AN1943">
        <v>1.00000003082072</v>
      </c>
    </row>
    <row r="1944" spans="1:40" x14ac:dyDescent="0.25">
      <c r="A1944" t="str">
        <f>"20190303161911545"</f>
        <v>20190303161911545</v>
      </c>
      <c r="B1944" t="str">
        <f>"1551601151534557"</f>
        <v>1551601151534557</v>
      </c>
      <c r="C1944" t="s">
        <v>40</v>
      </c>
      <c r="D1944">
        <v>4.800014</v>
      </c>
      <c r="E1944">
        <v>0.58069839999999995</v>
      </c>
      <c r="F1944" t="s">
        <v>41</v>
      </c>
      <c r="G1944">
        <v>-192.10939999999999</v>
      </c>
      <c r="H1944" s="1">
        <v>-4.5826580000000003E-6</v>
      </c>
      <c r="I1944">
        <v>339.35359999999997</v>
      </c>
      <c r="J1944">
        <v>-195.88929999999999</v>
      </c>
      <c r="K1944">
        <v>1.1203240000000001</v>
      </c>
      <c r="L1944">
        <v>359.40370000000001</v>
      </c>
      <c r="M1944">
        <v>0.68424770000000001</v>
      </c>
      <c r="N1944">
        <v>-1.3459499999999999E-2</v>
      </c>
      <c r="O1944">
        <v>-0.72912549999999998</v>
      </c>
      <c r="P1944">
        <v>0.3817006</v>
      </c>
      <c r="Q1944">
        <v>0.10371180000000001</v>
      </c>
      <c r="R1944">
        <v>-0.91844910000000002</v>
      </c>
      <c r="S1944">
        <v>0.57957460000000005</v>
      </c>
      <c r="T1944">
        <v>-0.1696993</v>
      </c>
      <c r="U1944">
        <v>-3.0453489999999999</v>
      </c>
      <c r="V1944">
        <v>0.35053400000000001</v>
      </c>
      <c r="W1944">
        <v>0.1151319</v>
      </c>
      <c r="X1944">
        <v>0.92944640000000001</v>
      </c>
      <c r="Y1944">
        <v>0.53556959999999998</v>
      </c>
      <c r="Z1944">
        <v>1.6526220000000001E-2</v>
      </c>
      <c r="AA1944">
        <v>0.84432940000000001</v>
      </c>
      <c r="AB1944">
        <v>10</v>
      </c>
      <c r="AC1944">
        <v>3.7798999999999898</v>
      </c>
      <c r="AD1944">
        <v>-1.1203285826579901</v>
      </c>
      <c r="AE1944">
        <v>-20.0501</v>
      </c>
      <c r="AF1944">
        <v>10.9312481765543</v>
      </c>
      <c r="AG1944">
        <v>-1.1203285826579901</v>
      </c>
      <c r="AH1944">
        <v>17.155261652893401</v>
      </c>
      <c r="AI1944">
        <v>93.152367206957194</v>
      </c>
      <c r="AJ1944">
        <v>57.494913624063898</v>
      </c>
      <c r="AK1944">
        <v>20.372783933713599</v>
      </c>
      <c r="AL1944">
        <v>83.388767271630897</v>
      </c>
      <c r="AM1944">
        <v>69.336394689214302</v>
      </c>
      <c r="AN1944">
        <v>1.0000000250132799</v>
      </c>
    </row>
    <row r="1945" spans="1:40" x14ac:dyDescent="0.25">
      <c r="A1945" t="str">
        <f>"20190303161911558"</f>
        <v>20190303161911558</v>
      </c>
      <c r="B1945" t="str">
        <f>"1551601151544316"</f>
        <v>1551601151544316</v>
      </c>
      <c r="C1945" t="s">
        <v>40</v>
      </c>
      <c r="D1945">
        <v>4.807353</v>
      </c>
      <c r="E1945">
        <v>0.58061809999999903</v>
      </c>
      <c r="F1945" t="s">
        <v>41</v>
      </c>
      <c r="G1945">
        <v>-192.00399999999999</v>
      </c>
      <c r="H1945" s="1">
        <v>-4.3721239999999998E-6</v>
      </c>
      <c r="I1945">
        <v>338.78989999999999</v>
      </c>
      <c r="J1945">
        <v>-195.84960000000001</v>
      </c>
      <c r="K1945">
        <v>1.1203179999999999</v>
      </c>
      <c r="L1945">
        <v>359.3562</v>
      </c>
      <c r="M1945">
        <v>0.68207439999999997</v>
      </c>
      <c r="N1945">
        <v>-1.345883E-2</v>
      </c>
      <c r="O1945">
        <v>-0.731159</v>
      </c>
      <c r="P1945">
        <v>0.37968109999999999</v>
      </c>
      <c r="Q1945">
        <v>0.1039315</v>
      </c>
      <c r="R1945">
        <v>-0.91926099999999999</v>
      </c>
      <c r="S1945">
        <v>0.57418819999999904</v>
      </c>
      <c r="T1945">
        <v>-0.1655682</v>
      </c>
      <c r="U1945">
        <v>-3.0464169999999999</v>
      </c>
      <c r="V1945">
        <v>0.34979450000000001</v>
      </c>
      <c r="W1945">
        <v>0.1153512</v>
      </c>
      <c r="X1945">
        <v>0.92969780000000002</v>
      </c>
      <c r="Y1945">
        <v>0.53456110000000001</v>
      </c>
      <c r="Z1945">
        <v>1.5974100000000001E-2</v>
      </c>
      <c r="AA1945">
        <v>0.84497889999999998</v>
      </c>
      <c r="AB1945">
        <v>10</v>
      </c>
      <c r="AC1945">
        <v>3.8455999999999899</v>
      </c>
      <c r="AD1945">
        <v>-1.1203223721240001</v>
      </c>
      <c r="AE1945">
        <v>-20.566299999999998</v>
      </c>
      <c r="AF1945">
        <v>11.1849482425984</v>
      </c>
      <c r="AG1945">
        <v>-1.1203223721240001</v>
      </c>
      <c r="AH1945">
        <v>17.611325280293901</v>
      </c>
      <c r="AI1945">
        <v>93.073784512513697</v>
      </c>
      <c r="AJ1945">
        <v>57.580380004941503</v>
      </c>
      <c r="AK1945">
        <v>20.892988477846</v>
      </c>
      <c r="AL1945">
        <v>83.376118167857101</v>
      </c>
      <c r="AM1945">
        <v>69.381422694997994</v>
      </c>
      <c r="AN1945">
        <v>1.00000004544826</v>
      </c>
    </row>
    <row r="1946" spans="1:40" x14ac:dyDescent="0.25">
      <c r="A1946" t="str">
        <f>"20190303161911572"</f>
        <v>20190303161911572</v>
      </c>
      <c r="B1946" t="str">
        <f>"1551601151564813"</f>
        <v>1551601151564813</v>
      </c>
      <c r="C1946" t="s">
        <v>40</v>
      </c>
      <c r="D1946">
        <v>4.7580369999999998</v>
      </c>
      <c r="E1946">
        <v>0.5805496</v>
      </c>
      <c r="F1946" t="s">
        <v>41</v>
      </c>
      <c r="G1946">
        <v>-191.96600000000001</v>
      </c>
      <c r="H1946" s="1">
        <v>-4.271091E-6</v>
      </c>
      <c r="I1946">
        <v>338.51280000000003</v>
      </c>
      <c r="J1946">
        <v>-195.8126</v>
      </c>
      <c r="K1946">
        <v>1.1203099999999999</v>
      </c>
      <c r="L1946">
        <v>359.31169999999997</v>
      </c>
      <c r="M1946">
        <v>0.68002869999999904</v>
      </c>
      <c r="N1946">
        <v>-1.3458390000000001E-2</v>
      </c>
      <c r="O1946">
        <v>-0.733062199999999</v>
      </c>
      <c r="P1946">
        <v>0.37767070000000003</v>
      </c>
      <c r="Q1946">
        <v>0.1034056</v>
      </c>
      <c r="R1946">
        <v>-0.92014790000000002</v>
      </c>
      <c r="S1946">
        <v>0.56782529999999998</v>
      </c>
      <c r="T1946">
        <v>-0.16380110000000001</v>
      </c>
      <c r="U1946">
        <v>-3.047485</v>
      </c>
      <c r="V1946">
        <v>0.34926829999999998</v>
      </c>
      <c r="W1946">
        <v>0.11482489999999999</v>
      </c>
      <c r="X1946">
        <v>0.92996069999999997</v>
      </c>
      <c r="Y1946">
        <v>0.53396269999999901</v>
      </c>
      <c r="Z1946">
        <v>1.5803609999999999E-2</v>
      </c>
      <c r="AA1946">
        <v>0.84536029999999995</v>
      </c>
      <c r="AB1946">
        <v>10</v>
      </c>
      <c r="AC1946">
        <v>3.84660000000002</v>
      </c>
      <c r="AD1946">
        <v>-1.1203142710909999</v>
      </c>
      <c r="AE1946">
        <v>-20.7988999999999</v>
      </c>
      <c r="AF1946">
        <v>11.293393231165901</v>
      </c>
      <c r="AG1946">
        <v>-1.1203142710909999</v>
      </c>
      <c r="AH1946">
        <v>17.8143245101137</v>
      </c>
      <c r="AI1946">
        <v>93.040379811470999</v>
      </c>
      <c r="AJ1946">
        <v>57.627341051003803</v>
      </c>
      <c r="AK1946">
        <v>21.122168271543298</v>
      </c>
      <c r="AL1946">
        <v>83.406474366278005</v>
      </c>
      <c r="AM1946">
        <v>69.415168135881302</v>
      </c>
      <c r="AN1946">
        <v>1.0000000032946901</v>
      </c>
    </row>
    <row r="1947" spans="1:40" x14ac:dyDescent="0.25">
      <c r="A1947" t="str">
        <f>"20190303161911587"</f>
        <v>20190303161911587</v>
      </c>
      <c r="B1947" t="str">
        <f>"1551601151574573"</f>
        <v>1551601151574573</v>
      </c>
      <c r="C1947" t="s">
        <v>40</v>
      </c>
      <c r="D1947">
        <v>4.7685500000000003</v>
      </c>
      <c r="E1947">
        <v>0.58048739999999999</v>
      </c>
      <c r="F1947" t="s">
        <v>41</v>
      </c>
      <c r="G1947">
        <v>-191.95820000000001</v>
      </c>
      <c r="H1947" s="1">
        <v>-4.2273080000000004E-6</v>
      </c>
      <c r="I1947">
        <v>338.38819999999998</v>
      </c>
      <c r="J1947">
        <v>-195.7714</v>
      </c>
      <c r="K1947">
        <v>1.1203019999999999</v>
      </c>
      <c r="L1947">
        <v>359.26199999999898</v>
      </c>
      <c r="M1947">
        <v>0.67773430000000001</v>
      </c>
      <c r="N1947">
        <v>-1.3458090000000001E-2</v>
      </c>
      <c r="O1947">
        <v>-0.7351839</v>
      </c>
      <c r="P1947">
        <v>0.37514510000000001</v>
      </c>
      <c r="Q1947">
        <v>0.1027846</v>
      </c>
      <c r="R1947">
        <v>-0.92125020000000002</v>
      </c>
      <c r="S1947">
        <v>0.56152340000000001</v>
      </c>
      <c r="T1947">
        <v>-0.1632121</v>
      </c>
      <c r="U1947">
        <v>-3.0482179999999999</v>
      </c>
      <c r="V1947">
        <v>0.34895949999999998</v>
      </c>
      <c r="W1947">
        <v>0.1142011</v>
      </c>
      <c r="X1947">
        <v>0.93015340000000002</v>
      </c>
      <c r="Y1947">
        <v>0.53304949999999995</v>
      </c>
      <c r="Z1947">
        <v>1.58592E-2</v>
      </c>
      <c r="AA1947">
        <v>0.845935399999999</v>
      </c>
      <c r="AB1947">
        <v>10</v>
      </c>
      <c r="AC1947">
        <v>3.8131999999999899</v>
      </c>
      <c r="AD1947">
        <v>-1.120306227308</v>
      </c>
      <c r="AE1947">
        <v>-20.8737999999999</v>
      </c>
      <c r="AF1947">
        <v>11.3129780074427</v>
      </c>
      <c r="AG1947">
        <v>-1.120306227308</v>
      </c>
      <c r="AH1947">
        <v>17.882193208864599</v>
      </c>
      <c r="AI1947">
        <v>93.030632215013497</v>
      </c>
      <c r="AJ1947">
        <v>57.680947007750703</v>
      </c>
      <c r="AK1947">
        <v>21.1898888953904</v>
      </c>
      <c r="AL1947">
        <v>83.442452029019705</v>
      </c>
      <c r="AM1947">
        <v>69.435747977777893</v>
      </c>
      <c r="AN1947">
        <v>0.99999998570651005</v>
      </c>
    </row>
    <row r="1948" spans="1:40" x14ac:dyDescent="0.25">
      <c r="A1948" t="str">
        <f>"20190303161911601"</f>
        <v>20190303161911601</v>
      </c>
      <c r="B1948" t="str">
        <f>"1551601151594092"</f>
        <v>1551601151594092</v>
      </c>
      <c r="C1948" t="s">
        <v>40</v>
      </c>
      <c r="D1948">
        <v>4.746467</v>
      </c>
      <c r="E1948">
        <v>0.58033650000000003</v>
      </c>
      <c r="F1948" t="s">
        <v>41</v>
      </c>
      <c r="G1948">
        <v>-191.99870000000001</v>
      </c>
      <c r="H1948" s="1">
        <v>-4.2616799999999997E-6</v>
      </c>
      <c r="I1948">
        <v>338.46809999999999</v>
      </c>
      <c r="J1948">
        <v>-195.72839999999999</v>
      </c>
      <c r="K1948">
        <v>1.1202920000000001</v>
      </c>
      <c r="L1948">
        <v>359.2097</v>
      </c>
      <c r="M1948">
        <v>0.67530809999999997</v>
      </c>
      <c r="N1948">
        <v>-1.3458039999999999E-2</v>
      </c>
      <c r="O1948">
        <v>-0.73741309999999904</v>
      </c>
      <c r="P1948">
        <v>0.3722935</v>
      </c>
      <c r="Q1948">
        <v>0.1015749</v>
      </c>
      <c r="R1948">
        <v>-0.92254040000000004</v>
      </c>
      <c r="S1948">
        <v>0.55326839999999999</v>
      </c>
      <c r="T1948">
        <v>-0.16429389999999999</v>
      </c>
      <c r="U1948">
        <v>-3.0494379999999999</v>
      </c>
      <c r="V1948">
        <v>0.34886030000000001</v>
      </c>
      <c r="W1948">
        <v>0.1129883</v>
      </c>
      <c r="X1948">
        <v>0.93033869999999996</v>
      </c>
      <c r="Y1948">
        <v>0.53253779999999995</v>
      </c>
      <c r="Z1948">
        <v>1.6198959999999998E-2</v>
      </c>
      <c r="AA1948">
        <v>0.84625119999999898</v>
      </c>
      <c r="AB1948">
        <v>10</v>
      </c>
      <c r="AC1948">
        <v>3.7296999999999798</v>
      </c>
      <c r="AD1948">
        <v>-1.1202962616800001</v>
      </c>
      <c r="AE1948">
        <v>-20.741599999999998</v>
      </c>
      <c r="AF1948">
        <v>11.225935420980299</v>
      </c>
      <c r="AG1948">
        <v>-1.1202962616800001</v>
      </c>
      <c r="AH1948">
        <v>17.765232319078699</v>
      </c>
      <c r="AI1948">
        <v>93.051530658761706</v>
      </c>
      <c r="AJ1948">
        <v>57.711011741770598</v>
      </c>
      <c r="AK1948">
        <v>21.044718319350199</v>
      </c>
      <c r="AL1948">
        <v>83.512393040088995</v>
      </c>
      <c r="AM1948">
        <v>69.444857146252602</v>
      </c>
      <c r="AN1948">
        <v>0.99999998078533403</v>
      </c>
    </row>
    <row r="1949" spans="1:40" x14ac:dyDescent="0.25">
      <c r="A1949" t="str">
        <f>"20190303161911616"</f>
        <v>20190303161911616</v>
      </c>
      <c r="B1949" t="str">
        <f>"1551601151604829"</f>
        <v>1551601151604829</v>
      </c>
      <c r="C1949" t="s">
        <v>40</v>
      </c>
      <c r="D1949">
        <v>4.7474850000000002</v>
      </c>
      <c r="E1949">
        <v>0.58027469999999903</v>
      </c>
      <c r="F1949" t="s">
        <v>41</v>
      </c>
      <c r="G1949">
        <v>-192.0575</v>
      </c>
      <c r="H1949" s="1">
        <v>-4.3351640000000003E-6</v>
      </c>
      <c r="I1949">
        <v>338.65339999999998</v>
      </c>
      <c r="J1949">
        <v>-195.68889999999999</v>
      </c>
      <c r="K1949">
        <v>1.120285</v>
      </c>
      <c r="L1949">
        <v>359.16120000000001</v>
      </c>
      <c r="M1949">
        <v>0.67304790000000003</v>
      </c>
      <c r="N1949">
        <v>-1.345814E-2</v>
      </c>
      <c r="O1949">
        <v>-0.73947669999999999</v>
      </c>
      <c r="P1949">
        <v>0.369564</v>
      </c>
      <c r="Q1949">
        <v>0.1012711</v>
      </c>
      <c r="R1949">
        <v>-0.92367049999999995</v>
      </c>
      <c r="S1949">
        <v>0.54473879999999997</v>
      </c>
      <c r="T1949">
        <v>-0.16624449999999999</v>
      </c>
      <c r="U1949">
        <v>-3.0504150000000001</v>
      </c>
      <c r="V1949">
        <v>0.3487866</v>
      </c>
      <c r="W1949">
        <v>0.1126803</v>
      </c>
      <c r="X1949">
        <v>0.93040369999999994</v>
      </c>
      <c r="Y1949">
        <v>0.53228489999999995</v>
      </c>
      <c r="Z1949">
        <v>1.667853E-2</v>
      </c>
      <c r="AA1949">
        <v>0.84640099999999996</v>
      </c>
      <c r="AB1949">
        <v>10</v>
      </c>
      <c r="AC1949">
        <v>3.6313999999999802</v>
      </c>
      <c r="AD1949">
        <v>-1.120289335164</v>
      </c>
      <c r="AE1949">
        <v>-20.5078</v>
      </c>
      <c r="AF1949">
        <v>11.086323245613199</v>
      </c>
      <c r="AG1949">
        <v>-1.120289335164</v>
      </c>
      <c r="AH1949">
        <v>17.559929374423401</v>
      </c>
      <c r="AI1949">
        <v>93.087902979826794</v>
      </c>
      <c r="AJ1949">
        <v>57.734056207922499</v>
      </c>
      <c r="AK1949">
        <v>20.796940422462299</v>
      </c>
      <c r="AL1949">
        <v>83.530153646168998</v>
      </c>
      <c r="AM1949">
        <v>69.450152337405697</v>
      </c>
      <c r="AN1949">
        <v>0.99999999366066905</v>
      </c>
    </row>
    <row r="1950" spans="1:40" x14ac:dyDescent="0.25">
      <c r="A1950" t="str">
        <f>"20190303161911629"</f>
        <v>20190303161911629</v>
      </c>
      <c r="B1950" t="str">
        <f>"1551601151624349"</f>
        <v>1551601151624349</v>
      </c>
      <c r="C1950" t="s">
        <v>40</v>
      </c>
      <c r="D1950">
        <v>4.7431140000000003</v>
      </c>
      <c r="E1950">
        <v>0.580103699999999</v>
      </c>
      <c r="F1950" t="s">
        <v>41</v>
      </c>
      <c r="G1950">
        <v>-192.07660000000001</v>
      </c>
      <c r="H1950" s="1">
        <v>-4.3184659999999997E-6</v>
      </c>
      <c r="I1950">
        <v>338.59440000000001</v>
      </c>
      <c r="J1950">
        <v>-195.6508</v>
      </c>
      <c r="K1950">
        <v>1.1202810000000001</v>
      </c>
      <c r="L1950">
        <v>359.11410000000001</v>
      </c>
      <c r="M1950">
        <v>0.67084569999999999</v>
      </c>
      <c r="N1950">
        <v>-1.345828E-2</v>
      </c>
      <c r="O1950">
        <v>-0.74147489999999905</v>
      </c>
      <c r="P1950">
        <v>0.36668420000000002</v>
      </c>
      <c r="Q1950">
        <v>0.10125430000000001</v>
      </c>
      <c r="R1950">
        <v>-0.92481919999999995</v>
      </c>
      <c r="S1950">
        <v>0.53599549999999996</v>
      </c>
      <c r="T1950">
        <v>-0.16622700000000001</v>
      </c>
      <c r="U1950">
        <v>-3.051666</v>
      </c>
      <c r="V1950">
        <v>0.34892139999999999</v>
      </c>
      <c r="W1950">
        <v>0.11265799999999999</v>
      </c>
      <c r="X1950">
        <v>0.93035579999999996</v>
      </c>
      <c r="Y1950">
        <v>0.53217990000000004</v>
      </c>
      <c r="Z1950">
        <v>1.680386E-2</v>
      </c>
      <c r="AA1950">
        <v>0.84646449999999995</v>
      </c>
      <c r="AB1950">
        <v>10</v>
      </c>
      <c r="AC1950">
        <v>3.5741999999999901</v>
      </c>
      <c r="AD1950">
        <v>-1.12028531846599</v>
      </c>
      <c r="AE1950">
        <v>-20.5197</v>
      </c>
      <c r="AF1950">
        <v>11.0843132038304</v>
      </c>
      <c r="AG1950">
        <v>-1.12028531846599</v>
      </c>
      <c r="AH1950">
        <v>17.563364325178799</v>
      </c>
      <c r="AI1950">
        <v>93.0876201085037</v>
      </c>
      <c r="AJ1950">
        <v>57.743804048520403</v>
      </c>
      <c r="AK1950">
        <v>20.798769310090101</v>
      </c>
      <c r="AL1950">
        <v>83.531439190794103</v>
      </c>
      <c r="AM1950">
        <v>69.441904455775102</v>
      </c>
      <c r="AN1950">
        <v>0.99999994146779803</v>
      </c>
    </row>
    <row r="1951" spans="1:40" x14ac:dyDescent="0.25">
      <c r="A1951" t="str">
        <f>"20190303161911646"</f>
        <v>20190303161911646</v>
      </c>
      <c r="B1951" t="str">
        <f>"1551601151634109"</f>
        <v>1551601151634109</v>
      </c>
      <c r="C1951" t="s">
        <v>40</v>
      </c>
      <c r="D1951">
        <v>4.7778710000000002</v>
      </c>
      <c r="E1951">
        <v>0.580103699999999</v>
      </c>
      <c r="F1951" t="s">
        <v>41</v>
      </c>
      <c r="G1951">
        <v>-192.06700000000001</v>
      </c>
      <c r="H1951" s="1">
        <v>-4.2471420000000003E-6</v>
      </c>
      <c r="I1951">
        <v>338.38979999999998</v>
      </c>
      <c r="J1951">
        <v>-195.60310000000001</v>
      </c>
      <c r="K1951">
        <v>1.120266</v>
      </c>
      <c r="L1951">
        <v>359.0548</v>
      </c>
      <c r="M1951">
        <v>0.66805579999999998</v>
      </c>
      <c r="N1951">
        <v>-1.345849E-2</v>
      </c>
      <c r="O1951">
        <v>-0.74398959999999903</v>
      </c>
      <c r="P1951">
        <v>0.36288930000000003</v>
      </c>
      <c r="Q1951">
        <v>0.1011006</v>
      </c>
      <c r="R1951">
        <v>-0.92633189999999999</v>
      </c>
      <c r="S1951">
        <v>0.5278931</v>
      </c>
      <c r="T1951">
        <v>-0.16501749999999901</v>
      </c>
      <c r="U1951">
        <v>-3.052673</v>
      </c>
      <c r="V1951">
        <v>0.34925410000000001</v>
      </c>
      <c r="W1951">
        <v>0.1124974</v>
      </c>
      <c r="X1951">
        <v>0.93025049999999998</v>
      </c>
      <c r="Y1951">
        <v>0.53123209999999998</v>
      </c>
      <c r="Z1951">
        <v>1.6774529999999999E-2</v>
      </c>
      <c r="AA1951">
        <v>0.84706029999999999</v>
      </c>
      <c r="AB1951">
        <v>10</v>
      </c>
      <c r="AC1951">
        <v>3.5360999999999998</v>
      </c>
      <c r="AD1951">
        <v>-1.1202702471420001</v>
      </c>
      <c r="AE1951">
        <v>-20.664999999999999</v>
      </c>
      <c r="AF1951">
        <v>11.1437445374133</v>
      </c>
      <c r="AG1951">
        <v>-1.1202702471420001</v>
      </c>
      <c r="AH1951">
        <v>17.687958736055599</v>
      </c>
      <c r="AI1951">
        <v>93.067370347028103</v>
      </c>
      <c r="AJ1951">
        <v>57.7883058124672</v>
      </c>
      <c r="AK1951">
        <v>20.935661728022101</v>
      </c>
      <c r="AL1951">
        <v>83.540700416235097</v>
      </c>
      <c r="AM1951">
        <v>69.421809926799597</v>
      </c>
      <c r="AN1951">
        <v>1.0000000420619</v>
      </c>
    </row>
    <row r="1952" spans="1:40" x14ac:dyDescent="0.25">
      <c r="A1952" t="str">
        <f>"20190303161911660"</f>
        <v>20190303161911660</v>
      </c>
      <c r="B1952" t="str">
        <f>"1551601151654605"</f>
        <v>1551601151654605</v>
      </c>
      <c r="C1952" t="s">
        <v>40</v>
      </c>
      <c r="D1952">
        <v>4.7434120000000002</v>
      </c>
      <c r="E1952">
        <v>0.5751541</v>
      </c>
      <c r="F1952" t="s">
        <v>41</v>
      </c>
      <c r="G1952">
        <v>-192.11510000000001</v>
      </c>
      <c r="H1952" s="1">
        <v>-4.2520619999999997E-6</v>
      </c>
      <c r="I1952">
        <v>338.37920000000003</v>
      </c>
      <c r="J1952">
        <v>-195.5668</v>
      </c>
      <c r="K1952">
        <v>1.12026</v>
      </c>
      <c r="L1952">
        <v>359.0093</v>
      </c>
      <c r="M1952">
        <v>0.66590490000000002</v>
      </c>
      <c r="N1952">
        <v>-1.3458629999999999E-2</v>
      </c>
      <c r="O1952">
        <v>-0.74591540000000001</v>
      </c>
      <c r="P1952">
        <v>0.36007</v>
      </c>
      <c r="Q1952">
        <v>0.1009322</v>
      </c>
      <c r="R1952">
        <v>-0.92744939999999998</v>
      </c>
      <c r="S1952">
        <v>0.51533509999999905</v>
      </c>
      <c r="T1952">
        <v>-0.1655161</v>
      </c>
      <c r="U1952">
        <v>-3.0547490000000002</v>
      </c>
      <c r="V1952">
        <v>0.34941040000000001</v>
      </c>
      <c r="W1952">
        <v>0.11232540000000001</v>
      </c>
      <c r="X1952">
        <v>0.93021259999999995</v>
      </c>
      <c r="Y1952">
        <v>0.53226459999999998</v>
      </c>
      <c r="Z1952">
        <v>1.6952479999999999E-2</v>
      </c>
      <c r="AA1952">
        <v>0.8464083</v>
      </c>
      <c r="AB1952">
        <v>10</v>
      </c>
      <c r="AC1952">
        <v>3.4516999999999798</v>
      </c>
      <c r="AD1952">
        <v>-1.1202642520620001</v>
      </c>
      <c r="AE1952">
        <v>-20.630099999999899</v>
      </c>
      <c r="AF1952">
        <v>11.132086344463101</v>
      </c>
      <c r="AG1952">
        <v>-1.1202642520620001</v>
      </c>
      <c r="AH1952">
        <v>17.6378197924424</v>
      </c>
      <c r="AI1952">
        <v>93.074491965901203</v>
      </c>
      <c r="AJ1952">
        <v>57.741982767888601</v>
      </c>
      <c r="AK1952">
        <v>20.887101891016499</v>
      </c>
      <c r="AL1952">
        <v>83.550618216345001</v>
      </c>
      <c r="AM1952">
        <v>69.412604495445095</v>
      </c>
      <c r="AN1952">
        <v>1.0000000521560299</v>
      </c>
    </row>
    <row r="1953" spans="1:40" x14ac:dyDescent="0.25">
      <c r="A1953" t="str">
        <f>"20190303161911681"</f>
        <v>20190303161911681</v>
      </c>
      <c r="B1953" t="str">
        <f>"1551601151674124"</f>
        <v>1551601151674124</v>
      </c>
      <c r="C1953" t="s">
        <v>40</v>
      </c>
      <c r="D1953">
        <v>4.7210449999999904</v>
      </c>
      <c r="E1953">
        <v>0.57598099999999997</v>
      </c>
      <c r="F1953" t="s">
        <v>41</v>
      </c>
      <c r="G1953">
        <v>-190.80629999999999</v>
      </c>
      <c r="H1953" s="1">
        <v>-1.362473E-6</v>
      </c>
      <c r="I1953">
        <v>332.26499999999999</v>
      </c>
      <c r="J1953">
        <v>-195.50810000000001</v>
      </c>
      <c r="K1953">
        <v>1.1202559999999999</v>
      </c>
      <c r="L1953">
        <v>358.93520000000001</v>
      </c>
      <c r="M1953">
        <v>0.66238269999999899</v>
      </c>
      <c r="N1953">
        <v>-1.345881E-2</v>
      </c>
      <c r="O1953">
        <v>-0.74904510000000002</v>
      </c>
      <c r="P1953">
        <v>0.35516180000000003</v>
      </c>
      <c r="Q1953">
        <v>9.98719E-2</v>
      </c>
      <c r="R1953">
        <v>-0.92945480000000003</v>
      </c>
      <c r="S1953">
        <v>0.54086299999999998</v>
      </c>
      <c r="T1953">
        <v>-0.1272779</v>
      </c>
      <c r="U1953">
        <v>-3.0385439999999999</v>
      </c>
      <c r="V1953">
        <v>0.35001900000000002</v>
      </c>
      <c r="W1953">
        <v>0.1112588</v>
      </c>
      <c r="X1953">
        <v>0.93011189999999999</v>
      </c>
      <c r="Y1953">
        <v>0.5206596</v>
      </c>
      <c r="Z1953">
        <v>1.0622619999999999E-2</v>
      </c>
      <c r="AA1953">
        <v>0.85369830000000002</v>
      </c>
      <c r="AB1953">
        <v>10</v>
      </c>
      <c r="AC1953">
        <v>4.70180000000002</v>
      </c>
      <c r="AD1953">
        <v>-1.1202573624729999</v>
      </c>
      <c r="AE1953">
        <v>-26.670200000000001</v>
      </c>
      <c r="AF1953">
        <v>14.1211326594367</v>
      </c>
      <c r="AG1953">
        <v>-1.1202573624729999</v>
      </c>
      <c r="AH1953">
        <v>23.054209557294701</v>
      </c>
      <c r="AI1953">
        <v>92.372805812156997</v>
      </c>
      <c r="AJ1953">
        <v>58.511754775907498</v>
      </c>
      <c r="AK1953">
        <v>27.058417220067401</v>
      </c>
      <c r="AL1953">
        <v>83.612114943471099</v>
      </c>
      <c r="AM1953">
        <v>69.377715765449196</v>
      </c>
      <c r="AN1953">
        <v>0.99999998373002497</v>
      </c>
    </row>
    <row r="1954" spans="1:40" x14ac:dyDescent="0.25">
      <c r="A1954" t="str">
        <f>"20190303161911704"</f>
        <v>20190303161911704</v>
      </c>
      <c r="B1954" t="str">
        <f>"1551601151694621"</f>
        <v>1551601151694621</v>
      </c>
      <c r="C1954" t="s">
        <v>40</v>
      </c>
      <c r="D1954">
        <v>4.7473489999999998</v>
      </c>
      <c r="E1954">
        <v>0.57709060000000001</v>
      </c>
      <c r="F1954" t="s">
        <v>41</v>
      </c>
      <c r="G1954">
        <v>-190.71879999999999</v>
      </c>
      <c r="H1954" s="1">
        <v>-7.1215230000000001E-7</v>
      </c>
      <c r="I1954">
        <v>330.80329999999998</v>
      </c>
      <c r="J1954">
        <v>-195.44800000000001</v>
      </c>
      <c r="K1954">
        <v>1.12026</v>
      </c>
      <c r="L1954">
        <v>358.85849999999999</v>
      </c>
      <c r="M1954">
        <v>0.65871389999999996</v>
      </c>
      <c r="N1954">
        <v>-1.345882E-2</v>
      </c>
      <c r="O1954">
        <v>-0.75227339999999998</v>
      </c>
      <c r="P1954">
        <v>0.3504468</v>
      </c>
      <c r="Q1954">
        <v>9.9936839999999999E-2</v>
      </c>
      <c r="R1954">
        <v>-0.93123599999999995</v>
      </c>
      <c r="S1954">
        <v>0.51802060000000005</v>
      </c>
      <c r="T1954">
        <v>-0.1211686</v>
      </c>
      <c r="U1954">
        <v>-3.042786</v>
      </c>
      <c r="V1954">
        <v>0.35018310000000002</v>
      </c>
      <c r="W1954">
        <v>0.1113218</v>
      </c>
      <c r="X1954">
        <v>0.93004260000000005</v>
      </c>
      <c r="Y1954">
        <v>0.5229203</v>
      </c>
      <c r="Z1954">
        <v>9.5956400000000008E-3</v>
      </c>
      <c r="AA1954">
        <v>0.85232759999999996</v>
      </c>
      <c r="AB1954">
        <v>10</v>
      </c>
      <c r="AC1954">
        <v>4.7291999999999899</v>
      </c>
      <c r="AD1954">
        <v>-1.1202607121523001</v>
      </c>
      <c r="AE1954">
        <v>-28.055199999999999</v>
      </c>
      <c r="AF1954">
        <v>14.900945126267899</v>
      </c>
      <c r="AG1954">
        <v>-1.1202607121523001</v>
      </c>
      <c r="AH1954">
        <v>24.1850629733845</v>
      </c>
      <c r="AI1954">
        <v>92.258353764862903</v>
      </c>
      <c r="AJ1954">
        <v>58.361870981887002</v>
      </c>
      <c r="AK1954">
        <v>28.429041854164101</v>
      </c>
      <c r="AL1954">
        <v>83.608482800539704</v>
      </c>
      <c r="AM1954">
        <v>69.367453747110403</v>
      </c>
      <c r="AN1954">
        <v>0.999999992247804</v>
      </c>
    </row>
    <row r="1955" spans="1:40" x14ac:dyDescent="0.25">
      <c r="A1955" t="str">
        <f>"20190303161911724"</f>
        <v>20190303161911724</v>
      </c>
      <c r="B1955" t="str">
        <f>"1551601151714140"</f>
        <v>1551601151714140</v>
      </c>
      <c r="C1955" t="s">
        <v>40</v>
      </c>
      <c r="D1955">
        <v>4.741689</v>
      </c>
      <c r="E1955">
        <v>0.57734759999999996</v>
      </c>
      <c r="F1955" t="s">
        <v>41</v>
      </c>
      <c r="G1955">
        <v>-190.6814</v>
      </c>
      <c r="H1955" s="1">
        <v>-4.3639699999999997E-6</v>
      </c>
      <c r="I1955">
        <v>329.45530000000002</v>
      </c>
      <c r="J1955">
        <v>-195.39160000000001</v>
      </c>
      <c r="K1955">
        <v>1.120266</v>
      </c>
      <c r="L1955">
        <v>358.78570000000002</v>
      </c>
      <c r="M1955">
        <v>0.6552154</v>
      </c>
      <c r="N1955">
        <v>-1.3458360000000001E-2</v>
      </c>
      <c r="O1955">
        <v>-0.75532239999999995</v>
      </c>
      <c r="P1955">
        <v>0.34612759999999998</v>
      </c>
      <c r="Q1955">
        <v>0.1007411</v>
      </c>
      <c r="R1955">
        <v>-0.93276360000000003</v>
      </c>
      <c r="S1955">
        <v>0.49412539999999999</v>
      </c>
      <c r="T1955">
        <v>-0.1161307</v>
      </c>
      <c r="U1955">
        <v>-3.048035</v>
      </c>
      <c r="V1955">
        <v>0.35012189999999999</v>
      </c>
      <c r="W1955">
        <v>0.1121264</v>
      </c>
      <c r="X1955">
        <v>0.92996900000000005</v>
      </c>
      <c r="Y1955">
        <v>0.52571429999999997</v>
      </c>
      <c r="Z1955">
        <v>8.728843E-3</v>
      </c>
      <c r="AA1955">
        <v>0.85061640000000005</v>
      </c>
      <c r="AB1955">
        <v>10</v>
      </c>
      <c r="AC1955">
        <v>4.7102000000000102</v>
      </c>
      <c r="AD1955">
        <v>-1.12027036397</v>
      </c>
      <c r="AE1955">
        <v>-29.330400000000001</v>
      </c>
      <c r="AF1955">
        <v>15.639184883429801</v>
      </c>
      <c r="AG1955">
        <v>-1.12027036397</v>
      </c>
      <c r="AH1955">
        <v>25.2065383851828</v>
      </c>
      <c r="AI1955">
        <v>92.162764511232993</v>
      </c>
      <c r="AJ1955">
        <v>58.182814614619502</v>
      </c>
      <c r="AK1955">
        <v>29.685159370806598</v>
      </c>
      <c r="AL1955">
        <v>83.562092275124897</v>
      </c>
      <c r="AM1955">
        <v>69.3692607879468</v>
      </c>
      <c r="AN1955">
        <v>1.0000000076987801</v>
      </c>
    </row>
    <row r="1956" spans="1:40" x14ac:dyDescent="0.25">
      <c r="A1956" t="str">
        <f>"20190303161911739"</f>
        <v>20190303161911739</v>
      </c>
      <c r="B1956" t="str">
        <f>"1551601151734637"</f>
        <v>1551601151734637</v>
      </c>
      <c r="C1956" t="s">
        <v>40</v>
      </c>
      <c r="D1956">
        <v>4.7387040000000002</v>
      </c>
      <c r="E1956">
        <v>0.57755199999999995</v>
      </c>
      <c r="F1956" t="s">
        <v>41</v>
      </c>
      <c r="G1956">
        <v>-190.5258</v>
      </c>
      <c r="H1956" s="1">
        <v>-3.6207720000000002E-6</v>
      </c>
      <c r="I1956">
        <v>327.70310000000001</v>
      </c>
      <c r="J1956">
        <v>-195.35300000000001</v>
      </c>
      <c r="K1956">
        <v>1.1202730000000001</v>
      </c>
      <c r="L1956">
        <v>358.73540000000003</v>
      </c>
      <c r="M1956">
        <v>0.65278859999999905</v>
      </c>
      <c r="N1956">
        <v>-1.3457749999999999E-2</v>
      </c>
      <c r="O1956">
        <v>-0.75742069999999995</v>
      </c>
      <c r="P1956">
        <v>0.34320889999999998</v>
      </c>
      <c r="Q1956">
        <v>0.10124759999999999</v>
      </c>
      <c r="R1956">
        <v>-0.93378640000000002</v>
      </c>
      <c r="S1956">
        <v>0.47760010000000003</v>
      </c>
      <c r="T1956">
        <v>-0.1099598</v>
      </c>
      <c r="U1956">
        <v>-3.0509029999999999</v>
      </c>
      <c r="V1956">
        <v>0.35001149999999998</v>
      </c>
      <c r="W1956">
        <v>0.11263479999999999</v>
      </c>
      <c r="X1956">
        <v>0.92994920000000003</v>
      </c>
      <c r="Y1956">
        <v>0.5276132</v>
      </c>
      <c r="Z1956">
        <v>7.6331769999999997E-3</v>
      </c>
      <c r="AA1956">
        <v>0.849450499999999</v>
      </c>
      <c r="AB1956">
        <v>10</v>
      </c>
      <c r="AC1956">
        <v>4.8271999999999702</v>
      </c>
      <c r="AD1956">
        <v>-1.1202766207720001</v>
      </c>
      <c r="AE1956">
        <v>-31.032299999999999</v>
      </c>
      <c r="AF1956">
        <v>16.581713163170701</v>
      </c>
      <c r="AG1956">
        <v>-1.1202766207720001</v>
      </c>
      <c r="AH1956">
        <v>26.6241813959879</v>
      </c>
      <c r="AI1956">
        <v>92.045548915145801</v>
      </c>
      <c r="AJ1956">
        <v>58.085081406396398</v>
      </c>
      <c r="AK1956">
        <v>31.385590103408699</v>
      </c>
      <c r="AL1956">
        <v>83.532777876830707</v>
      </c>
      <c r="AM1956">
        <v>69.374816227839602</v>
      </c>
      <c r="AN1956">
        <v>1.0000000814419601</v>
      </c>
    </row>
    <row r="1957" spans="1:40" x14ac:dyDescent="0.25">
      <c r="A1957" t="str">
        <f>"20190303161911752"</f>
        <v>20190303161911752</v>
      </c>
      <c r="B1957" t="str">
        <f>"1551601151744397"</f>
        <v>1551601151744397</v>
      </c>
      <c r="C1957" t="s">
        <v>40</v>
      </c>
      <c r="D1957">
        <v>4.7326870000000003</v>
      </c>
      <c r="E1957">
        <v>0.57760040000000001</v>
      </c>
      <c r="F1957" t="s">
        <v>41</v>
      </c>
      <c r="G1957">
        <v>-190.48500000000001</v>
      </c>
      <c r="H1957" s="1">
        <v>-3.2556790000000001E-6</v>
      </c>
      <c r="I1957">
        <v>326.87729999999999</v>
      </c>
      <c r="J1957">
        <v>-195.31870000000001</v>
      </c>
      <c r="K1957">
        <v>1.1202799999999999</v>
      </c>
      <c r="L1957">
        <v>358.69040000000001</v>
      </c>
      <c r="M1957">
        <v>0.6506132</v>
      </c>
      <c r="N1957">
        <v>-1.345697E-2</v>
      </c>
      <c r="O1957">
        <v>-0.75929029999999997</v>
      </c>
      <c r="P1957">
        <v>0.3407482</v>
      </c>
      <c r="Q1957">
        <v>0.10174709999999999</v>
      </c>
      <c r="R1957">
        <v>-0.93463300000000005</v>
      </c>
      <c r="S1957">
        <v>0.46649170000000001</v>
      </c>
      <c r="T1957">
        <v>-0.10735459999999999</v>
      </c>
      <c r="U1957">
        <v>-3.0529169999999999</v>
      </c>
      <c r="V1957">
        <v>0.34975820000000002</v>
      </c>
      <c r="W1957">
        <v>0.113138</v>
      </c>
      <c r="X1957">
        <v>0.92998329999999996</v>
      </c>
      <c r="Y1957">
        <v>0.52828489999999995</v>
      </c>
      <c r="Z1957">
        <v>7.2069219999999897E-3</v>
      </c>
      <c r="AA1957">
        <v>0.84903660000000003</v>
      </c>
      <c r="AB1957">
        <v>10</v>
      </c>
      <c r="AC1957">
        <v>4.8336999999999897</v>
      </c>
      <c r="AD1957">
        <v>-1.1202832556789999</v>
      </c>
      <c r="AE1957">
        <v>-31.813099999999999</v>
      </c>
      <c r="AF1957">
        <v>17.008763983131399</v>
      </c>
      <c r="AG1957">
        <v>-1.1202832556789999</v>
      </c>
      <c r="AH1957">
        <v>27.269661203731001</v>
      </c>
      <c r="AI1957">
        <v>91.996359320669399</v>
      </c>
      <c r="AJ1957">
        <v>58.047187003277998</v>
      </c>
      <c r="AK1957">
        <v>32.158785875295301</v>
      </c>
      <c r="AL1957">
        <v>83.503760450231496</v>
      </c>
      <c r="AM1957">
        <v>69.389179483819007</v>
      </c>
      <c r="AN1957">
        <v>0.99999997189506395</v>
      </c>
    </row>
    <row r="1958" spans="1:40" x14ac:dyDescent="0.25">
      <c r="A1958" t="str">
        <f>"20190303161911769"</f>
        <v>20190303161911769</v>
      </c>
      <c r="B1958" t="str">
        <f>"1551601151764892"</f>
        <v>1551601151764892</v>
      </c>
      <c r="C1958" t="s">
        <v>40</v>
      </c>
      <c r="D1958">
        <v>4.7762469999999997</v>
      </c>
      <c r="E1958">
        <v>0.57739430000000003</v>
      </c>
      <c r="F1958" t="s">
        <v>41</v>
      </c>
      <c r="G1958">
        <v>-190.3888</v>
      </c>
      <c r="H1958" s="1">
        <v>-2.770415E-6</v>
      </c>
      <c r="I1958">
        <v>325.80590000000001</v>
      </c>
      <c r="J1958">
        <v>-195.2747</v>
      </c>
      <c r="K1958">
        <v>1.120293</v>
      </c>
      <c r="L1958">
        <v>358.63240000000002</v>
      </c>
      <c r="M1958">
        <v>0.64780509999999902</v>
      </c>
      <c r="N1958">
        <v>-1.345563E-2</v>
      </c>
      <c r="O1958">
        <v>-0.76168740000000001</v>
      </c>
      <c r="P1958">
        <v>0.33711410000000003</v>
      </c>
      <c r="Q1958">
        <v>0.10340290000000001</v>
      </c>
      <c r="R1958">
        <v>-0.93576839999999994</v>
      </c>
      <c r="S1958">
        <v>0.45787050000000001</v>
      </c>
      <c r="T1958">
        <v>-0.104049</v>
      </c>
      <c r="U1958">
        <v>-3.05423</v>
      </c>
      <c r="V1958">
        <v>0.34982400000000002</v>
      </c>
      <c r="W1958">
        <v>0.1147946</v>
      </c>
      <c r="X1958">
        <v>0.92975560000000002</v>
      </c>
      <c r="Y1958">
        <v>0.52755390000000002</v>
      </c>
      <c r="Z1958">
        <v>6.6954279999999998E-3</v>
      </c>
      <c r="AA1958">
        <v>0.84949519999999901</v>
      </c>
      <c r="AB1958">
        <v>10</v>
      </c>
      <c r="AC1958">
        <v>4.8858999999999897</v>
      </c>
      <c r="AD1958">
        <v>-1.1202957704150001</v>
      </c>
      <c r="AE1958">
        <v>-32.826500000000003</v>
      </c>
      <c r="AF1958">
        <v>17.525262923393999</v>
      </c>
      <c r="AG1958">
        <v>-1.1202957704150001</v>
      </c>
      <c r="AH1958">
        <v>28.139126480439799</v>
      </c>
      <c r="AI1958">
        <v>91.935539533718298</v>
      </c>
      <c r="AJ1958">
        <v>58.085034285859997</v>
      </c>
      <c r="AK1958">
        <v>33.169268038795899</v>
      </c>
      <c r="AL1958">
        <v>83.408222316588095</v>
      </c>
      <c r="AM1958">
        <v>69.381004167096094</v>
      </c>
      <c r="AN1958">
        <v>1.00000005344825</v>
      </c>
    </row>
    <row r="1959" spans="1:40" x14ac:dyDescent="0.25">
      <c r="A1959" t="str">
        <f>"20190303161911782"</f>
        <v>20190303161911782</v>
      </c>
      <c r="B1959" t="str">
        <f>"1551601151774653"</f>
        <v>1551601151774653</v>
      </c>
      <c r="C1959" t="s">
        <v>40</v>
      </c>
      <c r="D1959">
        <v>4.7897150000000002</v>
      </c>
      <c r="E1959">
        <v>0.5771598</v>
      </c>
      <c r="F1959" t="s">
        <v>41</v>
      </c>
      <c r="G1959">
        <v>-190.14490000000001</v>
      </c>
      <c r="H1959" s="1">
        <v>-1.770689E-6</v>
      </c>
      <c r="I1959">
        <v>323.6268</v>
      </c>
      <c r="J1959">
        <v>-195.23910000000001</v>
      </c>
      <c r="K1959">
        <v>1.1203019999999999</v>
      </c>
      <c r="L1959">
        <v>358.58499999999998</v>
      </c>
      <c r="M1959">
        <v>0.6455052</v>
      </c>
      <c r="N1959">
        <v>-1.3454280000000001E-2</v>
      </c>
      <c r="O1959">
        <v>-0.76363740000000002</v>
      </c>
      <c r="P1959">
        <v>0.33417580000000002</v>
      </c>
      <c r="Q1959">
        <v>0.1041907</v>
      </c>
      <c r="R1959">
        <v>-0.93673439999999997</v>
      </c>
      <c r="S1959">
        <v>0.44775389999999998</v>
      </c>
      <c r="T1959">
        <v>-9.778357E-2</v>
      </c>
      <c r="U1959">
        <v>-3.0554199999999998</v>
      </c>
      <c r="V1959">
        <v>0.34988249999999999</v>
      </c>
      <c r="W1959">
        <v>0.1155856</v>
      </c>
      <c r="X1959">
        <v>0.92963549999999995</v>
      </c>
      <c r="Y1959">
        <v>0.52780380000000005</v>
      </c>
      <c r="Z1959">
        <v>5.5895099999999998E-3</v>
      </c>
      <c r="AA1959">
        <v>0.84934789999999905</v>
      </c>
      <c r="AB1959">
        <v>10</v>
      </c>
      <c r="AC1959">
        <v>5.0941999999999998</v>
      </c>
      <c r="AD1959">
        <v>-1.120303770689</v>
      </c>
      <c r="AE1959">
        <v>-34.958199999999898</v>
      </c>
      <c r="AF1959">
        <v>18.658504254261999</v>
      </c>
      <c r="AG1959">
        <v>-1.120303770689</v>
      </c>
      <c r="AH1959">
        <v>29.9563091893604</v>
      </c>
      <c r="AI1959">
        <v>91.818181451403305</v>
      </c>
      <c r="AJ1959">
        <v>58.082986400103501</v>
      </c>
      <c r="AK1959">
        <v>35.309705773250101</v>
      </c>
      <c r="AL1959">
        <v>83.362597156352393</v>
      </c>
      <c r="AM1959">
        <v>69.375406315118695</v>
      </c>
      <c r="AN1959">
        <v>0.99999997879692903</v>
      </c>
    </row>
    <row r="1960" spans="1:40" x14ac:dyDescent="0.25">
      <c r="A1960" t="str">
        <f>"20190303161911795"</f>
        <v>20190303161911795</v>
      </c>
      <c r="B1960" t="str">
        <f>"1551601151784413"</f>
        <v>1551601151784413</v>
      </c>
      <c r="C1960" t="s">
        <v>40</v>
      </c>
      <c r="D1960">
        <v>4.7600910000000001</v>
      </c>
      <c r="E1960">
        <v>0.57702559999999903</v>
      </c>
      <c r="F1960" t="s">
        <v>41</v>
      </c>
      <c r="G1960">
        <v>-190.0831</v>
      </c>
      <c r="H1960" s="1">
        <v>-1.39935E-6</v>
      </c>
      <c r="I1960">
        <v>322.79950000000002</v>
      </c>
      <c r="J1960">
        <v>-195.20679999999999</v>
      </c>
      <c r="K1960">
        <v>1.1203129999999999</v>
      </c>
      <c r="L1960">
        <v>358.54180000000002</v>
      </c>
      <c r="M1960">
        <v>0.64341099999999996</v>
      </c>
      <c r="N1960">
        <v>-1.345266E-2</v>
      </c>
      <c r="O1960">
        <v>-0.7654029</v>
      </c>
      <c r="P1960">
        <v>0.33159929999999999</v>
      </c>
      <c r="Q1960">
        <v>0.10484010000000001</v>
      </c>
      <c r="R1960">
        <v>-0.9375772</v>
      </c>
      <c r="S1960">
        <v>0.44033810000000001</v>
      </c>
      <c r="T1960">
        <v>-9.5677139999999994E-2</v>
      </c>
      <c r="U1960">
        <v>-3.0561829999999999</v>
      </c>
      <c r="V1960">
        <v>0.34984510000000002</v>
      </c>
      <c r="W1960">
        <v>0.1162388</v>
      </c>
      <c r="X1960">
        <v>0.92956819999999896</v>
      </c>
      <c r="Y1960">
        <v>0.52753000000000005</v>
      </c>
      <c r="Z1960">
        <v>5.2603859999999997E-3</v>
      </c>
      <c r="AA1960">
        <v>0.849520099999999</v>
      </c>
      <c r="AB1960">
        <v>10</v>
      </c>
      <c r="AC1960">
        <v>5.1236999999999799</v>
      </c>
      <c r="AD1960">
        <v>-1.12031439935</v>
      </c>
      <c r="AE1960">
        <v>-35.7423</v>
      </c>
      <c r="AF1960">
        <v>19.058670347066201</v>
      </c>
      <c r="AG1960">
        <v>-1.12031439935</v>
      </c>
      <c r="AH1960">
        <v>30.627190648336502</v>
      </c>
      <c r="AI1960">
        <v>91.778858152542</v>
      </c>
      <c r="AJ1960">
        <v>58.106845856754802</v>
      </c>
      <c r="AK1960">
        <v>36.090342569184401</v>
      </c>
      <c r="AL1960">
        <v>83.324918018560098</v>
      </c>
      <c r="AM1960">
        <v>69.376058002737295</v>
      </c>
      <c r="AN1960">
        <v>1.0000000455353399</v>
      </c>
    </row>
    <row r="1961" spans="1:40" x14ac:dyDescent="0.25">
      <c r="A1961" t="str">
        <f>"20190303161911815"</f>
        <v>20190303161911815</v>
      </c>
      <c r="B1961" t="str">
        <f>"1551601151804910"</f>
        <v>1551601151804910</v>
      </c>
      <c r="C1961" t="s">
        <v>40</v>
      </c>
      <c r="D1961">
        <v>4.7893889999999999</v>
      </c>
      <c r="E1961">
        <v>0.57679049999999998</v>
      </c>
      <c r="F1961" t="s">
        <v>41</v>
      </c>
      <c r="G1961">
        <v>-190.03399999999999</v>
      </c>
      <c r="H1961" s="1">
        <v>-1.0641760000000001E-6</v>
      </c>
      <c r="I1961">
        <v>322.04860000000002</v>
      </c>
      <c r="J1961">
        <v>-195.15479999999999</v>
      </c>
      <c r="K1961">
        <v>1.1203270000000001</v>
      </c>
      <c r="L1961">
        <v>358.4717</v>
      </c>
      <c r="M1961">
        <v>0.64000590000000002</v>
      </c>
      <c r="N1961">
        <v>-1.3449539999999999E-2</v>
      </c>
      <c r="O1961">
        <v>-0.76825239999999995</v>
      </c>
      <c r="P1961">
        <v>0.32611689999999999</v>
      </c>
      <c r="Q1961">
        <v>0.1057319</v>
      </c>
      <c r="R1961">
        <v>-0.93939819999999996</v>
      </c>
      <c r="S1961">
        <v>0.43331910000000001</v>
      </c>
      <c r="T1961">
        <v>-9.384692E-2</v>
      </c>
      <c r="U1961">
        <v>-3.0569760000000001</v>
      </c>
      <c r="V1961">
        <v>0.3510837</v>
      </c>
      <c r="W1961">
        <v>0.1171286</v>
      </c>
      <c r="X1961">
        <v>0.92898930000000002</v>
      </c>
      <c r="Y1961">
        <v>0.52570380000000005</v>
      </c>
      <c r="Z1961">
        <v>5.043278E-3</v>
      </c>
      <c r="AA1961">
        <v>0.85065279999999999</v>
      </c>
      <c r="AB1961">
        <v>10</v>
      </c>
      <c r="AC1961">
        <v>5.1207999999999698</v>
      </c>
      <c r="AD1961">
        <v>-1.1203280641760001</v>
      </c>
      <c r="AE1961">
        <v>-36.423099999999899</v>
      </c>
      <c r="AF1961">
        <v>19.360720810383299</v>
      </c>
      <c r="AG1961">
        <v>-1.1203280641760001</v>
      </c>
      <c r="AH1961">
        <v>31.233323791880199</v>
      </c>
      <c r="AI1961">
        <v>91.746259896372294</v>
      </c>
      <c r="AJ1961">
        <v>58.206308216001702</v>
      </c>
      <c r="AK1961">
        <v>36.7642919197068</v>
      </c>
      <c r="AL1961">
        <v>83.273585257369106</v>
      </c>
      <c r="AM1961">
        <v>69.297415139313799</v>
      </c>
      <c r="AN1961">
        <v>0.99999999642907</v>
      </c>
    </row>
    <row r="1962" spans="1:40" x14ac:dyDescent="0.25">
      <c r="A1962" t="str">
        <f>"20190303161911832"</f>
        <v>20190303161911832</v>
      </c>
      <c r="B1962" t="str">
        <f>"1551601151824429"</f>
        <v>1551601151824429</v>
      </c>
      <c r="C1962" t="s">
        <v>40</v>
      </c>
      <c r="D1962">
        <v>4.7920790000000002</v>
      </c>
      <c r="E1962">
        <v>0.57638310000000004</v>
      </c>
      <c r="F1962" t="s">
        <v>41</v>
      </c>
      <c r="G1962">
        <v>-190.11</v>
      </c>
      <c r="H1962" s="1">
        <v>-8.7688640000000003E-7</v>
      </c>
      <c r="I1962">
        <v>321.56490000000002</v>
      </c>
      <c r="J1962">
        <v>-195.1138</v>
      </c>
      <c r="K1962">
        <v>1.1203399999999999</v>
      </c>
      <c r="L1962">
        <v>358.416</v>
      </c>
      <c r="M1962">
        <v>0.6373008</v>
      </c>
      <c r="N1962">
        <v>-1.3446629999999999E-2</v>
      </c>
      <c r="O1962">
        <v>-0.77049789999999996</v>
      </c>
      <c r="P1962">
        <v>0.32251970000000002</v>
      </c>
      <c r="Q1962">
        <v>0.1058592</v>
      </c>
      <c r="R1962">
        <v>-0.94062469999999998</v>
      </c>
      <c r="S1962">
        <v>0.41810609999999998</v>
      </c>
      <c r="T1962">
        <v>-9.2851879999999998E-2</v>
      </c>
      <c r="U1962">
        <v>-3.0588069999999998</v>
      </c>
      <c r="V1962">
        <v>0.35136040000000002</v>
      </c>
      <c r="W1962">
        <v>0.1172617</v>
      </c>
      <c r="X1962">
        <v>0.92886789999999997</v>
      </c>
      <c r="Y1962">
        <v>0.52693489999999998</v>
      </c>
      <c r="Z1962">
        <v>4.9078519999999999E-3</v>
      </c>
      <c r="AA1962">
        <v>0.84989139999999996</v>
      </c>
      <c r="AB1962">
        <v>9</v>
      </c>
      <c r="AC1962">
        <v>5.0037999999999796</v>
      </c>
      <c r="AD1962">
        <v>-1.1203408768863901</v>
      </c>
      <c r="AE1962">
        <v>-36.851099999999903</v>
      </c>
      <c r="AF1962">
        <v>19.613791408186199</v>
      </c>
      <c r="AG1962">
        <v>-1.1203408768863901</v>
      </c>
      <c r="AH1962">
        <v>31.5568353623026</v>
      </c>
      <c r="AI1962">
        <v>91.727100416311501</v>
      </c>
      <c r="AJ1962">
        <v>58.137453258011902</v>
      </c>
      <c r="AK1962">
        <v>37.172433807429599</v>
      </c>
      <c r="AL1962">
        <v>83.265906339332005</v>
      </c>
      <c r="AM1962">
        <v>69.280006037742794</v>
      </c>
      <c r="AN1962">
        <v>1.0000000063127299</v>
      </c>
    </row>
    <row r="1963" spans="1:40" x14ac:dyDescent="0.25">
      <c r="A1963" t="str">
        <f>"20190303161911849"</f>
        <v>20190303161911849</v>
      </c>
      <c r="B1963" t="str">
        <f>"1551601151844925"</f>
        <v>1551601151844925</v>
      </c>
      <c r="C1963" t="s">
        <v>40</v>
      </c>
      <c r="D1963">
        <v>4.7978170000000002</v>
      </c>
      <c r="E1963">
        <v>0.57601669999999905</v>
      </c>
      <c r="F1963" t="s">
        <v>41</v>
      </c>
      <c r="G1963">
        <v>-190.26990000000001</v>
      </c>
      <c r="H1963" s="1">
        <v>-1.2136600000000001E-6</v>
      </c>
      <c r="I1963">
        <v>322.25080000000003</v>
      </c>
      <c r="J1963">
        <v>-195.0693</v>
      </c>
      <c r="K1963">
        <v>1.120355</v>
      </c>
      <c r="L1963">
        <v>358.35509999999999</v>
      </c>
      <c r="M1963">
        <v>0.63434279999999998</v>
      </c>
      <c r="N1963">
        <v>-1.3443109999999999E-2</v>
      </c>
      <c r="O1963">
        <v>-0.77293500000000004</v>
      </c>
      <c r="P1963">
        <v>0.31824960000000002</v>
      </c>
      <c r="Q1963">
        <v>0.1055759</v>
      </c>
      <c r="R1963">
        <v>-0.94211009999999995</v>
      </c>
      <c r="S1963">
        <v>0.40978999999999999</v>
      </c>
      <c r="T1963">
        <v>-9.477961E-2</v>
      </c>
      <c r="U1963">
        <v>-3.0595400000000001</v>
      </c>
      <c r="V1963">
        <v>0.3520297</v>
      </c>
      <c r="W1963">
        <v>0.1169827</v>
      </c>
      <c r="X1963">
        <v>0.92864970000000002</v>
      </c>
      <c r="Y1963">
        <v>0.52597050000000001</v>
      </c>
      <c r="Z1963">
        <v>5.3774119999999998E-3</v>
      </c>
      <c r="AA1963">
        <v>0.85048579999999996</v>
      </c>
      <c r="AB1963">
        <v>9</v>
      </c>
      <c r="AC1963">
        <v>4.7993999999999897</v>
      </c>
      <c r="AD1963">
        <v>-1.12035621366</v>
      </c>
      <c r="AE1963">
        <v>-36.104299999999903</v>
      </c>
      <c r="AF1963">
        <v>19.1764678592161</v>
      </c>
      <c r="AG1963">
        <v>-1.12035621366</v>
      </c>
      <c r="AH1963">
        <v>30.9242778695439</v>
      </c>
      <c r="AI1963">
        <v>91.763557943538402</v>
      </c>
      <c r="AJ1963">
        <v>58.196516246798303</v>
      </c>
      <c r="AK1963">
        <v>36.404712323458902</v>
      </c>
      <c r="AL1963">
        <v>83.282003030677302</v>
      </c>
      <c r="AM1963">
        <v>69.239436546841802</v>
      </c>
      <c r="AN1963">
        <v>1.00000006354573</v>
      </c>
    </row>
    <row r="1964" spans="1:40" x14ac:dyDescent="0.25">
      <c r="A1964" t="str">
        <f>"20190303161911864"</f>
        <v>20190303161911864</v>
      </c>
      <c r="B1964" t="str">
        <f>"1551601151854685"</f>
        <v>1551601151854685</v>
      </c>
      <c r="C1964" t="s">
        <v>40</v>
      </c>
      <c r="D1964">
        <v>4.8120469999999997</v>
      </c>
      <c r="E1964">
        <v>0.57581660000000001</v>
      </c>
      <c r="F1964" t="s">
        <v>41</v>
      </c>
      <c r="G1964">
        <v>-190.47540000000001</v>
      </c>
      <c r="H1964" s="1">
        <v>-1.630933E-6</v>
      </c>
      <c r="I1964">
        <v>323.096</v>
      </c>
      <c r="J1964">
        <v>-195.02879999999999</v>
      </c>
      <c r="K1964">
        <v>1.120368</v>
      </c>
      <c r="L1964">
        <v>358.29939999999999</v>
      </c>
      <c r="M1964">
        <v>0.63163579999999997</v>
      </c>
      <c r="N1964">
        <v>-1.3439649999999999E-2</v>
      </c>
      <c r="O1964">
        <v>-0.77514890000000003</v>
      </c>
      <c r="P1964">
        <v>0.31489859999999997</v>
      </c>
      <c r="Q1964">
        <v>0.10577880000000001</v>
      </c>
      <c r="R1964">
        <v>-0.94321299999999997</v>
      </c>
      <c r="S1964">
        <v>0.39874270000000001</v>
      </c>
      <c r="T1964">
        <v>-9.7246650000000004E-2</v>
      </c>
      <c r="U1964">
        <v>-3.060486</v>
      </c>
      <c r="V1964">
        <v>0.35206569999999998</v>
      </c>
      <c r="W1964">
        <v>0.11719250000000001</v>
      </c>
      <c r="X1964">
        <v>0.92860949999999998</v>
      </c>
      <c r="Y1964">
        <v>0.52604430000000002</v>
      </c>
      <c r="Z1964">
        <v>5.9303309999999996E-3</v>
      </c>
      <c r="AA1964">
        <v>0.85043649999999904</v>
      </c>
      <c r="AB1964">
        <v>9</v>
      </c>
      <c r="AC1964">
        <v>4.5533999999999804</v>
      </c>
      <c r="AD1964">
        <v>-1.120369630933</v>
      </c>
      <c r="AE1964">
        <v>-35.203399999999903</v>
      </c>
      <c r="AF1964">
        <v>18.689233971010999</v>
      </c>
      <c r="AG1964">
        <v>-1.120369630933</v>
      </c>
      <c r="AH1964">
        <v>30.1366661541221</v>
      </c>
      <c r="AI1964">
        <v>91.809607835153599</v>
      </c>
      <c r="AJ1964">
        <v>58.194906421112101</v>
      </c>
      <c r="AK1964">
        <v>35.479026782285402</v>
      </c>
      <c r="AL1964">
        <v>83.269898497762298</v>
      </c>
      <c r="AM1964">
        <v>69.236672346980498</v>
      </c>
      <c r="AN1964">
        <v>0.99999997133149399</v>
      </c>
    </row>
    <row r="1965" spans="1:40" x14ac:dyDescent="0.25">
      <c r="A1965" t="str">
        <f>"20190303161911883"</f>
        <v>20190303161911883</v>
      </c>
      <c r="B1965" t="str">
        <f>"1551601151874205"</f>
        <v>1551601151874205</v>
      </c>
      <c r="C1965" t="s">
        <v>40</v>
      </c>
      <c r="D1965">
        <v>4.8578039999999998</v>
      </c>
      <c r="E1965">
        <v>0.5707738</v>
      </c>
      <c r="F1965" t="s">
        <v>41</v>
      </c>
      <c r="G1965">
        <v>-190.53739999999999</v>
      </c>
      <c r="H1965" s="1">
        <v>-1.5966739999999901E-6</v>
      </c>
      <c r="I1965">
        <v>322.97770000000003</v>
      </c>
      <c r="J1965">
        <v>-194.98259999999999</v>
      </c>
      <c r="K1965">
        <v>1.120387</v>
      </c>
      <c r="L1965">
        <v>358.23520000000002</v>
      </c>
      <c r="M1965">
        <v>0.62851950000000001</v>
      </c>
      <c r="N1965">
        <v>-1.34355E-2</v>
      </c>
      <c r="O1965">
        <v>-0.77767799999999998</v>
      </c>
      <c r="P1965">
        <v>0.3111276</v>
      </c>
      <c r="Q1965">
        <v>0.1062965</v>
      </c>
      <c r="R1965">
        <v>-0.9444053</v>
      </c>
      <c r="S1965">
        <v>0.38929750000000002</v>
      </c>
      <c r="T1965">
        <v>-9.7108479999999997E-2</v>
      </c>
      <c r="U1965">
        <v>-3.0615230000000002</v>
      </c>
      <c r="V1965">
        <v>0.35200959999999998</v>
      </c>
      <c r="W1965">
        <v>0.1177182</v>
      </c>
      <c r="X1965">
        <v>0.92856430000000001</v>
      </c>
      <c r="Y1965">
        <v>0.52524969999999904</v>
      </c>
      <c r="Z1965">
        <v>6.0083139999999998E-3</v>
      </c>
      <c r="AA1965">
        <v>0.85092690000000004</v>
      </c>
      <c r="AB1965">
        <v>9</v>
      </c>
      <c r="AC1965">
        <v>4.4451999999999998</v>
      </c>
      <c r="AD1965">
        <v>-1.1203885966739999</v>
      </c>
      <c r="AE1965">
        <v>-35.257499999999901</v>
      </c>
      <c r="AF1965">
        <v>18.686203052463298</v>
      </c>
      <c r="AG1965">
        <v>-1.1203885966739999</v>
      </c>
      <c r="AH1965">
        <v>30.1855946075109</v>
      </c>
      <c r="AI1965">
        <v>91.807601073485401</v>
      </c>
      <c r="AJ1965">
        <v>58.240681042899602</v>
      </c>
      <c r="AK1965">
        <v>35.519003039703101</v>
      </c>
      <c r="AL1965">
        <v>83.239568332341506</v>
      </c>
      <c r="AM1965">
        <v>69.2387744009405</v>
      </c>
      <c r="AN1965">
        <v>0.99999999616894497</v>
      </c>
    </row>
    <row r="1966" spans="1:40" x14ac:dyDescent="0.25">
      <c r="A1966" t="str">
        <f>"20190303161911911"</f>
        <v>20190303161911911</v>
      </c>
      <c r="B1966" t="str">
        <f>"1551601151904461"</f>
        <v>1551601151904461</v>
      </c>
      <c r="C1966" t="s">
        <v>40</v>
      </c>
      <c r="D1966">
        <v>4.8488740000000004</v>
      </c>
      <c r="E1966">
        <v>0.56991890000000001</v>
      </c>
      <c r="F1966" t="s">
        <v>41</v>
      </c>
      <c r="G1966">
        <v>-190.86940000000001</v>
      </c>
      <c r="H1966" s="1">
        <v>-3.8710440000000002E-6</v>
      </c>
      <c r="I1966">
        <v>328.07339999999999</v>
      </c>
      <c r="J1966">
        <v>-194.91589999999999</v>
      </c>
      <c r="K1966">
        <v>1.120409</v>
      </c>
      <c r="L1966">
        <v>358.1413</v>
      </c>
      <c r="M1966">
        <v>0.62397209999999903</v>
      </c>
      <c r="N1966">
        <v>-1.3429099999999999E-2</v>
      </c>
      <c r="O1966">
        <v>-0.78133140000000001</v>
      </c>
      <c r="P1966">
        <v>0.30607060000000003</v>
      </c>
      <c r="Q1966">
        <v>0.1068944</v>
      </c>
      <c r="R1966">
        <v>-0.94598890000000002</v>
      </c>
      <c r="S1966">
        <v>0.41624450000000002</v>
      </c>
      <c r="T1966">
        <v>-0.11337999999999999</v>
      </c>
      <c r="U1966">
        <v>-3.0522770000000001</v>
      </c>
      <c r="V1966">
        <v>0.35151450000000001</v>
      </c>
      <c r="W1966">
        <v>0.1183276</v>
      </c>
      <c r="X1966">
        <v>0.92867440000000001</v>
      </c>
      <c r="Y1966">
        <v>0.51250399999999996</v>
      </c>
      <c r="Z1966">
        <v>9.6137559999999993E-3</v>
      </c>
      <c r="AA1966">
        <v>0.85863099999999903</v>
      </c>
      <c r="AB1966">
        <v>9</v>
      </c>
      <c r="AC1966">
        <v>4.0464999999999796</v>
      </c>
      <c r="AD1966">
        <v>-1.120412871044</v>
      </c>
      <c r="AE1966">
        <v>-30.067900000000002</v>
      </c>
      <c r="AF1966">
        <v>15.580029616557599</v>
      </c>
      <c r="AG1966">
        <v>-1.120412871044</v>
      </c>
      <c r="AH1966">
        <v>25.984801838077299</v>
      </c>
      <c r="AI1966">
        <v>92.117844188226897</v>
      </c>
      <c r="AJ1966">
        <v>59.053840261874399</v>
      </c>
      <c r="AK1966">
        <v>30.318353755086299</v>
      </c>
      <c r="AL1966">
        <v>83.204406579460496</v>
      </c>
      <c r="AM1966">
        <v>69.267739150530403</v>
      </c>
      <c r="AN1966">
        <v>1.00000000292368</v>
      </c>
    </row>
    <row r="1967" spans="1:40" x14ac:dyDescent="0.25">
      <c r="A1967" t="str">
        <f>"20190303161911926"</f>
        <v>20190303161911926</v>
      </c>
      <c r="B1967" t="str">
        <f>"1551601151914221"</f>
        <v>1551601151914221</v>
      </c>
      <c r="C1967" t="s">
        <v>40</v>
      </c>
      <c r="D1967">
        <v>4.8659039999999996</v>
      </c>
      <c r="E1967">
        <v>0.569571099999999</v>
      </c>
      <c r="F1967" t="s">
        <v>41</v>
      </c>
      <c r="G1967">
        <v>-190.9254</v>
      </c>
      <c r="H1967" s="1">
        <v>-3.9431429999999997E-6</v>
      </c>
      <c r="I1967">
        <v>328.20679999999999</v>
      </c>
      <c r="J1967">
        <v>-194.87469999999999</v>
      </c>
      <c r="K1967">
        <v>1.120414</v>
      </c>
      <c r="L1967">
        <v>358.0831</v>
      </c>
      <c r="M1967">
        <v>0.62114650000000005</v>
      </c>
      <c r="N1967">
        <v>-1.342526E-2</v>
      </c>
      <c r="O1967">
        <v>-0.78357940000000004</v>
      </c>
      <c r="P1967">
        <v>0.30308059999999998</v>
      </c>
      <c r="Q1967">
        <v>0.1070567</v>
      </c>
      <c r="R1967">
        <v>-0.94693229999999995</v>
      </c>
      <c r="S1967">
        <v>0.40692139999999999</v>
      </c>
      <c r="T1967">
        <v>-0.1142519</v>
      </c>
      <c r="U1967">
        <v>-3.052521</v>
      </c>
      <c r="V1967">
        <v>0.35108040000000001</v>
      </c>
      <c r="W1967">
        <v>0.11849709999999999</v>
      </c>
      <c r="X1967">
        <v>0.928817</v>
      </c>
      <c r="Y1967">
        <v>0.51198739999999998</v>
      </c>
      <c r="Z1967">
        <v>9.8997129999999992E-3</v>
      </c>
      <c r="AA1967">
        <v>0.85893580000000003</v>
      </c>
      <c r="AB1967">
        <v>9</v>
      </c>
      <c r="AC1967">
        <v>3.9492999999999898</v>
      </c>
      <c r="AD1967">
        <v>-1.1204179431429999</v>
      </c>
      <c r="AE1967">
        <v>-29.876300000000001</v>
      </c>
      <c r="AF1967">
        <v>15.443017663710499</v>
      </c>
      <c r="AG1967">
        <v>-1.1204179431429999</v>
      </c>
      <c r="AH1967">
        <v>25.830176167278601</v>
      </c>
      <c r="AI1967">
        <v>92.132129683650803</v>
      </c>
      <c r="AJ1967">
        <v>59.126177095695297</v>
      </c>
      <c r="AK1967">
        <v>30.115446730235298</v>
      </c>
      <c r="AL1967">
        <v>83.194626215345806</v>
      </c>
      <c r="AM1967">
        <v>69.294078555714506</v>
      </c>
      <c r="AN1967">
        <v>1.0000000147307799</v>
      </c>
    </row>
    <row r="1968" spans="1:40" x14ac:dyDescent="0.25">
      <c r="A1968" t="str">
        <f>"20190303161911950"</f>
        <v>20190303161911950</v>
      </c>
      <c r="B1968" t="str">
        <f>"1551601151944477"</f>
        <v>1551601151944477</v>
      </c>
      <c r="C1968" t="s">
        <v>40</v>
      </c>
      <c r="D1968">
        <v>4.8676750000000002</v>
      </c>
      <c r="E1968">
        <v>0.56911389999999995</v>
      </c>
      <c r="F1968" t="s">
        <v>41</v>
      </c>
      <c r="G1968">
        <v>-191.02500000000001</v>
      </c>
      <c r="H1968" s="1">
        <v>-4.1772649999999999E-6</v>
      </c>
      <c r="I1968">
        <v>328.7276</v>
      </c>
      <c r="J1968">
        <v>-194.81819999999999</v>
      </c>
      <c r="K1968">
        <v>1.120417</v>
      </c>
      <c r="L1968">
        <v>358.00209999999998</v>
      </c>
      <c r="M1968">
        <v>0.61722679999999996</v>
      </c>
      <c r="N1968">
        <v>-1.342024E-2</v>
      </c>
      <c r="O1968">
        <v>-0.78667089999999995</v>
      </c>
      <c r="P1968">
        <v>0.29878569999999999</v>
      </c>
      <c r="Q1968">
        <v>0.1060093</v>
      </c>
      <c r="R1968">
        <v>-0.94841410000000004</v>
      </c>
      <c r="S1968">
        <v>0.40039059999999999</v>
      </c>
      <c r="T1968">
        <v>-0.1165297</v>
      </c>
      <c r="U1968">
        <v>-3.053131</v>
      </c>
      <c r="V1968">
        <v>0.3507189</v>
      </c>
      <c r="W1968">
        <v>0.117458199999999</v>
      </c>
      <c r="X1968">
        <v>0.92908550000000001</v>
      </c>
      <c r="Y1968">
        <v>0.50952429999999904</v>
      </c>
      <c r="Z1968">
        <v>1.053842E-2</v>
      </c>
      <c r="AA1968">
        <v>0.86039169999999998</v>
      </c>
      <c r="AB1968">
        <v>9</v>
      </c>
      <c r="AC1968">
        <v>3.7931999999999801</v>
      </c>
      <c r="AD1968">
        <v>-1.1204211772649999</v>
      </c>
      <c r="AE1968">
        <v>-29.2744999999999</v>
      </c>
      <c r="AF1968">
        <v>15.0646609110548</v>
      </c>
      <c r="AG1968">
        <v>-1.1204211772649999</v>
      </c>
      <c r="AH1968">
        <v>25.336444816767798</v>
      </c>
      <c r="AI1968">
        <v>92.176783098246105</v>
      </c>
      <c r="AJ1968">
        <v>59.264933695608903</v>
      </c>
      <c r="AK1968">
        <v>29.4980471884606</v>
      </c>
      <c r="AL1968">
        <v>83.254569473074895</v>
      </c>
      <c r="AM1968">
        <v>69.319065390905806</v>
      </c>
      <c r="AN1968">
        <v>1.0000000209373401</v>
      </c>
    </row>
    <row r="1969" spans="1:40" x14ac:dyDescent="0.25">
      <c r="A1969" t="str">
        <f>"20190303161911973"</f>
        <v>20190303161911973</v>
      </c>
      <c r="B1969" t="str">
        <f>"1551601151964973"</f>
        <v>1551601151964973</v>
      </c>
      <c r="C1969" t="s">
        <v>40</v>
      </c>
      <c r="D1969">
        <v>4.8666739999999997</v>
      </c>
      <c r="E1969">
        <v>0.56876859999999996</v>
      </c>
      <c r="F1969" t="s">
        <v>41</v>
      </c>
      <c r="G1969">
        <v>-191.2448</v>
      </c>
      <c r="H1969" s="1">
        <v>-5.2905090000000002E-7</v>
      </c>
      <c r="I1969">
        <v>330.05029999999999</v>
      </c>
      <c r="J1969">
        <v>-194.7627</v>
      </c>
      <c r="K1969">
        <v>1.1204209999999999</v>
      </c>
      <c r="L1969">
        <v>357.92180000000002</v>
      </c>
      <c r="M1969">
        <v>0.61333539999999998</v>
      </c>
      <c r="N1969">
        <v>-1.341527E-2</v>
      </c>
      <c r="O1969">
        <v>-0.78970869999999904</v>
      </c>
      <c r="P1969">
        <v>0.29415960000000002</v>
      </c>
      <c r="Q1969">
        <v>0.1049833</v>
      </c>
      <c r="R1969">
        <v>-0.94997310000000001</v>
      </c>
      <c r="S1969">
        <v>0.39041140000000002</v>
      </c>
      <c r="T1969">
        <v>-0.12241050000000001</v>
      </c>
      <c r="U1969">
        <v>-3.0538639999999999</v>
      </c>
      <c r="V1969">
        <v>0.350724599999999</v>
      </c>
      <c r="W1969">
        <v>0.1164362</v>
      </c>
      <c r="X1969">
        <v>0.92921200000000004</v>
      </c>
      <c r="Y1969">
        <v>0.50806019999999996</v>
      </c>
      <c r="Z1969">
        <v>1.1892059999999999E-2</v>
      </c>
      <c r="AA1969">
        <v>0.86123950000000005</v>
      </c>
      <c r="AB1969">
        <v>9</v>
      </c>
      <c r="AC1969">
        <v>3.5178999999999898</v>
      </c>
      <c r="AD1969">
        <v>-1.1204215290509001</v>
      </c>
      <c r="AE1969">
        <v>-27.871500000000001</v>
      </c>
      <c r="AF1969">
        <v>14.2950104597871</v>
      </c>
      <c r="AG1969">
        <v>-1.1204215290509001</v>
      </c>
      <c r="AH1969">
        <v>24.1318067623533</v>
      </c>
      <c r="AI1969">
        <v>92.287552262312303</v>
      </c>
      <c r="AJ1969">
        <v>59.358680387748002</v>
      </c>
      <c r="AK1969">
        <v>28.0703894889925</v>
      </c>
      <c r="AL1969">
        <v>83.313530452904203</v>
      </c>
      <c r="AM1969">
        <v>69.321334986746194</v>
      </c>
      <c r="AN1969">
        <v>1.0000000373297899</v>
      </c>
    </row>
    <row r="1970" spans="1:40" x14ac:dyDescent="0.25">
      <c r="A1970" t="str">
        <f>"20190303161911994"</f>
        <v>20190303161911994</v>
      </c>
      <c r="B1970" t="str">
        <f>"1551601151984493"</f>
        <v>1551601151984493</v>
      </c>
      <c r="C1970" t="s">
        <v>40</v>
      </c>
      <c r="D1970">
        <v>4.8638009999999996</v>
      </c>
      <c r="E1970">
        <v>0.56841299999999995</v>
      </c>
      <c r="F1970" t="s">
        <v>41</v>
      </c>
      <c r="G1970">
        <v>-191.4468</v>
      </c>
      <c r="H1970" s="1">
        <v>-1.040415E-6</v>
      </c>
      <c r="I1970">
        <v>331.11700000000002</v>
      </c>
      <c r="J1970">
        <v>-194.71170000000001</v>
      </c>
      <c r="K1970">
        <v>1.1204270000000001</v>
      </c>
      <c r="L1970">
        <v>357.84730000000002</v>
      </c>
      <c r="M1970">
        <v>0.60972389999999999</v>
      </c>
      <c r="N1970">
        <v>-1.3410760000000001E-2</v>
      </c>
      <c r="O1970">
        <v>-0.792500599999999</v>
      </c>
      <c r="P1970">
        <v>0.28991109999999998</v>
      </c>
      <c r="Q1970">
        <v>0.10453220000000001</v>
      </c>
      <c r="R1970">
        <v>-0.95132799999999995</v>
      </c>
      <c r="S1970">
        <v>0.37792969999999998</v>
      </c>
      <c r="T1970">
        <v>-0.12769900000000001</v>
      </c>
      <c r="U1970">
        <v>-3.0550540000000002</v>
      </c>
      <c r="V1970">
        <v>0.35066239999999999</v>
      </c>
      <c r="W1970">
        <v>0.1159877</v>
      </c>
      <c r="X1970">
        <v>0.92929150000000005</v>
      </c>
      <c r="Y1970">
        <v>0.50762750000000001</v>
      </c>
      <c r="Z1970">
        <v>1.3108379999999999E-2</v>
      </c>
      <c r="AA1970">
        <v>0.86147689999999999</v>
      </c>
      <c r="AB1970">
        <v>9</v>
      </c>
      <c r="AC1970">
        <v>3.2649000000000101</v>
      </c>
      <c r="AD1970">
        <v>-1.120428040415</v>
      </c>
      <c r="AE1970">
        <v>-26.7303</v>
      </c>
      <c r="AF1970">
        <v>13.6882026763273</v>
      </c>
      <c r="AG1970">
        <v>-1.120428040415</v>
      </c>
      <c r="AH1970">
        <v>23.136495070497499</v>
      </c>
      <c r="AI1970">
        <v>92.3866405571207</v>
      </c>
      <c r="AJ1970">
        <v>59.390244583301097</v>
      </c>
      <c r="AK1970">
        <v>26.9057550655825</v>
      </c>
      <c r="AL1970">
        <v>83.339402517104602</v>
      </c>
      <c r="AM1970">
        <v>69.3263112717582</v>
      </c>
      <c r="AN1970">
        <v>0.99999997864864898</v>
      </c>
    </row>
    <row r="1971" spans="1:40" x14ac:dyDescent="0.25">
      <c r="A1971" t="str">
        <f>"20190303161912015"</f>
        <v>20190303161912015</v>
      </c>
      <c r="B1971" t="str">
        <f>"1551601152004989"</f>
        <v>1551601152004989</v>
      </c>
      <c r="C1971" t="s">
        <v>40</v>
      </c>
      <c r="D1971">
        <v>4.9021150000000002</v>
      </c>
      <c r="E1971">
        <v>0.56799460000000002</v>
      </c>
      <c r="F1971" t="s">
        <v>41</v>
      </c>
      <c r="G1971">
        <v>-191.5566</v>
      </c>
      <c r="H1971" s="1">
        <v>-1.261566E-6</v>
      </c>
      <c r="I1971">
        <v>331.56439999999998</v>
      </c>
      <c r="J1971">
        <v>-194.66200000000001</v>
      </c>
      <c r="K1971">
        <v>1.120428</v>
      </c>
      <c r="L1971">
        <v>357.774</v>
      </c>
      <c r="M1971">
        <v>0.60616559999999997</v>
      </c>
      <c r="N1971">
        <v>-1.3406650000000001E-2</v>
      </c>
      <c r="O1971">
        <v>-0.79522539999999997</v>
      </c>
      <c r="P1971">
        <v>0.28567930000000002</v>
      </c>
      <c r="Q1971">
        <v>0.1043207</v>
      </c>
      <c r="R1971">
        <v>-0.95263050000000005</v>
      </c>
      <c r="S1971">
        <v>0.36685180000000001</v>
      </c>
      <c r="T1971">
        <v>-0.1302758</v>
      </c>
      <c r="U1971">
        <v>-3.056</v>
      </c>
      <c r="V1971">
        <v>0.3506397</v>
      </c>
      <c r="W1971">
        <v>0.1157779</v>
      </c>
      <c r="X1971">
        <v>0.92932619999999999</v>
      </c>
      <c r="Y1971">
        <v>0.50687289999999996</v>
      </c>
      <c r="Z1971">
        <v>1.3787809999999999E-2</v>
      </c>
      <c r="AA1971">
        <v>0.86191059999999997</v>
      </c>
      <c r="AB1971">
        <v>9</v>
      </c>
      <c r="AC1971">
        <v>3.1053999999999999</v>
      </c>
      <c r="AD1971">
        <v>-1.1204292615660001</v>
      </c>
      <c r="AE1971">
        <v>-26.209599999999998</v>
      </c>
      <c r="AF1971">
        <v>13.394931740810501</v>
      </c>
      <c r="AG1971">
        <v>-1.1204292615660001</v>
      </c>
      <c r="AH1971">
        <v>22.686085875290299</v>
      </c>
      <c r="AI1971">
        <v>92.435229200918201</v>
      </c>
      <c r="AJ1971">
        <v>59.440400121877701</v>
      </c>
      <c r="AK1971">
        <v>26.369263364989799</v>
      </c>
      <c r="AL1971">
        <v>83.3515045388733</v>
      </c>
      <c r="AM1971">
        <v>69.328243037165393</v>
      </c>
      <c r="AN1971">
        <v>0.99999995367546801</v>
      </c>
    </row>
    <row r="1972" spans="1:40" x14ac:dyDescent="0.25">
      <c r="A1972" t="str">
        <f>"20190303161912028"</f>
        <v>20190303161912028</v>
      </c>
      <c r="B1972" t="str">
        <f>"1551601152024509"</f>
        <v>1551601152024509</v>
      </c>
      <c r="C1972" t="s">
        <v>40</v>
      </c>
      <c r="D1972">
        <v>4.9231629999999997</v>
      </c>
      <c r="E1972">
        <v>0.56751759999999996</v>
      </c>
      <c r="F1972" t="s">
        <v>41</v>
      </c>
      <c r="G1972">
        <v>-191.60669999999999</v>
      </c>
      <c r="H1972" s="1">
        <v>-1.2936519999999999E-6</v>
      </c>
      <c r="I1972">
        <v>331.60809999999998</v>
      </c>
      <c r="J1972">
        <v>-194.63120000000001</v>
      </c>
      <c r="K1972">
        <v>1.1204289999999999</v>
      </c>
      <c r="L1972">
        <v>357.72820000000002</v>
      </c>
      <c r="M1972">
        <v>0.60394419999999904</v>
      </c>
      <c r="N1972">
        <v>-1.34042E-2</v>
      </c>
      <c r="O1972">
        <v>-0.79691389999999995</v>
      </c>
      <c r="P1972">
        <v>0.28319949999999999</v>
      </c>
      <c r="Q1972">
        <v>0.1040201</v>
      </c>
      <c r="R1972">
        <v>-0.95340340000000001</v>
      </c>
      <c r="S1972">
        <v>0.35688779999999998</v>
      </c>
      <c r="T1972">
        <v>-0.1308783</v>
      </c>
      <c r="U1972">
        <v>-3.0564580000000001</v>
      </c>
      <c r="V1972">
        <v>0.35048230000000002</v>
      </c>
      <c r="W1972">
        <v>0.11548</v>
      </c>
      <c r="X1972">
        <v>0.92942270000000005</v>
      </c>
      <c r="Y1972">
        <v>0.50725279999999995</v>
      </c>
      <c r="Z1972">
        <v>1.399451E-2</v>
      </c>
      <c r="AA1972">
        <v>0.86168369999999905</v>
      </c>
      <c r="AB1972">
        <v>9</v>
      </c>
      <c r="AC1972">
        <v>3.02450000000001</v>
      </c>
      <c r="AD1972">
        <v>-1.1204302936520001</v>
      </c>
      <c r="AE1972">
        <v>-26.120100000000001</v>
      </c>
      <c r="AF1972">
        <v>13.341793162931999</v>
      </c>
      <c r="AG1972">
        <v>-1.1204302936520001</v>
      </c>
      <c r="AH1972">
        <v>22.603094319532499</v>
      </c>
      <c r="AI1972">
        <v>92.444357618638193</v>
      </c>
      <c r="AJ1972">
        <v>59.448175587902398</v>
      </c>
      <c r="AK1972">
        <v>26.270871353327401</v>
      </c>
      <c r="AL1972">
        <v>83.368688615121698</v>
      </c>
      <c r="AM1972">
        <v>69.338702578541799</v>
      </c>
      <c r="AN1972">
        <v>1.00000001414429</v>
      </c>
    </row>
    <row r="1973" spans="1:40" x14ac:dyDescent="0.25">
      <c r="A1973" t="str">
        <f>"20190303161912041"</f>
        <v>20190303161912041</v>
      </c>
      <c r="B1973" t="str">
        <f>"1551601152034269"</f>
        <v>1551601152034269</v>
      </c>
      <c r="C1973" t="s">
        <v>40</v>
      </c>
      <c r="D1973">
        <v>4.8972020000000001</v>
      </c>
      <c r="E1973">
        <v>0.56732590000000005</v>
      </c>
      <c r="F1973" t="s">
        <v>41</v>
      </c>
      <c r="G1973">
        <v>-191.65860000000001</v>
      </c>
      <c r="H1973" s="1">
        <v>-1.465438E-6</v>
      </c>
      <c r="I1973">
        <v>331.97640000000001</v>
      </c>
      <c r="J1973">
        <v>-194.60040000000001</v>
      </c>
      <c r="K1973">
        <v>1.120433</v>
      </c>
      <c r="L1973">
        <v>357.68209999999999</v>
      </c>
      <c r="M1973">
        <v>0.60170690000000004</v>
      </c>
      <c r="N1973">
        <v>-1.340176E-2</v>
      </c>
      <c r="O1973">
        <v>-0.79860469999999995</v>
      </c>
      <c r="P1973">
        <v>0.28074009999999999</v>
      </c>
      <c r="Q1973">
        <v>0.10315489999999999</v>
      </c>
      <c r="R1973">
        <v>-0.95422450000000003</v>
      </c>
      <c r="S1973">
        <v>0.35279850000000001</v>
      </c>
      <c r="T1973">
        <v>-0.1329774</v>
      </c>
      <c r="U1973">
        <v>-3.0563349999999998</v>
      </c>
      <c r="V1973">
        <v>0.350325</v>
      </c>
      <c r="W1973">
        <v>0.1146184</v>
      </c>
      <c r="X1973">
        <v>0.92958859999999999</v>
      </c>
      <c r="Y1973">
        <v>0.50596739999999996</v>
      </c>
      <c r="Z1973">
        <v>1.454487E-2</v>
      </c>
      <c r="AA1973">
        <v>0.86242989999999997</v>
      </c>
      <c r="AB1973">
        <v>9</v>
      </c>
      <c r="AC1973">
        <v>2.9418000000000002</v>
      </c>
      <c r="AD1973">
        <v>-1.1204344654380001</v>
      </c>
      <c r="AE1973">
        <v>-25.705699999999901</v>
      </c>
      <c r="AF1973">
        <v>13.094582360051101</v>
      </c>
      <c r="AG1973">
        <v>-1.1204344654380001</v>
      </c>
      <c r="AH1973">
        <v>22.259052329918902</v>
      </c>
      <c r="AI1973">
        <v>92.484251476723102</v>
      </c>
      <c r="AJ1973">
        <v>59.532500394952898</v>
      </c>
      <c r="AK1973">
        <v>25.849349531498302</v>
      </c>
      <c r="AL1973">
        <v>83.418384387789004</v>
      </c>
      <c r="AM1973">
        <v>69.350567633851895</v>
      </c>
      <c r="AN1973">
        <v>0.99999997424675902</v>
      </c>
    </row>
    <row r="1974" spans="1:40" x14ac:dyDescent="0.25">
      <c r="A1974" t="str">
        <f>"20190303161912060"</f>
        <v>20190303161912060</v>
      </c>
      <c r="B1974" t="str">
        <f>"1551601152054766"</f>
        <v>1551601152054766</v>
      </c>
      <c r="C1974" t="s">
        <v>40</v>
      </c>
      <c r="D1974">
        <v>4.9091199999999997</v>
      </c>
      <c r="E1974">
        <v>0.56705930000000004</v>
      </c>
      <c r="F1974" t="s">
        <v>41</v>
      </c>
      <c r="G1974">
        <v>-191.7561</v>
      </c>
      <c r="H1974" s="1">
        <v>-1.747678E-6</v>
      </c>
      <c r="I1974">
        <v>332.57380000000001</v>
      </c>
      <c r="J1974">
        <v>-194.55709999999999</v>
      </c>
      <c r="K1974">
        <v>1.1204339999999999</v>
      </c>
      <c r="L1974">
        <v>357.61689999999999</v>
      </c>
      <c r="M1974">
        <v>0.59853859999999903</v>
      </c>
      <c r="N1974">
        <v>-1.3398530000000001E-2</v>
      </c>
      <c r="O1974">
        <v>-0.80098219999999898</v>
      </c>
      <c r="P1974">
        <v>0.27793649999999998</v>
      </c>
      <c r="Q1974">
        <v>0.1017328</v>
      </c>
      <c r="R1974">
        <v>-0.95519759999999998</v>
      </c>
      <c r="S1974">
        <v>0.34626770000000001</v>
      </c>
      <c r="T1974">
        <v>-0.1364051</v>
      </c>
      <c r="U1974">
        <v>-3.0567630000000001</v>
      </c>
      <c r="V1974">
        <v>0.3494564</v>
      </c>
      <c r="W1974">
        <v>0.11320719999999999</v>
      </c>
      <c r="X1974">
        <v>0.93008829999999998</v>
      </c>
      <c r="Y1974">
        <v>0.50437920000000003</v>
      </c>
      <c r="Z1974">
        <v>1.5414560000000001E-2</v>
      </c>
      <c r="AA1974">
        <v>0.86334469999999996</v>
      </c>
      <c r="AB1974">
        <v>9</v>
      </c>
      <c r="AC1974">
        <v>2.8009999999999802</v>
      </c>
      <c r="AD1974">
        <v>-1.120435747678</v>
      </c>
      <c r="AE1974">
        <v>-25.0430999999999</v>
      </c>
      <c r="AF1974">
        <v>12.7217018138697</v>
      </c>
      <c r="AG1974">
        <v>-1.120435747678</v>
      </c>
      <c r="AH1974">
        <v>21.694640696695998</v>
      </c>
      <c r="AI1974">
        <v>92.5508947590573</v>
      </c>
      <c r="AJ1974">
        <v>59.612710063030903</v>
      </c>
      <c r="AK1974">
        <v>25.174481290871299</v>
      </c>
      <c r="AL1974">
        <v>83.499769773634597</v>
      </c>
      <c r="AM1974">
        <v>69.407600737842401</v>
      </c>
      <c r="AN1974">
        <v>0.99999994571484296</v>
      </c>
    </row>
    <row r="1975" spans="1:40" x14ac:dyDescent="0.25">
      <c r="A1975" t="str">
        <f>"20190303161912076"</f>
        <v>20190303161912076</v>
      </c>
      <c r="B1975" t="str">
        <f>"1551601152064525"</f>
        <v>1551601152064525</v>
      </c>
      <c r="C1975" t="s">
        <v>40</v>
      </c>
      <c r="D1975">
        <v>4.9236950000000004</v>
      </c>
      <c r="E1975">
        <v>0.56705930000000004</v>
      </c>
      <c r="F1975" t="s">
        <v>41</v>
      </c>
      <c r="G1975">
        <v>-191.84469999999999</v>
      </c>
      <c r="H1975" s="1">
        <v>-2.008173E-6</v>
      </c>
      <c r="I1975">
        <v>333.12610000000001</v>
      </c>
      <c r="J1975">
        <v>-194.52029999999999</v>
      </c>
      <c r="K1975">
        <v>1.1204379999999901</v>
      </c>
      <c r="L1975">
        <v>357.56099999999998</v>
      </c>
      <c r="M1975">
        <v>0.59581980000000001</v>
      </c>
      <c r="N1975">
        <v>-1.339573E-2</v>
      </c>
      <c r="O1975">
        <v>-0.80300680000000002</v>
      </c>
      <c r="P1975">
        <v>0.27539400000000003</v>
      </c>
      <c r="Q1975">
        <v>0.10131800000000001</v>
      </c>
      <c r="R1975">
        <v>-0.95597790000000005</v>
      </c>
      <c r="S1975">
        <v>0.33857730000000003</v>
      </c>
      <c r="T1975">
        <v>-0.13985989999999901</v>
      </c>
      <c r="U1975">
        <v>-3.0570979999999999</v>
      </c>
      <c r="V1975">
        <v>0.34880070000000002</v>
      </c>
      <c r="W1975">
        <v>0.1127987</v>
      </c>
      <c r="X1975">
        <v>0.93038399999999999</v>
      </c>
      <c r="Y1975">
        <v>0.50360360000000004</v>
      </c>
      <c r="Z1975">
        <v>1.62635E-2</v>
      </c>
      <c r="AA1975">
        <v>0.86378180000000004</v>
      </c>
      <c r="AB1975">
        <v>9</v>
      </c>
      <c r="AC1975">
        <v>2.6756000000000002</v>
      </c>
      <c r="AD1975">
        <v>-1.1204400081729899</v>
      </c>
      <c r="AE1975">
        <v>-24.434899999999899</v>
      </c>
      <c r="AF1975">
        <v>12.3856486595069</v>
      </c>
      <c r="AG1975">
        <v>-1.1204400081729899</v>
      </c>
      <c r="AH1975">
        <v>21.173471899996098</v>
      </c>
      <c r="AI1975">
        <v>92.615243845877799</v>
      </c>
      <c r="AJ1975">
        <v>59.674044088852398</v>
      </c>
      <c r="AK1975">
        <v>24.555561301436001</v>
      </c>
      <c r="AL1975">
        <v>83.523325892665895</v>
      </c>
      <c r="AM1975">
        <v>69.448992262033698</v>
      </c>
      <c r="AN1975">
        <v>0.99999993124908704</v>
      </c>
    </row>
    <row r="1976" spans="1:40" x14ac:dyDescent="0.25">
      <c r="A1976" t="str">
        <f>"20190303161912097"</f>
        <v>20190303161912097</v>
      </c>
      <c r="B1976" t="str">
        <f>"1551601152084045"</f>
        <v>1551601152084045</v>
      </c>
      <c r="C1976" t="s">
        <v>40</v>
      </c>
      <c r="D1976">
        <v>4.9482400000000002</v>
      </c>
      <c r="E1976">
        <v>0.56651249999999997</v>
      </c>
      <c r="F1976" t="s">
        <v>41</v>
      </c>
      <c r="G1976">
        <v>-191.89510000000001</v>
      </c>
      <c r="H1976" s="1">
        <v>-2.0860839999999998E-6</v>
      </c>
      <c r="I1976">
        <v>333.2765</v>
      </c>
      <c r="J1976">
        <v>-194.47329999999999</v>
      </c>
      <c r="K1976">
        <v>1.1204449999999999</v>
      </c>
      <c r="L1976">
        <v>357.48899999999998</v>
      </c>
      <c r="M1976">
        <v>0.59231719999999999</v>
      </c>
      <c r="N1976">
        <v>-1.339214E-2</v>
      </c>
      <c r="O1976">
        <v>-0.80559369999999997</v>
      </c>
      <c r="P1976">
        <v>0.27277210000000002</v>
      </c>
      <c r="Q1976">
        <v>0.101577</v>
      </c>
      <c r="R1976">
        <v>-0.95670169999999999</v>
      </c>
      <c r="S1976">
        <v>0.33056639999999998</v>
      </c>
      <c r="T1976">
        <v>-0.14108499999999999</v>
      </c>
      <c r="U1976">
        <v>-3.0578919999999998</v>
      </c>
      <c r="V1976">
        <v>0.34727980000000003</v>
      </c>
      <c r="W1976">
        <v>0.11307159999999999</v>
      </c>
      <c r="X1976">
        <v>0.93091970000000002</v>
      </c>
      <c r="Y1976">
        <v>0.50210180000000004</v>
      </c>
      <c r="Z1976">
        <v>1.6695629999999999E-2</v>
      </c>
      <c r="AA1976">
        <v>0.86464730000000001</v>
      </c>
      <c r="AB1976">
        <v>9</v>
      </c>
      <c r="AC1976">
        <v>2.5781999999999798</v>
      </c>
      <c r="AD1976">
        <v>-1.1204470860839999</v>
      </c>
      <c r="AE1976">
        <v>-24.212499999999999</v>
      </c>
      <c r="AF1976">
        <v>12.2396805763911</v>
      </c>
      <c r="AG1976">
        <v>-1.1204470860839999</v>
      </c>
      <c r="AH1976">
        <v>20.989989035579999</v>
      </c>
      <c r="AI1976">
        <v>92.640202005592698</v>
      </c>
      <c r="AJ1976">
        <v>59.752687236704901</v>
      </c>
      <c r="AK1976">
        <v>24.3237501631342</v>
      </c>
      <c r="AL1976">
        <v>83.507589428903302</v>
      </c>
      <c r="AM1976">
        <v>69.541958633335099</v>
      </c>
      <c r="AN1976">
        <v>0.99999996703134397</v>
      </c>
    </row>
    <row r="1977" spans="1:40" x14ac:dyDescent="0.25">
      <c r="A1977" t="str">
        <f>"20190303161912117"</f>
        <v>20190303161912117</v>
      </c>
      <c r="B1977" t="str">
        <f>"1551601152104541"</f>
        <v>1551601152104541</v>
      </c>
      <c r="C1977" t="s">
        <v>40</v>
      </c>
      <c r="D1977">
        <v>4.9493470000000004</v>
      </c>
      <c r="E1977">
        <v>0.56631140000000002</v>
      </c>
      <c r="F1977" t="s">
        <v>41</v>
      </c>
      <c r="G1977">
        <v>-191.846</v>
      </c>
      <c r="H1977" s="1">
        <v>-1.9020360000000001E-6</v>
      </c>
      <c r="I1977">
        <v>332.87790000000001</v>
      </c>
      <c r="J1977">
        <v>-194.42660000000001</v>
      </c>
      <c r="K1977">
        <v>1.1204540000000001</v>
      </c>
      <c r="L1977">
        <v>357.41680000000002</v>
      </c>
      <c r="M1977">
        <v>0.58880659999999996</v>
      </c>
      <c r="N1977">
        <v>-1.338846E-2</v>
      </c>
      <c r="O1977">
        <v>-0.80816319999999997</v>
      </c>
      <c r="P1977">
        <v>0.27017570000000002</v>
      </c>
      <c r="Q1977">
        <v>0.1014916</v>
      </c>
      <c r="R1977">
        <v>-0.95744700000000005</v>
      </c>
      <c r="S1977">
        <v>0.3263855</v>
      </c>
      <c r="T1977">
        <v>-0.13919429999999999</v>
      </c>
      <c r="U1977">
        <v>-3.0574650000000001</v>
      </c>
      <c r="V1977">
        <v>0.345755599999999</v>
      </c>
      <c r="W1977">
        <v>0.11300010000000001</v>
      </c>
      <c r="X1977">
        <v>0.93149559999999998</v>
      </c>
      <c r="Y1977">
        <v>0.49949850000000001</v>
      </c>
      <c r="Z1977">
        <v>1.6503879999999999E-2</v>
      </c>
      <c r="AA1977">
        <v>0.86615750000000002</v>
      </c>
      <c r="AB1977">
        <v>9</v>
      </c>
      <c r="AC1977">
        <v>2.5806000000000302</v>
      </c>
      <c r="AD1977">
        <v>-1.1204559020360001</v>
      </c>
      <c r="AE1977">
        <v>-24.538900000000002</v>
      </c>
      <c r="AF1977">
        <v>12.3387837620157</v>
      </c>
      <c r="AG1977">
        <v>-1.1204559020360001</v>
      </c>
      <c r="AH1977">
        <v>21.3088814107474</v>
      </c>
      <c r="AI1977">
        <v>92.605368272737707</v>
      </c>
      <c r="AJ1977">
        <v>59.927262937804301</v>
      </c>
      <c r="AK1977">
        <v>24.648923569427701</v>
      </c>
      <c r="AL1977">
        <v>83.511712750977907</v>
      </c>
      <c r="AM1977">
        <v>69.635915671617497</v>
      </c>
      <c r="AN1977">
        <v>1.0000000051753599</v>
      </c>
    </row>
    <row r="1978" spans="1:40" x14ac:dyDescent="0.25">
      <c r="A1978" t="str">
        <f>"20190303161912131"</f>
        <v>20190303161912131</v>
      </c>
      <c r="B1978" t="str">
        <f>"1551601152124061"</f>
        <v>1551601152124061</v>
      </c>
      <c r="C1978" t="s">
        <v>40</v>
      </c>
      <c r="D1978">
        <v>4.9796519999999997</v>
      </c>
      <c r="E1978">
        <v>0.56130029999999997</v>
      </c>
      <c r="F1978" t="s">
        <v>41</v>
      </c>
      <c r="G1978">
        <v>-191.8614</v>
      </c>
      <c r="H1978" s="1">
        <v>-1.9017290000000001E-6</v>
      </c>
      <c r="I1978">
        <v>332.86759999999998</v>
      </c>
      <c r="J1978">
        <v>-194.3948</v>
      </c>
      <c r="K1978">
        <v>1.120458</v>
      </c>
      <c r="L1978">
        <v>357.36720000000003</v>
      </c>
      <c r="M1978">
        <v>0.58639339999999995</v>
      </c>
      <c r="N1978">
        <v>-1.3385970000000001E-2</v>
      </c>
      <c r="O1978">
        <v>-0.80991599999999997</v>
      </c>
      <c r="P1978">
        <v>0.26829360000000002</v>
      </c>
      <c r="Q1978">
        <v>0.1016112</v>
      </c>
      <c r="R1978">
        <v>-0.95796369999999997</v>
      </c>
      <c r="S1978">
        <v>0.31953429999999999</v>
      </c>
      <c r="T1978">
        <v>-0.13956859999999999</v>
      </c>
      <c r="U1978">
        <v>-3.0579529999999999</v>
      </c>
      <c r="V1978">
        <v>0.34479779999999999</v>
      </c>
      <c r="W1978">
        <v>0.11312800000000001</v>
      </c>
      <c r="X1978">
        <v>0.93183499999999997</v>
      </c>
      <c r="Y1978">
        <v>0.49884889999999998</v>
      </c>
      <c r="Z1978">
        <v>1.6695379999999999E-2</v>
      </c>
      <c r="AA1978">
        <v>0.86652819999999997</v>
      </c>
      <c r="AB1978">
        <v>9</v>
      </c>
      <c r="AC1978">
        <v>2.5333999999999999</v>
      </c>
      <c r="AD1978">
        <v>-1.120459901729</v>
      </c>
      <c r="AE1978">
        <v>-24.499600000000001</v>
      </c>
      <c r="AF1978">
        <v>12.290229897462099</v>
      </c>
      <c r="AG1978">
        <v>-1.120459901729</v>
      </c>
      <c r="AH1978">
        <v>21.2860441772395</v>
      </c>
      <c r="AI1978">
        <v>92.610042927064001</v>
      </c>
      <c r="AJ1978">
        <v>59.998533253540202</v>
      </c>
      <c r="AK1978">
        <v>24.604895001589501</v>
      </c>
      <c r="AL1978">
        <v>83.504337079962497</v>
      </c>
      <c r="AM1978">
        <v>69.694506830855502</v>
      </c>
      <c r="AN1978">
        <v>0.99999996724691897</v>
      </c>
    </row>
    <row r="1979" spans="1:40" x14ac:dyDescent="0.25">
      <c r="A1979" t="str">
        <f>"20190303161912150"</f>
        <v>20190303161912150</v>
      </c>
      <c r="B1979" t="str">
        <f>"1551601152144557"</f>
        <v>1551601152144557</v>
      </c>
      <c r="C1979" t="s">
        <v>40</v>
      </c>
      <c r="D1979">
        <v>5.0258099999999999</v>
      </c>
      <c r="E1979">
        <v>0.54312469999999902</v>
      </c>
      <c r="F1979" t="s">
        <v>41</v>
      </c>
      <c r="G1979">
        <v>-191.5735</v>
      </c>
      <c r="H1979" s="1">
        <v>-1.8514979999999999E-6</v>
      </c>
      <c r="I1979">
        <v>332.92899999999997</v>
      </c>
      <c r="J1979">
        <v>-194.35319999999999</v>
      </c>
      <c r="K1979">
        <v>1.120468</v>
      </c>
      <c r="L1979">
        <v>357.30200000000002</v>
      </c>
      <c r="M1979">
        <v>0.58321369999999995</v>
      </c>
      <c r="N1979">
        <v>-1.33828E-2</v>
      </c>
      <c r="O1979">
        <v>-0.81220859999999995</v>
      </c>
      <c r="P1979">
        <v>0.26674189999999998</v>
      </c>
      <c r="Q1979">
        <v>0.1013606</v>
      </c>
      <c r="R1979">
        <v>-0.95842329999999998</v>
      </c>
      <c r="S1979">
        <v>0.35186770000000001</v>
      </c>
      <c r="T1979">
        <v>-0.139742899999999</v>
      </c>
      <c r="U1979">
        <v>-3.0479129999999999</v>
      </c>
      <c r="V1979">
        <v>0.34266269999999999</v>
      </c>
      <c r="W1979">
        <v>0.11289589999999899</v>
      </c>
      <c r="X1979">
        <v>0.93265039999999999</v>
      </c>
      <c r="Y1979">
        <v>0.48603099999999999</v>
      </c>
      <c r="Z1979">
        <v>1.7191729999999999E-2</v>
      </c>
      <c r="AA1979">
        <v>0.87377249999999995</v>
      </c>
      <c r="AB1979">
        <v>9</v>
      </c>
      <c r="AC1979">
        <v>2.7796999999999898</v>
      </c>
      <c r="AD1979">
        <v>-1.120469851498</v>
      </c>
      <c r="AE1979">
        <v>-24.372999999999902</v>
      </c>
      <c r="AF1979">
        <v>11.933145649533101</v>
      </c>
      <c r="AG1979">
        <v>-1.120469851498</v>
      </c>
      <c r="AH1979">
        <v>21.374443301504702</v>
      </c>
      <c r="AI1979">
        <v>92.620654070335505</v>
      </c>
      <c r="AJ1979">
        <v>60.825798005538701</v>
      </c>
      <c r="AK1979">
        <v>24.505555374859899</v>
      </c>
      <c r="AL1979">
        <v>83.517721318647304</v>
      </c>
      <c r="AM1979">
        <v>69.826292119572201</v>
      </c>
      <c r="AN1979">
        <v>0.99999998941412904</v>
      </c>
    </row>
    <row r="1980" spans="1:40" x14ac:dyDescent="0.25">
      <c r="A1980" t="str">
        <f>"20190303161912172"</f>
        <v>20190303161912172</v>
      </c>
      <c r="B1980" t="str">
        <f>"1551601152164077"</f>
        <v>1551601152164077</v>
      </c>
      <c r="C1980" t="s">
        <v>40</v>
      </c>
      <c r="D1980">
        <v>5.0099589999999896</v>
      </c>
      <c r="E1980">
        <v>0.53432329999999995</v>
      </c>
      <c r="F1980" t="s">
        <v>41</v>
      </c>
      <c r="G1980">
        <v>-191.12090000000001</v>
      </c>
      <c r="H1980" s="1">
        <v>-3.61377E-6</v>
      </c>
      <c r="I1980">
        <v>337.3177</v>
      </c>
      <c r="J1980">
        <v>-194.30330000000001</v>
      </c>
      <c r="K1980">
        <v>1.1204780000000001</v>
      </c>
      <c r="L1980">
        <v>357.22280000000001</v>
      </c>
      <c r="M1980">
        <v>0.57935539999999996</v>
      </c>
      <c r="N1980">
        <v>-1.3378900000000001E-2</v>
      </c>
      <c r="O1980">
        <v>-0.81496539999999995</v>
      </c>
      <c r="P1980">
        <v>0.26435199999999998</v>
      </c>
      <c r="Q1980">
        <v>0.1018672</v>
      </c>
      <c r="R1980">
        <v>-0.95903170000000004</v>
      </c>
      <c r="S1980">
        <v>0.4872437</v>
      </c>
      <c r="T1980">
        <v>-0.1688992</v>
      </c>
      <c r="U1980">
        <v>-3.0124209999999998</v>
      </c>
      <c r="V1980">
        <v>0.34052919999999998</v>
      </c>
      <c r="W1980">
        <v>0.1134199</v>
      </c>
      <c r="X1980">
        <v>0.93336799999999998</v>
      </c>
      <c r="Y1980">
        <v>0.44162400000000002</v>
      </c>
      <c r="Z1980">
        <v>2.489945E-2</v>
      </c>
      <c r="AA1980">
        <v>0.89685459999999995</v>
      </c>
      <c r="AB1980">
        <v>9</v>
      </c>
      <c r="AC1980">
        <v>3.1823999999999999</v>
      </c>
      <c r="AD1980">
        <v>-1.12048161377</v>
      </c>
      <c r="AE1980">
        <v>-19.905100000000001</v>
      </c>
      <c r="AF1980">
        <v>8.9118450214457603</v>
      </c>
      <c r="AG1980">
        <v>-1.12048161377</v>
      </c>
      <c r="AH1980">
        <v>18.011671923253999</v>
      </c>
      <c r="AI1980">
        <v>93.191336148341506</v>
      </c>
      <c r="AJ1980">
        <v>63.674638603033699</v>
      </c>
      <c r="AK1980">
        <v>20.127016326420499</v>
      </c>
      <c r="AL1980">
        <v>83.487504423558406</v>
      </c>
      <c r="AM1980">
        <v>69.956050177091797</v>
      </c>
      <c r="AN1980">
        <v>1.0000000165963201</v>
      </c>
    </row>
    <row r="1981" spans="1:40" x14ac:dyDescent="0.25">
      <c r="A1981" t="str">
        <f>"20190303161912188"</f>
        <v>20190303161912188</v>
      </c>
      <c r="B1981" t="str">
        <f>"1551601152174813"</f>
        <v>1551601152174813</v>
      </c>
      <c r="C1981" t="s">
        <v>40</v>
      </c>
      <c r="D1981">
        <v>5.027495</v>
      </c>
      <c r="E1981">
        <v>0.5323312</v>
      </c>
      <c r="F1981" t="s">
        <v>41</v>
      </c>
      <c r="G1981">
        <v>-190.74090000000001</v>
      </c>
      <c r="H1981" s="1">
        <v>-3.6909979999999998E-6</v>
      </c>
      <c r="I1981">
        <v>337.73340000000002</v>
      </c>
      <c r="J1981">
        <v>-194.26990000000001</v>
      </c>
      <c r="K1981">
        <v>1.120484</v>
      </c>
      <c r="L1981">
        <v>357.16930000000002</v>
      </c>
      <c r="M1981">
        <v>0.57674579999999998</v>
      </c>
      <c r="N1981">
        <v>-1.3376310000000001E-2</v>
      </c>
      <c r="O1981">
        <v>-0.81681409999999999</v>
      </c>
      <c r="P1981">
        <v>0.26210889999999998</v>
      </c>
      <c r="Q1981">
        <v>0.1022454</v>
      </c>
      <c r="R1981">
        <v>-0.95960659999999998</v>
      </c>
      <c r="S1981">
        <v>0.54754639999999999</v>
      </c>
      <c r="T1981">
        <v>-0.17221739999999999</v>
      </c>
      <c r="U1981">
        <v>-2.995514</v>
      </c>
      <c r="V1981">
        <v>0.33970159999999899</v>
      </c>
      <c r="W1981">
        <v>0.11380410000000001</v>
      </c>
      <c r="X1981">
        <v>0.93362279999999997</v>
      </c>
      <c r="Y1981">
        <v>0.42032570000000002</v>
      </c>
      <c r="Z1981">
        <v>2.6341690000000001E-2</v>
      </c>
      <c r="AA1981">
        <v>0.90699090000000004</v>
      </c>
      <c r="AB1981">
        <v>9</v>
      </c>
      <c r="AC1981">
        <v>3.5289999999999901</v>
      </c>
      <c r="AD1981">
        <v>-1.1204876909979999</v>
      </c>
      <c r="AE1981">
        <v>-19.4359</v>
      </c>
      <c r="AF1981">
        <v>8.3010734724264008</v>
      </c>
      <c r="AG1981">
        <v>-1.1204876909979999</v>
      </c>
      <c r="AH1981">
        <v>17.855007995788899</v>
      </c>
      <c r="AI1981">
        <v>93.256931179409406</v>
      </c>
      <c r="AJ1981">
        <v>65.065543985911404</v>
      </c>
      <c r="AK1981">
        <v>19.722186085472</v>
      </c>
      <c r="AL1981">
        <v>83.465348089417205</v>
      </c>
      <c r="AM1981">
        <v>70.005923740171099</v>
      </c>
      <c r="AN1981">
        <v>1.0000000414496</v>
      </c>
    </row>
    <row r="1982" spans="1:40" x14ac:dyDescent="0.25">
      <c r="A1982" t="str">
        <f>"20190303161912207"</f>
        <v>20190303161912207</v>
      </c>
      <c r="B1982" t="str">
        <f>"1551601152194334"</f>
        <v>1551601152194334</v>
      </c>
      <c r="C1982" t="s">
        <v>40</v>
      </c>
      <c r="D1982">
        <v>4.9933809999999896</v>
      </c>
      <c r="E1982">
        <v>0.53039650000000005</v>
      </c>
      <c r="F1982" t="s">
        <v>41</v>
      </c>
      <c r="G1982">
        <v>-190.78309999999999</v>
      </c>
      <c r="H1982" s="1">
        <v>-3.9835239999999999E-6</v>
      </c>
      <c r="I1982">
        <v>338.38909999999998</v>
      </c>
      <c r="J1982">
        <v>-194.22839999999999</v>
      </c>
      <c r="K1982">
        <v>1.1204879999999999</v>
      </c>
      <c r="L1982">
        <v>357.10250000000002</v>
      </c>
      <c r="M1982">
        <v>0.57347999999999999</v>
      </c>
      <c r="N1982">
        <v>-1.337326E-2</v>
      </c>
      <c r="O1982">
        <v>-0.81911049999999996</v>
      </c>
      <c r="P1982">
        <v>0.25985409999999998</v>
      </c>
      <c r="Q1982">
        <v>0.1024709</v>
      </c>
      <c r="R1982">
        <v>-0.96019569999999999</v>
      </c>
      <c r="S1982">
        <v>0.55577089999999996</v>
      </c>
      <c r="T1982">
        <v>-0.1786017</v>
      </c>
      <c r="U1982">
        <v>-2.9935</v>
      </c>
      <c r="V1982">
        <v>0.3381499</v>
      </c>
      <c r="W1982">
        <v>0.1140414</v>
      </c>
      <c r="X1982">
        <v>0.93415700000000002</v>
      </c>
      <c r="Y1982">
        <v>0.41418159999999998</v>
      </c>
      <c r="Z1982">
        <v>2.809381E-2</v>
      </c>
      <c r="AA1982">
        <v>0.90976060000000003</v>
      </c>
      <c r="AB1982">
        <v>9</v>
      </c>
      <c r="AC1982">
        <v>3.4453</v>
      </c>
      <c r="AD1982">
        <v>-1.1204919835239999</v>
      </c>
      <c r="AE1982">
        <v>-18.7134</v>
      </c>
      <c r="AF1982">
        <v>7.8830503068721702</v>
      </c>
      <c r="AG1982">
        <v>-1.1204919835239999</v>
      </c>
      <c r="AH1982">
        <v>17.245896489866102</v>
      </c>
      <c r="AI1982">
        <v>93.381729858566402</v>
      </c>
      <c r="AJ1982">
        <v>65.434994389783995</v>
      </c>
      <c r="AK1982">
        <v>18.995234406687299</v>
      </c>
      <c r="AL1982">
        <v>83.451662748800203</v>
      </c>
      <c r="AM1982">
        <v>70.100553845754305</v>
      </c>
      <c r="AN1982">
        <v>1.0000000482164799</v>
      </c>
    </row>
    <row r="1983" spans="1:40" x14ac:dyDescent="0.25">
      <c r="A1983" t="str">
        <f>"20190303161912219"</f>
        <v>20190303161912219</v>
      </c>
      <c r="B1983" t="str">
        <f>"1551601152214830"</f>
        <v>1551601152214830</v>
      </c>
      <c r="C1983" t="s">
        <v>40</v>
      </c>
      <c r="D1983">
        <v>4.9921199999999999</v>
      </c>
      <c r="E1983">
        <v>0.52928580000000003</v>
      </c>
      <c r="F1983" t="s">
        <v>41</v>
      </c>
      <c r="G1983">
        <v>-190.61189999999999</v>
      </c>
      <c r="H1983" s="1">
        <v>-3.726209E-6</v>
      </c>
      <c r="I1983">
        <v>337.89550000000003</v>
      </c>
      <c r="J1983">
        <v>-194.20099999999999</v>
      </c>
      <c r="K1983">
        <v>1.120492</v>
      </c>
      <c r="L1983">
        <v>357.05779999999999</v>
      </c>
      <c r="M1983">
        <v>0.57129799999999997</v>
      </c>
      <c r="N1983">
        <v>-1.3371320000000001E-2</v>
      </c>
      <c r="O1983">
        <v>-0.82063379999999997</v>
      </c>
      <c r="P1983">
        <v>0.2580113</v>
      </c>
      <c r="Q1983">
        <v>0.1025457</v>
      </c>
      <c r="R1983">
        <v>-0.96068469999999995</v>
      </c>
      <c r="S1983">
        <v>0.56309509999999996</v>
      </c>
      <c r="T1983">
        <v>-0.1744646</v>
      </c>
      <c r="U1983">
        <v>-2.9906009999999998</v>
      </c>
      <c r="V1983">
        <v>0.33745029999999998</v>
      </c>
      <c r="W1983">
        <v>0.114121</v>
      </c>
      <c r="X1983">
        <v>0.93440020000000001</v>
      </c>
      <c r="Y1983">
        <v>0.40944900000000001</v>
      </c>
      <c r="Z1983">
        <v>2.73843E-2</v>
      </c>
      <c r="AA1983">
        <v>0.91192200000000001</v>
      </c>
      <c r="AB1983">
        <v>9</v>
      </c>
      <c r="AC1983">
        <v>3.5891000000000002</v>
      </c>
      <c r="AD1983">
        <v>-1.1204957262090001</v>
      </c>
      <c r="AE1983">
        <v>-19.162299999999899</v>
      </c>
      <c r="AF1983">
        <v>7.9764135707522499</v>
      </c>
      <c r="AG1983">
        <v>-1.1204957262090001</v>
      </c>
      <c r="AH1983">
        <v>17.718735078720002</v>
      </c>
      <c r="AI1983">
        <v>93.300270520223094</v>
      </c>
      <c r="AJ1983">
        <v>65.764234218491197</v>
      </c>
      <c r="AK1983">
        <v>19.4636136653499</v>
      </c>
      <c r="AL1983">
        <v>83.447071852966204</v>
      </c>
      <c r="AM1983">
        <v>70.143266493052494</v>
      </c>
      <c r="AN1983">
        <v>1.0000000206855599</v>
      </c>
    </row>
    <row r="1984" spans="1:40" x14ac:dyDescent="0.25">
      <c r="A1984" t="str">
        <f>"20190303161912241"</f>
        <v>20190303161912241</v>
      </c>
      <c r="B1984" t="str">
        <f>"1551601152234349"</f>
        <v>1551601152234349</v>
      </c>
      <c r="C1984" t="s">
        <v>40</v>
      </c>
      <c r="D1984">
        <v>4.9993249999999998</v>
      </c>
      <c r="E1984">
        <v>0.52895300000000001</v>
      </c>
      <c r="F1984" t="s">
        <v>41</v>
      </c>
      <c r="G1984">
        <v>-190.4571</v>
      </c>
      <c r="H1984" s="1">
        <v>-3.4130810000000001E-6</v>
      </c>
      <c r="I1984">
        <v>337.26159999999999</v>
      </c>
      <c r="J1984">
        <v>-194.1551</v>
      </c>
      <c r="K1984">
        <v>1.1204989999999999</v>
      </c>
      <c r="L1984">
        <v>356.9828</v>
      </c>
      <c r="M1984">
        <v>0.5676196</v>
      </c>
      <c r="N1984">
        <v>-1.3368400000000001E-2</v>
      </c>
      <c r="O1984">
        <v>-0.82318250000000004</v>
      </c>
      <c r="P1984">
        <v>0.2552372</v>
      </c>
      <c r="Q1984">
        <v>0.10349179999999999</v>
      </c>
      <c r="R1984">
        <v>-0.96132399999999996</v>
      </c>
      <c r="S1984">
        <v>0.56527709999999998</v>
      </c>
      <c r="T1984">
        <v>-0.169181</v>
      </c>
      <c r="U1984">
        <v>-2.9889830000000002</v>
      </c>
      <c r="V1984">
        <v>0.33590769999999998</v>
      </c>
      <c r="W1984">
        <v>0.115074499999999</v>
      </c>
      <c r="X1984">
        <v>0.93483899999999998</v>
      </c>
      <c r="Y1984">
        <v>0.4046343</v>
      </c>
      <c r="Z1984">
        <v>2.6463150000000001E-2</v>
      </c>
      <c r="AA1984">
        <v>0.91409560000000001</v>
      </c>
      <c r="AB1984">
        <v>9</v>
      </c>
      <c r="AC1984">
        <v>3.698</v>
      </c>
      <c r="AD1984">
        <v>-1.120502413081</v>
      </c>
      <c r="AE1984">
        <v>-19.7212</v>
      </c>
      <c r="AF1984">
        <v>8.1253991537385009</v>
      </c>
      <c r="AG1984">
        <v>-1.120502413081</v>
      </c>
      <c r="AH1984">
        <v>18.277840908397401</v>
      </c>
      <c r="AI1984">
        <v>93.206244500608307</v>
      </c>
      <c r="AJ1984">
        <v>66.032500244636395</v>
      </c>
      <c r="AK1984">
        <v>20.033898905055398</v>
      </c>
      <c r="AL1984">
        <v>83.392078151729805</v>
      </c>
      <c r="AM1984">
        <v>70.235548895247902</v>
      </c>
      <c r="AN1984">
        <v>1.00000003969526</v>
      </c>
    </row>
    <row r="1985" spans="1:40" x14ac:dyDescent="0.25">
      <c r="A1985" t="str">
        <f>"20190303161912261"</f>
        <v>20190303161912261</v>
      </c>
      <c r="B1985" t="str">
        <f>"1551601152254845"</f>
        <v>1551601152254845</v>
      </c>
      <c r="C1985" t="s">
        <v>40</v>
      </c>
      <c r="D1985">
        <v>4.9551720000000001</v>
      </c>
      <c r="E1985">
        <v>0.52884679999999995</v>
      </c>
      <c r="F1985" t="s">
        <v>41</v>
      </c>
      <c r="G1985">
        <v>-190.31</v>
      </c>
      <c r="H1985" s="1">
        <v>-3.0051729999999999E-6</v>
      </c>
      <c r="I1985">
        <v>336.40199999999999</v>
      </c>
      <c r="J1985">
        <v>-194.11179999999999</v>
      </c>
      <c r="K1985">
        <v>1.1205000000000001</v>
      </c>
      <c r="L1985">
        <v>356.911</v>
      </c>
      <c r="M1985">
        <v>0.56409299999999996</v>
      </c>
      <c r="N1985">
        <v>-1.3366100000000001E-2</v>
      </c>
      <c r="O1985">
        <v>-0.82560309999999903</v>
      </c>
      <c r="P1985">
        <v>0.25268160000000001</v>
      </c>
      <c r="Q1985">
        <v>0.1048202</v>
      </c>
      <c r="R1985">
        <v>-0.96185480000000001</v>
      </c>
      <c r="S1985">
        <v>0.55860900000000002</v>
      </c>
      <c r="T1985">
        <v>-0.16278399999999901</v>
      </c>
      <c r="U1985">
        <v>-2.9899290000000001</v>
      </c>
      <c r="V1985">
        <v>0.33431359999999999</v>
      </c>
      <c r="W1985">
        <v>0.11640830000000001</v>
      </c>
      <c r="X1985">
        <v>0.9352452</v>
      </c>
      <c r="Y1985">
        <v>0.40274710000000002</v>
      </c>
      <c r="Z1985">
        <v>2.518217E-2</v>
      </c>
      <c r="AA1985">
        <v>0.91496480000000002</v>
      </c>
      <c r="AB1985">
        <v>9</v>
      </c>
      <c r="AC1985">
        <v>3.8017999999999801</v>
      </c>
      <c r="AD1985">
        <v>-1.1205030051730001</v>
      </c>
      <c r="AE1985">
        <v>-20.509</v>
      </c>
      <c r="AF1985">
        <v>8.4066984913718592</v>
      </c>
      <c r="AG1985">
        <v>-1.1205030051730001</v>
      </c>
      <c r="AH1985">
        <v>19.023668379699298</v>
      </c>
      <c r="AI1985">
        <v>93.083802372509695</v>
      </c>
      <c r="AJ1985">
        <v>66.159013335292798</v>
      </c>
      <c r="AK1985">
        <v>20.828539678292501</v>
      </c>
      <c r="AL1985">
        <v>83.315139899337495</v>
      </c>
      <c r="AM1985">
        <v>70.330015933484106</v>
      </c>
      <c r="AN1985">
        <v>1.0000000297884399</v>
      </c>
    </row>
    <row r="1986" spans="1:40" x14ac:dyDescent="0.25">
      <c r="A1986" t="str">
        <f>"20190303161912287"</f>
        <v>20190303161912287</v>
      </c>
      <c r="B1986" t="str">
        <f>"1551601152274365"</f>
        <v>1551601152274365</v>
      </c>
      <c r="C1986" t="s">
        <v>40</v>
      </c>
      <c r="D1986">
        <v>4.9780920000000002</v>
      </c>
      <c r="E1986">
        <v>0.52868169999999903</v>
      </c>
      <c r="F1986" t="s">
        <v>41</v>
      </c>
      <c r="G1986">
        <v>-190.2921</v>
      </c>
      <c r="H1986" s="1">
        <v>-2.9052920000000002E-6</v>
      </c>
      <c r="I1986">
        <v>336.18029999999999</v>
      </c>
      <c r="J1986">
        <v>-194.0599</v>
      </c>
      <c r="K1986">
        <v>1.120493</v>
      </c>
      <c r="L1986">
        <v>356.82409999999999</v>
      </c>
      <c r="M1986">
        <v>0.55979250000000003</v>
      </c>
      <c r="N1986">
        <v>-1.336446E-2</v>
      </c>
      <c r="O1986">
        <v>-0.82852539999999997</v>
      </c>
      <c r="P1986">
        <v>0.2494074</v>
      </c>
      <c r="Q1986">
        <v>0.10493130000000001</v>
      </c>
      <c r="R1986">
        <v>-0.96269720000000003</v>
      </c>
      <c r="S1986">
        <v>0.55125429999999997</v>
      </c>
      <c r="T1986">
        <v>-0.16170699999999999</v>
      </c>
      <c r="U1986">
        <v>-2.9917910000000001</v>
      </c>
      <c r="V1986">
        <v>0.33262560000000002</v>
      </c>
      <c r="W1986">
        <v>0.1165229</v>
      </c>
      <c r="X1986">
        <v>0.93583260000000001</v>
      </c>
      <c r="Y1986">
        <v>0.40026709999999999</v>
      </c>
      <c r="Z1986">
        <v>2.515684E-2</v>
      </c>
      <c r="AA1986">
        <v>0.91605309999999995</v>
      </c>
      <c r="AB1986">
        <v>9</v>
      </c>
      <c r="AC1986">
        <v>3.76779999999999</v>
      </c>
      <c r="AD1986">
        <v>-1.120495905292</v>
      </c>
      <c r="AE1986">
        <v>-20.643799999999999</v>
      </c>
      <c r="AF1986">
        <v>8.4112959538806198</v>
      </c>
      <c r="AG1986">
        <v>-1.120495905292</v>
      </c>
      <c r="AH1986">
        <v>19.160181928457501</v>
      </c>
      <c r="AI1986">
        <v>93.065134001438807</v>
      </c>
      <c r="AJ1986">
        <v>66.298585647257497</v>
      </c>
      <c r="AK1986">
        <v>20.955142142899799</v>
      </c>
      <c r="AL1986">
        <v>83.308528717646496</v>
      </c>
      <c r="AM1986">
        <v>70.433118494010102</v>
      </c>
      <c r="AN1986">
        <v>1.0000000156112601</v>
      </c>
    </row>
    <row r="1987" spans="1:40" x14ac:dyDescent="0.25">
      <c r="A1987" t="str">
        <f>"20190303161912309"</f>
        <v>20190303161912309</v>
      </c>
      <c r="B1987" t="str">
        <f>"1551601152294861"</f>
        <v>1551601152294861</v>
      </c>
      <c r="C1987" t="s">
        <v>40</v>
      </c>
      <c r="D1987">
        <v>4.9694770000000004</v>
      </c>
      <c r="E1987">
        <v>0.52844089999999999</v>
      </c>
      <c r="F1987" t="s">
        <v>41</v>
      </c>
      <c r="G1987">
        <v>-190.28819999999999</v>
      </c>
      <c r="H1987" s="1">
        <v>-2.8147069999999999E-6</v>
      </c>
      <c r="I1987">
        <v>335.97149999999999</v>
      </c>
      <c r="J1987">
        <v>-194.01439999999999</v>
      </c>
      <c r="K1987">
        <v>1.1204799999999999</v>
      </c>
      <c r="L1987">
        <v>356.74700000000001</v>
      </c>
      <c r="M1987">
        <v>0.55595509999999904</v>
      </c>
      <c r="N1987">
        <v>-1.3363750000000001E-2</v>
      </c>
      <c r="O1987">
        <v>-0.83110499999999998</v>
      </c>
      <c r="P1987">
        <v>0.24636520000000001</v>
      </c>
      <c r="Q1987">
        <v>0.104051</v>
      </c>
      <c r="R1987">
        <v>-0.96357579999999998</v>
      </c>
      <c r="S1987">
        <v>0.54144289999999995</v>
      </c>
      <c r="T1987">
        <v>-0.16085329999999901</v>
      </c>
      <c r="U1987">
        <v>-2.9935</v>
      </c>
      <c r="V1987">
        <v>0.33130520000000002</v>
      </c>
      <c r="W1987">
        <v>0.11564480000000001</v>
      </c>
      <c r="X1987">
        <v>0.93640970000000001</v>
      </c>
      <c r="Y1987">
        <v>0.3990303</v>
      </c>
      <c r="Z1987">
        <v>2.5140050000000001E-2</v>
      </c>
      <c r="AA1987">
        <v>0.91659310000000005</v>
      </c>
      <c r="AB1987">
        <v>9</v>
      </c>
      <c r="AC1987">
        <v>3.7262</v>
      </c>
      <c r="AD1987">
        <v>-1.1204828147069901</v>
      </c>
      <c r="AE1987">
        <v>-20.775499999999901</v>
      </c>
      <c r="AF1987">
        <v>8.4303782211014404</v>
      </c>
      <c r="AG1987">
        <v>-1.1204828147069901</v>
      </c>
      <c r="AH1987">
        <v>19.2855982730973</v>
      </c>
      <c r="AI1987">
        <v>93.047287803171997</v>
      </c>
      <c r="AJ1987">
        <v>66.388257062831599</v>
      </c>
      <c r="AK1987">
        <v>21.077501261776</v>
      </c>
      <c r="AL1987">
        <v>83.359182426647607</v>
      </c>
      <c r="AM1987">
        <v>70.516033116457294</v>
      </c>
      <c r="AN1987">
        <v>0.99999999078408497</v>
      </c>
    </row>
    <row r="1988" spans="1:40" x14ac:dyDescent="0.25">
      <c r="A1988" t="str">
        <f>"20190303161912330"</f>
        <v>20190303161912330</v>
      </c>
      <c r="B1988" t="str">
        <f>"1551601152324142"</f>
        <v>1551601152324142</v>
      </c>
      <c r="C1988" t="s">
        <v>40</v>
      </c>
      <c r="D1988">
        <v>4.953627</v>
      </c>
      <c r="E1988">
        <v>0.52824989999999905</v>
      </c>
      <c r="F1988" t="s">
        <v>41</v>
      </c>
      <c r="G1988">
        <v>-190.3631</v>
      </c>
      <c r="H1988" s="1">
        <v>-2.9533359999999999E-6</v>
      </c>
      <c r="I1988">
        <v>336.2482</v>
      </c>
      <c r="J1988">
        <v>-193.97030000000001</v>
      </c>
      <c r="K1988">
        <v>1.1204700000000001</v>
      </c>
      <c r="L1988">
        <v>356.67140000000001</v>
      </c>
      <c r="M1988">
        <v>0.55217050000000001</v>
      </c>
      <c r="N1988">
        <v>-1.3363420000000001E-2</v>
      </c>
      <c r="O1988">
        <v>-0.83362420000000004</v>
      </c>
      <c r="P1988">
        <v>0.24278430000000001</v>
      </c>
      <c r="Q1988">
        <v>0.10350570000000001</v>
      </c>
      <c r="R1988">
        <v>-0.96454280000000003</v>
      </c>
      <c r="S1988">
        <v>0.53341669999999997</v>
      </c>
      <c r="T1988">
        <v>-0.1636909</v>
      </c>
      <c r="U1988">
        <v>-2.994659</v>
      </c>
      <c r="V1988">
        <v>0.33055790000000002</v>
      </c>
      <c r="W1988">
        <v>0.1150987</v>
      </c>
      <c r="X1988">
        <v>0.93674109999999999</v>
      </c>
      <c r="Y1988">
        <v>0.39730480000000001</v>
      </c>
      <c r="Z1988">
        <v>2.6000120000000002E-2</v>
      </c>
      <c r="AA1988">
        <v>0.91731830000000003</v>
      </c>
      <c r="AB1988">
        <v>9</v>
      </c>
      <c r="AC1988">
        <v>3.6072000000000002</v>
      </c>
      <c r="AD1988">
        <v>-1.1204729533360001</v>
      </c>
      <c r="AE1988">
        <v>-20.423200000000001</v>
      </c>
      <c r="AF1988">
        <v>8.2467062310351604</v>
      </c>
      <c r="AG1988">
        <v>-1.1204729533360001</v>
      </c>
      <c r="AH1988">
        <v>18.9634083979164</v>
      </c>
      <c r="AI1988">
        <v>93.101494552013804</v>
      </c>
      <c r="AJ1988">
        <v>66.496997672598695</v>
      </c>
      <c r="AK1988">
        <v>20.709284907169501</v>
      </c>
      <c r="AL1988">
        <v>83.390682468741403</v>
      </c>
      <c r="AM1988">
        <v>70.563044013376299</v>
      </c>
      <c r="AN1988">
        <v>1.0000000622116501</v>
      </c>
    </row>
    <row r="1989" spans="1:40" x14ac:dyDescent="0.25">
      <c r="A1989" t="str">
        <f>"20190303161912352"</f>
        <v>20190303161912352</v>
      </c>
      <c r="B1989" t="str">
        <f>"1551601152344639"</f>
        <v>1551601152344639</v>
      </c>
      <c r="C1989" t="s">
        <v>40</v>
      </c>
      <c r="D1989">
        <v>4.9607510000000001</v>
      </c>
      <c r="E1989">
        <v>0.52806019999999998</v>
      </c>
      <c r="F1989" t="s">
        <v>41</v>
      </c>
      <c r="G1989">
        <v>-190.47890000000001</v>
      </c>
      <c r="H1989" s="1">
        <v>-3.1773800000000001E-6</v>
      </c>
      <c r="I1989">
        <v>336.69869999999997</v>
      </c>
      <c r="J1989">
        <v>-193.92660000000001</v>
      </c>
      <c r="K1989">
        <v>1.1204620000000001</v>
      </c>
      <c r="L1989">
        <v>356.59539999999998</v>
      </c>
      <c r="M1989">
        <v>0.54834839999999996</v>
      </c>
      <c r="N1989">
        <v>-1.3363420000000001E-2</v>
      </c>
      <c r="O1989">
        <v>-0.83614339999999998</v>
      </c>
      <c r="P1989">
        <v>0.2392917</v>
      </c>
      <c r="Q1989">
        <v>0.103112</v>
      </c>
      <c r="R1989">
        <v>-0.96545740000000002</v>
      </c>
      <c r="S1989">
        <v>0.52381899999999904</v>
      </c>
      <c r="T1989">
        <v>-0.1681021</v>
      </c>
      <c r="U1989">
        <v>-2.9964599999999999</v>
      </c>
      <c r="V1989">
        <v>0.32968219999999998</v>
      </c>
      <c r="W1989">
        <v>0.1147065</v>
      </c>
      <c r="X1989">
        <v>0.93709770000000003</v>
      </c>
      <c r="Y1989">
        <v>0.3960496</v>
      </c>
      <c r="Z1989">
        <v>2.7224959999999999E-2</v>
      </c>
      <c r="AA1989">
        <v>0.91782540000000001</v>
      </c>
      <c r="AB1989">
        <v>9</v>
      </c>
      <c r="AC1989">
        <v>3.44769999999999</v>
      </c>
      <c r="AD1989">
        <v>-1.1204651773799901</v>
      </c>
      <c r="AE1989">
        <v>-19.896699999999999</v>
      </c>
      <c r="AF1989">
        <v>8.0036257034589298</v>
      </c>
      <c r="AG1989">
        <v>-1.1204651773799901</v>
      </c>
      <c r="AH1989">
        <v>18.4718149035469</v>
      </c>
      <c r="AI1989">
        <v>93.185686772272902</v>
      </c>
      <c r="AJ1989">
        <v>66.573467977072099</v>
      </c>
      <c r="AK1989">
        <v>20.162376160703001</v>
      </c>
      <c r="AL1989">
        <v>83.413303397152703</v>
      </c>
      <c r="AM1989">
        <v>70.617517024181097</v>
      </c>
      <c r="AN1989">
        <v>1.0000000167421801</v>
      </c>
    </row>
    <row r="1990" spans="1:40" x14ac:dyDescent="0.25">
      <c r="A1990" t="str">
        <f>"20190303161912374"</f>
        <v>20190303161912374</v>
      </c>
      <c r="B1990" t="str">
        <f>"1551601152364156"</f>
        <v>1551601152364156</v>
      </c>
      <c r="C1990" t="s">
        <v>40</v>
      </c>
      <c r="D1990">
        <v>4.9376749999999996</v>
      </c>
      <c r="E1990">
        <v>0.52786899999999903</v>
      </c>
      <c r="F1990" t="s">
        <v>41</v>
      </c>
      <c r="G1990">
        <v>-190.55969999999999</v>
      </c>
      <c r="H1990" s="1">
        <v>-3.317698E-6</v>
      </c>
      <c r="I1990">
        <v>336.97559999999999</v>
      </c>
      <c r="J1990">
        <v>-193.88249999999999</v>
      </c>
      <c r="K1990">
        <v>1.1204510000000001</v>
      </c>
      <c r="L1990">
        <v>356.5181</v>
      </c>
      <c r="M1990">
        <v>0.54442669999999904</v>
      </c>
      <c r="N1990">
        <v>-1.3363369999999999E-2</v>
      </c>
      <c r="O1990">
        <v>-0.83870219999999995</v>
      </c>
      <c r="P1990">
        <v>0.23555509999999999</v>
      </c>
      <c r="Q1990">
        <v>0.1022047</v>
      </c>
      <c r="R1990">
        <v>-0.96647229999999995</v>
      </c>
      <c r="S1990">
        <v>0.51449579999999995</v>
      </c>
      <c r="T1990">
        <v>-0.1712186</v>
      </c>
      <c r="U1990">
        <v>-2.9981080000000002</v>
      </c>
      <c r="V1990">
        <v>0.3289687</v>
      </c>
      <c r="W1990">
        <v>0.11380220000000001</v>
      </c>
      <c r="X1990">
        <v>0.93745860000000003</v>
      </c>
      <c r="Y1990">
        <v>0.39460800000000001</v>
      </c>
      <c r="Z1990">
        <v>2.8159719999999999E-2</v>
      </c>
      <c r="AA1990">
        <v>0.91841799999999996</v>
      </c>
      <c r="AB1990">
        <v>9</v>
      </c>
      <c r="AC1990">
        <v>3.3228</v>
      </c>
      <c r="AD1990">
        <v>-1.120454317698</v>
      </c>
      <c r="AE1990">
        <v>-19.5425</v>
      </c>
      <c r="AF1990">
        <v>7.8283085461502697</v>
      </c>
      <c r="AG1990">
        <v>-1.120454317698</v>
      </c>
      <c r="AH1990">
        <v>18.143016210338601</v>
      </c>
      <c r="AI1990">
        <v>93.245401638013206</v>
      </c>
      <c r="AJ1990">
        <v>66.660875047485405</v>
      </c>
      <c r="AK1990">
        <v>19.7915858328832</v>
      </c>
      <c r="AL1990">
        <v>83.465457302685294</v>
      </c>
      <c r="AM1990">
        <v>70.663240153473296</v>
      </c>
      <c r="AN1990">
        <v>0.99999998650924504</v>
      </c>
    </row>
    <row r="1991" spans="1:40" x14ac:dyDescent="0.25">
      <c r="A1991" t="str">
        <f>"20190303161912389"</f>
        <v>20190303161912389</v>
      </c>
      <c r="B1991" t="str">
        <f>"1551601152374893"</f>
        <v>1551601152374893</v>
      </c>
      <c r="C1991" t="s">
        <v>40</v>
      </c>
      <c r="D1991">
        <v>4.9422269999999999</v>
      </c>
      <c r="E1991">
        <v>0.52774949999999998</v>
      </c>
      <c r="F1991" t="s">
        <v>41</v>
      </c>
      <c r="G1991">
        <v>-190.65860000000001</v>
      </c>
      <c r="H1991" s="1">
        <v>-3.5015459999999998E-6</v>
      </c>
      <c r="I1991">
        <v>337.34289999999999</v>
      </c>
      <c r="J1991">
        <v>-193.85310000000001</v>
      </c>
      <c r="K1991">
        <v>1.1204449999999999</v>
      </c>
      <c r="L1991">
        <v>356.46589999999998</v>
      </c>
      <c r="M1991">
        <v>0.54177030000000004</v>
      </c>
      <c r="N1991">
        <v>-1.336321E-2</v>
      </c>
      <c r="O1991">
        <v>-0.84042050000000001</v>
      </c>
      <c r="P1991">
        <v>0.2327497</v>
      </c>
      <c r="Q1991">
        <v>0.1019837</v>
      </c>
      <c r="R1991">
        <v>-0.96717500000000001</v>
      </c>
      <c r="S1991">
        <v>0.50434880000000004</v>
      </c>
      <c r="T1991">
        <v>-0.1752813</v>
      </c>
      <c r="U1991">
        <v>-2.9997250000000002</v>
      </c>
      <c r="V1991">
        <v>0.328735099999999</v>
      </c>
      <c r="W1991">
        <v>0.1135814</v>
      </c>
      <c r="X1991">
        <v>0.93756740000000005</v>
      </c>
      <c r="Y1991">
        <v>0.39480330000000002</v>
      </c>
      <c r="Z1991">
        <v>2.923893E-2</v>
      </c>
      <c r="AA1991">
        <v>0.91830029999999996</v>
      </c>
      <c r="AB1991">
        <v>9</v>
      </c>
      <c r="AC1991">
        <v>3.1945000000000001</v>
      </c>
      <c r="AD1991">
        <v>-1.120448501546</v>
      </c>
      <c r="AE1991">
        <v>-19.122999999999902</v>
      </c>
      <c r="AF1991">
        <v>7.6506829902787397</v>
      </c>
      <c r="AG1991">
        <v>-1.120448501546</v>
      </c>
      <c r="AH1991">
        <v>17.7443715557683</v>
      </c>
      <c r="AI1991">
        <v>93.318515741283306</v>
      </c>
      <c r="AJ1991">
        <v>66.676173293320105</v>
      </c>
      <c r="AK1991">
        <v>19.3559054805378</v>
      </c>
      <c r="AL1991">
        <v>83.4781912879114</v>
      </c>
      <c r="AM1991">
        <v>70.678029254773193</v>
      </c>
      <c r="AN1991">
        <v>1.00000006497036</v>
      </c>
    </row>
    <row r="1992" spans="1:40" x14ac:dyDescent="0.25">
      <c r="A1992" t="str">
        <f>"20190303161912408"</f>
        <v>20190303161912408</v>
      </c>
      <c r="B1992" t="str">
        <f>"1551601152394413"</f>
        <v>1551601152394413</v>
      </c>
      <c r="C1992" t="s">
        <v>40</v>
      </c>
      <c r="D1992">
        <v>4.9378409999999997</v>
      </c>
      <c r="E1992">
        <v>0.52751499999999996</v>
      </c>
      <c r="F1992" t="s">
        <v>41</v>
      </c>
      <c r="G1992">
        <v>-190.6867</v>
      </c>
      <c r="H1992" s="1">
        <v>-3.5006750000000002E-6</v>
      </c>
      <c r="I1992">
        <v>337.32339999999999</v>
      </c>
      <c r="J1992">
        <v>-193.8151</v>
      </c>
      <c r="K1992">
        <v>1.1204369999999999</v>
      </c>
      <c r="L1992">
        <v>356.39800000000002</v>
      </c>
      <c r="M1992">
        <v>0.53829300000000002</v>
      </c>
      <c r="N1992">
        <v>-1.336296E-2</v>
      </c>
      <c r="O1992">
        <v>-0.84265210000000002</v>
      </c>
      <c r="P1992">
        <v>0.2294862</v>
      </c>
      <c r="Q1992">
        <v>0.1022769</v>
      </c>
      <c r="R1992">
        <v>-0.9679236</v>
      </c>
      <c r="S1992">
        <v>0.49638369999999998</v>
      </c>
      <c r="T1992">
        <v>-0.17564949999999999</v>
      </c>
      <c r="U1992">
        <v>-3.0009160000000001</v>
      </c>
      <c r="V1992">
        <v>0.32800679999999999</v>
      </c>
      <c r="W1992">
        <v>0.11387799999999999</v>
      </c>
      <c r="X1992">
        <v>0.93778640000000002</v>
      </c>
      <c r="Y1992">
        <v>0.3934396</v>
      </c>
      <c r="Z1992">
        <v>2.9508179999999998E-2</v>
      </c>
      <c r="AA1992">
        <v>0.91887680000000005</v>
      </c>
      <c r="AB1992">
        <v>9</v>
      </c>
      <c r="AC1992">
        <v>3.1283999999999899</v>
      </c>
      <c r="AD1992">
        <v>-1.120440500675</v>
      </c>
      <c r="AE1992">
        <v>-19.0746</v>
      </c>
      <c r="AF1992">
        <v>7.6066919794221297</v>
      </c>
      <c r="AG1992">
        <v>-1.120440500675</v>
      </c>
      <c r="AH1992">
        <v>17.6993591086961</v>
      </c>
      <c r="AI1992">
        <v>93.3285874689808</v>
      </c>
      <c r="AJ1992">
        <v>66.743312787899995</v>
      </c>
      <c r="AK1992">
        <v>19.297265677912598</v>
      </c>
      <c r="AL1992">
        <v>83.461085925713306</v>
      </c>
      <c r="AM1992">
        <v>70.721844169664806</v>
      </c>
      <c r="AN1992">
        <v>0.99999999587760002</v>
      </c>
    </row>
    <row r="1993" spans="1:40" x14ac:dyDescent="0.25">
      <c r="A1993" t="str">
        <f>"20190303161912430"</f>
        <v>20190303161912430</v>
      </c>
      <c r="B1993" t="str">
        <f>"1551601152424670"</f>
        <v>1551601152424670</v>
      </c>
      <c r="C1993" t="s">
        <v>40</v>
      </c>
      <c r="D1993">
        <v>4.9371650000000002</v>
      </c>
      <c r="E1993">
        <v>0.52705429999999998</v>
      </c>
      <c r="F1993" t="s">
        <v>41</v>
      </c>
      <c r="G1993">
        <v>-190.71369999999999</v>
      </c>
      <c r="H1993" s="1">
        <v>-3.5118640000000001E-6</v>
      </c>
      <c r="I1993">
        <v>337.33269999999999</v>
      </c>
      <c r="J1993">
        <v>-193.7724</v>
      </c>
      <c r="K1993">
        <v>1.1204350000000001</v>
      </c>
      <c r="L1993">
        <v>356.32080000000002</v>
      </c>
      <c r="M1993">
        <v>0.53431770000000001</v>
      </c>
      <c r="N1993">
        <v>-1.3362809999999999E-2</v>
      </c>
      <c r="O1993">
        <v>-0.84517809999999904</v>
      </c>
      <c r="P1993">
        <v>0.22572829999999999</v>
      </c>
      <c r="Q1993">
        <v>0.1024824</v>
      </c>
      <c r="R1993">
        <v>-0.96878520000000001</v>
      </c>
      <c r="S1993">
        <v>0.48838809999999999</v>
      </c>
      <c r="T1993">
        <v>-0.17643710000000001</v>
      </c>
      <c r="U1993">
        <v>-3.0022280000000001</v>
      </c>
      <c r="V1993">
        <v>0.32721660000000002</v>
      </c>
      <c r="W1993">
        <v>0.1140878</v>
      </c>
      <c r="X1993">
        <v>0.93803689999999995</v>
      </c>
      <c r="Y1993">
        <v>0.39155899999999999</v>
      </c>
      <c r="Z1993">
        <v>2.9908400000000002E-2</v>
      </c>
      <c r="AA1993">
        <v>0.91966680000000001</v>
      </c>
      <c r="AB1993">
        <v>9</v>
      </c>
      <c r="AC1993">
        <v>3.0587000000000102</v>
      </c>
      <c r="AD1993">
        <v>-1.1204385118639999</v>
      </c>
      <c r="AE1993">
        <v>-18.988099999999999</v>
      </c>
      <c r="AF1993">
        <v>7.5356323117518702</v>
      </c>
      <c r="AG1993">
        <v>-1.1204385118639999</v>
      </c>
      <c r="AH1993">
        <v>17.6244089841129</v>
      </c>
      <c r="AI1993">
        <v>93.345367954724395</v>
      </c>
      <c r="AJ1993">
        <v>66.850000860365</v>
      </c>
      <c r="AK1993">
        <v>19.2005450140371</v>
      </c>
      <c r="AL1993">
        <v>83.448986294792107</v>
      </c>
      <c r="AM1993">
        <v>70.769631175046399</v>
      </c>
      <c r="AN1993">
        <v>0.99999997759300396</v>
      </c>
    </row>
    <row r="1994" spans="1:40" x14ac:dyDescent="0.25">
      <c r="A1994" t="str">
        <f>"20190303161912446"</f>
        <v>20190303161912446</v>
      </c>
      <c r="B1994" t="str">
        <f>"1551601152434430"</f>
        <v>1551601152434430</v>
      </c>
      <c r="C1994" t="s">
        <v>40</v>
      </c>
      <c r="D1994">
        <v>4.9736320000000003</v>
      </c>
      <c r="E1994">
        <v>0.52716640000000003</v>
      </c>
      <c r="F1994" t="s">
        <v>41</v>
      </c>
      <c r="G1994">
        <v>-190.6969</v>
      </c>
      <c r="H1994" s="1">
        <v>-3.409082E-6</v>
      </c>
      <c r="I1994">
        <v>337.10359999999997</v>
      </c>
      <c r="J1994">
        <v>-193.7432</v>
      </c>
      <c r="K1994">
        <v>1.120433</v>
      </c>
      <c r="L1994">
        <v>356.26749999999998</v>
      </c>
      <c r="M1994">
        <v>0.53156429999999999</v>
      </c>
      <c r="N1994">
        <v>-1.3362529999999999E-2</v>
      </c>
      <c r="O1994">
        <v>-0.84691260000000002</v>
      </c>
      <c r="P1994">
        <v>0.2227229</v>
      </c>
      <c r="Q1994">
        <v>0.1024557</v>
      </c>
      <c r="R1994">
        <v>-0.96948310000000004</v>
      </c>
      <c r="S1994">
        <v>0.48063660000000002</v>
      </c>
      <c r="T1994">
        <v>-0.1750979</v>
      </c>
      <c r="U1994">
        <v>-3.0032040000000002</v>
      </c>
      <c r="V1994">
        <v>0.32707389999999997</v>
      </c>
      <c r="W1994">
        <v>0.11406230000000001</v>
      </c>
      <c r="X1994">
        <v>0.93808979999999997</v>
      </c>
      <c r="Y1994">
        <v>0.39092670000000002</v>
      </c>
      <c r="Z1994">
        <v>2.9719200000000001E-2</v>
      </c>
      <c r="AA1994">
        <v>0.91994189999999998</v>
      </c>
      <c r="AB1994">
        <v>9</v>
      </c>
      <c r="AC1994">
        <v>3.0463</v>
      </c>
      <c r="AD1994">
        <v>-1.120436409082</v>
      </c>
      <c r="AE1994">
        <v>-19.163900000000002</v>
      </c>
      <c r="AF1994">
        <v>7.5822944528034801</v>
      </c>
      <c r="AG1994">
        <v>-1.120436409082</v>
      </c>
      <c r="AH1994">
        <v>17.7917273765053</v>
      </c>
      <c r="AI1994">
        <v>93.315641283290006</v>
      </c>
      <c r="AJ1994">
        <v>66.917768127621699</v>
      </c>
      <c r="AK1994">
        <v>19.372458025653302</v>
      </c>
      <c r="AL1994">
        <v>83.450457141351393</v>
      </c>
      <c r="AM1994">
        <v>70.778406638172598</v>
      </c>
      <c r="AN1994">
        <v>1.0000000086032601</v>
      </c>
    </row>
    <row r="1995" spans="1:40" x14ac:dyDescent="0.25">
      <c r="A1995" t="str">
        <f>"20190303161912462"</f>
        <v>20190303161912462</v>
      </c>
      <c r="B1995" t="str">
        <f>"1551601152454925"</f>
        <v>1551601152454925</v>
      </c>
      <c r="C1995" t="s">
        <v>40</v>
      </c>
      <c r="D1995">
        <v>4.8977539999999999</v>
      </c>
      <c r="E1995">
        <v>0.55332199999999998</v>
      </c>
      <c r="F1995" t="s">
        <v>41</v>
      </c>
      <c r="G1995">
        <v>-190.73089999999999</v>
      </c>
      <c r="H1995" s="1">
        <v>-3.3866809999999998E-6</v>
      </c>
      <c r="I1995">
        <v>337.03019999999998</v>
      </c>
      <c r="J1995">
        <v>-193.71019999999999</v>
      </c>
      <c r="K1995">
        <v>1.120433</v>
      </c>
      <c r="L1995">
        <v>356.20659999999998</v>
      </c>
      <c r="M1995">
        <v>0.52840580000000004</v>
      </c>
      <c r="N1995">
        <v>-1.3361939999999999E-2</v>
      </c>
      <c r="O1995">
        <v>-0.84888699999999995</v>
      </c>
      <c r="P1995">
        <v>0.2198358</v>
      </c>
      <c r="Q1995">
        <v>0.1020462</v>
      </c>
      <c r="R1995">
        <v>-0.97018530000000003</v>
      </c>
      <c r="S1995">
        <v>0.47051999999999999</v>
      </c>
      <c r="T1995">
        <v>-0.17500940000000001</v>
      </c>
      <c r="U1995">
        <v>-3.0048219999999999</v>
      </c>
      <c r="V1995">
        <v>0.32639210000000002</v>
      </c>
      <c r="W1995">
        <v>0.1136596</v>
      </c>
      <c r="X1995">
        <v>0.93837610000000005</v>
      </c>
      <c r="Y1995">
        <v>0.390598</v>
      </c>
      <c r="Z1995">
        <v>2.983763E-2</v>
      </c>
      <c r="AA1995">
        <v>0.9200777</v>
      </c>
      <c r="AB1995">
        <v>9</v>
      </c>
      <c r="AC1995">
        <v>2.9792999999999901</v>
      </c>
      <c r="AD1995">
        <v>-1.1204363866810001</v>
      </c>
      <c r="AE1995">
        <v>-19.176400000000001</v>
      </c>
      <c r="AF1995">
        <v>7.5792450929074402</v>
      </c>
      <c r="AG1995">
        <v>-1.1204363866810001</v>
      </c>
      <c r="AH1995">
        <v>17.7951491194566</v>
      </c>
      <c r="AI1995">
        <v>93.315307220211807</v>
      </c>
      <c r="AJ1995">
        <v>66.930051801521699</v>
      </c>
      <c r="AK1995">
        <v>19.374407502131699</v>
      </c>
      <c r="AL1995">
        <v>83.473681169867604</v>
      </c>
      <c r="AM1995">
        <v>70.820969476268502</v>
      </c>
      <c r="AN1995">
        <v>1.00000000633289</v>
      </c>
    </row>
    <row r="1996" spans="1:40" x14ac:dyDescent="0.25">
      <c r="A1996" t="str">
        <f>"20190303161912487"</f>
        <v>20190303161912487</v>
      </c>
      <c r="B1996" t="str">
        <f>"1551601152474445"</f>
        <v>1551601152474445</v>
      </c>
      <c r="C1996" t="s">
        <v>40</v>
      </c>
      <c r="D1996">
        <v>4.8324540000000002</v>
      </c>
      <c r="E1996">
        <v>0.55915179999999998</v>
      </c>
      <c r="F1996" t="s">
        <v>41</v>
      </c>
      <c r="G1996">
        <v>-191.02430000000001</v>
      </c>
      <c r="H1996" s="1">
        <v>-2.2985149999999999E-6</v>
      </c>
      <c r="I1996">
        <v>324.31169999999997</v>
      </c>
      <c r="J1996">
        <v>-193.66569999999999</v>
      </c>
      <c r="K1996">
        <v>1.1204379999999901</v>
      </c>
      <c r="L1996">
        <v>356.12369999999999</v>
      </c>
      <c r="M1996">
        <v>0.52409019999999995</v>
      </c>
      <c r="N1996">
        <v>-1.336063E-2</v>
      </c>
      <c r="O1996">
        <v>-0.85155820000000004</v>
      </c>
      <c r="P1996">
        <v>0.21527569999999999</v>
      </c>
      <c r="Q1996">
        <v>0.101438</v>
      </c>
      <c r="R1996">
        <v>-0.97127149999999995</v>
      </c>
      <c r="S1996">
        <v>0.25645449999999997</v>
      </c>
      <c r="T1996">
        <v>-0.10698000000000001</v>
      </c>
      <c r="U1996">
        <v>-3.0453489999999999</v>
      </c>
      <c r="V1996">
        <v>0.32606689999999999</v>
      </c>
      <c r="W1996">
        <v>0.1130574</v>
      </c>
      <c r="X1996">
        <v>0.93856189999999995</v>
      </c>
      <c r="Y1996">
        <v>0.45065729999999998</v>
      </c>
      <c r="Z1996">
        <v>1.238736E-2</v>
      </c>
      <c r="AA1996">
        <v>0.89261109999999899</v>
      </c>
      <c r="AB1996">
        <v>9</v>
      </c>
      <c r="AC1996">
        <v>2.6413999999999702</v>
      </c>
      <c r="AD1996">
        <v>-1.1204402985149999</v>
      </c>
      <c r="AE1996">
        <v>-31.812000000000001</v>
      </c>
      <c r="AF1996">
        <v>14.406587162605</v>
      </c>
      <c r="AG1996">
        <v>-1.1204402985149999</v>
      </c>
      <c r="AH1996">
        <v>28.441597066081702</v>
      </c>
      <c r="AI1996">
        <v>92.012725175321606</v>
      </c>
      <c r="AJ1996">
        <v>63.136313933976098</v>
      </c>
      <c r="AK1996">
        <v>31.9018742992574</v>
      </c>
      <c r="AL1996">
        <v>83.508408622160104</v>
      </c>
      <c r="AM1996">
        <v>70.842201310531706</v>
      </c>
      <c r="AN1996">
        <v>1.0000000195509799</v>
      </c>
    </row>
    <row r="1997" spans="1:40" x14ac:dyDescent="0.25">
      <c r="A1997" t="str">
        <f>"20190303161912509"</f>
        <v>20190303161912509</v>
      </c>
      <c r="B1997" t="str">
        <f>"1551601152504701"</f>
        <v>1551601152504701</v>
      </c>
      <c r="C1997" t="s">
        <v>40</v>
      </c>
      <c r="D1997">
        <v>4.8358829999999999</v>
      </c>
      <c r="E1997">
        <v>0.56114969999999997</v>
      </c>
      <c r="F1997" t="s">
        <v>41</v>
      </c>
      <c r="G1997">
        <v>-191.60210000000001</v>
      </c>
      <c r="H1997" s="1">
        <v>-2.381946E-6</v>
      </c>
      <c r="I1997">
        <v>324.14780000000002</v>
      </c>
      <c r="J1997">
        <v>-193.62479999999999</v>
      </c>
      <c r="K1997">
        <v>1.120452</v>
      </c>
      <c r="L1997">
        <v>356.04640000000001</v>
      </c>
      <c r="M1997">
        <v>0.52005230000000002</v>
      </c>
      <c r="N1997">
        <v>-1.3359009999999999E-2</v>
      </c>
      <c r="O1997">
        <v>-0.85402979999999995</v>
      </c>
      <c r="P1997">
        <v>0.2109441</v>
      </c>
      <c r="Q1997">
        <v>0.101174</v>
      </c>
      <c r="R1997">
        <v>-0.97224829999999995</v>
      </c>
      <c r="S1997">
        <v>0.1972351</v>
      </c>
      <c r="T1997">
        <v>-0.10709009999999999</v>
      </c>
      <c r="U1997">
        <v>-3.0562130000000001</v>
      </c>
      <c r="V1997">
        <v>0.32581779999999999</v>
      </c>
      <c r="W1997">
        <v>0.1128002</v>
      </c>
      <c r="X1997">
        <v>0.93867929999999999</v>
      </c>
      <c r="Y1997">
        <v>0.46384009999999998</v>
      </c>
      <c r="Z1997">
        <v>1.226431E-2</v>
      </c>
      <c r="AA1997">
        <v>0.88583409999999996</v>
      </c>
      <c r="AB1997">
        <v>9</v>
      </c>
      <c r="AC1997">
        <v>2.02269999999998</v>
      </c>
      <c r="AD1997">
        <v>-1.120454381946</v>
      </c>
      <c r="AE1997">
        <v>-31.898599999999899</v>
      </c>
      <c r="AF1997">
        <v>14.8445804075751</v>
      </c>
      <c r="AG1997">
        <v>-1.120454381946</v>
      </c>
      <c r="AH1997">
        <v>28.2620631652401</v>
      </c>
      <c r="AI1997">
        <v>92.0101521974169</v>
      </c>
      <c r="AJ1997">
        <v>62.289407861854897</v>
      </c>
      <c r="AK1997">
        <v>31.943093147893599</v>
      </c>
      <c r="AL1997">
        <v>83.523239688575302</v>
      </c>
      <c r="AM1997">
        <v>70.857991489705498</v>
      </c>
      <c r="AN1997">
        <v>0.99999997608268398</v>
      </c>
    </row>
    <row r="1998" spans="1:40" x14ac:dyDescent="0.25">
      <c r="A1998" t="str">
        <f>"20190303161912531"</f>
        <v>20190303161912531</v>
      </c>
      <c r="B1998" t="str">
        <f>"1551601152524221"</f>
        <v>1551601152524221</v>
      </c>
      <c r="C1998" t="s">
        <v>40</v>
      </c>
      <c r="D1998">
        <v>4.7882410000000002</v>
      </c>
      <c r="E1998">
        <v>0.56123069999999997</v>
      </c>
      <c r="F1998" t="s">
        <v>41</v>
      </c>
      <c r="G1998">
        <v>-191.89240000000001</v>
      </c>
      <c r="H1998" s="1">
        <v>-2.6182160000000002E-6</v>
      </c>
      <c r="I1998">
        <v>324.51850000000002</v>
      </c>
      <c r="J1998">
        <v>-193.5849</v>
      </c>
      <c r="K1998">
        <v>1.120458</v>
      </c>
      <c r="L1998">
        <v>355.97019999999998</v>
      </c>
      <c r="M1998">
        <v>0.5160614</v>
      </c>
      <c r="N1998">
        <v>-1.3356730000000001E-2</v>
      </c>
      <c r="O1998">
        <v>-0.85644759999999998</v>
      </c>
      <c r="P1998">
        <v>0.20642840000000001</v>
      </c>
      <c r="Q1998">
        <v>0.10146719999999999</v>
      </c>
      <c r="R1998">
        <v>-0.97318660000000001</v>
      </c>
      <c r="S1998">
        <v>0.16816710000000001</v>
      </c>
      <c r="T1998">
        <v>-0.108763</v>
      </c>
      <c r="U1998">
        <v>-3.060425</v>
      </c>
      <c r="V1998">
        <v>0.3257776</v>
      </c>
      <c r="W1998">
        <v>0.1130982</v>
      </c>
      <c r="X1998">
        <v>0.93865750000000003</v>
      </c>
      <c r="Y1998">
        <v>0.46815839999999997</v>
      </c>
      <c r="Z1998">
        <v>1.2678129999999999E-2</v>
      </c>
      <c r="AA1998">
        <v>0.88355360000000005</v>
      </c>
      <c r="AB1998">
        <v>9</v>
      </c>
      <c r="AC1998">
        <v>1.6924999999999899</v>
      </c>
      <c r="AD1998">
        <v>-1.120460618216</v>
      </c>
      <c r="AE1998">
        <v>-31.451699999999899</v>
      </c>
      <c r="AF1998">
        <v>14.764104118398199</v>
      </c>
      <c r="AG1998">
        <v>-1.120460618216</v>
      </c>
      <c r="AH1998">
        <v>27.777492917878199</v>
      </c>
      <c r="AI1998">
        <v>92.039918777855206</v>
      </c>
      <c r="AJ1998">
        <v>62.008765956489803</v>
      </c>
      <c r="AK1998">
        <v>31.477346063774998</v>
      </c>
      <c r="AL1998">
        <v>83.5060562251509</v>
      </c>
      <c r="AM1998">
        <v>70.859769258470706</v>
      </c>
      <c r="AN1998">
        <v>1.0000000749056199</v>
      </c>
    </row>
    <row r="1999" spans="1:40" x14ac:dyDescent="0.25">
      <c r="A1999" t="str">
        <f>"20190303161912552"</f>
        <v>20190303161912552</v>
      </c>
      <c r="B1999" t="str">
        <f>"1551601152544199"</f>
        <v>1551601152544199</v>
      </c>
      <c r="C1999" t="s">
        <v>40</v>
      </c>
      <c r="D1999">
        <v>4.7751320000000002</v>
      </c>
      <c r="E1999">
        <v>0.56100839999999996</v>
      </c>
      <c r="F1999" t="s">
        <v>41</v>
      </c>
      <c r="G1999">
        <v>-192.02459999999999</v>
      </c>
      <c r="H1999" s="1">
        <v>-2.7968360000000002E-6</v>
      </c>
      <c r="I1999">
        <v>324.85289999999998</v>
      </c>
      <c r="J1999">
        <v>-193.54470000000001</v>
      </c>
      <c r="K1999">
        <v>1.1204689999999999</v>
      </c>
      <c r="L1999">
        <v>355.89249999999998</v>
      </c>
      <c r="M1999">
        <v>0.5119842</v>
      </c>
      <c r="N1999">
        <v>-1.335392E-2</v>
      </c>
      <c r="O1999">
        <v>-0.85889110000000002</v>
      </c>
      <c r="P1999">
        <v>0.20191300000000001</v>
      </c>
      <c r="Q1999">
        <v>0.10176499999999999</v>
      </c>
      <c r="R1999">
        <v>-0.97410260000000004</v>
      </c>
      <c r="S1999">
        <v>0.15351870000000001</v>
      </c>
      <c r="T1999">
        <v>-0.1102393</v>
      </c>
      <c r="U1999">
        <v>-3.0615540000000001</v>
      </c>
      <c r="V1999">
        <v>0.325650299999999</v>
      </c>
      <c r="W1999">
        <v>0.1134023</v>
      </c>
      <c r="X1999">
        <v>0.93866490000000002</v>
      </c>
      <c r="Y1999">
        <v>0.4681901</v>
      </c>
      <c r="Z1999">
        <v>1.313284E-2</v>
      </c>
      <c r="AA1999">
        <v>0.88353019999999904</v>
      </c>
      <c r="AB1999">
        <v>9</v>
      </c>
      <c r="AC1999">
        <v>1.52010000000001</v>
      </c>
      <c r="AD1999">
        <v>-1.1204717968359901</v>
      </c>
      <c r="AE1999">
        <v>-31.0396</v>
      </c>
      <c r="AF1999">
        <v>14.5685461373742</v>
      </c>
      <c r="AG1999">
        <v>-1.1204717968359901</v>
      </c>
      <c r="AH1999">
        <v>27.404724212615399</v>
      </c>
      <c r="AI1999">
        <v>92.067582756517496</v>
      </c>
      <c r="AJ1999">
        <v>62.004570821188203</v>
      </c>
      <c r="AK1999">
        <v>31.056672435626702</v>
      </c>
      <c r="AL1999">
        <v>83.488519249530398</v>
      </c>
      <c r="AM1999">
        <v>70.866844463784503</v>
      </c>
      <c r="AN1999">
        <v>0.99999999701369402</v>
      </c>
    </row>
    <row r="2000" spans="1:40" x14ac:dyDescent="0.25">
      <c r="A2000" t="str">
        <f>"20190303161912576"</f>
        <v>20190303161912576</v>
      </c>
      <c r="B2000" t="str">
        <f>"1551601152564695"</f>
        <v>1551601152564695</v>
      </c>
      <c r="C2000" t="s">
        <v>40</v>
      </c>
      <c r="D2000">
        <v>4.807518</v>
      </c>
      <c r="E2000">
        <v>0.56084809999999996</v>
      </c>
      <c r="F2000" t="s">
        <v>41</v>
      </c>
      <c r="G2000">
        <v>-192.06790000000001</v>
      </c>
      <c r="H2000" s="1">
        <v>-2.3971969999999998E-6</v>
      </c>
      <c r="I2000">
        <v>323.89449999999999</v>
      </c>
      <c r="J2000">
        <v>-193.50540000000001</v>
      </c>
      <c r="K2000">
        <v>1.1204829999999999</v>
      </c>
      <c r="L2000">
        <v>355.81560000000002</v>
      </c>
      <c r="M2000">
        <v>0.5079399</v>
      </c>
      <c r="N2000">
        <v>-1.335075E-2</v>
      </c>
      <c r="O2000">
        <v>-0.86128909999999903</v>
      </c>
      <c r="P2000">
        <v>0.1971523</v>
      </c>
      <c r="Q2000">
        <v>0.10253230000000001</v>
      </c>
      <c r="R2000">
        <v>-0.97499669999999905</v>
      </c>
      <c r="S2000">
        <v>0.14131160000000001</v>
      </c>
      <c r="T2000">
        <v>-0.10720929999999999</v>
      </c>
      <c r="U2000">
        <v>-3.0616460000000001</v>
      </c>
      <c r="V2000">
        <v>0.32578000000000001</v>
      </c>
      <c r="W2000">
        <v>0.1141736</v>
      </c>
      <c r="X2000">
        <v>0.93852639999999998</v>
      </c>
      <c r="Y2000">
        <v>0.46755560000000002</v>
      </c>
      <c r="Z2000">
        <v>1.2527490000000001E-2</v>
      </c>
      <c r="AA2000">
        <v>0.88387490000000002</v>
      </c>
      <c r="AB2000">
        <v>9</v>
      </c>
      <c r="AC2000">
        <v>1.4375</v>
      </c>
      <c r="AD2000">
        <v>-1.1204853971969999</v>
      </c>
      <c r="AE2000">
        <v>-31.921099999999999</v>
      </c>
      <c r="AF2000">
        <v>14.9588374361097</v>
      </c>
      <c r="AG2000">
        <v>-1.1204853971969999</v>
      </c>
      <c r="AH2000">
        <v>28.191308284095602</v>
      </c>
      <c r="AI2000">
        <v>92.010788577364295</v>
      </c>
      <c r="AJ2000">
        <v>62.048739073266198</v>
      </c>
      <c r="AK2000">
        <v>31.933871793664601</v>
      </c>
      <c r="AL2000">
        <v>83.444038205980803</v>
      </c>
      <c r="AM2000">
        <v>70.857159411133296</v>
      </c>
      <c r="AN2000">
        <v>1.00000001141696</v>
      </c>
    </row>
    <row r="2001" spans="1:40" x14ac:dyDescent="0.25">
      <c r="A2001" t="str">
        <f>"20190303161912596"</f>
        <v>20190303161912596</v>
      </c>
      <c r="B2001" t="str">
        <f>"1551601152584214"</f>
        <v>1551601152584214</v>
      </c>
      <c r="C2001" t="s">
        <v>40</v>
      </c>
      <c r="D2001">
        <v>4.7385580000000003</v>
      </c>
      <c r="E2001">
        <v>0.56029649999999998</v>
      </c>
      <c r="F2001" t="s">
        <v>41</v>
      </c>
      <c r="G2001">
        <v>-192.11959999999999</v>
      </c>
      <c r="H2001" s="1">
        <v>-1.910002E-6</v>
      </c>
      <c r="I2001">
        <v>322.72669999999999</v>
      </c>
      <c r="J2001">
        <v>-193.46619999999999</v>
      </c>
      <c r="K2001">
        <v>1.120495</v>
      </c>
      <c r="L2001">
        <v>355.738</v>
      </c>
      <c r="M2001">
        <v>0.50385769999999996</v>
      </c>
      <c r="N2001">
        <v>-1.334728E-2</v>
      </c>
      <c r="O2001">
        <v>-0.8636838</v>
      </c>
      <c r="P2001">
        <v>0.1926532</v>
      </c>
      <c r="Q2001">
        <v>0.1032021</v>
      </c>
      <c r="R2001">
        <v>-0.97582500000000005</v>
      </c>
      <c r="S2001">
        <v>0.12823490000000001</v>
      </c>
      <c r="T2001">
        <v>-0.1036866</v>
      </c>
      <c r="U2001">
        <v>-3.0619510000000001</v>
      </c>
      <c r="V2001">
        <v>0.32562950000000002</v>
      </c>
      <c r="W2001">
        <v>0.1148496</v>
      </c>
      <c r="X2001">
        <v>0.93849610000000006</v>
      </c>
      <c r="Y2001">
        <v>0.46714850000000002</v>
      </c>
      <c r="Z2001">
        <v>1.1791569999999999E-2</v>
      </c>
      <c r="AA2001">
        <v>0.88410029999999995</v>
      </c>
      <c r="AB2001">
        <v>9</v>
      </c>
      <c r="AC2001">
        <v>1.34659999999999</v>
      </c>
      <c r="AD2001">
        <v>-1.1204969100019999</v>
      </c>
      <c r="AE2001">
        <v>-33.011299999999999</v>
      </c>
      <c r="AF2001">
        <v>15.453561154790201</v>
      </c>
      <c r="AG2001">
        <v>-1.1204969100019999</v>
      </c>
      <c r="AH2001">
        <v>29.158875250612301</v>
      </c>
      <c r="AI2001">
        <v>91.944652772655999</v>
      </c>
      <c r="AJ2001">
        <v>62.077396264265502</v>
      </c>
      <c r="AK2001">
        <v>33.0198133182327</v>
      </c>
      <c r="AL2001">
        <v>83.405049487272393</v>
      </c>
      <c r="AM2001">
        <v>70.864786781960504</v>
      </c>
      <c r="AN2001">
        <v>0.99999996580280903</v>
      </c>
    </row>
    <row r="2002" spans="1:40" x14ac:dyDescent="0.25">
      <c r="A2002" t="str">
        <f>"20190303161912620"</f>
        <v>20190303161912620</v>
      </c>
      <c r="B2002" t="str">
        <f>"1551601152614471"</f>
        <v>1551601152614471</v>
      </c>
      <c r="C2002" t="s">
        <v>40</v>
      </c>
      <c r="D2002">
        <v>4.745628</v>
      </c>
      <c r="E2002">
        <v>0.55959859999999995</v>
      </c>
      <c r="F2002" t="s">
        <v>41</v>
      </c>
      <c r="G2002">
        <v>-192.16229999999999</v>
      </c>
      <c r="H2002" s="1">
        <v>-1.7233789999999999E-6</v>
      </c>
      <c r="I2002">
        <v>322.26519999999999</v>
      </c>
      <c r="J2002">
        <v>-193.42509999999999</v>
      </c>
      <c r="K2002">
        <v>1.1205080000000001</v>
      </c>
      <c r="L2002">
        <v>355.65559999999999</v>
      </c>
      <c r="M2002">
        <v>0.49951889999999999</v>
      </c>
      <c r="N2002">
        <v>-1.33432E-2</v>
      </c>
      <c r="O2002">
        <v>-0.86620059999999999</v>
      </c>
      <c r="P2002">
        <v>0.18787010000000001</v>
      </c>
      <c r="Q2002">
        <v>0.10291409999999999</v>
      </c>
      <c r="R2002">
        <v>-0.97678799999999999</v>
      </c>
      <c r="S2002">
        <v>0.1192627</v>
      </c>
      <c r="T2002">
        <v>-0.1024871</v>
      </c>
      <c r="U2002">
        <v>-3.0616150000000002</v>
      </c>
      <c r="V2002">
        <v>0.3255305</v>
      </c>
      <c r="W2002">
        <v>0.1145682</v>
      </c>
      <c r="X2002">
        <v>0.93856490000000004</v>
      </c>
      <c r="Y2002">
        <v>0.46529779999999998</v>
      </c>
      <c r="Z2002">
        <v>1.1639180000000001E-2</v>
      </c>
      <c r="AA2002">
        <v>0.88507769999999997</v>
      </c>
      <c r="AB2002">
        <v>9</v>
      </c>
      <c r="AC2002">
        <v>1.2627999999999899</v>
      </c>
      <c r="AD2002">
        <v>-1.120509723379</v>
      </c>
      <c r="AE2002">
        <v>-33.3904</v>
      </c>
      <c r="AF2002">
        <v>15.56917242576</v>
      </c>
      <c r="AG2002">
        <v>-1.120509723379</v>
      </c>
      <c r="AH2002">
        <v>29.522999359857799</v>
      </c>
      <c r="AI2002">
        <v>91.922787535751596</v>
      </c>
      <c r="AJ2002">
        <v>62.194744952830099</v>
      </c>
      <c r="AK2002">
        <v>33.395541068612701</v>
      </c>
      <c r="AL2002">
        <v>83.421280045619199</v>
      </c>
      <c r="AM2002">
        <v>70.871481907296598</v>
      </c>
      <c r="AN2002">
        <v>1.00000002519674</v>
      </c>
    </row>
    <row r="2003" spans="1:40" x14ac:dyDescent="0.25">
      <c r="A2003" t="str">
        <f>"20190303161912641"</f>
        <v>20190303161912641</v>
      </c>
      <c r="B2003" t="str">
        <f>"1551601152633991"</f>
        <v>1551601152633991</v>
      </c>
      <c r="C2003" t="s">
        <v>40</v>
      </c>
      <c r="D2003">
        <v>4.7069859999999997</v>
      </c>
      <c r="E2003">
        <v>0.5591332</v>
      </c>
      <c r="F2003" t="s">
        <v>41</v>
      </c>
      <c r="G2003">
        <v>-192.22839999999999</v>
      </c>
      <c r="H2003" s="1">
        <v>-1.801606E-6</v>
      </c>
      <c r="I2003">
        <v>322.40660000000003</v>
      </c>
      <c r="J2003">
        <v>-193.38820000000001</v>
      </c>
      <c r="K2003">
        <v>1.120511</v>
      </c>
      <c r="L2003">
        <v>355.58080000000001</v>
      </c>
      <c r="M2003">
        <v>0.49557649999999998</v>
      </c>
      <c r="N2003">
        <v>-1.3339429999999999E-2</v>
      </c>
      <c r="O2003">
        <v>-0.86846199999999996</v>
      </c>
      <c r="P2003">
        <v>0.1836248</v>
      </c>
      <c r="Q2003">
        <v>0.10302459999999999</v>
      </c>
      <c r="R2003">
        <v>-0.97758290000000003</v>
      </c>
      <c r="S2003">
        <v>0.1101685</v>
      </c>
      <c r="T2003">
        <v>-0.10315630000000001</v>
      </c>
      <c r="U2003">
        <v>-3.0609739999999999</v>
      </c>
      <c r="V2003">
        <v>0.32533329999999999</v>
      </c>
      <c r="W2003">
        <v>0.1146842</v>
      </c>
      <c r="X2003">
        <v>0.93861910000000004</v>
      </c>
      <c r="Y2003">
        <v>0.46389269999999999</v>
      </c>
      <c r="Z2003">
        <v>1.192432E-2</v>
      </c>
      <c r="AA2003">
        <v>0.88581119999999902</v>
      </c>
      <c r="AB2003">
        <v>9</v>
      </c>
      <c r="AC2003">
        <v>1.1598000000000099</v>
      </c>
      <c r="AD2003">
        <v>-1.120512801606</v>
      </c>
      <c r="AE2003">
        <v>-33.1741999999999</v>
      </c>
      <c r="AF2003">
        <v>15.4169159284383</v>
      </c>
      <c r="AG2003">
        <v>-1.120512801606</v>
      </c>
      <c r="AH2003">
        <v>29.354464269022401</v>
      </c>
      <c r="AI2003">
        <v>91.935544144423403</v>
      </c>
      <c r="AJ2003">
        <v>62.2916192749109</v>
      </c>
      <c r="AK2003">
        <v>33.175614812756898</v>
      </c>
      <c r="AL2003">
        <v>83.414589591555895</v>
      </c>
      <c r="AM2003">
        <v>70.883252058716494</v>
      </c>
      <c r="AN2003">
        <v>1.00000001835166</v>
      </c>
    </row>
    <row r="2004" spans="1:40" x14ac:dyDescent="0.25">
      <c r="A2004" t="str">
        <f>"20190303161912664"</f>
        <v>20190303161912664</v>
      </c>
      <c r="B2004" t="str">
        <f>"1551601152654486"</f>
        <v>1551601152654486</v>
      </c>
      <c r="C2004" t="s">
        <v>40</v>
      </c>
      <c r="D2004">
        <v>4.702928</v>
      </c>
      <c r="E2004">
        <v>0.5587124</v>
      </c>
      <c r="F2004" t="s">
        <v>41</v>
      </c>
      <c r="G2004">
        <v>-192.29580000000001</v>
      </c>
      <c r="H2004" s="1">
        <v>-1.8125579999999999E-6</v>
      </c>
      <c r="I2004">
        <v>322.3904</v>
      </c>
      <c r="J2004">
        <v>-193.3511</v>
      </c>
      <c r="K2004">
        <v>1.1205259999999999</v>
      </c>
      <c r="L2004">
        <v>355.50479999999999</v>
      </c>
      <c r="M2004">
        <v>0.49156719999999998</v>
      </c>
      <c r="N2004">
        <v>-1.333531E-2</v>
      </c>
      <c r="O2004">
        <v>-0.87073739999999999</v>
      </c>
      <c r="P2004">
        <v>0.1789307</v>
      </c>
      <c r="Q2004">
        <v>0.1044408</v>
      </c>
      <c r="R2004">
        <v>-0.97830249999999996</v>
      </c>
      <c r="S2004">
        <v>0.10073849999999999</v>
      </c>
      <c r="T2004">
        <v>-0.1033304</v>
      </c>
      <c r="U2004">
        <v>-3.06073</v>
      </c>
      <c r="V2004">
        <v>0.32543820000000001</v>
      </c>
      <c r="W2004">
        <v>0.11610139999999999</v>
      </c>
      <c r="X2004">
        <v>0.93840840000000003</v>
      </c>
      <c r="Y2004">
        <v>0.462532</v>
      </c>
      <c r="Z2004">
        <v>1.20871E-2</v>
      </c>
      <c r="AA2004">
        <v>0.88652009999999903</v>
      </c>
      <c r="AB2004">
        <v>9</v>
      </c>
      <c r="AC2004">
        <v>1.0552999999999799</v>
      </c>
      <c r="AD2004">
        <v>-1.1205278125579901</v>
      </c>
      <c r="AE2004">
        <v>-33.114399999999897</v>
      </c>
      <c r="AF2004">
        <v>15.342881353160999</v>
      </c>
      <c r="AG2004">
        <v>-1.1205278125579901</v>
      </c>
      <c r="AH2004">
        <v>29.3217713333223</v>
      </c>
      <c r="AI2004">
        <v>91.9392712597718</v>
      </c>
      <c r="AJ2004">
        <v>62.378780776483801</v>
      </c>
      <c r="AK2004">
        <v>33.112321949986097</v>
      </c>
      <c r="AL2004">
        <v>83.332843424185199</v>
      </c>
      <c r="AM2004">
        <v>70.873554015614104</v>
      </c>
      <c r="AN2004">
        <v>0.99999994114587798</v>
      </c>
    </row>
    <row r="2005" spans="1:40" x14ac:dyDescent="0.25">
      <c r="A2005" t="str">
        <f>"20190303161912687"</f>
        <v>20190303161912687</v>
      </c>
      <c r="B2005" t="str">
        <f>"1551601152674006"</f>
        <v>1551601152674006</v>
      </c>
      <c r="C2005" t="s">
        <v>40</v>
      </c>
      <c r="D2005">
        <v>4.6971030000000003</v>
      </c>
      <c r="E2005">
        <v>0.55825899999999995</v>
      </c>
      <c r="F2005" t="s">
        <v>41</v>
      </c>
      <c r="G2005">
        <v>-192.32159999999999</v>
      </c>
      <c r="H2005" s="1">
        <v>-9.2613999999999995E-7</v>
      </c>
      <c r="I2005">
        <v>320.30810000000002</v>
      </c>
      <c r="J2005">
        <v>-193.3124</v>
      </c>
      <c r="K2005">
        <v>1.1205430000000001</v>
      </c>
      <c r="L2005">
        <v>355.42439999999999</v>
      </c>
      <c r="M2005">
        <v>0.48732029999999898</v>
      </c>
      <c r="N2005">
        <v>-1.3330989999999999E-2</v>
      </c>
      <c r="O2005">
        <v>-0.873121699999999</v>
      </c>
      <c r="P2005">
        <v>0.17477219999999999</v>
      </c>
      <c r="Q2005">
        <v>0.1060769</v>
      </c>
      <c r="R2005">
        <v>-0.97887809999999997</v>
      </c>
      <c r="S2005">
        <v>8.9523320000000003E-2</v>
      </c>
      <c r="T2005">
        <v>-9.7435830000000001E-2</v>
      </c>
      <c r="U2005">
        <v>-3.0605470000000001</v>
      </c>
      <c r="V2005">
        <v>0.3247698</v>
      </c>
      <c r="W2005">
        <v>0.1177433</v>
      </c>
      <c r="X2005">
        <v>0.93843540000000003</v>
      </c>
      <c r="Y2005">
        <v>0.46146559999999998</v>
      </c>
      <c r="Z2005">
        <v>1.0757930000000001E-2</v>
      </c>
      <c r="AA2005">
        <v>0.88709289999999996</v>
      </c>
      <c r="AB2005">
        <v>8</v>
      </c>
      <c r="AC2005">
        <v>0.99080000000000701</v>
      </c>
      <c r="AD2005">
        <v>-1.1205439261399901</v>
      </c>
      <c r="AE2005">
        <v>-35.116299999999903</v>
      </c>
      <c r="AF2005">
        <v>16.2327231378104</v>
      </c>
      <c r="AG2005">
        <v>-1.1205439261399901</v>
      </c>
      <c r="AH2005">
        <v>31.114747302741598</v>
      </c>
      <c r="AI2005">
        <v>91.8287910217866</v>
      </c>
      <c r="AJ2005">
        <v>62.448719915521899</v>
      </c>
      <c r="AK2005">
        <v>35.112453899901098</v>
      </c>
      <c r="AL2005">
        <v>83.238119849244399</v>
      </c>
      <c r="AM2005">
        <v>70.910500339473501</v>
      </c>
      <c r="AN2005">
        <v>0.99999995383004403</v>
      </c>
    </row>
    <row r="2006" spans="1:40" x14ac:dyDescent="0.25">
      <c r="A2006" t="str">
        <f>"20190303161912712"</f>
        <v>20190303161912712</v>
      </c>
      <c r="B2006" t="str">
        <f>"1551601152704263"</f>
        <v>1551601152704263</v>
      </c>
      <c r="C2006" t="s">
        <v>40</v>
      </c>
      <c r="D2006">
        <v>4.6759919999999999</v>
      </c>
      <c r="E2006">
        <v>0.55753790000000003</v>
      </c>
      <c r="F2006" t="s">
        <v>41</v>
      </c>
      <c r="G2006">
        <v>-192.3349</v>
      </c>
      <c r="H2006" s="1">
        <v>-4.5676330000000004E-6</v>
      </c>
      <c r="I2006">
        <v>318.10199999999998</v>
      </c>
      <c r="J2006">
        <v>-193.2722</v>
      </c>
      <c r="K2006">
        <v>1.1205639999999999</v>
      </c>
      <c r="L2006">
        <v>355.3399</v>
      </c>
      <c r="M2006">
        <v>0.4828559</v>
      </c>
      <c r="N2006">
        <v>-1.3326319999999999E-2</v>
      </c>
      <c r="O2006">
        <v>-0.87559849999999995</v>
      </c>
      <c r="P2006">
        <v>0.17115320000000001</v>
      </c>
      <c r="Q2006">
        <v>0.1072519</v>
      </c>
      <c r="R2006">
        <v>-0.97938950000000002</v>
      </c>
      <c r="S2006">
        <v>8.0154420000000004E-2</v>
      </c>
      <c r="T2006">
        <v>-9.1885449999999994E-2</v>
      </c>
      <c r="U2006">
        <v>-3.0604550000000001</v>
      </c>
      <c r="V2006">
        <v>0.32338309999999998</v>
      </c>
      <c r="W2006">
        <v>0.1189284</v>
      </c>
      <c r="X2006">
        <v>0.93876490000000001</v>
      </c>
      <c r="Y2006">
        <v>0.45965610000000001</v>
      </c>
      <c r="Z2006">
        <v>9.5107460000000005E-3</v>
      </c>
      <c r="AA2006">
        <v>0.88804609999999995</v>
      </c>
      <c r="AB2006">
        <v>8</v>
      </c>
      <c r="AC2006">
        <v>0.93729999999999303</v>
      </c>
      <c r="AD2006">
        <v>-1.1205685676329999</v>
      </c>
      <c r="AE2006">
        <v>-37.237899999999897</v>
      </c>
      <c r="AF2006">
        <v>17.145847545357299</v>
      </c>
      <c r="AG2006">
        <v>-1.1205685676329999</v>
      </c>
      <c r="AH2006">
        <v>33.031071686114998</v>
      </c>
      <c r="AI2006">
        <v>91.724646160424399</v>
      </c>
      <c r="AJ2006">
        <v>62.566968784067399</v>
      </c>
      <c r="AK2006">
        <v>37.232881418131903</v>
      </c>
      <c r="AL2006">
        <v>83.169738905179102</v>
      </c>
      <c r="AM2006">
        <v>70.992338342148003</v>
      </c>
      <c r="AN2006">
        <v>1.00000006558208</v>
      </c>
    </row>
    <row r="2007" spans="1:40" x14ac:dyDescent="0.25">
      <c r="A2007" t="str">
        <f>"20190303161912733"</f>
        <v>20190303161912733</v>
      </c>
      <c r="B2007" t="str">
        <f>"1551601152724758"</f>
        <v>1551601152724758</v>
      </c>
      <c r="C2007" t="s">
        <v>40</v>
      </c>
      <c r="D2007">
        <v>4.6540439999999998</v>
      </c>
      <c r="E2007">
        <v>0.54358790000000001</v>
      </c>
      <c r="F2007" t="s">
        <v>41</v>
      </c>
      <c r="G2007">
        <v>-192.3252</v>
      </c>
      <c r="H2007" s="1">
        <v>-3.9210390000000003E-6</v>
      </c>
      <c r="I2007">
        <v>316.57769999999999</v>
      </c>
      <c r="J2007">
        <v>-193.2364</v>
      </c>
      <c r="K2007">
        <v>1.1205769999999999</v>
      </c>
      <c r="L2007">
        <v>355.26369999999997</v>
      </c>
      <c r="M2007">
        <v>0.4788249</v>
      </c>
      <c r="N2007">
        <v>-1.3322240000000001E-2</v>
      </c>
      <c r="O2007">
        <v>-0.87780949999999902</v>
      </c>
      <c r="P2007">
        <v>0.16847760000000001</v>
      </c>
      <c r="Q2007">
        <v>0.10766439999999999</v>
      </c>
      <c r="R2007">
        <v>-0.97980829999999997</v>
      </c>
      <c r="S2007">
        <v>7.4752810000000003E-2</v>
      </c>
      <c r="T2007">
        <v>-8.8453649999999995E-2</v>
      </c>
      <c r="U2007">
        <v>-3.0597530000000002</v>
      </c>
      <c r="V2007">
        <v>0.32160470000000002</v>
      </c>
      <c r="W2007">
        <v>0.1193545</v>
      </c>
      <c r="X2007">
        <v>0.93932150000000003</v>
      </c>
      <c r="Y2007">
        <v>0.45713799999999999</v>
      </c>
      <c r="Z2007">
        <v>8.7778490000000008E-3</v>
      </c>
      <c r="AA2007">
        <v>0.88935249999999999</v>
      </c>
      <c r="AB2007">
        <v>8</v>
      </c>
      <c r="AC2007">
        <v>0.911200000000007</v>
      </c>
      <c r="AD2007">
        <v>-1.1205809210390001</v>
      </c>
      <c r="AE2007">
        <v>-38.6859999999999</v>
      </c>
      <c r="AF2007">
        <v>17.710678992425802</v>
      </c>
      <c r="AG2007">
        <v>-1.1205809210390001</v>
      </c>
      <c r="AH2007">
        <v>34.369470221529902</v>
      </c>
      <c r="AI2007">
        <v>91.660099319836803</v>
      </c>
      <c r="AJ2007">
        <v>62.737828861876402</v>
      </c>
      <c r="AK2007">
        <v>38.680542075854902</v>
      </c>
      <c r="AL2007">
        <v>83.145149446451597</v>
      </c>
      <c r="AM2007">
        <v>71.099832480771795</v>
      </c>
      <c r="AN2007">
        <v>0.99999998004729396</v>
      </c>
    </row>
    <row r="2008" spans="1:40" x14ac:dyDescent="0.25">
      <c r="A2008" t="str">
        <f>"20190303161912755"</f>
        <v>20190303161912755</v>
      </c>
      <c r="B2008" t="str">
        <f>"1551601152744278"</f>
        <v>1551601152744278</v>
      </c>
      <c r="C2008" t="s">
        <v>40</v>
      </c>
      <c r="D2008">
        <v>4.6710079999999996</v>
      </c>
      <c r="E2008">
        <v>0.51626240000000001</v>
      </c>
      <c r="F2008" t="s">
        <v>41</v>
      </c>
      <c r="G2008">
        <v>-191.33240000000001</v>
      </c>
      <c r="H2008" s="1">
        <v>-1.5814020000000001E-6</v>
      </c>
      <c r="I2008">
        <v>322.44900000000001</v>
      </c>
      <c r="J2008">
        <v>-193.20179999999999</v>
      </c>
      <c r="K2008">
        <v>1.1205879999999999</v>
      </c>
      <c r="L2008">
        <v>355.1891</v>
      </c>
      <c r="M2008">
        <v>0.47487849999999998</v>
      </c>
      <c r="N2008">
        <v>-1.33185E-2</v>
      </c>
      <c r="O2008">
        <v>-0.87995069999999997</v>
      </c>
      <c r="P2008">
        <v>0.165157</v>
      </c>
      <c r="Q2008">
        <v>0.1080368</v>
      </c>
      <c r="R2008">
        <v>-0.98033250000000005</v>
      </c>
      <c r="S2008">
        <v>0.17655940000000001</v>
      </c>
      <c r="T2008">
        <v>-0.1039093</v>
      </c>
      <c r="U2008">
        <v>-3.0428470000000001</v>
      </c>
      <c r="V2008">
        <v>0.32054729999999998</v>
      </c>
      <c r="W2008">
        <v>0.1197356</v>
      </c>
      <c r="X2008">
        <v>0.93963439999999998</v>
      </c>
      <c r="Y2008">
        <v>0.42299750000000003</v>
      </c>
      <c r="Z2008">
        <v>1.327414E-2</v>
      </c>
      <c r="AA2008">
        <v>0.90603359999999999</v>
      </c>
      <c r="AB2008">
        <v>8</v>
      </c>
      <c r="AC2008">
        <v>1.86939999999998</v>
      </c>
      <c r="AD2008">
        <v>-1.1205895814019999</v>
      </c>
      <c r="AE2008">
        <v>-32.740099999999899</v>
      </c>
      <c r="AF2008">
        <v>13.887605384567699</v>
      </c>
      <c r="AG2008">
        <v>-1.1205895814019999</v>
      </c>
      <c r="AH2008">
        <v>29.665403604061201</v>
      </c>
      <c r="AI2008">
        <v>91.959385494396003</v>
      </c>
      <c r="AJ2008">
        <v>64.913757480533306</v>
      </c>
      <c r="AK2008">
        <v>32.774341722134899</v>
      </c>
      <c r="AL2008">
        <v>83.123156413745605</v>
      </c>
      <c r="AM2008">
        <v>71.163415217490396</v>
      </c>
      <c r="AN2008">
        <v>0.99999999555400498</v>
      </c>
    </row>
    <row r="2009" spans="1:40" x14ac:dyDescent="0.25">
      <c r="A2009" t="str">
        <f>"20190303161912776"</f>
        <v>20190303161912776</v>
      </c>
      <c r="B2009" t="str">
        <f>"1551601152764778"</f>
        <v>1551601152764778</v>
      </c>
      <c r="C2009" t="s">
        <v>40</v>
      </c>
      <c r="D2009">
        <v>4.6818689999999998</v>
      </c>
      <c r="E2009">
        <v>0.50903310000000002</v>
      </c>
      <c r="F2009" t="s">
        <v>41</v>
      </c>
      <c r="G2009">
        <v>-189.8074</v>
      </c>
      <c r="H2009" s="1">
        <v>-3.8090010000000001E-6</v>
      </c>
      <c r="I2009">
        <v>328.43200000000002</v>
      </c>
      <c r="J2009">
        <v>-193.16739999999999</v>
      </c>
      <c r="K2009">
        <v>1.120595</v>
      </c>
      <c r="L2009">
        <v>355.11399999999998</v>
      </c>
      <c r="M2009">
        <v>0.47089209999999898</v>
      </c>
      <c r="N2009">
        <v>-1.3314960000000001E-2</v>
      </c>
      <c r="O2009">
        <v>-0.88209040000000005</v>
      </c>
      <c r="P2009">
        <v>0.16177169999999999</v>
      </c>
      <c r="Q2009">
        <v>0.10924349999999999</v>
      </c>
      <c r="R2009">
        <v>-0.9807631</v>
      </c>
      <c r="S2009">
        <v>0.38182070000000001</v>
      </c>
      <c r="T2009">
        <v>-0.12604949999999901</v>
      </c>
      <c r="U2009">
        <v>-3.0097659999999999</v>
      </c>
      <c r="V2009">
        <v>0.31947639999999999</v>
      </c>
      <c r="W2009">
        <v>0.1209479</v>
      </c>
      <c r="X2009">
        <v>0.93984380000000001</v>
      </c>
      <c r="Y2009">
        <v>0.35604479999999999</v>
      </c>
      <c r="Z2009">
        <v>2.0130829999999999E-2</v>
      </c>
      <c r="AA2009">
        <v>0.93425199999999997</v>
      </c>
      <c r="AB2009">
        <v>8</v>
      </c>
      <c r="AC2009">
        <v>3.3599999999999799</v>
      </c>
      <c r="AD2009">
        <v>-1.120598809001</v>
      </c>
      <c r="AE2009">
        <v>-26.681999999999999</v>
      </c>
      <c r="AF2009">
        <v>9.5847275897711093</v>
      </c>
      <c r="AG2009">
        <v>-1.120598809001</v>
      </c>
      <c r="AH2009">
        <v>25.076817255373999</v>
      </c>
      <c r="AI2009">
        <v>92.390228046940905</v>
      </c>
      <c r="AJ2009">
        <v>69.082410140072199</v>
      </c>
      <c r="AK2009">
        <v>26.869490287690201</v>
      </c>
      <c r="AL2009">
        <v>83.053188040804301</v>
      </c>
      <c r="AM2009">
        <v>71.225818972042603</v>
      </c>
      <c r="AN2009">
        <v>0.99999996653490397</v>
      </c>
    </row>
    <row r="2010" spans="1:40" x14ac:dyDescent="0.25">
      <c r="A2010" t="str">
        <f>"20190303161912798"</f>
        <v>20190303161912798</v>
      </c>
      <c r="B2010" t="str">
        <f>"1551601152784298"</f>
        <v>1551601152784298</v>
      </c>
      <c r="C2010" t="s">
        <v>40</v>
      </c>
      <c r="D2010">
        <v>4.6643470000000002</v>
      </c>
      <c r="E2010">
        <v>0.50575329999999996</v>
      </c>
      <c r="F2010" t="s">
        <v>41</v>
      </c>
      <c r="G2010">
        <v>-189.96029999999999</v>
      </c>
      <c r="H2010" s="1">
        <v>-1.314841E-6</v>
      </c>
      <c r="I2010">
        <v>332.67860000000002</v>
      </c>
      <c r="J2010">
        <v>-193.1318</v>
      </c>
      <c r="K2010">
        <v>1.1205989999999999</v>
      </c>
      <c r="L2010">
        <v>355.03550000000001</v>
      </c>
      <c r="M2010">
        <v>0.46671960000000001</v>
      </c>
      <c r="N2010">
        <v>-1.331152E-2</v>
      </c>
      <c r="O2010">
        <v>-0.88430529999999996</v>
      </c>
      <c r="P2010">
        <v>0.157494</v>
      </c>
      <c r="Q2010">
        <v>0.1105719</v>
      </c>
      <c r="R2010">
        <v>-0.98131029999999997</v>
      </c>
      <c r="S2010">
        <v>0.42950440000000001</v>
      </c>
      <c r="T2010">
        <v>-0.15007690000000001</v>
      </c>
      <c r="U2010">
        <v>-3.0046689999999998</v>
      </c>
      <c r="V2010">
        <v>0.31906659999999998</v>
      </c>
      <c r="W2010">
        <v>0.122276</v>
      </c>
      <c r="X2010">
        <v>0.93981119999999996</v>
      </c>
      <c r="Y2010">
        <v>0.33680919999999998</v>
      </c>
      <c r="Z2010">
        <v>2.6840349999999999E-2</v>
      </c>
      <c r="AA2010">
        <v>0.94119030000000004</v>
      </c>
      <c r="AB2010">
        <v>8</v>
      </c>
      <c r="AC2010">
        <v>3.1715</v>
      </c>
      <c r="AD2010">
        <v>-1.120600314841</v>
      </c>
      <c r="AE2010">
        <v>-22.3569</v>
      </c>
      <c r="AF2010">
        <v>7.6117582291793999</v>
      </c>
      <c r="AG2010">
        <v>-1.120600314841</v>
      </c>
      <c r="AH2010">
        <v>21.2001953737715</v>
      </c>
      <c r="AI2010">
        <v>92.848037761790593</v>
      </c>
      <c r="AJ2010">
        <v>70.249735876451098</v>
      </c>
      <c r="AK2010">
        <v>22.553112696281801</v>
      </c>
      <c r="AL2010">
        <v>82.976524750434507</v>
      </c>
      <c r="AM2010">
        <v>71.247611911762107</v>
      </c>
      <c r="AN2010">
        <v>1.0000000035284999</v>
      </c>
    </row>
    <row r="2011" spans="1:40" x14ac:dyDescent="0.25">
      <c r="A2011" t="str">
        <f>"20190303161912823"</f>
        <v>20190303161912823</v>
      </c>
      <c r="B2011" t="str">
        <f>"1551601152814551"</f>
        <v>1551601152814551</v>
      </c>
      <c r="C2011" t="s">
        <v>40</v>
      </c>
      <c r="D2011">
        <v>4.6441470000000002</v>
      </c>
      <c r="E2011">
        <v>0.50407650000000004</v>
      </c>
      <c r="F2011" t="s">
        <v>41</v>
      </c>
      <c r="G2011">
        <v>-189.97970000000001</v>
      </c>
      <c r="H2011" s="1">
        <v>-1.7336790000000001E-6</v>
      </c>
      <c r="I2011">
        <v>333.64299999999997</v>
      </c>
      <c r="J2011">
        <v>-193.09440000000001</v>
      </c>
      <c r="K2011">
        <v>1.1206050000000001</v>
      </c>
      <c r="L2011">
        <v>354.95159999999998</v>
      </c>
      <c r="M2011">
        <v>0.46224969999999999</v>
      </c>
      <c r="N2011">
        <v>-1.330839E-2</v>
      </c>
      <c r="O2011">
        <v>-0.8866501</v>
      </c>
      <c r="P2011">
        <v>0.15334100000000001</v>
      </c>
      <c r="Q2011">
        <v>0.1106577</v>
      </c>
      <c r="R2011">
        <v>-0.981958</v>
      </c>
      <c r="S2011">
        <v>0.4426117</v>
      </c>
      <c r="T2011">
        <v>-0.15734860000000001</v>
      </c>
      <c r="U2011">
        <v>-3.0038149999999999</v>
      </c>
      <c r="V2011">
        <v>0.31829299999999999</v>
      </c>
      <c r="W2011">
        <v>0.1223635</v>
      </c>
      <c r="X2011">
        <v>0.94006210000000001</v>
      </c>
      <c r="Y2011">
        <v>0.32799020000000001</v>
      </c>
      <c r="Z2011">
        <v>2.903377E-2</v>
      </c>
      <c r="AA2011">
        <v>0.94423480000000004</v>
      </c>
      <c r="AB2011">
        <v>8</v>
      </c>
      <c r="AC2011">
        <v>3.1146999999999898</v>
      </c>
      <c r="AD2011">
        <v>-1.12060673367899</v>
      </c>
      <c r="AE2011">
        <v>-21.308599999999899</v>
      </c>
      <c r="AF2011">
        <v>7.0697282772516097</v>
      </c>
      <c r="AG2011">
        <v>-1.12060673367899</v>
      </c>
      <c r="AH2011">
        <v>20.279925481422801</v>
      </c>
      <c r="AI2011">
        <v>92.9868333124885</v>
      </c>
      <c r="AJ2011">
        <v>70.781076735207193</v>
      </c>
      <c r="AK2011">
        <v>21.5060966913525</v>
      </c>
      <c r="AL2011">
        <v>82.971473455036204</v>
      </c>
      <c r="AM2011">
        <v>71.294557269924695</v>
      </c>
      <c r="AN2011">
        <v>1.0000000059188201</v>
      </c>
    </row>
    <row r="2012" spans="1:40" x14ac:dyDescent="0.25">
      <c r="A2012" t="str">
        <f>"20190303161912843"</f>
        <v>20190303161912843</v>
      </c>
      <c r="B2012" t="str">
        <f>"1551601152834070"</f>
        <v>1551601152834070</v>
      </c>
      <c r="C2012" t="s">
        <v>40</v>
      </c>
      <c r="D2012">
        <v>4.6225180000000003</v>
      </c>
      <c r="E2012">
        <v>0.50338179999999999</v>
      </c>
      <c r="F2012" t="s">
        <v>41</v>
      </c>
      <c r="G2012">
        <v>-190.1215</v>
      </c>
      <c r="H2012" s="1">
        <v>-2.2589679999999998E-6</v>
      </c>
      <c r="I2012">
        <v>334.77940000000001</v>
      </c>
      <c r="J2012">
        <v>-193.0626</v>
      </c>
      <c r="K2012">
        <v>1.1206</v>
      </c>
      <c r="L2012">
        <v>354.87959999999998</v>
      </c>
      <c r="M2012">
        <v>0.45839469999999999</v>
      </c>
      <c r="N2012">
        <v>-1.3306299999999899E-2</v>
      </c>
      <c r="O2012">
        <v>-0.88864920000000003</v>
      </c>
      <c r="P2012">
        <v>0.14991260000000001</v>
      </c>
      <c r="Q2012">
        <v>0.1104919</v>
      </c>
      <c r="R2012">
        <v>-0.98250610000000005</v>
      </c>
      <c r="S2012">
        <v>0.44282529999999998</v>
      </c>
      <c r="T2012">
        <v>-0.1669226</v>
      </c>
      <c r="U2012">
        <v>-3.004791</v>
      </c>
      <c r="V2012">
        <v>0.31749939999999999</v>
      </c>
      <c r="W2012">
        <v>0.1221988</v>
      </c>
      <c r="X2012">
        <v>0.94035179999999996</v>
      </c>
      <c r="Y2012">
        <v>0.32386999999999999</v>
      </c>
      <c r="Z2012">
        <v>3.1760570000000002E-2</v>
      </c>
      <c r="AA2012">
        <v>0.94556830000000003</v>
      </c>
      <c r="AB2012">
        <v>8</v>
      </c>
      <c r="AC2012">
        <v>2.9411</v>
      </c>
      <c r="AD2012">
        <v>-1.120602258968</v>
      </c>
      <c r="AE2012">
        <v>-20.100199999999901</v>
      </c>
      <c r="AF2012">
        <v>6.58077753632731</v>
      </c>
      <c r="AG2012">
        <v>-1.120602258968</v>
      </c>
      <c r="AH2012">
        <v>19.153626153437202</v>
      </c>
      <c r="AI2012">
        <v>93.167018542048396</v>
      </c>
      <c r="AJ2012">
        <v>71.038371398256601</v>
      </c>
      <c r="AK2012">
        <v>20.283583934577901</v>
      </c>
      <c r="AL2012">
        <v>82.980981110769306</v>
      </c>
      <c r="AM2012">
        <v>71.343314095453593</v>
      </c>
      <c r="AN2012">
        <v>0.99999996174251904</v>
      </c>
    </row>
    <row r="2013" spans="1:40" x14ac:dyDescent="0.25">
      <c r="A2013" t="str">
        <f>"20190303161912866"</f>
        <v>20190303161912866</v>
      </c>
      <c r="B2013" t="str">
        <f>"1551601152854567"</f>
        <v>1551601152854567</v>
      </c>
      <c r="C2013" t="s">
        <v>40</v>
      </c>
      <c r="D2013">
        <v>4.6286449999999997</v>
      </c>
      <c r="E2013">
        <v>0.50277929999999904</v>
      </c>
      <c r="F2013" t="s">
        <v>41</v>
      </c>
      <c r="G2013">
        <v>-190.20169999999999</v>
      </c>
      <c r="H2013" s="1">
        <v>-2.4743269999999999E-6</v>
      </c>
      <c r="I2013">
        <v>335.23169999999999</v>
      </c>
      <c r="J2013">
        <v>-193.0299</v>
      </c>
      <c r="K2013">
        <v>1.1205889999999901</v>
      </c>
      <c r="L2013">
        <v>354.80450000000002</v>
      </c>
      <c r="M2013">
        <v>0.45434760000000002</v>
      </c>
      <c r="N2013">
        <v>-1.33048E-2</v>
      </c>
      <c r="O2013">
        <v>-0.8907254</v>
      </c>
      <c r="P2013">
        <v>0.14587</v>
      </c>
      <c r="Q2013">
        <v>0.1106882</v>
      </c>
      <c r="R2013">
        <v>-0.98309239999999998</v>
      </c>
      <c r="S2013">
        <v>0.43768309999999999</v>
      </c>
      <c r="T2013">
        <v>-0.17144000000000001</v>
      </c>
      <c r="U2013">
        <v>-3.0059200000000001</v>
      </c>
      <c r="V2013">
        <v>0.31708150000000002</v>
      </c>
      <c r="W2013">
        <v>0.122391</v>
      </c>
      <c r="X2013">
        <v>0.94046779999999996</v>
      </c>
      <c r="Y2013">
        <v>0.3212044</v>
      </c>
      <c r="Z2013">
        <v>3.3142530000000003E-2</v>
      </c>
      <c r="AA2013">
        <v>0.94642979999999999</v>
      </c>
      <c r="AB2013">
        <v>8</v>
      </c>
      <c r="AC2013">
        <v>2.8281999999999998</v>
      </c>
      <c r="AD2013">
        <v>-1.12059147432699</v>
      </c>
      <c r="AE2013">
        <v>-19.572800000000001</v>
      </c>
      <c r="AF2013">
        <v>6.3538667007412304</v>
      </c>
      <c r="AG2013">
        <v>-1.12059147432699</v>
      </c>
      <c r="AH2013">
        <v>18.660712382633498</v>
      </c>
      <c r="AI2013">
        <v>93.253530332398</v>
      </c>
      <c r="AJ2013">
        <v>71.196582614417906</v>
      </c>
      <c r="AK2013">
        <v>19.744607717817399</v>
      </c>
      <c r="AL2013">
        <v>82.969885554642403</v>
      </c>
      <c r="AM2013">
        <v>71.368313891395502</v>
      </c>
      <c r="AN2013">
        <v>0.99999995868004399</v>
      </c>
    </row>
    <row r="2014" spans="1:40" x14ac:dyDescent="0.25">
      <c r="A2014" t="str">
        <f>"20190303161912887"</f>
        <v>20190303161912887</v>
      </c>
      <c r="B2014" t="str">
        <f>"1551601152874086"</f>
        <v>1551601152874086</v>
      </c>
      <c r="C2014" t="s">
        <v>40</v>
      </c>
      <c r="D2014">
        <v>4.6178100000000004</v>
      </c>
      <c r="E2014">
        <v>0.5022664</v>
      </c>
      <c r="F2014" t="s">
        <v>41</v>
      </c>
      <c r="G2014">
        <v>-190.26920000000001</v>
      </c>
      <c r="H2014" s="1">
        <v>-2.6087609999999999E-6</v>
      </c>
      <c r="I2014">
        <v>335.50330000000002</v>
      </c>
      <c r="J2014">
        <v>-192.99709999999999</v>
      </c>
      <c r="K2014">
        <v>1.1205799999999999</v>
      </c>
      <c r="L2014">
        <v>354.72789999999998</v>
      </c>
      <c r="M2014">
        <v>0.45019730000000002</v>
      </c>
      <c r="N2014">
        <v>-1.330395E-2</v>
      </c>
      <c r="O2014">
        <v>-0.89282980000000001</v>
      </c>
      <c r="P2014">
        <v>0.141786299999999</v>
      </c>
      <c r="Q2014">
        <v>0.1105486</v>
      </c>
      <c r="R2014">
        <v>-0.98370489999999999</v>
      </c>
      <c r="S2014">
        <v>0.4301605</v>
      </c>
      <c r="T2014">
        <v>-0.17460309999999901</v>
      </c>
      <c r="U2014">
        <v>-3.0073850000000002</v>
      </c>
      <c r="V2014">
        <v>0.31661869999999998</v>
      </c>
      <c r="W2014">
        <v>0.1222476</v>
      </c>
      <c r="X2014">
        <v>0.94064239999999999</v>
      </c>
      <c r="Y2014">
        <v>0.319185099999999</v>
      </c>
      <c r="Z2014">
        <v>3.4159879999999997E-2</v>
      </c>
      <c r="AA2014">
        <v>0.94707660000000005</v>
      </c>
      <c r="AB2014">
        <v>8</v>
      </c>
      <c r="AC2014">
        <v>2.7278999999999698</v>
      </c>
      <c r="AD2014">
        <v>-1.12058260876099</v>
      </c>
      <c r="AE2014">
        <v>-19.224599999999899</v>
      </c>
      <c r="AF2014">
        <v>6.1992173502355996</v>
      </c>
      <c r="AG2014">
        <v>-1.12058260876099</v>
      </c>
      <c r="AH2014">
        <v>18.3329612480875</v>
      </c>
      <c r="AI2014">
        <v>93.313903381386098</v>
      </c>
      <c r="AJ2014">
        <v>71.317240035419601</v>
      </c>
      <c r="AK2014">
        <v>19.385135265517199</v>
      </c>
      <c r="AL2014">
        <v>82.978164230932705</v>
      </c>
      <c r="AM2014">
        <v>71.396850798936995</v>
      </c>
      <c r="AN2014">
        <v>1.0000000007865999</v>
      </c>
    </row>
    <row r="2015" spans="1:40" x14ac:dyDescent="0.25">
      <c r="A2015" t="str">
        <f>"20190303161912913"</f>
        <v>20190303161912913</v>
      </c>
      <c r="B2015" t="str">
        <f>"1551601152904342"</f>
        <v>1551601152904342</v>
      </c>
      <c r="C2015" t="s">
        <v>40</v>
      </c>
      <c r="D2015">
        <v>4.6171110000000004</v>
      </c>
      <c r="E2015">
        <v>0.50140819999999997</v>
      </c>
      <c r="F2015" t="s">
        <v>41</v>
      </c>
      <c r="G2015">
        <v>-190.3605</v>
      </c>
      <c r="H2015" s="1">
        <v>-2.8069679999999999E-6</v>
      </c>
      <c r="I2015">
        <v>335.90859999999998</v>
      </c>
      <c r="J2015">
        <v>-192.96090000000001</v>
      </c>
      <c r="K2015">
        <v>1.1205670000000001</v>
      </c>
      <c r="L2015">
        <v>354.6422</v>
      </c>
      <c r="M2015">
        <v>0.44552510000000001</v>
      </c>
      <c r="N2015">
        <v>-1.33037E-2</v>
      </c>
      <c r="O2015">
        <v>-0.89517060000000004</v>
      </c>
      <c r="P2015">
        <v>0.13760549999999999</v>
      </c>
      <c r="Q2015">
        <v>0.1101066</v>
      </c>
      <c r="R2015">
        <v>-0.98434820000000001</v>
      </c>
      <c r="S2015">
        <v>0.4215546</v>
      </c>
      <c r="T2015">
        <v>-0.1791712</v>
      </c>
      <c r="U2015">
        <v>-3.0090330000000001</v>
      </c>
      <c r="V2015">
        <v>0.31572109999999998</v>
      </c>
      <c r="W2015">
        <v>0.1218055</v>
      </c>
      <c r="X2015">
        <v>0.94100139999999999</v>
      </c>
      <c r="Y2015">
        <v>0.31696439999999998</v>
      </c>
      <c r="Z2015">
        <v>3.558074E-2</v>
      </c>
      <c r="AA2015">
        <v>0.9477698</v>
      </c>
      <c r="AB2015">
        <v>8</v>
      </c>
      <c r="AC2015">
        <v>2.6004</v>
      </c>
      <c r="AD2015">
        <v>-1.1205698069679999</v>
      </c>
      <c r="AE2015">
        <v>-18.733599999999999</v>
      </c>
      <c r="AF2015">
        <v>5.9979652499348601</v>
      </c>
      <c r="AG2015">
        <v>-1.1205698069679999</v>
      </c>
      <c r="AH2015">
        <v>17.867178581487</v>
      </c>
      <c r="AI2015">
        <v>93.402569312924498</v>
      </c>
      <c r="AJ2015">
        <v>71.443232237737703</v>
      </c>
      <c r="AK2015">
        <v>18.8803425364706</v>
      </c>
      <c r="AL2015">
        <v>83.003685510830607</v>
      </c>
      <c r="AM2015">
        <v>71.452569077985501</v>
      </c>
      <c r="AN2015">
        <v>1.00000001380871</v>
      </c>
    </row>
    <row r="2016" spans="1:40" x14ac:dyDescent="0.25">
      <c r="A2016" t="str">
        <f>"20190303161912934"</f>
        <v>20190303161912934</v>
      </c>
      <c r="B2016" t="str">
        <f>"1551601152924839"</f>
        <v>1551601152924839</v>
      </c>
      <c r="C2016" t="s">
        <v>40</v>
      </c>
      <c r="D2016">
        <v>4.58535</v>
      </c>
      <c r="E2016">
        <v>0.50094879999999997</v>
      </c>
      <c r="F2016" t="s">
        <v>41</v>
      </c>
      <c r="G2016">
        <v>-190.4494</v>
      </c>
      <c r="H2016" s="1">
        <v>-3.05517E-6</v>
      </c>
      <c r="I2016">
        <v>336.43209999999999</v>
      </c>
      <c r="J2016">
        <v>-192.9297</v>
      </c>
      <c r="K2016">
        <v>1.1205560000000001</v>
      </c>
      <c r="L2016">
        <v>354.56729999999999</v>
      </c>
      <c r="M2016">
        <v>0.44141979999999997</v>
      </c>
      <c r="N2016">
        <v>-1.3303550000000001E-2</v>
      </c>
      <c r="O2016">
        <v>-0.8972021</v>
      </c>
      <c r="P2016">
        <v>0.1344204</v>
      </c>
      <c r="Q2016">
        <v>0.10928930000000001</v>
      </c>
      <c r="R2016">
        <v>-0.98487970000000002</v>
      </c>
      <c r="S2016">
        <v>0.4151764</v>
      </c>
      <c r="T2016">
        <v>-0.18524209999999999</v>
      </c>
      <c r="U2016">
        <v>-3.0103149999999999</v>
      </c>
      <c r="V2016">
        <v>0.31449169999999999</v>
      </c>
      <c r="W2016">
        <v>0.1209943</v>
      </c>
      <c r="X2016">
        <v>0.94151759999999995</v>
      </c>
      <c r="Y2016">
        <v>0.31465019999999999</v>
      </c>
      <c r="Z2016">
        <v>3.7398470000000003E-2</v>
      </c>
      <c r="AA2016">
        <v>0.9484707</v>
      </c>
      <c r="AB2016">
        <v>8</v>
      </c>
      <c r="AC2016">
        <v>2.4803000000000002</v>
      </c>
      <c r="AD2016">
        <v>-1.12055905517</v>
      </c>
      <c r="AE2016">
        <v>-18.135200000000001</v>
      </c>
      <c r="AF2016">
        <v>5.7588344867668999</v>
      </c>
      <c r="AG2016">
        <v>-1.12055905517</v>
      </c>
      <c r="AH2016">
        <v>17.302483488580201</v>
      </c>
      <c r="AI2016">
        <v>93.516330054844403</v>
      </c>
      <c r="AJ2016">
        <v>71.590864282128194</v>
      </c>
      <c r="AK2016">
        <v>18.270078328094002</v>
      </c>
      <c r="AL2016">
        <v>83.050510225243301</v>
      </c>
      <c r="AM2016">
        <v>71.529321682367495</v>
      </c>
      <c r="AN2016">
        <v>1.0000000205555599</v>
      </c>
    </row>
    <row r="2017" spans="1:40" x14ac:dyDescent="0.25">
      <c r="A2017" t="str">
        <f>"20190303161912958"</f>
        <v>20190303161912958</v>
      </c>
      <c r="B2017" t="str">
        <f>"1551601152944360"</f>
        <v>1551601152944360</v>
      </c>
      <c r="C2017" t="s">
        <v>40</v>
      </c>
      <c r="D2017">
        <v>4.6176459999999997</v>
      </c>
      <c r="E2017">
        <v>0.50056590000000001</v>
      </c>
      <c r="F2017" t="s">
        <v>41</v>
      </c>
      <c r="G2017">
        <v>-190.53030000000001</v>
      </c>
      <c r="H2017" s="1">
        <v>-3.2787289999999998E-6</v>
      </c>
      <c r="I2017">
        <v>336.90300000000002</v>
      </c>
      <c r="J2017">
        <v>-192.89510000000001</v>
      </c>
      <c r="K2017">
        <v>1.120549</v>
      </c>
      <c r="L2017">
        <v>354.48309999999998</v>
      </c>
      <c r="M2017">
        <v>0.4367742</v>
      </c>
      <c r="N2017">
        <v>-1.330339E-2</v>
      </c>
      <c r="O2017">
        <v>-0.89947310000000003</v>
      </c>
      <c r="P2017">
        <v>0.13009129999999999</v>
      </c>
      <c r="Q2017">
        <v>0.10753020000000001</v>
      </c>
      <c r="R2017">
        <v>-0.98565409999999998</v>
      </c>
      <c r="S2017">
        <v>0.40905760000000002</v>
      </c>
      <c r="T2017">
        <v>-0.1910374</v>
      </c>
      <c r="U2017">
        <v>-3.0114749999999999</v>
      </c>
      <c r="V2017">
        <v>0.3138397</v>
      </c>
      <c r="W2017">
        <v>0.119239899999999</v>
      </c>
      <c r="X2017">
        <v>0.94195879999999998</v>
      </c>
      <c r="Y2017">
        <v>0.31168790000000002</v>
      </c>
      <c r="Z2017">
        <v>3.9183750000000003E-2</v>
      </c>
      <c r="AA2017">
        <v>0.9493762</v>
      </c>
      <c r="AB2017">
        <v>8</v>
      </c>
      <c r="AC2017">
        <v>2.3647999999999998</v>
      </c>
      <c r="AD2017">
        <v>-1.1205522787289901</v>
      </c>
      <c r="AE2017">
        <v>-17.580099999999899</v>
      </c>
      <c r="AF2017">
        <v>5.5298826328967401</v>
      </c>
      <c r="AG2017">
        <v>-1.1205522787289901</v>
      </c>
      <c r="AH2017">
        <v>16.780234527251199</v>
      </c>
      <c r="AI2017">
        <v>93.629006123355893</v>
      </c>
      <c r="AJ2017">
        <v>71.760498689491399</v>
      </c>
      <c r="AK2017">
        <v>17.703432156859598</v>
      </c>
      <c r="AL2017">
        <v>83.151762536922902</v>
      </c>
      <c r="AM2017">
        <v>71.573075136341998</v>
      </c>
      <c r="AN2017">
        <v>0.99999994597276798</v>
      </c>
    </row>
    <row r="2018" spans="1:40" x14ac:dyDescent="0.25">
      <c r="A2018" t="str">
        <f>"20190303161912978"</f>
        <v>20190303161912978</v>
      </c>
      <c r="B2018" t="str">
        <f>"1551601152964855"</f>
        <v>1551601152964855</v>
      </c>
      <c r="C2018" t="s">
        <v>40</v>
      </c>
      <c r="D2018">
        <v>4.5806079999999998</v>
      </c>
      <c r="E2018">
        <v>0.5000907</v>
      </c>
      <c r="F2018" t="s">
        <v>41</v>
      </c>
      <c r="G2018">
        <v>-190.6593</v>
      </c>
      <c r="H2018" s="1">
        <v>-3.6075959999999999E-6</v>
      </c>
      <c r="I2018">
        <v>337.58960000000002</v>
      </c>
      <c r="J2018">
        <v>-192.86750000000001</v>
      </c>
      <c r="K2018">
        <v>1.120547</v>
      </c>
      <c r="L2018">
        <v>354.41480000000001</v>
      </c>
      <c r="M2018">
        <v>0.43297540000000001</v>
      </c>
      <c r="N2018">
        <v>-1.330337E-2</v>
      </c>
      <c r="O2018">
        <v>-0.90130779999999999</v>
      </c>
      <c r="P2018">
        <v>0.126225</v>
      </c>
      <c r="Q2018">
        <v>0.10694679999999999</v>
      </c>
      <c r="R2018">
        <v>-0.98622010000000004</v>
      </c>
      <c r="S2018">
        <v>0.39874270000000001</v>
      </c>
      <c r="T2018">
        <v>-0.19984289999999999</v>
      </c>
      <c r="U2018">
        <v>-3.012848</v>
      </c>
      <c r="V2018">
        <v>0.31358580000000003</v>
      </c>
      <c r="W2018">
        <v>0.1186571</v>
      </c>
      <c r="X2018">
        <v>0.94211699999999998</v>
      </c>
      <c r="Y2018">
        <v>0.31093690000000002</v>
      </c>
      <c r="Z2018">
        <v>4.1733880000000001E-2</v>
      </c>
      <c r="AA2018">
        <v>0.94951390000000002</v>
      </c>
      <c r="AB2018">
        <v>8</v>
      </c>
      <c r="AC2018">
        <v>2.2082000000000002</v>
      </c>
      <c r="AD2018">
        <v>-1.1205506075959999</v>
      </c>
      <c r="AE2018">
        <v>-16.825199999999899</v>
      </c>
      <c r="AF2018">
        <v>5.27210880901844</v>
      </c>
      <c r="AG2018">
        <v>-1.1205506075959999</v>
      </c>
      <c r="AH2018">
        <v>16.052209625019099</v>
      </c>
      <c r="AI2018">
        <v>93.794367781193998</v>
      </c>
      <c r="AJ2018">
        <v>71.818005382595601</v>
      </c>
      <c r="AK2018">
        <v>16.932932374632301</v>
      </c>
      <c r="AL2018">
        <v>83.185393663851599</v>
      </c>
      <c r="AM2018">
        <v>71.589860382459904</v>
      </c>
      <c r="AN2018">
        <v>1.0000000015155199</v>
      </c>
    </row>
    <row r="2019" spans="1:40" x14ac:dyDescent="0.25">
      <c r="A2019" t="str">
        <f>"20190303161913001"</f>
        <v>20190303161913001</v>
      </c>
      <c r="B2019" t="str">
        <f>"1551601152995111"</f>
        <v>1551601152995111</v>
      </c>
      <c r="C2019" t="s">
        <v>40</v>
      </c>
      <c r="D2019">
        <v>4.6345349999999996</v>
      </c>
      <c r="E2019">
        <v>0.49951030000000002</v>
      </c>
      <c r="F2019" t="s">
        <v>41</v>
      </c>
      <c r="G2019">
        <v>-190.7105</v>
      </c>
      <c r="H2019" s="1">
        <v>-3.7013489999999999E-6</v>
      </c>
      <c r="I2019">
        <v>337.77640000000002</v>
      </c>
      <c r="J2019">
        <v>-192.83609999999999</v>
      </c>
      <c r="K2019">
        <v>1.1205499999999999</v>
      </c>
      <c r="L2019">
        <v>354.33600000000001</v>
      </c>
      <c r="M2019">
        <v>0.4285718</v>
      </c>
      <c r="N2019">
        <v>-1.330331E-2</v>
      </c>
      <c r="O2019">
        <v>-0.90341000000000005</v>
      </c>
      <c r="P2019">
        <v>0.1223395</v>
      </c>
      <c r="Q2019">
        <v>0.1069142</v>
      </c>
      <c r="R2019">
        <v>-0.98671330000000002</v>
      </c>
      <c r="S2019">
        <v>0.39073180000000002</v>
      </c>
      <c r="T2019">
        <v>-0.20298140000000001</v>
      </c>
      <c r="U2019">
        <v>-3.0139469999999999</v>
      </c>
      <c r="V2019">
        <v>0.31269970000000002</v>
      </c>
      <c r="W2019">
        <v>0.1186292</v>
      </c>
      <c r="X2019">
        <v>0.942415</v>
      </c>
      <c r="Y2019">
        <v>0.30882910000000002</v>
      </c>
      <c r="Z2019">
        <v>4.2795199999999999E-2</v>
      </c>
      <c r="AA2019">
        <v>0.95015419999999995</v>
      </c>
      <c r="AB2019">
        <v>8</v>
      </c>
      <c r="AC2019">
        <v>2.1255999999999902</v>
      </c>
      <c r="AD2019">
        <v>-1.1205537013489999</v>
      </c>
      <c r="AE2019">
        <v>-16.5595999999999</v>
      </c>
      <c r="AF2019">
        <v>5.1539293665738501</v>
      </c>
      <c r="AG2019">
        <v>-1.1205537013489999</v>
      </c>
      <c r="AH2019">
        <v>15.8013014023725</v>
      </c>
      <c r="AI2019">
        <v>93.857021577520598</v>
      </c>
      <c r="AJ2019">
        <v>71.935165533660495</v>
      </c>
      <c r="AK2019">
        <v>16.658323880926901</v>
      </c>
      <c r="AL2019">
        <v>83.187003650941904</v>
      </c>
      <c r="AM2019">
        <v>71.643805015981897</v>
      </c>
      <c r="AN2019">
        <v>1.00000001084886</v>
      </c>
    </row>
    <row r="2020" spans="1:40" x14ac:dyDescent="0.25">
      <c r="A2020" t="str">
        <f>"20190303161913023"</f>
        <v>20190303161913023</v>
      </c>
      <c r="B2020" t="str">
        <f>"1551601153014631"</f>
        <v>1551601153014631</v>
      </c>
      <c r="C2020" t="s">
        <v>40</v>
      </c>
      <c r="D2020">
        <v>4.5913449999999996</v>
      </c>
      <c r="E2020">
        <v>0.49915419999999999</v>
      </c>
      <c r="F2020" t="s">
        <v>41</v>
      </c>
      <c r="G2020">
        <v>-190.7474</v>
      </c>
      <c r="H2020" s="1">
        <v>-3.7713370000000002E-6</v>
      </c>
      <c r="I2020">
        <v>337.91660000000002</v>
      </c>
      <c r="J2020">
        <v>-192.80609999999999</v>
      </c>
      <c r="K2020">
        <v>1.120547</v>
      </c>
      <c r="L2020">
        <v>354.25979999999998</v>
      </c>
      <c r="M2020">
        <v>0.42428379999999999</v>
      </c>
      <c r="N2020">
        <v>-1.3303260000000001E-2</v>
      </c>
      <c r="O2020">
        <v>-0.90543169999999995</v>
      </c>
      <c r="P2020">
        <v>0.11924419999999999</v>
      </c>
      <c r="Q2020">
        <v>0.10667119999999999</v>
      </c>
      <c r="R2020">
        <v>-0.9871181</v>
      </c>
      <c r="S2020">
        <v>0.38354490000000002</v>
      </c>
      <c r="T2020">
        <v>-0.2057707</v>
      </c>
      <c r="U2020">
        <v>-3.0151370000000002</v>
      </c>
      <c r="V2020">
        <v>0.31119560000000002</v>
      </c>
      <c r="W2020">
        <v>0.11839529999999999</v>
      </c>
      <c r="X2020">
        <v>0.94294210000000001</v>
      </c>
      <c r="Y2020">
        <v>0.30659960000000003</v>
      </c>
      <c r="Z2020">
        <v>4.37588E-2</v>
      </c>
      <c r="AA2020">
        <v>0.95083220000000002</v>
      </c>
      <c r="AB2020">
        <v>8</v>
      </c>
      <c r="AC2020">
        <v>2.05869999999998</v>
      </c>
      <c r="AD2020">
        <v>-1.120550771337</v>
      </c>
      <c r="AE2020">
        <v>-16.3431999999999</v>
      </c>
      <c r="AF2020">
        <v>5.0472343855879096</v>
      </c>
      <c r="AG2020">
        <v>-1.120550771337</v>
      </c>
      <c r="AH2020">
        <v>15.60031773853</v>
      </c>
      <c r="AI2020">
        <v>93.909568664358304</v>
      </c>
      <c r="AJ2020">
        <v>72.071838316819196</v>
      </c>
      <c r="AK2020">
        <v>16.434723073946099</v>
      </c>
      <c r="AL2020">
        <v>83.200500013260907</v>
      </c>
      <c r="AM2020">
        <v>71.735756234920203</v>
      </c>
      <c r="AN2020">
        <v>0.99999997623692904</v>
      </c>
    </row>
    <row r="2021" spans="1:40" x14ac:dyDescent="0.25">
      <c r="A2021" t="str">
        <f>"20190303161913044"</f>
        <v>20190303161913044</v>
      </c>
      <c r="B2021" t="str">
        <f>"1551601153034151"</f>
        <v>1551601153034151</v>
      </c>
      <c r="C2021" t="s">
        <v>40</v>
      </c>
      <c r="D2021">
        <v>4.5949460000000002</v>
      </c>
      <c r="E2021">
        <v>0.49885950000000001</v>
      </c>
      <c r="F2021" t="s">
        <v>41</v>
      </c>
      <c r="G2021">
        <v>-190.76820000000001</v>
      </c>
      <c r="H2021" s="1">
        <v>-3.783396E-6</v>
      </c>
      <c r="I2021">
        <v>337.93180000000001</v>
      </c>
      <c r="J2021">
        <v>-192.77789999999999</v>
      </c>
      <c r="K2021">
        <v>1.1205459999999901</v>
      </c>
      <c r="L2021">
        <v>354.18680000000001</v>
      </c>
      <c r="M2021">
        <v>0.42015550000000002</v>
      </c>
      <c r="N2021">
        <v>-1.330309E-2</v>
      </c>
      <c r="O2021">
        <v>-0.90735449999999995</v>
      </c>
      <c r="P2021">
        <v>0.1160886</v>
      </c>
      <c r="Q2021">
        <v>0.106506</v>
      </c>
      <c r="R2021">
        <v>-0.9875121</v>
      </c>
      <c r="S2021">
        <v>0.3764343</v>
      </c>
      <c r="T2021">
        <v>-0.2069848</v>
      </c>
      <c r="U2021">
        <v>-3.0160520000000002</v>
      </c>
      <c r="V2021">
        <v>0.30991980000000002</v>
      </c>
      <c r="W2021">
        <v>0.1182381</v>
      </c>
      <c r="X2021">
        <v>0.9433819</v>
      </c>
      <c r="Y2021">
        <v>0.30451009999999901</v>
      </c>
      <c r="Z2021">
        <v>4.4287849999999997E-2</v>
      </c>
      <c r="AA2021">
        <v>0.95147890000000002</v>
      </c>
      <c r="AB2021">
        <v>8</v>
      </c>
      <c r="AC2021">
        <v>2.0096999999999801</v>
      </c>
      <c r="AD2021">
        <v>-1.1205497833960001</v>
      </c>
      <c r="AE2021">
        <v>-16.2549999999999</v>
      </c>
      <c r="AF2021">
        <v>4.9832363759231999</v>
      </c>
      <c r="AG2021">
        <v>-1.1205497833960001</v>
      </c>
      <c r="AH2021">
        <v>15.5221626249556</v>
      </c>
      <c r="AI2021">
        <v>93.932041743155295</v>
      </c>
      <c r="AJ2021">
        <v>72.201287775549005</v>
      </c>
      <c r="AK2021">
        <v>16.340924366478198</v>
      </c>
      <c r="AL2021">
        <v>83.209570580153098</v>
      </c>
      <c r="AM2021">
        <v>71.813615055721499</v>
      </c>
      <c r="AN2021">
        <v>0.99999996998562901</v>
      </c>
    </row>
    <row r="2022" spans="1:40" x14ac:dyDescent="0.25">
      <c r="A2022" t="str">
        <f>"20190303161913067"</f>
        <v>20190303161913067</v>
      </c>
      <c r="B2022" t="str">
        <f>"1551601153054099"</f>
        <v>1551601153054099</v>
      </c>
      <c r="C2022" t="s">
        <v>40</v>
      </c>
      <c r="D2022">
        <v>4.5690160000000004</v>
      </c>
      <c r="E2022">
        <v>0.49849890000000002</v>
      </c>
      <c r="F2022" t="s">
        <v>41</v>
      </c>
      <c r="G2022">
        <v>-190.79400000000001</v>
      </c>
      <c r="H2022" s="1">
        <v>-3.7970880000000001E-6</v>
      </c>
      <c r="I2022">
        <v>337.94779999999997</v>
      </c>
      <c r="J2022">
        <v>-192.74770000000001</v>
      </c>
      <c r="K2022">
        <v>1.1205480000000001</v>
      </c>
      <c r="L2022">
        <v>354.10759999999999</v>
      </c>
      <c r="M2022">
        <v>0.4156473</v>
      </c>
      <c r="N2022">
        <v>-1.3274640000000001E-2</v>
      </c>
      <c r="O2022">
        <v>-0.90942909999999999</v>
      </c>
      <c r="P2022">
        <v>0.112895</v>
      </c>
      <c r="Q2022">
        <v>0.107022699999999</v>
      </c>
      <c r="R2022">
        <v>-0.98782669999999995</v>
      </c>
      <c r="S2022">
        <v>0.36857600000000001</v>
      </c>
      <c r="T2022">
        <v>-0.20818690000000001</v>
      </c>
      <c r="U2022">
        <v>-3.0170590000000002</v>
      </c>
      <c r="V2022">
        <v>0.30826120000000001</v>
      </c>
      <c r="W2022">
        <v>0.11874369999999999</v>
      </c>
      <c r="X2022">
        <v>0.94386170000000003</v>
      </c>
      <c r="Y2022">
        <v>0.30226649999999999</v>
      </c>
      <c r="Z2022">
        <v>4.4858309999999998E-2</v>
      </c>
      <c r="AA2022">
        <v>0.9521674</v>
      </c>
      <c r="AB2022">
        <v>8</v>
      </c>
      <c r="AC2022">
        <v>1.95369999999999</v>
      </c>
      <c r="AD2022">
        <v>-1.1205517970879999</v>
      </c>
      <c r="AE2022">
        <v>-16.159800000000001</v>
      </c>
      <c r="AF2022">
        <v>4.9171578827857001</v>
      </c>
      <c r="AG2022">
        <v>-1.1205517970879999</v>
      </c>
      <c r="AH2022">
        <v>15.4364537639945</v>
      </c>
      <c r="AI2022">
        <v>93.956669432831106</v>
      </c>
      <c r="AJ2022">
        <v>72.331141309236202</v>
      </c>
      <c r="AK2022">
        <v>16.239402168249299</v>
      </c>
      <c r="AL2022">
        <v>83.180396312546904</v>
      </c>
      <c r="AM2022">
        <v>71.913183236704697</v>
      </c>
      <c r="AN2022">
        <v>0.99999997122100903</v>
      </c>
    </row>
    <row r="2023" spans="1:40" x14ac:dyDescent="0.25">
      <c r="A2023" t="str">
        <f>"20190303161913090"</f>
        <v>20190303161913090</v>
      </c>
      <c r="B2023" t="str">
        <f>"1551601153084355"</f>
        <v>1551601153084355</v>
      </c>
      <c r="C2023" t="s">
        <v>40</v>
      </c>
      <c r="D2023">
        <v>4.5678130000000001</v>
      </c>
      <c r="E2023">
        <v>0.4979538</v>
      </c>
      <c r="F2023" t="s">
        <v>41</v>
      </c>
      <c r="G2023">
        <v>-190.78729999999999</v>
      </c>
      <c r="H2023" s="1">
        <v>-3.7151560000000001E-6</v>
      </c>
      <c r="I2023">
        <v>337.76100000000002</v>
      </c>
      <c r="J2023">
        <v>-192.71879999999999</v>
      </c>
      <c r="K2023">
        <v>1.1204400000000001</v>
      </c>
      <c r="L2023">
        <v>354.03050000000002</v>
      </c>
      <c r="M2023">
        <v>0.41116770000000002</v>
      </c>
      <c r="N2023">
        <v>-1.3010580000000001E-2</v>
      </c>
      <c r="O2023">
        <v>-0.91146709999999997</v>
      </c>
      <c r="P2023">
        <v>0.109375</v>
      </c>
      <c r="Q2023">
        <v>0.1076138</v>
      </c>
      <c r="R2023">
        <v>-0.98815830000000004</v>
      </c>
      <c r="S2023">
        <v>0.36195369999999999</v>
      </c>
      <c r="T2023">
        <v>-0.20688390000000001</v>
      </c>
      <c r="U2023">
        <v>-3.0180359999999999</v>
      </c>
      <c r="V2023">
        <v>0.30696099999999998</v>
      </c>
      <c r="W2023">
        <v>0.1190671</v>
      </c>
      <c r="X2023">
        <v>0.94424470000000005</v>
      </c>
      <c r="Y2023">
        <v>0.29967759999999999</v>
      </c>
      <c r="Z2023">
        <v>4.4965539999999998E-2</v>
      </c>
      <c r="AA2023">
        <v>0.9529803</v>
      </c>
      <c r="AB2023">
        <v>8</v>
      </c>
      <c r="AC2023">
        <v>1.9315</v>
      </c>
      <c r="AD2023">
        <v>-1.1204437151559901</v>
      </c>
      <c r="AE2023">
        <v>-16.269500000000001</v>
      </c>
      <c r="AF2023">
        <v>4.9064635793868803</v>
      </c>
      <c r="AG2023">
        <v>-1.1204437151559901</v>
      </c>
      <c r="AH2023">
        <v>15.551869793551001</v>
      </c>
      <c r="AI2023">
        <v>93.930463028750793</v>
      </c>
      <c r="AJ2023">
        <v>72.490021604512506</v>
      </c>
      <c r="AK2023">
        <v>16.345930167789401</v>
      </c>
      <c r="AL2023">
        <v>83.161734945878706</v>
      </c>
      <c r="AM2023">
        <v>71.991367130699302</v>
      </c>
      <c r="AN2023">
        <v>1.00000004165074</v>
      </c>
    </row>
    <row r="2024" spans="1:40" x14ac:dyDescent="0.25">
      <c r="A2024" t="str">
        <f>"20190303161913114"</f>
        <v>20190303161913114</v>
      </c>
      <c r="B2024" t="str">
        <f>"1551601153104851"</f>
        <v>1551601153104851</v>
      </c>
      <c r="C2024" t="s">
        <v>40</v>
      </c>
      <c r="D2024">
        <v>4.5395019999999997</v>
      </c>
      <c r="E2024">
        <v>0.49758560000000002</v>
      </c>
      <c r="F2024" t="s">
        <v>41</v>
      </c>
      <c r="G2024">
        <v>-190.785</v>
      </c>
      <c r="H2024" s="1">
        <v>-3.637927E-6</v>
      </c>
      <c r="I2024">
        <v>337.58229999999998</v>
      </c>
      <c r="J2024">
        <v>-192.6876</v>
      </c>
      <c r="K2024">
        <v>1.120355</v>
      </c>
      <c r="L2024">
        <v>353.94560000000001</v>
      </c>
      <c r="M2024">
        <v>0.40622560000000002</v>
      </c>
      <c r="N2024">
        <v>-1.273352E-2</v>
      </c>
      <c r="O2024">
        <v>-0.9136843</v>
      </c>
      <c r="P2024">
        <v>0.1051238</v>
      </c>
      <c r="Q2024">
        <v>0.1066153</v>
      </c>
      <c r="R2024">
        <v>-0.98872780000000005</v>
      </c>
      <c r="S2024">
        <v>0.35494999999999999</v>
      </c>
      <c r="T2024">
        <v>-0.20565810000000001</v>
      </c>
      <c r="U2024">
        <v>-3.0190730000000001</v>
      </c>
      <c r="V2024">
        <v>0.30595220000000001</v>
      </c>
      <c r="W2024">
        <v>0.11779870000000001</v>
      </c>
      <c r="X2024">
        <v>0.94473110000000005</v>
      </c>
      <c r="Y2024">
        <v>0.29673500000000003</v>
      </c>
      <c r="Z2024">
        <v>4.512451E-2</v>
      </c>
      <c r="AA2024">
        <v>0.95389310000000005</v>
      </c>
      <c r="AB2024">
        <v>8</v>
      </c>
      <c r="AC2024">
        <v>1.9026000000000001</v>
      </c>
      <c r="AD2024">
        <v>-1.1203586379269901</v>
      </c>
      <c r="AE2024">
        <v>-16.363299999999999</v>
      </c>
      <c r="AF2024">
        <v>4.8866106263776601</v>
      </c>
      <c r="AG2024">
        <v>-1.1203586379269901</v>
      </c>
      <c r="AH2024">
        <v>15.652648772056899</v>
      </c>
      <c r="AI2024">
        <v>93.908611343700301</v>
      </c>
      <c r="AJ2024">
        <v>72.662124219895503</v>
      </c>
      <c r="AK2024">
        <v>16.435923474900299</v>
      </c>
      <c r="AL2024">
        <v>83.234924186453398</v>
      </c>
      <c r="AM2024">
        <v>72.055397192505893</v>
      </c>
      <c r="AN2024">
        <v>1.00000006685686</v>
      </c>
    </row>
    <row r="2025" spans="1:40" x14ac:dyDescent="0.25">
      <c r="A2025" t="str">
        <f>"20190303161913136"</f>
        <v>20190303161913136</v>
      </c>
      <c r="B2025" t="str">
        <f>"1551601153124371"</f>
        <v>1551601153124371</v>
      </c>
      <c r="C2025" t="s">
        <v>40</v>
      </c>
      <c r="D2025">
        <v>4.545833</v>
      </c>
      <c r="E2025">
        <v>0.49732730000000003</v>
      </c>
      <c r="F2025" t="s">
        <v>41</v>
      </c>
      <c r="G2025">
        <v>-190.84389999999999</v>
      </c>
      <c r="H2025" s="1">
        <v>-3.7279930000000002E-6</v>
      </c>
      <c r="I2025">
        <v>337.75580000000002</v>
      </c>
      <c r="J2025">
        <v>-192.65969999999999</v>
      </c>
      <c r="K2025">
        <v>1.120377</v>
      </c>
      <c r="L2025">
        <v>353.86849999999998</v>
      </c>
      <c r="M2025">
        <v>0.4017674</v>
      </c>
      <c r="N2025">
        <v>-1.265022E-2</v>
      </c>
      <c r="O2025">
        <v>-0.91565450000000004</v>
      </c>
      <c r="P2025">
        <v>0.1024037</v>
      </c>
      <c r="Q2025">
        <v>0.1060229</v>
      </c>
      <c r="R2025">
        <v>-0.98907699999999998</v>
      </c>
      <c r="S2025">
        <v>0.34393309999999999</v>
      </c>
      <c r="T2025">
        <v>-0.2089993</v>
      </c>
      <c r="U2025">
        <v>-3.0201720000000001</v>
      </c>
      <c r="V2025">
        <v>0.30395729999999999</v>
      </c>
      <c r="W2025">
        <v>0.11716409999999999</v>
      </c>
      <c r="X2025">
        <v>0.94545360000000001</v>
      </c>
      <c r="Y2025">
        <v>0.29555959999999998</v>
      </c>
      <c r="Z2025">
        <v>4.6325850000000002E-2</v>
      </c>
      <c r="AA2025">
        <v>0.95420039999999995</v>
      </c>
      <c r="AB2025">
        <v>8</v>
      </c>
      <c r="AC2025">
        <v>1.8157999999999901</v>
      </c>
      <c r="AD2025">
        <v>-1.120380727993</v>
      </c>
      <c r="AE2025">
        <v>-16.112699999999901</v>
      </c>
      <c r="AF2025">
        <v>4.7884349221548197</v>
      </c>
      <c r="AG2025">
        <v>-1.120380727993</v>
      </c>
      <c r="AH2025">
        <v>15.4108559541059</v>
      </c>
      <c r="AI2025">
        <v>93.971474530051694</v>
      </c>
      <c r="AJ2025">
        <v>72.739024314817698</v>
      </c>
      <c r="AK2025">
        <v>16.176490448103099</v>
      </c>
      <c r="AL2025">
        <v>83.271537099368999</v>
      </c>
      <c r="AM2025">
        <v>72.177733166307902</v>
      </c>
      <c r="AN2025">
        <v>0.999999988152529</v>
      </c>
    </row>
    <row r="2026" spans="1:40" x14ac:dyDescent="0.25">
      <c r="A2026" t="str">
        <f>"20190303161913158"</f>
        <v>20190303161913158</v>
      </c>
      <c r="B2026" t="str">
        <f>"1551601153144867"</f>
        <v>1551601153144867</v>
      </c>
      <c r="C2026" t="s">
        <v>40</v>
      </c>
      <c r="D2026">
        <v>4.5499890000000001</v>
      </c>
      <c r="E2026">
        <v>0.49050959999999899</v>
      </c>
      <c r="F2026" t="s">
        <v>41</v>
      </c>
      <c r="G2026">
        <v>-190.87309999999999</v>
      </c>
      <c r="H2026" s="1">
        <v>-3.7781139999999998E-6</v>
      </c>
      <c r="I2026">
        <v>337.85449999999997</v>
      </c>
      <c r="J2026">
        <v>-192.63229999999999</v>
      </c>
      <c r="K2026">
        <v>1.1204499999999999</v>
      </c>
      <c r="L2026">
        <v>353.79180000000002</v>
      </c>
      <c r="M2026">
        <v>0.3973431</v>
      </c>
      <c r="N2026">
        <v>-1.2641980000000001E-2</v>
      </c>
      <c r="O2026">
        <v>-0.91758300000000004</v>
      </c>
      <c r="P2026">
        <v>9.90143E-2</v>
      </c>
      <c r="Q2026">
        <v>0.10579520000000001</v>
      </c>
      <c r="R2026">
        <v>-0.98944620000000005</v>
      </c>
      <c r="S2026">
        <v>0.33700560000000002</v>
      </c>
      <c r="T2026">
        <v>-0.21134749999999999</v>
      </c>
      <c r="U2026">
        <v>-3.0208740000000001</v>
      </c>
      <c r="V2026">
        <v>0.30262470000000002</v>
      </c>
      <c r="W2026">
        <v>0.1169771</v>
      </c>
      <c r="X2026">
        <v>0.94590410000000003</v>
      </c>
      <c r="Y2026">
        <v>0.29313790000000001</v>
      </c>
      <c r="Z2026">
        <v>4.7198370000000003E-2</v>
      </c>
      <c r="AA2026">
        <v>0.95490439999999999</v>
      </c>
      <c r="AB2026">
        <v>8</v>
      </c>
      <c r="AC2026">
        <v>1.7591999999999901</v>
      </c>
      <c r="AD2026">
        <v>-1.120453778114</v>
      </c>
      <c r="AE2026">
        <v>-15.9373</v>
      </c>
      <c r="AF2026">
        <v>4.6958111669157701</v>
      </c>
      <c r="AG2026">
        <v>-1.120453778114</v>
      </c>
      <c r="AH2026">
        <v>15.249561048493</v>
      </c>
      <c r="AI2026">
        <v>94.016754427109305</v>
      </c>
      <c r="AJ2026">
        <v>72.884783462475099</v>
      </c>
      <c r="AK2026">
        <v>15.995473464575401</v>
      </c>
      <c r="AL2026">
        <v>83.282325397498596</v>
      </c>
      <c r="AM2026">
        <v>72.258878618230895</v>
      </c>
      <c r="AN2026">
        <v>0.99999995868565394</v>
      </c>
    </row>
    <row r="2027" spans="1:40" x14ac:dyDescent="0.25">
      <c r="A2027" t="str">
        <f>"20190303161913179"</f>
        <v>20190303161913179</v>
      </c>
      <c r="B2027" t="str">
        <f>"1551601153164387"</f>
        <v>1551601153164387</v>
      </c>
      <c r="C2027" t="s">
        <v>40</v>
      </c>
      <c r="D2027">
        <v>4.5560179999999999</v>
      </c>
      <c r="E2027">
        <v>0.49045640000000001</v>
      </c>
      <c r="F2027" t="s">
        <v>41</v>
      </c>
      <c r="G2027">
        <v>-190.6771</v>
      </c>
      <c r="H2027" s="1">
        <v>-3.916441E-6</v>
      </c>
      <c r="I2027">
        <v>338.29849999999999</v>
      </c>
      <c r="J2027">
        <v>-192.60679999999999</v>
      </c>
      <c r="K2027">
        <v>1.1204829999999999</v>
      </c>
      <c r="L2027">
        <v>353.71949999999998</v>
      </c>
      <c r="M2027">
        <v>0.39315899999999998</v>
      </c>
      <c r="N2027">
        <v>-1.259674E-2</v>
      </c>
      <c r="O2027">
        <v>-0.91938419999999998</v>
      </c>
      <c r="P2027">
        <v>9.5795420000000006E-2</v>
      </c>
      <c r="Q2027">
        <v>0.1057048</v>
      </c>
      <c r="R2027">
        <v>-0.98977289999999996</v>
      </c>
      <c r="S2027">
        <v>0.3807526</v>
      </c>
      <c r="T2027">
        <v>-0.218196</v>
      </c>
      <c r="U2027">
        <v>-3.0171510000000001</v>
      </c>
      <c r="V2027">
        <v>0.30138199999999998</v>
      </c>
      <c r="W2027">
        <v>0.1168819</v>
      </c>
      <c r="X2027">
        <v>0.94631259999999995</v>
      </c>
      <c r="Y2027">
        <v>0.27497349999999998</v>
      </c>
      <c r="Z2027">
        <v>4.9613419999999998E-2</v>
      </c>
      <c r="AA2027">
        <v>0.96017090000000005</v>
      </c>
      <c r="AB2027">
        <v>8</v>
      </c>
      <c r="AC2027">
        <v>1.92969999999999</v>
      </c>
      <c r="AD2027">
        <v>-1.1204869164409901</v>
      </c>
      <c r="AE2027">
        <v>-15.4209999999999</v>
      </c>
      <c r="AF2027">
        <v>4.2669298597412704</v>
      </c>
      <c r="AG2027">
        <v>-1.1204869164409901</v>
      </c>
      <c r="AH2027">
        <v>14.8604426015036</v>
      </c>
      <c r="AI2027">
        <v>94.145109644989901</v>
      </c>
      <c r="AJ2027">
        <v>73.979457996417096</v>
      </c>
      <c r="AK2027">
        <v>15.5014494699835</v>
      </c>
      <c r="AL2027">
        <v>83.287817995657605</v>
      </c>
      <c r="AM2027">
        <v>72.334343220054706</v>
      </c>
      <c r="AN2027">
        <v>1.00000001269518</v>
      </c>
    </row>
    <row r="2028" spans="1:40" x14ac:dyDescent="0.25">
      <c r="A2028" t="str">
        <f>"20190303161913201"</f>
        <v>20190303161913201</v>
      </c>
      <c r="B2028" t="str">
        <f>"1551601153194643"</f>
        <v>1551601153194643</v>
      </c>
      <c r="C2028" t="s">
        <v>40</v>
      </c>
      <c r="D2028">
        <v>4.6046740000000002</v>
      </c>
      <c r="E2028">
        <v>0.49014780000000002</v>
      </c>
      <c r="F2028" t="s">
        <v>41</v>
      </c>
      <c r="G2028">
        <v>-190.66640000000001</v>
      </c>
      <c r="H2028" s="1">
        <v>-3.7622230000000002E-6</v>
      </c>
      <c r="I2028">
        <v>337.94560000000001</v>
      </c>
      <c r="J2028">
        <v>-192.57910000000001</v>
      </c>
      <c r="K2028">
        <v>1.1204989999999999</v>
      </c>
      <c r="L2028">
        <v>353.63979999999998</v>
      </c>
      <c r="M2028">
        <v>0.38854640000000001</v>
      </c>
      <c r="N2028">
        <v>-1.2503220000000001E-2</v>
      </c>
      <c r="O2028">
        <v>-0.92134450000000001</v>
      </c>
      <c r="P2028">
        <v>9.2261800000000005E-2</v>
      </c>
      <c r="Q2028">
        <v>0.10496320000000001</v>
      </c>
      <c r="R2028">
        <v>-0.99018709999999999</v>
      </c>
      <c r="S2028">
        <v>0.37126160000000002</v>
      </c>
      <c r="T2028">
        <v>-0.2143785</v>
      </c>
      <c r="U2028">
        <v>-3.017944</v>
      </c>
      <c r="V2028">
        <v>0.300037099999999</v>
      </c>
      <c r="W2028">
        <v>0.11607729999999999</v>
      </c>
      <c r="X2028">
        <v>0.94683890000000004</v>
      </c>
      <c r="Y2028">
        <v>0.27315889999999998</v>
      </c>
      <c r="Z2028">
        <v>4.8831579999999999E-2</v>
      </c>
      <c r="AA2028">
        <v>0.96072880000000005</v>
      </c>
      <c r="AB2028">
        <v>8</v>
      </c>
      <c r="AC2028">
        <v>1.9127000000000001</v>
      </c>
      <c r="AD2028">
        <v>-1.1205027622229999</v>
      </c>
      <c r="AE2028">
        <v>-15.694199999999899</v>
      </c>
      <c r="AF2028">
        <v>4.3143375459525197</v>
      </c>
      <c r="AG2028">
        <v>-1.1205027622229999</v>
      </c>
      <c r="AH2028">
        <v>15.1281382327074</v>
      </c>
      <c r="AI2028">
        <v>94.074158061813193</v>
      </c>
      <c r="AJ2028">
        <v>74.082577009538696</v>
      </c>
      <c r="AK2028">
        <v>15.7711635996989</v>
      </c>
      <c r="AL2028">
        <v>83.334234392821202</v>
      </c>
      <c r="AM2028">
        <v>72.417479410697894</v>
      </c>
      <c r="AN2028">
        <v>1.0000000517524501</v>
      </c>
    </row>
    <row r="2029" spans="1:40" x14ac:dyDescent="0.25">
      <c r="A2029" t="str">
        <f>"20190303161913223"</f>
        <v>20190303161913223</v>
      </c>
      <c r="B2029" t="str">
        <f>"1551601153214163"</f>
        <v>1551601153214163</v>
      </c>
      <c r="C2029" t="s">
        <v>40</v>
      </c>
      <c r="D2029">
        <v>4.5960080000000003</v>
      </c>
      <c r="E2029">
        <v>0.49001289999999997</v>
      </c>
      <c r="F2029" t="s">
        <v>41</v>
      </c>
      <c r="G2029">
        <v>-190.684</v>
      </c>
      <c r="H2029" s="1">
        <v>-3.717714E-6</v>
      </c>
      <c r="I2029">
        <v>337.83100000000002</v>
      </c>
      <c r="J2029">
        <v>-192.55269999999999</v>
      </c>
      <c r="K2029">
        <v>1.1204959999999999</v>
      </c>
      <c r="L2029">
        <v>353.56259999999997</v>
      </c>
      <c r="M2029">
        <v>0.38411840000000003</v>
      </c>
      <c r="N2029">
        <v>-1.2429050000000001E-2</v>
      </c>
      <c r="O2029">
        <v>-0.92320040000000003</v>
      </c>
      <c r="P2029">
        <v>8.8879730000000004E-2</v>
      </c>
      <c r="Q2029">
        <v>0.1053422</v>
      </c>
      <c r="R2029">
        <v>-0.99045649999999996</v>
      </c>
      <c r="S2029">
        <v>0.36187740000000002</v>
      </c>
      <c r="T2029">
        <v>-0.21396119999999999</v>
      </c>
      <c r="U2029">
        <v>-3.018707</v>
      </c>
      <c r="V2029">
        <v>0.2987069</v>
      </c>
      <c r="W2029">
        <v>0.1163955</v>
      </c>
      <c r="X2029">
        <v>0.94722030000000002</v>
      </c>
      <c r="Y2029">
        <v>0.27151540000000002</v>
      </c>
      <c r="Z2029">
        <v>4.8978649999999999E-2</v>
      </c>
      <c r="AA2029">
        <v>0.96118700000000001</v>
      </c>
      <c r="AB2029">
        <v>8</v>
      </c>
      <c r="AC2029">
        <v>1.8686999999999601</v>
      </c>
      <c r="AD2029">
        <v>-1.1204997177139999</v>
      </c>
      <c r="AE2029">
        <v>-15.7316</v>
      </c>
      <c r="AF2029">
        <v>4.2964518225892396</v>
      </c>
      <c r="AG2029">
        <v>-1.1204997177139999</v>
      </c>
      <c r="AH2029">
        <v>15.1665242656148</v>
      </c>
      <c r="AI2029">
        <v>94.065895558230096</v>
      </c>
      <c r="AJ2029">
        <v>74.183359111204695</v>
      </c>
      <c r="AK2029">
        <v>15.803116027565901</v>
      </c>
      <c r="AL2029">
        <v>83.315878176189003</v>
      </c>
      <c r="AM2029">
        <v>72.497277349963795</v>
      </c>
      <c r="AN2029">
        <v>1.00000001062997</v>
      </c>
    </row>
    <row r="2030" spans="1:40" x14ac:dyDescent="0.25">
      <c r="A2030" t="str">
        <f>"20190303161913246"</f>
        <v>20190303161913246</v>
      </c>
      <c r="B2030" t="str">
        <f>"1551601153234659"</f>
        <v>1551601153234659</v>
      </c>
      <c r="C2030" t="s">
        <v>40</v>
      </c>
      <c r="D2030">
        <v>4.5789080000000002</v>
      </c>
      <c r="E2030">
        <v>0.48976419999999998</v>
      </c>
      <c r="F2030" t="s">
        <v>41</v>
      </c>
      <c r="G2030">
        <v>-190.6748</v>
      </c>
      <c r="H2030" s="1">
        <v>-3.5547500000000001E-6</v>
      </c>
      <c r="I2030">
        <v>337.45679999999999</v>
      </c>
      <c r="J2030">
        <v>-192.5266</v>
      </c>
      <c r="K2030">
        <v>1.120495</v>
      </c>
      <c r="L2030">
        <v>353.48480000000001</v>
      </c>
      <c r="M2030">
        <v>0.37967899999999999</v>
      </c>
      <c r="N2030">
        <v>-1.23965E-2</v>
      </c>
      <c r="O2030">
        <v>-0.9250353</v>
      </c>
      <c r="P2030">
        <v>8.4860599999999994E-2</v>
      </c>
      <c r="Q2030">
        <v>0.1056525</v>
      </c>
      <c r="R2030">
        <v>-0.99077550000000003</v>
      </c>
      <c r="S2030">
        <v>0.35209659999999998</v>
      </c>
      <c r="T2030">
        <v>-0.21008070000000001</v>
      </c>
      <c r="U2030">
        <v>-3.0196529999999999</v>
      </c>
      <c r="V2030">
        <v>0.29798669999999999</v>
      </c>
      <c r="W2030">
        <v>0.1166778</v>
      </c>
      <c r="X2030">
        <v>0.94741240000000004</v>
      </c>
      <c r="Y2030">
        <v>0.26999630000000002</v>
      </c>
      <c r="Z2030">
        <v>4.8089029999999998E-2</v>
      </c>
      <c r="AA2030">
        <v>0.96165970000000001</v>
      </c>
      <c r="AB2030">
        <v>8</v>
      </c>
      <c r="AC2030">
        <v>1.8517999999999899</v>
      </c>
      <c r="AD2030">
        <v>-1.1204985547499999</v>
      </c>
      <c r="AE2030">
        <v>-16.027999999999999</v>
      </c>
      <c r="AF2030">
        <v>4.3518619389986304</v>
      </c>
      <c r="AG2030">
        <v>-1.1204985547499999</v>
      </c>
      <c r="AH2030">
        <v>15.456204590292399</v>
      </c>
      <c r="AI2030">
        <v>93.991730980757794</v>
      </c>
      <c r="AJ2030">
        <v>74.274859234285103</v>
      </c>
      <c r="AK2030">
        <v>16.096225634734299</v>
      </c>
      <c r="AL2030">
        <v>83.299592670868293</v>
      </c>
      <c r="AM2030">
        <v>72.540234971934893</v>
      </c>
      <c r="AN2030">
        <v>1.00000001903174</v>
      </c>
    </row>
    <row r="2031" spans="1:40" x14ac:dyDescent="0.25">
      <c r="A2031" t="str">
        <f>"20190303161913267"</f>
        <v>20190303161913267</v>
      </c>
      <c r="B2031" t="str">
        <f>"1551601153254179"</f>
        <v>1551601153254179</v>
      </c>
      <c r="C2031" t="s">
        <v>40</v>
      </c>
      <c r="D2031">
        <v>4.6053059999999997</v>
      </c>
      <c r="E2031">
        <v>0.48952810000000002</v>
      </c>
      <c r="F2031" t="s">
        <v>41</v>
      </c>
      <c r="G2031">
        <v>-190.68690000000001</v>
      </c>
      <c r="H2031" s="1">
        <v>-3.4471710000000001E-6</v>
      </c>
      <c r="I2031">
        <v>337.19850000000002</v>
      </c>
      <c r="J2031">
        <v>-192.50120000000001</v>
      </c>
      <c r="K2031">
        <v>1.120503</v>
      </c>
      <c r="L2031">
        <v>353.40809999999999</v>
      </c>
      <c r="M2031">
        <v>0.37529560000000001</v>
      </c>
      <c r="N2031">
        <v>-1.23797E-2</v>
      </c>
      <c r="O2031">
        <v>-0.92682260000000005</v>
      </c>
      <c r="P2031">
        <v>8.1041569999999993E-2</v>
      </c>
      <c r="Q2031">
        <v>0.10532420000000001</v>
      </c>
      <c r="R2031">
        <v>-0.99113019999999996</v>
      </c>
      <c r="S2031">
        <v>0.34121699999999999</v>
      </c>
      <c r="T2031">
        <v>-0.20783409999999999</v>
      </c>
      <c r="U2031">
        <v>-3.0208439999999999</v>
      </c>
      <c r="V2031">
        <v>0.29716379999999998</v>
      </c>
      <c r="W2031">
        <v>0.1163392</v>
      </c>
      <c r="X2031">
        <v>0.94771249999999996</v>
      </c>
      <c r="Y2031">
        <v>0.26889970000000002</v>
      </c>
      <c r="Z2031">
        <v>4.7631100000000003E-2</v>
      </c>
      <c r="AA2031">
        <v>0.96198980000000001</v>
      </c>
      <c r="AB2031">
        <v>8</v>
      </c>
      <c r="AC2031">
        <v>1.8143</v>
      </c>
      <c r="AD2031">
        <v>-1.120506447171</v>
      </c>
      <c r="AE2031">
        <v>-16.209599999999899</v>
      </c>
      <c r="AF2031">
        <v>4.3815166009918496</v>
      </c>
      <c r="AG2031">
        <v>-1.120506447171</v>
      </c>
      <c r="AH2031">
        <v>15.6317537100416</v>
      </c>
      <c r="AI2031">
        <v>93.948369009566605</v>
      </c>
      <c r="AJ2031">
        <v>74.342033048540998</v>
      </c>
      <c r="AK2031">
        <v>16.272828471852101</v>
      </c>
      <c r="AL2031">
        <v>83.319126311820696</v>
      </c>
      <c r="AM2031">
        <v>72.590713160097195</v>
      </c>
      <c r="AN2031">
        <v>1.0000000580716599</v>
      </c>
    </row>
    <row r="2032" spans="1:40" x14ac:dyDescent="0.25">
      <c r="A2032" t="str">
        <f>"20190303161913291"</f>
        <v>20190303161913291</v>
      </c>
      <c r="B2032" t="str">
        <f>"1551601153284435"</f>
        <v>1551601153284435</v>
      </c>
      <c r="C2032" t="s">
        <v>40</v>
      </c>
      <c r="D2032">
        <v>4.7276300000000004</v>
      </c>
      <c r="E2032">
        <v>0.48944520000000002</v>
      </c>
      <c r="F2032" t="s">
        <v>41</v>
      </c>
      <c r="G2032">
        <v>-190.72149999999999</v>
      </c>
      <c r="H2032" s="1">
        <v>-3.4402990000000001E-6</v>
      </c>
      <c r="I2032">
        <v>337.16109999999998</v>
      </c>
      <c r="J2032">
        <v>-192.47460000000001</v>
      </c>
      <c r="K2032">
        <v>1.1205039999999999</v>
      </c>
      <c r="L2032">
        <v>353.32619999999997</v>
      </c>
      <c r="M2032">
        <v>0.37059199999999998</v>
      </c>
      <c r="N2032">
        <v>-1.235375E-2</v>
      </c>
      <c r="O2032">
        <v>-0.92871369999999998</v>
      </c>
      <c r="P2032">
        <v>7.7435779999999996E-2</v>
      </c>
      <c r="Q2032">
        <v>0.1053135</v>
      </c>
      <c r="R2032">
        <v>-0.99141979999999996</v>
      </c>
      <c r="S2032">
        <v>0.33102419999999999</v>
      </c>
      <c r="T2032">
        <v>-0.20840729999999999</v>
      </c>
      <c r="U2032">
        <v>-3.0218509999999998</v>
      </c>
      <c r="V2032">
        <v>0.29580420000000002</v>
      </c>
      <c r="W2032">
        <v>0.1163126</v>
      </c>
      <c r="X2032">
        <v>0.94814089999999995</v>
      </c>
      <c r="Y2032">
        <v>0.26726</v>
      </c>
      <c r="Z2032">
        <v>4.800687E-2</v>
      </c>
      <c r="AA2032">
        <v>0.9624279</v>
      </c>
      <c r="AB2032">
        <v>8</v>
      </c>
      <c r="AC2032">
        <v>1.7531000000000101</v>
      </c>
      <c r="AD2032">
        <v>-1.1205074402990001</v>
      </c>
      <c r="AE2032">
        <v>-16.165099999999899</v>
      </c>
      <c r="AF2032">
        <v>4.34224034542257</v>
      </c>
      <c r="AG2032">
        <v>-1.1205074402990001</v>
      </c>
      <c r="AH2032">
        <v>15.589594840361</v>
      </c>
      <c r="AI2032">
        <v>93.960818170048</v>
      </c>
      <c r="AJ2032">
        <v>74.435644510768299</v>
      </c>
      <c r="AK2032">
        <v>16.221777196959401</v>
      </c>
      <c r="AL2032">
        <v>83.320660111753995</v>
      </c>
      <c r="AM2032">
        <v>72.672946157891701</v>
      </c>
      <c r="AN2032">
        <v>0.999999955954603</v>
      </c>
    </row>
    <row r="2033" spans="1:40" x14ac:dyDescent="0.25">
      <c r="A2033" t="str">
        <f>"20190303161913314"</f>
        <v>20190303161913314</v>
      </c>
      <c r="B2033" t="str">
        <f>"1551601153304932"</f>
        <v>1551601153304932</v>
      </c>
      <c r="C2033" t="s">
        <v>40</v>
      </c>
      <c r="D2033">
        <v>4.6989109999999998</v>
      </c>
      <c r="E2033">
        <v>0.4910351</v>
      </c>
      <c r="F2033" t="s">
        <v>41</v>
      </c>
      <c r="G2033">
        <v>-190.74809999999999</v>
      </c>
      <c r="H2033" s="1">
        <v>-3.380422E-6</v>
      </c>
      <c r="I2033">
        <v>337.005</v>
      </c>
      <c r="J2033">
        <v>-192.44880000000001</v>
      </c>
      <c r="K2033">
        <v>1.1205099999999999</v>
      </c>
      <c r="L2033">
        <v>353.2457</v>
      </c>
      <c r="M2033">
        <v>0.3659675</v>
      </c>
      <c r="N2033">
        <v>-1.232549E-2</v>
      </c>
      <c r="O2033">
        <v>-0.93054610000000004</v>
      </c>
      <c r="P2033">
        <v>7.4120019999999995E-2</v>
      </c>
      <c r="Q2033">
        <v>0.1057689</v>
      </c>
      <c r="R2033">
        <v>-0.99162479999999997</v>
      </c>
      <c r="S2033">
        <v>0.31977840000000002</v>
      </c>
      <c r="T2033">
        <v>-0.20754429999999999</v>
      </c>
      <c r="U2033">
        <v>-3.0230709999999998</v>
      </c>
      <c r="V2033">
        <v>0.294238</v>
      </c>
      <c r="W2033">
        <v>0.1167531</v>
      </c>
      <c r="X2033">
        <v>0.94857409999999998</v>
      </c>
      <c r="Y2033">
        <v>0.26604879999999997</v>
      </c>
      <c r="Z2033">
        <v>4.7958000000000001E-2</v>
      </c>
      <c r="AA2033">
        <v>0.9627658</v>
      </c>
      <c r="AB2033">
        <v>8</v>
      </c>
      <c r="AC2033">
        <v>1.7007000000000101</v>
      </c>
      <c r="AD2033">
        <v>-1.120513380422</v>
      </c>
      <c r="AE2033">
        <v>-16.2407</v>
      </c>
      <c r="AF2033">
        <v>4.3408802473641899</v>
      </c>
      <c r="AG2033">
        <v>-1.120513380422</v>
      </c>
      <c r="AH2033">
        <v>15.6625668392227</v>
      </c>
      <c r="AI2033">
        <v>93.943847561579105</v>
      </c>
      <c r="AJ2033">
        <v>74.509287363059798</v>
      </c>
      <c r="AK2033">
        <v>16.291555835793599</v>
      </c>
      <c r="AL2033">
        <v>83.2952488517288</v>
      </c>
      <c r="AM2033">
        <v>72.766643610734505</v>
      </c>
      <c r="AN2033">
        <v>1.0000000550971999</v>
      </c>
    </row>
    <row r="2034" spans="1:40" x14ac:dyDescent="0.25">
      <c r="A2034" t="str">
        <f>"20190303161913337"</f>
        <v>20190303161913337</v>
      </c>
      <c r="B2034" t="str">
        <f>"1551601153324452"</f>
        <v>1551601153324452</v>
      </c>
      <c r="C2034" t="s">
        <v>40</v>
      </c>
      <c r="D2034">
        <v>4.71129</v>
      </c>
      <c r="E2034">
        <v>0.51805040000000002</v>
      </c>
      <c r="F2034" t="s">
        <v>41</v>
      </c>
      <c r="G2034">
        <v>-190.78630000000001</v>
      </c>
      <c r="H2034" s="1">
        <v>-3.095545E-6</v>
      </c>
      <c r="I2034">
        <v>336.31729999999999</v>
      </c>
      <c r="J2034">
        <v>-192.4239</v>
      </c>
      <c r="K2034">
        <v>1.1205240000000001</v>
      </c>
      <c r="L2034">
        <v>353.16649999999998</v>
      </c>
      <c r="M2034">
        <v>0.36140749999999999</v>
      </c>
      <c r="N2034">
        <v>-1.230415E-2</v>
      </c>
      <c r="O2034">
        <v>-0.93232700000000002</v>
      </c>
      <c r="P2034">
        <v>7.0860129999999993E-2</v>
      </c>
      <c r="Q2034">
        <v>0.10668900000000001</v>
      </c>
      <c r="R2034">
        <v>-0.99176470000000005</v>
      </c>
      <c r="S2034">
        <v>0.2970428</v>
      </c>
      <c r="T2034">
        <v>-0.20019519999999999</v>
      </c>
      <c r="U2034">
        <v>-3.0245060000000001</v>
      </c>
      <c r="V2034">
        <v>0.2926743</v>
      </c>
      <c r="W2034">
        <v>0.1176656</v>
      </c>
      <c r="X2034">
        <v>0.94894500000000004</v>
      </c>
      <c r="Y2034">
        <v>0.26853300000000002</v>
      </c>
      <c r="Z2034">
        <v>4.5983820000000002E-2</v>
      </c>
      <c r="AA2034">
        <v>0.96217229999999998</v>
      </c>
      <c r="AB2034">
        <v>8</v>
      </c>
      <c r="AC2034">
        <v>1.63759999999999</v>
      </c>
      <c r="AD2034">
        <v>-1.120527095545</v>
      </c>
      <c r="AE2034">
        <v>-16.8491999999999</v>
      </c>
      <c r="AF2034">
        <v>4.5430884037257302</v>
      </c>
      <c r="AG2034">
        <v>-1.120527095545</v>
      </c>
      <c r="AH2034">
        <v>16.230923188783599</v>
      </c>
      <c r="AI2034">
        <v>93.803506243027996</v>
      </c>
      <c r="AJ2034">
        <v>74.362893206994698</v>
      </c>
      <c r="AK2034">
        <v>16.8919537288056</v>
      </c>
      <c r="AL2034">
        <v>83.242603385717999</v>
      </c>
      <c r="AM2034">
        <v>72.859153406925699</v>
      </c>
      <c r="AN2034">
        <v>1.00000002616442</v>
      </c>
    </row>
    <row r="2035" spans="1:40" x14ac:dyDescent="0.25">
      <c r="A2035" t="str">
        <f>"20190303161913356"</f>
        <v>20190303161913356</v>
      </c>
      <c r="B2035" t="str">
        <f>"1551601153344947"</f>
        <v>1551601153344947</v>
      </c>
      <c r="C2035" t="s">
        <v>40</v>
      </c>
      <c r="D2035">
        <v>4.6752510000000003</v>
      </c>
      <c r="E2035">
        <v>0.51802669999999995</v>
      </c>
      <c r="F2035" t="s">
        <v>41</v>
      </c>
      <c r="G2035">
        <v>-191.83920000000001</v>
      </c>
      <c r="H2035" s="1">
        <v>-4.1857999999999998E-6</v>
      </c>
      <c r="I2035">
        <v>328.32830000000001</v>
      </c>
      <c r="J2035">
        <v>-192.4015</v>
      </c>
      <c r="K2035">
        <v>1.120536</v>
      </c>
      <c r="L2035">
        <v>353.09379999999999</v>
      </c>
      <c r="M2035">
        <v>0.35722569999999998</v>
      </c>
      <c r="N2035">
        <v>-1.2290499999999999E-2</v>
      </c>
      <c r="O2035">
        <v>-0.93393729999999997</v>
      </c>
      <c r="P2035">
        <v>6.8137320000000001E-2</v>
      </c>
      <c r="Q2035">
        <v>0.10729420000000001</v>
      </c>
      <c r="R2035">
        <v>-0.99188980000000004</v>
      </c>
      <c r="S2035">
        <v>7.1441649999999995E-2</v>
      </c>
      <c r="T2035">
        <v>-0.1368965</v>
      </c>
      <c r="U2035">
        <v>-3.0345149999999999</v>
      </c>
      <c r="V2035">
        <v>0.29099999999999998</v>
      </c>
      <c r="W2035">
        <v>0.11827169999999999</v>
      </c>
      <c r="X2035">
        <v>0.94938449999999996</v>
      </c>
      <c r="Y2035">
        <v>0.3350474</v>
      </c>
      <c r="Z2035">
        <v>2.7078370000000001E-2</v>
      </c>
      <c r="AA2035">
        <v>0.94181210000000004</v>
      </c>
      <c r="AB2035">
        <v>8</v>
      </c>
      <c r="AC2035">
        <v>0.56229999999999303</v>
      </c>
      <c r="AD2035">
        <v>-1.1205401857999999</v>
      </c>
      <c r="AE2035">
        <v>-24.7654999999999</v>
      </c>
      <c r="AF2035">
        <v>8.3053541771800692</v>
      </c>
      <c r="AG2035">
        <v>-1.1205401857999999</v>
      </c>
      <c r="AH2035">
        <v>23.284409578765899</v>
      </c>
      <c r="AI2035">
        <v>92.595264448091598</v>
      </c>
      <c r="AJ2035">
        <v>70.369107661972805</v>
      </c>
      <c r="AK2035">
        <v>24.746681550222402</v>
      </c>
      <c r="AL2035">
        <v>83.207632465744595</v>
      </c>
      <c r="AM2035">
        <v>72.958944791747498</v>
      </c>
      <c r="AN2035">
        <v>1.00000006193056</v>
      </c>
    </row>
    <row r="2036" spans="1:40" x14ac:dyDescent="0.25">
      <c r="A2036" t="str">
        <f>"20190303161913380"</f>
        <v>20190303161913380</v>
      </c>
      <c r="B2036" t="str">
        <f>"1551601153374227"</f>
        <v>1551601153374227</v>
      </c>
      <c r="C2036" t="s">
        <v>40</v>
      </c>
      <c r="D2036">
        <v>4.5438369999999999</v>
      </c>
      <c r="E2036">
        <v>0.51745909999999995</v>
      </c>
      <c r="F2036" t="s">
        <v>41</v>
      </c>
      <c r="G2036">
        <v>-191.85329999999999</v>
      </c>
      <c r="H2036" s="1">
        <v>-3.519433E-6</v>
      </c>
      <c r="I2036">
        <v>326.64350000000002</v>
      </c>
      <c r="J2036">
        <v>-192.3768</v>
      </c>
      <c r="K2036">
        <v>1.120541</v>
      </c>
      <c r="L2036">
        <v>353.01260000000002</v>
      </c>
      <c r="M2036">
        <v>0.35254229999999998</v>
      </c>
      <c r="N2036">
        <v>-1.2277130000000001E-2</v>
      </c>
      <c r="O2036">
        <v>-0.93571559999999998</v>
      </c>
      <c r="P2036">
        <v>6.4221849999999997E-2</v>
      </c>
      <c r="Q2036">
        <v>0.10722660000000001</v>
      </c>
      <c r="R2036">
        <v>-0.9921584</v>
      </c>
      <c r="S2036">
        <v>6.2881469999999995E-2</v>
      </c>
      <c r="T2036">
        <v>-0.1285385</v>
      </c>
      <c r="U2036">
        <v>-3.0341490000000002</v>
      </c>
      <c r="V2036">
        <v>0.28998990000000002</v>
      </c>
      <c r="W2036">
        <v>0.1182016</v>
      </c>
      <c r="X2036">
        <v>0.94970220000000005</v>
      </c>
      <c r="Y2036">
        <v>0.33298640000000002</v>
      </c>
      <c r="Z2036">
        <v>2.482084E-2</v>
      </c>
      <c r="AA2036">
        <v>0.94260489999999997</v>
      </c>
      <c r="AB2036">
        <v>8</v>
      </c>
      <c r="AC2036">
        <v>0.52350000000001196</v>
      </c>
      <c r="AD2036">
        <v>-1.1205445194329999</v>
      </c>
      <c r="AE2036">
        <v>-26.3691</v>
      </c>
      <c r="AF2036">
        <v>8.7911689032762403</v>
      </c>
      <c r="AG2036">
        <v>-1.1205445194329999</v>
      </c>
      <c r="AH2036">
        <v>24.815607578502</v>
      </c>
      <c r="AI2036">
        <v>92.437204952461897</v>
      </c>
      <c r="AJ2036">
        <v>70.492816936895395</v>
      </c>
      <c r="AK2036">
        <v>26.350610053586401</v>
      </c>
      <c r="AL2036">
        <v>83.211676948763994</v>
      </c>
      <c r="AM2036">
        <v>73.020041075569495</v>
      </c>
      <c r="AN2036">
        <v>1.0000000145147001</v>
      </c>
    </row>
    <row r="2037" spans="1:40" x14ac:dyDescent="0.25">
      <c r="A2037" t="str">
        <f>"20190303161913402"</f>
        <v>20190303161913402</v>
      </c>
      <c r="B2037" t="str">
        <f>"1551601153394724"</f>
        <v>1551601153394724</v>
      </c>
      <c r="C2037" t="s">
        <v>40</v>
      </c>
      <c r="D2037">
        <v>4.7277100000000001</v>
      </c>
      <c r="E2037">
        <v>0.51610210000000001</v>
      </c>
      <c r="F2037" t="s">
        <v>41</v>
      </c>
      <c r="G2037">
        <v>-191.91650000000001</v>
      </c>
      <c r="H2037" s="1">
        <v>-4.0720430000000003E-6</v>
      </c>
      <c r="I2037">
        <v>327.95370000000003</v>
      </c>
      <c r="J2037">
        <v>-192.3535</v>
      </c>
      <c r="K2037">
        <v>1.120549</v>
      </c>
      <c r="L2037">
        <v>352.9348</v>
      </c>
      <c r="M2037">
        <v>0.34804980000000002</v>
      </c>
      <c r="N2037">
        <v>-1.226461E-2</v>
      </c>
      <c r="O2037">
        <v>-0.93739589999999995</v>
      </c>
      <c r="P2037">
        <v>5.9862289999999999E-2</v>
      </c>
      <c r="Q2037">
        <v>0.1079012</v>
      </c>
      <c r="R2037">
        <v>-0.99235779999999996</v>
      </c>
      <c r="S2037">
        <v>5.5740360000000003E-2</v>
      </c>
      <c r="T2037">
        <v>-0.13570209999999999</v>
      </c>
      <c r="U2037">
        <v>-3.034729</v>
      </c>
      <c r="V2037">
        <v>0.28958139999999999</v>
      </c>
      <c r="W2037">
        <v>0.1188683</v>
      </c>
      <c r="X2037">
        <v>0.94974360000000002</v>
      </c>
      <c r="Y2037">
        <v>0.33067980000000002</v>
      </c>
      <c r="Z2037">
        <v>2.7012540000000002E-2</v>
      </c>
      <c r="AA2037">
        <v>0.94335630000000004</v>
      </c>
      <c r="AB2037">
        <v>8</v>
      </c>
      <c r="AC2037">
        <v>0.43699999999998301</v>
      </c>
      <c r="AD2037">
        <v>-1.1205530720429999</v>
      </c>
      <c r="AE2037">
        <v>-24.981099999999898</v>
      </c>
      <c r="AF2037">
        <v>8.2690146933463708</v>
      </c>
      <c r="AG2037">
        <v>-1.1205530720429999</v>
      </c>
      <c r="AH2037">
        <v>23.523732708193901</v>
      </c>
      <c r="AI2037">
        <v>92.573105806857399</v>
      </c>
      <c r="AJ2037">
        <v>70.632508887210903</v>
      </c>
      <c r="AK2037">
        <v>24.9599327665881</v>
      </c>
      <c r="AL2037">
        <v>83.173206414898701</v>
      </c>
      <c r="AM2037">
        <v>73.043283607610505</v>
      </c>
      <c r="AN2037">
        <v>0.99999998285590397</v>
      </c>
    </row>
    <row r="2038" spans="1:40" x14ac:dyDescent="0.25">
      <c r="A2038" t="str">
        <f>"20190303161913424"</f>
        <v>20190303161913424</v>
      </c>
      <c r="B2038" t="str">
        <f>"1551601153414243"</f>
        <v>1551601153414243</v>
      </c>
      <c r="C2038" t="s">
        <v>40</v>
      </c>
      <c r="D2038">
        <v>4.7730410000000001</v>
      </c>
      <c r="E2038">
        <v>0.51549230000000001</v>
      </c>
      <c r="F2038" t="s">
        <v>41</v>
      </c>
      <c r="G2038">
        <v>-191.89769999999999</v>
      </c>
      <c r="H2038" s="1">
        <v>-3.6524240000000002E-6</v>
      </c>
      <c r="I2038">
        <v>326.92599999999999</v>
      </c>
      <c r="J2038">
        <v>-192.3306</v>
      </c>
      <c r="K2038">
        <v>1.1205529999999999</v>
      </c>
      <c r="L2038">
        <v>352.85649999999998</v>
      </c>
      <c r="M2038">
        <v>0.34353800000000001</v>
      </c>
      <c r="N2038">
        <v>-1.225364E-2</v>
      </c>
      <c r="O2038">
        <v>-0.93905899999999998</v>
      </c>
      <c r="P2038">
        <v>5.5462770000000002E-2</v>
      </c>
      <c r="Q2038">
        <v>0.10886850000000001</v>
      </c>
      <c r="R2038">
        <v>-0.99250830000000001</v>
      </c>
      <c r="S2038">
        <v>5.3176880000000003E-2</v>
      </c>
      <c r="T2038">
        <v>-0.13072110000000001</v>
      </c>
      <c r="U2038">
        <v>-3.034119</v>
      </c>
      <c r="V2038">
        <v>0.28918890000000003</v>
      </c>
      <c r="W2038">
        <v>0.1198279</v>
      </c>
      <c r="X2038">
        <v>0.94974259999999999</v>
      </c>
      <c r="Y2038">
        <v>0.3269377</v>
      </c>
      <c r="Z2038">
        <v>2.5725950000000001E-2</v>
      </c>
      <c r="AA2038">
        <v>0.94469570000000003</v>
      </c>
      <c r="AB2038">
        <v>8</v>
      </c>
      <c r="AC2038">
        <v>0.43290000000001699</v>
      </c>
      <c r="AD2038">
        <v>-1.120556652424</v>
      </c>
      <c r="AE2038">
        <v>-25.930499999999899</v>
      </c>
      <c r="AF2038">
        <v>8.4863870927278509</v>
      </c>
      <c r="AG2038">
        <v>-1.120556652424</v>
      </c>
      <c r="AH2038">
        <v>24.4551668865575</v>
      </c>
      <c r="AI2038">
        <v>92.478700352094805</v>
      </c>
      <c r="AJ2038">
        <v>70.862296992808098</v>
      </c>
      <c r="AK2038">
        <v>25.910028956917198</v>
      </c>
      <c r="AL2038">
        <v>83.117829525911503</v>
      </c>
      <c r="AM2038">
        <v>73.064933804795402</v>
      </c>
      <c r="AN2038">
        <v>0.99999997587818901</v>
      </c>
    </row>
    <row r="2039" spans="1:40" x14ac:dyDescent="0.25">
      <c r="A2039" t="str">
        <f>"20190303161913447"</f>
        <v>20190303161913447</v>
      </c>
      <c r="B2039" t="str">
        <f>"1551601153434739"</f>
        <v>1551601153434739</v>
      </c>
      <c r="C2039" t="s">
        <v>40</v>
      </c>
      <c r="D2039">
        <v>4.7957700000000001</v>
      </c>
      <c r="E2039">
        <v>0.51491730000000002</v>
      </c>
      <c r="F2039" t="s">
        <v>41</v>
      </c>
      <c r="G2039">
        <v>-191.94550000000001</v>
      </c>
      <c r="H2039" s="1">
        <v>-3.4616730000000001E-6</v>
      </c>
      <c r="I2039">
        <v>326.45170000000002</v>
      </c>
      <c r="J2039">
        <v>-192.30770000000001</v>
      </c>
      <c r="K2039">
        <v>1.1205510000000001</v>
      </c>
      <c r="L2039">
        <v>352.77719999999999</v>
      </c>
      <c r="M2039">
        <v>0.33896739999999997</v>
      </c>
      <c r="N2039">
        <v>-1.2245799999999999E-2</v>
      </c>
      <c r="O2039">
        <v>-0.94071850000000001</v>
      </c>
      <c r="P2039">
        <v>5.144402E-2</v>
      </c>
      <c r="Q2039">
        <v>0.1093152</v>
      </c>
      <c r="R2039">
        <v>-0.99267510000000003</v>
      </c>
      <c r="S2039">
        <v>4.4250490000000003E-2</v>
      </c>
      <c r="T2039">
        <v>-0.1287671</v>
      </c>
      <c r="U2039">
        <v>-3.0342709999999999</v>
      </c>
      <c r="V2039">
        <v>0.28839870000000001</v>
      </c>
      <c r="W2039">
        <v>0.120271</v>
      </c>
      <c r="X2039">
        <v>0.94992690000000002</v>
      </c>
      <c r="Y2039">
        <v>0.3251232</v>
      </c>
      <c r="Z2039">
        <v>2.5277620000000001E-2</v>
      </c>
      <c r="AA2039">
        <v>0.9453338</v>
      </c>
      <c r="AB2039">
        <v>8</v>
      </c>
      <c r="AC2039">
        <v>0.36220000000000102</v>
      </c>
      <c r="AD2039">
        <v>-1.1205544616730001</v>
      </c>
      <c r="AE2039">
        <v>-26.325499999999899</v>
      </c>
      <c r="AF2039">
        <v>8.5678805576592101</v>
      </c>
      <c r="AG2039">
        <v>-1.1205544616730001</v>
      </c>
      <c r="AH2039">
        <v>24.844518197325399</v>
      </c>
      <c r="AI2039">
        <v>92.4415233922863</v>
      </c>
      <c r="AJ2039">
        <v>70.972734142163802</v>
      </c>
      <c r="AK2039">
        <v>26.3042639891164</v>
      </c>
      <c r="AL2039">
        <v>83.092257123758799</v>
      </c>
      <c r="AM2039">
        <v>73.111660671560102</v>
      </c>
      <c r="AN2039">
        <v>1.00000001947315</v>
      </c>
    </row>
    <row r="2040" spans="1:40" x14ac:dyDescent="0.25">
      <c r="A2040" t="str">
        <f>"20190303161913469"</f>
        <v>20190303161913469</v>
      </c>
      <c r="B2040" t="str">
        <f>"1551601153464995"</f>
        <v>1551601153464995</v>
      </c>
      <c r="C2040" t="s">
        <v>40</v>
      </c>
      <c r="D2040">
        <v>4.832255</v>
      </c>
      <c r="E2040">
        <v>0.51401490000000005</v>
      </c>
      <c r="F2040" t="s">
        <v>41</v>
      </c>
      <c r="G2040">
        <v>-192</v>
      </c>
      <c r="H2040" s="1">
        <v>-3.8535270000000001E-6</v>
      </c>
      <c r="I2040">
        <v>327.3313</v>
      </c>
      <c r="J2040">
        <v>-192.28479999999999</v>
      </c>
      <c r="K2040">
        <v>1.1205419999999999</v>
      </c>
      <c r="L2040">
        <v>352.69639999999998</v>
      </c>
      <c r="M2040">
        <v>0.33432220000000001</v>
      </c>
      <c r="N2040">
        <v>-1.2239720000000001E-2</v>
      </c>
      <c r="O2040">
        <v>-0.94237950000000004</v>
      </c>
      <c r="P2040">
        <v>4.6486819999999998E-2</v>
      </c>
      <c r="Q2040">
        <v>0.10908080000000001</v>
      </c>
      <c r="R2040">
        <v>-0.99294570000000004</v>
      </c>
      <c r="S2040">
        <v>3.6697390000000003E-2</v>
      </c>
      <c r="T2040">
        <v>-0.1336492</v>
      </c>
      <c r="U2040">
        <v>-3.0349430000000002</v>
      </c>
      <c r="V2040">
        <v>0.28846319999999998</v>
      </c>
      <c r="W2040">
        <v>0.1200315</v>
      </c>
      <c r="X2040">
        <v>0.94993760000000005</v>
      </c>
      <c r="Y2040">
        <v>0.32280979999999998</v>
      </c>
      <c r="Z2040">
        <v>2.681567E-2</v>
      </c>
      <c r="AA2040">
        <v>0.94608389999999998</v>
      </c>
      <c r="AB2040">
        <v>8</v>
      </c>
      <c r="AC2040">
        <v>0.28479999999998901</v>
      </c>
      <c r="AD2040">
        <v>-1.1205458535270001</v>
      </c>
      <c r="AE2040">
        <v>-25.365099999999899</v>
      </c>
      <c r="AF2040">
        <v>8.19634663141521</v>
      </c>
      <c r="AG2040">
        <v>-1.1205458535270001</v>
      </c>
      <c r="AH2040">
        <v>23.953817989325401</v>
      </c>
      <c r="AI2040">
        <v>92.5342624728587</v>
      </c>
      <c r="AJ2040">
        <v>71.110445002804994</v>
      </c>
      <c r="AK2040">
        <v>25.342081946396899</v>
      </c>
      <c r="AL2040">
        <v>83.106079541800298</v>
      </c>
      <c r="AM2040">
        <v>73.108278118342099</v>
      </c>
      <c r="AN2040">
        <v>1.00000001132012</v>
      </c>
    </row>
    <row r="2041" spans="1:40" x14ac:dyDescent="0.25">
      <c r="A2041" t="str">
        <f>"20190303161913492"</f>
        <v>20190303161913492</v>
      </c>
      <c r="B2041" t="str">
        <f>"1551601153484516"</f>
        <v>1551601153484516</v>
      </c>
      <c r="C2041" t="s">
        <v>40</v>
      </c>
      <c r="D2041">
        <v>4.7931499999999998</v>
      </c>
      <c r="E2041">
        <v>0.51377119999999998</v>
      </c>
      <c r="F2041" t="s">
        <v>41</v>
      </c>
      <c r="G2041">
        <v>-192.05189999999999</v>
      </c>
      <c r="H2041" s="1">
        <v>-4.2909510000000002E-6</v>
      </c>
      <c r="I2041">
        <v>328.52640000000002</v>
      </c>
      <c r="J2041">
        <v>-192.26300000000001</v>
      </c>
      <c r="K2041">
        <v>1.1205430000000001</v>
      </c>
      <c r="L2041">
        <v>352.61799999999999</v>
      </c>
      <c r="M2041">
        <v>0.32982349999999999</v>
      </c>
      <c r="N2041">
        <v>-1.223433E-2</v>
      </c>
      <c r="O2041">
        <v>-0.94396349999999996</v>
      </c>
      <c r="P2041">
        <v>4.163973E-2</v>
      </c>
      <c r="Q2041">
        <v>0.1088798</v>
      </c>
      <c r="R2041">
        <v>-0.99318280000000003</v>
      </c>
      <c r="S2041">
        <v>2.9251099999999901E-2</v>
      </c>
      <c r="T2041">
        <v>-0.14072470000000001</v>
      </c>
      <c r="U2041">
        <v>-3.0354000000000001</v>
      </c>
      <c r="V2041">
        <v>0.28857529999999998</v>
      </c>
      <c r="W2041">
        <v>0.1198265</v>
      </c>
      <c r="X2041">
        <v>0.94992940000000003</v>
      </c>
      <c r="Y2041">
        <v>0.32061309999999998</v>
      </c>
      <c r="Z2041">
        <v>2.899931E-2</v>
      </c>
      <c r="AA2041">
        <v>0.9467662</v>
      </c>
      <c r="AB2041">
        <v>8</v>
      </c>
      <c r="AC2041">
        <v>0.211100000000016</v>
      </c>
      <c r="AD2041">
        <v>-1.1205472909509999</v>
      </c>
      <c r="AE2041">
        <v>-24.0916</v>
      </c>
      <c r="AF2041">
        <v>7.7305610493480703</v>
      </c>
      <c r="AG2041">
        <v>-1.1205472909509999</v>
      </c>
      <c r="AH2041">
        <v>22.7636783544623</v>
      </c>
      <c r="AI2041">
        <v>92.668669183896398</v>
      </c>
      <c r="AJ2041">
        <v>71.242476929246394</v>
      </c>
      <c r="AK2041">
        <v>24.066621129572201</v>
      </c>
      <c r="AL2041">
        <v>83.117910346711597</v>
      </c>
      <c r="AM2041">
        <v>73.101950264310204</v>
      </c>
      <c r="AN2041">
        <v>0.99999997942834995</v>
      </c>
    </row>
    <row r="2042" spans="1:40" x14ac:dyDescent="0.25">
      <c r="A2042" t="str">
        <f>"20190303161913515"</f>
        <v>20190303161913515</v>
      </c>
      <c r="B2042" t="str">
        <f>"1551601153505011"</f>
        <v>1551601153505011</v>
      </c>
      <c r="C2042" t="s">
        <v>40</v>
      </c>
      <c r="D2042">
        <v>4.8397379999999997</v>
      </c>
      <c r="E2042">
        <v>0.50871840000000002</v>
      </c>
      <c r="F2042" t="s">
        <v>41</v>
      </c>
      <c r="G2042">
        <v>-192.13380000000001</v>
      </c>
      <c r="H2042" s="1">
        <v>-4.3939119999999999E-6</v>
      </c>
      <c r="I2042">
        <v>328.78629999999998</v>
      </c>
      <c r="J2042">
        <v>-192.24090000000001</v>
      </c>
      <c r="K2042">
        <v>1.120549</v>
      </c>
      <c r="L2042">
        <v>352.53680000000003</v>
      </c>
      <c r="M2042">
        <v>0.32517200000000002</v>
      </c>
      <c r="N2042">
        <v>-1.2229159999999999E-2</v>
      </c>
      <c r="O2042">
        <v>-0.94557610000000003</v>
      </c>
      <c r="P2042">
        <v>3.6924499999999999E-2</v>
      </c>
      <c r="Q2042">
        <v>0.10936220000000001</v>
      </c>
      <c r="R2042">
        <v>-0.99331619999999998</v>
      </c>
      <c r="S2042">
        <v>1.646423E-2</v>
      </c>
      <c r="T2042">
        <v>-0.14273079999999999</v>
      </c>
      <c r="U2042">
        <v>-3.0355829999999999</v>
      </c>
      <c r="V2042">
        <v>0.28839029999999999</v>
      </c>
      <c r="W2042">
        <v>0.120307</v>
      </c>
      <c r="X2042">
        <v>0.94992489999999996</v>
      </c>
      <c r="Y2042">
        <v>0.31993700000000003</v>
      </c>
      <c r="Z2042">
        <v>2.9698140000000001E-2</v>
      </c>
      <c r="AA2042">
        <v>0.94697330000000002</v>
      </c>
      <c r="AB2042">
        <v>8</v>
      </c>
      <c r="AC2042">
        <v>0.107100000000002</v>
      </c>
      <c r="AD2042">
        <v>-1.120553393912</v>
      </c>
      <c r="AE2042">
        <v>-23.750499999999999</v>
      </c>
      <c r="AF2042">
        <v>7.6053653219694102</v>
      </c>
      <c r="AG2042">
        <v>-1.120553393912</v>
      </c>
      <c r="AH2042">
        <v>22.444447403113099</v>
      </c>
      <c r="AI2042">
        <v>92.707199677634904</v>
      </c>
      <c r="AJ2042">
        <v>71.2809027011089</v>
      </c>
      <c r="AK2042">
        <v>23.724469242120701</v>
      </c>
      <c r="AL2042">
        <v>83.090179444947196</v>
      </c>
      <c r="AM2042">
        <v>73.1120910357523</v>
      </c>
      <c r="AN2042">
        <v>1.0000000275115399</v>
      </c>
    </row>
    <row r="2043" spans="1:40" x14ac:dyDescent="0.25">
      <c r="A2043" t="str">
        <f>"20190303161913539"</f>
        <v>20190303161913539</v>
      </c>
      <c r="B2043" t="str">
        <f>"1551601153524531"</f>
        <v>1551601153524531</v>
      </c>
      <c r="C2043" t="s">
        <v>40</v>
      </c>
      <c r="D2043">
        <v>4.8968819999999997</v>
      </c>
      <c r="E2043">
        <v>0.50835379999999997</v>
      </c>
      <c r="F2043" t="s">
        <v>41</v>
      </c>
      <c r="G2043">
        <v>-191.99979999999999</v>
      </c>
      <c r="H2043" s="1">
        <v>-3.018932E-6</v>
      </c>
      <c r="I2043">
        <v>335.38600000000002</v>
      </c>
      <c r="J2043">
        <v>-192.2191</v>
      </c>
      <c r="K2043">
        <v>1.1205560000000001</v>
      </c>
      <c r="L2043">
        <v>352.45549999999997</v>
      </c>
      <c r="M2043">
        <v>0.32052829999999999</v>
      </c>
      <c r="N2043">
        <v>-1.222471E-2</v>
      </c>
      <c r="O2043">
        <v>-0.94716020000000001</v>
      </c>
      <c r="P2043">
        <v>3.2646630000000003E-2</v>
      </c>
      <c r="Q2043">
        <v>0.1098128</v>
      </c>
      <c r="R2043">
        <v>-0.99341619999999997</v>
      </c>
      <c r="S2043">
        <v>4.2739869999999999E-2</v>
      </c>
      <c r="T2043">
        <v>-0.19864999999999999</v>
      </c>
      <c r="U2043">
        <v>-3.0404659999999999</v>
      </c>
      <c r="V2043">
        <v>0.28780209999999901</v>
      </c>
      <c r="W2043">
        <v>0.1207609</v>
      </c>
      <c r="X2043">
        <v>0.95004560000000005</v>
      </c>
      <c r="Y2043">
        <v>0.30705670000000002</v>
      </c>
      <c r="Z2043">
        <v>4.6290730000000002E-2</v>
      </c>
      <c r="AA2043">
        <v>0.95056470000000004</v>
      </c>
      <c r="AB2043">
        <v>8</v>
      </c>
      <c r="AC2043">
        <v>0.21930000000000399</v>
      </c>
      <c r="AD2043">
        <v>-1.1205590189319901</v>
      </c>
      <c r="AE2043">
        <v>-17.069500000000001</v>
      </c>
      <c r="AF2043">
        <v>5.2413542560246897</v>
      </c>
      <c r="AG2043">
        <v>-1.1205590189319901</v>
      </c>
      <c r="AH2043">
        <v>16.169383463370298</v>
      </c>
      <c r="AI2043">
        <v>93.7717250731733</v>
      </c>
      <c r="AJ2043">
        <v>72.039742297543796</v>
      </c>
      <c r="AK2043">
        <v>17.0345651114894</v>
      </c>
      <c r="AL2043">
        <v>83.063981300422796</v>
      </c>
      <c r="AM2043">
        <v>73.146600580053899</v>
      </c>
      <c r="AN2043">
        <v>0.99999994290628802</v>
      </c>
    </row>
    <row r="2044" spans="1:40" x14ac:dyDescent="0.25">
      <c r="A2044" t="str">
        <f>"20190303161913559"</f>
        <v>20190303161913559</v>
      </c>
      <c r="B2044" t="str">
        <f>"1551601153545027"</f>
        <v>1551601153545027</v>
      </c>
      <c r="C2044" t="s">
        <v>40</v>
      </c>
      <c r="D2044">
        <v>4.8966849999999997</v>
      </c>
      <c r="E2044">
        <v>0.50744480000000003</v>
      </c>
      <c r="F2044" t="s">
        <v>41</v>
      </c>
      <c r="G2044">
        <v>-192.0265</v>
      </c>
      <c r="H2044" s="1">
        <v>-2.6861640000000001E-6</v>
      </c>
      <c r="I2044">
        <v>334.59379999999999</v>
      </c>
      <c r="J2044">
        <v>-192.1995</v>
      </c>
      <c r="K2044">
        <v>1.1205620000000001</v>
      </c>
      <c r="L2044">
        <v>352.38119999999998</v>
      </c>
      <c r="M2044">
        <v>0.31629580000000002</v>
      </c>
      <c r="N2044">
        <v>-1.222115E-2</v>
      </c>
      <c r="O2044">
        <v>-0.94858209999999998</v>
      </c>
      <c r="P2044">
        <v>2.943221E-2</v>
      </c>
      <c r="Q2044">
        <v>0.11002960000000001</v>
      </c>
      <c r="R2044">
        <v>-0.99349259999999995</v>
      </c>
      <c r="S2044">
        <v>3.277588E-2</v>
      </c>
      <c r="T2044">
        <v>-0.19070980000000001</v>
      </c>
      <c r="U2044">
        <v>-3.039917</v>
      </c>
      <c r="V2044">
        <v>0.28662280000000001</v>
      </c>
      <c r="W2044">
        <v>0.1209853</v>
      </c>
      <c r="X2044">
        <v>0.95037360000000004</v>
      </c>
      <c r="Y2044">
        <v>0.30592599999999998</v>
      </c>
      <c r="Z2044">
        <v>4.4112810000000002E-2</v>
      </c>
      <c r="AA2044">
        <v>0.95103280000000001</v>
      </c>
      <c r="AB2044">
        <v>8</v>
      </c>
      <c r="AC2044">
        <v>0.17300000000000099</v>
      </c>
      <c r="AD2044">
        <v>-1.120564686164</v>
      </c>
      <c r="AE2044">
        <v>-17.787399999999899</v>
      </c>
      <c r="AF2044">
        <v>5.4407912226042896</v>
      </c>
      <c r="AG2044">
        <v>-1.120564686164</v>
      </c>
      <c r="AH2044">
        <v>16.8618758796162</v>
      </c>
      <c r="AI2044">
        <v>93.618832852606801</v>
      </c>
      <c r="AJ2044">
        <v>72.116759550259403</v>
      </c>
      <c r="AK2044">
        <v>17.753330181220399</v>
      </c>
      <c r="AL2044">
        <v>83.051029741040793</v>
      </c>
      <c r="AM2044">
        <v>73.217234806140297</v>
      </c>
      <c r="AN2044">
        <v>1.0000000259364401</v>
      </c>
    </row>
    <row r="2045" spans="1:40" x14ac:dyDescent="0.25">
      <c r="A2045" t="str">
        <f>"20190303161913583"</f>
        <v>20190303161913583</v>
      </c>
      <c r="B2045" t="str">
        <f>"1551601153574308"</f>
        <v>1551601153574308</v>
      </c>
      <c r="C2045" t="s">
        <v>40</v>
      </c>
      <c r="D2045">
        <v>5.061299</v>
      </c>
      <c r="E2045">
        <v>0.50631559999999998</v>
      </c>
      <c r="F2045" t="s">
        <v>41</v>
      </c>
      <c r="G2045">
        <v>-192.01900000000001</v>
      </c>
      <c r="H2045" s="1">
        <v>-2.427599E-6</v>
      </c>
      <c r="I2045">
        <v>333.9957</v>
      </c>
      <c r="J2045">
        <v>-192.17830000000001</v>
      </c>
      <c r="K2045">
        <v>1.1205700000000001</v>
      </c>
      <c r="L2045">
        <v>352.29919999999998</v>
      </c>
      <c r="M2045">
        <v>0.31164340000000001</v>
      </c>
      <c r="N2045">
        <v>-1.221737E-2</v>
      </c>
      <c r="O2045">
        <v>-0.95012059999999998</v>
      </c>
      <c r="P2045">
        <v>2.6598920000000002E-2</v>
      </c>
      <c r="Q2045">
        <v>0.1100023</v>
      </c>
      <c r="R2045">
        <v>-0.99357549999999994</v>
      </c>
      <c r="S2045">
        <v>2.9846190000000002E-2</v>
      </c>
      <c r="T2045">
        <v>-0.18523719999999999</v>
      </c>
      <c r="U2045">
        <v>-3.0392459999999999</v>
      </c>
      <c r="V2045">
        <v>0.2846707</v>
      </c>
      <c r="W2045">
        <v>0.120972</v>
      </c>
      <c r="X2045">
        <v>0.95096179999999997</v>
      </c>
      <c r="Y2045">
        <v>0.30217850000000002</v>
      </c>
      <c r="Z2045">
        <v>4.2692300000000002E-2</v>
      </c>
      <c r="AA2045">
        <v>0.95229490000000006</v>
      </c>
      <c r="AB2045">
        <v>8</v>
      </c>
      <c r="AC2045">
        <v>0.159300000000001</v>
      </c>
      <c r="AD2045">
        <v>-1.1205724275990001</v>
      </c>
      <c r="AE2045">
        <v>-18.3034999999999</v>
      </c>
      <c r="AF2045">
        <v>5.5324903722123899</v>
      </c>
      <c r="AG2045">
        <v>-1.1205724275990001</v>
      </c>
      <c r="AH2045">
        <v>17.3763552531796</v>
      </c>
      <c r="AI2045">
        <v>93.516339942193</v>
      </c>
      <c r="AJ2045">
        <v>72.338947388186696</v>
      </c>
      <c r="AK2045">
        <v>18.270245049501199</v>
      </c>
      <c r="AL2045">
        <v>83.051797152942299</v>
      </c>
      <c r="AM2045">
        <v>73.334913314933701</v>
      </c>
      <c r="AN2045">
        <v>0.99999998864086403</v>
      </c>
    </row>
    <row r="2046" spans="1:40" x14ac:dyDescent="0.25">
      <c r="A2046" t="str">
        <f>"20190303161913603"</f>
        <v>20190303161913603</v>
      </c>
      <c r="B2046" t="str">
        <f>"1551601153594804"</f>
        <v>1551601153594804</v>
      </c>
      <c r="C2046" t="s">
        <v>40</v>
      </c>
      <c r="D2046">
        <v>5.0682039999999997</v>
      </c>
      <c r="E2046">
        <v>0.50531700000000002</v>
      </c>
      <c r="F2046" t="s">
        <v>41</v>
      </c>
      <c r="G2046">
        <v>-191.99930000000001</v>
      </c>
      <c r="H2046" s="1">
        <v>-2.3604849999999999E-6</v>
      </c>
      <c r="I2046">
        <v>333.85149999999999</v>
      </c>
      <c r="J2046">
        <v>-192.15940000000001</v>
      </c>
      <c r="K2046">
        <v>1.1205799999999999</v>
      </c>
      <c r="L2046">
        <v>352.22489999999999</v>
      </c>
      <c r="M2046">
        <v>0.30743690000000001</v>
      </c>
      <c r="N2046">
        <v>-1.2214249999999999E-2</v>
      </c>
      <c r="O2046">
        <v>-0.95149019999999995</v>
      </c>
      <c r="P2046">
        <v>2.427588E-2</v>
      </c>
      <c r="Q2046">
        <v>0.1107112</v>
      </c>
      <c r="R2046">
        <v>-0.99355610000000005</v>
      </c>
      <c r="S2046">
        <v>2.9495239999999999E-2</v>
      </c>
      <c r="T2046">
        <v>-0.18460180000000001</v>
      </c>
      <c r="U2046">
        <v>-3.0390630000000001</v>
      </c>
      <c r="V2046">
        <v>0.28265849999999998</v>
      </c>
      <c r="W2046">
        <v>0.1216938</v>
      </c>
      <c r="X2046">
        <v>0.95146980000000003</v>
      </c>
      <c r="Y2046">
        <v>0.29807109999999998</v>
      </c>
      <c r="Z2046">
        <v>4.2674080000000003E-2</v>
      </c>
      <c r="AA2046">
        <v>0.95358929999999997</v>
      </c>
      <c r="AB2046">
        <v>8</v>
      </c>
      <c r="AC2046">
        <v>0.16009999999999899</v>
      </c>
      <c r="AD2046">
        <v>-1.12058236048499</v>
      </c>
      <c r="AE2046">
        <v>-18.3734</v>
      </c>
      <c r="AF2046">
        <v>5.4763680200106997</v>
      </c>
      <c r="AG2046">
        <v>-1.12058236048499</v>
      </c>
      <c r="AH2046">
        <v>17.467666860586199</v>
      </c>
      <c r="AI2046">
        <v>93.502927507210998</v>
      </c>
      <c r="AJ2046">
        <v>72.5930319854549</v>
      </c>
      <c r="AK2046">
        <v>18.340275272461099</v>
      </c>
      <c r="AL2046">
        <v>83.010133280295605</v>
      </c>
      <c r="AM2046">
        <v>73.454598001438896</v>
      </c>
      <c r="AN2046">
        <v>0.999999994446365</v>
      </c>
    </row>
    <row r="2047" spans="1:40" x14ac:dyDescent="0.25">
      <c r="A2047" t="str">
        <f>"20190303161913627"</f>
        <v>20190303161913627</v>
      </c>
      <c r="B2047" t="str">
        <f>"1551601153614323"</f>
        <v>1551601153614323</v>
      </c>
      <c r="C2047" t="s">
        <v>40</v>
      </c>
      <c r="D2047">
        <v>5.1289499999999997</v>
      </c>
      <c r="E2047">
        <v>0.50456060000000003</v>
      </c>
      <c r="F2047" t="s">
        <v>41</v>
      </c>
      <c r="G2047">
        <v>-191.97200000000001</v>
      </c>
      <c r="H2047" s="1">
        <v>-2.0966800000000001E-6</v>
      </c>
      <c r="I2047">
        <v>333.25349999999997</v>
      </c>
      <c r="J2047">
        <v>-192.13939999999999</v>
      </c>
      <c r="K2047">
        <v>1.1205940000000001</v>
      </c>
      <c r="L2047">
        <v>352.14449999999999</v>
      </c>
      <c r="M2047">
        <v>0.302903599999999</v>
      </c>
      <c r="N2047">
        <v>-1.221099E-2</v>
      </c>
      <c r="O2047">
        <v>-0.95294330000000005</v>
      </c>
      <c r="P2047">
        <v>2.2353250000000002E-2</v>
      </c>
      <c r="Q2047">
        <v>0.1124025</v>
      </c>
      <c r="R2047">
        <v>-0.99341170000000001</v>
      </c>
      <c r="S2047">
        <v>3.0029299999999998E-2</v>
      </c>
      <c r="T2047">
        <v>-0.17949019999999999</v>
      </c>
      <c r="U2047">
        <v>-3.0387569999999999</v>
      </c>
      <c r="V2047">
        <v>0.27990939999999997</v>
      </c>
      <c r="W2047">
        <v>0.12339990000000001</v>
      </c>
      <c r="X2047">
        <v>0.95206259999999998</v>
      </c>
      <c r="Y2047">
        <v>0.29336079999999998</v>
      </c>
      <c r="Z2047">
        <v>4.1339319999999999E-2</v>
      </c>
      <c r="AA2047">
        <v>0.95510759999999995</v>
      </c>
      <c r="AB2047">
        <v>8</v>
      </c>
      <c r="AC2047">
        <v>0.167399999999986</v>
      </c>
      <c r="AD2047">
        <v>-1.1205960966799999</v>
      </c>
      <c r="AE2047">
        <v>-18.890999999999998</v>
      </c>
      <c r="AF2047">
        <v>5.5435374175737397</v>
      </c>
      <c r="AG2047">
        <v>-1.1205960966799999</v>
      </c>
      <c r="AH2047">
        <v>17.9907981574327</v>
      </c>
      <c r="AI2047">
        <v>93.406535780019794</v>
      </c>
      <c r="AJ2047">
        <v>72.874269482764404</v>
      </c>
      <c r="AK2047">
        <v>18.858827138860399</v>
      </c>
      <c r="AL2047">
        <v>82.911638602506898</v>
      </c>
      <c r="AM2047">
        <v>73.616497930729295</v>
      </c>
      <c r="AN2047">
        <v>1.0000000009235599</v>
      </c>
    </row>
    <row r="2048" spans="1:40" x14ac:dyDescent="0.25">
      <c r="A2048" t="str">
        <f>"20190303161913659"</f>
        <v>20190303161913659</v>
      </c>
      <c r="B2048" t="str">
        <f>"1551601153654339"</f>
        <v>1551601153654339</v>
      </c>
      <c r="C2048" t="s">
        <v>40</v>
      </c>
      <c r="D2048">
        <v>5.1898140000000001</v>
      </c>
      <c r="E2048">
        <v>0.50321229999999995</v>
      </c>
      <c r="F2048" t="s">
        <v>41</v>
      </c>
      <c r="G2048">
        <v>-191.94370000000001</v>
      </c>
      <c r="H2048" s="1">
        <v>-1.6757619999999999E-6</v>
      </c>
      <c r="I2048">
        <v>332.28980000000001</v>
      </c>
      <c r="J2048">
        <v>-192.11070000000001</v>
      </c>
      <c r="K2048">
        <v>1.1206020000000001</v>
      </c>
      <c r="L2048">
        <v>352.02640000000002</v>
      </c>
      <c r="M2048">
        <v>0.29626350000000001</v>
      </c>
      <c r="N2048">
        <v>-1.220751E-2</v>
      </c>
      <c r="O2048">
        <v>-0.95502819999999999</v>
      </c>
      <c r="P2048">
        <v>1.8712469999999998E-2</v>
      </c>
      <c r="Q2048">
        <v>0.11387650000000001</v>
      </c>
      <c r="R2048">
        <v>-0.9933187</v>
      </c>
      <c r="S2048">
        <v>2.9953E-2</v>
      </c>
      <c r="T2048">
        <v>-0.17150019999999999</v>
      </c>
      <c r="U2048">
        <v>-3.0386350000000002</v>
      </c>
      <c r="V2048">
        <v>0.27671810000000002</v>
      </c>
      <c r="W2048">
        <v>0.124888899999999</v>
      </c>
      <c r="X2048">
        <v>0.95280100000000001</v>
      </c>
      <c r="Y2048">
        <v>0.2867323</v>
      </c>
      <c r="Z2048">
        <v>3.9200680000000002E-2</v>
      </c>
      <c r="AA2048">
        <v>0.95720839999999996</v>
      </c>
      <c r="AB2048">
        <v>8</v>
      </c>
      <c r="AC2048">
        <v>0.16700000000000101</v>
      </c>
      <c r="AD2048">
        <v>-1.1206036757619999</v>
      </c>
      <c r="AE2048">
        <v>-19.736599999999999</v>
      </c>
      <c r="AF2048">
        <v>5.6698915621970398</v>
      </c>
      <c r="AG2048">
        <v>-1.1206036757619999</v>
      </c>
      <c r="AH2048">
        <v>18.839166245498401</v>
      </c>
      <c r="AI2048">
        <v>93.259984113775204</v>
      </c>
      <c r="AJ2048">
        <v>73.250150354610795</v>
      </c>
      <c r="AK2048">
        <v>19.705775999709601</v>
      </c>
      <c r="AL2048">
        <v>82.825659658483801</v>
      </c>
      <c r="AM2048">
        <v>73.805333636081997</v>
      </c>
      <c r="AN2048">
        <v>0.99999994490590804</v>
      </c>
    </row>
    <row r="2049" spans="1:40" x14ac:dyDescent="0.25">
      <c r="A2049" t="str">
        <f>"20190303161913681"</f>
        <v>20190303161913681</v>
      </c>
      <c r="B2049" t="str">
        <f>"1551601153674835"</f>
        <v>1551601153674835</v>
      </c>
      <c r="C2049" t="s">
        <v>40</v>
      </c>
      <c r="D2049">
        <v>5.1323699999999999</v>
      </c>
      <c r="E2049">
        <v>0.50266270000000002</v>
      </c>
      <c r="F2049" t="s">
        <v>41</v>
      </c>
      <c r="G2049">
        <v>-191.90960000000001</v>
      </c>
      <c r="H2049" s="1">
        <v>-1.255948E-6</v>
      </c>
      <c r="I2049">
        <v>331.33240000000001</v>
      </c>
      <c r="J2049">
        <v>-192.09209999999999</v>
      </c>
      <c r="K2049">
        <v>1.120603</v>
      </c>
      <c r="L2049">
        <v>351.94810000000001</v>
      </c>
      <c r="M2049">
        <v>0.29186679999999998</v>
      </c>
      <c r="N2049">
        <v>-1.220605E-2</v>
      </c>
      <c r="O2049">
        <v>-0.95638120000000004</v>
      </c>
      <c r="P2049">
        <v>1.5795449999999999E-2</v>
      </c>
      <c r="Q2049">
        <v>0.11359660000000001</v>
      </c>
      <c r="R2049">
        <v>-0.9934016</v>
      </c>
      <c r="S2049">
        <v>2.9525760000000002E-2</v>
      </c>
      <c r="T2049">
        <v>-0.16453679999999901</v>
      </c>
      <c r="U2049">
        <v>-3.0384829999999998</v>
      </c>
      <c r="V2049">
        <v>0.27513890000000002</v>
      </c>
      <c r="W2049">
        <v>0.1246169</v>
      </c>
      <c r="X2049">
        <v>0.95329390000000003</v>
      </c>
      <c r="Y2049">
        <v>0.28246280000000001</v>
      </c>
      <c r="Z2049">
        <v>3.7266689999999998E-2</v>
      </c>
      <c r="AA2049">
        <v>0.95855409999999996</v>
      </c>
      <c r="AB2049">
        <v>8</v>
      </c>
      <c r="AC2049">
        <v>0.18249999999997599</v>
      </c>
      <c r="AD2049">
        <v>-1.1206042559480001</v>
      </c>
      <c r="AE2049">
        <v>-20.6157</v>
      </c>
      <c r="AF2049">
        <v>5.8257217545154099</v>
      </c>
      <c r="AG2049">
        <v>-1.1206042559480001</v>
      </c>
      <c r="AH2049">
        <v>19.712963689565601</v>
      </c>
      <c r="AI2049">
        <v>93.120407582926802</v>
      </c>
      <c r="AJ2049">
        <v>73.536143866910294</v>
      </c>
      <c r="AK2049">
        <v>20.586299455842301</v>
      </c>
      <c r="AL2049">
        <v>82.841367379631706</v>
      </c>
      <c r="AM2049">
        <v>73.900845848016402</v>
      </c>
      <c r="AN2049">
        <v>1.0000000229180099</v>
      </c>
    </row>
    <row r="2050" spans="1:40" x14ac:dyDescent="0.25">
      <c r="A2050" t="str">
        <f>"20190303161913703"</f>
        <v>20190303161913703</v>
      </c>
      <c r="B2050" t="str">
        <f>"1551601153694355"</f>
        <v>1551601153694355</v>
      </c>
      <c r="C2050" t="s">
        <v>40</v>
      </c>
      <c r="D2050">
        <v>5.1924630000000001</v>
      </c>
      <c r="E2050">
        <v>0.50221579999999999</v>
      </c>
      <c r="F2050" t="s">
        <v>41</v>
      </c>
      <c r="G2050">
        <v>-191.9212</v>
      </c>
      <c r="H2050" s="1">
        <v>-1.2824190000000001E-6</v>
      </c>
      <c r="I2050">
        <v>331.38690000000003</v>
      </c>
      <c r="J2050">
        <v>-192.07429999999999</v>
      </c>
      <c r="K2050">
        <v>1.1205969999999901</v>
      </c>
      <c r="L2050">
        <v>351.87139999999999</v>
      </c>
      <c r="M2050">
        <v>0.28756680000000001</v>
      </c>
      <c r="N2050">
        <v>-1.2204929999999999E-2</v>
      </c>
      <c r="O2050">
        <v>-0.9576827</v>
      </c>
      <c r="P2050">
        <v>1.268178E-2</v>
      </c>
      <c r="Q2050">
        <v>0.11237</v>
      </c>
      <c r="R2050">
        <v>-0.99358539999999995</v>
      </c>
      <c r="S2050">
        <v>2.5253299999999999E-2</v>
      </c>
      <c r="T2050">
        <v>-0.16559649999999901</v>
      </c>
      <c r="U2050">
        <v>-3.0384220000000002</v>
      </c>
      <c r="V2050">
        <v>0.27387909999999999</v>
      </c>
      <c r="W2050">
        <v>0.12339749999999999</v>
      </c>
      <c r="X2050">
        <v>0.95381510000000003</v>
      </c>
      <c r="Y2050">
        <v>0.27950019999999998</v>
      </c>
      <c r="Z2050">
        <v>3.771352E-2</v>
      </c>
      <c r="AA2050">
        <v>0.9594047</v>
      </c>
      <c r="AB2050">
        <v>8</v>
      </c>
      <c r="AC2050">
        <v>0.15309999999999399</v>
      </c>
      <c r="AD2050">
        <v>-1.1205982824189999</v>
      </c>
      <c r="AE2050">
        <v>-20.484499999999901</v>
      </c>
      <c r="AF2050">
        <v>5.7273307217533702</v>
      </c>
      <c r="AG2050">
        <v>-1.1205982824189999</v>
      </c>
      <c r="AH2050">
        <v>19.604479335130101</v>
      </c>
      <c r="AI2050">
        <v>93.140490737979206</v>
      </c>
      <c r="AJ2050">
        <v>73.714594296154502</v>
      </c>
      <c r="AK2050">
        <v>20.454673493078399</v>
      </c>
      <c r="AL2050">
        <v>82.9117769846426</v>
      </c>
      <c r="AM2050">
        <v>73.979075167425094</v>
      </c>
      <c r="AN2050">
        <v>0.99999997470553403</v>
      </c>
    </row>
    <row r="2051" spans="1:40" x14ac:dyDescent="0.25">
      <c r="A2051" t="str">
        <f>"20190303161913728"</f>
        <v>20190303161913728</v>
      </c>
      <c r="B2051" t="str">
        <f>"1551601153714851"</f>
        <v>1551601153714851</v>
      </c>
      <c r="C2051" t="s">
        <v>40</v>
      </c>
      <c r="D2051">
        <v>5.2056449999999996</v>
      </c>
      <c r="E2051">
        <v>0.48643900000000001</v>
      </c>
      <c r="F2051" t="s">
        <v>41</v>
      </c>
      <c r="G2051">
        <v>-191.94730000000001</v>
      </c>
      <c r="H2051" s="1">
        <v>-1.438398E-6</v>
      </c>
      <c r="I2051">
        <v>331.73430000000002</v>
      </c>
      <c r="J2051">
        <v>-192.05459999999999</v>
      </c>
      <c r="K2051">
        <v>1.1205889999999901</v>
      </c>
      <c r="L2051">
        <v>351.78489999999999</v>
      </c>
      <c r="M2051">
        <v>0.28272069999999999</v>
      </c>
      <c r="N2051">
        <v>-1.220401E-2</v>
      </c>
      <c r="O2051">
        <v>-0.9591248</v>
      </c>
      <c r="P2051">
        <v>9.2701459999999999E-3</v>
      </c>
      <c r="Q2051">
        <v>0.1102606</v>
      </c>
      <c r="R2051">
        <v>-0.99385979999999996</v>
      </c>
      <c r="S2051">
        <v>1.9149780000000002E-2</v>
      </c>
      <c r="T2051">
        <v>-0.1690711</v>
      </c>
      <c r="U2051">
        <v>-3.038208</v>
      </c>
      <c r="V2051">
        <v>0.27239079999999999</v>
      </c>
      <c r="W2051">
        <v>0.121297699999999</v>
      </c>
      <c r="X2051">
        <v>0.95451039999999998</v>
      </c>
      <c r="Y2051">
        <v>0.27657029999999999</v>
      </c>
      <c r="Z2051">
        <v>3.8902220000000001E-2</v>
      </c>
      <c r="AA2051">
        <v>0.960206</v>
      </c>
      <c r="AB2051">
        <v>8</v>
      </c>
      <c r="AC2051">
        <v>0.10729999999997999</v>
      </c>
      <c r="AD2051">
        <v>-1.1205904383980001</v>
      </c>
      <c r="AE2051">
        <v>-20.0505999999999</v>
      </c>
      <c r="AF2051">
        <v>5.5488878702369</v>
      </c>
      <c r="AG2051">
        <v>-1.1205904383980001</v>
      </c>
      <c r="AH2051">
        <v>19.202817208172998</v>
      </c>
      <c r="AI2051">
        <v>93.208750457607806</v>
      </c>
      <c r="AJ2051">
        <v>73.882706178112301</v>
      </c>
      <c r="AK2051">
        <v>20.019841863950798</v>
      </c>
      <c r="AL2051">
        <v>83.032997499897903</v>
      </c>
      <c r="AM2051">
        <v>74.072722821704204</v>
      </c>
      <c r="AN2051">
        <v>0.99999999182904498</v>
      </c>
    </row>
    <row r="2052" spans="1:40" x14ac:dyDescent="0.25">
      <c r="A2052" t="str">
        <f>"20190303161913749"</f>
        <v>20190303161913749</v>
      </c>
      <c r="B2052" t="str">
        <f>"1551601153734371"</f>
        <v>1551601153734371</v>
      </c>
      <c r="C2052" t="s">
        <v>40</v>
      </c>
      <c r="D2052">
        <v>5.201028</v>
      </c>
      <c r="E2052">
        <v>0.4821338</v>
      </c>
      <c r="F2052" t="s">
        <v>41</v>
      </c>
      <c r="G2052">
        <v>-191.137</v>
      </c>
      <c r="H2052" s="1">
        <v>-9.1213950000000005E-7</v>
      </c>
      <c r="I2052">
        <v>331.01010000000002</v>
      </c>
      <c r="J2052">
        <v>-192.03739999999999</v>
      </c>
      <c r="K2052">
        <v>1.1205750000000001</v>
      </c>
      <c r="L2052">
        <v>351.7079</v>
      </c>
      <c r="M2052">
        <v>0.27841880000000002</v>
      </c>
      <c r="N2052">
        <v>-1.22034E-2</v>
      </c>
      <c r="O2052">
        <v>-0.96038230000000002</v>
      </c>
      <c r="P2052">
        <v>6.9109729999999999E-3</v>
      </c>
      <c r="Q2052">
        <v>0.10857700000000001</v>
      </c>
      <c r="R2052">
        <v>-0.99406410000000001</v>
      </c>
      <c r="S2052">
        <v>0.13406370000000001</v>
      </c>
      <c r="T2052">
        <v>-0.16373299999999999</v>
      </c>
      <c r="U2052">
        <v>-3.0354610000000002</v>
      </c>
      <c r="V2052">
        <v>0.27042250000000001</v>
      </c>
      <c r="W2052">
        <v>0.1196277</v>
      </c>
      <c r="X2052">
        <v>0.95528049999999998</v>
      </c>
      <c r="Y2052">
        <v>0.23572080000000001</v>
      </c>
      <c r="Z2052">
        <v>3.77785E-2</v>
      </c>
      <c r="AA2052">
        <v>0.97108629999999996</v>
      </c>
      <c r="AB2052">
        <v>8</v>
      </c>
      <c r="AC2052">
        <v>0.90039999999998999</v>
      </c>
      <c r="AD2052">
        <v>-1.1205759121395</v>
      </c>
      <c r="AE2052">
        <v>-20.697799999999901</v>
      </c>
      <c r="AF2052">
        <v>4.88400430394179</v>
      </c>
      <c r="AG2052">
        <v>-1.1205759121395</v>
      </c>
      <c r="AH2052">
        <v>20.0712666334761</v>
      </c>
      <c r="AI2052">
        <v>93.105077388328198</v>
      </c>
      <c r="AJ2052">
        <v>76.323830072683407</v>
      </c>
      <c r="AK2052">
        <v>20.687313326961601</v>
      </c>
      <c r="AL2052">
        <v>83.129383239806202</v>
      </c>
      <c r="AM2052">
        <v>74.194149060788504</v>
      </c>
      <c r="AN2052">
        <v>0.99999997439689403</v>
      </c>
    </row>
    <row r="2053" spans="1:40" x14ac:dyDescent="0.25">
      <c r="A2053" t="str">
        <f>"20190303161913771"</f>
        <v>20190303161913771</v>
      </c>
      <c r="B2053" t="str">
        <f>"1551601153764629"</f>
        <v>1551601153764629</v>
      </c>
      <c r="C2053" t="s">
        <v>40</v>
      </c>
      <c r="D2053">
        <v>5.1433</v>
      </c>
      <c r="E2053">
        <v>0.4799794</v>
      </c>
      <c r="F2053" t="s">
        <v>41</v>
      </c>
      <c r="G2053">
        <v>-191.018</v>
      </c>
      <c r="H2053" s="1">
        <v>-1.5265830000000001E-6</v>
      </c>
      <c r="I2053">
        <v>332.51620000000003</v>
      </c>
      <c r="J2053">
        <v>-192.0206</v>
      </c>
      <c r="K2053">
        <v>1.1205700000000001</v>
      </c>
      <c r="L2053">
        <v>351.63069999999999</v>
      </c>
      <c r="M2053">
        <v>0.27410079999999998</v>
      </c>
      <c r="N2053">
        <v>-1.220309E-2</v>
      </c>
      <c r="O2053">
        <v>-0.96162360000000002</v>
      </c>
      <c r="P2053">
        <v>4.199319E-3</v>
      </c>
      <c r="Q2053">
        <v>0.10703650000000001</v>
      </c>
      <c r="R2053">
        <v>-0.99424639999999997</v>
      </c>
      <c r="S2053">
        <v>0.1612701</v>
      </c>
      <c r="T2053">
        <v>-0.1772736</v>
      </c>
      <c r="U2053">
        <v>-3.0361020000000001</v>
      </c>
      <c r="V2053">
        <v>0.2687754</v>
      </c>
      <c r="W2053">
        <v>0.11809790000000001</v>
      </c>
      <c r="X2053">
        <v>0.95593550000000005</v>
      </c>
      <c r="Y2053">
        <v>0.2226699</v>
      </c>
      <c r="Z2053">
        <v>4.2084150000000001E-2</v>
      </c>
      <c r="AA2053">
        <v>0.97398510000000005</v>
      </c>
      <c r="AB2053">
        <v>8</v>
      </c>
      <c r="AC2053">
        <v>1.0025999999999999</v>
      </c>
      <c r="AD2053">
        <v>-1.1205715265830001</v>
      </c>
      <c r="AE2053">
        <v>-19.1144999999999</v>
      </c>
      <c r="AF2053">
        <v>4.2608904189577999</v>
      </c>
      <c r="AG2053">
        <v>-1.1205715265830001</v>
      </c>
      <c r="AH2053">
        <v>18.593429512173199</v>
      </c>
      <c r="AI2053">
        <v>93.361938655489695</v>
      </c>
      <c r="AJ2053">
        <v>77.092895359013497</v>
      </c>
      <c r="AK2053">
        <v>19.108283249227501</v>
      </c>
      <c r="AL2053">
        <v>83.217660365034106</v>
      </c>
      <c r="AM2053">
        <v>74.295886794406599</v>
      </c>
      <c r="AN2053">
        <v>1.00000000489491</v>
      </c>
    </row>
    <row r="2054" spans="1:40" x14ac:dyDescent="0.25">
      <c r="A2054" t="str">
        <f>"20190303161913792"</f>
        <v>20190303161913792</v>
      </c>
      <c r="B2054" t="str">
        <f>"1551601153784147"</f>
        <v>1551601153784147</v>
      </c>
      <c r="C2054" t="s">
        <v>40</v>
      </c>
      <c r="D2054">
        <v>5.207452</v>
      </c>
      <c r="E2054">
        <v>0.47971370000000002</v>
      </c>
      <c r="F2054" t="s">
        <v>41</v>
      </c>
      <c r="G2054">
        <v>-190.99799999999999</v>
      </c>
      <c r="H2054" s="1">
        <v>-1.8967870000000001E-6</v>
      </c>
      <c r="I2054">
        <v>333.39159999999998</v>
      </c>
      <c r="J2054">
        <v>-192.00380000000001</v>
      </c>
      <c r="K2054">
        <v>1.120563</v>
      </c>
      <c r="L2054">
        <v>351.55189999999999</v>
      </c>
      <c r="M2054">
        <v>0.26969470000000001</v>
      </c>
      <c r="N2054">
        <v>-1.22028E-2</v>
      </c>
      <c r="O2054">
        <v>-0.96286879999999997</v>
      </c>
      <c r="P2054">
        <v>1.380509E-3</v>
      </c>
      <c r="Q2054">
        <v>0.1057097</v>
      </c>
      <c r="R2054">
        <v>-0.99439630000000001</v>
      </c>
      <c r="S2054">
        <v>0.17025760000000001</v>
      </c>
      <c r="T2054">
        <v>-0.18656690000000001</v>
      </c>
      <c r="U2054">
        <v>-3.0366819999999999</v>
      </c>
      <c r="V2054">
        <v>0.26714100000000002</v>
      </c>
      <c r="W2054">
        <v>0.116782</v>
      </c>
      <c r="X2054">
        <v>0.95655509999999999</v>
      </c>
      <c r="Y2054">
        <v>0.21534229999999999</v>
      </c>
      <c r="Z2054">
        <v>4.5069379999999999E-2</v>
      </c>
      <c r="AA2054">
        <v>0.97549810000000003</v>
      </c>
      <c r="AB2054">
        <v>8</v>
      </c>
      <c r="AC2054">
        <v>1.00580000000002</v>
      </c>
      <c r="AD2054">
        <v>-1.1205648967870001</v>
      </c>
      <c r="AE2054">
        <v>-18.160299999999999</v>
      </c>
      <c r="AF2054">
        <v>3.91471560032935</v>
      </c>
      <c r="AG2054">
        <v>-1.1205648967870001</v>
      </c>
      <c r="AH2054">
        <v>17.6914110993647</v>
      </c>
      <c r="AI2054">
        <v>93.538866316464606</v>
      </c>
      <c r="AJ2054">
        <v>77.522770440908701</v>
      </c>
      <c r="AK2054">
        <v>18.153971758436199</v>
      </c>
      <c r="AL2054">
        <v>83.293581256810995</v>
      </c>
      <c r="AM2054">
        <v>74.396331727573298</v>
      </c>
      <c r="AN2054">
        <v>1.0000000043705</v>
      </c>
    </row>
    <row r="2055" spans="1:40" x14ac:dyDescent="0.25">
      <c r="A2055" t="str">
        <f>"20190303161913816"</f>
        <v>20190303161913816</v>
      </c>
      <c r="B2055" t="str">
        <f>"1551601153804643"</f>
        <v>1551601153804643</v>
      </c>
      <c r="C2055" t="s">
        <v>40</v>
      </c>
      <c r="D2055">
        <v>5.0790389999999999</v>
      </c>
      <c r="E2055">
        <v>0.47959420000000003</v>
      </c>
      <c r="F2055" t="s">
        <v>41</v>
      </c>
      <c r="G2055">
        <v>-191.04480000000001</v>
      </c>
      <c r="H2055" s="1">
        <v>-2.0294870000000001E-6</v>
      </c>
      <c r="I2055">
        <v>333.67189999999999</v>
      </c>
      <c r="J2055">
        <v>-191.98699999999999</v>
      </c>
      <c r="K2055">
        <v>1.1205560000000001</v>
      </c>
      <c r="L2055">
        <v>351.47190000000001</v>
      </c>
      <c r="M2055">
        <v>0.2652272</v>
      </c>
      <c r="N2055">
        <v>-1.22027E-2</v>
      </c>
      <c r="O2055">
        <v>-0.96410859999999998</v>
      </c>
      <c r="P2055">
        <v>-1.135179E-3</v>
      </c>
      <c r="Q2055">
        <v>0.1042853</v>
      </c>
      <c r="R2055">
        <v>-0.99454679999999995</v>
      </c>
      <c r="S2055">
        <v>0.1628723</v>
      </c>
      <c r="T2055">
        <v>-0.190328</v>
      </c>
      <c r="U2055">
        <v>-3.0369259999999998</v>
      </c>
      <c r="V2055">
        <v>0.26515889999999998</v>
      </c>
      <c r="W2055">
        <v>0.1153711</v>
      </c>
      <c r="X2055">
        <v>0.9572775</v>
      </c>
      <c r="Y2055">
        <v>0.21318580000000001</v>
      </c>
      <c r="Z2055">
        <v>4.6342050000000003E-2</v>
      </c>
      <c r="AA2055">
        <v>0.975912</v>
      </c>
      <c r="AB2055">
        <v>8</v>
      </c>
      <c r="AC2055">
        <v>0.94219999999998505</v>
      </c>
      <c r="AD2055">
        <v>-1.1205580294869999</v>
      </c>
      <c r="AE2055">
        <v>-17.8</v>
      </c>
      <c r="AF2055">
        <v>3.7979360516939402</v>
      </c>
      <c r="AG2055">
        <v>-1.1205580294869999</v>
      </c>
      <c r="AH2055">
        <v>17.343786518786601</v>
      </c>
      <c r="AI2055">
        <v>93.611326118133206</v>
      </c>
      <c r="AJ2055">
        <v>77.648357012563096</v>
      </c>
      <c r="AK2055">
        <v>17.790078677719499</v>
      </c>
      <c r="AL2055">
        <v>83.374969832865602</v>
      </c>
      <c r="AM2055">
        <v>74.517655767961102</v>
      </c>
      <c r="AN2055">
        <v>0.99999997248533401</v>
      </c>
    </row>
    <row r="2056" spans="1:40" x14ac:dyDescent="0.25">
      <c r="A2056" t="str">
        <f>"20190303161913837"</f>
        <v>20190303161913837</v>
      </c>
      <c r="B2056" t="str">
        <f>"1551601153824163"</f>
        <v>1551601153824163</v>
      </c>
      <c r="C2056" t="s">
        <v>40</v>
      </c>
      <c r="D2056">
        <v>5.0797970000000001</v>
      </c>
      <c r="E2056">
        <v>0.4794504</v>
      </c>
      <c r="F2056" t="s">
        <v>41</v>
      </c>
      <c r="G2056">
        <v>-191.09630000000001</v>
      </c>
      <c r="H2056" s="1">
        <v>-2.2126210000000002E-6</v>
      </c>
      <c r="I2056">
        <v>334.0668</v>
      </c>
      <c r="J2056">
        <v>-191.97120000000001</v>
      </c>
      <c r="K2056">
        <v>1.120549</v>
      </c>
      <c r="L2056">
        <v>351.39409999999998</v>
      </c>
      <c r="M2056">
        <v>0.26088729999999999</v>
      </c>
      <c r="N2056">
        <v>-1.22027E-2</v>
      </c>
      <c r="O2056">
        <v>-0.96529219999999905</v>
      </c>
      <c r="P2056">
        <v>-4.130468E-3</v>
      </c>
      <c r="Q2056">
        <v>0.1030402</v>
      </c>
      <c r="R2056">
        <v>-0.99466880000000002</v>
      </c>
      <c r="S2056">
        <v>0.15542600000000001</v>
      </c>
      <c r="T2056">
        <v>-0.19553280000000001</v>
      </c>
      <c r="U2056">
        <v>-3.0371090000000001</v>
      </c>
      <c r="V2056">
        <v>0.26376440000000001</v>
      </c>
      <c r="W2056">
        <v>0.11413520000000001</v>
      </c>
      <c r="X2056">
        <v>0.95781079999999996</v>
      </c>
      <c r="Y2056">
        <v>0.21118219999999999</v>
      </c>
      <c r="Z2056">
        <v>4.8056840000000003E-2</v>
      </c>
      <c r="AA2056">
        <v>0.97626460000000004</v>
      </c>
      <c r="AB2056">
        <v>8</v>
      </c>
      <c r="AC2056">
        <v>0.87489999999999601</v>
      </c>
      <c r="AD2056">
        <v>-1.120551212621</v>
      </c>
      <c r="AE2056">
        <v>-17.327299999999902</v>
      </c>
      <c r="AF2056">
        <v>3.6609401240276802</v>
      </c>
      <c r="AG2056">
        <v>-1.120551212621</v>
      </c>
      <c r="AH2056">
        <v>16.8849829580608</v>
      </c>
      <c r="AI2056">
        <v>93.710826147508101</v>
      </c>
      <c r="AJ2056">
        <v>77.766686720865493</v>
      </c>
      <c r="AK2056">
        <v>17.31360063955</v>
      </c>
      <c r="AL2056">
        <v>83.446252868391099</v>
      </c>
      <c r="AM2056">
        <v>74.603372206403293</v>
      </c>
      <c r="AN2056">
        <v>1.0000000155915101</v>
      </c>
    </row>
    <row r="2057" spans="1:40" x14ac:dyDescent="0.25">
      <c r="A2057" t="str">
        <f>"20190303161913860"</f>
        <v>20190303161913860</v>
      </c>
      <c r="B2057" t="str">
        <f>"1551601153854945"</f>
        <v>1551601153854945</v>
      </c>
      <c r="C2057" t="s">
        <v>40</v>
      </c>
      <c r="D2057">
        <v>5.1465800000000002</v>
      </c>
      <c r="E2057">
        <v>0.47921789999999997</v>
      </c>
      <c r="F2057" t="s">
        <v>41</v>
      </c>
      <c r="G2057">
        <v>-191.14330000000001</v>
      </c>
      <c r="H2057" s="1">
        <v>-2.3258140000000002E-6</v>
      </c>
      <c r="I2057">
        <v>334.30149999999998</v>
      </c>
      <c r="J2057">
        <v>-191.95509999999999</v>
      </c>
      <c r="K2057">
        <v>1.1205449999999999</v>
      </c>
      <c r="L2057">
        <v>351.3134</v>
      </c>
      <c r="M2057">
        <v>0.2563821</v>
      </c>
      <c r="N2057">
        <v>-1.220273E-2</v>
      </c>
      <c r="O2057">
        <v>-0.96649850000000004</v>
      </c>
      <c r="P2057">
        <v>-7.3197749999999997E-3</v>
      </c>
      <c r="Q2057">
        <v>0.10201739999999999</v>
      </c>
      <c r="R2057">
        <v>-0.99475590000000003</v>
      </c>
      <c r="S2057">
        <v>0.14710999999999999</v>
      </c>
      <c r="T2057">
        <v>-0.1991243</v>
      </c>
      <c r="U2057">
        <v>-3.0373839999999999</v>
      </c>
      <c r="V2057">
        <v>0.26239079999999998</v>
      </c>
      <c r="W2057">
        <v>0.113120899999999</v>
      </c>
      <c r="X2057">
        <v>0.9583083</v>
      </c>
      <c r="Y2057">
        <v>0.20929590000000001</v>
      </c>
      <c r="Z2057">
        <v>4.9281560000000002E-2</v>
      </c>
      <c r="AA2057">
        <v>0.97660970000000002</v>
      </c>
      <c r="AB2057">
        <v>8</v>
      </c>
      <c r="AC2057">
        <v>0.81179999999997599</v>
      </c>
      <c r="AD2057">
        <v>-1.120547325814</v>
      </c>
      <c r="AE2057">
        <v>-17.011900000000001</v>
      </c>
      <c r="AF2057">
        <v>3.5617911803357698</v>
      </c>
      <c r="AG2057">
        <v>-1.120547325814</v>
      </c>
      <c r="AH2057">
        <v>16.5795767212242</v>
      </c>
      <c r="AI2057">
        <v>93.780516273010804</v>
      </c>
      <c r="AJ2057">
        <v>77.875427729169502</v>
      </c>
      <c r="AK2057">
        <v>16.994832949360401</v>
      </c>
      <c r="AL2057">
        <v>83.504746942962697</v>
      </c>
      <c r="AM2057">
        <v>74.687356242143196</v>
      </c>
      <c r="AN2057">
        <v>1.00000003389516</v>
      </c>
    </row>
    <row r="2058" spans="1:40" x14ac:dyDescent="0.25">
      <c r="A2058" t="str">
        <f>"20190303161913882"</f>
        <v>20190303161913882</v>
      </c>
      <c r="B2058" t="str">
        <f>"1551601153874445"</f>
        <v>1551601153874445</v>
      </c>
      <c r="C2058" t="s">
        <v>40</v>
      </c>
      <c r="D2058">
        <v>5.1449910000000001</v>
      </c>
      <c r="E2058">
        <v>0.47908849999999997</v>
      </c>
      <c r="F2058" t="s">
        <v>41</v>
      </c>
      <c r="G2058">
        <v>-191.18020000000001</v>
      </c>
      <c r="H2058" s="1">
        <v>-2.3678660000000001E-6</v>
      </c>
      <c r="I2058">
        <v>334.3766</v>
      </c>
      <c r="J2058">
        <v>-191.94</v>
      </c>
      <c r="K2058">
        <v>1.120541</v>
      </c>
      <c r="L2058">
        <v>351.2362</v>
      </c>
      <c r="M2058">
        <v>0.25207580000000002</v>
      </c>
      <c r="N2058">
        <v>-1.2202930000000001E-2</v>
      </c>
      <c r="O2058">
        <v>-0.96763080000000001</v>
      </c>
      <c r="P2058">
        <v>-9.872512E-3</v>
      </c>
      <c r="Q2058">
        <v>0.1018791</v>
      </c>
      <c r="R2058">
        <v>-0.99474819999999997</v>
      </c>
      <c r="S2058">
        <v>0.1389618</v>
      </c>
      <c r="T2058">
        <v>-0.20095979999999999</v>
      </c>
      <c r="U2058">
        <v>-3.037445</v>
      </c>
      <c r="V2058">
        <v>0.26058350000000002</v>
      </c>
      <c r="W2058">
        <v>0.1129916</v>
      </c>
      <c r="X2058">
        <v>0.95881649999999996</v>
      </c>
      <c r="Y2058">
        <v>0.20755779999999999</v>
      </c>
      <c r="Z2058">
        <v>4.9965860000000001E-2</v>
      </c>
      <c r="AA2058">
        <v>0.97694579999999998</v>
      </c>
      <c r="AB2058">
        <v>8</v>
      </c>
      <c r="AC2058">
        <v>0.75979999999998404</v>
      </c>
      <c r="AD2058">
        <v>-1.120543367866</v>
      </c>
      <c r="AE2058">
        <v>-16.8596</v>
      </c>
      <c r="AF2058">
        <v>3.4995248117170199</v>
      </c>
      <c r="AG2058">
        <v>-1.120543367866</v>
      </c>
      <c r="AH2058">
        <v>16.434171964506699</v>
      </c>
      <c r="AI2058">
        <v>93.815322181972405</v>
      </c>
      <c r="AJ2058">
        <v>77.978874415091596</v>
      </c>
      <c r="AK2058">
        <v>16.839961386715501</v>
      </c>
      <c r="AL2058">
        <v>83.5122026842879</v>
      </c>
      <c r="AM2058">
        <v>74.7956137014245</v>
      </c>
      <c r="AN2058">
        <v>0.99999997140752905</v>
      </c>
    </row>
    <row r="2059" spans="1:40" x14ac:dyDescent="0.25">
      <c r="A2059" t="str">
        <f>"20190303161913904"</f>
        <v>20190303161913904</v>
      </c>
      <c r="B2059" t="str">
        <f>"1551601153894941"</f>
        <v>1551601153894941</v>
      </c>
      <c r="C2059" t="s">
        <v>40</v>
      </c>
      <c r="D2059">
        <v>5.1404620000000003</v>
      </c>
      <c r="E2059">
        <v>0.47880630000000002</v>
      </c>
      <c r="F2059" t="s">
        <v>41</v>
      </c>
      <c r="G2059">
        <v>-191.20429999999999</v>
      </c>
      <c r="H2059" s="1">
        <v>-2.303721E-6</v>
      </c>
      <c r="I2059">
        <v>334.2122</v>
      </c>
      <c r="J2059">
        <v>-191.92500000000001</v>
      </c>
      <c r="K2059">
        <v>1.120541</v>
      </c>
      <c r="L2059">
        <v>351.15679999999998</v>
      </c>
      <c r="M2059">
        <v>0.2476421</v>
      </c>
      <c r="N2059">
        <v>-1.22033E-2</v>
      </c>
      <c r="O2059">
        <v>-0.96877500000000005</v>
      </c>
      <c r="P2059">
        <v>-1.2428079999999999E-2</v>
      </c>
      <c r="Q2059">
        <v>0.10242179999999999</v>
      </c>
      <c r="R2059">
        <v>-0.99466390000000005</v>
      </c>
      <c r="S2059">
        <v>0.1312866</v>
      </c>
      <c r="T2059">
        <v>-0.19994129999999999</v>
      </c>
      <c r="U2059">
        <v>-3.0376280000000002</v>
      </c>
      <c r="V2059">
        <v>0.25864100000000001</v>
      </c>
      <c r="W2059">
        <v>0.11354350000000001</v>
      </c>
      <c r="X2059">
        <v>0.95927720000000005</v>
      </c>
      <c r="Y2059">
        <v>0.20554529999999999</v>
      </c>
      <c r="Z2059">
        <v>4.9772459999999998E-2</v>
      </c>
      <c r="AA2059">
        <v>0.9773811</v>
      </c>
      <c r="AB2059">
        <v>8</v>
      </c>
      <c r="AC2059">
        <v>0.72070000000002199</v>
      </c>
      <c r="AD2059">
        <v>-1.120543303721</v>
      </c>
      <c r="AE2059">
        <v>-16.944599999999902</v>
      </c>
      <c r="AF2059">
        <v>3.4830553199785799</v>
      </c>
      <c r="AG2059">
        <v>-1.120543303721</v>
      </c>
      <c r="AH2059">
        <v>16.523084360471199</v>
      </c>
      <c r="AI2059">
        <v>93.796495709665095</v>
      </c>
      <c r="AJ2059">
        <v>78.096363410241594</v>
      </c>
      <c r="AK2059">
        <v>16.923345072437499</v>
      </c>
      <c r="AL2059">
        <v>83.480376641681303</v>
      </c>
      <c r="AM2059">
        <v>74.910681914577907</v>
      </c>
      <c r="AN2059">
        <v>1.00000001985654</v>
      </c>
    </row>
    <row r="2060" spans="1:40" x14ac:dyDescent="0.25">
      <c r="A2060" t="str">
        <f>"20190303161913929"</f>
        <v>20190303161913929</v>
      </c>
      <c r="B2060" t="str">
        <f>"1551601153914462"</f>
        <v>1551601153914462</v>
      </c>
      <c r="C2060" t="s">
        <v>40</v>
      </c>
      <c r="D2060">
        <v>5.2002220000000001</v>
      </c>
      <c r="E2060">
        <v>0.47851329999999997</v>
      </c>
      <c r="F2060" t="s">
        <v>41</v>
      </c>
      <c r="G2060">
        <v>-191.20689999999999</v>
      </c>
      <c r="H2060" s="1">
        <v>-2.1269010000000002E-6</v>
      </c>
      <c r="I2060">
        <v>333.79840000000002</v>
      </c>
      <c r="J2060">
        <v>-191.90960000000001</v>
      </c>
      <c r="K2060">
        <v>1.12053799999999</v>
      </c>
      <c r="L2060">
        <v>351.07350000000002</v>
      </c>
      <c r="M2060">
        <v>0.2429858</v>
      </c>
      <c r="N2060">
        <v>-1.220386E-2</v>
      </c>
      <c r="O2060">
        <v>-0.96995310000000001</v>
      </c>
      <c r="P2060">
        <v>-1.5984390000000001E-2</v>
      </c>
      <c r="Q2060">
        <v>0.10269349999999999</v>
      </c>
      <c r="R2060">
        <v>-0.99458460000000004</v>
      </c>
      <c r="S2060">
        <v>0.12567139999999999</v>
      </c>
      <c r="T2060">
        <v>-0.19610520000000001</v>
      </c>
      <c r="U2060">
        <v>-3.0378720000000001</v>
      </c>
      <c r="V2060">
        <v>0.25745560000000001</v>
      </c>
      <c r="W2060">
        <v>0.113820699999999</v>
      </c>
      <c r="X2060">
        <v>0.9595631</v>
      </c>
      <c r="Y2060">
        <v>0.20265150000000001</v>
      </c>
      <c r="Z2060">
        <v>4.8714609999999998E-2</v>
      </c>
      <c r="AA2060">
        <v>0.97803850000000003</v>
      </c>
      <c r="AB2060">
        <v>8</v>
      </c>
      <c r="AC2060">
        <v>0.70270000000002097</v>
      </c>
      <c r="AD2060">
        <v>-1.12054012690099</v>
      </c>
      <c r="AE2060">
        <v>-17.275099999999998</v>
      </c>
      <c r="AF2060">
        <v>3.50157154851623</v>
      </c>
      <c r="AG2060">
        <v>-1.12054012690099</v>
      </c>
      <c r="AH2060">
        <v>16.857235178559499</v>
      </c>
      <c r="AI2060">
        <v>93.723735399979503</v>
      </c>
      <c r="AJ2060">
        <v>78.265438286083693</v>
      </c>
      <c r="AK2060">
        <v>17.253492149435701</v>
      </c>
      <c r="AL2060">
        <v>83.464390095080105</v>
      </c>
      <c r="AM2060">
        <v>74.980979791008593</v>
      </c>
      <c r="AN2060">
        <v>0.99999994030072803</v>
      </c>
    </row>
    <row r="2061" spans="1:40" x14ac:dyDescent="0.25">
      <c r="A2061" t="str">
        <f>"20190303161913953"</f>
        <v>20190303161913953</v>
      </c>
      <c r="B2061" t="str">
        <f>"1551601153945694"</f>
        <v>1551601153945694</v>
      </c>
      <c r="C2061" t="s">
        <v>40</v>
      </c>
      <c r="D2061">
        <v>5.0806129999999996</v>
      </c>
      <c r="E2061">
        <v>0.47806779999999999</v>
      </c>
      <c r="F2061" t="s">
        <v>41</v>
      </c>
      <c r="G2061">
        <v>-191.2312</v>
      </c>
      <c r="H2061" s="1">
        <v>-1.9962929999999999E-6</v>
      </c>
      <c r="I2061">
        <v>333.47890000000001</v>
      </c>
      <c r="J2061">
        <v>-191.89400000000001</v>
      </c>
      <c r="K2061">
        <v>1.120539</v>
      </c>
      <c r="L2061">
        <v>350.98669999999998</v>
      </c>
      <c r="M2061">
        <v>0.2381325</v>
      </c>
      <c r="N2061">
        <v>-1.220449E-2</v>
      </c>
      <c r="O2061">
        <v>-0.97115609999999997</v>
      </c>
      <c r="P2061">
        <v>-1.961015E-2</v>
      </c>
      <c r="Q2061">
        <v>0.10292519999999999</v>
      </c>
      <c r="R2061">
        <v>-0.99449609999999999</v>
      </c>
      <c r="S2061">
        <v>0.1171417</v>
      </c>
      <c r="T2061">
        <v>-0.19349559999999999</v>
      </c>
      <c r="U2061">
        <v>-3.0382389999999999</v>
      </c>
      <c r="V2061">
        <v>0.25614890000000001</v>
      </c>
      <c r="W2061">
        <v>0.11405839999999901</v>
      </c>
      <c r="X2061">
        <v>0.95988459999999998</v>
      </c>
      <c r="Y2061">
        <v>0.2005017</v>
      </c>
      <c r="Z2061">
        <v>4.802584E-2</v>
      </c>
      <c r="AA2061">
        <v>0.97851549999999998</v>
      </c>
      <c r="AB2061">
        <v>8</v>
      </c>
      <c r="AC2061">
        <v>0.66280000000000405</v>
      </c>
      <c r="AD2061">
        <v>-1.120540996293</v>
      </c>
      <c r="AE2061">
        <v>-17.5077999999999</v>
      </c>
      <c r="AF2061">
        <v>3.5113929903027201</v>
      </c>
      <c r="AG2061">
        <v>-1.120540996293</v>
      </c>
      <c r="AH2061">
        <v>17.092003513999199</v>
      </c>
      <c r="AI2061">
        <v>93.674385410843996</v>
      </c>
      <c r="AJ2061">
        <v>78.390644539201503</v>
      </c>
      <c r="AK2061">
        <v>17.484909979158601</v>
      </c>
      <c r="AL2061">
        <v>83.450682081488793</v>
      </c>
      <c r="AM2061">
        <v>75.058570553856498</v>
      </c>
      <c r="AN2061">
        <v>1.00000001144946</v>
      </c>
    </row>
    <row r="2062" spans="1:40" x14ac:dyDescent="0.25">
      <c r="A2062" t="str">
        <f>"20190303161913974"</f>
        <v>20190303161913974</v>
      </c>
      <c r="B2062" t="str">
        <f>"1551601153964747"</f>
        <v>1551601153964747</v>
      </c>
      <c r="C2062" t="s">
        <v>40</v>
      </c>
      <c r="D2062">
        <v>5.0902149999999997</v>
      </c>
      <c r="E2062">
        <v>0.47769430000000002</v>
      </c>
      <c r="F2062" t="s">
        <v>41</v>
      </c>
      <c r="G2062">
        <v>-191.24979999999999</v>
      </c>
      <c r="H2062" s="1">
        <v>-1.849781E-6</v>
      </c>
      <c r="I2062">
        <v>333.12580000000003</v>
      </c>
      <c r="J2062">
        <v>-191.88059999999999</v>
      </c>
      <c r="K2062">
        <v>1.120539</v>
      </c>
      <c r="L2062">
        <v>350.91059999999999</v>
      </c>
      <c r="M2062">
        <v>0.23387759999999999</v>
      </c>
      <c r="N2062">
        <v>-1.2205189999999999E-2</v>
      </c>
      <c r="O2062">
        <v>-0.97218959999999999</v>
      </c>
      <c r="P2062">
        <v>-2.1542809999999999E-2</v>
      </c>
      <c r="Q2062">
        <v>0.1031398</v>
      </c>
      <c r="R2062">
        <v>-0.99443389999999998</v>
      </c>
      <c r="S2062">
        <v>0.1095734</v>
      </c>
      <c r="T2062">
        <v>-0.19062409999999999</v>
      </c>
      <c r="U2062">
        <v>-3.0384519999999999</v>
      </c>
      <c r="V2062">
        <v>0.25380269999999999</v>
      </c>
      <c r="W2062">
        <v>0.1142859</v>
      </c>
      <c r="X2062">
        <v>0.96048060000000002</v>
      </c>
      <c r="Y2062">
        <v>0.19864879999999999</v>
      </c>
      <c r="Z2062">
        <v>4.7237510000000003E-2</v>
      </c>
      <c r="AA2062">
        <v>0.97893169999999996</v>
      </c>
      <c r="AB2062">
        <v>8</v>
      </c>
      <c r="AC2062">
        <v>0.63079999999999303</v>
      </c>
      <c r="AD2062">
        <v>-1.1205408497810001</v>
      </c>
      <c r="AE2062">
        <v>-17.784799999999901</v>
      </c>
      <c r="AF2062">
        <v>3.53246753309989</v>
      </c>
      <c r="AG2062">
        <v>-1.1205408497810001</v>
      </c>
      <c r="AH2062">
        <v>17.370156161268898</v>
      </c>
      <c r="AI2062">
        <v>93.617172944225402</v>
      </c>
      <c r="AJ2062">
        <v>78.504848372688897</v>
      </c>
      <c r="AK2062">
        <v>17.761088472706302</v>
      </c>
      <c r="AL2062">
        <v>83.437561619739597</v>
      </c>
      <c r="AM2062">
        <v>75.198172229319098</v>
      </c>
      <c r="AN2062">
        <v>1.00000003022122</v>
      </c>
    </row>
    <row r="2063" spans="1:40" x14ac:dyDescent="0.25">
      <c r="A2063" t="str">
        <f>"20190303161913996"</f>
        <v>20190303161913996</v>
      </c>
      <c r="B2063" t="str">
        <f>"1551601153984267"</f>
        <v>1551601153984267</v>
      </c>
      <c r="C2063" t="s">
        <v>40</v>
      </c>
      <c r="D2063">
        <v>5.0273409999999998</v>
      </c>
      <c r="E2063">
        <v>0.47754170000000001</v>
      </c>
      <c r="F2063" t="s">
        <v>41</v>
      </c>
      <c r="G2063">
        <v>-191.2517</v>
      </c>
      <c r="H2063" s="1">
        <v>-1.758737E-6</v>
      </c>
      <c r="I2063">
        <v>332.91239999999999</v>
      </c>
      <c r="J2063">
        <v>-191.86779999999999</v>
      </c>
      <c r="K2063">
        <v>1.1205430000000001</v>
      </c>
      <c r="L2063">
        <v>350.83530000000002</v>
      </c>
      <c r="M2063">
        <v>0.22966809999999999</v>
      </c>
      <c r="N2063">
        <v>-1.2205860000000001E-2</v>
      </c>
      <c r="O2063">
        <v>-0.97319250000000002</v>
      </c>
      <c r="P2063">
        <v>-2.250783E-2</v>
      </c>
      <c r="Q2063">
        <v>0.10361919999999999</v>
      </c>
      <c r="R2063">
        <v>-0.99436259999999999</v>
      </c>
      <c r="S2063">
        <v>0.1061859</v>
      </c>
      <c r="T2063">
        <v>-0.18918750000000001</v>
      </c>
      <c r="U2063">
        <v>-3.0387270000000002</v>
      </c>
      <c r="V2063">
        <v>0.2505619</v>
      </c>
      <c r="W2063">
        <v>0.1147832</v>
      </c>
      <c r="X2063">
        <v>0.96127180000000001</v>
      </c>
      <c r="Y2063">
        <v>0.19550120000000001</v>
      </c>
      <c r="Z2063">
        <v>4.6896859999999999E-2</v>
      </c>
      <c r="AA2063">
        <v>0.97958149999999999</v>
      </c>
      <c r="AB2063">
        <v>8</v>
      </c>
      <c r="AC2063">
        <v>0.61609999999998799</v>
      </c>
      <c r="AD2063">
        <v>-1.1205447587369901</v>
      </c>
      <c r="AE2063">
        <v>-17.922899999999998</v>
      </c>
      <c r="AF2063">
        <v>3.50331881838077</v>
      </c>
      <c r="AG2063">
        <v>-1.1205447587369901</v>
      </c>
      <c r="AH2063">
        <v>17.5168510314349</v>
      </c>
      <c r="AI2063">
        <v>93.589308107818496</v>
      </c>
      <c r="AJ2063">
        <v>78.6902291457274</v>
      </c>
      <c r="AK2063">
        <v>17.898852850309598</v>
      </c>
      <c r="AL2063">
        <v>83.408879223346901</v>
      </c>
      <c r="AM2063">
        <v>75.390547739587902</v>
      </c>
      <c r="AN2063">
        <v>0.99999996110454403</v>
      </c>
    </row>
    <row r="2064" spans="1:40" x14ac:dyDescent="0.25">
      <c r="A2064" t="str">
        <f>"20190303161914018"</f>
        <v>20190303161914018</v>
      </c>
      <c r="B2064" t="str">
        <f>"1551601154004763"</f>
        <v>1551601154004763</v>
      </c>
      <c r="C2064" t="s">
        <v>40</v>
      </c>
      <c r="D2064">
        <v>4.8574599999999997</v>
      </c>
      <c r="E2064">
        <v>0.47199639999999998</v>
      </c>
      <c r="F2064" t="s">
        <v>41</v>
      </c>
      <c r="G2064">
        <v>-191.24549999999999</v>
      </c>
      <c r="H2064" s="1">
        <v>-1.636051E-6</v>
      </c>
      <c r="I2064">
        <v>332.63029999999998</v>
      </c>
      <c r="J2064">
        <v>-191.85419999999999</v>
      </c>
      <c r="K2064">
        <v>1.1205480000000001</v>
      </c>
      <c r="L2064">
        <v>350.75319999999999</v>
      </c>
      <c r="M2064">
        <v>0.2250733</v>
      </c>
      <c r="N2064">
        <v>-1.220656E-2</v>
      </c>
      <c r="O2064">
        <v>-0.9742653</v>
      </c>
      <c r="P2064">
        <v>-2.177511E-2</v>
      </c>
      <c r="Q2064">
        <v>0.1043791</v>
      </c>
      <c r="R2064">
        <v>-0.99429920000000005</v>
      </c>
      <c r="S2064">
        <v>0.1038818</v>
      </c>
      <c r="T2064">
        <v>-0.18704960000000001</v>
      </c>
      <c r="U2064">
        <v>-3.03891</v>
      </c>
      <c r="V2064">
        <v>0.24529029999999999</v>
      </c>
      <c r="W2064">
        <v>0.11557190000000001</v>
      </c>
      <c r="X2064">
        <v>0.96253619999999995</v>
      </c>
      <c r="Y2064">
        <v>0.19161800000000001</v>
      </c>
      <c r="Z2064">
        <v>4.6348300000000002E-2</v>
      </c>
      <c r="AA2064">
        <v>0.98037459999999998</v>
      </c>
      <c r="AB2064">
        <v>8</v>
      </c>
      <c r="AC2064">
        <v>0.60869999999999802</v>
      </c>
      <c r="AD2064">
        <v>-1.1205496360510001</v>
      </c>
      <c r="AE2064">
        <v>-18.122900000000001</v>
      </c>
      <c r="AF2064">
        <v>3.4729434092650702</v>
      </c>
      <c r="AG2064">
        <v>-1.1205496360510001</v>
      </c>
      <c r="AH2064">
        <v>17.7271467812017</v>
      </c>
      <c r="AI2064">
        <v>93.549607868479299</v>
      </c>
      <c r="AJ2064">
        <v>78.915514113804903</v>
      </c>
      <c r="AK2064">
        <v>18.098859091475401</v>
      </c>
      <c r="AL2064">
        <v>83.3633879847213</v>
      </c>
      <c r="AM2064">
        <v>75.703191656633905</v>
      </c>
      <c r="AN2064">
        <v>1.00000006582706</v>
      </c>
    </row>
    <row r="2065" spans="1:40" x14ac:dyDescent="0.25">
      <c r="A2065" t="str">
        <f>"20190303161914039"</f>
        <v>20190303161914039</v>
      </c>
      <c r="B2065" t="str">
        <f>"1551601154034043"</f>
        <v>1551601154034043</v>
      </c>
      <c r="C2065" t="s">
        <v>40</v>
      </c>
      <c r="D2065">
        <v>4.9768970000000001</v>
      </c>
      <c r="E2065">
        <v>0.47166279999999999</v>
      </c>
      <c r="F2065" t="s">
        <v>41</v>
      </c>
      <c r="G2065">
        <v>-190.7946</v>
      </c>
      <c r="H2065" s="1">
        <v>-4.363936E-6</v>
      </c>
      <c r="I2065">
        <v>329.39620000000002</v>
      </c>
      <c r="J2065">
        <v>-191.84219999999999</v>
      </c>
      <c r="K2065">
        <v>1.120555</v>
      </c>
      <c r="L2065">
        <v>350.67919999999998</v>
      </c>
      <c r="M2065">
        <v>0.22093270000000001</v>
      </c>
      <c r="N2065">
        <v>-1.220711E-2</v>
      </c>
      <c r="O2065">
        <v>-0.97521259999999999</v>
      </c>
      <c r="P2065">
        <v>-2.0166079999999999E-2</v>
      </c>
      <c r="Q2065">
        <v>0.1060478</v>
      </c>
      <c r="R2065">
        <v>-0.99415690000000001</v>
      </c>
      <c r="S2065">
        <v>0.15068049999999999</v>
      </c>
      <c r="T2065">
        <v>-0.15935669999999999</v>
      </c>
      <c r="U2065">
        <v>-3.0372309999999998</v>
      </c>
      <c r="V2065">
        <v>0.23959620000000001</v>
      </c>
      <c r="W2065">
        <v>0.1172702</v>
      </c>
      <c r="X2065">
        <v>0.96376419999999996</v>
      </c>
      <c r="Y2065">
        <v>0.17231779999999999</v>
      </c>
      <c r="Z2065">
        <v>3.7908520000000001E-2</v>
      </c>
      <c r="AA2065">
        <v>0.98431170000000001</v>
      </c>
      <c r="AB2065">
        <v>8</v>
      </c>
      <c r="AC2065">
        <v>1.0475999999999801</v>
      </c>
      <c r="AD2065">
        <v>-1.1205593639360001</v>
      </c>
      <c r="AE2065">
        <v>-21.282999999999902</v>
      </c>
      <c r="AF2065">
        <v>3.6706018255397499</v>
      </c>
      <c r="AG2065">
        <v>-1.1205593639360001</v>
      </c>
      <c r="AH2065">
        <v>20.930583106528999</v>
      </c>
      <c r="AI2065">
        <v>93.018536592443596</v>
      </c>
      <c r="AJ2065">
        <v>80.053171772210007</v>
      </c>
      <c r="AK2065">
        <v>21.2795272557705</v>
      </c>
      <c r="AL2065">
        <v>83.265416142808405</v>
      </c>
      <c r="AM2065">
        <v>76.039029513444206</v>
      </c>
      <c r="AN2065">
        <v>1.00000003603205</v>
      </c>
    </row>
    <row r="2066" spans="1:40" x14ac:dyDescent="0.25">
      <c r="A2066" t="str">
        <f>"20190303161914062"</f>
        <v>20190303161914062</v>
      </c>
      <c r="B2066" t="str">
        <f>"1551601154054539"</f>
        <v>1551601154054539</v>
      </c>
      <c r="C2066" t="s">
        <v>40</v>
      </c>
      <c r="D2066">
        <v>4.9188140000000002</v>
      </c>
      <c r="E2066">
        <v>0.47134150000000002</v>
      </c>
      <c r="F2066" t="s">
        <v>41</v>
      </c>
      <c r="G2066">
        <v>-190.69460000000001</v>
      </c>
      <c r="H2066" s="1">
        <v>-4.0681689999999996E-6</v>
      </c>
      <c r="I2066">
        <v>328.6413</v>
      </c>
      <c r="J2066">
        <v>-191.8295</v>
      </c>
      <c r="K2066">
        <v>1.1205609999999999</v>
      </c>
      <c r="L2066">
        <v>350.59829999999999</v>
      </c>
      <c r="M2066">
        <v>0.2164093</v>
      </c>
      <c r="N2066">
        <v>-1.2207539999999999E-2</v>
      </c>
      <c r="O2066">
        <v>-0.9762265</v>
      </c>
      <c r="P2066">
        <v>-1.7845300000000001E-2</v>
      </c>
      <c r="Q2066">
        <v>0.1061821</v>
      </c>
      <c r="R2066">
        <v>-0.99418660000000003</v>
      </c>
      <c r="S2066">
        <v>0.1581726</v>
      </c>
      <c r="T2066">
        <v>-0.1544402</v>
      </c>
      <c r="U2066">
        <v>-3.0373540000000001</v>
      </c>
      <c r="V2066">
        <v>0.23285929999999999</v>
      </c>
      <c r="W2066">
        <v>0.11744259999999999</v>
      </c>
      <c r="X2066">
        <v>0.9653931</v>
      </c>
      <c r="Y2066">
        <v>0.16532910000000001</v>
      </c>
      <c r="Z2066">
        <v>3.6471820000000002E-2</v>
      </c>
      <c r="AA2066">
        <v>0.98556390000000005</v>
      </c>
      <c r="AB2066">
        <v>8</v>
      </c>
      <c r="AC2066">
        <v>1.13489999999998</v>
      </c>
      <c r="AD2066">
        <v>-1.120565068169</v>
      </c>
      <c r="AE2066">
        <v>-21.956999999999901</v>
      </c>
      <c r="AF2066">
        <v>3.6346095372635401</v>
      </c>
      <c r="AG2066">
        <v>-1.120565068169</v>
      </c>
      <c r="AH2066">
        <v>21.626046325855999</v>
      </c>
      <c r="AI2066">
        <v>92.925205908638802</v>
      </c>
      <c r="AJ2066">
        <v>80.4596699781019</v>
      </c>
      <c r="AK2066">
        <v>21.957958289614201</v>
      </c>
      <c r="AL2066">
        <v>83.255469562529598</v>
      </c>
      <c r="AM2066">
        <v>76.438910424331993</v>
      </c>
      <c r="AN2066">
        <v>1.0000000277094201</v>
      </c>
    </row>
    <row r="2067" spans="1:40" x14ac:dyDescent="0.25">
      <c r="A2067" t="str">
        <f>"20190303161914083"</f>
        <v>20190303161914083</v>
      </c>
      <c r="B2067" t="str">
        <f>"1551601154074058"</f>
        <v>1551601154074058</v>
      </c>
      <c r="C2067" t="s">
        <v>40</v>
      </c>
      <c r="D2067">
        <v>4.7850760000000001</v>
      </c>
      <c r="E2067">
        <v>0.47154040000000003</v>
      </c>
      <c r="F2067" t="s">
        <v>41</v>
      </c>
      <c r="G2067">
        <v>-190.60480000000001</v>
      </c>
      <c r="H2067" s="1">
        <v>-3.9688470000000003E-6</v>
      </c>
      <c r="I2067">
        <v>328.46550000000002</v>
      </c>
      <c r="J2067">
        <v>-191.8177</v>
      </c>
      <c r="K2067">
        <v>1.120565</v>
      </c>
      <c r="L2067">
        <v>350.52080000000001</v>
      </c>
      <c r="M2067">
        <v>0.21208479999999999</v>
      </c>
      <c r="N2067">
        <v>-1.2207320000000001E-2</v>
      </c>
      <c r="O2067">
        <v>-0.97717520000000002</v>
      </c>
      <c r="P2067">
        <v>-1.360342E-2</v>
      </c>
      <c r="Q2067">
        <v>0.1061868</v>
      </c>
      <c r="R2067">
        <v>-0.99425350000000001</v>
      </c>
      <c r="S2067">
        <v>0.168045</v>
      </c>
      <c r="T2067">
        <v>-0.1537615</v>
      </c>
      <c r="U2067">
        <v>-3.0370180000000002</v>
      </c>
      <c r="V2067">
        <v>0.2244439</v>
      </c>
      <c r="W2067">
        <v>0.11749370000000001</v>
      </c>
      <c r="X2067">
        <v>0.96737799999999996</v>
      </c>
      <c r="Y2067">
        <v>0.1577606</v>
      </c>
      <c r="Z2067">
        <v>3.6366000000000002E-2</v>
      </c>
      <c r="AA2067">
        <v>0.98680749999999995</v>
      </c>
      <c r="AB2067">
        <v>8</v>
      </c>
      <c r="AC2067">
        <v>1.2128999999999901</v>
      </c>
      <c r="AD2067">
        <v>-1.120568968847</v>
      </c>
      <c r="AE2067">
        <v>-22.0552999999999</v>
      </c>
      <c r="AF2067">
        <v>3.4836721646892399</v>
      </c>
      <c r="AG2067">
        <v>-1.120568968847</v>
      </c>
      <c r="AH2067">
        <v>21.754763265698902</v>
      </c>
      <c r="AI2067">
        <v>92.911620195380806</v>
      </c>
      <c r="AJ2067">
        <v>80.902250328772297</v>
      </c>
      <c r="AK2067">
        <v>22.0604027912361</v>
      </c>
      <c r="AL2067">
        <v>83.252521246020294</v>
      </c>
      <c r="AM2067">
        <v>76.9377630189923</v>
      </c>
      <c r="AN2067">
        <v>1.0000000143354499</v>
      </c>
    </row>
    <row r="2068" spans="1:40" x14ac:dyDescent="0.25">
      <c r="A2068" t="str">
        <f>"20190303161914107"</f>
        <v>20190303161914107</v>
      </c>
      <c r="B2068" t="str">
        <f>"1551601154094554"</f>
        <v>1551601154094554</v>
      </c>
      <c r="C2068" t="s">
        <v>40</v>
      </c>
      <c r="D2068">
        <v>4.8097120000000002</v>
      </c>
      <c r="E2068">
        <v>0.47142679999999998</v>
      </c>
      <c r="F2068" t="s">
        <v>41</v>
      </c>
      <c r="G2068">
        <v>-190.53989999999999</v>
      </c>
      <c r="H2068" s="1">
        <v>-4.1333209999999998E-6</v>
      </c>
      <c r="I2068">
        <v>328.88909999999998</v>
      </c>
      <c r="J2068">
        <v>-191.8057</v>
      </c>
      <c r="K2068">
        <v>1.120584</v>
      </c>
      <c r="L2068">
        <v>350.44029999999998</v>
      </c>
      <c r="M2068">
        <v>0.20760190000000001</v>
      </c>
      <c r="N2068">
        <v>-1.22065E-2</v>
      </c>
      <c r="O2068">
        <v>-0.97813729999999999</v>
      </c>
      <c r="P2068">
        <v>-8.5318789999999992E-3</v>
      </c>
      <c r="Q2068">
        <v>0.10697669999999999</v>
      </c>
      <c r="R2068">
        <v>-0.99422509999999997</v>
      </c>
      <c r="S2068">
        <v>0.1793671</v>
      </c>
      <c r="T2068">
        <v>-0.1573021</v>
      </c>
      <c r="U2068">
        <v>-3.036591</v>
      </c>
      <c r="V2068">
        <v>0.21503169999999999</v>
      </c>
      <c r="W2068">
        <v>0.1183342</v>
      </c>
      <c r="X2068">
        <v>0.96941140000000003</v>
      </c>
      <c r="Y2068">
        <v>0.14955739999999901</v>
      </c>
      <c r="Z2068">
        <v>3.7593509999999997E-2</v>
      </c>
      <c r="AA2068">
        <v>0.98803810000000003</v>
      </c>
      <c r="AB2068">
        <v>8</v>
      </c>
      <c r="AC2068">
        <v>1.26580000000001</v>
      </c>
      <c r="AD2068">
        <v>-1.1205881333209999</v>
      </c>
      <c r="AE2068">
        <v>-21.551199999999898</v>
      </c>
      <c r="AF2068">
        <v>3.22748879878836</v>
      </c>
      <c r="AG2068">
        <v>-1.1205881333209999</v>
      </c>
      <c r="AH2068">
        <v>21.287049238466899</v>
      </c>
      <c r="AI2068">
        <v>92.979382448017304</v>
      </c>
      <c r="AJ2068">
        <v>81.378620391261293</v>
      </c>
      <c r="AK2068">
        <v>21.559472790208901</v>
      </c>
      <c r="AL2068">
        <v>83.204025995796201</v>
      </c>
      <c r="AM2068">
        <v>77.493331994904196</v>
      </c>
      <c r="AN2068">
        <v>1.0000000386722401</v>
      </c>
    </row>
    <row r="2069" spans="1:40" x14ac:dyDescent="0.25">
      <c r="A2069" t="str">
        <f>"20190303161914131"</f>
        <v>20190303161914131</v>
      </c>
      <c r="B2069" t="str">
        <f>"1551601154125787"</f>
        <v>1551601154125787</v>
      </c>
      <c r="C2069" t="s">
        <v>40</v>
      </c>
      <c r="D2069">
        <v>4.7986129999999996</v>
      </c>
      <c r="E2069">
        <v>0.47189550000000002</v>
      </c>
      <c r="F2069" t="s">
        <v>41</v>
      </c>
      <c r="G2069">
        <v>-190.4392</v>
      </c>
      <c r="H2069" s="1">
        <v>-4.2595810000000004E-6</v>
      </c>
      <c r="I2069">
        <v>329.27480000000003</v>
      </c>
      <c r="J2069">
        <v>-191.7937</v>
      </c>
      <c r="K2069">
        <v>1.120603</v>
      </c>
      <c r="L2069">
        <v>350.3562</v>
      </c>
      <c r="M2069">
        <v>0.20294860000000001</v>
      </c>
      <c r="N2069">
        <v>-1.2204909999999999E-2</v>
      </c>
      <c r="O2069">
        <v>-0.97911329999999996</v>
      </c>
      <c r="P2069">
        <v>-4.3509020000000002E-3</v>
      </c>
      <c r="Q2069">
        <v>0.1080721</v>
      </c>
      <c r="R2069">
        <v>-0.9941335</v>
      </c>
      <c r="S2069">
        <v>0.19604489999999999</v>
      </c>
      <c r="T2069">
        <v>-0.16076029999999999</v>
      </c>
      <c r="U2069">
        <v>-3.0364070000000001</v>
      </c>
      <c r="V2069">
        <v>0.20629929999999999</v>
      </c>
      <c r="W2069">
        <v>0.1194762</v>
      </c>
      <c r="X2069">
        <v>0.97116740000000001</v>
      </c>
      <c r="Y2069">
        <v>0.13944479999999901</v>
      </c>
      <c r="Z2069">
        <v>3.8801549999999997E-2</v>
      </c>
      <c r="AA2069">
        <v>0.9894693</v>
      </c>
      <c r="AB2069">
        <v>8</v>
      </c>
      <c r="AC2069">
        <v>1.3545</v>
      </c>
      <c r="AD2069">
        <v>-1.1206072595809999</v>
      </c>
      <c r="AE2069">
        <v>-21.081399999999899</v>
      </c>
      <c r="AF2069">
        <v>2.9441668493378002</v>
      </c>
      <c r="AG2069">
        <v>-1.1206072595809999</v>
      </c>
      <c r="AH2069">
        <v>20.8588354871505</v>
      </c>
      <c r="AI2069">
        <v>93.045041757350106</v>
      </c>
      <c r="AJ2069">
        <v>81.965931921498793</v>
      </c>
      <c r="AK2069">
        <v>21.095376198280299</v>
      </c>
      <c r="AL2069">
        <v>83.138126716511394</v>
      </c>
      <c r="AM2069">
        <v>78.007265054534798</v>
      </c>
      <c r="AN2069">
        <v>1.00000004118484</v>
      </c>
    </row>
    <row r="2070" spans="1:40" x14ac:dyDescent="0.25">
      <c r="A2070" t="str">
        <f>"20190303161914152"</f>
        <v>20190303161914152</v>
      </c>
      <c r="B2070" t="str">
        <f>"1551601154144331"</f>
        <v>1551601154144331</v>
      </c>
      <c r="C2070" t="s">
        <v>40</v>
      </c>
      <c r="D2070">
        <v>4.906841</v>
      </c>
      <c r="E2070">
        <v>0.4719409</v>
      </c>
      <c r="F2070" t="s">
        <v>41</v>
      </c>
      <c r="G2070">
        <v>-190.3203</v>
      </c>
      <c r="H2070" s="1">
        <v>-3.9478940000000002E-6</v>
      </c>
      <c r="I2070">
        <v>328.59309999999999</v>
      </c>
      <c r="J2070">
        <v>-191.78280000000001</v>
      </c>
      <c r="K2070">
        <v>1.1206149999999999</v>
      </c>
      <c r="L2070">
        <v>350.27839999999998</v>
      </c>
      <c r="M2070">
        <v>0.19866159999999999</v>
      </c>
      <c r="N2070">
        <v>-1.2202859999999999E-2</v>
      </c>
      <c r="O2070">
        <v>-0.97999239999999999</v>
      </c>
      <c r="P2070">
        <v>-4.4334559999999997E-3</v>
      </c>
      <c r="Q2070">
        <v>0.10811900000000001</v>
      </c>
      <c r="R2070">
        <v>-0.99412849999999997</v>
      </c>
      <c r="S2070">
        <v>0.2055054</v>
      </c>
      <c r="T2070">
        <v>-0.156307</v>
      </c>
      <c r="U2070">
        <v>-3.0356139999999998</v>
      </c>
      <c r="V2070">
        <v>0.20211670000000001</v>
      </c>
      <c r="W2070">
        <v>0.1195481</v>
      </c>
      <c r="X2070">
        <v>0.97203759999999995</v>
      </c>
      <c r="Y2070">
        <v>0.13202130000000001</v>
      </c>
      <c r="Z2070">
        <v>3.749976E-2</v>
      </c>
      <c r="AA2070">
        <v>0.99053729999999995</v>
      </c>
      <c r="AB2070">
        <v>8</v>
      </c>
      <c r="AC2070">
        <v>1.4624999999999999</v>
      </c>
      <c r="AD2070">
        <v>-1.1206189478940001</v>
      </c>
      <c r="AE2070">
        <v>-21.685299999999899</v>
      </c>
      <c r="AF2070">
        <v>2.86738837881231</v>
      </c>
      <c r="AG2070">
        <v>-1.1206189478940001</v>
      </c>
      <c r="AH2070">
        <v>21.4864522944364</v>
      </c>
      <c r="AI2070">
        <v>92.959349526655899</v>
      </c>
      <c r="AJ2070">
        <v>82.398733126695006</v>
      </c>
      <c r="AK2070">
        <v>21.705882500889501</v>
      </c>
      <c r="AL2070">
        <v>83.133977142176505</v>
      </c>
      <c r="AM2070">
        <v>78.253808778546698</v>
      </c>
      <c r="AN2070">
        <v>1.0000000022231299</v>
      </c>
    </row>
    <row r="2071" spans="1:40" x14ac:dyDescent="0.25">
      <c r="A2071" t="str">
        <f>"20190303161914175"</f>
        <v>20190303161914175</v>
      </c>
      <c r="B2071" t="str">
        <f>"1551601154164827"</f>
        <v>1551601154164827</v>
      </c>
      <c r="C2071" t="s">
        <v>40</v>
      </c>
      <c r="D2071">
        <v>4.973662</v>
      </c>
      <c r="E2071">
        <v>0.47324250000000001</v>
      </c>
      <c r="F2071" t="s">
        <v>41</v>
      </c>
      <c r="G2071">
        <v>-190.31360000000001</v>
      </c>
      <c r="H2071" s="1">
        <v>-3.923692E-6</v>
      </c>
      <c r="I2071">
        <v>328.54090000000002</v>
      </c>
      <c r="J2071">
        <v>-191.77180000000001</v>
      </c>
      <c r="K2071">
        <v>1.120627</v>
      </c>
      <c r="L2071">
        <v>350.19650000000001</v>
      </c>
      <c r="M2071">
        <v>0.19417580000000001</v>
      </c>
      <c r="N2071">
        <v>-1.220018E-2</v>
      </c>
      <c r="O2071">
        <v>-0.98089090000000001</v>
      </c>
      <c r="P2071">
        <v>-1.2346010000000001E-3</v>
      </c>
      <c r="Q2071">
        <v>0.1072636</v>
      </c>
      <c r="R2071">
        <v>-0.99423010000000001</v>
      </c>
      <c r="S2071">
        <v>0.2051849</v>
      </c>
      <c r="T2071">
        <v>-0.156496</v>
      </c>
      <c r="U2071">
        <v>-3.0356749999999999</v>
      </c>
      <c r="V2071">
        <v>0.19453590000000001</v>
      </c>
      <c r="W2071">
        <v>0.1187348</v>
      </c>
      <c r="X2071">
        <v>0.97368259999999995</v>
      </c>
      <c r="Y2071">
        <v>0.12759239999999999</v>
      </c>
      <c r="Z2071">
        <v>3.7643410000000002E-2</v>
      </c>
      <c r="AA2071">
        <v>0.99111210000000005</v>
      </c>
      <c r="AB2071">
        <v>8</v>
      </c>
      <c r="AC2071">
        <v>1.4581999999999999</v>
      </c>
      <c r="AD2071">
        <v>-1.120630923692</v>
      </c>
      <c r="AE2071">
        <v>-21.6556</v>
      </c>
      <c r="AF2071">
        <v>2.7674873626284899</v>
      </c>
      <c r="AG2071">
        <v>-1.120630923692</v>
      </c>
      <c r="AH2071">
        <v>21.4692979032008</v>
      </c>
      <c r="AI2071">
        <v>92.963475424989596</v>
      </c>
      <c r="AJ2071">
        <v>82.654825468723999</v>
      </c>
      <c r="AK2071">
        <v>21.6759210283168</v>
      </c>
      <c r="AL2071">
        <v>83.180909988614204</v>
      </c>
      <c r="AM2071">
        <v>78.701419288917293</v>
      </c>
      <c r="AN2071">
        <v>0.99999998733130402</v>
      </c>
    </row>
    <row r="2072" spans="1:40" x14ac:dyDescent="0.25">
      <c r="A2072" t="str">
        <f>"20190303161914195"</f>
        <v>20190303161914195</v>
      </c>
      <c r="B2072" t="str">
        <f>"1551601154184346"</f>
        <v>1551601154184346</v>
      </c>
      <c r="C2072" t="s">
        <v>40</v>
      </c>
      <c r="D2072">
        <v>4.7829509999999997</v>
      </c>
      <c r="E2072">
        <v>0.49667909999999998</v>
      </c>
      <c r="F2072" t="s">
        <v>41</v>
      </c>
      <c r="G2072">
        <v>-190.2937</v>
      </c>
      <c r="H2072" s="1">
        <v>-3.8187390000000004E-6</v>
      </c>
      <c r="I2072">
        <v>328.30849999999998</v>
      </c>
      <c r="J2072">
        <v>-191.76249999999999</v>
      </c>
      <c r="K2072">
        <v>1.1206389999999999</v>
      </c>
      <c r="L2072">
        <v>350.12599999999998</v>
      </c>
      <c r="M2072">
        <v>0.19034770000000001</v>
      </c>
      <c r="N2072">
        <v>-1.2197120000000001E-2</v>
      </c>
      <c r="O2072">
        <v>-0.98164099999999999</v>
      </c>
      <c r="P2072">
        <v>2.0899960000000002E-3</v>
      </c>
      <c r="Q2072">
        <v>0.1067674</v>
      </c>
      <c r="R2072">
        <v>-0.99428190000000005</v>
      </c>
      <c r="S2072">
        <v>0.20491029999999999</v>
      </c>
      <c r="T2072">
        <v>-0.15535779999999999</v>
      </c>
      <c r="U2072">
        <v>-3.034424</v>
      </c>
      <c r="V2072">
        <v>0.18747040000000001</v>
      </c>
      <c r="W2072">
        <v>0.1182764</v>
      </c>
      <c r="X2072">
        <v>0.97512330000000003</v>
      </c>
      <c r="Y2072">
        <v>0.1237851</v>
      </c>
      <c r="Z2072">
        <v>3.7373660000000003E-2</v>
      </c>
      <c r="AA2072">
        <v>0.99160499999999996</v>
      </c>
      <c r="AB2072">
        <v>8</v>
      </c>
      <c r="AC2072">
        <v>1.4687999999999799</v>
      </c>
      <c r="AD2072">
        <v>-1.1206428187389901</v>
      </c>
      <c r="AE2072">
        <v>-21.8174999999999</v>
      </c>
      <c r="AF2072">
        <v>2.7041759924456898</v>
      </c>
      <c r="AG2072">
        <v>-1.1206428187389901</v>
      </c>
      <c r="AH2072">
        <v>21.641309842753799</v>
      </c>
      <c r="AI2072">
        <v>92.941441913040194</v>
      </c>
      <c r="AJ2072">
        <v>82.877558488823894</v>
      </c>
      <c r="AK2072">
        <v>21.838376767410701</v>
      </c>
      <c r="AL2072">
        <v>83.207360535076504</v>
      </c>
      <c r="AM2072">
        <v>79.117493713501204</v>
      </c>
      <c r="AN2072">
        <v>0.999999953938004</v>
      </c>
    </row>
    <row r="2073" spans="1:40" x14ac:dyDescent="0.25">
      <c r="A2073" t="str">
        <f>"20190303161914217"</f>
        <v>20190303161914217</v>
      </c>
      <c r="B2073" t="str">
        <f>"1551601154204846"</f>
        <v>1551601154204846</v>
      </c>
      <c r="C2073" t="s">
        <v>40</v>
      </c>
      <c r="D2073">
        <v>4.7521909999999998</v>
      </c>
      <c r="E2073">
        <v>0.49723430000000002</v>
      </c>
      <c r="F2073" t="s">
        <v>41</v>
      </c>
      <c r="G2073">
        <v>-191.494</v>
      </c>
      <c r="H2073" s="1">
        <v>-1.1686239999999999E-6</v>
      </c>
      <c r="I2073">
        <v>321.38659999999999</v>
      </c>
      <c r="J2073">
        <v>-191.75219999999999</v>
      </c>
      <c r="K2073">
        <v>1.1206560000000001</v>
      </c>
      <c r="L2073">
        <v>350.0455</v>
      </c>
      <c r="M2073">
        <v>0.18601960000000001</v>
      </c>
      <c r="N2073">
        <v>-1.2192690000000001E-2</v>
      </c>
      <c r="O2073">
        <v>-0.98247050000000002</v>
      </c>
      <c r="P2073">
        <v>4.5550469999999996E-3</v>
      </c>
      <c r="Q2073">
        <v>0.1062456</v>
      </c>
      <c r="R2073">
        <v>-0.99432980000000004</v>
      </c>
      <c r="S2073">
        <v>2.8305049999999998E-2</v>
      </c>
      <c r="T2073">
        <v>-0.1181445</v>
      </c>
      <c r="U2073">
        <v>-3.0298769999999999</v>
      </c>
      <c r="V2073">
        <v>0.1807436</v>
      </c>
      <c r="W2073">
        <v>0.1177916</v>
      </c>
      <c r="X2073">
        <v>0.97645119999999996</v>
      </c>
      <c r="Y2073">
        <v>0.17679320000000001</v>
      </c>
      <c r="Z2073">
        <v>2.5460590000000002E-2</v>
      </c>
      <c r="AA2073">
        <v>0.98391870000000003</v>
      </c>
      <c r="AB2073">
        <v>8</v>
      </c>
      <c r="AC2073">
        <v>0.25819999999995902</v>
      </c>
      <c r="AD2073">
        <v>-1.1206571686240001</v>
      </c>
      <c r="AE2073">
        <v>-28.658899999999999</v>
      </c>
      <c r="AF2073">
        <v>5.0700682383917997</v>
      </c>
      <c r="AG2073">
        <v>-1.1206571686240001</v>
      </c>
      <c r="AH2073">
        <v>28.163586921412598</v>
      </c>
      <c r="AI2073">
        <v>92.2426417408265</v>
      </c>
      <c r="AJ2073">
        <v>79.794799435499002</v>
      </c>
      <c r="AK2073">
        <v>28.6382452798962</v>
      </c>
      <c r="AL2073">
        <v>83.235333574250504</v>
      </c>
      <c r="AM2073">
        <v>79.513101119548907</v>
      </c>
      <c r="AN2073">
        <v>1.00000002797647</v>
      </c>
    </row>
    <row r="2074" spans="1:40" x14ac:dyDescent="0.25">
      <c r="A2074" t="str">
        <f>"20190303161914240"</f>
        <v>20190303161914240</v>
      </c>
      <c r="B2074" t="str">
        <f>"1551601154234122"</f>
        <v>1551601154234122</v>
      </c>
      <c r="C2074" t="s">
        <v>40</v>
      </c>
      <c r="D2074">
        <v>4.7652789999999996</v>
      </c>
      <c r="E2074">
        <v>0.49798500000000001</v>
      </c>
      <c r="F2074" t="s">
        <v>41</v>
      </c>
      <c r="G2074">
        <v>-191.45580000000001</v>
      </c>
      <c r="H2074" s="1">
        <v>-1.2228340000000001E-6</v>
      </c>
      <c r="I2074">
        <v>321.53660000000002</v>
      </c>
      <c r="J2074">
        <v>-191.74199999999999</v>
      </c>
      <c r="K2074">
        <v>1.1206860000000001</v>
      </c>
      <c r="L2074">
        <v>349.96370000000002</v>
      </c>
      <c r="M2074">
        <v>0.18167240000000001</v>
      </c>
      <c r="N2074">
        <v>-1.218734E-2</v>
      </c>
      <c r="O2074">
        <v>-0.98328349999999998</v>
      </c>
      <c r="P2074">
        <v>7.1326159999999996E-3</v>
      </c>
      <c r="Q2074">
        <v>0.10517070000000001</v>
      </c>
      <c r="R2074">
        <v>-0.9944286</v>
      </c>
      <c r="S2074">
        <v>3.1494139999999997E-2</v>
      </c>
      <c r="T2074">
        <v>-0.11909459999999999</v>
      </c>
      <c r="U2074">
        <v>-3.0296940000000001</v>
      </c>
      <c r="V2074">
        <v>0.173890299999999</v>
      </c>
      <c r="W2074">
        <v>0.1167535</v>
      </c>
      <c r="X2074">
        <v>0.97781940000000001</v>
      </c>
      <c r="Y2074">
        <v>0.1714029</v>
      </c>
      <c r="Z2074">
        <v>2.58379E-2</v>
      </c>
      <c r="AA2074">
        <v>0.98486209999999996</v>
      </c>
      <c r="AB2074">
        <v>8</v>
      </c>
      <c r="AC2074">
        <v>0.286200000000008</v>
      </c>
      <c r="AD2074">
        <v>-1.1206872228339999</v>
      </c>
      <c r="AE2074">
        <v>-28.427099999999999</v>
      </c>
      <c r="AF2074">
        <v>4.8757897016924501</v>
      </c>
      <c r="AG2074">
        <v>-1.1206872228339999</v>
      </c>
      <c r="AH2074">
        <v>27.962520686302501</v>
      </c>
      <c r="AI2074">
        <v>92.261004116709302</v>
      </c>
      <c r="AJ2074">
        <v>80.108851635071403</v>
      </c>
      <c r="AK2074">
        <v>28.406545516807402</v>
      </c>
      <c r="AL2074">
        <v>83.295225388367001</v>
      </c>
      <c r="AM2074">
        <v>79.916235995270597</v>
      </c>
      <c r="AN2074">
        <v>0.99999999760635006</v>
      </c>
    </row>
    <row r="2075" spans="1:40" x14ac:dyDescent="0.25">
      <c r="A2075" t="str">
        <f>"20190303161914262"</f>
        <v>20190303161914262</v>
      </c>
      <c r="B2075" t="str">
        <f>"1551601154254619"</f>
        <v>1551601154254619</v>
      </c>
      <c r="C2075" t="s">
        <v>40</v>
      </c>
      <c r="D2075">
        <v>4.8127709999999997</v>
      </c>
      <c r="E2075">
        <v>0.49829709999999999</v>
      </c>
      <c r="F2075" t="s">
        <v>41</v>
      </c>
      <c r="G2075">
        <v>-191.43109999999999</v>
      </c>
      <c r="H2075" s="1">
        <v>-1.1866669999999999E-6</v>
      </c>
      <c r="I2075">
        <v>321.46769999999998</v>
      </c>
      <c r="J2075">
        <v>-191.7329</v>
      </c>
      <c r="K2075">
        <v>1.1207039999999999</v>
      </c>
      <c r="L2075">
        <v>349.8879</v>
      </c>
      <c r="M2075">
        <v>0.17769190000000001</v>
      </c>
      <c r="N2075">
        <v>-1.2182149999999999E-2</v>
      </c>
      <c r="O2075">
        <v>-0.98401079999999996</v>
      </c>
      <c r="P2075">
        <v>9.9793780000000006E-3</v>
      </c>
      <c r="Q2075">
        <v>0.1034566</v>
      </c>
      <c r="R2075">
        <v>-0.99458409999999997</v>
      </c>
      <c r="S2075">
        <v>3.3050540000000003E-2</v>
      </c>
      <c r="T2075">
        <v>-0.1191295</v>
      </c>
      <c r="U2075">
        <v>-3.0291440000000001</v>
      </c>
      <c r="V2075">
        <v>0.1671425</v>
      </c>
      <c r="W2075">
        <v>0.115074499999999</v>
      </c>
      <c r="X2075">
        <v>0.97919420000000001</v>
      </c>
      <c r="Y2075">
        <v>0.166908</v>
      </c>
      <c r="Z2075">
        <v>2.5919299999999999E-2</v>
      </c>
      <c r="AA2075">
        <v>0.9856317</v>
      </c>
      <c r="AB2075">
        <v>8</v>
      </c>
      <c r="AC2075">
        <v>0.301800000000014</v>
      </c>
      <c r="AD2075">
        <v>-1.1207051866669999</v>
      </c>
      <c r="AE2075">
        <v>-28.420200000000001</v>
      </c>
      <c r="AF2075">
        <v>4.7460382119237696</v>
      </c>
      <c r="AG2075">
        <v>-1.1207051866669999</v>
      </c>
      <c r="AH2075">
        <v>27.977988824782599</v>
      </c>
      <c r="AI2075">
        <v>92.261577590256394</v>
      </c>
      <c r="AJ2075">
        <v>80.372297230308305</v>
      </c>
      <c r="AK2075">
        <v>28.3998013638145</v>
      </c>
      <c r="AL2075">
        <v>83.392078011613407</v>
      </c>
      <c r="AM2075">
        <v>80.313316981823505</v>
      </c>
      <c r="AN2075">
        <v>1.0000000185850699</v>
      </c>
    </row>
    <row r="2076" spans="1:40" x14ac:dyDescent="0.25">
      <c r="A2076" t="str">
        <f>"20190303161914285"</f>
        <v>20190303161914285</v>
      </c>
      <c r="B2076" t="str">
        <f>"1551601154274139"</f>
        <v>1551601154274139</v>
      </c>
      <c r="C2076" t="s">
        <v>40</v>
      </c>
      <c r="D2076">
        <v>4.7838779999999996</v>
      </c>
      <c r="E2076">
        <v>0.49871690000000002</v>
      </c>
      <c r="F2076" t="s">
        <v>41</v>
      </c>
      <c r="G2076">
        <v>-191.381</v>
      </c>
      <c r="H2076" s="1">
        <v>-1.6084839999999999E-6</v>
      </c>
      <c r="I2076">
        <v>322.48200000000003</v>
      </c>
      <c r="J2076">
        <v>-191.72309999999999</v>
      </c>
      <c r="K2076">
        <v>1.120722</v>
      </c>
      <c r="L2076">
        <v>349.8048</v>
      </c>
      <c r="M2076">
        <v>0.17336949999999901</v>
      </c>
      <c r="N2076">
        <v>-1.2176899999999999E-2</v>
      </c>
      <c r="O2076">
        <v>-0.98478169999999998</v>
      </c>
      <c r="P2076">
        <v>1.176555E-2</v>
      </c>
      <c r="Q2076">
        <v>0.1025382</v>
      </c>
      <c r="R2076">
        <v>-0.99465979999999998</v>
      </c>
      <c r="S2076">
        <v>3.8894650000000003E-2</v>
      </c>
      <c r="T2076">
        <v>-0.1238567</v>
      </c>
      <c r="U2076">
        <v>-3.0288089999999999</v>
      </c>
      <c r="V2076">
        <v>0.16108210000000001</v>
      </c>
      <c r="W2076">
        <v>0.11418399999999999</v>
      </c>
      <c r="X2076">
        <v>0.98031349999999995</v>
      </c>
      <c r="Y2076">
        <v>0.1606737</v>
      </c>
      <c r="Z2076">
        <v>2.7507980000000001E-2</v>
      </c>
      <c r="AA2076">
        <v>0.98662419999999995</v>
      </c>
      <c r="AB2076">
        <v>8</v>
      </c>
      <c r="AC2076">
        <v>0.342100000000016</v>
      </c>
      <c r="AD2076">
        <v>-1.120723608484</v>
      </c>
      <c r="AE2076">
        <v>-27.322799999999901</v>
      </c>
      <c r="AF2076">
        <v>4.3929821478425399</v>
      </c>
      <c r="AG2076">
        <v>-1.120723608484</v>
      </c>
      <c r="AH2076">
        <v>26.923009151083399</v>
      </c>
      <c r="AI2076">
        <v>92.352597891752495</v>
      </c>
      <c r="AJ2076">
        <v>80.732810976528597</v>
      </c>
      <c r="AK2076">
        <v>27.302064671141601</v>
      </c>
      <c r="AL2076">
        <v>83.443438289597296</v>
      </c>
      <c r="AM2076">
        <v>80.668719111478893</v>
      </c>
      <c r="AN2076">
        <v>0.99999999353933</v>
      </c>
    </row>
    <row r="2077" spans="1:40" x14ac:dyDescent="0.25">
      <c r="A2077" t="str">
        <f>"20190303161914306"</f>
        <v>20190303161914306</v>
      </c>
      <c r="B2077" t="str">
        <f>"1551601154294635"</f>
        <v>1551601154294635</v>
      </c>
      <c r="C2077" t="s">
        <v>40</v>
      </c>
      <c r="D2077">
        <v>4.7965770000000001</v>
      </c>
      <c r="E2077">
        <v>0.4991469</v>
      </c>
      <c r="F2077" t="s">
        <v>41</v>
      </c>
      <c r="G2077">
        <v>-191.3597</v>
      </c>
      <c r="H2077" s="1">
        <v>-1.7209450000000001E-6</v>
      </c>
      <c r="I2077">
        <v>322.75740000000002</v>
      </c>
      <c r="J2077">
        <v>-191.7148</v>
      </c>
      <c r="K2077">
        <v>1.120733</v>
      </c>
      <c r="L2077">
        <v>349.73140000000001</v>
      </c>
      <c r="M2077">
        <v>0.16958679999999901</v>
      </c>
      <c r="N2077">
        <v>-1.217319E-2</v>
      </c>
      <c r="O2077">
        <v>-0.98544019999999999</v>
      </c>
      <c r="P2077">
        <v>1.3518820000000001E-2</v>
      </c>
      <c r="Q2077">
        <v>0.10356310000000001</v>
      </c>
      <c r="R2077">
        <v>-0.99453119999999995</v>
      </c>
      <c r="S2077">
        <v>4.0695189999999999E-2</v>
      </c>
      <c r="T2077">
        <v>-0.12549009999999999</v>
      </c>
      <c r="U2077">
        <v>-3.0285639999999998</v>
      </c>
      <c r="V2077">
        <v>0.1555617</v>
      </c>
      <c r="W2077">
        <v>0.1152275</v>
      </c>
      <c r="X2077">
        <v>0.98108269999999997</v>
      </c>
      <c r="Y2077">
        <v>0.15629599999999999</v>
      </c>
      <c r="Z2077">
        <v>2.809292E-2</v>
      </c>
      <c r="AA2077">
        <v>0.98731060000000004</v>
      </c>
      <c r="AB2077">
        <v>8</v>
      </c>
      <c r="AC2077">
        <v>0.35509999999999298</v>
      </c>
      <c r="AD2077">
        <v>-1.120734720945</v>
      </c>
      <c r="AE2077">
        <v>-26.973999999999901</v>
      </c>
      <c r="AF2077">
        <v>4.2175375758812397</v>
      </c>
      <c r="AG2077">
        <v>-1.120734720945</v>
      </c>
      <c r="AH2077">
        <v>26.597547725922698</v>
      </c>
      <c r="AI2077">
        <v>92.383092402624598</v>
      </c>
      <c r="AJ2077">
        <v>80.989703427893801</v>
      </c>
      <c r="AK2077">
        <v>26.953167059761999</v>
      </c>
      <c r="AL2077">
        <v>83.383253207846295</v>
      </c>
      <c r="AM2077">
        <v>80.990117689748899</v>
      </c>
      <c r="AN2077">
        <v>1.00000004175121</v>
      </c>
    </row>
    <row r="2078" spans="1:40" x14ac:dyDescent="0.25">
      <c r="A2078" t="str">
        <f>"20190303161914330"</f>
        <v>20190303161914330</v>
      </c>
      <c r="B2078" t="str">
        <f>"1551601154324891"</f>
        <v>1551601154324891</v>
      </c>
      <c r="C2078" t="s">
        <v>40</v>
      </c>
      <c r="D2078">
        <v>4.8372260000000002</v>
      </c>
      <c r="E2078">
        <v>0.49980289999999999</v>
      </c>
      <c r="F2078" t="s">
        <v>41</v>
      </c>
      <c r="G2078">
        <v>-191.3219</v>
      </c>
      <c r="H2078" s="1">
        <v>-1.193495E-6</v>
      </c>
      <c r="I2078">
        <v>321.55130000000003</v>
      </c>
      <c r="J2078">
        <v>-191.70570000000001</v>
      </c>
      <c r="K2078">
        <v>1.120735</v>
      </c>
      <c r="L2078">
        <v>349.64830000000001</v>
      </c>
      <c r="M2078">
        <v>0.16532060000000001</v>
      </c>
      <c r="N2078">
        <v>-1.217064E-2</v>
      </c>
      <c r="O2078">
        <v>-0.98616479999999995</v>
      </c>
      <c r="P2078">
        <v>1.462832E-2</v>
      </c>
      <c r="Q2078">
        <v>0.1052833</v>
      </c>
      <c r="R2078">
        <v>-0.99433459999999996</v>
      </c>
      <c r="S2078">
        <v>4.2221069999999999E-2</v>
      </c>
      <c r="T2078">
        <v>-0.1204435</v>
      </c>
      <c r="U2078">
        <v>-3.028473</v>
      </c>
      <c r="V2078">
        <v>0.1501864</v>
      </c>
      <c r="W2078">
        <v>0.11696189999999999</v>
      </c>
      <c r="X2078">
        <v>0.9817148</v>
      </c>
      <c r="Y2078">
        <v>0.15152470000000001</v>
      </c>
      <c r="Z2078">
        <v>2.6538030000000001E-2</v>
      </c>
      <c r="AA2078">
        <v>0.98809709999999995</v>
      </c>
      <c r="AB2078">
        <v>8</v>
      </c>
      <c r="AC2078">
        <v>0.38380000000000702</v>
      </c>
      <c r="AD2078">
        <v>-1.120736193495</v>
      </c>
      <c r="AE2078">
        <v>-28.096999999999898</v>
      </c>
      <c r="AF2078">
        <v>4.2600620351344096</v>
      </c>
      <c r="AG2078">
        <v>-1.120736193495</v>
      </c>
      <c r="AH2078">
        <v>27.7296676001422</v>
      </c>
      <c r="AI2078">
        <v>92.287625955367204</v>
      </c>
      <c r="AJ2078">
        <v>81.266030948153599</v>
      </c>
      <c r="AK2078">
        <v>28.077368882660299</v>
      </c>
      <c r="AL2078">
        <v>83.283202555761505</v>
      </c>
      <c r="AM2078">
        <v>81.302114265147296</v>
      </c>
      <c r="AN2078">
        <v>0.99999999466780498</v>
      </c>
    </row>
    <row r="2079" spans="1:40" x14ac:dyDescent="0.25">
      <c r="A2079" t="str">
        <f>"20190303161914355"</f>
        <v>20190303161914355</v>
      </c>
      <c r="B2079" t="str">
        <f>"1551601154344412"</f>
        <v>1551601154344412</v>
      </c>
      <c r="C2079" t="s">
        <v>40</v>
      </c>
      <c r="D2079">
        <v>4.8822869999999998</v>
      </c>
      <c r="E2079">
        <v>0.50020279999999995</v>
      </c>
      <c r="F2079" t="s">
        <v>41</v>
      </c>
      <c r="G2079">
        <v>-191.31739999999999</v>
      </c>
      <c r="H2079" s="1">
        <v>-5.0730270000000005E-7</v>
      </c>
      <c r="I2079">
        <v>319.95460000000003</v>
      </c>
      <c r="J2079">
        <v>-191.69659999999999</v>
      </c>
      <c r="K2079">
        <v>1.1207199999999999</v>
      </c>
      <c r="L2079">
        <v>349.56199999999899</v>
      </c>
      <c r="M2079">
        <v>0.16089110000000001</v>
      </c>
      <c r="N2079">
        <v>-1.2169610000000001E-2</v>
      </c>
      <c r="O2079">
        <v>-0.98689720000000003</v>
      </c>
      <c r="P2079">
        <v>1.562144E-2</v>
      </c>
      <c r="Q2079">
        <v>0.1074335</v>
      </c>
      <c r="R2079">
        <v>-0.99408960000000002</v>
      </c>
      <c r="S2079">
        <v>3.9596560000000003E-2</v>
      </c>
      <c r="T2079">
        <v>-0.1143086</v>
      </c>
      <c r="U2079">
        <v>-3.0285950000000001</v>
      </c>
      <c r="V2079">
        <v>0.14475969999999999</v>
      </c>
      <c r="W2079">
        <v>0.11912250000000001</v>
      </c>
      <c r="X2079">
        <v>0.98227010000000003</v>
      </c>
      <c r="Y2079">
        <v>0.14794479999999999</v>
      </c>
      <c r="Z2079">
        <v>2.461963E-2</v>
      </c>
      <c r="AA2079">
        <v>0.98868909999999999</v>
      </c>
      <c r="AB2079">
        <v>8</v>
      </c>
      <c r="AC2079">
        <v>0.37919999999999698</v>
      </c>
      <c r="AD2079">
        <v>-1.1207205073027</v>
      </c>
      <c r="AE2079">
        <v>-29.607399999999899</v>
      </c>
      <c r="AF2079">
        <v>4.38338091685074</v>
      </c>
      <c r="AG2079">
        <v>-1.1207205073027</v>
      </c>
      <c r="AH2079">
        <v>29.2407465364217</v>
      </c>
      <c r="AI2079">
        <v>92.170690627443804</v>
      </c>
      <c r="AJ2079">
        <v>81.474468087640005</v>
      </c>
      <c r="AK2079">
        <v>29.588702248070302</v>
      </c>
      <c r="AL2079">
        <v>83.158538030235107</v>
      </c>
      <c r="AM2079">
        <v>81.616517089182807</v>
      </c>
      <c r="AN2079">
        <v>1.00000004505217</v>
      </c>
    </row>
    <row r="2080" spans="1:40" x14ac:dyDescent="0.25">
      <c r="A2080" t="str">
        <f>"20190303161914381"</f>
        <v>20190303161914381</v>
      </c>
      <c r="B2080" t="str">
        <f>"1551601154374667"</f>
        <v>1551601154374667</v>
      </c>
      <c r="C2080" t="s">
        <v>40</v>
      </c>
      <c r="D2080">
        <v>4.8978849999999996</v>
      </c>
      <c r="E2080">
        <v>0.50083500000000003</v>
      </c>
      <c r="F2080" t="s">
        <v>41</v>
      </c>
      <c r="G2080">
        <v>-191.2912</v>
      </c>
      <c r="H2080" s="1">
        <v>-4.1677750000000001E-6</v>
      </c>
      <c r="I2080">
        <v>317.68169999999998</v>
      </c>
      <c r="J2080">
        <v>-191.68719999999999</v>
      </c>
      <c r="K2080">
        <v>1.1206989999999999</v>
      </c>
      <c r="L2080">
        <v>349.46899999999999</v>
      </c>
      <c r="M2080">
        <v>0.15611329999999901</v>
      </c>
      <c r="N2080">
        <v>-1.217007E-2</v>
      </c>
      <c r="O2080">
        <v>-0.98766430000000005</v>
      </c>
      <c r="P2080">
        <v>1.656614E-2</v>
      </c>
      <c r="Q2080">
        <v>0.10836079999999999</v>
      </c>
      <c r="R2080">
        <v>-0.99397380000000002</v>
      </c>
      <c r="S2080">
        <v>3.8513180000000001E-2</v>
      </c>
      <c r="T2080">
        <v>-0.10647189999999999</v>
      </c>
      <c r="U2080">
        <v>-3.0287169999999999</v>
      </c>
      <c r="V2080">
        <v>0.13905509999999999</v>
      </c>
      <c r="W2080">
        <v>0.12006219999999999</v>
      </c>
      <c r="X2080">
        <v>0.98297950000000001</v>
      </c>
      <c r="Y2080">
        <v>0.14351429999999901</v>
      </c>
      <c r="Z2080">
        <v>2.2150349999999999E-2</v>
      </c>
      <c r="AA2080">
        <v>0.98940030000000001</v>
      </c>
      <c r="AB2080">
        <v>8</v>
      </c>
      <c r="AC2080">
        <v>0.39599999999998597</v>
      </c>
      <c r="AD2080">
        <v>-1.1207031677749999</v>
      </c>
      <c r="AE2080">
        <v>-31.787299999999998</v>
      </c>
      <c r="AF2080">
        <v>4.5659685960910599</v>
      </c>
      <c r="AG2080">
        <v>-1.1207031677749999</v>
      </c>
      <c r="AH2080">
        <v>31.4202786744079</v>
      </c>
      <c r="AI2080">
        <v>92.021552571125</v>
      </c>
      <c r="AJ2080">
        <v>81.731703454836705</v>
      </c>
      <c r="AK2080">
        <v>31.770079584228299</v>
      </c>
      <c r="AL2080">
        <v>83.104307496946006</v>
      </c>
      <c r="AM2080">
        <v>81.948201182781602</v>
      </c>
      <c r="AN2080">
        <v>0.99999997506254901</v>
      </c>
    </row>
    <row r="2081" spans="1:40" x14ac:dyDescent="0.25">
      <c r="A2081" t="str">
        <f>"20190303161914397"</f>
        <v>20190303161914397</v>
      </c>
      <c r="B2081" t="str">
        <f>"1551601154384427"</f>
        <v>1551601154384427</v>
      </c>
      <c r="C2081" t="s">
        <v>40</v>
      </c>
      <c r="D2081">
        <v>5.1059809999999999</v>
      </c>
      <c r="E2081">
        <v>0.50098290000000001</v>
      </c>
      <c r="F2081" t="s">
        <v>41</v>
      </c>
      <c r="G2081">
        <v>-191.3082</v>
      </c>
      <c r="H2081" s="1">
        <v>-3.7106730000000002E-6</v>
      </c>
      <c r="I2081">
        <v>316.70510000000002</v>
      </c>
      <c r="J2081">
        <v>-191.6816</v>
      </c>
      <c r="K2081">
        <v>1.120681</v>
      </c>
      <c r="L2081">
        <v>349.41149999999999</v>
      </c>
      <c r="M2081">
        <v>0.1531507</v>
      </c>
      <c r="N2081">
        <v>-1.2171039999999999E-2</v>
      </c>
      <c r="O2081">
        <v>-0.98812789999999995</v>
      </c>
      <c r="P2081">
        <v>1.8992419999999999E-2</v>
      </c>
      <c r="Q2081">
        <v>0.1079381</v>
      </c>
      <c r="R2081">
        <v>-0.99397619999999998</v>
      </c>
      <c r="S2081">
        <v>3.5034179999999998E-2</v>
      </c>
      <c r="T2081">
        <v>-0.1036049</v>
      </c>
      <c r="U2081">
        <v>-3.0289000000000001</v>
      </c>
      <c r="V2081">
        <v>0.13370870000000001</v>
      </c>
      <c r="W2081">
        <v>0.1196556</v>
      </c>
      <c r="X2081">
        <v>0.98377049999999999</v>
      </c>
      <c r="Y2081">
        <v>0.14168439999999999</v>
      </c>
      <c r="Z2081">
        <v>2.1251599999999999E-2</v>
      </c>
      <c r="AA2081">
        <v>0.98968370000000006</v>
      </c>
      <c r="AB2081">
        <v>8</v>
      </c>
      <c r="AC2081">
        <v>0.37340000000000301</v>
      </c>
      <c r="AD2081">
        <v>-1.120684710673</v>
      </c>
      <c r="AE2081">
        <v>-32.706399999999903</v>
      </c>
      <c r="AF2081">
        <v>4.6349436357481304</v>
      </c>
      <c r="AG2081">
        <v>-1.120684710673</v>
      </c>
      <c r="AH2081">
        <v>32.339725939188597</v>
      </c>
      <c r="AI2081">
        <v>91.964646017089905</v>
      </c>
      <c r="AJ2081">
        <v>81.843885463534605</v>
      </c>
      <c r="AK2081">
        <v>32.689394465929297</v>
      </c>
      <c r="AL2081">
        <v>83.127772870027897</v>
      </c>
      <c r="AM2081">
        <v>82.260097941042105</v>
      </c>
      <c r="AN2081">
        <v>0.99999993786864805</v>
      </c>
    </row>
    <row r="2082" spans="1:40" x14ac:dyDescent="0.25">
      <c r="A2082" t="str">
        <f>"20190303161914419"</f>
        <v>20190303161914419</v>
      </c>
      <c r="B2082" t="str">
        <f>"1551601154404926"</f>
        <v>1551601154404926</v>
      </c>
      <c r="C2082" t="s">
        <v>40</v>
      </c>
      <c r="D2082">
        <v>5.1202540000000001</v>
      </c>
      <c r="E2082">
        <v>0.50129709999999905</v>
      </c>
      <c r="F2082" t="s">
        <v>41</v>
      </c>
      <c r="G2082">
        <v>-191.25290000000001</v>
      </c>
      <c r="H2082" s="1">
        <v>-3.8956210000000004E-6</v>
      </c>
      <c r="I2082">
        <v>317.1275</v>
      </c>
      <c r="J2082">
        <v>-191.67439999999999</v>
      </c>
      <c r="K2082">
        <v>1.1206499999999999</v>
      </c>
      <c r="L2082">
        <v>349.334</v>
      </c>
      <c r="M2082">
        <v>0.149142</v>
      </c>
      <c r="N2082">
        <v>-1.2172759999999999E-2</v>
      </c>
      <c r="O2082">
        <v>-0.98874079999999998</v>
      </c>
      <c r="P2082">
        <v>1.971113E-2</v>
      </c>
      <c r="Q2082">
        <v>0.1058311</v>
      </c>
      <c r="R2082">
        <v>-0.99418899999999999</v>
      </c>
      <c r="S2082">
        <v>4.0222170000000002E-2</v>
      </c>
      <c r="T2082">
        <v>-0.1051421</v>
      </c>
      <c r="U2082">
        <v>-3.02887</v>
      </c>
      <c r="V2082">
        <v>0.12903419999999999</v>
      </c>
      <c r="W2082">
        <v>0.1175643</v>
      </c>
      <c r="X2082">
        <v>0.98464660000000004</v>
      </c>
      <c r="Y2082">
        <v>0.13597379999999901</v>
      </c>
      <c r="Z2082">
        <v>2.1792180000000001E-2</v>
      </c>
      <c r="AA2082">
        <v>0.99047269999999998</v>
      </c>
      <c r="AB2082">
        <v>8</v>
      </c>
      <c r="AC2082">
        <v>0.42149999999998</v>
      </c>
      <c r="AD2082">
        <v>-1.1206538956209999</v>
      </c>
      <c r="AE2082">
        <v>-32.206499999999998</v>
      </c>
      <c r="AF2082">
        <v>4.3816087226110199</v>
      </c>
      <c r="AG2082">
        <v>-1.1206538956209999</v>
      </c>
      <c r="AH2082">
        <v>31.8705292189271</v>
      </c>
      <c r="AI2082">
        <v>91.995093509005798</v>
      </c>
      <c r="AJ2082">
        <v>82.171962808497796</v>
      </c>
      <c r="AK2082">
        <v>32.189827474628103</v>
      </c>
      <c r="AL2082">
        <v>83.248448230931999</v>
      </c>
      <c r="AM2082">
        <v>82.534148858473202</v>
      </c>
      <c r="AN2082">
        <v>1.0000000581478401</v>
      </c>
    </row>
    <row r="2083" spans="1:40" x14ac:dyDescent="0.25">
      <c r="A2083" t="str">
        <f>"20190303161914441"</f>
        <v>20190303161914441</v>
      </c>
      <c r="B2083" t="str">
        <f>"1551601154434203"</f>
        <v>1551601154434203</v>
      </c>
      <c r="C2083" t="s">
        <v>40</v>
      </c>
      <c r="D2083">
        <v>4.9303210000000002</v>
      </c>
      <c r="E2083">
        <v>0.50717990000000002</v>
      </c>
      <c r="F2083" t="s">
        <v>41</v>
      </c>
      <c r="G2083">
        <v>-191.28049999999999</v>
      </c>
      <c r="H2083" s="1">
        <v>-4.8043090000000004E-6</v>
      </c>
      <c r="I2083">
        <v>319.20530000000002</v>
      </c>
      <c r="J2083">
        <v>-191.66759999999999</v>
      </c>
      <c r="K2083">
        <v>1.1206339999999999</v>
      </c>
      <c r="L2083">
        <v>349.25650000000002</v>
      </c>
      <c r="M2083">
        <v>0.14511760000000001</v>
      </c>
      <c r="N2083">
        <v>-1.21748E-2</v>
      </c>
      <c r="O2083">
        <v>-0.98933959999999999</v>
      </c>
      <c r="P2083">
        <v>2.081181E-2</v>
      </c>
      <c r="Q2083">
        <v>0.1037608</v>
      </c>
      <c r="R2083">
        <v>-0.99438490000000002</v>
      </c>
      <c r="S2083">
        <v>3.9596560000000003E-2</v>
      </c>
      <c r="T2083">
        <v>-0.1126573</v>
      </c>
      <c r="U2083">
        <v>-3.028778</v>
      </c>
      <c r="V2083">
        <v>0.1239603</v>
      </c>
      <c r="W2083">
        <v>0.1155132</v>
      </c>
      <c r="X2083">
        <v>0.98554070000000005</v>
      </c>
      <c r="Y2083">
        <v>0.1321456</v>
      </c>
      <c r="Z2083">
        <v>2.425793E-2</v>
      </c>
      <c r="AA2083">
        <v>0.99093339999999996</v>
      </c>
      <c r="AB2083">
        <v>8</v>
      </c>
      <c r="AC2083">
        <v>0.387100000000003</v>
      </c>
      <c r="AD2083">
        <v>-1.1206388043090001</v>
      </c>
      <c r="AE2083">
        <v>-30.051199999999898</v>
      </c>
      <c r="AF2083">
        <v>3.9727554746251301</v>
      </c>
      <c r="AG2083">
        <v>-1.1206388043090001</v>
      </c>
      <c r="AH2083">
        <v>29.7478612291536</v>
      </c>
      <c r="AI2083">
        <v>92.138415741368405</v>
      </c>
      <c r="AJ2083">
        <v>82.393294828047402</v>
      </c>
      <c r="AK2083">
        <v>30.0328797337163</v>
      </c>
      <c r="AL2083">
        <v>83.366773241192107</v>
      </c>
      <c r="AM2083">
        <v>82.831042485105897</v>
      </c>
      <c r="AN2083">
        <v>0.99999996335340902</v>
      </c>
    </row>
    <row r="2084" spans="1:40" x14ac:dyDescent="0.25">
      <c r="A2084" t="str">
        <f>"20190303161914463"</f>
        <v>20190303161914463</v>
      </c>
      <c r="B2084" t="str">
        <f>"1551601154454700"</f>
        <v>1551601154454700</v>
      </c>
      <c r="C2084" t="s">
        <v>40</v>
      </c>
      <c r="D2084">
        <v>5.1473899999999997</v>
      </c>
      <c r="E2084">
        <v>0.50732330000000003</v>
      </c>
      <c r="F2084" t="s">
        <v>41</v>
      </c>
      <c r="G2084">
        <v>-191.7079</v>
      </c>
      <c r="H2084" s="1">
        <v>-2.7412690000000001E-6</v>
      </c>
      <c r="I2084">
        <v>324.91980000000001</v>
      </c>
      <c r="J2084">
        <v>-191.661</v>
      </c>
      <c r="K2084">
        <v>1.1206259999999999</v>
      </c>
      <c r="L2084">
        <v>349.17849999999999</v>
      </c>
      <c r="M2084">
        <v>0.1410593</v>
      </c>
      <c r="N2084">
        <v>-1.21767E-2</v>
      </c>
      <c r="O2084">
        <v>-0.98992619999999998</v>
      </c>
      <c r="P2084">
        <v>2.256261E-2</v>
      </c>
      <c r="Q2084">
        <v>0.1026775</v>
      </c>
      <c r="R2084">
        <v>-0.99445870000000003</v>
      </c>
      <c r="S2084">
        <v>-5.020142E-3</v>
      </c>
      <c r="T2084">
        <v>-0.13959769999999999</v>
      </c>
      <c r="U2084">
        <v>-3.0316160000000001</v>
      </c>
      <c r="V2084">
        <v>0.11818960000000001</v>
      </c>
      <c r="W2084">
        <v>0.1144512</v>
      </c>
      <c r="X2084">
        <v>0.98637319999999995</v>
      </c>
      <c r="Y2084">
        <v>0.14265649999999999</v>
      </c>
      <c r="Z2084">
        <v>3.2904889999999999E-2</v>
      </c>
      <c r="AA2084">
        <v>0.98922509999999997</v>
      </c>
      <c r="AB2084">
        <v>8</v>
      </c>
      <c r="AC2084">
        <v>-4.6900000000022098E-2</v>
      </c>
      <c r="AD2084">
        <v>-1.1206287412689999</v>
      </c>
      <c r="AE2084">
        <v>-24.258699999999902</v>
      </c>
      <c r="AF2084">
        <v>3.4612140442647901</v>
      </c>
      <c r="AG2084">
        <v>-1.1206287412689999</v>
      </c>
      <c r="AH2084">
        <v>23.9583622524984</v>
      </c>
      <c r="AI2084">
        <v>92.650524846819593</v>
      </c>
      <c r="AJ2084">
        <v>81.779474874600595</v>
      </c>
      <c r="AK2084">
        <v>24.233013292983401</v>
      </c>
      <c r="AL2084">
        <v>83.428027702477095</v>
      </c>
      <c r="AM2084">
        <v>83.167258313946206</v>
      </c>
      <c r="AN2084">
        <v>0.99999997420391895</v>
      </c>
    </row>
    <row r="2085" spans="1:40" x14ac:dyDescent="0.25">
      <c r="A2085" t="str">
        <f>"20190303161914485"</f>
        <v>20190303161914485</v>
      </c>
      <c r="B2085" t="str">
        <f>"1551601154474219"</f>
        <v>1551601154474219</v>
      </c>
      <c r="C2085" t="s">
        <v>40</v>
      </c>
      <c r="D2085">
        <v>5.1018670000000004</v>
      </c>
      <c r="E2085">
        <v>0.50070729999999997</v>
      </c>
      <c r="F2085" t="s">
        <v>41</v>
      </c>
      <c r="G2085">
        <v>-191.673</v>
      </c>
      <c r="H2085" s="1">
        <v>-2.8536059999999998E-6</v>
      </c>
      <c r="I2085">
        <v>325.20330000000001</v>
      </c>
      <c r="J2085">
        <v>-191.65469999999999</v>
      </c>
      <c r="K2085">
        <v>1.120625</v>
      </c>
      <c r="L2085">
        <v>349.10019999999997</v>
      </c>
      <c r="M2085">
        <v>0.13697970000000001</v>
      </c>
      <c r="N2085">
        <v>-1.217823E-2</v>
      </c>
      <c r="O2085">
        <v>-0.99049909999999997</v>
      </c>
      <c r="P2085">
        <v>2.3844489999999999E-2</v>
      </c>
      <c r="Q2085">
        <v>0.1029586</v>
      </c>
      <c r="R2085">
        <v>-0.9943999</v>
      </c>
      <c r="S2085">
        <v>-1.525879E-3</v>
      </c>
      <c r="T2085">
        <v>-0.1416885</v>
      </c>
      <c r="U2085">
        <v>-3.031342</v>
      </c>
      <c r="V2085">
        <v>0.1128432</v>
      </c>
      <c r="W2085">
        <v>0.11475100000000001</v>
      </c>
      <c r="X2085">
        <v>0.98696430000000002</v>
      </c>
      <c r="Y2085">
        <v>0.1374379</v>
      </c>
      <c r="Z2085">
        <v>3.3639839999999997E-2</v>
      </c>
      <c r="AA2085">
        <v>0.98993900000000001</v>
      </c>
      <c r="AB2085">
        <v>8</v>
      </c>
      <c r="AC2085">
        <v>-1.8300000000010599E-2</v>
      </c>
      <c r="AD2085">
        <v>-1.1206278536059999</v>
      </c>
      <c r="AE2085">
        <v>-23.896899999999899</v>
      </c>
      <c r="AF2085">
        <v>3.2845371480715699</v>
      </c>
      <c r="AG2085">
        <v>-1.1206278536059999</v>
      </c>
      <c r="AH2085">
        <v>23.6171680616769</v>
      </c>
      <c r="AI2085">
        <v>92.690772023487398</v>
      </c>
      <c r="AJ2085">
        <v>82.082424776392898</v>
      </c>
      <c r="AK2085">
        <v>23.870790064780699</v>
      </c>
      <c r="AL2085">
        <v>83.410736376231696</v>
      </c>
      <c r="AM2085">
        <v>83.477488926388205</v>
      </c>
      <c r="AN2085">
        <v>0.999999954630864</v>
      </c>
    </row>
    <row r="2086" spans="1:40" x14ac:dyDescent="0.25">
      <c r="A2086" t="str">
        <f>"20190303161914507"</f>
        <v>20190303161914507</v>
      </c>
      <c r="B2086" t="str">
        <f>"1551601154494715"</f>
        <v>1551601154494715</v>
      </c>
      <c r="C2086" t="s">
        <v>40</v>
      </c>
      <c r="D2086">
        <v>5.1559410000000003</v>
      </c>
      <c r="E2086">
        <v>0.49694929999999898</v>
      </c>
      <c r="F2086" t="s">
        <v>41</v>
      </c>
      <c r="G2086">
        <v>-191.24590000000001</v>
      </c>
      <c r="H2086" s="1">
        <v>-3.128717E-6</v>
      </c>
      <c r="I2086">
        <v>326.10950000000003</v>
      </c>
      <c r="J2086">
        <v>-191.64879999999999</v>
      </c>
      <c r="K2086">
        <v>1.1206309999999999</v>
      </c>
      <c r="L2086">
        <v>349.0213</v>
      </c>
      <c r="M2086">
        <v>0.13286329999999999</v>
      </c>
      <c r="N2086">
        <v>-1.2179489999999999E-2</v>
      </c>
      <c r="O2086">
        <v>-0.99105969999999999</v>
      </c>
      <c r="P2086">
        <v>2.4488059999999999E-2</v>
      </c>
      <c r="Q2086">
        <v>0.10404289999999899</v>
      </c>
      <c r="R2086">
        <v>-0.99427169999999998</v>
      </c>
      <c r="S2086">
        <v>5.3894039999999997E-2</v>
      </c>
      <c r="T2086">
        <v>-0.14773459999999999</v>
      </c>
      <c r="U2086">
        <v>-3.0309140000000001</v>
      </c>
      <c r="V2086">
        <v>0.1080837</v>
      </c>
      <c r="W2086">
        <v>0.1158513</v>
      </c>
      <c r="X2086">
        <v>0.98736840000000003</v>
      </c>
      <c r="Y2086">
        <v>0.1151992</v>
      </c>
      <c r="Z2086">
        <v>3.5717770000000003E-2</v>
      </c>
      <c r="AA2086">
        <v>0.99270000000000003</v>
      </c>
      <c r="AB2086">
        <v>8</v>
      </c>
      <c r="AC2086">
        <v>0.40289999999998799</v>
      </c>
      <c r="AD2086">
        <v>-1.1206341287170001</v>
      </c>
      <c r="AE2086">
        <v>-22.9117999999999</v>
      </c>
      <c r="AF2086">
        <v>2.6387245860567901</v>
      </c>
      <c r="AG2086">
        <v>-1.1206341287170001</v>
      </c>
      <c r="AH2086">
        <v>22.707870438372101</v>
      </c>
      <c r="AI2086">
        <v>92.806402842654805</v>
      </c>
      <c r="AJ2086">
        <v>83.371780981243703</v>
      </c>
      <c r="AK2086">
        <v>22.888120677272699</v>
      </c>
      <c r="AL2086">
        <v>83.347270737319306</v>
      </c>
      <c r="AM2086">
        <v>83.752908724976606</v>
      </c>
      <c r="AN2086">
        <v>0.99999998361796905</v>
      </c>
    </row>
    <row r="2087" spans="1:40" x14ac:dyDescent="0.25">
      <c r="A2087" t="str">
        <f>"20190303161914530"</f>
        <v>20190303161914530</v>
      </c>
      <c r="B2087" t="str">
        <f>"1551601154524970"</f>
        <v>1551601154524970</v>
      </c>
      <c r="C2087" t="s">
        <v>40</v>
      </c>
      <c r="D2087">
        <v>5.1466890000000003</v>
      </c>
      <c r="E2087">
        <v>0.4939462</v>
      </c>
      <c r="F2087" t="s">
        <v>41</v>
      </c>
      <c r="G2087">
        <v>-190.9922</v>
      </c>
      <c r="H2087" s="1">
        <v>-2.896986E-6</v>
      </c>
      <c r="I2087">
        <v>325.72669999999999</v>
      </c>
      <c r="J2087">
        <v>-191.643</v>
      </c>
      <c r="K2087">
        <v>1.120638</v>
      </c>
      <c r="L2087">
        <v>348.94040000000001</v>
      </c>
      <c r="M2087">
        <v>0.12864439999999999</v>
      </c>
      <c r="N2087">
        <v>-1.218032E-2</v>
      </c>
      <c r="O2087">
        <v>-0.9916161</v>
      </c>
      <c r="P2087">
        <v>2.420131E-2</v>
      </c>
      <c r="Q2087">
        <v>0.10462920000000001</v>
      </c>
      <c r="R2087">
        <v>-0.99421709999999996</v>
      </c>
      <c r="S2087">
        <v>8.54187E-2</v>
      </c>
      <c r="T2087">
        <v>-0.1457832</v>
      </c>
      <c r="U2087">
        <v>-3.0303960000000001</v>
      </c>
      <c r="V2087">
        <v>0.1041532</v>
      </c>
      <c r="W2087">
        <v>0.116451399999999</v>
      </c>
      <c r="X2087">
        <v>0.98772020000000005</v>
      </c>
      <c r="Y2087">
        <v>0.1006411</v>
      </c>
      <c r="Z2087">
        <v>3.5174030000000002E-2</v>
      </c>
      <c r="AA2087">
        <v>0.99430079999999998</v>
      </c>
      <c r="AB2087">
        <v>8</v>
      </c>
      <c r="AC2087">
        <v>0.65080000000000304</v>
      </c>
      <c r="AD2087">
        <v>-1.120640896986</v>
      </c>
      <c r="AE2087">
        <v>-23.213699999999999</v>
      </c>
      <c r="AF2087">
        <v>2.33570313210492</v>
      </c>
      <c r="AG2087">
        <v>-1.120640896986</v>
      </c>
      <c r="AH2087">
        <v>23.0508345443527</v>
      </c>
      <c r="AI2087">
        <v>92.769146515489695</v>
      </c>
      <c r="AJ2087">
        <v>84.214061269603604</v>
      </c>
      <c r="AK2087">
        <v>23.195954783807601</v>
      </c>
      <c r="AL2087">
        <v>83.312653378626806</v>
      </c>
      <c r="AM2087">
        <v>83.980515024128593</v>
      </c>
      <c r="AN2087">
        <v>1.0000000055601199</v>
      </c>
    </row>
    <row r="2088" spans="1:40" x14ac:dyDescent="0.25">
      <c r="A2088" t="str">
        <f>"20190303161914556"</f>
        <v>20190303161914556</v>
      </c>
      <c r="B2088" t="str">
        <f>"1551601154544491"</f>
        <v>1551601154544491</v>
      </c>
      <c r="C2088" t="s">
        <v>40</v>
      </c>
      <c r="D2088">
        <v>5.1403400000000001</v>
      </c>
      <c r="E2088">
        <v>0.4929231</v>
      </c>
      <c r="F2088" t="s">
        <v>41</v>
      </c>
      <c r="G2088">
        <v>-190.82650000000001</v>
      </c>
      <c r="H2088" s="1">
        <v>-2.997227E-6</v>
      </c>
      <c r="I2088">
        <v>326.06310000000002</v>
      </c>
      <c r="J2088">
        <v>-191.6371</v>
      </c>
      <c r="K2088">
        <v>1.120635</v>
      </c>
      <c r="L2088">
        <v>348.85239999999999</v>
      </c>
      <c r="M2088">
        <v>0.1240598</v>
      </c>
      <c r="N2088">
        <v>-1.2180710000000001E-2</v>
      </c>
      <c r="O2088">
        <v>-0.99220010000000003</v>
      </c>
      <c r="P2088">
        <v>2.3114920000000001E-2</v>
      </c>
      <c r="Q2088">
        <v>0.1038833</v>
      </c>
      <c r="R2088">
        <v>-0.99432100000000001</v>
      </c>
      <c r="S2088">
        <v>0.10815429999999999</v>
      </c>
      <c r="T2088">
        <v>-0.1484451</v>
      </c>
      <c r="U2088">
        <v>-3.0304259999999998</v>
      </c>
      <c r="V2088">
        <v>0.1006692</v>
      </c>
      <c r="W2088">
        <v>0.11571919999999999</v>
      </c>
      <c r="X2088">
        <v>0.98816740000000003</v>
      </c>
      <c r="Y2088">
        <v>8.8588890000000003E-2</v>
      </c>
      <c r="Z2088">
        <v>3.6105650000000003E-2</v>
      </c>
      <c r="AA2088">
        <v>0.99541369999999896</v>
      </c>
      <c r="AB2088">
        <v>8</v>
      </c>
      <c r="AC2088">
        <v>0.81059999999999299</v>
      </c>
      <c r="AD2088">
        <v>-1.120637997227</v>
      </c>
      <c r="AE2088">
        <v>-22.789299999999901</v>
      </c>
      <c r="AF2088">
        <v>2.0182343799677298</v>
      </c>
      <c r="AG2088">
        <v>-1.120637997227</v>
      </c>
      <c r="AH2088">
        <v>22.6590689818272</v>
      </c>
      <c r="AI2088">
        <v>92.820194534844703</v>
      </c>
      <c r="AJ2088">
        <v>84.910119062831598</v>
      </c>
      <c r="AK2088">
        <v>22.776358502985399</v>
      </c>
      <c r="AL2088">
        <v>83.354890974622293</v>
      </c>
      <c r="AM2088">
        <v>84.183081107362</v>
      </c>
      <c r="AN2088">
        <v>1.00000001575002</v>
      </c>
    </row>
    <row r="2089" spans="1:40" x14ac:dyDescent="0.25">
      <c r="A2089" t="str">
        <f>"20190303161914576"</f>
        <v>20190303161914576</v>
      </c>
      <c r="B2089" t="str">
        <f>"1551601154564987"</f>
        <v>1551601154564987</v>
      </c>
      <c r="C2089" t="s">
        <v>40</v>
      </c>
      <c r="D2089">
        <v>5.202814</v>
      </c>
      <c r="E2089">
        <v>0.4922356</v>
      </c>
      <c r="F2089" t="s">
        <v>41</v>
      </c>
      <c r="G2089">
        <v>-190.8124</v>
      </c>
      <c r="H2089" s="1">
        <v>-3.2497430000000001E-6</v>
      </c>
      <c r="I2089">
        <v>326.66050000000001</v>
      </c>
      <c r="J2089">
        <v>-191.63249999999999</v>
      </c>
      <c r="K2089">
        <v>1.1206370000000001</v>
      </c>
      <c r="L2089">
        <v>348.779</v>
      </c>
      <c r="M2089">
        <v>0.120240899999999</v>
      </c>
      <c r="N2089">
        <v>-1.218085E-2</v>
      </c>
      <c r="O2089">
        <v>-0.9926701</v>
      </c>
      <c r="P2089">
        <v>2.253981E-2</v>
      </c>
      <c r="Q2089">
        <v>0.1023825</v>
      </c>
      <c r="R2089">
        <v>-0.99448999999999999</v>
      </c>
      <c r="S2089">
        <v>0.11262510000000001</v>
      </c>
      <c r="T2089">
        <v>-0.15303410000000001</v>
      </c>
      <c r="U2089">
        <v>-3.0305179999999998</v>
      </c>
      <c r="V2089">
        <v>9.7448380000000001E-2</v>
      </c>
      <c r="W2089">
        <v>0.11423179999999999</v>
      </c>
      <c r="X2089">
        <v>0.98866319999999996</v>
      </c>
      <c r="Y2089">
        <v>8.3292770000000002E-2</v>
      </c>
      <c r="Z2089">
        <v>3.7638560000000001E-2</v>
      </c>
      <c r="AA2089">
        <v>0.99581410000000004</v>
      </c>
      <c r="AB2089">
        <v>8</v>
      </c>
      <c r="AC2089">
        <v>0.82009999999999605</v>
      </c>
      <c r="AD2089">
        <v>-1.1206402497429999</v>
      </c>
      <c r="AE2089">
        <v>-22.118499999999901</v>
      </c>
      <c r="AF2089">
        <v>1.8408773672397101</v>
      </c>
      <c r="AG2089">
        <v>-1.1206402497429999</v>
      </c>
      <c r="AH2089">
        <v>22.000221192853399</v>
      </c>
      <c r="AI2089">
        <v>92.905856349555293</v>
      </c>
      <c r="AJ2089">
        <v>85.216894897877793</v>
      </c>
      <c r="AK2089">
        <v>22.105528642966998</v>
      </c>
      <c r="AL2089">
        <v>83.440681601827706</v>
      </c>
      <c r="AM2089">
        <v>84.370778325759701</v>
      </c>
      <c r="AN2089">
        <v>1.0000000069650501</v>
      </c>
    </row>
    <row r="2090" spans="1:40" x14ac:dyDescent="0.25">
      <c r="A2090" t="str">
        <f>"20190303161914597"</f>
        <v>20190303161914597</v>
      </c>
      <c r="B2090" t="str">
        <f>"1551601154584507"</f>
        <v>1551601154584507</v>
      </c>
      <c r="C2090" t="s">
        <v>40</v>
      </c>
      <c r="D2090">
        <v>5.1382139999999996</v>
      </c>
      <c r="E2090">
        <v>0.49171569999999998</v>
      </c>
      <c r="F2090" t="s">
        <v>41</v>
      </c>
      <c r="G2090">
        <v>-190.81440000000001</v>
      </c>
      <c r="H2090" s="1">
        <v>-3.5492729999999999E-6</v>
      </c>
      <c r="I2090">
        <v>327.35750000000002</v>
      </c>
      <c r="J2090">
        <v>-191.6283</v>
      </c>
      <c r="K2090">
        <v>1.120635</v>
      </c>
      <c r="L2090">
        <v>348.70609999999999</v>
      </c>
      <c r="M2090">
        <v>0.116449499999999</v>
      </c>
      <c r="N2090">
        <v>-1.218088E-2</v>
      </c>
      <c r="O2090">
        <v>-0.9931219</v>
      </c>
      <c r="P2090">
        <v>2.14342E-2</v>
      </c>
      <c r="Q2090">
        <v>0.1009386</v>
      </c>
      <c r="R2090">
        <v>-0.99466169999999998</v>
      </c>
      <c r="S2090">
        <v>0.1157379</v>
      </c>
      <c r="T2090">
        <v>-0.15852649999999999</v>
      </c>
      <c r="U2090">
        <v>-3.0303040000000001</v>
      </c>
      <c r="V2090">
        <v>9.478193E-2</v>
      </c>
      <c r="W2090">
        <v>0.1127987</v>
      </c>
      <c r="X2090">
        <v>0.98908689999999999</v>
      </c>
      <c r="Y2090">
        <v>7.8466190000000005E-2</v>
      </c>
      <c r="Z2090">
        <v>3.946947E-2</v>
      </c>
      <c r="AA2090">
        <v>0.99613510000000005</v>
      </c>
      <c r="AB2090">
        <v>8</v>
      </c>
      <c r="AC2090">
        <v>0.81389999999998897</v>
      </c>
      <c r="AD2090">
        <v>-1.120638549273</v>
      </c>
      <c r="AE2090">
        <v>-21.348599999999902</v>
      </c>
      <c r="AF2090">
        <v>1.6732525178486699</v>
      </c>
      <c r="AG2090">
        <v>-1.120638549273</v>
      </c>
      <c r="AH2090">
        <v>21.2396809729191</v>
      </c>
      <c r="AI2090">
        <v>93.010902373907598</v>
      </c>
      <c r="AJ2090">
        <v>85.495567373897401</v>
      </c>
      <c r="AK2090">
        <v>21.334939713483699</v>
      </c>
      <c r="AL2090">
        <v>83.523326524339694</v>
      </c>
      <c r="AM2090">
        <v>84.526191210999997</v>
      </c>
      <c r="AN2090">
        <v>1.0000000283639101</v>
      </c>
    </row>
    <row r="2091" spans="1:40" x14ac:dyDescent="0.25">
      <c r="A2091" t="str">
        <f>"20190303161914620"</f>
        <v>20190303161914620</v>
      </c>
      <c r="B2091" t="str">
        <f>"1551601154614763"</f>
        <v>1551601154614763</v>
      </c>
      <c r="C2091" t="s">
        <v>40</v>
      </c>
      <c r="D2091">
        <v>4.9508700000000001</v>
      </c>
      <c r="E2091">
        <v>0.49111320000000003</v>
      </c>
      <c r="F2091" t="s">
        <v>41</v>
      </c>
      <c r="G2091">
        <v>-190.8381</v>
      </c>
      <c r="H2091" s="1">
        <v>-3.8573929999999997E-6</v>
      </c>
      <c r="I2091">
        <v>328.06099999999998</v>
      </c>
      <c r="J2091">
        <v>-191.62370000000001</v>
      </c>
      <c r="K2091">
        <v>1.1206309999999999</v>
      </c>
      <c r="L2091">
        <v>348.62310000000002</v>
      </c>
      <c r="M2091">
        <v>0.1121345</v>
      </c>
      <c r="N2091">
        <v>-1.218084E-2</v>
      </c>
      <c r="O2091">
        <v>-0.99361829999999995</v>
      </c>
      <c r="P2091">
        <v>1.9771480000000001E-2</v>
      </c>
      <c r="Q2091">
        <v>0.100435</v>
      </c>
      <c r="R2091">
        <v>-0.99474700000000005</v>
      </c>
      <c r="S2091">
        <v>0.1159821</v>
      </c>
      <c r="T2091">
        <v>-0.16449</v>
      </c>
      <c r="U2091">
        <v>-3.0303339999999999</v>
      </c>
      <c r="V2091">
        <v>9.2138990000000004E-2</v>
      </c>
      <c r="W2091">
        <v>0.112305</v>
      </c>
      <c r="X2091">
        <v>0.98939279999999996</v>
      </c>
      <c r="Y2091">
        <v>7.4059239999999998E-2</v>
      </c>
      <c r="Z2091">
        <v>4.1454379999999999E-2</v>
      </c>
      <c r="AA2091">
        <v>0.9963919</v>
      </c>
      <c r="AB2091">
        <v>8</v>
      </c>
      <c r="AC2091">
        <v>0.78560000000001595</v>
      </c>
      <c r="AD2091">
        <v>-1.1206348573929901</v>
      </c>
      <c r="AE2091">
        <v>-20.562100000000001</v>
      </c>
      <c r="AF2091">
        <v>1.5207371520898201</v>
      </c>
      <c r="AG2091">
        <v>-1.1206348573929901</v>
      </c>
      <c r="AH2091">
        <v>20.459813472008399</v>
      </c>
      <c r="AI2091">
        <v>93.126492372730695</v>
      </c>
      <c r="AJ2091">
        <v>85.749135601975496</v>
      </c>
      <c r="AK2091">
        <v>20.546835067200199</v>
      </c>
      <c r="AL2091">
        <v>83.551794541110198</v>
      </c>
      <c r="AM2091">
        <v>84.679572374382303</v>
      </c>
      <c r="AN2091">
        <v>1.00000005959752</v>
      </c>
    </row>
    <row r="2092" spans="1:40" x14ac:dyDescent="0.25">
      <c r="A2092" t="str">
        <f>"20190303161914642"</f>
        <v>20190303161914642</v>
      </c>
      <c r="B2092" t="str">
        <f>"1551601154634283"</f>
        <v>1551601154634283</v>
      </c>
      <c r="C2092" t="s">
        <v>40</v>
      </c>
      <c r="D2092">
        <v>5.0865200000000002</v>
      </c>
      <c r="E2092">
        <v>0.4907878</v>
      </c>
      <c r="F2092" t="s">
        <v>41</v>
      </c>
      <c r="G2092">
        <v>-190.85079999999999</v>
      </c>
      <c r="H2092" s="1">
        <v>-3.9745389999999998E-6</v>
      </c>
      <c r="I2092">
        <v>328.32619999999997</v>
      </c>
      <c r="J2092">
        <v>-191.62</v>
      </c>
      <c r="K2092">
        <v>1.120638</v>
      </c>
      <c r="L2092">
        <v>348.54899999999998</v>
      </c>
      <c r="M2092">
        <v>0.1082917</v>
      </c>
      <c r="N2092">
        <v>-1.218062E-2</v>
      </c>
      <c r="O2092">
        <v>-0.9940445</v>
      </c>
      <c r="P2092">
        <v>1.8472909999999999E-2</v>
      </c>
      <c r="Q2092">
        <v>0.100009</v>
      </c>
      <c r="R2092">
        <v>-0.99481520000000001</v>
      </c>
      <c r="S2092">
        <v>0.1154022</v>
      </c>
      <c r="T2092">
        <v>-0.16731760000000001</v>
      </c>
      <c r="U2092">
        <v>-3.0304570000000002</v>
      </c>
      <c r="V2092">
        <v>8.9603950000000002E-2</v>
      </c>
      <c r="W2092">
        <v>0.1118885</v>
      </c>
      <c r="X2092">
        <v>0.98967269999999896</v>
      </c>
      <c r="Y2092">
        <v>7.0397199999999993E-2</v>
      </c>
      <c r="Z2092">
        <v>4.2413159999999998E-2</v>
      </c>
      <c r="AA2092">
        <v>0.99661699999999998</v>
      </c>
      <c r="AB2092">
        <v>8</v>
      </c>
      <c r="AC2092">
        <v>0.76920000000001199</v>
      </c>
      <c r="AD2092">
        <v>-1.1206419745389999</v>
      </c>
      <c r="AE2092">
        <v>-20.222799999999999</v>
      </c>
      <c r="AF2092">
        <v>1.42109058461636</v>
      </c>
      <c r="AG2092">
        <v>-1.1206419745389999</v>
      </c>
      <c r="AH2092">
        <v>20.125447539653901</v>
      </c>
      <c r="AI2092">
        <v>93.179200608001693</v>
      </c>
      <c r="AJ2092">
        <v>85.960955809193806</v>
      </c>
      <c r="AK2092">
        <v>20.206656713967899</v>
      </c>
      <c r="AL2092">
        <v>83.575809069895598</v>
      </c>
      <c r="AM2092">
        <v>84.826604158269404</v>
      </c>
      <c r="AN2092">
        <v>0.99999997870657098</v>
      </c>
    </row>
    <row r="2093" spans="1:40" x14ac:dyDescent="0.25">
      <c r="A2093" t="str">
        <f>"20190303161914664"</f>
        <v>20190303161914664</v>
      </c>
      <c r="B2093" t="str">
        <f>"1551601154654779"</f>
        <v>1551601154654779</v>
      </c>
      <c r="C2093" t="s">
        <v>40</v>
      </c>
      <c r="D2093">
        <v>5.146331</v>
      </c>
      <c r="E2093">
        <v>0.49045680000000003</v>
      </c>
      <c r="F2093" t="s">
        <v>41</v>
      </c>
      <c r="G2093">
        <v>-190.86179999999999</v>
      </c>
      <c r="H2093" s="1">
        <v>-3.9724880000000002E-6</v>
      </c>
      <c r="I2093">
        <v>328.31459999999998</v>
      </c>
      <c r="J2093">
        <v>-191.6164</v>
      </c>
      <c r="K2093">
        <v>1.120654</v>
      </c>
      <c r="L2093">
        <v>348.47129999999999</v>
      </c>
      <c r="M2093">
        <v>0.1042709</v>
      </c>
      <c r="N2093">
        <v>-1.217991E-2</v>
      </c>
      <c r="O2093">
        <v>-0.99447439999999998</v>
      </c>
      <c r="P2093">
        <v>1.85851E-2</v>
      </c>
      <c r="Q2093">
        <v>9.9736569999999997E-2</v>
      </c>
      <c r="R2093">
        <v>-0.99484059999999996</v>
      </c>
      <c r="S2093">
        <v>0.1135559</v>
      </c>
      <c r="T2093">
        <v>-0.16783380000000001</v>
      </c>
      <c r="U2093">
        <v>-3.0304259999999998</v>
      </c>
      <c r="V2093">
        <v>8.5484270000000001E-2</v>
      </c>
      <c r="W2093">
        <v>0.1116298</v>
      </c>
      <c r="X2093">
        <v>0.99006629999999995</v>
      </c>
      <c r="Y2093">
        <v>6.6970520000000006E-2</v>
      </c>
      <c r="Z2093">
        <v>4.2623719999999997E-2</v>
      </c>
      <c r="AA2093">
        <v>0.99684410000000001</v>
      </c>
      <c r="AB2093">
        <v>8</v>
      </c>
      <c r="AC2093">
        <v>0.75460000000001004</v>
      </c>
      <c r="AD2093">
        <v>-1.1206579724879999</v>
      </c>
      <c r="AE2093">
        <v>-20.156700000000001</v>
      </c>
      <c r="AF2093">
        <v>1.3472683863129</v>
      </c>
      <c r="AG2093">
        <v>-1.1206579724879999</v>
      </c>
      <c r="AH2093">
        <v>20.063565917579002</v>
      </c>
      <c r="AI2093">
        <v>93.189786697812394</v>
      </c>
      <c r="AJ2093">
        <v>86.158355812319598</v>
      </c>
      <c r="AK2093">
        <v>20.1399524260883</v>
      </c>
      <c r="AL2093">
        <v>83.590725232838096</v>
      </c>
      <c r="AM2093">
        <v>85.065208366961301</v>
      </c>
      <c r="AN2093">
        <v>1.0000000255305801</v>
      </c>
    </row>
    <row r="2094" spans="1:40" x14ac:dyDescent="0.25">
      <c r="A2094" t="str">
        <f>"20190303161914698"</f>
        <v>20190303161914698</v>
      </c>
      <c r="B2094" t="str">
        <f>"1551601154684059"</f>
        <v>1551601154684059</v>
      </c>
      <c r="C2094" t="s">
        <v>40</v>
      </c>
      <c r="D2094">
        <v>5.0131300000000003</v>
      </c>
      <c r="E2094">
        <v>0.49008740000000001</v>
      </c>
      <c r="F2094" t="s">
        <v>41</v>
      </c>
      <c r="G2094">
        <v>-190.84719999999999</v>
      </c>
      <c r="H2094" s="1">
        <v>-3.9897500000000002E-6</v>
      </c>
      <c r="I2094">
        <v>328.3639</v>
      </c>
      <c r="J2094">
        <v>-191.61150000000001</v>
      </c>
      <c r="K2094">
        <v>1.1206969999999901</v>
      </c>
      <c r="L2094">
        <v>348.35219999999998</v>
      </c>
      <c r="M2094">
        <v>9.8157350000000004E-2</v>
      </c>
      <c r="N2094">
        <v>-1.2176869999999999E-2</v>
      </c>
      <c r="O2094">
        <v>-0.99509650000000005</v>
      </c>
      <c r="P2094">
        <v>1.577522E-2</v>
      </c>
      <c r="Q2094">
        <v>0.1020677</v>
      </c>
      <c r="R2094">
        <v>-0.99465250000000005</v>
      </c>
      <c r="S2094">
        <v>0.115921</v>
      </c>
      <c r="T2094">
        <v>-0.1688894</v>
      </c>
      <c r="U2094">
        <v>-3.0303040000000001</v>
      </c>
      <c r="V2094">
        <v>8.2165349999999998E-2</v>
      </c>
      <c r="W2094">
        <v>0.1139704</v>
      </c>
      <c r="X2094">
        <v>0.99008059999999998</v>
      </c>
      <c r="Y2094">
        <v>6.006214E-2</v>
      </c>
      <c r="Z2094">
        <v>4.3034870000000003E-2</v>
      </c>
      <c r="AA2094">
        <v>0.99726649999999994</v>
      </c>
      <c r="AB2094">
        <v>8</v>
      </c>
      <c r="AC2094">
        <v>0.76430000000001996</v>
      </c>
      <c r="AD2094">
        <v>-1.12070098974999</v>
      </c>
      <c r="AE2094">
        <v>-19.988299999999899</v>
      </c>
      <c r="AF2094">
        <v>1.1977754411433399</v>
      </c>
      <c r="AG2094">
        <v>-1.12070098974999</v>
      </c>
      <c r="AH2094">
        <v>19.904307628662199</v>
      </c>
      <c r="AI2094">
        <v>93.216797632120503</v>
      </c>
      <c r="AJ2094">
        <v>86.556282205234098</v>
      </c>
      <c r="AK2094">
        <v>19.971782566717799</v>
      </c>
      <c r="AL2094">
        <v>83.455757100608096</v>
      </c>
      <c r="AM2094">
        <v>85.255977453427107</v>
      </c>
      <c r="AN2094">
        <v>0.99999999565657105</v>
      </c>
    </row>
    <row r="2095" spans="1:40" x14ac:dyDescent="0.25">
      <c r="A2095" t="str">
        <f>"20190303161914720"</f>
        <v>20190303161914720</v>
      </c>
      <c r="B2095" t="str">
        <f>"1551601154714315"</f>
        <v>1551601154714315</v>
      </c>
      <c r="C2095" t="s">
        <v>40</v>
      </c>
      <c r="D2095">
        <v>5.0803789999999998</v>
      </c>
      <c r="E2095">
        <v>0.48982300000000001</v>
      </c>
      <c r="F2095" t="s">
        <v>41</v>
      </c>
      <c r="G2095">
        <v>-190.8399</v>
      </c>
      <c r="H2095" s="1">
        <v>-3.5638110000000002E-6</v>
      </c>
      <c r="I2095">
        <v>327.37549999999999</v>
      </c>
      <c r="J2095">
        <v>-191.6086</v>
      </c>
      <c r="K2095">
        <v>1.1207260000000001</v>
      </c>
      <c r="L2095">
        <v>348.27449999999999</v>
      </c>
      <c r="M2095">
        <v>9.4213169999999999E-2</v>
      </c>
      <c r="N2095">
        <v>-1.2173410000000001E-2</v>
      </c>
      <c r="O2095">
        <v>-0.99547779999999997</v>
      </c>
      <c r="P2095">
        <v>1.322808E-2</v>
      </c>
      <c r="Q2095">
        <v>0.1036715</v>
      </c>
      <c r="R2095">
        <v>-0.99452410000000002</v>
      </c>
      <c r="S2095">
        <v>0.1114807</v>
      </c>
      <c r="T2095">
        <v>-0.16193450000000001</v>
      </c>
      <c r="U2095">
        <v>-3.0310060000000001</v>
      </c>
      <c r="V2095">
        <v>8.075562E-2</v>
      </c>
      <c r="W2095">
        <v>0.115578</v>
      </c>
      <c r="X2095">
        <v>0.99001019999999895</v>
      </c>
      <c r="Y2095">
        <v>5.7572360000000003E-2</v>
      </c>
      <c r="Z2095">
        <v>4.0793299999999998E-2</v>
      </c>
      <c r="AA2095">
        <v>0.99750760000000005</v>
      </c>
      <c r="AB2095">
        <v>8</v>
      </c>
      <c r="AC2095">
        <v>0.76869999999999505</v>
      </c>
      <c r="AD2095">
        <v>-1.120729563811</v>
      </c>
      <c r="AE2095">
        <v>-20.899000000000001</v>
      </c>
      <c r="AF2095">
        <v>1.200378916082</v>
      </c>
      <c r="AG2095">
        <v>-1.120729563811</v>
      </c>
      <c r="AH2095">
        <v>20.818667148070201</v>
      </c>
      <c r="AI2095">
        <v>93.076324962017196</v>
      </c>
      <c r="AJ2095">
        <v>86.700049042137096</v>
      </c>
      <c r="AK2095">
        <v>20.883338960030098</v>
      </c>
      <c r="AL2095">
        <v>83.363035484882303</v>
      </c>
      <c r="AM2095">
        <v>85.336679584276098</v>
      </c>
      <c r="AN2095">
        <v>0.99999997017481101</v>
      </c>
    </row>
    <row r="2096" spans="1:40" x14ac:dyDescent="0.25">
      <c r="A2096" t="str">
        <f>"20190303161914741"</f>
        <v>20190303161914741</v>
      </c>
      <c r="B2096" t="str">
        <f>"1551601154734811"</f>
        <v>1551601154734811</v>
      </c>
      <c r="C2096" t="s">
        <v>40</v>
      </c>
      <c r="D2096">
        <v>5.0199509999999998</v>
      </c>
      <c r="E2096">
        <v>0.4896316</v>
      </c>
      <c r="F2096" t="s">
        <v>41</v>
      </c>
      <c r="G2096">
        <v>-190.83459999999999</v>
      </c>
      <c r="H2096" s="1">
        <v>-3.1971790000000001E-6</v>
      </c>
      <c r="I2096">
        <v>326.52420000000001</v>
      </c>
      <c r="J2096">
        <v>-191.60589999999999</v>
      </c>
      <c r="K2096">
        <v>1.1207560000000001</v>
      </c>
      <c r="L2096">
        <v>348.19709999999998</v>
      </c>
      <c r="M2096">
        <v>9.0339639999999999E-2</v>
      </c>
      <c r="N2096">
        <v>-1.216866E-2</v>
      </c>
      <c r="O2096">
        <v>-0.99583670000000002</v>
      </c>
      <c r="P2096">
        <v>1.074319E-2</v>
      </c>
      <c r="Q2096">
        <v>0.1032908</v>
      </c>
      <c r="R2096">
        <v>-0.99459339999999996</v>
      </c>
      <c r="S2096">
        <v>0.1078644</v>
      </c>
      <c r="T2096">
        <v>-0.1561961</v>
      </c>
      <c r="U2096">
        <v>-3.031342</v>
      </c>
      <c r="V2096">
        <v>7.9369259999999997E-2</v>
      </c>
      <c r="W2096">
        <v>0.115203399999999</v>
      </c>
      <c r="X2096">
        <v>0.99016599999999999</v>
      </c>
      <c r="Y2096">
        <v>5.4879820000000003E-2</v>
      </c>
      <c r="Z2096">
        <v>3.8951769999999997E-2</v>
      </c>
      <c r="AA2096">
        <v>0.99773290000000003</v>
      </c>
      <c r="AB2096">
        <v>8</v>
      </c>
      <c r="AC2096">
        <v>0.77129999999999599</v>
      </c>
      <c r="AD2096">
        <v>-1.1207591971790001</v>
      </c>
      <c r="AE2096">
        <v>-21.672899999999899</v>
      </c>
      <c r="AF2096">
        <v>1.1867516315676401</v>
      </c>
      <c r="AG2096">
        <v>-1.1207591971790001</v>
      </c>
      <c r="AH2096">
        <v>21.5962715523276</v>
      </c>
      <c r="AI2096">
        <v>92.966287087964204</v>
      </c>
      <c r="AJ2096">
        <v>86.854663487108198</v>
      </c>
      <c r="AK2096">
        <v>21.657872138669699</v>
      </c>
      <c r="AL2096">
        <v>83.384643050301804</v>
      </c>
      <c r="AM2096">
        <v>85.417110494999505</v>
      </c>
      <c r="AN2096">
        <v>1.00000000518025</v>
      </c>
    </row>
    <row r="2097" spans="1:40" x14ac:dyDescent="0.25">
      <c r="A2097" t="str">
        <f>"20190303161914767"</f>
        <v>20190303161914767</v>
      </c>
      <c r="B2097" t="str">
        <f>"1551601154754331"</f>
        <v>1551601154754331</v>
      </c>
      <c r="C2097" t="s">
        <v>40</v>
      </c>
      <c r="D2097">
        <v>5.0836959999999998</v>
      </c>
      <c r="E2097">
        <v>0.4894077</v>
      </c>
      <c r="F2097" t="s">
        <v>41</v>
      </c>
      <c r="G2097">
        <v>-190.86709999999999</v>
      </c>
      <c r="H2097" s="1">
        <v>-3.2211209999999999E-6</v>
      </c>
      <c r="I2097">
        <v>326.5598</v>
      </c>
      <c r="J2097">
        <v>-191.60329999999999</v>
      </c>
      <c r="K2097">
        <v>1.1207940000000001</v>
      </c>
      <c r="L2097">
        <v>348.11259999999999</v>
      </c>
      <c r="M2097">
        <v>8.6204290000000003E-2</v>
      </c>
      <c r="N2097">
        <v>-1.2161480000000001E-2</v>
      </c>
      <c r="O2097">
        <v>-0.99620339999999996</v>
      </c>
      <c r="P2097">
        <v>8.0531619999999905E-3</v>
      </c>
      <c r="Q2097">
        <v>0.10169</v>
      </c>
      <c r="R2097">
        <v>-0.9947838</v>
      </c>
      <c r="S2097">
        <v>0.1035156</v>
      </c>
      <c r="T2097">
        <v>-0.15702430000000001</v>
      </c>
      <c r="U2097">
        <v>-3.0314939999999999</v>
      </c>
      <c r="V2097">
        <v>7.7931719999999996E-2</v>
      </c>
      <c r="W2097">
        <v>0.1136113</v>
      </c>
      <c r="X2097">
        <v>0.99046409999999996</v>
      </c>
      <c r="Y2097">
        <v>5.2166690000000002E-2</v>
      </c>
      <c r="Z2097">
        <v>3.925845E-2</v>
      </c>
      <c r="AA2097">
        <v>0.99786649999999999</v>
      </c>
      <c r="AB2097">
        <v>8</v>
      </c>
      <c r="AC2097">
        <v>0.73619999999999597</v>
      </c>
      <c r="AD2097">
        <v>-1.120797221121</v>
      </c>
      <c r="AE2097">
        <v>-21.552799999999898</v>
      </c>
      <c r="AF2097">
        <v>1.1215923517374999</v>
      </c>
      <c r="AG2097">
        <v>-1.120797221121</v>
      </c>
      <c r="AH2097">
        <v>21.478011517923601</v>
      </c>
      <c r="AI2097">
        <v>92.983125877518304</v>
      </c>
      <c r="AJ2097">
        <v>87.010701421929994</v>
      </c>
      <c r="AK2097">
        <v>21.5364605861411</v>
      </c>
      <c r="AL2097">
        <v>83.476466602485701</v>
      </c>
      <c r="AM2097">
        <v>85.501120807333606</v>
      </c>
      <c r="AN2097">
        <v>1.00000000692932</v>
      </c>
    </row>
    <row r="2098" spans="1:40" x14ac:dyDescent="0.25">
      <c r="A2098" t="str">
        <f>"20190303161914790"</f>
        <v>20190303161914790</v>
      </c>
      <c r="B2098" t="str">
        <f>"1551601154784587"</f>
        <v>1551601154784587</v>
      </c>
      <c r="C2098" t="s">
        <v>40</v>
      </c>
      <c r="D2098">
        <v>5.0769359999999999</v>
      </c>
      <c r="E2098">
        <v>0.48901790000000001</v>
      </c>
      <c r="F2098" t="s">
        <v>41</v>
      </c>
      <c r="G2098">
        <v>-190.9211</v>
      </c>
      <c r="H2098" s="1">
        <v>-3.4832579999999999E-6</v>
      </c>
      <c r="I2098">
        <v>327.13740000000001</v>
      </c>
      <c r="J2098">
        <v>-191.601</v>
      </c>
      <c r="K2098">
        <v>1.1208400000000001</v>
      </c>
      <c r="L2098">
        <v>348.03179999999998</v>
      </c>
      <c r="M2098">
        <v>8.2370369999999998E-2</v>
      </c>
      <c r="N2098">
        <v>-1.215192E-2</v>
      </c>
      <c r="O2098">
        <v>-0.99652770000000002</v>
      </c>
      <c r="P2098">
        <v>5.0748599999999996E-3</v>
      </c>
      <c r="Q2098">
        <v>0.100608</v>
      </c>
      <c r="R2098">
        <v>-0.99491350000000001</v>
      </c>
      <c r="S2098">
        <v>9.8602289999999995E-2</v>
      </c>
      <c r="T2098">
        <v>-0.16198750000000001</v>
      </c>
      <c r="U2098">
        <v>-3.0315249999999998</v>
      </c>
      <c r="V2098">
        <v>7.7074920000000005E-2</v>
      </c>
      <c r="W2098">
        <v>0.1125348</v>
      </c>
      <c r="X2098">
        <v>0.99065400000000003</v>
      </c>
      <c r="Y2098">
        <v>4.994229E-2</v>
      </c>
      <c r="Z2098">
        <v>4.0916929999999997E-2</v>
      </c>
      <c r="AA2098">
        <v>0.99791359999999996</v>
      </c>
      <c r="AB2098">
        <v>8</v>
      </c>
      <c r="AC2098">
        <v>0.67990000000000295</v>
      </c>
      <c r="AD2098">
        <v>-1.1208434832580001</v>
      </c>
      <c r="AE2098">
        <v>-20.894399999999901</v>
      </c>
      <c r="AF2098">
        <v>1.0406259955567201</v>
      </c>
      <c r="AG2098">
        <v>-1.1208434832580001</v>
      </c>
      <c r="AH2098">
        <v>20.8195467080252</v>
      </c>
      <c r="AI2098">
        <v>93.077772408012393</v>
      </c>
      <c r="AJ2098">
        <v>87.138559257276</v>
      </c>
      <c r="AK2098">
        <v>20.875648916961499</v>
      </c>
      <c r="AL2098">
        <v>83.538543496756205</v>
      </c>
      <c r="AM2098">
        <v>85.551232361309204</v>
      </c>
      <c r="AN2098">
        <v>0.99999998611002305</v>
      </c>
    </row>
    <row r="2099" spans="1:40" x14ac:dyDescent="0.25">
      <c r="A2099" t="str">
        <f>"20190303161914810"</f>
        <v>20190303161914810</v>
      </c>
      <c r="B2099" t="str">
        <f>"1551601154804107"</f>
        <v>1551601154804107</v>
      </c>
      <c r="C2099" t="s">
        <v>40</v>
      </c>
      <c r="D2099">
        <v>5.0755910000000002</v>
      </c>
      <c r="E2099">
        <v>0.4887843</v>
      </c>
      <c r="F2099" t="s">
        <v>41</v>
      </c>
      <c r="G2099">
        <v>-190.95480000000001</v>
      </c>
      <c r="H2099" s="1">
        <v>-3.6206160000000001E-6</v>
      </c>
      <c r="I2099">
        <v>327.43669999999997</v>
      </c>
      <c r="J2099">
        <v>-191.59909999999999</v>
      </c>
      <c r="K2099">
        <v>1.1208849999999999</v>
      </c>
      <c r="L2099">
        <v>347.95929999999998</v>
      </c>
      <c r="M2099">
        <v>7.9024490000000003E-2</v>
      </c>
      <c r="N2099">
        <v>-1.214253E-2</v>
      </c>
      <c r="O2099">
        <v>-0.99679879999999998</v>
      </c>
      <c r="P2099">
        <v>1.901741E-3</v>
      </c>
      <c r="Q2099">
        <v>9.9113199999999999E-2</v>
      </c>
      <c r="R2099">
        <v>-0.99507449999999997</v>
      </c>
      <c r="S2099">
        <v>9.5123289999999999E-2</v>
      </c>
      <c r="T2099">
        <v>-0.1649842</v>
      </c>
      <c r="U2099">
        <v>-3.0315249999999998</v>
      </c>
      <c r="V2099">
        <v>7.6902899999999996E-2</v>
      </c>
      <c r="W2099">
        <v>0.11104360000000001</v>
      </c>
      <c r="X2099">
        <v>0.99083560000000004</v>
      </c>
      <c r="Y2099">
        <v>4.773525E-2</v>
      </c>
      <c r="Z2099">
        <v>4.1929960000000002E-2</v>
      </c>
      <c r="AA2099">
        <v>0.99797959999999997</v>
      </c>
      <c r="AB2099">
        <v>8</v>
      </c>
      <c r="AC2099">
        <v>0.64429999999998699</v>
      </c>
      <c r="AD2099">
        <v>-1.120888620616</v>
      </c>
      <c r="AE2099">
        <v>-20.522600000000001</v>
      </c>
      <c r="AF2099">
        <v>0.97671196557325901</v>
      </c>
      <c r="AG2099">
        <v>-1.120888620616</v>
      </c>
      <c r="AH2099">
        <v>20.448390461682902</v>
      </c>
      <c r="AI2099">
        <v>93.133990567499296</v>
      </c>
      <c r="AJ2099">
        <v>87.265360637850605</v>
      </c>
      <c r="AK2099">
        <v>20.50236644968</v>
      </c>
      <c r="AL2099">
        <v>83.624521733739897</v>
      </c>
      <c r="AM2099">
        <v>85.561931942331199</v>
      </c>
      <c r="AN2099">
        <v>0.99999996167836402</v>
      </c>
    </row>
    <row r="2100" spans="1:40" x14ac:dyDescent="0.25">
      <c r="A2100" t="str">
        <f>"20190303161914833"</f>
        <v>20190303161914833</v>
      </c>
      <c r="B2100" t="str">
        <f>"1551601154824605"</f>
        <v>1551601154824605</v>
      </c>
      <c r="C2100" t="s">
        <v>40</v>
      </c>
      <c r="D2100">
        <v>5.0720559999999999</v>
      </c>
      <c r="E2100">
        <v>0.4885659</v>
      </c>
      <c r="F2100" t="s">
        <v>41</v>
      </c>
      <c r="G2100">
        <v>-191.0052</v>
      </c>
      <c r="H2100" s="1">
        <v>-3.8122760000000001E-6</v>
      </c>
      <c r="I2100">
        <v>327.85219999999998</v>
      </c>
      <c r="J2100">
        <v>-191.59710000000001</v>
      </c>
      <c r="K2100">
        <v>1.1209389999999999</v>
      </c>
      <c r="L2100">
        <v>347.88029999999998</v>
      </c>
      <c r="M2100">
        <v>7.5507009999999999E-2</v>
      </c>
      <c r="N2100">
        <v>-1.2131619999999999E-2</v>
      </c>
      <c r="O2100">
        <v>-0.99707140000000005</v>
      </c>
      <c r="P2100">
        <v>-4.8295249999999999E-4</v>
      </c>
      <c r="Q2100">
        <v>9.5227729999999997E-2</v>
      </c>
      <c r="R2100">
        <v>-0.99545530000000004</v>
      </c>
      <c r="S2100">
        <v>8.9538569999999998E-2</v>
      </c>
      <c r="T2100">
        <v>-0.16899510000000001</v>
      </c>
      <c r="U2100">
        <v>-3.0315249999999998</v>
      </c>
      <c r="V2100">
        <v>7.578704E-2</v>
      </c>
      <c r="W2100">
        <v>0.10716589999999999</v>
      </c>
      <c r="X2100">
        <v>0.99134840000000002</v>
      </c>
      <c r="Y2100">
        <v>4.6049729999999997E-2</v>
      </c>
      <c r="Z2100">
        <v>4.3276420000000003E-2</v>
      </c>
      <c r="AA2100">
        <v>0.99800129999999998</v>
      </c>
      <c r="AB2100">
        <v>8</v>
      </c>
      <c r="AC2100">
        <v>0.59190000000000897</v>
      </c>
      <c r="AD2100">
        <v>-1.1209428122759999</v>
      </c>
      <c r="AE2100">
        <v>-20.028099999999899</v>
      </c>
      <c r="AF2100">
        <v>0.91928618520604899</v>
      </c>
      <c r="AG2100">
        <v>-1.1209428122759999</v>
      </c>
      <c r="AH2100">
        <v>19.953164440464899</v>
      </c>
      <c r="AI2100">
        <v>93.212022456285396</v>
      </c>
      <c r="AJ2100">
        <v>87.362122752677493</v>
      </c>
      <c r="AK2100">
        <v>20.0057584476804</v>
      </c>
      <c r="AL2100">
        <v>83.848031822586506</v>
      </c>
      <c r="AM2100">
        <v>85.628330271945003</v>
      </c>
      <c r="AN2100">
        <v>0.99999992786866299</v>
      </c>
    </row>
    <row r="2101" spans="1:40" x14ac:dyDescent="0.25">
      <c r="A2101" t="str">
        <f>"20190303161914854"</f>
        <v>20190303161914854</v>
      </c>
      <c r="B2101" t="str">
        <f>"1551601154844123"</f>
        <v>1551601154844123</v>
      </c>
      <c r="C2101" t="s">
        <v>40</v>
      </c>
      <c r="D2101">
        <v>5.1367929999999999</v>
      </c>
      <c r="E2101">
        <v>0.48833130000000002</v>
      </c>
      <c r="F2101" t="s">
        <v>41</v>
      </c>
      <c r="G2101">
        <v>-191.06630000000001</v>
      </c>
      <c r="H2101" s="1">
        <v>-4.2750849999999997E-6</v>
      </c>
      <c r="I2101">
        <v>328.99349999999998</v>
      </c>
      <c r="J2101">
        <v>-191.59530000000001</v>
      </c>
      <c r="K2101">
        <v>1.120995</v>
      </c>
      <c r="L2101">
        <v>347.80430000000001</v>
      </c>
      <c r="M2101">
        <v>7.2262519999999997E-2</v>
      </c>
      <c r="N2101">
        <v>-1.212013E-2</v>
      </c>
      <c r="O2101">
        <v>-0.99731210000000003</v>
      </c>
      <c r="P2101">
        <v>-2.4814239999999999E-3</v>
      </c>
      <c r="Q2101">
        <v>9.3556109999999998E-2</v>
      </c>
      <c r="R2101">
        <v>-0.99561100000000002</v>
      </c>
      <c r="S2101">
        <v>8.5189819999999999E-2</v>
      </c>
      <c r="T2101">
        <v>-0.17989089999999999</v>
      </c>
      <c r="U2101">
        <v>-3.0309750000000002</v>
      </c>
      <c r="V2101">
        <v>7.4543159999999997E-2</v>
      </c>
      <c r="W2101">
        <v>0.1054993</v>
      </c>
      <c r="X2101">
        <v>0.99162150000000004</v>
      </c>
      <c r="Y2101">
        <v>4.4229209999999998E-2</v>
      </c>
      <c r="Z2101">
        <v>4.688295E-2</v>
      </c>
      <c r="AA2101">
        <v>0.99792069999999999</v>
      </c>
      <c r="AB2101">
        <v>8</v>
      </c>
      <c r="AC2101">
        <v>0.52899999999999603</v>
      </c>
      <c r="AD2101">
        <v>-1.120999275085</v>
      </c>
      <c r="AE2101">
        <v>-18.8108</v>
      </c>
      <c r="AF2101">
        <v>0.82885747152767397</v>
      </c>
      <c r="AG2101">
        <v>-1.120999275085</v>
      </c>
      <c r="AH2101">
        <v>18.733367795639001</v>
      </c>
      <c r="AI2101">
        <v>93.421140169002697</v>
      </c>
      <c r="AJ2101">
        <v>87.466601697924105</v>
      </c>
      <c r="AK2101">
        <v>18.785172691501401</v>
      </c>
      <c r="AL2101">
        <v>83.944065829124995</v>
      </c>
      <c r="AM2101">
        <v>85.700990246164906</v>
      </c>
      <c r="AN2101">
        <v>0.99999999213276203</v>
      </c>
    </row>
    <row r="2102" spans="1:40" x14ac:dyDescent="0.25">
      <c r="A2102" t="str">
        <f>"20190303161914877"</f>
        <v>20190303161914877</v>
      </c>
      <c r="B2102" t="str">
        <f>"1551601154864619"</f>
        <v>1551601154864619</v>
      </c>
      <c r="C2102" t="s">
        <v>40</v>
      </c>
      <c r="D2102">
        <v>5.1400980000000001</v>
      </c>
      <c r="E2102">
        <v>0.48806630000000001</v>
      </c>
      <c r="F2102" t="s">
        <v>41</v>
      </c>
      <c r="G2102">
        <v>-191.09309999999999</v>
      </c>
      <c r="H2102" s="1">
        <v>-4.3994650000000001E-6</v>
      </c>
      <c r="I2102">
        <v>329.3451</v>
      </c>
      <c r="J2102">
        <v>-191.59350000000001</v>
      </c>
      <c r="K2102">
        <v>1.1210560000000001</v>
      </c>
      <c r="L2102">
        <v>347.72750000000002</v>
      </c>
      <c r="M2102">
        <v>6.9150660000000003E-2</v>
      </c>
      <c r="N2102">
        <v>-1.210746E-2</v>
      </c>
      <c r="O2102">
        <v>-0.9975328</v>
      </c>
      <c r="P2102">
        <v>-5.6787629999999999E-3</v>
      </c>
      <c r="Q2102">
        <v>9.4178739999999997E-2</v>
      </c>
      <c r="R2102">
        <v>-0.99553919999999996</v>
      </c>
      <c r="S2102">
        <v>8.2458500000000004E-2</v>
      </c>
      <c r="T2102">
        <v>-0.18405369999999999</v>
      </c>
      <c r="U2102">
        <v>-3.0307620000000002</v>
      </c>
      <c r="V2102">
        <v>7.461226E-2</v>
      </c>
      <c r="W2102">
        <v>0.10612190000000001</v>
      </c>
      <c r="X2102">
        <v>0.99154980000000004</v>
      </c>
      <c r="Y2102">
        <v>4.2011380000000001E-2</v>
      </c>
      <c r="Z2102">
        <v>4.8283260000000001E-2</v>
      </c>
      <c r="AA2102">
        <v>0.9979498</v>
      </c>
      <c r="AB2102">
        <v>8</v>
      </c>
      <c r="AC2102">
        <v>0.50040000000001295</v>
      </c>
      <c r="AD2102">
        <v>-1.1210603994649999</v>
      </c>
      <c r="AE2102">
        <v>-18.382400000000001</v>
      </c>
      <c r="AF2102">
        <v>0.76918756255866405</v>
      </c>
      <c r="AG2102">
        <v>-1.1210603994649999</v>
      </c>
      <c r="AH2102">
        <v>18.304965742036401</v>
      </c>
      <c r="AI2102">
        <v>93.501535159777703</v>
      </c>
      <c r="AJ2102">
        <v>87.593806531303898</v>
      </c>
      <c r="AK2102">
        <v>18.355386041780001</v>
      </c>
      <c r="AL2102">
        <v>83.908191689876404</v>
      </c>
      <c r="AM2102">
        <v>85.696710127651698</v>
      </c>
      <c r="AN2102">
        <v>0.99999992644097602</v>
      </c>
    </row>
    <row r="2103" spans="1:40" x14ac:dyDescent="0.25">
      <c r="A2103" t="str">
        <f>"20190303161914899"</f>
        <v>20190303161914899</v>
      </c>
      <c r="B2103" t="str">
        <f>"1551601154894876"</f>
        <v>1551601154894876</v>
      </c>
      <c r="C2103" t="s">
        <v>40</v>
      </c>
      <c r="D2103">
        <v>5.0735780000000004</v>
      </c>
      <c r="E2103">
        <v>0.48149750000000002</v>
      </c>
      <c r="F2103" t="s">
        <v>41</v>
      </c>
      <c r="G2103">
        <v>-191.11490000000001</v>
      </c>
      <c r="H2103" s="1">
        <v>-4.2689239999999997E-6</v>
      </c>
      <c r="I2103">
        <v>328.95010000000002</v>
      </c>
      <c r="J2103">
        <v>-191.5917</v>
      </c>
      <c r="K2103">
        <v>1.1211359999999999</v>
      </c>
      <c r="L2103">
        <v>347.64769999999999</v>
      </c>
      <c r="M2103">
        <v>6.6100199999999998E-2</v>
      </c>
      <c r="N2103">
        <v>-1.209329E-2</v>
      </c>
      <c r="O2103">
        <v>-0.99773990000000001</v>
      </c>
      <c r="P2103">
        <v>-9.0432050000000003E-3</v>
      </c>
      <c r="Q2103">
        <v>9.2986730000000004E-2</v>
      </c>
      <c r="R2103">
        <v>-0.99562640000000002</v>
      </c>
      <c r="S2103">
        <v>7.7255249999999998E-2</v>
      </c>
      <c r="T2103">
        <v>-0.1809586</v>
      </c>
      <c r="U2103">
        <v>-3.0310060000000001</v>
      </c>
      <c r="V2103">
        <v>7.4916940000000001E-2</v>
      </c>
      <c r="W2103">
        <v>0.1049317</v>
      </c>
      <c r="X2103">
        <v>0.99165360000000002</v>
      </c>
      <c r="Y2103">
        <v>4.0670150000000002E-2</v>
      </c>
      <c r="Z2103">
        <v>4.7300809999999999E-2</v>
      </c>
      <c r="AA2103">
        <v>0.99805239999999995</v>
      </c>
      <c r="AB2103">
        <v>8</v>
      </c>
      <c r="AC2103">
        <v>0.476799999999997</v>
      </c>
      <c r="AD2103">
        <v>-1.121140268924</v>
      </c>
      <c r="AE2103">
        <v>-18.697599999999898</v>
      </c>
      <c r="AF2103">
        <v>0.75752631424438099</v>
      </c>
      <c r="AG2103">
        <v>-1.121140268924</v>
      </c>
      <c r="AH2103">
        <v>18.621313359993501</v>
      </c>
      <c r="AI2103">
        <v>93.442628327486702</v>
      </c>
      <c r="AJ2103">
        <v>87.670457457055903</v>
      </c>
      <c r="AK2103">
        <v>18.670407410403399</v>
      </c>
      <c r="AL2103">
        <v>83.976768696958203</v>
      </c>
      <c r="AM2103">
        <v>85.679654569143196</v>
      </c>
      <c r="AN2103">
        <v>1.0000000359784</v>
      </c>
    </row>
    <row r="2104" spans="1:40" x14ac:dyDescent="0.25">
      <c r="A2104" t="str">
        <f>"20190303161914922"</f>
        <v>20190303161914922</v>
      </c>
      <c r="B2104" t="str">
        <f>"1551601154914396"</f>
        <v>1551601154914396</v>
      </c>
      <c r="C2104" t="s">
        <v>40</v>
      </c>
      <c r="D2104">
        <v>5.0811539999999997</v>
      </c>
      <c r="E2104">
        <v>0.4814543</v>
      </c>
      <c r="F2104" t="s">
        <v>41</v>
      </c>
      <c r="G2104">
        <v>-190.68279999999999</v>
      </c>
      <c r="H2104" s="1">
        <v>-2.4673589999999998E-6</v>
      </c>
      <c r="I2104">
        <v>324.9171</v>
      </c>
      <c r="J2104">
        <v>-191.59</v>
      </c>
      <c r="K2104">
        <v>1.1212040000000001</v>
      </c>
      <c r="L2104">
        <v>347.57060000000001</v>
      </c>
      <c r="M2104">
        <v>6.3355590000000003E-2</v>
      </c>
      <c r="N2104">
        <v>-1.207927E-2</v>
      </c>
      <c r="O2104">
        <v>-0.99791799999999997</v>
      </c>
      <c r="P2104">
        <v>-1.06348E-2</v>
      </c>
      <c r="Q2104">
        <v>9.1576229999999995E-2</v>
      </c>
      <c r="R2104">
        <v>-0.99574149999999995</v>
      </c>
      <c r="S2104">
        <v>0.1210938</v>
      </c>
      <c r="T2104">
        <v>-0.149361299999999</v>
      </c>
      <c r="U2104">
        <v>-3.0282290000000001</v>
      </c>
      <c r="V2104">
        <v>7.3758439999999995E-2</v>
      </c>
      <c r="W2104">
        <v>0.1035261</v>
      </c>
      <c r="X2104">
        <v>0.99188810000000005</v>
      </c>
      <c r="Y2104">
        <v>2.3452290000000001E-2</v>
      </c>
      <c r="Z2104">
        <v>3.7035499999999999E-2</v>
      </c>
      <c r="AA2104">
        <v>0.99903869999999895</v>
      </c>
      <c r="AB2104">
        <v>8</v>
      </c>
      <c r="AC2104">
        <v>0.90720000000001699</v>
      </c>
      <c r="AD2104">
        <v>-1.1212064673590001</v>
      </c>
      <c r="AE2104">
        <v>-22.653500000000001</v>
      </c>
      <c r="AF2104">
        <v>0.52866031727141904</v>
      </c>
      <c r="AG2104">
        <v>-1.1212064673590001</v>
      </c>
      <c r="AH2104">
        <v>22.610165369061601</v>
      </c>
      <c r="AI2104">
        <v>92.838117676834798</v>
      </c>
      <c r="AJ2104">
        <v>88.660580916484705</v>
      </c>
      <c r="AK2104">
        <v>22.644119847982999</v>
      </c>
      <c r="AL2104">
        <v>84.057744375193195</v>
      </c>
      <c r="AM2104">
        <v>85.747218331284103</v>
      </c>
      <c r="AN2104">
        <v>0.99999998188702599</v>
      </c>
    </row>
    <row r="2105" spans="1:40" x14ac:dyDescent="0.25">
      <c r="A2105" t="str">
        <f>"20190303161914945"</f>
        <v>20190303161914945</v>
      </c>
      <c r="B2105" t="str">
        <f>"1551601154934893"</f>
        <v>1551601154934893</v>
      </c>
      <c r="C2105" t="s">
        <v>40</v>
      </c>
      <c r="D2105">
        <v>5.0776000000000003</v>
      </c>
      <c r="E2105">
        <v>0.48100199999999999</v>
      </c>
      <c r="F2105" t="s">
        <v>41</v>
      </c>
      <c r="G2105">
        <v>-190.7492</v>
      </c>
      <c r="H2105" s="1">
        <v>-2.8386339999999999E-6</v>
      </c>
      <c r="I2105">
        <v>325.7414</v>
      </c>
      <c r="J2105">
        <v>-191.58799999999999</v>
      </c>
      <c r="K2105">
        <v>1.1212879999999901</v>
      </c>
      <c r="L2105">
        <v>347.49009999999998</v>
      </c>
      <c r="M2105">
        <v>6.0710920000000002E-2</v>
      </c>
      <c r="N2105">
        <v>-1.2065040000000001E-2</v>
      </c>
      <c r="O2105">
        <v>-0.99808260000000004</v>
      </c>
      <c r="P2105">
        <v>-1.154639E-2</v>
      </c>
      <c r="Q2105">
        <v>9.1757309999999995E-2</v>
      </c>
      <c r="R2105">
        <v>-0.99571480000000001</v>
      </c>
      <c r="S2105">
        <v>0.1166382</v>
      </c>
      <c r="T2105">
        <v>-0.15554419999999999</v>
      </c>
      <c r="U2105">
        <v>-3.0283509999999998</v>
      </c>
      <c r="V2105">
        <v>7.2011370000000005E-2</v>
      </c>
      <c r="W2105">
        <v>0.1037115</v>
      </c>
      <c r="X2105">
        <v>0.99199709999999997</v>
      </c>
      <c r="Y2105">
        <v>2.2275420000000001E-2</v>
      </c>
      <c r="Z2105">
        <v>3.9089180000000001E-2</v>
      </c>
      <c r="AA2105">
        <v>0.99898739999999997</v>
      </c>
      <c r="AB2105">
        <v>8</v>
      </c>
      <c r="AC2105">
        <v>0.838799999999992</v>
      </c>
      <c r="AD2105">
        <v>-1.1212908386339999</v>
      </c>
      <c r="AE2105">
        <v>-21.7486999999999</v>
      </c>
      <c r="AF2105">
        <v>0.48194785170427101</v>
      </c>
      <c r="AG2105">
        <v>-1.1212908386339999</v>
      </c>
      <c r="AH2105">
        <v>21.701904361314099</v>
      </c>
      <c r="AI2105">
        <v>92.956992152211399</v>
      </c>
      <c r="AJ2105">
        <v>88.7278056683855</v>
      </c>
      <c r="AK2105">
        <v>21.7361960743868</v>
      </c>
      <c r="AL2105">
        <v>84.047064233120096</v>
      </c>
      <c r="AM2105">
        <v>85.848049373509696</v>
      </c>
      <c r="AN2105">
        <v>0.999999979524968</v>
      </c>
    </row>
    <row r="2106" spans="1:40" x14ac:dyDescent="0.25">
      <c r="A2106" t="str">
        <f>"20190303161914969"</f>
        <v>20190303161914969</v>
      </c>
      <c r="B2106" t="str">
        <f>"1551601154954411"</f>
        <v>1551601154954411</v>
      </c>
      <c r="C2106" t="s">
        <v>40</v>
      </c>
      <c r="D2106">
        <v>5.1429499999999999</v>
      </c>
      <c r="E2106">
        <v>0.48027819999999999</v>
      </c>
      <c r="F2106" t="s">
        <v>41</v>
      </c>
      <c r="G2106">
        <v>-190.7484</v>
      </c>
      <c r="H2106" s="1">
        <v>-2.9628400000000001E-6</v>
      </c>
      <c r="I2106">
        <v>326.03140000000002</v>
      </c>
      <c r="J2106">
        <v>-191.58609999999999</v>
      </c>
      <c r="K2106">
        <v>1.12137</v>
      </c>
      <c r="L2106">
        <v>347.4083</v>
      </c>
      <c r="M2106">
        <v>5.827885E-2</v>
      </c>
      <c r="N2106">
        <v>-1.205147E-2</v>
      </c>
      <c r="O2106">
        <v>-0.9982278</v>
      </c>
      <c r="P2106">
        <v>-1.2731630000000001E-2</v>
      </c>
      <c r="Q2106">
        <v>9.1408589999999998E-2</v>
      </c>
      <c r="R2106">
        <v>-0.99573259999999997</v>
      </c>
      <c r="S2106">
        <v>0.118515</v>
      </c>
      <c r="T2106">
        <v>-0.15826560000000001</v>
      </c>
      <c r="U2106">
        <v>-3.0288089999999999</v>
      </c>
      <c r="V2106">
        <v>7.0753949999999996E-2</v>
      </c>
      <c r="W2106">
        <v>0.10336629999999999</v>
      </c>
      <c r="X2106">
        <v>0.99212359999999999</v>
      </c>
      <c r="Y2106">
        <v>1.922954E-2</v>
      </c>
      <c r="Z2106">
        <v>3.9999510000000002E-2</v>
      </c>
      <c r="AA2106">
        <v>0.99901470000000003</v>
      </c>
      <c r="AB2106">
        <v>8</v>
      </c>
      <c r="AC2106">
        <v>0.83769999999998301</v>
      </c>
      <c r="AD2106">
        <v>-1.12137296284</v>
      </c>
      <c r="AE2106">
        <v>-21.3768999999999</v>
      </c>
      <c r="AF2106">
        <v>0.40851297986129897</v>
      </c>
      <c r="AG2106">
        <v>-1.12137296284</v>
      </c>
      <c r="AH2106">
        <v>21.330777868502398</v>
      </c>
      <c r="AI2106">
        <v>93.008755745261695</v>
      </c>
      <c r="AJ2106">
        <v>88.902843167824699</v>
      </c>
      <c r="AK2106">
        <v>21.364139220944399</v>
      </c>
      <c r="AL2106">
        <v>84.066949588893294</v>
      </c>
      <c r="AM2106">
        <v>85.920819742453602</v>
      </c>
      <c r="AN2106">
        <v>0.99999997554662501</v>
      </c>
    </row>
    <row r="2107" spans="1:40" x14ac:dyDescent="0.25">
      <c r="A2107" t="str">
        <f>"20190303161914990"</f>
        <v>20190303161914990</v>
      </c>
      <c r="B2107" t="str">
        <f>"1551601154984667"</f>
        <v>1551601154984667</v>
      </c>
      <c r="C2107" t="s">
        <v>40</v>
      </c>
      <c r="D2107">
        <v>5.2192800000000004</v>
      </c>
      <c r="E2107">
        <v>0.48951440000000002</v>
      </c>
      <c r="F2107" t="s">
        <v>41</v>
      </c>
      <c r="G2107">
        <v>-190.72800000000001</v>
      </c>
      <c r="H2107" s="1">
        <v>-2.936945E-6</v>
      </c>
      <c r="I2107">
        <v>325.9837</v>
      </c>
      <c r="J2107">
        <v>-191.58420000000001</v>
      </c>
      <c r="K2107">
        <v>1.1214249999999999</v>
      </c>
      <c r="L2107">
        <v>347.33420000000001</v>
      </c>
      <c r="M2107">
        <v>5.6239450000000003E-2</v>
      </c>
      <c r="N2107">
        <v>-1.204117E-2</v>
      </c>
      <c r="O2107">
        <v>-0.99834480000000003</v>
      </c>
      <c r="P2107">
        <v>-1.2966159999999999E-2</v>
      </c>
      <c r="Q2107">
        <v>9.0337109999999998E-2</v>
      </c>
      <c r="R2107">
        <v>-0.99582689999999996</v>
      </c>
      <c r="S2107">
        <v>0.121307399999999</v>
      </c>
      <c r="T2107">
        <v>-0.15853699999999901</v>
      </c>
      <c r="U2107">
        <v>-3.0289609999999998</v>
      </c>
      <c r="V2107">
        <v>6.8951449999999997E-2</v>
      </c>
      <c r="W2107">
        <v>0.1022962</v>
      </c>
      <c r="X2107">
        <v>0.99236139999999995</v>
      </c>
      <c r="Y2107">
        <v>1.6270679999999999E-2</v>
      </c>
      <c r="Z2107">
        <v>4.0105620000000002E-2</v>
      </c>
      <c r="AA2107">
        <v>0.99906300000000003</v>
      </c>
      <c r="AB2107">
        <v>8</v>
      </c>
      <c r="AC2107">
        <v>0.85620000000002905</v>
      </c>
      <c r="AD2107">
        <v>-1.121427936945</v>
      </c>
      <c r="AE2107">
        <v>-21.3505</v>
      </c>
      <c r="AF2107">
        <v>0.34503224615223699</v>
      </c>
      <c r="AG2107">
        <v>-1.121427936945</v>
      </c>
      <c r="AH2107">
        <v>21.306173612776501</v>
      </c>
      <c r="AI2107">
        <v>93.012528347832898</v>
      </c>
      <c r="AJ2107">
        <v>89.072233051837102</v>
      </c>
      <c r="AK2107">
        <v>21.338455470966501</v>
      </c>
      <c r="AL2107">
        <v>84.1285886023675</v>
      </c>
      <c r="AM2107">
        <v>86.025351400800005</v>
      </c>
      <c r="AN2107">
        <v>0.99999998160075099</v>
      </c>
    </row>
    <row r="2108" spans="1:40" x14ac:dyDescent="0.25">
      <c r="A2108" t="str">
        <f>"20190303161915013"</f>
        <v>20190303161915013</v>
      </c>
      <c r="B2108" t="str">
        <f>"1551601155004188"</f>
        <v>1551601155004188</v>
      </c>
      <c r="C2108" t="s">
        <v>40</v>
      </c>
      <c r="D2108">
        <v>5.146344</v>
      </c>
      <c r="E2108">
        <v>0.49157899999999999</v>
      </c>
      <c r="F2108" t="s">
        <v>41</v>
      </c>
      <c r="G2108">
        <v>-191.24299999999999</v>
      </c>
      <c r="H2108" s="1">
        <v>-2.8173429999999998E-6</v>
      </c>
      <c r="I2108">
        <v>325.38549999999998</v>
      </c>
      <c r="J2108">
        <v>-191.5821</v>
      </c>
      <c r="K2108">
        <v>1.121451</v>
      </c>
      <c r="L2108">
        <v>347.25279999999998</v>
      </c>
      <c r="M2108">
        <v>5.4163540000000003E-2</v>
      </c>
      <c r="N2108">
        <v>-1.203215E-2</v>
      </c>
      <c r="O2108">
        <v>-0.9984596</v>
      </c>
      <c r="P2108">
        <v>-1.184764E-2</v>
      </c>
      <c r="Q2108">
        <v>9.0262259999999997E-2</v>
      </c>
      <c r="R2108">
        <v>-0.9958477</v>
      </c>
      <c r="S2108">
        <v>4.705811E-2</v>
      </c>
      <c r="T2108">
        <v>-0.15467139999999999</v>
      </c>
      <c r="U2108">
        <v>-3.0272519999999998</v>
      </c>
      <c r="V2108">
        <v>6.5763269999999999E-2</v>
      </c>
      <c r="W2108">
        <v>0.1022189</v>
      </c>
      <c r="X2108">
        <v>0.99258579999999996</v>
      </c>
      <c r="Y2108">
        <v>3.8637860000000003E-2</v>
      </c>
      <c r="Z2108">
        <v>3.8876929999999997E-2</v>
      </c>
      <c r="AA2108">
        <v>0.99849670000000001</v>
      </c>
      <c r="AB2108">
        <v>8</v>
      </c>
      <c r="AC2108">
        <v>0.33910000000000201</v>
      </c>
      <c r="AD2108">
        <v>-1.121453817343</v>
      </c>
      <c r="AE2108">
        <v>-21.8673</v>
      </c>
      <c r="AF2108">
        <v>0.84367552808167001</v>
      </c>
      <c r="AG2108">
        <v>-1.121453817343</v>
      </c>
      <c r="AH2108">
        <v>21.796251481139599</v>
      </c>
      <c r="AI2108">
        <v>92.943166928572893</v>
      </c>
      <c r="AJ2108">
        <v>87.783337778703</v>
      </c>
      <c r="AK2108">
        <v>21.8413833282189</v>
      </c>
      <c r="AL2108">
        <v>84.133041253790793</v>
      </c>
      <c r="AM2108">
        <v>86.209437063348901</v>
      </c>
      <c r="AN2108">
        <v>1.0000000407799701</v>
      </c>
    </row>
    <row r="2109" spans="1:40" x14ac:dyDescent="0.25">
      <c r="A2109" t="str">
        <f>"20190303161915034"</f>
        <v>20190303161915034</v>
      </c>
      <c r="B2109" t="str">
        <f>"1551601155024684"</f>
        <v>1551601155024684</v>
      </c>
      <c r="C2109" t="s">
        <v>40</v>
      </c>
      <c r="D2109">
        <v>5.1528280000000004</v>
      </c>
      <c r="E2109">
        <v>0.49239280000000002</v>
      </c>
      <c r="F2109" t="s">
        <v>41</v>
      </c>
      <c r="G2109">
        <v>-191.3434</v>
      </c>
      <c r="H2109" s="1">
        <v>-2.9397640000000001E-6</v>
      </c>
      <c r="I2109">
        <v>325.60860000000002</v>
      </c>
      <c r="J2109">
        <v>-191.58029999999999</v>
      </c>
      <c r="K2109">
        <v>1.121469</v>
      </c>
      <c r="L2109">
        <v>347.18540000000002</v>
      </c>
      <c r="M2109">
        <v>5.2566710000000003E-2</v>
      </c>
      <c r="N2109">
        <v>-1.202628E-2</v>
      </c>
      <c r="O2109">
        <v>-0.99854489999999996</v>
      </c>
      <c r="P2109">
        <v>-1.0303629999999999E-2</v>
      </c>
      <c r="Q2109">
        <v>9.2723940000000005E-2</v>
      </c>
      <c r="R2109">
        <v>-0.99563849999999998</v>
      </c>
      <c r="S2109">
        <v>3.3386230000000003E-2</v>
      </c>
      <c r="T2109">
        <v>-0.15684690000000001</v>
      </c>
      <c r="U2109">
        <v>-3.027161</v>
      </c>
      <c r="V2109">
        <v>6.2618839999999995E-2</v>
      </c>
      <c r="W2109">
        <v>0.1046752</v>
      </c>
      <c r="X2109">
        <v>0.99253309999999995</v>
      </c>
      <c r="Y2109">
        <v>4.1547029999999999E-2</v>
      </c>
      <c r="Z2109">
        <v>3.9602199999999997E-2</v>
      </c>
      <c r="AA2109">
        <v>0.9983514</v>
      </c>
      <c r="AB2109">
        <v>8</v>
      </c>
      <c r="AC2109">
        <v>0.23689999999999101</v>
      </c>
      <c r="AD2109">
        <v>-1.1214719397640001</v>
      </c>
      <c r="AE2109">
        <v>-21.576799999999899</v>
      </c>
      <c r="AF2109">
        <v>0.89531272679963603</v>
      </c>
      <c r="AG2109">
        <v>-1.1214719397640001</v>
      </c>
      <c r="AH2109">
        <v>21.501339295697999</v>
      </c>
      <c r="AI2109">
        <v>92.983160804897295</v>
      </c>
      <c r="AJ2109">
        <v>87.6155893015206</v>
      </c>
      <c r="AK2109">
        <v>21.549173434245098</v>
      </c>
      <c r="AL2109">
        <v>83.991546141873002</v>
      </c>
      <c r="AM2109">
        <v>86.389998104231296</v>
      </c>
      <c r="AN2109">
        <v>0.99999998560679704</v>
      </c>
    </row>
    <row r="2110" spans="1:40" x14ac:dyDescent="0.25">
      <c r="A2110" t="str">
        <f>"20190303161915056"</f>
        <v>20190303161915056</v>
      </c>
      <c r="B2110" t="str">
        <f>"1551601155044203"</f>
        <v>1551601155044203</v>
      </c>
      <c r="C2110" t="s">
        <v>40</v>
      </c>
      <c r="D2110">
        <v>5.1573539999999998</v>
      </c>
      <c r="E2110">
        <v>0.49259789999999998</v>
      </c>
      <c r="F2110" t="s">
        <v>41</v>
      </c>
      <c r="G2110">
        <v>-191.3503</v>
      </c>
      <c r="H2110" s="1">
        <v>-2.613521E-6</v>
      </c>
      <c r="I2110">
        <v>324.84379999999999</v>
      </c>
      <c r="J2110">
        <v>-191.57820000000001</v>
      </c>
      <c r="K2110">
        <v>1.121489</v>
      </c>
      <c r="L2110">
        <v>347.10599999999999</v>
      </c>
      <c r="M2110">
        <v>5.0826059999999999E-2</v>
      </c>
      <c r="N2110">
        <v>-1.202051E-2</v>
      </c>
      <c r="O2110">
        <v>-0.9986351</v>
      </c>
      <c r="P2110">
        <v>-9.1351680000000008E-3</v>
      </c>
      <c r="Q2110">
        <v>9.5121449999999996E-2</v>
      </c>
      <c r="R2110">
        <v>-0.99542390000000003</v>
      </c>
      <c r="S2110">
        <v>3.117371E-2</v>
      </c>
      <c r="T2110">
        <v>-0.15197349999999901</v>
      </c>
      <c r="U2110">
        <v>-3.0275569999999998</v>
      </c>
      <c r="V2110">
        <v>5.9706580000000002E-2</v>
      </c>
      <c r="W2110">
        <v>0.1070663</v>
      </c>
      <c r="X2110">
        <v>0.99245749999999999</v>
      </c>
      <c r="Y2110">
        <v>4.0536519999999999E-2</v>
      </c>
      <c r="Z2110">
        <v>3.800866E-2</v>
      </c>
      <c r="AA2110">
        <v>0.99845490000000003</v>
      </c>
      <c r="AB2110">
        <v>8</v>
      </c>
      <c r="AC2110">
        <v>0.22790000000000499</v>
      </c>
      <c r="AD2110">
        <v>-1.121491613521</v>
      </c>
      <c r="AE2110">
        <v>-22.2622</v>
      </c>
      <c r="AF2110">
        <v>0.90168829858034805</v>
      </c>
      <c r="AG2110">
        <v>-1.121491613521</v>
      </c>
      <c r="AH2110">
        <v>22.188702101727699</v>
      </c>
      <c r="AI2110">
        <v>92.891077015367998</v>
      </c>
      <c r="AJ2110">
        <v>87.672936283512897</v>
      </c>
      <c r="AK2110">
        <v>22.235316192629501</v>
      </c>
      <c r="AL2110">
        <v>83.853771820034893</v>
      </c>
      <c r="AM2110">
        <v>86.557215910511005</v>
      </c>
      <c r="AN2110">
        <v>0.99999997879861702</v>
      </c>
    </row>
    <row r="2111" spans="1:40" x14ac:dyDescent="0.25">
      <c r="A2111" t="str">
        <f>"20190303161915077"</f>
        <v>20190303161915077</v>
      </c>
      <c r="B2111" t="str">
        <f>"1551601155064699"</f>
        <v>1551601155064699</v>
      </c>
      <c r="C2111" t="s">
        <v>40</v>
      </c>
      <c r="D2111">
        <v>5.151802</v>
      </c>
      <c r="E2111">
        <v>0.49280279999999999</v>
      </c>
      <c r="F2111" t="s">
        <v>41</v>
      </c>
      <c r="G2111">
        <v>-191.32310000000001</v>
      </c>
      <c r="H2111" s="1">
        <v>-2.0327730000000001E-6</v>
      </c>
      <c r="I2111">
        <v>323.50700000000001</v>
      </c>
      <c r="J2111">
        <v>-191.5763</v>
      </c>
      <c r="K2111">
        <v>1.1215109999999999</v>
      </c>
      <c r="L2111">
        <v>347.03399999999999</v>
      </c>
      <c r="M2111">
        <v>4.9377079999999997E-2</v>
      </c>
      <c r="N2111">
        <v>-1.201612E-2</v>
      </c>
      <c r="O2111">
        <v>-0.99870800000000004</v>
      </c>
      <c r="P2111">
        <v>-5.866306E-3</v>
      </c>
      <c r="Q2111">
        <v>9.6233429999999995E-2</v>
      </c>
      <c r="R2111">
        <v>-0.99534149999999999</v>
      </c>
      <c r="S2111">
        <v>3.2730099999999998E-2</v>
      </c>
      <c r="T2111">
        <v>-0.14389250000000001</v>
      </c>
      <c r="U2111">
        <v>-3.027863</v>
      </c>
      <c r="V2111">
        <v>5.4992060000000002E-2</v>
      </c>
      <c r="W2111">
        <v>0.1081776</v>
      </c>
      <c r="X2111">
        <v>0.99260939999999998</v>
      </c>
      <c r="Y2111">
        <v>3.8574890000000001E-2</v>
      </c>
      <c r="Z2111">
        <v>3.5360580000000003E-2</v>
      </c>
      <c r="AA2111">
        <v>0.99862989999999996</v>
      </c>
      <c r="AB2111">
        <v>8</v>
      </c>
      <c r="AC2111">
        <v>0.25319999999999199</v>
      </c>
      <c r="AD2111">
        <v>-1.1215130327730001</v>
      </c>
      <c r="AE2111">
        <v>-23.526999999999902</v>
      </c>
      <c r="AF2111">
        <v>0.90682685358801596</v>
      </c>
      <c r="AG2111">
        <v>-1.1215130327730001</v>
      </c>
      <c r="AH2111">
        <v>23.4575034663482</v>
      </c>
      <c r="AI2111">
        <v>92.735210803747606</v>
      </c>
      <c r="AJ2111">
        <v>87.786145830127495</v>
      </c>
      <c r="AK2111">
        <v>23.501799831051301</v>
      </c>
      <c r="AL2111">
        <v>83.789726983925704</v>
      </c>
      <c r="AM2111">
        <v>86.828968934901098</v>
      </c>
      <c r="AN2111">
        <v>0.99999997038658095</v>
      </c>
    </row>
    <row r="2112" spans="1:40" x14ac:dyDescent="0.25">
      <c r="A2112" t="str">
        <f>"20190303161915100"</f>
        <v>20190303161915100</v>
      </c>
      <c r="B2112" t="str">
        <f>"1551601155094955"</f>
        <v>1551601155094955</v>
      </c>
      <c r="C2112" t="s">
        <v>40</v>
      </c>
      <c r="D2112">
        <v>5.1590559999999996</v>
      </c>
      <c r="E2112">
        <v>0.49291610000000002</v>
      </c>
      <c r="F2112" t="s">
        <v>41</v>
      </c>
      <c r="G2112">
        <v>-191.26609999999999</v>
      </c>
      <c r="H2112" s="1">
        <v>-1.8990369999999999E-6</v>
      </c>
      <c r="I2112">
        <v>323.23059999999998</v>
      </c>
      <c r="J2112">
        <v>-191.57419999999999</v>
      </c>
      <c r="K2112">
        <v>1.12154</v>
      </c>
      <c r="L2112">
        <v>346.95710000000003</v>
      </c>
      <c r="M2112">
        <v>4.7955419999999999E-2</v>
      </c>
      <c r="N2112">
        <v>-1.2012200000000001E-2</v>
      </c>
      <c r="O2112">
        <v>-0.99877740000000004</v>
      </c>
      <c r="P2112">
        <v>-1.7401179999999999E-3</v>
      </c>
      <c r="Q2112">
        <v>9.8567600000000005E-2</v>
      </c>
      <c r="R2112">
        <v>-0.99512889999999998</v>
      </c>
      <c r="S2112">
        <v>3.9459229999999998E-2</v>
      </c>
      <c r="T2112">
        <v>-0.1426682</v>
      </c>
      <c r="U2112">
        <v>-3.0280459999999998</v>
      </c>
      <c r="V2112">
        <v>4.9438549999999998E-2</v>
      </c>
      <c r="W2112">
        <v>0.110510999999999</v>
      </c>
      <c r="X2112">
        <v>0.99264450000000004</v>
      </c>
      <c r="Y2112">
        <v>3.49352E-2</v>
      </c>
      <c r="Z2112">
        <v>3.496734E-2</v>
      </c>
      <c r="AA2112">
        <v>0.99877769999999999</v>
      </c>
      <c r="AB2112">
        <v>8</v>
      </c>
      <c r="AC2112">
        <v>0.30809999999999599</v>
      </c>
      <c r="AD2112">
        <v>-1.1215418990369901</v>
      </c>
      <c r="AE2112">
        <v>-23.726500000000001</v>
      </c>
      <c r="AF2112">
        <v>0.82830026790443001</v>
      </c>
      <c r="AG2112">
        <v>-1.1215418990369901</v>
      </c>
      <c r="AH2112">
        <v>23.661114498589601</v>
      </c>
      <c r="AI2112">
        <v>92.712142165988396</v>
      </c>
      <c r="AJ2112">
        <v>87.9950759509059</v>
      </c>
      <c r="AK2112">
        <v>23.702157641878699</v>
      </c>
      <c r="AL2112">
        <v>83.655226547097996</v>
      </c>
      <c r="AM2112">
        <v>87.148745991625603</v>
      </c>
      <c r="AN2112">
        <v>0.99999997736367596</v>
      </c>
    </row>
    <row r="2113" spans="1:40" x14ac:dyDescent="0.25">
      <c r="A2113" t="str">
        <f>"20190303161915123"</f>
        <v>20190303161915123</v>
      </c>
      <c r="B2113" t="str">
        <f>"1551601155114475"</f>
        <v>1551601155114475</v>
      </c>
      <c r="C2113" t="s">
        <v>40</v>
      </c>
      <c r="D2113">
        <v>5.2706989999999996</v>
      </c>
      <c r="E2113">
        <v>0.49295329999999898</v>
      </c>
      <c r="F2113" t="s">
        <v>41</v>
      </c>
      <c r="G2113">
        <v>-191.1729</v>
      </c>
      <c r="H2113" s="1">
        <v>-1.4604020000000001E-6</v>
      </c>
      <c r="I2113">
        <v>322.26589999999999</v>
      </c>
      <c r="J2113">
        <v>-191.5719</v>
      </c>
      <c r="K2113">
        <v>1.1215889999999999</v>
      </c>
      <c r="L2113">
        <v>346.87990000000002</v>
      </c>
      <c r="M2113">
        <v>4.6672430000000001E-2</v>
      </c>
      <c r="N2113">
        <v>-1.200909E-2</v>
      </c>
      <c r="O2113">
        <v>-0.99883829999999996</v>
      </c>
      <c r="P2113">
        <v>1.4542719999999999E-3</v>
      </c>
      <c r="Q2113">
        <v>0.1014911</v>
      </c>
      <c r="R2113">
        <v>-0.99483569999999999</v>
      </c>
      <c r="S2113">
        <v>4.9209589999999998E-2</v>
      </c>
      <c r="T2113">
        <v>-0.13756009999999999</v>
      </c>
      <c r="U2113">
        <v>-3.0284420000000001</v>
      </c>
      <c r="V2113">
        <v>4.4947429999999997E-2</v>
      </c>
      <c r="W2113">
        <v>0.113432199999999</v>
      </c>
      <c r="X2113">
        <v>0.99252850000000004</v>
      </c>
      <c r="Y2113">
        <v>3.043885E-2</v>
      </c>
      <c r="Z2113">
        <v>3.3292879999999997E-2</v>
      </c>
      <c r="AA2113">
        <v>0.99898200000000004</v>
      </c>
      <c r="AB2113">
        <v>8</v>
      </c>
      <c r="AC2113">
        <v>0.39900000000000002</v>
      </c>
      <c r="AD2113">
        <v>-1.1215904604019999</v>
      </c>
      <c r="AE2113">
        <v>-24.614000000000001</v>
      </c>
      <c r="AF2113">
        <v>0.74875834618599602</v>
      </c>
      <c r="AG2113">
        <v>-1.1215904604019999</v>
      </c>
      <c r="AH2113">
        <v>24.554825186229401</v>
      </c>
      <c r="AI2113">
        <v>92.614067459051796</v>
      </c>
      <c r="AJ2113">
        <v>88.253402203877897</v>
      </c>
      <c r="AK2113">
        <v>24.591828808531801</v>
      </c>
      <c r="AL2113">
        <v>83.486794864466304</v>
      </c>
      <c r="AM2113">
        <v>87.407087326492899</v>
      </c>
      <c r="AN2113">
        <v>0.99999997938634699</v>
      </c>
    </row>
    <row r="2114" spans="1:40" x14ac:dyDescent="0.25">
      <c r="A2114" t="str">
        <f>"20190303161915144"</f>
        <v>20190303161915144</v>
      </c>
      <c r="B2114" t="str">
        <f>"1551601155133995"</f>
        <v>1551601155133995</v>
      </c>
      <c r="C2114" t="s">
        <v>40</v>
      </c>
      <c r="D2114">
        <v>5.2691019999999904</v>
      </c>
      <c r="E2114">
        <v>0.49290070000000002</v>
      </c>
      <c r="F2114" t="s">
        <v>41</v>
      </c>
      <c r="G2114">
        <v>-191.07980000000001</v>
      </c>
      <c r="H2114" s="1">
        <v>-9.2548899999999998E-7</v>
      </c>
      <c r="I2114">
        <v>321.07670000000002</v>
      </c>
      <c r="J2114">
        <v>-191.56970000000001</v>
      </c>
      <c r="K2114">
        <v>1.1216429999999999</v>
      </c>
      <c r="L2114">
        <v>346.80360000000002</v>
      </c>
      <c r="M2114">
        <v>4.5556180000000002E-2</v>
      </c>
      <c r="N2114">
        <v>-1.200673E-2</v>
      </c>
      <c r="O2114">
        <v>-0.99888980000000005</v>
      </c>
      <c r="P2114">
        <v>4.6992939999999997E-3</v>
      </c>
      <c r="Q2114">
        <v>0.10296</v>
      </c>
      <c r="R2114">
        <v>-0.99467459999999996</v>
      </c>
      <c r="S2114">
        <v>5.776978E-2</v>
      </c>
      <c r="T2114">
        <v>-0.1316592</v>
      </c>
      <c r="U2114">
        <v>-3.028931</v>
      </c>
      <c r="V2114">
        <v>4.0577120000000001E-2</v>
      </c>
      <c r="W2114">
        <v>0.1149012</v>
      </c>
      <c r="X2114">
        <v>0.99254779999999998</v>
      </c>
      <c r="Y2114">
        <v>2.6502330000000001E-2</v>
      </c>
      <c r="Z2114">
        <v>3.1353720000000002E-2</v>
      </c>
      <c r="AA2114">
        <v>0.99915699999999996</v>
      </c>
      <c r="AB2114">
        <v>8</v>
      </c>
      <c r="AC2114">
        <v>0.489900000000005</v>
      </c>
      <c r="AD2114">
        <v>-1.1216439254889901</v>
      </c>
      <c r="AE2114">
        <v>-25.726900000000001</v>
      </c>
      <c r="AF2114">
        <v>0.68141749871242197</v>
      </c>
      <c r="AG2114">
        <v>-1.1216439254889901</v>
      </c>
      <c r="AH2114">
        <v>25.673722733131498</v>
      </c>
      <c r="AI2114">
        <v>92.500690778296999</v>
      </c>
      <c r="AJ2114">
        <v>88.479644604910803</v>
      </c>
      <c r="AK2114">
        <v>25.707245163199602</v>
      </c>
      <c r="AL2114">
        <v>83.402073296312594</v>
      </c>
      <c r="AM2114">
        <v>87.658950226719</v>
      </c>
      <c r="AN2114">
        <v>0.999999961856886</v>
      </c>
    </row>
    <row r="2115" spans="1:40" x14ac:dyDescent="0.25">
      <c r="A2115" t="str">
        <f>"20190303161915169"</f>
        <v>20190303161915169</v>
      </c>
      <c r="B2115" t="str">
        <f>"1551601155154496"</f>
        <v>1551601155154496</v>
      </c>
      <c r="C2115" t="s">
        <v>40</v>
      </c>
      <c r="D2115">
        <v>5.2689789999999999</v>
      </c>
      <c r="E2115">
        <v>0.49308629999999998</v>
      </c>
      <c r="F2115" t="s">
        <v>41</v>
      </c>
      <c r="G2115">
        <v>-190.97839999999999</v>
      </c>
      <c r="H2115" s="1">
        <v>-6.2274599999999998E-7</v>
      </c>
      <c r="I2115">
        <v>320.43389999999999</v>
      </c>
      <c r="J2115">
        <v>-191.56739999999999</v>
      </c>
      <c r="K2115">
        <v>1.1216680000000001</v>
      </c>
      <c r="L2115">
        <v>346.7278</v>
      </c>
      <c r="M2115">
        <v>4.4620899999999998E-2</v>
      </c>
      <c r="N2115">
        <v>-1.200503E-2</v>
      </c>
      <c r="O2115">
        <v>-0.99893200000000004</v>
      </c>
      <c r="P2115">
        <v>8.557126E-3</v>
      </c>
      <c r="Q2115">
        <v>0.101977399999999</v>
      </c>
      <c r="R2115">
        <v>-0.99475009999999997</v>
      </c>
      <c r="S2115">
        <v>6.7916870000000004E-2</v>
      </c>
      <c r="T2115">
        <v>-0.12884319999999999</v>
      </c>
      <c r="U2115">
        <v>-3.029083</v>
      </c>
      <c r="V2115">
        <v>3.5786119999999998E-2</v>
      </c>
      <c r="W2115">
        <v>0.113922</v>
      </c>
      <c r="X2115">
        <v>0.99284490000000003</v>
      </c>
      <c r="Y2115">
        <v>2.2222390000000002E-2</v>
      </c>
      <c r="Z2115">
        <v>3.0431670000000001E-2</v>
      </c>
      <c r="AA2115">
        <v>0.99928980000000001</v>
      </c>
      <c r="AB2115">
        <v>8</v>
      </c>
      <c r="AC2115">
        <v>0.58899999999999797</v>
      </c>
      <c r="AD2115">
        <v>-1.121668622746</v>
      </c>
      <c r="AE2115">
        <v>-26.293900000000001</v>
      </c>
      <c r="AF2115">
        <v>0.58386662601519201</v>
      </c>
      <c r="AG2115">
        <v>-1.121668622746</v>
      </c>
      <c r="AH2115">
        <v>26.246252409417501</v>
      </c>
      <c r="AI2115">
        <v>92.446517975200607</v>
      </c>
      <c r="AJ2115">
        <v>88.7256246623474</v>
      </c>
      <c r="AK2115">
        <v>26.276697019889699</v>
      </c>
      <c r="AL2115">
        <v>83.458547977803804</v>
      </c>
      <c r="AM2115">
        <v>87.935723500064597</v>
      </c>
      <c r="AN2115">
        <v>0.99999993196232995</v>
      </c>
    </row>
    <row r="2116" spans="1:40" x14ac:dyDescent="0.25">
      <c r="A2116" t="str">
        <f>"20190303161915191"</f>
        <v>20190303161915191</v>
      </c>
      <c r="B2116" t="str">
        <f>"1551601155184748"</f>
        <v>1551601155184748</v>
      </c>
      <c r="C2116" t="s">
        <v>40</v>
      </c>
      <c r="D2116">
        <v>5.2634540000000003</v>
      </c>
      <c r="E2116">
        <v>0.49336390000000002</v>
      </c>
      <c r="F2116" t="s">
        <v>41</v>
      </c>
      <c r="G2116">
        <v>-190.92269999999999</v>
      </c>
      <c r="H2116" s="1">
        <v>-1.0007490000000001E-6</v>
      </c>
      <c r="I2116">
        <v>321.34960000000001</v>
      </c>
      <c r="J2116">
        <v>-191.56469999999999</v>
      </c>
      <c r="K2116">
        <v>1.1216930000000001</v>
      </c>
      <c r="L2116">
        <v>346.64670000000001</v>
      </c>
      <c r="M2116">
        <v>4.3796929999999998E-2</v>
      </c>
      <c r="N2116">
        <v>-1.2003939999999999E-2</v>
      </c>
      <c r="O2116">
        <v>-0.99896850000000004</v>
      </c>
      <c r="P2116">
        <v>1.047068E-2</v>
      </c>
      <c r="Q2116">
        <v>9.9495200000000006E-2</v>
      </c>
      <c r="R2116">
        <v>-0.99498310000000001</v>
      </c>
      <c r="S2116">
        <v>7.6934810000000006E-2</v>
      </c>
      <c r="T2116">
        <v>-0.13387160000000001</v>
      </c>
      <c r="U2116">
        <v>-3.0289000000000001</v>
      </c>
      <c r="V2116">
        <v>3.3056229999999999E-2</v>
      </c>
      <c r="W2116">
        <v>0.1114445</v>
      </c>
      <c r="X2116">
        <v>0.99322069999999996</v>
      </c>
      <c r="Y2116">
        <v>1.8425150000000001E-2</v>
      </c>
      <c r="Z2116">
        <v>3.209186E-2</v>
      </c>
      <c r="AA2116">
        <v>0.99931510000000001</v>
      </c>
      <c r="AB2116">
        <v>8</v>
      </c>
      <c r="AC2116">
        <v>0.64199999999999502</v>
      </c>
      <c r="AD2116">
        <v>-1.1216940007489999</v>
      </c>
      <c r="AE2116">
        <v>-25.2971</v>
      </c>
      <c r="AF2116">
        <v>0.46571602616013202</v>
      </c>
      <c r="AG2116">
        <v>-1.1216940007489999</v>
      </c>
      <c r="AH2116">
        <v>25.251327553752201</v>
      </c>
      <c r="AI2116">
        <v>92.543042675470204</v>
      </c>
      <c r="AJ2116">
        <v>88.943400586930693</v>
      </c>
      <c r="AK2116">
        <v>25.280518825277799</v>
      </c>
      <c r="AL2116">
        <v>83.601408477952006</v>
      </c>
      <c r="AM2116">
        <v>88.093793635305403</v>
      </c>
      <c r="AN2116">
        <v>0.99999997491527604</v>
      </c>
    </row>
    <row r="2117" spans="1:40" x14ac:dyDescent="0.25">
      <c r="A2117" t="str">
        <f>"20190303161915214"</f>
        <v>20190303161915214</v>
      </c>
      <c r="B2117" t="str">
        <f>"1551601155204268"</f>
        <v>1551601155204268</v>
      </c>
      <c r="C2117" t="s">
        <v>40</v>
      </c>
      <c r="D2117">
        <v>5.2531339999999904</v>
      </c>
      <c r="E2117">
        <v>0.49355569999999999</v>
      </c>
      <c r="F2117" t="s">
        <v>41</v>
      </c>
      <c r="G2117">
        <v>-190.95</v>
      </c>
      <c r="H2117" s="1">
        <v>-1.8044639999999999E-6</v>
      </c>
      <c r="I2117">
        <v>323.20609999999999</v>
      </c>
      <c r="J2117">
        <v>-191.56209999999999</v>
      </c>
      <c r="K2117">
        <v>1.121705</v>
      </c>
      <c r="L2117">
        <v>346.56880000000001</v>
      </c>
      <c r="M2117">
        <v>4.3143439999999998E-2</v>
      </c>
      <c r="N2117">
        <v>-1.2003669999999999E-2</v>
      </c>
      <c r="O2117">
        <v>-0.99899689999999997</v>
      </c>
      <c r="P2117">
        <v>1.391183E-2</v>
      </c>
      <c r="Q2117">
        <v>9.8753880000000002E-2</v>
      </c>
      <c r="R2117">
        <v>-0.99501499999999998</v>
      </c>
      <c r="S2117">
        <v>7.9422000000000006E-2</v>
      </c>
      <c r="T2117">
        <v>-0.14493510000000001</v>
      </c>
      <c r="U2117">
        <v>-3.028778</v>
      </c>
      <c r="V2117">
        <v>2.8964429999999999E-2</v>
      </c>
      <c r="W2117">
        <v>0.11070430000000001</v>
      </c>
      <c r="X2117">
        <v>0.99343119999999996</v>
      </c>
      <c r="Y2117">
        <v>1.6953349999999999E-2</v>
      </c>
      <c r="Z2117">
        <v>3.5733040000000001E-2</v>
      </c>
      <c r="AA2117">
        <v>0.99921760000000004</v>
      </c>
      <c r="AB2117">
        <v>8</v>
      </c>
      <c r="AC2117">
        <v>0.61209999999999798</v>
      </c>
      <c r="AD2117">
        <v>-1.121706804464</v>
      </c>
      <c r="AE2117">
        <v>-23.3627</v>
      </c>
      <c r="AF2117">
        <v>0.395578488772312</v>
      </c>
      <c r="AG2117">
        <v>-1.121706804464</v>
      </c>
      <c r="AH2117">
        <v>23.313647331935702</v>
      </c>
      <c r="AI2117">
        <v>92.754194250077703</v>
      </c>
      <c r="AJ2117">
        <v>89.027916875155697</v>
      </c>
      <c r="AK2117">
        <v>23.343968394723099</v>
      </c>
      <c r="AL2117">
        <v>83.644082815980994</v>
      </c>
      <c r="AM2117">
        <v>88.329960249461806</v>
      </c>
      <c r="AN2117">
        <v>0.99999996468857599</v>
      </c>
    </row>
    <row r="2118" spans="1:40" x14ac:dyDescent="0.25">
      <c r="A2118" t="str">
        <f>"20190303161915235"</f>
        <v>20190303161915235</v>
      </c>
      <c r="B2118" t="str">
        <f>"1551601155224764"</f>
        <v>1551601155224764</v>
      </c>
      <c r="C2118" t="s">
        <v>40</v>
      </c>
      <c r="D2118">
        <v>5.0932050000000002</v>
      </c>
      <c r="E2118">
        <v>0.49626369999999997</v>
      </c>
      <c r="F2118" t="s">
        <v>41</v>
      </c>
      <c r="G2118">
        <v>-190.90299999999999</v>
      </c>
      <c r="H2118" s="1">
        <v>-2.0391679999999999E-6</v>
      </c>
      <c r="I2118">
        <v>323.7824</v>
      </c>
      <c r="J2118">
        <v>-191.55950000000001</v>
      </c>
      <c r="K2118">
        <v>1.12171</v>
      </c>
      <c r="L2118">
        <v>346.4975</v>
      </c>
      <c r="M2118">
        <v>4.2660209999999997E-2</v>
      </c>
      <c r="N2118">
        <v>-1.20039E-2</v>
      </c>
      <c r="O2118">
        <v>-0.99901770000000001</v>
      </c>
      <c r="P2118">
        <v>1.5631929999999999E-2</v>
      </c>
      <c r="Q2118">
        <v>9.8042959999999998E-2</v>
      </c>
      <c r="R2118">
        <v>-0.99505960000000004</v>
      </c>
      <c r="S2118">
        <v>8.7600709999999998E-2</v>
      </c>
      <c r="T2118">
        <v>-0.14909049999999999</v>
      </c>
      <c r="U2118">
        <v>-3.0286249999999999</v>
      </c>
      <c r="V2118">
        <v>2.6765170000000001E-2</v>
      </c>
      <c r="W2118">
        <v>0.10999440000000001</v>
      </c>
      <c r="X2118">
        <v>0.9935718</v>
      </c>
      <c r="Y2118">
        <v>1.377448E-2</v>
      </c>
      <c r="Z2118">
        <v>3.7102389999999999E-2</v>
      </c>
      <c r="AA2118">
        <v>0.99921660000000001</v>
      </c>
      <c r="AB2118">
        <v>8</v>
      </c>
      <c r="AC2118">
        <v>0.65650000000002195</v>
      </c>
      <c r="AD2118">
        <v>-1.121712039168</v>
      </c>
      <c r="AE2118">
        <v>-22.7151</v>
      </c>
      <c r="AF2118">
        <v>0.31243706606710703</v>
      </c>
      <c r="AG2118">
        <v>-1.121712039168</v>
      </c>
      <c r="AH2118">
        <v>22.667197333098901</v>
      </c>
      <c r="AI2118">
        <v>92.832767086426699</v>
      </c>
      <c r="AJ2118">
        <v>89.210304148867195</v>
      </c>
      <c r="AK2118">
        <v>22.697085490360099</v>
      </c>
      <c r="AL2118">
        <v>83.685007449140201</v>
      </c>
      <c r="AM2118">
        <v>88.456920282451804</v>
      </c>
      <c r="AN2118">
        <v>1.00000003205586</v>
      </c>
    </row>
    <row r="2119" spans="1:40" x14ac:dyDescent="0.25">
      <c r="A2119" t="str">
        <f>"20190303161915256"</f>
        <v>20190303161915256</v>
      </c>
      <c r="B2119" t="str">
        <f>"1551601155244283"</f>
        <v>1551601155244283</v>
      </c>
      <c r="C2119" t="s">
        <v>40</v>
      </c>
      <c r="D2119">
        <v>5.3049589999999904</v>
      </c>
      <c r="E2119">
        <v>0.49686330000000001</v>
      </c>
      <c r="F2119" t="s">
        <v>41</v>
      </c>
      <c r="G2119">
        <v>-191.11879999999999</v>
      </c>
      <c r="H2119" s="1">
        <v>-3.7437330000000001E-6</v>
      </c>
      <c r="I2119">
        <v>327.62189999999998</v>
      </c>
      <c r="J2119">
        <v>-191.55690000000001</v>
      </c>
      <c r="K2119">
        <v>1.121704</v>
      </c>
      <c r="L2119">
        <v>346.42430000000002</v>
      </c>
      <c r="M2119">
        <v>4.2276069999999999E-2</v>
      </c>
      <c r="N2119">
        <v>-1.2004570000000001E-2</v>
      </c>
      <c r="O2119">
        <v>-0.99903390000000003</v>
      </c>
      <c r="P2119">
        <v>1.5053199999999999E-2</v>
      </c>
      <c r="Q2119">
        <v>9.7345000000000001E-2</v>
      </c>
      <c r="R2119">
        <v>-0.99513700000000005</v>
      </c>
      <c r="S2119">
        <v>7.0785520000000005E-2</v>
      </c>
      <c r="T2119">
        <v>-0.1801517</v>
      </c>
      <c r="U2119">
        <v>-3.0314939999999999</v>
      </c>
      <c r="V2119">
        <v>2.6963580000000001E-2</v>
      </c>
      <c r="W2119">
        <v>0.1092986</v>
      </c>
      <c r="X2119">
        <v>0.99364319999999895</v>
      </c>
      <c r="Y2119">
        <v>1.896275E-2</v>
      </c>
      <c r="Z2119">
        <v>4.724739E-2</v>
      </c>
      <c r="AA2119">
        <v>0.99870320000000001</v>
      </c>
      <c r="AB2119">
        <v>8</v>
      </c>
      <c r="AC2119">
        <v>0.43810000000001897</v>
      </c>
      <c r="AD2119">
        <v>-1.1217077437330001</v>
      </c>
      <c r="AE2119">
        <v>-18.802399999999999</v>
      </c>
      <c r="AF2119">
        <v>0.355974309979885</v>
      </c>
      <c r="AG2119">
        <v>-1.1217077437330001</v>
      </c>
      <c r="AH2119">
        <v>18.737458917919199</v>
      </c>
      <c r="AI2119">
        <v>93.425275328236296</v>
      </c>
      <c r="AJ2119">
        <v>88.911625508261693</v>
      </c>
      <c r="AK2119">
        <v>18.774379155445502</v>
      </c>
      <c r="AL2119">
        <v>83.725115563509405</v>
      </c>
      <c r="AM2119">
        <v>88.445598683872404</v>
      </c>
      <c r="AN2119">
        <v>1.0000000137573</v>
      </c>
    </row>
    <row r="2120" spans="1:40" x14ac:dyDescent="0.25">
      <c r="A2120" t="str">
        <f>"20190303161915279"</f>
        <v>20190303161915279</v>
      </c>
      <c r="B2120" t="str">
        <f>"1551601155264780"</f>
        <v>1551601155264780</v>
      </c>
      <c r="C2120" t="s">
        <v>40</v>
      </c>
      <c r="D2120">
        <v>5.3067719999999996</v>
      </c>
      <c r="E2120">
        <v>0.49713619999999997</v>
      </c>
      <c r="F2120" t="s">
        <v>41</v>
      </c>
      <c r="G2120">
        <v>-191.1439</v>
      </c>
      <c r="H2120" s="1">
        <v>-3.5139540000000002E-6</v>
      </c>
      <c r="I2120">
        <v>327.07080000000002</v>
      </c>
      <c r="J2120">
        <v>-191.554</v>
      </c>
      <c r="K2120">
        <v>1.1217090000000001</v>
      </c>
      <c r="L2120">
        <v>346.34800000000001</v>
      </c>
      <c r="M2120">
        <v>4.1989890000000002E-2</v>
      </c>
      <c r="N2120">
        <v>-1.200564E-2</v>
      </c>
      <c r="O2120">
        <v>-0.99904579999999998</v>
      </c>
      <c r="P2120">
        <v>1.413232E-2</v>
      </c>
      <c r="Q2120">
        <v>9.5710480000000001E-2</v>
      </c>
      <c r="R2120">
        <v>-0.99530890000000005</v>
      </c>
      <c r="S2120">
        <v>6.4682009999999998E-2</v>
      </c>
      <c r="T2120">
        <v>-0.1756634</v>
      </c>
      <c r="U2120">
        <v>-3.0308229999999998</v>
      </c>
      <c r="V2120">
        <v>2.7605480000000002E-2</v>
      </c>
      <c r="W2120">
        <v>0.1076675</v>
      </c>
      <c r="X2120">
        <v>0.99380360000000001</v>
      </c>
      <c r="Y2120">
        <v>2.0679360000000001E-2</v>
      </c>
      <c r="Z2120">
        <v>4.5788299999999997E-2</v>
      </c>
      <c r="AA2120">
        <v>0.99873710000000004</v>
      </c>
      <c r="AB2120">
        <v>8</v>
      </c>
      <c r="AC2120">
        <v>0.41009999999999902</v>
      </c>
      <c r="AD2120">
        <v>-1.1217125139540001</v>
      </c>
      <c r="AE2120">
        <v>-19.277200000000001</v>
      </c>
      <c r="AF2120">
        <v>0.39841927595340199</v>
      </c>
      <c r="AG2120">
        <v>-1.1217125139540001</v>
      </c>
      <c r="AH2120">
        <v>19.2123950527387</v>
      </c>
      <c r="AI2120">
        <v>93.340694726423393</v>
      </c>
      <c r="AJ2120">
        <v>88.811992392257295</v>
      </c>
      <c r="AK2120">
        <v>19.249236362669301</v>
      </c>
      <c r="AL2120">
        <v>83.819125292518905</v>
      </c>
      <c r="AM2120">
        <v>88.408869842309898</v>
      </c>
      <c r="AN2120">
        <v>0.99999997422761899</v>
      </c>
    </row>
    <row r="2121" spans="1:40" x14ac:dyDescent="0.25">
      <c r="A2121" t="str">
        <f>"20190303161915301"</f>
        <v>20190303161915301</v>
      </c>
      <c r="B2121" t="str">
        <f>"1551601155294060"</f>
        <v>1551601155294060</v>
      </c>
      <c r="C2121" t="s">
        <v>40</v>
      </c>
      <c r="D2121">
        <v>5.3070789999999999</v>
      </c>
      <c r="E2121">
        <v>0.4976449</v>
      </c>
      <c r="F2121" t="s">
        <v>41</v>
      </c>
      <c r="G2121">
        <v>-191.17779999999999</v>
      </c>
      <c r="H2121" s="1">
        <v>-3.5546569999999999E-6</v>
      </c>
      <c r="I2121">
        <v>327.14460000000003</v>
      </c>
      <c r="J2121">
        <v>-191.55099999999999</v>
      </c>
      <c r="K2121">
        <v>1.1217109999999999</v>
      </c>
      <c r="L2121">
        <v>346.2704</v>
      </c>
      <c r="M2121">
        <v>4.1803130000000001E-2</v>
      </c>
      <c r="N2121">
        <v>-1.2006940000000001E-2</v>
      </c>
      <c r="O2121">
        <v>-0.999054</v>
      </c>
      <c r="P2121">
        <v>1.259539E-2</v>
      </c>
      <c r="Q2121">
        <v>9.372076E-2</v>
      </c>
      <c r="R2121">
        <v>-0.9955193</v>
      </c>
      <c r="S2121">
        <v>5.937195E-2</v>
      </c>
      <c r="T2121">
        <v>-0.17700489999999999</v>
      </c>
      <c r="U2121">
        <v>-3.0302730000000002</v>
      </c>
      <c r="V2121">
        <v>2.8962829999999998E-2</v>
      </c>
      <c r="W2121">
        <v>0.10568279999999999</v>
      </c>
      <c r="X2121">
        <v>0.99397800000000003</v>
      </c>
      <c r="Y2121">
        <v>2.2237630000000001E-2</v>
      </c>
      <c r="Z2121">
        <v>4.6237819999999999E-2</v>
      </c>
      <c r="AA2121">
        <v>0.99868290000000004</v>
      </c>
      <c r="AB2121">
        <v>8</v>
      </c>
      <c r="AC2121">
        <v>0.37319999999999698</v>
      </c>
      <c r="AD2121">
        <v>-1.121714554657</v>
      </c>
      <c r="AE2121">
        <v>-19.125799999999899</v>
      </c>
      <c r="AF2121">
        <v>0.425239832669981</v>
      </c>
      <c r="AG2121">
        <v>-1.121714554657</v>
      </c>
      <c r="AH2121">
        <v>19.059147614140102</v>
      </c>
      <c r="AI2121">
        <v>93.367386767326295</v>
      </c>
      <c r="AJ2121">
        <v>88.721852285163394</v>
      </c>
      <c r="AK2121">
        <v>19.0968630993418</v>
      </c>
      <c r="AL2121">
        <v>83.933492886232003</v>
      </c>
      <c r="AM2121">
        <v>88.330970590241904</v>
      </c>
      <c r="AN2121">
        <v>0.99999998211072405</v>
      </c>
    </row>
    <row r="2122" spans="1:40" x14ac:dyDescent="0.25">
      <c r="A2122" t="str">
        <f>"20190303161915324"</f>
        <v>20190303161915324</v>
      </c>
      <c r="B2122" t="str">
        <f>"1551601155314555"</f>
        <v>1551601155314555</v>
      </c>
      <c r="C2122" t="s">
        <v>40</v>
      </c>
      <c r="D2122">
        <v>5.2449729999999999</v>
      </c>
      <c r="E2122">
        <v>0.49784279999999997</v>
      </c>
      <c r="F2122" t="s">
        <v>41</v>
      </c>
      <c r="G2122">
        <v>-191.24549999999999</v>
      </c>
      <c r="H2122" s="1">
        <v>-3.7260369999999999E-6</v>
      </c>
      <c r="I2122">
        <v>327.50209999999998</v>
      </c>
      <c r="J2122">
        <v>-191.548</v>
      </c>
      <c r="K2122">
        <v>1.121715</v>
      </c>
      <c r="L2122">
        <v>346.19659999999999</v>
      </c>
      <c r="M2122">
        <v>4.1715160000000001E-2</v>
      </c>
      <c r="N2122">
        <v>-1.200851E-2</v>
      </c>
      <c r="O2122">
        <v>-0.99905750000000004</v>
      </c>
      <c r="P2122">
        <v>1.0823599999999999E-2</v>
      </c>
      <c r="Q2122">
        <v>9.1748479999999993E-2</v>
      </c>
      <c r="R2122">
        <v>-0.99572380000000005</v>
      </c>
      <c r="S2122">
        <v>4.9316409999999998E-2</v>
      </c>
      <c r="T2122">
        <v>-0.18109259999999999</v>
      </c>
      <c r="U2122">
        <v>-3.0299990000000001</v>
      </c>
      <c r="V2122">
        <v>3.065323E-2</v>
      </c>
      <c r="W2122">
        <v>0.1037153</v>
      </c>
      <c r="X2122">
        <v>0.99413450000000003</v>
      </c>
      <c r="Y2122">
        <v>2.5460400000000001E-2</v>
      </c>
      <c r="Z2122">
        <v>4.7581320000000003E-2</v>
      </c>
      <c r="AA2122">
        <v>0.99854279999999995</v>
      </c>
      <c r="AB2122">
        <v>8</v>
      </c>
      <c r="AC2122">
        <v>0.30250000000000898</v>
      </c>
      <c r="AD2122">
        <v>-1.1217187260370001</v>
      </c>
      <c r="AE2122">
        <v>-18.694500000000001</v>
      </c>
      <c r="AF2122">
        <v>0.47595042579194802</v>
      </c>
      <c r="AG2122">
        <v>-1.1217187260370001</v>
      </c>
      <c r="AH2122">
        <v>18.623810666271702</v>
      </c>
      <c r="AI2122">
        <v>93.445658899379595</v>
      </c>
      <c r="AJ2122">
        <v>88.536066720719901</v>
      </c>
      <c r="AK2122">
        <v>18.663630553600498</v>
      </c>
      <c r="AL2122">
        <v>84.0468451165614</v>
      </c>
      <c r="AM2122">
        <v>88.233896490794393</v>
      </c>
      <c r="AN2122">
        <v>0.99999994402688397</v>
      </c>
    </row>
    <row r="2123" spans="1:40" x14ac:dyDescent="0.25">
      <c r="A2123" t="str">
        <f>"20190303161915346"</f>
        <v>20190303161915346</v>
      </c>
      <c r="B2123" t="str">
        <f>"1551601155335051"</f>
        <v>1551601155335051</v>
      </c>
      <c r="C2123" t="s">
        <v>40</v>
      </c>
      <c r="D2123">
        <v>5.186903</v>
      </c>
      <c r="E2123">
        <v>0.49777359999999998</v>
      </c>
      <c r="F2123" t="s">
        <v>41</v>
      </c>
      <c r="G2123">
        <v>-191.29640000000001</v>
      </c>
      <c r="H2123" s="1">
        <v>-3.8586239999999996E-6</v>
      </c>
      <c r="I2123">
        <v>327.77960000000002</v>
      </c>
      <c r="J2123">
        <v>-191.54490000000001</v>
      </c>
      <c r="K2123">
        <v>1.1217159999999999</v>
      </c>
      <c r="L2123">
        <v>346.12119999999999</v>
      </c>
      <c r="M2123">
        <v>4.1709129999999997E-2</v>
      </c>
      <c r="N2123">
        <v>-1.201027E-2</v>
      </c>
      <c r="O2123">
        <v>-0.9990578</v>
      </c>
      <c r="P2123">
        <v>8.9281359999999997E-3</v>
      </c>
      <c r="Q2123">
        <v>9.1774369999999994E-2</v>
      </c>
      <c r="R2123">
        <v>-0.99573999999999996</v>
      </c>
      <c r="S2123">
        <v>4.1397089999999998E-2</v>
      </c>
      <c r="T2123">
        <v>-0.18451429999999999</v>
      </c>
      <c r="U2123">
        <v>-3.0294490000000001</v>
      </c>
      <c r="V2123">
        <v>3.2541069999999998E-2</v>
      </c>
      <c r="W2123">
        <v>0.1037438</v>
      </c>
      <c r="X2123">
        <v>0.99407160000000006</v>
      </c>
      <c r="Y2123">
        <v>2.8060459999999999E-2</v>
      </c>
      <c r="Z2123">
        <v>4.8711110000000002E-2</v>
      </c>
      <c r="AA2123">
        <v>0.99841869999999999</v>
      </c>
      <c r="AB2123">
        <v>8</v>
      </c>
      <c r="AC2123">
        <v>0.24850000000000699</v>
      </c>
      <c r="AD2123">
        <v>-1.121719858624</v>
      </c>
      <c r="AE2123">
        <v>-18.3415999999999</v>
      </c>
      <c r="AF2123">
        <v>0.51485817211877904</v>
      </c>
      <c r="AG2123">
        <v>-1.121719858624</v>
      </c>
      <c r="AH2123">
        <v>18.267690021227999</v>
      </c>
      <c r="AI2123">
        <v>93.512420223919094</v>
      </c>
      <c r="AJ2123">
        <v>88.385598114982699</v>
      </c>
      <c r="AK2123">
        <v>18.3093373198022</v>
      </c>
      <c r="AL2123">
        <v>84.045203793809904</v>
      </c>
      <c r="AM2123">
        <v>88.125084330768701</v>
      </c>
      <c r="AN2123">
        <v>1.00000002160087</v>
      </c>
    </row>
    <row r="2124" spans="1:40" x14ac:dyDescent="0.25">
      <c r="A2124" t="str">
        <f>"20190303161915368"</f>
        <v>20190303161915368</v>
      </c>
      <c r="B2124" t="str">
        <f>"1551601155354572"</f>
        <v>1551601155354572</v>
      </c>
      <c r="C2124" t="s">
        <v>40</v>
      </c>
      <c r="D2124">
        <v>5.1306139999999996</v>
      </c>
      <c r="E2124">
        <v>0.49774750000000001</v>
      </c>
      <c r="F2124" t="s">
        <v>41</v>
      </c>
      <c r="G2124">
        <v>-191.3202</v>
      </c>
      <c r="H2124" s="1">
        <v>-3.7683960000000001E-6</v>
      </c>
      <c r="I2124">
        <v>327.55450000000002</v>
      </c>
      <c r="J2124">
        <v>-191.54169999999999</v>
      </c>
      <c r="K2124">
        <v>1.121712</v>
      </c>
      <c r="L2124">
        <v>346.04610000000002</v>
      </c>
      <c r="M2124">
        <v>4.1771320000000001E-2</v>
      </c>
      <c r="N2124">
        <v>-1.201203E-2</v>
      </c>
      <c r="O2124">
        <v>-0.99905509999999997</v>
      </c>
      <c r="P2124">
        <v>7.8378400000000004E-3</v>
      </c>
      <c r="Q2124">
        <v>9.2370640000000004E-2</v>
      </c>
      <c r="R2124">
        <v>-0.99569390000000002</v>
      </c>
      <c r="S2124">
        <v>3.6651610000000001E-2</v>
      </c>
      <c r="T2124">
        <v>-0.1830212</v>
      </c>
      <c r="U2124">
        <v>-3.0293580000000002</v>
      </c>
      <c r="V2124">
        <v>3.3692970000000003E-2</v>
      </c>
      <c r="W2124">
        <v>0.1043404</v>
      </c>
      <c r="X2124">
        <v>0.99397080000000004</v>
      </c>
      <c r="Y2124">
        <v>2.9685079999999999E-2</v>
      </c>
      <c r="Z2124">
        <v>4.8220010000000001E-2</v>
      </c>
      <c r="AA2124">
        <v>0.99839549999999999</v>
      </c>
      <c r="AB2124">
        <v>8</v>
      </c>
      <c r="AC2124">
        <v>0.22149999999999101</v>
      </c>
      <c r="AD2124">
        <v>-1.121715768396</v>
      </c>
      <c r="AE2124">
        <v>-18.491599999999998</v>
      </c>
      <c r="AF2124">
        <v>0.54914711285006601</v>
      </c>
      <c r="AG2124">
        <v>-1.121715768396</v>
      </c>
      <c r="AH2124">
        <v>18.416951375313801</v>
      </c>
      <c r="AI2124">
        <v>93.483846835270896</v>
      </c>
      <c r="AJ2124">
        <v>88.2920901733644</v>
      </c>
      <c r="AK2124">
        <v>18.459249897471299</v>
      </c>
      <c r="AL2124">
        <v>84.010834737038806</v>
      </c>
      <c r="AM2124">
        <v>88.058568619673196</v>
      </c>
      <c r="AN2124">
        <v>1.0000000432761</v>
      </c>
    </row>
    <row r="2125" spans="1:40" x14ac:dyDescent="0.25">
      <c r="A2125" t="str">
        <f>"20190303161915391"</f>
        <v>20190303161915391</v>
      </c>
      <c r="B2125" t="str">
        <f>"1551601155384827"</f>
        <v>1551601155384827</v>
      </c>
      <c r="C2125" t="s">
        <v>40</v>
      </c>
      <c r="D2125">
        <v>5.1968500000000004</v>
      </c>
      <c r="E2125">
        <v>0.49761739999999999</v>
      </c>
      <c r="F2125" t="s">
        <v>41</v>
      </c>
      <c r="G2125">
        <v>-191.33080000000001</v>
      </c>
      <c r="H2125" s="1">
        <v>-3.6391929999999998E-6</v>
      </c>
      <c r="I2125">
        <v>327.24680000000001</v>
      </c>
      <c r="J2125">
        <v>-191.53819999999999</v>
      </c>
      <c r="K2125">
        <v>1.121688</v>
      </c>
      <c r="L2125">
        <v>345.96789999999999</v>
      </c>
      <c r="M2125">
        <v>4.1873470000000003E-2</v>
      </c>
      <c r="N2125">
        <v>-1.20138E-2</v>
      </c>
      <c r="O2125">
        <v>-0.99905080000000002</v>
      </c>
      <c r="P2125">
        <v>6.4679109999999998E-3</v>
      </c>
      <c r="Q2125">
        <v>9.4517799999999999E-2</v>
      </c>
      <c r="R2125">
        <v>-0.99550229999999995</v>
      </c>
      <c r="S2125">
        <v>3.3981320000000002E-2</v>
      </c>
      <c r="T2125">
        <v>-0.18076410000000001</v>
      </c>
      <c r="U2125">
        <v>-3.0295100000000001</v>
      </c>
      <c r="V2125">
        <v>3.5161600000000001E-2</v>
      </c>
      <c r="W2125">
        <v>0.1064846</v>
      </c>
      <c r="X2125">
        <v>0.99369249999999998</v>
      </c>
      <c r="Y2125">
        <v>3.0667070000000001E-2</v>
      </c>
      <c r="Z2125">
        <v>4.7473689999999999E-2</v>
      </c>
      <c r="AA2125">
        <v>0.9984016</v>
      </c>
      <c r="AB2125">
        <v>8</v>
      </c>
      <c r="AC2125">
        <v>0.20739999999997799</v>
      </c>
      <c r="AD2125">
        <v>-1.1216916391930001</v>
      </c>
      <c r="AE2125">
        <v>-18.7210999999999</v>
      </c>
      <c r="AF2125">
        <v>0.57469299719247402</v>
      </c>
      <c r="AG2125">
        <v>-1.1216916391930001</v>
      </c>
      <c r="AH2125">
        <v>18.646432040897899</v>
      </c>
      <c r="AI2125">
        <v>93.440896839476295</v>
      </c>
      <c r="AJ2125">
        <v>88.234672288856103</v>
      </c>
      <c r="AK2125">
        <v>18.6889778219753</v>
      </c>
      <c r="AL2125">
        <v>83.887292822525296</v>
      </c>
      <c r="AM2125">
        <v>87.973446421677494</v>
      </c>
      <c r="AN2125">
        <v>1.00000004635398</v>
      </c>
    </row>
    <row r="2126" spans="1:40" x14ac:dyDescent="0.25">
      <c r="A2126" t="str">
        <f>"20190303161915414"</f>
        <v>20190303161915414</v>
      </c>
      <c r="B2126" t="str">
        <f>"1551601155404349"</f>
        <v>1551601155404349</v>
      </c>
      <c r="C2126" t="s">
        <v>40</v>
      </c>
      <c r="D2126">
        <v>5.2048100000000002</v>
      </c>
      <c r="E2126">
        <v>0.49741849999999999</v>
      </c>
      <c r="F2126" t="s">
        <v>41</v>
      </c>
      <c r="G2126">
        <v>-191.33680000000001</v>
      </c>
      <c r="H2126" s="1">
        <v>-3.2702960000000002E-6</v>
      </c>
      <c r="I2126">
        <v>326.38310000000001</v>
      </c>
      <c r="J2126">
        <v>-191.53489999999999</v>
      </c>
      <c r="K2126">
        <v>1.1216539999999999</v>
      </c>
      <c r="L2126">
        <v>345.89299999999997</v>
      </c>
      <c r="M2126">
        <v>4.1967749999999998E-2</v>
      </c>
      <c r="N2126">
        <v>-1.2015369999999999E-2</v>
      </c>
      <c r="O2126">
        <v>-0.99904700000000002</v>
      </c>
      <c r="P2126">
        <v>4.8678920000000004E-3</v>
      </c>
      <c r="Q2126">
        <v>9.5602779999999998E-2</v>
      </c>
      <c r="R2126">
        <v>-0.99540810000000002</v>
      </c>
      <c r="S2126">
        <v>3.1158450000000001E-2</v>
      </c>
      <c r="T2126">
        <v>-0.17352890000000001</v>
      </c>
      <c r="U2126">
        <v>-3.0298159999999998</v>
      </c>
      <c r="V2126">
        <v>3.6860339999999998E-2</v>
      </c>
      <c r="W2126">
        <v>0.1075665</v>
      </c>
      <c r="X2126">
        <v>0.99351440000000002</v>
      </c>
      <c r="Y2126">
        <v>3.1691469999999999E-2</v>
      </c>
      <c r="Z2126">
        <v>4.5091409999999998E-2</v>
      </c>
      <c r="AA2126">
        <v>0.99848009999999998</v>
      </c>
      <c r="AB2126">
        <v>8</v>
      </c>
      <c r="AC2126">
        <v>0.19809999999998201</v>
      </c>
      <c r="AD2126">
        <v>-1.1216572702959999</v>
      </c>
      <c r="AE2126">
        <v>-19.509899999999998</v>
      </c>
      <c r="AF2126">
        <v>0.61887468798911605</v>
      </c>
      <c r="AG2126">
        <v>-1.1216572702959999</v>
      </c>
      <c r="AH2126">
        <v>19.436785355957198</v>
      </c>
      <c r="AI2126">
        <v>93.301090409883699</v>
      </c>
      <c r="AJ2126">
        <v>88.176296571734099</v>
      </c>
      <c r="AK2126">
        <v>19.478956488605601</v>
      </c>
      <c r="AL2126">
        <v>83.824946438878598</v>
      </c>
      <c r="AM2126">
        <v>87.875245998759297</v>
      </c>
      <c r="AN2126">
        <v>1.0000000497972601</v>
      </c>
    </row>
    <row r="2127" spans="1:40" x14ac:dyDescent="0.25">
      <c r="A2127" t="str">
        <f>"20190303161915435"</f>
        <v>20190303161915435</v>
      </c>
      <c r="B2127" t="str">
        <f>"1551601155424844"</f>
        <v>1551601155424844</v>
      </c>
      <c r="C2127" t="s">
        <v>40</v>
      </c>
      <c r="D2127">
        <v>4.8710709999999997</v>
      </c>
      <c r="E2127">
        <v>0.49725740000000002</v>
      </c>
      <c r="F2127" t="s">
        <v>41</v>
      </c>
      <c r="G2127">
        <v>-191.3434</v>
      </c>
      <c r="H2127" s="1">
        <v>-3.000474E-6</v>
      </c>
      <c r="I2127">
        <v>325.75009999999997</v>
      </c>
      <c r="J2127">
        <v>-191.5317</v>
      </c>
      <c r="K2127">
        <v>1.1215999999999999</v>
      </c>
      <c r="L2127">
        <v>345.81990000000002</v>
      </c>
      <c r="M2127">
        <v>4.2035690000000001E-2</v>
      </c>
      <c r="N2127">
        <v>-1.2016860000000001E-2</v>
      </c>
      <c r="O2127">
        <v>-0.99904380000000004</v>
      </c>
      <c r="P2127">
        <v>2.3180200000000001E-3</v>
      </c>
      <c r="Q2127">
        <v>9.4872410000000004E-2</v>
      </c>
      <c r="R2127">
        <v>-0.99548700000000001</v>
      </c>
      <c r="S2127">
        <v>2.8808589999999999E-2</v>
      </c>
      <c r="T2127">
        <v>-0.16871700000000001</v>
      </c>
      <c r="U2127">
        <v>-3.029846</v>
      </c>
      <c r="V2127">
        <v>3.9492640000000002E-2</v>
      </c>
      <c r="W2127">
        <v>0.1068336</v>
      </c>
      <c r="X2127">
        <v>0.99349229999999999</v>
      </c>
      <c r="Y2127">
        <v>3.253317E-2</v>
      </c>
      <c r="Z2127">
        <v>4.3509359999999997E-2</v>
      </c>
      <c r="AA2127">
        <v>0.99852320000000006</v>
      </c>
      <c r="AB2127">
        <v>8</v>
      </c>
      <c r="AC2127">
        <v>0.188299999999998</v>
      </c>
      <c r="AD2127">
        <v>-1.1216030004740001</v>
      </c>
      <c r="AE2127">
        <v>-20.069800000000001</v>
      </c>
      <c r="AF2127">
        <v>0.65353440274658803</v>
      </c>
      <c r="AG2127">
        <v>-1.1216030004740001</v>
      </c>
      <c r="AH2127">
        <v>19.997524144298499</v>
      </c>
      <c r="AI2127">
        <v>93.208481037609502</v>
      </c>
      <c r="AJ2127">
        <v>88.128196242230999</v>
      </c>
      <c r="AK2127">
        <v>20.039612581286299</v>
      </c>
      <c r="AL2127">
        <v>83.867181704496105</v>
      </c>
      <c r="AM2127">
        <v>87.723615095391395</v>
      </c>
      <c r="AN2127">
        <v>1.0000000184311999</v>
      </c>
    </row>
    <row r="2128" spans="1:40" x14ac:dyDescent="0.25">
      <c r="A2128" t="str">
        <f>"20190303161915458"</f>
        <v>20190303161915458</v>
      </c>
      <c r="B2128" t="str">
        <f>"1551601155444363"</f>
        <v>1551601155444363</v>
      </c>
      <c r="C2128" t="s">
        <v>40</v>
      </c>
      <c r="D2128">
        <v>4.83582</v>
      </c>
      <c r="E2128">
        <v>0.49717339999999999</v>
      </c>
      <c r="F2128" t="s">
        <v>41</v>
      </c>
      <c r="G2128">
        <v>-191.38159999999999</v>
      </c>
      <c r="H2128" s="1">
        <v>-3.0297969999999999E-6</v>
      </c>
      <c r="I2128">
        <v>325.79469999999998</v>
      </c>
      <c r="J2128">
        <v>-191.5284</v>
      </c>
      <c r="K2128">
        <v>1.121537</v>
      </c>
      <c r="L2128">
        <v>345.74439999999998</v>
      </c>
      <c r="M2128">
        <v>4.207491E-2</v>
      </c>
      <c r="N2128">
        <v>-1.2018259999999999E-2</v>
      </c>
      <c r="O2128">
        <v>-0.99904219999999999</v>
      </c>
      <c r="P2128">
        <v>-3.0836479999999999E-4</v>
      </c>
      <c r="Q2128">
        <v>9.2844860000000001E-2</v>
      </c>
      <c r="R2128">
        <v>-0.99568060000000003</v>
      </c>
      <c r="S2128">
        <v>2.2705079999999999E-2</v>
      </c>
      <c r="T2128">
        <v>-0.16969600000000001</v>
      </c>
      <c r="U2128">
        <v>-3.0297550000000002</v>
      </c>
      <c r="V2128">
        <v>4.2178500000000001E-2</v>
      </c>
      <c r="W2128">
        <v>0.1048042</v>
      </c>
      <c r="X2128">
        <v>0.99359799999999998</v>
      </c>
      <c r="Y2128">
        <v>3.4582639999999998E-2</v>
      </c>
      <c r="Z2128">
        <v>4.3828819999999998E-2</v>
      </c>
      <c r="AA2128">
        <v>0.99844029999999995</v>
      </c>
      <c r="AB2128">
        <v>8</v>
      </c>
      <c r="AC2128">
        <v>0.146800000000013</v>
      </c>
      <c r="AD2128">
        <v>-1.121540029797</v>
      </c>
      <c r="AE2128">
        <v>-19.9497</v>
      </c>
      <c r="AF2128">
        <v>0.69058995517131905</v>
      </c>
      <c r="AG2128">
        <v>-1.121540029797</v>
      </c>
      <c r="AH2128">
        <v>19.875395277047399</v>
      </c>
      <c r="AI2128">
        <v>93.227749839778397</v>
      </c>
      <c r="AJ2128">
        <v>88.010002942366199</v>
      </c>
      <c r="AK2128">
        <v>19.918988527119001</v>
      </c>
      <c r="AL2128">
        <v>83.984113988588007</v>
      </c>
      <c r="AM2128">
        <v>87.569238281155094</v>
      </c>
      <c r="AN2128">
        <v>0.99999996590194395</v>
      </c>
    </row>
    <row r="2129" spans="1:40" x14ac:dyDescent="0.25">
      <c r="A2129" t="str">
        <f>"20190303161915479"</f>
        <v>20190303161915479</v>
      </c>
      <c r="B2129" t="str">
        <f>"1551601155474449"</f>
        <v>1551601155474449</v>
      </c>
      <c r="C2129" t="s">
        <v>40</v>
      </c>
      <c r="D2129">
        <v>4.778969</v>
      </c>
      <c r="E2129">
        <v>0.49709560000000003</v>
      </c>
      <c r="F2129" t="s">
        <v>41</v>
      </c>
      <c r="G2129">
        <v>-191.4265</v>
      </c>
      <c r="H2129" s="1">
        <v>-3.2362629999999999E-6</v>
      </c>
      <c r="I2129">
        <v>326.2482</v>
      </c>
      <c r="J2129">
        <v>-191.52529999999999</v>
      </c>
      <c r="K2129">
        <v>1.1214820000000001</v>
      </c>
      <c r="L2129">
        <v>345.67169999999999</v>
      </c>
      <c r="M2129">
        <v>4.2081639999999997E-2</v>
      </c>
      <c r="N2129">
        <v>-1.201938E-2</v>
      </c>
      <c r="O2129">
        <v>-0.99904190000000004</v>
      </c>
      <c r="P2129">
        <v>-2.3004850000000001E-3</v>
      </c>
      <c r="Q2129">
        <v>9.0609330000000002E-2</v>
      </c>
      <c r="R2129">
        <v>-0.99588390000000004</v>
      </c>
      <c r="S2129">
        <v>1.5838620000000001E-2</v>
      </c>
      <c r="T2129">
        <v>-0.17426159999999999</v>
      </c>
      <c r="U2129">
        <v>-3.0292659999999998</v>
      </c>
      <c r="V2129">
        <v>4.4195900000000003E-2</v>
      </c>
      <c r="W2129">
        <v>0.10256659999999999</v>
      </c>
      <c r="X2129">
        <v>0.99374379999999995</v>
      </c>
      <c r="Y2129">
        <v>3.6850239999999999E-2</v>
      </c>
      <c r="Z2129">
        <v>4.5332520000000001E-2</v>
      </c>
      <c r="AA2129">
        <v>0.99829199999999996</v>
      </c>
      <c r="AB2129">
        <v>8</v>
      </c>
      <c r="AC2129">
        <v>9.8799999999982901E-2</v>
      </c>
      <c r="AD2129">
        <v>-1.1214852362629999</v>
      </c>
      <c r="AE2129">
        <v>-19.423499999999901</v>
      </c>
      <c r="AF2129">
        <v>0.71633129177926502</v>
      </c>
      <c r="AG2129">
        <v>-1.1214852362629999</v>
      </c>
      <c r="AH2129">
        <v>19.345956883405801</v>
      </c>
      <c r="AI2129">
        <v>93.3154566329153</v>
      </c>
      <c r="AJ2129">
        <v>87.879452619339801</v>
      </c>
      <c r="AK2129">
        <v>19.391671082950399</v>
      </c>
      <c r="AL2129">
        <v>84.113013788731195</v>
      </c>
      <c r="AM2129">
        <v>87.453497597588594</v>
      </c>
      <c r="AN2129">
        <v>0.99999996252540402</v>
      </c>
    </row>
    <row r="2130" spans="1:40" x14ac:dyDescent="0.25">
      <c r="A2130" t="str">
        <f>"20190303161915502"</f>
        <v>20190303161915502</v>
      </c>
      <c r="B2130" t="str">
        <f>"1551601155494944"</f>
        <v>1551601155494944</v>
      </c>
      <c r="C2130" t="s">
        <v>40</v>
      </c>
      <c r="D2130">
        <v>4.7752689999999998</v>
      </c>
      <c r="E2130">
        <v>0.4927298</v>
      </c>
      <c r="F2130" t="s">
        <v>41</v>
      </c>
      <c r="G2130">
        <v>-191.459</v>
      </c>
      <c r="H2130" s="1">
        <v>-3.4405150000000001E-6</v>
      </c>
      <c r="I2130">
        <v>326.70409999999998</v>
      </c>
      <c r="J2130">
        <v>-191.52199999999999</v>
      </c>
      <c r="K2130">
        <v>1.121437</v>
      </c>
      <c r="L2130">
        <v>345.59379999999999</v>
      </c>
      <c r="M2130">
        <v>4.2059989999999998E-2</v>
      </c>
      <c r="N2130">
        <v>-1.202043E-2</v>
      </c>
      <c r="O2130">
        <v>-0.99904289999999996</v>
      </c>
      <c r="P2130">
        <v>-4.6095110000000002E-3</v>
      </c>
      <c r="Q2130">
        <v>8.9315820000000004E-2</v>
      </c>
      <c r="R2130">
        <v>-0.99599280000000001</v>
      </c>
      <c r="S2130">
        <v>1.057434E-2</v>
      </c>
      <c r="T2130">
        <v>-0.17907890000000001</v>
      </c>
      <c r="U2130">
        <v>-3.0287480000000002</v>
      </c>
      <c r="V2130">
        <v>4.6495479999999999E-2</v>
      </c>
      <c r="W2130">
        <v>0.1012706</v>
      </c>
      <c r="X2130">
        <v>0.99377179999999998</v>
      </c>
      <c r="Y2130">
        <v>3.8561900000000003E-2</v>
      </c>
      <c r="Z2130">
        <v>4.6920040000000003E-2</v>
      </c>
      <c r="AA2130">
        <v>0.99815399999999999</v>
      </c>
      <c r="AB2130">
        <v>8</v>
      </c>
      <c r="AC2130">
        <v>6.3000000000016598E-2</v>
      </c>
      <c r="AD2130">
        <v>-1.121440440515</v>
      </c>
      <c r="AE2130">
        <v>-18.889700000000001</v>
      </c>
      <c r="AF2130">
        <v>0.72904414088690594</v>
      </c>
      <c r="AG2130">
        <v>-1.121440440515</v>
      </c>
      <c r="AH2130">
        <v>18.809338311790899</v>
      </c>
      <c r="AI2130">
        <v>93.409465587531997</v>
      </c>
      <c r="AJ2130">
        <v>87.780344385134796</v>
      </c>
      <c r="AK2130">
        <v>18.856838063376099</v>
      </c>
      <c r="AL2130">
        <v>84.187657904002194</v>
      </c>
      <c r="AM2130">
        <v>87.321262808322302</v>
      </c>
      <c r="AN2130">
        <v>0.999999977280014</v>
      </c>
    </row>
    <row r="2131" spans="1:40" x14ac:dyDescent="0.25">
      <c r="A2131" t="str">
        <f>"20190303161915525"</f>
        <v>20190303161915525</v>
      </c>
      <c r="B2131" t="str">
        <f>"1551601155514465"</f>
        <v>1551601155514465</v>
      </c>
      <c r="C2131" t="s">
        <v>40</v>
      </c>
      <c r="D2131">
        <v>4.7768569999999997</v>
      </c>
      <c r="E2131">
        <v>0.49183250000000001</v>
      </c>
      <c r="F2131" t="s">
        <v>41</v>
      </c>
      <c r="G2131">
        <v>-191.2199</v>
      </c>
      <c r="H2131" s="1">
        <v>-1.478525E-6</v>
      </c>
      <c r="I2131">
        <v>322.279</v>
      </c>
      <c r="J2131">
        <v>-191.5188</v>
      </c>
      <c r="K2131">
        <v>1.121405</v>
      </c>
      <c r="L2131">
        <v>345.51990000000001</v>
      </c>
      <c r="M2131">
        <v>4.2016820000000003E-2</v>
      </c>
      <c r="N2131">
        <v>-1.2021270000000001E-2</v>
      </c>
      <c r="O2131">
        <v>-0.99904479999999996</v>
      </c>
      <c r="P2131">
        <v>-6.2287289999999997E-3</v>
      </c>
      <c r="Q2131">
        <v>8.7869929999999999E-2</v>
      </c>
      <c r="R2131">
        <v>-0.99611269999999996</v>
      </c>
      <c r="S2131">
        <v>3.9199829999999998E-2</v>
      </c>
      <c r="T2131">
        <v>-0.14551500000000001</v>
      </c>
      <c r="U2131">
        <v>-3.0252690000000002</v>
      </c>
      <c r="V2131">
        <v>4.8082149999999997E-2</v>
      </c>
      <c r="W2131">
        <v>9.9823670000000003E-2</v>
      </c>
      <c r="X2131">
        <v>0.99384269999999997</v>
      </c>
      <c r="Y2131">
        <v>2.906926E-2</v>
      </c>
      <c r="Z2131">
        <v>3.5960949999999998E-2</v>
      </c>
      <c r="AA2131">
        <v>0.99893030000000005</v>
      </c>
      <c r="AB2131">
        <v>8</v>
      </c>
      <c r="AC2131">
        <v>0.298900000000003</v>
      </c>
      <c r="AD2131">
        <v>-1.121406478525</v>
      </c>
      <c r="AE2131">
        <v>-23.2409</v>
      </c>
      <c r="AF2131">
        <v>0.67636859932832305</v>
      </c>
      <c r="AG2131">
        <v>-1.121406478525</v>
      </c>
      <c r="AH2131">
        <v>23.178976453395201</v>
      </c>
      <c r="AI2131">
        <v>92.768652217490398</v>
      </c>
      <c r="AJ2131">
        <v>88.328568451765307</v>
      </c>
      <c r="AK2131">
        <v>23.215942289712999</v>
      </c>
      <c r="AL2131">
        <v>84.270983209490097</v>
      </c>
      <c r="AM2131">
        <v>87.230187557706302</v>
      </c>
      <c r="AN2131">
        <v>0.99999998529209</v>
      </c>
    </row>
    <row r="2132" spans="1:40" x14ac:dyDescent="0.25">
      <c r="A2132" t="str">
        <f>"20190303161915547"</f>
        <v>20190303161915547</v>
      </c>
      <c r="B2132" t="str">
        <f>"1551601155534960"</f>
        <v>1551601155534960</v>
      </c>
      <c r="C2132" t="s">
        <v>40</v>
      </c>
      <c r="D2132">
        <v>4.7593889999999996</v>
      </c>
      <c r="E2132">
        <v>0.4919403</v>
      </c>
      <c r="F2132" t="s">
        <v>41</v>
      </c>
      <c r="G2132">
        <v>-191.1824</v>
      </c>
      <c r="H2132" s="1">
        <v>-9.2351690000000003E-7</v>
      </c>
      <c r="I2132">
        <v>321.00850000000003</v>
      </c>
      <c r="J2132">
        <v>-191.51570000000001</v>
      </c>
      <c r="K2132">
        <v>1.1213740000000001</v>
      </c>
      <c r="L2132">
        <v>345.44560000000001</v>
      </c>
      <c r="M2132">
        <v>4.1954150000000003E-2</v>
      </c>
      <c r="N2132">
        <v>-1.202202E-2</v>
      </c>
      <c r="O2132">
        <v>-0.99904749999999998</v>
      </c>
      <c r="P2132">
        <v>-7.4175880000000001E-3</v>
      </c>
      <c r="Q2132">
        <v>8.6623599999999995E-2</v>
      </c>
      <c r="R2132">
        <v>-0.99621369999999998</v>
      </c>
      <c r="S2132">
        <v>4.1503909999999998E-2</v>
      </c>
      <c r="T2132">
        <v>-0.1383569</v>
      </c>
      <c r="U2132">
        <v>-3.0241699999999998</v>
      </c>
      <c r="V2132">
        <v>4.9216749999999997E-2</v>
      </c>
      <c r="W2132">
        <v>9.8575759999999998E-2</v>
      </c>
      <c r="X2132">
        <v>0.99391169999999995</v>
      </c>
      <c r="Y2132">
        <v>2.8240479999999998E-2</v>
      </c>
      <c r="Z2132">
        <v>3.3621680000000001E-2</v>
      </c>
      <c r="AA2132">
        <v>0.99903549999999997</v>
      </c>
      <c r="AB2132">
        <v>8</v>
      </c>
      <c r="AC2132">
        <v>0.33330000000000798</v>
      </c>
      <c r="AD2132">
        <v>-1.1213749235168999</v>
      </c>
      <c r="AE2132">
        <v>-24.437099999999901</v>
      </c>
      <c r="AF2132">
        <v>0.69085058180924097</v>
      </c>
      <c r="AG2132">
        <v>-1.1213749235168999</v>
      </c>
      <c r="AH2132">
        <v>24.378240858733299</v>
      </c>
      <c r="AI2132">
        <v>92.632637159400105</v>
      </c>
      <c r="AJ2132">
        <v>88.376739660126503</v>
      </c>
      <c r="AK2132">
        <v>24.413794944905501</v>
      </c>
      <c r="AL2132">
        <v>84.342837513093897</v>
      </c>
      <c r="AM2132">
        <v>87.165129878920197</v>
      </c>
      <c r="AN2132">
        <v>0.999999968168514</v>
      </c>
    </row>
    <row r="2133" spans="1:40" x14ac:dyDescent="0.25">
      <c r="A2133" t="str">
        <f>"20190303161915569"</f>
        <v>20190303161915569</v>
      </c>
      <c r="B2133" t="str">
        <f>"1551601155554482"</f>
        <v>1551601155554482</v>
      </c>
      <c r="C2133" t="s">
        <v>40</v>
      </c>
      <c r="D2133">
        <v>4.7103190000000001</v>
      </c>
      <c r="E2133">
        <v>0.49199999999999999</v>
      </c>
      <c r="F2133" t="s">
        <v>41</v>
      </c>
      <c r="G2133">
        <v>-191.1968</v>
      </c>
      <c r="H2133" s="1">
        <v>-4.9306979999999996E-6</v>
      </c>
      <c r="I2133">
        <v>319.57310000000001</v>
      </c>
      <c r="J2133">
        <v>-191.5127</v>
      </c>
      <c r="K2133">
        <v>1.121362</v>
      </c>
      <c r="L2133">
        <v>345.37150000000003</v>
      </c>
      <c r="M2133">
        <v>4.187681E-2</v>
      </c>
      <c r="N2133">
        <v>-1.2022680000000001E-2</v>
      </c>
      <c r="O2133">
        <v>-0.99905060000000001</v>
      </c>
      <c r="P2133">
        <v>-7.7841230000000004E-3</v>
      </c>
      <c r="Q2133">
        <v>8.6046839999999999E-2</v>
      </c>
      <c r="R2133">
        <v>-0.9962607</v>
      </c>
      <c r="S2133">
        <v>3.7261959999999997E-2</v>
      </c>
      <c r="T2133">
        <v>-0.1310288</v>
      </c>
      <c r="U2133">
        <v>-3.0231020000000002</v>
      </c>
      <c r="V2133">
        <v>4.9511409999999999E-2</v>
      </c>
      <c r="W2133">
        <v>9.7998730000000006E-2</v>
      </c>
      <c r="X2133">
        <v>0.99395420000000001</v>
      </c>
      <c r="Y2133">
        <v>2.9558830000000001E-2</v>
      </c>
      <c r="Z2133">
        <v>3.1222349999999999E-2</v>
      </c>
      <c r="AA2133">
        <v>0.9990753</v>
      </c>
      <c r="AB2133">
        <v>8</v>
      </c>
      <c r="AC2133">
        <v>0.31589999999999901</v>
      </c>
      <c r="AD2133">
        <v>-1.1213669306980001</v>
      </c>
      <c r="AE2133">
        <v>-25.798400000000001</v>
      </c>
      <c r="AF2133">
        <v>0.76336772297780198</v>
      </c>
      <c r="AG2133">
        <v>-1.1213669306980001</v>
      </c>
      <c r="AH2133">
        <v>25.7403707404271</v>
      </c>
      <c r="AI2133">
        <v>92.493391091075097</v>
      </c>
      <c r="AJ2133">
        <v>88.301309121266499</v>
      </c>
      <c r="AK2133">
        <v>25.776091246121599</v>
      </c>
      <c r="AL2133">
        <v>84.3760601698431</v>
      </c>
      <c r="AM2133">
        <v>87.148307223390304</v>
      </c>
      <c r="AN2133">
        <v>1.0000000412497101</v>
      </c>
    </row>
    <row r="2134" spans="1:40" x14ac:dyDescent="0.25">
      <c r="A2134" t="str">
        <f>"20190303161915594"</f>
        <v>20190303161915594</v>
      </c>
      <c r="B2134" t="str">
        <f>"1551601155584737"</f>
        <v>1551601155584737</v>
      </c>
      <c r="C2134" t="s">
        <v>40</v>
      </c>
      <c r="D2134">
        <v>4.6725879999999904</v>
      </c>
      <c r="E2134">
        <v>0.49197930000000001</v>
      </c>
      <c r="F2134" t="s">
        <v>41</v>
      </c>
      <c r="G2134">
        <v>-191.19929999999999</v>
      </c>
      <c r="H2134" s="1">
        <v>-4.5893780000000003E-6</v>
      </c>
      <c r="I2134">
        <v>318.68310000000002</v>
      </c>
      <c r="J2134">
        <v>-191.5094</v>
      </c>
      <c r="K2134">
        <v>1.121354</v>
      </c>
      <c r="L2134">
        <v>345.28930000000003</v>
      </c>
      <c r="M2134">
        <v>4.1781209999999999E-2</v>
      </c>
      <c r="N2134">
        <v>-1.2023249999999999E-2</v>
      </c>
      <c r="O2134">
        <v>-0.99905460000000001</v>
      </c>
      <c r="P2134">
        <v>-7.78109099999999E-3</v>
      </c>
      <c r="Q2134">
        <v>8.6079799999999998E-2</v>
      </c>
      <c r="R2134">
        <v>-0.99625799999999998</v>
      </c>
      <c r="S2134">
        <v>3.549194E-2</v>
      </c>
      <c r="T2134">
        <v>-0.12699630000000001</v>
      </c>
      <c r="U2134">
        <v>-3.022491</v>
      </c>
      <c r="V2134">
        <v>4.9415340000000002E-2</v>
      </c>
      <c r="W2134">
        <v>9.8031010000000002E-2</v>
      </c>
      <c r="X2134">
        <v>0.9939557</v>
      </c>
      <c r="Y2134">
        <v>3.0045289999999999E-2</v>
      </c>
      <c r="Z2134">
        <v>2.9901420000000001E-2</v>
      </c>
      <c r="AA2134">
        <v>0.99910120000000002</v>
      </c>
      <c r="AB2134">
        <v>8</v>
      </c>
      <c r="AC2134">
        <v>0.31010000000000498</v>
      </c>
      <c r="AD2134">
        <v>-1.121358589378</v>
      </c>
      <c r="AE2134">
        <v>-26.606200000000001</v>
      </c>
      <c r="AF2134">
        <v>0.80046852906301502</v>
      </c>
      <c r="AG2134">
        <v>-1.121358589378</v>
      </c>
      <c r="AH2134">
        <v>26.5487680425652</v>
      </c>
      <c r="AI2134">
        <v>92.417506385166803</v>
      </c>
      <c r="AJ2134">
        <v>88.273005433966603</v>
      </c>
      <c r="AK2134">
        <v>26.584493215593199</v>
      </c>
      <c r="AL2134">
        <v>84.374201165604603</v>
      </c>
      <c r="AM2134">
        <v>87.153835717447095</v>
      </c>
      <c r="AN2134">
        <v>0.99999994415571103</v>
      </c>
    </row>
    <row r="2135" spans="1:40" x14ac:dyDescent="0.25">
      <c r="A2135" t="str">
        <f>"20190303161915614"</f>
        <v>20190303161915614</v>
      </c>
      <c r="B2135" t="str">
        <f>"1551601155605233"</f>
        <v>1551601155605233</v>
      </c>
      <c r="C2135" t="s">
        <v>40</v>
      </c>
      <c r="D2135">
        <v>4.6785639999999997</v>
      </c>
      <c r="E2135">
        <v>0.49196030000000002</v>
      </c>
      <c r="F2135" t="s">
        <v>41</v>
      </c>
      <c r="G2135">
        <v>-191.17169999999999</v>
      </c>
      <c r="H2135" s="1">
        <v>-3.702641E-6</v>
      </c>
      <c r="I2135">
        <v>316.76490000000001</v>
      </c>
      <c r="J2135">
        <v>-191.50649999999999</v>
      </c>
      <c r="K2135">
        <v>1.121351</v>
      </c>
      <c r="L2135">
        <v>345.21940000000001</v>
      </c>
      <c r="M2135">
        <v>4.1689690000000001E-2</v>
      </c>
      <c r="N2135">
        <v>-1.202364E-2</v>
      </c>
      <c r="O2135">
        <v>-0.99905840000000001</v>
      </c>
      <c r="P2135">
        <v>-7.1202660000000001E-3</v>
      </c>
      <c r="Q2135">
        <v>8.6075979999999996E-2</v>
      </c>
      <c r="R2135">
        <v>-0.99626340000000002</v>
      </c>
      <c r="S2135">
        <v>3.5766600000000003E-2</v>
      </c>
      <c r="T2135">
        <v>-0.1187946</v>
      </c>
      <c r="U2135">
        <v>-3.02182</v>
      </c>
      <c r="V2135">
        <v>4.8665340000000001E-2</v>
      </c>
      <c r="W2135">
        <v>9.8027210000000004E-2</v>
      </c>
      <c r="X2135">
        <v>0.99399320000000002</v>
      </c>
      <c r="Y2135">
        <v>2.985995E-2</v>
      </c>
      <c r="Z2135">
        <v>2.7206339999999999E-2</v>
      </c>
      <c r="AA2135">
        <v>0.99918379999999996</v>
      </c>
      <c r="AB2135">
        <v>7</v>
      </c>
      <c r="AC2135">
        <v>0.33480000000000099</v>
      </c>
      <c r="AD2135">
        <v>-1.121354702641</v>
      </c>
      <c r="AE2135">
        <v>-28.454499999999999</v>
      </c>
      <c r="AF2135">
        <v>0.85051528093947604</v>
      </c>
      <c r="AG2135">
        <v>-1.121354702641</v>
      </c>
      <c r="AH2135">
        <v>28.3996172150195</v>
      </c>
      <c r="AI2135">
        <v>92.260128558134198</v>
      </c>
      <c r="AJ2135">
        <v>88.284611559750203</v>
      </c>
      <c r="AK2135">
        <v>28.434469760694999</v>
      </c>
      <c r="AL2135">
        <v>84.374420627761495</v>
      </c>
      <c r="AM2135">
        <v>87.197069458015505</v>
      </c>
      <c r="AN2135">
        <v>1.0000000654319601</v>
      </c>
    </row>
    <row r="2136" spans="1:40" x14ac:dyDescent="0.25">
      <c r="A2136" t="str">
        <f>"20190303161915636"</f>
        <v>20190303161915636</v>
      </c>
      <c r="B2136" t="str">
        <f>"1551601155624753"</f>
        <v>1551601155624753</v>
      </c>
      <c r="C2136" t="s">
        <v>40</v>
      </c>
      <c r="D2136">
        <v>4.697756</v>
      </c>
      <c r="E2136">
        <v>0.49202259999999998</v>
      </c>
      <c r="F2136" t="s">
        <v>41</v>
      </c>
      <c r="G2136">
        <v>-191.13849999999999</v>
      </c>
      <c r="H2136" s="1">
        <v>-3.3576700000000001E-6</v>
      </c>
      <c r="I2136">
        <v>316.0539</v>
      </c>
      <c r="J2136">
        <v>-191.50360000000001</v>
      </c>
      <c r="K2136">
        <v>1.121343</v>
      </c>
      <c r="L2136">
        <v>345.1454</v>
      </c>
      <c r="M2136">
        <v>4.1574939999999998E-2</v>
      </c>
      <c r="N2136">
        <v>-1.2024119999999999E-2</v>
      </c>
      <c r="O2136">
        <v>-0.99906300000000003</v>
      </c>
      <c r="P2136">
        <v>-6.484475E-3</v>
      </c>
      <c r="Q2136">
        <v>8.6079459999999997E-2</v>
      </c>
      <c r="R2136">
        <v>-0.99626740000000003</v>
      </c>
      <c r="S2136">
        <v>3.8131709999999999E-2</v>
      </c>
      <c r="T2136">
        <v>-0.1161745</v>
      </c>
      <c r="U2136">
        <v>-3.0216059999999998</v>
      </c>
      <c r="V2136">
        <v>4.7917380000000002E-2</v>
      </c>
      <c r="W2136">
        <v>9.8031010000000002E-2</v>
      </c>
      <c r="X2136">
        <v>0.9940291</v>
      </c>
      <c r="Y2136">
        <v>2.8962470000000001E-2</v>
      </c>
      <c r="Z2136">
        <v>2.6345259999999999E-2</v>
      </c>
      <c r="AA2136">
        <v>0.99923320000000004</v>
      </c>
      <c r="AB2136">
        <v>7</v>
      </c>
      <c r="AC2136">
        <v>0.36510000000001203</v>
      </c>
      <c r="AD2136">
        <v>-1.12134635767</v>
      </c>
      <c r="AE2136">
        <v>-29.0915</v>
      </c>
      <c r="AF2136">
        <v>0.84352748697773405</v>
      </c>
      <c r="AG2136">
        <v>-1.12134635767</v>
      </c>
      <c r="AH2136">
        <v>29.038386474026002</v>
      </c>
      <c r="AI2136">
        <v>92.210503562309199</v>
      </c>
      <c r="AJ2136">
        <v>88.336099782474903</v>
      </c>
      <c r="AK2136">
        <v>29.072269352254601</v>
      </c>
      <c r="AL2136">
        <v>84.374201497364496</v>
      </c>
      <c r="AM2136">
        <v>87.2401813827979</v>
      </c>
      <c r="AN2136">
        <v>1.00000000293724</v>
      </c>
    </row>
    <row r="2137" spans="1:40" x14ac:dyDescent="0.25">
      <c r="A2137" t="str">
        <f>"20190303161915658"</f>
        <v>20190303161915658</v>
      </c>
      <c r="B2137" t="str">
        <f>"1551601155644273"</f>
        <v>1551601155644273</v>
      </c>
      <c r="C2137" t="s">
        <v>40</v>
      </c>
      <c r="D2137">
        <v>4.6535549999999999</v>
      </c>
      <c r="E2137">
        <v>0.4923188</v>
      </c>
      <c r="F2137" t="s">
        <v>41</v>
      </c>
      <c r="G2137">
        <v>-191.10560000000001</v>
      </c>
      <c r="H2137" s="1">
        <v>-2.9911099999999999E-6</v>
      </c>
      <c r="I2137">
        <v>315.29689999999999</v>
      </c>
      <c r="J2137">
        <v>-191.50069999999999</v>
      </c>
      <c r="K2137">
        <v>1.121335</v>
      </c>
      <c r="L2137">
        <v>345.07330000000002</v>
      </c>
      <c r="M2137">
        <v>4.1439049999999998E-2</v>
      </c>
      <c r="N2137">
        <v>-1.202455E-2</v>
      </c>
      <c r="O2137">
        <v>-0.99906870000000003</v>
      </c>
      <c r="P2137">
        <v>-6.3706450000000003E-3</v>
      </c>
      <c r="Q2137">
        <v>8.6022319999999999E-2</v>
      </c>
      <c r="R2137">
        <v>-0.99627290000000002</v>
      </c>
      <c r="S2137">
        <v>4.0283199999999998E-2</v>
      </c>
      <c r="T2137">
        <v>-0.1135039</v>
      </c>
      <c r="U2137">
        <v>-3.0213009999999998</v>
      </c>
      <c r="V2137">
        <v>4.7670730000000001E-2</v>
      </c>
      <c r="W2137">
        <v>9.7973589999999999E-2</v>
      </c>
      <c r="X2137">
        <v>0.9940466</v>
      </c>
      <c r="Y2137">
        <v>2.8113880000000001E-2</v>
      </c>
      <c r="Z2137">
        <v>2.5468500000000002E-2</v>
      </c>
      <c r="AA2137">
        <v>0.99928019999999995</v>
      </c>
      <c r="AB2137">
        <v>7</v>
      </c>
      <c r="AC2137">
        <v>0.39509999999998502</v>
      </c>
      <c r="AD2137">
        <v>-1.1213379911100001</v>
      </c>
      <c r="AE2137">
        <v>-29.776399999999999</v>
      </c>
      <c r="AF2137">
        <v>0.83804605414004196</v>
      </c>
      <c r="AG2137">
        <v>-1.1213379911100001</v>
      </c>
      <c r="AH2137">
        <v>29.725045342030398</v>
      </c>
      <c r="AI2137">
        <v>92.1595257600558</v>
      </c>
      <c r="AJ2137">
        <v>88.385072745326198</v>
      </c>
      <c r="AK2137">
        <v>29.757991206815898</v>
      </c>
      <c r="AL2137">
        <v>84.377507221693193</v>
      </c>
      <c r="AM2137">
        <v>87.254413746036704</v>
      </c>
      <c r="AN2137">
        <v>0.99999998290389003</v>
      </c>
    </row>
    <row r="2138" spans="1:40" x14ac:dyDescent="0.25">
      <c r="A2138" t="str">
        <f>"20190303161915682"</f>
        <v>20190303161915682</v>
      </c>
      <c r="B2138" t="str">
        <f>"1551601155674529"</f>
        <v>1551601155674529</v>
      </c>
      <c r="C2138" t="s">
        <v>40</v>
      </c>
      <c r="D2138">
        <v>4.6421460000000003</v>
      </c>
      <c r="E2138">
        <v>0.49232779999999998</v>
      </c>
      <c r="F2138" t="s">
        <v>41</v>
      </c>
      <c r="G2138">
        <v>-191.10849999999999</v>
      </c>
      <c r="H2138" s="1">
        <v>-2.5511780000000001E-6</v>
      </c>
      <c r="I2138">
        <v>314.36470000000003</v>
      </c>
      <c r="J2138">
        <v>-191.49770000000001</v>
      </c>
      <c r="K2138">
        <v>1.1213150000000001</v>
      </c>
      <c r="L2138">
        <v>344.99349999999998</v>
      </c>
      <c r="M2138">
        <v>4.1255430000000003E-2</v>
      </c>
      <c r="N2138">
        <v>-1.2025040000000001E-2</v>
      </c>
      <c r="O2138">
        <v>-0.99907639999999998</v>
      </c>
      <c r="P2138">
        <v>-6.4020539999999999E-3</v>
      </c>
      <c r="Q2138">
        <v>8.5843680000000006E-2</v>
      </c>
      <c r="R2138">
        <v>-0.99628830000000002</v>
      </c>
      <c r="S2138">
        <v>3.8589480000000002E-2</v>
      </c>
      <c r="T2138">
        <v>-0.1103128</v>
      </c>
      <c r="U2138">
        <v>-3.0209959999999998</v>
      </c>
      <c r="V2138">
        <v>4.7523370000000002E-2</v>
      </c>
      <c r="W2138">
        <v>9.7794220000000001E-2</v>
      </c>
      <c r="X2138">
        <v>0.99407140000000005</v>
      </c>
      <c r="Y2138">
        <v>2.8488690000000001E-2</v>
      </c>
      <c r="Z2138">
        <v>2.4419079999999999E-2</v>
      </c>
      <c r="AA2138">
        <v>0.99929579999999996</v>
      </c>
      <c r="AB2138">
        <v>7</v>
      </c>
      <c r="AC2138">
        <v>0.38920000000001598</v>
      </c>
      <c r="AD2138">
        <v>-1.121317551178</v>
      </c>
      <c r="AE2138">
        <v>-30.628799999999899</v>
      </c>
      <c r="AF2138">
        <v>0.87365615696936005</v>
      </c>
      <c r="AG2138">
        <v>-1.121317551178</v>
      </c>
      <c r="AH2138">
        <v>30.577801273163502</v>
      </c>
      <c r="AI2138">
        <v>92.099294673606707</v>
      </c>
      <c r="AJ2138">
        <v>88.363414173782701</v>
      </c>
      <c r="AK2138">
        <v>30.610824210273499</v>
      </c>
      <c r="AL2138">
        <v>84.387834414366495</v>
      </c>
      <c r="AM2138">
        <v>87.262956170824495</v>
      </c>
      <c r="AN2138">
        <v>1.00000006422976</v>
      </c>
    </row>
    <row r="2139" spans="1:40" x14ac:dyDescent="0.25">
      <c r="A2139" t="str">
        <f>"20190303161915703"</f>
        <v>20190303161915703</v>
      </c>
      <c r="B2139" t="str">
        <f>"1551601155695025"</f>
        <v>1551601155695025</v>
      </c>
      <c r="C2139" t="s">
        <v>40</v>
      </c>
      <c r="D2139">
        <v>4.6643420000000004</v>
      </c>
      <c r="E2139">
        <v>0.4922068</v>
      </c>
      <c r="F2139" t="s">
        <v>41</v>
      </c>
      <c r="G2139">
        <v>-191.08949999999999</v>
      </c>
      <c r="H2139" s="1">
        <v>-1.9685179999999999E-6</v>
      </c>
      <c r="I2139">
        <v>313.14280000000002</v>
      </c>
      <c r="J2139">
        <v>-191.4949</v>
      </c>
      <c r="K2139">
        <v>1.1212850000000001</v>
      </c>
      <c r="L2139">
        <v>344.92140000000001</v>
      </c>
      <c r="M2139">
        <v>4.1049950000000002E-2</v>
      </c>
      <c r="N2139">
        <v>-1.202553E-2</v>
      </c>
      <c r="O2139">
        <v>-0.99908470000000005</v>
      </c>
      <c r="P2139">
        <v>-6.3666110000000003E-3</v>
      </c>
      <c r="Q2139">
        <v>8.4906620000000002E-2</v>
      </c>
      <c r="R2139">
        <v>-0.9963687</v>
      </c>
      <c r="S2139">
        <v>3.8711549999999997E-2</v>
      </c>
      <c r="T2139">
        <v>-0.1063414</v>
      </c>
      <c r="U2139">
        <v>-3.0205989999999998</v>
      </c>
      <c r="V2139">
        <v>4.7290720000000001E-2</v>
      </c>
      <c r="W2139">
        <v>9.6856919999999999E-2</v>
      </c>
      <c r="X2139">
        <v>0.99417420000000001</v>
      </c>
      <c r="Y2139">
        <v>2.8240959999999999E-2</v>
      </c>
      <c r="Z2139">
        <v>2.3113189999999999E-2</v>
      </c>
      <c r="AA2139">
        <v>0.9993339</v>
      </c>
      <c r="AB2139">
        <v>7</v>
      </c>
      <c r="AC2139">
        <v>0.40540000000001403</v>
      </c>
      <c r="AD2139">
        <v>-1.121286968518</v>
      </c>
      <c r="AE2139">
        <v>-31.778599999999901</v>
      </c>
      <c r="AF2139">
        <v>0.89842772512622404</v>
      </c>
      <c r="AG2139">
        <v>-1.121286968518</v>
      </c>
      <c r="AH2139">
        <v>31.728957013532</v>
      </c>
      <c r="AI2139">
        <v>92.023154385015999</v>
      </c>
      <c r="AJ2139">
        <v>88.378063106539997</v>
      </c>
      <c r="AK2139">
        <v>31.761473045336</v>
      </c>
      <c r="AL2139">
        <v>84.441793598471193</v>
      </c>
      <c r="AM2139">
        <v>87.2766163141671</v>
      </c>
      <c r="AN2139">
        <v>1.0000000075478199</v>
      </c>
    </row>
    <row r="2140" spans="1:40" x14ac:dyDescent="0.25">
      <c r="A2140" t="str">
        <f>"20190303161915737"</f>
        <v>20190303161915737</v>
      </c>
      <c r="B2140" t="str">
        <f>"1551601155724305"</f>
        <v>1551601155724305</v>
      </c>
      <c r="C2140" t="s">
        <v>40</v>
      </c>
      <c r="D2140">
        <v>4.663513</v>
      </c>
      <c r="E2140">
        <v>0.49226579999999898</v>
      </c>
      <c r="F2140" t="s">
        <v>41</v>
      </c>
      <c r="G2140">
        <v>-191.07140000000001</v>
      </c>
      <c r="H2140" s="1">
        <v>-2.1873359999999999E-6</v>
      </c>
      <c r="I2140">
        <v>313.61579999999998</v>
      </c>
      <c r="J2140">
        <v>-191.4907</v>
      </c>
      <c r="K2140">
        <v>1.121227</v>
      </c>
      <c r="L2140">
        <v>344.80860000000001</v>
      </c>
      <c r="M2140">
        <v>4.0622560000000002E-2</v>
      </c>
      <c r="N2140">
        <v>-1.202657E-2</v>
      </c>
      <c r="O2140">
        <v>-0.99910220000000005</v>
      </c>
      <c r="P2140">
        <v>-6.5356390000000002E-3</v>
      </c>
      <c r="Q2140">
        <v>8.1113119999999997E-2</v>
      </c>
      <c r="R2140">
        <v>-0.99668350000000006</v>
      </c>
      <c r="S2140">
        <v>4.0863040000000003E-2</v>
      </c>
      <c r="T2140">
        <v>-0.1081836</v>
      </c>
      <c r="U2140">
        <v>-3.020416</v>
      </c>
      <c r="V2140">
        <v>4.7054810000000002E-2</v>
      </c>
      <c r="W2140">
        <v>9.3063759999999995E-2</v>
      </c>
      <c r="X2140">
        <v>0.99454759999999998</v>
      </c>
      <c r="Y2140">
        <v>2.710125E-2</v>
      </c>
      <c r="Z2140">
        <v>2.372384E-2</v>
      </c>
      <c r="AA2140">
        <v>0.99935110000000005</v>
      </c>
      <c r="AB2140">
        <v>7</v>
      </c>
      <c r="AC2140">
        <v>0.41929999999999201</v>
      </c>
      <c r="AD2140">
        <v>-1.1212291873360001</v>
      </c>
      <c r="AE2140">
        <v>-31.192799999999998</v>
      </c>
      <c r="AF2140">
        <v>0.84717477355339699</v>
      </c>
      <c r="AG2140">
        <v>-1.1212291873360001</v>
      </c>
      <c r="AH2140">
        <v>31.143850647001699</v>
      </c>
      <c r="AI2140">
        <v>92.061088843003304</v>
      </c>
      <c r="AJ2140">
        <v>88.441824916056106</v>
      </c>
      <c r="AK2140">
        <v>31.1755399810529</v>
      </c>
      <c r="AL2140">
        <v>84.660112179345504</v>
      </c>
      <c r="AM2140">
        <v>87.291197504659607</v>
      </c>
      <c r="AN2140">
        <v>0.99999997361761594</v>
      </c>
    </row>
    <row r="2141" spans="1:40" x14ac:dyDescent="0.25">
      <c r="A2141" t="str">
        <f>"20190303161915759"</f>
        <v>20190303161915759</v>
      </c>
      <c r="B2141" t="str">
        <f>"1551601155754561"</f>
        <v>1551601155754561</v>
      </c>
      <c r="C2141" t="s">
        <v>40</v>
      </c>
      <c r="D2141">
        <v>4.6500260000000004</v>
      </c>
      <c r="E2141">
        <v>0.51881299999999997</v>
      </c>
      <c r="F2141" t="s">
        <v>41</v>
      </c>
      <c r="G2141">
        <v>-191.11150000000001</v>
      </c>
      <c r="H2141" s="1">
        <v>-3.5478309999999999E-6</v>
      </c>
      <c r="I2141">
        <v>316.47140000000002</v>
      </c>
      <c r="J2141">
        <v>-191.48820000000001</v>
      </c>
      <c r="K2141">
        <v>1.1211850000000001</v>
      </c>
      <c r="L2141">
        <v>344.73649999999998</v>
      </c>
      <c r="M2141">
        <v>4.0286790000000003E-2</v>
      </c>
      <c r="N2141">
        <v>-1.2027400000000001E-2</v>
      </c>
      <c r="O2141">
        <v>-0.9991158</v>
      </c>
      <c r="P2141">
        <v>-5.6298379999999999E-3</v>
      </c>
      <c r="Q2141">
        <v>7.8220670000000006E-2</v>
      </c>
      <c r="R2141">
        <v>-0.99692049999999999</v>
      </c>
      <c r="S2141">
        <v>4.0420530000000003E-2</v>
      </c>
      <c r="T2141">
        <v>-0.119490899999999</v>
      </c>
      <c r="U2141">
        <v>-3.0199280000000002</v>
      </c>
      <c r="V2141">
        <v>4.5829809999999999E-2</v>
      </c>
      <c r="W2141">
        <v>9.0172970000000005E-2</v>
      </c>
      <c r="X2141">
        <v>0.99487110000000001</v>
      </c>
      <c r="Y2141">
        <v>2.6910259999999998E-2</v>
      </c>
      <c r="Z2141">
        <v>2.7461840000000001E-2</v>
      </c>
      <c r="AA2141">
        <v>0.9992605</v>
      </c>
      <c r="AB2141">
        <v>7</v>
      </c>
      <c r="AC2141">
        <v>0.37669999999999898</v>
      </c>
      <c r="AD2141">
        <v>-1.121188547831</v>
      </c>
      <c r="AE2141">
        <v>-28.265099999999901</v>
      </c>
      <c r="AF2141">
        <v>0.76120083891610901</v>
      </c>
      <c r="AG2141">
        <v>-1.121188547831</v>
      </c>
      <c r="AH2141">
        <v>28.2129428988817</v>
      </c>
      <c r="AI2141">
        <v>92.274922353810297</v>
      </c>
      <c r="AJ2141">
        <v>88.454503049739102</v>
      </c>
      <c r="AK2141">
        <v>28.245471097018601</v>
      </c>
      <c r="AL2141">
        <v>84.826442105166606</v>
      </c>
      <c r="AM2141">
        <v>87.362472763979596</v>
      </c>
      <c r="AN2141">
        <v>1.0000000208092299</v>
      </c>
    </row>
    <row r="2142" spans="1:40" x14ac:dyDescent="0.25">
      <c r="A2142" t="str">
        <f>"20190303161915781"</f>
        <v>20190303161915781</v>
      </c>
      <c r="B2142" t="str">
        <f>"1551601155774589"</f>
        <v>1551601155774589</v>
      </c>
      <c r="C2142" t="s">
        <v>40</v>
      </c>
      <c r="D2142">
        <v>4.590668</v>
      </c>
      <c r="E2142">
        <v>0.52019910000000003</v>
      </c>
      <c r="F2142" t="s">
        <v>42</v>
      </c>
      <c r="G2142">
        <v>-191.52709999999999</v>
      </c>
      <c r="H2142">
        <v>0.92924810000000002</v>
      </c>
      <c r="I2142">
        <v>344.04199999999997</v>
      </c>
      <c r="J2142">
        <v>-191.48560000000001</v>
      </c>
      <c r="K2142">
        <v>1.1211519999999999</v>
      </c>
      <c r="L2142">
        <v>344.66120000000001</v>
      </c>
      <c r="M2142">
        <v>3.9891940000000001E-2</v>
      </c>
      <c r="N2142">
        <v>-1.202831E-2</v>
      </c>
      <c r="O2142">
        <v>-0.99913189999999996</v>
      </c>
      <c r="P2142">
        <v>-4.8600520000000001E-3</v>
      </c>
      <c r="Q2142">
        <v>7.7245910000000001E-2</v>
      </c>
      <c r="R2142">
        <v>-0.99700080000000002</v>
      </c>
      <c r="S2142">
        <v>-0.1720428</v>
      </c>
      <c r="T2142">
        <v>-0.8497981</v>
      </c>
      <c r="U2142">
        <v>-3.074951</v>
      </c>
      <c r="V2142">
        <v>4.4676790000000001E-2</v>
      </c>
      <c r="W2142">
        <v>8.9197970000000001E-2</v>
      </c>
      <c r="X2142">
        <v>0.99501139999999999</v>
      </c>
      <c r="Y2142">
        <v>9.3656119999999995E-2</v>
      </c>
      <c r="Z2142">
        <v>0.25365300000000002</v>
      </c>
      <c r="AA2142">
        <v>0.96275060000000001</v>
      </c>
      <c r="AB2142">
        <v>7</v>
      </c>
      <c r="AC2142">
        <v>-4.1499999999984903E-2</v>
      </c>
      <c r="AD2142">
        <v>-0.19190389999999999</v>
      </c>
      <c r="AE2142">
        <v>-0.61920000000003395</v>
      </c>
      <c r="AF2142">
        <v>6.0394744879108099E-2</v>
      </c>
      <c r="AG2142">
        <v>-0.19190389999999999</v>
      </c>
      <c r="AH2142">
        <v>0.56319719214435604</v>
      </c>
      <c r="AI2142">
        <v>108.71626361678101</v>
      </c>
      <c r="AJ2142">
        <v>83.879247437908305</v>
      </c>
      <c r="AK2142">
        <v>0.59805159416517695</v>
      </c>
      <c r="AL2142">
        <v>84.882531364654199</v>
      </c>
      <c r="AM2142">
        <v>87.429101476881698</v>
      </c>
      <c r="AN2142">
        <v>0.999999989773392</v>
      </c>
    </row>
    <row r="2143" spans="1:40" x14ac:dyDescent="0.25">
      <c r="A2143" t="str">
        <f>"20190303161915805"</f>
        <v>20190303161915805</v>
      </c>
      <c r="B2143" t="str">
        <f>"1551601155795084"</f>
        <v>1551601155795084</v>
      </c>
      <c r="C2143" t="s">
        <v>40</v>
      </c>
      <c r="D2143">
        <v>4.6412430000000002</v>
      </c>
      <c r="E2143">
        <v>0.52033200000000002</v>
      </c>
      <c r="F2143" t="s">
        <v>42</v>
      </c>
      <c r="G2143">
        <v>-191.5257</v>
      </c>
      <c r="H2143">
        <v>0.91070530000000005</v>
      </c>
      <c r="I2143">
        <v>343.98399999999998</v>
      </c>
      <c r="J2143">
        <v>-191.483</v>
      </c>
      <c r="K2143">
        <v>1.1211260000000001</v>
      </c>
      <c r="L2143">
        <v>344.5838</v>
      </c>
      <c r="M2143">
        <v>3.9436880000000001E-2</v>
      </c>
      <c r="N2143">
        <v>-1.202958E-2</v>
      </c>
      <c r="O2143">
        <v>-0.99914959999999997</v>
      </c>
      <c r="P2143">
        <v>-3.2404270000000002E-3</v>
      </c>
      <c r="Q2143">
        <v>7.7471869999999998E-2</v>
      </c>
      <c r="R2143">
        <v>-0.99698909999999996</v>
      </c>
      <c r="S2143">
        <v>-0.18205260000000001</v>
      </c>
      <c r="T2143">
        <v>-0.9578449</v>
      </c>
      <c r="U2143">
        <v>-3.0824280000000002</v>
      </c>
      <c r="V2143">
        <v>4.2611160000000002E-2</v>
      </c>
      <c r="W2143">
        <v>8.9424030000000002E-2</v>
      </c>
      <c r="X2143">
        <v>0.99508169999999996</v>
      </c>
      <c r="Y2143">
        <v>9.5664669999999993E-2</v>
      </c>
      <c r="Z2143">
        <v>0.2839605</v>
      </c>
      <c r="AA2143">
        <v>0.95405169999999995</v>
      </c>
      <c r="AB2143">
        <v>7</v>
      </c>
      <c r="AC2143">
        <v>-4.2699999999996401E-2</v>
      </c>
      <c r="AD2143">
        <v>-0.21042069999999999</v>
      </c>
      <c r="AE2143">
        <v>-0.59979999999995903</v>
      </c>
      <c r="AF2143">
        <v>5.9087325626490397E-2</v>
      </c>
      <c r="AG2143">
        <v>-0.21042069999999999</v>
      </c>
      <c r="AH2143">
        <v>0.53244936375985297</v>
      </c>
      <c r="AI2143">
        <v>111.44404016014001</v>
      </c>
      <c r="AJ2143">
        <v>83.667643934658898</v>
      </c>
      <c r="AK2143">
        <v>0.57556103760283595</v>
      </c>
      <c r="AL2143">
        <v>84.869527056820402</v>
      </c>
      <c r="AM2143">
        <v>87.547991310346305</v>
      </c>
      <c r="AN2143">
        <v>0.99999997888643799</v>
      </c>
    </row>
    <row r="2144" spans="1:40" x14ac:dyDescent="0.25">
      <c r="A2144" t="str">
        <f>"20190303161915829"</f>
        <v>20190303161915829</v>
      </c>
      <c r="B2144" t="str">
        <f>"1551601155824364"</f>
        <v>1551601155824364</v>
      </c>
      <c r="C2144" t="s">
        <v>40</v>
      </c>
      <c r="D2144">
        <v>4.6078720000000004</v>
      </c>
      <c r="E2144">
        <v>0.52038739999999895</v>
      </c>
      <c r="F2144" t="s">
        <v>42</v>
      </c>
      <c r="G2144">
        <v>-191.52180000000001</v>
      </c>
      <c r="H2144">
        <v>0.91133690000000001</v>
      </c>
      <c r="I2144">
        <v>343.91699999999997</v>
      </c>
      <c r="J2144">
        <v>-191.4804</v>
      </c>
      <c r="K2144">
        <v>1.1211009999999999</v>
      </c>
      <c r="L2144">
        <v>344.50349999999997</v>
      </c>
      <c r="M2144">
        <v>3.8910970000000003E-2</v>
      </c>
      <c r="N2144">
        <v>-1.2030900000000001E-2</v>
      </c>
      <c r="O2144">
        <v>-0.99917040000000001</v>
      </c>
      <c r="P2144">
        <v>-2.506861E-3</v>
      </c>
      <c r="Q2144">
        <v>7.8550889999999998E-2</v>
      </c>
      <c r="R2144">
        <v>-0.99690690000000004</v>
      </c>
      <c r="S2144">
        <v>-0.17884829999999999</v>
      </c>
      <c r="T2144">
        <v>-0.97024849999999996</v>
      </c>
      <c r="U2144">
        <v>-3.0838619999999999</v>
      </c>
      <c r="V2144">
        <v>4.1357449999999997E-2</v>
      </c>
      <c r="W2144">
        <v>9.0501590000000007E-2</v>
      </c>
      <c r="X2144">
        <v>0.99503719999999996</v>
      </c>
      <c r="Y2144">
        <v>9.4068799999999994E-2</v>
      </c>
      <c r="Z2144">
        <v>0.28737010000000002</v>
      </c>
      <c r="AA2144">
        <v>0.95318910000000001</v>
      </c>
      <c r="AB2144">
        <v>7</v>
      </c>
      <c r="AC2144">
        <v>-4.1400000000009998E-2</v>
      </c>
      <c r="AD2144">
        <v>-0.20976410000000001</v>
      </c>
      <c r="AE2144">
        <v>-0.58650000000000002</v>
      </c>
      <c r="AF2144">
        <v>5.6943659921658597E-2</v>
      </c>
      <c r="AG2144">
        <v>-0.20976410000000001</v>
      </c>
      <c r="AH2144">
        <v>0.51845468037501796</v>
      </c>
      <c r="AI2144">
        <v>111.90882405674</v>
      </c>
      <c r="AJ2144">
        <v>83.7321308950131</v>
      </c>
      <c r="AK2144">
        <v>0.56217329504063496</v>
      </c>
      <c r="AL2144">
        <v>84.807536171630105</v>
      </c>
      <c r="AM2144">
        <v>87.619944042112095</v>
      </c>
      <c r="AN2144">
        <v>1.0000000029234299</v>
      </c>
    </row>
    <row r="2145" spans="1:40" x14ac:dyDescent="0.25">
      <c r="A2145" t="str">
        <f>"20190303161915849"</f>
        <v>20190303161915849</v>
      </c>
      <c r="B2145" t="str">
        <f>"1551601155844860"</f>
        <v>1551601155844860</v>
      </c>
      <c r="C2145" t="s">
        <v>40</v>
      </c>
      <c r="D2145">
        <v>4.6358839999999999</v>
      </c>
      <c r="E2145">
        <v>0.52024539999999997</v>
      </c>
      <c r="F2145" t="s">
        <v>42</v>
      </c>
      <c r="G2145">
        <v>-191.5213</v>
      </c>
      <c r="H2145">
        <v>0.89829359999999903</v>
      </c>
      <c r="I2145">
        <v>343.7894</v>
      </c>
      <c r="J2145">
        <v>-191.47829999999999</v>
      </c>
      <c r="K2145">
        <v>1.121089</v>
      </c>
      <c r="L2145">
        <v>344.43669999999997</v>
      </c>
      <c r="M2145">
        <v>3.8446059999999997E-2</v>
      </c>
      <c r="N2145">
        <v>-1.2031979999999999E-2</v>
      </c>
      <c r="O2145">
        <v>-0.99918819999999997</v>
      </c>
      <c r="P2145">
        <v>-2.6954449999999999E-3</v>
      </c>
      <c r="Q2145">
        <v>8.1035960000000004E-2</v>
      </c>
      <c r="R2145">
        <v>-0.99670760000000003</v>
      </c>
      <c r="S2145">
        <v>-0.17584229999999901</v>
      </c>
      <c r="T2145">
        <v>-0.96239509999999995</v>
      </c>
      <c r="U2145">
        <v>-3.084686</v>
      </c>
      <c r="V2145">
        <v>4.108059E-2</v>
      </c>
      <c r="W2145">
        <v>9.2983510000000005E-2</v>
      </c>
      <c r="X2145">
        <v>0.99481980000000003</v>
      </c>
      <c r="Y2145">
        <v>9.2707800000000007E-2</v>
      </c>
      <c r="Z2145">
        <v>0.28511950000000003</v>
      </c>
      <c r="AA2145">
        <v>0.95399800000000001</v>
      </c>
      <c r="AB2145">
        <v>7</v>
      </c>
      <c r="AC2145">
        <v>-4.3000000000006297E-2</v>
      </c>
      <c r="AD2145">
        <v>-0.2227954</v>
      </c>
      <c r="AE2145">
        <v>-0.64729999999997201</v>
      </c>
      <c r="AF2145">
        <v>6.0697070628103797E-2</v>
      </c>
      <c r="AG2145">
        <v>-0.2227954</v>
      </c>
      <c r="AH2145">
        <v>0.57710047716623503</v>
      </c>
      <c r="AI2145">
        <v>111.003905422258</v>
      </c>
      <c r="AJ2145">
        <v>83.995937967626602</v>
      </c>
      <c r="AK2145">
        <v>0.62158417401788002</v>
      </c>
      <c r="AL2145">
        <v>84.664730284216603</v>
      </c>
      <c r="AM2145">
        <v>87.635342704790403</v>
      </c>
      <c r="AN2145">
        <v>0.99999999123935401</v>
      </c>
    </row>
    <row r="2146" spans="1:40" x14ac:dyDescent="0.25">
      <c r="A2146" t="str">
        <f>"20190303161915871"</f>
        <v>20190303161915871</v>
      </c>
      <c r="B2146" t="str">
        <f>"1551601155864910"</f>
        <v>1551601155864910</v>
      </c>
      <c r="C2146" t="s">
        <v>40</v>
      </c>
      <c r="D2146">
        <v>4.6528049999999999</v>
      </c>
      <c r="E2146">
        <v>0.52018920000000002</v>
      </c>
      <c r="F2146" t="s">
        <v>42</v>
      </c>
      <c r="G2146">
        <v>-191.51859999999999</v>
      </c>
      <c r="H2146">
        <v>0.90187240000000002</v>
      </c>
      <c r="I2146">
        <v>343.72129999999999</v>
      </c>
      <c r="J2146">
        <v>-191.4761</v>
      </c>
      <c r="K2146">
        <v>1.1210830000000001</v>
      </c>
      <c r="L2146">
        <v>344.36270000000002</v>
      </c>
      <c r="M2146">
        <v>3.7913049999999997E-2</v>
      </c>
      <c r="N2146">
        <v>-1.203305E-2</v>
      </c>
      <c r="O2146">
        <v>-0.9992086</v>
      </c>
      <c r="P2146">
        <v>-3.6671669999999998E-3</v>
      </c>
      <c r="Q2146">
        <v>8.2340430000000006E-2</v>
      </c>
      <c r="R2146">
        <v>-0.99659719999999996</v>
      </c>
      <c r="S2146">
        <v>-0.1730042</v>
      </c>
      <c r="T2146">
        <v>-0.94567760000000001</v>
      </c>
      <c r="U2146">
        <v>-3.0863040000000002</v>
      </c>
      <c r="V2146">
        <v>4.1520300000000003E-2</v>
      </c>
      <c r="W2146">
        <v>9.4285729999999998E-2</v>
      </c>
      <c r="X2146">
        <v>0.99467899999999998</v>
      </c>
      <c r="Y2146">
        <v>9.1359620000000002E-2</v>
      </c>
      <c r="Z2146">
        <v>0.2802885</v>
      </c>
      <c r="AA2146">
        <v>0.95555840000000003</v>
      </c>
      <c r="AB2146">
        <v>7</v>
      </c>
      <c r="AC2146">
        <v>-4.2499999999989699E-2</v>
      </c>
      <c r="AD2146">
        <v>-0.21921060000000001</v>
      </c>
      <c r="AE2146">
        <v>-0.64140000000003194</v>
      </c>
      <c r="AF2146">
        <v>5.9830605845788198E-2</v>
      </c>
      <c r="AG2146">
        <v>-0.21921060000000001</v>
      </c>
      <c r="AH2146">
        <v>0.57272238818005305</v>
      </c>
      <c r="AI2146">
        <v>110.840844217997</v>
      </c>
      <c r="AJ2146">
        <v>84.036112758350498</v>
      </c>
      <c r="AK2146">
        <v>0.61615251559244399</v>
      </c>
      <c r="AL2146">
        <v>84.589789500288902</v>
      </c>
      <c r="AM2146">
        <v>87.609723652802401</v>
      </c>
      <c r="AN2146">
        <v>1.0000000236173601</v>
      </c>
    </row>
    <row r="2147" spans="1:40" x14ac:dyDescent="0.25">
      <c r="A2147" t="str">
        <f>"20190303161915893"</f>
        <v>20190303161915893</v>
      </c>
      <c r="B2147" t="str">
        <f>"1551601155884407"</f>
        <v>1551601155884407</v>
      </c>
      <c r="C2147" t="s">
        <v>40</v>
      </c>
      <c r="D2147">
        <v>4.699713</v>
      </c>
      <c r="E2147">
        <v>0.52052069999999995</v>
      </c>
      <c r="F2147" t="s">
        <v>42</v>
      </c>
      <c r="G2147">
        <v>-191.5163</v>
      </c>
      <c r="H2147">
        <v>0.90533039999999998</v>
      </c>
      <c r="I2147">
        <v>343.6533</v>
      </c>
      <c r="J2147">
        <v>-191.47399999999999</v>
      </c>
      <c r="K2147">
        <v>1.1210800000000001</v>
      </c>
      <c r="L2147">
        <v>344.29079999999999</v>
      </c>
      <c r="M2147">
        <v>3.7386830000000003E-2</v>
      </c>
      <c r="N2147">
        <v>-1.2034110000000001E-2</v>
      </c>
      <c r="O2147">
        <v>-0.99922840000000002</v>
      </c>
      <c r="P2147">
        <v>-4.8560610000000001E-3</v>
      </c>
      <c r="Q2147">
        <v>8.3238030000000005E-2</v>
      </c>
      <c r="R2147">
        <v>-0.99651800000000001</v>
      </c>
      <c r="S2147">
        <v>-0.17437739999999999</v>
      </c>
      <c r="T2147">
        <v>-0.93886639999999999</v>
      </c>
      <c r="U2147">
        <v>-3.087189</v>
      </c>
      <c r="V2147">
        <v>4.2182959999999999E-2</v>
      </c>
      <c r="W2147">
        <v>9.5182439999999993E-2</v>
      </c>
      <c r="X2147">
        <v>0.9945657</v>
      </c>
      <c r="Y2147">
        <v>9.1278109999999996E-2</v>
      </c>
      <c r="Z2147">
        <v>0.27828709999999901</v>
      </c>
      <c r="AA2147">
        <v>0.95615090000000003</v>
      </c>
      <c r="AB2147">
        <v>7</v>
      </c>
      <c r="AC2147">
        <v>-4.2299999999983101E-2</v>
      </c>
      <c r="AD2147">
        <v>-0.21574959999999899</v>
      </c>
      <c r="AE2147">
        <v>-0.63749999999998797</v>
      </c>
      <c r="AF2147">
        <v>5.9339565432583202E-2</v>
      </c>
      <c r="AG2147">
        <v>-0.21574959999999899</v>
      </c>
      <c r="AH2147">
        <v>0.57042518728042602</v>
      </c>
      <c r="AI2147">
        <v>110.616093563511</v>
      </c>
      <c r="AJ2147">
        <v>84.061058989294196</v>
      </c>
      <c r="AK2147">
        <v>0.61274298707516595</v>
      </c>
      <c r="AL2147">
        <v>84.538179646493703</v>
      </c>
      <c r="AM2147">
        <v>87.571344075068495</v>
      </c>
      <c r="AN2147">
        <v>1.0000000153076001</v>
      </c>
    </row>
    <row r="2148" spans="1:40" x14ac:dyDescent="0.25">
      <c r="A2148" t="str">
        <f>"20190303161915915"</f>
        <v>20190303161915915</v>
      </c>
      <c r="B2148" t="str">
        <f>"1551601155904906"</f>
        <v>1551601155904906</v>
      </c>
      <c r="C2148" t="s">
        <v>40</v>
      </c>
      <c r="D2148">
        <v>4.6548860000000003</v>
      </c>
      <c r="E2148">
        <v>0.52157600000000004</v>
      </c>
      <c r="F2148" t="s">
        <v>42</v>
      </c>
      <c r="G2148">
        <v>-191.51580000000001</v>
      </c>
      <c r="H2148">
        <v>0.9078039</v>
      </c>
      <c r="I2148">
        <v>343.58569999999997</v>
      </c>
      <c r="J2148">
        <v>-191.4718</v>
      </c>
      <c r="K2148">
        <v>1.1210800000000001</v>
      </c>
      <c r="L2148">
        <v>344.21350000000001</v>
      </c>
      <c r="M2148">
        <v>3.6821850000000003E-2</v>
      </c>
      <c r="N2148">
        <v>-1.2034990000000001E-2</v>
      </c>
      <c r="O2148">
        <v>-0.99924930000000001</v>
      </c>
      <c r="P2148">
        <v>-5.3135719999999999E-3</v>
      </c>
      <c r="Q2148">
        <v>8.4207790000000005E-2</v>
      </c>
      <c r="R2148">
        <v>-0.99643389999999998</v>
      </c>
      <c r="S2148">
        <v>-0.1818237</v>
      </c>
      <c r="T2148">
        <v>-0.93377790000000005</v>
      </c>
      <c r="U2148">
        <v>-3.0876160000000001</v>
      </c>
      <c r="V2148">
        <v>4.2074159999999999E-2</v>
      </c>
      <c r="W2148">
        <v>9.6152119999999994E-2</v>
      </c>
      <c r="X2148">
        <v>0.99447700000000006</v>
      </c>
      <c r="Y2148">
        <v>9.3029100000000003E-2</v>
      </c>
      <c r="Z2148">
        <v>0.27677210000000002</v>
      </c>
      <c r="AA2148">
        <v>0.95642190000000005</v>
      </c>
      <c r="AB2148">
        <v>7</v>
      </c>
      <c r="AC2148">
        <v>-4.40000000000111E-2</v>
      </c>
      <c r="AD2148">
        <v>-0.213276099999999</v>
      </c>
      <c r="AE2148">
        <v>-0.627800000000036</v>
      </c>
      <c r="AF2148">
        <v>6.0177481764654199E-2</v>
      </c>
      <c r="AG2148">
        <v>-0.213276099999999</v>
      </c>
      <c r="AH2148">
        <v>0.56129208524049101</v>
      </c>
      <c r="AI2148">
        <v>110.696981725149</v>
      </c>
      <c r="AJ2148">
        <v>83.880556142106101</v>
      </c>
      <c r="AK2148">
        <v>0.60345408201151796</v>
      </c>
      <c r="AL2148">
        <v>84.482364901175899</v>
      </c>
      <c r="AM2148">
        <v>87.577384888484005</v>
      </c>
      <c r="AN2148">
        <v>0.99999998432459902</v>
      </c>
    </row>
    <row r="2149" spans="1:40" x14ac:dyDescent="0.25">
      <c r="A2149" t="str">
        <f>"20190303161915950"</f>
        <v>20190303161915950</v>
      </c>
      <c r="B2149" t="str">
        <f>"1551601155944918"</f>
        <v>1551601155944918</v>
      </c>
      <c r="C2149" t="s">
        <v>40</v>
      </c>
      <c r="D2149">
        <v>4.6885289999999999</v>
      </c>
      <c r="E2149">
        <v>0.52321399999999996</v>
      </c>
      <c r="F2149" t="s">
        <v>42</v>
      </c>
      <c r="G2149">
        <v>-191.51499999999999</v>
      </c>
      <c r="H2149">
        <v>0.91207950000000004</v>
      </c>
      <c r="I2149">
        <v>343.51729999999998</v>
      </c>
      <c r="J2149">
        <v>-191.46860000000001</v>
      </c>
      <c r="K2149">
        <v>1.1211059999999999</v>
      </c>
      <c r="L2149">
        <v>344.10169999999999</v>
      </c>
      <c r="M2149">
        <v>3.6022440000000003E-2</v>
      </c>
      <c r="N2149">
        <v>-1.2035860000000001E-2</v>
      </c>
      <c r="O2149">
        <v>-0.99927860000000002</v>
      </c>
      <c r="P2149">
        <v>-6.372806E-3</v>
      </c>
      <c r="Q2149">
        <v>8.6231479999999999E-2</v>
      </c>
      <c r="R2149">
        <v>-0.99625459999999999</v>
      </c>
      <c r="S2149">
        <v>-0.1919708</v>
      </c>
      <c r="T2149">
        <v>-0.92714200000000002</v>
      </c>
      <c r="U2149">
        <v>-3.0880740000000002</v>
      </c>
      <c r="V2149">
        <v>4.2328020000000001E-2</v>
      </c>
      <c r="W2149">
        <v>9.8175739999999997E-2</v>
      </c>
      <c r="X2149">
        <v>0.9942685</v>
      </c>
      <c r="Y2149">
        <v>9.5387180000000002E-2</v>
      </c>
      <c r="Z2149">
        <v>0.27479999999999999</v>
      </c>
      <c r="AA2149">
        <v>0.9567582</v>
      </c>
      <c r="AB2149">
        <v>7</v>
      </c>
      <c r="AC2149">
        <v>-4.6399999999977098E-2</v>
      </c>
      <c r="AD2149">
        <v>-0.209026499999999</v>
      </c>
      <c r="AE2149">
        <v>-0.58440000000001602</v>
      </c>
      <c r="AF2149">
        <v>5.9818148480532997E-2</v>
      </c>
      <c r="AG2149">
        <v>-0.209026499999999</v>
      </c>
      <c r="AH2149">
        <v>0.51666474500623005</v>
      </c>
      <c r="AI2149">
        <v>111.894423752412</v>
      </c>
      <c r="AJ2149">
        <v>83.395841911012894</v>
      </c>
      <c r="AK2149">
        <v>0.56054682883969797</v>
      </c>
      <c r="AL2149">
        <v>84.365868832089205</v>
      </c>
      <c r="AM2149">
        <v>87.562274821619198</v>
      </c>
      <c r="AN2149">
        <v>0.99999999364695902</v>
      </c>
    </row>
    <row r="2150" spans="1:40" x14ac:dyDescent="0.25">
      <c r="A2150" t="str">
        <f>"20190303161915972"</f>
        <v>20190303161915972</v>
      </c>
      <c r="B2150" t="str">
        <f>"1551601155964999"</f>
        <v>1551601155964999</v>
      </c>
      <c r="C2150" t="s">
        <v>40</v>
      </c>
      <c r="D2150">
        <v>4.7151839999999998</v>
      </c>
      <c r="E2150">
        <v>0.52389319999999995</v>
      </c>
      <c r="F2150" t="s">
        <v>42</v>
      </c>
      <c r="G2150">
        <v>-191.5164</v>
      </c>
      <c r="H2150">
        <v>0.90816439999999998</v>
      </c>
      <c r="I2150">
        <v>343.3861</v>
      </c>
      <c r="J2150">
        <v>-191.4665</v>
      </c>
      <c r="K2150">
        <v>1.121108</v>
      </c>
      <c r="L2150">
        <v>344.02600000000001</v>
      </c>
      <c r="M2150">
        <v>3.5492070000000001E-2</v>
      </c>
      <c r="N2150">
        <v>-1.203649E-2</v>
      </c>
      <c r="O2150">
        <v>-0.99929769999999896</v>
      </c>
      <c r="P2150">
        <v>-6.7826500000000003E-3</v>
      </c>
      <c r="Q2150">
        <v>8.5687860000000005E-2</v>
      </c>
      <c r="R2150">
        <v>-0.99629920000000005</v>
      </c>
      <c r="S2150">
        <v>-0.2065582</v>
      </c>
      <c r="T2150">
        <v>-0.91945719999999997</v>
      </c>
      <c r="U2150">
        <v>-3.0895389999999998</v>
      </c>
      <c r="V2150">
        <v>4.2208849999999999E-2</v>
      </c>
      <c r="W2150">
        <v>9.7633810000000001E-2</v>
      </c>
      <c r="X2150">
        <v>0.99432690000000001</v>
      </c>
      <c r="Y2150">
        <v>9.9368120000000004E-2</v>
      </c>
      <c r="Z2150">
        <v>0.27239960000000002</v>
      </c>
      <c r="AA2150">
        <v>0.95703939999999998</v>
      </c>
      <c r="AB2150">
        <v>7</v>
      </c>
      <c r="AC2150">
        <v>-4.9900000000008E-2</v>
      </c>
      <c r="AD2150">
        <v>-0.21294360000000001</v>
      </c>
      <c r="AE2150">
        <v>-0.63990000000001102</v>
      </c>
      <c r="AF2150">
        <v>6.5384634993707405E-2</v>
      </c>
      <c r="AG2150">
        <v>-0.21294360000000001</v>
      </c>
      <c r="AH2150">
        <v>0.574490935963066</v>
      </c>
      <c r="AI2150">
        <v>110.218108415911</v>
      </c>
      <c r="AJ2150">
        <v>83.506925350862005</v>
      </c>
      <c r="AK2150">
        <v>0.61616553196194002</v>
      </c>
      <c r="AL2150">
        <v>84.397068871270406</v>
      </c>
      <c r="AM2150">
        <v>87.569272332381999</v>
      </c>
      <c r="AN2150">
        <v>0.99999996596852303</v>
      </c>
    </row>
    <row r="2151" spans="1:40" x14ac:dyDescent="0.25">
      <c r="A2151" t="str">
        <f>"20190303161915996"</f>
        <v>20190303161915996</v>
      </c>
      <c r="B2151" t="str">
        <f>"1551601155984466"</f>
        <v>1551601155984466</v>
      </c>
      <c r="C2151" t="s">
        <v>40</v>
      </c>
      <c r="D2151">
        <v>4.7053430000000001</v>
      </c>
      <c r="E2151">
        <v>0.52426200000000001</v>
      </c>
      <c r="F2151" t="s">
        <v>42</v>
      </c>
      <c r="G2151">
        <v>-191.51519999999999</v>
      </c>
      <c r="H2151">
        <v>0.91000999999999999</v>
      </c>
      <c r="I2151">
        <v>343.31900000000002</v>
      </c>
      <c r="J2151">
        <v>-191.46440000000001</v>
      </c>
      <c r="K2151">
        <v>1.121097</v>
      </c>
      <c r="L2151">
        <v>343.94839999999999</v>
      </c>
      <c r="M2151">
        <v>3.4951599999999999E-2</v>
      </c>
      <c r="N2151">
        <v>-1.2037010000000001E-2</v>
      </c>
      <c r="O2151">
        <v>-0.9993166</v>
      </c>
      <c r="P2151">
        <v>-5.7903030000000001E-3</v>
      </c>
      <c r="Q2151">
        <v>8.4817799999999999E-2</v>
      </c>
      <c r="R2151">
        <v>-0.99638000000000004</v>
      </c>
      <c r="S2151">
        <v>-0.21194460000000001</v>
      </c>
      <c r="T2151">
        <v>-0.92218509999999998</v>
      </c>
      <c r="U2151">
        <v>-3.0890200000000001</v>
      </c>
      <c r="V2151">
        <v>4.068153E-2</v>
      </c>
      <c r="W2151">
        <v>9.6767220000000001E-2</v>
      </c>
      <c r="X2151">
        <v>0.99447529999999995</v>
      </c>
      <c r="Y2151">
        <v>0.1004837</v>
      </c>
      <c r="Z2151">
        <v>0.27319599999999999</v>
      </c>
      <c r="AA2151">
        <v>0.95669590000000004</v>
      </c>
      <c r="AB2151">
        <v>7</v>
      </c>
      <c r="AC2151">
        <v>-5.0799999999980999E-2</v>
      </c>
      <c r="AD2151">
        <v>-0.211087</v>
      </c>
      <c r="AE2151">
        <v>-0.62939999999997498</v>
      </c>
      <c r="AF2151">
        <v>6.5454511119179701E-2</v>
      </c>
      <c r="AG2151">
        <v>-0.211087</v>
      </c>
      <c r="AH2151">
        <v>0.56419107537602198</v>
      </c>
      <c r="AI2151">
        <v>110.387495103397</v>
      </c>
      <c r="AJ2151">
        <v>83.382425750840696</v>
      </c>
      <c r="AK2151">
        <v>0.60593199629067596</v>
      </c>
      <c r="AL2151">
        <v>84.446957254612599</v>
      </c>
      <c r="AM2151">
        <v>87.657477172274199</v>
      </c>
      <c r="AN2151">
        <v>1.00000000202987</v>
      </c>
    </row>
    <row r="2152" spans="1:40" x14ac:dyDescent="0.25">
      <c r="A2152" t="str">
        <f>"20190303161916018"</f>
        <v>20190303161916018</v>
      </c>
      <c r="B2152" t="str">
        <f>"1551601156014722"</f>
        <v>1551601156014722</v>
      </c>
      <c r="C2152" t="s">
        <v>40</v>
      </c>
      <c r="D2152">
        <v>4.7379660000000001</v>
      </c>
      <c r="E2152">
        <v>0.52469549999999998</v>
      </c>
      <c r="F2152" t="s">
        <v>42</v>
      </c>
      <c r="G2152">
        <v>-191.51230000000001</v>
      </c>
      <c r="H2152">
        <v>0.91252829999999996</v>
      </c>
      <c r="I2152">
        <v>343.25170000000003</v>
      </c>
      <c r="J2152">
        <v>-191.4624</v>
      </c>
      <c r="K2152">
        <v>1.1210869999999999</v>
      </c>
      <c r="L2152">
        <v>343.8732</v>
      </c>
      <c r="M2152">
        <v>3.4426459999999999E-2</v>
      </c>
      <c r="N2152">
        <v>-1.2037809999999999E-2</v>
      </c>
      <c r="O2152">
        <v>-0.99933479999999997</v>
      </c>
      <c r="P2152">
        <v>-3.5077860000000002E-3</v>
      </c>
      <c r="Q2152">
        <v>8.3402630000000005E-2</v>
      </c>
      <c r="R2152">
        <v>-0.99651009999999995</v>
      </c>
      <c r="S2152">
        <v>-0.21176149999999999</v>
      </c>
      <c r="T2152">
        <v>-0.92458810000000002</v>
      </c>
      <c r="U2152">
        <v>-3.0883790000000002</v>
      </c>
      <c r="V2152">
        <v>3.7883970000000003E-2</v>
      </c>
      <c r="W2152">
        <v>9.5356629999999998E-2</v>
      </c>
      <c r="X2152">
        <v>0.994722</v>
      </c>
      <c r="Y2152">
        <v>9.9904090000000001E-2</v>
      </c>
      <c r="Z2152">
        <v>0.27395019999999998</v>
      </c>
      <c r="AA2152">
        <v>0.95654090000000003</v>
      </c>
      <c r="AB2152">
        <v>7</v>
      </c>
      <c r="AC2152">
        <v>-4.9900000000008E-2</v>
      </c>
      <c r="AD2152">
        <v>-0.20855870000000001</v>
      </c>
      <c r="AE2152">
        <v>-0.62149999999996897</v>
      </c>
      <c r="AF2152">
        <v>6.4096390564171005E-2</v>
      </c>
      <c r="AG2152">
        <v>-0.20855870000000001</v>
      </c>
      <c r="AH2152">
        <v>0.55708264789952699</v>
      </c>
      <c r="AI2152">
        <v>110.4013200031</v>
      </c>
      <c r="AJ2152">
        <v>83.4365669543146</v>
      </c>
      <c r="AK2152">
        <v>0.59828601456142505</v>
      </c>
      <c r="AL2152">
        <v>84.528153441430803</v>
      </c>
      <c r="AM2152">
        <v>87.818945345315797</v>
      </c>
      <c r="AN2152">
        <v>0.99999996967595794</v>
      </c>
    </row>
    <row r="2153" spans="1:40" x14ac:dyDescent="0.25">
      <c r="A2153" t="str">
        <f>"20190303161916040"</f>
        <v>20190303161916040</v>
      </c>
      <c r="B2153" t="str">
        <f>"1551601156035218"</f>
        <v>1551601156035218</v>
      </c>
      <c r="C2153" t="s">
        <v>40</v>
      </c>
      <c r="D2153">
        <v>4.7826240000000002</v>
      </c>
      <c r="E2153">
        <v>0.52487269999999997</v>
      </c>
      <c r="F2153" t="s">
        <v>42</v>
      </c>
      <c r="G2153">
        <v>-191.5093</v>
      </c>
      <c r="H2153">
        <v>0.91403389999999995</v>
      </c>
      <c r="I2153">
        <v>343.1848</v>
      </c>
      <c r="J2153">
        <v>-191.4605</v>
      </c>
      <c r="K2153">
        <v>1.121073</v>
      </c>
      <c r="L2153">
        <v>343.80450000000002</v>
      </c>
      <c r="M2153">
        <v>3.394142E-2</v>
      </c>
      <c r="N2153">
        <v>-1.2038729999999999E-2</v>
      </c>
      <c r="O2153">
        <v>-0.99935149999999995</v>
      </c>
      <c r="P2153">
        <v>-1.3459679999999999E-3</v>
      </c>
      <c r="Q2153">
        <v>8.4764409999999998E-2</v>
      </c>
      <c r="R2153">
        <v>-0.99640059999999997</v>
      </c>
      <c r="S2153">
        <v>-0.20962520000000001</v>
      </c>
      <c r="T2153">
        <v>-0.92859329999999995</v>
      </c>
      <c r="U2153">
        <v>-3.0874630000000001</v>
      </c>
      <c r="V2153">
        <v>3.5242559999999999E-2</v>
      </c>
      <c r="W2153">
        <v>9.671834E-2</v>
      </c>
      <c r="X2153">
        <v>0.99468769999999995</v>
      </c>
      <c r="Y2153">
        <v>9.8759150000000004E-2</v>
      </c>
      <c r="Z2153">
        <v>0.27519629999999901</v>
      </c>
      <c r="AA2153">
        <v>0.95630199999999999</v>
      </c>
      <c r="AB2153">
        <v>7</v>
      </c>
      <c r="AC2153">
        <v>-4.8799999999999899E-2</v>
      </c>
      <c r="AD2153">
        <v>-0.2070391</v>
      </c>
      <c r="AE2153">
        <v>-0.61970000000002201</v>
      </c>
      <c r="AF2153">
        <v>6.2836335482482394E-2</v>
      </c>
      <c r="AG2153">
        <v>-0.2070391</v>
      </c>
      <c r="AH2153">
        <v>0.55600740736521104</v>
      </c>
      <c r="AI2153">
        <v>110.305084102847</v>
      </c>
      <c r="AJ2153">
        <v>83.552162035691794</v>
      </c>
      <c r="AK2153">
        <v>0.59662201688394001</v>
      </c>
      <c r="AL2153">
        <v>84.449771326302496</v>
      </c>
      <c r="AM2153">
        <v>87.970814724449298</v>
      </c>
      <c r="AN2153">
        <v>1.0000000479294899</v>
      </c>
    </row>
    <row r="2154" spans="1:40" x14ac:dyDescent="0.25">
      <c r="A2154" t="str">
        <f>"20190303161916061"</f>
        <v>20190303161916061</v>
      </c>
      <c r="B2154" t="str">
        <f>"1551601156054738"</f>
        <v>1551601156054738</v>
      </c>
      <c r="C2154" t="s">
        <v>40</v>
      </c>
      <c r="D2154">
        <v>4.7793999999999999</v>
      </c>
      <c r="E2154">
        <v>0.52510259999999997</v>
      </c>
      <c r="F2154" t="s">
        <v>42</v>
      </c>
      <c r="G2154">
        <v>-191.50649999999999</v>
      </c>
      <c r="H2154">
        <v>0.91579440000000001</v>
      </c>
      <c r="I2154">
        <v>343.11779999999999</v>
      </c>
      <c r="J2154">
        <v>-191.45869999999999</v>
      </c>
      <c r="K2154">
        <v>1.1210599999999999</v>
      </c>
      <c r="L2154">
        <v>343.73230000000001</v>
      </c>
      <c r="M2154">
        <v>3.3423420000000002E-2</v>
      </c>
      <c r="N2154">
        <v>-1.2039950000000001E-2</v>
      </c>
      <c r="O2154">
        <v>-0.99936899999999995</v>
      </c>
      <c r="P2154">
        <v>3.3056889999999998E-4</v>
      </c>
      <c r="Q2154">
        <v>8.7151960000000001E-2</v>
      </c>
      <c r="R2154">
        <v>-0.99619539999999995</v>
      </c>
      <c r="S2154">
        <v>-0.20642089999999999</v>
      </c>
      <c r="T2154">
        <v>-0.92344749999999998</v>
      </c>
      <c r="U2154">
        <v>-3.0890810000000002</v>
      </c>
      <c r="V2154">
        <v>3.305288E-2</v>
      </c>
      <c r="W2154">
        <v>9.910484E-2</v>
      </c>
      <c r="X2154">
        <v>0.99452790000000002</v>
      </c>
      <c r="Y2154">
        <v>9.7255969999999997E-2</v>
      </c>
      <c r="Z2154">
        <v>0.27363229999999999</v>
      </c>
      <c r="AA2154">
        <v>0.95690469999999905</v>
      </c>
      <c r="AB2154">
        <v>7</v>
      </c>
      <c r="AC2154">
        <v>-4.7799999999995103E-2</v>
      </c>
      <c r="AD2154">
        <v>-0.20526559999999999</v>
      </c>
      <c r="AE2154">
        <v>-0.61450000000002003</v>
      </c>
      <c r="AF2154">
        <v>6.1493277454401099E-2</v>
      </c>
      <c r="AG2154">
        <v>-0.20526559999999999</v>
      </c>
      <c r="AH2154">
        <v>0.55140303906952104</v>
      </c>
      <c r="AI2154">
        <v>110.30281135131899</v>
      </c>
      <c r="AJ2154">
        <v>83.6365842011799</v>
      </c>
      <c r="AK2154">
        <v>0.59157476383847596</v>
      </c>
      <c r="AL2154">
        <v>84.3123744906881</v>
      </c>
      <c r="AM2154">
        <v>88.096490077842404</v>
      </c>
      <c r="AN2154">
        <v>1.00000000303306</v>
      </c>
    </row>
    <row r="2155" spans="1:40" x14ac:dyDescent="0.25">
      <c r="A2155" t="str">
        <f>"20190303161916083"</f>
        <v>20190303161916083</v>
      </c>
      <c r="B2155" t="str">
        <f>"1551601156074258"</f>
        <v>1551601156074258</v>
      </c>
      <c r="C2155" t="s">
        <v>40</v>
      </c>
      <c r="D2155">
        <v>4.795255</v>
      </c>
      <c r="E2155">
        <v>0.52531380000000005</v>
      </c>
      <c r="F2155" t="s">
        <v>42</v>
      </c>
      <c r="G2155">
        <v>-191.50360000000001</v>
      </c>
      <c r="H2155">
        <v>0.91899050000000004</v>
      </c>
      <c r="I2155">
        <v>343.05020000000002</v>
      </c>
      <c r="J2155">
        <v>-191.45689999999999</v>
      </c>
      <c r="K2155">
        <v>1.121043</v>
      </c>
      <c r="L2155">
        <v>343.6617</v>
      </c>
      <c r="M2155">
        <v>3.290763E-2</v>
      </c>
      <c r="N2155">
        <v>-1.2041039999999999E-2</v>
      </c>
      <c r="O2155">
        <v>-0.999386</v>
      </c>
      <c r="P2155">
        <v>6.5910009999999995E-4</v>
      </c>
      <c r="Q2155">
        <v>9.0329759999999995E-2</v>
      </c>
      <c r="R2155">
        <v>-0.99591209999999997</v>
      </c>
      <c r="S2155">
        <v>-0.203125</v>
      </c>
      <c r="T2155">
        <v>-0.91587969999999996</v>
      </c>
      <c r="U2155">
        <v>-3.091675</v>
      </c>
      <c r="V2155">
        <v>3.2211650000000001E-2</v>
      </c>
      <c r="W2155">
        <v>0.1022791</v>
      </c>
      <c r="X2155">
        <v>0.99423410000000001</v>
      </c>
      <c r="Y2155">
        <v>9.5721360000000005E-2</v>
      </c>
      <c r="Z2155">
        <v>0.27129510000000001</v>
      </c>
      <c r="AA2155">
        <v>0.95772460000000004</v>
      </c>
      <c r="AB2155">
        <v>7</v>
      </c>
      <c r="AC2155">
        <v>-4.67000000000155E-2</v>
      </c>
      <c r="AD2155">
        <v>-0.2020525</v>
      </c>
      <c r="AE2155">
        <v>-0.61149999999997795</v>
      </c>
      <c r="AF2155">
        <v>6.0258422964747899E-2</v>
      </c>
      <c r="AG2155">
        <v>-0.2020525</v>
      </c>
      <c r="AH2155">
        <v>0.54993874578925295</v>
      </c>
      <c r="AI2155">
        <v>110.06336451624099</v>
      </c>
      <c r="AJ2155">
        <v>83.746877005410298</v>
      </c>
      <c r="AK2155">
        <v>0.58897276203123805</v>
      </c>
      <c r="AL2155">
        <v>84.129573782813907</v>
      </c>
      <c r="AM2155">
        <v>88.144354277664107</v>
      </c>
      <c r="AN2155">
        <v>1.0000000251476699</v>
      </c>
    </row>
    <row r="2156" spans="1:40" x14ac:dyDescent="0.25">
      <c r="A2156" t="str">
        <f>"20190303161916105"</f>
        <v>20190303161916105</v>
      </c>
      <c r="B2156" t="str">
        <f>"1551601156094754"</f>
        <v>1551601156094754</v>
      </c>
      <c r="C2156" t="s">
        <v>40</v>
      </c>
      <c r="D2156">
        <v>4.7211650000000001</v>
      </c>
      <c r="E2156">
        <v>0.5242772</v>
      </c>
      <c r="F2156" t="s">
        <v>42</v>
      </c>
      <c r="G2156">
        <v>-191.5017</v>
      </c>
      <c r="H2156">
        <v>0.92243059999999999</v>
      </c>
      <c r="I2156">
        <v>342.98239999999998</v>
      </c>
      <c r="J2156">
        <v>-191.45500000000001</v>
      </c>
      <c r="K2156">
        <v>1.1210260000000001</v>
      </c>
      <c r="L2156">
        <v>343.58609999999999</v>
      </c>
      <c r="M2156">
        <v>3.2348200000000001E-2</v>
      </c>
      <c r="N2156">
        <v>-1.2042310000000001E-2</v>
      </c>
      <c r="O2156">
        <v>-0.99940419999999996</v>
      </c>
      <c r="P2156" s="1">
        <v>6.6750739999999994E-5</v>
      </c>
      <c r="Q2156">
        <v>9.2971570000000003E-2</v>
      </c>
      <c r="R2156">
        <v>-0.99566889999999997</v>
      </c>
      <c r="S2156">
        <v>-0.2042542</v>
      </c>
      <c r="T2156">
        <v>-0.90483570000000002</v>
      </c>
      <c r="U2156">
        <v>-3.0945130000000001</v>
      </c>
      <c r="V2156">
        <v>3.2248880000000001E-2</v>
      </c>
      <c r="W2156">
        <v>0.1049166</v>
      </c>
      <c r="X2156">
        <v>0.99395800000000001</v>
      </c>
      <c r="Y2156">
        <v>9.5519969999999996E-2</v>
      </c>
      <c r="Z2156">
        <v>0.2679127</v>
      </c>
      <c r="AA2156">
        <v>0.9586964</v>
      </c>
      <c r="AB2156">
        <v>7</v>
      </c>
      <c r="AC2156">
        <v>-4.6699999999987002E-2</v>
      </c>
      <c r="AD2156">
        <v>-0.19859540000000001</v>
      </c>
      <c r="AE2156">
        <v>-0.60370000000000301</v>
      </c>
      <c r="AF2156">
        <v>5.9775341735629699E-2</v>
      </c>
      <c r="AG2156">
        <v>-0.19859540000000001</v>
      </c>
      <c r="AH2156">
        <v>0.54341611739097295</v>
      </c>
      <c r="AI2156">
        <v>109.96437258224</v>
      </c>
      <c r="AJ2156">
        <v>83.7227464286388</v>
      </c>
      <c r="AK2156">
        <v>0.58164791843610297</v>
      </c>
      <c r="AL2156">
        <v>83.977638414444399</v>
      </c>
      <c r="AM2156">
        <v>88.141695345620505</v>
      </c>
      <c r="AN2156">
        <v>0.999999994490407</v>
      </c>
    </row>
    <row r="2157" spans="1:40" x14ac:dyDescent="0.25">
      <c r="A2157" t="str">
        <f>"20190303161916127"</f>
        <v>20190303161916127</v>
      </c>
      <c r="B2157" t="str">
        <f>"1551601156114274"</f>
        <v>1551601156114274</v>
      </c>
      <c r="C2157" t="s">
        <v>40</v>
      </c>
      <c r="D2157">
        <v>4.8264420000000001</v>
      </c>
      <c r="E2157">
        <v>0.52196750000000003</v>
      </c>
      <c r="F2157" t="s">
        <v>42</v>
      </c>
      <c r="G2157">
        <v>-191.50380000000001</v>
      </c>
      <c r="H2157">
        <v>0.96525620000000001</v>
      </c>
      <c r="I2157">
        <v>342.82909999999998</v>
      </c>
      <c r="J2157">
        <v>-191.45320000000001</v>
      </c>
      <c r="K2157">
        <v>1.1210100000000001</v>
      </c>
      <c r="L2157">
        <v>343.51369999999997</v>
      </c>
      <c r="M2157">
        <v>3.1807469999999997E-2</v>
      </c>
      <c r="N2157">
        <v>-1.204364E-2</v>
      </c>
      <c r="O2157">
        <v>-0.99942140000000002</v>
      </c>
      <c r="P2157">
        <v>-8.7953770000000003E-4</v>
      </c>
      <c r="Q2157">
        <v>9.3939739999999994E-2</v>
      </c>
      <c r="R2157">
        <v>-0.9955775</v>
      </c>
      <c r="S2157">
        <v>-0.19792180000000001</v>
      </c>
      <c r="T2157">
        <v>-0.63216669999999997</v>
      </c>
      <c r="U2157">
        <v>-3.0720519999999998</v>
      </c>
      <c r="V2157">
        <v>3.266082E-2</v>
      </c>
      <c r="W2157">
        <v>0.1058825</v>
      </c>
      <c r="X2157">
        <v>0.99384209999999995</v>
      </c>
      <c r="Y2157">
        <v>9.4720479999999996E-2</v>
      </c>
      <c r="Z2157">
        <v>0.18892680000000001</v>
      </c>
      <c r="AA2157">
        <v>0.97741219999999995</v>
      </c>
      <c r="AB2157">
        <v>7</v>
      </c>
      <c r="AC2157">
        <v>-5.0600000000002802E-2</v>
      </c>
      <c r="AD2157">
        <v>-0.1557538</v>
      </c>
      <c r="AE2157">
        <v>-0.684599999999989</v>
      </c>
      <c r="AF2157">
        <v>6.8809085145581803E-2</v>
      </c>
      <c r="AG2157">
        <v>-0.1557538</v>
      </c>
      <c r="AH2157">
        <v>0.64922210754512499</v>
      </c>
      <c r="AI2157">
        <v>103.418352248441</v>
      </c>
      <c r="AJ2157">
        <v>83.949980145349201</v>
      </c>
      <c r="AK2157">
        <v>0.67118051322900196</v>
      </c>
      <c r="AL2157">
        <v>83.921986323739404</v>
      </c>
      <c r="AM2157">
        <v>88.117755419459996</v>
      </c>
      <c r="AN2157">
        <v>0.99999997635086502</v>
      </c>
    </row>
    <row r="2158" spans="1:40" x14ac:dyDescent="0.25">
      <c r="A2158" t="str">
        <f>"20190303161916149"</f>
        <v>20190303161916149</v>
      </c>
      <c r="B2158" t="str">
        <f>"1551601156144530"</f>
        <v>1551601156144530</v>
      </c>
      <c r="C2158" t="s">
        <v>40</v>
      </c>
      <c r="D2158">
        <v>4.8623149999999997</v>
      </c>
      <c r="E2158">
        <v>0.49525930000000001</v>
      </c>
      <c r="F2158" t="s">
        <v>42</v>
      </c>
      <c r="G2158">
        <v>-191.499</v>
      </c>
      <c r="H2158">
        <v>0.98838060000000005</v>
      </c>
      <c r="I2158">
        <v>342.7518</v>
      </c>
      <c r="J2158">
        <v>-191.45150000000001</v>
      </c>
      <c r="K2158">
        <v>1.1210070000000001</v>
      </c>
      <c r="L2158">
        <v>343.44</v>
      </c>
      <c r="M2158">
        <v>3.1257140000000003E-2</v>
      </c>
      <c r="N2158">
        <v>-1.204442E-2</v>
      </c>
      <c r="O2158">
        <v>-0.99943890000000002</v>
      </c>
      <c r="P2158">
        <v>-2.478596E-3</v>
      </c>
      <c r="Q2158">
        <v>9.4672519999999996E-2</v>
      </c>
      <c r="R2158">
        <v>-0.99550570000000005</v>
      </c>
      <c r="S2158">
        <v>-0.18333440000000001</v>
      </c>
      <c r="T2158">
        <v>-0.53338529999999995</v>
      </c>
      <c r="U2158">
        <v>-3.063507</v>
      </c>
      <c r="V2158">
        <v>3.3712730000000003E-2</v>
      </c>
      <c r="W2158">
        <v>0.1066122</v>
      </c>
      <c r="X2158">
        <v>0.99372899999999997</v>
      </c>
      <c r="Y2158">
        <v>9.0049760000000006E-2</v>
      </c>
      <c r="Z2158">
        <v>0.1590164</v>
      </c>
      <c r="AA2158">
        <v>0.98316060000000005</v>
      </c>
      <c r="AB2158">
        <v>7</v>
      </c>
      <c r="AC2158">
        <v>-4.7500000000013601E-2</v>
      </c>
      <c r="AD2158">
        <v>-0.13262639999999901</v>
      </c>
      <c r="AE2158">
        <v>-0.68819999999999404</v>
      </c>
      <c r="AF2158">
        <v>6.6530351107509295E-2</v>
      </c>
      <c r="AG2158">
        <v>-0.13262639999999901</v>
      </c>
      <c r="AH2158">
        <v>0.66191261570255899</v>
      </c>
      <c r="AI2158">
        <v>101.27488490946</v>
      </c>
      <c r="AJ2158">
        <v>84.2603470421639</v>
      </c>
      <c r="AK2158">
        <v>0.67833941387896102</v>
      </c>
      <c r="AL2158">
        <v>83.879939847830599</v>
      </c>
      <c r="AM2158">
        <v>88.056958580570694</v>
      </c>
      <c r="AN2158">
        <v>1.0000000173969401</v>
      </c>
    </row>
    <row r="2159" spans="1:40" x14ac:dyDescent="0.25">
      <c r="A2159" t="str">
        <f>"20190303161916172"</f>
        <v>20190303161916172</v>
      </c>
      <c r="B2159" t="str">
        <f>"1551601156165027"</f>
        <v>1551601156165027</v>
      </c>
      <c r="C2159" t="s">
        <v>40</v>
      </c>
      <c r="D2159">
        <v>4.821332</v>
      </c>
      <c r="E2159">
        <v>0.49220330000000001</v>
      </c>
      <c r="F2159" t="s">
        <v>48</v>
      </c>
      <c r="G2159">
        <v>-187.46539999999999</v>
      </c>
      <c r="H2159">
        <v>1.699422</v>
      </c>
      <c r="I2159">
        <v>-81.815730000000002</v>
      </c>
      <c r="J2159">
        <v>-191.44980000000001</v>
      </c>
      <c r="K2159">
        <v>1.120984</v>
      </c>
      <c r="L2159">
        <v>343.36259999999999</v>
      </c>
      <c r="M2159">
        <v>3.0671489999999999E-2</v>
      </c>
      <c r="N2159">
        <v>-1.1827310000000001E-2</v>
      </c>
      <c r="O2159">
        <v>-0.99945969999999995</v>
      </c>
      <c r="P2159">
        <v>-4.3467920000000004E-3</v>
      </c>
      <c r="Q2159">
        <v>9.5762689999999998E-2</v>
      </c>
      <c r="R2159">
        <v>-0.99539509999999998</v>
      </c>
      <c r="S2159">
        <v>2.8244020000000002E-2</v>
      </c>
      <c r="T2159">
        <v>4.0984150000000002E-3</v>
      </c>
      <c r="U2159">
        <v>-3.0131839999999999</v>
      </c>
      <c r="V2159">
        <v>3.4985370000000002E-2</v>
      </c>
      <c r="W2159">
        <v>0.1074864</v>
      </c>
      <c r="X2159">
        <v>0.9935908</v>
      </c>
      <c r="Y2159">
        <v>2.1303119999999998E-2</v>
      </c>
      <c r="Z2159">
        <v>-1.318452E-2</v>
      </c>
      <c r="AA2159">
        <v>0.99968610000000002</v>
      </c>
      <c r="AB2159">
        <v>7</v>
      </c>
      <c r="AC2159">
        <v>3.9844000000000199</v>
      </c>
      <c r="AD2159">
        <v>0.57843800000000001</v>
      </c>
      <c r="AE2159">
        <v>-425.17833000000002</v>
      </c>
      <c r="AF2159">
        <v>9.0592211132445399</v>
      </c>
      <c r="AG2159">
        <v>0.57843800000000001</v>
      </c>
      <c r="AH2159">
        <v>425.099693105732</v>
      </c>
      <c r="AI2159">
        <v>89.922054724991298</v>
      </c>
      <c r="AJ2159">
        <v>88.7791650080175</v>
      </c>
      <c r="AK2159">
        <v>425.19660529722802</v>
      </c>
      <c r="AL2159">
        <v>83.829562224056801</v>
      </c>
      <c r="AM2159">
        <v>87.9833888852786</v>
      </c>
      <c r="AN2159">
        <v>0.99999999007181795</v>
      </c>
    </row>
    <row r="2160" spans="1:40" x14ac:dyDescent="0.25">
      <c r="A2160" t="str">
        <f>"20190303161916195"</f>
        <v>20190303161916195</v>
      </c>
      <c r="B2160" t="str">
        <f>"1551601156184546"</f>
        <v>1551601156184546</v>
      </c>
      <c r="C2160" t="s">
        <v>40</v>
      </c>
      <c r="D2160">
        <v>5.1629589999999999</v>
      </c>
      <c r="E2160">
        <v>0.49107709999999999</v>
      </c>
      <c r="F2160" t="s">
        <v>48</v>
      </c>
      <c r="G2160">
        <v>-184.845</v>
      </c>
      <c r="H2160">
        <v>5.6630219999999998</v>
      </c>
      <c r="I2160">
        <v>-80.065600000000003</v>
      </c>
      <c r="J2160">
        <v>-191.44829999999999</v>
      </c>
      <c r="K2160">
        <v>1.1208309999999999</v>
      </c>
      <c r="L2160">
        <v>343.2878</v>
      </c>
      <c r="M2160">
        <v>3.0084469999999999E-2</v>
      </c>
      <c r="N2160">
        <v>-1.1079250000000001E-2</v>
      </c>
      <c r="O2160">
        <v>-0.99948630000000005</v>
      </c>
      <c r="P2160">
        <v>-6.7784789999999996E-3</v>
      </c>
      <c r="Q2160">
        <v>9.779707E-2</v>
      </c>
      <c r="R2160">
        <v>-0.99518390000000001</v>
      </c>
      <c r="S2160">
        <v>4.6966550000000003E-2</v>
      </c>
      <c r="T2160">
        <v>3.229833E-2</v>
      </c>
      <c r="U2160">
        <v>-3.0109859999999999</v>
      </c>
      <c r="V2160">
        <v>3.6817210000000003E-2</v>
      </c>
      <c r="W2160">
        <v>0.10877580000000001</v>
      </c>
      <c r="X2160">
        <v>0.9933843</v>
      </c>
      <c r="Y2160">
        <v>1.449689E-2</v>
      </c>
      <c r="Z2160">
        <v>-2.1793070000000001E-2</v>
      </c>
      <c r="AA2160">
        <v>0.99965740000000003</v>
      </c>
      <c r="AB2160">
        <v>7</v>
      </c>
      <c r="AC2160">
        <v>6.6032999999999902</v>
      </c>
      <c r="AD2160">
        <v>4.5421909999999999</v>
      </c>
      <c r="AE2160">
        <v>-423.35340000000002</v>
      </c>
      <c r="AF2160">
        <v>6.1361231451726299</v>
      </c>
      <c r="AG2160">
        <v>4.5421909999999999</v>
      </c>
      <c r="AH2160">
        <v>423.311701916066</v>
      </c>
      <c r="AI2160">
        <v>89.385296812400796</v>
      </c>
      <c r="AJ2160">
        <v>89.169526058333304</v>
      </c>
      <c r="AK2160">
        <v>423.380538623836</v>
      </c>
      <c r="AL2160">
        <v>83.755249532930705</v>
      </c>
      <c r="AM2160">
        <v>87.877452190391693</v>
      </c>
      <c r="AN2160">
        <v>1.0000000245521501</v>
      </c>
    </row>
    <row r="2161" spans="1:40" x14ac:dyDescent="0.25">
      <c r="A2161" t="str">
        <f>"20190303161916219"</f>
        <v>20190303161916219</v>
      </c>
      <c r="B2161" t="str">
        <f>"1551601156205042"</f>
        <v>1551601156205042</v>
      </c>
      <c r="C2161" t="s">
        <v>40</v>
      </c>
      <c r="D2161">
        <v>4.8678379999999999</v>
      </c>
      <c r="E2161">
        <v>0.4905272</v>
      </c>
      <c r="F2161" t="s">
        <v>48</v>
      </c>
      <c r="G2161">
        <v>-184.61529999999999</v>
      </c>
      <c r="H2161">
        <v>7.7327339999999998</v>
      </c>
      <c r="I2161">
        <v>-81.817729999999997</v>
      </c>
      <c r="J2161">
        <v>-191.44649999999999</v>
      </c>
      <c r="K2161">
        <v>1.1206430000000001</v>
      </c>
      <c r="L2161">
        <v>343.20069999999998</v>
      </c>
      <c r="M2161">
        <v>2.9391500000000001E-2</v>
      </c>
      <c r="N2161">
        <v>-1.006687E-2</v>
      </c>
      <c r="O2161">
        <v>-0.9995174</v>
      </c>
      <c r="P2161">
        <v>-9.5358560000000005E-3</v>
      </c>
      <c r="Q2161">
        <v>9.9705509999999997E-2</v>
      </c>
      <c r="R2161">
        <v>-0.99497150000000001</v>
      </c>
      <c r="S2161">
        <v>4.8385619999999997E-2</v>
      </c>
      <c r="T2161">
        <v>4.6820639999999997E-2</v>
      </c>
      <c r="U2161">
        <v>-3.010284</v>
      </c>
      <c r="V2161">
        <v>3.886854E-2</v>
      </c>
      <c r="W2161">
        <v>0.1096768</v>
      </c>
      <c r="X2161">
        <v>0.99320699999999995</v>
      </c>
      <c r="Y2161">
        <v>1.3330409999999999E-2</v>
      </c>
      <c r="Z2161">
        <v>-2.5602400000000001E-2</v>
      </c>
      <c r="AA2161">
        <v>0.99958329999999995</v>
      </c>
      <c r="AB2161">
        <v>8</v>
      </c>
      <c r="AC2161">
        <v>6.8311999999999902</v>
      </c>
      <c r="AD2161">
        <v>6.6120910000000004</v>
      </c>
      <c r="AE2161">
        <v>-425.01843000000002</v>
      </c>
      <c r="AF2161">
        <v>5.66294205447719</v>
      </c>
      <c r="AG2161">
        <v>6.6120910000000004</v>
      </c>
      <c r="AH2161">
        <v>424.93276462415503</v>
      </c>
      <c r="AI2161">
        <v>89.1086102569856</v>
      </c>
      <c r="AJ2161">
        <v>89.236482803450997</v>
      </c>
      <c r="AK2161">
        <v>425.02193250611498</v>
      </c>
      <c r="AL2161">
        <v>83.703314864045694</v>
      </c>
      <c r="AM2161">
        <v>87.758908811126801</v>
      </c>
      <c r="AN2161">
        <v>0.99999995435448397</v>
      </c>
    </row>
    <row r="2162" spans="1:40" x14ac:dyDescent="0.25">
      <c r="A2162" t="str">
        <f>"20190303161916242"</f>
        <v>20190303161916242</v>
      </c>
      <c r="B2162" t="str">
        <f>"1551601156234322"</f>
        <v>1551601156234322</v>
      </c>
      <c r="C2162" t="s">
        <v>40</v>
      </c>
      <c r="D2162">
        <v>5.160355</v>
      </c>
      <c r="E2162">
        <v>0.48964770000000002</v>
      </c>
      <c r="F2162" t="s">
        <v>48</v>
      </c>
      <c r="G2162">
        <v>-185.21799999999999</v>
      </c>
      <c r="H2162">
        <v>8.7148430000000001</v>
      </c>
      <c r="I2162">
        <v>-81.818049999999999</v>
      </c>
      <c r="J2162">
        <v>-191.44489999999999</v>
      </c>
      <c r="K2162">
        <v>1.1205620000000001</v>
      </c>
      <c r="L2162">
        <v>343.12139999999999</v>
      </c>
      <c r="M2162">
        <v>2.8776630000000001E-2</v>
      </c>
      <c r="N2162">
        <v>-9.3564540000000002E-3</v>
      </c>
      <c r="O2162">
        <v>-0.99954219999999905</v>
      </c>
      <c r="P2162">
        <v>-1.2400299999999901E-2</v>
      </c>
      <c r="Q2162">
        <v>0.1004068</v>
      </c>
      <c r="R2162">
        <v>-0.99486940000000001</v>
      </c>
      <c r="S2162">
        <v>4.4113159999999998E-2</v>
      </c>
      <c r="T2162">
        <v>5.3785920000000001E-2</v>
      </c>
      <c r="U2162">
        <v>-3.0101930000000001</v>
      </c>
      <c r="V2162">
        <v>4.1108810000000003E-2</v>
      </c>
      <c r="W2162">
        <v>0.1096726</v>
      </c>
      <c r="X2162">
        <v>0.99311729999999998</v>
      </c>
      <c r="Y2162">
        <v>1.413383E-2</v>
      </c>
      <c r="Z2162">
        <v>-2.720434E-2</v>
      </c>
      <c r="AA2162">
        <v>0.99953000000000003</v>
      </c>
      <c r="AB2162">
        <v>8</v>
      </c>
      <c r="AC2162">
        <v>6.2268999999999997</v>
      </c>
      <c r="AD2162">
        <v>7.5942809999999996</v>
      </c>
      <c r="AE2162">
        <v>-424.93945000000002</v>
      </c>
      <c r="AF2162">
        <v>6.0026213352160003</v>
      </c>
      <c r="AG2162">
        <v>7.5942809999999996</v>
      </c>
      <c r="AH2162">
        <v>424.80700088887301</v>
      </c>
      <c r="AI2162">
        <v>88.975933809314995</v>
      </c>
      <c r="AJ2162">
        <v>89.190451238318403</v>
      </c>
      <c r="AK2162">
        <v>424.91727732701099</v>
      </c>
      <c r="AL2162">
        <v>83.703557207990499</v>
      </c>
      <c r="AM2162">
        <v>87.629668278928307</v>
      </c>
      <c r="AN2162">
        <v>0.99999999250483296</v>
      </c>
    </row>
    <row r="2163" spans="1:40" x14ac:dyDescent="0.25">
      <c r="A2163" t="str">
        <f>"20190303161916261"</f>
        <v>20190303161916261</v>
      </c>
      <c r="B2163" t="str">
        <f>"1551601156254819"</f>
        <v>1551601156254819</v>
      </c>
      <c r="C2163" t="s">
        <v>40</v>
      </c>
      <c r="D2163">
        <v>5.1026999999999996</v>
      </c>
      <c r="E2163">
        <v>0.48898750000000002</v>
      </c>
      <c r="F2163" t="s">
        <v>48</v>
      </c>
      <c r="G2163">
        <v>-185.4701</v>
      </c>
      <c r="H2163">
        <v>8.8901070000000004</v>
      </c>
      <c r="I2163">
        <v>-81.818110000000004</v>
      </c>
      <c r="J2163">
        <v>-191.4435</v>
      </c>
      <c r="K2163">
        <v>1.120555</v>
      </c>
      <c r="L2163">
        <v>343.04680000000002</v>
      </c>
      <c r="M2163">
        <v>2.822332E-2</v>
      </c>
      <c r="N2163">
        <v>-8.9177709999999997E-3</v>
      </c>
      <c r="O2163">
        <v>-0.9995619</v>
      </c>
      <c r="P2163">
        <v>-1.3279630000000001E-2</v>
      </c>
      <c r="Q2163">
        <v>9.973071E-2</v>
      </c>
      <c r="R2163">
        <v>-0.99492610000000004</v>
      </c>
      <c r="S2163">
        <v>4.2327879999999998E-2</v>
      </c>
      <c r="T2163">
        <v>5.5042510000000003E-2</v>
      </c>
      <c r="U2163">
        <v>-3.010437</v>
      </c>
      <c r="V2163">
        <v>4.143024E-2</v>
      </c>
      <c r="W2163">
        <v>0.1085639</v>
      </c>
      <c r="X2163">
        <v>0.99322580000000005</v>
      </c>
      <c r="Y2163">
        <v>1.4174050000000001E-2</v>
      </c>
      <c r="Z2163">
        <v>-2.7181879999999999E-2</v>
      </c>
      <c r="AA2163">
        <v>0.99953000000000003</v>
      </c>
      <c r="AB2163">
        <v>8</v>
      </c>
      <c r="AC2163">
        <v>5.9733999999999901</v>
      </c>
      <c r="AD2163">
        <v>7.769552</v>
      </c>
      <c r="AE2163">
        <v>-424.86490999999899</v>
      </c>
      <c r="AF2163">
        <v>6.0185421226254299</v>
      </c>
      <c r="AG2163">
        <v>7.769552</v>
      </c>
      <c r="AH2163">
        <v>424.72223753239399</v>
      </c>
      <c r="AI2163">
        <v>88.952095796918002</v>
      </c>
      <c r="AJ2163">
        <v>89.188142382972501</v>
      </c>
      <c r="AK2163">
        <v>424.83593049798202</v>
      </c>
      <c r="AL2163">
        <v>83.767462917662797</v>
      </c>
      <c r="AM2163">
        <v>87.611416685597604</v>
      </c>
      <c r="AN2163">
        <v>1.0000000374776501</v>
      </c>
    </row>
    <row r="2164" spans="1:40" x14ac:dyDescent="0.25">
      <c r="A2164" t="str">
        <f>"20190303161916286"</f>
        <v>20190303161916286</v>
      </c>
      <c r="B2164" t="str">
        <f>"1551601156274349"</f>
        <v>1551601156274349</v>
      </c>
      <c r="C2164" t="s">
        <v>40</v>
      </c>
      <c r="D2164">
        <v>5.1533759999999997</v>
      </c>
      <c r="E2164">
        <v>0.48849160000000003</v>
      </c>
      <c r="F2164" t="s">
        <v>48</v>
      </c>
      <c r="G2164">
        <v>-185.0848</v>
      </c>
      <c r="H2164">
        <v>8.4849540000000001</v>
      </c>
      <c r="I2164">
        <v>-81.817980000000006</v>
      </c>
      <c r="J2164">
        <v>-191.4419</v>
      </c>
      <c r="K2164">
        <v>1.1205889999999901</v>
      </c>
      <c r="L2164">
        <v>342.96089999999998</v>
      </c>
      <c r="M2164">
        <v>2.7607420000000001E-2</v>
      </c>
      <c r="N2164">
        <v>-8.5731539999999995E-3</v>
      </c>
      <c r="O2164">
        <v>-0.99958230000000003</v>
      </c>
      <c r="P2164">
        <v>-1.348224E-2</v>
      </c>
      <c r="Q2164">
        <v>9.9585380000000001E-2</v>
      </c>
      <c r="R2164">
        <v>-0.99493810000000005</v>
      </c>
      <c r="S2164">
        <v>4.5059200000000001E-2</v>
      </c>
      <c r="T2164">
        <v>5.2186250000000003E-2</v>
      </c>
      <c r="U2164">
        <v>-3.0107119999999998</v>
      </c>
      <c r="V2164">
        <v>4.101088E-2</v>
      </c>
      <c r="W2164">
        <v>0.10808089999999999</v>
      </c>
      <c r="X2164">
        <v>0.99329579999999995</v>
      </c>
      <c r="Y2164">
        <v>1.2651920000000001E-2</v>
      </c>
      <c r="Z2164">
        <v>-2.5888810000000002E-2</v>
      </c>
      <c r="AA2164">
        <v>0.99958469999999999</v>
      </c>
      <c r="AB2164">
        <v>8</v>
      </c>
      <c r="AC2164">
        <v>6.3571</v>
      </c>
      <c r="AD2164">
        <v>7.3643649999999896</v>
      </c>
      <c r="AE2164">
        <v>-424.77888000000002</v>
      </c>
      <c r="AF2164">
        <v>5.3711865160379304</v>
      </c>
      <c r="AG2164">
        <v>7.3643649999999896</v>
      </c>
      <c r="AH2164">
        <v>424.664857386108</v>
      </c>
      <c r="AI2164">
        <v>89.0065789524824</v>
      </c>
      <c r="AJ2164">
        <v>89.2753581932689</v>
      </c>
      <c r="AK2164">
        <v>424.762668575296</v>
      </c>
      <c r="AL2164">
        <v>83.795300096194595</v>
      </c>
      <c r="AM2164">
        <v>87.635732963846905</v>
      </c>
      <c r="AN2164">
        <v>0.99999995976041101</v>
      </c>
    </row>
    <row r="2165" spans="1:40" x14ac:dyDescent="0.25">
      <c r="A2165" t="str">
        <f>"20190303161916306"</f>
        <v>20190303161916306</v>
      </c>
      <c r="B2165" t="str">
        <f>"1551601156294834"</f>
        <v>1551601156294834</v>
      </c>
      <c r="C2165" t="s">
        <v>40</v>
      </c>
      <c r="D2165">
        <v>5.1099309999999996</v>
      </c>
      <c r="E2165">
        <v>0.4879925</v>
      </c>
      <c r="F2165" t="s">
        <v>48</v>
      </c>
      <c r="G2165">
        <v>-184.6781</v>
      </c>
      <c r="H2165">
        <v>8.09915599999999</v>
      </c>
      <c r="I2165">
        <v>-81.817850000000007</v>
      </c>
      <c r="J2165">
        <v>-191.44040000000001</v>
      </c>
      <c r="K2165">
        <v>1.1206370000000001</v>
      </c>
      <c r="L2165">
        <v>342.88150000000002</v>
      </c>
      <c r="M2165">
        <v>2.704618E-2</v>
      </c>
      <c r="N2165">
        <v>-8.3296419999999999E-3</v>
      </c>
      <c r="O2165">
        <v>-0.99959969999999998</v>
      </c>
      <c r="P2165">
        <v>-1.203104E-2</v>
      </c>
      <c r="Q2165">
        <v>0.1001344</v>
      </c>
      <c r="R2165">
        <v>-0.99490149999999999</v>
      </c>
      <c r="S2165">
        <v>4.7943119999999999E-2</v>
      </c>
      <c r="T2165">
        <v>4.9466129999999997E-2</v>
      </c>
      <c r="U2165">
        <v>-3.0109560000000002</v>
      </c>
      <c r="V2165">
        <v>3.8993680000000003E-2</v>
      </c>
      <c r="W2165">
        <v>0.1083914</v>
      </c>
      <c r="X2165">
        <v>0.99334319999999998</v>
      </c>
      <c r="Y2165">
        <v>1.113389E-2</v>
      </c>
      <c r="Z2165">
        <v>-2.4742090000000001E-2</v>
      </c>
      <c r="AA2165">
        <v>0.99963190000000002</v>
      </c>
      <c r="AB2165">
        <v>8</v>
      </c>
      <c r="AC2165">
        <v>6.7622999999999998</v>
      </c>
      <c r="AD2165">
        <v>6.9785189999999897</v>
      </c>
      <c r="AE2165">
        <v>-424.69934999999998</v>
      </c>
      <c r="AF2165">
        <v>4.7257893301892802</v>
      </c>
      <c r="AG2165">
        <v>6.9785189999999897</v>
      </c>
      <c r="AH2165">
        <v>424.61226251087601</v>
      </c>
      <c r="AI2165">
        <v>89.058484712194996</v>
      </c>
      <c r="AJ2165">
        <v>89.362343888092596</v>
      </c>
      <c r="AK2165">
        <v>424.695898599023</v>
      </c>
      <c r="AL2165">
        <v>83.777404611678804</v>
      </c>
      <c r="AM2165">
        <v>87.752008807105696</v>
      </c>
      <c r="AN2165">
        <v>0.99999995783007001</v>
      </c>
    </row>
    <row r="2166" spans="1:40" x14ac:dyDescent="0.25">
      <c r="A2166" t="str">
        <f>"20190303161916328"</f>
        <v>20190303161916328</v>
      </c>
      <c r="B2166" t="str">
        <f>"1551601156314354"</f>
        <v>1551601156314354</v>
      </c>
      <c r="C2166" t="s">
        <v>40</v>
      </c>
      <c r="D2166">
        <v>5.1059489999999998</v>
      </c>
      <c r="E2166">
        <v>0.48777239999999999</v>
      </c>
      <c r="F2166" t="s">
        <v>48</v>
      </c>
      <c r="G2166">
        <v>-183.53790000000001</v>
      </c>
      <c r="H2166">
        <v>7.9326429999999997</v>
      </c>
      <c r="I2166">
        <v>-81.817790000000002</v>
      </c>
      <c r="J2166">
        <v>-191.43889999999999</v>
      </c>
      <c r="K2166">
        <v>1.120676</v>
      </c>
      <c r="L2166">
        <v>342.7996</v>
      </c>
      <c r="M2166">
        <v>2.6463239999999999E-2</v>
      </c>
      <c r="N2166">
        <v>-8.1228619999999998E-3</v>
      </c>
      <c r="O2166">
        <v>-0.99961699999999998</v>
      </c>
      <c r="P2166">
        <v>-1.0079579999999999E-2</v>
      </c>
      <c r="Q2166">
        <v>0.1014796</v>
      </c>
      <c r="R2166">
        <v>-0.99478710000000004</v>
      </c>
      <c r="S2166">
        <v>5.603027E-2</v>
      </c>
      <c r="T2166">
        <v>4.8298479999999998E-2</v>
      </c>
      <c r="U2166">
        <v>-3.0112000000000001</v>
      </c>
      <c r="V2166">
        <v>3.6454590000000002E-2</v>
      </c>
      <c r="W2166">
        <v>0.1095346</v>
      </c>
      <c r="X2166">
        <v>0.99331429999999998</v>
      </c>
      <c r="Y2166">
        <v>7.867654E-3</v>
      </c>
      <c r="Z2166">
        <v>-2.414678E-2</v>
      </c>
      <c r="AA2166">
        <v>0.9996775</v>
      </c>
      <c r="AB2166">
        <v>8</v>
      </c>
      <c r="AC2166">
        <v>7.9009999999999803</v>
      </c>
      <c r="AD2166">
        <v>6.8119669999999903</v>
      </c>
      <c r="AE2166">
        <v>-424.61739</v>
      </c>
      <c r="AF2166">
        <v>3.33802862251469</v>
      </c>
      <c r="AG2166">
        <v>6.8119669999999903</v>
      </c>
      <c r="AH2166">
        <v>424.56853542187002</v>
      </c>
      <c r="AI2166">
        <v>89.080828224228398</v>
      </c>
      <c r="AJ2166">
        <v>89.549540308735203</v>
      </c>
      <c r="AK2166">
        <v>424.63629920175902</v>
      </c>
      <c r="AL2166">
        <v>83.711512200305407</v>
      </c>
      <c r="AM2166">
        <v>87.898190770846497</v>
      </c>
      <c r="AN2166">
        <v>1.0000000321568501</v>
      </c>
    </row>
    <row r="2167" spans="1:40" x14ac:dyDescent="0.25">
      <c r="A2167" t="str">
        <f>"20190303161916352"</f>
        <v>20190303161916352</v>
      </c>
      <c r="B2167" t="str">
        <f>"1551601156344611"</f>
        <v>1551601156344611</v>
      </c>
      <c r="C2167" t="s">
        <v>40</v>
      </c>
      <c r="D2167">
        <v>5.1648800000000001</v>
      </c>
      <c r="E2167">
        <v>0.48747170000000001</v>
      </c>
      <c r="F2167" t="s">
        <v>48</v>
      </c>
      <c r="G2167">
        <v>-182.4992</v>
      </c>
      <c r="H2167">
        <v>8.0697980000000005</v>
      </c>
      <c r="I2167">
        <v>-81.817840000000004</v>
      </c>
      <c r="J2167">
        <v>-191.4374</v>
      </c>
      <c r="K2167">
        <v>1.1207149999999999</v>
      </c>
      <c r="L2167">
        <v>342.71179999999998</v>
      </c>
      <c r="M2167">
        <v>2.5829999999999999E-2</v>
      </c>
      <c r="N2167">
        <v>-7.9518609999999993E-3</v>
      </c>
      <c r="O2167">
        <v>-0.99963489999999999</v>
      </c>
      <c r="P2167">
        <v>-8.7306929999999994E-3</v>
      </c>
      <c r="Q2167">
        <v>0.1032769</v>
      </c>
      <c r="R2167">
        <v>-0.99461480000000002</v>
      </c>
      <c r="S2167">
        <v>6.3400269999999995E-2</v>
      </c>
      <c r="T2167">
        <v>4.9283149999999998E-2</v>
      </c>
      <c r="U2167">
        <v>-3.0113829999999999</v>
      </c>
      <c r="V2167">
        <v>3.4468680000000002E-2</v>
      </c>
      <c r="W2167">
        <v>0.111163</v>
      </c>
      <c r="X2167">
        <v>0.99320419999999998</v>
      </c>
      <c r="Y2167">
        <v>4.789616E-3</v>
      </c>
      <c r="Z2167">
        <v>-2.430146E-2</v>
      </c>
      <c r="AA2167">
        <v>0.99969319999999895</v>
      </c>
      <c r="AB2167">
        <v>8</v>
      </c>
      <c r="AC2167">
        <v>8.9381999999999895</v>
      </c>
      <c r="AD2167">
        <v>6.9490829999999999</v>
      </c>
      <c r="AE2167">
        <v>-424.52963999999997</v>
      </c>
      <c r="AF2167">
        <v>2.0301840546188199</v>
      </c>
      <c r="AG2167">
        <v>6.9490829999999999</v>
      </c>
      <c r="AH2167">
        <v>424.505175806772</v>
      </c>
      <c r="AI2167">
        <v>89.062171584219897</v>
      </c>
      <c r="AJ2167">
        <v>89.725986636268999</v>
      </c>
      <c r="AK2167">
        <v>424.56690366604801</v>
      </c>
      <c r="AL2167">
        <v>83.617637877520806</v>
      </c>
      <c r="AM2167">
        <v>88.012374898645604</v>
      </c>
      <c r="AN2167">
        <v>0.999999942683789</v>
      </c>
    </row>
    <row r="2168" spans="1:40" x14ac:dyDescent="0.25">
      <c r="A2168" t="str">
        <f>"20190303161916373"</f>
        <v>20190303161916373</v>
      </c>
      <c r="B2168" t="str">
        <f>"1551601156365107"</f>
        <v>1551601156365107</v>
      </c>
      <c r="C2168" t="s">
        <v>40</v>
      </c>
      <c r="D2168">
        <v>4.8798810000000001</v>
      </c>
      <c r="E2168">
        <v>0.4873594</v>
      </c>
      <c r="F2168" t="s">
        <v>48</v>
      </c>
      <c r="G2168">
        <v>-181.59819999999999</v>
      </c>
      <c r="H2168">
        <v>8.5825359999999993</v>
      </c>
      <c r="I2168">
        <v>-81.818010000000001</v>
      </c>
      <c r="J2168">
        <v>-191.43600000000001</v>
      </c>
      <c r="K2168">
        <v>1.1207400000000001</v>
      </c>
      <c r="L2168">
        <v>342.62990000000002</v>
      </c>
      <c r="M2168">
        <v>2.523686E-2</v>
      </c>
      <c r="N2168">
        <v>-7.8260029999999998E-3</v>
      </c>
      <c r="O2168">
        <v>-0.99965110000000001</v>
      </c>
      <c r="P2168">
        <v>-7.8474140000000005E-3</v>
      </c>
      <c r="Q2168">
        <v>0.1047732</v>
      </c>
      <c r="R2168">
        <v>-0.9944655</v>
      </c>
      <c r="S2168">
        <v>6.97937E-2</v>
      </c>
      <c r="T2168">
        <v>5.2930119999999997E-2</v>
      </c>
      <c r="U2168">
        <v>-3.0113829999999999</v>
      </c>
      <c r="V2168">
        <v>3.2991319999999998E-2</v>
      </c>
      <c r="W2168">
        <v>0.11253440000000001</v>
      </c>
      <c r="X2168">
        <v>0.99309999999999998</v>
      </c>
      <c r="Y2168">
        <v>2.0753770000000002E-3</v>
      </c>
      <c r="Z2168">
        <v>-2.5385169999999999E-2</v>
      </c>
      <c r="AA2168">
        <v>0.9996756</v>
      </c>
      <c r="AB2168">
        <v>8</v>
      </c>
      <c r="AC2168">
        <v>9.8377999999999801</v>
      </c>
      <c r="AD2168">
        <v>7.4617959999999997</v>
      </c>
      <c r="AE2168">
        <v>-424.44790999999998</v>
      </c>
      <c r="AF2168">
        <v>0.87712062003317803</v>
      </c>
      <c r="AG2168">
        <v>7.4617959999999997</v>
      </c>
      <c r="AH2168">
        <v>424.42989532653797</v>
      </c>
      <c r="AI2168">
        <v>88.992803119482502</v>
      </c>
      <c r="AJ2168">
        <v>89.881593547810098</v>
      </c>
      <c r="AK2168">
        <v>424.49638842636102</v>
      </c>
      <c r="AL2168">
        <v>83.538566743786305</v>
      </c>
      <c r="AM2168">
        <v>88.097302901030702</v>
      </c>
      <c r="AN2168">
        <v>1.0000000141893499</v>
      </c>
    </row>
    <row r="2169" spans="1:40" x14ac:dyDescent="0.25">
      <c r="A2169" t="str">
        <f>"20190303161916396"</f>
        <v>20190303161916396</v>
      </c>
      <c r="B2169" t="str">
        <f>"1551601156384626"</f>
        <v>1551601156384626</v>
      </c>
      <c r="C2169" t="s">
        <v>40</v>
      </c>
      <c r="D2169">
        <v>4.8404420000000004</v>
      </c>
      <c r="E2169">
        <v>0.48723240000000001</v>
      </c>
      <c r="F2169" t="s">
        <v>48</v>
      </c>
      <c r="G2169">
        <v>-181.06530000000001</v>
      </c>
      <c r="H2169">
        <v>9.0583939999999998</v>
      </c>
      <c r="I2169">
        <v>-81.818169999999995</v>
      </c>
      <c r="J2169">
        <v>-191.43450000000001</v>
      </c>
      <c r="K2169">
        <v>1.1207400000000001</v>
      </c>
      <c r="L2169">
        <v>342.5421</v>
      </c>
      <c r="M2169">
        <v>2.4600210000000001E-2</v>
      </c>
      <c r="N2169">
        <v>-7.7048000000000004E-3</v>
      </c>
      <c r="O2169">
        <v>-0.9996678</v>
      </c>
      <c r="P2169">
        <v>-8.5420219999999998E-3</v>
      </c>
      <c r="Q2169">
        <v>0.1064278</v>
      </c>
      <c r="R2169">
        <v>-0.9942839</v>
      </c>
      <c r="S2169">
        <v>7.3577879999999998E-2</v>
      </c>
      <c r="T2169">
        <v>5.631626E-2</v>
      </c>
      <c r="U2169">
        <v>-3.0113829999999999</v>
      </c>
      <c r="V2169">
        <v>3.3049370000000002E-2</v>
      </c>
      <c r="W2169">
        <v>0.1140675</v>
      </c>
      <c r="X2169">
        <v>0.99292309999999995</v>
      </c>
      <c r="Y2169">
        <v>1.8354640000000001E-4</v>
      </c>
      <c r="Z2169">
        <v>-2.6387170000000001E-2</v>
      </c>
      <c r="AA2169">
        <v>0.99965179999999998</v>
      </c>
      <c r="AB2169">
        <v>8</v>
      </c>
      <c r="AC2169">
        <v>10.369199999999999</v>
      </c>
      <c r="AD2169">
        <v>7.9376539999999904</v>
      </c>
      <c r="AE2169">
        <v>-424.36027000000001</v>
      </c>
      <c r="AF2169">
        <v>7.3572855417362207E-2</v>
      </c>
      <c r="AG2169">
        <v>7.9376539999999904</v>
      </c>
      <c r="AH2169">
        <v>424.33855235080802</v>
      </c>
      <c r="AI2169">
        <v>88.928353247221693</v>
      </c>
      <c r="AJ2169">
        <v>89.990065917799498</v>
      </c>
      <c r="AK2169">
        <v>424.41279289763202</v>
      </c>
      <c r="AL2169">
        <v>83.450156985203193</v>
      </c>
      <c r="AM2169">
        <v>88.093618139009095</v>
      </c>
      <c r="AN2169">
        <v>0.99999996896362697</v>
      </c>
    </row>
    <row r="2170" spans="1:40" x14ac:dyDescent="0.25">
      <c r="A2170" t="str">
        <f>"20190303161916419"</f>
        <v>20190303161916419</v>
      </c>
      <c r="B2170" t="str">
        <f>"1551601156405123"</f>
        <v>1551601156405123</v>
      </c>
      <c r="C2170" t="s">
        <v>40</v>
      </c>
      <c r="D2170">
        <v>4.8015980000000003</v>
      </c>
      <c r="E2170">
        <v>0.48722929999999998</v>
      </c>
      <c r="F2170" t="s">
        <v>47</v>
      </c>
      <c r="G2170">
        <v>-182.03389999999999</v>
      </c>
      <c r="H2170">
        <v>8.8830080000000002</v>
      </c>
      <c r="I2170">
        <v>-46.07217</v>
      </c>
      <c r="J2170">
        <v>-191.43299999999999</v>
      </c>
      <c r="K2170">
        <v>1.120733</v>
      </c>
      <c r="L2170">
        <v>342.44970000000001</v>
      </c>
      <c r="M2170">
        <v>2.3930389999999999E-2</v>
      </c>
      <c r="N2170">
        <v>-7.5791640000000002E-3</v>
      </c>
      <c r="O2170">
        <v>-0.99968520000000005</v>
      </c>
      <c r="P2170">
        <v>-1.1297410000000001E-2</v>
      </c>
      <c r="Q2170">
        <v>0.1065696</v>
      </c>
      <c r="R2170">
        <v>-0.99424140000000005</v>
      </c>
      <c r="S2170">
        <v>7.2845460000000001E-2</v>
      </c>
      <c r="T2170">
        <v>6.015003E-2</v>
      </c>
      <c r="U2170">
        <v>-3.0113829999999999</v>
      </c>
      <c r="V2170">
        <v>3.5138500000000003E-2</v>
      </c>
      <c r="W2170">
        <v>0.11408219999999999</v>
      </c>
      <c r="X2170">
        <v>0.99284969999999995</v>
      </c>
      <c r="Y2170">
        <v>-2.4280619999999999E-4</v>
      </c>
      <c r="Z2170">
        <v>-2.753363E-2</v>
      </c>
      <c r="AA2170">
        <v>0.99962090000000003</v>
      </c>
      <c r="AB2170">
        <v>9</v>
      </c>
      <c r="AC2170">
        <v>9.3991000000000007</v>
      </c>
      <c r="AD2170">
        <v>7.7622749999999998</v>
      </c>
      <c r="AE2170">
        <v>-388.52186999999998</v>
      </c>
      <c r="AF2170">
        <v>-9.8624750594733898E-2</v>
      </c>
      <c r="AG2170">
        <v>7.7622749999999998</v>
      </c>
      <c r="AH2170">
        <v>388.48055687131898</v>
      </c>
      <c r="AI2170">
        <v>88.855318750402404</v>
      </c>
      <c r="AJ2170">
        <v>90.014545854980994</v>
      </c>
      <c r="AK2170">
        <v>388.55811110703502</v>
      </c>
      <c r="AL2170">
        <v>83.449309372126194</v>
      </c>
      <c r="AM2170">
        <v>87.973058973592799</v>
      </c>
      <c r="AN2170">
        <v>0.999999994664589</v>
      </c>
    </row>
    <row r="2171" spans="1:40" x14ac:dyDescent="0.25">
      <c r="A2171" t="str">
        <f>"20190303161916442"</f>
        <v>20190303161916442</v>
      </c>
      <c r="B2171" t="str">
        <f>"1551601156434402"</f>
        <v>1551601156434402</v>
      </c>
      <c r="C2171" t="s">
        <v>40</v>
      </c>
      <c r="D2171">
        <v>4.7234759999999998</v>
      </c>
      <c r="E2171">
        <v>0.48731439999999998</v>
      </c>
      <c r="F2171" t="s">
        <v>48</v>
      </c>
      <c r="G2171">
        <v>-182.27160000000001</v>
      </c>
      <c r="H2171">
        <v>9.554729</v>
      </c>
      <c r="I2171">
        <v>-81.818330000000003</v>
      </c>
      <c r="J2171">
        <v>-191.43170000000001</v>
      </c>
      <c r="K2171">
        <v>1.120722</v>
      </c>
      <c r="L2171">
        <v>342.3614</v>
      </c>
      <c r="M2171">
        <v>2.3295699999999999E-2</v>
      </c>
      <c r="N2171">
        <v>-7.4641630000000002E-3</v>
      </c>
      <c r="O2171">
        <v>-0.9997009</v>
      </c>
      <c r="P2171">
        <v>-1.444236E-2</v>
      </c>
      <c r="Q2171">
        <v>0.10620979999999999</v>
      </c>
      <c r="R2171">
        <v>-0.99423899999999998</v>
      </c>
      <c r="S2171">
        <v>6.5032960000000001E-2</v>
      </c>
      <c r="T2171">
        <v>5.9869169999999999E-2</v>
      </c>
      <c r="U2171">
        <v>-3.0116879999999999</v>
      </c>
      <c r="V2171">
        <v>3.7652150000000002E-2</v>
      </c>
      <c r="W2171">
        <v>0.1136065</v>
      </c>
      <c r="X2171">
        <v>0.99281209999999998</v>
      </c>
      <c r="Y2171">
        <v>1.716431E-3</v>
      </c>
      <c r="Z2171">
        <v>-2.7324859999999999E-2</v>
      </c>
      <c r="AA2171">
        <v>0.99962510000000004</v>
      </c>
      <c r="AB2171">
        <v>9</v>
      </c>
      <c r="AC2171">
        <v>9.1600999999999999</v>
      </c>
      <c r="AD2171">
        <v>8.4340069999999994</v>
      </c>
      <c r="AE2171">
        <v>-424.17973000000001</v>
      </c>
      <c r="AF2171">
        <v>0.72393752461057803</v>
      </c>
      <c r="AG2171">
        <v>8.4340069999999994</v>
      </c>
      <c r="AH2171">
        <v>424.11041725178097</v>
      </c>
      <c r="AI2171">
        <v>88.860748059108502</v>
      </c>
      <c r="AJ2171">
        <v>89.902198760466902</v>
      </c>
      <c r="AK2171">
        <v>424.19488749995003</v>
      </c>
      <c r="AL2171">
        <v>83.476743326932905</v>
      </c>
      <c r="AM2171">
        <v>87.828112792061404</v>
      </c>
      <c r="AN2171">
        <v>0.99999999357414104</v>
      </c>
    </row>
    <row r="2172" spans="1:40" x14ac:dyDescent="0.25">
      <c r="A2172" t="str">
        <f>"20190303161916462"</f>
        <v>20190303161916462</v>
      </c>
      <c r="B2172" t="str">
        <f>"1551601156454898"</f>
        <v>1551601156454898</v>
      </c>
      <c r="C2172" t="s">
        <v>40</v>
      </c>
      <c r="D2172">
        <v>4.6104940000000001</v>
      </c>
      <c r="E2172">
        <v>0.48725790000000002</v>
      </c>
      <c r="F2172" t="s">
        <v>48</v>
      </c>
      <c r="G2172">
        <v>-183.6354</v>
      </c>
      <c r="H2172">
        <v>9.2881599999999995</v>
      </c>
      <c r="I2172">
        <v>-81.818240000000003</v>
      </c>
      <c r="J2172">
        <v>-191.43049999999999</v>
      </c>
      <c r="K2172">
        <v>1.120711</v>
      </c>
      <c r="L2172">
        <v>342.27969999999999</v>
      </c>
      <c r="M2172">
        <v>2.2723050000000002E-2</v>
      </c>
      <c r="N2172">
        <v>-7.3696229999999996E-3</v>
      </c>
      <c r="O2172">
        <v>-0.99971469999999996</v>
      </c>
      <c r="P2172">
        <v>-1.7671849999999999E-2</v>
      </c>
      <c r="Q2172">
        <v>0.10404679999999999</v>
      </c>
      <c r="R2172">
        <v>-0.99441559999999996</v>
      </c>
      <c r="S2172">
        <v>5.5358890000000001E-2</v>
      </c>
      <c r="T2172">
        <v>5.7994370000000003E-2</v>
      </c>
      <c r="U2172">
        <v>-3.0119630000000002</v>
      </c>
      <c r="V2172">
        <v>4.0313259999999997E-2</v>
      </c>
      <c r="W2172">
        <v>0.1113498</v>
      </c>
      <c r="X2172">
        <v>0.99296329999999999</v>
      </c>
      <c r="Y2172">
        <v>4.3547020000000002E-3</v>
      </c>
      <c r="Z2172">
        <v>-2.6608130000000001E-2</v>
      </c>
      <c r="AA2172">
        <v>0.99963650000000004</v>
      </c>
      <c r="AB2172">
        <v>9</v>
      </c>
      <c r="AC2172">
        <v>7.7950999999999899</v>
      </c>
      <c r="AD2172">
        <v>8.1674489999999995</v>
      </c>
      <c r="AE2172">
        <v>-424.09793999999999</v>
      </c>
      <c r="AF2172">
        <v>1.8432891735047701</v>
      </c>
      <c r="AG2172">
        <v>8.1674489999999995</v>
      </c>
      <c r="AH2172">
        <v>424.00835875670401</v>
      </c>
      <c r="AI2172">
        <v>88.896488566205093</v>
      </c>
      <c r="AJ2172">
        <v>89.750919946348304</v>
      </c>
      <c r="AK2172">
        <v>424.09101998710003</v>
      </c>
      <c r="AL2172">
        <v>83.606868699037506</v>
      </c>
      <c r="AM2172">
        <v>87.675128718293195</v>
      </c>
      <c r="AN2172">
        <v>1.00000002601937</v>
      </c>
    </row>
    <row r="2173" spans="1:40" x14ac:dyDescent="0.25">
      <c r="A2173" t="str">
        <f>"20190303161916486"</f>
        <v>20190303161916486</v>
      </c>
      <c r="B2173" t="str">
        <f>"1551601156474421"</f>
        <v>1551601156474421</v>
      </c>
      <c r="C2173" t="s">
        <v>40</v>
      </c>
      <c r="D2173">
        <v>4.6322210000000004</v>
      </c>
      <c r="E2173">
        <v>0.48730699999999999</v>
      </c>
      <c r="F2173" t="s">
        <v>48</v>
      </c>
      <c r="G2173">
        <v>-184.90379999999999</v>
      </c>
      <c r="H2173">
        <v>8.4786059999999992</v>
      </c>
      <c r="I2173">
        <v>-81.817980000000006</v>
      </c>
      <c r="J2173">
        <v>-191.42910000000001</v>
      </c>
      <c r="K2173">
        <v>1.1207069999999999</v>
      </c>
      <c r="L2173">
        <v>342.1859</v>
      </c>
      <c r="M2173">
        <v>2.2098969999999999E-2</v>
      </c>
      <c r="N2173">
        <v>-7.277469E-3</v>
      </c>
      <c r="O2173">
        <v>-0.99972950000000005</v>
      </c>
      <c r="P2173">
        <v>-1.9627559999999999E-2</v>
      </c>
      <c r="Q2173">
        <v>0.1010303</v>
      </c>
      <c r="R2173">
        <v>-0.99469019999999997</v>
      </c>
      <c r="S2173">
        <v>4.6356199999999903E-2</v>
      </c>
      <c r="T2173">
        <v>5.2260399999999999E-2</v>
      </c>
      <c r="U2173">
        <v>-3.0122070000000001</v>
      </c>
      <c r="V2173">
        <v>4.1648289999999998E-2</v>
      </c>
      <c r="W2173">
        <v>0.10824489999999901</v>
      </c>
      <c r="X2173">
        <v>0.99325140000000001</v>
      </c>
      <c r="Y2173">
        <v>6.7179739999999998E-3</v>
      </c>
      <c r="Z2173">
        <v>-2.4614029999999999E-2</v>
      </c>
      <c r="AA2173">
        <v>0.99967439999999996</v>
      </c>
      <c r="AB2173">
        <v>9</v>
      </c>
      <c r="AC2173">
        <v>6.5253000000000103</v>
      </c>
      <c r="AD2173">
        <v>7.3578989999999997</v>
      </c>
      <c r="AE2173">
        <v>-424.00387999999998</v>
      </c>
      <c r="AF2173">
        <v>2.8457321703918299</v>
      </c>
      <c r="AG2173">
        <v>7.3578989999999997</v>
      </c>
      <c r="AH2173">
        <v>423.91690592246903</v>
      </c>
      <c r="AI2173">
        <v>89.005643017164303</v>
      </c>
      <c r="AJ2173">
        <v>89.615382185543297</v>
      </c>
      <c r="AK2173">
        <v>423.990306488437</v>
      </c>
      <c r="AL2173">
        <v>83.785848018120504</v>
      </c>
      <c r="AM2173">
        <v>87.598921908768702</v>
      </c>
      <c r="AN2173">
        <v>0.99999994101894496</v>
      </c>
    </row>
    <row r="2174" spans="1:40" x14ac:dyDescent="0.25">
      <c r="A2174" t="str">
        <f>"20190303161916507"</f>
        <v>20190303161916507</v>
      </c>
      <c r="B2174" t="str">
        <f>"1551601156494918"</f>
        <v>1551601156494918</v>
      </c>
      <c r="C2174" t="s">
        <v>40</v>
      </c>
      <c r="D2174">
        <v>4.598401</v>
      </c>
      <c r="E2174">
        <v>0.49411559999999999</v>
      </c>
      <c r="F2174" t="s">
        <v>48</v>
      </c>
      <c r="G2174">
        <v>-185.77860000000001</v>
      </c>
      <c r="H2174">
        <v>7.0128969999999997</v>
      </c>
      <c r="I2174">
        <v>-80.066040000000001</v>
      </c>
      <c r="J2174">
        <v>-191.42779999999999</v>
      </c>
      <c r="K2174">
        <v>1.1207020000000001</v>
      </c>
      <c r="L2174">
        <v>342.09930000000003</v>
      </c>
      <c r="M2174">
        <v>2.1567309999999999E-2</v>
      </c>
      <c r="N2174">
        <v>-7.2055599999999997E-3</v>
      </c>
      <c r="O2174">
        <v>-0.99974160000000001</v>
      </c>
      <c r="P2174">
        <v>-2.0200739999999998E-2</v>
      </c>
      <c r="Q2174">
        <v>9.8243209999999997E-2</v>
      </c>
      <c r="R2174">
        <v>-0.9949578</v>
      </c>
      <c r="S2174">
        <v>4.0313719999999997E-2</v>
      </c>
      <c r="T2174">
        <v>4.2038079999999999E-2</v>
      </c>
      <c r="U2174">
        <v>-3.0125730000000002</v>
      </c>
      <c r="V2174">
        <v>4.1690499999999998E-2</v>
      </c>
      <c r="W2174">
        <v>0.1053912</v>
      </c>
      <c r="X2174">
        <v>0.99355660000000001</v>
      </c>
      <c r="Y2174">
        <v>8.1916219999999904E-3</v>
      </c>
      <c r="Z2174">
        <v>-2.115059E-2</v>
      </c>
      <c r="AA2174">
        <v>0.99974269999999998</v>
      </c>
      <c r="AB2174">
        <v>9</v>
      </c>
      <c r="AC2174">
        <v>5.6491999999999702</v>
      </c>
      <c r="AD2174">
        <v>5.8921949999999903</v>
      </c>
      <c r="AE2174">
        <v>-422.16534000000001</v>
      </c>
      <c r="AF2174">
        <v>3.4566464509287398</v>
      </c>
      <c r="AG2174">
        <v>5.8921949999999903</v>
      </c>
      <c r="AH2174">
        <v>422.10676814014198</v>
      </c>
      <c r="AI2174">
        <v>89.200286066858496</v>
      </c>
      <c r="AJ2174">
        <v>89.530813431790193</v>
      </c>
      <c r="AK2174">
        <v>422.16204243906202</v>
      </c>
      <c r="AL2174">
        <v>83.950294638379901</v>
      </c>
      <c r="AM2174">
        <v>87.597228742366696</v>
      </c>
      <c r="AN2174">
        <v>1.00000006011562</v>
      </c>
    </row>
    <row r="2175" spans="1:40" x14ac:dyDescent="0.25">
      <c r="A2175" t="str">
        <f>"20190303161916530"</f>
        <v>20190303161916530</v>
      </c>
      <c r="B2175" t="str">
        <f>"1551601156524194"</f>
        <v>1551601156524194</v>
      </c>
      <c r="C2175" t="s">
        <v>40</v>
      </c>
      <c r="D2175">
        <v>4.5248249999999999</v>
      </c>
      <c r="E2175">
        <v>0.49372529999999998</v>
      </c>
      <c r="F2175" t="s">
        <v>41</v>
      </c>
      <c r="G2175">
        <v>-191.88740000000001</v>
      </c>
      <c r="H2175" s="1">
        <v>-2.5086450000000002E-6</v>
      </c>
      <c r="I2175">
        <v>254.2662</v>
      </c>
      <c r="J2175">
        <v>-191.4264</v>
      </c>
      <c r="K2175">
        <v>1.1207039999999999</v>
      </c>
      <c r="L2175">
        <v>342.00529999999998</v>
      </c>
      <c r="M2175">
        <v>2.103615E-2</v>
      </c>
      <c r="N2175">
        <v>-7.1356220000000003E-3</v>
      </c>
      <c r="O2175">
        <v>-0.99975329999999996</v>
      </c>
      <c r="P2175">
        <v>-1.979291E-2</v>
      </c>
      <c r="Q2175">
        <v>9.5141370000000003E-2</v>
      </c>
      <c r="R2175">
        <v>-0.99526740000000002</v>
      </c>
      <c r="S2175">
        <v>-1.5792850000000001E-2</v>
      </c>
      <c r="T2175">
        <v>-3.8516759999999997E-2</v>
      </c>
      <c r="U2175">
        <v>-3.0186769999999998</v>
      </c>
      <c r="V2175">
        <v>4.0752120000000003E-2</v>
      </c>
      <c r="W2175">
        <v>0.1022255</v>
      </c>
      <c r="X2175">
        <v>0.99392619999999998</v>
      </c>
      <c r="Y2175">
        <v>2.6264929999999999E-2</v>
      </c>
      <c r="Z2175">
        <v>5.6161650000000002E-3</v>
      </c>
      <c r="AA2175">
        <v>0.99963919999999995</v>
      </c>
      <c r="AB2175">
        <v>9</v>
      </c>
      <c r="AC2175">
        <v>-0.46100000000001201</v>
      </c>
      <c r="AD2175">
        <v>-1.1207065086450001</v>
      </c>
      <c r="AE2175">
        <v>-87.739099999999894</v>
      </c>
      <c r="AF2175">
        <v>2.3062614864858402</v>
      </c>
      <c r="AG2175">
        <v>-1.1207065086450001</v>
      </c>
      <c r="AH2175">
        <v>87.695678321190996</v>
      </c>
      <c r="AI2175">
        <v>90.7319182588557</v>
      </c>
      <c r="AJ2175">
        <v>88.493556330985896</v>
      </c>
      <c r="AK2175">
        <v>87.733156909667699</v>
      </c>
      <c r="AL2175">
        <v>84.132661103311406</v>
      </c>
      <c r="AM2175">
        <v>87.652122068246399</v>
      </c>
      <c r="AN2175">
        <v>1.0000000395905899</v>
      </c>
    </row>
    <row r="2176" spans="1:40" x14ac:dyDescent="0.25">
      <c r="A2176" t="str">
        <f>"20190303161916552"</f>
        <v>20190303161916552</v>
      </c>
      <c r="B2176" t="str">
        <f>"1551601156544690"</f>
        <v>1551601156544690</v>
      </c>
      <c r="C2176" t="s">
        <v>40</v>
      </c>
      <c r="D2176">
        <v>4.5025240000000002</v>
      </c>
      <c r="E2176">
        <v>0.49366409999999999</v>
      </c>
      <c r="F2176" t="s">
        <v>41</v>
      </c>
      <c r="G2176">
        <v>-191.71700000000001</v>
      </c>
      <c r="H2176" s="1">
        <v>-1.618368E-6</v>
      </c>
      <c r="I2176">
        <v>262.29669999999999</v>
      </c>
      <c r="J2176">
        <v>-191.42500000000001</v>
      </c>
      <c r="K2176">
        <v>1.1207020000000001</v>
      </c>
      <c r="L2176">
        <v>341.91079999999999</v>
      </c>
      <c r="M2176">
        <v>2.0552839999999999E-2</v>
      </c>
      <c r="N2176">
        <v>-7.0706419999999898E-3</v>
      </c>
      <c r="O2176">
        <v>-0.99976379999999998</v>
      </c>
      <c r="P2176">
        <v>-1.9209500000000001E-2</v>
      </c>
      <c r="Q2176">
        <v>9.2380229999999994E-2</v>
      </c>
      <c r="R2176">
        <v>-0.99553840000000005</v>
      </c>
      <c r="S2176">
        <v>-1.100159E-2</v>
      </c>
      <c r="T2176">
        <v>-4.2434100000000002E-2</v>
      </c>
      <c r="U2176">
        <v>-3.0180660000000001</v>
      </c>
      <c r="V2176">
        <v>3.9685329999999998E-2</v>
      </c>
      <c r="W2176">
        <v>9.9405190000000004E-2</v>
      </c>
      <c r="X2176">
        <v>0.99425540000000001</v>
      </c>
      <c r="Y2176">
        <v>2.4195769999999998E-2</v>
      </c>
      <c r="Z2176">
        <v>6.9815190000000003E-3</v>
      </c>
      <c r="AA2176">
        <v>0.99968279999999998</v>
      </c>
      <c r="AB2176">
        <v>9</v>
      </c>
      <c r="AC2176">
        <v>-0.29200000000000098</v>
      </c>
      <c r="AD2176">
        <v>-1.1207036183679999</v>
      </c>
      <c r="AE2176">
        <v>-79.614099999999993</v>
      </c>
      <c r="AF2176">
        <v>1.9278930103373999</v>
      </c>
      <c r="AG2176">
        <v>-1.1207036183679999</v>
      </c>
      <c r="AH2176">
        <v>79.575512593832201</v>
      </c>
      <c r="AI2176">
        <v>90.806636460686406</v>
      </c>
      <c r="AJ2176">
        <v>88.612154354567494</v>
      </c>
      <c r="AK2176">
        <v>79.606751928656706</v>
      </c>
      <c r="AL2176">
        <v>84.295080624444907</v>
      </c>
      <c r="AM2176">
        <v>87.714273870227501</v>
      </c>
      <c r="AN2176">
        <v>1.0000000588226501</v>
      </c>
    </row>
    <row r="2177" spans="1:40" x14ac:dyDescent="0.25">
      <c r="A2177" t="str">
        <f>"20190303161916574"</f>
        <v>20190303161916574</v>
      </c>
      <c r="B2177" t="str">
        <f>"1551601156564210"</f>
        <v>1551601156564210</v>
      </c>
      <c r="C2177" t="s">
        <v>40</v>
      </c>
      <c r="D2177">
        <v>4.4174939999999996</v>
      </c>
      <c r="E2177">
        <v>0.49343730000000002</v>
      </c>
      <c r="F2177" t="s">
        <v>41</v>
      </c>
      <c r="G2177">
        <v>-191.64519999999999</v>
      </c>
      <c r="H2177" s="1">
        <v>-1.86244E-6</v>
      </c>
      <c r="I2177">
        <v>262.9101</v>
      </c>
      <c r="J2177">
        <v>-191.42359999999999</v>
      </c>
      <c r="K2177">
        <v>1.1207210000000001</v>
      </c>
      <c r="L2177">
        <v>341.81760000000003</v>
      </c>
      <c r="M2177">
        <v>2.0130499999999999E-2</v>
      </c>
      <c r="N2177">
        <v>-7.0109819999999998E-3</v>
      </c>
      <c r="O2177">
        <v>-0.99977280000000002</v>
      </c>
      <c r="P2177">
        <v>-1.854068E-2</v>
      </c>
      <c r="Q2177">
        <v>9.1124629999999998E-2</v>
      </c>
      <c r="R2177">
        <v>-0.99566690000000002</v>
      </c>
      <c r="S2177">
        <v>-8.4075929999999997E-3</v>
      </c>
      <c r="T2177">
        <v>-4.280221E-2</v>
      </c>
      <c r="U2177">
        <v>-3.0172119999999998</v>
      </c>
      <c r="V2177">
        <v>3.8592090000000003E-2</v>
      </c>
      <c r="W2177">
        <v>9.8094600000000004E-2</v>
      </c>
      <c r="X2177">
        <v>0.99442850000000005</v>
      </c>
      <c r="Y2177">
        <v>2.2915109999999999E-2</v>
      </c>
      <c r="Z2177">
        <v>7.1675659999999898E-3</v>
      </c>
      <c r="AA2177">
        <v>0.99971169999999998</v>
      </c>
      <c r="AB2177">
        <v>9</v>
      </c>
      <c r="AC2177">
        <v>-0.221599999999995</v>
      </c>
      <c r="AD2177">
        <v>-1.1207228624400001</v>
      </c>
      <c r="AE2177">
        <v>-78.907499999999999</v>
      </c>
      <c r="AF2177">
        <v>1.80967647431583</v>
      </c>
      <c r="AG2177">
        <v>-1.1207228624400001</v>
      </c>
      <c r="AH2177">
        <v>78.871138284553595</v>
      </c>
      <c r="AI2177">
        <v>90.813877896942202</v>
      </c>
      <c r="AJ2177">
        <v>88.685594799370904</v>
      </c>
      <c r="AK2177">
        <v>78.899856799472502</v>
      </c>
      <c r="AL2177">
        <v>84.370540231585593</v>
      </c>
      <c r="AM2177">
        <v>87.777562876834693</v>
      </c>
      <c r="AN2177">
        <v>0.99999997078598801</v>
      </c>
    </row>
    <row r="2178" spans="1:40" x14ac:dyDescent="0.25">
      <c r="A2178" t="str">
        <f>"20190303161916596"</f>
        <v>20190303161916596</v>
      </c>
      <c r="B2178" t="str">
        <f>"1551601156584706"</f>
        <v>1551601156584706</v>
      </c>
      <c r="C2178" t="s">
        <v>40</v>
      </c>
      <c r="D2178">
        <v>4.4298310000000001</v>
      </c>
      <c r="E2178">
        <v>0.4932589</v>
      </c>
      <c r="F2178" t="s">
        <v>41</v>
      </c>
      <c r="G2178">
        <v>-191.53579999999999</v>
      </c>
      <c r="H2178" s="1">
        <v>-4.0542019999999997E-6</v>
      </c>
      <c r="I2178">
        <v>258.09969999999998</v>
      </c>
      <c r="J2178">
        <v>-191.4222</v>
      </c>
      <c r="K2178">
        <v>1.120738</v>
      </c>
      <c r="L2178">
        <v>341.72620000000001</v>
      </c>
      <c r="M2178">
        <v>1.976764E-2</v>
      </c>
      <c r="N2178">
        <v>-6.954984E-3</v>
      </c>
      <c r="O2178">
        <v>-0.99978040000000001</v>
      </c>
      <c r="P2178">
        <v>-1.8648890000000001E-2</v>
      </c>
      <c r="Q2178">
        <v>9.1447700000000007E-2</v>
      </c>
      <c r="R2178">
        <v>-0.99563520000000005</v>
      </c>
      <c r="S2178">
        <v>-4.0435790000000003E-3</v>
      </c>
      <c r="T2178">
        <v>-4.0383820000000001E-2</v>
      </c>
      <c r="U2178">
        <v>-3.0166629999999999</v>
      </c>
      <c r="V2178">
        <v>3.8333239999999998E-2</v>
      </c>
      <c r="W2178">
        <v>9.8363649999999997E-2</v>
      </c>
      <c r="X2178">
        <v>0.99441190000000002</v>
      </c>
      <c r="Y2178">
        <v>2.1106730000000001E-2</v>
      </c>
      <c r="Z2178">
        <v>6.425521E-3</v>
      </c>
      <c r="AA2178">
        <v>0.9997566</v>
      </c>
      <c r="AB2178">
        <v>9</v>
      </c>
      <c r="AC2178">
        <v>-0.113599999999991</v>
      </c>
      <c r="AD2178">
        <v>-1.1207420542019999</v>
      </c>
      <c r="AE2178">
        <v>-83.626499999999993</v>
      </c>
      <c r="AF2178">
        <v>1.7663990908200899</v>
      </c>
      <c r="AG2178">
        <v>-1.1207420542019999</v>
      </c>
      <c r="AH2178">
        <v>83.592899175635097</v>
      </c>
      <c r="AI2178">
        <v>90.767955343557503</v>
      </c>
      <c r="AJ2178">
        <v>88.789464724147507</v>
      </c>
      <c r="AK2178">
        <v>83.619070917393003</v>
      </c>
      <c r="AL2178">
        <v>84.355049690000897</v>
      </c>
      <c r="AM2178">
        <v>87.792417890325893</v>
      </c>
      <c r="AN2178">
        <v>0.99999993589591296</v>
      </c>
    </row>
    <row r="2179" spans="1:40" x14ac:dyDescent="0.25">
      <c r="A2179" t="str">
        <f>"20190303161916620"</f>
        <v>20190303161916620</v>
      </c>
      <c r="B2179" t="str">
        <f>"1551601156614962"</f>
        <v>1551601156614962</v>
      </c>
      <c r="C2179" t="s">
        <v>40</v>
      </c>
      <c r="D2179">
        <v>4.3914109999999997</v>
      </c>
      <c r="E2179">
        <v>0.49338949999999998</v>
      </c>
      <c r="F2179" t="s">
        <v>41</v>
      </c>
      <c r="G2179">
        <v>-191.50919999999999</v>
      </c>
      <c r="H2179" s="1">
        <v>-4.2051319999999998E-6</v>
      </c>
      <c r="I2179">
        <v>247.63800000000001</v>
      </c>
      <c r="J2179">
        <v>-191.42060000000001</v>
      </c>
      <c r="K2179">
        <v>1.1207590000000001</v>
      </c>
      <c r="L2179">
        <v>341.62430000000001</v>
      </c>
      <c r="M2179">
        <v>1.9415089999999999E-2</v>
      </c>
      <c r="N2179">
        <v>-6.8906810000000001E-3</v>
      </c>
      <c r="O2179">
        <v>-0.99978800000000001</v>
      </c>
      <c r="P2179">
        <v>-1.95421E-2</v>
      </c>
      <c r="Q2179">
        <v>9.3238080000000001E-2</v>
      </c>
      <c r="R2179">
        <v>-0.99545229999999996</v>
      </c>
      <c r="S2179">
        <v>-2.792358E-3</v>
      </c>
      <c r="T2179">
        <v>-3.5930040000000003E-2</v>
      </c>
      <c r="U2179">
        <v>-3.0163880000000001</v>
      </c>
      <c r="V2179">
        <v>3.8867859999999997E-2</v>
      </c>
      <c r="W2179">
        <v>0.10009079999999999</v>
      </c>
      <c r="X2179">
        <v>0.99421879999999996</v>
      </c>
      <c r="Y2179">
        <v>2.033977E-2</v>
      </c>
      <c r="Z2179">
        <v>5.0156289999999997E-3</v>
      </c>
      <c r="AA2179">
        <v>0.99978049999999996</v>
      </c>
      <c r="AB2179">
        <v>9</v>
      </c>
      <c r="AC2179">
        <v>-8.8599999999985302E-2</v>
      </c>
      <c r="AD2179">
        <v>-1.120763205132</v>
      </c>
      <c r="AE2179">
        <v>-93.9863</v>
      </c>
      <c r="AF2179">
        <v>1.9131066210158401</v>
      </c>
      <c r="AG2179">
        <v>-1.120763205132</v>
      </c>
      <c r="AH2179">
        <v>93.953503266967104</v>
      </c>
      <c r="AI2179">
        <v>90.683302348069802</v>
      </c>
      <c r="AJ2179">
        <v>88.833489058032001</v>
      </c>
      <c r="AK2179">
        <v>93.979661965987901</v>
      </c>
      <c r="AL2179">
        <v>84.255600547817707</v>
      </c>
      <c r="AM2179">
        <v>87.761226338393399</v>
      </c>
      <c r="AN2179">
        <v>0.99999995052952795</v>
      </c>
    </row>
    <row r="2180" spans="1:40" x14ac:dyDescent="0.25">
      <c r="A2180" t="str">
        <f>"20190303161916644"</f>
        <v>20190303161916644</v>
      </c>
      <c r="B2180" t="str">
        <f>"1551601156634482"</f>
        <v>1551601156634482</v>
      </c>
      <c r="C2180" t="s">
        <v>40</v>
      </c>
      <c r="D2180">
        <v>4.3737690000000002</v>
      </c>
      <c r="E2180">
        <v>0.49348350000000002</v>
      </c>
      <c r="F2180" t="s">
        <v>49</v>
      </c>
      <c r="G2180">
        <v>-191.7253</v>
      </c>
      <c r="H2180" s="1">
        <v>5.9986310000000003E-6</v>
      </c>
      <c r="I2180">
        <v>203.80879999999999</v>
      </c>
      <c r="J2180">
        <v>-191.41890000000001</v>
      </c>
      <c r="K2180">
        <v>1.1207590000000001</v>
      </c>
      <c r="L2180">
        <v>341.52210000000002</v>
      </c>
      <c r="M2180">
        <v>1.910104E-2</v>
      </c>
      <c r="N2180">
        <v>-6.8169370000000003E-3</v>
      </c>
      <c r="O2180">
        <v>-0.99979419999999997</v>
      </c>
      <c r="P2180">
        <v>-2.0823749999999999E-2</v>
      </c>
      <c r="Q2180">
        <v>9.5182610000000001E-2</v>
      </c>
      <c r="R2180">
        <v>-0.99524190000000001</v>
      </c>
      <c r="S2180">
        <v>-6.6680910000000001E-3</v>
      </c>
      <c r="T2180">
        <v>-2.4526119999999998E-2</v>
      </c>
      <c r="U2180">
        <v>-3.0158999999999998</v>
      </c>
      <c r="V2180">
        <v>3.9831279999999997E-2</v>
      </c>
      <c r="W2180">
        <v>0.1019608</v>
      </c>
      <c r="X2180">
        <v>0.9939907</v>
      </c>
      <c r="Y2180">
        <v>2.1310920000000001E-2</v>
      </c>
      <c r="Z2180">
        <v>1.311801E-3</v>
      </c>
      <c r="AA2180">
        <v>0.99977199999999999</v>
      </c>
      <c r="AB2180">
        <v>10</v>
      </c>
      <c r="AC2180">
        <v>-0.30639999999999601</v>
      </c>
      <c r="AD2180">
        <v>-1.1207530013689999</v>
      </c>
      <c r="AE2180">
        <v>-137.7133</v>
      </c>
      <c r="AF2180">
        <v>2.9366782819242601</v>
      </c>
      <c r="AG2180">
        <v>-1.1207530013689999</v>
      </c>
      <c r="AH2180">
        <v>137.67320317874001</v>
      </c>
      <c r="AI2180">
        <v>90.4663100298838</v>
      </c>
      <c r="AJ2180">
        <v>88.778021031313301</v>
      </c>
      <c r="AK2180">
        <v>137.709081182456</v>
      </c>
      <c r="AL2180">
        <v>84.147906863924206</v>
      </c>
      <c r="AM2180">
        <v>87.705266390301503</v>
      </c>
      <c r="AN2180">
        <v>1.0000000236447799</v>
      </c>
    </row>
    <row r="2181" spans="1:40" x14ac:dyDescent="0.25">
      <c r="A2181" t="str">
        <f>"20190303161916664"</f>
        <v>20190303161916664</v>
      </c>
      <c r="B2181" t="str">
        <f>"1551601156654978"</f>
        <v>1551601156654978</v>
      </c>
      <c r="C2181" t="s">
        <v>40</v>
      </c>
      <c r="D2181">
        <v>4.3345520000000004</v>
      </c>
      <c r="E2181">
        <v>0.49348839999999999</v>
      </c>
      <c r="F2181" t="s">
        <v>50</v>
      </c>
      <c r="G2181">
        <v>-192.1874</v>
      </c>
      <c r="H2181" s="1">
        <v>-7.8305650000000001E-6</v>
      </c>
      <c r="I2181">
        <v>137.9282</v>
      </c>
      <c r="J2181">
        <v>-191.41749999999999</v>
      </c>
      <c r="K2181">
        <v>1.1207419999999999</v>
      </c>
      <c r="L2181">
        <v>341.42959999999999</v>
      </c>
      <c r="M2181">
        <v>1.8837639999999999E-2</v>
      </c>
      <c r="N2181">
        <v>-6.7332109999999898E-3</v>
      </c>
      <c r="O2181">
        <v>-0.99980000000000002</v>
      </c>
      <c r="P2181">
        <v>-2.1729160000000001E-2</v>
      </c>
      <c r="Q2181">
        <v>9.6945169999999997E-2</v>
      </c>
      <c r="R2181">
        <v>-0.99505250000000001</v>
      </c>
      <c r="S2181">
        <v>-1.138306E-2</v>
      </c>
      <c r="T2181">
        <v>-1.6601089999999999E-2</v>
      </c>
      <c r="U2181">
        <v>-3.0156860000000001</v>
      </c>
      <c r="V2181">
        <v>4.0472130000000002E-2</v>
      </c>
      <c r="W2181">
        <v>0.10363799999999999</v>
      </c>
      <c r="X2181">
        <v>0.99379130000000004</v>
      </c>
      <c r="Y2181">
        <v>2.261092E-2</v>
      </c>
      <c r="Z2181">
        <v>-1.230833E-3</v>
      </c>
      <c r="AA2181">
        <v>0.99974359999999995</v>
      </c>
      <c r="AB2181">
        <v>10</v>
      </c>
      <c r="AC2181">
        <v>-0.76990000000000602</v>
      </c>
      <c r="AD2181">
        <v>-1.1207498305650001</v>
      </c>
      <c r="AE2181">
        <v>-203.50139999999999</v>
      </c>
      <c r="AF2181">
        <v>4.6031963305223398</v>
      </c>
      <c r="AG2181">
        <v>-1.1207498305650001</v>
      </c>
      <c r="AH2181">
        <v>203.444614294491</v>
      </c>
      <c r="AI2181">
        <v>90.315551018326303</v>
      </c>
      <c r="AJ2181">
        <v>88.703830381672802</v>
      </c>
      <c r="AK2181">
        <v>203.49977047179701</v>
      </c>
      <c r="AL2181">
        <v>84.051298340768398</v>
      </c>
      <c r="AM2181">
        <v>87.6679192731781</v>
      </c>
      <c r="AN2181">
        <v>0.999999988153213</v>
      </c>
    </row>
    <row r="2182" spans="1:40" x14ac:dyDescent="0.25">
      <c r="A2182" t="str">
        <f>"20190303161916687"</f>
        <v>20190303161916687</v>
      </c>
      <c r="B2182" t="str">
        <f>"1551601156674498"</f>
        <v>1551601156674498</v>
      </c>
      <c r="C2182" t="s">
        <v>40</v>
      </c>
      <c r="D2182">
        <v>4.3241940000000003</v>
      </c>
      <c r="E2182">
        <v>0.4934519</v>
      </c>
      <c r="F2182" t="s">
        <v>41</v>
      </c>
      <c r="G2182">
        <v>-193.2381</v>
      </c>
      <c r="H2182" s="1">
        <v>-3.555098E-6</v>
      </c>
      <c r="I2182">
        <v>-34.132210000000001</v>
      </c>
      <c r="J2182">
        <v>-191.41589999999999</v>
      </c>
      <c r="K2182">
        <v>1.1206989999999999</v>
      </c>
      <c r="L2182">
        <v>341.33190000000002</v>
      </c>
      <c r="M2182">
        <v>1.8567779999999999E-2</v>
      </c>
      <c r="N2182">
        <v>-6.6187149999999998E-3</v>
      </c>
      <c r="O2182">
        <v>-0.99980590000000003</v>
      </c>
      <c r="P2182">
        <v>-2.1955869999999999E-2</v>
      </c>
      <c r="Q2182">
        <v>9.7963099999999997E-2</v>
      </c>
      <c r="R2182">
        <v>-0.99494819999999995</v>
      </c>
      <c r="S2182">
        <v>-1.461792E-2</v>
      </c>
      <c r="T2182">
        <v>-8.9986319999999995E-3</v>
      </c>
      <c r="U2182">
        <v>-3.0154420000000002</v>
      </c>
      <c r="V2182">
        <v>4.0432099999999999E-2</v>
      </c>
      <c r="W2182">
        <v>0.10453999999999999</v>
      </c>
      <c r="X2182">
        <v>0.99369850000000004</v>
      </c>
      <c r="Y2182">
        <v>2.3413980000000001E-2</v>
      </c>
      <c r="Z2182">
        <v>-3.6360759999999998E-3</v>
      </c>
      <c r="AA2182">
        <v>0.99971929999999998</v>
      </c>
      <c r="AB2182">
        <v>10</v>
      </c>
      <c r="AC2182">
        <v>-1.8222</v>
      </c>
      <c r="AD2182">
        <v>-1.1207025550980001</v>
      </c>
      <c r="AE2182">
        <v>-375.46411000000001</v>
      </c>
      <c r="AF2182">
        <v>8.7934937832947302</v>
      </c>
      <c r="AG2182">
        <v>-1.1207025550980001</v>
      </c>
      <c r="AH2182">
        <v>375.36219956616497</v>
      </c>
      <c r="AI2182">
        <v>90.171018081266098</v>
      </c>
      <c r="AJ2182">
        <v>88.6579950167677</v>
      </c>
      <c r="AK2182">
        <v>375.466859217006</v>
      </c>
      <c r="AL2182">
        <v>83.999335579007393</v>
      </c>
      <c r="AM2182">
        <v>87.670006000060596</v>
      </c>
      <c r="AN2182">
        <v>1.0000000376063201</v>
      </c>
    </row>
    <row r="2183" spans="1:40" x14ac:dyDescent="0.25">
      <c r="A2183" t="str">
        <f>"20190303161916708"</f>
        <v>20190303161916708</v>
      </c>
      <c r="B2183" t="str">
        <f>"1551601156694994"</f>
        <v>1551601156694994</v>
      </c>
      <c r="C2183" t="s">
        <v>40</v>
      </c>
      <c r="D2183">
        <v>4.299874</v>
      </c>
      <c r="E2183">
        <v>0.49340889999999998</v>
      </c>
      <c r="F2183" t="s">
        <v>48</v>
      </c>
      <c r="G2183">
        <v>-193.54230000000001</v>
      </c>
      <c r="H2183">
        <v>0.66173839999999995</v>
      </c>
      <c r="I2183">
        <v>-81.815380000000005</v>
      </c>
      <c r="J2183">
        <v>-191.4144</v>
      </c>
      <c r="K2183">
        <v>1.1206469999999999</v>
      </c>
      <c r="L2183">
        <v>341.23500000000001</v>
      </c>
      <c r="M2183">
        <v>1.8298269999999998E-2</v>
      </c>
      <c r="N2183">
        <v>-6.4792199999999999E-3</v>
      </c>
      <c r="O2183">
        <v>-0.99981189999999998</v>
      </c>
      <c r="P2183">
        <v>-2.214963E-2</v>
      </c>
      <c r="Q2183">
        <v>9.7314719999999993E-2</v>
      </c>
      <c r="R2183">
        <v>-0.99500759999999999</v>
      </c>
      <c r="S2183">
        <v>-1.5151980000000001E-2</v>
      </c>
      <c r="T2183">
        <v>-3.2703879999999999E-3</v>
      </c>
      <c r="U2183">
        <v>-3.015228</v>
      </c>
      <c r="V2183">
        <v>4.0363889999999999E-2</v>
      </c>
      <c r="W2183">
        <v>0.10375180000000001</v>
      </c>
      <c r="X2183">
        <v>0.99378379999999999</v>
      </c>
      <c r="Y2183">
        <v>2.3322019999999999E-2</v>
      </c>
      <c r="Z2183">
        <v>-5.3953389999999999E-3</v>
      </c>
      <c r="AA2183">
        <v>0.99971339999999997</v>
      </c>
      <c r="AB2183">
        <v>10</v>
      </c>
      <c r="AC2183">
        <v>-2.1279000000000101</v>
      </c>
      <c r="AD2183">
        <v>-0.458908599999999</v>
      </c>
      <c r="AE2183">
        <v>-423.050379999999</v>
      </c>
      <c r="AF2183">
        <v>9.8687821863630294</v>
      </c>
      <c r="AG2183">
        <v>-0.458908599999999</v>
      </c>
      <c r="AH2183">
        <v>422.94011150663999</v>
      </c>
      <c r="AI2183">
        <v>90.062151495958702</v>
      </c>
      <c r="AJ2183">
        <v>88.663316706556401</v>
      </c>
      <c r="AK2183">
        <v>423.05548262632698</v>
      </c>
      <c r="AL2183">
        <v>84.044742574752902</v>
      </c>
      <c r="AM2183">
        <v>87.674131874440207</v>
      </c>
      <c r="AN2183">
        <v>0.99999996038080496</v>
      </c>
    </row>
    <row r="2184" spans="1:40" x14ac:dyDescent="0.25">
      <c r="A2184" t="str">
        <f>"20190303161916732"</f>
        <v>20190303161916732</v>
      </c>
      <c r="B2184" t="str">
        <f>"1551601156724274"</f>
        <v>1551601156724274</v>
      </c>
      <c r="C2184" t="s">
        <v>40</v>
      </c>
      <c r="D2184">
        <v>4.2981230000000004</v>
      </c>
      <c r="E2184">
        <v>0.49330309999999999</v>
      </c>
      <c r="F2184" t="s">
        <v>48</v>
      </c>
      <c r="G2184">
        <v>-193.58529999999999</v>
      </c>
      <c r="H2184">
        <v>0.52359100000000003</v>
      </c>
      <c r="I2184">
        <v>-81.815340000000006</v>
      </c>
      <c r="J2184">
        <v>-191.4128</v>
      </c>
      <c r="K2184">
        <v>1.120581</v>
      </c>
      <c r="L2184">
        <v>341.1284</v>
      </c>
      <c r="M2184">
        <v>1.799255E-2</v>
      </c>
      <c r="N2184">
        <v>-6.307371E-3</v>
      </c>
      <c r="O2184">
        <v>-0.99981830000000005</v>
      </c>
      <c r="P2184">
        <v>-2.1531399999999999E-2</v>
      </c>
      <c r="Q2184">
        <v>9.6627870000000005E-2</v>
      </c>
      <c r="R2184">
        <v>-0.99508770000000002</v>
      </c>
      <c r="S2184">
        <v>-1.5472410000000001E-2</v>
      </c>
      <c r="T2184">
        <v>-4.2552950000000001E-3</v>
      </c>
      <c r="U2184">
        <v>-3.0151370000000002</v>
      </c>
      <c r="V2184">
        <v>3.9449140000000001E-2</v>
      </c>
      <c r="W2184">
        <v>0.10289239999999999</v>
      </c>
      <c r="X2184">
        <v>0.99390990000000001</v>
      </c>
      <c r="Y2184">
        <v>2.3122730000000001E-2</v>
      </c>
      <c r="Z2184">
        <v>-4.8969159999999899E-3</v>
      </c>
      <c r="AA2184">
        <v>0.99972059999999996</v>
      </c>
      <c r="AB2184">
        <v>10</v>
      </c>
      <c r="AC2184">
        <v>-2.1724999999999799</v>
      </c>
      <c r="AD2184">
        <v>-0.59698999999999902</v>
      </c>
      <c r="AE2184">
        <v>-422.94373999999999</v>
      </c>
      <c r="AF2184">
        <v>9.7821160168805807</v>
      </c>
      <c r="AG2184">
        <v>-0.59698999999999902</v>
      </c>
      <c r="AH2184">
        <v>422.83533955392102</v>
      </c>
      <c r="AI2184">
        <v>90.0808726985872</v>
      </c>
      <c r="AJ2184">
        <v>88.674722872014996</v>
      </c>
      <c r="AK2184">
        <v>422.948898292107</v>
      </c>
      <c r="AL2184">
        <v>84.094247669945503</v>
      </c>
      <c r="AM2184">
        <v>87.727074222614107</v>
      </c>
      <c r="AN2184">
        <v>0.99999998497125397</v>
      </c>
    </row>
    <row r="2185" spans="1:40" x14ac:dyDescent="0.25">
      <c r="A2185" t="str">
        <f>"20190303161916754"</f>
        <v>20190303161916754</v>
      </c>
      <c r="B2185" t="str">
        <f>"1551601156744771"</f>
        <v>1551601156744771</v>
      </c>
      <c r="C2185" t="s">
        <v>40</v>
      </c>
      <c r="D2185">
        <v>4.3004170000000004</v>
      </c>
      <c r="E2185">
        <v>0.49320219999999998</v>
      </c>
      <c r="F2185" t="s">
        <v>48</v>
      </c>
      <c r="G2185">
        <v>-193.17660000000001</v>
      </c>
      <c r="H2185">
        <v>0.58971980000000002</v>
      </c>
      <c r="I2185">
        <v>-81.815359999999998</v>
      </c>
      <c r="J2185">
        <v>-191.41130000000001</v>
      </c>
      <c r="K2185">
        <v>1.1205130000000001</v>
      </c>
      <c r="L2185">
        <v>341.02839999999998</v>
      </c>
      <c r="M2185">
        <v>1.7690379999999999E-2</v>
      </c>
      <c r="N2185">
        <v>-6.1397099999999996E-3</v>
      </c>
      <c r="O2185">
        <v>-0.99982479999999996</v>
      </c>
      <c r="P2185">
        <v>-2.1349110000000001E-2</v>
      </c>
      <c r="Q2185">
        <v>9.5486210000000002E-2</v>
      </c>
      <c r="R2185">
        <v>-0.99520189999999997</v>
      </c>
      <c r="S2185">
        <v>-1.2573239999999999E-2</v>
      </c>
      <c r="T2185">
        <v>-3.7841799999999998E-3</v>
      </c>
      <c r="U2185">
        <v>-3.014923</v>
      </c>
      <c r="V2185">
        <v>3.8973630000000002E-2</v>
      </c>
      <c r="W2185">
        <v>0.1015828</v>
      </c>
      <c r="X2185">
        <v>0.99406340000000004</v>
      </c>
      <c r="Y2185">
        <v>2.185966E-2</v>
      </c>
      <c r="Z2185">
        <v>-4.8852549999999998E-3</v>
      </c>
      <c r="AA2185">
        <v>0.99974909999999995</v>
      </c>
      <c r="AB2185">
        <v>10</v>
      </c>
      <c r="AC2185">
        <v>-1.7652999999999901</v>
      </c>
      <c r="AD2185">
        <v>-0.53079319999999897</v>
      </c>
      <c r="AE2185">
        <v>-422.84375999999997</v>
      </c>
      <c r="AF2185">
        <v>9.2454159286553601</v>
      </c>
      <c r="AG2185">
        <v>-0.53079319999999897</v>
      </c>
      <c r="AH2185">
        <v>422.74569241782098</v>
      </c>
      <c r="AI2185">
        <v>90.071922492305404</v>
      </c>
      <c r="AJ2185">
        <v>88.747145407114303</v>
      </c>
      <c r="AK2185">
        <v>422.84711174955203</v>
      </c>
      <c r="AL2185">
        <v>84.169677722095997</v>
      </c>
      <c r="AM2185">
        <v>87.754789676432196</v>
      </c>
      <c r="AN2185">
        <v>1.0000000261553801</v>
      </c>
    </row>
    <row r="2186" spans="1:40" x14ac:dyDescent="0.25">
      <c r="A2186" t="str">
        <f>"20190303161916776"</f>
        <v>20190303161916776</v>
      </c>
      <c r="B2186" t="str">
        <f>"1551601156764290"</f>
        <v>1551601156764290</v>
      </c>
      <c r="C2186" t="s">
        <v>40</v>
      </c>
      <c r="D2186">
        <v>4.2887250000000003</v>
      </c>
      <c r="E2186">
        <v>0.49322199999999999</v>
      </c>
      <c r="F2186" t="s">
        <v>48</v>
      </c>
      <c r="G2186">
        <v>-192.92009999999999</v>
      </c>
      <c r="H2186">
        <v>0.3256426</v>
      </c>
      <c r="I2186">
        <v>-81.815280000000001</v>
      </c>
      <c r="J2186">
        <v>-191.40989999999999</v>
      </c>
      <c r="K2186">
        <v>1.1204590000000001</v>
      </c>
      <c r="L2186">
        <v>340.92500000000001</v>
      </c>
      <c r="M2186">
        <v>1.7358709999999999E-2</v>
      </c>
      <c r="N2186">
        <v>-5.9662329999999996E-3</v>
      </c>
      <c r="O2186">
        <v>-0.99983149999999998</v>
      </c>
      <c r="P2186">
        <v>-2.0728300000000002E-2</v>
      </c>
      <c r="Q2186">
        <v>9.3743469999999995E-2</v>
      </c>
      <c r="R2186">
        <v>-0.99538059999999995</v>
      </c>
      <c r="S2186">
        <v>-1.075745E-2</v>
      </c>
      <c r="T2186">
        <v>-5.6672099999999998E-3</v>
      </c>
      <c r="U2186">
        <v>-3.0147710000000001</v>
      </c>
      <c r="V2186">
        <v>3.8030870000000001E-2</v>
      </c>
      <c r="W2186">
        <v>9.966709E-2</v>
      </c>
      <c r="X2186">
        <v>0.99429380000000001</v>
      </c>
      <c r="Y2186">
        <v>2.092608E-2</v>
      </c>
      <c r="Z2186">
        <v>-4.0872670000000003E-3</v>
      </c>
      <c r="AA2186">
        <v>0.99977269999999896</v>
      </c>
      <c r="AB2186">
        <v>10</v>
      </c>
      <c r="AC2186">
        <v>-1.51019999999999</v>
      </c>
      <c r="AD2186">
        <v>-0.79481639999999998</v>
      </c>
      <c r="AE2186">
        <v>-422.74027999999998</v>
      </c>
      <c r="AF2186">
        <v>8.8482978877168001</v>
      </c>
      <c r="AG2186">
        <v>-0.79481639999999998</v>
      </c>
      <c r="AH2186">
        <v>422.648872237332</v>
      </c>
      <c r="AI2186">
        <v>90.107724397444898</v>
      </c>
      <c r="AJ2186">
        <v>88.800668566219699</v>
      </c>
      <c r="AK2186">
        <v>422.742230339137</v>
      </c>
      <c r="AL2186">
        <v>84.279999736809401</v>
      </c>
      <c r="AM2186">
        <v>87.809554230977596</v>
      </c>
      <c r="AN2186">
        <v>1.00000001831023</v>
      </c>
    </row>
    <row r="2187" spans="1:40" x14ac:dyDescent="0.25">
      <c r="A2187" t="str">
        <f>"20190303161916811"</f>
        <v>20190303161916811</v>
      </c>
      <c r="B2187" t="str">
        <f>"1551601156804306"</f>
        <v>1551601156804306</v>
      </c>
      <c r="C2187" t="s">
        <v>40</v>
      </c>
      <c r="D2187">
        <v>4.2419690000000001</v>
      </c>
      <c r="E2187">
        <v>0.50489910000000005</v>
      </c>
      <c r="F2187" t="s">
        <v>41</v>
      </c>
      <c r="G2187">
        <v>-192.34370000000001</v>
      </c>
      <c r="H2187" s="1">
        <v>-4.4786499999999999E-6</v>
      </c>
      <c r="I2187">
        <v>18.925840000000001</v>
      </c>
      <c r="J2187">
        <v>-191.40770000000001</v>
      </c>
      <c r="K2187">
        <v>1.1203730000000001</v>
      </c>
      <c r="L2187">
        <v>340.76240000000001</v>
      </c>
      <c r="M2187">
        <v>1.679361E-2</v>
      </c>
      <c r="N2187">
        <v>-5.7058119999999898E-3</v>
      </c>
      <c r="O2187">
        <v>-0.99984269999999997</v>
      </c>
      <c r="P2187">
        <v>-2.0863010000000001E-2</v>
      </c>
      <c r="Q2187">
        <v>9.1719250000000002E-2</v>
      </c>
      <c r="R2187">
        <v>-0.99556670000000003</v>
      </c>
      <c r="S2187">
        <v>-8.7432859999999994E-3</v>
      </c>
      <c r="T2187">
        <v>-1.049042E-2</v>
      </c>
      <c r="U2187">
        <v>-3.0147400000000002</v>
      </c>
      <c r="V2187">
        <v>3.7612779999999998E-2</v>
      </c>
      <c r="W2187">
        <v>9.7382759999999999E-2</v>
      </c>
      <c r="X2187">
        <v>0.99453599999999998</v>
      </c>
      <c r="Y2187">
        <v>1.969305E-2</v>
      </c>
      <c r="Z2187">
        <v>-2.2273660000000002E-3</v>
      </c>
      <c r="AA2187">
        <v>0.99980360000000001</v>
      </c>
      <c r="AB2187">
        <v>10</v>
      </c>
      <c r="AC2187">
        <v>-0.93600000000000705</v>
      </c>
      <c r="AD2187">
        <v>-1.12037747865</v>
      </c>
      <c r="AE2187">
        <v>-321.83656000000002</v>
      </c>
      <c r="AF2187">
        <v>6.3406767954776804</v>
      </c>
      <c r="AG2187">
        <v>-1.12037747865</v>
      </c>
      <c r="AH2187">
        <v>321.77155377791598</v>
      </c>
      <c r="AI2187">
        <v>90.199458843709394</v>
      </c>
      <c r="AJ2187">
        <v>88.871102796242099</v>
      </c>
      <c r="AK2187">
        <v>321.83597102961301</v>
      </c>
      <c r="AL2187">
        <v>84.4115219802502</v>
      </c>
      <c r="AM2187">
        <v>87.834138767732398</v>
      </c>
      <c r="AN2187">
        <v>0.999999989230272</v>
      </c>
    </row>
    <row r="2188" spans="1:40" x14ac:dyDescent="0.25">
      <c r="A2188" t="str">
        <f>"20190303161916833"</f>
        <v>20190303161916833</v>
      </c>
      <c r="B2188" t="str">
        <f>"1551601156824803"</f>
        <v>1551601156824803</v>
      </c>
      <c r="C2188" t="s">
        <v>40</v>
      </c>
      <c r="D2188">
        <v>4.2368480000000002</v>
      </c>
      <c r="E2188">
        <v>0.50544049999999996</v>
      </c>
      <c r="F2188" t="s">
        <v>47</v>
      </c>
      <c r="G2188">
        <v>-203.364</v>
      </c>
      <c r="H2188">
        <v>0.93332099999999996</v>
      </c>
      <c r="I2188">
        <v>-10.57588</v>
      </c>
      <c r="J2188">
        <v>-191.40629999999999</v>
      </c>
      <c r="K2188">
        <v>1.1203299999999901</v>
      </c>
      <c r="L2188">
        <v>340.65230000000003</v>
      </c>
      <c r="M2188">
        <v>1.6382589999999999E-2</v>
      </c>
      <c r="N2188">
        <v>-5.5451110000000001E-3</v>
      </c>
      <c r="O2188">
        <v>-0.99985040000000003</v>
      </c>
      <c r="P2188">
        <v>-2.1809490000000001E-2</v>
      </c>
      <c r="Q2188">
        <v>9.1280490000000006E-2</v>
      </c>
      <c r="R2188">
        <v>-0.99558650000000004</v>
      </c>
      <c r="S2188">
        <v>-0.102478</v>
      </c>
      <c r="T2188">
        <v>-1.603246E-3</v>
      </c>
      <c r="U2188">
        <v>-3.0113530000000002</v>
      </c>
      <c r="V2188">
        <v>3.8154029999999999E-2</v>
      </c>
      <c r="W2188">
        <v>9.6782400000000005E-2</v>
      </c>
      <c r="X2188">
        <v>0.99457399999999996</v>
      </c>
      <c r="Y2188">
        <v>5.037842E-2</v>
      </c>
      <c r="Z2188">
        <v>-5.0148650000000003E-3</v>
      </c>
      <c r="AA2188">
        <v>0.99871759999999998</v>
      </c>
      <c r="AB2188">
        <v>11</v>
      </c>
      <c r="AC2188">
        <v>-11.957700000000001</v>
      </c>
      <c r="AD2188">
        <v>-0.18700899999999901</v>
      </c>
      <c r="AE2188">
        <v>-351.22818000000001</v>
      </c>
      <c r="AF2188">
        <v>17.710206018830501</v>
      </c>
      <c r="AG2188">
        <v>-0.18700899999999901</v>
      </c>
      <c r="AH2188">
        <v>350.985041951178</v>
      </c>
      <c r="AI2188">
        <v>90.0304890801456</v>
      </c>
      <c r="AJ2188">
        <v>87.111386329667098</v>
      </c>
      <c r="AK2188">
        <v>351.43162356718199</v>
      </c>
      <c r="AL2188">
        <v>84.446083404120898</v>
      </c>
      <c r="AM2188">
        <v>87.803086088093806</v>
      </c>
      <c r="AN2188">
        <v>1.0000000022155</v>
      </c>
    </row>
    <row r="2189" spans="1:40" x14ac:dyDescent="0.25">
      <c r="A2189" t="str">
        <f>"20190303161916855"</f>
        <v>20190303161916855</v>
      </c>
      <c r="B2189" t="str">
        <f>"1551601156845298"</f>
        <v>1551601156845298</v>
      </c>
      <c r="C2189" t="s">
        <v>40</v>
      </c>
      <c r="D2189">
        <v>4.2193639999999997</v>
      </c>
      <c r="E2189">
        <v>0.50588940000000004</v>
      </c>
      <c r="F2189" t="s">
        <v>48</v>
      </c>
      <c r="G2189">
        <v>-206.79300000000001</v>
      </c>
      <c r="H2189">
        <v>0.793767</v>
      </c>
      <c r="I2189">
        <v>-80.948899999999995</v>
      </c>
      <c r="J2189">
        <v>-191.4051</v>
      </c>
      <c r="K2189">
        <v>1.1203050000000001</v>
      </c>
      <c r="L2189">
        <v>340.5437</v>
      </c>
      <c r="M2189">
        <v>1.5961139999999999E-2</v>
      </c>
      <c r="N2189">
        <v>-5.4005279999999999E-3</v>
      </c>
      <c r="O2189">
        <v>-0.99985800000000002</v>
      </c>
      <c r="P2189">
        <v>-2.2687430000000001E-2</v>
      </c>
      <c r="Q2189">
        <v>9.1616240000000002E-2</v>
      </c>
      <c r="R2189">
        <v>-0.99553619999999998</v>
      </c>
      <c r="S2189">
        <v>-0.1098938</v>
      </c>
      <c r="T2189">
        <v>-2.3323300000000001E-3</v>
      </c>
      <c r="U2189">
        <v>-3.011139</v>
      </c>
      <c r="V2189">
        <v>3.8614589999999997E-2</v>
      </c>
      <c r="W2189">
        <v>9.6972729999999993E-2</v>
      </c>
      <c r="X2189">
        <v>0.99453769999999997</v>
      </c>
      <c r="Y2189">
        <v>5.2416329999999997E-2</v>
      </c>
      <c r="Z2189">
        <v>-4.6284819999999997E-3</v>
      </c>
      <c r="AA2189">
        <v>0.99861460000000002</v>
      </c>
      <c r="AB2189">
        <v>11</v>
      </c>
      <c r="AC2189">
        <v>-15.3879</v>
      </c>
      <c r="AD2189">
        <v>-0.326537999999999</v>
      </c>
      <c r="AE2189">
        <v>-421.49259999999998</v>
      </c>
      <c r="AF2189">
        <v>22.113527162744901</v>
      </c>
      <c r="AG2189">
        <v>-0.326537999999999</v>
      </c>
      <c r="AH2189">
        <v>421.19304123365202</v>
      </c>
      <c r="AI2189">
        <v>90.044358550852706</v>
      </c>
      <c r="AJ2189">
        <v>86.994609565649398</v>
      </c>
      <c r="AK2189">
        <v>421.77327166891001</v>
      </c>
      <c r="AL2189">
        <v>84.435126843269003</v>
      </c>
      <c r="AM2189">
        <v>87.776512369788605</v>
      </c>
      <c r="AN2189">
        <v>1.0000000168229</v>
      </c>
    </row>
    <row r="2190" spans="1:40" x14ac:dyDescent="0.25">
      <c r="A2190" t="str">
        <f>"20190303161916877"</f>
        <v>20190303161916877</v>
      </c>
      <c r="B2190" t="str">
        <f>"1551601156864818"</f>
        <v>1551601156864818</v>
      </c>
      <c r="C2190" t="s">
        <v>40</v>
      </c>
      <c r="D2190">
        <v>4.2405889999999999</v>
      </c>
      <c r="E2190">
        <v>0.50590649999999904</v>
      </c>
      <c r="F2190" t="s">
        <v>48</v>
      </c>
      <c r="G2190">
        <v>-207.70249999999999</v>
      </c>
      <c r="H2190">
        <v>0.98908090000000004</v>
      </c>
      <c r="I2190">
        <v>-81.815489999999997</v>
      </c>
      <c r="J2190">
        <v>-191.40379999999999</v>
      </c>
      <c r="K2190">
        <v>1.1202840000000001</v>
      </c>
      <c r="L2190">
        <v>340.43299999999999</v>
      </c>
      <c r="M2190">
        <v>1.5517690000000001E-2</v>
      </c>
      <c r="N2190">
        <v>-5.2651180000000001E-3</v>
      </c>
      <c r="O2190">
        <v>-0.99986589999999997</v>
      </c>
      <c r="P2190">
        <v>-2.3846849999999999E-2</v>
      </c>
      <c r="Q2190">
        <v>9.1826740000000004E-2</v>
      </c>
      <c r="R2190">
        <v>-0.99548959999999997</v>
      </c>
      <c r="S2190">
        <v>-0.1161804</v>
      </c>
      <c r="T2190">
        <v>-9.3543529999999997E-4</v>
      </c>
      <c r="U2190">
        <v>-3.0108950000000001</v>
      </c>
      <c r="V2190">
        <v>3.9334059999999997E-2</v>
      </c>
      <c r="W2190">
        <v>9.7047240000000007E-2</v>
      </c>
      <c r="X2190">
        <v>0.9945022</v>
      </c>
      <c r="Y2190">
        <v>5.4058439999999999E-2</v>
      </c>
      <c r="Z2190">
        <v>-4.9564129999999998E-3</v>
      </c>
      <c r="AA2190">
        <v>0.99852549999999995</v>
      </c>
      <c r="AB2190">
        <v>11</v>
      </c>
      <c r="AC2190">
        <v>-16.298699999999901</v>
      </c>
      <c r="AD2190">
        <v>-0.13120309999999899</v>
      </c>
      <c r="AE2190">
        <v>-422.24849</v>
      </c>
      <c r="AF2190">
        <v>22.849146157163201</v>
      </c>
      <c r="AG2190">
        <v>-0.13120309999999899</v>
      </c>
      <c r="AH2190">
        <v>421.94468478742101</v>
      </c>
      <c r="AI2190">
        <v>90.017789975718898</v>
      </c>
      <c r="AJ2190">
        <v>86.900346757355905</v>
      </c>
      <c r="AK2190">
        <v>422.56291568797297</v>
      </c>
      <c r="AL2190">
        <v>84.430837300462002</v>
      </c>
      <c r="AM2190">
        <v>87.735046163779202</v>
      </c>
      <c r="AN2190">
        <v>0.99999998043627003</v>
      </c>
    </row>
    <row r="2191" spans="1:40" x14ac:dyDescent="0.25">
      <c r="A2191" t="str">
        <f>"20190303161916898"</f>
        <v>20190303161916898</v>
      </c>
      <c r="B2191" t="str">
        <f>"1551601156884338"</f>
        <v>1551601156884338</v>
      </c>
      <c r="C2191" t="s">
        <v>40</v>
      </c>
      <c r="D2191">
        <v>4.1935949999999904</v>
      </c>
      <c r="E2191">
        <v>0.50557229999999997</v>
      </c>
      <c r="F2191" t="s">
        <v>48</v>
      </c>
      <c r="G2191">
        <v>-208.22190000000001</v>
      </c>
      <c r="H2191">
        <v>1.0313380000000001</v>
      </c>
      <c r="I2191">
        <v>-81.815510000000003</v>
      </c>
      <c r="J2191">
        <v>-191.40260000000001</v>
      </c>
      <c r="K2191">
        <v>1.120261</v>
      </c>
      <c r="L2191">
        <v>340.3272</v>
      </c>
      <c r="M2191">
        <v>1.5082959999999999E-2</v>
      </c>
      <c r="N2191">
        <v>-5.1420270000000004E-3</v>
      </c>
      <c r="O2191">
        <v>-0.99987329999999996</v>
      </c>
      <c r="P2191">
        <v>-2.4286950000000002E-2</v>
      </c>
      <c r="Q2191">
        <v>9.2104130000000006E-2</v>
      </c>
      <c r="R2191">
        <v>-0.99545349999999999</v>
      </c>
      <c r="S2191">
        <v>-0.11991880000000001</v>
      </c>
      <c r="T2191">
        <v>-6.3419339999999896E-4</v>
      </c>
      <c r="U2191">
        <v>-3.0107729999999999</v>
      </c>
      <c r="V2191">
        <v>3.9342509999999997E-2</v>
      </c>
      <c r="W2191">
        <v>9.7201469999999998E-2</v>
      </c>
      <c r="X2191">
        <v>0.9944868</v>
      </c>
      <c r="Y2191">
        <v>5.4863799999999997E-2</v>
      </c>
      <c r="Z2191">
        <v>-4.933209E-3</v>
      </c>
      <c r="AA2191">
        <v>0.99848159999999997</v>
      </c>
      <c r="AB2191">
        <v>11</v>
      </c>
      <c r="AC2191">
        <v>-16.819299999999998</v>
      </c>
      <c r="AD2191">
        <v>-8.8923000000000002E-2</v>
      </c>
      <c r="AE2191">
        <v>-422.142709999999</v>
      </c>
      <c r="AF2191">
        <v>23.184629683663498</v>
      </c>
      <c r="AG2191">
        <v>-8.8923000000000002E-2</v>
      </c>
      <c r="AH2191">
        <v>421.84098140231299</v>
      </c>
      <c r="AI2191">
        <v>90.012059603319699</v>
      </c>
      <c r="AJ2191">
        <v>86.854155059802807</v>
      </c>
      <c r="AK2191">
        <v>422.47763082953202</v>
      </c>
      <c r="AL2191">
        <v>84.421958577380707</v>
      </c>
      <c r="AM2191">
        <v>87.734525053865596</v>
      </c>
      <c r="AN2191">
        <v>0.99999997711874999</v>
      </c>
    </row>
    <row r="2192" spans="1:40" x14ac:dyDescent="0.25">
      <c r="A2192" t="str">
        <f>"20190303161916922"</f>
        <v>20190303161916922</v>
      </c>
      <c r="B2192" t="str">
        <f>"1551601156914595"</f>
        <v>1551601156914595</v>
      </c>
      <c r="C2192" t="s">
        <v>40</v>
      </c>
      <c r="D2192">
        <v>4.2425810000000004</v>
      </c>
      <c r="E2192">
        <v>0.50538240000000001</v>
      </c>
      <c r="F2192" t="s">
        <v>48</v>
      </c>
      <c r="G2192">
        <v>-208.0016</v>
      </c>
      <c r="H2192">
        <v>0.96707920000000003</v>
      </c>
      <c r="I2192">
        <v>-81.815479999999994</v>
      </c>
      <c r="J2192">
        <v>-191.4014</v>
      </c>
      <c r="K2192">
        <v>1.120239</v>
      </c>
      <c r="L2192">
        <v>340.20580000000001</v>
      </c>
      <c r="M2192">
        <v>1.457636E-2</v>
      </c>
      <c r="N2192">
        <v>-5.0004709999999898E-3</v>
      </c>
      <c r="O2192">
        <v>-0.99988140000000003</v>
      </c>
      <c r="P2192">
        <v>-2.546062E-2</v>
      </c>
      <c r="Q2192">
        <v>9.3079040000000002E-2</v>
      </c>
      <c r="R2192">
        <v>-0.99533340000000003</v>
      </c>
      <c r="S2192">
        <v>-0.118392899999999</v>
      </c>
      <c r="T2192">
        <v>-1.092553E-3</v>
      </c>
      <c r="U2192">
        <v>-3.0109560000000002</v>
      </c>
      <c r="V2192">
        <v>4.0011650000000003E-2</v>
      </c>
      <c r="W2192">
        <v>9.8034330000000003E-2</v>
      </c>
      <c r="X2192">
        <v>0.9943784</v>
      </c>
      <c r="Y2192">
        <v>5.385032E-2</v>
      </c>
      <c r="Z2192">
        <v>-4.639509E-3</v>
      </c>
      <c r="AA2192">
        <v>0.99853829999999999</v>
      </c>
      <c r="AB2192">
        <v>11</v>
      </c>
      <c r="AC2192">
        <v>-16.600200000000001</v>
      </c>
      <c r="AD2192">
        <v>-0.15315980000000001</v>
      </c>
      <c r="AE2192">
        <v>-422.02127999999999</v>
      </c>
      <c r="AF2192">
        <v>22.750043472407</v>
      </c>
      <c r="AG2192">
        <v>-0.15315980000000001</v>
      </c>
      <c r="AH2192">
        <v>421.734414079575</v>
      </c>
      <c r="AI2192">
        <v>90.0207776961647</v>
      </c>
      <c r="AJ2192">
        <v>86.912228937444198</v>
      </c>
      <c r="AK2192">
        <v>422.34761033414497</v>
      </c>
      <c r="AL2192">
        <v>84.374010519789493</v>
      </c>
      <c r="AM2192">
        <v>87.695783992211304</v>
      </c>
      <c r="AN2192">
        <v>1.0000000321904099</v>
      </c>
    </row>
    <row r="2193" spans="1:40" x14ac:dyDescent="0.25">
      <c r="A2193" t="str">
        <f>"20190303161916943"</f>
        <v>20190303161916943</v>
      </c>
      <c r="B2193" t="str">
        <f>"1551601156935092"</f>
        <v>1551601156935092</v>
      </c>
      <c r="C2193" t="s">
        <v>40</v>
      </c>
      <c r="D2193">
        <v>4.2644979999999997</v>
      </c>
      <c r="E2193">
        <v>0.50539420000000002</v>
      </c>
      <c r="F2193" t="s">
        <v>48</v>
      </c>
      <c r="G2193">
        <v>-208.2483</v>
      </c>
      <c r="H2193">
        <v>1.3277600000000001</v>
      </c>
      <c r="I2193">
        <v>-81.815609999999893</v>
      </c>
      <c r="J2193">
        <v>-191.40029999999999</v>
      </c>
      <c r="K2193">
        <v>1.120228</v>
      </c>
      <c r="L2193">
        <v>340.0949</v>
      </c>
      <c r="M2193">
        <v>1.411011E-2</v>
      </c>
      <c r="N2193">
        <v>-4.8615239999999999E-3</v>
      </c>
      <c r="O2193">
        <v>-0.99988880000000002</v>
      </c>
      <c r="P2193">
        <v>-2.7019890000000001E-2</v>
      </c>
      <c r="Q2193">
        <v>9.3838359999999996E-2</v>
      </c>
      <c r="R2193">
        <v>-0.99522109999999997</v>
      </c>
      <c r="S2193">
        <v>-0.12019349999999999</v>
      </c>
      <c r="T2193">
        <v>1.4805790000000001E-3</v>
      </c>
      <c r="U2193">
        <v>-3.0108950000000001</v>
      </c>
      <c r="V2193">
        <v>4.1105969999999999E-2</v>
      </c>
      <c r="W2193">
        <v>9.8654539999999999E-2</v>
      </c>
      <c r="X2193">
        <v>0.99427239999999995</v>
      </c>
      <c r="Y2193">
        <v>5.3981689999999999E-2</v>
      </c>
      <c r="Z2193">
        <v>-5.3539989999999999E-3</v>
      </c>
      <c r="AA2193">
        <v>0.99852759999999996</v>
      </c>
      <c r="AB2193">
        <v>11</v>
      </c>
      <c r="AC2193">
        <v>-16.847999999999999</v>
      </c>
      <c r="AD2193">
        <v>0.20753199999999999</v>
      </c>
      <c r="AE2193">
        <v>-421.91050999999999</v>
      </c>
      <c r="AF2193">
        <v>22.799590231573202</v>
      </c>
      <c r="AG2193">
        <v>0.20753199999999999</v>
      </c>
      <c r="AH2193">
        <v>421.63067499732699</v>
      </c>
      <c r="AI2193">
        <v>89.971839430128398</v>
      </c>
      <c r="AJ2193">
        <v>86.904757318304902</v>
      </c>
      <c r="AK2193">
        <v>422.24671755143299</v>
      </c>
      <c r="AL2193">
        <v>84.338301892202296</v>
      </c>
      <c r="AM2193">
        <v>87.6325822640909</v>
      </c>
      <c r="AN2193">
        <v>1.0000000122170001</v>
      </c>
    </row>
    <row r="2194" spans="1:40" x14ac:dyDescent="0.25">
      <c r="A2194" t="str">
        <f>"20190303161916967"</f>
        <v>20190303161916967</v>
      </c>
      <c r="B2194" t="str">
        <f>"1551601156954611"</f>
        <v>1551601156954611</v>
      </c>
      <c r="C2194" t="s">
        <v>40</v>
      </c>
      <c r="D2194">
        <v>4.2269259999999997</v>
      </c>
      <c r="E2194">
        <v>0.50532060000000001</v>
      </c>
      <c r="F2194" t="s">
        <v>48</v>
      </c>
      <c r="G2194">
        <v>-208.85130000000001</v>
      </c>
      <c r="H2194">
        <v>1.612927</v>
      </c>
      <c r="I2194">
        <v>-81.815700000000007</v>
      </c>
      <c r="J2194">
        <v>-191.39920000000001</v>
      </c>
      <c r="K2194">
        <v>1.1202049999999999</v>
      </c>
      <c r="L2194">
        <v>339.97460000000001</v>
      </c>
      <c r="M2194">
        <v>1.3603479999999999E-2</v>
      </c>
      <c r="N2194">
        <v>-4.6928730000000002E-3</v>
      </c>
      <c r="O2194">
        <v>-0.99989660000000002</v>
      </c>
      <c r="P2194">
        <v>-2.831782E-2</v>
      </c>
      <c r="Q2194">
        <v>9.5543790000000003E-2</v>
      </c>
      <c r="R2194">
        <v>-0.99502270000000004</v>
      </c>
      <c r="S2194">
        <v>-0.124527</v>
      </c>
      <c r="T2194">
        <v>3.5158400000000001E-3</v>
      </c>
      <c r="U2194">
        <v>-3.0106809999999999</v>
      </c>
      <c r="V2194">
        <v>4.1897869999999997E-2</v>
      </c>
      <c r="W2194">
        <v>0.1001909</v>
      </c>
      <c r="X2194">
        <v>0.99408569999999996</v>
      </c>
      <c r="Y2194">
        <v>5.4913410000000003E-2</v>
      </c>
      <c r="Z2194">
        <v>-5.860423E-3</v>
      </c>
      <c r="AA2194">
        <v>0.99847390000000003</v>
      </c>
      <c r="AB2194">
        <v>11</v>
      </c>
      <c r="AC2194">
        <v>-17.452100000000002</v>
      </c>
      <c r="AD2194">
        <v>0.49272199999999999</v>
      </c>
      <c r="AE2194">
        <v>-421.7903</v>
      </c>
      <c r="AF2194">
        <v>23.1883317707339</v>
      </c>
      <c r="AG2194">
        <v>0.49272199999999999</v>
      </c>
      <c r="AH2194">
        <v>421.51328411954398</v>
      </c>
      <c r="AI2194">
        <v>89.933126053116695</v>
      </c>
      <c r="AJ2194">
        <v>86.851212599863601</v>
      </c>
      <c r="AK2194">
        <v>422.15090926648799</v>
      </c>
      <c r="AL2194">
        <v>84.249836627526093</v>
      </c>
      <c r="AM2194">
        <v>87.586575089730701</v>
      </c>
      <c r="AN2194">
        <v>1.00000001344891</v>
      </c>
    </row>
    <row r="2195" spans="1:40" x14ac:dyDescent="0.25">
      <c r="A2195" t="str">
        <f>"20190303161916988"</f>
        <v>20190303161916988</v>
      </c>
      <c r="B2195" t="str">
        <f>"1551601156975107"</f>
        <v>1551601156975107</v>
      </c>
      <c r="C2195" t="s">
        <v>40</v>
      </c>
      <c r="D2195">
        <v>4.2539879999999997</v>
      </c>
      <c r="E2195">
        <v>0.50515889999999997</v>
      </c>
      <c r="F2195" t="s">
        <v>48</v>
      </c>
      <c r="G2195">
        <v>-209.34209999999999</v>
      </c>
      <c r="H2195">
        <v>2.360163</v>
      </c>
      <c r="I2195">
        <v>-81.815950000000001</v>
      </c>
      <c r="J2195">
        <v>-191.3982</v>
      </c>
      <c r="K2195">
        <v>1.120185</v>
      </c>
      <c r="L2195">
        <v>339.86340000000001</v>
      </c>
      <c r="M2195">
        <v>1.3136480000000001E-2</v>
      </c>
      <c r="N2195">
        <v>-4.5198299999999999E-3</v>
      </c>
      <c r="O2195">
        <v>-0.9999036</v>
      </c>
      <c r="P2195">
        <v>-2.9269360000000001E-2</v>
      </c>
      <c r="Q2195">
        <v>9.6266690000000002E-2</v>
      </c>
      <c r="R2195">
        <v>-0.99492530000000001</v>
      </c>
      <c r="S2195">
        <v>-0.12806699999999999</v>
      </c>
      <c r="T2195">
        <v>8.8502169999999901E-3</v>
      </c>
      <c r="U2195">
        <v>-3.010529</v>
      </c>
      <c r="V2195">
        <v>4.2383900000000002E-2</v>
      </c>
      <c r="W2195">
        <v>0.1007407</v>
      </c>
      <c r="X2195">
        <v>0.99400949999999999</v>
      </c>
      <c r="Y2195">
        <v>5.562098E-2</v>
      </c>
      <c r="Z2195">
        <v>-7.4568019999999898E-3</v>
      </c>
      <c r="AA2195">
        <v>0.99842410000000004</v>
      </c>
      <c r="AB2195">
        <v>12</v>
      </c>
      <c r="AC2195">
        <v>-17.9438999999999</v>
      </c>
      <c r="AD2195">
        <v>1.239978</v>
      </c>
      <c r="AE2195">
        <v>-421.67935</v>
      </c>
      <c r="AF2195">
        <v>23.4815873228297</v>
      </c>
      <c r="AG2195">
        <v>1.239978</v>
      </c>
      <c r="AH2195">
        <v>421.40360436209397</v>
      </c>
      <c r="AI2195">
        <v>89.831669069470607</v>
      </c>
      <c r="AJ2195">
        <v>86.810644356358907</v>
      </c>
      <c r="AK2195">
        <v>422.05914308068799</v>
      </c>
      <c r="AL2195">
        <v>84.218175051549807</v>
      </c>
      <c r="AM2195">
        <v>87.558425266657295</v>
      </c>
      <c r="AN2195">
        <v>0.99999998485297403</v>
      </c>
    </row>
    <row r="2196" spans="1:40" x14ac:dyDescent="0.25">
      <c r="A2196" t="str">
        <f>"20190303161917011"</f>
        <v>20190303161917011</v>
      </c>
      <c r="B2196" t="str">
        <f>"1551601157004387"</f>
        <v>1551601157004387</v>
      </c>
      <c r="C2196" t="s">
        <v>40</v>
      </c>
      <c r="D2196">
        <v>4.2587289999999998</v>
      </c>
      <c r="E2196">
        <v>0.50501560000000001</v>
      </c>
      <c r="F2196" t="s">
        <v>48</v>
      </c>
      <c r="G2196">
        <v>-209.58539999999999</v>
      </c>
      <c r="H2196">
        <v>2.8175460000000001</v>
      </c>
      <c r="I2196">
        <v>-81.816100000000006</v>
      </c>
      <c r="J2196">
        <v>-191.3972</v>
      </c>
      <c r="K2196">
        <v>1.120144</v>
      </c>
      <c r="L2196">
        <v>339.73970000000003</v>
      </c>
      <c r="M2196">
        <v>1.2619709999999999E-2</v>
      </c>
      <c r="N2196">
        <v>-4.3144050000000003E-3</v>
      </c>
      <c r="O2196">
        <v>-0.9999112</v>
      </c>
      <c r="P2196">
        <v>-2.959285E-2</v>
      </c>
      <c r="Q2196">
        <v>9.728407E-2</v>
      </c>
      <c r="R2196">
        <v>-0.99481699999999995</v>
      </c>
      <c r="S2196">
        <v>-0.12983699999999901</v>
      </c>
      <c r="T2196">
        <v>1.211739E-2</v>
      </c>
      <c r="U2196">
        <v>-3.010345</v>
      </c>
      <c r="V2196">
        <v>4.2192540000000001E-2</v>
      </c>
      <c r="W2196">
        <v>0.1015538</v>
      </c>
      <c r="X2196">
        <v>0.99393489999999995</v>
      </c>
      <c r="Y2196">
        <v>5.5693369999999999E-2</v>
      </c>
      <c r="Z2196">
        <v>-8.335248E-3</v>
      </c>
      <c r="AA2196">
        <v>0.99841310000000005</v>
      </c>
      <c r="AB2196">
        <v>12</v>
      </c>
      <c r="AC2196">
        <v>-18.188199999999899</v>
      </c>
      <c r="AD2196">
        <v>1.6974020000000001</v>
      </c>
      <c r="AE2196">
        <v>-421.55579999999998</v>
      </c>
      <c r="AF2196">
        <v>23.506331935389198</v>
      </c>
      <c r="AG2196">
        <v>1.6974020000000001</v>
      </c>
      <c r="AH2196">
        <v>421.28588070880801</v>
      </c>
      <c r="AI2196">
        <v>89.769509458275095</v>
      </c>
      <c r="AJ2196">
        <v>86.806400080552606</v>
      </c>
      <c r="AK2196">
        <v>421.944572306841</v>
      </c>
      <c r="AL2196">
        <v>84.171347696829102</v>
      </c>
      <c r="AM2196">
        <v>87.569253328015094</v>
      </c>
      <c r="AN2196">
        <v>0.99999998508205001</v>
      </c>
    </row>
    <row r="2197" spans="1:40" x14ac:dyDescent="0.25">
      <c r="A2197" t="str">
        <f>"20190303161917034"</f>
        <v>20190303161917034</v>
      </c>
      <c r="B2197" t="str">
        <f>"1551601157024884"</f>
        <v>1551601157024884</v>
      </c>
      <c r="C2197" t="s">
        <v>40</v>
      </c>
      <c r="D2197">
        <v>4.2746940000000002</v>
      </c>
      <c r="E2197">
        <v>0.50492289999999995</v>
      </c>
      <c r="F2197" t="s">
        <v>48</v>
      </c>
      <c r="G2197">
        <v>-209.524</v>
      </c>
      <c r="H2197">
        <v>3.2952430000000001</v>
      </c>
      <c r="I2197">
        <v>-81.816249999999997</v>
      </c>
      <c r="J2197">
        <v>-191.39619999999999</v>
      </c>
      <c r="K2197">
        <v>1.120106</v>
      </c>
      <c r="L2197">
        <v>339.61509999999998</v>
      </c>
      <c r="M2197">
        <v>1.210263E-2</v>
      </c>
      <c r="N2197">
        <v>-4.1004680000000003E-3</v>
      </c>
      <c r="O2197">
        <v>-0.99991859999999999</v>
      </c>
      <c r="P2197">
        <v>-2.955584E-2</v>
      </c>
      <c r="Q2197">
        <v>9.8301189999999997E-2</v>
      </c>
      <c r="R2197">
        <v>-0.99471810000000005</v>
      </c>
      <c r="S2197">
        <v>-0.12944030000000001</v>
      </c>
      <c r="T2197">
        <v>1.5532020000000001E-2</v>
      </c>
      <c r="U2197">
        <v>-3.0102540000000002</v>
      </c>
      <c r="V2197">
        <v>4.1640829999999997E-2</v>
      </c>
      <c r="W2197">
        <v>0.1023579</v>
      </c>
      <c r="X2197">
        <v>0.99387570000000003</v>
      </c>
      <c r="Y2197">
        <v>5.5046789999999998E-2</v>
      </c>
      <c r="Z2197">
        <v>-9.254211E-3</v>
      </c>
      <c r="AA2197">
        <v>0.99844089999999996</v>
      </c>
      <c r="AB2197">
        <v>12</v>
      </c>
      <c r="AC2197">
        <v>-18.127800000000001</v>
      </c>
      <c r="AD2197">
        <v>2.1751369999999999</v>
      </c>
      <c r="AE2197">
        <v>-421.43135000000001</v>
      </c>
      <c r="AF2197">
        <v>23.226324040236602</v>
      </c>
      <c r="AG2197">
        <v>2.1751369999999999</v>
      </c>
      <c r="AH2197">
        <v>421.16988935902998</v>
      </c>
      <c r="AI2197">
        <v>89.704546801291897</v>
      </c>
      <c r="AJ2197">
        <v>86.843497646529897</v>
      </c>
      <c r="AK2197">
        <v>421.81544430246799</v>
      </c>
      <c r="AL2197">
        <v>84.125034922701104</v>
      </c>
      <c r="AM2197">
        <v>87.600857681742099</v>
      </c>
      <c r="AN2197">
        <v>1.0000000027329901</v>
      </c>
    </row>
    <row r="2198" spans="1:40" x14ac:dyDescent="0.25">
      <c r="A2198" t="str">
        <f>"20190303161917057"</f>
        <v>20190303161917057</v>
      </c>
      <c r="B2198" t="str">
        <f>"1551601157044403"</f>
        <v>1551601157044403</v>
      </c>
      <c r="C2198" t="s">
        <v>40</v>
      </c>
      <c r="D2198">
        <v>4.2724199999999897</v>
      </c>
      <c r="E2198">
        <v>0.50483690000000003</v>
      </c>
      <c r="F2198" t="s">
        <v>48</v>
      </c>
      <c r="G2198">
        <v>-209.41890000000001</v>
      </c>
      <c r="H2198">
        <v>3.652517</v>
      </c>
      <c r="I2198">
        <v>-81.816379999999995</v>
      </c>
      <c r="J2198">
        <v>-191.39529999999999</v>
      </c>
      <c r="K2198">
        <v>1.1200650000000001</v>
      </c>
      <c r="L2198">
        <v>339.4862</v>
      </c>
      <c r="M2198">
        <v>1.1570789999999999E-2</v>
      </c>
      <c r="N2198">
        <v>-3.8762549999999999E-3</v>
      </c>
      <c r="O2198">
        <v>-0.99992570000000003</v>
      </c>
      <c r="P2198">
        <v>-2.916757E-2</v>
      </c>
      <c r="Q2198">
        <v>9.8832989999999996E-2</v>
      </c>
      <c r="R2198">
        <v>-0.99467660000000002</v>
      </c>
      <c r="S2198">
        <v>-0.1287384</v>
      </c>
      <c r="T2198">
        <v>1.808941E-2</v>
      </c>
      <c r="U2198">
        <v>-3.010345</v>
      </c>
      <c r="V2198">
        <v>4.072394E-2</v>
      </c>
      <c r="W2198">
        <v>0.1026671</v>
      </c>
      <c r="X2198">
        <v>0.99388180000000004</v>
      </c>
      <c r="Y2198">
        <v>5.4281870000000003E-2</v>
      </c>
      <c r="Z2198">
        <v>-9.878296E-3</v>
      </c>
      <c r="AA2198">
        <v>0.99847680000000005</v>
      </c>
      <c r="AB2198">
        <v>12</v>
      </c>
      <c r="AC2198">
        <v>-18.023599999999998</v>
      </c>
      <c r="AD2198">
        <v>2.5324520000000001</v>
      </c>
      <c r="AE2198">
        <v>-421.30257999999998</v>
      </c>
      <c r="AF2198">
        <v>22.896407164943799</v>
      </c>
      <c r="AG2198">
        <v>2.5324520000000001</v>
      </c>
      <c r="AH2198">
        <v>421.05064146509301</v>
      </c>
      <c r="AI2198">
        <v>89.655901228888297</v>
      </c>
      <c r="AJ2198">
        <v>86.887365677240098</v>
      </c>
      <c r="AK2198">
        <v>421.68033088153601</v>
      </c>
      <c r="AL2198">
        <v>84.107225240062505</v>
      </c>
      <c r="AM2198">
        <v>87.653639107649695</v>
      </c>
      <c r="AN2198">
        <v>1.00000000254138</v>
      </c>
    </row>
    <row r="2199" spans="1:40" x14ac:dyDescent="0.25">
      <c r="A2199" t="str">
        <f>"20190303161917079"</f>
        <v>20190303161917079</v>
      </c>
      <c r="B2199" t="str">
        <f>"1551601157064898"</f>
        <v>1551601157064898</v>
      </c>
      <c r="C2199" t="s">
        <v>40</v>
      </c>
      <c r="D2199">
        <v>4.3057119999999998</v>
      </c>
      <c r="E2199">
        <v>0.50468059999999904</v>
      </c>
      <c r="F2199" t="s">
        <v>48</v>
      </c>
      <c r="G2199">
        <v>-209.1643</v>
      </c>
      <c r="H2199">
        <v>3.8281610000000001</v>
      </c>
      <c r="I2199">
        <v>-81.81644</v>
      </c>
      <c r="J2199">
        <v>-191.39439999999999</v>
      </c>
      <c r="K2199">
        <v>1.120031</v>
      </c>
      <c r="L2199">
        <v>339.3655</v>
      </c>
      <c r="M2199">
        <v>1.1076020000000001E-2</v>
      </c>
      <c r="N2199">
        <v>-3.6688689999999999E-3</v>
      </c>
      <c r="O2199">
        <v>-0.99993220000000005</v>
      </c>
      <c r="P2199">
        <v>-2.921288E-2</v>
      </c>
      <c r="Q2199">
        <v>9.9168610000000004E-2</v>
      </c>
      <c r="R2199">
        <v>-0.99464189999999997</v>
      </c>
      <c r="S2199">
        <v>-0.12696840000000001</v>
      </c>
      <c r="T2199">
        <v>1.935065E-2</v>
      </c>
      <c r="U2199">
        <v>-3.0104060000000001</v>
      </c>
      <c r="V2199">
        <v>4.0277609999999998E-2</v>
      </c>
      <c r="W2199">
        <v>0.1027961</v>
      </c>
      <c r="X2199">
        <v>0.99388659999999995</v>
      </c>
      <c r="Y2199">
        <v>5.3200820000000003E-2</v>
      </c>
      <c r="Z2199">
        <v>-1.0089399999999899E-2</v>
      </c>
      <c r="AA2199">
        <v>0.99853289999999995</v>
      </c>
      <c r="AB2199">
        <v>12</v>
      </c>
      <c r="AC2199">
        <v>-17.7699</v>
      </c>
      <c r="AD2199">
        <v>2.7081300000000001</v>
      </c>
      <c r="AE2199">
        <v>-421.18194</v>
      </c>
      <c r="AF2199">
        <v>22.432933891874601</v>
      </c>
      <c r="AG2199">
        <v>2.7081300000000001</v>
      </c>
      <c r="AH2199">
        <v>420.941910929448</v>
      </c>
      <c r="AI2199">
        <v>89.631914965743505</v>
      </c>
      <c r="AJ2199">
        <v>86.9494657551827</v>
      </c>
      <c r="AK2199">
        <v>421.54793661934798</v>
      </c>
      <c r="AL2199">
        <v>84.099794452832597</v>
      </c>
      <c r="AM2199">
        <v>87.679337894745998</v>
      </c>
      <c r="AN2199">
        <v>0.99999994885103904</v>
      </c>
    </row>
    <row r="2200" spans="1:40" x14ac:dyDescent="0.25">
      <c r="A2200" t="str">
        <f>"20190303161917100"</f>
        <v>20190303161917100</v>
      </c>
      <c r="B2200" t="str">
        <f>"1551601157095154"</f>
        <v>1551601157095154</v>
      </c>
      <c r="C2200" t="s">
        <v>40</v>
      </c>
      <c r="D2200">
        <v>4.3303289999999999</v>
      </c>
      <c r="E2200">
        <v>0.50455050000000001</v>
      </c>
      <c r="F2200" t="s">
        <v>48</v>
      </c>
      <c r="G2200">
        <v>-208.9744</v>
      </c>
      <c r="H2200">
        <v>3.9835859999999998</v>
      </c>
      <c r="I2200">
        <v>-81.816479999999999</v>
      </c>
      <c r="J2200">
        <v>-191.39359999999999</v>
      </c>
      <c r="K2200">
        <v>1.1200079999999999</v>
      </c>
      <c r="L2200">
        <v>339.24619999999999</v>
      </c>
      <c r="M2200">
        <v>1.058888E-2</v>
      </c>
      <c r="N2200">
        <v>-3.4716669999999999E-3</v>
      </c>
      <c r="O2200">
        <v>-0.99993810000000005</v>
      </c>
      <c r="P2200">
        <v>-2.9170370000000001E-2</v>
      </c>
      <c r="Q2200">
        <v>9.9197610000000006E-2</v>
      </c>
      <c r="R2200">
        <v>-0.99464030000000003</v>
      </c>
      <c r="S2200">
        <v>-0.12565609999999999</v>
      </c>
      <c r="T2200">
        <v>2.0467760000000002E-2</v>
      </c>
      <c r="U2200">
        <v>-3.0104679999999999</v>
      </c>
      <c r="V2200">
        <v>3.9751420000000003E-2</v>
      </c>
      <c r="W2200">
        <v>0.1026292</v>
      </c>
      <c r="X2200">
        <v>0.99392510000000001</v>
      </c>
      <c r="Y2200">
        <v>5.227892E-2</v>
      </c>
      <c r="Z2200">
        <v>-1.0262840000000001E-2</v>
      </c>
      <c r="AA2200">
        <v>0.99857980000000002</v>
      </c>
      <c r="AB2200">
        <v>12</v>
      </c>
      <c r="AC2200">
        <v>-17.5808</v>
      </c>
      <c r="AD2200">
        <v>2.863578</v>
      </c>
      <c r="AE2200">
        <v>-421.06268</v>
      </c>
      <c r="AF2200">
        <v>22.037405067574099</v>
      </c>
      <c r="AG2200">
        <v>2.863578</v>
      </c>
      <c r="AH2200">
        <v>420.83348105055802</v>
      </c>
      <c r="AI2200">
        <v>89.610668060888202</v>
      </c>
      <c r="AJ2200">
        <v>87.002381930008696</v>
      </c>
      <c r="AK2200">
        <v>421.41982164369603</v>
      </c>
      <c r="AL2200">
        <v>84.109408362542396</v>
      </c>
      <c r="AM2200">
        <v>87.709711338337499</v>
      </c>
      <c r="AN2200">
        <v>1.0000000162473299</v>
      </c>
    </row>
    <row r="2201" spans="1:40" x14ac:dyDescent="0.25">
      <c r="A2201" t="str">
        <f>"20190303161917121"</f>
        <v>20190303161917121</v>
      </c>
      <c r="B2201" t="str">
        <f>"1551601157114675"</f>
        <v>1551601157114675</v>
      </c>
      <c r="C2201" t="s">
        <v>40</v>
      </c>
      <c r="D2201">
        <v>4.3190920000000004</v>
      </c>
      <c r="E2201">
        <v>0.50365769999999999</v>
      </c>
      <c r="F2201" t="s">
        <v>48</v>
      </c>
      <c r="G2201">
        <v>-208.8468</v>
      </c>
      <c r="H2201">
        <v>3.9538129999999998</v>
      </c>
      <c r="I2201">
        <v>-81.816469999999995</v>
      </c>
      <c r="J2201">
        <v>-191.3929</v>
      </c>
      <c r="K2201">
        <v>1.1199790000000001</v>
      </c>
      <c r="L2201">
        <v>339.11919999999998</v>
      </c>
      <c r="M2201">
        <v>1.007162E-2</v>
      </c>
      <c r="N2201">
        <v>-3.2749010000000002E-3</v>
      </c>
      <c r="O2201">
        <v>-0.9999441</v>
      </c>
      <c r="P2201">
        <v>-2.9658899999999998E-2</v>
      </c>
      <c r="Q2201">
        <v>0.10016369999999999</v>
      </c>
      <c r="R2201">
        <v>-0.994529</v>
      </c>
      <c r="S2201">
        <v>-0.12478640000000001</v>
      </c>
      <c r="T2201">
        <v>2.0261049999999999E-2</v>
      </c>
      <c r="U2201">
        <v>-3.0104980000000001</v>
      </c>
      <c r="V2201">
        <v>3.9725829999999997E-2</v>
      </c>
      <c r="W2201">
        <v>0.103399</v>
      </c>
      <c r="X2201">
        <v>0.99384629999999996</v>
      </c>
      <c r="Y2201">
        <v>5.1473999999999999E-2</v>
      </c>
      <c r="Z2201">
        <v>-9.9975949999999997E-3</v>
      </c>
      <c r="AA2201">
        <v>0.99862430000000002</v>
      </c>
      <c r="AB2201">
        <v>13</v>
      </c>
      <c r="AC2201">
        <v>-17.453900000000001</v>
      </c>
      <c r="AD2201">
        <v>2.8338339999999902</v>
      </c>
      <c r="AE2201">
        <v>-420.93567000000002</v>
      </c>
      <c r="AF2201">
        <v>21.691559364006899</v>
      </c>
      <c r="AG2201">
        <v>2.8338339999999902</v>
      </c>
      <c r="AH2201">
        <v>420.719494456353</v>
      </c>
      <c r="AI2201">
        <v>89.614591413275903</v>
      </c>
      <c r="AJ2201">
        <v>87.048543469589504</v>
      </c>
      <c r="AK2201">
        <v>421.28784385309598</v>
      </c>
      <c r="AL2201">
        <v>84.065065958379407</v>
      </c>
      <c r="AM2201">
        <v>87.711002862067105</v>
      </c>
      <c r="AN2201">
        <v>0.99999998139693902</v>
      </c>
    </row>
    <row r="2202" spans="1:40" x14ac:dyDescent="0.25">
      <c r="A2202" t="str">
        <f>"20190303161917144"</f>
        <v>20190303161917144</v>
      </c>
      <c r="B2202" t="str">
        <f>"1551601157135171"</f>
        <v>1551601157135171</v>
      </c>
      <c r="C2202" t="s">
        <v>40</v>
      </c>
      <c r="D2202">
        <v>4.3590770000000001</v>
      </c>
      <c r="E2202">
        <v>0.47272459999999999</v>
      </c>
      <c r="F2202" t="s">
        <v>48</v>
      </c>
      <c r="G2202">
        <v>-208.06659999999999</v>
      </c>
      <c r="H2202">
        <v>4.0898779999999997</v>
      </c>
      <c r="I2202">
        <v>-81.816519999999997</v>
      </c>
      <c r="J2202">
        <v>-191.3921</v>
      </c>
      <c r="K2202">
        <v>1.119956</v>
      </c>
      <c r="L2202">
        <v>338.98610000000002</v>
      </c>
      <c r="M2202">
        <v>9.5313359999999996E-3</v>
      </c>
      <c r="N2202">
        <v>-3.0861619999999999E-3</v>
      </c>
      <c r="O2202">
        <v>-0.99995009999999995</v>
      </c>
      <c r="P2202">
        <v>-2.9857519999999999E-2</v>
      </c>
      <c r="Q2202">
        <v>0.1007796</v>
      </c>
      <c r="R2202">
        <v>-0.99446080000000003</v>
      </c>
      <c r="S2202">
        <v>-0.1192627</v>
      </c>
      <c r="T2202">
        <v>2.1242859999999999E-2</v>
      </c>
      <c r="U2202">
        <v>-3.010834</v>
      </c>
      <c r="V2202">
        <v>3.938792E-2</v>
      </c>
      <c r="W2202">
        <v>0.1038273</v>
      </c>
      <c r="X2202">
        <v>0.99381509999999995</v>
      </c>
      <c r="Y2202">
        <v>4.9100530000000003E-2</v>
      </c>
      <c r="Z2202">
        <v>-1.013443E-2</v>
      </c>
      <c r="AA2202">
        <v>0.99874240000000003</v>
      </c>
      <c r="AB2202">
        <v>13</v>
      </c>
      <c r="AC2202">
        <v>-16.674499999999899</v>
      </c>
      <c r="AD2202">
        <v>2.9699219999999902</v>
      </c>
      <c r="AE2202">
        <v>-420.80261999999999</v>
      </c>
      <c r="AF2202">
        <v>20.6835430072103</v>
      </c>
      <c r="AG2202">
        <v>2.9699219999999902</v>
      </c>
      <c r="AH2202">
        <v>420.60365599973801</v>
      </c>
      <c r="AI2202">
        <v>89.5959241020566</v>
      </c>
      <c r="AJ2202">
        <v>87.184699163250897</v>
      </c>
      <c r="AK2202">
        <v>421.12238699499602</v>
      </c>
      <c r="AL2202">
        <v>84.040393399386801</v>
      </c>
      <c r="AM2202">
        <v>87.730381568863905</v>
      </c>
      <c r="AN2202">
        <v>0.99999998472761298</v>
      </c>
    </row>
    <row r="2203" spans="1:40" x14ac:dyDescent="0.25">
      <c r="A2203" t="str">
        <f>"20190303161917167"</f>
        <v>20190303161917167</v>
      </c>
      <c r="B2203" t="str">
        <f>"1551601157154691"</f>
        <v>1551601157154691</v>
      </c>
      <c r="C2203" t="s">
        <v>40</v>
      </c>
      <c r="D2203">
        <v>4.3393579999999998</v>
      </c>
      <c r="E2203">
        <v>0.47256789999999999</v>
      </c>
      <c r="F2203" t="s">
        <v>41</v>
      </c>
      <c r="G2203">
        <v>-185.53800000000001</v>
      </c>
      <c r="H2203" s="1">
        <v>-4.832274E-6</v>
      </c>
      <c r="I2203">
        <v>199.05199999999999</v>
      </c>
      <c r="J2203">
        <v>-191.39150000000001</v>
      </c>
      <c r="K2203">
        <v>1.1199330000000001</v>
      </c>
      <c r="L2203">
        <v>338.8562</v>
      </c>
      <c r="M2203">
        <v>9.0049919999999999E-3</v>
      </c>
      <c r="N2203">
        <v>-2.9208770000000001E-3</v>
      </c>
      <c r="O2203">
        <v>-0.99995529999999999</v>
      </c>
      <c r="P2203">
        <v>-3.038157E-2</v>
      </c>
      <c r="Q2203">
        <v>0.1020008</v>
      </c>
      <c r="R2203">
        <v>-0.99432019999999999</v>
      </c>
      <c r="S2203">
        <v>0.12646479999999999</v>
      </c>
      <c r="T2203">
        <v>-2.419412E-2</v>
      </c>
      <c r="U2203">
        <v>-3.0229490000000001</v>
      </c>
      <c r="V2203">
        <v>3.9389100000000003E-2</v>
      </c>
      <c r="W2203">
        <v>0.1048834</v>
      </c>
      <c r="X2203">
        <v>0.99370420000000004</v>
      </c>
      <c r="Y2203">
        <v>-3.279845E-2</v>
      </c>
      <c r="Z2203">
        <v>5.0768219999999999E-3</v>
      </c>
      <c r="AA2203">
        <v>0.99944909999999998</v>
      </c>
      <c r="AB2203">
        <v>13</v>
      </c>
      <c r="AC2203">
        <v>5.8535000000000199</v>
      </c>
      <c r="AD2203">
        <v>-1.1199378322739999</v>
      </c>
      <c r="AE2203">
        <v>-139.80419999999901</v>
      </c>
      <c r="AF2203">
        <v>-4.5940274378567096</v>
      </c>
      <c r="AG2203">
        <v>-1.1199378322739999</v>
      </c>
      <c r="AH2203">
        <v>139.84228413222101</v>
      </c>
      <c r="AI2203">
        <v>90.458600518260894</v>
      </c>
      <c r="AJ2203">
        <v>91.881575060358699</v>
      </c>
      <c r="AK2203">
        <v>139.92220617244701</v>
      </c>
      <c r="AL2203">
        <v>83.979551419909996</v>
      </c>
      <c r="AM2203">
        <v>87.7300606077753</v>
      </c>
      <c r="AN2203">
        <v>1.0000000329459999</v>
      </c>
    </row>
    <row r="2204" spans="1:40" x14ac:dyDescent="0.25">
      <c r="A2204" t="str">
        <f>"20190303161917188"</f>
        <v>20190303161917188</v>
      </c>
      <c r="B2204" t="str">
        <f>"1551601157174211"</f>
        <v>1551601157174211</v>
      </c>
      <c r="C2204" t="s">
        <v>40</v>
      </c>
      <c r="D2204">
        <v>4.3688840000000004</v>
      </c>
      <c r="E2204">
        <v>0.4724932</v>
      </c>
      <c r="F2204" t="s">
        <v>41</v>
      </c>
      <c r="G2204">
        <v>-181.65979999999999</v>
      </c>
      <c r="H2204" s="1">
        <v>-4.1474719999999998E-6</v>
      </c>
      <c r="I2204">
        <v>105.3146</v>
      </c>
      <c r="J2204">
        <v>-191.39089999999999</v>
      </c>
      <c r="K2204">
        <v>1.1199159999999999</v>
      </c>
      <c r="L2204">
        <v>338.72070000000002</v>
      </c>
      <c r="M2204">
        <v>8.4561610000000002E-3</v>
      </c>
      <c r="N2204">
        <v>-2.769653E-3</v>
      </c>
      <c r="O2204">
        <v>-0.99996059999999998</v>
      </c>
      <c r="P2204">
        <v>-3.1036060000000001E-2</v>
      </c>
      <c r="Q2204">
        <v>0.10292320000000001</v>
      </c>
      <c r="R2204">
        <v>-0.99420509999999995</v>
      </c>
      <c r="S2204">
        <v>0.125946</v>
      </c>
      <c r="T2204">
        <v>-1.449406E-2</v>
      </c>
      <c r="U2204">
        <v>-3.0224609999999998</v>
      </c>
      <c r="V2204">
        <v>3.9498650000000003E-2</v>
      </c>
      <c r="W2204">
        <v>0.105654399999999</v>
      </c>
      <c r="X2204">
        <v>0.99361809999999995</v>
      </c>
      <c r="Y2204">
        <v>-3.3183120000000003E-2</v>
      </c>
      <c r="Z2204">
        <v>2.0225870000000002E-3</v>
      </c>
      <c r="AA2204">
        <v>0.99944719999999998</v>
      </c>
      <c r="AB2204">
        <v>13</v>
      </c>
      <c r="AC2204">
        <v>9.7310999999999908</v>
      </c>
      <c r="AD2204">
        <v>-1.119920147472</v>
      </c>
      <c r="AE2204">
        <v>-233.40610000000001</v>
      </c>
      <c r="AF2204">
        <v>-7.7568470450230196</v>
      </c>
      <c r="AG2204">
        <v>-1.119920147472</v>
      </c>
      <c r="AH2204">
        <v>233.474676983477</v>
      </c>
      <c r="AI2204">
        <v>90.274679991022197</v>
      </c>
      <c r="AJ2204">
        <v>91.902866681173805</v>
      </c>
      <c r="AK2204">
        <v>233.606180761031</v>
      </c>
      <c r="AL2204">
        <v>83.935129126031299</v>
      </c>
      <c r="AM2204">
        <v>87.723556988152197</v>
      </c>
      <c r="AN2204">
        <v>0.99999996211939501</v>
      </c>
    </row>
    <row r="2205" spans="1:40" x14ac:dyDescent="0.25">
      <c r="A2205" t="str">
        <f>"20190303161917211"</f>
        <v>20190303161917211</v>
      </c>
      <c r="B2205" t="str">
        <f>"1551601157204467"</f>
        <v>1551601157204467</v>
      </c>
      <c r="C2205" t="s">
        <v>40</v>
      </c>
      <c r="D2205">
        <v>4.4057839999999997</v>
      </c>
      <c r="E2205">
        <v>0.47274270000000002</v>
      </c>
      <c r="F2205" t="s">
        <v>41</v>
      </c>
      <c r="G2205">
        <v>-179.95779999999999</v>
      </c>
      <c r="H2205">
        <v>8.0410259999999997E-3</v>
      </c>
      <c r="I2205">
        <v>61.71293</v>
      </c>
      <c r="J2205">
        <v>-191.3904</v>
      </c>
      <c r="K2205">
        <v>1.1199049999999999</v>
      </c>
      <c r="L2205">
        <v>338.58100000000002</v>
      </c>
      <c r="M2205">
        <v>7.8908480000000007E-3</v>
      </c>
      <c r="N2205">
        <v>-2.6354170000000001E-3</v>
      </c>
      <c r="O2205">
        <v>-0.99996560000000001</v>
      </c>
      <c r="P2205">
        <v>-3.1905259999999998E-2</v>
      </c>
      <c r="Q2205">
        <v>0.1034901</v>
      </c>
      <c r="R2205">
        <v>-0.99411879999999997</v>
      </c>
      <c r="S2205">
        <v>0.1247559</v>
      </c>
      <c r="T2205">
        <v>-1.2132530000000001E-2</v>
      </c>
      <c r="U2205">
        <v>-3.0226440000000001</v>
      </c>
      <c r="V2205">
        <v>3.9806759999999997E-2</v>
      </c>
      <c r="W2205">
        <v>0.1060873</v>
      </c>
      <c r="X2205">
        <v>0.99355970000000005</v>
      </c>
      <c r="Y2205">
        <v>-3.335287E-2</v>
      </c>
      <c r="Z2205">
        <v>1.3758539999999999E-3</v>
      </c>
      <c r="AA2205">
        <v>0.99944270000000002</v>
      </c>
      <c r="AB2205">
        <v>13</v>
      </c>
      <c r="AC2205">
        <v>11.432600000000001</v>
      </c>
      <c r="AD2205">
        <v>-1.111863974</v>
      </c>
      <c r="AE2205">
        <v>-276.86806999999999</v>
      </c>
      <c r="AF2205">
        <v>-9.2473641909749595</v>
      </c>
      <c r="AG2205">
        <v>-1.111863974</v>
      </c>
      <c r="AH2205">
        <v>276.94520461730099</v>
      </c>
      <c r="AI2205">
        <v>90.229898501917503</v>
      </c>
      <c r="AJ2205">
        <v>91.912429436029896</v>
      </c>
      <c r="AK2205">
        <v>277.10177976060697</v>
      </c>
      <c r="AL2205">
        <v>83.910185738909703</v>
      </c>
      <c r="AM2205">
        <v>87.705683745623602</v>
      </c>
      <c r="AN2205">
        <v>0.99999998541353796</v>
      </c>
    </row>
    <row r="2206" spans="1:40" x14ac:dyDescent="0.25">
      <c r="A2206" t="str">
        <f>"20190303161917235"</f>
        <v>20190303161917235</v>
      </c>
      <c r="B2206" t="str">
        <f>"1551601157224962"</f>
        <v>1551601157224962</v>
      </c>
      <c r="C2206" t="s">
        <v>40</v>
      </c>
      <c r="D2206">
        <v>4.4049969999999998</v>
      </c>
      <c r="E2206">
        <v>0.47272890000000001</v>
      </c>
      <c r="F2206" t="s">
        <v>41</v>
      </c>
      <c r="G2206">
        <v>-181.89840000000001</v>
      </c>
      <c r="H2206" s="1">
        <v>-5.659469E-6</v>
      </c>
      <c r="I2206">
        <v>99.475239999999999</v>
      </c>
      <c r="J2206">
        <v>-191.38990000000001</v>
      </c>
      <c r="K2206">
        <v>1.1198950000000001</v>
      </c>
      <c r="L2206">
        <v>338.43349999999998</v>
      </c>
      <c r="M2206">
        <v>7.2943299999999999E-3</v>
      </c>
      <c r="N2206">
        <v>-2.5168780000000002E-3</v>
      </c>
      <c r="O2206">
        <v>-0.99997009999999997</v>
      </c>
      <c r="P2206">
        <v>-3.2236540000000001E-2</v>
      </c>
      <c r="Q2206">
        <v>0.10380929999999999</v>
      </c>
      <c r="R2206">
        <v>-0.99407460000000003</v>
      </c>
      <c r="S2206">
        <v>0.1200104</v>
      </c>
      <c r="T2206">
        <v>-1.4159440000000001E-2</v>
      </c>
      <c r="U2206">
        <v>-3.0231020000000002</v>
      </c>
      <c r="V2206">
        <v>3.9546350000000001E-2</v>
      </c>
      <c r="W2206">
        <v>0.1062879</v>
      </c>
      <c r="X2206">
        <v>0.99354869999999995</v>
      </c>
      <c r="Y2206">
        <v>-3.2376469999999997E-2</v>
      </c>
      <c r="Z2206">
        <v>2.1639369999999999E-3</v>
      </c>
      <c r="AA2206">
        <v>0.99947339999999996</v>
      </c>
      <c r="AB2206">
        <v>14</v>
      </c>
      <c r="AC2206">
        <v>9.4915000000000003</v>
      </c>
      <c r="AD2206">
        <v>-1.119900659469</v>
      </c>
      <c r="AE2206">
        <v>-238.95826</v>
      </c>
      <c r="AF2206">
        <v>-7.7480314259863503</v>
      </c>
      <c r="AG2206">
        <v>-1.119900659469</v>
      </c>
      <c r="AH2206">
        <v>239.01589556143199</v>
      </c>
      <c r="AI2206">
        <v>90.268314479855803</v>
      </c>
      <c r="AJ2206">
        <v>91.856671917982695</v>
      </c>
      <c r="AK2206">
        <v>239.144066410812</v>
      </c>
      <c r="AL2206">
        <v>83.898627097485402</v>
      </c>
      <c r="AM2206">
        <v>87.720651735719898</v>
      </c>
      <c r="AN2206">
        <v>1.00000002537821</v>
      </c>
    </row>
    <row r="2207" spans="1:40" x14ac:dyDescent="0.25">
      <c r="A2207" t="str">
        <f>"20190303161917258"</f>
        <v>20190303161917258</v>
      </c>
      <c r="B2207" t="str">
        <f>"1551601157244483"</f>
        <v>1551601157244483</v>
      </c>
      <c r="C2207" t="s">
        <v>40</v>
      </c>
      <c r="D2207">
        <v>4.4314629999999999</v>
      </c>
      <c r="E2207">
        <v>0.47278609999999999</v>
      </c>
      <c r="F2207" t="s">
        <v>41</v>
      </c>
      <c r="G2207">
        <v>-182.2654</v>
      </c>
      <c r="H2207" s="1">
        <v>-4.353136E-6</v>
      </c>
      <c r="I2207">
        <v>106.3925</v>
      </c>
      <c r="J2207">
        <v>-191.3895</v>
      </c>
      <c r="K2207">
        <v>1.119883</v>
      </c>
      <c r="L2207">
        <v>338.29390000000001</v>
      </c>
      <c r="M2207">
        <v>6.7299480000000004E-3</v>
      </c>
      <c r="N2207">
        <v>-2.4250750000000001E-3</v>
      </c>
      <c r="O2207">
        <v>-0.99997440000000004</v>
      </c>
      <c r="P2207">
        <v>-3.2700319999999998E-2</v>
      </c>
      <c r="Q2207">
        <v>0.103778</v>
      </c>
      <c r="R2207">
        <v>-0.99406289999999997</v>
      </c>
      <c r="S2207">
        <v>0.11888120000000001</v>
      </c>
      <c r="T2207">
        <v>-1.459098E-2</v>
      </c>
      <c r="U2207">
        <v>-3.0232239999999999</v>
      </c>
      <c r="V2207">
        <v>3.9450359999999997E-2</v>
      </c>
      <c r="W2207">
        <v>0.1061651</v>
      </c>
      <c r="X2207">
        <v>0.99356560000000005</v>
      </c>
      <c r="Y2207">
        <v>-3.2566249999999998E-2</v>
      </c>
      <c r="Z2207">
        <v>2.3981950000000001E-3</v>
      </c>
      <c r="AA2207">
        <v>0.99946670000000004</v>
      </c>
      <c r="AB2207">
        <v>14</v>
      </c>
      <c r="AC2207">
        <v>9.1241000000000003</v>
      </c>
      <c r="AD2207">
        <v>-1.1198873531360001</v>
      </c>
      <c r="AE2207">
        <v>-231.9014</v>
      </c>
      <c r="AF2207">
        <v>-7.5630282957659798</v>
      </c>
      <c r="AG2207">
        <v>-1.1198873531360001</v>
      </c>
      <c r="AH2207">
        <v>231.952152216797</v>
      </c>
      <c r="AI2207">
        <v>90.2764804690663</v>
      </c>
      <c r="AJ2207">
        <v>91.867523670751893</v>
      </c>
      <c r="AK2207">
        <v>232.07812146493001</v>
      </c>
      <c r="AL2207">
        <v>83.905702780145802</v>
      </c>
      <c r="AM2207">
        <v>87.726217170016795</v>
      </c>
      <c r="AN2207">
        <v>0.99999998043274896</v>
      </c>
    </row>
    <row r="2208" spans="1:40" x14ac:dyDescent="0.25">
      <c r="A2208" t="str">
        <f>"20190303161917280"</f>
        <v>20190303161917280</v>
      </c>
      <c r="B2208" t="str">
        <f>"1551601157264979"</f>
        <v>1551601157264979</v>
      </c>
      <c r="C2208" t="s">
        <v>40</v>
      </c>
      <c r="D2208">
        <v>4.423311</v>
      </c>
      <c r="E2208">
        <v>0.47286859999999997</v>
      </c>
      <c r="F2208" t="s">
        <v>50</v>
      </c>
      <c r="G2208">
        <v>-183.95089999999999</v>
      </c>
      <c r="H2208" s="1">
        <v>-1.0187310000000001E-5</v>
      </c>
      <c r="I2208">
        <v>145.64099999999999</v>
      </c>
      <c r="J2208">
        <v>-191.38919999999999</v>
      </c>
      <c r="K2208">
        <v>1.119872</v>
      </c>
      <c r="L2208">
        <v>338.15210000000002</v>
      </c>
      <c r="M2208">
        <v>6.1569729999999996E-3</v>
      </c>
      <c r="N2208">
        <v>-2.3519280000000001E-3</v>
      </c>
      <c r="O2208">
        <v>-0.99997820000000004</v>
      </c>
      <c r="P2208">
        <v>-3.3395389999999997E-2</v>
      </c>
      <c r="Q2208">
        <v>0.1043372</v>
      </c>
      <c r="R2208">
        <v>-0.99398120000000001</v>
      </c>
      <c r="S2208">
        <v>0.116745</v>
      </c>
      <c r="T2208">
        <v>-1.7575980000000001E-2</v>
      </c>
      <c r="U2208">
        <v>-3.0235599999999998</v>
      </c>
      <c r="V2208">
        <v>3.9577080000000001E-2</v>
      </c>
      <c r="W2208">
        <v>0.106651</v>
      </c>
      <c r="X2208">
        <v>0.99350850000000002</v>
      </c>
      <c r="Y2208">
        <v>-3.2429340000000001E-2</v>
      </c>
      <c r="Z2208">
        <v>3.4574279999999998E-3</v>
      </c>
      <c r="AA2208">
        <v>0.99946800000000002</v>
      </c>
      <c r="AB2208">
        <v>14</v>
      </c>
      <c r="AC2208">
        <v>7.4382999999999901</v>
      </c>
      <c r="AD2208">
        <v>-1.11988218731</v>
      </c>
      <c r="AE2208">
        <v>-192.5111</v>
      </c>
      <c r="AF2208">
        <v>-6.25265871747541</v>
      </c>
      <c r="AG2208">
        <v>-1.11988218731</v>
      </c>
      <c r="AH2208">
        <v>192.54674249116999</v>
      </c>
      <c r="AI2208">
        <v>90.333061961319501</v>
      </c>
      <c r="AJ2208">
        <v>91.859938537370098</v>
      </c>
      <c r="AK2208">
        <v>192.651493430784</v>
      </c>
      <c r="AL2208">
        <v>83.877703673500903</v>
      </c>
      <c r="AM2208">
        <v>87.718790206582</v>
      </c>
      <c r="AN2208">
        <v>0.999999960317287</v>
      </c>
    </row>
    <row r="2209" spans="1:40" x14ac:dyDescent="0.25">
      <c r="A2209" t="str">
        <f>"20190303161917302"</f>
        <v>20190303161917302</v>
      </c>
      <c r="B2209" t="str">
        <f>"1551601157295235"</f>
        <v>1551601157295235</v>
      </c>
      <c r="C2209" t="s">
        <v>40</v>
      </c>
      <c r="D2209">
        <v>4.4405099999999997</v>
      </c>
      <c r="E2209">
        <v>0.47259420000000002</v>
      </c>
      <c r="F2209" t="s">
        <v>41</v>
      </c>
      <c r="G2209">
        <v>-184.69669999999999</v>
      </c>
      <c r="H2209" s="1">
        <v>-1.6396590000000001E-6</v>
      </c>
      <c r="I2209">
        <v>160.2397</v>
      </c>
      <c r="J2209">
        <v>-191.38900000000001</v>
      </c>
      <c r="K2209">
        <v>1.119861</v>
      </c>
      <c r="L2209">
        <v>338.0129</v>
      </c>
      <c r="M2209">
        <v>5.5946540000000001E-3</v>
      </c>
      <c r="N2209">
        <v>-2.2999679999999999E-3</v>
      </c>
      <c r="O2209">
        <v>-0.99998180000000003</v>
      </c>
      <c r="P2209">
        <v>-3.4220769999999998E-2</v>
      </c>
      <c r="Q2209">
        <v>0.10393139999999899</v>
      </c>
      <c r="R2209">
        <v>-0.99399559999999998</v>
      </c>
      <c r="S2209">
        <v>0.1137543</v>
      </c>
      <c r="T2209">
        <v>-1.9034740000000001E-2</v>
      </c>
      <c r="U2209">
        <v>-3.0240170000000002</v>
      </c>
      <c r="V2209">
        <v>3.9844739999999997E-2</v>
      </c>
      <c r="W2209">
        <v>0.106193</v>
      </c>
      <c r="X2209">
        <v>0.99354690000000001</v>
      </c>
      <c r="Y2209">
        <v>-3.1998430000000001E-2</v>
      </c>
      <c r="Z2209">
        <v>3.9907170000000004E-3</v>
      </c>
      <c r="AA2209">
        <v>0.99947989999999998</v>
      </c>
      <c r="AB2209">
        <v>14</v>
      </c>
      <c r="AC2209">
        <v>6.6923000000000101</v>
      </c>
      <c r="AD2209">
        <v>-1.1198626396589999</v>
      </c>
      <c r="AE2209">
        <v>-177.7732</v>
      </c>
      <c r="AF2209">
        <v>-5.6973874176773398</v>
      </c>
      <c r="AG2209">
        <v>-1.1198626396589999</v>
      </c>
      <c r="AH2209">
        <v>177.80081343614799</v>
      </c>
      <c r="AI2209">
        <v>90.360682487971104</v>
      </c>
      <c r="AJ2209">
        <v>91.8353380279069</v>
      </c>
      <c r="AK2209">
        <v>177.895597399921</v>
      </c>
      <c r="AL2209">
        <v>83.904095256757103</v>
      </c>
      <c r="AM2209">
        <v>87.703467505285602</v>
      </c>
      <c r="AN2209">
        <v>0.99999999952713803</v>
      </c>
    </row>
    <row r="2210" spans="1:40" x14ac:dyDescent="0.25">
      <c r="A2210" t="str">
        <f>"20190303161917322"</f>
        <v>20190303161917322</v>
      </c>
      <c r="B2210" t="str">
        <f>"1551601157314755"</f>
        <v>1551601157314755</v>
      </c>
      <c r="C2210" t="s">
        <v>40</v>
      </c>
      <c r="D2210">
        <v>4.4612280000000002</v>
      </c>
      <c r="E2210">
        <v>0.47246070000000001</v>
      </c>
      <c r="F2210" t="s">
        <v>41</v>
      </c>
      <c r="G2210">
        <v>-185.45500000000001</v>
      </c>
      <c r="H2210" s="1">
        <v>-1.4223429999999901E-6</v>
      </c>
      <c r="I2210">
        <v>180.2741</v>
      </c>
      <c r="J2210">
        <v>-191.38890000000001</v>
      </c>
      <c r="K2210">
        <v>1.119856</v>
      </c>
      <c r="L2210">
        <v>337.87299999999999</v>
      </c>
      <c r="M2210">
        <v>5.0302819999999996E-3</v>
      </c>
      <c r="N2210">
        <v>-2.2697260000000001E-3</v>
      </c>
      <c r="O2210">
        <v>-0.99998489999999995</v>
      </c>
      <c r="P2210">
        <v>-3.4957809999999999E-2</v>
      </c>
      <c r="Q2210">
        <v>0.1033517</v>
      </c>
      <c r="R2210">
        <v>-0.99403090000000005</v>
      </c>
      <c r="S2210">
        <v>0.1137695</v>
      </c>
      <c r="T2210">
        <v>-2.1470670000000001E-2</v>
      </c>
      <c r="U2210">
        <v>-3.0242610000000001</v>
      </c>
      <c r="V2210">
        <v>4.002199E-2</v>
      </c>
      <c r="W2210">
        <v>0.1055833</v>
      </c>
      <c r="X2210">
        <v>0.99360479999999995</v>
      </c>
      <c r="Y2210">
        <v>-3.2564360000000001E-2</v>
      </c>
      <c r="Z2210">
        <v>4.8252959999999998E-3</v>
      </c>
      <c r="AA2210">
        <v>0.99945799999999996</v>
      </c>
      <c r="AB2210">
        <v>14</v>
      </c>
      <c r="AC2210">
        <v>5.9338999999999897</v>
      </c>
      <c r="AD2210">
        <v>-1.119857422343</v>
      </c>
      <c r="AE2210">
        <v>-157.59889999999999</v>
      </c>
      <c r="AF2210">
        <v>-5.1407968740485703</v>
      </c>
      <c r="AG2210">
        <v>-1.119857422343</v>
      </c>
      <c r="AH2210">
        <v>157.61880816167499</v>
      </c>
      <c r="AI2210">
        <v>90.4068545300658</v>
      </c>
      <c r="AJ2210">
        <v>91.8680612543167</v>
      </c>
      <c r="AK2210">
        <v>157.706596436083</v>
      </c>
      <c r="AL2210">
        <v>83.9392262787064</v>
      </c>
      <c r="AM2210">
        <v>87.693396627670893</v>
      </c>
      <c r="AN2210">
        <v>1.00000004575274</v>
      </c>
    </row>
    <row r="2211" spans="1:40" x14ac:dyDescent="0.25">
      <c r="A2211" t="str">
        <f>"20190303161917345"</f>
        <v>20190303161917345</v>
      </c>
      <c r="B2211" t="str">
        <f>"1551601157334275"</f>
        <v>1551601157334275</v>
      </c>
      <c r="C2211" t="s">
        <v>40</v>
      </c>
      <c r="D2211">
        <v>4.4881449999999896</v>
      </c>
      <c r="E2211">
        <v>0.47239890000000001</v>
      </c>
      <c r="F2211" t="s">
        <v>49</v>
      </c>
      <c r="G2211">
        <v>-186.24420000000001</v>
      </c>
      <c r="H2211" s="1">
        <v>6.9204379999999996E-6</v>
      </c>
      <c r="I2211">
        <v>199.751</v>
      </c>
      <c r="J2211">
        <v>-191.3888</v>
      </c>
      <c r="K2211">
        <v>1.119853</v>
      </c>
      <c r="L2211">
        <v>337.72570000000002</v>
      </c>
      <c r="M2211">
        <v>4.437898E-3</v>
      </c>
      <c r="N2211">
        <v>-2.259638E-3</v>
      </c>
      <c r="O2211">
        <v>-0.99998779999999998</v>
      </c>
      <c r="P2211">
        <v>-3.4979240000000002E-2</v>
      </c>
      <c r="Q2211">
        <v>0.10323590000000001</v>
      </c>
      <c r="R2211">
        <v>-0.99404199999999998</v>
      </c>
      <c r="S2211">
        <v>0.11265559999999999</v>
      </c>
      <c r="T2211">
        <v>-2.4521709999999999E-2</v>
      </c>
      <c r="U2211">
        <v>-3.0245060000000001</v>
      </c>
      <c r="V2211">
        <v>3.9455869999999997E-2</v>
      </c>
      <c r="W2211">
        <v>0.1054571</v>
      </c>
      <c r="X2211">
        <v>0.99364079999999999</v>
      </c>
      <c r="Y2211">
        <v>-3.2785599999999998E-2</v>
      </c>
      <c r="Z2211">
        <v>5.8429040000000003E-3</v>
      </c>
      <c r="AA2211">
        <v>0.99944529999999998</v>
      </c>
      <c r="AB2211">
        <v>14</v>
      </c>
      <c r="AC2211">
        <v>5.1445999999999898</v>
      </c>
      <c r="AD2211">
        <v>-1.119846079562</v>
      </c>
      <c r="AE2211">
        <v>-137.97470000000001</v>
      </c>
      <c r="AF2211">
        <v>-4.53193212801283</v>
      </c>
      <c r="AG2211">
        <v>-1.119846079562</v>
      </c>
      <c r="AH2211">
        <v>137.987095329304</v>
      </c>
      <c r="AI2211">
        <v>90.464728027049304</v>
      </c>
      <c r="AJ2211">
        <v>91.881098234377205</v>
      </c>
      <c r="AK2211">
        <v>138.06603833482399</v>
      </c>
      <c r="AL2211">
        <v>83.946497337699398</v>
      </c>
      <c r="AM2211">
        <v>87.726071852113904</v>
      </c>
      <c r="AN2211">
        <v>1.0000000025212501</v>
      </c>
    </row>
    <row r="2212" spans="1:40" x14ac:dyDescent="0.25">
      <c r="A2212" t="str">
        <f>"20190303161917367"</f>
        <v>20190303161917367</v>
      </c>
      <c r="B2212" t="str">
        <f>"1551601157354771"</f>
        <v>1551601157354771</v>
      </c>
      <c r="C2212" t="s">
        <v>40</v>
      </c>
      <c r="D2212">
        <v>4.5115420000000004</v>
      </c>
      <c r="E2212">
        <v>0.45561040000000003</v>
      </c>
      <c r="F2212" t="s">
        <v>49</v>
      </c>
      <c r="G2212">
        <v>-186.46960000000001</v>
      </c>
      <c r="H2212" s="1">
        <v>5.0813610000000002E-6</v>
      </c>
      <c r="I2212">
        <v>205.83199999999999</v>
      </c>
      <c r="J2212">
        <v>-191.3888</v>
      </c>
      <c r="K2212">
        <v>1.1198459999999999</v>
      </c>
      <c r="L2212">
        <v>337.57729999999998</v>
      </c>
      <c r="M2212">
        <v>3.8425310000000002E-3</v>
      </c>
      <c r="N2212">
        <v>-2.2663090000000002E-3</v>
      </c>
      <c r="O2212">
        <v>-0.99999020000000005</v>
      </c>
      <c r="P2212">
        <v>-3.5128560000000003E-2</v>
      </c>
      <c r="Q2212">
        <v>0.103115</v>
      </c>
      <c r="R2212">
        <v>-0.99404899999999996</v>
      </c>
      <c r="S2212">
        <v>0.112808199999999</v>
      </c>
      <c r="T2212">
        <v>-2.5680419999999999E-2</v>
      </c>
      <c r="U2212">
        <v>-3.024597</v>
      </c>
      <c r="V2212">
        <v>3.9014559999999997E-2</v>
      </c>
      <c r="W2212">
        <v>0.1053429</v>
      </c>
      <c r="X2212">
        <v>0.99367030000000001</v>
      </c>
      <c r="Y2212">
        <v>-3.3429760000000003E-2</v>
      </c>
      <c r="Z2212">
        <v>6.2187179999999998E-3</v>
      </c>
      <c r="AA2212">
        <v>0.99942169999999997</v>
      </c>
      <c r="AB2212">
        <v>15</v>
      </c>
      <c r="AC2212">
        <v>4.9191999999999796</v>
      </c>
      <c r="AD2212">
        <v>-1.1198409186389999</v>
      </c>
      <c r="AE2212">
        <v>-131.74529999999999</v>
      </c>
      <c r="AF2212">
        <v>-4.4126086899858503</v>
      </c>
      <c r="AG2212">
        <v>-1.1198409186389999</v>
      </c>
      <c r="AH2212">
        <v>131.753723550134</v>
      </c>
      <c r="AI2212">
        <v>90.4867009455741</v>
      </c>
      <c r="AJ2212">
        <v>91.918195425827506</v>
      </c>
      <c r="AK2212">
        <v>131.832351221008</v>
      </c>
      <c r="AL2212">
        <v>83.953076930866899</v>
      </c>
      <c r="AM2212">
        <v>87.751545945797105</v>
      </c>
      <c r="AN2212">
        <v>0.99999996378724598</v>
      </c>
    </row>
    <row r="2213" spans="1:40" x14ac:dyDescent="0.25">
      <c r="A2213" t="str">
        <f>"20190303161917390"</f>
        <v>20190303161917390</v>
      </c>
      <c r="B2213" t="str">
        <f>"1551601157385027"</f>
        <v>1551601157385027</v>
      </c>
      <c r="C2213" t="s">
        <v>40</v>
      </c>
      <c r="D2213">
        <v>4.4614739999999999</v>
      </c>
      <c r="E2213">
        <v>0.43940610000000002</v>
      </c>
      <c r="F2213" t="s">
        <v>49</v>
      </c>
      <c r="G2213">
        <v>-187.50020000000001</v>
      </c>
      <c r="H2213" s="1">
        <v>3.0964699999999999E-6</v>
      </c>
      <c r="I2213">
        <v>289.63099999999997</v>
      </c>
      <c r="J2213">
        <v>-191.38900000000001</v>
      </c>
      <c r="K2213">
        <v>1.119839</v>
      </c>
      <c r="L2213">
        <v>337.41950000000003</v>
      </c>
      <c r="M2213">
        <v>3.2105010000000002E-3</v>
      </c>
      <c r="N2213">
        <v>-2.2823959999999999E-3</v>
      </c>
      <c r="O2213">
        <v>-0.9999924</v>
      </c>
      <c r="P2213">
        <v>-3.5554959999999997E-2</v>
      </c>
      <c r="Q2213">
        <v>0.1025489</v>
      </c>
      <c r="R2213">
        <v>-0.99409250000000005</v>
      </c>
      <c r="S2213">
        <v>0.24606320000000001</v>
      </c>
      <c r="T2213">
        <v>-7.0861939999999998E-2</v>
      </c>
      <c r="U2213">
        <v>-3.0339659999999999</v>
      </c>
      <c r="V2213">
        <v>3.8813739999999999E-2</v>
      </c>
      <c r="W2213">
        <v>0.1047923</v>
      </c>
      <c r="X2213">
        <v>0.99373639999999996</v>
      </c>
      <c r="Y2213">
        <v>-7.7616920000000006E-2</v>
      </c>
      <c r="Z2213">
        <v>2.099471E-2</v>
      </c>
      <c r="AA2213">
        <v>0.99676220000000004</v>
      </c>
      <c r="AB2213">
        <v>15</v>
      </c>
      <c r="AC2213">
        <v>3.8887999999999998</v>
      </c>
      <c r="AD2213">
        <v>-1.1198359035299901</v>
      </c>
      <c r="AE2213">
        <v>-47.788499999999999</v>
      </c>
      <c r="AF2213">
        <v>-3.7333180270361099</v>
      </c>
      <c r="AG2213">
        <v>-1.1198359035299901</v>
      </c>
      <c r="AH2213">
        <v>47.774677602614503</v>
      </c>
      <c r="AI2213">
        <v>91.3386844981883</v>
      </c>
      <c r="AJ2213">
        <v>94.468257311262903</v>
      </c>
      <c r="AK2213">
        <v>47.933407097509601</v>
      </c>
      <c r="AL2213">
        <v>83.984799684539496</v>
      </c>
      <c r="AM2213">
        <v>87.763256286178702</v>
      </c>
      <c r="AN2213">
        <v>0.99999998261851797</v>
      </c>
    </row>
    <row r="2214" spans="1:40" x14ac:dyDescent="0.25">
      <c r="A2214" t="str">
        <f>"20190303161917413"</f>
        <v>20190303161917413</v>
      </c>
      <c r="B2214" t="str">
        <f>"1551601157404547"</f>
        <v>1551601157404547</v>
      </c>
      <c r="C2214" t="s">
        <v>40</v>
      </c>
      <c r="D2214">
        <v>4.4472269999999998</v>
      </c>
      <c r="E2214">
        <v>0.435834</v>
      </c>
      <c r="F2214" t="s">
        <v>41</v>
      </c>
      <c r="G2214">
        <v>-187.58879999999999</v>
      </c>
      <c r="H2214" s="1">
        <v>-3.3682639999999999E-6</v>
      </c>
      <c r="I2214">
        <v>306.4873</v>
      </c>
      <c r="J2214">
        <v>-191.38919999999999</v>
      </c>
      <c r="K2214">
        <v>1.119834</v>
      </c>
      <c r="L2214">
        <v>337.26569999999998</v>
      </c>
      <c r="M2214">
        <v>2.595619E-3</v>
      </c>
      <c r="N2214">
        <v>-2.3047469999999998E-3</v>
      </c>
      <c r="O2214">
        <v>-0.9999943</v>
      </c>
      <c r="P2214">
        <v>-3.623933E-2</v>
      </c>
      <c r="Q2214">
        <v>0.101702</v>
      </c>
      <c r="R2214">
        <v>-0.99415520000000002</v>
      </c>
      <c r="S2214">
        <v>0.37379459999999998</v>
      </c>
      <c r="T2214">
        <v>-0.1101519</v>
      </c>
      <c r="U2214">
        <v>-3.0426030000000002</v>
      </c>
      <c r="V2214">
        <v>3.8887650000000003E-2</v>
      </c>
      <c r="W2214">
        <v>0.10396759999999999</v>
      </c>
      <c r="X2214">
        <v>0.99382009999999998</v>
      </c>
      <c r="Y2214">
        <v>-0.119286</v>
      </c>
      <c r="Z2214">
        <v>3.3612339999999997E-2</v>
      </c>
      <c r="AA2214">
        <v>0.99229080000000003</v>
      </c>
      <c r="AB2214">
        <v>15</v>
      </c>
      <c r="AC2214">
        <v>3.80039999999999</v>
      </c>
      <c r="AD2214">
        <v>-1.1198373682639999</v>
      </c>
      <c r="AE2214">
        <v>-30.778399999999898</v>
      </c>
      <c r="AF2214">
        <v>-3.7156531481702801</v>
      </c>
      <c r="AG2214">
        <v>-1.1198373682639999</v>
      </c>
      <c r="AH2214">
        <v>30.748068132170999</v>
      </c>
      <c r="AI2214">
        <v>92.0707257798868</v>
      </c>
      <c r="AJ2214">
        <v>96.890317872107303</v>
      </c>
      <c r="AK2214">
        <v>30.991995868441599</v>
      </c>
      <c r="AL2214">
        <v>84.032310858891293</v>
      </c>
      <c r="AM2214">
        <v>87.759189912320494</v>
      </c>
      <c r="AN2214">
        <v>0.999999951168145</v>
      </c>
    </row>
    <row r="2215" spans="1:40" x14ac:dyDescent="0.25">
      <c r="A2215" t="str">
        <f>"20190303161917434"</f>
        <v>20190303161917434</v>
      </c>
      <c r="B2215" t="str">
        <f>"1551601157425045"</f>
        <v>1551601157425045</v>
      </c>
      <c r="C2215" t="s">
        <v>40</v>
      </c>
      <c r="D2215">
        <v>4.4264400000000004</v>
      </c>
      <c r="E2215">
        <v>0.4339847</v>
      </c>
      <c r="F2215" t="s">
        <v>41</v>
      </c>
      <c r="G2215">
        <v>-187.7877</v>
      </c>
      <c r="H2215" s="1">
        <v>-6.6932529999999997E-7</v>
      </c>
      <c r="I2215">
        <v>309.8546</v>
      </c>
      <c r="J2215">
        <v>-191.3895</v>
      </c>
      <c r="K2215">
        <v>1.1198250000000001</v>
      </c>
      <c r="L2215">
        <v>337.11970000000002</v>
      </c>
      <c r="M2215">
        <v>2.012472E-3</v>
      </c>
      <c r="N2215">
        <v>-2.3314400000000002E-3</v>
      </c>
      <c r="O2215">
        <v>-0.99999550000000004</v>
      </c>
      <c r="P2215">
        <v>-3.6637299999999998E-2</v>
      </c>
      <c r="Q2215">
        <v>0.10132289999999999</v>
      </c>
      <c r="R2215">
        <v>-0.99417900000000003</v>
      </c>
      <c r="S2215">
        <v>0.40007019999999999</v>
      </c>
      <c r="T2215">
        <v>-0.1243976</v>
      </c>
      <c r="U2215">
        <v>-3.0449830000000002</v>
      </c>
      <c r="V2215">
        <v>3.8706860000000003E-2</v>
      </c>
      <c r="W2215">
        <v>0.10361480000000001</v>
      </c>
      <c r="X2215">
        <v>0.99386410000000003</v>
      </c>
      <c r="Y2215">
        <v>-0.12817029999999999</v>
      </c>
      <c r="Z2215">
        <v>3.8147840000000002E-2</v>
      </c>
      <c r="AA2215">
        <v>0.99101819999999896</v>
      </c>
      <c r="AB2215">
        <v>15</v>
      </c>
      <c r="AC2215">
        <v>3.6017999999999901</v>
      </c>
      <c r="AD2215">
        <v>-1.1198256693252999</v>
      </c>
      <c r="AE2215">
        <v>-27.2651</v>
      </c>
      <c r="AF2215">
        <v>-3.5410514118154</v>
      </c>
      <c r="AG2215">
        <v>-1.1198256693252999</v>
      </c>
      <c r="AH2215">
        <v>27.227151900421699</v>
      </c>
      <c r="AI2215">
        <v>92.335543564331303</v>
      </c>
      <c r="AJ2215">
        <v>97.410061022562004</v>
      </c>
      <c r="AK2215">
        <v>27.479280471646899</v>
      </c>
      <c r="AL2215">
        <v>84.052635158338504</v>
      </c>
      <c r="AM2215">
        <v>87.769695612339802</v>
      </c>
      <c r="AN2215">
        <v>1.00000004852945</v>
      </c>
    </row>
    <row r="2216" spans="1:40" x14ac:dyDescent="0.25">
      <c r="A2216" t="str">
        <f>"20190303161917459"</f>
        <v>20190303161917459</v>
      </c>
      <c r="B2216" t="str">
        <f>"1551601157454323"</f>
        <v>1551601157454323</v>
      </c>
      <c r="C2216" t="s">
        <v>40</v>
      </c>
      <c r="D2216">
        <v>4.4507180000000002</v>
      </c>
      <c r="E2216">
        <v>0.43239339999999998</v>
      </c>
      <c r="F2216" t="s">
        <v>41</v>
      </c>
      <c r="G2216">
        <v>-187.8211</v>
      </c>
      <c r="H2216" s="1">
        <v>-1.0300859999999999E-6</v>
      </c>
      <c r="I2216">
        <v>310.81720000000001</v>
      </c>
      <c r="J2216">
        <v>-191.38990000000001</v>
      </c>
      <c r="K2216">
        <v>1.1198189999999999</v>
      </c>
      <c r="L2216">
        <v>336.95269999999999</v>
      </c>
      <c r="M2216">
        <v>1.3463990000000001E-3</v>
      </c>
      <c r="N2216">
        <v>-2.3681890000000001E-3</v>
      </c>
      <c r="O2216">
        <v>-0.99999640000000001</v>
      </c>
      <c r="P2216">
        <v>-3.728248E-2</v>
      </c>
      <c r="Q2216">
        <v>0.1011522</v>
      </c>
      <c r="R2216">
        <v>-0.99417230000000001</v>
      </c>
      <c r="S2216">
        <v>0.41323850000000001</v>
      </c>
      <c r="T2216">
        <v>-0.12968250000000001</v>
      </c>
      <c r="U2216">
        <v>-3.0459900000000002</v>
      </c>
      <c r="V2216">
        <v>3.8691160000000002E-2</v>
      </c>
      <c r="W2216">
        <v>0.10348010000000001</v>
      </c>
      <c r="X2216">
        <v>0.9938787</v>
      </c>
      <c r="Y2216">
        <v>-0.1329872</v>
      </c>
      <c r="Z2216">
        <v>3.9788650000000002E-2</v>
      </c>
      <c r="AA2216">
        <v>0.99031880000000005</v>
      </c>
      <c r="AB2216">
        <v>15</v>
      </c>
      <c r="AC2216">
        <v>3.5688</v>
      </c>
      <c r="AD2216">
        <v>-1.119820030086</v>
      </c>
      <c r="AE2216">
        <v>-26.135499999999901</v>
      </c>
      <c r="AF2216">
        <v>-3.5272509216038999</v>
      </c>
      <c r="AG2216">
        <v>-1.119820030086</v>
      </c>
      <c r="AH2216">
        <v>26.093255154639301</v>
      </c>
      <c r="AI2216">
        <v>92.435279400094601</v>
      </c>
      <c r="AJ2216">
        <v>97.698500030800105</v>
      </c>
      <c r="AK2216">
        <v>26.3543821883354</v>
      </c>
      <c r="AL2216">
        <v>84.060394342675707</v>
      </c>
      <c r="AM2216">
        <v>87.770632056143299</v>
      </c>
      <c r="AN2216">
        <v>1.00000000363592</v>
      </c>
    </row>
    <row r="2217" spans="1:40" x14ac:dyDescent="0.25">
      <c r="A2217" t="str">
        <f>"20190303161917479"</f>
        <v>20190303161917479</v>
      </c>
      <c r="B2217" t="str">
        <f>"1551601157474791"</f>
        <v>1551601157474791</v>
      </c>
      <c r="C2217" t="s">
        <v>40</v>
      </c>
      <c r="D2217">
        <v>4.4566270000000001</v>
      </c>
      <c r="E2217">
        <v>0.4315484</v>
      </c>
      <c r="F2217" t="s">
        <v>41</v>
      </c>
      <c r="G2217">
        <v>-187.77359999999999</v>
      </c>
      <c r="H2217" s="1">
        <v>-1.09465E-6</v>
      </c>
      <c r="I2217">
        <v>310.95240000000001</v>
      </c>
      <c r="J2217">
        <v>-191.3904</v>
      </c>
      <c r="K2217">
        <v>1.119812</v>
      </c>
      <c r="L2217">
        <v>336.79899999999998</v>
      </c>
      <c r="M2217">
        <v>7.3398729999999996E-4</v>
      </c>
      <c r="N2217">
        <v>-2.4053E-3</v>
      </c>
      <c r="O2217">
        <v>-0.99999709999999997</v>
      </c>
      <c r="P2217">
        <v>-3.7948669999999997E-2</v>
      </c>
      <c r="Q2217">
        <v>0.10100240000000001</v>
      </c>
      <c r="R2217">
        <v>-0.99416260000000001</v>
      </c>
      <c r="S2217">
        <v>0.42376710000000001</v>
      </c>
      <c r="T2217">
        <v>-0.13122500000000001</v>
      </c>
      <c r="U2217">
        <v>-3.0468139999999999</v>
      </c>
      <c r="V2217">
        <v>3.8749760000000001E-2</v>
      </c>
      <c r="W2217">
        <v>0.10336670000000001</v>
      </c>
      <c r="X2217">
        <v>0.9938882</v>
      </c>
      <c r="Y2217">
        <v>-0.13691339999999999</v>
      </c>
      <c r="Z2217">
        <v>4.021922E-2</v>
      </c>
      <c r="AA2217">
        <v>0.98976620000000004</v>
      </c>
      <c r="AB2217">
        <v>16</v>
      </c>
      <c r="AC2217">
        <v>3.6168000000000098</v>
      </c>
      <c r="AD2217">
        <v>-1.11981309465</v>
      </c>
      <c r="AE2217">
        <v>-25.846599999999999</v>
      </c>
      <c r="AF2217">
        <v>-3.5912163398224402</v>
      </c>
      <c r="AG2217">
        <v>-1.11981309465</v>
      </c>
      <c r="AH2217">
        <v>25.801745777767799</v>
      </c>
      <c r="AI2217">
        <v>92.461417855872796</v>
      </c>
      <c r="AJ2217">
        <v>97.923807637521094</v>
      </c>
      <c r="AK2217">
        <v>26.074525908382601</v>
      </c>
      <c r="AL2217">
        <v>84.066926611386606</v>
      </c>
      <c r="AM2217">
        <v>87.767280283968901</v>
      </c>
      <c r="AN2217">
        <v>0.99999998633409304</v>
      </c>
    </row>
    <row r="2218" spans="1:40" x14ac:dyDescent="0.25">
      <c r="A2218" t="str">
        <f>"20190303161917502"</f>
        <v>20190303161917502</v>
      </c>
      <c r="B2218" t="str">
        <f>"1551601157494311"</f>
        <v>1551601157494311</v>
      </c>
      <c r="C2218" t="s">
        <v>40</v>
      </c>
      <c r="D2218">
        <v>4.3986669999999997</v>
      </c>
      <c r="E2218">
        <v>0.43079640000000002</v>
      </c>
      <c r="F2218" t="s">
        <v>41</v>
      </c>
      <c r="G2218">
        <v>-187.83330000000001</v>
      </c>
      <c r="H2218" s="1">
        <v>-1.285798E-6</v>
      </c>
      <c r="I2218">
        <v>311.49149999999997</v>
      </c>
      <c r="J2218">
        <v>-191.39099999999999</v>
      </c>
      <c r="K2218">
        <v>1.119812</v>
      </c>
      <c r="L2218">
        <v>336.64420000000001</v>
      </c>
      <c r="M2218">
        <v>1.1790270000000001E-4</v>
      </c>
      <c r="N2218">
        <v>-2.4431549999999998E-3</v>
      </c>
      <c r="O2218">
        <v>-0.99999709999999997</v>
      </c>
      <c r="P2218">
        <v>-3.8409579999999999E-2</v>
      </c>
      <c r="Q2218">
        <v>0.1011444</v>
      </c>
      <c r="R2218">
        <v>-0.99413019999999996</v>
      </c>
      <c r="S2218">
        <v>0.42836000000000002</v>
      </c>
      <c r="T2218">
        <v>-0.1348531</v>
      </c>
      <c r="U2218">
        <v>-3.0476380000000001</v>
      </c>
      <c r="V2218">
        <v>3.8599660000000001E-2</v>
      </c>
      <c r="W2218">
        <v>0.103546</v>
      </c>
      <c r="X2218">
        <v>0.99387539999999996</v>
      </c>
      <c r="Y2218">
        <v>-0.13894310000000001</v>
      </c>
      <c r="Z2218">
        <v>4.1335150000000001E-2</v>
      </c>
      <c r="AA2218">
        <v>0.98943729999999996</v>
      </c>
      <c r="AB2218">
        <v>16</v>
      </c>
      <c r="AC2218">
        <v>3.5576999999999801</v>
      </c>
      <c r="AD2218">
        <v>-1.1198132857979901</v>
      </c>
      <c r="AE2218">
        <v>-25.152699999999999</v>
      </c>
      <c r="AF2218">
        <v>-3.5478402069328401</v>
      </c>
      <c r="AG2218">
        <v>-1.1198132857979901</v>
      </c>
      <c r="AH2218">
        <v>25.1043363624831</v>
      </c>
      <c r="AI2218">
        <v>92.528966785314196</v>
      </c>
      <c r="AJ2218">
        <v>98.043986930385103</v>
      </c>
      <c r="AK2218">
        <v>25.378511700445902</v>
      </c>
      <c r="AL2218">
        <v>84.056598191843193</v>
      </c>
      <c r="AM2218">
        <v>87.775891568454796</v>
      </c>
      <c r="AN2218">
        <v>1.0000000092966299</v>
      </c>
    </row>
    <row r="2219" spans="1:40" x14ac:dyDescent="0.25">
      <c r="A2219" t="str">
        <f>"20190303161917524"</f>
        <v>20190303161917524</v>
      </c>
      <c r="B2219" t="str">
        <f>"1551601157514806"</f>
        <v>1551601157514806</v>
      </c>
      <c r="C2219" t="s">
        <v>40</v>
      </c>
      <c r="D2219">
        <v>4.4776610000000003</v>
      </c>
      <c r="E2219">
        <v>0.4302068</v>
      </c>
      <c r="F2219" t="s">
        <v>41</v>
      </c>
      <c r="G2219">
        <v>-187.8716</v>
      </c>
      <c r="H2219" s="1">
        <v>-1.4413319999999999E-6</v>
      </c>
      <c r="I2219">
        <v>311.88170000000002</v>
      </c>
      <c r="J2219">
        <v>-191.39169999999999</v>
      </c>
      <c r="K2219">
        <v>1.1198060000000001</v>
      </c>
      <c r="L2219">
        <v>336.48219999999998</v>
      </c>
      <c r="M2219">
        <v>-5.2560699999999998E-4</v>
      </c>
      <c r="N2219">
        <v>-2.4814080000000001E-3</v>
      </c>
      <c r="O2219">
        <v>-0.99999689999999997</v>
      </c>
      <c r="P2219">
        <v>-3.8971569999999997E-2</v>
      </c>
      <c r="Q2219">
        <v>0.1015842</v>
      </c>
      <c r="R2219">
        <v>-0.99406360000000005</v>
      </c>
      <c r="S2219">
        <v>0.43325809999999998</v>
      </c>
      <c r="T2219">
        <v>-0.13785799999999901</v>
      </c>
      <c r="U2219">
        <v>-3.0484619999999998</v>
      </c>
      <c r="V2219">
        <v>3.852361E-2</v>
      </c>
      <c r="W2219">
        <v>0.10402309999999999</v>
      </c>
      <c r="X2219">
        <v>0.9938285</v>
      </c>
      <c r="Y2219">
        <v>-0.141096</v>
      </c>
      <c r="Z2219">
        <v>4.2246619999999999E-2</v>
      </c>
      <c r="AA2219">
        <v>0.98909409999999998</v>
      </c>
      <c r="AB2219">
        <v>16</v>
      </c>
      <c r="AC2219">
        <v>3.5200999999999798</v>
      </c>
      <c r="AD2219">
        <v>-1.1198074413319901</v>
      </c>
      <c r="AE2219">
        <v>-24.600499999999901</v>
      </c>
      <c r="AF2219">
        <v>-3.5258705739768601</v>
      </c>
      <c r="AG2219">
        <v>-1.1198074413319901</v>
      </c>
      <c r="AH2219">
        <v>24.548800812935699</v>
      </c>
      <c r="AI2219">
        <v>92.585276110377293</v>
      </c>
      <c r="AJ2219">
        <v>98.173324968877694</v>
      </c>
      <c r="AK2219">
        <v>24.8259814179277</v>
      </c>
      <c r="AL2219">
        <v>84.029113783370207</v>
      </c>
      <c r="AM2219">
        <v>87.780164526895206</v>
      </c>
      <c r="AN2219">
        <v>0.99999998063664497</v>
      </c>
    </row>
    <row r="2220" spans="1:40" x14ac:dyDescent="0.25">
      <c r="A2220" t="str">
        <f>"20190303161917546"</f>
        <v>20190303161917546</v>
      </c>
      <c r="B2220" t="str">
        <f>"1551601157534327"</f>
        <v>1551601157534327</v>
      </c>
      <c r="C2220" t="s">
        <v>40</v>
      </c>
      <c r="D2220">
        <v>4.4860519999999999</v>
      </c>
      <c r="E2220">
        <v>0.42982039999999999</v>
      </c>
      <c r="F2220" t="s">
        <v>41</v>
      </c>
      <c r="G2220">
        <v>-187.82079999999999</v>
      </c>
      <c r="H2220" s="1">
        <v>-1.2935239999999901E-6</v>
      </c>
      <c r="I2220">
        <v>311.50290000000001</v>
      </c>
      <c r="J2220">
        <v>-191.39250000000001</v>
      </c>
      <c r="K2220">
        <v>1.119801</v>
      </c>
      <c r="L2220">
        <v>336.32389999999998</v>
      </c>
      <c r="M2220">
        <v>-1.1525890000000001E-3</v>
      </c>
      <c r="N2220">
        <v>-2.5168819999999998E-3</v>
      </c>
      <c r="O2220">
        <v>-0.99999640000000001</v>
      </c>
      <c r="P2220">
        <v>-3.9886860000000003E-2</v>
      </c>
      <c r="Q2220">
        <v>0.1023611</v>
      </c>
      <c r="R2220">
        <v>-0.99394760000000004</v>
      </c>
      <c r="S2220">
        <v>0.43586730000000001</v>
      </c>
      <c r="T2220">
        <v>-0.1366841</v>
      </c>
      <c r="U2220">
        <v>-3.0489809999999999</v>
      </c>
      <c r="V2220">
        <v>3.8817450000000003E-2</v>
      </c>
      <c r="W2220">
        <v>0.104834</v>
      </c>
      <c r="X2220">
        <v>0.9937319</v>
      </c>
      <c r="Y2220">
        <v>-0.14252509999999999</v>
      </c>
      <c r="Z2220">
        <v>4.1816199999999998E-2</v>
      </c>
      <c r="AA2220">
        <v>0.98890750000000005</v>
      </c>
      <c r="AB2220">
        <v>16</v>
      </c>
      <c r="AC2220">
        <v>3.5717000000000199</v>
      </c>
      <c r="AD2220">
        <v>-1.119802293524</v>
      </c>
      <c r="AE2220">
        <v>-24.820999999999898</v>
      </c>
      <c r="AF2220">
        <v>-3.5931411023568098</v>
      </c>
      <c r="AG2220">
        <v>-1.119802293524</v>
      </c>
      <c r="AH2220">
        <v>24.767478396950299</v>
      </c>
      <c r="AI2220">
        <v>92.561945017910105</v>
      </c>
      <c r="AJ2220">
        <v>98.254594008088802</v>
      </c>
      <c r="AK2220">
        <v>25.0517984644103</v>
      </c>
      <c r="AL2220">
        <v>83.982397476713203</v>
      </c>
      <c r="AM2220">
        <v>87.763032585357806</v>
      </c>
      <c r="AN2220">
        <v>1.00000002552905</v>
      </c>
    </row>
    <row r="2221" spans="1:40" x14ac:dyDescent="0.25">
      <c r="A2221" t="str">
        <f>"20190303161917569"</f>
        <v>20190303161917569</v>
      </c>
      <c r="B2221" t="str">
        <f>"1551601157564583"</f>
        <v>1551601157564583</v>
      </c>
      <c r="C2221" t="s">
        <v>40</v>
      </c>
      <c r="D2221">
        <v>4.5979769999999904</v>
      </c>
      <c r="E2221">
        <v>0.42958950000000001</v>
      </c>
      <c r="F2221" t="s">
        <v>41</v>
      </c>
      <c r="G2221">
        <v>-187.84180000000001</v>
      </c>
      <c r="H2221" s="1">
        <v>-1.288459E-6</v>
      </c>
      <c r="I2221">
        <v>311.5043</v>
      </c>
      <c r="J2221">
        <v>-191.39349999999999</v>
      </c>
      <c r="K2221">
        <v>1.1197999999999999</v>
      </c>
      <c r="L2221">
        <v>336.15300000000002</v>
      </c>
      <c r="M2221">
        <v>-1.8236719999999999E-3</v>
      </c>
      <c r="N2221">
        <v>-2.5528669999999999E-3</v>
      </c>
      <c r="O2221">
        <v>-0.99999519999999997</v>
      </c>
      <c r="P2221">
        <v>-4.1178560000000003E-2</v>
      </c>
      <c r="Q2221">
        <v>0.1023307</v>
      </c>
      <c r="R2221">
        <v>-0.99389799999999995</v>
      </c>
      <c r="S2221">
        <v>0.43632510000000002</v>
      </c>
      <c r="T2221">
        <v>-0.13760749999999999</v>
      </c>
      <c r="U2221">
        <v>-3.049957</v>
      </c>
      <c r="V2221">
        <v>3.9442959999999999E-2</v>
      </c>
      <c r="W2221">
        <v>0.1048388</v>
      </c>
      <c r="X2221">
        <v>0.9937068</v>
      </c>
      <c r="Y2221">
        <v>-0.14328869999999999</v>
      </c>
      <c r="Z2221">
        <v>4.2061910000000001E-2</v>
      </c>
      <c r="AA2221">
        <v>0.98878670000000002</v>
      </c>
      <c r="AB2221">
        <v>16</v>
      </c>
      <c r="AC2221">
        <v>3.5516999999999799</v>
      </c>
      <c r="AD2221">
        <v>-1.1198012884589901</v>
      </c>
      <c r="AE2221">
        <v>-24.648700000000002</v>
      </c>
      <c r="AF2221">
        <v>-3.5893878384037099</v>
      </c>
      <c r="AG2221">
        <v>-1.1198012884589901</v>
      </c>
      <c r="AH2221">
        <v>24.592457288753799</v>
      </c>
      <c r="AI2221">
        <v>92.579828123228197</v>
      </c>
      <c r="AJ2221">
        <v>98.303960940777202</v>
      </c>
      <c r="AK2221">
        <v>24.878235779076</v>
      </c>
      <c r="AL2221">
        <v>83.982121157732905</v>
      </c>
      <c r="AM2221">
        <v>87.726965924999405</v>
      </c>
      <c r="AN2221">
        <v>1.00000006272261</v>
      </c>
    </row>
    <row r="2222" spans="1:40" x14ac:dyDescent="0.25">
      <c r="A2222" t="str">
        <f>"20190303161917591"</f>
        <v>20190303161917591</v>
      </c>
      <c r="B2222" t="str">
        <f>"1551601157585079"</f>
        <v>1551601157585079</v>
      </c>
      <c r="C2222" t="s">
        <v>40</v>
      </c>
      <c r="D2222">
        <v>4.7497490000000004</v>
      </c>
      <c r="E2222">
        <v>0.4646981</v>
      </c>
      <c r="F2222" t="s">
        <v>41</v>
      </c>
      <c r="G2222">
        <v>-187.90219999999999</v>
      </c>
      <c r="H2222" s="1">
        <v>-1.321093E-6</v>
      </c>
      <c r="I2222">
        <v>311.6311</v>
      </c>
      <c r="J2222">
        <v>-191.39449999999999</v>
      </c>
      <c r="K2222">
        <v>1.119794</v>
      </c>
      <c r="L2222">
        <v>335.98390000000001</v>
      </c>
      <c r="M2222">
        <v>-2.4820229999999999E-3</v>
      </c>
      <c r="N2222">
        <v>-2.5862340000000002E-3</v>
      </c>
      <c r="O2222">
        <v>-0.99999389999999999</v>
      </c>
      <c r="P2222">
        <v>-4.2480419999999998E-2</v>
      </c>
      <c r="Q2222">
        <v>0.10183440000000001</v>
      </c>
      <c r="R2222">
        <v>-0.99389400000000006</v>
      </c>
      <c r="S2222">
        <v>0.43435669999999998</v>
      </c>
      <c r="T2222">
        <v>-0.1393152</v>
      </c>
      <c r="U2222">
        <v>-3.0507810000000002</v>
      </c>
      <c r="V2222">
        <v>4.0090569999999999E-2</v>
      </c>
      <c r="W2222">
        <v>0.104375</v>
      </c>
      <c r="X2222">
        <v>0.99372969999999905</v>
      </c>
      <c r="Y2222">
        <v>-0.14327429999999999</v>
      </c>
      <c r="Z2222">
        <v>4.2570990000000003E-2</v>
      </c>
      <c r="AA2222">
        <v>0.98876699999999995</v>
      </c>
      <c r="AB2222">
        <v>16</v>
      </c>
      <c r="AC2222">
        <v>3.4923000000000002</v>
      </c>
      <c r="AD2222">
        <v>-1.1197953210930001</v>
      </c>
      <c r="AE2222">
        <v>-24.352799999999998</v>
      </c>
      <c r="AF2222">
        <v>-3.5453884504719202</v>
      </c>
      <c r="AG2222">
        <v>-1.1197953210930001</v>
      </c>
      <c r="AH2222">
        <v>24.293726285978099</v>
      </c>
      <c r="AI2222">
        <v>92.611499877966807</v>
      </c>
      <c r="AJ2222">
        <v>98.303041489954495</v>
      </c>
      <c r="AK2222">
        <v>24.576591661251701</v>
      </c>
      <c r="AL2222">
        <v>84.0088414930715</v>
      </c>
      <c r="AM2222">
        <v>87.689738503334198</v>
      </c>
      <c r="AN2222">
        <v>1.0000000555449999</v>
      </c>
    </row>
    <row r="2223" spans="1:40" x14ac:dyDescent="0.25">
      <c r="A2223" t="str">
        <f>"20190303161917613"</f>
        <v>20190303161917613</v>
      </c>
      <c r="B2223" t="str">
        <f>"1551601157604599"</f>
        <v>1551601157604599</v>
      </c>
      <c r="C2223" t="s">
        <v>40</v>
      </c>
      <c r="D2223">
        <v>4.6084050000000003</v>
      </c>
      <c r="E2223">
        <v>0.48264020000000002</v>
      </c>
      <c r="F2223" t="s">
        <v>49</v>
      </c>
      <c r="G2223">
        <v>-185.7191</v>
      </c>
      <c r="H2223" s="1">
        <v>2.1127659999999998E-6</v>
      </c>
      <c r="I2223">
        <v>222.5761</v>
      </c>
      <c r="J2223">
        <v>-191.3956</v>
      </c>
      <c r="K2223">
        <v>1.119785</v>
      </c>
      <c r="L2223">
        <v>335.8236</v>
      </c>
      <c r="M2223">
        <v>-3.0982700000000002E-3</v>
      </c>
      <c r="N2223">
        <v>-2.6167170000000002E-3</v>
      </c>
      <c r="O2223">
        <v>-0.99999199999999999</v>
      </c>
      <c r="P2223">
        <v>-4.3969929999999997E-2</v>
      </c>
      <c r="Q2223">
        <v>0.1013367</v>
      </c>
      <c r="R2223">
        <v>-0.99388030000000005</v>
      </c>
      <c r="S2223">
        <v>0.151535</v>
      </c>
      <c r="T2223">
        <v>-2.989841E-2</v>
      </c>
      <c r="U2223">
        <v>-3.0279850000000001</v>
      </c>
      <c r="V2223">
        <v>4.0967299999999998E-2</v>
      </c>
      <c r="W2223">
        <v>0.1039069</v>
      </c>
      <c r="X2223">
        <v>0.99374289999999998</v>
      </c>
      <c r="Y2223">
        <v>-5.3074299999999998E-2</v>
      </c>
      <c r="Z2223">
        <v>7.2435249999999998E-3</v>
      </c>
      <c r="AA2223">
        <v>0.99856429999999996</v>
      </c>
      <c r="AB2223">
        <v>17</v>
      </c>
      <c r="AC2223">
        <v>5.6764999999999999</v>
      </c>
      <c r="AD2223">
        <v>-1.1197828872339901</v>
      </c>
      <c r="AE2223">
        <v>-113.2475</v>
      </c>
      <c r="AF2223">
        <v>-6.0267574435267202</v>
      </c>
      <c r="AG2223">
        <v>-1.1197828872339901</v>
      </c>
      <c r="AH2223">
        <v>113.21832732648799</v>
      </c>
      <c r="AI2223">
        <v>90.565862836119706</v>
      </c>
      <c r="AJ2223">
        <v>93.047052327505199</v>
      </c>
      <c r="AK2223">
        <v>113.384149516612</v>
      </c>
      <c r="AL2223">
        <v>84.035807689427003</v>
      </c>
      <c r="AM2223">
        <v>87.639303881661206</v>
      </c>
      <c r="AN2223">
        <v>0.999999957418654</v>
      </c>
    </row>
    <row r="2224" spans="1:40" x14ac:dyDescent="0.25">
      <c r="A2224" t="str">
        <f>"20190303161917636"</f>
        <v>20190303161917636</v>
      </c>
      <c r="B2224" t="str">
        <f>"1551601157625095"</f>
        <v>1551601157625095</v>
      </c>
      <c r="C2224" t="s">
        <v>40</v>
      </c>
      <c r="D2224">
        <v>4.6207719999999997</v>
      </c>
      <c r="E2224">
        <v>0.49127910000000002</v>
      </c>
      <c r="F2224" t="s">
        <v>49</v>
      </c>
      <c r="G2224">
        <v>-191.24160000000001</v>
      </c>
      <c r="H2224" s="1">
        <v>3.078378E-7</v>
      </c>
      <c r="I2224">
        <v>228.42339999999999</v>
      </c>
      <c r="J2224">
        <v>-191.39689999999999</v>
      </c>
      <c r="K2224">
        <v>1.119783</v>
      </c>
      <c r="L2224">
        <v>335.65120000000002</v>
      </c>
      <c r="M2224">
        <v>-3.748304E-3</v>
      </c>
      <c r="N2224">
        <v>-2.6525619999999998E-3</v>
      </c>
      <c r="O2224">
        <v>-0.99998949999999998</v>
      </c>
      <c r="P2224">
        <v>-4.5453670000000002E-2</v>
      </c>
      <c r="Q2224">
        <v>0.1013805</v>
      </c>
      <c r="R2224">
        <v>-0.9938089</v>
      </c>
      <c r="S2224">
        <v>4.333496E-3</v>
      </c>
      <c r="T2224">
        <v>-3.1506659999999999E-2</v>
      </c>
      <c r="U2224">
        <v>-3.0218509999999998</v>
      </c>
      <c r="V2224">
        <v>4.1804630000000002E-2</v>
      </c>
      <c r="W2224">
        <v>0.1039861</v>
      </c>
      <c r="X2224">
        <v>0.99369980000000002</v>
      </c>
      <c r="Y2224">
        <v>-5.1822220000000002E-3</v>
      </c>
      <c r="Z2224">
        <v>7.7730669999999998E-3</v>
      </c>
      <c r="AA2224">
        <v>0.99995639999999997</v>
      </c>
      <c r="AB2224">
        <v>17</v>
      </c>
      <c r="AC2224">
        <v>0.15529999999998201</v>
      </c>
      <c r="AD2224">
        <v>-1.1197826921621901</v>
      </c>
      <c r="AE2224">
        <v>-107.2278</v>
      </c>
      <c r="AF2224">
        <v>-0.55716193521856405</v>
      </c>
      <c r="AG2224">
        <v>-1.1197826921621901</v>
      </c>
      <c r="AH2224">
        <v>107.214772140481</v>
      </c>
      <c r="AI2224">
        <v>90.598384177926206</v>
      </c>
      <c r="AJ2224">
        <v>90.297745724716805</v>
      </c>
      <c r="AK2224">
        <v>107.222067261525</v>
      </c>
      <c r="AL2224">
        <v>84.031245488455099</v>
      </c>
      <c r="AM2224">
        <v>87.5910055629341</v>
      </c>
      <c r="AN2224">
        <v>1.0000000143013399</v>
      </c>
    </row>
    <row r="2225" spans="1:40" x14ac:dyDescent="0.25">
      <c r="A2225" t="str">
        <f>"20190303161917660"</f>
        <v>20190303161917660</v>
      </c>
      <c r="B2225" t="str">
        <f>"1551601157644615"</f>
        <v>1551601157644615</v>
      </c>
      <c r="C2225" t="s">
        <v>40</v>
      </c>
      <c r="D2225">
        <v>4.588336</v>
      </c>
      <c r="E2225">
        <v>0.49535079999999998</v>
      </c>
      <c r="F2225" t="s">
        <v>49</v>
      </c>
      <c r="G2225">
        <v>-194.2106</v>
      </c>
      <c r="H2225" s="1">
        <v>3.4182289999999999E-6</v>
      </c>
      <c r="I2225">
        <v>212.32259999999999</v>
      </c>
      <c r="J2225">
        <v>-191.39830000000001</v>
      </c>
      <c r="K2225">
        <v>1.1197889999999999</v>
      </c>
      <c r="L2225">
        <v>335.47250000000003</v>
      </c>
      <c r="M2225">
        <v>-4.4012560000000001E-3</v>
      </c>
      <c r="N2225">
        <v>-2.698022E-3</v>
      </c>
      <c r="O2225">
        <v>-0.99998659999999995</v>
      </c>
      <c r="P2225">
        <v>-4.6970959999999999E-2</v>
      </c>
      <c r="Q2225">
        <v>0.100772</v>
      </c>
      <c r="R2225">
        <v>-0.99380029999999997</v>
      </c>
      <c r="S2225">
        <v>-6.8862919999999994E-2</v>
      </c>
      <c r="T2225">
        <v>-2.7405740000000001E-2</v>
      </c>
      <c r="U2225">
        <v>-3.0183719999999998</v>
      </c>
      <c r="V2225">
        <v>4.2670909999999999E-2</v>
      </c>
      <c r="W2225">
        <v>0.10342320000000001</v>
      </c>
      <c r="X2225">
        <v>0.99372169999999904</v>
      </c>
      <c r="Y2225">
        <v>1.8407550000000002E-2</v>
      </c>
      <c r="Z2225">
        <v>6.3793790000000001E-3</v>
      </c>
      <c r="AA2225">
        <v>0.99981019999999998</v>
      </c>
      <c r="AB2225">
        <v>17</v>
      </c>
      <c r="AC2225">
        <v>-2.8122999999999898</v>
      </c>
      <c r="AD2225">
        <v>-1.1197855817709901</v>
      </c>
      <c r="AE2225">
        <v>-123.1499</v>
      </c>
      <c r="AF2225">
        <v>2.2700689195587098</v>
      </c>
      <c r="AG2225">
        <v>-1.1197855817709901</v>
      </c>
      <c r="AH2225">
        <v>123.150908075129</v>
      </c>
      <c r="AI2225">
        <v>90.520875763474706</v>
      </c>
      <c r="AJ2225">
        <v>88.9439733579283</v>
      </c>
      <c r="AK2225">
        <v>123.176918667328</v>
      </c>
      <c r="AL2225">
        <v>84.063671983609197</v>
      </c>
      <c r="AM2225">
        <v>87.541200893901703</v>
      </c>
      <c r="AN2225">
        <v>0.99999999095467795</v>
      </c>
    </row>
    <row r="2226" spans="1:40" x14ac:dyDescent="0.25">
      <c r="A2226" t="str">
        <f>"20190303161917682"</f>
        <v>20190303161917682</v>
      </c>
      <c r="B2226" t="str">
        <f>"1551601157674871"</f>
        <v>1551601157674871</v>
      </c>
      <c r="C2226" t="s">
        <v>40</v>
      </c>
      <c r="D2226">
        <v>4.5831280000000003</v>
      </c>
      <c r="E2226">
        <v>0.49815389999999998</v>
      </c>
      <c r="F2226" t="s">
        <v>49</v>
      </c>
      <c r="G2226">
        <v>-195.81319999999999</v>
      </c>
      <c r="H2226" s="1">
        <v>3.3537460000000002E-6</v>
      </c>
      <c r="I2226">
        <v>209.80860000000001</v>
      </c>
      <c r="J2226">
        <v>-191.3999</v>
      </c>
      <c r="K2226">
        <v>1.1198060000000001</v>
      </c>
      <c r="L2226">
        <v>335.29820000000001</v>
      </c>
      <c r="M2226">
        <v>-5.0114740000000001E-3</v>
      </c>
      <c r="N2226">
        <v>-2.7538279999999998E-3</v>
      </c>
      <c r="O2226">
        <v>-0.99998379999999998</v>
      </c>
      <c r="P2226">
        <v>-4.8085910000000003E-2</v>
      </c>
      <c r="Q2226">
        <v>0.1003124</v>
      </c>
      <c r="R2226">
        <v>-0.9937937</v>
      </c>
      <c r="S2226">
        <v>-0.10597230000000001</v>
      </c>
      <c r="T2226">
        <v>-2.6879190000000001E-2</v>
      </c>
      <c r="U2226">
        <v>-3.0164179999999998</v>
      </c>
      <c r="V2226">
        <v>4.3176359999999997E-2</v>
      </c>
      <c r="W2226">
        <v>0.1030195</v>
      </c>
      <c r="X2226">
        <v>0.99374180000000001</v>
      </c>
      <c r="Y2226">
        <v>3.0100180000000001E-2</v>
      </c>
      <c r="Z2226">
        <v>6.1521650000000002E-3</v>
      </c>
      <c r="AA2226">
        <v>0.99952790000000002</v>
      </c>
      <c r="AB2226">
        <v>17</v>
      </c>
      <c r="AC2226">
        <v>-4.4132999999999898</v>
      </c>
      <c r="AD2226">
        <v>-1.1198026462539901</v>
      </c>
      <c r="AE2226">
        <v>-125.4896</v>
      </c>
      <c r="AF2226">
        <v>3.7840534755812301</v>
      </c>
      <c r="AG2226">
        <v>-1.1198026462539901</v>
      </c>
      <c r="AH2226">
        <v>125.500160348745</v>
      </c>
      <c r="AI2226">
        <v>90.510988352852394</v>
      </c>
      <c r="AJ2226">
        <v>88.272953389816095</v>
      </c>
      <c r="AK2226">
        <v>125.562188839767</v>
      </c>
      <c r="AL2226">
        <v>84.086926502145104</v>
      </c>
      <c r="AM2226">
        <v>87.512162305519396</v>
      </c>
      <c r="AN2226">
        <v>0.99999999025516895</v>
      </c>
    </row>
    <row r="2227" spans="1:40" x14ac:dyDescent="0.25">
      <c r="A2227" t="str">
        <f>"20190303161917703"</f>
        <v>20190303161917703</v>
      </c>
      <c r="B2227" t="str">
        <f>"1551601157694391"</f>
        <v>1551601157694391</v>
      </c>
      <c r="C2227" t="s">
        <v>40</v>
      </c>
      <c r="D2227">
        <v>4.6259249999999996</v>
      </c>
      <c r="E2227">
        <v>0.49920019999999998</v>
      </c>
      <c r="F2227" t="s">
        <v>41</v>
      </c>
      <c r="G2227">
        <v>-195.33770000000001</v>
      </c>
      <c r="H2227" s="1">
        <v>-3.9001259999999996E-6</v>
      </c>
      <c r="I2227">
        <v>244.97669999999999</v>
      </c>
      <c r="J2227">
        <v>-191.4014</v>
      </c>
      <c r="K2227">
        <v>1.1198330000000001</v>
      </c>
      <c r="L2227">
        <v>335.13199999999898</v>
      </c>
      <c r="M2227">
        <v>-5.5634689999999997E-3</v>
      </c>
      <c r="N2227">
        <v>-2.8184289999999999E-3</v>
      </c>
      <c r="O2227">
        <v>-0.99998089999999995</v>
      </c>
      <c r="P2227">
        <v>-4.935643E-2</v>
      </c>
      <c r="Q2227">
        <v>0.100049</v>
      </c>
      <c r="R2227">
        <v>-0.99375809999999998</v>
      </c>
      <c r="S2227">
        <v>-0.13150020000000001</v>
      </c>
      <c r="T2227">
        <v>-3.739464E-2</v>
      </c>
      <c r="U2227">
        <v>-3.0161739999999999</v>
      </c>
      <c r="V2227">
        <v>4.3894559999999999E-2</v>
      </c>
      <c r="W2227">
        <v>0.1028213</v>
      </c>
      <c r="X2227">
        <v>0.99373089999999997</v>
      </c>
      <c r="Y2227">
        <v>3.7995290000000001E-2</v>
      </c>
      <c r="Z2227">
        <v>9.5685200000000005E-3</v>
      </c>
      <c r="AA2227">
        <v>0.99923209999999996</v>
      </c>
      <c r="AB2227">
        <v>17</v>
      </c>
      <c r="AC2227">
        <v>-3.9363000000000099</v>
      </c>
      <c r="AD2227">
        <v>-1.119836900126</v>
      </c>
      <c r="AE2227">
        <v>-90.155299999999897</v>
      </c>
      <c r="AF2227">
        <v>3.4341322152009499</v>
      </c>
      <c r="AG2227">
        <v>-1.119836900126</v>
      </c>
      <c r="AH2227">
        <v>90.161920019263505</v>
      </c>
      <c r="AI2227">
        <v>90.7110778689662</v>
      </c>
      <c r="AJ2227">
        <v>87.818744149382397</v>
      </c>
      <c r="AK2227">
        <v>90.234245828922596</v>
      </c>
      <c r="AL2227">
        <v>84.098343369683306</v>
      </c>
      <c r="AM2227">
        <v>87.470804950317202</v>
      </c>
      <c r="AN2227">
        <v>1.00000002687304</v>
      </c>
    </row>
    <row r="2228" spans="1:40" x14ac:dyDescent="0.25">
      <c r="A2228" t="str">
        <f>"20190303161917725"</f>
        <v>20190303161917725</v>
      </c>
      <c r="B2228" t="str">
        <f>"1551601157714887"</f>
        <v>1551601157714887</v>
      </c>
      <c r="C2228" t="s">
        <v>40</v>
      </c>
      <c r="D2228">
        <v>4.6517730000000004</v>
      </c>
      <c r="E2228">
        <v>0.49974689999999999</v>
      </c>
      <c r="F2228" t="s">
        <v>41</v>
      </c>
      <c r="G2228">
        <v>-195.28710000000001</v>
      </c>
      <c r="H2228" s="1">
        <v>-3.1140760000000002E-6</v>
      </c>
      <c r="I2228">
        <v>253.56890000000001</v>
      </c>
      <c r="J2228">
        <v>-191.40289999999999</v>
      </c>
      <c r="K2228">
        <v>1.1198589999999999</v>
      </c>
      <c r="L2228">
        <v>334.95920000000001</v>
      </c>
      <c r="M2228">
        <v>-6.1033800000000003E-3</v>
      </c>
      <c r="N2228">
        <v>-2.8966370000000001E-3</v>
      </c>
      <c r="O2228">
        <v>-0.99997729999999996</v>
      </c>
      <c r="P2228">
        <v>-5.0577160000000003E-2</v>
      </c>
      <c r="Q2228">
        <v>0.1009651</v>
      </c>
      <c r="R2228">
        <v>-0.99360380000000004</v>
      </c>
      <c r="S2228">
        <v>-0.14367679999999999</v>
      </c>
      <c r="T2228">
        <v>-4.1406510000000001E-2</v>
      </c>
      <c r="U2228">
        <v>-3.0158390000000002</v>
      </c>
      <c r="V2228">
        <v>4.4575509999999999E-2</v>
      </c>
      <c r="W2228">
        <v>0.1038163</v>
      </c>
      <c r="X2228">
        <v>0.99359710000000001</v>
      </c>
      <c r="Y2228">
        <v>4.1485599999999997E-2</v>
      </c>
      <c r="Z2228">
        <v>1.0818319999999999E-2</v>
      </c>
      <c r="AA2228">
        <v>0.99908050000000004</v>
      </c>
      <c r="AB2228">
        <v>17</v>
      </c>
      <c r="AC2228">
        <v>-3.8842000000000199</v>
      </c>
      <c r="AD2228">
        <v>-1.1198621140759999</v>
      </c>
      <c r="AE2228">
        <v>-81.390299999999996</v>
      </c>
      <c r="AF2228">
        <v>3.3867299999460498</v>
      </c>
      <c r="AG2228">
        <v>-1.1198621140759999</v>
      </c>
      <c r="AH2228">
        <v>81.397116237516499</v>
      </c>
      <c r="AI2228">
        <v>90.787544707531396</v>
      </c>
      <c r="AJ2228">
        <v>87.617440464122097</v>
      </c>
      <c r="AK2228">
        <v>81.475238956574103</v>
      </c>
      <c r="AL2228">
        <v>84.041027160881697</v>
      </c>
      <c r="AM2228">
        <v>87.431275498248397</v>
      </c>
      <c r="AN2228">
        <v>0.99999999868292999</v>
      </c>
    </row>
    <row r="2229" spans="1:40" x14ac:dyDescent="0.25">
      <c r="A2229" t="str">
        <f>"20190303161917747"</f>
        <v>20190303161917747</v>
      </c>
      <c r="B2229" t="str">
        <f>"1551601157734408"</f>
        <v>1551601157734408</v>
      </c>
      <c r="C2229" t="s">
        <v>40</v>
      </c>
      <c r="D2229">
        <v>4.6581640000000002</v>
      </c>
      <c r="E2229">
        <v>0.50009799999999904</v>
      </c>
      <c r="F2229" t="s">
        <v>41</v>
      </c>
      <c r="G2229">
        <v>-195.2901</v>
      </c>
      <c r="H2229" s="1">
        <v>-4.6213439999999996E-6</v>
      </c>
      <c r="I2229">
        <v>257.80930000000001</v>
      </c>
      <c r="J2229">
        <v>-191.40459999999999</v>
      </c>
      <c r="K2229">
        <v>1.119901</v>
      </c>
      <c r="L2229">
        <v>334.78339999999997</v>
      </c>
      <c r="M2229">
        <v>-6.6146130000000001E-3</v>
      </c>
      <c r="N2229">
        <v>-2.9876099999999999E-3</v>
      </c>
      <c r="O2229">
        <v>-0.99997400000000003</v>
      </c>
      <c r="P2229">
        <v>-5.1502409999999998E-2</v>
      </c>
      <c r="Q2229">
        <v>0.10133499999999999</v>
      </c>
      <c r="R2229">
        <v>-0.99351880000000004</v>
      </c>
      <c r="S2229">
        <v>-0.15196229999999999</v>
      </c>
      <c r="T2229">
        <v>-4.3778900000000003E-2</v>
      </c>
      <c r="U2229">
        <v>-3.016022</v>
      </c>
      <c r="V2229">
        <v>4.4988449999999999E-2</v>
      </c>
      <c r="W2229">
        <v>0.1042783</v>
      </c>
      <c r="X2229">
        <v>0.99353009999999997</v>
      </c>
      <c r="Y2229">
        <v>4.3709339999999999E-2</v>
      </c>
      <c r="Z2229">
        <v>1.151045E-2</v>
      </c>
      <c r="AA2229">
        <v>0.99897800000000003</v>
      </c>
      <c r="AB2229">
        <v>18</v>
      </c>
      <c r="AC2229">
        <v>-3.8855</v>
      </c>
      <c r="AD2229">
        <v>-1.119905621344</v>
      </c>
      <c r="AE2229">
        <v>-76.974099999999893</v>
      </c>
      <c r="AF2229">
        <v>3.3755463057827799</v>
      </c>
      <c r="AG2229">
        <v>-1.119905621344</v>
      </c>
      <c r="AH2229">
        <v>76.981863352329896</v>
      </c>
      <c r="AI2229">
        <v>90.832660483674204</v>
      </c>
      <c r="AJ2229">
        <v>87.489269051988998</v>
      </c>
      <c r="AK2229">
        <v>77.063972040506599</v>
      </c>
      <c r="AL2229">
        <v>84.014412013098706</v>
      </c>
      <c r="AM2229">
        <v>87.407336996010002</v>
      </c>
      <c r="AN2229">
        <v>0.999999992045151</v>
      </c>
    </row>
    <row r="2230" spans="1:40" x14ac:dyDescent="0.25">
      <c r="A2230" t="str">
        <f>"20190303161917770"</f>
        <v>20190303161917770</v>
      </c>
      <c r="B2230" t="str">
        <f>"1551601157764663"</f>
        <v>1551601157764663</v>
      </c>
      <c r="C2230" t="s">
        <v>40</v>
      </c>
      <c r="D2230">
        <v>4.8099780000000001</v>
      </c>
      <c r="E2230">
        <v>0.50101169999999995</v>
      </c>
      <c r="F2230" t="s">
        <v>41</v>
      </c>
      <c r="G2230">
        <v>-195.53620000000001</v>
      </c>
      <c r="H2230" s="1">
        <v>-3.9618690000000003E-6</v>
      </c>
      <c r="I2230">
        <v>255.7432</v>
      </c>
      <c r="J2230">
        <v>-191.40639999999999</v>
      </c>
      <c r="K2230">
        <v>1.119929</v>
      </c>
      <c r="L2230">
        <v>334.601</v>
      </c>
      <c r="M2230">
        <v>-7.1145509999999898E-3</v>
      </c>
      <c r="N2230">
        <v>-3.0888959999999998E-3</v>
      </c>
      <c r="O2230">
        <v>-0.99997009999999997</v>
      </c>
      <c r="P2230">
        <v>-5.2268050000000003E-2</v>
      </c>
      <c r="Q2230">
        <v>0.10163949999999999</v>
      </c>
      <c r="R2230">
        <v>-0.99344719999999997</v>
      </c>
      <c r="S2230">
        <v>-0.15763849999999999</v>
      </c>
      <c r="T2230">
        <v>-4.2729499999999997E-2</v>
      </c>
      <c r="U2230">
        <v>-3.0157470000000002</v>
      </c>
      <c r="V2230">
        <v>4.5253799999999997E-2</v>
      </c>
      <c r="W2230">
        <v>0.10468470000000001</v>
      </c>
      <c r="X2230">
        <v>0.99347529999999995</v>
      </c>
      <c r="Y2230">
        <v>4.5089949999999997E-2</v>
      </c>
      <c r="Z2230">
        <v>1.10619E-2</v>
      </c>
      <c r="AA2230">
        <v>0.99892170000000002</v>
      </c>
      <c r="AB2230">
        <v>18</v>
      </c>
      <c r="AC2230">
        <v>-4.1298000000000101</v>
      </c>
      <c r="AD2230">
        <v>-1.1199329618689999</v>
      </c>
      <c r="AE2230">
        <v>-78.857799999999997</v>
      </c>
      <c r="AF2230">
        <v>3.5679373971627601</v>
      </c>
      <c r="AG2230">
        <v>-1.1199329618689999</v>
      </c>
      <c r="AH2230">
        <v>78.869321973630093</v>
      </c>
      <c r="AI2230">
        <v>90.812706026359507</v>
      </c>
      <c r="AJ2230">
        <v>87.409785396658293</v>
      </c>
      <c r="AK2230">
        <v>78.957927883710894</v>
      </c>
      <c r="AL2230">
        <v>83.990998804851003</v>
      </c>
      <c r="AM2230">
        <v>87.391922397589894</v>
      </c>
      <c r="AN2230">
        <v>0.99999998226930897</v>
      </c>
    </row>
    <row r="2231" spans="1:40" x14ac:dyDescent="0.25">
      <c r="A2231" t="str">
        <f>"20190303161917793"</f>
        <v>20190303161917793</v>
      </c>
      <c r="B2231" t="str">
        <f>"1551601157784603"</f>
        <v>1551601157784603</v>
      </c>
      <c r="C2231" t="s">
        <v>40</v>
      </c>
      <c r="D2231">
        <v>4.7041339999999998</v>
      </c>
      <c r="E2231">
        <v>0.52938560000000001</v>
      </c>
      <c r="F2231" t="s">
        <v>41</v>
      </c>
      <c r="G2231">
        <v>-196.00229999999999</v>
      </c>
      <c r="H2231" s="1">
        <v>-2.568744E-6</v>
      </c>
      <c r="I2231">
        <v>251.85409999999999</v>
      </c>
      <c r="J2231">
        <v>-191.40819999999999</v>
      </c>
      <c r="K2231">
        <v>1.119955</v>
      </c>
      <c r="L2231">
        <v>334.4203</v>
      </c>
      <c r="M2231">
        <v>-7.58310699999999E-3</v>
      </c>
      <c r="N2231">
        <v>-3.1971349999999998E-3</v>
      </c>
      <c r="O2231">
        <v>-0.99996629999999997</v>
      </c>
      <c r="P2231">
        <v>-5.2631200000000003E-2</v>
      </c>
      <c r="Q2231">
        <v>0.1016741</v>
      </c>
      <c r="R2231">
        <v>-0.99342490000000006</v>
      </c>
      <c r="S2231">
        <v>-0.16746520000000001</v>
      </c>
      <c r="T2231">
        <v>-4.0807719999999999E-2</v>
      </c>
      <c r="U2231">
        <v>-3.0151059999999998</v>
      </c>
      <c r="V2231">
        <v>4.5148809999999998E-2</v>
      </c>
      <c r="W2231">
        <v>0.1048284</v>
      </c>
      <c r="X2231">
        <v>0.99346489999999998</v>
      </c>
      <c r="Y2231">
        <v>4.7879289999999998E-2</v>
      </c>
      <c r="Z2231">
        <v>1.031819E-2</v>
      </c>
      <c r="AA2231">
        <v>0.99879989999999996</v>
      </c>
      <c r="AB2231">
        <v>18</v>
      </c>
      <c r="AC2231">
        <v>-4.5940999999999903</v>
      </c>
      <c r="AD2231">
        <v>-1.119957568744</v>
      </c>
      <c r="AE2231">
        <v>-82.566199999999995</v>
      </c>
      <c r="AF2231">
        <v>3.9671288148972201</v>
      </c>
      <c r="AG2231">
        <v>-1.119957568744</v>
      </c>
      <c r="AH2231">
        <v>82.583515948065596</v>
      </c>
      <c r="AI2231">
        <v>90.776075107813995</v>
      </c>
      <c r="AJ2231">
        <v>87.249752134592597</v>
      </c>
      <c r="AK2231">
        <v>82.686332137386401</v>
      </c>
      <c r="AL2231">
        <v>83.982719703001806</v>
      </c>
      <c r="AM2231">
        <v>87.397937678295094</v>
      </c>
      <c r="AN2231">
        <v>0.999999958011492</v>
      </c>
    </row>
    <row r="2232" spans="1:40" x14ac:dyDescent="0.25">
      <c r="A2232" t="str">
        <f>"20190303161917815"</f>
        <v>20190303161917815</v>
      </c>
      <c r="B2232" t="str">
        <f>"1551601157805099"</f>
        <v>1551601157805099</v>
      </c>
      <c r="C2232" t="s">
        <v>40</v>
      </c>
      <c r="D2232">
        <v>4.7439850000000003</v>
      </c>
      <c r="E2232">
        <v>0.53420449999999997</v>
      </c>
      <c r="F2232" t="s">
        <v>41</v>
      </c>
      <c r="G2232">
        <v>-200.85120000000001</v>
      </c>
      <c r="H2232">
        <v>7.9986009999999996E-2</v>
      </c>
      <c r="I2232">
        <v>262.5016</v>
      </c>
      <c r="J2232">
        <v>-191.4101</v>
      </c>
      <c r="K2232">
        <v>1.1199840000000001</v>
      </c>
      <c r="L2232">
        <v>334.23779999999999</v>
      </c>
      <c r="M2232">
        <v>-8.0346730000000009E-3</v>
      </c>
      <c r="N2232">
        <v>-3.3176429999999999E-3</v>
      </c>
      <c r="O2232">
        <v>-0.99996220000000002</v>
      </c>
      <c r="P2232">
        <v>-5.3629120000000002E-2</v>
      </c>
      <c r="Q2232">
        <v>0.1021349</v>
      </c>
      <c r="R2232">
        <v>-0.99332379999999998</v>
      </c>
      <c r="S2232">
        <v>-0.39434809999999998</v>
      </c>
      <c r="T2232">
        <v>-4.3430450000000002E-2</v>
      </c>
      <c r="U2232">
        <v>-3.0034179999999999</v>
      </c>
      <c r="V2232">
        <v>4.5697790000000002E-2</v>
      </c>
      <c r="W2232">
        <v>0.1054088</v>
      </c>
      <c r="X2232">
        <v>0.99337839999999999</v>
      </c>
      <c r="Y2232">
        <v>0.1222004</v>
      </c>
      <c r="Z2232">
        <v>1.102678E-2</v>
      </c>
      <c r="AA2232">
        <v>0.9924442</v>
      </c>
      <c r="AB2232">
        <v>18</v>
      </c>
      <c r="AC2232">
        <v>-9.4411000000000005</v>
      </c>
      <c r="AD2232">
        <v>-1.03999799</v>
      </c>
      <c r="AE2232">
        <v>-71.736199999999997</v>
      </c>
      <c r="AF2232">
        <v>8.8625841504445795</v>
      </c>
      <c r="AG2232">
        <v>-1.03999799</v>
      </c>
      <c r="AH2232">
        <v>71.794908178619195</v>
      </c>
      <c r="AI2232">
        <v>90.823659280650602</v>
      </c>
      <c r="AJ2232">
        <v>82.962833325884503</v>
      </c>
      <c r="AK2232">
        <v>72.347327760044294</v>
      </c>
      <c r="AL2232">
        <v>83.949280063510102</v>
      </c>
      <c r="AM2232">
        <v>87.366113576210907</v>
      </c>
      <c r="AN2232">
        <v>0.99999997435744103</v>
      </c>
    </row>
    <row r="2233" spans="1:40" x14ac:dyDescent="0.25">
      <c r="A2233" t="str">
        <f>"20190303161917849"</f>
        <v>20190303161917849</v>
      </c>
      <c r="B2233" t="str">
        <f>"1551601157845115"</f>
        <v>1551601157845115</v>
      </c>
      <c r="C2233" t="s">
        <v>40</v>
      </c>
      <c r="D2233">
        <v>4.661467</v>
      </c>
      <c r="E2233">
        <v>0.53502280000000002</v>
      </c>
      <c r="F2233" t="s">
        <v>49</v>
      </c>
      <c r="G2233">
        <v>-208.36859999999999</v>
      </c>
      <c r="H2233" s="1">
        <v>5.66857499999999E-6</v>
      </c>
      <c r="I2233">
        <v>217.58519999999999</v>
      </c>
      <c r="J2233">
        <v>-191.41309999999999</v>
      </c>
      <c r="K2233">
        <v>1.1200190000000001</v>
      </c>
      <c r="L2233">
        <v>333.96839999999997</v>
      </c>
      <c r="M2233">
        <v>-8.6762769999999996E-3</v>
      </c>
      <c r="N2233">
        <v>-3.536792E-3</v>
      </c>
      <c r="O2233">
        <v>-0.99995630000000002</v>
      </c>
      <c r="P2233">
        <v>-5.3142559999999998E-2</v>
      </c>
      <c r="Q2233">
        <v>0.10205069999999999</v>
      </c>
      <c r="R2233">
        <v>-0.99335890000000004</v>
      </c>
      <c r="S2233">
        <v>-0.4360657</v>
      </c>
      <c r="T2233">
        <v>-2.8798819999999999E-2</v>
      </c>
      <c r="U2233">
        <v>-2.9995729999999998</v>
      </c>
      <c r="V2233">
        <v>4.4574040000000002E-2</v>
      </c>
      <c r="W2233">
        <v>0.105543</v>
      </c>
      <c r="X2233">
        <v>0.99341520000000005</v>
      </c>
      <c r="Y2233">
        <v>0.13526649999999901</v>
      </c>
      <c r="Z2233">
        <v>5.9714420000000004E-3</v>
      </c>
      <c r="AA2233">
        <v>0.99079130000000004</v>
      </c>
      <c r="AB2233">
        <v>18</v>
      </c>
      <c r="AC2233">
        <v>-16.955500000000001</v>
      </c>
      <c r="AD2233">
        <v>-1.120013331425</v>
      </c>
      <c r="AE2233">
        <v>-116.3832</v>
      </c>
      <c r="AF2233">
        <v>15.943636914415499</v>
      </c>
      <c r="AG2233">
        <v>-1.120013331425</v>
      </c>
      <c r="AH2233">
        <v>116.51536442008801</v>
      </c>
      <c r="AI2233">
        <v>90.545658767724404</v>
      </c>
      <c r="AJ2233">
        <v>82.2081974735286</v>
      </c>
      <c r="AK2233">
        <v>117.60647998247001</v>
      </c>
      <c r="AL2233">
        <v>83.941547779775703</v>
      </c>
      <c r="AM2233">
        <v>87.430890393011396</v>
      </c>
      <c r="AN2233">
        <v>0.99999996474097996</v>
      </c>
    </row>
    <row r="2234" spans="1:40" x14ac:dyDescent="0.25">
      <c r="A2234" t="str">
        <f>"20190303161917872"</f>
        <v>20190303161917872</v>
      </c>
      <c r="B2234" t="str">
        <f>"1551601157864635"</f>
        <v>1551601157864635</v>
      </c>
      <c r="C2234" t="s">
        <v>40</v>
      </c>
      <c r="D2234">
        <v>4.6771750000000001</v>
      </c>
      <c r="E2234">
        <v>0.53544740000000002</v>
      </c>
      <c r="F2234" t="s">
        <v>49</v>
      </c>
      <c r="G2234">
        <v>-209.71459999999999</v>
      </c>
      <c r="H2234" s="1">
        <v>6.9556199999999997E-6</v>
      </c>
      <c r="I2234">
        <v>209.69049999999999</v>
      </c>
      <c r="J2234">
        <v>-191.4153</v>
      </c>
      <c r="K2234">
        <v>1.1200460000000001</v>
      </c>
      <c r="L2234">
        <v>333.77210000000002</v>
      </c>
      <c r="M2234">
        <v>-9.1364359999999995E-3</v>
      </c>
      <c r="N2234">
        <v>-3.7638490000000001E-3</v>
      </c>
      <c r="O2234">
        <v>-0.99995149999999999</v>
      </c>
      <c r="P2234">
        <v>-5.2441679999999997E-2</v>
      </c>
      <c r="Q2234">
        <v>0.1023206</v>
      </c>
      <c r="R2234">
        <v>-0.99336860000000005</v>
      </c>
      <c r="S2234">
        <v>-0.44166559999999999</v>
      </c>
      <c r="T2234">
        <v>-2.7029040000000001E-2</v>
      </c>
      <c r="U2234">
        <v>-2.9991759999999998</v>
      </c>
      <c r="V2234">
        <v>4.3417890000000001E-2</v>
      </c>
      <c r="W2234">
        <v>0.10603799999999999</v>
      </c>
      <c r="X2234">
        <v>0.99341369999999896</v>
      </c>
      <c r="Y2234">
        <v>0.13664079999999901</v>
      </c>
      <c r="Z2234">
        <v>5.1596180000000004E-3</v>
      </c>
      <c r="AA2234">
        <v>0.99060720000000002</v>
      </c>
      <c r="AB2234">
        <v>18</v>
      </c>
      <c r="AC2234">
        <v>-18.299299999999899</v>
      </c>
      <c r="AD2234">
        <v>-1.1200390443799999</v>
      </c>
      <c r="AE2234">
        <v>-124.08159999999999</v>
      </c>
      <c r="AF2234">
        <v>17.163496234778201</v>
      </c>
      <c r="AG2234">
        <v>-1.1200390443799999</v>
      </c>
      <c r="AH2234">
        <v>124.233705415296</v>
      </c>
      <c r="AI2234">
        <v>90.511680924300506</v>
      </c>
      <c r="AJ2234">
        <v>82.134099507434797</v>
      </c>
      <c r="AK2234">
        <v>125.418713323319</v>
      </c>
      <c r="AL2234">
        <v>83.9130263802858</v>
      </c>
      <c r="AM2234">
        <v>87.497437679498205</v>
      </c>
      <c r="AN2234">
        <v>0.99999997498186999</v>
      </c>
    </row>
    <row r="2235" spans="1:40" x14ac:dyDescent="0.25">
      <c r="A2235" t="str">
        <f>"20190303161917895"</f>
        <v>20190303161917895</v>
      </c>
      <c r="B2235" t="str">
        <f>"1551601157884552"</f>
        <v>1551601157884552</v>
      </c>
      <c r="C2235" t="s">
        <v>40</v>
      </c>
      <c r="D2235">
        <v>4.6528400000000003</v>
      </c>
      <c r="E2235">
        <v>0.53546669999999996</v>
      </c>
      <c r="F2235" t="s">
        <v>49</v>
      </c>
      <c r="G2235">
        <v>-208.12530000000001</v>
      </c>
      <c r="H2235">
        <v>8.0000509999999997E-2</v>
      </c>
      <c r="I2235">
        <v>220.58580000000001</v>
      </c>
      <c r="J2235">
        <v>-191.41749999999999</v>
      </c>
      <c r="K2235">
        <v>1.1200829999999999</v>
      </c>
      <c r="L2235">
        <v>333.58589999999998</v>
      </c>
      <c r="M2235">
        <v>-9.5738899999999998E-3</v>
      </c>
      <c r="N2235">
        <v>-4.0354420000000002E-3</v>
      </c>
      <c r="O2235">
        <v>-0.99994620000000001</v>
      </c>
      <c r="P2235">
        <v>-5.1917869999999998E-2</v>
      </c>
      <c r="Q2235">
        <v>0.1028351</v>
      </c>
      <c r="R2235">
        <v>-0.99334290000000003</v>
      </c>
      <c r="S2235">
        <v>-0.44282529999999998</v>
      </c>
      <c r="T2235">
        <v>-2.75619E-2</v>
      </c>
      <c r="U2235">
        <v>-2.9995120000000002</v>
      </c>
      <c r="V2235">
        <v>4.2462239999999998E-2</v>
      </c>
      <c r="W2235">
        <v>0.10682170000000001</v>
      </c>
      <c r="X2235">
        <v>0.99337109999999995</v>
      </c>
      <c r="Y2235">
        <v>0.13656599999999999</v>
      </c>
      <c r="Z2235">
        <v>5.0629350000000002E-3</v>
      </c>
      <c r="AA2235">
        <v>0.99061809999999995</v>
      </c>
      <c r="AB2235">
        <v>18</v>
      </c>
      <c r="AC2235">
        <v>-16.707799999999999</v>
      </c>
      <c r="AD2235">
        <v>-1.0400824900000001</v>
      </c>
      <c r="AE2235">
        <v>-113.00009999999899</v>
      </c>
      <c r="AF2235">
        <v>15.6238797953563</v>
      </c>
      <c r="AG2235">
        <v>-1.0400824900000001</v>
      </c>
      <c r="AH2235">
        <v>113.145500515241</v>
      </c>
      <c r="AI2235">
        <v>90.521722494380001</v>
      </c>
      <c r="AJ2235">
        <v>82.137938888260607</v>
      </c>
      <c r="AK2235">
        <v>114.223866500352</v>
      </c>
      <c r="AL2235">
        <v>83.867867518780798</v>
      </c>
      <c r="AM2235">
        <v>87.552347786472495</v>
      </c>
      <c r="AN2235">
        <v>1.0000000298659499</v>
      </c>
    </row>
    <row r="2236" spans="1:40" x14ac:dyDescent="0.25">
      <c r="A2236" t="str">
        <f>"20190303161917915"</f>
        <v>20190303161917915</v>
      </c>
      <c r="B2236" t="str">
        <f>"1551601157905049"</f>
        <v>1551601157905049</v>
      </c>
      <c r="C2236" t="s">
        <v>40</v>
      </c>
      <c r="D2236">
        <v>4.6424820000000002</v>
      </c>
      <c r="E2236">
        <v>0.53532049999999998</v>
      </c>
      <c r="F2236" t="s">
        <v>49</v>
      </c>
      <c r="G2236">
        <v>-209.6439</v>
      </c>
      <c r="H2236">
        <v>7.4111839999999998E-2</v>
      </c>
      <c r="I2236">
        <v>209.59219999999999</v>
      </c>
      <c r="J2236">
        <v>-191.41970000000001</v>
      </c>
      <c r="K2236">
        <v>1.1201350000000001</v>
      </c>
      <c r="L2236">
        <v>333.41269999999997</v>
      </c>
      <c r="M2236">
        <v>-9.9842149999999994E-3</v>
      </c>
      <c r="N2236">
        <v>-4.357784E-3</v>
      </c>
      <c r="O2236">
        <v>-0.99994079999999996</v>
      </c>
      <c r="P2236">
        <v>-5.2166070000000002E-2</v>
      </c>
      <c r="Q2236">
        <v>0.10270310000000001</v>
      </c>
      <c r="R2236">
        <v>-0.99334319999999998</v>
      </c>
      <c r="S2236">
        <v>-0.44093320000000003</v>
      </c>
      <c r="T2236">
        <v>-2.5304199999999999E-2</v>
      </c>
      <c r="U2236">
        <v>-2.9996640000000001</v>
      </c>
      <c r="V2236">
        <v>4.2304870000000001E-2</v>
      </c>
      <c r="W2236">
        <v>0.10700990000000001</v>
      </c>
      <c r="X2236">
        <v>0.9933575</v>
      </c>
      <c r="Y2236">
        <v>0.1355411</v>
      </c>
      <c r="Z2236">
        <v>3.9964290000000001E-3</v>
      </c>
      <c r="AA2236">
        <v>0.99076370000000002</v>
      </c>
      <c r="AB2236">
        <v>18</v>
      </c>
      <c r="AC2236">
        <v>-18.2242</v>
      </c>
      <c r="AD2236">
        <v>-1.0460231600000001</v>
      </c>
      <c r="AE2236">
        <v>-123.820499999999</v>
      </c>
      <c r="AF2236">
        <v>16.985843039381699</v>
      </c>
      <c r="AG2236">
        <v>-1.0460231600000001</v>
      </c>
      <c r="AH2236">
        <v>123.987623263381</v>
      </c>
      <c r="AI2236">
        <v>90.478892285319304</v>
      </c>
      <c r="AJ2236">
        <v>82.199250965871897</v>
      </c>
      <c r="AK2236">
        <v>125.150084900937</v>
      </c>
      <c r="AL2236">
        <v>83.857021931093897</v>
      </c>
      <c r="AM2236">
        <v>87.561374752621902</v>
      </c>
      <c r="AN2236">
        <v>0.999999971764988</v>
      </c>
    </row>
    <row r="2237" spans="1:40" x14ac:dyDescent="0.25">
      <c r="A2237" t="str">
        <f>"20190303161917938"</f>
        <v>20190303161917938</v>
      </c>
      <c r="B2237" t="str">
        <f>"1551601157935304"</f>
        <v>1551601157935304</v>
      </c>
      <c r="C2237" t="s">
        <v>40</v>
      </c>
      <c r="D2237">
        <v>4.6283050000000001</v>
      </c>
      <c r="E2237">
        <v>0.5351475</v>
      </c>
      <c r="F2237" t="s">
        <v>44</v>
      </c>
      <c r="G2237">
        <v>-213.3117</v>
      </c>
      <c r="H2237">
        <v>-0.05</v>
      </c>
      <c r="I2237">
        <v>184.29230000000001</v>
      </c>
      <c r="J2237">
        <v>-191.4221</v>
      </c>
      <c r="K2237">
        <v>1.1202179999999999</v>
      </c>
      <c r="L2237">
        <v>333.22190000000001</v>
      </c>
      <c r="M2237">
        <v>-1.044045E-2</v>
      </c>
      <c r="N2237">
        <v>-4.8100299999999999E-3</v>
      </c>
      <c r="O2237">
        <v>-0.99993410000000005</v>
      </c>
      <c r="P2237">
        <v>-5.3016920000000002E-2</v>
      </c>
      <c r="Q2237">
        <v>0.10209260000000001</v>
      </c>
      <c r="R2237">
        <v>-0.99336139999999995</v>
      </c>
      <c r="S2237">
        <v>-0.44033810000000001</v>
      </c>
      <c r="T2237">
        <v>-2.3536209999999998E-2</v>
      </c>
      <c r="U2237">
        <v>-2.9994200000000002</v>
      </c>
      <c r="V2237">
        <v>4.2704029999999997E-2</v>
      </c>
      <c r="W2237">
        <v>0.10684730000000001</v>
      </c>
      <c r="X2237">
        <v>0.99335799999999996</v>
      </c>
      <c r="Y2237">
        <v>0.13490839999999901</v>
      </c>
      <c r="Z2237">
        <v>2.9622300000000002E-3</v>
      </c>
      <c r="AA2237">
        <v>0.99085369999999995</v>
      </c>
      <c r="AB2237">
        <v>19</v>
      </c>
      <c r="AC2237">
        <v>-21.889600000000002</v>
      </c>
      <c r="AD2237">
        <v>-1.170218</v>
      </c>
      <c r="AE2237">
        <v>-148.92959999999999</v>
      </c>
      <c r="AF2237">
        <v>20.332268378638599</v>
      </c>
      <c r="AG2237">
        <v>-1.170218</v>
      </c>
      <c r="AH2237">
        <v>149.14100923228699</v>
      </c>
      <c r="AI2237">
        <v>90.445435477869395</v>
      </c>
      <c r="AJ2237">
        <v>82.236773329111699</v>
      </c>
      <c r="AK2237">
        <v>150.52511811127599</v>
      </c>
      <c r="AL2237">
        <v>83.866392415167198</v>
      </c>
      <c r="AM2237">
        <v>87.5383949513581</v>
      </c>
      <c r="AN2237">
        <v>1.0000000479297599</v>
      </c>
    </row>
    <row r="2238" spans="1:40" x14ac:dyDescent="0.25">
      <c r="A2238" t="str">
        <f>"20190303161917962"</f>
        <v>20190303161917962</v>
      </c>
      <c r="B2238" t="str">
        <f>"1551601157954825"</f>
        <v>1551601157954825</v>
      </c>
      <c r="C2238" t="s">
        <v>40</v>
      </c>
      <c r="D2238">
        <v>4.6146209999999996</v>
      </c>
      <c r="E2238">
        <v>0.5351359</v>
      </c>
      <c r="F2238" t="s">
        <v>51</v>
      </c>
      <c r="G2238">
        <v>-211.083</v>
      </c>
      <c r="H2238">
        <v>8.3244639999999995E-2</v>
      </c>
      <c r="I2238">
        <v>199.57599999999999</v>
      </c>
      <c r="J2238">
        <v>-191.4247</v>
      </c>
      <c r="K2238">
        <v>1.1203149999999999</v>
      </c>
      <c r="L2238">
        <v>333.02379999999999</v>
      </c>
      <c r="M2238">
        <v>-1.092075E-2</v>
      </c>
      <c r="N2238">
        <v>-5.3806929999999998E-3</v>
      </c>
      <c r="O2238">
        <v>-0.99992599999999998</v>
      </c>
      <c r="P2238">
        <v>-5.4885179999999999E-2</v>
      </c>
      <c r="Q2238">
        <v>0.102074</v>
      </c>
      <c r="R2238">
        <v>-0.99326170000000003</v>
      </c>
      <c r="S2238">
        <v>-0.4411774</v>
      </c>
      <c r="T2238">
        <v>-2.3269060000000001E-2</v>
      </c>
      <c r="U2238">
        <v>-2.9989319999999999</v>
      </c>
      <c r="V2238">
        <v>4.4098070000000003E-2</v>
      </c>
      <c r="W2238">
        <v>0.1073939</v>
      </c>
      <c r="X2238">
        <v>0.99323810000000001</v>
      </c>
      <c r="Y2238">
        <v>0.1347266</v>
      </c>
      <c r="Z2238">
        <v>2.3051370000000001E-3</v>
      </c>
      <c r="AA2238">
        <v>0.99088010000000004</v>
      </c>
      <c r="AB2238">
        <v>19</v>
      </c>
      <c r="AC2238">
        <v>-19.658300000000001</v>
      </c>
      <c r="AD2238">
        <v>-1.03707036</v>
      </c>
      <c r="AE2238">
        <v>-133.4478</v>
      </c>
      <c r="AF2238">
        <v>18.198680934736299</v>
      </c>
      <c r="AG2238">
        <v>-1.03707036</v>
      </c>
      <c r="AH2238">
        <v>133.646628303195</v>
      </c>
      <c r="AI2238">
        <v>90.440529253294997</v>
      </c>
      <c r="AJ2238">
        <v>82.245718040463402</v>
      </c>
      <c r="AK2238">
        <v>134.883982590626</v>
      </c>
      <c r="AL2238">
        <v>83.834893041417303</v>
      </c>
      <c r="AM2238">
        <v>87.457835051539604</v>
      </c>
      <c r="AN2238">
        <v>1.0000000064132699</v>
      </c>
    </row>
    <row r="2239" spans="1:40" x14ac:dyDescent="0.25">
      <c r="A2239" t="str">
        <f>"20190303161917984"</f>
        <v>20190303161917984</v>
      </c>
      <c r="B2239" t="str">
        <f>"1551601157974873"</f>
        <v>1551601157974873</v>
      </c>
      <c r="C2239" t="s">
        <v>40</v>
      </c>
      <c r="D2239">
        <v>4.6009840000000004</v>
      </c>
      <c r="E2239">
        <v>0.53500729999999996</v>
      </c>
      <c r="F2239" t="s">
        <v>51</v>
      </c>
      <c r="G2239">
        <v>-211.31309999999999</v>
      </c>
      <c r="H2239">
        <v>9.8401160000000001E-2</v>
      </c>
      <c r="I2239">
        <v>199.57599999999999</v>
      </c>
      <c r="J2239">
        <v>-191.4273</v>
      </c>
      <c r="K2239">
        <v>1.1204099999999999</v>
      </c>
      <c r="L2239">
        <v>332.84140000000002</v>
      </c>
      <c r="M2239">
        <v>-1.13665E-2</v>
      </c>
      <c r="N2239">
        <v>-5.9761340000000001E-3</v>
      </c>
      <c r="O2239">
        <v>-0.99991739999999996</v>
      </c>
      <c r="P2239">
        <v>-5.6608409999999998E-2</v>
      </c>
      <c r="Q2239">
        <v>0.1018852</v>
      </c>
      <c r="R2239">
        <v>-0.99318419999999996</v>
      </c>
      <c r="S2239">
        <v>-0.44680789999999998</v>
      </c>
      <c r="T2239">
        <v>-2.2958159999999998E-2</v>
      </c>
      <c r="U2239">
        <v>-2.9980159999999998</v>
      </c>
      <c r="V2239">
        <v>4.5382159999999998E-2</v>
      </c>
      <c r="W2239">
        <v>0.1077941</v>
      </c>
      <c r="X2239">
        <v>0.99313689999999999</v>
      </c>
      <c r="Y2239">
        <v>0.13614870000000001</v>
      </c>
      <c r="Z2239">
        <v>1.6082469999999999E-3</v>
      </c>
      <c r="AA2239">
        <v>0.99068710000000004</v>
      </c>
      <c r="AB2239">
        <v>19</v>
      </c>
      <c r="AC2239">
        <v>-19.8857999999999</v>
      </c>
      <c r="AD2239">
        <v>-1.02200884</v>
      </c>
      <c r="AE2239">
        <v>-133.2654</v>
      </c>
      <c r="AF2239">
        <v>18.3686700952819</v>
      </c>
      <c r="AG2239">
        <v>-1.02200884</v>
      </c>
      <c r="AH2239">
        <v>133.47514755135501</v>
      </c>
      <c r="AI2239">
        <v>90.434604757108801</v>
      </c>
      <c r="AJ2239">
        <v>82.164251392575096</v>
      </c>
      <c r="AK2239">
        <v>134.73703112728199</v>
      </c>
      <c r="AL2239">
        <v>83.811829377007996</v>
      </c>
      <c r="AM2239">
        <v>87.383645030450495</v>
      </c>
      <c r="AN2239">
        <v>1.00000000529134</v>
      </c>
    </row>
    <row r="2240" spans="1:40" x14ac:dyDescent="0.25">
      <c r="A2240" t="str">
        <f>"20190303161918006"</f>
        <v>20190303161918006</v>
      </c>
      <c r="B2240" t="str">
        <f>"1551601157994373"</f>
        <v>1551601157994373</v>
      </c>
      <c r="C2240" t="s">
        <v>40</v>
      </c>
      <c r="D2240">
        <v>4.5723949999999904</v>
      </c>
      <c r="E2240">
        <v>0.5347151</v>
      </c>
      <c r="F2240" t="s">
        <v>52</v>
      </c>
      <c r="G2240">
        <v>-210.5986</v>
      </c>
      <c r="H2240">
        <v>8.0001680000000006E-2</v>
      </c>
      <c r="I2240">
        <v>205.3972</v>
      </c>
      <c r="J2240">
        <v>-191.4299</v>
      </c>
      <c r="K2240">
        <v>1.120509</v>
      </c>
      <c r="L2240">
        <v>332.65679999999998</v>
      </c>
      <c r="M2240">
        <v>-1.1819700000000001E-2</v>
      </c>
      <c r="N2240">
        <v>-6.6219620000000003E-3</v>
      </c>
      <c r="O2240">
        <v>-0.99990840000000003</v>
      </c>
      <c r="P2240">
        <v>-5.8364480000000003E-2</v>
      </c>
      <c r="Q2240">
        <v>0.1019963</v>
      </c>
      <c r="R2240">
        <v>-0.99307140000000005</v>
      </c>
      <c r="S2240">
        <v>-0.4508972</v>
      </c>
      <c r="T2240">
        <v>-2.4469729999999999E-2</v>
      </c>
      <c r="U2240">
        <v>-2.9974059999999998</v>
      </c>
      <c r="V2240">
        <v>4.6690479999999999E-2</v>
      </c>
      <c r="W2240">
        <v>0.1085449</v>
      </c>
      <c r="X2240">
        <v>0.9929945</v>
      </c>
      <c r="Y2240">
        <v>0.137049799999999</v>
      </c>
      <c r="Z2240">
        <v>1.4624830000000001E-3</v>
      </c>
      <c r="AA2240">
        <v>0.99056310000000003</v>
      </c>
      <c r="AB2240">
        <v>19</v>
      </c>
      <c r="AC2240">
        <v>-19.168700000000001</v>
      </c>
      <c r="AD2240">
        <v>-1.0405073199999999</v>
      </c>
      <c r="AE2240">
        <v>-127.259599999999</v>
      </c>
      <c r="AF2240">
        <v>17.662003378308999</v>
      </c>
      <c r="AG2240">
        <v>-1.0405073199999999</v>
      </c>
      <c r="AH2240">
        <v>127.46895068934801</v>
      </c>
      <c r="AI2240">
        <v>90.463259648956196</v>
      </c>
      <c r="AJ2240">
        <v>82.111367092734994</v>
      </c>
      <c r="AK2240">
        <v>128.690956980907</v>
      </c>
      <c r="AL2240">
        <v>83.768558003587401</v>
      </c>
      <c r="AM2240">
        <v>87.307942212145207</v>
      </c>
      <c r="AN2240">
        <v>1.0000000366344399</v>
      </c>
    </row>
    <row r="2241" spans="1:40" x14ac:dyDescent="0.25">
      <c r="A2241" t="str">
        <f>"20190303161918026"</f>
        <v>20190303161918026</v>
      </c>
      <c r="B2241" t="str">
        <f>"1551601158014869"</f>
        <v>1551601158014869</v>
      </c>
      <c r="C2241" t="s">
        <v>40</v>
      </c>
      <c r="D2241">
        <v>4.5690549999999996</v>
      </c>
      <c r="E2241">
        <v>0.53439019999999904</v>
      </c>
      <c r="F2241" t="s">
        <v>52</v>
      </c>
      <c r="G2241">
        <v>-210.0849</v>
      </c>
      <c r="H2241">
        <v>2.466697E-2</v>
      </c>
      <c r="I2241">
        <v>209.6163</v>
      </c>
      <c r="J2241">
        <v>-191.4325</v>
      </c>
      <c r="K2241">
        <v>1.120606</v>
      </c>
      <c r="L2241">
        <v>332.48390000000001</v>
      </c>
      <c r="M2241">
        <v>-1.224893E-2</v>
      </c>
      <c r="N2241">
        <v>-7.2436979999999998E-3</v>
      </c>
      <c r="O2241">
        <v>-0.99989890000000003</v>
      </c>
      <c r="P2241">
        <v>-5.902839E-2</v>
      </c>
      <c r="Q2241">
        <v>0.102358</v>
      </c>
      <c r="R2241">
        <v>-0.99299490000000001</v>
      </c>
      <c r="S2241">
        <v>-0.4543915</v>
      </c>
      <c r="T2241">
        <v>-2.6692150000000001E-2</v>
      </c>
      <c r="U2241">
        <v>-2.9969790000000001</v>
      </c>
      <c r="V2241">
        <v>4.6928350000000001E-2</v>
      </c>
      <c r="W2241">
        <v>0.1095237</v>
      </c>
      <c r="X2241">
        <v>0.99287579999999998</v>
      </c>
      <c r="Y2241">
        <v>0.13777310000000001</v>
      </c>
      <c r="Z2241">
        <v>1.5752240000000001E-3</v>
      </c>
      <c r="AA2241">
        <v>0.99046250000000002</v>
      </c>
      <c r="AB2241">
        <v>19</v>
      </c>
      <c r="AC2241">
        <v>-18.6524</v>
      </c>
      <c r="AD2241">
        <v>-1.09593903</v>
      </c>
      <c r="AE2241">
        <v>-122.8676</v>
      </c>
      <c r="AF2241">
        <v>17.1446314177653</v>
      </c>
      <c r="AG2241">
        <v>-1.09593903</v>
      </c>
      <c r="AH2241">
        <v>123.077288256377</v>
      </c>
      <c r="AI2241">
        <v>90.505296853152402</v>
      </c>
      <c r="AJ2241">
        <v>82.069745348151898</v>
      </c>
      <c r="AK2241">
        <v>124.270504760188</v>
      </c>
      <c r="AL2241">
        <v>83.712140506969106</v>
      </c>
      <c r="AM2241">
        <v>87.293924548990603</v>
      </c>
      <c r="AN2241">
        <v>1.0000000325605201</v>
      </c>
    </row>
    <row r="2242" spans="1:40" x14ac:dyDescent="0.25">
      <c r="A2242" t="str">
        <f>"20190303161918049"</f>
        <v>20190303161918049</v>
      </c>
      <c r="B2242" t="str">
        <f>"1551601158034388"</f>
        <v>1551601158034388</v>
      </c>
      <c r="C2242" t="s">
        <v>40</v>
      </c>
      <c r="D2242">
        <v>4.5418240000000001</v>
      </c>
      <c r="E2242">
        <v>0.53404649999999998</v>
      </c>
      <c r="F2242" t="s">
        <v>49</v>
      </c>
      <c r="G2242">
        <v>-209.8681</v>
      </c>
      <c r="H2242" s="1">
        <v>6.94156999999999E-6</v>
      </c>
      <c r="I2242">
        <v>210.6301</v>
      </c>
      <c r="J2242">
        <v>-191.43539999999999</v>
      </c>
      <c r="K2242">
        <v>1.120703</v>
      </c>
      <c r="L2242">
        <v>332.29759999999999</v>
      </c>
      <c r="M2242">
        <v>-1.2716989999999999E-2</v>
      </c>
      <c r="N2242">
        <v>-7.8954130000000004E-3</v>
      </c>
      <c r="O2242">
        <v>-0.99988809999999995</v>
      </c>
      <c r="P2242">
        <v>-5.9532389999999998E-2</v>
      </c>
      <c r="Q2242">
        <v>0.1026171</v>
      </c>
      <c r="R2242">
        <v>-0.99293819999999999</v>
      </c>
      <c r="S2242">
        <v>-0.45343020000000001</v>
      </c>
      <c r="T2242">
        <v>-2.7561550000000001E-2</v>
      </c>
      <c r="U2242">
        <v>-2.9970400000000001</v>
      </c>
      <c r="V2242">
        <v>4.6966689999999998E-2</v>
      </c>
      <c r="W2242">
        <v>0.1104309</v>
      </c>
      <c r="X2242">
        <v>0.99277349999999998</v>
      </c>
      <c r="Y2242">
        <v>0.1369947</v>
      </c>
      <c r="Z2242">
        <v>1.2118140000000001E-3</v>
      </c>
      <c r="AA2242">
        <v>0.99057099999999998</v>
      </c>
      <c r="AB2242">
        <v>19</v>
      </c>
      <c r="AC2242">
        <v>-18.432700000000001</v>
      </c>
      <c r="AD2242">
        <v>-1.1206960584299901</v>
      </c>
      <c r="AE2242">
        <v>-121.6675</v>
      </c>
      <c r="AF2242">
        <v>16.882516705098599</v>
      </c>
      <c r="AG2242">
        <v>-1.1206960584299901</v>
      </c>
      <c r="AH2242">
        <v>121.88196752764399</v>
      </c>
      <c r="AI2242">
        <v>90.521833773465701</v>
      </c>
      <c r="AJ2242">
        <v>82.113838612535901</v>
      </c>
      <c r="AK2242">
        <v>123.050759194582</v>
      </c>
      <c r="AL2242">
        <v>83.659844588028804</v>
      </c>
      <c r="AM2242">
        <v>87.291438343789295</v>
      </c>
      <c r="AN2242">
        <v>1.0000000379733001</v>
      </c>
    </row>
    <row r="2243" spans="1:40" x14ac:dyDescent="0.25">
      <c r="A2243" t="str">
        <f>"20190303161918073"</f>
        <v>20190303161918073</v>
      </c>
      <c r="B2243" t="str">
        <f>"1551601158064644"</f>
        <v>1551601158064644</v>
      </c>
      <c r="C2243" t="s">
        <v>40</v>
      </c>
      <c r="D2243">
        <v>4.5539180000000004</v>
      </c>
      <c r="E2243">
        <v>0.53374790000000005</v>
      </c>
      <c r="F2243" t="s">
        <v>49</v>
      </c>
      <c r="G2243">
        <v>-208.10669999999999</v>
      </c>
      <c r="H2243">
        <v>8.0000420000000003E-2</v>
      </c>
      <c r="I2243">
        <v>221.72069999999999</v>
      </c>
      <c r="J2243">
        <v>-191.43860000000001</v>
      </c>
      <c r="K2243">
        <v>1.1207849999999999</v>
      </c>
      <c r="L2243">
        <v>332.09320000000002</v>
      </c>
      <c r="M2243">
        <v>-1.323071E-2</v>
      </c>
      <c r="N2243">
        <v>-8.5539969999999903E-3</v>
      </c>
      <c r="O2243">
        <v>-0.99987590000000004</v>
      </c>
      <c r="P2243">
        <v>-6.0212269999999998E-2</v>
      </c>
      <c r="Q2243">
        <v>0.1032188</v>
      </c>
      <c r="R2243">
        <v>-0.99283460000000001</v>
      </c>
      <c r="S2243">
        <v>-0.45187379999999999</v>
      </c>
      <c r="T2243">
        <v>-2.820802E-2</v>
      </c>
      <c r="U2243">
        <v>-2.9971619999999999</v>
      </c>
      <c r="V2243">
        <v>4.7136909999999997E-2</v>
      </c>
      <c r="W2243">
        <v>0.1116857</v>
      </c>
      <c r="X2243">
        <v>0.99262499999999998</v>
      </c>
      <c r="Y2243">
        <v>0.1359756</v>
      </c>
      <c r="Z2243">
        <v>7.6811229999999896E-4</v>
      </c>
      <c r="AA2243">
        <v>0.99071189999999998</v>
      </c>
      <c r="AB2243">
        <v>19</v>
      </c>
      <c r="AC2243">
        <v>-16.6680999999999</v>
      </c>
      <c r="AD2243">
        <v>-1.04078458</v>
      </c>
      <c r="AE2243">
        <v>-110.3725</v>
      </c>
      <c r="AF2243">
        <v>15.2049591196898</v>
      </c>
      <c r="AG2243">
        <v>-1.04078458</v>
      </c>
      <c r="AH2243">
        <v>110.573764290776</v>
      </c>
      <c r="AI2243">
        <v>90.534258107430006</v>
      </c>
      <c r="AJ2243">
        <v>82.170381103650101</v>
      </c>
      <c r="AK2243">
        <v>111.61913529411299</v>
      </c>
      <c r="AL2243">
        <v>83.587501998079205</v>
      </c>
      <c r="AM2243">
        <v>87.281230415008395</v>
      </c>
      <c r="AN2243">
        <v>0.99999998724691896</v>
      </c>
    </row>
    <row r="2244" spans="1:40" x14ac:dyDescent="0.25">
      <c r="A2244" t="str">
        <f>"20190303161918095"</f>
        <v>20190303161918095</v>
      </c>
      <c r="B2244" t="str">
        <f>"1551601158084672"</f>
        <v>1551601158084672</v>
      </c>
      <c r="C2244" t="s">
        <v>40</v>
      </c>
      <c r="D2244">
        <v>4.5501969999999998</v>
      </c>
      <c r="E2244">
        <v>0.53354330000000005</v>
      </c>
      <c r="F2244" t="s">
        <v>49</v>
      </c>
      <c r="G2244">
        <v>-208.80279999999999</v>
      </c>
      <c r="H2244" s="1">
        <v>5.9226449999999996E-6</v>
      </c>
      <c r="I2244">
        <v>216.88130000000001</v>
      </c>
      <c r="J2244">
        <v>-191.44139999999999</v>
      </c>
      <c r="K2244">
        <v>1.120835</v>
      </c>
      <c r="L2244">
        <v>331.9187</v>
      </c>
      <c r="M2244">
        <v>-1.366289E-2</v>
      </c>
      <c r="N2244">
        <v>-9.0598129999999999E-3</v>
      </c>
      <c r="O2244">
        <v>-0.99986569999999997</v>
      </c>
      <c r="P2244">
        <v>-6.0212389999999998E-2</v>
      </c>
      <c r="Q2244">
        <v>0.1032512</v>
      </c>
      <c r="R2244">
        <v>-0.99283120000000002</v>
      </c>
      <c r="S2244">
        <v>-0.45173649999999999</v>
      </c>
      <c r="T2244">
        <v>-2.9157519999999999E-2</v>
      </c>
      <c r="U2244">
        <v>-2.9972840000000001</v>
      </c>
      <c r="V2244">
        <v>4.670813E-2</v>
      </c>
      <c r="W2244">
        <v>0.11222070000000001</v>
      </c>
      <c r="X2244">
        <v>0.99258489999999999</v>
      </c>
      <c r="Y2244">
        <v>0.135495899999999</v>
      </c>
      <c r="Z2244">
        <v>5.7643400000000002E-4</v>
      </c>
      <c r="AA2244">
        <v>0.99077769999999998</v>
      </c>
      <c r="AB2244">
        <v>19</v>
      </c>
      <c r="AC2244">
        <v>-17.3614</v>
      </c>
      <c r="AD2244">
        <v>-1.120829077355</v>
      </c>
      <c r="AE2244">
        <v>-115.03740000000001</v>
      </c>
      <c r="AF2244">
        <v>15.7865063808136</v>
      </c>
      <c r="AG2244">
        <v>-1.120829077355</v>
      </c>
      <c r="AH2244">
        <v>115.253180689836</v>
      </c>
      <c r="AI2244">
        <v>90.552025848371102</v>
      </c>
      <c r="AJ2244">
        <v>82.200593148443104</v>
      </c>
      <c r="AK2244">
        <v>116.33471408249601</v>
      </c>
      <c r="AL2244">
        <v>83.556654653200695</v>
      </c>
      <c r="AM2244">
        <v>87.305816368083995</v>
      </c>
      <c r="AN2244">
        <v>0.99999995931229702</v>
      </c>
    </row>
    <row r="2245" spans="1:40" x14ac:dyDescent="0.25">
      <c r="A2245" t="str">
        <f>"20190303161918117"</f>
        <v>20190303161918117</v>
      </c>
      <c r="B2245" t="str">
        <f>"1551601158105169"</f>
        <v>1551601158105169</v>
      </c>
      <c r="C2245" t="s">
        <v>40</v>
      </c>
      <c r="D2245">
        <v>4.5464089999999997</v>
      </c>
      <c r="E2245">
        <v>0.53334380000000003</v>
      </c>
      <c r="F2245" t="s">
        <v>44</v>
      </c>
      <c r="G2245">
        <v>-208.56059999999999</v>
      </c>
      <c r="H2245">
        <v>-0.05</v>
      </c>
      <c r="I2245">
        <v>217.91399999999999</v>
      </c>
      <c r="J2245">
        <v>-191.44450000000001</v>
      </c>
      <c r="K2245">
        <v>1.120865</v>
      </c>
      <c r="L2245">
        <v>331.7294</v>
      </c>
      <c r="M2245">
        <v>-1.412045E-2</v>
      </c>
      <c r="N2245">
        <v>-9.5500240000000007E-3</v>
      </c>
      <c r="O2245">
        <v>-0.99985489999999999</v>
      </c>
      <c r="P2245">
        <v>-6.0888530000000003E-2</v>
      </c>
      <c r="Q2245">
        <v>0.1027551</v>
      </c>
      <c r="R2245">
        <v>-0.99284150000000004</v>
      </c>
      <c r="S2245">
        <v>-0.45011899999999999</v>
      </c>
      <c r="T2245">
        <v>-3.0785079999999999E-2</v>
      </c>
      <c r="U2245">
        <v>-2.9975589999999999</v>
      </c>
      <c r="V2245">
        <v>4.6930720000000002E-2</v>
      </c>
      <c r="W2245">
        <v>0.1122107</v>
      </c>
      <c r="X2245">
        <v>0.9925756</v>
      </c>
      <c r="Y2245">
        <v>0.13450509999999999</v>
      </c>
      <c r="Z2245">
        <v>6.2441880000000001E-4</v>
      </c>
      <c r="AA2245">
        <v>0.99091269999999998</v>
      </c>
      <c r="AB2245">
        <v>19</v>
      </c>
      <c r="AC2245">
        <v>-17.1160999999999</v>
      </c>
      <c r="AD2245">
        <v>-1.170865</v>
      </c>
      <c r="AE2245">
        <v>-113.815399999999</v>
      </c>
      <c r="AF2245">
        <v>15.505591091756999</v>
      </c>
      <c r="AG2245">
        <v>-1.170865</v>
      </c>
      <c r="AH2245">
        <v>114.033948353733</v>
      </c>
      <c r="AI2245">
        <v>90.582910912057301</v>
      </c>
      <c r="AJ2245">
        <v>82.256782189577706</v>
      </c>
      <c r="AK2245">
        <v>115.089250832103</v>
      </c>
      <c r="AL2245">
        <v>83.5572316953361</v>
      </c>
      <c r="AM2245">
        <v>87.292970824269105</v>
      </c>
      <c r="AN2245">
        <v>1.00000002769478</v>
      </c>
    </row>
    <row r="2246" spans="1:40" x14ac:dyDescent="0.25">
      <c r="A2246" t="str">
        <f>"20190303161918138"</f>
        <v>20190303161918138</v>
      </c>
      <c r="B2246" t="str">
        <f>"1551601158124688"</f>
        <v>1551601158124688</v>
      </c>
      <c r="C2246" t="s">
        <v>40</v>
      </c>
      <c r="D2246">
        <v>4.5895590000000004</v>
      </c>
      <c r="E2246">
        <v>0.53321280000000004</v>
      </c>
      <c r="F2246" t="s">
        <v>47</v>
      </c>
      <c r="G2246">
        <v>-203.76580000000001</v>
      </c>
      <c r="H2246">
        <v>0.1889102</v>
      </c>
      <c r="I2246">
        <v>249.76079999999999</v>
      </c>
      <c r="J2246">
        <v>-191.44749999999999</v>
      </c>
      <c r="K2246">
        <v>1.120881</v>
      </c>
      <c r="L2246">
        <v>331.55579999999998</v>
      </c>
      <c r="M2246">
        <v>-1.4532130000000001E-2</v>
      </c>
      <c r="N2246">
        <v>-9.9501220000000005E-3</v>
      </c>
      <c r="O2246">
        <v>-0.99984519999999999</v>
      </c>
      <c r="P2246">
        <v>-6.1395119999999997E-2</v>
      </c>
      <c r="Q2246">
        <v>0.10258780000000001</v>
      </c>
      <c r="R2246">
        <v>-0.99282769999999998</v>
      </c>
      <c r="S2246">
        <v>-0.4505768</v>
      </c>
      <c r="T2246">
        <v>-3.4080859999999998E-2</v>
      </c>
      <c r="U2246">
        <v>-2.997528</v>
      </c>
      <c r="V2246">
        <v>4.7029759999999997E-2</v>
      </c>
      <c r="W2246">
        <v>0.1124401</v>
      </c>
      <c r="X2246">
        <v>0.99254489999999995</v>
      </c>
      <c r="Y2246">
        <v>0.134244899999999</v>
      </c>
      <c r="Z2246">
        <v>1.3132300000000001E-3</v>
      </c>
      <c r="AA2246">
        <v>0.99094729999999998</v>
      </c>
      <c r="AB2246">
        <v>19</v>
      </c>
      <c r="AC2246">
        <v>-12.318300000000001</v>
      </c>
      <c r="AD2246">
        <v>-0.93197079999999999</v>
      </c>
      <c r="AE2246">
        <v>-81.794999999999902</v>
      </c>
      <c r="AF2246">
        <v>11.1268725546536</v>
      </c>
      <c r="AG2246">
        <v>-0.93197079999999999</v>
      </c>
      <c r="AH2246">
        <v>81.954978119823593</v>
      </c>
      <c r="AI2246">
        <v>90.645602184557703</v>
      </c>
      <c r="AJ2246">
        <v>82.268334846383496</v>
      </c>
      <c r="AK2246">
        <v>82.712117014620802</v>
      </c>
      <c r="AL2246">
        <v>83.544004002049803</v>
      </c>
      <c r="AM2246">
        <v>87.287182802851405</v>
      </c>
      <c r="AN2246">
        <v>0.99999997646483796</v>
      </c>
    </row>
    <row r="2247" spans="1:40" x14ac:dyDescent="0.25">
      <c r="A2247" t="str">
        <f>"20190303161918160"</f>
        <v>20190303161918160</v>
      </c>
      <c r="B2247" t="str">
        <f>"1551601158154944"</f>
        <v>1551601158154944</v>
      </c>
      <c r="C2247" t="s">
        <v>40</v>
      </c>
      <c r="D2247">
        <v>4.5095359999999998</v>
      </c>
      <c r="E2247">
        <v>0.53282299999999905</v>
      </c>
      <c r="F2247" t="s">
        <v>47</v>
      </c>
      <c r="G2247">
        <v>-203.75409999999999</v>
      </c>
      <c r="H2247">
        <v>0.116352</v>
      </c>
      <c r="I2247">
        <v>249.76079999999999</v>
      </c>
      <c r="J2247">
        <v>-191.45079999999999</v>
      </c>
      <c r="K2247">
        <v>1.1209039999999999</v>
      </c>
      <c r="L2247">
        <v>331.3716</v>
      </c>
      <c r="M2247">
        <v>-1.4971379999999999E-2</v>
      </c>
      <c r="N2247">
        <v>-1.0327579999999999E-2</v>
      </c>
      <c r="O2247">
        <v>-0.99983469999999997</v>
      </c>
      <c r="P2247">
        <v>-6.1635990000000002E-2</v>
      </c>
      <c r="Q2247">
        <v>0.1026455</v>
      </c>
      <c r="R2247">
        <v>-0.99280670000000004</v>
      </c>
      <c r="S2247">
        <v>-0.45100400000000002</v>
      </c>
      <c r="T2247">
        <v>-3.6813619999999998E-2</v>
      </c>
      <c r="U2247">
        <v>-2.9975890000000001</v>
      </c>
      <c r="V2247">
        <v>4.6834670000000002E-2</v>
      </c>
      <c r="W2247">
        <v>0.11287270000000001</v>
      </c>
      <c r="X2247">
        <v>0.99250510000000003</v>
      </c>
      <c r="Y2247">
        <v>0.13394310000000001</v>
      </c>
      <c r="Z2247">
        <v>1.8384709999999999E-3</v>
      </c>
      <c r="AA2247">
        <v>0.99098730000000002</v>
      </c>
      <c r="AB2247">
        <v>18</v>
      </c>
      <c r="AC2247">
        <v>-12.3033</v>
      </c>
      <c r="AD2247">
        <v>-1.0045519999999999</v>
      </c>
      <c r="AE2247">
        <v>-81.610799999999998</v>
      </c>
      <c r="AF2247">
        <v>11.0783883894543</v>
      </c>
      <c r="AG2247">
        <v>-1.0045519999999999</v>
      </c>
      <c r="AH2247">
        <v>81.773745035833997</v>
      </c>
      <c r="AI2247">
        <v>90.697445661656005</v>
      </c>
      <c r="AJ2247">
        <v>82.284763428254905</v>
      </c>
      <c r="AK2247">
        <v>82.526875569197898</v>
      </c>
      <c r="AL2247">
        <v>83.519059546522996</v>
      </c>
      <c r="AM2247">
        <v>87.298311296414496</v>
      </c>
      <c r="AN2247">
        <v>1.0000000531226501</v>
      </c>
    </row>
    <row r="2248" spans="1:40" x14ac:dyDescent="0.25">
      <c r="A2248" t="str">
        <f>"20190303161918183"</f>
        <v>20190303161918183</v>
      </c>
      <c r="B2248" t="str">
        <f>"1551601158174464"</f>
        <v>1551601158174464</v>
      </c>
      <c r="C2248" t="s">
        <v>40</v>
      </c>
      <c r="D2248">
        <v>4.4713390000000004</v>
      </c>
      <c r="E2248">
        <v>0.53263649999999996</v>
      </c>
      <c r="F2248" t="s">
        <v>47</v>
      </c>
      <c r="G2248">
        <v>-203.6652</v>
      </c>
      <c r="H2248">
        <v>0.1178555</v>
      </c>
      <c r="I2248">
        <v>249.76079999999999</v>
      </c>
      <c r="J2248">
        <v>-191.45410000000001</v>
      </c>
      <c r="K2248">
        <v>1.1209309999999999</v>
      </c>
      <c r="L2248">
        <v>331.18770000000001</v>
      </c>
      <c r="M2248">
        <v>-1.542255E-2</v>
      </c>
      <c r="N2248">
        <v>-1.065231E-2</v>
      </c>
      <c r="O2248">
        <v>-0.99982459999999995</v>
      </c>
      <c r="P2248">
        <v>-6.2279050000000002E-2</v>
      </c>
      <c r="Q2248">
        <v>0.1025534</v>
      </c>
      <c r="R2248">
        <v>-0.99277649999999995</v>
      </c>
      <c r="S2248">
        <v>-0.4486542</v>
      </c>
      <c r="T2248">
        <v>-3.6843420000000002E-2</v>
      </c>
      <c r="U2248">
        <v>-2.997681</v>
      </c>
      <c r="V2248">
        <v>4.702812E-2</v>
      </c>
      <c r="W2248">
        <v>0.11310389999999999</v>
      </c>
      <c r="X2248">
        <v>0.99246959999999995</v>
      </c>
      <c r="Y2248">
        <v>0.13273109999999999</v>
      </c>
      <c r="Z2248">
        <v>1.525427E-3</v>
      </c>
      <c r="AA2248">
        <v>0.99115089999999995</v>
      </c>
      <c r="AB2248">
        <v>18</v>
      </c>
      <c r="AC2248">
        <v>-12.211099999999901</v>
      </c>
      <c r="AD2248">
        <v>-1.0030755</v>
      </c>
      <c r="AE2248">
        <v>-81.426900000000003</v>
      </c>
      <c r="AF2248">
        <v>10.9521407287562</v>
      </c>
      <c r="AG2248">
        <v>-1.0030755</v>
      </c>
      <c r="AH2248">
        <v>81.593441815222903</v>
      </c>
      <c r="AI2248">
        <v>90.698074786778193</v>
      </c>
      <c r="AJ2248">
        <v>82.354986115949401</v>
      </c>
      <c r="AK2248">
        <v>82.331314177871207</v>
      </c>
      <c r="AL2248">
        <v>83.505727182454294</v>
      </c>
      <c r="AM2248">
        <v>87.287071751206994</v>
      </c>
      <c r="AN2248">
        <v>1.00000002159505</v>
      </c>
    </row>
    <row r="2249" spans="1:40" x14ac:dyDescent="0.25">
      <c r="A2249" t="str">
        <f>"20190303161918205"</f>
        <v>20190303161918205</v>
      </c>
      <c r="B2249" t="str">
        <f>"1551601158194959"</f>
        <v>1551601158194959</v>
      </c>
      <c r="C2249" t="s">
        <v>40</v>
      </c>
      <c r="D2249">
        <v>4.5545010000000001</v>
      </c>
      <c r="E2249">
        <v>0.53252679999999997</v>
      </c>
      <c r="F2249" t="s">
        <v>47</v>
      </c>
      <c r="G2249">
        <v>-203.655</v>
      </c>
      <c r="H2249">
        <v>0.11106820000000001</v>
      </c>
      <c r="I2249">
        <v>249.76079999999999</v>
      </c>
      <c r="J2249">
        <v>-191.45750000000001</v>
      </c>
      <c r="K2249">
        <v>1.1209499999999999</v>
      </c>
      <c r="L2249">
        <v>331.0027</v>
      </c>
      <c r="M2249">
        <v>-1.588618E-2</v>
      </c>
      <c r="N2249">
        <v>-1.0925030000000001E-2</v>
      </c>
      <c r="O2249">
        <v>-0.99981419999999999</v>
      </c>
      <c r="P2249">
        <v>-6.3198660000000004E-2</v>
      </c>
      <c r="Q2249">
        <v>0.1021396</v>
      </c>
      <c r="R2249">
        <v>-0.99276050000000005</v>
      </c>
      <c r="S2249">
        <v>-0.4491425</v>
      </c>
      <c r="T2249">
        <v>-3.7175180000000002E-2</v>
      </c>
      <c r="U2249">
        <v>-2.9974980000000002</v>
      </c>
      <c r="V2249">
        <v>4.7484999999999999E-2</v>
      </c>
      <c r="W2249">
        <v>0.1129613</v>
      </c>
      <c r="X2249">
        <v>0.99246409999999996</v>
      </c>
      <c r="Y2249">
        <v>0.13243759999999999</v>
      </c>
      <c r="Z2249">
        <v>1.3636309999999999E-3</v>
      </c>
      <c r="AA2249">
        <v>0.99119040000000003</v>
      </c>
      <c r="AB2249">
        <v>18</v>
      </c>
      <c r="AC2249">
        <v>-12.1974999999999</v>
      </c>
      <c r="AD2249">
        <v>-1.0098817999999901</v>
      </c>
      <c r="AE2249">
        <v>-81.241900000000001</v>
      </c>
      <c r="AF2249">
        <v>10.9036125310875</v>
      </c>
      <c r="AG2249">
        <v>-1.0098817999999901</v>
      </c>
      <c r="AH2249">
        <v>81.413127291486603</v>
      </c>
      <c r="AI2249">
        <v>90.704395204183697</v>
      </c>
      <c r="AJ2249">
        <v>82.371802836446193</v>
      </c>
      <c r="AK2249">
        <v>82.146247162349795</v>
      </c>
      <c r="AL2249">
        <v>83.513950348176394</v>
      </c>
      <c r="AM2249">
        <v>87.260740341798495</v>
      </c>
      <c r="AN2249">
        <v>1.0000000351557401</v>
      </c>
    </row>
    <row r="2250" spans="1:40" x14ac:dyDescent="0.25">
      <c r="A2250" t="str">
        <f>"20190303161918228"</f>
        <v>20190303161918228</v>
      </c>
      <c r="B2250" t="str">
        <f>"1551601158214480"</f>
        <v>1551601158214480</v>
      </c>
      <c r="C2250" t="s">
        <v>40</v>
      </c>
      <c r="D2250">
        <v>4.5312599999999996</v>
      </c>
      <c r="E2250">
        <v>0.53237469999999998</v>
      </c>
      <c r="F2250" t="s">
        <v>41</v>
      </c>
      <c r="G2250">
        <v>-203.64</v>
      </c>
      <c r="H2250">
        <v>7.9986879999999996E-2</v>
      </c>
      <c r="I2250">
        <v>249.97620000000001</v>
      </c>
      <c r="J2250">
        <v>-191.46100000000001</v>
      </c>
      <c r="K2250">
        <v>1.120959</v>
      </c>
      <c r="L2250">
        <v>330.81699999999898</v>
      </c>
      <c r="M2250">
        <v>-1.634524E-2</v>
      </c>
      <c r="N2250">
        <v>-1.115065E-2</v>
      </c>
      <c r="O2250">
        <v>-0.99980440000000004</v>
      </c>
      <c r="P2250">
        <v>-6.4400810000000003E-2</v>
      </c>
      <c r="Q2250">
        <v>0.10194019999999999</v>
      </c>
      <c r="R2250">
        <v>-0.99270429999999998</v>
      </c>
      <c r="S2250">
        <v>-0.45062259999999998</v>
      </c>
      <c r="T2250">
        <v>-3.8504719999999999E-2</v>
      </c>
      <c r="U2250">
        <v>-2.997131</v>
      </c>
      <c r="V2250">
        <v>4.8231330000000003E-2</v>
      </c>
      <c r="W2250">
        <v>0.1129854</v>
      </c>
      <c r="X2250">
        <v>0.99242529999999995</v>
      </c>
      <c r="Y2250">
        <v>0.13247799999999901</v>
      </c>
      <c r="Z2250">
        <v>1.5785829999999999E-3</v>
      </c>
      <c r="AA2250">
        <v>0.99118470000000003</v>
      </c>
      <c r="AB2250">
        <v>18</v>
      </c>
      <c r="AC2250">
        <v>-12.179</v>
      </c>
      <c r="AD2250">
        <v>-1.0409721199999999</v>
      </c>
      <c r="AE2250">
        <v>-80.840799999999902</v>
      </c>
      <c r="AF2250">
        <v>10.854168756591999</v>
      </c>
      <c r="AG2250">
        <v>-1.0409721199999999</v>
      </c>
      <c r="AH2250">
        <v>81.015944648518598</v>
      </c>
      <c r="AI2250">
        <v>90.729633286110797</v>
      </c>
      <c r="AJ2250">
        <v>82.369197062242407</v>
      </c>
      <c r="AK2250">
        <v>81.746436556237896</v>
      </c>
      <c r="AL2250">
        <v>83.512560191550193</v>
      </c>
      <c r="AM2250">
        <v>87.217645443662505</v>
      </c>
      <c r="AN2250">
        <v>0.99999996894340903</v>
      </c>
    </row>
    <row r="2251" spans="1:40" x14ac:dyDescent="0.25">
      <c r="A2251" t="str">
        <f>"20190303161918249"</f>
        <v>20190303161918249</v>
      </c>
      <c r="B2251" t="str">
        <f>"1551601158244736"</f>
        <v>1551601158244736</v>
      </c>
      <c r="C2251" t="s">
        <v>40</v>
      </c>
      <c r="D2251">
        <v>4.5852830000000004</v>
      </c>
      <c r="E2251">
        <v>0.53220049999999997</v>
      </c>
      <c r="F2251" t="s">
        <v>41</v>
      </c>
      <c r="G2251">
        <v>-203.4699</v>
      </c>
      <c r="H2251">
        <v>7.9986440000000006E-2</v>
      </c>
      <c r="I2251">
        <v>251.41409999999999</v>
      </c>
      <c r="J2251">
        <v>-191.46459999999999</v>
      </c>
      <c r="K2251">
        <v>1.120965</v>
      </c>
      <c r="L2251">
        <v>330.63490000000002</v>
      </c>
      <c r="M2251">
        <v>-1.6786530000000001E-2</v>
      </c>
      <c r="N2251">
        <v>-1.1340579999999999E-2</v>
      </c>
      <c r="O2251">
        <v>-0.99979479999999998</v>
      </c>
      <c r="P2251">
        <v>-6.5614899999999907E-2</v>
      </c>
      <c r="Q2251">
        <v>0.1019427</v>
      </c>
      <c r="R2251">
        <v>-0.99262430000000001</v>
      </c>
      <c r="S2251">
        <v>-0.45321660000000002</v>
      </c>
      <c r="T2251">
        <v>-3.9286380000000003E-2</v>
      </c>
      <c r="U2251">
        <v>-2.9966740000000001</v>
      </c>
      <c r="V2251">
        <v>4.9008629999999997E-2</v>
      </c>
      <c r="W2251">
        <v>0.1131754</v>
      </c>
      <c r="X2251">
        <v>0.99236559999999996</v>
      </c>
      <c r="Y2251">
        <v>0.13290099999999999</v>
      </c>
      <c r="Z2251">
        <v>1.6480519999999999E-3</v>
      </c>
      <c r="AA2251">
        <v>0.99112800000000001</v>
      </c>
      <c r="AB2251">
        <v>18</v>
      </c>
      <c r="AC2251">
        <v>-12.0053</v>
      </c>
      <c r="AD2251">
        <v>-1.0409785600000001</v>
      </c>
      <c r="AE2251">
        <v>-79.220799999999997</v>
      </c>
      <c r="AF2251">
        <v>10.671879061285701</v>
      </c>
      <c r="AG2251">
        <v>-1.0409785600000001</v>
      </c>
      <c r="AH2251">
        <v>79.397774867441896</v>
      </c>
      <c r="AI2251">
        <v>90.744463912007205</v>
      </c>
      <c r="AJ2251">
        <v>82.344737161560204</v>
      </c>
      <c r="AK2251">
        <v>80.118532768405501</v>
      </c>
      <c r="AL2251">
        <v>83.501603922599799</v>
      </c>
      <c r="AM2251">
        <v>87.172707163014806</v>
      </c>
      <c r="AN2251">
        <v>1.00000000052149</v>
      </c>
    </row>
    <row r="2252" spans="1:40" x14ac:dyDescent="0.25">
      <c r="A2252" t="str">
        <f>"20190303161918274"</f>
        <v>20190303161918274</v>
      </c>
      <c r="B2252" t="str">
        <f>"1551601158265233"</f>
        <v>1551601158265233</v>
      </c>
      <c r="C2252" t="s">
        <v>40</v>
      </c>
      <c r="D2252">
        <v>4.5988230000000003</v>
      </c>
      <c r="E2252">
        <v>0.53215089999999998</v>
      </c>
      <c r="F2252" t="s">
        <v>41</v>
      </c>
      <c r="G2252">
        <v>-203.59610000000001</v>
      </c>
      <c r="H2252">
        <v>7.998661E-2</v>
      </c>
      <c r="I2252">
        <v>250.8364</v>
      </c>
      <c r="J2252">
        <v>-191.46860000000001</v>
      </c>
      <c r="K2252">
        <v>1.1209739999999999</v>
      </c>
      <c r="L2252">
        <v>330.43490000000003</v>
      </c>
      <c r="M2252">
        <v>-1.726753E-2</v>
      </c>
      <c r="N2252">
        <v>-1.1520809999999999E-2</v>
      </c>
      <c r="O2252">
        <v>-0.99978480000000003</v>
      </c>
      <c r="P2252">
        <v>-6.6650979999999999E-2</v>
      </c>
      <c r="Q2252">
        <v>0.1025582</v>
      </c>
      <c r="R2252">
        <v>-0.99249200000000004</v>
      </c>
      <c r="S2252">
        <v>-0.4555054</v>
      </c>
      <c r="T2252">
        <v>-3.9085870000000002E-2</v>
      </c>
      <c r="U2252">
        <v>-2.996216</v>
      </c>
      <c r="V2252">
        <v>4.9569670000000003E-2</v>
      </c>
      <c r="W2252">
        <v>0.113968</v>
      </c>
      <c r="X2252">
        <v>0.99224699999999999</v>
      </c>
      <c r="Y2252">
        <v>0.1331862</v>
      </c>
      <c r="Z2252">
        <v>1.403131E-3</v>
      </c>
      <c r="AA2252">
        <v>0.99109009999999997</v>
      </c>
      <c r="AB2252">
        <v>18</v>
      </c>
      <c r="AC2252">
        <v>-12.1274999999999</v>
      </c>
      <c r="AD2252">
        <v>-1.04098739</v>
      </c>
      <c r="AE2252">
        <v>-79.598500000000001</v>
      </c>
      <c r="AF2252">
        <v>10.749334486542899</v>
      </c>
      <c r="AG2252">
        <v>-1.04098739</v>
      </c>
      <c r="AH2252">
        <v>79.782720562742298</v>
      </c>
      <c r="AI2252">
        <v>90.740847055133301</v>
      </c>
      <c r="AJ2252">
        <v>82.326598646204701</v>
      </c>
      <c r="AK2252">
        <v>80.510336895595799</v>
      </c>
      <c r="AL2252">
        <v>83.455895429856</v>
      </c>
      <c r="AM2252">
        <v>87.140053124366503</v>
      </c>
      <c r="AN2252">
        <v>0.99999998310845395</v>
      </c>
    </row>
    <row r="2253" spans="1:40" x14ac:dyDescent="0.25">
      <c r="A2253" t="str">
        <f>"20190303161918297"</f>
        <v>20190303161918297</v>
      </c>
      <c r="B2253" t="str">
        <f>"1551601158284752"</f>
        <v>1551601158284752</v>
      </c>
      <c r="C2253" t="s">
        <v>40</v>
      </c>
      <c r="D2253">
        <v>4.596565</v>
      </c>
      <c r="E2253">
        <v>0.53206209999999998</v>
      </c>
      <c r="F2253" t="s">
        <v>47</v>
      </c>
      <c r="G2253">
        <v>-203.80430000000001</v>
      </c>
      <c r="H2253">
        <v>9.7875299999999998E-2</v>
      </c>
      <c r="I2253">
        <v>249.76079999999999</v>
      </c>
      <c r="J2253">
        <v>-191.47229999999999</v>
      </c>
      <c r="K2253">
        <v>1.120986</v>
      </c>
      <c r="L2253">
        <v>330.25060000000002</v>
      </c>
      <c r="M2253">
        <v>-1.771199E-2</v>
      </c>
      <c r="N2253">
        <v>-1.1663400000000001E-2</v>
      </c>
      <c r="O2253">
        <v>-0.99977510000000003</v>
      </c>
      <c r="P2253">
        <v>-6.7911109999999997E-2</v>
      </c>
      <c r="Q2253">
        <v>0.10297050000000001</v>
      </c>
      <c r="R2253">
        <v>-0.99236329999999995</v>
      </c>
      <c r="S2253">
        <v>-0.45808409999999999</v>
      </c>
      <c r="T2253">
        <v>-3.7992600000000001E-2</v>
      </c>
      <c r="U2253">
        <v>-2.995819</v>
      </c>
      <c r="V2253">
        <v>5.0390450000000003E-2</v>
      </c>
      <c r="W2253">
        <v>0.11452030000000001</v>
      </c>
      <c r="X2253">
        <v>0.99214210000000003</v>
      </c>
      <c r="Y2253">
        <v>0.13359879999999999</v>
      </c>
      <c r="Z2253">
        <v>9.0048509999999995E-4</v>
      </c>
      <c r="AA2253">
        <v>0.99103509999999995</v>
      </c>
      <c r="AB2253">
        <v>18</v>
      </c>
      <c r="AC2253">
        <v>-12.332000000000001</v>
      </c>
      <c r="AD2253">
        <v>-1.0231106999999999</v>
      </c>
      <c r="AE2253">
        <v>-80.489800000000002</v>
      </c>
      <c r="AF2253">
        <v>10.902612565702</v>
      </c>
      <c r="AG2253">
        <v>-1.0231106999999999</v>
      </c>
      <c r="AH2253">
        <v>80.682873969065994</v>
      </c>
      <c r="AI2253">
        <v>90.719965555482403</v>
      </c>
      <c r="AJ2253">
        <v>82.3042819919593</v>
      </c>
      <c r="AK2253">
        <v>81.422600475362202</v>
      </c>
      <c r="AL2253">
        <v>83.424042672848898</v>
      </c>
      <c r="AM2253">
        <v>87.092471535886204</v>
      </c>
      <c r="AN2253">
        <v>1.00000002157785</v>
      </c>
    </row>
    <row r="2254" spans="1:40" x14ac:dyDescent="0.25">
      <c r="A2254" t="str">
        <f>"20190303161918317"</f>
        <v>20190303161918317</v>
      </c>
      <c r="B2254" t="str">
        <f>"1551601158305248"</f>
        <v>1551601158305248</v>
      </c>
      <c r="C2254" t="s">
        <v>40</v>
      </c>
      <c r="D2254">
        <v>4.5842499999999999</v>
      </c>
      <c r="E2254">
        <v>0.53193559999999995</v>
      </c>
      <c r="F2254" t="s">
        <v>41</v>
      </c>
      <c r="G2254">
        <v>-204.38570000000001</v>
      </c>
      <c r="H2254">
        <v>7.9986219999999997E-2</v>
      </c>
      <c r="I2254">
        <v>246.3263</v>
      </c>
      <c r="J2254">
        <v>-191.4759</v>
      </c>
      <c r="K2254">
        <v>1.121</v>
      </c>
      <c r="L2254">
        <v>330.07859999999999</v>
      </c>
      <c r="M2254">
        <v>-1.8131109999999999E-2</v>
      </c>
      <c r="N2254">
        <v>-1.177769E-2</v>
      </c>
      <c r="O2254">
        <v>-0.9997665</v>
      </c>
      <c r="P2254">
        <v>-6.8533490000000002E-2</v>
      </c>
      <c r="Q2254">
        <v>0.10377119999999999</v>
      </c>
      <c r="R2254">
        <v>-0.99223749999999999</v>
      </c>
      <c r="S2254">
        <v>-0.46089170000000002</v>
      </c>
      <c r="T2254">
        <v>-3.7154199999999998E-2</v>
      </c>
      <c r="U2254">
        <v>-2.9953310000000002</v>
      </c>
      <c r="V2254">
        <v>5.0598299999999999E-2</v>
      </c>
      <c r="W2254">
        <v>0.1154336</v>
      </c>
      <c r="X2254">
        <v>0.99202570000000001</v>
      </c>
      <c r="Y2254">
        <v>0.13411489999999901</v>
      </c>
      <c r="Z2254">
        <v>5.1047629999999896E-4</v>
      </c>
      <c r="AA2254">
        <v>0.99096569999999995</v>
      </c>
      <c r="AB2254">
        <v>18</v>
      </c>
      <c r="AC2254">
        <v>-12.909800000000001</v>
      </c>
      <c r="AD2254">
        <v>-1.0410137800000001</v>
      </c>
      <c r="AE2254">
        <v>-83.752299999999906</v>
      </c>
      <c r="AF2254">
        <v>11.3873319802602</v>
      </c>
      <c r="AG2254">
        <v>-1.0410137800000001</v>
      </c>
      <c r="AH2254">
        <v>83.959945407640404</v>
      </c>
      <c r="AI2254">
        <v>90.703925962528103</v>
      </c>
      <c r="AJ2254">
        <v>82.276209077875194</v>
      </c>
      <c r="AK2254">
        <v>84.7350427637396</v>
      </c>
      <c r="AL2254">
        <v>83.371365254699299</v>
      </c>
      <c r="AM2254">
        <v>87.080157329854103</v>
      </c>
      <c r="AN2254">
        <v>1.0000000467161601</v>
      </c>
    </row>
    <row r="2255" spans="1:40" x14ac:dyDescent="0.25">
      <c r="A2255" t="str">
        <f>"20190303161918340"</f>
        <v>20190303161918340</v>
      </c>
      <c r="B2255" t="str">
        <f>"1551601158334528"</f>
        <v>1551601158334528</v>
      </c>
      <c r="C2255" t="s">
        <v>40</v>
      </c>
      <c r="D2255">
        <v>4.6213220000000002</v>
      </c>
      <c r="E2255">
        <v>0.53177240000000003</v>
      </c>
      <c r="F2255" t="s">
        <v>44</v>
      </c>
      <c r="G2255">
        <v>-207.00479999999999</v>
      </c>
      <c r="H2255">
        <v>-0.05</v>
      </c>
      <c r="I2255">
        <v>229.38419999999999</v>
      </c>
      <c r="J2255">
        <v>-191.47980000000001</v>
      </c>
      <c r="K2255">
        <v>1.121011</v>
      </c>
      <c r="L2255">
        <v>329.89519999999999</v>
      </c>
      <c r="M2255">
        <v>-1.8581E-2</v>
      </c>
      <c r="N2255">
        <v>-1.1882530000000001E-2</v>
      </c>
      <c r="O2255">
        <v>-0.99975670000000005</v>
      </c>
      <c r="P2255">
        <v>-6.9070790000000007E-2</v>
      </c>
      <c r="Q2255">
        <v>0.10415489999999999</v>
      </c>
      <c r="R2255">
        <v>-0.99215969999999998</v>
      </c>
      <c r="S2255">
        <v>-0.46191409999999999</v>
      </c>
      <c r="T2255">
        <v>-3.4832000000000002E-2</v>
      </c>
      <c r="U2255">
        <v>-2.995209</v>
      </c>
      <c r="V2255">
        <v>5.0689030000000003E-2</v>
      </c>
      <c r="W2255">
        <v>0.115921</v>
      </c>
      <c r="X2255">
        <v>0.99196419999999996</v>
      </c>
      <c r="Y2255">
        <v>0.13400580000000001</v>
      </c>
      <c r="Z2255">
        <v>-3.6062719999999999E-4</v>
      </c>
      <c r="AA2255">
        <v>0.99098050000000004</v>
      </c>
      <c r="AB2255">
        <v>18</v>
      </c>
      <c r="AC2255">
        <v>-15.524999999999901</v>
      </c>
      <c r="AD2255">
        <v>-1.171011</v>
      </c>
      <c r="AE2255">
        <v>-100.511</v>
      </c>
      <c r="AF2255">
        <v>13.652782530513299</v>
      </c>
      <c r="AG2255">
        <v>-1.171011</v>
      </c>
      <c r="AH2255">
        <v>100.768776349286</v>
      </c>
      <c r="AI2255">
        <v>90.659763828872997</v>
      </c>
      <c r="AJ2255">
        <v>82.284193195848502</v>
      </c>
      <c r="AK2255">
        <v>101.696194739627</v>
      </c>
      <c r="AL2255">
        <v>83.343250342740106</v>
      </c>
      <c r="AM2255">
        <v>87.074749684002896</v>
      </c>
      <c r="AN2255">
        <v>1.0000000150424899</v>
      </c>
    </row>
    <row r="2256" spans="1:40" x14ac:dyDescent="0.25">
      <c r="A2256" t="str">
        <f>"20190303161918362"</f>
        <v>20190303161918362</v>
      </c>
      <c r="B2256" t="str">
        <f>"1551601158355024"</f>
        <v>1551601158355024</v>
      </c>
      <c r="C2256" t="s">
        <v>40</v>
      </c>
      <c r="D2256">
        <v>4.6297309999999996</v>
      </c>
      <c r="E2256">
        <v>0.53163450000000001</v>
      </c>
      <c r="F2256" t="s">
        <v>44</v>
      </c>
      <c r="G2256">
        <v>-207.5103</v>
      </c>
      <c r="H2256">
        <v>-0.05</v>
      </c>
      <c r="I2256">
        <v>226.0368</v>
      </c>
      <c r="J2256">
        <v>-191.4838</v>
      </c>
      <c r="K2256">
        <v>1.12103</v>
      </c>
      <c r="L2256">
        <v>329.71</v>
      </c>
      <c r="M2256">
        <v>-1.9032489999999999E-2</v>
      </c>
      <c r="N2256">
        <v>-1.197346E-2</v>
      </c>
      <c r="O2256">
        <v>-0.99974719999999995</v>
      </c>
      <c r="P2256">
        <v>-6.9494169999999994E-2</v>
      </c>
      <c r="Q2256">
        <v>0.1047848</v>
      </c>
      <c r="R2256">
        <v>-0.99206380000000005</v>
      </c>
      <c r="S2256">
        <v>-0.46228029999999998</v>
      </c>
      <c r="T2256">
        <v>-3.3769130000000001E-2</v>
      </c>
      <c r="U2256">
        <v>-2.9950260000000002</v>
      </c>
      <c r="V2256">
        <v>5.0665189999999999E-2</v>
      </c>
      <c r="W2256">
        <v>0.1166408</v>
      </c>
      <c r="X2256">
        <v>0.99188100000000001</v>
      </c>
      <c r="Y2256">
        <v>0.13368579999999999</v>
      </c>
      <c r="Z2256">
        <v>-8.0137920000000003E-4</v>
      </c>
      <c r="AA2256">
        <v>0.9910234</v>
      </c>
      <c r="AB2256">
        <v>18</v>
      </c>
      <c r="AC2256">
        <v>-16.026499999999999</v>
      </c>
      <c r="AD2256">
        <v>-1.17103</v>
      </c>
      <c r="AE2256">
        <v>-103.673199999999</v>
      </c>
      <c r="AF2256">
        <v>14.0485455367914</v>
      </c>
      <c r="AG2256">
        <v>-1.17103</v>
      </c>
      <c r="AH2256">
        <v>103.946512008887</v>
      </c>
      <c r="AI2256">
        <v>90.639634785248404</v>
      </c>
      <c r="AJ2256">
        <v>82.303017433233705</v>
      </c>
      <c r="AK2256">
        <v>104.898094843395</v>
      </c>
      <c r="AL2256">
        <v>83.301726912614896</v>
      </c>
      <c r="AM2256">
        <v>87.075878263947402</v>
      </c>
      <c r="AN2256">
        <v>0.99999997793168705</v>
      </c>
    </row>
    <row r="2257" spans="1:40" x14ac:dyDescent="0.25">
      <c r="A2257" t="str">
        <f>"20190303161918385"</f>
        <v>20190303161918385</v>
      </c>
      <c r="B2257" t="str">
        <f>"1551601158374545"</f>
        <v>1551601158374545</v>
      </c>
      <c r="C2257" t="s">
        <v>40</v>
      </c>
      <c r="D2257">
        <v>4.661562</v>
      </c>
      <c r="E2257">
        <v>0.53170669999999898</v>
      </c>
      <c r="F2257" t="s">
        <v>44</v>
      </c>
      <c r="G2257">
        <v>-208.46969999999999</v>
      </c>
      <c r="H2257">
        <v>-0.05</v>
      </c>
      <c r="I2257">
        <v>219.68209999999999</v>
      </c>
      <c r="J2257">
        <v>-191.48779999999999</v>
      </c>
      <c r="K2257">
        <v>1.1210450000000001</v>
      </c>
      <c r="L2257">
        <v>329.52749999999997</v>
      </c>
      <c r="M2257">
        <v>-1.947196E-2</v>
      </c>
      <c r="N2257">
        <v>-1.205086E-2</v>
      </c>
      <c r="O2257">
        <v>-0.99973789999999996</v>
      </c>
      <c r="P2257">
        <v>-7.0148699999999994E-2</v>
      </c>
      <c r="Q2257">
        <v>0.1054971</v>
      </c>
      <c r="R2257">
        <v>-0.9919424</v>
      </c>
      <c r="S2257">
        <v>-0.46235660000000001</v>
      </c>
      <c r="T2257">
        <v>-3.1875489999999999E-2</v>
      </c>
      <c r="U2257">
        <v>-2.9949650000000001</v>
      </c>
      <c r="V2257">
        <v>5.0885519999999997E-2</v>
      </c>
      <c r="W2257">
        <v>0.1174284</v>
      </c>
      <c r="X2257">
        <v>0.99177680000000001</v>
      </c>
      <c r="Y2257">
        <v>0.13327809999999901</v>
      </c>
      <c r="Z2257">
        <v>-1.503384E-3</v>
      </c>
      <c r="AA2257">
        <v>0.99107749999999994</v>
      </c>
      <c r="AB2257">
        <v>18</v>
      </c>
      <c r="AC2257">
        <v>-16.9818999999999</v>
      </c>
      <c r="AD2257">
        <v>-1.1710449999999999</v>
      </c>
      <c r="AE2257">
        <v>-109.845399999999</v>
      </c>
      <c r="AF2257">
        <v>14.8379725031206</v>
      </c>
      <c r="AG2257">
        <v>-1.1710449999999999</v>
      </c>
      <c r="AH2257">
        <v>110.14303956481299</v>
      </c>
      <c r="AI2257">
        <v>90.603694995370006</v>
      </c>
      <c r="AJ2257">
        <v>82.327562815956</v>
      </c>
      <c r="AK2257">
        <v>111.144167363706</v>
      </c>
      <c r="AL2257">
        <v>83.2562885973243</v>
      </c>
      <c r="AM2257">
        <v>87.0628762035427</v>
      </c>
      <c r="AN2257">
        <v>0.99999999314523502</v>
      </c>
    </row>
    <row r="2258" spans="1:40" x14ac:dyDescent="0.25">
      <c r="A2258" t="str">
        <f>"20190303161918407"</f>
        <v>20190303161918407</v>
      </c>
      <c r="B2258" t="str">
        <f>"1551601158395040"</f>
        <v>1551601158395040</v>
      </c>
      <c r="C2258" t="s">
        <v>40</v>
      </c>
      <c r="D2258">
        <v>4.6650260000000001</v>
      </c>
      <c r="E2258">
        <v>0.53194799999999998</v>
      </c>
      <c r="F2258" t="s">
        <v>44</v>
      </c>
      <c r="G2258">
        <v>-209.16309999999999</v>
      </c>
      <c r="H2258">
        <v>-0.05</v>
      </c>
      <c r="I2258">
        <v>215.72069999999999</v>
      </c>
      <c r="J2258">
        <v>-191.49189999999999</v>
      </c>
      <c r="K2258">
        <v>1.121057</v>
      </c>
      <c r="L2258">
        <v>329.34550000000002</v>
      </c>
      <c r="M2258">
        <v>-1.9905289999999999E-2</v>
      </c>
      <c r="N2258">
        <v>-1.2117080000000001E-2</v>
      </c>
      <c r="O2258">
        <v>-0.99972859999999997</v>
      </c>
      <c r="P2258">
        <v>-7.0618700000000006E-2</v>
      </c>
      <c r="Q2258">
        <v>0.1061338</v>
      </c>
      <c r="R2258">
        <v>-0.99184099999999997</v>
      </c>
      <c r="S2258">
        <v>-0.46511839999999999</v>
      </c>
      <c r="T2258">
        <v>-3.0815599999999999E-2</v>
      </c>
      <c r="U2258">
        <v>-2.9947810000000001</v>
      </c>
      <c r="V2258">
        <v>5.0927399999999998E-2</v>
      </c>
      <c r="W2258">
        <v>0.1181296</v>
      </c>
      <c r="X2258">
        <v>0.9916914</v>
      </c>
      <c r="Y2258">
        <v>0.13375020000000001</v>
      </c>
      <c r="Z2258">
        <v>-1.9196510000000001E-3</v>
      </c>
      <c r="AA2258">
        <v>0.99101320000000004</v>
      </c>
      <c r="AB2258">
        <v>18</v>
      </c>
      <c r="AC2258">
        <v>-17.671199999999999</v>
      </c>
      <c r="AD2258">
        <v>-1.171057</v>
      </c>
      <c r="AE2258">
        <v>-113.62479999999999</v>
      </c>
      <c r="AF2258">
        <v>15.4042003958763</v>
      </c>
      <c r="AG2258">
        <v>-1.171057</v>
      </c>
      <c r="AH2258">
        <v>113.942243142197</v>
      </c>
      <c r="AI2258">
        <v>90.583536308248597</v>
      </c>
      <c r="AJ2258">
        <v>82.300689031190302</v>
      </c>
      <c r="AK2258">
        <v>114.984762193123</v>
      </c>
      <c r="AL2258">
        <v>83.215831372348305</v>
      </c>
      <c r="AM2258">
        <v>87.060210422636899</v>
      </c>
      <c r="AN2258">
        <v>1.00000001765044</v>
      </c>
    </row>
    <row r="2259" spans="1:40" x14ac:dyDescent="0.25">
      <c r="A2259" t="str">
        <f>"20190303161918429"</f>
        <v>20190303161918429</v>
      </c>
      <c r="B2259" t="str">
        <f>"1551601158425296"</f>
        <v>1551601158425296</v>
      </c>
      <c r="C2259" t="s">
        <v>40</v>
      </c>
      <c r="D2259">
        <v>4.6579509999999997</v>
      </c>
      <c r="E2259">
        <v>0.53236870000000003</v>
      </c>
      <c r="F2259" t="s">
        <v>49</v>
      </c>
      <c r="G2259">
        <v>-207.92760000000001</v>
      </c>
      <c r="H2259">
        <v>8.0000100000000005E-2</v>
      </c>
      <c r="I2259">
        <v>224.25970000000001</v>
      </c>
      <c r="J2259">
        <v>-191.49610000000001</v>
      </c>
      <c r="K2259">
        <v>1.121075</v>
      </c>
      <c r="L2259">
        <v>329.16269999999997</v>
      </c>
      <c r="M2259">
        <v>-2.0337669999999999E-2</v>
      </c>
      <c r="N2259">
        <v>-1.217859E-2</v>
      </c>
      <c r="O2259">
        <v>-0.99971900000000002</v>
      </c>
      <c r="P2259">
        <v>-7.1096300000000001E-2</v>
      </c>
      <c r="Q2259">
        <v>0.1066821</v>
      </c>
      <c r="R2259">
        <v>-0.99174819999999997</v>
      </c>
      <c r="S2259">
        <v>-0.46835329999999997</v>
      </c>
      <c r="T2259">
        <v>-2.9666069999999999E-2</v>
      </c>
      <c r="U2259">
        <v>-2.9945369999999998</v>
      </c>
      <c r="V2259">
        <v>5.09772E-2</v>
      </c>
      <c r="W2259">
        <v>0.1187385</v>
      </c>
      <c r="X2259">
        <v>0.9916161</v>
      </c>
      <c r="Y2259">
        <v>0.1343789</v>
      </c>
      <c r="Z2259">
        <v>-2.3607939999999998E-3</v>
      </c>
      <c r="AA2259">
        <v>0.99092720000000001</v>
      </c>
      <c r="AB2259">
        <v>18</v>
      </c>
      <c r="AC2259">
        <v>-16.4315</v>
      </c>
      <c r="AD2259">
        <v>-1.0410748999999999</v>
      </c>
      <c r="AE2259">
        <v>-104.902999999999</v>
      </c>
      <c r="AF2259">
        <v>14.2930861250593</v>
      </c>
      <c r="AG2259">
        <v>-1.0410748999999999</v>
      </c>
      <c r="AH2259">
        <v>105.20538925789999</v>
      </c>
      <c r="AI2259">
        <v>90.561799331686402</v>
      </c>
      <c r="AJ2259">
        <v>82.263228471209104</v>
      </c>
      <c r="AK2259">
        <v>106.176975266919</v>
      </c>
      <c r="AL2259">
        <v>83.180696557225005</v>
      </c>
      <c r="AM2259">
        <v>87.057117699521896</v>
      </c>
      <c r="AN2259">
        <v>0.99999999804064998</v>
      </c>
    </row>
    <row r="2260" spans="1:40" x14ac:dyDescent="0.25">
      <c r="A2260" t="str">
        <f>"20190303161918452"</f>
        <v>20190303161918452</v>
      </c>
      <c r="B2260" t="str">
        <f>"1551601158444817"</f>
        <v>1551601158444817</v>
      </c>
      <c r="C2260" t="s">
        <v>40</v>
      </c>
      <c r="D2260">
        <v>4.6101929999999998</v>
      </c>
      <c r="E2260">
        <v>0.53262959999999904</v>
      </c>
      <c r="F2260" t="s">
        <v>49</v>
      </c>
      <c r="G2260">
        <v>-208.71600000000001</v>
      </c>
      <c r="H2260">
        <v>8.0000639999999998E-2</v>
      </c>
      <c r="I2260">
        <v>220.23769999999999</v>
      </c>
      <c r="J2260">
        <v>-191.50059999999999</v>
      </c>
      <c r="K2260">
        <v>1.1210960000000001</v>
      </c>
      <c r="L2260">
        <v>328.97190000000001</v>
      </c>
      <c r="M2260">
        <v>-2.0790240000000001E-2</v>
      </c>
      <c r="N2260">
        <v>-1.224128E-2</v>
      </c>
      <c r="O2260">
        <v>-0.99970919999999996</v>
      </c>
      <c r="P2260">
        <v>-7.1994030000000001E-2</v>
      </c>
      <c r="Q2260">
        <v>0.10718129999999999</v>
      </c>
      <c r="R2260">
        <v>-0.99163000000000001</v>
      </c>
      <c r="S2260">
        <v>-0.47334290000000001</v>
      </c>
      <c r="T2260">
        <v>-2.8617139999999999E-2</v>
      </c>
      <c r="U2260">
        <v>-2.9941409999999999</v>
      </c>
      <c r="V2260">
        <v>5.1426670000000001E-2</v>
      </c>
      <c r="W2260">
        <v>0.11929910000000001</v>
      </c>
      <c r="X2260">
        <v>0.99152560000000001</v>
      </c>
      <c r="Y2260">
        <v>0.1355615</v>
      </c>
      <c r="Z2260">
        <v>-2.7700670000000002E-3</v>
      </c>
      <c r="AA2260">
        <v>0.99076500000000001</v>
      </c>
      <c r="AB2260">
        <v>18</v>
      </c>
      <c r="AC2260">
        <v>-17.215399999999899</v>
      </c>
      <c r="AD2260">
        <v>-1.0410953599999999</v>
      </c>
      <c r="AE2260">
        <v>-108.7342</v>
      </c>
      <c r="AF2260">
        <v>14.9495626543155</v>
      </c>
      <c r="AG2260">
        <v>-1.0410953599999999</v>
      </c>
      <c r="AH2260">
        <v>109.058880220345</v>
      </c>
      <c r="AI2260">
        <v>90.541872048040901</v>
      </c>
      <c r="AJ2260">
        <v>82.194660439781401</v>
      </c>
      <c r="AK2260">
        <v>110.083662084887</v>
      </c>
      <c r="AL2260">
        <v>83.148346588995096</v>
      </c>
      <c r="AM2260">
        <v>87.030945802909798</v>
      </c>
      <c r="AN2260">
        <v>0.999999996551729</v>
      </c>
    </row>
    <row r="2261" spans="1:40" x14ac:dyDescent="0.25">
      <c r="A2261" t="str">
        <f>"20190303161918476"</f>
        <v>20190303161918476</v>
      </c>
      <c r="B2261" t="str">
        <f>"1551601158465312"</f>
        <v>1551601158465312</v>
      </c>
      <c r="C2261" t="s">
        <v>40</v>
      </c>
      <c r="D2261">
        <v>4.684069</v>
      </c>
      <c r="E2261">
        <v>0.53284259999999894</v>
      </c>
      <c r="F2261" t="s">
        <v>52</v>
      </c>
      <c r="G2261">
        <v>-210.56290000000001</v>
      </c>
      <c r="H2261">
        <v>1.324199E-2</v>
      </c>
      <c r="I2261">
        <v>209.6163</v>
      </c>
      <c r="J2261">
        <v>-191.5051</v>
      </c>
      <c r="K2261">
        <v>1.1211169999999999</v>
      </c>
      <c r="L2261">
        <v>328.78230000000002</v>
      </c>
      <c r="M2261">
        <v>-2.12409E-2</v>
      </c>
      <c r="N2261">
        <v>-1.2304219999999999E-2</v>
      </c>
      <c r="O2261">
        <v>-0.99969870000000005</v>
      </c>
      <c r="P2261">
        <v>-7.3213970000000003E-2</v>
      </c>
      <c r="Q2261">
        <v>0.1074481</v>
      </c>
      <c r="R2261">
        <v>-0.99151149999999999</v>
      </c>
      <c r="S2261">
        <v>-0.47810360000000002</v>
      </c>
      <c r="T2261">
        <v>-2.7786140000000001E-2</v>
      </c>
      <c r="U2261">
        <v>-2.9935610000000001</v>
      </c>
      <c r="V2261">
        <v>5.2199349999999999E-2</v>
      </c>
      <c r="W2261">
        <v>0.1196281</v>
      </c>
      <c r="X2261">
        <v>0.99144560000000004</v>
      </c>
      <c r="Y2261">
        <v>0.13668089999999999</v>
      </c>
      <c r="Z2261">
        <v>-3.106934E-3</v>
      </c>
      <c r="AA2261">
        <v>0.9906102</v>
      </c>
      <c r="AB2261">
        <v>18</v>
      </c>
      <c r="AC2261">
        <v>-19.0578</v>
      </c>
      <c r="AD2261">
        <v>-1.1078750100000001</v>
      </c>
      <c r="AE2261">
        <v>-119.166</v>
      </c>
      <c r="AF2261">
        <v>16.5207227006156</v>
      </c>
      <c r="AG2261">
        <v>-1.1078750100000001</v>
      </c>
      <c r="AH2261">
        <v>119.533871996602</v>
      </c>
      <c r="AI2261">
        <v>90.526018971464893</v>
      </c>
      <c r="AJ2261">
        <v>82.131027433135998</v>
      </c>
      <c r="AK2261">
        <v>120.675217920203</v>
      </c>
      <c r="AL2261">
        <v>83.129360443663103</v>
      </c>
      <c r="AM2261">
        <v>86.986174996178505</v>
      </c>
      <c r="AN2261">
        <v>1.00000001610469</v>
      </c>
    </row>
    <row r="2262" spans="1:40" x14ac:dyDescent="0.25">
      <c r="A2262" t="str">
        <f>"20190303161918498"</f>
        <v>20190303161918498</v>
      </c>
      <c r="B2262" t="str">
        <f>"1551601158484832"</f>
        <v>1551601158484832</v>
      </c>
      <c r="C2262" t="s">
        <v>40</v>
      </c>
      <c r="D2262">
        <v>4.6961830000000004</v>
      </c>
      <c r="E2262">
        <v>0.53303009999999995</v>
      </c>
      <c r="F2262" t="s">
        <v>52</v>
      </c>
      <c r="G2262">
        <v>-210.75219999999999</v>
      </c>
      <c r="H2262">
        <v>3.20801E-2</v>
      </c>
      <c r="I2262">
        <v>209.6163</v>
      </c>
      <c r="J2262">
        <v>-191.5094</v>
      </c>
      <c r="K2262">
        <v>1.121138</v>
      </c>
      <c r="L2262">
        <v>328.60309999999998</v>
      </c>
      <c r="M2262">
        <v>-2.1662299999999999E-2</v>
      </c>
      <c r="N2262">
        <v>-1.2366830000000001E-2</v>
      </c>
      <c r="O2262">
        <v>-0.99968889999999999</v>
      </c>
      <c r="P2262">
        <v>-7.4348330000000004E-2</v>
      </c>
      <c r="Q2262">
        <v>0.1071201</v>
      </c>
      <c r="R2262">
        <v>-0.99146259999999997</v>
      </c>
      <c r="S2262">
        <v>-0.4834137</v>
      </c>
      <c r="T2262">
        <v>-2.7352330000000001E-2</v>
      </c>
      <c r="U2262">
        <v>-2.9929809999999999</v>
      </c>
      <c r="V2262">
        <v>5.2913759999999997E-2</v>
      </c>
      <c r="W2262">
        <v>0.1193625</v>
      </c>
      <c r="X2262">
        <v>0.99143970000000003</v>
      </c>
      <c r="Y2262">
        <v>0.1380062</v>
      </c>
      <c r="Z2262">
        <v>-3.3125490000000001E-3</v>
      </c>
      <c r="AA2262">
        <v>0.99042580000000002</v>
      </c>
      <c r="AB2262">
        <v>18</v>
      </c>
      <c r="AC2262">
        <v>-19.2427999999999</v>
      </c>
      <c r="AD2262">
        <v>-1.0890579</v>
      </c>
      <c r="AE2262">
        <v>-118.9868</v>
      </c>
      <c r="AF2262">
        <v>16.659199100332799</v>
      </c>
      <c r="AG2262">
        <v>-1.0890579</v>
      </c>
      <c r="AH2262">
        <v>119.366005242882</v>
      </c>
      <c r="AI2262">
        <v>90.517716693686396</v>
      </c>
      <c r="AJ2262">
        <v>82.054890900727003</v>
      </c>
      <c r="AK2262">
        <v>120.527831513796</v>
      </c>
      <c r="AL2262">
        <v>83.144687749012405</v>
      </c>
      <c r="AM2262">
        <v>86.944986689463207</v>
      </c>
      <c r="AN2262">
        <v>0.999999975569838</v>
      </c>
    </row>
    <row r="2263" spans="1:40" x14ac:dyDescent="0.25">
      <c r="A2263" t="str">
        <f>"20190303161918518"</f>
        <v>20190303161918518</v>
      </c>
      <c r="B2263" t="str">
        <f>"1551601158505329"</f>
        <v>1551601158505329</v>
      </c>
      <c r="C2263" t="s">
        <v>40</v>
      </c>
      <c r="D2263">
        <v>4.688987</v>
      </c>
      <c r="E2263">
        <v>0.5332093</v>
      </c>
      <c r="F2263" t="s">
        <v>49</v>
      </c>
      <c r="G2263">
        <v>-208.78469999999999</v>
      </c>
      <c r="H2263">
        <v>8.0000429999999997E-2</v>
      </c>
      <c r="I2263">
        <v>222.74369999999999</v>
      </c>
      <c r="J2263">
        <v>-191.5137</v>
      </c>
      <c r="K2263">
        <v>1.121157</v>
      </c>
      <c r="L2263">
        <v>328.42829999999998</v>
      </c>
      <c r="M2263">
        <v>-2.206317E-2</v>
      </c>
      <c r="N2263">
        <v>-1.244381E-2</v>
      </c>
      <c r="O2263">
        <v>-0.9996794</v>
      </c>
      <c r="P2263">
        <v>-7.5496149999999998E-2</v>
      </c>
      <c r="Q2263">
        <v>0.10673339999999901</v>
      </c>
      <c r="R2263">
        <v>-0.99141760000000001</v>
      </c>
      <c r="S2263">
        <v>-0.48832700000000001</v>
      </c>
      <c r="T2263">
        <v>-2.9430270000000001E-2</v>
      </c>
      <c r="U2263">
        <v>-2.9923709999999999</v>
      </c>
      <c r="V2263">
        <v>5.3662130000000002E-2</v>
      </c>
      <c r="W2263">
        <v>0.1190529</v>
      </c>
      <c r="X2263">
        <v>0.99143669999999995</v>
      </c>
      <c r="Y2263">
        <v>0.1392245</v>
      </c>
      <c r="Z2263">
        <v>-2.7028550000000001E-3</v>
      </c>
      <c r="AA2263">
        <v>0.9902571</v>
      </c>
      <c r="AB2263">
        <v>18</v>
      </c>
      <c r="AC2263">
        <v>-17.270999999999901</v>
      </c>
      <c r="AD2263">
        <v>-1.0411565700000001</v>
      </c>
      <c r="AE2263">
        <v>-105.6846</v>
      </c>
      <c r="AF2263">
        <v>14.9334663568417</v>
      </c>
      <c r="AG2263">
        <v>-1.0411565700000001</v>
      </c>
      <c r="AH2263">
        <v>106.02992970898499</v>
      </c>
      <c r="AI2263">
        <v>90.557097549314804</v>
      </c>
      <c r="AJ2263">
        <v>81.9830799582993</v>
      </c>
      <c r="AK2263">
        <v>107.081456931284</v>
      </c>
      <c r="AL2263">
        <v>83.162553907292406</v>
      </c>
      <c r="AM2263">
        <v>86.9018532501116</v>
      </c>
      <c r="AN2263">
        <v>0.99999997365071802</v>
      </c>
    </row>
    <row r="2264" spans="1:40" x14ac:dyDescent="0.25">
      <c r="A2264" t="str">
        <f>"20190303161918541"</f>
        <v>20190303161918541</v>
      </c>
      <c r="B2264" t="str">
        <f>"1551601158534609"</f>
        <v>1551601158534609</v>
      </c>
      <c r="C2264" t="s">
        <v>40</v>
      </c>
      <c r="D2264">
        <v>4.6997059999999999</v>
      </c>
      <c r="E2264">
        <v>0.53347469999999997</v>
      </c>
      <c r="F2264" t="s">
        <v>44</v>
      </c>
      <c r="G2264">
        <v>-209.76779999999999</v>
      </c>
      <c r="H2264">
        <v>-0.05</v>
      </c>
      <c r="I2264">
        <v>217.67429999999999</v>
      </c>
      <c r="J2264">
        <v>-191.5181</v>
      </c>
      <c r="K2264">
        <v>1.1211930000000001</v>
      </c>
      <c r="L2264">
        <v>328.24990000000003</v>
      </c>
      <c r="M2264">
        <v>-2.2459340000000001E-2</v>
      </c>
      <c r="N2264">
        <v>-1.2554620000000001E-2</v>
      </c>
      <c r="O2264">
        <v>-0.99966889999999997</v>
      </c>
      <c r="P2264">
        <v>-7.6597009999999993E-2</v>
      </c>
      <c r="Q2264">
        <v>0.10649</v>
      </c>
      <c r="R2264">
        <v>-0.99135910000000005</v>
      </c>
      <c r="S2264">
        <v>-0.49310300000000001</v>
      </c>
      <c r="T2264">
        <v>-3.1636709999999998E-2</v>
      </c>
      <c r="U2264">
        <v>-2.9918209999999998</v>
      </c>
      <c r="V2264">
        <v>5.4368489999999998E-2</v>
      </c>
      <c r="W2264">
        <v>0.118919899999999</v>
      </c>
      <c r="X2264">
        <v>0.99141420000000002</v>
      </c>
      <c r="Y2264">
        <v>0.14039939999999901</v>
      </c>
      <c r="Z2264">
        <v>-2.084706E-3</v>
      </c>
      <c r="AA2264">
        <v>0.9900928</v>
      </c>
      <c r="AB2264">
        <v>18</v>
      </c>
      <c r="AC2264">
        <v>-18.249699999999901</v>
      </c>
      <c r="AD2264">
        <v>-1.1711929999999999</v>
      </c>
      <c r="AE2264">
        <v>-110.57559999999999</v>
      </c>
      <c r="AF2264">
        <v>15.759723981481599</v>
      </c>
      <c r="AG2264">
        <v>-1.1711929999999999</v>
      </c>
      <c r="AH2264">
        <v>110.945495756871</v>
      </c>
      <c r="AI2264">
        <v>90.598808061296893</v>
      </c>
      <c r="AJ2264">
        <v>81.915266085550599</v>
      </c>
      <c r="AK2264">
        <v>112.065354243645</v>
      </c>
      <c r="AL2264">
        <v>83.1702289201924</v>
      </c>
      <c r="AM2264">
        <v>86.861081958500804</v>
      </c>
      <c r="AN2264">
        <v>0.99999999564126496</v>
      </c>
    </row>
    <row r="2265" spans="1:40" x14ac:dyDescent="0.25">
      <c r="A2265" t="str">
        <f>"20190303161918562"</f>
        <v>20190303161918562</v>
      </c>
      <c r="B2265" t="str">
        <f>"1551601158555105"</f>
        <v>1551601158555105</v>
      </c>
      <c r="C2265" t="s">
        <v>40</v>
      </c>
      <c r="D2265">
        <v>4.7249359999999996</v>
      </c>
      <c r="E2265">
        <v>0.53361829999999999</v>
      </c>
      <c r="F2265" t="s">
        <v>44</v>
      </c>
      <c r="G2265">
        <v>-208.85659999999999</v>
      </c>
      <c r="H2265">
        <v>-0.05</v>
      </c>
      <c r="I2265">
        <v>224.20840000000001</v>
      </c>
      <c r="J2265">
        <v>-191.52260000000001</v>
      </c>
      <c r="K2265">
        <v>1.1212390000000001</v>
      </c>
      <c r="L2265">
        <v>328.07029999999997</v>
      </c>
      <c r="M2265">
        <v>-2.2845810000000001E-2</v>
      </c>
      <c r="N2265">
        <v>-1.269795E-2</v>
      </c>
      <c r="O2265">
        <v>-0.99965839999999995</v>
      </c>
      <c r="P2265">
        <v>-7.8376299999999996E-2</v>
      </c>
      <c r="Q2265">
        <v>0.1064606</v>
      </c>
      <c r="R2265">
        <v>-0.99122330000000003</v>
      </c>
      <c r="S2265">
        <v>-0.49848940000000003</v>
      </c>
      <c r="T2265">
        <v>-3.367233E-2</v>
      </c>
      <c r="U2265">
        <v>-2.991241</v>
      </c>
      <c r="V2265">
        <v>5.5764389999999997E-2</v>
      </c>
      <c r="W2265">
        <v>0.1190321</v>
      </c>
      <c r="X2265">
        <v>0.99132319999999996</v>
      </c>
      <c r="Y2265">
        <v>0.141781399999999</v>
      </c>
      <c r="Z2265">
        <v>-1.555715E-3</v>
      </c>
      <c r="AA2265">
        <v>0.98989680000000002</v>
      </c>
      <c r="AB2265">
        <v>18</v>
      </c>
      <c r="AC2265">
        <v>-17.3339999999999</v>
      </c>
      <c r="AD2265">
        <v>-1.1712389999999999</v>
      </c>
      <c r="AE2265">
        <v>-103.861899999999</v>
      </c>
      <c r="AF2265">
        <v>14.9546244384505</v>
      </c>
      <c r="AG2265">
        <v>-1.1712389999999999</v>
      </c>
      <c r="AH2265">
        <v>104.217934843321</v>
      </c>
      <c r="AI2265">
        <v>90.6373559253895</v>
      </c>
      <c r="AJ2265">
        <v>81.834154273121996</v>
      </c>
      <c r="AK2265">
        <v>105.29193006065</v>
      </c>
      <c r="AL2265">
        <v>83.163754357997604</v>
      </c>
      <c r="AM2265">
        <v>86.780363370322206</v>
      </c>
      <c r="AN2265">
        <v>0.99999999744035994</v>
      </c>
    </row>
    <row r="2266" spans="1:40" x14ac:dyDescent="0.25">
      <c r="A2266" t="str">
        <f>"20190303161918586"</f>
        <v>20190303161918586</v>
      </c>
      <c r="B2266" t="str">
        <f>"1551601158574624"</f>
        <v>1551601158574624</v>
      </c>
      <c r="C2266" t="s">
        <v>40</v>
      </c>
      <c r="D2266">
        <v>4.7311949999999996</v>
      </c>
      <c r="E2266">
        <v>0.53371119999999905</v>
      </c>
      <c r="F2266" t="s">
        <v>44</v>
      </c>
      <c r="G2266">
        <v>-208.3905</v>
      </c>
      <c r="H2266">
        <v>-0.05</v>
      </c>
      <c r="I2266">
        <v>228.15719999999999</v>
      </c>
      <c r="J2266">
        <v>-191.52719999999999</v>
      </c>
      <c r="K2266">
        <v>1.1212879999999901</v>
      </c>
      <c r="L2266">
        <v>327.88869999999997</v>
      </c>
      <c r="M2266">
        <v>-2.3225490000000001E-2</v>
      </c>
      <c r="N2266">
        <v>-1.285419E-2</v>
      </c>
      <c r="O2266">
        <v>-0.99964770000000003</v>
      </c>
      <c r="P2266">
        <v>-8.0370269999999994E-2</v>
      </c>
      <c r="Q2266">
        <v>0.106958</v>
      </c>
      <c r="R2266">
        <v>-0.9910099</v>
      </c>
      <c r="S2266">
        <v>-0.50485230000000003</v>
      </c>
      <c r="T2266">
        <v>-3.5055040000000003E-2</v>
      </c>
      <c r="U2266">
        <v>-2.9903870000000001</v>
      </c>
      <c r="V2266">
        <v>5.738385E-2</v>
      </c>
      <c r="W2266">
        <v>0.1196826</v>
      </c>
      <c r="X2266">
        <v>0.99115249999999999</v>
      </c>
      <c r="Y2266">
        <v>0.14349870000000001</v>
      </c>
      <c r="Z2266">
        <v>-1.2547770000000001E-3</v>
      </c>
      <c r="AA2266">
        <v>0.98964969999999997</v>
      </c>
      <c r="AB2266">
        <v>18</v>
      </c>
      <c r="AC2266">
        <v>-16.863299999999999</v>
      </c>
      <c r="AD2266">
        <v>-1.1712880000000001</v>
      </c>
      <c r="AE2266">
        <v>-99.731499999999897</v>
      </c>
      <c r="AF2266">
        <v>14.5402964547397</v>
      </c>
      <c r="AG2266">
        <v>-1.1712880000000001</v>
      </c>
      <c r="AH2266">
        <v>100.082863062576</v>
      </c>
      <c r="AI2266">
        <v>90.663546795801295</v>
      </c>
      <c r="AJ2266">
        <v>81.733756223730396</v>
      </c>
      <c r="AK2266">
        <v>101.14035601763</v>
      </c>
      <c r="AL2266">
        <v>83.126215492911797</v>
      </c>
      <c r="AM2266">
        <v>86.686497579234498</v>
      </c>
      <c r="AN2266">
        <v>1.0000000546199099</v>
      </c>
    </row>
    <row r="2267" spans="1:40" x14ac:dyDescent="0.25">
      <c r="A2267" t="str">
        <f>"20190303161918607"</f>
        <v>20190303161918607</v>
      </c>
      <c r="B2267" t="str">
        <f>"1551601158595120"</f>
        <v>1551601158595120</v>
      </c>
      <c r="C2267" t="s">
        <v>40</v>
      </c>
      <c r="D2267">
        <v>4.729476</v>
      </c>
      <c r="E2267">
        <v>0.5337539</v>
      </c>
      <c r="F2267" t="s">
        <v>44</v>
      </c>
      <c r="G2267">
        <v>-208.8235</v>
      </c>
      <c r="H2267">
        <v>-0.05</v>
      </c>
      <c r="I2267">
        <v>226.87360000000001</v>
      </c>
      <c r="J2267">
        <v>-191.5317</v>
      </c>
      <c r="K2267">
        <v>1.1213229999999901</v>
      </c>
      <c r="L2267">
        <v>327.71350000000001</v>
      </c>
      <c r="M2267">
        <v>-2.35812E-2</v>
      </c>
      <c r="N2267">
        <v>-1.299558E-2</v>
      </c>
      <c r="O2267">
        <v>-0.99963740000000001</v>
      </c>
      <c r="P2267">
        <v>-8.2095890000000005E-2</v>
      </c>
      <c r="Q2267">
        <v>0.1075779</v>
      </c>
      <c r="R2267">
        <v>-0.99080119999999905</v>
      </c>
      <c r="S2267">
        <v>-0.51187130000000003</v>
      </c>
      <c r="T2267">
        <v>-3.4663439999999997E-2</v>
      </c>
      <c r="U2267">
        <v>-2.989471</v>
      </c>
      <c r="V2267">
        <v>5.8759550000000001E-2</v>
      </c>
      <c r="W2267">
        <v>0.1204409</v>
      </c>
      <c r="X2267">
        <v>0.99097999999999997</v>
      </c>
      <c r="Y2267">
        <v>0.14545359999999999</v>
      </c>
      <c r="Z2267">
        <v>-1.5250179999999999E-3</v>
      </c>
      <c r="AA2267">
        <v>0.98936389999999996</v>
      </c>
      <c r="AB2267">
        <v>18</v>
      </c>
      <c r="AC2267">
        <v>-17.291799999999899</v>
      </c>
      <c r="AD2267">
        <v>-1.1713229999999999</v>
      </c>
      <c r="AE2267">
        <v>-100.8399</v>
      </c>
      <c r="AF2267">
        <v>14.906910117601001</v>
      </c>
      <c r="AG2267">
        <v>-1.1713229999999999</v>
      </c>
      <c r="AH2267">
        <v>101.20638494799999</v>
      </c>
      <c r="AI2267">
        <v>90.656011996369202</v>
      </c>
      <c r="AJ2267">
        <v>81.621026423896495</v>
      </c>
      <c r="AK2267">
        <v>102.30503565840399</v>
      </c>
      <c r="AL2267">
        <v>83.082451348022502</v>
      </c>
      <c r="AM2267">
        <v>86.6066550500299</v>
      </c>
      <c r="AN2267">
        <v>1.0000000277545</v>
      </c>
    </row>
    <row r="2268" spans="1:40" x14ac:dyDescent="0.25">
      <c r="A2268" t="str">
        <f>"20190303161918631"</f>
        <v>20190303161918631</v>
      </c>
      <c r="B2268" t="str">
        <f>"1551601158625377"</f>
        <v>1551601158625377</v>
      </c>
      <c r="C2268" t="s">
        <v>40</v>
      </c>
      <c r="D2268">
        <v>4.762302</v>
      </c>
      <c r="E2268">
        <v>0.53381709999999905</v>
      </c>
      <c r="F2268" t="s">
        <v>44</v>
      </c>
      <c r="G2268">
        <v>-209.3227</v>
      </c>
      <c r="H2268">
        <v>-0.05</v>
      </c>
      <c r="I2268">
        <v>224.9761</v>
      </c>
      <c r="J2268">
        <v>-191.5367</v>
      </c>
      <c r="K2268">
        <v>1.121351</v>
      </c>
      <c r="L2268">
        <v>327.52159999999998</v>
      </c>
      <c r="M2268">
        <v>-2.3960619999999998E-2</v>
      </c>
      <c r="N2268">
        <v>-1.313276E-2</v>
      </c>
      <c r="O2268">
        <v>-0.99962689999999998</v>
      </c>
      <c r="P2268">
        <v>-8.4033789999999997E-2</v>
      </c>
      <c r="Q2268">
        <v>0.1075242</v>
      </c>
      <c r="R2268">
        <v>-0.9906452</v>
      </c>
      <c r="S2268">
        <v>-0.5175476</v>
      </c>
      <c r="T2268">
        <v>-3.4074309999999997E-2</v>
      </c>
      <c r="U2268">
        <v>-2.9886780000000002</v>
      </c>
      <c r="V2268">
        <v>6.0323160000000001E-2</v>
      </c>
      <c r="W2268">
        <v>0.1205219</v>
      </c>
      <c r="X2268">
        <v>0.99087619999999998</v>
      </c>
      <c r="Y2268">
        <v>0.14694599999999999</v>
      </c>
      <c r="Z2268">
        <v>-1.855965E-3</v>
      </c>
      <c r="AA2268">
        <v>0.98914279999999999</v>
      </c>
      <c r="AB2268">
        <v>18</v>
      </c>
      <c r="AC2268">
        <v>-17.785999999999898</v>
      </c>
      <c r="AD2268">
        <v>-1.171351</v>
      </c>
      <c r="AE2268">
        <v>-102.545499999999</v>
      </c>
      <c r="AF2268">
        <v>15.321687011768701</v>
      </c>
      <c r="AG2268">
        <v>-1.171351</v>
      </c>
      <c r="AH2268">
        <v>102.92921678676301</v>
      </c>
      <c r="AI2268">
        <v>90.644901820498902</v>
      </c>
      <c r="AJ2268">
        <v>81.533318920201907</v>
      </c>
      <c r="AK2268">
        <v>104.06992756982299</v>
      </c>
      <c r="AL2268">
        <v>83.077776336075303</v>
      </c>
      <c r="AM2268">
        <v>86.516212546985699</v>
      </c>
      <c r="AN2268">
        <v>1.0000000278692101</v>
      </c>
    </row>
    <row r="2269" spans="1:40" x14ac:dyDescent="0.25">
      <c r="A2269" t="str">
        <f>"20190303161918652"</f>
        <v>20190303161918652</v>
      </c>
      <c r="B2269" t="str">
        <f>"1551601158644896"</f>
        <v>1551601158644896</v>
      </c>
      <c r="C2269" t="s">
        <v>40</v>
      </c>
      <c r="D2269">
        <v>4.7869159999999997</v>
      </c>
      <c r="E2269">
        <v>0.53387640000000003</v>
      </c>
      <c r="F2269" t="s">
        <v>44</v>
      </c>
      <c r="G2269">
        <v>-208.8467</v>
      </c>
      <c r="H2269">
        <v>-0.05</v>
      </c>
      <c r="I2269">
        <v>228.83869999999999</v>
      </c>
      <c r="J2269">
        <v>-191.5412</v>
      </c>
      <c r="K2269">
        <v>1.121367</v>
      </c>
      <c r="L2269">
        <v>327.34910000000002</v>
      </c>
      <c r="M2269">
        <v>-2.429415E-2</v>
      </c>
      <c r="N2269">
        <v>-1.3243649999999999E-2</v>
      </c>
      <c r="O2269">
        <v>-0.99961719999999998</v>
      </c>
      <c r="P2269">
        <v>-8.5755709999999999E-2</v>
      </c>
      <c r="Q2269">
        <v>0.10774640000000001</v>
      </c>
      <c r="R2269">
        <v>-0.9904733</v>
      </c>
      <c r="S2269">
        <v>-0.52407840000000006</v>
      </c>
      <c r="T2269">
        <v>-3.5463929999999998E-2</v>
      </c>
      <c r="U2269">
        <v>-2.9877319999999998</v>
      </c>
      <c r="V2269">
        <v>6.17175999999999E-2</v>
      </c>
      <c r="W2269">
        <v>0.1208518</v>
      </c>
      <c r="X2269">
        <v>0.99075009999999997</v>
      </c>
      <c r="Y2269">
        <v>0.1487658</v>
      </c>
      <c r="Z2269">
        <v>-1.507422E-3</v>
      </c>
      <c r="AA2269">
        <v>0.98887130000000001</v>
      </c>
      <c r="AB2269">
        <v>18</v>
      </c>
      <c r="AC2269">
        <v>-17.305499999999899</v>
      </c>
      <c r="AD2269">
        <v>-1.171367</v>
      </c>
      <c r="AE2269">
        <v>-98.510400000000004</v>
      </c>
      <c r="AF2269">
        <v>14.904910951586601</v>
      </c>
      <c r="AG2269">
        <v>-1.171367</v>
      </c>
      <c r="AH2269">
        <v>98.888215835454105</v>
      </c>
      <c r="AI2269">
        <v>90.671078415822294</v>
      </c>
      <c r="AJ2269">
        <v>81.4286220611896</v>
      </c>
      <c r="AK2269">
        <v>100.012037786672</v>
      </c>
      <c r="AL2269">
        <v>83.058735017825597</v>
      </c>
      <c r="AM2269">
        <v>86.435433537352395</v>
      </c>
      <c r="AN2269">
        <v>0.99999999018150398</v>
      </c>
    </row>
    <row r="2270" spans="1:40" x14ac:dyDescent="0.25">
      <c r="A2270" t="str">
        <f>"20190303161918677"</f>
        <v>20190303161918677</v>
      </c>
      <c r="B2270" t="str">
        <f>"1551601158664416"</f>
        <v>1551601158664416</v>
      </c>
      <c r="C2270" t="s">
        <v>40</v>
      </c>
      <c r="D2270">
        <v>4.8178989999999997</v>
      </c>
      <c r="E2270">
        <v>0.5475892</v>
      </c>
      <c r="F2270" t="s">
        <v>44</v>
      </c>
      <c r="G2270">
        <v>-209.03309999999999</v>
      </c>
      <c r="H2270">
        <v>-0.05</v>
      </c>
      <c r="I2270">
        <v>228.69710000000001</v>
      </c>
      <c r="J2270">
        <v>-191.54640000000001</v>
      </c>
      <c r="K2270">
        <v>1.121386</v>
      </c>
      <c r="L2270">
        <v>327.15679999999998</v>
      </c>
      <c r="M2270">
        <v>-2.4660720000000001E-2</v>
      </c>
      <c r="N2270">
        <v>-1.33554E-2</v>
      </c>
      <c r="O2270">
        <v>-0.99960669999999996</v>
      </c>
      <c r="P2270">
        <v>-8.7234320000000004E-2</v>
      </c>
      <c r="Q2270">
        <v>0.1079312</v>
      </c>
      <c r="R2270">
        <v>-0.99032370000000003</v>
      </c>
      <c r="S2270">
        <v>-0.52958680000000002</v>
      </c>
      <c r="T2270">
        <v>-3.5464639999999999E-2</v>
      </c>
      <c r="U2270">
        <v>-2.9868160000000001</v>
      </c>
      <c r="V2270">
        <v>6.283569E-2</v>
      </c>
      <c r="W2270">
        <v>0.121145699999999</v>
      </c>
      <c r="X2270">
        <v>0.99064390000000002</v>
      </c>
      <c r="Y2270">
        <v>0.15022260000000001</v>
      </c>
      <c r="Z2270">
        <v>-1.617757E-3</v>
      </c>
      <c r="AA2270">
        <v>0.9886509</v>
      </c>
      <c r="AB2270">
        <v>18</v>
      </c>
      <c r="AC2270">
        <v>-17.4866999999999</v>
      </c>
      <c r="AD2270">
        <v>-1.171386</v>
      </c>
      <c r="AE2270">
        <v>-98.459699999999899</v>
      </c>
      <c r="AF2270">
        <v>15.0510121886724</v>
      </c>
      <c r="AG2270">
        <v>-1.171386</v>
      </c>
      <c r="AH2270">
        <v>98.847460804414794</v>
      </c>
      <c r="AI2270">
        <v>90.671212861763607</v>
      </c>
      <c r="AJ2270">
        <v>81.342355476055502</v>
      </c>
      <c r="AK2270">
        <v>99.993627899706098</v>
      </c>
      <c r="AL2270">
        <v>83.041771011653395</v>
      </c>
      <c r="AM2270">
        <v>86.370640085940394</v>
      </c>
      <c r="AN2270">
        <v>0.99999997058673695</v>
      </c>
    </row>
    <row r="2271" spans="1:40" x14ac:dyDescent="0.25">
      <c r="A2271" t="str">
        <f>"20190303161918699"</f>
        <v>20190303161918699</v>
      </c>
      <c r="B2271" t="str">
        <f>"1551601158694672"</f>
        <v>1551601158694672</v>
      </c>
      <c r="C2271" t="s">
        <v>40</v>
      </c>
      <c r="D2271">
        <v>4.7782249999999999</v>
      </c>
      <c r="E2271">
        <v>0.54809219999999903</v>
      </c>
      <c r="F2271" t="s">
        <v>49</v>
      </c>
      <c r="G2271">
        <v>-202.43620000000001</v>
      </c>
      <c r="H2271">
        <v>8.0001420000000004E-2</v>
      </c>
      <c r="I2271">
        <v>276.70409999999998</v>
      </c>
      <c r="J2271">
        <v>-191.55119999999999</v>
      </c>
      <c r="K2271">
        <v>1.1213979999999999</v>
      </c>
      <c r="L2271">
        <v>326.97879999999998</v>
      </c>
      <c r="M2271">
        <v>-2.4999239999999999E-2</v>
      </c>
      <c r="N2271">
        <v>-1.3447489999999999E-2</v>
      </c>
      <c r="O2271">
        <v>-0.99959739999999997</v>
      </c>
      <c r="P2271">
        <v>-8.8456259999999995E-2</v>
      </c>
      <c r="Q2271">
        <v>0.107714</v>
      </c>
      <c r="R2271">
        <v>-0.99023939999999999</v>
      </c>
      <c r="S2271">
        <v>-0.64306640000000004</v>
      </c>
      <c r="T2271">
        <v>-6.1496019999999998E-2</v>
      </c>
      <c r="U2271">
        <v>-2.9793400000000001</v>
      </c>
      <c r="V2271">
        <v>6.3723199999999994E-2</v>
      </c>
      <c r="W2271">
        <v>0.121018899999999</v>
      </c>
      <c r="X2271">
        <v>0.99060269999999995</v>
      </c>
      <c r="Y2271">
        <v>0.18643199999999999</v>
      </c>
      <c r="Z2271">
        <v>6.8025250000000002E-3</v>
      </c>
      <c r="AA2271">
        <v>0.98244430000000005</v>
      </c>
      <c r="AB2271">
        <v>18</v>
      </c>
      <c r="AC2271">
        <v>-10.885</v>
      </c>
      <c r="AD2271">
        <v>-1.04139657999999</v>
      </c>
      <c r="AE2271">
        <v>-50.274700000000003</v>
      </c>
      <c r="AF2271">
        <v>9.6207118660221802</v>
      </c>
      <c r="AG2271">
        <v>-1.04139657999999</v>
      </c>
      <c r="AH2271">
        <v>50.510423749693999</v>
      </c>
      <c r="AI2271">
        <v>91.160272764949795</v>
      </c>
      <c r="AJ2271">
        <v>79.216053757219697</v>
      </c>
      <c r="AK2271">
        <v>51.429033736008599</v>
      </c>
      <c r="AL2271">
        <v>83.049089925790199</v>
      </c>
      <c r="AM2271">
        <v>86.319365195180495</v>
      </c>
      <c r="AN2271">
        <v>0.99999996481136899</v>
      </c>
    </row>
    <row r="2272" spans="1:40" x14ac:dyDescent="0.25">
      <c r="A2272" t="str">
        <f>"20190303161918720"</f>
        <v>20190303161918720</v>
      </c>
      <c r="B2272" t="str">
        <f>"1551601158715169"</f>
        <v>1551601158715169</v>
      </c>
      <c r="C2272" t="s">
        <v>40</v>
      </c>
      <c r="D2272">
        <v>4.7673059999999996</v>
      </c>
      <c r="E2272">
        <v>0.54837230000000003</v>
      </c>
      <c r="F2272" t="s">
        <v>49</v>
      </c>
      <c r="G2272">
        <v>-201.6737</v>
      </c>
      <c r="H2272" s="1">
        <v>3.3047520000000001E-6</v>
      </c>
      <c r="I2272">
        <v>280.66370000000001</v>
      </c>
      <c r="J2272">
        <v>-191.5558</v>
      </c>
      <c r="K2272">
        <v>1.1214040000000001</v>
      </c>
      <c r="L2272">
        <v>326.81049999999999</v>
      </c>
      <c r="M2272">
        <v>-2.532119E-2</v>
      </c>
      <c r="N2272">
        <v>-1.3523439999999999E-2</v>
      </c>
      <c r="O2272">
        <v>-0.99958780000000003</v>
      </c>
      <c r="P2272">
        <v>-8.8804240000000007E-2</v>
      </c>
      <c r="Q2272">
        <v>0.10756400000000001</v>
      </c>
      <c r="R2272">
        <v>-0.99022410000000005</v>
      </c>
      <c r="S2272">
        <v>-0.65113829999999995</v>
      </c>
      <c r="T2272">
        <v>-7.2134489999999996E-2</v>
      </c>
      <c r="U2272">
        <v>-2.9792480000000001</v>
      </c>
      <c r="V2272">
        <v>6.3751699999999994E-2</v>
      </c>
      <c r="W2272">
        <v>0.1209441</v>
      </c>
      <c r="X2272">
        <v>0.99061010000000005</v>
      </c>
      <c r="Y2272">
        <v>0.18865190000000001</v>
      </c>
      <c r="Z2272">
        <v>1.0211960000000001E-2</v>
      </c>
      <c r="AA2272">
        <v>0.9819909</v>
      </c>
      <c r="AB2272">
        <v>18</v>
      </c>
      <c r="AC2272">
        <v>-10.117899999999899</v>
      </c>
      <c r="AD2272">
        <v>-1.121400695248</v>
      </c>
      <c r="AE2272">
        <v>-46.146799999999899</v>
      </c>
      <c r="AF2272">
        <v>8.9410186933429401</v>
      </c>
      <c r="AG2272">
        <v>-1.121400695248</v>
      </c>
      <c r="AH2272">
        <v>46.362099611452798</v>
      </c>
      <c r="AI2272">
        <v>91.3605332851551</v>
      </c>
      <c r="AJ2272">
        <v>79.084407553104896</v>
      </c>
      <c r="AK2272">
        <v>47.229690187172302</v>
      </c>
      <c r="AL2272">
        <v>83.053408044102994</v>
      </c>
      <c r="AM2272">
        <v>86.3177510023868</v>
      </c>
      <c r="AN2272">
        <v>1.00000006239985</v>
      </c>
    </row>
    <row r="2273" spans="1:40" x14ac:dyDescent="0.25">
      <c r="A2273" t="str">
        <f>"20190303161918742"</f>
        <v>20190303161918742</v>
      </c>
      <c r="B2273" t="str">
        <f>"1551601158734689"</f>
        <v>1551601158734689</v>
      </c>
      <c r="C2273" t="s">
        <v>40</v>
      </c>
      <c r="D2273">
        <v>4.7253369999999997</v>
      </c>
      <c r="E2273">
        <v>0.54819580000000001</v>
      </c>
      <c r="F2273" t="s">
        <v>49</v>
      </c>
      <c r="G2273">
        <v>-201.54859999999999</v>
      </c>
      <c r="H2273" s="1">
        <v>3.191782E-6</v>
      </c>
      <c r="I2273">
        <v>281.32119999999998</v>
      </c>
      <c r="J2273">
        <v>-191.5608</v>
      </c>
      <c r="K2273">
        <v>1.121408</v>
      </c>
      <c r="L2273">
        <v>326.63060000000002</v>
      </c>
      <c r="M2273">
        <v>-2.566676E-2</v>
      </c>
      <c r="N2273">
        <v>-1.3593940000000001E-2</v>
      </c>
      <c r="O2273">
        <v>-0.99957810000000002</v>
      </c>
      <c r="P2273">
        <v>-8.9460789999999998E-2</v>
      </c>
      <c r="Q2273">
        <v>0.1072615</v>
      </c>
      <c r="R2273">
        <v>-0.99019780000000002</v>
      </c>
      <c r="S2273">
        <v>-0.65438839999999998</v>
      </c>
      <c r="T2273">
        <v>-7.3436139999999997E-2</v>
      </c>
      <c r="U2273">
        <v>-2.9789119999999998</v>
      </c>
      <c r="V2273">
        <v>6.4065319999999995E-2</v>
      </c>
      <c r="W2273">
        <v>0.12071170000000001</v>
      </c>
      <c r="X2273">
        <v>0.9906182</v>
      </c>
      <c r="Y2273">
        <v>0.18935579999999999</v>
      </c>
      <c r="Z2273">
        <v>1.0567689999999999E-2</v>
      </c>
      <c r="AA2273">
        <v>0.98185160000000005</v>
      </c>
      <c r="AB2273">
        <v>18</v>
      </c>
      <c r="AC2273">
        <v>-9.9877999999999894</v>
      </c>
      <c r="AD2273">
        <v>-1.1214048082179999</v>
      </c>
      <c r="AE2273">
        <v>-45.309399999999997</v>
      </c>
      <c r="AF2273">
        <v>8.8163057148670099</v>
      </c>
      <c r="AG2273">
        <v>-1.1214048082179999</v>
      </c>
      <c r="AH2273">
        <v>45.524254364220802</v>
      </c>
      <c r="AI2273">
        <v>91.385359505959102</v>
      </c>
      <c r="AJ2273">
        <v>79.039678081563594</v>
      </c>
      <c r="AK2273">
        <v>46.383645076903697</v>
      </c>
      <c r="AL2273">
        <v>83.066821765508806</v>
      </c>
      <c r="AM2273">
        <v>86.2997169301524</v>
      </c>
      <c r="AN2273">
        <v>1.0000000489574099</v>
      </c>
    </row>
    <row r="2274" spans="1:40" x14ac:dyDescent="0.25">
      <c r="A2274" t="str">
        <f>"20190303161918763"</f>
        <v>20190303161918763</v>
      </c>
      <c r="B2274" t="str">
        <f>"1551601158755185"</f>
        <v>1551601158755185</v>
      </c>
      <c r="C2274" t="s">
        <v>40</v>
      </c>
      <c r="D2274">
        <v>4.7318550000000004</v>
      </c>
      <c r="E2274">
        <v>0.54823290000000002</v>
      </c>
      <c r="F2274" t="s">
        <v>49</v>
      </c>
      <c r="G2274">
        <v>-201.53800000000001</v>
      </c>
      <c r="H2274" s="1">
        <v>3.194581E-6</v>
      </c>
      <c r="I2274">
        <v>281.23559999999998</v>
      </c>
      <c r="J2274">
        <v>-191.56559999999999</v>
      </c>
      <c r="K2274">
        <v>1.1214120000000001</v>
      </c>
      <c r="L2274">
        <v>326.45999999999998</v>
      </c>
      <c r="M2274">
        <v>-2.5994389999999999E-2</v>
      </c>
      <c r="N2274">
        <v>-1.3652050000000001E-2</v>
      </c>
      <c r="O2274">
        <v>-0.99956900000000004</v>
      </c>
      <c r="P2274">
        <v>-8.912871E-2</v>
      </c>
      <c r="Q2274">
        <v>0.1066545</v>
      </c>
      <c r="R2274">
        <v>-0.9902936</v>
      </c>
      <c r="S2274">
        <v>-0.65463260000000001</v>
      </c>
      <c r="T2274">
        <v>-7.3578359999999995E-2</v>
      </c>
      <c r="U2274">
        <v>-2.978485</v>
      </c>
      <c r="V2274">
        <v>6.3405119999999995E-2</v>
      </c>
      <c r="W2274">
        <v>0.12016449999999999</v>
      </c>
      <c r="X2274">
        <v>0.99072709999999997</v>
      </c>
      <c r="Y2274">
        <v>0.18914</v>
      </c>
      <c r="Z2274">
        <v>1.056033E-2</v>
      </c>
      <c r="AA2274">
        <v>0.98189340000000003</v>
      </c>
      <c r="AB2274">
        <v>18</v>
      </c>
      <c r="AC2274">
        <v>-9.9723999999999897</v>
      </c>
      <c r="AD2274">
        <v>-1.1214088054189999</v>
      </c>
      <c r="AE2274">
        <v>-45.224400000000003</v>
      </c>
      <c r="AF2274">
        <v>8.7881864712776796</v>
      </c>
      <c r="AG2274">
        <v>-1.1214088054189999</v>
      </c>
      <c r="AH2274">
        <v>45.441720815288797</v>
      </c>
      <c r="AI2274">
        <v>91.3879487434547</v>
      </c>
      <c r="AJ2274">
        <v>79.054427080591395</v>
      </c>
      <c r="AK2274">
        <v>46.297297651347598</v>
      </c>
      <c r="AL2274">
        <v>83.098403230441406</v>
      </c>
      <c r="AM2274">
        <v>86.338145888463103</v>
      </c>
      <c r="AN2274">
        <v>0.99999995148843501</v>
      </c>
    </row>
    <row r="2275" spans="1:40" x14ac:dyDescent="0.25">
      <c r="A2275" t="str">
        <f>"20190303161918787"</f>
        <v>20190303161918787</v>
      </c>
      <c r="B2275" t="str">
        <f>"1551601158774704"</f>
        <v>1551601158774704</v>
      </c>
      <c r="C2275" t="s">
        <v>40</v>
      </c>
      <c r="D2275">
        <v>4.7398239999999996</v>
      </c>
      <c r="E2275">
        <v>0.54789350000000003</v>
      </c>
      <c r="F2275" t="s">
        <v>49</v>
      </c>
      <c r="G2275">
        <v>-201.32849999999999</v>
      </c>
      <c r="H2275" s="1">
        <v>3.0342940000000002E-6</v>
      </c>
      <c r="I2275">
        <v>282.00619999999998</v>
      </c>
      <c r="J2275">
        <v>-191.57069999999999</v>
      </c>
      <c r="K2275">
        <v>1.1214109999999999</v>
      </c>
      <c r="L2275">
        <v>326.27910000000003</v>
      </c>
      <c r="M2275">
        <v>-2.6339390000000001E-2</v>
      </c>
      <c r="N2275">
        <v>-1.3705520000000001E-2</v>
      </c>
      <c r="O2275">
        <v>-0.99955919999999998</v>
      </c>
      <c r="P2275">
        <v>-8.9035500000000004E-2</v>
      </c>
      <c r="Q2275">
        <v>0.106224</v>
      </c>
      <c r="R2275">
        <v>-0.99034800000000001</v>
      </c>
      <c r="S2275">
        <v>-0.6541595</v>
      </c>
      <c r="T2275">
        <v>-7.5139520000000001E-2</v>
      </c>
      <c r="U2275">
        <v>-2.9786069999999998</v>
      </c>
      <c r="V2275">
        <v>6.2967480000000006E-2</v>
      </c>
      <c r="W2275">
        <v>0.11978809999999999</v>
      </c>
      <c r="X2275">
        <v>0.99080060000000003</v>
      </c>
      <c r="Y2275">
        <v>0.188642</v>
      </c>
      <c r="Z2275">
        <v>1.1020449999999999E-2</v>
      </c>
      <c r="AA2275">
        <v>0.98198410000000003</v>
      </c>
      <c r="AB2275">
        <v>18</v>
      </c>
      <c r="AC2275">
        <v>-9.7577999999999996</v>
      </c>
      <c r="AD2275">
        <v>-1.1214079657060001</v>
      </c>
      <c r="AE2275">
        <v>-44.2729</v>
      </c>
      <c r="AF2275">
        <v>8.5829318315120098</v>
      </c>
      <c r="AG2275">
        <v>-1.1214079657060001</v>
      </c>
      <c r="AH2275">
        <v>44.487355633170402</v>
      </c>
      <c r="AI2275">
        <v>91.417833341903105</v>
      </c>
      <c r="AJ2275">
        <v>79.080109910463307</v>
      </c>
      <c r="AK2275">
        <v>45.321618306081199</v>
      </c>
      <c r="AL2275">
        <v>83.120126337566802</v>
      </c>
      <c r="AM2275">
        <v>86.363622025778795</v>
      </c>
      <c r="AN2275">
        <v>0.99999996069975905</v>
      </c>
    </row>
    <row r="2276" spans="1:40" x14ac:dyDescent="0.25">
      <c r="A2276" t="str">
        <f>"20190303161918808"</f>
        <v>20190303161918808</v>
      </c>
      <c r="B2276" t="str">
        <f>"1551601158795200"</f>
        <v>1551601158795200</v>
      </c>
      <c r="C2276" t="s">
        <v>40</v>
      </c>
      <c r="D2276">
        <v>4.7515799999999997</v>
      </c>
      <c r="E2276">
        <v>0.54772449999999995</v>
      </c>
      <c r="F2276" t="s">
        <v>49</v>
      </c>
      <c r="G2276">
        <v>-200.69589999999999</v>
      </c>
      <c r="H2276" s="1">
        <v>2.5326749999999999E-6</v>
      </c>
      <c r="I2276">
        <v>284.53519999999997</v>
      </c>
      <c r="J2276">
        <v>-191.57560000000001</v>
      </c>
      <c r="K2276">
        <v>1.121416</v>
      </c>
      <c r="L2276">
        <v>326.10599999999999</v>
      </c>
      <c r="M2276">
        <v>-2.6665769999999998E-2</v>
      </c>
      <c r="N2276">
        <v>-1.3749839999999999E-2</v>
      </c>
      <c r="O2276">
        <v>-0.9995501</v>
      </c>
      <c r="P2276">
        <v>-8.8742879999999996E-2</v>
      </c>
      <c r="Q2276">
        <v>0.10646890000000001</v>
      </c>
      <c r="R2276">
        <v>-0.99034829999999996</v>
      </c>
      <c r="S2276">
        <v>-0.65126039999999996</v>
      </c>
      <c r="T2276">
        <v>-8.0034380000000002E-2</v>
      </c>
      <c r="U2276">
        <v>-2.9792480000000001</v>
      </c>
      <c r="V2276">
        <v>6.2350429999999998E-2</v>
      </c>
      <c r="W2276">
        <v>0.1200774</v>
      </c>
      <c r="X2276">
        <v>0.99080469999999998</v>
      </c>
      <c r="Y2276">
        <v>0.1873592</v>
      </c>
      <c r="Z2276">
        <v>1.2584059999999999E-2</v>
      </c>
      <c r="AA2276">
        <v>0.9822109</v>
      </c>
      <c r="AB2276">
        <v>18</v>
      </c>
      <c r="AC2276">
        <v>-9.1202999999999808</v>
      </c>
      <c r="AD2276">
        <v>-1.121413467325</v>
      </c>
      <c r="AE2276">
        <v>-41.570799999999998</v>
      </c>
      <c r="AF2276">
        <v>8.0028780667489006</v>
      </c>
      <c r="AG2276">
        <v>-1.121413467325</v>
      </c>
      <c r="AH2276">
        <v>41.770237106854097</v>
      </c>
      <c r="AI2276">
        <v>91.510402360922797</v>
      </c>
      <c r="AJ2276">
        <v>79.1539758774706</v>
      </c>
      <c r="AK2276">
        <v>42.544756827119798</v>
      </c>
      <c r="AL2276">
        <v>83.103430814327297</v>
      </c>
      <c r="AM2276">
        <v>86.399177365092399</v>
      </c>
      <c r="AN2276">
        <v>1.0000000558270099</v>
      </c>
    </row>
    <row r="2277" spans="1:40" x14ac:dyDescent="0.25">
      <c r="A2277" t="str">
        <f>"20190303161918832"</f>
        <v>20190303161918832</v>
      </c>
      <c r="B2277" t="str">
        <f>"1551601158824481"</f>
        <v>1551601158824481</v>
      </c>
      <c r="C2277" t="s">
        <v>40</v>
      </c>
      <c r="D2277">
        <v>4.6971129999999999</v>
      </c>
      <c r="E2277">
        <v>0.54771400000000003</v>
      </c>
      <c r="F2277" t="s">
        <v>49</v>
      </c>
      <c r="G2277">
        <v>-200.5376</v>
      </c>
      <c r="H2277" s="1">
        <v>2.4262659999999999E-6</v>
      </c>
      <c r="I2277">
        <v>284.94940000000003</v>
      </c>
      <c r="J2277">
        <v>-191.58109999999999</v>
      </c>
      <c r="K2277">
        <v>1.1214230000000001</v>
      </c>
      <c r="L2277">
        <v>325.91789999999997</v>
      </c>
      <c r="M2277">
        <v>-2.7015810000000001E-2</v>
      </c>
      <c r="N2277">
        <v>-1.3790989999999999E-2</v>
      </c>
      <c r="O2277">
        <v>-0.99953990000000004</v>
      </c>
      <c r="P2277">
        <v>-8.9197879999999993E-2</v>
      </c>
      <c r="Q2277">
        <v>0.1065826</v>
      </c>
      <c r="R2277">
        <v>-0.99029500000000004</v>
      </c>
      <c r="S2277">
        <v>-0.64886469999999996</v>
      </c>
      <c r="T2277">
        <v>-8.1192849999999997E-2</v>
      </c>
      <c r="U2277">
        <v>-2.9798279999999999</v>
      </c>
      <c r="V2277">
        <v>6.2458300000000001E-2</v>
      </c>
      <c r="W2277">
        <v>0.1202327</v>
      </c>
      <c r="X2277">
        <v>0.99077899999999997</v>
      </c>
      <c r="Y2277">
        <v>0.1862201</v>
      </c>
      <c r="Z2277">
        <v>1.2923509999999999E-2</v>
      </c>
      <c r="AA2277">
        <v>0.98242309999999999</v>
      </c>
      <c r="AB2277">
        <v>18</v>
      </c>
      <c r="AC2277">
        <v>-8.9565000000000001</v>
      </c>
      <c r="AD2277">
        <v>-1.1214205737339999</v>
      </c>
      <c r="AE2277">
        <v>-40.968499999999899</v>
      </c>
      <c r="AF2277">
        <v>7.8407210426918201</v>
      </c>
      <c r="AG2277">
        <v>-1.1214205737339999</v>
      </c>
      <c r="AH2277">
        <v>41.166096549378203</v>
      </c>
      <c r="AI2277">
        <v>91.532886064326604</v>
      </c>
      <c r="AJ2277">
        <v>79.216293368572806</v>
      </c>
      <c r="AK2277">
        <v>41.921140200204903</v>
      </c>
      <c r="AL2277">
        <v>83.094467347161398</v>
      </c>
      <c r="AM2277">
        <v>86.392870841190998</v>
      </c>
      <c r="AN2277">
        <v>0.99999998411458901</v>
      </c>
    </row>
    <row r="2278" spans="1:40" x14ac:dyDescent="0.25">
      <c r="A2278" t="str">
        <f>"20190303161918853"</f>
        <v>20190303161918853</v>
      </c>
      <c r="B2278" t="str">
        <f>"1551601158844976"</f>
        <v>1551601158844976</v>
      </c>
      <c r="C2278" t="s">
        <v>40</v>
      </c>
      <c r="D2278">
        <v>4.7091159999999999</v>
      </c>
      <c r="E2278">
        <v>0.54777799999999999</v>
      </c>
      <c r="F2278" t="s">
        <v>49</v>
      </c>
      <c r="G2278">
        <v>-200.39940000000001</v>
      </c>
      <c r="H2278" s="1">
        <v>2.3168870000000001E-6</v>
      </c>
      <c r="I2278">
        <v>285.49939999999998</v>
      </c>
      <c r="J2278">
        <v>-191.58590000000001</v>
      </c>
      <c r="K2278">
        <v>1.1214299999999999</v>
      </c>
      <c r="L2278">
        <v>325.7534</v>
      </c>
      <c r="M2278">
        <v>-2.7316679999999999E-2</v>
      </c>
      <c r="N2278">
        <v>-1.382157E-2</v>
      </c>
      <c r="O2278">
        <v>-0.99953130000000001</v>
      </c>
      <c r="P2278">
        <v>-8.9471369999999995E-2</v>
      </c>
      <c r="Q2278">
        <v>0.1074618</v>
      </c>
      <c r="R2278">
        <v>-0.99017560000000004</v>
      </c>
      <c r="S2278">
        <v>-0.65010069999999998</v>
      </c>
      <c r="T2278">
        <v>-8.267331E-2</v>
      </c>
      <c r="U2278">
        <v>-2.9797359999999999</v>
      </c>
      <c r="V2278">
        <v>6.2435459999999998E-2</v>
      </c>
      <c r="W2278">
        <v>0.121141</v>
      </c>
      <c r="X2278">
        <v>0.99066980000000004</v>
      </c>
      <c r="Y2278">
        <v>0.1863176</v>
      </c>
      <c r="Z2278">
        <v>1.33787E-2</v>
      </c>
      <c r="AA2278">
        <v>0.98239849999999995</v>
      </c>
      <c r="AB2278">
        <v>18</v>
      </c>
      <c r="AC2278">
        <v>-8.8134999999999994</v>
      </c>
      <c r="AD2278">
        <v>-1.1214276831129999</v>
      </c>
      <c r="AE2278">
        <v>-40.253999999999998</v>
      </c>
      <c r="AF2278">
        <v>7.7047935453051002</v>
      </c>
      <c r="AG2278">
        <v>-1.1214276831129999</v>
      </c>
      <c r="AH2278">
        <v>40.449796612468297</v>
      </c>
      <c r="AI2278">
        <v>91.560024001514407</v>
      </c>
      <c r="AJ2278">
        <v>79.215605930430797</v>
      </c>
      <c r="AK2278">
        <v>41.192323187874202</v>
      </c>
      <c r="AL2278">
        <v>83.0420424397212</v>
      </c>
      <c r="AM2278">
        <v>86.393790015355805</v>
      </c>
      <c r="AN2278">
        <v>0.99999999058922495</v>
      </c>
    </row>
    <row r="2279" spans="1:40" x14ac:dyDescent="0.25">
      <c r="A2279" t="str">
        <f>"20190303161918888"</f>
        <v>20190303161918888</v>
      </c>
      <c r="B2279" t="str">
        <f>"1551601158875232"</f>
        <v>1551601158875232</v>
      </c>
      <c r="C2279" t="s">
        <v>40</v>
      </c>
      <c r="D2279">
        <v>4.6833830000000001</v>
      </c>
      <c r="E2279">
        <v>0.54795349999999998</v>
      </c>
      <c r="F2279" t="s">
        <v>49</v>
      </c>
      <c r="G2279">
        <v>-200.5128</v>
      </c>
      <c r="H2279" s="1">
        <v>2.4184029999999999E-6</v>
      </c>
      <c r="I2279">
        <v>284.91340000000002</v>
      </c>
      <c r="J2279">
        <v>-191.59389999999999</v>
      </c>
      <c r="K2279">
        <v>1.1214500000000001</v>
      </c>
      <c r="L2279">
        <v>325.48200000000003</v>
      </c>
      <c r="M2279">
        <v>-2.7792069999999999E-2</v>
      </c>
      <c r="N2279">
        <v>-1.3862859999999999E-2</v>
      </c>
      <c r="O2279">
        <v>-0.99951769999999995</v>
      </c>
      <c r="P2279">
        <v>-8.9789469999999996E-2</v>
      </c>
      <c r="Q2279">
        <v>0.10866629999999999</v>
      </c>
      <c r="R2279">
        <v>-0.99001510000000004</v>
      </c>
      <c r="S2279">
        <v>-0.65132139999999905</v>
      </c>
      <c r="T2279">
        <v>-8.1821439999999995E-2</v>
      </c>
      <c r="U2279">
        <v>-2.9797669999999998</v>
      </c>
      <c r="V2279">
        <v>6.2283379999999999E-2</v>
      </c>
      <c r="W2279">
        <v>0.1223862</v>
      </c>
      <c r="X2279">
        <v>0.99052629999999997</v>
      </c>
      <c r="Y2279">
        <v>0.1862335</v>
      </c>
      <c r="Z2279">
        <v>1.305687E-2</v>
      </c>
      <c r="AA2279">
        <v>0.98241880000000004</v>
      </c>
      <c r="AB2279">
        <v>18</v>
      </c>
      <c r="AC2279">
        <v>-8.9189000000000007</v>
      </c>
      <c r="AD2279">
        <v>-1.121447581597</v>
      </c>
      <c r="AE2279">
        <v>-40.568600000000004</v>
      </c>
      <c r="AF2279">
        <v>7.7821880128789598</v>
      </c>
      <c r="AG2279">
        <v>-1.121447581597</v>
      </c>
      <c r="AH2279">
        <v>40.771106080593597</v>
      </c>
      <c r="AI2279">
        <v>91.547650161296701</v>
      </c>
      <c r="AJ2279">
        <v>79.193649393625194</v>
      </c>
      <c r="AK2279">
        <v>41.522321538915499</v>
      </c>
      <c r="AL2279">
        <v>82.970162781249698</v>
      </c>
      <c r="AM2279">
        <v>86.402031106631199</v>
      </c>
      <c r="AN2279">
        <v>0.99999997618317604</v>
      </c>
    </row>
    <row r="2280" spans="1:40" x14ac:dyDescent="0.25">
      <c r="A2280" t="str">
        <f>"20190303161918909"</f>
        <v>20190303161918909</v>
      </c>
      <c r="B2280" t="str">
        <f>"1551601158904513"</f>
        <v>1551601158904513</v>
      </c>
      <c r="C2280" t="s">
        <v>40</v>
      </c>
      <c r="D2280">
        <v>4.7204739999999896</v>
      </c>
      <c r="E2280">
        <v>0.54809609999999997</v>
      </c>
      <c r="F2280" t="s">
        <v>49</v>
      </c>
      <c r="G2280">
        <v>-200.95949999999999</v>
      </c>
      <c r="H2280" s="1">
        <v>2.7999390000000001E-6</v>
      </c>
      <c r="I2280">
        <v>282.81529999999998</v>
      </c>
      <c r="J2280">
        <v>-191.59880000000001</v>
      </c>
      <c r="K2280">
        <v>1.1214649999999999</v>
      </c>
      <c r="L2280">
        <v>325.31720000000001</v>
      </c>
      <c r="M2280">
        <v>-2.8060109999999999E-2</v>
      </c>
      <c r="N2280">
        <v>-1.3883009999999999E-2</v>
      </c>
      <c r="O2280">
        <v>-0.99951000000000001</v>
      </c>
      <c r="P2280">
        <v>-8.9992530000000001E-2</v>
      </c>
      <c r="Q2280">
        <v>0.10958909999999999</v>
      </c>
      <c r="R2280">
        <v>-0.98989499999999997</v>
      </c>
      <c r="S2280">
        <v>-0.6540222</v>
      </c>
      <c r="T2280">
        <v>-7.8313350000000004E-2</v>
      </c>
      <c r="U2280">
        <v>-2.9795229999999999</v>
      </c>
      <c r="V2280">
        <v>6.2220900000000003E-2</v>
      </c>
      <c r="W2280">
        <v>0.12332940000000001</v>
      </c>
      <c r="X2280">
        <v>0.99041319999999999</v>
      </c>
      <c r="Y2280">
        <v>0.1868408</v>
      </c>
      <c r="Z2280">
        <v>1.1883339999999999E-2</v>
      </c>
      <c r="AA2280">
        <v>0.98231829999999998</v>
      </c>
      <c r="AB2280">
        <v>18</v>
      </c>
      <c r="AC2280">
        <v>-9.36069999999998</v>
      </c>
      <c r="AD2280">
        <v>-1.1214622000609999</v>
      </c>
      <c r="AE2280">
        <v>-42.501899999999999</v>
      </c>
      <c r="AF2280">
        <v>8.1588730114169508</v>
      </c>
      <c r="AG2280">
        <v>-1.1214622000609999</v>
      </c>
      <c r="AH2280">
        <v>42.719482060362502</v>
      </c>
      <c r="AI2280">
        <v>91.477084772460998</v>
      </c>
      <c r="AJ2280">
        <v>79.187452794769996</v>
      </c>
      <c r="AK2280">
        <v>43.506080423180201</v>
      </c>
      <c r="AL2280">
        <v>82.915708642224899</v>
      </c>
      <c r="AM2280">
        <v>86.405221584983707</v>
      </c>
      <c r="AN2280">
        <v>0.99999994401770298</v>
      </c>
    </row>
    <row r="2281" spans="1:40" x14ac:dyDescent="0.25">
      <c r="A2281" t="str">
        <f>"20190303161918932"</f>
        <v>20190303161918932</v>
      </c>
      <c r="B2281" t="str">
        <f>"1551601158925009"</f>
        <v>1551601158925009</v>
      </c>
      <c r="C2281" t="s">
        <v>40</v>
      </c>
      <c r="D2281">
        <v>4.6892509999999996</v>
      </c>
      <c r="E2281">
        <v>0.5481471</v>
      </c>
      <c r="F2281" t="s">
        <v>49</v>
      </c>
      <c r="G2281">
        <v>-201.32490000000001</v>
      </c>
      <c r="H2281" s="1">
        <v>3.1131509999999998E-6</v>
      </c>
      <c r="I2281">
        <v>281.08589999999998</v>
      </c>
      <c r="J2281">
        <v>-191.6044</v>
      </c>
      <c r="K2281">
        <v>1.121486</v>
      </c>
      <c r="L2281">
        <v>325.13170000000002</v>
      </c>
      <c r="M2281">
        <v>-2.8341789999999999E-2</v>
      </c>
      <c r="N2281">
        <v>-1.3901999999999999E-2</v>
      </c>
      <c r="O2281">
        <v>-0.99950170000000005</v>
      </c>
      <c r="P2281">
        <v>-9.0820230000000002E-2</v>
      </c>
      <c r="Q2281">
        <v>0.1101632</v>
      </c>
      <c r="R2281">
        <v>-0.98975559999999996</v>
      </c>
      <c r="S2281">
        <v>-0.6551361</v>
      </c>
      <c r="T2281">
        <v>-7.5540419999999997E-2</v>
      </c>
      <c r="U2281">
        <v>-2.9793699999999999</v>
      </c>
      <c r="V2281">
        <v>6.2768649999999995E-2</v>
      </c>
      <c r="W2281">
        <v>0.1239223</v>
      </c>
      <c r="X2281">
        <v>0.99030469999999904</v>
      </c>
      <c r="Y2281">
        <v>0.18692819999999999</v>
      </c>
      <c r="Z2281">
        <v>1.0954230000000001E-2</v>
      </c>
      <c r="AA2281">
        <v>0.98231250000000003</v>
      </c>
      <c r="AB2281">
        <v>18</v>
      </c>
      <c r="AC2281">
        <v>-9.7205000000000101</v>
      </c>
      <c r="AD2281">
        <v>-1.1214828868490001</v>
      </c>
      <c r="AE2281">
        <v>-44.0458</v>
      </c>
      <c r="AF2281">
        <v>8.46290537796175</v>
      </c>
      <c r="AG2281">
        <v>-1.1214828868490001</v>
      </c>
      <c r="AH2281">
        <v>44.276254734847498</v>
      </c>
      <c r="AI2281">
        <v>91.425158117587799</v>
      </c>
      <c r="AJ2281">
        <v>79.179077068709304</v>
      </c>
      <c r="AK2281">
        <v>45.091742311058901</v>
      </c>
      <c r="AL2281">
        <v>82.881475904298895</v>
      </c>
      <c r="AM2281">
        <v>86.373263456679297</v>
      </c>
      <c r="AN2281">
        <v>1.0000000193511001</v>
      </c>
    </row>
    <row r="2282" spans="1:40" x14ac:dyDescent="0.25">
      <c r="A2282" t="str">
        <f>"20190303161918955"</f>
        <v>20190303161918955</v>
      </c>
      <c r="B2282" t="str">
        <f>"1551601158944529"</f>
        <v>1551601158944529</v>
      </c>
      <c r="C2282" t="s">
        <v>40</v>
      </c>
      <c r="D2282">
        <v>4.6951289999999997</v>
      </c>
      <c r="E2282">
        <v>0.54821030000000004</v>
      </c>
      <c r="F2282" t="s">
        <v>49</v>
      </c>
      <c r="G2282">
        <v>-201.61410000000001</v>
      </c>
      <c r="H2282" s="1">
        <v>3.3523920000000001E-6</v>
      </c>
      <c r="I2282">
        <v>279.81659999999999</v>
      </c>
      <c r="J2282">
        <v>-191.6097</v>
      </c>
      <c r="K2282">
        <v>1.1215120000000001</v>
      </c>
      <c r="L2282">
        <v>324.95679999999999</v>
      </c>
      <c r="M2282">
        <v>-2.8581949999999998E-2</v>
      </c>
      <c r="N2282">
        <v>-1.391678E-2</v>
      </c>
      <c r="O2282">
        <v>-0.99949480000000002</v>
      </c>
      <c r="P2282">
        <v>-9.1588820000000001E-2</v>
      </c>
      <c r="Q2282">
        <v>0.1105135</v>
      </c>
      <c r="R2282">
        <v>-0.98964600000000003</v>
      </c>
      <c r="S2282">
        <v>-0.65800479999999995</v>
      </c>
      <c r="T2282">
        <v>-7.3722239999999994E-2</v>
      </c>
      <c r="U2282">
        <v>-2.9788510000000001</v>
      </c>
      <c r="V2282">
        <v>6.3296889999999995E-2</v>
      </c>
      <c r="W2282">
        <v>0.1242885</v>
      </c>
      <c r="X2282">
        <v>0.99022509999999997</v>
      </c>
      <c r="Y2282">
        <v>0.18763189999999999</v>
      </c>
      <c r="Z2282">
        <v>1.0342820000000001E-2</v>
      </c>
      <c r="AA2282">
        <v>0.98218490000000003</v>
      </c>
      <c r="AB2282">
        <v>17</v>
      </c>
      <c r="AC2282">
        <v>-10.0044</v>
      </c>
      <c r="AD2282">
        <v>-1.1215086476080001</v>
      </c>
      <c r="AE2282">
        <v>-45.140199999999901</v>
      </c>
      <c r="AF2282">
        <v>8.7048706200039998</v>
      </c>
      <c r="AG2282">
        <v>-1.1215086476080001</v>
      </c>
      <c r="AH2282">
        <v>45.3810264096387</v>
      </c>
      <c r="AI2282">
        <v>91.390335046767007</v>
      </c>
      <c r="AJ2282">
        <v>79.141565091606793</v>
      </c>
      <c r="AK2282">
        <v>46.221965688944799</v>
      </c>
      <c r="AL2282">
        <v>82.860330134378898</v>
      </c>
      <c r="AM2282">
        <v>86.342531355295193</v>
      </c>
      <c r="AN2282">
        <v>0.99999993809296395</v>
      </c>
    </row>
    <row r="2283" spans="1:40" x14ac:dyDescent="0.25">
      <c r="A2283" t="str">
        <f>"20190303161918978"</f>
        <v>20190303161918978</v>
      </c>
      <c r="B2283" t="str">
        <f>"1551601158965024"</f>
        <v>1551601158965024</v>
      </c>
      <c r="C2283" t="s">
        <v>40</v>
      </c>
      <c r="D2283">
        <v>4.7066150000000002</v>
      </c>
      <c r="E2283">
        <v>0.5483015</v>
      </c>
      <c r="F2283" t="s">
        <v>49</v>
      </c>
      <c r="G2283">
        <v>-201.75540000000001</v>
      </c>
      <c r="H2283">
        <v>4.8846080000000004E-3</v>
      </c>
      <c r="I2283">
        <v>279.23570000000001</v>
      </c>
      <c r="J2283">
        <v>-191.61500000000001</v>
      </c>
      <c r="K2283">
        <v>1.1215389999999901</v>
      </c>
      <c r="L2283">
        <v>324.77839999999998</v>
      </c>
      <c r="M2283">
        <v>-2.8796240000000001E-2</v>
      </c>
      <c r="N2283">
        <v>-1.392915E-2</v>
      </c>
      <c r="O2283">
        <v>-0.99948840000000005</v>
      </c>
      <c r="P2283">
        <v>-9.1878669999999996E-2</v>
      </c>
      <c r="Q2283">
        <v>0.110775</v>
      </c>
      <c r="R2283">
        <v>-0.98958959999999996</v>
      </c>
      <c r="S2283">
        <v>-0.66090389999999999</v>
      </c>
      <c r="T2283">
        <v>-7.2738410000000003E-2</v>
      </c>
      <c r="U2283">
        <v>-2.9783330000000001</v>
      </c>
      <c r="V2283">
        <v>6.3369789999999995E-2</v>
      </c>
      <c r="W2283">
        <v>0.1245653</v>
      </c>
      <c r="X2283">
        <v>0.99018569999999995</v>
      </c>
      <c r="Y2283">
        <v>0.1883696</v>
      </c>
      <c r="Z2283">
        <v>1.000763E-2</v>
      </c>
      <c r="AA2283">
        <v>0.98204720000000001</v>
      </c>
      <c r="AB2283">
        <v>17</v>
      </c>
      <c r="AC2283">
        <v>-10.1404</v>
      </c>
      <c r="AD2283">
        <v>-1.1166543919999901</v>
      </c>
      <c r="AE2283">
        <v>-45.542699999999897</v>
      </c>
      <c r="AF2283">
        <v>8.8195567770549594</v>
      </c>
      <c r="AG2283">
        <v>-1.1166543919999901</v>
      </c>
      <c r="AH2283">
        <v>45.789616297010099</v>
      </c>
      <c r="AI2283">
        <v>91.371770169540198</v>
      </c>
      <c r="AJ2283">
        <v>79.097747989360002</v>
      </c>
      <c r="AK2283">
        <v>46.644618761463597</v>
      </c>
      <c r="AL2283">
        <v>82.844346767242996</v>
      </c>
      <c r="AM2283">
        <v>86.338185142851898</v>
      </c>
      <c r="AN2283">
        <v>0.99999998236661103</v>
      </c>
    </row>
    <row r="2284" spans="1:40" x14ac:dyDescent="0.25">
      <c r="A2284" t="str">
        <f>"20190303161918999"</f>
        <v>20190303161918999</v>
      </c>
      <c r="B2284" t="str">
        <f>"1551601158995282"</f>
        <v>1551601158995282</v>
      </c>
      <c r="C2284" t="s">
        <v>40</v>
      </c>
      <c r="D2284">
        <v>4.6764199999999896</v>
      </c>
      <c r="E2284">
        <v>0.54831669999999999</v>
      </c>
      <c r="F2284" t="s">
        <v>49</v>
      </c>
      <c r="G2284">
        <v>-201.745</v>
      </c>
      <c r="H2284">
        <v>2.704494E-2</v>
      </c>
      <c r="I2284">
        <v>279.22989999999999</v>
      </c>
      <c r="J2284">
        <v>-191.62</v>
      </c>
      <c r="K2284">
        <v>1.1215630000000001</v>
      </c>
      <c r="L2284">
        <v>324.61360000000002</v>
      </c>
      <c r="M2284">
        <v>-2.8962390000000001E-2</v>
      </c>
      <c r="N2284">
        <v>-1.393841E-2</v>
      </c>
      <c r="O2284">
        <v>-0.99948329999999996</v>
      </c>
      <c r="P2284">
        <v>-9.2595319999999995E-2</v>
      </c>
      <c r="Q2284">
        <v>0.1106157</v>
      </c>
      <c r="R2284">
        <v>-0.98954050000000005</v>
      </c>
      <c r="S2284">
        <v>-0.662323</v>
      </c>
      <c r="T2284">
        <v>-7.1560979999999996E-2</v>
      </c>
      <c r="U2284">
        <v>-2.9780880000000001</v>
      </c>
      <c r="V2284">
        <v>6.3916760000000003E-2</v>
      </c>
      <c r="W2284">
        <v>0.12441770000000001</v>
      </c>
      <c r="X2284">
        <v>0.99016910000000002</v>
      </c>
      <c r="Y2284">
        <v>0.18867059999999999</v>
      </c>
      <c r="Z2284">
        <v>9.6119670000000008E-3</v>
      </c>
      <c r="AA2284">
        <v>0.98199340000000002</v>
      </c>
      <c r="AB2284">
        <v>17</v>
      </c>
      <c r="AC2284">
        <v>-10.125</v>
      </c>
      <c r="AD2284">
        <v>-1.09451806</v>
      </c>
      <c r="AE2284">
        <v>-45.383699999999997</v>
      </c>
      <c r="AF2284">
        <v>8.8013272184853992</v>
      </c>
      <c r="AG2284">
        <v>-1.09451806</v>
      </c>
      <c r="AH2284">
        <v>45.632647743254203</v>
      </c>
      <c r="AI2284">
        <v>91.3491440673711</v>
      </c>
      <c r="AJ2284">
        <v>79.083215516311398</v>
      </c>
      <c r="AK2284">
        <v>46.486555805420103</v>
      </c>
      <c r="AL2284">
        <v>82.852869922241794</v>
      </c>
      <c r="AM2284">
        <v>86.306603916799304</v>
      </c>
      <c r="AN2284">
        <v>0.999999981438498</v>
      </c>
    </row>
    <row r="2285" spans="1:40" x14ac:dyDescent="0.25">
      <c r="A2285" t="str">
        <f>"20190303161919022"</f>
        <v>20190303161919022</v>
      </c>
      <c r="B2285" t="str">
        <f>"1551601159014801"</f>
        <v>1551601159014801</v>
      </c>
      <c r="C2285" t="s">
        <v>40</v>
      </c>
      <c r="D2285">
        <v>4.6943169999999999</v>
      </c>
      <c r="E2285">
        <v>0.5483249</v>
      </c>
      <c r="F2285" t="s">
        <v>49</v>
      </c>
      <c r="G2285">
        <v>-201.74780000000001</v>
      </c>
      <c r="H2285">
        <v>2.9667880000000001E-2</v>
      </c>
      <c r="I2285">
        <v>279.23140000000001</v>
      </c>
      <c r="J2285">
        <v>-191.62540000000001</v>
      </c>
      <c r="K2285">
        <v>1.1215869999999999</v>
      </c>
      <c r="L2285">
        <v>324.43540000000002</v>
      </c>
      <c r="M2285">
        <v>-2.9108930000000002E-2</v>
      </c>
      <c r="N2285">
        <v>-1.3946500000000001E-2</v>
      </c>
      <c r="O2285">
        <v>-0.99947909999999995</v>
      </c>
      <c r="P2285">
        <v>-9.301711E-2</v>
      </c>
      <c r="Q2285">
        <v>0.1103123</v>
      </c>
      <c r="R2285">
        <v>-0.98953480000000005</v>
      </c>
      <c r="S2285">
        <v>-0.66448969999999996</v>
      </c>
      <c r="T2285">
        <v>-7.1639540000000002E-2</v>
      </c>
      <c r="U2285">
        <v>-2.9775390000000002</v>
      </c>
      <c r="V2285">
        <v>6.4186709999999994E-2</v>
      </c>
      <c r="W2285">
        <v>0.12412570000000001</v>
      </c>
      <c r="X2285">
        <v>0.99018830000000002</v>
      </c>
      <c r="Y2285">
        <v>0.18924550000000001</v>
      </c>
      <c r="Z2285">
        <v>9.6310110000000001E-3</v>
      </c>
      <c r="AA2285">
        <v>0.98188260000000005</v>
      </c>
      <c r="AB2285">
        <v>17</v>
      </c>
      <c r="AC2285">
        <v>-10.122400000000001</v>
      </c>
      <c r="AD2285">
        <v>-1.09191912</v>
      </c>
      <c r="AE2285">
        <v>-45.204000000000001</v>
      </c>
      <c r="AF2285">
        <v>8.7972539558110299</v>
      </c>
      <c r="AG2285">
        <v>-1.09191912</v>
      </c>
      <c r="AH2285">
        <v>45.454266375952201</v>
      </c>
      <c r="AI2285">
        <v>91.351053906221296</v>
      </c>
      <c r="AJ2285">
        <v>79.046357732456698</v>
      </c>
      <c r="AK2285">
        <v>46.310628329830202</v>
      </c>
      <c r="AL2285">
        <v>82.869731099939301</v>
      </c>
      <c r="AM2285">
        <v>86.291120165598798</v>
      </c>
      <c r="AN2285">
        <v>0.99999999629900205</v>
      </c>
    </row>
    <row r="2286" spans="1:40" x14ac:dyDescent="0.25">
      <c r="A2286" t="str">
        <f>"20190303161919043"</f>
        <v>20190303161919043</v>
      </c>
      <c r="B2286" t="str">
        <f>"1551601159034321"</f>
        <v>1551601159034321</v>
      </c>
      <c r="C2286" t="s">
        <v>40</v>
      </c>
      <c r="D2286">
        <v>4.6815160000000002</v>
      </c>
      <c r="E2286">
        <v>0.54835469999999997</v>
      </c>
      <c r="F2286" t="s">
        <v>49</v>
      </c>
      <c r="G2286">
        <v>-201.73599999999999</v>
      </c>
      <c r="H2286">
        <v>2.415925E-2</v>
      </c>
      <c r="I2286">
        <v>279.22489999999999</v>
      </c>
      <c r="J2286">
        <v>-191.6301</v>
      </c>
      <c r="K2286">
        <v>1.121602</v>
      </c>
      <c r="L2286">
        <v>324.27600000000001</v>
      </c>
      <c r="M2286">
        <v>-2.9212519999999999E-2</v>
      </c>
      <c r="N2286">
        <v>-1.39522E-2</v>
      </c>
      <c r="O2286">
        <v>-0.99947600000000003</v>
      </c>
      <c r="P2286">
        <v>-9.2720289999999997E-2</v>
      </c>
      <c r="Q2286">
        <v>0.110268699999999</v>
      </c>
      <c r="R2286">
        <v>-0.9895678</v>
      </c>
      <c r="S2286">
        <v>-0.665802</v>
      </c>
      <c r="T2286">
        <v>-7.2267170000000006E-2</v>
      </c>
      <c r="U2286">
        <v>-2.9771730000000001</v>
      </c>
      <c r="V2286">
        <v>6.3781249999999998E-2</v>
      </c>
      <c r="W2286">
        <v>0.1240912</v>
      </c>
      <c r="X2286">
        <v>0.99021879999999995</v>
      </c>
      <c r="Y2286">
        <v>0.18958079999999999</v>
      </c>
      <c r="Z2286">
        <v>9.8325080000000002E-3</v>
      </c>
      <c r="AA2286">
        <v>0.98181589999999996</v>
      </c>
      <c r="AB2286">
        <v>17</v>
      </c>
      <c r="AC2286">
        <v>-10.105899999999901</v>
      </c>
      <c r="AD2286">
        <v>-1.0974427499999999</v>
      </c>
      <c r="AE2286">
        <v>-45.051099999999998</v>
      </c>
      <c r="AF2286">
        <v>8.7804413751328507</v>
      </c>
      <c r="AG2286">
        <v>-1.0974427499999999</v>
      </c>
      <c r="AH2286">
        <v>45.3015226444654</v>
      </c>
      <c r="AI2286">
        <v>91.362390980098894</v>
      </c>
      <c r="AJ2286">
        <v>79.030815562088193</v>
      </c>
      <c r="AK2286">
        <v>46.157648177075501</v>
      </c>
      <c r="AL2286">
        <v>82.871723037765307</v>
      </c>
      <c r="AM2286">
        <v>86.314597158281202</v>
      </c>
      <c r="AN2286">
        <v>0.99999997282122</v>
      </c>
    </row>
    <row r="2287" spans="1:40" x14ac:dyDescent="0.25">
      <c r="A2287" t="str">
        <f>"20190303161919065"</f>
        <v>20190303161919065</v>
      </c>
      <c r="B2287" t="str">
        <f>"1551601159054816"</f>
        <v>1551601159054816</v>
      </c>
      <c r="C2287" t="s">
        <v>40</v>
      </c>
      <c r="D2287">
        <v>4.631291</v>
      </c>
      <c r="E2287">
        <v>0.54844559999999998</v>
      </c>
      <c r="F2287" t="s">
        <v>49</v>
      </c>
      <c r="G2287">
        <v>-201.703</v>
      </c>
      <c r="H2287">
        <v>2.348633E-2</v>
      </c>
      <c r="I2287">
        <v>279.20659999999998</v>
      </c>
      <c r="J2287">
        <v>-191.6354</v>
      </c>
      <c r="K2287">
        <v>1.121618</v>
      </c>
      <c r="L2287">
        <v>324.10140000000001</v>
      </c>
      <c r="M2287">
        <v>-2.9303280000000001E-2</v>
      </c>
      <c r="N2287">
        <v>-1.39571E-2</v>
      </c>
      <c r="O2287">
        <v>-0.9994731</v>
      </c>
      <c r="P2287">
        <v>-9.2019249999999997E-2</v>
      </c>
      <c r="Q2287">
        <v>0.1108608</v>
      </c>
      <c r="R2287">
        <v>-0.98956699999999997</v>
      </c>
      <c r="S2287">
        <v>-0.66543580000000002</v>
      </c>
      <c r="T2287">
        <v>-7.2543979999999994E-2</v>
      </c>
      <c r="U2287">
        <v>-2.9773860000000001</v>
      </c>
      <c r="V2287">
        <v>6.2986600000000004E-2</v>
      </c>
      <c r="W2287">
        <v>0.1246897</v>
      </c>
      <c r="X2287">
        <v>0.99019449999999998</v>
      </c>
      <c r="Y2287">
        <v>0.18936130000000001</v>
      </c>
      <c r="Z2287">
        <v>9.9176820000000006E-3</v>
      </c>
      <c r="AA2287">
        <v>0.98185739999999999</v>
      </c>
      <c r="AB2287">
        <v>17</v>
      </c>
      <c r="AC2287">
        <v>-10.067600000000001</v>
      </c>
      <c r="AD2287">
        <v>-1.0981316699999999</v>
      </c>
      <c r="AE2287">
        <v>-44.894799999999996</v>
      </c>
      <c r="AF2287">
        <v>8.7426024895066199</v>
      </c>
      <c r="AG2287">
        <v>-1.0981316699999999</v>
      </c>
      <c r="AH2287">
        <v>45.144842578420104</v>
      </c>
      <c r="AI2287">
        <v>91.3680176532296</v>
      </c>
      <c r="AJ2287">
        <v>79.039954155237993</v>
      </c>
      <c r="AK2287">
        <v>45.996693390770197</v>
      </c>
      <c r="AL2287">
        <v>82.837163224107101</v>
      </c>
      <c r="AM2287">
        <v>86.360300283103101</v>
      </c>
      <c r="AN2287">
        <v>0.99999999044794996</v>
      </c>
    </row>
    <row r="2288" spans="1:40" x14ac:dyDescent="0.25">
      <c r="A2288" t="str">
        <f>"20190303161919112"</f>
        <v>20190303161919112</v>
      </c>
      <c r="B2288" t="str">
        <f>"1551601159104593"</f>
        <v>1551601159104593</v>
      </c>
      <c r="C2288" t="s">
        <v>40</v>
      </c>
      <c r="D2288">
        <v>4.7104980000000003</v>
      </c>
      <c r="E2288">
        <v>0.54853940000000001</v>
      </c>
      <c r="F2288" t="s">
        <v>49</v>
      </c>
      <c r="G2288">
        <v>-201.65530000000001</v>
      </c>
      <c r="H2288">
        <v>5.8532679999999997E-2</v>
      </c>
      <c r="I2288">
        <v>279.1705</v>
      </c>
      <c r="J2288">
        <v>-191.64590000000001</v>
      </c>
      <c r="K2288">
        <v>1.1216189999999999</v>
      </c>
      <c r="L2288">
        <v>323.74709999999999</v>
      </c>
      <c r="M2288">
        <v>-2.9443899999999999E-2</v>
      </c>
      <c r="N2288">
        <v>-1.396317E-2</v>
      </c>
      <c r="O2288">
        <v>-0.99946900000000005</v>
      </c>
      <c r="P2288">
        <v>-9.0320460000000005E-2</v>
      </c>
      <c r="Q2288">
        <v>0.11037859999999999</v>
      </c>
      <c r="R2288">
        <v>-0.98977729999999997</v>
      </c>
      <c r="S2288">
        <v>-0.66407780000000005</v>
      </c>
      <c r="T2288">
        <v>-7.0456389999999994E-2</v>
      </c>
      <c r="U2288">
        <v>-2.977814</v>
      </c>
      <c r="V2288">
        <v>6.1141420000000002E-2</v>
      </c>
      <c r="W2288">
        <v>0.12421699999999999</v>
      </c>
      <c r="X2288">
        <v>0.99036959999999996</v>
      </c>
      <c r="Y2288">
        <v>0.1887691</v>
      </c>
      <c r="Z2288">
        <v>9.2253519999999992E-3</v>
      </c>
      <c r="AA2288">
        <v>0.98197820000000002</v>
      </c>
      <c r="AB2288">
        <v>17</v>
      </c>
      <c r="AC2288">
        <v>-10.009399999999999</v>
      </c>
      <c r="AD2288">
        <v>-1.06308632</v>
      </c>
      <c r="AE2288">
        <v>-44.5765999999999</v>
      </c>
      <c r="AF2288">
        <v>8.6877186439894896</v>
      </c>
      <c r="AG2288">
        <v>-1.06308632</v>
      </c>
      <c r="AH2288">
        <v>44.8277417464015</v>
      </c>
      <c r="AI2288">
        <v>91.333703780207799</v>
      </c>
      <c r="AJ2288">
        <v>79.031916190417505</v>
      </c>
      <c r="AK2288">
        <v>45.674205388194302</v>
      </c>
      <c r="AL2288">
        <v>82.864459511666695</v>
      </c>
      <c r="AM2288">
        <v>86.467273507936099</v>
      </c>
      <c r="AN2288">
        <v>1.00000004046638</v>
      </c>
    </row>
    <row r="2289" spans="1:40" x14ac:dyDescent="0.25">
      <c r="A2289" t="str">
        <f>"20190303161919133"</f>
        <v>20190303161919133</v>
      </c>
      <c r="B2289" t="str">
        <f>"1551601159125090"</f>
        <v>1551601159125090</v>
      </c>
      <c r="C2289" t="s">
        <v>40</v>
      </c>
      <c r="D2289">
        <v>4.7436400000000001</v>
      </c>
      <c r="E2289">
        <v>0.51882669999999997</v>
      </c>
      <c r="F2289" t="s">
        <v>49</v>
      </c>
      <c r="G2289">
        <v>-201.53899999999999</v>
      </c>
      <c r="H2289">
        <v>4.8807709999999997E-2</v>
      </c>
      <c r="I2289">
        <v>279.11579999999998</v>
      </c>
      <c r="J2289">
        <v>-191.65090000000001</v>
      </c>
      <c r="K2289">
        <v>1.121613</v>
      </c>
      <c r="L2289">
        <v>323.58120000000002</v>
      </c>
      <c r="M2289">
        <v>-2.9504300000000001E-2</v>
      </c>
      <c r="N2289">
        <v>-1.396465E-2</v>
      </c>
      <c r="O2289">
        <v>-0.99946710000000005</v>
      </c>
      <c r="P2289">
        <v>-8.9971670000000004E-2</v>
      </c>
      <c r="Q2289">
        <v>0.10967979999999999</v>
      </c>
      <c r="R2289">
        <v>-0.98988679999999996</v>
      </c>
      <c r="S2289">
        <v>-0.66027829999999998</v>
      </c>
      <c r="T2289">
        <v>-7.1600910000000004E-2</v>
      </c>
      <c r="U2289">
        <v>-2.9787599999999999</v>
      </c>
      <c r="V2289">
        <v>6.0731210000000001E-2</v>
      </c>
      <c r="W2289">
        <v>0.12351959999999999</v>
      </c>
      <c r="X2289">
        <v>0.99048199999999997</v>
      </c>
      <c r="Y2289">
        <v>0.1874488</v>
      </c>
      <c r="Z2289">
        <v>9.5983730000000003E-3</v>
      </c>
      <c r="AA2289">
        <v>0.98222739999999997</v>
      </c>
      <c r="AB2289">
        <v>17</v>
      </c>
      <c r="AC2289">
        <v>-9.8880999999999997</v>
      </c>
      <c r="AD2289">
        <v>-1.07280529</v>
      </c>
      <c r="AE2289">
        <v>-44.465400000000002</v>
      </c>
      <c r="AF2289">
        <v>8.5669941114076398</v>
      </c>
      <c r="AG2289">
        <v>-1.07280529</v>
      </c>
      <c r="AH2289">
        <v>44.713007302105602</v>
      </c>
      <c r="AI2289">
        <v>91.349896784935297</v>
      </c>
      <c r="AJ2289">
        <v>79.153602141870294</v>
      </c>
      <c r="AK2289">
        <v>45.538964868487</v>
      </c>
      <c r="AL2289">
        <v>82.904727288532996</v>
      </c>
      <c r="AM2289">
        <v>86.491313067675407</v>
      </c>
      <c r="AN2289">
        <v>0.99999998188811101</v>
      </c>
    </row>
    <row r="2290" spans="1:40" x14ac:dyDescent="0.25">
      <c r="A2290" t="str">
        <f>"20190303161919156"</f>
        <v>20190303161919156</v>
      </c>
      <c r="B2290" t="str">
        <f>"1551601159144609"</f>
        <v>1551601159144609</v>
      </c>
      <c r="C2290" t="s">
        <v>40</v>
      </c>
      <c r="D2290">
        <v>4.8971010000000001</v>
      </c>
      <c r="E2290">
        <v>0.50482929999999904</v>
      </c>
      <c r="F2290" t="s">
        <v>49</v>
      </c>
      <c r="G2290">
        <v>-196.34030000000001</v>
      </c>
      <c r="H2290" s="1">
        <v>2.1674779999999998E-6</v>
      </c>
      <c r="I2290">
        <v>290.28210000000001</v>
      </c>
      <c r="J2290">
        <v>-191.65600000000001</v>
      </c>
      <c r="K2290">
        <v>1.121599</v>
      </c>
      <c r="L2290">
        <v>323.4117</v>
      </c>
      <c r="M2290">
        <v>-2.9569640000000001E-2</v>
      </c>
      <c r="N2290">
        <v>-1.3965419999999999E-2</v>
      </c>
      <c r="O2290">
        <v>-0.99946550000000001</v>
      </c>
      <c r="P2290">
        <v>-9.02559E-2</v>
      </c>
      <c r="Q2290">
        <v>0.1093373</v>
      </c>
      <c r="R2290">
        <v>-0.98989890000000003</v>
      </c>
      <c r="S2290">
        <v>-0.42295840000000001</v>
      </c>
      <c r="T2290">
        <v>-0.101164</v>
      </c>
      <c r="U2290">
        <v>-3.0034179999999999</v>
      </c>
      <c r="V2290">
        <v>6.0952300000000001E-2</v>
      </c>
      <c r="W2290">
        <v>0.12317699999999999</v>
      </c>
      <c r="X2290">
        <v>0.99051109999999998</v>
      </c>
      <c r="Y2290">
        <v>0.1100426</v>
      </c>
      <c r="Z2290">
        <v>1.9443180000000001E-2</v>
      </c>
      <c r="AA2290">
        <v>0.99373670000000003</v>
      </c>
      <c r="AB2290">
        <v>17</v>
      </c>
      <c r="AC2290">
        <v>-4.6843000000000297</v>
      </c>
      <c r="AD2290">
        <v>-1.121596832522</v>
      </c>
      <c r="AE2290">
        <v>-33.129599999999897</v>
      </c>
      <c r="AF2290">
        <v>3.69836990715141</v>
      </c>
      <c r="AG2290">
        <v>-1.121596832522</v>
      </c>
      <c r="AH2290">
        <v>33.216312229711399</v>
      </c>
      <c r="AI2290">
        <v>91.922071785237193</v>
      </c>
      <c r="AJ2290">
        <v>83.646742197653197</v>
      </c>
      <c r="AK2290">
        <v>33.440384530781401</v>
      </c>
      <c r="AL2290">
        <v>82.924507991269493</v>
      </c>
      <c r="AM2290">
        <v>86.478675085709597</v>
      </c>
      <c r="AN2290">
        <v>0.99999999771375003</v>
      </c>
    </row>
    <row r="2291" spans="1:40" x14ac:dyDescent="0.25">
      <c r="A2291" t="str">
        <f>"20190303161919177"</f>
        <v>20190303161919177</v>
      </c>
      <c r="B2291" t="str">
        <f>"1551601159165105"</f>
        <v>1551601159165105</v>
      </c>
      <c r="C2291" t="s">
        <v>40</v>
      </c>
      <c r="D2291">
        <v>4.8834650000000002</v>
      </c>
      <c r="E2291">
        <v>0.49688450000000001</v>
      </c>
      <c r="F2291" t="s">
        <v>49</v>
      </c>
      <c r="G2291">
        <v>-195.297</v>
      </c>
      <c r="H2291" s="1">
        <v>2.7058309999999998E-6</v>
      </c>
      <c r="I2291">
        <v>288.2672</v>
      </c>
      <c r="J2291">
        <v>-191.661</v>
      </c>
      <c r="K2291">
        <v>1.12159599999999</v>
      </c>
      <c r="L2291">
        <v>323.2457</v>
      </c>
      <c r="M2291">
        <v>-2.9640719999999999E-2</v>
      </c>
      <c r="N2291">
        <v>-1.396553E-2</v>
      </c>
      <c r="O2291">
        <v>-0.99946310000000005</v>
      </c>
      <c r="P2291">
        <v>-9.116022E-2</v>
      </c>
      <c r="Q2291">
        <v>0.1081921</v>
      </c>
      <c r="R2291">
        <v>-0.98994159999999998</v>
      </c>
      <c r="S2291">
        <v>-0.31213380000000002</v>
      </c>
      <c r="T2291">
        <v>-9.6150639999999996E-2</v>
      </c>
      <c r="U2291">
        <v>-3.0128170000000001</v>
      </c>
      <c r="V2291">
        <v>6.1786460000000001E-2</v>
      </c>
      <c r="W2291">
        <v>0.12203219999999999</v>
      </c>
      <c r="X2291">
        <v>0.99060110000000001</v>
      </c>
      <c r="Y2291">
        <v>7.3479580000000003E-2</v>
      </c>
      <c r="Z2291">
        <v>1.780843E-2</v>
      </c>
      <c r="AA2291">
        <v>0.99713770000000002</v>
      </c>
      <c r="AB2291">
        <v>17</v>
      </c>
      <c r="AC2291">
        <v>-3.6360000000000201</v>
      </c>
      <c r="AD2291">
        <v>-1.1215932941690001</v>
      </c>
      <c r="AE2291">
        <v>-34.978499999999997</v>
      </c>
      <c r="AF2291">
        <v>2.5948736263398402</v>
      </c>
      <c r="AG2291">
        <v>-1.1215932941690001</v>
      </c>
      <c r="AH2291">
        <v>35.035274790641203</v>
      </c>
      <c r="AI2291">
        <v>91.828593201404303</v>
      </c>
      <c r="AJ2291">
        <v>85.764145042294501</v>
      </c>
      <c r="AK2291">
        <v>35.149136835915897</v>
      </c>
      <c r="AL2291">
        <v>82.990598708041802</v>
      </c>
      <c r="AM2291">
        <v>86.430931356241601</v>
      </c>
      <c r="AN2291">
        <v>0.99999998189868999</v>
      </c>
    </row>
    <row r="2292" spans="1:40" x14ac:dyDescent="0.25">
      <c r="A2292" t="str">
        <f>"20190303161919200"</f>
        <v>20190303161919200</v>
      </c>
      <c r="B2292" t="str">
        <f>"1551601159184625"</f>
        <v>1551601159184625</v>
      </c>
      <c r="C2292" t="s">
        <v>40</v>
      </c>
      <c r="D2292">
        <v>4.8233249999999996</v>
      </c>
      <c r="E2292">
        <v>0.49306699999999998</v>
      </c>
      <c r="F2292" t="s">
        <v>49</v>
      </c>
      <c r="G2292">
        <v>-194.74100000000001</v>
      </c>
      <c r="H2292" s="1">
        <v>2.9761019999999998E-6</v>
      </c>
      <c r="I2292">
        <v>286.30380000000002</v>
      </c>
      <c r="J2292">
        <v>-191.666</v>
      </c>
      <c r="K2292">
        <v>1.1215889999999999</v>
      </c>
      <c r="L2292">
        <v>323.0797</v>
      </c>
      <c r="M2292">
        <v>-2.9719860000000001E-2</v>
      </c>
      <c r="N2292">
        <v>-1.396506E-2</v>
      </c>
      <c r="O2292">
        <v>-0.99946069999999998</v>
      </c>
      <c r="P2292">
        <v>-9.2290330000000004E-2</v>
      </c>
      <c r="Q2292">
        <v>0.1078592</v>
      </c>
      <c r="R2292">
        <v>-0.98987309999999995</v>
      </c>
      <c r="S2292">
        <v>-0.25157170000000001</v>
      </c>
      <c r="T2292">
        <v>-9.1609239999999995E-2</v>
      </c>
      <c r="U2292">
        <v>-3.017334</v>
      </c>
      <c r="V2292">
        <v>6.2841320000000006E-2</v>
      </c>
      <c r="W2292">
        <v>0.1216976</v>
      </c>
      <c r="X2292">
        <v>0.99057589999999995</v>
      </c>
      <c r="Y2292">
        <v>5.3402980000000003E-2</v>
      </c>
      <c r="Z2292">
        <v>1.630848E-2</v>
      </c>
      <c r="AA2292">
        <v>0.99843979999999999</v>
      </c>
      <c r="AB2292">
        <v>17</v>
      </c>
      <c r="AC2292">
        <v>-3.0749999999999802</v>
      </c>
      <c r="AD2292">
        <v>-1.121586023898</v>
      </c>
      <c r="AE2292">
        <v>-36.775899999999901</v>
      </c>
      <c r="AF2292">
        <v>1.9787325269825</v>
      </c>
      <c r="AG2292">
        <v>-1.121586023898</v>
      </c>
      <c r="AH2292">
        <v>36.817042717534399</v>
      </c>
      <c r="AI2292">
        <v>91.742392854277895</v>
      </c>
      <c r="AJ2292">
        <v>86.923597261328993</v>
      </c>
      <c r="AK2292">
        <v>36.887233185576498</v>
      </c>
      <c r="AL2292">
        <v>83.009913792894807</v>
      </c>
      <c r="AM2292">
        <v>86.370067268551907</v>
      </c>
      <c r="AN2292">
        <v>0.99999997550295505</v>
      </c>
    </row>
    <row r="2293" spans="1:40" x14ac:dyDescent="0.25">
      <c r="A2293" t="str">
        <f>"20190303161919222"</f>
        <v>20190303161919222</v>
      </c>
      <c r="B2293" t="str">
        <f>"1551601159214881"</f>
        <v>1551601159214881</v>
      </c>
      <c r="C2293" t="s">
        <v>40</v>
      </c>
      <c r="D2293">
        <v>4.702223</v>
      </c>
      <c r="E2293">
        <v>0.48991099999999999</v>
      </c>
      <c r="F2293" t="s">
        <v>49</v>
      </c>
      <c r="G2293">
        <v>-194.5172</v>
      </c>
      <c r="H2293" s="1">
        <v>3.1446360000000001E-6</v>
      </c>
      <c r="I2293">
        <v>284.83010000000002</v>
      </c>
      <c r="J2293">
        <v>-191.6713</v>
      </c>
      <c r="K2293">
        <v>1.1215949999999999</v>
      </c>
      <c r="L2293">
        <v>322.90440000000001</v>
      </c>
      <c r="M2293">
        <v>-2.9811279999999999E-2</v>
      </c>
      <c r="N2293">
        <v>-1.396405E-2</v>
      </c>
      <c r="O2293">
        <v>-0.99945810000000002</v>
      </c>
      <c r="P2293">
        <v>-9.3465309999999996E-2</v>
      </c>
      <c r="Q2293">
        <v>0.1078677</v>
      </c>
      <c r="R2293">
        <v>-0.98976200000000003</v>
      </c>
      <c r="S2293">
        <v>-0.22506709999999999</v>
      </c>
      <c r="T2293">
        <v>-8.8534829999999995E-2</v>
      </c>
      <c r="U2293">
        <v>-3.0193180000000002</v>
      </c>
      <c r="V2293">
        <v>6.3929810000000004E-2</v>
      </c>
      <c r="W2293">
        <v>0.1217033</v>
      </c>
      <c r="X2293">
        <v>0.99050559999999999</v>
      </c>
      <c r="Y2293">
        <v>4.4549289999999998E-2</v>
      </c>
      <c r="Z2293">
        <v>1.529017E-2</v>
      </c>
      <c r="AA2293">
        <v>0.99889019999999995</v>
      </c>
      <c r="AB2293">
        <v>17</v>
      </c>
      <c r="AC2293">
        <v>-2.8458999999999999</v>
      </c>
      <c r="AD2293">
        <v>-1.1215918553640001</v>
      </c>
      <c r="AE2293">
        <v>-38.074300000000001</v>
      </c>
      <c r="AF2293">
        <v>1.7080067686381799</v>
      </c>
      <c r="AG2293">
        <v>-1.1215918553640001</v>
      </c>
      <c r="AH2293">
        <v>38.109336081210202</v>
      </c>
      <c r="AI2293">
        <v>91.684089837707504</v>
      </c>
      <c r="AJ2293">
        <v>87.433801186629097</v>
      </c>
      <c r="AK2293">
        <v>38.164076720947499</v>
      </c>
      <c r="AL2293">
        <v>83.009585135177304</v>
      </c>
      <c r="AM2293">
        <v>86.307103440245896</v>
      </c>
      <c r="AN2293">
        <v>1.0000000287344399</v>
      </c>
    </row>
    <row r="2294" spans="1:40" x14ac:dyDescent="0.25">
      <c r="A2294" t="str">
        <f>"20190303161919244"</f>
        <v>20190303161919244</v>
      </c>
      <c r="B2294" t="str">
        <f>"1551601159234401"</f>
        <v>1551601159234401</v>
      </c>
      <c r="C2294" t="s">
        <v>40</v>
      </c>
      <c r="D2294">
        <v>4.8814419999999998</v>
      </c>
      <c r="E2294">
        <v>0.48852040000000002</v>
      </c>
      <c r="F2294" t="s">
        <v>49</v>
      </c>
      <c r="G2294">
        <v>-194.40450000000001</v>
      </c>
      <c r="H2294" s="1">
        <v>3.3821920000000002E-6</v>
      </c>
      <c r="I2294">
        <v>282.3415</v>
      </c>
      <c r="J2294">
        <v>-191.67619999999999</v>
      </c>
      <c r="K2294">
        <v>1.1215930000000001</v>
      </c>
      <c r="L2294">
        <v>322.74400000000003</v>
      </c>
      <c r="M2294">
        <v>-2.9900099999999999E-2</v>
      </c>
      <c r="N2294">
        <v>-1.39627E-2</v>
      </c>
      <c r="O2294">
        <v>-0.99945550000000005</v>
      </c>
      <c r="P2294">
        <v>-9.3729339999999994E-2</v>
      </c>
      <c r="Q2294">
        <v>0.1084941</v>
      </c>
      <c r="R2294">
        <v>-0.9896684</v>
      </c>
      <c r="S2294">
        <v>-0.20355219999999999</v>
      </c>
      <c r="T2294">
        <v>-8.3529950000000006E-2</v>
      </c>
      <c r="U2294">
        <v>-3.020905</v>
      </c>
      <c r="V2294">
        <v>6.4109470000000002E-2</v>
      </c>
      <c r="W2294">
        <v>0.12232659999999999</v>
      </c>
      <c r="X2294">
        <v>0.9904172</v>
      </c>
      <c r="Y2294">
        <v>3.7346280000000003E-2</v>
      </c>
      <c r="Z2294">
        <v>1.363464E-2</v>
      </c>
      <c r="AA2294">
        <v>0.99920929999999997</v>
      </c>
      <c r="AB2294">
        <v>17</v>
      </c>
      <c r="AC2294">
        <v>-2.7283000000000102</v>
      </c>
      <c r="AD2294">
        <v>-1.121589617808</v>
      </c>
      <c r="AE2294">
        <v>-40.402500000000003</v>
      </c>
      <c r="AF2294">
        <v>1.5177591789868701</v>
      </c>
      <c r="AG2294">
        <v>-1.121589617808</v>
      </c>
      <c r="AH2294">
        <v>40.434997215566199</v>
      </c>
      <c r="AI2294">
        <v>91.587750564540698</v>
      </c>
      <c r="AJ2294">
        <v>87.850367383107098</v>
      </c>
      <c r="AK2294">
        <v>40.479013772805999</v>
      </c>
      <c r="AL2294">
        <v>82.973603811497199</v>
      </c>
      <c r="AM2294">
        <v>86.296424629553798</v>
      </c>
      <c r="AN2294">
        <v>1.00000002563354</v>
      </c>
    </row>
    <row r="2295" spans="1:40" x14ac:dyDescent="0.25">
      <c r="A2295" t="str">
        <f>"20190303161919267"</f>
        <v>20190303161919267</v>
      </c>
      <c r="B2295" t="str">
        <f>"1551601159254897"</f>
        <v>1551601159254897</v>
      </c>
      <c r="C2295" t="s">
        <v>40</v>
      </c>
      <c r="D2295">
        <v>4.9411769999999997</v>
      </c>
      <c r="E2295">
        <v>0.48767899999999997</v>
      </c>
      <c r="F2295" t="s">
        <v>49</v>
      </c>
      <c r="G2295">
        <v>-194.3929</v>
      </c>
      <c r="H2295" s="1">
        <v>3.5619580000000001E-6</v>
      </c>
      <c r="I2295">
        <v>280.30869999999999</v>
      </c>
      <c r="J2295">
        <v>-191.6815</v>
      </c>
      <c r="K2295">
        <v>1.1215930000000001</v>
      </c>
      <c r="L2295">
        <v>322.56950000000001</v>
      </c>
      <c r="M2295">
        <v>-2.9999439999999999E-2</v>
      </c>
      <c r="N2295">
        <v>-1.396087E-2</v>
      </c>
      <c r="O2295">
        <v>-0.99945240000000002</v>
      </c>
      <c r="P2295">
        <v>-9.3344179999999999E-2</v>
      </c>
      <c r="Q2295">
        <v>0.10881399999999999</v>
      </c>
      <c r="R2295">
        <v>-0.98966989999999999</v>
      </c>
      <c r="S2295">
        <v>-0.19345090000000001</v>
      </c>
      <c r="T2295">
        <v>-7.9866889999999996E-2</v>
      </c>
      <c r="U2295">
        <v>-3.0217589999999999</v>
      </c>
      <c r="V2295">
        <v>6.362669E-2</v>
      </c>
      <c r="W2295">
        <v>0.12264419999999999</v>
      </c>
      <c r="X2295">
        <v>0.99040899999999998</v>
      </c>
      <c r="Y2295">
        <v>3.3904209999999997E-2</v>
      </c>
      <c r="Z2295">
        <v>1.2423780000000001E-2</v>
      </c>
      <c r="AA2295">
        <v>0.99934789999999996</v>
      </c>
      <c r="AB2295">
        <v>17</v>
      </c>
      <c r="AC2295">
        <v>-2.71139999999999</v>
      </c>
      <c r="AD2295">
        <v>-1.121589438042</v>
      </c>
      <c r="AE2295">
        <v>-42.260800000000003</v>
      </c>
      <c r="AF2295">
        <v>1.4412444943410401</v>
      </c>
      <c r="AG2295">
        <v>-1.121589438042</v>
      </c>
      <c r="AH2295">
        <v>42.293456231003098</v>
      </c>
      <c r="AI2295">
        <v>91.518202452604001</v>
      </c>
      <c r="AJ2295">
        <v>88.048272903789297</v>
      </c>
      <c r="AK2295">
        <v>42.332866528547001</v>
      </c>
      <c r="AL2295">
        <v>82.955268229903893</v>
      </c>
      <c r="AM2295">
        <v>86.324207512838399</v>
      </c>
      <c r="AN2295">
        <v>0.99999997137749697</v>
      </c>
    </row>
    <row r="2296" spans="1:40" x14ac:dyDescent="0.25">
      <c r="A2296" t="str">
        <f>"20190303161919291"</f>
        <v>20190303161919291</v>
      </c>
      <c r="B2296" t="str">
        <f>"1551601159285154"</f>
        <v>1551601159285154</v>
      </c>
      <c r="C2296" t="s">
        <v>40</v>
      </c>
      <c r="D2296">
        <v>4.8161370000000003</v>
      </c>
      <c r="E2296">
        <v>0.48653220000000003</v>
      </c>
      <c r="F2296" t="s">
        <v>49</v>
      </c>
      <c r="G2296">
        <v>-194.38499999999999</v>
      </c>
      <c r="H2296" s="1">
        <v>3.9018749999999998E-6</v>
      </c>
      <c r="I2296">
        <v>278.56650000000002</v>
      </c>
      <c r="J2296">
        <v>-191.68709999999999</v>
      </c>
      <c r="K2296">
        <v>1.1215900000000001</v>
      </c>
      <c r="L2296">
        <v>322.387</v>
      </c>
      <c r="M2296">
        <v>-3.010409E-2</v>
      </c>
      <c r="N2296">
        <v>-1.395855E-2</v>
      </c>
      <c r="O2296">
        <v>-0.99944949999999999</v>
      </c>
      <c r="P2296">
        <v>-9.2941399999999993E-2</v>
      </c>
      <c r="Q2296">
        <v>0.10912669999999999</v>
      </c>
      <c r="R2296">
        <v>-0.98967369999999999</v>
      </c>
      <c r="S2296">
        <v>-0.18568419999999999</v>
      </c>
      <c r="T2296">
        <v>-7.703459E-2</v>
      </c>
      <c r="U2296">
        <v>-3.022278</v>
      </c>
      <c r="V2296">
        <v>6.312073E-2</v>
      </c>
      <c r="W2296">
        <v>0.1229541</v>
      </c>
      <c r="X2296">
        <v>0.99040300000000003</v>
      </c>
      <c r="Y2296">
        <v>3.1232090000000001E-2</v>
      </c>
      <c r="Z2296">
        <v>1.1489539999999999E-2</v>
      </c>
      <c r="AA2296">
        <v>0.9994461</v>
      </c>
      <c r="AB2296">
        <v>17</v>
      </c>
      <c r="AC2296">
        <v>-2.6979000000000002</v>
      </c>
      <c r="AD2296">
        <v>-1.1215860981250001</v>
      </c>
      <c r="AE2296">
        <v>-43.820499999999903</v>
      </c>
      <c r="AF2296">
        <v>1.3764741160998299</v>
      </c>
      <c r="AG2296">
        <v>-1.1215860981250001</v>
      </c>
      <c r="AH2296">
        <v>43.853241085649699</v>
      </c>
      <c r="AI2296">
        <v>91.464350860473104</v>
      </c>
      <c r="AJ2296">
        <v>88.202179116796799</v>
      </c>
      <c r="AK2296">
        <v>43.889171672337497</v>
      </c>
      <c r="AL2296">
        <v>82.937377201153595</v>
      </c>
      <c r="AM2296">
        <v>86.353336227613298</v>
      </c>
      <c r="AN2296">
        <v>1.0000000198357699</v>
      </c>
    </row>
    <row r="2297" spans="1:40" x14ac:dyDescent="0.25">
      <c r="A2297" t="str">
        <f>"20190303161919312"</f>
        <v>20190303161919312</v>
      </c>
      <c r="B2297" t="str">
        <f>"1551601159304673"</f>
        <v>1551601159304673</v>
      </c>
      <c r="C2297" t="s">
        <v>40</v>
      </c>
      <c r="D2297">
        <v>4.8806430000000001</v>
      </c>
      <c r="E2297">
        <v>0.48585440000000002</v>
      </c>
      <c r="F2297" t="s">
        <v>49</v>
      </c>
      <c r="G2297">
        <v>-194.38990000000001</v>
      </c>
      <c r="H2297" s="1">
        <v>4.7845819999999998E-6</v>
      </c>
      <c r="I2297">
        <v>275.77440000000001</v>
      </c>
      <c r="J2297">
        <v>-191.69200000000001</v>
      </c>
      <c r="K2297">
        <v>1.1215919999999999</v>
      </c>
      <c r="L2297">
        <v>322.22820000000002</v>
      </c>
      <c r="M2297">
        <v>-3.019463E-2</v>
      </c>
      <c r="N2297">
        <v>-1.395622E-2</v>
      </c>
      <c r="O2297">
        <v>-0.99944659999999996</v>
      </c>
      <c r="P2297">
        <v>-9.2271130000000007E-2</v>
      </c>
      <c r="Q2297">
        <v>0.1096449</v>
      </c>
      <c r="R2297">
        <v>-0.98967899999999998</v>
      </c>
      <c r="S2297">
        <v>-0.17527770000000001</v>
      </c>
      <c r="T2297">
        <v>-7.2735549999999996E-2</v>
      </c>
      <c r="U2297">
        <v>-3.0228579999999998</v>
      </c>
      <c r="V2297">
        <v>6.2361119999999999E-2</v>
      </c>
      <c r="W2297">
        <v>0.12346989999999899</v>
      </c>
      <c r="X2297">
        <v>0.99038689999999996</v>
      </c>
      <c r="Y2297">
        <v>2.770328E-2</v>
      </c>
      <c r="Z2297">
        <v>1.007134E-2</v>
      </c>
      <c r="AA2297">
        <v>0.9995655</v>
      </c>
      <c r="AB2297">
        <v>17</v>
      </c>
      <c r="AC2297">
        <v>-2.6979000000000002</v>
      </c>
      <c r="AD2297">
        <v>-1.121587215418</v>
      </c>
      <c r="AE2297">
        <v>-46.453800000000001</v>
      </c>
      <c r="AF2297">
        <v>1.29312641402725</v>
      </c>
      <c r="AG2297">
        <v>-1.121587215418</v>
      </c>
      <c r="AH2297">
        <v>46.487076677415097</v>
      </c>
      <c r="AI2297">
        <v>91.381564944013604</v>
      </c>
      <c r="AJ2297">
        <v>88.406619858706406</v>
      </c>
      <c r="AK2297">
        <v>46.518581575713597</v>
      </c>
      <c r="AL2297">
        <v>82.907596759927799</v>
      </c>
      <c r="AM2297">
        <v>86.397046342832496</v>
      </c>
      <c r="AN2297">
        <v>0.99999996859263596</v>
      </c>
    </row>
    <row r="2298" spans="1:40" x14ac:dyDescent="0.25">
      <c r="A2298" t="str">
        <f>"20190303161919335"</f>
        <v>20190303161919335</v>
      </c>
      <c r="B2298" t="str">
        <f>"1551601159325169"</f>
        <v>1551601159325169</v>
      </c>
      <c r="C2298" t="s">
        <v>40</v>
      </c>
      <c r="D2298">
        <v>4.7115809999999998</v>
      </c>
      <c r="E2298">
        <v>0.48529040000000001</v>
      </c>
      <c r="F2298" t="s">
        <v>49</v>
      </c>
      <c r="G2298">
        <v>-194.38300000000001</v>
      </c>
      <c r="H2298" s="1">
        <v>5.4127349999999998E-6</v>
      </c>
      <c r="I2298">
        <v>273.79599999999999</v>
      </c>
      <c r="J2298">
        <v>-191.69739999999999</v>
      </c>
      <c r="K2298">
        <v>1.1215930000000001</v>
      </c>
      <c r="L2298">
        <v>322.05500000000001</v>
      </c>
      <c r="M2298">
        <v>-3.0292019999999999E-2</v>
      </c>
      <c r="N2298">
        <v>-1.395354E-2</v>
      </c>
      <c r="O2298">
        <v>-0.99944379999999999</v>
      </c>
      <c r="P2298">
        <v>-9.2194479999999995E-2</v>
      </c>
      <c r="Q2298">
        <v>0.1101224</v>
      </c>
      <c r="R2298">
        <v>-0.98963310000000004</v>
      </c>
      <c r="S2298">
        <v>-0.16798399999999999</v>
      </c>
      <c r="T2298">
        <v>-7.0015670000000002E-2</v>
      </c>
      <c r="U2298">
        <v>-3.0234070000000002</v>
      </c>
      <c r="V2298">
        <v>6.2189420000000002E-2</v>
      </c>
      <c r="W2298">
        <v>0.123944</v>
      </c>
      <c r="X2298">
        <v>0.99033850000000001</v>
      </c>
      <c r="Y2298">
        <v>2.519298E-2</v>
      </c>
      <c r="Z2298">
        <v>9.1739149999999995E-3</v>
      </c>
      <c r="AA2298">
        <v>0.99964050000000004</v>
      </c>
      <c r="AB2298">
        <v>17</v>
      </c>
      <c r="AC2298">
        <v>-2.6855999999999902</v>
      </c>
      <c r="AD2298">
        <v>-1.1215875872650001</v>
      </c>
      <c r="AE2298">
        <v>-48.259</v>
      </c>
      <c r="AF2298">
        <v>1.2217046875258</v>
      </c>
      <c r="AG2298">
        <v>-1.1215875872650001</v>
      </c>
      <c r="AH2298">
        <v>48.292205160572003</v>
      </c>
      <c r="AI2298">
        <v>91.3300312409486</v>
      </c>
      <c r="AJ2298">
        <v>88.550830409560206</v>
      </c>
      <c r="AK2298">
        <v>48.320674667581002</v>
      </c>
      <c r="AL2298">
        <v>82.880222729266194</v>
      </c>
      <c r="AM2298">
        <v>86.406765256427207</v>
      </c>
      <c r="AN2298">
        <v>0.99999999183909305</v>
      </c>
    </row>
    <row r="2299" spans="1:40" x14ac:dyDescent="0.25">
      <c r="A2299" t="str">
        <f>"20190303161919356"</f>
        <v>20190303161919356</v>
      </c>
      <c r="B2299" t="str">
        <f>"1551601159344694"</f>
        <v>1551601159344694</v>
      </c>
      <c r="C2299" t="s">
        <v>40</v>
      </c>
      <c r="D2299">
        <v>4.660069</v>
      </c>
      <c r="E2299">
        <v>0.48479640000000002</v>
      </c>
      <c r="F2299" t="s">
        <v>49</v>
      </c>
      <c r="G2299">
        <v>-194.34819999999999</v>
      </c>
      <c r="H2299" s="1">
        <v>5.6418290000000001E-6</v>
      </c>
      <c r="I2299">
        <v>272.95999999999998</v>
      </c>
      <c r="J2299">
        <v>-191.70230000000001</v>
      </c>
      <c r="K2299">
        <v>1.121594</v>
      </c>
      <c r="L2299">
        <v>321.89760000000001</v>
      </c>
      <c r="M2299">
        <v>-3.0379529999999998E-2</v>
      </c>
      <c r="N2299">
        <v>-1.395093E-2</v>
      </c>
      <c r="O2299">
        <v>-0.99944109999999997</v>
      </c>
      <c r="P2299">
        <v>-9.2064080000000006E-2</v>
      </c>
      <c r="Q2299">
        <v>0.1095737</v>
      </c>
      <c r="R2299">
        <v>-0.98970630000000004</v>
      </c>
      <c r="S2299">
        <v>-0.163269</v>
      </c>
      <c r="T2299">
        <v>-6.9080829999999996E-2</v>
      </c>
      <c r="U2299">
        <v>-3.0238649999999998</v>
      </c>
      <c r="V2299">
        <v>6.1969879999999998E-2</v>
      </c>
      <c r="W2299">
        <v>0.1233937</v>
      </c>
      <c r="X2299">
        <v>0.990421</v>
      </c>
      <c r="Y2299">
        <v>2.3543629999999999E-2</v>
      </c>
      <c r="Z2299">
        <v>8.8655920000000003E-3</v>
      </c>
      <c r="AA2299">
        <v>0.99968349999999995</v>
      </c>
      <c r="AB2299">
        <v>17</v>
      </c>
      <c r="AC2299">
        <v>-2.6458999999999802</v>
      </c>
      <c r="AD2299">
        <v>-1.121588358171</v>
      </c>
      <c r="AE2299">
        <v>-48.937600000000003</v>
      </c>
      <c r="AF2299">
        <v>1.15722648210197</v>
      </c>
      <c r="AG2299">
        <v>-1.121588358171</v>
      </c>
      <c r="AH2299">
        <v>48.969749455086401</v>
      </c>
      <c r="AI2299">
        <v>91.311689768709996</v>
      </c>
      <c r="AJ2299">
        <v>88.646269262026294</v>
      </c>
      <c r="AK2299">
        <v>48.996260013086598</v>
      </c>
      <c r="AL2299">
        <v>82.911996666983001</v>
      </c>
      <c r="AM2299">
        <v>86.419714451716601</v>
      </c>
      <c r="AN2299">
        <v>1.00000001423395</v>
      </c>
    </row>
    <row r="2300" spans="1:40" x14ac:dyDescent="0.25">
      <c r="A2300" t="str">
        <f>"20190303161919377"</f>
        <v>20190303161919377</v>
      </c>
      <c r="B2300" t="str">
        <f>"1551601159365185"</f>
        <v>1551601159365185</v>
      </c>
      <c r="C2300" t="s">
        <v>40</v>
      </c>
      <c r="D2300">
        <v>4.7588419999999996</v>
      </c>
      <c r="E2300">
        <v>0.48438619999999999</v>
      </c>
      <c r="F2300" t="s">
        <v>49</v>
      </c>
      <c r="G2300">
        <v>-194.23570000000001</v>
      </c>
      <c r="H2300" s="1">
        <v>5.4830209999999998E-6</v>
      </c>
      <c r="I2300">
        <v>273.65390000000002</v>
      </c>
      <c r="J2300">
        <v>-191.7073</v>
      </c>
      <c r="K2300">
        <v>1.121591</v>
      </c>
      <c r="L2300">
        <v>321.73500000000001</v>
      </c>
      <c r="M2300">
        <v>-3.0468930000000002E-2</v>
      </c>
      <c r="N2300">
        <v>-1.3947899999999999E-2</v>
      </c>
      <c r="O2300">
        <v>-0.99943850000000001</v>
      </c>
      <c r="P2300">
        <v>-9.2412980000000006E-2</v>
      </c>
      <c r="Q2300">
        <v>0.10933229999999999</v>
      </c>
      <c r="R2300">
        <v>-0.98970060000000004</v>
      </c>
      <c r="S2300">
        <v>-0.1588135</v>
      </c>
      <c r="T2300">
        <v>-7.0309159999999996E-2</v>
      </c>
      <c r="U2300">
        <v>-3.0242610000000001</v>
      </c>
      <c r="V2300">
        <v>6.2229819999999998E-2</v>
      </c>
      <c r="W2300">
        <v>0.1231496</v>
      </c>
      <c r="X2300">
        <v>0.99043510000000001</v>
      </c>
      <c r="Y2300">
        <v>2.1978629999999999E-2</v>
      </c>
      <c r="Z2300">
        <v>9.2718820000000004E-3</v>
      </c>
      <c r="AA2300">
        <v>0.99971540000000003</v>
      </c>
      <c r="AB2300">
        <v>17</v>
      </c>
      <c r="AC2300">
        <v>-2.5284</v>
      </c>
      <c r="AD2300">
        <v>-1.1215855169789899</v>
      </c>
      <c r="AE2300">
        <v>-48.0810999999999</v>
      </c>
      <c r="AF2300">
        <v>1.0615278030545501</v>
      </c>
      <c r="AG2300">
        <v>-1.1215855169789899</v>
      </c>
      <c r="AH2300">
        <v>48.109710877748199</v>
      </c>
      <c r="AI2300">
        <v>91.335174293997198</v>
      </c>
      <c r="AJ2300">
        <v>88.735989170762295</v>
      </c>
      <c r="AK2300">
        <v>48.134489465341503</v>
      </c>
      <c r="AL2300">
        <v>82.926090175847506</v>
      </c>
      <c r="AM2300">
        <v>86.404786877282206</v>
      </c>
      <c r="AN2300">
        <v>1.0000000308946999</v>
      </c>
    </row>
    <row r="2301" spans="1:40" x14ac:dyDescent="0.25">
      <c r="A2301" t="str">
        <f>"20190303161919401"</f>
        <v>20190303161919401</v>
      </c>
      <c r="B2301" t="str">
        <f>"1551601159394465"</f>
        <v>1551601159394465</v>
      </c>
      <c r="C2301" t="s">
        <v>40</v>
      </c>
      <c r="D2301">
        <v>4.5959500000000002</v>
      </c>
      <c r="E2301">
        <v>0.4838616</v>
      </c>
      <c r="F2301" t="s">
        <v>49</v>
      </c>
      <c r="G2301">
        <v>-194.197</v>
      </c>
      <c r="H2301" s="1">
        <v>5.5109470000000003E-6</v>
      </c>
      <c r="I2301">
        <v>273.58080000000001</v>
      </c>
      <c r="J2301">
        <v>-191.71260000000001</v>
      </c>
      <c r="K2301">
        <v>1.121591</v>
      </c>
      <c r="L2301">
        <v>321.56330000000003</v>
      </c>
      <c r="M2301">
        <v>-3.056213E-2</v>
      </c>
      <c r="N2301">
        <v>-1.394458E-2</v>
      </c>
      <c r="O2301">
        <v>-0.99943570000000004</v>
      </c>
      <c r="P2301">
        <v>-9.2820700000000006E-2</v>
      </c>
      <c r="Q2301">
        <v>0.1090334</v>
      </c>
      <c r="R2301">
        <v>-0.9896952</v>
      </c>
      <c r="S2301">
        <v>-0.15637210000000001</v>
      </c>
      <c r="T2301">
        <v>-7.0443989999999998E-2</v>
      </c>
      <c r="U2301">
        <v>-3.0244450000000001</v>
      </c>
      <c r="V2301">
        <v>6.2544710000000003E-2</v>
      </c>
      <c r="W2301">
        <v>0.1228481</v>
      </c>
      <c r="X2301">
        <v>0.99045260000000002</v>
      </c>
      <c r="Y2301">
        <v>2.107761E-2</v>
      </c>
      <c r="Z2301">
        <v>9.3187510000000001E-3</v>
      </c>
      <c r="AA2301">
        <v>0.99973440000000002</v>
      </c>
      <c r="AB2301">
        <v>17</v>
      </c>
      <c r="AC2301">
        <v>-2.4843999999999902</v>
      </c>
      <c r="AD2301">
        <v>-1.1215854890529999</v>
      </c>
      <c r="AE2301">
        <v>-47.982500000000002</v>
      </c>
      <c r="AF2301">
        <v>1.01609569563036</v>
      </c>
      <c r="AG2301">
        <v>-1.1215854890529999</v>
      </c>
      <c r="AH2301">
        <v>48.009855718438899</v>
      </c>
      <c r="AI2301">
        <v>91.337976284216495</v>
      </c>
      <c r="AJ2301">
        <v>88.787555098611406</v>
      </c>
      <c r="AK2301">
        <v>48.033703277774201</v>
      </c>
      <c r="AL2301">
        <v>82.943496272727302</v>
      </c>
      <c r="AM2301">
        <v>86.386706438930602</v>
      </c>
      <c r="AN2301">
        <v>0.99999992463467402</v>
      </c>
    </row>
    <row r="2302" spans="1:40" x14ac:dyDescent="0.25">
      <c r="A2302" t="str">
        <f>"20190303161919423"</f>
        <v>20190303161919423</v>
      </c>
      <c r="B2302" t="str">
        <f>"1551601159414960"</f>
        <v>1551601159414960</v>
      </c>
      <c r="C2302" t="s">
        <v>40</v>
      </c>
      <c r="D2302">
        <v>4.6303739999999998</v>
      </c>
      <c r="E2302">
        <v>0.4691186</v>
      </c>
      <c r="F2302" t="s">
        <v>49</v>
      </c>
      <c r="G2302">
        <v>-194.17310000000001</v>
      </c>
      <c r="H2302" s="1">
        <v>5.655633E-6</v>
      </c>
      <c r="I2302">
        <v>273.05439999999999</v>
      </c>
      <c r="J2302">
        <v>-191.71780000000001</v>
      </c>
      <c r="K2302">
        <v>1.121583</v>
      </c>
      <c r="L2302">
        <v>321.39929999999998</v>
      </c>
      <c r="M2302">
        <v>-3.0649920000000001E-2</v>
      </c>
      <c r="N2302">
        <v>-1.394134E-2</v>
      </c>
      <c r="O2302">
        <v>-0.99943329999999997</v>
      </c>
      <c r="P2302">
        <v>-9.3534489999999998E-2</v>
      </c>
      <c r="Q2302">
        <v>0.1089241</v>
      </c>
      <c r="R2302">
        <v>-0.98964039999999998</v>
      </c>
      <c r="S2302">
        <v>-0.15341189999999999</v>
      </c>
      <c r="T2302">
        <v>-6.9932460000000002E-2</v>
      </c>
      <c r="U2302">
        <v>-3.024597</v>
      </c>
      <c r="V2302">
        <v>6.3172500000000006E-2</v>
      </c>
      <c r="W2302">
        <v>0.1227355</v>
      </c>
      <c r="X2302">
        <v>0.99042680000000005</v>
      </c>
      <c r="Y2302">
        <v>2.001168E-2</v>
      </c>
      <c r="Z2302">
        <v>9.1526100000000003E-3</v>
      </c>
      <c r="AA2302">
        <v>0.99975780000000003</v>
      </c>
      <c r="AB2302">
        <v>17</v>
      </c>
      <c r="AC2302">
        <v>-2.45529999999999</v>
      </c>
      <c r="AD2302">
        <v>-1.1215773443670001</v>
      </c>
      <c r="AE2302">
        <v>-48.344900000000003</v>
      </c>
      <c r="AF2302">
        <v>0.97171376378734198</v>
      </c>
      <c r="AG2302">
        <v>-1.1215773443670001</v>
      </c>
      <c r="AH2302">
        <v>48.371476920120301</v>
      </c>
      <c r="AI2302">
        <v>91.327997081656093</v>
      </c>
      <c r="AJ2302">
        <v>88.849164555702501</v>
      </c>
      <c r="AK2302">
        <v>48.394234603017097</v>
      </c>
      <c r="AL2302">
        <v>82.949997555527702</v>
      </c>
      <c r="AM2302">
        <v>86.350440872361006</v>
      </c>
      <c r="AN2302">
        <v>1.00000000693737</v>
      </c>
    </row>
    <row r="2303" spans="1:40" x14ac:dyDescent="0.25">
      <c r="A2303" t="str">
        <f>"20190303161919445"</f>
        <v>20190303161919445</v>
      </c>
      <c r="B2303" t="str">
        <f>"1551601159434481"</f>
        <v>1551601159434481</v>
      </c>
      <c r="C2303" t="s">
        <v>40</v>
      </c>
      <c r="D2303">
        <v>4.7481949999999999</v>
      </c>
      <c r="E2303">
        <v>0.46536270000000002</v>
      </c>
      <c r="F2303" t="s">
        <v>41</v>
      </c>
      <c r="G2303">
        <v>-192.38079999999999</v>
      </c>
      <c r="H2303" s="1">
        <v>-4.463703E-6</v>
      </c>
      <c r="I2303">
        <v>268.86259999999999</v>
      </c>
      <c r="J2303">
        <v>-191.72280000000001</v>
      </c>
      <c r="K2303">
        <v>1.121588</v>
      </c>
      <c r="L2303">
        <v>321.23989999999998</v>
      </c>
      <c r="M2303">
        <v>-3.0735220000000001E-2</v>
      </c>
      <c r="N2303">
        <v>-1.39381E-2</v>
      </c>
      <c r="O2303">
        <v>-0.99943070000000001</v>
      </c>
      <c r="P2303">
        <v>-9.4147350000000005E-2</v>
      </c>
      <c r="Q2303">
        <v>0.10874060000000001</v>
      </c>
      <c r="R2303">
        <v>-0.98960219999999999</v>
      </c>
      <c r="S2303">
        <v>-3.8299560000000003E-2</v>
      </c>
      <c r="T2303">
        <v>-6.4791319999999999E-2</v>
      </c>
      <c r="U2303">
        <v>-3.0349119999999998</v>
      </c>
      <c r="V2303">
        <v>6.370141E-2</v>
      </c>
      <c r="W2303">
        <v>0.12254809999999999</v>
      </c>
      <c r="X2303">
        <v>0.99041610000000002</v>
      </c>
      <c r="Y2303">
        <v>-1.811894E-2</v>
      </c>
      <c r="Z2303">
        <v>7.3917890000000002E-3</v>
      </c>
      <c r="AA2303">
        <v>0.99980849999999999</v>
      </c>
      <c r="AB2303">
        <v>17</v>
      </c>
      <c r="AC2303">
        <v>-0.65799999999998704</v>
      </c>
      <c r="AD2303">
        <v>-1.1215924637029999</v>
      </c>
      <c r="AE2303">
        <v>-52.377299999999899</v>
      </c>
      <c r="AF2303">
        <v>-0.95185823207831499</v>
      </c>
      <c r="AG2303">
        <v>-1.1215924637029999</v>
      </c>
      <c r="AH2303">
        <v>52.3487752967688</v>
      </c>
      <c r="AI2303">
        <v>91.227193337154006</v>
      </c>
      <c r="AJ2303">
        <v>91.041694860125801</v>
      </c>
      <c r="AK2303">
        <v>52.369440314177602</v>
      </c>
      <c r="AL2303">
        <v>82.960816257318001</v>
      </c>
      <c r="AM2303">
        <v>86.319929010624605</v>
      </c>
      <c r="AN2303">
        <v>0.99999997879440305</v>
      </c>
    </row>
    <row r="2304" spans="1:40" x14ac:dyDescent="0.25">
      <c r="A2304" t="str">
        <f>"20190303161919467"</f>
        <v>20190303161919467</v>
      </c>
      <c r="B2304" t="str">
        <f>"1551601159454977"</f>
        <v>1551601159454977</v>
      </c>
      <c r="C2304" t="s">
        <v>40</v>
      </c>
      <c r="D2304">
        <v>4.6266999999999996</v>
      </c>
      <c r="E2304">
        <v>0.46415040000000002</v>
      </c>
      <c r="F2304" t="s">
        <v>41</v>
      </c>
      <c r="G2304">
        <v>-191.898</v>
      </c>
      <c r="H2304" s="1">
        <v>-4.406988E-6</v>
      </c>
      <c r="I2304">
        <v>268.94760000000002</v>
      </c>
      <c r="J2304">
        <v>-191.72800000000001</v>
      </c>
      <c r="K2304">
        <v>1.1215869999999999</v>
      </c>
      <c r="L2304">
        <v>321.07249999999999</v>
      </c>
      <c r="M2304">
        <v>-3.082642E-2</v>
      </c>
      <c r="N2304">
        <v>-1.393459E-2</v>
      </c>
      <c r="O2304">
        <v>-0.99942779999999998</v>
      </c>
      <c r="P2304">
        <v>-9.4617530000000005E-2</v>
      </c>
      <c r="Q2304">
        <v>0.10831399999999999</v>
      </c>
      <c r="R2304">
        <v>-0.98960440000000005</v>
      </c>
      <c r="S2304">
        <v>-1.017761E-2</v>
      </c>
      <c r="T2304">
        <v>-6.5154669999999998E-2</v>
      </c>
      <c r="U2304">
        <v>-3.0377200000000002</v>
      </c>
      <c r="V2304">
        <v>6.4080929999999994E-2</v>
      </c>
      <c r="W2304">
        <v>0.1221184</v>
      </c>
      <c r="X2304">
        <v>0.99044469999999996</v>
      </c>
      <c r="Y2304">
        <v>-2.7473750000000002E-2</v>
      </c>
      <c r="Z2304">
        <v>7.4914780000000002E-3</v>
      </c>
      <c r="AA2304">
        <v>0.99959439999999999</v>
      </c>
      <c r="AB2304">
        <v>17</v>
      </c>
      <c r="AC2304">
        <v>-0.170000000000015</v>
      </c>
      <c r="AD2304">
        <v>-1.121591406988</v>
      </c>
      <c r="AE2304">
        <v>-52.124899999999897</v>
      </c>
      <c r="AF2304">
        <v>-1.4363955541206901</v>
      </c>
      <c r="AG2304">
        <v>-1.121591406988</v>
      </c>
      <c r="AH2304">
        <v>52.0812507478947</v>
      </c>
      <c r="AI2304">
        <v>91.233228964159295</v>
      </c>
      <c r="AJ2304">
        <v>91.579811242343098</v>
      </c>
      <c r="AK2304">
        <v>52.113125783599003</v>
      </c>
      <c r="AL2304">
        <v>82.985622626934003</v>
      </c>
      <c r="AM2304">
        <v>86.298171286306797</v>
      </c>
      <c r="AN2304">
        <v>0.99999998648315702</v>
      </c>
    </row>
    <row r="2305" spans="1:40" x14ac:dyDescent="0.25">
      <c r="A2305" t="str">
        <f>"20190303161919492"</f>
        <v>20190303161919492</v>
      </c>
      <c r="B2305" t="str">
        <f>"1551601159485234"</f>
        <v>1551601159485234</v>
      </c>
      <c r="C2305" t="s">
        <v>40</v>
      </c>
      <c r="D2305">
        <v>4.5624840000000004</v>
      </c>
      <c r="E2305">
        <v>0.4627116</v>
      </c>
      <c r="F2305" t="s">
        <v>49</v>
      </c>
      <c r="G2305">
        <v>-191.7653</v>
      </c>
      <c r="H2305" s="1">
        <v>6.9832889999999996E-6</v>
      </c>
      <c r="I2305">
        <v>270.97410000000002</v>
      </c>
      <c r="J2305">
        <v>-191.7337</v>
      </c>
      <c r="K2305">
        <v>1.12158</v>
      </c>
      <c r="L2305">
        <v>320.8922</v>
      </c>
      <c r="M2305">
        <v>-3.092928E-2</v>
      </c>
      <c r="N2305">
        <v>-1.3930639999999999E-2</v>
      </c>
      <c r="O2305">
        <v>-0.99942470000000005</v>
      </c>
      <c r="P2305">
        <v>-9.5385609999999996E-2</v>
      </c>
      <c r="Q2305">
        <v>0.10768800000000001</v>
      </c>
      <c r="R2305">
        <v>-0.98959889999999995</v>
      </c>
      <c r="S2305">
        <v>-2.2583009999999999E-3</v>
      </c>
      <c r="T2305">
        <v>-6.8030950000000007E-2</v>
      </c>
      <c r="U2305">
        <v>-3.0387879999999998</v>
      </c>
      <c r="V2305">
        <v>6.4747260000000001E-2</v>
      </c>
      <c r="W2305">
        <v>0.1214884</v>
      </c>
      <c r="X2305">
        <v>0.99047890000000005</v>
      </c>
      <c r="Y2305">
        <v>-3.018185E-2</v>
      </c>
      <c r="Z2305">
        <v>8.4315989999999997E-3</v>
      </c>
      <c r="AA2305">
        <v>0.99950890000000003</v>
      </c>
      <c r="AB2305">
        <v>17</v>
      </c>
      <c r="AC2305">
        <v>-3.1599999999997401E-2</v>
      </c>
      <c r="AD2305">
        <v>-1.1215730167110001</v>
      </c>
      <c r="AE2305">
        <v>-49.918099999999903</v>
      </c>
      <c r="AF2305">
        <v>-1.51173236816207</v>
      </c>
      <c r="AG2305">
        <v>-1.1215730167110001</v>
      </c>
      <c r="AH2305">
        <v>49.870015271309001</v>
      </c>
      <c r="AI2305">
        <v>91.287769393552495</v>
      </c>
      <c r="AJ2305">
        <v>91.736301222155205</v>
      </c>
      <c r="AK2305">
        <v>49.905527589089402</v>
      </c>
      <c r="AL2305">
        <v>83.021990161412006</v>
      </c>
      <c r="AM2305">
        <v>86.259916197782999</v>
      </c>
      <c r="AN2305">
        <v>1.0000000451786299</v>
      </c>
    </row>
    <row r="2306" spans="1:40" x14ac:dyDescent="0.25">
      <c r="A2306" t="str">
        <f>"20190303161919513"</f>
        <v>20190303161919513</v>
      </c>
      <c r="B2306" t="str">
        <f>"1551601159504753"</f>
        <v>1551601159504753</v>
      </c>
      <c r="C2306" t="s">
        <v>40</v>
      </c>
      <c r="D2306">
        <v>4.4908250000000001</v>
      </c>
      <c r="E2306">
        <v>0.46222410000000003</v>
      </c>
      <c r="F2306" t="s">
        <v>49</v>
      </c>
      <c r="G2306">
        <v>-191.6293</v>
      </c>
      <c r="H2306" s="1">
        <v>5.3302939999999999E-6</v>
      </c>
      <c r="I2306">
        <v>275.9622</v>
      </c>
      <c r="J2306">
        <v>-191.73859999999999</v>
      </c>
      <c r="K2306">
        <v>1.1215740000000001</v>
      </c>
      <c r="L2306">
        <v>320.73809999999997</v>
      </c>
      <c r="M2306">
        <v>-3.102096E-2</v>
      </c>
      <c r="N2306">
        <v>-1.3927119999999999E-2</v>
      </c>
      <c r="O2306">
        <v>-0.99942180000000003</v>
      </c>
      <c r="P2306">
        <v>-9.6211370000000004E-2</v>
      </c>
      <c r="Q2306">
        <v>0.1069838</v>
      </c>
      <c r="R2306">
        <v>-0.98959509999999995</v>
      </c>
      <c r="S2306">
        <v>7.064819E-3</v>
      </c>
      <c r="T2306">
        <v>-7.589912E-2</v>
      </c>
      <c r="U2306">
        <v>-3.0404969999999998</v>
      </c>
      <c r="V2306">
        <v>6.5482380000000007E-2</v>
      </c>
      <c r="W2306">
        <v>0.12078079999999999</v>
      </c>
      <c r="X2306">
        <v>0.99051710000000004</v>
      </c>
      <c r="Y2306">
        <v>-3.3337159999999998E-2</v>
      </c>
      <c r="Z2306">
        <v>1.100427E-2</v>
      </c>
      <c r="AA2306">
        <v>0.99938360000000004</v>
      </c>
      <c r="AB2306">
        <v>16</v>
      </c>
      <c r="AC2306">
        <v>0.10929999999999</v>
      </c>
      <c r="AD2306">
        <v>-1.1215686697059899</v>
      </c>
      <c r="AE2306">
        <v>-44.775899999999901</v>
      </c>
      <c r="AF2306">
        <v>-1.4974338547519499</v>
      </c>
      <c r="AG2306">
        <v>-1.1215686697059899</v>
      </c>
      <c r="AH2306">
        <v>44.722895616751799</v>
      </c>
      <c r="AI2306">
        <v>91.435768320004698</v>
      </c>
      <c r="AJ2306">
        <v>91.917688888321095</v>
      </c>
      <c r="AK2306">
        <v>44.762010866102798</v>
      </c>
      <c r="AL2306">
        <v>83.062833346097904</v>
      </c>
      <c r="AM2306">
        <v>86.217720490006698</v>
      </c>
      <c r="AN2306">
        <v>1.00000003456575</v>
      </c>
    </row>
    <row r="2307" spans="1:40" x14ac:dyDescent="0.25">
      <c r="A2307" t="str">
        <f>"20190303161919536"</f>
        <v>20190303161919536</v>
      </c>
      <c r="B2307" t="str">
        <f>"1551601159525248"</f>
        <v>1551601159525248</v>
      </c>
      <c r="C2307" t="s">
        <v>40</v>
      </c>
      <c r="D2307">
        <v>4.4717669999999998</v>
      </c>
      <c r="E2307">
        <v>0.46204089999999998</v>
      </c>
      <c r="F2307" t="s">
        <v>49</v>
      </c>
      <c r="G2307">
        <v>-191.61279999999999</v>
      </c>
      <c r="H2307" s="1">
        <v>4.7895840000000003E-6</v>
      </c>
      <c r="I2307">
        <v>277.50220000000002</v>
      </c>
      <c r="J2307">
        <v>-191.744</v>
      </c>
      <c r="K2307">
        <v>1.1215649999999999</v>
      </c>
      <c r="L2307">
        <v>320.56689999999998</v>
      </c>
      <c r="M2307">
        <v>-3.1129049999999998E-2</v>
      </c>
      <c r="N2307">
        <v>-1.392323E-2</v>
      </c>
      <c r="O2307">
        <v>-0.99941869999999999</v>
      </c>
      <c r="P2307">
        <v>-9.6661570000000002E-2</v>
      </c>
      <c r="Q2307">
        <v>0.1058833</v>
      </c>
      <c r="R2307">
        <v>-0.98966980000000004</v>
      </c>
      <c r="S2307">
        <v>8.8500980000000007E-3</v>
      </c>
      <c r="T2307">
        <v>-7.8882930000000004E-2</v>
      </c>
      <c r="U2307">
        <v>-3.0408940000000002</v>
      </c>
      <c r="V2307">
        <v>6.5823699999999999E-2</v>
      </c>
      <c r="W2307">
        <v>0.1196769</v>
      </c>
      <c r="X2307">
        <v>0.99062839999999996</v>
      </c>
      <c r="Y2307">
        <v>-3.4031209999999999E-2</v>
      </c>
      <c r="Z2307">
        <v>1.1983880000000001E-2</v>
      </c>
      <c r="AA2307">
        <v>0.99934889999999998</v>
      </c>
      <c r="AB2307">
        <v>16</v>
      </c>
      <c r="AC2307">
        <v>0.13120000000003501</v>
      </c>
      <c r="AD2307">
        <v>-1.1215602104159901</v>
      </c>
      <c r="AE2307">
        <v>-43.064699999999903</v>
      </c>
      <c r="AF2307">
        <v>-1.47083154015005</v>
      </c>
      <c r="AG2307">
        <v>-1.1215602104159901</v>
      </c>
      <c r="AH2307">
        <v>43.010568663331803</v>
      </c>
      <c r="AI2307">
        <v>91.492856135512199</v>
      </c>
      <c r="AJ2307">
        <v>91.958579366378899</v>
      </c>
      <c r="AK2307">
        <v>43.050322408412597</v>
      </c>
      <c r="AL2307">
        <v>83.1265438820638</v>
      </c>
      <c r="AM2307">
        <v>86.198489334318595</v>
      </c>
      <c r="AN2307">
        <v>0.99999997338092905</v>
      </c>
    </row>
    <row r="2308" spans="1:40" x14ac:dyDescent="0.25">
      <c r="A2308" t="str">
        <f>"20190303161919557"</f>
        <v>20190303161919557</v>
      </c>
      <c r="B2308" t="str">
        <f>"1551601159544772"</f>
        <v>1551601159544772</v>
      </c>
      <c r="C2308" t="s">
        <v>40</v>
      </c>
      <c r="D2308">
        <v>4.4657539999999996</v>
      </c>
      <c r="E2308">
        <v>0.46202959999999899</v>
      </c>
      <c r="F2308" t="s">
        <v>49</v>
      </c>
      <c r="G2308">
        <v>-191.6165</v>
      </c>
      <c r="H2308" s="1">
        <v>4.1083869999999998E-6</v>
      </c>
      <c r="I2308">
        <v>279.69170000000003</v>
      </c>
      <c r="J2308">
        <v>-191.749</v>
      </c>
      <c r="K2308">
        <v>1.121556</v>
      </c>
      <c r="L2308">
        <v>320.41320000000002</v>
      </c>
      <c r="M2308">
        <v>-3.1235039999999999E-2</v>
      </c>
      <c r="N2308">
        <v>-1.3919849999999999E-2</v>
      </c>
      <c r="O2308">
        <v>-0.99941519999999995</v>
      </c>
      <c r="P2308">
        <v>-9.7331539999999994E-2</v>
      </c>
      <c r="Q2308">
        <v>0.104962899999999</v>
      </c>
      <c r="R2308">
        <v>-0.98970170000000002</v>
      </c>
      <c r="S2308">
        <v>9.4909669999999995E-3</v>
      </c>
      <c r="T2308">
        <v>-8.3446500000000007E-2</v>
      </c>
      <c r="U2308">
        <v>-3.0411990000000002</v>
      </c>
      <c r="V2308">
        <v>6.6388399999999903E-2</v>
      </c>
      <c r="W2308">
        <v>0.1187532</v>
      </c>
      <c r="X2308">
        <v>0.99070190000000002</v>
      </c>
      <c r="Y2308">
        <v>-3.4347000000000003E-2</v>
      </c>
      <c r="Z2308">
        <v>1.348218E-2</v>
      </c>
      <c r="AA2308">
        <v>0.99931899999999996</v>
      </c>
      <c r="AB2308">
        <v>16</v>
      </c>
      <c r="AC2308">
        <v>0.13250000000002099</v>
      </c>
      <c r="AD2308">
        <v>-1.1215518916130001</v>
      </c>
      <c r="AE2308">
        <v>-40.721499999999899</v>
      </c>
      <c r="AF2308">
        <v>-1.40343159951909</v>
      </c>
      <c r="AG2308">
        <v>-1.1215518916130001</v>
      </c>
      <c r="AH2308">
        <v>40.666639897700499</v>
      </c>
      <c r="AI2308">
        <v>91.578829771204497</v>
      </c>
      <c r="AJ2308">
        <v>91.9765293582293</v>
      </c>
      <c r="AK2308">
        <v>40.706302945236303</v>
      </c>
      <c r="AL2308">
        <v>83.179848310188206</v>
      </c>
      <c r="AM2308">
        <v>86.166256717480294</v>
      </c>
      <c r="AN2308">
        <v>0.99999999841420495</v>
      </c>
    </row>
    <row r="2309" spans="1:40" x14ac:dyDescent="0.25">
      <c r="A2309" t="str">
        <f>"20190303161919579"</f>
        <v>20190303161919579</v>
      </c>
      <c r="B2309" t="str">
        <f>"1551601159575026"</f>
        <v>1551601159575026</v>
      </c>
      <c r="C2309" t="s">
        <v>40</v>
      </c>
      <c r="D2309">
        <v>4.450475</v>
      </c>
      <c r="E2309">
        <v>0.46164860000000002</v>
      </c>
      <c r="F2309" t="s">
        <v>49</v>
      </c>
      <c r="G2309">
        <v>-191.65090000000001</v>
      </c>
      <c r="H2309" s="1">
        <v>3.979791E-6</v>
      </c>
      <c r="I2309">
        <v>281.09280000000001</v>
      </c>
      <c r="J2309">
        <v>-191.7542</v>
      </c>
      <c r="K2309">
        <v>1.1215440000000001</v>
      </c>
      <c r="L2309">
        <v>320.2516</v>
      </c>
      <c r="M2309">
        <v>-3.1360369999999999E-2</v>
      </c>
      <c r="N2309">
        <v>-1.3916390000000001E-2</v>
      </c>
      <c r="O2309">
        <v>-0.9994113</v>
      </c>
      <c r="P2309">
        <v>-9.7204319999999997E-2</v>
      </c>
      <c r="Q2309">
        <v>0.1047951</v>
      </c>
      <c r="R2309">
        <v>-0.98973239999999996</v>
      </c>
      <c r="S2309">
        <v>7.5836180000000003E-3</v>
      </c>
      <c r="T2309">
        <v>-8.6745260000000005E-2</v>
      </c>
      <c r="U2309">
        <v>-3.0411990000000002</v>
      </c>
      <c r="V2309">
        <v>6.6138080000000002E-2</v>
      </c>
      <c r="W2309">
        <v>0.1185814</v>
      </c>
      <c r="X2309">
        <v>0.99073920000000004</v>
      </c>
      <c r="Y2309">
        <v>-3.3845439999999997E-2</v>
      </c>
      <c r="Z2309">
        <v>1.45685E-2</v>
      </c>
      <c r="AA2309">
        <v>0.99932089999999996</v>
      </c>
      <c r="AB2309">
        <v>16</v>
      </c>
      <c r="AC2309">
        <v>0.10329999999999</v>
      </c>
      <c r="AD2309">
        <v>-1.121540020209</v>
      </c>
      <c r="AE2309">
        <v>-39.1587999999999</v>
      </c>
      <c r="AF2309">
        <v>-1.3303112752041799</v>
      </c>
      <c r="AG2309">
        <v>-1.121540020209</v>
      </c>
      <c r="AH2309">
        <v>39.104219059303801</v>
      </c>
      <c r="AI2309">
        <v>91.641888729795596</v>
      </c>
      <c r="AJ2309">
        <v>91.9484300986325</v>
      </c>
      <c r="AK2309">
        <v>39.142911597681199</v>
      </c>
      <c r="AL2309">
        <v>83.189761634867907</v>
      </c>
      <c r="AM2309">
        <v>86.180812495900796</v>
      </c>
      <c r="AN2309">
        <v>0.99999997823434295</v>
      </c>
    </row>
    <row r="2310" spans="1:40" x14ac:dyDescent="0.25">
      <c r="A2310" t="str">
        <f>"20190303161919602"</f>
        <v>20190303161919602</v>
      </c>
      <c r="B2310" t="str">
        <f>"1551601159594803"</f>
        <v>1551601159594803</v>
      </c>
      <c r="C2310" t="s">
        <v>40</v>
      </c>
      <c r="D2310">
        <v>4.3900930000000002</v>
      </c>
      <c r="E2310">
        <v>0.46142569999999999</v>
      </c>
      <c r="F2310" t="s">
        <v>49</v>
      </c>
      <c r="G2310">
        <v>-191.6139</v>
      </c>
      <c r="H2310" s="1">
        <v>4.0899539999999998E-6</v>
      </c>
      <c r="I2310">
        <v>279.90780000000001</v>
      </c>
      <c r="J2310">
        <v>-191.75960000000001</v>
      </c>
      <c r="K2310">
        <v>1.121534</v>
      </c>
      <c r="L2310">
        <v>320.08390000000003</v>
      </c>
      <c r="M2310">
        <v>-3.1511409999999997E-2</v>
      </c>
      <c r="N2310">
        <v>-1.391276E-2</v>
      </c>
      <c r="O2310">
        <v>-0.99940660000000003</v>
      </c>
      <c r="P2310">
        <v>-9.7343730000000003E-2</v>
      </c>
      <c r="Q2310">
        <v>0.10480299999999999</v>
      </c>
      <c r="R2310">
        <v>-0.98971770000000003</v>
      </c>
      <c r="S2310">
        <v>1.057434E-2</v>
      </c>
      <c r="T2310">
        <v>-8.4541560000000002E-2</v>
      </c>
      <c r="U2310">
        <v>-3.0411069999999998</v>
      </c>
      <c r="V2310">
        <v>6.6131410000000002E-2</v>
      </c>
      <c r="W2310">
        <v>0.1185837</v>
      </c>
      <c r="X2310">
        <v>0.99073940000000005</v>
      </c>
      <c r="Y2310">
        <v>-3.4979169999999997E-2</v>
      </c>
      <c r="Z2310">
        <v>1.384874E-2</v>
      </c>
      <c r="AA2310">
        <v>0.99929210000000002</v>
      </c>
      <c r="AB2310">
        <v>16</v>
      </c>
      <c r="AC2310">
        <v>0.14570000000000499</v>
      </c>
      <c r="AD2310">
        <v>-1.1215299100459999</v>
      </c>
      <c r="AE2310">
        <v>-40.176099999999998</v>
      </c>
      <c r="AF2310">
        <v>-1.4106564167678901</v>
      </c>
      <c r="AG2310">
        <v>-1.1215299100459999</v>
      </c>
      <c r="AH2310">
        <v>40.120288719780497</v>
      </c>
      <c r="AI2310">
        <v>91.600251374403996</v>
      </c>
      <c r="AJ2310">
        <v>92.013728693647906</v>
      </c>
      <c r="AK2310">
        <v>40.160743865419697</v>
      </c>
      <c r="AL2310">
        <v>83.189629121847105</v>
      </c>
      <c r="AM2310">
        <v>86.181197288391502</v>
      </c>
      <c r="AN2310">
        <v>1.00000000800331</v>
      </c>
    </row>
    <row r="2311" spans="1:40" x14ac:dyDescent="0.25">
      <c r="A2311" t="str">
        <f>"20190303161919624"</f>
        <v>20190303161919624</v>
      </c>
      <c r="B2311" t="str">
        <f>"1551601159614323"</f>
        <v>1551601159614323</v>
      </c>
      <c r="C2311" t="s">
        <v>40</v>
      </c>
      <c r="D2311">
        <v>4.3941980000000003</v>
      </c>
      <c r="E2311">
        <v>0.46138269999999998</v>
      </c>
      <c r="F2311" t="s">
        <v>49</v>
      </c>
      <c r="G2311">
        <v>-191.59880000000001</v>
      </c>
      <c r="H2311" s="1">
        <v>4.5460019999999998E-6</v>
      </c>
      <c r="I2311">
        <v>278.2</v>
      </c>
      <c r="J2311">
        <v>-191.76480000000001</v>
      </c>
      <c r="K2311">
        <v>1.1215139999999999</v>
      </c>
      <c r="L2311">
        <v>319.92540000000002</v>
      </c>
      <c r="M2311">
        <v>-3.1681239999999999E-2</v>
      </c>
      <c r="N2311">
        <v>-1.390925E-2</v>
      </c>
      <c r="O2311">
        <v>-0.99940130000000005</v>
      </c>
      <c r="P2311">
        <v>-9.7052810000000003E-2</v>
      </c>
      <c r="Q2311">
        <v>0.1041222</v>
      </c>
      <c r="R2311">
        <v>-0.98981819999999998</v>
      </c>
      <c r="S2311">
        <v>1.167297E-2</v>
      </c>
      <c r="T2311">
        <v>-8.1429600000000005E-2</v>
      </c>
      <c r="U2311">
        <v>-3.0410159999999999</v>
      </c>
      <c r="V2311">
        <v>6.5673369999999995E-2</v>
      </c>
      <c r="W2311">
        <v>0.11789810000000001</v>
      </c>
      <c r="X2311">
        <v>0.9908517</v>
      </c>
      <c r="Y2311">
        <v>-3.551025E-2</v>
      </c>
      <c r="Z2311">
        <v>1.283112E-2</v>
      </c>
      <c r="AA2311">
        <v>0.99928689999999998</v>
      </c>
      <c r="AB2311">
        <v>16</v>
      </c>
      <c r="AC2311">
        <v>0.16599999999999601</v>
      </c>
      <c r="AD2311">
        <v>-1.1215094539979999</v>
      </c>
      <c r="AE2311">
        <v>-41.7254</v>
      </c>
      <c r="AF2311">
        <v>-1.4868827013332699</v>
      </c>
      <c r="AG2311">
        <v>-1.1215094539979999</v>
      </c>
      <c r="AH2311">
        <v>41.669088032420802</v>
      </c>
      <c r="AI2311">
        <v>91.5407442656699</v>
      </c>
      <c r="AJ2311">
        <v>92.043624593452506</v>
      </c>
      <c r="AK2311">
        <v>41.710688091621797</v>
      </c>
      <c r="AL2311">
        <v>83.229188719352393</v>
      </c>
      <c r="AM2311">
        <v>86.207998229623598</v>
      </c>
      <c r="AN2311">
        <v>1.00000002245182</v>
      </c>
    </row>
    <row r="2312" spans="1:40" x14ac:dyDescent="0.25">
      <c r="A2312" t="str">
        <f>"20190303161919647"</f>
        <v>20190303161919647</v>
      </c>
      <c r="B2312" t="str">
        <f>"1551601159634819"</f>
        <v>1551601159634819</v>
      </c>
      <c r="C2312" t="s">
        <v>40</v>
      </c>
      <c r="D2312">
        <v>4.3567429999999998</v>
      </c>
      <c r="E2312">
        <v>0.4613775</v>
      </c>
      <c r="F2312" t="s">
        <v>49</v>
      </c>
      <c r="G2312">
        <v>-191.5855</v>
      </c>
      <c r="H2312" s="1">
        <v>4.5223059999999996E-6</v>
      </c>
      <c r="I2312">
        <v>278.27539999999999</v>
      </c>
      <c r="J2312">
        <v>-191.77019999999999</v>
      </c>
      <c r="K2312">
        <v>1.121486</v>
      </c>
      <c r="L2312">
        <v>319.76069999999999</v>
      </c>
      <c r="M2312">
        <v>-3.189645E-2</v>
      </c>
      <c r="N2312">
        <v>-1.390562E-2</v>
      </c>
      <c r="O2312">
        <v>-0.99939469999999997</v>
      </c>
      <c r="P2312">
        <v>-9.7326480000000007E-2</v>
      </c>
      <c r="Q2312">
        <v>0.1040272</v>
      </c>
      <c r="R2312">
        <v>-0.9898013</v>
      </c>
      <c r="S2312">
        <v>1.3092039999999999E-2</v>
      </c>
      <c r="T2312">
        <v>-8.1879019999999997E-2</v>
      </c>
      <c r="U2312">
        <v>-3.0407709999999999</v>
      </c>
      <c r="V2312">
        <v>6.5740380000000001E-2</v>
      </c>
      <c r="W2312">
        <v>0.11779630000000001</v>
      </c>
      <c r="X2312">
        <v>0.9908593</v>
      </c>
      <c r="Y2312">
        <v>-3.6191849999999998E-2</v>
      </c>
      <c r="Z2312">
        <v>1.2983679999999999E-2</v>
      </c>
      <c r="AA2312">
        <v>0.9992605</v>
      </c>
      <c r="AB2312">
        <v>16</v>
      </c>
      <c r="AC2312">
        <v>0.18469999999999201</v>
      </c>
      <c r="AD2312">
        <v>-1.1214814776940001</v>
      </c>
      <c r="AE2312">
        <v>-41.485300000000002</v>
      </c>
      <c r="AF2312">
        <v>-1.5068662221990401</v>
      </c>
      <c r="AG2312">
        <v>-1.1214814776940001</v>
      </c>
      <c r="AH2312">
        <v>41.428020682009198</v>
      </c>
      <c r="AI2312">
        <v>91.549628317854001</v>
      </c>
      <c r="AJ2312">
        <v>92.083107733454895</v>
      </c>
      <c r="AK2312">
        <v>41.470583117981299</v>
      </c>
      <c r="AL2312">
        <v>83.235061928225207</v>
      </c>
      <c r="AM2312">
        <v>86.2041693857404</v>
      </c>
      <c r="AN2312">
        <v>0.99999995912636097</v>
      </c>
    </row>
    <row r="2313" spans="1:40" x14ac:dyDescent="0.25">
      <c r="A2313" t="str">
        <f>"20190303161919669"</f>
        <v>20190303161919669</v>
      </c>
      <c r="B2313" t="str">
        <f>"1551601159665075"</f>
        <v>1551601159665075</v>
      </c>
      <c r="C2313" t="s">
        <v>40</v>
      </c>
      <c r="D2313">
        <v>4.3750790000000004</v>
      </c>
      <c r="E2313">
        <v>0.46095619999999998</v>
      </c>
      <c r="F2313" t="s">
        <v>49</v>
      </c>
      <c r="G2313">
        <v>-191.59540000000001</v>
      </c>
      <c r="H2313" s="1">
        <v>4.6968739999999996E-6</v>
      </c>
      <c r="I2313">
        <v>277.77539999999999</v>
      </c>
      <c r="J2313">
        <v>-191.7758</v>
      </c>
      <c r="K2313">
        <v>1.1214630000000001</v>
      </c>
      <c r="L2313">
        <v>319.59539999999998</v>
      </c>
      <c r="M2313">
        <v>-3.2160269999999998E-2</v>
      </c>
      <c r="N2313">
        <v>-1.3902110000000001E-2</v>
      </c>
      <c r="O2313">
        <v>-0.99938629999999995</v>
      </c>
      <c r="P2313">
        <v>-9.7457829999999995E-2</v>
      </c>
      <c r="Q2313">
        <v>0.1036451</v>
      </c>
      <c r="R2313">
        <v>-0.9898285</v>
      </c>
      <c r="S2313">
        <v>1.266479E-2</v>
      </c>
      <c r="T2313">
        <v>-8.1222890000000006E-2</v>
      </c>
      <c r="U2313">
        <v>-3.0407709999999999</v>
      </c>
      <c r="V2313">
        <v>6.5616789999999994E-2</v>
      </c>
      <c r="W2313">
        <v>0.1174066</v>
      </c>
      <c r="X2313">
        <v>0.99091379999999996</v>
      </c>
      <c r="Y2313">
        <v>-3.6315300000000002E-2</v>
      </c>
      <c r="Z2313">
        <v>1.277145E-2</v>
      </c>
      <c r="AA2313">
        <v>0.9992588</v>
      </c>
      <c r="AB2313">
        <v>16</v>
      </c>
      <c r="AC2313">
        <v>0.18039999999999101</v>
      </c>
      <c r="AD2313">
        <v>-1.1214583031259999</v>
      </c>
      <c r="AE2313">
        <v>-41.819999999999901</v>
      </c>
      <c r="AF2313">
        <v>-1.52428267429027</v>
      </c>
      <c r="AG2313">
        <v>-1.1214583031259999</v>
      </c>
      <c r="AH2313">
        <v>41.762529612230701</v>
      </c>
      <c r="AI2313">
        <v>91.537183328447298</v>
      </c>
      <c r="AJ2313">
        <v>92.090299948917206</v>
      </c>
      <c r="AK2313">
        <v>41.805382261250003</v>
      </c>
      <c r="AL2313">
        <v>83.257546500042906</v>
      </c>
      <c r="AM2313">
        <v>86.211492404946995</v>
      </c>
      <c r="AN2313">
        <v>1.00000001594195</v>
      </c>
    </row>
    <row r="2314" spans="1:40" x14ac:dyDescent="0.25">
      <c r="A2314" t="str">
        <f>"20190303161919692"</f>
        <v>20190303161919692</v>
      </c>
      <c r="B2314" t="str">
        <f>"1551601159684595"</f>
        <v>1551601159684595</v>
      </c>
      <c r="C2314" t="s">
        <v>40</v>
      </c>
      <c r="D2314">
        <v>4.3608449999999896</v>
      </c>
      <c r="E2314">
        <v>0.46083160000000001</v>
      </c>
      <c r="F2314" t="s">
        <v>49</v>
      </c>
      <c r="G2314">
        <v>-191.55269999999999</v>
      </c>
      <c r="H2314" s="1">
        <v>5.3814270000000004E-6</v>
      </c>
      <c r="I2314">
        <v>275.8657</v>
      </c>
      <c r="J2314">
        <v>-191.78129999999999</v>
      </c>
      <c r="K2314">
        <v>1.1214360000000001</v>
      </c>
      <c r="L2314">
        <v>319.43450000000001</v>
      </c>
      <c r="M2314">
        <v>-3.2459300000000003E-2</v>
      </c>
      <c r="N2314">
        <v>-1.3898570000000001E-2</v>
      </c>
      <c r="O2314">
        <v>-0.9993765</v>
      </c>
      <c r="P2314">
        <v>-9.8063369999999997E-2</v>
      </c>
      <c r="Q2314">
        <v>0.10353610000000001</v>
      </c>
      <c r="R2314">
        <v>-0.98977990000000005</v>
      </c>
      <c r="S2314">
        <v>1.5518189999999999E-2</v>
      </c>
      <c r="T2314">
        <v>-7.7975749999999996E-2</v>
      </c>
      <c r="U2314">
        <v>-3.0405579999999999</v>
      </c>
      <c r="V2314">
        <v>6.5934370000000006E-2</v>
      </c>
      <c r="W2314">
        <v>0.11729009999999999</v>
      </c>
      <c r="X2314">
        <v>0.99090650000000002</v>
      </c>
      <c r="Y2314">
        <v>-3.7552299999999997E-2</v>
      </c>
      <c r="Z2314">
        <v>1.170968E-2</v>
      </c>
      <c r="AA2314">
        <v>0.99922599999999995</v>
      </c>
      <c r="AB2314">
        <v>16</v>
      </c>
      <c r="AC2314">
        <v>0.2286</v>
      </c>
      <c r="AD2314">
        <v>-1.1214306185730001</v>
      </c>
      <c r="AE2314">
        <v>-43.568800000000003</v>
      </c>
      <c r="AF2314">
        <v>-1.6417411196156599</v>
      </c>
      <c r="AG2314">
        <v>-1.1214306185730001</v>
      </c>
      <c r="AH2314">
        <v>43.509591603398398</v>
      </c>
      <c r="AI2314">
        <v>91.475384043845295</v>
      </c>
      <c r="AJ2314">
        <v>92.160908196558196</v>
      </c>
      <c r="AK2314">
        <v>43.554993766853201</v>
      </c>
      <c r="AL2314">
        <v>83.264267791274904</v>
      </c>
      <c r="AM2314">
        <v>86.193182155053606</v>
      </c>
      <c r="AN2314">
        <v>1.0000000002237699</v>
      </c>
    </row>
    <row r="2315" spans="1:40" x14ac:dyDescent="0.25">
      <c r="A2315" t="str">
        <f>"20190303161919714"</f>
        <v>20190303161919714</v>
      </c>
      <c r="B2315" t="str">
        <f>"1551601159705091"</f>
        <v>1551601159705091</v>
      </c>
      <c r="C2315" t="s">
        <v>40</v>
      </c>
      <c r="D2315">
        <v>4.4731100000000001</v>
      </c>
      <c r="E2315">
        <v>0.48224280000000003</v>
      </c>
      <c r="F2315" t="s">
        <v>49</v>
      </c>
      <c r="G2315">
        <v>-191.56290000000001</v>
      </c>
      <c r="H2315" s="1">
        <v>5.7949549999999998E-6</v>
      </c>
      <c r="I2315">
        <v>274.68950000000001</v>
      </c>
      <c r="J2315">
        <v>-191.78700000000001</v>
      </c>
      <c r="K2315">
        <v>1.1214040000000001</v>
      </c>
      <c r="L2315">
        <v>319.27370000000002</v>
      </c>
      <c r="M2315">
        <v>-3.2805929999999997E-2</v>
      </c>
      <c r="N2315">
        <v>-1.3895070000000001E-2</v>
      </c>
      <c r="O2315">
        <v>-0.99936519999999995</v>
      </c>
      <c r="P2315">
        <v>-9.9676150000000005E-2</v>
      </c>
      <c r="Q2315">
        <v>0.10322580000000001</v>
      </c>
      <c r="R2315">
        <v>-0.98965110000000001</v>
      </c>
      <c r="S2315">
        <v>1.48468E-2</v>
      </c>
      <c r="T2315">
        <v>-7.6200599999999993E-2</v>
      </c>
      <c r="U2315">
        <v>-3.0404049999999998</v>
      </c>
      <c r="V2315">
        <v>6.7213709999999996E-2</v>
      </c>
      <c r="W2315">
        <v>0.1169704</v>
      </c>
      <c r="X2315">
        <v>0.99085829999999997</v>
      </c>
      <c r="Y2315">
        <v>-3.7678669999999997E-2</v>
      </c>
      <c r="Z2315">
        <v>1.113126E-2</v>
      </c>
      <c r="AA2315">
        <v>0.99922789999999995</v>
      </c>
      <c r="AB2315">
        <v>16</v>
      </c>
      <c r="AC2315">
        <v>0.224099999999992</v>
      </c>
      <c r="AD2315">
        <v>-1.121398205045</v>
      </c>
      <c r="AE2315">
        <v>-44.584200000000003</v>
      </c>
      <c r="AF2315">
        <v>-1.68568023300527</v>
      </c>
      <c r="AG2315">
        <v>-1.121398205045</v>
      </c>
      <c r="AH2315">
        <v>44.524677532426303</v>
      </c>
      <c r="AI2315">
        <v>91.441713651705001</v>
      </c>
      <c r="AJ2315">
        <v>92.168151750336307</v>
      </c>
      <c r="AK2315">
        <v>44.570684997526897</v>
      </c>
      <c r="AL2315">
        <v>83.282711968550799</v>
      </c>
      <c r="AM2315">
        <v>86.1193529204904</v>
      </c>
      <c r="AN2315">
        <v>0.99999996398350599</v>
      </c>
    </row>
    <row r="2316" spans="1:40" x14ac:dyDescent="0.25">
      <c r="A2316" t="str">
        <f>"20190303161919737"</f>
        <v>20190303161919737</v>
      </c>
      <c r="B2316" t="str">
        <f>"1551601159724611"</f>
        <v>1551601159724611</v>
      </c>
      <c r="C2316" t="s">
        <v>40</v>
      </c>
      <c r="D2316">
        <v>4.2866179999999998</v>
      </c>
      <c r="E2316">
        <v>0.49885180000000001</v>
      </c>
      <c r="F2316" t="s">
        <v>41</v>
      </c>
      <c r="G2316">
        <v>-194.58959999999999</v>
      </c>
      <c r="H2316" s="1">
        <v>-3.9686420000000003E-6</v>
      </c>
      <c r="I2316">
        <v>266.25650000000002</v>
      </c>
      <c r="J2316">
        <v>-191.7929</v>
      </c>
      <c r="K2316">
        <v>1.1213660000000001</v>
      </c>
      <c r="L2316">
        <v>319.108</v>
      </c>
      <c r="M2316">
        <v>-3.3222839999999997E-2</v>
      </c>
      <c r="N2316">
        <v>-1.3891489999999999E-2</v>
      </c>
      <c r="O2316">
        <v>-0.99935160000000001</v>
      </c>
      <c r="P2316">
        <v>-0.10109700000000001</v>
      </c>
      <c r="Q2316">
        <v>0.1026335</v>
      </c>
      <c r="R2316">
        <v>-0.98956860000000002</v>
      </c>
      <c r="S2316">
        <v>-0.15974430000000001</v>
      </c>
      <c r="T2316">
        <v>-6.391811E-2</v>
      </c>
      <c r="U2316">
        <v>-3.021881</v>
      </c>
      <c r="V2316">
        <v>6.823042E-2</v>
      </c>
      <c r="W2316">
        <v>0.116369</v>
      </c>
      <c r="X2316">
        <v>0.99085970000000001</v>
      </c>
      <c r="Y2316">
        <v>1.9573819999999999E-2</v>
      </c>
      <c r="Z2316">
        <v>7.2345309999999998E-3</v>
      </c>
      <c r="AA2316">
        <v>0.99978230000000001</v>
      </c>
      <c r="AB2316">
        <v>16</v>
      </c>
      <c r="AC2316">
        <v>-2.79669999999998</v>
      </c>
      <c r="AD2316">
        <v>-1.121369968642</v>
      </c>
      <c r="AE2316">
        <v>-52.851499999999902</v>
      </c>
      <c r="AF2316">
        <v>1.03864350652291</v>
      </c>
      <c r="AG2316">
        <v>-1.121369968642</v>
      </c>
      <c r="AH2316">
        <v>52.891497937671701</v>
      </c>
      <c r="AI2316">
        <v>91.214330582350996</v>
      </c>
      <c r="AJ2316">
        <v>88.875013111744906</v>
      </c>
      <c r="AK2316">
        <v>52.913578645097701</v>
      </c>
      <c r="AL2316">
        <v>83.3174070981418</v>
      </c>
      <c r="AM2316">
        <v>86.0608411868198</v>
      </c>
      <c r="AN2316">
        <v>1.0000000397292299</v>
      </c>
    </row>
    <row r="2317" spans="1:40" x14ac:dyDescent="0.25">
      <c r="A2317" t="str">
        <f>"20190303161919757"</f>
        <v>20190303161919757</v>
      </c>
      <c r="B2317" t="str">
        <f>"1551601159754867"</f>
        <v>1551601159754867</v>
      </c>
      <c r="C2317" t="s">
        <v>40</v>
      </c>
      <c r="D2317">
        <v>4.2625780000000004</v>
      </c>
      <c r="E2317">
        <v>0.50768389999999997</v>
      </c>
      <c r="F2317" t="s">
        <v>49</v>
      </c>
      <c r="G2317">
        <v>-195.91640000000001</v>
      </c>
      <c r="H2317" s="1">
        <v>4.0049280000000003E-6</v>
      </c>
      <c r="I2317">
        <v>277.15159999999997</v>
      </c>
      <c r="J2317">
        <v>-191.79839999999999</v>
      </c>
      <c r="K2317">
        <v>1.1213310000000001</v>
      </c>
      <c r="L2317">
        <v>318.9588</v>
      </c>
      <c r="M2317">
        <v>-3.3656560000000002E-2</v>
      </c>
      <c r="N2317">
        <v>-1.3888299999999999E-2</v>
      </c>
      <c r="O2317">
        <v>-0.99933709999999998</v>
      </c>
      <c r="P2317">
        <v>-0.1023517</v>
      </c>
      <c r="Q2317">
        <v>0.10208159999999999</v>
      </c>
      <c r="R2317">
        <v>-0.98949679999999995</v>
      </c>
      <c r="S2317">
        <v>-0.29579159999999999</v>
      </c>
      <c r="T2317">
        <v>-8.0438969999999999E-2</v>
      </c>
      <c r="U2317">
        <v>-3.009674</v>
      </c>
      <c r="V2317">
        <v>6.9063959999999994E-2</v>
      </c>
      <c r="W2317">
        <v>0.1158087</v>
      </c>
      <c r="X2317">
        <v>0.99086759999999996</v>
      </c>
      <c r="Y2317">
        <v>6.4229270000000005E-2</v>
      </c>
      <c r="Z2317">
        <v>1.273992E-2</v>
      </c>
      <c r="AA2317">
        <v>0.99785380000000001</v>
      </c>
      <c r="AB2317">
        <v>16</v>
      </c>
      <c r="AC2317">
        <v>-4.1180000000000199</v>
      </c>
      <c r="AD2317">
        <v>-1.121326995072</v>
      </c>
      <c r="AE2317">
        <v>-41.807200000000002</v>
      </c>
      <c r="AF2317">
        <v>2.7065161509567202</v>
      </c>
      <c r="AG2317">
        <v>-1.121326995072</v>
      </c>
      <c r="AH2317">
        <v>41.892273782808701</v>
      </c>
      <c r="AI2317">
        <v>91.530076807784397</v>
      </c>
      <c r="AJ2317">
        <v>86.303453593061604</v>
      </c>
      <c r="AK2317">
        <v>41.994585443829202</v>
      </c>
      <c r="AL2317">
        <v>83.349728475475899</v>
      </c>
      <c r="AM2317">
        <v>86.012904238261598</v>
      </c>
      <c r="AN2317">
        <v>1.0000000431481599</v>
      </c>
    </row>
    <row r="2318" spans="1:40" x14ac:dyDescent="0.25">
      <c r="A2318" t="str">
        <f>"20190303161919781"</f>
        <v>20190303161919781</v>
      </c>
      <c r="B2318" t="str">
        <f>"1551601159775364"</f>
        <v>1551601159775364</v>
      </c>
      <c r="C2318" t="s">
        <v>40</v>
      </c>
      <c r="D2318">
        <v>4.2370830000000002</v>
      </c>
      <c r="E2318">
        <v>0.5093955</v>
      </c>
      <c r="F2318" t="s">
        <v>49</v>
      </c>
      <c r="G2318">
        <v>-196.04949999999999</v>
      </c>
      <c r="H2318" s="1">
        <v>2.9085900000000001E-6</v>
      </c>
      <c r="I2318">
        <v>284.4212</v>
      </c>
      <c r="J2318">
        <v>-191.80439999999999</v>
      </c>
      <c r="K2318">
        <v>1.121299</v>
      </c>
      <c r="L2318">
        <v>318.79680000000002</v>
      </c>
      <c r="M2318">
        <v>-3.4190560000000002E-2</v>
      </c>
      <c r="N2318">
        <v>-1.388503E-2</v>
      </c>
      <c r="O2318">
        <v>-0.99931919999999996</v>
      </c>
      <c r="P2318">
        <v>-0.10419870000000001</v>
      </c>
      <c r="Q2318">
        <v>0.10223359999999999</v>
      </c>
      <c r="R2318">
        <v>-0.98928859999999996</v>
      </c>
      <c r="S2318">
        <v>-0.36970520000000001</v>
      </c>
      <c r="T2318">
        <v>-9.7518439999999998E-2</v>
      </c>
      <c r="U2318">
        <v>-3.0036320000000001</v>
      </c>
      <c r="V2318">
        <v>7.0396650000000005E-2</v>
      </c>
      <c r="W2318">
        <v>0.11594889999999999</v>
      </c>
      <c r="X2318">
        <v>0.99075729999999995</v>
      </c>
      <c r="Y2318">
        <v>8.8106240000000002E-2</v>
      </c>
      <c r="Z2318">
        <v>1.8384910000000001E-2</v>
      </c>
      <c r="AA2318">
        <v>0.99594139999999998</v>
      </c>
      <c r="AB2318">
        <v>16</v>
      </c>
      <c r="AC2318">
        <v>-4.2450999999999999</v>
      </c>
      <c r="AD2318">
        <v>-1.1212960914100001</v>
      </c>
      <c r="AE2318">
        <v>-34.375599999999999</v>
      </c>
      <c r="AF2318">
        <v>3.0639725181230002</v>
      </c>
      <c r="AG2318">
        <v>-1.1212960914100001</v>
      </c>
      <c r="AH2318">
        <v>34.464534806534303</v>
      </c>
      <c r="AI2318">
        <v>91.856132851480396</v>
      </c>
      <c r="AJ2318">
        <v>84.919636188379897</v>
      </c>
      <c r="AK2318">
        <v>34.618627817220599</v>
      </c>
      <c r="AL2318">
        <v>83.341640380039493</v>
      </c>
      <c r="AM2318">
        <v>85.935771836802104</v>
      </c>
      <c r="AN2318">
        <v>0.99999993162285805</v>
      </c>
    </row>
    <row r="2319" spans="1:40" x14ac:dyDescent="0.25">
      <c r="A2319" t="str">
        <f>"20190303161919802"</f>
        <v>20190303161919802</v>
      </c>
      <c r="B2319" t="str">
        <f>"1551601159794884"</f>
        <v>1551601159794884</v>
      </c>
      <c r="C2319" t="s">
        <v>40</v>
      </c>
      <c r="D2319">
        <v>4.2620519999999997</v>
      </c>
      <c r="E2319">
        <v>0.51052169999999997</v>
      </c>
      <c r="F2319" t="s">
        <v>49</v>
      </c>
      <c r="G2319">
        <v>-195.96029999999999</v>
      </c>
      <c r="H2319" s="1">
        <v>2.730058E-6</v>
      </c>
      <c r="I2319">
        <v>286.64429999999999</v>
      </c>
      <c r="J2319">
        <v>-191.81049999999999</v>
      </c>
      <c r="K2319">
        <v>1.121267</v>
      </c>
      <c r="L2319">
        <v>318.63839999999999</v>
      </c>
      <c r="M2319">
        <v>-3.4776080000000001E-2</v>
      </c>
      <c r="N2319">
        <v>-1.388182E-2</v>
      </c>
      <c r="O2319">
        <v>-0.99929860000000004</v>
      </c>
      <c r="P2319">
        <v>-0.1059987</v>
      </c>
      <c r="Q2319">
        <v>0.10243380000000001</v>
      </c>
      <c r="R2319">
        <v>-0.98907619999999896</v>
      </c>
      <c r="S2319">
        <v>-0.3880768</v>
      </c>
      <c r="T2319">
        <v>-0.10470699999999999</v>
      </c>
      <c r="U2319">
        <v>-3.0024109999999999</v>
      </c>
      <c r="V2319">
        <v>7.1632009999999996E-2</v>
      </c>
      <c r="W2319">
        <v>0.1161374</v>
      </c>
      <c r="X2319">
        <v>0.99064669999999999</v>
      </c>
      <c r="Y2319">
        <v>9.3559680000000006E-2</v>
      </c>
      <c r="Z2319">
        <v>2.0755590000000001E-2</v>
      </c>
      <c r="AA2319">
        <v>0.99539730000000004</v>
      </c>
      <c r="AB2319">
        <v>16</v>
      </c>
      <c r="AC2319">
        <v>-4.1497999999999902</v>
      </c>
      <c r="AD2319">
        <v>-1.1212642699419999</v>
      </c>
      <c r="AE2319">
        <v>-31.9941</v>
      </c>
      <c r="AF2319">
        <v>3.0308916838154101</v>
      </c>
      <c r="AG2319">
        <v>-1.1212642699419999</v>
      </c>
      <c r="AH2319">
        <v>32.080321878562202</v>
      </c>
      <c r="AI2319">
        <v>91.992906944959998</v>
      </c>
      <c r="AJ2319">
        <v>84.602817392951494</v>
      </c>
      <c r="AK2319">
        <v>32.242682732586502</v>
      </c>
      <c r="AL2319">
        <v>83.330766869937094</v>
      </c>
      <c r="AM2319">
        <v>85.864235698805601</v>
      </c>
      <c r="AN2319">
        <v>0.99999996237814404</v>
      </c>
    </row>
    <row r="2320" spans="1:40" x14ac:dyDescent="0.25">
      <c r="A2320" t="str">
        <f>"20190303161919827"</f>
        <v>20190303161919827</v>
      </c>
      <c r="B2320" t="str">
        <f>"1551601159814403"</f>
        <v>1551601159814403</v>
      </c>
      <c r="C2320" t="s">
        <v>40</v>
      </c>
      <c r="D2320">
        <v>4.2220120000000003</v>
      </c>
      <c r="E2320">
        <v>0.51152849999999905</v>
      </c>
      <c r="F2320" t="s">
        <v>49</v>
      </c>
      <c r="G2320">
        <v>-195.87549999999999</v>
      </c>
      <c r="H2320" s="1">
        <v>2.5982470000000002E-6</v>
      </c>
      <c r="I2320">
        <v>288.32409999999999</v>
      </c>
      <c r="J2320">
        <v>-191.81700000000001</v>
      </c>
      <c r="K2320">
        <v>1.1212299999999999</v>
      </c>
      <c r="L2320">
        <v>318.47410000000002</v>
      </c>
      <c r="M2320">
        <v>-3.5452579999999997E-2</v>
      </c>
      <c r="N2320">
        <v>-1.387857E-2</v>
      </c>
      <c r="O2320">
        <v>-0.99927509999999997</v>
      </c>
      <c r="P2320">
        <v>-0.1073781</v>
      </c>
      <c r="Q2320">
        <v>0.1026113</v>
      </c>
      <c r="R2320">
        <v>-0.98890900000000004</v>
      </c>
      <c r="S2320">
        <v>-0.40248109999999998</v>
      </c>
      <c r="T2320">
        <v>-0.1110191</v>
      </c>
      <c r="U2320">
        <v>-3.0014949999999998</v>
      </c>
      <c r="V2320">
        <v>7.2355340000000004E-2</v>
      </c>
      <c r="W2320">
        <v>0.1163032</v>
      </c>
      <c r="X2320">
        <v>0.99057470000000003</v>
      </c>
      <c r="Y2320">
        <v>9.7610210000000003E-2</v>
      </c>
      <c r="Z2320">
        <v>2.2835790000000002E-2</v>
      </c>
      <c r="AA2320">
        <v>0.99496269999999998</v>
      </c>
      <c r="AB2320">
        <v>16</v>
      </c>
      <c r="AC2320">
        <v>-4.05849999999998</v>
      </c>
      <c r="AD2320">
        <v>-1.121227401753</v>
      </c>
      <c r="AE2320">
        <v>-30.15</v>
      </c>
      <c r="AF2320">
        <v>2.9828982086540399</v>
      </c>
      <c r="AG2320">
        <v>-1.121227401753</v>
      </c>
      <c r="AH2320">
        <v>30.233872601260799</v>
      </c>
      <c r="AI2320">
        <v>92.113596182134998</v>
      </c>
      <c r="AJ2320">
        <v>84.365387409632504</v>
      </c>
      <c r="AK2320">
        <v>30.401346764229</v>
      </c>
      <c r="AL2320">
        <v>83.321202553222307</v>
      </c>
      <c r="AM2320">
        <v>85.822317878334502</v>
      </c>
      <c r="AN2320">
        <v>0.99999998291842196</v>
      </c>
    </row>
    <row r="2321" spans="1:40" x14ac:dyDescent="0.25">
      <c r="A2321" t="str">
        <f>"20190303161919847"</f>
        <v>20190303161919847</v>
      </c>
      <c r="B2321" t="str">
        <f>"1551601159834903"</f>
        <v>1551601159834903</v>
      </c>
      <c r="C2321" t="s">
        <v>40</v>
      </c>
      <c r="D2321">
        <v>4.2877869999999998</v>
      </c>
      <c r="E2321">
        <v>0.51225350000000003</v>
      </c>
      <c r="F2321" t="s">
        <v>49</v>
      </c>
      <c r="G2321">
        <v>-195.86320000000001</v>
      </c>
      <c r="H2321" s="1">
        <v>2.5234299999999998E-6</v>
      </c>
      <c r="I2321">
        <v>289.2047</v>
      </c>
      <c r="J2321">
        <v>-191.82320000000001</v>
      </c>
      <c r="K2321">
        <v>1.121191</v>
      </c>
      <c r="L2321">
        <v>318.3227</v>
      </c>
      <c r="M2321">
        <v>-3.6140859999999997E-2</v>
      </c>
      <c r="N2321">
        <v>-1.3875739999999999E-2</v>
      </c>
      <c r="O2321">
        <v>-0.99925039999999998</v>
      </c>
      <c r="P2321">
        <v>-0.1087157</v>
      </c>
      <c r="Q2321">
        <v>0.1022401</v>
      </c>
      <c r="R2321">
        <v>-0.98880100000000004</v>
      </c>
      <c r="S2321">
        <v>-0.41479490000000002</v>
      </c>
      <c r="T2321">
        <v>-0.1149416</v>
      </c>
      <c r="U2321">
        <v>-3.0005190000000002</v>
      </c>
      <c r="V2321">
        <v>7.3021169999999996E-2</v>
      </c>
      <c r="W2321">
        <v>0.1159229</v>
      </c>
      <c r="X2321">
        <v>0.99057039999999996</v>
      </c>
      <c r="Y2321">
        <v>0.1009694</v>
      </c>
      <c r="Z2321">
        <v>2.4128770000000001E-2</v>
      </c>
      <c r="AA2321">
        <v>0.99459690000000001</v>
      </c>
      <c r="AB2321">
        <v>16</v>
      </c>
      <c r="AC2321">
        <v>-4.0399999999999903</v>
      </c>
      <c r="AD2321">
        <v>-1.12118847657</v>
      </c>
      <c r="AE2321">
        <v>-29.117999999999899</v>
      </c>
      <c r="AF2321">
        <v>2.9805736912671899</v>
      </c>
      <c r="AG2321">
        <v>-1.12118847657</v>
      </c>
      <c r="AH2321">
        <v>29.202517911085899</v>
      </c>
      <c r="AI2321">
        <v>92.187356104379404</v>
      </c>
      <c r="AJ2321">
        <v>84.172250317531095</v>
      </c>
      <c r="AK2321">
        <v>29.375635065073201</v>
      </c>
      <c r="AL2321">
        <v>83.343140398436802</v>
      </c>
      <c r="AM2321">
        <v>85.783993668762605</v>
      </c>
      <c r="AN2321">
        <v>0.99999996368436805</v>
      </c>
    </row>
    <row r="2322" spans="1:40" x14ac:dyDescent="0.25">
      <c r="A2322" t="str">
        <f>"20190303161919870"</f>
        <v>20190303161919870</v>
      </c>
      <c r="B2322" t="str">
        <f>"1551601159865156"</f>
        <v>1551601159865156</v>
      </c>
      <c r="C2322" t="s">
        <v>40</v>
      </c>
      <c r="D2322">
        <v>4.2948250000000003</v>
      </c>
      <c r="E2322">
        <v>0.51314439999999995</v>
      </c>
      <c r="F2322" t="s">
        <v>49</v>
      </c>
      <c r="G2322">
        <v>-195.79060000000001</v>
      </c>
      <c r="H2322" s="1">
        <v>2.2651269999999998E-6</v>
      </c>
      <c r="I2322">
        <v>290.2817</v>
      </c>
      <c r="J2322">
        <v>-191.83</v>
      </c>
      <c r="K2322">
        <v>1.121167</v>
      </c>
      <c r="L2322">
        <v>318.16160000000002</v>
      </c>
      <c r="M2322">
        <v>-3.6930900000000003E-2</v>
      </c>
      <c r="N2322">
        <v>-1.387243E-2</v>
      </c>
      <c r="O2322">
        <v>-0.99922149999999998</v>
      </c>
      <c r="P2322">
        <v>-0.11072029999999999</v>
      </c>
      <c r="Q2322">
        <v>0.1024311</v>
      </c>
      <c r="R2322">
        <v>-0.98855899999999997</v>
      </c>
      <c r="S2322">
        <v>-0.42440800000000001</v>
      </c>
      <c r="T2322">
        <v>-0.1199384</v>
      </c>
      <c r="U2322">
        <v>-2.9996640000000001</v>
      </c>
      <c r="V2322">
        <v>7.4256320000000001E-2</v>
      </c>
      <c r="W2322">
        <v>0.11610330000000001</v>
      </c>
      <c r="X2322">
        <v>0.99045749999999999</v>
      </c>
      <c r="Y2322">
        <v>0.1033394</v>
      </c>
      <c r="Z2322">
        <v>2.5778059999999998E-2</v>
      </c>
      <c r="AA2322">
        <v>0.99431199999999997</v>
      </c>
      <c r="AB2322">
        <v>16</v>
      </c>
      <c r="AC2322">
        <v>-3.9605999999999999</v>
      </c>
      <c r="AD2322">
        <v>-1.1211647348729901</v>
      </c>
      <c r="AE2322">
        <v>-27.879899999999999</v>
      </c>
      <c r="AF2322">
        <v>2.9235343920271299</v>
      </c>
      <c r="AG2322">
        <v>-1.1211647348729901</v>
      </c>
      <c r="AH2322">
        <v>27.962833680908201</v>
      </c>
      <c r="AI2322">
        <v>92.283600387083595</v>
      </c>
      <c r="AJ2322">
        <v>84.031369381224195</v>
      </c>
      <c r="AK2322">
        <v>28.137592846052499</v>
      </c>
      <c r="AL2322">
        <v>83.332734337844798</v>
      </c>
      <c r="AM2322">
        <v>85.712456921256504</v>
      </c>
      <c r="AN2322">
        <v>1.00000001831854</v>
      </c>
    </row>
    <row r="2323" spans="1:40" x14ac:dyDescent="0.25">
      <c r="A2323" t="str">
        <f>"20190303161919892"</f>
        <v>20190303161919892</v>
      </c>
      <c r="B2323" t="str">
        <f>"1551601159884675"</f>
        <v>1551601159884675</v>
      </c>
      <c r="C2323" t="s">
        <v>40</v>
      </c>
      <c r="D2323">
        <v>4.2779069999999999</v>
      </c>
      <c r="E2323">
        <v>0.51350770000000001</v>
      </c>
      <c r="F2323" t="s">
        <v>49</v>
      </c>
      <c r="G2323">
        <v>-195.81049999999999</v>
      </c>
      <c r="H2323" s="1">
        <v>2.0448689999999999E-6</v>
      </c>
      <c r="I2323">
        <v>290.89479999999998</v>
      </c>
      <c r="J2323">
        <v>-191.83680000000001</v>
      </c>
      <c r="K2323">
        <v>1.1211519999999999</v>
      </c>
      <c r="L2323">
        <v>318.00290000000001</v>
      </c>
      <c r="M2323">
        <v>-3.7763159999999997E-2</v>
      </c>
      <c r="N2323">
        <v>-1.386917E-2</v>
      </c>
      <c r="O2323">
        <v>-0.99919080000000005</v>
      </c>
      <c r="P2323">
        <v>-0.112377</v>
      </c>
      <c r="Q2323">
        <v>0.103077</v>
      </c>
      <c r="R2323">
        <v>-0.98830530000000005</v>
      </c>
      <c r="S2323">
        <v>-0.43772889999999998</v>
      </c>
      <c r="T2323">
        <v>-0.1232924</v>
      </c>
      <c r="U2323">
        <v>-2.9984739999999999</v>
      </c>
      <c r="V2323">
        <v>7.5101169999999995E-2</v>
      </c>
      <c r="W2323">
        <v>0.1167398</v>
      </c>
      <c r="X2323">
        <v>0.99031899999999995</v>
      </c>
      <c r="Y2323">
        <v>0.1068866</v>
      </c>
      <c r="Z2323">
        <v>2.6883219999999999E-2</v>
      </c>
      <c r="AA2323">
        <v>0.99390769999999995</v>
      </c>
      <c r="AB2323">
        <v>16</v>
      </c>
      <c r="AC2323">
        <v>-3.97369999999998</v>
      </c>
      <c r="AD2323">
        <v>-1.121149955131</v>
      </c>
      <c r="AE2323">
        <v>-27.1081</v>
      </c>
      <c r="AF2323">
        <v>2.9421526807109402</v>
      </c>
      <c r="AG2323">
        <v>-1.121149955131</v>
      </c>
      <c r="AH2323">
        <v>27.1932980893103</v>
      </c>
      <c r="AI2323">
        <v>92.347222450884104</v>
      </c>
      <c r="AJ2323">
        <v>83.824958502611693</v>
      </c>
      <c r="AK2323">
        <v>27.374964850983599</v>
      </c>
      <c r="AL2323">
        <v>83.296016059020502</v>
      </c>
      <c r="AM2323">
        <v>85.663256369798603</v>
      </c>
      <c r="AN2323">
        <v>1.0000000442001999</v>
      </c>
    </row>
    <row r="2324" spans="1:40" x14ac:dyDescent="0.25">
      <c r="A2324" t="str">
        <f>"20190303161919927"</f>
        <v>20190303161919927</v>
      </c>
      <c r="B2324" t="str">
        <f>"1551601159914931"</f>
        <v>1551601159914931</v>
      </c>
      <c r="C2324" t="s">
        <v>40</v>
      </c>
      <c r="D2324">
        <v>4.2885669999999996</v>
      </c>
      <c r="E2324">
        <v>0.51399759999999906</v>
      </c>
      <c r="F2324" t="s">
        <v>49</v>
      </c>
      <c r="G2324">
        <v>-195.89519999999999</v>
      </c>
      <c r="H2324" s="1">
        <v>2.0972590000000002E-6</v>
      </c>
      <c r="I2324">
        <v>290.70409999999998</v>
      </c>
      <c r="J2324">
        <v>-191.84780000000001</v>
      </c>
      <c r="K2324">
        <v>1.1211329999999999</v>
      </c>
      <c r="L2324">
        <v>317.75709999999998</v>
      </c>
      <c r="M2324">
        <v>-3.9158289999999998E-2</v>
      </c>
      <c r="N2324">
        <v>-1.386425E-2</v>
      </c>
      <c r="O2324">
        <v>-0.99913669999999999</v>
      </c>
      <c r="P2324">
        <v>-0.113321699999999</v>
      </c>
      <c r="Q2324">
        <v>0.1038046</v>
      </c>
      <c r="R2324">
        <v>-0.98812080000000002</v>
      </c>
      <c r="S2324">
        <v>-0.44564819999999999</v>
      </c>
      <c r="T2324">
        <v>-0.1231136</v>
      </c>
      <c r="U2324">
        <v>-2.997681</v>
      </c>
      <c r="V2324">
        <v>7.4676129999999993E-2</v>
      </c>
      <c r="W2324">
        <v>0.1174577</v>
      </c>
      <c r="X2324">
        <v>0.99026619999999999</v>
      </c>
      <c r="Y2324">
        <v>0.1081056</v>
      </c>
      <c r="Z2324">
        <v>2.682816E-2</v>
      </c>
      <c r="AA2324">
        <v>0.99377729999999997</v>
      </c>
      <c r="AB2324">
        <v>16</v>
      </c>
      <c r="AC2324">
        <v>-4.0473999999999801</v>
      </c>
      <c r="AD2324">
        <v>-1.1211309027409999</v>
      </c>
      <c r="AE2324">
        <v>-27.053000000000001</v>
      </c>
      <c r="AF2324">
        <v>2.9798382863673898</v>
      </c>
      <c r="AG2324">
        <v>-1.1211309027409999</v>
      </c>
      <c r="AH2324">
        <v>27.1451518827249</v>
      </c>
      <c r="AI2324">
        <v>92.350941334147805</v>
      </c>
      <c r="AJ2324">
        <v>83.735482549224699</v>
      </c>
      <c r="AK2324">
        <v>27.331221001817401</v>
      </c>
      <c r="AL2324">
        <v>83.254598119615096</v>
      </c>
      <c r="AM2324">
        <v>85.687478549630001</v>
      </c>
      <c r="AN2324">
        <v>0.99999999127175299</v>
      </c>
    </row>
    <row r="2325" spans="1:40" x14ac:dyDescent="0.25">
      <c r="A2325" t="str">
        <f>"20190303161919949"</f>
        <v>20190303161919949</v>
      </c>
      <c r="B2325" t="str">
        <f>"1551601159945187"</f>
        <v>1551601159945187</v>
      </c>
      <c r="C2325" t="s">
        <v>40</v>
      </c>
      <c r="D2325">
        <v>4.3616669999999997</v>
      </c>
      <c r="E2325">
        <v>0.51441000000000003</v>
      </c>
      <c r="F2325" t="s">
        <v>49</v>
      </c>
      <c r="G2325">
        <v>-195.93430000000001</v>
      </c>
      <c r="H2325" s="1">
        <v>2.0907519999999999E-6</v>
      </c>
      <c r="I2325">
        <v>290.7029</v>
      </c>
      <c r="J2325">
        <v>-191.85489999999999</v>
      </c>
      <c r="K2325">
        <v>1.1211089999999999</v>
      </c>
      <c r="L2325">
        <v>317.60480000000001</v>
      </c>
      <c r="M2325">
        <v>-4.0093089999999998E-2</v>
      </c>
      <c r="N2325">
        <v>-1.386138E-2</v>
      </c>
      <c r="O2325">
        <v>-0.99910010000000005</v>
      </c>
      <c r="P2325">
        <v>-0.114368899999999</v>
      </c>
      <c r="Q2325">
        <v>0.1035433</v>
      </c>
      <c r="R2325">
        <v>-0.98802800000000002</v>
      </c>
      <c r="S2325">
        <v>-0.45271299999999998</v>
      </c>
      <c r="T2325">
        <v>-0.1242027</v>
      </c>
      <c r="U2325">
        <v>-2.9971619999999999</v>
      </c>
      <c r="V2325">
        <v>7.4803720000000004E-2</v>
      </c>
      <c r="W2325">
        <v>0.11718969999999999</v>
      </c>
      <c r="X2325">
        <v>0.99028830000000001</v>
      </c>
      <c r="Y2325">
        <v>0.10948919999999999</v>
      </c>
      <c r="Z2325">
        <v>2.718624E-2</v>
      </c>
      <c r="AA2325">
        <v>0.99361619999999995</v>
      </c>
      <c r="AB2325">
        <v>16</v>
      </c>
      <c r="AC2325">
        <v>-4.0794000000000201</v>
      </c>
      <c r="AD2325">
        <v>-1.1211069092479999</v>
      </c>
      <c r="AE2325">
        <v>-26.901900000000001</v>
      </c>
      <c r="AF2325">
        <v>2.9923556695258302</v>
      </c>
      <c r="AG2325">
        <v>-1.1211069092479999</v>
      </c>
      <c r="AH2325">
        <v>26.998002907295</v>
      </c>
      <c r="AI2325">
        <v>92.363416573903194</v>
      </c>
      <c r="AJ2325">
        <v>83.6753686785311</v>
      </c>
      <c r="AK2325">
        <v>27.186453136391599</v>
      </c>
      <c r="AL2325">
        <v>83.270060028135703</v>
      </c>
      <c r="AM2325">
        <v>85.680234178321399</v>
      </c>
      <c r="AN2325">
        <v>0.99999996971440797</v>
      </c>
    </row>
    <row r="2326" spans="1:40" x14ac:dyDescent="0.25">
      <c r="A2326" t="str">
        <f>"20190303161919975"</f>
        <v>20190303161919975</v>
      </c>
      <c r="B2326" t="str">
        <f>"1551601159964707"</f>
        <v>1551601159964707</v>
      </c>
      <c r="C2326" t="s">
        <v>40</v>
      </c>
      <c r="D2326">
        <v>4.3807729999999996</v>
      </c>
      <c r="E2326">
        <v>0.51460629999999996</v>
      </c>
      <c r="F2326" t="s">
        <v>49</v>
      </c>
      <c r="G2326">
        <v>-195.87350000000001</v>
      </c>
      <c r="H2326" s="1">
        <v>1.8622079999999999E-6</v>
      </c>
      <c r="I2326">
        <v>291.37990000000002</v>
      </c>
      <c r="J2326">
        <v>-191.86340000000001</v>
      </c>
      <c r="K2326">
        <v>1.1210770000000001</v>
      </c>
      <c r="L2326">
        <v>317.42700000000002</v>
      </c>
      <c r="M2326">
        <v>-4.1238780000000003E-2</v>
      </c>
      <c r="N2326">
        <v>-1.3857889999999999E-2</v>
      </c>
      <c r="O2326">
        <v>-0.99905310000000003</v>
      </c>
      <c r="P2326">
        <v>-0.11606130000000001</v>
      </c>
      <c r="Q2326">
        <v>0.1022429</v>
      </c>
      <c r="R2326">
        <v>-0.98796580000000001</v>
      </c>
      <c r="S2326">
        <v>-0.4591827</v>
      </c>
      <c r="T2326">
        <v>-0.12810299999999999</v>
      </c>
      <c r="U2326">
        <v>-2.9965820000000001</v>
      </c>
      <c r="V2326">
        <v>7.5364959999999995E-2</v>
      </c>
      <c r="W2326">
        <v>0.1158821</v>
      </c>
      <c r="X2326">
        <v>0.99039969999999999</v>
      </c>
      <c r="Y2326">
        <v>0.1104676</v>
      </c>
      <c r="Z2326">
        <v>2.8473310000000002E-2</v>
      </c>
      <c r="AA2326">
        <v>0.99347180000000002</v>
      </c>
      <c r="AB2326">
        <v>16</v>
      </c>
      <c r="AC2326">
        <v>-4.0100999999999898</v>
      </c>
      <c r="AD2326">
        <v>-1.1210751377920001</v>
      </c>
      <c r="AE2326">
        <v>-26.0471</v>
      </c>
      <c r="AF2326">
        <v>2.9271372484120799</v>
      </c>
      <c r="AG2326">
        <v>-1.1210751377920001</v>
      </c>
      <c r="AH2326">
        <v>26.143017719346901</v>
      </c>
      <c r="AI2326">
        <v>92.440245929365105</v>
      </c>
      <c r="AJ2326">
        <v>83.611411025761299</v>
      </c>
      <c r="AK2326">
        <v>26.330254791963199</v>
      </c>
      <c r="AL2326">
        <v>83.345494518254895</v>
      </c>
      <c r="AM2326">
        <v>85.648435382397906</v>
      </c>
      <c r="AN2326">
        <v>1.00000005202814</v>
      </c>
    </row>
    <row r="2327" spans="1:40" x14ac:dyDescent="0.25">
      <c r="A2327" t="str">
        <f>"20190303161919993"</f>
        <v>20190303161919993</v>
      </c>
      <c r="B2327" t="str">
        <f>"1551601159985203"</f>
        <v>1551601159985203</v>
      </c>
      <c r="C2327" t="s">
        <v>40</v>
      </c>
      <c r="D2327">
        <v>4.4439330000000004</v>
      </c>
      <c r="E2327">
        <v>0.534744</v>
      </c>
      <c r="F2327" t="s">
        <v>49</v>
      </c>
      <c r="G2327">
        <v>-195.75489999999999</v>
      </c>
      <c r="H2327" s="1">
        <v>1.6462389999999901E-6</v>
      </c>
      <c r="I2327">
        <v>292.38529999999997</v>
      </c>
      <c r="J2327">
        <v>-191.87029999999999</v>
      </c>
      <c r="K2327">
        <v>1.1210519999999999</v>
      </c>
      <c r="L2327">
        <v>317.28739999999999</v>
      </c>
      <c r="M2327">
        <v>-4.2183400000000003E-2</v>
      </c>
      <c r="N2327">
        <v>-1.385523E-2</v>
      </c>
      <c r="O2327">
        <v>-0.99901410000000002</v>
      </c>
      <c r="P2327">
        <v>-0.11799129999999999</v>
      </c>
      <c r="Q2327">
        <v>0.10136009999999999</v>
      </c>
      <c r="R2327">
        <v>-0.98782859999999995</v>
      </c>
      <c r="S2327">
        <v>-0.46554570000000001</v>
      </c>
      <c r="T2327">
        <v>-0.13411519999999999</v>
      </c>
      <c r="U2327">
        <v>-2.9957579999999999</v>
      </c>
      <c r="V2327">
        <v>7.6365440000000007E-2</v>
      </c>
      <c r="W2327">
        <v>0.1149921</v>
      </c>
      <c r="X2327">
        <v>0.99042669999999999</v>
      </c>
      <c r="Y2327">
        <v>0.1116188</v>
      </c>
      <c r="Z2327">
        <v>3.0458450000000001E-2</v>
      </c>
      <c r="AA2327">
        <v>0.99328419999999895</v>
      </c>
      <c r="AB2327">
        <v>16</v>
      </c>
      <c r="AC2327">
        <v>-3.8845999999999998</v>
      </c>
      <c r="AD2327">
        <v>-1.1210503537609999</v>
      </c>
      <c r="AE2327">
        <v>-24.902100000000001</v>
      </c>
      <c r="AF2327">
        <v>2.8249965499719001</v>
      </c>
      <c r="AG2327">
        <v>-1.1210503537609999</v>
      </c>
      <c r="AH2327">
        <v>24.994359926046801</v>
      </c>
      <c r="AI2327">
        <v>92.551890289920294</v>
      </c>
      <c r="AJ2327">
        <v>83.5514902514428</v>
      </c>
      <c r="AK2327">
        <v>25.178470714397999</v>
      </c>
      <c r="AL2327">
        <v>83.396830317506598</v>
      </c>
      <c r="AM2327">
        <v>85.591013805347501</v>
      </c>
      <c r="AN2327">
        <v>0.999999955780845</v>
      </c>
    </row>
    <row r="2328" spans="1:40" x14ac:dyDescent="0.25">
      <c r="A2328" t="str">
        <f>"20190303161920016"</f>
        <v>20190303161920016</v>
      </c>
      <c r="B2328" t="str">
        <f>"1551601160004723"</f>
        <v>1551601160004723</v>
      </c>
      <c r="C2328" t="s">
        <v>40</v>
      </c>
      <c r="D2328">
        <v>4.3738979999999996</v>
      </c>
      <c r="E2328">
        <v>0.54442349999999995</v>
      </c>
      <c r="F2328" t="s">
        <v>49</v>
      </c>
      <c r="G2328">
        <v>-197.40729999999999</v>
      </c>
      <c r="H2328" s="1">
        <v>1.7151990000000001E-6</v>
      </c>
      <c r="I2328">
        <v>291.16160000000002</v>
      </c>
      <c r="J2328">
        <v>-191.87799999999999</v>
      </c>
      <c r="K2328">
        <v>1.1210329999999999</v>
      </c>
      <c r="L2328">
        <v>317.13580000000002</v>
      </c>
      <c r="M2328">
        <v>-4.3259779999999998E-2</v>
      </c>
      <c r="N2328">
        <v>-1.385229E-2</v>
      </c>
      <c r="O2328">
        <v>-0.99896790000000002</v>
      </c>
      <c r="P2328">
        <v>-0.1200855</v>
      </c>
      <c r="Q2328">
        <v>0.1015576</v>
      </c>
      <c r="R2328">
        <v>-0.98755570000000004</v>
      </c>
      <c r="S2328">
        <v>-0.63046259999999998</v>
      </c>
      <c r="T2328">
        <v>-0.1276447</v>
      </c>
      <c r="U2328">
        <v>-2.9747309999999998</v>
      </c>
      <c r="V2328">
        <v>7.7406939999999994E-2</v>
      </c>
      <c r="W2328">
        <v>0.1151802</v>
      </c>
      <c r="X2328">
        <v>0.99032399999999998</v>
      </c>
      <c r="Y2328">
        <v>0.16467029999999999</v>
      </c>
      <c r="Z2328">
        <v>2.8270159999999999E-2</v>
      </c>
      <c r="AA2328">
        <v>0.98594340000000003</v>
      </c>
      <c r="AB2328">
        <v>16</v>
      </c>
      <c r="AC2328">
        <v>-5.5293000000000001</v>
      </c>
      <c r="AD2328">
        <v>-1.121031284801</v>
      </c>
      <c r="AE2328">
        <v>-25.9742</v>
      </c>
      <c r="AF2328">
        <v>4.3925494416775202</v>
      </c>
      <c r="AG2328">
        <v>-1.121031284801</v>
      </c>
      <c r="AH2328">
        <v>26.142513529351302</v>
      </c>
      <c r="AI2328">
        <v>92.421524230437498</v>
      </c>
      <c r="AJ2328">
        <v>80.462070059661002</v>
      </c>
      <c r="AK2328">
        <v>26.532663179021402</v>
      </c>
      <c r="AL2328">
        <v>83.385980979214693</v>
      </c>
      <c r="AM2328">
        <v>85.530662814218502</v>
      </c>
      <c r="AN2328">
        <v>0.99999996890410103</v>
      </c>
    </row>
    <row r="2329" spans="1:40" x14ac:dyDescent="0.25">
      <c r="A2329" t="str">
        <f>"20190303161920037"</f>
        <v>20190303161920037</v>
      </c>
      <c r="B2329" t="str">
        <f>"1551601160025219"</f>
        <v>1551601160025219</v>
      </c>
      <c r="C2329" t="s">
        <v>40</v>
      </c>
      <c r="D2329">
        <v>4.3883619999999999</v>
      </c>
      <c r="E2329">
        <v>0.55016529999999997</v>
      </c>
      <c r="F2329" t="s">
        <v>49</v>
      </c>
      <c r="G2329">
        <v>-200.0909</v>
      </c>
      <c r="H2329" s="1">
        <v>2.3966379999999998E-6</v>
      </c>
      <c r="I2329">
        <v>283.02260000000001</v>
      </c>
      <c r="J2329">
        <v>-191.88579999999999</v>
      </c>
      <c r="K2329">
        <v>1.121014</v>
      </c>
      <c r="L2329">
        <v>316.98540000000003</v>
      </c>
      <c r="M2329">
        <v>-4.437762E-2</v>
      </c>
      <c r="N2329">
        <v>-1.3849459999999999E-2</v>
      </c>
      <c r="O2329">
        <v>-0.9989188</v>
      </c>
      <c r="P2329">
        <v>-0.1218035</v>
      </c>
      <c r="Q2329">
        <v>0.102127</v>
      </c>
      <c r="R2329">
        <v>-0.98728629999999995</v>
      </c>
      <c r="S2329">
        <v>-0.71290589999999998</v>
      </c>
      <c r="T2329">
        <v>-9.7308519999999996E-2</v>
      </c>
      <c r="U2329">
        <v>-2.9611209999999999</v>
      </c>
      <c r="V2329">
        <v>7.8031630000000005E-2</v>
      </c>
      <c r="W2329">
        <v>0.1157405</v>
      </c>
      <c r="X2329">
        <v>0.99020969999999997</v>
      </c>
      <c r="Y2329">
        <v>0.19058919999999999</v>
      </c>
      <c r="Z2329">
        <v>1.8265159999999999E-2</v>
      </c>
      <c r="AA2329">
        <v>0.98150000000000004</v>
      </c>
      <c r="AB2329">
        <v>16</v>
      </c>
      <c r="AC2329">
        <v>-8.2051000000000105</v>
      </c>
      <c r="AD2329">
        <v>-1.1210116033619999</v>
      </c>
      <c r="AE2329">
        <v>-33.962800000000001</v>
      </c>
      <c r="AF2329">
        <v>6.6828030092326198</v>
      </c>
      <c r="AG2329">
        <v>-1.1210116033619999</v>
      </c>
      <c r="AH2329">
        <v>34.2582272632187</v>
      </c>
      <c r="AI2329">
        <v>91.839538392508103</v>
      </c>
      <c r="AJ2329">
        <v>78.961845711363694</v>
      </c>
      <c r="AK2329">
        <v>34.921950951993203</v>
      </c>
      <c r="AL2329">
        <v>83.353662375929105</v>
      </c>
      <c r="AM2329">
        <v>85.494224336863795</v>
      </c>
      <c r="AN2329">
        <v>1.0000000242973901</v>
      </c>
    </row>
    <row r="2330" spans="1:40" x14ac:dyDescent="0.25">
      <c r="A2330" t="str">
        <f>"20190303161920059"</f>
        <v>20190303161920059</v>
      </c>
      <c r="B2330" t="str">
        <f>"1551601160044739"</f>
        <v>1551601160044739</v>
      </c>
      <c r="C2330" t="s">
        <v>40</v>
      </c>
      <c r="D2330">
        <v>4.3887359999999997</v>
      </c>
      <c r="E2330">
        <v>0.55345569999999999</v>
      </c>
      <c r="F2330" t="s">
        <v>49</v>
      </c>
      <c r="G2330">
        <v>-201.5522</v>
      </c>
      <c r="H2330" s="1">
        <v>3.343789E-6</v>
      </c>
      <c r="I2330">
        <v>279.60860000000002</v>
      </c>
      <c r="J2330">
        <v>-191.89400000000001</v>
      </c>
      <c r="K2330">
        <v>1.121003</v>
      </c>
      <c r="L2330">
        <v>316.83370000000002</v>
      </c>
      <c r="M2330">
        <v>-4.5550750000000001E-2</v>
      </c>
      <c r="N2330">
        <v>-1.384671E-2</v>
      </c>
      <c r="O2330">
        <v>-0.99886609999999998</v>
      </c>
      <c r="P2330">
        <v>-0.12385930000000001</v>
      </c>
      <c r="Q2330">
        <v>0.1037476</v>
      </c>
      <c r="R2330">
        <v>-0.98686149999999995</v>
      </c>
      <c r="S2330">
        <v>-0.76383970000000001</v>
      </c>
      <c r="T2330">
        <v>-8.8582519999999998E-2</v>
      </c>
      <c r="U2330">
        <v>-2.953522</v>
      </c>
      <c r="V2330">
        <v>7.8946959999999997E-2</v>
      </c>
      <c r="W2330">
        <v>0.1173502</v>
      </c>
      <c r="X2330">
        <v>0.98994760000000004</v>
      </c>
      <c r="Y2330">
        <v>0.20592849999999999</v>
      </c>
      <c r="Z2330">
        <v>1.53686E-2</v>
      </c>
      <c r="AA2330">
        <v>0.97844640000000005</v>
      </c>
      <c r="AB2330">
        <v>16</v>
      </c>
      <c r="AC2330">
        <v>-9.6581999999999901</v>
      </c>
      <c r="AD2330">
        <v>-1.1209996562109901</v>
      </c>
      <c r="AE2330">
        <v>-37.225099999999998</v>
      </c>
      <c r="AF2330">
        <v>7.9456282943093299</v>
      </c>
      <c r="AG2330">
        <v>-1.1209996562109901</v>
      </c>
      <c r="AH2330">
        <v>37.5944917153099</v>
      </c>
      <c r="AI2330">
        <v>91.671057280238699</v>
      </c>
      <c r="AJ2330">
        <v>78.066111385772501</v>
      </c>
      <c r="AK2330">
        <v>38.441324854290102</v>
      </c>
      <c r="AL2330">
        <v>83.260800173857106</v>
      </c>
      <c r="AM2330">
        <v>85.440390156600003</v>
      </c>
      <c r="AN2330">
        <v>0.99999997133952001</v>
      </c>
    </row>
    <row r="2331" spans="1:40" x14ac:dyDescent="0.25">
      <c r="A2331" t="str">
        <f>"20190303161920081"</f>
        <v>20190303161920081</v>
      </c>
      <c r="B2331" t="str">
        <f>"1551601160074996"</f>
        <v>1551601160074996</v>
      </c>
      <c r="C2331" t="s">
        <v>40</v>
      </c>
      <c r="D2331">
        <v>4.3972930000000003</v>
      </c>
      <c r="E2331">
        <v>0.55597059999999998</v>
      </c>
      <c r="F2331" t="s">
        <v>49</v>
      </c>
      <c r="G2331">
        <v>-202.01169999999999</v>
      </c>
      <c r="H2331">
        <v>5.880846E-2</v>
      </c>
      <c r="I2331">
        <v>279.3331</v>
      </c>
      <c r="J2331">
        <v>-191.90270000000001</v>
      </c>
      <c r="K2331">
        <v>1.121</v>
      </c>
      <c r="L2331">
        <v>316.67590000000001</v>
      </c>
      <c r="M2331">
        <v>-4.680803E-2</v>
      </c>
      <c r="N2331">
        <v>-1.384376E-2</v>
      </c>
      <c r="O2331">
        <v>-0.99880800000000003</v>
      </c>
      <c r="P2331">
        <v>-0.1265135</v>
      </c>
      <c r="Q2331">
        <v>0.10590330000000001</v>
      </c>
      <c r="R2331">
        <v>-0.98629549999999999</v>
      </c>
      <c r="S2331">
        <v>-0.79559329999999995</v>
      </c>
      <c r="T2331">
        <v>-8.3524580000000001E-2</v>
      </c>
      <c r="U2331">
        <v>-2.9488219999999998</v>
      </c>
      <c r="V2331">
        <v>8.0382780000000001E-2</v>
      </c>
      <c r="W2331">
        <v>0.11949419999999999</v>
      </c>
      <c r="X2331">
        <v>0.9895756</v>
      </c>
      <c r="Y2331">
        <v>0.21491959999999999</v>
      </c>
      <c r="Z2331">
        <v>1.369043E-2</v>
      </c>
      <c r="AA2331">
        <v>0.97653579999999995</v>
      </c>
      <c r="AB2331">
        <v>16</v>
      </c>
      <c r="AC2331">
        <v>-10.108999999999901</v>
      </c>
      <c r="AD2331">
        <v>-1.0621915399999999</v>
      </c>
      <c r="AE2331">
        <v>-37.342799999999997</v>
      </c>
      <c r="AF2331">
        <v>8.3435174109117707</v>
      </c>
      <c r="AG2331">
        <v>-1.0621915399999999</v>
      </c>
      <c r="AH2331">
        <v>37.746633721559803</v>
      </c>
      <c r="AI2331">
        <v>91.573908545249694</v>
      </c>
      <c r="AJ2331">
        <v>77.535755017861305</v>
      </c>
      <c r="AK2331">
        <v>38.672353056976398</v>
      </c>
      <c r="AL2331">
        <v>83.137088091807797</v>
      </c>
      <c r="AM2331">
        <v>85.356085629461802</v>
      </c>
      <c r="AN2331">
        <v>1.00000006163476</v>
      </c>
    </row>
    <row r="2332" spans="1:40" x14ac:dyDescent="0.25">
      <c r="A2332" t="str">
        <f>"20190303161920103"</f>
        <v>20190303161920103</v>
      </c>
      <c r="B2332" t="str">
        <f>"1551601160094515"</f>
        <v>1551601160094515</v>
      </c>
      <c r="C2332" t="s">
        <v>40</v>
      </c>
      <c r="D2332">
        <v>4.43154</v>
      </c>
      <c r="E2332">
        <v>0.55693309999999996</v>
      </c>
      <c r="F2332" t="s">
        <v>49</v>
      </c>
      <c r="G2332">
        <v>-202.30850000000001</v>
      </c>
      <c r="H2332">
        <v>5.3357710000000003E-2</v>
      </c>
      <c r="I2332">
        <v>279.42009999999999</v>
      </c>
      <c r="J2332">
        <v>-191.91120000000001</v>
      </c>
      <c r="K2332">
        <v>1.12101299999999</v>
      </c>
      <c r="L2332">
        <v>316.52550000000002</v>
      </c>
      <c r="M2332">
        <v>-4.8029280000000001E-2</v>
      </c>
      <c r="N2332">
        <v>-1.384059E-2</v>
      </c>
      <c r="O2332">
        <v>-0.99875020000000003</v>
      </c>
      <c r="P2332">
        <v>-0.1293388</v>
      </c>
      <c r="Q2332">
        <v>0.1071952</v>
      </c>
      <c r="R2332">
        <v>-0.98578949999999999</v>
      </c>
      <c r="S2332">
        <v>-0.82260129999999998</v>
      </c>
      <c r="T2332">
        <v>-8.4399580000000002E-2</v>
      </c>
      <c r="U2332">
        <v>-2.94516</v>
      </c>
      <c r="V2332">
        <v>8.2019259999999997E-2</v>
      </c>
      <c r="W2332">
        <v>0.12077649999999999</v>
      </c>
      <c r="X2332">
        <v>0.98928550000000004</v>
      </c>
      <c r="Y2332">
        <v>0.22234780000000001</v>
      </c>
      <c r="Z2332">
        <v>1.396055E-2</v>
      </c>
      <c r="AA2332">
        <v>0.9748675</v>
      </c>
      <c r="AB2332">
        <v>16</v>
      </c>
      <c r="AC2332">
        <v>-10.3973</v>
      </c>
      <c r="AD2332">
        <v>-1.06765528999999</v>
      </c>
      <c r="AE2332">
        <v>-37.105400000000003</v>
      </c>
      <c r="AF2332">
        <v>8.5963834316241599</v>
      </c>
      <c r="AG2332">
        <v>-1.06765528999999</v>
      </c>
      <c r="AH2332">
        <v>37.533179922764198</v>
      </c>
      <c r="AI2332">
        <v>91.588272260538403</v>
      </c>
      <c r="AJ2332">
        <v>77.099800298189194</v>
      </c>
      <c r="AK2332">
        <v>38.519829841736801</v>
      </c>
      <c r="AL2332">
        <v>83.063081023638006</v>
      </c>
      <c r="AM2332">
        <v>85.260585184329202</v>
      </c>
      <c r="AN2332">
        <v>0.99999996123672297</v>
      </c>
    </row>
    <row r="2333" spans="1:40" x14ac:dyDescent="0.25">
      <c r="A2333" t="str">
        <f>"20190303161920129"</f>
        <v>20190303161920129</v>
      </c>
      <c r="B2333" t="str">
        <f>"1551601160115011"</f>
        <v>1551601160115011</v>
      </c>
      <c r="C2333" t="s">
        <v>40</v>
      </c>
      <c r="D2333">
        <v>4.480378</v>
      </c>
      <c r="E2333">
        <v>0.55748980000000004</v>
      </c>
      <c r="F2333" t="s">
        <v>49</v>
      </c>
      <c r="G2333">
        <v>-202.4692</v>
      </c>
      <c r="H2333">
        <v>4.4654630000000001E-2</v>
      </c>
      <c r="I2333">
        <v>279.4676</v>
      </c>
      <c r="J2333">
        <v>-191.9213</v>
      </c>
      <c r="K2333">
        <v>1.1210279999999999</v>
      </c>
      <c r="L2333">
        <v>316.35219999999998</v>
      </c>
      <c r="M2333">
        <v>-4.945128E-2</v>
      </c>
      <c r="N2333">
        <v>-1.38365E-2</v>
      </c>
      <c r="O2333">
        <v>-0.99868080000000004</v>
      </c>
      <c r="P2333">
        <v>-0.13236049999999999</v>
      </c>
      <c r="Q2333">
        <v>0.1076632</v>
      </c>
      <c r="R2333">
        <v>-0.98533720000000002</v>
      </c>
      <c r="S2333">
        <v>-0.83833310000000005</v>
      </c>
      <c r="T2333">
        <v>-8.5465910000000006E-2</v>
      </c>
      <c r="U2333">
        <v>-2.9425050000000001</v>
      </c>
      <c r="V2333">
        <v>8.3646090000000006E-2</v>
      </c>
      <c r="W2333">
        <v>0.1212376</v>
      </c>
      <c r="X2333">
        <v>0.98909290000000005</v>
      </c>
      <c r="Y2333">
        <v>0.2260105</v>
      </c>
      <c r="Z2333">
        <v>1.4308410000000001E-2</v>
      </c>
      <c r="AA2333">
        <v>0.97401979999999999</v>
      </c>
      <c r="AB2333">
        <v>15</v>
      </c>
      <c r="AC2333">
        <v>-10.547899999999901</v>
      </c>
      <c r="AD2333">
        <v>-1.07637337</v>
      </c>
      <c r="AE2333">
        <v>-36.884599999999899</v>
      </c>
      <c r="AF2333">
        <v>8.7039754959482991</v>
      </c>
      <c r="AG2333">
        <v>-1.07637337</v>
      </c>
      <c r="AH2333">
        <v>37.331733099085497</v>
      </c>
      <c r="AI2333">
        <v>91.608417807262299</v>
      </c>
      <c r="AJ2333">
        <v>76.875820703862502</v>
      </c>
      <c r="AK2333">
        <v>38.3480907640403</v>
      </c>
      <c r="AL2333">
        <v>83.036466596802896</v>
      </c>
      <c r="AM2333">
        <v>85.166084501620603</v>
      </c>
      <c r="AN2333">
        <v>0.99999999442822896</v>
      </c>
    </row>
    <row r="2334" spans="1:40" x14ac:dyDescent="0.25">
      <c r="A2334" t="str">
        <f>"20190303161920151"</f>
        <v>20190303161920151</v>
      </c>
      <c r="B2334" t="str">
        <f>"1551601160145268"</f>
        <v>1551601160145268</v>
      </c>
      <c r="C2334" t="s">
        <v>40</v>
      </c>
      <c r="D2334">
        <v>4.5018180000000001</v>
      </c>
      <c r="E2334">
        <v>0.55815059999999905</v>
      </c>
      <c r="F2334" t="s">
        <v>49</v>
      </c>
      <c r="G2334">
        <v>-202.57409999999999</v>
      </c>
      <c r="H2334" s="1">
        <v>3.803337E-6</v>
      </c>
      <c r="I2334">
        <v>279.57260000000002</v>
      </c>
      <c r="J2334">
        <v>-191.9299</v>
      </c>
      <c r="K2334">
        <v>1.121049</v>
      </c>
      <c r="L2334">
        <v>316.20740000000001</v>
      </c>
      <c r="M2334">
        <v>-5.0641020000000002E-2</v>
      </c>
      <c r="N2334">
        <v>-1.3832850000000001E-2</v>
      </c>
      <c r="O2334">
        <v>-0.99862130000000005</v>
      </c>
      <c r="P2334">
        <v>-0.13503499999999999</v>
      </c>
      <c r="Q2334">
        <v>0.10773050000000001</v>
      </c>
      <c r="R2334">
        <v>-0.98496709999999998</v>
      </c>
      <c r="S2334">
        <v>-0.85154719999999995</v>
      </c>
      <c r="T2334">
        <v>-8.9610579999999995E-2</v>
      </c>
      <c r="U2334">
        <v>-2.9400330000000001</v>
      </c>
      <c r="V2334">
        <v>8.5151199999999996E-2</v>
      </c>
      <c r="W2334">
        <v>0.12130050000000001</v>
      </c>
      <c r="X2334">
        <v>0.98895670000000002</v>
      </c>
      <c r="Y2334">
        <v>0.2290999</v>
      </c>
      <c r="Z2334">
        <v>1.56677E-2</v>
      </c>
      <c r="AA2334">
        <v>0.9732769</v>
      </c>
      <c r="AB2334">
        <v>15</v>
      </c>
      <c r="AC2334">
        <v>-10.6441999999999</v>
      </c>
      <c r="AD2334">
        <v>-1.121045196663</v>
      </c>
      <c r="AE2334">
        <v>-36.634799999999899</v>
      </c>
      <c r="AF2334">
        <v>8.7675684248838106</v>
      </c>
      <c r="AG2334">
        <v>-1.121045196663</v>
      </c>
      <c r="AH2334">
        <v>37.094838937113799</v>
      </c>
      <c r="AI2334">
        <v>91.684624522265906</v>
      </c>
      <c r="AJ2334">
        <v>76.7018723235837</v>
      </c>
      <c r="AK2334">
        <v>38.133372184851297</v>
      </c>
      <c r="AL2334">
        <v>83.032835559647395</v>
      </c>
      <c r="AM2334">
        <v>85.078853012091898</v>
      </c>
      <c r="AN2334">
        <v>0.99999994631828804</v>
      </c>
    </row>
    <row r="2335" spans="1:40" x14ac:dyDescent="0.25">
      <c r="A2335" t="str">
        <f>"20190303161920171"</f>
        <v>20190303161920171</v>
      </c>
      <c r="B2335" t="str">
        <f>"1551601160164788"</f>
        <v>1551601160164788</v>
      </c>
      <c r="C2335" t="s">
        <v>40</v>
      </c>
      <c r="D2335">
        <v>4.5445640000000003</v>
      </c>
      <c r="E2335">
        <v>0.55837019999999904</v>
      </c>
      <c r="F2335" t="s">
        <v>49</v>
      </c>
      <c r="G2335">
        <v>-202.39449999999999</v>
      </c>
      <c r="H2335" s="1">
        <v>3.6226869999999999E-6</v>
      </c>
      <c r="I2335">
        <v>280.68310000000002</v>
      </c>
      <c r="J2335">
        <v>-191.93889999999999</v>
      </c>
      <c r="K2335">
        <v>1.1210690000000001</v>
      </c>
      <c r="L2335">
        <v>316.05959999999999</v>
      </c>
      <c r="M2335">
        <v>-5.1850970000000003E-2</v>
      </c>
      <c r="N2335">
        <v>-1.3828989999999999E-2</v>
      </c>
      <c r="O2335">
        <v>-0.99855930000000004</v>
      </c>
      <c r="P2335">
        <v>-0.1381435</v>
      </c>
      <c r="Q2335">
        <v>0.1076525</v>
      </c>
      <c r="R2335">
        <v>-0.98454459999999999</v>
      </c>
      <c r="S2335">
        <v>-0.86524959999999995</v>
      </c>
      <c r="T2335">
        <v>-9.2692380000000005E-2</v>
      </c>
      <c r="U2335">
        <v>-2.9372859999999998</v>
      </c>
      <c r="V2335">
        <v>8.707173E-2</v>
      </c>
      <c r="W2335">
        <v>0.121217699999999</v>
      </c>
      <c r="X2335">
        <v>0.98879969999999995</v>
      </c>
      <c r="Y2335">
        <v>0.2323383</v>
      </c>
      <c r="Z2335">
        <v>1.6679050000000001E-2</v>
      </c>
      <c r="AA2335">
        <v>0.97249200000000002</v>
      </c>
      <c r="AB2335">
        <v>15</v>
      </c>
      <c r="AC2335">
        <v>-10.4556</v>
      </c>
      <c r="AD2335">
        <v>-1.1210653773129999</v>
      </c>
      <c r="AE2335">
        <v>-35.376499999999901</v>
      </c>
      <c r="AF2335">
        <v>8.5991101903568001</v>
      </c>
      <c r="AG2335">
        <v>-1.1210653773129999</v>
      </c>
      <c r="AH2335">
        <v>35.837990041782597</v>
      </c>
      <c r="AI2335">
        <v>91.742291569836297</v>
      </c>
      <c r="AJ2335">
        <v>76.507301317721996</v>
      </c>
      <c r="AK2335">
        <v>36.872252628243601</v>
      </c>
      <c r="AL2335">
        <v>83.037615516240706</v>
      </c>
      <c r="AM2335">
        <v>84.967628470471297</v>
      </c>
      <c r="AN2335">
        <v>1.0000000318392801</v>
      </c>
    </row>
    <row r="2336" spans="1:40" x14ac:dyDescent="0.25">
      <c r="A2336" t="str">
        <f>"20190303161920193"</f>
        <v>20190303161920193</v>
      </c>
      <c r="B2336" t="str">
        <f>"1551601160185284"</f>
        <v>1551601160185284</v>
      </c>
      <c r="C2336" t="s">
        <v>40</v>
      </c>
      <c r="D2336">
        <v>4.5611769999999998</v>
      </c>
      <c r="E2336">
        <v>0.55847840000000004</v>
      </c>
      <c r="F2336" t="s">
        <v>49</v>
      </c>
      <c r="G2336">
        <v>-202.22669999999999</v>
      </c>
      <c r="H2336" s="1">
        <v>3.4672929999999998E-6</v>
      </c>
      <c r="I2336">
        <v>281.60939999999999</v>
      </c>
      <c r="J2336">
        <v>-191.94829999999999</v>
      </c>
      <c r="K2336">
        <v>1.121092</v>
      </c>
      <c r="L2336">
        <v>315.90750000000003</v>
      </c>
      <c r="M2336">
        <v>-5.3084489999999998E-2</v>
      </c>
      <c r="N2336">
        <v>-1.382502E-2</v>
      </c>
      <c r="O2336">
        <v>-0.99849460000000001</v>
      </c>
      <c r="P2336">
        <v>-0.14104630000000001</v>
      </c>
      <c r="Q2336">
        <v>0.10795399999999999</v>
      </c>
      <c r="R2336">
        <v>-0.98409990000000003</v>
      </c>
      <c r="S2336">
        <v>-0.87634279999999998</v>
      </c>
      <c r="T2336">
        <v>-9.5495700000000003E-2</v>
      </c>
      <c r="U2336">
        <v>-2.9345699999999999</v>
      </c>
      <c r="V2336">
        <v>8.8765759999999999E-2</v>
      </c>
      <c r="W2336">
        <v>0.1215135</v>
      </c>
      <c r="X2336">
        <v>0.98861270000000001</v>
      </c>
      <c r="Y2336">
        <v>0.23475199999999999</v>
      </c>
      <c r="Z2336">
        <v>1.7604660000000001E-2</v>
      </c>
      <c r="AA2336">
        <v>0.97189590000000003</v>
      </c>
      <c r="AB2336">
        <v>15</v>
      </c>
      <c r="AC2336">
        <v>-10.2784</v>
      </c>
      <c r="AD2336">
        <v>-1.1210885327069999</v>
      </c>
      <c r="AE2336">
        <v>-34.298099999999998</v>
      </c>
      <c r="AF2336">
        <v>8.4347650947028008</v>
      </c>
      <c r="AG2336">
        <v>-1.1210885327069999</v>
      </c>
      <c r="AH2336">
        <v>34.761327947135797</v>
      </c>
      <c r="AI2336">
        <v>91.795151366988506</v>
      </c>
      <c r="AJ2336">
        <v>76.360899525267499</v>
      </c>
      <c r="AK2336">
        <v>35.7875959286078</v>
      </c>
      <c r="AL2336">
        <v>83.020540851125702</v>
      </c>
      <c r="AM2336">
        <v>84.869273112739293</v>
      </c>
      <c r="AN2336">
        <v>0.99999998071595797</v>
      </c>
    </row>
    <row r="2337" spans="1:40" x14ac:dyDescent="0.25">
      <c r="A2337" t="str">
        <f>"20190303161920216"</f>
        <v>20190303161920216</v>
      </c>
      <c r="B2337" t="str">
        <f>"1551601160204805"</f>
        <v>1551601160204805</v>
      </c>
      <c r="C2337" t="s">
        <v>40</v>
      </c>
      <c r="D2337">
        <v>4.5981399999999999</v>
      </c>
      <c r="E2337">
        <v>0.55855449999999995</v>
      </c>
      <c r="F2337" t="s">
        <v>49</v>
      </c>
      <c r="G2337">
        <v>-202.0472</v>
      </c>
      <c r="H2337" s="1">
        <v>3.3129289999999998E-6</v>
      </c>
      <c r="I2337">
        <v>282.4649</v>
      </c>
      <c r="J2337">
        <v>-191.9579</v>
      </c>
      <c r="K2337">
        <v>1.1211089999999999</v>
      </c>
      <c r="L2337">
        <v>315.75400000000002</v>
      </c>
      <c r="M2337">
        <v>-5.4316360000000001E-2</v>
      </c>
      <c r="N2337">
        <v>-1.382098E-2</v>
      </c>
      <c r="O2337">
        <v>-0.99842819999999999</v>
      </c>
      <c r="P2337">
        <v>-0.14381830000000001</v>
      </c>
      <c r="Q2337">
        <v>0.1087651</v>
      </c>
      <c r="R2337">
        <v>-0.98360899999999996</v>
      </c>
      <c r="S2337">
        <v>-0.88551329999999995</v>
      </c>
      <c r="T2337">
        <v>-9.830129E-2</v>
      </c>
      <c r="U2337">
        <v>-2.9323730000000001</v>
      </c>
      <c r="V2337">
        <v>9.0335250000000006E-2</v>
      </c>
      <c r="W2337">
        <v>0.1223186</v>
      </c>
      <c r="X2337">
        <v>0.98837129999999995</v>
      </c>
      <c r="Y2337">
        <v>0.23653299999999999</v>
      </c>
      <c r="Z2337">
        <v>1.8530399999999999E-2</v>
      </c>
      <c r="AA2337">
        <v>0.97144680000000005</v>
      </c>
      <c r="AB2337">
        <v>15</v>
      </c>
      <c r="AC2337">
        <v>-10.0893</v>
      </c>
      <c r="AD2337">
        <v>-1.1211056870709999</v>
      </c>
      <c r="AE2337">
        <v>-33.289099999999998</v>
      </c>
      <c r="AF2337">
        <v>8.2575100591067105</v>
      </c>
      <c r="AG2337">
        <v>-1.1211056870709999</v>
      </c>
      <c r="AH2337">
        <v>33.752953003171697</v>
      </c>
      <c r="AI2337">
        <v>91.847924787890804</v>
      </c>
      <c r="AJ2337">
        <v>76.252858891007705</v>
      </c>
      <c r="AK2337">
        <v>34.7664376485735</v>
      </c>
      <c r="AL2337">
        <v>82.974065902579397</v>
      </c>
      <c r="AM2337">
        <v>84.777784332077601</v>
      </c>
      <c r="AN2337">
        <v>1.0000000619811</v>
      </c>
    </row>
    <row r="2338" spans="1:40" x14ac:dyDescent="0.25">
      <c r="A2338" t="str">
        <f>"20190303161920237"</f>
        <v>20190303161920237</v>
      </c>
      <c r="B2338" t="str">
        <f>"1551601160225299"</f>
        <v>1551601160225299</v>
      </c>
      <c r="C2338" t="s">
        <v>40</v>
      </c>
      <c r="D2338">
        <v>4.6219080000000003</v>
      </c>
      <c r="E2338">
        <v>0.55854609999999905</v>
      </c>
      <c r="F2338" t="s">
        <v>49</v>
      </c>
      <c r="G2338">
        <v>-201.96559999999999</v>
      </c>
      <c r="H2338" s="1">
        <v>3.2334490000000001E-6</v>
      </c>
      <c r="I2338">
        <v>282.95979999999997</v>
      </c>
      <c r="J2338">
        <v>-191.96770000000001</v>
      </c>
      <c r="K2338">
        <v>1.1211180000000001</v>
      </c>
      <c r="L2338">
        <v>315.601</v>
      </c>
      <c r="M2338">
        <v>-5.5532489999999997E-2</v>
      </c>
      <c r="N2338">
        <v>-1.381695E-2</v>
      </c>
      <c r="O2338">
        <v>-0.99836139999999995</v>
      </c>
      <c r="P2338">
        <v>-0.14682609999999999</v>
      </c>
      <c r="Q2338">
        <v>0.108378</v>
      </c>
      <c r="R2338">
        <v>-0.98320700000000005</v>
      </c>
      <c r="S2338">
        <v>-0.89424130000000002</v>
      </c>
      <c r="T2338">
        <v>-0.1001775</v>
      </c>
      <c r="U2338">
        <v>-2.9303590000000002</v>
      </c>
      <c r="V2338">
        <v>9.2150770000000007E-2</v>
      </c>
      <c r="W2338">
        <v>0.1219267</v>
      </c>
      <c r="X2338">
        <v>0.98825200000000002</v>
      </c>
      <c r="Y2338">
        <v>0.23817820000000001</v>
      </c>
      <c r="Z2338">
        <v>1.9150489999999999E-2</v>
      </c>
      <c r="AA2338">
        <v>0.97103260000000002</v>
      </c>
      <c r="AB2338">
        <v>15</v>
      </c>
      <c r="AC2338">
        <v>-9.99789999999998</v>
      </c>
      <c r="AD2338">
        <v>-1.121114766551</v>
      </c>
      <c r="AE2338">
        <v>-32.641199999999998</v>
      </c>
      <c r="AF2338">
        <v>8.1608476379427106</v>
      </c>
      <c r="AG2338">
        <v>-1.121114766551</v>
      </c>
      <c r="AH2338">
        <v>33.110372572972601</v>
      </c>
      <c r="AI2338">
        <v>91.882980553397601</v>
      </c>
      <c r="AJ2338">
        <v>76.1540520914197</v>
      </c>
      <c r="AK2338">
        <v>34.119687929559802</v>
      </c>
      <c r="AL2338">
        <v>82.996688666360498</v>
      </c>
      <c r="AM2338">
        <v>84.672788901983395</v>
      </c>
      <c r="AN2338">
        <v>0.99999995004424003</v>
      </c>
    </row>
    <row r="2339" spans="1:40" x14ac:dyDescent="0.25">
      <c r="A2339" t="str">
        <f>"20190303161920261"</f>
        <v>20190303161920261</v>
      </c>
      <c r="B2339" t="str">
        <f>"1551601160254579"</f>
        <v>1551601160254579</v>
      </c>
      <c r="C2339" t="s">
        <v>40</v>
      </c>
      <c r="D2339">
        <v>4.6350519999999999</v>
      </c>
      <c r="E2339">
        <v>0.55849680000000002</v>
      </c>
      <c r="F2339" t="s">
        <v>49</v>
      </c>
      <c r="G2339">
        <v>-201.61689999999999</v>
      </c>
      <c r="H2339" s="1">
        <v>2.9608539999999999E-6</v>
      </c>
      <c r="I2339">
        <v>284.30919999999998</v>
      </c>
      <c r="J2339">
        <v>-191.9778</v>
      </c>
      <c r="K2339">
        <v>1.1211279999999999</v>
      </c>
      <c r="L2339">
        <v>315.44650000000001</v>
      </c>
      <c r="M2339">
        <v>-5.6751709999999997E-2</v>
      </c>
      <c r="N2339">
        <v>-1.3812899999999999E-2</v>
      </c>
      <c r="O2339">
        <v>-0.99829270000000003</v>
      </c>
      <c r="P2339">
        <v>-0.14886959999999999</v>
      </c>
      <c r="Q2339">
        <v>0.1079687</v>
      </c>
      <c r="R2339">
        <v>-0.9829447</v>
      </c>
      <c r="S2339">
        <v>-0.90286250000000001</v>
      </c>
      <c r="T2339">
        <v>-0.10490190000000001</v>
      </c>
      <c r="U2339">
        <v>-2.9279480000000002</v>
      </c>
      <c r="V2339">
        <v>9.2993919999999994E-2</v>
      </c>
      <c r="W2339">
        <v>0.1215135</v>
      </c>
      <c r="X2339">
        <v>0.98822399999999999</v>
      </c>
      <c r="Y2339">
        <v>0.239816</v>
      </c>
      <c r="Z2339">
        <v>2.0707989999999999E-2</v>
      </c>
      <c r="AA2339">
        <v>0.9705975</v>
      </c>
      <c r="AB2339">
        <v>15</v>
      </c>
      <c r="AC2339">
        <v>-9.6390999999999796</v>
      </c>
      <c r="AD2339">
        <v>-1.1211250391459999</v>
      </c>
      <c r="AE2339">
        <v>-31.1373</v>
      </c>
      <c r="AF2339">
        <v>7.8470147852038101</v>
      </c>
      <c r="AG2339">
        <v>-1.1211250391459999</v>
      </c>
      <c r="AH2339">
        <v>31.596814243220599</v>
      </c>
      <c r="AI2339">
        <v>91.972266636447799</v>
      </c>
      <c r="AJ2339">
        <v>76.052860279727497</v>
      </c>
      <c r="AK2339">
        <v>32.575930266274703</v>
      </c>
      <c r="AL2339">
        <v>83.020541245965902</v>
      </c>
      <c r="AM2339">
        <v>84.6241794677385</v>
      </c>
      <c r="AN2339">
        <v>1.0000000370076001</v>
      </c>
    </row>
    <row r="2340" spans="1:40" x14ac:dyDescent="0.25">
      <c r="A2340" t="str">
        <f>"20190303161920283"</f>
        <v>20190303161920283</v>
      </c>
      <c r="B2340" t="str">
        <f>"1551601160275076"</f>
        <v>1551601160275076</v>
      </c>
      <c r="C2340" t="s">
        <v>40</v>
      </c>
      <c r="D2340">
        <v>4.6632319999999998</v>
      </c>
      <c r="E2340">
        <v>0.55837979999999998</v>
      </c>
      <c r="F2340" t="s">
        <v>49</v>
      </c>
      <c r="G2340">
        <v>-201.15450000000001</v>
      </c>
      <c r="H2340" s="1">
        <v>2.617433E-6</v>
      </c>
      <c r="I2340">
        <v>285.892</v>
      </c>
      <c r="J2340">
        <v>-191.9879</v>
      </c>
      <c r="K2340">
        <v>1.12113</v>
      </c>
      <c r="L2340">
        <v>315.2944</v>
      </c>
      <c r="M2340">
        <v>-5.7947180000000001E-2</v>
      </c>
      <c r="N2340">
        <v>-1.380895E-2</v>
      </c>
      <c r="O2340">
        <v>-0.99822429999999995</v>
      </c>
      <c r="P2340">
        <v>-0.15100649999999999</v>
      </c>
      <c r="Q2340">
        <v>0.1074036</v>
      </c>
      <c r="R2340">
        <v>-0.98268100000000003</v>
      </c>
      <c r="S2340">
        <v>-0.90870669999999998</v>
      </c>
      <c r="T2340">
        <v>-0.1110183</v>
      </c>
      <c r="U2340">
        <v>-2.9266049999999999</v>
      </c>
      <c r="V2340">
        <v>9.3954399999999993E-2</v>
      </c>
      <c r="W2340">
        <v>0.1209441</v>
      </c>
      <c r="X2340">
        <v>0.98820300000000005</v>
      </c>
      <c r="Y2340">
        <v>0.2405312</v>
      </c>
      <c r="Z2340">
        <v>2.2717299999999999E-2</v>
      </c>
      <c r="AA2340">
        <v>0.97037549999999995</v>
      </c>
      <c r="AB2340">
        <v>15</v>
      </c>
      <c r="AC2340">
        <v>-9.1666000000000096</v>
      </c>
      <c r="AD2340">
        <v>-1.1211273825669901</v>
      </c>
      <c r="AE2340">
        <v>-29.4024</v>
      </c>
      <c r="AF2340">
        <v>7.4373900664865298</v>
      </c>
      <c r="AG2340">
        <v>-1.1211273825669901</v>
      </c>
      <c r="AH2340">
        <v>29.844665270010001</v>
      </c>
      <c r="AI2340">
        <v>92.087543212346901</v>
      </c>
      <c r="AJ2340">
        <v>76.006725180542006</v>
      </c>
      <c r="AK2340">
        <v>30.777844997464499</v>
      </c>
      <c r="AL2340">
        <v>83.053407866138798</v>
      </c>
      <c r="AM2340">
        <v>84.568871335812702</v>
      </c>
      <c r="AN2340">
        <v>1.00000003690658</v>
      </c>
    </row>
    <row r="2341" spans="1:40" x14ac:dyDescent="0.25">
      <c r="A2341" t="str">
        <f>"20190303161920306"</f>
        <v>20190303161920306</v>
      </c>
      <c r="B2341" t="str">
        <f>"1551601160294595"</f>
        <v>1551601160294595</v>
      </c>
      <c r="C2341" t="s">
        <v>40</v>
      </c>
      <c r="D2341">
        <v>4.6631780000000003</v>
      </c>
      <c r="E2341">
        <v>0.55829879999999998</v>
      </c>
      <c r="F2341" t="s">
        <v>49</v>
      </c>
      <c r="G2341">
        <v>-200.84190000000001</v>
      </c>
      <c r="H2341" s="1">
        <v>2.386985E-6</v>
      </c>
      <c r="I2341">
        <v>286.94229999999999</v>
      </c>
      <c r="J2341">
        <v>-191.9983</v>
      </c>
      <c r="K2341">
        <v>1.1211390000000001</v>
      </c>
      <c r="L2341">
        <v>315.14100000000002</v>
      </c>
      <c r="M2341">
        <v>-5.9152440000000001E-2</v>
      </c>
      <c r="N2341">
        <v>-1.380497E-2</v>
      </c>
      <c r="O2341">
        <v>-0.99815379999999998</v>
      </c>
      <c r="P2341">
        <v>-0.1534285</v>
      </c>
      <c r="Q2341">
        <v>0.10725850000000001</v>
      </c>
      <c r="R2341">
        <v>-0.98232169999999996</v>
      </c>
      <c r="S2341">
        <v>-0.91346740000000004</v>
      </c>
      <c r="T2341">
        <v>-0.1156673</v>
      </c>
      <c r="U2341">
        <v>-2.9251100000000001</v>
      </c>
      <c r="V2341">
        <v>9.5196600000000006E-2</v>
      </c>
      <c r="W2341">
        <v>0.1207936</v>
      </c>
      <c r="X2341">
        <v>0.98810249999999999</v>
      </c>
      <c r="Y2341">
        <v>0.240926</v>
      </c>
      <c r="Z2341">
        <v>2.4250730000000002E-2</v>
      </c>
      <c r="AA2341">
        <v>0.97024049999999995</v>
      </c>
      <c r="AB2341">
        <v>15</v>
      </c>
      <c r="AC2341">
        <v>-8.8436000000000092</v>
      </c>
      <c r="AD2341">
        <v>-1.12113661301499</v>
      </c>
      <c r="AE2341">
        <v>-28.198699999999899</v>
      </c>
      <c r="AF2341">
        <v>7.1496415529576902</v>
      </c>
      <c r="AG2341">
        <v>-1.12113661301499</v>
      </c>
      <c r="AH2341">
        <v>28.631278180312599</v>
      </c>
      <c r="AI2341">
        <v>92.175686528103597</v>
      </c>
      <c r="AJ2341">
        <v>75.979160365840002</v>
      </c>
      <c r="AK2341">
        <v>29.531752604260902</v>
      </c>
      <c r="AL2341">
        <v>83.0620944388466</v>
      </c>
      <c r="AM2341">
        <v>84.496946346291395</v>
      </c>
      <c r="AN2341">
        <v>1.00000001847938</v>
      </c>
    </row>
    <row r="2342" spans="1:40" x14ac:dyDescent="0.25">
      <c r="A2342" t="str">
        <f>"20190303161920328"</f>
        <v>20190303161920328</v>
      </c>
      <c r="B2342" t="str">
        <f>"1551601160315091"</f>
        <v>1551601160315091</v>
      </c>
      <c r="C2342" t="s">
        <v>40</v>
      </c>
      <c r="D2342">
        <v>4.7009619999999996</v>
      </c>
      <c r="E2342">
        <v>0.55820170000000002</v>
      </c>
      <c r="F2342" t="s">
        <v>49</v>
      </c>
      <c r="G2342">
        <v>-200.68639999999999</v>
      </c>
      <c r="H2342" s="1">
        <v>2.2673179999999999E-6</v>
      </c>
      <c r="I2342">
        <v>287.52260000000001</v>
      </c>
      <c r="J2342">
        <v>-192.00890000000001</v>
      </c>
      <c r="K2342">
        <v>1.121138</v>
      </c>
      <c r="L2342">
        <v>314.98790000000002</v>
      </c>
      <c r="M2342">
        <v>-6.0356609999999998E-2</v>
      </c>
      <c r="N2342">
        <v>-1.3801030000000001E-2</v>
      </c>
      <c r="O2342">
        <v>-0.99808149999999995</v>
      </c>
      <c r="P2342">
        <v>-0.15549470000000001</v>
      </c>
      <c r="Q2342">
        <v>0.10636809999999999</v>
      </c>
      <c r="R2342">
        <v>-0.98209329999999995</v>
      </c>
      <c r="S2342">
        <v>-0.91958620000000002</v>
      </c>
      <c r="T2342">
        <v>-0.1186657</v>
      </c>
      <c r="U2342">
        <v>-2.9232480000000001</v>
      </c>
      <c r="V2342">
        <v>9.6076540000000002E-2</v>
      </c>
      <c r="W2342">
        <v>0.1198994</v>
      </c>
      <c r="X2342">
        <v>0.98812619999999896</v>
      </c>
      <c r="Y2342">
        <v>0.24177070000000001</v>
      </c>
      <c r="Z2342">
        <v>2.5243379999999999E-2</v>
      </c>
      <c r="AA2342">
        <v>0.97000500000000001</v>
      </c>
      <c r="AB2342">
        <v>15</v>
      </c>
      <c r="AC2342">
        <v>-8.6774999999999807</v>
      </c>
      <c r="AD2342">
        <v>-1.121135732682</v>
      </c>
      <c r="AE2342">
        <v>-27.465299999999999</v>
      </c>
      <c r="AF2342">
        <v>6.9932115691830097</v>
      </c>
      <c r="AG2342">
        <v>-1.121135732682</v>
      </c>
      <c r="AH2342">
        <v>27.896747356951099</v>
      </c>
      <c r="AI2342">
        <v>92.232405944845794</v>
      </c>
      <c r="AJ2342">
        <v>75.926986933997895</v>
      </c>
      <c r="AK2342">
        <v>28.781773164278999</v>
      </c>
      <c r="AL2342">
        <v>83.113703138222405</v>
      </c>
      <c r="AM2342">
        <v>84.446528366210302</v>
      </c>
      <c r="AN2342">
        <v>0.99999997739258495</v>
      </c>
    </row>
    <row r="2343" spans="1:40" x14ac:dyDescent="0.25">
      <c r="A2343" t="str">
        <f>"20190303161920351"</f>
        <v>20190303161920351</v>
      </c>
      <c r="B2343" t="str">
        <f>"1551601160345348"</f>
        <v>1551601160345348</v>
      </c>
      <c r="C2343" t="s">
        <v>40</v>
      </c>
      <c r="D2343">
        <v>4.7527679999999997</v>
      </c>
      <c r="E2343">
        <v>0.55798190000000003</v>
      </c>
      <c r="F2343" t="s">
        <v>49</v>
      </c>
      <c r="G2343">
        <v>-200.39449999999999</v>
      </c>
      <c r="H2343" s="1">
        <v>2.052207E-6</v>
      </c>
      <c r="I2343">
        <v>288.5025</v>
      </c>
      <c r="J2343">
        <v>-192.01939999999999</v>
      </c>
      <c r="K2343">
        <v>1.1211329999999999</v>
      </c>
      <c r="L2343">
        <v>314.83769999999998</v>
      </c>
      <c r="M2343">
        <v>-6.1539650000000001E-2</v>
      </c>
      <c r="N2343">
        <v>-1.3797179999999999E-2</v>
      </c>
      <c r="O2343">
        <v>-0.99800949999999999</v>
      </c>
      <c r="P2343">
        <v>-0.1571256</v>
      </c>
      <c r="Q2343">
        <v>0.1053854</v>
      </c>
      <c r="R2343">
        <v>-0.98194000000000004</v>
      </c>
      <c r="S2343">
        <v>-0.92503360000000001</v>
      </c>
      <c r="T2343">
        <v>-0.1236739</v>
      </c>
      <c r="U2343">
        <v>-2.9216310000000001</v>
      </c>
      <c r="V2343">
        <v>9.6538520000000003E-2</v>
      </c>
      <c r="W2343">
        <v>0.1189137</v>
      </c>
      <c r="X2343">
        <v>0.98820030000000003</v>
      </c>
      <c r="Y2343">
        <v>0.24240310000000001</v>
      </c>
      <c r="Z2343">
        <v>2.689327E-2</v>
      </c>
      <c r="AA2343">
        <v>0.96980279999999996</v>
      </c>
      <c r="AB2343">
        <v>15</v>
      </c>
      <c r="AC2343">
        <v>-8.3750999999999998</v>
      </c>
      <c r="AD2343">
        <v>-1.121130947793</v>
      </c>
      <c r="AE2343">
        <v>-26.335199999999901</v>
      </c>
      <c r="AF2343">
        <v>6.7273378503991896</v>
      </c>
      <c r="AG2343">
        <v>-1.121130947793</v>
      </c>
      <c r="AH2343">
        <v>26.756687164039999</v>
      </c>
      <c r="AI2343">
        <v>92.327004140693802</v>
      </c>
      <c r="AJ2343">
        <v>75.886862492379905</v>
      </c>
      <c r="AK2343">
        <v>27.612213188185699</v>
      </c>
      <c r="AL2343">
        <v>83.170586677361399</v>
      </c>
      <c r="AM2343">
        <v>84.420408638527206</v>
      </c>
      <c r="AN2343">
        <v>0.99999999340578505</v>
      </c>
    </row>
    <row r="2344" spans="1:40" x14ac:dyDescent="0.25">
      <c r="A2344" t="str">
        <f>"20190303161920372"</f>
        <v>20190303161920372</v>
      </c>
      <c r="B2344" t="str">
        <f>"1551601160364867"</f>
        <v>1551601160364867</v>
      </c>
      <c r="C2344" t="s">
        <v>40</v>
      </c>
      <c r="D2344">
        <v>4.7853459999999997</v>
      </c>
      <c r="E2344">
        <v>0.55794100000000002</v>
      </c>
      <c r="F2344" t="s">
        <v>49</v>
      </c>
      <c r="G2344">
        <v>-200.1097</v>
      </c>
      <c r="H2344" s="1">
        <v>1.8480970000000001E-6</v>
      </c>
      <c r="I2344">
        <v>289.39249999999998</v>
      </c>
      <c r="J2344">
        <v>-192.02979999999999</v>
      </c>
      <c r="K2344">
        <v>1.1211340000000001</v>
      </c>
      <c r="L2344">
        <v>314.69150000000002</v>
      </c>
      <c r="M2344">
        <v>-6.2693719999999994E-2</v>
      </c>
      <c r="N2344">
        <v>-1.3793440000000001E-2</v>
      </c>
      <c r="O2344">
        <v>-0.99793750000000003</v>
      </c>
      <c r="P2344">
        <v>-0.15875310000000001</v>
      </c>
      <c r="Q2344">
        <v>0.1046</v>
      </c>
      <c r="R2344">
        <v>-0.98176209999999997</v>
      </c>
      <c r="S2344">
        <v>-0.92855829999999995</v>
      </c>
      <c r="T2344">
        <v>-0.1286767</v>
      </c>
      <c r="U2344">
        <v>-2.9204409999999998</v>
      </c>
      <c r="V2344">
        <v>9.7027829999999995E-2</v>
      </c>
      <c r="W2344">
        <v>0.1181249</v>
      </c>
      <c r="X2344">
        <v>0.98824699999999999</v>
      </c>
      <c r="Y2344">
        <v>0.24244189999999999</v>
      </c>
      <c r="Z2344">
        <v>2.854222E-2</v>
      </c>
      <c r="AA2344">
        <v>0.969746</v>
      </c>
      <c r="AB2344">
        <v>15</v>
      </c>
      <c r="AC2344">
        <v>-8.0799000000000092</v>
      </c>
      <c r="AD2344">
        <v>-1.121132151903</v>
      </c>
      <c r="AE2344">
        <v>-25.298999999999999</v>
      </c>
      <c r="AF2344">
        <v>6.4662396957468102</v>
      </c>
      <c r="AG2344">
        <v>-1.121132151903</v>
      </c>
      <c r="AH2344">
        <v>25.710012806756701</v>
      </c>
      <c r="AI2344">
        <v>92.421584374126596</v>
      </c>
      <c r="AJ2344">
        <v>75.882537560418399</v>
      </c>
      <c r="AK2344">
        <v>26.534391864681499</v>
      </c>
      <c r="AL2344">
        <v>83.216102525471698</v>
      </c>
      <c r="AM2344">
        <v>84.392571328116702</v>
      </c>
      <c r="AN2344">
        <v>1.0000000124017501</v>
      </c>
    </row>
    <row r="2345" spans="1:40" x14ac:dyDescent="0.25">
      <c r="A2345" t="str">
        <f>"20190303161920395"</f>
        <v>20190303161920395</v>
      </c>
      <c r="B2345" t="str">
        <f>"1551601160385363"</f>
        <v>1551601160385363</v>
      </c>
      <c r="C2345" t="s">
        <v>40</v>
      </c>
      <c r="D2345">
        <v>4.763998</v>
      </c>
      <c r="E2345">
        <v>0.55775269999999899</v>
      </c>
      <c r="F2345" t="s">
        <v>49</v>
      </c>
      <c r="G2345">
        <v>-199.9528</v>
      </c>
      <c r="H2345" s="1">
        <v>1.712143E-6</v>
      </c>
      <c r="I2345">
        <v>289.89710000000002</v>
      </c>
      <c r="J2345">
        <v>-192.04060000000001</v>
      </c>
      <c r="K2345">
        <v>1.1211329999999999</v>
      </c>
      <c r="L2345">
        <v>314.54239999999999</v>
      </c>
      <c r="M2345">
        <v>-6.3871899999999995E-2</v>
      </c>
      <c r="N2345">
        <v>-1.3789650000000001E-2</v>
      </c>
      <c r="O2345">
        <v>-0.99786300000000006</v>
      </c>
      <c r="P2345">
        <v>-0.15981479999999901</v>
      </c>
      <c r="Q2345">
        <v>0.10351440000000001</v>
      </c>
      <c r="R2345">
        <v>-0.98170469999999999</v>
      </c>
      <c r="S2345">
        <v>-0.93275450000000004</v>
      </c>
      <c r="T2345">
        <v>-0.13198779999999999</v>
      </c>
      <c r="U2345">
        <v>-2.9189759999999998</v>
      </c>
      <c r="V2345">
        <v>9.6920549999999994E-2</v>
      </c>
      <c r="W2345">
        <v>0.1170382</v>
      </c>
      <c r="X2345">
        <v>0.98838680000000001</v>
      </c>
      <c r="Y2345">
        <v>0.24269089999999999</v>
      </c>
      <c r="Z2345">
        <v>2.963853E-2</v>
      </c>
      <c r="AA2345">
        <v>0.96965080000000003</v>
      </c>
      <c r="AB2345">
        <v>15</v>
      </c>
      <c r="AC2345">
        <v>-7.9121999999999799</v>
      </c>
      <c r="AD2345">
        <v>-1.1211312878569999</v>
      </c>
      <c r="AE2345">
        <v>-24.645299999999899</v>
      </c>
      <c r="AF2345">
        <v>6.3099118468218096</v>
      </c>
      <c r="AG2345">
        <v>-1.1211312878569999</v>
      </c>
      <c r="AH2345">
        <v>25.053381392882699</v>
      </c>
      <c r="AI2345">
        <v>92.4847651495934</v>
      </c>
      <c r="AJ2345">
        <v>75.863569711897696</v>
      </c>
      <c r="AK2345">
        <v>25.860082020297501</v>
      </c>
      <c r="AL2345">
        <v>83.278800690048001</v>
      </c>
      <c r="AM2345">
        <v>84.399519022180598</v>
      </c>
      <c r="AN2345">
        <v>0.99999999984289101</v>
      </c>
    </row>
    <row r="2346" spans="1:40" x14ac:dyDescent="0.25">
      <c r="A2346" t="str">
        <f>"20190303161920416"</f>
        <v>20190303161920416</v>
      </c>
      <c r="B2346" t="str">
        <f>"1551601160404884"</f>
        <v>1551601160404884</v>
      </c>
      <c r="C2346" t="s">
        <v>40</v>
      </c>
      <c r="D2346">
        <v>4.7559490000000002</v>
      </c>
      <c r="E2346">
        <v>0.55758669999999899</v>
      </c>
      <c r="F2346" t="s">
        <v>49</v>
      </c>
      <c r="G2346">
        <v>-199.6848</v>
      </c>
      <c r="H2346" s="1">
        <v>1.600963E-6</v>
      </c>
      <c r="I2346">
        <v>290.66329999999999</v>
      </c>
      <c r="J2346">
        <v>-192.05119999999999</v>
      </c>
      <c r="K2346">
        <v>1.121135</v>
      </c>
      <c r="L2346">
        <v>314.3972</v>
      </c>
      <c r="M2346">
        <v>-6.5022330000000003E-2</v>
      </c>
      <c r="N2346">
        <v>-1.3786039999999999E-2</v>
      </c>
      <c r="O2346">
        <v>-0.99778860000000003</v>
      </c>
      <c r="P2346">
        <v>-0.1605549</v>
      </c>
      <c r="Q2346">
        <v>0.1025305</v>
      </c>
      <c r="R2346">
        <v>-0.98168750000000005</v>
      </c>
      <c r="S2346">
        <v>-0.93420409999999998</v>
      </c>
      <c r="T2346">
        <v>-0.13701389999999999</v>
      </c>
      <c r="U2346">
        <v>-2.9182739999999998</v>
      </c>
      <c r="V2346">
        <v>9.6517210000000006E-2</v>
      </c>
      <c r="W2346">
        <v>0.11605360000000001</v>
      </c>
      <c r="X2346">
        <v>0.98854240000000004</v>
      </c>
      <c r="Y2346">
        <v>0.2420592</v>
      </c>
      <c r="Z2346">
        <v>3.1295999999999997E-2</v>
      </c>
      <c r="AA2346">
        <v>0.96975659999999997</v>
      </c>
      <c r="AB2346">
        <v>15</v>
      </c>
      <c r="AC2346">
        <v>-7.6336000000000004</v>
      </c>
      <c r="AD2346">
        <v>-1.121133399037</v>
      </c>
      <c r="AE2346">
        <v>-23.733899999999998</v>
      </c>
      <c r="AF2346">
        <v>6.0618044655838004</v>
      </c>
      <c r="AG2346">
        <v>-1.121133399037</v>
      </c>
      <c r="AH2346">
        <v>24.131268293400101</v>
      </c>
      <c r="AI2346">
        <v>92.579993571726305</v>
      </c>
      <c r="AJ2346">
        <v>75.898997585702503</v>
      </c>
      <c r="AK2346">
        <v>24.906234619577901</v>
      </c>
      <c r="AL2346">
        <v>83.335601485582401</v>
      </c>
      <c r="AM2346">
        <v>84.423550821193899</v>
      </c>
      <c r="AN2346">
        <v>1.0000000432484499</v>
      </c>
    </row>
    <row r="2347" spans="1:40" x14ac:dyDescent="0.25">
      <c r="A2347" t="str">
        <f>"20190303161920440"</f>
        <v>20190303161920440</v>
      </c>
      <c r="B2347" t="str">
        <f>"1551601160424404"</f>
        <v>1551601160424404</v>
      </c>
      <c r="C2347" t="s">
        <v>40</v>
      </c>
      <c r="D2347">
        <v>4.7716070000000004</v>
      </c>
      <c r="E2347">
        <v>0.55742320000000001</v>
      </c>
      <c r="F2347" t="s">
        <v>49</v>
      </c>
      <c r="G2347">
        <v>-199.4659</v>
      </c>
      <c r="H2347" s="1">
        <v>1.5150380000000001E-6</v>
      </c>
      <c r="I2347">
        <v>291.26150000000001</v>
      </c>
      <c r="J2347">
        <v>-192.06290000000001</v>
      </c>
      <c r="K2347">
        <v>1.1211329999999999</v>
      </c>
      <c r="L2347">
        <v>314.24130000000002</v>
      </c>
      <c r="M2347">
        <v>-6.6258549999999999E-2</v>
      </c>
      <c r="N2347">
        <v>-1.378212E-2</v>
      </c>
      <c r="O2347">
        <v>-0.99770740000000002</v>
      </c>
      <c r="P2347">
        <v>-0.16192129999999999</v>
      </c>
      <c r="Q2347">
        <v>0.1022098</v>
      </c>
      <c r="R2347">
        <v>-0.98149640000000005</v>
      </c>
      <c r="S2347">
        <v>-0.93511960000000005</v>
      </c>
      <c r="T2347">
        <v>-0.1413944</v>
      </c>
      <c r="U2347">
        <v>-2.9178160000000002</v>
      </c>
      <c r="V2347">
        <v>9.6665600000000004E-2</v>
      </c>
      <c r="W2347">
        <v>0.1157291</v>
      </c>
      <c r="X2347">
        <v>0.9885659</v>
      </c>
      <c r="Y2347">
        <v>0.24116109999999999</v>
      </c>
      <c r="Z2347">
        <v>3.2741159999999998E-2</v>
      </c>
      <c r="AA2347">
        <v>0.96993260000000003</v>
      </c>
      <c r="AB2347">
        <v>15</v>
      </c>
      <c r="AC2347">
        <v>-7.4029999999999898</v>
      </c>
      <c r="AD2347">
        <v>-1.121131484962</v>
      </c>
      <c r="AE2347">
        <v>-22.979800000000001</v>
      </c>
      <c r="AF2347">
        <v>5.8513579243665603</v>
      </c>
      <c r="AG2347">
        <v>-1.121131484962</v>
      </c>
      <c r="AH2347">
        <v>23.369455793135</v>
      </c>
      <c r="AI2347">
        <v>92.664486524690204</v>
      </c>
      <c r="AJ2347">
        <v>75.943004650607705</v>
      </c>
      <c r="AK2347">
        <v>24.116939885335999</v>
      </c>
      <c r="AL2347">
        <v>83.354319809360106</v>
      </c>
      <c r="AM2347">
        <v>84.415163420617503</v>
      </c>
      <c r="AN2347">
        <v>1.00000000072649</v>
      </c>
    </row>
    <row r="2348" spans="1:40" x14ac:dyDescent="0.25">
      <c r="A2348" t="str">
        <f>"20190303161920462"</f>
        <v>20190303161920462</v>
      </c>
      <c r="B2348" t="str">
        <f>"1551601160454660"</f>
        <v>1551601160454660</v>
      </c>
      <c r="C2348" t="s">
        <v>40</v>
      </c>
      <c r="D2348">
        <v>4.7667769999999896</v>
      </c>
      <c r="E2348">
        <v>0.55713749999999995</v>
      </c>
      <c r="F2348" t="s">
        <v>49</v>
      </c>
      <c r="G2348">
        <v>-199.41149999999999</v>
      </c>
      <c r="H2348" s="1">
        <v>1.497312E-6</v>
      </c>
      <c r="I2348">
        <v>291.3895</v>
      </c>
      <c r="J2348">
        <v>-192.0744</v>
      </c>
      <c r="K2348">
        <v>1.1211340000000001</v>
      </c>
      <c r="L2348">
        <v>314.09010000000001</v>
      </c>
      <c r="M2348">
        <v>-6.7457779999999995E-2</v>
      </c>
      <c r="N2348">
        <v>-1.377827E-2</v>
      </c>
      <c r="O2348">
        <v>-0.99762700000000004</v>
      </c>
      <c r="P2348">
        <v>-0.16326170000000001</v>
      </c>
      <c r="Q2348">
        <v>0.1026382</v>
      </c>
      <c r="R2348">
        <v>-0.98122940000000003</v>
      </c>
      <c r="S2348">
        <v>-0.93794250000000001</v>
      </c>
      <c r="T2348">
        <v>-0.14309539999999901</v>
      </c>
      <c r="U2348">
        <v>-2.916687</v>
      </c>
      <c r="V2348">
        <v>9.6830639999999996E-2</v>
      </c>
      <c r="W2348">
        <v>0.11615350000000001</v>
      </c>
      <c r="X2348">
        <v>0.98850000000000005</v>
      </c>
      <c r="Y2348">
        <v>0.2409482</v>
      </c>
      <c r="Z2348">
        <v>3.3310939999999997E-2</v>
      </c>
      <c r="AA2348">
        <v>0.9699662</v>
      </c>
      <c r="AB2348">
        <v>15</v>
      </c>
      <c r="AC2348">
        <v>-7.3370999999999897</v>
      </c>
      <c r="AD2348">
        <v>-1.1211325026879999</v>
      </c>
      <c r="AE2348">
        <v>-22.700600000000001</v>
      </c>
      <c r="AF2348">
        <v>5.7761501028999502</v>
      </c>
      <c r="AG2348">
        <v>-1.1211325026879999</v>
      </c>
      <c r="AH2348">
        <v>23.092873224658401</v>
      </c>
      <c r="AI2348">
        <v>92.696518150889204</v>
      </c>
      <c r="AJ2348">
        <v>75.956910536657304</v>
      </c>
      <c r="AK2348">
        <v>23.830686978556901</v>
      </c>
      <c r="AL2348">
        <v>83.329838570042099</v>
      </c>
      <c r="AM2348">
        <v>84.405318113300794</v>
      </c>
      <c r="AN2348">
        <v>1.00000002920252</v>
      </c>
    </row>
    <row r="2349" spans="1:40" x14ac:dyDescent="0.25">
      <c r="A2349" t="str">
        <f>"20190303161920484"</f>
        <v>20190303161920484</v>
      </c>
      <c r="B2349" t="str">
        <f>"1551601160475156"</f>
        <v>1551601160475156</v>
      </c>
      <c r="C2349" t="s">
        <v>40</v>
      </c>
      <c r="D2349">
        <v>4.7939809999999996</v>
      </c>
      <c r="E2349">
        <v>0.55700150000000004</v>
      </c>
      <c r="F2349" t="s">
        <v>49</v>
      </c>
      <c r="G2349">
        <v>-199.40450000000001</v>
      </c>
      <c r="H2349" s="1">
        <v>1.5064929999999999E-6</v>
      </c>
      <c r="I2349">
        <v>291.34089999999998</v>
      </c>
      <c r="J2349">
        <v>-192.08529999999999</v>
      </c>
      <c r="K2349">
        <v>1.1211409999999999</v>
      </c>
      <c r="L2349">
        <v>313.94799999999998</v>
      </c>
      <c r="M2349">
        <v>-6.8582180000000006E-2</v>
      </c>
      <c r="N2349">
        <v>-1.377462E-2</v>
      </c>
      <c r="O2349">
        <v>-0.99755050000000001</v>
      </c>
      <c r="P2349">
        <v>-0.1645691</v>
      </c>
      <c r="Q2349">
        <v>0.1023689</v>
      </c>
      <c r="R2349">
        <v>-0.98103929999999995</v>
      </c>
      <c r="S2349">
        <v>-0.93962100000000004</v>
      </c>
      <c r="T2349">
        <v>-0.14371239999999999</v>
      </c>
      <c r="U2349">
        <v>-2.9161069999999998</v>
      </c>
      <c r="V2349">
        <v>9.7030770000000002E-2</v>
      </c>
      <c r="W2349">
        <v>0.1158812</v>
      </c>
      <c r="X2349">
        <v>0.98851230000000001</v>
      </c>
      <c r="Y2349">
        <v>0.24041419999999999</v>
      </c>
      <c r="Z2349">
        <v>3.3521830000000002E-2</v>
      </c>
      <c r="AA2349">
        <v>0.97009140000000005</v>
      </c>
      <c r="AB2349">
        <v>15</v>
      </c>
      <c r="AC2349">
        <v>-7.3192000000000199</v>
      </c>
      <c r="AD2349">
        <v>-1.121139493507</v>
      </c>
      <c r="AE2349">
        <v>-22.607099999999999</v>
      </c>
      <c r="AF2349">
        <v>5.7385978251420999</v>
      </c>
      <c r="AG2349">
        <v>-1.121139493507</v>
      </c>
      <c r="AH2349">
        <v>23.004665089426599</v>
      </c>
      <c r="AI2349">
        <v>92.707286982635793</v>
      </c>
      <c r="AJ2349">
        <v>75.993222125946602</v>
      </c>
      <c r="AK2349">
        <v>23.736113301029501</v>
      </c>
      <c r="AL2349">
        <v>83.345546053309306</v>
      </c>
      <c r="AM2349">
        <v>84.393897898742694</v>
      </c>
      <c r="AN2349">
        <v>0.99999999504576098</v>
      </c>
    </row>
    <row r="2350" spans="1:40" x14ac:dyDescent="0.25">
      <c r="A2350" t="str">
        <f>"20190303161920508"</f>
        <v>20190303161920508</v>
      </c>
      <c r="B2350" t="str">
        <f>"1551601160494676"</f>
        <v>1551601160494676</v>
      </c>
      <c r="C2350" t="s">
        <v>40</v>
      </c>
      <c r="D2350">
        <v>4.7580419999999997</v>
      </c>
      <c r="E2350">
        <v>0.55685039999999997</v>
      </c>
      <c r="F2350" t="s">
        <v>49</v>
      </c>
      <c r="G2350">
        <v>-199.3733</v>
      </c>
      <c r="H2350" s="1">
        <v>1.4958459999999999E-6</v>
      </c>
      <c r="I2350">
        <v>291.4171</v>
      </c>
      <c r="J2350">
        <v>-192.0977</v>
      </c>
      <c r="K2350">
        <v>1.1211409999999999</v>
      </c>
      <c r="L2350">
        <v>313.78960000000001</v>
      </c>
      <c r="M2350">
        <v>-6.9829370000000002E-2</v>
      </c>
      <c r="N2350">
        <v>-1.3770340000000001E-2</v>
      </c>
      <c r="O2350">
        <v>-0.99746409999999996</v>
      </c>
      <c r="P2350">
        <v>-0.16548199999999999</v>
      </c>
      <c r="Q2350">
        <v>0.1023974</v>
      </c>
      <c r="R2350">
        <v>-0.9808827</v>
      </c>
      <c r="S2350">
        <v>-0.94288640000000001</v>
      </c>
      <c r="T2350">
        <v>-0.14504790000000001</v>
      </c>
      <c r="U2350">
        <v>-2.9149479999999999</v>
      </c>
      <c r="V2350">
        <v>9.6713049999999995E-2</v>
      </c>
      <c r="W2350">
        <v>0.1159077</v>
      </c>
      <c r="X2350">
        <v>0.98854039999999999</v>
      </c>
      <c r="Y2350">
        <v>0.24029220000000001</v>
      </c>
      <c r="Z2350">
        <v>3.3971059999999997E-2</v>
      </c>
      <c r="AA2350">
        <v>0.97010600000000002</v>
      </c>
      <c r="AB2350">
        <v>15</v>
      </c>
      <c r="AC2350">
        <v>-7.2755999999999901</v>
      </c>
      <c r="AD2350">
        <v>-1.121139504154</v>
      </c>
      <c r="AE2350">
        <v>-22.372499999999999</v>
      </c>
      <c r="AF2350">
        <v>5.6825257025727796</v>
      </c>
      <c r="AG2350">
        <v>-1.121139504154</v>
      </c>
      <c r="AH2350">
        <v>22.774253965991601</v>
      </c>
      <c r="AI2350">
        <v>92.734596179633996</v>
      </c>
      <c r="AJ2350">
        <v>75.989895059553803</v>
      </c>
      <c r="AK2350">
        <v>23.499248835987402</v>
      </c>
      <c r="AL2350">
        <v>83.344017886837506</v>
      </c>
      <c r="AM2350">
        <v>84.412296127634093</v>
      </c>
      <c r="AN2350">
        <v>1.0000000656958701</v>
      </c>
    </row>
    <row r="2351" spans="1:40" x14ac:dyDescent="0.25">
      <c r="A2351" t="str">
        <f>"20190303161920530"</f>
        <v>20190303161920530</v>
      </c>
      <c r="B2351" t="str">
        <f>"1551601160524932"</f>
        <v>1551601160524932</v>
      </c>
      <c r="C2351" t="s">
        <v>40</v>
      </c>
      <c r="D2351">
        <v>4.773911</v>
      </c>
      <c r="E2351">
        <v>0.55661479999999997</v>
      </c>
      <c r="F2351" t="s">
        <v>49</v>
      </c>
      <c r="G2351">
        <v>-199.40170000000001</v>
      </c>
      <c r="H2351" s="1">
        <v>1.5218410000000001E-6</v>
      </c>
      <c r="I2351">
        <v>291.25510000000003</v>
      </c>
      <c r="J2351">
        <v>-192.10929999999999</v>
      </c>
      <c r="K2351">
        <v>1.121148</v>
      </c>
      <c r="L2351">
        <v>313.64429999999999</v>
      </c>
      <c r="M2351">
        <v>-7.0967379999999997E-2</v>
      </c>
      <c r="N2351">
        <v>-1.3766520000000001E-2</v>
      </c>
      <c r="O2351">
        <v>-0.99738369999999998</v>
      </c>
      <c r="P2351">
        <v>-0.1658598</v>
      </c>
      <c r="Q2351">
        <v>0.1026972</v>
      </c>
      <c r="R2351">
        <v>-0.98078750000000003</v>
      </c>
      <c r="S2351">
        <v>-0.94459530000000003</v>
      </c>
      <c r="T2351">
        <v>-0.1449916</v>
      </c>
      <c r="U2351">
        <v>-2.9142760000000001</v>
      </c>
      <c r="V2351">
        <v>9.5965480000000006E-2</v>
      </c>
      <c r="W2351">
        <v>0.1162065</v>
      </c>
      <c r="X2351">
        <v>0.98857810000000002</v>
      </c>
      <c r="Y2351">
        <v>0.23976529999999999</v>
      </c>
      <c r="Z2351">
        <v>3.3962720000000002E-2</v>
      </c>
      <c r="AA2351">
        <v>0.97023669999999995</v>
      </c>
      <c r="AB2351">
        <v>15</v>
      </c>
      <c r="AC2351">
        <v>-7.2924000000000104</v>
      </c>
      <c r="AD2351">
        <v>-1.1211464781589999</v>
      </c>
      <c r="AE2351">
        <v>-22.389199999999899</v>
      </c>
      <c r="AF2351">
        <v>5.6720975400750202</v>
      </c>
      <c r="AG2351">
        <v>-1.1211464781589999</v>
      </c>
      <c r="AH2351">
        <v>22.798624257975099</v>
      </c>
      <c r="AI2351">
        <v>92.732157838609794</v>
      </c>
      <c r="AJ2351">
        <v>76.028959049583804</v>
      </c>
      <c r="AK2351">
        <v>23.520351357620999</v>
      </c>
      <c r="AL2351">
        <v>83.326780939691801</v>
      </c>
      <c r="AM2351">
        <v>84.4554277472145</v>
      </c>
      <c r="AN2351">
        <v>0.99999999189674504</v>
      </c>
    </row>
    <row r="2352" spans="1:40" x14ac:dyDescent="0.25">
      <c r="A2352" t="str">
        <f>"20190303161920553"</f>
        <v>20190303161920553</v>
      </c>
      <c r="B2352" t="str">
        <f>"1551601160544452"</f>
        <v>1551601160544452</v>
      </c>
      <c r="C2352" t="s">
        <v>40</v>
      </c>
      <c r="D2352">
        <v>4.8768750000000001</v>
      </c>
      <c r="E2352">
        <v>0.53641459999999996</v>
      </c>
      <c r="F2352" t="s">
        <v>49</v>
      </c>
      <c r="G2352">
        <v>-199.44130000000001</v>
      </c>
      <c r="H2352" s="1">
        <v>1.5617119999999999E-6</v>
      </c>
      <c r="I2352">
        <v>291.00889999999998</v>
      </c>
      <c r="J2352">
        <v>-192.12139999999999</v>
      </c>
      <c r="K2352">
        <v>1.1211519999999999</v>
      </c>
      <c r="L2352">
        <v>313.49340000000001</v>
      </c>
      <c r="M2352">
        <v>-7.2143379999999993E-2</v>
      </c>
      <c r="N2352">
        <v>-1.376261E-2</v>
      </c>
      <c r="O2352">
        <v>-0.99729939999999995</v>
      </c>
      <c r="P2352">
        <v>-0.167158</v>
      </c>
      <c r="Q2352">
        <v>0.1030595</v>
      </c>
      <c r="R2352">
        <v>-0.98052899999999998</v>
      </c>
      <c r="S2352">
        <v>-0.94396970000000002</v>
      </c>
      <c r="T2352">
        <v>-0.1443439</v>
      </c>
      <c r="U2352">
        <v>-2.9142459999999999</v>
      </c>
      <c r="V2352">
        <v>9.6109940000000005E-2</v>
      </c>
      <c r="W2352">
        <v>0.1165655</v>
      </c>
      <c r="X2352">
        <v>0.98852180000000001</v>
      </c>
      <c r="Y2352">
        <v>0.23843790000000001</v>
      </c>
      <c r="Z2352">
        <v>3.3760709999999999E-2</v>
      </c>
      <c r="AA2352">
        <v>0.97057070000000001</v>
      </c>
      <c r="AB2352">
        <v>15</v>
      </c>
      <c r="AC2352">
        <v>-7.3199000000000103</v>
      </c>
      <c r="AD2352">
        <v>-1.121150438288</v>
      </c>
      <c r="AE2352">
        <v>-22.484500000000001</v>
      </c>
      <c r="AF2352">
        <v>5.6658241430930296</v>
      </c>
      <c r="AG2352">
        <v>-1.121150438288</v>
      </c>
      <c r="AH2352">
        <v>22.902545894733301</v>
      </c>
      <c r="AI2352">
        <v>92.720679244195196</v>
      </c>
      <c r="AJ2352">
        <v>76.104674617668394</v>
      </c>
      <c r="AK2352">
        <v>23.619592502541</v>
      </c>
      <c r="AL2352">
        <v>83.3060710165784</v>
      </c>
      <c r="AM2352">
        <v>84.446819166800097</v>
      </c>
      <c r="AN2352">
        <v>0.99999999271614604</v>
      </c>
    </row>
    <row r="2353" spans="1:40" x14ac:dyDescent="0.25">
      <c r="A2353" t="str">
        <f>"20190303161920575"</f>
        <v>20190303161920575</v>
      </c>
      <c r="B2353" t="str">
        <f>"1551601160564949"</f>
        <v>1551601160564949</v>
      </c>
      <c r="C2353" t="s">
        <v>40</v>
      </c>
      <c r="D2353">
        <v>4.8364310000000001</v>
      </c>
      <c r="E2353">
        <v>0.52991239999999995</v>
      </c>
      <c r="F2353" t="s">
        <v>42</v>
      </c>
      <c r="G2353">
        <v>-192.33609999999999</v>
      </c>
      <c r="H2353">
        <v>1.0332250000000001</v>
      </c>
      <c r="I2353">
        <v>312.68860000000001</v>
      </c>
      <c r="J2353">
        <v>-192.13319999999999</v>
      </c>
      <c r="K2353">
        <v>1.121165</v>
      </c>
      <c r="L2353">
        <v>313.34949999999998</v>
      </c>
      <c r="M2353">
        <v>-7.3258439999999994E-2</v>
      </c>
      <c r="N2353">
        <v>-1.375874E-2</v>
      </c>
      <c r="O2353">
        <v>-0.9972181</v>
      </c>
      <c r="P2353">
        <v>-0.1683125</v>
      </c>
      <c r="Q2353">
        <v>0.10344449999999999</v>
      </c>
      <c r="R2353">
        <v>-0.98029100000000002</v>
      </c>
      <c r="S2353">
        <v>-0.78932190000000002</v>
      </c>
      <c r="T2353">
        <v>-0.32332359999999999</v>
      </c>
      <c r="U2353">
        <v>-2.9589539999999999</v>
      </c>
      <c r="V2353">
        <v>9.6170459999999999E-2</v>
      </c>
      <c r="W2353">
        <v>0.1169477</v>
      </c>
      <c r="X2353">
        <v>0.98847079999999998</v>
      </c>
      <c r="Y2353">
        <v>0.18502189999999999</v>
      </c>
      <c r="Z2353">
        <v>9.1871599999999998E-2</v>
      </c>
      <c r="AA2353">
        <v>0.97843060000000004</v>
      </c>
      <c r="AB2353">
        <v>15</v>
      </c>
      <c r="AC2353">
        <v>-0.202899999999999</v>
      </c>
      <c r="AD2353">
        <v>-8.7939999999999893E-2</v>
      </c>
      <c r="AE2353">
        <v>-0.66089999999996896</v>
      </c>
      <c r="AF2353">
        <v>0.151482598278952</v>
      </c>
      <c r="AG2353">
        <v>-8.7939999999999893E-2</v>
      </c>
      <c r="AH2353">
        <v>0.66325772024454299</v>
      </c>
      <c r="AI2353">
        <v>97.365189210491494</v>
      </c>
      <c r="AJ2353">
        <v>77.134781936282096</v>
      </c>
      <c r="AK2353">
        <v>0.68599651941196604</v>
      </c>
      <c r="AL2353">
        <v>83.284021963599002</v>
      </c>
      <c r="AM2353">
        <v>84.4430593314042</v>
      </c>
      <c r="AN2353">
        <v>1.00000002218227</v>
      </c>
    </row>
    <row r="2354" spans="1:40" x14ac:dyDescent="0.25">
      <c r="A2354" t="str">
        <f>"20190303161920596"</f>
        <v>20190303161920596</v>
      </c>
      <c r="B2354" t="str">
        <f>"1551601160584467"</f>
        <v>1551601160584467</v>
      </c>
      <c r="C2354" t="s">
        <v>40</v>
      </c>
      <c r="D2354">
        <v>4.7073859999999996</v>
      </c>
      <c r="E2354">
        <v>0.50786450000000005</v>
      </c>
      <c r="F2354" t="s">
        <v>42</v>
      </c>
      <c r="G2354">
        <v>-192.3271</v>
      </c>
      <c r="H2354">
        <v>1.0257969999999901</v>
      </c>
      <c r="I2354">
        <v>312.57279999999997</v>
      </c>
      <c r="J2354">
        <v>-192.14500000000001</v>
      </c>
      <c r="K2354">
        <v>1.1211739999999999</v>
      </c>
      <c r="L2354">
        <v>313.2072</v>
      </c>
      <c r="M2354">
        <v>-7.4353939999999993E-2</v>
      </c>
      <c r="N2354">
        <v>-1.3754809999999999E-2</v>
      </c>
      <c r="O2354">
        <v>-0.9971371</v>
      </c>
      <c r="P2354">
        <v>-0.16955580000000001</v>
      </c>
      <c r="Q2354">
        <v>0.10323690000000001</v>
      </c>
      <c r="R2354">
        <v>-0.98009860000000004</v>
      </c>
      <c r="S2354">
        <v>-0.7415619</v>
      </c>
      <c r="T2354">
        <v>-0.36494349999999998</v>
      </c>
      <c r="U2354">
        <v>-2.9714360000000002</v>
      </c>
      <c r="V2354">
        <v>9.633506E-2</v>
      </c>
      <c r="W2354">
        <v>0.11673740000000001</v>
      </c>
      <c r="X2354">
        <v>0.98847960000000001</v>
      </c>
      <c r="Y2354">
        <v>0.16782269999999999</v>
      </c>
      <c r="Z2354">
        <v>0.105201</v>
      </c>
      <c r="AA2354">
        <v>0.9801879</v>
      </c>
      <c r="AB2354">
        <v>15</v>
      </c>
      <c r="AC2354">
        <v>-0.18209999999999099</v>
      </c>
      <c r="AD2354">
        <v>-9.5377000000000003E-2</v>
      </c>
      <c r="AE2354">
        <v>-0.63440000000002705</v>
      </c>
      <c r="AF2354">
        <v>0.131671645745597</v>
      </c>
      <c r="AG2354">
        <v>-9.5377000000000003E-2</v>
      </c>
      <c r="AH2354">
        <v>0.63296699876888896</v>
      </c>
      <c r="AI2354">
        <v>98.3919883550126</v>
      </c>
      <c r="AJ2354">
        <v>78.248757465646307</v>
      </c>
      <c r="AK2354">
        <v>0.65351466391569901</v>
      </c>
      <c r="AL2354">
        <v>83.2961541638754</v>
      </c>
      <c r="AM2354">
        <v>84.433657307934098</v>
      </c>
      <c r="AN2354">
        <v>0.99999999198006095</v>
      </c>
    </row>
    <row r="2355" spans="1:40" x14ac:dyDescent="0.25">
      <c r="A2355" t="str">
        <f>"20190303161920618"</f>
        <v>20190303161920618</v>
      </c>
      <c r="B2355" t="str">
        <f>"1551601160604963"</f>
        <v>1551601160604963</v>
      </c>
      <c r="C2355" t="s">
        <v>40</v>
      </c>
      <c r="D2355">
        <v>4.9152699999999996</v>
      </c>
      <c r="E2355">
        <v>0.50787360000000004</v>
      </c>
      <c r="F2355" t="s">
        <v>42</v>
      </c>
      <c r="G2355">
        <v>-192.28440000000001</v>
      </c>
      <c r="H2355">
        <v>0.96117280000000005</v>
      </c>
      <c r="I2355">
        <v>312.47070000000002</v>
      </c>
      <c r="J2355">
        <v>-192.15700000000001</v>
      </c>
      <c r="K2355">
        <v>1.121183</v>
      </c>
      <c r="L2355">
        <v>313.06380000000001</v>
      </c>
      <c r="M2355">
        <v>-7.5449489999999994E-2</v>
      </c>
      <c r="N2355">
        <v>-1.375095E-2</v>
      </c>
      <c r="O2355">
        <v>-0.99705509999999997</v>
      </c>
      <c r="P2355">
        <v>-0.170572</v>
      </c>
      <c r="Q2355">
        <v>0.1036446</v>
      </c>
      <c r="R2355">
        <v>-0.97987930000000001</v>
      </c>
      <c r="S2355">
        <v>-0.57382200000000005</v>
      </c>
      <c r="T2355">
        <v>-0.65855160000000001</v>
      </c>
      <c r="U2355">
        <v>-3.030945</v>
      </c>
      <c r="V2355">
        <v>9.6275840000000001E-2</v>
      </c>
      <c r="W2355">
        <v>0.1171423</v>
      </c>
      <c r="X2355">
        <v>0.98843749999999997</v>
      </c>
      <c r="Y2355">
        <v>0.10757460000000001</v>
      </c>
      <c r="Z2355">
        <v>0.19568179999999999</v>
      </c>
      <c r="AA2355">
        <v>0.97474939999999999</v>
      </c>
      <c r="AB2355">
        <v>15</v>
      </c>
      <c r="AC2355">
        <v>-0.12739999999999399</v>
      </c>
      <c r="AD2355">
        <v>-0.16001019999999999</v>
      </c>
      <c r="AE2355">
        <v>-0.59309999999999197</v>
      </c>
      <c r="AF2355">
        <v>7.6931051492272404E-2</v>
      </c>
      <c r="AG2355">
        <v>-0.16001019999999999</v>
      </c>
      <c r="AH2355">
        <v>0.561926591590998</v>
      </c>
      <c r="AI2355">
        <v>105.754884251807</v>
      </c>
      <c r="AJ2355">
        <v>82.204335398628601</v>
      </c>
      <c r="AK2355">
        <v>0.58930734351849301</v>
      </c>
      <c r="AL2355">
        <v>83.272795047786005</v>
      </c>
      <c r="AM2355">
        <v>84.436822179270393</v>
      </c>
      <c r="AN2355">
        <v>1.00000002361162</v>
      </c>
    </row>
    <row r="2356" spans="1:40" x14ac:dyDescent="0.25">
      <c r="A2356" t="str">
        <f>"20190303161920642"</f>
        <v>20190303161920642</v>
      </c>
      <c r="B2356" t="str">
        <f>"1551601160635220"</f>
        <v>1551601160635220</v>
      </c>
      <c r="C2356" t="s">
        <v>40</v>
      </c>
      <c r="D2356">
        <v>4.7151690000000004</v>
      </c>
      <c r="E2356">
        <v>0.5077701</v>
      </c>
      <c r="F2356" t="s">
        <v>42</v>
      </c>
      <c r="G2356">
        <v>-192.2961</v>
      </c>
      <c r="H2356">
        <v>0.97022940000000002</v>
      </c>
      <c r="I2356">
        <v>312.33569999999997</v>
      </c>
      <c r="J2356">
        <v>-192.16990000000001</v>
      </c>
      <c r="K2356">
        <v>1.121189</v>
      </c>
      <c r="L2356">
        <v>312.91120000000001</v>
      </c>
      <c r="M2356">
        <v>-7.6608689999999993E-2</v>
      </c>
      <c r="N2356">
        <v>-1.374673E-2</v>
      </c>
      <c r="O2356">
        <v>-0.99696680000000004</v>
      </c>
      <c r="P2356">
        <v>-0.1715932</v>
      </c>
      <c r="Q2356">
        <v>0.1048051</v>
      </c>
      <c r="R2356">
        <v>-0.97957740000000004</v>
      </c>
      <c r="S2356">
        <v>-0.57771300000000003</v>
      </c>
      <c r="T2356">
        <v>-0.62765550000000003</v>
      </c>
      <c r="U2356">
        <v>-3.027466</v>
      </c>
      <c r="V2356">
        <v>9.6165810000000004E-2</v>
      </c>
      <c r="W2356">
        <v>0.11829870000000001</v>
      </c>
      <c r="X2356">
        <v>0.98831049999999998</v>
      </c>
      <c r="Y2356">
        <v>0.1081781</v>
      </c>
      <c r="Z2356">
        <v>0.18641949999999999</v>
      </c>
      <c r="AA2356">
        <v>0.97649649999999999</v>
      </c>
      <c r="AB2356">
        <v>15</v>
      </c>
      <c r="AC2356">
        <v>-0.12619999999998299</v>
      </c>
      <c r="AD2356">
        <v>-0.150959599999999</v>
      </c>
      <c r="AE2356">
        <v>-0.57550000000003299</v>
      </c>
      <c r="AF2356">
        <v>7.6701187005872806E-2</v>
      </c>
      <c r="AG2356">
        <v>-0.150959599999999</v>
      </c>
      <c r="AH2356">
        <v>0.54753197969684497</v>
      </c>
      <c r="AI2356">
        <v>105.271961429965</v>
      </c>
      <c r="AJ2356">
        <v>82.025595730914503</v>
      </c>
      <c r="AK2356">
        <v>0.57311704015062703</v>
      </c>
      <c r="AL2356">
        <v>83.2060744265534</v>
      </c>
      <c r="AM2356">
        <v>84.442430708841101</v>
      </c>
      <c r="AN2356">
        <v>1.00000004492244</v>
      </c>
    </row>
    <row r="2357" spans="1:40" x14ac:dyDescent="0.25">
      <c r="A2357" t="str">
        <f>"20190303161920663"</f>
        <v>20190303161920663</v>
      </c>
      <c r="B2357" t="str">
        <f>"1551601160654740"</f>
        <v>1551601160654740</v>
      </c>
      <c r="C2357" t="s">
        <v>40</v>
      </c>
      <c r="D2357">
        <v>4.7154199999999999</v>
      </c>
      <c r="E2357">
        <v>0.50714479999999995</v>
      </c>
      <c r="F2357" t="s">
        <v>42</v>
      </c>
      <c r="G2357">
        <v>-192.3064</v>
      </c>
      <c r="H2357">
        <v>0.9821299</v>
      </c>
      <c r="I2357">
        <v>312.19929999999999</v>
      </c>
      <c r="J2357">
        <v>-192.18219999999999</v>
      </c>
      <c r="K2357">
        <v>1.1211960000000001</v>
      </c>
      <c r="L2357">
        <v>312.7679</v>
      </c>
      <c r="M2357">
        <v>-7.7690389999999998E-2</v>
      </c>
      <c r="N2357">
        <v>-1.3742819999999999E-2</v>
      </c>
      <c r="O2357">
        <v>-0.99688279999999996</v>
      </c>
      <c r="P2357">
        <v>-0.17244509999999999</v>
      </c>
      <c r="Q2357">
        <v>0.10516979999999999</v>
      </c>
      <c r="R2357">
        <v>-0.9793887</v>
      </c>
      <c r="S2357">
        <v>-0.57948299999999997</v>
      </c>
      <c r="T2357">
        <v>-0.59084759999999903</v>
      </c>
      <c r="U2357">
        <v>-3.0242610000000001</v>
      </c>
      <c r="V2357">
        <v>9.5954570000000003E-2</v>
      </c>
      <c r="W2357">
        <v>0.1186604</v>
      </c>
      <c r="X2357">
        <v>0.98828760000000004</v>
      </c>
      <c r="Y2357">
        <v>0.10823720000000001</v>
      </c>
      <c r="Z2357">
        <v>0.17526659999999999</v>
      </c>
      <c r="AA2357">
        <v>0.97855320000000001</v>
      </c>
      <c r="AB2357">
        <v>15</v>
      </c>
      <c r="AC2357">
        <v>-0.124200000000001</v>
      </c>
      <c r="AD2357">
        <v>-0.139066099999999</v>
      </c>
      <c r="AE2357">
        <v>-0.56860000000000299</v>
      </c>
      <c r="AF2357">
        <v>7.5343958376044295E-2</v>
      </c>
      <c r="AG2357">
        <v>-0.139066099999999</v>
      </c>
      <c r="AH2357">
        <v>0.54539276454475305</v>
      </c>
      <c r="AI2357">
        <v>104.17553298380599</v>
      </c>
      <c r="AJ2357">
        <v>82.134587029157302</v>
      </c>
      <c r="AK2357">
        <v>0.56786385679205698</v>
      </c>
      <c r="AL2357">
        <v>83.185203062099305</v>
      </c>
      <c r="AM2357">
        <v>84.454434718189901</v>
      </c>
      <c r="AN2357">
        <v>0.99999997517290196</v>
      </c>
    </row>
    <row r="2358" spans="1:40" x14ac:dyDescent="0.25">
      <c r="A2358" t="str">
        <f>"20190303161920685"</f>
        <v>20190303161920685</v>
      </c>
      <c r="B2358" t="str">
        <f>"1551601160675236"</f>
        <v>1551601160675236</v>
      </c>
      <c r="C2358" t="s">
        <v>40</v>
      </c>
      <c r="D2358">
        <v>4.7061140000000004</v>
      </c>
      <c r="E2358">
        <v>0.50682640000000001</v>
      </c>
      <c r="F2358" t="s">
        <v>42</v>
      </c>
      <c r="G2358">
        <v>-192.31630000000001</v>
      </c>
      <c r="H2358">
        <v>0.98739900000000003</v>
      </c>
      <c r="I2358">
        <v>312.06659999999999</v>
      </c>
      <c r="J2358">
        <v>-192.1944</v>
      </c>
      <c r="K2358">
        <v>1.121208</v>
      </c>
      <c r="L2358">
        <v>312.6284</v>
      </c>
      <c r="M2358">
        <v>-7.8739890000000007E-2</v>
      </c>
      <c r="N2358">
        <v>-1.373893E-2</v>
      </c>
      <c r="O2358">
        <v>-0.99680040000000003</v>
      </c>
      <c r="P2358">
        <v>-0.17332020000000001</v>
      </c>
      <c r="Q2358">
        <v>0.1054879</v>
      </c>
      <c r="R2358">
        <v>-0.97920019999999997</v>
      </c>
      <c r="S2358">
        <v>-0.57681269999999996</v>
      </c>
      <c r="T2358">
        <v>-0.57681740000000004</v>
      </c>
      <c r="U2358">
        <v>-3.0234990000000002</v>
      </c>
      <c r="V2358">
        <v>9.5798850000000005E-2</v>
      </c>
      <c r="W2358">
        <v>0.1189757</v>
      </c>
      <c r="X2358">
        <v>0.98826480000000005</v>
      </c>
      <c r="Y2358">
        <v>0.1065493</v>
      </c>
      <c r="Z2358">
        <v>0.1709888</v>
      </c>
      <c r="AA2358">
        <v>0.9794948</v>
      </c>
      <c r="AB2358">
        <v>15</v>
      </c>
      <c r="AC2358">
        <v>-0.12190000000001</v>
      </c>
      <c r="AD2358">
        <v>-0.13380899999999901</v>
      </c>
      <c r="AE2358">
        <v>-0.56180000000000496</v>
      </c>
      <c r="AF2358">
        <v>7.3309407899008597E-2</v>
      </c>
      <c r="AG2358">
        <v>-0.13380899999999901</v>
      </c>
      <c r="AH2358">
        <v>0.54037782960943803</v>
      </c>
      <c r="AI2358">
        <v>103.786486713008</v>
      </c>
      <c r="AJ2358">
        <v>82.274234759598798</v>
      </c>
      <c r="AK2358">
        <v>0.56150451155882097</v>
      </c>
      <c r="AL2358">
        <v>83.1670088199362</v>
      </c>
      <c r="AM2358">
        <v>84.463251440924395</v>
      </c>
      <c r="AN2358">
        <v>0.999999975885425</v>
      </c>
    </row>
    <row r="2359" spans="1:40" x14ac:dyDescent="0.25">
      <c r="A2359" t="str">
        <f>"20190303161920707"</f>
        <v>20190303161920707</v>
      </c>
      <c r="B2359" t="str">
        <f>"1551601160694756"</f>
        <v>1551601160694756</v>
      </c>
      <c r="C2359" t="s">
        <v>40</v>
      </c>
      <c r="D2359">
        <v>4.7156339999999997</v>
      </c>
      <c r="E2359">
        <v>0.50662779999999996</v>
      </c>
      <c r="F2359" t="s">
        <v>42</v>
      </c>
      <c r="G2359">
        <v>-192.34970000000001</v>
      </c>
      <c r="H2359">
        <v>0.96935610000000005</v>
      </c>
      <c r="I2359">
        <v>311.81709999999998</v>
      </c>
      <c r="J2359">
        <v>-192.20699999999999</v>
      </c>
      <c r="K2359">
        <v>1.1212139999999999</v>
      </c>
      <c r="L2359">
        <v>312.48570000000001</v>
      </c>
      <c r="M2359">
        <v>-7.9811480000000004E-2</v>
      </c>
      <c r="N2359">
        <v>-1.3735249999999999E-2</v>
      </c>
      <c r="O2359">
        <v>-0.99671529999999997</v>
      </c>
      <c r="P2359">
        <v>-0.174349</v>
      </c>
      <c r="Q2359">
        <v>0.1057376</v>
      </c>
      <c r="R2359">
        <v>-0.97899029999999998</v>
      </c>
      <c r="S2359">
        <v>-0.57769780000000004</v>
      </c>
      <c r="T2359">
        <v>-0.56568399999999996</v>
      </c>
      <c r="U2359">
        <v>-3.0223689999999999</v>
      </c>
      <c r="V2359">
        <v>9.5776470000000002E-2</v>
      </c>
      <c r="W2359">
        <v>0.11922149999999999</v>
      </c>
      <c r="X2359">
        <v>0.98823740000000004</v>
      </c>
      <c r="Y2359">
        <v>0.105938</v>
      </c>
      <c r="Z2359">
        <v>0.1675875</v>
      </c>
      <c r="AA2359">
        <v>0.98014869999999998</v>
      </c>
      <c r="AB2359">
        <v>15</v>
      </c>
      <c r="AC2359">
        <v>-0.14270000000001901</v>
      </c>
      <c r="AD2359">
        <v>-0.15185789999999999</v>
      </c>
      <c r="AE2359">
        <v>-0.66860000000002595</v>
      </c>
      <c r="AF2359">
        <v>8.4698701259645598E-2</v>
      </c>
      <c r="AG2359">
        <v>-0.15185789999999999</v>
      </c>
      <c r="AH2359">
        <v>0.64598428155361698</v>
      </c>
      <c r="AI2359">
        <v>103.120521577753</v>
      </c>
      <c r="AJ2359">
        <v>82.530232593549201</v>
      </c>
      <c r="AK2359">
        <v>0.66897711754724698</v>
      </c>
      <c r="AL2359">
        <v>83.152824921587495</v>
      </c>
      <c r="AM2359">
        <v>84.464384347327794</v>
      </c>
      <c r="AN2359">
        <v>1.0000000285133299</v>
      </c>
    </row>
    <row r="2360" spans="1:40" x14ac:dyDescent="0.25">
      <c r="A2360" t="str">
        <f>"20190303161920730"</f>
        <v>20190303161920730</v>
      </c>
      <c r="B2360" t="str">
        <f>"1551601160725013"</f>
        <v>1551601160725013</v>
      </c>
      <c r="C2360" t="s">
        <v>40</v>
      </c>
      <c r="D2360">
        <v>4.7162449999999998</v>
      </c>
      <c r="E2360">
        <v>0.50775179999999998</v>
      </c>
      <c r="F2360" t="s">
        <v>42</v>
      </c>
      <c r="G2360">
        <v>-192.3605</v>
      </c>
      <c r="H2360">
        <v>0.97316979999999997</v>
      </c>
      <c r="I2360">
        <v>311.68599999999998</v>
      </c>
      <c r="J2360">
        <v>-192.2201</v>
      </c>
      <c r="K2360">
        <v>1.121219</v>
      </c>
      <c r="L2360">
        <v>312.33800000000002</v>
      </c>
      <c r="M2360">
        <v>-8.0918840000000006E-2</v>
      </c>
      <c r="N2360">
        <v>-1.373125E-2</v>
      </c>
      <c r="O2360">
        <v>-0.99662629999999996</v>
      </c>
      <c r="P2360">
        <v>-0.17575370000000001</v>
      </c>
      <c r="Q2360">
        <v>0.10587630000000001</v>
      </c>
      <c r="R2360">
        <v>-0.97872440000000005</v>
      </c>
      <c r="S2360">
        <v>-0.57957460000000005</v>
      </c>
      <c r="T2360">
        <v>-0.55937899999999996</v>
      </c>
      <c r="U2360">
        <v>-3.021576</v>
      </c>
      <c r="V2360">
        <v>9.6098059999999999E-2</v>
      </c>
      <c r="W2360">
        <v>0.1193559</v>
      </c>
      <c r="X2360">
        <v>0.98818989999999995</v>
      </c>
      <c r="Y2360">
        <v>0.1055319</v>
      </c>
      <c r="Z2360">
        <v>0.16565150000000001</v>
      </c>
      <c r="AA2360">
        <v>0.98052159999999999</v>
      </c>
      <c r="AB2360">
        <v>14</v>
      </c>
      <c r="AC2360">
        <v>-0.140399999999999</v>
      </c>
      <c r="AD2360">
        <v>-0.14804919999999899</v>
      </c>
      <c r="AE2360">
        <v>-0.65199999999998604</v>
      </c>
      <c r="AF2360">
        <v>8.3081560219390296E-2</v>
      </c>
      <c r="AG2360">
        <v>-0.14804919999999899</v>
      </c>
      <c r="AH2360">
        <v>0.63017150905950303</v>
      </c>
      <c r="AI2360">
        <v>103.111518897972</v>
      </c>
      <c r="AJ2360">
        <v>82.489462669605302</v>
      </c>
      <c r="AK2360">
        <v>0.65263867652741703</v>
      </c>
      <c r="AL2360">
        <v>83.145068607881896</v>
      </c>
      <c r="AM2360">
        <v>84.445648057991207</v>
      </c>
      <c r="AN2360">
        <v>0.99999997323129097</v>
      </c>
    </row>
    <row r="2361" spans="1:40" x14ac:dyDescent="0.25">
      <c r="A2361" t="str">
        <f>"20190303161920754"</f>
        <v>20190303161920754</v>
      </c>
      <c r="B2361" t="str">
        <f>"1551601160744532"</f>
        <v>1551601160744532</v>
      </c>
      <c r="C2361" t="s">
        <v>40</v>
      </c>
      <c r="D2361">
        <v>4.7141900000000003</v>
      </c>
      <c r="E2361">
        <v>0.50810159999999904</v>
      </c>
      <c r="F2361" t="s">
        <v>42</v>
      </c>
      <c r="G2361">
        <v>-192.37430000000001</v>
      </c>
      <c r="H2361">
        <v>0.97908019999999996</v>
      </c>
      <c r="I2361">
        <v>311.55439999999999</v>
      </c>
      <c r="J2361">
        <v>-192.23410000000001</v>
      </c>
      <c r="K2361">
        <v>1.1212169999999999</v>
      </c>
      <c r="L2361">
        <v>312.18349999999998</v>
      </c>
      <c r="M2361">
        <v>-8.2076830000000003E-2</v>
      </c>
      <c r="N2361">
        <v>-1.372725E-2</v>
      </c>
      <c r="O2361">
        <v>-0.99653170000000002</v>
      </c>
      <c r="P2361">
        <v>-0.17721149999999999</v>
      </c>
      <c r="Q2361">
        <v>0.10576199999999999</v>
      </c>
      <c r="R2361">
        <v>-0.97847379999999995</v>
      </c>
      <c r="S2361">
        <v>-0.59254459999999998</v>
      </c>
      <c r="T2361">
        <v>-0.54750569999999998</v>
      </c>
      <c r="U2361">
        <v>-3.0180660000000001</v>
      </c>
      <c r="V2361">
        <v>9.6421099999999996E-2</v>
      </c>
      <c r="W2361">
        <v>0.1192371</v>
      </c>
      <c r="X2361">
        <v>0.98817279999999996</v>
      </c>
      <c r="Y2361">
        <v>0.10876230000000001</v>
      </c>
      <c r="Z2361">
        <v>0.16203909999999999</v>
      </c>
      <c r="AA2361">
        <v>0.98077219999999998</v>
      </c>
      <c r="AB2361">
        <v>14</v>
      </c>
      <c r="AC2361">
        <v>-0.140199999999993</v>
      </c>
      <c r="AD2361">
        <v>-0.14213679999999901</v>
      </c>
      <c r="AE2361">
        <v>-0.629099999999994</v>
      </c>
      <c r="AF2361">
        <v>8.4002285283265102E-2</v>
      </c>
      <c r="AG2361">
        <v>-0.14213679999999901</v>
      </c>
      <c r="AH2361">
        <v>0.60887445294059805</v>
      </c>
      <c r="AI2361">
        <v>103.020846486256</v>
      </c>
      <c r="AJ2361">
        <v>82.144876562113794</v>
      </c>
      <c r="AK2361">
        <v>0.63086238855297405</v>
      </c>
      <c r="AL2361">
        <v>83.1519244800173</v>
      </c>
      <c r="AM2361">
        <v>84.426998249105495</v>
      </c>
      <c r="AN2361">
        <v>0.99999999860072997</v>
      </c>
    </row>
    <row r="2362" spans="1:40" x14ac:dyDescent="0.25">
      <c r="A2362" t="str">
        <f>"20190303161920776"</f>
        <v>20190303161920776</v>
      </c>
      <c r="B2362" t="str">
        <f>"1551601160765028"</f>
        <v>1551601160765028</v>
      </c>
      <c r="C2362" t="s">
        <v>40</v>
      </c>
      <c r="D2362">
        <v>4.6953170000000002</v>
      </c>
      <c r="E2362">
        <v>0.5028994</v>
      </c>
      <c r="F2362" t="s">
        <v>42</v>
      </c>
      <c r="G2362">
        <v>-192.38499999999999</v>
      </c>
      <c r="H2362">
        <v>0.98262510000000003</v>
      </c>
      <c r="I2362">
        <v>311.4239</v>
      </c>
      <c r="J2362">
        <v>-192.24690000000001</v>
      </c>
      <c r="K2362">
        <v>1.1212139999999999</v>
      </c>
      <c r="L2362">
        <v>312.04270000000002</v>
      </c>
      <c r="M2362">
        <v>-8.313334E-2</v>
      </c>
      <c r="N2362">
        <v>-1.3723600000000001E-2</v>
      </c>
      <c r="O2362">
        <v>-0.9964442</v>
      </c>
      <c r="P2362">
        <v>-0.17838589999999999</v>
      </c>
      <c r="Q2362">
        <v>0.1057496</v>
      </c>
      <c r="R2362">
        <v>-0.97826170000000001</v>
      </c>
      <c r="S2362">
        <v>-0.59931950000000001</v>
      </c>
      <c r="T2362">
        <v>-0.55045200000000005</v>
      </c>
      <c r="U2362">
        <v>-3.0169679999999999</v>
      </c>
      <c r="V2362">
        <v>9.6559729999999996E-2</v>
      </c>
      <c r="W2362">
        <v>0.11922099999999999</v>
      </c>
      <c r="X2362">
        <v>0.98816119999999996</v>
      </c>
      <c r="Y2362">
        <v>0.1098642</v>
      </c>
      <c r="Z2362">
        <v>0.16295270000000001</v>
      </c>
      <c r="AA2362">
        <v>0.98049799999999998</v>
      </c>
      <c r="AB2362">
        <v>14</v>
      </c>
      <c r="AC2362">
        <v>-0.13809999999997999</v>
      </c>
      <c r="AD2362">
        <v>-0.13858889999999899</v>
      </c>
      <c r="AE2362">
        <v>-0.618800000000021</v>
      </c>
      <c r="AF2362">
        <v>8.2244476758766699E-2</v>
      </c>
      <c r="AG2362">
        <v>-0.13858889999999899</v>
      </c>
      <c r="AH2362">
        <v>0.59949542423172297</v>
      </c>
      <c r="AI2362">
        <v>102.9000051104</v>
      </c>
      <c r="AJ2362">
        <v>82.188384522849205</v>
      </c>
      <c r="AK2362">
        <v>0.62077838302836197</v>
      </c>
      <c r="AL2362">
        <v>83.152853529165299</v>
      </c>
      <c r="AM2362">
        <v>84.418971082349202</v>
      </c>
      <c r="AN2362">
        <v>0.99999999274205598</v>
      </c>
    </row>
    <row r="2363" spans="1:40" x14ac:dyDescent="0.25">
      <c r="A2363" t="str">
        <f>"20190303161920797"</f>
        <v>20190303161920797</v>
      </c>
      <c r="B2363" t="str">
        <f>"1551601160784548"</f>
        <v>1551601160784548</v>
      </c>
      <c r="C2363" t="s">
        <v>40</v>
      </c>
      <c r="D2363">
        <v>4.6982799999999996</v>
      </c>
      <c r="E2363">
        <v>0.50396090000000004</v>
      </c>
      <c r="F2363" t="s">
        <v>42</v>
      </c>
      <c r="G2363">
        <v>-192.38</v>
      </c>
      <c r="H2363">
        <v>0.92654369999999997</v>
      </c>
      <c r="I2363">
        <v>311.32209999999998</v>
      </c>
      <c r="J2363">
        <v>-192.25919999999999</v>
      </c>
      <c r="K2363">
        <v>1.121219</v>
      </c>
      <c r="L2363">
        <v>311.90989999999999</v>
      </c>
      <c r="M2363">
        <v>-8.4131059999999994E-2</v>
      </c>
      <c r="N2363">
        <v>-1.3720069999999999E-2</v>
      </c>
      <c r="O2363">
        <v>-0.99636040000000003</v>
      </c>
      <c r="P2363">
        <v>-0.17964720000000001</v>
      </c>
      <c r="Q2363">
        <v>0.1054557</v>
      </c>
      <c r="R2363">
        <v>-0.97806249999999995</v>
      </c>
      <c r="S2363">
        <v>-0.56285099999999999</v>
      </c>
      <c r="T2363">
        <v>-0.82471260000000002</v>
      </c>
      <c r="U2363">
        <v>-3.0531619999999999</v>
      </c>
      <c r="V2363">
        <v>9.6841860000000002E-2</v>
      </c>
      <c r="W2363">
        <v>0.11892320000000001</v>
      </c>
      <c r="X2363">
        <v>0.98816950000000003</v>
      </c>
      <c r="Y2363">
        <v>9.2245919999999995E-2</v>
      </c>
      <c r="Z2363">
        <v>0.24368670000000001</v>
      </c>
      <c r="AA2363">
        <v>0.96545709999999996</v>
      </c>
      <c r="AB2363">
        <v>14</v>
      </c>
      <c r="AC2363">
        <v>-0.120800000000002</v>
      </c>
      <c r="AD2363">
        <v>-0.1946753</v>
      </c>
      <c r="AE2363">
        <v>-0.58780000000001498</v>
      </c>
      <c r="AF2363">
        <v>6.4162095566054206E-2</v>
      </c>
      <c r="AG2363">
        <v>-0.1946753</v>
      </c>
      <c r="AH2363">
        <v>0.53913863141055596</v>
      </c>
      <c r="AI2363">
        <v>109.72557967928699</v>
      </c>
      <c r="AJ2363">
        <v>83.213233820274198</v>
      </c>
      <c r="AK2363">
        <v>0.57678913895527195</v>
      </c>
      <c r="AL2363">
        <v>83.1700386396179</v>
      </c>
      <c r="AM2363">
        <v>84.402814444155098</v>
      </c>
      <c r="AN2363">
        <v>1.00000001703837</v>
      </c>
    </row>
    <row r="2364" spans="1:40" x14ac:dyDescent="0.25">
      <c r="A2364" t="str">
        <f>"20190303161920823"</f>
        <v>20190303161920823</v>
      </c>
      <c r="B2364" t="str">
        <f>"1551601160814805"</f>
        <v>1551601160814805</v>
      </c>
      <c r="C2364" t="s">
        <v>40</v>
      </c>
      <c r="D2364">
        <v>4.64459</v>
      </c>
      <c r="E2364">
        <v>0.51092929999999903</v>
      </c>
      <c r="F2364" t="s">
        <v>42</v>
      </c>
      <c r="G2364">
        <v>-192.39400000000001</v>
      </c>
      <c r="H2364">
        <v>0.9241163</v>
      </c>
      <c r="I2364">
        <v>311.19549999999998</v>
      </c>
      <c r="J2364">
        <v>-192.27459999999999</v>
      </c>
      <c r="K2364">
        <v>1.1212070000000001</v>
      </c>
      <c r="L2364">
        <v>311.74560000000002</v>
      </c>
      <c r="M2364">
        <v>-8.5367390000000001E-2</v>
      </c>
      <c r="N2364">
        <v>-1.37159E-2</v>
      </c>
      <c r="O2364">
        <v>-0.99625520000000001</v>
      </c>
      <c r="P2364">
        <v>-0.1813842</v>
      </c>
      <c r="Q2364">
        <v>0.1054643</v>
      </c>
      <c r="R2364">
        <v>-0.97774070000000002</v>
      </c>
      <c r="S2364">
        <v>-0.57507319999999995</v>
      </c>
      <c r="T2364">
        <v>-0.84205289999999999</v>
      </c>
      <c r="U2364">
        <v>-3.05246</v>
      </c>
      <c r="V2364">
        <v>9.7371579999999999E-2</v>
      </c>
      <c r="W2364">
        <v>0.1189265</v>
      </c>
      <c r="X2364">
        <v>0.98811700000000002</v>
      </c>
      <c r="Y2364">
        <v>9.4544020000000006E-2</v>
      </c>
      <c r="Z2364">
        <v>0.24864130000000001</v>
      </c>
      <c r="AA2364">
        <v>0.96397040000000001</v>
      </c>
      <c r="AB2364">
        <v>14</v>
      </c>
      <c r="AC2364">
        <v>-0.119400000000013</v>
      </c>
      <c r="AD2364">
        <v>-0.19709070000000001</v>
      </c>
      <c r="AE2364">
        <v>-0.550100000000043</v>
      </c>
      <c r="AF2364">
        <v>6.4136521757265294E-2</v>
      </c>
      <c r="AG2364">
        <v>-0.19709070000000001</v>
      </c>
      <c r="AH2364">
        <v>0.49731885977678397</v>
      </c>
      <c r="AI2364">
        <v>111.457377520088</v>
      </c>
      <c r="AJ2364">
        <v>82.651434397365094</v>
      </c>
      <c r="AK2364">
        <v>0.53878036873970303</v>
      </c>
      <c r="AL2364">
        <v>83.169847898530307</v>
      </c>
      <c r="AM2364">
        <v>84.372097043267701</v>
      </c>
      <c r="AN2364">
        <v>0.999999971341472</v>
      </c>
    </row>
    <row r="2365" spans="1:40" x14ac:dyDescent="0.25">
      <c r="A2365" t="str">
        <f>"20190303161920843"</f>
        <v>20190303161920843</v>
      </c>
      <c r="B2365" t="str">
        <f>"1551601160835300"</f>
        <v>1551601160835300</v>
      </c>
      <c r="C2365" t="s">
        <v>40</v>
      </c>
      <c r="D2365">
        <v>4.6071799999999996</v>
      </c>
      <c r="E2365">
        <v>0.51134659999999998</v>
      </c>
      <c r="F2365" t="s">
        <v>42</v>
      </c>
      <c r="G2365">
        <v>-192.41419999999999</v>
      </c>
      <c r="H2365">
        <v>0.91068419999999894</v>
      </c>
      <c r="I2365">
        <v>311.07459999999998</v>
      </c>
      <c r="J2365">
        <v>-192.2869</v>
      </c>
      <c r="K2365">
        <v>1.1212089999999999</v>
      </c>
      <c r="L2365">
        <v>311.61579999999998</v>
      </c>
      <c r="M2365">
        <v>-8.6344580000000004E-2</v>
      </c>
      <c r="N2365">
        <v>-1.3712439999999999E-2</v>
      </c>
      <c r="O2365">
        <v>-0.99617120000000003</v>
      </c>
      <c r="P2365">
        <v>-0.18299599999999999</v>
      </c>
      <c r="Q2365">
        <v>0.1049398</v>
      </c>
      <c r="R2365">
        <v>-0.97749719999999996</v>
      </c>
      <c r="S2365">
        <v>-0.63499450000000002</v>
      </c>
      <c r="T2365">
        <v>-0.95807980000000004</v>
      </c>
      <c r="U2365">
        <v>-3.0538020000000001</v>
      </c>
      <c r="V2365">
        <v>9.8026749999999996E-2</v>
      </c>
      <c r="W2365">
        <v>0.11839810000000001</v>
      </c>
      <c r="X2365">
        <v>0.98811570000000004</v>
      </c>
      <c r="Y2365">
        <v>0.1098042</v>
      </c>
      <c r="Z2365">
        <v>0.28097899999999998</v>
      </c>
      <c r="AA2365">
        <v>0.95341169999999997</v>
      </c>
      <c r="AB2365">
        <v>14</v>
      </c>
      <c r="AC2365">
        <v>-0.127299999999991</v>
      </c>
      <c r="AD2365">
        <v>-0.21052480000000001</v>
      </c>
      <c r="AE2365">
        <v>-0.54120000000000301</v>
      </c>
      <c r="AF2365">
        <v>7.0046763641430795E-2</v>
      </c>
      <c r="AG2365">
        <v>-0.21052480000000001</v>
      </c>
      <c r="AH2365">
        <v>0.48117748590589099</v>
      </c>
      <c r="AI2365">
        <v>113.410515829901</v>
      </c>
      <c r="AJ2365">
        <v>81.717424402723395</v>
      </c>
      <c r="AK2365">
        <v>0.52986697713142294</v>
      </c>
      <c r="AL2365">
        <v>83.200338578192003</v>
      </c>
      <c r="AM2365">
        <v>84.334467526311201</v>
      </c>
      <c r="AN2365">
        <v>0.999999995192831</v>
      </c>
    </row>
    <row r="2366" spans="1:40" x14ac:dyDescent="0.25">
      <c r="A2366" t="str">
        <f>"20190303161920863"</f>
        <v>20190303161920863</v>
      </c>
      <c r="B2366" t="str">
        <f>"1551601160854820"</f>
        <v>1551601160854820</v>
      </c>
      <c r="C2366" t="s">
        <v>40</v>
      </c>
      <c r="D2366">
        <v>4.6975379999999998</v>
      </c>
      <c r="E2366">
        <v>0.51071250000000001</v>
      </c>
      <c r="F2366" t="s">
        <v>42</v>
      </c>
      <c r="G2366">
        <v>-192.4282</v>
      </c>
      <c r="H2366">
        <v>0.91295139999999997</v>
      </c>
      <c r="I2366">
        <v>310.94619999999998</v>
      </c>
      <c r="J2366">
        <v>-192.2998</v>
      </c>
      <c r="K2366">
        <v>1.12121</v>
      </c>
      <c r="L2366">
        <v>311.48149999999998</v>
      </c>
      <c r="M2366">
        <v>-8.7357279999999995E-2</v>
      </c>
      <c r="N2366">
        <v>-1.370882E-2</v>
      </c>
      <c r="O2366">
        <v>-0.99608289999999999</v>
      </c>
      <c r="P2366">
        <v>-0.18488170000000001</v>
      </c>
      <c r="Q2366">
        <v>0.1045283</v>
      </c>
      <c r="R2366">
        <v>-0.97718629999999995</v>
      </c>
      <c r="S2366">
        <v>-0.64282229999999996</v>
      </c>
      <c r="T2366">
        <v>-0.94863450000000005</v>
      </c>
      <c r="U2366">
        <v>-3.0505680000000002</v>
      </c>
      <c r="V2366">
        <v>9.8925399999999997E-2</v>
      </c>
      <c r="W2366">
        <v>0.1179819</v>
      </c>
      <c r="X2366">
        <v>0.98807590000000001</v>
      </c>
      <c r="Y2366">
        <v>0.1114893</v>
      </c>
      <c r="Z2366">
        <v>0.27846959999999998</v>
      </c>
      <c r="AA2366">
        <v>0.95395220000000003</v>
      </c>
      <c r="AB2366">
        <v>14</v>
      </c>
      <c r="AC2366">
        <v>-0.12839999999999899</v>
      </c>
      <c r="AD2366">
        <v>-0.20825859999999999</v>
      </c>
      <c r="AE2366">
        <v>-0.53530000000000599</v>
      </c>
      <c r="AF2366">
        <v>7.0982858170829499E-2</v>
      </c>
      <c r="AG2366">
        <v>-0.20825859999999999</v>
      </c>
      <c r="AH2366">
        <v>0.47630028469805802</v>
      </c>
      <c r="AI2366">
        <v>113.38684647175999</v>
      </c>
      <c r="AJ2366">
        <v>81.523616440660902</v>
      </c>
      <c r="AK2366">
        <v>0.52466386556681299</v>
      </c>
      <c r="AL2366">
        <v>83.224353256401599</v>
      </c>
      <c r="AM2366">
        <v>84.282643105769594</v>
      </c>
      <c r="AN2366">
        <v>0.99999997382678896</v>
      </c>
    </row>
    <row r="2367" spans="1:40" x14ac:dyDescent="0.25">
      <c r="A2367" t="str">
        <f>"20190303161920887"</f>
        <v>20190303161920887</v>
      </c>
      <c r="B2367" t="str">
        <f>"1551601160875316"</f>
        <v>1551601160875316</v>
      </c>
      <c r="C2367" t="s">
        <v>40</v>
      </c>
      <c r="D2367">
        <v>4.6048600000000004</v>
      </c>
      <c r="E2367">
        <v>0.51015189999999999</v>
      </c>
      <c r="F2367" t="s">
        <v>42</v>
      </c>
      <c r="G2367">
        <v>-192.4401</v>
      </c>
      <c r="H2367">
        <v>0.91623969999999999</v>
      </c>
      <c r="I2367">
        <v>310.8175</v>
      </c>
      <c r="J2367">
        <v>-192.31370000000001</v>
      </c>
      <c r="K2367">
        <v>1.121208</v>
      </c>
      <c r="L2367">
        <v>311.3381</v>
      </c>
      <c r="M2367">
        <v>-8.8439320000000002E-2</v>
      </c>
      <c r="N2367">
        <v>-1.370526E-2</v>
      </c>
      <c r="O2367">
        <v>-0.99598739999999997</v>
      </c>
      <c r="P2367">
        <v>-0.1865252</v>
      </c>
      <c r="Q2367">
        <v>0.10406890000000001</v>
      </c>
      <c r="R2367">
        <v>-0.97692310000000004</v>
      </c>
      <c r="S2367">
        <v>-0.64370729999999998</v>
      </c>
      <c r="T2367">
        <v>-0.94110079999999996</v>
      </c>
      <c r="U2367">
        <v>-3.0489199999999999</v>
      </c>
      <c r="V2367">
        <v>9.9509730000000005E-2</v>
      </c>
      <c r="W2367">
        <v>0.11751830000000001</v>
      </c>
      <c r="X2367">
        <v>0.98807250000000002</v>
      </c>
      <c r="Y2367">
        <v>0.11090319999999999</v>
      </c>
      <c r="Z2367">
        <v>0.27644990000000003</v>
      </c>
      <c r="AA2367">
        <v>0.95460769999999995</v>
      </c>
      <c r="AB2367">
        <v>14</v>
      </c>
      <c r="AC2367">
        <v>-0.12639999999998899</v>
      </c>
      <c r="AD2367">
        <v>-0.20496829999999999</v>
      </c>
      <c r="AE2367">
        <v>-0.52060000000000095</v>
      </c>
      <c r="AF2367">
        <v>6.96615482402939E-2</v>
      </c>
      <c r="AG2367">
        <v>-0.20496829999999999</v>
      </c>
      <c r="AH2367">
        <v>0.46209655591684801</v>
      </c>
      <c r="AI2367">
        <v>113.682533735308</v>
      </c>
      <c r="AJ2367">
        <v>81.427153076020801</v>
      </c>
      <c r="AK2367">
        <v>0.51029203628739594</v>
      </c>
      <c r="AL2367">
        <v>83.251101848264796</v>
      </c>
      <c r="AM2367">
        <v>84.249078018906701</v>
      </c>
      <c r="AN2367">
        <v>1.0000000012279</v>
      </c>
    </row>
    <row r="2368" spans="1:40" x14ac:dyDescent="0.25">
      <c r="A2368" t="str">
        <f>"20190303161920909"</f>
        <v>20190303161920909</v>
      </c>
      <c r="B2368" t="str">
        <f>"1551601160904596"</f>
        <v>1551601160904596</v>
      </c>
      <c r="C2368" t="s">
        <v>40</v>
      </c>
      <c r="D2368">
        <v>4.6480499999999996</v>
      </c>
      <c r="E2368">
        <v>0.5151616</v>
      </c>
      <c r="F2368" t="s">
        <v>42</v>
      </c>
      <c r="G2368">
        <v>-192.47450000000001</v>
      </c>
      <c r="H2368">
        <v>0.88711180000000001</v>
      </c>
      <c r="I2368">
        <v>310.57749999999999</v>
      </c>
      <c r="J2368">
        <v>-192.3279</v>
      </c>
      <c r="K2368">
        <v>1.1212150000000001</v>
      </c>
      <c r="L2368">
        <v>311.19279999999998</v>
      </c>
      <c r="M2368">
        <v>-8.9535390000000006E-2</v>
      </c>
      <c r="N2368">
        <v>-1.3701410000000001E-2</v>
      </c>
      <c r="O2368">
        <v>-0.99588949999999998</v>
      </c>
      <c r="P2368">
        <v>-0.1883669</v>
      </c>
      <c r="Q2368">
        <v>0.1037912</v>
      </c>
      <c r="R2368">
        <v>-0.97659899999999999</v>
      </c>
      <c r="S2368">
        <v>-0.643966699999999</v>
      </c>
      <c r="T2368">
        <v>-0.93808199999999997</v>
      </c>
      <c r="U2368">
        <v>-3.0478209999999999</v>
      </c>
      <c r="V2368">
        <v>0.1002831</v>
      </c>
      <c r="W2368">
        <v>0.1172361</v>
      </c>
      <c r="X2368">
        <v>0.98802780000000001</v>
      </c>
      <c r="Y2368">
        <v>0.110006199999999</v>
      </c>
      <c r="Z2368">
        <v>0.27566590000000002</v>
      </c>
      <c r="AA2368">
        <v>0.95493819999999996</v>
      </c>
      <c r="AB2368">
        <v>14</v>
      </c>
      <c r="AC2368">
        <v>-0.146600000000006</v>
      </c>
      <c r="AD2368">
        <v>-0.23410320000000001</v>
      </c>
      <c r="AE2368">
        <v>-0.61529999999998997</v>
      </c>
      <c r="AF2368">
        <v>7.9961551301089701E-2</v>
      </c>
      <c r="AG2368">
        <v>-0.23410320000000001</v>
      </c>
      <c r="AH2368">
        <v>0.55054143138047396</v>
      </c>
      <c r="AI2368">
        <v>112.821759287243</v>
      </c>
      <c r="AJ2368">
        <v>81.736052267543002</v>
      </c>
      <c r="AK2368">
        <v>0.60356774731854101</v>
      </c>
      <c r="AL2368">
        <v>83.267383042290305</v>
      </c>
      <c r="AM2368">
        <v>84.204425642222503</v>
      </c>
      <c r="AN2368">
        <v>0.99999996843082894</v>
      </c>
    </row>
    <row r="2369" spans="1:40" x14ac:dyDescent="0.25">
      <c r="A2369" t="str">
        <f>"20190303161920930"</f>
        <v>20190303161920930</v>
      </c>
      <c r="B2369" t="str">
        <f>"1551601160925092"</f>
        <v>1551601160925092</v>
      </c>
      <c r="C2369" t="s">
        <v>40</v>
      </c>
      <c r="D2369">
        <v>4.5872919999999997</v>
      </c>
      <c r="E2369">
        <v>0.51515109999999997</v>
      </c>
      <c r="F2369" t="s">
        <v>42</v>
      </c>
      <c r="G2369">
        <v>-192.49789999999999</v>
      </c>
      <c r="H2369">
        <v>0.90406330000000001</v>
      </c>
      <c r="I2369">
        <v>310.44450000000001</v>
      </c>
      <c r="J2369">
        <v>-192.34129999999999</v>
      </c>
      <c r="K2369">
        <v>1.1212150000000001</v>
      </c>
      <c r="L2369">
        <v>311.05790000000002</v>
      </c>
      <c r="M2369">
        <v>-9.0553010000000003E-2</v>
      </c>
      <c r="N2369">
        <v>-1.3697999999999899E-2</v>
      </c>
      <c r="O2369">
        <v>-0.9957973</v>
      </c>
      <c r="P2369">
        <v>-0.19028039999999999</v>
      </c>
      <c r="Q2369">
        <v>0.1035156</v>
      </c>
      <c r="R2369">
        <v>-0.97625680000000004</v>
      </c>
      <c r="S2369">
        <v>-0.68901060000000003</v>
      </c>
      <c r="T2369">
        <v>-0.88005279999999997</v>
      </c>
      <c r="U2369">
        <v>-3.0324710000000001</v>
      </c>
      <c r="V2369">
        <v>0.1012077</v>
      </c>
      <c r="W2369">
        <v>0.1169558</v>
      </c>
      <c r="X2369">
        <v>0.98796680000000003</v>
      </c>
      <c r="Y2369">
        <v>0.12446119999999999</v>
      </c>
      <c r="Z2369">
        <v>0.2597198</v>
      </c>
      <c r="AA2369">
        <v>0.95762990000000003</v>
      </c>
      <c r="AB2369">
        <v>14</v>
      </c>
      <c r="AC2369">
        <v>-0.15659999999999699</v>
      </c>
      <c r="AD2369">
        <v>-0.2171517</v>
      </c>
      <c r="AE2369">
        <v>-0.61340000000001205</v>
      </c>
      <c r="AF2369">
        <v>8.98362302310282E-2</v>
      </c>
      <c r="AG2369">
        <v>-0.2171517</v>
      </c>
      <c r="AH2369">
        <v>0.55926057736119905</v>
      </c>
      <c r="AI2369">
        <v>110.97527499514401</v>
      </c>
      <c r="AJ2369">
        <v>80.8743111147013</v>
      </c>
      <c r="AK2369">
        <v>0.60662822425715901</v>
      </c>
      <c r="AL2369">
        <v>83.283554698865501</v>
      </c>
      <c r="AM2369">
        <v>84.151001169677897</v>
      </c>
      <c r="AN2369">
        <v>1.00000002779758</v>
      </c>
    </row>
    <row r="2370" spans="1:40" x14ac:dyDescent="0.25">
      <c r="A2370" t="str">
        <f>"20190303161920967"</f>
        <v>20190303161920967</v>
      </c>
      <c r="B2370" t="str">
        <f>"1551601160955348"</f>
        <v>1551601160955348</v>
      </c>
      <c r="C2370" t="s">
        <v>40</v>
      </c>
      <c r="D2370">
        <v>4.6963619999999997</v>
      </c>
      <c r="E2370">
        <v>0.53321219999999903</v>
      </c>
      <c r="F2370" t="s">
        <v>42</v>
      </c>
      <c r="G2370">
        <v>-192.5111</v>
      </c>
      <c r="H2370">
        <v>0.90603900000000004</v>
      </c>
      <c r="I2370">
        <v>310.3177</v>
      </c>
      <c r="J2370">
        <v>-192.36369999999999</v>
      </c>
      <c r="K2370">
        <v>1.1212219999999999</v>
      </c>
      <c r="L2370">
        <v>310.83499999999998</v>
      </c>
      <c r="M2370">
        <v>-9.2233270000000006E-2</v>
      </c>
      <c r="N2370">
        <v>-1.369193E-2</v>
      </c>
      <c r="O2370">
        <v>-0.99564339999999996</v>
      </c>
      <c r="P2370">
        <v>-0.19336790000000001</v>
      </c>
      <c r="Q2370">
        <v>0.10349999999999999</v>
      </c>
      <c r="R2370">
        <v>-0.97565199999999996</v>
      </c>
      <c r="S2370">
        <v>-0.69476319999999903</v>
      </c>
      <c r="T2370">
        <v>-0.8810481</v>
      </c>
      <c r="U2370">
        <v>-3.0309750000000002</v>
      </c>
      <c r="V2370">
        <v>0.1026671</v>
      </c>
      <c r="W2370">
        <v>0.1169311</v>
      </c>
      <c r="X2370">
        <v>0.98781909999999895</v>
      </c>
      <c r="Y2370">
        <v>0.1245985</v>
      </c>
      <c r="Z2370">
        <v>0.260021</v>
      </c>
      <c r="AA2370">
        <v>0.95753029999999995</v>
      </c>
      <c r="AB2370">
        <v>14</v>
      </c>
      <c r="AC2370">
        <v>-0.147400000000004</v>
      </c>
      <c r="AD2370">
        <v>-0.21518299999999899</v>
      </c>
      <c r="AE2370">
        <v>-0.517299999999977</v>
      </c>
      <c r="AF2370">
        <v>8.5389164091756301E-2</v>
      </c>
      <c r="AG2370">
        <v>-0.21518299999999899</v>
      </c>
      <c r="AH2370">
        <v>0.45575242395066601</v>
      </c>
      <c r="AI2370">
        <v>114.894783428322</v>
      </c>
      <c r="AJ2370">
        <v>79.388167998069903</v>
      </c>
      <c r="AK2370">
        <v>0.51118030553826699</v>
      </c>
      <c r="AL2370">
        <v>83.284979460387802</v>
      </c>
      <c r="AM2370">
        <v>84.066376073930797</v>
      </c>
      <c r="AN2370">
        <v>0.99999999494721403</v>
      </c>
    </row>
    <row r="2371" spans="1:40" x14ac:dyDescent="0.25">
      <c r="A2371" t="str">
        <f>"20190303161920988"</f>
        <v>20190303161920988</v>
      </c>
      <c r="B2371" t="str">
        <f>"1551601160974868"</f>
        <v>1551601160974868</v>
      </c>
      <c r="C2371" t="s">
        <v>40</v>
      </c>
      <c r="D2371">
        <v>4.5881669999999897</v>
      </c>
      <c r="E2371">
        <v>0.56309100000000001</v>
      </c>
      <c r="F2371" t="s">
        <v>42</v>
      </c>
      <c r="G2371">
        <v>-192.5899</v>
      </c>
      <c r="H2371">
        <v>0.96716950000000002</v>
      </c>
      <c r="I2371">
        <v>310.04079999999999</v>
      </c>
      <c r="J2371">
        <v>-192.3776</v>
      </c>
      <c r="K2371">
        <v>1.1212310000000001</v>
      </c>
      <c r="L2371">
        <v>310.69779999999997</v>
      </c>
      <c r="M2371">
        <v>-9.326856E-2</v>
      </c>
      <c r="N2371">
        <v>-1.368842E-2</v>
      </c>
      <c r="O2371">
        <v>-0.99554699999999996</v>
      </c>
      <c r="P2371">
        <v>-0.19478719999999999</v>
      </c>
      <c r="Q2371">
        <v>0.1033476</v>
      </c>
      <c r="R2371">
        <v>-0.97538599999999998</v>
      </c>
      <c r="S2371">
        <v>-0.84471130000000005</v>
      </c>
      <c r="T2371">
        <v>-0.57580399999999998</v>
      </c>
      <c r="U2371">
        <v>-2.9685670000000002</v>
      </c>
      <c r="V2371">
        <v>0.1030755</v>
      </c>
      <c r="W2371">
        <v>0.1167753</v>
      </c>
      <c r="X2371">
        <v>0.98779499999999998</v>
      </c>
      <c r="Y2371">
        <v>0.17850489999999999</v>
      </c>
      <c r="Z2371">
        <v>0.1708625</v>
      </c>
      <c r="AA2371">
        <v>0.96899020000000002</v>
      </c>
      <c r="AB2371">
        <v>14</v>
      </c>
      <c r="AC2371">
        <v>-0.21229999999999899</v>
      </c>
      <c r="AD2371">
        <v>-0.15406149999999899</v>
      </c>
      <c r="AE2371">
        <v>-0.65699999999998204</v>
      </c>
      <c r="AF2371">
        <v>0.14297289601928401</v>
      </c>
      <c r="AG2371">
        <v>-0.15406149999999899</v>
      </c>
      <c r="AH2371">
        <v>0.64197568009168005</v>
      </c>
      <c r="AI2371">
        <v>103.183361673535</v>
      </c>
      <c r="AJ2371">
        <v>77.444690818689295</v>
      </c>
      <c r="AK2371">
        <v>0.67550645341666904</v>
      </c>
      <c r="AL2371">
        <v>83.293967724798193</v>
      </c>
      <c r="AM2371">
        <v>84.042797785302696</v>
      </c>
      <c r="AN2371">
        <v>0.99999999570766995</v>
      </c>
    </row>
    <row r="2372" spans="1:40" x14ac:dyDescent="0.25">
      <c r="A2372" t="str">
        <f>"20190303161921010"</f>
        <v>20190303161921010</v>
      </c>
      <c r="B2372" t="str">
        <f>"1551601161005125"</f>
        <v>1551601161005125</v>
      </c>
      <c r="C2372" t="s">
        <v>40</v>
      </c>
      <c r="D2372">
        <v>4.5719180000000001</v>
      </c>
      <c r="E2372">
        <v>0.56786250000000005</v>
      </c>
      <c r="F2372" t="s">
        <v>41</v>
      </c>
      <c r="G2372">
        <v>-196.42439999999999</v>
      </c>
      <c r="H2372" s="1">
        <v>-1.831156E-6</v>
      </c>
      <c r="I2372">
        <v>299.87299999999999</v>
      </c>
      <c r="J2372">
        <v>-192.39150000000001</v>
      </c>
      <c r="K2372">
        <v>1.1212249999999999</v>
      </c>
      <c r="L2372">
        <v>310.56259999999997</v>
      </c>
      <c r="M2372">
        <v>-9.4287220000000005E-2</v>
      </c>
      <c r="N2372">
        <v>-1.368479E-2</v>
      </c>
      <c r="O2372">
        <v>-0.99545099999999997</v>
      </c>
      <c r="P2372">
        <v>-0.19573670000000001</v>
      </c>
      <c r="Q2372">
        <v>0.1030783</v>
      </c>
      <c r="R2372">
        <v>-0.97522439999999999</v>
      </c>
      <c r="S2372">
        <v>-1.0810090000000001</v>
      </c>
      <c r="T2372">
        <v>-0.29951309999999998</v>
      </c>
      <c r="U2372">
        <v>-2.8916019999999998</v>
      </c>
      <c r="V2372">
        <v>0.1030228</v>
      </c>
      <c r="W2372">
        <v>0.1165035</v>
      </c>
      <c r="X2372">
        <v>0.98783259999999995</v>
      </c>
      <c r="Y2372">
        <v>0.25886330000000002</v>
      </c>
      <c r="Z2372">
        <v>8.3943309999999993E-2</v>
      </c>
      <c r="AA2372">
        <v>0.96225950000000005</v>
      </c>
      <c r="AB2372">
        <v>14</v>
      </c>
      <c r="AC2372">
        <v>-4.0328999999999802</v>
      </c>
      <c r="AD2372">
        <v>-1.1212268311560001</v>
      </c>
      <c r="AE2372">
        <v>-10.689599999999899</v>
      </c>
      <c r="AF2372">
        <v>2.9782596119077098</v>
      </c>
      <c r="AG2372">
        <v>-1.1212268311560001</v>
      </c>
      <c r="AH2372">
        <v>10.917113304916301</v>
      </c>
      <c r="AI2372">
        <v>95.658552720989604</v>
      </c>
      <c r="AJ2372">
        <v>74.740655569734699</v>
      </c>
      <c r="AK2372">
        <v>11.3714793600132</v>
      </c>
      <c r="AL2372">
        <v>83.309647801683695</v>
      </c>
      <c r="AM2372">
        <v>84.0460466782216</v>
      </c>
      <c r="AN2372">
        <v>1.00000000422742</v>
      </c>
    </row>
    <row r="2373" spans="1:40" x14ac:dyDescent="0.25">
      <c r="A2373" t="str">
        <f>"20190303161921032"</f>
        <v>20190303161921032</v>
      </c>
      <c r="B2373" t="str">
        <f>"1551601161024645"</f>
        <v>1551601161024645</v>
      </c>
      <c r="C2373" t="s">
        <v>40</v>
      </c>
      <c r="D2373">
        <v>4.5636839999999896</v>
      </c>
      <c r="E2373">
        <v>0.56883189999999995</v>
      </c>
      <c r="F2373" t="s">
        <v>49</v>
      </c>
      <c r="G2373">
        <v>-197.7398</v>
      </c>
      <c r="H2373" s="1">
        <v>4.9027059999999996E-7</v>
      </c>
      <c r="I2373">
        <v>296.83249999999998</v>
      </c>
      <c r="J2373">
        <v>-192.4059</v>
      </c>
      <c r="K2373">
        <v>1.121224</v>
      </c>
      <c r="L2373">
        <v>310.42410000000001</v>
      </c>
      <c r="M2373">
        <v>-9.5330250000000005E-2</v>
      </c>
      <c r="N2373">
        <v>-1.368133E-2</v>
      </c>
      <c r="O2373">
        <v>-0.99535169999999995</v>
      </c>
      <c r="P2373">
        <v>-0.1963231</v>
      </c>
      <c r="Q2373">
        <v>0.1030254</v>
      </c>
      <c r="R2373">
        <v>-0.97511210000000004</v>
      </c>
      <c r="S2373">
        <v>-1.1203459999999901</v>
      </c>
      <c r="T2373">
        <v>-0.2348732</v>
      </c>
      <c r="U2373">
        <v>-2.87616</v>
      </c>
      <c r="V2373">
        <v>0.1025799</v>
      </c>
      <c r="W2373">
        <v>0.116449</v>
      </c>
      <c r="X2373">
        <v>0.98788509999999996</v>
      </c>
      <c r="Y2373">
        <v>0.27158929999999998</v>
      </c>
      <c r="Z2373">
        <v>6.3125589999999995E-2</v>
      </c>
      <c r="AA2373">
        <v>0.96034079999999999</v>
      </c>
      <c r="AB2373">
        <v>14</v>
      </c>
      <c r="AC2373">
        <v>-5.3338999999999999</v>
      </c>
      <c r="AD2373">
        <v>-1.1212235097293901</v>
      </c>
      <c r="AE2373">
        <v>-13.5916</v>
      </c>
      <c r="AF2373">
        <v>3.9902606818295401</v>
      </c>
      <c r="AG2373">
        <v>-1.1212235097293901</v>
      </c>
      <c r="AH2373">
        <v>13.955919238385199</v>
      </c>
      <c r="AI2373">
        <v>94.4170412222675</v>
      </c>
      <c r="AJ2373">
        <v>74.043767445339199</v>
      </c>
      <c r="AK2373">
        <v>14.5583997834946</v>
      </c>
      <c r="AL2373">
        <v>83.312791713449101</v>
      </c>
      <c r="AM2373">
        <v>84.071773135506206</v>
      </c>
      <c r="AN2373">
        <v>0.99999998814350899</v>
      </c>
    </row>
    <row r="2374" spans="1:40" x14ac:dyDescent="0.25">
      <c r="A2374" t="str">
        <f>"20190303161921053"</f>
        <v>20190303161921053</v>
      </c>
      <c r="B2374" t="str">
        <f>"1551601161045141"</f>
        <v>1551601161045141</v>
      </c>
      <c r="C2374" t="s">
        <v>40</v>
      </c>
      <c r="D2374">
        <v>4.6006519999999904</v>
      </c>
      <c r="E2374">
        <v>0.56902129999999995</v>
      </c>
      <c r="F2374" t="s">
        <v>49</v>
      </c>
      <c r="G2374">
        <v>-198.21610000000001</v>
      </c>
      <c r="H2374" s="1">
        <v>6.9886000000000005E-7</v>
      </c>
      <c r="I2374">
        <v>295.6481</v>
      </c>
      <c r="J2374">
        <v>-192.42019999999999</v>
      </c>
      <c r="K2374">
        <v>1.121232</v>
      </c>
      <c r="L2374">
        <v>310.28739999999999</v>
      </c>
      <c r="M2374">
        <v>-9.6359860000000006E-2</v>
      </c>
      <c r="N2374">
        <v>-1.3678010000000001E-2</v>
      </c>
      <c r="O2374">
        <v>-0.99525269999999999</v>
      </c>
      <c r="P2374">
        <v>-0.1969301</v>
      </c>
      <c r="Q2374">
        <v>0.1027523</v>
      </c>
      <c r="R2374">
        <v>-0.97501839999999995</v>
      </c>
      <c r="S2374">
        <v>-1.12941</v>
      </c>
      <c r="T2374">
        <v>-0.21794810000000001</v>
      </c>
      <c r="U2374">
        <v>-2.872223</v>
      </c>
      <c r="V2374">
        <v>0.1021687</v>
      </c>
      <c r="W2374">
        <v>0.11617429999999999</v>
      </c>
      <c r="X2374">
        <v>0.98795999999999995</v>
      </c>
      <c r="Y2374">
        <v>0.27379540000000002</v>
      </c>
      <c r="Z2374">
        <v>5.7661270000000001E-2</v>
      </c>
      <c r="AA2374">
        <v>0.96005790000000002</v>
      </c>
      <c r="AB2374">
        <v>14</v>
      </c>
      <c r="AC2374">
        <v>-5.7959000000000103</v>
      </c>
      <c r="AD2374">
        <v>-1.1212313011399999</v>
      </c>
      <c r="AE2374">
        <v>-14.639299999999899</v>
      </c>
      <c r="AF2374">
        <v>4.3361618187124797</v>
      </c>
      <c r="AG2374">
        <v>-1.1212313011399999</v>
      </c>
      <c r="AH2374">
        <v>15.053369727601099</v>
      </c>
      <c r="AI2374">
        <v>94.093879823621606</v>
      </c>
      <c r="AJ2374">
        <v>73.930818225266606</v>
      </c>
      <c r="AK2374">
        <v>15.705521293626999</v>
      </c>
      <c r="AL2374">
        <v>83.328638072979899</v>
      </c>
      <c r="AM2374">
        <v>84.095813175866596</v>
      </c>
      <c r="AN2374">
        <v>0.999999936420087</v>
      </c>
    </row>
    <row r="2375" spans="1:40" x14ac:dyDescent="0.25">
      <c r="A2375" t="str">
        <f>"20190303161921077"</f>
        <v>20190303161921077</v>
      </c>
      <c r="B2375" t="str">
        <f>"1551601161064660"</f>
        <v>1551601161064660</v>
      </c>
      <c r="C2375" t="s">
        <v>40</v>
      </c>
      <c r="D2375">
        <v>4.6514230000000003</v>
      </c>
      <c r="E2375">
        <v>0.56865600000000005</v>
      </c>
      <c r="F2375" t="s">
        <v>49</v>
      </c>
      <c r="G2375">
        <v>-198.28139999999999</v>
      </c>
      <c r="H2375" s="1">
        <v>7.4364970000000004E-7</v>
      </c>
      <c r="I2375">
        <v>295.42430000000002</v>
      </c>
      <c r="J2375">
        <v>-192.43559999999999</v>
      </c>
      <c r="K2375">
        <v>1.121235</v>
      </c>
      <c r="L2375">
        <v>310.14280000000002</v>
      </c>
      <c r="M2375">
        <v>-9.7449969999999997E-2</v>
      </c>
      <c r="N2375">
        <v>-1.36744E-2</v>
      </c>
      <c r="O2375">
        <v>-0.99514669999999905</v>
      </c>
      <c r="P2375">
        <v>-0.19825590000000001</v>
      </c>
      <c r="Q2375">
        <v>0.10289520000000001</v>
      </c>
      <c r="R2375">
        <v>-0.97473489999999996</v>
      </c>
      <c r="S2375">
        <v>-1.1321870000000001</v>
      </c>
      <c r="T2375">
        <v>-0.21658620000000001</v>
      </c>
      <c r="U2375">
        <v>-2.8710939999999998</v>
      </c>
      <c r="V2375">
        <v>0.1024316</v>
      </c>
      <c r="W2375">
        <v>0.1163126</v>
      </c>
      <c r="X2375">
        <v>0.98791660000000003</v>
      </c>
      <c r="Y2375">
        <v>0.2736847</v>
      </c>
      <c r="Z2375">
        <v>5.7229589999999997E-2</v>
      </c>
      <c r="AA2375">
        <v>0.96011539999999995</v>
      </c>
      <c r="AB2375">
        <v>14</v>
      </c>
      <c r="AC2375">
        <v>-5.8457999999999899</v>
      </c>
      <c r="AD2375">
        <v>-1.1212342563502999</v>
      </c>
      <c r="AE2375">
        <v>-14.718500000000001</v>
      </c>
      <c r="AF2375">
        <v>4.3616573976815101</v>
      </c>
      <c r="AG2375">
        <v>-1.1212342563502999</v>
      </c>
      <c r="AH2375">
        <v>15.142259114663</v>
      </c>
      <c r="AI2375">
        <v>94.069947050163094</v>
      </c>
      <c r="AJ2375">
        <v>73.931199893178302</v>
      </c>
      <c r="AK2375">
        <v>15.797760366835499</v>
      </c>
      <c r="AL2375">
        <v>83.320660615803703</v>
      </c>
      <c r="AM2375">
        <v>84.080470093463305</v>
      </c>
      <c r="AN2375">
        <v>1.0000000310764301</v>
      </c>
    </row>
    <row r="2376" spans="1:40" x14ac:dyDescent="0.25">
      <c r="A2376" t="str">
        <f>"20190303161921098"</f>
        <v>20190303161921098</v>
      </c>
      <c r="B2376" t="str">
        <f>"1551601161085156"</f>
        <v>1551601161085156</v>
      </c>
      <c r="C2376" t="s">
        <v>40</v>
      </c>
      <c r="D2376">
        <v>4.6821710000000003</v>
      </c>
      <c r="E2376">
        <v>0.56799999999999995</v>
      </c>
      <c r="F2376" t="s">
        <v>49</v>
      </c>
      <c r="G2376">
        <v>-198.2696</v>
      </c>
      <c r="H2376" s="1">
        <v>7.6489330000000002E-7</v>
      </c>
      <c r="I2376">
        <v>295.36709999999999</v>
      </c>
      <c r="J2376">
        <v>-192.4494</v>
      </c>
      <c r="K2376">
        <v>1.121237</v>
      </c>
      <c r="L2376">
        <v>310.01369999999997</v>
      </c>
      <c r="M2376">
        <v>-9.842323E-2</v>
      </c>
      <c r="N2376">
        <v>-1.367113E-2</v>
      </c>
      <c r="O2376">
        <v>-0.99505069999999995</v>
      </c>
      <c r="P2376">
        <v>-0.1999398</v>
      </c>
      <c r="Q2376">
        <v>0.10235610000000001</v>
      </c>
      <c r="R2376">
        <v>-0.97444710000000001</v>
      </c>
      <c r="S2376">
        <v>-1.133286</v>
      </c>
      <c r="T2376">
        <v>-0.21780440000000001</v>
      </c>
      <c r="U2376">
        <v>-2.8702390000000002</v>
      </c>
      <c r="V2376">
        <v>0.10316690000000001</v>
      </c>
      <c r="W2376">
        <v>0.115769899999999</v>
      </c>
      <c r="X2376">
        <v>0.9879038</v>
      </c>
      <c r="Y2376">
        <v>0.27315040000000002</v>
      </c>
      <c r="Z2376">
        <v>5.7641060000000001E-2</v>
      </c>
      <c r="AA2376">
        <v>0.96024290000000001</v>
      </c>
      <c r="AB2376">
        <v>14</v>
      </c>
      <c r="AC2376">
        <v>-5.8201999999999998</v>
      </c>
      <c r="AD2376">
        <v>-1.1212362351067</v>
      </c>
      <c r="AE2376">
        <v>-14.6465999999999</v>
      </c>
      <c r="AF2376">
        <v>4.3283289078899498</v>
      </c>
      <c r="AG2376">
        <v>-1.1212362351067</v>
      </c>
      <c r="AH2376">
        <v>15.072087020686</v>
      </c>
      <c r="AI2376">
        <v>94.089780905207306</v>
      </c>
      <c r="AJ2376">
        <v>73.977249522020301</v>
      </c>
      <c r="AK2376">
        <v>15.7213043030444</v>
      </c>
      <c r="AL2376">
        <v>83.351966307765295</v>
      </c>
      <c r="AM2376">
        <v>84.038205328586997</v>
      </c>
      <c r="AN2376">
        <v>0.99999999852803001</v>
      </c>
    </row>
    <row r="2377" spans="1:40" x14ac:dyDescent="0.25">
      <c r="A2377" t="str">
        <f>"20190303161921120"</f>
        <v>20190303161921120</v>
      </c>
      <c r="B2377" t="str">
        <f>"1551601161115412"</f>
        <v>1551601161115412</v>
      </c>
      <c r="C2377" t="s">
        <v>40</v>
      </c>
      <c r="D2377">
        <v>4.6966260000000002</v>
      </c>
      <c r="E2377">
        <v>0.56717189999999995</v>
      </c>
      <c r="F2377" t="s">
        <v>49</v>
      </c>
      <c r="G2377">
        <v>-198.1516</v>
      </c>
      <c r="H2377" s="1">
        <v>7.1162579999999998E-7</v>
      </c>
      <c r="I2377">
        <v>295.57560000000001</v>
      </c>
      <c r="J2377">
        <v>-192.46449999999999</v>
      </c>
      <c r="K2377">
        <v>1.1212310000000001</v>
      </c>
      <c r="L2377">
        <v>309.87369999999999</v>
      </c>
      <c r="M2377">
        <v>-9.9478590000000006E-2</v>
      </c>
      <c r="N2377">
        <v>-1.366764E-2</v>
      </c>
      <c r="O2377">
        <v>-0.99494590000000005</v>
      </c>
      <c r="P2377">
        <v>-0.20157149999999999</v>
      </c>
      <c r="Q2377">
        <v>0.10252849999999999</v>
      </c>
      <c r="R2377">
        <v>-0.97409299999999999</v>
      </c>
      <c r="S2377">
        <v>-1.1333009999999999</v>
      </c>
      <c r="T2377">
        <v>-0.2228434</v>
      </c>
      <c r="U2377">
        <v>-2.8695369999999998</v>
      </c>
      <c r="V2377">
        <v>0.1037758</v>
      </c>
      <c r="W2377">
        <v>0.115938</v>
      </c>
      <c r="X2377">
        <v>0.98782029999999998</v>
      </c>
      <c r="Y2377">
        <v>0.2721769</v>
      </c>
      <c r="Z2377">
        <v>5.9298169999999997E-2</v>
      </c>
      <c r="AA2377">
        <v>0.96041840000000001</v>
      </c>
      <c r="AB2377">
        <v>14</v>
      </c>
      <c r="AC2377">
        <v>-5.6871000000000098</v>
      </c>
      <c r="AD2377">
        <v>-1.12123028837419</v>
      </c>
      <c r="AE2377">
        <v>-14.2980999999999</v>
      </c>
      <c r="AF2377">
        <v>4.2140234049106002</v>
      </c>
      <c r="AG2377">
        <v>-1.12123028837419</v>
      </c>
      <c r="AH2377">
        <v>14.714834200290101</v>
      </c>
      <c r="AI2377">
        <v>94.189583246921003</v>
      </c>
      <c r="AJ2377">
        <v>74.019385285939805</v>
      </c>
      <c r="AK2377">
        <v>15.3473612115806</v>
      </c>
      <c r="AL2377">
        <v>83.342269540357293</v>
      </c>
      <c r="AM2377">
        <v>84.002770751944894</v>
      </c>
      <c r="AN2377">
        <v>0.99999999080086499</v>
      </c>
    </row>
    <row r="2378" spans="1:40" x14ac:dyDescent="0.25">
      <c r="A2378" t="str">
        <f>"20190303161921144"</f>
        <v>20190303161921144</v>
      </c>
      <c r="B2378" t="str">
        <f>"1551601161134933"</f>
        <v>1551601161134933</v>
      </c>
      <c r="C2378" t="s">
        <v>40</v>
      </c>
      <c r="D2378">
        <v>4.7092349999999996</v>
      </c>
      <c r="E2378">
        <v>0.56681689999999996</v>
      </c>
      <c r="F2378" t="s">
        <v>49</v>
      </c>
      <c r="G2378">
        <v>-198.05840000000001</v>
      </c>
      <c r="H2378" s="1">
        <v>6.9113719999999999E-7</v>
      </c>
      <c r="I2378">
        <v>295.69200000000001</v>
      </c>
      <c r="J2378">
        <v>-192.48</v>
      </c>
      <c r="K2378">
        <v>1.1212329999999999</v>
      </c>
      <c r="L2378">
        <v>309.73180000000002</v>
      </c>
      <c r="M2378">
        <v>-0.10054879999999999</v>
      </c>
      <c r="N2378">
        <v>-1.366409E-2</v>
      </c>
      <c r="O2378">
        <v>-0.99483849999999996</v>
      </c>
      <c r="P2378">
        <v>-0.20308950000000001</v>
      </c>
      <c r="Q2378">
        <v>0.1031296</v>
      </c>
      <c r="R2378">
        <v>-0.97371419999999997</v>
      </c>
      <c r="S2378">
        <v>-1.1318509999999999</v>
      </c>
      <c r="T2378">
        <v>-0.22686509999999999</v>
      </c>
      <c r="U2378">
        <v>-2.8694760000000001</v>
      </c>
      <c r="V2378">
        <v>0.10426000000000001</v>
      </c>
      <c r="W2378">
        <v>0.11653380000000001</v>
      </c>
      <c r="X2378">
        <v>0.9876992</v>
      </c>
      <c r="Y2378">
        <v>0.2706982</v>
      </c>
      <c r="Z2378">
        <v>6.062128E-2</v>
      </c>
      <c r="AA2378">
        <v>0.96075359999999999</v>
      </c>
      <c r="AB2378">
        <v>14</v>
      </c>
      <c r="AC2378">
        <v>-5.57840000000001</v>
      </c>
      <c r="AD2378">
        <v>-1.1212323088628</v>
      </c>
      <c r="AE2378">
        <v>-14.0398</v>
      </c>
      <c r="AF2378">
        <v>4.11563777867</v>
      </c>
      <c r="AG2378">
        <v>-1.1212323088628</v>
      </c>
      <c r="AH2378">
        <v>14.449994985178</v>
      </c>
      <c r="AI2378">
        <v>94.267847712884702</v>
      </c>
      <c r="AJ2378">
        <v>74.102022916137301</v>
      </c>
      <c r="AK2378">
        <v>15.066452511700399</v>
      </c>
      <c r="AL2378">
        <v>83.307899750495906</v>
      </c>
      <c r="AM2378">
        <v>83.974260785638293</v>
      </c>
      <c r="AN2378">
        <v>0.99999999191153999</v>
      </c>
    </row>
    <row r="2379" spans="1:40" x14ac:dyDescent="0.25">
      <c r="A2379" t="str">
        <f>"20190303161921168"</f>
        <v>20190303161921168</v>
      </c>
      <c r="B2379" t="str">
        <f>"1551601161154452"</f>
        <v>1551601161154452</v>
      </c>
      <c r="C2379" t="s">
        <v>40</v>
      </c>
      <c r="D2379">
        <v>4.6684330000000003</v>
      </c>
      <c r="E2379">
        <v>0.56675129999999996</v>
      </c>
      <c r="F2379" t="s">
        <v>49</v>
      </c>
      <c r="G2379">
        <v>-198.0581</v>
      </c>
      <c r="H2379" s="1">
        <v>7.0511380000000001E-7</v>
      </c>
      <c r="I2379">
        <v>295.61259999999999</v>
      </c>
      <c r="J2379">
        <v>-192.4957</v>
      </c>
      <c r="K2379">
        <v>1.1212359999999999</v>
      </c>
      <c r="L2379">
        <v>309.58980000000003</v>
      </c>
      <c r="M2379">
        <v>-0.101619</v>
      </c>
      <c r="N2379">
        <v>-1.366038E-2</v>
      </c>
      <c r="O2379">
        <v>-0.99472969999999905</v>
      </c>
      <c r="P2379">
        <v>-0.2049619</v>
      </c>
      <c r="Q2379">
        <v>0.1043529</v>
      </c>
      <c r="R2379">
        <v>-0.97319140000000004</v>
      </c>
      <c r="S2379">
        <v>-1.133362</v>
      </c>
      <c r="T2379">
        <v>-0.22781560000000001</v>
      </c>
      <c r="U2379">
        <v>-2.8687740000000002</v>
      </c>
      <c r="V2379">
        <v>0.1051122</v>
      </c>
      <c r="W2379">
        <v>0.1177499</v>
      </c>
      <c r="X2379">
        <v>0.98746460000000003</v>
      </c>
      <c r="Y2379">
        <v>0.27017329999999901</v>
      </c>
      <c r="Z2379">
        <v>6.0939840000000002E-2</v>
      </c>
      <c r="AA2379">
        <v>0.96088119999999999</v>
      </c>
      <c r="AB2379">
        <v>14</v>
      </c>
      <c r="AC2379">
        <v>-5.5623999999999896</v>
      </c>
      <c r="AD2379">
        <v>-1.1212352948861899</v>
      </c>
      <c r="AE2379">
        <v>-13.9772</v>
      </c>
      <c r="AF2379">
        <v>4.0903955548019004</v>
      </c>
      <c r="AG2379">
        <v>-1.1212352948861899</v>
      </c>
      <c r="AH2379">
        <v>14.390188956568499</v>
      </c>
      <c r="AI2379">
        <v>94.286171537034207</v>
      </c>
      <c r="AJ2379">
        <v>74.132257253863301</v>
      </c>
      <c r="AK2379">
        <v>15.0022012580484</v>
      </c>
      <c r="AL2379">
        <v>83.237739191223696</v>
      </c>
      <c r="AM2379">
        <v>83.923942006864607</v>
      </c>
      <c r="AN2379">
        <v>0.99999997489600401</v>
      </c>
    </row>
    <row r="2380" spans="1:40" x14ac:dyDescent="0.25">
      <c r="A2380" t="str">
        <f>"20190303161921188"</f>
        <v>20190303161921188</v>
      </c>
      <c r="B2380" t="str">
        <f>"1551601161174948"</f>
        <v>1551601161174948</v>
      </c>
      <c r="C2380" t="s">
        <v>40</v>
      </c>
      <c r="D2380">
        <v>4.7152750000000001</v>
      </c>
      <c r="E2380">
        <v>0.56644300000000003</v>
      </c>
      <c r="F2380" t="s">
        <v>49</v>
      </c>
      <c r="G2380">
        <v>-198.1499</v>
      </c>
      <c r="H2380" s="1">
        <v>7.8182199999999899E-7</v>
      </c>
      <c r="I2380">
        <v>295.34930000000003</v>
      </c>
      <c r="J2380">
        <v>-192.51050000000001</v>
      </c>
      <c r="K2380">
        <v>1.1212420000000001</v>
      </c>
      <c r="L2380">
        <v>309.45620000000002</v>
      </c>
      <c r="M2380">
        <v>-0.1026267</v>
      </c>
      <c r="N2380">
        <v>-1.365704E-2</v>
      </c>
      <c r="O2380">
        <v>-0.99462629999999996</v>
      </c>
      <c r="P2380">
        <v>-0.2066347</v>
      </c>
      <c r="Q2380">
        <v>0.1051767</v>
      </c>
      <c r="R2380">
        <v>-0.97274890000000003</v>
      </c>
      <c r="S2380">
        <v>-1.1383970000000001</v>
      </c>
      <c r="T2380">
        <v>-0.22574250000000001</v>
      </c>
      <c r="U2380">
        <v>-2.8670960000000001</v>
      </c>
      <c r="V2380">
        <v>0.105819899999999</v>
      </c>
      <c r="W2380">
        <v>0.1185681</v>
      </c>
      <c r="X2380">
        <v>0.98729109999999998</v>
      </c>
      <c r="Y2380">
        <v>0.27086470000000001</v>
      </c>
      <c r="Z2380">
        <v>6.0272060000000002E-2</v>
      </c>
      <c r="AA2380">
        <v>0.96072869999999999</v>
      </c>
      <c r="AB2380">
        <v>14</v>
      </c>
      <c r="AC2380">
        <v>-5.6393999999999904</v>
      </c>
      <c r="AD2380">
        <v>-1.121241218178</v>
      </c>
      <c r="AE2380">
        <v>-14.1068999999999</v>
      </c>
      <c r="AF2380">
        <v>4.1391929013621098</v>
      </c>
      <c r="AG2380">
        <v>-1.121241218178</v>
      </c>
      <c r="AH2380">
        <v>14.532053308078</v>
      </c>
      <c r="AI2380">
        <v>94.243856244636206</v>
      </c>
      <c r="AJ2380">
        <v>74.101354348447799</v>
      </c>
      <c r="AK2380">
        <v>15.1515897876377</v>
      </c>
      <c r="AL2380">
        <v>83.1905291009395</v>
      </c>
      <c r="AM2380">
        <v>83.882275428047393</v>
      </c>
      <c r="AN2380">
        <v>0.99999998085641395</v>
      </c>
    </row>
    <row r="2381" spans="1:40" x14ac:dyDescent="0.25">
      <c r="A2381" t="str">
        <f>"20190303161921211"</f>
        <v>20190303161921211</v>
      </c>
      <c r="B2381" t="str">
        <f>"1551601161205209"</f>
        <v>1551601161205209</v>
      </c>
      <c r="C2381" t="s">
        <v>40</v>
      </c>
      <c r="D2381">
        <v>4.718146</v>
      </c>
      <c r="E2381">
        <v>0.566187</v>
      </c>
      <c r="F2381" t="s">
        <v>49</v>
      </c>
      <c r="G2381">
        <v>-198.2133</v>
      </c>
      <c r="H2381" s="1">
        <v>8.5189049999999905E-7</v>
      </c>
      <c r="I2381">
        <v>295.1352</v>
      </c>
      <c r="J2381">
        <v>-192.5257</v>
      </c>
      <c r="K2381">
        <v>1.121248</v>
      </c>
      <c r="L2381">
        <v>309.3211</v>
      </c>
      <c r="M2381">
        <v>-0.1036451</v>
      </c>
      <c r="N2381">
        <v>-1.3653749999999999E-2</v>
      </c>
      <c r="O2381">
        <v>-0.99452070000000004</v>
      </c>
      <c r="P2381">
        <v>-0.20911489999999999</v>
      </c>
      <c r="Q2381">
        <v>0.1052294</v>
      </c>
      <c r="R2381">
        <v>-0.97221279999999999</v>
      </c>
      <c r="S2381">
        <v>-1.141205</v>
      </c>
      <c r="T2381">
        <v>-0.22437660000000001</v>
      </c>
      <c r="U2381">
        <v>-2.8658450000000002</v>
      </c>
      <c r="V2381">
        <v>0.1073292</v>
      </c>
      <c r="W2381">
        <v>0.1186145</v>
      </c>
      <c r="X2381">
        <v>0.98712259999999996</v>
      </c>
      <c r="Y2381">
        <v>0.27084609999999998</v>
      </c>
      <c r="Z2381">
        <v>5.9840440000000002E-2</v>
      </c>
      <c r="AA2381">
        <v>0.96076090000000003</v>
      </c>
      <c r="AB2381">
        <v>14</v>
      </c>
      <c r="AC2381">
        <v>-5.6875999999999998</v>
      </c>
      <c r="AD2381">
        <v>-1.1212471481094901</v>
      </c>
      <c r="AE2381">
        <v>-14.1859</v>
      </c>
      <c r="AF2381">
        <v>4.1641151880567904</v>
      </c>
      <c r="AG2381">
        <v>-1.1212471481094901</v>
      </c>
      <c r="AH2381">
        <v>14.6203440884029</v>
      </c>
      <c r="AI2381">
        <v>94.218360142139204</v>
      </c>
      <c r="AJ2381">
        <v>74.102172647099096</v>
      </c>
      <c r="AK2381">
        <v>15.243080782107199</v>
      </c>
      <c r="AL2381">
        <v>83.187851759587105</v>
      </c>
      <c r="AM2381">
        <v>83.794643830486905</v>
      </c>
      <c r="AN2381">
        <v>0.999999992106824</v>
      </c>
    </row>
    <row r="2382" spans="1:40" x14ac:dyDescent="0.25">
      <c r="A2382" t="str">
        <f>"20190303161921233"</f>
        <v>20190303161921233</v>
      </c>
      <c r="B2382" t="str">
        <f>"1551601161224730"</f>
        <v>1551601161224730</v>
      </c>
      <c r="C2382" t="s">
        <v>40</v>
      </c>
      <c r="D2382">
        <v>4.7094120000000004</v>
      </c>
      <c r="E2382">
        <v>0.56631119999999902</v>
      </c>
      <c r="F2382" t="s">
        <v>49</v>
      </c>
      <c r="G2382">
        <v>-198.16560000000001</v>
      </c>
      <c r="H2382" s="1">
        <v>8.2085779999999997E-7</v>
      </c>
      <c r="I2382">
        <v>295.23489999999998</v>
      </c>
      <c r="J2382">
        <v>-192.5412</v>
      </c>
      <c r="K2382">
        <v>1.1212549999999999</v>
      </c>
      <c r="L2382">
        <v>309.18419999999998</v>
      </c>
      <c r="M2382">
        <v>-0.1046776</v>
      </c>
      <c r="N2382">
        <v>-1.3650270000000001E-2</v>
      </c>
      <c r="O2382">
        <v>-0.99441259999999998</v>
      </c>
      <c r="P2382">
        <v>-0.21204700000000001</v>
      </c>
      <c r="Q2382">
        <v>0.1052154</v>
      </c>
      <c r="R2382">
        <v>-0.97157899999999997</v>
      </c>
      <c r="S2382">
        <v>-1.146622</v>
      </c>
      <c r="T2382">
        <v>-0.22795770000000001</v>
      </c>
      <c r="U2382">
        <v>-2.8638309999999998</v>
      </c>
      <c r="V2382">
        <v>0.10928450000000001</v>
      </c>
      <c r="W2382">
        <v>0.1185927</v>
      </c>
      <c r="X2382">
        <v>0.98691070000000003</v>
      </c>
      <c r="Y2382">
        <v>0.27161740000000001</v>
      </c>
      <c r="Z2382">
        <v>6.1013329999999998E-2</v>
      </c>
      <c r="AA2382">
        <v>0.96046929999999997</v>
      </c>
      <c r="AB2382">
        <v>14</v>
      </c>
      <c r="AC2382">
        <v>-5.6243999999999996</v>
      </c>
      <c r="AD2382">
        <v>-1.1212541791421999</v>
      </c>
      <c r="AE2382">
        <v>-13.9492999999999</v>
      </c>
      <c r="AF2382">
        <v>4.11033636863346</v>
      </c>
      <c r="AG2382">
        <v>-1.1212541791421999</v>
      </c>
      <c r="AH2382">
        <v>14.3815286286643</v>
      </c>
      <c r="AI2382">
        <v>94.287060726778094</v>
      </c>
      <c r="AJ2382">
        <v>74.049712091950397</v>
      </c>
      <c r="AK2382">
        <v>14.9993480423199</v>
      </c>
      <c r="AL2382">
        <v>83.189109946457407</v>
      </c>
      <c r="AM2382">
        <v>83.681156496488796</v>
      </c>
      <c r="AN2382">
        <v>1.00000003010401</v>
      </c>
    </row>
    <row r="2383" spans="1:40" x14ac:dyDescent="0.25">
      <c r="A2383" t="str">
        <f>"20190303161921254"</f>
        <v>20190303161921254</v>
      </c>
      <c r="B2383" t="str">
        <f>"1551601161245226"</f>
        <v>1551601161245226</v>
      </c>
      <c r="C2383" t="s">
        <v>40</v>
      </c>
      <c r="D2383">
        <v>4.6636739999999897</v>
      </c>
      <c r="E2383">
        <v>0.57503249999999995</v>
      </c>
      <c r="F2383" t="s">
        <v>49</v>
      </c>
      <c r="G2383">
        <v>-198.22620000000001</v>
      </c>
      <c r="H2383" s="1">
        <v>8.5709840000000004E-7</v>
      </c>
      <c r="I2383">
        <v>295.11720000000003</v>
      </c>
      <c r="J2383">
        <v>-192.55670000000001</v>
      </c>
      <c r="K2383">
        <v>1.121254</v>
      </c>
      <c r="L2383">
        <v>309.04910000000001</v>
      </c>
      <c r="M2383">
        <v>-0.1056964</v>
      </c>
      <c r="N2383">
        <v>-1.3646749999999999E-2</v>
      </c>
      <c r="O2383">
        <v>-0.99430490000000005</v>
      </c>
      <c r="P2383">
        <v>-0.21519859999999999</v>
      </c>
      <c r="Q2383">
        <v>0.1048481</v>
      </c>
      <c r="R2383">
        <v>-0.97092560000000006</v>
      </c>
      <c r="S2383">
        <v>-1.155899</v>
      </c>
      <c r="T2383">
        <v>-0.2279803</v>
      </c>
      <c r="U2383">
        <v>-2.8601990000000002</v>
      </c>
      <c r="V2383">
        <v>0.1114738</v>
      </c>
      <c r="W2383">
        <v>0.1182177</v>
      </c>
      <c r="X2383">
        <v>0.9867108</v>
      </c>
      <c r="Y2383">
        <v>0.273731</v>
      </c>
      <c r="Z2383">
        <v>6.1038090000000003E-2</v>
      </c>
      <c r="AA2383">
        <v>0.95986749999999998</v>
      </c>
      <c r="AB2383">
        <v>14</v>
      </c>
      <c r="AC2383">
        <v>-5.6694999999999904</v>
      </c>
      <c r="AD2383">
        <v>-1.1212531429015999</v>
      </c>
      <c r="AE2383">
        <v>-13.931899999999899</v>
      </c>
      <c r="AF2383">
        <v>4.1420303748647296</v>
      </c>
      <c r="AG2383">
        <v>-1.1212531429015999</v>
      </c>
      <c r="AH2383">
        <v>14.373275183610501</v>
      </c>
      <c r="AI2383">
        <v>94.286825565942806</v>
      </c>
      <c r="AJ2383">
        <v>73.9242976692816</v>
      </c>
      <c r="AK2383">
        <v>15.0001554572132</v>
      </c>
      <c r="AL2383">
        <v>83.210747995489399</v>
      </c>
      <c r="AM2383">
        <v>83.554330886235604</v>
      </c>
      <c r="AN2383">
        <v>1.00000001775818</v>
      </c>
    </row>
    <row r="2384" spans="1:40" x14ac:dyDescent="0.25">
      <c r="A2384" t="str">
        <f>"20190303161921277"</f>
        <v>20190303161921277</v>
      </c>
      <c r="B2384" t="str">
        <f>"1551601161264745"</f>
        <v>1551601161264745</v>
      </c>
      <c r="C2384" t="s">
        <v>40</v>
      </c>
      <c r="D2384">
        <v>4.6811230000000004</v>
      </c>
      <c r="E2384">
        <v>0.57529280000000005</v>
      </c>
      <c r="F2384" t="s">
        <v>49</v>
      </c>
      <c r="G2384">
        <v>-201.3914</v>
      </c>
      <c r="H2384" s="1">
        <v>2.4745760000000002E-6</v>
      </c>
      <c r="I2384">
        <v>288.72770000000003</v>
      </c>
      <c r="J2384">
        <v>-192.5719</v>
      </c>
      <c r="K2384">
        <v>1.121259</v>
      </c>
      <c r="L2384">
        <v>308.9171</v>
      </c>
      <c r="M2384">
        <v>-0.1066923</v>
      </c>
      <c r="N2384">
        <v>-1.364332E-2</v>
      </c>
      <c r="O2384">
        <v>-0.99419869999999999</v>
      </c>
      <c r="P2384">
        <v>-0.21842729999999999</v>
      </c>
      <c r="Q2384">
        <v>0.1046675</v>
      </c>
      <c r="R2384">
        <v>-0.97022410000000003</v>
      </c>
      <c r="S2384">
        <v>-1.2319180000000001</v>
      </c>
      <c r="T2384">
        <v>-0.15634879999999901</v>
      </c>
      <c r="U2384">
        <v>-2.8336489999999999</v>
      </c>
      <c r="V2384">
        <v>0.1137682</v>
      </c>
      <c r="W2384">
        <v>0.1180283</v>
      </c>
      <c r="X2384">
        <v>0.98647149999999995</v>
      </c>
      <c r="Y2384">
        <v>0.2981587</v>
      </c>
      <c r="Z2384">
        <v>3.7740620000000002E-2</v>
      </c>
      <c r="AA2384">
        <v>0.95376989999999995</v>
      </c>
      <c r="AB2384">
        <v>14</v>
      </c>
      <c r="AC2384">
        <v>-8.8194999999999997</v>
      </c>
      <c r="AD2384">
        <v>-1.1212565254239999</v>
      </c>
      <c r="AE2384">
        <v>-20.1893999999999</v>
      </c>
      <c r="AF2384">
        <v>6.59780723689064</v>
      </c>
      <c r="AG2384">
        <v>-1.1212565254239999</v>
      </c>
      <c r="AH2384">
        <v>20.960908738690499</v>
      </c>
      <c r="AI2384">
        <v>92.920967309883594</v>
      </c>
      <c r="AJ2384">
        <v>72.527706205310395</v>
      </c>
      <c r="AK2384">
        <v>22.0033627357885</v>
      </c>
      <c r="AL2384">
        <v>83.221675875109298</v>
      </c>
      <c r="AM2384">
        <v>83.421232789745602</v>
      </c>
      <c r="AN2384">
        <v>0.99999995162218802</v>
      </c>
    </row>
    <row r="2385" spans="1:40" x14ac:dyDescent="0.25">
      <c r="A2385" t="str">
        <f>"20190303161921299"</f>
        <v>20190303161921299</v>
      </c>
      <c r="B2385" t="str">
        <f>"1551601161285241"</f>
        <v>1551601161285241</v>
      </c>
      <c r="C2385" t="s">
        <v>40</v>
      </c>
      <c r="D2385">
        <v>4.6389950000000004</v>
      </c>
      <c r="E2385">
        <v>0.57592140000000003</v>
      </c>
      <c r="F2385" t="s">
        <v>49</v>
      </c>
      <c r="G2385">
        <v>-201.4357</v>
      </c>
      <c r="H2385" s="1">
        <v>2.4920590000000002E-6</v>
      </c>
      <c r="I2385">
        <v>288.75240000000002</v>
      </c>
      <c r="J2385">
        <v>-192.5873</v>
      </c>
      <c r="K2385">
        <v>1.121259</v>
      </c>
      <c r="L2385">
        <v>308.7851</v>
      </c>
      <c r="M2385">
        <v>-0.1076879</v>
      </c>
      <c r="N2385">
        <v>-1.363997E-2</v>
      </c>
      <c r="O2385">
        <v>-0.99409119999999995</v>
      </c>
      <c r="P2385">
        <v>-0.2218483</v>
      </c>
      <c r="Q2385">
        <v>0.1044606</v>
      </c>
      <c r="R2385">
        <v>-0.96946949999999998</v>
      </c>
      <c r="S2385">
        <v>-1.243576</v>
      </c>
      <c r="T2385">
        <v>-0.1573118</v>
      </c>
      <c r="U2385">
        <v>-2.8291019999999998</v>
      </c>
      <c r="V2385">
        <v>0.1162605</v>
      </c>
      <c r="W2385">
        <v>0.1178124</v>
      </c>
      <c r="X2385">
        <v>0.98620680000000005</v>
      </c>
      <c r="Y2385">
        <v>0.30105399999999999</v>
      </c>
      <c r="Z2385">
        <v>3.8066089999999997E-2</v>
      </c>
      <c r="AA2385">
        <v>0.95284709999999995</v>
      </c>
      <c r="AB2385">
        <v>14</v>
      </c>
      <c r="AC2385">
        <v>-8.8483999999999892</v>
      </c>
      <c r="AD2385">
        <v>-1.121256507941</v>
      </c>
      <c r="AE2385">
        <v>-20.032699999999899</v>
      </c>
      <c r="AF2385">
        <v>6.6220957417954098</v>
      </c>
      <c r="AG2385">
        <v>-1.121256507941</v>
      </c>
      <c r="AH2385">
        <v>20.814574700314701</v>
      </c>
      <c r="AI2385">
        <v>92.938613479343104</v>
      </c>
      <c r="AJ2385">
        <v>72.351684222776299</v>
      </c>
      <c r="AK2385">
        <v>21.871348566677</v>
      </c>
      <c r="AL2385">
        <v>83.234133676110901</v>
      </c>
      <c r="AM2385">
        <v>83.276630051545496</v>
      </c>
      <c r="AN2385">
        <v>1.0000000589101199</v>
      </c>
    </row>
    <row r="2386" spans="1:40" x14ac:dyDescent="0.25">
      <c r="A2386" t="str">
        <f>"20190303161921322"</f>
        <v>20190303161921322</v>
      </c>
      <c r="B2386" t="str">
        <f>"1551601161315028"</f>
        <v>1551601161315028</v>
      </c>
      <c r="C2386" t="s">
        <v>40</v>
      </c>
      <c r="D2386">
        <v>4.5910859999999998</v>
      </c>
      <c r="E2386">
        <v>0.57700309999999999</v>
      </c>
      <c r="F2386" t="s">
        <v>49</v>
      </c>
      <c r="G2386">
        <v>-201.63740000000001</v>
      </c>
      <c r="H2386" s="1">
        <v>2.6050419999999999E-6</v>
      </c>
      <c r="I2386">
        <v>288.48309999999998</v>
      </c>
      <c r="J2386">
        <v>-192.60419999999999</v>
      </c>
      <c r="K2386">
        <v>1.1212580000000001</v>
      </c>
      <c r="L2386">
        <v>308.64170000000001</v>
      </c>
      <c r="M2386">
        <v>-0.10876959999999999</v>
      </c>
      <c r="N2386">
        <v>-1.363631E-2</v>
      </c>
      <c r="O2386">
        <v>-0.99397349999999995</v>
      </c>
      <c r="P2386">
        <v>-0.22570860000000001</v>
      </c>
      <c r="Q2386">
        <v>0.1046134</v>
      </c>
      <c r="R2386">
        <v>-0.96856189999999998</v>
      </c>
      <c r="S2386">
        <v>-1.258545</v>
      </c>
      <c r="T2386">
        <v>-0.15592790000000001</v>
      </c>
      <c r="U2386">
        <v>-2.8233030000000001</v>
      </c>
      <c r="V2386">
        <v>0.1191212</v>
      </c>
      <c r="W2386">
        <v>0.1179549</v>
      </c>
      <c r="X2386">
        <v>0.98584819999999995</v>
      </c>
      <c r="Y2386">
        <v>0.3049634</v>
      </c>
      <c r="Z2386">
        <v>3.7627029999999999E-2</v>
      </c>
      <c r="AA2386">
        <v>0.95162049999999998</v>
      </c>
      <c r="AB2386">
        <v>14</v>
      </c>
      <c r="AC2386">
        <v>-9.0332000000000203</v>
      </c>
      <c r="AD2386">
        <v>-1.121255394958</v>
      </c>
      <c r="AE2386">
        <v>-20.1586</v>
      </c>
      <c r="AF2386">
        <v>6.7693086370492601</v>
      </c>
      <c r="AG2386">
        <v>-1.121255394958</v>
      </c>
      <c r="AH2386">
        <v>20.9675838746175</v>
      </c>
      <c r="AI2386">
        <v>92.913228698128094</v>
      </c>
      <c r="AJ2386">
        <v>72.107513790744903</v>
      </c>
      <c r="AK2386">
        <v>22.061738975508501</v>
      </c>
      <c r="AL2386">
        <v>83.225910931692795</v>
      </c>
      <c r="AM2386">
        <v>83.110284220149694</v>
      </c>
      <c r="AN2386">
        <v>0.99999994608334297</v>
      </c>
    </row>
    <row r="2387" spans="1:40" x14ac:dyDescent="0.25">
      <c r="A2387" t="str">
        <f>"20190303161921345"</f>
        <v>20190303161921345</v>
      </c>
      <c r="B2387" t="str">
        <f>"1551601161334551"</f>
        <v>1551601161334551</v>
      </c>
      <c r="C2387" t="s">
        <v>40</v>
      </c>
      <c r="D2387">
        <v>4.548578</v>
      </c>
      <c r="E2387">
        <v>0.57728570000000001</v>
      </c>
      <c r="F2387" t="s">
        <v>49</v>
      </c>
      <c r="G2387">
        <v>-202.1593</v>
      </c>
      <c r="H2387" s="1">
        <v>2.9144929999999998E-6</v>
      </c>
      <c r="I2387">
        <v>287.59100000000001</v>
      </c>
      <c r="J2387">
        <v>-192.61969999999999</v>
      </c>
      <c r="K2387">
        <v>1.1212519999999999</v>
      </c>
      <c r="L2387">
        <v>308.51100000000002</v>
      </c>
      <c r="M2387">
        <v>-0.1097553</v>
      </c>
      <c r="N2387">
        <v>-1.3633080000000001E-2</v>
      </c>
      <c r="O2387">
        <v>-0.99386549999999996</v>
      </c>
      <c r="P2387">
        <v>-0.22983319999999999</v>
      </c>
      <c r="Q2387">
        <v>0.1047119</v>
      </c>
      <c r="R2387">
        <v>-0.96758080000000002</v>
      </c>
      <c r="S2387">
        <v>-1.2781070000000001</v>
      </c>
      <c r="T2387">
        <v>-0.1499808</v>
      </c>
      <c r="U2387">
        <v>-2.8157649999999999</v>
      </c>
      <c r="V2387">
        <v>0.1223489</v>
      </c>
      <c r="W2387">
        <v>0.1180421</v>
      </c>
      <c r="X2387">
        <v>0.9854425</v>
      </c>
      <c r="Y2387">
        <v>0.31048759999999997</v>
      </c>
      <c r="Z2387">
        <v>3.5698760000000003E-2</v>
      </c>
      <c r="AA2387">
        <v>0.94990680000000005</v>
      </c>
      <c r="AB2387">
        <v>14</v>
      </c>
      <c r="AC2387">
        <v>-9.5396000000000001</v>
      </c>
      <c r="AD2387">
        <v>-1.1212490855069901</v>
      </c>
      <c r="AE2387">
        <v>-20.919999999999899</v>
      </c>
      <c r="AF2387">
        <v>7.1686157597083398</v>
      </c>
      <c r="AG2387">
        <v>-1.1212490855069901</v>
      </c>
      <c r="AH2387">
        <v>21.788893001325398</v>
      </c>
      <c r="AI2387">
        <v>92.798507635307899</v>
      </c>
      <c r="AJ2387">
        <v>71.788628444271097</v>
      </c>
      <c r="AK2387">
        <v>22.965236982127902</v>
      </c>
      <c r="AL2387">
        <v>83.220880336312007</v>
      </c>
      <c r="AM2387">
        <v>82.922585027454403</v>
      </c>
      <c r="AN2387">
        <v>1.00000005575493</v>
      </c>
    </row>
    <row r="2388" spans="1:40" x14ac:dyDescent="0.25">
      <c r="A2388" t="str">
        <f>"20190303161921368"</f>
        <v>20190303161921368</v>
      </c>
      <c r="B2388" t="str">
        <f>"1551601161355043"</f>
        <v>1551601161355043</v>
      </c>
      <c r="C2388" t="s">
        <v>40</v>
      </c>
      <c r="D2388">
        <v>4.5069650000000001</v>
      </c>
      <c r="E2388">
        <v>0.5772275</v>
      </c>
      <c r="F2388" t="s">
        <v>49</v>
      </c>
      <c r="G2388">
        <v>-202.2687</v>
      </c>
      <c r="H2388" s="1">
        <v>2.9680109999999999E-6</v>
      </c>
      <c r="I2388">
        <v>287.53399999999999</v>
      </c>
      <c r="J2388">
        <v>-192.6369</v>
      </c>
      <c r="K2388">
        <v>1.1212530000000001</v>
      </c>
      <c r="L2388">
        <v>308.36700000000002</v>
      </c>
      <c r="M2388">
        <v>-0.110842</v>
      </c>
      <c r="N2388">
        <v>-1.3629290000000001E-2</v>
      </c>
      <c r="O2388">
        <v>-0.99374450000000003</v>
      </c>
      <c r="P2388">
        <v>-0.2338547</v>
      </c>
      <c r="Q2388">
        <v>0.1046821</v>
      </c>
      <c r="R2388">
        <v>-0.96661969999999997</v>
      </c>
      <c r="S2388">
        <v>-1.292465</v>
      </c>
      <c r="T2388">
        <v>-0.1501884</v>
      </c>
      <c r="U2388">
        <v>-2.8098139999999998</v>
      </c>
      <c r="V2388">
        <v>0.12537229999999999</v>
      </c>
      <c r="W2388">
        <v>0.1180013</v>
      </c>
      <c r="X2388">
        <v>0.98506720000000003</v>
      </c>
      <c r="Y2388">
        <v>0.3142142</v>
      </c>
      <c r="Z2388">
        <v>3.5781819999999999E-2</v>
      </c>
      <c r="AA2388">
        <v>0.94867749999999995</v>
      </c>
      <c r="AB2388">
        <v>14</v>
      </c>
      <c r="AC2388">
        <v>-9.6317999999999895</v>
      </c>
      <c r="AD2388">
        <v>-1.121250031989</v>
      </c>
      <c r="AE2388">
        <v>-20.832999999999998</v>
      </c>
      <c r="AF2388">
        <v>7.2457597004301304</v>
      </c>
      <c r="AG2388">
        <v>-1.121250031989</v>
      </c>
      <c r="AH2388">
        <v>21.720474118090099</v>
      </c>
      <c r="AI2388">
        <v>92.803474843644693</v>
      </c>
      <c r="AJ2388">
        <v>71.551753399598496</v>
      </c>
      <c r="AK2388">
        <v>22.924598822776201</v>
      </c>
      <c r="AL2388">
        <v>83.223233767240004</v>
      </c>
      <c r="AM2388">
        <v>82.746799039150204</v>
      </c>
      <c r="AN2388">
        <v>0.99999995446240897</v>
      </c>
    </row>
    <row r="2389" spans="1:40" x14ac:dyDescent="0.25">
      <c r="A2389" t="str">
        <f>"20190303161921391"</f>
        <v>20190303161921391</v>
      </c>
      <c r="B2389" t="str">
        <f>"1551601161385300"</f>
        <v>1551601161385300</v>
      </c>
      <c r="C2389" t="s">
        <v>40</v>
      </c>
      <c r="D2389">
        <v>4.5066009999999999</v>
      </c>
      <c r="E2389">
        <v>0.5771925</v>
      </c>
      <c r="F2389" t="s">
        <v>49</v>
      </c>
      <c r="G2389">
        <v>-202.29509999999999</v>
      </c>
      <c r="H2389" s="1">
        <v>2.974737E-6</v>
      </c>
      <c r="I2389">
        <v>287.59089999999998</v>
      </c>
      <c r="J2389">
        <v>-192.6534</v>
      </c>
      <c r="K2389">
        <v>1.121262</v>
      </c>
      <c r="L2389">
        <v>308.23099999999999</v>
      </c>
      <c r="M2389">
        <v>-0.1118676</v>
      </c>
      <c r="N2389">
        <v>-1.3625669999999999E-2</v>
      </c>
      <c r="O2389">
        <v>-0.99363009999999996</v>
      </c>
      <c r="P2389">
        <v>-0.23759739999999999</v>
      </c>
      <c r="Q2389">
        <v>0.1043174</v>
      </c>
      <c r="R2389">
        <v>-0.9657464</v>
      </c>
      <c r="S2389">
        <v>-1.3037570000000001</v>
      </c>
      <c r="T2389">
        <v>-0.1513573</v>
      </c>
      <c r="U2389">
        <v>-2.8045650000000002</v>
      </c>
      <c r="V2389">
        <v>0.12817000000000001</v>
      </c>
      <c r="W2389">
        <v>0.1176263</v>
      </c>
      <c r="X2389">
        <v>0.98475199999999996</v>
      </c>
      <c r="Y2389">
        <v>0.31704460000000001</v>
      </c>
      <c r="Z2389">
        <v>3.6183979999999998E-2</v>
      </c>
      <c r="AA2389">
        <v>0.94772009999999995</v>
      </c>
      <c r="AB2389">
        <v>13</v>
      </c>
      <c r="AC2389">
        <v>-9.6416999999999806</v>
      </c>
      <c r="AD2389">
        <v>-1.1212590252629999</v>
      </c>
      <c r="AE2389">
        <v>-20.6401</v>
      </c>
      <c r="AF2389">
        <v>7.2544232115857801</v>
      </c>
      <c r="AG2389">
        <v>-1.1212590252629999</v>
      </c>
      <c r="AH2389">
        <v>21.537040525940299</v>
      </c>
      <c r="AI2389">
        <v>92.824578745549999</v>
      </c>
      <c r="AJ2389">
        <v>71.384687549966699</v>
      </c>
      <c r="AK2389">
        <v>22.753636908207</v>
      </c>
      <c r="AL2389">
        <v>83.244870667770201</v>
      </c>
      <c r="AM2389">
        <v>82.584377479464194</v>
      </c>
      <c r="AN2389">
        <v>0.99999999842784404</v>
      </c>
    </row>
    <row r="2390" spans="1:40" x14ac:dyDescent="0.25">
      <c r="A2390" t="str">
        <f>"20190303161921411"</f>
        <v>20190303161921411</v>
      </c>
      <c r="B2390" t="str">
        <f>"1551601161404820"</f>
        <v>1551601161404820</v>
      </c>
      <c r="C2390" t="s">
        <v>40</v>
      </c>
      <c r="D2390">
        <v>4.5017120000000004</v>
      </c>
      <c r="E2390">
        <v>0.57728119999999905</v>
      </c>
      <c r="F2390" t="s">
        <v>49</v>
      </c>
      <c r="G2390">
        <v>-202.3185</v>
      </c>
      <c r="H2390" s="1">
        <v>2.9808700000000001E-6</v>
      </c>
      <c r="I2390">
        <v>287.63929999999999</v>
      </c>
      <c r="J2390">
        <v>-192.66839999999999</v>
      </c>
      <c r="K2390">
        <v>1.12127</v>
      </c>
      <c r="L2390">
        <v>308.10789999999997</v>
      </c>
      <c r="M2390">
        <v>-0.11279649999999999</v>
      </c>
      <c r="N2390">
        <v>-1.362232E-2</v>
      </c>
      <c r="O2390">
        <v>-0.99352479999999999</v>
      </c>
      <c r="P2390">
        <v>-0.24091499999999999</v>
      </c>
      <c r="Q2390">
        <v>0.10470359999999999</v>
      </c>
      <c r="R2390">
        <v>-0.96488220000000002</v>
      </c>
      <c r="S2390">
        <v>-1.314041</v>
      </c>
      <c r="T2390">
        <v>-0.15244279999999999</v>
      </c>
      <c r="U2390">
        <v>-2.7995909999999999</v>
      </c>
      <c r="V2390">
        <v>0.1306417</v>
      </c>
      <c r="W2390">
        <v>0.1180023</v>
      </c>
      <c r="X2390">
        <v>0.98438219999999998</v>
      </c>
      <c r="Y2390">
        <v>0.31964989999999999</v>
      </c>
      <c r="Z2390">
        <v>3.6559630000000003E-2</v>
      </c>
      <c r="AA2390">
        <v>0.94683019999999996</v>
      </c>
      <c r="AB2390">
        <v>13</v>
      </c>
      <c r="AC2390">
        <v>-9.6501000000000001</v>
      </c>
      <c r="AD2390">
        <v>-1.1212670191299901</v>
      </c>
      <c r="AE2390">
        <v>-20.468599999999899</v>
      </c>
      <c r="AF2390">
        <v>7.2616738396563898</v>
      </c>
      <c r="AG2390">
        <v>-1.1212670191299901</v>
      </c>
      <c r="AH2390">
        <v>21.374069789805802</v>
      </c>
      <c r="AI2390">
        <v>92.843593630108799</v>
      </c>
      <c r="AJ2390">
        <v>71.235207261455798</v>
      </c>
      <c r="AK2390">
        <v>22.601769976292299</v>
      </c>
      <c r="AL2390">
        <v>83.223176760555404</v>
      </c>
      <c r="AM2390">
        <v>82.440201894160495</v>
      </c>
      <c r="AN2390">
        <v>1.0000000561305</v>
      </c>
    </row>
    <row r="2391" spans="1:40" x14ac:dyDescent="0.25">
      <c r="A2391" t="str">
        <f>"20190303161921434"</f>
        <v>20190303161921434</v>
      </c>
      <c r="B2391" t="str">
        <f>"1551601161425316"</f>
        <v>1551601161425316</v>
      </c>
      <c r="C2391" t="s">
        <v>40</v>
      </c>
      <c r="D2391">
        <v>4.4368489999999996</v>
      </c>
      <c r="E2391">
        <v>0.57725230000000005</v>
      </c>
      <c r="F2391" t="s">
        <v>49</v>
      </c>
      <c r="G2391">
        <v>-202.50839999999999</v>
      </c>
      <c r="H2391" s="1">
        <v>3.0910250000000002E-6</v>
      </c>
      <c r="I2391">
        <v>287.3426</v>
      </c>
      <c r="J2391">
        <v>-192.6842</v>
      </c>
      <c r="K2391">
        <v>1.1212719999999901</v>
      </c>
      <c r="L2391">
        <v>307.97840000000002</v>
      </c>
      <c r="M2391">
        <v>-0.11377329999999999</v>
      </c>
      <c r="N2391">
        <v>-1.3618750000000001E-2</v>
      </c>
      <c r="O2391">
        <v>-0.99341369999999896</v>
      </c>
      <c r="P2391">
        <v>-0.24412880000000001</v>
      </c>
      <c r="Q2391">
        <v>0.1043867</v>
      </c>
      <c r="R2391">
        <v>-0.96410870000000004</v>
      </c>
      <c r="S2391">
        <v>-1.3244020000000001</v>
      </c>
      <c r="T2391">
        <v>-0.15091450000000001</v>
      </c>
      <c r="U2391">
        <v>-2.794861</v>
      </c>
      <c r="V2391">
        <v>0.1329525</v>
      </c>
      <c r="W2391">
        <v>0.1176765</v>
      </c>
      <c r="X2391">
        <v>0.98411170000000003</v>
      </c>
      <c r="Y2391">
        <v>0.32221129999999998</v>
      </c>
      <c r="Z2391">
        <v>3.6078159999999998E-2</v>
      </c>
      <c r="AA2391">
        <v>0.94598000000000004</v>
      </c>
      <c r="AB2391">
        <v>13</v>
      </c>
      <c r="AC2391">
        <v>-9.8241999999999905</v>
      </c>
      <c r="AD2391">
        <v>-1.1212689089750001</v>
      </c>
      <c r="AE2391">
        <v>-20.6358</v>
      </c>
      <c r="AF2391">
        <v>7.3945789838835996</v>
      </c>
      <c r="AG2391">
        <v>-1.1212689089750001</v>
      </c>
      <c r="AH2391">
        <v>21.5677052583776</v>
      </c>
      <c r="AI2391">
        <v>92.815434540515</v>
      </c>
      <c r="AJ2391">
        <v>71.075504912434695</v>
      </c>
      <c r="AK2391">
        <v>22.827679523494599</v>
      </c>
      <c r="AL2391">
        <v>83.2419741926782</v>
      </c>
      <c r="AM2391">
        <v>82.3059819230606</v>
      </c>
      <c r="AN2391">
        <v>0.99999998199269402</v>
      </c>
    </row>
    <row r="2392" spans="1:40" x14ac:dyDescent="0.25">
      <c r="A2392" t="str">
        <f>"20190303161921456"</f>
        <v>20190303161921456</v>
      </c>
      <c r="B2392" t="str">
        <f>"1551601161444836"</f>
        <v>1551601161444836</v>
      </c>
      <c r="C2392" t="s">
        <v>40</v>
      </c>
      <c r="D2392">
        <v>4.4411199999999997</v>
      </c>
      <c r="E2392">
        <v>0.57721219999999995</v>
      </c>
      <c r="F2392" t="s">
        <v>49</v>
      </c>
      <c r="G2392">
        <v>-202.5771</v>
      </c>
      <c r="H2392" s="1">
        <v>3.127963E-6</v>
      </c>
      <c r="I2392">
        <v>287.26839999999999</v>
      </c>
      <c r="J2392">
        <v>-192.7013</v>
      </c>
      <c r="K2392">
        <v>1.1212740000000001</v>
      </c>
      <c r="L2392">
        <v>307.84089999999998</v>
      </c>
      <c r="M2392">
        <v>-0.11481089999999999</v>
      </c>
      <c r="N2392">
        <v>-1.361505E-2</v>
      </c>
      <c r="O2392">
        <v>-0.99329409999999896</v>
      </c>
      <c r="P2392">
        <v>-0.2460377</v>
      </c>
      <c r="Q2392">
        <v>0.10457</v>
      </c>
      <c r="R2392">
        <v>-0.96360299999999999</v>
      </c>
      <c r="S2392">
        <v>-1.3329770000000001</v>
      </c>
      <c r="T2392">
        <v>-0.15108170000000001</v>
      </c>
      <c r="U2392">
        <v>-2.7904969999999998</v>
      </c>
      <c r="V2392">
        <v>0.13387689999999999</v>
      </c>
      <c r="W2392">
        <v>0.1178541</v>
      </c>
      <c r="X2392">
        <v>0.98396519999999998</v>
      </c>
      <c r="Y2392">
        <v>0.3241619</v>
      </c>
      <c r="Z2392">
        <v>3.6154510000000001E-2</v>
      </c>
      <c r="AA2392">
        <v>0.94531050000000005</v>
      </c>
      <c r="AB2392">
        <v>13</v>
      </c>
      <c r="AC2392">
        <v>-9.8757999999999893</v>
      </c>
      <c r="AD2392">
        <v>-1.1212708720369999</v>
      </c>
      <c r="AE2392">
        <v>-20.572499999999899</v>
      </c>
      <c r="AF2392">
        <v>7.4303778385285701</v>
      </c>
      <c r="AG2392">
        <v>-1.1212708720369999</v>
      </c>
      <c r="AH2392">
        <v>21.5184396990404</v>
      </c>
      <c r="AI2392">
        <v>92.819753342653698</v>
      </c>
      <c r="AJ2392">
        <v>70.950062419260306</v>
      </c>
      <c r="AK2392">
        <v>22.792784171158502</v>
      </c>
      <c r="AL2392">
        <v>83.231727715415303</v>
      </c>
      <c r="AM2392">
        <v>82.251994495538398</v>
      </c>
      <c r="AN2392">
        <v>1.0000000640257201</v>
      </c>
    </row>
    <row r="2393" spans="1:40" x14ac:dyDescent="0.25">
      <c r="A2393" t="str">
        <f>"20190303161921478"</f>
        <v>20190303161921478</v>
      </c>
      <c r="B2393" t="str">
        <f>"1551601161465332"</f>
        <v>1551601161465332</v>
      </c>
      <c r="C2393" t="s">
        <v>40</v>
      </c>
      <c r="D2393">
        <v>4.4676080000000002</v>
      </c>
      <c r="E2393">
        <v>0.57712010000000002</v>
      </c>
      <c r="F2393" t="s">
        <v>49</v>
      </c>
      <c r="G2393">
        <v>-202.73400000000001</v>
      </c>
      <c r="H2393" s="1">
        <v>3.2265610000000001E-6</v>
      </c>
      <c r="I2393">
        <v>286.93650000000002</v>
      </c>
      <c r="J2393">
        <v>-192.71709999999999</v>
      </c>
      <c r="K2393">
        <v>1.121278</v>
      </c>
      <c r="L2393">
        <v>307.71440000000001</v>
      </c>
      <c r="M2393">
        <v>-0.1157654</v>
      </c>
      <c r="N2393">
        <v>-1.361163E-2</v>
      </c>
      <c r="O2393">
        <v>-0.99318329999999999</v>
      </c>
      <c r="P2393">
        <v>-0.24899869999999999</v>
      </c>
      <c r="Q2393">
        <v>0.1051941</v>
      </c>
      <c r="R2393">
        <v>-0.96277389999999996</v>
      </c>
      <c r="S2393">
        <v>-1.3379970000000001</v>
      </c>
      <c r="T2393">
        <v>-0.14953640000000001</v>
      </c>
      <c r="U2393">
        <v>-2.7878720000000001</v>
      </c>
      <c r="V2393">
        <v>0.135966899999999</v>
      </c>
      <c r="W2393">
        <v>0.1184687</v>
      </c>
      <c r="X2393">
        <v>0.9836047</v>
      </c>
      <c r="Y2393">
        <v>0.32499169999999999</v>
      </c>
      <c r="Z2393">
        <v>3.5665750000000003E-2</v>
      </c>
      <c r="AA2393">
        <v>0.94504410000000005</v>
      </c>
      <c r="AB2393">
        <v>13</v>
      </c>
      <c r="AC2393">
        <v>-10.0169</v>
      </c>
      <c r="AD2393">
        <v>-1.1212747734390001</v>
      </c>
      <c r="AE2393">
        <v>-20.777899999999899</v>
      </c>
      <c r="AF2393">
        <v>7.52617053968223</v>
      </c>
      <c r="AG2393">
        <v>-1.1212747734390001</v>
      </c>
      <c r="AH2393">
        <v>21.7465064204595</v>
      </c>
      <c r="AI2393">
        <v>92.789563814471904</v>
      </c>
      <c r="AJ2393">
        <v>70.909957969328204</v>
      </c>
      <c r="AK2393">
        <v>23.039336830842501</v>
      </c>
      <c r="AL2393">
        <v>83.196264983141702</v>
      </c>
      <c r="AM2393">
        <v>82.1296935362667</v>
      </c>
      <c r="AN2393">
        <v>1.0000000183186899</v>
      </c>
    </row>
    <row r="2394" spans="1:40" x14ac:dyDescent="0.25">
      <c r="A2394" t="str">
        <f>"20190303161921501"</f>
        <v>20190303161921501</v>
      </c>
      <c r="B2394" t="str">
        <f>"1551601161495137"</f>
        <v>1551601161495137</v>
      </c>
      <c r="C2394" t="s">
        <v>40</v>
      </c>
      <c r="D2394">
        <v>4.4454539999999998</v>
      </c>
      <c r="E2394">
        <v>0.57694659999999998</v>
      </c>
      <c r="F2394" t="s">
        <v>49</v>
      </c>
      <c r="G2394">
        <v>-202.8972</v>
      </c>
      <c r="H2394" s="1">
        <v>3.3238409999999999E-6</v>
      </c>
      <c r="I2394">
        <v>286.65159999999997</v>
      </c>
      <c r="J2394">
        <v>-192.73490000000001</v>
      </c>
      <c r="K2394">
        <v>1.1212839999999999</v>
      </c>
      <c r="L2394">
        <v>307.5727</v>
      </c>
      <c r="M2394">
        <v>-0.1168348</v>
      </c>
      <c r="N2394">
        <v>-1.3607660000000001E-2</v>
      </c>
      <c r="O2394">
        <v>-0.99305829999999995</v>
      </c>
      <c r="P2394">
        <v>-0.25180770000000002</v>
      </c>
      <c r="Q2394">
        <v>0.1059915</v>
      </c>
      <c r="R2394">
        <v>-0.96195580000000003</v>
      </c>
      <c r="S2394">
        <v>-1.345642</v>
      </c>
      <c r="T2394">
        <v>-0.1482137</v>
      </c>
      <c r="U2394">
        <v>-2.7841490000000002</v>
      </c>
      <c r="V2394">
        <v>0.13779159999999999</v>
      </c>
      <c r="W2394">
        <v>0.1192565</v>
      </c>
      <c r="X2394">
        <v>0.98325549999999995</v>
      </c>
      <c r="Y2394">
        <v>0.32657839999999999</v>
      </c>
      <c r="Z2394">
        <v>3.5251240000000003E-2</v>
      </c>
      <c r="AA2394">
        <v>0.94451249999999998</v>
      </c>
      <c r="AB2394">
        <v>13</v>
      </c>
      <c r="AC2394">
        <v>-10.162299999999901</v>
      </c>
      <c r="AD2394">
        <v>-1.121280676159</v>
      </c>
      <c r="AE2394">
        <v>-20.921099999999999</v>
      </c>
      <c r="AF2394">
        <v>7.6304166605784598</v>
      </c>
      <c r="AG2394">
        <v>-1.121280676159</v>
      </c>
      <c r="AH2394">
        <v>21.914280879257799</v>
      </c>
      <c r="AI2394">
        <v>92.766451037578406</v>
      </c>
      <c r="AJ2394">
        <v>70.802199708397595</v>
      </c>
      <c r="AK2394">
        <v>23.231793629071401</v>
      </c>
      <c r="AL2394">
        <v>83.150805018714294</v>
      </c>
      <c r="AM2394">
        <v>82.022626886393397</v>
      </c>
      <c r="AN2394">
        <v>1.0000000080515199</v>
      </c>
    </row>
    <row r="2395" spans="1:40" x14ac:dyDescent="0.25">
      <c r="A2395" t="str">
        <f>"20190303161921523"</f>
        <v>20190303161921523</v>
      </c>
      <c r="B2395" t="str">
        <f>"1551601161514639"</f>
        <v>1551601161514639</v>
      </c>
      <c r="C2395" t="s">
        <v>40</v>
      </c>
      <c r="D2395">
        <v>4.4480810000000002</v>
      </c>
      <c r="E2395">
        <v>0.55855509999999997</v>
      </c>
      <c r="F2395" t="s">
        <v>49</v>
      </c>
      <c r="G2395">
        <v>-203.11529999999999</v>
      </c>
      <c r="H2395" s="1">
        <v>3.45807E-6</v>
      </c>
      <c r="I2395">
        <v>286.2226</v>
      </c>
      <c r="J2395">
        <v>-192.7509</v>
      </c>
      <c r="K2395">
        <v>1.1212899999999999</v>
      </c>
      <c r="L2395">
        <v>307.44670000000002</v>
      </c>
      <c r="M2395">
        <v>-0.1177858</v>
      </c>
      <c r="N2395">
        <v>-1.360422E-2</v>
      </c>
      <c r="O2395">
        <v>-0.99294590000000005</v>
      </c>
      <c r="P2395">
        <v>-0.25426969999999999</v>
      </c>
      <c r="Q2395">
        <v>0.1062173</v>
      </c>
      <c r="R2395">
        <v>-0.96128309999999995</v>
      </c>
      <c r="S2395">
        <v>-1.352036</v>
      </c>
      <c r="T2395">
        <v>-0.14604539999999999</v>
      </c>
      <c r="U2395">
        <v>-2.7808229999999998</v>
      </c>
      <c r="V2395">
        <v>0.1393722</v>
      </c>
      <c r="W2395">
        <v>0.1194747</v>
      </c>
      <c r="X2395">
        <v>0.98300620000000005</v>
      </c>
      <c r="Y2395">
        <v>0.32788509999999998</v>
      </c>
      <c r="Z2395">
        <v>3.4560599999999997E-2</v>
      </c>
      <c r="AA2395">
        <v>0.94408519999999896</v>
      </c>
      <c r="AB2395">
        <v>13</v>
      </c>
      <c r="AC2395">
        <v>-10.3643999999999</v>
      </c>
      <c r="AD2395">
        <v>-1.12128654193</v>
      </c>
      <c r="AE2395">
        <v>-21.2241</v>
      </c>
      <c r="AF2395">
        <v>7.7745901328457201</v>
      </c>
      <c r="AG2395">
        <v>-1.12128654193</v>
      </c>
      <c r="AH2395">
        <v>22.247086650736801</v>
      </c>
      <c r="AI2395">
        <v>92.724067397837203</v>
      </c>
      <c r="AJ2395">
        <v>70.737238812177907</v>
      </c>
      <c r="AK2395">
        <v>23.593100679822602</v>
      </c>
      <c r="AL2395">
        <v>83.138213007674494</v>
      </c>
      <c r="AM2395">
        <v>81.9302978375283</v>
      </c>
      <c r="AN2395">
        <v>1.00000000165568</v>
      </c>
    </row>
    <row r="2396" spans="1:40" x14ac:dyDescent="0.25">
      <c r="A2396" t="str">
        <f>"20190303161921545"</f>
        <v>20190303161921545</v>
      </c>
      <c r="B2396" t="str">
        <f>"1551601161535134"</f>
        <v>1551601161535134</v>
      </c>
      <c r="C2396" t="s">
        <v>40</v>
      </c>
      <c r="D2396">
        <v>4.4226299999999998</v>
      </c>
      <c r="E2396">
        <v>0.55046619999999902</v>
      </c>
      <c r="F2396" t="s">
        <v>49</v>
      </c>
      <c r="G2396">
        <v>-201.66409999999999</v>
      </c>
      <c r="H2396" s="1">
        <v>2.761565E-6</v>
      </c>
      <c r="I2396">
        <v>286.82850000000002</v>
      </c>
      <c r="J2396">
        <v>-192.76779999999999</v>
      </c>
      <c r="K2396">
        <v>1.1212899999999999</v>
      </c>
      <c r="L2396">
        <v>307.31470000000002</v>
      </c>
      <c r="M2396">
        <v>-0.1187821</v>
      </c>
      <c r="N2396">
        <v>-1.3600630000000001E-2</v>
      </c>
      <c r="O2396">
        <v>-0.99282740000000003</v>
      </c>
      <c r="P2396">
        <v>-0.25663629999999998</v>
      </c>
      <c r="Q2396">
        <v>0.10630829999999999</v>
      </c>
      <c r="R2396">
        <v>-0.96064430000000001</v>
      </c>
      <c r="S2396">
        <v>-1.217255</v>
      </c>
      <c r="T2396">
        <v>-0.15313080000000001</v>
      </c>
      <c r="U2396">
        <v>-2.8157649999999999</v>
      </c>
      <c r="V2396">
        <v>0.1408094</v>
      </c>
      <c r="W2396">
        <v>0.119559</v>
      </c>
      <c r="X2396">
        <v>0.98279110000000003</v>
      </c>
      <c r="Y2396">
        <v>0.28456769999999998</v>
      </c>
      <c r="Z2396">
        <v>3.7107679999999997E-2</v>
      </c>
      <c r="AA2396">
        <v>0.9579375</v>
      </c>
      <c r="AB2396">
        <v>13</v>
      </c>
      <c r="AC2396">
        <v>-8.8962999999999894</v>
      </c>
      <c r="AD2396">
        <v>-1.1212872384350001</v>
      </c>
      <c r="AE2396">
        <v>-20.4862</v>
      </c>
      <c r="AF2396">
        <v>6.3835974525732198</v>
      </c>
      <c r="AG2396">
        <v>-1.1212872384350001</v>
      </c>
      <c r="AH2396">
        <v>21.344159214427901</v>
      </c>
      <c r="AI2396">
        <v>92.881315389465698</v>
      </c>
      <c r="AJ2396">
        <v>73.349161463563107</v>
      </c>
      <c r="AK2396">
        <v>22.306517748820099</v>
      </c>
      <c r="AL2396">
        <v>83.133348049323402</v>
      </c>
      <c r="AM2396">
        <v>81.846436103869706</v>
      </c>
      <c r="AN2396">
        <v>0.99999999392428496</v>
      </c>
    </row>
    <row r="2397" spans="1:40" x14ac:dyDescent="0.25">
      <c r="A2397" t="str">
        <f>"20190303161921569"</f>
        <v>20190303161921569</v>
      </c>
      <c r="B2397" t="str">
        <f>"1551601161565391"</f>
        <v>1551601161565391</v>
      </c>
      <c r="C2397" t="s">
        <v>40</v>
      </c>
      <c r="D2397">
        <v>4.3743100000000004</v>
      </c>
      <c r="E2397">
        <v>0.54657529999999999</v>
      </c>
      <c r="F2397" t="s">
        <v>49</v>
      </c>
      <c r="G2397">
        <v>-204.15110000000001</v>
      </c>
      <c r="H2397">
        <v>4.4853049999999998E-2</v>
      </c>
      <c r="I2397">
        <v>279.61579999999998</v>
      </c>
      <c r="J2397">
        <v>-192.78540000000001</v>
      </c>
      <c r="K2397">
        <v>1.1212879999999901</v>
      </c>
      <c r="L2397">
        <v>307.17790000000002</v>
      </c>
      <c r="M2397">
        <v>-0.1198148</v>
      </c>
      <c r="N2397">
        <v>-1.359688E-2</v>
      </c>
      <c r="O2397">
        <v>-0.99270340000000001</v>
      </c>
      <c r="P2397">
        <v>-0.25857849999999999</v>
      </c>
      <c r="Q2397">
        <v>0.10575130000000001</v>
      </c>
      <c r="R2397">
        <v>-0.96018460000000005</v>
      </c>
      <c r="S2397">
        <v>-1.1609499999999999</v>
      </c>
      <c r="T2397">
        <v>-0.10978250000000001</v>
      </c>
      <c r="U2397">
        <v>-2.8249209999999998</v>
      </c>
      <c r="V2397">
        <v>0.1417677</v>
      </c>
      <c r="W2397">
        <v>0.11899659999999999</v>
      </c>
      <c r="X2397">
        <v>0.98272159999999997</v>
      </c>
      <c r="Y2397">
        <v>0.2663623</v>
      </c>
      <c r="Z2397">
        <v>2.297478E-2</v>
      </c>
      <c r="AA2397">
        <v>0.96359910000000004</v>
      </c>
      <c r="AB2397">
        <v>13</v>
      </c>
      <c r="AC2397">
        <v>-11.3657</v>
      </c>
      <c r="AD2397">
        <v>-1.0764349499999999</v>
      </c>
      <c r="AE2397">
        <v>-27.562100000000001</v>
      </c>
      <c r="AF2397">
        <v>7.9707665497626303</v>
      </c>
      <c r="AG2397">
        <v>-1.0764349499999999</v>
      </c>
      <c r="AH2397">
        <v>28.6880196732094</v>
      </c>
      <c r="AI2397">
        <v>92.070490452711496</v>
      </c>
      <c r="AJ2397">
        <v>74.472417755018796</v>
      </c>
      <c r="AK2397">
        <v>29.7941991730411</v>
      </c>
      <c r="AL2397">
        <v>83.165802986231199</v>
      </c>
      <c r="AM2397">
        <v>81.791126819813698</v>
      </c>
      <c r="AN2397">
        <v>1.0000000073407</v>
      </c>
    </row>
    <row r="2398" spans="1:40" x14ac:dyDescent="0.25">
      <c r="A2398" t="str">
        <f>"20190303161921591"</f>
        <v>20190303161921591</v>
      </c>
      <c r="B2398" t="str">
        <f>"1551601161584911"</f>
        <v>1551601161584911</v>
      </c>
      <c r="C2398" t="s">
        <v>40</v>
      </c>
      <c r="D2398">
        <v>4.4140280000000001</v>
      </c>
      <c r="E2398">
        <v>0.54576440000000004</v>
      </c>
      <c r="F2398" t="s">
        <v>44</v>
      </c>
      <c r="G2398">
        <v>-207.64099999999999</v>
      </c>
      <c r="H2398">
        <v>-0.05</v>
      </c>
      <c r="I2398">
        <v>270.20260000000002</v>
      </c>
      <c r="J2398">
        <v>-192.80260000000001</v>
      </c>
      <c r="K2398">
        <v>1.121289</v>
      </c>
      <c r="L2398">
        <v>307.04599999999999</v>
      </c>
      <c r="M2398">
        <v>-0.1208104</v>
      </c>
      <c r="N2398">
        <v>-1.359319E-2</v>
      </c>
      <c r="O2398">
        <v>-0.99258259999999998</v>
      </c>
      <c r="P2398">
        <v>-0.26092850000000001</v>
      </c>
      <c r="Q2398">
        <v>0.1050336</v>
      </c>
      <c r="R2398">
        <v>-0.95962720000000001</v>
      </c>
      <c r="S2398">
        <v>-1.1363219999999901</v>
      </c>
      <c r="T2398">
        <v>-8.959317E-2</v>
      </c>
      <c r="U2398">
        <v>-2.8282780000000001</v>
      </c>
      <c r="V2398">
        <v>0.14317939999999901</v>
      </c>
      <c r="W2398">
        <v>0.11827310000000001</v>
      </c>
      <c r="X2398">
        <v>0.98260429999999999</v>
      </c>
      <c r="Y2398">
        <v>0.25784259999999998</v>
      </c>
      <c r="Z2398">
        <v>1.635675E-2</v>
      </c>
      <c r="AA2398">
        <v>0.96604849999999998</v>
      </c>
      <c r="AB2398">
        <v>13</v>
      </c>
      <c r="AC2398">
        <v>-14.838399999999901</v>
      </c>
      <c r="AD2398">
        <v>-1.171289</v>
      </c>
      <c r="AE2398">
        <v>-36.843399999999903</v>
      </c>
      <c r="AF2398">
        <v>10.2692903004373</v>
      </c>
      <c r="AG2398">
        <v>-1.171289</v>
      </c>
      <c r="AH2398">
        <v>38.332957803702698</v>
      </c>
      <c r="AI2398">
        <v>91.690587807126093</v>
      </c>
      <c r="AJ2398">
        <v>75.002781889920399</v>
      </c>
      <c r="AK2398">
        <v>39.701963366773498</v>
      </c>
      <c r="AL2398">
        <v>83.207551525270105</v>
      </c>
      <c r="AM2398">
        <v>81.709538807470395</v>
      </c>
      <c r="AN2398">
        <v>1.00000003857322</v>
      </c>
    </row>
    <row r="2399" spans="1:40" x14ac:dyDescent="0.25">
      <c r="A2399" t="str">
        <f>"20190303161921613"</f>
        <v>20190303161921613</v>
      </c>
      <c r="B2399" t="str">
        <f>"1551601161605407"</f>
        <v>1551601161605407</v>
      </c>
      <c r="C2399" t="s">
        <v>40</v>
      </c>
      <c r="D2399">
        <v>4.4257489999999997</v>
      </c>
      <c r="E2399">
        <v>0.54521030000000004</v>
      </c>
      <c r="F2399" t="s">
        <v>44</v>
      </c>
      <c r="G2399">
        <v>-207.53909999999999</v>
      </c>
      <c r="H2399">
        <v>-0.05</v>
      </c>
      <c r="I2399">
        <v>270.39330000000001</v>
      </c>
      <c r="J2399">
        <v>-192.81909999999999</v>
      </c>
      <c r="K2399">
        <v>1.121281</v>
      </c>
      <c r="L2399">
        <v>306.91989999999998</v>
      </c>
      <c r="M2399">
        <v>-0.12176190000000001</v>
      </c>
      <c r="N2399">
        <v>-1.3589789999999999E-2</v>
      </c>
      <c r="O2399">
        <v>-0.99246639999999997</v>
      </c>
      <c r="P2399">
        <v>-0.26287870000000002</v>
      </c>
      <c r="Q2399">
        <v>0.1050055</v>
      </c>
      <c r="R2399">
        <v>-0.95909789999999995</v>
      </c>
      <c r="S2399">
        <v>-1.1366419999999999</v>
      </c>
      <c r="T2399">
        <v>-9.0342640000000002E-2</v>
      </c>
      <c r="U2399">
        <v>-2.8270569999999999</v>
      </c>
      <c r="V2399">
        <v>0.14423549999999999</v>
      </c>
      <c r="W2399">
        <v>0.1182395</v>
      </c>
      <c r="X2399">
        <v>0.98245380000000004</v>
      </c>
      <c r="Y2399">
        <v>0.25715310000000002</v>
      </c>
      <c r="Z2399">
        <v>1.661936E-2</v>
      </c>
      <c r="AA2399">
        <v>0.96622779999999997</v>
      </c>
      <c r="AB2399">
        <v>13</v>
      </c>
      <c r="AC2399">
        <v>-14.72</v>
      </c>
      <c r="AD2399">
        <v>-1.171281</v>
      </c>
      <c r="AE2399">
        <v>-36.526599999999902</v>
      </c>
      <c r="AF2399">
        <v>10.153512857013199</v>
      </c>
      <c r="AG2399">
        <v>-1.171281</v>
      </c>
      <c r="AH2399">
        <v>38.0136412661817</v>
      </c>
      <c r="AI2399">
        <v>91.705107154489596</v>
      </c>
      <c r="AJ2399">
        <v>75.045308034956903</v>
      </c>
      <c r="AK2399">
        <v>39.363722446339402</v>
      </c>
      <c r="AL2399">
        <v>83.209489758407102</v>
      </c>
      <c r="AM2399">
        <v>81.647985910456995</v>
      </c>
      <c r="AN2399">
        <v>0.99999996397746904</v>
      </c>
    </row>
    <row r="2400" spans="1:40" x14ac:dyDescent="0.25">
      <c r="A2400" t="str">
        <f>"20190303161921634"</f>
        <v>20190303161921634</v>
      </c>
      <c r="B2400" t="str">
        <f>"1551601161624931"</f>
        <v>1551601161624931</v>
      </c>
      <c r="C2400" t="s">
        <v>40</v>
      </c>
      <c r="D2400">
        <v>4.4512650000000002</v>
      </c>
      <c r="E2400">
        <v>0.54480879999999998</v>
      </c>
      <c r="F2400" t="s">
        <v>49</v>
      </c>
      <c r="G2400">
        <v>-205.82320000000001</v>
      </c>
      <c r="H2400">
        <v>8.0001130000000004E-2</v>
      </c>
      <c r="I2400">
        <v>274.62860000000001</v>
      </c>
      <c r="J2400">
        <v>-192.83590000000001</v>
      </c>
      <c r="K2400">
        <v>1.121283</v>
      </c>
      <c r="L2400">
        <v>306.7919</v>
      </c>
      <c r="M2400">
        <v>-0.1227282</v>
      </c>
      <c r="N2400">
        <v>-1.358636E-2</v>
      </c>
      <c r="O2400">
        <v>-0.99234719999999998</v>
      </c>
      <c r="P2400">
        <v>-0.26432539999999999</v>
      </c>
      <c r="Q2400">
        <v>0.1046801</v>
      </c>
      <c r="R2400">
        <v>-0.95873560000000002</v>
      </c>
      <c r="S2400">
        <v>-1.1380619999999999</v>
      </c>
      <c r="T2400">
        <v>-9.1127990000000006E-2</v>
      </c>
      <c r="U2400">
        <v>-2.8259889999999999</v>
      </c>
      <c r="V2400">
        <v>0.14475669999999999</v>
      </c>
      <c r="W2400">
        <v>0.1179104</v>
      </c>
      <c r="X2400">
        <v>0.98241670000000003</v>
      </c>
      <c r="Y2400">
        <v>0.25675399999999998</v>
      </c>
      <c r="Z2400">
        <v>1.6889370000000001E-2</v>
      </c>
      <c r="AA2400">
        <v>0.9663292</v>
      </c>
      <c r="AB2400">
        <v>13</v>
      </c>
      <c r="AC2400">
        <v>-12.987299999999999</v>
      </c>
      <c r="AD2400">
        <v>-1.0412818699999999</v>
      </c>
      <c r="AE2400">
        <v>-32.1632999999999</v>
      </c>
      <c r="AF2400">
        <v>8.9333425415296404</v>
      </c>
      <c r="AG2400">
        <v>-1.0412818699999999</v>
      </c>
      <c r="AH2400">
        <v>33.483990372034199</v>
      </c>
      <c r="AI2400">
        <v>91.721044125004696</v>
      </c>
      <c r="AJ2400">
        <v>75.061748069816403</v>
      </c>
      <c r="AK2400">
        <v>34.670830508246802</v>
      </c>
      <c r="AL2400">
        <v>83.228478664347193</v>
      </c>
      <c r="AM2400">
        <v>81.617921575076195</v>
      </c>
      <c r="AN2400">
        <v>0.99999996853096895</v>
      </c>
    </row>
    <row r="2401" spans="1:40" x14ac:dyDescent="0.25">
      <c r="A2401" t="str">
        <f>"20190303161921657"</f>
        <v>20190303161921657</v>
      </c>
      <c r="B2401" t="str">
        <f>"1551601161644447"</f>
        <v>1551601161644447</v>
      </c>
      <c r="C2401" t="s">
        <v>40</v>
      </c>
      <c r="D2401">
        <v>4.4403280000000001</v>
      </c>
      <c r="E2401">
        <v>0.54453209999999996</v>
      </c>
      <c r="F2401" t="s">
        <v>49</v>
      </c>
      <c r="G2401">
        <v>-205.4811</v>
      </c>
      <c r="H2401">
        <v>8.0001139999999998E-2</v>
      </c>
      <c r="I2401">
        <v>275.4239</v>
      </c>
      <c r="J2401">
        <v>-192.85310000000001</v>
      </c>
      <c r="K2401">
        <v>1.121278</v>
      </c>
      <c r="L2401">
        <v>306.66289999999998</v>
      </c>
      <c r="M2401">
        <v>-0.1237024</v>
      </c>
      <c r="N2401">
        <v>-1.3582830000000001E-2</v>
      </c>
      <c r="O2401">
        <v>-0.99222650000000001</v>
      </c>
      <c r="P2401">
        <v>-0.26596789999999998</v>
      </c>
      <c r="Q2401">
        <v>0.10388799999999999</v>
      </c>
      <c r="R2401">
        <v>-0.95836790000000005</v>
      </c>
      <c r="S2401">
        <v>-1.1389469999999999</v>
      </c>
      <c r="T2401">
        <v>-9.3788270000000007E-2</v>
      </c>
      <c r="U2401">
        <v>-2.8253170000000001</v>
      </c>
      <c r="V2401">
        <v>0.14546489999999901</v>
      </c>
      <c r="W2401">
        <v>0.11711439999999999</v>
      </c>
      <c r="X2401">
        <v>0.98240729999999998</v>
      </c>
      <c r="Y2401">
        <v>0.25613809999999998</v>
      </c>
      <c r="Z2401">
        <v>1.7777250000000001E-2</v>
      </c>
      <c r="AA2401">
        <v>0.96647669999999997</v>
      </c>
      <c r="AB2401">
        <v>13</v>
      </c>
      <c r="AC2401">
        <v>-12.627999999999901</v>
      </c>
      <c r="AD2401">
        <v>-1.04127686</v>
      </c>
      <c r="AE2401">
        <v>-31.238999999999901</v>
      </c>
      <c r="AF2401">
        <v>8.6580270919824294</v>
      </c>
      <c r="AG2401">
        <v>-1.04127686</v>
      </c>
      <c r="AH2401">
        <v>32.530211486267703</v>
      </c>
      <c r="AI2401">
        <v>91.771746934666098</v>
      </c>
      <c r="AJ2401">
        <v>75.096040788148997</v>
      </c>
      <c r="AK2401">
        <v>33.678781895519599</v>
      </c>
      <c r="AL2401">
        <v>83.274404259474096</v>
      </c>
      <c r="AM2401">
        <v>81.577420923305397</v>
      </c>
      <c r="AN2401">
        <v>0.99999996145632897</v>
      </c>
    </row>
    <row r="2402" spans="1:40" x14ac:dyDescent="0.25">
      <c r="A2402" t="str">
        <f>"20190303161921679"</f>
        <v>20190303161921679</v>
      </c>
      <c r="B2402" t="str">
        <f>"1551601161674703"</f>
        <v>1551601161674703</v>
      </c>
      <c r="C2402" t="s">
        <v>40</v>
      </c>
      <c r="D2402">
        <v>4.4204929999999996</v>
      </c>
      <c r="E2402">
        <v>0.54415519999999995</v>
      </c>
      <c r="F2402" t="s">
        <v>49</v>
      </c>
      <c r="G2402">
        <v>-205.30869999999999</v>
      </c>
      <c r="H2402">
        <v>8.0001199999999995E-2</v>
      </c>
      <c r="I2402">
        <v>275.84309999999999</v>
      </c>
      <c r="J2402">
        <v>-192.87049999999999</v>
      </c>
      <c r="K2402">
        <v>1.121275</v>
      </c>
      <c r="L2402">
        <v>306.5326</v>
      </c>
      <c r="M2402">
        <v>-0.1246855</v>
      </c>
      <c r="N2402">
        <v>-1.357941E-2</v>
      </c>
      <c r="O2402">
        <v>-0.99210359999999997</v>
      </c>
      <c r="P2402">
        <v>-0.26763670000000001</v>
      </c>
      <c r="Q2402">
        <v>0.1031106</v>
      </c>
      <c r="R2402">
        <v>-0.95798709999999998</v>
      </c>
      <c r="S2402">
        <v>-1.141281</v>
      </c>
      <c r="T2402">
        <v>-9.5409629999999995E-2</v>
      </c>
      <c r="U2402">
        <v>-2.823944</v>
      </c>
      <c r="V2402">
        <v>0.14619199999999999</v>
      </c>
      <c r="W2402">
        <v>0.11633350000000001</v>
      </c>
      <c r="X2402">
        <v>0.98239219999999905</v>
      </c>
      <c r="Y2402">
        <v>0.25602580000000003</v>
      </c>
      <c r="Z2402">
        <v>1.8324119999999999E-2</v>
      </c>
      <c r="AA2402">
        <v>0.96649620000000003</v>
      </c>
      <c r="AB2402">
        <v>13</v>
      </c>
      <c r="AC2402">
        <v>-12.438199999999901</v>
      </c>
      <c r="AD2402">
        <v>-1.0412737999999999</v>
      </c>
      <c r="AE2402">
        <v>-30.689499999999999</v>
      </c>
      <c r="AF2402">
        <v>8.50582018866867</v>
      </c>
      <c r="AG2402">
        <v>-1.0412737999999999</v>
      </c>
      <c r="AH2402">
        <v>31.9693597398836</v>
      </c>
      <c r="AI2402">
        <v>91.802844891523193</v>
      </c>
      <c r="AJ2402">
        <v>75.100951882770701</v>
      </c>
      <c r="AK2402">
        <v>33.097933325007197</v>
      </c>
      <c r="AL2402">
        <v>83.319454803518198</v>
      </c>
      <c r="AM2402">
        <v>81.535801159370806</v>
      </c>
      <c r="AN2402">
        <v>1.0000000093535399</v>
      </c>
    </row>
    <row r="2403" spans="1:40" x14ac:dyDescent="0.25">
      <c r="A2403" t="str">
        <f>"20190303161921704"</f>
        <v>20190303161921704</v>
      </c>
      <c r="B2403" t="str">
        <f>"1551601161695199"</f>
        <v>1551601161695199</v>
      </c>
      <c r="C2403" t="s">
        <v>40</v>
      </c>
      <c r="D2403">
        <v>4.4633070000000004</v>
      </c>
      <c r="E2403">
        <v>0.54388819999999904</v>
      </c>
      <c r="F2403" t="s">
        <v>49</v>
      </c>
      <c r="G2403">
        <v>-205.45920000000001</v>
      </c>
      <c r="H2403">
        <v>8.0001149999999993E-2</v>
      </c>
      <c r="I2403">
        <v>275.44529999999997</v>
      </c>
      <c r="J2403">
        <v>-192.88980000000001</v>
      </c>
      <c r="K2403">
        <v>1.1212740000000001</v>
      </c>
      <c r="L2403">
        <v>306.38990000000001</v>
      </c>
      <c r="M2403">
        <v>-0.1257636</v>
      </c>
      <c r="N2403">
        <v>-1.3575790000000001E-2</v>
      </c>
      <c r="O2403">
        <v>-0.99196770000000001</v>
      </c>
      <c r="P2403">
        <v>-0.26927190000000001</v>
      </c>
      <c r="Q2403">
        <v>0.10213270000000001</v>
      </c>
      <c r="R2403">
        <v>-0.95763390000000004</v>
      </c>
      <c r="S2403">
        <v>-1.1429290000000001</v>
      </c>
      <c r="T2403">
        <v>-9.4537259999999998E-2</v>
      </c>
      <c r="U2403">
        <v>-2.8224179999999999</v>
      </c>
      <c r="V2403">
        <v>0.1467879</v>
      </c>
      <c r="W2403">
        <v>0.1153521</v>
      </c>
      <c r="X2403">
        <v>0.98241909999999999</v>
      </c>
      <c r="Y2403">
        <v>0.25564429999999999</v>
      </c>
      <c r="Z2403">
        <v>1.8050090000000001E-2</v>
      </c>
      <c r="AA2403">
        <v>0.96660239999999997</v>
      </c>
      <c r="AB2403">
        <v>13</v>
      </c>
      <c r="AC2403">
        <v>-12.5694</v>
      </c>
      <c r="AD2403">
        <v>-1.0412728499999999</v>
      </c>
      <c r="AE2403">
        <v>-30.944600000000001</v>
      </c>
      <c r="AF2403">
        <v>8.5691932677845095</v>
      </c>
      <c r="AG2403">
        <v>-1.0412728499999999</v>
      </c>
      <c r="AH2403">
        <v>32.248436726883597</v>
      </c>
      <c r="AI2403">
        <v>91.787401292647203</v>
      </c>
      <c r="AJ2403">
        <v>75.1190036440656</v>
      </c>
      <c r="AK2403">
        <v>33.383783394585599</v>
      </c>
      <c r="AL2403">
        <v>83.376066227543703</v>
      </c>
      <c r="AM2403">
        <v>81.502031922323397</v>
      </c>
      <c r="AN2403">
        <v>1.0000000413028101</v>
      </c>
    </row>
    <row r="2404" spans="1:40" x14ac:dyDescent="0.25">
      <c r="A2404" t="str">
        <f>"20190303161921724"</f>
        <v>20190303161921724</v>
      </c>
      <c r="B2404" t="str">
        <f>"1551601161714719"</f>
        <v>1551601161714719</v>
      </c>
      <c r="C2404" t="s">
        <v>40</v>
      </c>
      <c r="D2404">
        <v>4.4808279999999998</v>
      </c>
      <c r="E2404">
        <v>0.54374449999999996</v>
      </c>
      <c r="F2404" t="s">
        <v>49</v>
      </c>
      <c r="G2404">
        <v>-205.46260000000001</v>
      </c>
      <c r="H2404">
        <v>8.0001149999999993E-2</v>
      </c>
      <c r="I2404">
        <v>275.4239</v>
      </c>
      <c r="J2404">
        <v>-192.90539999999999</v>
      </c>
      <c r="K2404">
        <v>1.1212740000000001</v>
      </c>
      <c r="L2404">
        <v>306.27530000000002</v>
      </c>
      <c r="M2404">
        <v>-0.12662880000000001</v>
      </c>
      <c r="N2404">
        <v>-1.3572809999999999E-2</v>
      </c>
      <c r="O2404">
        <v>-0.99185730000000005</v>
      </c>
      <c r="P2404">
        <v>-0.27095760000000002</v>
      </c>
      <c r="Q2404">
        <v>0.1013164</v>
      </c>
      <c r="R2404">
        <v>-0.9572446</v>
      </c>
      <c r="S2404">
        <v>-1.1453089999999999</v>
      </c>
      <c r="T2404">
        <v>-9.4854240000000006E-2</v>
      </c>
      <c r="U2404">
        <v>-2.8208310000000001</v>
      </c>
      <c r="V2404">
        <v>0.1476499</v>
      </c>
      <c r="W2404">
        <v>0.1145327</v>
      </c>
      <c r="X2404">
        <v>0.98238579999999998</v>
      </c>
      <c r="Y2404">
        <v>0.25568950000000001</v>
      </c>
      <c r="Z2404">
        <v>1.8167010000000001E-2</v>
      </c>
      <c r="AA2404">
        <v>0.96658829999999996</v>
      </c>
      <c r="AB2404">
        <v>13</v>
      </c>
      <c r="AC2404">
        <v>-12.5572</v>
      </c>
      <c r="AD2404">
        <v>-1.0412728499999999</v>
      </c>
      <c r="AE2404">
        <v>-30.851400000000002</v>
      </c>
      <c r="AF2404">
        <v>8.5407159190941293</v>
      </c>
      <c r="AG2404">
        <v>-1.0412728499999999</v>
      </c>
      <c r="AH2404">
        <v>32.161825223354498</v>
      </c>
      <c r="AI2404">
        <v>91.792287096468002</v>
      </c>
      <c r="AJ2404">
        <v>75.128093688738701</v>
      </c>
      <c r="AK2404">
        <v>33.292808221242197</v>
      </c>
      <c r="AL2404">
        <v>83.423327662079998</v>
      </c>
      <c r="AM2404">
        <v>81.452577813042694</v>
      </c>
      <c r="AN2404">
        <v>1.0000000461904599</v>
      </c>
    </row>
    <row r="2405" spans="1:40" x14ac:dyDescent="0.25">
      <c r="A2405" t="str">
        <f>"20190303161921747"</f>
        <v>20190303161921747</v>
      </c>
      <c r="B2405" t="str">
        <f>"1551601161735215"</f>
        <v>1551601161735215</v>
      </c>
      <c r="C2405" t="s">
        <v>40</v>
      </c>
      <c r="D2405">
        <v>4.4928999999999997</v>
      </c>
      <c r="E2405">
        <v>0.54335029999999995</v>
      </c>
      <c r="F2405" t="s">
        <v>49</v>
      </c>
      <c r="G2405">
        <v>-205.3586</v>
      </c>
      <c r="H2405">
        <v>8.0001180000000005E-2</v>
      </c>
      <c r="I2405">
        <v>275.7269</v>
      </c>
      <c r="J2405">
        <v>-192.92349999999999</v>
      </c>
      <c r="K2405">
        <v>1.1212719999999901</v>
      </c>
      <c r="L2405">
        <v>306.14319999999998</v>
      </c>
      <c r="M2405">
        <v>-0.12762599999999999</v>
      </c>
      <c r="N2405">
        <v>-1.356942E-2</v>
      </c>
      <c r="O2405">
        <v>-0.99172969999999905</v>
      </c>
      <c r="P2405">
        <v>-0.2732407</v>
      </c>
      <c r="Q2405">
        <v>0.1010788</v>
      </c>
      <c r="R2405">
        <v>-0.95662080000000005</v>
      </c>
      <c r="S2405">
        <v>-1.1491389999999999</v>
      </c>
      <c r="T2405">
        <v>-9.6085190000000001E-2</v>
      </c>
      <c r="U2405">
        <v>-2.8189090000000001</v>
      </c>
      <c r="V2405">
        <v>0.14900389999999999</v>
      </c>
      <c r="W2405">
        <v>0.11428869999999999</v>
      </c>
      <c r="X2405">
        <v>0.98220969999999996</v>
      </c>
      <c r="Y2405">
        <v>0.25607029999999997</v>
      </c>
      <c r="Z2405">
        <v>1.8585819999999999E-2</v>
      </c>
      <c r="AA2405">
        <v>0.96647950000000005</v>
      </c>
      <c r="AB2405">
        <v>13</v>
      </c>
      <c r="AC2405">
        <v>-12.4351</v>
      </c>
      <c r="AD2405">
        <v>-1.04127081999999</v>
      </c>
      <c r="AE2405">
        <v>-30.4162999999999</v>
      </c>
      <c r="AF2405">
        <v>8.4426464757564403</v>
      </c>
      <c r="AG2405">
        <v>-1.04127081999999</v>
      </c>
      <c r="AH2405">
        <v>31.7228546974038</v>
      </c>
      <c r="AI2405">
        <v>91.816805193910596</v>
      </c>
      <c r="AJ2405">
        <v>75.096883857493097</v>
      </c>
      <c r="AK2405">
        <v>32.843599598518097</v>
      </c>
      <c r="AL2405">
        <v>83.437399815406394</v>
      </c>
      <c r="AM2405">
        <v>81.373845439417593</v>
      </c>
      <c r="AN2405">
        <v>0.99999998196849404</v>
      </c>
    </row>
    <row r="2406" spans="1:40" x14ac:dyDescent="0.25">
      <c r="A2406" t="str">
        <f>"20190303161921771"</f>
        <v>20190303161921771</v>
      </c>
      <c r="B2406" t="str">
        <f>"1551601161754735"</f>
        <v>1551601161754735</v>
      </c>
      <c r="C2406" t="s">
        <v>40</v>
      </c>
      <c r="D2406">
        <v>4.507854</v>
      </c>
      <c r="E2406">
        <v>0.54304459999999999</v>
      </c>
      <c r="F2406" t="s">
        <v>49</v>
      </c>
      <c r="G2406">
        <v>-205.37629999999999</v>
      </c>
      <c r="H2406">
        <v>8.0001180000000005E-2</v>
      </c>
      <c r="I2406">
        <v>275.7099</v>
      </c>
      <c r="J2406">
        <v>-192.9417</v>
      </c>
      <c r="K2406">
        <v>1.1212719999999901</v>
      </c>
      <c r="L2406">
        <v>306.01119999999997</v>
      </c>
      <c r="M2406">
        <v>-0.12862280000000001</v>
      </c>
      <c r="N2406">
        <v>-1.356603E-2</v>
      </c>
      <c r="O2406">
        <v>-0.99160099999999995</v>
      </c>
      <c r="P2406">
        <v>-0.27527679999999999</v>
      </c>
      <c r="Q2406">
        <v>0.10063329999999999</v>
      </c>
      <c r="R2406">
        <v>-0.95608380000000004</v>
      </c>
      <c r="S2406">
        <v>-1.152679</v>
      </c>
      <c r="T2406">
        <v>-9.638381E-2</v>
      </c>
      <c r="U2406">
        <v>-2.8170169999999999</v>
      </c>
      <c r="V2406">
        <v>0.1501025</v>
      </c>
      <c r="W2406">
        <v>0.1138377</v>
      </c>
      <c r="X2406">
        <v>0.98209480000000005</v>
      </c>
      <c r="Y2406">
        <v>0.25636540000000002</v>
      </c>
      <c r="Z2406">
        <v>1.8696709999999998E-2</v>
      </c>
      <c r="AA2406">
        <v>0.96639909999999996</v>
      </c>
      <c r="AB2406">
        <v>13</v>
      </c>
      <c r="AC2406">
        <v>-12.4345999999999</v>
      </c>
      <c r="AD2406">
        <v>-1.04127081999999</v>
      </c>
      <c r="AE2406">
        <v>-30.301299999999902</v>
      </c>
      <c r="AF2406">
        <v>8.4249831531454493</v>
      </c>
      <c r="AG2406">
        <v>-1.04127081999999</v>
      </c>
      <c r="AH2406">
        <v>31.6171236978624</v>
      </c>
      <c r="AI2406">
        <v>91.8227266087505</v>
      </c>
      <c r="AJ2406">
        <v>75.079157216823802</v>
      </c>
      <c r="AK2406">
        <v>32.7369378069682</v>
      </c>
      <c r="AL2406">
        <v>83.463410016291405</v>
      </c>
      <c r="AM2406">
        <v>81.310211248678598</v>
      </c>
      <c r="AN2406">
        <v>0.99999998931728995</v>
      </c>
    </row>
    <row r="2407" spans="1:40" x14ac:dyDescent="0.25">
      <c r="A2407" t="str">
        <f>"20190303161921792"</f>
        <v>20190303161921792</v>
      </c>
      <c r="B2407" t="str">
        <f>"1551601161784991"</f>
        <v>1551601161784991</v>
      </c>
      <c r="C2407" t="s">
        <v>40</v>
      </c>
      <c r="D2407">
        <v>4.513388</v>
      </c>
      <c r="E2407">
        <v>0.54264609999999902</v>
      </c>
      <c r="F2407" t="s">
        <v>49</v>
      </c>
      <c r="G2407">
        <v>-205.14070000000001</v>
      </c>
      <c r="H2407">
        <v>8.0001249999999996E-2</v>
      </c>
      <c r="I2407">
        <v>276.31330000000003</v>
      </c>
      <c r="J2407">
        <v>-192.95949999999999</v>
      </c>
      <c r="K2407">
        <v>1.1212679999999999</v>
      </c>
      <c r="L2407">
        <v>305.88299999999998</v>
      </c>
      <c r="M2407">
        <v>-0.1295917</v>
      </c>
      <c r="N2407">
        <v>-1.3562680000000001E-2</v>
      </c>
      <c r="O2407">
        <v>-0.99147459999999998</v>
      </c>
      <c r="P2407">
        <v>-0.27739740000000002</v>
      </c>
      <c r="Q2407">
        <v>0.10032919999999999</v>
      </c>
      <c r="R2407">
        <v>-0.95550250000000003</v>
      </c>
      <c r="S2407">
        <v>-1.1564179999999999</v>
      </c>
      <c r="T2407">
        <v>-9.8708389999999993E-2</v>
      </c>
      <c r="U2407">
        <v>-2.8152469999999998</v>
      </c>
      <c r="V2407">
        <v>0.1513187</v>
      </c>
      <c r="W2407">
        <v>0.1135279</v>
      </c>
      <c r="X2407">
        <v>0.98194400000000004</v>
      </c>
      <c r="Y2407">
        <v>0.25672539999999999</v>
      </c>
      <c r="Z2407">
        <v>1.9476170000000001E-2</v>
      </c>
      <c r="AA2407">
        <v>0.96628809999999998</v>
      </c>
      <c r="AB2407">
        <v>13</v>
      </c>
      <c r="AC2407">
        <v>-12.1812</v>
      </c>
      <c r="AD2407">
        <v>-1.0412667499999999</v>
      </c>
      <c r="AE2407">
        <v>-29.569699999999902</v>
      </c>
      <c r="AF2407">
        <v>8.2373892119418706</v>
      </c>
      <c r="AG2407">
        <v>-1.0412667499999999</v>
      </c>
      <c r="AH2407">
        <v>30.866311425342499</v>
      </c>
      <c r="AI2407">
        <v>91.866837787325593</v>
      </c>
      <c r="AJ2407">
        <v>75.057539149713094</v>
      </c>
      <c r="AK2407">
        <v>31.963541707387499</v>
      </c>
      <c r="AL2407">
        <v>83.481275986387701</v>
      </c>
      <c r="AM2407">
        <v>81.239565868676195</v>
      </c>
      <c r="AN2407">
        <v>0.99999997609204905</v>
      </c>
    </row>
    <row r="2408" spans="1:40" x14ac:dyDescent="0.25">
      <c r="A2408" t="str">
        <f>"20190303161921815"</f>
        <v>20190303161921815</v>
      </c>
      <c r="B2408" t="str">
        <f>"1551601161804511"</f>
        <v>1551601161804511</v>
      </c>
      <c r="C2408" t="s">
        <v>40</v>
      </c>
      <c r="D2408">
        <v>4.4254049999999996</v>
      </c>
      <c r="E2408">
        <v>0.54252210000000001</v>
      </c>
      <c r="F2408" t="s">
        <v>49</v>
      </c>
      <c r="G2408">
        <v>-205.00489999999999</v>
      </c>
      <c r="H2408">
        <v>8.0001299999999997E-2</v>
      </c>
      <c r="I2408">
        <v>276.65640000000002</v>
      </c>
      <c r="J2408">
        <v>-192.97749999999999</v>
      </c>
      <c r="K2408">
        <v>1.121267</v>
      </c>
      <c r="L2408">
        <v>305.75409999999999</v>
      </c>
      <c r="M2408">
        <v>-0.1305646</v>
      </c>
      <c r="N2408">
        <v>-1.35595E-2</v>
      </c>
      <c r="O2408">
        <v>-0.99134739999999999</v>
      </c>
      <c r="P2408">
        <v>-0.27927669999999999</v>
      </c>
      <c r="Q2408">
        <v>9.978091E-2</v>
      </c>
      <c r="R2408">
        <v>-0.95501270000000005</v>
      </c>
      <c r="S2408">
        <v>-1.159592</v>
      </c>
      <c r="T2408">
        <v>-0.1002411</v>
      </c>
      <c r="U2408">
        <v>-2.813599</v>
      </c>
      <c r="V2408">
        <v>0.15227979999999899</v>
      </c>
      <c r="W2408">
        <v>0.11297500000000001</v>
      </c>
      <c r="X2408">
        <v>0.98185919999999904</v>
      </c>
      <c r="Y2408">
        <v>0.2569032</v>
      </c>
      <c r="Z2408">
        <v>1.9993960000000002E-2</v>
      </c>
      <c r="AA2408">
        <v>0.96623029999999999</v>
      </c>
      <c r="AB2408">
        <v>13</v>
      </c>
      <c r="AC2408">
        <v>-12.0274</v>
      </c>
      <c r="AD2408">
        <v>-1.0412656999999901</v>
      </c>
      <c r="AE2408">
        <v>-29.0976999999999</v>
      </c>
      <c r="AF2408">
        <v>8.1160698670422793</v>
      </c>
      <c r="AG2408">
        <v>-1.0412656999999901</v>
      </c>
      <c r="AH2408">
        <v>30.385835347838999</v>
      </c>
      <c r="AI2408">
        <v>91.896226523105099</v>
      </c>
      <c r="AJ2408">
        <v>75.045382182896802</v>
      </c>
      <c r="AK2408">
        <v>31.4682985579248</v>
      </c>
      <c r="AL2408">
        <v>83.513160034064398</v>
      </c>
      <c r="AM2408">
        <v>81.184045866406507</v>
      </c>
      <c r="AN2408">
        <v>0.99999998836883897</v>
      </c>
    </row>
    <row r="2409" spans="1:40" x14ac:dyDescent="0.25">
      <c r="A2409" t="str">
        <f>"20190303161921847"</f>
        <v>20190303161921847</v>
      </c>
      <c r="B2409" t="str">
        <f>"1551601161834767"</f>
        <v>1551601161834767</v>
      </c>
      <c r="C2409" t="s">
        <v>40</v>
      </c>
      <c r="D2409">
        <v>4.5226959999999998</v>
      </c>
      <c r="E2409">
        <v>0.53732979999999997</v>
      </c>
      <c r="F2409" t="s">
        <v>49</v>
      </c>
      <c r="G2409">
        <v>-204.83199999999999</v>
      </c>
      <c r="H2409">
        <v>8.0001340000000004E-2</v>
      </c>
      <c r="I2409">
        <v>277.13420000000002</v>
      </c>
      <c r="J2409">
        <v>-193.0033</v>
      </c>
      <c r="K2409">
        <v>1.1212709999999999</v>
      </c>
      <c r="L2409">
        <v>305.57170000000002</v>
      </c>
      <c r="M2409">
        <v>-0.13194259999999999</v>
      </c>
      <c r="N2409">
        <v>-1.355495E-2</v>
      </c>
      <c r="O2409">
        <v>-0.99116490000000002</v>
      </c>
      <c r="P2409">
        <v>-0.28197040000000001</v>
      </c>
      <c r="Q2409">
        <v>0.100186</v>
      </c>
      <c r="R2409">
        <v>-0.95417810000000003</v>
      </c>
      <c r="S2409">
        <v>-1.16452</v>
      </c>
      <c r="T2409">
        <v>-0.10228810000000001</v>
      </c>
      <c r="U2409">
        <v>-2.8114620000000001</v>
      </c>
      <c r="V2409">
        <v>0.15369260000000001</v>
      </c>
      <c r="W2409">
        <v>0.1133715</v>
      </c>
      <c r="X2409">
        <v>0.9815933</v>
      </c>
      <c r="Y2409">
        <v>0.2572584</v>
      </c>
      <c r="Z2409">
        <v>2.0682929999999999E-2</v>
      </c>
      <c r="AA2409">
        <v>0.96612129999999996</v>
      </c>
      <c r="AB2409">
        <v>13</v>
      </c>
      <c r="AC2409">
        <v>-11.8286999999999</v>
      </c>
      <c r="AD2409">
        <v>-1.04126966</v>
      </c>
      <c r="AE2409">
        <v>-28.4375</v>
      </c>
      <c r="AF2409">
        <v>7.9637029120419003</v>
      </c>
      <c r="AG2409">
        <v>-1.04126966</v>
      </c>
      <c r="AH2409">
        <v>29.7157233296854</v>
      </c>
      <c r="AI2409">
        <v>91.938529648581294</v>
      </c>
      <c r="AJ2409">
        <v>74.997483552625795</v>
      </c>
      <c r="AK2409">
        <v>30.781959320071099</v>
      </c>
      <c r="AL2409">
        <v>83.490295168643101</v>
      </c>
      <c r="AM2409">
        <v>81.101185539776594</v>
      </c>
      <c r="AN2409">
        <v>0.99999995945594899</v>
      </c>
    </row>
    <row r="2410" spans="1:40" x14ac:dyDescent="0.25">
      <c r="A2410" t="str">
        <f>"20190303161921869"</f>
        <v>20190303161921869</v>
      </c>
      <c r="B2410" t="str">
        <f>"1551601161855263"</f>
        <v>1551601161855263</v>
      </c>
      <c r="C2410" t="s">
        <v>40</v>
      </c>
      <c r="D2410">
        <v>4.6777220000000002</v>
      </c>
      <c r="E2410">
        <v>0.55933149999999998</v>
      </c>
      <c r="F2410" t="s">
        <v>44</v>
      </c>
      <c r="G2410">
        <v>-208.08799999999999</v>
      </c>
      <c r="H2410">
        <v>-0.05</v>
      </c>
      <c r="I2410">
        <v>268.0206</v>
      </c>
      <c r="J2410">
        <v>-193.02119999999999</v>
      </c>
      <c r="K2410">
        <v>1.121281</v>
      </c>
      <c r="L2410">
        <v>305.44549999999998</v>
      </c>
      <c r="M2410">
        <v>-0.13289509999999999</v>
      </c>
      <c r="N2410">
        <v>-1.355176E-2</v>
      </c>
      <c r="O2410">
        <v>-0.99103779999999997</v>
      </c>
      <c r="P2410">
        <v>-0.28359649999999997</v>
      </c>
      <c r="Q2410">
        <v>0.10075820000000001</v>
      </c>
      <c r="R2410">
        <v>-0.95363589999999998</v>
      </c>
      <c r="S2410">
        <v>-1.132309</v>
      </c>
      <c r="T2410">
        <v>-8.7919239999999996E-2</v>
      </c>
      <c r="U2410">
        <v>-2.818695</v>
      </c>
      <c r="V2410">
        <v>0.1544316</v>
      </c>
      <c r="W2410">
        <v>0.1139381</v>
      </c>
      <c r="X2410">
        <v>0.9814117</v>
      </c>
      <c r="Y2410">
        <v>0.24601029999999999</v>
      </c>
      <c r="Z2410">
        <v>1.5951730000000001E-2</v>
      </c>
      <c r="AA2410">
        <v>0.96913590000000005</v>
      </c>
      <c r="AB2410">
        <v>13</v>
      </c>
      <c r="AC2410">
        <v>-15.066800000000001</v>
      </c>
      <c r="AD2410">
        <v>-1.171281</v>
      </c>
      <c r="AE2410">
        <v>-37.424899999999901</v>
      </c>
      <c r="AF2410">
        <v>9.9507063953585906</v>
      </c>
      <c r="AG2410">
        <v>-1.171281</v>
      </c>
      <c r="AH2410">
        <v>39.062446304202602</v>
      </c>
      <c r="AI2410">
        <v>91.664368155120101</v>
      </c>
      <c r="AJ2410">
        <v>75.708520661177303</v>
      </c>
      <c r="AK2410">
        <v>40.326953371365697</v>
      </c>
      <c r="AL2410">
        <v>83.457619702191195</v>
      </c>
      <c r="AM2410">
        <v>81.057459328733799</v>
      </c>
      <c r="AN2410">
        <v>0.99999996730352902</v>
      </c>
    </row>
    <row r="2411" spans="1:40" x14ac:dyDescent="0.25">
      <c r="A2411" t="str">
        <f>"20190303161921892"</f>
        <v>20190303161921892</v>
      </c>
      <c r="B2411" t="str">
        <f>"1551601161884543"</f>
        <v>1551601161884543</v>
      </c>
      <c r="C2411" t="s">
        <v>40</v>
      </c>
      <c r="D2411">
        <v>4.7677569999999996</v>
      </c>
      <c r="E2411">
        <v>0.5736753</v>
      </c>
      <c r="F2411" t="s">
        <v>44</v>
      </c>
      <c r="G2411">
        <v>-210.7004</v>
      </c>
      <c r="H2411">
        <v>-0.05</v>
      </c>
      <c r="I2411">
        <v>267.9769</v>
      </c>
      <c r="J2411">
        <v>-193.0393</v>
      </c>
      <c r="K2411">
        <v>1.1212850000000001</v>
      </c>
      <c r="L2411">
        <v>305.31959999999998</v>
      </c>
      <c r="M2411">
        <v>-0.13384570000000001</v>
      </c>
      <c r="N2411">
        <v>-1.3548579999999999E-2</v>
      </c>
      <c r="O2411">
        <v>-0.9909097</v>
      </c>
      <c r="P2411">
        <v>-0.28471439999999998</v>
      </c>
      <c r="Q2411">
        <v>0.1007304</v>
      </c>
      <c r="R2411">
        <v>-0.95330550000000003</v>
      </c>
      <c r="S2411">
        <v>-1.305466</v>
      </c>
      <c r="T2411">
        <v>-8.6489679999999999E-2</v>
      </c>
      <c r="U2411">
        <v>-2.7667540000000002</v>
      </c>
      <c r="V2411">
        <v>0.15464029999999901</v>
      </c>
      <c r="W2411">
        <v>0.1139078</v>
      </c>
      <c r="X2411">
        <v>0.98138239999999999</v>
      </c>
      <c r="Y2411">
        <v>0.30169259999999998</v>
      </c>
      <c r="Z2411">
        <v>1.544652E-2</v>
      </c>
      <c r="AA2411">
        <v>0.95328020000000002</v>
      </c>
      <c r="AB2411">
        <v>13</v>
      </c>
      <c r="AC2411">
        <v>-17.661100000000001</v>
      </c>
      <c r="AD2411">
        <v>-1.1712849999999999</v>
      </c>
      <c r="AE2411">
        <v>-37.342699999999901</v>
      </c>
      <c r="AF2411">
        <v>12.4934969032109</v>
      </c>
      <c r="AG2411">
        <v>-1.1712849999999999</v>
      </c>
      <c r="AH2411">
        <v>39.339086414831698</v>
      </c>
      <c r="AI2411">
        <v>91.625467682320505</v>
      </c>
      <c r="AJ2411">
        <v>72.380941720438599</v>
      </c>
      <c r="AK2411">
        <v>41.2919252805601</v>
      </c>
      <c r="AL2411">
        <v>83.459367435567501</v>
      </c>
      <c r="AM2411">
        <v>81.0453069983609</v>
      </c>
      <c r="AN2411">
        <v>1.00000001215734</v>
      </c>
    </row>
    <row r="2412" spans="1:40" x14ac:dyDescent="0.25">
      <c r="A2412" t="str">
        <f>"20190303161921913"</f>
        <v>20190303161921913</v>
      </c>
      <c r="B2412" t="str">
        <f>"1551601161905039"</f>
        <v>1551601161905039</v>
      </c>
      <c r="C2412" t="s">
        <v>40</v>
      </c>
      <c r="D2412">
        <v>4.7804209999999996</v>
      </c>
      <c r="E2412">
        <v>0.57750199999999996</v>
      </c>
      <c r="F2412" t="s">
        <v>49</v>
      </c>
      <c r="G2412">
        <v>-203.97219999999999</v>
      </c>
      <c r="H2412" s="1">
        <v>4.0141820000000004E-6</v>
      </c>
      <c r="I2412">
        <v>284.20830000000001</v>
      </c>
      <c r="J2412">
        <v>-193.05709999999999</v>
      </c>
      <c r="K2412">
        <v>1.1212850000000001</v>
      </c>
      <c r="L2412">
        <v>305.19630000000001</v>
      </c>
      <c r="M2412">
        <v>-0.13477739999999999</v>
      </c>
      <c r="N2412">
        <v>-1.3545430000000001E-2</v>
      </c>
      <c r="O2412">
        <v>-0.99078359999999999</v>
      </c>
      <c r="P2412">
        <v>-0.28636279999999997</v>
      </c>
      <c r="Q2412">
        <v>0.10065929999999999</v>
      </c>
      <c r="R2412">
        <v>-0.95281950000000004</v>
      </c>
      <c r="S2412">
        <v>-1.4182889999999999</v>
      </c>
      <c r="T2412">
        <v>-0.1454589</v>
      </c>
      <c r="U2412">
        <v>-2.7386780000000002</v>
      </c>
      <c r="V2412">
        <v>0.15541450000000001</v>
      </c>
      <c r="W2412">
        <v>0.11383160000000001</v>
      </c>
      <c r="X2412">
        <v>0.9812689</v>
      </c>
      <c r="Y2412">
        <v>0.33557140000000002</v>
      </c>
      <c r="Z2412">
        <v>3.4684199999999998E-2</v>
      </c>
      <c r="AA2412">
        <v>0.94137599999999999</v>
      </c>
      <c r="AB2412">
        <v>13</v>
      </c>
      <c r="AC2412">
        <v>-10.915099999999899</v>
      </c>
      <c r="AD2412">
        <v>-1.121280985818</v>
      </c>
      <c r="AE2412">
        <v>-20.988</v>
      </c>
      <c r="AF2412">
        <v>7.9686222251681702</v>
      </c>
      <c r="AG2412">
        <v>-1.121280985818</v>
      </c>
      <c r="AH2412">
        <v>22.217797328863998</v>
      </c>
      <c r="AI2412">
        <v>92.7197729984494</v>
      </c>
      <c r="AJ2412">
        <v>70.269150002237197</v>
      </c>
      <c r="AK2412">
        <v>23.630207983915</v>
      </c>
      <c r="AL2412">
        <v>83.4637617266837</v>
      </c>
      <c r="AM2412">
        <v>81.000183728422698</v>
      </c>
      <c r="AN2412">
        <v>0.99999997703800902</v>
      </c>
    </row>
    <row r="2413" spans="1:40" x14ac:dyDescent="0.25">
      <c r="A2413" t="str">
        <f>"20190303161921937"</f>
        <v>20190303161921937</v>
      </c>
      <c r="B2413" t="str">
        <f>"1551601161924559"</f>
        <v>1551601161924559</v>
      </c>
      <c r="C2413" t="s">
        <v>40</v>
      </c>
      <c r="D2413">
        <v>4.7580289999999996</v>
      </c>
      <c r="E2413">
        <v>0.57967669999999905</v>
      </c>
      <c r="F2413" t="s">
        <v>49</v>
      </c>
      <c r="G2413">
        <v>-202.01169999999999</v>
      </c>
      <c r="H2413" s="1">
        <v>2.7816900000000001E-6</v>
      </c>
      <c r="I2413">
        <v>288.3612</v>
      </c>
      <c r="J2413">
        <v>-193.07579999999999</v>
      </c>
      <c r="K2413">
        <v>1.121278</v>
      </c>
      <c r="L2413">
        <v>305.06700000000001</v>
      </c>
      <c r="M2413">
        <v>-0.1357546</v>
      </c>
      <c r="N2413">
        <v>-1.354207E-2</v>
      </c>
      <c r="O2413">
        <v>-0.99064989999999997</v>
      </c>
      <c r="P2413">
        <v>-0.28712179999999998</v>
      </c>
      <c r="Q2413">
        <v>0.1005265</v>
      </c>
      <c r="R2413">
        <v>-0.95260469999999997</v>
      </c>
      <c r="S2413">
        <v>-1.452698</v>
      </c>
      <c r="T2413">
        <v>-0.18190480000000001</v>
      </c>
      <c r="U2413">
        <v>-2.7311399999999999</v>
      </c>
      <c r="V2413">
        <v>0.15522549999999999</v>
      </c>
      <c r="W2413">
        <v>0.11369700000000001</v>
      </c>
      <c r="X2413">
        <v>0.98131440000000003</v>
      </c>
      <c r="Y2413">
        <v>0.34472409999999998</v>
      </c>
      <c r="Z2413">
        <v>4.6505860000000003E-2</v>
      </c>
      <c r="AA2413">
        <v>0.93755129999999998</v>
      </c>
      <c r="AB2413">
        <v>13</v>
      </c>
      <c r="AC2413">
        <v>-8.9359000000000002</v>
      </c>
      <c r="AD2413">
        <v>-1.1212752183100001</v>
      </c>
      <c r="AE2413">
        <v>-16.7058</v>
      </c>
      <c r="AF2413">
        <v>6.5620779820852597</v>
      </c>
      <c r="AG2413">
        <v>-1.1212752183100001</v>
      </c>
      <c r="AH2413">
        <v>17.702311401192599</v>
      </c>
      <c r="AI2413">
        <v>93.398883137914694</v>
      </c>
      <c r="AJ2413">
        <v>69.660737271910193</v>
      </c>
      <c r="AK2413">
        <v>18.912692946879801</v>
      </c>
      <c r="AL2413">
        <v>83.471524007042703</v>
      </c>
      <c r="AM2413">
        <v>81.011359595015705</v>
      </c>
      <c r="AN2413">
        <v>0.99999995765330396</v>
      </c>
    </row>
    <row r="2414" spans="1:40" x14ac:dyDescent="0.25">
      <c r="A2414" t="str">
        <f>"20190303161921959"</f>
        <v>20190303161921959</v>
      </c>
      <c r="B2414" t="str">
        <f>"1551601161945056"</f>
        <v>1551601161945056</v>
      </c>
      <c r="C2414" t="s">
        <v>40</v>
      </c>
      <c r="D2414">
        <v>4.7651440000000003</v>
      </c>
      <c r="E2414">
        <v>0.58090649999999999</v>
      </c>
      <c r="F2414" t="s">
        <v>49</v>
      </c>
      <c r="G2414">
        <v>-201.48249999999999</v>
      </c>
      <c r="H2414" s="1">
        <v>2.4479700000000001E-6</v>
      </c>
      <c r="I2414">
        <v>289.49450000000002</v>
      </c>
      <c r="J2414">
        <v>-193.0942</v>
      </c>
      <c r="K2414">
        <v>1.1212789999999999</v>
      </c>
      <c r="L2414">
        <v>304.94130000000001</v>
      </c>
      <c r="M2414">
        <v>-0.1367052</v>
      </c>
      <c r="N2414">
        <v>-1.3538669999999999E-2</v>
      </c>
      <c r="O2414">
        <v>-0.99051929999999999</v>
      </c>
      <c r="P2414">
        <v>-0.28653410000000001</v>
      </c>
      <c r="Q2414">
        <v>0.1002943</v>
      </c>
      <c r="R2414">
        <v>-0.95280640000000005</v>
      </c>
      <c r="S2414">
        <v>-1.4718169999999999</v>
      </c>
      <c r="T2414">
        <v>-0.19630929999999999</v>
      </c>
      <c r="U2414">
        <v>-2.7263790000000001</v>
      </c>
      <c r="V2414">
        <v>0.15367210000000001</v>
      </c>
      <c r="W2414">
        <v>0.11346680000000001</v>
      </c>
      <c r="X2414">
        <v>0.98158559999999995</v>
      </c>
      <c r="Y2414">
        <v>0.3494835</v>
      </c>
      <c r="Z2414">
        <v>5.1146539999999997E-2</v>
      </c>
      <c r="AA2414">
        <v>0.93554539999999997</v>
      </c>
      <c r="AB2414">
        <v>13</v>
      </c>
      <c r="AC2414">
        <v>-8.3882999999999797</v>
      </c>
      <c r="AD2414">
        <v>-1.1212765520299901</v>
      </c>
      <c r="AE2414">
        <v>-15.4467999999999</v>
      </c>
      <c r="AF2414">
        <v>6.1725652716241104</v>
      </c>
      <c r="AG2414">
        <v>-1.1212765520299901</v>
      </c>
      <c r="AH2414">
        <v>16.381922607448999</v>
      </c>
      <c r="AI2414">
        <v>93.664797710410397</v>
      </c>
      <c r="AJ2414">
        <v>69.354029355539396</v>
      </c>
      <c r="AK2414">
        <v>17.542098262609301</v>
      </c>
      <c r="AL2414">
        <v>83.484800072923207</v>
      </c>
      <c r="AM2414">
        <v>81.102284818701506</v>
      </c>
      <c r="AN2414">
        <v>1.000000059574</v>
      </c>
    </row>
    <row r="2415" spans="1:40" x14ac:dyDescent="0.25">
      <c r="A2415" t="str">
        <f>"20190303161921984"</f>
        <v>20190303161921984</v>
      </c>
      <c r="B2415" t="str">
        <f>"1551601161975312"</f>
        <v>1551601161975312</v>
      </c>
      <c r="C2415" t="s">
        <v>40</v>
      </c>
      <c r="D2415">
        <v>4.7409730000000003</v>
      </c>
      <c r="E2415">
        <v>0.58163050000000005</v>
      </c>
      <c r="F2415" t="s">
        <v>49</v>
      </c>
      <c r="G2415">
        <v>-200.58869999999999</v>
      </c>
      <c r="H2415">
        <v>7.9999909999999994E-2</v>
      </c>
      <c r="I2415">
        <v>291.1431</v>
      </c>
      <c r="J2415">
        <v>-193.1139</v>
      </c>
      <c r="K2415">
        <v>1.121283</v>
      </c>
      <c r="L2415">
        <v>304.8073</v>
      </c>
      <c r="M2415">
        <v>-0.13772089999999901</v>
      </c>
      <c r="N2415">
        <v>-1.3535129999999999E-2</v>
      </c>
      <c r="O2415">
        <v>-0.99037869999999995</v>
      </c>
      <c r="P2415">
        <v>-0.28454109999999899</v>
      </c>
      <c r="Q2415">
        <v>0.10099610000000001</v>
      </c>
      <c r="R2415">
        <v>-0.95332919999999999</v>
      </c>
      <c r="S2415">
        <v>-1.4801789999999999</v>
      </c>
      <c r="T2415">
        <v>-0.20565410000000001</v>
      </c>
      <c r="U2415">
        <v>-2.7251590000000001</v>
      </c>
      <c r="V2415">
        <v>0.15061849999999999</v>
      </c>
      <c r="W2415">
        <v>0.1141731</v>
      </c>
      <c r="X2415">
        <v>0.98197690000000004</v>
      </c>
      <c r="Y2415">
        <v>0.35083449999999999</v>
      </c>
      <c r="Z2415">
        <v>5.4148290000000002E-2</v>
      </c>
      <c r="AA2415">
        <v>0.93487070000000005</v>
      </c>
      <c r="AB2415">
        <v>13</v>
      </c>
      <c r="AC2415">
        <v>-7.4747999999999797</v>
      </c>
      <c r="AD2415">
        <v>-1.0412830900000001</v>
      </c>
      <c r="AE2415">
        <v>-13.6641999999999</v>
      </c>
      <c r="AF2415">
        <v>5.4969722312701101</v>
      </c>
      <c r="AG2415">
        <v>-1.0412830900000001</v>
      </c>
      <c r="AH2415">
        <v>14.4986966624856</v>
      </c>
      <c r="AI2415">
        <v>93.841904161877096</v>
      </c>
      <c r="AJ2415">
        <v>69.236498045388203</v>
      </c>
      <c r="AK2415">
        <v>15.540694292587</v>
      </c>
      <c r="AL2415">
        <v>83.444067169539196</v>
      </c>
      <c r="AM2415">
        <v>81.279766317160494</v>
      </c>
      <c r="AN2415">
        <v>1.0000000307197301</v>
      </c>
    </row>
    <row r="2416" spans="1:40" x14ac:dyDescent="0.25">
      <c r="A2416" t="str">
        <f>"20190303161922017"</f>
        <v>20190303161922017</v>
      </c>
      <c r="B2416" t="str">
        <f>"1551601162004592"</f>
        <v>1551601162004592</v>
      </c>
      <c r="C2416" t="s">
        <v>40</v>
      </c>
      <c r="D2416">
        <v>4.7988780000000002</v>
      </c>
      <c r="E2416">
        <v>0.58227839999999997</v>
      </c>
      <c r="F2416" t="s">
        <v>49</v>
      </c>
      <c r="G2416">
        <v>-200.3312</v>
      </c>
      <c r="H2416">
        <v>7.9999929999999997E-2</v>
      </c>
      <c r="I2416">
        <v>291.51139999999998</v>
      </c>
      <c r="J2416">
        <v>-193.1414</v>
      </c>
      <c r="K2416">
        <v>1.121283</v>
      </c>
      <c r="L2416">
        <v>304.6223</v>
      </c>
      <c r="M2416">
        <v>-0.13913529999999999</v>
      </c>
      <c r="N2416">
        <v>-1.353037E-2</v>
      </c>
      <c r="O2416">
        <v>-0.99018090000000003</v>
      </c>
      <c r="P2416">
        <v>-0.28243960000000001</v>
      </c>
      <c r="Q2416">
        <v>0.1029047</v>
      </c>
      <c r="R2416">
        <v>-0.95374959999999998</v>
      </c>
      <c r="S2416">
        <v>-1.480591</v>
      </c>
      <c r="T2416">
        <v>-0.2136141</v>
      </c>
      <c r="U2416">
        <v>-2.7275700000000001</v>
      </c>
      <c r="V2416">
        <v>0.1470766</v>
      </c>
      <c r="W2416">
        <v>0.1160834</v>
      </c>
      <c r="X2416">
        <v>0.98228970000000004</v>
      </c>
      <c r="Y2416">
        <v>0.34918719999999998</v>
      </c>
      <c r="Z2416">
        <v>5.669184E-2</v>
      </c>
      <c r="AA2416">
        <v>0.93533650000000002</v>
      </c>
      <c r="AB2416">
        <v>13</v>
      </c>
      <c r="AC2416">
        <v>-7.1897999999999902</v>
      </c>
      <c r="AD2416">
        <v>-1.04128307</v>
      </c>
      <c r="AE2416">
        <v>-13.110900000000001</v>
      </c>
      <c r="AF2416">
        <v>5.2699425773036603</v>
      </c>
      <c r="AG2416">
        <v>-1.04128307</v>
      </c>
      <c r="AH2416">
        <v>13.916312729955401</v>
      </c>
      <c r="AI2416">
        <v>94.002763445241499</v>
      </c>
      <c r="AJ2416">
        <v>69.258917471606196</v>
      </c>
      <c r="AK2416">
        <v>14.917115176798299</v>
      </c>
      <c r="AL2416">
        <v>83.333881951466097</v>
      </c>
      <c r="AM2416">
        <v>81.484457814919907</v>
      </c>
      <c r="AN2416">
        <v>0.99999996837460403</v>
      </c>
    </row>
    <row r="2417" spans="1:40" x14ac:dyDescent="0.25">
      <c r="A2417" t="str">
        <f>"20190303161922039"</f>
        <v>20190303161922039</v>
      </c>
      <c r="B2417" t="str">
        <f>"1551601162025087"</f>
        <v>1551601162025087</v>
      </c>
      <c r="C2417" t="s">
        <v>40</v>
      </c>
      <c r="D2417">
        <v>4.728809</v>
      </c>
      <c r="E2417">
        <v>0.582746599999999</v>
      </c>
      <c r="F2417" t="s">
        <v>49</v>
      </c>
      <c r="G2417">
        <v>-200.85900000000001</v>
      </c>
      <c r="H2417" s="1">
        <v>2.0582430000000002E-6</v>
      </c>
      <c r="I2417">
        <v>290.39179999999999</v>
      </c>
      <c r="J2417">
        <v>-193.16030000000001</v>
      </c>
      <c r="K2417">
        <v>1.1212869999999999</v>
      </c>
      <c r="L2417">
        <v>304.49610000000001</v>
      </c>
      <c r="M2417">
        <v>-0.1401097</v>
      </c>
      <c r="N2417">
        <v>-1.352717E-2</v>
      </c>
      <c r="O2417">
        <v>-0.99004389999999998</v>
      </c>
      <c r="P2417">
        <v>-0.28157500000000002</v>
      </c>
      <c r="Q2417">
        <v>0.1040266</v>
      </c>
      <c r="R2417">
        <v>-0.95388419999999896</v>
      </c>
      <c r="S2417">
        <v>-1.4806820000000001</v>
      </c>
      <c r="T2417">
        <v>-0.21512790000000001</v>
      </c>
      <c r="U2417">
        <v>-2.7302550000000001</v>
      </c>
      <c r="V2417">
        <v>0.14523549999999999</v>
      </c>
      <c r="W2417">
        <v>0.1172044</v>
      </c>
      <c r="X2417">
        <v>0.98243060000000004</v>
      </c>
      <c r="Y2417">
        <v>0.34789120000000001</v>
      </c>
      <c r="Z2417">
        <v>5.7131649999999999E-2</v>
      </c>
      <c r="AA2417">
        <v>0.93579250000000003</v>
      </c>
      <c r="AB2417">
        <v>13</v>
      </c>
      <c r="AC2417">
        <v>-7.6986999999999997</v>
      </c>
      <c r="AD2417">
        <v>-1.1212849417569899</v>
      </c>
      <c r="AE2417">
        <v>-14.1043</v>
      </c>
      <c r="AF2417">
        <v>5.6190552488017698</v>
      </c>
      <c r="AG2417">
        <v>-1.1212849417569899</v>
      </c>
      <c r="AH2417">
        <v>14.971010869200599</v>
      </c>
      <c r="AI2417">
        <v>94.011056425762902</v>
      </c>
      <c r="AJ2417">
        <v>69.427427885123706</v>
      </c>
      <c r="AK2417">
        <v>16.030041430246602</v>
      </c>
      <c r="AL2417">
        <v>83.269212497682403</v>
      </c>
      <c r="AM2417">
        <v>81.590709946639706</v>
      </c>
      <c r="AN2417">
        <v>1.00000005282798</v>
      </c>
    </row>
    <row r="2418" spans="1:40" x14ac:dyDescent="0.25">
      <c r="A2418" t="str">
        <f>"20190303161922061"</f>
        <v>20190303161922061</v>
      </c>
      <c r="B2418" t="str">
        <f>"1551601162044607"</f>
        <v>1551601162044607</v>
      </c>
      <c r="C2418" t="s">
        <v>40</v>
      </c>
      <c r="D2418">
        <v>4.731255</v>
      </c>
      <c r="E2418">
        <v>0.58314100000000002</v>
      </c>
      <c r="F2418" t="s">
        <v>49</v>
      </c>
      <c r="G2418">
        <v>-200.9359</v>
      </c>
      <c r="H2418" s="1">
        <v>2.120803E-6</v>
      </c>
      <c r="I2418">
        <v>290.17649999999998</v>
      </c>
      <c r="J2418">
        <v>-193.1781</v>
      </c>
      <c r="K2418">
        <v>1.1212879999999901</v>
      </c>
      <c r="L2418">
        <v>304.37830000000002</v>
      </c>
      <c r="M2418">
        <v>-0.14102770000000001</v>
      </c>
      <c r="N2418">
        <v>-1.352423E-2</v>
      </c>
      <c r="O2418">
        <v>-0.98991359999999995</v>
      </c>
      <c r="P2418">
        <v>-0.28139049999999999</v>
      </c>
      <c r="Q2418">
        <v>0.10493420000000001</v>
      </c>
      <c r="R2418">
        <v>-0.95383910000000005</v>
      </c>
      <c r="S2418">
        <v>-1.4827269999999999</v>
      </c>
      <c r="T2418">
        <v>-0.2138196</v>
      </c>
      <c r="U2418">
        <v>-2.7306210000000002</v>
      </c>
      <c r="V2418">
        <v>0.1441489</v>
      </c>
      <c r="W2418">
        <v>0.1181088</v>
      </c>
      <c r="X2418">
        <v>0.98248230000000003</v>
      </c>
      <c r="Y2418">
        <v>0.34752420000000001</v>
      </c>
      <c r="Z2418">
        <v>5.6684470000000001E-2</v>
      </c>
      <c r="AA2418">
        <v>0.93595609999999996</v>
      </c>
      <c r="AB2418">
        <v>13</v>
      </c>
      <c r="AC2418">
        <v>-7.7577999999999996</v>
      </c>
      <c r="AD2418">
        <v>-1.12128587919699</v>
      </c>
      <c r="AE2418">
        <v>-14.2018</v>
      </c>
      <c r="AF2418">
        <v>5.6500953179543902</v>
      </c>
      <c r="AG2418">
        <v>-1.12128587919699</v>
      </c>
      <c r="AH2418">
        <v>15.0815926431004</v>
      </c>
      <c r="AI2418">
        <v>93.982650138307804</v>
      </c>
      <c r="AJ2418">
        <v>69.462282107943196</v>
      </c>
      <c r="AK2418">
        <v>16.144203163280601</v>
      </c>
      <c r="AL2418">
        <v>83.217031623493895</v>
      </c>
      <c r="AM2418">
        <v>81.653168566928201</v>
      </c>
      <c r="AN2418">
        <v>1.0000000319109601</v>
      </c>
    </row>
    <row r="2419" spans="1:40" x14ac:dyDescent="0.25">
      <c r="A2419" t="str">
        <f>"20190303161922081"</f>
        <v>20190303161922081</v>
      </c>
      <c r="B2419" t="str">
        <f>"1551601162074864"</f>
        <v>1551601162074864</v>
      </c>
      <c r="C2419" t="s">
        <v>40</v>
      </c>
      <c r="D2419">
        <v>4.7199249999999999</v>
      </c>
      <c r="E2419">
        <v>0.58395209999999997</v>
      </c>
      <c r="F2419" t="s">
        <v>49</v>
      </c>
      <c r="G2419">
        <v>-200.94130000000001</v>
      </c>
      <c r="H2419" s="1">
        <v>2.1318200000000002E-6</v>
      </c>
      <c r="I2419">
        <v>290.11169999999998</v>
      </c>
      <c r="J2419">
        <v>-193.196</v>
      </c>
      <c r="K2419">
        <v>1.121283</v>
      </c>
      <c r="L2419">
        <v>304.26029999999997</v>
      </c>
      <c r="M2419">
        <v>-0.14195669999999999</v>
      </c>
      <c r="N2419">
        <v>-1.352128E-2</v>
      </c>
      <c r="O2419">
        <v>-0.98978069999999896</v>
      </c>
      <c r="P2419">
        <v>-0.28205400000000003</v>
      </c>
      <c r="Q2419">
        <v>0.1046827</v>
      </c>
      <c r="R2419">
        <v>-0.95367060000000003</v>
      </c>
      <c r="S2419">
        <v>-1.4858089999999999</v>
      </c>
      <c r="T2419">
        <v>-0.21460290000000001</v>
      </c>
      <c r="U2419">
        <v>-2.730499</v>
      </c>
      <c r="V2419">
        <v>0.14390700000000001</v>
      </c>
      <c r="W2419">
        <v>0.1178541</v>
      </c>
      <c r="X2419">
        <v>0.98254830000000004</v>
      </c>
      <c r="Y2419">
        <v>0.34747070000000002</v>
      </c>
      <c r="Z2419">
        <v>5.691715E-2</v>
      </c>
      <c r="AA2419">
        <v>0.93596179999999995</v>
      </c>
      <c r="AB2419">
        <v>13</v>
      </c>
      <c r="AC2419">
        <v>-7.7453000000000101</v>
      </c>
      <c r="AD2419">
        <v>-1.1212808681799999</v>
      </c>
      <c r="AE2419">
        <v>-14.148599999999901</v>
      </c>
      <c r="AF2419">
        <v>5.6309647584757503</v>
      </c>
      <c r="AG2419">
        <v>-1.1212808681799999</v>
      </c>
      <c r="AH2419">
        <v>15.032243968382501</v>
      </c>
      <c r="AI2419">
        <v>93.995720470326006</v>
      </c>
      <c r="AJ2419">
        <v>69.464430672321697</v>
      </c>
      <c r="AK2419">
        <v>16.0914074468803</v>
      </c>
      <c r="AL2419">
        <v>83.231727196299104</v>
      </c>
      <c r="AM2419">
        <v>81.667530640216995</v>
      </c>
      <c r="AN2419">
        <v>0.99999998768434994</v>
      </c>
    </row>
    <row r="2420" spans="1:40" x14ac:dyDescent="0.25">
      <c r="A2420" t="str">
        <f>"20190303161922104"</f>
        <v>20190303161922104</v>
      </c>
      <c r="B2420" t="str">
        <f>"1551601162095359"</f>
        <v>1551601162095359</v>
      </c>
      <c r="C2420" t="s">
        <v>40</v>
      </c>
      <c r="D2420">
        <v>4.6969089999999998</v>
      </c>
      <c r="E2420">
        <v>0.58450619999999998</v>
      </c>
      <c r="F2420" t="s">
        <v>49</v>
      </c>
      <c r="G2420">
        <v>-200.79679999999999</v>
      </c>
      <c r="H2420" s="1">
        <v>2.0332650000000002E-6</v>
      </c>
      <c r="I2420">
        <v>290.37200000000001</v>
      </c>
      <c r="J2420">
        <v>-193.21459999999999</v>
      </c>
      <c r="K2420">
        <v>1.1212799999999901</v>
      </c>
      <c r="L2420">
        <v>304.13909999999998</v>
      </c>
      <c r="M2420">
        <v>-0.14292089999999999</v>
      </c>
      <c r="N2420">
        <v>-1.3518229999999999E-2</v>
      </c>
      <c r="O2420">
        <v>-0.98964180000000002</v>
      </c>
      <c r="P2420">
        <v>-0.28410740000000001</v>
      </c>
      <c r="Q2420">
        <v>0.1040242</v>
      </c>
      <c r="R2420">
        <v>-0.95313300000000001</v>
      </c>
      <c r="S2420">
        <v>-1.4931179999999999</v>
      </c>
      <c r="T2420">
        <v>-0.22026879999999999</v>
      </c>
      <c r="U2420">
        <v>-2.7282709999999999</v>
      </c>
      <c r="V2420">
        <v>0.14505789999999999</v>
      </c>
      <c r="W2420">
        <v>0.1171888</v>
      </c>
      <c r="X2420">
        <v>0.98245870000000002</v>
      </c>
      <c r="Y2420">
        <v>0.34875440000000002</v>
      </c>
      <c r="Z2420">
        <v>5.8738690000000003E-2</v>
      </c>
      <c r="AA2420">
        <v>0.93537159999999997</v>
      </c>
      <c r="AB2420">
        <v>12</v>
      </c>
      <c r="AC2420">
        <v>-7.5822000000000003</v>
      </c>
      <c r="AD2420">
        <v>-1.1212779667349999</v>
      </c>
      <c r="AE2420">
        <v>-13.7670999999999</v>
      </c>
      <c r="AF2420">
        <v>5.5085250192027697</v>
      </c>
      <c r="AG2420">
        <v>-1.1212779667349999</v>
      </c>
      <c r="AH2420">
        <v>14.6350090717385</v>
      </c>
      <c r="AI2420">
        <v>94.101375560226998</v>
      </c>
      <c r="AJ2420">
        <v>69.373979324896098</v>
      </c>
      <c r="AK2420">
        <v>15.677519022337</v>
      </c>
      <c r="AL2420">
        <v>83.270112516574599</v>
      </c>
      <c r="AM2420">
        <v>81.601083202486393</v>
      </c>
      <c r="AN2420">
        <v>1.0000000532017601</v>
      </c>
    </row>
    <row r="2421" spans="1:40" x14ac:dyDescent="0.25">
      <c r="A2421" t="str">
        <f>"20190303161922127"</f>
        <v>20190303161922127</v>
      </c>
      <c r="B2421" t="str">
        <f>"1551601162114879"</f>
        <v>1551601162114879</v>
      </c>
      <c r="C2421" t="s">
        <v>40</v>
      </c>
      <c r="D2421">
        <v>4.6807049999999997</v>
      </c>
      <c r="E2421">
        <v>0.58493050000000002</v>
      </c>
      <c r="F2421" t="s">
        <v>49</v>
      </c>
      <c r="G2421">
        <v>-200.7473</v>
      </c>
      <c r="H2421" s="1">
        <v>1.9923430000000001E-6</v>
      </c>
      <c r="I2421">
        <v>290.48840000000001</v>
      </c>
      <c r="J2421">
        <v>-193.23429999999999</v>
      </c>
      <c r="K2421">
        <v>1.1212799999999901</v>
      </c>
      <c r="L2421">
        <v>304.01150000000001</v>
      </c>
      <c r="M2421">
        <v>-0.1439453</v>
      </c>
      <c r="N2421">
        <v>-1.3515030000000001E-2</v>
      </c>
      <c r="O2421">
        <v>-0.98949359999999997</v>
      </c>
      <c r="P2421">
        <v>-0.28665889999999999</v>
      </c>
      <c r="Q2421">
        <v>0.1035724</v>
      </c>
      <c r="R2421">
        <v>-0.95241799999999999</v>
      </c>
      <c r="S2421">
        <v>-1.5031129999999999</v>
      </c>
      <c r="T2421">
        <v>-0.2237439</v>
      </c>
      <c r="U2421">
        <v>-2.7239070000000001</v>
      </c>
      <c r="V2421">
        <v>0.1466672</v>
      </c>
      <c r="W2421">
        <v>0.1167299</v>
      </c>
      <c r="X2421">
        <v>0.98227439999999999</v>
      </c>
      <c r="Y2421">
        <v>0.35101349999999998</v>
      </c>
      <c r="Z2421">
        <v>5.9868310000000001E-2</v>
      </c>
      <c r="AA2421">
        <v>0.93445460000000002</v>
      </c>
      <c r="AB2421">
        <v>12</v>
      </c>
      <c r="AC2421">
        <v>-7.5129999999999999</v>
      </c>
      <c r="AD2421">
        <v>-1.1212780076569999</v>
      </c>
      <c r="AE2421">
        <v>-13.523099999999999</v>
      </c>
      <c r="AF2421">
        <v>5.4592981946211001</v>
      </c>
      <c r="AG2421">
        <v>-1.1212780076569999</v>
      </c>
      <c r="AH2421">
        <v>14.3882109489735</v>
      </c>
      <c r="AI2421">
        <v>94.167309957051998</v>
      </c>
      <c r="AJ2421">
        <v>69.2218241381876</v>
      </c>
      <c r="AK2421">
        <v>15.429900047</v>
      </c>
      <c r="AL2421">
        <v>83.296587345537304</v>
      </c>
      <c r="AM2421">
        <v>81.507685091063095</v>
      </c>
      <c r="AN2421">
        <v>1.0000000670025999</v>
      </c>
    </row>
    <row r="2422" spans="1:40" x14ac:dyDescent="0.25">
      <c r="A2422" t="str">
        <f>"20190303161922148"</f>
        <v>20190303161922148</v>
      </c>
      <c r="B2422" t="str">
        <f>"1551601162135375"</f>
        <v>1551601162135375</v>
      </c>
      <c r="C2422" t="s">
        <v>40</v>
      </c>
      <c r="D2422">
        <v>4.7954179999999997</v>
      </c>
      <c r="E2422">
        <v>0.59531969999999901</v>
      </c>
      <c r="F2422" t="s">
        <v>49</v>
      </c>
      <c r="G2422">
        <v>-200.66159999999999</v>
      </c>
      <c r="H2422" s="1">
        <v>1.918831E-6</v>
      </c>
      <c r="I2422">
        <v>290.66860000000003</v>
      </c>
      <c r="J2422">
        <v>-193.25200000000001</v>
      </c>
      <c r="K2422">
        <v>1.1212799999999901</v>
      </c>
      <c r="L2422">
        <v>303.89769999999999</v>
      </c>
      <c r="M2422">
        <v>-0.14486370000000001</v>
      </c>
      <c r="N2422">
        <v>-1.351228E-2</v>
      </c>
      <c r="O2422">
        <v>-0.98935949999999995</v>
      </c>
      <c r="P2422">
        <v>-0.2895373</v>
      </c>
      <c r="Q2422">
        <v>0.1034254</v>
      </c>
      <c r="R2422">
        <v>-0.95156280000000004</v>
      </c>
      <c r="S2422">
        <v>-1.5135959999999999</v>
      </c>
      <c r="T2422">
        <v>-0.22850280000000001</v>
      </c>
      <c r="U2422">
        <v>-2.7191160000000001</v>
      </c>
      <c r="V2422">
        <v>0.14872579999999999</v>
      </c>
      <c r="W2422">
        <v>0.1165741</v>
      </c>
      <c r="X2422">
        <v>0.98198319999999995</v>
      </c>
      <c r="Y2422">
        <v>0.35354390000000002</v>
      </c>
      <c r="Z2422">
        <v>6.1416819999999997E-2</v>
      </c>
      <c r="AA2422">
        <v>0.93339950000000005</v>
      </c>
      <c r="AB2422">
        <v>12</v>
      </c>
      <c r="AC2422">
        <v>-7.4095999999999798</v>
      </c>
      <c r="AD2422">
        <v>-1.12127808116899</v>
      </c>
      <c r="AE2422">
        <v>-13.229099999999899</v>
      </c>
      <c r="AF2422">
        <v>5.3853854712552698</v>
      </c>
      <c r="AG2422">
        <v>-1.12127808116899</v>
      </c>
      <c r="AH2422">
        <v>14.085979902895099</v>
      </c>
      <c r="AI2422">
        <v>94.252319525115198</v>
      </c>
      <c r="AJ2422">
        <v>69.077025567718096</v>
      </c>
      <c r="AK2422">
        <v>15.1219863455197</v>
      </c>
      <c r="AL2422">
        <v>83.305574567818496</v>
      </c>
      <c r="AM2422">
        <v>81.387747484935403</v>
      </c>
      <c r="AN2422">
        <v>0.99999994472934295</v>
      </c>
    </row>
    <row r="2423" spans="1:40" x14ac:dyDescent="0.25">
      <c r="A2423" t="str">
        <f>"20190303161922170"</f>
        <v>20190303161922170</v>
      </c>
      <c r="B2423" t="str">
        <f>"1551601162164656"</f>
        <v>1551601162164656</v>
      </c>
      <c r="C2423" t="s">
        <v>40</v>
      </c>
      <c r="D2423">
        <v>4.4126899999999996</v>
      </c>
      <c r="E2423">
        <v>0.62615959999999904</v>
      </c>
      <c r="F2423" t="s">
        <v>49</v>
      </c>
      <c r="G2423">
        <v>-199.5171</v>
      </c>
      <c r="H2423" s="1">
        <v>1.143503E-6</v>
      </c>
      <c r="I2423">
        <v>293.34530000000001</v>
      </c>
      <c r="J2423">
        <v>-193.2713</v>
      </c>
      <c r="K2423">
        <v>1.1212789999999999</v>
      </c>
      <c r="L2423">
        <v>303.774</v>
      </c>
      <c r="M2423">
        <v>-0.1458662</v>
      </c>
      <c r="N2423">
        <v>-1.350906E-2</v>
      </c>
      <c r="O2423">
        <v>-0.98921199999999998</v>
      </c>
      <c r="P2423">
        <v>-0.292126</v>
      </c>
      <c r="Q2423">
        <v>0.1036624</v>
      </c>
      <c r="R2423">
        <v>-0.95074550000000002</v>
      </c>
      <c r="S2423">
        <v>-1.601089</v>
      </c>
      <c r="T2423">
        <v>-0.28654689999999999</v>
      </c>
      <c r="U2423">
        <v>-2.6967159999999999</v>
      </c>
      <c r="V2423">
        <v>0.15040889999999901</v>
      </c>
      <c r="W2423">
        <v>0.1168033</v>
      </c>
      <c r="X2423">
        <v>0.98169960000000001</v>
      </c>
      <c r="Y2423">
        <v>0.37774970000000002</v>
      </c>
      <c r="Z2423">
        <v>7.9698350000000001E-2</v>
      </c>
      <c r="AA2423">
        <v>0.92247129999999999</v>
      </c>
      <c r="AB2423">
        <v>12</v>
      </c>
      <c r="AC2423">
        <v>-6.2458</v>
      </c>
      <c r="AD2423">
        <v>-1.1212778564970001</v>
      </c>
      <c r="AE2423">
        <v>-10.4286999999999</v>
      </c>
      <c r="AF2423">
        <v>4.6183561859238003</v>
      </c>
      <c r="AG2423">
        <v>-1.1212778564970001</v>
      </c>
      <c r="AH2423">
        <v>11.133543505994201</v>
      </c>
      <c r="AI2423">
        <v>95.314683327096702</v>
      </c>
      <c r="AJ2423">
        <v>67.470613420595797</v>
      </c>
      <c r="AK2423">
        <v>12.105464422788501</v>
      </c>
      <c r="AL2423">
        <v>83.292352258419996</v>
      </c>
      <c r="AM2423">
        <v>81.289293105535904</v>
      </c>
      <c r="AN2423">
        <v>0.99999997636512905</v>
      </c>
    </row>
    <row r="2424" spans="1:40" x14ac:dyDescent="0.25">
      <c r="A2424" t="str">
        <f>"20190303161922194"</f>
        <v>20190303161922194</v>
      </c>
      <c r="B2424" t="str">
        <f>"1551601162185150"</f>
        <v>1551601162185150</v>
      </c>
      <c r="C2424" t="s">
        <v>40</v>
      </c>
      <c r="D2424">
        <v>4.4409199999999904</v>
      </c>
      <c r="E2424">
        <v>0.62930140000000001</v>
      </c>
      <c r="F2424" t="s">
        <v>49</v>
      </c>
      <c r="G2424">
        <v>-200.27850000000001</v>
      </c>
      <c r="H2424">
        <v>0.08</v>
      </c>
      <c r="I2424">
        <v>293.8159</v>
      </c>
      <c r="J2424">
        <v>-193.29179999999999</v>
      </c>
      <c r="K2424">
        <v>1.1212839999999999</v>
      </c>
      <c r="L2424">
        <v>303.6438</v>
      </c>
      <c r="M2424">
        <v>-0.14692189999999999</v>
      </c>
      <c r="N2424">
        <v>-1.350554E-2</v>
      </c>
      <c r="O2424">
        <v>-0.98905609999999999</v>
      </c>
      <c r="P2424">
        <v>-0.29435689999999998</v>
      </c>
      <c r="Q2424">
        <v>0.1035724</v>
      </c>
      <c r="R2424">
        <v>-0.9500672</v>
      </c>
      <c r="S2424">
        <v>-1.8429409999999999</v>
      </c>
      <c r="T2424">
        <v>-0.27386240000000001</v>
      </c>
      <c r="U2424">
        <v>-2.6190190000000002</v>
      </c>
      <c r="V2424">
        <v>0.15166450000000001</v>
      </c>
      <c r="W2424">
        <v>0.1167081</v>
      </c>
      <c r="X2424">
        <v>0.98151770000000005</v>
      </c>
      <c r="Y2424">
        <v>0.44720729999999997</v>
      </c>
      <c r="Z2424">
        <v>7.4397569999999996E-2</v>
      </c>
      <c r="AA2424">
        <v>0.89133079999999998</v>
      </c>
      <c r="AB2424">
        <v>12</v>
      </c>
      <c r="AC2424">
        <v>-6.9867000000000097</v>
      </c>
      <c r="AD2424">
        <v>-1.0412840000000001</v>
      </c>
      <c r="AE2424">
        <v>-9.8278999999999996</v>
      </c>
      <c r="AF2424">
        <v>5.42633730694034</v>
      </c>
      <c r="AG2424">
        <v>-1.0412840000000001</v>
      </c>
      <c r="AH2424">
        <v>10.6682675062681</v>
      </c>
      <c r="AI2424">
        <v>94.972121024337596</v>
      </c>
      <c r="AJ2424">
        <v>63.040163777262798</v>
      </c>
      <c r="AK2424">
        <v>12.014214103412799</v>
      </c>
      <c r="AL2424">
        <v>83.297844190186794</v>
      </c>
      <c r="AM2424">
        <v>81.216103754486397</v>
      </c>
      <c r="AN2424">
        <v>0.99999994828957295</v>
      </c>
    </row>
    <row r="2425" spans="1:40" x14ac:dyDescent="0.25">
      <c r="A2425" t="str">
        <f>"20190303161922216"</f>
        <v>20190303161922216</v>
      </c>
      <c r="B2425" t="str">
        <f>"1551601162204672"</f>
        <v>1551601162204672</v>
      </c>
      <c r="C2425" t="s">
        <v>40</v>
      </c>
      <c r="D2425">
        <v>4.3399099999999997</v>
      </c>
      <c r="E2425">
        <v>0.63173919999999995</v>
      </c>
      <c r="F2425" t="s">
        <v>49</v>
      </c>
      <c r="G2425">
        <v>-200.43530000000001</v>
      </c>
      <c r="H2425">
        <v>7.9999990000000007E-2</v>
      </c>
      <c r="I2425">
        <v>293.70060000000001</v>
      </c>
      <c r="J2425">
        <v>-193.31030000000001</v>
      </c>
      <c r="K2425">
        <v>1.1212850000000001</v>
      </c>
      <c r="L2425">
        <v>303.52690000000001</v>
      </c>
      <c r="M2425">
        <v>-0.14786949999999999</v>
      </c>
      <c r="N2425">
        <v>-1.3502419999999999E-2</v>
      </c>
      <c r="O2425">
        <v>-0.98891459999999998</v>
      </c>
      <c r="P2425">
        <v>-0.29610130000000001</v>
      </c>
      <c r="Q2425">
        <v>0.1039399</v>
      </c>
      <c r="R2425">
        <v>-0.9494842</v>
      </c>
      <c r="S2425">
        <v>-1.873032</v>
      </c>
      <c r="T2425">
        <v>-0.27302659999999901</v>
      </c>
      <c r="U2425">
        <v>-2.6071170000000001</v>
      </c>
      <c r="V2425">
        <v>0.1525331</v>
      </c>
      <c r="W2425">
        <v>0.1170708</v>
      </c>
      <c r="X2425">
        <v>0.98133990000000004</v>
      </c>
      <c r="Y2425">
        <v>0.45508209999999999</v>
      </c>
      <c r="Z2425">
        <v>7.4007470000000006E-2</v>
      </c>
      <c r="AA2425">
        <v>0.88736870000000001</v>
      </c>
      <c r="AB2425">
        <v>12</v>
      </c>
      <c r="AC2425">
        <v>-7.125</v>
      </c>
      <c r="AD2425">
        <v>-1.04128501</v>
      </c>
      <c r="AE2425">
        <v>-9.8262999999999998</v>
      </c>
      <c r="AF2425">
        <v>5.5526499804301599</v>
      </c>
      <c r="AG2425">
        <v>-1.04128501</v>
      </c>
      <c r="AH2425">
        <v>10.693223724519999</v>
      </c>
      <c r="AI2425">
        <v>94.939303283005401</v>
      </c>
      <c r="AJ2425">
        <v>62.558587318384397</v>
      </c>
      <c r="AK2425">
        <v>12.093850912751501</v>
      </c>
      <c r="AL2425">
        <v>83.276919642872301</v>
      </c>
      <c r="AM2425">
        <v>81.165013347415098</v>
      </c>
      <c r="AN2425">
        <v>0.99999995907012895</v>
      </c>
    </row>
    <row r="2426" spans="1:40" x14ac:dyDescent="0.25">
      <c r="A2426" t="str">
        <f>"20190303161922237"</f>
        <v>20190303161922237</v>
      </c>
      <c r="B2426" t="str">
        <f>"1551601162234927"</f>
        <v>1551601162234927</v>
      </c>
      <c r="C2426" t="s">
        <v>40</v>
      </c>
      <c r="D2426">
        <v>4.3137670000000004</v>
      </c>
      <c r="E2426">
        <v>0.63216850000000002</v>
      </c>
      <c r="F2426" t="s">
        <v>49</v>
      </c>
      <c r="G2426">
        <v>-200.74610000000001</v>
      </c>
      <c r="H2426">
        <v>8.0000089999999996E-2</v>
      </c>
      <c r="I2426">
        <v>293.34339999999997</v>
      </c>
      <c r="J2426">
        <v>-193.3289</v>
      </c>
      <c r="K2426">
        <v>1.1212899999999999</v>
      </c>
      <c r="L2426">
        <v>303.41050000000001</v>
      </c>
      <c r="M2426">
        <v>-0.14881079999999999</v>
      </c>
      <c r="N2426">
        <v>-1.3499280000000001E-2</v>
      </c>
      <c r="O2426">
        <v>-0.98877369999999998</v>
      </c>
      <c r="P2426">
        <v>-0.29748219999999997</v>
      </c>
      <c r="Q2426">
        <v>0.1040011</v>
      </c>
      <c r="R2426">
        <v>-0.94904599999999995</v>
      </c>
      <c r="S2426">
        <v>-1.896439</v>
      </c>
      <c r="T2426">
        <v>-0.26557330000000001</v>
      </c>
      <c r="U2426">
        <v>-2.597229</v>
      </c>
      <c r="V2426">
        <v>0.1530271</v>
      </c>
      <c r="W2426">
        <v>0.1171291</v>
      </c>
      <c r="X2426">
        <v>0.98125609999999996</v>
      </c>
      <c r="Y2426">
        <v>0.46117069999999999</v>
      </c>
      <c r="Z2426">
        <v>7.1567729999999996E-2</v>
      </c>
      <c r="AA2426">
        <v>0.88442049999999905</v>
      </c>
      <c r="AB2426">
        <v>12</v>
      </c>
      <c r="AC2426">
        <v>-7.4172000000000002</v>
      </c>
      <c r="AD2426">
        <v>-1.0412899099999999</v>
      </c>
      <c r="AE2426">
        <v>-10.0671</v>
      </c>
      <c r="AF2426">
        <v>5.7961765028786001</v>
      </c>
      <c r="AG2426">
        <v>-1.0412899099999999</v>
      </c>
      <c r="AH2426">
        <v>10.9826898766876</v>
      </c>
      <c r="AI2426">
        <v>94.793094989400799</v>
      </c>
      <c r="AJ2426">
        <v>62.176895776995401</v>
      </c>
      <c r="AK2426">
        <v>12.461918939580899</v>
      </c>
      <c r="AL2426">
        <v>83.273556614762697</v>
      </c>
      <c r="AM2426">
        <v>81.136108665452895</v>
      </c>
      <c r="AN2426">
        <v>1.0000000265942099</v>
      </c>
    </row>
    <row r="2427" spans="1:40" x14ac:dyDescent="0.25">
      <c r="A2427" t="str">
        <f>"20190303161922260"</f>
        <v>20190303161922260</v>
      </c>
      <c r="B2427" t="str">
        <f>"1551601162254448"</f>
        <v>1551601162254448</v>
      </c>
      <c r="C2427" t="s">
        <v>40</v>
      </c>
      <c r="D2427">
        <v>4.3503869999999996</v>
      </c>
      <c r="E2427">
        <v>0.63257030000000003</v>
      </c>
      <c r="F2427" t="s">
        <v>49</v>
      </c>
      <c r="G2427">
        <v>-200.73929999999999</v>
      </c>
      <c r="H2427">
        <v>8.0000080000000001E-2</v>
      </c>
      <c r="I2427">
        <v>293.31209999999999</v>
      </c>
      <c r="J2427">
        <v>-193.3492</v>
      </c>
      <c r="K2427">
        <v>1.121294</v>
      </c>
      <c r="L2427">
        <v>303.28399999999999</v>
      </c>
      <c r="M2427">
        <v>-0.14983179999999999</v>
      </c>
      <c r="N2427">
        <v>-1.349596E-2</v>
      </c>
      <c r="O2427">
        <v>-0.98861960000000004</v>
      </c>
      <c r="P2427">
        <v>-0.29873359999999999</v>
      </c>
      <c r="Q2427">
        <v>0.103598</v>
      </c>
      <c r="R2427">
        <v>-0.94869720000000002</v>
      </c>
      <c r="S2427">
        <v>-1.9033359999999999</v>
      </c>
      <c r="T2427">
        <v>-0.26745340000000001</v>
      </c>
      <c r="U2427">
        <v>-2.59375</v>
      </c>
      <c r="V2427">
        <v>0.15329989999999999</v>
      </c>
      <c r="W2427">
        <v>0.1167247</v>
      </c>
      <c r="X2427">
        <v>0.98126170000000001</v>
      </c>
      <c r="Y2427">
        <v>0.46232299999999998</v>
      </c>
      <c r="Z2427">
        <v>7.21551E-2</v>
      </c>
      <c r="AA2427">
        <v>0.88377090000000003</v>
      </c>
      <c r="AB2427">
        <v>12</v>
      </c>
      <c r="AC2427">
        <v>-7.3900999999999897</v>
      </c>
      <c r="AD2427">
        <v>-1.04129392</v>
      </c>
      <c r="AE2427">
        <v>-9.9718999999999998</v>
      </c>
      <c r="AF2427">
        <v>5.7717935168669499</v>
      </c>
      <c r="AG2427">
        <v>-1.04129392</v>
      </c>
      <c r="AH2427">
        <v>10.8900350535187</v>
      </c>
      <c r="AI2427">
        <v>94.829227926336102</v>
      </c>
      <c r="AJ2427">
        <v>62.076102475446099</v>
      </c>
      <c r="AK2427">
        <v>12.368943240877201</v>
      </c>
      <c r="AL2427">
        <v>83.2968870138005</v>
      </c>
      <c r="AM2427">
        <v>81.120608532699407</v>
      </c>
      <c r="AN2427">
        <v>1.0000000194084899</v>
      </c>
    </row>
    <row r="2428" spans="1:40" x14ac:dyDescent="0.25">
      <c r="A2428" t="str">
        <f>"20190303161922281"</f>
        <v>20190303161922281</v>
      </c>
      <c r="B2428" t="str">
        <f>"1551601162274944"</f>
        <v>1551601162274944</v>
      </c>
      <c r="C2428" t="s">
        <v>40</v>
      </c>
      <c r="D2428">
        <v>4.335858</v>
      </c>
      <c r="E2428">
        <v>0.63274569999999997</v>
      </c>
      <c r="F2428" t="s">
        <v>49</v>
      </c>
      <c r="G2428">
        <v>-200.7431</v>
      </c>
      <c r="H2428">
        <v>8.0000080000000001E-2</v>
      </c>
      <c r="I2428">
        <v>293.25349999999997</v>
      </c>
      <c r="J2428">
        <v>-193.36779999999999</v>
      </c>
      <c r="K2428">
        <v>1.1212979999999999</v>
      </c>
      <c r="L2428">
        <v>303.16840000000002</v>
      </c>
      <c r="M2428">
        <v>-0.1507616</v>
      </c>
      <c r="N2428">
        <v>-1.349271E-2</v>
      </c>
      <c r="O2428">
        <v>-0.98847819999999997</v>
      </c>
      <c r="P2428">
        <v>-0.30058089999999998</v>
      </c>
      <c r="Q2428">
        <v>0.1031614</v>
      </c>
      <c r="R2428">
        <v>-0.94816109999999998</v>
      </c>
      <c r="S2428">
        <v>-1.9094850000000001</v>
      </c>
      <c r="T2428">
        <v>-0.26891510000000002</v>
      </c>
      <c r="U2428">
        <v>-2.590363</v>
      </c>
      <c r="V2428">
        <v>0.15428120000000001</v>
      </c>
      <c r="W2428">
        <v>0.11628330000000001</v>
      </c>
      <c r="X2428">
        <v>0.98116029999999999</v>
      </c>
      <c r="Y2428">
        <v>0.46337970000000001</v>
      </c>
      <c r="Z2428">
        <v>7.2617210000000001E-2</v>
      </c>
      <c r="AA2428">
        <v>0.88317950000000001</v>
      </c>
      <c r="AB2428">
        <v>12</v>
      </c>
      <c r="AC2428">
        <v>-7.37530000000001</v>
      </c>
      <c r="AD2428">
        <v>-1.0412979200000001</v>
      </c>
      <c r="AE2428">
        <v>-9.9149000000000402</v>
      </c>
      <c r="AF2428">
        <v>5.7551971597673504</v>
      </c>
      <c r="AG2428">
        <v>-1.0412979200000001</v>
      </c>
      <c r="AH2428">
        <v>10.836617398564</v>
      </c>
      <c r="AI2428">
        <v>94.850776854588403</v>
      </c>
      <c r="AJ2428">
        <v>62.027766244555998</v>
      </c>
      <c r="AK2428">
        <v>12.3141736364585</v>
      </c>
      <c r="AL2428">
        <v>83.322350739631204</v>
      </c>
      <c r="AM2428">
        <v>81.063775679658207</v>
      </c>
      <c r="AN2428">
        <v>1.0000000144142001</v>
      </c>
    </row>
    <row r="2429" spans="1:40" x14ac:dyDescent="0.25">
      <c r="A2429" t="str">
        <f>"20190303161922304"</f>
        <v>20190303161922304</v>
      </c>
      <c r="B2429" t="str">
        <f>"1551601162294463"</f>
        <v>1551601162294463</v>
      </c>
      <c r="C2429" t="s">
        <v>40</v>
      </c>
      <c r="D2429">
        <v>4.3475149999999996</v>
      </c>
      <c r="E2429">
        <v>0.63279600000000003</v>
      </c>
      <c r="F2429" t="s">
        <v>49</v>
      </c>
      <c r="G2429">
        <v>-200.67529999999999</v>
      </c>
      <c r="H2429">
        <v>8.0000080000000001E-2</v>
      </c>
      <c r="I2429">
        <v>293.30090000000001</v>
      </c>
      <c r="J2429">
        <v>-193.38730000000001</v>
      </c>
      <c r="K2429">
        <v>1.121302</v>
      </c>
      <c r="L2429">
        <v>303.04880000000003</v>
      </c>
      <c r="M2429">
        <v>-0.15172339999999901</v>
      </c>
      <c r="N2429">
        <v>-1.348944E-2</v>
      </c>
      <c r="O2429">
        <v>-0.98833119999999997</v>
      </c>
      <c r="P2429">
        <v>-0.30183369999999998</v>
      </c>
      <c r="Q2429">
        <v>0.1035011</v>
      </c>
      <c r="R2429">
        <v>-0.94772610000000002</v>
      </c>
      <c r="S2429">
        <v>-1.915421</v>
      </c>
      <c r="T2429">
        <v>-0.27294289999999999</v>
      </c>
      <c r="U2429">
        <v>-2.5864560000000001</v>
      </c>
      <c r="V2429">
        <v>0.15462890000000001</v>
      </c>
      <c r="W2429">
        <v>0.1166195</v>
      </c>
      <c r="X2429">
        <v>0.98106559999999998</v>
      </c>
      <c r="Y2429">
        <v>0.46440510000000002</v>
      </c>
      <c r="Z2429">
        <v>7.3903839999999998E-2</v>
      </c>
      <c r="AA2429">
        <v>0.88253389999999998</v>
      </c>
      <c r="AB2429">
        <v>12</v>
      </c>
      <c r="AC2429">
        <v>-7.2879999999999798</v>
      </c>
      <c r="AD2429">
        <v>-1.04130192</v>
      </c>
      <c r="AE2429">
        <v>-9.7479000000000102</v>
      </c>
      <c r="AF2429">
        <v>5.6828957314462496</v>
      </c>
      <c r="AG2429">
        <v>-1.04130192</v>
      </c>
      <c r="AH2429">
        <v>10.662839922916801</v>
      </c>
      <c r="AI2429">
        <v>94.925653101608702</v>
      </c>
      <c r="AJ2429">
        <v>61.944049548373201</v>
      </c>
      <c r="AK2429">
        <v>12.1274799032954</v>
      </c>
      <c r="AL2429">
        <v>83.302955564600396</v>
      </c>
      <c r="AM2429">
        <v>81.043111919430899</v>
      </c>
      <c r="AN2429">
        <v>0.99999995799940899</v>
      </c>
    </row>
    <row r="2430" spans="1:40" x14ac:dyDescent="0.25">
      <c r="A2430" t="str">
        <f>"20190303161922326"</f>
        <v>20190303161922326</v>
      </c>
      <c r="B2430" t="str">
        <f>"1551601162314964"</f>
        <v>1551601162314964</v>
      </c>
      <c r="C2430" t="s">
        <v>40</v>
      </c>
      <c r="D2430">
        <v>4.3889379999999996</v>
      </c>
      <c r="E2430">
        <v>0.63280950000000002</v>
      </c>
      <c r="F2430" t="s">
        <v>49</v>
      </c>
      <c r="G2430">
        <v>-200.7544</v>
      </c>
      <c r="H2430">
        <v>8.0000089999999996E-2</v>
      </c>
      <c r="I2430">
        <v>293.13290000000001</v>
      </c>
      <c r="J2430">
        <v>-193.40649999999999</v>
      </c>
      <c r="K2430">
        <v>1.121305</v>
      </c>
      <c r="L2430">
        <v>302.93090000000001</v>
      </c>
      <c r="M2430">
        <v>-0.152669</v>
      </c>
      <c r="N2430">
        <v>-1.3486069999999999E-2</v>
      </c>
      <c r="O2430">
        <v>-0.98818550000000005</v>
      </c>
      <c r="P2430">
        <v>-0.30349019999999999</v>
      </c>
      <c r="Q2430">
        <v>0.1043625</v>
      </c>
      <c r="R2430">
        <v>-0.94710240000000001</v>
      </c>
      <c r="S2430">
        <v>-1.919632</v>
      </c>
      <c r="T2430">
        <v>-0.27132899999999999</v>
      </c>
      <c r="U2430">
        <v>-2.5837400000000001</v>
      </c>
      <c r="V2430">
        <v>0.155420899999999</v>
      </c>
      <c r="W2430">
        <v>0.1174752</v>
      </c>
      <c r="X2430">
        <v>0.9808384</v>
      </c>
      <c r="Y2430">
        <v>0.4649527</v>
      </c>
      <c r="Z2430">
        <v>7.3406109999999997E-2</v>
      </c>
      <c r="AA2430">
        <v>0.88228709999999899</v>
      </c>
      <c r="AB2430">
        <v>12</v>
      </c>
      <c r="AC2430">
        <v>-7.3479000000000099</v>
      </c>
      <c r="AD2430">
        <v>-1.04130491</v>
      </c>
      <c r="AE2430">
        <v>-9.798</v>
      </c>
      <c r="AF2430">
        <v>5.7243785928868798</v>
      </c>
      <c r="AG2430">
        <v>-1.04130491</v>
      </c>
      <c r="AH2430">
        <v>10.7274688381309</v>
      </c>
      <c r="AI2430">
        <v>94.894809509957696</v>
      </c>
      <c r="AJ2430">
        <v>61.914782529990703</v>
      </c>
      <c r="AK2430">
        <v>12.2037458947391</v>
      </c>
      <c r="AL2430">
        <v>83.253588667379404</v>
      </c>
      <c r="AM2430">
        <v>80.995933613083196</v>
      </c>
      <c r="AN2430">
        <v>1.0000000228432</v>
      </c>
    </row>
    <row r="2431" spans="1:40" x14ac:dyDescent="0.25">
      <c r="A2431" t="str">
        <f>"20190303161922350"</f>
        <v>20190303161922350</v>
      </c>
      <c r="B2431" t="str">
        <f>"1551601162345215"</f>
        <v>1551601162345215</v>
      </c>
      <c r="C2431" t="s">
        <v>40</v>
      </c>
      <c r="D2431">
        <v>4.4799559999999996</v>
      </c>
      <c r="E2431">
        <v>0.63204320000000003</v>
      </c>
      <c r="F2431" t="s">
        <v>49</v>
      </c>
      <c r="G2431">
        <v>-200.8058</v>
      </c>
      <c r="H2431">
        <v>8.0000089999999996E-2</v>
      </c>
      <c r="I2431">
        <v>293.00510000000003</v>
      </c>
      <c r="J2431">
        <v>-193.42699999999999</v>
      </c>
      <c r="K2431">
        <v>1.1213</v>
      </c>
      <c r="L2431">
        <v>302.8064</v>
      </c>
      <c r="M2431">
        <v>-0.15366969999999999</v>
      </c>
      <c r="N2431">
        <v>-1.348268E-2</v>
      </c>
      <c r="O2431">
        <v>-0.98803059999999998</v>
      </c>
      <c r="P2431">
        <v>-0.30633719999999998</v>
      </c>
      <c r="Q2431">
        <v>0.1046378</v>
      </c>
      <c r="R2431">
        <v>-0.94615490000000002</v>
      </c>
      <c r="S2431">
        <v>-1.92395</v>
      </c>
      <c r="T2431">
        <v>-0.27075640000000001</v>
      </c>
      <c r="U2431">
        <v>-2.5808719999999998</v>
      </c>
      <c r="V2431">
        <v>0.15738440000000001</v>
      </c>
      <c r="W2431">
        <v>0.117740899999999</v>
      </c>
      <c r="X2431">
        <v>0.98049339999999996</v>
      </c>
      <c r="Y2431">
        <v>0.46548339999999999</v>
      </c>
      <c r="Z2431">
        <v>7.3239059999999995E-2</v>
      </c>
      <c r="AA2431">
        <v>0.882021099999999</v>
      </c>
      <c r="AB2431">
        <v>12</v>
      </c>
      <c r="AC2431">
        <v>-7.3787999999999796</v>
      </c>
      <c r="AD2431">
        <v>-1.04129991</v>
      </c>
      <c r="AE2431">
        <v>-9.8012999999999693</v>
      </c>
      <c r="AF2431">
        <v>5.7434648415106899</v>
      </c>
      <c r="AG2431">
        <v>-1.04129991</v>
      </c>
      <c r="AH2431">
        <v>10.741479553733299</v>
      </c>
      <c r="AI2431">
        <v>94.886247872289005</v>
      </c>
      <c r="AJ2431">
        <v>61.866601897047097</v>
      </c>
      <c r="AK2431">
        <v>12.2250184822562</v>
      </c>
      <c r="AL2431">
        <v>83.238258895257999</v>
      </c>
      <c r="AM2431">
        <v>80.880926006708407</v>
      </c>
      <c r="AN2431">
        <v>1.0000000381698599</v>
      </c>
    </row>
    <row r="2432" spans="1:40" x14ac:dyDescent="0.25">
      <c r="A2432" t="str">
        <f>"20190303161922371"</f>
        <v>20190303161922371</v>
      </c>
      <c r="B2432" t="str">
        <f>"1551601162364736"</f>
        <v>1551601162364736</v>
      </c>
      <c r="C2432" t="s">
        <v>40</v>
      </c>
      <c r="D2432">
        <v>4.4036049999999998</v>
      </c>
      <c r="E2432">
        <v>0.63204399999999905</v>
      </c>
      <c r="F2432" t="s">
        <v>49</v>
      </c>
      <c r="G2432">
        <v>-200.74340000000001</v>
      </c>
      <c r="H2432">
        <v>8.0000080000000001E-2</v>
      </c>
      <c r="I2432">
        <v>293.01249999999999</v>
      </c>
      <c r="J2432">
        <v>-193.44630000000001</v>
      </c>
      <c r="K2432">
        <v>1.121305</v>
      </c>
      <c r="L2432">
        <v>302.69</v>
      </c>
      <c r="M2432">
        <v>-0.15460589999999999</v>
      </c>
      <c r="N2432">
        <v>-1.347953E-2</v>
      </c>
      <c r="O2432">
        <v>-0.98788430000000005</v>
      </c>
      <c r="P2432">
        <v>-0.30800709999999998</v>
      </c>
      <c r="Q2432">
        <v>0.1047872</v>
      </c>
      <c r="R2432">
        <v>-0.94559590000000004</v>
      </c>
      <c r="S2432">
        <v>-1.9255679999999999</v>
      </c>
      <c r="T2432">
        <v>-0.27405570000000001</v>
      </c>
      <c r="U2432">
        <v>-2.5776059999999998</v>
      </c>
      <c r="V2432">
        <v>0.15818989999999999</v>
      </c>
      <c r="W2432">
        <v>0.1178853</v>
      </c>
      <c r="X2432">
        <v>0.98034639999999995</v>
      </c>
      <c r="Y2432">
        <v>0.46548440000000002</v>
      </c>
      <c r="Z2432">
        <v>7.4340719999999999E-2</v>
      </c>
      <c r="AA2432">
        <v>0.88192839999999995</v>
      </c>
      <c r="AB2432">
        <v>12</v>
      </c>
      <c r="AC2432">
        <v>-7.2971000000000004</v>
      </c>
      <c r="AD2432">
        <v>-1.04130492</v>
      </c>
      <c r="AE2432">
        <v>-9.6775000000000002</v>
      </c>
      <c r="AF2432">
        <v>5.6711506643407601</v>
      </c>
      <c r="AG2432">
        <v>-1.04130492</v>
      </c>
      <c r="AH2432">
        <v>10.611072969340899</v>
      </c>
      <c r="AI2432">
        <v>94.946524499847399</v>
      </c>
      <c r="AJ2432">
        <v>61.877461116353601</v>
      </c>
      <c r="AK2432">
        <v>12.076470318547001</v>
      </c>
      <c r="AL2432">
        <v>83.229927281057996</v>
      </c>
      <c r="AM2432">
        <v>80.833693365064505</v>
      </c>
      <c r="AN2432">
        <v>1.00000002620552</v>
      </c>
    </row>
    <row r="2433" spans="1:40" x14ac:dyDescent="0.25">
      <c r="A2433" t="str">
        <f>"20190303161922394"</f>
        <v>20190303161922394</v>
      </c>
      <c r="B2433" t="str">
        <f>"1551601162385232"</f>
        <v>1551601162385232</v>
      </c>
      <c r="C2433" t="s">
        <v>40</v>
      </c>
      <c r="D2433">
        <v>4.3806469999999997</v>
      </c>
      <c r="E2433">
        <v>0.63217769999999995</v>
      </c>
      <c r="F2433" t="s">
        <v>49</v>
      </c>
      <c r="G2433">
        <v>-200.78049999999999</v>
      </c>
      <c r="H2433">
        <v>8.0000089999999996E-2</v>
      </c>
      <c r="I2433">
        <v>292.90870000000001</v>
      </c>
      <c r="J2433">
        <v>-193.46690000000001</v>
      </c>
      <c r="K2433">
        <v>1.1213059999999999</v>
      </c>
      <c r="L2433">
        <v>302.56599999999997</v>
      </c>
      <c r="M2433">
        <v>-0.1556071</v>
      </c>
      <c r="N2433">
        <v>-1.3476109999999999E-2</v>
      </c>
      <c r="O2433">
        <v>-0.98772720000000003</v>
      </c>
      <c r="P2433">
        <v>-0.31027589999999999</v>
      </c>
      <c r="Q2433">
        <v>0.10489270000000001</v>
      </c>
      <c r="R2433">
        <v>-0.94484230000000002</v>
      </c>
      <c r="S2433">
        <v>-1.9302520000000001</v>
      </c>
      <c r="T2433">
        <v>-0.27405230000000003</v>
      </c>
      <c r="U2433">
        <v>-2.574249</v>
      </c>
      <c r="V2433">
        <v>0.15955320000000001</v>
      </c>
      <c r="W2433">
        <v>0.1179833</v>
      </c>
      <c r="X2433">
        <v>0.98011360000000003</v>
      </c>
      <c r="Y2433">
        <v>0.46616639999999998</v>
      </c>
      <c r="Z2433">
        <v>7.4359099999999997E-2</v>
      </c>
      <c r="AA2433">
        <v>0.88156659999999998</v>
      </c>
      <c r="AB2433">
        <v>12</v>
      </c>
      <c r="AC2433">
        <v>-7.3135999999999797</v>
      </c>
      <c r="AD2433">
        <v>-1.0413059099999999</v>
      </c>
      <c r="AE2433">
        <v>-9.6572999999999602</v>
      </c>
      <c r="AF2433">
        <v>5.6796505771199497</v>
      </c>
      <c r="AG2433">
        <v>-1.0413059099999999</v>
      </c>
      <c r="AH2433">
        <v>10.599477453144299</v>
      </c>
      <c r="AI2433">
        <v>94.949072200461401</v>
      </c>
      <c r="AJ2433">
        <v>61.815701859223303</v>
      </c>
      <c r="AK2433">
        <v>12.0702804837375</v>
      </c>
      <c r="AL2433">
        <v>83.224272491605902</v>
      </c>
      <c r="AM2433">
        <v>80.753897319860599</v>
      </c>
      <c r="AN2433">
        <v>0.99999997580704403</v>
      </c>
    </row>
    <row r="2434" spans="1:40" x14ac:dyDescent="0.25">
      <c r="A2434" t="str">
        <f>"20190303161922418"</f>
        <v>20190303161922418</v>
      </c>
      <c r="B2434" t="str">
        <f>"1551601162414690"</f>
        <v>1551601162414690</v>
      </c>
      <c r="C2434" t="s">
        <v>40</v>
      </c>
      <c r="D2434">
        <v>4.4371130000000001</v>
      </c>
      <c r="E2434">
        <v>0.63206929999999995</v>
      </c>
      <c r="F2434" t="s">
        <v>49</v>
      </c>
      <c r="G2434">
        <v>-200.84309999999999</v>
      </c>
      <c r="H2434">
        <v>8.0000080000000001E-2</v>
      </c>
      <c r="I2434">
        <v>292.78609999999998</v>
      </c>
      <c r="J2434">
        <v>-193.48759999999999</v>
      </c>
      <c r="K2434">
        <v>1.12131</v>
      </c>
      <c r="L2434">
        <v>302.4427</v>
      </c>
      <c r="M2434">
        <v>-0.15660669999999999</v>
      </c>
      <c r="N2434">
        <v>-1.3472700000000001E-2</v>
      </c>
      <c r="O2434">
        <v>-0.98756929999999998</v>
      </c>
      <c r="P2434">
        <v>-0.31313200000000002</v>
      </c>
      <c r="Q2434">
        <v>0.10524360000000001</v>
      </c>
      <c r="R2434">
        <v>-0.94386029999999999</v>
      </c>
      <c r="S2434">
        <v>-1.937729</v>
      </c>
      <c r="T2434">
        <v>-0.27355069999999998</v>
      </c>
      <c r="U2434">
        <v>-2.5691830000000002</v>
      </c>
      <c r="V2434">
        <v>0.16153480000000001</v>
      </c>
      <c r="W2434">
        <v>0.11832380000000001</v>
      </c>
      <c r="X2434">
        <v>0.97974799999999995</v>
      </c>
      <c r="Y2434">
        <v>0.46774840000000001</v>
      </c>
      <c r="Z2434">
        <v>7.4219660000000007E-2</v>
      </c>
      <c r="AA2434">
        <v>0.88073989999999902</v>
      </c>
      <c r="AB2434">
        <v>12</v>
      </c>
      <c r="AC2434">
        <v>-7.3555000000000001</v>
      </c>
      <c r="AD2434">
        <v>-1.04130992</v>
      </c>
      <c r="AE2434">
        <v>-9.6566000000000205</v>
      </c>
      <c r="AF2434">
        <v>5.7102788285611004</v>
      </c>
      <c r="AG2434">
        <v>-1.04130992</v>
      </c>
      <c r="AH2434">
        <v>10.6113652151968</v>
      </c>
      <c r="AI2434">
        <v>94.9388894083786</v>
      </c>
      <c r="AJ2434">
        <v>61.714035707413899</v>
      </c>
      <c r="AK2434">
        <v>12.095151192924099</v>
      </c>
      <c r="AL2434">
        <v>83.204626358966095</v>
      </c>
      <c r="AM2434">
        <v>80.637652756738603</v>
      </c>
      <c r="AN2434">
        <v>1.0000000783807299</v>
      </c>
    </row>
    <row r="2435" spans="1:40" x14ac:dyDescent="0.25">
      <c r="A2435" t="str">
        <f>"20190303161922439"</f>
        <v>20190303161922439</v>
      </c>
      <c r="B2435" t="str">
        <f>"1551601162435187"</f>
        <v>1551601162435187</v>
      </c>
      <c r="C2435" t="s">
        <v>40</v>
      </c>
      <c r="D2435">
        <v>4.4565460000000003</v>
      </c>
      <c r="E2435">
        <v>0.63189700000000004</v>
      </c>
      <c r="F2435" t="s">
        <v>49</v>
      </c>
      <c r="G2435">
        <v>-200.9016</v>
      </c>
      <c r="H2435">
        <v>8.0000089999999996E-2</v>
      </c>
      <c r="I2435">
        <v>292.66730000000001</v>
      </c>
      <c r="J2435">
        <v>-193.506</v>
      </c>
      <c r="K2435">
        <v>1.1212959999999901</v>
      </c>
      <c r="L2435">
        <v>302.33370000000002</v>
      </c>
      <c r="M2435">
        <v>-0.1574982</v>
      </c>
      <c r="N2435">
        <v>-1.346967E-2</v>
      </c>
      <c r="O2435">
        <v>-0.98742750000000001</v>
      </c>
      <c r="P2435">
        <v>-0.31577919999999998</v>
      </c>
      <c r="Q2435">
        <v>0.105592699999999</v>
      </c>
      <c r="R2435">
        <v>-0.94293919999999998</v>
      </c>
      <c r="S2435">
        <v>-1.9444269999999999</v>
      </c>
      <c r="T2435">
        <v>-0.27309800000000001</v>
      </c>
      <c r="U2435">
        <v>-2.5637509999999999</v>
      </c>
      <c r="V2435">
        <v>0.1634092</v>
      </c>
      <c r="W2435">
        <v>0.1186628</v>
      </c>
      <c r="X2435">
        <v>0.97939600000000004</v>
      </c>
      <c r="Y2435">
        <v>0.46931420000000001</v>
      </c>
      <c r="Z2435">
        <v>7.4113570000000004E-2</v>
      </c>
      <c r="AA2435">
        <v>0.87991549999999996</v>
      </c>
      <c r="AB2435">
        <v>12</v>
      </c>
      <c r="AC2435">
        <v>-7.3956000000000301</v>
      </c>
      <c r="AD2435">
        <v>-1.0412959100000001</v>
      </c>
      <c r="AE2435">
        <v>-9.6664000000000101</v>
      </c>
      <c r="AF2435">
        <v>5.7386966036925404</v>
      </c>
      <c r="AG2435">
        <v>-1.0412959100000001</v>
      </c>
      <c r="AH2435">
        <v>10.6328046710285</v>
      </c>
      <c r="AI2435">
        <v>94.925663174173394</v>
      </c>
      <c r="AJ2435">
        <v>61.643546028791498</v>
      </c>
      <c r="AK2435">
        <v>12.1273851696753</v>
      </c>
      <c r="AL2435">
        <v>83.185064577943095</v>
      </c>
      <c r="AM2435">
        <v>80.527629804003197</v>
      </c>
      <c r="AN2435">
        <v>0.99999997578223898</v>
      </c>
    </row>
    <row r="2436" spans="1:40" x14ac:dyDescent="0.25">
      <c r="A2436" t="str">
        <f>"20190303161922461"</f>
        <v>20190303161922461</v>
      </c>
      <c r="B2436" t="str">
        <f>"1551601162454707"</f>
        <v>1551601162454707</v>
      </c>
      <c r="C2436" t="s">
        <v>40</v>
      </c>
      <c r="D2436">
        <v>4.3851500000000003</v>
      </c>
      <c r="E2436">
        <v>0.63187179999999998</v>
      </c>
      <c r="F2436" t="s">
        <v>49</v>
      </c>
      <c r="G2436">
        <v>-200.988</v>
      </c>
      <c r="H2436">
        <v>8.0000080000000001E-2</v>
      </c>
      <c r="I2436">
        <v>292.51929999999999</v>
      </c>
      <c r="J2436">
        <v>-193.52629999999999</v>
      </c>
      <c r="K2436">
        <v>1.121286</v>
      </c>
      <c r="L2436">
        <v>302.21379999999999</v>
      </c>
      <c r="M2436">
        <v>-0.15848880000000001</v>
      </c>
      <c r="N2436">
        <v>-1.34666E-2</v>
      </c>
      <c r="O2436">
        <v>-0.98726919999999996</v>
      </c>
      <c r="P2436">
        <v>-0.31760389999999999</v>
      </c>
      <c r="Q2436">
        <v>0.1056676</v>
      </c>
      <c r="R2436">
        <v>-0.94231759999999998</v>
      </c>
      <c r="S2436">
        <v>-1.9506680000000001</v>
      </c>
      <c r="T2436">
        <v>-0.2714782</v>
      </c>
      <c r="U2436">
        <v>-2.558716</v>
      </c>
      <c r="V2436">
        <v>0.16432659999999999</v>
      </c>
      <c r="W2436">
        <v>0.11873</v>
      </c>
      <c r="X2436">
        <v>0.97923439999999995</v>
      </c>
      <c r="Y2436">
        <v>0.47064289999999998</v>
      </c>
      <c r="Z2436">
        <v>7.3635889999999996E-2</v>
      </c>
      <c r="AA2436">
        <v>0.87924570000000002</v>
      </c>
      <c r="AB2436">
        <v>12</v>
      </c>
      <c r="AC2436">
        <v>-7.4617000000000004</v>
      </c>
      <c r="AD2436">
        <v>-1.04128592</v>
      </c>
      <c r="AE2436">
        <v>-9.6944999999999997</v>
      </c>
      <c r="AF2436">
        <v>5.7888245706089601</v>
      </c>
      <c r="AG2436">
        <v>-1.04128592</v>
      </c>
      <c r="AH2436">
        <v>10.6772934475983</v>
      </c>
      <c r="AI2436">
        <v>94.900199073337902</v>
      </c>
      <c r="AJ2436">
        <v>61.535125946076697</v>
      </c>
      <c r="AK2436">
        <v>12.190133782801601</v>
      </c>
      <c r="AL2436">
        <v>83.181187241156593</v>
      </c>
      <c r="AM2436">
        <v>80.473879372883502</v>
      </c>
      <c r="AN2436">
        <v>1.0000000272554499</v>
      </c>
    </row>
    <row r="2437" spans="1:40" x14ac:dyDescent="0.25">
      <c r="A2437" t="str">
        <f>"20190303161922483"</f>
        <v>20190303161922483</v>
      </c>
      <c r="B2437" t="str">
        <f>"1551601162475203"</f>
        <v>1551601162475203</v>
      </c>
      <c r="C2437" t="s">
        <v>40</v>
      </c>
      <c r="D2437">
        <v>4.4176690000000001</v>
      </c>
      <c r="E2437">
        <v>0.63184010000000002</v>
      </c>
      <c r="F2437" t="s">
        <v>49</v>
      </c>
      <c r="G2437">
        <v>-201.04329999999999</v>
      </c>
      <c r="H2437">
        <v>8.0000080000000001E-2</v>
      </c>
      <c r="I2437">
        <v>292.39499999999998</v>
      </c>
      <c r="J2437">
        <v>-193.54570000000001</v>
      </c>
      <c r="K2437">
        <v>1.1212850000000001</v>
      </c>
      <c r="L2437">
        <v>302.09980000000002</v>
      </c>
      <c r="M2437">
        <v>-0.15944320000000001</v>
      </c>
      <c r="N2437">
        <v>-1.3463579999999999E-2</v>
      </c>
      <c r="O2437">
        <v>-0.98711530000000003</v>
      </c>
      <c r="P2437">
        <v>-0.31947120000000001</v>
      </c>
      <c r="Q2437">
        <v>0.1051774</v>
      </c>
      <c r="R2437">
        <v>-0.94174080000000004</v>
      </c>
      <c r="S2437">
        <v>-1.9558720000000001</v>
      </c>
      <c r="T2437">
        <v>-0.27093420000000001</v>
      </c>
      <c r="U2437">
        <v>-2.5547789999999999</v>
      </c>
      <c r="V2437">
        <v>0.16531509999999999</v>
      </c>
      <c r="W2437">
        <v>0.1182319</v>
      </c>
      <c r="X2437">
        <v>0.9791282</v>
      </c>
      <c r="Y2437">
        <v>0.4715801</v>
      </c>
      <c r="Z2437">
        <v>7.3487179999999999E-2</v>
      </c>
      <c r="AA2437">
        <v>0.87875590000000003</v>
      </c>
      <c r="AB2437">
        <v>12</v>
      </c>
      <c r="AC2437">
        <v>-7.4975999999999701</v>
      </c>
      <c r="AD2437">
        <v>-1.0412849200000001</v>
      </c>
      <c r="AE2437">
        <v>-9.7048000000000307</v>
      </c>
      <c r="AF2437">
        <v>5.8122589235614699</v>
      </c>
      <c r="AG2437">
        <v>-1.0412849200000001</v>
      </c>
      <c r="AH2437">
        <v>10.6990407958702</v>
      </c>
      <c r="AI2437">
        <v>94.888062524721207</v>
      </c>
      <c r="AJ2437">
        <v>61.4869579043106</v>
      </c>
      <c r="AK2437">
        <v>12.220315136314399</v>
      </c>
      <c r="AL2437">
        <v>83.2099281750573</v>
      </c>
      <c r="AM2437">
        <v>80.4166148180269</v>
      </c>
      <c r="AN2437">
        <v>0.99999994825042804</v>
      </c>
    </row>
    <row r="2438" spans="1:40" x14ac:dyDescent="0.25">
      <c r="A2438" t="str">
        <f>"20190303161922507"</f>
        <v>20190303161922507</v>
      </c>
      <c r="B2438" t="str">
        <f>"1551601162494723"</f>
        <v>1551601162494723</v>
      </c>
      <c r="C2438" t="s">
        <v>40</v>
      </c>
      <c r="D2438">
        <v>4.4285189999999997</v>
      </c>
      <c r="E2438">
        <v>0.63195959999999995</v>
      </c>
      <c r="F2438" t="s">
        <v>49</v>
      </c>
      <c r="G2438">
        <v>-201.05179999999999</v>
      </c>
      <c r="H2438">
        <v>8.0000080000000001E-2</v>
      </c>
      <c r="I2438">
        <v>292.33580000000001</v>
      </c>
      <c r="J2438">
        <v>-193.56710000000001</v>
      </c>
      <c r="K2438">
        <v>1.1212819999999999</v>
      </c>
      <c r="L2438">
        <v>301.97539999999998</v>
      </c>
      <c r="M2438">
        <v>-0.1605017</v>
      </c>
      <c r="N2438">
        <v>-1.346049E-2</v>
      </c>
      <c r="O2438">
        <v>-0.98694409999999999</v>
      </c>
      <c r="P2438">
        <v>-0.32110329999999998</v>
      </c>
      <c r="Q2438">
        <v>0.10453709999999999</v>
      </c>
      <c r="R2438">
        <v>-0.94125740000000002</v>
      </c>
      <c r="S2438">
        <v>-1.9608920000000001</v>
      </c>
      <c r="T2438">
        <v>-0.27202710000000002</v>
      </c>
      <c r="U2438">
        <v>-2.550751</v>
      </c>
      <c r="V2438">
        <v>0.16595389999999999</v>
      </c>
      <c r="W2438">
        <v>0.1175841</v>
      </c>
      <c r="X2438">
        <v>0.97909820000000003</v>
      </c>
      <c r="Y2438">
        <v>0.47237479999999998</v>
      </c>
      <c r="Z2438">
        <v>7.3860960000000003E-2</v>
      </c>
      <c r="AA2438">
        <v>0.87829760000000001</v>
      </c>
      <c r="AB2438">
        <v>12</v>
      </c>
      <c r="AC2438">
        <v>-7.4846999999999699</v>
      </c>
      <c r="AD2438">
        <v>-1.0412819200000001</v>
      </c>
      <c r="AE2438">
        <v>-9.6395999999999695</v>
      </c>
      <c r="AF2438">
        <v>5.7981265437232601</v>
      </c>
      <c r="AG2438">
        <v>-1.0412819200000001</v>
      </c>
      <c r="AH2438">
        <v>10.6385744653607</v>
      </c>
      <c r="AI2438">
        <v>94.912083342800003</v>
      </c>
      <c r="AJ2438">
        <v>61.409186341483597</v>
      </c>
      <c r="AK2438">
        <v>12.160666351354701</v>
      </c>
      <c r="AL2438">
        <v>83.247305465948699</v>
      </c>
      <c r="AM2438">
        <v>80.379984787784295</v>
      </c>
      <c r="AN2438">
        <v>1.0000000013706301</v>
      </c>
    </row>
    <row r="2439" spans="1:40" x14ac:dyDescent="0.25">
      <c r="A2439" t="str">
        <f>"20190303161922527"</f>
        <v>20190303161922527</v>
      </c>
      <c r="B2439" t="str">
        <f>"1551601162515430"</f>
        <v>1551601162515430</v>
      </c>
      <c r="C2439" t="s">
        <v>40</v>
      </c>
      <c r="D2439">
        <v>4.520365</v>
      </c>
      <c r="E2439">
        <v>0.63206549999999995</v>
      </c>
      <c r="F2439" t="s">
        <v>49</v>
      </c>
      <c r="G2439">
        <v>-201.02330000000001</v>
      </c>
      <c r="H2439">
        <v>8.0000080000000001E-2</v>
      </c>
      <c r="I2439">
        <v>292.31380000000001</v>
      </c>
      <c r="J2439">
        <v>-193.58590000000001</v>
      </c>
      <c r="K2439">
        <v>1.121273</v>
      </c>
      <c r="L2439">
        <v>301.86720000000003</v>
      </c>
      <c r="M2439">
        <v>-0.16143769999999999</v>
      </c>
      <c r="N2439">
        <v>-1.345786E-2</v>
      </c>
      <c r="O2439">
        <v>-0.98679110000000003</v>
      </c>
      <c r="P2439">
        <v>-0.32355810000000002</v>
      </c>
      <c r="Q2439">
        <v>0.1043096</v>
      </c>
      <c r="R2439">
        <v>-0.94044139999999998</v>
      </c>
      <c r="S2439">
        <v>-1.9656979999999999</v>
      </c>
      <c r="T2439">
        <v>-0.27451920000000002</v>
      </c>
      <c r="U2439">
        <v>-2.5471499999999998</v>
      </c>
      <c r="V2439">
        <v>0.1675799</v>
      </c>
      <c r="W2439">
        <v>0.11734600000000001</v>
      </c>
      <c r="X2439">
        <v>0.97884979999999999</v>
      </c>
      <c r="Y2439">
        <v>0.47313959999999999</v>
      </c>
      <c r="Z2439">
        <v>7.4669269999999996E-2</v>
      </c>
      <c r="AA2439">
        <v>0.87781749999999903</v>
      </c>
      <c r="AB2439">
        <v>12</v>
      </c>
      <c r="AC2439">
        <v>-7.4373999999999896</v>
      </c>
      <c r="AD2439">
        <v>-1.0412729199999999</v>
      </c>
      <c r="AE2439">
        <v>-9.5533999999999999</v>
      </c>
      <c r="AF2439">
        <v>5.7548387181351703</v>
      </c>
      <c r="AG2439">
        <v>-1.0412729199999999</v>
      </c>
      <c r="AH2439">
        <v>10.5508069863796</v>
      </c>
      <c r="AI2439">
        <v>94.951807383167903</v>
      </c>
      <c r="AJ2439">
        <v>61.3901551978499</v>
      </c>
      <c r="AK2439">
        <v>12.063247739705499</v>
      </c>
      <c r="AL2439">
        <v>83.261042811522501</v>
      </c>
      <c r="AM2439">
        <v>80.285097927655499</v>
      </c>
      <c r="AN2439">
        <v>1.00000001878002</v>
      </c>
    </row>
    <row r="2440" spans="1:40" x14ac:dyDescent="0.25">
      <c r="A2440" t="str">
        <f>"20190303161922551"</f>
        <v>20190303161922551</v>
      </c>
      <c r="B2440" t="str">
        <f>"1551601162545686"</f>
        <v>1551601162545686</v>
      </c>
      <c r="C2440" t="s">
        <v>40</v>
      </c>
      <c r="D2440">
        <v>4.5615740000000002</v>
      </c>
      <c r="E2440">
        <v>0.61481980000000003</v>
      </c>
      <c r="F2440" t="s">
        <v>49</v>
      </c>
      <c r="G2440">
        <v>-201.0171</v>
      </c>
      <c r="H2440">
        <v>8.0000089999999996E-2</v>
      </c>
      <c r="I2440">
        <v>292.2919</v>
      </c>
      <c r="J2440">
        <v>-193.60769999999999</v>
      </c>
      <c r="K2440">
        <v>1.1212660000000001</v>
      </c>
      <c r="L2440">
        <v>301.74259999999998</v>
      </c>
      <c r="M2440">
        <v>-0.16253049999999999</v>
      </c>
      <c r="N2440">
        <v>-1.3454839999999999E-2</v>
      </c>
      <c r="O2440">
        <v>-0.98661200000000004</v>
      </c>
      <c r="P2440">
        <v>-0.32589620000000002</v>
      </c>
      <c r="Q2440">
        <v>0.1041569</v>
      </c>
      <c r="R2440">
        <v>-0.93965080000000001</v>
      </c>
      <c r="S2440">
        <v>-1.9727479999999999</v>
      </c>
      <c r="T2440">
        <v>-0.2764258</v>
      </c>
      <c r="U2440">
        <v>-2.5419309999999999</v>
      </c>
      <c r="V2440">
        <v>0.1689311</v>
      </c>
      <c r="W2440">
        <v>0.117184</v>
      </c>
      <c r="X2440">
        <v>0.97863690000000003</v>
      </c>
      <c r="Y2440">
        <v>0.47452539999999999</v>
      </c>
      <c r="Z2440">
        <v>7.529806E-2</v>
      </c>
      <c r="AA2440">
        <v>0.87701530000000005</v>
      </c>
      <c r="AB2440">
        <v>12</v>
      </c>
      <c r="AC2440">
        <v>-7.4093999999999998</v>
      </c>
      <c r="AD2440">
        <v>-1.0412659099999999</v>
      </c>
      <c r="AE2440">
        <v>-9.4506999999999799</v>
      </c>
      <c r="AF2440">
        <v>5.7316061499061197</v>
      </c>
      <c r="AG2440">
        <v>-1.0412659099999999</v>
      </c>
      <c r="AH2440">
        <v>10.450807240638399</v>
      </c>
      <c r="AI2440">
        <v>94.992647365944293</v>
      </c>
      <c r="AJ2440">
        <v>61.258020142043598</v>
      </c>
      <c r="AK2440">
        <v>11.9647363420156</v>
      </c>
      <c r="AL2440">
        <v>83.2703890456077</v>
      </c>
      <c r="AM2440">
        <v>80.206187971413598</v>
      </c>
      <c r="AN2440">
        <v>0.99999999422241004</v>
      </c>
    </row>
    <row r="2441" spans="1:40" x14ac:dyDescent="0.25">
      <c r="A2441" t="str">
        <f>"20190303161922573"</f>
        <v>20190303161922573</v>
      </c>
      <c r="B2441" t="str">
        <f>"1551601162565206"</f>
        <v>1551601162565206</v>
      </c>
      <c r="C2441" t="s">
        <v>40</v>
      </c>
      <c r="D2441">
        <v>4.6329520000000004</v>
      </c>
      <c r="E2441">
        <v>0.6147513</v>
      </c>
      <c r="F2441" t="s">
        <v>49</v>
      </c>
      <c r="G2441">
        <v>-200.01730000000001</v>
      </c>
      <c r="H2441">
        <v>6.2366190000000002E-2</v>
      </c>
      <c r="I2441">
        <v>292.7799</v>
      </c>
      <c r="J2441">
        <v>-193.62700000000001</v>
      </c>
      <c r="K2441">
        <v>1.121265</v>
      </c>
      <c r="L2441">
        <v>301.63209999999998</v>
      </c>
      <c r="M2441">
        <v>-0.16351089999999999</v>
      </c>
      <c r="N2441">
        <v>-1.345214E-2</v>
      </c>
      <c r="O2441">
        <v>-0.9864501</v>
      </c>
      <c r="P2441">
        <v>-0.32815169999999999</v>
      </c>
      <c r="Q2441">
        <v>0.1041103</v>
      </c>
      <c r="R2441">
        <v>-0.93887080000000001</v>
      </c>
      <c r="S2441">
        <v>-1.8488770000000001</v>
      </c>
      <c r="T2441">
        <v>-0.30544090000000002</v>
      </c>
      <c r="U2441">
        <v>-2.5852970000000002</v>
      </c>
      <c r="V2441">
        <v>0.1703105</v>
      </c>
      <c r="W2441">
        <v>0.1171291</v>
      </c>
      <c r="X2441">
        <v>0.9784043</v>
      </c>
      <c r="Y2441">
        <v>0.43845459999999897</v>
      </c>
      <c r="Z2441">
        <v>8.5289340000000005E-2</v>
      </c>
      <c r="AA2441">
        <v>0.89469730000000003</v>
      </c>
      <c r="AB2441">
        <v>12</v>
      </c>
      <c r="AC2441">
        <v>-6.3902999999999901</v>
      </c>
      <c r="AD2441">
        <v>-1.0588988100000001</v>
      </c>
      <c r="AE2441">
        <v>-8.8521999999999803</v>
      </c>
      <c r="AF2441">
        <v>4.8114584869405999</v>
      </c>
      <c r="AG2441">
        <v>-1.0588988100000001</v>
      </c>
      <c r="AH2441">
        <v>9.6868964656069494</v>
      </c>
      <c r="AI2441">
        <v>95.591498114560693</v>
      </c>
      <c r="AJ2441">
        <v>63.586518316115303</v>
      </c>
      <c r="AK2441">
        <v>10.8677211317166</v>
      </c>
      <c r="AL2441">
        <v>83.2735559847834</v>
      </c>
      <c r="AM2441">
        <v>80.1254834812094</v>
      </c>
      <c r="AN2441">
        <v>0.99999993336777204</v>
      </c>
    </row>
    <row r="2442" spans="1:40" x14ac:dyDescent="0.25">
      <c r="A2442" t="str">
        <f>"20190303161922596"</f>
        <v>20190303161922596</v>
      </c>
      <c r="B2442" t="str">
        <f>"1551601162584725"</f>
        <v>1551601162584725</v>
      </c>
      <c r="C2442" t="s">
        <v>40</v>
      </c>
      <c r="D2442">
        <v>4.6359919999999999</v>
      </c>
      <c r="E2442">
        <v>0.61619369999999996</v>
      </c>
      <c r="F2442" t="s">
        <v>49</v>
      </c>
      <c r="G2442">
        <v>-200.03039999999999</v>
      </c>
      <c r="H2442">
        <v>7.0973369999999994E-2</v>
      </c>
      <c r="I2442">
        <v>292.72140000000002</v>
      </c>
      <c r="J2442">
        <v>-193.6491</v>
      </c>
      <c r="K2442">
        <v>1.1212629999999999</v>
      </c>
      <c r="L2442">
        <v>301.50720000000001</v>
      </c>
      <c r="M2442">
        <v>-0.16463159999999999</v>
      </c>
      <c r="N2442">
        <v>-1.3449030000000001E-2</v>
      </c>
      <c r="O2442">
        <v>-0.98626360000000002</v>
      </c>
      <c r="P2442">
        <v>-0.33091920000000002</v>
      </c>
      <c r="Q2442">
        <v>0.104559</v>
      </c>
      <c r="R2442">
        <v>-0.93784869999999998</v>
      </c>
      <c r="S2442">
        <v>-1.85466</v>
      </c>
      <c r="T2442">
        <v>-0.30420510000000001</v>
      </c>
      <c r="U2442">
        <v>-2.5808719999999998</v>
      </c>
      <c r="V2442">
        <v>0.1720959</v>
      </c>
      <c r="W2442">
        <v>0.11756809999999999</v>
      </c>
      <c r="X2442">
        <v>0.97803929999999994</v>
      </c>
      <c r="Y2442">
        <v>0.43950159999999999</v>
      </c>
      <c r="Z2442">
        <v>8.4929749999999998E-2</v>
      </c>
      <c r="AA2442">
        <v>0.8942177</v>
      </c>
      <c r="AB2442">
        <v>12</v>
      </c>
      <c r="AC2442">
        <v>-6.38129999999998</v>
      </c>
      <c r="AD2442">
        <v>-1.05028963</v>
      </c>
      <c r="AE2442">
        <v>-8.7857999999999894</v>
      </c>
      <c r="AF2442">
        <v>4.8027297293955904</v>
      </c>
      <c r="AG2442">
        <v>-1.05028963</v>
      </c>
      <c r="AH2442">
        <v>9.6264957397916895</v>
      </c>
      <c r="AI2442">
        <v>95.576016321603902</v>
      </c>
      <c r="AJ2442">
        <v>63.485052904203698</v>
      </c>
      <c r="AK2442">
        <v>10.8091970741925</v>
      </c>
      <c r="AL2442">
        <v>83.248229030567003</v>
      </c>
      <c r="AM2442">
        <v>80.020387746380194</v>
      </c>
      <c r="AN2442">
        <v>1.00000006463945</v>
      </c>
    </row>
    <row r="2443" spans="1:40" x14ac:dyDescent="0.25">
      <c r="A2443" t="str">
        <f>"20190303161922618"</f>
        <v>20190303161922618</v>
      </c>
      <c r="B2443" t="str">
        <f>"1551601162605221"</f>
        <v>1551601162605221</v>
      </c>
      <c r="C2443" t="s">
        <v>40</v>
      </c>
      <c r="D2443">
        <v>4.6308509999999998</v>
      </c>
      <c r="E2443">
        <v>0.61607590000000001</v>
      </c>
      <c r="F2443" t="s">
        <v>49</v>
      </c>
      <c r="G2443">
        <v>-200.23</v>
      </c>
      <c r="H2443">
        <v>8.0000009999999996E-2</v>
      </c>
      <c r="I2443">
        <v>292.47399999999999</v>
      </c>
      <c r="J2443">
        <v>-193.66909999999999</v>
      </c>
      <c r="K2443">
        <v>1.121267</v>
      </c>
      <c r="L2443">
        <v>301.39510000000001</v>
      </c>
      <c r="M2443">
        <v>-0.1656493</v>
      </c>
      <c r="N2443">
        <v>-1.344621E-2</v>
      </c>
      <c r="O2443">
        <v>-0.98609329999999995</v>
      </c>
      <c r="P2443">
        <v>-0.33346049999999999</v>
      </c>
      <c r="Q2443">
        <v>0.1048219</v>
      </c>
      <c r="R2443">
        <v>-0.9369189</v>
      </c>
      <c r="S2443">
        <v>-1.8730009999999999</v>
      </c>
      <c r="T2443">
        <v>-0.29635689999999998</v>
      </c>
      <c r="U2443">
        <v>-2.5709840000000002</v>
      </c>
      <c r="V2443">
        <v>0.1737455</v>
      </c>
      <c r="W2443">
        <v>0.11782189999999999</v>
      </c>
      <c r="X2443">
        <v>0.97771699999999995</v>
      </c>
      <c r="Y2443">
        <v>0.44450689999999998</v>
      </c>
      <c r="Z2443">
        <v>8.2414249999999994E-2</v>
      </c>
      <c r="AA2443">
        <v>0.891976199999999</v>
      </c>
      <c r="AB2443">
        <v>12</v>
      </c>
      <c r="AC2443">
        <v>-6.5609000000000002</v>
      </c>
      <c r="AD2443">
        <v>-1.04126699</v>
      </c>
      <c r="AE2443">
        <v>-8.9211000000000205</v>
      </c>
      <c r="AF2443">
        <v>4.9485831343353599</v>
      </c>
      <c r="AG2443">
        <v>-1.04126699</v>
      </c>
      <c r="AH2443">
        <v>9.7981073879377192</v>
      </c>
      <c r="AI2443">
        <v>95.418874947632006</v>
      </c>
      <c r="AJ2443">
        <v>63.203713471328697</v>
      </c>
      <c r="AK2443">
        <v>11.0261335184847</v>
      </c>
      <c r="AL2443">
        <v>83.233585253522406</v>
      </c>
      <c r="AM2443">
        <v>79.923427100498998</v>
      </c>
      <c r="AN2443">
        <v>1.00000001548942</v>
      </c>
    </row>
    <row r="2444" spans="1:40" x14ac:dyDescent="0.25">
      <c r="A2444" t="str">
        <f>"20190303161922639"</f>
        <v>20190303161922639</v>
      </c>
      <c r="B2444" t="str">
        <f>"1551601162635478"</f>
        <v>1551601162635478</v>
      </c>
      <c r="C2444" t="s">
        <v>40</v>
      </c>
      <c r="D2444">
        <v>4.6652659999999999</v>
      </c>
      <c r="E2444">
        <v>0.61468409999999996</v>
      </c>
      <c r="F2444" t="s">
        <v>49</v>
      </c>
      <c r="G2444">
        <v>-200.21360000000001</v>
      </c>
      <c r="H2444">
        <v>8.0000009999999996E-2</v>
      </c>
      <c r="I2444">
        <v>292.45679999999999</v>
      </c>
      <c r="J2444">
        <v>-193.68889999999999</v>
      </c>
      <c r="K2444">
        <v>1.1212690000000001</v>
      </c>
      <c r="L2444">
        <v>301.28440000000001</v>
      </c>
      <c r="M2444">
        <v>-0.1666628</v>
      </c>
      <c r="N2444">
        <v>-1.3443409999999999E-2</v>
      </c>
      <c r="O2444">
        <v>-0.98592250000000003</v>
      </c>
      <c r="P2444">
        <v>-0.33651750000000002</v>
      </c>
      <c r="Q2444">
        <v>0.1051923</v>
      </c>
      <c r="R2444">
        <v>-0.93578360000000005</v>
      </c>
      <c r="S2444">
        <v>-1.879257</v>
      </c>
      <c r="T2444">
        <v>-0.2989986</v>
      </c>
      <c r="U2444">
        <v>-2.5666199999999999</v>
      </c>
      <c r="V2444">
        <v>0.17594290000000001</v>
      </c>
      <c r="W2444">
        <v>0.1181817</v>
      </c>
      <c r="X2444">
        <v>0.9772805</v>
      </c>
      <c r="Y2444">
        <v>0.44567980000000001</v>
      </c>
      <c r="Z2444">
        <v>8.3277729999999994E-2</v>
      </c>
      <c r="AA2444">
        <v>0.89131050000000001</v>
      </c>
      <c r="AB2444">
        <v>12</v>
      </c>
      <c r="AC2444">
        <v>-6.5247000000000197</v>
      </c>
      <c r="AD2444">
        <v>-1.0412689900000001</v>
      </c>
      <c r="AE2444">
        <v>-8.8276000000000092</v>
      </c>
      <c r="AF2444">
        <v>4.9178130388329002</v>
      </c>
      <c r="AG2444">
        <v>-1.0412689900000001</v>
      </c>
      <c r="AH2444">
        <v>9.7043178671938897</v>
      </c>
      <c r="AI2444">
        <v>95.467195763955203</v>
      </c>
      <c r="AJ2444">
        <v>63.125683246176699</v>
      </c>
      <c r="AK2444">
        <v>10.928994073655099</v>
      </c>
      <c r="AL2444">
        <v>83.2128250633737</v>
      </c>
      <c r="AM2444">
        <v>79.794185794790593</v>
      </c>
      <c r="AN2444">
        <v>0.99999999697777497</v>
      </c>
    </row>
    <row r="2445" spans="1:40" x14ac:dyDescent="0.25">
      <c r="A2445" t="str">
        <f>"20190303161922663"</f>
        <v>20190303161922663</v>
      </c>
      <c r="B2445" t="str">
        <f>"1551601162654998"</f>
        <v>1551601162654998</v>
      </c>
      <c r="C2445" t="s">
        <v>40</v>
      </c>
      <c r="D2445">
        <v>4.8685960000000001</v>
      </c>
      <c r="E2445">
        <v>0.6114058</v>
      </c>
      <c r="F2445" t="s">
        <v>49</v>
      </c>
      <c r="G2445">
        <v>-200.07599999999999</v>
      </c>
      <c r="H2445">
        <v>8.0000070000000006E-2</v>
      </c>
      <c r="I2445">
        <v>292.55689999999998</v>
      </c>
      <c r="J2445">
        <v>-193.7107</v>
      </c>
      <c r="K2445">
        <v>1.12127</v>
      </c>
      <c r="L2445">
        <v>301.1635</v>
      </c>
      <c r="M2445">
        <v>-0.16777999999999901</v>
      </c>
      <c r="N2445">
        <v>-1.344037E-2</v>
      </c>
      <c r="O2445">
        <v>-0.98573299999999997</v>
      </c>
      <c r="P2445">
        <v>-0.33929599999999999</v>
      </c>
      <c r="Q2445">
        <v>0.1052563</v>
      </c>
      <c r="R2445">
        <v>-0.93477259999999995</v>
      </c>
      <c r="S2445">
        <v>-1.877289</v>
      </c>
      <c r="T2445">
        <v>-0.30604740000000002</v>
      </c>
      <c r="U2445">
        <v>-2.5651549999999999</v>
      </c>
      <c r="V2445">
        <v>0.17774289999999901</v>
      </c>
      <c r="W2445">
        <v>0.1182357</v>
      </c>
      <c r="X2445">
        <v>0.97694820000000004</v>
      </c>
      <c r="Y2445">
        <v>0.44434200000000001</v>
      </c>
      <c r="Z2445">
        <v>8.5596140000000001E-2</v>
      </c>
      <c r="AA2445">
        <v>0.89175859999999996</v>
      </c>
      <c r="AB2445">
        <v>12</v>
      </c>
      <c r="AC2445">
        <v>-6.3652999999999897</v>
      </c>
      <c r="AD2445">
        <v>-1.0412699299999999</v>
      </c>
      <c r="AE2445">
        <v>-8.6066000000000091</v>
      </c>
      <c r="AF2445">
        <v>4.7856254671878</v>
      </c>
      <c r="AG2445">
        <v>-1.0412699299999999</v>
      </c>
      <c r="AH2445">
        <v>9.4631022193729795</v>
      </c>
      <c r="AI2445">
        <v>95.608043575260794</v>
      </c>
      <c r="AJ2445">
        <v>63.1736268588432</v>
      </c>
      <c r="AK2445">
        <v>10.655362865412901</v>
      </c>
      <c r="AL2445">
        <v>83.209709282344903</v>
      </c>
      <c r="AM2445">
        <v>79.688570814660693</v>
      </c>
      <c r="AN2445">
        <v>1.0000000023690601</v>
      </c>
    </row>
    <row r="2446" spans="1:40" x14ac:dyDescent="0.25">
      <c r="A2446" t="str">
        <f>"20190303161922683"</f>
        <v>20190303161922683</v>
      </c>
      <c r="B2446" t="str">
        <f>"1551601162675494"</f>
        <v>1551601162675494</v>
      </c>
      <c r="C2446" t="s">
        <v>40</v>
      </c>
      <c r="D2446">
        <v>4.9155790000000001</v>
      </c>
      <c r="E2446">
        <v>0.60909559999999996</v>
      </c>
      <c r="F2446" t="s">
        <v>49</v>
      </c>
      <c r="G2446">
        <v>-200.03110000000001</v>
      </c>
      <c r="H2446">
        <v>3.476518E-2</v>
      </c>
      <c r="I2446">
        <v>292.43310000000002</v>
      </c>
      <c r="J2446">
        <v>-193.72980000000001</v>
      </c>
      <c r="K2446">
        <v>1.1212629999999999</v>
      </c>
      <c r="L2446">
        <v>301.05829999999997</v>
      </c>
      <c r="M2446">
        <v>-0.16876360000000001</v>
      </c>
      <c r="N2446">
        <v>-1.343776E-2</v>
      </c>
      <c r="O2446">
        <v>-0.98556509999999997</v>
      </c>
      <c r="P2446">
        <v>-0.3416208</v>
      </c>
      <c r="Q2446">
        <v>0.1056317</v>
      </c>
      <c r="R2446">
        <v>-0.93388320000000002</v>
      </c>
      <c r="S2446">
        <v>-1.8605499999999999</v>
      </c>
      <c r="T2446">
        <v>-0.31983729999999999</v>
      </c>
      <c r="U2446">
        <v>-2.5699770000000002</v>
      </c>
      <c r="V2446">
        <v>0.17920920000000001</v>
      </c>
      <c r="W2446">
        <v>0.1186017</v>
      </c>
      <c r="X2446">
        <v>0.9766359</v>
      </c>
      <c r="Y2446">
        <v>0.4386004</v>
      </c>
      <c r="Z2446">
        <v>9.0127250000000006E-2</v>
      </c>
      <c r="AA2446">
        <v>0.89415140000000004</v>
      </c>
      <c r="AB2446">
        <v>12</v>
      </c>
      <c r="AC2446">
        <v>-6.3012999999999897</v>
      </c>
      <c r="AD2446">
        <v>-1.0864978199999999</v>
      </c>
      <c r="AE2446">
        <v>-8.6251999999999498</v>
      </c>
      <c r="AF2446">
        <v>4.7064574438341404</v>
      </c>
      <c r="AG2446">
        <v>-1.0864978199999999</v>
      </c>
      <c r="AH2446">
        <v>9.4670428616105493</v>
      </c>
      <c r="AI2446">
        <v>95.867538879611999</v>
      </c>
      <c r="AJ2446">
        <v>63.566134431441199</v>
      </c>
      <c r="AK2446">
        <v>10.628081657903101</v>
      </c>
      <c r="AL2446">
        <v>83.188590350898096</v>
      </c>
      <c r="AM2446">
        <v>79.602101629550404</v>
      </c>
      <c r="AN2446">
        <v>0.99999999088817004</v>
      </c>
    </row>
    <row r="2447" spans="1:40" x14ac:dyDescent="0.25">
      <c r="A2447" t="str">
        <f>"20190303161922708"</f>
        <v>20190303161922708</v>
      </c>
      <c r="B2447" t="str">
        <f>"1551601162695013"</f>
        <v>1551601162695013</v>
      </c>
      <c r="C2447" t="s">
        <v>40</v>
      </c>
      <c r="D2447">
        <v>4.9954499999999999</v>
      </c>
      <c r="E2447">
        <v>0.58177449999999997</v>
      </c>
      <c r="F2447" t="s">
        <v>49</v>
      </c>
      <c r="G2447">
        <v>-200.07849999999999</v>
      </c>
      <c r="H2447">
        <v>1.2626999999999999E-2</v>
      </c>
      <c r="I2447">
        <v>292.23</v>
      </c>
      <c r="J2447">
        <v>-193.75229999999999</v>
      </c>
      <c r="K2447">
        <v>1.121256</v>
      </c>
      <c r="L2447">
        <v>300.93529999999998</v>
      </c>
      <c r="M2447">
        <v>-0.16993349999999999</v>
      </c>
      <c r="N2447">
        <v>-1.343478E-2</v>
      </c>
      <c r="O2447">
        <v>-0.98536380000000001</v>
      </c>
      <c r="P2447">
        <v>-0.34292739999999999</v>
      </c>
      <c r="Q2447">
        <v>0.1060372</v>
      </c>
      <c r="R2447">
        <v>-0.93335800000000002</v>
      </c>
      <c r="S2447">
        <v>-1.849777</v>
      </c>
      <c r="T2447">
        <v>-0.32301429999999998</v>
      </c>
      <c r="U2447">
        <v>-2.572235</v>
      </c>
      <c r="V2447">
        <v>0.1794269</v>
      </c>
      <c r="W2447">
        <v>0.11900040000000001</v>
      </c>
      <c r="X2447">
        <v>0.97654739999999995</v>
      </c>
      <c r="Y2447">
        <v>0.4346334</v>
      </c>
      <c r="Z2447">
        <v>9.1255489999999995E-2</v>
      </c>
      <c r="AA2447">
        <v>0.8959722</v>
      </c>
      <c r="AB2447">
        <v>12</v>
      </c>
      <c r="AC2447">
        <v>-6.3262</v>
      </c>
      <c r="AD2447">
        <v>-1.1086290000000001</v>
      </c>
      <c r="AE2447">
        <v>-8.7052999999999603</v>
      </c>
      <c r="AF2447">
        <v>4.7047826876990797</v>
      </c>
      <c r="AG2447">
        <v>-1.1086290000000001</v>
      </c>
      <c r="AH2447">
        <v>9.5524104089028796</v>
      </c>
      <c r="AI2447">
        <v>95.943906737871501</v>
      </c>
      <c r="AJ2447">
        <v>63.778689085070802</v>
      </c>
      <c r="AK2447">
        <v>10.7057266459699</v>
      </c>
      <c r="AL2447">
        <v>83.165583420570897</v>
      </c>
      <c r="AM2447">
        <v>79.588823651201494</v>
      </c>
      <c r="AN2447">
        <v>0.99999996604526398</v>
      </c>
    </row>
    <row r="2448" spans="1:40" x14ac:dyDescent="0.25">
      <c r="A2448" t="str">
        <f>"20190303161922728"</f>
        <v>20190303161922728</v>
      </c>
      <c r="B2448" t="str">
        <f>"1551601162715510"</f>
        <v>1551601162715510</v>
      </c>
      <c r="C2448" t="s">
        <v>40</v>
      </c>
      <c r="D2448">
        <v>4.9859879999999999</v>
      </c>
      <c r="E2448">
        <v>0.53050039999999998</v>
      </c>
      <c r="F2448" t="s">
        <v>49</v>
      </c>
      <c r="G2448">
        <v>-202.37710000000001</v>
      </c>
      <c r="H2448" s="1">
        <v>3.0498610000000002E-6</v>
      </c>
      <c r="I2448">
        <v>287.1472</v>
      </c>
      <c r="J2448">
        <v>-193.77209999999999</v>
      </c>
      <c r="K2448">
        <v>1.121248</v>
      </c>
      <c r="L2448">
        <v>300.82810000000001</v>
      </c>
      <c r="M2448">
        <v>-0.1709716</v>
      </c>
      <c r="N2448">
        <v>-1.34322E-2</v>
      </c>
      <c r="O2448">
        <v>-0.98518430000000001</v>
      </c>
      <c r="P2448">
        <v>-0.34288299999999999</v>
      </c>
      <c r="Q2448">
        <v>0.1059353</v>
      </c>
      <c r="R2448">
        <v>-0.93338569999999998</v>
      </c>
      <c r="S2448">
        <v>-1.6472020000000001</v>
      </c>
      <c r="T2448">
        <v>-0.2141439</v>
      </c>
      <c r="U2448">
        <v>-2.6333310000000001</v>
      </c>
      <c r="V2448">
        <v>0.17835010000000001</v>
      </c>
      <c r="W2448">
        <v>0.11889619999999999</v>
      </c>
      <c r="X2448">
        <v>0.97675730000000005</v>
      </c>
      <c r="Y2448">
        <v>0.37647900000000001</v>
      </c>
      <c r="Z2448">
        <v>5.7310920000000001E-2</v>
      </c>
      <c r="AA2448">
        <v>0.92465079999999999</v>
      </c>
      <c r="AB2448">
        <v>12</v>
      </c>
      <c r="AC2448">
        <v>-8.6050000000000093</v>
      </c>
      <c r="AD2448">
        <v>-1.1212449501390001</v>
      </c>
      <c r="AE2448">
        <v>-13.680899999999999</v>
      </c>
      <c r="AF2448">
        <v>6.1096150209586897</v>
      </c>
      <c r="AG2448">
        <v>-1.1212449501390001</v>
      </c>
      <c r="AH2448">
        <v>14.879156898267199</v>
      </c>
      <c r="AI2448">
        <v>93.987575442894794</v>
      </c>
      <c r="AJ2448">
        <v>67.676178365156105</v>
      </c>
      <c r="AK2448">
        <v>16.123706023919802</v>
      </c>
      <c r="AL2448">
        <v>83.171596177501399</v>
      </c>
      <c r="AM2448">
        <v>79.652126338747493</v>
      </c>
      <c r="AN2448">
        <v>0.99999994382386803</v>
      </c>
    </row>
    <row r="2449" spans="1:40" x14ac:dyDescent="0.25">
      <c r="A2449" t="str">
        <f>"20190303161922752"</f>
        <v>20190303161922752</v>
      </c>
      <c r="B2449" t="str">
        <f>"1551601162744791"</f>
        <v>1551601162744791</v>
      </c>
      <c r="C2449" t="s">
        <v>40</v>
      </c>
      <c r="D2449">
        <v>4.9083819999999996</v>
      </c>
      <c r="E2449">
        <v>0.45905049999999997</v>
      </c>
      <c r="F2449" t="s">
        <v>49</v>
      </c>
      <c r="G2449">
        <v>-203.87370000000001</v>
      </c>
      <c r="H2449">
        <v>8.0001379999999997E-2</v>
      </c>
      <c r="I2449">
        <v>278.6986</v>
      </c>
      <c r="J2449">
        <v>-193.79409999999999</v>
      </c>
      <c r="K2449">
        <v>1.121243</v>
      </c>
      <c r="L2449">
        <v>300.70960000000002</v>
      </c>
      <c r="M2449">
        <v>-0.17213999999999999</v>
      </c>
      <c r="N2449">
        <v>-1.342931E-2</v>
      </c>
      <c r="O2449">
        <v>-0.98498090000000005</v>
      </c>
      <c r="P2449">
        <v>-0.34271059999999998</v>
      </c>
      <c r="Q2449">
        <v>0.1059156</v>
      </c>
      <c r="R2449">
        <v>-0.93345149999999999</v>
      </c>
      <c r="S2449">
        <v>-1.2622530000000001</v>
      </c>
      <c r="T2449">
        <v>-0.13010910000000001</v>
      </c>
      <c r="U2449">
        <v>-2.7651979999999998</v>
      </c>
      <c r="V2449">
        <v>0.1770109</v>
      </c>
      <c r="W2449">
        <v>0.11887440000000001</v>
      </c>
      <c r="X2449">
        <v>0.97700359999999997</v>
      </c>
      <c r="Y2449">
        <v>0.25216840000000001</v>
      </c>
      <c r="Z2449">
        <v>3.014619E-2</v>
      </c>
      <c r="AA2449">
        <v>0.96721369999999895</v>
      </c>
      <c r="AB2449">
        <v>12</v>
      </c>
      <c r="AC2449">
        <v>-10.079599999999999</v>
      </c>
      <c r="AD2449">
        <v>-1.0412416200000001</v>
      </c>
      <c r="AE2449">
        <v>-22.010999999999999</v>
      </c>
      <c r="AF2449">
        <v>6.1284569886034497</v>
      </c>
      <c r="AG2449">
        <v>-1.0412416200000001</v>
      </c>
      <c r="AH2449">
        <v>23.3743899580729</v>
      </c>
      <c r="AI2449">
        <v>92.467339257133602</v>
      </c>
      <c r="AJ2449">
        <v>75.308484506713299</v>
      </c>
      <c r="AK2449">
        <v>24.1868616212282</v>
      </c>
      <c r="AL2449">
        <v>83.172854587686004</v>
      </c>
      <c r="AM2449">
        <v>79.730700868320895</v>
      </c>
      <c r="AN2449">
        <v>1.00000000805356</v>
      </c>
    </row>
    <row r="2450" spans="1:40" x14ac:dyDescent="0.25">
      <c r="A2450" t="str">
        <f>"20190303161922775"</f>
        <v>20190303161922775</v>
      </c>
      <c r="B2450" t="str">
        <f>"1551601162765286"</f>
        <v>1551601162765286</v>
      </c>
      <c r="C2450" t="s">
        <v>40</v>
      </c>
      <c r="D2450">
        <v>4.9579060000000004</v>
      </c>
      <c r="E2450">
        <v>0.44135380000000002</v>
      </c>
      <c r="F2450" t="s">
        <v>53</v>
      </c>
      <c r="G2450">
        <v>-238.3888</v>
      </c>
      <c r="H2450">
        <v>0.81115599999999999</v>
      </c>
      <c r="I2450">
        <v>119.3841</v>
      </c>
      <c r="J2450">
        <v>-193.81549999999999</v>
      </c>
      <c r="K2450">
        <v>1.1212310000000001</v>
      </c>
      <c r="L2450">
        <v>300.5951</v>
      </c>
      <c r="M2450">
        <v>-0.17329069999999999</v>
      </c>
      <c r="N2450">
        <v>-1.342669E-2</v>
      </c>
      <c r="O2450">
        <v>-0.98477939999999997</v>
      </c>
      <c r="P2450">
        <v>-0.3425338</v>
      </c>
      <c r="Q2450">
        <v>0.1062509</v>
      </c>
      <c r="R2450">
        <v>-0.93347840000000004</v>
      </c>
      <c r="S2450">
        <v>-0.72508240000000002</v>
      </c>
      <c r="T2450">
        <v>-5.0417179999999997E-3</v>
      </c>
      <c r="U2450">
        <v>-2.948242</v>
      </c>
      <c r="V2450">
        <v>0.1756915</v>
      </c>
      <c r="W2450">
        <v>0.1192077</v>
      </c>
      <c r="X2450">
        <v>0.97720110000000004</v>
      </c>
      <c r="Y2450">
        <v>6.6892590000000002E-2</v>
      </c>
      <c r="Z2450">
        <v>-1.15006E-2</v>
      </c>
      <c r="AA2450">
        <v>0.99769390000000002</v>
      </c>
      <c r="AB2450">
        <v>12</v>
      </c>
      <c r="AC2450">
        <v>-44.573300000000003</v>
      </c>
      <c r="AD2450">
        <v>-0.31007499999999899</v>
      </c>
      <c r="AE2450">
        <v>-181.21099999999899</v>
      </c>
      <c r="AF2450">
        <v>12.4937757584238</v>
      </c>
      <c r="AG2450">
        <v>-0.31007499999999899</v>
      </c>
      <c r="AH2450">
        <v>186.19322992250099</v>
      </c>
      <c r="AI2450">
        <v>90.095202767888495</v>
      </c>
      <c r="AJ2450">
        <v>86.161143224811994</v>
      </c>
      <c r="AK2450">
        <v>186.612189977452</v>
      </c>
      <c r="AL2450">
        <v>83.153620978936999</v>
      </c>
      <c r="AM2450">
        <v>79.807652005909006</v>
      </c>
      <c r="AN2450">
        <v>0.99999998437637405</v>
      </c>
    </row>
    <row r="2451" spans="1:40" x14ac:dyDescent="0.25">
      <c r="A2451" t="str">
        <f>"20190303161922798"</f>
        <v>20190303161922798</v>
      </c>
      <c r="B2451" t="str">
        <f>"1551601162794566"</f>
        <v>1551601162794566</v>
      </c>
      <c r="C2451" t="s">
        <v>40</v>
      </c>
      <c r="D2451">
        <v>4.8677739999999998</v>
      </c>
      <c r="E2451">
        <v>0.43174040000000002</v>
      </c>
      <c r="F2451" t="s">
        <v>44</v>
      </c>
      <c r="G2451">
        <v>-209.89959999999999</v>
      </c>
      <c r="H2451">
        <v>-0.05</v>
      </c>
      <c r="I2451">
        <v>219.14510000000001</v>
      </c>
      <c r="J2451">
        <v>-193.83799999999999</v>
      </c>
      <c r="K2451">
        <v>1.121221</v>
      </c>
      <c r="L2451">
        <v>300.47579999999999</v>
      </c>
      <c r="M2451">
        <v>-0.174517899999999</v>
      </c>
      <c r="N2451">
        <v>-1.342402E-2</v>
      </c>
      <c r="O2451">
        <v>-0.98456250000000001</v>
      </c>
      <c r="P2451">
        <v>-0.34247739999999999</v>
      </c>
      <c r="Q2451">
        <v>0.1065474</v>
      </c>
      <c r="R2451">
        <v>-0.9334654</v>
      </c>
      <c r="S2451">
        <v>-0.59266660000000004</v>
      </c>
      <c r="T2451">
        <v>-4.31577E-2</v>
      </c>
      <c r="U2451">
        <v>-3.0012819999999998</v>
      </c>
      <c r="V2451">
        <v>0.1744211</v>
      </c>
      <c r="W2451">
        <v>0.1195017</v>
      </c>
      <c r="X2451">
        <v>0.9773927</v>
      </c>
      <c r="Y2451">
        <v>1.952578E-2</v>
      </c>
      <c r="Z2451">
        <v>7.1842659999999997E-4</v>
      </c>
      <c r="AA2451">
        <v>0.99980910000000001</v>
      </c>
      <c r="AB2451">
        <v>12</v>
      </c>
      <c r="AC2451">
        <v>-16.061599999999999</v>
      </c>
      <c r="AD2451">
        <v>-1.1712209999999901</v>
      </c>
      <c r="AE2451">
        <v>-81.330699999999894</v>
      </c>
      <c r="AF2451">
        <v>1.6198087415410101</v>
      </c>
      <c r="AG2451">
        <v>-1.1712209999999901</v>
      </c>
      <c r="AH2451">
        <v>82.869121393950905</v>
      </c>
      <c r="AI2451">
        <v>90.809574640658695</v>
      </c>
      <c r="AJ2451">
        <v>88.8802054862131</v>
      </c>
      <c r="AK2451">
        <v>82.893225414356905</v>
      </c>
      <c r="AL2451">
        <v>83.136654386505995</v>
      </c>
      <c r="AM2451">
        <v>79.8817656004572</v>
      </c>
      <c r="AN2451">
        <v>0.99999993322069203</v>
      </c>
    </row>
    <row r="2452" spans="1:40" x14ac:dyDescent="0.25">
      <c r="A2452" t="str">
        <f>"20190303161922822"</f>
        <v>20190303161922822</v>
      </c>
      <c r="B2452" t="str">
        <f>"1551601162817013"</f>
        <v>1551601162817013</v>
      </c>
      <c r="C2452" t="s">
        <v>40</v>
      </c>
      <c r="D2452">
        <v>4.8208289999999998</v>
      </c>
      <c r="E2452">
        <v>0.43037779999999998</v>
      </c>
      <c r="F2452" t="s">
        <v>41</v>
      </c>
      <c r="G2452">
        <v>-200.36709999999999</v>
      </c>
      <c r="H2452">
        <v>7.9985990000000007E-2</v>
      </c>
      <c r="I2452">
        <v>262.48379999999997</v>
      </c>
      <c r="J2452">
        <v>-193.8605</v>
      </c>
      <c r="K2452">
        <v>1.1212139999999999</v>
      </c>
      <c r="L2452">
        <v>300.35750000000002</v>
      </c>
      <c r="M2452">
        <v>-0.17576559999999999</v>
      </c>
      <c r="N2452">
        <v>-1.342142E-2</v>
      </c>
      <c r="O2452">
        <v>-0.98434069999999996</v>
      </c>
      <c r="P2452">
        <v>-0.3427868</v>
      </c>
      <c r="Q2452">
        <v>0.1062135</v>
      </c>
      <c r="R2452">
        <v>-0.93338980000000005</v>
      </c>
      <c r="S2452">
        <v>-0.52108759999999998</v>
      </c>
      <c r="T2452">
        <v>-8.3101629999999996E-2</v>
      </c>
      <c r="U2452">
        <v>-3.0321660000000001</v>
      </c>
      <c r="V2452">
        <v>0.17350090000000001</v>
      </c>
      <c r="W2452">
        <v>0.1191642</v>
      </c>
      <c r="X2452">
        <v>0.97759770000000001</v>
      </c>
      <c r="Y2452">
        <v>-6.5221869999999996E-3</v>
      </c>
      <c r="Z2452">
        <v>1.3347329999999999E-2</v>
      </c>
      <c r="AA2452">
        <v>0.99988969999999999</v>
      </c>
      <c r="AB2452">
        <v>11</v>
      </c>
      <c r="AC2452">
        <v>-6.5065999999999899</v>
      </c>
      <c r="AD2452">
        <v>-1.04122801</v>
      </c>
      <c r="AE2452">
        <v>-37.873699999999999</v>
      </c>
      <c r="AF2452">
        <v>-0.252020065309634</v>
      </c>
      <c r="AG2452">
        <v>-1.04122801</v>
      </c>
      <c r="AH2452">
        <v>38.399525453544001</v>
      </c>
      <c r="AI2452">
        <v>91.5531981452297</v>
      </c>
      <c r="AJ2452">
        <v>90.376032740068098</v>
      </c>
      <c r="AK2452">
        <v>38.414466349794601</v>
      </c>
      <c r="AL2452">
        <v>83.156131111957706</v>
      </c>
      <c r="AM2452">
        <v>79.936119966061</v>
      </c>
      <c r="AN2452">
        <v>0.99999996595386897</v>
      </c>
    </row>
    <row r="2453" spans="1:40" x14ac:dyDescent="0.25">
      <c r="A2453" t="str">
        <f>"20190303161922842"</f>
        <v>20190303161922842</v>
      </c>
      <c r="B2453" t="str">
        <f>"1551601162834581"</f>
        <v>1551601162834581</v>
      </c>
      <c r="C2453" t="s">
        <v>40</v>
      </c>
      <c r="D2453">
        <v>4.9100469999999996</v>
      </c>
      <c r="E2453">
        <v>0.42929709999999899</v>
      </c>
      <c r="F2453" t="s">
        <v>41</v>
      </c>
      <c r="G2453">
        <v>-199.684</v>
      </c>
      <c r="H2453" s="1">
        <v>-4.7260360000000003E-6</v>
      </c>
      <c r="I2453">
        <v>265.82670000000002</v>
      </c>
      <c r="J2453">
        <v>-193.88079999999999</v>
      </c>
      <c r="K2453">
        <v>1.121205</v>
      </c>
      <c r="L2453">
        <v>300.25189999999998</v>
      </c>
      <c r="M2453">
        <v>-0.1769087</v>
      </c>
      <c r="N2453">
        <v>-1.3419169999999999E-2</v>
      </c>
      <c r="O2453">
        <v>-0.98413600000000001</v>
      </c>
      <c r="P2453">
        <v>-0.34297430000000001</v>
      </c>
      <c r="Q2453">
        <v>0.1057589</v>
      </c>
      <c r="R2453">
        <v>-0.9333726</v>
      </c>
      <c r="S2453">
        <v>-0.51220699999999997</v>
      </c>
      <c r="T2453">
        <v>-9.8617319999999994E-2</v>
      </c>
      <c r="U2453">
        <v>-3.0371700000000001</v>
      </c>
      <c r="V2453">
        <v>0.17255390000000001</v>
      </c>
      <c r="W2453">
        <v>0.1187068</v>
      </c>
      <c r="X2453">
        <v>0.97782089999999999</v>
      </c>
      <c r="Y2453">
        <v>-1.081153E-2</v>
      </c>
      <c r="Z2453">
        <v>1.824988E-2</v>
      </c>
      <c r="AA2453">
        <v>0.99977499999999997</v>
      </c>
      <c r="AB2453">
        <v>11</v>
      </c>
      <c r="AC2453">
        <v>-5.8032000000000297</v>
      </c>
      <c r="AD2453">
        <v>-1.1212097260359899</v>
      </c>
      <c r="AE2453">
        <v>-34.425199999999897</v>
      </c>
      <c r="AF2453">
        <v>-0.37862285611632801</v>
      </c>
      <c r="AG2453">
        <v>-1.1212097260359899</v>
      </c>
      <c r="AH2453">
        <v>34.872881041599697</v>
      </c>
      <c r="AI2453">
        <v>91.841393071906396</v>
      </c>
      <c r="AJ2453">
        <v>90.622048958663299</v>
      </c>
      <c r="AK2453">
        <v>34.8929548570839</v>
      </c>
      <c r="AL2453">
        <v>83.182525322539803</v>
      </c>
      <c r="AM2453">
        <v>79.992175299403002</v>
      </c>
      <c r="AN2453">
        <v>0.99999993262412701</v>
      </c>
    </row>
    <row r="2454" spans="1:40" x14ac:dyDescent="0.25">
      <c r="A2454" t="str">
        <f>"20190303161922864"</f>
        <v>20190303161922864</v>
      </c>
      <c r="B2454" t="str">
        <f>"1551601162855079"</f>
        <v>1551601162855079</v>
      </c>
      <c r="C2454" t="s">
        <v>40</v>
      </c>
      <c r="D2454">
        <v>4.8537030000000003</v>
      </c>
      <c r="E2454">
        <v>0.4285117</v>
      </c>
      <c r="F2454" t="s">
        <v>41</v>
      </c>
      <c r="G2454">
        <v>-198.96969999999999</v>
      </c>
      <c r="H2454" s="1">
        <v>-5.8833780000000001E-6</v>
      </c>
      <c r="I2454">
        <v>269.59989999999999</v>
      </c>
      <c r="J2454">
        <v>-193.9016</v>
      </c>
      <c r="K2454">
        <v>1.1211930000000001</v>
      </c>
      <c r="L2454">
        <v>300.14370000000002</v>
      </c>
      <c r="M2454">
        <v>-0.17810809999999999</v>
      </c>
      <c r="N2454">
        <v>-1.3416819999999999E-2</v>
      </c>
      <c r="O2454">
        <v>-0.98391960000000001</v>
      </c>
      <c r="P2454">
        <v>-0.34352729999999998</v>
      </c>
      <c r="Q2454">
        <v>0.1061604</v>
      </c>
      <c r="R2454">
        <v>-0.93312349999999999</v>
      </c>
      <c r="S2454">
        <v>-0.50491330000000001</v>
      </c>
      <c r="T2454">
        <v>-0.1112446</v>
      </c>
      <c r="U2454">
        <v>-3.041229</v>
      </c>
      <c r="V2454">
        <v>0.17195250000000001</v>
      </c>
      <c r="W2454">
        <v>0.1191031</v>
      </c>
      <c r="X2454">
        <v>0.97787869999999999</v>
      </c>
      <c r="Y2454">
        <v>-1.4593409999999999E-2</v>
      </c>
      <c r="Z2454">
        <v>2.2223739999999999E-2</v>
      </c>
      <c r="AA2454">
        <v>0.99964649999999999</v>
      </c>
      <c r="AB2454">
        <v>11</v>
      </c>
      <c r="AC2454">
        <v>-5.0680999999999798</v>
      </c>
      <c r="AD2454">
        <v>-1.121198883378</v>
      </c>
      <c r="AE2454">
        <v>-30.543800000000001</v>
      </c>
      <c r="AF2454">
        <v>-0.45294204540448002</v>
      </c>
      <c r="AG2454">
        <v>-1.121198883378</v>
      </c>
      <c r="AH2454">
        <v>30.917551043840199</v>
      </c>
      <c r="AI2454">
        <v>92.076650320393298</v>
      </c>
      <c r="AJ2454">
        <v>90.839322984044202</v>
      </c>
      <c r="AK2454">
        <v>30.941189472627801</v>
      </c>
      <c r="AL2454">
        <v>83.159657100217402</v>
      </c>
      <c r="AM2454">
        <v>80.026931591308994</v>
      </c>
      <c r="AN2454">
        <v>0.99999998129977397</v>
      </c>
    </row>
    <row r="2455" spans="1:40" x14ac:dyDescent="0.25">
      <c r="A2455" t="str">
        <f>"20190303161922887"</f>
        <v>20190303161922887</v>
      </c>
      <c r="B2455" t="str">
        <f>"1551601162874599"</f>
        <v>1551601162874599</v>
      </c>
      <c r="C2455" t="s">
        <v>40</v>
      </c>
      <c r="D2455">
        <v>4.8925789999999996</v>
      </c>
      <c r="E2455">
        <v>0.42782100000000001</v>
      </c>
      <c r="F2455" t="s">
        <v>49</v>
      </c>
      <c r="G2455">
        <v>-198.70410000000001</v>
      </c>
      <c r="H2455" s="1">
        <v>5.1930120000000004E-6</v>
      </c>
      <c r="I2455">
        <v>271.00749999999999</v>
      </c>
      <c r="J2455">
        <v>-193.92349999999999</v>
      </c>
      <c r="K2455">
        <v>1.121184</v>
      </c>
      <c r="L2455">
        <v>300.03160000000003</v>
      </c>
      <c r="M2455">
        <v>-0.1793825</v>
      </c>
      <c r="N2455">
        <v>-1.341469E-2</v>
      </c>
      <c r="O2455">
        <v>-0.98368809999999995</v>
      </c>
      <c r="P2455">
        <v>-0.34433730000000001</v>
      </c>
      <c r="Q2455">
        <v>0.1063529</v>
      </c>
      <c r="R2455">
        <v>-0.9328031</v>
      </c>
      <c r="S2455">
        <v>-0.50167850000000003</v>
      </c>
      <c r="T2455">
        <v>-0.1171223</v>
      </c>
      <c r="U2455">
        <v>-3.0436399999999999</v>
      </c>
      <c r="V2455">
        <v>0.1715419</v>
      </c>
      <c r="W2455">
        <v>0.1192892</v>
      </c>
      <c r="X2455">
        <v>0.97792820000000003</v>
      </c>
      <c r="Y2455">
        <v>-1.7056640000000001E-2</v>
      </c>
      <c r="Z2455">
        <v>2.4056549999999999E-2</v>
      </c>
      <c r="AA2455">
        <v>0.99956509999999998</v>
      </c>
      <c r="AB2455">
        <v>11</v>
      </c>
      <c r="AC2455">
        <v>-4.7806000000000202</v>
      </c>
      <c r="AD2455">
        <v>-1.121178806988</v>
      </c>
      <c r="AE2455">
        <v>-29.024100000000001</v>
      </c>
      <c r="AF2455">
        <v>-0.50311062373073601</v>
      </c>
      <c r="AG2455">
        <v>-1.121178806988</v>
      </c>
      <c r="AH2455">
        <v>29.368193358585</v>
      </c>
      <c r="AI2455">
        <v>92.185977915260693</v>
      </c>
      <c r="AJ2455">
        <v>90.981446001414895</v>
      </c>
      <c r="AK2455">
        <v>29.393892960344498</v>
      </c>
      <c r="AL2455">
        <v>83.148918268488799</v>
      </c>
      <c r="AM2455">
        <v>80.050763093524395</v>
      </c>
      <c r="AN2455">
        <v>1.0000000505237401</v>
      </c>
    </row>
    <row r="2456" spans="1:40" x14ac:dyDescent="0.25">
      <c r="A2456" t="str">
        <f>"20190303161922907"</f>
        <v>20190303161922907</v>
      </c>
      <c r="B2456" t="str">
        <f>"1551601162904962"</f>
        <v>1551601162904962</v>
      </c>
      <c r="C2456" t="s">
        <v>40</v>
      </c>
      <c r="D2456">
        <v>4.8210569999999997</v>
      </c>
      <c r="E2456">
        <v>0.42743819999999999</v>
      </c>
      <c r="F2456" t="s">
        <v>49</v>
      </c>
      <c r="G2456">
        <v>-198.3869</v>
      </c>
      <c r="H2456" s="1">
        <v>4.7835409999999997E-6</v>
      </c>
      <c r="I2456">
        <v>272.81950000000001</v>
      </c>
      <c r="J2456">
        <v>-193.9443</v>
      </c>
      <c r="K2456">
        <v>1.1211770000000001</v>
      </c>
      <c r="L2456">
        <v>299.9255</v>
      </c>
      <c r="M2456">
        <v>-0.18061830000000001</v>
      </c>
      <c r="N2456">
        <v>-1.3412459999999999E-2</v>
      </c>
      <c r="O2456">
        <v>-0.98346210000000001</v>
      </c>
      <c r="P2456">
        <v>-0.34555819999999998</v>
      </c>
      <c r="Q2456">
        <v>0.1070842</v>
      </c>
      <c r="R2456">
        <v>-0.93226779999999998</v>
      </c>
      <c r="S2456">
        <v>-0.49960329999999997</v>
      </c>
      <c r="T2456">
        <v>-0.12549779999999999</v>
      </c>
      <c r="U2456">
        <v>-3.0459589999999999</v>
      </c>
      <c r="V2456">
        <v>0.17161270000000001</v>
      </c>
      <c r="W2456">
        <v>0.12001249999999999</v>
      </c>
      <c r="X2456">
        <v>0.97782729999999995</v>
      </c>
      <c r="Y2456">
        <v>-1.9107929999999999E-2</v>
      </c>
      <c r="Z2456">
        <v>2.6678810000000001E-2</v>
      </c>
      <c r="AA2456">
        <v>0.99946140000000006</v>
      </c>
      <c r="AB2456">
        <v>11</v>
      </c>
      <c r="AC2456">
        <v>-4.4425999999999899</v>
      </c>
      <c r="AD2456">
        <v>-1.1211722164589999</v>
      </c>
      <c r="AE2456">
        <v>-27.105999999999899</v>
      </c>
      <c r="AF2456">
        <v>-0.52588197461444797</v>
      </c>
      <c r="AG2456">
        <v>-1.1211722164589999</v>
      </c>
      <c r="AH2456">
        <v>27.416921667254702</v>
      </c>
      <c r="AI2456">
        <v>92.341286551518394</v>
      </c>
      <c r="AJ2456">
        <v>91.098851421977002</v>
      </c>
      <c r="AK2456">
        <v>27.444875162743301</v>
      </c>
      <c r="AL2456">
        <v>83.107176520971393</v>
      </c>
      <c r="AM2456">
        <v>80.045732357331602</v>
      </c>
      <c r="AN2456">
        <v>1.0000000737914101</v>
      </c>
    </row>
    <row r="2457" spans="1:40" x14ac:dyDescent="0.25">
      <c r="A2457" t="str">
        <f>"20190303161922931"</f>
        <v>20190303161922931</v>
      </c>
      <c r="B2457" t="str">
        <f>"1551601162925458"</f>
        <v>1551601162925458</v>
      </c>
      <c r="C2457" t="s">
        <v>40</v>
      </c>
      <c r="D2457">
        <v>4.8824129999999997</v>
      </c>
      <c r="E2457">
        <v>0.42721609999999999</v>
      </c>
      <c r="F2457" t="s">
        <v>49</v>
      </c>
      <c r="G2457">
        <v>-198.4323</v>
      </c>
      <c r="H2457" s="1">
        <v>4.8268729999999998E-6</v>
      </c>
      <c r="I2457">
        <v>272.61770000000001</v>
      </c>
      <c r="J2457">
        <v>-193.96729999999999</v>
      </c>
      <c r="K2457">
        <v>1.121176</v>
      </c>
      <c r="L2457">
        <v>299.80970000000002</v>
      </c>
      <c r="M2457">
        <v>-0.18199270000000001</v>
      </c>
      <c r="N2457">
        <v>-1.341023E-2</v>
      </c>
      <c r="O2457">
        <v>-0.98320879999999999</v>
      </c>
      <c r="P2457">
        <v>-0.34699760000000002</v>
      </c>
      <c r="Q2457">
        <v>0.10752490000000001</v>
      </c>
      <c r="R2457">
        <v>-0.93168220000000002</v>
      </c>
      <c r="S2457">
        <v>-0.50071719999999997</v>
      </c>
      <c r="T2457">
        <v>-0.1250867</v>
      </c>
      <c r="U2457">
        <v>-3.0466609999999998</v>
      </c>
      <c r="V2457">
        <v>0.17176810000000001</v>
      </c>
      <c r="W2457">
        <v>0.1204466</v>
      </c>
      <c r="X2457">
        <v>0.97774649999999996</v>
      </c>
      <c r="Y2457">
        <v>-2.0185270000000002E-2</v>
      </c>
      <c r="Z2457">
        <v>2.652641E-2</v>
      </c>
      <c r="AA2457">
        <v>0.99944429999999995</v>
      </c>
      <c r="AB2457">
        <v>11</v>
      </c>
      <c r="AC2457">
        <v>-4.4649999999999999</v>
      </c>
      <c r="AD2457">
        <v>-1.121171173127</v>
      </c>
      <c r="AE2457">
        <v>-27.192</v>
      </c>
      <c r="AF2457">
        <v>-0.557844785149336</v>
      </c>
      <c r="AG2457">
        <v>-1.121171173127</v>
      </c>
      <c r="AH2457">
        <v>27.504946419511601</v>
      </c>
      <c r="AI2457">
        <v>92.333749194740406</v>
      </c>
      <c r="AJ2457">
        <v>91.161891753094494</v>
      </c>
      <c r="AK2457">
        <v>27.533439544379</v>
      </c>
      <c r="AL2457">
        <v>83.082121763690296</v>
      </c>
      <c r="AM2457">
        <v>80.036092182371704</v>
      </c>
      <c r="AN2457">
        <v>0.99999994094570799</v>
      </c>
    </row>
    <row r="2458" spans="1:40" x14ac:dyDescent="0.25">
      <c r="A2458" t="str">
        <f>"20190303161922953"</f>
        <v>20190303161922953</v>
      </c>
      <c r="B2458" t="str">
        <f>"1551601162944978"</f>
        <v>1551601162944978</v>
      </c>
      <c r="C2458" t="s">
        <v>40</v>
      </c>
      <c r="D2458">
        <v>4.8006289999999998</v>
      </c>
      <c r="E2458">
        <v>0.42709540000000001</v>
      </c>
      <c r="F2458" t="s">
        <v>49</v>
      </c>
      <c r="G2458">
        <v>-198.41220000000001</v>
      </c>
      <c r="H2458" s="1">
        <v>4.7529470000000001E-6</v>
      </c>
      <c r="I2458">
        <v>272.91379999999998</v>
      </c>
      <c r="J2458">
        <v>-193.98990000000001</v>
      </c>
      <c r="K2458">
        <v>1.12117</v>
      </c>
      <c r="L2458">
        <v>299.69690000000003</v>
      </c>
      <c r="M2458">
        <v>-0.1833545</v>
      </c>
      <c r="N2458">
        <v>-1.3407799999999999E-2</v>
      </c>
      <c r="O2458">
        <v>-0.98295549999999998</v>
      </c>
      <c r="P2458">
        <v>-0.34878100000000001</v>
      </c>
      <c r="Q2458">
        <v>0.10739120000000001</v>
      </c>
      <c r="R2458">
        <v>-0.93103139999999995</v>
      </c>
      <c r="S2458">
        <v>-0.50357059999999998</v>
      </c>
      <c r="T2458">
        <v>-0.1270194</v>
      </c>
      <c r="U2458">
        <v>-3.0470890000000002</v>
      </c>
      <c r="V2458">
        <v>0.172284299999999</v>
      </c>
      <c r="W2458">
        <v>0.1203079</v>
      </c>
      <c r="X2458">
        <v>0.97767280000000001</v>
      </c>
      <c r="Y2458">
        <v>-2.0683960000000001E-2</v>
      </c>
      <c r="Z2458">
        <v>2.7120140000000001E-2</v>
      </c>
      <c r="AA2458">
        <v>0.99941809999999998</v>
      </c>
      <c r="AB2458">
        <v>11</v>
      </c>
      <c r="AC2458">
        <v>-4.4222999999999999</v>
      </c>
      <c r="AD2458">
        <v>-1.121165247053</v>
      </c>
      <c r="AE2458">
        <v>-26.783100000000001</v>
      </c>
      <c r="AF2458">
        <v>-0.56296811959912696</v>
      </c>
      <c r="AG2458">
        <v>-1.121165247053</v>
      </c>
      <c r="AH2458">
        <v>27.0936642948155</v>
      </c>
      <c r="AI2458">
        <v>92.369098826055605</v>
      </c>
      <c r="AJ2458">
        <v>91.190354171910698</v>
      </c>
      <c r="AK2458">
        <v>27.122695100875301</v>
      </c>
      <c r="AL2458">
        <v>83.090127222561406</v>
      </c>
      <c r="AM2458">
        <v>80.006013076909397</v>
      </c>
      <c r="AN2458">
        <v>0.99999998734436901</v>
      </c>
    </row>
    <row r="2459" spans="1:40" x14ac:dyDescent="0.25">
      <c r="A2459" t="str">
        <f>"20190303161922978"</f>
        <v>20190303161922978</v>
      </c>
      <c r="B2459" t="str">
        <f>"1551601162965475"</f>
        <v>1551601162965475</v>
      </c>
      <c r="C2459" t="s">
        <v>40</v>
      </c>
      <c r="D2459">
        <v>4.7059670000000002</v>
      </c>
      <c r="E2459">
        <v>0.4269211</v>
      </c>
      <c r="F2459" t="s">
        <v>49</v>
      </c>
      <c r="G2459">
        <v>-198.41399999999999</v>
      </c>
      <c r="H2459" s="1">
        <v>4.6763359999999997E-6</v>
      </c>
      <c r="I2459">
        <v>273.20159999999998</v>
      </c>
      <c r="J2459">
        <v>-194.0138</v>
      </c>
      <c r="K2459">
        <v>1.1211770000000001</v>
      </c>
      <c r="L2459">
        <v>299.57830000000001</v>
      </c>
      <c r="M2459">
        <v>-0.18480740000000001</v>
      </c>
      <c r="N2459">
        <v>-1.3405129999999999E-2</v>
      </c>
      <c r="O2459">
        <v>-0.98268339999999998</v>
      </c>
      <c r="P2459">
        <v>-0.35053479999999998</v>
      </c>
      <c r="Q2459">
        <v>0.10811460000000001</v>
      </c>
      <c r="R2459">
        <v>-0.93028869999999997</v>
      </c>
      <c r="S2459">
        <v>-0.50869750000000002</v>
      </c>
      <c r="T2459">
        <v>-0.1289148</v>
      </c>
      <c r="U2459">
        <v>-3.0465089999999999</v>
      </c>
      <c r="V2459">
        <v>0.17269809999999999</v>
      </c>
      <c r="W2459">
        <v>0.1210265</v>
      </c>
      <c r="X2459">
        <v>0.97751109999999997</v>
      </c>
      <c r="Y2459">
        <v>-2.049728E-2</v>
      </c>
      <c r="Z2459">
        <v>2.7712549999999999E-2</v>
      </c>
      <c r="AA2459">
        <v>0.99940569999999895</v>
      </c>
      <c r="AB2459">
        <v>11</v>
      </c>
      <c r="AC2459">
        <v>-4.4002000000000097</v>
      </c>
      <c r="AD2459">
        <v>-1.1211723236640001</v>
      </c>
      <c r="AE2459">
        <v>-26.3767</v>
      </c>
      <c r="AF2459">
        <v>-0.54968901803570702</v>
      </c>
      <c r="AG2459">
        <v>-1.1211723236640001</v>
      </c>
      <c r="AH2459">
        <v>26.688620490073902</v>
      </c>
      <c r="AI2459">
        <v>92.405036115180494</v>
      </c>
      <c r="AJ2459">
        <v>91.1799189259267</v>
      </c>
      <c r="AK2459">
        <v>26.717815199957698</v>
      </c>
      <c r="AL2459">
        <v>83.048651492566194</v>
      </c>
      <c r="AM2459">
        <v>79.980871186879597</v>
      </c>
      <c r="AN2459">
        <v>0.99999999903453496</v>
      </c>
    </row>
    <row r="2460" spans="1:40" x14ac:dyDescent="0.25">
      <c r="A2460" t="str">
        <f>"20190303161923000"</f>
        <v>20190303161923000</v>
      </c>
      <c r="B2460" t="str">
        <f>"1551601162994755"</f>
        <v>1551601162994755</v>
      </c>
      <c r="C2460" t="s">
        <v>40</v>
      </c>
      <c r="D2460">
        <v>4.6968670000000001</v>
      </c>
      <c r="E2460">
        <v>0.42701600000000001</v>
      </c>
      <c r="F2460" t="s">
        <v>49</v>
      </c>
      <c r="G2460">
        <v>-198.52879999999999</v>
      </c>
      <c r="H2460" s="1">
        <v>4.7623180000000002E-6</v>
      </c>
      <c r="I2460">
        <v>272.7808</v>
      </c>
      <c r="J2460">
        <v>-194.03569999999999</v>
      </c>
      <c r="K2460">
        <v>1.1211789999999999</v>
      </c>
      <c r="L2460">
        <v>299.47050000000002</v>
      </c>
      <c r="M2460">
        <v>-0.1861476</v>
      </c>
      <c r="N2460">
        <v>-1.3402499999999999E-2</v>
      </c>
      <c r="O2460">
        <v>-0.98243029999999998</v>
      </c>
      <c r="P2460">
        <v>-0.35262729999999998</v>
      </c>
      <c r="Q2460">
        <v>0.1086029</v>
      </c>
      <c r="R2460">
        <v>-0.92944070000000001</v>
      </c>
      <c r="S2460">
        <v>-0.51324459999999905</v>
      </c>
      <c r="T2460">
        <v>-0.12745010000000001</v>
      </c>
      <c r="U2460">
        <v>-3.0462340000000001</v>
      </c>
      <c r="V2460">
        <v>0.17357649999999999</v>
      </c>
      <c r="W2460">
        <v>0.1215088</v>
      </c>
      <c r="X2460">
        <v>0.97729560000000004</v>
      </c>
      <c r="Y2460">
        <v>-2.0393359999999999E-2</v>
      </c>
      <c r="Z2460">
        <v>2.7237399999999998E-2</v>
      </c>
      <c r="AA2460">
        <v>0.99942089999999995</v>
      </c>
      <c r="AB2460">
        <v>11</v>
      </c>
      <c r="AC2460">
        <v>-4.4930999999999903</v>
      </c>
      <c r="AD2460">
        <v>-1.121174237682</v>
      </c>
      <c r="AE2460">
        <v>-26.689699999999998</v>
      </c>
      <c r="AF2460">
        <v>-0.55316658546973696</v>
      </c>
      <c r="AG2460">
        <v>-1.121174237682</v>
      </c>
      <c r="AH2460">
        <v>27.013227011602801</v>
      </c>
      <c r="AI2460">
        <v>92.376178979141699</v>
      </c>
      <c r="AJ2460">
        <v>91.173117217278104</v>
      </c>
      <c r="AK2460">
        <v>27.042142269482</v>
      </c>
      <c r="AL2460">
        <v>83.020811864663997</v>
      </c>
      <c r="AM2460">
        <v>79.928775946520801</v>
      </c>
      <c r="AN2460">
        <v>0.99999993980452295</v>
      </c>
    </row>
    <row r="2461" spans="1:40" x14ac:dyDescent="0.25">
      <c r="A2461" t="str">
        <f>"20190303161923022"</f>
        <v>20190303161923022</v>
      </c>
      <c r="B2461" t="str">
        <f>"1551601163015251"</f>
        <v>1551601163015251</v>
      </c>
      <c r="C2461" t="s">
        <v>40</v>
      </c>
      <c r="D2461">
        <v>4.589175</v>
      </c>
      <c r="E2461">
        <v>0.42684830000000001</v>
      </c>
      <c r="F2461" t="s">
        <v>49</v>
      </c>
      <c r="G2461">
        <v>-198.7441</v>
      </c>
      <c r="H2461" s="1">
        <v>4.9343649999999998E-6</v>
      </c>
      <c r="I2461">
        <v>271.95069999999998</v>
      </c>
      <c r="J2461">
        <v>-194.05770000000001</v>
      </c>
      <c r="K2461">
        <v>1.1211739999999999</v>
      </c>
      <c r="L2461">
        <v>299.36320000000001</v>
      </c>
      <c r="M2461">
        <v>-0.18749679999999999</v>
      </c>
      <c r="N2461">
        <v>-1.3399909999999999E-2</v>
      </c>
      <c r="O2461">
        <v>-0.98217379999999999</v>
      </c>
      <c r="P2461">
        <v>-0.3553518</v>
      </c>
      <c r="Q2461">
        <v>0.1084736</v>
      </c>
      <c r="R2461">
        <v>-0.92841700000000005</v>
      </c>
      <c r="S2461">
        <v>-0.52091980000000004</v>
      </c>
      <c r="T2461">
        <v>-0.12404229999999999</v>
      </c>
      <c r="U2461">
        <v>-3.0446780000000002</v>
      </c>
      <c r="V2461">
        <v>0.1750999</v>
      </c>
      <c r="W2461">
        <v>0.12137199999999999</v>
      </c>
      <c r="X2461">
        <v>0.97704089999999999</v>
      </c>
      <c r="Y2461">
        <v>-1.9229699999999999E-2</v>
      </c>
      <c r="Z2461">
        <v>2.6161770000000001E-2</v>
      </c>
      <c r="AA2461">
        <v>0.99947269999999999</v>
      </c>
      <c r="AB2461">
        <v>11</v>
      </c>
      <c r="AC2461">
        <v>-4.6863999999999901</v>
      </c>
      <c r="AD2461">
        <v>-1.121169065635</v>
      </c>
      <c r="AE2461">
        <v>-27.412500000000001</v>
      </c>
      <c r="AF2461">
        <v>-0.53607366608715401</v>
      </c>
      <c r="AG2461">
        <v>-1.121169065635</v>
      </c>
      <c r="AH2461">
        <v>27.759902772527301</v>
      </c>
      <c r="AI2461">
        <v>92.312378645411798</v>
      </c>
      <c r="AJ2461">
        <v>91.106305798485593</v>
      </c>
      <c r="AK2461">
        <v>27.7877058604948</v>
      </c>
      <c r="AL2461">
        <v>83.028708995629799</v>
      </c>
      <c r="AM2461">
        <v>79.839625443209599</v>
      </c>
      <c r="AN2461">
        <v>1.0000000288184001</v>
      </c>
    </row>
    <row r="2462" spans="1:40" x14ac:dyDescent="0.25">
      <c r="A2462" t="str">
        <f>"20190303161923053"</f>
        <v>20190303161923053</v>
      </c>
      <c r="B2462" t="str">
        <f>"1551601163045507"</f>
        <v>1551601163045507</v>
      </c>
      <c r="C2462" t="s">
        <v>40</v>
      </c>
      <c r="D2462">
        <v>4.5359920000000002</v>
      </c>
      <c r="E2462">
        <v>0.4264289</v>
      </c>
      <c r="F2462" t="s">
        <v>49</v>
      </c>
      <c r="G2462">
        <v>-198.8477</v>
      </c>
      <c r="H2462" s="1">
        <v>4.9612640000000001E-6</v>
      </c>
      <c r="I2462">
        <v>271.76249999999999</v>
      </c>
      <c r="J2462">
        <v>-194.09</v>
      </c>
      <c r="K2462">
        <v>1.1211530000000001</v>
      </c>
      <c r="L2462">
        <v>299.20729999999998</v>
      </c>
      <c r="M2462">
        <v>-0.1894815</v>
      </c>
      <c r="N2462">
        <v>-1.3396160000000001E-2</v>
      </c>
      <c r="O2462">
        <v>-0.98179329999999998</v>
      </c>
      <c r="P2462">
        <v>-0.35920279999999999</v>
      </c>
      <c r="Q2462">
        <v>0.1062347</v>
      </c>
      <c r="R2462">
        <v>-0.92719390000000002</v>
      </c>
      <c r="S2462">
        <v>-0.52819819999999995</v>
      </c>
      <c r="T2462">
        <v>-0.12363300000000001</v>
      </c>
      <c r="U2462">
        <v>-3.0435789999999998</v>
      </c>
      <c r="V2462">
        <v>0.1771324</v>
      </c>
      <c r="W2462">
        <v>0.1191253</v>
      </c>
      <c r="X2462">
        <v>0.97695100000000001</v>
      </c>
      <c r="Y2462">
        <v>-1.886875E-2</v>
      </c>
      <c r="Z2462">
        <v>2.6024539999999999E-2</v>
      </c>
      <c r="AA2462">
        <v>0.99948320000000002</v>
      </c>
      <c r="AB2462">
        <v>11</v>
      </c>
      <c r="AC2462">
        <v>-4.7576999999999998</v>
      </c>
      <c r="AD2462">
        <v>-1.121148038736</v>
      </c>
      <c r="AE2462">
        <v>-27.444799999999901</v>
      </c>
      <c r="AF2462">
        <v>-0.52839511010282503</v>
      </c>
      <c r="AG2462">
        <v>-1.121148038736</v>
      </c>
      <c r="AH2462">
        <v>27.804059150609401</v>
      </c>
      <c r="AI2462">
        <v>92.308680570886295</v>
      </c>
      <c r="AJ2462">
        <v>91.088731888160893</v>
      </c>
      <c r="AK2462">
        <v>27.831670441562299</v>
      </c>
      <c r="AL2462">
        <v>83.158376075243595</v>
      </c>
      <c r="AM2462">
        <v>79.723260690847596</v>
      </c>
      <c r="AN2462">
        <v>0.99999999031542497</v>
      </c>
    </row>
    <row r="2463" spans="1:40" x14ac:dyDescent="0.25">
      <c r="A2463" t="str">
        <f>"20190303161923075"</f>
        <v>20190303161923075</v>
      </c>
      <c r="B2463" t="str">
        <f>"1551601163065043"</f>
        <v>1551601163065043</v>
      </c>
      <c r="C2463" t="s">
        <v>40</v>
      </c>
      <c r="D2463">
        <v>4.4868810000000003</v>
      </c>
      <c r="E2463">
        <v>0.42629089999999997</v>
      </c>
      <c r="F2463" t="s">
        <v>49</v>
      </c>
      <c r="G2463">
        <v>-198.72559999999999</v>
      </c>
      <c r="H2463" s="1">
        <v>4.678142E-6</v>
      </c>
      <c r="I2463">
        <v>272.93389999999999</v>
      </c>
      <c r="J2463">
        <v>-194.11259999999999</v>
      </c>
      <c r="K2463">
        <v>1.1211519999999999</v>
      </c>
      <c r="L2463">
        <v>299.09910000000002</v>
      </c>
      <c r="M2463">
        <v>-0.1908734</v>
      </c>
      <c r="N2463">
        <v>-1.3393469999999999E-2</v>
      </c>
      <c r="O2463">
        <v>-0.98152329999999999</v>
      </c>
      <c r="P2463">
        <v>-0.36190050000000001</v>
      </c>
      <c r="Q2463">
        <v>0.10490049999999999</v>
      </c>
      <c r="R2463">
        <v>-0.9262958</v>
      </c>
      <c r="S2463">
        <v>-0.53680419999999995</v>
      </c>
      <c r="T2463">
        <v>-0.12982949999999999</v>
      </c>
      <c r="U2463">
        <v>-3.0424799999999999</v>
      </c>
      <c r="V2463">
        <v>0.17856269999999999</v>
      </c>
      <c r="W2463">
        <v>0.1177854</v>
      </c>
      <c r="X2463">
        <v>0.97685310000000003</v>
      </c>
      <c r="Y2463">
        <v>-1.749218E-2</v>
      </c>
      <c r="Z2463">
        <v>2.7982710000000001E-2</v>
      </c>
      <c r="AA2463">
        <v>0.99945530000000005</v>
      </c>
      <c r="AB2463">
        <v>11</v>
      </c>
      <c r="AC2463">
        <v>-4.6130000000000004</v>
      </c>
      <c r="AD2463">
        <v>-1.1211473218579999</v>
      </c>
      <c r="AE2463">
        <v>-26.165199999999999</v>
      </c>
      <c r="AF2463">
        <v>-0.46568630678578399</v>
      </c>
      <c r="AG2463">
        <v>-1.1211473218579999</v>
      </c>
      <c r="AH2463">
        <v>26.517416022685499</v>
      </c>
      <c r="AI2463">
        <v>92.420631370661795</v>
      </c>
      <c r="AJ2463">
        <v>91.006097935074294</v>
      </c>
      <c r="AK2463">
        <v>26.545191420929999</v>
      </c>
      <c r="AL2463">
        <v>83.235691166832893</v>
      </c>
      <c r="AM2463">
        <v>79.641052237647202</v>
      </c>
      <c r="AN2463">
        <v>1.00000000863203</v>
      </c>
    </row>
    <row r="2464" spans="1:40" x14ac:dyDescent="0.25">
      <c r="A2464" t="str">
        <f>"20190303161923097"</f>
        <v>20190303161923097</v>
      </c>
      <c r="B2464" t="str">
        <f>"1551601163084551"</f>
        <v>1551601163084551</v>
      </c>
      <c r="C2464" t="s">
        <v>40</v>
      </c>
      <c r="D2464">
        <v>4.4773339999999999</v>
      </c>
      <c r="E2464">
        <v>0.4260468</v>
      </c>
      <c r="F2464" t="s">
        <v>49</v>
      </c>
      <c r="G2464">
        <v>-198.6892</v>
      </c>
      <c r="H2464" s="1">
        <v>4.5298250000000003E-6</v>
      </c>
      <c r="I2464">
        <v>273.52440000000001</v>
      </c>
      <c r="J2464">
        <v>-194.1352</v>
      </c>
      <c r="K2464">
        <v>1.121156</v>
      </c>
      <c r="L2464">
        <v>298.99209999999999</v>
      </c>
      <c r="M2464">
        <v>-0.19225590000000001</v>
      </c>
      <c r="N2464">
        <v>-1.339069E-2</v>
      </c>
      <c r="O2464">
        <v>-0.98125340000000005</v>
      </c>
      <c r="P2464">
        <v>-0.36389670000000002</v>
      </c>
      <c r="Q2464">
        <v>0.10407379999999999</v>
      </c>
      <c r="R2464">
        <v>-0.92560679999999995</v>
      </c>
      <c r="S2464">
        <v>-0.54422000000000004</v>
      </c>
      <c r="T2464">
        <v>-0.13332079999999999</v>
      </c>
      <c r="U2464">
        <v>-3.0411990000000002</v>
      </c>
      <c r="V2464">
        <v>0.17927379999999901</v>
      </c>
      <c r="W2464">
        <v>0.1169562</v>
      </c>
      <c r="X2464">
        <v>0.97682250000000004</v>
      </c>
      <c r="Y2464">
        <v>-1.6472099999999899E-2</v>
      </c>
      <c r="Z2464">
        <v>2.908676E-2</v>
      </c>
      <c r="AA2464">
        <v>0.99944109999999997</v>
      </c>
      <c r="AB2464">
        <v>11</v>
      </c>
      <c r="AC2464">
        <v>-4.5540000000000003</v>
      </c>
      <c r="AD2464">
        <v>-1.1211514701750001</v>
      </c>
      <c r="AE2464">
        <v>-25.467699999999901</v>
      </c>
      <c r="AF2464">
        <v>-0.42692424173169002</v>
      </c>
      <c r="AG2464">
        <v>-1.1211514701750001</v>
      </c>
      <c r="AH2464">
        <v>25.819633956147499</v>
      </c>
      <c r="AI2464">
        <v>92.486021176830207</v>
      </c>
      <c r="AJ2464">
        <v>90.947291832504106</v>
      </c>
      <c r="AK2464">
        <v>25.8474900629964</v>
      </c>
      <c r="AL2464">
        <v>83.283531585057005</v>
      </c>
      <c r="AM2464">
        <v>79.600378897081796</v>
      </c>
      <c r="AN2464">
        <v>1.0000000222955601</v>
      </c>
    </row>
    <row r="2465" spans="1:40" x14ac:dyDescent="0.25">
      <c r="A2465" t="str">
        <f>"20190303161923119"</f>
        <v>20190303161923119</v>
      </c>
      <c r="B2465" t="str">
        <f>"1551601163114803"</f>
        <v>1551601163114803</v>
      </c>
      <c r="C2465" t="s">
        <v>40</v>
      </c>
      <c r="D2465">
        <v>4.442177</v>
      </c>
      <c r="E2465">
        <v>0.42564750000000001</v>
      </c>
      <c r="F2465" t="s">
        <v>49</v>
      </c>
      <c r="G2465">
        <v>-198.6979</v>
      </c>
      <c r="H2465" s="1">
        <v>4.4768050000000004E-6</v>
      </c>
      <c r="I2465">
        <v>273.71730000000002</v>
      </c>
      <c r="J2465">
        <v>-194.15819999999999</v>
      </c>
      <c r="K2465">
        <v>1.1211629999999999</v>
      </c>
      <c r="L2465">
        <v>298.88350000000003</v>
      </c>
      <c r="M2465">
        <v>-0.19366700000000001</v>
      </c>
      <c r="N2465">
        <v>-1.338776E-2</v>
      </c>
      <c r="O2465">
        <v>-0.98097599999999996</v>
      </c>
      <c r="P2465">
        <v>-0.36472130000000003</v>
      </c>
      <c r="Q2465">
        <v>0.10366450000000001</v>
      </c>
      <c r="R2465">
        <v>-0.92532809999999999</v>
      </c>
      <c r="S2465">
        <v>-0.54888919999999997</v>
      </c>
      <c r="T2465">
        <v>-0.13487199999999999</v>
      </c>
      <c r="U2465">
        <v>-3.0404969999999998</v>
      </c>
      <c r="V2465">
        <v>0.17872759999999999</v>
      </c>
      <c r="W2465">
        <v>0.116549</v>
      </c>
      <c r="X2465">
        <v>0.97697120000000004</v>
      </c>
      <c r="Y2465">
        <v>-1.638589E-2</v>
      </c>
      <c r="Z2465">
        <v>2.9569979999999999E-2</v>
      </c>
      <c r="AA2465">
        <v>0.99942839999999999</v>
      </c>
      <c r="AB2465">
        <v>11</v>
      </c>
      <c r="AC2465">
        <v>-4.5397000000000096</v>
      </c>
      <c r="AD2465">
        <v>-1.1211585231950001</v>
      </c>
      <c r="AE2465">
        <v>-25.1662</v>
      </c>
      <c r="AF2465">
        <v>-0.41975654477700203</v>
      </c>
      <c r="AG2465">
        <v>-1.1211585231950001</v>
      </c>
      <c r="AH2465">
        <v>25.5198655963415</v>
      </c>
      <c r="AI2465">
        <v>92.515205258760801</v>
      </c>
      <c r="AJ2465">
        <v>90.942329018636599</v>
      </c>
      <c r="AK2465">
        <v>25.547930093186601</v>
      </c>
      <c r="AL2465">
        <v>83.307022765898196</v>
      </c>
      <c r="AM2465">
        <v>79.632919474056393</v>
      </c>
      <c r="AN2465">
        <v>0.99999997501609905</v>
      </c>
    </row>
    <row r="2466" spans="1:40" x14ac:dyDescent="0.25">
      <c r="A2466" t="str">
        <f>"20190303161923143"</f>
        <v>20190303161923143</v>
      </c>
      <c r="B2466" t="str">
        <f>"1551601163135299"</f>
        <v>1551601163135299</v>
      </c>
      <c r="C2466" t="s">
        <v>40</v>
      </c>
      <c r="D2466">
        <v>4.4822769999999998</v>
      </c>
      <c r="E2466">
        <v>0.42514930000000001</v>
      </c>
      <c r="F2466" t="s">
        <v>49</v>
      </c>
      <c r="G2466">
        <v>-198.7133</v>
      </c>
      <c r="H2466" s="1">
        <v>4.5060919999999997E-6</v>
      </c>
      <c r="I2466">
        <v>273.59390000000002</v>
      </c>
      <c r="J2466">
        <v>-194.1824</v>
      </c>
      <c r="K2466">
        <v>1.121173</v>
      </c>
      <c r="L2466">
        <v>298.77019999999999</v>
      </c>
      <c r="M2466">
        <v>-0.1951427</v>
      </c>
      <c r="N2466">
        <v>-1.33846E-2</v>
      </c>
      <c r="O2466">
        <v>-0.98068339999999998</v>
      </c>
      <c r="P2466">
        <v>-0.36438680000000001</v>
      </c>
      <c r="Q2466">
        <v>0.1038979</v>
      </c>
      <c r="R2466">
        <v>-0.92543359999999997</v>
      </c>
      <c r="S2466">
        <v>-0.54777529999999997</v>
      </c>
      <c r="T2466">
        <v>-0.13482759999999999</v>
      </c>
      <c r="U2466">
        <v>-3.0412599999999999</v>
      </c>
      <c r="V2466">
        <v>0.1769047</v>
      </c>
      <c r="W2466">
        <v>0.11678860000000001</v>
      </c>
      <c r="X2466">
        <v>0.97727439999999999</v>
      </c>
      <c r="Y2466">
        <v>-1.8287749999999998E-2</v>
      </c>
      <c r="Z2466">
        <v>2.953132E-2</v>
      </c>
      <c r="AA2466">
        <v>0.99939659999999997</v>
      </c>
      <c r="AB2466">
        <v>11</v>
      </c>
      <c r="AC2466">
        <v>-4.5308999999999999</v>
      </c>
      <c r="AD2466">
        <v>-1.121168493908</v>
      </c>
      <c r="AE2466">
        <v>-25.176299999999902</v>
      </c>
      <c r="AF2466">
        <v>-0.46873445484283899</v>
      </c>
      <c r="AG2466">
        <v>-1.121168493908</v>
      </c>
      <c r="AH2466">
        <v>25.5274090422588</v>
      </c>
      <c r="AI2466">
        <v>92.514401671064903</v>
      </c>
      <c r="AJ2466">
        <v>91.0519472696284</v>
      </c>
      <c r="AK2466">
        <v>25.556317089746798</v>
      </c>
      <c r="AL2466">
        <v>83.293200816307007</v>
      </c>
      <c r="AM2466">
        <v>79.739514580098998</v>
      </c>
      <c r="AN2466">
        <v>1.0000000514337</v>
      </c>
    </row>
    <row r="2467" spans="1:40" x14ac:dyDescent="0.25">
      <c r="A2467" t="str">
        <f>"20190303161923164"</f>
        <v>20190303161923164</v>
      </c>
      <c r="B2467" t="str">
        <f>"1551601163154819"</f>
        <v>1551601163154819</v>
      </c>
      <c r="C2467" t="s">
        <v>40</v>
      </c>
      <c r="D2467">
        <v>4.311178</v>
      </c>
      <c r="E2467">
        <v>0.3720002</v>
      </c>
      <c r="F2467" t="s">
        <v>49</v>
      </c>
      <c r="G2467">
        <v>-198.75200000000001</v>
      </c>
      <c r="H2467" s="1">
        <v>4.6085720000000003E-6</v>
      </c>
      <c r="I2467">
        <v>273.17450000000002</v>
      </c>
      <c r="J2467">
        <v>-194.2045</v>
      </c>
      <c r="K2467">
        <v>1.1211799999999901</v>
      </c>
      <c r="L2467">
        <v>298.6678</v>
      </c>
      <c r="M2467">
        <v>-0.1964796</v>
      </c>
      <c r="N2467">
        <v>-1.338167E-2</v>
      </c>
      <c r="O2467">
        <v>-0.98041650000000002</v>
      </c>
      <c r="P2467">
        <v>-0.36544759999999998</v>
      </c>
      <c r="Q2467">
        <v>0.10448639999999999</v>
      </c>
      <c r="R2467">
        <v>-0.92494900000000002</v>
      </c>
      <c r="S2467">
        <v>-0.54322809999999999</v>
      </c>
      <c r="T2467">
        <v>-0.1332844</v>
      </c>
      <c r="U2467">
        <v>-3.0428160000000002</v>
      </c>
      <c r="V2467">
        <v>0.176704</v>
      </c>
      <c r="W2467">
        <v>0.1173772</v>
      </c>
      <c r="X2467">
        <v>0.97724009999999994</v>
      </c>
      <c r="Y2467">
        <v>-2.1183230000000001E-2</v>
      </c>
      <c r="Z2467">
        <v>2.9011820000000001E-2</v>
      </c>
      <c r="AA2467">
        <v>0.99935459999999998</v>
      </c>
      <c r="AB2467">
        <v>11</v>
      </c>
      <c r="AC2467">
        <v>-4.5475000000000101</v>
      </c>
      <c r="AD2467">
        <v>-1.1211753914279901</v>
      </c>
      <c r="AE2467">
        <v>-25.493299999999898</v>
      </c>
      <c r="AF2467">
        <v>-0.54948866596909895</v>
      </c>
      <c r="AG2467">
        <v>-1.1211753914279901</v>
      </c>
      <c r="AH2467">
        <v>25.841423068969601</v>
      </c>
      <c r="AI2467">
        <v>92.483758920132502</v>
      </c>
      <c r="AJ2467">
        <v>91.218146444955096</v>
      </c>
      <c r="AK2467">
        <v>25.871569691107801</v>
      </c>
      <c r="AL2467">
        <v>83.259242358028303</v>
      </c>
      <c r="AM2467">
        <v>79.750556218436998</v>
      </c>
      <c r="AN2467">
        <v>0.99999996187192397</v>
      </c>
    </row>
    <row r="2468" spans="1:40" x14ac:dyDescent="0.25">
      <c r="A2468" t="str">
        <f>"20190303161923188"</f>
        <v>20190303161923188</v>
      </c>
      <c r="B2468" t="str">
        <f>"1551601163175315"</f>
        <v>1551601163175315</v>
      </c>
      <c r="C2468" t="s">
        <v>40</v>
      </c>
      <c r="D2468">
        <v>4.1784030000000003</v>
      </c>
      <c r="E2468">
        <v>0.35335460000000002</v>
      </c>
      <c r="F2468" t="s">
        <v>49</v>
      </c>
      <c r="G2468">
        <v>-195.345</v>
      </c>
      <c r="H2468" s="1">
        <v>4.9581580000000003E-6</v>
      </c>
      <c r="I2468">
        <v>274.68430000000001</v>
      </c>
      <c r="J2468">
        <v>-194.22800000000001</v>
      </c>
      <c r="K2468">
        <v>1.121191</v>
      </c>
      <c r="L2468">
        <v>298.55889999999999</v>
      </c>
      <c r="M2468">
        <v>-0.19789860000000001</v>
      </c>
      <c r="N2468">
        <v>-1.337849E-2</v>
      </c>
      <c r="O2468">
        <v>-0.98013139999999999</v>
      </c>
      <c r="P2468">
        <v>-0.3669229</v>
      </c>
      <c r="Q2468">
        <v>0.1043545</v>
      </c>
      <c r="R2468">
        <v>-0.92437979999999997</v>
      </c>
      <c r="S2468">
        <v>-0.1521912</v>
      </c>
      <c r="T2468">
        <v>-0.1496035</v>
      </c>
      <c r="U2468">
        <v>-3.2002259999999998</v>
      </c>
      <c r="V2468">
        <v>0.17684369999999999</v>
      </c>
      <c r="W2468">
        <v>0.1172451</v>
      </c>
      <c r="X2468">
        <v>0.97723070000000001</v>
      </c>
      <c r="Y2468">
        <v>-0.1510918</v>
      </c>
      <c r="Z2468">
        <v>3.1715880000000002E-2</v>
      </c>
      <c r="AA2468">
        <v>0.98801079999999997</v>
      </c>
      <c r="AB2468">
        <v>11</v>
      </c>
      <c r="AC2468">
        <v>-1.11700000000001</v>
      </c>
      <c r="AD2468">
        <v>-1.1211860418420001</v>
      </c>
      <c r="AE2468">
        <v>-23.874599999999901</v>
      </c>
      <c r="AF2468">
        <v>-3.62229622163786</v>
      </c>
      <c r="AG2468">
        <v>-1.1211860418420001</v>
      </c>
      <c r="AH2468">
        <v>23.571536699621301</v>
      </c>
      <c r="AI2468">
        <v>92.691685952291195</v>
      </c>
      <c r="AJ2468">
        <v>98.736440640464906</v>
      </c>
      <c r="AK2468">
        <v>23.874577073517099</v>
      </c>
      <c r="AL2468">
        <v>83.266863839447595</v>
      </c>
      <c r="AM2468">
        <v>79.742528527089902</v>
      </c>
      <c r="AN2468">
        <v>0.99999997436309396</v>
      </c>
    </row>
    <row r="2469" spans="1:40" x14ac:dyDescent="0.25">
      <c r="A2469" t="str">
        <f>"20190303161923211"</f>
        <v>20190303161923211</v>
      </c>
      <c r="B2469" t="str">
        <f>"1551601163205572"</f>
        <v>1551601163205572</v>
      </c>
      <c r="C2469" t="s">
        <v>40</v>
      </c>
      <c r="D2469">
        <v>4.1016300000000001</v>
      </c>
      <c r="E2469">
        <v>0.34560239999999998</v>
      </c>
      <c r="F2469" t="s">
        <v>49</v>
      </c>
      <c r="G2469">
        <v>-194.32499999999999</v>
      </c>
      <c r="H2469" s="1">
        <v>3.3943720000000001E-6</v>
      </c>
      <c r="I2469">
        <v>282.36349999999999</v>
      </c>
      <c r="J2469">
        <v>-194.25280000000001</v>
      </c>
      <c r="K2469">
        <v>1.1211990000000001</v>
      </c>
      <c r="L2469">
        <v>298.44560000000001</v>
      </c>
      <c r="M2469">
        <v>-0.1993741</v>
      </c>
      <c r="N2469">
        <v>-1.33752E-2</v>
      </c>
      <c r="O2469">
        <v>-0.97983240000000005</v>
      </c>
      <c r="P2469">
        <v>-0.36908839999999998</v>
      </c>
      <c r="Q2469">
        <v>0.1047141</v>
      </c>
      <c r="R2469">
        <v>-0.92347650000000003</v>
      </c>
      <c r="S2469">
        <v>-1.953125E-2</v>
      </c>
      <c r="T2469">
        <v>-0.22590550000000001</v>
      </c>
      <c r="U2469">
        <v>-3.2631839999999999</v>
      </c>
      <c r="V2469">
        <v>0.1776703</v>
      </c>
      <c r="W2469">
        <v>0.1176007</v>
      </c>
      <c r="X2469">
        <v>0.97703799999999996</v>
      </c>
      <c r="Y2469">
        <v>-0.1934197</v>
      </c>
      <c r="Z2469">
        <v>5.2991249999999997E-2</v>
      </c>
      <c r="AA2469">
        <v>0.979684</v>
      </c>
      <c r="AB2469">
        <v>11</v>
      </c>
      <c r="AC2469">
        <v>-7.2199999999980904E-2</v>
      </c>
      <c r="AD2469">
        <v>-1.1211956056279999</v>
      </c>
      <c r="AE2469">
        <v>-16.082100000000001</v>
      </c>
      <c r="AF2469">
        <v>-3.1207222689113201</v>
      </c>
      <c r="AG2469">
        <v>-1.1211956056279999</v>
      </c>
      <c r="AH2469">
        <v>15.697270403224399</v>
      </c>
      <c r="AI2469">
        <v>94.007316458293403</v>
      </c>
      <c r="AJ2469">
        <v>101.244175105976</v>
      </c>
      <c r="AK2469">
        <v>16.043699236077199</v>
      </c>
      <c r="AL2469">
        <v>83.2463474085923</v>
      </c>
      <c r="AM2469">
        <v>79.693619314751402</v>
      </c>
      <c r="AN2469">
        <v>0.99999995679328901</v>
      </c>
    </row>
    <row r="2470" spans="1:40" x14ac:dyDescent="0.25">
      <c r="A2470" t="str">
        <f>"20190303161923234"</f>
        <v>20190303161923234</v>
      </c>
      <c r="B2470" t="str">
        <f>"1551601163225091"</f>
        <v>1551601163225091</v>
      </c>
      <c r="C2470" t="s">
        <v>40</v>
      </c>
      <c r="D2470">
        <v>4.2439090000000004</v>
      </c>
      <c r="E2470">
        <v>0.34420800000000001</v>
      </c>
      <c r="F2470" t="s">
        <v>49</v>
      </c>
      <c r="G2470">
        <v>-194.12459999999999</v>
      </c>
      <c r="H2470" s="1">
        <v>3.2740610000000001E-6</v>
      </c>
      <c r="I2470">
        <v>284.14620000000002</v>
      </c>
      <c r="J2470">
        <v>-194.27709999999999</v>
      </c>
      <c r="K2470">
        <v>1.121211</v>
      </c>
      <c r="L2470">
        <v>298.33510000000001</v>
      </c>
      <c r="M2470">
        <v>-0.20080970000000001</v>
      </c>
      <c r="N2470">
        <v>-1.337178E-2</v>
      </c>
      <c r="O2470">
        <v>-0.9795393</v>
      </c>
      <c r="P2470">
        <v>-0.37098969999999998</v>
      </c>
      <c r="Q2470">
        <v>0.10495739999999899</v>
      </c>
      <c r="R2470">
        <v>-0.92268680000000003</v>
      </c>
      <c r="S2470">
        <v>2.9479979999999999E-2</v>
      </c>
      <c r="T2470">
        <v>-0.25793139999999998</v>
      </c>
      <c r="U2470">
        <v>-3.2895810000000001</v>
      </c>
      <c r="V2470">
        <v>0.17825569999999999</v>
      </c>
      <c r="W2470">
        <v>0.1178418</v>
      </c>
      <c r="X2470">
        <v>0.97690239999999995</v>
      </c>
      <c r="Y2470">
        <v>-0.2094444</v>
      </c>
      <c r="Z2470">
        <v>6.1563310000000003E-2</v>
      </c>
      <c r="AA2470">
        <v>0.97588059999999999</v>
      </c>
      <c r="AB2470">
        <v>11</v>
      </c>
      <c r="AC2470">
        <v>0.15250000000000299</v>
      </c>
      <c r="AD2470">
        <v>-1.1212077259390001</v>
      </c>
      <c r="AE2470">
        <v>-14.188899999999901</v>
      </c>
      <c r="AF2470">
        <v>-2.9803083450377401</v>
      </c>
      <c r="AG2470">
        <v>-1.1212077259390001</v>
      </c>
      <c r="AH2470">
        <v>13.783143315317901</v>
      </c>
      <c r="AI2470">
        <v>94.545956898204807</v>
      </c>
      <c r="AJ2470">
        <v>102.201140865873</v>
      </c>
      <c r="AK2470">
        <v>14.1461791394991</v>
      </c>
      <c r="AL2470">
        <v>83.232437247441894</v>
      </c>
      <c r="AM2470">
        <v>79.658988227076605</v>
      </c>
      <c r="AN2470">
        <v>1.0000000417677399</v>
      </c>
    </row>
    <row r="2471" spans="1:40" x14ac:dyDescent="0.25">
      <c r="A2471" t="str">
        <f>"20190303161923254"</f>
        <v>20190303161923254</v>
      </c>
      <c r="B2471" t="str">
        <f>"1551601163244610"</f>
        <v>1551601163244610</v>
      </c>
      <c r="C2471" t="s">
        <v>40</v>
      </c>
      <c r="D2471">
        <v>4.0826640000000003</v>
      </c>
      <c r="E2471">
        <v>0.34312150000000002</v>
      </c>
      <c r="F2471" t="s">
        <v>49</v>
      </c>
      <c r="G2471">
        <v>-194.13579999999999</v>
      </c>
      <c r="H2471" s="1">
        <v>3.2687000000000001E-6</v>
      </c>
      <c r="I2471">
        <v>284.18490000000003</v>
      </c>
      <c r="J2471">
        <v>-194.2989</v>
      </c>
      <c r="K2471">
        <v>1.1212150000000001</v>
      </c>
      <c r="L2471">
        <v>298.23649999999998</v>
      </c>
      <c r="M2471">
        <v>-0.20208960000000001</v>
      </c>
      <c r="N2471">
        <v>-1.3368690000000001E-2</v>
      </c>
      <c r="O2471">
        <v>-0.97927589999999998</v>
      </c>
      <c r="P2471">
        <v>-0.37357950000000001</v>
      </c>
      <c r="Q2471">
        <v>0.1048452</v>
      </c>
      <c r="R2471">
        <v>-0.92165390000000003</v>
      </c>
      <c r="S2471">
        <v>3.2897950000000002E-2</v>
      </c>
      <c r="T2471">
        <v>-0.26102889999999901</v>
      </c>
      <c r="U2471">
        <v>-3.2943120000000001</v>
      </c>
      <c r="V2471">
        <v>0.17972050000000001</v>
      </c>
      <c r="W2471">
        <v>0.11772390000000001</v>
      </c>
      <c r="X2471">
        <v>0.97664819999999997</v>
      </c>
      <c r="Y2471">
        <v>-0.2117182</v>
      </c>
      <c r="Z2471">
        <v>6.2300660000000001E-2</v>
      </c>
      <c r="AA2471">
        <v>0.97534299999999996</v>
      </c>
      <c r="AB2471">
        <v>11</v>
      </c>
      <c r="AC2471">
        <v>0.16310000000001401</v>
      </c>
      <c r="AD2471">
        <v>-1.1212117312999901</v>
      </c>
      <c r="AE2471">
        <v>-14.051599999999899</v>
      </c>
      <c r="AF2471">
        <v>-2.9806948223523602</v>
      </c>
      <c r="AG2471">
        <v>-1.1212117312999901</v>
      </c>
      <c r="AH2471">
        <v>13.6418142927508</v>
      </c>
      <c r="AI2471">
        <v>94.590716109899702</v>
      </c>
      <c r="AJ2471">
        <v>102.325249981005</v>
      </c>
      <c r="AK2471">
        <v>14.0085957386279</v>
      </c>
      <c r="AL2471">
        <v>83.239239761826695</v>
      </c>
      <c r="AM2471">
        <v>79.573213699888598</v>
      </c>
      <c r="AN2471">
        <v>1.0000000406573399</v>
      </c>
    </row>
    <row r="2472" spans="1:40" x14ac:dyDescent="0.25">
      <c r="A2472" t="str">
        <f>"20190303161923276"</f>
        <v>20190303161923276</v>
      </c>
      <c r="B2472" t="str">
        <f>"1551601163265107"</f>
        <v>1551601163265107</v>
      </c>
      <c r="C2472" t="s">
        <v>40</v>
      </c>
      <c r="D2472">
        <v>4.1360460000000003</v>
      </c>
      <c r="E2472">
        <v>0.34230270000000002</v>
      </c>
      <c r="F2472" t="s">
        <v>49</v>
      </c>
      <c r="G2472">
        <v>-194.16409999999999</v>
      </c>
      <c r="H2472" s="1">
        <v>3.2494179999999998E-6</v>
      </c>
      <c r="I2472">
        <v>284.34800000000001</v>
      </c>
      <c r="J2472">
        <v>-194.32249999999999</v>
      </c>
      <c r="K2472">
        <v>1.121216</v>
      </c>
      <c r="L2472">
        <v>298.13060000000002</v>
      </c>
      <c r="M2472">
        <v>-0.20346239999999999</v>
      </c>
      <c r="N2472">
        <v>-1.3365480000000001E-2</v>
      </c>
      <c r="O2472">
        <v>-0.97899190000000003</v>
      </c>
      <c r="P2472">
        <v>-0.37594610000000001</v>
      </c>
      <c r="Q2472">
        <v>0.1047483</v>
      </c>
      <c r="R2472">
        <v>-0.92070289999999999</v>
      </c>
      <c r="S2472">
        <v>3.2012939999999997E-2</v>
      </c>
      <c r="T2472">
        <v>-0.26626729999999998</v>
      </c>
      <c r="U2472">
        <v>-3.2982480000000001</v>
      </c>
      <c r="V2472">
        <v>0.1808582</v>
      </c>
      <c r="W2472">
        <v>0.11762160000000001</v>
      </c>
      <c r="X2472">
        <v>0.97645040000000005</v>
      </c>
      <c r="Y2472">
        <v>-0.21281079999999999</v>
      </c>
      <c r="Z2472">
        <v>6.3678879999999993E-2</v>
      </c>
      <c r="AA2472">
        <v>0.9750162</v>
      </c>
      <c r="AB2472">
        <v>11</v>
      </c>
      <c r="AC2472">
        <v>0.15840000000000001</v>
      </c>
      <c r="AD2472">
        <v>-1.121212750582</v>
      </c>
      <c r="AE2472">
        <v>-13.7826</v>
      </c>
      <c r="AF2472">
        <v>-2.94012190011287</v>
      </c>
      <c r="AG2472">
        <v>-1.121212750582</v>
      </c>
      <c r="AH2472">
        <v>13.3735312048571</v>
      </c>
      <c r="AI2472">
        <v>94.681092784744493</v>
      </c>
      <c r="AJ2472">
        <v>102.399020680642</v>
      </c>
      <c r="AK2472">
        <v>13.7387325364052</v>
      </c>
      <c r="AL2472">
        <v>83.245141555665398</v>
      </c>
      <c r="AM2472">
        <v>79.506591167701103</v>
      </c>
      <c r="AN2472">
        <v>0.99999995647697904</v>
      </c>
    </row>
    <row r="2473" spans="1:40" x14ac:dyDescent="0.25">
      <c r="A2473" t="str">
        <f>"20190303161923299"</f>
        <v>20190303161923299</v>
      </c>
      <c r="B2473" t="str">
        <f>"1551601163295364"</f>
        <v>1551601163295364</v>
      </c>
      <c r="C2473" t="s">
        <v>40</v>
      </c>
      <c r="D2473">
        <v>4.3419840000000001</v>
      </c>
      <c r="E2473">
        <v>0.34220499999999998</v>
      </c>
      <c r="F2473" t="s">
        <v>49</v>
      </c>
      <c r="G2473">
        <v>-194.19569999999999</v>
      </c>
      <c r="H2473" s="1">
        <v>3.2445029999999999E-6</v>
      </c>
      <c r="I2473">
        <v>284.34010000000001</v>
      </c>
      <c r="J2473">
        <v>-194.3459</v>
      </c>
      <c r="K2473">
        <v>1.121218</v>
      </c>
      <c r="L2473">
        <v>298.02600000000001</v>
      </c>
      <c r="M2473">
        <v>-0.2048179</v>
      </c>
      <c r="N2473">
        <v>-1.336245E-2</v>
      </c>
      <c r="O2473">
        <v>-0.97870900000000005</v>
      </c>
      <c r="P2473">
        <v>-0.37779269999999998</v>
      </c>
      <c r="Q2473">
        <v>0.104583</v>
      </c>
      <c r="R2473">
        <v>-0.91996500000000003</v>
      </c>
      <c r="S2473">
        <v>3.0349729999999998E-2</v>
      </c>
      <c r="T2473">
        <v>-0.26840730000000002</v>
      </c>
      <c r="U2473">
        <v>-3.3012999999999999</v>
      </c>
      <c r="V2473">
        <v>0.18146100000000001</v>
      </c>
      <c r="W2473">
        <v>0.1174535</v>
      </c>
      <c r="X2473">
        <v>0.97635879999999997</v>
      </c>
      <c r="Y2473">
        <v>-0.21366199999999999</v>
      </c>
      <c r="Z2473">
        <v>6.418517E-2</v>
      </c>
      <c r="AA2473">
        <v>0.97479680000000002</v>
      </c>
      <c r="AB2473">
        <v>11</v>
      </c>
      <c r="AC2473">
        <v>0.15020000000001199</v>
      </c>
      <c r="AD2473">
        <v>-1.121214755497</v>
      </c>
      <c r="AE2473">
        <v>-13.6859</v>
      </c>
      <c r="AF2473">
        <v>-2.9307148239666998</v>
      </c>
      <c r="AG2473">
        <v>-1.121214755497</v>
      </c>
      <c r="AH2473">
        <v>13.2758490869948</v>
      </c>
      <c r="AI2473">
        <v>94.714492913972606</v>
      </c>
      <c r="AJ2473">
        <v>102.448692835841</v>
      </c>
      <c r="AK2473">
        <v>13.641641429389001</v>
      </c>
      <c r="AL2473">
        <v>83.254840245987197</v>
      </c>
      <c r="AM2473">
        <v>79.471431692463995</v>
      </c>
      <c r="AN2473">
        <v>0.99999996276034397</v>
      </c>
    </row>
    <row r="2474" spans="1:40" x14ac:dyDescent="0.25">
      <c r="A2474" t="str">
        <f>"20190303161923320"</f>
        <v>20190303161923320</v>
      </c>
      <c r="B2474" t="str">
        <f>"1551601163314884"</f>
        <v>1551601163314884</v>
      </c>
      <c r="C2474" t="s">
        <v>40</v>
      </c>
      <c r="D2474">
        <v>4.2959239999999896</v>
      </c>
      <c r="E2474">
        <v>0.34304279999999998</v>
      </c>
      <c r="F2474" t="s">
        <v>49</v>
      </c>
      <c r="G2474">
        <v>-194.2448</v>
      </c>
      <c r="H2474" s="1">
        <v>3.2295230000000002E-6</v>
      </c>
      <c r="I2474">
        <v>284.41180000000003</v>
      </c>
      <c r="J2474">
        <v>-194.37</v>
      </c>
      <c r="K2474">
        <v>1.121224</v>
      </c>
      <c r="L2474">
        <v>297.91910000000001</v>
      </c>
      <c r="M2474">
        <v>-0.2062021</v>
      </c>
      <c r="N2474">
        <v>-1.3359309999999999E-2</v>
      </c>
      <c r="O2474">
        <v>-0.97841829999999996</v>
      </c>
      <c r="P2474">
        <v>-0.38086239999999999</v>
      </c>
      <c r="Q2474">
        <v>0.1038251</v>
      </c>
      <c r="R2474">
        <v>-0.91878409999999999</v>
      </c>
      <c r="S2474">
        <v>2.452087E-2</v>
      </c>
      <c r="T2474">
        <v>-0.27193579999999901</v>
      </c>
      <c r="U2474">
        <v>-3.3019409999999998</v>
      </c>
      <c r="V2474">
        <v>0.18332319999999999</v>
      </c>
      <c r="W2474">
        <v>0.11668870000000001</v>
      </c>
      <c r="X2474">
        <v>0.97610269999999999</v>
      </c>
      <c r="Y2474">
        <v>-0.21331939999999999</v>
      </c>
      <c r="Z2474">
        <v>6.5157000000000007E-2</v>
      </c>
      <c r="AA2474">
        <v>0.97480739999999999</v>
      </c>
      <c r="AB2474">
        <v>11</v>
      </c>
      <c r="AC2474">
        <v>0.125200000000006</v>
      </c>
      <c r="AD2474">
        <v>-1.1212207704770001</v>
      </c>
      <c r="AE2474">
        <v>-13.507299999999899</v>
      </c>
      <c r="AF2474">
        <v>-2.8880924538850299</v>
      </c>
      <c r="AG2474">
        <v>-1.1212207704770001</v>
      </c>
      <c r="AH2474">
        <v>13.1008864560148</v>
      </c>
      <c r="AI2474">
        <v>94.777496399654396</v>
      </c>
      <c r="AJ2474">
        <v>102.432017498672</v>
      </c>
      <c r="AK2474">
        <v>13.462222698043901</v>
      </c>
      <c r="AL2474">
        <v>83.298964158667104</v>
      </c>
      <c r="AM2474">
        <v>79.363110571815497</v>
      </c>
      <c r="AN2474">
        <v>1.0000000646566001</v>
      </c>
    </row>
    <row r="2475" spans="1:40" x14ac:dyDescent="0.25">
      <c r="A2475" t="str">
        <f>"20190303161923345"</f>
        <v>20190303161923345</v>
      </c>
      <c r="B2475" t="str">
        <f>"1551601163335379"</f>
        <v>1551601163335379</v>
      </c>
      <c r="C2475" t="s">
        <v>40</v>
      </c>
      <c r="D2475">
        <v>4.3314729999999999</v>
      </c>
      <c r="E2475">
        <v>0.34369719999999998</v>
      </c>
      <c r="F2475" t="s">
        <v>49</v>
      </c>
      <c r="G2475">
        <v>-194.339</v>
      </c>
      <c r="H2475" s="1">
        <v>3.2064490000000002E-6</v>
      </c>
      <c r="I2475">
        <v>284.48450000000003</v>
      </c>
      <c r="J2475">
        <v>-194.3946</v>
      </c>
      <c r="K2475">
        <v>1.1212219999999999</v>
      </c>
      <c r="L2475">
        <v>297.8107</v>
      </c>
      <c r="M2475">
        <v>-0.20760390000000001</v>
      </c>
      <c r="N2475">
        <v>-1.3356089999999999E-2</v>
      </c>
      <c r="O2475">
        <v>-0.97812169999999998</v>
      </c>
      <c r="P2475">
        <v>-0.38577319999999998</v>
      </c>
      <c r="Q2475">
        <v>0.1032571</v>
      </c>
      <c r="R2475">
        <v>-0.91679719999999998</v>
      </c>
      <c r="S2475">
        <v>7.6141359999999996E-3</v>
      </c>
      <c r="T2475">
        <v>-0.27537020000000001</v>
      </c>
      <c r="U2475">
        <v>-3.2995000000000001</v>
      </c>
      <c r="V2475">
        <v>0.1871371</v>
      </c>
      <c r="W2475">
        <v>0.11610570000000001</v>
      </c>
      <c r="X2475">
        <v>0.97544819999999999</v>
      </c>
      <c r="Y2475">
        <v>-0.20972930000000001</v>
      </c>
      <c r="Z2475">
        <v>6.6208219999999998E-2</v>
      </c>
      <c r="AA2475">
        <v>0.97551529999999997</v>
      </c>
      <c r="AB2475">
        <v>11</v>
      </c>
      <c r="AC2475">
        <v>5.5599999999969799E-2</v>
      </c>
      <c r="AD2475">
        <v>-1.1212187935509901</v>
      </c>
      <c r="AE2475">
        <v>-13.326199999999901</v>
      </c>
      <c r="AF2475">
        <v>-2.8013761266717601</v>
      </c>
      <c r="AG2475">
        <v>-1.1212187935509901</v>
      </c>
      <c r="AH2475">
        <v>12.932717180374601</v>
      </c>
      <c r="AI2475">
        <v>94.843175988848103</v>
      </c>
      <c r="AJ2475">
        <v>102.22210718922</v>
      </c>
      <c r="AK2475">
        <v>13.2800607473631</v>
      </c>
      <c r="AL2475">
        <v>83.332595831437004</v>
      </c>
      <c r="AM2475">
        <v>79.139913101228203</v>
      </c>
      <c r="AN2475">
        <v>1.0000000093260699</v>
      </c>
    </row>
    <row r="2476" spans="1:40" x14ac:dyDescent="0.25">
      <c r="A2476" t="str">
        <f>"20190303161923366"</f>
        <v>20190303161923366</v>
      </c>
      <c r="B2476" t="str">
        <f>"1551601163354899"</f>
        <v>1551601163354899</v>
      </c>
      <c r="C2476" t="s">
        <v>40</v>
      </c>
      <c r="D2476">
        <v>4.3862199999999998</v>
      </c>
      <c r="E2476">
        <v>0.34406350000000002</v>
      </c>
      <c r="F2476" t="s">
        <v>49</v>
      </c>
      <c r="G2476">
        <v>-194.45189999999999</v>
      </c>
      <c r="H2476" s="1">
        <v>3.1844649999999998E-6</v>
      </c>
      <c r="I2476">
        <v>284.50700000000001</v>
      </c>
      <c r="J2476">
        <v>-194.41839999999999</v>
      </c>
      <c r="K2476">
        <v>1.121221</v>
      </c>
      <c r="L2476">
        <v>297.70670000000001</v>
      </c>
      <c r="M2476">
        <v>-0.2089522</v>
      </c>
      <c r="N2476">
        <v>-1.3353E-2</v>
      </c>
      <c r="O2476">
        <v>-0.9778348</v>
      </c>
      <c r="P2476">
        <v>-0.39032309999999998</v>
      </c>
      <c r="Q2476">
        <v>0.10269109999999999</v>
      </c>
      <c r="R2476">
        <v>-0.91493310000000005</v>
      </c>
      <c r="S2476">
        <v>-1.420593E-2</v>
      </c>
      <c r="T2476">
        <v>-0.27791949999999999</v>
      </c>
      <c r="U2476">
        <v>-3.2976380000000001</v>
      </c>
      <c r="V2476">
        <v>0.19062809999999999</v>
      </c>
      <c r="W2476">
        <v>0.115526</v>
      </c>
      <c r="X2476">
        <v>0.97484090000000001</v>
      </c>
      <c r="Y2476">
        <v>-0.20462359999999999</v>
      </c>
      <c r="Z2476">
        <v>6.7007259999999999E-2</v>
      </c>
      <c r="AA2476">
        <v>0.97654459999999998</v>
      </c>
      <c r="AB2476">
        <v>11</v>
      </c>
      <c r="AC2476">
        <v>-3.3500000000003603E-2</v>
      </c>
      <c r="AD2476">
        <v>-1.1212178155349899</v>
      </c>
      <c r="AE2476">
        <v>-13.1997</v>
      </c>
      <c r="AF2476">
        <v>-2.7060667451181302</v>
      </c>
      <c r="AG2476">
        <v>-1.1212178155349899</v>
      </c>
      <c r="AH2476">
        <v>12.8227570457344</v>
      </c>
      <c r="AI2476">
        <v>94.890048302621906</v>
      </c>
      <c r="AJ2476">
        <v>101.91663304277699</v>
      </c>
      <c r="AK2476">
        <v>13.153061425874901</v>
      </c>
      <c r="AL2476">
        <v>83.366035521263498</v>
      </c>
      <c r="AM2476">
        <v>78.9355512021354</v>
      </c>
      <c r="AN2476">
        <v>1.0000000547492001</v>
      </c>
    </row>
    <row r="2477" spans="1:40" x14ac:dyDescent="0.25">
      <c r="A2477" t="str">
        <f>"20190303161923388"</f>
        <v>20190303161923388</v>
      </c>
      <c r="B2477" t="str">
        <f>"1551601163375399"</f>
        <v>1551601163375399</v>
      </c>
      <c r="C2477" t="s">
        <v>40</v>
      </c>
      <c r="D2477">
        <v>4.5632580000000003</v>
      </c>
      <c r="E2477">
        <v>0.4085723</v>
      </c>
      <c r="F2477" t="s">
        <v>49</v>
      </c>
      <c r="G2477">
        <v>-194.5498</v>
      </c>
      <c r="H2477" s="1">
        <v>3.180297E-6</v>
      </c>
      <c r="I2477">
        <v>284.35599999999999</v>
      </c>
      <c r="J2477">
        <v>-194.4417</v>
      </c>
      <c r="K2477">
        <v>1.1212230000000001</v>
      </c>
      <c r="L2477">
        <v>297.60550000000001</v>
      </c>
      <c r="M2477">
        <v>-0.2102647</v>
      </c>
      <c r="N2477">
        <v>-1.3350229999999999E-2</v>
      </c>
      <c r="O2477">
        <v>-0.97755349999999996</v>
      </c>
      <c r="P2477">
        <v>-0.39384960000000002</v>
      </c>
      <c r="Q2477">
        <v>0.1032333</v>
      </c>
      <c r="R2477">
        <v>-0.91335960000000005</v>
      </c>
      <c r="S2477">
        <v>-3.2440190000000001E-2</v>
      </c>
      <c r="T2477">
        <v>-0.27681719999999999</v>
      </c>
      <c r="U2477">
        <v>-3.2961429999999998</v>
      </c>
      <c r="V2477">
        <v>0.19309589999999999</v>
      </c>
      <c r="W2477">
        <v>0.1160564</v>
      </c>
      <c r="X2477">
        <v>0.97429200000000005</v>
      </c>
      <c r="Y2477">
        <v>-0.2005353</v>
      </c>
      <c r="Z2477">
        <v>6.6736420000000005E-2</v>
      </c>
      <c r="AA2477">
        <v>0.97741080000000002</v>
      </c>
      <c r="AB2477">
        <v>11</v>
      </c>
      <c r="AC2477">
        <v>-0.108100000000007</v>
      </c>
      <c r="AD2477">
        <v>-1.1212198197030001</v>
      </c>
      <c r="AE2477">
        <v>-13.249499999999999</v>
      </c>
      <c r="AF2477">
        <v>-2.6614095864803802</v>
      </c>
      <c r="AG2477">
        <v>-1.1212198197030001</v>
      </c>
      <c r="AH2477">
        <v>12.883722960217799</v>
      </c>
      <c r="AI2477">
        <v>94.871357422985895</v>
      </c>
      <c r="AJ2477">
        <v>101.671506765503</v>
      </c>
      <c r="AK2477">
        <v>13.203429561547599</v>
      </c>
      <c r="AL2477">
        <v>83.335439729474402</v>
      </c>
      <c r="AM2477">
        <v>78.789764035870306</v>
      </c>
      <c r="AN2477">
        <v>1.00000000792088</v>
      </c>
    </row>
    <row r="2478" spans="1:40" x14ac:dyDescent="0.25">
      <c r="A2478" t="str">
        <f>"20190303161923411"</f>
        <v>20190303161923411</v>
      </c>
      <c r="B2478" t="str">
        <f>"1551601163404676"</f>
        <v>1551601163404676</v>
      </c>
      <c r="C2478" t="s">
        <v>40</v>
      </c>
      <c r="D2478">
        <v>4.5059740000000001</v>
      </c>
      <c r="E2478">
        <v>0.49919059999999998</v>
      </c>
      <c r="F2478" t="s">
        <v>51</v>
      </c>
      <c r="G2478">
        <v>-213.06180000000001</v>
      </c>
      <c r="H2478">
        <v>0.59572890000000001</v>
      </c>
      <c r="I2478">
        <v>186.8305</v>
      </c>
      <c r="J2478">
        <v>-194.46729999999999</v>
      </c>
      <c r="K2478">
        <v>1.1212279999999999</v>
      </c>
      <c r="L2478">
        <v>297.49489999999997</v>
      </c>
      <c r="M2478">
        <v>-0.21170140000000001</v>
      </c>
      <c r="N2478">
        <v>-1.3346999999999999E-2</v>
      </c>
      <c r="O2478">
        <v>-0.97724350000000004</v>
      </c>
      <c r="P2478">
        <v>-0.39783390000000002</v>
      </c>
      <c r="Q2478">
        <v>0.1038555</v>
      </c>
      <c r="R2478">
        <v>-0.91156079999999995</v>
      </c>
      <c r="S2478">
        <v>-0.51504519999999998</v>
      </c>
      <c r="T2478">
        <v>-1.453555E-2</v>
      </c>
      <c r="U2478">
        <v>-3.064117</v>
      </c>
      <c r="V2478">
        <v>0.19593640000000001</v>
      </c>
      <c r="W2478">
        <v>0.1166645</v>
      </c>
      <c r="X2478">
        <v>0.97365210000000002</v>
      </c>
      <c r="Y2478">
        <v>-4.6785760000000003E-2</v>
      </c>
      <c r="Z2478">
        <v>-8.5619479999999998E-3</v>
      </c>
      <c r="AA2478">
        <v>0.99886819999999998</v>
      </c>
      <c r="AB2478">
        <v>11</v>
      </c>
      <c r="AC2478">
        <v>-18.5945</v>
      </c>
      <c r="AD2478">
        <v>-0.5254991</v>
      </c>
      <c r="AE2478">
        <v>-110.66439999999901</v>
      </c>
      <c r="AF2478">
        <v>-5.2568058584584101</v>
      </c>
      <c r="AG2478">
        <v>-0.5254991</v>
      </c>
      <c r="AH2478">
        <v>112.090046700568</v>
      </c>
      <c r="AI2478">
        <v>90.268316455858198</v>
      </c>
      <c r="AJ2478">
        <v>92.685093564650202</v>
      </c>
      <c r="AK2478">
        <v>112.214476456797</v>
      </c>
      <c r="AL2478">
        <v>83.300360120322097</v>
      </c>
      <c r="AM2478">
        <v>78.621845917610898</v>
      </c>
      <c r="AN2478">
        <v>1.0000000451197999</v>
      </c>
    </row>
    <row r="2479" spans="1:40" x14ac:dyDescent="0.25">
      <c r="A2479" t="str">
        <f>"20190303161923435"</f>
        <v>20190303161923435</v>
      </c>
      <c r="B2479" t="str">
        <f>"1551601163425171"</f>
        <v>1551601163425171</v>
      </c>
      <c r="C2479" t="s">
        <v>40</v>
      </c>
      <c r="D2479">
        <v>4.4454250000000002</v>
      </c>
      <c r="E2479">
        <v>0.52662439999999999</v>
      </c>
      <c r="F2479" t="s">
        <v>54</v>
      </c>
      <c r="G2479">
        <v>-238.62129999999999</v>
      </c>
      <c r="H2479">
        <v>3.6528429999999998</v>
      </c>
      <c r="I2479">
        <v>194.96</v>
      </c>
      <c r="J2479">
        <v>-194.49250000000001</v>
      </c>
      <c r="K2479">
        <v>1.1212299999999999</v>
      </c>
      <c r="L2479">
        <v>297.38659999999999</v>
      </c>
      <c r="M2479">
        <v>-0.213112</v>
      </c>
      <c r="N2479">
        <v>-1.3344079999999999E-2</v>
      </c>
      <c r="O2479">
        <v>-0.97693680000000005</v>
      </c>
      <c r="P2479">
        <v>-0.40287519999999999</v>
      </c>
      <c r="Q2479">
        <v>0.1041398</v>
      </c>
      <c r="R2479">
        <v>-0.90931110000000004</v>
      </c>
      <c r="S2479">
        <v>-1.19017</v>
      </c>
      <c r="T2479">
        <v>6.8239569999999999E-2</v>
      </c>
      <c r="U2479">
        <v>-2.7638240000000001</v>
      </c>
      <c r="V2479">
        <v>0.19993379999999999</v>
      </c>
      <c r="W2479">
        <v>0.1169306</v>
      </c>
      <c r="X2479">
        <v>0.97280710000000004</v>
      </c>
      <c r="Y2479">
        <v>0.1904304</v>
      </c>
      <c r="Z2479">
        <v>-3.5373750000000002E-2</v>
      </c>
      <c r="AA2479">
        <v>0.98106320000000002</v>
      </c>
      <c r="AB2479">
        <v>11</v>
      </c>
      <c r="AC2479">
        <v>-44.128799999999899</v>
      </c>
      <c r="AD2479">
        <v>2.5316130000000001</v>
      </c>
      <c r="AE2479">
        <v>-102.426599999999</v>
      </c>
      <c r="AF2479">
        <v>21.2736415764459</v>
      </c>
      <c r="AG2479">
        <v>2.5316130000000001</v>
      </c>
      <c r="AH2479">
        <v>109.42204221486701</v>
      </c>
      <c r="AI2479">
        <v>88.698980001620797</v>
      </c>
      <c r="AJ2479">
        <v>78.997905502279906</v>
      </c>
      <c r="AK2479">
        <v>111.49959736598601</v>
      </c>
      <c r="AL2479">
        <v>83.285008149365495</v>
      </c>
      <c r="AM2479">
        <v>78.386144067256197</v>
      </c>
      <c r="AN2479">
        <v>0.99999997170460397</v>
      </c>
    </row>
    <row r="2480" spans="1:40" x14ac:dyDescent="0.25">
      <c r="A2480" t="str">
        <f>"20190303161923456"</f>
        <v>20190303161923456</v>
      </c>
      <c r="B2480" t="str">
        <f>"1551601163444691"</f>
        <v>1551601163444691</v>
      </c>
      <c r="C2480" t="s">
        <v>40</v>
      </c>
      <c r="D2480">
        <v>4.5922589999999897</v>
      </c>
      <c r="E2480">
        <v>0.58747329999999998</v>
      </c>
      <c r="F2480" t="s">
        <v>55</v>
      </c>
      <c r="G2480">
        <v>-251.59710000000001</v>
      </c>
      <c r="H2480">
        <v>2.9138410000000001</v>
      </c>
      <c r="I2480">
        <v>188.87020000000001</v>
      </c>
      <c r="J2480">
        <v>-194.5155</v>
      </c>
      <c r="K2480">
        <v>1.1212230000000001</v>
      </c>
      <c r="L2480">
        <v>297.28870000000001</v>
      </c>
      <c r="M2480">
        <v>-0.21439250000000001</v>
      </c>
      <c r="N2480">
        <v>-1.334159E-2</v>
      </c>
      <c r="O2480">
        <v>-0.97665670000000004</v>
      </c>
      <c r="P2480">
        <v>-0.40855350000000001</v>
      </c>
      <c r="Q2480">
        <v>0.1041528</v>
      </c>
      <c r="R2480">
        <v>-0.90677269999999999</v>
      </c>
      <c r="S2480">
        <v>-1.4057309999999901</v>
      </c>
      <c r="T2480">
        <v>4.4130210000000003E-2</v>
      </c>
      <c r="U2480">
        <v>-2.6713260000000001</v>
      </c>
      <c r="V2480">
        <v>0.20474709999999999</v>
      </c>
      <c r="W2480">
        <v>0.1169226</v>
      </c>
      <c r="X2480">
        <v>0.97180639999999996</v>
      </c>
      <c r="Y2480">
        <v>0.26493719999999998</v>
      </c>
      <c r="Z2480">
        <v>-2.73434E-2</v>
      </c>
      <c r="AA2480">
        <v>0.96387789999999995</v>
      </c>
      <c r="AB2480">
        <v>11</v>
      </c>
      <c r="AC2480">
        <v>-57.081600000000002</v>
      </c>
      <c r="AD2480">
        <v>1.792618</v>
      </c>
      <c r="AE2480">
        <v>-108.41849999999999</v>
      </c>
      <c r="AF2480">
        <v>32.500943015198601</v>
      </c>
      <c r="AG2480">
        <v>1.792618</v>
      </c>
      <c r="AH2480">
        <v>118.11072774423999</v>
      </c>
      <c r="AI2480">
        <v>89.161621120936999</v>
      </c>
      <c r="AJ2480">
        <v>74.614506957997605</v>
      </c>
      <c r="AK2480">
        <v>122.51395342753899</v>
      </c>
      <c r="AL2480">
        <v>83.285469698401101</v>
      </c>
      <c r="AM2480">
        <v>78.102519390140898</v>
      </c>
      <c r="AN2480">
        <v>0.99999997421506404</v>
      </c>
    </row>
    <row r="2481" spans="1:40" x14ac:dyDescent="0.25">
      <c r="A2481" t="str">
        <f>"20190303161923477"</f>
        <v>20190303161923477</v>
      </c>
      <c r="B2481" t="str">
        <f>"1551601163465187"</f>
        <v>1551601163465187</v>
      </c>
      <c r="C2481" t="s">
        <v>40</v>
      </c>
      <c r="D2481">
        <v>4.6513980000000004</v>
      </c>
      <c r="E2481">
        <v>0.59030229999999995</v>
      </c>
      <c r="F2481" t="s">
        <v>49</v>
      </c>
      <c r="G2481">
        <v>-203.87200000000001</v>
      </c>
      <c r="H2481" s="1">
        <v>3.9177370000000002E-6</v>
      </c>
      <c r="I2481">
        <v>284.80309999999997</v>
      </c>
      <c r="J2481">
        <v>-194.5393</v>
      </c>
      <c r="K2481">
        <v>1.121219</v>
      </c>
      <c r="L2481">
        <v>297.18799999999999</v>
      </c>
      <c r="M2481">
        <v>-0.21571679999999999</v>
      </c>
      <c r="N2481">
        <v>-1.33389999999999E-2</v>
      </c>
      <c r="O2481">
        <v>-0.97636509999999999</v>
      </c>
      <c r="P2481">
        <v>-0.41461189999999998</v>
      </c>
      <c r="Q2481">
        <v>0.10410220000000001</v>
      </c>
      <c r="R2481">
        <v>-0.90402479999999996</v>
      </c>
      <c r="S2481">
        <v>-1.867874</v>
      </c>
      <c r="T2481">
        <v>-0.22383330000000001</v>
      </c>
      <c r="U2481">
        <v>-2.4925540000000002</v>
      </c>
      <c r="V2481">
        <v>0.20993619999999999</v>
      </c>
      <c r="W2481">
        <v>0.1168483</v>
      </c>
      <c r="X2481">
        <v>0.9707076</v>
      </c>
      <c r="Y2481">
        <v>0.41159050000000003</v>
      </c>
      <c r="Z2481">
        <v>6.0950230000000001E-2</v>
      </c>
      <c r="AA2481">
        <v>0.90932849999999998</v>
      </c>
      <c r="AB2481">
        <v>11</v>
      </c>
      <c r="AC2481">
        <v>-9.3327000000000098</v>
      </c>
      <c r="AD2481">
        <v>-1.121215082263</v>
      </c>
      <c r="AE2481">
        <v>-12.3849</v>
      </c>
      <c r="AF2481">
        <v>6.4075678590346596</v>
      </c>
      <c r="AG2481">
        <v>-1.121215082263</v>
      </c>
      <c r="AH2481">
        <v>14.033297653656501</v>
      </c>
      <c r="AI2481">
        <v>94.156893844320606</v>
      </c>
      <c r="AJ2481">
        <v>65.4586820815355</v>
      </c>
      <c r="AK2481">
        <v>15.4676272312514</v>
      </c>
      <c r="AL2481">
        <v>83.289756256479293</v>
      </c>
      <c r="AM2481">
        <v>77.796515887421194</v>
      </c>
      <c r="AN2481">
        <v>0.99999998899054499</v>
      </c>
    </row>
    <row r="2482" spans="1:40" x14ac:dyDescent="0.25">
      <c r="A2482" t="str">
        <f>"20190303161923500"</f>
        <v>20190303161923500</v>
      </c>
      <c r="B2482" t="str">
        <f>"1551601163484707"</f>
        <v>1551601163484707</v>
      </c>
      <c r="C2482" t="s">
        <v>40</v>
      </c>
      <c r="D2482">
        <v>4.4462489999999999</v>
      </c>
      <c r="E2482">
        <v>0.59229399999999999</v>
      </c>
      <c r="F2482" t="s">
        <v>49</v>
      </c>
      <c r="G2482">
        <v>-202.07089999999999</v>
      </c>
      <c r="H2482" s="1">
        <v>2.8922239999999998E-6</v>
      </c>
      <c r="I2482">
        <v>287.39749999999998</v>
      </c>
      <c r="J2482">
        <v>-194.56360000000001</v>
      </c>
      <c r="K2482">
        <v>1.1212200000000001</v>
      </c>
      <c r="L2482">
        <v>297.0856</v>
      </c>
      <c r="M2482">
        <v>-0.21707399999999999</v>
      </c>
      <c r="N2482">
        <v>-1.333644E-2</v>
      </c>
      <c r="O2482">
        <v>-0.97606409999999999</v>
      </c>
      <c r="P2482">
        <v>-0.42012310000000003</v>
      </c>
      <c r="Q2482">
        <v>0.10439420000000001</v>
      </c>
      <c r="R2482">
        <v>-0.90144270000000004</v>
      </c>
      <c r="S2482">
        <v>-1.9056550000000001</v>
      </c>
      <c r="T2482">
        <v>-0.2836902</v>
      </c>
      <c r="U2482">
        <v>-2.4772029999999998</v>
      </c>
      <c r="V2482">
        <v>0.2145262</v>
      </c>
      <c r="W2482">
        <v>0.1171172</v>
      </c>
      <c r="X2482">
        <v>0.96967110000000001</v>
      </c>
      <c r="Y2482">
        <v>0.42088209999999998</v>
      </c>
      <c r="Z2482">
        <v>8.0257980000000007E-2</v>
      </c>
      <c r="AA2482">
        <v>0.90355790000000002</v>
      </c>
      <c r="AB2482">
        <v>11</v>
      </c>
      <c r="AC2482">
        <v>-7.5072999999999803</v>
      </c>
      <c r="AD2482">
        <v>-1.121217107776</v>
      </c>
      <c r="AE2482">
        <v>-9.6881000000000199</v>
      </c>
      <c r="AF2482">
        <v>5.1816722322882001</v>
      </c>
      <c r="AG2482">
        <v>-1.121217107776</v>
      </c>
      <c r="AH2482">
        <v>10.994819917244</v>
      </c>
      <c r="AI2482">
        <v>95.270382765030405</v>
      </c>
      <c r="AJ2482">
        <v>64.766292936815105</v>
      </c>
      <c r="AK2482">
        <v>12.2062656016597</v>
      </c>
      <c r="AL2482">
        <v>83.274242882736701</v>
      </c>
      <c r="AM2482">
        <v>77.525048262961704</v>
      </c>
      <c r="AN2482">
        <v>0.99999998559874503</v>
      </c>
    </row>
    <row r="2483" spans="1:40" x14ac:dyDescent="0.25">
      <c r="A2483" t="str">
        <f>"20190303161923522"</f>
        <v>20190303161923522</v>
      </c>
      <c r="B2483" t="str">
        <f>"1551601163514963"</f>
        <v>1551601163514963</v>
      </c>
      <c r="C2483" t="s">
        <v>40</v>
      </c>
      <c r="D2483">
        <v>4.4365350000000001</v>
      </c>
      <c r="E2483">
        <v>0.59275500000000003</v>
      </c>
      <c r="F2483" t="s">
        <v>49</v>
      </c>
      <c r="G2483">
        <v>-202.6644</v>
      </c>
      <c r="H2483" s="1">
        <v>3.2077919999999998E-6</v>
      </c>
      <c r="I2483">
        <v>286.79809999999998</v>
      </c>
      <c r="J2483">
        <v>-194.5891</v>
      </c>
      <c r="K2483">
        <v>1.121213</v>
      </c>
      <c r="L2483">
        <v>296.97930000000002</v>
      </c>
      <c r="M2483">
        <v>-0.2184951</v>
      </c>
      <c r="N2483">
        <v>-1.333375E-2</v>
      </c>
      <c r="O2483">
        <v>-0.97574709999999998</v>
      </c>
      <c r="P2483">
        <v>-0.42536829999999998</v>
      </c>
      <c r="Q2483">
        <v>0.10512349999999999</v>
      </c>
      <c r="R2483">
        <v>-0.89889449999999904</v>
      </c>
      <c r="S2483">
        <v>-1.934906</v>
      </c>
      <c r="T2483">
        <v>-0.26780890000000002</v>
      </c>
      <c r="U2483">
        <v>-2.457214</v>
      </c>
      <c r="V2483">
        <v>0.21878939999999999</v>
      </c>
      <c r="W2483">
        <v>0.11782330000000001</v>
      </c>
      <c r="X2483">
        <v>0.96863250000000001</v>
      </c>
      <c r="Y2483">
        <v>0.43001729999999999</v>
      </c>
      <c r="Z2483">
        <v>7.5170609999999999E-2</v>
      </c>
      <c r="AA2483">
        <v>0.89968570000000003</v>
      </c>
      <c r="AB2483">
        <v>11</v>
      </c>
      <c r="AC2483">
        <v>-8.0752999999999897</v>
      </c>
      <c r="AD2483">
        <v>-1.121209792208</v>
      </c>
      <c r="AE2483">
        <v>-10.1812</v>
      </c>
      <c r="AF2483">
        <v>5.6136202609757602</v>
      </c>
      <c r="AG2483">
        <v>-1.121209792208</v>
      </c>
      <c r="AH2483">
        <v>11.6132746209886</v>
      </c>
      <c r="AI2483">
        <v>94.967839796578204</v>
      </c>
      <c r="AJ2483">
        <v>64.201823782643402</v>
      </c>
      <c r="AK2483">
        <v>12.947509075304</v>
      </c>
      <c r="AL2483">
        <v>83.233504546994595</v>
      </c>
      <c r="AM2483">
        <v>77.271933602928101</v>
      </c>
      <c r="AN2483">
        <v>1.00000002581574</v>
      </c>
    </row>
    <row r="2484" spans="1:40" x14ac:dyDescent="0.25">
      <c r="A2484" t="str">
        <f>"20190303161923545"</f>
        <v>20190303161923545</v>
      </c>
      <c r="B2484" t="str">
        <f>"1551601163535460"</f>
        <v>1551601163535460</v>
      </c>
      <c r="C2484" t="s">
        <v>40</v>
      </c>
      <c r="D2484">
        <v>4.4540189999999997</v>
      </c>
      <c r="E2484">
        <v>0.59255190000000002</v>
      </c>
      <c r="F2484" t="s">
        <v>49</v>
      </c>
      <c r="G2484">
        <v>-203.42099999999999</v>
      </c>
      <c r="H2484" s="1">
        <v>3.61943E-6</v>
      </c>
      <c r="I2484">
        <v>285.92770000000002</v>
      </c>
      <c r="J2484">
        <v>-194.6129</v>
      </c>
      <c r="K2484">
        <v>1.1212059999999999</v>
      </c>
      <c r="L2484">
        <v>296.88029999999998</v>
      </c>
      <c r="M2484">
        <v>-0.21983340000000001</v>
      </c>
      <c r="N2484">
        <v>-1.3331600000000001E-2</v>
      </c>
      <c r="O2484">
        <v>-0.97544660000000005</v>
      </c>
      <c r="P2484">
        <v>-0.4280603</v>
      </c>
      <c r="Q2484">
        <v>0.10517020000000001</v>
      </c>
      <c r="R2484">
        <v>-0.89761049999999998</v>
      </c>
      <c r="S2484">
        <v>-1.9520569999999999</v>
      </c>
      <c r="T2484">
        <v>-0.24781159999999999</v>
      </c>
      <c r="U2484">
        <v>-2.4426269999999999</v>
      </c>
      <c r="V2484">
        <v>0.22036890000000001</v>
      </c>
      <c r="W2484">
        <v>0.1178574</v>
      </c>
      <c r="X2484">
        <v>0.96827019999999997</v>
      </c>
      <c r="Y2484">
        <v>0.43555080000000002</v>
      </c>
      <c r="Z2484">
        <v>6.8767949999999994E-2</v>
      </c>
      <c r="AA2484">
        <v>0.89753349999999898</v>
      </c>
      <c r="AB2484">
        <v>11</v>
      </c>
      <c r="AC2484">
        <v>-8.8080999999999907</v>
      </c>
      <c r="AD2484">
        <v>-1.12120238057</v>
      </c>
      <c r="AE2484">
        <v>-10.952599999999901</v>
      </c>
      <c r="AF2484">
        <v>6.14552375014995</v>
      </c>
      <c r="AG2484">
        <v>-1.12120238057</v>
      </c>
      <c r="AH2484">
        <v>12.541300485889201</v>
      </c>
      <c r="AI2484">
        <v>94.589880640753606</v>
      </c>
      <c r="AJ2484">
        <v>63.894090480919203</v>
      </c>
      <c r="AK2484">
        <v>14.0110233323344</v>
      </c>
      <c r="AL2484">
        <v>83.231536873703305</v>
      </c>
      <c r="AM2484">
        <v>77.178433536142194</v>
      </c>
      <c r="AN2484">
        <v>0.99999999951500396</v>
      </c>
    </row>
    <row r="2485" spans="1:40" x14ac:dyDescent="0.25">
      <c r="A2485" t="str">
        <f>"20190303161923567"</f>
        <v>20190303161923567</v>
      </c>
      <c r="B2485" t="str">
        <f>"1551601163554979"</f>
        <v>1551601163554979</v>
      </c>
      <c r="C2485" t="s">
        <v>40</v>
      </c>
      <c r="D2485">
        <v>4.4715509999999998</v>
      </c>
      <c r="E2485">
        <v>0.59216899999999995</v>
      </c>
      <c r="F2485" t="s">
        <v>49</v>
      </c>
      <c r="G2485">
        <v>-203.7236</v>
      </c>
      <c r="H2485" s="1">
        <v>3.787317E-6</v>
      </c>
      <c r="I2485">
        <v>285.5421</v>
      </c>
      <c r="J2485">
        <v>-194.63820000000001</v>
      </c>
      <c r="K2485">
        <v>1.1212059999999999</v>
      </c>
      <c r="L2485">
        <v>296.77600000000001</v>
      </c>
      <c r="M2485">
        <v>-0.22126280000000001</v>
      </c>
      <c r="N2485">
        <v>-1.3329290000000001E-2</v>
      </c>
      <c r="O2485">
        <v>-0.97512330000000003</v>
      </c>
      <c r="P2485">
        <v>-0.43221680000000001</v>
      </c>
      <c r="Q2485">
        <v>0.105063</v>
      </c>
      <c r="R2485">
        <v>-0.8956286</v>
      </c>
      <c r="S2485">
        <v>-1.9579930000000001</v>
      </c>
      <c r="T2485">
        <v>-0.2409587</v>
      </c>
      <c r="U2485">
        <v>-2.4367070000000002</v>
      </c>
      <c r="V2485">
        <v>0.22344130000000001</v>
      </c>
      <c r="W2485">
        <v>0.1177314</v>
      </c>
      <c r="X2485">
        <v>0.96758120000000003</v>
      </c>
      <c r="Y2485">
        <v>0.43672339999999998</v>
      </c>
      <c r="Z2485">
        <v>6.6584610000000002E-2</v>
      </c>
      <c r="AA2485">
        <v>0.89712829999999999</v>
      </c>
      <c r="AB2485">
        <v>11</v>
      </c>
      <c r="AC2485">
        <v>-9.0853999999999893</v>
      </c>
      <c r="AD2485">
        <v>-1.1212022126829999</v>
      </c>
      <c r="AE2485">
        <v>-11.2339</v>
      </c>
      <c r="AF2485">
        <v>6.3361489815310099</v>
      </c>
      <c r="AG2485">
        <v>-1.1212022126829999</v>
      </c>
      <c r="AH2485">
        <v>12.8882333893376</v>
      </c>
      <c r="AI2485">
        <v>94.464019400879593</v>
      </c>
      <c r="AJ2485">
        <v>63.820218032846398</v>
      </c>
      <c r="AK2485">
        <v>14.4052226020953</v>
      </c>
      <c r="AL2485">
        <v>83.238807015155999</v>
      </c>
      <c r="AM2485">
        <v>76.996763031830696</v>
      </c>
      <c r="AN2485">
        <v>1.00000003784254</v>
      </c>
    </row>
    <row r="2486" spans="1:40" x14ac:dyDescent="0.25">
      <c r="A2486" t="str">
        <f>"20190303161923590"</f>
        <v>20190303161923590</v>
      </c>
      <c r="B2486" t="str">
        <f>"1551601163575475"</f>
        <v>1551601163575475</v>
      </c>
      <c r="C2486" t="s">
        <v>40</v>
      </c>
      <c r="D2486">
        <v>4.4588269999999897</v>
      </c>
      <c r="E2486">
        <v>0.59156660000000005</v>
      </c>
      <c r="F2486" t="s">
        <v>49</v>
      </c>
      <c r="G2486">
        <v>-203.96299999999999</v>
      </c>
      <c r="H2486" s="1">
        <v>3.9179549999999998E-6</v>
      </c>
      <c r="I2486">
        <v>285.26190000000003</v>
      </c>
      <c r="J2486">
        <v>-194.6635</v>
      </c>
      <c r="K2486">
        <v>1.1212009999999999</v>
      </c>
      <c r="L2486">
        <v>296.6728</v>
      </c>
      <c r="M2486">
        <v>-0.22269459999999999</v>
      </c>
      <c r="N2486">
        <v>-1.3327E-2</v>
      </c>
      <c r="O2486">
        <v>-0.97479729999999998</v>
      </c>
      <c r="P2486">
        <v>-0.43590040000000002</v>
      </c>
      <c r="Q2486">
        <v>0.1046759</v>
      </c>
      <c r="R2486">
        <v>-0.89388719999999999</v>
      </c>
      <c r="S2486">
        <v>-1.966599</v>
      </c>
      <c r="T2486">
        <v>-0.23646300000000001</v>
      </c>
      <c r="U2486">
        <v>-2.4283450000000002</v>
      </c>
      <c r="V2486">
        <v>0.22599839999999999</v>
      </c>
      <c r="W2486">
        <v>0.1173285</v>
      </c>
      <c r="X2486">
        <v>0.96703609999999895</v>
      </c>
      <c r="Y2486">
        <v>0.43889299999999998</v>
      </c>
      <c r="Z2486">
        <v>6.5183320000000003E-2</v>
      </c>
      <c r="AA2486">
        <v>0.89617190000000002</v>
      </c>
      <c r="AB2486">
        <v>10</v>
      </c>
      <c r="AC2486">
        <v>-9.2994999999999894</v>
      </c>
      <c r="AD2486">
        <v>-1.1211970820449999</v>
      </c>
      <c r="AE2486">
        <v>-11.4108999999999</v>
      </c>
      <c r="AF2486">
        <v>6.4869275319755104</v>
      </c>
      <c r="AG2486">
        <v>-1.1211970820449999</v>
      </c>
      <c r="AH2486">
        <v>13.119323711538501</v>
      </c>
      <c r="AI2486">
        <v>94.380771203530699</v>
      </c>
      <c r="AJ2486">
        <v>63.689632955288197</v>
      </c>
      <c r="AK2486">
        <v>14.678350259822301</v>
      </c>
      <c r="AL2486">
        <v>83.262052580165005</v>
      </c>
      <c r="AM2486">
        <v>76.845939669545203</v>
      </c>
      <c r="AN2486">
        <v>1.000000036209</v>
      </c>
    </row>
    <row r="2487" spans="1:40" x14ac:dyDescent="0.25">
      <c r="A2487" t="str">
        <f>"20190303161923614"</f>
        <v>20190303161923614</v>
      </c>
      <c r="B2487" t="str">
        <f>"1551601163604755"</f>
        <v>1551601163604755</v>
      </c>
      <c r="C2487" t="s">
        <v>40</v>
      </c>
      <c r="D2487">
        <v>4.4702070000000003</v>
      </c>
      <c r="E2487">
        <v>0.59051919999999902</v>
      </c>
      <c r="F2487" t="s">
        <v>49</v>
      </c>
      <c r="G2487">
        <v>-204.06620000000001</v>
      </c>
      <c r="H2487" s="1">
        <v>3.975856E-6</v>
      </c>
      <c r="I2487">
        <v>285.1232</v>
      </c>
      <c r="J2487">
        <v>-194.68979999999999</v>
      </c>
      <c r="K2487">
        <v>1.121189</v>
      </c>
      <c r="L2487">
        <v>296.5659</v>
      </c>
      <c r="M2487">
        <v>-0.22419140000000001</v>
      </c>
      <c r="N2487">
        <v>-1.3324580000000001E-2</v>
      </c>
      <c r="O2487">
        <v>-0.97445409999999999</v>
      </c>
      <c r="P2487">
        <v>-0.439745</v>
      </c>
      <c r="Q2487">
        <v>0.10492509999999999</v>
      </c>
      <c r="R2487">
        <v>-0.89197280000000001</v>
      </c>
      <c r="S2487">
        <v>-1.971848</v>
      </c>
      <c r="T2487">
        <v>-0.23512649999999999</v>
      </c>
      <c r="U2487">
        <v>-2.4220579999999998</v>
      </c>
      <c r="V2487">
        <v>0.228688</v>
      </c>
      <c r="W2487">
        <v>0.1175614</v>
      </c>
      <c r="X2487">
        <v>0.96637519999999999</v>
      </c>
      <c r="Y2487">
        <v>0.43983549999999899</v>
      </c>
      <c r="Z2487">
        <v>6.4808790000000005E-2</v>
      </c>
      <c r="AA2487">
        <v>0.89573689999999995</v>
      </c>
      <c r="AB2487">
        <v>10</v>
      </c>
      <c r="AC2487">
        <v>-9.3764000000000092</v>
      </c>
      <c r="AD2487">
        <v>-1.121185024144</v>
      </c>
      <c r="AE2487">
        <v>-11.4427</v>
      </c>
      <c r="AF2487">
        <v>6.5345659322091203</v>
      </c>
      <c r="AG2487">
        <v>-1.121185024144</v>
      </c>
      <c r="AH2487">
        <v>13.1779775742173</v>
      </c>
      <c r="AI2487">
        <v>94.358858920805105</v>
      </c>
      <c r="AJ2487">
        <v>63.624558984709402</v>
      </c>
      <c r="AK2487">
        <v>14.751837198373901</v>
      </c>
      <c r="AL2487">
        <v>83.248614853698598</v>
      </c>
      <c r="AM2487">
        <v>76.686154764535701</v>
      </c>
      <c r="AN2487">
        <v>0.99999995564449895</v>
      </c>
    </row>
    <row r="2488" spans="1:40" x14ac:dyDescent="0.25">
      <c r="A2488" t="str">
        <f>"20190303161923635"</f>
        <v>20190303161923635</v>
      </c>
      <c r="B2488" t="str">
        <f>"1551601163625252"</f>
        <v>1551601163625252</v>
      </c>
      <c r="C2488" t="s">
        <v>40</v>
      </c>
      <c r="D2488">
        <v>4.5667090000000004</v>
      </c>
      <c r="E2488">
        <v>0.58944090000000005</v>
      </c>
      <c r="F2488" t="s">
        <v>49</v>
      </c>
      <c r="G2488">
        <v>-204.2833</v>
      </c>
      <c r="H2488" s="1">
        <v>4.0985400000000001E-6</v>
      </c>
      <c r="I2488">
        <v>284.82100000000003</v>
      </c>
      <c r="J2488">
        <v>-194.71510000000001</v>
      </c>
      <c r="K2488">
        <v>1.121186</v>
      </c>
      <c r="L2488">
        <v>296.46359999999999</v>
      </c>
      <c r="M2488">
        <v>-0.22563569999999999</v>
      </c>
      <c r="N2488">
        <v>-1.332214E-2</v>
      </c>
      <c r="O2488">
        <v>-0.9741206</v>
      </c>
      <c r="P2488">
        <v>-0.4426293</v>
      </c>
      <c r="Q2488">
        <v>0.1048751</v>
      </c>
      <c r="R2488">
        <v>-0.89055069999999903</v>
      </c>
      <c r="S2488">
        <v>-1.9743649999999999</v>
      </c>
      <c r="T2488">
        <v>-0.23074320000000001</v>
      </c>
      <c r="U2488">
        <v>-2.4171140000000002</v>
      </c>
      <c r="V2488">
        <v>0.2303839</v>
      </c>
      <c r="W2488">
        <v>0.1175013</v>
      </c>
      <c r="X2488">
        <v>0.9659797</v>
      </c>
      <c r="Y2488">
        <v>0.44002049999999998</v>
      </c>
      <c r="Z2488">
        <v>6.3445719999999997E-2</v>
      </c>
      <c r="AA2488">
        <v>0.89574359999999997</v>
      </c>
      <c r="AB2488">
        <v>10</v>
      </c>
      <c r="AC2488">
        <v>-9.5681999999999903</v>
      </c>
      <c r="AD2488">
        <v>-1.12118190146</v>
      </c>
      <c r="AE2488">
        <v>-11.6426</v>
      </c>
      <c r="AF2488">
        <v>6.6573391992186899</v>
      </c>
      <c r="AG2488">
        <v>-1.12118190146</v>
      </c>
      <c r="AH2488">
        <v>13.427101107656201</v>
      </c>
      <c r="AI2488">
        <v>94.278372800059401</v>
      </c>
      <c r="AJ2488">
        <v>63.627160888485498</v>
      </c>
      <c r="AK2488">
        <v>15.028780995970299</v>
      </c>
      <c r="AL2488">
        <v>83.252082926960796</v>
      </c>
      <c r="AM2488">
        <v>76.585684007544103</v>
      </c>
      <c r="AN2488">
        <v>1.00000003884649</v>
      </c>
    </row>
    <row r="2489" spans="1:40" x14ac:dyDescent="0.25">
      <c r="A2489" t="str">
        <f>"20190303161923657"</f>
        <v>20190303161923657</v>
      </c>
      <c r="B2489" t="str">
        <f>"1551601163644771"</f>
        <v>1551601163644771</v>
      </c>
      <c r="C2489" t="s">
        <v>40</v>
      </c>
      <c r="D2489">
        <v>4.4169070000000001</v>
      </c>
      <c r="E2489">
        <v>0.58859939999999999</v>
      </c>
      <c r="F2489" t="s">
        <v>49</v>
      </c>
      <c r="G2489">
        <v>-204.2176</v>
      </c>
      <c r="H2489" s="1">
        <v>4.0677549999999996E-6</v>
      </c>
      <c r="I2489">
        <v>284.84019999999998</v>
      </c>
      <c r="J2489">
        <v>-194.7389</v>
      </c>
      <c r="K2489">
        <v>1.1211869999999999</v>
      </c>
      <c r="L2489">
        <v>296.36840000000001</v>
      </c>
      <c r="M2489">
        <v>-0.22698689999999999</v>
      </c>
      <c r="N2489">
        <v>-1.331975E-2</v>
      </c>
      <c r="O2489">
        <v>-0.97380699999999998</v>
      </c>
      <c r="P2489">
        <v>-0.44555280000000003</v>
      </c>
      <c r="Q2489">
        <v>0.10486810000000001</v>
      </c>
      <c r="R2489">
        <v>-0.88909289999999996</v>
      </c>
      <c r="S2489">
        <v>-1.974197</v>
      </c>
      <c r="T2489">
        <v>-0.23293269999999999</v>
      </c>
      <c r="U2489">
        <v>-2.414825</v>
      </c>
      <c r="V2489">
        <v>0.23221900000000001</v>
      </c>
      <c r="W2489">
        <v>0.1174857</v>
      </c>
      <c r="X2489">
        <v>0.96554200000000001</v>
      </c>
      <c r="Y2489">
        <v>0.43912119999999999</v>
      </c>
      <c r="Z2489">
        <v>6.4206750000000007E-2</v>
      </c>
      <c r="AA2489">
        <v>0.8961306</v>
      </c>
      <c r="AB2489">
        <v>10</v>
      </c>
      <c r="AC2489">
        <v>-9.4786999999999999</v>
      </c>
      <c r="AD2489">
        <v>-1.121182932245</v>
      </c>
      <c r="AE2489">
        <v>-11.5282</v>
      </c>
      <c r="AF2489">
        <v>6.5771412319791898</v>
      </c>
      <c r="AG2489">
        <v>-1.121182932245</v>
      </c>
      <c r="AH2489">
        <v>13.3038860152902</v>
      </c>
      <c r="AI2489">
        <v>94.320309185634301</v>
      </c>
      <c r="AJ2489">
        <v>63.693246741472699</v>
      </c>
      <c r="AK2489">
        <v>14.883185850508999</v>
      </c>
      <c r="AL2489">
        <v>83.252982398078004</v>
      </c>
      <c r="AM2489">
        <v>76.476837219364796</v>
      </c>
      <c r="AN2489">
        <v>0.99999995371474304</v>
      </c>
    </row>
    <row r="2490" spans="1:40" x14ac:dyDescent="0.25">
      <c r="A2490" t="str">
        <f>"20190303161923679"</f>
        <v>20190303161923679</v>
      </c>
      <c r="B2490" t="str">
        <f>"1551601163665267"</f>
        <v>1551601163665267</v>
      </c>
      <c r="C2490" t="s">
        <v>40</v>
      </c>
      <c r="D2490">
        <v>4.4193069999999999</v>
      </c>
      <c r="E2490">
        <v>0.58781119999999898</v>
      </c>
      <c r="F2490" t="s">
        <v>49</v>
      </c>
      <c r="G2490">
        <v>-204.36619999999999</v>
      </c>
      <c r="H2490" s="1">
        <v>4.1525149999999998E-6</v>
      </c>
      <c r="I2490">
        <v>284.62459999999999</v>
      </c>
      <c r="J2490">
        <v>-194.7637</v>
      </c>
      <c r="K2490">
        <v>1.121194</v>
      </c>
      <c r="L2490">
        <v>296.26949999999999</v>
      </c>
      <c r="M2490">
        <v>-0.22839570000000001</v>
      </c>
      <c r="N2490">
        <v>-1.331715E-2</v>
      </c>
      <c r="O2490">
        <v>-0.97347740000000005</v>
      </c>
      <c r="P2490">
        <v>-0.44870149999999998</v>
      </c>
      <c r="Q2490">
        <v>0.1044031</v>
      </c>
      <c r="R2490">
        <v>-0.88756239999999997</v>
      </c>
      <c r="S2490">
        <v>-1.9764250000000001</v>
      </c>
      <c r="T2490">
        <v>-0.23017099999999999</v>
      </c>
      <c r="U2490">
        <v>-2.4109189999999998</v>
      </c>
      <c r="V2490">
        <v>0.23423289999999999</v>
      </c>
      <c r="W2490">
        <v>0.11701259999999999</v>
      </c>
      <c r="X2490">
        <v>0.96511290000000005</v>
      </c>
      <c r="Y2490">
        <v>0.4390657</v>
      </c>
      <c r="Z2490">
        <v>6.3353389999999996E-2</v>
      </c>
      <c r="AA2490">
        <v>0.89621849999999903</v>
      </c>
      <c r="AB2490">
        <v>10</v>
      </c>
      <c r="AC2490">
        <v>-9.6024999999999903</v>
      </c>
      <c r="AD2490">
        <v>-1.1211898474849999</v>
      </c>
      <c r="AE2490">
        <v>-11.6449</v>
      </c>
      <c r="AF2490">
        <v>6.6520580439087702</v>
      </c>
      <c r="AG2490">
        <v>-1.1211898474849999</v>
      </c>
      <c r="AH2490">
        <v>13.456164020571199</v>
      </c>
      <c r="AI2490">
        <v>94.271672210573001</v>
      </c>
      <c r="AJ2490">
        <v>63.694499086033197</v>
      </c>
      <c r="AK2490">
        <v>15.052418179221201</v>
      </c>
      <c r="AL2490">
        <v>83.280277306463205</v>
      </c>
      <c r="AM2490">
        <v>76.358083386215498</v>
      </c>
      <c r="AN2490">
        <v>0.99999995487378901</v>
      </c>
    </row>
    <row r="2491" spans="1:40" x14ac:dyDescent="0.25">
      <c r="A2491" t="str">
        <f>"20190303161923702"</f>
        <v>20190303161923702</v>
      </c>
      <c r="B2491" t="str">
        <f>"1551601163695523"</f>
        <v>1551601163695523</v>
      </c>
      <c r="C2491" t="s">
        <v>40</v>
      </c>
      <c r="D2491">
        <v>4.4033509999999998</v>
      </c>
      <c r="E2491">
        <v>0.58689190000000002</v>
      </c>
      <c r="F2491" t="s">
        <v>49</v>
      </c>
      <c r="G2491">
        <v>-204.36770000000001</v>
      </c>
      <c r="H2491" s="1">
        <v>4.156596E-6</v>
      </c>
      <c r="I2491">
        <v>284.58519999999999</v>
      </c>
      <c r="J2491">
        <v>-194.7903</v>
      </c>
      <c r="K2491">
        <v>1.1212009999999999</v>
      </c>
      <c r="L2491">
        <v>296.16410000000002</v>
      </c>
      <c r="M2491">
        <v>-0.22989999999999999</v>
      </c>
      <c r="N2491">
        <v>-1.331424E-2</v>
      </c>
      <c r="O2491">
        <v>-0.97312330000000002</v>
      </c>
      <c r="P2491">
        <v>-0.45237810000000001</v>
      </c>
      <c r="Q2491">
        <v>0.1029156</v>
      </c>
      <c r="R2491">
        <v>-0.88586810000000005</v>
      </c>
      <c r="S2491">
        <v>-1.9784550000000001</v>
      </c>
      <c r="T2491">
        <v>-0.23096939999999999</v>
      </c>
      <c r="U2491">
        <v>-2.4070130000000001</v>
      </c>
      <c r="V2491">
        <v>0.236703</v>
      </c>
      <c r="W2491">
        <v>0.11551740000000001</v>
      </c>
      <c r="X2491">
        <v>0.9646903</v>
      </c>
      <c r="Y2491">
        <v>0.4388282</v>
      </c>
      <c r="Z2491">
        <v>6.3665289999999999E-2</v>
      </c>
      <c r="AA2491">
        <v>0.89631269999999996</v>
      </c>
      <c r="AB2491">
        <v>10</v>
      </c>
      <c r="AC2491">
        <v>-9.5774000000000097</v>
      </c>
      <c r="AD2491">
        <v>-1.1211968434040001</v>
      </c>
      <c r="AE2491">
        <v>-11.578900000000001</v>
      </c>
      <c r="AF2491">
        <v>6.6217262723976296</v>
      </c>
      <c r="AG2491">
        <v>-1.1211968434040001</v>
      </c>
      <c r="AH2491">
        <v>13.396153675840999</v>
      </c>
      <c r="AI2491">
        <v>94.2908476400506</v>
      </c>
      <c r="AJ2491">
        <v>63.696786993301302</v>
      </c>
      <c r="AK2491">
        <v>14.985368680648699</v>
      </c>
      <c r="AL2491">
        <v>83.366531070803404</v>
      </c>
      <c r="AM2491">
        <v>76.213873387703302</v>
      </c>
      <c r="AN2491">
        <v>0.99999997741292401</v>
      </c>
    </row>
    <row r="2492" spans="1:40" x14ac:dyDescent="0.25">
      <c r="A2492" t="str">
        <f>"20190303161923722"</f>
        <v>20190303161923722</v>
      </c>
      <c r="B2492" t="str">
        <f>"1551601163715044"</f>
        <v>1551601163715044</v>
      </c>
      <c r="C2492" t="s">
        <v>40</v>
      </c>
      <c r="D2492">
        <v>4.3675750000000004</v>
      </c>
      <c r="E2492">
        <v>0.58652249999999995</v>
      </c>
      <c r="F2492" t="s">
        <v>49</v>
      </c>
      <c r="G2492">
        <v>-204.4057</v>
      </c>
      <c r="H2492" s="1">
        <v>4.1799049999999999E-6</v>
      </c>
      <c r="I2492">
        <v>284.51150000000001</v>
      </c>
      <c r="J2492">
        <v>-194.81370000000001</v>
      </c>
      <c r="K2492">
        <v>1.1212029999999999</v>
      </c>
      <c r="L2492">
        <v>296.07209999999998</v>
      </c>
      <c r="M2492">
        <v>-0.231214</v>
      </c>
      <c r="N2492">
        <v>-1.33116E-2</v>
      </c>
      <c r="O2492">
        <v>-0.9728118</v>
      </c>
      <c r="P2492">
        <v>-0.45502389999999998</v>
      </c>
      <c r="Q2492">
        <v>0.1024743</v>
      </c>
      <c r="R2492">
        <v>-0.8845634</v>
      </c>
      <c r="S2492">
        <v>-1.9816130000000001</v>
      </c>
      <c r="T2492">
        <v>-0.23106479999999999</v>
      </c>
      <c r="U2492">
        <v>-2.401459</v>
      </c>
      <c r="V2492">
        <v>0.23827200000000001</v>
      </c>
      <c r="W2492">
        <v>0.1150703</v>
      </c>
      <c r="X2492">
        <v>0.96435740000000003</v>
      </c>
      <c r="Y2492">
        <v>0.43932860000000001</v>
      </c>
      <c r="Z2492">
        <v>6.3767889999999994E-2</v>
      </c>
      <c r="AA2492">
        <v>0.89606030000000003</v>
      </c>
      <c r="AB2492">
        <v>10</v>
      </c>
      <c r="AC2492">
        <v>-9.5919999999999792</v>
      </c>
      <c r="AD2492">
        <v>-1.121198820095</v>
      </c>
      <c r="AE2492">
        <v>-11.5605999999999</v>
      </c>
      <c r="AF2492">
        <v>6.6219386066138499</v>
      </c>
      <c r="AG2492">
        <v>-1.121198820095</v>
      </c>
      <c r="AH2492">
        <v>13.390688782054699</v>
      </c>
      <c r="AI2492">
        <v>94.292230104743496</v>
      </c>
      <c r="AJ2492">
        <v>63.6867690036513</v>
      </c>
      <c r="AK2492">
        <v>14.980577551008899</v>
      </c>
      <c r="AL2492">
        <v>83.392319857242299</v>
      </c>
      <c r="AM2492">
        <v>76.121406549393896</v>
      </c>
      <c r="AN2492">
        <v>0.99999995743042402</v>
      </c>
    </row>
    <row r="2493" spans="1:40" x14ac:dyDescent="0.25">
      <c r="A2493" t="str">
        <f>"20190303161923746"</f>
        <v>20190303161923746</v>
      </c>
      <c r="B2493" t="str">
        <f>"1551601163734563"</f>
        <v>1551601163734563</v>
      </c>
      <c r="C2493" t="s">
        <v>40</v>
      </c>
      <c r="D2493">
        <v>4.3779300000000001</v>
      </c>
      <c r="E2493">
        <v>0.58622450000000004</v>
      </c>
      <c r="F2493" t="s">
        <v>49</v>
      </c>
      <c r="G2493">
        <v>-204.53049999999999</v>
      </c>
      <c r="H2493" s="1">
        <v>4.2496169999999998E-6</v>
      </c>
      <c r="I2493">
        <v>284.34690000000001</v>
      </c>
      <c r="J2493">
        <v>-194.8399</v>
      </c>
      <c r="K2493">
        <v>1.1212040000000001</v>
      </c>
      <c r="L2493">
        <v>295.96969999999999</v>
      </c>
      <c r="M2493">
        <v>-0.2326752</v>
      </c>
      <c r="N2493">
        <v>-1.330842E-2</v>
      </c>
      <c r="O2493">
        <v>-0.97246359999999998</v>
      </c>
      <c r="P2493">
        <v>-0.45716459999999998</v>
      </c>
      <c r="Q2493">
        <v>0.1022995</v>
      </c>
      <c r="R2493">
        <v>-0.88347929999999997</v>
      </c>
      <c r="S2493">
        <v>-1.985962</v>
      </c>
      <c r="T2493">
        <v>-0.229157</v>
      </c>
      <c r="U2493">
        <v>-2.3964539999999999</v>
      </c>
      <c r="V2493">
        <v>0.23915320000000001</v>
      </c>
      <c r="W2493">
        <v>0.1148917</v>
      </c>
      <c r="X2493">
        <v>0.96416060000000003</v>
      </c>
      <c r="Y2493">
        <v>0.43988759999999999</v>
      </c>
      <c r="Z2493">
        <v>6.3187439999999997E-2</v>
      </c>
      <c r="AA2493">
        <v>0.89582709999999999</v>
      </c>
      <c r="AB2493">
        <v>10</v>
      </c>
      <c r="AC2493">
        <v>-9.6905999999999892</v>
      </c>
      <c r="AD2493">
        <v>-1.121199750383</v>
      </c>
      <c r="AE2493">
        <v>-11.6227999999999</v>
      </c>
      <c r="AF2493">
        <v>6.6833241541520501</v>
      </c>
      <c r="AG2493">
        <v>-1.121199750383</v>
      </c>
      <c r="AH2493">
        <v>13.484686155226299</v>
      </c>
      <c r="AI2493">
        <v>94.260558883530607</v>
      </c>
      <c r="AJ2493">
        <v>63.635914671942302</v>
      </c>
      <c r="AK2493">
        <v>15.091741825736401</v>
      </c>
      <c r="AL2493">
        <v>83.402621548677104</v>
      </c>
      <c r="AM2493">
        <v>76.069342024443301</v>
      </c>
      <c r="AN2493">
        <v>1.0000000091957399</v>
      </c>
    </row>
    <row r="2494" spans="1:40" x14ac:dyDescent="0.25">
      <c r="A2494" t="str">
        <f>"20190303161923768"</f>
        <v>20190303161923768</v>
      </c>
      <c r="B2494" t="str">
        <f>"1551601163764820"</f>
        <v>1551601163764820</v>
      </c>
      <c r="C2494" t="s">
        <v>40</v>
      </c>
      <c r="D2494">
        <v>4.3449790000000004</v>
      </c>
      <c r="E2494">
        <v>0.58833409999999997</v>
      </c>
      <c r="F2494" t="s">
        <v>49</v>
      </c>
      <c r="G2494">
        <v>-204.66319999999999</v>
      </c>
      <c r="H2494" s="1">
        <v>4.325042E-6</v>
      </c>
      <c r="I2494">
        <v>284.15719999999999</v>
      </c>
      <c r="J2494">
        <v>-194.86519999999999</v>
      </c>
      <c r="K2494">
        <v>1.121208</v>
      </c>
      <c r="L2494">
        <v>295.87119999999999</v>
      </c>
      <c r="M2494">
        <v>-0.23408599999999999</v>
      </c>
      <c r="N2494">
        <v>-1.32999E-2</v>
      </c>
      <c r="O2494">
        <v>-0.97212489999999996</v>
      </c>
      <c r="P2494">
        <v>-0.45961999999999997</v>
      </c>
      <c r="Q2494">
        <v>0.10244499999999999</v>
      </c>
      <c r="R2494">
        <v>-0.88218750000000001</v>
      </c>
      <c r="S2494">
        <v>-1.9895320000000001</v>
      </c>
      <c r="T2494">
        <v>-0.22708030000000001</v>
      </c>
      <c r="U2494">
        <v>-2.3924259999999999</v>
      </c>
      <c r="V2494">
        <v>0.24044099999999999</v>
      </c>
      <c r="W2494">
        <v>0.1150248</v>
      </c>
      <c r="X2494">
        <v>0.96382440000000003</v>
      </c>
      <c r="Y2494">
        <v>0.44014449999999999</v>
      </c>
      <c r="Z2494">
        <v>6.2545660000000003E-2</v>
      </c>
      <c r="AA2494">
        <v>0.89574589999999998</v>
      </c>
      <c r="AB2494">
        <v>10</v>
      </c>
      <c r="AC2494">
        <v>-9.798</v>
      </c>
      <c r="AD2494">
        <v>-1.1212036749580001</v>
      </c>
      <c r="AE2494">
        <v>-11.714</v>
      </c>
      <c r="AF2494">
        <v>6.7470285497387401</v>
      </c>
      <c r="AG2494">
        <v>-1.1212036749580001</v>
      </c>
      <c r="AH2494">
        <v>13.608901253868</v>
      </c>
      <c r="AI2494">
        <v>94.221563380669593</v>
      </c>
      <c r="AJ2494">
        <v>63.628680399585399</v>
      </c>
      <c r="AK2494">
        <v>15.2309449893714</v>
      </c>
      <c r="AL2494">
        <v>83.394944699946294</v>
      </c>
      <c r="AM2494">
        <v>75.992579712866899</v>
      </c>
      <c r="AN2494">
        <v>1.0000000265656901</v>
      </c>
    </row>
    <row r="2495" spans="1:40" x14ac:dyDescent="0.25">
      <c r="A2495" t="str">
        <f>"20190303161923791"</f>
        <v>20190303161923791</v>
      </c>
      <c r="B2495" t="str">
        <f>"1551601163785316"</f>
        <v>1551601163785316</v>
      </c>
      <c r="C2495" t="s">
        <v>40</v>
      </c>
      <c r="D2495">
        <v>4.5604809999999896</v>
      </c>
      <c r="E2495">
        <v>0.58970040000000001</v>
      </c>
      <c r="F2495" t="s">
        <v>49</v>
      </c>
      <c r="G2495">
        <v>-204.58150000000001</v>
      </c>
      <c r="H2495" s="1">
        <v>4.2700179999999998E-6</v>
      </c>
      <c r="I2495">
        <v>284.37240000000003</v>
      </c>
      <c r="J2495">
        <v>-194.89179999999999</v>
      </c>
      <c r="K2495">
        <v>1.1212</v>
      </c>
      <c r="L2495">
        <v>295.7688</v>
      </c>
      <c r="M2495">
        <v>-0.2355583</v>
      </c>
      <c r="N2495">
        <v>-1.328415E-2</v>
      </c>
      <c r="O2495">
        <v>-0.97176949999999995</v>
      </c>
      <c r="P2495">
        <v>-0.46177699999999999</v>
      </c>
      <c r="Q2495">
        <v>0.101479</v>
      </c>
      <c r="R2495">
        <v>-0.88117230000000002</v>
      </c>
      <c r="S2495">
        <v>-2.0109409999999999</v>
      </c>
      <c r="T2495">
        <v>-0.23205210000000001</v>
      </c>
      <c r="U2495">
        <v>-2.379883</v>
      </c>
      <c r="V2495">
        <v>0.24131320000000001</v>
      </c>
      <c r="W2495">
        <v>0.1140409</v>
      </c>
      <c r="X2495">
        <v>0.96372329999999995</v>
      </c>
      <c r="Y2495">
        <v>0.44574160000000002</v>
      </c>
      <c r="Z2495">
        <v>6.4164460000000006E-2</v>
      </c>
      <c r="AA2495">
        <v>0.89285910000000002</v>
      </c>
      <c r="AB2495">
        <v>10</v>
      </c>
      <c r="AC2495">
        <v>-9.6897000000000109</v>
      </c>
      <c r="AD2495">
        <v>-1.1211957299819999</v>
      </c>
      <c r="AE2495">
        <v>-11.3963999999999</v>
      </c>
      <c r="AF2495">
        <v>6.6946229782134896</v>
      </c>
      <c r="AG2495">
        <v>-1.1211957299819999</v>
      </c>
      <c r="AH2495">
        <v>13.283716004844001</v>
      </c>
      <c r="AI2495">
        <v>94.310398320427794</v>
      </c>
      <c r="AJ2495">
        <v>63.253168095523897</v>
      </c>
      <c r="AK2495">
        <v>14.9175121110292</v>
      </c>
      <c r="AL2495">
        <v>83.4516912227418</v>
      </c>
      <c r="AM2495">
        <v>75.942362617281404</v>
      </c>
      <c r="AN2495">
        <v>0.99999999316497001</v>
      </c>
    </row>
    <row r="2496" spans="1:40" x14ac:dyDescent="0.25">
      <c r="A2496" t="str">
        <f>"20190303161923815"</f>
        <v>20190303161923815</v>
      </c>
      <c r="B2496" t="str">
        <f>"1551601163804836"</f>
        <v>1551601163804836</v>
      </c>
      <c r="C2496" t="s">
        <v>40</v>
      </c>
      <c r="D2496">
        <v>4.5148739999999998</v>
      </c>
      <c r="E2496">
        <v>0.59077919999999995</v>
      </c>
      <c r="F2496" t="s">
        <v>49</v>
      </c>
      <c r="G2496">
        <v>-204.00980000000001</v>
      </c>
      <c r="H2496" s="1">
        <v>3.9528810000000004E-6</v>
      </c>
      <c r="I2496">
        <v>285.10019999999997</v>
      </c>
      <c r="J2496">
        <v>-194.9187</v>
      </c>
      <c r="K2496">
        <v>1.121183</v>
      </c>
      <c r="L2496">
        <v>295.6653</v>
      </c>
      <c r="M2496">
        <v>-0.23705480000000001</v>
      </c>
      <c r="N2496">
        <v>-1.326508E-2</v>
      </c>
      <c r="O2496">
        <v>-0.97140590000000004</v>
      </c>
      <c r="P2496">
        <v>-0.4633505</v>
      </c>
      <c r="Q2496">
        <v>9.9862049999999994E-2</v>
      </c>
      <c r="R2496">
        <v>-0.88053079999999995</v>
      </c>
      <c r="S2496">
        <v>-2.0265659999999999</v>
      </c>
      <c r="T2496">
        <v>-0.2491951</v>
      </c>
      <c r="U2496">
        <v>-2.3711850000000001</v>
      </c>
      <c r="V2496">
        <v>0.24150650000000001</v>
      </c>
      <c r="W2496">
        <v>0.1124045</v>
      </c>
      <c r="X2496">
        <v>0.96386709999999998</v>
      </c>
      <c r="Y2496">
        <v>0.44912200000000002</v>
      </c>
      <c r="Z2496">
        <v>6.9753250000000003E-2</v>
      </c>
      <c r="AA2496">
        <v>0.89074339999999996</v>
      </c>
      <c r="AB2496">
        <v>10</v>
      </c>
      <c r="AC2496">
        <v>-9.0911000000000097</v>
      </c>
      <c r="AD2496">
        <v>-1.121179047119</v>
      </c>
      <c r="AE2496">
        <v>-10.565099999999999</v>
      </c>
      <c r="AF2496">
        <v>6.2865184283980602</v>
      </c>
      <c r="AG2496">
        <v>-1.121179047119</v>
      </c>
      <c r="AH2496">
        <v>12.3393367338736</v>
      </c>
      <c r="AI2496">
        <v>94.628606586732204</v>
      </c>
      <c r="AJ2496">
        <v>63.002535016590897</v>
      </c>
      <c r="AK2496">
        <v>13.893760737763101</v>
      </c>
      <c r="AL2496">
        <v>83.546056727984706</v>
      </c>
      <c r="AM2496">
        <v>75.933564536769396</v>
      </c>
      <c r="AN2496">
        <v>0.99999997381245398</v>
      </c>
    </row>
    <row r="2497" spans="1:40" x14ac:dyDescent="0.25">
      <c r="A2497" t="str">
        <f>"20190303161923836"</f>
        <v>20190303161923836</v>
      </c>
      <c r="B2497" t="str">
        <f>"1551601163825331"</f>
        <v>1551601163825331</v>
      </c>
      <c r="C2497" t="s">
        <v>40</v>
      </c>
      <c r="D2497">
        <v>4.4959189999999998</v>
      </c>
      <c r="E2497">
        <v>0.59166479999999999</v>
      </c>
      <c r="F2497" t="s">
        <v>49</v>
      </c>
      <c r="G2497">
        <v>-203.45570000000001</v>
      </c>
      <c r="H2497" s="1">
        <v>3.6492269999999998E-6</v>
      </c>
      <c r="I2497">
        <v>285.7629</v>
      </c>
      <c r="J2497">
        <v>-194.94390000000001</v>
      </c>
      <c r="K2497">
        <v>1.121164</v>
      </c>
      <c r="L2497">
        <v>295.56939999999997</v>
      </c>
      <c r="M2497">
        <v>-0.23845859999999999</v>
      </c>
      <c r="N2497">
        <v>-1.324824E-2</v>
      </c>
      <c r="O2497">
        <v>-0.97106250000000005</v>
      </c>
      <c r="P2497">
        <v>-0.4640261</v>
      </c>
      <c r="Q2497">
        <v>9.8217059999999995E-2</v>
      </c>
      <c r="R2497">
        <v>-0.88036009999999998</v>
      </c>
      <c r="S2497">
        <v>-2.038589</v>
      </c>
      <c r="T2497">
        <v>-0.26773170000000002</v>
      </c>
      <c r="U2497">
        <v>-2.364655</v>
      </c>
      <c r="V2497">
        <v>0.24080840000000001</v>
      </c>
      <c r="W2497">
        <v>0.1107441</v>
      </c>
      <c r="X2497">
        <v>0.96423389999999998</v>
      </c>
      <c r="Y2497">
        <v>0.45134239999999998</v>
      </c>
      <c r="Z2497">
        <v>7.5781940000000006E-2</v>
      </c>
      <c r="AA2497">
        <v>0.88912719999999901</v>
      </c>
      <c r="AB2497">
        <v>10</v>
      </c>
      <c r="AC2497">
        <v>-8.5117999999999903</v>
      </c>
      <c r="AD2497">
        <v>-1.1211603507729999</v>
      </c>
      <c r="AE2497">
        <v>-9.8064999999999696</v>
      </c>
      <c r="AF2497">
        <v>5.8837032262405398</v>
      </c>
      <c r="AG2497">
        <v>-1.1211603507729999</v>
      </c>
      <c r="AH2497">
        <v>11.4679576069592</v>
      </c>
      <c r="AI2497">
        <v>94.971322534436993</v>
      </c>
      <c r="AJ2497">
        <v>62.839641231782501</v>
      </c>
      <c r="AK2497">
        <v>12.937890703728799</v>
      </c>
      <c r="AL2497">
        <v>83.641788417635894</v>
      </c>
      <c r="AM2497">
        <v>75.9777430005079</v>
      </c>
      <c r="AN2497">
        <v>0.99999997755228898</v>
      </c>
    </row>
    <row r="2498" spans="1:40" x14ac:dyDescent="0.25">
      <c r="A2498" t="str">
        <f>"20190303161923858"</f>
        <v>20190303161923858</v>
      </c>
      <c r="B2498" t="str">
        <f>"1551601163854612"</f>
        <v>1551601163854612</v>
      </c>
      <c r="C2498" t="s">
        <v>40</v>
      </c>
      <c r="D2498">
        <v>4.5286850000000003</v>
      </c>
      <c r="E2498">
        <v>0.59283050000000004</v>
      </c>
      <c r="F2498" t="s">
        <v>49</v>
      </c>
      <c r="G2498">
        <v>-203.012</v>
      </c>
      <c r="H2498" s="1">
        <v>3.408321E-6</v>
      </c>
      <c r="I2498">
        <v>286.26749999999998</v>
      </c>
      <c r="J2498">
        <v>-194.9693</v>
      </c>
      <c r="K2498">
        <v>1.121146</v>
      </c>
      <c r="L2498">
        <v>295.47309999999999</v>
      </c>
      <c r="M2498">
        <v>-0.23989350000000001</v>
      </c>
      <c r="N2498">
        <v>-1.323325E-2</v>
      </c>
      <c r="O2498">
        <v>-0.97070919999999905</v>
      </c>
      <c r="P2498">
        <v>-0.46461520000000001</v>
      </c>
      <c r="Q2498">
        <v>9.6996609999999997E-2</v>
      </c>
      <c r="R2498">
        <v>-0.88018469999999904</v>
      </c>
      <c r="S2498">
        <v>-2.047256</v>
      </c>
      <c r="T2498">
        <v>-0.284493</v>
      </c>
      <c r="U2498">
        <v>-2.3603519999999998</v>
      </c>
      <c r="V2498">
        <v>0.23999690000000001</v>
      </c>
      <c r="W2498">
        <v>0.1095076</v>
      </c>
      <c r="X2498">
        <v>0.96457740000000003</v>
      </c>
      <c r="Y2498">
        <v>0.45239479999999999</v>
      </c>
      <c r="Z2498">
        <v>8.1212430000000002E-2</v>
      </c>
      <c r="AA2498">
        <v>0.88811240000000002</v>
      </c>
      <c r="AB2498">
        <v>10</v>
      </c>
      <c r="AC2498">
        <v>-8.0426999999999893</v>
      </c>
      <c r="AD2498">
        <v>-1.1211425916790001</v>
      </c>
      <c r="AE2498">
        <v>-9.2056000000000004</v>
      </c>
      <c r="AF2498">
        <v>5.5525416323829697</v>
      </c>
      <c r="AG2498">
        <v>-1.1211425916790001</v>
      </c>
      <c r="AH2498">
        <v>10.775658798083001</v>
      </c>
      <c r="AI2498">
        <v>95.284106191219607</v>
      </c>
      <c r="AJ2498">
        <v>62.738601408926797</v>
      </c>
      <c r="AK2498">
        <v>12.173844989276301</v>
      </c>
      <c r="AL2498">
        <v>83.713068304730299</v>
      </c>
      <c r="AM2498">
        <v>76.027923538339294</v>
      </c>
      <c r="AN2498">
        <v>0.99999999352906499</v>
      </c>
    </row>
    <row r="2499" spans="1:40" x14ac:dyDescent="0.25">
      <c r="A2499" t="str">
        <f>"20190303161923880"</f>
        <v>20190303161923880</v>
      </c>
      <c r="B2499" t="str">
        <f>"1551601163875108"</f>
        <v>1551601163875108</v>
      </c>
      <c r="C2499" t="s">
        <v>40</v>
      </c>
      <c r="D2499">
        <v>4.4437490000000004</v>
      </c>
      <c r="E2499">
        <v>0.59369189999999905</v>
      </c>
      <c r="F2499" t="s">
        <v>49</v>
      </c>
      <c r="G2499">
        <v>-202.5985</v>
      </c>
      <c r="H2499" s="1">
        <v>3.1836439999999998E-6</v>
      </c>
      <c r="I2499">
        <v>286.74040000000002</v>
      </c>
      <c r="J2499">
        <v>-194.99539999999999</v>
      </c>
      <c r="K2499">
        <v>1.1211169999999999</v>
      </c>
      <c r="L2499">
        <v>295.37509999999997</v>
      </c>
      <c r="M2499">
        <v>-0.24138760000000001</v>
      </c>
      <c r="N2499">
        <v>-1.3219359999999999E-2</v>
      </c>
      <c r="O2499">
        <v>-0.97033879999999995</v>
      </c>
      <c r="P2499">
        <v>-0.46538390000000002</v>
      </c>
      <c r="Q2499">
        <v>9.6044180000000007E-2</v>
      </c>
      <c r="R2499">
        <v>-0.87988310000000003</v>
      </c>
      <c r="S2499">
        <v>-2.0577999999999999</v>
      </c>
      <c r="T2499">
        <v>-0.30240250000000002</v>
      </c>
      <c r="U2499">
        <v>-2.3554689999999998</v>
      </c>
      <c r="V2499">
        <v>0.23933170000000001</v>
      </c>
      <c r="W2499">
        <v>0.10853640000000001</v>
      </c>
      <c r="X2499">
        <v>0.96485240000000005</v>
      </c>
      <c r="Y2499">
        <v>0.45385350000000002</v>
      </c>
      <c r="Z2499">
        <v>8.6982169999999998E-2</v>
      </c>
      <c r="AA2499">
        <v>0.88682070000000002</v>
      </c>
      <c r="AB2499">
        <v>10</v>
      </c>
      <c r="AC2499">
        <v>-7.6031000000000102</v>
      </c>
      <c r="AD2499">
        <v>-1.1211138163559999</v>
      </c>
      <c r="AE2499">
        <v>-8.6346999999999507</v>
      </c>
      <c r="AF2499">
        <v>5.2439409492679196</v>
      </c>
      <c r="AG2499">
        <v>-1.1211138163559999</v>
      </c>
      <c r="AH2499">
        <v>10.118686765367</v>
      </c>
      <c r="AI2499">
        <v>95.618170325484499</v>
      </c>
      <c r="AJ2499">
        <v>62.604856524012</v>
      </c>
      <c r="AK2499">
        <v>11.451796135290101</v>
      </c>
      <c r="AL2499">
        <v>83.769047578226804</v>
      </c>
      <c r="AM2499">
        <v>76.068955812099105</v>
      </c>
      <c r="AN2499">
        <v>0.99999998326780504</v>
      </c>
    </row>
    <row r="2500" spans="1:40" x14ac:dyDescent="0.25">
      <c r="A2500" t="str">
        <f>"20190303161923902"</f>
        <v>20190303161923902</v>
      </c>
      <c r="B2500" t="str">
        <f>"1551601163894628"</f>
        <v>1551601163894628</v>
      </c>
      <c r="C2500" t="s">
        <v>40</v>
      </c>
      <c r="D2500">
        <v>4.5509820000000003</v>
      </c>
      <c r="E2500">
        <v>0.59447209999999995</v>
      </c>
      <c r="F2500" t="s">
        <v>49</v>
      </c>
      <c r="G2500">
        <v>-202.40610000000001</v>
      </c>
      <c r="H2500" s="1">
        <v>3.0803439999999999E-6</v>
      </c>
      <c r="I2500">
        <v>286.94569999999999</v>
      </c>
      <c r="J2500">
        <v>-195.0214</v>
      </c>
      <c r="K2500">
        <v>1.1210869999999999</v>
      </c>
      <c r="L2500">
        <v>295.2783</v>
      </c>
      <c r="M2500">
        <v>-0.2429048</v>
      </c>
      <c r="N2500">
        <v>-1.320696E-2</v>
      </c>
      <c r="O2500">
        <v>-0.9699605</v>
      </c>
      <c r="P2500">
        <v>-0.46616190000000002</v>
      </c>
      <c r="Q2500">
        <v>9.4776239999999998E-2</v>
      </c>
      <c r="R2500">
        <v>-0.87960859999999996</v>
      </c>
      <c r="S2500">
        <v>-2.066513</v>
      </c>
      <c r="T2500">
        <v>-0.31263079999999999</v>
      </c>
      <c r="U2500">
        <v>-2.350616</v>
      </c>
      <c r="V2500">
        <v>0.23864550000000001</v>
      </c>
      <c r="W2500">
        <v>0.10724980000000001</v>
      </c>
      <c r="X2500">
        <v>0.96516619999999997</v>
      </c>
      <c r="Y2500">
        <v>0.4550207</v>
      </c>
      <c r="Z2500">
        <v>9.0274820000000006E-2</v>
      </c>
      <c r="AA2500">
        <v>0.88589309999999999</v>
      </c>
      <c r="AB2500">
        <v>10</v>
      </c>
      <c r="AC2500">
        <v>-7.3846999999999996</v>
      </c>
      <c r="AD2500">
        <v>-1.1210839196560001</v>
      </c>
      <c r="AE2500">
        <v>-8.33260000000001</v>
      </c>
      <c r="AF2500">
        <v>5.0877039398888897</v>
      </c>
      <c r="AG2500">
        <v>-1.1210839196560001</v>
      </c>
      <c r="AH2500">
        <v>9.7777985229123896</v>
      </c>
      <c r="AI2500">
        <v>95.807636380974898</v>
      </c>
      <c r="AJ2500">
        <v>62.510585584545296</v>
      </c>
      <c r="AK2500">
        <v>11.0791202037679</v>
      </c>
      <c r="AL2500">
        <v>83.843197248944307</v>
      </c>
      <c r="AM2500">
        <v>76.111690842376802</v>
      </c>
      <c r="AN2500">
        <v>0.99999999394636496</v>
      </c>
    </row>
    <row r="2501" spans="1:40" x14ac:dyDescent="0.25">
      <c r="A2501" t="str">
        <f>"20190303161923924"</f>
        <v>20190303161923924</v>
      </c>
      <c r="B2501" t="str">
        <f>"1551601163915124"</f>
        <v>1551601163915124</v>
      </c>
      <c r="C2501" t="s">
        <v>40</v>
      </c>
      <c r="D2501">
        <v>4.5456969999999997</v>
      </c>
      <c r="E2501">
        <v>0.59524189999999999</v>
      </c>
      <c r="F2501" t="s">
        <v>49</v>
      </c>
      <c r="G2501">
        <v>-202.2116</v>
      </c>
      <c r="H2501" s="1">
        <v>2.9762960000000001E-6</v>
      </c>
      <c r="I2501">
        <v>287.14920000000001</v>
      </c>
      <c r="J2501">
        <v>-195.04750000000001</v>
      </c>
      <c r="K2501">
        <v>1.1210629999999999</v>
      </c>
      <c r="L2501">
        <v>295.18200000000002</v>
      </c>
      <c r="M2501">
        <v>-0.2444559</v>
      </c>
      <c r="N2501">
        <v>-1.3195709999999999E-2</v>
      </c>
      <c r="O2501">
        <v>-0.96957070000000001</v>
      </c>
      <c r="P2501">
        <v>-0.46723429999999999</v>
      </c>
      <c r="Q2501">
        <v>9.4190800000000005E-2</v>
      </c>
      <c r="R2501">
        <v>-0.8791021</v>
      </c>
      <c r="S2501">
        <v>-2.074875</v>
      </c>
      <c r="T2501">
        <v>-0.32351220000000003</v>
      </c>
      <c r="U2501">
        <v>-2.345825</v>
      </c>
      <c r="V2501">
        <v>0.23826800000000001</v>
      </c>
      <c r="W2501">
        <v>0.1066435</v>
      </c>
      <c r="X2501">
        <v>0.96532669999999998</v>
      </c>
      <c r="Y2501">
        <v>0.45604319999999998</v>
      </c>
      <c r="Z2501">
        <v>9.3774949999999996E-2</v>
      </c>
      <c r="AA2501">
        <v>0.88500330000000005</v>
      </c>
      <c r="AB2501">
        <v>10</v>
      </c>
      <c r="AC2501">
        <v>-7.1640999999999897</v>
      </c>
      <c r="AD2501">
        <v>-1.12106002370399</v>
      </c>
      <c r="AE2501">
        <v>-8.0327999999999999</v>
      </c>
      <c r="AF2501">
        <v>4.92939410125802</v>
      </c>
      <c r="AG2501">
        <v>-1.12106002370399</v>
      </c>
      <c r="AH2501">
        <v>9.4381166107835295</v>
      </c>
      <c r="AI2501">
        <v>96.010242861829099</v>
      </c>
      <c r="AJ2501">
        <v>62.422574812444097</v>
      </c>
      <c r="AK2501">
        <v>10.7067150396848</v>
      </c>
      <c r="AL2501">
        <v>83.878136449702694</v>
      </c>
      <c r="AM2501">
        <v>76.135028074145495</v>
      </c>
      <c r="AN2501">
        <v>1.0000000568245599</v>
      </c>
    </row>
    <row r="2502" spans="1:40" x14ac:dyDescent="0.25">
      <c r="A2502" t="str">
        <f>"20190303161923949"</f>
        <v>20190303161923949</v>
      </c>
      <c r="B2502" t="str">
        <f>"1551601163934643"</f>
        <v>1551601163934643</v>
      </c>
      <c r="C2502" t="s">
        <v>40</v>
      </c>
      <c r="D2502">
        <v>4.5265810000000002</v>
      </c>
      <c r="E2502">
        <v>0.59590829999999995</v>
      </c>
      <c r="F2502" t="s">
        <v>49</v>
      </c>
      <c r="G2502">
        <v>-202.09200000000001</v>
      </c>
      <c r="H2502" s="1">
        <v>2.9130159999999999E-6</v>
      </c>
      <c r="I2502">
        <v>287.26670000000001</v>
      </c>
      <c r="J2502">
        <v>-195.07560000000001</v>
      </c>
      <c r="K2502">
        <v>1.121046</v>
      </c>
      <c r="L2502">
        <v>295.07889999999998</v>
      </c>
      <c r="M2502">
        <v>-0.24616759999999999</v>
      </c>
      <c r="N2502">
        <v>-1.318537E-2</v>
      </c>
      <c r="O2502">
        <v>-0.96913760000000004</v>
      </c>
      <c r="P2502">
        <v>-0.46889249999999999</v>
      </c>
      <c r="Q2502">
        <v>9.5193479999999997E-2</v>
      </c>
      <c r="R2502">
        <v>-0.87811059999999996</v>
      </c>
      <c r="S2502">
        <v>-2.0833279999999998</v>
      </c>
      <c r="T2502">
        <v>-0.33153670000000002</v>
      </c>
      <c r="U2502">
        <v>-2.3408199999999999</v>
      </c>
      <c r="V2502">
        <v>0.23841909999999999</v>
      </c>
      <c r="W2502">
        <v>0.10762099999999999</v>
      </c>
      <c r="X2502">
        <v>0.96518090000000001</v>
      </c>
      <c r="Y2502">
        <v>0.4570263</v>
      </c>
      <c r="Z2502">
        <v>9.6345860000000005E-2</v>
      </c>
      <c r="AA2502">
        <v>0.88421970000000005</v>
      </c>
      <c r="AB2502">
        <v>10</v>
      </c>
      <c r="AC2502">
        <v>-7.0164</v>
      </c>
      <c r="AD2502">
        <v>-1.121043086984</v>
      </c>
      <c r="AE2502">
        <v>-7.8121999999999598</v>
      </c>
      <c r="AF2502">
        <v>4.8222073434833996</v>
      </c>
      <c r="AG2502">
        <v>-1.121043086984</v>
      </c>
      <c r="AH2502">
        <v>9.1943193113672006</v>
      </c>
      <c r="AI2502">
        <v>96.162798286058404</v>
      </c>
      <c r="AJ2502">
        <v>62.3240313790958</v>
      </c>
      <c r="AK2502">
        <v>10.4425058709966</v>
      </c>
      <c r="AL2502">
        <v>83.821805638992799</v>
      </c>
      <c r="AM2502">
        <v>76.124560293486695</v>
      </c>
      <c r="AN2502">
        <v>1.0000000583052999</v>
      </c>
    </row>
    <row r="2503" spans="1:40" x14ac:dyDescent="0.25">
      <c r="A2503" t="str">
        <f>"20190303161923970"</f>
        <v>20190303161923970</v>
      </c>
      <c r="B2503" t="str">
        <f>"1551601163964900"</f>
        <v>1551601163964900</v>
      </c>
      <c r="C2503" t="s">
        <v>40</v>
      </c>
      <c r="D2503">
        <v>4.6326619999999998</v>
      </c>
      <c r="E2503">
        <v>0.59679879999999996</v>
      </c>
      <c r="F2503" t="s">
        <v>49</v>
      </c>
      <c r="G2503">
        <v>-202.0908</v>
      </c>
      <c r="H2503" s="1">
        <v>2.913701E-6</v>
      </c>
      <c r="I2503">
        <v>287.25240000000002</v>
      </c>
      <c r="J2503">
        <v>-195.10169999999999</v>
      </c>
      <c r="K2503">
        <v>1.1210279999999999</v>
      </c>
      <c r="L2503">
        <v>294.98430000000002</v>
      </c>
      <c r="M2503">
        <v>-0.24778130000000001</v>
      </c>
      <c r="N2503">
        <v>-1.317712E-2</v>
      </c>
      <c r="O2503">
        <v>-0.96872670000000005</v>
      </c>
      <c r="P2503">
        <v>-0.47110459999999899</v>
      </c>
      <c r="Q2503">
        <v>9.5462350000000001E-2</v>
      </c>
      <c r="R2503">
        <v>-0.87689680000000003</v>
      </c>
      <c r="S2503">
        <v>-2.0929869999999999</v>
      </c>
      <c r="T2503">
        <v>-0.33446629999999999</v>
      </c>
      <c r="U2503">
        <v>-2.3350520000000001</v>
      </c>
      <c r="V2503">
        <v>0.2392579</v>
      </c>
      <c r="W2503">
        <v>0.10786750000000001</v>
      </c>
      <c r="X2503">
        <v>0.96494570000000002</v>
      </c>
      <c r="Y2503">
        <v>0.45859919999999998</v>
      </c>
      <c r="Z2503">
        <v>9.7264240000000002E-2</v>
      </c>
      <c r="AA2503">
        <v>0.88330429999999904</v>
      </c>
      <c r="AB2503">
        <v>10</v>
      </c>
      <c r="AC2503">
        <v>-6.9890999999999996</v>
      </c>
      <c r="AD2503">
        <v>-1.1210250862989899</v>
      </c>
      <c r="AE2503">
        <v>-7.7318999999999898</v>
      </c>
      <c r="AF2503">
        <v>4.79960275334866</v>
      </c>
      <c r="AG2503">
        <v>-1.1210250862989899</v>
      </c>
      <c r="AH2503">
        <v>9.1171907383434796</v>
      </c>
      <c r="AI2503">
        <v>96.209460319005402</v>
      </c>
      <c r="AJ2503">
        <v>62.236138344434103</v>
      </c>
      <c r="AK2503">
        <v>10.364171495754</v>
      </c>
      <c r="AL2503">
        <v>83.8075989954786</v>
      </c>
      <c r="AM2503">
        <v>76.074378503993302</v>
      </c>
      <c r="AN2503">
        <v>0.99999997210857405</v>
      </c>
    </row>
    <row r="2504" spans="1:40" x14ac:dyDescent="0.25">
      <c r="A2504" t="str">
        <f>"20190303161923994"</f>
        <v>20190303161923994</v>
      </c>
      <c r="B2504" t="str">
        <f>"1551601163985396"</f>
        <v>1551601163985396</v>
      </c>
      <c r="C2504" t="s">
        <v>40</v>
      </c>
      <c r="D2504">
        <v>4.67483</v>
      </c>
      <c r="E2504">
        <v>0.5973368</v>
      </c>
      <c r="F2504" t="s">
        <v>49</v>
      </c>
      <c r="G2504">
        <v>-201.97460000000001</v>
      </c>
      <c r="H2504" s="1">
        <v>2.850574E-6</v>
      </c>
      <c r="I2504">
        <v>287.3852</v>
      </c>
      <c r="J2504">
        <v>-195.12970000000001</v>
      </c>
      <c r="K2504">
        <v>1.1210169999999999</v>
      </c>
      <c r="L2504">
        <v>294.8836</v>
      </c>
      <c r="M2504">
        <v>-0.2495356</v>
      </c>
      <c r="N2504">
        <v>-1.3169169999999999E-2</v>
      </c>
      <c r="O2504">
        <v>-0.96827609999999997</v>
      </c>
      <c r="P2504">
        <v>-0.47345530000000002</v>
      </c>
      <c r="Q2504">
        <v>9.5168320000000001E-2</v>
      </c>
      <c r="R2504">
        <v>-0.87566169999999999</v>
      </c>
      <c r="S2504">
        <v>-2.1051790000000001</v>
      </c>
      <c r="T2504">
        <v>-0.34337119999999999</v>
      </c>
      <c r="U2504">
        <v>-2.3276059999999998</v>
      </c>
      <c r="V2504">
        <v>0.24009420000000001</v>
      </c>
      <c r="W2504">
        <v>0.1075561</v>
      </c>
      <c r="X2504">
        <v>0.96477279999999999</v>
      </c>
      <c r="Y2504">
        <v>0.46074500000000002</v>
      </c>
      <c r="Z2504">
        <v>0.10010570000000001</v>
      </c>
      <c r="AA2504">
        <v>0.88186900000000001</v>
      </c>
      <c r="AB2504">
        <v>10</v>
      </c>
      <c r="AC2504">
        <v>-6.8448999999999902</v>
      </c>
      <c r="AD2504">
        <v>-1.121014149426</v>
      </c>
      <c r="AE2504">
        <v>-7.4984000000000002</v>
      </c>
      <c r="AF2504">
        <v>4.6997512095615699</v>
      </c>
      <c r="AG2504">
        <v>-1.121014149426</v>
      </c>
      <c r="AH2504">
        <v>8.8613135357552792</v>
      </c>
      <c r="AI2504">
        <v>96.376957476233201</v>
      </c>
      <c r="AJ2504">
        <v>62.059981742499502</v>
      </c>
      <c r="AK2504">
        <v>10.0929287986168</v>
      </c>
      <c r="AL2504">
        <v>83.825545778327196</v>
      </c>
      <c r="AM2504">
        <v>76.025200971786703</v>
      </c>
      <c r="AN2504">
        <v>1.0000000475703399</v>
      </c>
    </row>
    <row r="2505" spans="1:40" x14ac:dyDescent="0.25">
      <c r="A2505" t="str">
        <f>"20190303161924015"</f>
        <v>20190303161924015</v>
      </c>
      <c r="B2505" t="str">
        <f>"1551601164004916"</f>
        <v>1551601164004916</v>
      </c>
      <c r="C2505" t="s">
        <v>40</v>
      </c>
      <c r="D2505">
        <v>4.6484699999999997</v>
      </c>
      <c r="E2505">
        <v>0.59790519999999903</v>
      </c>
      <c r="F2505" t="s">
        <v>49</v>
      </c>
      <c r="G2505">
        <v>-201.91309999999999</v>
      </c>
      <c r="H2505" s="1">
        <v>2.818115E-6</v>
      </c>
      <c r="I2505">
        <v>287.44479999999999</v>
      </c>
      <c r="J2505">
        <v>-195.15639999999999</v>
      </c>
      <c r="K2505">
        <v>1.1210150000000001</v>
      </c>
      <c r="L2505">
        <v>294.78809999999999</v>
      </c>
      <c r="M2505">
        <v>-0.25123190000000001</v>
      </c>
      <c r="N2505">
        <v>-1.3162170000000001E-2</v>
      </c>
      <c r="O2505">
        <v>-0.96783779999999997</v>
      </c>
      <c r="P2505">
        <v>-0.47580450000000002</v>
      </c>
      <c r="Q2505">
        <v>9.4472299999999995E-2</v>
      </c>
      <c r="R2505">
        <v>-0.87446360000000001</v>
      </c>
      <c r="S2505">
        <v>-2.1156619999999999</v>
      </c>
      <c r="T2505">
        <v>-0.34962789999999999</v>
      </c>
      <c r="U2505">
        <v>-2.320068</v>
      </c>
      <c r="V2505">
        <v>0.2409762</v>
      </c>
      <c r="W2505">
        <v>0.10684730000000001</v>
      </c>
      <c r="X2505">
        <v>0.96463160000000003</v>
      </c>
      <c r="Y2505">
        <v>0.46264909999999998</v>
      </c>
      <c r="Z2505">
        <v>0.1021239</v>
      </c>
      <c r="AA2505">
        <v>0.88063989999999903</v>
      </c>
      <c r="AB2505">
        <v>10</v>
      </c>
      <c r="AC2505">
        <v>-6.7566999999999897</v>
      </c>
      <c r="AD2505">
        <v>-1.1210121818849901</v>
      </c>
      <c r="AE2505">
        <v>-7.3432999999999904</v>
      </c>
      <c r="AF2505">
        <v>4.6364116739602901</v>
      </c>
      <c r="AG2505">
        <v>-1.1210121818849901</v>
      </c>
      <c r="AH2505">
        <v>8.6956419829725498</v>
      </c>
      <c r="AI2505">
        <v>96.489884111141905</v>
      </c>
      <c r="AJ2505">
        <v>61.933997858721803</v>
      </c>
      <c r="AK2505">
        <v>9.9180225356874701</v>
      </c>
      <c r="AL2505">
        <v>83.866392114522199</v>
      </c>
      <c r="AM2505">
        <v>75.973914489312904</v>
      </c>
      <c r="AN2505">
        <v>0.99999999910114401</v>
      </c>
    </row>
    <row r="2506" spans="1:40" x14ac:dyDescent="0.25">
      <c r="A2506" t="str">
        <f>"20190303161924039"</f>
        <v>20190303161924039</v>
      </c>
      <c r="B2506" t="str">
        <f>"1551601164025411"</f>
        <v>1551601164025411</v>
      </c>
      <c r="C2506" t="s">
        <v>40</v>
      </c>
      <c r="D2506">
        <v>4.6608879999999999</v>
      </c>
      <c r="E2506">
        <v>0.5985106</v>
      </c>
      <c r="F2506" t="s">
        <v>49</v>
      </c>
      <c r="G2506">
        <v>-201.86099999999999</v>
      </c>
      <c r="H2506" s="1">
        <v>2.7903300000000002E-6</v>
      </c>
      <c r="I2506">
        <v>287.49799999999999</v>
      </c>
      <c r="J2506">
        <v>-195.18340000000001</v>
      </c>
      <c r="K2506">
        <v>1.1210169999999999</v>
      </c>
      <c r="L2506">
        <v>294.6927</v>
      </c>
      <c r="M2506">
        <v>-0.2529595</v>
      </c>
      <c r="N2506">
        <v>-1.3155729999999999E-2</v>
      </c>
      <c r="O2506">
        <v>-0.96738749999999996</v>
      </c>
      <c r="P2506">
        <v>-0.4784388</v>
      </c>
      <c r="Q2506">
        <v>9.5032770000000003E-2</v>
      </c>
      <c r="R2506">
        <v>-0.87296359999999995</v>
      </c>
      <c r="S2506">
        <v>-2.1263730000000001</v>
      </c>
      <c r="T2506">
        <v>-0.35553170000000001</v>
      </c>
      <c r="U2506">
        <v>-2.3120729999999998</v>
      </c>
      <c r="V2506">
        <v>0.2421806</v>
      </c>
      <c r="W2506">
        <v>0.107394</v>
      </c>
      <c r="X2506">
        <v>0.96426920000000005</v>
      </c>
      <c r="Y2506">
        <v>0.4646555</v>
      </c>
      <c r="Z2506">
        <v>0.104033</v>
      </c>
      <c r="AA2506">
        <v>0.87935909999999995</v>
      </c>
      <c r="AB2506">
        <v>10</v>
      </c>
      <c r="AC2506">
        <v>-6.6775999999999804</v>
      </c>
      <c r="AD2506">
        <v>-1.12101420967</v>
      </c>
      <c r="AE2506">
        <v>-7.1947000000000099</v>
      </c>
      <c r="AF2506">
        <v>4.5805200092738101</v>
      </c>
      <c r="AG2506">
        <v>-1.12101420967</v>
      </c>
      <c r="AH2506">
        <v>8.5386104699531096</v>
      </c>
      <c r="AI2506">
        <v>96.599329871758997</v>
      </c>
      <c r="AJ2506">
        <v>61.7887580861644</v>
      </c>
      <c r="AK2506">
        <v>9.75426599858916</v>
      </c>
      <c r="AL2506">
        <v>83.834887252189304</v>
      </c>
      <c r="AM2506">
        <v>75.901513681708195</v>
      </c>
      <c r="AN2506">
        <v>1.0000000021605</v>
      </c>
    </row>
    <row r="2507" spans="1:40" x14ac:dyDescent="0.25">
      <c r="A2507" t="str">
        <f>"20190303161924058"</f>
        <v>20190303161924058</v>
      </c>
      <c r="B2507" t="str">
        <f>"1551601164054691"</f>
        <v>1551601164054691</v>
      </c>
      <c r="C2507" t="s">
        <v>40</v>
      </c>
      <c r="D2507">
        <v>4.7366330000000003</v>
      </c>
      <c r="E2507">
        <v>0.59923769999999998</v>
      </c>
      <c r="F2507" t="s">
        <v>49</v>
      </c>
      <c r="G2507">
        <v>-201.8767</v>
      </c>
      <c r="H2507" s="1">
        <v>2.7988889999999999E-6</v>
      </c>
      <c r="I2507">
        <v>287.47969999999998</v>
      </c>
      <c r="J2507">
        <v>-195.20859999999999</v>
      </c>
      <c r="K2507">
        <v>1.1210199999999999</v>
      </c>
      <c r="L2507">
        <v>294.60399999999998</v>
      </c>
      <c r="M2507">
        <v>-0.25459589999999999</v>
      </c>
      <c r="N2507">
        <v>-1.315034E-2</v>
      </c>
      <c r="O2507">
        <v>-0.96695830000000005</v>
      </c>
      <c r="P2507">
        <v>-0.48140680000000002</v>
      </c>
      <c r="Q2507">
        <v>9.6993179999999998E-2</v>
      </c>
      <c r="R2507">
        <v>-0.87111439999999996</v>
      </c>
      <c r="S2507">
        <v>-2.1378629999999998</v>
      </c>
      <c r="T2507">
        <v>-0.35805609999999999</v>
      </c>
      <c r="U2507">
        <v>-2.3038639999999999</v>
      </c>
      <c r="V2507">
        <v>0.24389130000000001</v>
      </c>
      <c r="W2507">
        <v>0.10933610000000001</v>
      </c>
      <c r="X2507">
        <v>0.96361949999999996</v>
      </c>
      <c r="Y2507">
        <v>0.46701809999999999</v>
      </c>
      <c r="Z2507">
        <v>0.1048413</v>
      </c>
      <c r="AA2507">
        <v>0.87801049999999903</v>
      </c>
      <c r="AB2507">
        <v>10</v>
      </c>
      <c r="AC2507">
        <v>-6.6681000000000097</v>
      </c>
      <c r="AD2507">
        <v>-1.121017201111</v>
      </c>
      <c r="AE2507">
        <v>-7.1243000000000603</v>
      </c>
      <c r="AF2507">
        <v>4.5739905746601597</v>
      </c>
      <c r="AG2507">
        <v>-1.121017201111</v>
      </c>
      <c r="AH2507">
        <v>8.4754559696129999</v>
      </c>
      <c r="AI2507">
        <v>96.639218026333296</v>
      </c>
      <c r="AJ2507">
        <v>61.645378660882898</v>
      </c>
      <c r="AK2507">
        <v>9.6959488053060294</v>
      </c>
      <c r="AL2507">
        <v>83.722953583358603</v>
      </c>
      <c r="AM2507">
        <v>75.796754438077102</v>
      </c>
      <c r="AN2507">
        <v>0.999999944879573</v>
      </c>
    </row>
    <row r="2508" spans="1:40" x14ac:dyDescent="0.25">
      <c r="A2508" t="str">
        <f>"20190303161924093"</f>
        <v>20190303161924093</v>
      </c>
      <c r="B2508" t="str">
        <f>"1551601164084948"</f>
        <v>1551601164084948</v>
      </c>
      <c r="C2508" t="s">
        <v>40</v>
      </c>
      <c r="D2508">
        <v>4.7379319999999998</v>
      </c>
      <c r="E2508">
        <v>0.59989630000000005</v>
      </c>
      <c r="F2508" t="s">
        <v>49</v>
      </c>
      <c r="G2508">
        <v>-201.94640000000001</v>
      </c>
      <c r="H2508" s="1">
        <v>2.8351720000000001E-6</v>
      </c>
      <c r="I2508">
        <v>287.41820000000001</v>
      </c>
      <c r="J2508">
        <v>-195.25129999999999</v>
      </c>
      <c r="K2508">
        <v>1.121014</v>
      </c>
      <c r="L2508">
        <v>294.4556</v>
      </c>
      <c r="M2508">
        <v>-0.25739790000000001</v>
      </c>
      <c r="N2508">
        <v>-1.3142610000000001E-2</v>
      </c>
      <c r="O2508">
        <v>-0.96621630000000003</v>
      </c>
      <c r="P2508">
        <v>-0.48702390000000001</v>
      </c>
      <c r="Q2508">
        <v>9.8769350000000006E-2</v>
      </c>
      <c r="R2508">
        <v>-0.86778599999999995</v>
      </c>
      <c r="S2508">
        <v>-2.1516109999999999</v>
      </c>
      <c r="T2508">
        <v>-0.357983099999999</v>
      </c>
      <c r="U2508">
        <v>-2.294708</v>
      </c>
      <c r="V2508">
        <v>0.2473834</v>
      </c>
      <c r="W2508">
        <v>0.1110782</v>
      </c>
      <c r="X2508">
        <v>0.96252950000000004</v>
      </c>
      <c r="Y2508">
        <v>0.46901330000000002</v>
      </c>
      <c r="Z2508">
        <v>0.1047797</v>
      </c>
      <c r="AA2508">
        <v>0.87695369999999995</v>
      </c>
      <c r="AB2508">
        <v>10</v>
      </c>
      <c r="AC2508">
        <v>-6.6951000000000196</v>
      </c>
      <c r="AD2508">
        <v>-1.1210111648279999</v>
      </c>
      <c r="AE2508">
        <v>-7.0373999999999901</v>
      </c>
      <c r="AF2508">
        <v>4.5966797700992803</v>
      </c>
      <c r="AG2508">
        <v>-1.1210111648279999</v>
      </c>
      <c r="AH2508">
        <v>8.4116527711359108</v>
      </c>
      <c r="AI2508">
        <v>96.670235375726605</v>
      </c>
      <c r="AJ2508">
        <v>61.344908595464098</v>
      </c>
      <c r="AK2508">
        <v>9.6510120341168104</v>
      </c>
      <c r="AL2508">
        <v>83.622527049276897</v>
      </c>
      <c r="AM2508">
        <v>75.586160917362207</v>
      </c>
      <c r="AN2508">
        <v>0.99999997574052402</v>
      </c>
    </row>
    <row r="2509" spans="1:40" x14ac:dyDescent="0.25">
      <c r="A2509" t="str">
        <f>"20190303161924114"</f>
        <v>20190303161924114</v>
      </c>
      <c r="B2509" t="str">
        <f>"1551601164105445"</f>
        <v>1551601164105445</v>
      </c>
      <c r="C2509" t="s">
        <v>40</v>
      </c>
      <c r="D2509">
        <v>4.775569</v>
      </c>
      <c r="E2509">
        <v>0.6002672</v>
      </c>
      <c r="F2509" t="s">
        <v>49</v>
      </c>
      <c r="G2509">
        <v>-202.07509999999999</v>
      </c>
      <c r="H2509" s="1">
        <v>2.9025620000000002E-6</v>
      </c>
      <c r="I2509">
        <v>287.30040000000002</v>
      </c>
      <c r="J2509">
        <v>-195.27699999999999</v>
      </c>
      <c r="K2509">
        <v>1.1210089999999999</v>
      </c>
      <c r="L2509">
        <v>294.36759999999998</v>
      </c>
      <c r="M2509">
        <v>-0.2590981</v>
      </c>
      <c r="N2509">
        <v>-1.3138789999999999E-2</v>
      </c>
      <c r="O2509">
        <v>-0.96576169999999995</v>
      </c>
      <c r="P2509">
        <v>-0.49098219999999998</v>
      </c>
      <c r="Q2509">
        <v>9.993196E-2</v>
      </c>
      <c r="R2509">
        <v>-0.865419099999999</v>
      </c>
      <c r="S2509">
        <v>-2.1727599999999998</v>
      </c>
      <c r="T2509">
        <v>-0.35694179999999998</v>
      </c>
      <c r="U2509">
        <v>-2.2782900000000001</v>
      </c>
      <c r="V2509">
        <v>0.25012699999999999</v>
      </c>
      <c r="W2509">
        <v>0.11221639999999999</v>
      </c>
      <c r="X2509">
        <v>0.96168810000000005</v>
      </c>
      <c r="Y2509">
        <v>0.47489809999999999</v>
      </c>
      <c r="Z2509">
        <v>0.1044775</v>
      </c>
      <c r="AA2509">
        <v>0.87381710000000001</v>
      </c>
      <c r="AB2509">
        <v>10</v>
      </c>
      <c r="AC2509">
        <v>-6.7980999999999696</v>
      </c>
      <c r="AD2509">
        <v>-1.1210060974379901</v>
      </c>
      <c r="AE2509">
        <v>-7.06719999999995</v>
      </c>
      <c r="AF2509">
        <v>4.6735785392763498</v>
      </c>
      <c r="AG2509">
        <v>-1.1210060974379901</v>
      </c>
      <c r="AH2509">
        <v>8.4765710429199395</v>
      </c>
      <c r="AI2509">
        <v>96.606066092248795</v>
      </c>
      <c r="AJ2509">
        <v>61.129745504943998</v>
      </c>
      <c r="AK2509">
        <v>9.7442930825661502</v>
      </c>
      <c r="AL2509">
        <v>83.556902978128505</v>
      </c>
      <c r="AM2509">
        <v>75.420867749987906</v>
      </c>
      <c r="AN2509">
        <v>1.00000001911978</v>
      </c>
    </row>
    <row r="2510" spans="1:40" x14ac:dyDescent="0.25">
      <c r="A2510" t="str">
        <f>"20190303161924137"</f>
        <v>20190303161924137</v>
      </c>
      <c r="B2510" t="str">
        <f>"1551601164124965"</f>
        <v>1551601164124965</v>
      </c>
      <c r="C2510" t="s">
        <v>40</v>
      </c>
      <c r="D2510">
        <v>4.8180100000000001</v>
      </c>
      <c r="E2510">
        <v>0.60062959999999999</v>
      </c>
      <c r="F2510" t="s">
        <v>49</v>
      </c>
      <c r="G2510">
        <v>-202.1377</v>
      </c>
      <c r="H2510" s="1">
        <v>2.9344959999999999E-6</v>
      </c>
      <c r="I2510">
        <v>287.2525</v>
      </c>
      <c r="J2510">
        <v>-195.30629999999999</v>
      </c>
      <c r="K2510">
        <v>1.1210009999999999</v>
      </c>
      <c r="L2510">
        <v>294.26760000000002</v>
      </c>
      <c r="M2510">
        <v>-0.26105820000000002</v>
      </c>
      <c r="N2510">
        <v>-1.313485E-2</v>
      </c>
      <c r="O2510">
        <v>-0.96523400000000004</v>
      </c>
      <c r="P2510">
        <v>-0.495527</v>
      </c>
      <c r="Q2510">
        <v>0.1013275</v>
      </c>
      <c r="R2510">
        <v>-0.86266229999999999</v>
      </c>
      <c r="S2510">
        <v>-2.1863709999999998</v>
      </c>
      <c r="T2510">
        <v>-0.35724220000000001</v>
      </c>
      <c r="U2510">
        <v>-2.2674259999999999</v>
      </c>
      <c r="V2510">
        <v>0.25328279999999997</v>
      </c>
      <c r="W2510">
        <v>0.113585199999999</v>
      </c>
      <c r="X2510">
        <v>0.96070089999999997</v>
      </c>
      <c r="Y2510">
        <v>0.47791499999999998</v>
      </c>
      <c r="Z2510">
        <v>0.1045908</v>
      </c>
      <c r="AA2510">
        <v>0.87215710000000002</v>
      </c>
      <c r="AB2510">
        <v>10</v>
      </c>
      <c r="AC2510">
        <v>-6.8314000000000004</v>
      </c>
      <c r="AD2510">
        <v>-1.1209980655039999</v>
      </c>
      <c r="AE2510">
        <v>-7.0151000000000101</v>
      </c>
      <c r="AF2510">
        <v>4.7013420138017601</v>
      </c>
      <c r="AG2510">
        <v>-1.1209980655039999</v>
      </c>
      <c r="AH2510">
        <v>8.4446624753954609</v>
      </c>
      <c r="AI2510">
        <v>96.615812328817796</v>
      </c>
      <c r="AJ2510">
        <v>60.894285769382499</v>
      </c>
      <c r="AK2510">
        <v>9.72993205099365</v>
      </c>
      <c r="AL2510">
        <v>83.477971699554203</v>
      </c>
      <c r="AM2510">
        <v>75.230405091560598</v>
      </c>
      <c r="AN2510">
        <v>0.99999999684784402</v>
      </c>
    </row>
    <row r="2511" spans="1:40" x14ac:dyDescent="0.25">
      <c r="A2511" t="str">
        <f>"20190303161924159"</f>
        <v>20190303161924159</v>
      </c>
      <c r="B2511" t="str">
        <f>"1551601164155220"</f>
        <v>1551601164155220</v>
      </c>
      <c r="C2511" t="s">
        <v>40</v>
      </c>
      <c r="D2511">
        <v>4.9953820000000002</v>
      </c>
      <c r="E2511">
        <v>0.60126639999999998</v>
      </c>
      <c r="F2511" t="s">
        <v>49</v>
      </c>
      <c r="G2511">
        <v>-202.2296</v>
      </c>
      <c r="H2511" s="1">
        <v>2.9818570000000001E-6</v>
      </c>
      <c r="I2511">
        <v>287.17700000000002</v>
      </c>
      <c r="J2511">
        <v>-195.33340000000001</v>
      </c>
      <c r="K2511">
        <v>1.1210009999999999</v>
      </c>
      <c r="L2511">
        <v>294.17610000000002</v>
      </c>
      <c r="M2511">
        <v>-0.26289240000000003</v>
      </c>
      <c r="N2511">
        <v>-1.313162E-2</v>
      </c>
      <c r="O2511">
        <v>-0.96473600000000004</v>
      </c>
      <c r="P2511">
        <v>-0.50129290000000004</v>
      </c>
      <c r="Q2511">
        <v>0.1018974</v>
      </c>
      <c r="R2511">
        <v>-0.85925739999999995</v>
      </c>
      <c r="S2511">
        <v>-2.2015989999999999</v>
      </c>
      <c r="T2511">
        <v>-0.3564755</v>
      </c>
      <c r="U2511">
        <v>-2.2548219999999999</v>
      </c>
      <c r="V2511">
        <v>0.25791500000000001</v>
      </c>
      <c r="W2511">
        <v>0.1141229</v>
      </c>
      <c r="X2511">
        <v>0.95940389999999998</v>
      </c>
      <c r="Y2511">
        <v>0.48171449999999999</v>
      </c>
      <c r="Z2511">
        <v>0.1043761</v>
      </c>
      <c r="AA2511">
        <v>0.87009009999999998</v>
      </c>
      <c r="AB2511">
        <v>10</v>
      </c>
      <c r="AC2511">
        <v>-6.8961999999999897</v>
      </c>
      <c r="AD2511">
        <v>-1.1209980181429999</v>
      </c>
      <c r="AE2511">
        <v>-6.9990999999999897</v>
      </c>
      <c r="AF2511">
        <v>4.7515694846525998</v>
      </c>
      <c r="AG2511">
        <v>-1.1209980181429999</v>
      </c>
      <c r="AH2511">
        <v>8.4559163339560204</v>
      </c>
      <c r="AI2511">
        <v>96.592595608279794</v>
      </c>
      <c r="AJ2511">
        <v>60.667388826862499</v>
      </c>
      <c r="AK2511">
        <v>9.7640447649028399</v>
      </c>
      <c r="AL2511">
        <v>83.446962227348394</v>
      </c>
      <c r="AM2511">
        <v>74.953010790527102</v>
      </c>
      <c r="AN2511">
        <v>1.0000000134323099</v>
      </c>
    </row>
    <row r="2512" spans="1:40" x14ac:dyDescent="0.25">
      <c r="A2512" t="str">
        <f>"20190303161924183"</f>
        <v>20190303161924183</v>
      </c>
      <c r="B2512" t="str">
        <f>"1551601164174740"</f>
        <v>1551601164174740</v>
      </c>
      <c r="C2512" t="s">
        <v>40</v>
      </c>
      <c r="D2512">
        <v>4.9536419999999897</v>
      </c>
      <c r="E2512">
        <v>0.63052759999999997</v>
      </c>
      <c r="F2512" t="s">
        <v>49</v>
      </c>
      <c r="G2512">
        <v>-202.24260000000001</v>
      </c>
      <c r="H2512" s="1">
        <v>2.9840769999999999E-6</v>
      </c>
      <c r="I2512">
        <v>287.21749999999997</v>
      </c>
      <c r="J2512">
        <v>-195.36330000000001</v>
      </c>
      <c r="K2512">
        <v>1.1210009999999999</v>
      </c>
      <c r="L2512">
        <v>294.07600000000002</v>
      </c>
      <c r="M2512">
        <v>-0.26494319999999999</v>
      </c>
      <c r="N2512">
        <v>-1.312878E-2</v>
      </c>
      <c r="O2512">
        <v>-0.964175</v>
      </c>
      <c r="P2512">
        <v>-0.50898029999999905</v>
      </c>
      <c r="Q2512">
        <v>0.1022134</v>
      </c>
      <c r="R2512">
        <v>-0.85468829999999996</v>
      </c>
      <c r="S2512">
        <v>-2.2219389999999999</v>
      </c>
      <c r="T2512">
        <v>-0.3605043</v>
      </c>
      <c r="U2512">
        <v>-2.2378230000000001</v>
      </c>
      <c r="V2512">
        <v>0.26449830000000002</v>
      </c>
      <c r="W2512">
        <v>0.1143948</v>
      </c>
      <c r="X2512">
        <v>0.95757740000000002</v>
      </c>
      <c r="Y2512">
        <v>0.48703099999999999</v>
      </c>
      <c r="Z2512">
        <v>0.1057179</v>
      </c>
      <c r="AA2512">
        <v>0.86696280000000003</v>
      </c>
      <c r="AB2512">
        <v>10</v>
      </c>
      <c r="AC2512">
        <v>-6.8792999999999997</v>
      </c>
      <c r="AD2512">
        <v>-1.120998015923</v>
      </c>
      <c r="AE2512">
        <v>-6.8584999999999896</v>
      </c>
      <c r="AF2512">
        <v>4.75285607297615</v>
      </c>
      <c r="AG2512">
        <v>-1.120998015923</v>
      </c>
      <c r="AH2512">
        <v>8.3252749879399506</v>
      </c>
      <c r="AI2512">
        <v>96.669637171421002</v>
      </c>
      <c r="AJ2512">
        <v>60.278179423057402</v>
      </c>
      <c r="AK2512">
        <v>9.6517605143801699</v>
      </c>
      <c r="AL2512">
        <v>83.431280712297195</v>
      </c>
      <c r="AM2512">
        <v>74.558990106469395</v>
      </c>
      <c r="AN2512">
        <v>0.99999999898034497</v>
      </c>
    </row>
    <row r="2513" spans="1:40" x14ac:dyDescent="0.25">
      <c r="A2513" t="str">
        <f>"20190303161924205"</f>
        <v>20190303161924205</v>
      </c>
      <c r="B2513" t="str">
        <f>"1551601164195237"</f>
        <v>1551601164195237</v>
      </c>
      <c r="C2513" t="s">
        <v>40</v>
      </c>
      <c r="D2513">
        <v>4.9682139999999997</v>
      </c>
      <c r="E2513">
        <v>0.62434069999999997</v>
      </c>
      <c r="F2513" t="s">
        <v>49</v>
      </c>
      <c r="G2513">
        <v>-200.1695</v>
      </c>
      <c r="H2513" s="1">
        <v>1.8109389999999999E-6</v>
      </c>
      <c r="I2513">
        <v>289.9194</v>
      </c>
      <c r="J2513">
        <v>-195.39269999999999</v>
      </c>
      <c r="K2513">
        <v>1.1209849999999999</v>
      </c>
      <c r="L2513">
        <v>293.97859999999997</v>
      </c>
      <c r="M2513">
        <v>-0.266997599999999</v>
      </c>
      <c r="N2513">
        <v>-1.3126570000000001E-2</v>
      </c>
      <c r="O2513">
        <v>-0.96360780000000001</v>
      </c>
      <c r="P2513">
        <v>-0.51681980000000005</v>
      </c>
      <c r="Q2513">
        <v>0.1018256</v>
      </c>
      <c r="R2513">
        <v>-0.85001669999999996</v>
      </c>
      <c r="S2513">
        <v>-2.4503170000000001</v>
      </c>
      <c r="T2513">
        <v>-0.57151580000000002</v>
      </c>
      <c r="U2513">
        <v>-2.1191710000000001</v>
      </c>
      <c r="V2513">
        <v>0.2712598</v>
      </c>
      <c r="W2513">
        <v>0.1139599</v>
      </c>
      <c r="X2513">
        <v>0.95573600000000003</v>
      </c>
      <c r="Y2513">
        <v>0.54256309999999996</v>
      </c>
      <c r="Z2513">
        <v>0.16992090000000001</v>
      </c>
      <c r="AA2513">
        <v>0.82264950000000003</v>
      </c>
      <c r="AB2513">
        <v>10</v>
      </c>
      <c r="AC2513">
        <v>-4.7767999999999997</v>
      </c>
      <c r="AD2513">
        <v>-1.120983189061</v>
      </c>
      <c r="AE2513">
        <v>-4.0591999999999704</v>
      </c>
      <c r="AF2513">
        <v>3.4104076354911301</v>
      </c>
      <c r="AG2513">
        <v>-1.120983189061</v>
      </c>
      <c r="AH2513">
        <v>5.0265741371570902</v>
      </c>
      <c r="AI2513">
        <v>100.45599413622099</v>
      </c>
      <c r="AJ2513">
        <v>55.844067198688499</v>
      </c>
      <c r="AK2513">
        <v>6.1768868458722901</v>
      </c>
      <c r="AL2513">
        <v>83.456362810289505</v>
      </c>
      <c r="AM2513">
        <v>74.154841703787795</v>
      </c>
      <c r="AN2513">
        <v>1.0000000198000201</v>
      </c>
    </row>
    <row r="2514" spans="1:40" x14ac:dyDescent="0.25">
      <c r="A2514" t="str">
        <f>"20190303161924229"</f>
        <v>20190303161924229</v>
      </c>
      <c r="B2514" t="str">
        <f>"1551601164225492"</f>
        <v>1551601164225492</v>
      </c>
      <c r="C2514" t="s">
        <v>40</v>
      </c>
      <c r="D2514">
        <v>5.0029379999999897</v>
      </c>
      <c r="E2514">
        <v>0.62313960000000002</v>
      </c>
      <c r="F2514" t="s">
        <v>49</v>
      </c>
      <c r="G2514">
        <v>-199.87860000000001</v>
      </c>
      <c r="H2514" s="1">
        <v>1.6907350000000001E-6</v>
      </c>
      <c r="I2514">
        <v>290.05599999999998</v>
      </c>
      <c r="J2514">
        <v>-195.42160000000001</v>
      </c>
      <c r="K2514">
        <v>1.1209639999999901</v>
      </c>
      <c r="L2514">
        <v>293.88380000000001</v>
      </c>
      <c r="M2514">
        <v>-0.26905620000000002</v>
      </c>
      <c r="N2514">
        <v>-1.3125100000000001E-2</v>
      </c>
      <c r="O2514">
        <v>-0.96303510000000003</v>
      </c>
      <c r="P2514">
        <v>-0.52448459999999997</v>
      </c>
      <c r="Q2514">
        <v>0.10076640000000001</v>
      </c>
      <c r="R2514">
        <v>-0.84543630000000003</v>
      </c>
      <c r="S2514">
        <v>-2.4298250000000001</v>
      </c>
      <c r="T2514">
        <v>-0.60718689999999997</v>
      </c>
      <c r="U2514">
        <v>-2.124695</v>
      </c>
      <c r="V2514">
        <v>0.27783239999999998</v>
      </c>
      <c r="W2514">
        <v>0.1128523</v>
      </c>
      <c r="X2514">
        <v>0.95397770000000004</v>
      </c>
      <c r="Y2514">
        <v>0.53469279999999997</v>
      </c>
      <c r="Z2514">
        <v>0.18136070000000001</v>
      </c>
      <c r="AA2514">
        <v>0.82535559999999997</v>
      </c>
      <c r="AB2514">
        <v>10</v>
      </c>
      <c r="AC2514">
        <v>-4.4569999999999901</v>
      </c>
      <c r="AD2514">
        <v>-1.1209623092649901</v>
      </c>
      <c r="AE2514">
        <v>-3.8278000000000199</v>
      </c>
      <c r="AF2514">
        <v>3.1480336640813702</v>
      </c>
      <c r="AG2514">
        <v>-1.1209623092649901</v>
      </c>
      <c r="AH2514">
        <v>4.7142903659617996</v>
      </c>
      <c r="AI2514">
        <v>101.185613829434</v>
      </c>
      <c r="AJ2514">
        <v>56.266425065569798</v>
      </c>
      <c r="AK2514">
        <v>5.7785124472984002</v>
      </c>
      <c r="AL2514">
        <v>83.520235343234006</v>
      </c>
      <c r="AM2514">
        <v>73.762552565587399</v>
      </c>
      <c r="AN2514">
        <v>0.99999996810116898</v>
      </c>
    </row>
    <row r="2515" spans="1:40" x14ac:dyDescent="0.25">
      <c r="A2515" t="str">
        <f>"20190303161924250"</f>
        <v>20190303161924250</v>
      </c>
      <c r="B2515" t="str">
        <f>"1551601164245012"</f>
        <v>1551601164245012</v>
      </c>
      <c r="C2515" t="s">
        <v>40</v>
      </c>
      <c r="D2515">
        <v>4.9827380000000003</v>
      </c>
      <c r="E2515">
        <v>0.62199019999999905</v>
      </c>
      <c r="F2515" t="s">
        <v>49</v>
      </c>
      <c r="G2515">
        <v>-199.90190000000001</v>
      </c>
      <c r="H2515" s="1">
        <v>1.69594E-6</v>
      </c>
      <c r="I2515">
        <v>290.0147</v>
      </c>
      <c r="J2515">
        <v>-195.45009999999999</v>
      </c>
      <c r="K2515">
        <v>1.1209309999999999</v>
      </c>
      <c r="L2515">
        <v>293.79129999999998</v>
      </c>
      <c r="M2515">
        <v>-0.27110990000000001</v>
      </c>
      <c r="N2515">
        <v>-1.312397E-2</v>
      </c>
      <c r="O2515">
        <v>-0.96245910000000001</v>
      </c>
      <c r="P2515">
        <v>-0.53244169999999902</v>
      </c>
      <c r="Q2515">
        <v>9.9791530000000003E-2</v>
      </c>
      <c r="R2515">
        <v>-0.84056390000000003</v>
      </c>
      <c r="S2515">
        <v>-2.440277</v>
      </c>
      <c r="T2515">
        <v>-0.61055300000000001</v>
      </c>
      <c r="U2515">
        <v>-2.107361</v>
      </c>
      <c r="V2515">
        <v>0.28477730000000001</v>
      </c>
      <c r="W2515">
        <v>0.1118265</v>
      </c>
      <c r="X2515">
        <v>0.95204869999999997</v>
      </c>
      <c r="Y2515">
        <v>0.53780309999999998</v>
      </c>
      <c r="Z2515">
        <v>0.18273500000000001</v>
      </c>
      <c r="AA2515">
        <v>0.82302839999999999</v>
      </c>
      <c r="AB2515">
        <v>10</v>
      </c>
      <c r="AC2515">
        <v>-4.45180000000002</v>
      </c>
      <c r="AD2515">
        <v>-1.1209293040599999</v>
      </c>
      <c r="AE2515">
        <v>-3.77659999999997</v>
      </c>
      <c r="AF2515">
        <v>3.1451296824021799</v>
      </c>
      <c r="AG2515">
        <v>-1.1209293040599999</v>
      </c>
      <c r="AH2515">
        <v>4.6699962102443404</v>
      </c>
      <c r="AI2515">
        <v>101.25964624709501</v>
      </c>
      <c r="AJ2515">
        <v>56.040685326988601</v>
      </c>
      <c r="AK2515">
        <v>5.7408351158628603</v>
      </c>
      <c r="AL2515">
        <v>83.579383992422194</v>
      </c>
      <c r="AM2515">
        <v>73.346996880372302</v>
      </c>
      <c r="AN2515">
        <v>1.00000000193461</v>
      </c>
    </row>
    <row r="2516" spans="1:40" x14ac:dyDescent="0.25">
      <c r="A2516" t="str">
        <f>"20190303161924272"</f>
        <v>20190303161924272</v>
      </c>
      <c r="B2516" t="str">
        <f>"1551601164265508"</f>
        <v>1551601164265508</v>
      </c>
      <c r="C2516" t="s">
        <v>40</v>
      </c>
      <c r="D2516">
        <v>5.0078339999999999</v>
      </c>
      <c r="E2516">
        <v>0.62150099999999997</v>
      </c>
      <c r="F2516" t="s">
        <v>49</v>
      </c>
      <c r="G2516">
        <v>-199.91679999999999</v>
      </c>
      <c r="H2516" s="1">
        <v>1.69983E-6</v>
      </c>
      <c r="I2516">
        <v>289.98509999999999</v>
      </c>
      <c r="J2516">
        <v>-195.47800000000001</v>
      </c>
      <c r="K2516">
        <v>1.120908</v>
      </c>
      <c r="L2516">
        <v>293.70179999999999</v>
      </c>
      <c r="M2516">
        <v>-0.273144</v>
      </c>
      <c r="N2516">
        <v>-1.31231E-2</v>
      </c>
      <c r="O2516">
        <v>-0.96188379999999996</v>
      </c>
      <c r="P2516">
        <v>-0.53910669999999905</v>
      </c>
      <c r="Q2516">
        <v>9.8821329999999999E-2</v>
      </c>
      <c r="R2516">
        <v>-0.83642059999999996</v>
      </c>
      <c r="S2516">
        <v>-2.4516300000000002</v>
      </c>
      <c r="T2516">
        <v>-0.61524440000000002</v>
      </c>
      <c r="U2516">
        <v>-2.0890810000000002</v>
      </c>
      <c r="V2516">
        <v>0.29030689999999998</v>
      </c>
      <c r="W2516">
        <v>0.1108152</v>
      </c>
      <c r="X2516">
        <v>0.9504956</v>
      </c>
      <c r="Y2516">
        <v>0.54119910000000004</v>
      </c>
      <c r="Z2516">
        <v>0.18452199999999999</v>
      </c>
      <c r="AA2516">
        <v>0.8203994</v>
      </c>
      <c r="AB2516">
        <v>10</v>
      </c>
      <c r="AC2516">
        <v>-4.4388000000000103</v>
      </c>
      <c r="AD2516">
        <v>-1.1209063001699999</v>
      </c>
      <c r="AE2516">
        <v>-3.7166999999999999</v>
      </c>
      <c r="AF2516">
        <v>3.1370962155965798</v>
      </c>
      <c r="AG2516">
        <v>-1.1209063001699999</v>
      </c>
      <c r="AH2516">
        <v>4.6148805024315198</v>
      </c>
      <c r="AI2516">
        <v>101.35799271912801</v>
      </c>
      <c r="AJ2516">
        <v>55.792979774406803</v>
      </c>
      <c r="AK2516">
        <v>5.6916540347594697</v>
      </c>
      <c r="AL2516">
        <v>83.637689571104701</v>
      </c>
      <c r="AM2516">
        <v>73.015920267620899</v>
      </c>
      <c r="AN2516">
        <v>0.99999999517900495</v>
      </c>
    </row>
    <row r="2517" spans="1:40" x14ac:dyDescent="0.25">
      <c r="A2517" t="str">
        <f>"20190303161924293"</f>
        <v>20190303161924293</v>
      </c>
      <c r="B2517" t="str">
        <f>"1551601164285028"</f>
        <v>1551601164285028</v>
      </c>
      <c r="C2517" t="s">
        <v>40</v>
      </c>
      <c r="D2517">
        <v>5.0600860000000001</v>
      </c>
      <c r="E2517">
        <v>0.62076980000000004</v>
      </c>
      <c r="F2517" t="s">
        <v>49</v>
      </c>
      <c r="G2517">
        <v>-199.96600000000001</v>
      </c>
      <c r="H2517" s="1">
        <v>1.709779E-6</v>
      </c>
      <c r="I2517">
        <v>289.93090000000001</v>
      </c>
      <c r="J2517">
        <v>-195.5061</v>
      </c>
      <c r="K2517">
        <v>1.120892</v>
      </c>
      <c r="L2517">
        <v>293.61219999999997</v>
      </c>
      <c r="M2517">
        <v>-0.27523839999999999</v>
      </c>
      <c r="N2517">
        <v>-1.3122450000000001E-2</v>
      </c>
      <c r="O2517">
        <v>-0.96128670000000005</v>
      </c>
      <c r="P2517">
        <v>-0.54479919999999904</v>
      </c>
      <c r="Q2517">
        <v>9.8557640000000002E-2</v>
      </c>
      <c r="R2517">
        <v>-0.83275489999999996</v>
      </c>
      <c r="S2517">
        <v>-2.464661</v>
      </c>
      <c r="T2517">
        <v>-0.61555179999999998</v>
      </c>
      <c r="U2517">
        <v>-2.0708310000000001</v>
      </c>
      <c r="V2517">
        <v>0.29471829999999999</v>
      </c>
      <c r="W2517">
        <v>0.11051519999999999</v>
      </c>
      <c r="X2517">
        <v>0.94917200000000002</v>
      </c>
      <c r="Y2517">
        <v>0.54501719999999998</v>
      </c>
      <c r="Z2517">
        <v>0.1848892</v>
      </c>
      <c r="AA2517">
        <v>0.81778499999999998</v>
      </c>
      <c r="AB2517">
        <v>10</v>
      </c>
      <c r="AC2517">
        <v>-4.45989999999997</v>
      </c>
      <c r="AD2517">
        <v>-1.1208902902210001</v>
      </c>
      <c r="AE2517">
        <v>-3.6812999999999598</v>
      </c>
      <c r="AF2517">
        <v>3.15573206770611</v>
      </c>
      <c r="AG2517">
        <v>-1.1208902902210001</v>
      </c>
      <c r="AH2517">
        <v>4.59413445561401</v>
      </c>
      <c r="AI2517">
        <v>101.370963129698</v>
      </c>
      <c r="AJ2517">
        <v>55.514648526783901</v>
      </c>
      <c r="AK2517">
        <v>5.6851659010199702</v>
      </c>
      <c r="AL2517">
        <v>83.654984474735699</v>
      </c>
      <c r="AM2517">
        <v>72.750409613175606</v>
      </c>
      <c r="AN2517">
        <v>0.99999998568496495</v>
      </c>
    </row>
    <row r="2518" spans="1:40" x14ac:dyDescent="0.25">
      <c r="A2518" t="str">
        <f>"20190303161924316"</f>
        <v>20190303161924316</v>
      </c>
      <c r="B2518" t="str">
        <f>"1551601164305524"</f>
        <v>1551601164305524</v>
      </c>
      <c r="C2518" t="s">
        <v>40</v>
      </c>
      <c r="D2518">
        <v>5.050249</v>
      </c>
      <c r="E2518">
        <v>0.62022029999999995</v>
      </c>
      <c r="F2518" t="s">
        <v>49</v>
      </c>
      <c r="G2518">
        <v>-200.0222</v>
      </c>
      <c r="H2518" s="1">
        <v>1.7496580000000001E-6</v>
      </c>
      <c r="I2518">
        <v>289.85980000000001</v>
      </c>
      <c r="J2518">
        <v>-195.53530000000001</v>
      </c>
      <c r="K2518">
        <v>1.120876</v>
      </c>
      <c r="L2518">
        <v>293.52030000000002</v>
      </c>
      <c r="M2518">
        <v>-0.27744639999999998</v>
      </c>
      <c r="N2518">
        <v>-1.3122180000000001E-2</v>
      </c>
      <c r="O2518">
        <v>-0.96065160000000005</v>
      </c>
      <c r="P2518">
        <v>-0.55080890000000005</v>
      </c>
      <c r="Q2518">
        <v>9.8812769999999994E-2</v>
      </c>
      <c r="R2518">
        <v>-0.82876179999999999</v>
      </c>
      <c r="S2518">
        <v>-2.4747159999999999</v>
      </c>
      <c r="T2518">
        <v>-0.61423000000000005</v>
      </c>
      <c r="U2518">
        <v>-2.056244</v>
      </c>
      <c r="V2518">
        <v>0.29942029999999997</v>
      </c>
      <c r="W2518">
        <v>0.11072940000000001</v>
      </c>
      <c r="X2518">
        <v>0.94767420000000002</v>
      </c>
      <c r="Y2518">
        <v>0.547616199999999</v>
      </c>
      <c r="Z2518">
        <v>0.1846978</v>
      </c>
      <c r="AA2518">
        <v>0.81609019999999899</v>
      </c>
      <c r="AB2518">
        <v>10</v>
      </c>
      <c r="AC2518">
        <v>-4.4868999999999897</v>
      </c>
      <c r="AD2518">
        <v>-1.1208742503419999</v>
      </c>
      <c r="AE2518">
        <v>-3.6605000000000101</v>
      </c>
      <c r="AF2518">
        <v>3.1760387145934201</v>
      </c>
      <c r="AG2518">
        <v>-1.1208742503419999</v>
      </c>
      <c r="AH2518">
        <v>4.5897791609110703</v>
      </c>
      <c r="AI2518">
        <v>101.355048351126</v>
      </c>
      <c r="AJ2518">
        <v>55.317512459820399</v>
      </c>
      <c r="AK2518">
        <v>5.6929477204353001</v>
      </c>
      <c r="AL2518">
        <v>83.642635719108995</v>
      </c>
      <c r="AM2518">
        <v>72.465923626218199</v>
      </c>
      <c r="AN2518">
        <v>0.99999995271104303</v>
      </c>
    </row>
    <row r="2519" spans="1:40" x14ac:dyDescent="0.25">
      <c r="A2519" t="str">
        <f>"20190303161924337"</f>
        <v>20190303161924337</v>
      </c>
      <c r="B2519" t="str">
        <f>"1551601164325044"</f>
        <v>1551601164325044</v>
      </c>
      <c r="C2519" t="s">
        <v>40</v>
      </c>
      <c r="D2519">
        <v>4.725333</v>
      </c>
      <c r="E2519">
        <v>0.62259200000000003</v>
      </c>
      <c r="F2519" t="s">
        <v>49</v>
      </c>
      <c r="G2519">
        <v>-200.09370000000001</v>
      </c>
      <c r="H2519" s="1">
        <v>1.799028E-6</v>
      </c>
      <c r="I2519">
        <v>289.7774</v>
      </c>
      <c r="J2519">
        <v>-195.56389999999999</v>
      </c>
      <c r="K2519">
        <v>1.1208640000000001</v>
      </c>
      <c r="L2519">
        <v>293.43079999999998</v>
      </c>
      <c r="M2519">
        <v>-0.2796593</v>
      </c>
      <c r="N2519">
        <v>-1.31225E-2</v>
      </c>
      <c r="O2519">
        <v>-0.96000980000000002</v>
      </c>
      <c r="P2519">
        <v>-0.55653589999999997</v>
      </c>
      <c r="Q2519">
        <v>9.9307889999999996E-2</v>
      </c>
      <c r="R2519">
        <v>-0.82486740000000003</v>
      </c>
      <c r="S2519">
        <v>-2.485535</v>
      </c>
      <c r="T2519">
        <v>-0.61116890000000001</v>
      </c>
      <c r="U2519">
        <v>-2.0408330000000001</v>
      </c>
      <c r="V2519">
        <v>0.303826599999999</v>
      </c>
      <c r="W2519">
        <v>0.1111825</v>
      </c>
      <c r="X2519">
        <v>0.94621770000000005</v>
      </c>
      <c r="Y2519">
        <v>0.55057349999999905</v>
      </c>
      <c r="Z2519">
        <v>0.18397050000000001</v>
      </c>
      <c r="AA2519">
        <v>0.81426259999999995</v>
      </c>
      <c r="AB2519">
        <v>10</v>
      </c>
      <c r="AC2519">
        <v>-4.5298000000000203</v>
      </c>
      <c r="AD2519">
        <v>-1.120862200972</v>
      </c>
      <c r="AE2519">
        <v>-3.6533999999999698</v>
      </c>
      <c r="AF2519">
        <v>3.20821680182681</v>
      </c>
      <c r="AG2519">
        <v>-1.120862200972</v>
      </c>
      <c r="AH2519">
        <v>4.6037277303533397</v>
      </c>
      <c r="AI2519">
        <v>101.296159837326</v>
      </c>
      <c r="AJ2519">
        <v>55.128373557391001</v>
      </c>
      <c r="AK2519">
        <v>5.7221758218632104</v>
      </c>
      <c r="AL2519">
        <v>83.616514286849593</v>
      </c>
      <c r="AM2519">
        <v>72.198389872566807</v>
      </c>
      <c r="AN2519">
        <v>1.0000000434835401</v>
      </c>
    </row>
    <row r="2520" spans="1:40" x14ac:dyDescent="0.25">
      <c r="A2520" t="str">
        <f>"20190303161924361"</f>
        <v>20190303161924361</v>
      </c>
      <c r="B2520" t="str">
        <f>"1551601164355300"</f>
        <v>1551601164355300</v>
      </c>
      <c r="C2520" t="s">
        <v>40</v>
      </c>
      <c r="D2520">
        <v>5.1020969999999997</v>
      </c>
      <c r="E2520">
        <v>0.62112730000000005</v>
      </c>
      <c r="F2520" t="s">
        <v>49</v>
      </c>
      <c r="G2520">
        <v>-200.3056</v>
      </c>
      <c r="H2520" s="1">
        <v>1.9126149999999999E-6</v>
      </c>
      <c r="I2520">
        <v>289.63749999999999</v>
      </c>
      <c r="J2520">
        <v>-195.595</v>
      </c>
      <c r="K2520">
        <v>1.1208480000000001</v>
      </c>
      <c r="L2520">
        <v>293.33479999999997</v>
      </c>
      <c r="M2520">
        <v>-0.28210220000000003</v>
      </c>
      <c r="N2520">
        <v>-1.312321E-2</v>
      </c>
      <c r="O2520">
        <v>-0.95929469999999994</v>
      </c>
      <c r="P2520">
        <v>-0.56168989999999996</v>
      </c>
      <c r="Q2520">
        <v>9.9947869999999994E-2</v>
      </c>
      <c r="R2520">
        <v>-0.82128880000000004</v>
      </c>
      <c r="S2520">
        <v>-2.514786</v>
      </c>
      <c r="T2520">
        <v>-0.59445709999999996</v>
      </c>
      <c r="U2520">
        <v>-2.0118100000000001</v>
      </c>
      <c r="V2520">
        <v>0.30737560000000003</v>
      </c>
      <c r="W2520">
        <v>0.1117824</v>
      </c>
      <c r="X2520">
        <v>0.94499999999999995</v>
      </c>
      <c r="Y2520">
        <v>0.55956519999999899</v>
      </c>
      <c r="Z2520">
        <v>0.17888219999999999</v>
      </c>
      <c r="AA2520">
        <v>0.80925150000000001</v>
      </c>
      <c r="AB2520">
        <v>10</v>
      </c>
      <c r="AC2520">
        <v>-4.7106000000000003</v>
      </c>
      <c r="AD2520">
        <v>-1.1208460873849999</v>
      </c>
      <c r="AE2520">
        <v>-3.6972999999999798</v>
      </c>
      <c r="AF2520">
        <v>3.35847674171647</v>
      </c>
      <c r="AG2520">
        <v>-1.1208460873849999</v>
      </c>
      <c r="AH2520">
        <v>4.7110456191120296</v>
      </c>
      <c r="AI2520">
        <v>100.96408551138499</v>
      </c>
      <c r="AJ2520">
        <v>54.515152628648302</v>
      </c>
      <c r="AK2520">
        <v>5.89318358797785</v>
      </c>
      <c r="AL2520">
        <v>83.581926873499398</v>
      </c>
      <c r="AM2520">
        <v>71.982097019473798</v>
      </c>
      <c r="AN2520">
        <v>1.00000003221255</v>
      </c>
    </row>
    <row r="2521" spans="1:40" x14ac:dyDescent="0.25">
      <c r="A2521" t="str">
        <f>"20190303161924383"</f>
        <v>20190303161924383</v>
      </c>
      <c r="B2521" t="str">
        <f>"1551601164374820"</f>
        <v>1551601164374820</v>
      </c>
      <c r="C2521" t="s">
        <v>40</v>
      </c>
      <c r="D2521">
        <v>5.1204130000000001</v>
      </c>
      <c r="E2521">
        <v>0.62049730000000003</v>
      </c>
      <c r="F2521" t="s">
        <v>49</v>
      </c>
      <c r="G2521">
        <v>-200.35679999999999</v>
      </c>
      <c r="H2521" s="1">
        <v>1.9440980000000001E-6</v>
      </c>
      <c r="I2521">
        <v>289.5478</v>
      </c>
      <c r="J2521">
        <v>-195.62459999999999</v>
      </c>
      <c r="K2521">
        <v>1.120833</v>
      </c>
      <c r="L2521">
        <v>293.24459999999999</v>
      </c>
      <c r="M2521">
        <v>-0.28446830000000001</v>
      </c>
      <c r="N2521">
        <v>-1.3127059999999999E-2</v>
      </c>
      <c r="O2521">
        <v>-0.9585958</v>
      </c>
      <c r="P2521">
        <v>-0.56620499999999996</v>
      </c>
      <c r="Q2521">
        <v>0.1009806</v>
      </c>
      <c r="R2521">
        <v>-0.81805589999999995</v>
      </c>
      <c r="S2521">
        <v>-2.5181879999999999</v>
      </c>
      <c r="T2521">
        <v>-0.59273920000000002</v>
      </c>
      <c r="U2521">
        <v>-2.0027159999999999</v>
      </c>
      <c r="V2521">
        <v>0.31029630000000002</v>
      </c>
      <c r="W2521">
        <v>0.1127807</v>
      </c>
      <c r="X2521">
        <v>0.94392619999999905</v>
      </c>
      <c r="Y2521">
        <v>0.55990549999999994</v>
      </c>
      <c r="Z2521">
        <v>0.17855660000000001</v>
      </c>
      <c r="AA2521">
        <v>0.80908800000000003</v>
      </c>
      <c r="AB2521">
        <v>10</v>
      </c>
      <c r="AC2521">
        <v>-4.7321999999999997</v>
      </c>
      <c r="AD2521">
        <v>-1.1208310559020001</v>
      </c>
      <c r="AE2521">
        <v>-3.6967999999999899</v>
      </c>
      <c r="AF2521">
        <v>3.3676226825617199</v>
      </c>
      <c r="AG2521">
        <v>-1.1208310559020001</v>
      </c>
      <c r="AH2521">
        <v>4.7256844307813504</v>
      </c>
      <c r="AI2521">
        <v>100.932174620764</v>
      </c>
      <c r="AJ2521">
        <v>54.525523935053599</v>
      </c>
      <c r="AK2521">
        <v>5.9100962874819496</v>
      </c>
      <c r="AL2521">
        <v>83.524364128243604</v>
      </c>
      <c r="AM2521">
        <v>71.802785159647598</v>
      </c>
      <c r="AN2521">
        <v>0.99999997556630904</v>
      </c>
    </row>
    <row r="2522" spans="1:40" x14ac:dyDescent="0.25">
      <c r="A2522" t="str">
        <f>"20190303161924406"</f>
        <v>20190303161924406</v>
      </c>
      <c r="B2522" t="str">
        <f>"1551601164395317"</f>
        <v>1551601164395317</v>
      </c>
      <c r="C2522" t="s">
        <v>40</v>
      </c>
      <c r="D2522">
        <v>5.0237550000000004</v>
      </c>
      <c r="E2522">
        <v>0.62181390000000003</v>
      </c>
      <c r="F2522" t="s">
        <v>49</v>
      </c>
      <c r="G2522">
        <v>-200.41980000000001</v>
      </c>
      <c r="H2522" s="1">
        <v>1.9793939999999999E-6</v>
      </c>
      <c r="I2522">
        <v>289.46379999999999</v>
      </c>
      <c r="J2522">
        <v>-195.65530000000001</v>
      </c>
      <c r="K2522">
        <v>1.1208229999999999</v>
      </c>
      <c r="L2522">
        <v>293.15190000000001</v>
      </c>
      <c r="M2522">
        <v>-0.28696690000000002</v>
      </c>
      <c r="N2522">
        <v>-1.313606E-2</v>
      </c>
      <c r="O2522">
        <v>-0.9578508</v>
      </c>
      <c r="P2522">
        <v>-0.56979579999999996</v>
      </c>
      <c r="Q2522">
        <v>0.10101060000000001</v>
      </c>
      <c r="R2522">
        <v>-0.81555519999999904</v>
      </c>
      <c r="S2522">
        <v>-2.5260929999999999</v>
      </c>
      <c r="T2522">
        <v>-0.59044839999999998</v>
      </c>
      <c r="U2522">
        <v>-1.9916990000000001</v>
      </c>
      <c r="V2522">
        <v>0.31199399999999999</v>
      </c>
      <c r="W2522">
        <v>0.11279160000000001</v>
      </c>
      <c r="X2522">
        <v>0.94336520000000001</v>
      </c>
      <c r="Y2522">
        <v>0.56125769999999997</v>
      </c>
      <c r="Z2522">
        <v>0.1779501</v>
      </c>
      <c r="AA2522">
        <v>0.80828429999999996</v>
      </c>
      <c r="AB2522">
        <v>10</v>
      </c>
      <c r="AC2522">
        <v>-4.7644999999999902</v>
      </c>
      <c r="AD2522">
        <v>-1.1208210206060001</v>
      </c>
      <c r="AE2522">
        <v>-3.6881000000000199</v>
      </c>
      <c r="AF2522">
        <v>3.38836525973087</v>
      </c>
      <c r="AG2522">
        <v>-1.1208210206060001</v>
      </c>
      <c r="AH2522">
        <v>4.7364217823371604</v>
      </c>
      <c r="AI2522">
        <v>100.893984524668</v>
      </c>
      <c r="AJ2522">
        <v>54.420636676677198</v>
      </c>
      <c r="AK2522">
        <v>5.9305101124423798</v>
      </c>
      <c r="AL2522">
        <v>83.523736083173304</v>
      </c>
      <c r="AM2522">
        <v>71.699683054136003</v>
      </c>
      <c r="AN2522">
        <v>1.0000000508187901</v>
      </c>
    </row>
    <row r="2523" spans="1:40" x14ac:dyDescent="0.25">
      <c r="A2523" t="str">
        <f>"20190303161924430"</f>
        <v>20190303161924430</v>
      </c>
      <c r="B2523" t="str">
        <f>"1551601164414392"</f>
        <v>1551601164414392</v>
      </c>
      <c r="C2523" t="s">
        <v>40</v>
      </c>
      <c r="D2523">
        <v>5.0135969999999999</v>
      </c>
      <c r="E2523">
        <v>0.62283929999999998</v>
      </c>
      <c r="F2523" t="s">
        <v>49</v>
      </c>
      <c r="G2523">
        <v>-200.62620000000001</v>
      </c>
      <c r="H2523" s="1">
        <v>2.0852299999999999E-6</v>
      </c>
      <c r="I2523">
        <v>289.2998</v>
      </c>
      <c r="J2523">
        <v>-195.68879999999999</v>
      </c>
      <c r="K2523">
        <v>1.1208129999999901</v>
      </c>
      <c r="L2523">
        <v>293.05250000000001</v>
      </c>
      <c r="M2523">
        <v>-0.28973549999999998</v>
      </c>
      <c r="N2523">
        <v>-1.314938E-2</v>
      </c>
      <c r="O2523">
        <v>-0.95701650000000005</v>
      </c>
      <c r="P2523">
        <v>-0.57283689999999998</v>
      </c>
      <c r="Q2523">
        <v>0.10153810000000001</v>
      </c>
      <c r="R2523">
        <v>-0.81335609999999903</v>
      </c>
      <c r="S2523">
        <v>-2.5444640000000001</v>
      </c>
      <c r="T2523">
        <v>-0.57372330000000005</v>
      </c>
      <c r="U2523">
        <v>-1.971832</v>
      </c>
      <c r="V2523">
        <v>0.3128145</v>
      </c>
      <c r="W2523">
        <v>0.1133118</v>
      </c>
      <c r="X2523">
        <v>0.94303099999999995</v>
      </c>
      <c r="Y2523">
        <v>0.56640059999999903</v>
      </c>
      <c r="Z2523">
        <v>0.1728132</v>
      </c>
      <c r="AA2523">
        <v>0.80580769999999902</v>
      </c>
      <c r="AB2523">
        <v>10</v>
      </c>
      <c r="AC2523">
        <v>-4.9374000000000198</v>
      </c>
      <c r="AD2523">
        <v>-1.1208109147699901</v>
      </c>
      <c r="AE2523">
        <v>-3.7526999999999999</v>
      </c>
      <c r="AF2523">
        <v>3.5231235450684402</v>
      </c>
      <c r="AG2523">
        <v>-1.1208109147699901</v>
      </c>
      <c r="AH2523">
        <v>4.8635157398117803</v>
      </c>
      <c r="AI2523">
        <v>100.571512172946</v>
      </c>
      <c r="AJ2523">
        <v>54.080483989716903</v>
      </c>
      <c r="AK2523">
        <v>6.1092063291298402</v>
      </c>
      <c r="AL2523">
        <v>83.493737988314095</v>
      </c>
      <c r="AM2523">
        <v>71.648708700964704</v>
      </c>
      <c r="AN2523">
        <v>0.99999997119524398</v>
      </c>
    </row>
    <row r="2524" spans="1:40" x14ac:dyDescent="0.25">
      <c r="A2524" t="str">
        <f>"20190303161924451"</f>
        <v>20190303161924451</v>
      </c>
      <c r="B2524" t="str">
        <f>"1551601164434888"</f>
        <v>1551601164434888</v>
      </c>
      <c r="C2524" t="s">
        <v>40</v>
      </c>
      <c r="D2524">
        <v>5.0410259999999996</v>
      </c>
      <c r="E2524">
        <v>0.62368020000000002</v>
      </c>
      <c r="F2524" t="s">
        <v>49</v>
      </c>
      <c r="G2524">
        <v>-200.8323</v>
      </c>
      <c r="H2524" s="1">
        <v>2.1921090000000002E-6</v>
      </c>
      <c r="I2524">
        <v>289.12299999999999</v>
      </c>
      <c r="J2524">
        <v>-195.7182</v>
      </c>
      <c r="K2524">
        <v>1.1208149999999999</v>
      </c>
      <c r="L2524">
        <v>292.96600000000001</v>
      </c>
      <c r="M2524">
        <v>-0.2921937</v>
      </c>
      <c r="N2524">
        <v>-1.316051E-2</v>
      </c>
      <c r="O2524">
        <v>-0.95626849999999997</v>
      </c>
      <c r="P2524">
        <v>-0.57600549999999995</v>
      </c>
      <c r="Q2524">
        <v>0.100883</v>
      </c>
      <c r="R2524">
        <v>-0.81119699999999995</v>
      </c>
      <c r="S2524">
        <v>-2.559555</v>
      </c>
      <c r="T2524">
        <v>-0.55774029999999997</v>
      </c>
      <c r="U2524">
        <v>-1.9553830000000001</v>
      </c>
      <c r="V2524">
        <v>0.314048299999999</v>
      </c>
      <c r="W2524">
        <v>0.1126552</v>
      </c>
      <c r="X2524">
        <v>0.94269959999999997</v>
      </c>
      <c r="Y2524">
        <v>0.57056459999999998</v>
      </c>
      <c r="Z2524">
        <v>0.16787469999999999</v>
      </c>
      <c r="AA2524">
        <v>0.80391169999999901</v>
      </c>
      <c r="AB2524">
        <v>9</v>
      </c>
      <c r="AC2524">
        <v>-5.1140999999999996</v>
      </c>
      <c r="AD2524">
        <v>-1.12081280789099</v>
      </c>
      <c r="AE2524">
        <v>-3.8430000000000102</v>
      </c>
      <c r="AF2524">
        <v>3.6556596207977599</v>
      </c>
      <c r="AG2524">
        <v>-1.12081280789099</v>
      </c>
      <c r="AH2524">
        <v>5.0157259017612699</v>
      </c>
      <c r="AI2524">
        <v>100.23645134828</v>
      </c>
      <c r="AJ2524">
        <v>53.9139528288677</v>
      </c>
      <c r="AK2524">
        <v>6.30694656193175</v>
      </c>
      <c r="AL2524">
        <v>83.531601237061196</v>
      </c>
      <c r="AM2524">
        <v>71.575165906768902</v>
      </c>
      <c r="AN2524">
        <v>1.00000003233004</v>
      </c>
    </row>
    <row r="2525" spans="1:40" x14ac:dyDescent="0.25">
      <c r="A2525" t="str">
        <f>"20190303161924472"</f>
        <v>20190303161924472</v>
      </c>
      <c r="B2525" t="str">
        <f>"1551601164465144"</f>
        <v>1551601164465144</v>
      </c>
      <c r="C2525" t="s">
        <v>40</v>
      </c>
      <c r="D2525">
        <v>5.060225</v>
      </c>
      <c r="E2525">
        <v>0.62451610000000002</v>
      </c>
      <c r="F2525" t="s">
        <v>49</v>
      </c>
      <c r="G2525">
        <v>-200.97489999999999</v>
      </c>
      <c r="H2525" s="1">
        <v>2.265922E-6</v>
      </c>
      <c r="I2525">
        <v>289.0016</v>
      </c>
      <c r="J2525">
        <v>-195.74770000000001</v>
      </c>
      <c r="K2525">
        <v>1.120816</v>
      </c>
      <c r="L2525">
        <v>292.88010000000003</v>
      </c>
      <c r="M2525">
        <v>-0.29468119999999998</v>
      </c>
      <c r="N2525">
        <v>-1.317012E-2</v>
      </c>
      <c r="O2525">
        <v>-0.95550500000000005</v>
      </c>
      <c r="P2525">
        <v>-0.57827259999999903</v>
      </c>
      <c r="Q2525">
        <v>0.10066509999999999</v>
      </c>
      <c r="R2525">
        <v>-0.80960980000000005</v>
      </c>
      <c r="S2525">
        <v>-2.5722960000000001</v>
      </c>
      <c r="T2525">
        <v>-0.54845569999999999</v>
      </c>
      <c r="U2525">
        <v>-1.9399409999999999</v>
      </c>
      <c r="V2525">
        <v>0.31422470000000002</v>
      </c>
      <c r="W2525">
        <v>0.1124439</v>
      </c>
      <c r="X2525">
        <v>0.942666</v>
      </c>
      <c r="Y2525">
        <v>0.57382730000000004</v>
      </c>
      <c r="Z2525">
        <v>0.16505639999999999</v>
      </c>
      <c r="AA2525">
        <v>0.80217130000000003</v>
      </c>
      <c r="AB2525">
        <v>9</v>
      </c>
      <c r="AC2525">
        <v>-5.2271999999999803</v>
      </c>
      <c r="AD2525">
        <v>-1.120813734078</v>
      </c>
      <c r="AE2525">
        <v>-3.87850000000003</v>
      </c>
      <c r="AF2525">
        <v>3.7410993619261799</v>
      </c>
      <c r="AG2525">
        <v>-1.120813734078</v>
      </c>
      <c r="AH2525">
        <v>5.0956449469002898</v>
      </c>
      <c r="AI2525">
        <v>100.05415602772401</v>
      </c>
      <c r="AJ2525">
        <v>53.714784417230803</v>
      </c>
      <c r="AK2525">
        <v>6.4200969842497502</v>
      </c>
      <c r="AL2525">
        <v>83.543784977236498</v>
      </c>
      <c r="AM2525">
        <v>71.564903480412795</v>
      </c>
      <c r="AN2525">
        <v>0.99999999014664998</v>
      </c>
    </row>
    <row r="2526" spans="1:40" x14ac:dyDescent="0.25">
      <c r="A2526" t="str">
        <f>"20190303161924495"</f>
        <v>20190303161924495</v>
      </c>
      <c r="B2526" t="str">
        <f>"1551601164484665"</f>
        <v>1551601164484665</v>
      </c>
      <c r="C2526" t="s">
        <v>40</v>
      </c>
      <c r="D2526">
        <v>5.0784079999999996</v>
      </c>
      <c r="E2526">
        <v>0.62463190000000002</v>
      </c>
      <c r="F2526" t="s">
        <v>49</v>
      </c>
      <c r="G2526">
        <v>-201.1268</v>
      </c>
      <c r="H2526" s="1">
        <v>2.345506E-6</v>
      </c>
      <c r="I2526">
        <v>288.86200000000002</v>
      </c>
      <c r="J2526">
        <v>-195.77860000000001</v>
      </c>
      <c r="K2526">
        <v>1.1208260000000001</v>
      </c>
      <c r="L2526">
        <v>292.79079999999999</v>
      </c>
      <c r="M2526">
        <v>-0.29730669999999998</v>
      </c>
      <c r="N2526">
        <v>-1.3178749999999999E-2</v>
      </c>
      <c r="O2526">
        <v>-0.95469110000000001</v>
      </c>
      <c r="P2526">
        <v>-0.57954139999999998</v>
      </c>
      <c r="Q2526">
        <v>0.1028366</v>
      </c>
      <c r="R2526">
        <v>-0.80842849999999999</v>
      </c>
      <c r="S2526">
        <v>-2.5816189999999999</v>
      </c>
      <c r="T2526">
        <v>-0.53791519999999904</v>
      </c>
      <c r="U2526">
        <v>-1.9284060000000001</v>
      </c>
      <c r="V2526">
        <v>0.313195</v>
      </c>
      <c r="W2526">
        <v>0.1146283</v>
      </c>
      <c r="X2526">
        <v>0.94274559999999996</v>
      </c>
      <c r="Y2526">
        <v>0.57573059999999998</v>
      </c>
      <c r="Z2526">
        <v>0.16180559999999999</v>
      </c>
      <c r="AA2526">
        <v>0.8014694</v>
      </c>
      <c r="AB2526">
        <v>9</v>
      </c>
      <c r="AC2526">
        <v>-5.3481999999999896</v>
      </c>
      <c r="AD2526">
        <v>-1.120823654494</v>
      </c>
      <c r="AE2526">
        <v>-3.9287999999999599</v>
      </c>
      <c r="AF2526">
        <v>3.8289382228584601</v>
      </c>
      <c r="AG2526">
        <v>-1.120823654494</v>
      </c>
      <c r="AH2526">
        <v>5.1931697640149803</v>
      </c>
      <c r="AI2526">
        <v>99.854746122576501</v>
      </c>
      <c r="AJ2526">
        <v>53.598547146768396</v>
      </c>
      <c r="AK2526">
        <v>6.5487423049635396</v>
      </c>
      <c r="AL2526">
        <v>83.417813637515707</v>
      </c>
      <c r="AM2526">
        <v>71.622696541089098</v>
      </c>
      <c r="AN2526">
        <v>1.0000000107526199</v>
      </c>
    </row>
    <row r="2527" spans="1:40" x14ac:dyDescent="0.25">
      <c r="A2527" t="str">
        <f>"20190303161924518"</f>
        <v>20190303161924518</v>
      </c>
      <c r="B2527" t="str">
        <f>"1551601164505162"</f>
        <v>1551601164505162</v>
      </c>
      <c r="C2527" t="s">
        <v>40</v>
      </c>
      <c r="D2527">
        <v>5.0664860000000003</v>
      </c>
      <c r="E2527">
        <v>0.62477459999999996</v>
      </c>
      <c r="F2527" t="s">
        <v>49</v>
      </c>
      <c r="G2527">
        <v>-201.29239999999999</v>
      </c>
      <c r="H2527" s="1">
        <v>2.4338330000000002E-6</v>
      </c>
      <c r="I2527">
        <v>288.69170000000003</v>
      </c>
      <c r="J2527">
        <v>-195.8115</v>
      </c>
      <c r="K2527">
        <v>1.1208389999999999</v>
      </c>
      <c r="L2527">
        <v>292.69729999999998</v>
      </c>
      <c r="M2527">
        <v>-0.30010409999999998</v>
      </c>
      <c r="N2527">
        <v>-1.318678E-2</v>
      </c>
      <c r="O2527">
        <v>-0.95381530000000003</v>
      </c>
      <c r="P2527">
        <v>-0.5791056</v>
      </c>
      <c r="Q2527">
        <v>0.10552499999999999</v>
      </c>
      <c r="R2527">
        <v>-0.80839439999999996</v>
      </c>
      <c r="S2527">
        <v>-2.5870060000000001</v>
      </c>
      <c r="T2527">
        <v>-0.52588000000000001</v>
      </c>
      <c r="U2527">
        <v>-1.923279</v>
      </c>
      <c r="V2527">
        <v>0.3100252</v>
      </c>
      <c r="W2527">
        <v>0.11734169999999999</v>
      </c>
      <c r="X2527">
        <v>0.94345919999999905</v>
      </c>
      <c r="Y2527">
        <v>0.57569099999999995</v>
      </c>
      <c r="Z2527">
        <v>0.1579729</v>
      </c>
      <c r="AA2527">
        <v>0.80226209999999998</v>
      </c>
      <c r="AB2527">
        <v>9</v>
      </c>
      <c r="AC2527">
        <v>-5.4808999999999903</v>
      </c>
      <c r="AD2527">
        <v>-1.1208365661669999</v>
      </c>
      <c r="AE2527">
        <v>-4.0055999999999496</v>
      </c>
      <c r="AF2527">
        <v>3.9191828871126102</v>
      </c>
      <c r="AG2527">
        <v>-1.1208365661669999</v>
      </c>
      <c r="AH2527">
        <v>5.3208720355869499</v>
      </c>
      <c r="AI2527">
        <v>99.626128678035997</v>
      </c>
      <c r="AJ2527">
        <v>53.6258364915847</v>
      </c>
      <c r="AK2527">
        <v>6.7028313666528003</v>
      </c>
      <c r="AL2527">
        <v>83.261290639029994</v>
      </c>
      <c r="AM2527">
        <v>71.809229774889502</v>
      </c>
      <c r="AN2527">
        <v>0.99999998062928397</v>
      </c>
    </row>
    <row r="2528" spans="1:40" x14ac:dyDescent="0.25">
      <c r="A2528" t="str">
        <f>"20190303161924539"</f>
        <v>20190303161924539</v>
      </c>
      <c r="B2528" t="str">
        <f>"1551601164524680"</f>
        <v>1551601164524680</v>
      </c>
      <c r="C2528" t="s">
        <v>40</v>
      </c>
      <c r="D2528">
        <v>5.0925589999999996</v>
      </c>
      <c r="E2528">
        <v>0.6250734</v>
      </c>
      <c r="F2528" t="s">
        <v>49</v>
      </c>
      <c r="G2528">
        <v>-201.51509999999999</v>
      </c>
      <c r="H2528" s="1">
        <v>2.5523999999999999E-6</v>
      </c>
      <c r="I2528">
        <v>288.46530000000001</v>
      </c>
      <c r="J2528">
        <v>-195.84129999999999</v>
      </c>
      <c r="K2528">
        <v>1.120844</v>
      </c>
      <c r="L2528">
        <v>292.61320000000001</v>
      </c>
      <c r="M2528">
        <v>-0.30265720000000002</v>
      </c>
      <c r="N2528">
        <v>-1.319331E-2</v>
      </c>
      <c r="O2528">
        <v>-0.95300830000000003</v>
      </c>
      <c r="P2528">
        <v>-0.58044419999999897</v>
      </c>
      <c r="Q2528">
        <v>0.10565239999999999</v>
      </c>
      <c r="R2528">
        <v>-0.80741719999999995</v>
      </c>
      <c r="S2528">
        <v>-2.5902560000000001</v>
      </c>
      <c r="T2528">
        <v>-0.50901470000000004</v>
      </c>
      <c r="U2528">
        <v>-1.9219059999999999</v>
      </c>
      <c r="V2528">
        <v>0.3090656</v>
      </c>
      <c r="W2528">
        <v>0.1174814</v>
      </c>
      <c r="X2528">
        <v>0.94375659999999895</v>
      </c>
      <c r="Y2528">
        <v>0.57498249999999995</v>
      </c>
      <c r="Z2528">
        <v>0.15256110000000001</v>
      </c>
      <c r="AA2528">
        <v>0.80381610000000003</v>
      </c>
      <c r="AB2528">
        <v>9</v>
      </c>
      <c r="AC2528">
        <v>-5.6738</v>
      </c>
      <c r="AD2528">
        <v>-1.1208414475999999</v>
      </c>
      <c r="AE2528">
        <v>-4.1478999999999902</v>
      </c>
      <c r="AF2528">
        <v>4.0491675431132403</v>
      </c>
      <c r="AG2528">
        <v>-1.1208414475999999</v>
      </c>
      <c r="AH2528">
        <v>5.5300499944019901</v>
      </c>
      <c r="AI2528">
        <v>99.287439051875197</v>
      </c>
      <c r="AJ2528">
        <v>53.787973761165297</v>
      </c>
      <c r="AK2528">
        <v>6.9450339296108003</v>
      </c>
      <c r="AL2528">
        <v>83.253230613616907</v>
      </c>
      <c r="AM2528">
        <v>71.867183826717294</v>
      </c>
      <c r="AN2528">
        <v>0.999999972246439</v>
      </c>
    </row>
    <row r="2529" spans="1:40" x14ac:dyDescent="0.25">
      <c r="A2529" t="str">
        <f>"20190303161924562"</f>
        <v>20190303161924562</v>
      </c>
      <c r="B2529" t="str">
        <f>"1551601164554937"</f>
        <v>1551601164554937</v>
      </c>
      <c r="C2529" t="s">
        <v>40</v>
      </c>
      <c r="D2529">
        <v>5.0774809999999997</v>
      </c>
      <c r="E2529">
        <v>0.62531080000000006</v>
      </c>
      <c r="F2529" t="s">
        <v>49</v>
      </c>
      <c r="G2529">
        <v>-201.6121</v>
      </c>
      <c r="H2529" s="1">
        <v>2.6053840000000001E-6</v>
      </c>
      <c r="I2529">
        <v>288.35120000000001</v>
      </c>
      <c r="J2529">
        <v>-195.8749</v>
      </c>
      <c r="K2529">
        <v>1.120838</v>
      </c>
      <c r="L2529">
        <v>292.51929999999999</v>
      </c>
      <c r="M2529">
        <v>-0.30554389999999998</v>
      </c>
      <c r="N2529">
        <v>-1.319965E-2</v>
      </c>
      <c r="O2529">
        <v>-0.95208669999999995</v>
      </c>
      <c r="P2529">
        <v>-0.58480949999999998</v>
      </c>
      <c r="Q2529">
        <v>0.1034508</v>
      </c>
      <c r="R2529">
        <v>-0.80454740000000002</v>
      </c>
      <c r="S2529">
        <v>-2.5946500000000001</v>
      </c>
      <c r="T2529">
        <v>-0.50394439999999996</v>
      </c>
      <c r="U2529">
        <v>-1.916229</v>
      </c>
      <c r="V2529">
        <v>0.31122899999999998</v>
      </c>
      <c r="W2529">
        <v>0.115274</v>
      </c>
      <c r="X2529">
        <v>0.94331779999999998</v>
      </c>
      <c r="Y2529">
        <v>0.57451300000000005</v>
      </c>
      <c r="Z2529">
        <v>0.15095799999999901</v>
      </c>
      <c r="AA2529">
        <v>0.80445419999999901</v>
      </c>
      <c r="AB2529">
        <v>9</v>
      </c>
      <c r="AC2529">
        <v>-5.7371999999999996</v>
      </c>
      <c r="AD2529">
        <v>-1.1208353946159999</v>
      </c>
      <c r="AE2529">
        <v>-4.1680999999999804</v>
      </c>
      <c r="AF2529">
        <v>4.0870389310955</v>
      </c>
      <c r="AG2529">
        <v>-1.1208353946159999</v>
      </c>
      <c r="AH2529">
        <v>5.5824008480313401</v>
      </c>
      <c r="AI2529">
        <v>99.202146555101095</v>
      </c>
      <c r="AJ2529">
        <v>53.791050848020703</v>
      </c>
      <c r="AK2529">
        <v>7.0088057780348896</v>
      </c>
      <c r="AL2529">
        <v>83.380570994613507</v>
      </c>
      <c r="AM2529">
        <v>71.740718296668305</v>
      </c>
      <c r="AN2529">
        <v>1.00000002865691</v>
      </c>
    </row>
    <row r="2530" spans="1:40" x14ac:dyDescent="0.25">
      <c r="A2530" t="str">
        <f>"20190303161924584"</f>
        <v>20190303161924584</v>
      </c>
      <c r="B2530" t="str">
        <f>"1551601164574456"</f>
        <v>1551601164574456</v>
      </c>
      <c r="C2530" t="s">
        <v>40</v>
      </c>
      <c r="D2530">
        <v>5.1235759999999999</v>
      </c>
      <c r="E2530">
        <v>0.62543199999999999</v>
      </c>
      <c r="F2530" t="s">
        <v>49</v>
      </c>
      <c r="G2530">
        <v>-201.5889</v>
      </c>
      <c r="H2530" s="1">
        <v>2.5961469999999998E-6</v>
      </c>
      <c r="I2530">
        <v>288.33890000000002</v>
      </c>
      <c r="J2530">
        <v>-195.905</v>
      </c>
      <c r="K2530">
        <v>1.1208340000000001</v>
      </c>
      <c r="L2530">
        <v>292.43630000000002</v>
      </c>
      <c r="M2530">
        <v>-0.30813639999999998</v>
      </c>
      <c r="N2530">
        <v>-1.32043E-2</v>
      </c>
      <c r="O2530">
        <v>-0.9512507</v>
      </c>
      <c r="P2530">
        <v>-0.59040870000000001</v>
      </c>
      <c r="Q2530">
        <v>0.1017565</v>
      </c>
      <c r="R2530">
        <v>-0.80066419999999905</v>
      </c>
      <c r="S2530">
        <v>-2.6015929999999998</v>
      </c>
      <c r="T2530">
        <v>-0.5103221</v>
      </c>
      <c r="U2530">
        <v>-1.903381</v>
      </c>
      <c r="V2530">
        <v>0.31517460000000003</v>
      </c>
      <c r="W2530">
        <v>0.1135596</v>
      </c>
      <c r="X2530">
        <v>0.94221500000000002</v>
      </c>
      <c r="Y2530">
        <v>0.57562380000000002</v>
      </c>
      <c r="Z2530">
        <v>0.15312790000000001</v>
      </c>
      <c r="AA2530">
        <v>0.80324910000000005</v>
      </c>
      <c r="AB2530">
        <v>9</v>
      </c>
      <c r="AC2530">
        <v>-5.6838999999999897</v>
      </c>
      <c r="AD2530">
        <v>-1.1208314038530001</v>
      </c>
      <c r="AE2530">
        <v>-4.0973999999999897</v>
      </c>
      <c r="AF2530">
        <v>4.04120923236139</v>
      </c>
      <c r="AG2530">
        <v>-1.1208314038530001</v>
      </c>
      <c r="AH2530">
        <v>5.5086074721717999</v>
      </c>
      <c r="AI2530">
        <v>99.316739417240896</v>
      </c>
      <c r="AJ2530">
        <v>53.735586869359402</v>
      </c>
      <c r="AK2530">
        <v>6.9233222789389899</v>
      </c>
      <c r="AL2530">
        <v>83.479447774120899</v>
      </c>
      <c r="AM2530">
        <v>71.504710282532699</v>
      </c>
      <c r="AN2530">
        <v>0.99999995873115899</v>
      </c>
    </row>
    <row r="2531" spans="1:40" x14ac:dyDescent="0.25">
      <c r="A2531" t="str">
        <f>"20190303161924607"</f>
        <v>20190303161924607</v>
      </c>
      <c r="B2531" t="str">
        <f>"1551601164594952"</f>
        <v>1551601164594952</v>
      </c>
      <c r="C2531" t="s">
        <v>40</v>
      </c>
      <c r="D2531">
        <v>5.1344699999999897</v>
      </c>
      <c r="E2531">
        <v>0.62551020000000002</v>
      </c>
      <c r="F2531" t="s">
        <v>49</v>
      </c>
      <c r="G2531">
        <v>-201.58799999999999</v>
      </c>
      <c r="H2531" s="1">
        <v>2.5961399999999998E-6</v>
      </c>
      <c r="I2531">
        <v>288.3347</v>
      </c>
      <c r="J2531">
        <v>-195.9383</v>
      </c>
      <c r="K2531">
        <v>1.1208340000000001</v>
      </c>
      <c r="L2531">
        <v>292.34530000000001</v>
      </c>
      <c r="M2531">
        <v>-0.31101600000000001</v>
      </c>
      <c r="N2531">
        <v>-1.3208620000000001E-2</v>
      </c>
      <c r="O2531">
        <v>-0.95031299999999996</v>
      </c>
      <c r="P2531">
        <v>-0.59653509999999998</v>
      </c>
      <c r="Q2531">
        <v>0.10181510000000001</v>
      </c>
      <c r="R2531">
        <v>-0.79610300000000001</v>
      </c>
      <c r="S2531">
        <v>-2.6127929999999999</v>
      </c>
      <c r="T2531">
        <v>-0.51530869999999995</v>
      </c>
      <c r="U2531">
        <v>-1.885742</v>
      </c>
      <c r="V2531">
        <v>0.3195577</v>
      </c>
      <c r="W2531">
        <v>0.11358989999999999</v>
      </c>
      <c r="X2531">
        <v>0.94073390000000001</v>
      </c>
      <c r="Y2531">
        <v>0.5781271</v>
      </c>
      <c r="Z2531">
        <v>0.1548785</v>
      </c>
      <c r="AA2531">
        <v>0.80111279999999996</v>
      </c>
      <c r="AB2531">
        <v>9</v>
      </c>
      <c r="AC2531">
        <v>-5.6496999999999904</v>
      </c>
      <c r="AD2531">
        <v>-1.12083140386</v>
      </c>
      <c r="AE2531">
        <v>-4.0106000000000099</v>
      </c>
      <c r="AF2531">
        <v>4.0168606722846203</v>
      </c>
      <c r="AG2531">
        <v>-1.12083140386</v>
      </c>
      <c r="AH2531">
        <v>5.4269349924821499</v>
      </c>
      <c r="AI2531">
        <v>99.425423653736601</v>
      </c>
      <c r="AJ2531">
        <v>53.492223310853099</v>
      </c>
      <c r="AK2531">
        <v>6.8441987192843001</v>
      </c>
      <c r="AL2531">
        <v>83.477700871112205</v>
      </c>
      <c r="AM2531">
        <v>71.237900320853299</v>
      </c>
      <c r="AN2531">
        <v>1.00000002981025</v>
      </c>
    </row>
    <row r="2532" spans="1:40" x14ac:dyDescent="0.25">
      <c r="A2532" t="str">
        <f>"20190303161924629"</f>
        <v>20190303161924629</v>
      </c>
      <c r="B2532" t="str">
        <f>"1551601164615147"</f>
        <v>1551601164615147</v>
      </c>
      <c r="C2532" t="s">
        <v>40</v>
      </c>
      <c r="D2532">
        <v>5.0312519999999896</v>
      </c>
      <c r="E2532">
        <v>0.62546889999999999</v>
      </c>
      <c r="F2532" t="s">
        <v>49</v>
      </c>
      <c r="G2532">
        <v>-201.6653</v>
      </c>
      <c r="H2532" s="1">
        <v>2.6354799999999999E-6</v>
      </c>
      <c r="I2532">
        <v>288.27659999999997</v>
      </c>
      <c r="J2532">
        <v>-195.9717</v>
      </c>
      <c r="K2532">
        <v>1.1208309999999999</v>
      </c>
      <c r="L2532">
        <v>292.2552</v>
      </c>
      <c r="M2532">
        <v>-0.31391609999999998</v>
      </c>
      <c r="N2532">
        <v>-1.32125E-2</v>
      </c>
      <c r="O2532">
        <v>-0.94935890000000001</v>
      </c>
      <c r="P2532">
        <v>-0.60228559999999998</v>
      </c>
      <c r="Q2532">
        <v>0.1024501</v>
      </c>
      <c r="R2532">
        <v>-0.79167969999999999</v>
      </c>
      <c r="S2532">
        <v>-2.6264799999999999</v>
      </c>
      <c r="T2532">
        <v>-0.51403429999999894</v>
      </c>
      <c r="U2532">
        <v>-1.8659969999999999</v>
      </c>
      <c r="V2532">
        <v>0.32353100000000001</v>
      </c>
      <c r="W2532">
        <v>0.1141973</v>
      </c>
      <c r="X2532">
        <v>0.93930119999999895</v>
      </c>
      <c r="Y2532">
        <v>0.58165210000000001</v>
      </c>
      <c r="Z2532">
        <v>0.154644899999999</v>
      </c>
      <c r="AA2532">
        <v>0.79860240000000005</v>
      </c>
      <c r="AB2532">
        <v>9</v>
      </c>
      <c r="AC2532">
        <v>-5.6936</v>
      </c>
      <c r="AD2532">
        <v>-1.1208283645199999</v>
      </c>
      <c r="AE2532">
        <v>-3.9786000000000201</v>
      </c>
      <c r="AF2532">
        <v>4.0511990004179204</v>
      </c>
      <c r="AG2532">
        <v>-1.1208283645199999</v>
      </c>
      <c r="AH2532">
        <v>5.4236930515480601</v>
      </c>
      <c r="AI2532">
        <v>99.400938932322603</v>
      </c>
      <c r="AJ2532">
        <v>53.242300966753298</v>
      </c>
      <c r="AK2532">
        <v>6.8618449327502598</v>
      </c>
      <c r="AL2532">
        <v>83.442671529868406</v>
      </c>
      <c r="AM2532">
        <v>70.994347340264895</v>
      </c>
      <c r="AN2532">
        <v>1.0000000378048599</v>
      </c>
    </row>
    <row r="2533" spans="1:40" x14ac:dyDescent="0.25">
      <c r="A2533" t="str">
        <f>"20190303161924653"</f>
        <v>20190303161924653</v>
      </c>
      <c r="B2533" t="str">
        <f>"1551601164645403"</f>
        <v>1551601164645403</v>
      </c>
      <c r="C2533" t="s">
        <v>40</v>
      </c>
      <c r="D2533">
        <v>5.1268370000000001</v>
      </c>
      <c r="E2533">
        <v>0.62570150000000002</v>
      </c>
      <c r="F2533" t="s">
        <v>49</v>
      </c>
      <c r="G2533">
        <v>-201.74760000000001</v>
      </c>
      <c r="H2533" s="1">
        <v>2.677745E-6</v>
      </c>
      <c r="I2533">
        <v>288.21080000000001</v>
      </c>
      <c r="J2533">
        <v>-196.0051</v>
      </c>
      <c r="K2533">
        <v>1.120817</v>
      </c>
      <c r="L2533">
        <v>292.166</v>
      </c>
      <c r="M2533">
        <v>-0.31683040000000001</v>
      </c>
      <c r="N2533">
        <v>-1.3215960000000001E-2</v>
      </c>
      <c r="O2533">
        <v>-0.94839019999999996</v>
      </c>
      <c r="P2533">
        <v>-0.60996490000000003</v>
      </c>
      <c r="Q2533">
        <v>0.10078429999999999</v>
      </c>
      <c r="R2533">
        <v>-0.78599350000000001</v>
      </c>
      <c r="S2533">
        <v>-2.639084</v>
      </c>
      <c r="T2533">
        <v>-0.5121173</v>
      </c>
      <c r="U2533">
        <v>-1.8479000000000001</v>
      </c>
      <c r="V2533">
        <v>0.3297234</v>
      </c>
      <c r="W2533">
        <v>0.1124913</v>
      </c>
      <c r="X2533">
        <v>0.93735170000000001</v>
      </c>
      <c r="Y2533">
        <v>0.58469640000000001</v>
      </c>
      <c r="Z2533">
        <v>0.1541796</v>
      </c>
      <c r="AA2533">
        <v>0.79646649999999997</v>
      </c>
      <c r="AB2533">
        <v>9</v>
      </c>
      <c r="AC2533">
        <v>-5.7424999999999997</v>
      </c>
      <c r="AD2533">
        <v>-1.120814322255</v>
      </c>
      <c r="AE2533">
        <v>-3.9551999999999898</v>
      </c>
      <c r="AF2533">
        <v>4.0877511471118497</v>
      </c>
      <c r="AG2533">
        <v>-1.120814322255</v>
      </c>
      <c r="AH2533">
        <v>5.4306425600795798</v>
      </c>
      <c r="AI2533">
        <v>99.363480378362496</v>
      </c>
      <c r="AJ2533">
        <v>53.030506295237402</v>
      </c>
      <c r="AK2533">
        <v>6.8889631150873401</v>
      </c>
      <c r="AL2533">
        <v>83.541051953560199</v>
      </c>
      <c r="AM2533">
        <v>70.620136640226605</v>
      </c>
      <c r="AN2533">
        <v>1.00000001128807</v>
      </c>
    </row>
    <row r="2534" spans="1:40" x14ac:dyDescent="0.25">
      <c r="A2534" t="str">
        <f>"20190303161924673"</f>
        <v>20190303161924673</v>
      </c>
      <c r="B2534" t="str">
        <f>"1551601164664924"</f>
        <v>1551601164664924</v>
      </c>
      <c r="C2534" t="s">
        <v>40</v>
      </c>
      <c r="D2534">
        <v>5.1337919999999997</v>
      </c>
      <c r="E2534">
        <v>0.62579569999999995</v>
      </c>
      <c r="F2534" t="s">
        <v>49</v>
      </c>
      <c r="G2534">
        <v>-201.79079999999999</v>
      </c>
      <c r="H2534" s="1">
        <v>2.697974E-6</v>
      </c>
      <c r="I2534">
        <v>288.19819999999999</v>
      </c>
      <c r="J2534">
        <v>-196.0368</v>
      </c>
      <c r="K2534">
        <v>1.1207860000000001</v>
      </c>
      <c r="L2534">
        <v>292.08210000000003</v>
      </c>
      <c r="M2534">
        <v>-0.31961780000000001</v>
      </c>
      <c r="N2534">
        <v>-1.321898E-2</v>
      </c>
      <c r="O2534">
        <v>-0.94745449999999998</v>
      </c>
      <c r="P2534">
        <v>-0.6165619</v>
      </c>
      <c r="Q2534">
        <v>9.6779279999999995E-2</v>
      </c>
      <c r="R2534">
        <v>-0.78133599999999903</v>
      </c>
      <c r="S2534">
        <v>-2.6560969999999999</v>
      </c>
      <c r="T2534">
        <v>-0.51454659999999997</v>
      </c>
      <c r="U2534">
        <v>-1.8215330000000001</v>
      </c>
      <c r="V2534">
        <v>0.33469500000000002</v>
      </c>
      <c r="W2534">
        <v>0.10845390000000001</v>
      </c>
      <c r="X2534">
        <v>0.93606469999999997</v>
      </c>
      <c r="Y2534">
        <v>0.58993059999999997</v>
      </c>
      <c r="Z2534">
        <v>0.15521860000000001</v>
      </c>
      <c r="AA2534">
        <v>0.7923945</v>
      </c>
      <c r="AB2534">
        <v>9</v>
      </c>
      <c r="AC2534">
        <v>-5.7539999999999898</v>
      </c>
      <c r="AD2534">
        <v>-1.1207833020260001</v>
      </c>
      <c r="AE2534">
        <v>-3.8839000000000401</v>
      </c>
      <c r="AF2534">
        <v>4.1036941217288101</v>
      </c>
      <c r="AG2534">
        <v>-1.1207833020260001</v>
      </c>
      <c r="AH2534">
        <v>5.3791726657170704</v>
      </c>
      <c r="AI2534">
        <v>99.405896468394204</v>
      </c>
      <c r="AJ2534">
        <v>52.660506392928298</v>
      </c>
      <c r="AK2534">
        <v>6.8579850701506704</v>
      </c>
      <c r="AL2534">
        <v>83.773803009812497</v>
      </c>
      <c r="AM2534">
        <v>70.325214943423902</v>
      </c>
      <c r="AN2534">
        <v>1.00000005701814</v>
      </c>
    </row>
    <row r="2535" spans="1:40" x14ac:dyDescent="0.25">
      <c r="A2535" t="str">
        <f>"20190303161924696"</f>
        <v>20190303161924696</v>
      </c>
      <c r="B2535" t="str">
        <f>"1551601164685420"</f>
        <v>1551601164685420</v>
      </c>
      <c r="C2535" t="s">
        <v>40</v>
      </c>
      <c r="D2535">
        <v>5.0790639999999998</v>
      </c>
      <c r="E2535">
        <v>0.62563749999999996</v>
      </c>
      <c r="F2535" t="s">
        <v>49</v>
      </c>
      <c r="G2535">
        <v>-201.73</v>
      </c>
      <c r="H2535" s="1">
        <v>2.666869E-6</v>
      </c>
      <c r="I2535">
        <v>288.24599999999998</v>
      </c>
      <c r="J2535">
        <v>-196.06950000000001</v>
      </c>
      <c r="K2535">
        <v>1.120733</v>
      </c>
      <c r="L2535">
        <v>291.99680000000001</v>
      </c>
      <c r="M2535">
        <v>-0.3225228</v>
      </c>
      <c r="N2535">
        <v>-1.3222609999999999E-2</v>
      </c>
      <c r="O2535">
        <v>-0.94646929999999996</v>
      </c>
      <c r="P2535">
        <v>-0.62118779999999996</v>
      </c>
      <c r="Q2535">
        <v>9.1019009999999997E-2</v>
      </c>
      <c r="R2535">
        <v>-0.77835829999999995</v>
      </c>
      <c r="S2535">
        <v>-2.6691129999999998</v>
      </c>
      <c r="T2535">
        <v>-0.52545259999999905</v>
      </c>
      <c r="U2535">
        <v>-1.798462</v>
      </c>
      <c r="V2535">
        <v>0.33714959999999899</v>
      </c>
      <c r="W2535">
        <v>0.1026719</v>
      </c>
      <c r="X2535">
        <v>0.9358358</v>
      </c>
      <c r="Y2535">
        <v>0.59344889999999995</v>
      </c>
      <c r="Z2535">
        <v>0.158943</v>
      </c>
      <c r="AA2535">
        <v>0.78902190000000005</v>
      </c>
      <c r="AB2535">
        <v>9</v>
      </c>
      <c r="AC2535">
        <v>-5.6604999999999803</v>
      </c>
      <c r="AD2535">
        <v>-1.1207303331309999</v>
      </c>
      <c r="AE2535">
        <v>-3.7508000000000199</v>
      </c>
      <c r="AF2535">
        <v>4.0381343824445697</v>
      </c>
      <c r="AG2535">
        <v>-1.1207303331309999</v>
      </c>
      <c r="AH2535">
        <v>5.2335644980423304</v>
      </c>
      <c r="AI2535">
        <v>99.622525344501696</v>
      </c>
      <c r="AJ2535">
        <v>52.346798509561602</v>
      </c>
      <c r="AK2535">
        <v>6.7046821793020097</v>
      </c>
      <c r="AL2535">
        <v>84.1069487927046</v>
      </c>
      <c r="AM2535">
        <v>70.1876446277887</v>
      </c>
      <c r="AN2535">
        <v>1.0000000081956999</v>
      </c>
    </row>
    <row r="2536" spans="1:40" x14ac:dyDescent="0.25">
      <c r="A2536" t="str">
        <f>"20190303161924717"</f>
        <v>20190303161924717</v>
      </c>
      <c r="B2536" t="str">
        <f>"1551601164704940"</f>
        <v>1551601164704940</v>
      </c>
      <c r="C2536" t="s">
        <v>40</v>
      </c>
      <c r="D2536">
        <v>5.0803180000000001</v>
      </c>
      <c r="E2536">
        <v>0.62546930000000001</v>
      </c>
      <c r="F2536" t="s">
        <v>49</v>
      </c>
      <c r="G2536">
        <v>-201.63509999999999</v>
      </c>
      <c r="H2536" s="1">
        <v>2.6204790000000002E-6</v>
      </c>
      <c r="I2536">
        <v>288.29509999999999</v>
      </c>
      <c r="J2536">
        <v>-196.1019</v>
      </c>
      <c r="K2536">
        <v>1.120663</v>
      </c>
      <c r="L2536">
        <v>291.91309999999999</v>
      </c>
      <c r="M2536">
        <v>-0.32545760000000001</v>
      </c>
      <c r="N2536">
        <v>-1.3227360000000001E-2</v>
      </c>
      <c r="O2536">
        <v>-0.94546410000000003</v>
      </c>
      <c r="P2536">
        <v>-0.6243088</v>
      </c>
      <c r="Q2536">
        <v>8.4168960000000001E-2</v>
      </c>
      <c r="R2536">
        <v>-0.77663009999999999</v>
      </c>
      <c r="S2536">
        <v>-2.6772610000000001</v>
      </c>
      <c r="T2536">
        <v>-0.53911089999999995</v>
      </c>
      <c r="U2536">
        <v>-1.78064</v>
      </c>
      <c r="V2536">
        <v>0.33774759999999998</v>
      </c>
      <c r="W2536">
        <v>9.5802330000000005E-2</v>
      </c>
      <c r="X2536">
        <v>0.93634850000000003</v>
      </c>
      <c r="Y2536">
        <v>0.59506320000000001</v>
      </c>
      <c r="Z2536">
        <v>0.16351729999999901</v>
      </c>
      <c r="AA2536">
        <v>0.78686840000000002</v>
      </c>
      <c r="AB2536">
        <v>9</v>
      </c>
      <c r="AC2536">
        <v>-5.5331999999999901</v>
      </c>
      <c r="AD2536">
        <v>-1.1206603795209999</v>
      </c>
      <c r="AE2536">
        <v>-3.6179999999999901</v>
      </c>
      <c r="AF2536">
        <v>3.94104680777893</v>
      </c>
      <c r="AG2536">
        <v>-1.1206603795209999</v>
      </c>
      <c r="AH2536">
        <v>5.0761082174106997</v>
      </c>
      <c r="AI2536">
        <v>99.891975571119104</v>
      </c>
      <c r="AJ2536">
        <v>52.174542553735002</v>
      </c>
      <c r="AK2536">
        <v>6.5233890166229598</v>
      </c>
      <c r="AL2536">
        <v>84.502499542368298</v>
      </c>
      <c r="AM2536">
        <v>70.165263476404505</v>
      </c>
      <c r="AN2536">
        <v>1.00000002059571</v>
      </c>
    </row>
    <row r="2537" spans="1:40" x14ac:dyDescent="0.25">
      <c r="A2537" t="str">
        <f>"20190303161924741"</f>
        <v>20190303161924741</v>
      </c>
      <c r="B2537" t="str">
        <f>"1551601164735196"</f>
        <v>1551601164735196</v>
      </c>
      <c r="C2537" t="s">
        <v>40</v>
      </c>
      <c r="D2537">
        <v>5.0745620000000002</v>
      </c>
      <c r="E2537">
        <v>0.6249093</v>
      </c>
      <c r="F2537" t="s">
        <v>49</v>
      </c>
      <c r="G2537">
        <v>-201.5179</v>
      </c>
      <c r="H2537" s="1">
        <v>2.5641000000000001E-6</v>
      </c>
      <c r="I2537">
        <v>288.34530000000001</v>
      </c>
      <c r="J2537">
        <v>-196.13749999999999</v>
      </c>
      <c r="K2537">
        <v>1.120563</v>
      </c>
      <c r="L2537">
        <v>291.82229999999998</v>
      </c>
      <c r="M2537">
        <v>-0.32876050000000001</v>
      </c>
      <c r="N2537">
        <v>-1.323439E-2</v>
      </c>
      <c r="O2537">
        <v>-0.94432079999999996</v>
      </c>
      <c r="P2537">
        <v>-0.62678739999999999</v>
      </c>
      <c r="Q2537">
        <v>7.7543829999999994E-2</v>
      </c>
      <c r="R2537">
        <v>-0.77532259999999997</v>
      </c>
      <c r="S2537">
        <v>-2.6821440000000001</v>
      </c>
      <c r="T2537">
        <v>-0.55498029999999998</v>
      </c>
      <c r="U2537">
        <v>-1.766907</v>
      </c>
      <c r="V2537">
        <v>0.33723629999999999</v>
      </c>
      <c r="W2537">
        <v>8.9149999999999993E-2</v>
      </c>
      <c r="X2537">
        <v>0.93718939999999995</v>
      </c>
      <c r="Y2537">
        <v>0.59497159999999905</v>
      </c>
      <c r="Z2537">
        <v>0.16874359999999999</v>
      </c>
      <c r="AA2537">
        <v>0.78583359999999902</v>
      </c>
      <c r="AB2537">
        <v>9</v>
      </c>
      <c r="AC2537">
        <v>-5.3803999999999998</v>
      </c>
      <c r="AD2537">
        <v>-1.1205604359000001</v>
      </c>
      <c r="AE2537">
        <v>-3.4769999999999701</v>
      </c>
      <c r="AF2537">
        <v>3.8211509172712699</v>
      </c>
      <c r="AG2537">
        <v>-1.1205604359000001</v>
      </c>
      <c r="AH2537">
        <v>4.9026990004898598</v>
      </c>
      <c r="AI2537">
        <v>100.21910626688999</v>
      </c>
      <c r="AJ2537">
        <v>52.067241263370001</v>
      </c>
      <c r="AK2537">
        <v>6.3161149065285196</v>
      </c>
      <c r="AL2537">
        <v>84.885290930283503</v>
      </c>
      <c r="AM2537">
        <v>70.209344274222801</v>
      </c>
      <c r="AN2537">
        <v>1.00000000800502</v>
      </c>
    </row>
    <row r="2538" spans="1:40" x14ac:dyDescent="0.25">
      <c r="A2538" t="str">
        <f>"20190303161924763"</f>
        <v>20190303161924763</v>
      </c>
      <c r="B2538" t="str">
        <f>"1551601164755692"</f>
        <v>1551601164755692</v>
      </c>
      <c r="C2538" t="s">
        <v>40</v>
      </c>
      <c r="D2538">
        <v>5.1151809999999998</v>
      </c>
      <c r="E2538">
        <v>0.62461599999999995</v>
      </c>
      <c r="F2538" t="s">
        <v>49</v>
      </c>
      <c r="G2538">
        <v>-201.40309999999999</v>
      </c>
      <c r="H2538" s="1">
        <v>2.510564E-6</v>
      </c>
      <c r="I2538">
        <v>288.37560000000002</v>
      </c>
      <c r="J2538">
        <v>-196.17070000000001</v>
      </c>
      <c r="K2538">
        <v>1.1204730000000001</v>
      </c>
      <c r="L2538">
        <v>291.73869999999999</v>
      </c>
      <c r="M2538">
        <v>-0.33192850000000002</v>
      </c>
      <c r="N2538">
        <v>-1.324299E-2</v>
      </c>
      <c r="O2538">
        <v>-0.94321189999999999</v>
      </c>
      <c r="P2538">
        <v>-0.6290943</v>
      </c>
      <c r="Q2538">
        <v>7.2756169999999995E-2</v>
      </c>
      <c r="R2538">
        <v>-0.77391699999999997</v>
      </c>
      <c r="S2538">
        <v>-2.6838679999999999</v>
      </c>
      <c r="T2538">
        <v>-0.57114350000000003</v>
      </c>
      <c r="U2538">
        <v>-1.756775</v>
      </c>
      <c r="V2538">
        <v>0.33672929999999901</v>
      </c>
      <c r="W2538">
        <v>8.432692E-2</v>
      </c>
      <c r="X2538">
        <v>0.93781789999999998</v>
      </c>
      <c r="Y2538">
        <v>0.59379369999999998</v>
      </c>
      <c r="Z2538">
        <v>0.17404510000000001</v>
      </c>
      <c r="AA2538">
        <v>0.78556819999999905</v>
      </c>
      <c r="AB2538">
        <v>9</v>
      </c>
      <c r="AC2538">
        <v>-5.2323999999999797</v>
      </c>
      <c r="AD2538">
        <v>-1.120470489436</v>
      </c>
      <c r="AE2538">
        <v>-3.36309999999997</v>
      </c>
      <c r="AF2538">
        <v>3.69924516243529</v>
      </c>
      <c r="AG2538">
        <v>-1.120470489436</v>
      </c>
      <c r="AH2538">
        <v>4.7550253966208</v>
      </c>
      <c r="AI2538">
        <v>100.53580119793899</v>
      </c>
      <c r="AJ2538">
        <v>52.1183194473656</v>
      </c>
      <c r="AK2538">
        <v>6.1278165289119597</v>
      </c>
      <c r="AL2538">
        <v>85.162678892004394</v>
      </c>
      <c r="AM2538">
        <v>70.249011338289804</v>
      </c>
      <c r="AN2538">
        <v>1.00000003223779</v>
      </c>
    </row>
    <row r="2539" spans="1:40" x14ac:dyDescent="0.25">
      <c r="A2539" t="str">
        <f>"20190303161924786"</f>
        <v>20190303161924786</v>
      </c>
      <c r="B2539" t="str">
        <f>"1551601164775212"</f>
        <v>1551601164775212</v>
      </c>
      <c r="C2539" t="s">
        <v>40</v>
      </c>
      <c r="D2539">
        <v>5.1136460000000001</v>
      </c>
      <c r="E2539">
        <v>0.62434959999999995</v>
      </c>
      <c r="F2539" t="s">
        <v>49</v>
      </c>
      <c r="G2539">
        <v>-201.3288</v>
      </c>
      <c r="H2539" s="1">
        <v>2.4770390000000002E-6</v>
      </c>
      <c r="I2539">
        <v>288.3818</v>
      </c>
      <c r="J2539">
        <v>-196.2056</v>
      </c>
      <c r="K2539">
        <v>1.120385</v>
      </c>
      <c r="L2539">
        <v>291.6524</v>
      </c>
      <c r="M2539">
        <v>-0.33534540000000002</v>
      </c>
      <c r="N2539">
        <v>-1.3253829999999999E-2</v>
      </c>
      <c r="O2539">
        <v>-0.94200209999999995</v>
      </c>
      <c r="P2539">
        <v>-0.63218839999999998</v>
      </c>
      <c r="Q2539">
        <v>7.0882890000000004E-2</v>
      </c>
      <c r="R2539">
        <v>-0.77156569999999902</v>
      </c>
      <c r="S2539">
        <v>-2.6859130000000002</v>
      </c>
      <c r="T2539">
        <v>-0.58345649999999905</v>
      </c>
      <c r="U2539">
        <v>-1.748016</v>
      </c>
      <c r="V2539">
        <v>0.33703680000000003</v>
      </c>
      <c r="W2539">
        <v>8.2403889999999994E-2</v>
      </c>
      <c r="X2539">
        <v>0.9378784</v>
      </c>
      <c r="Y2539">
        <v>0.59234319999999996</v>
      </c>
      <c r="Z2539">
        <v>0.17805499999999999</v>
      </c>
      <c r="AA2539">
        <v>0.78576459999999904</v>
      </c>
      <c r="AB2539">
        <v>9</v>
      </c>
      <c r="AC2539">
        <v>-5.12319999999999</v>
      </c>
      <c r="AD2539">
        <v>-1.120382522961</v>
      </c>
      <c r="AE2539">
        <v>-3.2706</v>
      </c>
      <c r="AF2539">
        <v>3.6070538860967201</v>
      </c>
      <c r="AG2539">
        <v>-1.120382522961</v>
      </c>
      <c r="AH2539">
        <v>4.64166365962088</v>
      </c>
      <c r="AI2539">
        <v>100.790717417218</v>
      </c>
      <c r="AJ2539">
        <v>52.149089478502297</v>
      </c>
      <c r="AK2539">
        <v>5.9842406589313404</v>
      </c>
      <c r="AL2539">
        <v>85.273245366649206</v>
      </c>
      <c r="AM2539">
        <v>70.233548196070998</v>
      </c>
      <c r="AN2539">
        <v>1.00000004941396</v>
      </c>
    </row>
    <row r="2540" spans="1:40" x14ac:dyDescent="0.25">
      <c r="A2540" t="str">
        <f>"20190303161924807"</f>
        <v>20190303161924807</v>
      </c>
      <c r="B2540" t="str">
        <f>"1551601164794732"</f>
        <v>1551601164794732</v>
      </c>
      <c r="C2540" t="s">
        <v>40</v>
      </c>
      <c r="D2540">
        <v>5.1327299999999996</v>
      </c>
      <c r="E2540">
        <v>0.62411130000000004</v>
      </c>
      <c r="F2540" t="s">
        <v>49</v>
      </c>
      <c r="G2540">
        <v>-201.32939999999999</v>
      </c>
      <c r="H2540" s="1">
        <v>2.4807159999999998E-6</v>
      </c>
      <c r="I2540">
        <v>288.3433</v>
      </c>
      <c r="J2540">
        <v>-196.24010000000001</v>
      </c>
      <c r="K2540">
        <v>1.120314</v>
      </c>
      <c r="L2540">
        <v>291.56869999999998</v>
      </c>
      <c r="M2540">
        <v>-0.33880640000000001</v>
      </c>
      <c r="N2540">
        <v>-1.3265600000000001E-2</v>
      </c>
      <c r="O2540">
        <v>-0.94076280000000001</v>
      </c>
      <c r="P2540">
        <v>-0.63570039999999906</v>
      </c>
      <c r="Q2540">
        <v>6.9386790000000004E-2</v>
      </c>
      <c r="R2540">
        <v>-0.76881109999999997</v>
      </c>
      <c r="S2540">
        <v>-2.6906279999999998</v>
      </c>
      <c r="T2540">
        <v>-0.58833740000000001</v>
      </c>
      <c r="U2540">
        <v>-1.737671</v>
      </c>
      <c r="V2540">
        <v>0.33782879999999998</v>
      </c>
      <c r="W2540">
        <v>8.086219E-2</v>
      </c>
      <c r="X2540">
        <v>0.93772759999999999</v>
      </c>
      <c r="Y2540">
        <v>0.59190569999999998</v>
      </c>
      <c r="Z2540">
        <v>0.1796807</v>
      </c>
      <c r="AA2540">
        <v>0.78572419999999898</v>
      </c>
      <c r="AB2540">
        <v>9</v>
      </c>
      <c r="AC2540">
        <v>-5.0892999999999802</v>
      </c>
      <c r="AD2540">
        <v>-1.1203115192839901</v>
      </c>
      <c r="AE2540">
        <v>-3.2253999999999698</v>
      </c>
      <c r="AF2540">
        <v>3.5718764709453499</v>
      </c>
      <c r="AG2540">
        <v>-1.1203115192839901</v>
      </c>
      <c r="AH2540">
        <v>4.60001125820565</v>
      </c>
      <c r="AI2540">
        <v>100.888571860322</v>
      </c>
      <c r="AJ2540">
        <v>52.170911618665002</v>
      </c>
      <c r="AK2540">
        <v>5.9307253350287796</v>
      </c>
      <c r="AL2540">
        <v>85.361873948766004</v>
      </c>
      <c r="AM2540">
        <v>70.187771760930303</v>
      </c>
      <c r="AN2540">
        <v>1.00000002184139</v>
      </c>
    </row>
    <row r="2541" spans="1:40" x14ac:dyDescent="0.25">
      <c r="A2541" t="str">
        <f>"20190303161924831"</f>
        <v>20190303161924831</v>
      </c>
      <c r="B2541" t="str">
        <f>"1551601164825496"</f>
        <v>1551601164825496</v>
      </c>
      <c r="C2541" t="s">
        <v>40</v>
      </c>
      <c r="D2541">
        <v>5.1555309999999999</v>
      </c>
      <c r="E2541">
        <v>0.62396739999999995</v>
      </c>
      <c r="F2541" t="s">
        <v>49</v>
      </c>
      <c r="G2541">
        <v>-201.33750000000001</v>
      </c>
      <c r="H2541" s="1">
        <v>2.487695E-6</v>
      </c>
      <c r="I2541">
        <v>288.30430000000001</v>
      </c>
      <c r="J2541">
        <v>-196.27680000000001</v>
      </c>
      <c r="K2541">
        <v>1.1202669999999999</v>
      </c>
      <c r="L2541">
        <v>291.48070000000001</v>
      </c>
      <c r="M2541">
        <v>-0.34257290000000001</v>
      </c>
      <c r="N2541">
        <v>-1.327716E-2</v>
      </c>
      <c r="O2541">
        <v>-0.93939740000000005</v>
      </c>
      <c r="P2541">
        <v>-0.6404377</v>
      </c>
      <c r="Q2541">
        <v>6.7922430000000006E-2</v>
      </c>
      <c r="R2541">
        <v>-0.76500100000000004</v>
      </c>
      <c r="S2541">
        <v>-2.6959080000000002</v>
      </c>
      <c r="T2541">
        <v>-0.59250609999999904</v>
      </c>
      <c r="U2541">
        <v>-1.7265009999999901</v>
      </c>
      <c r="V2541">
        <v>0.33982469999999998</v>
      </c>
      <c r="W2541">
        <v>7.9360219999999995E-2</v>
      </c>
      <c r="X2541">
        <v>0.93713460000000004</v>
      </c>
      <c r="Y2541">
        <v>0.59148519999999905</v>
      </c>
      <c r="Z2541">
        <v>0.1810774</v>
      </c>
      <c r="AA2541">
        <v>0.78572019999999998</v>
      </c>
      <c r="AB2541">
        <v>9</v>
      </c>
      <c r="AC2541">
        <v>-5.06069999999999</v>
      </c>
      <c r="AD2541">
        <v>-1.1202645123049999</v>
      </c>
      <c r="AE2541">
        <v>-3.1764000000000001</v>
      </c>
      <c r="AF2541">
        <v>3.5416801095957098</v>
      </c>
      <c r="AG2541">
        <v>-1.1202645123049999</v>
      </c>
      <c r="AH2541">
        <v>4.5577548202489204</v>
      </c>
      <c r="AI2541">
        <v>100.983648107223</v>
      </c>
      <c r="AJ2541">
        <v>52.150405548633302</v>
      </c>
      <c r="AK2541">
        <v>5.8797635647820199</v>
      </c>
      <c r="AL2541">
        <v>85.448208176880399</v>
      </c>
      <c r="AM2541">
        <v>70.068291225178399</v>
      </c>
      <c r="AN2541">
        <v>1.00000006488284</v>
      </c>
    </row>
    <row r="2542" spans="1:40" x14ac:dyDescent="0.25">
      <c r="A2542" t="str">
        <f>"20190303161924853"</f>
        <v>20190303161924853</v>
      </c>
      <c r="B2542" t="str">
        <f>"1551601164845016"</f>
        <v>1551601164845016</v>
      </c>
      <c r="C2542" t="s">
        <v>40</v>
      </c>
      <c r="D2542">
        <v>5.1432390000000003</v>
      </c>
      <c r="E2542">
        <v>0.62393500000000002</v>
      </c>
      <c r="F2542" t="s">
        <v>49</v>
      </c>
      <c r="G2542">
        <v>-201.3681</v>
      </c>
      <c r="H2542" s="1">
        <v>2.5050109999999998E-6</v>
      </c>
      <c r="I2542">
        <v>288.26150000000001</v>
      </c>
      <c r="J2542">
        <v>-196.3135</v>
      </c>
      <c r="K2542">
        <v>1.120261</v>
      </c>
      <c r="L2542">
        <v>291.39440000000002</v>
      </c>
      <c r="M2542">
        <v>-0.34637059999999997</v>
      </c>
      <c r="N2542">
        <v>-1.328642E-2</v>
      </c>
      <c r="O2542">
        <v>-0.9380037</v>
      </c>
      <c r="P2542">
        <v>-0.64700400000000002</v>
      </c>
      <c r="Q2542">
        <v>6.8310930000000006E-2</v>
      </c>
      <c r="R2542">
        <v>-0.7594206</v>
      </c>
      <c r="S2542">
        <v>-2.7046049999999999</v>
      </c>
      <c r="T2542">
        <v>-0.59511380000000003</v>
      </c>
      <c r="U2542">
        <v>-1.7101440000000001</v>
      </c>
      <c r="V2542">
        <v>0.34412290000000001</v>
      </c>
      <c r="W2542">
        <v>7.9712909999999998E-2</v>
      </c>
      <c r="X2542">
        <v>0.9355348</v>
      </c>
      <c r="Y2542">
        <v>0.59262930000000003</v>
      </c>
      <c r="Z2542">
        <v>0.18204680000000001</v>
      </c>
      <c r="AA2542">
        <v>0.78463329999999998</v>
      </c>
      <c r="AB2542">
        <v>9</v>
      </c>
      <c r="AC2542">
        <v>-5.05459999999999</v>
      </c>
      <c r="AD2542">
        <v>-1.120258494989</v>
      </c>
      <c r="AE2542">
        <v>-3.1328999999999998</v>
      </c>
      <c r="AF2542">
        <v>3.5311019397411201</v>
      </c>
      <c r="AG2542">
        <v>-1.120258494989</v>
      </c>
      <c r="AH2542">
        <v>4.5291234827425502</v>
      </c>
      <c r="AI2542">
        <v>101.037865368783</v>
      </c>
      <c r="AJ2542">
        <v>52.058468851850499</v>
      </c>
      <c r="AK2542">
        <v>5.8512066726760299</v>
      </c>
      <c r="AL2542">
        <v>85.427936194064102</v>
      </c>
      <c r="AM2542">
        <v>69.804686864558903</v>
      </c>
      <c r="AN2542">
        <v>1.00000004016805</v>
      </c>
    </row>
    <row r="2543" spans="1:40" x14ac:dyDescent="0.25">
      <c r="A2543" t="str">
        <f>"20190303161924874"</f>
        <v>20190303161924874</v>
      </c>
      <c r="B2543" t="str">
        <f>"1551601164865512"</f>
        <v>1551601164865512</v>
      </c>
      <c r="C2543" t="s">
        <v>40</v>
      </c>
      <c r="D2543">
        <v>5.181127</v>
      </c>
      <c r="E2543">
        <v>0.6238861</v>
      </c>
      <c r="F2543" t="s">
        <v>49</v>
      </c>
      <c r="G2543">
        <v>-201.446</v>
      </c>
      <c r="H2543" s="1">
        <v>2.5443080000000002E-6</v>
      </c>
      <c r="I2543">
        <v>288.20729999999998</v>
      </c>
      <c r="J2543">
        <v>-196.3467</v>
      </c>
      <c r="K2543">
        <v>1.120287</v>
      </c>
      <c r="L2543">
        <v>291.31729999999999</v>
      </c>
      <c r="M2543">
        <v>-0.34982960000000002</v>
      </c>
      <c r="N2543">
        <v>-1.329229E-2</v>
      </c>
      <c r="O2543">
        <v>-0.93671919999999997</v>
      </c>
      <c r="P2543">
        <v>-0.6547018</v>
      </c>
      <c r="Q2543">
        <v>7.1059949999999997E-2</v>
      </c>
      <c r="R2543">
        <v>-0.75253999999999999</v>
      </c>
      <c r="S2543">
        <v>-2.7182309999999998</v>
      </c>
      <c r="T2543">
        <v>-0.59329889999999996</v>
      </c>
      <c r="U2543">
        <v>-1.687897</v>
      </c>
      <c r="V2543">
        <v>0.35028920000000002</v>
      </c>
      <c r="W2543">
        <v>8.2424310000000001E-2</v>
      </c>
      <c r="X2543">
        <v>0.9330079</v>
      </c>
      <c r="Y2543">
        <v>0.59614279999999997</v>
      </c>
      <c r="Z2543">
        <v>0.1816672</v>
      </c>
      <c r="AA2543">
        <v>0.78205550000000001</v>
      </c>
      <c r="AB2543">
        <v>9</v>
      </c>
      <c r="AC2543">
        <v>-5.0993000000000004</v>
      </c>
      <c r="AD2543">
        <v>-1.120284455692</v>
      </c>
      <c r="AE2543">
        <v>-3.1100000000000101</v>
      </c>
      <c r="AF2543">
        <v>3.56360083251773</v>
      </c>
      <c r="AG2543">
        <v>-1.120284455692</v>
      </c>
      <c r="AH2543">
        <v>4.5378563213269203</v>
      </c>
      <c r="AI2543">
        <v>100.987899891219</v>
      </c>
      <c r="AJ2543">
        <v>51.857278888393303</v>
      </c>
      <c r="AK2543">
        <v>5.8776209598946503</v>
      </c>
      <c r="AL2543">
        <v>85.272071234843494</v>
      </c>
      <c r="AM2543">
        <v>69.421817504134594</v>
      </c>
      <c r="AN2543">
        <v>1.0000000159890099</v>
      </c>
    </row>
    <row r="2544" spans="1:40" x14ac:dyDescent="0.25">
      <c r="A2544" t="str">
        <f>"20190303161924897"</f>
        <v>20190303161924897</v>
      </c>
      <c r="B2544" t="str">
        <f>"1551601164885032"</f>
        <v>1551601164885032</v>
      </c>
      <c r="C2544" t="s">
        <v>40</v>
      </c>
      <c r="D2544">
        <v>5.1831040000000002</v>
      </c>
      <c r="E2544">
        <v>0.62386059999999999</v>
      </c>
      <c r="F2544" t="s">
        <v>49</v>
      </c>
      <c r="G2544">
        <v>-201.5943</v>
      </c>
      <c r="H2544" s="1">
        <v>2.6168550000000001E-6</v>
      </c>
      <c r="I2544">
        <v>288.12959999999998</v>
      </c>
      <c r="J2544">
        <v>-196.3844</v>
      </c>
      <c r="K2544">
        <v>1.1203320000000001</v>
      </c>
      <c r="L2544">
        <v>291.23050000000001</v>
      </c>
      <c r="M2544">
        <v>-0.353773</v>
      </c>
      <c r="N2544">
        <v>-1.329601E-2</v>
      </c>
      <c r="O2544">
        <v>-0.93523690000000004</v>
      </c>
      <c r="P2544">
        <v>-0.66224139999999998</v>
      </c>
      <c r="Q2544">
        <v>7.5030910000000006E-2</v>
      </c>
      <c r="R2544">
        <v>-0.74552459999999998</v>
      </c>
      <c r="S2544">
        <v>-2.7355499999999999</v>
      </c>
      <c r="T2544">
        <v>-0.58399460000000003</v>
      </c>
      <c r="U2544">
        <v>-1.661713</v>
      </c>
      <c r="V2544">
        <v>0.3558907</v>
      </c>
      <c r="W2544">
        <v>8.6374129999999993E-2</v>
      </c>
      <c r="X2544">
        <v>0.9305274</v>
      </c>
      <c r="Y2544">
        <v>0.60091079999999997</v>
      </c>
      <c r="Z2544">
        <v>0.17890690000000001</v>
      </c>
      <c r="AA2544">
        <v>0.77903690000000003</v>
      </c>
      <c r="AB2544">
        <v>9</v>
      </c>
      <c r="AC2544">
        <v>-5.2099000000000002</v>
      </c>
      <c r="AD2544">
        <v>-1.1203293831450001</v>
      </c>
      <c r="AE2544">
        <v>-3.1009000000000202</v>
      </c>
      <c r="AF2544">
        <v>3.65113987645561</v>
      </c>
      <c r="AG2544">
        <v>-1.1203293831450001</v>
      </c>
      <c r="AH2544">
        <v>4.5869923230975402</v>
      </c>
      <c r="AI2544">
        <v>100.818466257034</v>
      </c>
      <c r="AJ2544">
        <v>51.481021080466199</v>
      </c>
      <c r="AK2544">
        <v>5.9687904047920899</v>
      </c>
      <c r="AL2544">
        <v>85.044952446010598</v>
      </c>
      <c r="AM2544">
        <v>69.070082850059293</v>
      </c>
      <c r="AN2544">
        <v>0.99999996141525205</v>
      </c>
    </row>
    <row r="2545" spans="1:40" x14ac:dyDescent="0.25">
      <c r="A2545" t="str">
        <f>"20190303161924919"</f>
        <v>20190303161924919</v>
      </c>
      <c r="B2545" t="str">
        <f>"1551601164915288"</f>
        <v>1551601164915288</v>
      </c>
      <c r="C2545" t="s">
        <v>40</v>
      </c>
      <c r="D2545">
        <v>5.1996659999999997</v>
      </c>
      <c r="E2545">
        <v>0.62367550000000005</v>
      </c>
      <c r="F2545" t="s">
        <v>49</v>
      </c>
      <c r="G2545">
        <v>-201.79390000000001</v>
      </c>
      <c r="H2545" s="1">
        <v>2.7152350000000002E-6</v>
      </c>
      <c r="I2545">
        <v>288.017</v>
      </c>
      <c r="J2545">
        <v>-196.4194</v>
      </c>
      <c r="K2545">
        <v>1.1203780000000001</v>
      </c>
      <c r="L2545">
        <v>291.15109999999999</v>
      </c>
      <c r="M2545">
        <v>-0.35741469999999997</v>
      </c>
      <c r="N2545">
        <v>-1.3297099999999999E-2</v>
      </c>
      <c r="O2545">
        <v>-0.93385110000000005</v>
      </c>
      <c r="P2545">
        <v>-0.66829629999999995</v>
      </c>
      <c r="Q2545">
        <v>7.7142749999999996E-2</v>
      </c>
      <c r="R2545">
        <v>-0.7398846</v>
      </c>
      <c r="S2545">
        <v>-2.7533259999999999</v>
      </c>
      <c r="T2545">
        <v>-0.57022299999999904</v>
      </c>
      <c r="U2545">
        <v>-1.6356200000000001</v>
      </c>
      <c r="V2545">
        <v>0.35992760000000001</v>
      </c>
      <c r="W2545">
        <v>8.8481270000000001E-2</v>
      </c>
      <c r="X2545">
        <v>0.92877509999999996</v>
      </c>
      <c r="Y2545">
        <v>0.60617319999999997</v>
      </c>
      <c r="Z2545">
        <v>0.17470669999999999</v>
      </c>
      <c r="AA2545">
        <v>0.77590700000000001</v>
      </c>
      <c r="AB2545">
        <v>9</v>
      </c>
      <c r="AC2545">
        <v>-5.37450000000001</v>
      </c>
      <c r="AD2545">
        <v>-1.1203752847649999</v>
      </c>
      <c r="AE2545">
        <v>-3.1340999999999801</v>
      </c>
      <c r="AF2545">
        <v>3.7766816411123001</v>
      </c>
      <c r="AG2545">
        <v>-1.1203752847649999</v>
      </c>
      <c r="AH2545">
        <v>4.6958567136672604</v>
      </c>
      <c r="AI2545">
        <v>100.532130204708</v>
      </c>
      <c r="AJ2545">
        <v>51.191731291040902</v>
      </c>
      <c r="AK2545">
        <v>6.1294074160819898</v>
      </c>
      <c r="AL2545">
        <v>84.923758313546003</v>
      </c>
      <c r="AM2545">
        <v>68.817189004119001</v>
      </c>
      <c r="AN2545">
        <v>0.99999999938129103</v>
      </c>
    </row>
    <row r="2546" spans="1:40" x14ac:dyDescent="0.25">
      <c r="A2546" t="str">
        <f>"20190303161924943"</f>
        <v>20190303161924943</v>
      </c>
      <c r="B2546" t="str">
        <f>"1551601164934808"</f>
        <v>1551601164934808</v>
      </c>
      <c r="C2546" t="s">
        <v>40</v>
      </c>
      <c r="D2546">
        <v>5.2382970000000002</v>
      </c>
      <c r="E2546">
        <v>0.62349699999999997</v>
      </c>
      <c r="F2546" t="s">
        <v>49</v>
      </c>
      <c r="G2546">
        <v>-201.9325</v>
      </c>
      <c r="H2546" s="1">
        <v>2.7840750000000001E-6</v>
      </c>
      <c r="I2546">
        <v>287.9323</v>
      </c>
      <c r="J2546">
        <v>-196.45959999999999</v>
      </c>
      <c r="K2546">
        <v>1.120406</v>
      </c>
      <c r="L2546">
        <v>291.0609</v>
      </c>
      <c r="M2546">
        <v>-0.36157610000000001</v>
      </c>
      <c r="N2546">
        <v>-1.3296530000000001E-2</v>
      </c>
      <c r="O2546">
        <v>-0.93224779999999996</v>
      </c>
      <c r="P2546">
        <v>-0.67414079999999998</v>
      </c>
      <c r="Q2546">
        <v>7.903731E-2</v>
      </c>
      <c r="R2546">
        <v>-0.73436190000000001</v>
      </c>
      <c r="S2546">
        <v>-2.766022</v>
      </c>
      <c r="T2546">
        <v>-0.56211699999999998</v>
      </c>
      <c r="U2546">
        <v>-1.6149290000000001</v>
      </c>
      <c r="V2546">
        <v>0.3632205</v>
      </c>
      <c r="W2546">
        <v>9.0377180000000001E-2</v>
      </c>
      <c r="X2546">
        <v>0.92730950000000001</v>
      </c>
      <c r="Y2546">
        <v>0.60893229999999998</v>
      </c>
      <c r="Z2546">
        <v>0.17225570000000001</v>
      </c>
      <c r="AA2546">
        <v>0.77429289999999995</v>
      </c>
      <c r="AB2546">
        <v>9</v>
      </c>
      <c r="AC2546">
        <v>-5.4729000000000099</v>
      </c>
      <c r="AD2546">
        <v>-1.1204032159249999</v>
      </c>
      <c r="AE2546">
        <v>-3.1286</v>
      </c>
      <c r="AF2546">
        <v>3.8496238070795701</v>
      </c>
      <c r="AG2546">
        <v>-1.1204032159249999</v>
      </c>
      <c r="AH2546">
        <v>4.7460191437902202</v>
      </c>
      <c r="AI2546">
        <v>100.38934323259799</v>
      </c>
      <c r="AJ2546">
        <v>50.953561698906498</v>
      </c>
      <c r="AK2546">
        <v>6.2128580005913596</v>
      </c>
      <c r="AL2546">
        <v>84.814693851226295</v>
      </c>
      <c r="AM2546">
        <v>68.610076562909995</v>
      </c>
      <c r="AN2546">
        <v>1.0000000375376199</v>
      </c>
    </row>
    <row r="2547" spans="1:40" x14ac:dyDescent="0.25">
      <c r="A2547" t="str">
        <f>"20190303161924965"</f>
        <v>20190303161924965</v>
      </c>
      <c r="B2547" t="str">
        <f>"1551601164955304"</f>
        <v>1551601164955304</v>
      </c>
      <c r="C2547" t="s">
        <v>40</v>
      </c>
      <c r="D2547">
        <v>5.2760400000000001</v>
      </c>
      <c r="E2547">
        <v>0.6232839</v>
      </c>
      <c r="F2547" t="s">
        <v>49</v>
      </c>
      <c r="G2547">
        <v>-202.07400000000001</v>
      </c>
      <c r="H2547" s="1">
        <v>2.8550199999999999E-6</v>
      </c>
      <c r="I2547">
        <v>287.83859999999999</v>
      </c>
      <c r="J2547">
        <v>-196.494</v>
      </c>
      <c r="K2547">
        <v>1.1204240000000001</v>
      </c>
      <c r="L2547">
        <v>290.9846</v>
      </c>
      <c r="M2547">
        <v>-0.36511939999999998</v>
      </c>
      <c r="N2547">
        <v>-1.3295059999999999E-2</v>
      </c>
      <c r="O2547">
        <v>-0.93086579999999997</v>
      </c>
      <c r="P2547">
        <v>-0.67878039999999995</v>
      </c>
      <c r="Q2547">
        <v>7.9747879999999993E-2</v>
      </c>
      <c r="R2547">
        <v>-0.72999859999999905</v>
      </c>
      <c r="S2547">
        <v>-2.7781829999999998</v>
      </c>
      <c r="T2547">
        <v>-0.55441459999999998</v>
      </c>
      <c r="U2547">
        <v>-1.5945129999999901</v>
      </c>
      <c r="V2547">
        <v>0.36559639999999999</v>
      </c>
      <c r="W2547">
        <v>9.108426E-2</v>
      </c>
      <c r="X2547">
        <v>0.92630610000000002</v>
      </c>
      <c r="Y2547">
        <v>0.61205209999999999</v>
      </c>
      <c r="Z2547">
        <v>0.1699523</v>
      </c>
      <c r="AA2547">
        <v>0.77233949999999996</v>
      </c>
      <c r="AB2547">
        <v>9</v>
      </c>
      <c r="AC2547">
        <v>-5.5799999999999796</v>
      </c>
      <c r="AD2547">
        <v>-1.1204211449799999</v>
      </c>
      <c r="AE2547">
        <v>-3.1460000000000101</v>
      </c>
      <c r="AF2547">
        <v>3.9258204409992201</v>
      </c>
      <c r="AG2547">
        <v>-1.1204211449799999</v>
      </c>
      <c r="AH2547">
        <v>4.8188847843166602</v>
      </c>
      <c r="AI2547">
        <v>100.218372152163</v>
      </c>
      <c r="AJ2547">
        <v>50.831189071020397</v>
      </c>
      <c r="AK2547">
        <v>6.3157786726265401</v>
      </c>
      <c r="AL2547">
        <v>84.774013327051705</v>
      </c>
      <c r="AM2547">
        <v>68.461739758339704</v>
      </c>
      <c r="AN2547">
        <v>1.0000000305049499</v>
      </c>
    </row>
    <row r="2548" spans="1:40" x14ac:dyDescent="0.25">
      <c r="A2548" t="str">
        <f>"20190303161924988"</f>
        <v>20190303161924988</v>
      </c>
      <c r="B2548" t="str">
        <f>"1551601164974824"</f>
        <v>1551601164974824</v>
      </c>
      <c r="C2548" t="s">
        <v>40</v>
      </c>
      <c r="D2548">
        <v>5.2734389999999998</v>
      </c>
      <c r="E2548">
        <v>0.62301530000000005</v>
      </c>
      <c r="F2548" t="s">
        <v>49</v>
      </c>
      <c r="G2548">
        <v>-202.1951</v>
      </c>
      <c r="H2548" s="1">
        <v>2.915391E-6</v>
      </c>
      <c r="I2548">
        <v>287.76220000000001</v>
      </c>
      <c r="J2548">
        <v>-196.53280000000001</v>
      </c>
      <c r="K2548">
        <v>1.120422</v>
      </c>
      <c r="L2548">
        <v>290.89949999999999</v>
      </c>
      <c r="M2548">
        <v>-0.3691006</v>
      </c>
      <c r="N2548">
        <v>-1.3293599999999999E-2</v>
      </c>
      <c r="O2548">
        <v>-0.92929450000000002</v>
      </c>
      <c r="P2548">
        <v>-0.682249199999999</v>
      </c>
      <c r="Q2548">
        <v>7.7161199999999999E-2</v>
      </c>
      <c r="R2548">
        <v>-0.72703700000000004</v>
      </c>
      <c r="S2548">
        <v>-2.7888489999999999</v>
      </c>
      <c r="T2548">
        <v>-0.54809049999999904</v>
      </c>
      <c r="U2548">
        <v>-1.5763240000000001</v>
      </c>
      <c r="V2548">
        <v>0.36593170000000003</v>
      </c>
      <c r="W2548">
        <v>8.8503600000000002E-2</v>
      </c>
      <c r="X2548">
        <v>0.92642380000000002</v>
      </c>
      <c r="Y2548">
        <v>0.61408419999999997</v>
      </c>
      <c r="Z2548">
        <v>0.16803370000000001</v>
      </c>
      <c r="AA2548">
        <v>0.77114539999999998</v>
      </c>
      <c r="AB2548">
        <v>9</v>
      </c>
      <c r="AC2548">
        <v>-5.6622999999999797</v>
      </c>
      <c r="AD2548">
        <v>-1.1204190846089901</v>
      </c>
      <c r="AE2548">
        <v>-3.1372999999999802</v>
      </c>
      <c r="AF2548">
        <v>3.9849488582602799</v>
      </c>
      <c r="AG2548">
        <v>-1.1204190846089901</v>
      </c>
      <c r="AH2548">
        <v>4.8602750435126296</v>
      </c>
      <c r="AI2548">
        <v>100.107755904409</v>
      </c>
      <c r="AJ2548">
        <v>50.651607588929899</v>
      </c>
      <c r="AK2548">
        <v>6.3841545898182703</v>
      </c>
      <c r="AL2548">
        <v>84.922473744429396</v>
      </c>
      <c r="AM2548">
        <v>68.446285077988307</v>
      </c>
      <c r="AN2548">
        <v>0.99999997674214403</v>
      </c>
    </row>
    <row r="2549" spans="1:40" x14ac:dyDescent="0.25">
      <c r="A2549" t="str">
        <f>"20190303161925010"</f>
        <v>20190303161925010</v>
      </c>
      <c r="B2549" t="str">
        <f>"1551601165005080"</f>
        <v>1551601165005080</v>
      </c>
      <c r="C2549" t="s">
        <v>40</v>
      </c>
      <c r="D2549">
        <v>5.4588679999999998</v>
      </c>
      <c r="E2549">
        <v>0.62270439999999905</v>
      </c>
      <c r="F2549" t="s">
        <v>49</v>
      </c>
      <c r="G2549">
        <v>-202.2037</v>
      </c>
      <c r="H2549" s="1">
        <v>2.922056E-6</v>
      </c>
      <c r="I2549">
        <v>287.7296</v>
      </c>
      <c r="J2549">
        <v>-196.57089999999999</v>
      </c>
      <c r="K2549">
        <v>1.1204069999999999</v>
      </c>
      <c r="L2549">
        <v>290.81709999999998</v>
      </c>
      <c r="M2549">
        <v>-0.37300800000000001</v>
      </c>
      <c r="N2549">
        <v>-1.3292750000000001E-2</v>
      </c>
      <c r="O2549">
        <v>-0.92773280000000002</v>
      </c>
      <c r="P2549">
        <v>-0.6849208</v>
      </c>
      <c r="Q2549">
        <v>7.4140029999999996E-2</v>
      </c>
      <c r="R2549">
        <v>-0.72483569999999997</v>
      </c>
      <c r="S2549">
        <v>-2.7948460000000002</v>
      </c>
      <c r="T2549">
        <v>-0.55219200000000002</v>
      </c>
      <c r="U2549">
        <v>-1.5622860000000001</v>
      </c>
      <c r="V2549">
        <v>0.36531819999999998</v>
      </c>
      <c r="W2549">
        <v>8.5484770000000002E-2</v>
      </c>
      <c r="X2549">
        <v>0.92694929999999998</v>
      </c>
      <c r="Y2549">
        <v>0.61422369999999904</v>
      </c>
      <c r="Z2549">
        <v>0.16944690000000001</v>
      </c>
      <c r="AA2549">
        <v>0.77072499999999999</v>
      </c>
      <c r="AB2549">
        <v>9</v>
      </c>
      <c r="AC2549">
        <v>-5.6327999999999996</v>
      </c>
      <c r="AD2549">
        <v>-1.1204040779440001</v>
      </c>
      <c r="AE2549">
        <v>-3.0874999999999702</v>
      </c>
      <c r="AF2549">
        <v>3.9541330622227799</v>
      </c>
      <c r="AG2549">
        <v>-1.1204040779440001</v>
      </c>
      <c r="AH2549">
        <v>4.8192746713435399</v>
      </c>
      <c r="AI2549">
        <v>100.188976849333</v>
      </c>
      <c r="AJ2549">
        <v>50.631703030913698</v>
      </c>
      <c r="AK2549">
        <v>6.3337099656907503</v>
      </c>
      <c r="AL2549">
        <v>85.096098483755696</v>
      </c>
      <c r="AM2549">
        <v>68.490200031207706</v>
      </c>
      <c r="AN2549">
        <v>1.0000000189618401</v>
      </c>
    </row>
    <row r="2550" spans="1:40" x14ac:dyDescent="0.25">
      <c r="A2550" t="str">
        <f>"20190303161925032"</f>
        <v>20190303161925032</v>
      </c>
      <c r="B2550" t="str">
        <f>"1551601165025576"</f>
        <v>1551601165025576</v>
      </c>
      <c r="C2550" t="s">
        <v>40</v>
      </c>
      <c r="D2550">
        <v>5.2113239999999896</v>
      </c>
      <c r="E2550">
        <v>0.6228146</v>
      </c>
      <c r="F2550" t="s">
        <v>49</v>
      </c>
      <c r="G2550">
        <v>-202.16800000000001</v>
      </c>
      <c r="H2550" s="1">
        <v>2.9079280000000001E-6</v>
      </c>
      <c r="I2550">
        <v>287.71030000000002</v>
      </c>
      <c r="J2550">
        <v>-196.60890000000001</v>
      </c>
      <c r="K2550">
        <v>1.1203939999999999</v>
      </c>
      <c r="L2550">
        <v>290.73590000000002</v>
      </c>
      <c r="M2550">
        <v>-0.37690099999999999</v>
      </c>
      <c r="N2550">
        <v>-1.3292669999999999E-2</v>
      </c>
      <c r="O2550">
        <v>-0.92615820000000004</v>
      </c>
      <c r="P2550">
        <v>-0.68700269999999997</v>
      </c>
      <c r="Q2550">
        <v>7.3087849999999996E-2</v>
      </c>
      <c r="R2550">
        <v>-0.72297</v>
      </c>
      <c r="S2550">
        <v>-2.7974239999999999</v>
      </c>
      <c r="T2550">
        <v>-0.55997839999999999</v>
      </c>
      <c r="U2550">
        <v>-1.552765</v>
      </c>
      <c r="V2550">
        <v>0.36404829999999999</v>
      </c>
      <c r="W2550">
        <v>8.4435259999999998E-2</v>
      </c>
      <c r="X2550">
        <v>0.92754490000000001</v>
      </c>
      <c r="Y2550">
        <v>0.6128344</v>
      </c>
      <c r="Z2550">
        <v>0.17199400000000001</v>
      </c>
      <c r="AA2550">
        <v>0.77126649999999997</v>
      </c>
      <c r="AB2550">
        <v>9</v>
      </c>
      <c r="AC2550">
        <v>-5.5590999999999999</v>
      </c>
      <c r="AD2550">
        <v>-1.1203910920719999</v>
      </c>
      <c r="AE2550">
        <v>-3.0255999999999901</v>
      </c>
      <c r="AF2550">
        <v>3.8868090828177499</v>
      </c>
      <c r="AG2550">
        <v>-1.1203910920719999</v>
      </c>
      <c r="AH2550">
        <v>4.7490288095697402</v>
      </c>
      <c r="AI2550">
        <v>100.34646504777599</v>
      </c>
      <c r="AJ2550">
        <v>50.701632522225701</v>
      </c>
      <c r="AK2550">
        <v>6.2382558203068399</v>
      </c>
      <c r="AL2550">
        <v>85.156449140308794</v>
      </c>
      <c r="AM2550">
        <v>68.570692453813095</v>
      </c>
      <c r="AN2550">
        <v>1.0000000096900801</v>
      </c>
    </row>
    <row r="2551" spans="1:40" x14ac:dyDescent="0.25">
      <c r="A2551" t="str">
        <f>"20190303161925055"</f>
        <v>20190303161925055</v>
      </c>
      <c r="B2551" t="str">
        <f>"1551601165045097"</f>
        <v>1551601165045097</v>
      </c>
      <c r="C2551" t="s">
        <v>40</v>
      </c>
      <c r="D2551">
        <v>5.2382780000000002</v>
      </c>
      <c r="E2551">
        <v>0.62295089999999997</v>
      </c>
      <c r="F2551" t="s">
        <v>49</v>
      </c>
      <c r="G2551">
        <v>-202.202</v>
      </c>
      <c r="H2551" s="1">
        <v>2.9276390000000002E-6</v>
      </c>
      <c r="I2551">
        <v>287.65730000000002</v>
      </c>
      <c r="J2551">
        <v>-196.64779999999999</v>
      </c>
      <c r="K2551">
        <v>1.12039</v>
      </c>
      <c r="L2551">
        <v>290.654</v>
      </c>
      <c r="M2551">
        <v>-0.38088689999999997</v>
      </c>
      <c r="N2551">
        <v>-1.329339E-2</v>
      </c>
      <c r="O2551">
        <v>-0.92452619999999996</v>
      </c>
      <c r="P2551">
        <v>-0.68921779999999999</v>
      </c>
      <c r="Q2551">
        <v>7.393284E-2</v>
      </c>
      <c r="R2551">
        <v>-0.720773</v>
      </c>
      <c r="S2551">
        <v>-2.8029329999999999</v>
      </c>
      <c r="T2551">
        <v>-0.5614789</v>
      </c>
      <c r="U2551">
        <v>-1.5428470000000001</v>
      </c>
      <c r="V2551">
        <v>0.36293530000000002</v>
      </c>
      <c r="W2551">
        <v>8.527622E-2</v>
      </c>
      <c r="X2551">
        <v>0.92790410000000001</v>
      </c>
      <c r="Y2551">
        <v>0.61212429999999995</v>
      </c>
      <c r="Z2551">
        <v>0.17243420000000001</v>
      </c>
      <c r="AA2551">
        <v>0.77173199999999997</v>
      </c>
      <c r="AB2551">
        <v>9</v>
      </c>
      <c r="AC2551">
        <v>-5.5541999999999998</v>
      </c>
      <c r="AD2551">
        <v>-1.1203870723610001</v>
      </c>
      <c r="AE2551">
        <v>-2.9966999999999699</v>
      </c>
      <c r="AF2551">
        <v>3.8719239928011802</v>
      </c>
      <c r="AG2551">
        <v>-1.1203870723610001</v>
      </c>
      <c r="AH2551">
        <v>4.7371831612493196</v>
      </c>
      <c r="AI2551">
        <v>100.37718915433101</v>
      </c>
      <c r="AJ2551">
        <v>50.739245218835102</v>
      </c>
      <c r="AK2551">
        <v>6.2199651848838498</v>
      </c>
      <c r="AL2551">
        <v>85.108091425306796</v>
      </c>
      <c r="AM2551">
        <v>68.637817888732201</v>
      </c>
      <c r="AN2551">
        <v>1.00000004224019</v>
      </c>
    </row>
    <row r="2552" spans="1:40" x14ac:dyDescent="0.25">
      <c r="A2552" t="str">
        <f>"20190303161925077"</f>
        <v>20190303161925077</v>
      </c>
      <c r="B2552" t="str">
        <f>"1551601165065592"</f>
        <v>1551601165065592</v>
      </c>
      <c r="C2552" t="s">
        <v>40</v>
      </c>
      <c r="D2552">
        <v>5.4297870000000001</v>
      </c>
      <c r="E2552">
        <v>0.62279969999999996</v>
      </c>
      <c r="F2552" t="s">
        <v>49</v>
      </c>
      <c r="G2552">
        <v>-202.30709999999999</v>
      </c>
      <c r="H2552" s="1">
        <v>2.9821260000000001E-6</v>
      </c>
      <c r="I2552">
        <v>287.56709999999998</v>
      </c>
      <c r="J2552">
        <v>-196.68620000000001</v>
      </c>
      <c r="K2552">
        <v>1.1203890000000001</v>
      </c>
      <c r="L2552">
        <v>290.57420000000002</v>
      </c>
      <c r="M2552">
        <v>-0.38484279999999998</v>
      </c>
      <c r="N2552">
        <v>-1.3295400000000001E-2</v>
      </c>
      <c r="O2552">
        <v>-0.92288650000000005</v>
      </c>
      <c r="P2552">
        <v>-0.69094319999999998</v>
      </c>
      <c r="Q2552">
        <v>7.5600189999999998E-2</v>
      </c>
      <c r="R2552">
        <v>-0.71894530000000001</v>
      </c>
      <c r="S2552">
        <v>-2.809723</v>
      </c>
      <c r="T2552">
        <v>-0.55625150000000001</v>
      </c>
      <c r="U2552">
        <v>-1.5325930000000001</v>
      </c>
      <c r="V2552">
        <v>0.36125810000000003</v>
      </c>
      <c r="W2552">
        <v>8.6939399999999903E-2</v>
      </c>
      <c r="X2552">
        <v>0.92840400000000001</v>
      </c>
      <c r="Y2552">
        <v>0.61200469999999996</v>
      </c>
      <c r="Z2552">
        <v>0.17070260000000001</v>
      </c>
      <c r="AA2552">
        <v>0.77221169999999995</v>
      </c>
      <c r="AB2552">
        <v>9</v>
      </c>
      <c r="AC2552">
        <v>-5.6208999999999696</v>
      </c>
      <c r="AD2552">
        <v>-1.1203860178739999</v>
      </c>
      <c r="AE2552">
        <v>-3.0071000000000301</v>
      </c>
      <c r="AF2552">
        <v>3.9097763796012202</v>
      </c>
      <c r="AG2552">
        <v>-1.1203860178739999</v>
      </c>
      <c r="AH2552">
        <v>4.7908242986358802</v>
      </c>
      <c r="AI2552">
        <v>100.26962935781199</v>
      </c>
      <c r="AJ2552">
        <v>50.782225663408198</v>
      </c>
      <c r="AK2552">
        <v>6.2843944519687103</v>
      </c>
      <c r="AL2552">
        <v>85.012442410406194</v>
      </c>
      <c r="AM2552">
        <v>68.738125317742004</v>
      </c>
      <c r="AN2552">
        <v>0.99999993065198201</v>
      </c>
    </row>
    <row r="2553" spans="1:40" x14ac:dyDescent="0.25">
      <c r="A2553" t="str">
        <f>"20190303161925097"</f>
        <v>20190303161925097</v>
      </c>
      <c r="B2553" t="str">
        <f>"1551601165085112"</f>
        <v>1551601165085112</v>
      </c>
      <c r="C2553" t="s">
        <v>40</v>
      </c>
      <c r="D2553">
        <v>5.0665940000000003</v>
      </c>
      <c r="E2553">
        <v>0.623204599999999</v>
      </c>
      <c r="F2553" t="s">
        <v>49</v>
      </c>
      <c r="G2553">
        <v>-202.40180000000001</v>
      </c>
      <c r="H2553" s="1">
        <v>3.0322770000000002E-6</v>
      </c>
      <c r="I2553">
        <v>287.47379999999998</v>
      </c>
      <c r="J2553">
        <v>-196.72239999999999</v>
      </c>
      <c r="K2553">
        <v>1.120382</v>
      </c>
      <c r="L2553">
        <v>290.49979999999999</v>
      </c>
      <c r="M2553">
        <v>-0.38862190000000002</v>
      </c>
      <c r="N2553">
        <v>-1.329894E-2</v>
      </c>
      <c r="O2553">
        <v>-0.9213015</v>
      </c>
      <c r="P2553">
        <v>-0.69243350000000004</v>
      </c>
      <c r="Q2553">
        <v>7.780223E-2</v>
      </c>
      <c r="R2553">
        <v>-0.71727469999999904</v>
      </c>
      <c r="S2553">
        <v>-2.8139189999999998</v>
      </c>
      <c r="T2553">
        <v>-0.55158819999999997</v>
      </c>
      <c r="U2553">
        <v>-1.5263979999999999</v>
      </c>
      <c r="V2553">
        <v>0.35948049999999998</v>
      </c>
      <c r="W2553">
        <v>8.9131940000000007E-2</v>
      </c>
      <c r="X2553">
        <v>0.92888610000000005</v>
      </c>
      <c r="Y2553">
        <v>0.61084259999999901</v>
      </c>
      <c r="Z2553">
        <v>0.1691098</v>
      </c>
      <c r="AA2553">
        <v>0.77348119999999998</v>
      </c>
      <c r="AB2553">
        <v>9</v>
      </c>
      <c r="AC2553">
        <v>-5.67940000000001</v>
      </c>
      <c r="AD2553">
        <v>-1.1203789677230001</v>
      </c>
      <c r="AE2553">
        <v>-3.02600000000001</v>
      </c>
      <c r="AF2553">
        <v>3.9374789179465002</v>
      </c>
      <c r="AG2553">
        <v>-1.1203789677230001</v>
      </c>
      <c r="AH2553">
        <v>4.8484761901417901</v>
      </c>
      <c r="AI2553">
        <v>100.169442623591</v>
      </c>
      <c r="AJ2553">
        <v>50.919725103691697</v>
      </c>
      <c r="AK2553">
        <v>6.34560561546028</v>
      </c>
      <c r="AL2553">
        <v>84.886330092892194</v>
      </c>
      <c r="AM2553">
        <v>68.843477793531505</v>
      </c>
      <c r="AN2553">
        <v>1.0000000596908001</v>
      </c>
    </row>
    <row r="2554" spans="1:40" x14ac:dyDescent="0.25">
      <c r="A2554" t="str">
        <f>"20190303161925121"</f>
        <v>20190303161925121</v>
      </c>
      <c r="B2554" t="str">
        <f>"1551601165115369"</f>
        <v>1551601165115369</v>
      </c>
      <c r="C2554" t="s">
        <v>40</v>
      </c>
      <c r="D2554">
        <v>5.2523730000000004</v>
      </c>
      <c r="E2554">
        <v>0.62349239999999995</v>
      </c>
      <c r="F2554" t="s">
        <v>49</v>
      </c>
      <c r="G2554">
        <v>-202.54839999999999</v>
      </c>
      <c r="H2554" s="1">
        <v>3.1068749999999998E-6</v>
      </c>
      <c r="I2554">
        <v>287.36399999999998</v>
      </c>
      <c r="J2554">
        <v>-196.762</v>
      </c>
      <c r="K2554">
        <v>1.12036</v>
      </c>
      <c r="L2554">
        <v>290.4196</v>
      </c>
      <c r="M2554">
        <v>-0.39279160000000002</v>
      </c>
      <c r="N2554">
        <v>-1.330515E-2</v>
      </c>
      <c r="O2554">
        <v>-0.91953130000000005</v>
      </c>
      <c r="P2554">
        <v>-0.69472809999999996</v>
      </c>
      <c r="Q2554">
        <v>8.0021399999999895E-2</v>
      </c>
      <c r="R2554">
        <v>-0.71480749999999904</v>
      </c>
      <c r="S2554">
        <v>-2.8208769999999999</v>
      </c>
      <c r="T2554">
        <v>-0.54247809999999996</v>
      </c>
      <c r="U2554">
        <v>-1.5182800000000001</v>
      </c>
      <c r="V2554">
        <v>0.35835840000000002</v>
      </c>
      <c r="W2554">
        <v>9.1328329999999999E-2</v>
      </c>
      <c r="X2554">
        <v>0.92910619999999999</v>
      </c>
      <c r="Y2554">
        <v>0.61029730000000004</v>
      </c>
      <c r="Z2554">
        <v>0.16604430000000001</v>
      </c>
      <c r="AA2554">
        <v>0.77457509999999996</v>
      </c>
      <c r="AB2554">
        <v>9</v>
      </c>
      <c r="AC2554">
        <v>-5.78639999999998</v>
      </c>
      <c r="AD2554">
        <v>-1.1203568931250001</v>
      </c>
      <c r="AE2554">
        <v>-3.0555999999999699</v>
      </c>
      <c r="AF2554">
        <v>4.0035659785165896</v>
      </c>
      <c r="AG2554">
        <v>-1.1203568931250001</v>
      </c>
      <c r="AH2554">
        <v>4.9382587709161498</v>
      </c>
      <c r="AI2554">
        <v>99.994736678280404</v>
      </c>
      <c r="AJ2554">
        <v>50.967480700518401</v>
      </c>
      <c r="AK2554">
        <v>6.45524126588918</v>
      </c>
      <c r="AL2554">
        <v>84.759970292534902</v>
      </c>
      <c r="AM2554">
        <v>68.908258198244397</v>
      </c>
      <c r="AN2554">
        <v>0.99999996879479303</v>
      </c>
    </row>
    <row r="2555" spans="1:40" x14ac:dyDescent="0.25">
      <c r="A2555" t="str">
        <f>"20190303161925142"</f>
        <v>20190303161925142</v>
      </c>
      <c r="B2555" t="str">
        <f>"1551601165134888"</f>
        <v>1551601165134888</v>
      </c>
      <c r="C2555" t="s">
        <v>40</v>
      </c>
      <c r="D2555">
        <v>5.2670349999999999</v>
      </c>
      <c r="E2555">
        <v>0.62367700000000004</v>
      </c>
      <c r="F2555" t="s">
        <v>49</v>
      </c>
      <c r="G2555">
        <v>-202.69399999999999</v>
      </c>
      <c r="H2555" s="1">
        <v>3.1806129999999998E-6</v>
      </c>
      <c r="I2555">
        <v>287.25900000000001</v>
      </c>
      <c r="J2555">
        <v>-196.8015</v>
      </c>
      <c r="K2555">
        <v>1.1203259999999999</v>
      </c>
      <c r="L2555">
        <v>290.3408</v>
      </c>
      <c r="M2555">
        <v>-0.39700920000000001</v>
      </c>
      <c r="N2555">
        <v>-1.331388E-2</v>
      </c>
      <c r="O2555">
        <v>-0.91771809999999998</v>
      </c>
      <c r="P2555">
        <v>-0.69741580000000003</v>
      </c>
      <c r="Q2555">
        <v>8.1981520000000002E-2</v>
      </c>
      <c r="R2555">
        <v>-0.71196250000000005</v>
      </c>
      <c r="S2555">
        <v>-2.8289179999999998</v>
      </c>
      <c r="T2555">
        <v>-0.53429059999999995</v>
      </c>
      <c r="U2555">
        <v>-1.507263</v>
      </c>
      <c r="V2555">
        <v>0.35769689999999998</v>
      </c>
      <c r="W2555">
        <v>9.3256510000000001E-2</v>
      </c>
      <c r="X2555">
        <v>0.92916960000000004</v>
      </c>
      <c r="Y2555">
        <v>0.6103826</v>
      </c>
      <c r="Z2555">
        <v>0.16332160000000001</v>
      </c>
      <c r="AA2555">
        <v>0.77508650000000001</v>
      </c>
      <c r="AB2555">
        <v>9</v>
      </c>
      <c r="AC2555">
        <v>-5.8925000000000098</v>
      </c>
      <c r="AD2555">
        <v>-1.1203228193869901</v>
      </c>
      <c r="AE2555">
        <v>-3.0817999999999799</v>
      </c>
      <c r="AF2555">
        <v>4.0690255622429596</v>
      </c>
      <c r="AG2555">
        <v>-1.1203228193869901</v>
      </c>
      <c r="AH2555">
        <v>5.0254157100956602</v>
      </c>
      <c r="AI2555">
        <v>99.829386797311898</v>
      </c>
      <c r="AJ2555">
        <v>51.003276701274899</v>
      </c>
      <c r="AK2555">
        <v>6.5625372612353399</v>
      </c>
      <c r="AL2555">
        <v>84.649020306763404</v>
      </c>
      <c r="AM2555">
        <v>68.945087904945296</v>
      </c>
      <c r="AN2555">
        <v>0.99999999724557498</v>
      </c>
    </row>
    <row r="2556" spans="1:40" x14ac:dyDescent="0.25">
      <c r="A2556" t="str">
        <f>"20190303161925176"</f>
        <v>20190303161925176</v>
      </c>
      <c r="B2556" t="str">
        <f>"1551601165165144"</f>
        <v>1551601165165144</v>
      </c>
      <c r="C2556" t="s">
        <v>40</v>
      </c>
      <c r="D2556">
        <v>5.2894730000000001</v>
      </c>
      <c r="E2556">
        <v>0.62391940000000001</v>
      </c>
      <c r="F2556" t="s">
        <v>49</v>
      </c>
      <c r="G2556">
        <v>-202.83250000000001</v>
      </c>
      <c r="H2556" s="1">
        <v>3.2505929999999999E-6</v>
      </c>
      <c r="I2556">
        <v>287.16109999999998</v>
      </c>
      <c r="J2556">
        <v>-196.86099999999999</v>
      </c>
      <c r="K2556">
        <v>1.120234</v>
      </c>
      <c r="L2556">
        <v>290.2244</v>
      </c>
      <c r="M2556">
        <v>-0.40348149999999999</v>
      </c>
      <c r="N2556">
        <v>-1.3331000000000001E-2</v>
      </c>
      <c r="O2556">
        <v>-0.9148906</v>
      </c>
      <c r="P2556">
        <v>-0.70210039999999996</v>
      </c>
      <c r="Q2556">
        <v>8.2297529999999994E-2</v>
      </c>
      <c r="R2556">
        <v>-0.7073062</v>
      </c>
      <c r="S2556">
        <v>-2.8367309999999999</v>
      </c>
      <c r="T2556">
        <v>-0.5269568</v>
      </c>
      <c r="U2556">
        <v>-1.4955750000000001</v>
      </c>
      <c r="V2556">
        <v>0.35730050000000002</v>
      </c>
      <c r="W2556">
        <v>9.3522830000000001E-2</v>
      </c>
      <c r="X2556">
        <v>0.92929539999999999</v>
      </c>
      <c r="Y2556">
        <v>0.60860199999999998</v>
      </c>
      <c r="Z2556">
        <v>0.16078210000000001</v>
      </c>
      <c r="AA2556">
        <v>0.77701529999999996</v>
      </c>
      <c r="AB2556">
        <v>9</v>
      </c>
      <c r="AC2556">
        <v>-5.9715000000000096</v>
      </c>
      <c r="AD2556">
        <v>-1.1202307494069901</v>
      </c>
      <c r="AE2556">
        <v>-3.0633000000000199</v>
      </c>
      <c r="AF2556">
        <v>4.1130675786713402</v>
      </c>
      <c r="AG2556">
        <v>-1.1202307494069901</v>
      </c>
      <c r="AH2556">
        <v>5.0711521126906396</v>
      </c>
      <c r="AI2556">
        <v>99.735198818972094</v>
      </c>
      <c r="AJ2556">
        <v>50.9554721076993</v>
      </c>
      <c r="AK2556">
        <v>6.6248641939802102</v>
      </c>
      <c r="AL2556">
        <v>84.633694618579696</v>
      </c>
      <c r="AM2556">
        <v>68.968977818424193</v>
      </c>
      <c r="AN2556">
        <v>1.0000000537463001</v>
      </c>
    </row>
    <row r="2557" spans="1:40" x14ac:dyDescent="0.25">
      <c r="A2557" t="str">
        <f>"20190303161925197"</f>
        <v>20190303161925197</v>
      </c>
      <c r="B2557" t="str">
        <f>"1551601165184665"</f>
        <v>1551601165184665</v>
      </c>
      <c r="C2557" t="s">
        <v>40</v>
      </c>
      <c r="D2557">
        <v>5.2878559999999997</v>
      </c>
      <c r="E2557">
        <v>0.62403229999999998</v>
      </c>
      <c r="F2557" t="s">
        <v>49</v>
      </c>
      <c r="G2557">
        <v>-203.0009</v>
      </c>
      <c r="H2557" s="1">
        <v>3.3347980000000002E-6</v>
      </c>
      <c r="I2557">
        <v>287.05220000000003</v>
      </c>
      <c r="J2557">
        <v>-196.90010000000001</v>
      </c>
      <c r="K2557">
        <v>1.1201859999999999</v>
      </c>
      <c r="L2557">
        <v>290.14949999999999</v>
      </c>
      <c r="M2557">
        <v>-0.40778419999999999</v>
      </c>
      <c r="N2557">
        <v>-1.3342919999999999E-2</v>
      </c>
      <c r="O2557">
        <v>-0.91298089999999998</v>
      </c>
      <c r="P2557">
        <v>-0.70504579999999994</v>
      </c>
      <c r="Q2557">
        <v>8.1546279999999999E-2</v>
      </c>
      <c r="R2557">
        <v>-0.70445809999999998</v>
      </c>
      <c r="S2557">
        <v>-2.850311</v>
      </c>
      <c r="T2557">
        <v>-0.52004810000000001</v>
      </c>
      <c r="U2557">
        <v>-1.472626</v>
      </c>
      <c r="V2557">
        <v>0.35677399999999998</v>
      </c>
      <c r="W2557">
        <v>9.2751819999999999E-2</v>
      </c>
      <c r="X2557">
        <v>0.92957480000000003</v>
      </c>
      <c r="Y2557">
        <v>0.61167490000000002</v>
      </c>
      <c r="Z2557">
        <v>0.15863569999999999</v>
      </c>
      <c r="AA2557">
        <v>0.77504099999999998</v>
      </c>
      <c r="AB2557">
        <v>9</v>
      </c>
      <c r="AC2557">
        <v>-6.1007999999999898</v>
      </c>
      <c r="AD2557">
        <v>-1.1201826652019999</v>
      </c>
      <c r="AE2557">
        <v>-3.0972999999999602</v>
      </c>
      <c r="AF2557">
        <v>4.1948260130455104</v>
      </c>
      <c r="AG2557">
        <v>-1.1201826652019999</v>
      </c>
      <c r="AH2557">
        <v>5.1772830114288597</v>
      </c>
      <c r="AI2557">
        <v>99.542760467866202</v>
      </c>
      <c r="AJ2557">
        <v>50.9843305726354</v>
      </c>
      <c r="AK2557">
        <v>6.7568952828626996</v>
      </c>
      <c r="AL2557">
        <v>84.678062529518598</v>
      </c>
      <c r="AM2557">
        <v>69.003026342243501</v>
      </c>
      <c r="AN2557">
        <v>0.99999994799217495</v>
      </c>
    </row>
    <row r="2558" spans="1:40" x14ac:dyDescent="0.25">
      <c r="A2558" t="str">
        <f>"20190303161925219"</f>
        <v>20190303161925219</v>
      </c>
      <c r="B2558" t="str">
        <f>"1551601165214921"</f>
        <v>1551601165214921</v>
      </c>
      <c r="C2558" t="s">
        <v>40</v>
      </c>
      <c r="D2558">
        <v>5.3074469999999998</v>
      </c>
      <c r="E2558">
        <v>0.62427769999999905</v>
      </c>
      <c r="F2558" t="s">
        <v>49</v>
      </c>
      <c r="G2558">
        <v>-203.09989999999999</v>
      </c>
      <c r="H2558" s="1">
        <v>3.384178E-6</v>
      </c>
      <c r="I2558">
        <v>286.98939999999999</v>
      </c>
      <c r="J2558">
        <v>-196.9408</v>
      </c>
      <c r="K2558">
        <v>1.1201460000000001</v>
      </c>
      <c r="L2558">
        <v>290.0727</v>
      </c>
      <c r="M2558">
        <v>-0.4123076</v>
      </c>
      <c r="N2558">
        <v>-1.335476E-2</v>
      </c>
      <c r="O2558">
        <v>-0.91094699999999995</v>
      </c>
      <c r="P2558">
        <v>-0.70979740000000002</v>
      </c>
      <c r="Q2558">
        <v>7.9817509999999994E-2</v>
      </c>
      <c r="R2558">
        <v>-0.69986959999999998</v>
      </c>
      <c r="S2558">
        <v>-2.8588260000000001</v>
      </c>
      <c r="T2558">
        <v>-0.51653930000000003</v>
      </c>
      <c r="U2558">
        <v>-1.457184</v>
      </c>
      <c r="V2558">
        <v>0.35837479999999999</v>
      </c>
      <c r="W2558">
        <v>9.099641E-2</v>
      </c>
      <c r="X2558">
        <v>0.92913250000000003</v>
      </c>
      <c r="Y2558">
        <v>0.61221369999999997</v>
      </c>
      <c r="Z2558">
        <v>0.15748589999999901</v>
      </c>
      <c r="AA2558">
        <v>0.77485000000000004</v>
      </c>
      <c r="AB2558">
        <v>9</v>
      </c>
      <c r="AC2558">
        <v>-6.1590999999999898</v>
      </c>
      <c r="AD2558">
        <v>-1.12014261582199</v>
      </c>
      <c r="AE2558">
        <v>-3.0832999999999999</v>
      </c>
      <c r="AF2558">
        <v>4.2279126779618803</v>
      </c>
      <c r="AG2558">
        <v>-1.12014261582199</v>
      </c>
      <c r="AH2558">
        <v>5.2108274671771699</v>
      </c>
      <c r="AI2558">
        <v>99.4769534823713</v>
      </c>
      <c r="AJ2558">
        <v>50.945137722521899</v>
      </c>
      <c r="AK2558">
        <v>6.8031380983292902</v>
      </c>
      <c r="AL2558">
        <v>84.779067713034806</v>
      </c>
      <c r="AM2558">
        <v>68.907922374723398</v>
      </c>
      <c r="AN2558">
        <v>1.00000002323208</v>
      </c>
    </row>
    <row r="2559" spans="1:40" x14ac:dyDescent="0.25">
      <c r="A2559" t="str">
        <f>"20190303161925245"</f>
        <v>20190303161925245</v>
      </c>
      <c r="B2559" t="str">
        <f>"1551601165235416"</f>
        <v>1551601165235416</v>
      </c>
      <c r="C2559" t="s">
        <v>40</v>
      </c>
      <c r="D2559">
        <v>5.2934159999999997</v>
      </c>
      <c r="E2559">
        <v>0.62437559999999903</v>
      </c>
      <c r="F2559" t="s">
        <v>49</v>
      </c>
      <c r="G2559">
        <v>-203.2166</v>
      </c>
      <c r="H2559" s="1">
        <v>3.4397709999999999E-6</v>
      </c>
      <c r="I2559">
        <v>286.94569999999999</v>
      </c>
      <c r="J2559">
        <v>-196.98679999999999</v>
      </c>
      <c r="K2559">
        <v>1.1201159999999999</v>
      </c>
      <c r="L2559">
        <v>289.98739999999998</v>
      </c>
      <c r="M2559">
        <v>-0.41744829999999999</v>
      </c>
      <c r="N2559">
        <v>-1.336686E-2</v>
      </c>
      <c r="O2559">
        <v>-0.90860229999999997</v>
      </c>
      <c r="P2559">
        <v>-0.71574469999999901</v>
      </c>
      <c r="Q2559">
        <v>7.7092549999999996E-2</v>
      </c>
      <c r="R2559">
        <v>-0.69409379999999998</v>
      </c>
      <c r="S2559">
        <v>-2.872833</v>
      </c>
      <c r="T2559">
        <v>-0.5127623</v>
      </c>
      <c r="U2559">
        <v>-1.431427</v>
      </c>
      <c r="V2559">
        <v>0.36092279999999999</v>
      </c>
      <c r="W2559">
        <v>8.8246160000000004E-2</v>
      </c>
      <c r="X2559">
        <v>0.92841119999999999</v>
      </c>
      <c r="Y2559">
        <v>0.61502809999999997</v>
      </c>
      <c r="Z2559">
        <v>0.15634149999999999</v>
      </c>
      <c r="AA2559">
        <v>0.7728505</v>
      </c>
      <c r="AB2559">
        <v>9</v>
      </c>
      <c r="AC2559">
        <v>-6.2298000000000098</v>
      </c>
      <c r="AD2559">
        <v>-1.1201125602290001</v>
      </c>
      <c r="AE2559">
        <v>-3.0416999999999899</v>
      </c>
      <c r="AF2559">
        <v>4.2793398481124898</v>
      </c>
      <c r="AG2559">
        <v>-1.1201125602290001</v>
      </c>
      <c r="AH2559">
        <v>5.2283112212107099</v>
      </c>
      <c r="AI2559">
        <v>99.4132842213224</v>
      </c>
      <c r="AJ2559">
        <v>50.6998904182987</v>
      </c>
      <c r="AK2559">
        <v>6.8485502049020601</v>
      </c>
      <c r="AL2559">
        <v>84.937282050300894</v>
      </c>
      <c r="AM2559">
        <v>68.7562492368574</v>
      </c>
      <c r="AN2559">
        <v>1.0000000043000099</v>
      </c>
    </row>
    <row r="2560" spans="1:40" x14ac:dyDescent="0.25">
      <c r="A2560" t="str">
        <f>"20190303161925267"</f>
        <v>20190303161925267</v>
      </c>
      <c r="B2560" t="str">
        <f>"1551601165254936"</f>
        <v>1551601165254936</v>
      </c>
      <c r="C2560" t="s">
        <v>40</v>
      </c>
      <c r="D2560">
        <v>5.2986139999999997</v>
      </c>
      <c r="E2560">
        <v>0.62442959999999903</v>
      </c>
      <c r="F2560" t="s">
        <v>49</v>
      </c>
      <c r="G2560">
        <v>-203.28800000000001</v>
      </c>
      <c r="H2560" s="1">
        <v>3.472954E-6</v>
      </c>
      <c r="I2560">
        <v>286.92849999999999</v>
      </c>
      <c r="J2560">
        <v>-197.02780000000001</v>
      </c>
      <c r="K2560">
        <v>1.1200889999999999</v>
      </c>
      <c r="L2560">
        <v>289.91239999999999</v>
      </c>
      <c r="M2560">
        <v>-0.42207810000000001</v>
      </c>
      <c r="N2560">
        <v>-1.337609E-2</v>
      </c>
      <c r="O2560">
        <v>-0.90646090000000001</v>
      </c>
      <c r="P2560">
        <v>-0.72053020000000001</v>
      </c>
      <c r="Q2560">
        <v>7.423362E-2</v>
      </c>
      <c r="R2560">
        <v>-0.68943909999999997</v>
      </c>
      <c r="S2560">
        <v>-2.8874360000000001</v>
      </c>
      <c r="T2560">
        <v>-0.51327009999999995</v>
      </c>
      <c r="U2560">
        <v>-1.401672</v>
      </c>
      <c r="V2560">
        <v>0.36247040000000003</v>
      </c>
      <c r="W2560">
        <v>8.5380259999999999E-2</v>
      </c>
      <c r="X2560">
        <v>0.92807620000000002</v>
      </c>
      <c r="Y2560">
        <v>0.61896090000000004</v>
      </c>
      <c r="Z2560">
        <v>0.156674799999999</v>
      </c>
      <c r="AA2560">
        <v>0.7696366</v>
      </c>
      <c r="AB2560">
        <v>9</v>
      </c>
      <c r="AC2560">
        <v>-6.2601999999999602</v>
      </c>
      <c r="AD2560">
        <v>-1.120085527046</v>
      </c>
      <c r="AE2560">
        <v>-2.9839000000000002</v>
      </c>
      <c r="AF2560">
        <v>4.3033241687911401</v>
      </c>
      <c r="AG2560">
        <v>-1.120085527046</v>
      </c>
      <c r="AH2560">
        <v>5.2116079444354</v>
      </c>
      <c r="AI2560">
        <v>99.409876232134096</v>
      </c>
      <c r="AJ2560">
        <v>50.452862205759502</v>
      </c>
      <c r="AK2560">
        <v>6.8508428573498996</v>
      </c>
      <c r="AL2560">
        <v>85.102108376227903</v>
      </c>
      <c r="AM2560">
        <v>68.666320578472707</v>
      </c>
      <c r="AN2560">
        <v>1.00000000634013</v>
      </c>
    </row>
    <row r="2561" spans="1:40" x14ac:dyDescent="0.25">
      <c r="A2561" t="str">
        <f>"20190303161925289"</f>
        <v>20190303161925289</v>
      </c>
      <c r="B2561" t="str">
        <f>"1551601165285192"</f>
        <v>1551601165285192</v>
      </c>
      <c r="C2561" t="s">
        <v>40</v>
      </c>
      <c r="D2561">
        <v>5.2556750000000001</v>
      </c>
      <c r="E2561">
        <v>0.62449309999999902</v>
      </c>
      <c r="F2561" t="s">
        <v>49</v>
      </c>
      <c r="G2561">
        <v>-203.41839999999999</v>
      </c>
      <c r="H2561" s="1">
        <v>3.534317E-6</v>
      </c>
      <c r="I2561">
        <v>286.88780000000003</v>
      </c>
      <c r="J2561">
        <v>-197.0703</v>
      </c>
      <c r="K2561">
        <v>1.120085</v>
      </c>
      <c r="L2561">
        <v>289.83620000000002</v>
      </c>
      <c r="M2561">
        <v>-0.4268692</v>
      </c>
      <c r="N2561">
        <v>-1.3383890000000001E-2</v>
      </c>
      <c r="O2561">
        <v>-0.90421450000000003</v>
      </c>
      <c r="P2561">
        <v>-0.7236418</v>
      </c>
      <c r="Q2561">
        <v>7.2349170000000004E-2</v>
      </c>
      <c r="R2561">
        <v>-0.68637340000000002</v>
      </c>
      <c r="S2561">
        <v>-2.9018709999999999</v>
      </c>
      <c r="T2561">
        <v>-0.50861670000000003</v>
      </c>
      <c r="U2561">
        <v>-1.373413</v>
      </c>
      <c r="V2561">
        <v>0.36166389999999998</v>
      </c>
      <c r="W2561">
        <v>8.3513450000000003E-2</v>
      </c>
      <c r="X2561">
        <v>0.92856059999999996</v>
      </c>
      <c r="Y2561">
        <v>0.62264960000000003</v>
      </c>
      <c r="Z2561">
        <v>0.15530679999999999</v>
      </c>
      <c r="AA2561">
        <v>0.76693369999999905</v>
      </c>
      <c r="AB2561">
        <v>8</v>
      </c>
      <c r="AC2561">
        <v>-6.3480999999999801</v>
      </c>
      <c r="AD2561">
        <v>-1.120081465683</v>
      </c>
      <c r="AE2561">
        <v>-2.9483999999999901</v>
      </c>
      <c r="AF2561">
        <v>4.3699569379365899</v>
      </c>
      <c r="AG2561">
        <v>-1.120081465683</v>
      </c>
      <c r="AH2561">
        <v>5.24203601938805</v>
      </c>
      <c r="AI2561">
        <v>99.320494530179801</v>
      </c>
      <c r="AJ2561">
        <v>50.184150956823999</v>
      </c>
      <c r="AK2561">
        <v>6.9159271076080904</v>
      </c>
      <c r="AL2561">
        <v>85.209452274762796</v>
      </c>
      <c r="AM2561">
        <v>68.719646459476294</v>
      </c>
      <c r="AN2561">
        <v>1.0000000303832299</v>
      </c>
    </row>
    <row r="2562" spans="1:40" x14ac:dyDescent="0.25">
      <c r="A2562" t="str">
        <f>"20190303161925310"</f>
        <v>20190303161925310</v>
      </c>
      <c r="B2562" t="str">
        <f>"1551601165304713"</f>
        <v>1551601165304713</v>
      </c>
      <c r="C2562" t="s">
        <v>40</v>
      </c>
      <c r="D2562">
        <v>5.4623030000000004</v>
      </c>
      <c r="E2562">
        <v>0.62445740000000005</v>
      </c>
      <c r="F2562" t="s">
        <v>49</v>
      </c>
      <c r="G2562">
        <v>-203.57679999999999</v>
      </c>
      <c r="H2562" s="1">
        <v>3.6109200000000001E-6</v>
      </c>
      <c r="I2562">
        <v>286.81540000000001</v>
      </c>
      <c r="J2562">
        <v>-197.11070000000001</v>
      </c>
      <c r="K2562">
        <v>1.120115</v>
      </c>
      <c r="L2562">
        <v>289.76459999999997</v>
      </c>
      <c r="M2562">
        <v>-0.4314113</v>
      </c>
      <c r="N2562">
        <v>-1.338872E-2</v>
      </c>
      <c r="O2562">
        <v>-0.90205599999999997</v>
      </c>
      <c r="P2562">
        <v>-0.72711459999999895</v>
      </c>
      <c r="Q2562">
        <v>7.2491260000000002E-2</v>
      </c>
      <c r="R2562">
        <v>-0.68267819999999901</v>
      </c>
      <c r="S2562">
        <v>-2.913071</v>
      </c>
      <c r="T2562">
        <v>-0.50147449999999905</v>
      </c>
      <c r="U2562">
        <v>-1.352417</v>
      </c>
      <c r="V2562">
        <v>0.36170930000000001</v>
      </c>
      <c r="W2562">
        <v>8.3670270000000005E-2</v>
      </c>
      <c r="X2562">
        <v>0.92852880000000004</v>
      </c>
      <c r="Y2562">
        <v>0.6247665</v>
      </c>
      <c r="Z2562">
        <v>0.15304079999999901</v>
      </c>
      <c r="AA2562">
        <v>0.76566659999999997</v>
      </c>
      <c r="AB2562">
        <v>8</v>
      </c>
      <c r="AC2562">
        <v>-6.4660999999999804</v>
      </c>
      <c r="AD2562">
        <v>-1.1201113890799901</v>
      </c>
      <c r="AE2562">
        <v>-2.9491999999999599</v>
      </c>
      <c r="AF2562">
        <v>4.4503265886816497</v>
      </c>
      <c r="AG2562">
        <v>-1.1201113890799901</v>
      </c>
      <c r="AH2562">
        <v>5.31827218664389</v>
      </c>
      <c r="AI2562">
        <v>99.175382457886698</v>
      </c>
      <c r="AJ2562">
        <v>50.0774297201595</v>
      </c>
      <c r="AK2562">
        <v>7.0245338152153298</v>
      </c>
      <c r="AL2562">
        <v>85.200435601484202</v>
      </c>
      <c r="AM2562">
        <v>68.716550474231596</v>
      </c>
      <c r="AN2562">
        <v>1.0000000321089</v>
      </c>
    </row>
    <row r="2563" spans="1:40" x14ac:dyDescent="0.25">
      <c r="A2563" t="str">
        <f>"20190303161925333"</f>
        <v>20190303161925333</v>
      </c>
      <c r="B2563" t="str">
        <f>"1551601165325208"</f>
        <v>1551601165325208</v>
      </c>
      <c r="C2563" t="s">
        <v>40</v>
      </c>
      <c r="D2563">
        <v>5.4144750000000004</v>
      </c>
      <c r="E2563">
        <v>0.61850680000000002</v>
      </c>
      <c r="F2563" t="s">
        <v>49</v>
      </c>
      <c r="G2563">
        <v>-203.72749999999999</v>
      </c>
      <c r="H2563" s="1">
        <v>3.6839410000000001E-6</v>
      </c>
      <c r="I2563">
        <v>286.74439999999998</v>
      </c>
      <c r="J2563">
        <v>-197.15350000000001</v>
      </c>
      <c r="K2563">
        <v>1.1201559999999999</v>
      </c>
      <c r="L2563">
        <v>289.68990000000002</v>
      </c>
      <c r="M2563">
        <v>-0.4361988</v>
      </c>
      <c r="N2563">
        <v>-1.3391220000000001E-2</v>
      </c>
      <c r="O2563">
        <v>-0.89975090000000002</v>
      </c>
      <c r="P2563">
        <v>-0.73299669999999995</v>
      </c>
      <c r="Q2563">
        <v>7.5655710000000001E-2</v>
      </c>
      <c r="R2563">
        <v>-0.67601199999999995</v>
      </c>
      <c r="S2563">
        <v>-2.9226990000000002</v>
      </c>
      <c r="T2563">
        <v>-0.49476029999999999</v>
      </c>
      <c r="U2563">
        <v>-1.3340449999999999</v>
      </c>
      <c r="V2563">
        <v>0.36497200000000002</v>
      </c>
      <c r="W2563">
        <v>8.6823029999999995E-2</v>
      </c>
      <c r="X2563">
        <v>0.92696129999999999</v>
      </c>
      <c r="Y2563">
        <v>0.62591509999999995</v>
      </c>
      <c r="Z2563">
        <v>0.15086579999999999</v>
      </c>
      <c r="AA2563">
        <v>0.76515999999999995</v>
      </c>
      <c r="AB2563">
        <v>8</v>
      </c>
      <c r="AC2563">
        <v>-6.5739999999999803</v>
      </c>
      <c r="AD2563">
        <v>-1.1201523160589999</v>
      </c>
      <c r="AE2563">
        <v>-2.9455000000000302</v>
      </c>
      <c r="AF2563">
        <v>4.5212333938004496</v>
      </c>
      <c r="AG2563">
        <v>-1.1201523160589999</v>
      </c>
      <c r="AH2563">
        <v>5.38800336062525</v>
      </c>
      <c r="AI2563">
        <v>99.048727878016095</v>
      </c>
      <c r="AJ2563">
        <v>49.998990583436402</v>
      </c>
      <c r="AK2563">
        <v>7.1222800300534104</v>
      </c>
      <c r="AL2563">
        <v>85.019135702106695</v>
      </c>
      <c r="AM2563">
        <v>68.508977368086207</v>
      </c>
      <c r="AN2563">
        <v>1.0000000255100301</v>
      </c>
    </row>
    <row r="2564" spans="1:40" x14ac:dyDescent="0.25">
      <c r="A2564" t="str">
        <f>"20190303161925354"</f>
        <v>20190303161925354</v>
      </c>
      <c r="B2564" t="str">
        <f>"1551601165344729"</f>
        <v>1551601165344729</v>
      </c>
      <c r="C2564" t="s">
        <v>40</v>
      </c>
      <c r="D2564">
        <v>5.3861280000000002</v>
      </c>
      <c r="E2564">
        <v>0.61885049999999997</v>
      </c>
      <c r="F2564" t="s">
        <v>49</v>
      </c>
      <c r="G2564">
        <v>-202.37880000000001</v>
      </c>
      <c r="H2564" s="1">
        <v>3.039159E-6</v>
      </c>
      <c r="I2564">
        <v>287.27820000000003</v>
      </c>
      <c r="J2564">
        <v>-197.19569999999999</v>
      </c>
      <c r="K2564">
        <v>1.1201920000000001</v>
      </c>
      <c r="L2564">
        <v>289.6173</v>
      </c>
      <c r="M2564">
        <v>-0.44089329999999999</v>
      </c>
      <c r="N2564">
        <v>-1.339167E-2</v>
      </c>
      <c r="O2564">
        <v>-0.89745969999999997</v>
      </c>
      <c r="P2564">
        <v>-0.73908790000000002</v>
      </c>
      <c r="Q2564">
        <v>7.8293650000000006E-2</v>
      </c>
      <c r="R2564">
        <v>-0.66904410000000003</v>
      </c>
      <c r="S2564">
        <v>-2.9160460000000001</v>
      </c>
      <c r="T2564">
        <v>-0.62511890000000003</v>
      </c>
      <c r="U2564">
        <v>-1.3458859999999999</v>
      </c>
      <c r="V2564">
        <v>0.36866189999999999</v>
      </c>
      <c r="W2564">
        <v>8.9447310000000002E-2</v>
      </c>
      <c r="X2564">
        <v>0.92525000000000002</v>
      </c>
      <c r="Y2564">
        <v>0.61168679999999997</v>
      </c>
      <c r="Z2564">
        <v>0.19129579999999999</v>
      </c>
      <c r="AA2564">
        <v>0.7676231</v>
      </c>
      <c r="AB2564">
        <v>8</v>
      </c>
      <c r="AC2564">
        <v>-5.18310000000002</v>
      </c>
      <c r="AD2564">
        <v>-1.1201889608409901</v>
      </c>
      <c r="AE2564">
        <v>-2.33909999999997</v>
      </c>
      <c r="AF2564">
        <v>3.4854002596689702</v>
      </c>
      <c r="AG2564">
        <v>-1.1201889608409901</v>
      </c>
      <c r="AH2564">
        <v>4.2210340138006801</v>
      </c>
      <c r="AI2564">
        <v>101.56513802487</v>
      </c>
      <c r="AJ2564">
        <v>50.452766198670801</v>
      </c>
      <c r="AK2564">
        <v>5.5874830132854001</v>
      </c>
      <c r="AL2564">
        <v>84.868187902186307</v>
      </c>
      <c r="AM2564">
        <v>68.275402182721294</v>
      </c>
      <c r="AN2564">
        <v>0.99999999013892305</v>
      </c>
    </row>
    <row r="2565" spans="1:40" x14ac:dyDescent="0.25">
      <c r="A2565" t="str">
        <f>"20190303161925376"</f>
        <v>20190303161925376</v>
      </c>
      <c r="B2565" t="str">
        <f>"1551601165365227"</f>
        <v>1551601165365227</v>
      </c>
      <c r="C2565" t="s">
        <v>40</v>
      </c>
      <c r="D2565">
        <v>5.382447</v>
      </c>
      <c r="E2565">
        <v>0.61797829999999998</v>
      </c>
      <c r="F2565" t="s">
        <v>49</v>
      </c>
      <c r="G2565">
        <v>-202.44120000000001</v>
      </c>
      <c r="H2565" s="1">
        <v>3.0688140000000001E-6</v>
      </c>
      <c r="I2565">
        <v>287.25560000000002</v>
      </c>
      <c r="J2565">
        <v>-197.24010000000001</v>
      </c>
      <c r="K2565">
        <v>1.1202110000000001</v>
      </c>
      <c r="L2565">
        <v>289.54180000000002</v>
      </c>
      <c r="M2565">
        <v>-0.44581009999999999</v>
      </c>
      <c r="N2565">
        <v>-1.3390880000000001E-2</v>
      </c>
      <c r="O2565">
        <v>-0.89502739999999903</v>
      </c>
      <c r="P2565">
        <v>-0.74527390000000004</v>
      </c>
      <c r="Q2565">
        <v>7.8755039999999998E-2</v>
      </c>
      <c r="R2565">
        <v>-0.66209110000000004</v>
      </c>
      <c r="S2565">
        <v>-2.9308619999999999</v>
      </c>
      <c r="T2565">
        <v>-0.62589300000000003</v>
      </c>
      <c r="U2565">
        <v>-1.31955</v>
      </c>
      <c r="V2565">
        <v>0.37220819999999999</v>
      </c>
      <c r="W2565">
        <v>8.9895639999999999E-2</v>
      </c>
      <c r="X2565">
        <v>0.92378559999999998</v>
      </c>
      <c r="Y2565">
        <v>0.61454830000000005</v>
      </c>
      <c r="Z2565">
        <v>0.19149840000000001</v>
      </c>
      <c r="AA2565">
        <v>0.76528339999999995</v>
      </c>
      <c r="AB2565">
        <v>8</v>
      </c>
      <c r="AC2565">
        <v>-5.2010999999999896</v>
      </c>
      <c r="AD2565">
        <v>-1.120207931186</v>
      </c>
      <c r="AE2565">
        <v>-2.2862</v>
      </c>
      <c r="AF2565">
        <v>3.5001672646101398</v>
      </c>
      <c r="AG2565">
        <v>-1.120207931186</v>
      </c>
      <c r="AH2565">
        <v>4.2019483401956803</v>
      </c>
      <c r="AI2565">
        <v>101.576160397392</v>
      </c>
      <c r="AJ2565">
        <v>50.206150457585302</v>
      </c>
      <c r="AK2565">
        <v>5.5823298489979702</v>
      </c>
      <c r="AL2565">
        <v>84.842396645868206</v>
      </c>
      <c r="AM2565">
        <v>68.054695024056997</v>
      </c>
      <c r="AN2565">
        <v>1.0000000025028</v>
      </c>
    </row>
    <row r="2566" spans="1:40" x14ac:dyDescent="0.25">
      <c r="A2566" t="str">
        <f>"20190303161925400"</f>
        <v>20190303161925400</v>
      </c>
      <c r="B2566" t="str">
        <f>"1551601165395481"</f>
        <v>1551601165395481</v>
      </c>
      <c r="C2566" t="s">
        <v>40</v>
      </c>
      <c r="D2566">
        <v>5.3510839999999904</v>
      </c>
      <c r="E2566">
        <v>0.61706719999999904</v>
      </c>
      <c r="F2566" t="s">
        <v>49</v>
      </c>
      <c r="G2566">
        <v>-202.42080000000001</v>
      </c>
      <c r="H2566" s="1">
        <v>3.0603569999999998E-6</v>
      </c>
      <c r="I2566">
        <v>287.24919999999997</v>
      </c>
      <c r="J2566">
        <v>-197.2834</v>
      </c>
      <c r="K2566">
        <v>1.1202080000000001</v>
      </c>
      <c r="L2566">
        <v>289.46929999999998</v>
      </c>
      <c r="M2566">
        <v>-0.45057989999999998</v>
      </c>
      <c r="N2566">
        <v>-1.3389979999999999E-2</v>
      </c>
      <c r="O2566">
        <v>-0.89263590000000004</v>
      </c>
      <c r="P2566">
        <v>-0.75113369999999902</v>
      </c>
      <c r="Q2566">
        <v>7.7030660000000001E-2</v>
      </c>
      <c r="R2566">
        <v>-0.65564089999999997</v>
      </c>
      <c r="S2566">
        <v>-2.9376069999999999</v>
      </c>
      <c r="T2566">
        <v>-0.63518799999999997</v>
      </c>
      <c r="U2566">
        <v>-1.2999879999999999</v>
      </c>
      <c r="V2566">
        <v>0.37539640000000002</v>
      </c>
      <c r="W2566">
        <v>8.8156390000000001E-2</v>
      </c>
      <c r="X2566">
        <v>0.92266250000000005</v>
      </c>
      <c r="Y2566">
        <v>0.61471409999999904</v>
      </c>
      <c r="Z2566">
        <v>0.19445390000000001</v>
      </c>
      <c r="AA2566">
        <v>0.76440450000000004</v>
      </c>
      <c r="AB2566">
        <v>8</v>
      </c>
      <c r="AC2566">
        <v>-5.1374000000000102</v>
      </c>
      <c r="AD2566">
        <v>-1.1202049396430001</v>
      </c>
      <c r="AE2566">
        <v>-2.2201</v>
      </c>
      <c r="AF2566">
        <v>3.44768936661879</v>
      </c>
      <c r="AG2566">
        <v>-1.1202049396430001</v>
      </c>
      <c r="AH2566">
        <v>4.1314153980198602</v>
      </c>
      <c r="AI2566">
        <v>101.759751125977</v>
      </c>
      <c r="AJ2566">
        <v>50.154812180170197</v>
      </c>
      <c r="AK2566">
        <v>5.4963637312765696</v>
      </c>
      <c r="AL2566">
        <v>84.942445835916402</v>
      </c>
      <c r="AM2566">
        <v>67.860455571640699</v>
      </c>
      <c r="AN2566">
        <v>1.00000004756852</v>
      </c>
    </row>
    <row r="2567" spans="1:40" x14ac:dyDescent="0.25">
      <c r="A2567" t="str">
        <f>"20190303161925425"</f>
        <v>20190303161925425</v>
      </c>
      <c r="B2567" t="str">
        <f>"1551601165415001"</f>
        <v>1551601165415001</v>
      </c>
      <c r="C2567" t="s">
        <v>40</v>
      </c>
      <c r="D2567">
        <v>5.3554810000000002</v>
      </c>
      <c r="E2567">
        <v>0.61650329999999998</v>
      </c>
      <c r="F2567" t="s">
        <v>49</v>
      </c>
      <c r="G2567">
        <v>-202.3955</v>
      </c>
      <c r="H2567" s="1">
        <v>3.0496770000000002E-6</v>
      </c>
      <c r="I2567">
        <v>287.24299999999999</v>
      </c>
      <c r="J2567">
        <v>-197.33160000000001</v>
      </c>
      <c r="K2567">
        <v>1.1202000000000001</v>
      </c>
      <c r="L2567">
        <v>289.3895</v>
      </c>
      <c r="M2567">
        <v>-0.45587359999999999</v>
      </c>
      <c r="N2567">
        <v>-1.338957E-2</v>
      </c>
      <c r="O2567">
        <v>-0.88994399999999996</v>
      </c>
      <c r="P2567">
        <v>-0.75760850000000002</v>
      </c>
      <c r="Q2567">
        <v>7.2563589999999997E-2</v>
      </c>
      <c r="R2567">
        <v>-0.64866349999999995</v>
      </c>
      <c r="S2567">
        <v>-2.9418329999999999</v>
      </c>
      <c r="T2567">
        <v>-0.64463459999999995</v>
      </c>
      <c r="U2567">
        <v>-1.281128</v>
      </c>
      <c r="V2567">
        <v>0.37883129999999998</v>
      </c>
      <c r="W2567">
        <v>8.3668370000000006E-2</v>
      </c>
      <c r="X2567">
        <v>0.92167589999999999</v>
      </c>
      <c r="Y2567">
        <v>0.61398710000000001</v>
      </c>
      <c r="Z2567">
        <v>0.19749410000000001</v>
      </c>
      <c r="AA2567">
        <v>0.76420929999999998</v>
      </c>
      <c r="AB2567">
        <v>8</v>
      </c>
      <c r="AC2567">
        <v>-5.0638999999999896</v>
      </c>
      <c r="AD2567">
        <v>-1.120196950323</v>
      </c>
      <c r="AE2567">
        <v>-2.1465000000000001</v>
      </c>
      <c r="AF2567">
        <v>3.3878374925480901</v>
      </c>
      <c r="AG2567">
        <v>-1.120196950323</v>
      </c>
      <c r="AH2567">
        <v>4.05109470328222</v>
      </c>
      <c r="AI2567">
        <v>101.976006176761</v>
      </c>
      <c r="AJ2567">
        <v>50.095034647997799</v>
      </c>
      <c r="AK2567">
        <v>5.3984861191253204</v>
      </c>
      <c r="AL2567">
        <v>85.200544727266504</v>
      </c>
      <c r="AM2567">
        <v>67.656140815571703</v>
      </c>
      <c r="AN2567">
        <v>1.0000000073194699</v>
      </c>
    </row>
    <row r="2568" spans="1:40" x14ac:dyDescent="0.25">
      <c r="A2568" t="str">
        <f>"20190303161925447"</f>
        <v>20190303161925447</v>
      </c>
      <c r="B2568" t="str">
        <f>"1551601165435497"</f>
        <v>1551601165435497</v>
      </c>
      <c r="C2568" t="s">
        <v>40</v>
      </c>
      <c r="D2568">
        <v>5.320106</v>
      </c>
      <c r="E2568">
        <v>0.61610279999999995</v>
      </c>
      <c r="F2568" t="s">
        <v>49</v>
      </c>
      <c r="G2568">
        <v>-202.3493</v>
      </c>
      <c r="H2568" s="1">
        <v>3.028242E-6</v>
      </c>
      <c r="I2568">
        <v>287.25349999999997</v>
      </c>
      <c r="J2568">
        <v>-197.37719999999999</v>
      </c>
      <c r="K2568">
        <v>1.1201760000000001</v>
      </c>
      <c r="L2568">
        <v>289.3152</v>
      </c>
      <c r="M2568">
        <v>-0.46086870000000002</v>
      </c>
      <c r="N2568">
        <v>-1.339012E-2</v>
      </c>
      <c r="O2568">
        <v>-0.88736740000000003</v>
      </c>
      <c r="P2568">
        <v>-0.76304229999999995</v>
      </c>
      <c r="Q2568">
        <v>6.9620539999999995E-2</v>
      </c>
      <c r="R2568">
        <v>-0.6425883</v>
      </c>
      <c r="S2568">
        <v>-2.9483030000000001</v>
      </c>
      <c r="T2568">
        <v>-0.65820970000000001</v>
      </c>
      <c r="U2568">
        <v>-1.255066</v>
      </c>
      <c r="V2568">
        <v>0.3812526</v>
      </c>
      <c r="W2568">
        <v>8.0702029999999994E-2</v>
      </c>
      <c r="X2568">
        <v>0.92094169999999997</v>
      </c>
      <c r="Y2568">
        <v>0.61499459999999995</v>
      </c>
      <c r="Z2568">
        <v>0.20198640000000001</v>
      </c>
      <c r="AA2568">
        <v>0.76222250000000003</v>
      </c>
      <c r="AB2568">
        <v>8</v>
      </c>
      <c r="AC2568">
        <v>-4.97210000000001</v>
      </c>
      <c r="AD2568">
        <v>-1.120172971758</v>
      </c>
      <c r="AE2568">
        <v>-2.0617000000000298</v>
      </c>
      <c r="AF2568">
        <v>3.31849337219059</v>
      </c>
      <c r="AG2568">
        <v>-1.120172971758</v>
      </c>
      <c r="AH2568">
        <v>3.95025513350418</v>
      </c>
      <c r="AI2568">
        <v>102.250105100254</v>
      </c>
      <c r="AJ2568">
        <v>49.967367700166598</v>
      </c>
      <c r="AK2568">
        <v>5.2793656217112099</v>
      </c>
      <c r="AL2568">
        <v>85.371080376086098</v>
      </c>
      <c r="AM2568">
        <v>67.511361966436894</v>
      </c>
      <c r="AN2568">
        <v>0.99999998872588503</v>
      </c>
    </row>
    <row r="2569" spans="1:40" x14ac:dyDescent="0.25">
      <c r="A2569" t="str">
        <f>"20190303161925468"</f>
        <v>20190303161925468</v>
      </c>
      <c r="B2569" t="str">
        <f>"1551601165455016"</f>
        <v>1551601165455016</v>
      </c>
      <c r="C2569" t="s">
        <v>40</v>
      </c>
      <c r="D2569">
        <v>5.3081009999999997</v>
      </c>
      <c r="E2569">
        <v>0.61613519999999999</v>
      </c>
      <c r="F2569" t="s">
        <v>49</v>
      </c>
      <c r="G2569">
        <v>-202.3511</v>
      </c>
      <c r="H2569" s="1">
        <v>3.0300300000000002E-6</v>
      </c>
      <c r="I2569">
        <v>287.24220000000003</v>
      </c>
      <c r="J2569">
        <v>-197.4205</v>
      </c>
      <c r="K2569">
        <v>1.1201620000000001</v>
      </c>
      <c r="L2569">
        <v>289.24560000000002</v>
      </c>
      <c r="M2569">
        <v>-0.46559879999999998</v>
      </c>
      <c r="N2569">
        <v>-1.339157E-2</v>
      </c>
      <c r="O2569">
        <v>-0.88489459999999998</v>
      </c>
      <c r="P2569">
        <v>-0.7654955</v>
      </c>
      <c r="Q2569">
        <v>6.7793309999999996E-2</v>
      </c>
      <c r="R2569">
        <v>-0.63986009999999904</v>
      </c>
      <c r="S2569">
        <v>-2.9551240000000001</v>
      </c>
      <c r="T2569">
        <v>-0.66553459999999998</v>
      </c>
      <c r="U2569">
        <v>-1.2316590000000001</v>
      </c>
      <c r="V2569">
        <v>0.37976330000000003</v>
      </c>
      <c r="W2569">
        <v>7.8881069999999998E-2</v>
      </c>
      <c r="X2569">
        <v>0.92171449999999999</v>
      </c>
      <c r="Y2569">
        <v>0.61608600000000002</v>
      </c>
      <c r="Z2569">
        <v>0.2044338</v>
      </c>
      <c r="AA2569">
        <v>0.76068709999999995</v>
      </c>
      <c r="AB2569">
        <v>8</v>
      </c>
      <c r="AC2569">
        <v>-4.9305999999999903</v>
      </c>
      <c r="AD2569">
        <v>-1.1201589699700001</v>
      </c>
      <c r="AE2569">
        <v>-2.0033999999999899</v>
      </c>
      <c r="AF2569">
        <v>3.2850618715637001</v>
      </c>
      <c r="AG2569">
        <v>-1.1201589699700001</v>
      </c>
      <c r="AH2569">
        <v>3.8962427350572</v>
      </c>
      <c r="AI2569">
        <v>102.396389509126</v>
      </c>
      <c r="AJ2569">
        <v>49.864561990880802</v>
      </c>
      <c r="AK2569">
        <v>5.21795889869707</v>
      </c>
      <c r="AL2569">
        <v>85.475747504584803</v>
      </c>
      <c r="AM2569">
        <v>67.607439470975393</v>
      </c>
      <c r="AN2569">
        <v>1.0000000033707399</v>
      </c>
    </row>
    <row r="2570" spans="1:40" x14ac:dyDescent="0.25">
      <c r="A2570" t="str">
        <f>"20190303161925489"</f>
        <v>20190303161925489</v>
      </c>
      <c r="B2570" t="str">
        <f>"1551601165485273"</f>
        <v>1551601165485273</v>
      </c>
      <c r="C2570" t="s">
        <v>40</v>
      </c>
      <c r="D2570">
        <v>5.3144229999999997</v>
      </c>
      <c r="E2570">
        <v>0.61591850000000004</v>
      </c>
      <c r="F2570" t="s">
        <v>49</v>
      </c>
      <c r="G2570">
        <v>-202.41249999999999</v>
      </c>
      <c r="H2570" s="1">
        <v>3.0617599999999998E-6</v>
      </c>
      <c r="I2570">
        <v>287.19110000000001</v>
      </c>
      <c r="J2570">
        <v>-197.46209999999999</v>
      </c>
      <c r="K2570">
        <v>1.120158</v>
      </c>
      <c r="L2570">
        <v>289.17970000000003</v>
      </c>
      <c r="M2570">
        <v>-0.47012419999999999</v>
      </c>
      <c r="N2570">
        <v>-1.3393260000000001E-2</v>
      </c>
      <c r="O2570">
        <v>-0.88249889999999998</v>
      </c>
      <c r="P2570">
        <v>-0.76510859999999903</v>
      </c>
      <c r="Q2570">
        <v>6.7523849999999996E-2</v>
      </c>
      <c r="R2570">
        <v>-0.64035149999999996</v>
      </c>
      <c r="S2570">
        <v>-2.9596559999999998</v>
      </c>
      <c r="T2570">
        <v>-0.66411999999999904</v>
      </c>
      <c r="U2570">
        <v>-1.2181090000000001</v>
      </c>
      <c r="V2570">
        <v>0.3744614</v>
      </c>
      <c r="W2570">
        <v>7.8652920000000001E-2</v>
      </c>
      <c r="X2570">
        <v>0.92390059999999996</v>
      </c>
      <c r="Y2570">
        <v>0.61559359999999996</v>
      </c>
      <c r="Z2570">
        <v>0.2039164</v>
      </c>
      <c r="AA2570">
        <v>0.76122440000000002</v>
      </c>
      <c r="AB2570">
        <v>8</v>
      </c>
      <c r="AC2570">
        <v>-4.9504000000000001</v>
      </c>
      <c r="AD2570">
        <v>-1.12015493824</v>
      </c>
      <c r="AE2570">
        <v>-1.9886000000000199</v>
      </c>
      <c r="AF2570">
        <v>3.2891342108220498</v>
      </c>
      <c r="AG2570">
        <v>-1.12015493824</v>
      </c>
      <c r="AH2570">
        <v>3.9102173899877801</v>
      </c>
      <c r="AI2570">
        <v>102.365044152002</v>
      </c>
      <c r="AJ2570">
        <v>49.930660240686798</v>
      </c>
      <c r="AK2570">
        <v>5.2309608084391499</v>
      </c>
      <c r="AL2570">
        <v>85.488860127838905</v>
      </c>
      <c r="AM2570">
        <v>67.937048450189806</v>
      </c>
      <c r="AN2570">
        <v>0.99999997029742205</v>
      </c>
    </row>
    <row r="2571" spans="1:40" x14ac:dyDescent="0.25">
      <c r="A2571" t="str">
        <f>"20190303161925513"</f>
        <v>20190303161925513</v>
      </c>
      <c r="B2571" t="str">
        <f>"1551601165505769"</f>
        <v>1551601165505769</v>
      </c>
      <c r="C2571" t="s">
        <v>40</v>
      </c>
      <c r="D2571">
        <v>5.2862850000000003</v>
      </c>
      <c r="E2571">
        <v>0.6158344</v>
      </c>
      <c r="F2571" t="s">
        <v>49</v>
      </c>
      <c r="G2571">
        <v>-202.50200000000001</v>
      </c>
      <c r="H2571" s="1">
        <v>3.1090050000000001E-6</v>
      </c>
      <c r="I2571">
        <v>287.10430000000002</v>
      </c>
      <c r="J2571">
        <v>-197.51150000000001</v>
      </c>
      <c r="K2571">
        <v>1.1201540000000001</v>
      </c>
      <c r="L2571">
        <v>289.10239999999999</v>
      </c>
      <c r="M2571">
        <v>-0.4755007</v>
      </c>
      <c r="N2571">
        <v>-1.339545E-2</v>
      </c>
      <c r="O2571">
        <v>-0.87961339999999999</v>
      </c>
      <c r="P2571">
        <v>-0.76235180000000002</v>
      </c>
      <c r="Q2571">
        <v>6.8544750000000002E-2</v>
      </c>
      <c r="R2571">
        <v>-0.64352290000000001</v>
      </c>
      <c r="S2571">
        <v>-2.9591669999999999</v>
      </c>
      <c r="T2571">
        <v>-0.65769789999999995</v>
      </c>
      <c r="U2571">
        <v>-1.2185969999999999</v>
      </c>
      <c r="V2571">
        <v>0.36488199999999998</v>
      </c>
      <c r="W2571">
        <v>7.9753320000000003E-2</v>
      </c>
      <c r="X2571">
        <v>0.92763169999999995</v>
      </c>
      <c r="Y2571">
        <v>0.61117659999999996</v>
      </c>
      <c r="Z2571">
        <v>0.20146629999999999</v>
      </c>
      <c r="AA2571">
        <v>0.7654244</v>
      </c>
      <c r="AB2571">
        <v>8</v>
      </c>
      <c r="AC2571">
        <v>-4.9904999999999902</v>
      </c>
      <c r="AD2571">
        <v>-1.120150890995</v>
      </c>
      <c r="AE2571">
        <v>-1.99809999999996</v>
      </c>
      <c r="AF2571">
        <v>3.2967742675794698</v>
      </c>
      <c r="AG2571">
        <v>-1.120150890995</v>
      </c>
      <c r="AH2571">
        <v>3.95901077739784</v>
      </c>
      <c r="AI2571">
        <v>102.26651433697999</v>
      </c>
      <c r="AJ2571">
        <v>50.214945210692498</v>
      </c>
      <c r="AK2571">
        <v>5.2723073625807597</v>
      </c>
      <c r="AL2571">
        <v>85.425613377007295</v>
      </c>
      <c r="AM2571">
        <v>68.527907886814603</v>
      </c>
      <c r="AN2571">
        <v>1.00000001840995</v>
      </c>
    </row>
    <row r="2572" spans="1:40" x14ac:dyDescent="0.25">
      <c r="A2572" t="str">
        <f>"20190303161925533"</f>
        <v>20190303161925533</v>
      </c>
      <c r="B2572" t="str">
        <f>"1551601165525289"</f>
        <v>1551601165525289</v>
      </c>
      <c r="C2572" t="s">
        <v>40</v>
      </c>
      <c r="D2572">
        <v>5.2939819999999997</v>
      </c>
      <c r="E2572">
        <v>0.61848859999999894</v>
      </c>
      <c r="F2572" t="s">
        <v>49</v>
      </c>
      <c r="G2572">
        <v>-202.60570000000001</v>
      </c>
      <c r="H2572" s="1">
        <v>3.165576E-6</v>
      </c>
      <c r="I2572">
        <v>286.98320000000001</v>
      </c>
      <c r="J2572">
        <v>-197.55330000000001</v>
      </c>
      <c r="K2572">
        <v>1.120139</v>
      </c>
      <c r="L2572">
        <v>289.03800000000001</v>
      </c>
      <c r="M2572">
        <v>-0.48003479999999998</v>
      </c>
      <c r="N2572">
        <v>-1.339741E-2</v>
      </c>
      <c r="O2572">
        <v>-0.87714729999999996</v>
      </c>
      <c r="P2572">
        <v>-0.75743870000000002</v>
      </c>
      <c r="Q2572">
        <v>6.82445E-2</v>
      </c>
      <c r="R2572">
        <v>-0.64933039999999997</v>
      </c>
      <c r="S2572">
        <v>-2.9556580000000001</v>
      </c>
      <c r="T2572">
        <v>-0.64991969999999899</v>
      </c>
      <c r="U2572">
        <v>-1.229614</v>
      </c>
      <c r="V2572">
        <v>0.35298559999999901</v>
      </c>
      <c r="W2572">
        <v>7.9553670000000007E-2</v>
      </c>
      <c r="X2572">
        <v>0.93224050000000003</v>
      </c>
      <c r="Y2572">
        <v>0.60497339999999999</v>
      </c>
      <c r="Z2572">
        <v>0.1984002</v>
      </c>
      <c r="AA2572">
        <v>0.77113209999999999</v>
      </c>
      <c r="AB2572">
        <v>8</v>
      </c>
      <c r="AC2572">
        <v>-5.0523999999999996</v>
      </c>
      <c r="AD2572">
        <v>-1.120135834424</v>
      </c>
      <c r="AE2572">
        <v>-2.0548000000000002</v>
      </c>
      <c r="AF2572">
        <v>3.30618903095101</v>
      </c>
      <c r="AG2572">
        <v>-1.120135834424</v>
      </c>
      <c r="AH2572">
        <v>4.0569608553817398</v>
      </c>
      <c r="AI2572">
        <v>102.080787966131</v>
      </c>
      <c r="AJ2572">
        <v>50.8219522860784</v>
      </c>
      <c r="AK2572">
        <v>5.35205769569437</v>
      </c>
      <c r="AL2572">
        <v>85.437088788873197</v>
      </c>
      <c r="AM2572">
        <v>69.2612191983157</v>
      </c>
      <c r="AN2572">
        <v>0.99999998502903897</v>
      </c>
    </row>
    <row r="2573" spans="1:40" x14ac:dyDescent="0.25">
      <c r="A2573" t="str">
        <f>"20190303161925556"</f>
        <v>20190303161925556</v>
      </c>
      <c r="B2573" t="str">
        <f>"1551601165544808"</f>
        <v>1551601165544808</v>
      </c>
      <c r="C2573" t="s">
        <v>40</v>
      </c>
      <c r="D2573">
        <v>5.3129879999999998</v>
      </c>
      <c r="E2573">
        <v>0.61642779999999997</v>
      </c>
      <c r="F2573" t="s">
        <v>49</v>
      </c>
      <c r="G2573">
        <v>-203.102</v>
      </c>
      <c r="H2573" s="1">
        <v>3.4088639999999999E-6</v>
      </c>
      <c r="I2573">
        <v>286.71809999999999</v>
      </c>
      <c r="J2573">
        <v>-197.60040000000001</v>
      </c>
      <c r="K2573">
        <v>1.1201239999999999</v>
      </c>
      <c r="L2573">
        <v>288.96620000000001</v>
      </c>
      <c r="M2573">
        <v>-0.48514849999999998</v>
      </c>
      <c r="N2573">
        <v>-1.3400189999999999E-2</v>
      </c>
      <c r="O2573">
        <v>-0.87432929999999998</v>
      </c>
      <c r="P2573">
        <v>-0.7523685</v>
      </c>
      <c r="Q2573">
        <v>6.6378820000000005E-2</v>
      </c>
      <c r="R2573">
        <v>-0.65538980000000002</v>
      </c>
      <c r="S2573">
        <v>-2.9552610000000001</v>
      </c>
      <c r="T2573">
        <v>-0.59658100000000003</v>
      </c>
      <c r="U2573">
        <v>-1.235535</v>
      </c>
      <c r="V2573">
        <v>0.3401517</v>
      </c>
      <c r="W2573">
        <v>7.7794849999999999E-2</v>
      </c>
      <c r="X2573">
        <v>0.93714710000000001</v>
      </c>
      <c r="Y2573">
        <v>0.60236009999999995</v>
      </c>
      <c r="Z2573">
        <v>0.18133270000000001</v>
      </c>
      <c r="AA2573">
        <v>0.77735500000000002</v>
      </c>
      <c r="AB2573">
        <v>8</v>
      </c>
      <c r="AC2573">
        <v>-5.5015999999999901</v>
      </c>
      <c r="AD2573">
        <v>-1.1201205911359999</v>
      </c>
      <c r="AE2573">
        <v>-2.24810000000002</v>
      </c>
      <c r="AF2573">
        <v>3.59227840751067</v>
      </c>
      <c r="AG2573">
        <v>-1.1201205911359999</v>
      </c>
      <c r="AH2573">
        <v>4.4760911297943196</v>
      </c>
      <c r="AI2573">
        <v>101.04336574727201</v>
      </c>
      <c r="AJ2573">
        <v>51.251280948846102</v>
      </c>
      <c r="AK2573">
        <v>5.8476085794089903</v>
      </c>
      <c r="AL2573">
        <v>85.538174950095396</v>
      </c>
      <c r="AM2573">
        <v>70.050869133074798</v>
      </c>
      <c r="AN2573">
        <v>0.99999995236891004</v>
      </c>
    </row>
    <row r="2574" spans="1:40" x14ac:dyDescent="0.25">
      <c r="A2574" t="str">
        <f>"20190303161925577"</f>
        <v>20190303161925577</v>
      </c>
      <c r="B2574" t="str">
        <f>"1551601165575065"</f>
        <v>1551601165575065</v>
      </c>
      <c r="C2574" t="s">
        <v>40</v>
      </c>
      <c r="D2574">
        <v>5.261768</v>
      </c>
      <c r="E2574">
        <v>0.62321380000000004</v>
      </c>
      <c r="F2574" t="s">
        <v>49</v>
      </c>
      <c r="G2574">
        <v>-202.8947</v>
      </c>
      <c r="H2574" s="1">
        <v>3.320952E-6</v>
      </c>
      <c r="I2574">
        <v>286.67180000000002</v>
      </c>
      <c r="J2574">
        <v>-197.64599999999999</v>
      </c>
      <c r="K2574">
        <v>1.1201030000000001</v>
      </c>
      <c r="L2574">
        <v>288.89769999999999</v>
      </c>
      <c r="M2574">
        <v>-0.490095</v>
      </c>
      <c r="N2574">
        <v>-1.34035E-2</v>
      </c>
      <c r="O2574">
        <v>-0.87156619999999996</v>
      </c>
      <c r="P2574">
        <v>-0.74708920000000001</v>
      </c>
      <c r="Q2574">
        <v>6.5751980000000002E-2</v>
      </c>
      <c r="R2574">
        <v>-0.66146450000000001</v>
      </c>
      <c r="S2574">
        <v>-2.934402</v>
      </c>
      <c r="T2574">
        <v>-0.62083769999999905</v>
      </c>
      <c r="U2574">
        <v>-1.271698</v>
      </c>
      <c r="V2574">
        <v>0.32725130000000002</v>
      </c>
      <c r="W2574">
        <v>7.7269539999999998E-2</v>
      </c>
      <c r="X2574">
        <v>0.94177279999999997</v>
      </c>
      <c r="Y2574">
        <v>0.58640080000000006</v>
      </c>
      <c r="Z2574">
        <v>0.18792310000000001</v>
      </c>
      <c r="AA2574">
        <v>0.78792069999999903</v>
      </c>
      <c r="AB2574">
        <v>8</v>
      </c>
      <c r="AC2574">
        <v>-5.2487000000000101</v>
      </c>
      <c r="AD2574">
        <v>-1.120099679048</v>
      </c>
      <c r="AE2574">
        <v>-2.2258999999999598</v>
      </c>
      <c r="AF2574">
        <v>3.3545161466308899</v>
      </c>
      <c r="AG2574">
        <v>-1.120099679048</v>
      </c>
      <c r="AH2574">
        <v>4.3450672019056196</v>
      </c>
      <c r="AI2574">
        <v>101.53296601205901</v>
      </c>
      <c r="AJ2574">
        <v>52.330832712573297</v>
      </c>
      <c r="AK2574">
        <v>5.6024111646760399</v>
      </c>
      <c r="AL2574">
        <v>85.568364086952002</v>
      </c>
      <c r="AM2574">
        <v>70.838461217324607</v>
      </c>
      <c r="AN2574">
        <v>1.0000000009916701</v>
      </c>
    </row>
    <row r="2575" spans="1:40" x14ac:dyDescent="0.25">
      <c r="A2575" t="str">
        <f>"20190303161925600"</f>
        <v>20190303161925600</v>
      </c>
      <c r="B2575" t="str">
        <f>"1551601165595561"</f>
        <v>1551601165595561</v>
      </c>
      <c r="C2575" t="s">
        <v>40</v>
      </c>
      <c r="D2575">
        <v>5.2649710000000001</v>
      </c>
      <c r="E2575">
        <v>0.62281569999999997</v>
      </c>
      <c r="F2575" t="s">
        <v>49</v>
      </c>
      <c r="G2575">
        <v>-203.2448</v>
      </c>
      <c r="H2575" s="1">
        <v>3.4894590000000001E-6</v>
      </c>
      <c r="I2575">
        <v>286.52030000000002</v>
      </c>
      <c r="J2575">
        <v>-197.69200000000001</v>
      </c>
      <c r="K2575">
        <v>1.1200969999999999</v>
      </c>
      <c r="L2575">
        <v>288.8297</v>
      </c>
      <c r="M2575">
        <v>-0.49506430000000001</v>
      </c>
      <c r="N2575">
        <v>-1.3407240000000001E-2</v>
      </c>
      <c r="O2575">
        <v>-0.86875309999999994</v>
      </c>
      <c r="P2575">
        <v>-0.7439557</v>
      </c>
      <c r="Q2575">
        <v>6.7106250000000006E-2</v>
      </c>
      <c r="R2575">
        <v>-0.66485119999999998</v>
      </c>
      <c r="S2575">
        <v>-2.9561920000000002</v>
      </c>
      <c r="T2575">
        <v>-0.59142419999999996</v>
      </c>
      <c r="U2575">
        <v>-1.2553099999999999</v>
      </c>
      <c r="V2575">
        <v>0.31746960000000002</v>
      </c>
      <c r="W2575">
        <v>7.8696630000000004E-2</v>
      </c>
      <c r="X2575">
        <v>0.94499730000000004</v>
      </c>
      <c r="Y2575">
        <v>0.58951069999999905</v>
      </c>
      <c r="Z2575">
        <v>0.17807609999999999</v>
      </c>
      <c r="AA2575">
        <v>0.787887</v>
      </c>
      <c r="AB2575">
        <v>8</v>
      </c>
      <c r="AC2575">
        <v>-5.5527999999999897</v>
      </c>
      <c r="AD2575">
        <v>-1.1200935105409999</v>
      </c>
      <c r="AE2575">
        <v>-2.3093999999999801</v>
      </c>
      <c r="AF2575">
        <v>3.5576288127259699</v>
      </c>
      <c r="AG2575">
        <v>-1.1200935105409999</v>
      </c>
      <c r="AH2575">
        <v>4.5962758773125003</v>
      </c>
      <c r="AI2575">
        <v>100.907859266023</v>
      </c>
      <c r="AJ2575">
        <v>52.259261400339597</v>
      </c>
      <c r="AK2575">
        <v>5.91921313874224</v>
      </c>
      <c r="AL2575">
        <v>85.486348084581394</v>
      </c>
      <c r="AM2575">
        <v>71.430347902357695</v>
      </c>
      <c r="AN2575">
        <v>1.0000000017524</v>
      </c>
    </row>
    <row r="2576" spans="1:40" x14ac:dyDescent="0.25">
      <c r="A2576" t="str">
        <f>"20190303161925622"</f>
        <v>20190303161925622</v>
      </c>
      <c r="B2576" t="str">
        <f>"1551601165615081"</f>
        <v>1551601165615081</v>
      </c>
      <c r="C2576" t="s">
        <v>40</v>
      </c>
      <c r="D2576">
        <v>5.2930960000000002</v>
      </c>
      <c r="E2576">
        <v>0.62200069999999996</v>
      </c>
      <c r="F2576" t="s">
        <v>49</v>
      </c>
      <c r="G2576">
        <v>-203.2457</v>
      </c>
      <c r="H2576" s="1">
        <v>3.497369E-6</v>
      </c>
      <c r="I2576">
        <v>286.4348</v>
      </c>
      <c r="J2576">
        <v>-197.73920000000001</v>
      </c>
      <c r="K2576">
        <v>1.120107</v>
      </c>
      <c r="L2576">
        <v>288.76080000000002</v>
      </c>
      <c r="M2576">
        <v>-0.50015790000000004</v>
      </c>
      <c r="N2576">
        <v>-1.3411019999999999E-2</v>
      </c>
      <c r="O2576">
        <v>-0.86583049999999995</v>
      </c>
      <c r="P2576">
        <v>-0.74340609999999996</v>
      </c>
      <c r="Q2576">
        <v>7.0584369999999994E-2</v>
      </c>
      <c r="R2576">
        <v>-0.66510579999999997</v>
      </c>
      <c r="S2576">
        <v>-2.9494929999999999</v>
      </c>
      <c r="T2576">
        <v>-0.5948563</v>
      </c>
      <c r="U2576">
        <v>-1.2719119999999999</v>
      </c>
      <c r="V2576">
        <v>0.31131880000000001</v>
      </c>
      <c r="W2576">
        <v>8.2216170000000005E-2</v>
      </c>
      <c r="X2576">
        <v>0.94674239999999998</v>
      </c>
      <c r="Y2576">
        <v>0.5803005</v>
      </c>
      <c r="Z2576">
        <v>0.1783257</v>
      </c>
      <c r="AA2576">
        <v>0.79463919999999999</v>
      </c>
      <c r="AB2576">
        <v>8</v>
      </c>
      <c r="AC2576">
        <v>-5.5064999999999804</v>
      </c>
      <c r="AD2576">
        <v>-1.120103502631</v>
      </c>
      <c r="AE2576">
        <v>-2.3260000000000201</v>
      </c>
      <c r="AF2576">
        <v>3.4823773057301199</v>
      </c>
      <c r="AG2576">
        <v>-1.120103502631</v>
      </c>
      <c r="AH2576">
        <v>4.6067163747129003</v>
      </c>
      <c r="AI2576">
        <v>100.976939892416</v>
      </c>
      <c r="AJ2576">
        <v>52.913095957162803</v>
      </c>
      <c r="AK2576">
        <v>5.8824671110953402</v>
      </c>
      <c r="AL2576">
        <v>85.284037472140696</v>
      </c>
      <c r="AM2576">
        <v>71.797502113070095</v>
      </c>
      <c r="AN2576">
        <v>1.00000003290033</v>
      </c>
    </row>
    <row r="2577" spans="1:40" x14ac:dyDescent="0.25">
      <c r="A2577" t="str">
        <f>"20190303161925647"</f>
        <v>20190303161925647</v>
      </c>
      <c r="B2577" t="str">
        <f>"1551601165635577"</f>
        <v>1551601165635577</v>
      </c>
      <c r="C2577" t="s">
        <v>40</v>
      </c>
      <c r="D2577">
        <v>5.3273429999999999</v>
      </c>
      <c r="E2577">
        <v>0.62177159999999998</v>
      </c>
      <c r="F2577" t="s">
        <v>49</v>
      </c>
      <c r="G2577">
        <v>-203.2568</v>
      </c>
      <c r="H2577" s="1">
        <v>3.5086230000000002E-6</v>
      </c>
      <c r="I2577">
        <v>286.3623</v>
      </c>
      <c r="J2577">
        <v>-197.7903</v>
      </c>
      <c r="K2577">
        <v>1.120126</v>
      </c>
      <c r="L2577">
        <v>288.6875</v>
      </c>
      <c r="M2577">
        <v>-0.50563380000000002</v>
      </c>
      <c r="N2577">
        <v>-1.341404E-2</v>
      </c>
      <c r="O2577">
        <v>-0.86264409999999903</v>
      </c>
      <c r="P2577">
        <v>-0.74457790000000001</v>
      </c>
      <c r="Q2577">
        <v>7.4767780000000006E-2</v>
      </c>
      <c r="R2577">
        <v>-0.66333540000000002</v>
      </c>
      <c r="S2577">
        <v>-2.9463810000000001</v>
      </c>
      <c r="T2577">
        <v>-0.5981303</v>
      </c>
      <c r="U2577">
        <v>-1.2807919999999999</v>
      </c>
      <c r="V2577">
        <v>0.30722840000000001</v>
      </c>
      <c r="W2577">
        <v>8.6429229999999996E-2</v>
      </c>
      <c r="X2577">
        <v>0.94770279999999996</v>
      </c>
      <c r="Y2577">
        <v>0.57275690000000001</v>
      </c>
      <c r="Z2577">
        <v>0.17858959999999999</v>
      </c>
      <c r="AA2577">
        <v>0.80003459999999904</v>
      </c>
      <c r="AB2577">
        <v>8</v>
      </c>
      <c r="AC2577">
        <v>-5.4664999999999901</v>
      </c>
      <c r="AD2577">
        <v>-1.120122491377</v>
      </c>
      <c r="AE2577">
        <v>-2.3251999999999899</v>
      </c>
      <c r="AF2577">
        <v>3.4187130092298599</v>
      </c>
      <c r="AG2577">
        <v>-1.120122491377</v>
      </c>
      <c r="AH2577">
        <v>4.6065152291550699</v>
      </c>
      <c r="AI2577">
        <v>101.048665009639</v>
      </c>
      <c r="AJ2577">
        <v>53.419141032790499</v>
      </c>
      <c r="AK2577">
        <v>5.8448486371850299</v>
      </c>
      <c r="AL2577">
        <v>85.041783538167493</v>
      </c>
      <c r="AM2577">
        <v>72.038227500028</v>
      </c>
      <c r="AN2577">
        <v>0.99999994934639502</v>
      </c>
    </row>
    <row r="2578" spans="1:40" x14ac:dyDescent="0.25">
      <c r="A2578" t="str">
        <f>"20190303161925670"</f>
        <v>20190303161925670</v>
      </c>
      <c r="B2578" t="str">
        <f>"1551601165664857"</f>
        <v>1551601165664857</v>
      </c>
      <c r="C2578" t="s">
        <v>40</v>
      </c>
      <c r="D2578">
        <v>5.2635149999999999</v>
      </c>
      <c r="E2578">
        <v>0.62134239999999996</v>
      </c>
      <c r="F2578" t="s">
        <v>49</v>
      </c>
      <c r="G2578">
        <v>-203.31540000000001</v>
      </c>
      <c r="H2578" s="1">
        <v>3.5409619999999999E-6</v>
      </c>
      <c r="I2578">
        <v>286.28919999999999</v>
      </c>
      <c r="J2578">
        <v>-197.84049999999999</v>
      </c>
      <c r="K2578">
        <v>1.1201479999999999</v>
      </c>
      <c r="L2578">
        <v>288.61649999999997</v>
      </c>
      <c r="M2578">
        <v>-0.51098639999999995</v>
      </c>
      <c r="N2578">
        <v>-1.3415099999999999E-2</v>
      </c>
      <c r="O2578">
        <v>-0.85948440000000004</v>
      </c>
      <c r="P2578">
        <v>-0.74949719999999997</v>
      </c>
      <c r="Q2578">
        <v>7.9516279999999995E-2</v>
      </c>
      <c r="R2578">
        <v>-0.65721549999999995</v>
      </c>
      <c r="S2578">
        <v>-2.948807</v>
      </c>
      <c r="T2578">
        <v>-0.59782409999999997</v>
      </c>
      <c r="U2578">
        <v>-1.2799990000000001</v>
      </c>
      <c r="V2578">
        <v>0.30869469999999999</v>
      </c>
      <c r="W2578">
        <v>9.1169249999999993E-2</v>
      </c>
      <c r="X2578">
        <v>0.94678180000000001</v>
      </c>
      <c r="Y2578">
        <v>0.568223699999999</v>
      </c>
      <c r="Z2578">
        <v>0.1778795</v>
      </c>
      <c r="AA2578">
        <v>0.80341819999999997</v>
      </c>
      <c r="AB2578">
        <v>8</v>
      </c>
      <c r="AC2578">
        <v>-5.4749000000000096</v>
      </c>
      <c r="AD2578">
        <v>-1.1201444590380001</v>
      </c>
      <c r="AE2578">
        <v>-2.3272999999999802</v>
      </c>
      <c r="AF2578">
        <v>3.3962786855317</v>
      </c>
      <c r="AG2578">
        <v>-1.1201444590380001</v>
      </c>
      <c r="AH2578">
        <v>4.6340167524650999</v>
      </c>
      <c r="AI2578">
        <v>101.032336073685</v>
      </c>
      <c r="AJ2578">
        <v>53.762248284611303</v>
      </c>
      <c r="AK2578">
        <v>5.8535069642939401</v>
      </c>
      <c r="AL2578">
        <v>84.769123323627795</v>
      </c>
      <c r="AM2578">
        <v>71.941633799535893</v>
      </c>
      <c r="AN2578">
        <v>1.00000001338244</v>
      </c>
    </row>
    <row r="2579" spans="1:40" x14ac:dyDescent="0.25">
      <c r="A2579" t="str">
        <f>"20190303161925690"</f>
        <v>20190303161925690</v>
      </c>
      <c r="B2579" t="str">
        <f>"1551601165685353"</f>
        <v>1551601165685353</v>
      </c>
      <c r="C2579" t="s">
        <v>40</v>
      </c>
      <c r="D2579">
        <v>5.2773329999999996</v>
      </c>
      <c r="E2579">
        <v>0.62120929999999996</v>
      </c>
      <c r="F2579" t="s">
        <v>49</v>
      </c>
      <c r="G2579">
        <v>-203.3426</v>
      </c>
      <c r="H2579" s="1">
        <v>3.5555340000000002E-6</v>
      </c>
      <c r="I2579">
        <v>286.26069999999999</v>
      </c>
      <c r="J2579">
        <v>-197.88310000000001</v>
      </c>
      <c r="K2579">
        <v>1.1201859999999999</v>
      </c>
      <c r="L2579">
        <v>288.5573</v>
      </c>
      <c r="M2579">
        <v>-0.51548000000000005</v>
      </c>
      <c r="N2579">
        <v>-1.34149E-2</v>
      </c>
      <c r="O2579">
        <v>-0.85679689999999997</v>
      </c>
      <c r="P2579">
        <v>-0.75650879999999998</v>
      </c>
      <c r="Q2579">
        <v>8.1631800000000004E-2</v>
      </c>
      <c r="R2579">
        <v>-0.64886960000000005</v>
      </c>
      <c r="S2579">
        <v>-2.9564970000000002</v>
      </c>
      <c r="T2579">
        <v>-0.60190489999999996</v>
      </c>
      <c r="U2579">
        <v>-1.26593</v>
      </c>
      <c r="V2579">
        <v>0.31404029999999999</v>
      </c>
      <c r="W2579">
        <v>9.3254119999999996E-2</v>
      </c>
      <c r="X2579">
        <v>0.94481870000000001</v>
      </c>
      <c r="Y2579">
        <v>0.56774389999999997</v>
      </c>
      <c r="Z2579">
        <v>0.17883660000000001</v>
      </c>
      <c r="AA2579">
        <v>0.80354490000000001</v>
      </c>
      <c r="AB2579">
        <v>8</v>
      </c>
      <c r="AC2579">
        <v>-5.4594999999999896</v>
      </c>
      <c r="AD2579">
        <v>-1.120182444466</v>
      </c>
      <c r="AE2579">
        <v>-2.29660000000001</v>
      </c>
      <c r="AF2579">
        <v>3.37347756536778</v>
      </c>
      <c r="AG2579">
        <v>-1.120182444466</v>
      </c>
      <c r="AH2579">
        <v>4.6172554834589903</v>
      </c>
      <c r="AI2579">
        <v>101.083490549168</v>
      </c>
      <c r="AJ2579">
        <v>53.847240153601099</v>
      </c>
      <c r="AK2579">
        <v>5.8270239224205804</v>
      </c>
      <c r="AL2579">
        <v>84.649157902863294</v>
      </c>
      <c r="AM2579">
        <v>71.614145251360995</v>
      </c>
      <c r="AN2579">
        <v>1.00000000839537</v>
      </c>
    </row>
    <row r="2580" spans="1:40" x14ac:dyDescent="0.25">
      <c r="A2580" t="str">
        <f>"20190303161925713"</f>
        <v>20190303161925713</v>
      </c>
      <c r="B2580" t="str">
        <f>"1551601165704873"</f>
        <v>1551601165704873</v>
      </c>
      <c r="C2580" t="s">
        <v>40</v>
      </c>
      <c r="D2580">
        <v>5.0702020000000001</v>
      </c>
      <c r="E2580">
        <v>0.62170029999999998</v>
      </c>
      <c r="F2580" t="s">
        <v>49</v>
      </c>
      <c r="G2580">
        <v>-203.3801</v>
      </c>
      <c r="H2580" s="1">
        <v>3.571613E-6</v>
      </c>
      <c r="I2580">
        <v>286.26679999999999</v>
      </c>
      <c r="J2580">
        <v>-197.93340000000001</v>
      </c>
      <c r="K2580">
        <v>1.120201</v>
      </c>
      <c r="L2580">
        <v>288.48790000000002</v>
      </c>
      <c r="M2580">
        <v>-0.52078800000000003</v>
      </c>
      <c r="N2580">
        <v>-1.33313999999999E-2</v>
      </c>
      <c r="O2580">
        <v>-0.85358219999999996</v>
      </c>
      <c r="P2580">
        <v>-0.76225849999999995</v>
      </c>
      <c r="Q2580">
        <v>8.5223380000000001E-2</v>
      </c>
      <c r="R2580">
        <v>-0.64163819999999905</v>
      </c>
      <c r="S2580">
        <v>-2.969589</v>
      </c>
      <c r="T2580">
        <v>-0.60514659999999998</v>
      </c>
      <c r="U2580">
        <v>-1.2373350000000001</v>
      </c>
      <c r="V2580">
        <v>0.3168474</v>
      </c>
      <c r="W2580">
        <v>9.6747760000000002E-2</v>
      </c>
      <c r="X2580">
        <v>0.94352939999999996</v>
      </c>
      <c r="Y2580">
        <v>0.57033559999999905</v>
      </c>
      <c r="Z2580">
        <v>0.1798014</v>
      </c>
      <c r="AA2580">
        <v>0.80149159999999997</v>
      </c>
      <c r="AB2580">
        <v>8</v>
      </c>
      <c r="AC2580">
        <v>-5.4466999999999901</v>
      </c>
      <c r="AD2580">
        <v>-1.120197428387</v>
      </c>
      <c r="AE2580">
        <v>-2.2211000000000301</v>
      </c>
      <c r="AF2580">
        <v>3.3705527216806401</v>
      </c>
      <c r="AG2580">
        <v>-1.120197428387</v>
      </c>
      <c r="AH2580">
        <v>4.5672453249521201</v>
      </c>
      <c r="AI2580">
        <v>101.163670751445</v>
      </c>
      <c r="AJ2580">
        <v>53.573278069930097</v>
      </c>
      <c r="AK2580">
        <v>5.7857754697612203</v>
      </c>
      <c r="AL2580">
        <v>84.448077844611902</v>
      </c>
      <c r="AM2580">
        <v>71.437390684941903</v>
      </c>
      <c r="AN2580">
        <v>1.0000000663080599</v>
      </c>
    </row>
    <row r="2581" spans="1:40" x14ac:dyDescent="0.25">
      <c r="A2581" t="str">
        <f>"20190303161925735"</f>
        <v>20190303161925735</v>
      </c>
      <c r="B2581" t="str">
        <f>"1551601165725369"</f>
        <v>1551601165725369</v>
      </c>
      <c r="C2581" t="s">
        <v>40</v>
      </c>
      <c r="D2581">
        <v>5.1816180000000003</v>
      </c>
      <c r="E2581">
        <v>0.64677609999999996</v>
      </c>
      <c r="F2581" t="s">
        <v>49</v>
      </c>
      <c r="G2581">
        <v>-203.6036</v>
      </c>
      <c r="H2581" s="1">
        <v>3.6768570000000002E-6</v>
      </c>
      <c r="I2581">
        <v>286.19670000000002</v>
      </c>
      <c r="J2581">
        <v>-197.9802</v>
      </c>
      <c r="K2581">
        <v>1.1201179999999999</v>
      </c>
      <c r="L2581">
        <v>288.42430000000002</v>
      </c>
      <c r="M2581">
        <v>-0.52574489999999996</v>
      </c>
      <c r="N2581">
        <v>-1.308965E-2</v>
      </c>
      <c r="O2581">
        <v>-0.85054180000000001</v>
      </c>
      <c r="P2581">
        <v>-0.76678059999999904</v>
      </c>
      <c r="Q2581">
        <v>8.7782869999999999E-2</v>
      </c>
      <c r="R2581">
        <v>-0.63587869999999902</v>
      </c>
      <c r="S2581">
        <v>-2.985992</v>
      </c>
      <c r="T2581">
        <v>-0.58991269999999996</v>
      </c>
      <c r="U2581">
        <v>-1.2065729999999999</v>
      </c>
      <c r="V2581">
        <v>0.31823889999999999</v>
      </c>
      <c r="W2581">
        <v>9.9037920000000002E-2</v>
      </c>
      <c r="X2581">
        <v>0.94282319999999997</v>
      </c>
      <c r="Y2581">
        <v>0.57509880000000002</v>
      </c>
      <c r="Z2581">
        <v>0.1752572</v>
      </c>
      <c r="AA2581">
        <v>0.79909090000000005</v>
      </c>
      <c r="AB2581">
        <v>8</v>
      </c>
      <c r="AC2581">
        <v>-5.6234000000000002</v>
      </c>
      <c r="AD2581">
        <v>-1.120114323143</v>
      </c>
      <c r="AE2581">
        <v>-2.22759999999999</v>
      </c>
      <c r="AF2581">
        <v>3.49232872498267</v>
      </c>
      <c r="AG2581">
        <v>-1.120114323143</v>
      </c>
      <c r="AH2581">
        <v>4.6906908810649499</v>
      </c>
      <c r="AI2581">
        <v>100.84301981343501</v>
      </c>
      <c r="AJ2581">
        <v>53.331457045082402</v>
      </c>
      <c r="AK2581">
        <v>5.9542923141172004</v>
      </c>
      <c r="AL2581">
        <v>84.316227930047305</v>
      </c>
      <c r="AM2581">
        <v>71.348493428355198</v>
      </c>
      <c r="AN2581">
        <v>1.0000000467646799</v>
      </c>
    </row>
    <row r="2582" spans="1:40" x14ac:dyDescent="0.25">
      <c r="A2582" t="str">
        <f>"20190303161925756"</f>
        <v>20190303161925756</v>
      </c>
      <c r="B2582" t="str">
        <f>"1551601165744889"</f>
        <v>1551601165744889</v>
      </c>
      <c r="C2582" t="s">
        <v>40</v>
      </c>
      <c r="D2582">
        <v>5.1674980000000001</v>
      </c>
      <c r="E2582">
        <v>0.60592029999999997</v>
      </c>
      <c r="F2582" t="s">
        <v>49</v>
      </c>
      <c r="G2582">
        <v>-208.45740000000001</v>
      </c>
      <c r="H2582" s="1">
        <v>5.936384E-6</v>
      </c>
      <c r="I2582">
        <v>284.97219999999999</v>
      </c>
      <c r="J2582">
        <v>-198.0299</v>
      </c>
      <c r="K2582">
        <v>1.120058</v>
      </c>
      <c r="L2582">
        <v>288.35770000000002</v>
      </c>
      <c r="M2582">
        <v>-0.53095040000000004</v>
      </c>
      <c r="N2582">
        <v>-1.2885550000000001E-2</v>
      </c>
      <c r="O2582">
        <v>-0.84730490000000003</v>
      </c>
      <c r="P2582">
        <v>-0.77156659999999999</v>
      </c>
      <c r="Q2582">
        <v>8.8476180000000001E-2</v>
      </c>
      <c r="R2582">
        <v>-0.62996609999999997</v>
      </c>
      <c r="S2582">
        <v>-3.1026760000000002</v>
      </c>
      <c r="T2582">
        <v>-0.33170470000000002</v>
      </c>
      <c r="U2582">
        <v>-1.022278</v>
      </c>
      <c r="V2582">
        <v>0.31964769999999998</v>
      </c>
      <c r="W2582">
        <v>9.9510520000000005E-2</v>
      </c>
      <c r="X2582">
        <v>0.94229669999999999</v>
      </c>
      <c r="Y2582">
        <v>0.63341499999999995</v>
      </c>
      <c r="Z2582">
        <v>9.6492369999999994E-2</v>
      </c>
      <c r="AA2582">
        <v>0.76777249999999997</v>
      </c>
      <c r="AB2582">
        <v>8</v>
      </c>
      <c r="AC2582">
        <v>-10.4275</v>
      </c>
      <c r="AD2582">
        <v>-1.1200520636160001</v>
      </c>
      <c r="AE2582">
        <v>-3.3855000000000302</v>
      </c>
      <c r="AF2582">
        <v>6.9656207821980702</v>
      </c>
      <c r="AG2582">
        <v>-1.1200520636160001</v>
      </c>
      <c r="AH2582">
        <v>8.3189063236198599</v>
      </c>
      <c r="AI2582">
        <v>95.893762110529295</v>
      </c>
      <c r="AJ2582">
        <v>50.059749962303201</v>
      </c>
      <c r="AK2582">
        <v>10.9077308331184</v>
      </c>
      <c r="AL2582">
        <v>84.289015442109999</v>
      </c>
      <c r="AM2582">
        <v>71.261937206493201</v>
      </c>
      <c r="AN2582">
        <v>1.00000003326842</v>
      </c>
    </row>
    <row r="2583" spans="1:40" x14ac:dyDescent="0.25">
      <c r="A2583" t="str">
        <f>"20190303161925780"</f>
        <v>20190303161925780</v>
      </c>
      <c r="B2583" t="str">
        <f>"1551601165775145"</f>
        <v>1551601165775145</v>
      </c>
      <c r="C2583" t="s">
        <v>40</v>
      </c>
      <c r="D2583">
        <v>5.1215679999999999</v>
      </c>
      <c r="E2583">
        <v>0.60480639999999997</v>
      </c>
      <c r="F2583" t="s">
        <v>49</v>
      </c>
      <c r="G2583">
        <v>-205.482</v>
      </c>
      <c r="H2583" s="1">
        <v>4.6012049999999996E-6</v>
      </c>
      <c r="I2583">
        <v>285.15219999999999</v>
      </c>
      <c r="J2583">
        <v>-198.08199999999999</v>
      </c>
      <c r="K2583">
        <v>1.1200859999999999</v>
      </c>
      <c r="L2583">
        <v>288.28879999999998</v>
      </c>
      <c r="M2583">
        <v>-0.53633489999999995</v>
      </c>
      <c r="N2583">
        <v>-1.283688E-2</v>
      </c>
      <c r="O2583">
        <v>-0.84390799999999999</v>
      </c>
      <c r="P2583">
        <v>-0.77629329999999996</v>
      </c>
      <c r="Q2583">
        <v>8.9186650000000006E-2</v>
      </c>
      <c r="R2583">
        <v>-0.62403129999999996</v>
      </c>
      <c r="S2583">
        <v>-2.914749</v>
      </c>
      <c r="T2583">
        <v>-0.43808399999999997</v>
      </c>
      <c r="U2583">
        <v>-1.253784</v>
      </c>
      <c r="V2583">
        <v>0.32080310000000001</v>
      </c>
      <c r="W2583">
        <v>0.1001823</v>
      </c>
      <c r="X2583">
        <v>0.94183269999999997</v>
      </c>
      <c r="Y2583">
        <v>0.55426519999999901</v>
      </c>
      <c r="Z2583">
        <v>0.1293038</v>
      </c>
      <c r="AA2583">
        <v>0.82223519999999894</v>
      </c>
      <c r="AB2583">
        <v>8</v>
      </c>
      <c r="AC2583">
        <v>-7.4</v>
      </c>
      <c r="AD2583">
        <v>-1.120081398795</v>
      </c>
      <c r="AE2583">
        <v>-3.1365999999999801</v>
      </c>
      <c r="AF2583">
        <v>4.4760941289645997</v>
      </c>
      <c r="AG2583">
        <v>-1.120081398795</v>
      </c>
      <c r="AH2583">
        <v>6.4903717269840699</v>
      </c>
      <c r="AI2583">
        <v>98.085725003373994</v>
      </c>
      <c r="AJ2583">
        <v>55.407856706245099</v>
      </c>
      <c r="AK2583">
        <v>7.9633489277886103</v>
      </c>
      <c r="AL2583">
        <v>84.250331661273705</v>
      </c>
      <c r="AM2583">
        <v>71.190345942581104</v>
      </c>
      <c r="AN2583">
        <v>0.99999997849609401</v>
      </c>
    </row>
    <row r="2584" spans="1:40" x14ac:dyDescent="0.25">
      <c r="A2584" t="str">
        <f>"20190303161925802"</f>
        <v>20190303161925802</v>
      </c>
      <c r="B2584" t="str">
        <f>"1551601165795641"</f>
        <v>1551601165795641</v>
      </c>
      <c r="C2584" t="s">
        <v>40</v>
      </c>
      <c r="D2584">
        <v>5.0960580000000002</v>
      </c>
      <c r="E2584">
        <v>0.60479589999999905</v>
      </c>
      <c r="F2584" t="s">
        <v>49</v>
      </c>
      <c r="G2584">
        <v>-205.30760000000001</v>
      </c>
      <c r="H2584" s="1">
        <v>4.5175530000000004E-6</v>
      </c>
      <c r="I2584">
        <v>285.2242</v>
      </c>
      <c r="J2584">
        <v>-198.1317</v>
      </c>
      <c r="K2584">
        <v>1.1201399999999999</v>
      </c>
      <c r="L2584">
        <v>288.22410000000002</v>
      </c>
      <c r="M2584">
        <v>-0.54143260000000004</v>
      </c>
      <c r="N2584">
        <v>-1.2842589999999999E-2</v>
      </c>
      <c r="O2584">
        <v>-0.84064609999999995</v>
      </c>
      <c r="P2584">
        <v>-0.77956409999999998</v>
      </c>
      <c r="Q2584">
        <v>8.9580800000000002E-2</v>
      </c>
      <c r="R2584">
        <v>-0.61988330000000003</v>
      </c>
      <c r="S2584">
        <v>-2.920715</v>
      </c>
      <c r="T2584">
        <v>-0.45275939999999998</v>
      </c>
      <c r="U2584">
        <v>-1.2387999999999999</v>
      </c>
      <c r="V2584">
        <v>0.32007909999999901</v>
      </c>
      <c r="W2584">
        <v>0.1006117</v>
      </c>
      <c r="X2584">
        <v>0.94203320000000001</v>
      </c>
      <c r="Y2584">
        <v>0.55280439999999997</v>
      </c>
      <c r="Z2584">
        <v>0.13362199999999999</v>
      </c>
      <c r="AA2584">
        <v>0.82252809999999899</v>
      </c>
      <c r="AB2584">
        <v>8</v>
      </c>
      <c r="AC2584">
        <v>-7.1759000000000102</v>
      </c>
      <c r="AD2584">
        <v>-1.120135482447</v>
      </c>
      <c r="AE2584">
        <v>-2.9999000000000202</v>
      </c>
      <c r="AF2584">
        <v>4.3189317820825801</v>
      </c>
      <c r="AG2584">
        <v>-1.120135482447</v>
      </c>
      <c r="AH2584">
        <v>6.2774461542646796</v>
      </c>
      <c r="AI2584">
        <v>98.362901598467204</v>
      </c>
      <c r="AJ2584">
        <v>55.471725859882397</v>
      </c>
      <c r="AK2584">
        <v>7.7015716225334296</v>
      </c>
      <c r="AL2584">
        <v>84.225603733303799</v>
      </c>
      <c r="AM2584">
        <v>71.233535850133606</v>
      </c>
      <c r="AN2584">
        <v>0.99999994716796803</v>
      </c>
    </row>
    <row r="2585" spans="1:40" x14ac:dyDescent="0.25">
      <c r="A2585" t="str">
        <f>"20190303161925825"</f>
        <v>20190303161925825</v>
      </c>
      <c r="B2585" t="str">
        <f>"1551601165815162"</f>
        <v>1551601165815162</v>
      </c>
      <c r="C2585" t="s">
        <v>40</v>
      </c>
      <c r="D2585">
        <v>5.1299270000000003</v>
      </c>
      <c r="E2585">
        <v>0.60428749999999998</v>
      </c>
      <c r="F2585" t="s">
        <v>49</v>
      </c>
      <c r="G2585">
        <v>-205.2533</v>
      </c>
      <c r="H2585" s="1">
        <v>4.4914190000000002E-6</v>
      </c>
      <c r="I2585">
        <v>285.24740000000003</v>
      </c>
      <c r="J2585">
        <v>-198.18430000000001</v>
      </c>
      <c r="K2585">
        <v>1.120147</v>
      </c>
      <c r="L2585">
        <v>288.15640000000002</v>
      </c>
      <c r="M2585">
        <v>-0.54683819999999905</v>
      </c>
      <c r="N2585">
        <v>-1.279656E-2</v>
      </c>
      <c r="O2585">
        <v>-0.83714059999999901</v>
      </c>
      <c r="P2585">
        <v>-0.78239159999999996</v>
      </c>
      <c r="Q2585">
        <v>8.9876639999999994E-2</v>
      </c>
      <c r="R2585">
        <v>-0.61626759999999903</v>
      </c>
      <c r="S2585">
        <v>-2.92807</v>
      </c>
      <c r="T2585">
        <v>-0.4605534</v>
      </c>
      <c r="U2585">
        <v>-1.2238770000000001</v>
      </c>
      <c r="V2585">
        <v>0.31833899999999998</v>
      </c>
      <c r="W2585">
        <v>0.1008807</v>
      </c>
      <c r="X2585">
        <v>0.94259389999999998</v>
      </c>
      <c r="Y2585">
        <v>0.55144099999999996</v>
      </c>
      <c r="Z2585">
        <v>0.13574800000000001</v>
      </c>
      <c r="AA2585">
        <v>0.82309500000000002</v>
      </c>
      <c r="AB2585">
        <v>8</v>
      </c>
      <c r="AC2585">
        <v>-7.0689999999999804</v>
      </c>
      <c r="AD2585">
        <v>-1.120142508581</v>
      </c>
      <c r="AE2585">
        <v>-2.90899999999999</v>
      </c>
      <c r="AF2585">
        <v>4.2363817187307102</v>
      </c>
      <c r="AG2585">
        <v>-1.120142508581</v>
      </c>
      <c r="AH2585">
        <v>6.1688934821012804</v>
      </c>
      <c r="AI2585">
        <v>98.512969734636201</v>
      </c>
      <c r="AJ2585">
        <v>55.521335288860698</v>
      </c>
      <c r="AK2585">
        <v>7.5668286685927804</v>
      </c>
      <c r="AL2585">
        <v>84.210112351594901</v>
      </c>
      <c r="AM2585">
        <v>71.338808268144206</v>
      </c>
      <c r="AN2585">
        <v>0.99999994743534804</v>
      </c>
    </row>
    <row r="2586" spans="1:40" x14ac:dyDescent="0.25">
      <c r="A2586" t="str">
        <f>"20190303161925847"</f>
        <v>20190303161925847</v>
      </c>
      <c r="B2586" t="str">
        <f>"1551601165834681"</f>
        <v>1551601165834681</v>
      </c>
      <c r="C2586" t="s">
        <v>40</v>
      </c>
      <c r="D2586">
        <v>5.100638</v>
      </c>
      <c r="E2586">
        <v>0.60372979999999998</v>
      </c>
      <c r="F2586" t="s">
        <v>49</v>
      </c>
      <c r="G2586">
        <v>-205.196</v>
      </c>
      <c r="H2586" s="1">
        <v>4.4659550000000003E-6</v>
      </c>
      <c r="I2586">
        <v>285.2484</v>
      </c>
      <c r="J2586">
        <v>-198.2353</v>
      </c>
      <c r="K2586">
        <v>1.1201030000000001</v>
      </c>
      <c r="L2586">
        <v>288.09179999999998</v>
      </c>
      <c r="M2586">
        <v>-0.55207649999999997</v>
      </c>
      <c r="N2586">
        <v>-1.2724330000000001E-2</v>
      </c>
      <c r="O2586">
        <v>-0.83369629999999995</v>
      </c>
      <c r="P2586">
        <v>-0.78516830000000004</v>
      </c>
      <c r="Q2586">
        <v>8.9526380000000003E-2</v>
      </c>
      <c r="R2586">
        <v>-0.61277720000000002</v>
      </c>
      <c r="S2586">
        <v>-2.9307859999999999</v>
      </c>
      <c r="T2586">
        <v>-0.46819880000000003</v>
      </c>
      <c r="U2586">
        <v>-1.2154849999999999</v>
      </c>
      <c r="V2586">
        <v>0.31666369999999999</v>
      </c>
      <c r="W2586">
        <v>0.10045179999999999</v>
      </c>
      <c r="X2586">
        <v>0.94320389999999998</v>
      </c>
      <c r="Y2586">
        <v>0.54819119999999999</v>
      </c>
      <c r="Z2586">
        <v>0.137797799999999</v>
      </c>
      <c r="AA2586">
        <v>0.82492310000000002</v>
      </c>
      <c r="AB2586">
        <v>8</v>
      </c>
      <c r="AC2586">
        <v>-6.9607000000000001</v>
      </c>
      <c r="AD2586">
        <v>-1.120098534045</v>
      </c>
      <c r="AE2586">
        <v>-2.8433999999999702</v>
      </c>
      <c r="AF2586">
        <v>4.1417667604227901</v>
      </c>
      <c r="AG2586">
        <v>-1.120098534045</v>
      </c>
      <c r="AH2586">
        <v>6.0789732328369297</v>
      </c>
      <c r="AI2586">
        <v>98.6581295981685</v>
      </c>
      <c r="AJ2586">
        <v>55.732350852117897</v>
      </c>
      <c r="AK2586">
        <v>7.4406161162407001</v>
      </c>
      <c r="AL2586">
        <v>84.234812458445404</v>
      </c>
      <c r="AM2586">
        <v>71.4414519169855</v>
      </c>
      <c r="AN2586">
        <v>1.00000002999806</v>
      </c>
    </row>
    <row r="2587" spans="1:40" x14ac:dyDescent="0.25">
      <c r="A2587" t="str">
        <f>"20190303161925869"</f>
        <v>20190303161925869</v>
      </c>
      <c r="B2587" t="str">
        <f>"1551601165864937"</f>
        <v>1551601165864937</v>
      </c>
      <c r="C2587" t="s">
        <v>40</v>
      </c>
      <c r="D2587">
        <v>5.121683</v>
      </c>
      <c r="E2587">
        <v>0.60309489999999999</v>
      </c>
      <c r="F2587" t="s">
        <v>49</v>
      </c>
      <c r="G2587">
        <v>-205.12180000000001</v>
      </c>
      <c r="H2587" s="1">
        <v>4.4322770000000003E-6</v>
      </c>
      <c r="I2587">
        <v>285.25709999999998</v>
      </c>
      <c r="J2587">
        <v>-198.28739999999999</v>
      </c>
      <c r="K2587">
        <v>1.1200570000000001</v>
      </c>
      <c r="L2587">
        <v>288.02690000000001</v>
      </c>
      <c r="M2587">
        <v>-0.55736249999999998</v>
      </c>
      <c r="N2587">
        <v>-1.268435E-2</v>
      </c>
      <c r="O2587">
        <v>-0.83017249999999998</v>
      </c>
      <c r="P2587">
        <v>-0.78827250000000004</v>
      </c>
      <c r="Q2587">
        <v>8.7985339999999995E-2</v>
      </c>
      <c r="R2587">
        <v>-0.60900359999999998</v>
      </c>
      <c r="S2587">
        <v>-2.933014</v>
      </c>
      <c r="T2587">
        <v>-0.47706080000000001</v>
      </c>
      <c r="U2587">
        <v>-1.207306</v>
      </c>
      <c r="V2587">
        <v>0.315341599999999</v>
      </c>
      <c r="W2587">
        <v>9.8855730000000003E-2</v>
      </c>
      <c r="X2587">
        <v>0.94381530000000002</v>
      </c>
      <c r="Y2587">
        <v>0.54470589999999997</v>
      </c>
      <c r="Z2587">
        <v>0.14017479999999999</v>
      </c>
      <c r="AA2587">
        <v>0.82682919999999904</v>
      </c>
      <c r="AB2587">
        <v>8</v>
      </c>
      <c r="AC2587">
        <v>-6.8344000000000102</v>
      </c>
      <c r="AD2587">
        <v>-1.120052567723</v>
      </c>
      <c r="AE2587">
        <v>-2.7698000000000298</v>
      </c>
      <c r="AF2587">
        <v>4.0371466528387199</v>
      </c>
      <c r="AG2587">
        <v>-1.120052567723</v>
      </c>
      <c r="AH2587">
        <v>5.9713861927960297</v>
      </c>
      <c r="AI2587">
        <v>98.832501945966499</v>
      </c>
      <c r="AJ2587">
        <v>55.9380825296791</v>
      </c>
      <c r="AK2587">
        <v>7.2945544013671499</v>
      </c>
      <c r="AL2587">
        <v>84.326718145948504</v>
      </c>
      <c r="AM2587">
        <v>71.524821258778701</v>
      </c>
      <c r="AN2587">
        <v>1.0000000502792401</v>
      </c>
    </row>
    <row r="2588" spans="1:40" x14ac:dyDescent="0.25">
      <c r="A2588" t="str">
        <f>"20190303161925891"</f>
        <v>20190303161925891</v>
      </c>
      <c r="B2588" t="str">
        <f>"1551601165885433"</f>
        <v>1551601165885433</v>
      </c>
      <c r="C2588" t="s">
        <v>40</v>
      </c>
      <c r="D2588">
        <v>5.1421190000000001</v>
      </c>
      <c r="E2588">
        <v>0.60285639999999996</v>
      </c>
      <c r="F2588" t="s">
        <v>49</v>
      </c>
      <c r="G2588">
        <v>-205.0343</v>
      </c>
      <c r="H2588" s="1">
        <v>4.392083E-6</v>
      </c>
      <c r="I2588">
        <v>285.27289999999999</v>
      </c>
      <c r="J2588">
        <v>-198.3374</v>
      </c>
      <c r="K2588">
        <v>1.1200300000000001</v>
      </c>
      <c r="L2588">
        <v>287.96550000000002</v>
      </c>
      <c r="M2588">
        <v>-0.56240800000000002</v>
      </c>
      <c r="N2588">
        <v>-1.267652E-2</v>
      </c>
      <c r="O2588">
        <v>-0.82676269999999996</v>
      </c>
      <c r="P2588">
        <v>-0.79149650000000005</v>
      </c>
      <c r="Q2588">
        <v>8.5587670000000005E-2</v>
      </c>
      <c r="R2588">
        <v>-0.60515180000000002</v>
      </c>
      <c r="S2588">
        <v>-2.9346920000000001</v>
      </c>
      <c r="T2588">
        <v>-0.48718800000000001</v>
      </c>
      <c r="U2588">
        <v>-1.1979059999999999</v>
      </c>
      <c r="V2588">
        <v>0.3144111</v>
      </c>
      <c r="W2588">
        <v>9.6439280000000002E-2</v>
      </c>
      <c r="X2588">
        <v>0.94437550000000003</v>
      </c>
      <c r="Y2588">
        <v>0.54160019999999998</v>
      </c>
      <c r="Z2588">
        <v>0.14296789999999901</v>
      </c>
      <c r="AA2588">
        <v>0.82838959999999995</v>
      </c>
      <c r="AB2588">
        <v>8</v>
      </c>
      <c r="AC2588">
        <v>-6.6968999999999896</v>
      </c>
      <c r="AD2588">
        <v>-1.1200256079169999</v>
      </c>
      <c r="AE2588">
        <v>-2.6926000000000201</v>
      </c>
      <c r="AF2588">
        <v>3.9281465102370801</v>
      </c>
      <c r="AG2588">
        <v>-1.1200256079169999</v>
      </c>
      <c r="AH2588">
        <v>5.8521027868748998</v>
      </c>
      <c r="AI2588">
        <v>99.029314008491298</v>
      </c>
      <c r="AJ2588">
        <v>56.129035927311001</v>
      </c>
      <c r="AK2588">
        <v>7.1366588398512203</v>
      </c>
      <c r="AL2588">
        <v>84.465835001383795</v>
      </c>
      <c r="AM2588">
        <v>71.585843061021507</v>
      </c>
      <c r="AN2588">
        <v>0.99999997976518895</v>
      </c>
    </row>
    <row r="2589" spans="1:40" x14ac:dyDescent="0.25">
      <c r="A2589" t="str">
        <f>"20190303161925914"</f>
        <v>20190303161925914</v>
      </c>
      <c r="B2589" t="str">
        <f>"1551601165904953"</f>
        <v>1551601165904953</v>
      </c>
      <c r="C2589" t="s">
        <v>40</v>
      </c>
      <c r="D2589">
        <v>5.146617</v>
      </c>
      <c r="E2589">
        <v>0.60272720000000002</v>
      </c>
      <c r="F2589" t="s">
        <v>49</v>
      </c>
      <c r="G2589">
        <v>-204.9674</v>
      </c>
      <c r="H2589" s="1">
        <v>4.3603819999999997E-6</v>
      </c>
      <c r="I2589">
        <v>285.29610000000002</v>
      </c>
      <c r="J2589">
        <v>-198.39080000000001</v>
      </c>
      <c r="K2589">
        <v>1.1200030000000001</v>
      </c>
      <c r="L2589">
        <v>287.90089999999998</v>
      </c>
      <c r="M2589">
        <v>-0.56779740000000001</v>
      </c>
      <c r="N2589">
        <v>-1.267311E-2</v>
      </c>
      <c r="O2589">
        <v>-0.82307079999999999</v>
      </c>
      <c r="P2589">
        <v>-0.79548109999999905</v>
      </c>
      <c r="Q2589">
        <v>8.2262329999999995E-2</v>
      </c>
      <c r="R2589">
        <v>-0.60036929999999999</v>
      </c>
      <c r="S2589">
        <v>-2.9391780000000001</v>
      </c>
      <c r="T2589">
        <v>-0.49652499999999999</v>
      </c>
      <c r="U2589">
        <v>-1.183411</v>
      </c>
      <c r="V2589">
        <v>0.31421500000000002</v>
      </c>
      <c r="W2589">
        <v>9.3101260000000005E-2</v>
      </c>
      <c r="X2589">
        <v>0.9447757</v>
      </c>
      <c r="Y2589">
        <v>0.53966000000000003</v>
      </c>
      <c r="Z2589">
        <v>0.14551159999999999</v>
      </c>
      <c r="AA2589">
        <v>0.82921259999999997</v>
      </c>
      <c r="AB2589">
        <v>8</v>
      </c>
      <c r="AC2589">
        <v>-6.5765999999999796</v>
      </c>
      <c r="AD2589">
        <v>-1.1199986396179999</v>
      </c>
      <c r="AE2589">
        <v>-2.6047999999999498</v>
      </c>
      <c r="AF2589">
        <v>3.83810502239522</v>
      </c>
      <c r="AG2589">
        <v>-1.1199986396179999</v>
      </c>
      <c r="AH2589">
        <v>5.7348139066784602</v>
      </c>
      <c r="AI2589">
        <v>99.218892579269905</v>
      </c>
      <c r="AJ2589">
        <v>56.207025672643702</v>
      </c>
      <c r="AK2589">
        <v>6.9909611399230602</v>
      </c>
      <c r="AL2589">
        <v>84.657954451374394</v>
      </c>
      <c r="AM2589">
        <v>71.603824709365398</v>
      </c>
      <c r="AN2589">
        <v>1.00000001707453</v>
      </c>
    </row>
    <row r="2590" spans="1:40" x14ac:dyDescent="0.25">
      <c r="A2590" t="str">
        <f>"20190303161925936"</f>
        <v>20190303161925936</v>
      </c>
      <c r="B2590" t="str">
        <f>"1551601165925450"</f>
        <v>1551601165925450</v>
      </c>
      <c r="C2590" t="s">
        <v>40</v>
      </c>
      <c r="D2590">
        <v>4.9674630000000004</v>
      </c>
      <c r="E2590">
        <v>0.60573669999999902</v>
      </c>
      <c r="F2590" t="s">
        <v>49</v>
      </c>
      <c r="G2590">
        <v>-204.90549999999999</v>
      </c>
      <c r="H2590" s="1">
        <v>4.3303769999999997E-6</v>
      </c>
      <c r="I2590">
        <v>285.3254</v>
      </c>
      <c r="J2590">
        <v>-198.4417</v>
      </c>
      <c r="K2590">
        <v>1.1199870000000001</v>
      </c>
      <c r="L2590">
        <v>287.84019999999998</v>
      </c>
      <c r="M2590">
        <v>-0.5729223</v>
      </c>
      <c r="N2590">
        <v>-1.26629E-2</v>
      </c>
      <c r="O2590">
        <v>-0.81951219999999902</v>
      </c>
      <c r="P2590">
        <v>-0.79955209999999999</v>
      </c>
      <c r="Q2590">
        <v>7.9396889999999998E-2</v>
      </c>
      <c r="R2590">
        <v>-0.59532600000000002</v>
      </c>
      <c r="S2590">
        <v>-2.9449619999999999</v>
      </c>
      <c r="T2590">
        <v>-0.50629599999999997</v>
      </c>
      <c r="U2590">
        <v>-1.1642459999999999</v>
      </c>
      <c r="V2590">
        <v>0.31452469999999999</v>
      </c>
      <c r="W2590">
        <v>9.0219030000000006E-2</v>
      </c>
      <c r="X2590">
        <v>0.94495220000000002</v>
      </c>
      <c r="Y2590">
        <v>0.53918069999999996</v>
      </c>
      <c r="Z2590">
        <v>0.14829419999999999</v>
      </c>
      <c r="AA2590">
        <v>0.82903130000000003</v>
      </c>
      <c r="AB2590">
        <v>8</v>
      </c>
      <c r="AC2590">
        <v>-6.4637999999999902</v>
      </c>
      <c r="AD2590">
        <v>-1.119982669623</v>
      </c>
      <c r="AE2590">
        <v>-2.5147999999999802</v>
      </c>
      <c r="AF2590">
        <v>3.7586766466440902</v>
      </c>
      <c r="AG2590">
        <v>-1.119982669623</v>
      </c>
      <c r="AH2590">
        <v>5.6181293728497304</v>
      </c>
      <c r="AI2590">
        <v>99.407857357807103</v>
      </c>
      <c r="AJ2590">
        <v>56.216434044239499</v>
      </c>
      <c r="AK2590">
        <v>6.8516705236285604</v>
      </c>
      <c r="AL2590">
        <v>84.823791946799005</v>
      </c>
      <c r="AM2590">
        <v>71.590122548622404</v>
      </c>
      <c r="AN2590">
        <v>0.99999996028453397</v>
      </c>
    </row>
    <row r="2591" spans="1:40" x14ac:dyDescent="0.25">
      <c r="A2591" t="str">
        <f>"20190303161925959"</f>
        <v>20190303161925959</v>
      </c>
      <c r="B2591" t="str">
        <f>"1551601165954729"</f>
        <v>1551601165954729</v>
      </c>
      <c r="C2591" t="s">
        <v>40</v>
      </c>
      <c r="D2591">
        <v>5.1859590000000004</v>
      </c>
      <c r="E2591">
        <v>0.6091432</v>
      </c>
      <c r="F2591" t="s">
        <v>49</v>
      </c>
      <c r="G2591">
        <v>-205.012</v>
      </c>
      <c r="H2591" s="1">
        <v>4.3757279999999901E-6</v>
      </c>
      <c r="I2591">
        <v>285.34710000000001</v>
      </c>
      <c r="J2591">
        <v>-198.499</v>
      </c>
      <c r="K2591">
        <v>1.119974</v>
      </c>
      <c r="L2591">
        <v>287.77289999999999</v>
      </c>
      <c r="M2591">
        <v>-0.57867869999999999</v>
      </c>
      <c r="N2591">
        <v>-1.2650389999999999E-2</v>
      </c>
      <c r="O2591">
        <v>-0.81545749999999995</v>
      </c>
      <c r="P2591">
        <v>-0.80444059999999995</v>
      </c>
      <c r="Q2591">
        <v>7.7121850000000006E-2</v>
      </c>
      <c r="R2591">
        <v>-0.58900580000000002</v>
      </c>
      <c r="S2591">
        <v>-2.9646910000000002</v>
      </c>
      <c r="T2591">
        <v>-0.50536119999999995</v>
      </c>
      <c r="U2591">
        <v>-1.1249389999999999</v>
      </c>
      <c r="V2591">
        <v>0.3154923</v>
      </c>
      <c r="W2591">
        <v>8.7924119999999995E-2</v>
      </c>
      <c r="X2591">
        <v>0.94484599999999996</v>
      </c>
      <c r="Y2591">
        <v>0.54477880000000001</v>
      </c>
      <c r="Z2591">
        <v>0.14788490000000001</v>
      </c>
      <c r="AA2591">
        <v>0.82543690000000003</v>
      </c>
      <c r="AB2591">
        <v>8</v>
      </c>
      <c r="AC2591">
        <v>-6.5129999999999697</v>
      </c>
      <c r="AD2591">
        <v>-1.1199696242720001</v>
      </c>
      <c r="AE2591">
        <v>-2.4257999999999802</v>
      </c>
      <c r="AF2591">
        <v>3.80872502146268</v>
      </c>
      <c r="AG2591">
        <v>-1.1199696242720001</v>
      </c>
      <c r="AH2591">
        <v>5.60205888420868</v>
      </c>
      <c r="AI2591">
        <v>99.387751370017796</v>
      </c>
      <c r="AJ2591">
        <v>55.789019037453002</v>
      </c>
      <c r="AK2591">
        <v>6.8661329720993098</v>
      </c>
      <c r="AL2591">
        <v>84.9558055783599</v>
      </c>
      <c r="AM2591">
        <v>71.535386802592896</v>
      </c>
      <c r="AN2591">
        <v>1.0000000029765299</v>
      </c>
    </row>
    <row r="2592" spans="1:40" x14ac:dyDescent="0.25">
      <c r="A2592" t="str">
        <f>"20190303161925982"</f>
        <v>20190303161925982</v>
      </c>
      <c r="B2592" t="str">
        <f>"1551601165975226"</f>
        <v>1551601165975226</v>
      </c>
      <c r="C2592" t="s">
        <v>40</v>
      </c>
      <c r="D2592">
        <v>5.1116109999999999</v>
      </c>
      <c r="E2592">
        <v>0.61129609999999901</v>
      </c>
      <c r="F2592" t="s">
        <v>49</v>
      </c>
      <c r="G2592">
        <v>-204.99189999999999</v>
      </c>
      <c r="H2592" s="1">
        <v>4.3593099999999998E-6</v>
      </c>
      <c r="I2592">
        <v>285.43279999999999</v>
      </c>
      <c r="J2592">
        <v>-198.5522</v>
      </c>
      <c r="K2592">
        <v>1.1199589999999999</v>
      </c>
      <c r="L2592">
        <v>287.71140000000003</v>
      </c>
      <c r="M2592">
        <v>-0.5839839</v>
      </c>
      <c r="N2592">
        <v>-1.2644580000000001E-2</v>
      </c>
      <c r="O2592">
        <v>-0.81166680000000002</v>
      </c>
      <c r="P2592">
        <v>-0.80884519999999904</v>
      </c>
      <c r="Q2592">
        <v>7.4328130000000006E-2</v>
      </c>
      <c r="R2592">
        <v>-0.58330569999999904</v>
      </c>
      <c r="S2592">
        <v>-2.9897770000000001</v>
      </c>
      <c r="T2592">
        <v>-0.51571299999999998</v>
      </c>
      <c r="U2592">
        <v>-1.077545</v>
      </c>
      <c r="V2592">
        <v>0.31621189999999999</v>
      </c>
      <c r="W2592">
        <v>8.5120860000000007E-2</v>
      </c>
      <c r="X2592">
        <v>0.94486210000000004</v>
      </c>
      <c r="Y2592">
        <v>0.55261269999999996</v>
      </c>
      <c r="Z2592">
        <v>0.1509277</v>
      </c>
      <c r="AA2592">
        <v>0.81965849999999996</v>
      </c>
      <c r="AB2592">
        <v>8</v>
      </c>
      <c r="AC2592">
        <v>-6.4396999999999798</v>
      </c>
      <c r="AD2592">
        <v>-1.1199546406899901</v>
      </c>
      <c r="AE2592">
        <v>-2.2786000000000399</v>
      </c>
      <c r="AF2592">
        <v>3.7945367201198201</v>
      </c>
      <c r="AG2592">
        <v>-1.1199546406899901</v>
      </c>
      <c r="AH2592">
        <v>5.4637249331203703</v>
      </c>
      <c r="AI2592">
        <v>99.556715565567998</v>
      </c>
      <c r="AJ2592">
        <v>55.220164444089598</v>
      </c>
      <c r="AK2592">
        <v>6.7457466200815697</v>
      </c>
      <c r="AL2592">
        <v>85.117024965207406</v>
      </c>
      <c r="AM2592">
        <v>71.496430073323097</v>
      </c>
      <c r="AN2592">
        <v>0.99999995726257895</v>
      </c>
    </row>
    <row r="2593" spans="1:40" x14ac:dyDescent="0.25">
      <c r="A2593" t="str">
        <f>"20190303161926004"</f>
        <v>20190303161926004</v>
      </c>
      <c r="B2593" t="str">
        <f>"1551601165994745"</f>
        <v>1551601165994745</v>
      </c>
      <c r="C2593" t="s">
        <v>40</v>
      </c>
      <c r="D2593">
        <v>5.1006030000000004</v>
      </c>
      <c r="E2593">
        <v>0.61290440000000002</v>
      </c>
      <c r="F2593" t="s">
        <v>49</v>
      </c>
      <c r="G2593">
        <v>-205.04230000000001</v>
      </c>
      <c r="H2593" s="1">
        <v>4.3783220000000003E-6</v>
      </c>
      <c r="I2593">
        <v>285.47109999999998</v>
      </c>
      <c r="J2593">
        <v>-198.60730000000001</v>
      </c>
      <c r="K2593">
        <v>1.1199509999999999</v>
      </c>
      <c r="L2593">
        <v>287.64850000000001</v>
      </c>
      <c r="M2593">
        <v>-0.58945269999999905</v>
      </c>
      <c r="N2593">
        <v>-1.26426E-2</v>
      </c>
      <c r="O2593">
        <v>-0.80770399999999998</v>
      </c>
      <c r="P2593">
        <v>-0.81279209999999902</v>
      </c>
      <c r="Q2593">
        <v>7.1817740000000005E-2</v>
      </c>
      <c r="R2593">
        <v>-0.57811020000000002</v>
      </c>
      <c r="S2593">
        <v>-3.0079349999999998</v>
      </c>
      <c r="T2593">
        <v>-0.51905809999999997</v>
      </c>
      <c r="U2593">
        <v>-1.0383</v>
      </c>
      <c r="V2593">
        <v>0.31605840000000002</v>
      </c>
      <c r="W2593">
        <v>8.2610119999999995E-2</v>
      </c>
      <c r="X2593">
        <v>0.94513630000000004</v>
      </c>
      <c r="Y2593">
        <v>0.55793519999999996</v>
      </c>
      <c r="Z2593">
        <v>0.15181320000000001</v>
      </c>
      <c r="AA2593">
        <v>0.81588059999999996</v>
      </c>
      <c r="AB2593">
        <v>8</v>
      </c>
      <c r="AC2593">
        <v>-6.4349999999999996</v>
      </c>
      <c r="AD2593">
        <v>-1.1199466216780001</v>
      </c>
      <c r="AE2593">
        <v>-2.1774000000000302</v>
      </c>
      <c r="AF2593">
        <v>3.8108419347434102</v>
      </c>
      <c r="AG2593">
        <v>-1.1199466216780001</v>
      </c>
      <c r="AH2593">
        <v>5.4053586167294299</v>
      </c>
      <c r="AI2593">
        <v>99.611207991601702</v>
      </c>
      <c r="AJ2593">
        <v>54.815709445421803</v>
      </c>
      <c r="AK2593">
        <v>6.7078087675826001</v>
      </c>
      <c r="AL2593">
        <v>85.261388526967096</v>
      </c>
      <c r="AM2593">
        <v>71.509801963355898</v>
      </c>
      <c r="AN2593">
        <v>0.99999998485733199</v>
      </c>
    </row>
    <row r="2594" spans="1:40" x14ac:dyDescent="0.25">
      <c r="A2594" t="str">
        <f>"20190303161926026"</f>
        <v>20190303161926026</v>
      </c>
      <c r="B2594" t="str">
        <f>"1551601166015241"</f>
        <v>1551601166015241</v>
      </c>
      <c r="C2594" t="s">
        <v>40</v>
      </c>
      <c r="D2594">
        <v>5.1024310000000002</v>
      </c>
      <c r="E2594">
        <v>0.61433689999999996</v>
      </c>
      <c r="F2594" t="s">
        <v>49</v>
      </c>
      <c r="G2594">
        <v>-205.0821</v>
      </c>
      <c r="H2594" s="1">
        <v>4.3937329999999901E-6</v>
      </c>
      <c r="I2594">
        <v>285.49680000000001</v>
      </c>
      <c r="J2594">
        <v>-198.66050000000001</v>
      </c>
      <c r="K2594">
        <v>1.119936</v>
      </c>
      <c r="L2594">
        <v>287.58879999999999</v>
      </c>
      <c r="M2594">
        <v>-0.59470129999999999</v>
      </c>
      <c r="N2594">
        <v>-1.264088E-2</v>
      </c>
      <c r="O2594">
        <v>-0.80384769999999905</v>
      </c>
      <c r="P2594">
        <v>-0.81570600000000004</v>
      </c>
      <c r="Q2594">
        <v>7.1096699999999999E-2</v>
      </c>
      <c r="R2594">
        <v>-0.57408159999999997</v>
      </c>
      <c r="S2594">
        <v>-3.0227050000000002</v>
      </c>
      <c r="T2594">
        <v>-0.52283429999999997</v>
      </c>
      <c r="U2594">
        <v>-1.0045170000000001</v>
      </c>
      <c r="V2594">
        <v>0.31462639999999997</v>
      </c>
      <c r="W2594">
        <v>8.1893969999999996E-2</v>
      </c>
      <c r="X2594">
        <v>0.94567630000000003</v>
      </c>
      <c r="Y2594">
        <v>0.56178549999999905</v>
      </c>
      <c r="Z2594">
        <v>0.15278129999999901</v>
      </c>
      <c r="AA2594">
        <v>0.81305280000000002</v>
      </c>
      <c r="AB2594">
        <v>8</v>
      </c>
      <c r="AC2594">
        <v>-6.4215999999999802</v>
      </c>
      <c r="AD2594">
        <v>-1.1199316062669999</v>
      </c>
      <c r="AE2594">
        <v>-2.0919999999999801</v>
      </c>
      <c r="AF2594">
        <v>3.8133289005891702</v>
      </c>
      <c r="AG2594">
        <v>-1.1199316062669999</v>
      </c>
      <c r="AH2594">
        <v>5.3538059178155297</v>
      </c>
      <c r="AI2594">
        <v>99.669364612847502</v>
      </c>
      <c r="AJ2594">
        <v>54.539057246615499</v>
      </c>
      <c r="AK2594">
        <v>6.6677553878663698</v>
      </c>
      <c r="AL2594">
        <v>85.302560617939093</v>
      </c>
      <c r="AM2594">
        <v>71.597721702374201</v>
      </c>
      <c r="AN2594">
        <v>1.0000000291405</v>
      </c>
    </row>
    <row r="2595" spans="1:40" x14ac:dyDescent="0.25">
      <c r="A2595" t="str">
        <f>"20190303161926048"</f>
        <v>20190303161926048</v>
      </c>
      <c r="B2595" t="str">
        <f>"1551601166034761"</f>
        <v>1551601166034761</v>
      </c>
      <c r="C2595" t="s">
        <v>40</v>
      </c>
      <c r="D2595">
        <v>5.0951950000000004</v>
      </c>
      <c r="E2595">
        <v>0.6157281</v>
      </c>
      <c r="F2595" t="s">
        <v>49</v>
      </c>
      <c r="G2595">
        <v>-205.17609999999999</v>
      </c>
      <c r="H2595" s="1">
        <v>4.4362400000000002E-6</v>
      </c>
      <c r="I2595">
        <v>285.48739999999998</v>
      </c>
      <c r="J2595">
        <v>-198.71440000000001</v>
      </c>
      <c r="K2595">
        <v>1.1199220000000001</v>
      </c>
      <c r="L2595">
        <v>287.52929999999998</v>
      </c>
      <c r="M2595">
        <v>-0.59999709999999995</v>
      </c>
      <c r="N2595">
        <v>-1.2639549999999999E-2</v>
      </c>
      <c r="O2595">
        <v>-0.79990240000000001</v>
      </c>
      <c r="P2595">
        <v>-0.81765429999999995</v>
      </c>
      <c r="Q2595">
        <v>7.0707279999999997E-2</v>
      </c>
      <c r="R2595">
        <v>-0.57135159999999996</v>
      </c>
      <c r="S2595">
        <v>-3.0344850000000001</v>
      </c>
      <c r="T2595">
        <v>-0.52157569999999998</v>
      </c>
      <c r="U2595">
        <v>-0.97869870000000003</v>
      </c>
      <c r="V2595">
        <v>0.31156479999999998</v>
      </c>
      <c r="W2595">
        <v>8.1520889999999999E-2</v>
      </c>
      <c r="X2595">
        <v>0.94672160000000005</v>
      </c>
      <c r="Y2595">
        <v>0.56365310000000002</v>
      </c>
      <c r="Z2595">
        <v>0.15208169999999999</v>
      </c>
      <c r="AA2595">
        <v>0.81189069999999997</v>
      </c>
      <c r="AB2595">
        <v>8</v>
      </c>
      <c r="AC2595">
        <v>-6.4616999999999702</v>
      </c>
      <c r="AD2595">
        <v>-1.1199175637599901</v>
      </c>
      <c r="AE2595">
        <v>-2.0418999999999898</v>
      </c>
      <c r="AF2595">
        <v>3.8390602761363399</v>
      </c>
      <c r="AG2595">
        <v>-1.1199175637599901</v>
      </c>
      <c r="AH2595">
        <v>5.3642569273717502</v>
      </c>
      <c r="AI2595">
        <v>99.6355073128436</v>
      </c>
      <c r="AJ2595">
        <v>54.4096789632762</v>
      </c>
      <c r="AK2595">
        <v>6.6908782335566404</v>
      </c>
      <c r="AL2595">
        <v>85.324008262832393</v>
      </c>
      <c r="AM2595">
        <v>71.7836944434234</v>
      </c>
      <c r="AN2595">
        <v>1.00000003400599</v>
      </c>
    </row>
    <row r="2596" spans="1:40" x14ac:dyDescent="0.25">
      <c r="A2596" t="str">
        <f>"20190303161926070"</f>
        <v>20190303161926070</v>
      </c>
      <c r="B2596" t="str">
        <f>"1551601166065018"</f>
        <v>1551601166065018</v>
      </c>
      <c r="C2596" t="s">
        <v>40</v>
      </c>
      <c r="D2596">
        <v>5.0988910000000001</v>
      </c>
      <c r="E2596">
        <v>0.61724009999999996</v>
      </c>
      <c r="F2596" t="s">
        <v>49</v>
      </c>
      <c r="G2596">
        <v>-205.28</v>
      </c>
      <c r="H2596" s="1">
        <v>4.4846269999999999E-6</v>
      </c>
      <c r="I2596">
        <v>285.46050000000002</v>
      </c>
      <c r="J2596">
        <v>-198.77070000000001</v>
      </c>
      <c r="K2596">
        <v>1.1199079999999999</v>
      </c>
      <c r="L2596">
        <v>287.46789999999999</v>
      </c>
      <c r="M2596">
        <v>-0.60548930000000001</v>
      </c>
      <c r="N2596">
        <v>-1.2638989999999999E-2</v>
      </c>
      <c r="O2596">
        <v>-0.79575309999999999</v>
      </c>
      <c r="P2596">
        <v>-0.81893380000000005</v>
      </c>
      <c r="Q2596">
        <v>6.9441139999999998E-2</v>
      </c>
      <c r="R2596">
        <v>-0.56967159999999994</v>
      </c>
      <c r="S2596">
        <v>-3.043777</v>
      </c>
      <c r="T2596">
        <v>-0.51918920000000002</v>
      </c>
      <c r="U2596">
        <v>-0.95907589999999998</v>
      </c>
      <c r="V2596">
        <v>0.3070657</v>
      </c>
      <c r="W2596">
        <v>8.0286609999999994E-2</v>
      </c>
      <c r="X2596">
        <v>0.94829569999999996</v>
      </c>
      <c r="Y2596">
        <v>0.5636601</v>
      </c>
      <c r="Z2596">
        <v>0.1509085</v>
      </c>
      <c r="AA2596">
        <v>0.81210459999999995</v>
      </c>
      <c r="AB2596">
        <v>8</v>
      </c>
      <c r="AC2596">
        <v>-6.5092999999999899</v>
      </c>
      <c r="AD2596">
        <v>-1.1199035153729999</v>
      </c>
      <c r="AE2596">
        <v>-2.0073999999999601</v>
      </c>
      <c r="AF2596">
        <v>3.86031095791046</v>
      </c>
      <c r="AG2596">
        <v>-1.1199035153729999</v>
      </c>
      <c r="AH2596">
        <v>5.39336882256862</v>
      </c>
      <c r="AI2596">
        <v>99.584003499833599</v>
      </c>
      <c r="AJ2596">
        <v>54.406756255170002</v>
      </c>
      <c r="AK2596">
        <v>6.7264115122228203</v>
      </c>
      <c r="AL2596">
        <v>85.394959770694101</v>
      </c>
      <c r="AM2596">
        <v>72.057633793768701</v>
      </c>
      <c r="AN2596">
        <v>1.00000000925013</v>
      </c>
    </row>
    <row r="2597" spans="1:40" x14ac:dyDescent="0.25">
      <c r="A2597" t="str">
        <f>"20190303161926094"</f>
        <v>20190303161926094</v>
      </c>
      <c r="B2597" t="str">
        <f>"1551601166085513"</f>
        <v>1551601166085513</v>
      </c>
      <c r="C2597" t="s">
        <v>40</v>
      </c>
      <c r="D2597">
        <v>5.0965660000000002</v>
      </c>
      <c r="E2597">
        <v>0.61803750000000002</v>
      </c>
      <c r="F2597" t="s">
        <v>49</v>
      </c>
      <c r="G2597">
        <v>-205.3552</v>
      </c>
      <c r="H2597" s="1">
        <v>4.5201850000000002E-6</v>
      </c>
      <c r="I2597">
        <v>285.4357</v>
      </c>
      <c r="J2597">
        <v>-198.83</v>
      </c>
      <c r="K2597">
        <v>1.1198999999999999</v>
      </c>
      <c r="L2597">
        <v>287.4042</v>
      </c>
      <c r="M2597">
        <v>-0.61122809999999905</v>
      </c>
      <c r="N2597">
        <v>-1.2638419999999999E-2</v>
      </c>
      <c r="O2597">
        <v>-0.79135369999999905</v>
      </c>
      <c r="P2597">
        <v>-0.82103979999999999</v>
      </c>
      <c r="Q2597">
        <v>6.8178390000000005E-2</v>
      </c>
      <c r="R2597">
        <v>-0.56678549999999905</v>
      </c>
      <c r="S2597">
        <v>-3.052063</v>
      </c>
      <c r="T2597">
        <v>-0.51909629999999995</v>
      </c>
      <c r="U2597">
        <v>-0.9419556</v>
      </c>
      <c r="V2597">
        <v>0.30361939999999998</v>
      </c>
      <c r="W2597">
        <v>7.9051239999999995E-2</v>
      </c>
      <c r="X2597">
        <v>0.94950840000000003</v>
      </c>
      <c r="Y2597">
        <v>0.56257950000000001</v>
      </c>
      <c r="Z2597">
        <v>0.1503302</v>
      </c>
      <c r="AA2597">
        <v>0.81296069999999998</v>
      </c>
      <c r="AB2597">
        <v>8</v>
      </c>
      <c r="AC2597">
        <v>-6.5251999999999803</v>
      </c>
      <c r="AD2597">
        <v>-1.11989547981499</v>
      </c>
      <c r="AE2597">
        <v>-1.9684999999999999</v>
      </c>
      <c r="AF2597">
        <v>3.8567288379887201</v>
      </c>
      <c r="AG2597">
        <v>-1.11989547981499</v>
      </c>
      <c r="AH2597">
        <v>5.40079463171831</v>
      </c>
      <c r="AI2597">
        <v>99.578326797148804</v>
      </c>
      <c r="AJ2597">
        <v>54.469218363906499</v>
      </c>
      <c r="AK2597">
        <v>6.7303124644760199</v>
      </c>
      <c r="AL2597">
        <v>85.465967016187406</v>
      </c>
      <c r="AM2597">
        <v>72.267551426413306</v>
      </c>
      <c r="AN2597">
        <v>1.00000002013622</v>
      </c>
    </row>
    <row r="2598" spans="1:40" x14ac:dyDescent="0.25">
      <c r="A2598" t="str">
        <f>"20190303161926115"</f>
        <v>20190303161926115</v>
      </c>
      <c r="B2598" t="str">
        <f>"1551601166105034"</f>
        <v>1551601166105034</v>
      </c>
      <c r="C2598" t="s">
        <v>40</v>
      </c>
      <c r="D2598">
        <v>5.0934749999999998</v>
      </c>
      <c r="E2598">
        <v>0.61827030000000005</v>
      </c>
      <c r="F2598" t="s">
        <v>49</v>
      </c>
      <c r="G2598">
        <v>-205.39959999999999</v>
      </c>
      <c r="H2598" s="1">
        <v>4.5414719999999997E-6</v>
      </c>
      <c r="I2598">
        <v>285.41719999999998</v>
      </c>
      <c r="J2598">
        <v>-198.8828</v>
      </c>
      <c r="K2598">
        <v>1.119901</v>
      </c>
      <c r="L2598">
        <v>287.34840000000003</v>
      </c>
      <c r="M2598">
        <v>-0.6162879</v>
      </c>
      <c r="N2598">
        <v>-1.263661E-2</v>
      </c>
      <c r="O2598">
        <v>-0.7874196</v>
      </c>
      <c r="P2598">
        <v>-0.82338739999999999</v>
      </c>
      <c r="Q2598">
        <v>6.8806649999999997E-2</v>
      </c>
      <c r="R2598">
        <v>-0.56329300000000004</v>
      </c>
      <c r="S2598">
        <v>-3.0585779999999998</v>
      </c>
      <c r="T2598">
        <v>-0.52138790000000002</v>
      </c>
      <c r="U2598">
        <v>-0.92507930000000005</v>
      </c>
      <c r="V2598">
        <v>0.30152469999999998</v>
      </c>
      <c r="W2598">
        <v>7.9693429999999996E-2</v>
      </c>
      <c r="X2598">
        <v>0.95012200000000002</v>
      </c>
      <c r="Y2598">
        <v>0.56183000000000005</v>
      </c>
      <c r="Z2598">
        <v>0.15059320000000001</v>
      </c>
      <c r="AA2598">
        <v>0.81343019999999999</v>
      </c>
      <c r="AB2598">
        <v>8</v>
      </c>
      <c r="AC2598">
        <v>-6.5167999999999804</v>
      </c>
      <c r="AD2598">
        <v>-1.119896458528</v>
      </c>
      <c r="AE2598">
        <v>-1.93120000000004</v>
      </c>
      <c r="AF2598">
        <v>3.83741890705189</v>
      </c>
      <c r="AG2598">
        <v>-1.119896458528</v>
      </c>
      <c r="AH2598">
        <v>5.3909797507521002</v>
      </c>
      <c r="AI2598">
        <v>99.605611640256996</v>
      </c>
      <c r="AJ2598">
        <v>54.555895784904997</v>
      </c>
      <c r="AK2598">
        <v>6.7113794870385703</v>
      </c>
      <c r="AL2598">
        <v>85.4290556993721</v>
      </c>
      <c r="AM2598">
        <v>72.392973540126803</v>
      </c>
      <c r="AN2598">
        <v>1.00000000118962</v>
      </c>
    </row>
    <row r="2599" spans="1:40" x14ac:dyDescent="0.25">
      <c r="A2599" t="str">
        <f>"20190303161926138"</f>
        <v>20190303161926138</v>
      </c>
      <c r="B2599" t="str">
        <f>"1551601166125529"</f>
        <v>1551601166125529</v>
      </c>
      <c r="C2599" t="s">
        <v>40</v>
      </c>
      <c r="D2599">
        <v>5.0594530000000004</v>
      </c>
      <c r="E2599">
        <v>0.61904530000000002</v>
      </c>
      <c r="F2599" t="s">
        <v>49</v>
      </c>
      <c r="G2599">
        <v>-205.452</v>
      </c>
      <c r="H2599" s="1">
        <v>4.5667839999999996E-6</v>
      </c>
      <c r="I2599">
        <v>285.39370000000002</v>
      </c>
      <c r="J2599">
        <v>-198.93989999999999</v>
      </c>
      <c r="K2599">
        <v>1.119907</v>
      </c>
      <c r="L2599">
        <v>287.28890000000001</v>
      </c>
      <c r="M2599">
        <v>-0.62172689999999997</v>
      </c>
      <c r="N2599">
        <v>-1.2634019999999999E-2</v>
      </c>
      <c r="O2599">
        <v>-0.7831323</v>
      </c>
      <c r="P2599">
        <v>-0.82610919999999899</v>
      </c>
      <c r="Q2599">
        <v>6.9884340000000003E-2</v>
      </c>
      <c r="R2599">
        <v>-0.55916009999999905</v>
      </c>
      <c r="S2599">
        <v>-3.063507</v>
      </c>
      <c r="T2599">
        <v>-0.52225359999999998</v>
      </c>
      <c r="U2599">
        <v>-0.91159060000000003</v>
      </c>
      <c r="V2599">
        <v>0.2996357</v>
      </c>
      <c r="W2599">
        <v>8.0781850000000002E-2</v>
      </c>
      <c r="X2599">
        <v>0.95062760000000002</v>
      </c>
      <c r="Y2599">
        <v>0.55979730000000005</v>
      </c>
      <c r="Z2599">
        <v>0.15032419999999999</v>
      </c>
      <c r="AA2599">
        <v>0.8148801</v>
      </c>
      <c r="AB2599">
        <v>8</v>
      </c>
      <c r="AC2599">
        <v>-6.5121000000000002</v>
      </c>
      <c r="AD2599">
        <v>-1.1199024332159999</v>
      </c>
      <c r="AE2599">
        <v>-1.89519999999998</v>
      </c>
      <c r="AF2599">
        <v>3.8177594892332101</v>
      </c>
      <c r="AG2599">
        <v>-1.1199024332159999</v>
      </c>
      <c r="AH2599">
        <v>5.3865164503452601</v>
      </c>
      <c r="AI2599">
        <v>99.627110604871604</v>
      </c>
      <c r="AJ2599">
        <v>54.672425612167601</v>
      </c>
      <c r="AK2599">
        <v>6.6965684083262698</v>
      </c>
      <c r="AL2599">
        <v>85.366492316535002</v>
      </c>
      <c r="AM2599">
        <v>72.505264717165801</v>
      </c>
      <c r="AN2599">
        <v>1.0000000469428301</v>
      </c>
    </row>
    <row r="2600" spans="1:40" x14ac:dyDescent="0.25">
      <c r="A2600" t="str">
        <f>"20190303161926158"</f>
        <v>20190303161926158</v>
      </c>
      <c r="B2600" t="str">
        <f>"1551601166154809"</f>
        <v>1551601166154809</v>
      </c>
      <c r="C2600" t="s">
        <v>40</v>
      </c>
      <c r="D2600">
        <v>5.0878870000000003</v>
      </c>
      <c r="E2600">
        <v>0.61999659999999901</v>
      </c>
      <c r="F2600" t="s">
        <v>49</v>
      </c>
      <c r="G2600">
        <v>-205.59039999999999</v>
      </c>
      <c r="H2600" s="1">
        <v>4.6313199999999997E-6</v>
      </c>
      <c r="I2600">
        <v>285.35739999999998</v>
      </c>
      <c r="J2600">
        <v>-198.99430000000001</v>
      </c>
      <c r="K2600">
        <v>1.1199049999999999</v>
      </c>
      <c r="L2600">
        <v>287.233</v>
      </c>
      <c r="M2600">
        <v>-0.62686759999999997</v>
      </c>
      <c r="N2600">
        <v>-1.2631740000000001E-2</v>
      </c>
      <c r="O2600">
        <v>-0.77902349999999998</v>
      </c>
      <c r="P2600">
        <v>-0.82851589999999997</v>
      </c>
      <c r="Q2600">
        <v>6.9933469999999998E-2</v>
      </c>
      <c r="R2600">
        <v>-0.55558149999999995</v>
      </c>
      <c r="S2600">
        <v>-3.0714419999999998</v>
      </c>
      <c r="T2600">
        <v>-0.51721159999999999</v>
      </c>
      <c r="U2600">
        <v>-0.8920593</v>
      </c>
      <c r="V2600">
        <v>0.29748550000000001</v>
      </c>
      <c r="W2600">
        <v>8.0844600000000003E-2</v>
      </c>
      <c r="X2600">
        <v>0.95129730000000001</v>
      </c>
      <c r="Y2600">
        <v>0.56003610000000004</v>
      </c>
      <c r="Z2600">
        <v>0.14841599999999999</v>
      </c>
      <c r="AA2600">
        <v>0.81506590000000001</v>
      </c>
      <c r="AB2600">
        <v>8</v>
      </c>
      <c r="AC2600">
        <v>-6.5960999999999697</v>
      </c>
      <c r="AD2600">
        <v>-1.11990036867999</v>
      </c>
      <c r="AE2600">
        <v>-1.8756000000000199</v>
      </c>
      <c r="AF2600">
        <v>3.8601316335210001</v>
      </c>
      <c r="AG2600">
        <v>-1.11990036867999</v>
      </c>
      <c r="AH2600">
        <v>5.4510854872919001</v>
      </c>
      <c r="AI2600">
        <v>99.517898083098103</v>
      </c>
      <c r="AJ2600">
        <v>54.696163789232301</v>
      </c>
      <c r="AK2600">
        <v>6.7726749555580703</v>
      </c>
      <c r="AL2600">
        <v>85.362885048680198</v>
      </c>
      <c r="AM2600">
        <v>72.634722429567006</v>
      </c>
      <c r="AN2600">
        <v>1.0000000125233499</v>
      </c>
    </row>
    <row r="2601" spans="1:40" x14ac:dyDescent="0.25">
      <c r="A2601" t="str">
        <f>"20190303161926181"</f>
        <v>20190303161926181</v>
      </c>
      <c r="B2601" t="str">
        <f>"1551601166175305"</f>
        <v>1551601166175305</v>
      </c>
      <c r="C2601" t="s">
        <v>40</v>
      </c>
      <c r="D2601">
        <v>5.307696</v>
      </c>
      <c r="E2601">
        <v>0.61984539999999999</v>
      </c>
      <c r="F2601" t="s">
        <v>49</v>
      </c>
      <c r="G2601">
        <v>-205.6996</v>
      </c>
      <c r="H2601" s="1">
        <v>4.6818900000000002E-6</v>
      </c>
      <c r="I2601">
        <v>285.33249999999998</v>
      </c>
      <c r="J2601">
        <v>-199.0521</v>
      </c>
      <c r="K2601">
        <v>1.1199049999999999</v>
      </c>
      <c r="L2601">
        <v>287.17450000000002</v>
      </c>
      <c r="M2601">
        <v>-0.63228359999999995</v>
      </c>
      <c r="N2601">
        <v>-1.262987E-2</v>
      </c>
      <c r="O2601">
        <v>-0.77463419999999905</v>
      </c>
      <c r="P2601">
        <v>-0.83152510000000002</v>
      </c>
      <c r="Q2601">
        <v>6.9581610000000002E-2</v>
      </c>
      <c r="R2601">
        <v>-0.55111239999999995</v>
      </c>
      <c r="S2601">
        <v>-3.079132</v>
      </c>
      <c r="T2601">
        <v>-0.5142738</v>
      </c>
      <c r="U2601">
        <v>-0.87271119999999902</v>
      </c>
      <c r="V2601">
        <v>0.29599589999999998</v>
      </c>
      <c r="W2601">
        <v>8.0500489999999994E-2</v>
      </c>
      <c r="X2601">
        <v>0.95179100000000005</v>
      </c>
      <c r="Y2601">
        <v>0.5597799</v>
      </c>
      <c r="Z2601">
        <v>0.14707890000000001</v>
      </c>
      <c r="AA2601">
        <v>0.81548409999999905</v>
      </c>
      <c r="AB2601">
        <v>8</v>
      </c>
      <c r="AC2601">
        <v>-6.6475</v>
      </c>
      <c r="AD2601">
        <v>-1.11990031811</v>
      </c>
      <c r="AE2601">
        <v>-1.84200000000004</v>
      </c>
      <c r="AF2601">
        <v>3.8826915289074999</v>
      </c>
      <c r="AG2601">
        <v>-1.11990031811</v>
      </c>
      <c r="AH2601">
        <v>5.48583379116904</v>
      </c>
      <c r="AI2601">
        <v>99.4603366212353</v>
      </c>
      <c r="AJ2601">
        <v>54.710403811205197</v>
      </c>
      <c r="AK2601">
        <v>6.8135044298426202</v>
      </c>
      <c r="AL2601">
        <v>85.382665534465204</v>
      </c>
      <c r="AM2601">
        <v>72.724915525385995</v>
      </c>
      <c r="AN2601">
        <v>1.0000000046940201</v>
      </c>
    </row>
    <row r="2602" spans="1:40" x14ac:dyDescent="0.25">
      <c r="A2602" t="str">
        <f>"20190303161926204"</f>
        <v>20190303161926204</v>
      </c>
      <c r="B2602" t="str">
        <f>"1551601166194825"</f>
        <v>1551601166194825</v>
      </c>
      <c r="C2602" t="s">
        <v>40</v>
      </c>
      <c r="D2602">
        <v>4.9779059999999999</v>
      </c>
      <c r="E2602">
        <v>0.5769938</v>
      </c>
      <c r="F2602" t="s">
        <v>49</v>
      </c>
      <c r="G2602">
        <v>-205.80609999999999</v>
      </c>
      <c r="H2602" s="1">
        <v>4.7322600000000002E-6</v>
      </c>
      <c r="I2602">
        <v>285.29680000000002</v>
      </c>
      <c r="J2602">
        <v>-199.11150000000001</v>
      </c>
      <c r="K2602">
        <v>1.119899</v>
      </c>
      <c r="L2602">
        <v>287.11520000000002</v>
      </c>
      <c r="M2602">
        <v>-0.63780429999999999</v>
      </c>
      <c r="N2602">
        <v>-1.262827E-2</v>
      </c>
      <c r="O2602">
        <v>-0.77009519999999998</v>
      </c>
      <c r="P2602">
        <v>-0.83421849999999997</v>
      </c>
      <c r="Q2602">
        <v>6.9260370000000002E-2</v>
      </c>
      <c r="R2602">
        <v>-0.54706809999999995</v>
      </c>
      <c r="S2602">
        <v>-3.0825809999999998</v>
      </c>
      <c r="T2602">
        <v>-0.51113249999999999</v>
      </c>
      <c r="U2602">
        <v>-0.85702509999999998</v>
      </c>
      <c r="V2602">
        <v>0.29383219999999999</v>
      </c>
      <c r="W2602">
        <v>8.0191090000000007E-2</v>
      </c>
      <c r="X2602">
        <v>0.95248730000000004</v>
      </c>
      <c r="Y2602">
        <v>0.5581834</v>
      </c>
      <c r="Z2602">
        <v>0.14571339999999999</v>
      </c>
      <c r="AA2602">
        <v>0.81682250000000001</v>
      </c>
      <c r="AB2602">
        <v>8</v>
      </c>
      <c r="AC2602">
        <v>-6.6945999999999799</v>
      </c>
      <c r="AD2602">
        <v>-1.1198942677399999</v>
      </c>
      <c r="AE2602">
        <v>-1.81839999999999</v>
      </c>
      <c r="AF2602">
        <v>3.89451896977749</v>
      </c>
      <c r="AG2602">
        <v>-1.1198942677399999</v>
      </c>
      <c r="AH2602">
        <v>5.5266081677200303</v>
      </c>
      <c r="AI2602">
        <v>99.405142210970595</v>
      </c>
      <c r="AJ2602">
        <v>54.828213619816303</v>
      </c>
      <c r="AK2602">
        <v>6.8530897423266897</v>
      </c>
      <c r="AL2602">
        <v>85.400450391992294</v>
      </c>
      <c r="AM2602">
        <v>72.855562158463897</v>
      </c>
      <c r="AN2602">
        <v>1.00000001466675</v>
      </c>
    </row>
    <row r="2603" spans="1:40" x14ac:dyDescent="0.25">
      <c r="A2603" t="str">
        <f>"20190303161926237"</f>
        <v>20190303161926237</v>
      </c>
      <c r="B2603" t="str">
        <f>"1551601166225438"</f>
        <v>1551601166225438</v>
      </c>
      <c r="C2603" t="s">
        <v>40</v>
      </c>
      <c r="D2603">
        <v>5.1137030000000001</v>
      </c>
      <c r="E2603">
        <v>0.55338619999999905</v>
      </c>
      <c r="F2603" t="s">
        <v>52</v>
      </c>
      <c r="G2603">
        <v>-211.36709999999999</v>
      </c>
      <c r="H2603" s="1">
        <v>-8.0929449999999998E-7</v>
      </c>
      <c r="I2603">
        <v>282.31119999999999</v>
      </c>
      <c r="J2603">
        <v>-199.19669999999999</v>
      </c>
      <c r="K2603">
        <v>1.1198790000000001</v>
      </c>
      <c r="L2603">
        <v>287.03190000000001</v>
      </c>
      <c r="M2603">
        <v>-0.64564659999999996</v>
      </c>
      <c r="N2603">
        <v>-1.2626750000000001E-2</v>
      </c>
      <c r="O2603">
        <v>-0.76353190000000004</v>
      </c>
      <c r="P2603">
        <v>-0.83766169999999995</v>
      </c>
      <c r="Q2603">
        <v>6.872027E-2</v>
      </c>
      <c r="R2603">
        <v>-0.54184909999999997</v>
      </c>
      <c r="S2603">
        <v>-2.878174</v>
      </c>
      <c r="T2603">
        <v>-0.26300390000000001</v>
      </c>
      <c r="U2603">
        <v>-1.128204</v>
      </c>
      <c r="V2603">
        <v>0.2900645</v>
      </c>
      <c r="W2603">
        <v>7.9673939999999999E-2</v>
      </c>
      <c r="X2603">
        <v>0.9536848</v>
      </c>
      <c r="Y2603">
        <v>0.47215210000000002</v>
      </c>
      <c r="Z2603">
        <v>7.0981649999999993E-2</v>
      </c>
      <c r="AA2603">
        <v>0.87865469999999901</v>
      </c>
      <c r="AB2603">
        <v>8</v>
      </c>
      <c r="AC2603">
        <v>-12.170400000000001</v>
      </c>
      <c r="AD2603">
        <v>-1.1198798092944999</v>
      </c>
      <c r="AE2603">
        <v>-4.7207000000000203</v>
      </c>
      <c r="AF2603">
        <v>6.1994562722501998</v>
      </c>
      <c r="AG2603">
        <v>-1.1198798092944999</v>
      </c>
      <c r="AH2603">
        <v>11.3793473485924</v>
      </c>
      <c r="AI2603">
        <v>94.939255768225294</v>
      </c>
      <c r="AJ2603">
        <v>61.4184988613356</v>
      </c>
      <c r="AK2603">
        <v>13.0068034097054</v>
      </c>
      <c r="AL2603">
        <v>85.430176062202193</v>
      </c>
      <c r="AM2603">
        <v>73.082791482321895</v>
      </c>
      <c r="AN2603">
        <v>1.0000000243131999</v>
      </c>
    </row>
    <row r="2604" spans="1:40" x14ac:dyDescent="0.25">
      <c r="A2604" t="str">
        <f>"20190303161926259"</f>
        <v>20190303161926259</v>
      </c>
      <c r="B2604" t="str">
        <f>"1551601166244958"</f>
        <v>1551601166244958</v>
      </c>
      <c r="C2604" t="s">
        <v>40</v>
      </c>
      <c r="D2604">
        <v>5.2872079999999997</v>
      </c>
      <c r="E2604">
        <v>0.48403089999999999</v>
      </c>
      <c r="F2604" t="s">
        <v>52</v>
      </c>
      <c r="G2604">
        <v>-210.4537</v>
      </c>
      <c r="H2604" s="1">
        <v>-1.2953530000000001E-6</v>
      </c>
      <c r="I2604">
        <v>281.89609999999999</v>
      </c>
      <c r="J2604">
        <v>-199.25729999999999</v>
      </c>
      <c r="K2604">
        <v>1.1198809999999999</v>
      </c>
      <c r="L2604">
        <v>286.97359999999998</v>
      </c>
      <c r="M2604">
        <v>-0.65116039999999997</v>
      </c>
      <c r="N2604">
        <v>-1.2625630000000001E-2</v>
      </c>
      <c r="O2604">
        <v>-0.75883519999999904</v>
      </c>
      <c r="P2604">
        <v>-0.8402056</v>
      </c>
      <c r="Q2604">
        <v>6.8982740000000001E-2</v>
      </c>
      <c r="R2604">
        <v>-0.53786269999999903</v>
      </c>
      <c r="S2604">
        <v>-2.7828520000000001</v>
      </c>
      <c r="T2604">
        <v>-0.27684760000000003</v>
      </c>
      <c r="U2604">
        <v>-1.2696229999999999</v>
      </c>
      <c r="V2604">
        <v>0.28766989999999998</v>
      </c>
      <c r="W2604">
        <v>7.9951999999999995E-2</v>
      </c>
      <c r="X2604">
        <v>0.95438659999999997</v>
      </c>
      <c r="Y2604">
        <v>0.41682229999999998</v>
      </c>
      <c r="Z2604">
        <v>7.3562039999999995E-2</v>
      </c>
      <c r="AA2604">
        <v>0.90600650000000005</v>
      </c>
      <c r="AB2604">
        <v>8</v>
      </c>
      <c r="AC2604">
        <v>-11.196400000000001</v>
      </c>
      <c r="AD2604">
        <v>-1.1198822953530001</v>
      </c>
      <c r="AE2604">
        <v>-5.0774999999999801</v>
      </c>
      <c r="AF2604">
        <v>5.1476545264835902</v>
      </c>
      <c r="AG2604">
        <v>-1.1198822953530001</v>
      </c>
      <c r="AH2604">
        <v>11.052811286013201</v>
      </c>
      <c r="AI2604">
        <v>95.247793992526098</v>
      </c>
      <c r="AJ2604">
        <v>65.027069623406007</v>
      </c>
      <c r="AK2604">
        <v>12.2440647173923</v>
      </c>
      <c r="AL2604">
        <v>85.414193473873596</v>
      </c>
      <c r="AM2604">
        <v>73.226214798795496</v>
      </c>
      <c r="AN2604">
        <v>1.00000003796478</v>
      </c>
    </row>
    <row r="2605" spans="1:40" x14ac:dyDescent="0.25">
      <c r="A2605" t="str">
        <f>"20190303161926284"</f>
        <v>20190303161926284</v>
      </c>
      <c r="B2605" t="str">
        <f>"1551601166275215"</f>
        <v>1551601166275215</v>
      </c>
      <c r="C2605" t="s">
        <v>40</v>
      </c>
      <c r="D2605">
        <v>5.0973990000000002</v>
      </c>
      <c r="E2605">
        <v>0.48382190000000003</v>
      </c>
      <c r="F2605" t="s">
        <v>49</v>
      </c>
      <c r="G2605">
        <v>-208.60210000000001</v>
      </c>
      <c r="H2605" s="1">
        <v>6.3910180000000004E-6</v>
      </c>
      <c r="I2605">
        <v>280.50560000000002</v>
      </c>
      <c r="J2605">
        <v>-199.32040000000001</v>
      </c>
      <c r="K2605">
        <v>1.1198840000000001</v>
      </c>
      <c r="L2605">
        <v>286.91390000000001</v>
      </c>
      <c r="M2605">
        <v>-0.65684359999999997</v>
      </c>
      <c r="N2605">
        <v>-1.262426E-2</v>
      </c>
      <c r="O2605">
        <v>-0.75392139999999996</v>
      </c>
      <c r="P2605">
        <v>-0.84359069999999903</v>
      </c>
      <c r="Q2605">
        <v>6.9774520000000007E-2</v>
      </c>
      <c r="R2605">
        <v>-0.53243479999999999</v>
      </c>
      <c r="S2605">
        <v>-2.4912260000000002</v>
      </c>
      <c r="T2605">
        <v>-0.29854849999999999</v>
      </c>
      <c r="U2605">
        <v>-1.7243040000000001</v>
      </c>
      <c r="V2605">
        <v>0.28660449999999998</v>
      </c>
      <c r="W2605">
        <v>8.0750500000000003E-2</v>
      </c>
      <c r="X2605">
        <v>0.95463989999999999</v>
      </c>
      <c r="Y2605">
        <v>0.2430657</v>
      </c>
      <c r="Z2605">
        <v>7.3520150000000006E-2</v>
      </c>
      <c r="AA2605">
        <v>0.96721970000000002</v>
      </c>
      <c r="AB2605">
        <v>8</v>
      </c>
      <c r="AC2605">
        <v>-9.2817000000000007</v>
      </c>
      <c r="AD2605">
        <v>-1.119877608982</v>
      </c>
      <c r="AE2605">
        <v>-6.4082999999999899</v>
      </c>
      <c r="AF2605">
        <v>2.7614204442460899</v>
      </c>
      <c r="AG2605">
        <v>-1.119877608982</v>
      </c>
      <c r="AH2605">
        <v>10.8221614267748</v>
      </c>
      <c r="AI2605">
        <v>95.725760549541505</v>
      </c>
      <c r="AJ2605">
        <v>75.685653302294099</v>
      </c>
      <c r="AK2605">
        <v>11.2249163327026</v>
      </c>
      <c r="AL2605">
        <v>85.368294490218901</v>
      </c>
      <c r="AM2605">
        <v>73.2890540331707</v>
      </c>
      <c r="AN2605">
        <v>1.00000006067125</v>
      </c>
    </row>
    <row r="2606" spans="1:40" x14ac:dyDescent="0.25">
      <c r="A2606" t="str">
        <f>"20190303161926304"</f>
        <v>20190303161926304</v>
      </c>
      <c r="B2606" t="str">
        <f>"1551601166294734"</f>
        <v>1551601166294734</v>
      </c>
      <c r="C2606" t="s">
        <v>40</v>
      </c>
      <c r="D2606">
        <v>5.085744</v>
      </c>
      <c r="E2606">
        <v>0.4844678</v>
      </c>
      <c r="F2606" t="s">
        <v>49</v>
      </c>
      <c r="G2606">
        <v>-208.30950000000001</v>
      </c>
      <c r="H2606" s="1">
        <v>6.2382839999999996E-6</v>
      </c>
      <c r="I2606">
        <v>280.76870000000002</v>
      </c>
      <c r="J2606">
        <v>-199.37520000000001</v>
      </c>
      <c r="K2606">
        <v>1.1198950000000001</v>
      </c>
      <c r="L2606">
        <v>286.86290000000002</v>
      </c>
      <c r="M2606">
        <v>-0.66172889999999995</v>
      </c>
      <c r="N2606">
        <v>-1.262287E-2</v>
      </c>
      <c r="O2606">
        <v>-0.74963709999999995</v>
      </c>
      <c r="P2606">
        <v>-0.84676689999999999</v>
      </c>
      <c r="Q2606">
        <v>7.0110889999999995E-2</v>
      </c>
      <c r="R2606">
        <v>-0.52732409999999996</v>
      </c>
      <c r="S2606">
        <v>-2.502335</v>
      </c>
      <c r="T2606">
        <v>-0.31174449999999998</v>
      </c>
      <c r="U2606">
        <v>-1.710663</v>
      </c>
      <c r="V2606">
        <v>0.28615269999999998</v>
      </c>
      <c r="W2606">
        <v>8.1090789999999996E-2</v>
      </c>
      <c r="X2606">
        <v>0.95474650000000005</v>
      </c>
      <c r="Y2606">
        <v>0.24208089999999999</v>
      </c>
      <c r="Z2606">
        <v>7.672669E-2</v>
      </c>
      <c r="AA2606">
        <v>0.96721760000000001</v>
      </c>
      <c r="AB2606">
        <v>8</v>
      </c>
      <c r="AC2606">
        <v>-8.9343000000000004</v>
      </c>
      <c r="AD2606">
        <v>-1.119888761716</v>
      </c>
      <c r="AE2606">
        <v>-6.0941999999999998</v>
      </c>
      <c r="AF2606">
        <v>2.6367134773653902</v>
      </c>
      <c r="AG2606">
        <v>-1.119888761716</v>
      </c>
      <c r="AH2606">
        <v>10.370159371799</v>
      </c>
      <c r="AI2606">
        <v>95.974902072611698</v>
      </c>
      <c r="AJ2606">
        <v>75.734282256793406</v>
      </c>
      <c r="AK2606">
        <v>10.7585600429076</v>
      </c>
      <c r="AL2606">
        <v>85.348732791457493</v>
      </c>
      <c r="AM2606">
        <v>73.315690990581402</v>
      </c>
      <c r="AN2606">
        <v>0.99999998160118098</v>
      </c>
    </row>
    <row r="2607" spans="1:40" x14ac:dyDescent="0.25">
      <c r="A2607" t="str">
        <f>"20190303161926326"</f>
        <v>20190303161926326</v>
      </c>
      <c r="B2607" t="str">
        <f>"1551601166315230"</f>
        <v>1551601166315230</v>
      </c>
      <c r="C2607" t="s">
        <v>40</v>
      </c>
      <c r="D2607">
        <v>5.2062650000000001</v>
      </c>
      <c r="E2607">
        <v>0.48513210000000001</v>
      </c>
      <c r="F2607" t="s">
        <v>49</v>
      </c>
      <c r="G2607">
        <v>-208.37020000000001</v>
      </c>
      <c r="H2607" s="1">
        <v>6.2613279999999996E-6</v>
      </c>
      <c r="I2607">
        <v>280.81290000000001</v>
      </c>
      <c r="J2607">
        <v>-199.4342</v>
      </c>
      <c r="K2607">
        <v>1.1198980000000001</v>
      </c>
      <c r="L2607">
        <v>286.80860000000001</v>
      </c>
      <c r="M2607">
        <v>-0.66694869999999995</v>
      </c>
      <c r="N2607">
        <v>-1.2621159999999999E-2</v>
      </c>
      <c r="O2607">
        <v>-0.74499689999999996</v>
      </c>
      <c r="P2607">
        <v>-0.85025740000000005</v>
      </c>
      <c r="Q2607">
        <v>6.9808250000000002E-2</v>
      </c>
      <c r="R2607">
        <v>-0.52171769999999995</v>
      </c>
      <c r="S2607">
        <v>-2.5152890000000001</v>
      </c>
      <c r="T2607">
        <v>-0.31315490000000001</v>
      </c>
      <c r="U2607">
        <v>-1.6917420000000001</v>
      </c>
      <c r="V2607">
        <v>0.28580850000000002</v>
      </c>
      <c r="W2607">
        <v>8.079327E-2</v>
      </c>
      <c r="X2607">
        <v>0.95487480000000002</v>
      </c>
      <c r="Y2607">
        <v>0.24260229999999999</v>
      </c>
      <c r="Z2607">
        <v>7.6784950000000005E-2</v>
      </c>
      <c r="AA2607">
        <v>0.96708229999999995</v>
      </c>
      <c r="AB2607">
        <v>8</v>
      </c>
      <c r="AC2607">
        <v>-8.9359999999999999</v>
      </c>
      <c r="AD2607">
        <v>-1.119891738672</v>
      </c>
      <c r="AE2607">
        <v>-5.9956999999999896</v>
      </c>
      <c r="AF2607">
        <v>2.6301935605703899</v>
      </c>
      <c r="AG2607">
        <v>-1.119891738672</v>
      </c>
      <c r="AH2607">
        <v>10.315737954912301</v>
      </c>
      <c r="AI2607">
        <v>96.005197949489698</v>
      </c>
      <c r="AJ2607">
        <v>75.696115004791906</v>
      </c>
      <c r="AK2607">
        <v>10.7045095743256</v>
      </c>
      <c r="AL2607">
        <v>85.365835483646407</v>
      </c>
      <c r="AM2607">
        <v>73.336761313216101</v>
      </c>
      <c r="AN2607">
        <v>0.99999996741229102</v>
      </c>
    </row>
    <row r="2608" spans="1:40" x14ac:dyDescent="0.25">
      <c r="A2608" t="str">
        <f>"20190303161926348"</f>
        <v>20190303161926348</v>
      </c>
      <c r="B2608" t="str">
        <f>"1551601166335257"</f>
        <v>1551601166335257</v>
      </c>
      <c r="C2608" t="s">
        <v>40</v>
      </c>
      <c r="D2608">
        <v>5.149356</v>
      </c>
      <c r="E2608">
        <v>0.48578870000000002</v>
      </c>
      <c r="F2608" t="s">
        <v>49</v>
      </c>
      <c r="G2608">
        <v>-208.43940000000001</v>
      </c>
      <c r="H2608" s="1">
        <v>6.2882950000000001E-6</v>
      </c>
      <c r="I2608">
        <v>280.85570000000001</v>
      </c>
      <c r="J2608">
        <v>-199.49459999999999</v>
      </c>
      <c r="K2608">
        <v>1.119907</v>
      </c>
      <c r="L2608">
        <v>286.75389999999999</v>
      </c>
      <c r="M2608">
        <v>-0.67222799999999905</v>
      </c>
      <c r="N2608">
        <v>-1.261929E-2</v>
      </c>
      <c r="O2608">
        <v>-0.74023669999999997</v>
      </c>
      <c r="P2608">
        <v>-0.85419159999999905</v>
      </c>
      <c r="Q2608">
        <v>6.9045410000000002E-2</v>
      </c>
      <c r="R2608">
        <v>-0.51535379999999997</v>
      </c>
      <c r="S2608">
        <v>-2.5285340000000001</v>
      </c>
      <c r="T2608">
        <v>-0.3144497</v>
      </c>
      <c r="U2608">
        <v>-1.67147799999999</v>
      </c>
      <c r="V2608">
        <v>0.28619319999999998</v>
      </c>
      <c r="W2608">
        <v>8.003043E-2</v>
      </c>
      <c r="X2608">
        <v>0.95482389999999995</v>
      </c>
      <c r="Y2608">
        <v>0.24341170000000001</v>
      </c>
      <c r="Z2608">
        <v>7.6819860000000004E-2</v>
      </c>
      <c r="AA2608">
        <v>0.96687610000000002</v>
      </c>
      <c r="AB2608">
        <v>8</v>
      </c>
      <c r="AC2608">
        <v>-8.9448000000000096</v>
      </c>
      <c r="AD2608">
        <v>-1.1199007117049999</v>
      </c>
      <c r="AE2608">
        <v>-5.8981999999999699</v>
      </c>
      <c r="AF2608">
        <v>2.6278361656554101</v>
      </c>
      <c r="AG2608">
        <v>-1.1199007117049999</v>
      </c>
      <c r="AH2608">
        <v>10.2676602668617</v>
      </c>
      <c r="AI2608">
        <v>96.031773346436097</v>
      </c>
      <c r="AJ2608">
        <v>75.644250142624898</v>
      </c>
      <c r="AK2608">
        <v>10.6576051659505</v>
      </c>
      <c r="AL2608">
        <v>85.409685369516495</v>
      </c>
      <c r="AM2608">
        <v>73.314738337811804</v>
      </c>
      <c r="AN2608">
        <v>1.00000004873171</v>
      </c>
    </row>
    <row r="2609" spans="1:40" x14ac:dyDescent="0.25">
      <c r="A2609" t="str">
        <f>"20190303161926371"</f>
        <v>20190303161926371</v>
      </c>
      <c r="B2609" t="str">
        <f>"1551601166365513"</f>
        <v>1551601166365513</v>
      </c>
      <c r="C2609" t="s">
        <v>40</v>
      </c>
      <c r="D2609">
        <v>5.1426980000000002</v>
      </c>
      <c r="E2609">
        <v>0.48633369999999998</v>
      </c>
      <c r="F2609" t="s">
        <v>49</v>
      </c>
      <c r="G2609">
        <v>-208.4256</v>
      </c>
      <c r="H2609" s="1">
        <v>6.2723330000000003E-6</v>
      </c>
      <c r="I2609">
        <v>280.96820000000002</v>
      </c>
      <c r="J2609">
        <v>-199.55529999999999</v>
      </c>
      <c r="K2609">
        <v>1.1199079999999999</v>
      </c>
      <c r="L2609">
        <v>286.69970000000001</v>
      </c>
      <c r="M2609">
        <v>-0.67747159999999995</v>
      </c>
      <c r="N2609">
        <v>-1.2616809999999999E-2</v>
      </c>
      <c r="O2609">
        <v>-0.73544089999999995</v>
      </c>
      <c r="P2609">
        <v>-0.85838579999999998</v>
      </c>
      <c r="Q2609">
        <v>6.9548830000000006E-2</v>
      </c>
      <c r="R2609">
        <v>-0.50826899999999997</v>
      </c>
      <c r="S2609">
        <v>-2.5436860000000001</v>
      </c>
      <c r="T2609">
        <v>-0.31896529999999901</v>
      </c>
      <c r="U2609">
        <v>-1.647858</v>
      </c>
      <c r="V2609">
        <v>0.28727909999999901</v>
      </c>
      <c r="W2609">
        <v>8.0527119999999994E-2</v>
      </c>
      <c r="X2609">
        <v>0.95445590000000002</v>
      </c>
      <c r="Y2609">
        <v>0.24537249999999999</v>
      </c>
      <c r="Z2609">
        <v>7.7758980000000005E-2</v>
      </c>
      <c r="AA2609">
        <v>0.96630530000000003</v>
      </c>
      <c r="AB2609">
        <v>8</v>
      </c>
      <c r="AC2609">
        <v>-8.8703000000000092</v>
      </c>
      <c r="AD2609">
        <v>-1.11990172766699</v>
      </c>
      <c r="AE2609">
        <v>-5.7314999999999801</v>
      </c>
      <c r="AF2609">
        <v>2.6114965278231002</v>
      </c>
      <c r="AG2609">
        <v>-1.11990172766699</v>
      </c>
      <c r="AH2609">
        <v>10.1116628021938</v>
      </c>
      <c r="AI2609">
        <v>96.120714392097895</v>
      </c>
      <c r="AJ2609">
        <v>75.518894625857499</v>
      </c>
      <c r="AK2609">
        <v>10.5033241699822</v>
      </c>
      <c r="AL2609">
        <v>85.381134671810599</v>
      </c>
      <c r="AM2609">
        <v>73.248872755216894</v>
      </c>
      <c r="AN2609">
        <v>0.99999998169855697</v>
      </c>
    </row>
    <row r="2610" spans="1:40" x14ac:dyDescent="0.25">
      <c r="A2610" t="str">
        <f>"20190303161926392"</f>
        <v>20190303161926392</v>
      </c>
      <c r="B2610" t="str">
        <f>"1551601166385034"</f>
        <v>1551601166385034</v>
      </c>
      <c r="C2610" t="s">
        <v>40</v>
      </c>
      <c r="D2610">
        <v>5.2010329999999998</v>
      </c>
      <c r="E2610">
        <v>0.4865293</v>
      </c>
      <c r="F2610" t="s">
        <v>49</v>
      </c>
      <c r="G2610">
        <v>-208.5428</v>
      </c>
      <c r="H2610" s="1">
        <v>6.3213760000000003E-6</v>
      </c>
      <c r="I2610">
        <v>281.00150000000002</v>
      </c>
      <c r="J2610">
        <v>-199.61600000000001</v>
      </c>
      <c r="K2610">
        <v>1.119918</v>
      </c>
      <c r="L2610">
        <v>286.6463</v>
      </c>
      <c r="M2610">
        <v>-0.6826584</v>
      </c>
      <c r="N2610">
        <v>-1.261398E-2</v>
      </c>
      <c r="O2610">
        <v>-0.73062899999999997</v>
      </c>
      <c r="P2610">
        <v>-0.86219760000000001</v>
      </c>
      <c r="Q2610">
        <v>6.9960939999999999E-2</v>
      </c>
      <c r="R2610">
        <v>-0.5017182</v>
      </c>
      <c r="S2610">
        <v>-2.5597989999999999</v>
      </c>
      <c r="T2610">
        <v>-0.31896819999999998</v>
      </c>
      <c r="U2610">
        <v>-1.6229549999999999</v>
      </c>
      <c r="V2610">
        <v>0.28776940000000001</v>
      </c>
      <c r="W2610">
        <v>8.0938239999999995E-2</v>
      </c>
      <c r="X2610">
        <v>0.9542735</v>
      </c>
      <c r="Y2610">
        <v>0.247977</v>
      </c>
      <c r="Z2610">
        <v>7.7501239999999999E-2</v>
      </c>
      <c r="AA2610">
        <v>0.96566090000000004</v>
      </c>
      <c r="AB2610">
        <v>8</v>
      </c>
      <c r="AC2610">
        <v>-8.9268000000000107</v>
      </c>
      <c r="AD2610">
        <v>-1.119911678624</v>
      </c>
      <c r="AE2610">
        <v>-5.6447999999999698</v>
      </c>
      <c r="AF2610">
        <v>2.6392469809168002</v>
      </c>
      <c r="AG2610">
        <v>-1.119911678624</v>
      </c>
      <c r="AH2610">
        <v>10.1054032514865</v>
      </c>
      <c r="AI2610">
        <v>96.1202348648157</v>
      </c>
      <c r="AJ2610">
        <v>75.362910488965994</v>
      </c>
      <c r="AK2610">
        <v>10.504237319736699</v>
      </c>
      <c r="AL2610">
        <v>85.357502497292401</v>
      </c>
      <c r="AM2610">
        <v>73.218862179761601</v>
      </c>
      <c r="AN2610">
        <v>1.0000000695364499</v>
      </c>
    </row>
    <row r="2611" spans="1:40" x14ac:dyDescent="0.25">
      <c r="A2611" t="str">
        <f>"20190303161926416"</f>
        <v>20190303161926416</v>
      </c>
      <c r="B2611" t="str">
        <f>"1551601166405529"</f>
        <v>1551601166405529</v>
      </c>
      <c r="C2611" t="s">
        <v>40</v>
      </c>
      <c r="D2611">
        <v>5.2110539999999999</v>
      </c>
      <c r="E2611">
        <v>0.4866065</v>
      </c>
      <c r="F2611" t="s">
        <v>49</v>
      </c>
      <c r="G2611">
        <v>-208.6617</v>
      </c>
      <c r="H2611" s="1">
        <v>6.3729369999999898E-6</v>
      </c>
      <c r="I2611">
        <v>281.01519999999999</v>
      </c>
      <c r="J2611">
        <v>-199.6781</v>
      </c>
      <c r="K2611">
        <v>1.1199239999999999</v>
      </c>
      <c r="L2611">
        <v>286.59249999999997</v>
      </c>
      <c r="M2611">
        <v>-0.68789400000000001</v>
      </c>
      <c r="N2611">
        <v>-1.2610710000000001E-2</v>
      </c>
      <c r="O2611">
        <v>-0.72570159999999995</v>
      </c>
      <c r="P2611">
        <v>-0.86576239999999904</v>
      </c>
      <c r="Q2611">
        <v>7.0490079999999997E-2</v>
      </c>
      <c r="R2611">
        <v>-0.49546649999999998</v>
      </c>
      <c r="S2611">
        <v>-2.5731959999999998</v>
      </c>
      <c r="T2611">
        <v>-0.31857649999999998</v>
      </c>
      <c r="U2611">
        <v>-1.6018680000000001</v>
      </c>
      <c r="V2611">
        <v>0.28778219999999999</v>
      </c>
      <c r="W2611">
        <v>8.1469570000000005E-2</v>
      </c>
      <c r="X2611">
        <v>0.95422430000000003</v>
      </c>
      <c r="Y2611">
        <v>0.24899479999999999</v>
      </c>
      <c r="Z2611">
        <v>7.7063690000000004E-2</v>
      </c>
      <c r="AA2611">
        <v>0.96543400000000001</v>
      </c>
      <c r="AB2611">
        <v>8</v>
      </c>
      <c r="AC2611">
        <v>-8.9835999999999903</v>
      </c>
      <c r="AD2611">
        <v>-1.119917627063</v>
      </c>
      <c r="AE2611">
        <v>-5.5772999999999797</v>
      </c>
      <c r="AF2611">
        <v>2.65327262594678</v>
      </c>
      <c r="AG2611">
        <v>-1.119917627063</v>
      </c>
      <c r="AH2611">
        <v>10.1145757031145</v>
      </c>
      <c r="AI2611">
        <v>96.113049954820497</v>
      </c>
      <c r="AJ2611">
        <v>75.301254156359306</v>
      </c>
      <c r="AK2611">
        <v>10.516592260473001</v>
      </c>
      <c r="AL2611">
        <v>85.326958102394698</v>
      </c>
      <c r="AM2611">
        <v>73.217341090476097</v>
      </c>
      <c r="AN2611">
        <v>0.99999995009165599</v>
      </c>
    </row>
    <row r="2612" spans="1:40" x14ac:dyDescent="0.25">
      <c r="A2612" t="str">
        <f>"20190303161926438"</f>
        <v>20190303161926438</v>
      </c>
      <c r="B2612" t="str">
        <f>"1551601166425559"</f>
        <v>1551601166425559</v>
      </c>
      <c r="C2612" t="s">
        <v>40</v>
      </c>
      <c r="D2612">
        <v>5.1490519999999904</v>
      </c>
      <c r="E2612">
        <v>0.48667719999999998</v>
      </c>
      <c r="F2612" t="s">
        <v>49</v>
      </c>
      <c r="G2612">
        <v>-208.7722</v>
      </c>
      <c r="H2612" s="1">
        <v>6.4208350000000003E-6</v>
      </c>
      <c r="I2612">
        <v>281.02780000000001</v>
      </c>
      <c r="J2612">
        <v>-199.73830000000001</v>
      </c>
      <c r="K2612">
        <v>1.1199300000000001</v>
      </c>
      <c r="L2612">
        <v>286.541</v>
      </c>
      <c r="M2612">
        <v>-0.69291530000000001</v>
      </c>
      <c r="N2612">
        <v>-1.260766E-2</v>
      </c>
      <c r="O2612">
        <v>-0.72090880000000002</v>
      </c>
      <c r="P2612">
        <v>-0.86842980000000003</v>
      </c>
      <c r="Q2612">
        <v>7.1388469999999996E-2</v>
      </c>
      <c r="R2612">
        <v>-0.49064600000000003</v>
      </c>
      <c r="S2612">
        <v>-2.5856319999999999</v>
      </c>
      <c r="T2612">
        <v>-0.31841219999999998</v>
      </c>
      <c r="U2612">
        <v>-1.5821529999999999</v>
      </c>
      <c r="V2612">
        <v>0.28640959999999899</v>
      </c>
      <c r="W2612">
        <v>8.2378690000000004E-2</v>
      </c>
      <c r="X2612">
        <v>0.95455919999999905</v>
      </c>
      <c r="Y2612">
        <v>0.2497144</v>
      </c>
      <c r="Z2612">
        <v>7.6681200000000005E-2</v>
      </c>
      <c r="AA2612">
        <v>0.96527859999999999</v>
      </c>
      <c r="AB2612">
        <v>8</v>
      </c>
      <c r="AC2612">
        <v>-9.0338999999999796</v>
      </c>
      <c r="AD2612">
        <v>-1.119923579165</v>
      </c>
      <c r="AE2612">
        <v>-5.5131999999999799</v>
      </c>
      <c r="AF2612">
        <v>2.6628334267320701</v>
      </c>
      <c r="AG2612">
        <v>-1.119923579165</v>
      </c>
      <c r="AH2612">
        <v>10.1217141516372</v>
      </c>
      <c r="AI2612">
        <v>96.107671944000003</v>
      </c>
      <c r="AJ2612">
        <v>75.260543101230496</v>
      </c>
      <c r="AK2612">
        <v>10.5258732677695</v>
      </c>
      <c r="AL2612">
        <v>85.274693850019602</v>
      </c>
      <c r="AM2612">
        <v>73.298451780709897</v>
      </c>
      <c r="AN2612">
        <v>0.99999998692145697</v>
      </c>
    </row>
    <row r="2613" spans="1:40" x14ac:dyDescent="0.25">
      <c r="A2613" t="str">
        <f>"20190303161926460"</f>
        <v>20190303161926460</v>
      </c>
      <c r="B2613" t="str">
        <f>"1551601166445076"</f>
        <v>1551601166445076</v>
      </c>
      <c r="C2613" t="s">
        <v>40</v>
      </c>
      <c r="D2613">
        <v>5.0934569999999999</v>
      </c>
      <c r="E2613">
        <v>0.4867052</v>
      </c>
      <c r="F2613" t="s">
        <v>49</v>
      </c>
      <c r="G2613">
        <v>-208.9425</v>
      </c>
      <c r="H2613" s="1">
        <v>6.5001870000000003E-6</v>
      </c>
      <c r="I2613">
        <v>280.98360000000002</v>
      </c>
      <c r="J2613">
        <v>-199.8014</v>
      </c>
      <c r="K2613">
        <v>1.119942</v>
      </c>
      <c r="L2613">
        <v>286.48779999999999</v>
      </c>
      <c r="M2613">
        <v>-0.69812039999999997</v>
      </c>
      <c r="N2613">
        <v>-1.2604819999999999E-2</v>
      </c>
      <c r="O2613">
        <v>-0.71586949999999905</v>
      </c>
      <c r="P2613">
        <v>-0.87075389999999997</v>
      </c>
      <c r="Q2613">
        <v>7.3322830000000006E-2</v>
      </c>
      <c r="R2613">
        <v>-0.48622199999999999</v>
      </c>
      <c r="S2613">
        <v>-2.5951689999999998</v>
      </c>
      <c r="T2613">
        <v>-0.31576850000000001</v>
      </c>
      <c r="U2613">
        <v>-1.566956</v>
      </c>
      <c r="V2613">
        <v>0.28423789999999999</v>
      </c>
      <c r="W2613">
        <v>8.4327879999999994E-2</v>
      </c>
      <c r="X2613">
        <v>0.95503800000000005</v>
      </c>
      <c r="Y2613">
        <v>0.2484982</v>
      </c>
      <c r="Z2613">
        <v>7.5545029999999999E-2</v>
      </c>
      <c r="AA2613">
        <v>0.96568200000000004</v>
      </c>
      <c r="AB2613">
        <v>8</v>
      </c>
      <c r="AC2613">
        <v>-9.1410999999999891</v>
      </c>
      <c r="AD2613">
        <v>-1.119935499813</v>
      </c>
      <c r="AE2613">
        <v>-5.50419999999996</v>
      </c>
      <c r="AF2613">
        <v>2.6720194355687998</v>
      </c>
      <c r="AG2613">
        <v>-1.119935499813</v>
      </c>
      <c r="AH2613">
        <v>10.2102193228292</v>
      </c>
      <c r="AI2613">
        <v>96.057225440420098</v>
      </c>
      <c r="AJ2613">
        <v>75.334559854928202</v>
      </c>
      <c r="AK2613">
        <v>10.613318143166801</v>
      </c>
      <c r="AL2613">
        <v>85.162623429865207</v>
      </c>
      <c r="AM2613">
        <v>73.425970198465293</v>
      </c>
      <c r="AN2613">
        <v>0.99999997829285103</v>
      </c>
    </row>
    <row r="2614" spans="1:40" x14ac:dyDescent="0.25">
      <c r="A2614" t="str">
        <f>"20190303161926486"</f>
        <v>20190303161926486</v>
      </c>
      <c r="B2614" t="str">
        <f>"1551601166475332"</f>
        <v>1551601166475332</v>
      </c>
      <c r="C2614" t="s">
        <v>40</v>
      </c>
      <c r="D2614">
        <v>5.0301489999999998</v>
      </c>
      <c r="E2614">
        <v>0.48670370000000002</v>
      </c>
      <c r="F2614" t="s">
        <v>49</v>
      </c>
      <c r="G2614">
        <v>-209.20480000000001</v>
      </c>
      <c r="H2614" s="1">
        <v>6.6257279999999999E-6</v>
      </c>
      <c r="I2614">
        <v>280.87849999999997</v>
      </c>
      <c r="J2614">
        <v>-199.8699</v>
      </c>
      <c r="K2614">
        <v>1.1199509999999999</v>
      </c>
      <c r="L2614">
        <v>286.43090000000001</v>
      </c>
      <c r="M2614">
        <v>-0.70370319999999997</v>
      </c>
      <c r="N2614">
        <v>-1.26023E-2</v>
      </c>
      <c r="O2614">
        <v>-0.71038230000000002</v>
      </c>
      <c r="P2614">
        <v>-0.87334999999999996</v>
      </c>
      <c r="Q2614">
        <v>7.5797039999999996E-2</v>
      </c>
      <c r="R2614">
        <v>-0.48115989999999997</v>
      </c>
      <c r="S2614">
        <v>-2.604034</v>
      </c>
      <c r="T2614">
        <v>-0.31013689999999999</v>
      </c>
      <c r="U2614">
        <v>-1.553345</v>
      </c>
      <c r="V2614">
        <v>0.28216000000000002</v>
      </c>
      <c r="W2614">
        <v>8.6814470000000005E-2</v>
      </c>
      <c r="X2614">
        <v>0.95543129999999998</v>
      </c>
      <c r="Y2614">
        <v>0.24624670000000001</v>
      </c>
      <c r="Z2614">
        <v>7.3549290000000003E-2</v>
      </c>
      <c r="AA2614">
        <v>0.96641250000000001</v>
      </c>
      <c r="AB2614">
        <v>8</v>
      </c>
      <c r="AC2614">
        <v>-9.3348999999999993</v>
      </c>
      <c r="AD2614">
        <v>-1.1199443742720001</v>
      </c>
      <c r="AE2614">
        <v>-5.5524000000000298</v>
      </c>
      <c r="AF2614">
        <v>2.6956615823466601</v>
      </c>
      <c r="AG2614">
        <v>-1.1199443742720001</v>
      </c>
      <c r="AH2614">
        <v>10.403547905096399</v>
      </c>
      <c r="AI2614">
        <v>95.949255447059301</v>
      </c>
      <c r="AJ2614">
        <v>75.473567370778099</v>
      </c>
      <c r="AK2614">
        <v>10.805307759691001</v>
      </c>
      <c r="AL2614">
        <v>85.019627852599896</v>
      </c>
      <c r="AM2614">
        <v>73.546963538633406</v>
      </c>
      <c r="AN2614">
        <v>0.99999999341053503</v>
      </c>
    </row>
    <row r="2615" spans="1:40" x14ac:dyDescent="0.25">
      <c r="A2615" t="str">
        <f>"20190303161926507"</f>
        <v>20190303161926507</v>
      </c>
      <c r="B2615" t="str">
        <f>"1551601166494852"</f>
        <v>1551601166494852</v>
      </c>
      <c r="C2615" t="s">
        <v>40</v>
      </c>
      <c r="D2615">
        <v>5.0375290000000001</v>
      </c>
      <c r="E2615">
        <v>0.48672910000000003</v>
      </c>
      <c r="F2615" t="s">
        <v>49</v>
      </c>
      <c r="G2615">
        <v>-209.51509999999999</v>
      </c>
      <c r="H2615" s="1">
        <v>6.7744020000000004E-6</v>
      </c>
      <c r="I2615">
        <v>280.7518</v>
      </c>
      <c r="J2615">
        <v>-199.9308</v>
      </c>
      <c r="K2615">
        <v>1.1199589999999999</v>
      </c>
      <c r="L2615">
        <v>286.38119999999998</v>
      </c>
      <c r="M2615">
        <v>-0.70860249999999902</v>
      </c>
      <c r="N2615">
        <v>-1.260052E-2</v>
      </c>
      <c r="O2615">
        <v>-0.70549549999999905</v>
      </c>
      <c r="P2615">
        <v>-0.87556199999999995</v>
      </c>
      <c r="Q2615">
        <v>7.6958070000000003E-2</v>
      </c>
      <c r="R2615">
        <v>-0.47693720000000001</v>
      </c>
      <c r="S2615">
        <v>-2.613556</v>
      </c>
      <c r="T2615">
        <v>-0.30347109999999999</v>
      </c>
      <c r="U2615">
        <v>-1.5388790000000001</v>
      </c>
      <c r="V2615">
        <v>0.2800917</v>
      </c>
      <c r="W2615">
        <v>8.7987770000000007E-2</v>
      </c>
      <c r="X2615">
        <v>0.95593240000000002</v>
      </c>
      <c r="Y2615">
        <v>0.24522749999999999</v>
      </c>
      <c r="Z2615">
        <v>7.1393070000000003E-2</v>
      </c>
      <c r="AA2615">
        <v>0.96683319999999995</v>
      </c>
      <c r="AB2615">
        <v>8</v>
      </c>
      <c r="AC2615">
        <v>-9.5842999999999794</v>
      </c>
      <c r="AD2615">
        <v>-1.1199522255979999</v>
      </c>
      <c r="AE2615">
        <v>-5.6293999999999702</v>
      </c>
      <c r="AF2615">
        <v>2.7450254687828899</v>
      </c>
      <c r="AG2615">
        <v>-1.1199522255979999</v>
      </c>
      <c r="AH2615">
        <v>10.655650656243299</v>
      </c>
      <c r="AI2615">
        <v>95.8116095247602</v>
      </c>
      <c r="AJ2615">
        <v>75.554006907390004</v>
      </c>
      <c r="AK2615">
        <v>11.060395504672799</v>
      </c>
      <c r="AL2615">
        <v>84.952144400435003</v>
      </c>
      <c r="AM2615">
        <v>73.669221928005101</v>
      </c>
      <c r="AN2615">
        <v>0.999999980724111</v>
      </c>
    </row>
    <row r="2616" spans="1:40" x14ac:dyDescent="0.25">
      <c r="A2616" t="str">
        <f>"20190303161926528"</f>
        <v>20190303161926528</v>
      </c>
      <c r="B2616" t="str">
        <f>"1551601166515348"</f>
        <v>1551601166515348</v>
      </c>
      <c r="C2616" t="s">
        <v>40</v>
      </c>
      <c r="D2616">
        <v>4.9664989999999998</v>
      </c>
      <c r="E2616">
        <v>0.4868169</v>
      </c>
      <c r="F2616" t="s">
        <v>49</v>
      </c>
      <c r="G2616">
        <v>-209.6883</v>
      </c>
      <c r="H2616" s="1">
        <v>6.8556239999999999E-6</v>
      </c>
      <c r="I2616">
        <v>280.70100000000002</v>
      </c>
      <c r="J2616">
        <v>-199.9906</v>
      </c>
      <c r="K2616">
        <v>1.11996299999999</v>
      </c>
      <c r="L2616">
        <v>286.3331</v>
      </c>
      <c r="M2616">
        <v>-0.7133543</v>
      </c>
      <c r="N2616">
        <v>-1.2598959999999999E-2</v>
      </c>
      <c r="O2616">
        <v>-0.70069059999999905</v>
      </c>
      <c r="P2616">
        <v>-0.87775740000000002</v>
      </c>
      <c r="Q2616">
        <v>7.6958479999999996E-2</v>
      </c>
      <c r="R2616">
        <v>-0.47288439999999998</v>
      </c>
      <c r="S2616">
        <v>-2.621521</v>
      </c>
      <c r="T2616">
        <v>-0.30089690000000002</v>
      </c>
      <c r="U2616">
        <v>-1.5260929999999999</v>
      </c>
      <c r="V2616">
        <v>0.27804770000000001</v>
      </c>
      <c r="W2616">
        <v>8.8001529999999994E-2</v>
      </c>
      <c r="X2616">
        <v>0.95652769999999998</v>
      </c>
      <c r="Y2616">
        <v>0.2435562</v>
      </c>
      <c r="Z2616">
        <v>7.0298990000000006E-2</v>
      </c>
      <c r="AA2616">
        <v>0.96733570000000002</v>
      </c>
      <c r="AB2616">
        <v>8</v>
      </c>
      <c r="AC2616">
        <v>-9.6976999999999904</v>
      </c>
      <c r="AD2616">
        <v>-1.11995614437599</v>
      </c>
      <c r="AE2616">
        <v>-5.6321000000000296</v>
      </c>
      <c r="AF2616">
        <v>2.7501958360376202</v>
      </c>
      <c r="AG2616">
        <v>-1.11995614437599</v>
      </c>
      <c r="AH2616">
        <v>10.7578246281182</v>
      </c>
      <c r="AI2616">
        <v>95.759512915720506</v>
      </c>
      <c r="AJ2616">
        <v>75.659695283266998</v>
      </c>
      <c r="AK2616">
        <v>11.1601375274335</v>
      </c>
      <c r="AL2616">
        <v>84.951353123048605</v>
      </c>
      <c r="AM2616">
        <v>73.791675305187297</v>
      </c>
      <c r="AN2616">
        <v>1.0000000168124601</v>
      </c>
    </row>
    <row r="2617" spans="1:40" x14ac:dyDescent="0.25">
      <c r="A2617" t="str">
        <f>"20190303161926549"</f>
        <v>20190303161926549</v>
      </c>
      <c r="B2617" t="str">
        <f>"1551601166544627"</f>
        <v>1551601166544627</v>
      </c>
      <c r="C2617" t="s">
        <v>40</v>
      </c>
      <c r="D2617">
        <v>4.8285770000000001</v>
      </c>
      <c r="E2617">
        <v>0.5196788</v>
      </c>
      <c r="F2617" t="s">
        <v>49</v>
      </c>
      <c r="G2617">
        <v>-209.77799999999999</v>
      </c>
      <c r="H2617" s="1">
        <v>6.895467E-6</v>
      </c>
      <c r="I2617">
        <v>280.7004</v>
      </c>
      <c r="J2617">
        <v>-200.05090000000001</v>
      </c>
      <c r="K2617">
        <v>1.1199619999999999</v>
      </c>
      <c r="L2617">
        <v>286.28530000000001</v>
      </c>
      <c r="M2617">
        <v>-0.7180995</v>
      </c>
      <c r="N2617">
        <v>-1.259763E-2</v>
      </c>
      <c r="O2617">
        <v>-0.69582650000000001</v>
      </c>
      <c r="P2617">
        <v>-0.87982640000000001</v>
      </c>
      <c r="Q2617">
        <v>7.7678849999999994E-2</v>
      </c>
      <c r="R2617">
        <v>-0.46890510000000002</v>
      </c>
      <c r="S2617">
        <v>-2.6290589999999998</v>
      </c>
      <c r="T2617">
        <v>-0.30083779999999999</v>
      </c>
      <c r="U2617">
        <v>-1.513031</v>
      </c>
      <c r="V2617">
        <v>0.27583400000000002</v>
      </c>
      <c r="W2617">
        <v>8.873586E-2</v>
      </c>
      <c r="X2617">
        <v>0.95710059999999997</v>
      </c>
      <c r="Y2617">
        <v>0.2417975</v>
      </c>
      <c r="Z2617">
        <v>6.9858219999999999E-2</v>
      </c>
      <c r="AA2617">
        <v>0.96780880000000002</v>
      </c>
      <c r="AB2617">
        <v>8</v>
      </c>
      <c r="AC2617">
        <v>-9.7270999999999805</v>
      </c>
      <c r="AD2617">
        <v>-1.1199551045330001</v>
      </c>
      <c r="AE2617">
        <v>-5.5849000000000002</v>
      </c>
      <c r="AF2617">
        <v>2.7308522114734899</v>
      </c>
      <c r="AG2617">
        <v>-1.1199551045330001</v>
      </c>
      <c r="AH2617">
        <v>10.764685467197699</v>
      </c>
      <c r="AI2617">
        <v>95.758541831109397</v>
      </c>
      <c r="AJ2617">
        <v>75.765149327357193</v>
      </c>
      <c r="AK2617">
        <v>11.162002797203399</v>
      </c>
      <c r="AL2617">
        <v>84.909113797906997</v>
      </c>
      <c r="AM2617">
        <v>73.923150806403399</v>
      </c>
      <c r="AN2617">
        <v>1.00000000346314</v>
      </c>
    </row>
    <row r="2618" spans="1:40" x14ac:dyDescent="0.25">
      <c r="A2618" t="str">
        <f>"20190303161926571"</f>
        <v>20190303161926571</v>
      </c>
      <c r="B2618" t="str">
        <f>"1551601166565124"</f>
        <v>1551601166565124</v>
      </c>
      <c r="C2618" t="s">
        <v>40</v>
      </c>
      <c r="D2618">
        <v>4.8098419999999997</v>
      </c>
      <c r="E2618">
        <v>0.5837234</v>
      </c>
      <c r="F2618" t="s">
        <v>52</v>
      </c>
      <c r="G2618">
        <v>-215.00620000000001</v>
      </c>
      <c r="H2618">
        <v>8.0001459999999996E-2</v>
      </c>
      <c r="I2618">
        <v>279.37990000000002</v>
      </c>
      <c r="J2618">
        <v>-200.11519999999999</v>
      </c>
      <c r="K2618">
        <v>1.1199730000000001</v>
      </c>
      <c r="L2618">
        <v>286.23500000000001</v>
      </c>
      <c r="M2618">
        <v>-0.72310289999999999</v>
      </c>
      <c r="N2618">
        <v>-1.259629E-2</v>
      </c>
      <c r="O2618">
        <v>-0.69062570000000001</v>
      </c>
      <c r="P2618">
        <v>-0.88255969999999995</v>
      </c>
      <c r="Q2618">
        <v>7.8945360000000006E-2</v>
      </c>
      <c r="R2618">
        <v>-0.46352599999999999</v>
      </c>
      <c r="S2618">
        <v>-2.7499389999999999</v>
      </c>
      <c r="T2618">
        <v>-0.19122420000000001</v>
      </c>
      <c r="U2618">
        <v>-1.2697449999999999</v>
      </c>
      <c r="V2618">
        <v>0.27469379999999999</v>
      </c>
      <c r="W2618">
        <v>9.0008660000000004E-2</v>
      </c>
      <c r="X2618">
        <v>0.95730970000000004</v>
      </c>
      <c r="Y2618">
        <v>0.3225691</v>
      </c>
      <c r="Z2618">
        <v>4.391958E-2</v>
      </c>
      <c r="AA2618">
        <v>0.94552639999999999</v>
      </c>
      <c r="AB2618">
        <v>8</v>
      </c>
      <c r="AC2618">
        <v>-14.891</v>
      </c>
      <c r="AD2618">
        <v>-1.03997153999999</v>
      </c>
      <c r="AE2618">
        <v>-6.8550999999999904</v>
      </c>
      <c r="AF2618">
        <v>5.3062310905293204</v>
      </c>
      <c r="AG2618">
        <v>-1.03997153999999</v>
      </c>
      <c r="AH2618">
        <v>15.441117042359</v>
      </c>
      <c r="AI2618">
        <v>93.644522295272495</v>
      </c>
      <c r="AJ2618">
        <v>71.035077453324604</v>
      </c>
      <c r="AK2618">
        <v>16.360492801439101</v>
      </c>
      <c r="AL2618">
        <v>84.835894975844198</v>
      </c>
      <c r="AM2618">
        <v>73.989511625547607</v>
      </c>
      <c r="AN2618">
        <v>1.00000005217376</v>
      </c>
    </row>
    <row r="2619" spans="1:40" x14ac:dyDescent="0.25">
      <c r="A2619" t="str">
        <f>"20190303161926594"</f>
        <v>20190303161926594</v>
      </c>
      <c r="B2619" t="str">
        <f>"1551601166584644"</f>
        <v>1551601166584644</v>
      </c>
      <c r="C2619" t="s">
        <v>40</v>
      </c>
      <c r="D2619">
        <v>4.9036280000000003</v>
      </c>
      <c r="E2619">
        <v>0.58333559999999995</v>
      </c>
      <c r="F2619" t="s">
        <v>52</v>
      </c>
      <c r="G2619">
        <v>-215.15809999999999</v>
      </c>
      <c r="H2619" s="1">
        <v>1.2081149999999999E-6</v>
      </c>
      <c r="I2619">
        <v>282.21280000000002</v>
      </c>
      <c r="J2619">
        <v>-200.17830000000001</v>
      </c>
      <c r="K2619">
        <v>1.119983</v>
      </c>
      <c r="L2619">
        <v>286.18630000000002</v>
      </c>
      <c r="M2619">
        <v>-0.72796139999999998</v>
      </c>
      <c r="N2619">
        <v>-1.259482E-2</v>
      </c>
      <c r="O2619">
        <v>-0.68550250000000001</v>
      </c>
      <c r="P2619">
        <v>-0.88528899999999999</v>
      </c>
      <c r="Q2619">
        <v>7.9744800000000005E-2</v>
      </c>
      <c r="R2619">
        <v>-0.45815359999999999</v>
      </c>
      <c r="S2619">
        <v>-2.998138</v>
      </c>
      <c r="T2619">
        <v>-0.22321569999999999</v>
      </c>
      <c r="U2619">
        <v>-0.80163569999999995</v>
      </c>
      <c r="V2619">
        <v>0.27370430000000001</v>
      </c>
      <c r="W2619">
        <v>9.0815019999999996E-2</v>
      </c>
      <c r="X2619">
        <v>0.95751679999999995</v>
      </c>
      <c r="Y2619">
        <v>0.47200199999999998</v>
      </c>
      <c r="Z2619">
        <v>5.6023749999999997E-2</v>
      </c>
      <c r="AA2619">
        <v>0.87981559999999903</v>
      </c>
      <c r="AB2619">
        <v>8</v>
      </c>
      <c r="AC2619">
        <v>-14.9797999999999</v>
      </c>
      <c r="AD2619">
        <v>-1.1199817918849999</v>
      </c>
      <c r="AE2619">
        <v>-3.9735</v>
      </c>
      <c r="AF2619">
        <v>7.3383955780964003</v>
      </c>
      <c r="AG2619">
        <v>-1.1199817918849999</v>
      </c>
      <c r="AH2619">
        <v>13.558829557113899</v>
      </c>
      <c r="AI2619">
        <v>94.154917035904404</v>
      </c>
      <c r="AJ2619">
        <v>61.5765811603411</v>
      </c>
      <c r="AK2619">
        <v>15.457951605359799</v>
      </c>
      <c r="AL2619">
        <v>84.789503249742594</v>
      </c>
      <c r="AM2619">
        <v>74.047519205222301</v>
      </c>
      <c r="AN2619">
        <v>0.99999991698916102</v>
      </c>
    </row>
    <row r="2620" spans="1:40" x14ac:dyDescent="0.25">
      <c r="A2620" t="str">
        <f>"20190303161926617"</f>
        <v>20190303161926617</v>
      </c>
      <c r="B2620" t="str">
        <f>"1551601166605140"</f>
        <v>1551601166605140</v>
      </c>
      <c r="C2620" t="s">
        <v>40</v>
      </c>
      <c r="D2620">
        <v>4.8841330000000003</v>
      </c>
      <c r="E2620">
        <v>0.58206559999999996</v>
      </c>
      <c r="F2620" t="s">
        <v>52</v>
      </c>
      <c r="G2620">
        <v>-211.2998</v>
      </c>
      <c r="H2620" s="1">
        <v>-8.4511669999999998E-7</v>
      </c>
      <c r="I2620">
        <v>283.27370000000002</v>
      </c>
      <c r="J2620">
        <v>-200.24379999999999</v>
      </c>
      <c r="K2620">
        <v>1.119993</v>
      </c>
      <c r="L2620">
        <v>286.13650000000001</v>
      </c>
      <c r="M2620">
        <v>-0.73293439999999999</v>
      </c>
      <c r="N2620">
        <v>-1.259298E-2</v>
      </c>
      <c r="O2620">
        <v>-0.68018269999999903</v>
      </c>
      <c r="P2620">
        <v>-0.88774809999999904</v>
      </c>
      <c r="Q2620">
        <v>8.0809339999999993E-2</v>
      </c>
      <c r="R2620">
        <v>-0.45318150000000001</v>
      </c>
      <c r="S2620">
        <v>-3.008286</v>
      </c>
      <c r="T2620">
        <v>-0.30294910000000003</v>
      </c>
      <c r="U2620">
        <v>-0.78784180000000004</v>
      </c>
      <c r="V2620">
        <v>0.2720361</v>
      </c>
      <c r="W2620">
        <v>9.1891009999999995E-2</v>
      </c>
      <c r="X2620">
        <v>0.95788960000000001</v>
      </c>
      <c r="Y2620">
        <v>0.46811059999999999</v>
      </c>
      <c r="Z2620">
        <v>7.7525650000000002E-2</v>
      </c>
      <c r="AA2620">
        <v>0.88026260000000001</v>
      </c>
      <c r="AB2620">
        <v>8</v>
      </c>
      <c r="AC2620">
        <v>-11.055999999999999</v>
      </c>
      <c r="AD2620">
        <v>-1.1199938451167</v>
      </c>
      <c r="AE2620">
        <v>-2.8627999999999898</v>
      </c>
      <c r="AF2620">
        <v>5.3706347201818403</v>
      </c>
      <c r="AG2620">
        <v>-1.1199938451167</v>
      </c>
      <c r="AH2620">
        <v>9.9556015798369693</v>
      </c>
      <c r="AI2620">
        <v>95.654469499970006</v>
      </c>
      <c r="AJ2620">
        <v>61.654976574780697</v>
      </c>
      <c r="AK2620">
        <v>11.367150316907599</v>
      </c>
      <c r="AL2620">
        <v>84.727595348355607</v>
      </c>
      <c r="AM2620">
        <v>74.145705212380804</v>
      </c>
      <c r="AN2620">
        <v>1.00000004160509</v>
      </c>
    </row>
    <row r="2621" spans="1:40" x14ac:dyDescent="0.25">
      <c r="A2621" t="str">
        <f>"20190303161926639"</f>
        <v>20190303161926639</v>
      </c>
      <c r="B2621" t="str">
        <f>"1551601166624659"</f>
        <v>1551601166624659</v>
      </c>
      <c r="C2621" t="s">
        <v>40</v>
      </c>
      <c r="D2621">
        <v>4.8158209999999997</v>
      </c>
      <c r="E2621">
        <v>0.58125190000000004</v>
      </c>
      <c r="F2621" t="s">
        <v>52</v>
      </c>
      <c r="G2621">
        <v>-210.3502</v>
      </c>
      <c r="H2621" s="1">
        <v>-1.3504199999999999E-6</v>
      </c>
      <c r="I2621">
        <v>283.51510000000002</v>
      </c>
      <c r="J2621">
        <v>-200.30779999999999</v>
      </c>
      <c r="K2621">
        <v>1.1200019999999999</v>
      </c>
      <c r="L2621">
        <v>286.08870000000002</v>
      </c>
      <c r="M2621">
        <v>-0.73773279999999997</v>
      </c>
      <c r="N2621">
        <v>-1.259092E-2</v>
      </c>
      <c r="O2621">
        <v>-0.67497559999999901</v>
      </c>
      <c r="P2621">
        <v>-0.89029990000000003</v>
      </c>
      <c r="Q2621">
        <v>8.1945480000000001E-2</v>
      </c>
      <c r="R2621">
        <v>-0.4479417</v>
      </c>
      <c r="S2621">
        <v>-3.0110320000000002</v>
      </c>
      <c r="T2621">
        <v>-0.33368300000000001</v>
      </c>
      <c r="U2621">
        <v>-0.78100590000000003</v>
      </c>
      <c r="V2621">
        <v>0.27082979999999901</v>
      </c>
      <c r="W2621">
        <v>9.3035259999999995E-2</v>
      </c>
      <c r="X2621">
        <v>0.95812090000000005</v>
      </c>
      <c r="Y2621">
        <v>0.46302179999999998</v>
      </c>
      <c r="Z2621">
        <v>8.533085E-2</v>
      </c>
      <c r="AA2621">
        <v>0.88222979999999995</v>
      </c>
      <c r="AB2621">
        <v>8</v>
      </c>
      <c r="AC2621">
        <v>-10.042400000000001</v>
      </c>
      <c r="AD2621">
        <v>-1.12000335042</v>
      </c>
      <c r="AE2621">
        <v>-2.5735999999999901</v>
      </c>
      <c r="AF2621">
        <v>4.8238291571445204</v>
      </c>
      <c r="AG2621">
        <v>-1.12000335042</v>
      </c>
      <c r="AH2621">
        <v>9.0409248358614107</v>
      </c>
      <c r="AI2621">
        <v>96.237506782201194</v>
      </c>
      <c r="AJ2621">
        <v>61.917633359806899</v>
      </c>
      <c r="AK2621">
        <v>10.308348904163299</v>
      </c>
      <c r="AL2621">
        <v>84.661752363540202</v>
      </c>
      <c r="AM2621">
        <v>74.216117800939102</v>
      </c>
      <c r="AN2621">
        <v>0.99999999959405805</v>
      </c>
    </row>
    <row r="2622" spans="1:40" x14ac:dyDescent="0.25">
      <c r="A2622" t="str">
        <f>"20190303161926661"</f>
        <v>20190303161926661</v>
      </c>
      <c r="B2622" t="str">
        <f>"1551601166654917"</f>
        <v>1551601166654917</v>
      </c>
      <c r="C2622" t="s">
        <v>40</v>
      </c>
      <c r="D2622">
        <v>4.7826120000000003</v>
      </c>
      <c r="E2622">
        <v>0.58098229999999995</v>
      </c>
      <c r="F2622" t="s">
        <v>49</v>
      </c>
      <c r="G2622">
        <v>-209.9366</v>
      </c>
      <c r="H2622" s="1">
        <v>6.7096650000000004E-6</v>
      </c>
      <c r="I2622">
        <v>283.63</v>
      </c>
      <c r="J2622">
        <v>-200.3717</v>
      </c>
      <c r="K2622">
        <v>1.120012</v>
      </c>
      <c r="L2622">
        <v>286.04160000000002</v>
      </c>
      <c r="M2622">
        <v>-0.7424636</v>
      </c>
      <c r="N2622">
        <v>-1.258892E-2</v>
      </c>
      <c r="O2622">
        <v>-0.66976819999999904</v>
      </c>
      <c r="P2622">
        <v>-0.89268709999999996</v>
      </c>
      <c r="Q2622">
        <v>8.2838549999999997E-2</v>
      </c>
      <c r="R2622">
        <v>-0.44299850000000002</v>
      </c>
      <c r="S2622">
        <v>-3.0146329999999999</v>
      </c>
      <c r="T2622">
        <v>-0.35065439999999998</v>
      </c>
      <c r="U2622">
        <v>-0.7697754</v>
      </c>
      <c r="V2622">
        <v>0.26934580000000002</v>
      </c>
      <c r="W2622">
        <v>9.3939190000000006E-2</v>
      </c>
      <c r="X2622">
        <v>0.95845100000000005</v>
      </c>
      <c r="Y2622">
        <v>0.45961210000000002</v>
      </c>
      <c r="Z2622">
        <v>8.9372720000000003E-2</v>
      </c>
      <c r="AA2622">
        <v>0.88361149999999999</v>
      </c>
      <c r="AB2622">
        <v>8</v>
      </c>
      <c r="AC2622">
        <v>-9.5648999999999909</v>
      </c>
      <c r="AD2622">
        <v>-1.120005290335</v>
      </c>
      <c r="AE2622">
        <v>-2.4116000000000199</v>
      </c>
      <c r="AF2622">
        <v>4.5573536939529804</v>
      </c>
      <c r="AG2622">
        <v>-1.120005290335</v>
      </c>
      <c r="AH2622">
        <v>8.6065396265519301</v>
      </c>
      <c r="AI2622">
        <v>96.560524163665605</v>
      </c>
      <c r="AJ2622">
        <v>62.097787460812697</v>
      </c>
      <c r="AK2622">
        <v>9.8028775818926697</v>
      </c>
      <c r="AL2622">
        <v>84.609733308079001</v>
      </c>
      <c r="AM2622">
        <v>74.303469674144296</v>
      </c>
      <c r="AN2622">
        <v>1.00000002539824</v>
      </c>
    </row>
    <row r="2623" spans="1:40" x14ac:dyDescent="0.25">
      <c r="A2623" t="str">
        <f>"20190303161926686"</f>
        <v>20190303161926686</v>
      </c>
      <c r="B2623" t="str">
        <f>"1551601166675412"</f>
        <v>1551601166675412</v>
      </c>
      <c r="C2623" t="s">
        <v>40</v>
      </c>
      <c r="D2623">
        <v>4.7955769999999998</v>
      </c>
      <c r="E2623">
        <v>0.58104960000000005</v>
      </c>
      <c r="F2623" t="s">
        <v>52</v>
      </c>
      <c r="G2623">
        <v>-210.1635</v>
      </c>
      <c r="H2623" s="1">
        <v>-1.449797E-6</v>
      </c>
      <c r="I2623">
        <v>283.59179999999998</v>
      </c>
      <c r="J2623">
        <v>-200.43989999999999</v>
      </c>
      <c r="K2623">
        <v>1.120025</v>
      </c>
      <c r="L2623">
        <v>285.99209999999999</v>
      </c>
      <c r="M2623">
        <v>-0.74745200000000001</v>
      </c>
      <c r="N2623">
        <v>-1.2586989999999999E-2</v>
      </c>
      <c r="O2623">
        <v>-0.66419689999999998</v>
      </c>
      <c r="P2623">
        <v>-0.89531479999999997</v>
      </c>
      <c r="Q2623">
        <v>8.4273650000000005E-2</v>
      </c>
      <c r="R2623">
        <v>-0.4373898</v>
      </c>
      <c r="S2623">
        <v>-3.0179749999999999</v>
      </c>
      <c r="T2623">
        <v>-0.34520380000000001</v>
      </c>
      <c r="U2623">
        <v>-0.75506589999999996</v>
      </c>
      <c r="V2623">
        <v>0.26810420000000001</v>
      </c>
      <c r="W2623">
        <v>9.5381779999999999E-2</v>
      </c>
      <c r="X2623">
        <v>0.95865659999999997</v>
      </c>
      <c r="Y2623">
        <v>0.45747749999999998</v>
      </c>
      <c r="Z2623">
        <v>8.7398110000000001E-2</v>
      </c>
      <c r="AA2623">
        <v>0.88491580000000003</v>
      </c>
      <c r="AB2623">
        <v>8</v>
      </c>
      <c r="AC2623">
        <v>-9.7235999999999994</v>
      </c>
      <c r="AD2623">
        <v>-1.1200264497970001</v>
      </c>
      <c r="AE2623">
        <v>-2.4003000000000099</v>
      </c>
      <c r="AF2623">
        <v>4.60702963211269</v>
      </c>
      <c r="AG2623">
        <v>-1.1200264497970001</v>
      </c>
      <c r="AH2623">
        <v>8.7534272177269496</v>
      </c>
      <c r="AI2623">
        <v>96.459976638333302</v>
      </c>
      <c r="AJ2623">
        <v>62.2416507128478</v>
      </c>
      <c r="AK2623">
        <v>9.9549821363703295</v>
      </c>
      <c r="AL2623">
        <v>84.526706083278796</v>
      </c>
      <c r="AM2623">
        <v>74.375470505230695</v>
      </c>
      <c r="AN2623">
        <v>1.0000000113685801</v>
      </c>
    </row>
    <row r="2624" spans="1:40" x14ac:dyDescent="0.25">
      <c r="A2624" t="str">
        <f>"20190303161926708"</f>
        <v>20190303161926708</v>
      </c>
      <c r="B2624" t="str">
        <f>"1551601166694932"</f>
        <v>1551601166694932</v>
      </c>
      <c r="C2624" t="s">
        <v>40</v>
      </c>
      <c r="D2624">
        <v>4.8056020000000004</v>
      </c>
      <c r="E2624">
        <v>0.58097460000000001</v>
      </c>
      <c r="F2624" t="s">
        <v>52</v>
      </c>
      <c r="G2624">
        <v>-210.63149999999999</v>
      </c>
      <c r="H2624" s="1">
        <v>-1.200732E-6</v>
      </c>
      <c r="I2624">
        <v>283.5129</v>
      </c>
      <c r="J2624">
        <v>-200.50720000000001</v>
      </c>
      <c r="K2624">
        <v>1.1200270000000001</v>
      </c>
      <c r="L2624">
        <v>285.94400000000002</v>
      </c>
      <c r="M2624">
        <v>-0.75230929999999996</v>
      </c>
      <c r="N2624">
        <v>-1.258549E-2</v>
      </c>
      <c r="O2624">
        <v>-0.65868990000000005</v>
      </c>
      <c r="P2624">
        <v>-0.89766599999999996</v>
      </c>
      <c r="Q2624">
        <v>8.5868079999999999E-2</v>
      </c>
      <c r="R2624">
        <v>-0.4322298</v>
      </c>
      <c r="S2624">
        <v>-3.0228269999999999</v>
      </c>
      <c r="T2624">
        <v>-0.33219799999999999</v>
      </c>
      <c r="U2624">
        <v>-0.735321</v>
      </c>
      <c r="V2624">
        <v>0.26648519999999998</v>
      </c>
      <c r="W2624">
        <v>9.6985059999999998E-2</v>
      </c>
      <c r="X2624">
        <v>0.95894710000000005</v>
      </c>
      <c r="Y2624">
        <v>0.45718579999999998</v>
      </c>
      <c r="Z2624">
        <v>8.3509680000000003E-2</v>
      </c>
      <c r="AA2624">
        <v>0.8854419</v>
      </c>
      <c r="AB2624">
        <v>8</v>
      </c>
      <c r="AC2624">
        <v>-10.1242999999999</v>
      </c>
      <c r="AD2624">
        <v>-1.1200282007319999</v>
      </c>
      <c r="AE2624">
        <v>-2.43110000000001</v>
      </c>
      <c r="AF2624">
        <v>4.7848513119703204</v>
      </c>
      <c r="AG2624">
        <v>-1.1200282007319999</v>
      </c>
      <c r="AH2624">
        <v>9.1132241425712799</v>
      </c>
      <c r="AI2624">
        <v>96.210186421880493</v>
      </c>
      <c r="AJ2624">
        <v>62.298513201718201</v>
      </c>
      <c r="AK2624">
        <v>10.3537490563004</v>
      </c>
      <c r="AL2624">
        <v>84.434416958645798</v>
      </c>
      <c r="AM2624">
        <v>74.469731859194198</v>
      </c>
      <c r="AN2624">
        <v>1.0000000021403199</v>
      </c>
    </row>
    <row r="2625" spans="1:40" x14ac:dyDescent="0.25">
      <c r="A2625" t="str">
        <f>"20190303161926729"</f>
        <v>20190303161926729</v>
      </c>
      <c r="B2625" t="str">
        <f>"1551601166725189"</f>
        <v>1551601166725189</v>
      </c>
      <c r="C2625" t="s">
        <v>40</v>
      </c>
      <c r="D2625">
        <v>4.8619620000000001</v>
      </c>
      <c r="E2625">
        <v>0.58117589999999997</v>
      </c>
      <c r="F2625" t="s">
        <v>52</v>
      </c>
      <c r="G2625">
        <v>-211.0498</v>
      </c>
      <c r="H2625" s="1">
        <v>-9.7812239999999994E-7</v>
      </c>
      <c r="I2625">
        <v>283.44130000000001</v>
      </c>
      <c r="J2625">
        <v>-200.5668</v>
      </c>
      <c r="K2625">
        <v>1.1200330000000001</v>
      </c>
      <c r="L2625">
        <v>285.90199999999999</v>
      </c>
      <c r="M2625">
        <v>-0.75656590000000001</v>
      </c>
      <c r="N2625">
        <v>-1.2584700000000001E-2</v>
      </c>
      <c r="O2625">
        <v>-0.6537963</v>
      </c>
      <c r="P2625">
        <v>-0.9001074</v>
      </c>
      <c r="Q2625">
        <v>8.732885E-2</v>
      </c>
      <c r="R2625">
        <v>-0.42682589999999998</v>
      </c>
      <c r="S2625">
        <v>-3.0267789999999999</v>
      </c>
      <c r="T2625">
        <v>-0.321557599999999</v>
      </c>
      <c r="U2625">
        <v>-0.71853639999999996</v>
      </c>
      <c r="V2625">
        <v>0.26594289999999998</v>
      </c>
      <c r="W2625">
        <v>9.8446229999999996E-2</v>
      </c>
      <c r="X2625">
        <v>0.95894869999999999</v>
      </c>
      <c r="Y2625">
        <v>0.4566849</v>
      </c>
      <c r="Z2625">
        <v>8.0314179999999999E-2</v>
      </c>
      <c r="AA2625">
        <v>0.8859958</v>
      </c>
      <c r="AB2625">
        <v>8</v>
      </c>
      <c r="AC2625">
        <v>-10.483000000000001</v>
      </c>
      <c r="AD2625">
        <v>-1.12003397812239</v>
      </c>
      <c r="AE2625">
        <v>-2.4606999999999699</v>
      </c>
      <c r="AF2625">
        <v>4.9390237910017802</v>
      </c>
      <c r="AG2625">
        <v>-1.12003397812239</v>
      </c>
      <c r="AH2625">
        <v>9.4385148864233201</v>
      </c>
      <c r="AI2625">
        <v>96.0020882555458</v>
      </c>
      <c r="AJ2625">
        <v>62.377657370669702</v>
      </c>
      <c r="AK2625">
        <v>10.711395585145</v>
      </c>
      <c r="AL2625">
        <v>84.350295194912306</v>
      </c>
      <c r="AM2625">
        <v>74.499839714272497</v>
      </c>
      <c r="AN2625">
        <v>0.99999994774665502</v>
      </c>
    </row>
    <row r="2626" spans="1:40" x14ac:dyDescent="0.25">
      <c r="A2626" t="str">
        <f>"20190303161926751"</f>
        <v>20190303161926751</v>
      </c>
      <c r="B2626" t="str">
        <f>"1551601166744708"</f>
        <v>1551601166744708</v>
      </c>
      <c r="C2626" t="s">
        <v>40</v>
      </c>
      <c r="D2626">
        <v>4.7857770000000004</v>
      </c>
      <c r="E2626">
        <v>0.58301179999999997</v>
      </c>
      <c r="F2626" t="s">
        <v>52</v>
      </c>
      <c r="G2626">
        <v>-211.0778</v>
      </c>
      <c r="H2626" s="1">
        <v>-9.6322129999999992E-7</v>
      </c>
      <c r="I2626">
        <v>283.47989999999999</v>
      </c>
      <c r="J2626">
        <v>-200.6337</v>
      </c>
      <c r="K2626">
        <v>1.120031</v>
      </c>
      <c r="L2626">
        <v>285.85570000000001</v>
      </c>
      <c r="M2626">
        <v>-0.76128379999999995</v>
      </c>
      <c r="N2626">
        <v>-1.2584069999999999E-2</v>
      </c>
      <c r="O2626">
        <v>-0.64829680000000001</v>
      </c>
      <c r="P2626">
        <v>-0.90309720000000004</v>
      </c>
      <c r="Q2626">
        <v>8.7206450000000005E-2</v>
      </c>
      <c r="R2626">
        <v>-0.4204888</v>
      </c>
      <c r="S2626">
        <v>-3.032883</v>
      </c>
      <c r="T2626">
        <v>-0.32317879999999999</v>
      </c>
      <c r="U2626">
        <v>-0.69888309999999998</v>
      </c>
      <c r="V2626">
        <v>0.26574170000000003</v>
      </c>
      <c r="W2626">
        <v>9.832378E-2</v>
      </c>
      <c r="X2626">
        <v>0.95901709999999996</v>
      </c>
      <c r="Y2626">
        <v>0.45606809999999998</v>
      </c>
      <c r="Z2626">
        <v>8.0307450000000002E-2</v>
      </c>
      <c r="AA2626">
        <v>0.88631399999999905</v>
      </c>
      <c r="AB2626">
        <v>8</v>
      </c>
      <c r="AC2626">
        <v>-10.444099999999899</v>
      </c>
      <c r="AD2626">
        <v>-1.1200319632213001</v>
      </c>
      <c r="AE2626">
        <v>-2.3758000000000199</v>
      </c>
      <c r="AF2626">
        <v>4.9089333640224604</v>
      </c>
      <c r="AG2626">
        <v>-1.1200319632213001</v>
      </c>
      <c r="AH2626">
        <v>9.38923002710753</v>
      </c>
      <c r="AI2626">
        <v>96.034477807162602</v>
      </c>
      <c r="AJ2626">
        <v>62.398262625191798</v>
      </c>
      <c r="AK2626">
        <v>10.654094934483499</v>
      </c>
      <c r="AL2626">
        <v>84.357345605482195</v>
      </c>
      <c r="AM2626">
        <v>74.512054866524096</v>
      </c>
      <c r="AN2626">
        <v>1.00000000746239</v>
      </c>
    </row>
    <row r="2627" spans="1:40" x14ac:dyDescent="0.25">
      <c r="A2627" t="str">
        <f>"20190303161926773"</f>
        <v>20190303161926773</v>
      </c>
      <c r="B2627" t="str">
        <f>"1551601166765204"</f>
        <v>1551601166765204</v>
      </c>
      <c r="C2627" t="s">
        <v>40</v>
      </c>
      <c r="D2627">
        <v>4.5828480000000003</v>
      </c>
      <c r="E2627">
        <v>0.58699630000000003</v>
      </c>
      <c r="F2627" t="s">
        <v>52</v>
      </c>
      <c r="G2627">
        <v>-211.0359</v>
      </c>
      <c r="H2627" s="1">
        <v>-9.8553379999999993E-7</v>
      </c>
      <c r="I2627">
        <v>283.58920000000001</v>
      </c>
      <c r="J2627">
        <v>-200.69890000000001</v>
      </c>
      <c r="K2627">
        <v>1.120031</v>
      </c>
      <c r="L2627">
        <v>285.81119999999999</v>
      </c>
      <c r="M2627">
        <v>-0.76582740000000005</v>
      </c>
      <c r="N2627">
        <v>-1.258367E-2</v>
      </c>
      <c r="O2627">
        <v>-0.64292289999999996</v>
      </c>
      <c r="P2627">
        <v>-0.9055685</v>
      </c>
      <c r="Q2627">
        <v>8.7542739999999994E-2</v>
      </c>
      <c r="R2627">
        <v>-0.41506870000000001</v>
      </c>
      <c r="S2627">
        <v>-3.0446780000000002</v>
      </c>
      <c r="T2627">
        <v>-0.3278297</v>
      </c>
      <c r="U2627">
        <v>-0.66339110000000001</v>
      </c>
      <c r="V2627">
        <v>0.26471929999999999</v>
      </c>
      <c r="W2627">
        <v>9.8664979999999999E-2</v>
      </c>
      <c r="X2627">
        <v>0.95926480000000003</v>
      </c>
      <c r="Y2627">
        <v>0.46026289999999997</v>
      </c>
      <c r="Z2627">
        <v>8.1296069999999998E-2</v>
      </c>
      <c r="AA2627">
        <v>0.88405259999999997</v>
      </c>
      <c r="AB2627">
        <v>8</v>
      </c>
      <c r="AC2627">
        <v>-10.3369999999999</v>
      </c>
      <c r="AD2627">
        <v>-1.1200319855337999</v>
      </c>
      <c r="AE2627">
        <v>-2.22199999999998</v>
      </c>
      <c r="AF2627">
        <v>4.8897467486599302</v>
      </c>
      <c r="AG2627">
        <v>-1.1200319855337999</v>
      </c>
      <c r="AH2627">
        <v>9.2419637970665196</v>
      </c>
      <c r="AI2627">
        <v>96.114251587045601</v>
      </c>
      <c r="AJ2627">
        <v>62.117536976538297</v>
      </c>
      <c r="AK2627">
        <v>10.5156069601776</v>
      </c>
      <c r="AL2627">
        <v>84.337700843207003</v>
      </c>
      <c r="AM2627">
        <v>74.572592066983901</v>
      </c>
      <c r="AN2627">
        <v>1.00000002129496</v>
      </c>
    </row>
    <row r="2628" spans="1:40" x14ac:dyDescent="0.25">
      <c r="A2628" t="str">
        <f>"20190303161926795"</f>
        <v>20190303161926795</v>
      </c>
      <c r="B2628" t="str">
        <f>"1551601166784724"</f>
        <v>1551601166784724</v>
      </c>
      <c r="C2628" t="s">
        <v>40</v>
      </c>
      <c r="D2628">
        <v>4.592708</v>
      </c>
      <c r="E2628">
        <v>0.5902075</v>
      </c>
      <c r="F2628" t="s">
        <v>52</v>
      </c>
      <c r="G2628">
        <v>-211.50030000000001</v>
      </c>
      <c r="H2628" s="1">
        <v>-7.3841560000000004E-7</v>
      </c>
      <c r="I2628">
        <v>283.63799999999998</v>
      </c>
      <c r="J2628">
        <v>-200.76300000000001</v>
      </c>
      <c r="K2628">
        <v>1.1200300000000001</v>
      </c>
      <c r="L2628">
        <v>285.76819999999998</v>
      </c>
      <c r="M2628">
        <v>-0.77023940000000002</v>
      </c>
      <c r="N2628">
        <v>-1.258342E-2</v>
      </c>
      <c r="O2628">
        <v>-0.6376309</v>
      </c>
      <c r="P2628">
        <v>-0.90818520000000003</v>
      </c>
      <c r="Q2628">
        <v>8.7663160000000004E-2</v>
      </c>
      <c r="R2628">
        <v>-0.40928639999999999</v>
      </c>
      <c r="S2628">
        <v>-3.0612339999999998</v>
      </c>
      <c r="T2628">
        <v>-0.31742999999999999</v>
      </c>
      <c r="U2628">
        <v>-0.61590579999999995</v>
      </c>
      <c r="V2628">
        <v>0.26421869999999997</v>
      </c>
      <c r="W2628">
        <v>9.8787399999999997E-2</v>
      </c>
      <c r="X2628">
        <v>0.95939019999999997</v>
      </c>
      <c r="Y2628">
        <v>0.46858660000000002</v>
      </c>
      <c r="Z2628">
        <v>7.8471040000000006E-2</v>
      </c>
      <c r="AA2628">
        <v>0.87992549999999903</v>
      </c>
      <c r="AB2628">
        <v>8</v>
      </c>
      <c r="AC2628">
        <v>-10.737299999999999</v>
      </c>
      <c r="AD2628">
        <v>-1.1200307384156001</v>
      </c>
      <c r="AE2628">
        <v>-2.1301999999999999</v>
      </c>
      <c r="AF2628">
        <v>5.1521442211108903</v>
      </c>
      <c r="AG2628">
        <v>-1.1200307384156001</v>
      </c>
      <c r="AH2628">
        <v>9.5295693334170402</v>
      </c>
      <c r="AI2628">
        <v>95.902788706608206</v>
      </c>
      <c r="AJ2628">
        <v>61.602208474616198</v>
      </c>
      <c r="AK2628">
        <v>10.890902194516499</v>
      </c>
      <c r="AL2628">
        <v>84.330652216738102</v>
      </c>
      <c r="AM2628">
        <v>74.602297470379796</v>
      </c>
      <c r="AN2628">
        <v>1.00000001384224</v>
      </c>
    </row>
    <row r="2629" spans="1:40" x14ac:dyDescent="0.25">
      <c r="A2629" t="str">
        <f>"20190303161926818"</f>
        <v>20190303161926818</v>
      </c>
      <c r="B2629" t="str">
        <f>"1551601166805220"</f>
        <v>1551601166805220</v>
      </c>
      <c r="C2629" t="s">
        <v>40</v>
      </c>
      <c r="D2629">
        <v>4.5791139999999997</v>
      </c>
      <c r="E2629">
        <v>0.5927057</v>
      </c>
      <c r="F2629" t="s">
        <v>52</v>
      </c>
      <c r="G2629">
        <v>-211.84610000000001</v>
      </c>
      <c r="H2629" s="1">
        <v>-5.5440759999999998E-7</v>
      </c>
      <c r="I2629">
        <v>283.70299999999997</v>
      </c>
      <c r="J2629">
        <v>-200.8314</v>
      </c>
      <c r="K2629">
        <v>1.1200330000000001</v>
      </c>
      <c r="L2629">
        <v>285.72289999999998</v>
      </c>
      <c r="M2629">
        <v>-0.77489909999999995</v>
      </c>
      <c r="N2629">
        <v>-1.2583489999999999E-2</v>
      </c>
      <c r="O2629">
        <v>-0.63195999999999997</v>
      </c>
      <c r="P2629">
        <v>-0.91105950000000002</v>
      </c>
      <c r="Q2629">
        <v>8.7257210000000002E-2</v>
      </c>
      <c r="R2629">
        <v>-0.40293600000000002</v>
      </c>
      <c r="S2629">
        <v>-3.0750579999999998</v>
      </c>
      <c r="T2629">
        <v>-0.31075760000000002</v>
      </c>
      <c r="U2629">
        <v>-0.57299800000000001</v>
      </c>
      <c r="V2629">
        <v>0.26389759999999901</v>
      </c>
      <c r="W2629">
        <v>9.8383600000000002E-2</v>
      </c>
      <c r="X2629">
        <v>0.95952000000000004</v>
      </c>
      <c r="Y2629">
        <v>0.47490470000000001</v>
      </c>
      <c r="Z2629">
        <v>7.6542760000000001E-2</v>
      </c>
      <c r="AA2629">
        <v>0.87670219999999899</v>
      </c>
      <c r="AB2629">
        <v>8</v>
      </c>
      <c r="AC2629">
        <v>-11.014699999999999</v>
      </c>
      <c r="AD2629">
        <v>-1.1200335544076001</v>
      </c>
      <c r="AE2629">
        <v>-2.0198999999999998</v>
      </c>
      <c r="AF2629">
        <v>5.3426124429814701</v>
      </c>
      <c r="AG2629">
        <v>-1.1200335544076001</v>
      </c>
      <c r="AH2629">
        <v>9.7153644065388196</v>
      </c>
      <c r="AI2629">
        <v>95.768338540250596</v>
      </c>
      <c r="AJ2629">
        <v>61.193000591355897</v>
      </c>
      <c r="AK2629">
        <v>11.1438901838963</v>
      </c>
      <c r="AL2629">
        <v>84.353901165909207</v>
      </c>
      <c r="AM2629">
        <v>74.622105530088803</v>
      </c>
      <c r="AN2629">
        <v>0.99999995321735802</v>
      </c>
    </row>
    <row r="2630" spans="1:40" x14ac:dyDescent="0.25">
      <c r="A2630" t="str">
        <f>"20190303161926839"</f>
        <v>20190303161926839</v>
      </c>
      <c r="B2630" t="str">
        <f>"1551601166835476"</f>
        <v>1551601166835476</v>
      </c>
      <c r="C2630" t="s">
        <v>40</v>
      </c>
      <c r="D2630">
        <v>4.6676359999999999</v>
      </c>
      <c r="E2630">
        <v>0.59573199999999904</v>
      </c>
      <c r="F2630" t="s">
        <v>52</v>
      </c>
      <c r="G2630">
        <v>-212.1104</v>
      </c>
      <c r="H2630" s="1">
        <v>-4.1376049999999998E-7</v>
      </c>
      <c r="I2630">
        <v>283.77620000000002</v>
      </c>
      <c r="J2630">
        <v>-200.89609999999999</v>
      </c>
      <c r="K2630">
        <v>1.1200289999999999</v>
      </c>
      <c r="L2630">
        <v>285.68079999999998</v>
      </c>
      <c r="M2630">
        <v>-0.77925710000000004</v>
      </c>
      <c r="N2630">
        <v>-1.2583769999999999E-2</v>
      </c>
      <c r="O2630">
        <v>-0.62657819999999997</v>
      </c>
      <c r="P2630">
        <v>-0.91377240000000004</v>
      </c>
      <c r="Q2630">
        <v>8.6818099999999995E-2</v>
      </c>
      <c r="R2630">
        <v>-0.3968411</v>
      </c>
      <c r="S2630">
        <v>-3.0865939999999998</v>
      </c>
      <c r="T2630">
        <v>-0.30650729999999998</v>
      </c>
      <c r="U2630">
        <v>-0.53274540000000004</v>
      </c>
      <c r="V2630">
        <v>0.2636867</v>
      </c>
      <c r="W2630">
        <v>9.7945119999999997E-2</v>
      </c>
      <c r="X2630">
        <v>0.95962289999999995</v>
      </c>
      <c r="Y2630">
        <v>0.48060380000000003</v>
      </c>
      <c r="Z2630">
        <v>7.5280250000000007E-2</v>
      </c>
      <c r="AA2630">
        <v>0.8737007</v>
      </c>
      <c r="AB2630">
        <v>8</v>
      </c>
      <c r="AC2630">
        <v>-11.2143</v>
      </c>
      <c r="AD2630">
        <v>-1.1200294137605</v>
      </c>
      <c r="AE2630">
        <v>-1.9045999999999601</v>
      </c>
      <c r="AF2630">
        <v>5.4896766133905297</v>
      </c>
      <c r="AG2630">
        <v>-1.1200294137605</v>
      </c>
      <c r="AH2630">
        <v>9.8376097752252605</v>
      </c>
      <c r="AI2630">
        <v>95.677675668839797</v>
      </c>
      <c r="AJ2630">
        <v>60.837193227355201</v>
      </c>
      <c r="AK2630">
        <v>11.321200523659201</v>
      </c>
      <c r="AL2630">
        <v>84.379146503942806</v>
      </c>
      <c r="AM2630">
        <v>74.635383887766594</v>
      </c>
      <c r="AN2630">
        <v>1.0000000162465501</v>
      </c>
    </row>
    <row r="2631" spans="1:40" x14ac:dyDescent="0.25">
      <c r="A2631" t="str">
        <f>"20190303161926862"</f>
        <v>20190303161926862</v>
      </c>
      <c r="B2631" t="str">
        <f>"1551601166854996"</f>
        <v>1551601166854996</v>
      </c>
      <c r="C2631" t="s">
        <v>40</v>
      </c>
      <c r="D2631">
        <v>4.5694910000000002</v>
      </c>
      <c r="E2631">
        <v>0.59744809999999904</v>
      </c>
      <c r="F2631" t="s">
        <v>52</v>
      </c>
      <c r="G2631">
        <v>-212.5361</v>
      </c>
      <c r="H2631" s="1">
        <v>-1.8721269999999999E-7</v>
      </c>
      <c r="I2631">
        <v>283.84300000000002</v>
      </c>
      <c r="J2631">
        <v>-200.9657</v>
      </c>
      <c r="K2631">
        <v>1.120026</v>
      </c>
      <c r="L2631">
        <v>285.63619999999997</v>
      </c>
      <c r="M2631">
        <v>-0.78388819999999904</v>
      </c>
      <c r="N2631">
        <v>-1.258422E-2</v>
      </c>
      <c r="O2631">
        <v>-0.62077469999999901</v>
      </c>
      <c r="P2631">
        <v>-0.91636629999999997</v>
      </c>
      <c r="Q2631">
        <v>8.6521459999999994E-2</v>
      </c>
      <c r="R2631">
        <v>-0.39088040000000002</v>
      </c>
      <c r="S2631">
        <v>-3.0989230000000001</v>
      </c>
      <c r="T2631">
        <v>-0.29818689999999998</v>
      </c>
      <c r="U2631">
        <v>-0.48925780000000002</v>
      </c>
      <c r="V2631">
        <v>0.2628279</v>
      </c>
      <c r="W2631">
        <v>9.7654690000000002E-2</v>
      </c>
      <c r="X2631">
        <v>0.95988799999999996</v>
      </c>
      <c r="Y2631">
        <v>0.48685289999999998</v>
      </c>
      <c r="Z2631">
        <v>7.294805E-2</v>
      </c>
      <c r="AA2631">
        <v>0.870432599999999</v>
      </c>
      <c r="AB2631">
        <v>8</v>
      </c>
      <c r="AC2631">
        <v>-11.570399999999999</v>
      </c>
      <c r="AD2631">
        <v>-1.1200261872127</v>
      </c>
      <c r="AE2631">
        <v>-1.7931999999999499</v>
      </c>
      <c r="AF2631">
        <v>5.7250123541358002</v>
      </c>
      <c r="AG2631">
        <v>-1.1200261872127</v>
      </c>
      <c r="AH2631">
        <v>10.0915341010178</v>
      </c>
      <c r="AI2631">
        <v>95.513923447354301</v>
      </c>
      <c r="AJ2631">
        <v>60.4333925754189</v>
      </c>
      <c r="AK2631">
        <v>11.6562981099084</v>
      </c>
      <c r="AL2631">
        <v>84.395866746388506</v>
      </c>
      <c r="AM2631">
        <v>74.687102579197898</v>
      </c>
      <c r="AN2631">
        <v>0.99999995802070196</v>
      </c>
    </row>
    <row r="2632" spans="1:40" x14ac:dyDescent="0.25">
      <c r="A2632" t="str">
        <f>"20190303161926887"</f>
        <v>20190303161926887</v>
      </c>
      <c r="B2632" t="str">
        <f>"1551601166875493"</f>
        <v>1551601166875493</v>
      </c>
      <c r="C2632" t="s">
        <v>40</v>
      </c>
      <c r="D2632">
        <v>4.5424179999999996</v>
      </c>
      <c r="E2632">
        <v>0.5986766</v>
      </c>
      <c r="F2632" t="s">
        <v>52</v>
      </c>
      <c r="G2632">
        <v>-212.78919999999999</v>
      </c>
      <c r="H2632" s="1">
        <v>-5.2504189999999999E-8</v>
      </c>
      <c r="I2632">
        <v>283.89940000000001</v>
      </c>
      <c r="J2632">
        <v>-201.0361</v>
      </c>
      <c r="K2632">
        <v>1.1200239999999999</v>
      </c>
      <c r="L2632">
        <v>285.59179999999998</v>
      </c>
      <c r="M2632">
        <v>-0.78851319999999903</v>
      </c>
      <c r="N2632">
        <v>-1.258478E-2</v>
      </c>
      <c r="O2632">
        <v>-0.61488929999999997</v>
      </c>
      <c r="P2632">
        <v>-0.91886140000000005</v>
      </c>
      <c r="Q2632">
        <v>8.6389270000000004E-2</v>
      </c>
      <c r="R2632">
        <v>-0.3850075</v>
      </c>
      <c r="S2632">
        <v>-3.1069339999999999</v>
      </c>
      <c r="T2632">
        <v>-0.29431659999999998</v>
      </c>
      <c r="U2632">
        <v>-0.45639039999999997</v>
      </c>
      <c r="V2632">
        <v>0.26179170000000002</v>
      </c>
      <c r="W2632">
        <v>9.752893E-2</v>
      </c>
      <c r="X2632">
        <v>0.96018400000000004</v>
      </c>
      <c r="Y2632">
        <v>0.48978749999999999</v>
      </c>
      <c r="Z2632">
        <v>7.1668190000000007E-2</v>
      </c>
      <c r="AA2632">
        <v>0.86889119999999997</v>
      </c>
      <c r="AB2632">
        <v>8</v>
      </c>
      <c r="AC2632">
        <v>-11.7530999999999</v>
      </c>
      <c r="AD2632">
        <v>-1.12002405250419</v>
      </c>
      <c r="AE2632">
        <v>-1.6923999999999599</v>
      </c>
      <c r="AF2632">
        <v>5.8408760152927597</v>
      </c>
      <c r="AG2632">
        <v>-1.12002405250419</v>
      </c>
      <c r="AH2632">
        <v>10.218019685276399</v>
      </c>
      <c r="AI2632">
        <v>95.436031838085995</v>
      </c>
      <c r="AJ2632">
        <v>60.246633071382298</v>
      </c>
      <c r="AK2632">
        <v>11.8227836313157</v>
      </c>
      <c r="AL2632">
        <v>84.403107341344594</v>
      </c>
      <c r="AM2632">
        <v>74.749139323856397</v>
      </c>
      <c r="AN2632">
        <v>1.0000000501159101</v>
      </c>
    </row>
    <row r="2633" spans="1:40" x14ac:dyDescent="0.25">
      <c r="A2633" t="str">
        <f>"20190303161926908"</f>
        <v>20190303161926908</v>
      </c>
      <c r="B2633" t="str">
        <f>"1551601166895012"</f>
        <v>1551601166895012</v>
      </c>
      <c r="C2633" t="s">
        <v>40</v>
      </c>
      <c r="D2633">
        <v>4.8041</v>
      </c>
      <c r="E2633">
        <v>0.59822739999999996</v>
      </c>
      <c r="F2633" t="s">
        <v>52</v>
      </c>
      <c r="G2633">
        <v>-213.0461</v>
      </c>
      <c r="H2633" s="1">
        <v>8.4202209999999996E-8</v>
      </c>
      <c r="I2633">
        <v>283.94330000000002</v>
      </c>
      <c r="J2633">
        <v>-201.1044</v>
      </c>
      <c r="K2633">
        <v>1.1200270000000001</v>
      </c>
      <c r="L2633">
        <v>285.5496</v>
      </c>
      <c r="M2633">
        <v>-0.79293849999999999</v>
      </c>
      <c r="N2633">
        <v>-1.2585300000000001E-2</v>
      </c>
      <c r="O2633">
        <v>-0.60917169999999998</v>
      </c>
      <c r="P2633">
        <v>-0.92062489999999997</v>
      </c>
      <c r="Q2633">
        <v>8.6310540000000005E-2</v>
      </c>
      <c r="R2633">
        <v>-0.38078889999999999</v>
      </c>
      <c r="S2633">
        <v>-3.1131739999999999</v>
      </c>
      <c r="T2633">
        <v>-0.29032790000000003</v>
      </c>
      <c r="U2633">
        <v>-0.4273071</v>
      </c>
      <c r="V2633">
        <v>0.25925350000000003</v>
      </c>
      <c r="W2633">
        <v>9.7468669999999993E-2</v>
      </c>
      <c r="X2633">
        <v>0.96087849999999997</v>
      </c>
      <c r="Y2633">
        <v>0.49182219999999999</v>
      </c>
      <c r="Z2633">
        <v>7.0352830000000005E-2</v>
      </c>
      <c r="AA2633">
        <v>0.86784869999999903</v>
      </c>
      <c r="AB2633">
        <v>8</v>
      </c>
      <c r="AC2633">
        <v>-11.9416999999999</v>
      </c>
      <c r="AD2633">
        <v>-1.12002691579779</v>
      </c>
      <c r="AE2633">
        <v>-1.6062999999999701</v>
      </c>
      <c r="AF2633">
        <v>5.94991382157973</v>
      </c>
      <c r="AG2633">
        <v>-1.12002691579779</v>
      </c>
      <c r="AH2633">
        <v>10.3588681932931</v>
      </c>
      <c r="AI2633">
        <v>95.356236941923399</v>
      </c>
      <c r="AJ2633">
        <v>60.127855693901203</v>
      </c>
      <c r="AK2633">
        <v>11.998420105261999</v>
      </c>
      <c r="AL2633">
        <v>84.4065762619026</v>
      </c>
      <c r="AM2633">
        <v>74.900634581307699</v>
      </c>
      <c r="AN2633">
        <v>1.00000000532803</v>
      </c>
    </row>
    <row r="2634" spans="1:40" x14ac:dyDescent="0.25">
      <c r="A2634" t="str">
        <f>"20190303161926930"</f>
        <v>20190303161926930</v>
      </c>
      <c r="B2634" t="str">
        <f>"1551601166925269"</f>
        <v>1551601166925269</v>
      </c>
      <c r="C2634" t="s">
        <v>40</v>
      </c>
      <c r="D2634">
        <v>4.8123079999999998</v>
      </c>
      <c r="E2634">
        <v>0.59753869999999998</v>
      </c>
      <c r="F2634" t="s">
        <v>52</v>
      </c>
      <c r="G2634">
        <v>-212.9307</v>
      </c>
      <c r="H2634" s="1">
        <v>2.2785799999999999E-8</v>
      </c>
      <c r="I2634">
        <v>283.97210000000001</v>
      </c>
      <c r="J2634">
        <v>-201.1686</v>
      </c>
      <c r="K2634">
        <v>1.1200289999999999</v>
      </c>
      <c r="L2634">
        <v>285.51049999999998</v>
      </c>
      <c r="M2634">
        <v>-0.79705579999999998</v>
      </c>
      <c r="N2634">
        <v>-1.2585519999999999E-2</v>
      </c>
      <c r="O2634">
        <v>-0.60377449999999999</v>
      </c>
      <c r="P2634">
        <v>-0.92214090000000004</v>
      </c>
      <c r="Q2634">
        <v>8.7088199999999893E-2</v>
      </c>
      <c r="R2634">
        <v>-0.37692419999999999</v>
      </c>
      <c r="S2634">
        <v>-3.114487</v>
      </c>
      <c r="T2634">
        <v>-0.29496159999999999</v>
      </c>
      <c r="U2634">
        <v>-0.41543580000000002</v>
      </c>
      <c r="V2634">
        <v>0.25671519999999998</v>
      </c>
      <c r="W2634">
        <v>9.8263050000000005E-2</v>
      </c>
      <c r="X2634">
        <v>0.96147890000000003</v>
      </c>
      <c r="Y2634">
        <v>0.48911009999999999</v>
      </c>
      <c r="Z2634">
        <v>7.1095060000000002E-2</v>
      </c>
      <c r="AA2634">
        <v>0.86931979999999998</v>
      </c>
      <c r="AB2634">
        <v>8</v>
      </c>
      <c r="AC2634">
        <v>-11.7621</v>
      </c>
      <c r="AD2634">
        <v>-1.1200289772142</v>
      </c>
      <c r="AE2634">
        <v>-1.53839999999996</v>
      </c>
      <c r="AF2634">
        <v>5.8240096591359301</v>
      </c>
      <c r="AG2634">
        <v>-1.1200289772142</v>
      </c>
      <c r="AH2634">
        <v>10.2136579618883</v>
      </c>
      <c r="AI2634">
        <v>95.441639586541001</v>
      </c>
      <c r="AJ2634">
        <v>60.307441498979401</v>
      </c>
      <c r="AK2634">
        <v>11.810688480437999</v>
      </c>
      <c r="AL2634">
        <v>84.360842056662193</v>
      </c>
      <c r="AM2634">
        <v>75.050735102931995</v>
      </c>
      <c r="AN2634">
        <v>0.99999999802577599</v>
      </c>
    </row>
    <row r="2635" spans="1:40" x14ac:dyDescent="0.25">
      <c r="A2635" t="str">
        <f>"20190303161926953"</f>
        <v>20190303161926953</v>
      </c>
      <c r="B2635" t="str">
        <f>"1551601166944789"</f>
        <v>1551601166944789</v>
      </c>
      <c r="C2635" t="s">
        <v>40</v>
      </c>
      <c r="D2635">
        <v>4.8625410000000002</v>
      </c>
      <c r="E2635">
        <v>0.59724809999999995</v>
      </c>
      <c r="F2635" t="s">
        <v>52</v>
      </c>
      <c r="G2635">
        <v>-212.86859999999999</v>
      </c>
      <c r="H2635" s="1">
        <v>-1.026345E-8</v>
      </c>
      <c r="I2635">
        <v>283.98099999999999</v>
      </c>
      <c r="J2635">
        <v>-201.2397</v>
      </c>
      <c r="K2635">
        <v>1.1200289999999999</v>
      </c>
      <c r="L2635">
        <v>285.46789999999999</v>
      </c>
      <c r="M2635">
        <v>-0.80155339999999997</v>
      </c>
      <c r="N2635">
        <v>-1.2585539999999999E-2</v>
      </c>
      <c r="O2635">
        <v>-0.59779099999999996</v>
      </c>
      <c r="P2635">
        <v>-0.92357440000000002</v>
      </c>
      <c r="Q2635">
        <v>8.7603899999999998E-2</v>
      </c>
      <c r="R2635">
        <v>-0.37327749999999998</v>
      </c>
      <c r="S2635">
        <v>-3.1150359999999999</v>
      </c>
      <c r="T2635">
        <v>-0.29819980000000001</v>
      </c>
      <c r="U2635">
        <v>-0.407196</v>
      </c>
      <c r="V2635">
        <v>0.25328329999999999</v>
      </c>
      <c r="W2635">
        <v>9.8804020000000006E-2</v>
      </c>
      <c r="X2635">
        <v>0.96233329999999995</v>
      </c>
      <c r="Y2635">
        <v>0.4848075</v>
      </c>
      <c r="Z2635">
        <v>7.1348380000000003E-2</v>
      </c>
      <c r="AA2635">
        <v>0.87170590000000003</v>
      </c>
      <c r="AB2635">
        <v>8</v>
      </c>
      <c r="AC2635">
        <v>-11.6288999999999</v>
      </c>
      <c r="AD2635">
        <v>-1.12002901026345</v>
      </c>
      <c r="AE2635">
        <v>-1.4868999999999899</v>
      </c>
      <c r="AF2635">
        <v>5.7081774951235102</v>
      </c>
      <c r="AG2635">
        <v>-1.12002901026345</v>
      </c>
      <c r="AH2635">
        <v>10.118493097622199</v>
      </c>
      <c r="AI2635">
        <v>95.506779094849094</v>
      </c>
      <c r="AJ2635">
        <v>60.571213729412001</v>
      </c>
      <c r="AK2635">
        <v>11.6714034231662</v>
      </c>
      <c r="AL2635">
        <v>84.329695327751097</v>
      </c>
      <c r="AM2635">
        <v>75.254338254845507</v>
      </c>
      <c r="AN2635">
        <v>1.0000000223579699</v>
      </c>
    </row>
    <row r="2636" spans="1:40" x14ac:dyDescent="0.25">
      <c r="A2636" t="str">
        <f>"20190303161926974"</f>
        <v>20190303161926974</v>
      </c>
      <c r="B2636" t="str">
        <f>"1551601166965284"</f>
        <v>1551601166965284</v>
      </c>
      <c r="C2636" t="s">
        <v>40</v>
      </c>
      <c r="D2636">
        <v>4.8232189999999999</v>
      </c>
      <c r="E2636">
        <v>0.59674830000000001</v>
      </c>
      <c r="F2636" t="s">
        <v>52</v>
      </c>
      <c r="G2636">
        <v>-212.96350000000001</v>
      </c>
      <c r="H2636" s="1">
        <v>4.0220670000000001E-8</v>
      </c>
      <c r="I2636">
        <v>283.97320000000002</v>
      </c>
      <c r="J2636">
        <v>-201.30359999999999</v>
      </c>
      <c r="K2636">
        <v>1.1200330000000001</v>
      </c>
      <c r="L2636">
        <v>285.43009999999998</v>
      </c>
      <c r="M2636">
        <v>-0.80554689999999995</v>
      </c>
      <c r="N2636">
        <v>-1.258517E-2</v>
      </c>
      <c r="O2636">
        <v>-0.5923986</v>
      </c>
      <c r="P2636">
        <v>-0.92470030000000003</v>
      </c>
      <c r="Q2636">
        <v>8.8028499999999996E-2</v>
      </c>
      <c r="R2636">
        <v>-0.37037920000000002</v>
      </c>
      <c r="S2636">
        <v>-3.1159520000000001</v>
      </c>
      <c r="T2636">
        <v>-0.29768169999999999</v>
      </c>
      <c r="U2636">
        <v>-0.39724730000000003</v>
      </c>
      <c r="V2636">
        <v>0.2498147</v>
      </c>
      <c r="W2636">
        <v>9.9253350000000004E-2</v>
      </c>
      <c r="X2636">
        <v>0.96319330000000003</v>
      </c>
      <c r="Y2636">
        <v>0.4817574</v>
      </c>
      <c r="Z2636">
        <v>7.0734199999999997E-2</v>
      </c>
      <c r="AA2636">
        <v>0.87344519999999903</v>
      </c>
      <c r="AB2636">
        <v>8</v>
      </c>
      <c r="AC2636">
        <v>-11.6599</v>
      </c>
      <c r="AD2636">
        <v>-1.1200329597793299</v>
      </c>
      <c r="AE2636">
        <v>-1.4568999999999599</v>
      </c>
      <c r="AF2636">
        <v>5.68253236569634</v>
      </c>
      <c r="AG2636">
        <v>-1.1200329597793299</v>
      </c>
      <c r="AH2636">
        <v>10.1641274345971</v>
      </c>
      <c r="AI2636">
        <v>95.493999528149999</v>
      </c>
      <c r="AJ2636">
        <v>60.791437636251104</v>
      </c>
      <c r="AK2636">
        <v>11.698509923272599</v>
      </c>
      <c r="AL2636">
        <v>84.303823159325901</v>
      </c>
      <c r="AM2636">
        <v>75.460087199873399</v>
      </c>
      <c r="AN2636">
        <v>0.99999997249359995</v>
      </c>
    </row>
    <row r="2637" spans="1:40" x14ac:dyDescent="0.25">
      <c r="A2637" t="str">
        <f>"20190303161926998"</f>
        <v>20190303161926998</v>
      </c>
      <c r="B2637" t="str">
        <f>"1551601166984807"</f>
        <v>1551601166984807</v>
      </c>
      <c r="C2637" t="s">
        <v>40</v>
      </c>
      <c r="D2637">
        <v>4.8571609999999996</v>
      </c>
      <c r="E2637">
        <v>0.59640199999999999</v>
      </c>
      <c r="F2637" t="s">
        <v>52</v>
      </c>
      <c r="G2637">
        <v>-212.91229999999999</v>
      </c>
      <c r="H2637" s="1">
        <v>1.299213E-8</v>
      </c>
      <c r="I2637">
        <v>283.97149999999999</v>
      </c>
      <c r="J2637">
        <v>-201.37700000000001</v>
      </c>
      <c r="K2637">
        <v>1.1200410000000001</v>
      </c>
      <c r="L2637">
        <v>285.38760000000002</v>
      </c>
      <c r="M2637">
        <v>-0.81007069999999903</v>
      </c>
      <c r="N2637">
        <v>-1.2584349999999999E-2</v>
      </c>
      <c r="O2637">
        <v>-0.58619730000000003</v>
      </c>
      <c r="P2637">
        <v>-0.9256702</v>
      </c>
      <c r="Q2637">
        <v>8.837304E-2</v>
      </c>
      <c r="R2637">
        <v>-0.36786580000000002</v>
      </c>
      <c r="S2637">
        <v>-3.1160580000000002</v>
      </c>
      <c r="T2637">
        <v>-0.30064479999999999</v>
      </c>
      <c r="U2637">
        <v>-0.39154050000000001</v>
      </c>
      <c r="V2637">
        <v>0.24500920000000001</v>
      </c>
      <c r="W2637">
        <v>9.9631979999999995E-2</v>
      </c>
      <c r="X2637">
        <v>0.96438789999999996</v>
      </c>
      <c r="Y2637">
        <v>0.47656670000000001</v>
      </c>
      <c r="Z2637">
        <v>7.0833939999999998E-2</v>
      </c>
      <c r="AA2637">
        <v>0.87628009999999901</v>
      </c>
      <c r="AB2637">
        <v>8</v>
      </c>
      <c r="AC2637">
        <v>-11.5352999999999</v>
      </c>
      <c r="AD2637">
        <v>-1.12004098700787</v>
      </c>
      <c r="AE2637">
        <v>-1.4161000000000199</v>
      </c>
      <c r="AF2637">
        <v>5.5635911092968398</v>
      </c>
      <c r="AG2637">
        <v>-1.12004098700787</v>
      </c>
      <c r="AH2637">
        <v>10.0816904450054</v>
      </c>
      <c r="AI2637">
        <v>95.555594086986602</v>
      </c>
      <c r="AJ2637">
        <v>61.107845435206897</v>
      </c>
      <c r="AK2637">
        <v>11.569292116328301</v>
      </c>
      <c r="AL2637">
        <v>84.282021524970503</v>
      </c>
      <c r="AM2637">
        <v>75.745207284606593</v>
      </c>
      <c r="AN2637">
        <v>1.00000003059488</v>
      </c>
    </row>
    <row r="2638" spans="1:40" x14ac:dyDescent="0.25">
      <c r="A2638" t="str">
        <f>"20190303161927019"</f>
        <v>20190303161927019</v>
      </c>
      <c r="B2638" t="str">
        <f>"1551601167005301"</f>
        <v>1551601167005301</v>
      </c>
      <c r="C2638" t="s">
        <v>40</v>
      </c>
      <c r="D2638">
        <v>4.8226979999999999</v>
      </c>
      <c r="E2638">
        <v>0.59592909999999999</v>
      </c>
      <c r="F2638" t="s">
        <v>52</v>
      </c>
      <c r="G2638">
        <v>-212.94669999999999</v>
      </c>
      <c r="H2638" s="1">
        <v>3.1318899999999999E-8</v>
      </c>
      <c r="I2638">
        <v>283.95229999999998</v>
      </c>
      <c r="J2638">
        <v>-201.44380000000001</v>
      </c>
      <c r="K2638">
        <v>1.120052</v>
      </c>
      <c r="L2638">
        <v>285.34949999999998</v>
      </c>
      <c r="M2638">
        <v>-0.81412640000000003</v>
      </c>
      <c r="N2638">
        <v>-1.258308E-2</v>
      </c>
      <c r="O2638">
        <v>-0.58055129999999999</v>
      </c>
      <c r="P2638">
        <v>-0.92568240000000002</v>
      </c>
      <c r="Q2638">
        <v>8.8876250000000004E-2</v>
      </c>
      <c r="R2638">
        <v>-0.36771359999999997</v>
      </c>
      <c r="S2638">
        <v>-3.1160580000000002</v>
      </c>
      <c r="T2638">
        <v>-0.30165979999999998</v>
      </c>
      <c r="U2638">
        <v>-0.38656620000000003</v>
      </c>
      <c r="V2638">
        <v>0.23842189999999999</v>
      </c>
      <c r="W2638">
        <v>0.1001819</v>
      </c>
      <c r="X2638">
        <v>0.96598059999999997</v>
      </c>
      <c r="Y2638">
        <v>0.47184290000000001</v>
      </c>
      <c r="Z2638">
        <v>7.0493059999999996E-2</v>
      </c>
      <c r="AA2638">
        <v>0.87886010000000003</v>
      </c>
      <c r="AB2638">
        <v>8</v>
      </c>
      <c r="AC2638">
        <v>-11.502899999999901</v>
      </c>
      <c r="AD2638">
        <v>-1.1200519686810999</v>
      </c>
      <c r="AE2638">
        <v>-1.39719999999999</v>
      </c>
      <c r="AF2638">
        <v>5.4896732382007603</v>
      </c>
      <c r="AG2638">
        <v>-1.1200519686810999</v>
      </c>
      <c r="AH2638">
        <v>10.0825622826562</v>
      </c>
      <c r="AI2638">
        <v>95.572367034116596</v>
      </c>
      <c r="AJ2638">
        <v>61.432943695274801</v>
      </c>
      <c r="AK2638">
        <v>11.534690756947301</v>
      </c>
      <c r="AL2638">
        <v>84.250354632214993</v>
      </c>
      <c r="AM2638">
        <v>76.135447364890794</v>
      </c>
      <c r="AN2638">
        <v>0.99999996753178899</v>
      </c>
    </row>
    <row r="2639" spans="1:40" x14ac:dyDescent="0.25">
      <c r="A2639" t="str">
        <f>"20190303161927040"</f>
        <v>20190303161927040</v>
      </c>
      <c r="B2639" t="str">
        <f>"1551601167035556"</f>
        <v>1551601167035556</v>
      </c>
      <c r="C2639" t="s">
        <v>40</v>
      </c>
      <c r="D2639">
        <v>4.8021479999999999</v>
      </c>
      <c r="E2639">
        <v>0.59524390000000005</v>
      </c>
      <c r="F2639" t="s">
        <v>52</v>
      </c>
      <c r="G2639">
        <v>-212.86920000000001</v>
      </c>
      <c r="H2639" s="1">
        <v>-9.9188640000000007E-9</v>
      </c>
      <c r="I2639">
        <v>283.9144</v>
      </c>
      <c r="J2639">
        <v>-201.50839999999999</v>
      </c>
      <c r="K2639">
        <v>1.1200680000000001</v>
      </c>
      <c r="L2639">
        <v>285.31330000000003</v>
      </c>
      <c r="M2639">
        <v>-0.81800289999999998</v>
      </c>
      <c r="N2639">
        <v>-1.258161E-2</v>
      </c>
      <c r="O2639">
        <v>-0.57507649999999999</v>
      </c>
      <c r="P2639">
        <v>-0.92520899999999995</v>
      </c>
      <c r="Q2639">
        <v>8.9255619999999994E-2</v>
      </c>
      <c r="R2639">
        <v>-0.36881190000000003</v>
      </c>
      <c r="S2639">
        <v>-3.1147459999999998</v>
      </c>
      <c r="T2639">
        <v>-0.30534210000000001</v>
      </c>
      <c r="U2639">
        <v>-0.39123540000000001</v>
      </c>
      <c r="V2639">
        <v>0.2307574</v>
      </c>
      <c r="W2639">
        <v>0.1006131</v>
      </c>
      <c r="X2639">
        <v>0.96779539999999997</v>
      </c>
      <c r="Y2639">
        <v>0.4645241</v>
      </c>
      <c r="Z2639">
        <v>7.0674509999999996E-2</v>
      </c>
      <c r="AA2639">
        <v>0.88273579999999996</v>
      </c>
      <c r="AB2639">
        <v>8</v>
      </c>
      <c r="AC2639">
        <v>-11.360799999999999</v>
      </c>
      <c r="AD2639">
        <v>-1.12006800991886</v>
      </c>
      <c r="AE2639">
        <v>-1.39890000000002</v>
      </c>
      <c r="AF2639">
        <v>5.3383371621354598</v>
      </c>
      <c r="AG2639">
        <v>-1.12006800991886</v>
      </c>
      <c r="AH2639">
        <v>10.0026662261303</v>
      </c>
      <c r="AI2639">
        <v>95.641858053000206</v>
      </c>
      <c r="AJ2639">
        <v>61.911542019716499</v>
      </c>
      <c r="AK2639">
        <v>11.393231658965201</v>
      </c>
      <c r="AL2639">
        <v>84.225523154923806</v>
      </c>
      <c r="AM2639">
        <v>76.589019264409998</v>
      </c>
      <c r="AN2639">
        <v>0.99999995490376403</v>
      </c>
    </row>
    <row r="2640" spans="1:40" x14ac:dyDescent="0.25">
      <c r="A2640" t="str">
        <f>"20190303161927062"</f>
        <v>20190303161927062</v>
      </c>
      <c r="B2640" t="str">
        <f>"1551601167055076"</f>
        <v>1551601167055076</v>
      </c>
      <c r="C2640" t="s">
        <v>40</v>
      </c>
      <c r="D2640">
        <v>4.8091699999999999</v>
      </c>
      <c r="E2640">
        <v>0.59484789999999998</v>
      </c>
      <c r="F2640" t="s">
        <v>52</v>
      </c>
      <c r="G2640">
        <v>-212.69810000000001</v>
      </c>
      <c r="H2640" s="1">
        <v>-1.010144E-7</v>
      </c>
      <c r="I2640">
        <v>283.86919999999998</v>
      </c>
      <c r="J2640">
        <v>-201.5763</v>
      </c>
      <c r="K2640">
        <v>1.12008</v>
      </c>
      <c r="L2640">
        <v>285.27569999999997</v>
      </c>
      <c r="M2640">
        <v>-0.82202009999999903</v>
      </c>
      <c r="N2640">
        <v>-1.2579689999999999E-2</v>
      </c>
      <c r="O2640">
        <v>-0.56931960000000004</v>
      </c>
      <c r="P2640">
        <v>-0.92467560000000004</v>
      </c>
      <c r="Q2640">
        <v>9.0157260000000003E-2</v>
      </c>
      <c r="R2640">
        <v>-0.36992829999999999</v>
      </c>
      <c r="S2640">
        <v>-3.1124420000000002</v>
      </c>
      <c r="T2640">
        <v>-0.31155119999999997</v>
      </c>
      <c r="U2640">
        <v>-0.40167239999999999</v>
      </c>
      <c r="V2640">
        <v>0.22272910000000001</v>
      </c>
      <c r="W2640">
        <v>0.10156809999999999</v>
      </c>
      <c r="X2640">
        <v>0.96957499999999996</v>
      </c>
      <c r="Y2640">
        <v>0.45518340000000002</v>
      </c>
      <c r="Z2640">
        <v>7.1324879999999993E-2</v>
      </c>
      <c r="AA2640">
        <v>0.8875364</v>
      </c>
      <c r="AB2640">
        <v>8</v>
      </c>
      <c r="AC2640">
        <v>-11.1218</v>
      </c>
      <c r="AD2640">
        <v>-1.1200801010143999</v>
      </c>
      <c r="AE2640">
        <v>-1.4064999999999901</v>
      </c>
      <c r="AF2640">
        <v>5.1249349869418399</v>
      </c>
      <c r="AG2640">
        <v>-1.1200801010143999</v>
      </c>
      <c r="AH2640">
        <v>9.8455898312710097</v>
      </c>
      <c r="AI2640">
        <v>95.762323002651698</v>
      </c>
      <c r="AJ2640">
        <v>62.501623949883701</v>
      </c>
      <c r="AK2640">
        <v>11.1559480627464</v>
      </c>
      <c r="AL2640">
        <v>84.170524229703105</v>
      </c>
      <c r="AM2640">
        <v>77.062566893866801</v>
      </c>
      <c r="AN2640">
        <v>1.0000000057747001</v>
      </c>
    </row>
    <row r="2641" spans="1:40" x14ac:dyDescent="0.25">
      <c r="A2641" t="str">
        <f>"20190303161927088"</f>
        <v>20190303161927088</v>
      </c>
      <c r="B2641" t="str">
        <f>"1551601167075573"</f>
        <v>1551601167075573</v>
      </c>
      <c r="C2641" t="s">
        <v>40</v>
      </c>
      <c r="D2641">
        <v>4.8358429999999997</v>
      </c>
      <c r="E2641">
        <v>0.59452930000000004</v>
      </c>
      <c r="F2641" t="s">
        <v>52</v>
      </c>
      <c r="G2641">
        <v>-212.68520000000001</v>
      </c>
      <c r="H2641" s="1">
        <v>-1.078813E-7</v>
      </c>
      <c r="I2641">
        <v>283.81259999999997</v>
      </c>
      <c r="J2641">
        <v>-201.6541</v>
      </c>
      <c r="K2641">
        <v>1.120082</v>
      </c>
      <c r="L2641">
        <v>285.23349999999999</v>
      </c>
      <c r="M2641">
        <v>-0.82655179999999995</v>
      </c>
      <c r="N2641">
        <v>-1.257725E-2</v>
      </c>
      <c r="O2641">
        <v>-0.56272</v>
      </c>
      <c r="P2641">
        <v>-0.92471780000000003</v>
      </c>
      <c r="Q2641">
        <v>9.0553579999999995E-2</v>
      </c>
      <c r="R2641">
        <v>-0.36972579999999999</v>
      </c>
      <c r="S2641">
        <v>-3.1110380000000002</v>
      </c>
      <c r="T2641">
        <v>-0.31367970000000001</v>
      </c>
      <c r="U2641">
        <v>-0.4097595</v>
      </c>
      <c r="V2641">
        <v>0.21514040000000001</v>
      </c>
      <c r="W2641">
        <v>0.10201349999999999</v>
      </c>
      <c r="X2641">
        <v>0.9712404</v>
      </c>
      <c r="Y2641">
        <v>0.44572859999999997</v>
      </c>
      <c r="Z2641">
        <v>7.0878250000000004E-2</v>
      </c>
      <c r="AA2641">
        <v>0.89235769999999903</v>
      </c>
      <c r="AB2641">
        <v>8</v>
      </c>
      <c r="AC2641">
        <v>-11.0311</v>
      </c>
      <c r="AD2641">
        <v>-1.1200821078812999</v>
      </c>
      <c r="AE2641">
        <v>-1.42090000000001</v>
      </c>
      <c r="AF2641">
        <v>4.9828366151744197</v>
      </c>
      <c r="AG2641">
        <v>-1.1200821078812999</v>
      </c>
      <c r="AH2641">
        <v>9.8185516746963195</v>
      </c>
      <c r="AI2641">
        <v>95.808597961645106</v>
      </c>
      <c r="AJ2641">
        <v>63.092570088746498</v>
      </c>
      <c r="AK2641">
        <v>11.0673936249959</v>
      </c>
      <c r="AL2641">
        <v>84.144871588194704</v>
      </c>
      <c r="AM2641">
        <v>77.510032330681696</v>
      </c>
      <c r="AN2641">
        <v>1.0000000302432801</v>
      </c>
    </row>
    <row r="2642" spans="1:40" x14ac:dyDescent="0.25">
      <c r="A2642" t="str">
        <f>"20190303161927109"</f>
        <v>20190303161927109</v>
      </c>
      <c r="B2642" t="str">
        <f>"1551601167104852"</f>
        <v>1551601167104852</v>
      </c>
      <c r="C2642" t="s">
        <v>40</v>
      </c>
      <c r="D2642">
        <v>4.8109659999999996</v>
      </c>
      <c r="E2642">
        <v>0.59414040000000001</v>
      </c>
      <c r="F2642" t="s">
        <v>52</v>
      </c>
      <c r="G2642">
        <v>-212.67910000000001</v>
      </c>
      <c r="H2642" s="1">
        <v>-1.111251E-7</v>
      </c>
      <c r="I2642">
        <v>283.7731</v>
      </c>
      <c r="J2642">
        <v>-201.7225</v>
      </c>
      <c r="K2642">
        <v>1.1200909999999999</v>
      </c>
      <c r="L2642">
        <v>285.19709999999998</v>
      </c>
      <c r="M2642">
        <v>-0.83047280000000001</v>
      </c>
      <c r="N2642">
        <v>-1.257496E-2</v>
      </c>
      <c r="O2642">
        <v>-0.55691749999999995</v>
      </c>
      <c r="P2642">
        <v>-0.92429399999999995</v>
      </c>
      <c r="Q2642">
        <v>9.1241429999999998E-2</v>
      </c>
      <c r="R2642">
        <v>-0.370616</v>
      </c>
      <c r="S2642">
        <v>-3.1104579999999999</v>
      </c>
      <c r="T2642">
        <v>-0.31600810000000001</v>
      </c>
      <c r="U2642">
        <v>-0.41201779999999999</v>
      </c>
      <c r="V2642">
        <v>0.20735029999999999</v>
      </c>
      <c r="W2642">
        <v>0.1027506</v>
      </c>
      <c r="X2642">
        <v>0.97285569999999999</v>
      </c>
      <c r="Y2642">
        <v>0.43878519999999999</v>
      </c>
      <c r="Z2642">
        <v>7.0654350000000005E-2</v>
      </c>
      <c r="AA2642">
        <v>0.89581</v>
      </c>
      <c r="AB2642">
        <v>8</v>
      </c>
      <c r="AC2642">
        <v>-10.9566</v>
      </c>
      <c r="AD2642">
        <v>-1.1200911111251</v>
      </c>
      <c r="AE2642">
        <v>-1.42399999999997</v>
      </c>
      <c r="AF2642">
        <v>4.8696700347575703</v>
      </c>
      <c r="AG2642">
        <v>-1.1200911111251</v>
      </c>
      <c r="AH2642">
        <v>9.7923502662708906</v>
      </c>
      <c r="AI2642">
        <v>95.847790422889801</v>
      </c>
      <c r="AJ2642">
        <v>63.559149761954501</v>
      </c>
      <c r="AK2642">
        <v>10.993562392690199</v>
      </c>
      <c r="AL2642">
        <v>84.102415726847198</v>
      </c>
      <c r="AM2642">
        <v>77.9682548432705</v>
      </c>
      <c r="AN2642">
        <v>1.0000000228664601</v>
      </c>
    </row>
    <row r="2643" spans="1:40" x14ac:dyDescent="0.25">
      <c r="A2643" t="str">
        <f>"20190303161927131"</f>
        <v>20190303161927131</v>
      </c>
      <c r="B2643" t="str">
        <f>"1551601167125348"</f>
        <v>1551601167125348</v>
      </c>
      <c r="C2643" t="s">
        <v>40</v>
      </c>
      <c r="D2643">
        <v>4.8243980000000004</v>
      </c>
      <c r="E2643">
        <v>0.5939738</v>
      </c>
      <c r="F2643" t="s">
        <v>52</v>
      </c>
      <c r="G2643">
        <v>-212.6865</v>
      </c>
      <c r="H2643" s="1">
        <v>-1.071593E-7</v>
      </c>
      <c r="I2643">
        <v>283.72179999999997</v>
      </c>
      <c r="J2643">
        <v>-201.78809999999999</v>
      </c>
      <c r="K2643">
        <v>1.120098</v>
      </c>
      <c r="L2643">
        <v>285.16269999999997</v>
      </c>
      <c r="M2643">
        <v>-0.83418599999999998</v>
      </c>
      <c r="N2643">
        <v>-1.257286E-2</v>
      </c>
      <c r="O2643">
        <v>-0.55133999999999905</v>
      </c>
      <c r="P2643">
        <v>-0.92405950000000003</v>
      </c>
      <c r="Q2643">
        <v>9.1206129999999996E-2</v>
      </c>
      <c r="R2643">
        <v>-0.37120880000000001</v>
      </c>
      <c r="S2643">
        <v>-3.109299</v>
      </c>
      <c r="T2643">
        <v>-0.31764730000000002</v>
      </c>
      <c r="U2643">
        <v>-0.4183655</v>
      </c>
      <c r="V2643">
        <v>0.20019310000000001</v>
      </c>
      <c r="W2643">
        <v>0.10275960000000001</v>
      </c>
      <c r="X2643">
        <v>0.97435269999999996</v>
      </c>
      <c r="Y2643">
        <v>0.43092839999999999</v>
      </c>
      <c r="Z2643">
        <v>7.0219719999999999E-2</v>
      </c>
      <c r="AA2643">
        <v>0.8996499</v>
      </c>
      <c r="AB2643">
        <v>8</v>
      </c>
      <c r="AC2643">
        <v>-10.898400000000001</v>
      </c>
      <c r="AD2643">
        <v>-1.1200981071592999</v>
      </c>
      <c r="AE2643">
        <v>-1.4408999999999901</v>
      </c>
      <c r="AF2643">
        <v>4.7577323675223502</v>
      </c>
      <c r="AG2643">
        <v>-1.1200981071592999</v>
      </c>
      <c r="AH2643">
        <v>9.7849169221789598</v>
      </c>
      <c r="AI2643">
        <v>95.877750583323703</v>
      </c>
      <c r="AJ2643">
        <v>64.069531078125493</v>
      </c>
      <c r="AK2643">
        <v>10.9377893664385</v>
      </c>
      <c r="AL2643">
        <v>84.101897175575402</v>
      </c>
      <c r="AM2643">
        <v>78.389436576595003</v>
      </c>
      <c r="AN2643">
        <v>0.99999999833852904</v>
      </c>
    </row>
    <row r="2644" spans="1:40" x14ac:dyDescent="0.25">
      <c r="A2644" t="str">
        <f>"20190303161927152"</f>
        <v>20190303161927152</v>
      </c>
      <c r="B2644" t="str">
        <f>"1551601167144868"</f>
        <v>1551601167144868</v>
      </c>
      <c r="C2644" t="s">
        <v>40</v>
      </c>
      <c r="D2644">
        <v>4.8204060000000002</v>
      </c>
      <c r="E2644">
        <v>0.59379209999999905</v>
      </c>
      <c r="F2644" t="s">
        <v>52</v>
      </c>
      <c r="G2644">
        <v>-212.70410000000001</v>
      </c>
      <c r="H2644" s="1">
        <v>-9.7810699999999998E-8</v>
      </c>
      <c r="I2644">
        <v>283.68259999999998</v>
      </c>
      <c r="J2644">
        <v>-201.85769999999999</v>
      </c>
      <c r="K2644">
        <v>1.120109</v>
      </c>
      <c r="L2644">
        <v>285.1268</v>
      </c>
      <c r="M2644">
        <v>-0.83806429999999998</v>
      </c>
      <c r="N2644">
        <v>-1.2570629999999999E-2</v>
      </c>
      <c r="O2644">
        <v>-0.54542709999999905</v>
      </c>
      <c r="P2644">
        <v>-0.92425690000000005</v>
      </c>
      <c r="Q2644">
        <v>9.1579389999999997E-2</v>
      </c>
      <c r="R2644">
        <v>-0.37062539999999999</v>
      </c>
      <c r="S2644">
        <v>-3.1087189999999998</v>
      </c>
      <c r="T2644">
        <v>-0.31898880000000002</v>
      </c>
      <c r="U2644">
        <v>-0.42150880000000002</v>
      </c>
      <c r="V2644">
        <v>0.1938858</v>
      </c>
      <c r="W2644">
        <v>0.103170899999999</v>
      </c>
      <c r="X2644">
        <v>0.97558400000000001</v>
      </c>
      <c r="Y2644">
        <v>0.42364679999999999</v>
      </c>
      <c r="Z2644">
        <v>6.9708720000000002E-2</v>
      </c>
      <c r="AA2644">
        <v>0.90314119999999998</v>
      </c>
      <c r="AB2644">
        <v>8</v>
      </c>
      <c r="AC2644">
        <v>-10.846399999999999</v>
      </c>
      <c r="AD2644">
        <v>-1.1201090978107</v>
      </c>
      <c r="AE2644">
        <v>-1.4442000000000199</v>
      </c>
      <c r="AF2644">
        <v>4.65715660583525</v>
      </c>
      <c r="AG2644">
        <v>-1.1201090978107</v>
      </c>
      <c r="AH2644">
        <v>9.7760221070736595</v>
      </c>
      <c r="AI2644">
        <v>95.905636775807594</v>
      </c>
      <c r="AJ2644">
        <v>64.527540215147397</v>
      </c>
      <c r="AK2644">
        <v>10.8864300980746</v>
      </c>
      <c r="AL2644">
        <v>84.0782057438241</v>
      </c>
      <c r="AM2644">
        <v>78.759600028540902</v>
      </c>
      <c r="AN2644">
        <v>1.0000000395522199</v>
      </c>
    </row>
    <row r="2645" spans="1:40" x14ac:dyDescent="0.25">
      <c r="A2645" t="str">
        <f>"20190303161927174"</f>
        <v>20190303161927174</v>
      </c>
      <c r="B2645" t="str">
        <f>"1551601167165365"</f>
        <v>1551601167165365</v>
      </c>
      <c r="C2645" t="s">
        <v>40</v>
      </c>
      <c r="D2645">
        <v>4.815842</v>
      </c>
      <c r="E2645">
        <v>0.59370970000000001</v>
      </c>
      <c r="F2645" t="s">
        <v>52</v>
      </c>
      <c r="G2645">
        <v>-212.7653</v>
      </c>
      <c r="H2645" s="1">
        <v>-6.5225890000000003E-8</v>
      </c>
      <c r="I2645">
        <v>283.65140000000002</v>
      </c>
      <c r="J2645">
        <v>-201.92500000000001</v>
      </c>
      <c r="K2645">
        <v>1.120112</v>
      </c>
      <c r="L2645">
        <v>285.09269999999998</v>
      </c>
      <c r="M2645">
        <v>-0.84176489999999904</v>
      </c>
      <c r="N2645">
        <v>-1.2568569999999999E-2</v>
      </c>
      <c r="O2645">
        <v>-0.53969780000000001</v>
      </c>
      <c r="P2645">
        <v>-0.92480410000000002</v>
      </c>
      <c r="Q2645">
        <v>9.2102890000000007E-2</v>
      </c>
      <c r="R2645">
        <v>-0.36912669999999997</v>
      </c>
      <c r="S2645">
        <v>-3.108841</v>
      </c>
      <c r="T2645">
        <v>-0.31924709999999901</v>
      </c>
      <c r="U2645">
        <v>-0.42053220000000002</v>
      </c>
      <c r="V2645">
        <v>0.18877659999999999</v>
      </c>
      <c r="W2645">
        <v>0.10372339999999999</v>
      </c>
      <c r="X2645">
        <v>0.97652689999999998</v>
      </c>
      <c r="Y2645">
        <v>0.41779430000000001</v>
      </c>
      <c r="Z2645">
        <v>6.9028919999999994E-2</v>
      </c>
      <c r="AA2645">
        <v>0.90591560000000004</v>
      </c>
      <c r="AB2645">
        <v>8</v>
      </c>
      <c r="AC2645">
        <v>-10.8402999999999</v>
      </c>
      <c r="AD2645">
        <v>-1.12011206522588</v>
      </c>
      <c r="AE2645">
        <v>-1.4412999999999501</v>
      </c>
      <c r="AF2645">
        <v>4.5894674507605098</v>
      </c>
      <c r="AG2645">
        <v>-1.12011206522588</v>
      </c>
      <c r="AH2645">
        <v>9.8008101614334304</v>
      </c>
      <c r="AI2645">
        <v>95.909171624673803</v>
      </c>
      <c r="AJ2645">
        <v>64.907515185867595</v>
      </c>
      <c r="AK2645">
        <v>10.879969776645099</v>
      </c>
      <c r="AL2645">
        <v>84.046378643868593</v>
      </c>
      <c r="AM2645">
        <v>79.058866629246197</v>
      </c>
      <c r="AN2645">
        <v>0.99999996741936403</v>
      </c>
    </row>
    <row r="2646" spans="1:40" x14ac:dyDescent="0.25">
      <c r="A2646" t="str">
        <f>"20190303161927197"</f>
        <v>20190303161927197</v>
      </c>
      <c r="B2646" t="str">
        <f>"1551601167184884"</f>
        <v>1551601167184884</v>
      </c>
      <c r="C2646" t="s">
        <v>40</v>
      </c>
      <c r="D2646">
        <v>4.6727150000000002</v>
      </c>
      <c r="E2646">
        <v>0.62339460000000002</v>
      </c>
      <c r="F2646" t="s">
        <v>52</v>
      </c>
      <c r="G2646">
        <v>-212.857</v>
      </c>
      <c r="H2646" s="1">
        <v>-1.64564E-8</v>
      </c>
      <c r="I2646">
        <v>283.63080000000002</v>
      </c>
      <c r="J2646">
        <v>-201.9966</v>
      </c>
      <c r="K2646">
        <v>1.1201129999999999</v>
      </c>
      <c r="L2646">
        <v>285.05700000000002</v>
      </c>
      <c r="M2646">
        <v>-0.84564619999999902</v>
      </c>
      <c r="N2646">
        <v>-1.2566620000000001E-2</v>
      </c>
      <c r="O2646">
        <v>-0.53359619999999996</v>
      </c>
      <c r="P2646">
        <v>-0.92603400000000002</v>
      </c>
      <c r="Q2646">
        <v>9.2040849999999994E-2</v>
      </c>
      <c r="R2646">
        <v>-0.36604639999999999</v>
      </c>
      <c r="S2646">
        <v>-3.1097109999999999</v>
      </c>
      <c r="T2646">
        <v>-0.31862629999999997</v>
      </c>
      <c r="U2646">
        <v>-0.41583249999999999</v>
      </c>
      <c r="V2646">
        <v>0.18496099999999999</v>
      </c>
      <c r="W2646">
        <v>0.1036835</v>
      </c>
      <c r="X2646">
        <v>0.97726109999999999</v>
      </c>
      <c r="Y2646">
        <v>0.41266950000000002</v>
      </c>
      <c r="Z2646">
        <v>6.8153359999999996E-2</v>
      </c>
      <c r="AA2646">
        <v>0.90832760000000001</v>
      </c>
      <c r="AB2646">
        <v>8</v>
      </c>
      <c r="AC2646">
        <v>-10.860399999999901</v>
      </c>
      <c r="AD2646">
        <v>-1.1201130164563999</v>
      </c>
      <c r="AE2646">
        <v>-1.4261999999999899</v>
      </c>
      <c r="AF2646">
        <v>4.5418749097461601</v>
      </c>
      <c r="AG2646">
        <v>-1.1201130164563999</v>
      </c>
      <c r="AH2646">
        <v>9.8429273354090299</v>
      </c>
      <c r="AI2646">
        <v>95.899363106592801</v>
      </c>
      <c r="AJ2646">
        <v>65.229728610717302</v>
      </c>
      <c r="AK2646">
        <v>10.898004376745201</v>
      </c>
      <c r="AL2646">
        <v>84.048677623503096</v>
      </c>
      <c r="AM2646">
        <v>79.282701724171702</v>
      </c>
      <c r="AN2646">
        <v>1.0000000486332199</v>
      </c>
    </row>
    <row r="2647" spans="1:40" x14ac:dyDescent="0.25">
      <c r="A2647" t="str">
        <f>"20190303161927220"</f>
        <v>20190303161927220</v>
      </c>
      <c r="B2647" t="str">
        <f>"1551601167215140"</f>
        <v>1551601167215140</v>
      </c>
      <c r="C2647" t="s">
        <v>40</v>
      </c>
      <c r="D2647">
        <v>4.6786649999999996</v>
      </c>
      <c r="E2647">
        <v>0.62277439999999995</v>
      </c>
      <c r="F2647" t="s">
        <v>52</v>
      </c>
      <c r="G2647">
        <v>-219.37639999999999</v>
      </c>
      <c r="H2647" s="1">
        <v>3.4528459999999998E-6</v>
      </c>
      <c r="I2647">
        <v>284.05470000000003</v>
      </c>
      <c r="J2647">
        <v>-202.06809999999999</v>
      </c>
      <c r="K2647">
        <v>1.1201049999999999</v>
      </c>
      <c r="L2647">
        <v>285.02199999999999</v>
      </c>
      <c r="M2647">
        <v>-0.84946149999999998</v>
      </c>
      <c r="N2647">
        <v>-1.2564779999999999E-2</v>
      </c>
      <c r="O2647">
        <v>-0.5275012</v>
      </c>
      <c r="P2647">
        <v>-0.92765039999999999</v>
      </c>
      <c r="Q2647">
        <v>9.1268840000000004E-2</v>
      </c>
      <c r="R2647">
        <v>-0.36212559999999999</v>
      </c>
      <c r="S2647">
        <v>-3.1873629999999999</v>
      </c>
      <c r="T2647">
        <v>-0.20542250000000001</v>
      </c>
      <c r="U2647">
        <v>-0.18380740000000001</v>
      </c>
      <c r="V2647">
        <v>0.18209980000000001</v>
      </c>
      <c r="W2647">
        <v>0.10292850000000001</v>
      </c>
      <c r="X2647">
        <v>0.97787800000000002</v>
      </c>
      <c r="Y2647">
        <v>0.47599330000000001</v>
      </c>
      <c r="Z2647">
        <v>4.3820209999999998E-2</v>
      </c>
      <c r="AA2647">
        <v>0.87835649999999998</v>
      </c>
      <c r="AB2647">
        <v>8</v>
      </c>
      <c r="AC2647">
        <v>-17.308299999999999</v>
      </c>
      <c r="AD2647">
        <v>-1.1201015471539999</v>
      </c>
      <c r="AE2647">
        <v>-0.96729999999996596</v>
      </c>
      <c r="AF2647">
        <v>8.2745739165536705</v>
      </c>
      <c r="AG2647">
        <v>-1.1201015471539999</v>
      </c>
      <c r="AH2647">
        <v>15.150931217002499</v>
      </c>
      <c r="AI2647">
        <v>93.712355061818698</v>
      </c>
      <c r="AJ2647">
        <v>61.3591516664941</v>
      </c>
      <c r="AK2647">
        <v>17.2995351879404</v>
      </c>
      <c r="AL2647">
        <v>84.092168329571805</v>
      </c>
      <c r="AM2647">
        <v>79.451245278218195</v>
      </c>
      <c r="AN2647">
        <v>0.99999999807814499</v>
      </c>
    </row>
    <row r="2648" spans="1:40" x14ac:dyDescent="0.25">
      <c r="A2648" t="str">
        <f>"20190303161927243"</f>
        <v>20190303161927243</v>
      </c>
      <c r="B2648" t="str">
        <f>"1551601167235636"</f>
        <v>1551601167235636</v>
      </c>
      <c r="C2648" t="s">
        <v>40</v>
      </c>
      <c r="D2648">
        <v>4.5902690000000002</v>
      </c>
      <c r="E2648">
        <v>0.62208619999999903</v>
      </c>
      <c r="F2648" t="s">
        <v>52</v>
      </c>
      <c r="G2648">
        <v>-219.6738</v>
      </c>
      <c r="H2648" s="1">
        <v>3.6111270000000001E-6</v>
      </c>
      <c r="I2648">
        <v>284.06180000000001</v>
      </c>
      <c r="J2648">
        <v>-202.1421</v>
      </c>
      <c r="K2648">
        <v>1.120106</v>
      </c>
      <c r="L2648">
        <v>284.98649999999998</v>
      </c>
      <c r="M2648">
        <v>-0.85335680000000003</v>
      </c>
      <c r="N2648">
        <v>-1.256297E-2</v>
      </c>
      <c r="O2648">
        <v>-0.52117570000000002</v>
      </c>
      <c r="P2648">
        <v>-0.92969449999999998</v>
      </c>
      <c r="Q2648">
        <v>9.0105180000000007E-2</v>
      </c>
      <c r="R2648">
        <v>-0.35714050000000003</v>
      </c>
      <c r="S2648">
        <v>-3.186096</v>
      </c>
      <c r="T2648">
        <v>-0.202704</v>
      </c>
      <c r="U2648">
        <v>-0.17376710000000001</v>
      </c>
      <c r="V2648">
        <v>0.1801362</v>
      </c>
      <c r="W2648">
        <v>0.1017768</v>
      </c>
      <c r="X2648">
        <v>0.97836210000000001</v>
      </c>
      <c r="Y2648">
        <v>0.47226069999999998</v>
      </c>
      <c r="Z2648">
        <v>4.2823739999999999E-2</v>
      </c>
      <c r="AA2648">
        <v>0.88041809999999998</v>
      </c>
      <c r="AB2648">
        <v>8</v>
      </c>
      <c r="AC2648">
        <v>-17.531700000000001</v>
      </c>
      <c r="AD2648">
        <v>-1.120102388873</v>
      </c>
      <c r="AE2648">
        <v>-0.92469999999997299</v>
      </c>
      <c r="AF2648">
        <v>8.3148103569145402</v>
      </c>
      <c r="AG2648">
        <v>-1.120102388873</v>
      </c>
      <c r="AH2648">
        <v>15.381335560303</v>
      </c>
      <c r="AI2648">
        <v>93.665424594410993</v>
      </c>
      <c r="AJ2648">
        <v>61.605323267643598</v>
      </c>
      <c r="AK2648">
        <v>17.520735836478298</v>
      </c>
      <c r="AL2648">
        <v>84.158504179842197</v>
      </c>
      <c r="AM2648">
        <v>79.567531638878293</v>
      </c>
      <c r="AN2648">
        <v>0.99999998314254401</v>
      </c>
    </row>
    <row r="2649" spans="1:40" x14ac:dyDescent="0.25">
      <c r="A2649" t="str">
        <f>"20190303161927263"</f>
        <v>20190303161927263</v>
      </c>
      <c r="B2649" t="str">
        <f>"1551601167255157"</f>
        <v>1551601167255157</v>
      </c>
      <c r="C2649" t="s">
        <v>40</v>
      </c>
      <c r="D2649">
        <v>4.638223</v>
      </c>
      <c r="E2649">
        <v>0.62183069999999996</v>
      </c>
      <c r="F2649" t="s">
        <v>52</v>
      </c>
      <c r="G2649">
        <v>-219.45939999999999</v>
      </c>
      <c r="H2649" s="1">
        <v>3.4970129999999999E-6</v>
      </c>
      <c r="I2649">
        <v>284.1114</v>
      </c>
      <c r="J2649">
        <v>-202.20650000000001</v>
      </c>
      <c r="K2649">
        <v>1.1201019999999999</v>
      </c>
      <c r="L2649">
        <v>284.95609999999999</v>
      </c>
      <c r="M2649">
        <v>-0.85669209999999996</v>
      </c>
      <c r="N2649">
        <v>-1.2561579999999999E-2</v>
      </c>
      <c r="O2649">
        <v>-0.5156752</v>
      </c>
      <c r="P2649">
        <v>-0.93141910000000006</v>
      </c>
      <c r="Q2649">
        <v>8.8822280000000003E-2</v>
      </c>
      <c r="R2649">
        <v>-0.35294350000000002</v>
      </c>
      <c r="S2649">
        <v>-3.1849980000000002</v>
      </c>
      <c r="T2649">
        <v>-0.2060101</v>
      </c>
      <c r="U2649">
        <v>-0.1609497</v>
      </c>
      <c r="V2649">
        <v>0.1783111</v>
      </c>
      <c r="W2649">
        <v>0.10050539999999999</v>
      </c>
      <c r="X2649">
        <v>0.97882780000000003</v>
      </c>
      <c r="Y2649">
        <v>0.47005950000000002</v>
      </c>
      <c r="Z2649">
        <v>4.3301609999999997E-2</v>
      </c>
      <c r="AA2649">
        <v>0.88157189999999996</v>
      </c>
      <c r="AB2649">
        <v>8</v>
      </c>
      <c r="AC2649">
        <v>-17.252899999999901</v>
      </c>
      <c r="AD2649">
        <v>-1.1200985029870001</v>
      </c>
      <c r="AE2649">
        <v>-0.84469999999998802</v>
      </c>
      <c r="AF2649">
        <v>8.1396636152024602</v>
      </c>
      <c r="AG2649">
        <v>-1.1200985029870001</v>
      </c>
      <c r="AH2649">
        <v>15.153496281461999</v>
      </c>
      <c r="AI2649">
        <v>93.7256876252778</v>
      </c>
      <c r="AJ2649">
        <v>61.757639529053797</v>
      </c>
      <c r="AK2649">
        <v>17.237667881048399</v>
      </c>
      <c r="AL2649">
        <v>84.231725742880101</v>
      </c>
      <c r="AM2649">
        <v>79.675753151676901</v>
      </c>
      <c r="AN2649">
        <v>1.0000000229326</v>
      </c>
    </row>
    <row r="2650" spans="1:40" x14ac:dyDescent="0.25">
      <c r="A2650" t="str">
        <f>"20190303161927299"</f>
        <v>20190303161927299</v>
      </c>
      <c r="B2650" t="str">
        <f>"1551601167295172"</f>
        <v>1551601167295172</v>
      </c>
      <c r="C2650" t="s">
        <v>40</v>
      </c>
      <c r="D2650">
        <v>4.4996140000000002</v>
      </c>
      <c r="E2650">
        <v>0.62283849999999996</v>
      </c>
      <c r="F2650" t="s">
        <v>52</v>
      </c>
      <c r="G2650">
        <v>-219.3082</v>
      </c>
      <c r="H2650" s="1">
        <v>3.416568E-6</v>
      </c>
      <c r="I2650">
        <v>284.16370000000001</v>
      </c>
      <c r="J2650">
        <v>-202.31739999999999</v>
      </c>
      <c r="K2650">
        <v>1.1200909999999999</v>
      </c>
      <c r="L2650">
        <v>284.9051</v>
      </c>
      <c r="M2650">
        <v>-0.86233329999999997</v>
      </c>
      <c r="N2650">
        <v>-1.25594E-2</v>
      </c>
      <c r="O2650">
        <v>-0.50618540000000001</v>
      </c>
      <c r="P2650">
        <v>-0.93565259999999995</v>
      </c>
      <c r="Q2650">
        <v>8.7296929999999995E-2</v>
      </c>
      <c r="R2650">
        <v>-0.34195550000000002</v>
      </c>
      <c r="S2650">
        <v>-3.18486</v>
      </c>
      <c r="T2650">
        <v>-0.2085967</v>
      </c>
      <c r="U2650">
        <v>-0.14758299999999999</v>
      </c>
      <c r="V2650">
        <v>0.17909330000000001</v>
      </c>
      <c r="W2650">
        <v>9.8976720000000004E-2</v>
      </c>
      <c r="X2650">
        <v>0.97884079999999996</v>
      </c>
      <c r="Y2650">
        <v>0.4639779</v>
      </c>
      <c r="Z2650">
        <v>4.326754E-2</v>
      </c>
      <c r="AA2650">
        <v>0.88478950000000001</v>
      </c>
      <c r="AB2650">
        <v>8</v>
      </c>
      <c r="AC2650">
        <v>-16.9908</v>
      </c>
      <c r="AD2650">
        <v>-1.1200875834320001</v>
      </c>
      <c r="AE2650">
        <v>-0.74139999999999795</v>
      </c>
      <c r="AF2650">
        <v>7.9274025261218304</v>
      </c>
      <c r="AG2650">
        <v>-1.1200875834320001</v>
      </c>
      <c r="AH2650">
        <v>14.9632980095916</v>
      </c>
      <c r="AI2650">
        <v>93.784384479369393</v>
      </c>
      <c r="AJ2650">
        <v>62.085813932639603</v>
      </c>
      <c r="AK2650">
        <v>16.970521333464401</v>
      </c>
      <c r="AL2650">
        <v>84.319751800473995</v>
      </c>
      <c r="AM2650">
        <v>79.631578588442807</v>
      </c>
      <c r="AN2650">
        <v>1.0000000564757401</v>
      </c>
    </row>
    <row r="2651" spans="1:40" x14ac:dyDescent="0.25">
      <c r="A2651" t="str">
        <f>"20190303161927319"</f>
        <v>20190303161927319</v>
      </c>
      <c r="B2651" t="str">
        <f>"1551601167315669"</f>
        <v>1551601167315669</v>
      </c>
      <c r="C2651" t="s">
        <v>40</v>
      </c>
      <c r="D2651">
        <v>4.578093</v>
      </c>
      <c r="E2651">
        <v>0.62348219999999899</v>
      </c>
      <c r="F2651" t="s">
        <v>52</v>
      </c>
      <c r="G2651">
        <v>-219.46879999999999</v>
      </c>
      <c r="H2651" s="1">
        <v>3.5020329999999999E-6</v>
      </c>
      <c r="I2651">
        <v>284.358</v>
      </c>
      <c r="J2651">
        <v>-202.38509999999999</v>
      </c>
      <c r="K2651">
        <v>1.1200840000000001</v>
      </c>
      <c r="L2651">
        <v>284.87459999999999</v>
      </c>
      <c r="M2651">
        <v>-0.86571419999999999</v>
      </c>
      <c r="N2651">
        <v>-1.2558110000000001E-2</v>
      </c>
      <c r="O2651">
        <v>-0.50038110000000002</v>
      </c>
      <c r="P2651">
        <v>-0.93818619999999997</v>
      </c>
      <c r="Q2651">
        <v>8.6261610000000002E-2</v>
      </c>
      <c r="R2651">
        <v>-0.33520949999999999</v>
      </c>
      <c r="S2651">
        <v>-3.1885680000000001</v>
      </c>
      <c r="T2651">
        <v>-0.2082319</v>
      </c>
      <c r="U2651">
        <v>-0.1017151</v>
      </c>
      <c r="V2651">
        <v>0.179610299999999</v>
      </c>
      <c r="W2651">
        <v>9.7938949999999997E-2</v>
      </c>
      <c r="X2651">
        <v>0.97885040000000001</v>
      </c>
      <c r="Y2651">
        <v>0.47077020000000003</v>
      </c>
      <c r="Z2651">
        <v>4.3192319999999999E-2</v>
      </c>
      <c r="AA2651">
        <v>0.88119799999999904</v>
      </c>
      <c r="AB2651">
        <v>7</v>
      </c>
      <c r="AC2651">
        <v>-17.083699999999901</v>
      </c>
      <c r="AD2651">
        <v>-1.120080497967</v>
      </c>
      <c r="AE2651">
        <v>-0.51659999999998196</v>
      </c>
      <c r="AF2651">
        <v>8.0671251389101606</v>
      </c>
      <c r="AG2651">
        <v>-1.120080497967</v>
      </c>
      <c r="AH2651">
        <v>14.984928590060701</v>
      </c>
      <c r="AI2651">
        <v>93.765535481626401</v>
      </c>
      <c r="AJ2651">
        <v>61.7042318150447</v>
      </c>
      <c r="AK2651">
        <v>17.055238877775299</v>
      </c>
      <c r="AL2651">
        <v>84.379501644667698</v>
      </c>
      <c r="AM2651">
        <v>79.602399082815694</v>
      </c>
      <c r="AN2651">
        <v>1.0000000016866699</v>
      </c>
    </row>
    <row r="2652" spans="1:40" x14ac:dyDescent="0.25">
      <c r="A2652" t="str">
        <f>"20190303161927342"</f>
        <v>20190303161927342</v>
      </c>
      <c r="B2652" t="str">
        <f>"1551601167335189"</f>
        <v>1551601167335189</v>
      </c>
      <c r="C2652" t="s">
        <v>40</v>
      </c>
      <c r="D2652">
        <v>4.7998349999999999</v>
      </c>
      <c r="E2652">
        <v>0.62369459999999999</v>
      </c>
      <c r="F2652" t="s">
        <v>52</v>
      </c>
      <c r="G2652">
        <v>-219.38679999999999</v>
      </c>
      <c r="H2652" s="1">
        <v>3.4584230000000002E-6</v>
      </c>
      <c r="I2652">
        <v>284.48140000000001</v>
      </c>
      <c r="J2652">
        <v>-202.45779999999999</v>
      </c>
      <c r="K2652">
        <v>1.120093</v>
      </c>
      <c r="L2652">
        <v>284.84249999999997</v>
      </c>
      <c r="M2652">
        <v>-0.86928919999999998</v>
      </c>
      <c r="N2652">
        <v>-1.255672E-2</v>
      </c>
      <c r="O2652">
        <v>-0.49414459999999999</v>
      </c>
      <c r="P2652">
        <v>-0.94086150000000002</v>
      </c>
      <c r="Q2652">
        <v>8.5992429999999995E-2</v>
      </c>
      <c r="R2652">
        <v>-0.32769680000000001</v>
      </c>
      <c r="S2652">
        <v>-3.1906129999999999</v>
      </c>
      <c r="T2652">
        <v>-0.21019840000000001</v>
      </c>
      <c r="U2652">
        <v>-7.3791499999999996E-2</v>
      </c>
      <c r="V2652">
        <v>0.18041219999999999</v>
      </c>
      <c r="W2652">
        <v>9.7664650000000006E-2</v>
      </c>
      <c r="X2652">
        <v>0.97873030000000005</v>
      </c>
      <c r="Y2652">
        <v>0.47212470000000001</v>
      </c>
      <c r="Z2652">
        <v>4.3408629999999997E-2</v>
      </c>
      <c r="AA2652">
        <v>0.88046229999999903</v>
      </c>
      <c r="AB2652">
        <v>7</v>
      </c>
      <c r="AC2652">
        <v>-16.928999999999998</v>
      </c>
      <c r="AD2652">
        <v>-1.120089541577</v>
      </c>
      <c r="AE2652">
        <v>-0.36109999999996401</v>
      </c>
      <c r="AF2652">
        <v>8.0170274054013397</v>
      </c>
      <c r="AG2652">
        <v>-1.120089541577</v>
      </c>
      <c r="AH2652">
        <v>14.830909555712401</v>
      </c>
      <c r="AI2652">
        <v>93.801051034449799</v>
      </c>
      <c r="AJ2652">
        <v>61.606025259848202</v>
      </c>
      <c r="AK2652">
        <v>16.8962483187786</v>
      </c>
      <c r="AL2652">
        <v>84.395293423401</v>
      </c>
      <c r="AM2652">
        <v>79.555743106760005</v>
      </c>
      <c r="AN2652">
        <v>0.99999997295327603</v>
      </c>
    </row>
    <row r="2653" spans="1:40" x14ac:dyDescent="0.25">
      <c r="A2653" t="str">
        <f>"20190303161927364"</f>
        <v>20190303161927364</v>
      </c>
      <c r="B2653" t="str">
        <f>"1551601167355685"</f>
        <v>1551601167355685</v>
      </c>
      <c r="C2653" t="s">
        <v>40</v>
      </c>
      <c r="D2653">
        <v>4.8129379999999999</v>
      </c>
      <c r="E2653">
        <v>0.59625419999999996</v>
      </c>
      <c r="F2653" t="s">
        <v>52</v>
      </c>
      <c r="G2653">
        <v>-219.38800000000001</v>
      </c>
      <c r="H2653" s="1">
        <v>3.4590479999999999E-6</v>
      </c>
      <c r="I2653">
        <v>284.59030000000001</v>
      </c>
      <c r="J2653">
        <v>-202.52719999999999</v>
      </c>
      <c r="K2653">
        <v>1.1200939999999999</v>
      </c>
      <c r="L2653">
        <v>284.81240000000003</v>
      </c>
      <c r="M2653">
        <v>-0.87265009999999998</v>
      </c>
      <c r="N2653">
        <v>-1.255534E-2</v>
      </c>
      <c r="O2653">
        <v>-0.48818489999999998</v>
      </c>
      <c r="P2653">
        <v>-0.94341450000000004</v>
      </c>
      <c r="Q2653">
        <v>8.6059289999999997E-2</v>
      </c>
      <c r="R2653">
        <v>-0.32025579999999998</v>
      </c>
      <c r="S2653">
        <v>-3.1913299999999998</v>
      </c>
      <c r="T2653">
        <v>-0.2111354</v>
      </c>
      <c r="U2653">
        <v>-4.7546390000000001E-2</v>
      </c>
      <c r="V2653">
        <v>0.1814432</v>
      </c>
      <c r="W2653">
        <v>9.7725880000000001E-2</v>
      </c>
      <c r="X2653">
        <v>0.9785336</v>
      </c>
      <c r="Y2653">
        <v>0.47332600000000002</v>
      </c>
      <c r="Z2653">
        <v>4.3411739999999997E-2</v>
      </c>
      <c r="AA2653">
        <v>0.87981699999999996</v>
      </c>
      <c r="AB2653">
        <v>7</v>
      </c>
      <c r="AC2653">
        <v>-16.860800000000001</v>
      </c>
      <c r="AD2653">
        <v>-1.1200905409519999</v>
      </c>
      <c r="AE2653">
        <v>-0.22210000000001101</v>
      </c>
      <c r="AF2653">
        <v>8.0026935553483192</v>
      </c>
      <c r="AG2653">
        <v>-1.1200905409519999</v>
      </c>
      <c r="AH2653">
        <v>14.758052226390401</v>
      </c>
      <c r="AI2653">
        <v>93.817058399457693</v>
      </c>
      <c r="AJ2653">
        <v>61.530817677051999</v>
      </c>
      <c r="AK2653">
        <v>16.825510764241599</v>
      </c>
      <c r="AL2653">
        <v>84.391768460650994</v>
      </c>
      <c r="AM2653">
        <v>79.495317604651504</v>
      </c>
      <c r="AN2653">
        <v>0.99999999438848697</v>
      </c>
    </row>
    <row r="2654" spans="1:40" x14ac:dyDescent="0.25">
      <c r="A2654" t="str">
        <f>"20190303161927386"</f>
        <v>20190303161927386</v>
      </c>
      <c r="B2654" t="str">
        <f>"1551601167375204"</f>
        <v>1551601167375204</v>
      </c>
      <c r="C2654" t="s">
        <v>40</v>
      </c>
      <c r="D2654">
        <v>4.7994979999999998</v>
      </c>
      <c r="E2654">
        <v>0.59615319999999905</v>
      </c>
      <c r="F2654" t="s">
        <v>52</v>
      </c>
      <c r="G2654">
        <v>-212.56020000000001</v>
      </c>
      <c r="H2654" s="1">
        <v>-1.7439469999999999E-7</v>
      </c>
      <c r="I2654">
        <v>284.0752</v>
      </c>
      <c r="J2654">
        <v>-202.6001</v>
      </c>
      <c r="K2654">
        <v>1.1200950000000001</v>
      </c>
      <c r="L2654">
        <v>284.78149999999999</v>
      </c>
      <c r="M2654">
        <v>-0.87612769999999995</v>
      </c>
      <c r="N2654">
        <v>-1.2553959999999999E-2</v>
      </c>
      <c r="O2654">
        <v>-0.4819157</v>
      </c>
      <c r="P2654">
        <v>-0.94603320000000002</v>
      </c>
      <c r="Q2654">
        <v>8.5562120000000005E-2</v>
      </c>
      <c r="R2654">
        <v>-0.31257069999999998</v>
      </c>
      <c r="S2654">
        <v>-3.1336819999999999</v>
      </c>
      <c r="T2654">
        <v>-0.34984710000000002</v>
      </c>
      <c r="U2654">
        <v>-0.23025509999999999</v>
      </c>
      <c r="V2654">
        <v>0.18240780000000001</v>
      </c>
      <c r="W2654">
        <v>9.7223299999999999E-2</v>
      </c>
      <c r="X2654">
        <v>0.9784043</v>
      </c>
      <c r="Y2654">
        <v>0.41153489999999998</v>
      </c>
      <c r="Z2654">
        <v>7.0772989999999994E-2</v>
      </c>
      <c r="AA2654">
        <v>0.9086419</v>
      </c>
      <c r="AB2654">
        <v>7</v>
      </c>
      <c r="AC2654">
        <v>-9.9601000000000095</v>
      </c>
      <c r="AD2654">
        <v>-1.1200951743946901</v>
      </c>
      <c r="AE2654">
        <v>-0.70629999999999804</v>
      </c>
      <c r="AF2654">
        <v>4.1294852113362399</v>
      </c>
      <c r="AG2654">
        <v>-1.1200951743946901</v>
      </c>
      <c r="AH2654">
        <v>8.9547282150094301</v>
      </c>
      <c r="AI2654">
        <v>96.480344373471993</v>
      </c>
      <c r="AJ2654">
        <v>65.243145894699794</v>
      </c>
      <c r="AK2654">
        <v>9.9244354355818594</v>
      </c>
      <c r="AL2654">
        <v>84.420701845879194</v>
      </c>
      <c r="AM2654">
        <v>79.439360618489999</v>
      </c>
      <c r="AN2654">
        <v>0.99999997491110904</v>
      </c>
    </row>
    <row r="2655" spans="1:40" x14ac:dyDescent="0.25">
      <c r="A2655" t="str">
        <f>"20190303161927410"</f>
        <v>20190303161927410</v>
      </c>
      <c r="B2655" t="str">
        <f>"1551601167395701"</f>
        <v>1551601167395701</v>
      </c>
      <c r="C2655" t="s">
        <v>40</v>
      </c>
      <c r="D2655">
        <v>4.8171330000000001</v>
      </c>
      <c r="E2655">
        <v>0.58879689999999996</v>
      </c>
      <c r="F2655" t="s">
        <v>52</v>
      </c>
      <c r="G2655">
        <v>-212.78020000000001</v>
      </c>
      <c r="H2655" s="1">
        <v>-5.7317290000000003E-8</v>
      </c>
      <c r="I2655">
        <v>284.10809999999998</v>
      </c>
      <c r="J2655">
        <v>-202.67240000000001</v>
      </c>
      <c r="K2655">
        <v>1.120101</v>
      </c>
      <c r="L2655">
        <v>284.75139999999999</v>
      </c>
      <c r="M2655">
        <v>-0.87951869999999999</v>
      </c>
      <c r="N2655">
        <v>-1.255242E-2</v>
      </c>
      <c r="O2655">
        <v>-0.47569889999999998</v>
      </c>
      <c r="P2655">
        <v>-0.94863030000000004</v>
      </c>
      <c r="Q2655">
        <v>8.5752369999999994E-2</v>
      </c>
      <c r="R2655">
        <v>-0.3045448</v>
      </c>
      <c r="S2655">
        <v>-3.1338200000000001</v>
      </c>
      <c r="T2655">
        <v>-0.34480809999999901</v>
      </c>
      <c r="U2655">
        <v>-0.20730589999999999</v>
      </c>
      <c r="V2655">
        <v>0.18376100000000001</v>
      </c>
      <c r="W2655">
        <v>9.7405069999999996E-2</v>
      </c>
      <c r="X2655">
        <v>0.97813300000000003</v>
      </c>
      <c r="Y2655">
        <v>0.41187839999999998</v>
      </c>
      <c r="Z2655">
        <v>6.9250119999999998E-2</v>
      </c>
      <c r="AA2655">
        <v>0.90860370000000001</v>
      </c>
      <c r="AB2655">
        <v>7</v>
      </c>
      <c r="AC2655">
        <v>-10.1077999999999</v>
      </c>
      <c r="AD2655">
        <v>-1.12010105731729</v>
      </c>
      <c r="AE2655">
        <v>-0.64330000000000997</v>
      </c>
      <c r="AF2655">
        <v>4.1915440727600197</v>
      </c>
      <c r="AG2655">
        <v>-1.12010105731729</v>
      </c>
      <c r="AH2655">
        <v>9.0856180933100195</v>
      </c>
      <c r="AI2655">
        <v>96.387346791656796</v>
      </c>
      <c r="AJ2655">
        <v>65.234312168687097</v>
      </c>
      <c r="AK2655">
        <v>10.068372471754</v>
      </c>
      <c r="AL2655">
        <v>84.410237717546593</v>
      </c>
      <c r="AM2655">
        <v>79.359914546237505</v>
      </c>
      <c r="AN2655">
        <v>1.0000000092358501</v>
      </c>
    </row>
    <row r="2656" spans="1:40" x14ac:dyDescent="0.25">
      <c r="A2656" t="str">
        <f>"20190303161927431"</f>
        <v>20190303161927431</v>
      </c>
      <c r="B2656" t="str">
        <f>"1551601167424980"</f>
        <v>1551601167424980</v>
      </c>
      <c r="C2656" t="s">
        <v>40</v>
      </c>
      <c r="D2656">
        <v>4.8281299999999998</v>
      </c>
      <c r="E2656">
        <v>0.59023700000000001</v>
      </c>
      <c r="F2656" t="s">
        <v>52</v>
      </c>
      <c r="G2656">
        <v>-212.08430000000001</v>
      </c>
      <c r="H2656" s="1">
        <v>-4.2761709999999998E-7</v>
      </c>
      <c r="I2656">
        <v>284.03370000000001</v>
      </c>
      <c r="J2656">
        <v>-202.7457</v>
      </c>
      <c r="K2656">
        <v>1.1201110000000001</v>
      </c>
      <c r="L2656">
        <v>284.72160000000002</v>
      </c>
      <c r="M2656">
        <v>-0.88290389999999996</v>
      </c>
      <c r="N2656">
        <v>-1.255095E-2</v>
      </c>
      <c r="O2656">
        <v>-0.46938619999999998</v>
      </c>
      <c r="P2656">
        <v>-0.95111540000000006</v>
      </c>
      <c r="Q2656">
        <v>8.6010749999999997E-2</v>
      </c>
      <c r="R2656">
        <v>-0.29661739999999998</v>
      </c>
      <c r="S2656">
        <v>-3.119659</v>
      </c>
      <c r="T2656">
        <v>-0.37126559999999997</v>
      </c>
      <c r="U2656">
        <v>-0.2378845</v>
      </c>
      <c r="V2656">
        <v>0.1849073</v>
      </c>
      <c r="W2656">
        <v>9.7656110000000004E-2</v>
      </c>
      <c r="X2656">
        <v>0.97789190000000004</v>
      </c>
      <c r="Y2656">
        <v>0.39549889999999999</v>
      </c>
      <c r="Z2656">
        <v>7.3446910000000004E-2</v>
      </c>
      <c r="AA2656">
        <v>0.91552509999999998</v>
      </c>
      <c r="AB2656">
        <v>7</v>
      </c>
      <c r="AC2656">
        <v>-9.3386000000000102</v>
      </c>
      <c r="AD2656">
        <v>-1.1201114276171</v>
      </c>
      <c r="AE2656">
        <v>-0.68790000000001295</v>
      </c>
      <c r="AF2656">
        <v>3.72308385177692</v>
      </c>
      <c r="AG2656">
        <v>-1.1201114276171</v>
      </c>
      <c r="AH2656">
        <v>8.4477720486667902</v>
      </c>
      <c r="AI2656">
        <v>96.917984979029598</v>
      </c>
      <c r="AJ2656">
        <v>66.216056505732993</v>
      </c>
      <c r="AK2656">
        <v>9.2995083506536194</v>
      </c>
      <c r="AL2656">
        <v>84.395785213373102</v>
      </c>
      <c r="AM2656">
        <v>79.292492754859893</v>
      </c>
      <c r="AN2656">
        <v>0.99999999674961604</v>
      </c>
    </row>
    <row r="2657" spans="1:40" x14ac:dyDescent="0.25">
      <c r="A2657" t="str">
        <f>"20190303161927453"</f>
        <v>20190303161927453</v>
      </c>
      <c r="B2657" t="str">
        <f>"1551601167445477"</f>
        <v>1551601167445477</v>
      </c>
      <c r="C2657" t="s">
        <v>40</v>
      </c>
      <c r="D2657">
        <v>4.8418669999999997</v>
      </c>
      <c r="E2657">
        <v>0.59013660000000001</v>
      </c>
      <c r="F2657" t="s">
        <v>52</v>
      </c>
      <c r="G2657">
        <v>-212.52520000000001</v>
      </c>
      <c r="H2657" s="1">
        <v>-1.9301699999999999E-7</v>
      </c>
      <c r="I2657">
        <v>284.08679999999998</v>
      </c>
      <c r="J2657">
        <v>-202.81370000000001</v>
      </c>
      <c r="K2657">
        <v>1.120109</v>
      </c>
      <c r="L2657">
        <v>284.69439999999997</v>
      </c>
      <c r="M2657">
        <v>-0.88599240000000001</v>
      </c>
      <c r="N2657">
        <v>-1.254951E-2</v>
      </c>
      <c r="O2657">
        <v>-0.46353</v>
      </c>
      <c r="P2657">
        <v>-0.95357259999999999</v>
      </c>
      <c r="Q2657">
        <v>8.5900160000000003E-2</v>
      </c>
      <c r="R2657">
        <v>-0.28865350000000001</v>
      </c>
      <c r="S2657">
        <v>-3.1233369999999998</v>
      </c>
      <c r="T2657">
        <v>-0.35773660000000002</v>
      </c>
      <c r="U2657">
        <v>-0.2027283</v>
      </c>
      <c r="V2657">
        <v>0.18661539999999999</v>
      </c>
      <c r="W2657">
        <v>9.7536049999999999E-2</v>
      </c>
      <c r="X2657">
        <v>0.97757939999999999</v>
      </c>
      <c r="Y2657">
        <v>0.40015600000000001</v>
      </c>
      <c r="Z2657">
        <v>7.0414889999999994E-2</v>
      </c>
      <c r="AA2657">
        <v>0.91373789999999999</v>
      </c>
      <c r="AB2657">
        <v>7</v>
      </c>
      <c r="AC2657">
        <v>-9.7114999999999991</v>
      </c>
      <c r="AD2657">
        <v>-1.120109193017</v>
      </c>
      <c r="AE2657">
        <v>-0.60759999999999004</v>
      </c>
      <c r="AF2657">
        <v>3.91172003687482</v>
      </c>
      <c r="AG2657">
        <v>-1.120109193017</v>
      </c>
      <c r="AH2657">
        <v>8.7704376463501301</v>
      </c>
      <c r="AI2657">
        <v>96.652845952719005</v>
      </c>
      <c r="AJ2657">
        <v>65.9625572630557</v>
      </c>
      <c r="AK2657">
        <v>9.66833877973278</v>
      </c>
      <c r="AL2657">
        <v>84.402697361525696</v>
      </c>
      <c r="AM2657">
        <v>79.192526507761698</v>
      </c>
      <c r="AN2657">
        <v>1.0000000359355601</v>
      </c>
    </row>
    <row r="2658" spans="1:40" x14ac:dyDescent="0.25">
      <c r="A2658" t="str">
        <f>"20190303161927476"</f>
        <v>20190303161927476</v>
      </c>
      <c r="B2658" t="str">
        <f>"1551601167464996"</f>
        <v>1551601167464996</v>
      </c>
      <c r="C2658" t="s">
        <v>40</v>
      </c>
      <c r="D2658">
        <v>4.7412049999999999</v>
      </c>
      <c r="E2658">
        <v>0.59279799999999905</v>
      </c>
      <c r="F2658" t="s">
        <v>52</v>
      </c>
      <c r="G2658">
        <v>-212.6857</v>
      </c>
      <c r="H2658" s="1">
        <v>-1.076016E-7</v>
      </c>
      <c r="I2658">
        <v>284.13189999999997</v>
      </c>
      <c r="J2658">
        <v>-202.88820000000001</v>
      </c>
      <c r="K2658">
        <v>1.1201139999999901</v>
      </c>
      <c r="L2658">
        <v>284.66520000000003</v>
      </c>
      <c r="M2658">
        <v>-0.88932429999999996</v>
      </c>
      <c r="N2658">
        <v>-1.254801E-2</v>
      </c>
      <c r="O2658">
        <v>-0.45710469999999997</v>
      </c>
      <c r="P2658">
        <v>-0.95604089999999997</v>
      </c>
      <c r="Q2658">
        <v>8.5999549999999994E-2</v>
      </c>
      <c r="R2658">
        <v>-0.2803389</v>
      </c>
      <c r="S2658">
        <v>-3.1241150000000002</v>
      </c>
      <c r="T2658">
        <v>-0.35447129999999999</v>
      </c>
      <c r="U2658">
        <v>-0.178009</v>
      </c>
      <c r="V2658">
        <v>0.18804899999999999</v>
      </c>
      <c r="W2658">
        <v>9.7626699999999997E-2</v>
      </c>
      <c r="X2658">
        <v>0.97729560000000004</v>
      </c>
      <c r="Y2658">
        <v>0.40086579999999999</v>
      </c>
      <c r="Z2658">
        <v>6.925046E-2</v>
      </c>
      <c r="AA2658">
        <v>0.91351570000000004</v>
      </c>
      <c r="AB2658">
        <v>7</v>
      </c>
      <c r="AC2658">
        <v>-9.7974999999999799</v>
      </c>
      <c r="AD2658">
        <v>-1.1201141076015999</v>
      </c>
      <c r="AE2658">
        <v>-0.53330000000005295</v>
      </c>
      <c r="AF2658">
        <v>3.9530068279237698</v>
      </c>
      <c r="AG2658">
        <v>-1.1201141076015999</v>
      </c>
      <c r="AH2658">
        <v>8.8424009226867692</v>
      </c>
      <c r="AI2658">
        <v>96.596679879060005</v>
      </c>
      <c r="AJ2658">
        <v>65.912906954177402</v>
      </c>
      <c r="AK2658">
        <v>9.7503319263085597</v>
      </c>
      <c r="AL2658">
        <v>84.397478640371105</v>
      </c>
      <c r="AM2658">
        <v>79.108393270925802</v>
      </c>
      <c r="AN2658">
        <v>1.0000000443666199</v>
      </c>
    </row>
    <row r="2659" spans="1:40" x14ac:dyDescent="0.25">
      <c r="A2659" t="str">
        <f>"20190303161927499"</f>
        <v>20190303161927499</v>
      </c>
      <c r="B2659" t="str">
        <f>"1551601167485492"</f>
        <v>1551601167485492</v>
      </c>
      <c r="C2659" t="s">
        <v>40</v>
      </c>
      <c r="D2659">
        <v>4.7641530000000003</v>
      </c>
      <c r="E2659">
        <v>0.59354560000000001</v>
      </c>
      <c r="F2659" t="s">
        <v>52</v>
      </c>
      <c r="G2659">
        <v>-214.0086</v>
      </c>
      <c r="H2659" s="1">
        <v>5.9637569999999996E-7</v>
      </c>
      <c r="I2659">
        <v>284.20049999999998</v>
      </c>
      <c r="J2659">
        <v>-202.9615</v>
      </c>
      <c r="K2659">
        <v>1.120115</v>
      </c>
      <c r="L2659">
        <v>284.63709999999998</v>
      </c>
      <c r="M2659">
        <v>-0.89255139999999999</v>
      </c>
      <c r="N2659">
        <v>-1.254661E-2</v>
      </c>
      <c r="O2659">
        <v>-0.45077139999999999</v>
      </c>
      <c r="P2659">
        <v>-0.95832620000000002</v>
      </c>
      <c r="Q2659">
        <v>8.6020310000000003E-2</v>
      </c>
      <c r="R2659">
        <v>-0.2724184</v>
      </c>
      <c r="S2659">
        <v>-3.1279599999999999</v>
      </c>
      <c r="T2659">
        <v>-0.31506620000000002</v>
      </c>
      <c r="U2659">
        <v>-0.13070680000000001</v>
      </c>
      <c r="V2659">
        <v>0.18918850000000001</v>
      </c>
      <c r="W2659">
        <v>9.7640920000000006E-2</v>
      </c>
      <c r="X2659">
        <v>0.9770742</v>
      </c>
      <c r="Y2659">
        <v>0.40923910000000002</v>
      </c>
      <c r="Z2659">
        <v>6.1188399999999997E-2</v>
      </c>
      <c r="AA2659">
        <v>0.91037319999999999</v>
      </c>
      <c r="AB2659">
        <v>7</v>
      </c>
      <c r="AC2659">
        <v>-11.0471</v>
      </c>
      <c r="AD2659">
        <v>-1.1201144036243</v>
      </c>
      <c r="AE2659">
        <v>-0.43659999999999799</v>
      </c>
      <c r="AF2659">
        <v>4.5437488205292302</v>
      </c>
      <c r="AG2659">
        <v>-1.1201144036243</v>
      </c>
      <c r="AH2659">
        <v>9.95551035143626</v>
      </c>
      <c r="AI2659">
        <v>95.844175299921005</v>
      </c>
      <c r="AJ2659">
        <v>65.467787232167396</v>
      </c>
      <c r="AK2659">
        <v>11.000567984373401</v>
      </c>
      <c r="AL2659">
        <v>84.396659818405098</v>
      </c>
      <c r="AM2659">
        <v>79.041564565671393</v>
      </c>
      <c r="AN2659">
        <v>1.0000000150481601</v>
      </c>
    </row>
    <row r="2660" spans="1:40" x14ac:dyDescent="0.25">
      <c r="A2660" t="str">
        <f>"20190303161927522"</f>
        <v>20190303161927522</v>
      </c>
      <c r="B2660" t="str">
        <f>"1551601167515748"</f>
        <v>1551601167515748</v>
      </c>
      <c r="C2660" t="s">
        <v>40</v>
      </c>
      <c r="D2660">
        <v>4.7887250000000003</v>
      </c>
      <c r="E2660">
        <v>0.597078</v>
      </c>
      <c r="F2660" t="s">
        <v>52</v>
      </c>
      <c r="G2660">
        <v>-214.57599999999999</v>
      </c>
      <c r="H2660" s="1">
        <v>8.9833689999999996E-7</v>
      </c>
      <c r="I2660">
        <v>284.26839999999999</v>
      </c>
      <c r="J2660">
        <v>-203.03710000000001</v>
      </c>
      <c r="K2660">
        <v>1.1201190000000001</v>
      </c>
      <c r="L2660">
        <v>284.6087</v>
      </c>
      <c r="M2660">
        <v>-0.89581929999999999</v>
      </c>
      <c r="N2660">
        <v>-1.254514E-2</v>
      </c>
      <c r="O2660">
        <v>-0.44424140000000001</v>
      </c>
      <c r="P2660">
        <v>-0.96063609999999999</v>
      </c>
      <c r="Q2660">
        <v>8.5242929999999995E-2</v>
      </c>
      <c r="R2660">
        <v>-0.2644088</v>
      </c>
      <c r="S2660">
        <v>-3.1293030000000002</v>
      </c>
      <c r="T2660">
        <v>-0.3017937</v>
      </c>
      <c r="U2660">
        <v>-9.9334720000000001E-2</v>
      </c>
      <c r="V2660">
        <v>0.1902385</v>
      </c>
      <c r="W2660">
        <v>9.6857879999999993E-2</v>
      </c>
      <c r="X2660">
        <v>0.97694829999999999</v>
      </c>
      <c r="Y2660">
        <v>0.412051</v>
      </c>
      <c r="Z2660">
        <v>5.8170069999999997E-2</v>
      </c>
      <c r="AA2660">
        <v>0.9093021</v>
      </c>
      <c r="AB2660">
        <v>7</v>
      </c>
      <c r="AC2660">
        <v>-11.5388999999999</v>
      </c>
      <c r="AD2660">
        <v>-1.1201181016631001</v>
      </c>
      <c r="AE2660">
        <v>-0.34030000000001298</v>
      </c>
      <c r="AF2660">
        <v>4.7766172141589598</v>
      </c>
      <c r="AG2660">
        <v>-1.1201181016631001</v>
      </c>
      <c r="AH2660">
        <v>10.3909390601659</v>
      </c>
      <c r="AI2660">
        <v>95.593968407514296</v>
      </c>
      <c r="AJ2660">
        <v>65.312201892291398</v>
      </c>
      <c r="AK2660">
        <v>11.4909682413778</v>
      </c>
      <c r="AL2660">
        <v>84.441738617874094</v>
      </c>
      <c r="AM2660">
        <v>78.980844232237999</v>
      </c>
      <c r="AN2660">
        <v>1.00000005833661</v>
      </c>
    </row>
    <row r="2661" spans="1:40" x14ac:dyDescent="0.25">
      <c r="A2661" t="str">
        <f>"20190303161927543"</f>
        <v>20190303161927543</v>
      </c>
      <c r="B2661" t="str">
        <f>"1551601167535269"</f>
        <v>1551601167535269</v>
      </c>
      <c r="C2661" t="s">
        <v>40</v>
      </c>
      <c r="D2661">
        <v>4.8183829999999999</v>
      </c>
      <c r="E2661">
        <v>0.59630609999999995</v>
      </c>
      <c r="F2661" t="s">
        <v>52</v>
      </c>
      <c r="G2661">
        <v>-224.1585</v>
      </c>
      <c r="H2661" s="1">
        <v>6.7617979999999997E-7</v>
      </c>
      <c r="I2661">
        <v>284.29790000000003</v>
      </c>
      <c r="J2661">
        <v>-203.1045</v>
      </c>
      <c r="K2661">
        <v>1.1201139999999901</v>
      </c>
      <c r="L2661">
        <v>284.58390000000003</v>
      </c>
      <c r="M2661">
        <v>-0.89868780000000004</v>
      </c>
      <c r="N2661">
        <v>-1.2543830000000001E-2</v>
      </c>
      <c r="O2661">
        <v>-0.43841000000000002</v>
      </c>
      <c r="P2661">
        <v>-0.96213470000000001</v>
      </c>
      <c r="Q2661">
        <v>8.4655140000000004E-2</v>
      </c>
      <c r="R2661">
        <v>-0.25909680000000002</v>
      </c>
      <c r="S2661">
        <v>-3.1249690000000001</v>
      </c>
      <c r="T2661">
        <v>-0.16572429999999999</v>
      </c>
      <c r="U2661">
        <v>-4.5989990000000001E-2</v>
      </c>
      <c r="V2661">
        <v>0.18930640000000001</v>
      </c>
      <c r="W2661">
        <v>9.6276479999999998E-2</v>
      </c>
      <c r="X2661">
        <v>0.97718669999999996</v>
      </c>
      <c r="Y2661">
        <v>0.42411739999999998</v>
      </c>
      <c r="Z2661">
        <v>3.084665E-2</v>
      </c>
      <c r="AA2661">
        <v>0.90508169999999999</v>
      </c>
      <c r="AB2661">
        <v>7</v>
      </c>
      <c r="AC2661">
        <v>-21.053999999999998</v>
      </c>
      <c r="AD2661">
        <v>-1.1201133238201999</v>
      </c>
      <c r="AE2661">
        <v>-0.28600000000000098</v>
      </c>
      <c r="AF2661">
        <v>8.9486395519853392</v>
      </c>
      <c r="AG2661">
        <v>-1.1201133238201999</v>
      </c>
      <c r="AH2661">
        <v>18.994100824267999</v>
      </c>
      <c r="AI2661">
        <v>93.053695344229894</v>
      </c>
      <c r="AJ2661">
        <v>64.773594943023397</v>
      </c>
      <c r="AK2661">
        <v>21.026380330718201</v>
      </c>
      <c r="AL2661">
        <v>84.475206253144194</v>
      </c>
      <c r="AM2661">
        <v>79.036132659527397</v>
      </c>
      <c r="AN2661">
        <v>0.99999996016951898</v>
      </c>
    </row>
    <row r="2662" spans="1:40" x14ac:dyDescent="0.25">
      <c r="A2662" t="str">
        <f>"20190303161927565"</f>
        <v>20190303161927565</v>
      </c>
      <c r="B2662" t="str">
        <f>"1551601167555765"</f>
        <v>1551601167555765</v>
      </c>
      <c r="C2662" t="s">
        <v>40</v>
      </c>
      <c r="D2662">
        <v>4.8299880000000002</v>
      </c>
      <c r="E2662">
        <v>0.58919750000000004</v>
      </c>
      <c r="F2662" t="s">
        <v>52</v>
      </c>
      <c r="G2662">
        <v>-223.85910000000001</v>
      </c>
      <c r="H2662" s="1">
        <v>5.168165E-7</v>
      </c>
      <c r="I2662">
        <v>284.35169999999999</v>
      </c>
      <c r="J2662">
        <v>-203.17670000000001</v>
      </c>
      <c r="K2662">
        <v>1.1201159999999999</v>
      </c>
      <c r="L2662">
        <v>284.55790000000002</v>
      </c>
      <c r="M2662">
        <v>-0.90170709999999998</v>
      </c>
      <c r="N2662">
        <v>-1.254254E-2</v>
      </c>
      <c r="O2662">
        <v>-0.43216549999999998</v>
      </c>
      <c r="P2662">
        <v>-0.96367579999999997</v>
      </c>
      <c r="Q2662">
        <v>8.4315829999999994E-2</v>
      </c>
      <c r="R2662">
        <v>-0.25341730000000001</v>
      </c>
      <c r="S2662">
        <v>-3.1234890000000002</v>
      </c>
      <c r="T2662">
        <v>-0.16857329999999901</v>
      </c>
      <c r="U2662">
        <v>-3.4942630000000002E-2</v>
      </c>
      <c r="V2662">
        <v>0.18830169999999999</v>
      </c>
      <c r="W2662">
        <v>9.5942830000000007E-2</v>
      </c>
      <c r="X2662">
        <v>0.97741369999999905</v>
      </c>
      <c r="Y2662">
        <v>0.4210004</v>
      </c>
      <c r="Z2662">
        <v>3.1123899999999999E-2</v>
      </c>
      <c r="AA2662">
        <v>0.90652630000000001</v>
      </c>
      <c r="AB2662">
        <v>7</v>
      </c>
      <c r="AC2662">
        <v>-20.682400000000001</v>
      </c>
      <c r="AD2662">
        <v>-1.1201154831834901</v>
      </c>
      <c r="AE2662">
        <v>-0.206200000000023</v>
      </c>
      <c r="AF2662">
        <v>8.7273805713692507</v>
      </c>
      <c r="AG2662">
        <v>-1.1201154831834901</v>
      </c>
      <c r="AH2662">
        <v>18.685253412883299</v>
      </c>
      <c r="AI2662">
        <v>93.108910593007806</v>
      </c>
      <c r="AJ2662">
        <v>64.963983672246101</v>
      </c>
      <c r="AK2662">
        <v>20.653341749868201</v>
      </c>
      <c r="AL2662">
        <v>84.494412388551893</v>
      </c>
      <c r="AM2662">
        <v>79.095394038780498</v>
      </c>
      <c r="AN2662">
        <v>1.00000004889949</v>
      </c>
    </row>
    <row r="2663" spans="1:40" x14ac:dyDescent="0.25">
      <c r="A2663" t="str">
        <f>"20190303161927587"</f>
        <v>20190303161927587</v>
      </c>
      <c r="B2663" t="str">
        <f>"1551601167575288"</f>
        <v>1551601167575288</v>
      </c>
      <c r="C2663" t="s">
        <v>40</v>
      </c>
      <c r="D2663">
        <v>4.8424870000000002</v>
      </c>
      <c r="E2663">
        <v>0.58840630000000005</v>
      </c>
      <c r="F2663" t="s">
        <v>52</v>
      </c>
      <c r="G2663">
        <v>-222.21440000000001</v>
      </c>
      <c r="H2663" s="1">
        <v>-3.5836920000000001E-7</v>
      </c>
      <c r="I2663">
        <v>284.12049999999999</v>
      </c>
      <c r="J2663">
        <v>-203.2483</v>
      </c>
      <c r="K2663">
        <v>1.120107</v>
      </c>
      <c r="L2663">
        <v>284.53269999999998</v>
      </c>
      <c r="M2663">
        <v>-0.90465589999999996</v>
      </c>
      <c r="N2663">
        <v>-1.254123E-2</v>
      </c>
      <c r="O2663">
        <v>-0.42595840000000001</v>
      </c>
      <c r="P2663">
        <v>-0.96501700000000001</v>
      </c>
      <c r="Q2663">
        <v>8.4231500000000001E-2</v>
      </c>
      <c r="R2663">
        <v>-0.2482887</v>
      </c>
      <c r="S2663">
        <v>-3.110306</v>
      </c>
      <c r="T2663">
        <v>-0.1829993</v>
      </c>
      <c r="U2663">
        <v>-7.1472170000000002E-2</v>
      </c>
      <c r="V2663">
        <v>0.18678239999999999</v>
      </c>
      <c r="W2663">
        <v>9.5866870000000007E-2</v>
      </c>
      <c r="X2663">
        <v>0.97771260000000004</v>
      </c>
      <c r="Y2663">
        <v>0.40383960000000002</v>
      </c>
      <c r="Z2663">
        <v>3.3305670000000002E-2</v>
      </c>
      <c r="AA2663">
        <v>0.91422329999999996</v>
      </c>
      <c r="AB2663">
        <v>7</v>
      </c>
      <c r="AC2663">
        <v>-18.966100000000001</v>
      </c>
      <c r="AD2663">
        <v>-1.1201073583691901</v>
      </c>
      <c r="AE2663">
        <v>-0.41219999999998402</v>
      </c>
      <c r="AF2663">
        <v>7.6797026460721298</v>
      </c>
      <c r="AG2663">
        <v>-1.1201073583691901</v>
      </c>
      <c r="AH2663">
        <v>17.274513178623501</v>
      </c>
      <c r="AI2663">
        <v>93.390827428062906</v>
      </c>
      <c r="AJ2663">
        <v>66.031580760173597</v>
      </c>
      <c r="AK2663">
        <v>18.937826664768</v>
      </c>
      <c r="AL2663">
        <v>84.498784597906905</v>
      </c>
      <c r="AM2663">
        <v>79.184521995960296</v>
      </c>
      <c r="AN2663">
        <v>1.0000000249560499</v>
      </c>
    </row>
    <row r="2664" spans="1:40" x14ac:dyDescent="0.25">
      <c r="A2664" t="str">
        <f>"20190303161927609"</f>
        <v>20190303161927609</v>
      </c>
      <c r="B2664" t="str">
        <f>"1551601167605541"</f>
        <v>1551601167605541</v>
      </c>
      <c r="C2664" t="s">
        <v>40</v>
      </c>
      <c r="D2664">
        <v>4.846616</v>
      </c>
      <c r="E2664">
        <v>0.58680059999999901</v>
      </c>
      <c r="F2664" t="s">
        <v>52</v>
      </c>
      <c r="G2664">
        <v>-222.10390000000001</v>
      </c>
      <c r="H2664" s="1">
        <v>-4.1717960000000001E-7</v>
      </c>
      <c r="I2664">
        <v>284.1617</v>
      </c>
      <c r="J2664">
        <v>-203.32169999999999</v>
      </c>
      <c r="K2664">
        <v>1.1201129999999999</v>
      </c>
      <c r="L2664">
        <v>284.50749999999999</v>
      </c>
      <c r="M2664">
        <v>-0.90762529999999997</v>
      </c>
      <c r="N2664">
        <v>-1.253988E-2</v>
      </c>
      <c r="O2664">
        <v>-0.41959390000000002</v>
      </c>
      <c r="P2664">
        <v>-0.96639560000000002</v>
      </c>
      <c r="Q2664">
        <v>8.4212120000000001E-2</v>
      </c>
      <c r="R2664">
        <v>-0.24287429999999999</v>
      </c>
      <c r="S2664">
        <v>-3.1091609999999998</v>
      </c>
      <c r="T2664">
        <v>-0.184698</v>
      </c>
      <c r="U2664">
        <v>-6.1187739999999997E-2</v>
      </c>
      <c r="V2664">
        <v>0.18539530000000001</v>
      </c>
      <c r="W2664">
        <v>9.5855949999999995E-2</v>
      </c>
      <c r="X2664">
        <v>0.9779776</v>
      </c>
      <c r="Y2664">
        <v>0.40041650000000001</v>
      </c>
      <c r="Z2664">
        <v>3.3277800000000003E-2</v>
      </c>
      <c r="AA2664">
        <v>0.91572880000000001</v>
      </c>
      <c r="AB2664">
        <v>7</v>
      </c>
      <c r="AC2664">
        <v>-18.7822</v>
      </c>
      <c r="AD2664">
        <v>-1.1201134171795999</v>
      </c>
      <c r="AE2664">
        <v>-0.345799999999997</v>
      </c>
      <c r="AF2664">
        <v>7.54082447412853</v>
      </c>
      <c r="AG2664">
        <v>-1.1201134171795999</v>
      </c>
      <c r="AH2664">
        <v>17.132734507026701</v>
      </c>
      <c r="AI2664">
        <v>93.424430516355301</v>
      </c>
      <c r="AJ2664">
        <v>66.243721887246707</v>
      </c>
      <c r="AK2664">
        <v>18.752313977352902</v>
      </c>
      <c r="AL2664">
        <v>84.499412932462107</v>
      </c>
      <c r="AM2664">
        <v>79.2658086725435</v>
      </c>
      <c r="AN2664">
        <v>0.99999998325712602</v>
      </c>
    </row>
    <row r="2665" spans="1:40" x14ac:dyDescent="0.25">
      <c r="A2665" t="str">
        <f>"20190303161927632"</f>
        <v>20190303161927632</v>
      </c>
      <c r="B2665" t="str">
        <f>"1551601167625060"</f>
        <v>1551601167625060</v>
      </c>
      <c r="C2665" t="s">
        <v>40</v>
      </c>
      <c r="D2665">
        <v>4.9320769999999996</v>
      </c>
      <c r="E2665">
        <v>0.58473869999999994</v>
      </c>
      <c r="F2665" t="s">
        <v>52</v>
      </c>
      <c r="G2665">
        <v>-222.38570000000001</v>
      </c>
      <c r="H2665" s="1">
        <v>-2.6725639999999999E-7</v>
      </c>
      <c r="I2665">
        <v>284.16269999999997</v>
      </c>
      <c r="J2665">
        <v>-203.39709999999999</v>
      </c>
      <c r="K2665">
        <v>1.120115</v>
      </c>
      <c r="L2665">
        <v>284.4821</v>
      </c>
      <c r="M2665">
        <v>-0.91061990000000004</v>
      </c>
      <c r="N2665">
        <v>-1.2538580000000001E-2</v>
      </c>
      <c r="O2665">
        <v>-0.41305500000000001</v>
      </c>
      <c r="P2665">
        <v>-0.96789630000000004</v>
      </c>
      <c r="Q2665">
        <v>8.385215E-2</v>
      </c>
      <c r="R2665">
        <v>-0.2369512</v>
      </c>
      <c r="S2665">
        <v>-3.1060940000000001</v>
      </c>
      <c r="T2665">
        <v>-0.18250050000000001</v>
      </c>
      <c r="U2665">
        <v>-5.6182860000000001E-2</v>
      </c>
      <c r="V2665">
        <v>0.18436050000000001</v>
      </c>
      <c r="W2665">
        <v>9.5502340000000005E-2</v>
      </c>
      <c r="X2665">
        <v>0.97820779999999996</v>
      </c>
      <c r="Y2665">
        <v>0.39532450000000002</v>
      </c>
      <c r="Z2665">
        <v>3.2439679999999999E-2</v>
      </c>
      <c r="AA2665">
        <v>0.91796849999999997</v>
      </c>
      <c r="AB2665">
        <v>7</v>
      </c>
      <c r="AC2665">
        <v>-18.988600000000002</v>
      </c>
      <c r="AD2665">
        <v>-1.1201152672564001</v>
      </c>
      <c r="AE2665">
        <v>-0.31940000000002999</v>
      </c>
      <c r="AF2665">
        <v>7.5268931978363103</v>
      </c>
      <c r="AG2665">
        <v>-1.1201152672564001</v>
      </c>
      <c r="AH2665">
        <v>17.364289272670501</v>
      </c>
      <c r="AI2665">
        <v>93.387137260408807</v>
      </c>
      <c r="AJ2665">
        <v>66.564729668878797</v>
      </c>
      <c r="AK2665">
        <v>18.958568547455201</v>
      </c>
      <c r="AL2665">
        <v>84.5197667388356</v>
      </c>
      <c r="AM2665">
        <v>79.326796238716398</v>
      </c>
      <c r="AN2665">
        <v>0.999999995443283</v>
      </c>
    </row>
    <row r="2666" spans="1:40" x14ac:dyDescent="0.25">
      <c r="A2666" t="str">
        <f>"20190303161927655"</f>
        <v>20190303161927655</v>
      </c>
      <c r="B2666" t="str">
        <f>"1551601167645557"</f>
        <v>1551601167645557</v>
      </c>
      <c r="C2666" t="s">
        <v>40</v>
      </c>
      <c r="D2666">
        <v>4.7151990000000001</v>
      </c>
      <c r="E2666">
        <v>0.58248</v>
      </c>
      <c r="F2666" t="s">
        <v>52</v>
      </c>
      <c r="G2666">
        <v>-222.39590000000001</v>
      </c>
      <c r="H2666" s="1">
        <v>-2.6183610000000001E-7</v>
      </c>
      <c r="I2666">
        <v>284.15460000000002</v>
      </c>
      <c r="J2666">
        <v>-203.47069999999999</v>
      </c>
      <c r="K2666">
        <v>1.1201219999999901</v>
      </c>
      <c r="L2666">
        <v>284.4579</v>
      </c>
      <c r="M2666">
        <v>-0.91349360000000002</v>
      </c>
      <c r="N2666">
        <v>-1.2537299999999999E-2</v>
      </c>
      <c r="O2666">
        <v>-0.40665980000000002</v>
      </c>
      <c r="P2666">
        <v>-0.96929889999999996</v>
      </c>
      <c r="Q2666">
        <v>8.3441199999999993E-2</v>
      </c>
      <c r="R2666">
        <v>-0.23129469999999999</v>
      </c>
      <c r="S2666">
        <v>-3.1022639999999999</v>
      </c>
      <c r="T2666">
        <v>-0.18290100000000001</v>
      </c>
      <c r="U2666">
        <v>-5.3466800000000002E-2</v>
      </c>
      <c r="V2666">
        <v>0.18322530000000001</v>
      </c>
      <c r="W2666">
        <v>9.5097940000000006E-2</v>
      </c>
      <c r="X2666">
        <v>0.97846040000000001</v>
      </c>
      <c r="Y2666">
        <v>0.38967109999999999</v>
      </c>
      <c r="Z2666">
        <v>3.2098099999999997E-2</v>
      </c>
      <c r="AA2666">
        <v>0.9203945</v>
      </c>
      <c r="AB2666">
        <v>7</v>
      </c>
      <c r="AC2666">
        <v>-18.9252</v>
      </c>
      <c r="AD2666">
        <v>-1.12012226183609</v>
      </c>
      <c r="AE2666">
        <v>-0.30329999999997798</v>
      </c>
      <c r="AF2666">
        <v>7.3937446104435001</v>
      </c>
      <c r="AG2666">
        <v>-1.12012226183609</v>
      </c>
      <c r="AH2666">
        <v>17.3519883527476</v>
      </c>
      <c r="AI2666">
        <v>93.398602456674297</v>
      </c>
      <c r="AJ2666">
        <v>66.920971784706396</v>
      </c>
      <c r="AK2666">
        <v>18.894804392737498</v>
      </c>
      <c r="AL2666">
        <v>84.543042797781496</v>
      </c>
      <c r="AM2666">
        <v>79.393696850536699</v>
      </c>
      <c r="AN2666">
        <v>0.99999994156024496</v>
      </c>
    </row>
    <row r="2667" spans="1:40" x14ac:dyDescent="0.25">
      <c r="A2667" t="str">
        <f>"20190303161927676"</f>
        <v>20190303161927676</v>
      </c>
      <c r="B2667" t="str">
        <f>"1551601167665077"</f>
        <v>1551601167665077</v>
      </c>
      <c r="C2667" t="s">
        <v>40</v>
      </c>
      <c r="D2667">
        <v>4.6791080000000003</v>
      </c>
      <c r="E2667">
        <v>0.58160719999999899</v>
      </c>
      <c r="F2667" t="s">
        <v>52</v>
      </c>
      <c r="G2667">
        <v>-223.58920000000001</v>
      </c>
      <c r="H2667" s="1">
        <v>3.7321079999999998E-7</v>
      </c>
      <c r="I2667">
        <v>284.113</v>
      </c>
      <c r="J2667">
        <v>-203.5412</v>
      </c>
      <c r="K2667">
        <v>1.120126</v>
      </c>
      <c r="L2667">
        <v>284.43529999999998</v>
      </c>
      <c r="M2667">
        <v>-0.91619649999999997</v>
      </c>
      <c r="N2667">
        <v>-1.2536139999999999E-2</v>
      </c>
      <c r="O2667">
        <v>-0.40053339999999998</v>
      </c>
      <c r="P2667">
        <v>-0.97049319999999895</v>
      </c>
      <c r="Q2667">
        <v>8.4016560000000004E-2</v>
      </c>
      <c r="R2667">
        <v>-0.2260191</v>
      </c>
      <c r="S2667">
        <v>-3.0972140000000001</v>
      </c>
      <c r="T2667">
        <v>-0.17244089999999901</v>
      </c>
      <c r="U2667">
        <v>-5.3100590000000003E-2</v>
      </c>
      <c r="V2667">
        <v>0.1819752</v>
      </c>
      <c r="W2667">
        <v>9.5679390000000003E-2</v>
      </c>
      <c r="X2667">
        <v>0.97863699999999998</v>
      </c>
      <c r="Y2667">
        <v>0.38373360000000001</v>
      </c>
      <c r="Z2667">
        <v>2.9724339999999998E-2</v>
      </c>
      <c r="AA2667">
        <v>0.92296529999999999</v>
      </c>
      <c r="AB2667">
        <v>7</v>
      </c>
      <c r="AC2667">
        <v>-20.047999999999998</v>
      </c>
      <c r="AD2667">
        <v>-1.1201256267891999</v>
      </c>
      <c r="AE2667">
        <v>-0.32229999999998399</v>
      </c>
      <c r="AF2667">
        <v>7.7111449166225503</v>
      </c>
      <c r="AG2667">
        <v>-1.1201256267891999</v>
      </c>
      <c r="AH2667">
        <v>18.440899138033</v>
      </c>
      <c r="AI2667">
        <v>93.207461642621396</v>
      </c>
      <c r="AJ2667">
        <v>67.307537418637196</v>
      </c>
      <c r="AK2667">
        <v>20.019570384102899</v>
      </c>
      <c r="AL2667">
        <v>84.509575595047806</v>
      </c>
      <c r="AM2667">
        <v>79.466294069495007</v>
      </c>
      <c r="AN2667">
        <v>0.99999994842740403</v>
      </c>
    </row>
    <row r="2668" spans="1:40" x14ac:dyDescent="0.25">
      <c r="A2668" t="str">
        <f>"20190303161927701"</f>
        <v>20190303161927701</v>
      </c>
      <c r="B2668" t="str">
        <f>"1551601167695332"</f>
        <v>1551601167695332</v>
      </c>
      <c r="C2668" t="s">
        <v>40</v>
      </c>
      <c r="D2668">
        <v>4.6795330000000002</v>
      </c>
      <c r="E2668">
        <v>0.58038970000000001</v>
      </c>
      <c r="F2668" t="s">
        <v>52</v>
      </c>
      <c r="G2668">
        <v>-226.58369999999999</v>
      </c>
      <c r="H2668" s="1">
        <v>1.9667120000000001E-6</v>
      </c>
      <c r="I2668">
        <v>284.11470000000003</v>
      </c>
      <c r="J2668">
        <v>-203.61799999999999</v>
      </c>
      <c r="K2668">
        <v>1.120133</v>
      </c>
      <c r="L2668">
        <v>284.41129999999998</v>
      </c>
      <c r="M2668">
        <v>-0.91909280000000004</v>
      </c>
      <c r="N2668">
        <v>-1.2535040000000001E-2</v>
      </c>
      <c r="O2668">
        <v>-0.39384170000000002</v>
      </c>
      <c r="P2668">
        <v>-0.97177060000000004</v>
      </c>
      <c r="Q2668">
        <v>8.4829280000000007E-2</v>
      </c>
      <c r="R2668">
        <v>-0.22015009999999999</v>
      </c>
      <c r="S2668">
        <v>-3.0942229999999999</v>
      </c>
      <c r="T2668">
        <v>-0.15041399999999999</v>
      </c>
      <c r="U2668">
        <v>-4.3060300000000003E-2</v>
      </c>
      <c r="V2668">
        <v>0.18072589999999999</v>
      </c>
      <c r="W2668">
        <v>9.6498120000000007E-2</v>
      </c>
      <c r="X2668">
        <v>0.97878810000000005</v>
      </c>
      <c r="Y2668">
        <v>0.38024910000000001</v>
      </c>
      <c r="Z2668">
        <v>2.5296260000000001E-2</v>
      </c>
      <c r="AA2668">
        <v>0.92453810000000003</v>
      </c>
      <c r="AB2668">
        <v>7</v>
      </c>
      <c r="AC2668">
        <v>-22.965699999999998</v>
      </c>
      <c r="AD2668">
        <v>-1.1201310332879999</v>
      </c>
      <c r="AE2668">
        <v>-0.29659999999995501</v>
      </c>
      <c r="AF2668">
        <v>8.7521196774677197</v>
      </c>
      <c r="AG2668">
        <v>-1.1201310332879999</v>
      </c>
      <c r="AH2668">
        <v>21.1757239958967</v>
      </c>
      <c r="AI2668">
        <v>92.798734493918602</v>
      </c>
      <c r="AJ2668">
        <v>67.544246299092293</v>
      </c>
      <c r="AK2668">
        <v>22.940479051904099</v>
      </c>
      <c r="AL2668">
        <v>84.462447707240599</v>
      </c>
      <c r="AM2668">
        <v>79.5385874901623</v>
      </c>
      <c r="AN2668">
        <v>0.99999994139797499</v>
      </c>
    </row>
    <row r="2669" spans="1:40" x14ac:dyDescent="0.25">
      <c r="A2669" t="str">
        <f>"20190303161927724"</f>
        <v>20190303161927724</v>
      </c>
      <c r="B2669" t="str">
        <f>"1551601167714853"</f>
        <v>1551601167714853</v>
      </c>
      <c r="C2669" t="s">
        <v>40</v>
      </c>
      <c r="D2669">
        <v>4.6842629999999996</v>
      </c>
      <c r="E2669">
        <v>0.57971879999999998</v>
      </c>
      <c r="F2669" t="s">
        <v>52</v>
      </c>
      <c r="G2669">
        <v>-230.8228</v>
      </c>
      <c r="H2669" s="1">
        <v>-1.0769509999999999E-6</v>
      </c>
      <c r="I2669">
        <v>284.11309999999997</v>
      </c>
      <c r="J2669">
        <v>-203.69720000000001</v>
      </c>
      <c r="K2669">
        <v>1.120136</v>
      </c>
      <c r="L2669">
        <v>284.38709999999998</v>
      </c>
      <c r="M2669">
        <v>-0.92201889999999997</v>
      </c>
      <c r="N2669">
        <v>-1.253429E-2</v>
      </c>
      <c r="O2669">
        <v>-0.38694220000000001</v>
      </c>
      <c r="P2669">
        <v>-0.97304429999999997</v>
      </c>
      <c r="Q2669">
        <v>8.5810650000000002E-2</v>
      </c>
      <c r="R2669">
        <v>-0.21405969999999999</v>
      </c>
      <c r="S2669">
        <v>-3.0906069999999999</v>
      </c>
      <c r="T2669">
        <v>-0.12725330000000001</v>
      </c>
      <c r="U2669">
        <v>-3.3874509999999997E-2</v>
      </c>
      <c r="V2669">
        <v>0.17948829999999999</v>
      </c>
      <c r="W2669">
        <v>9.7484329999999994E-2</v>
      </c>
      <c r="X2669">
        <v>0.97891810000000001</v>
      </c>
      <c r="Y2669">
        <v>0.37628669999999997</v>
      </c>
      <c r="Z2669">
        <v>2.0746879999999999E-2</v>
      </c>
      <c r="AA2669">
        <v>0.92627099999999996</v>
      </c>
      <c r="AB2669">
        <v>7</v>
      </c>
      <c r="AC2669">
        <v>-27.125599999999899</v>
      </c>
      <c r="AD2669">
        <v>-1.120137076951</v>
      </c>
      <c r="AE2669">
        <v>-0.27400000000000002</v>
      </c>
      <c r="AF2669">
        <v>10.2267725116028</v>
      </c>
      <c r="AG2669">
        <v>-1.120137076951</v>
      </c>
      <c r="AH2669">
        <v>25.075553128521499</v>
      </c>
      <c r="AI2669">
        <v>92.368561535508306</v>
      </c>
      <c r="AJ2669">
        <v>67.812480454610196</v>
      </c>
      <c r="AK2669">
        <v>27.103965535997499</v>
      </c>
      <c r="AL2669">
        <v>84.405674380752401</v>
      </c>
      <c r="AM2669">
        <v>79.610010698381302</v>
      </c>
      <c r="AN2669">
        <v>0.99999994547002302</v>
      </c>
    </row>
    <row r="2670" spans="1:40" x14ac:dyDescent="0.25">
      <c r="A2670" t="str">
        <f>"20190303161927744"</f>
        <v>20190303161927744</v>
      </c>
      <c r="B2670" t="str">
        <f>"1551601167735349"</f>
        <v>1551601167735349</v>
      </c>
      <c r="C2670" t="s">
        <v>40</v>
      </c>
      <c r="D2670">
        <v>4.6879999999999997</v>
      </c>
      <c r="E2670">
        <v>0.57910360000000005</v>
      </c>
      <c r="F2670" t="s">
        <v>52</v>
      </c>
      <c r="G2670">
        <v>-234.4007</v>
      </c>
      <c r="H2670" s="1">
        <v>8.2371709999999898E-7</v>
      </c>
      <c r="I2670">
        <v>284.18959999999998</v>
      </c>
      <c r="J2670">
        <v>-203.76169999999999</v>
      </c>
      <c r="K2670">
        <v>1.120139</v>
      </c>
      <c r="L2670">
        <v>284.36790000000002</v>
      </c>
      <c r="M2670">
        <v>-0.9243635</v>
      </c>
      <c r="N2670">
        <v>-1.253402E-2</v>
      </c>
      <c r="O2670">
        <v>-0.3813069</v>
      </c>
      <c r="P2670">
        <v>-0.97398090000000004</v>
      </c>
      <c r="Q2670">
        <v>8.6572969999999999E-2</v>
      </c>
      <c r="R2670">
        <v>-0.20944270000000001</v>
      </c>
      <c r="S2670">
        <v>-3.0886840000000002</v>
      </c>
      <c r="T2670">
        <v>-0.11268209999999999</v>
      </c>
      <c r="U2670">
        <v>-1.986694E-2</v>
      </c>
      <c r="V2670">
        <v>0.1781307</v>
      </c>
      <c r="W2670">
        <v>9.8252619999999999E-2</v>
      </c>
      <c r="X2670">
        <v>0.97908930000000005</v>
      </c>
      <c r="Y2670">
        <v>0.37495200000000001</v>
      </c>
      <c r="Z2670">
        <v>1.794333E-2</v>
      </c>
      <c r="AA2670">
        <v>0.92687050000000004</v>
      </c>
      <c r="AB2670">
        <v>7</v>
      </c>
      <c r="AC2670">
        <v>-30.638999999999999</v>
      </c>
      <c r="AD2670">
        <v>-1.1201381762828999</v>
      </c>
      <c r="AE2670">
        <v>-0.17830000000003501</v>
      </c>
      <c r="AF2670">
        <v>11.5035784382121</v>
      </c>
      <c r="AG2670">
        <v>-1.1201381762828999</v>
      </c>
      <c r="AH2670">
        <v>28.353895638262902</v>
      </c>
      <c r="AI2670">
        <v>92.096517366675002</v>
      </c>
      <c r="AJ2670">
        <v>67.916906223840499</v>
      </c>
      <c r="AK2670">
        <v>30.619118607229201</v>
      </c>
      <c r="AL2670">
        <v>84.361442514883095</v>
      </c>
      <c r="AM2670">
        <v>79.688669661419297</v>
      </c>
      <c r="AN2670">
        <v>0.99999999049692201</v>
      </c>
    </row>
    <row r="2671" spans="1:40" x14ac:dyDescent="0.25">
      <c r="A2671" t="str">
        <f>"20190303161927766"</f>
        <v>20190303161927766</v>
      </c>
      <c r="B2671" t="str">
        <f>"1551601167754869"</f>
        <v>1551601167754869</v>
      </c>
      <c r="C2671" t="s">
        <v>40</v>
      </c>
      <c r="D2671">
        <v>4.6765369999999997</v>
      </c>
      <c r="E2671">
        <v>0.5783703</v>
      </c>
      <c r="F2671" t="s">
        <v>52</v>
      </c>
      <c r="G2671">
        <v>-237.43510000000001</v>
      </c>
      <c r="H2671" s="1">
        <v>2.435485E-6</v>
      </c>
      <c r="I2671">
        <v>284.25740000000002</v>
      </c>
      <c r="J2671">
        <v>-203.83629999999999</v>
      </c>
      <c r="K2671">
        <v>1.1201410000000001</v>
      </c>
      <c r="L2671">
        <v>284.34620000000001</v>
      </c>
      <c r="M2671">
        <v>-0.92702879999999999</v>
      </c>
      <c r="N2671">
        <v>-1.253427E-2</v>
      </c>
      <c r="O2671">
        <v>-0.37478060000000002</v>
      </c>
      <c r="P2671">
        <v>-0.97516709999999995</v>
      </c>
      <c r="Q2671">
        <v>8.7238479999999993E-2</v>
      </c>
      <c r="R2671">
        <v>-0.20356479999999999</v>
      </c>
      <c r="S2671">
        <v>-3.087097</v>
      </c>
      <c r="T2671">
        <v>-0.1026915</v>
      </c>
      <c r="U2671">
        <v>-1.013184E-2</v>
      </c>
      <c r="V2671">
        <v>0.177112299999999</v>
      </c>
      <c r="W2671">
        <v>9.8922620000000003E-2</v>
      </c>
      <c r="X2671">
        <v>0.97920660000000004</v>
      </c>
      <c r="Y2671">
        <v>0.37141279999999999</v>
      </c>
      <c r="Z2671">
        <v>1.5943720000000002E-2</v>
      </c>
      <c r="AA2671">
        <v>0.92833100000000002</v>
      </c>
      <c r="AB2671">
        <v>7</v>
      </c>
      <c r="AC2671">
        <v>-33.598799999999997</v>
      </c>
      <c r="AD2671">
        <v>-1.1201385645149999</v>
      </c>
      <c r="AE2671">
        <v>-8.8799999999991996E-2</v>
      </c>
      <c r="AF2671">
        <v>12.4969512350402</v>
      </c>
      <c r="AG2671">
        <v>-1.1201385645149999</v>
      </c>
      <c r="AH2671">
        <v>31.148165489845201</v>
      </c>
      <c r="AI2671">
        <v>91.911570634859004</v>
      </c>
      <c r="AJ2671">
        <v>68.138856756057194</v>
      </c>
      <c r="AK2671">
        <v>33.580302469713899</v>
      </c>
      <c r="AL2671">
        <v>84.322866515825794</v>
      </c>
      <c r="AM2671">
        <v>79.747569215777503</v>
      </c>
      <c r="AN2671">
        <v>1.0000000085212499</v>
      </c>
    </row>
    <row r="2672" spans="1:40" x14ac:dyDescent="0.25">
      <c r="A2672" t="str">
        <f>"20190303161927789"</f>
        <v>20190303161927789</v>
      </c>
      <c r="B2672" t="str">
        <f>"1551601167775368"</f>
        <v>1551601167775368</v>
      </c>
      <c r="C2672" t="s">
        <v>40</v>
      </c>
      <c r="D2672">
        <v>4.7658550000000002</v>
      </c>
      <c r="E2672">
        <v>0.57752150000000002</v>
      </c>
      <c r="F2672" t="s">
        <v>52</v>
      </c>
      <c r="G2672">
        <v>-240.4639</v>
      </c>
      <c r="H2672" s="1">
        <v>-1.2899189999999901E-6</v>
      </c>
      <c r="I2672">
        <v>284.37950000000001</v>
      </c>
      <c r="J2672">
        <v>-203.9092</v>
      </c>
      <c r="K2672">
        <v>1.1201430000000001</v>
      </c>
      <c r="L2672">
        <v>284.32560000000001</v>
      </c>
      <c r="M2672">
        <v>-0.92958779999999996</v>
      </c>
      <c r="N2672">
        <v>-1.253466E-2</v>
      </c>
      <c r="O2672">
        <v>-0.36838729999999997</v>
      </c>
      <c r="P2672">
        <v>-0.97642130000000005</v>
      </c>
      <c r="Q2672">
        <v>8.7310009999999993E-2</v>
      </c>
      <c r="R2672">
        <v>-0.1974284</v>
      </c>
      <c r="S2672">
        <v>-3.0854339999999998</v>
      </c>
      <c r="T2672">
        <v>-9.4358440000000002E-2</v>
      </c>
      <c r="U2672">
        <v>2.8076170000000001E-3</v>
      </c>
      <c r="V2672">
        <v>0.17652399999999999</v>
      </c>
      <c r="W2672">
        <v>9.8996180000000003E-2</v>
      </c>
      <c r="X2672">
        <v>0.97930539999999999</v>
      </c>
      <c r="Y2672">
        <v>0.36896770000000001</v>
      </c>
      <c r="Z2672">
        <v>1.4311239999999999E-2</v>
      </c>
      <c r="AA2672">
        <v>0.92933200000000005</v>
      </c>
      <c r="AB2672">
        <v>7</v>
      </c>
      <c r="AC2672">
        <v>-36.554699999999997</v>
      </c>
      <c r="AD2672">
        <v>-1.1201442899189999</v>
      </c>
      <c r="AE2672">
        <v>5.3899999999998699E-2</v>
      </c>
      <c r="AF2672">
        <v>13.5047745018664</v>
      </c>
      <c r="AG2672">
        <v>-1.1201442899189999</v>
      </c>
      <c r="AH2672">
        <v>33.931757198641499</v>
      </c>
      <c r="AI2672">
        <v>91.756808319982099</v>
      </c>
      <c r="AJ2672">
        <v>68.297538966023794</v>
      </c>
      <c r="AK2672">
        <v>36.537621763930602</v>
      </c>
      <c r="AL2672">
        <v>84.318631093032195</v>
      </c>
      <c r="AM2672">
        <v>79.781914381046093</v>
      </c>
      <c r="AN2672">
        <v>1.0000000163498699</v>
      </c>
    </row>
    <row r="2673" spans="1:40" x14ac:dyDescent="0.25">
      <c r="A2673" t="str">
        <f>"20190303161927812"</f>
        <v>20190303161927812</v>
      </c>
      <c r="B2673" t="str">
        <f>"1551601167805621"</f>
        <v>1551601167805621</v>
      </c>
      <c r="C2673" t="s">
        <v>40</v>
      </c>
      <c r="D2673">
        <v>4.6969859999999999</v>
      </c>
      <c r="E2673">
        <v>0.57641339999999996</v>
      </c>
      <c r="F2673" t="s">
        <v>52</v>
      </c>
      <c r="G2673">
        <v>-241.5676</v>
      </c>
      <c r="H2673" s="1">
        <v>-7.025865E-7</v>
      </c>
      <c r="I2673">
        <v>284.51530000000002</v>
      </c>
      <c r="J2673">
        <v>-203.98689999999999</v>
      </c>
      <c r="K2673">
        <v>1.120144</v>
      </c>
      <c r="L2673">
        <v>284.30430000000001</v>
      </c>
      <c r="M2673">
        <v>-0.93226249999999999</v>
      </c>
      <c r="N2673">
        <v>-1.253522E-2</v>
      </c>
      <c r="O2673">
        <v>-0.36156519999999998</v>
      </c>
      <c r="P2673">
        <v>-0.97751279999999996</v>
      </c>
      <c r="Q2673">
        <v>8.8334309999999999E-2</v>
      </c>
      <c r="R2673">
        <v>-0.1914836</v>
      </c>
      <c r="S2673">
        <v>-3.0837859999999999</v>
      </c>
      <c r="T2673">
        <v>-9.1726779999999994E-2</v>
      </c>
      <c r="U2673">
        <v>1.5533450000000001E-2</v>
      </c>
      <c r="V2673">
        <v>0.1752755</v>
      </c>
      <c r="W2673">
        <v>0.1000258</v>
      </c>
      <c r="X2673">
        <v>0.97942499999999999</v>
      </c>
      <c r="Y2673">
        <v>0.36600959999999899</v>
      </c>
      <c r="Z2673">
        <v>1.369328E-2</v>
      </c>
      <c r="AA2673">
        <v>0.93051030000000001</v>
      </c>
      <c r="AB2673">
        <v>7</v>
      </c>
      <c r="AC2673">
        <v>-37.5807</v>
      </c>
      <c r="AD2673">
        <v>-1.1201447025864999</v>
      </c>
      <c r="AE2673">
        <v>0.21100000000001201</v>
      </c>
      <c r="AF2673">
        <v>13.773428342534899</v>
      </c>
      <c r="AG2673">
        <v>-1.1201447025864999</v>
      </c>
      <c r="AH2673">
        <v>34.9305038179969</v>
      </c>
      <c r="AI2673">
        <v>91.708763336131994</v>
      </c>
      <c r="AJ2673">
        <v>68.480212867850994</v>
      </c>
      <c r="AK2673">
        <v>37.564639615478498</v>
      </c>
      <c r="AL2673">
        <v>84.259343820140401</v>
      </c>
      <c r="AM2673">
        <v>79.853890216267502</v>
      </c>
      <c r="AN2673">
        <v>0.99999999609544499</v>
      </c>
    </row>
    <row r="2674" spans="1:40" x14ac:dyDescent="0.25">
      <c r="A2674" t="str">
        <f>"20190303161927832"</f>
        <v>20190303161927832</v>
      </c>
      <c r="B2674" t="str">
        <f>"1551601167825143"</f>
        <v>1551601167825143</v>
      </c>
      <c r="C2674" t="s">
        <v>40</v>
      </c>
      <c r="D2674">
        <v>4.70383</v>
      </c>
      <c r="E2674">
        <v>0.57568140000000001</v>
      </c>
      <c r="F2674" t="s">
        <v>52</v>
      </c>
      <c r="G2674">
        <v>-245.13759999999999</v>
      </c>
      <c r="H2674" s="1">
        <v>1.197216E-6</v>
      </c>
      <c r="I2674">
        <v>284.6429</v>
      </c>
      <c r="J2674">
        <v>-204.0558</v>
      </c>
      <c r="K2674">
        <v>1.1201460000000001</v>
      </c>
      <c r="L2674">
        <v>284.28590000000003</v>
      </c>
      <c r="M2674">
        <v>-0.93459170000000003</v>
      </c>
      <c r="N2674">
        <v>-1.2535559999999999E-2</v>
      </c>
      <c r="O2674">
        <v>-0.35550179999999998</v>
      </c>
      <c r="P2674">
        <v>-0.97858560000000006</v>
      </c>
      <c r="Q2674">
        <v>8.8628159999999997E-2</v>
      </c>
      <c r="R2674">
        <v>-0.18578320000000001</v>
      </c>
      <c r="S2674">
        <v>-3.0815429999999999</v>
      </c>
      <c r="T2674">
        <v>-8.3881020000000001E-2</v>
      </c>
      <c r="U2674">
        <v>2.5360110000000002E-2</v>
      </c>
      <c r="V2674">
        <v>0.17461260000000001</v>
      </c>
      <c r="W2674">
        <v>0.1003233</v>
      </c>
      <c r="X2674">
        <v>0.97951299999999997</v>
      </c>
      <c r="Y2674">
        <v>0.3629812</v>
      </c>
      <c r="Z2674">
        <v>1.2200519999999999E-2</v>
      </c>
      <c r="AA2674">
        <v>0.93171660000000001</v>
      </c>
      <c r="AB2674">
        <v>7</v>
      </c>
      <c r="AC2674">
        <v>-41.081799999999902</v>
      </c>
      <c r="AD2674">
        <v>-1.120144802784</v>
      </c>
      <c r="AE2674">
        <v>0.35699999999997001</v>
      </c>
      <c r="AF2674">
        <v>14.928376964227001</v>
      </c>
      <c r="AG2674">
        <v>-1.120144802784</v>
      </c>
      <c r="AH2674">
        <v>38.242367188401502</v>
      </c>
      <c r="AI2674">
        <v>91.562953032199502</v>
      </c>
      <c r="AJ2674">
        <v>68.676202716284905</v>
      </c>
      <c r="AK2674">
        <v>41.068111855036598</v>
      </c>
      <c r="AL2674">
        <v>84.242212294447299</v>
      </c>
      <c r="AM2674">
        <v>79.892359910019493</v>
      </c>
      <c r="AN2674">
        <v>1.0000000208853199</v>
      </c>
    </row>
    <row r="2675" spans="1:40" x14ac:dyDescent="0.25">
      <c r="A2675" t="str">
        <f>"20190303161927857"</f>
        <v>20190303161927857</v>
      </c>
      <c r="B2675" t="str">
        <f>"1551601167845641"</f>
        <v>1551601167845641</v>
      </c>
      <c r="C2675" t="s">
        <v>40</v>
      </c>
      <c r="D2675">
        <v>4.7098879999999896</v>
      </c>
      <c r="E2675">
        <v>0.57494869999999898</v>
      </c>
      <c r="F2675" t="s">
        <v>52</v>
      </c>
      <c r="G2675">
        <v>-246.97450000000001</v>
      </c>
      <c r="H2675" s="1">
        <v>2.1746880000000002E-6</v>
      </c>
      <c r="I2675">
        <v>284.80079999999998</v>
      </c>
      <c r="J2675">
        <v>-204.13399999999999</v>
      </c>
      <c r="K2675">
        <v>1.1201479999999999</v>
      </c>
      <c r="L2675">
        <v>284.26560000000001</v>
      </c>
      <c r="M2675">
        <v>-0.9371855</v>
      </c>
      <c r="N2675">
        <v>-1.2535839999999999E-2</v>
      </c>
      <c r="O2675">
        <v>-0.34860639999999998</v>
      </c>
      <c r="P2675">
        <v>-0.97986090000000003</v>
      </c>
      <c r="Q2675">
        <v>8.8444259999999997E-2</v>
      </c>
      <c r="R2675">
        <v>-0.17902660000000001</v>
      </c>
      <c r="S2675">
        <v>-3.0799560000000001</v>
      </c>
      <c r="T2675">
        <v>-8.0384369999999997E-2</v>
      </c>
      <c r="U2675">
        <v>3.6956790000000003E-2</v>
      </c>
      <c r="V2675">
        <v>0.1741588</v>
      </c>
      <c r="W2675">
        <v>0.1001425</v>
      </c>
      <c r="X2675">
        <v>0.97961229999999999</v>
      </c>
      <c r="Y2675">
        <v>0.35964639999999998</v>
      </c>
      <c r="Z2675">
        <v>1.1462979999999999E-2</v>
      </c>
      <c r="AA2675">
        <v>0.93301829999999997</v>
      </c>
      <c r="AB2675">
        <v>7</v>
      </c>
      <c r="AC2675">
        <v>-42.840499999999899</v>
      </c>
      <c r="AD2675">
        <v>-1.120145825312</v>
      </c>
      <c r="AE2675">
        <v>0.53519999999997403</v>
      </c>
      <c r="AF2675">
        <v>15.4267204035093</v>
      </c>
      <c r="AG2675">
        <v>-1.120145825312</v>
      </c>
      <c r="AH2675">
        <v>39.938756793571798</v>
      </c>
      <c r="AI2675">
        <v>91.498671608267301</v>
      </c>
      <c r="AJ2675">
        <v>68.880477401970296</v>
      </c>
      <c r="AK2675">
        <v>42.829227442181299</v>
      </c>
      <c r="AL2675">
        <v>84.252623874055402</v>
      </c>
      <c r="AM2675">
        <v>79.919090056921902</v>
      </c>
      <c r="AN2675">
        <v>1.0000000331174801</v>
      </c>
    </row>
    <row r="2676" spans="1:40" x14ac:dyDescent="0.25">
      <c r="A2676" t="str">
        <f>"20190303161927878"</f>
        <v>20190303161927878</v>
      </c>
      <c r="B2676" t="str">
        <f>"1551601167865157"</f>
        <v>1551601167865157</v>
      </c>
      <c r="C2676" t="s">
        <v>40</v>
      </c>
      <c r="D2676">
        <v>4.7372860000000001</v>
      </c>
      <c r="E2676">
        <v>0.57421009999999995</v>
      </c>
      <c r="F2676" t="s">
        <v>52</v>
      </c>
      <c r="G2676">
        <v>-247.7612</v>
      </c>
      <c r="H2676" s="1">
        <v>2.5933589999999999E-6</v>
      </c>
      <c r="I2676">
        <v>285.00729999999999</v>
      </c>
      <c r="J2676">
        <v>-204.2063</v>
      </c>
      <c r="K2676">
        <v>1.120152</v>
      </c>
      <c r="L2676">
        <v>284.24740000000003</v>
      </c>
      <c r="M2676">
        <v>-0.93953529999999996</v>
      </c>
      <c r="N2676">
        <v>-1.253574E-2</v>
      </c>
      <c r="O2676">
        <v>-0.3422229</v>
      </c>
      <c r="P2676">
        <v>-0.98086689999999999</v>
      </c>
      <c r="Q2676">
        <v>8.8691779999999998E-2</v>
      </c>
      <c r="R2676">
        <v>-0.17330379999999901</v>
      </c>
      <c r="S2676">
        <v>-3.078354</v>
      </c>
      <c r="T2676">
        <v>-7.9037789999999997E-2</v>
      </c>
      <c r="U2676">
        <v>5.2337649999999999E-2</v>
      </c>
      <c r="V2676">
        <v>0.17320429999999901</v>
      </c>
      <c r="W2676">
        <v>0.10039629999999999</v>
      </c>
      <c r="X2676">
        <v>0.9797555</v>
      </c>
      <c r="Y2676">
        <v>0.35797309999999999</v>
      </c>
      <c r="Z2676">
        <v>1.114003E-2</v>
      </c>
      <c r="AA2676">
        <v>0.93366550000000004</v>
      </c>
      <c r="AB2676">
        <v>7</v>
      </c>
      <c r="AC2676">
        <v>-43.554900000000004</v>
      </c>
      <c r="AD2676">
        <v>-1.120149406641</v>
      </c>
      <c r="AE2676">
        <v>0.75989999999995905</v>
      </c>
      <c r="AF2676">
        <v>15.6103407410965</v>
      </c>
      <c r="AG2676">
        <v>-1.120149406641</v>
      </c>
      <c r="AH2676">
        <v>40.637630853105499</v>
      </c>
      <c r="AI2676">
        <v>91.473963484448007</v>
      </c>
      <c r="AJ2676">
        <v>68.986464513036694</v>
      </c>
      <c r="AK2676">
        <v>43.547152766852697</v>
      </c>
      <c r="AL2676">
        <v>84.238008318304296</v>
      </c>
      <c r="AM2676">
        <v>79.974651449249905</v>
      </c>
      <c r="AN2676">
        <v>0.99999999318621402</v>
      </c>
    </row>
    <row r="2677" spans="1:40" x14ac:dyDescent="0.25">
      <c r="A2677" t="str">
        <f>"20190303161927901"</f>
        <v>20190303161927901</v>
      </c>
      <c r="B2677" t="str">
        <f>"1551601167895412"</f>
        <v>1551601167895412</v>
      </c>
      <c r="C2677" t="s">
        <v>40</v>
      </c>
      <c r="D2677">
        <v>4.7353110000000003</v>
      </c>
      <c r="E2677">
        <v>0.57345040000000003</v>
      </c>
      <c r="F2677" t="s">
        <v>52</v>
      </c>
      <c r="G2677">
        <v>-250.04140000000001</v>
      </c>
      <c r="H2677" s="1">
        <v>-1.5147559999999999E-6</v>
      </c>
      <c r="I2677">
        <v>285.20979999999997</v>
      </c>
      <c r="J2677">
        <v>-204.27950000000001</v>
      </c>
      <c r="K2677">
        <v>1.1201479999999999</v>
      </c>
      <c r="L2677">
        <v>284.2294</v>
      </c>
      <c r="M2677">
        <v>-0.94186939999999997</v>
      </c>
      <c r="N2677">
        <v>-1.2535279999999999E-2</v>
      </c>
      <c r="O2677">
        <v>-0.33574530000000002</v>
      </c>
      <c r="P2677">
        <v>-0.98182769999999997</v>
      </c>
      <c r="Q2677">
        <v>8.8789439999999997E-2</v>
      </c>
      <c r="R2677">
        <v>-0.16772290000000001</v>
      </c>
      <c r="S2677">
        <v>-3.0767519999999999</v>
      </c>
      <c r="T2677">
        <v>-7.5191969999999997E-2</v>
      </c>
      <c r="U2677">
        <v>6.4605709999999997E-2</v>
      </c>
      <c r="V2677">
        <v>0.17202479999999901</v>
      </c>
      <c r="W2677">
        <v>0.1005016</v>
      </c>
      <c r="X2677">
        <v>0.9799525</v>
      </c>
      <c r="Y2677">
        <v>0.35529250000000001</v>
      </c>
      <c r="Z2677">
        <v>1.0388420000000001E-2</v>
      </c>
      <c r="AA2677">
        <v>0.93469740000000001</v>
      </c>
      <c r="AB2677">
        <v>7</v>
      </c>
      <c r="AC2677">
        <v>-45.761899999999997</v>
      </c>
      <c r="AD2677">
        <v>-1.1201495147560001</v>
      </c>
      <c r="AE2677">
        <v>0.98039999999997396</v>
      </c>
      <c r="AF2677">
        <v>16.2792819323464</v>
      </c>
      <c r="AG2677">
        <v>-1.1201495147560001</v>
      </c>
      <c r="AH2677">
        <v>42.750326761317901</v>
      </c>
      <c r="AI2677">
        <v>91.402710899270403</v>
      </c>
      <c r="AJ2677">
        <v>69.153216401261602</v>
      </c>
      <c r="AK2677">
        <v>45.758717129828803</v>
      </c>
      <c r="AL2677">
        <v>84.231944458541903</v>
      </c>
      <c r="AM2677">
        <v>80.043513528474193</v>
      </c>
      <c r="AN2677">
        <v>1.00000000283692</v>
      </c>
    </row>
    <row r="2678" spans="1:40" x14ac:dyDescent="0.25">
      <c r="A2678" t="str">
        <f>"20190303161927924"</f>
        <v>20190303161927924</v>
      </c>
      <c r="B2678" t="str">
        <f>"1551601167914933"</f>
        <v>1551601167914933</v>
      </c>
      <c r="C2678" t="s">
        <v>40</v>
      </c>
      <c r="D2678">
        <v>4.7535239999999996</v>
      </c>
      <c r="E2678">
        <v>0.55884049999999996</v>
      </c>
      <c r="F2678" t="s">
        <v>52</v>
      </c>
      <c r="G2678">
        <v>-251.45859999999999</v>
      </c>
      <c r="H2678" s="1">
        <v>-7.6060580000000004E-7</v>
      </c>
      <c r="I2678">
        <v>285.3999</v>
      </c>
      <c r="J2678">
        <v>-204.35650000000001</v>
      </c>
      <c r="K2678">
        <v>1.120153</v>
      </c>
      <c r="L2678">
        <v>284.21109999999999</v>
      </c>
      <c r="M2678">
        <v>-0.94426949999999998</v>
      </c>
      <c r="N2678">
        <v>-1.2534480000000001E-2</v>
      </c>
      <c r="O2678">
        <v>-0.32893539999999999</v>
      </c>
      <c r="P2678">
        <v>-0.9828287</v>
      </c>
      <c r="Q2678">
        <v>8.9202729999999994E-2</v>
      </c>
      <c r="R2678">
        <v>-0.16152759999999999</v>
      </c>
      <c r="S2678">
        <v>-3.0751499999999998</v>
      </c>
      <c r="T2678">
        <v>-7.3011759999999995E-2</v>
      </c>
      <c r="U2678">
        <v>7.6293949999999999E-2</v>
      </c>
      <c r="V2678">
        <v>0.1711152</v>
      </c>
      <c r="W2678">
        <v>0.100921</v>
      </c>
      <c r="X2678">
        <v>0.98006859999999996</v>
      </c>
      <c r="Y2678">
        <v>0.35211350000000002</v>
      </c>
      <c r="Z2678">
        <v>9.9130520000000003E-3</v>
      </c>
      <c r="AA2678">
        <v>0.93590479999999998</v>
      </c>
      <c r="AB2678">
        <v>7</v>
      </c>
      <c r="AC2678">
        <v>-47.102099999999901</v>
      </c>
      <c r="AD2678">
        <v>-1.1201537606058001</v>
      </c>
      <c r="AE2678">
        <v>1.1888000000000101</v>
      </c>
      <c r="AF2678">
        <v>16.608010233728901</v>
      </c>
      <c r="AG2678">
        <v>-1.1201537606058001</v>
      </c>
      <c r="AH2678">
        <v>44.064585587006803</v>
      </c>
      <c r="AI2678">
        <v>91.362652835911405</v>
      </c>
      <c r="AJ2678">
        <v>69.3484964719961</v>
      </c>
      <c r="AK2678">
        <v>47.103805062072098</v>
      </c>
      <c r="AL2678">
        <v>84.207791561815398</v>
      </c>
      <c r="AM2678">
        <v>80.0962643358082</v>
      </c>
      <c r="AN2678">
        <v>0.99999996030899896</v>
      </c>
    </row>
    <row r="2679" spans="1:40" x14ac:dyDescent="0.25">
      <c r="A2679" t="str">
        <f>"20190303161927949"</f>
        <v>20190303161927949</v>
      </c>
      <c r="B2679" t="str">
        <f>"1551601167935020"</f>
        <v>1551601167935020</v>
      </c>
      <c r="C2679" t="s">
        <v>40</v>
      </c>
      <c r="D2679">
        <v>4.7446169999999999</v>
      </c>
      <c r="E2679">
        <v>0.55794290000000002</v>
      </c>
      <c r="F2679" t="s">
        <v>56</v>
      </c>
      <c r="G2679">
        <v>-300.22050000000002</v>
      </c>
      <c r="H2679" s="1">
        <v>4.0145420000000002E-6</v>
      </c>
      <c r="I2679">
        <v>283.59769999999997</v>
      </c>
      <c r="J2679">
        <v>-204.43680000000001</v>
      </c>
      <c r="K2679">
        <v>1.1201639999999999</v>
      </c>
      <c r="L2679">
        <v>284.1927</v>
      </c>
      <c r="M2679">
        <v>-0.94671649999999996</v>
      </c>
      <c r="N2679">
        <v>-1.25332E-2</v>
      </c>
      <c r="O2679">
        <v>-0.32182430000000001</v>
      </c>
      <c r="P2679">
        <v>-0.98378129999999997</v>
      </c>
      <c r="Q2679">
        <v>9.0129940000000006E-2</v>
      </c>
      <c r="R2679">
        <v>-0.15508420000000001</v>
      </c>
      <c r="S2679">
        <v>-3.0524290000000001</v>
      </c>
      <c r="T2679">
        <v>-3.5666940000000001E-2</v>
      </c>
      <c r="U2679">
        <v>-1.953125E-2</v>
      </c>
      <c r="V2679">
        <v>0.17013900000000001</v>
      </c>
      <c r="W2679">
        <v>0.1018536</v>
      </c>
      <c r="X2679">
        <v>0.98014210000000002</v>
      </c>
      <c r="Y2679">
        <v>0.31574140000000001</v>
      </c>
      <c r="Z2679">
        <v>3.4416149999999999E-3</v>
      </c>
      <c r="AA2679">
        <v>0.94883899999999999</v>
      </c>
      <c r="AB2679">
        <v>7</v>
      </c>
      <c r="AC2679">
        <v>-95.783699999999996</v>
      </c>
      <c r="AD2679">
        <v>-1.120159985458</v>
      </c>
      <c r="AE2679">
        <v>-0.59500000000002695</v>
      </c>
      <c r="AF2679">
        <v>30.2604631468664</v>
      </c>
      <c r="AG2679">
        <v>-1.120159985458</v>
      </c>
      <c r="AH2679">
        <v>90.866201520426401</v>
      </c>
      <c r="AI2679">
        <v>90.670104117657402</v>
      </c>
      <c r="AJ2679">
        <v>71.581096178258093</v>
      </c>
      <c r="AK2679">
        <v>95.779000657798804</v>
      </c>
      <c r="AL2679">
        <v>84.154080892301494</v>
      </c>
      <c r="AM2679">
        <v>80.152379126938499</v>
      </c>
      <c r="AN2679">
        <v>0.99999998567318404</v>
      </c>
    </row>
    <row r="2680" spans="1:40" x14ac:dyDescent="0.25">
      <c r="A2680" t="str">
        <f>"20190303161927969"</f>
        <v>20190303161927969</v>
      </c>
      <c r="B2680" t="str">
        <f>"1551601167965277"</f>
        <v>1551601167965277</v>
      </c>
      <c r="C2680" t="s">
        <v>40</v>
      </c>
      <c r="D2680">
        <v>4.7435619999999998</v>
      </c>
      <c r="E2680">
        <v>0.5568592</v>
      </c>
      <c r="F2680" t="s">
        <v>56</v>
      </c>
      <c r="G2680">
        <v>-299.39530000000002</v>
      </c>
      <c r="H2680" s="1">
        <v>3.927291E-6</v>
      </c>
      <c r="I2680">
        <v>283.98759999999999</v>
      </c>
      <c r="J2680">
        <v>-204.5052</v>
      </c>
      <c r="K2680">
        <v>1.12017099999999</v>
      </c>
      <c r="L2680">
        <v>284.17750000000001</v>
      </c>
      <c r="M2680">
        <v>-0.94875569999999998</v>
      </c>
      <c r="N2680">
        <v>-1.2531870000000001E-2</v>
      </c>
      <c r="O2680">
        <v>-0.31576169999999998</v>
      </c>
      <c r="P2680">
        <v>-0.9844562</v>
      </c>
      <c r="Q2680">
        <v>9.0906189999999998E-2</v>
      </c>
      <c r="R2680">
        <v>-0.15027360000000001</v>
      </c>
      <c r="S2680">
        <v>-3.051682</v>
      </c>
      <c r="T2680">
        <v>-3.5998580000000002E-2</v>
      </c>
      <c r="U2680">
        <v>-6.5917969999999999E-3</v>
      </c>
      <c r="V2680">
        <v>0.16863689999999901</v>
      </c>
      <c r="W2680">
        <v>0.1026377</v>
      </c>
      <c r="X2680">
        <v>0.98031990000000002</v>
      </c>
      <c r="Y2680">
        <v>0.31369229999999998</v>
      </c>
      <c r="Z2680">
        <v>3.4818800000000001E-3</v>
      </c>
      <c r="AA2680">
        <v>0.94951830000000004</v>
      </c>
      <c r="AB2680">
        <v>7</v>
      </c>
      <c r="AC2680">
        <v>-94.890100000000004</v>
      </c>
      <c r="AD2680">
        <v>-1.1201670727089901</v>
      </c>
      <c r="AE2680">
        <v>-0.189900000000022</v>
      </c>
      <c r="AF2680">
        <v>29.780681240520899</v>
      </c>
      <c r="AG2680">
        <v>-1.1201670727089901</v>
      </c>
      <c r="AH2680">
        <v>90.082013414488401</v>
      </c>
      <c r="AI2680">
        <v>90.676431774135693</v>
      </c>
      <c r="AJ2680">
        <v>71.706362104976293</v>
      </c>
      <c r="AK2680">
        <v>94.883680842536705</v>
      </c>
      <c r="AL2680">
        <v>84.108918690087194</v>
      </c>
      <c r="AM2680">
        <v>80.239376842282297</v>
      </c>
      <c r="AN2680">
        <v>1.0000000039194501</v>
      </c>
    </row>
    <row r="2681" spans="1:40" x14ac:dyDescent="0.25">
      <c r="A2681" t="str">
        <f>"20190303161927991"</f>
        <v>20190303161927991</v>
      </c>
      <c r="B2681" t="str">
        <f>"1551601167984796"</f>
        <v>1551601167984796</v>
      </c>
      <c r="C2681" t="s">
        <v>40</v>
      </c>
      <c r="D2681">
        <v>4.7712339999999998</v>
      </c>
      <c r="E2681">
        <v>0.55649850000000001</v>
      </c>
      <c r="F2681" t="s">
        <v>56</v>
      </c>
      <c r="G2681">
        <v>-301.78930000000003</v>
      </c>
      <c r="H2681" s="1">
        <v>3.6858259999999998E-6</v>
      </c>
      <c r="I2681">
        <v>284.1746</v>
      </c>
      <c r="J2681">
        <v>-204.57839999999999</v>
      </c>
      <c r="K2681">
        <v>1.1201810000000001</v>
      </c>
      <c r="L2681">
        <v>284.1617</v>
      </c>
      <c r="M2681">
        <v>-0.95088910000000004</v>
      </c>
      <c r="N2681">
        <v>-1.2530380000000001E-2</v>
      </c>
      <c r="O2681">
        <v>-0.3092781</v>
      </c>
      <c r="P2681">
        <v>-0.98508180000000001</v>
      </c>
      <c r="Q2681">
        <v>9.1179629999999998E-2</v>
      </c>
      <c r="R2681">
        <v>-0.14594649999999901</v>
      </c>
      <c r="S2681">
        <v>-3.0506129999999998</v>
      </c>
      <c r="T2681">
        <v>-3.5125969999999999E-2</v>
      </c>
      <c r="U2681" s="1">
        <v>-9.1552730000000004E-5</v>
      </c>
      <c r="V2681">
        <v>0.1662411</v>
      </c>
      <c r="W2681">
        <v>0.10292519999999999</v>
      </c>
      <c r="X2681">
        <v>0.98069890000000004</v>
      </c>
      <c r="Y2681">
        <v>0.30923200000000001</v>
      </c>
      <c r="Z2681">
        <v>3.3098929999999999E-3</v>
      </c>
      <c r="AA2681">
        <v>0.95098090000000002</v>
      </c>
      <c r="AB2681">
        <v>7</v>
      </c>
      <c r="AC2681">
        <v>-97.210899999999995</v>
      </c>
      <c r="AD2681">
        <v>-1.1201773141739999</v>
      </c>
      <c r="AE2681">
        <v>1.29000000000019E-2</v>
      </c>
      <c r="AF2681">
        <v>30.075836354261</v>
      </c>
      <c r="AG2681">
        <v>-1.1201773141739999</v>
      </c>
      <c r="AH2681">
        <v>92.427778390164505</v>
      </c>
      <c r="AI2681">
        <v>90.6602871943537</v>
      </c>
      <c r="AJ2681">
        <v>71.975203222429698</v>
      </c>
      <c r="AK2681">
        <v>97.204449217949104</v>
      </c>
      <c r="AL2681">
        <v>84.092358523191294</v>
      </c>
      <c r="AM2681">
        <v>80.379082557889603</v>
      </c>
      <c r="AN2681">
        <v>1.0000000162927201</v>
      </c>
    </row>
    <row r="2682" spans="1:40" x14ac:dyDescent="0.25">
      <c r="A2682" t="str">
        <f>"20190303161928014"</f>
        <v>20190303161928014</v>
      </c>
      <c r="B2682" t="str">
        <f>"1551601168005293"</f>
        <v>1551601168005293</v>
      </c>
      <c r="C2682" t="s">
        <v>40</v>
      </c>
      <c r="D2682">
        <v>4.8024570000000004</v>
      </c>
      <c r="E2682">
        <v>0.55600519999999998</v>
      </c>
      <c r="F2682" t="s">
        <v>56</v>
      </c>
      <c r="G2682">
        <v>-310.05599999999998</v>
      </c>
      <c r="H2682" s="1">
        <v>2.2488110000000001E-6</v>
      </c>
      <c r="I2682">
        <v>284.53640000000001</v>
      </c>
      <c r="J2682">
        <v>-204.6533</v>
      </c>
      <c r="K2682">
        <v>1.120193</v>
      </c>
      <c r="L2682">
        <v>284.14620000000002</v>
      </c>
      <c r="M2682">
        <v>-0.95302489999999995</v>
      </c>
      <c r="N2682">
        <v>-1.252874E-2</v>
      </c>
      <c r="O2682">
        <v>-0.30263279999999998</v>
      </c>
      <c r="P2682">
        <v>-0.98565230000000004</v>
      </c>
      <c r="Q2682">
        <v>9.1991279999999995E-2</v>
      </c>
      <c r="R2682">
        <v>-0.14151830000000001</v>
      </c>
      <c r="S2682">
        <v>-3.0500340000000001</v>
      </c>
      <c r="T2682">
        <v>-3.2391549999999998E-2</v>
      </c>
      <c r="U2682">
        <v>1.083374E-2</v>
      </c>
      <c r="V2682">
        <v>0.16377749999999999</v>
      </c>
      <c r="W2682">
        <v>0.10374949999999999</v>
      </c>
      <c r="X2682">
        <v>0.98102650000000002</v>
      </c>
      <c r="Y2682">
        <v>0.30600280000000002</v>
      </c>
      <c r="Z2682">
        <v>2.8808929999999998E-3</v>
      </c>
      <c r="AA2682">
        <v>0.95202620000000004</v>
      </c>
      <c r="AB2682">
        <v>7</v>
      </c>
      <c r="AC2682">
        <v>-105.402699999999</v>
      </c>
      <c r="AD2682">
        <v>-1.1201907511889999</v>
      </c>
      <c r="AE2682">
        <v>0.390199999999993</v>
      </c>
      <c r="AF2682">
        <v>32.269072202337597</v>
      </c>
      <c r="AG2682">
        <v>-1.1201907511889999</v>
      </c>
      <c r="AH2682">
        <v>100.329851853847</v>
      </c>
      <c r="AI2682">
        <v>90.608965373736496</v>
      </c>
      <c r="AJ2682">
        <v>72.170660752190102</v>
      </c>
      <c r="AK2682">
        <v>105.39747160693</v>
      </c>
      <c r="AL2682">
        <v>84.044875372493905</v>
      </c>
      <c r="AM2682">
        <v>80.522160417132994</v>
      </c>
      <c r="AN2682">
        <v>1.0000000109793701</v>
      </c>
    </row>
    <row r="2683" spans="1:40" x14ac:dyDescent="0.25">
      <c r="A2683" t="str">
        <f>"20190303161928034"</f>
        <v>20190303161928034</v>
      </c>
      <c r="B2683" t="str">
        <f>"1551601168025788"</f>
        <v>1551601168025788</v>
      </c>
      <c r="C2683" t="s">
        <v>40</v>
      </c>
      <c r="D2683">
        <v>4.7989319999999998</v>
      </c>
      <c r="E2683">
        <v>0.55576110000000001</v>
      </c>
      <c r="F2683" t="s">
        <v>52</v>
      </c>
      <c r="G2683">
        <v>-323.678</v>
      </c>
      <c r="H2683" s="1">
        <v>4.054882E-7</v>
      </c>
      <c r="I2683">
        <v>284.95859999999999</v>
      </c>
      <c r="J2683">
        <v>-204.72329999999999</v>
      </c>
      <c r="K2683">
        <v>1.1202049999999999</v>
      </c>
      <c r="L2683">
        <v>284.13209999999998</v>
      </c>
      <c r="M2683">
        <v>-0.95497399999999999</v>
      </c>
      <c r="N2683">
        <v>-1.252723E-2</v>
      </c>
      <c r="O2683">
        <v>-0.2964252</v>
      </c>
      <c r="P2683">
        <v>-0.98615319999999995</v>
      </c>
      <c r="Q2683">
        <v>9.3076420000000007E-2</v>
      </c>
      <c r="R2683">
        <v>-0.13725589999999999</v>
      </c>
      <c r="S2683">
        <v>-3.0493320000000002</v>
      </c>
      <c r="T2683">
        <v>-2.8698560000000001E-2</v>
      </c>
      <c r="U2683">
        <v>2.081299E-2</v>
      </c>
      <c r="V2683">
        <v>0.16160439999999901</v>
      </c>
      <c r="W2683">
        <v>0.10484499999999999</v>
      </c>
      <c r="X2683">
        <v>0.98127039999999999</v>
      </c>
      <c r="Y2683">
        <v>0.30292809999999998</v>
      </c>
      <c r="Z2683">
        <v>2.3261240000000002E-3</v>
      </c>
      <c r="AA2683">
        <v>0.95301060000000004</v>
      </c>
      <c r="AB2683">
        <v>7</v>
      </c>
      <c r="AC2683">
        <v>-118.9547</v>
      </c>
      <c r="AD2683">
        <v>-1.1202045945118</v>
      </c>
      <c r="AE2683">
        <v>0.82650000000001</v>
      </c>
      <c r="AF2683">
        <v>36.050085908811504</v>
      </c>
      <c r="AG2683">
        <v>-1.1202045945118</v>
      </c>
      <c r="AH2683">
        <v>113.35248421376301</v>
      </c>
      <c r="AI2683">
        <v>90.539577168164001</v>
      </c>
      <c r="AJ2683">
        <v>72.357501699998593</v>
      </c>
      <c r="AK2683">
        <v>118.952298127433</v>
      </c>
      <c r="AL2683">
        <v>83.981763739686201</v>
      </c>
      <c r="AM2683">
        <v>80.647964817861407</v>
      </c>
      <c r="AN2683">
        <v>1.00000002702025</v>
      </c>
    </row>
    <row r="2684" spans="1:40" x14ac:dyDescent="0.25">
      <c r="A2684" t="str">
        <f>"20190303161928057"</f>
        <v>20190303161928057</v>
      </c>
      <c r="B2684" t="str">
        <f>"1551601168045126"</f>
        <v>1551601168045126</v>
      </c>
      <c r="C2684" t="s">
        <v>40</v>
      </c>
      <c r="D2684">
        <v>4.7988369999999998</v>
      </c>
      <c r="E2684">
        <v>0.54956050000000001</v>
      </c>
      <c r="F2684" t="s">
        <v>52</v>
      </c>
      <c r="G2684">
        <v>-334.64859999999999</v>
      </c>
      <c r="H2684" s="1">
        <v>8.9938830000000004E-7</v>
      </c>
      <c r="I2684">
        <v>285.47550000000001</v>
      </c>
      <c r="J2684">
        <v>-204.79990000000001</v>
      </c>
      <c r="K2684">
        <v>1.120212</v>
      </c>
      <c r="L2684">
        <v>284.11720000000003</v>
      </c>
      <c r="M2684">
        <v>-0.95706040000000003</v>
      </c>
      <c r="N2684">
        <v>-1.2525629999999999E-2</v>
      </c>
      <c r="O2684">
        <v>-0.28961819999999999</v>
      </c>
      <c r="P2684">
        <v>-0.98670290000000005</v>
      </c>
      <c r="Q2684">
        <v>9.3835740000000001E-2</v>
      </c>
      <c r="R2684">
        <v>-0.13271229999999901</v>
      </c>
      <c r="S2684">
        <v>-3.0489809999999999</v>
      </c>
      <c r="T2684">
        <v>-2.628803E-2</v>
      </c>
      <c r="U2684">
        <v>3.1524660000000003E-2</v>
      </c>
      <c r="V2684">
        <v>0.15911429999999999</v>
      </c>
      <c r="W2684">
        <v>0.1056165</v>
      </c>
      <c r="X2684">
        <v>0.98159450000000004</v>
      </c>
      <c r="Y2684">
        <v>0.29949229999999999</v>
      </c>
      <c r="Z2684">
        <v>1.9713600000000001E-3</v>
      </c>
      <c r="AA2684">
        <v>0.95409670000000002</v>
      </c>
      <c r="AB2684">
        <v>7</v>
      </c>
      <c r="AC2684">
        <v>-129.84869999999901</v>
      </c>
      <c r="AD2684">
        <v>-1.1202111006116999</v>
      </c>
      <c r="AE2684">
        <v>1.3582999999999801</v>
      </c>
      <c r="AF2684">
        <v>38.9066750271449</v>
      </c>
      <c r="AG2684">
        <v>-1.1202111006116999</v>
      </c>
      <c r="AH2684">
        <v>123.880147897955</v>
      </c>
      <c r="AI2684">
        <v>90.494290976242794</v>
      </c>
      <c r="AJ2684">
        <v>72.564213544764698</v>
      </c>
      <c r="AK2684">
        <v>129.85097334173901</v>
      </c>
      <c r="AL2684">
        <v>83.937312987337094</v>
      </c>
      <c r="AM2684">
        <v>80.792567195956295</v>
      </c>
      <c r="AN2684">
        <v>0.99999998398349399</v>
      </c>
    </row>
    <row r="2685" spans="1:40" x14ac:dyDescent="0.25">
      <c r="A2685" t="str">
        <f>"20190303161928079"</f>
        <v>20190303161928079</v>
      </c>
      <c r="B2685" t="str">
        <f>"1551601168075382"</f>
        <v>1551601168075382</v>
      </c>
      <c r="C2685" t="s">
        <v>40</v>
      </c>
      <c r="D2685">
        <v>4.7912999999999997</v>
      </c>
      <c r="E2685">
        <v>0.54877290000000001</v>
      </c>
      <c r="F2685" t="s">
        <v>56</v>
      </c>
      <c r="G2685">
        <v>-293.94510000000002</v>
      </c>
      <c r="H2685" s="1">
        <v>2.9578599999999998E-6</v>
      </c>
      <c r="I2685">
        <v>284.01799999999997</v>
      </c>
      <c r="J2685">
        <v>-204.87180000000001</v>
      </c>
      <c r="K2685">
        <v>1.120214</v>
      </c>
      <c r="L2685">
        <v>284.10379999999998</v>
      </c>
      <c r="M2685">
        <v>-0.95897019999999999</v>
      </c>
      <c r="N2685">
        <v>-1.2524209999999999E-2</v>
      </c>
      <c r="O2685">
        <v>-0.28323019999999999</v>
      </c>
      <c r="P2685">
        <v>-0.98713720000000005</v>
      </c>
      <c r="Q2685">
        <v>9.3266669999999996E-2</v>
      </c>
      <c r="R2685">
        <v>-0.12985279999999999</v>
      </c>
      <c r="S2685">
        <v>-3.043625</v>
      </c>
      <c r="T2685">
        <v>-3.8246509999999997E-2</v>
      </c>
      <c r="U2685">
        <v>-3.3874510000000001E-3</v>
      </c>
      <c r="V2685">
        <v>0.15542</v>
      </c>
      <c r="W2685">
        <v>0.10506740000000001</v>
      </c>
      <c r="X2685">
        <v>0.98224509999999998</v>
      </c>
      <c r="Y2685">
        <v>0.28214139999999999</v>
      </c>
      <c r="Z2685">
        <v>3.4766770000000001E-3</v>
      </c>
      <c r="AA2685">
        <v>0.95936659999999996</v>
      </c>
      <c r="AB2685">
        <v>7</v>
      </c>
      <c r="AC2685">
        <v>-89.073300000000003</v>
      </c>
      <c r="AD2685">
        <v>-1.12021104214</v>
      </c>
      <c r="AE2685">
        <v>-8.5800000000006094E-2</v>
      </c>
      <c r="AF2685">
        <v>25.143963885039302</v>
      </c>
      <c r="AG2685">
        <v>-1.12021104214</v>
      </c>
      <c r="AH2685">
        <v>85.436128566413998</v>
      </c>
      <c r="AI2685">
        <v>90.720643575867101</v>
      </c>
      <c r="AJ2685">
        <v>73.600775279114401</v>
      </c>
      <c r="AK2685">
        <v>89.066300344450795</v>
      </c>
      <c r="AL2685">
        <v>83.968950138445706</v>
      </c>
      <c r="AM2685">
        <v>81.008668983621504</v>
      </c>
      <c r="AN2685">
        <v>0.999999985708384</v>
      </c>
    </row>
    <row r="2686" spans="1:40" x14ac:dyDescent="0.25">
      <c r="A2686" t="str">
        <f>"20190303161928093"</f>
        <v>20190303161928093</v>
      </c>
      <c r="B2686" t="str">
        <f>"1551601168085142"</f>
        <v>1551601168085142</v>
      </c>
      <c r="C2686" t="s">
        <v>40</v>
      </c>
      <c r="D2686">
        <v>4.8065699999999998</v>
      </c>
      <c r="E2686">
        <v>0.54889940000000004</v>
      </c>
      <c r="F2686" t="s">
        <v>56</v>
      </c>
      <c r="G2686">
        <v>-291.38010000000003</v>
      </c>
      <c r="H2686" s="1">
        <v>2.49536E-6</v>
      </c>
      <c r="I2686">
        <v>284.10379999999998</v>
      </c>
      <c r="J2686">
        <v>-204.92070000000001</v>
      </c>
      <c r="K2686">
        <v>1.120214</v>
      </c>
      <c r="L2686">
        <v>284.0949</v>
      </c>
      <c r="M2686">
        <v>-0.96024379999999998</v>
      </c>
      <c r="N2686">
        <v>-1.252324E-2</v>
      </c>
      <c r="O2686">
        <v>-0.27888180000000001</v>
      </c>
      <c r="P2686">
        <v>-0.9874735</v>
      </c>
      <c r="Q2686">
        <v>9.289559E-2</v>
      </c>
      <c r="R2686">
        <v>-0.1275403</v>
      </c>
      <c r="S2686">
        <v>-3.0428160000000002</v>
      </c>
      <c r="T2686">
        <v>-3.9402010000000001E-2</v>
      </c>
      <c r="U2686">
        <v>0</v>
      </c>
      <c r="V2686">
        <v>0.15327479999999999</v>
      </c>
      <c r="W2686">
        <v>0.10470739999999901</v>
      </c>
      <c r="X2686">
        <v>0.98262059999999996</v>
      </c>
      <c r="Y2686">
        <v>0.27885860000000001</v>
      </c>
      <c r="Z2686">
        <v>3.5983510000000001E-3</v>
      </c>
      <c r="AA2686">
        <v>0.9603254</v>
      </c>
      <c r="AB2686">
        <v>7</v>
      </c>
      <c r="AC2686">
        <v>-86.459400000000002</v>
      </c>
      <c r="AD2686">
        <v>-1.1202115046400001</v>
      </c>
      <c r="AE2686">
        <v>8.8999999999828001E-3</v>
      </c>
      <c r="AF2686">
        <v>24.118341602144302</v>
      </c>
      <c r="AG2686">
        <v>-1.1202115046400001</v>
      </c>
      <c r="AH2686">
        <v>83.012194345959003</v>
      </c>
      <c r="AI2686">
        <v>90.742436017481296</v>
      </c>
      <c r="AJ2686">
        <v>73.799319147887999</v>
      </c>
      <c r="AK2686">
        <v>86.452146795693395</v>
      </c>
      <c r="AL2686">
        <v>83.989691253456897</v>
      </c>
      <c r="AM2686">
        <v>81.134121665774003</v>
      </c>
      <c r="AN2686">
        <v>1.0000000237370701</v>
      </c>
    </row>
    <row r="2687" spans="1:40" x14ac:dyDescent="0.25">
      <c r="A2687" t="str">
        <f>"20190303161928113"</f>
        <v>20190303161928113</v>
      </c>
      <c r="B2687" t="str">
        <f>"1551601168105638"</f>
        <v>1551601168105638</v>
      </c>
      <c r="C2687" t="s">
        <v>40</v>
      </c>
      <c r="D2687">
        <v>4.7717109999999998</v>
      </c>
      <c r="E2687">
        <v>0.54821089999999995</v>
      </c>
      <c r="F2687" t="s">
        <v>56</v>
      </c>
      <c r="G2687">
        <v>-288.68450000000001</v>
      </c>
      <c r="H2687" s="1">
        <v>4.6120780000000001E-6</v>
      </c>
      <c r="I2687">
        <v>284.32089999999999</v>
      </c>
      <c r="J2687">
        <v>-204.98480000000001</v>
      </c>
      <c r="K2687">
        <v>1.120209</v>
      </c>
      <c r="L2687">
        <v>284.08370000000002</v>
      </c>
      <c r="M2687">
        <v>-0.96188209999999996</v>
      </c>
      <c r="N2687">
        <v>-1.252202E-2</v>
      </c>
      <c r="O2687">
        <v>-0.27317770000000002</v>
      </c>
      <c r="P2687">
        <v>-0.98779450000000002</v>
      </c>
      <c r="Q2687">
        <v>9.1779299999999994E-2</v>
      </c>
      <c r="R2687">
        <v>-0.125852399999999</v>
      </c>
      <c r="S2687">
        <v>-3.0429529999999998</v>
      </c>
      <c r="T2687">
        <v>-4.0694710000000002E-2</v>
      </c>
      <c r="U2687">
        <v>8.2092290000000002E-3</v>
      </c>
      <c r="V2687">
        <v>0.14913979999999999</v>
      </c>
      <c r="W2687">
        <v>0.10361380000000001</v>
      </c>
      <c r="X2687">
        <v>0.98337249999999998</v>
      </c>
      <c r="Y2687">
        <v>0.2757463</v>
      </c>
      <c r="Z2687">
        <v>3.73479E-3</v>
      </c>
      <c r="AA2687">
        <v>0.96122320000000006</v>
      </c>
      <c r="AB2687">
        <v>7</v>
      </c>
      <c r="AC2687">
        <v>-83.699700000000007</v>
      </c>
      <c r="AD2687">
        <v>-1.1202043879220001</v>
      </c>
      <c r="AE2687">
        <v>0.23719999999997299</v>
      </c>
      <c r="AF2687">
        <v>23.090724328879102</v>
      </c>
      <c r="AG2687">
        <v>-1.1202043879220001</v>
      </c>
      <c r="AH2687">
        <v>80.436344100813002</v>
      </c>
      <c r="AI2687">
        <v>90.766913005647297</v>
      </c>
      <c r="AJ2687">
        <v>73.9829056699582</v>
      </c>
      <c r="AK2687">
        <v>83.692543635663299</v>
      </c>
      <c r="AL2687">
        <v>84.052692394684897</v>
      </c>
      <c r="AM2687">
        <v>81.376152081319802</v>
      </c>
      <c r="AN2687">
        <v>0.99999998662536405</v>
      </c>
    </row>
    <row r="2688" spans="1:40" x14ac:dyDescent="0.25">
      <c r="A2688" t="str">
        <f>"20190303161928137"</f>
        <v>20190303161928137</v>
      </c>
      <c r="B2688" t="str">
        <f>"1551601168125158"</f>
        <v>1551601168125158</v>
      </c>
      <c r="C2688" t="s">
        <v>40</v>
      </c>
      <c r="D2688">
        <v>4.7824710000000001</v>
      </c>
      <c r="E2688">
        <v>0.5472785</v>
      </c>
      <c r="F2688" t="s">
        <v>56</v>
      </c>
      <c r="G2688">
        <v>-281.42380000000003</v>
      </c>
      <c r="H2688" s="1">
        <v>7.8390769999999996E-6</v>
      </c>
      <c r="I2688">
        <v>284.28609999999998</v>
      </c>
      <c r="J2688">
        <v>-205.06270000000001</v>
      </c>
      <c r="K2688">
        <v>1.1202080000000001</v>
      </c>
      <c r="L2688">
        <v>284.07049999999998</v>
      </c>
      <c r="M2688">
        <v>-0.96382440000000003</v>
      </c>
      <c r="N2688">
        <v>-1.252064E-2</v>
      </c>
      <c r="O2688">
        <v>-0.26624409999999998</v>
      </c>
      <c r="P2688">
        <v>-0.98832240000000005</v>
      </c>
      <c r="Q2688">
        <v>9.0441759999999996E-2</v>
      </c>
      <c r="R2688">
        <v>-0.1226356</v>
      </c>
      <c r="S2688">
        <v>-3.0422359999999999</v>
      </c>
      <c r="T2688">
        <v>-4.4583440000000002E-2</v>
      </c>
      <c r="U2688">
        <v>8.0566409999999998E-3</v>
      </c>
      <c r="V2688">
        <v>0.145282299999999</v>
      </c>
      <c r="W2688">
        <v>0.1022972</v>
      </c>
      <c r="X2688">
        <v>0.98408759999999995</v>
      </c>
      <c r="Y2688">
        <v>0.26876349999999999</v>
      </c>
      <c r="Z2688">
        <v>4.1540550000000002E-3</v>
      </c>
      <c r="AA2688">
        <v>0.96319719999999998</v>
      </c>
      <c r="AB2688">
        <v>7</v>
      </c>
      <c r="AC2688">
        <v>-76.361099999999993</v>
      </c>
      <c r="AD2688">
        <v>-1.1202001609229999</v>
      </c>
      <c r="AE2688">
        <v>0.21559999999999399</v>
      </c>
      <c r="AF2688">
        <v>20.535682000471699</v>
      </c>
      <c r="AG2688">
        <v>-1.1202001609229999</v>
      </c>
      <c r="AH2688">
        <v>73.531224350233501</v>
      </c>
      <c r="AI2688">
        <v>90.840633402380504</v>
      </c>
      <c r="AJ2688">
        <v>74.396100084778595</v>
      </c>
      <c r="AK2688">
        <v>76.353192716934899</v>
      </c>
      <c r="AL2688">
        <v>84.128531314035001</v>
      </c>
      <c r="AM2688">
        <v>81.602000786636395</v>
      </c>
      <c r="AN2688">
        <v>1.00000003414744</v>
      </c>
    </row>
    <row r="2689" spans="1:40" x14ac:dyDescent="0.25">
      <c r="A2689" t="str">
        <f>"20190303161928157"</f>
        <v>20190303161928157</v>
      </c>
      <c r="B2689" t="str">
        <f>"1551601168145188"</f>
        <v>1551601168145188</v>
      </c>
      <c r="C2689" t="s">
        <v>40</v>
      </c>
      <c r="D2689">
        <v>4.7712399999999997</v>
      </c>
      <c r="E2689">
        <v>0.54684259999999996</v>
      </c>
      <c r="F2689" t="s">
        <v>52</v>
      </c>
      <c r="G2689">
        <v>-272.21140000000003</v>
      </c>
      <c r="H2689" s="1">
        <v>-3.4650419999999997E-7</v>
      </c>
      <c r="I2689">
        <v>284.30770000000001</v>
      </c>
      <c r="J2689">
        <v>-205.13409999999999</v>
      </c>
      <c r="K2689">
        <v>1.1202080000000001</v>
      </c>
      <c r="L2689">
        <v>284.05889999999999</v>
      </c>
      <c r="M2689">
        <v>-0.965561</v>
      </c>
      <c r="N2689">
        <v>-1.251939E-2</v>
      </c>
      <c r="O2689">
        <v>-0.25987549999999998</v>
      </c>
      <c r="P2689">
        <v>-0.98866200000000004</v>
      </c>
      <c r="Q2689">
        <v>8.9145230000000006E-2</v>
      </c>
      <c r="R2689">
        <v>-0.120834999999999</v>
      </c>
      <c r="S2689">
        <v>-3.0414119999999998</v>
      </c>
      <c r="T2689">
        <v>-5.0738329999999998E-2</v>
      </c>
      <c r="U2689">
        <v>1.074219E-2</v>
      </c>
      <c r="V2689">
        <v>0.1405969</v>
      </c>
      <c r="W2689">
        <v>0.1010254</v>
      </c>
      <c r="X2689">
        <v>0.98489919999999997</v>
      </c>
      <c r="Y2689">
        <v>0.26323960000000002</v>
      </c>
      <c r="Z2689">
        <v>4.8597099999999997E-3</v>
      </c>
      <c r="AA2689">
        <v>0.96471819999999997</v>
      </c>
      <c r="AB2689">
        <v>7</v>
      </c>
      <c r="AC2689">
        <v>-67.077299999999994</v>
      </c>
      <c r="AD2689">
        <v>-1.1202083465041901</v>
      </c>
      <c r="AE2689">
        <v>0.24880000000001601</v>
      </c>
      <c r="AF2689">
        <v>17.6684354009336</v>
      </c>
      <c r="AG2689">
        <v>-1.1202083465041901</v>
      </c>
      <c r="AH2689">
        <v>64.689595633851198</v>
      </c>
      <c r="AI2689">
        <v>90.957025676728804</v>
      </c>
      <c r="AJ2689">
        <v>74.723599137734794</v>
      </c>
      <c r="AK2689">
        <v>67.068414768262798</v>
      </c>
      <c r="AL2689">
        <v>84.201779541361702</v>
      </c>
      <c r="AM2689">
        <v>81.875769026871097</v>
      </c>
      <c r="AN2689">
        <v>1.0000000269477001</v>
      </c>
    </row>
    <row r="2690" spans="1:40" x14ac:dyDescent="0.25">
      <c r="A2690" t="str">
        <f>"20190303161928180"</f>
        <v>20190303161928180</v>
      </c>
      <c r="B2690" t="str">
        <f>"1551601168175444"</f>
        <v>1551601168175444</v>
      </c>
      <c r="C2690" t="s">
        <v>40</v>
      </c>
      <c r="D2690">
        <v>4.7276699999999998</v>
      </c>
      <c r="E2690">
        <v>0.54596599999999995</v>
      </c>
      <c r="F2690" t="s">
        <v>52</v>
      </c>
      <c r="G2690">
        <v>-268.71420000000001</v>
      </c>
      <c r="H2690" s="1">
        <v>3.1004730000000001E-6</v>
      </c>
      <c r="I2690">
        <v>284.33519999999999</v>
      </c>
      <c r="J2690">
        <v>-205.20670000000001</v>
      </c>
      <c r="K2690">
        <v>1.120207</v>
      </c>
      <c r="L2690">
        <v>284.04770000000002</v>
      </c>
      <c r="M2690">
        <v>-0.96728049999999999</v>
      </c>
      <c r="N2690">
        <v>-1.251801E-2</v>
      </c>
      <c r="O2690">
        <v>-0.25340020000000002</v>
      </c>
      <c r="P2690">
        <v>-0.98901870000000003</v>
      </c>
      <c r="Q2690">
        <v>8.8096889999999997E-2</v>
      </c>
      <c r="R2690">
        <v>-0.1186638</v>
      </c>
      <c r="S2690">
        <v>-3.0408629999999999</v>
      </c>
      <c r="T2690">
        <v>-5.3576350000000002E-2</v>
      </c>
      <c r="U2690">
        <v>1.3214109999999999E-2</v>
      </c>
      <c r="V2690">
        <v>0.13617319999999999</v>
      </c>
      <c r="W2690">
        <v>0.1000006</v>
      </c>
      <c r="X2690">
        <v>0.98562499999999997</v>
      </c>
      <c r="Y2690">
        <v>0.25755080000000002</v>
      </c>
      <c r="Z2690">
        <v>5.1108109999999998E-3</v>
      </c>
      <c r="AA2690">
        <v>0.96625130000000004</v>
      </c>
      <c r="AB2690">
        <v>7</v>
      </c>
      <c r="AC2690">
        <v>-63.507499999999901</v>
      </c>
      <c r="AD2690">
        <v>-1.1202038995270001</v>
      </c>
      <c r="AE2690">
        <v>0.28749999999996501</v>
      </c>
      <c r="AF2690">
        <v>16.367097536941799</v>
      </c>
      <c r="AG2690">
        <v>-1.1202038995270001</v>
      </c>
      <c r="AH2690">
        <v>61.342438718478597</v>
      </c>
      <c r="AI2690">
        <v>91.010835027098906</v>
      </c>
      <c r="AJ2690">
        <v>75.0606356199591</v>
      </c>
      <c r="AK2690">
        <v>63.498279712844102</v>
      </c>
      <c r="AL2690">
        <v>84.2607946871004</v>
      </c>
      <c r="AM2690">
        <v>82.133856045656103</v>
      </c>
      <c r="AN2690">
        <v>0.99999995051179802</v>
      </c>
    </row>
    <row r="2691" spans="1:40" x14ac:dyDescent="0.25">
      <c r="A2691" t="str">
        <f>"20190303161928203"</f>
        <v>20190303161928203</v>
      </c>
      <c r="B2691" t="str">
        <f>"1551601168194963"</f>
        <v>1551601168194963</v>
      </c>
      <c r="C2691" t="s">
        <v>40</v>
      </c>
      <c r="D2691">
        <v>4.7375720000000001</v>
      </c>
      <c r="E2691">
        <v>0.545624199999999</v>
      </c>
      <c r="F2691" t="s">
        <v>52</v>
      </c>
      <c r="G2691">
        <v>-266.93619999999999</v>
      </c>
      <c r="H2691" s="1">
        <v>2.1543330000000001E-6</v>
      </c>
      <c r="I2691">
        <v>284.31849999999997</v>
      </c>
      <c r="J2691">
        <v>-205.2851</v>
      </c>
      <c r="K2691">
        <v>1.1202129999999999</v>
      </c>
      <c r="L2691">
        <v>284.03609999999998</v>
      </c>
      <c r="M2691">
        <v>-0.96908609999999995</v>
      </c>
      <c r="N2691">
        <v>-1.251652E-2</v>
      </c>
      <c r="O2691">
        <v>-0.2464055</v>
      </c>
      <c r="P2691">
        <v>-0.98936570000000001</v>
      </c>
      <c r="Q2691">
        <v>8.7589349999999996E-2</v>
      </c>
      <c r="R2691">
        <v>-0.11612</v>
      </c>
      <c r="S2691">
        <v>-3.0398100000000001</v>
      </c>
      <c r="T2691">
        <v>-5.5163379999999998E-2</v>
      </c>
      <c r="U2691">
        <v>1.333618E-2</v>
      </c>
      <c r="V2691">
        <v>0.13158900000000001</v>
      </c>
      <c r="W2691">
        <v>9.9515740000000005E-2</v>
      </c>
      <c r="X2691">
        <v>0.98629659999999997</v>
      </c>
      <c r="Y2691">
        <v>0.25060169999999998</v>
      </c>
      <c r="Z2691">
        <v>5.1710740000000003E-3</v>
      </c>
      <c r="AA2691">
        <v>0.96807650000000001</v>
      </c>
      <c r="AB2691">
        <v>7</v>
      </c>
      <c r="AC2691">
        <v>-61.6510999999999</v>
      </c>
      <c r="AD2691">
        <v>-1.1202108456669999</v>
      </c>
      <c r="AE2691">
        <v>0.28239999999999499</v>
      </c>
      <c r="AF2691">
        <v>15.4609455933848</v>
      </c>
      <c r="AG2691">
        <v>-1.1202108456669999</v>
      </c>
      <c r="AH2691">
        <v>59.660611294094799</v>
      </c>
      <c r="AI2691">
        <v>91.041292064732005</v>
      </c>
      <c r="AJ2691">
        <v>75.471502529713703</v>
      </c>
      <c r="AK2691">
        <v>61.641578913631299</v>
      </c>
      <c r="AL2691">
        <v>84.2887147632037</v>
      </c>
      <c r="AM2691">
        <v>82.400631457990499</v>
      </c>
      <c r="AN2691">
        <v>1.00000001530015</v>
      </c>
    </row>
    <row r="2692" spans="1:40" x14ac:dyDescent="0.25">
      <c r="A2692" t="str">
        <f>"20190303161928224"</f>
        <v>20190303161928224</v>
      </c>
      <c r="B2692" t="str">
        <f>"1551601168215460"</f>
        <v>1551601168215460</v>
      </c>
      <c r="C2692" t="s">
        <v>40</v>
      </c>
      <c r="D2692">
        <v>4.7667929999999998</v>
      </c>
      <c r="E2692">
        <v>0.54526969999999997</v>
      </c>
      <c r="F2692" t="s">
        <v>52</v>
      </c>
      <c r="G2692">
        <v>-267.69060000000002</v>
      </c>
      <c r="H2692" s="1">
        <v>2.5557349999999998E-6</v>
      </c>
      <c r="I2692">
        <v>284.41890000000001</v>
      </c>
      <c r="J2692">
        <v>-205.3544</v>
      </c>
      <c r="K2692">
        <v>1.1202179999999999</v>
      </c>
      <c r="L2692">
        <v>284.02629999999999</v>
      </c>
      <c r="M2692">
        <v>-0.97063949999999999</v>
      </c>
      <c r="N2692">
        <v>-1.2515200000000001E-2</v>
      </c>
      <c r="O2692">
        <v>-0.24021329999999999</v>
      </c>
      <c r="P2692">
        <v>-0.98968940000000005</v>
      </c>
      <c r="Q2692">
        <v>8.7175520000000006E-2</v>
      </c>
      <c r="R2692">
        <v>-0.11364639999999999</v>
      </c>
      <c r="S2692">
        <v>-3.039291</v>
      </c>
      <c r="T2692">
        <v>-5.4556849999999997E-2</v>
      </c>
      <c r="U2692">
        <v>1.8646240000000001E-2</v>
      </c>
      <c r="V2692">
        <v>0.12775839999999999</v>
      </c>
      <c r="W2692">
        <v>9.91205E-2</v>
      </c>
      <c r="X2692">
        <v>0.98683989999999999</v>
      </c>
      <c r="Y2692">
        <v>0.246113</v>
      </c>
      <c r="Z2692">
        <v>5.0012980000000004E-3</v>
      </c>
      <c r="AA2692">
        <v>0.96922830000000004</v>
      </c>
      <c r="AB2692">
        <v>7</v>
      </c>
      <c r="AC2692">
        <v>-62.336199999999998</v>
      </c>
      <c r="AD2692">
        <v>-1.1202154442650001</v>
      </c>
      <c r="AE2692">
        <v>0.39260000000001499</v>
      </c>
      <c r="AF2692">
        <v>15.351301935763599</v>
      </c>
      <c r="AG2692">
        <v>-1.1202154442650001</v>
      </c>
      <c r="AH2692">
        <v>60.396895151816899</v>
      </c>
      <c r="AI2692">
        <v>91.029837499385707</v>
      </c>
      <c r="AJ2692">
        <v>75.738910223220898</v>
      </c>
      <c r="AK2692">
        <v>62.327380000639401</v>
      </c>
      <c r="AL2692">
        <v>84.3114729829868</v>
      </c>
      <c r="AM2692">
        <v>82.623395208977897</v>
      </c>
      <c r="AN2692">
        <v>1.0000000352614</v>
      </c>
    </row>
    <row r="2693" spans="1:40" x14ac:dyDescent="0.25">
      <c r="A2693" t="str">
        <f>"20190303161928248"</f>
        <v>20190303161928248</v>
      </c>
      <c r="B2693" t="str">
        <f>"1551601168235485"</f>
        <v>1551601168235485</v>
      </c>
      <c r="C2693" t="s">
        <v>40</v>
      </c>
      <c r="D2693">
        <v>4.7398669999999896</v>
      </c>
      <c r="E2693">
        <v>0.54460010000000003</v>
      </c>
      <c r="F2693" t="s">
        <v>52</v>
      </c>
      <c r="G2693">
        <v>-266.18880000000001</v>
      </c>
      <c r="H2693" s="1">
        <v>1.756592E-6</v>
      </c>
      <c r="I2693">
        <v>284.49790000000002</v>
      </c>
      <c r="J2693">
        <v>-205.4306</v>
      </c>
      <c r="K2693">
        <v>1.1202209999999999</v>
      </c>
      <c r="L2693">
        <v>284.01609999999999</v>
      </c>
      <c r="M2693">
        <v>-0.97229829999999995</v>
      </c>
      <c r="N2693">
        <v>-1.251329E-2</v>
      </c>
      <c r="O2693">
        <v>-0.23340820000000001</v>
      </c>
      <c r="P2693">
        <v>-0.99002420000000002</v>
      </c>
      <c r="Q2693">
        <v>8.7237880000000004E-2</v>
      </c>
      <c r="R2693">
        <v>-0.11064259999999999</v>
      </c>
      <c r="S2693">
        <v>-3.0388790000000001</v>
      </c>
      <c r="T2693">
        <v>-5.5958510000000003E-2</v>
      </c>
      <c r="U2693">
        <v>2.3559569999999998E-2</v>
      </c>
      <c r="V2693">
        <v>0.1238326</v>
      </c>
      <c r="W2693">
        <v>9.9201170000000005E-2</v>
      </c>
      <c r="X2693">
        <v>0.98733199999999999</v>
      </c>
      <c r="Y2693">
        <v>0.24088609999999999</v>
      </c>
      <c r="Z2693">
        <v>5.0530549999999999E-3</v>
      </c>
      <c r="AA2693">
        <v>0.97054019999999996</v>
      </c>
      <c r="AB2693">
        <v>7</v>
      </c>
      <c r="AC2693">
        <v>-60.758200000000002</v>
      </c>
      <c r="AD2693">
        <v>-1.1202192434079901</v>
      </c>
      <c r="AE2693">
        <v>0.48180000000002099</v>
      </c>
      <c r="AF2693">
        <v>14.646084438386399</v>
      </c>
      <c r="AG2693">
        <v>-1.1202192434079901</v>
      </c>
      <c r="AH2693">
        <v>58.947219662018398</v>
      </c>
      <c r="AI2693">
        <v>91.0565875082237</v>
      </c>
      <c r="AJ2693">
        <v>76.046778435283102</v>
      </c>
      <c r="AK2693">
        <v>60.749793303449898</v>
      </c>
      <c r="AL2693">
        <v>84.306827447456499</v>
      </c>
      <c r="AM2693">
        <v>82.851209708945404</v>
      </c>
      <c r="AN2693">
        <v>0.999999931588062</v>
      </c>
    </row>
    <row r="2694" spans="1:40" x14ac:dyDescent="0.25">
      <c r="A2694" t="str">
        <f>"20190303161928269"</f>
        <v>20190303161928269</v>
      </c>
      <c r="B2694" t="str">
        <f>"1551601168255005"</f>
        <v>1551601168255005</v>
      </c>
      <c r="C2694" t="s">
        <v>40</v>
      </c>
      <c r="D2694">
        <v>4.7511640000000002</v>
      </c>
      <c r="E2694">
        <v>0.54430769999999995</v>
      </c>
      <c r="F2694" t="s">
        <v>52</v>
      </c>
      <c r="G2694">
        <v>-264.63990000000001</v>
      </c>
      <c r="H2694" s="1">
        <v>9.3232589999999999E-7</v>
      </c>
      <c r="I2694">
        <v>284.54649999999998</v>
      </c>
      <c r="J2694">
        <v>-205.50460000000001</v>
      </c>
      <c r="K2694">
        <v>1.1202319999999999</v>
      </c>
      <c r="L2694">
        <v>284.00659999999999</v>
      </c>
      <c r="M2694">
        <v>-0.97385920000000004</v>
      </c>
      <c r="N2694">
        <v>-1.25109E-2</v>
      </c>
      <c r="O2694">
        <v>-0.2268076</v>
      </c>
      <c r="P2694">
        <v>-0.99033680000000002</v>
      </c>
      <c r="Q2694">
        <v>8.7158769999999997E-2</v>
      </c>
      <c r="R2694">
        <v>-0.1078725</v>
      </c>
      <c r="S2694">
        <v>-3.0383300000000002</v>
      </c>
      <c r="T2694">
        <v>-5.7484269999999997E-2</v>
      </c>
      <c r="U2694">
        <v>2.7221680000000002E-2</v>
      </c>
      <c r="V2694">
        <v>0.1198915</v>
      </c>
      <c r="W2694">
        <v>9.9140900000000004E-2</v>
      </c>
      <c r="X2694">
        <v>0.98782440000000005</v>
      </c>
      <c r="Y2694">
        <v>0.23546800000000001</v>
      </c>
      <c r="Z2694">
        <v>5.108385E-3</v>
      </c>
      <c r="AA2694">
        <v>0.97186870000000003</v>
      </c>
      <c r="AB2694">
        <v>7</v>
      </c>
      <c r="AC2694">
        <v>-59.135300000000001</v>
      </c>
      <c r="AD2694">
        <v>-1.1202310676741001</v>
      </c>
      <c r="AE2694">
        <v>0.53989999999998795</v>
      </c>
      <c r="AF2694">
        <v>13.934213356988799</v>
      </c>
      <c r="AG2694">
        <v>-1.1202310676741001</v>
      </c>
      <c r="AH2694">
        <v>57.450886948609103</v>
      </c>
      <c r="AI2694">
        <v>91.085598351843998</v>
      </c>
      <c r="AJ2694">
        <v>76.366670169193895</v>
      </c>
      <c r="AK2694">
        <v>59.1271649134721</v>
      </c>
      <c r="AL2694">
        <v>84.310297976803497</v>
      </c>
      <c r="AM2694">
        <v>83.079900963669601</v>
      </c>
      <c r="AN2694">
        <v>0.99999996753020903</v>
      </c>
    </row>
    <row r="2695" spans="1:40" x14ac:dyDescent="0.25">
      <c r="A2695" t="str">
        <f>"20190303161928292"</f>
        <v>20190303161928292</v>
      </c>
      <c r="B2695" t="str">
        <f>"1551601168285262"</f>
        <v>1551601168285262</v>
      </c>
      <c r="C2695" t="s">
        <v>40</v>
      </c>
      <c r="D2695">
        <v>4.7251969999999996</v>
      </c>
      <c r="E2695">
        <v>0.53689560000000003</v>
      </c>
      <c r="F2695" t="s">
        <v>52</v>
      </c>
      <c r="G2695">
        <v>-263.25130000000001</v>
      </c>
      <c r="H2695" s="1">
        <v>1.9338859999999999E-7</v>
      </c>
      <c r="I2695">
        <v>284.63889999999998</v>
      </c>
      <c r="J2695">
        <v>-205.58090000000001</v>
      </c>
      <c r="K2695">
        <v>1.1202460000000001</v>
      </c>
      <c r="L2695">
        <v>283.9975</v>
      </c>
      <c r="M2695">
        <v>-0.97541900000000004</v>
      </c>
      <c r="N2695">
        <v>-1.250797E-2</v>
      </c>
      <c r="O2695">
        <v>-0.22000320000000001</v>
      </c>
      <c r="P2695">
        <v>-0.99041840000000003</v>
      </c>
      <c r="Q2695">
        <v>8.8442560000000003E-2</v>
      </c>
      <c r="R2695">
        <v>-0.10606309999999999</v>
      </c>
      <c r="S2695">
        <v>-3.0380859999999998</v>
      </c>
      <c r="T2695">
        <v>-5.8936000000000002E-2</v>
      </c>
      <c r="U2695">
        <v>3.3264160000000001E-2</v>
      </c>
      <c r="V2695">
        <v>0.1147692</v>
      </c>
      <c r="W2695">
        <v>0.1004466</v>
      </c>
      <c r="X2695">
        <v>0.98830079999999998</v>
      </c>
      <c r="Y2695">
        <v>0.2306116</v>
      </c>
      <c r="Z2695">
        <v>5.1532899999999996E-3</v>
      </c>
      <c r="AA2695">
        <v>0.97303220000000001</v>
      </c>
      <c r="AB2695">
        <v>7</v>
      </c>
      <c r="AC2695">
        <v>-57.670400000000001</v>
      </c>
      <c r="AD2695">
        <v>-1.1202458066113901</v>
      </c>
      <c r="AE2695">
        <v>0.64139999999997599</v>
      </c>
      <c r="AF2695">
        <v>13.3093259112614</v>
      </c>
      <c r="AG2695">
        <v>-1.1202458066113901</v>
      </c>
      <c r="AH2695">
        <v>56.0949177044862</v>
      </c>
      <c r="AI2695">
        <v>91.113179778800401</v>
      </c>
      <c r="AJ2695">
        <v>76.652561396955704</v>
      </c>
      <c r="AK2695">
        <v>57.6630982444794</v>
      </c>
      <c r="AL2695">
        <v>84.235111621857399</v>
      </c>
      <c r="AM2695">
        <v>83.3760368943272</v>
      </c>
      <c r="AN2695">
        <v>0.99999998000041901</v>
      </c>
    </row>
    <row r="2696" spans="1:40" x14ac:dyDescent="0.25">
      <c r="A2696" t="str">
        <f>"20190303161928327"</f>
        <v>20190303161928327</v>
      </c>
      <c r="B2696" t="str">
        <f>"1551601168315517"</f>
        <v>1551601168315517</v>
      </c>
      <c r="C2696" t="s">
        <v>40</v>
      </c>
      <c r="D2696">
        <v>4.8625249999999998</v>
      </c>
      <c r="E2696">
        <v>0.53629490000000002</v>
      </c>
      <c r="F2696" t="s">
        <v>52</v>
      </c>
      <c r="G2696">
        <v>-262.84589999999997</v>
      </c>
      <c r="H2696" s="1">
        <v>-2.234111E-8</v>
      </c>
      <c r="I2696">
        <v>283.60669999999999</v>
      </c>
      <c r="J2696">
        <v>-205.69479999999999</v>
      </c>
      <c r="K2696">
        <v>1.1202669999999999</v>
      </c>
      <c r="L2696">
        <v>283.98469999999998</v>
      </c>
      <c r="M2696">
        <v>-0.97765119999999905</v>
      </c>
      <c r="N2696">
        <v>-1.250248E-2</v>
      </c>
      <c r="O2696">
        <v>-0.20986170000000001</v>
      </c>
      <c r="P2696">
        <v>-0.99111830000000001</v>
      </c>
      <c r="Q2696">
        <v>8.8871199999999997E-2</v>
      </c>
      <c r="R2696">
        <v>-9.8928189999999999E-2</v>
      </c>
      <c r="S2696">
        <v>-3.0321199999999999</v>
      </c>
      <c r="T2696">
        <v>-5.9315800000000002E-2</v>
      </c>
      <c r="U2696">
        <v>-2.0690920000000002E-2</v>
      </c>
      <c r="V2696">
        <v>0.111607399999999</v>
      </c>
      <c r="W2696">
        <v>0.1008888</v>
      </c>
      <c r="X2696">
        <v>0.98861779999999999</v>
      </c>
      <c r="Y2696">
        <v>0.20313329999999999</v>
      </c>
      <c r="Z2696">
        <v>4.698893E-3</v>
      </c>
      <c r="AA2696">
        <v>0.9791398</v>
      </c>
      <c r="AB2696">
        <v>7</v>
      </c>
      <c r="AC2696">
        <v>-57.1510999999999</v>
      </c>
      <c r="AD2696">
        <v>-1.12026702234111</v>
      </c>
      <c r="AE2696">
        <v>-0.37799999999998501</v>
      </c>
      <c r="AF2696">
        <v>11.6207179396157</v>
      </c>
      <c r="AG2696">
        <v>-1.12026702234111</v>
      </c>
      <c r="AH2696">
        <v>55.936048119293297</v>
      </c>
      <c r="AI2696">
        <v>91.123365979987796</v>
      </c>
      <c r="AJ2696">
        <v>78.263743173818099</v>
      </c>
      <c r="AK2696">
        <v>57.141382227220902</v>
      </c>
      <c r="AL2696">
        <v>84.209645937749002</v>
      </c>
      <c r="AM2696">
        <v>83.559014434514097</v>
      </c>
      <c r="AN2696">
        <v>0.99999995808851905</v>
      </c>
    </row>
    <row r="2697" spans="1:40" x14ac:dyDescent="0.25">
      <c r="A2697" t="str">
        <f>"20190303161928348"</f>
        <v>20190303161928348</v>
      </c>
      <c r="B2697" t="str">
        <f>"1551601168335543"</f>
        <v>1551601168335543</v>
      </c>
      <c r="C2697" t="s">
        <v>40</v>
      </c>
      <c r="D2697">
        <v>4.8359319999999997</v>
      </c>
      <c r="E2697">
        <v>0.52357880000000001</v>
      </c>
      <c r="F2697" t="s">
        <v>52</v>
      </c>
      <c r="G2697">
        <v>-261.66059999999999</v>
      </c>
      <c r="H2697" s="1">
        <v>-6.5310630000000003E-7</v>
      </c>
      <c r="I2697">
        <v>283.89620000000002</v>
      </c>
      <c r="J2697">
        <v>-205.76560000000001</v>
      </c>
      <c r="K2697">
        <v>1.120279</v>
      </c>
      <c r="L2697">
        <v>283.97739999999999</v>
      </c>
      <c r="M2697">
        <v>-0.97897999999999996</v>
      </c>
      <c r="N2697">
        <v>-1.249781E-2</v>
      </c>
      <c r="O2697">
        <v>-0.20357310000000001</v>
      </c>
      <c r="P2697">
        <v>-0.99153639999999998</v>
      </c>
      <c r="Q2697">
        <v>8.8565229999999995E-2</v>
      </c>
      <c r="R2697">
        <v>-9.4929390000000002E-2</v>
      </c>
      <c r="S2697">
        <v>-3.0318299999999998</v>
      </c>
      <c r="T2697">
        <v>-6.0688140000000002E-2</v>
      </c>
      <c r="U2697">
        <v>-4.7912600000000003E-3</v>
      </c>
      <c r="V2697">
        <v>0.1092383</v>
      </c>
      <c r="W2697">
        <v>0.10059319999999999</v>
      </c>
      <c r="X2697">
        <v>0.98891249999999997</v>
      </c>
      <c r="Y2697">
        <v>0.2019707</v>
      </c>
      <c r="Z2697">
        <v>4.7785759999999997E-3</v>
      </c>
      <c r="AA2697">
        <v>0.97937989999999997</v>
      </c>
      <c r="AB2697">
        <v>7</v>
      </c>
      <c r="AC2697">
        <v>-55.894999999999897</v>
      </c>
      <c r="AD2697">
        <v>-1.1202796531063</v>
      </c>
      <c r="AE2697">
        <v>-8.1199999999967007E-2</v>
      </c>
      <c r="AF2697">
        <v>11.295570078619599</v>
      </c>
      <c r="AG2697">
        <v>-1.1202796531063</v>
      </c>
      <c r="AH2697">
        <v>54.718910567317998</v>
      </c>
      <c r="AI2697">
        <v>91.148661051742906</v>
      </c>
      <c r="AJ2697">
        <v>78.336322205243903</v>
      </c>
      <c r="AK2697">
        <v>55.883844745832597</v>
      </c>
      <c r="AL2697">
        <v>84.226669215666305</v>
      </c>
      <c r="AM2697">
        <v>83.696488686589703</v>
      </c>
      <c r="AN2697">
        <v>0.99999996536468905</v>
      </c>
    </row>
    <row r="2698" spans="1:40" x14ac:dyDescent="0.25">
      <c r="A2698" t="str">
        <f>"20190303161928369"</f>
        <v>20190303161928369</v>
      </c>
      <c r="B2698" t="str">
        <f>"1551601168355063"</f>
        <v>1551601168355063</v>
      </c>
      <c r="C2698" t="s">
        <v>40</v>
      </c>
      <c r="D2698">
        <v>4.8637180000000004</v>
      </c>
      <c r="E2698">
        <v>0.51421559999999999</v>
      </c>
      <c r="F2698" t="s">
        <v>52</v>
      </c>
      <c r="G2698">
        <v>-225.4864</v>
      </c>
      <c r="H2698" s="1">
        <v>1.382795E-6</v>
      </c>
      <c r="I2698">
        <v>283.37630000000001</v>
      </c>
      <c r="J2698">
        <v>-205.83709999999999</v>
      </c>
      <c r="K2698">
        <v>1.1202920000000001</v>
      </c>
      <c r="L2698">
        <v>283.97039999999998</v>
      </c>
      <c r="M2698">
        <v>-0.9802746</v>
      </c>
      <c r="N2698">
        <v>-1.249231E-2</v>
      </c>
      <c r="O2698">
        <v>-0.1972457</v>
      </c>
      <c r="P2698">
        <v>-0.9919772</v>
      </c>
      <c r="Q2698">
        <v>8.8506570000000007E-2</v>
      </c>
      <c r="R2698">
        <v>-9.0265200000000004E-2</v>
      </c>
      <c r="S2698">
        <v>-3.0321500000000001</v>
      </c>
      <c r="T2698">
        <v>-0.17224739999999999</v>
      </c>
      <c r="U2698">
        <v>-9.2407230000000007E-2</v>
      </c>
      <c r="V2698">
        <v>0.10749640000000001</v>
      </c>
      <c r="W2698">
        <v>0.10054100000000001</v>
      </c>
      <c r="X2698">
        <v>0.98910869999999995</v>
      </c>
      <c r="Y2698">
        <v>0.16678970000000001</v>
      </c>
      <c r="Z2698">
        <v>1.442886E-2</v>
      </c>
      <c r="AA2698">
        <v>0.98588690000000001</v>
      </c>
      <c r="AB2698">
        <v>7</v>
      </c>
      <c r="AC2698">
        <v>-19.6493</v>
      </c>
      <c r="AD2698">
        <v>-1.120290617205</v>
      </c>
      <c r="AE2698">
        <v>-0.59409999999996899</v>
      </c>
      <c r="AF2698">
        <v>3.2829535327583801</v>
      </c>
      <c r="AG2698">
        <v>-1.120290617205</v>
      </c>
      <c r="AH2698">
        <v>19.317666382491101</v>
      </c>
      <c r="AI2698">
        <v>93.272227183565207</v>
      </c>
      <c r="AJ2698">
        <v>80.354980799562199</v>
      </c>
      <c r="AK2698">
        <v>19.626641827640199</v>
      </c>
      <c r="AL2698">
        <v>84.229675464458595</v>
      </c>
      <c r="AM2698">
        <v>83.797434625280403</v>
      </c>
      <c r="AN2698">
        <v>0.99999999455482502</v>
      </c>
    </row>
    <row r="2699" spans="1:40" x14ac:dyDescent="0.25">
      <c r="A2699" t="str">
        <f>"20190303161928392"</f>
        <v>20190303161928392</v>
      </c>
      <c r="B2699" t="str">
        <f>"1551601168385319"</f>
        <v>1551601168385319</v>
      </c>
      <c r="C2699" t="s">
        <v>40</v>
      </c>
      <c r="D2699">
        <v>4.906549</v>
      </c>
      <c r="E2699">
        <v>0.51455529999999905</v>
      </c>
      <c r="F2699" t="s">
        <v>42</v>
      </c>
      <c r="G2699">
        <v>-206.62289999999999</v>
      </c>
      <c r="H2699">
        <v>1.038073</v>
      </c>
      <c r="I2699">
        <v>283.93130000000002</v>
      </c>
      <c r="J2699">
        <v>-205.91220000000001</v>
      </c>
      <c r="K2699">
        <v>1.1203080000000001</v>
      </c>
      <c r="L2699">
        <v>283.96350000000001</v>
      </c>
      <c r="M2699">
        <v>-0.98158210000000001</v>
      </c>
      <c r="N2699">
        <v>-1.248527E-2</v>
      </c>
      <c r="O2699">
        <v>-0.19063260000000001</v>
      </c>
      <c r="P2699">
        <v>-0.99249030000000005</v>
      </c>
      <c r="Q2699">
        <v>8.8948910000000006E-2</v>
      </c>
      <c r="R2699">
        <v>-8.3972710000000006E-2</v>
      </c>
      <c r="S2699">
        <v>-3.0388489999999999</v>
      </c>
      <c r="T2699">
        <v>-0.31772479999999997</v>
      </c>
      <c r="U2699">
        <v>-0.1511536</v>
      </c>
      <c r="V2699">
        <v>0.107089</v>
      </c>
      <c r="W2699">
        <v>0.1009832</v>
      </c>
      <c r="X2699">
        <v>0.98910779999999998</v>
      </c>
      <c r="Y2699">
        <v>0.14000219999999999</v>
      </c>
      <c r="Z2699">
        <v>2.553443E-2</v>
      </c>
      <c r="AA2699">
        <v>0.98982190000000003</v>
      </c>
      <c r="AB2699">
        <v>7</v>
      </c>
      <c r="AC2699">
        <v>-0.71069999999997402</v>
      </c>
      <c r="AD2699">
        <v>-8.2235000000000003E-2</v>
      </c>
      <c r="AE2699">
        <v>-3.2199999999988897E-2</v>
      </c>
      <c r="AF2699">
        <v>0.102514012611665</v>
      </c>
      <c r="AG2699">
        <v>-8.2235000000000003E-2</v>
      </c>
      <c r="AH2699">
        <v>0.69452382181368799</v>
      </c>
      <c r="AI2699">
        <v>96.680938551083301</v>
      </c>
      <c r="AJ2699">
        <v>81.603580074941604</v>
      </c>
      <c r="AK2699">
        <v>0.70684868046381399</v>
      </c>
      <c r="AL2699">
        <v>84.204209406140194</v>
      </c>
      <c r="AM2699">
        <v>83.820753918564293</v>
      </c>
      <c r="AN2699">
        <v>0.99999995031203803</v>
      </c>
    </row>
    <row r="2700" spans="1:40" x14ac:dyDescent="0.25">
      <c r="A2700" t="str">
        <f>"20190303161928414"</f>
        <v>20190303161928414</v>
      </c>
      <c r="B2700" t="str">
        <f>"1551601168404839"</f>
        <v>1551601168404839</v>
      </c>
      <c r="C2700" t="s">
        <v>40</v>
      </c>
      <c r="D2700">
        <v>4.8796799999999996</v>
      </c>
      <c r="E2700">
        <v>0.51478950000000001</v>
      </c>
      <c r="F2700" t="s">
        <v>42</v>
      </c>
      <c r="G2700">
        <v>-206.68879999999999</v>
      </c>
      <c r="H2700">
        <v>1.0365340000000001</v>
      </c>
      <c r="I2700">
        <v>283.93029999999999</v>
      </c>
      <c r="J2700">
        <v>-205.98570000000001</v>
      </c>
      <c r="K2700">
        <v>1.1203259999999999</v>
      </c>
      <c r="L2700">
        <v>283.9572</v>
      </c>
      <c r="M2700">
        <v>-0.98280970000000001</v>
      </c>
      <c r="N2700">
        <v>-1.247668E-2</v>
      </c>
      <c r="O2700">
        <v>-0.18419969999999999</v>
      </c>
      <c r="P2700">
        <v>-0.99301079999999997</v>
      </c>
      <c r="Q2700">
        <v>8.8563260000000005E-2</v>
      </c>
      <c r="R2700">
        <v>-7.8015890000000004E-2</v>
      </c>
      <c r="S2700">
        <v>-3.041077</v>
      </c>
      <c r="T2700">
        <v>-0.3277738</v>
      </c>
      <c r="U2700">
        <v>-0.1300964</v>
      </c>
      <c r="V2700">
        <v>0.10654420000000001</v>
      </c>
      <c r="W2700">
        <v>0.1005984</v>
      </c>
      <c r="X2700">
        <v>0.98920589999999997</v>
      </c>
      <c r="Y2700">
        <v>0.14031179999999999</v>
      </c>
      <c r="Z2700">
        <v>2.5793449999999999E-2</v>
      </c>
      <c r="AA2700">
        <v>0.98977130000000002</v>
      </c>
      <c r="AB2700">
        <v>7</v>
      </c>
      <c r="AC2700">
        <v>-0.70309999999997697</v>
      </c>
      <c r="AD2700">
        <v>-8.3791999999999797E-2</v>
      </c>
      <c r="AE2700">
        <v>-2.6900000000011901E-2</v>
      </c>
      <c r="AF2700">
        <v>0.101639796708798</v>
      </c>
      <c r="AG2700">
        <v>-8.3791999999999797E-2</v>
      </c>
      <c r="AH2700">
        <v>0.68628969215693103</v>
      </c>
      <c r="AI2700">
        <v>96.886647966332006</v>
      </c>
      <c r="AJ2700">
        <v>81.575706475093199</v>
      </c>
      <c r="AK2700">
        <v>0.698817064116111</v>
      </c>
      <c r="AL2700">
        <v>84.226370009132296</v>
      </c>
      <c r="AM2700">
        <v>83.852553629458299</v>
      </c>
      <c r="AN2700">
        <v>1.0000000086155001</v>
      </c>
    </row>
    <row r="2701" spans="1:40" x14ac:dyDescent="0.25">
      <c r="A2701" t="str">
        <f>"20190303161928436"</f>
        <v>20190303161928436</v>
      </c>
      <c r="B2701" t="str">
        <f>"1551601168425335"</f>
        <v>1551601168425335</v>
      </c>
      <c r="C2701" t="s">
        <v>40</v>
      </c>
      <c r="D2701">
        <v>4.9367419999999997</v>
      </c>
      <c r="E2701">
        <v>0.51319059999999905</v>
      </c>
      <c r="F2701" t="s">
        <v>42</v>
      </c>
      <c r="G2701">
        <v>-206.7552</v>
      </c>
      <c r="H2701">
        <v>1.0362910000000001</v>
      </c>
      <c r="I2701">
        <v>283.92919999999998</v>
      </c>
      <c r="J2701">
        <v>-206.05799999999999</v>
      </c>
      <c r="K2701">
        <v>1.1203510000000001</v>
      </c>
      <c r="L2701">
        <v>283.95150000000001</v>
      </c>
      <c r="M2701">
        <v>-0.98396620000000001</v>
      </c>
      <c r="N2701">
        <v>-1.2466140000000001E-2</v>
      </c>
      <c r="O2701">
        <v>-0.17791899999999999</v>
      </c>
      <c r="P2701">
        <v>-0.99363849999999998</v>
      </c>
      <c r="Q2701">
        <v>8.6422399999999996E-2</v>
      </c>
      <c r="R2701">
        <v>-7.2204630000000006E-2</v>
      </c>
      <c r="S2701">
        <v>-3.0420229999999999</v>
      </c>
      <c r="T2701">
        <v>-0.33183770000000001</v>
      </c>
      <c r="U2701">
        <v>-0.1105652</v>
      </c>
      <c r="V2701">
        <v>0.1060329</v>
      </c>
      <c r="W2701">
        <v>9.8459980000000002E-2</v>
      </c>
      <c r="X2701">
        <v>0.98947600000000002</v>
      </c>
      <c r="Y2701">
        <v>0.1403315</v>
      </c>
      <c r="Z2701">
        <v>2.5535470000000001E-2</v>
      </c>
      <c r="AA2701">
        <v>0.98977519999999997</v>
      </c>
      <c r="AB2701">
        <v>7</v>
      </c>
      <c r="AC2701">
        <v>-0.69720000000000903</v>
      </c>
      <c r="AD2701">
        <v>-8.4059999999999996E-2</v>
      </c>
      <c r="AE2701">
        <v>-2.2300000000029699E-2</v>
      </c>
      <c r="AF2701">
        <v>0.100649009066578</v>
      </c>
      <c r="AG2701">
        <v>-8.4059999999999996E-2</v>
      </c>
      <c r="AH2701">
        <v>0.68016521674221797</v>
      </c>
      <c r="AI2701">
        <v>96.970182057327705</v>
      </c>
      <c r="AJ2701">
        <v>81.582610131367602</v>
      </c>
      <c r="AK2701">
        <v>0.69269114956961297</v>
      </c>
      <c r="AL2701">
        <v>84.349504106092397</v>
      </c>
      <c r="AM2701">
        <v>83.883488053163703</v>
      </c>
      <c r="AN2701">
        <v>1.0000000490600001</v>
      </c>
    </row>
    <row r="2702" spans="1:40" x14ac:dyDescent="0.25">
      <c r="A2702" t="str">
        <f>"20190303161928459"</f>
        <v>20190303161928459</v>
      </c>
      <c r="B2702" t="str">
        <f>"1551601168455592"</f>
        <v>1551601168455592</v>
      </c>
      <c r="C2702" t="s">
        <v>40</v>
      </c>
      <c r="D2702">
        <v>4.9031960000000003</v>
      </c>
      <c r="E2702">
        <v>0.50542569999999998</v>
      </c>
      <c r="F2702" t="s">
        <v>42</v>
      </c>
      <c r="G2702">
        <v>-206.8176</v>
      </c>
      <c r="H2702">
        <v>1.029531</v>
      </c>
      <c r="I2702">
        <v>283.9255</v>
      </c>
      <c r="J2702">
        <v>-206.13589999999999</v>
      </c>
      <c r="K2702">
        <v>1.120384</v>
      </c>
      <c r="L2702">
        <v>283.94569999999999</v>
      </c>
      <c r="M2702">
        <v>-0.985155</v>
      </c>
      <c r="N2702">
        <v>-1.2452599999999999E-2</v>
      </c>
      <c r="O2702">
        <v>-0.17121500000000001</v>
      </c>
      <c r="P2702">
        <v>-0.99425830000000004</v>
      </c>
      <c r="Q2702">
        <v>8.4056270000000002E-2</v>
      </c>
      <c r="R2702">
        <v>-6.6221360000000007E-2</v>
      </c>
      <c r="S2702">
        <v>-3.0432890000000001</v>
      </c>
      <c r="T2702">
        <v>-0.36379549999999999</v>
      </c>
      <c r="U2702">
        <v>-0.1039429</v>
      </c>
      <c r="V2702">
        <v>0.1052699</v>
      </c>
      <c r="W2702">
        <v>9.6096609999999999E-2</v>
      </c>
      <c r="X2702">
        <v>0.98978969999999999</v>
      </c>
      <c r="Y2702">
        <v>0.13546910000000001</v>
      </c>
      <c r="Z2702">
        <v>2.707644E-2</v>
      </c>
      <c r="AA2702">
        <v>0.9904115</v>
      </c>
      <c r="AB2702">
        <v>7</v>
      </c>
      <c r="AC2702">
        <v>-0.68170000000000597</v>
      </c>
      <c r="AD2702">
        <v>-9.0853000000000003E-2</v>
      </c>
      <c r="AE2702">
        <v>-2.0199999999988401E-2</v>
      </c>
      <c r="AF2702">
        <v>9.5136312007378404E-2</v>
      </c>
      <c r="AG2702">
        <v>-9.0853000000000003E-2</v>
      </c>
      <c r="AH2702">
        <v>0.66331949742463403</v>
      </c>
      <c r="AI2702">
        <v>97.721070619751899</v>
      </c>
      <c r="AJ2702">
        <v>81.838039365570594</v>
      </c>
      <c r="AK2702">
        <v>0.67623808021660103</v>
      </c>
      <c r="AL2702">
        <v>84.485560163784797</v>
      </c>
      <c r="AM2702">
        <v>83.929081987399599</v>
      </c>
      <c r="AN2702">
        <v>0.99999998026279502</v>
      </c>
    </row>
    <row r="2703" spans="1:40" x14ac:dyDescent="0.25">
      <c r="A2703" t="str">
        <f>"20190303161928480"</f>
        <v>20190303161928480</v>
      </c>
      <c r="B2703" t="str">
        <f>"1551601168475112"</f>
        <v>1551601168475112</v>
      </c>
      <c r="C2703" t="s">
        <v>40</v>
      </c>
      <c r="D2703">
        <v>4.9230739999999997</v>
      </c>
      <c r="E2703">
        <v>0.507104</v>
      </c>
      <c r="F2703" t="s">
        <v>42</v>
      </c>
      <c r="G2703">
        <v>-206.8272</v>
      </c>
      <c r="H2703">
        <v>0.91843269999999999</v>
      </c>
      <c r="I2703">
        <v>283.9144</v>
      </c>
      <c r="J2703">
        <v>-206.20670000000001</v>
      </c>
      <c r="K2703">
        <v>1.120417</v>
      </c>
      <c r="L2703">
        <v>283.94080000000002</v>
      </c>
      <c r="M2703">
        <v>-0.98618150000000004</v>
      </c>
      <c r="N2703">
        <v>-1.2438569999999999E-2</v>
      </c>
      <c r="O2703">
        <v>-0.16520070000000001</v>
      </c>
      <c r="P2703">
        <v>-0.99463679999999999</v>
      </c>
      <c r="Q2703">
        <v>8.3855689999999997E-2</v>
      </c>
      <c r="R2703">
        <v>-6.0546839999999998E-2</v>
      </c>
      <c r="S2703">
        <v>-3.0841669999999999</v>
      </c>
      <c r="T2703">
        <v>-0.900412199999999</v>
      </c>
      <c r="U2703">
        <v>-0.13928219999999999</v>
      </c>
      <c r="V2703">
        <v>0.1048709</v>
      </c>
      <c r="W2703">
        <v>9.5893930000000002E-2</v>
      </c>
      <c r="X2703">
        <v>0.9898517</v>
      </c>
      <c r="Y2703">
        <v>0.1095472</v>
      </c>
      <c r="Z2703">
        <v>6.1341430000000002E-2</v>
      </c>
      <c r="AA2703">
        <v>0.99208700000000005</v>
      </c>
      <c r="AB2703">
        <v>7</v>
      </c>
      <c r="AC2703">
        <v>-0.62049999999999195</v>
      </c>
      <c r="AD2703">
        <v>-0.20198430000000001</v>
      </c>
      <c r="AE2703">
        <v>-2.64000000000237E-2</v>
      </c>
      <c r="AF2703">
        <v>6.9162392796547595E-2</v>
      </c>
      <c r="AG2703">
        <v>-0.20198430000000001</v>
      </c>
      <c r="AH2703">
        <v>0.55738002969953204</v>
      </c>
      <c r="AI2703">
        <v>109.779785538997</v>
      </c>
      <c r="AJ2703">
        <v>82.926619493461601</v>
      </c>
      <c r="AK2703">
        <v>0.59686982796224897</v>
      </c>
      <c r="AL2703">
        <v>84.497226693268999</v>
      </c>
      <c r="AM2703">
        <v>83.952297474775904</v>
      </c>
      <c r="AN2703">
        <v>0.99999996973527105</v>
      </c>
    </row>
    <row r="2704" spans="1:40" x14ac:dyDescent="0.25">
      <c r="A2704" t="str">
        <f>"20190303161928503"</f>
        <v>20190303161928503</v>
      </c>
      <c r="B2704" t="str">
        <f>"1551601168495607"</f>
        <v>1551601168495607</v>
      </c>
      <c r="C2704" t="s">
        <v>40</v>
      </c>
      <c r="D2704">
        <v>4.8950449999999996</v>
      </c>
      <c r="E2704">
        <v>0.50816549999999905</v>
      </c>
      <c r="F2704" t="s">
        <v>42</v>
      </c>
      <c r="G2704">
        <v>-206.89060000000001</v>
      </c>
      <c r="H2704">
        <v>0.91111339999999996</v>
      </c>
      <c r="I2704">
        <v>283.91660000000002</v>
      </c>
      <c r="J2704">
        <v>-206.28</v>
      </c>
      <c r="K2704">
        <v>1.120458</v>
      </c>
      <c r="L2704">
        <v>283.93610000000001</v>
      </c>
      <c r="M2704">
        <v>-0.98719290000000004</v>
      </c>
      <c r="N2704">
        <v>-1.2422529999999999E-2</v>
      </c>
      <c r="O2704">
        <v>-0.15904670000000001</v>
      </c>
      <c r="P2704">
        <v>-0.99493279999999995</v>
      </c>
      <c r="Q2704">
        <v>8.4242170000000005E-2</v>
      </c>
      <c r="R2704">
        <v>-5.4880119999999998E-2</v>
      </c>
      <c r="S2704">
        <v>-3.0892179999999998</v>
      </c>
      <c r="T2704">
        <v>-0.94502370000000002</v>
      </c>
      <c r="U2704">
        <v>-0.1092529</v>
      </c>
      <c r="V2704">
        <v>0.10432039999999999</v>
      </c>
      <c r="W2704">
        <v>9.6277440000000006E-2</v>
      </c>
      <c r="X2704">
        <v>0.98987270000000005</v>
      </c>
      <c r="Y2704">
        <v>0.1121046</v>
      </c>
      <c r="Z2704">
        <v>6.2894779999999997E-2</v>
      </c>
      <c r="AA2704">
        <v>0.99170400000000003</v>
      </c>
      <c r="AB2704">
        <v>7</v>
      </c>
      <c r="AC2704">
        <v>-0.61060000000000503</v>
      </c>
      <c r="AD2704">
        <v>-0.20934459999999999</v>
      </c>
      <c r="AE2704">
        <v>-1.9499999999993599E-2</v>
      </c>
      <c r="AF2704">
        <v>6.9686589327687107E-2</v>
      </c>
      <c r="AG2704">
        <v>-0.20934459999999999</v>
      </c>
      <c r="AH2704">
        <v>0.54225310655494696</v>
      </c>
      <c r="AI2704">
        <v>110.952606298796</v>
      </c>
      <c r="AJ2704">
        <v>82.676884987909602</v>
      </c>
      <c r="AK2704">
        <v>0.58542276505938495</v>
      </c>
      <c r="AL2704">
        <v>84.475151361516197</v>
      </c>
      <c r="AM2704">
        <v>83.983937005971498</v>
      </c>
      <c r="AN2704">
        <v>1.0000000267572</v>
      </c>
    </row>
    <row r="2705" spans="1:40" x14ac:dyDescent="0.25">
      <c r="A2705" t="str">
        <f>"20190303161928527"</f>
        <v>20190303161928527</v>
      </c>
      <c r="B2705" t="str">
        <f>"1551601168515127"</f>
        <v>1551601168515127</v>
      </c>
      <c r="C2705" t="s">
        <v>40</v>
      </c>
      <c r="D2705">
        <v>4.9639439999999997</v>
      </c>
      <c r="E2705">
        <v>0.50857129999999995</v>
      </c>
      <c r="F2705" t="s">
        <v>42</v>
      </c>
      <c r="G2705">
        <v>-206.95679999999999</v>
      </c>
      <c r="H2705">
        <v>0.91026989999999997</v>
      </c>
      <c r="I2705">
        <v>283.91800000000001</v>
      </c>
      <c r="J2705">
        <v>-206.3587</v>
      </c>
      <c r="K2705">
        <v>1.1205020000000001</v>
      </c>
      <c r="L2705">
        <v>283.9314</v>
      </c>
      <c r="M2705">
        <v>-0.98821829999999999</v>
      </c>
      <c r="N2705">
        <v>-1.2404149999999999E-2</v>
      </c>
      <c r="O2705">
        <v>-0.15254789999999999</v>
      </c>
      <c r="P2705">
        <v>-0.99522980000000005</v>
      </c>
      <c r="Q2705">
        <v>8.3963769999999993E-2</v>
      </c>
      <c r="R2705">
        <v>-4.9678699999999999E-2</v>
      </c>
      <c r="S2705">
        <v>-3.0920260000000002</v>
      </c>
      <c r="T2705">
        <v>-0.96006950000000002</v>
      </c>
      <c r="U2705">
        <v>-8.221436E-2</v>
      </c>
      <c r="V2705">
        <v>0.1029722</v>
      </c>
      <c r="W2705">
        <v>9.5997879999999994E-2</v>
      </c>
      <c r="X2705">
        <v>0.99004099999999995</v>
      </c>
      <c r="Y2705">
        <v>0.11408359999999999</v>
      </c>
      <c r="Z2705">
        <v>6.227543E-2</v>
      </c>
      <c r="AA2705">
        <v>0.99151739999999999</v>
      </c>
      <c r="AB2705">
        <v>7</v>
      </c>
      <c r="AC2705">
        <v>-0.59809999999998797</v>
      </c>
      <c r="AD2705">
        <v>-0.21023210000000001</v>
      </c>
      <c r="AE2705">
        <v>-1.339999999999E-2</v>
      </c>
      <c r="AF2705">
        <v>6.9428971716270299E-2</v>
      </c>
      <c r="AG2705">
        <v>-0.21023210000000001</v>
      </c>
      <c r="AH2705">
        <v>0.52794683747003002</v>
      </c>
      <c r="AI2705">
        <v>111.54448532406801</v>
      </c>
      <c r="AJ2705">
        <v>82.508166044393505</v>
      </c>
      <c r="AK2705">
        <v>0.57249085685152601</v>
      </c>
      <c r="AL2705">
        <v>84.491243493783301</v>
      </c>
      <c r="AM2705">
        <v>84.062129542030505</v>
      </c>
      <c r="AN2705">
        <v>1.00000002430916</v>
      </c>
    </row>
    <row r="2706" spans="1:40" x14ac:dyDescent="0.25">
      <c r="A2706" t="str">
        <f>"20190303161928549"</f>
        <v>20190303161928549</v>
      </c>
      <c r="B2706" t="str">
        <f>"1551601168545383"</f>
        <v>1551601168545383</v>
      </c>
      <c r="C2706" t="s">
        <v>40</v>
      </c>
      <c r="D2706">
        <v>5.0022609999999998</v>
      </c>
      <c r="E2706">
        <v>0.50894719999999904</v>
      </c>
      <c r="F2706" t="s">
        <v>42</v>
      </c>
      <c r="G2706">
        <v>-207.0814</v>
      </c>
      <c r="H2706">
        <v>0.89370239999999901</v>
      </c>
      <c r="I2706">
        <v>283.91699999999997</v>
      </c>
      <c r="J2706">
        <v>-206.4316</v>
      </c>
      <c r="K2706">
        <v>1.1205430000000001</v>
      </c>
      <c r="L2706">
        <v>283.92739999999998</v>
      </c>
      <c r="M2706">
        <v>-0.9891162</v>
      </c>
      <c r="N2706">
        <v>-1.238677E-2</v>
      </c>
      <c r="O2706">
        <v>-0.14661440000000001</v>
      </c>
      <c r="P2706">
        <v>-0.99543570000000003</v>
      </c>
      <c r="Q2706">
        <v>8.4085450000000006E-2</v>
      </c>
      <c r="R2706">
        <v>-4.5141809999999997E-2</v>
      </c>
      <c r="S2706">
        <v>-3.0931090000000001</v>
      </c>
      <c r="T2706">
        <v>-0.96992679999999998</v>
      </c>
      <c r="U2706">
        <v>-6.1798100000000002E-2</v>
      </c>
      <c r="V2706">
        <v>0.1015315</v>
      </c>
      <c r="W2706">
        <v>9.611654E-2</v>
      </c>
      <c r="X2706">
        <v>0.99017820000000001</v>
      </c>
      <c r="Y2706">
        <v>0.11466419999999999</v>
      </c>
      <c r="Z2706">
        <v>6.1253889999999998E-2</v>
      </c>
      <c r="AA2706">
        <v>0.99151400000000001</v>
      </c>
      <c r="AB2706">
        <v>7</v>
      </c>
      <c r="AC2706">
        <v>-0.64979999999999905</v>
      </c>
      <c r="AD2706">
        <v>-0.2268406</v>
      </c>
      <c r="AE2706">
        <v>-1.03999999999473E-2</v>
      </c>
      <c r="AF2706">
        <v>7.5759599379910794E-2</v>
      </c>
      <c r="AG2706">
        <v>-0.2268406</v>
      </c>
      <c r="AH2706">
        <v>0.57432874482317497</v>
      </c>
      <c r="AI2706">
        <v>111.38404081659699</v>
      </c>
      <c r="AJ2706">
        <v>82.485508373980693</v>
      </c>
      <c r="AK2706">
        <v>0.62213317050027805</v>
      </c>
      <c r="AL2706">
        <v>84.484412787979807</v>
      </c>
      <c r="AM2706">
        <v>84.145431616790603</v>
      </c>
      <c r="AN2706">
        <v>0.99999995125452901</v>
      </c>
    </row>
    <row r="2707" spans="1:40" x14ac:dyDescent="0.25">
      <c r="A2707" t="str">
        <f>"20190303161928570"</f>
        <v>20190303161928570</v>
      </c>
      <c r="B2707" t="str">
        <f>"1551601168564903"</f>
        <v>1551601168564903</v>
      </c>
      <c r="C2707" t="s">
        <v>40</v>
      </c>
      <c r="D2707">
        <v>4.9962309999999999</v>
      </c>
      <c r="E2707">
        <v>0.50912659999999998</v>
      </c>
      <c r="F2707" t="s">
        <v>42</v>
      </c>
      <c r="G2707">
        <v>-207.14779999999999</v>
      </c>
      <c r="H2707">
        <v>0.89443300000000003</v>
      </c>
      <c r="I2707">
        <v>283.91739999999999</v>
      </c>
      <c r="J2707">
        <v>-206.50190000000001</v>
      </c>
      <c r="K2707">
        <v>1.1205799999999999</v>
      </c>
      <c r="L2707">
        <v>283.9239</v>
      </c>
      <c r="M2707">
        <v>-0.98993690000000001</v>
      </c>
      <c r="N2707">
        <v>-1.2371190000000001E-2</v>
      </c>
      <c r="O2707">
        <v>-0.14096810000000001</v>
      </c>
      <c r="P2707">
        <v>-0.99564090000000005</v>
      </c>
      <c r="Q2707">
        <v>8.3682080000000006E-2</v>
      </c>
      <c r="R2707">
        <v>-4.1186889999999997E-2</v>
      </c>
      <c r="S2707">
        <v>-3.094284</v>
      </c>
      <c r="T2707">
        <v>-0.9763927</v>
      </c>
      <c r="U2707">
        <v>-4.3334959999999999E-2</v>
      </c>
      <c r="V2707">
        <v>9.9810529999999995E-2</v>
      </c>
      <c r="W2707">
        <v>9.5711190000000002E-2</v>
      </c>
      <c r="X2707">
        <v>0.99039239999999995</v>
      </c>
      <c r="Y2707">
        <v>0.1150022</v>
      </c>
      <c r="Z2707">
        <v>6.0035819999999997E-2</v>
      </c>
      <c r="AA2707">
        <v>0.99154940000000003</v>
      </c>
      <c r="AB2707">
        <v>7</v>
      </c>
      <c r="AC2707">
        <v>-0.64589999999998304</v>
      </c>
      <c r="AD2707">
        <v>-0.22614699999999899</v>
      </c>
      <c r="AE2707">
        <v>-6.5000000000168196E-3</v>
      </c>
      <c r="AF2707">
        <v>7.5382995335892197E-2</v>
      </c>
      <c r="AG2707">
        <v>-0.22614699999999899</v>
      </c>
      <c r="AH2707">
        <v>0.57044265594735899</v>
      </c>
      <c r="AI2707">
        <v>111.456036710744</v>
      </c>
      <c r="AJ2707">
        <v>82.472081535669901</v>
      </c>
      <c r="AK2707">
        <v>0.61824743049938202</v>
      </c>
      <c r="AL2707">
        <v>84.507745141767799</v>
      </c>
      <c r="AM2707">
        <v>84.245231706820604</v>
      </c>
      <c r="AN2707">
        <v>0.99999993988392599</v>
      </c>
    </row>
    <row r="2708" spans="1:40" x14ac:dyDescent="0.25">
      <c r="A2708" t="str">
        <f>"20190303161928592"</f>
        <v>20190303161928592</v>
      </c>
      <c r="B2708" t="str">
        <f>"1551601168585400"</f>
        <v>1551601168585400</v>
      </c>
      <c r="C2708" t="s">
        <v>40</v>
      </c>
      <c r="D2708">
        <v>5.0057850000000004</v>
      </c>
      <c r="E2708">
        <v>0.50923339999999995</v>
      </c>
      <c r="F2708" t="s">
        <v>42</v>
      </c>
      <c r="G2708">
        <v>-207.214</v>
      </c>
      <c r="H2708">
        <v>0.89500389999999996</v>
      </c>
      <c r="I2708">
        <v>283.91789999999997</v>
      </c>
      <c r="J2708">
        <v>-206.5744</v>
      </c>
      <c r="K2708">
        <v>1.1205969999999901</v>
      </c>
      <c r="L2708">
        <v>283.92059999999998</v>
      </c>
      <c r="M2708">
        <v>-0.99074030000000002</v>
      </c>
      <c r="N2708">
        <v>-1.2355349999999999E-2</v>
      </c>
      <c r="O2708">
        <v>-0.13520750000000001</v>
      </c>
      <c r="P2708">
        <v>-0.99577439999999995</v>
      </c>
      <c r="Q2708">
        <v>8.3261550000000004E-2</v>
      </c>
      <c r="R2708">
        <v>-3.8743090000000001E-2</v>
      </c>
      <c r="S2708">
        <v>-3.0944370000000001</v>
      </c>
      <c r="T2708">
        <v>-0.97993249999999998</v>
      </c>
      <c r="U2708">
        <v>-2.6092529999999999E-2</v>
      </c>
      <c r="V2708">
        <v>9.6475779999999997E-2</v>
      </c>
      <c r="W2708">
        <v>9.5291120000000007E-2</v>
      </c>
      <c r="X2708">
        <v>0.99076339999999996</v>
      </c>
      <c r="Y2708">
        <v>0.1149289</v>
      </c>
      <c r="Z2708">
        <v>5.8542919999999998E-2</v>
      </c>
      <c r="AA2708">
        <v>0.9916471</v>
      </c>
      <c r="AB2708">
        <v>7</v>
      </c>
      <c r="AC2708">
        <v>-0.63960000000002903</v>
      </c>
      <c r="AD2708">
        <v>-0.22559309999999899</v>
      </c>
      <c r="AE2708">
        <v>-2.7000000000043599E-3</v>
      </c>
      <c r="AF2708">
        <v>7.4537506154208996E-2</v>
      </c>
      <c r="AG2708">
        <v>-0.22559309999999899</v>
      </c>
      <c r="AH2708">
        <v>0.56393620653471299</v>
      </c>
      <c r="AI2708">
        <v>111.63247871098</v>
      </c>
      <c r="AJ2708">
        <v>82.470650935761299</v>
      </c>
      <c r="AK2708">
        <v>0.61194128119621105</v>
      </c>
      <c r="AL2708">
        <v>84.531924467178499</v>
      </c>
      <c r="AM2708">
        <v>84.4383464283694</v>
      </c>
      <c r="AN2708">
        <v>1.00000004422851</v>
      </c>
    </row>
    <row r="2709" spans="1:40" x14ac:dyDescent="0.25">
      <c r="A2709" t="str">
        <f>"20190303161928614"</f>
        <v>20190303161928614</v>
      </c>
      <c r="B2709" t="str">
        <f>"1551601168604919"</f>
        <v>1551601168604919</v>
      </c>
      <c r="C2709" t="s">
        <v>40</v>
      </c>
      <c r="D2709">
        <v>5.0150329999999999</v>
      </c>
      <c r="E2709">
        <v>0.5091888</v>
      </c>
      <c r="F2709" t="s">
        <v>42</v>
      </c>
      <c r="G2709">
        <v>-207.28020000000001</v>
      </c>
      <c r="H2709">
        <v>0.89634840000000005</v>
      </c>
      <c r="I2709">
        <v>283.91750000000002</v>
      </c>
      <c r="J2709">
        <v>-206.64789999999999</v>
      </c>
      <c r="K2709">
        <v>1.1206130000000001</v>
      </c>
      <c r="L2709">
        <v>283.91750000000002</v>
      </c>
      <c r="M2709">
        <v>-0.99150890000000003</v>
      </c>
      <c r="N2709">
        <v>-1.233742E-2</v>
      </c>
      <c r="O2709">
        <v>-0.1294534</v>
      </c>
      <c r="P2709">
        <v>-0.99571679999999996</v>
      </c>
      <c r="Q2709">
        <v>8.4862699999999999E-2</v>
      </c>
      <c r="R2709">
        <v>-3.6693450000000002E-2</v>
      </c>
      <c r="S2709">
        <v>-3.094376</v>
      </c>
      <c r="T2709">
        <v>-0.98298739999999996</v>
      </c>
      <c r="U2709">
        <v>-1.33667E-2</v>
      </c>
      <c r="V2709">
        <v>9.2740539999999996E-2</v>
      </c>
      <c r="W2709">
        <v>9.6889199999999995E-2</v>
      </c>
      <c r="X2709">
        <v>0.99096499999999998</v>
      </c>
      <c r="Y2709">
        <v>0.1135029</v>
      </c>
      <c r="Z2709">
        <v>5.6794230000000001E-2</v>
      </c>
      <c r="AA2709">
        <v>0.99191309999999999</v>
      </c>
      <c r="AB2709">
        <v>7</v>
      </c>
      <c r="AC2709">
        <v>-0.63230000000001496</v>
      </c>
      <c r="AD2709">
        <v>-0.22426459999999901</v>
      </c>
      <c r="AE2709">
        <v>0</v>
      </c>
      <c r="AF2709">
        <v>7.2712488899900105E-2</v>
      </c>
      <c r="AG2709">
        <v>-0.22426459999999901</v>
      </c>
      <c r="AH2709">
        <v>0.55691916848380996</v>
      </c>
      <c r="AI2709">
        <v>111.766774205997</v>
      </c>
      <c r="AJ2709">
        <v>82.561424209304406</v>
      </c>
      <c r="AK2709">
        <v>0.60476497673052798</v>
      </c>
      <c r="AL2709">
        <v>84.439935186275093</v>
      </c>
      <c r="AM2709">
        <v>84.653484609538495</v>
      </c>
      <c r="AN2709">
        <v>0.99999997803056495</v>
      </c>
    </row>
    <row r="2710" spans="1:40" x14ac:dyDescent="0.25">
      <c r="A2710" t="str">
        <f>"20190303161928636"</f>
        <v>20190303161928636</v>
      </c>
      <c r="B2710" t="str">
        <f>"1551601168625415"</f>
        <v>1551601168625415</v>
      </c>
      <c r="C2710" t="s">
        <v>40</v>
      </c>
      <c r="D2710">
        <v>5.0472739999999998</v>
      </c>
      <c r="E2710">
        <v>0.50961579999999995</v>
      </c>
      <c r="F2710" t="s">
        <v>42</v>
      </c>
      <c r="G2710">
        <v>-207.34690000000001</v>
      </c>
      <c r="H2710">
        <v>0.89938149999999994</v>
      </c>
      <c r="I2710">
        <v>283.91590000000002</v>
      </c>
      <c r="J2710">
        <v>-206.7184</v>
      </c>
      <c r="K2710">
        <v>1.1206309999999999</v>
      </c>
      <c r="L2710">
        <v>283.91489999999999</v>
      </c>
      <c r="M2710">
        <v>-0.99220529999999996</v>
      </c>
      <c r="N2710">
        <v>-1.231725E-2</v>
      </c>
      <c r="O2710">
        <v>-0.1240034</v>
      </c>
      <c r="P2710">
        <v>-0.99557479999999998</v>
      </c>
      <c r="Q2710">
        <v>8.7964390000000003E-2</v>
      </c>
      <c r="R2710">
        <v>-3.3062069999999999E-2</v>
      </c>
      <c r="S2710">
        <v>-3.0961150000000002</v>
      </c>
      <c r="T2710">
        <v>-0.97929219999999895</v>
      </c>
      <c r="U2710">
        <v>-7.1105959999999899E-3</v>
      </c>
      <c r="V2710">
        <v>9.0876499999999999E-2</v>
      </c>
      <c r="W2710">
        <v>9.9977860000000002E-2</v>
      </c>
      <c r="X2710">
        <v>0.99083089999999996</v>
      </c>
      <c r="Y2710">
        <v>0.1105483</v>
      </c>
      <c r="Z2710">
        <v>5.4478459999999999E-2</v>
      </c>
      <c r="AA2710">
        <v>0.99237649999999999</v>
      </c>
      <c r="AB2710">
        <v>7</v>
      </c>
      <c r="AC2710">
        <v>-0.62850000000000195</v>
      </c>
      <c r="AD2710">
        <v>-0.22124949999999899</v>
      </c>
      <c r="AE2710">
        <v>1.0000000000331901E-3</v>
      </c>
      <c r="AF2710">
        <v>7.0231068502562E-2</v>
      </c>
      <c r="AG2710">
        <v>-0.22124949999999899</v>
      </c>
      <c r="AH2710">
        <v>0.55477483269175198</v>
      </c>
      <c r="AI2710">
        <v>111.586317310083</v>
      </c>
      <c r="AJ2710">
        <v>82.785086785558406</v>
      </c>
      <c r="AK2710">
        <v>0.60138079385812004</v>
      </c>
      <c r="AL2710">
        <v>84.262104391937896</v>
      </c>
      <c r="AM2710">
        <v>84.759637576931198</v>
      </c>
      <c r="AN2710">
        <v>0.99999999156861896</v>
      </c>
    </row>
    <row r="2711" spans="1:40" x14ac:dyDescent="0.25">
      <c r="A2711" t="str">
        <f>"20190303161928659"</f>
        <v>20190303161928659</v>
      </c>
      <c r="B2711" t="str">
        <f>"1551601168654695"</f>
        <v>1551601168654695</v>
      </c>
      <c r="C2711" t="s">
        <v>40</v>
      </c>
      <c r="D2711">
        <v>5.0046059999999999</v>
      </c>
      <c r="E2711">
        <v>0.5103143</v>
      </c>
      <c r="F2711" t="s">
        <v>42</v>
      </c>
      <c r="G2711">
        <v>-207.41399999999999</v>
      </c>
      <c r="H2711">
        <v>0.90275950000000005</v>
      </c>
      <c r="I2711">
        <v>283.9162</v>
      </c>
      <c r="J2711">
        <v>-206.79400000000001</v>
      </c>
      <c r="K2711">
        <v>1.120657</v>
      </c>
      <c r="L2711">
        <v>283.91250000000002</v>
      </c>
      <c r="M2711">
        <v>-0.99290780000000001</v>
      </c>
      <c r="N2711">
        <v>-1.2292030000000001E-2</v>
      </c>
      <c r="O2711">
        <v>-0.1182496</v>
      </c>
      <c r="P2711">
        <v>-0.99571849999999995</v>
      </c>
      <c r="Q2711">
        <v>8.7739259999999999E-2</v>
      </c>
      <c r="R2711">
        <v>-2.9096589999999999E-2</v>
      </c>
      <c r="S2711">
        <v>-3.0992579999999998</v>
      </c>
      <c r="T2711">
        <v>-0.97042490000000003</v>
      </c>
      <c r="U2711">
        <v>5.6152340000000002E-3</v>
      </c>
      <c r="V2711">
        <v>8.9071739999999996E-2</v>
      </c>
      <c r="W2711">
        <v>9.9739690000000006E-2</v>
      </c>
      <c r="X2711">
        <v>0.99101879999999998</v>
      </c>
      <c r="Y2711">
        <v>0.10939980000000001</v>
      </c>
      <c r="Z2711">
        <v>5.2088210000000003E-2</v>
      </c>
      <c r="AA2711">
        <v>0.99263210000000002</v>
      </c>
      <c r="AB2711">
        <v>7</v>
      </c>
      <c r="AC2711">
        <v>-0.62000000000000399</v>
      </c>
      <c r="AD2711">
        <v>-0.21789749999999999</v>
      </c>
      <c r="AE2711">
        <v>3.69999999998071E-3</v>
      </c>
      <c r="AF2711">
        <v>6.8530106997526E-2</v>
      </c>
      <c r="AG2711">
        <v>-0.21789749999999999</v>
      </c>
      <c r="AH2711">
        <v>0.54757968707944904</v>
      </c>
      <c r="AI2711">
        <v>111.54649555390201</v>
      </c>
      <c r="AJ2711">
        <v>82.866469207351699</v>
      </c>
      <c r="AK2711">
        <v>0.59331206777999201</v>
      </c>
      <c r="AL2711">
        <v>84.275819249806503</v>
      </c>
      <c r="AM2711">
        <v>84.864114822263403</v>
      </c>
      <c r="AN2711">
        <v>1.0000000212906801</v>
      </c>
    </row>
    <row r="2712" spans="1:40" x14ac:dyDescent="0.25">
      <c r="A2712" t="str">
        <f>"20190303161928683"</f>
        <v>20190303161928683</v>
      </c>
      <c r="B2712" t="str">
        <f>"1551601168675192"</f>
        <v>1551601168675192</v>
      </c>
      <c r="C2712" t="s">
        <v>40</v>
      </c>
      <c r="D2712">
        <v>5.0046850000000003</v>
      </c>
      <c r="E2712">
        <v>0.51072700000000004</v>
      </c>
      <c r="F2712" t="s">
        <v>42</v>
      </c>
      <c r="G2712">
        <v>-207.4811</v>
      </c>
      <c r="H2712">
        <v>0.90565099999999998</v>
      </c>
      <c r="I2712">
        <v>283.91840000000002</v>
      </c>
      <c r="J2712">
        <v>-206.87110000000001</v>
      </c>
      <c r="K2712">
        <v>1.120692</v>
      </c>
      <c r="L2712">
        <v>283.91030000000001</v>
      </c>
      <c r="M2712">
        <v>-0.99357580000000001</v>
      </c>
      <c r="N2712">
        <v>-1.226316E-2</v>
      </c>
      <c r="O2712">
        <v>-0.11250250000000001</v>
      </c>
      <c r="P2712">
        <v>-0.99599950000000004</v>
      </c>
      <c r="Q2712">
        <v>8.4992509999999993E-2</v>
      </c>
      <c r="R2712">
        <v>-2.7599019999999998E-2</v>
      </c>
      <c r="S2712">
        <v>-3.09903</v>
      </c>
      <c r="T2712">
        <v>-0.96864450000000002</v>
      </c>
      <c r="U2712">
        <v>2.6428219999999999E-2</v>
      </c>
      <c r="V2712">
        <v>8.4833030000000004E-2</v>
      </c>
      <c r="W2712">
        <v>9.6989820000000004E-2</v>
      </c>
      <c r="X2712">
        <v>0.99166339999999997</v>
      </c>
      <c r="Y2712">
        <v>0.11055089999999999</v>
      </c>
      <c r="Z2712">
        <v>5.0510190000000003E-2</v>
      </c>
      <c r="AA2712">
        <v>0.99258610000000003</v>
      </c>
      <c r="AB2712">
        <v>7</v>
      </c>
      <c r="AC2712">
        <v>-0.609999999999985</v>
      </c>
      <c r="AD2712">
        <v>-0.21504100000000001</v>
      </c>
      <c r="AE2712">
        <v>8.1000000000130898E-3</v>
      </c>
      <c r="AF2712">
        <v>6.8205522877497607E-2</v>
      </c>
      <c r="AG2712">
        <v>-0.21504100000000001</v>
      </c>
      <c r="AH2712">
        <v>0.538326823291987</v>
      </c>
      <c r="AI2712">
        <v>111.61810971021001</v>
      </c>
      <c r="AJ2712">
        <v>82.779150353235195</v>
      </c>
      <c r="AK2712">
        <v>0.58368689698127996</v>
      </c>
      <c r="AL2712">
        <v>84.434142834995299</v>
      </c>
      <c r="AM2712">
        <v>85.110468363768902</v>
      </c>
      <c r="AN2712">
        <v>0.99999998353108599</v>
      </c>
    </row>
    <row r="2713" spans="1:40" x14ac:dyDescent="0.25">
      <c r="A2713" t="str">
        <f>"20190303161928703"</f>
        <v>20190303161928703</v>
      </c>
      <c r="B2713" t="str">
        <f>"1551601168694711"</f>
        <v>1551601168694711</v>
      </c>
      <c r="C2713" t="s">
        <v>40</v>
      </c>
      <c r="D2713">
        <v>5.0606920000000004</v>
      </c>
      <c r="E2713">
        <v>0.51128459999999998</v>
      </c>
      <c r="F2713" t="s">
        <v>42</v>
      </c>
      <c r="G2713">
        <v>-207.54730000000001</v>
      </c>
      <c r="H2713">
        <v>0.90726569999999995</v>
      </c>
      <c r="I2713">
        <v>283.91890000000001</v>
      </c>
      <c r="J2713">
        <v>-206.93960000000001</v>
      </c>
      <c r="K2713">
        <v>1.120733</v>
      </c>
      <c r="L2713">
        <v>283.9085</v>
      </c>
      <c r="M2713">
        <v>-0.99412719999999999</v>
      </c>
      <c r="N2713">
        <v>-1.22351E-2</v>
      </c>
      <c r="O2713">
        <v>-0.1075237</v>
      </c>
      <c r="P2713">
        <v>-0.99612100000000003</v>
      </c>
      <c r="Q2713">
        <v>8.4101270000000006E-2</v>
      </c>
      <c r="R2713">
        <v>-2.5881250000000001E-2</v>
      </c>
      <c r="S2713">
        <v>-3.0964969999999998</v>
      </c>
      <c r="T2713">
        <v>-0.97694029999999998</v>
      </c>
      <c r="U2713">
        <v>3.9306639999999997E-2</v>
      </c>
      <c r="V2713">
        <v>8.1565219999999994E-2</v>
      </c>
      <c r="W2713">
        <v>9.6092339999999998E-2</v>
      </c>
      <c r="X2713">
        <v>0.99202489999999999</v>
      </c>
      <c r="Y2713">
        <v>0.109778399999999</v>
      </c>
      <c r="Z2713">
        <v>4.938099E-2</v>
      </c>
      <c r="AA2713">
        <v>0.99272870000000002</v>
      </c>
      <c r="AB2713">
        <v>7</v>
      </c>
      <c r="AC2713">
        <v>-0.60769999999999402</v>
      </c>
      <c r="AD2713">
        <v>-0.2134673</v>
      </c>
      <c r="AE2713">
        <v>1.04000000000041E-2</v>
      </c>
      <c r="AF2713">
        <v>6.7375617943264896E-2</v>
      </c>
      <c r="AG2713">
        <v>-0.2134673</v>
      </c>
      <c r="AH2713">
        <v>0.53683649970985903</v>
      </c>
      <c r="AI2713">
        <v>111.53142232548301</v>
      </c>
      <c r="AJ2713">
        <v>82.846501133025896</v>
      </c>
      <c r="AK2713">
        <v>0.58163664730075304</v>
      </c>
      <c r="AL2713">
        <v>84.485806132934101</v>
      </c>
      <c r="AM2713">
        <v>85.299659986920105</v>
      </c>
      <c r="AN2713">
        <v>1.00000001257016</v>
      </c>
    </row>
    <row r="2714" spans="1:40" x14ac:dyDescent="0.25">
      <c r="A2714" t="str">
        <f>"20190303161928727"</f>
        <v>20190303161928727</v>
      </c>
      <c r="B2714" t="str">
        <f>"1551601168715207"</f>
        <v>1551601168715207</v>
      </c>
      <c r="C2714" t="s">
        <v>40</v>
      </c>
      <c r="D2714">
        <v>5.0848399999999998</v>
      </c>
      <c r="E2714">
        <v>0.51175879999999996</v>
      </c>
      <c r="F2714" t="s">
        <v>42</v>
      </c>
      <c r="G2714">
        <v>-207.6131</v>
      </c>
      <c r="H2714">
        <v>0.90814539999999999</v>
      </c>
      <c r="I2714">
        <v>283.91930000000002</v>
      </c>
      <c r="J2714">
        <v>-207.01830000000001</v>
      </c>
      <c r="K2714">
        <v>1.120811</v>
      </c>
      <c r="L2714">
        <v>283.90679999999998</v>
      </c>
      <c r="M2714">
        <v>-0.99471129999999996</v>
      </c>
      <c r="N2714">
        <v>-1.2200229999999999E-2</v>
      </c>
      <c r="O2714">
        <v>-0.1019842</v>
      </c>
      <c r="P2714">
        <v>-0.99603439999999999</v>
      </c>
      <c r="Q2714">
        <v>8.5939619999999994E-2</v>
      </c>
      <c r="R2714">
        <v>-2.3035110000000001E-2</v>
      </c>
      <c r="S2714">
        <v>-3.0954280000000001</v>
      </c>
      <c r="T2714">
        <v>-0.9765606</v>
      </c>
      <c r="U2714">
        <v>4.9224850000000001E-2</v>
      </c>
      <c r="V2714">
        <v>7.8839179999999995E-2</v>
      </c>
      <c r="W2714">
        <v>9.7916649999999994E-2</v>
      </c>
      <c r="X2714">
        <v>0.99206689999999997</v>
      </c>
      <c r="Y2714">
        <v>0.1077805</v>
      </c>
      <c r="Z2714">
        <v>4.742764E-2</v>
      </c>
      <c r="AA2714">
        <v>0.9930428</v>
      </c>
      <c r="AB2714">
        <v>7</v>
      </c>
      <c r="AC2714">
        <v>-0.594799999999992</v>
      </c>
      <c r="AD2714">
        <v>-0.21266559999999901</v>
      </c>
      <c r="AE2714">
        <v>1.25000000000454E-2</v>
      </c>
      <c r="AF2714">
        <v>6.4817221813574702E-2</v>
      </c>
      <c r="AG2714">
        <v>-0.21266559999999901</v>
      </c>
      <c r="AH2714">
        <v>0.52352735826413399</v>
      </c>
      <c r="AI2714">
        <v>111.95627407316</v>
      </c>
      <c r="AJ2714">
        <v>82.942201975525805</v>
      </c>
      <c r="AK2714">
        <v>0.56877836150649497</v>
      </c>
      <c r="AL2714">
        <v>84.380785560336903</v>
      </c>
      <c r="AM2714">
        <v>85.456275270725897</v>
      </c>
      <c r="AN2714">
        <v>1.0000000103629501</v>
      </c>
    </row>
    <row r="2715" spans="1:40" x14ac:dyDescent="0.25">
      <c r="A2715" t="str">
        <f>"20190303161928750"</f>
        <v>20190303161928750</v>
      </c>
      <c r="B2715" t="str">
        <f>"1551601168745463"</f>
        <v>1551601168745463</v>
      </c>
      <c r="C2715" t="s">
        <v>40</v>
      </c>
      <c r="D2715">
        <v>5.0789049999999998</v>
      </c>
      <c r="E2715">
        <v>0.51230299999999995</v>
      </c>
      <c r="F2715" t="s">
        <v>42</v>
      </c>
      <c r="G2715">
        <v>-207.7379</v>
      </c>
      <c r="H2715">
        <v>0.89545759999999996</v>
      </c>
      <c r="I2715">
        <v>283.91989999999998</v>
      </c>
      <c r="J2715">
        <v>-207.0916</v>
      </c>
      <c r="K2715">
        <v>1.1208929999999999</v>
      </c>
      <c r="L2715">
        <v>283.90519999999998</v>
      </c>
      <c r="M2715">
        <v>-0.99520770000000003</v>
      </c>
      <c r="N2715">
        <v>-1.2165769999999999E-2</v>
      </c>
      <c r="O2715">
        <v>-9.7025050000000002E-2</v>
      </c>
      <c r="P2715">
        <v>-0.99609570000000003</v>
      </c>
      <c r="Q2715">
        <v>8.5673440000000003E-2</v>
      </c>
      <c r="R2715">
        <v>-2.1304690000000001E-2</v>
      </c>
      <c r="S2715">
        <v>-3.096848</v>
      </c>
      <c r="T2715">
        <v>-0.96908950000000005</v>
      </c>
      <c r="U2715">
        <v>5.6182860000000001E-2</v>
      </c>
      <c r="V2715">
        <v>7.5596330000000003E-2</v>
      </c>
      <c r="W2715">
        <v>9.7639989999999996E-2</v>
      </c>
      <c r="X2715">
        <v>0.99234650000000002</v>
      </c>
      <c r="Y2715">
        <v>0.1055417</v>
      </c>
      <c r="Z2715">
        <v>4.5250390000000001E-2</v>
      </c>
      <c r="AA2715">
        <v>0.99338479999999996</v>
      </c>
      <c r="AB2715">
        <v>7</v>
      </c>
      <c r="AC2715">
        <v>-0.64629999999999599</v>
      </c>
      <c r="AD2715">
        <v>-0.22543540000000001</v>
      </c>
      <c r="AE2715">
        <v>1.47000000000048E-2</v>
      </c>
      <c r="AF2715">
        <v>6.8957039535157805E-2</v>
      </c>
      <c r="AG2715">
        <v>-0.22543540000000001</v>
      </c>
      <c r="AH2715">
        <v>0.57223702928640496</v>
      </c>
      <c r="AI2715">
        <v>111.36171022662499</v>
      </c>
      <c r="AJ2715">
        <v>83.128742531567596</v>
      </c>
      <c r="AK2715">
        <v>0.61889531470285297</v>
      </c>
      <c r="AL2715">
        <v>84.396713130871703</v>
      </c>
      <c r="AM2715">
        <v>85.6436577283215</v>
      </c>
      <c r="AN2715">
        <v>0.99999997440945898</v>
      </c>
    </row>
    <row r="2716" spans="1:40" x14ac:dyDescent="0.25">
      <c r="A2716" t="str">
        <f>"20190303161928770"</f>
        <v>20190303161928770</v>
      </c>
      <c r="B2716" t="str">
        <f>"1551601168764983"</f>
        <v>1551601168764983</v>
      </c>
      <c r="C2716" t="s">
        <v>40</v>
      </c>
      <c r="D2716">
        <v>5.0628599999999997</v>
      </c>
      <c r="E2716">
        <v>0.51255019999999996</v>
      </c>
      <c r="F2716" t="s">
        <v>42</v>
      </c>
      <c r="G2716">
        <v>-207.80430000000001</v>
      </c>
      <c r="H2716">
        <v>0.89838059999999997</v>
      </c>
      <c r="I2716">
        <v>283.92129999999997</v>
      </c>
      <c r="J2716">
        <v>-207.1617</v>
      </c>
      <c r="K2716">
        <v>1.120954</v>
      </c>
      <c r="L2716">
        <v>283.90390000000002</v>
      </c>
      <c r="M2716">
        <v>-0.99564399999999997</v>
      </c>
      <c r="N2716">
        <v>-1.2133710000000001E-2</v>
      </c>
      <c r="O2716">
        <v>-9.2445459999999993E-2</v>
      </c>
      <c r="P2716">
        <v>-0.99615920000000002</v>
      </c>
      <c r="Q2716">
        <v>8.4509130000000002E-2</v>
      </c>
      <c r="R2716">
        <v>-2.2918629999999999E-2</v>
      </c>
      <c r="S2716">
        <v>-3.09639</v>
      </c>
      <c r="T2716">
        <v>-0.96650740000000002</v>
      </c>
      <c r="U2716">
        <v>6.9854739999999999E-2</v>
      </c>
      <c r="V2716">
        <v>6.9405369999999994E-2</v>
      </c>
      <c r="W2716">
        <v>9.6471559999999998E-2</v>
      </c>
      <c r="X2716">
        <v>0.99291289999999999</v>
      </c>
      <c r="Y2716">
        <v>0.1056029</v>
      </c>
      <c r="Z2716">
        <v>4.3813570000000003E-2</v>
      </c>
      <c r="AA2716">
        <v>0.99344270000000001</v>
      </c>
      <c r="AB2716">
        <v>7</v>
      </c>
      <c r="AC2716">
        <v>-0.64260000000001505</v>
      </c>
      <c r="AD2716">
        <v>-0.22257339999999901</v>
      </c>
      <c r="AE2716">
        <v>1.7399999999952301E-2</v>
      </c>
      <c r="AF2716">
        <v>6.8520995477129795E-2</v>
      </c>
      <c r="AG2716">
        <v>-0.22257339999999901</v>
      </c>
      <c r="AH2716">
        <v>0.56991744251538601</v>
      </c>
      <c r="AI2716">
        <v>111.193494334061</v>
      </c>
      <c r="AJ2716">
        <v>83.1442536846168</v>
      </c>
      <c r="AK2716">
        <v>0.61566219348926698</v>
      </c>
      <c r="AL2716">
        <v>84.463976648262403</v>
      </c>
      <c r="AM2716">
        <v>86.001485194737796</v>
      </c>
      <c r="AN2716">
        <v>0.99999994713003804</v>
      </c>
    </row>
    <row r="2717" spans="1:40" x14ac:dyDescent="0.25">
      <c r="A2717" t="str">
        <f>"20190303161928792"</f>
        <v>20190303161928792</v>
      </c>
      <c r="B2717" t="str">
        <f>"1551601168785480"</f>
        <v>1551601168785480</v>
      </c>
      <c r="C2717" t="s">
        <v>40</v>
      </c>
      <c r="D2717">
        <v>5.3078269999999996</v>
      </c>
      <c r="E2717">
        <v>0.51187640000000001</v>
      </c>
      <c r="F2717" t="s">
        <v>42</v>
      </c>
      <c r="G2717">
        <v>-207.86959999999999</v>
      </c>
      <c r="H2717">
        <v>0.89924490000000001</v>
      </c>
      <c r="I2717">
        <v>283.92020000000002</v>
      </c>
      <c r="J2717">
        <v>-207.23079999999999</v>
      </c>
      <c r="K2717">
        <v>1.1210150000000001</v>
      </c>
      <c r="L2717">
        <v>283.90269999999998</v>
      </c>
      <c r="M2717">
        <v>-0.99603839999999999</v>
      </c>
      <c r="N2717">
        <v>-1.2103289999999999E-2</v>
      </c>
      <c r="O2717">
        <v>-8.8097889999999998E-2</v>
      </c>
      <c r="P2717">
        <v>-0.99594660000000002</v>
      </c>
      <c r="Q2717">
        <v>8.6855199999999994E-2</v>
      </c>
      <c r="R2717">
        <v>-2.3385619999999999E-2</v>
      </c>
      <c r="S2717">
        <v>-3.095367</v>
      </c>
      <c r="T2717">
        <v>-0.9686458</v>
      </c>
      <c r="U2717">
        <v>7.0739750000000004E-2</v>
      </c>
      <c r="V2717">
        <v>6.4569260000000003E-2</v>
      </c>
      <c r="W2717">
        <v>9.8804950000000002E-2</v>
      </c>
      <c r="X2717">
        <v>0.9930097</v>
      </c>
      <c r="Y2717">
        <v>0.10188560000000001</v>
      </c>
      <c r="Z2717">
        <v>4.2057749999999998E-2</v>
      </c>
      <c r="AA2717">
        <v>0.99390670000000003</v>
      </c>
      <c r="AB2717">
        <v>7</v>
      </c>
      <c r="AC2717">
        <v>-0.63880000000000303</v>
      </c>
      <c r="AD2717">
        <v>-0.221770099999999</v>
      </c>
      <c r="AE2717">
        <v>1.75000000000409E-2</v>
      </c>
      <c r="AF2717">
        <v>6.5789660523491805E-2</v>
      </c>
      <c r="AG2717">
        <v>-0.221770099999999</v>
      </c>
      <c r="AH2717">
        <v>0.56654282728157301</v>
      </c>
      <c r="AI2717">
        <v>111.247655995348</v>
      </c>
      <c r="AJ2717">
        <v>83.376207825467603</v>
      </c>
      <c r="AK2717">
        <v>0.61194855325427799</v>
      </c>
      <c r="AL2717">
        <v>84.329641288740106</v>
      </c>
      <c r="AM2717">
        <v>86.279648363862705</v>
      </c>
      <c r="AN2717">
        <v>0.99999993588776803</v>
      </c>
    </row>
    <row r="2718" spans="1:40" x14ac:dyDescent="0.25">
      <c r="A2718" t="str">
        <f>"20190303161928816"</f>
        <v>20190303161928816</v>
      </c>
      <c r="B2718" t="str">
        <f>"1551601168804999"</f>
        <v>1551601168804999</v>
      </c>
      <c r="C2718" t="s">
        <v>40</v>
      </c>
      <c r="D2718">
        <v>5.3037340000000004</v>
      </c>
      <c r="E2718">
        <v>0.4983089</v>
      </c>
      <c r="F2718" t="s">
        <v>42</v>
      </c>
      <c r="G2718">
        <v>-207.96180000000001</v>
      </c>
      <c r="H2718">
        <v>0.95765500000000003</v>
      </c>
      <c r="I2718">
        <v>283.91550000000001</v>
      </c>
      <c r="J2718">
        <v>-207.309</v>
      </c>
      <c r="K2718">
        <v>1.1211009999999999</v>
      </c>
      <c r="L2718">
        <v>283.9015</v>
      </c>
      <c r="M2718">
        <v>-0.99644120000000003</v>
      </c>
      <c r="N2718">
        <v>-1.2069399999999999E-2</v>
      </c>
      <c r="O2718">
        <v>-8.3423830000000004E-2</v>
      </c>
      <c r="P2718">
        <v>-0.99574399999999996</v>
      </c>
      <c r="Q2718">
        <v>9.0303530000000007E-2</v>
      </c>
      <c r="R2718">
        <v>-1.8422029999999999E-2</v>
      </c>
      <c r="S2718">
        <v>-3.0733030000000001</v>
      </c>
      <c r="T2718">
        <v>-0.68622680000000003</v>
      </c>
      <c r="U2718">
        <v>5.3375239999999997E-2</v>
      </c>
      <c r="V2718">
        <v>6.4819370000000001E-2</v>
      </c>
      <c r="W2718">
        <v>0.1022265</v>
      </c>
      <c r="X2718">
        <v>0.9926471</v>
      </c>
      <c r="Y2718">
        <v>9.6381949999999994E-2</v>
      </c>
      <c r="Z2718">
        <v>2.8608499999999999E-2</v>
      </c>
      <c r="AA2718">
        <v>0.99493319999999996</v>
      </c>
      <c r="AB2718">
        <v>7</v>
      </c>
      <c r="AC2718">
        <v>-0.65279999999998495</v>
      </c>
      <c r="AD2718">
        <v>-0.16344600000000001</v>
      </c>
      <c r="AE2718">
        <v>1.4000000000009999E-2</v>
      </c>
      <c r="AF2718">
        <v>6.4380181364217595E-2</v>
      </c>
      <c r="AG2718">
        <v>-0.16344600000000001</v>
      </c>
      <c r="AH2718">
        <v>0.61106680339203001</v>
      </c>
      <c r="AI2718">
        <v>104.895975856767</v>
      </c>
      <c r="AJ2718">
        <v>83.985674762748204</v>
      </c>
      <c r="AK2718">
        <v>0.63581604326742402</v>
      </c>
      <c r="AL2718">
        <v>84.132603488089103</v>
      </c>
      <c r="AM2718">
        <v>86.263917854357501</v>
      </c>
      <c r="AN2718">
        <v>1.0000000365839199</v>
      </c>
    </row>
    <row r="2719" spans="1:40" x14ac:dyDescent="0.25">
      <c r="A2719" t="str">
        <f>"20190303161928837"</f>
        <v>20190303161928837</v>
      </c>
      <c r="B2719" t="str">
        <f>"1551601168825495"</f>
        <v>1551601168825495</v>
      </c>
      <c r="C2719" t="s">
        <v>40</v>
      </c>
      <c r="D2719">
        <v>5.2898040000000002</v>
      </c>
      <c r="E2719">
        <v>0.49743179999999998</v>
      </c>
      <c r="F2719" t="s">
        <v>52</v>
      </c>
      <c r="G2719">
        <v>-239.21129999999999</v>
      </c>
      <c r="H2719" s="1">
        <v>3.4235689999999999E-6</v>
      </c>
      <c r="I2719">
        <v>283.27640000000002</v>
      </c>
      <c r="J2719">
        <v>-207.3777</v>
      </c>
      <c r="K2719">
        <v>1.121175</v>
      </c>
      <c r="L2719">
        <v>283.90039999999999</v>
      </c>
      <c r="M2719">
        <v>-0.99675820000000004</v>
      </c>
      <c r="N2719">
        <v>-1.203892E-2</v>
      </c>
      <c r="O2719">
        <v>-7.9549599999999998E-2</v>
      </c>
      <c r="P2719">
        <v>-0.99575460000000005</v>
      </c>
      <c r="Q2719">
        <v>9.0513319999999994E-2</v>
      </c>
      <c r="R2719">
        <v>-1.6748010000000001E-2</v>
      </c>
      <c r="S2719">
        <v>-3.0213779999999999</v>
      </c>
      <c r="T2719">
        <v>-0.10617600000000001</v>
      </c>
      <c r="U2719">
        <v>-5.9204100000000003E-2</v>
      </c>
      <c r="V2719">
        <v>6.2605899999999895E-2</v>
      </c>
      <c r="W2719">
        <v>0.1024219</v>
      </c>
      <c r="X2719">
        <v>0.99276900000000001</v>
      </c>
      <c r="Y2719">
        <v>5.9940140000000003E-2</v>
      </c>
      <c r="Z2719">
        <v>3.2469949999999999E-3</v>
      </c>
      <c r="AA2719">
        <v>0.99819669999999905</v>
      </c>
      <c r="AB2719">
        <v>7</v>
      </c>
      <c r="AC2719">
        <v>-31.833599999999901</v>
      </c>
      <c r="AD2719">
        <v>-1.121171576431</v>
      </c>
      <c r="AE2719">
        <v>-0.62399999999996603</v>
      </c>
      <c r="AF2719">
        <v>1.90814548697785</v>
      </c>
      <c r="AG2719">
        <v>-1.121171576431</v>
      </c>
      <c r="AH2719">
        <v>31.7429844626955</v>
      </c>
      <c r="AI2719">
        <v>92.019221019350198</v>
      </c>
      <c r="AJ2719">
        <v>86.559955419856394</v>
      </c>
      <c r="AK2719">
        <v>31.820042544003599</v>
      </c>
      <c r="AL2719">
        <v>84.121348696183603</v>
      </c>
      <c r="AM2719">
        <v>86.391597487647203</v>
      </c>
      <c r="AN2719">
        <v>1.0000000158377</v>
      </c>
    </row>
    <row r="2720" spans="1:40" x14ac:dyDescent="0.25">
      <c r="A2720" t="str">
        <f>"20190303161928850"</f>
        <v>20190303161928850</v>
      </c>
      <c r="B2720" t="str">
        <f>"1551601168845015"</f>
        <v>1551601168845015</v>
      </c>
      <c r="C2720" t="s">
        <v>40</v>
      </c>
      <c r="D2720">
        <v>5.2728140000000003</v>
      </c>
      <c r="E2720">
        <v>0.49763279999999899</v>
      </c>
      <c r="F2720" t="s">
        <v>52</v>
      </c>
      <c r="G2720">
        <v>-245.75720000000001</v>
      </c>
      <c r="H2720" s="1">
        <v>1.526918E-6</v>
      </c>
      <c r="I2720">
        <v>283.12119999999999</v>
      </c>
      <c r="J2720">
        <v>-207.42080000000001</v>
      </c>
      <c r="K2720">
        <v>1.1212279999999999</v>
      </c>
      <c r="L2720">
        <v>283.8997</v>
      </c>
      <c r="M2720">
        <v>-0.99694039999999995</v>
      </c>
      <c r="N2720">
        <v>-1.20193E-2</v>
      </c>
      <c r="O2720">
        <v>-7.7235810000000002E-2</v>
      </c>
      <c r="P2720">
        <v>-0.9958825</v>
      </c>
      <c r="Q2720">
        <v>8.9233480000000004E-2</v>
      </c>
      <c r="R2720">
        <v>-1.5992659999999999E-2</v>
      </c>
      <c r="S2720">
        <v>-3.0197600000000002</v>
      </c>
      <c r="T2720">
        <v>-8.8215589999999997E-2</v>
      </c>
      <c r="U2720">
        <v>-6.1309809999999999E-2</v>
      </c>
      <c r="V2720">
        <v>6.104623E-2</v>
      </c>
      <c r="W2720">
        <v>0.101135</v>
      </c>
      <c r="X2720">
        <v>0.99299800000000005</v>
      </c>
      <c r="Y2720">
        <v>5.6941829999999999E-2</v>
      </c>
      <c r="Z2720">
        <v>2.4982149999999998E-3</v>
      </c>
      <c r="AA2720">
        <v>0.99837430000000005</v>
      </c>
      <c r="AB2720">
        <v>7</v>
      </c>
      <c r="AC2720">
        <v>-38.336399999999998</v>
      </c>
      <c r="AD2720">
        <v>-1.1212264730820001</v>
      </c>
      <c r="AE2720">
        <v>-0.77850000000000796</v>
      </c>
      <c r="AF2720">
        <v>2.1831159961315398</v>
      </c>
      <c r="AG2720">
        <v>-1.1212264730820001</v>
      </c>
      <c r="AH2720">
        <v>38.249294832765798</v>
      </c>
      <c r="AI2720">
        <v>91.676340949091696</v>
      </c>
      <c r="AJ2720">
        <v>86.733331384384698</v>
      </c>
      <c r="AK2720">
        <v>38.327949325007602</v>
      </c>
      <c r="AL2720">
        <v>84.195467318053204</v>
      </c>
      <c r="AM2720">
        <v>86.482072544820198</v>
      </c>
      <c r="AN2720">
        <v>0.99999997921310602</v>
      </c>
    </row>
    <row r="2721" spans="1:40" x14ac:dyDescent="0.25">
      <c r="A2721" t="str">
        <f>"20190303161928863"</f>
        <v>20190303161928863</v>
      </c>
      <c r="B2721" t="str">
        <f>"1551601168854777"</f>
        <v>1551601168854777</v>
      </c>
      <c r="C2721" t="s">
        <v>40</v>
      </c>
      <c r="D2721">
        <v>5.0578979999999998</v>
      </c>
      <c r="E2721">
        <v>0.4977779</v>
      </c>
      <c r="F2721" t="s">
        <v>52</v>
      </c>
      <c r="G2721">
        <v>-242.1035</v>
      </c>
      <c r="H2721" s="1">
        <v>-4.1739919999999998E-7</v>
      </c>
      <c r="I2721">
        <v>283.24790000000002</v>
      </c>
      <c r="J2721">
        <v>-207.46340000000001</v>
      </c>
      <c r="K2721">
        <v>1.1212819999999999</v>
      </c>
      <c r="L2721">
        <v>283.899</v>
      </c>
      <c r="M2721">
        <v>-0.9971082</v>
      </c>
      <c r="N2721">
        <v>-1.199973E-2</v>
      </c>
      <c r="O2721">
        <v>-7.5041930000000007E-2</v>
      </c>
      <c r="P2721">
        <v>-0.9959595</v>
      </c>
      <c r="Q2721">
        <v>8.832023E-2</v>
      </c>
      <c r="R2721">
        <v>-1.6256130000000001E-2</v>
      </c>
      <c r="S2721">
        <v>-3.020248</v>
      </c>
      <c r="T2721">
        <v>-9.7639080000000003E-2</v>
      </c>
      <c r="U2721">
        <v>-5.6762699999999902E-2</v>
      </c>
      <c r="V2721">
        <v>5.8584890000000001E-2</v>
      </c>
      <c r="W2721">
        <v>0.100216</v>
      </c>
      <c r="X2721">
        <v>0.99323939999999999</v>
      </c>
      <c r="Y2721">
        <v>5.624067E-2</v>
      </c>
      <c r="Z2721">
        <v>2.768258E-3</v>
      </c>
      <c r="AA2721">
        <v>0.99841340000000001</v>
      </c>
      <c r="AB2721">
        <v>7</v>
      </c>
      <c r="AC2721">
        <v>-34.640099999999897</v>
      </c>
      <c r="AD2721">
        <v>-1.1212824173992</v>
      </c>
      <c r="AE2721">
        <v>-0.65109999999998502</v>
      </c>
      <c r="AF2721">
        <v>1.94834246955062</v>
      </c>
      <c r="AG2721">
        <v>-1.1212824173992</v>
      </c>
      <c r="AH2721">
        <v>34.555083815146801</v>
      </c>
      <c r="AI2721">
        <v>91.855600900591497</v>
      </c>
      <c r="AJ2721">
        <v>86.772870545372299</v>
      </c>
      <c r="AK2721">
        <v>34.628126286445799</v>
      </c>
      <c r="AL2721">
        <v>84.248390982917201</v>
      </c>
      <c r="AM2721">
        <v>86.624396544211507</v>
      </c>
      <c r="AN2721">
        <v>0.99999997085233505</v>
      </c>
    </row>
    <row r="2722" spans="1:40" x14ac:dyDescent="0.25">
      <c r="A2722" t="str">
        <f>"20190303161928882"</f>
        <v>20190303161928882</v>
      </c>
      <c r="B2722" t="str">
        <f>"1551601168875272"</f>
        <v>1551601168875272</v>
      </c>
      <c r="C2722" t="s">
        <v>40</v>
      </c>
      <c r="D2722">
        <v>5.3215879999999904</v>
      </c>
      <c r="E2722">
        <v>0.49798310000000001</v>
      </c>
      <c r="F2722" t="s">
        <v>52</v>
      </c>
      <c r="G2722">
        <v>-240.40049999999999</v>
      </c>
      <c r="H2722" s="1">
        <v>-1.3236379999999999E-6</v>
      </c>
      <c r="I2722">
        <v>283.2894</v>
      </c>
      <c r="J2722">
        <v>-207.52330000000001</v>
      </c>
      <c r="K2722">
        <v>1.1213759999999999</v>
      </c>
      <c r="L2722">
        <v>283.89800000000002</v>
      </c>
      <c r="M2722">
        <v>-0.99731930000000002</v>
      </c>
      <c r="N2722">
        <v>-1.197179E-2</v>
      </c>
      <c r="O2722">
        <v>-7.2186479999999997E-2</v>
      </c>
      <c r="P2722">
        <v>-0.99602429999999997</v>
      </c>
      <c r="Q2722">
        <v>8.7379600000000002E-2</v>
      </c>
      <c r="R2722">
        <v>-1.7335900000000001E-2</v>
      </c>
      <c r="S2722">
        <v>-3.0203700000000002</v>
      </c>
      <c r="T2722">
        <v>-0.10282289999999999</v>
      </c>
      <c r="U2722">
        <v>-5.5908199999999998E-2</v>
      </c>
      <c r="V2722">
        <v>5.4637520000000002E-2</v>
      </c>
      <c r="W2722">
        <v>9.9268529999999994E-2</v>
      </c>
      <c r="X2722">
        <v>0.99355950000000004</v>
      </c>
      <c r="Y2722">
        <v>5.3660869999999999E-2</v>
      </c>
      <c r="Z2722">
        <v>2.8242359999999999E-3</v>
      </c>
      <c r="AA2722">
        <v>0.99855519999999998</v>
      </c>
      <c r="AB2722">
        <v>7</v>
      </c>
      <c r="AC2722">
        <v>-32.877199999999903</v>
      </c>
      <c r="AD2722">
        <v>-1.121377323638</v>
      </c>
      <c r="AE2722">
        <v>-0.60859999999996695</v>
      </c>
      <c r="AF2722">
        <v>1.7643954848012</v>
      </c>
      <c r="AG2722">
        <v>-1.121377323638</v>
      </c>
      <c r="AH2722">
        <v>32.797210073435998</v>
      </c>
      <c r="AI2722">
        <v>91.955425584851497</v>
      </c>
      <c r="AJ2722">
        <v>86.920620425526494</v>
      </c>
      <c r="AK2722">
        <v>32.863772868157596</v>
      </c>
      <c r="AL2722">
        <v>84.302949191888203</v>
      </c>
      <c r="AM2722">
        <v>86.852378363846498</v>
      </c>
      <c r="AN2722">
        <v>0.99999998984018001</v>
      </c>
    </row>
    <row r="2723" spans="1:40" x14ac:dyDescent="0.25">
      <c r="A2723" t="str">
        <f>"20190303161928896"</f>
        <v>20190303161928896</v>
      </c>
      <c r="B2723" t="str">
        <f>"1551601168885032"</f>
        <v>1551601168885032</v>
      </c>
      <c r="C2723" t="s">
        <v>40</v>
      </c>
      <c r="D2723">
        <v>5.1366430000000003</v>
      </c>
      <c r="E2723">
        <v>0.49798249999999999</v>
      </c>
      <c r="F2723" t="s">
        <v>52</v>
      </c>
      <c r="G2723">
        <v>-238.68100000000001</v>
      </c>
      <c r="H2723" s="1">
        <v>3.140078E-6</v>
      </c>
      <c r="I2723">
        <v>283.30650000000003</v>
      </c>
      <c r="J2723">
        <v>-207.56829999999999</v>
      </c>
      <c r="K2723">
        <v>1.121467</v>
      </c>
      <c r="L2723">
        <v>283.8972</v>
      </c>
      <c r="M2723">
        <v>-0.99746000000000001</v>
      </c>
      <c r="N2723">
        <v>-1.1950880000000001E-2</v>
      </c>
      <c r="O2723">
        <v>-7.0218829999999996E-2</v>
      </c>
      <c r="P2723">
        <v>-0.99600480000000002</v>
      </c>
      <c r="Q2723">
        <v>8.7743100000000004E-2</v>
      </c>
      <c r="R2723">
        <v>-1.6607630000000002E-2</v>
      </c>
      <c r="S2723">
        <v>-3.020508</v>
      </c>
      <c r="T2723">
        <v>-0.1087086</v>
      </c>
      <c r="U2723">
        <v>-5.7342530000000003E-2</v>
      </c>
      <c r="V2723">
        <v>5.3377210000000001E-2</v>
      </c>
      <c r="W2723">
        <v>9.9624389999999993E-2</v>
      </c>
      <c r="X2723">
        <v>0.99359240000000004</v>
      </c>
      <c r="Y2723">
        <v>5.1212729999999998E-2</v>
      </c>
      <c r="Z2723">
        <v>2.9119380000000002E-3</v>
      </c>
      <c r="AA2723">
        <v>0.99868349999999995</v>
      </c>
      <c r="AB2723">
        <v>7</v>
      </c>
      <c r="AC2723">
        <v>-31.112699999999901</v>
      </c>
      <c r="AD2723">
        <v>-1.1214638599219999</v>
      </c>
      <c r="AE2723">
        <v>-0.59069999999996903</v>
      </c>
      <c r="AF2723">
        <v>1.59354207707664</v>
      </c>
      <c r="AG2723">
        <v>-1.1214638599219999</v>
      </c>
      <c r="AH2723">
        <v>31.037061409965801</v>
      </c>
      <c r="AI2723">
        <v>92.066651483773299</v>
      </c>
      <c r="AJ2723">
        <v>87.060832143420896</v>
      </c>
      <c r="AK2723">
        <v>31.098170983299202</v>
      </c>
      <c r="AL2723">
        <v>84.282458407362498</v>
      </c>
      <c r="AM2723">
        <v>86.924944400933498</v>
      </c>
      <c r="AN2723">
        <v>1.000000001484</v>
      </c>
    </row>
    <row r="2724" spans="1:40" x14ac:dyDescent="0.25">
      <c r="A2724" t="str">
        <f>"20190303161928916"</f>
        <v>20190303161928916</v>
      </c>
      <c r="B2724" t="str">
        <f>"1551601168905527"</f>
        <v>1551601168905527</v>
      </c>
      <c r="C2724" t="s">
        <v>40</v>
      </c>
      <c r="D2724">
        <v>5.3271189999999997</v>
      </c>
      <c r="E2724">
        <v>0.49798599999999998</v>
      </c>
      <c r="F2724" t="s">
        <v>52</v>
      </c>
      <c r="G2724">
        <v>-238.4153</v>
      </c>
      <c r="H2724" s="1">
        <v>2.9975659999999998E-6</v>
      </c>
      <c r="I2724">
        <v>283.33120000000002</v>
      </c>
      <c r="J2724">
        <v>-207.62989999999999</v>
      </c>
      <c r="K2724">
        <v>1.121591</v>
      </c>
      <c r="L2724">
        <v>283.89580000000001</v>
      </c>
      <c r="M2724">
        <v>-0.9976313</v>
      </c>
      <c r="N2724">
        <v>-1.1923339999999999E-2</v>
      </c>
      <c r="O2724">
        <v>-6.7748139999999998E-2</v>
      </c>
      <c r="P2724">
        <v>-0.99608269999999999</v>
      </c>
      <c r="Q2724">
        <v>8.7012190000000003E-2</v>
      </c>
      <c r="R2724">
        <v>-1.5759160000000001E-2</v>
      </c>
      <c r="S2724">
        <v>-3.0207820000000001</v>
      </c>
      <c r="T2724">
        <v>-0.1098229</v>
      </c>
      <c r="U2724">
        <v>-5.5419919999999998E-2</v>
      </c>
      <c r="V2724">
        <v>5.173208E-2</v>
      </c>
      <c r="W2724">
        <v>9.8884659999999999E-2</v>
      </c>
      <c r="X2724">
        <v>0.99375329999999995</v>
      </c>
      <c r="Y2724">
        <v>4.9377129999999998E-2</v>
      </c>
      <c r="Z2724">
        <v>2.8437950000000001E-3</v>
      </c>
      <c r="AA2724">
        <v>0.99877609999999994</v>
      </c>
      <c r="AB2724">
        <v>7</v>
      </c>
      <c r="AC2724">
        <v>-30.785399999999999</v>
      </c>
      <c r="AD2724">
        <v>-1.1215880024339999</v>
      </c>
      <c r="AE2724">
        <v>-0.564599999999984</v>
      </c>
      <c r="AF2724">
        <v>1.52048154848115</v>
      </c>
      <c r="AG2724">
        <v>-1.1215880024339999</v>
      </c>
      <c r="AH2724">
        <v>30.712161133980601</v>
      </c>
      <c r="AI2724">
        <v>92.088918762738402</v>
      </c>
      <c r="AJ2724">
        <v>87.165744695813402</v>
      </c>
      <c r="AK2724">
        <v>30.7702236798185</v>
      </c>
      <c r="AL2724">
        <v>84.325052146575302</v>
      </c>
      <c r="AM2724">
        <v>87.020028282566798</v>
      </c>
      <c r="AN2724">
        <v>1.0000000026726601</v>
      </c>
    </row>
    <row r="2725" spans="1:40" x14ac:dyDescent="0.25">
      <c r="A2725" t="str">
        <f>"20190303161928939"</f>
        <v>20190303161928939</v>
      </c>
      <c r="B2725" t="str">
        <f>"1551601168925047"</f>
        <v>1551601168925047</v>
      </c>
      <c r="C2725" t="s">
        <v>40</v>
      </c>
      <c r="D2725">
        <v>5.3284019999999996</v>
      </c>
      <c r="E2725">
        <v>0.4978437</v>
      </c>
      <c r="F2725" t="s">
        <v>52</v>
      </c>
      <c r="G2725">
        <v>-237.17599999999999</v>
      </c>
      <c r="H2725" s="1">
        <v>2.3361209999999999E-6</v>
      </c>
      <c r="I2725">
        <v>283.37650000000002</v>
      </c>
      <c r="J2725">
        <v>-207.708</v>
      </c>
      <c r="K2725">
        <v>1.1217469999999901</v>
      </c>
      <c r="L2725">
        <v>283.89389999999997</v>
      </c>
      <c r="M2725">
        <v>-0.99781399999999998</v>
      </c>
      <c r="N2725">
        <v>-1.1891560000000001E-2</v>
      </c>
      <c r="O2725">
        <v>-6.5006709999999995E-2</v>
      </c>
      <c r="P2725">
        <v>-0.99633879999999997</v>
      </c>
      <c r="Q2725">
        <v>8.3688330000000005E-2</v>
      </c>
      <c r="R2725">
        <v>-1.7474650000000001E-2</v>
      </c>
      <c r="S2725">
        <v>-3.0209809999999999</v>
      </c>
      <c r="T2725">
        <v>-0.1146783</v>
      </c>
      <c r="U2725">
        <v>-5.3100590000000003E-2</v>
      </c>
      <c r="V2725">
        <v>4.7265870000000001E-2</v>
      </c>
      <c r="W2725">
        <v>9.5553620000000006E-2</v>
      </c>
      <c r="X2725">
        <v>0.99430149999999995</v>
      </c>
      <c r="Y2725">
        <v>4.7397080000000001E-2</v>
      </c>
      <c r="Z2725">
        <v>2.8728249999999999E-3</v>
      </c>
      <c r="AA2725">
        <v>0.99887199999999998</v>
      </c>
      <c r="AB2725">
        <v>7</v>
      </c>
      <c r="AC2725">
        <v>-29.4679999999999</v>
      </c>
      <c r="AD2725">
        <v>-1.1217446638789901</v>
      </c>
      <c r="AE2725">
        <v>-0.51739999999995201</v>
      </c>
      <c r="AF2725">
        <v>1.39742334771696</v>
      </c>
      <c r="AG2725">
        <v>-1.1217446638789901</v>
      </c>
      <c r="AH2725">
        <v>29.396713599405398</v>
      </c>
      <c r="AI2725">
        <v>92.182818051273799</v>
      </c>
      <c r="AJ2725">
        <v>87.278395368999398</v>
      </c>
      <c r="AK2725">
        <v>29.451279658941001</v>
      </c>
      <c r="AL2725">
        <v>84.516815219348103</v>
      </c>
      <c r="AM2725">
        <v>87.278393192879705</v>
      </c>
      <c r="AN2725">
        <v>1.0000000148321</v>
      </c>
    </row>
    <row r="2726" spans="1:40" x14ac:dyDescent="0.25">
      <c r="A2726" t="str">
        <f>"20190303161928963"</f>
        <v>20190303161928963</v>
      </c>
      <c r="B2726" t="str">
        <f>"1551601168955303"</f>
        <v>1551601168955303</v>
      </c>
      <c r="C2726" t="s">
        <v>40</v>
      </c>
      <c r="D2726">
        <v>5.3250089999999997</v>
      </c>
      <c r="E2726">
        <v>0.49778709999999998</v>
      </c>
      <c r="F2726" t="s">
        <v>52</v>
      </c>
      <c r="G2726">
        <v>-234.16409999999999</v>
      </c>
      <c r="H2726" s="1">
        <v>7.3336529999999995E-7</v>
      </c>
      <c r="I2726">
        <v>283.37619999999998</v>
      </c>
      <c r="J2726">
        <v>-207.77969999999999</v>
      </c>
      <c r="K2726">
        <v>1.1218549999999901</v>
      </c>
      <c r="L2726">
        <v>283.89179999999999</v>
      </c>
      <c r="M2726">
        <v>-0.99795040000000002</v>
      </c>
      <c r="N2726">
        <v>-1.186678E-2</v>
      </c>
      <c r="O2726">
        <v>-6.2882740000000006E-2</v>
      </c>
      <c r="P2726">
        <v>-0.9964923</v>
      </c>
      <c r="Q2726">
        <v>8.0957089999999995E-2</v>
      </c>
      <c r="R2726">
        <v>-2.1194020000000001E-2</v>
      </c>
      <c r="S2726">
        <v>-3.0207670000000002</v>
      </c>
      <c r="T2726">
        <v>-0.12808139999999901</v>
      </c>
      <c r="U2726">
        <v>-5.911255E-2</v>
      </c>
      <c r="V2726">
        <v>4.1418339999999998E-2</v>
      </c>
      <c r="W2726">
        <v>9.2812110000000003E-2</v>
      </c>
      <c r="X2726">
        <v>0.99482179999999998</v>
      </c>
      <c r="Y2726">
        <v>4.3269950000000001E-2</v>
      </c>
      <c r="Z2726">
        <v>3.090401E-3</v>
      </c>
      <c r="AA2726">
        <v>0.99905869999999997</v>
      </c>
      <c r="AB2726">
        <v>7</v>
      </c>
      <c r="AC2726">
        <v>-26.384399999999999</v>
      </c>
      <c r="AD2726">
        <v>-1.12185426663469</v>
      </c>
      <c r="AE2726">
        <v>-0.51560000000000605</v>
      </c>
      <c r="AF2726">
        <v>1.14259577361348</v>
      </c>
      <c r="AG2726">
        <v>-1.12185426663469</v>
      </c>
      <c r="AH2726">
        <v>26.317039626735799</v>
      </c>
      <c r="AI2726">
        <v>92.438657118838705</v>
      </c>
      <c r="AJ2726">
        <v>87.513974652634303</v>
      </c>
      <c r="AK2726">
        <v>26.365709867413599</v>
      </c>
      <c r="AL2726">
        <v>84.674593427111304</v>
      </c>
      <c r="AM2726">
        <v>87.6159284623172</v>
      </c>
      <c r="AN2726">
        <v>0.99999999020312302</v>
      </c>
    </row>
    <row r="2727" spans="1:40" x14ac:dyDescent="0.25">
      <c r="A2727" t="str">
        <f>"20190303161928983"</f>
        <v>20190303161928983</v>
      </c>
      <c r="B2727" t="str">
        <f>"1551601168974824"</f>
        <v>1551601168974824</v>
      </c>
      <c r="C2727" t="s">
        <v>40</v>
      </c>
      <c r="D2727">
        <v>5.327572</v>
      </c>
      <c r="E2727">
        <v>0.49776609999999999</v>
      </c>
      <c r="F2727" t="s">
        <v>52</v>
      </c>
      <c r="G2727">
        <v>-231.97399999999999</v>
      </c>
      <c r="H2727" s="1">
        <v>-4.3007149999999997E-7</v>
      </c>
      <c r="I2727">
        <v>283.32960000000003</v>
      </c>
      <c r="J2727">
        <v>-207.8486</v>
      </c>
      <c r="K2727">
        <v>1.12195</v>
      </c>
      <c r="L2727">
        <v>283.8895</v>
      </c>
      <c r="M2727">
        <v>-0.99805460000000001</v>
      </c>
      <c r="N2727">
        <v>-1.184723E-2</v>
      </c>
      <c r="O2727">
        <v>-6.1210220000000003E-2</v>
      </c>
      <c r="P2727">
        <v>-0.99635469999999904</v>
      </c>
      <c r="Q2727">
        <v>8.1891249999999999E-2</v>
      </c>
      <c r="R2727">
        <v>-2.3902130000000001E-2</v>
      </c>
      <c r="S2727">
        <v>-3.0204469999999999</v>
      </c>
      <c r="T2727">
        <v>-0.14005399999999901</v>
      </c>
      <c r="U2727">
        <v>-7.0190429999999998E-2</v>
      </c>
      <c r="V2727">
        <v>3.7014079999999998E-2</v>
      </c>
      <c r="W2727">
        <v>9.3732190000000007E-2</v>
      </c>
      <c r="X2727">
        <v>0.99490919999999905</v>
      </c>
      <c r="Y2727">
        <v>3.7921940000000001E-2</v>
      </c>
      <c r="Z2727">
        <v>3.2126429999999998E-3</v>
      </c>
      <c r="AA2727">
        <v>0.99927560000000004</v>
      </c>
      <c r="AB2727">
        <v>7</v>
      </c>
      <c r="AC2727">
        <v>-24.125399999999999</v>
      </c>
      <c r="AD2727">
        <v>-1.1219504300715</v>
      </c>
      <c r="AE2727">
        <v>-0.55989999999996998</v>
      </c>
      <c r="AF2727">
        <v>0.91599471589214199</v>
      </c>
      <c r="AG2727">
        <v>-1.1219504300715</v>
      </c>
      <c r="AH2727">
        <v>24.0624180110478</v>
      </c>
      <c r="AI2727">
        <v>92.667648551966295</v>
      </c>
      <c r="AJ2727">
        <v>87.819948856173596</v>
      </c>
      <c r="AK2727">
        <v>24.105969792262599</v>
      </c>
      <c r="AL2727">
        <v>84.621646180618598</v>
      </c>
      <c r="AM2727">
        <v>87.869380506589096</v>
      </c>
      <c r="AN2727">
        <v>1.00000004090254</v>
      </c>
    </row>
    <row r="2728" spans="1:40" x14ac:dyDescent="0.25">
      <c r="A2728" t="str">
        <f>"20190303161929008"</f>
        <v>20190303161929008</v>
      </c>
      <c r="B2728" t="str">
        <f>"1551601168995320"</f>
        <v>1551601168995320</v>
      </c>
      <c r="C2728" t="s">
        <v>40</v>
      </c>
      <c r="D2728">
        <v>5.3259089999999896</v>
      </c>
      <c r="E2728">
        <v>0.4978185</v>
      </c>
      <c r="F2728" t="s">
        <v>52</v>
      </c>
      <c r="G2728">
        <v>-232.34549999999999</v>
      </c>
      <c r="H2728" s="1">
        <v>-2.290531E-7</v>
      </c>
      <c r="I2728">
        <v>283.2534</v>
      </c>
      <c r="J2728">
        <v>-207.9254</v>
      </c>
      <c r="K2728">
        <v>1.122058</v>
      </c>
      <c r="L2728">
        <v>283.88659999999999</v>
      </c>
      <c r="M2728">
        <v>-0.99814040000000004</v>
      </c>
      <c r="N2728">
        <v>-1.183033E-2</v>
      </c>
      <c r="O2728">
        <v>-5.9798440000000001E-2</v>
      </c>
      <c r="P2728">
        <v>-0.99604700000000002</v>
      </c>
      <c r="Q2728">
        <v>8.4774230000000006E-2</v>
      </c>
      <c r="R2728">
        <v>-2.6524829999999999E-2</v>
      </c>
      <c r="S2728">
        <v>-3.0204770000000001</v>
      </c>
      <c r="T2728">
        <v>-0.13833699999999999</v>
      </c>
      <c r="U2728">
        <v>-7.8430180000000002E-2</v>
      </c>
      <c r="V2728">
        <v>3.2941449999999997E-2</v>
      </c>
      <c r="W2728">
        <v>9.6600169999999999E-2</v>
      </c>
      <c r="X2728">
        <v>0.99477800000000005</v>
      </c>
      <c r="Y2728">
        <v>3.3792610000000001E-2</v>
      </c>
      <c r="Z2728">
        <v>3.000951E-3</v>
      </c>
      <c r="AA2728">
        <v>0.99942430000000004</v>
      </c>
      <c r="AB2728">
        <v>7</v>
      </c>
      <c r="AC2728">
        <v>-24.420099999999898</v>
      </c>
      <c r="AD2728">
        <v>-1.1220582290531</v>
      </c>
      <c r="AE2728">
        <v>-0.633199999999987</v>
      </c>
      <c r="AF2728">
        <v>0.82657540179434497</v>
      </c>
      <c r="AG2728">
        <v>-1.1220582290531</v>
      </c>
      <c r="AH2728">
        <v>24.3628593665821</v>
      </c>
      <c r="AI2728">
        <v>92.635442358085498</v>
      </c>
      <c r="AJ2728">
        <v>88.056832236461901</v>
      </c>
      <c r="AK2728">
        <v>24.402687517568499</v>
      </c>
      <c r="AL2728">
        <v>84.456573557677004</v>
      </c>
      <c r="AM2728">
        <v>88.103379222453597</v>
      </c>
      <c r="AN2728">
        <v>1.00000000062806</v>
      </c>
    </row>
    <row r="2729" spans="1:40" x14ac:dyDescent="0.25">
      <c r="A2729" t="str">
        <f>"20190303161929028"</f>
        <v>20190303161929028</v>
      </c>
      <c r="B2729" t="str">
        <f>"1551601169014840"</f>
        <v>1551601169014840</v>
      </c>
      <c r="C2729" t="s">
        <v>40</v>
      </c>
      <c r="D2729">
        <v>5.0569430000000004</v>
      </c>
      <c r="E2729">
        <v>0.49785950000000001</v>
      </c>
      <c r="F2729" t="s">
        <v>52</v>
      </c>
      <c r="G2729">
        <v>-233.9426</v>
      </c>
      <c r="H2729" s="1">
        <v>6.2569989999999995E-7</v>
      </c>
      <c r="I2729">
        <v>283.14269999999999</v>
      </c>
      <c r="J2729">
        <v>-207.99</v>
      </c>
      <c r="K2729">
        <v>1.1221399999999999</v>
      </c>
      <c r="L2729">
        <v>283.88380000000001</v>
      </c>
      <c r="M2729">
        <v>-0.99819139999999995</v>
      </c>
      <c r="N2729">
        <v>-1.1820249999999999E-2</v>
      </c>
      <c r="O2729">
        <v>-5.894282E-2</v>
      </c>
      <c r="P2729">
        <v>-0.99567720000000004</v>
      </c>
      <c r="Q2729">
        <v>8.7036009999999997E-2</v>
      </c>
      <c r="R2729">
        <v>-3.243385E-2</v>
      </c>
      <c r="S2729">
        <v>-3.0206909999999998</v>
      </c>
      <c r="T2729">
        <v>-0.1302748</v>
      </c>
      <c r="U2729">
        <v>-8.6364750000000004E-2</v>
      </c>
      <c r="V2729">
        <v>2.6145169999999999E-2</v>
      </c>
      <c r="W2729">
        <v>9.8846240000000002E-2</v>
      </c>
      <c r="X2729">
        <v>0.99475919999999896</v>
      </c>
      <c r="Y2729">
        <v>3.0328509999999999E-2</v>
      </c>
      <c r="Z2729">
        <v>2.6748520000000001E-3</v>
      </c>
      <c r="AA2729">
        <v>0.99953639999999999</v>
      </c>
      <c r="AB2729">
        <v>7</v>
      </c>
      <c r="AC2729">
        <v>-25.952599999999901</v>
      </c>
      <c r="AD2729">
        <v>-1.1221393743001</v>
      </c>
      <c r="AE2729">
        <v>-0.74110000000001697</v>
      </c>
      <c r="AF2729">
        <v>0.78854195784482295</v>
      </c>
      <c r="AG2729">
        <v>-1.1221393743001</v>
      </c>
      <c r="AH2729">
        <v>25.902770566489</v>
      </c>
      <c r="AI2729">
        <v>92.479424322772502</v>
      </c>
      <c r="AJ2729">
        <v>88.256318679381096</v>
      </c>
      <c r="AK2729">
        <v>25.939053919038901</v>
      </c>
      <c r="AL2729">
        <v>84.327264315767195</v>
      </c>
      <c r="AM2729">
        <v>88.494446594222893</v>
      </c>
      <c r="AN2729">
        <v>1.00000000753055</v>
      </c>
    </row>
    <row r="2730" spans="1:40" x14ac:dyDescent="0.25">
      <c r="A2730" t="str">
        <f>"20190303161929050"</f>
        <v>20190303161929050</v>
      </c>
      <c r="B2730" t="str">
        <f>"1551601169035336"</f>
        <v>1551601169035336</v>
      </c>
      <c r="C2730" t="s">
        <v>40</v>
      </c>
      <c r="D2730">
        <v>5.0092049999999997</v>
      </c>
      <c r="E2730">
        <v>0.50182539999999998</v>
      </c>
      <c r="F2730" t="s">
        <v>52</v>
      </c>
      <c r="G2730">
        <v>-236.0102</v>
      </c>
      <c r="H2730" s="1">
        <v>1.735255E-6</v>
      </c>
      <c r="I2730">
        <v>282.93020000000001</v>
      </c>
      <c r="J2730">
        <v>-208.05959999999999</v>
      </c>
      <c r="K2730">
        <v>1.1222080000000001</v>
      </c>
      <c r="L2730">
        <v>283.88040000000001</v>
      </c>
      <c r="M2730">
        <v>-0.99822929999999999</v>
      </c>
      <c r="N2730">
        <v>-1.1813850000000001E-2</v>
      </c>
      <c r="O2730">
        <v>-5.8300200000000003E-2</v>
      </c>
      <c r="P2730">
        <v>-0.99536029999999998</v>
      </c>
      <c r="Q2730">
        <v>8.7497519999999995E-2</v>
      </c>
      <c r="R2730">
        <v>-4.0034819999999999E-2</v>
      </c>
      <c r="S2730">
        <v>-3.0202330000000002</v>
      </c>
      <c r="T2730">
        <v>-0.12095259999999999</v>
      </c>
      <c r="U2730">
        <v>-0.10278320000000001</v>
      </c>
      <c r="V2730">
        <v>1.788381E-2</v>
      </c>
      <c r="W2730">
        <v>9.9291320000000002E-2</v>
      </c>
      <c r="X2730">
        <v>0.9948977</v>
      </c>
      <c r="Y2730">
        <v>2.4268229999999998E-2</v>
      </c>
      <c r="Z2730">
        <v>2.2718249999999999E-3</v>
      </c>
      <c r="AA2730">
        <v>0.99970289999999995</v>
      </c>
      <c r="AB2730">
        <v>7</v>
      </c>
      <c r="AC2730">
        <v>-27.950600000000001</v>
      </c>
      <c r="AD2730">
        <v>-1.122206264745</v>
      </c>
      <c r="AE2730">
        <v>-0.95019999999999505</v>
      </c>
      <c r="AF2730">
        <v>0.67996071739475195</v>
      </c>
      <c r="AG2730">
        <v>-1.122206264745</v>
      </c>
      <c r="AH2730">
        <v>27.913508380933202</v>
      </c>
      <c r="AI2730">
        <v>92.301539343809296</v>
      </c>
      <c r="AJ2730">
        <v>88.604576119881102</v>
      </c>
      <c r="AK2730">
        <v>27.944331153388902</v>
      </c>
      <c r="AL2730">
        <v>84.301637082779706</v>
      </c>
      <c r="AM2730">
        <v>88.970189103152606</v>
      </c>
      <c r="AN2730">
        <v>1.0000000151763699</v>
      </c>
    </row>
    <row r="2731" spans="1:40" x14ac:dyDescent="0.25">
      <c r="A2731" t="str">
        <f>"20190303161929072"</f>
        <v>20190303161929072</v>
      </c>
      <c r="B2731" t="str">
        <f>"1551601169065592"</f>
        <v>1551601169065592</v>
      </c>
      <c r="C2731" t="s">
        <v>40</v>
      </c>
      <c r="D2731">
        <v>4.9609100000000002</v>
      </c>
      <c r="E2731">
        <v>0.5025212</v>
      </c>
      <c r="F2731" t="s">
        <v>52</v>
      </c>
      <c r="G2731">
        <v>-341.69110000000001</v>
      </c>
      <c r="H2731" s="1">
        <v>-6.3688799999999998E-7</v>
      </c>
      <c r="I2731">
        <v>279.64580000000001</v>
      </c>
      <c r="J2731">
        <v>-208.1309</v>
      </c>
      <c r="K2731">
        <v>1.1222460000000001</v>
      </c>
      <c r="L2731">
        <v>283.87670000000003</v>
      </c>
      <c r="M2731">
        <v>-0.99825240000000004</v>
      </c>
      <c r="N2731">
        <v>-1.181127E-2</v>
      </c>
      <c r="O2731">
        <v>-5.7902160000000001E-2</v>
      </c>
      <c r="P2731">
        <v>-0.99504150000000002</v>
      </c>
      <c r="Q2731">
        <v>8.8097690000000006E-2</v>
      </c>
      <c r="R2731">
        <v>-4.6167670000000001E-2</v>
      </c>
      <c r="S2731">
        <v>-3.0123600000000001</v>
      </c>
      <c r="T2731">
        <v>-2.5297159999999999E-2</v>
      </c>
      <c r="U2731">
        <v>-9.5458979999999999E-2</v>
      </c>
      <c r="V2731">
        <v>1.133935E-2</v>
      </c>
      <c r="W2731">
        <v>9.9878229999999998E-2</v>
      </c>
      <c r="X2731">
        <v>0.99493500000000001</v>
      </c>
      <c r="Y2731">
        <v>2.6254530000000002E-2</v>
      </c>
      <c r="Z2731" s="1">
        <v>6.6916049999999998E-5</v>
      </c>
      <c r="AA2731">
        <v>0.99965530000000002</v>
      </c>
      <c r="AB2731">
        <v>7</v>
      </c>
      <c r="AC2731">
        <v>-133.56020000000001</v>
      </c>
      <c r="AD2731">
        <v>-1.12224663688799</v>
      </c>
      <c r="AE2731">
        <v>-4.2309000000000196</v>
      </c>
      <c r="AF2731">
        <v>3.509915246526</v>
      </c>
      <c r="AG2731">
        <v>-1.12224663688799</v>
      </c>
      <c r="AH2731">
        <v>133.57166400569901</v>
      </c>
      <c r="AI2731">
        <v>90.481212065817601</v>
      </c>
      <c r="AJ2731">
        <v>88.494762617811205</v>
      </c>
      <c r="AK2731">
        <v>133.622484514408</v>
      </c>
      <c r="AL2731">
        <v>84.267841235741599</v>
      </c>
      <c r="AM2731">
        <v>89.3470239069092</v>
      </c>
      <c r="AN2731">
        <v>0.99999994795567604</v>
      </c>
    </row>
    <row r="2732" spans="1:40" x14ac:dyDescent="0.25">
      <c r="A2732" t="str">
        <f>"20190303161929089"</f>
        <v>20190303161929089</v>
      </c>
      <c r="B2732" t="str">
        <f>"1551601169075352"</f>
        <v>1551601169075352</v>
      </c>
      <c r="C2732" t="s">
        <v>40</v>
      </c>
      <c r="D2732">
        <v>4.9478549999999997</v>
      </c>
      <c r="E2732">
        <v>0.50290100000000004</v>
      </c>
      <c r="F2732" t="s">
        <v>52</v>
      </c>
      <c r="G2732">
        <v>-326.50659999999999</v>
      </c>
      <c r="H2732" s="1">
        <v>2.142729E-6</v>
      </c>
      <c r="I2732">
        <v>279.6508</v>
      </c>
      <c r="J2732">
        <v>-208.1807</v>
      </c>
      <c r="K2732">
        <v>1.122255</v>
      </c>
      <c r="L2732">
        <v>283.87400000000002</v>
      </c>
      <c r="M2732">
        <v>-0.99826090000000001</v>
      </c>
      <c r="N2732">
        <v>-1.181105E-2</v>
      </c>
      <c r="O2732">
        <v>-5.7756839999999997E-2</v>
      </c>
      <c r="P2732">
        <v>-0.99494910000000003</v>
      </c>
      <c r="Q2732">
        <v>8.8081439999999997E-2</v>
      </c>
      <c r="R2732">
        <v>-4.8148749999999997E-2</v>
      </c>
      <c r="S2732">
        <v>-3.0124970000000002</v>
      </c>
      <c r="T2732">
        <v>-2.8559569999999999E-2</v>
      </c>
      <c r="U2732">
        <v>-0.107543899999999</v>
      </c>
      <c r="V2732">
        <v>9.2114069999999996E-3</v>
      </c>
      <c r="W2732">
        <v>9.9857349999999998E-2</v>
      </c>
      <c r="X2732">
        <v>0.99495909999999999</v>
      </c>
      <c r="Y2732">
        <v>2.2104720000000001E-2</v>
      </c>
      <c r="Z2732" s="1">
        <v>9.9896839999999998E-5</v>
      </c>
      <c r="AA2732">
        <v>0.99975570000000002</v>
      </c>
      <c r="AB2732">
        <v>7</v>
      </c>
      <c r="AC2732">
        <v>-118.3259</v>
      </c>
      <c r="AD2732">
        <v>-1.122252857271</v>
      </c>
      <c r="AE2732">
        <v>-4.2232000000000198</v>
      </c>
      <c r="AF2732">
        <v>2.6182218326224</v>
      </c>
      <c r="AG2732">
        <v>-1.122252857271</v>
      </c>
      <c r="AH2732">
        <v>118.36165079931899</v>
      </c>
      <c r="AI2732">
        <v>90.543104127127407</v>
      </c>
      <c r="AJ2732">
        <v>88.732793949769501</v>
      </c>
      <c r="AK2732">
        <v>118.395924410346</v>
      </c>
      <c r="AL2732">
        <v>84.269043741055199</v>
      </c>
      <c r="AM2732">
        <v>89.469566471243496</v>
      </c>
      <c r="AN2732">
        <v>0.99999997552037501</v>
      </c>
    </row>
    <row r="2733" spans="1:40" x14ac:dyDescent="0.25">
      <c r="A2733" t="str">
        <f>"20190303161929106"</f>
        <v>20190303161929106</v>
      </c>
      <c r="B2733" t="str">
        <f>"1551601169094872"</f>
        <v>1551601169094872</v>
      </c>
      <c r="C2733" t="s">
        <v>40</v>
      </c>
      <c r="D2733">
        <v>4.8849210000000003</v>
      </c>
      <c r="E2733">
        <v>0.50333969999999995</v>
      </c>
      <c r="F2733" t="s">
        <v>52</v>
      </c>
      <c r="G2733">
        <v>-321.00450000000001</v>
      </c>
      <c r="H2733" s="1">
        <v>-7.8957180000000001E-7</v>
      </c>
      <c r="I2733">
        <v>279.75040000000001</v>
      </c>
      <c r="J2733">
        <v>-208.23779999999999</v>
      </c>
      <c r="K2733">
        <v>1.1222490000000001</v>
      </c>
      <c r="L2733">
        <v>283.8707</v>
      </c>
      <c r="M2733">
        <v>-0.99826280000000001</v>
      </c>
      <c r="N2733">
        <v>-1.181224E-2</v>
      </c>
      <c r="O2733">
        <v>-5.7724749999999998E-2</v>
      </c>
      <c r="P2733">
        <v>-0.99475089999999999</v>
      </c>
      <c r="Q2733">
        <v>8.8531330000000005E-2</v>
      </c>
      <c r="R2733">
        <v>-5.1314980000000003E-2</v>
      </c>
      <c r="S2733">
        <v>-3.0125579999999998</v>
      </c>
      <c r="T2733">
        <v>-2.996588E-2</v>
      </c>
      <c r="U2733">
        <v>-0.11010739999999899</v>
      </c>
      <c r="V2733">
        <v>6.0099560000000003E-3</v>
      </c>
      <c r="W2733">
        <v>0.1003019</v>
      </c>
      <c r="X2733">
        <v>0.99493889999999996</v>
      </c>
      <c r="Y2733">
        <v>2.1223680000000002E-2</v>
      </c>
      <c r="Z2733">
        <v>1.2238940000000001E-4</v>
      </c>
      <c r="AA2733">
        <v>0.99977479999999996</v>
      </c>
      <c r="AB2733">
        <v>7</v>
      </c>
      <c r="AC2733">
        <v>-112.7667</v>
      </c>
      <c r="AD2733">
        <v>-1.1222497895718</v>
      </c>
      <c r="AE2733">
        <v>-4.1202999999999799</v>
      </c>
      <c r="AF2733">
        <v>2.39621718380124</v>
      </c>
      <c r="AG2733">
        <v>-1.1222497895718</v>
      </c>
      <c r="AH2733">
        <v>112.80534175592599</v>
      </c>
      <c r="AI2733">
        <v>90.569862682995193</v>
      </c>
      <c r="AJ2733">
        <v>88.7831029554482</v>
      </c>
      <c r="AK2733">
        <v>112.836370156317</v>
      </c>
      <c r="AL2733">
        <v>84.243444535191401</v>
      </c>
      <c r="AM2733">
        <v>89.653907465273406</v>
      </c>
      <c r="AN2733">
        <v>1.0000000027239699</v>
      </c>
    </row>
    <row r="2734" spans="1:40" x14ac:dyDescent="0.25">
      <c r="A2734" t="str">
        <f>"20190303161929129"</f>
        <v>20190303161929129</v>
      </c>
      <c r="B2734" t="str">
        <f>"1551601169115368"</f>
        <v>1551601169115368</v>
      </c>
      <c r="C2734" t="s">
        <v>40</v>
      </c>
      <c r="D2734">
        <v>4.8328600000000002</v>
      </c>
      <c r="E2734">
        <v>0.50388459999999902</v>
      </c>
      <c r="F2734" t="s">
        <v>56</v>
      </c>
      <c r="G2734">
        <v>-318.52330000000001</v>
      </c>
      <c r="H2734">
        <v>1.5885340000000001E-2</v>
      </c>
      <c r="I2734">
        <v>279.61630000000002</v>
      </c>
      <c r="J2734">
        <v>-208.30629999999999</v>
      </c>
      <c r="K2734">
        <v>1.1222219999999901</v>
      </c>
      <c r="L2734">
        <v>283.86660000000001</v>
      </c>
      <c r="M2734">
        <v>-0.99825600000000003</v>
      </c>
      <c r="N2734">
        <v>-1.1815300000000001E-2</v>
      </c>
      <c r="O2734">
        <v>-5.7837739999999999E-2</v>
      </c>
      <c r="P2734">
        <v>-0.99460850000000001</v>
      </c>
      <c r="Q2734">
        <v>8.8564399999999904E-2</v>
      </c>
      <c r="R2734">
        <v>-5.3945180000000002E-2</v>
      </c>
      <c r="S2734">
        <v>-3.012527</v>
      </c>
      <c r="T2734">
        <v>-3.0221100000000001E-2</v>
      </c>
      <c r="U2734">
        <v>-0.11621090000000001</v>
      </c>
      <c r="V2734">
        <v>3.4978689999999998E-3</v>
      </c>
      <c r="W2734">
        <v>0.1003332</v>
      </c>
      <c r="X2734">
        <v>0.99494769999999999</v>
      </c>
      <c r="Y2734">
        <v>1.9313899999999998E-2</v>
      </c>
      <c r="Z2734">
        <v>1.069527E-4</v>
      </c>
      <c r="AA2734">
        <v>0.99981339999999996</v>
      </c>
      <c r="AB2734">
        <v>7</v>
      </c>
      <c r="AC2734">
        <v>-110.217</v>
      </c>
      <c r="AD2734">
        <v>-1.10633665999999</v>
      </c>
      <c r="AE2734">
        <v>-4.2502999999999798</v>
      </c>
      <c r="AF2734">
        <v>2.1317492227202499</v>
      </c>
      <c r="AG2734">
        <v>-1.10633665999999</v>
      </c>
      <c r="AH2734">
        <v>110.26722174838601</v>
      </c>
      <c r="AI2734">
        <v>90.574735195990101</v>
      </c>
      <c r="AJ2734">
        <v>88.892463069766393</v>
      </c>
      <c r="AK2734">
        <v>110.293374813093</v>
      </c>
      <c r="AL2734">
        <v>84.241641814373494</v>
      </c>
      <c r="AM2734">
        <v>89.798570009944896</v>
      </c>
      <c r="AN2734">
        <v>0.99999995592253399</v>
      </c>
    </row>
    <row r="2735" spans="1:40" x14ac:dyDescent="0.25">
      <c r="A2735" t="str">
        <f>"20190303161929143"</f>
        <v>20190303161929143</v>
      </c>
      <c r="B2735" t="str">
        <f>"1551601169134888"</f>
        <v>1551601169134888</v>
      </c>
      <c r="C2735" t="s">
        <v>40</v>
      </c>
      <c r="D2735">
        <v>4.726979</v>
      </c>
      <c r="E2735">
        <v>0.50439409999999996</v>
      </c>
      <c r="F2735" t="s">
        <v>56</v>
      </c>
      <c r="G2735">
        <v>-314.95600000000002</v>
      </c>
      <c r="H2735">
        <v>2.6110149999999999E-2</v>
      </c>
      <c r="I2735">
        <v>279.61630000000002</v>
      </c>
      <c r="J2735">
        <v>-208.35589999999999</v>
      </c>
      <c r="K2735">
        <v>1.1221950000000001</v>
      </c>
      <c r="L2735">
        <v>283.86349999999999</v>
      </c>
      <c r="M2735">
        <v>-0.99824800000000002</v>
      </c>
      <c r="N2735">
        <v>-1.1818179999999999E-2</v>
      </c>
      <c r="O2735">
        <v>-5.797799E-2</v>
      </c>
      <c r="P2735">
        <v>-0.99451020000000001</v>
      </c>
      <c r="Q2735">
        <v>8.8927950000000006E-2</v>
      </c>
      <c r="R2735">
        <v>-5.5148129999999997E-2</v>
      </c>
      <c r="S2735">
        <v>-3.0124970000000002</v>
      </c>
      <c r="T2735">
        <v>-3.0961510000000001E-2</v>
      </c>
      <c r="U2735">
        <v>-0.1200562</v>
      </c>
      <c r="V2735">
        <v>2.440354E-3</v>
      </c>
      <c r="W2735">
        <v>0.1006976</v>
      </c>
      <c r="X2735">
        <v>0.99491410000000002</v>
      </c>
      <c r="Y2735">
        <v>1.8179810000000001E-2</v>
      </c>
      <c r="Z2735">
        <v>1.1063219999999999E-4</v>
      </c>
      <c r="AA2735">
        <v>0.99983469999999997</v>
      </c>
      <c r="AB2735">
        <v>7</v>
      </c>
      <c r="AC2735">
        <v>-106.600099999999</v>
      </c>
      <c r="AD2735">
        <v>-1.09608485</v>
      </c>
      <c r="AE2735">
        <v>-4.2471999999999603</v>
      </c>
      <c r="AF2735">
        <v>1.94063114200469</v>
      </c>
      <c r="AG2735">
        <v>-1.09608485</v>
      </c>
      <c r="AH2735">
        <v>106.65576194006999</v>
      </c>
      <c r="AI2735">
        <v>90.588701744552594</v>
      </c>
      <c r="AJ2735">
        <v>88.957602440240905</v>
      </c>
      <c r="AK2735">
        <v>106.679046706674</v>
      </c>
      <c r="AL2735">
        <v>84.220657291309806</v>
      </c>
      <c r="AM2735">
        <v>89.859463541312707</v>
      </c>
      <c r="AN2735">
        <v>1.0000000141761001</v>
      </c>
    </row>
    <row r="2736" spans="1:40" x14ac:dyDescent="0.25">
      <c r="A2736" t="str">
        <f>"20190303161929164"</f>
        <v>20190303161929164</v>
      </c>
      <c r="B2736" t="str">
        <f>"1551601169155383"</f>
        <v>1551601169155383</v>
      </c>
      <c r="C2736" t="s">
        <v>40</v>
      </c>
      <c r="D2736">
        <v>4.7210739999999998</v>
      </c>
      <c r="E2736">
        <v>0.50531139999999997</v>
      </c>
      <c r="F2736" t="s">
        <v>56</v>
      </c>
      <c r="G2736">
        <v>-315.15010000000001</v>
      </c>
      <c r="H2736">
        <v>3.4854839999999998E-2</v>
      </c>
      <c r="I2736">
        <v>279.61630000000002</v>
      </c>
      <c r="J2736">
        <v>-208.41739999999999</v>
      </c>
      <c r="K2736">
        <v>1.1221429999999999</v>
      </c>
      <c r="L2736">
        <v>283.8596</v>
      </c>
      <c r="M2736">
        <v>-0.99823550000000005</v>
      </c>
      <c r="N2736">
        <v>-1.182208E-2</v>
      </c>
      <c r="O2736">
        <v>-5.819361E-2</v>
      </c>
      <c r="P2736">
        <v>-0.99418989999999996</v>
      </c>
      <c r="Q2736">
        <v>9.2036190000000004E-2</v>
      </c>
      <c r="R2736">
        <v>-5.582384E-2</v>
      </c>
      <c r="S2736">
        <v>-3.0126499999999998</v>
      </c>
      <c r="T2736">
        <v>-3.0673740000000001E-2</v>
      </c>
      <c r="U2736">
        <v>-0.119812</v>
      </c>
      <c r="V2736">
        <v>1.9746960000000002E-3</v>
      </c>
      <c r="W2736">
        <v>0.10380499999999999</v>
      </c>
      <c r="X2736">
        <v>0.99459569999999997</v>
      </c>
      <c r="Y2736">
        <v>1.8478669999999999E-2</v>
      </c>
      <c r="Z2736">
        <v>1.069334E-4</v>
      </c>
      <c r="AA2736">
        <v>0.99982919999999997</v>
      </c>
      <c r="AB2736">
        <v>7</v>
      </c>
      <c r="AC2736">
        <v>-106.73269999999999</v>
      </c>
      <c r="AD2736">
        <v>-1.0872881599999999</v>
      </c>
      <c r="AE2736">
        <v>-4.2432999999999703</v>
      </c>
      <c r="AF2736">
        <v>1.9752814453930501</v>
      </c>
      <c r="AG2736">
        <v>-1.0872881599999999</v>
      </c>
      <c r="AH2736">
        <v>106.787682265898</v>
      </c>
      <c r="AI2736">
        <v>90.583252816661997</v>
      </c>
      <c r="AJ2736">
        <v>88.940304885317005</v>
      </c>
      <c r="AK2736">
        <v>106.811483540179</v>
      </c>
      <c r="AL2736">
        <v>84.041678080034501</v>
      </c>
      <c r="AM2736">
        <v>89.886243628484706</v>
      </c>
      <c r="AN2736">
        <v>0.999999991953891</v>
      </c>
    </row>
    <row r="2737" spans="1:40" x14ac:dyDescent="0.25">
      <c r="A2737" t="str">
        <f>"20190303161929184"</f>
        <v>20190303161929184</v>
      </c>
      <c r="B2737" t="str">
        <f>"1551601169174904"</f>
        <v>1551601169174904</v>
      </c>
      <c r="C2737" t="s">
        <v>40</v>
      </c>
      <c r="D2737">
        <v>4.6205829999999999</v>
      </c>
      <c r="E2737">
        <v>0.50583489999999998</v>
      </c>
      <c r="F2737" t="s">
        <v>52</v>
      </c>
      <c r="G2737">
        <v>-380.99680000000001</v>
      </c>
      <c r="H2737">
        <v>8.0001169999999996E-2</v>
      </c>
      <c r="I2737">
        <v>277.26209999999998</v>
      </c>
      <c r="J2737">
        <v>-208.48099999999999</v>
      </c>
      <c r="K2737">
        <v>1.122053</v>
      </c>
      <c r="L2737">
        <v>283.85539999999997</v>
      </c>
      <c r="M2737">
        <v>-0.99822160000000004</v>
      </c>
      <c r="N2737">
        <v>-1.1826120000000001E-2</v>
      </c>
      <c r="O2737">
        <v>-5.8429219999999997E-2</v>
      </c>
      <c r="P2737">
        <v>-0.99402939999999995</v>
      </c>
      <c r="Q2737">
        <v>9.4116130000000006E-2</v>
      </c>
      <c r="R2737">
        <v>-5.5209510000000003E-2</v>
      </c>
      <c r="S2737">
        <v>-3.012756</v>
      </c>
      <c r="T2737">
        <v>-1.819289E-2</v>
      </c>
      <c r="U2737">
        <v>-0.11517330000000001</v>
      </c>
      <c r="V2737">
        <v>2.8326029999999999E-3</v>
      </c>
      <c r="W2737">
        <v>0.1058872</v>
      </c>
      <c r="X2737">
        <v>0.99437410000000004</v>
      </c>
      <c r="Y2737">
        <v>2.0253190000000001E-2</v>
      </c>
      <c r="Z2737">
        <v>-1.5786939999999999E-4</v>
      </c>
      <c r="AA2737">
        <v>0.99979490000000004</v>
      </c>
      <c r="AB2737">
        <v>7</v>
      </c>
      <c r="AC2737">
        <v>-172.51580000000001</v>
      </c>
      <c r="AD2737">
        <v>-1.0420518299999999</v>
      </c>
      <c r="AE2737">
        <v>-6.5932999999999904</v>
      </c>
      <c r="AF2737">
        <v>3.49850602196162</v>
      </c>
      <c r="AG2737">
        <v>-1.0420518299999999</v>
      </c>
      <c r="AH2737">
        <v>172.60000488061399</v>
      </c>
      <c r="AI2737">
        <v>90.345841159233601</v>
      </c>
      <c r="AJ2737">
        <v>88.838805450995395</v>
      </c>
      <c r="AK2737">
        <v>172.63860258120201</v>
      </c>
      <c r="AL2737">
        <v>83.921715574659899</v>
      </c>
      <c r="AM2737">
        <v>89.836786016506295</v>
      </c>
      <c r="AN2737">
        <v>0.99999998675720203</v>
      </c>
    </row>
    <row r="2738" spans="1:40" x14ac:dyDescent="0.25">
      <c r="A2738" t="str">
        <f>"20190303161929198"</f>
        <v>20190303161929198</v>
      </c>
      <c r="B2738" t="str">
        <f>"1551601169185639"</f>
        <v>1551601169185639</v>
      </c>
      <c r="C2738" t="s">
        <v>40</v>
      </c>
      <c r="D2738">
        <v>4.6355050000000002</v>
      </c>
      <c r="E2738">
        <v>0.50611980000000001</v>
      </c>
      <c r="F2738" t="s">
        <v>49</v>
      </c>
      <c r="G2738">
        <v>-477.77370000000002</v>
      </c>
      <c r="H2738">
        <v>7.9999669999999995E-2</v>
      </c>
      <c r="I2738">
        <v>274.05</v>
      </c>
      <c r="J2738">
        <v>-208.52510000000001</v>
      </c>
      <c r="K2738">
        <v>1.121974</v>
      </c>
      <c r="L2738">
        <v>283.8526</v>
      </c>
      <c r="M2738">
        <v>-0.99821289999999996</v>
      </c>
      <c r="N2738">
        <v>-1.1828389999999999E-2</v>
      </c>
      <c r="O2738">
        <v>-5.8578390000000001E-2</v>
      </c>
      <c r="P2738">
        <v>-0.99409389999999997</v>
      </c>
      <c r="Q2738">
        <v>9.4000180000000003E-2</v>
      </c>
      <c r="R2738">
        <v>-5.4238349999999998E-2</v>
      </c>
      <c r="S2738">
        <v>-3.0130460000000001</v>
      </c>
      <c r="T2738">
        <v>-1.1659259999999999E-2</v>
      </c>
      <c r="U2738">
        <v>-0.10971069999999999</v>
      </c>
      <c r="V2738">
        <v>3.973412E-3</v>
      </c>
      <c r="W2738">
        <v>0.1057739</v>
      </c>
      <c r="X2738">
        <v>0.99438230000000005</v>
      </c>
      <c r="Y2738">
        <v>2.221588E-2</v>
      </c>
      <c r="Z2738">
        <v>-2.9232180000000001E-4</v>
      </c>
      <c r="AA2738">
        <v>0.99975320000000001</v>
      </c>
      <c r="AB2738">
        <v>7</v>
      </c>
      <c r="AC2738">
        <v>-269.24860000000001</v>
      </c>
      <c r="AD2738">
        <v>-1.0419743299999999</v>
      </c>
      <c r="AE2738">
        <v>-9.8025999999999804</v>
      </c>
      <c r="AF2738">
        <v>5.9873960500435297</v>
      </c>
      <c r="AG2738">
        <v>-1.0419743299999999</v>
      </c>
      <c r="AH2738">
        <v>269.35641682530098</v>
      </c>
      <c r="AI2738">
        <v>90.221586293653701</v>
      </c>
      <c r="AJ2738">
        <v>88.726608992144193</v>
      </c>
      <c r="AK2738">
        <v>269.424968974536</v>
      </c>
      <c r="AL2738">
        <v>83.928244125378399</v>
      </c>
      <c r="AM2738">
        <v>89.771055331329507</v>
      </c>
      <c r="AN2738">
        <v>1.0000000322387099</v>
      </c>
    </row>
    <row r="2739" spans="1:40" x14ac:dyDescent="0.25">
      <c r="A2739" t="str">
        <f>"20190303161929217"</f>
        <v>20190303161929217</v>
      </c>
      <c r="B2739" t="str">
        <f>"1551601169205160"</f>
        <v>1551601169205160</v>
      </c>
      <c r="C2739" t="s">
        <v>40</v>
      </c>
      <c r="D2739">
        <v>4.5945450000000001</v>
      </c>
      <c r="E2739">
        <v>0.51194839999999997</v>
      </c>
      <c r="F2739" t="s">
        <v>52</v>
      </c>
      <c r="G2739">
        <v>-452.19970000000001</v>
      </c>
      <c r="H2739">
        <v>8.0001219999999998E-2</v>
      </c>
      <c r="I2739">
        <v>275.37810000000002</v>
      </c>
      <c r="J2739">
        <v>-208.58519999999999</v>
      </c>
      <c r="K2739">
        <v>1.121853</v>
      </c>
      <c r="L2739">
        <v>283.84870000000001</v>
      </c>
      <c r="M2739">
        <v>-0.99820240000000005</v>
      </c>
      <c r="N2739">
        <v>-1.1831090000000001E-2</v>
      </c>
      <c r="O2739">
        <v>-5.8753949999999999E-2</v>
      </c>
      <c r="P2739">
        <v>-0.99463239999999997</v>
      </c>
      <c r="Q2739">
        <v>8.8973179999999999E-2</v>
      </c>
      <c r="R2739">
        <v>-5.2819190000000002E-2</v>
      </c>
      <c r="S2739">
        <v>-3.0133209999999999</v>
      </c>
      <c r="T2739">
        <v>-1.2885209999999999E-2</v>
      </c>
      <c r="U2739">
        <v>-0.1047974</v>
      </c>
      <c r="V2739">
        <v>5.6272020000000004E-3</v>
      </c>
      <c r="W2739">
        <v>0.1007555</v>
      </c>
      <c r="X2739">
        <v>0.99489530000000004</v>
      </c>
      <c r="Y2739">
        <v>2.402309E-2</v>
      </c>
      <c r="Z2739">
        <v>-2.5092760000000001E-4</v>
      </c>
      <c r="AA2739">
        <v>0.99971140000000003</v>
      </c>
      <c r="AB2739">
        <v>7</v>
      </c>
      <c r="AC2739">
        <v>-243.61449999999999</v>
      </c>
      <c r="AD2739">
        <v>-1.04185178</v>
      </c>
      <c r="AE2739">
        <v>-8.4705999999999904</v>
      </c>
      <c r="AF2739">
        <v>5.8582438159238199</v>
      </c>
      <c r="AG2739">
        <v>-1.04185178</v>
      </c>
      <c r="AH2739">
        <v>243.68686013657901</v>
      </c>
      <c r="AI2739">
        <v>90.244888479870895</v>
      </c>
      <c r="AJ2739">
        <v>88.622871960876097</v>
      </c>
      <c r="AK2739">
        <v>243.75949269508001</v>
      </c>
      <c r="AL2739">
        <v>84.217322808298405</v>
      </c>
      <c r="AM2739">
        <v>89.675934254600406</v>
      </c>
      <c r="AN2739">
        <v>0.99999999707234399</v>
      </c>
    </row>
    <row r="2740" spans="1:40" x14ac:dyDescent="0.25">
      <c r="A2740" t="str">
        <f>"20190303161929231"</f>
        <v>20190303161929231</v>
      </c>
      <c r="B2740" t="str">
        <f>"1551601169224680"</f>
        <v>1551601169224680</v>
      </c>
      <c r="C2740" t="s">
        <v>40</v>
      </c>
      <c r="D2740">
        <v>4.5593700000000004</v>
      </c>
      <c r="E2740">
        <v>0.51201660000000004</v>
      </c>
      <c r="F2740" t="s">
        <v>56</v>
      </c>
      <c r="G2740">
        <v>-292.18389999999999</v>
      </c>
      <c r="H2740" s="1">
        <v>2.789841E-6</v>
      </c>
      <c r="I2740">
        <v>282.36630000000002</v>
      </c>
      <c r="J2740">
        <v>-208.62819999999999</v>
      </c>
      <c r="K2740">
        <v>1.1217649999999999</v>
      </c>
      <c r="L2740">
        <v>283.84589999999997</v>
      </c>
      <c r="M2740">
        <v>-0.99819650000000004</v>
      </c>
      <c r="N2740">
        <v>-1.183274E-2</v>
      </c>
      <c r="O2740">
        <v>-5.8855850000000001E-2</v>
      </c>
      <c r="P2740">
        <v>-0.99498549999999997</v>
      </c>
      <c r="Q2740">
        <v>8.5393739999999996E-2</v>
      </c>
      <c r="R2740">
        <v>-5.2080210000000002E-2</v>
      </c>
      <c r="S2740">
        <v>-3.0169679999999999</v>
      </c>
      <c r="T2740">
        <v>-4.0486099999999997E-2</v>
      </c>
      <c r="U2740">
        <v>-5.3497309999999999E-2</v>
      </c>
      <c r="V2740">
        <v>6.5078829999999999E-3</v>
      </c>
      <c r="W2740">
        <v>9.7181539999999997E-2</v>
      </c>
      <c r="X2740">
        <v>0.99524539999999995</v>
      </c>
      <c r="Y2740">
        <v>4.1145050000000002E-2</v>
      </c>
      <c r="Z2740">
        <v>6.1200190000000002E-4</v>
      </c>
      <c r="AA2740">
        <v>0.99915299999999996</v>
      </c>
      <c r="AB2740">
        <v>7</v>
      </c>
      <c r="AC2740">
        <v>-83.555700000000002</v>
      </c>
      <c r="AD2740">
        <v>-1.1217622101589999</v>
      </c>
      <c r="AE2740">
        <v>-1.4795999999999401</v>
      </c>
      <c r="AF2740">
        <v>3.4404307263242999</v>
      </c>
      <c r="AG2740">
        <v>-1.1217622101589999</v>
      </c>
      <c r="AH2740">
        <v>83.482882282483303</v>
      </c>
      <c r="AI2740">
        <v>90.769186103174206</v>
      </c>
      <c r="AJ2740">
        <v>87.640106888249903</v>
      </c>
      <c r="AK2740">
        <v>83.561274213775206</v>
      </c>
      <c r="AL2740">
        <v>84.423106071454299</v>
      </c>
      <c r="AM2740">
        <v>89.625349772902197</v>
      </c>
      <c r="AN2740">
        <v>1.0000000052395299</v>
      </c>
    </row>
    <row r="2741" spans="1:40" x14ac:dyDescent="0.25">
      <c r="A2741" t="str">
        <f>"20190303161929245"</f>
        <v>20190303161929245</v>
      </c>
      <c r="B2741" t="str">
        <f>"1551601169235416"</f>
        <v>1551601169235416</v>
      </c>
      <c r="C2741" t="s">
        <v>40</v>
      </c>
      <c r="D2741">
        <v>4.5140320000000003</v>
      </c>
      <c r="E2741">
        <v>0.51221039999999995</v>
      </c>
      <c r="F2741" t="s">
        <v>52</v>
      </c>
      <c r="G2741">
        <v>-269.44150000000002</v>
      </c>
      <c r="H2741" s="1">
        <v>3.4875040000000002E-6</v>
      </c>
      <c r="I2741">
        <v>282.83659999999998</v>
      </c>
      <c r="J2741">
        <v>-208.6739</v>
      </c>
      <c r="K2741">
        <v>1.1216790000000001</v>
      </c>
      <c r="L2741">
        <v>283.84300000000002</v>
      </c>
      <c r="M2741">
        <v>-0.99819119999999995</v>
      </c>
      <c r="N2741">
        <v>-1.1834269999999999E-2</v>
      </c>
      <c r="O2741">
        <v>-5.8943919999999997E-2</v>
      </c>
      <c r="P2741">
        <v>-0.99534769999999995</v>
      </c>
      <c r="Q2741">
        <v>8.1079680000000001E-2</v>
      </c>
      <c r="R2741">
        <v>-5.2048999999999998E-2</v>
      </c>
      <c r="S2741">
        <v>-3.0172729999999999</v>
      </c>
      <c r="T2741">
        <v>-5.5656549999999999E-2</v>
      </c>
      <c r="U2741">
        <v>-5.0079350000000002E-2</v>
      </c>
      <c r="V2741">
        <v>6.6676060000000004E-3</v>
      </c>
      <c r="W2741">
        <v>9.287289E-2</v>
      </c>
      <c r="X2741">
        <v>0.99565570000000003</v>
      </c>
      <c r="Y2741">
        <v>4.2360410000000001E-2</v>
      </c>
      <c r="Z2741">
        <v>1.0299459999999999E-3</v>
      </c>
      <c r="AA2741">
        <v>0.99910189999999999</v>
      </c>
      <c r="AB2741">
        <v>7</v>
      </c>
      <c r="AC2741">
        <v>-60.767600000000002</v>
      </c>
      <c r="AD2741">
        <v>-1.1216755124959901</v>
      </c>
      <c r="AE2741">
        <v>-1.0064000000000399</v>
      </c>
      <c r="AF2741">
        <v>2.5766036403806098</v>
      </c>
      <c r="AG2741">
        <v>-1.1216755124959901</v>
      </c>
      <c r="AH2741">
        <v>60.7005777366941</v>
      </c>
      <c r="AI2741">
        <v>91.057686116788105</v>
      </c>
      <c r="AJ2741">
        <v>87.569381560969802</v>
      </c>
      <c r="AK2741">
        <v>60.765592071857597</v>
      </c>
      <c r="AL2741">
        <v>84.671096212249196</v>
      </c>
      <c r="AM2741">
        <v>89.616313176668996</v>
      </c>
      <c r="AN2741">
        <v>1.0000000518045999</v>
      </c>
    </row>
    <row r="2742" spans="1:40" x14ac:dyDescent="0.25">
      <c r="A2742" t="str">
        <f>"20190303161929262"</f>
        <v>20190303161929262</v>
      </c>
      <c r="B2742" t="str">
        <f>"1551601169254936"</f>
        <v>1551601169254936</v>
      </c>
      <c r="C2742" t="s">
        <v>40</v>
      </c>
      <c r="D2742">
        <v>4.4644219999999999</v>
      </c>
      <c r="E2742">
        <v>0.51176779999999999</v>
      </c>
      <c r="F2742" t="s">
        <v>52</v>
      </c>
      <c r="G2742">
        <v>-257.19749999999999</v>
      </c>
      <c r="H2742" s="1">
        <v>2.2933749999999999E-6</v>
      </c>
      <c r="I2742">
        <v>283.07389999999998</v>
      </c>
      <c r="J2742">
        <v>-208.7278</v>
      </c>
      <c r="K2742">
        <v>1.1215790000000001</v>
      </c>
      <c r="L2742">
        <v>283.83969999999999</v>
      </c>
      <c r="M2742">
        <v>-0.99818709999999999</v>
      </c>
      <c r="N2742">
        <v>-1.183585E-2</v>
      </c>
      <c r="O2742">
        <v>-5.9012229999999999E-2</v>
      </c>
      <c r="P2742">
        <v>-0.9959633</v>
      </c>
      <c r="Q2742">
        <v>7.3181239999999995E-2</v>
      </c>
      <c r="R2742">
        <v>-5.1978719999999999E-2</v>
      </c>
      <c r="S2742">
        <v>-3.0171809999999999</v>
      </c>
      <c r="T2742">
        <v>-6.9745420000000002E-2</v>
      </c>
      <c r="U2742">
        <v>-4.7821040000000002E-2</v>
      </c>
      <c r="V2742">
        <v>6.861509E-3</v>
      </c>
      <c r="W2742">
        <v>8.4982119999999994E-2</v>
      </c>
      <c r="X2742">
        <v>0.99635890000000005</v>
      </c>
      <c r="Y2742">
        <v>4.3167829999999997E-2</v>
      </c>
      <c r="Z2742">
        <v>1.418707E-3</v>
      </c>
      <c r="AA2742">
        <v>0.99906680000000003</v>
      </c>
      <c r="AB2742">
        <v>7</v>
      </c>
      <c r="AC2742">
        <v>-48.469699999999897</v>
      </c>
      <c r="AD2742">
        <v>-1.121576706625</v>
      </c>
      <c r="AE2742">
        <v>-0.76580000000001203</v>
      </c>
      <c r="AF2742">
        <v>2.0949187645595799</v>
      </c>
      <c r="AG2742">
        <v>-1.121576706625</v>
      </c>
      <c r="AH2742">
        <v>48.404501166856399</v>
      </c>
      <c r="AI2742">
        <v>91.326117313527604</v>
      </c>
      <c r="AJ2742">
        <v>87.521818388982894</v>
      </c>
      <c r="AK2742">
        <v>48.462793482744502</v>
      </c>
      <c r="AL2742">
        <v>85.125003540137101</v>
      </c>
      <c r="AM2742">
        <v>89.605434053787107</v>
      </c>
      <c r="AN2742">
        <v>1.00000004931732</v>
      </c>
    </row>
    <row r="2743" spans="1:40" x14ac:dyDescent="0.25">
      <c r="A2743" t="str">
        <f>"20190303161929286"</f>
        <v>20190303161929286</v>
      </c>
      <c r="B2743" t="str">
        <f>"1551601169275432"</f>
        <v>1551601169275432</v>
      </c>
      <c r="C2743" t="s">
        <v>40</v>
      </c>
      <c r="D2743">
        <v>4.5009750000000004</v>
      </c>
      <c r="E2743">
        <v>0.51144679999999998</v>
      </c>
      <c r="F2743" t="s">
        <v>52</v>
      </c>
      <c r="G2743">
        <v>-246.2047</v>
      </c>
      <c r="H2743" s="1">
        <v>1.765066E-6</v>
      </c>
      <c r="I2743">
        <v>283.21100000000001</v>
      </c>
      <c r="J2743">
        <v>-208.8005</v>
      </c>
      <c r="K2743">
        <v>1.12147</v>
      </c>
      <c r="L2743">
        <v>283.83510000000001</v>
      </c>
      <c r="M2743">
        <v>-0.99818399999999996</v>
      </c>
      <c r="N2743">
        <v>-1.1836930000000001E-2</v>
      </c>
      <c r="O2743">
        <v>-5.9064400000000003E-2</v>
      </c>
      <c r="P2743">
        <v>-0.99641420000000003</v>
      </c>
      <c r="Q2743">
        <v>6.6517149999999997E-2</v>
      </c>
      <c r="R2743">
        <v>-5.2288029999999999E-2</v>
      </c>
      <c r="S2743">
        <v>-3.0161440000000002</v>
      </c>
      <c r="T2743">
        <v>-9.0264440000000001E-2</v>
      </c>
      <c r="U2743">
        <v>-5.059814E-2</v>
      </c>
      <c r="V2743">
        <v>6.6479449999999997E-3</v>
      </c>
      <c r="W2743">
        <v>7.8324420000000006E-2</v>
      </c>
      <c r="X2743">
        <v>0.99690570000000001</v>
      </c>
      <c r="Y2743">
        <v>4.2280079999999998E-2</v>
      </c>
      <c r="Z2743">
        <v>1.9495129999999999E-3</v>
      </c>
      <c r="AA2743">
        <v>0.99910390000000004</v>
      </c>
      <c r="AB2743">
        <v>7</v>
      </c>
      <c r="AC2743">
        <v>-37.404200000000003</v>
      </c>
      <c r="AD2743">
        <v>-1.1214682349339999</v>
      </c>
      <c r="AE2743">
        <v>-0.62409999999999799</v>
      </c>
      <c r="AF2743">
        <v>1.5849767157769199</v>
      </c>
      <c r="AG2743">
        <v>-1.1214682349339999</v>
      </c>
      <c r="AH2743">
        <v>37.3421950618838</v>
      </c>
      <c r="AI2743">
        <v>91.718654716018605</v>
      </c>
      <c r="AJ2743">
        <v>87.5695590260339</v>
      </c>
      <c r="AK2743">
        <v>37.3926379683395</v>
      </c>
      <c r="AL2743">
        <v>85.507739910513294</v>
      </c>
      <c r="AM2743">
        <v>89.617924197949705</v>
      </c>
      <c r="AN2743">
        <v>0.99999994231677303</v>
      </c>
    </row>
    <row r="2744" spans="1:40" x14ac:dyDescent="0.25">
      <c r="A2744" t="str">
        <f>"20190303161929319"</f>
        <v>20190303161929319</v>
      </c>
      <c r="B2744" t="str">
        <f>"1551601169304712"</f>
        <v>1551601169304712</v>
      </c>
      <c r="C2744" t="s">
        <v>40</v>
      </c>
      <c r="D2744">
        <v>4.428655</v>
      </c>
      <c r="E2744">
        <v>0.5102082</v>
      </c>
      <c r="F2744" t="s">
        <v>52</v>
      </c>
      <c r="G2744">
        <v>-241.41569999999999</v>
      </c>
      <c r="H2744" s="1">
        <v>-7.8343539999999997E-7</v>
      </c>
      <c r="I2744">
        <v>283.25110000000001</v>
      </c>
      <c r="J2744">
        <v>-208.90299999999999</v>
      </c>
      <c r="K2744">
        <v>1.1214280000000001</v>
      </c>
      <c r="L2744">
        <v>283.82889999999998</v>
      </c>
      <c r="M2744">
        <v>-0.99818249999999997</v>
      </c>
      <c r="N2744">
        <v>-1.1836630000000001E-2</v>
      </c>
      <c r="O2744">
        <v>-5.9090959999999998E-2</v>
      </c>
      <c r="P2744">
        <v>-0.99592190000000003</v>
      </c>
      <c r="Q2744">
        <v>7.213551E-2</v>
      </c>
      <c r="R2744">
        <v>-5.4185480000000001E-2</v>
      </c>
      <c r="S2744">
        <v>-3.0148769999999998</v>
      </c>
      <c r="T2744">
        <v>-0.1036663</v>
      </c>
      <c r="U2744">
        <v>-5.3985600000000002E-2</v>
      </c>
      <c r="V2744">
        <v>4.7626020000000003E-3</v>
      </c>
      <c r="W2744">
        <v>8.3936360000000002E-2</v>
      </c>
      <c r="X2744">
        <v>0.99645969999999995</v>
      </c>
      <c r="Y2744">
        <v>4.1165729999999998E-2</v>
      </c>
      <c r="Z2744">
        <v>2.2814799999999998E-3</v>
      </c>
      <c r="AA2744">
        <v>0.99914970000000003</v>
      </c>
      <c r="AB2744">
        <v>7</v>
      </c>
      <c r="AC2744">
        <v>-32.512699999999903</v>
      </c>
      <c r="AD2744">
        <v>-1.1214287834354</v>
      </c>
      <c r="AE2744">
        <v>-0.57779999999996701</v>
      </c>
      <c r="AF2744">
        <v>1.3429536913287099</v>
      </c>
      <c r="AG2744">
        <v>-1.1214287834354</v>
      </c>
      <c r="AH2744">
        <v>32.451429313143898</v>
      </c>
      <c r="AI2744">
        <v>91.977499768683302</v>
      </c>
      <c r="AJ2744">
        <v>87.630252355862297</v>
      </c>
      <c r="AK2744">
        <v>32.498559838850497</v>
      </c>
      <c r="AL2744">
        <v>85.185135621418794</v>
      </c>
      <c r="AM2744">
        <v>89.726155592367306</v>
      </c>
      <c r="AN2744">
        <v>0.99999996431597404</v>
      </c>
    </row>
    <row r="2745" spans="1:40" x14ac:dyDescent="0.25">
      <c r="A2745" t="str">
        <f>"20190303161929340"</f>
        <v>20190303161929340</v>
      </c>
      <c r="B2745" t="str">
        <f>"1551601169334967"</f>
        <v>1551601169334967</v>
      </c>
      <c r="C2745" t="s">
        <v>40</v>
      </c>
      <c r="D2745">
        <v>4.4876620000000003</v>
      </c>
      <c r="E2745">
        <v>0.51100129999999999</v>
      </c>
      <c r="F2745" t="s">
        <v>52</v>
      </c>
      <c r="G2745">
        <v>-330.90539999999999</v>
      </c>
      <c r="H2745" s="1">
        <v>-8.9176569999999996E-7</v>
      </c>
      <c r="I2745">
        <v>280.88279999999997</v>
      </c>
      <c r="J2745">
        <v>-208.971</v>
      </c>
      <c r="K2745">
        <v>1.121437</v>
      </c>
      <c r="L2745">
        <v>283.82490000000001</v>
      </c>
      <c r="M2745">
        <v>-0.99818099999999998</v>
      </c>
      <c r="N2745">
        <v>-1.1834549999999999E-2</v>
      </c>
      <c r="O2745">
        <v>-5.9115040000000001E-2</v>
      </c>
      <c r="P2745">
        <v>-0.99541020000000002</v>
      </c>
      <c r="Q2745">
        <v>7.8377080000000002E-2</v>
      </c>
      <c r="R2745">
        <v>-5.491526E-2</v>
      </c>
      <c r="S2745">
        <v>-3.0103149999999999</v>
      </c>
      <c r="T2745">
        <v>-2.7670380000000001E-2</v>
      </c>
      <c r="U2745">
        <v>-7.2692870000000007E-2</v>
      </c>
      <c r="V2745">
        <v>4.0314499999999998E-3</v>
      </c>
      <c r="W2745">
        <v>9.0169639999999995E-2</v>
      </c>
      <c r="X2745">
        <v>0.99591830000000003</v>
      </c>
      <c r="Y2745">
        <v>3.4999710000000003E-2</v>
      </c>
      <c r="Z2745">
        <v>2.109735E-4</v>
      </c>
      <c r="AA2745">
        <v>0.99938729999999998</v>
      </c>
      <c r="AB2745">
        <v>7</v>
      </c>
      <c r="AC2745">
        <v>-121.9344</v>
      </c>
      <c r="AD2745">
        <v>-1.1214378917657</v>
      </c>
      <c r="AE2745">
        <v>-2.9421000000000301</v>
      </c>
      <c r="AF2745">
        <v>4.2713467784284198</v>
      </c>
      <c r="AG2745">
        <v>-1.1214378917657</v>
      </c>
      <c r="AH2745">
        <v>121.884759201009</v>
      </c>
      <c r="AI2745">
        <v>90.526829035151493</v>
      </c>
      <c r="AJ2745">
        <v>87.992939930302001</v>
      </c>
      <c r="AK2745">
        <v>121.964734869284</v>
      </c>
      <c r="AL2745">
        <v>84.826633771894393</v>
      </c>
      <c r="AM2745">
        <v>89.768069520678907</v>
      </c>
      <c r="AN2745">
        <v>1.00000003842086</v>
      </c>
    </row>
    <row r="2746" spans="1:40" x14ac:dyDescent="0.25">
      <c r="A2746" t="str">
        <f>"20190303161929364"</f>
        <v>20190303161929364</v>
      </c>
      <c r="B2746" t="str">
        <f>"1551601169355464"</f>
        <v>1551601169355464</v>
      </c>
      <c r="C2746" t="s">
        <v>40</v>
      </c>
      <c r="D2746">
        <v>4.4518069999999996</v>
      </c>
      <c r="E2746">
        <v>0.51097669999999995</v>
      </c>
      <c r="F2746" t="s">
        <v>57</v>
      </c>
      <c r="G2746">
        <v>-511.95890000000003</v>
      </c>
      <c r="H2746">
        <v>0.72029129999999997</v>
      </c>
      <c r="I2746">
        <v>276.8494</v>
      </c>
      <c r="J2746">
        <v>-209.04390000000001</v>
      </c>
      <c r="K2746">
        <v>1.121459</v>
      </c>
      <c r="L2746">
        <v>283.82049999999998</v>
      </c>
      <c r="M2746">
        <v>-0.99817840000000002</v>
      </c>
      <c r="N2746">
        <v>-1.183086E-2</v>
      </c>
      <c r="O2746">
        <v>-5.9160299999999999E-2</v>
      </c>
      <c r="P2746">
        <v>-0.99515129999999996</v>
      </c>
      <c r="Q2746">
        <v>8.2556519999999994E-2</v>
      </c>
      <c r="R2746">
        <v>-5.3465930000000002E-2</v>
      </c>
      <c r="S2746">
        <v>-3.0103610000000001</v>
      </c>
      <c r="T2746">
        <v>-3.9848089999999997E-3</v>
      </c>
      <c r="U2746">
        <v>-6.9305420000000006E-2</v>
      </c>
      <c r="V2746">
        <v>5.5082569999999999E-3</v>
      </c>
      <c r="W2746">
        <v>9.4341259999999996E-2</v>
      </c>
      <c r="X2746">
        <v>0.99552470000000004</v>
      </c>
      <c r="Y2746">
        <v>3.6169300000000001E-2</v>
      </c>
      <c r="Z2746">
        <v>-3.8409559999999998E-4</v>
      </c>
      <c r="AA2746">
        <v>0.99934559999999995</v>
      </c>
      <c r="AB2746">
        <v>7</v>
      </c>
      <c r="AC2746">
        <v>-302.91500000000002</v>
      </c>
      <c r="AD2746">
        <v>-0.40116769999999902</v>
      </c>
      <c r="AE2746">
        <v>-6.9710999999999697</v>
      </c>
      <c r="AF2746">
        <v>10.9628887176021</v>
      </c>
      <c r="AG2746">
        <v>-0.40116769999999902</v>
      </c>
      <c r="AH2746">
        <v>302.79627913990998</v>
      </c>
      <c r="AI2746">
        <v>90.075860088439697</v>
      </c>
      <c r="AJ2746">
        <v>87.926483724991101</v>
      </c>
      <c r="AK2746">
        <v>302.99493811866301</v>
      </c>
      <c r="AL2746">
        <v>84.586593607510494</v>
      </c>
      <c r="AM2746">
        <v>89.682984602984106</v>
      </c>
      <c r="AN2746">
        <v>1.0000000212718201</v>
      </c>
    </row>
    <row r="2747" spans="1:40" x14ac:dyDescent="0.25">
      <c r="A2747" t="str">
        <f>"20190303161929386"</f>
        <v>20190303161929386</v>
      </c>
      <c r="B2747" t="str">
        <f>"1551601169374983"</f>
        <v>1551601169374983</v>
      </c>
      <c r="C2747" t="s">
        <v>40</v>
      </c>
      <c r="D2747">
        <v>4.4281620000000004</v>
      </c>
      <c r="E2747">
        <v>0.51083339999999999</v>
      </c>
      <c r="F2747" t="s">
        <v>57</v>
      </c>
      <c r="G2747">
        <v>-511.95940000000002</v>
      </c>
      <c r="H2747">
        <v>2.339534</v>
      </c>
      <c r="I2747">
        <v>277.2054</v>
      </c>
      <c r="J2747">
        <v>-209.11410000000001</v>
      </c>
      <c r="K2747">
        <v>1.121481</v>
      </c>
      <c r="L2747">
        <v>283.81630000000001</v>
      </c>
      <c r="M2747">
        <v>-0.99817449999999996</v>
      </c>
      <c r="N2747">
        <v>-1.182649E-2</v>
      </c>
      <c r="O2747">
        <v>-5.9225949999999999E-2</v>
      </c>
      <c r="P2747">
        <v>-0.99532569999999998</v>
      </c>
      <c r="Q2747">
        <v>8.376873E-2</v>
      </c>
      <c r="R2747">
        <v>-4.805889E-2</v>
      </c>
      <c r="S2747">
        <v>-3.0100859999999998</v>
      </c>
      <c r="T2747">
        <v>1.210487E-2</v>
      </c>
      <c r="U2747">
        <v>-6.5734860000000006E-2</v>
      </c>
      <c r="V2747">
        <v>1.0979849999999999E-2</v>
      </c>
      <c r="W2747">
        <v>9.5546969999999995E-2</v>
      </c>
      <c r="X2747">
        <v>0.99536440000000004</v>
      </c>
      <c r="Y2747">
        <v>3.7414469999999998E-2</v>
      </c>
      <c r="Z2747">
        <v>-7.9273419999999998E-4</v>
      </c>
      <c r="AA2747">
        <v>0.99929950000000001</v>
      </c>
      <c r="AB2747">
        <v>7</v>
      </c>
      <c r="AC2747">
        <v>-302.84530000000001</v>
      </c>
      <c r="AD2747">
        <v>1.2180530000000001</v>
      </c>
      <c r="AE2747">
        <v>-6.6109000000000098</v>
      </c>
      <c r="AF2747">
        <v>11.3380789154055</v>
      </c>
      <c r="AG2747">
        <v>1.2180530000000001</v>
      </c>
      <c r="AH2747">
        <v>302.70028157098301</v>
      </c>
      <c r="AI2747">
        <v>89.769607036273001</v>
      </c>
      <c r="AJ2747">
        <v>87.854906122693805</v>
      </c>
      <c r="AK2747">
        <v>302.91499822517102</v>
      </c>
      <c r="AL2747">
        <v>84.517198096774493</v>
      </c>
      <c r="AM2747">
        <v>89.367996735930205</v>
      </c>
      <c r="AN2747">
        <v>1.0000000346847799</v>
      </c>
    </row>
    <row r="2748" spans="1:40" x14ac:dyDescent="0.25">
      <c r="A2748" t="str">
        <f>"20190303161929408"</f>
        <v>20190303161929408</v>
      </c>
      <c r="B2748" t="str">
        <f>"1551601169395480"</f>
        <v>1551601169395480</v>
      </c>
      <c r="C2748" t="s">
        <v>40</v>
      </c>
      <c r="D2748">
        <v>4.4835209999999996</v>
      </c>
      <c r="E2748">
        <v>0.51071820000000001</v>
      </c>
      <c r="F2748" t="s">
        <v>57</v>
      </c>
      <c r="G2748">
        <v>-511.95960000000002</v>
      </c>
      <c r="H2748">
        <v>2.9516689999999999</v>
      </c>
      <c r="I2748">
        <v>278.64580000000001</v>
      </c>
      <c r="J2748">
        <v>-209.1798</v>
      </c>
      <c r="K2748">
        <v>1.1214919999999999</v>
      </c>
      <c r="L2748">
        <v>283.81229999999999</v>
      </c>
      <c r="M2748">
        <v>-0.99817</v>
      </c>
      <c r="N2748">
        <v>-1.182207E-2</v>
      </c>
      <c r="O2748">
        <v>-5.9303889999999998E-2</v>
      </c>
      <c r="P2748">
        <v>-0.99563429999999997</v>
      </c>
      <c r="Q2748">
        <v>8.4160559999999995E-2</v>
      </c>
      <c r="R2748">
        <v>-4.036903E-2</v>
      </c>
      <c r="S2748">
        <v>-3.0100709999999999</v>
      </c>
      <c r="T2748">
        <v>1.8191579999999999E-2</v>
      </c>
      <c r="U2748">
        <v>-5.1391600000000003E-2</v>
      </c>
      <c r="V2748">
        <v>1.8750409999999999E-2</v>
      </c>
      <c r="W2748">
        <v>9.5932859999999995E-2</v>
      </c>
      <c r="X2748">
        <v>0.99521119999999996</v>
      </c>
      <c r="Y2748">
        <v>4.2249990000000001E-2</v>
      </c>
      <c r="Z2748">
        <v>-9.3751580000000004E-4</v>
      </c>
      <c r="AA2748">
        <v>0.99910659999999896</v>
      </c>
      <c r="AB2748">
        <v>7</v>
      </c>
      <c r="AC2748">
        <v>-302.77980000000002</v>
      </c>
      <c r="AD2748">
        <v>1.8301769999999999</v>
      </c>
      <c r="AE2748">
        <v>-5.1664999999999797</v>
      </c>
      <c r="AF2748">
        <v>12.7994012336925</v>
      </c>
      <c r="AG2748">
        <v>1.8301769999999999</v>
      </c>
      <c r="AH2748">
        <v>302.54218980113899</v>
      </c>
      <c r="AI2748">
        <v>89.653713001345196</v>
      </c>
      <c r="AJ2748">
        <v>87.577479623007207</v>
      </c>
      <c r="AK2748">
        <v>302.81834625639902</v>
      </c>
      <c r="AL2748">
        <v>84.494986071133994</v>
      </c>
      <c r="AM2748">
        <v>88.920638888165996</v>
      </c>
      <c r="AN2748">
        <v>1.0000000120541901</v>
      </c>
    </row>
    <row r="2749" spans="1:40" x14ac:dyDescent="0.25">
      <c r="A2749" t="str">
        <f>"20190303161929429"</f>
        <v>20190303161929429</v>
      </c>
      <c r="B2749" t="str">
        <f>"1551601169415000"</f>
        <v>1551601169415000</v>
      </c>
      <c r="C2749" t="s">
        <v>40</v>
      </c>
      <c r="D2749">
        <v>4.4509339999999904</v>
      </c>
      <c r="E2749">
        <v>0.5104651</v>
      </c>
      <c r="F2749" t="s">
        <v>58</v>
      </c>
      <c r="G2749">
        <v>0</v>
      </c>
      <c r="H2749">
        <v>0</v>
      </c>
      <c r="I2749">
        <v>0</v>
      </c>
      <c r="J2749">
        <v>-209.24979999999999</v>
      </c>
      <c r="K2749">
        <v>1.1214869999999999</v>
      </c>
      <c r="L2749">
        <v>283.80810000000002</v>
      </c>
      <c r="M2749">
        <v>-0.99816439999999995</v>
      </c>
      <c r="N2749">
        <v>-1.181724E-2</v>
      </c>
      <c r="O2749">
        <v>-5.9399929999999997E-2</v>
      </c>
      <c r="P2749">
        <v>-0.9961025</v>
      </c>
      <c r="Q2749">
        <v>8.2484039999999995E-2</v>
      </c>
      <c r="R2749">
        <v>-3.1253910000000003E-2</v>
      </c>
      <c r="S2749">
        <v>-3.0102540000000002</v>
      </c>
      <c r="T2749">
        <v>1.9865509999999999E-2</v>
      </c>
      <c r="U2749">
        <v>-3.024292E-2</v>
      </c>
      <c r="V2749">
        <v>2.7971619999999999E-2</v>
      </c>
      <c r="W2749">
        <v>9.4251539999999995E-2</v>
      </c>
      <c r="X2749">
        <v>0.99515540000000002</v>
      </c>
      <c r="Y2749">
        <v>4.9363459999999998E-2</v>
      </c>
      <c r="Z2749">
        <v>-9.6526209999999997E-4</v>
      </c>
      <c r="AA2749">
        <v>0.99878040000000001</v>
      </c>
      <c r="AB2749">
        <v>7</v>
      </c>
      <c r="AC2749">
        <v>-3.0102540000000002</v>
      </c>
      <c r="AD2749">
        <v>1.9865509999999999E-2</v>
      </c>
      <c r="AE2749">
        <v>-3.024292E-2</v>
      </c>
      <c r="AF2749">
        <v>0.14862536459352699</v>
      </c>
      <c r="AG2749">
        <v>1.9865509999999999E-2</v>
      </c>
      <c r="AH2749">
        <v>3.0066035745176598</v>
      </c>
      <c r="AI2749">
        <v>89.6218971945965</v>
      </c>
      <c r="AJ2749">
        <v>87.170002708539798</v>
      </c>
      <c r="AK2749">
        <v>3.0103403780620002</v>
      </c>
      <c r="AL2749">
        <v>84.591757170906902</v>
      </c>
      <c r="AM2749">
        <v>88.389966116030905</v>
      </c>
      <c r="AN2749">
        <v>1.00000001723347</v>
      </c>
    </row>
    <row r="2750" spans="1:40" x14ac:dyDescent="0.25">
      <c r="A2750" t="str">
        <f>"20190303161929454"</f>
        <v>20190303161929454</v>
      </c>
      <c r="B2750" t="str">
        <f>"1551601169445256"</f>
        <v>1551601169445256</v>
      </c>
      <c r="C2750" t="s">
        <v>40</v>
      </c>
      <c r="D2750">
        <v>4.4421999999999997</v>
      </c>
      <c r="E2750">
        <v>0.51016859999999997</v>
      </c>
      <c r="F2750" t="s">
        <v>58</v>
      </c>
      <c r="G2750">
        <v>0</v>
      </c>
      <c r="H2750">
        <v>0</v>
      </c>
      <c r="I2750">
        <v>0</v>
      </c>
      <c r="J2750">
        <v>-209.3244</v>
      </c>
      <c r="K2750">
        <v>1.1214679999999999</v>
      </c>
      <c r="L2750">
        <v>283.80360000000002</v>
      </c>
      <c r="M2750">
        <v>-0.99815759999999998</v>
      </c>
      <c r="N2750">
        <v>-1.1812120000000001E-2</v>
      </c>
      <c r="O2750">
        <v>-5.951538E-2</v>
      </c>
      <c r="P2750">
        <v>-0.9965832</v>
      </c>
      <c r="Q2750">
        <v>7.9394129999999993E-2</v>
      </c>
      <c r="R2750">
        <v>-2.278198E-2</v>
      </c>
      <c r="S2750">
        <v>-3.010529</v>
      </c>
      <c r="T2750">
        <v>1.2597560000000001E-2</v>
      </c>
      <c r="U2750">
        <v>-5.3710939999999999E-3</v>
      </c>
      <c r="V2750">
        <v>3.657117E-2</v>
      </c>
      <c r="W2750">
        <v>9.1156899999999999E-2</v>
      </c>
      <c r="X2750">
        <v>0.99516479999999996</v>
      </c>
      <c r="Y2750">
        <v>5.77318E-2</v>
      </c>
      <c r="Z2750">
        <v>-7.3207509999999895E-4</v>
      </c>
      <c r="AA2750">
        <v>0.99833179999999999</v>
      </c>
      <c r="AB2750">
        <v>7</v>
      </c>
      <c r="AC2750">
        <v>-3.010529</v>
      </c>
      <c r="AD2750">
        <v>1.2597560000000001E-2</v>
      </c>
      <c r="AE2750">
        <v>-5.3710939999999999E-3</v>
      </c>
      <c r="AF2750">
        <v>0.173820644965819</v>
      </c>
      <c r="AG2750">
        <v>1.2597560000000001E-2</v>
      </c>
      <c r="AH2750">
        <v>3.0054588174146901</v>
      </c>
      <c r="AI2750">
        <v>89.760243366897498</v>
      </c>
      <c r="AJ2750">
        <v>86.6899870961864</v>
      </c>
      <c r="AK2750">
        <v>3.0105074353520598</v>
      </c>
      <c r="AL2750">
        <v>84.769833841462201</v>
      </c>
      <c r="AM2750">
        <v>87.895392598289803</v>
      </c>
      <c r="AN2750">
        <v>1.0000000050258999</v>
      </c>
    </row>
    <row r="2751" spans="1:40" x14ac:dyDescent="0.25">
      <c r="A2751" t="str">
        <f>"20190303161929475"</f>
        <v>20190303161929475</v>
      </c>
      <c r="B2751" t="str">
        <f>"1551601169465752"</f>
        <v>1551601169465752</v>
      </c>
      <c r="C2751" t="s">
        <v>40</v>
      </c>
      <c r="D2751">
        <v>4.4764819999999999</v>
      </c>
      <c r="E2751">
        <v>0.5097623</v>
      </c>
      <c r="F2751" t="s">
        <v>58</v>
      </c>
      <c r="G2751">
        <v>0</v>
      </c>
      <c r="H2751">
        <v>0</v>
      </c>
      <c r="I2751">
        <v>0</v>
      </c>
      <c r="J2751">
        <v>-209.39230000000001</v>
      </c>
      <c r="K2751">
        <v>1.1214599999999999</v>
      </c>
      <c r="L2751">
        <v>283.79950000000002</v>
      </c>
      <c r="M2751">
        <v>-0.99815030000000005</v>
      </c>
      <c r="N2751">
        <v>-1.1807349999999999E-2</v>
      </c>
      <c r="O2751">
        <v>-5.9637530000000001E-2</v>
      </c>
      <c r="P2751">
        <v>-0.99702049999999998</v>
      </c>
      <c r="Q2751">
        <v>7.5649359999999999E-2</v>
      </c>
      <c r="R2751">
        <v>-1.508396E-2</v>
      </c>
      <c r="S2751">
        <v>-3.010437</v>
      </c>
      <c r="T2751">
        <v>3.3478739999999998E-3</v>
      </c>
      <c r="U2751">
        <v>1.8127440000000002E-2</v>
      </c>
      <c r="V2751">
        <v>4.4401879999999998E-2</v>
      </c>
      <c r="W2751">
        <v>8.7408260000000002E-2</v>
      </c>
      <c r="X2751">
        <v>0.99518249999999997</v>
      </c>
      <c r="Y2751">
        <v>6.564673E-2</v>
      </c>
      <c r="Z2751">
        <v>-4.1968319999999997E-4</v>
      </c>
      <c r="AA2751">
        <v>0.99784280000000003</v>
      </c>
      <c r="AB2751">
        <v>7</v>
      </c>
      <c r="AC2751">
        <v>-3.010437</v>
      </c>
      <c r="AD2751">
        <v>3.3478739999999998E-3</v>
      </c>
      <c r="AE2751">
        <v>1.8127440000000002E-2</v>
      </c>
      <c r="AF2751">
        <v>0.19764246275636699</v>
      </c>
      <c r="AG2751">
        <v>3.3478739999999998E-3</v>
      </c>
      <c r="AH2751">
        <v>3.0039931050996902</v>
      </c>
      <c r="AI2751">
        <v>89.936283094044697</v>
      </c>
      <c r="AJ2751">
        <v>86.235749826095599</v>
      </c>
      <c r="AK2751">
        <v>3.0104897154501602</v>
      </c>
      <c r="AL2751">
        <v>84.985476247008805</v>
      </c>
      <c r="AM2751">
        <v>87.445338686355299</v>
      </c>
      <c r="AN2751">
        <v>0.99999996958500503</v>
      </c>
    </row>
    <row r="2752" spans="1:40" x14ac:dyDescent="0.25">
      <c r="A2752" t="str">
        <f>"20190303161929496"</f>
        <v>20190303161929496</v>
      </c>
      <c r="B2752" t="str">
        <f>"1551601169485272"</f>
        <v>1551601169485272</v>
      </c>
      <c r="C2752" t="s">
        <v>40</v>
      </c>
      <c r="D2752">
        <v>4.4408659999999998</v>
      </c>
      <c r="E2752">
        <v>0.50953950000000003</v>
      </c>
      <c r="F2752" t="s">
        <v>58</v>
      </c>
      <c r="G2752">
        <v>0</v>
      </c>
      <c r="H2752">
        <v>0</v>
      </c>
      <c r="I2752">
        <v>0</v>
      </c>
      <c r="J2752">
        <v>-209.45580000000001</v>
      </c>
      <c r="K2752">
        <v>1.1214599999999999</v>
      </c>
      <c r="L2752">
        <v>283.79559999999998</v>
      </c>
      <c r="M2752">
        <v>-0.99814210000000003</v>
      </c>
      <c r="N2752">
        <v>-1.180227E-2</v>
      </c>
      <c r="O2752">
        <v>-5.9775250000000002E-2</v>
      </c>
      <c r="P2752">
        <v>-0.99731329999999996</v>
      </c>
      <c r="Q2752">
        <v>7.2640029999999994E-2</v>
      </c>
      <c r="R2752">
        <v>-9.4629459999999999E-3</v>
      </c>
      <c r="S2752">
        <v>-3.010132</v>
      </c>
      <c r="T2752">
        <v>-7.8364609999999994E-3</v>
      </c>
      <c r="U2752">
        <v>3.8116459999999998E-2</v>
      </c>
      <c r="V2752">
        <v>5.016528E-2</v>
      </c>
      <c r="W2752">
        <v>8.4395810000000002E-2</v>
      </c>
      <c r="X2752">
        <v>0.99516870000000002</v>
      </c>
      <c r="Y2752">
        <v>7.240982E-2</v>
      </c>
      <c r="Z2752" s="1">
        <v>-2.859146E-5</v>
      </c>
      <c r="AA2752">
        <v>0.99737500000000001</v>
      </c>
      <c r="AB2752">
        <v>7</v>
      </c>
      <c r="AC2752">
        <v>-3.010132</v>
      </c>
      <c r="AD2752">
        <v>-7.8364609999999994E-3</v>
      </c>
      <c r="AE2752">
        <v>3.8116459999999998E-2</v>
      </c>
      <c r="AF2752">
        <v>0.21799073923411899</v>
      </c>
      <c r="AG2752">
        <v>-7.8364609999999994E-3</v>
      </c>
      <c r="AH2752">
        <v>3.0024497898485301</v>
      </c>
      <c r="AI2752">
        <v>90.149150328665201</v>
      </c>
      <c r="AJ2752">
        <v>85.847367010186403</v>
      </c>
      <c r="AK2752">
        <v>3.01036311980371</v>
      </c>
      <c r="AL2752">
        <v>85.158717386079303</v>
      </c>
      <c r="AM2752">
        <v>87.114229996545504</v>
      </c>
      <c r="AN2752">
        <v>0.99999997476136104</v>
      </c>
    </row>
    <row r="2753" spans="1:40" x14ac:dyDescent="0.25">
      <c r="A2753" t="str">
        <f>"20190303161929519"</f>
        <v>20190303161929519</v>
      </c>
      <c r="B2753" t="str">
        <f>"1551601169505768"</f>
        <v>1551601169505768</v>
      </c>
      <c r="C2753" t="s">
        <v>40</v>
      </c>
      <c r="D2753">
        <v>4.4192580000000001</v>
      </c>
      <c r="E2753">
        <v>0.50273290000000004</v>
      </c>
      <c r="F2753" t="s">
        <v>56</v>
      </c>
      <c r="G2753">
        <v>-405.84710000000001</v>
      </c>
      <c r="H2753" s="1">
        <v>5.2567859999999901E-6</v>
      </c>
      <c r="I2753">
        <v>287.29020000000003</v>
      </c>
      <c r="J2753">
        <v>-209.5284</v>
      </c>
      <c r="K2753">
        <v>1.121475</v>
      </c>
      <c r="L2753">
        <v>283.791</v>
      </c>
      <c r="M2753">
        <v>-0.99813059999999998</v>
      </c>
      <c r="N2753">
        <v>-1.180353E-2</v>
      </c>
      <c r="O2753">
        <v>-5.9969050000000003E-2</v>
      </c>
      <c r="P2753">
        <v>-0.99740510000000004</v>
      </c>
      <c r="Q2753">
        <v>7.1700189999999997E-2</v>
      </c>
      <c r="R2753">
        <v>-6.5288269999999897E-3</v>
      </c>
      <c r="S2753">
        <v>-3.0098419999999999</v>
      </c>
      <c r="T2753">
        <v>-1.718712E-2</v>
      </c>
      <c r="U2753">
        <v>5.3558349999999998E-2</v>
      </c>
      <c r="V2753">
        <v>5.3288559999999999E-2</v>
      </c>
      <c r="W2753">
        <v>8.3458809999999994E-2</v>
      </c>
      <c r="X2753">
        <v>0.99508540000000001</v>
      </c>
      <c r="Y2753">
        <v>7.7718309999999999E-2</v>
      </c>
      <c r="Z2753">
        <v>3.1487479999999998E-4</v>
      </c>
      <c r="AA2753">
        <v>0.99697530000000001</v>
      </c>
      <c r="AB2753">
        <v>7</v>
      </c>
      <c r="AC2753">
        <v>-196.31870000000001</v>
      </c>
      <c r="AD2753">
        <v>-1.1214697432139999</v>
      </c>
      <c r="AE2753">
        <v>3.4992000000000298</v>
      </c>
      <c r="AF2753">
        <v>15.2662677292941</v>
      </c>
      <c r="AG2753">
        <v>-1.1214697432139999</v>
      </c>
      <c r="AH2753">
        <v>195.74907962557199</v>
      </c>
      <c r="AI2753">
        <v>90.3272570357219</v>
      </c>
      <c r="AJ2753">
        <v>85.540588081728103</v>
      </c>
      <c r="AK2753">
        <v>196.34668013242799</v>
      </c>
      <c r="AL2753">
        <v>85.212593730340998</v>
      </c>
      <c r="AM2753">
        <v>86.934639034948901</v>
      </c>
      <c r="AN2753">
        <v>0.99999999844332399</v>
      </c>
    </row>
    <row r="2754" spans="1:40" x14ac:dyDescent="0.25">
      <c r="A2754" t="str">
        <f>"20190303161929541"</f>
        <v>20190303161929541</v>
      </c>
      <c r="B2754" t="str">
        <f>"1551601169536026"</f>
        <v>1551601169536026</v>
      </c>
      <c r="C2754" t="s">
        <v>40</v>
      </c>
      <c r="D2754">
        <v>4.4418230000000003</v>
      </c>
      <c r="E2754">
        <v>0.50116320000000003</v>
      </c>
      <c r="F2754" t="s">
        <v>52</v>
      </c>
      <c r="G2754">
        <v>-364.791</v>
      </c>
      <c r="H2754" s="1">
        <v>1.0127569999999999E-6</v>
      </c>
      <c r="I2754">
        <v>284.21769999999998</v>
      </c>
      <c r="J2754">
        <v>-209.59800000000001</v>
      </c>
      <c r="K2754">
        <v>1.121367</v>
      </c>
      <c r="L2754">
        <v>283.78660000000002</v>
      </c>
      <c r="M2754">
        <v>-0.99812179999999995</v>
      </c>
      <c r="N2754">
        <v>-1.1321579999999999E-2</v>
      </c>
      <c r="O2754">
        <v>-6.0204929999999997E-2</v>
      </c>
      <c r="P2754">
        <v>-0.99739469999999997</v>
      </c>
      <c r="Q2754">
        <v>7.1975199999999906E-2</v>
      </c>
      <c r="R2754">
        <v>-4.8431960000000001E-3</v>
      </c>
      <c r="S2754">
        <v>-3.0094449999999999</v>
      </c>
      <c r="T2754">
        <v>-2.173746E-2</v>
      </c>
      <c r="U2754">
        <v>8.2702639999999994E-3</v>
      </c>
      <c r="V2754">
        <v>5.520038E-2</v>
      </c>
      <c r="W2754">
        <v>8.3256849999999993E-2</v>
      </c>
      <c r="X2754">
        <v>0.9949981</v>
      </c>
      <c r="Y2754">
        <v>6.294698E-2</v>
      </c>
      <c r="Z2754">
        <v>3.3641969999999999E-4</v>
      </c>
      <c r="AA2754">
        <v>0.99801680000000004</v>
      </c>
      <c r="AB2754">
        <v>7</v>
      </c>
      <c r="AC2754">
        <v>-155.19299999999899</v>
      </c>
      <c r="AD2754">
        <v>-1.121365987243</v>
      </c>
      <c r="AE2754">
        <v>0.43109999999995802</v>
      </c>
      <c r="AF2754">
        <v>9.7737904697966496</v>
      </c>
      <c r="AG2754">
        <v>-1.121365987243</v>
      </c>
      <c r="AH2754">
        <v>154.87740761533701</v>
      </c>
      <c r="AI2754">
        <v>90.414010468280907</v>
      </c>
      <c r="AJ2754">
        <v>86.389045130909096</v>
      </c>
      <c r="AK2754">
        <v>155.189548074192</v>
      </c>
      <c r="AL2754">
        <v>85.224205616122902</v>
      </c>
      <c r="AM2754">
        <v>86.824606984988904</v>
      </c>
      <c r="AN2754">
        <v>1.00000000201383</v>
      </c>
    </row>
    <row r="2755" spans="1:40" x14ac:dyDescent="0.25">
      <c r="A2755" t="str">
        <f>"20190303161929566"</f>
        <v>20190303161929566</v>
      </c>
      <c r="B2755" t="str">
        <f>"1551601169555544"</f>
        <v>1551601169555544</v>
      </c>
      <c r="C2755" t="s">
        <v>40</v>
      </c>
      <c r="D2755">
        <v>4.4280480000000004</v>
      </c>
      <c r="E2755">
        <v>0.49974059999999998</v>
      </c>
      <c r="F2755" t="s">
        <v>52</v>
      </c>
      <c r="G2755">
        <v>-451.7321</v>
      </c>
      <c r="H2755" s="1">
        <v>-5.8287519999999904E-7</v>
      </c>
      <c r="I2755">
        <v>283.87990000000002</v>
      </c>
      <c r="J2755">
        <v>-209.67699999999999</v>
      </c>
      <c r="K2755">
        <v>1.1211549999999999</v>
      </c>
      <c r="L2755">
        <v>283.78149999999999</v>
      </c>
      <c r="M2755">
        <v>-0.99811269999999996</v>
      </c>
      <c r="N2755">
        <v>-1.0346950000000001E-2</v>
      </c>
      <c r="O2755">
        <v>-6.0532389999999998E-2</v>
      </c>
      <c r="P2755">
        <v>-0.99735859999999998</v>
      </c>
      <c r="Q2755">
        <v>7.2524140000000001E-2</v>
      </c>
      <c r="R2755">
        <v>-4.05346E-3</v>
      </c>
      <c r="S2755">
        <v>-3.0088650000000001</v>
      </c>
      <c r="T2755">
        <v>-1.393461E-2</v>
      </c>
      <c r="U2755">
        <v>1.159668E-3</v>
      </c>
      <c r="V2755">
        <v>5.630603E-2</v>
      </c>
      <c r="W2755">
        <v>8.2839640000000006E-2</v>
      </c>
      <c r="X2755">
        <v>0.99497100000000005</v>
      </c>
      <c r="Y2755">
        <v>6.0917239999999998E-2</v>
      </c>
      <c r="Z2755">
        <v>1.098017E-4</v>
      </c>
      <c r="AA2755">
        <v>0.9981428</v>
      </c>
      <c r="AB2755">
        <v>7</v>
      </c>
      <c r="AC2755">
        <v>-242.05510000000001</v>
      </c>
      <c r="AD2755">
        <v>-1.1211555828752</v>
      </c>
      <c r="AE2755">
        <v>9.8400000000026397E-2</v>
      </c>
      <c r="AF2755">
        <v>14.7508597774824</v>
      </c>
      <c r="AG2755">
        <v>-1.1211555828752</v>
      </c>
      <c r="AH2755">
        <v>241.600040057141</v>
      </c>
      <c r="AI2755">
        <v>90.265387494422896</v>
      </c>
      <c r="AJ2755">
        <v>86.506150485785099</v>
      </c>
      <c r="AK2755">
        <v>242.05252365887</v>
      </c>
      <c r="AL2755">
        <v>85.248192998789307</v>
      </c>
      <c r="AM2755">
        <v>86.761050699706502</v>
      </c>
      <c r="AN2755">
        <v>1.00000003290534</v>
      </c>
    </row>
    <row r="2756" spans="1:40" x14ac:dyDescent="0.25">
      <c r="A2756" t="str">
        <f>"20190303161929587"</f>
        <v>20190303161929587</v>
      </c>
      <c r="B2756" t="str">
        <f>"1551601169575064"</f>
        <v>1551601169575064</v>
      </c>
      <c r="C2756" t="s">
        <v>40</v>
      </c>
      <c r="D2756">
        <v>4.4197689999999996</v>
      </c>
      <c r="E2756">
        <v>0.49862099999999998</v>
      </c>
      <c r="F2756" t="s">
        <v>58</v>
      </c>
      <c r="G2756">
        <v>0</v>
      </c>
      <c r="H2756">
        <v>0</v>
      </c>
      <c r="I2756">
        <v>0</v>
      </c>
      <c r="J2756">
        <v>-209.75030000000001</v>
      </c>
      <c r="K2756">
        <v>1.121062</v>
      </c>
      <c r="L2756">
        <v>283.77670000000001</v>
      </c>
      <c r="M2756">
        <v>-0.99809800000000004</v>
      </c>
      <c r="N2756">
        <v>-9.6882210000000003E-3</v>
      </c>
      <c r="O2756">
        <v>-6.0884269999999997E-2</v>
      </c>
      <c r="P2756">
        <v>-0.99732659999999995</v>
      </c>
      <c r="Q2756">
        <v>7.2979009999999997E-2</v>
      </c>
      <c r="R2756">
        <v>-3.7581630000000001E-3</v>
      </c>
      <c r="S2756">
        <v>-3.008499</v>
      </c>
      <c r="T2756">
        <v>-8.0456729999999997E-3</v>
      </c>
      <c r="U2756">
        <v>-8.2702639999999994E-3</v>
      </c>
      <c r="V2756">
        <v>5.6944439999999999E-2</v>
      </c>
      <c r="W2756">
        <v>8.2641969999999995E-2</v>
      </c>
      <c r="X2756">
        <v>0.99495109999999998</v>
      </c>
      <c r="Y2756">
        <v>5.8140570000000003E-2</v>
      </c>
      <c r="Z2756" s="1">
        <v>-6.8026099999999996E-5</v>
      </c>
      <c r="AA2756">
        <v>0.99830839999999998</v>
      </c>
      <c r="AB2756">
        <v>7</v>
      </c>
      <c r="AC2756">
        <v>-3.008499</v>
      </c>
      <c r="AD2756">
        <v>-8.0456729999999997E-3</v>
      </c>
      <c r="AE2756">
        <v>-8.2702639999999994E-3</v>
      </c>
      <c r="AF2756">
        <v>0.174922657262405</v>
      </c>
      <c r="AG2756">
        <v>-8.0456729999999997E-3</v>
      </c>
      <c r="AH2756">
        <v>3.0033992791376698</v>
      </c>
      <c r="AI2756">
        <v>90.153227095099695</v>
      </c>
      <c r="AJ2756">
        <v>86.666769916077101</v>
      </c>
      <c r="AK2756">
        <v>3.0084996092408698</v>
      </c>
      <c r="AL2756">
        <v>85.259557599641695</v>
      </c>
      <c r="AM2756">
        <v>86.724340936357507</v>
      </c>
      <c r="AN2756">
        <v>1.0000000279218</v>
      </c>
    </row>
    <row r="2757" spans="1:40" x14ac:dyDescent="0.25">
      <c r="A2757" t="str">
        <f>"20190303161929608"</f>
        <v>20190303161929608</v>
      </c>
      <c r="B2757" t="str">
        <f>"1551601169595564"</f>
        <v>1551601169595564</v>
      </c>
      <c r="C2757" t="s">
        <v>40</v>
      </c>
      <c r="D2757">
        <v>4.4208309999999997</v>
      </c>
      <c r="E2757">
        <v>0.497753</v>
      </c>
      <c r="F2757" t="s">
        <v>58</v>
      </c>
      <c r="G2757">
        <v>0</v>
      </c>
      <c r="H2757">
        <v>0</v>
      </c>
      <c r="I2757">
        <v>0</v>
      </c>
      <c r="J2757">
        <v>-209.816</v>
      </c>
      <c r="K2757">
        <v>1.1213379999999999</v>
      </c>
      <c r="L2757">
        <v>283.77229999999997</v>
      </c>
      <c r="M2757">
        <v>-0.99807199999999996</v>
      </c>
      <c r="N2757">
        <v>-1.0521040000000001E-2</v>
      </c>
      <c r="O2757">
        <v>-6.1170269999999999E-2</v>
      </c>
      <c r="P2757">
        <v>-0.99729820000000002</v>
      </c>
      <c r="Q2757">
        <v>7.3332560000000005E-2</v>
      </c>
      <c r="R2757">
        <v>-4.3178560000000001E-3</v>
      </c>
      <c r="S2757">
        <v>-3.008041</v>
      </c>
      <c r="T2757">
        <v>-1.0871889999999999E-3</v>
      </c>
      <c r="U2757">
        <v>-1.6815190000000001E-2</v>
      </c>
      <c r="V2757">
        <v>5.667316E-2</v>
      </c>
      <c r="W2757">
        <v>8.3821370000000006E-2</v>
      </c>
      <c r="X2757">
        <v>0.99486790000000003</v>
      </c>
      <c r="Y2757">
        <v>5.5589920000000001E-2</v>
      </c>
      <c r="Z2757">
        <v>-3.1933200000000003E-4</v>
      </c>
      <c r="AA2757">
        <v>0.99845360000000005</v>
      </c>
      <c r="AB2757">
        <v>8</v>
      </c>
      <c r="AC2757">
        <v>-3.008041</v>
      </c>
      <c r="AD2757">
        <v>-1.0871889999999999E-3</v>
      </c>
      <c r="AE2757">
        <v>-1.6815190000000001E-2</v>
      </c>
      <c r="AF2757">
        <v>0.16722912605016799</v>
      </c>
      <c r="AG2757">
        <v>-1.0871889999999999E-3</v>
      </c>
      <c r="AH2757">
        <v>3.0034356100533999</v>
      </c>
      <c r="AI2757">
        <v>90.020707953584903</v>
      </c>
      <c r="AJ2757">
        <v>86.8131029708196</v>
      </c>
      <c r="AK2757">
        <v>3.0080878022950501</v>
      </c>
      <c r="AL2757">
        <v>85.191747553654395</v>
      </c>
      <c r="AM2757">
        <v>86.739640195591093</v>
      </c>
      <c r="AN2757">
        <v>1.00000000379173</v>
      </c>
    </row>
    <row r="2758" spans="1:40" x14ac:dyDescent="0.25">
      <c r="A2758" t="str">
        <f>"20190303161929630"</f>
        <v>20190303161929630</v>
      </c>
      <c r="B2758" t="str">
        <f>"1551601169625816"</f>
        <v>1551601169625816</v>
      </c>
      <c r="C2758" t="s">
        <v>40</v>
      </c>
      <c r="D2758">
        <v>4.407934</v>
      </c>
      <c r="E2758">
        <v>0.49643500000000002</v>
      </c>
      <c r="F2758" t="s">
        <v>58</v>
      </c>
      <c r="G2758">
        <v>0</v>
      </c>
      <c r="H2758">
        <v>0</v>
      </c>
      <c r="I2758">
        <v>0</v>
      </c>
      <c r="J2758">
        <v>-209.8827</v>
      </c>
      <c r="K2758">
        <v>1.121758</v>
      </c>
      <c r="L2758">
        <v>283.76780000000002</v>
      </c>
      <c r="M2758">
        <v>-0.99803649999999999</v>
      </c>
      <c r="N2758">
        <v>-1.21377E-2</v>
      </c>
      <c r="O2758">
        <v>-6.1448000000000003E-2</v>
      </c>
      <c r="P2758">
        <v>-0.99728519999999998</v>
      </c>
      <c r="Q2758">
        <v>7.3450849999999998E-2</v>
      </c>
      <c r="R2758">
        <v>-5.2099759999999998E-3</v>
      </c>
      <c r="S2758">
        <v>-3.0077060000000002</v>
      </c>
      <c r="T2758">
        <v>3.9919609999999996E-3</v>
      </c>
      <c r="U2758">
        <v>-2.5970460000000001E-2</v>
      </c>
      <c r="V2758">
        <v>5.606858E-2</v>
      </c>
      <c r="W2758">
        <v>8.5542750000000001E-2</v>
      </c>
      <c r="X2758">
        <v>0.99475559999999996</v>
      </c>
      <c r="Y2758">
        <v>5.282705E-2</v>
      </c>
      <c r="Z2758">
        <v>-5.4220159999999996E-4</v>
      </c>
      <c r="AA2758">
        <v>0.99860349999999998</v>
      </c>
      <c r="AB2758">
        <v>7</v>
      </c>
      <c r="AC2758">
        <v>-3.0077060000000002</v>
      </c>
      <c r="AD2758">
        <v>3.9919609999999996E-3</v>
      </c>
      <c r="AE2758">
        <v>-2.5970460000000001E-2</v>
      </c>
      <c r="AF2758">
        <v>0.15890947455371299</v>
      </c>
      <c r="AG2758">
        <v>3.9919609999999996E-3</v>
      </c>
      <c r="AH2758">
        <v>3.0036121178848298</v>
      </c>
      <c r="AI2758">
        <v>89.9239572418644</v>
      </c>
      <c r="AJ2758">
        <v>86.971525914710497</v>
      </c>
      <c r="AK2758">
        <v>3.0078154716604799</v>
      </c>
      <c r="AL2758">
        <v>85.092764048591505</v>
      </c>
      <c r="AM2758">
        <v>86.773983959049502</v>
      </c>
      <c r="AN2758">
        <v>0.99999997573606902</v>
      </c>
    </row>
    <row r="2759" spans="1:40" x14ac:dyDescent="0.25">
      <c r="A2759" t="str">
        <f>"20190303161929653"</f>
        <v>20190303161929653</v>
      </c>
      <c r="B2759" t="str">
        <f>"1551601169645336"</f>
        <v>1551601169645336</v>
      </c>
      <c r="C2759" t="s">
        <v>40</v>
      </c>
      <c r="D2759">
        <v>4.4356720000000003</v>
      </c>
      <c r="E2759">
        <v>0.49572159999999899</v>
      </c>
      <c r="F2759" t="s">
        <v>57</v>
      </c>
      <c r="G2759">
        <v>-552.01480000000004</v>
      </c>
      <c r="H2759">
        <v>1.8768929999999999</v>
      </c>
      <c r="I2759">
        <v>279.27539999999999</v>
      </c>
      <c r="J2759">
        <v>-209.94630000000001</v>
      </c>
      <c r="K2759">
        <v>1.122061</v>
      </c>
      <c r="L2759">
        <v>283.76350000000002</v>
      </c>
      <c r="M2759">
        <v>-0.99800060000000002</v>
      </c>
      <c r="N2759">
        <v>-1.346144E-2</v>
      </c>
      <c r="O2759">
        <v>-6.1756760000000001E-2</v>
      </c>
      <c r="P2759">
        <v>-0.99717789999999995</v>
      </c>
      <c r="Q2759">
        <v>7.4844579999999994E-2</v>
      </c>
      <c r="R2759">
        <v>-5.8979159999999996E-3</v>
      </c>
      <c r="S2759">
        <v>-3.0074770000000002</v>
      </c>
      <c r="T2759">
        <v>6.6386459999999998E-3</v>
      </c>
      <c r="U2759">
        <v>-3.9489749999999997E-2</v>
      </c>
      <c r="V2759">
        <v>5.5686279999999998E-2</v>
      </c>
      <c r="W2759">
        <v>8.8249949999999994E-2</v>
      </c>
      <c r="X2759">
        <v>0.9945406</v>
      </c>
      <c r="Y2759">
        <v>4.8645720000000003E-2</v>
      </c>
      <c r="Z2759">
        <v>-6.9428630000000001E-4</v>
      </c>
      <c r="AA2759">
        <v>0.99881580000000003</v>
      </c>
      <c r="AB2759">
        <v>7</v>
      </c>
      <c r="AC2759">
        <v>-342.06849999999997</v>
      </c>
      <c r="AD2759">
        <v>0.75483199999999995</v>
      </c>
      <c r="AE2759">
        <v>-4.4881000000000304</v>
      </c>
      <c r="AF2759">
        <v>16.6473405857435</v>
      </c>
      <c r="AG2759">
        <v>0.75483199999999995</v>
      </c>
      <c r="AH2759">
        <v>341.69098356688801</v>
      </c>
      <c r="AI2759">
        <v>89.873577642722594</v>
      </c>
      <c r="AJ2759">
        <v>87.210729038967301</v>
      </c>
      <c r="AK2759">
        <v>342.09710897760198</v>
      </c>
      <c r="AL2759">
        <v>84.937064078983198</v>
      </c>
      <c r="AM2759">
        <v>86.795243143207799</v>
      </c>
      <c r="AN2759">
        <v>1.0000000102518001</v>
      </c>
    </row>
    <row r="2760" spans="1:40" x14ac:dyDescent="0.25">
      <c r="A2760" t="str">
        <f>"20190303161929675"</f>
        <v>20190303161929675</v>
      </c>
      <c r="B2760" t="str">
        <f>"1551601169665832"</f>
        <v>1551601169665832</v>
      </c>
      <c r="C2760" t="s">
        <v>40</v>
      </c>
      <c r="D2760">
        <v>4.4525629999999996</v>
      </c>
      <c r="E2760">
        <v>0.4951893</v>
      </c>
      <c r="F2760" t="s">
        <v>57</v>
      </c>
      <c r="G2760">
        <v>-511.95949999999999</v>
      </c>
      <c r="H2760">
        <v>2.5394030000000001</v>
      </c>
      <c r="I2760">
        <v>278.93009999999998</v>
      </c>
      <c r="J2760">
        <v>-210.01259999999999</v>
      </c>
      <c r="K2760">
        <v>1.1219809999999999</v>
      </c>
      <c r="L2760">
        <v>283.75900000000001</v>
      </c>
      <c r="M2760">
        <v>-0.9979749</v>
      </c>
      <c r="N2760">
        <v>-1.32903E-2</v>
      </c>
      <c r="O2760">
        <v>-6.2205910000000003E-2</v>
      </c>
      <c r="P2760">
        <v>-0.99681240000000004</v>
      </c>
      <c r="Q2760">
        <v>7.9569829999999994E-2</v>
      </c>
      <c r="R2760">
        <v>-5.7974469999999998E-3</v>
      </c>
      <c r="S2760">
        <v>-3.007126</v>
      </c>
      <c r="T2760">
        <v>1.4113189999999999E-2</v>
      </c>
      <c r="U2760">
        <v>-4.8126219999999997E-2</v>
      </c>
      <c r="V2760">
        <v>5.6199390000000002E-2</v>
      </c>
      <c r="W2760">
        <v>9.2806410000000006E-2</v>
      </c>
      <c r="X2760">
        <v>0.99409689999999995</v>
      </c>
      <c r="Y2760">
        <v>4.6223300000000002E-2</v>
      </c>
      <c r="Z2760">
        <v>-9.2022489999999996E-4</v>
      </c>
      <c r="AA2760">
        <v>0.99893069999999895</v>
      </c>
      <c r="AB2760">
        <v>6</v>
      </c>
      <c r="AC2760">
        <v>-301.94690000000003</v>
      </c>
      <c r="AD2760">
        <v>1.417422</v>
      </c>
      <c r="AE2760">
        <v>-4.8289000000000302</v>
      </c>
      <c r="AF2760">
        <v>13.964685672067899</v>
      </c>
      <c r="AG2760">
        <v>1.417422</v>
      </c>
      <c r="AH2760">
        <v>301.65579426132001</v>
      </c>
      <c r="AI2760">
        <v>89.731068252482402</v>
      </c>
      <c r="AJ2760">
        <v>87.349473381538203</v>
      </c>
      <c r="AK2760">
        <v>301.98218447861098</v>
      </c>
      <c r="AL2760">
        <v>84.674921608601906</v>
      </c>
      <c r="AM2760">
        <v>86.764335479962796</v>
      </c>
      <c r="AN2760">
        <v>1.0000000238815301</v>
      </c>
    </row>
    <row r="2761" spans="1:40" x14ac:dyDescent="0.25">
      <c r="A2761" t="str">
        <f>"20190303161929697"</f>
        <v>20190303161929697</v>
      </c>
      <c r="B2761" t="str">
        <f>"1551601169685352"</f>
        <v>1551601169685352</v>
      </c>
      <c r="C2761" t="s">
        <v>40</v>
      </c>
      <c r="D2761">
        <v>4.4211790000000004</v>
      </c>
      <c r="E2761">
        <v>0.49461490000000002</v>
      </c>
      <c r="F2761" t="s">
        <v>57</v>
      </c>
      <c r="G2761">
        <v>-511.9599</v>
      </c>
      <c r="H2761">
        <v>3.9016130000000002</v>
      </c>
      <c r="I2761">
        <v>278.48219999999998</v>
      </c>
      <c r="J2761">
        <v>-210.08240000000001</v>
      </c>
      <c r="K2761">
        <v>1.121648</v>
      </c>
      <c r="L2761">
        <v>283.75409999999999</v>
      </c>
      <c r="M2761">
        <v>-0.99795529999999999</v>
      </c>
      <c r="N2761">
        <v>-1.2048359999999999E-2</v>
      </c>
      <c r="O2761">
        <v>-6.277162E-2</v>
      </c>
      <c r="P2761">
        <v>-0.99641440000000003</v>
      </c>
      <c r="Q2761">
        <v>8.4489229999999998E-2</v>
      </c>
      <c r="R2761">
        <v>-4.4919699999999996E-3</v>
      </c>
      <c r="S2761">
        <v>-3.0070800000000002</v>
      </c>
      <c r="T2761">
        <v>2.7683019999999999E-2</v>
      </c>
      <c r="U2761">
        <v>-5.2551269999999997E-2</v>
      </c>
      <c r="V2761">
        <v>5.8024409999999998E-2</v>
      </c>
      <c r="W2761">
        <v>9.6494339999999998E-2</v>
      </c>
      <c r="X2761">
        <v>0.99364079999999999</v>
      </c>
      <c r="Y2761">
        <v>4.5314269999999997E-2</v>
      </c>
      <c r="Z2761">
        <v>-1.269706E-3</v>
      </c>
      <c r="AA2761">
        <v>0.99897199999999997</v>
      </c>
      <c r="AB2761">
        <v>7</v>
      </c>
      <c r="AC2761">
        <v>-301.8775</v>
      </c>
      <c r="AD2761">
        <v>2.7799649999999998</v>
      </c>
      <c r="AE2761">
        <v>-5.2719000000000102</v>
      </c>
      <c r="AF2761">
        <v>13.688050833825001</v>
      </c>
      <c r="AG2761">
        <v>2.7799649999999998</v>
      </c>
      <c r="AH2761">
        <v>301.58746783438801</v>
      </c>
      <c r="AI2761">
        <v>89.472418518866107</v>
      </c>
      <c r="AJ2761">
        <v>87.401318776526296</v>
      </c>
      <c r="AK2761">
        <v>301.91073464815503</v>
      </c>
      <c r="AL2761">
        <v>84.4626657074338</v>
      </c>
      <c r="AM2761">
        <v>86.657964796159703</v>
      </c>
      <c r="AN2761">
        <v>1.00000001461626</v>
      </c>
    </row>
    <row r="2762" spans="1:40" x14ac:dyDescent="0.25">
      <c r="A2762" t="str">
        <f>"20190303161929720"</f>
        <v>20190303161929720</v>
      </c>
      <c r="B2762" t="str">
        <f>"1551601169715608"</f>
        <v>1551601169715608</v>
      </c>
      <c r="C2762" t="s">
        <v>40</v>
      </c>
      <c r="D2762">
        <v>4.4486840000000001</v>
      </c>
      <c r="E2762">
        <v>0.49376829999999999</v>
      </c>
      <c r="F2762" t="s">
        <v>57</v>
      </c>
      <c r="G2762">
        <v>-511.96039999999999</v>
      </c>
      <c r="H2762">
        <v>5.3917979999999996</v>
      </c>
      <c r="I2762">
        <v>278.35570000000001</v>
      </c>
      <c r="J2762">
        <v>-210.15870000000001</v>
      </c>
      <c r="K2762">
        <v>1.1213500000000001</v>
      </c>
      <c r="L2762">
        <v>283.74860000000001</v>
      </c>
      <c r="M2762">
        <v>-0.99792820000000004</v>
      </c>
      <c r="N2762">
        <v>-1.0720540000000001E-2</v>
      </c>
      <c r="O2762">
        <v>-6.3438359999999999E-2</v>
      </c>
      <c r="P2762">
        <v>-0.99613850000000004</v>
      </c>
      <c r="Q2762">
        <v>8.7705379999999999E-2</v>
      </c>
      <c r="R2762">
        <v>-4.0107249999999997E-3</v>
      </c>
      <c r="S2762">
        <v>-3.0069270000000001</v>
      </c>
      <c r="T2762">
        <v>4.2534589999999997E-2</v>
      </c>
      <c r="U2762">
        <v>-5.3771970000000002E-2</v>
      </c>
      <c r="V2762">
        <v>5.913736E-2</v>
      </c>
      <c r="W2762">
        <v>9.8394980000000007E-2</v>
      </c>
      <c r="X2762">
        <v>0.99338879999999996</v>
      </c>
      <c r="Y2762">
        <v>4.5567339999999998E-2</v>
      </c>
      <c r="Z2762">
        <v>-1.6550740000000001E-3</v>
      </c>
      <c r="AA2762">
        <v>0.99895990000000001</v>
      </c>
      <c r="AB2762">
        <v>7</v>
      </c>
      <c r="AC2762">
        <v>-301.80169999999998</v>
      </c>
      <c r="AD2762">
        <v>4.270448</v>
      </c>
      <c r="AE2762">
        <v>-5.3928999999999903</v>
      </c>
      <c r="AF2762">
        <v>13.762114048904699</v>
      </c>
      <c r="AG2762">
        <v>4.270448</v>
      </c>
      <c r="AH2762">
        <v>301.47552339371998</v>
      </c>
      <c r="AI2762">
        <v>89.189294728465796</v>
      </c>
      <c r="AJ2762">
        <v>87.386308465385696</v>
      </c>
      <c r="AK2762">
        <v>301.819687420707</v>
      </c>
      <c r="AL2762">
        <v>84.353246530106205</v>
      </c>
      <c r="AM2762">
        <v>86.593149661492703</v>
      </c>
      <c r="AN2762">
        <v>1.0000000537011999</v>
      </c>
    </row>
    <row r="2763" spans="1:40" x14ac:dyDescent="0.25">
      <c r="A2763" t="str">
        <f>"20190303161929741"</f>
        <v>20190303161929741</v>
      </c>
      <c r="B2763" t="str">
        <f>"1551601169735129"</f>
        <v>1551601169735129</v>
      </c>
      <c r="C2763" t="s">
        <v>40</v>
      </c>
      <c r="D2763">
        <v>4.4640420000000001</v>
      </c>
      <c r="E2763">
        <v>0.49334149999999999</v>
      </c>
      <c r="F2763" t="s">
        <v>57</v>
      </c>
      <c r="G2763">
        <v>-511.07580000000002</v>
      </c>
      <c r="H2763">
        <v>6.2781289999999998</v>
      </c>
      <c r="I2763">
        <v>277.83580000000001</v>
      </c>
      <c r="J2763">
        <v>-210.2304</v>
      </c>
      <c r="K2763">
        <v>1.1211990000000001</v>
      </c>
      <c r="L2763">
        <v>283.74329999999998</v>
      </c>
      <c r="M2763">
        <v>-0.99789720000000004</v>
      </c>
      <c r="N2763">
        <v>-9.8499130000000001E-3</v>
      </c>
      <c r="O2763">
        <v>-6.4063149999999999E-2</v>
      </c>
      <c r="P2763">
        <v>-0.99594150000000004</v>
      </c>
      <c r="Q2763">
        <v>8.9867320000000001E-2</v>
      </c>
      <c r="R2763">
        <v>-4.97226E-3</v>
      </c>
      <c r="S2763">
        <v>-3.006866</v>
      </c>
      <c r="T2763">
        <v>5.152905E-2</v>
      </c>
      <c r="U2763">
        <v>-5.9082030000000001E-2</v>
      </c>
      <c r="V2763">
        <v>5.8780869999999999E-2</v>
      </c>
      <c r="W2763">
        <v>9.9693180000000006E-2</v>
      </c>
      <c r="X2763">
        <v>0.99328050000000001</v>
      </c>
      <c r="Y2763">
        <v>4.4422940000000001E-2</v>
      </c>
      <c r="Z2763">
        <v>-1.8900189999999999E-3</v>
      </c>
      <c r="AA2763">
        <v>0.99901099999999998</v>
      </c>
      <c r="AB2763">
        <v>7</v>
      </c>
      <c r="AC2763">
        <v>-300.84539999999998</v>
      </c>
      <c r="AD2763">
        <v>5.15693</v>
      </c>
      <c r="AE2763">
        <v>-5.9074999999999704</v>
      </c>
      <c r="AF2763">
        <v>13.3747473850188</v>
      </c>
      <c r="AG2763">
        <v>5.15693</v>
      </c>
      <c r="AH2763">
        <v>300.517561815938</v>
      </c>
      <c r="AI2763">
        <v>89.0178636569904</v>
      </c>
      <c r="AJ2763">
        <v>87.451692305644698</v>
      </c>
      <c r="AK2763">
        <v>300.85924076623297</v>
      </c>
      <c r="AL2763">
        <v>84.278497510624007</v>
      </c>
      <c r="AM2763">
        <v>86.613270429067796</v>
      </c>
      <c r="AN2763">
        <v>1.0000000362483501</v>
      </c>
    </row>
    <row r="2764" spans="1:40" x14ac:dyDescent="0.25">
      <c r="A2764" t="str">
        <f>"20190303161929766"</f>
        <v>20190303161929766</v>
      </c>
      <c r="B2764" t="str">
        <f>"1551601169755332"</f>
        <v>1551601169755332</v>
      </c>
      <c r="C2764" t="s">
        <v>40</v>
      </c>
      <c r="D2764">
        <v>4.4511520000000004</v>
      </c>
      <c r="E2764">
        <v>0.4929173</v>
      </c>
      <c r="F2764" t="s">
        <v>57</v>
      </c>
      <c r="G2764">
        <v>-511.07589999999999</v>
      </c>
      <c r="H2764">
        <v>6.6675929999999903</v>
      </c>
      <c r="I2764">
        <v>277.2</v>
      </c>
      <c r="J2764">
        <v>-210.304</v>
      </c>
      <c r="K2764">
        <v>1.1214329999999999</v>
      </c>
      <c r="L2764">
        <v>283.73779999999999</v>
      </c>
      <c r="M2764">
        <v>-0.99785259999999998</v>
      </c>
      <c r="N2764">
        <v>-1.0513949999999999E-2</v>
      </c>
      <c r="O2764">
        <v>-6.4651429999999996E-2</v>
      </c>
      <c r="P2764">
        <v>-0.9959076</v>
      </c>
      <c r="Q2764">
        <v>9.0118439999999994E-2</v>
      </c>
      <c r="R2764">
        <v>-6.8748439999999997E-3</v>
      </c>
      <c r="S2764">
        <v>-3.0069119999999998</v>
      </c>
      <c r="T2764">
        <v>5.5436249999999999E-2</v>
      </c>
      <c r="U2764">
        <v>-6.5399170000000006E-2</v>
      </c>
      <c r="V2764">
        <v>5.7477559999999997E-2</v>
      </c>
      <c r="W2764">
        <v>0.10059700000000001</v>
      </c>
      <c r="X2764">
        <v>0.99326559999999997</v>
      </c>
      <c r="Y2764">
        <v>4.2910530000000002E-2</v>
      </c>
      <c r="Z2764">
        <v>-2.0407749999999999E-3</v>
      </c>
      <c r="AA2764">
        <v>0.99907679999999999</v>
      </c>
      <c r="AB2764">
        <v>7</v>
      </c>
      <c r="AC2764">
        <v>-300.77190000000002</v>
      </c>
      <c r="AD2764">
        <v>5.5461600000000004</v>
      </c>
      <c r="AE2764">
        <v>-6.5377999999999998</v>
      </c>
      <c r="AF2764">
        <v>12.9178955921758</v>
      </c>
      <c r="AG2764">
        <v>5.5461600000000004</v>
      </c>
      <c r="AH2764">
        <v>300.46317278288501</v>
      </c>
      <c r="AI2764">
        <v>88.9434901702449</v>
      </c>
      <c r="AJ2764">
        <v>87.538182915890303</v>
      </c>
      <c r="AK2764">
        <v>300.79187175858601</v>
      </c>
      <c r="AL2764">
        <v>84.226450519893504</v>
      </c>
      <c r="AM2764">
        <v>86.688143577300906</v>
      </c>
      <c r="AN2764">
        <v>0.99999998922795597</v>
      </c>
    </row>
    <row r="2765" spans="1:40" x14ac:dyDescent="0.25">
      <c r="A2765" t="str">
        <f>"20190303161929788"</f>
        <v>20190303161929788</v>
      </c>
      <c r="B2765" t="str">
        <f>"1551601169775828"</f>
        <v>1551601169775828</v>
      </c>
      <c r="C2765" t="s">
        <v>40</v>
      </c>
      <c r="D2765">
        <v>4.4514899999999997</v>
      </c>
      <c r="E2765">
        <v>0.4863497</v>
      </c>
      <c r="F2765" t="s">
        <v>57</v>
      </c>
      <c r="G2765">
        <v>-511.07589999999999</v>
      </c>
      <c r="H2765">
        <v>6.5290860000000004</v>
      </c>
      <c r="I2765">
        <v>276.32619999999997</v>
      </c>
      <c r="J2765">
        <v>-210.3724</v>
      </c>
      <c r="K2765">
        <v>1.1218189999999999</v>
      </c>
      <c r="L2765">
        <v>283.73259999999999</v>
      </c>
      <c r="M2765">
        <v>-0.9978011</v>
      </c>
      <c r="N2765">
        <v>-1.2127840000000001E-2</v>
      </c>
      <c r="O2765">
        <v>-6.5163109999999996E-2</v>
      </c>
      <c r="P2765">
        <v>-0.99591350000000001</v>
      </c>
      <c r="Q2765">
        <v>8.9855240000000003E-2</v>
      </c>
      <c r="R2765">
        <v>-9.0882250000000001E-3</v>
      </c>
      <c r="S2765">
        <v>-3.0069430000000001</v>
      </c>
      <c r="T2765">
        <v>5.4063319999999998E-2</v>
      </c>
      <c r="U2765">
        <v>-7.4096679999999998E-2</v>
      </c>
      <c r="V2765">
        <v>5.5802079999999997E-2</v>
      </c>
      <c r="W2765">
        <v>0.1019253</v>
      </c>
      <c r="X2765">
        <v>0.99322580000000005</v>
      </c>
      <c r="Y2765">
        <v>4.0534460000000001E-2</v>
      </c>
      <c r="Z2765">
        <v>-2.0795969999999999E-3</v>
      </c>
      <c r="AA2765">
        <v>0.99917599999999995</v>
      </c>
      <c r="AB2765">
        <v>7</v>
      </c>
      <c r="AC2765">
        <v>-300.70350000000002</v>
      </c>
      <c r="AD2765">
        <v>5.407267</v>
      </c>
      <c r="AE2765">
        <v>-7.4064000000000103</v>
      </c>
      <c r="AF2765">
        <v>12.201613645974501</v>
      </c>
      <c r="AG2765">
        <v>5.407267</v>
      </c>
      <c r="AH2765">
        <v>300.44986529975603</v>
      </c>
      <c r="AI2765">
        <v>88.969794677210899</v>
      </c>
      <c r="AJ2765">
        <v>87.674430607486897</v>
      </c>
      <c r="AK2765">
        <v>300.74613791471398</v>
      </c>
      <c r="AL2765">
        <v>84.149951755156096</v>
      </c>
      <c r="AM2765">
        <v>86.784350522918501</v>
      </c>
      <c r="AN2765">
        <v>1.0000000643490199</v>
      </c>
    </row>
    <row r="2766" spans="1:40" x14ac:dyDescent="0.25">
      <c r="A2766" t="str">
        <f>"20190303161929809"</f>
        <v>20190303161929809</v>
      </c>
      <c r="B2766" t="str">
        <f>"1551601169795348"</f>
        <v>1551601169795348</v>
      </c>
      <c r="C2766" t="s">
        <v>40</v>
      </c>
      <c r="D2766">
        <v>4.4759349999999998</v>
      </c>
      <c r="E2766">
        <v>0.4864579</v>
      </c>
      <c r="F2766" t="s">
        <v>57</v>
      </c>
      <c r="G2766">
        <v>-512.82629999999995</v>
      </c>
      <c r="H2766">
        <v>3.4302389999999998</v>
      </c>
      <c r="I2766">
        <v>270.42590000000001</v>
      </c>
      <c r="J2766">
        <v>-210.43010000000001</v>
      </c>
      <c r="K2766">
        <v>1.122082</v>
      </c>
      <c r="L2766">
        <v>283.72829999999999</v>
      </c>
      <c r="M2766">
        <v>-0.99775749999999996</v>
      </c>
      <c r="N2766">
        <v>-1.352241E-2</v>
      </c>
      <c r="O2766">
        <v>-6.5552959999999993E-2</v>
      </c>
      <c r="P2766">
        <v>-0.99589459999999996</v>
      </c>
      <c r="Q2766">
        <v>8.9775569999999999E-2</v>
      </c>
      <c r="R2766">
        <v>-1.15978E-2</v>
      </c>
      <c r="S2766">
        <v>-3.0090479999999999</v>
      </c>
      <c r="T2766">
        <v>2.2966739999999999E-2</v>
      </c>
      <c r="U2766">
        <v>-0.13238529999999901</v>
      </c>
      <c r="V2766">
        <v>5.3704719999999997E-2</v>
      </c>
      <c r="W2766">
        <v>0.1032221</v>
      </c>
      <c r="X2766">
        <v>0.99320750000000002</v>
      </c>
      <c r="Y2766">
        <v>2.1622789999999999E-2</v>
      </c>
      <c r="Z2766">
        <v>-1.3226519999999999E-3</v>
      </c>
      <c r="AA2766">
        <v>0.99976529999999997</v>
      </c>
      <c r="AB2766">
        <v>7</v>
      </c>
      <c r="AC2766">
        <v>-302.396199999999</v>
      </c>
      <c r="AD2766">
        <v>2.308157</v>
      </c>
      <c r="AE2766">
        <v>-13.302399999999899</v>
      </c>
      <c r="AF2766">
        <v>6.5506144513054103</v>
      </c>
      <c r="AG2766">
        <v>2.308157</v>
      </c>
      <c r="AH2766">
        <v>302.60015006992001</v>
      </c>
      <c r="AI2766">
        <v>89.563073200179801</v>
      </c>
      <c r="AJ2766">
        <v>88.759868595202704</v>
      </c>
      <c r="AK2766">
        <v>302.67984564679</v>
      </c>
      <c r="AL2766">
        <v>84.075256625665503</v>
      </c>
      <c r="AM2766">
        <v>86.904916477146401</v>
      </c>
      <c r="AN2766">
        <v>1.0000000684674599</v>
      </c>
    </row>
    <row r="2767" spans="1:40" x14ac:dyDescent="0.25">
      <c r="A2767" t="str">
        <f>"20190303161929831"</f>
        <v>20190303161929831</v>
      </c>
      <c r="B2767" t="str">
        <f>"1551601169825604"</f>
        <v>1551601169825604</v>
      </c>
      <c r="C2767" t="s">
        <v>40</v>
      </c>
      <c r="D2767">
        <v>4.48475</v>
      </c>
      <c r="E2767">
        <v>0.48651529999999998</v>
      </c>
      <c r="F2767" t="s">
        <v>47</v>
      </c>
      <c r="G2767">
        <v>-355.39879999999999</v>
      </c>
      <c r="H2767">
        <v>2.1772749999999998</v>
      </c>
      <c r="I2767">
        <v>277.02769999999998</v>
      </c>
      <c r="J2767">
        <v>-210.4973</v>
      </c>
      <c r="K2767">
        <v>1.121993</v>
      </c>
      <c r="L2767">
        <v>283.72340000000003</v>
      </c>
      <c r="M2767">
        <v>-0.99773060000000002</v>
      </c>
      <c r="N2767">
        <v>-1.3637099999999999E-2</v>
      </c>
      <c r="O2767">
        <v>-6.5937709999999997E-2</v>
      </c>
      <c r="P2767">
        <v>-0.99561860000000002</v>
      </c>
      <c r="Q2767">
        <v>9.2257400000000003E-2</v>
      </c>
      <c r="R2767">
        <v>-1.523334E-2</v>
      </c>
      <c r="S2767">
        <v>-3.0087739999999998</v>
      </c>
      <c r="T2767">
        <v>2.1901489999999999E-2</v>
      </c>
      <c r="U2767">
        <v>-0.13906859999999999</v>
      </c>
      <c r="V2767">
        <v>5.0450519999999999E-2</v>
      </c>
      <c r="W2767">
        <v>0.1058123</v>
      </c>
      <c r="X2767">
        <v>0.99310549999999997</v>
      </c>
      <c r="Y2767">
        <v>1.978833E-2</v>
      </c>
      <c r="Z2767">
        <v>-1.315805E-3</v>
      </c>
      <c r="AA2767">
        <v>0.99980329999999995</v>
      </c>
      <c r="AB2767">
        <v>6</v>
      </c>
      <c r="AC2767">
        <v>-144.9015</v>
      </c>
      <c r="AD2767">
        <v>1.0552819999999901</v>
      </c>
      <c r="AE2767">
        <v>-6.6957000000000404</v>
      </c>
      <c r="AF2767">
        <v>2.8740833217800401</v>
      </c>
      <c r="AG2767">
        <v>1.0552819999999901</v>
      </c>
      <c r="AH2767">
        <v>145.01996304786601</v>
      </c>
      <c r="AI2767">
        <v>89.583158992232597</v>
      </c>
      <c r="AJ2767">
        <v>88.864630178018402</v>
      </c>
      <c r="AK2767">
        <v>145.05227904946699</v>
      </c>
      <c r="AL2767">
        <v>83.926031451692296</v>
      </c>
      <c r="AM2767">
        <v>87.091830521276506</v>
      </c>
      <c r="AN2767">
        <v>1.0000000159649001</v>
      </c>
    </row>
    <row r="2768" spans="1:40" x14ac:dyDescent="0.25">
      <c r="A2768" t="str">
        <f>"20190303161929844"</f>
        <v>20190303161929844</v>
      </c>
      <c r="B2768" t="str">
        <f>"1551601169835363"</f>
        <v>1551601169835363</v>
      </c>
      <c r="C2768" t="s">
        <v>40</v>
      </c>
      <c r="D2768">
        <v>4.5275730000000003</v>
      </c>
      <c r="E2768">
        <v>0.48688310000000001</v>
      </c>
      <c r="F2768" t="s">
        <v>57</v>
      </c>
      <c r="G2768">
        <v>-512.82640000000004</v>
      </c>
      <c r="H2768">
        <v>3.6094400000000002</v>
      </c>
      <c r="I2768">
        <v>268.73970000000003</v>
      </c>
      <c r="J2768">
        <v>-210.5385</v>
      </c>
      <c r="K2768">
        <v>1.1217539999999999</v>
      </c>
      <c r="L2768">
        <v>283.72030000000001</v>
      </c>
      <c r="M2768">
        <v>-0.99772320000000003</v>
      </c>
      <c r="N2768">
        <v>-1.2974940000000001E-2</v>
      </c>
      <c r="O2768">
        <v>-6.6182859999999996E-2</v>
      </c>
      <c r="P2768">
        <v>-0.99533190000000005</v>
      </c>
      <c r="Q2768">
        <v>9.4936590000000001E-2</v>
      </c>
      <c r="R2768">
        <v>-1.736917E-2</v>
      </c>
      <c r="S2768">
        <v>-3.0086059999999999</v>
      </c>
      <c r="T2768">
        <v>2.4754410000000001E-2</v>
      </c>
      <c r="U2768">
        <v>-0.14910889999999999</v>
      </c>
      <c r="V2768">
        <v>4.8543830000000003E-2</v>
      </c>
      <c r="W2768">
        <v>0.107832</v>
      </c>
      <c r="X2768">
        <v>0.99298330000000001</v>
      </c>
      <c r="Y2768">
        <v>1.6701279999999999E-2</v>
      </c>
      <c r="Z2768">
        <v>-1.3629390000000001E-3</v>
      </c>
      <c r="AA2768">
        <v>0.99985959999999996</v>
      </c>
      <c r="AB2768">
        <v>6</v>
      </c>
      <c r="AC2768">
        <v>-302.28789999999998</v>
      </c>
      <c r="AD2768">
        <v>2.4876860000000001</v>
      </c>
      <c r="AE2768">
        <v>-14.9805999999999</v>
      </c>
      <c r="AF2768">
        <v>5.0598694509906101</v>
      </c>
      <c r="AG2768">
        <v>2.4876860000000001</v>
      </c>
      <c r="AH2768">
        <v>302.59612468571498</v>
      </c>
      <c r="AI2768">
        <v>89.529039652162894</v>
      </c>
      <c r="AJ2768">
        <v>89.042016321882898</v>
      </c>
      <c r="AK2768">
        <v>302.64865031139402</v>
      </c>
      <c r="AL2768">
        <v>83.809645344094804</v>
      </c>
      <c r="AM2768">
        <v>87.201217776617895</v>
      </c>
      <c r="AN2768">
        <v>1.0000000388669701</v>
      </c>
    </row>
    <row r="2769" spans="1:40" x14ac:dyDescent="0.25">
      <c r="A2769" t="str">
        <f>"20190303161929857"</f>
        <v>20190303161929857</v>
      </c>
      <c r="B2769" t="str">
        <f>"1551601169845747"</f>
        <v>1551601169845747</v>
      </c>
      <c r="C2769" t="s">
        <v>40</v>
      </c>
      <c r="D2769">
        <v>4.4832979999999996</v>
      </c>
      <c r="E2769">
        <v>0.48679679999999997</v>
      </c>
      <c r="F2769" t="s">
        <v>57</v>
      </c>
      <c r="G2769">
        <v>-512.82669999999996</v>
      </c>
      <c r="H2769">
        <v>4.4763120000000001</v>
      </c>
      <c r="I2769">
        <v>268.38420000000002</v>
      </c>
      <c r="J2769">
        <v>-210.57730000000001</v>
      </c>
      <c r="K2769">
        <v>1.1215109999999999</v>
      </c>
      <c r="L2769">
        <v>283.71749999999997</v>
      </c>
      <c r="M2769">
        <v>-0.9977163</v>
      </c>
      <c r="N2769">
        <v>-1.211518E-2</v>
      </c>
      <c r="O2769">
        <v>-6.6448279999999998E-2</v>
      </c>
      <c r="P2769">
        <v>-0.99505359999999998</v>
      </c>
      <c r="Q2769">
        <v>9.7468020000000002E-2</v>
      </c>
      <c r="R2769">
        <v>-1.9193490000000001E-2</v>
      </c>
      <c r="S2769">
        <v>-3.0082399999999998</v>
      </c>
      <c r="T2769">
        <v>3.338385E-2</v>
      </c>
      <c r="U2769">
        <v>-0.15261839999999999</v>
      </c>
      <c r="V2769">
        <v>4.6966609999999999E-2</v>
      </c>
      <c r="W2769">
        <v>0.1095081</v>
      </c>
      <c r="X2769">
        <v>0.99287570000000003</v>
      </c>
      <c r="Y2769">
        <v>1.5793740000000001E-2</v>
      </c>
      <c r="Z2769">
        <v>-1.5333110000000001E-3</v>
      </c>
      <c r="AA2769">
        <v>0.99987409999999999</v>
      </c>
      <c r="AB2769">
        <v>6</v>
      </c>
      <c r="AC2769">
        <v>-302.24939999999901</v>
      </c>
      <c r="AD2769">
        <v>3.3548010000000001</v>
      </c>
      <c r="AE2769">
        <v>-15.3332999999999</v>
      </c>
      <c r="AF2769">
        <v>4.7854327099354199</v>
      </c>
      <c r="AG2769">
        <v>3.3548010000000001</v>
      </c>
      <c r="AH2769">
        <v>302.56305837267598</v>
      </c>
      <c r="AI2769">
        <v>89.364813310808699</v>
      </c>
      <c r="AJ2769">
        <v>89.093867442612705</v>
      </c>
      <c r="AK2769">
        <v>302.61949598100699</v>
      </c>
      <c r="AL2769">
        <v>83.713039657136804</v>
      </c>
      <c r="AM2769">
        <v>87.291721336178398</v>
      </c>
      <c r="AN2769">
        <v>1.00000002103549</v>
      </c>
    </row>
    <row r="2770" spans="1:40" x14ac:dyDescent="0.25">
      <c r="A2770" t="str">
        <f>"20190303161929876"</f>
        <v>20190303161929876</v>
      </c>
      <c r="B2770" t="str">
        <f>"1551601169865267"</f>
        <v>1551601169865267</v>
      </c>
      <c r="C2770" t="s">
        <v>40</v>
      </c>
      <c r="D2770">
        <v>4.394495</v>
      </c>
      <c r="E2770">
        <v>0.4868884</v>
      </c>
      <c r="F2770" t="s">
        <v>57</v>
      </c>
      <c r="G2770">
        <v>-512.82680000000005</v>
      </c>
      <c r="H2770">
        <v>5.0247449999999896</v>
      </c>
      <c r="I2770">
        <v>267.75380000000001</v>
      </c>
      <c r="J2770">
        <v>-210.64189999999999</v>
      </c>
      <c r="K2770">
        <v>1.1211949999999999</v>
      </c>
      <c r="L2770">
        <v>283.71269999999998</v>
      </c>
      <c r="M2770">
        <v>-0.9977009</v>
      </c>
      <c r="N2770">
        <v>-1.084746E-2</v>
      </c>
      <c r="O2770">
        <v>-6.6898550000000001E-2</v>
      </c>
      <c r="P2770">
        <v>-0.99454790000000004</v>
      </c>
      <c r="Q2770">
        <v>0.10190399999999999</v>
      </c>
      <c r="R2770">
        <v>-2.2139889999999999E-2</v>
      </c>
      <c r="S2770">
        <v>-3.008057</v>
      </c>
      <c r="T2770">
        <v>3.8846609999999997E-2</v>
      </c>
      <c r="U2770">
        <v>-0.1588745</v>
      </c>
      <c r="V2770">
        <v>4.4436469999999999E-2</v>
      </c>
      <c r="W2770">
        <v>0.1126827</v>
      </c>
      <c r="X2770">
        <v>0.99263690000000004</v>
      </c>
      <c r="Y2770">
        <v>1.416569E-2</v>
      </c>
      <c r="Z2770">
        <v>-1.60282E-3</v>
      </c>
      <c r="AA2770">
        <v>0.99989839999999997</v>
      </c>
      <c r="AB2770">
        <v>7</v>
      </c>
      <c r="AC2770">
        <v>-302.18490000000003</v>
      </c>
      <c r="AD2770">
        <v>3.9035499999999899</v>
      </c>
      <c r="AE2770">
        <v>-15.9588999999999</v>
      </c>
      <c r="AF2770">
        <v>4.2930606281204797</v>
      </c>
      <c r="AG2770">
        <v>3.9035499999999899</v>
      </c>
      <c r="AH2770">
        <v>302.52520904484197</v>
      </c>
      <c r="AI2770">
        <v>89.260815265517905</v>
      </c>
      <c r="AJ2770">
        <v>89.186984295520205</v>
      </c>
      <c r="AK2770">
        <v>302.580848997065</v>
      </c>
      <c r="AL2770">
        <v>83.530015315546393</v>
      </c>
      <c r="AM2770">
        <v>87.436803442909806</v>
      </c>
      <c r="AN2770">
        <v>1.0000000029934799</v>
      </c>
    </row>
    <row r="2771" spans="1:40" x14ac:dyDescent="0.25">
      <c r="A2771" t="str">
        <f>"20190303161929891"</f>
        <v>20190303161929891</v>
      </c>
      <c r="B2771" t="str">
        <f>"1551601169885763"</f>
        <v>1551601169885763</v>
      </c>
      <c r="C2771" t="s">
        <v>40</v>
      </c>
      <c r="D2771">
        <v>4.5157389999999999</v>
      </c>
      <c r="E2771">
        <v>0.50030889999999995</v>
      </c>
      <c r="F2771" t="s">
        <v>59</v>
      </c>
      <c r="G2771">
        <v>-456.07369999999997</v>
      </c>
      <c r="H2771">
        <v>4.8066959999999996</v>
      </c>
      <c r="I2771">
        <v>270.08530000000002</v>
      </c>
      <c r="J2771">
        <v>-210.69229999999999</v>
      </c>
      <c r="K2771">
        <v>1.121041</v>
      </c>
      <c r="L2771">
        <v>283.709</v>
      </c>
      <c r="M2771">
        <v>-0.99768570000000001</v>
      </c>
      <c r="N2771">
        <v>-1.007301E-2</v>
      </c>
      <c r="O2771">
        <v>-6.7245319999999997E-2</v>
      </c>
      <c r="P2771">
        <v>-0.99431309999999995</v>
      </c>
      <c r="Q2771">
        <v>0.1038974</v>
      </c>
      <c r="R2771">
        <v>-2.3393299999999999E-2</v>
      </c>
      <c r="S2771">
        <v>-3.0081020000000001</v>
      </c>
      <c r="T2771">
        <v>4.5171019999999999E-2</v>
      </c>
      <c r="U2771">
        <v>-0.1670227</v>
      </c>
      <c r="V2771">
        <v>4.3512250000000002E-2</v>
      </c>
      <c r="W2771">
        <v>0.1139064</v>
      </c>
      <c r="X2771">
        <v>0.99253820000000004</v>
      </c>
      <c r="Y2771">
        <v>1.181039E-2</v>
      </c>
      <c r="Z2771">
        <v>-1.7144759999999999E-3</v>
      </c>
      <c r="AA2771">
        <v>0.99992879999999995</v>
      </c>
      <c r="AB2771">
        <v>7</v>
      </c>
      <c r="AC2771">
        <v>-245.38140000000001</v>
      </c>
      <c r="AD2771">
        <v>3.6856550000000001</v>
      </c>
      <c r="AE2771">
        <v>-13.6236999999999</v>
      </c>
      <c r="AF2771">
        <v>2.90807338490227</v>
      </c>
      <c r="AG2771">
        <v>3.6856550000000001</v>
      </c>
      <c r="AH2771">
        <v>245.686834881549</v>
      </c>
      <c r="AI2771">
        <v>89.140605765604505</v>
      </c>
      <c r="AJ2771">
        <v>89.321849903450698</v>
      </c>
      <c r="AK2771">
        <v>245.731686556098</v>
      </c>
      <c r="AL2771">
        <v>83.459448299990498</v>
      </c>
      <c r="AM2771">
        <v>87.4897963759731</v>
      </c>
      <c r="AN2771">
        <v>1.00000003116013</v>
      </c>
    </row>
    <row r="2772" spans="1:40" x14ac:dyDescent="0.25">
      <c r="A2772" t="str">
        <f>"20190303161929910"</f>
        <v>20190303161929910</v>
      </c>
      <c r="B2772" t="str">
        <f>"1551601169905283"</f>
        <v>1551601169905283</v>
      </c>
      <c r="C2772" t="s">
        <v>40</v>
      </c>
      <c r="D2772">
        <v>4.5186199999999896</v>
      </c>
      <c r="E2772">
        <v>0.50226110000000002</v>
      </c>
      <c r="F2772" t="s">
        <v>57</v>
      </c>
      <c r="G2772">
        <v>-511.959</v>
      </c>
      <c r="H2772">
        <v>1.053652</v>
      </c>
      <c r="I2772">
        <v>277.38</v>
      </c>
      <c r="J2772">
        <v>-210.75479999999999</v>
      </c>
      <c r="K2772">
        <v>1.1209420000000001</v>
      </c>
      <c r="L2772">
        <v>283.70429999999999</v>
      </c>
      <c r="M2772">
        <v>-0.99766529999999998</v>
      </c>
      <c r="N2772">
        <v>-9.3586039999999995E-3</v>
      </c>
      <c r="O2772">
        <v>-6.7649920000000002E-2</v>
      </c>
      <c r="P2772">
        <v>-0.99404729999999997</v>
      </c>
      <c r="Q2772">
        <v>0.1060373</v>
      </c>
      <c r="R2772">
        <v>-2.502062E-2</v>
      </c>
      <c r="S2772">
        <v>-3.0157319999999999</v>
      </c>
      <c r="T2772">
        <v>-6.7377089999999995E-4</v>
      </c>
      <c r="U2772">
        <v>-6.3354489999999999E-2</v>
      </c>
      <c r="V2772">
        <v>4.2270870000000002E-2</v>
      </c>
      <c r="W2772">
        <v>0.11533599999999999</v>
      </c>
      <c r="X2772">
        <v>0.99242669999999999</v>
      </c>
      <c r="Y2772">
        <v>4.667984E-2</v>
      </c>
      <c r="Z2772">
        <v>-3.9475540000000003E-4</v>
      </c>
      <c r="AA2772">
        <v>0.99890979999999996</v>
      </c>
      <c r="AB2772">
        <v>7</v>
      </c>
      <c r="AC2772">
        <v>-301.20420000000001</v>
      </c>
      <c r="AD2772">
        <v>-6.7290000000000003E-2</v>
      </c>
      <c r="AE2772">
        <v>-6.3242999999999903</v>
      </c>
      <c r="AF2772">
        <v>14.0675197029387</v>
      </c>
      <c r="AG2772">
        <v>-6.7290000000000003E-2</v>
      </c>
      <c r="AH2772">
        <v>300.941959024742</v>
      </c>
      <c r="AI2772">
        <v>90.012797243714203</v>
      </c>
      <c r="AJ2772">
        <v>87.3236593189621</v>
      </c>
      <c r="AK2772">
        <v>301.27057994465099</v>
      </c>
      <c r="AL2772">
        <v>83.376994527275798</v>
      </c>
      <c r="AM2772">
        <v>87.561049688485198</v>
      </c>
      <c r="AN2772">
        <v>0.99999998710972304</v>
      </c>
    </row>
    <row r="2773" spans="1:40" x14ac:dyDescent="0.25">
      <c r="A2773" t="str">
        <f>"20190303161929932"</f>
        <v>20190303161929932</v>
      </c>
      <c r="B2773" t="str">
        <f>"1551601169925780"</f>
        <v>1551601169925780</v>
      </c>
      <c r="C2773" t="s">
        <v>40</v>
      </c>
      <c r="D2773">
        <v>4.4829359999999996</v>
      </c>
      <c r="E2773">
        <v>0.50314890000000001</v>
      </c>
      <c r="F2773" t="s">
        <v>57</v>
      </c>
      <c r="G2773">
        <v>-511.95890000000003</v>
      </c>
      <c r="H2773">
        <v>0.78697879999999998</v>
      </c>
      <c r="I2773">
        <v>278.3999</v>
      </c>
      <c r="J2773">
        <v>-210.82839999999999</v>
      </c>
      <c r="K2773">
        <v>1.1209979999999999</v>
      </c>
      <c r="L2773">
        <v>283.69889999999998</v>
      </c>
      <c r="M2773">
        <v>-0.99763880000000005</v>
      </c>
      <c r="N2773">
        <v>-9.1744849999999996E-3</v>
      </c>
      <c r="O2773">
        <v>-6.806442E-2</v>
      </c>
      <c r="P2773">
        <v>-0.99389740000000004</v>
      </c>
      <c r="Q2773">
        <v>0.10722089999999899</v>
      </c>
      <c r="R2773">
        <v>-2.591794E-2</v>
      </c>
      <c r="S2773">
        <v>-3.0169830000000002</v>
      </c>
      <c r="T2773">
        <v>-3.344297E-3</v>
      </c>
      <c r="U2773">
        <v>-5.3131100000000001E-2</v>
      </c>
      <c r="V2773">
        <v>4.1781359999999997E-2</v>
      </c>
      <c r="W2773">
        <v>0.1163344</v>
      </c>
      <c r="X2773">
        <v>0.99233090000000002</v>
      </c>
      <c r="Y2773">
        <v>5.0487120000000003E-2</v>
      </c>
      <c r="Z2773">
        <v>-2.8989009999999998E-4</v>
      </c>
      <c r="AA2773">
        <v>0.99872470000000002</v>
      </c>
      <c r="AB2773">
        <v>8</v>
      </c>
      <c r="AC2773">
        <v>-301.13049999999998</v>
      </c>
      <c r="AD2773">
        <v>-0.33401919999999902</v>
      </c>
      <c r="AE2773">
        <v>-5.2989999999999702</v>
      </c>
      <c r="AF2773">
        <v>15.210405420568</v>
      </c>
      <c r="AG2773">
        <v>-0.33401919999999902</v>
      </c>
      <c r="AH2773">
        <v>300.79241656157399</v>
      </c>
      <c r="AI2773">
        <v>90.063543691991498</v>
      </c>
      <c r="AJ2773">
        <v>87.105145296154504</v>
      </c>
      <c r="AK2773">
        <v>301.176934480108</v>
      </c>
      <c r="AL2773">
        <v>83.319402787670001</v>
      </c>
      <c r="AM2773">
        <v>87.589027525773403</v>
      </c>
      <c r="AN2773">
        <v>0.99999999488080904</v>
      </c>
    </row>
    <row r="2774" spans="1:40" x14ac:dyDescent="0.25">
      <c r="A2774" t="str">
        <f>"20190303161929947"</f>
        <v>20190303161929947</v>
      </c>
      <c r="B2774" t="str">
        <f>"1551601169935540"</f>
        <v>1551601169935540</v>
      </c>
      <c r="C2774" t="s">
        <v>40</v>
      </c>
      <c r="D2774">
        <v>4.5141540000000004</v>
      </c>
      <c r="E2774">
        <v>0.50332080000000001</v>
      </c>
      <c r="F2774" t="s">
        <v>57</v>
      </c>
      <c r="G2774">
        <v>-511.95890000000003</v>
      </c>
      <c r="H2774">
        <v>0.82226350000000004</v>
      </c>
      <c r="I2774">
        <v>278.7894</v>
      </c>
      <c r="J2774">
        <v>-210.87379999999999</v>
      </c>
      <c r="K2774">
        <v>1.121205</v>
      </c>
      <c r="L2774">
        <v>283.69549999999998</v>
      </c>
      <c r="M2774">
        <v>-0.997618</v>
      </c>
      <c r="N2774">
        <v>-9.7210439999999999E-3</v>
      </c>
      <c r="O2774">
        <v>-6.8292629999999993E-2</v>
      </c>
      <c r="P2774">
        <v>-0.99392670000000005</v>
      </c>
      <c r="Q2774">
        <v>0.1068612</v>
      </c>
      <c r="R2774">
        <v>-2.627699E-2</v>
      </c>
      <c r="S2774">
        <v>-3.0174560000000001</v>
      </c>
      <c r="T2774">
        <v>-2.99263E-3</v>
      </c>
      <c r="U2774">
        <v>-4.9194340000000003E-2</v>
      </c>
      <c r="V2774">
        <v>4.1658550000000003E-2</v>
      </c>
      <c r="W2774">
        <v>0.1165153</v>
      </c>
      <c r="X2774">
        <v>0.99231480000000005</v>
      </c>
      <c r="Y2774">
        <v>5.202089E-2</v>
      </c>
      <c r="Z2774">
        <v>-3.1798509999999999E-4</v>
      </c>
      <c r="AA2774">
        <v>0.99864600000000003</v>
      </c>
      <c r="AB2774">
        <v>8</v>
      </c>
      <c r="AC2774">
        <v>-301.08510000000001</v>
      </c>
      <c r="AD2774">
        <v>-0.29894150000000003</v>
      </c>
      <c r="AE2774">
        <v>-4.9060999999999799</v>
      </c>
      <c r="AF2774">
        <v>15.668204113665</v>
      </c>
      <c r="AG2774">
        <v>-0.29894150000000003</v>
      </c>
      <c r="AH2774">
        <v>300.71687000781299</v>
      </c>
      <c r="AI2774">
        <v>90.056880344019305</v>
      </c>
      <c r="AJ2774">
        <v>87.017423936508607</v>
      </c>
      <c r="AK2774">
        <v>301.12492074463597</v>
      </c>
      <c r="AL2774">
        <v>83.308966752040305</v>
      </c>
      <c r="AM2774">
        <v>87.596066932950805</v>
      </c>
      <c r="AN2774">
        <v>0.99999995611061498</v>
      </c>
    </row>
    <row r="2775" spans="1:40" x14ac:dyDescent="0.25">
      <c r="A2775" t="str">
        <f>"20190303161929968"</f>
        <v>20190303161929968</v>
      </c>
      <c r="B2775" t="str">
        <f>"1551601169955328"</f>
        <v>1551601169955328</v>
      </c>
      <c r="C2775" t="s">
        <v>40</v>
      </c>
      <c r="D2775">
        <v>4.5384779999999996</v>
      </c>
      <c r="E2775">
        <v>0.50390179999999996</v>
      </c>
      <c r="F2775" t="s">
        <v>57</v>
      </c>
      <c r="G2775">
        <v>-511.9588</v>
      </c>
      <c r="H2775">
        <v>0.49538660000000001</v>
      </c>
      <c r="I2775">
        <v>278.77809999999999</v>
      </c>
      <c r="J2775">
        <v>-210.9384</v>
      </c>
      <c r="K2775">
        <v>1.12158</v>
      </c>
      <c r="L2775">
        <v>283.69060000000002</v>
      </c>
      <c r="M2775">
        <v>-0.99758380000000002</v>
      </c>
      <c r="N2775">
        <v>-1.1097050000000001E-2</v>
      </c>
      <c r="O2775">
        <v>-6.8582130000000005E-2</v>
      </c>
      <c r="P2775">
        <v>-0.99417100000000003</v>
      </c>
      <c r="Q2775">
        <v>0.1046735</v>
      </c>
      <c r="R2775">
        <v>-2.5840160000000001E-2</v>
      </c>
      <c r="S2775">
        <v>-3.0177</v>
      </c>
      <c r="T2775">
        <v>-6.2716009999999999E-3</v>
      </c>
      <c r="U2775">
        <v>-4.9285889999999999E-2</v>
      </c>
      <c r="V2775">
        <v>4.2412140000000001E-2</v>
      </c>
      <c r="W2775">
        <v>0.11569119999999999</v>
      </c>
      <c r="X2775">
        <v>0.99237929999999996</v>
      </c>
      <c r="Y2775">
        <v>5.228207E-2</v>
      </c>
      <c r="Z2775">
        <v>-2.7472899999999998E-4</v>
      </c>
      <c r="AA2775">
        <v>0.99863230000000003</v>
      </c>
      <c r="AB2775">
        <v>7</v>
      </c>
      <c r="AC2775">
        <v>-301.0204</v>
      </c>
      <c r="AD2775">
        <v>-0.62619340000000001</v>
      </c>
      <c r="AE2775">
        <v>-4.9125000000000201</v>
      </c>
      <c r="AF2775">
        <v>15.744890437276</v>
      </c>
      <c r="AG2775">
        <v>-0.62619340000000001</v>
      </c>
      <c r="AH2775">
        <v>300.64718203613501</v>
      </c>
      <c r="AI2775">
        <v>90.119173204694306</v>
      </c>
      <c r="AJ2775">
        <v>87.002159141262595</v>
      </c>
      <c r="AK2775">
        <v>301.05983086310999</v>
      </c>
      <c r="AL2775">
        <v>83.356505727051399</v>
      </c>
      <c r="AM2775">
        <v>87.552791824603204</v>
      </c>
      <c r="AN2775">
        <v>0.99999995922265394</v>
      </c>
    </row>
    <row r="2776" spans="1:40" x14ac:dyDescent="0.25">
      <c r="A2776" t="str">
        <f>"20190303161929992"</f>
        <v>20190303161929992</v>
      </c>
      <c r="B2776" t="str">
        <f>"1551601169986560"</f>
        <v>1551601169986560</v>
      </c>
      <c r="C2776" t="s">
        <v>40</v>
      </c>
      <c r="D2776">
        <v>4.7696079999999998</v>
      </c>
      <c r="E2776">
        <v>0.50437829999999995</v>
      </c>
      <c r="F2776" t="s">
        <v>52</v>
      </c>
      <c r="G2776">
        <v>-384.66899999999998</v>
      </c>
      <c r="H2776" s="1">
        <v>9.4782379999999999E-7</v>
      </c>
      <c r="I2776">
        <v>281.20179999999999</v>
      </c>
      <c r="J2776">
        <v>-211.0104</v>
      </c>
      <c r="K2776">
        <v>1.1218980000000001</v>
      </c>
      <c r="L2776">
        <v>283.68540000000002</v>
      </c>
      <c r="M2776">
        <v>-0.99754659999999995</v>
      </c>
      <c r="N2776">
        <v>-1.259908E-2</v>
      </c>
      <c r="O2776">
        <v>-6.8863399999999894E-2</v>
      </c>
      <c r="P2776">
        <v>-0.99452640000000003</v>
      </c>
      <c r="Q2776">
        <v>0.10125530000000001</v>
      </c>
      <c r="R2776">
        <v>-2.5781720000000001E-2</v>
      </c>
      <c r="S2776">
        <v>-3.0185240000000002</v>
      </c>
      <c r="T2776">
        <v>-1.948714E-2</v>
      </c>
      <c r="U2776">
        <v>-4.3243410000000003E-2</v>
      </c>
      <c r="V2776">
        <v>4.278647E-2</v>
      </c>
      <c r="W2776">
        <v>0.1137643</v>
      </c>
      <c r="X2776">
        <v>0.99258599999999997</v>
      </c>
      <c r="Y2776">
        <v>5.4566610000000002E-2</v>
      </c>
      <c r="Z2776" s="1">
        <v>9.5901489999999996E-5</v>
      </c>
      <c r="AA2776">
        <v>0.99851009999999996</v>
      </c>
      <c r="AB2776">
        <v>7</v>
      </c>
      <c r="AC2776">
        <v>-173.65860000000001</v>
      </c>
      <c r="AD2776">
        <v>-1.1218970521761999</v>
      </c>
      <c r="AE2776">
        <v>-2.48360000000002</v>
      </c>
      <c r="AF2776">
        <v>9.4815712664591807</v>
      </c>
      <c r="AG2776">
        <v>-1.1218970521761999</v>
      </c>
      <c r="AH2776">
        <v>173.41009278816799</v>
      </c>
      <c r="AI2776">
        <v>90.370123801795501</v>
      </c>
      <c r="AJ2776">
        <v>86.870345850303806</v>
      </c>
      <c r="AK2776">
        <v>173.67273570563</v>
      </c>
      <c r="AL2776">
        <v>83.467642982501701</v>
      </c>
      <c r="AM2776">
        <v>87.531732819207605</v>
      </c>
      <c r="AN2776">
        <v>0.99999998268277501</v>
      </c>
    </row>
    <row r="2777" spans="1:40" x14ac:dyDescent="0.25">
      <c r="A2777" t="str">
        <f>"20190303161930011"</f>
        <v>20190303161930011</v>
      </c>
      <c r="B2777" t="str">
        <f>"1551601170005104"</f>
        <v>1551601170005104</v>
      </c>
      <c r="C2777" t="s">
        <v>40</v>
      </c>
      <c r="D2777">
        <v>4.583609</v>
      </c>
      <c r="E2777">
        <v>0.50471880000000002</v>
      </c>
      <c r="F2777" t="s">
        <v>56</v>
      </c>
      <c r="G2777">
        <v>-305.86790000000002</v>
      </c>
      <c r="H2777" s="1">
        <v>3.1121569999999999E-6</v>
      </c>
      <c r="I2777">
        <v>282.46089999999998</v>
      </c>
      <c r="J2777">
        <v>-211.0712</v>
      </c>
      <c r="K2777">
        <v>1.121826</v>
      </c>
      <c r="L2777">
        <v>283.68090000000001</v>
      </c>
      <c r="M2777">
        <v>-0.99752989999999997</v>
      </c>
      <c r="N2777">
        <v>-1.267074E-2</v>
      </c>
      <c r="O2777">
        <v>-6.9091979999999997E-2</v>
      </c>
      <c r="P2777">
        <v>-0.99477859999999996</v>
      </c>
      <c r="Q2777">
        <v>9.8820599999999995E-2</v>
      </c>
      <c r="R2777">
        <v>-2.5511010000000001E-2</v>
      </c>
      <c r="S2777">
        <v>-3.0191499999999998</v>
      </c>
      <c r="T2777">
        <v>-3.5707950000000002E-2</v>
      </c>
      <c r="U2777">
        <v>-3.8970949999999997E-2</v>
      </c>
      <c r="V2777">
        <v>4.33015E-2</v>
      </c>
      <c r="W2777">
        <v>0.1114038</v>
      </c>
      <c r="X2777">
        <v>0.99283140000000003</v>
      </c>
      <c r="Y2777">
        <v>5.620762E-2</v>
      </c>
      <c r="Z2777">
        <v>6.2896410000000001E-4</v>
      </c>
      <c r="AA2777">
        <v>0.9984189</v>
      </c>
      <c r="AB2777">
        <v>7</v>
      </c>
      <c r="AC2777">
        <v>-94.796700000000001</v>
      </c>
      <c r="AD2777">
        <v>-1.1218228878430001</v>
      </c>
      <c r="AE2777">
        <v>-1.22000000000002</v>
      </c>
      <c r="AF2777">
        <v>5.3323863076308404</v>
      </c>
      <c r="AG2777">
        <v>-1.1218228878430001</v>
      </c>
      <c r="AH2777">
        <v>94.641174667869606</v>
      </c>
      <c r="AI2777">
        <v>90.6780446259651</v>
      </c>
      <c r="AJ2777">
        <v>86.775182203108699</v>
      </c>
      <c r="AK2777">
        <v>94.797915445645202</v>
      </c>
      <c r="AL2777">
        <v>83.603755238863599</v>
      </c>
      <c r="AM2777">
        <v>87.502675802555999</v>
      </c>
      <c r="AN2777">
        <v>1.00000000769132</v>
      </c>
    </row>
    <row r="2778" spans="1:40" x14ac:dyDescent="0.25">
      <c r="A2778" t="str">
        <f>"20190303161930034"</f>
        <v>20190303161930034</v>
      </c>
      <c r="B2778" t="str">
        <f>"1551601170025600"</f>
        <v>1551601170025600</v>
      </c>
      <c r="C2778" t="s">
        <v>40</v>
      </c>
      <c r="D2778">
        <v>4.5311649999999997</v>
      </c>
      <c r="E2778">
        <v>0.50486799999999998</v>
      </c>
      <c r="F2778" t="s">
        <v>56</v>
      </c>
      <c r="G2778">
        <v>-285.24509999999998</v>
      </c>
      <c r="H2778" s="1">
        <v>6.4517140000000004E-6</v>
      </c>
      <c r="I2778">
        <v>282.79919999999998</v>
      </c>
      <c r="J2778">
        <v>-211.14080000000001</v>
      </c>
      <c r="K2778">
        <v>1.12148</v>
      </c>
      <c r="L2778">
        <v>283.67570000000001</v>
      </c>
      <c r="M2778">
        <v>-0.99752240000000003</v>
      </c>
      <c r="N2778">
        <v>-1.1596749999999999E-2</v>
      </c>
      <c r="O2778">
        <v>-6.9386550000000005E-2</v>
      </c>
      <c r="P2778">
        <v>-0.99488290000000001</v>
      </c>
      <c r="Q2778">
        <v>9.7713739999999993E-2</v>
      </c>
      <c r="R2778">
        <v>-2.5690660000000001E-2</v>
      </c>
      <c r="S2778">
        <v>-3.0193629999999998</v>
      </c>
      <c r="T2778">
        <v>-4.5665379999999998E-2</v>
      </c>
      <c r="U2778">
        <v>-3.5888669999999998E-2</v>
      </c>
      <c r="V2778">
        <v>4.341391E-2</v>
      </c>
      <c r="W2778">
        <v>0.1092351</v>
      </c>
      <c r="X2778">
        <v>0.99306740000000004</v>
      </c>
      <c r="Y2778">
        <v>5.7517609999999997E-2</v>
      </c>
      <c r="Z2778">
        <v>1.0118389999999901E-3</v>
      </c>
      <c r="AA2778">
        <v>0.99834400000000001</v>
      </c>
      <c r="AB2778">
        <v>7</v>
      </c>
      <c r="AC2778">
        <v>-74.104299999999895</v>
      </c>
      <c r="AD2778">
        <v>-1.1214735482860001</v>
      </c>
      <c r="AE2778">
        <v>-0.87650000000002104</v>
      </c>
      <c r="AF2778">
        <v>4.2668234069489896</v>
      </c>
      <c r="AG2778">
        <v>-1.1214735482860001</v>
      </c>
      <c r="AH2778">
        <v>73.969555944882799</v>
      </c>
      <c r="AI2778">
        <v>90.867169828932902</v>
      </c>
      <c r="AJ2778">
        <v>86.698636888785202</v>
      </c>
      <c r="AK2778">
        <v>74.101003310270599</v>
      </c>
      <c r="AL2778">
        <v>83.728775471688706</v>
      </c>
      <c r="AM2778">
        <v>87.496795293316396</v>
      </c>
      <c r="AN2778">
        <v>0.99999996779812805</v>
      </c>
    </row>
    <row r="2779" spans="1:40" x14ac:dyDescent="0.25">
      <c r="A2779" t="str">
        <f>"20190303161930056"</f>
        <v>20190303161930056</v>
      </c>
      <c r="B2779" t="str">
        <f>"1551601170045626"</f>
        <v>1551601170045626</v>
      </c>
      <c r="C2779" t="s">
        <v>40</v>
      </c>
      <c r="D2779">
        <v>4.6149959999999997</v>
      </c>
      <c r="E2779">
        <v>0.50518809999999903</v>
      </c>
      <c r="F2779" t="s">
        <v>52</v>
      </c>
      <c r="G2779">
        <v>-276.2201</v>
      </c>
      <c r="H2779" s="1">
        <v>1.8475380000000001E-6</v>
      </c>
      <c r="I2779">
        <v>282.916</v>
      </c>
      <c r="J2779">
        <v>-211.21690000000001</v>
      </c>
      <c r="K2779">
        <v>1.121151</v>
      </c>
      <c r="L2779">
        <v>283.67009999999999</v>
      </c>
      <c r="M2779">
        <v>-0.99751109999999998</v>
      </c>
      <c r="N2779">
        <v>-1.0322619999999999E-2</v>
      </c>
      <c r="O2779">
        <v>-6.9751770000000005E-2</v>
      </c>
      <c r="P2779">
        <v>-0.9948785</v>
      </c>
      <c r="Q2779">
        <v>9.7464990000000001E-2</v>
      </c>
      <c r="R2779">
        <v>-2.679786E-2</v>
      </c>
      <c r="S2779">
        <v>-3.019638</v>
      </c>
      <c r="T2779">
        <v>-5.2035930000000001E-2</v>
      </c>
      <c r="U2779">
        <v>-3.5247800000000003E-2</v>
      </c>
      <c r="V2779">
        <v>4.2662430000000001E-2</v>
      </c>
      <c r="W2779">
        <v>0.1077253</v>
      </c>
      <c r="X2779">
        <v>0.99326490000000001</v>
      </c>
      <c r="Y2779">
        <v>5.8091660000000003E-2</v>
      </c>
      <c r="Z2779">
        <v>1.280867E-3</v>
      </c>
      <c r="AA2779">
        <v>0.99831040000000004</v>
      </c>
      <c r="AB2779">
        <v>7</v>
      </c>
      <c r="AC2779">
        <v>-65.003199999999893</v>
      </c>
      <c r="AD2779">
        <v>-1.1211491524619901</v>
      </c>
      <c r="AE2779">
        <v>-0.754099999999994</v>
      </c>
      <c r="AF2779">
        <v>3.7809415477219801</v>
      </c>
      <c r="AG2779">
        <v>-1.1211491524619901</v>
      </c>
      <c r="AH2779">
        <v>64.878165266882505</v>
      </c>
      <c r="AI2779">
        <v>90.988344033161695</v>
      </c>
      <c r="AJ2779">
        <v>86.664713872905395</v>
      </c>
      <c r="AK2779">
        <v>64.997913988114107</v>
      </c>
      <c r="AL2779">
        <v>83.815794335014999</v>
      </c>
      <c r="AM2779">
        <v>87.540559749049095</v>
      </c>
      <c r="AN2779">
        <v>0.99999999238280202</v>
      </c>
    </row>
    <row r="2780" spans="1:40" x14ac:dyDescent="0.25">
      <c r="A2780" t="str">
        <f>"20190303161930077"</f>
        <v>20190303161930077</v>
      </c>
      <c r="B2780" t="str">
        <f>"1551601170065146"</f>
        <v>1551601170065146</v>
      </c>
      <c r="C2780" t="s">
        <v>40</v>
      </c>
      <c r="D2780">
        <v>4.6162039999999998</v>
      </c>
      <c r="E2780">
        <v>0.51984699999999995</v>
      </c>
      <c r="F2780" t="s">
        <v>52</v>
      </c>
      <c r="G2780">
        <v>-262.86489999999998</v>
      </c>
      <c r="H2780" s="1">
        <v>-1.2243899999999901E-8</v>
      </c>
      <c r="I2780">
        <v>283.05180000000001</v>
      </c>
      <c r="J2780">
        <v>-211.28909999999999</v>
      </c>
      <c r="K2780">
        <v>1.1209929999999999</v>
      </c>
      <c r="L2780">
        <v>283.66469999999998</v>
      </c>
      <c r="M2780">
        <v>-0.9974944</v>
      </c>
      <c r="N2780">
        <v>-9.4463010000000007E-3</v>
      </c>
      <c r="O2780">
        <v>-7.0113120000000001E-2</v>
      </c>
      <c r="P2780">
        <v>-0.99487789999999998</v>
      </c>
      <c r="Q2780">
        <v>9.6924510000000005E-2</v>
      </c>
      <c r="R2780">
        <v>-2.8703869999999999E-2</v>
      </c>
      <c r="S2780">
        <v>-3.0208889999999999</v>
      </c>
      <c r="T2780">
        <v>-6.5576079999999995E-2</v>
      </c>
      <c r="U2780">
        <v>-3.616333E-2</v>
      </c>
      <c r="V2780">
        <v>4.1112170000000003E-2</v>
      </c>
      <c r="W2780">
        <v>0.1063187</v>
      </c>
      <c r="X2780">
        <v>0.99348179999999997</v>
      </c>
      <c r="Y2780">
        <v>5.8145559999999999E-2</v>
      </c>
      <c r="Z2780">
        <v>1.7636119999999999E-3</v>
      </c>
      <c r="AA2780">
        <v>0.99830660000000004</v>
      </c>
      <c r="AB2780">
        <v>8</v>
      </c>
      <c r="AC2780">
        <v>-51.575800000000001</v>
      </c>
      <c r="AD2780">
        <v>-1.12099301224389</v>
      </c>
      <c r="AE2780">
        <v>-0.61289999999996703</v>
      </c>
      <c r="AF2780">
        <v>3.0034911050898998</v>
      </c>
      <c r="AG2780">
        <v>-1.12099301224389</v>
      </c>
      <c r="AH2780">
        <v>51.4675272584388</v>
      </c>
      <c r="AI2780">
        <v>91.245619959674499</v>
      </c>
      <c r="AJ2780">
        <v>86.660177372105807</v>
      </c>
      <c r="AK2780">
        <v>51.567275924271897</v>
      </c>
      <c r="AL2780">
        <v>83.896852063737398</v>
      </c>
      <c r="AM2780">
        <v>87.630343496386004</v>
      </c>
      <c r="AN2780">
        <v>0.99999998171151905</v>
      </c>
    </row>
    <row r="2781" spans="1:40" x14ac:dyDescent="0.25">
      <c r="A2781" t="str">
        <f>"20190303161930092"</f>
        <v>20190303161930092</v>
      </c>
      <c r="B2781" t="str">
        <f>"1551601170085643"</f>
        <v>1551601170085643</v>
      </c>
      <c r="C2781" t="s">
        <v>40</v>
      </c>
      <c r="D2781">
        <v>4.67089</v>
      </c>
      <c r="E2781">
        <v>0.51969089999999996</v>
      </c>
      <c r="F2781" t="s">
        <v>42</v>
      </c>
      <c r="G2781">
        <v>-212.0274</v>
      </c>
      <c r="H2781">
        <v>1.006813</v>
      </c>
      <c r="I2781">
        <v>283.68360000000001</v>
      </c>
      <c r="J2781">
        <v>-211.3382</v>
      </c>
      <c r="K2781">
        <v>1.120941</v>
      </c>
      <c r="L2781">
        <v>283.66090000000003</v>
      </c>
      <c r="M2781">
        <v>-0.99748130000000002</v>
      </c>
      <c r="N2781">
        <v>-9.0141160000000008E-3</v>
      </c>
      <c r="O2781">
        <v>-7.0353410000000005E-2</v>
      </c>
      <c r="P2781">
        <v>-0.99484159999999999</v>
      </c>
      <c r="Q2781">
        <v>9.7009739999999997E-2</v>
      </c>
      <c r="R2781">
        <v>-2.965286E-2</v>
      </c>
      <c r="S2781">
        <v>-3.0638890000000001</v>
      </c>
      <c r="T2781">
        <v>-0.47400490000000001</v>
      </c>
      <c r="U2781">
        <v>7.7972410000000006E-2</v>
      </c>
      <c r="V2781">
        <v>4.0397950000000002E-2</v>
      </c>
      <c r="W2781">
        <v>0.105976399999999</v>
      </c>
      <c r="X2781">
        <v>0.99354770000000003</v>
      </c>
      <c r="Y2781">
        <v>9.3788739999999995E-2</v>
      </c>
      <c r="Z2781">
        <v>1.7819209999999999E-2</v>
      </c>
      <c r="AA2781">
        <v>0.9954326</v>
      </c>
      <c r="AB2781">
        <v>8</v>
      </c>
      <c r="AC2781">
        <v>-0.68919999999999904</v>
      </c>
      <c r="AD2781">
        <v>-0.11412799999999999</v>
      </c>
      <c r="AE2781">
        <v>2.2699999999986099E-2</v>
      </c>
      <c r="AF2781">
        <v>6.9236762640978194E-2</v>
      </c>
      <c r="AG2781">
        <v>-0.11412799999999999</v>
      </c>
      <c r="AH2781">
        <v>0.66760793929712003</v>
      </c>
      <c r="AI2781">
        <v>99.650197790386002</v>
      </c>
      <c r="AJ2781">
        <v>84.079095118827595</v>
      </c>
      <c r="AK2781">
        <v>0.680822510128411</v>
      </c>
      <c r="AL2781">
        <v>83.916576025819595</v>
      </c>
      <c r="AM2781">
        <v>87.671618849517102</v>
      </c>
      <c r="AN2781">
        <v>1.00000001194822</v>
      </c>
    </row>
    <row r="2782" spans="1:40" x14ac:dyDescent="0.25">
      <c r="A2782" t="str">
        <f>"20190303161930111"</f>
        <v>20190303161930111</v>
      </c>
      <c r="B2782" t="str">
        <f>"1551601170105163"</f>
        <v>1551601170105163</v>
      </c>
      <c r="C2782" t="s">
        <v>40</v>
      </c>
      <c r="D2782">
        <v>4.6640790000000001</v>
      </c>
      <c r="E2782">
        <v>0.52154800000000001</v>
      </c>
      <c r="F2782" t="s">
        <v>42</v>
      </c>
      <c r="G2782">
        <v>-212.07390000000001</v>
      </c>
      <c r="H2782">
        <v>0.9611807</v>
      </c>
      <c r="I2782">
        <v>283.67899999999997</v>
      </c>
      <c r="J2782">
        <v>-211.40639999999999</v>
      </c>
      <c r="K2782">
        <v>1.1209979999999999</v>
      </c>
      <c r="L2782">
        <v>283.6558</v>
      </c>
      <c r="M2782">
        <v>-0.99746009999999996</v>
      </c>
      <c r="N2782">
        <v>-8.9404700000000007E-3</v>
      </c>
      <c r="O2782">
        <v>-7.0665130000000007E-2</v>
      </c>
      <c r="P2782">
        <v>-0.99484600000000001</v>
      </c>
      <c r="Q2782">
        <v>9.595352E-2</v>
      </c>
      <c r="R2782">
        <v>-3.2779790000000003E-2</v>
      </c>
      <c r="S2782">
        <v>-3.0830839999999999</v>
      </c>
      <c r="T2782">
        <v>-0.66954259999999999</v>
      </c>
      <c r="U2782">
        <v>7.5408939999999994E-2</v>
      </c>
      <c r="V2782">
        <v>3.7588400000000001E-2</v>
      </c>
      <c r="W2782">
        <v>0.1048492</v>
      </c>
      <c r="X2782">
        <v>0.99377749999999998</v>
      </c>
      <c r="Y2782">
        <v>9.1307749999999993E-2</v>
      </c>
      <c r="Z2782">
        <v>2.4747760000000001E-2</v>
      </c>
      <c r="AA2782">
        <v>0.99551520000000004</v>
      </c>
      <c r="AB2782">
        <v>8</v>
      </c>
      <c r="AC2782">
        <v>-0.66750000000001797</v>
      </c>
      <c r="AD2782">
        <v>-0.1598173</v>
      </c>
      <c r="AE2782">
        <v>2.3200000000031199E-2</v>
      </c>
      <c r="AF2782">
        <v>6.6505043450729801E-2</v>
      </c>
      <c r="AG2782">
        <v>-0.1598173</v>
      </c>
      <c r="AH2782">
        <v>0.62822221600375205</v>
      </c>
      <c r="AI2782">
        <v>104.196963598764</v>
      </c>
      <c r="AJ2782">
        <v>83.957044524095295</v>
      </c>
      <c r="AK2782">
        <v>0.65163459305375904</v>
      </c>
      <c r="AL2782">
        <v>83.981521485923395</v>
      </c>
      <c r="AM2782">
        <v>87.833890859963503</v>
      </c>
      <c r="AN2782">
        <v>0.99999998103072396</v>
      </c>
    </row>
    <row r="2783" spans="1:40" x14ac:dyDescent="0.25">
      <c r="A2783" t="str">
        <f>"20190303161930125"</f>
        <v>20190303161930125</v>
      </c>
      <c r="B2783" t="str">
        <f>"1551601170115899"</f>
        <v>1551601170115899</v>
      </c>
      <c r="C2783" t="s">
        <v>40</v>
      </c>
      <c r="D2783">
        <v>4.6806320000000001</v>
      </c>
      <c r="E2783">
        <v>0.52211679999999905</v>
      </c>
      <c r="F2783" t="s">
        <v>42</v>
      </c>
      <c r="G2783">
        <v>-212.13210000000001</v>
      </c>
      <c r="H2783">
        <v>0.94567389999999996</v>
      </c>
      <c r="I2783">
        <v>283.67500000000001</v>
      </c>
      <c r="J2783">
        <v>-211.45140000000001</v>
      </c>
      <c r="K2783">
        <v>1.121184</v>
      </c>
      <c r="L2783">
        <v>283.65230000000003</v>
      </c>
      <c r="M2783">
        <v>-0.99744189999999999</v>
      </c>
      <c r="N2783">
        <v>-9.4689820000000008E-3</v>
      </c>
      <c r="O2783">
        <v>-7.0853369999999999E-2</v>
      </c>
      <c r="P2783">
        <v>-0.99490610000000002</v>
      </c>
      <c r="Q2783">
        <v>9.4868560000000005E-2</v>
      </c>
      <c r="R2783">
        <v>-3.4089689999999999E-2</v>
      </c>
      <c r="S2783">
        <v>-3.090271</v>
      </c>
      <c r="T2783">
        <v>-0.74664079999999999</v>
      </c>
      <c r="U2783">
        <v>8.1817630000000002E-2</v>
      </c>
      <c r="V2783">
        <v>3.6477429999999998E-2</v>
      </c>
      <c r="W2783">
        <v>0.1042892</v>
      </c>
      <c r="X2783">
        <v>0.99387780000000003</v>
      </c>
      <c r="Y2783">
        <v>9.2582070000000002E-2</v>
      </c>
      <c r="Z2783">
        <v>2.767325E-2</v>
      </c>
      <c r="AA2783">
        <v>0.99532039999999999</v>
      </c>
      <c r="AB2783">
        <v>8</v>
      </c>
      <c r="AC2783">
        <v>-0.68070000000000097</v>
      </c>
      <c r="AD2783">
        <v>-0.1755101</v>
      </c>
      <c r="AE2783">
        <v>2.2699999999986099E-2</v>
      </c>
      <c r="AF2783">
        <v>6.6461519192277302E-2</v>
      </c>
      <c r="AG2783">
        <v>-0.1755101</v>
      </c>
      <c r="AH2783">
        <v>0.635199320257819</v>
      </c>
      <c r="AI2783">
        <v>105.365969005426</v>
      </c>
      <c r="AJ2783">
        <v>84.026821307220899</v>
      </c>
      <c r="AK2783">
        <v>0.66234364584507799</v>
      </c>
      <c r="AL2783">
        <v>84.013783877147304</v>
      </c>
      <c r="AM2783">
        <v>87.898066441562705</v>
      </c>
      <c r="AN2783">
        <v>0.99999996073444097</v>
      </c>
    </row>
    <row r="2784" spans="1:40" x14ac:dyDescent="0.25">
      <c r="A2784" t="str">
        <f>"20190303161930144"</f>
        <v>20190303161930144</v>
      </c>
      <c r="B2784" t="str">
        <f>"1551601170135422"</f>
        <v>1551601170135422</v>
      </c>
      <c r="C2784" t="s">
        <v>40</v>
      </c>
      <c r="D2784">
        <v>4.6790620000000001</v>
      </c>
      <c r="E2784">
        <v>0.52287229999999996</v>
      </c>
      <c r="F2784" t="s">
        <v>42</v>
      </c>
      <c r="G2784">
        <v>-212.19149999999999</v>
      </c>
      <c r="H2784">
        <v>0.93851150000000005</v>
      </c>
      <c r="I2784">
        <v>283.6721</v>
      </c>
      <c r="J2784">
        <v>-211.5111</v>
      </c>
      <c r="K2784">
        <v>1.121524</v>
      </c>
      <c r="L2784">
        <v>283.64780000000002</v>
      </c>
      <c r="M2784">
        <v>-0.99741239999999998</v>
      </c>
      <c r="N2784">
        <v>-1.0727799999999999E-2</v>
      </c>
      <c r="O2784">
        <v>-7.1087139999999993E-2</v>
      </c>
      <c r="P2784">
        <v>-0.99504729999999997</v>
      </c>
      <c r="Q2784">
        <v>9.2482159999999994E-2</v>
      </c>
      <c r="R2784">
        <v>-3.6442990000000001E-2</v>
      </c>
      <c r="S2784">
        <v>-3.0909420000000001</v>
      </c>
      <c r="T2784">
        <v>-0.76306339999999995</v>
      </c>
      <c r="U2784">
        <v>8.2092289999999998E-2</v>
      </c>
      <c r="V2784">
        <v>3.4381759999999997E-2</v>
      </c>
      <c r="W2784">
        <v>0.1031542</v>
      </c>
      <c r="X2784">
        <v>0.99407089999999998</v>
      </c>
      <c r="Y2784">
        <v>9.2692380000000005E-2</v>
      </c>
      <c r="Z2784">
        <v>2.8303160000000001E-2</v>
      </c>
      <c r="AA2784">
        <v>0.99529239999999997</v>
      </c>
      <c r="AB2784">
        <v>7</v>
      </c>
      <c r="AC2784">
        <v>-0.68039999999999101</v>
      </c>
      <c r="AD2784">
        <v>-0.18301249999999999</v>
      </c>
      <c r="AE2784">
        <v>2.4299999999982402E-2</v>
      </c>
      <c r="AF2784">
        <v>6.7716040084269194E-2</v>
      </c>
      <c r="AG2784">
        <v>-0.18301249999999999</v>
      </c>
      <c r="AH2784">
        <v>0.631332798278749</v>
      </c>
      <c r="AI2784">
        <v>106.078544556683</v>
      </c>
      <c r="AJ2784">
        <v>83.877925126881806</v>
      </c>
      <c r="AK2784">
        <v>0.66080264786350595</v>
      </c>
      <c r="AL2784">
        <v>84.079167031141793</v>
      </c>
      <c r="AM2784">
        <v>88.019110312048596</v>
      </c>
      <c r="AN2784">
        <v>0.99999992431257101</v>
      </c>
    </row>
    <row r="2785" spans="1:40" x14ac:dyDescent="0.25">
      <c r="A2785" t="str">
        <f>"20190303161930158"</f>
        <v>20190303161930158</v>
      </c>
      <c r="B2785" t="str">
        <f>"1551601170155447"</f>
        <v>1551601170155447</v>
      </c>
      <c r="C2785" t="s">
        <v>40</v>
      </c>
      <c r="D2785">
        <v>4.7088489999999998</v>
      </c>
      <c r="E2785">
        <v>0.52315210000000001</v>
      </c>
      <c r="F2785" t="s">
        <v>42</v>
      </c>
      <c r="G2785">
        <v>-212.19550000000001</v>
      </c>
      <c r="H2785">
        <v>0.94760509999999998</v>
      </c>
      <c r="I2785">
        <v>283.66559999999998</v>
      </c>
      <c r="J2785">
        <v>-211.5531</v>
      </c>
      <c r="K2785">
        <v>1.121672</v>
      </c>
      <c r="L2785">
        <v>283.64449999999999</v>
      </c>
      <c r="M2785">
        <v>-0.99739319999999998</v>
      </c>
      <c r="N2785">
        <v>-1.1420390000000001E-2</v>
      </c>
      <c r="O2785">
        <v>-7.1251099999999998E-2</v>
      </c>
      <c r="P2785">
        <v>-0.99512210000000001</v>
      </c>
      <c r="Q2785">
        <v>9.1338939999999993E-2</v>
      </c>
      <c r="R2785">
        <v>-3.7272569999999998E-2</v>
      </c>
      <c r="S2785">
        <v>-3.090881</v>
      </c>
      <c r="T2785">
        <v>-0.78551549999999903</v>
      </c>
      <c r="U2785">
        <v>7.9956050000000001E-2</v>
      </c>
      <c r="V2785">
        <v>3.3726829999999999E-2</v>
      </c>
      <c r="W2785">
        <v>0.10270029999999999</v>
      </c>
      <c r="X2785">
        <v>0.99414040000000004</v>
      </c>
      <c r="Y2785">
        <v>9.1906890000000005E-2</v>
      </c>
      <c r="Z2785">
        <v>2.9039860000000001E-2</v>
      </c>
      <c r="AA2785">
        <v>0.99534400000000001</v>
      </c>
      <c r="AB2785">
        <v>7</v>
      </c>
      <c r="AC2785">
        <v>-0.64240000000000896</v>
      </c>
      <c r="AD2785">
        <v>-0.1740669</v>
      </c>
      <c r="AE2785">
        <v>2.1099999999989901E-2</v>
      </c>
      <c r="AF2785">
        <v>6.2255130596754402E-2</v>
      </c>
      <c r="AG2785">
        <v>-0.1740669</v>
      </c>
      <c r="AH2785">
        <v>0.59558234396129295</v>
      </c>
      <c r="AI2785">
        <v>106.208074049446</v>
      </c>
      <c r="AJ2785">
        <v>84.032647609668004</v>
      </c>
      <c r="AK2785">
        <v>0.62361311355652005</v>
      </c>
      <c r="AL2785">
        <v>84.105312854087998</v>
      </c>
      <c r="AM2785">
        <v>88.0569503450658</v>
      </c>
      <c r="AN2785">
        <v>0.99999999279704899</v>
      </c>
    </row>
    <row r="2786" spans="1:40" x14ac:dyDescent="0.25">
      <c r="A2786" t="str">
        <f>"20190303161930173"</f>
        <v>20190303161930173</v>
      </c>
      <c r="B2786" t="str">
        <f>"1551601170165207"</f>
        <v>1551601170165207</v>
      </c>
      <c r="C2786" t="s">
        <v>40</v>
      </c>
      <c r="D2786">
        <v>4.7031559999999999</v>
      </c>
      <c r="E2786">
        <v>0.52336039999999995</v>
      </c>
      <c r="F2786" t="s">
        <v>42</v>
      </c>
      <c r="G2786">
        <v>-212.25460000000001</v>
      </c>
      <c r="H2786">
        <v>0.94108879999999995</v>
      </c>
      <c r="I2786">
        <v>283.66250000000002</v>
      </c>
      <c r="J2786">
        <v>-211.60169999999999</v>
      </c>
      <c r="K2786">
        <v>1.1216680000000001</v>
      </c>
      <c r="L2786">
        <v>283.64080000000001</v>
      </c>
      <c r="M2786">
        <v>-0.9973767</v>
      </c>
      <c r="N2786">
        <v>-1.1586910000000001E-2</v>
      </c>
      <c r="O2786">
        <v>-7.1450899999999901E-2</v>
      </c>
      <c r="P2786">
        <v>-0.99516959999999999</v>
      </c>
      <c r="Q2786">
        <v>9.0536099999999994E-2</v>
      </c>
      <c r="R2786">
        <v>-3.7955040000000002E-2</v>
      </c>
      <c r="S2786">
        <v>-3.0906980000000002</v>
      </c>
      <c r="T2786">
        <v>-0.79557900000000004</v>
      </c>
      <c r="U2786">
        <v>7.9254149999999995E-2</v>
      </c>
      <c r="V2786">
        <v>3.3250210000000002E-2</v>
      </c>
      <c r="W2786">
        <v>0.1020638</v>
      </c>
      <c r="X2786">
        <v>0.99422200000000005</v>
      </c>
      <c r="Y2786">
        <v>9.1750880000000007E-2</v>
      </c>
      <c r="Z2786">
        <v>2.9429469999999999E-2</v>
      </c>
      <c r="AA2786">
        <v>0.99534699999999998</v>
      </c>
      <c r="AB2786">
        <v>7</v>
      </c>
      <c r="AC2786">
        <v>-0.65290000000001602</v>
      </c>
      <c r="AD2786">
        <v>-0.1805792</v>
      </c>
      <c r="AE2786">
        <v>2.1700000000009802E-2</v>
      </c>
      <c r="AF2786">
        <v>6.3449634402014801E-2</v>
      </c>
      <c r="AG2786">
        <v>-0.1805792</v>
      </c>
      <c r="AH2786">
        <v>0.60356103251005</v>
      </c>
      <c r="AI2786">
        <v>106.570372294761</v>
      </c>
      <c r="AJ2786">
        <v>83.998796899716993</v>
      </c>
      <c r="AK2786">
        <v>0.63318293055244801</v>
      </c>
      <c r="AL2786">
        <v>84.141974255400797</v>
      </c>
      <c r="AM2786">
        <v>88.084545587976393</v>
      </c>
      <c r="AN2786">
        <v>0.99999999050974198</v>
      </c>
    </row>
    <row r="2787" spans="1:40" x14ac:dyDescent="0.25">
      <c r="A2787" t="str">
        <f>"20190303161930190"</f>
        <v>20190303161930190</v>
      </c>
      <c r="B2787" t="str">
        <f>"1551601170185703"</f>
        <v>1551601170185703</v>
      </c>
      <c r="C2787" t="s">
        <v>40</v>
      </c>
      <c r="D2787">
        <v>4.7689599999999999</v>
      </c>
      <c r="E2787">
        <v>0.52407029999999999</v>
      </c>
      <c r="F2787" t="s">
        <v>42</v>
      </c>
      <c r="G2787">
        <v>-212.31800000000001</v>
      </c>
      <c r="H2787">
        <v>0.93635179999999996</v>
      </c>
      <c r="I2787">
        <v>283.65910000000002</v>
      </c>
      <c r="J2787">
        <v>-211.6584</v>
      </c>
      <c r="K2787">
        <v>1.121467</v>
      </c>
      <c r="L2787">
        <v>283.63639999999998</v>
      </c>
      <c r="M2787">
        <v>-0.9973651</v>
      </c>
      <c r="N2787">
        <v>-1.104022E-2</v>
      </c>
      <c r="O2787">
        <v>-7.1700979999999997E-2</v>
      </c>
      <c r="P2787">
        <v>-0.99525140000000001</v>
      </c>
      <c r="Q2787">
        <v>8.8948620000000006E-2</v>
      </c>
      <c r="R2787">
        <v>-3.9534119999999999E-2</v>
      </c>
      <c r="S2787">
        <v>-3.0903019999999999</v>
      </c>
      <c r="T2787">
        <v>-0.7995852</v>
      </c>
      <c r="U2787">
        <v>7.830811E-2</v>
      </c>
      <c r="V2787">
        <v>3.1927909999999997E-2</v>
      </c>
      <c r="W2787">
        <v>9.9935170000000004E-2</v>
      </c>
      <c r="X2787">
        <v>0.99448159999999997</v>
      </c>
      <c r="Y2787">
        <v>9.1638300000000006E-2</v>
      </c>
      <c r="Z2787">
        <v>2.9637119999999999E-2</v>
      </c>
      <c r="AA2787">
        <v>0.99535130000000005</v>
      </c>
      <c r="AB2787">
        <v>7</v>
      </c>
      <c r="AC2787">
        <v>-0.65959999999998298</v>
      </c>
      <c r="AD2787">
        <v>-0.18511520000000001</v>
      </c>
      <c r="AE2787">
        <v>2.2700000000042998E-2</v>
      </c>
      <c r="AF2787">
        <v>6.4837641331360496E-2</v>
      </c>
      <c r="AG2787">
        <v>-0.18511520000000001</v>
      </c>
      <c r="AH2787">
        <v>0.60841074946490903</v>
      </c>
      <c r="AI2787">
        <v>106.833037678031</v>
      </c>
      <c r="AJ2787">
        <v>83.917012643779401</v>
      </c>
      <c r="AK2787">
        <v>0.63924580332521996</v>
      </c>
      <c r="AL2787">
        <v>84.264562945820003</v>
      </c>
      <c r="AM2787">
        <v>88.161146108948799</v>
      </c>
      <c r="AN2787">
        <v>1.00000004118922</v>
      </c>
    </row>
    <row r="2788" spans="1:40" x14ac:dyDescent="0.25">
      <c r="A2788" t="str">
        <f>"20190303161930213"</f>
        <v>20190303161930213</v>
      </c>
      <c r="B2788" t="str">
        <f>"1551601170205222"</f>
        <v>1551601170205222</v>
      </c>
      <c r="C2788" t="s">
        <v>40</v>
      </c>
      <c r="D2788">
        <v>4.7134580000000001</v>
      </c>
      <c r="E2788">
        <v>0.52429340000000002</v>
      </c>
      <c r="F2788" t="s">
        <v>42</v>
      </c>
      <c r="G2788">
        <v>-212.38460000000001</v>
      </c>
      <c r="H2788">
        <v>0.93192909999999995</v>
      </c>
      <c r="I2788">
        <v>283.65530000000001</v>
      </c>
      <c r="J2788">
        <v>-211.73650000000001</v>
      </c>
      <c r="K2788">
        <v>1.121135</v>
      </c>
      <c r="L2788">
        <v>283.63040000000001</v>
      </c>
      <c r="M2788">
        <v>-0.99735130000000005</v>
      </c>
      <c r="N2788">
        <v>-9.8438060000000001E-3</v>
      </c>
      <c r="O2788">
        <v>-7.206709E-2</v>
      </c>
      <c r="P2788">
        <v>-0.99520649999999999</v>
      </c>
      <c r="Q2788">
        <v>8.895728E-2</v>
      </c>
      <c r="R2788">
        <v>-4.0629360000000003E-2</v>
      </c>
      <c r="S2788">
        <v>-3.089569</v>
      </c>
      <c r="T2788">
        <v>-0.80636560000000002</v>
      </c>
      <c r="U2788">
        <v>8.0291749999999995E-2</v>
      </c>
      <c r="V2788">
        <v>3.1191900000000002E-2</v>
      </c>
      <c r="W2788">
        <v>9.8756070000000001E-2</v>
      </c>
      <c r="X2788">
        <v>0.99462269999999997</v>
      </c>
      <c r="Y2788">
        <v>9.2507110000000004E-2</v>
      </c>
      <c r="Z2788">
        <v>3.012447E-2</v>
      </c>
      <c r="AA2788">
        <v>0.99525620000000004</v>
      </c>
      <c r="AB2788">
        <v>7</v>
      </c>
      <c r="AC2788">
        <v>-0.64809999999999901</v>
      </c>
      <c r="AD2788">
        <v>-0.18920590000000001</v>
      </c>
      <c r="AE2788">
        <v>2.4900000000002299E-2</v>
      </c>
      <c r="AF2788">
        <v>6.59330867845766E-2</v>
      </c>
      <c r="AG2788">
        <v>-0.18920590000000001</v>
      </c>
      <c r="AH2788">
        <v>0.59406351173625704</v>
      </c>
      <c r="AI2788">
        <v>107.565221015468</v>
      </c>
      <c r="AJ2788">
        <v>83.666855556577403</v>
      </c>
      <c r="AK2788">
        <v>0.62694298026548401</v>
      </c>
      <c r="AL2788">
        <v>84.332456067873593</v>
      </c>
      <c r="AM2788">
        <v>88.203762403066094</v>
      </c>
      <c r="AN2788">
        <v>1.00000000567137</v>
      </c>
    </row>
    <row r="2789" spans="1:40" x14ac:dyDescent="0.25">
      <c r="A2789" t="str">
        <f>"20190303161930233"</f>
        <v>20190303161930233</v>
      </c>
      <c r="B2789" t="str">
        <f>"1551601170225723"</f>
        <v>1551601170225723</v>
      </c>
      <c r="C2789" t="s">
        <v>40</v>
      </c>
      <c r="D2789">
        <v>4.7818990000000001</v>
      </c>
      <c r="E2789">
        <v>0.52484209999999998</v>
      </c>
      <c r="F2789" t="s">
        <v>42</v>
      </c>
      <c r="G2789">
        <v>-212.45490000000001</v>
      </c>
      <c r="H2789">
        <v>0.93250469999999996</v>
      </c>
      <c r="I2789">
        <v>283.649</v>
      </c>
      <c r="J2789">
        <v>-211.80889999999999</v>
      </c>
      <c r="K2789">
        <v>1.1209530000000001</v>
      </c>
      <c r="L2789">
        <v>283.62479999999999</v>
      </c>
      <c r="M2789">
        <v>-0.99733470000000002</v>
      </c>
      <c r="N2789">
        <v>-9.0026919999999996E-3</v>
      </c>
      <c r="O2789">
        <v>-7.2404469999999999E-2</v>
      </c>
      <c r="P2789">
        <v>-0.99515969999999998</v>
      </c>
      <c r="Q2789">
        <v>8.9242589999999997E-2</v>
      </c>
      <c r="R2789">
        <v>-4.114251E-2</v>
      </c>
      <c r="S2789">
        <v>-3.0902250000000002</v>
      </c>
      <c r="T2789">
        <v>-0.81148199999999904</v>
      </c>
      <c r="U2789">
        <v>7.9284670000000002E-2</v>
      </c>
      <c r="V2789">
        <v>3.1009160000000001E-2</v>
      </c>
      <c r="W2789">
        <v>9.8205169999999994E-2</v>
      </c>
      <c r="X2789">
        <v>0.99468299999999998</v>
      </c>
      <c r="Y2789">
        <v>9.2434450000000001E-2</v>
      </c>
      <c r="Z2789">
        <v>3.0399180000000001E-2</v>
      </c>
      <c r="AA2789">
        <v>0.99525459999999999</v>
      </c>
      <c r="AB2789">
        <v>8</v>
      </c>
      <c r="AC2789">
        <v>-0.64600000000001501</v>
      </c>
      <c r="AD2789">
        <v>-0.18844830000000001</v>
      </c>
      <c r="AE2789">
        <v>2.42000000000075E-2</v>
      </c>
      <c r="AF2789">
        <v>6.5357650606005901E-2</v>
      </c>
      <c r="AG2789">
        <v>-0.18844830000000001</v>
      </c>
      <c r="AH2789">
        <v>0.59222549430697102</v>
      </c>
      <c r="AI2789">
        <v>107.551299233061</v>
      </c>
      <c r="AJ2789">
        <v>83.702356351173506</v>
      </c>
      <c r="AK2789">
        <v>0.62491233014940895</v>
      </c>
      <c r="AL2789">
        <v>84.364174730726305</v>
      </c>
      <c r="AM2789">
        <v>88.214387141880806</v>
      </c>
      <c r="AN2789">
        <v>1.00000004695381</v>
      </c>
    </row>
    <row r="2790" spans="1:40" x14ac:dyDescent="0.25">
      <c r="A2790" t="str">
        <f>"20190303161930256"</f>
        <v>20190303161930256</v>
      </c>
      <c r="B2790" t="str">
        <f>"1551601170245238"</f>
        <v>1551601170245238</v>
      </c>
      <c r="C2790" t="s">
        <v>40</v>
      </c>
      <c r="D2790">
        <v>4.7303009999999999</v>
      </c>
      <c r="E2790">
        <v>0.52566459999999904</v>
      </c>
      <c r="F2790" t="s">
        <v>42</v>
      </c>
      <c r="G2790">
        <v>-212.52529999999999</v>
      </c>
      <c r="H2790">
        <v>0.93177350000000003</v>
      </c>
      <c r="I2790">
        <v>283.64389999999997</v>
      </c>
      <c r="J2790">
        <v>-211.89080000000001</v>
      </c>
      <c r="K2790">
        <v>1.1208769999999999</v>
      </c>
      <c r="L2790">
        <v>283.61849999999998</v>
      </c>
      <c r="M2790">
        <v>-0.99731380000000003</v>
      </c>
      <c r="N2790">
        <v>-8.4557920000000002E-3</v>
      </c>
      <c r="O2790">
        <v>-7.2756089999999995E-2</v>
      </c>
      <c r="P2790">
        <v>-0.99517639999999996</v>
      </c>
      <c r="Q2790">
        <v>8.9110529999999993E-2</v>
      </c>
      <c r="R2790">
        <v>-4.1027330000000001E-2</v>
      </c>
      <c r="S2790">
        <v>-3.0911710000000001</v>
      </c>
      <c r="T2790">
        <v>-0.81628480000000003</v>
      </c>
      <c r="U2790">
        <v>8.2183839999999994E-2</v>
      </c>
      <c r="V2790">
        <v>3.1474799999999997E-2</v>
      </c>
      <c r="W2790">
        <v>9.7529889999999994E-2</v>
      </c>
      <c r="X2790">
        <v>0.99473480000000003</v>
      </c>
      <c r="Y2790">
        <v>9.3593029999999994E-2</v>
      </c>
      <c r="Z2790">
        <v>3.0822100000000002E-2</v>
      </c>
      <c r="AA2790">
        <v>0.9951333</v>
      </c>
      <c r="AB2790">
        <v>8</v>
      </c>
      <c r="AC2790">
        <v>-0.63449999999997397</v>
      </c>
      <c r="AD2790">
        <v>-0.18910350000000001</v>
      </c>
      <c r="AE2790">
        <v>2.53999999999905E-2</v>
      </c>
      <c r="AF2790">
        <v>6.5673913228215294E-2</v>
      </c>
      <c r="AG2790">
        <v>-0.18910350000000001</v>
      </c>
      <c r="AH2790">
        <v>0.57957203528106904</v>
      </c>
      <c r="AI2790">
        <v>107.96302993191399</v>
      </c>
      <c r="AJ2790">
        <v>83.535133500708795</v>
      </c>
      <c r="AK2790">
        <v>0.61316958557221202</v>
      </c>
      <c r="AL2790">
        <v>84.403051974474494</v>
      </c>
      <c r="AM2790">
        <v>88.187686075013602</v>
      </c>
      <c r="AN2790">
        <v>1.00000003240474</v>
      </c>
    </row>
    <row r="2791" spans="1:40" x14ac:dyDescent="0.25">
      <c r="A2791" t="str">
        <f>"20190303161930272"</f>
        <v>20190303161930272</v>
      </c>
      <c r="B2791" t="str">
        <f>"1551601170265735"</f>
        <v>1551601170265735</v>
      </c>
      <c r="C2791" t="s">
        <v>40</v>
      </c>
      <c r="D2791">
        <v>4.7242559999999996</v>
      </c>
      <c r="E2791">
        <v>0.52643669999999998</v>
      </c>
      <c r="F2791" t="s">
        <v>42</v>
      </c>
      <c r="G2791">
        <v>-212.5968</v>
      </c>
      <c r="H2791">
        <v>0.93223880000000003</v>
      </c>
      <c r="I2791">
        <v>283.63909999999998</v>
      </c>
      <c r="J2791">
        <v>-211.94649999999999</v>
      </c>
      <c r="K2791">
        <v>1.1208629999999999</v>
      </c>
      <c r="L2791">
        <v>283.61410000000001</v>
      </c>
      <c r="M2791">
        <v>-0.99730059999999998</v>
      </c>
      <c r="N2791">
        <v>-8.225642E-3</v>
      </c>
      <c r="O2791">
        <v>-7.2967199999999996E-2</v>
      </c>
      <c r="P2791">
        <v>-0.99516669999999996</v>
      </c>
      <c r="Q2791">
        <v>8.9162829999999998E-2</v>
      </c>
      <c r="R2791">
        <v>-4.1152260000000003E-2</v>
      </c>
      <c r="S2791">
        <v>-3.0922550000000002</v>
      </c>
      <c r="T2791">
        <v>-0.82631790000000005</v>
      </c>
      <c r="U2791">
        <v>8.9935299999999996E-2</v>
      </c>
      <c r="V2791">
        <v>3.1561279999999997E-2</v>
      </c>
      <c r="W2791">
        <v>9.7352880000000003E-2</v>
      </c>
      <c r="X2791">
        <v>0.99474940000000001</v>
      </c>
      <c r="Y2791">
        <v>9.6055429999999997E-2</v>
      </c>
      <c r="Z2791">
        <v>3.1572490000000002E-2</v>
      </c>
      <c r="AA2791">
        <v>0.99487510000000001</v>
      </c>
      <c r="AB2791">
        <v>8</v>
      </c>
      <c r="AC2791">
        <v>-0.65030000000001498</v>
      </c>
      <c r="AD2791">
        <v>-0.18862419999999899</v>
      </c>
      <c r="AE2791">
        <v>2.49999999999772E-2</v>
      </c>
      <c r="AF2791">
        <v>6.6775755081636204E-2</v>
      </c>
      <c r="AG2791">
        <v>-0.18862419999999899</v>
      </c>
      <c r="AH2791">
        <v>0.59662064629149403</v>
      </c>
      <c r="AI2791">
        <v>107.442329490752</v>
      </c>
      <c r="AJ2791">
        <v>83.613844533681799</v>
      </c>
      <c r="AK2791">
        <v>0.62928076871428595</v>
      </c>
      <c r="AL2791">
        <v>84.4132423981562</v>
      </c>
      <c r="AM2791">
        <v>88.182736559497798</v>
      </c>
      <c r="AN2791">
        <v>1.0000000332199399</v>
      </c>
    </row>
    <row r="2792" spans="1:40" x14ac:dyDescent="0.25">
      <c r="A2792" t="str">
        <f>"20190303161930291"</f>
        <v>20190303161930291</v>
      </c>
      <c r="B2792" t="str">
        <f>"1551601170285255"</f>
        <v>1551601170285255</v>
      </c>
      <c r="C2792" t="s">
        <v>40</v>
      </c>
      <c r="D2792">
        <v>4.7279900000000001</v>
      </c>
      <c r="E2792">
        <v>0.52702079999999996</v>
      </c>
      <c r="F2792" t="s">
        <v>42</v>
      </c>
      <c r="G2792">
        <v>-212.6662</v>
      </c>
      <c r="H2792">
        <v>0.92671369999999997</v>
      </c>
      <c r="I2792">
        <v>283.63650000000001</v>
      </c>
      <c r="J2792">
        <v>-212.01320000000001</v>
      </c>
      <c r="K2792">
        <v>1.120846</v>
      </c>
      <c r="L2792">
        <v>283.60890000000001</v>
      </c>
      <c r="M2792">
        <v>-0.99728589999999995</v>
      </c>
      <c r="N2792">
        <v>-7.9933620000000004E-3</v>
      </c>
      <c r="O2792">
        <v>-7.319109E-2</v>
      </c>
      <c r="P2792">
        <v>-0.99514499999999995</v>
      </c>
      <c r="Q2792">
        <v>8.9180919999999997E-2</v>
      </c>
      <c r="R2792">
        <v>-4.1635539999999999E-2</v>
      </c>
      <c r="S2792">
        <v>-3.0933069999999998</v>
      </c>
      <c r="T2792">
        <v>-0.83445979999999997</v>
      </c>
      <c r="U2792">
        <v>9.6405030000000003E-2</v>
      </c>
      <c r="V2792">
        <v>3.1305199999999998E-2</v>
      </c>
      <c r="W2792">
        <v>9.7138840000000004E-2</v>
      </c>
      <c r="X2792">
        <v>0.99477839999999995</v>
      </c>
      <c r="Y2792">
        <v>9.8150890000000005E-2</v>
      </c>
      <c r="Z2792">
        <v>3.2212820000000003E-2</v>
      </c>
      <c r="AA2792">
        <v>0.99465009999999998</v>
      </c>
      <c r="AB2792">
        <v>8</v>
      </c>
      <c r="AC2792">
        <v>-0.65299999999999103</v>
      </c>
      <c r="AD2792">
        <v>-0.19413230000000001</v>
      </c>
      <c r="AE2792">
        <v>2.7600000000006699E-2</v>
      </c>
      <c r="AF2792">
        <v>6.9214771877332104E-2</v>
      </c>
      <c r="AG2792">
        <v>-0.19413230000000001</v>
      </c>
      <c r="AH2792">
        <v>0.59659359821010205</v>
      </c>
      <c r="AI2792">
        <v>107.912553868955</v>
      </c>
      <c r="AJ2792">
        <v>83.3823225767933</v>
      </c>
      <c r="AK2792">
        <v>0.63119090295614799</v>
      </c>
      <c r="AL2792">
        <v>84.425564299634601</v>
      </c>
      <c r="AM2792">
        <v>88.197524107676301</v>
      </c>
      <c r="AN2792">
        <v>1.0000000174450701</v>
      </c>
    </row>
    <row r="2793" spans="1:40" x14ac:dyDescent="0.25">
      <c r="A2793" t="str">
        <f>"20190303161930313"</f>
        <v>20190303161930313</v>
      </c>
      <c r="B2793" t="str">
        <f>"1551601170305751"</f>
        <v>1551601170305751</v>
      </c>
      <c r="C2793" t="s">
        <v>40</v>
      </c>
      <c r="D2793">
        <v>4.7521409999999999</v>
      </c>
      <c r="E2793">
        <v>0.52759480000000003</v>
      </c>
      <c r="F2793" t="s">
        <v>42</v>
      </c>
      <c r="G2793">
        <v>-212.738</v>
      </c>
      <c r="H2793">
        <v>0.92405020000000004</v>
      </c>
      <c r="I2793">
        <v>283.63260000000002</v>
      </c>
      <c r="J2793">
        <v>-212.09270000000001</v>
      </c>
      <c r="K2793">
        <v>1.120895</v>
      </c>
      <c r="L2793">
        <v>283.6028</v>
      </c>
      <c r="M2793">
        <v>-0.9972683</v>
      </c>
      <c r="N2793">
        <v>-8.0332110000000002E-3</v>
      </c>
      <c r="O2793">
        <v>-7.3427800000000001E-2</v>
      </c>
      <c r="P2793">
        <v>-0.99513700000000005</v>
      </c>
      <c r="Q2793">
        <v>8.912486E-2</v>
      </c>
      <c r="R2793">
        <v>-4.1943000000000001E-2</v>
      </c>
      <c r="S2793">
        <v>-3.0941160000000001</v>
      </c>
      <c r="T2793">
        <v>-0.84012260000000005</v>
      </c>
      <c r="U2793">
        <v>0.10058590000000001</v>
      </c>
      <c r="V2793">
        <v>3.12413E-2</v>
      </c>
      <c r="W2793">
        <v>9.7119849999999994E-2</v>
      </c>
      <c r="X2793">
        <v>0.99478230000000001</v>
      </c>
      <c r="Y2793">
        <v>9.9581970000000006E-2</v>
      </c>
      <c r="Z2793">
        <v>3.2673470000000003E-2</v>
      </c>
      <c r="AA2793">
        <v>0.99449279999999995</v>
      </c>
      <c r="AB2793">
        <v>8</v>
      </c>
      <c r="AC2793">
        <v>-0.64529999999999099</v>
      </c>
      <c r="AD2793">
        <v>-0.19684479999999999</v>
      </c>
      <c r="AE2793">
        <v>2.9800000000022898E-2</v>
      </c>
      <c r="AF2793">
        <v>7.0552930422986604E-2</v>
      </c>
      <c r="AG2793">
        <v>-0.19684479999999999</v>
      </c>
      <c r="AH2793">
        <v>0.58687607010574305</v>
      </c>
      <c r="AI2793">
        <v>108.418450199067</v>
      </c>
      <c r="AJ2793">
        <v>83.144926916753803</v>
      </c>
      <c r="AK2793">
        <v>0.623016141798166</v>
      </c>
      <c r="AL2793">
        <v>84.4266577211758</v>
      </c>
      <c r="AM2793">
        <v>88.201207939331994</v>
      </c>
      <c r="AN2793">
        <v>1.00000005424149</v>
      </c>
    </row>
    <row r="2794" spans="1:40" x14ac:dyDescent="0.25">
      <c r="A2794" t="str">
        <f>"20190303161930335"</f>
        <v>20190303161930335</v>
      </c>
      <c r="B2794" t="str">
        <f>"1551601170325274"</f>
        <v>1551601170325274</v>
      </c>
      <c r="C2794" t="s">
        <v>40</v>
      </c>
      <c r="D2794">
        <v>4.761412</v>
      </c>
      <c r="E2794">
        <v>0.52801999999999905</v>
      </c>
      <c r="F2794" t="s">
        <v>42</v>
      </c>
      <c r="G2794">
        <v>-212.80940000000001</v>
      </c>
      <c r="H2794">
        <v>0.92523880000000003</v>
      </c>
      <c r="I2794">
        <v>283.62740000000002</v>
      </c>
      <c r="J2794">
        <v>-212.16849999999999</v>
      </c>
      <c r="K2794">
        <v>1.1210659999999999</v>
      </c>
      <c r="L2794">
        <v>283.59699999999998</v>
      </c>
      <c r="M2794">
        <v>-0.99724849999999998</v>
      </c>
      <c r="N2794">
        <v>-8.6319299999999995E-3</v>
      </c>
      <c r="O2794">
        <v>-7.3628250000000006E-2</v>
      </c>
      <c r="P2794">
        <v>-0.99515370000000003</v>
      </c>
      <c r="Q2794">
        <v>8.8679289999999994E-2</v>
      </c>
      <c r="R2794">
        <v>-4.2488650000000003E-2</v>
      </c>
      <c r="S2794">
        <v>-3.0947719999999999</v>
      </c>
      <c r="T2794">
        <v>-0.84498449999999903</v>
      </c>
      <c r="U2794">
        <v>0.1054688</v>
      </c>
      <c r="V2794">
        <v>3.0906630000000001E-2</v>
      </c>
      <c r="W2794">
        <v>9.7268400000000005E-2</v>
      </c>
      <c r="X2794">
        <v>0.99477819999999995</v>
      </c>
      <c r="Y2794">
        <v>0.1012091</v>
      </c>
      <c r="Z2794">
        <v>3.311414E-2</v>
      </c>
      <c r="AA2794">
        <v>0.99431389999999997</v>
      </c>
      <c r="AB2794">
        <v>8</v>
      </c>
      <c r="AC2794">
        <v>-0.64090000000001601</v>
      </c>
      <c r="AD2794">
        <v>-0.19582719999999901</v>
      </c>
      <c r="AE2794">
        <v>3.0400000000042799E-2</v>
      </c>
      <c r="AF2794">
        <v>7.0902876412407001E-2</v>
      </c>
      <c r="AG2794">
        <v>-0.19582719999999901</v>
      </c>
      <c r="AH2794">
        <v>0.582647491853715</v>
      </c>
      <c r="AI2794">
        <v>108.450639677493</v>
      </c>
      <c r="AJ2794">
        <v>83.061741690282901</v>
      </c>
      <c r="AK2794">
        <v>0.618751654467944</v>
      </c>
      <c r="AL2794">
        <v>84.418105721089702</v>
      </c>
      <c r="AM2794">
        <v>88.220457573178393</v>
      </c>
      <c r="AN2794">
        <v>1.00000001430587</v>
      </c>
    </row>
    <row r="2795" spans="1:40" x14ac:dyDescent="0.25">
      <c r="A2795" t="str">
        <f>"20190303161930356"</f>
        <v>20190303161930356</v>
      </c>
      <c r="B2795" t="str">
        <f>"1551601170345770"</f>
        <v>1551601170345770</v>
      </c>
      <c r="C2795" t="s">
        <v>40</v>
      </c>
      <c r="D2795">
        <v>4.7559509999999996</v>
      </c>
      <c r="E2795">
        <v>0.52825359999999999</v>
      </c>
      <c r="F2795" t="s">
        <v>42</v>
      </c>
      <c r="G2795">
        <v>-212.88030000000001</v>
      </c>
      <c r="H2795">
        <v>0.92563949999999995</v>
      </c>
      <c r="I2795">
        <v>283.62220000000002</v>
      </c>
      <c r="J2795">
        <v>-212.2466</v>
      </c>
      <c r="K2795">
        <v>1.1211139999999999</v>
      </c>
      <c r="L2795">
        <v>283.59100000000001</v>
      </c>
      <c r="M2795">
        <v>-0.99723390000000001</v>
      </c>
      <c r="N2795">
        <v>-8.8503160000000004E-3</v>
      </c>
      <c r="O2795">
        <v>-7.3800899999999905E-2</v>
      </c>
      <c r="P2795">
        <v>-0.99500189999999999</v>
      </c>
      <c r="Q2795">
        <v>8.996825E-2</v>
      </c>
      <c r="R2795">
        <v>-4.3327930000000001E-2</v>
      </c>
      <c r="S2795">
        <v>-3.094986</v>
      </c>
      <c r="T2795">
        <v>-0.84976200000000002</v>
      </c>
      <c r="U2795">
        <v>0.1088257</v>
      </c>
      <c r="V2795">
        <v>3.0236740000000002E-2</v>
      </c>
      <c r="W2795">
        <v>9.8771269999999994E-2</v>
      </c>
      <c r="X2795">
        <v>0.9946507</v>
      </c>
      <c r="Y2795">
        <v>0.1023382</v>
      </c>
      <c r="Z2795">
        <v>3.3490930000000002E-2</v>
      </c>
      <c r="AA2795">
        <v>0.99418569999999995</v>
      </c>
      <c r="AB2795">
        <v>8</v>
      </c>
      <c r="AC2795">
        <v>-0.63370000000000404</v>
      </c>
      <c r="AD2795">
        <v>-0.195474499999999</v>
      </c>
      <c r="AE2795">
        <v>3.1200000000012499E-2</v>
      </c>
      <c r="AF2795">
        <v>7.1132419401513505E-2</v>
      </c>
      <c r="AG2795">
        <v>-0.195474499999999</v>
      </c>
      <c r="AH2795">
        <v>0.57508186154063701</v>
      </c>
      <c r="AI2795">
        <v>108.641129655616</v>
      </c>
      <c r="AJ2795">
        <v>82.948844891035804</v>
      </c>
      <c r="AK2795">
        <v>0.61154660387676696</v>
      </c>
      <c r="AL2795">
        <v>84.331580972536401</v>
      </c>
      <c r="AM2795">
        <v>88.258781476349299</v>
      </c>
      <c r="AN2795">
        <v>1.0000000196168599</v>
      </c>
    </row>
    <row r="2796" spans="1:40" x14ac:dyDescent="0.25">
      <c r="A2796" t="str">
        <f>"20190303161930511"</f>
        <v>20190303161930511</v>
      </c>
      <c r="B2796" t="str">
        <f>"1551601170505831"</f>
        <v>1551601170505831</v>
      </c>
      <c r="C2796" t="s">
        <v>40</v>
      </c>
      <c r="D2796">
        <v>4.5305179999999998</v>
      </c>
      <c r="E2796">
        <v>0.52805959999999996</v>
      </c>
      <c r="F2796" t="s">
        <v>42</v>
      </c>
      <c r="G2796">
        <v>-212.95359999999999</v>
      </c>
      <c r="H2796">
        <v>0.92715999999999998</v>
      </c>
      <c r="I2796">
        <v>283.61619999999999</v>
      </c>
      <c r="J2796">
        <v>-212.8433</v>
      </c>
      <c r="K2796">
        <v>1.120889</v>
      </c>
      <c r="L2796">
        <v>283.54570000000001</v>
      </c>
      <c r="M2796">
        <v>-0.99718169999999995</v>
      </c>
      <c r="N2796">
        <v>-7.2352780000000004E-3</v>
      </c>
      <c r="O2796">
        <v>-7.4675580000000005E-2</v>
      </c>
      <c r="P2796">
        <v>-0.99440320000000004</v>
      </c>
      <c r="Q2796">
        <v>0.1004874</v>
      </c>
      <c r="R2796">
        <v>-3.263141E-2</v>
      </c>
      <c r="S2796">
        <v>-3.0967099999999999</v>
      </c>
      <c r="T2796">
        <v>-0.84961609999999999</v>
      </c>
      <c r="U2796">
        <v>0.1104431</v>
      </c>
      <c r="V2796">
        <v>4.1720790000000001E-2</v>
      </c>
      <c r="W2796">
        <v>0.10767649999999999</v>
      </c>
      <c r="X2796">
        <v>0.99331020000000003</v>
      </c>
      <c r="Y2796">
        <v>0.10363</v>
      </c>
      <c r="Z2796">
        <v>3.3907670000000001E-2</v>
      </c>
      <c r="AA2796">
        <v>0.99403770000000002</v>
      </c>
      <c r="AB2796">
        <v>9</v>
      </c>
      <c r="AC2796">
        <v>-0.110299999999995</v>
      </c>
      <c r="AD2796">
        <v>-0.19372900000000001</v>
      </c>
      <c r="AE2796">
        <v>7.04999999999813E-2</v>
      </c>
      <c r="AF2796">
        <v>2.4619659486979001E-2</v>
      </c>
      <c r="AG2796">
        <v>-0.19372900000000001</v>
      </c>
      <c r="AH2796">
        <v>3.2828452325987703E-2</v>
      </c>
      <c r="AI2796">
        <v>168.04070043958399</v>
      </c>
      <c r="AJ2796">
        <v>53.1319786851654</v>
      </c>
      <c r="AK2796">
        <v>0.19802717075283999</v>
      </c>
      <c r="AL2796">
        <v>83.818606794914999</v>
      </c>
      <c r="AM2796">
        <v>87.5948893082208</v>
      </c>
      <c r="AN2796">
        <v>1.00000000319725</v>
      </c>
    </row>
    <row r="2797" spans="1:40" x14ac:dyDescent="0.25">
      <c r="A2797" t="str">
        <f>"20190303161930536"</f>
        <v>20190303161930536</v>
      </c>
      <c r="B2797" t="str">
        <f>"1551601170525354"</f>
        <v>1551601170525354</v>
      </c>
      <c r="C2797" t="s">
        <v>40</v>
      </c>
      <c r="D2797">
        <v>4.6794129999999896</v>
      </c>
      <c r="E2797">
        <v>0.50522230000000001</v>
      </c>
      <c r="F2797" t="s">
        <v>42</v>
      </c>
      <c r="G2797">
        <v>-213.57149999999999</v>
      </c>
      <c r="H2797">
        <v>0.92932669999999995</v>
      </c>
      <c r="I2797">
        <v>283.5779</v>
      </c>
      <c r="J2797">
        <v>-212.93969999999999</v>
      </c>
      <c r="K2797">
        <v>1.1209229999999999</v>
      </c>
      <c r="L2797">
        <v>283.53840000000002</v>
      </c>
      <c r="M2797">
        <v>-0.99717210000000001</v>
      </c>
      <c r="N2797">
        <v>-7.1662189999999997E-3</v>
      </c>
      <c r="O2797">
        <v>-7.4813019999999994E-2</v>
      </c>
      <c r="P2797">
        <v>-0.9941238</v>
      </c>
      <c r="Q2797">
        <v>0.1030773</v>
      </c>
      <c r="R2797">
        <v>-3.3067720000000002E-2</v>
      </c>
      <c r="S2797">
        <v>-3.1038670000000002</v>
      </c>
      <c r="T2797">
        <v>-0.81648540000000003</v>
      </c>
      <c r="U2797">
        <v>0.13644410000000001</v>
      </c>
      <c r="V2797">
        <v>4.1398949999999997E-2</v>
      </c>
      <c r="W2797">
        <v>0.1101968</v>
      </c>
      <c r="X2797">
        <v>0.99304720000000002</v>
      </c>
      <c r="Y2797">
        <v>0.11221349999999999</v>
      </c>
      <c r="Z2797">
        <v>3.3723320000000001E-2</v>
      </c>
      <c r="AA2797">
        <v>0.99311170000000004</v>
      </c>
      <c r="AB2797">
        <v>9</v>
      </c>
      <c r="AC2797">
        <v>-0.63179999999999803</v>
      </c>
      <c r="AD2797">
        <v>-0.191596299999999</v>
      </c>
      <c r="AE2797">
        <v>3.9499999999975402E-2</v>
      </c>
      <c r="AF2797">
        <v>7.9385253099733405E-2</v>
      </c>
      <c r="AG2797">
        <v>-0.191596299999999</v>
      </c>
      <c r="AH2797">
        <v>0.574451343617018</v>
      </c>
      <c r="AI2797">
        <v>108.283004637003</v>
      </c>
      <c r="AJ2797">
        <v>82.131948279212907</v>
      </c>
      <c r="AK2797">
        <v>0.61074176766191102</v>
      </c>
      <c r="AL2797">
        <v>83.673339491525994</v>
      </c>
      <c r="AM2797">
        <v>87.612789798044602</v>
      </c>
      <c r="AN2797">
        <v>0.999999974609591</v>
      </c>
    </row>
    <row r="2798" spans="1:40" x14ac:dyDescent="0.25">
      <c r="A2798" t="str">
        <f>"20190303161930556"</f>
        <v>20190303161930556</v>
      </c>
      <c r="B2798" t="str">
        <f>"1551601170545847"</f>
        <v>1551601170545847</v>
      </c>
      <c r="C2798" t="s">
        <v>40</v>
      </c>
      <c r="D2798">
        <v>4.7214289999999997</v>
      </c>
      <c r="E2798">
        <v>0.50770470000000001</v>
      </c>
      <c r="F2798" t="s">
        <v>56</v>
      </c>
      <c r="G2798">
        <v>-302.61559999999997</v>
      </c>
      <c r="H2798" s="1">
        <v>3.735742E-6</v>
      </c>
      <c r="I2798">
        <v>281.9271</v>
      </c>
      <c r="J2798">
        <v>-213.02369999999999</v>
      </c>
      <c r="K2798">
        <v>1.12097</v>
      </c>
      <c r="L2798">
        <v>283.53199999999998</v>
      </c>
      <c r="M2798">
        <v>-0.99716280000000002</v>
      </c>
      <c r="N2798">
        <v>-7.129949E-3</v>
      </c>
      <c r="O2798">
        <v>-7.4937290000000004E-2</v>
      </c>
      <c r="P2798">
        <v>-0.99372079999999996</v>
      </c>
      <c r="Q2798">
        <v>0.10649550000000001</v>
      </c>
      <c r="R2798">
        <v>-3.431886E-2</v>
      </c>
      <c r="S2798">
        <v>-3.0198520000000002</v>
      </c>
      <c r="T2798">
        <v>-3.7747139999999998E-2</v>
      </c>
      <c r="U2798">
        <v>-5.4260250000000003E-2</v>
      </c>
      <c r="V2798">
        <v>4.024262E-2</v>
      </c>
      <c r="W2798">
        <v>0.1135781</v>
      </c>
      <c r="X2798">
        <v>0.99271370000000003</v>
      </c>
      <c r="Y2798">
        <v>5.7004609999999997E-2</v>
      </c>
      <c r="Z2798">
        <v>9.6052059999999996E-4</v>
      </c>
      <c r="AA2798">
        <v>0.99837339999999997</v>
      </c>
      <c r="AB2798">
        <v>9</v>
      </c>
      <c r="AC2798">
        <v>-89.591899999999896</v>
      </c>
      <c r="AD2798">
        <v>-1.1209662642580001</v>
      </c>
      <c r="AE2798">
        <v>-1.60489999999998</v>
      </c>
      <c r="AF2798">
        <v>5.11275724442834</v>
      </c>
      <c r="AG2798">
        <v>-1.1209662642580001</v>
      </c>
      <c r="AH2798">
        <v>89.446248787047594</v>
      </c>
      <c r="AI2798">
        <v>90.716839714898796</v>
      </c>
      <c r="AJ2798">
        <v>86.728526891129107</v>
      </c>
      <c r="AK2798">
        <v>89.599264919308794</v>
      </c>
      <c r="AL2798">
        <v>83.478380984663602</v>
      </c>
      <c r="AM2798">
        <v>87.678615192867596</v>
      </c>
      <c r="AN2798">
        <v>0.99999997171588095</v>
      </c>
    </row>
    <row r="2799" spans="1:40" x14ac:dyDescent="0.25">
      <c r="A2799" t="str">
        <f>"20190303161930581"</f>
        <v>20190303161930581</v>
      </c>
      <c r="B2799" t="str">
        <f>"1551601170575127"</f>
        <v>1551601170575127</v>
      </c>
      <c r="C2799" t="s">
        <v>40</v>
      </c>
      <c r="D2799">
        <v>4.764081</v>
      </c>
      <c r="E2799">
        <v>0.50621340000000004</v>
      </c>
      <c r="F2799" t="s">
        <v>57</v>
      </c>
      <c r="G2799">
        <v>-551.06269999999995</v>
      </c>
      <c r="H2799">
        <v>2.7487520000000001</v>
      </c>
      <c r="I2799">
        <v>279.20859999999999</v>
      </c>
      <c r="J2799">
        <v>-213.12289999999999</v>
      </c>
      <c r="K2799">
        <v>1.1210370000000001</v>
      </c>
      <c r="L2799">
        <v>283.52429999999998</v>
      </c>
      <c r="M2799">
        <v>-0.99715169999999997</v>
      </c>
      <c r="N2799">
        <v>-7.0825929999999999E-3</v>
      </c>
      <c r="O2799">
        <v>-7.5088940000000007E-2</v>
      </c>
      <c r="P2799">
        <v>-0.99280520000000005</v>
      </c>
      <c r="Q2799">
        <v>0.1142832</v>
      </c>
      <c r="R2799">
        <v>-3.5740439999999998E-2</v>
      </c>
      <c r="S2799">
        <v>-3.0160520000000002</v>
      </c>
      <c r="T2799">
        <v>1.45241E-2</v>
      </c>
      <c r="U2799">
        <v>-3.8574219999999999E-2</v>
      </c>
      <c r="V2799">
        <v>3.8905299999999997E-2</v>
      </c>
      <c r="W2799">
        <v>0.1213133</v>
      </c>
      <c r="X2799">
        <v>0.9918515</v>
      </c>
      <c r="Y2799">
        <v>6.2327229999999997E-2</v>
      </c>
      <c r="Z2799">
        <v>-8.2285829999999998E-4</v>
      </c>
      <c r="AA2799">
        <v>0.99805549999999998</v>
      </c>
      <c r="AB2799">
        <v>9</v>
      </c>
      <c r="AC2799">
        <v>-337.93979999999999</v>
      </c>
      <c r="AD2799">
        <v>1.627715</v>
      </c>
      <c r="AE2799">
        <v>-4.3156999999999899</v>
      </c>
      <c r="AF2799">
        <v>21.072173270708198</v>
      </c>
      <c r="AG2799">
        <v>1.627715</v>
      </c>
      <c r="AH2799">
        <v>337.30193962724002</v>
      </c>
      <c r="AI2799">
        <v>89.724048372605594</v>
      </c>
      <c r="AJ2799">
        <v>86.425221958627105</v>
      </c>
      <c r="AK2799">
        <v>337.96343651166001</v>
      </c>
      <c r="AL2799">
        <v>83.032096873262404</v>
      </c>
      <c r="AM2799">
        <v>87.753728947419404</v>
      </c>
      <c r="AN2799">
        <v>0.99999996858861395</v>
      </c>
    </row>
    <row r="2800" spans="1:40" x14ac:dyDescent="0.25">
      <c r="A2800" t="str">
        <f>"20190303161930604"</f>
        <v>20190303161930604</v>
      </c>
      <c r="B2800" t="str">
        <f>"1551601170595624"</f>
        <v>1551601170595624</v>
      </c>
      <c r="C2800" t="s">
        <v>40</v>
      </c>
      <c r="D2800">
        <v>4.6932499999999999</v>
      </c>
      <c r="E2800">
        <v>0.50455539999999999</v>
      </c>
      <c r="F2800" t="s">
        <v>57</v>
      </c>
      <c r="G2800">
        <v>-511.07560000000001</v>
      </c>
      <c r="H2800">
        <v>5.624498</v>
      </c>
      <c r="I2800">
        <v>278.02550000000002</v>
      </c>
      <c r="J2800">
        <v>-213.21510000000001</v>
      </c>
      <c r="K2800">
        <v>1.1210899999999999</v>
      </c>
      <c r="L2800">
        <v>283.5172</v>
      </c>
      <c r="M2800">
        <v>-0.99714130000000001</v>
      </c>
      <c r="N2800">
        <v>-7.0242589999999997E-3</v>
      </c>
      <c r="O2800">
        <v>-7.5233149999999999E-2</v>
      </c>
      <c r="P2800">
        <v>-0.99125370000000002</v>
      </c>
      <c r="Q2800">
        <v>0.12657399999999999</v>
      </c>
      <c r="R2800">
        <v>-3.7354209999999999E-2</v>
      </c>
      <c r="S2800">
        <v>-3.0144959999999998</v>
      </c>
      <c r="T2800">
        <v>4.5563939999999997E-2</v>
      </c>
      <c r="U2800">
        <v>-5.5633540000000002E-2</v>
      </c>
      <c r="V2800">
        <v>3.7321010000000002E-2</v>
      </c>
      <c r="W2800">
        <v>0.13353570000000001</v>
      </c>
      <c r="X2800">
        <v>0.99034100000000003</v>
      </c>
      <c r="Y2800">
        <v>5.6800400000000001E-2</v>
      </c>
      <c r="Z2800">
        <v>-1.894511E-3</v>
      </c>
      <c r="AA2800">
        <v>0.99838380000000004</v>
      </c>
      <c r="AB2800">
        <v>9</v>
      </c>
      <c r="AC2800">
        <v>-297.8605</v>
      </c>
      <c r="AD2800">
        <v>4.5034080000000003</v>
      </c>
      <c r="AE2800">
        <v>-5.4916999999999803</v>
      </c>
      <c r="AF2800">
        <v>16.929530771134701</v>
      </c>
      <c r="AG2800">
        <v>4.5034080000000003</v>
      </c>
      <c r="AH2800">
        <v>297.36153037790302</v>
      </c>
      <c r="AI2800">
        <v>89.133749797762505</v>
      </c>
      <c r="AJ2800">
        <v>86.741526445019403</v>
      </c>
      <c r="AK2800">
        <v>297.87710459925199</v>
      </c>
      <c r="AL2800">
        <v>82.326044720923505</v>
      </c>
      <c r="AM2800">
        <v>87.841829266935306</v>
      </c>
      <c r="AN2800">
        <v>0.99999996862145402</v>
      </c>
    </row>
    <row r="2801" spans="1:40" x14ac:dyDescent="0.25">
      <c r="A2801" t="str">
        <f>"20190303161930624"</f>
        <v>20190303161930624</v>
      </c>
      <c r="B2801" t="str">
        <f>"1551601170615143"</f>
        <v>1551601170615143</v>
      </c>
      <c r="C2801" t="s">
        <v>40</v>
      </c>
      <c r="D2801">
        <v>4.7265189999999997</v>
      </c>
      <c r="E2801">
        <v>0.50395789999999996</v>
      </c>
      <c r="F2801" t="s">
        <v>47</v>
      </c>
      <c r="G2801">
        <v>-455.30720000000002</v>
      </c>
      <c r="H2801">
        <v>7.696949</v>
      </c>
      <c r="I2801">
        <v>277.45359999999999</v>
      </c>
      <c r="J2801">
        <v>-213.30189999999999</v>
      </c>
      <c r="K2801">
        <v>1.12113</v>
      </c>
      <c r="L2801">
        <v>283.51049999999998</v>
      </c>
      <c r="M2801">
        <v>-0.99713130000000005</v>
      </c>
      <c r="N2801">
        <v>-6.9680580000000001E-3</v>
      </c>
      <c r="O2801">
        <v>-7.5370660000000006E-2</v>
      </c>
      <c r="P2801">
        <v>-0.98984519999999998</v>
      </c>
      <c r="Q2801">
        <v>0.1363827</v>
      </c>
      <c r="R2801">
        <v>-4.0081600000000002E-2</v>
      </c>
      <c r="S2801">
        <v>-3.0131679999999998</v>
      </c>
      <c r="T2801">
        <v>8.1846360000000007E-2</v>
      </c>
      <c r="U2801">
        <v>-7.5469969999999997E-2</v>
      </c>
      <c r="V2801">
        <v>3.4630790000000002E-2</v>
      </c>
      <c r="W2801">
        <v>0.14328050000000001</v>
      </c>
      <c r="X2801">
        <v>0.98907599999999996</v>
      </c>
      <c r="Y2801">
        <v>5.0323619999999999E-2</v>
      </c>
      <c r="Z2801">
        <v>-3.0779850000000001E-3</v>
      </c>
      <c r="AA2801">
        <v>0.99872819999999995</v>
      </c>
      <c r="AB2801">
        <v>9</v>
      </c>
      <c r="AC2801">
        <v>-242.00530000000001</v>
      </c>
      <c r="AD2801">
        <v>6.5758190000000001</v>
      </c>
      <c r="AE2801">
        <v>-6.0568999999999802</v>
      </c>
      <c r="AF2801">
        <v>12.191874107065001</v>
      </c>
      <c r="AG2801">
        <v>6.5758190000000001</v>
      </c>
      <c r="AH2801">
        <v>241.59516200765901</v>
      </c>
      <c r="AI2801">
        <v>88.442869468231294</v>
      </c>
      <c r="AJ2801">
        <v>87.111072695405397</v>
      </c>
      <c r="AK2801">
        <v>241.99195336884699</v>
      </c>
      <c r="AL2801">
        <v>81.762280290722501</v>
      </c>
      <c r="AM2801">
        <v>87.994706296438906</v>
      </c>
      <c r="AN2801">
        <v>0.99999996353613596</v>
      </c>
    </row>
    <row r="2802" spans="1:40" x14ac:dyDescent="0.25">
      <c r="A2802" t="str">
        <f>"20190303161930647"</f>
        <v>20190303161930647</v>
      </c>
      <c r="B2802" t="str">
        <f>"1551601170635639"</f>
        <v>1551601170635639</v>
      </c>
      <c r="C2802" t="s">
        <v>40</v>
      </c>
      <c r="D2802">
        <v>4.7642179999999996</v>
      </c>
      <c r="E2802">
        <v>0.50409910000000002</v>
      </c>
      <c r="F2802" t="s">
        <v>57</v>
      </c>
      <c r="G2802">
        <v>-512.82920000000001</v>
      </c>
      <c r="H2802">
        <v>12.19115</v>
      </c>
      <c r="I2802">
        <v>274.51159999999999</v>
      </c>
      <c r="J2802">
        <v>-213.39449999999999</v>
      </c>
      <c r="K2802">
        <v>1.1211549999999999</v>
      </c>
      <c r="L2802">
        <v>283.5034</v>
      </c>
      <c r="M2802">
        <v>-0.99712029999999996</v>
      </c>
      <c r="N2802">
        <v>-6.9197460000000001E-3</v>
      </c>
      <c r="O2802">
        <v>-7.5518689999999999E-2</v>
      </c>
      <c r="P2802">
        <v>-0.98872839999999995</v>
      </c>
      <c r="Q2802">
        <v>0.1432725</v>
      </c>
      <c r="R2802">
        <v>-4.3464900000000001E-2</v>
      </c>
      <c r="S2802">
        <v>-3.011765</v>
      </c>
      <c r="T2802">
        <v>0.11131050000000001</v>
      </c>
      <c r="U2802">
        <v>-9.0484620000000002E-2</v>
      </c>
      <c r="V2802">
        <v>3.1319050000000001E-2</v>
      </c>
      <c r="W2802">
        <v>0.150116</v>
      </c>
      <c r="X2802">
        <v>0.98817219999999995</v>
      </c>
      <c r="Y2802">
        <v>4.5444350000000001E-2</v>
      </c>
      <c r="Z2802">
        <v>-3.991456E-3</v>
      </c>
      <c r="AA2802">
        <v>0.99895889999999998</v>
      </c>
      <c r="AB2802">
        <v>9</v>
      </c>
      <c r="AC2802">
        <v>-299.43470000000002</v>
      </c>
      <c r="AD2802">
        <v>11.069995</v>
      </c>
      <c r="AE2802">
        <v>-8.9918000000000102</v>
      </c>
      <c r="AF2802">
        <v>13.628727402369501</v>
      </c>
      <c r="AG2802">
        <v>11.069995</v>
      </c>
      <c r="AH2802">
        <v>298.85056691094502</v>
      </c>
      <c r="AI2802">
        <v>87.880825416152305</v>
      </c>
      <c r="AJ2802">
        <v>87.388902699639502</v>
      </c>
      <c r="AK2802">
        <v>299.36591045558498</v>
      </c>
      <c r="AL2802">
        <v>81.366350984593296</v>
      </c>
      <c r="AM2802">
        <v>88.184679855336896</v>
      </c>
      <c r="AN2802">
        <v>0.99999999660087102</v>
      </c>
    </row>
    <row r="2803" spans="1:40" x14ac:dyDescent="0.25">
      <c r="A2803" t="str">
        <f>"20190303161930669"</f>
        <v>20190303161930669</v>
      </c>
      <c r="B2803" t="str">
        <f>"1551601170665895"</f>
        <v>1551601170665895</v>
      </c>
      <c r="C2803" t="s">
        <v>40</v>
      </c>
      <c r="D2803">
        <v>4.7601699999999996</v>
      </c>
      <c r="E2803">
        <v>0.50432730000000003</v>
      </c>
      <c r="F2803" t="s">
        <v>57</v>
      </c>
      <c r="G2803">
        <v>-512.82989999999995</v>
      </c>
      <c r="H2803">
        <v>14.23197</v>
      </c>
      <c r="I2803">
        <v>273.41719999999998</v>
      </c>
      <c r="J2803">
        <v>-213.49279999999999</v>
      </c>
      <c r="K2803">
        <v>1.121162</v>
      </c>
      <c r="L2803">
        <v>283.4957</v>
      </c>
      <c r="M2803">
        <v>-0.99710880000000002</v>
      </c>
      <c r="N2803">
        <v>-6.881351E-3</v>
      </c>
      <c r="O2803">
        <v>-7.5675679999999995E-2</v>
      </c>
      <c r="P2803">
        <v>-0.98789329999999997</v>
      </c>
      <c r="Q2803">
        <v>0.14822669999999999</v>
      </c>
      <c r="R2803">
        <v>-4.5784829999999999E-2</v>
      </c>
      <c r="S2803">
        <v>-3.0106350000000002</v>
      </c>
      <c r="T2803">
        <v>0.13182179999999999</v>
      </c>
      <c r="U2803">
        <v>-0.1014099</v>
      </c>
      <c r="V2803">
        <v>2.9097930000000001E-2</v>
      </c>
      <c r="W2803">
        <v>0.15502739999999901</v>
      </c>
      <c r="X2803">
        <v>0.98748150000000001</v>
      </c>
      <c r="Y2803">
        <v>4.1935680000000003E-2</v>
      </c>
      <c r="Z2803">
        <v>-4.601389E-3</v>
      </c>
      <c r="AA2803">
        <v>0.99910969999999999</v>
      </c>
      <c r="AB2803">
        <v>9</v>
      </c>
      <c r="AC2803">
        <v>-299.33710000000002</v>
      </c>
      <c r="AD2803">
        <v>13.110807999999899</v>
      </c>
      <c r="AE2803">
        <v>-10.0785</v>
      </c>
      <c r="AF2803">
        <v>12.579370337369699</v>
      </c>
      <c r="AG2803">
        <v>13.110807999999899</v>
      </c>
      <c r="AH2803">
        <v>298.66910470628699</v>
      </c>
      <c r="AI2803">
        <v>87.488699445483604</v>
      </c>
      <c r="AJ2803">
        <v>87.588236993335897</v>
      </c>
      <c r="AK2803">
        <v>299.22126921486199</v>
      </c>
      <c r="AL2803">
        <v>81.081614171472694</v>
      </c>
      <c r="AM2803">
        <v>88.3121645349365</v>
      </c>
      <c r="AN2803">
        <v>0.99999994856164598</v>
      </c>
    </row>
    <row r="2804" spans="1:40" x14ac:dyDescent="0.25">
      <c r="A2804" t="str">
        <f>"20190303161930692"</f>
        <v>20190303161930692</v>
      </c>
      <c r="B2804" t="str">
        <f>"1551601170685415"</f>
        <v>1551601170685415</v>
      </c>
      <c r="C2804" t="s">
        <v>40</v>
      </c>
      <c r="D2804">
        <v>4.7956989999999999</v>
      </c>
      <c r="E2804">
        <v>0.50407840000000004</v>
      </c>
      <c r="F2804" t="s">
        <v>57</v>
      </c>
      <c r="G2804">
        <v>-512.83010000000002</v>
      </c>
      <c r="H2804">
        <v>14.779109999999999</v>
      </c>
      <c r="I2804">
        <v>272.80799999999999</v>
      </c>
      <c r="J2804">
        <v>-213.58850000000001</v>
      </c>
      <c r="K2804">
        <v>1.121157</v>
      </c>
      <c r="L2804">
        <v>283.48829999999998</v>
      </c>
      <c r="M2804">
        <v>-0.99709740000000002</v>
      </c>
      <c r="N2804">
        <v>-6.8498150000000004E-3</v>
      </c>
      <c r="O2804">
        <v>-7.5828660000000006E-2</v>
      </c>
      <c r="P2804">
        <v>-0.98736159999999995</v>
      </c>
      <c r="Q2804">
        <v>0.15136150000000001</v>
      </c>
      <c r="R2804">
        <v>-4.6977489999999997E-2</v>
      </c>
      <c r="S2804">
        <v>-3.0111849999999998</v>
      </c>
      <c r="T2804">
        <v>0.13739289999999901</v>
      </c>
      <c r="U2804">
        <v>-0.1075134</v>
      </c>
      <c r="V2804">
        <v>2.8019249999999999E-2</v>
      </c>
      <c r="W2804">
        <v>0.1581282</v>
      </c>
      <c r="X2804">
        <v>0.98702100000000004</v>
      </c>
      <c r="Y2804">
        <v>4.0063509999999997E-2</v>
      </c>
      <c r="Z2804">
        <v>-4.7487199999999997E-3</v>
      </c>
      <c r="AA2804">
        <v>0.99918589999999996</v>
      </c>
      <c r="AB2804">
        <v>10</v>
      </c>
      <c r="AC2804">
        <v>-299.24160000000001</v>
      </c>
      <c r="AD2804">
        <v>13.657952999999999</v>
      </c>
      <c r="AE2804">
        <v>-10.6802999999999</v>
      </c>
      <c r="AF2804">
        <v>12.017070006642101</v>
      </c>
      <c r="AG2804">
        <v>13.657952999999999</v>
      </c>
      <c r="AH2804">
        <v>298.56871190850399</v>
      </c>
      <c r="AI2804">
        <v>87.382960400813502</v>
      </c>
      <c r="AJ2804">
        <v>87.695150470504302</v>
      </c>
      <c r="AK2804">
        <v>299.12242540872501</v>
      </c>
      <c r="AL2804">
        <v>80.901733353631101</v>
      </c>
      <c r="AM2804">
        <v>88.373941649231796</v>
      </c>
      <c r="AN2804">
        <v>1.0000000302234</v>
      </c>
    </row>
    <row r="2805" spans="1:40" x14ac:dyDescent="0.25">
      <c r="A2805" t="str">
        <f>"20190303161930713"</f>
        <v>20190303161930713</v>
      </c>
      <c r="B2805" t="str">
        <f>"1551601170704935"</f>
        <v>1551601170704935</v>
      </c>
      <c r="C2805" t="s">
        <v>40</v>
      </c>
      <c r="D2805">
        <v>4.8525419999999997</v>
      </c>
      <c r="E2805">
        <v>0.50385919999999995</v>
      </c>
      <c r="F2805" t="s">
        <v>57</v>
      </c>
      <c r="G2805">
        <v>-512.83010000000002</v>
      </c>
      <c r="H2805">
        <v>15.04684</v>
      </c>
      <c r="I2805">
        <v>272.18959999999998</v>
      </c>
      <c r="J2805">
        <v>-213.6824</v>
      </c>
      <c r="K2805">
        <v>1.1211500000000001</v>
      </c>
      <c r="L2805">
        <v>283.48099999999999</v>
      </c>
      <c r="M2805">
        <v>-0.99708600000000003</v>
      </c>
      <c r="N2805">
        <v>-6.8202019999999896E-3</v>
      </c>
      <c r="O2805">
        <v>-7.5980080000000005E-2</v>
      </c>
      <c r="P2805">
        <v>-0.98684780000000005</v>
      </c>
      <c r="Q2805">
        <v>0.15439129999999901</v>
      </c>
      <c r="R2805">
        <v>-4.7903790000000002E-2</v>
      </c>
      <c r="S2805">
        <v>-3.011536</v>
      </c>
      <c r="T2805">
        <v>0.1401472</v>
      </c>
      <c r="U2805">
        <v>-0.1137085</v>
      </c>
      <c r="V2805">
        <v>2.720589E-2</v>
      </c>
      <c r="W2805">
        <v>0.1611253</v>
      </c>
      <c r="X2805">
        <v>0.98655890000000002</v>
      </c>
      <c r="Y2805">
        <v>3.8163120000000002E-2</v>
      </c>
      <c r="Z2805">
        <v>-4.8040890000000001E-3</v>
      </c>
      <c r="AA2805">
        <v>0.99925989999999998</v>
      </c>
      <c r="AB2805">
        <v>10</v>
      </c>
      <c r="AC2805">
        <v>-299.14769999999999</v>
      </c>
      <c r="AD2805">
        <v>13.925689999999999</v>
      </c>
      <c r="AE2805">
        <v>-11.291399999999999</v>
      </c>
      <c r="AF2805">
        <v>11.4462672733912</v>
      </c>
      <c r="AG2805">
        <v>13.925689999999999</v>
      </c>
      <c r="AH2805">
        <v>298.49494251896999</v>
      </c>
      <c r="AI2805">
        <v>87.330874567606699</v>
      </c>
      <c r="AJ2805">
        <v>87.803977415660199</v>
      </c>
      <c r="AK2805">
        <v>299.03874763293402</v>
      </c>
      <c r="AL2805">
        <v>80.727781251931503</v>
      </c>
      <c r="AM2805">
        <v>88.420380454409695</v>
      </c>
      <c r="AN2805">
        <v>0.99999999295999598</v>
      </c>
    </row>
    <row r="2806" spans="1:40" x14ac:dyDescent="0.25">
      <c r="A2806" t="str">
        <f>"20190303161930736"</f>
        <v>20190303161930736</v>
      </c>
      <c r="B2806" t="str">
        <f>"1551601170725431"</f>
        <v>1551601170725431</v>
      </c>
      <c r="C2806" t="s">
        <v>40</v>
      </c>
      <c r="D2806">
        <v>4.9861550000000001</v>
      </c>
      <c r="E2806">
        <v>0.50330090000000005</v>
      </c>
      <c r="F2806" t="s">
        <v>57</v>
      </c>
      <c r="G2806">
        <v>-512.83019999999999</v>
      </c>
      <c r="H2806">
        <v>15.175079999999999</v>
      </c>
      <c r="I2806">
        <v>271.68779999999998</v>
      </c>
      <c r="J2806">
        <v>-213.77860000000001</v>
      </c>
      <c r="K2806">
        <v>1.1211370000000001</v>
      </c>
      <c r="L2806">
        <v>283.4735</v>
      </c>
      <c r="M2806">
        <v>-0.99707440000000003</v>
      </c>
      <c r="N2806">
        <v>-6.7903690000000001E-3</v>
      </c>
      <c r="O2806">
        <v>-7.6135809999999998E-2</v>
      </c>
      <c r="P2806">
        <v>-0.98650839999999995</v>
      </c>
      <c r="Q2806">
        <v>0.1563503</v>
      </c>
      <c r="R2806">
        <v>-4.8537520000000001E-2</v>
      </c>
      <c r="S2806">
        <v>-3.0120849999999999</v>
      </c>
      <c r="T2806">
        <v>0.1415081</v>
      </c>
      <c r="U2806">
        <v>-0.1187439</v>
      </c>
      <c r="V2806">
        <v>2.6701699999999998E-2</v>
      </c>
      <c r="W2806">
        <v>0.16305310000000001</v>
      </c>
      <c r="X2806">
        <v>0.98625589999999996</v>
      </c>
      <c r="Y2806">
        <v>3.6656759999999997E-2</v>
      </c>
      <c r="Z2806">
        <v>-4.8223099999999998E-3</v>
      </c>
      <c r="AA2806">
        <v>0.99931630000000005</v>
      </c>
      <c r="AB2806">
        <v>10</v>
      </c>
      <c r="AC2806">
        <v>-299.05160000000001</v>
      </c>
      <c r="AD2806">
        <v>14.053942999999901</v>
      </c>
      <c r="AE2806">
        <v>-11.7857</v>
      </c>
      <c r="AF2806">
        <v>10.993327846062501</v>
      </c>
      <c r="AG2806">
        <v>14.053942999999901</v>
      </c>
      <c r="AH2806">
        <v>298.422829365376</v>
      </c>
      <c r="AI2806">
        <v>87.305526148077504</v>
      </c>
      <c r="AJ2806">
        <v>87.890286744331306</v>
      </c>
      <c r="AK2806">
        <v>298.955768730785</v>
      </c>
      <c r="AL2806">
        <v>80.615846252302205</v>
      </c>
      <c r="AM2806">
        <v>88.449164075482301</v>
      </c>
      <c r="AN2806">
        <v>0.99999999724365396</v>
      </c>
    </row>
    <row r="2807" spans="1:40" x14ac:dyDescent="0.25">
      <c r="A2807" t="str">
        <f>"20190303161930758"</f>
        <v>20190303161930758</v>
      </c>
      <c r="B2807" t="str">
        <f>"1551601170744951"</f>
        <v>1551601170744951</v>
      </c>
      <c r="C2807" t="s">
        <v>40</v>
      </c>
      <c r="D2807">
        <v>4.9931349999999997</v>
      </c>
      <c r="E2807">
        <v>0.50278659999999997</v>
      </c>
      <c r="F2807" t="s">
        <v>47</v>
      </c>
      <c r="G2807">
        <v>-355.42500000000001</v>
      </c>
      <c r="H2807">
        <v>7.7673550000000002</v>
      </c>
      <c r="I2807">
        <v>277.60750000000002</v>
      </c>
      <c r="J2807">
        <v>-213.8793</v>
      </c>
      <c r="K2807">
        <v>1.12112099999999</v>
      </c>
      <c r="L2807">
        <v>283.46559999999999</v>
      </c>
      <c r="M2807">
        <v>-0.99706209999999995</v>
      </c>
      <c r="N2807">
        <v>-6.7601600000000003E-3</v>
      </c>
      <c r="O2807">
        <v>-7.6299519999999996E-2</v>
      </c>
      <c r="P2807">
        <v>-0.9865488</v>
      </c>
      <c r="Q2807">
        <v>0.15630329999999901</v>
      </c>
      <c r="R2807">
        <v>-4.786464E-2</v>
      </c>
      <c r="S2807">
        <v>-3.0124659999999999</v>
      </c>
      <c r="T2807">
        <v>0.141349799999999</v>
      </c>
      <c r="U2807">
        <v>-0.1247559</v>
      </c>
      <c r="V2807">
        <v>2.7536990000000001E-2</v>
      </c>
      <c r="W2807">
        <v>0.16297639999999999</v>
      </c>
      <c r="X2807">
        <v>0.98624559999999994</v>
      </c>
      <c r="Y2807">
        <v>3.4836579999999999E-2</v>
      </c>
      <c r="Z2807">
        <v>-4.787052E-3</v>
      </c>
      <c r="AA2807">
        <v>0.99938150000000003</v>
      </c>
      <c r="AB2807">
        <v>10</v>
      </c>
      <c r="AC2807">
        <v>-141.54570000000001</v>
      </c>
      <c r="AD2807">
        <v>6.6462339999999998</v>
      </c>
      <c r="AE2807">
        <v>-5.8580999999999701</v>
      </c>
      <c r="AF2807">
        <v>4.9482015732224598</v>
      </c>
      <c r="AG2807">
        <v>6.6462339999999998</v>
      </c>
      <c r="AH2807">
        <v>141.269118302083</v>
      </c>
      <c r="AI2807">
        <v>87.308061988255801</v>
      </c>
      <c r="AJ2807">
        <v>87.993933771239696</v>
      </c>
      <c r="AK2807">
        <v>141.51191084512899</v>
      </c>
      <c r="AL2807">
        <v>80.620300333087997</v>
      </c>
      <c r="AM2807">
        <v>88.400658515264197</v>
      </c>
      <c r="AN2807">
        <v>0.99999998814728996</v>
      </c>
    </row>
    <row r="2808" spans="1:40" x14ac:dyDescent="0.25">
      <c r="A2808" t="str">
        <f>"20190303161930783"</f>
        <v>20190303161930783</v>
      </c>
      <c r="B2808" t="str">
        <f>"1551601170775207"</f>
        <v>1551601170775207</v>
      </c>
      <c r="C2808" t="s">
        <v>40</v>
      </c>
      <c r="D2808">
        <v>5.0074940000000003</v>
      </c>
      <c r="E2808">
        <v>0.50223770000000001</v>
      </c>
      <c r="F2808" t="s">
        <v>57</v>
      </c>
      <c r="G2808">
        <v>-512.83000000000004</v>
      </c>
      <c r="H2808">
        <v>14.53069</v>
      </c>
      <c r="I2808">
        <v>270.97379999999998</v>
      </c>
      <c r="J2808">
        <v>-213.98560000000001</v>
      </c>
      <c r="K2808">
        <v>1.121094</v>
      </c>
      <c r="L2808">
        <v>283.45729999999998</v>
      </c>
      <c r="M2808">
        <v>-0.99704910000000002</v>
      </c>
      <c r="N2808">
        <v>-6.7292539999999996E-3</v>
      </c>
      <c r="O2808">
        <v>-7.6472769999999995E-2</v>
      </c>
      <c r="P2808">
        <v>-0.98683790000000005</v>
      </c>
      <c r="Q2808">
        <v>0.15485969999999999</v>
      </c>
      <c r="R2808">
        <v>-4.6582989999999998E-2</v>
      </c>
      <c r="S2808">
        <v>-3.013382</v>
      </c>
      <c r="T2808">
        <v>0.13516739999999999</v>
      </c>
      <c r="U2808">
        <v>-0.12591550000000001</v>
      </c>
      <c r="V2808">
        <v>2.900807E-2</v>
      </c>
      <c r="W2808">
        <v>0.1615037</v>
      </c>
      <c r="X2808">
        <v>0.98644569999999998</v>
      </c>
      <c r="Y2808">
        <v>3.4650180000000003E-2</v>
      </c>
      <c r="Z2808">
        <v>-4.5975269999999997E-3</v>
      </c>
      <c r="AA2808">
        <v>0.99938890000000002</v>
      </c>
      <c r="AB2808">
        <v>10</v>
      </c>
      <c r="AC2808">
        <v>-298.84440000000001</v>
      </c>
      <c r="AD2808">
        <v>13.409595999999899</v>
      </c>
      <c r="AE2808">
        <v>-12.4834999999999</v>
      </c>
      <c r="AF2808">
        <v>10.3861552361075</v>
      </c>
      <c r="AG2808">
        <v>13.409595999999899</v>
      </c>
      <c r="AH2808">
        <v>298.32429971884801</v>
      </c>
      <c r="AI2808">
        <v>87.427859010575503</v>
      </c>
      <c r="AJ2808">
        <v>88.006053795417998</v>
      </c>
      <c r="AK2808">
        <v>298.80608643100402</v>
      </c>
      <c r="AL2808">
        <v>80.705813026471603</v>
      </c>
      <c r="AM2808">
        <v>88.315608099453897</v>
      </c>
      <c r="AN2808">
        <v>1.00000001614365</v>
      </c>
    </row>
    <row r="2809" spans="1:40" x14ac:dyDescent="0.25">
      <c r="A2809" t="str">
        <f>"20190303161930805"</f>
        <v>20190303161930805</v>
      </c>
      <c r="B2809" t="str">
        <f>"1551601170795703"</f>
        <v>1551601170795703</v>
      </c>
      <c r="C2809" t="s">
        <v>40</v>
      </c>
      <c r="D2809">
        <v>4.8699000000000003</v>
      </c>
      <c r="E2809">
        <v>0.50214170000000002</v>
      </c>
      <c r="F2809" t="s">
        <v>57</v>
      </c>
      <c r="G2809">
        <v>-512.82950000000005</v>
      </c>
      <c r="H2809">
        <v>13.18174</v>
      </c>
      <c r="I2809">
        <v>271.03410000000002</v>
      </c>
      <c r="J2809">
        <v>-214.08699999999999</v>
      </c>
      <c r="K2809">
        <v>1.121076</v>
      </c>
      <c r="L2809">
        <v>283.44929999999999</v>
      </c>
      <c r="M2809">
        <v>-0.99703649999999999</v>
      </c>
      <c r="N2809">
        <v>-6.7003430000000001E-3</v>
      </c>
      <c r="O2809">
        <v>-7.6638620000000005E-2</v>
      </c>
      <c r="P2809">
        <v>-0.98725269999999998</v>
      </c>
      <c r="Q2809">
        <v>0.15275839999999999</v>
      </c>
      <c r="R2809">
        <v>-4.4686780000000002E-2</v>
      </c>
      <c r="S2809">
        <v>-3.014999</v>
      </c>
      <c r="T2809">
        <v>0.1216791</v>
      </c>
      <c r="U2809">
        <v>-0.12533569999999999</v>
      </c>
      <c r="V2809">
        <v>3.1094569999999998E-2</v>
      </c>
      <c r="W2809">
        <v>0.1593763</v>
      </c>
      <c r="X2809">
        <v>0.9867281</v>
      </c>
      <c r="Y2809">
        <v>3.5053250000000001E-2</v>
      </c>
      <c r="Z2809">
        <v>-4.189725E-3</v>
      </c>
      <c r="AA2809">
        <v>0.99937670000000001</v>
      </c>
      <c r="AB2809">
        <v>10</v>
      </c>
      <c r="AC2809">
        <v>-298.74250000000001</v>
      </c>
      <c r="AD2809">
        <v>12.060663999999999</v>
      </c>
      <c r="AE2809">
        <v>-12.415199999999899</v>
      </c>
      <c r="AF2809">
        <v>10.499956767325999</v>
      </c>
      <c r="AG2809">
        <v>12.060663999999999</v>
      </c>
      <c r="AH2809">
        <v>298.32994928916298</v>
      </c>
      <c r="AI2809">
        <v>87.686379973959603</v>
      </c>
      <c r="AJ2809">
        <v>87.984262112828901</v>
      </c>
      <c r="AK2809">
        <v>298.75820884305699</v>
      </c>
      <c r="AL2809">
        <v>80.829303787308802</v>
      </c>
      <c r="AM2809">
        <v>88.195046600338202</v>
      </c>
      <c r="AN2809">
        <v>1.0000000103073901</v>
      </c>
    </row>
    <row r="2810" spans="1:40" x14ac:dyDescent="0.25">
      <c r="A2810" t="str">
        <f>"20190303161930826"</f>
        <v>20190303161930826</v>
      </c>
      <c r="B2810" t="str">
        <f>"1551601170815223"</f>
        <v>1551601170815223</v>
      </c>
      <c r="C2810" t="s">
        <v>40</v>
      </c>
      <c r="D2810">
        <v>4.7892830000000002</v>
      </c>
      <c r="E2810">
        <v>0.50446309999999905</v>
      </c>
      <c r="F2810" t="s">
        <v>57</v>
      </c>
      <c r="G2810">
        <v>-512.82920000000001</v>
      </c>
      <c r="H2810">
        <v>12.213039999999999</v>
      </c>
      <c r="I2810">
        <v>271.53609999999998</v>
      </c>
      <c r="J2810">
        <v>-214.18199999999999</v>
      </c>
      <c r="K2810">
        <v>1.1210560000000001</v>
      </c>
      <c r="L2810">
        <v>283.4418</v>
      </c>
      <c r="M2810">
        <v>-0.99702469999999999</v>
      </c>
      <c r="N2810">
        <v>-6.6735020000000004E-3</v>
      </c>
      <c r="O2810">
        <v>-7.6793749999999994E-2</v>
      </c>
      <c r="P2810">
        <v>-0.98745380000000005</v>
      </c>
      <c r="Q2810">
        <v>0.15186820000000001</v>
      </c>
      <c r="R2810">
        <v>-4.3257089999999998E-2</v>
      </c>
      <c r="S2810">
        <v>-3.0159609999999999</v>
      </c>
      <c r="T2810">
        <v>0.11198</v>
      </c>
      <c r="U2810">
        <v>-0.1202698</v>
      </c>
      <c r="V2810">
        <v>3.2688879999999997E-2</v>
      </c>
      <c r="W2810">
        <v>0.15846009999999999</v>
      </c>
      <c r="X2810">
        <v>0.98682409999999998</v>
      </c>
      <c r="Y2810">
        <v>3.691183E-2</v>
      </c>
      <c r="Z2810">
        <v>-3.9201210000000004E-3</v>
      </c>
      <c r="AA2810">
        <v>0.9993109</v>
      </c>
      <c r="AB2810">
        <v>10</v>
      </c>
      <c r="AC2810">
        <v>-298.6472</v>
      </c>
      <c r="AD2810">
        <v>11.091984</v>
      </c>
      <c r="AE2810">
        <v>-11.9057</v>
      </c>
      <c r="AF2810">
        <v>11.0489902544464</v>
      </c>
      <c r="AG2810">
        <v>11.091984</v>
      </c>
      <c r="AH2810">
        <v>298.26876933667</v>
      </c>
      <c r="AI2810">
        <v>87.871731074537294</v>
      </c>
      <c r="AJ2810">
        <v>87.878520171461702</v>
      </c>
      <c r="AK2810">
        <v>298.67937835798199</v>
      </c>
      <c r="AL2810">
        <v>80.882473650277603</v>
      </c>
      <c r="AM2810">
        <v>88.102751785153899</v>
      </c>
      <c r="AN2810">
        <v>0.99999998525423694</v>
      </c>
    </row>
    <row r="2811" spans="1:40" x14ac:dyDescent="0.25">
      <c r="A2811" t="str">
        <f>"20190303161930839"</f>
        <v>20190303161930839</v>
      </c>
      <c r="B2811" t="str">
        <f>"1551601170824983"</f>
        <v>1551601170824983</v>
      </c>
      <c r="C2811" t="s">
        <v>40</v>
      </c>
      <c r="D2811">
        <v>4.7222780000000002</v>
      </c>
      <c r="E2811">
        <v>0.50352540000000001</v>
      </c>
      <c r="F2811" t="s">
        <v>52</v>
      </c>
      <c r="G2811">
        <v>-443.10980000000001</v>
      </c>
      <c r="H2811">
        <v>8.0000920000000003E-2</v>
      </c>
      <c r="I2811">
        <v>276.03649999999999</v>
      </c>
      <c r="J2811">
        <v>-214.24600000000001</v>
      </c>
      <c r="K2811">
        <v>1.1210450000000001</v>
      </c>
      <c r="L2811">
        <v>283.43680000000001</v>
      </c>
      <c r="M2811">
        <v>-0.99701680000000004</v>
      </c>
      <c r="N2811">
        <v>-6.6556990000000002E-3</v>
      </c>
      <c r="O2811">
        <v>-7.6898949999999994E-2</v>
      </c>
      <c r="P2811">
        <v>-0.98751009999999995</v>
      </c>
      <c r="Q2811">
        <v>0.15169879999999999</v>
      </c>
      <c r="R2811">
        <v>-4.2561870000000002E-2</v>
      </c>
      <c r="S2811">
        <v>-3.0359340000000001</v>
      </c>
      <c r="T2811">
        <v>-1.3805990000000001E-2</v>
      </c>
      <c r="U2811">
        <v>-9.8205570000000006E-2</v>
      </c>
      <c r="V2811">
        <v>3.3490619999999999E-2</v>
      </c>
      <c r="W2811">
        <v>0.1582732</v>
      </c>
      <c r="X2811">
        <v>0.98682729999999996</v>
      </c>
      <c r="Y2811">
        <v>4.4624070000000002E-2</v>
      </c>
      <c r="Z2811" s="1">
        <v>8.6992919999999898E-5</v>
      </c>
      <c r="AA2811">
        <v>0.9990038</v>
      </c>
      <c r="AB2811">
        <v>10</v>
      </c>
      <c r="AC2811">
        <v>-228.8638</v>
      </c>
      <c r="AD2811">
        <v>-1.04104408</v>
      </c>
      <c r="AE2811">
        <v>-7.4003000000000103</v>
      </c>
      <c r="AF2811">
        <v>10.221176360056299</v>
      </c>
      <c r="AG2811">
        <v>-1.04104408</v>
      </c>
      <c r="AH2811">
        <v>228.75043926951199</v>
      </c>
      <c r="AI2811">
        <v>90.260491592877003</v>
      </c>
      <c r="AJ2811">
        <v>87.441574361387595</v>
      </c>
      <c r="AK2811">
        <v>228.98104656271099</v>
      </c>
      <c r="AL2811">
        <v>80.893319909843498</v>
      </c>
      <c r="AM2811">
        <v>88.056260714088197</v>
      </c>
      <c r="AN2811">
        <v>1.00000007374575</v>
      </c>
    </row>
    <row r="2812" spans="1:40" x14ac:dyDescent="0.25">
      <c r="A2812" t="str">
        <f>"20190303161930860"</f>
        <v>20190303161930860</v>
      </c>
      <c r="B2812" t="str">
        <f>"1551601170845479"</f>
        <v>1551601170845479</v>
      </c>
      <c r="C2812" t="s">
        <v>40</v>
      </c>
      <c r="D2812">
        <v>4.7276889999999998</v>
      </c>
      <c r="E2812">
        <v>0.50286920000000002</v>
      </c>
      <c r="F2812" t="s">
        <v>56</v>
      </c>
      <c r="G2812">
        <v>-409.33260000000001</v>
      </c>
      <c r="H2812">
        <v>8.0001429999999998E-2</v>
      </c>
      <c r="I2812">
        <v>276.77350000000001</v>
      </c>
      <c r="J2812">
        <v>-214.33789999999999</v>
      </c>
      <c r="K2812">
        <v>1.1210340000000001</v>
      </c>
      <c r="L2812">
        <v>283.42950000000002</v>
      </c>
      <c r="M2812">
        <v>-0.99700529999999998</v>
      </c>
      <c r="N2812">
        <v>-6.6306550000000001E-3</v>
      </c>
      <c r="O2812">
        <v>-7.7049199999999998E-2</v>
      </c>
      <c r="P2812">
        <v>-0.98763449999999997</v>
      </c>
      <c r="Q2812">
        <v>0.1512445</v>
      </c>
      <c r="R2812">
        <v>-4.1267690000000003E-2</v>
      </c>
      <c r="S2812">
        <v>-3.0359500000000001</v>
      </c>
      <c r="T2812">
        <v>-1.6200780000000001E-2</v>
      </c>
      <c r="U2812">
        <v>-0.1036987</v>
      </c>
      <c r="V2812">
        <v>3.49393E-2</v>
      </c>
      <c r="W2812">
        <v>0.15779480000000001</v>
      </c>
      <c r="X2812">
        <v>0.9868536</v>
      </c>
      <c r="Y2812">
        <v>4.2969010000000002E-2</v>
      </c>
      <c r="Z2812">
        <v>1.5641790000000001E-4</v>
      </c>
      <c r="AA2812">
        <v>0.99907639999999998</v>
      </c>
      <c r="AB2812">
        <v>10</v>
      </c>
      <c r="AC2812">
        <v>-194.99469999999999</v>
      </c>
      <c r="AD2812">
        <v>-1.04103257</v>
      </c>
      <c r="AE2812">
        <v>-6.6559999999999997</v>
      </c>
      <c r="AF2812">
        <v>8.3880634861092904</v>
      </c>
      <c r="AG2812">
        <v>-1.04103257</v>
      </c>
      <c r="AH2812">
        <v>194.92231362770301</v>
      </c>
      <c r="AI2812">
        <v>90.305716953599202</v>
      </c>
      <c r="AJ2812">
        <v>87.535919345069601</v>
      </c>
      <c r="AK2812">
        <v>195.10548866660599</v>
      </c>
      <c r="AL2812">
        <v>80.921078279100698</v>
      </c>
      <c r="AM2812">
        <v>87.972304493294601</v>
      </c>
      <c r="AN2812">
        <v>0.99999999071224499</v>
      </c>
    </row>
    <row r="2813" spans="1:40" x14ac:dyDescent="0.25">
      <c r="A2813" t="str">
        <f>"20190303161930874"</f>
        <v>20190303161930874</v>
      </c>
      <c r="B2813" t="str">
        <f>"1551601170865975"</f>
        <v>1551601170865975</v>
      </c>
      <c r="C2813" t="s">
        <v>40</v>
      </c>
      <c r="D2813">
        <v>4.6400360000000003</v>
      </c>
      <c r="E2813">
        <v>0.50237889999999996</v>
      </c>
      <c r="F2813" t="s">
        <v>52</v>
      </c>
      <c r="G2813">
        <v>-398.96480000000003</v>
      </c>
      <c r="H2813">
        <v>8.0000299999999996E-2</v>
      </c>
      <c r="I2813">
        <v>277.02820000000003</v>
      </c>
      <c r="J2813">
        <v>-214.4066</v>
      </c>
      <c r="K2813">
        <v>1.121027</v>
      </c>
      <c r="L2813">
        <v>283.42410000000001</v>
      </c>
      <c r="M2813">
        <v>-0.99699680000000002</v>
      </c>
      <c r="N2813">
        <v>-6.6123999999999896E-3</v>
      </c>
      <c r="O2813">
        <v>-7.7161800000000003E-2</v>
      </c>
      <c r="P2813">
        <v>-0.98766920000000002</v>
      </c>
      <c r="Q2813">
        <v>0.15124199999999999</v>
      </c>
      <c r="R2813">
        <v>-4.0447280000000002E-2</v>
      </c>
      <c r="S2813">
        <v>-3.0357820000000002</v>
      </c>
      <c r="T2813">
        <v>-1.7117500000000001E-2</v>
      </c>
      <c r="U2813">
        <v>-0.1052551</v>
      </c>
      <c r="V2813">
        <v>3.587154E-2</v>
      </c>
      <c r="W2813">
        <v>0.15777360000000001</v>
      </c>
      <c r="X2813">
        <v>0.98682360000000002</v>
      </c>
      <c r="Y2813">
        <v>4.2568269999999998E-2</v>
      </c>
      <c r="Z2813">
        <v>1.8461040000000001E-4</v>
      </c>
      <c r="AA2813">
        <v>0.99909349999999997</v>
      </c>
      <c r="AB2813">
        <v>10</v>
      </c>
      <c r="AC2813">
        <v>-184.5582</v>
      </c>
      <c r="AD2813">
        <v>-1.0410267</v>
      </c>
      <c r="AE2813">
        <v>-6.3958999999999797</v>
      </c>
      <c r="AF2813">
        <v>7.86407197860082</v>
      </c>
      <c r="AG2813">
        <v>-1.0410267</v>
      </c>
      <c r="AH2813">
        <v>184.495598121201</v>
      </c>
      <c r="AI2813">
        <v>90.322997917136504</v>
      </c>
      <c r="AJ2813">
        <v>87.5592612735785</v>
      </c>
      <c r="AK2813">
        <v>184.66605830735199</v>
      </c>
      <c r="AL2813">
        <v>80.922308872241402</v>
      </c>
      <c r="AM2813">
        <v>87.918185878788293</v>
      </c>
      <c r="AN2813">
        <v>1.00000004687794</v>
      </c>
    </row>
    <row r="2814" spans="1:40" x14ac:dyDescent="0.25">
      <c r="A2814" t="str">
        <f>"20190303161930893"</f>
        <v>20190303161930893</v>
      </c>
      <c r="B2814" t="str">
        <f>"1551601170885495"</f>
        <v>1551601170885495</v>
      </c>
      <c r="C2814" t="s">
        <v>40</v>
      </c>
      <c r="D2814">
        <v>4.6258029999999897</v>
      </c>
      <c r="E2814">
        <v>0.50189479999999997</v>
      </c>
      <c r="F2814" t="s">
        <v>52</v>
      </c>
      <c r="G2814">
        <v>-344.36619999999999</v>
      </c>
      <c r="H2814">
        <v>8.0000180000000004E-2</v>
      </c>
      <c r="I2814">
        <v>278.8322</v>
      </c>
      <c r="J2814">
        <v>-214.49260000000001</v>
      </c>
      <c r="K2814">
        <v>1.1210180000000001</v>
      </c>
      <c r="L2814">
        <v>283.41730000000001</v>
      </c>
      <c r="M2814">
        <v>-0.99698600000000004</v>
      </c>
      <c r="N2814">
        <v>-6.5900330000000003E-3</v>
      </c>
      <c r="O2814">
        <v>-7.7302399999999993E-2</v>
      </c>
      <c r="P2814">
        <v>-0.98760999999999999</v>
      </c>
      <c r="Q2814">
        <v>0.152147799999999</v>
      </c>
      <c r="R2814">
        <v>-3.8440410000000001E-2</v>
      </c>
      <c r="S2814">
        <v>-3.0367739999999999</v>
      </c>
      <c r="T2814">
        <v>-2.432573E-2</v>
      </c>
      <c r="U2814">
        <v>-0.1072998</v>
      </c>
      <c r="V2814">
        <v>3.8006940000000003E-2</v>
      </c>
      <c r="W2814">
        <v>0.15865650000000001</v>
      </c>
      <c r="X2814">
        <v>0.98660210000000004</v>
      </c>
      <c r="Y2814">
        <v>4.2047550000000003E-2</v>
      </c>
      <c r="Z2814">
        <v>4.1546729999999998E-4</v>
      </c>
      <c r="AA2814">
        <v>0.99911550000000005</v>
      </c>
      <c r="AB2814">
        <v>10</v>
      </c>
      <c r="AC2814">
        <v>-129.87359999999899</v>
      </c>
      <c r="AD2814">
        <v>-1.04101782</v>
      </c>
      <c r="AE2814">
        <v>-4.5851000000000104</v>
      </c>
      <c r="AF2814">
        <v>5.4680278514076903</v>
      </c>
      <c r="AG2814">
        <v>-1.04101782</v>
      </c>
      <c r="AH2814">
        <v>129.83107703008699</v>
      </c>
      <c r="AI2814">
        <v>90.458995060312603</v>
      </c>
      <c r="AJ2814">
        <v>87.588328760784705</v>
      </c>
      <c r="AK2814">
        <v>129.95034286017801</v>
      </c>
      <c r="AL2814">
        <v>80.871077252415105</v>
      </c>
      <c r="AM2814">
        <v>87.793881658710504</v>
      </c>
      <c r="AN2814">
        <v>1.00000005810241</v>
      </c>
    </row>
    <row r="2815" spans="1:40" x14ac:dyDescent="0.25">
      <c r="A2815" t="str">
        <f>"20190303161930915"</f>
        <v>20190303161930915</v>
      </c>
      <c r="B2815" t="str">
        <f>"1551601170905015"</f>
        <v>1551601170905015</v>
      </c>
      <c r="C2815" t="s">
        <v>40</v>
      </c>
      <c r="D2815">
        <v>4.5727159999999998</v>
      </c>
      <c r="E2815">
        <v>0.50155989999999995</v>
      </c>
      <c r="F2815" t="s">
        <v>52</v>
      </c>
      <c r="G2815">
        <v>-353.89</v>
      </c>
      <c r="H2815">
        <v>8.000032E-2</v>
      </c>
      <c r="I2815">
        <v>278.57209999999998</v>
      </c>
      <c r="J2815">
        <v>-214.6001</v>
      </c>
      <c r="K2815">
        <v>1.121011</v>
      </c>
      <c r="L2815">
        <v>283.40879999999999</v>
      </c>
      <c r="M2815">
        <v>-0.99697250000000004</v>
      </c>
      <c r="N2815">
        <v>-6.561229E-3</v>
      </c>
      <c r="O2815">
        <v>-7.7477660000000004E-2</v>
      </c>
      <c r="P2815">
        <v>-0.98770150000000001</v>
      </c>
      <c r="Q2815">
        <v>0.15212800000000001</v>
      </c>
      <c r="R2815">
        <v>-3.6091949999999998E-2</v>
      </c>
      <c r="S2815">
        <v>-3.0370180000000002</v>
      </c>
      <c r="T2815">
        <v>-2.26804E-2</v>
      </c>
      <c r="U2815">
        <v>-0.1055603</v>
      </c>
      <c r="V2815">
        <v>4.052882E-2</v>
      </c>
      <c r="W2815">
        <v>0.158608</v>
      </c>
      <c r="X2815">
        <v>0.98650939999999998</v>
      </c>
      <c r="Y2815">
        <v>4.279782E-2</v>
      </c>
      <c r="Z2815">
        <v>3.6924279999999999E-4</v>
      </c>
      <c r="AA2815">
        <v>0.99908370000000002</v>
      </c>
      <c r="AB2815">
        <v>10</v>
      </c>
      <c r="AC2815">
        <v>-139.28989999999999</v>
      </c>
      <c r="AD2815">
        <v>-1.0410106800000001</v>
      </c>
      <c r="AE2815">
        <v>-4.8367000000000004</v>
      </c>
      <c r="AF2815">
        <v>5.9695940792627002</v>
      </c>
      <c r="AG2815">
        <v>-1.0410106800000001</v>
      </c>
      <c r="AH2815">
        <v>139.23816513556599</v>
      </c>
      <c r="AI2815">
        <v>90.427969356182601</v>
      </c>
      <c r="AJ2815">
        <v>87.545046565212203</v>
      </c>
      <c r="AK2815">
        <v>139.36996228393801</v>
      </c>
      <c r="AL2815">
        <v>80.873890644583199</v>
      </c>
      <c r="AM2815">
        <v>87.647437305644502</v>
      </c>
      <c r="AN2815">
        <v>0.99999993960147404</v>
      </c>
    </row>
    <row r="2816" spans="1:40" x14ac:dyDescent="0.25">
      <c r="A2816" t="str">
        <f>"20190303161930929"</f>
        <v>20190303161930929</v>
      </c>
      <c r="B2816" t="str">
        <f>"1551601170915752"</f>
        <v>1551601170915752</v>
      </c>
      <c r="C2816" t="s">
        <v>40</v>
      </c>
      <c r="D2816">
        <v>4.5440300000000002</v>
      </c>
      <c r="E2816">
        <v>0.50152580000000002</v>
      </c>
      <c r="F2816" t="s">
        <v>52</v>
      </c>
      <c r="G2816">
        <v>-347.0378</v>
      </c>
      <c r="H2816">
        <v>8.0000859999999993E-2</v>
      </c>
      <c r="I2816">
        <v>278.99369999999999</v>
      </c>
      <c r="J2816">
        <v>-214.6653</v>
      </c>
      <c r="K2816">
        <v>1.121005</v>
      </c>
      <c r="L2816">
        <v>283.40350000000001</v>
      </c>
      <c r="M2816">
        <v>-0.99696430000000003</v>
      </c>
      <c r="N2816">
        <v>-6.5421869999999997E-3</v>
      </c>
      <c r="O2816">
        <v>-7.7584420000000001E-2</v>
      </c>
      <c r="P2816">
        <v>-0.98771889999999996</v>
      </c>
      <c r="Q2816">
        <v>0.1522647</v>
      </c>
      <c r="R2816">
        <v>-3.5026870000000002E-2</v>
      </c>
      <c r="S2816">
        <v>-3.037369</v>
      </c>
      <c r="T2816">
        <v>-2.3874880000000001E-2</v>
      </c>
      <c r="U2816">
        <v>-0.10125729999999999</v>
      </c>
      <c r="V2816">
        <v>4.1697610000000003E-2</v>
      </c>
      <c r="W2816">
        <v>0.1587257</v>
      </c>
      <c r="X2816">
        <v>0.98644189999999998</v>
      </c>
      <c r="Y2816">
        <v>4.4322189999999997E-2</v>
      </c>
      <c r="Z2816">
        <v>4.2019680000000002E-4</v>
      </c>
      <c r="AA2816">
        <v>0.99901719999999905</v>
      </c>
      <c r="AB2816">
        <v>11</v>
      </c>
      <c r="AC2816">
        <v>-132.3725</v>
      </c>
      <c r="AD2816">
        <v>-1.0410041400000001</v>
      </c>
      <c r="AE2816">
        <v>-4.4098000000000104</v>
      </c>
      <c r="AF2816">
        <v>5.8733934489340003</v>
      </c>
      <c r="AG2816">
        <v>-1.0410041400000001</v>
      </c>
      <c r="AH2816">
        <v>132.307449386911</v>
      </c>
      <c r="AI2816">
        <v>90.450354335114298</v>
      </c>
      <c r="AJ2816">
        <v>87.458194049176797</v>
      </c>
      <c r="AK2816">
        <v>132.44184234408499</v>
      </c>
      <c r="AL2816">
        <v>80.867061702644406</v>
      </c>
      <c r="AM2816">
        <v>87.579507079788399</v>
      </c>
      <c r="AN2816">
        <v>1.0000000802979001</v>
      </c>
    </row>
    <row r="2817" spans="1:40" x14ac:dyDescent="0.25">
      <c r="A2817" t="str">
        <f>"20190303161930947"</f>
        <v>20190303161930947</v>
      </c>
      <c r="B2817" t="str">
        <f>"1551601170935271"</f>
        <v>1551601170935271</v>
      </c>
      <c r="C2817" t="s">
        <v>40</v>
      </c>
      <c r="D2817">
        <v>4.5087000000000002</v>
      </c>
      <c r="E2817">
        <v>0.50137810000000005</v>
      </c>
      <c r="F2817" t="s">
        <v>52</v>
      </c>
      <c r="G2817">
        <v>-355.22379999999998</v>
      </c>
      <c r="H2817">
        <v>8.0001399999999903E-2</v>
      </c>
      <c r="I2817">
        <v>278.85309999999998</v>
      </c>
      <c r="J2817">
        <v>-214.7569</v>
      </c>
      <c r="K2817">
        <v>1.121003</v>
      </c>
      <c r="L2817">
        <v>283.39620000000002</v>
      </c>
      <c r="M2817">
        <v>-0.99695299999999998</v>
      </c>
      <c r="N2817">
        <v>-6.5128549999999997E-3</v>
      </c>
      <c r="O2817">
        <v>-7.7733579999999997E-2</v>
      </c>
      <c r="P2817">
        <v>-0.98784380000000005</v>
      </c>
      <c r="Q2817">
        <v>0.15194769999999999</v>
      </c>
      <c r="R2817">
        <v>-3.281568E-2</v>
      </c>
      <c r="S2817">
        <v>-3.0372620000000001</v>
      </c>
      <c r="T2817">
        <v>-2.2494549999999999E-2</v>
      </c>
      <c r="U2817">
        <v>-9.8327639999999994E-2</v>
      </c>
      <c r="V2817">
        <v>4.4059340000000002E-2</v>
      </c>
      <c r="W2817">
        <v>0.15837960000000001</v>
      </c>
      <c r="X2817">
        <v>0.98639480000000002</v>
      </c>
      <c r="Y2817">
        <v>4.5433250000000001E-2</v>
      </c>
      <c r="Z2817">
        <v>3.8444370000000001E-4</v>
      </c>
      <c r="AA2817">
        <v>0.9989673</v>
      </c>
      <c r="AB2817">
        <v>11</v>
      </c>
      <c r="AC2817">
        <v>-140.46689999999899</v>
      </c>
      <c r="AD2817">
        <v>-1.0410016</v>
      </c>
      <c r="AE2817">
        <v>-4.5431000000000301</v>
      </c>
      <c r="AF2817">
        <v>6.3895221167141703</v>
      </c>
      <c r="AG2817">
        <v>-1.0410016</v>
      </c>
      <c r="AH2817">
        <v>140.38730914878201</v>
      </c>
      <c r="AI2817">
        <v>90.424413202218602</v>
      </c>
      <c r="AJ2817">
        <v>87.394065164330001</v>
      </c>
      <c r="AK2817">
        <v>140.53649436088401</v>
      </c>
      <c r="AL2817">
        <v>80.887145199108801</v>
      </c>
      <c r="AM2817">
        <v>87.442466870587097</v>
      </c>
      <c r="AN2817">
        <v>1.0000000123022099</v>
      </c>
    </row>
    <row r="2818" spans="1:40" x14ac:dyDescent="0.25">
      <c r="A2818" t="str">
        <f>"20190303161930964"</f>
        <v>20190303161930964</v>
      </c>
      <c r="B2818" t="str">
        <f>"1551601170955767"</f>
        <v>1551601170955767</v>
      </c>
      <c r="C2818" t="s">
        <v>40</v>
      </c>
      <c r="D2818">
        <v>4.4666889999999997</v>
      </c>
      <c r="E2818">
        <v>0.50105319999999998</v>
      </c>
      <c r="F2818" t="s">
        <v>52</v>
      </c>
      <c r="G2818">
        <v>-351.036</v>
      </c>
      <c r="H2818">
        <v>8.0001149999999993E-2</v>
      </c>
      <c r="I2818">
        <v>279.2242</v>
      </c>
      <c r="J2818">
        <v>-214.83539999999999</v>
      </c>
      <c r="K2818">
        <v>1.120994</v>
      </c>
      <c r="L2818">
        <v>283.39</v>
      </c>
      <c r="M2818">
        <v>-0.99694309999999997</v>
      </c>
      <c r="N2818">
        <v>-6.4862449999999999E-3</v>
      </c>
      <c r="O2818">
        <v>-7.7861659999999999E-2</v>
      </c>
      <c r="P2818">
        <v>-0.98795480000000002</v>
      </c>
      <c r="Q2818">
        <v>0.15149460000000001</v>
      </c>
      <c r="R2818">
        <v>-3.1541369999999999E-2</v>
      </c>
      <c r="S2818">
        <v>-3.0373839999999999</v>
      </c>
      <c r="T2818">
        <v>-2.3201820000000001E-2</v>
      </c>
      <c r="U2818">
        <v>-9.2987059999999996E-2</v>
      </c>
      <c r="V2818">
        <v>4.5465029999999997E-2</v>
      </c>
      <c r="W2818">
        <v>0.15790029999999999</v>
      </c>
      <c r="X2818">
        <v>0.98640779999999995</v>
      </c>
      <c r="Y2818">
        <v>4.7317289999999998E-2</v>
      </c>
      <c r="Z2818">
        <v>4.2271380000000002E-4</v>
      </c>
      <c r="AA2818">
        <v>0.99887979999999998</v>
      </c>
      <c r="AB2818">
        <v>11</v>
      </c>
      <c r="AC2818">
        <v>-136.20060000000001</v>
      </c>
      <c r="AD2818">
        <v>-1.0409928500000001</v>
      </c>
      <c r="AE2818">
        <v>-4.1657999999999902</v>
      </c>
      <c r="AF2818">
        <v>6.45149826612439</v>
      </c>
      <c r="AG2818">
        <v>-1.0409928500000001</v>
      </c>
      <c r="AH2818">
        <v>136.103520739234</v>
      </c>
      <c r="AI2818">
        <v>90.437728889463699</v>
      </c>
      <c r="AJ2818">
        <v>87.286130859177106</v>
      </c>
      <c r="AK2818">
        <v>136.26031650339999</v>
      </c>
      <c r="AL2818">
        <v>80.914956558666304</v>
      </c>
      <c r="AM2818">
        <v>87.361018431623705</v>
      </c>
      <c r="AN2818">
        <v>0.999999960796914</v>
      </c>
    </row>
    <row r="2819" spans="1:40" x14ac:dyDescent="0.25">
      <c r="A2819" t="str">
        <f>"20190303161930985"</f>
        <v>20190303161930985</v>
      </c>
      <c r="B2819" t="str">
        <f>"1551601170975287"</f>
        <v>1551601170975287</v>
      </c>
      <c r="C2819" t="s">
        <v>40</v>
      </c>
      <c r="D2819">
        <v>4.4059049999999997</v>
      </c>
      <c r="E2819">
        <v>0.50073650000000003</v>
      </c>
      <c r="F2819" t="s">
        <v>52</v>
      </c>
      <c r="G2819">
        <v>-344.7534</v>
      </c>
      <c r="H2819">
        <v>8.0000070000000006E-2</v>
      </c>
      <c r="I2819">
        <v>279.45049999999998</v>
      </c>
      <c r="J2819">
        <v>-214.93010000000001</v>
      </c>
      <c r="K2819">
        <v>1.1209910000000001</v>
      </c>
      <c r="L2819">
        <v>283.38240000000002</v>
      </c>
      <c r="M2819">
        <v>-0.99693129999999996</v>
      </c>
      <c r="N2819">
        <v>-6.4539419999999998E-3</v>
      </c>
      <c r="O2819">
        <v>-7.801487E-2</v>
      </c>
      <c r="P2819">
        <v>-0.98819089999999998</v>
      </c>
      <c r="Q2819">
        <v>0.15045140000000001</v>
      </c>
      <c r="R2819">
        <v>-2.9036960000000001E-2</v>
      </c>
      <c r="S2819">
        <v>-3.0373540000000001</v>
      </c>
      <c r="T2819">
        <v>-2.433741E-2</v>
      </c>
      <c r="U2819">
        <v>-9.2102050000000005E-2</v>
      </c>
      <c r="V2819">
        <v>4.8131599999999997E-2</v>
      </c>
      <c r="W2819">
        <v>0.15682570000000001</v>
      </c>
      <c r="X2819">
        <v>0.98645280000000002</v>
      </c>
      <c r="Y2819">
        <v>4.7760990000000003E-2</v>
      </c>
      <c r="Z2819">
        <v>4.6583520000000002E-4</v>
      </c>
      <c r="AA2819">
        <v>0.99885869999999999</v>
      </c>
      <c r="AB2819">
        <v>11</v>
      </c>
      <c r="AC2819">
        <v>-129.82329999999999</v>
      </c>
      <c r="AD2819">
        <v>-1.04099093</v>
      </c>
      <c r="AE2819">
        <v>-3.9319000000000401</v>
      </c>
      <c r="AF2819">
        <v>6.20804423607869</v>
      </c>
      <c r="AG2819">
        <v>-1.04099093</v>
      </c>
      <c r="AH2819">
        <v>129.72602719519401</v>
      </c>
      <c r="AI2819">
        <v>90.459236541987806</v>
      </c>
      <c r="AJ2819">
        <v>87.260198374627905</v>
      </c>
      <c r="AK2819">
        <v>129.878657242835</v>
      </c>
      <c r="AL2819">
        <v>80.977304109358499</v>
      </c>
      <c r="AM2819">
        <v>87.206605124208707</v>
      </c>
      <c r="AN2819">
        <v>1.00000003886344</v>
      </c>
    </row>
    <row r="2820" spans="1:40" x14ac:dyDescent="0.25">
      <c r="A2820" t="str">
        <f>"20190303161931008"</f>
        <v>20190303161931008</v>
      </c>
      <c r="B2820" t="str">
        <f>"1551601170995783"</f>
        <v>1551601170995783</v>
      </c>
      <c r="C2820" t="s">
        <v>40</v>
      </c>
      <c r="D2820">
        <v>4.3989989999999999</v>
      </c>
      <c r="E2820">
        <v>0.50041800000000003</v>
      </c>
      <c r="F2820" t="s">
        <v>52</v>
      </c>
      <c r="G2820">
        <v>-336.68770000000001</v>
      </c>
      <c r="H2820" s="1">
        <v>2.2285759999999999E-6</v>
      </c>
      <c r="I2820">
        <v>279.89249999999998</v>
      </c>
      <c r="J2820">
        <v>-215.04589999999999</v>
      </c>
      <c r="K2820">
        <v>1.120976</v>
      </c>
      <c r="L2820">
        <v>283.3732</v>
      </c>
      <c r="M2820">
        <v>-0.99691730000000001</v>
      </c>
      <c r="N2820">
        <v>-6.4119600000000004E-3</v>
      </c>
      <c r="O2820">
        <v>-7.8198190000000001E-2</v>
      </c>
      <c r="P2820">
        <v>-0.98840099999999997</v>
      </c>
      <c r="Q2820">
        <v>0.1495089</v>
      </c>
      <c r="R2820">
        <v>-2.665967E-2</v>
      </c>
      <c r="S2820">
        <v>-3.0375519999999998</v>
      </c>
      <c r="T2820">
        <v>-2.7965899999999998E-2</v>
      </c>
      <c r="U2820">
        <v>-8.7066649999999995E-2</v>
      </c>
      <c r="V2820">
        <v>5.0700160000000001E-2</v>
      </c>
      <c r="W2820">
        <v>0.15584229999999999</v>
      </c>
      <c r="X2820">
        <v>0.98647989999999997</v>
      </c>
      <c r="Y2820">
        <v>4.9599909999999997E-2</v>
      </c>
      <c r="Z2820">
        <v>6.0453619999999999E-4</v>
      </c>
      <c r="AA2820">
        <v>0.99876900000000002</v>
      </c>
      <c r="AB2820">
        <v>11</v>
      </c>
      <c r="AC2820">
        <v>-121.6418</v>
      </c>
      <c r="AD2820">
        <v>-1.120973771424</v>
      </c>
      <c r="AE2820">
        <v>-3.4807000000000099</v>
      </c>
      <c r="AF2820">
        <v>6.0418095612489502</v>
      </c>
      <c r="AG2820">
        <v>-1.120973771424</v>
      </c>
      <c r="AH2820">
        <v>121.531174899295</v>
      </c>
      <c r="AI2820">
        <v>90.527815435582994</v>
      </c>
      <c r="AJ2820">
        <v>87.153936628539199</v>
      </c>
      <c r="AK2820">
        <v>121.686427005536</v>
      </c>
      <c r="AL2820">
        <v>81.034349499084001</v>
      </c>
      <c r="AM2820">
        <v>87.057870600987599</v>
      </c>
      <c r="AN2820">
        <v>0.99999996089866094</v>
      </c>
    </row>
    <row r="2821" spans="1:40" x14ac:dyDescent="0.25">
      <c r="A2821" t="str">
        <f>"20190303161931028"</f>
        <v>20190303161931028</v>
      </c>
      <c r="B2821" t="str">
        <f>"1551601171015303"</f>
        <v>1551601171015303</v>
      </c>
      <c r="C2821" t="s">
        <v>40</v>
      </c>
      <c r="D2821">
        <v>4.3406010000000004</v>
      </c>
      <c r="E2821">
        <v>0.5001314</v>
      </c>
      <c r="F2821" t="s">
        <v>52</v>
      </c>
      <c r="G2821">
        <v>-330.91430000000003</v>
      </c>
      <c r="H2821" s="1">
        <v>-8.5836119999999998E-7</v>
      </c>
      <c r="I2821">
        <v>280.22649999999999</v>
      </c>
      <c r="J2821">
        <v>-215.15</v>
      </c>
      <c r="K2821">
        <v>1.12096</v>
      </c>
      <c r="L2821">
        <v>283.3648</v>
      </c>
      <c r="M2821">
        <v>-0.99690509999999999</v>
      </c>
      <c r="N2821">
        <v>-6.3715880000000001E-3</v>
      </c>
      <c r="O2821">
        <v>-7.8355519999999998E-2</v>
      </c>
      <c r="P2821">
        <v>-0.98859149999999996</v>
      </c>
      <c r="Q2821">
        <v>0.14864430000000001</v>
      </c>
      <c r="R2821">
        <v>-2.4329699999999999E-2</v>
      </c>
      <c r="S2821">
        <v>-3.0374150000000002</v>
      </c>
      <c r="T2821">
        <v>-2.9385689999999999E-2</v>
      </c>
      <c r="U2821">
        <v>-8.2489010000000001E-2</v>
      </c>
      <c r="V2821">
        <v>5.3195199999999998E-2</v>
      </c>
      <c r="W2821">
        <v>0.15493750000000001</v>
      </c>
      <c r="X2821">
        <v>0.98649109999999995</v>
      </c>
      <c r="Y2821">
        <v>5.1259680000000002E-2</v>
      </c>
      <c r="Z2821">
        <v>6.6868570000000005E-4</v>
      </c>
      <c r="AA2821">
        <v>0.99868509999999999</v>
      </c>
      <c r="AB2821">
        <v>11</v>
      </c>
      <c r="AC2821">
        <v>-115.76430000000001</v>
      </c>
      <c r="AD2821">
        <v>-1.1209608583612001</v>
      </c>
      <c r="AE2821">
        <v>-3.1383000000000099</v>
      </c>
      <c r="AF2821">
        <v>5.9417486727103803</v>
      </c>
      <c r="AG2821">
        <v>-1.1209608583612001</v>
      </c>
      <c r="AH2821">
        <v>115.64343885733101</v>
      </c>
      <c r="AI2821">
        <v>90.554633409721902</v>
      </c>
      <c r="AJ2821">
        <v>87.058734795867196</v>
      </c>
      <c r="AK2821">
        <v>115.80140707817399</v>
      </c>
      <c r="AL2821">
        <v>81.086828741098003</v>
      </c>
      <c r="AM2821">
        <v>86.913391874690205</v>
      </c>
      <c r="AN2821">
        <v>1.00000002429424</v>
      </c>
    </row>
    <row r="2822" spans="1:40" x14ac:dyDescent="0.25">
      <c r="A2822" t="str">
        <f>"20190303161931051"</f>
        <v>20190303161931051</v>
      </c>
      <c r="B2822" t="str">
        <f>"1551601171045559"</f>
        <v>1551601171045559</v>
      </c>
      <c r="C2822" t="s">
        <v>40</v>
      </c>
      <c r="D2822">
        <v>4.2978589999999999</v>
      </c>
      <c r="E2822">
        <v>0.48703629999999998</v>
      </c>
      <c r="F2822" t="s">
        <v>52</v>
      </c>
      <c r="G2822">
        <v>-326.97800000000001</v>
      </c>
      <c r="H2822" s="1">
        <v>2.3574410000000002E-6</v>
      </c>
      <c r="I2822">
        <v>280.47829999999999</v>
      </c>
      <c r="J2822">
        <v>-215.2593</v>
      </c>
      <c r="K2822">
        <v>1.120941</v>
      </c>
      <c r="L2822">
        <v>283.35599999999999</v>
      </c>
      <c r="M2822">
        <v>-0.99689300000000003</v>
      </c>
      <c r="N2822">
        <v>-6.3278930000000002E-3</v>
      </c>
      <c r="O2822">
        <v>-7.8512470000000001E-2</v>
      </c>
      <c r="P2822">
        <v>-0.98897029999999997</v>
      </c>
      <c r="Q2822">
        <v>0.14641589999999999</v>
      </c>
      <c r="R2822">
        <v>-2.2372699999999999E-2</v>
      </c>
      <c r="S2822">
        <v>-3.0372620000000001</v>
      </c>
      <c r="T2822">
        <v>-3.0445340000000001E-2</v>
      </c>
      <c r="U2822">
        <v>-7.8399659999999996E-2</v>
      </c>
      <c r="V2822">
        <v>5.533341E-2</v>
      </c>
      <c r="W2822">
        <v>0.15266689999999999</v>
      </c>
      <c r="X2822">
        <v>0.98672740000000003</v>
      </c>
      <c r="Y2822">
        <v>5.2758699999999999E-2</v>
      </c>
      <c r="Z2822">
        <v>7.2013669999999896E-4</v>
      </c>
      <c r="AA2822">
        <v>0.99860700000000002</v>
      </c>
      <c r="AB2822">
        <v>11</v>
      </c>
      <c r="AC2822">
        <v>-111.7187</v>
      </c>
      <c r="AD2822">
        <v>-1.120938642559</v>
      </c>
      <c r="AE2822">
        <v>-2.8776999999999999</v>
      </c>
      <c r="AF2822">
        <v>5.9020767754307197</v>
      </c>
      <c r="AG2822">
        <v>-1.120938642559</v>
      </c>
      <c r="AH2822">
        <v>111.588538609575</v>
      </c>
      <c r="AI2822">
        <v>90.574729772155095</v>
      </c>
      <c r="AJ2822">
        <v>86.972365766986798</v>
      </c>
      <c r="AK2822">
        <v>111.750136298458</v>
      </c>
      <c r="AL2822">
        <v>81.218490607406096</v>
      </c>
      <c r="AM2822">
        <v>86.790345725330198</v>
      </c>
      <c r="AN2822">
        <v>0.99999996526429802</v>
      </c>
    </row>
    <row r="2823" spans="1:40" x14ac:dyDescent="0.25">
      <c r="A2823" t="str">
        <f>"20190303161931072"</f>
        <v>20190303161931072</v>
      </c>
      <c r="B2823" t="str">
        <f>"1551601171065080"</f>
        <v>1551601171065080</v>
      </c>
      <c r="C2823" t="s">
        <v>40</v>
      </c>
      <c r="D2823">
        <v>4.2530199999999896</v>
      </c>
      <c r="E2823">
        <v>0.48520190000000002</v>
      </c>
      <c r="F2823" t="s">
        <v>52</v>
      </c>
      <c r="G2823">
        <v>-328.9153</v>
      </c>
      <c r="H2823">
        <v>8.0000650000000006E-2</v>
      </c>
      <c r="I2823">
        <v>276.7199</v>
      </c>
      <c r="J2823">
        <v>-215.37090000000001</v>
      </c>
      <c r="K2823">
        <v>1.120914</v>
      </c>
      <c r="L2823">
        <v>283.34710000000001</v>
      </c>
      <c r="M2823">
        <v>-0.99688200000000005</v>
      </c>
      <c r="N2823">
        <v>-6.2841160000000002E-3</v>
      </c>
      <c r="O2823">
        <v>-7.8657950000000004E-2</v>
      </c>
      <c r="P2823">
        <v>-0.98936780000000002</v>
      </c>
      <c r="Q2823">
        <v>0.14385819999999999</v>
      </c>
      <c r="R2823">
        <v>-2.136534E-2</v>
      </c>
      <c r="S2823">
        <v>-3.033569</v>
      </c>
      <c r="T2823">
        <v>-2.7783510000000001E-2</v>
      </c>
      <c r="U2823">
        <v>-0.177124</v>
      </c>
      <c r="V2823">
        <v>5.6516249999999997E-2</v>
      </c>
      <c r="W2823">
        <v>0.15006700000000001</v>
      </c>
      <c r="X2823">
        <v>0.98705920000000003</v>
      </c>
      <c r="Y2823">
        <v>2.0415880000000001E-2</v>
      </c>
      <c r="Z2823">
        <v>3.8187600000000001E-4</v>
      </c>
      <c r="AA2823">
        <v>0.99979150000000006</v>
      </c>
      <c r="AB2823">
        <v>11</v>
      </c>
      <c r="AC2823">
        <v>-113.5444</v>
      </c>
      <c r="AD2823">
        <v>-1.0409133499999901</v>
      </c>
      <c r="AE2823">
        <v>-6.62720000000001</v>
      </c>
      <c r="AF2823">
        <v>2.3244842258620402</v>
      </c>
      <c r="AG2823">
        <v>-1.0409133499999901</v>
      </c>
      <c r="AH2823">
        <v>113.704356096417</v>
      </c>
      <c r="AI2823">
        <v>90.524393438231797</v>
      </c>
      <c r="AJ2823">
        <v>88.828852373287006</v>
      </c>
      <c r="AK2823">
        <v>113.732877053292</v>
      </c>
      <c r="AL2823">
        <v>81.369190915219406</v>
      </c>
      <c r="AM2823">
        <v>86.722981848910706</v>
      </c>
      <c r="AN2823">
        <v>1.0000000276538501</v>
      </c>
    </row>
    <row r="2824" spans="1:40" x14ac:dyDescent="0.25">
      <c r="A2824" t="str">
        <f>"20190303161931087"</f>
        <v>20190303161931087</v>
      </c>
      <c r="B2824" t="str">
        <f>"1551601171074839"</f>
        <v>1551601171074839</v>
      </c>
      <c r="C2824" t="s">
        <v>40</v>
      </c>
      <c r="D2824">
        <v>4.2675580000000002</v>
      </c>
      <c r="E2824">
        <v>0.48481449999999998</v>
      </c>
      <c r="F2824" t="s">
        <v>56</v>
      </c>
      <c r="G2824">
        <v>-301.81799999999998</v>
      </c>
      <c r="H2824" s="1">
        <v>4.5886740000000003E-6</v>
      </c>
      <c r="I2824">
        <v>277.9418</v>
      </c>
      <c r="J2824">
        <v>-215.4495</v>
      </c>
      <c r="K2824">
        <v>1.1208940000000001</v>
      </c>
      <c r="L2824">
        <v>283.3408</v>
      </c>
      <c r="M2824">
        <v>-0.99687490000000001</v>
      </c>
      <c r="N2824">
        <v>-6.2544180000000003E-3</v>
      </c>
      <c r="O2824">
        <v>-7.8748150000000003E-2</v>
      </c>
      <c r="P2824">
        <v>-0.98947160000000001</v>
      </c>
      <c r="Q2824">
        <v>0.14320920000000001</v>
      </c>
      <c r="R2824">
        <v>-2.09055E-2</v>
      </c>
      <c r="S2824">
        <v>-3.0338440000000002</v>
      </c>
      <c r="T2824">
        <v>-3.9338110000000003E-2</v>
      </c>
      <c r="U2824">
        <v>-0.18969730000000001</v>
      </c>
      <c r="V2824">
        <v>5.7075239999999999E-2</v>
      </c>
      <c r="W2824">
        <v>0.1493881</v>
      </c>
      <c r="X2824">
        <v>0.98712999999999995</v>
      </c>
      <c r="Y2824">
        <v>1.6381070000000001E-2</v>
      </c>
      <c r="Z2824">
        <v>6.8327459999999998E-4</v>
      </c>
      <c r="AA2824">
        <v>0.99986560000000002</v>
      </c>
      <c r="AB2824">
        <v>11</v>
      </c>
      <c r="AC2824">
        <v>-86.368499999999898</v>
      </c>
      <c r="AD2824">
        <v>-1.120889411326</v>
      </c>
      <c r="AE2824">
        <v>-5.399</v>
      </c>
      <c r="AF2824">
        <v>1.41902172646109</v>
      </c>
      <c r="AG2824">
        <v>-1.120889411326</v>
      </c>
      <c r="AH2824">
        <v>86.510931197557397</v>
      </c>
      <c r="AI2824">
        <v>90.742218375515904</v>
      </c>
      <c r="AJ2824">
        <v>89.060272911724297</v>
      </c>
      <c r="AK2824">
        <v>86.529828570274603</v>
      </c>
      <c r="AL2824">
        <v>81.408532371830901</v>
      </c>
      <c r="AM2824">
        <v>86.690878089349297</v>
      </c>
      <c r="AN2824">
        <v>1.0000000121713299</v>
      </c>
    </row>
    <row r="2825" spans="1:40" x14ac:dyDescent="0.25">
      <c r="A2825" t="str">
        <f>"20190303161931106"</f>
        <v>20190303161931106</v>
      </c>
      <c r="B2825" t="str">
        <f>"1551601171095337"</f>
        <v>1551601171095337</v>
      </c>
      <c r="C2825" t="s">
        <v>40</v>
      </c>
      <c r="D2825">
        <v>4.2197259999999996</v>
      </c>
      <c r="E2825">
        <v>0.48447810000000002</v>
      </c>
      <c r="F2825" t="s">
        <v>56</v>
      </c>
      <c r="G2825">
        <v>-302.94409999999999</v>
      </c>
      <c r="H2825" s="1">
        <v>4.3826519999999999E-6</v>
      </c>
      <c r="I2825">
        <v>277.81830000000002</v>
      </c>
      <c r="J2825">
        <v>-215.54329999999999</v>
      </c>
      <c r="K2825">
        <v>1.120868</v>
      </c>
      <c r="L2825">
        <v>283.33319999999998</v>
      </c>
      <c r="M2825">
        <v>-0.99686830000000004</v>
      </c>
      <c r="N2825">
        <v>-6.2207240000000004E-3</v>
      </c>
      <c r="O2825">
        <v>-7.8835089999999997E-2</v>
      </c>
      <c r="P2825">
        <v>-0.98971299999999995</v>
      </c>
      <c r="Q2825">
        <v>0.14160899999999901</v>
      </c>
      <c r="R2825">
        <v>-2.0381280000000002E-2</v>
      </c>
      <c r="S2825">
        <v>-3.0334780000000001</v>
      </c>
      <c r="T2825">
        <v>-3.886175E-2</v>
      </c>
      <c r="U2825">
        <v>-0.19146730000000001</v>
      </c>
      <c r="V2825">
        <v>5.7708330000000002E-2</v>
      </c>
      <c r="W2825">
        <v>0.14775369999999999</v>
      </c>
      <c r="X2825">
        <v>0.98733910000000003</v>
      </c>
      <c r="Y2825">
        <v>1.5879770000000001E-2</v>
      </c>
      <c r="Z2825">
        <v>6.6794659999999998E-4</v>
      </c>
      <c r="AA2825">
        <v>0.99987369999999998</v>
      </c>
      <c r="AB2825">
        <v>11</v>
      </c>
      <c r="AC2825">
        <v>-87.400800000000004</v>
      </c>
      <c r="AD2825">
        <v>-1.120863617348</v>
      </c>
      <c r="AE2825">
        <v>-5.5148999999999502</v>
      </c>
      <c r="AF2825">
        <v>1.3924197426115399</v>
      </c>
      <c r="AG2825">
        <v>-1.120863617348</v>
      </c>
      <c r="AH2825">
        <v>87.549203746757399</v>
      </c>
      <c r="AI2825">
        <v>90.733406176590194</v>
      </c>
      <c r="AJ2825">
        <v>89.088820396017994</v>
      </c>
      <c r="AK2825">
        <v>87.567449686967294</v>
      </c>
      <c r="AL2825">
        <v>81.503227045918095</v>
      </c>
      <c r="AM2825">
        <v>86.654962531433995</v>
      </c>
      <c r="AN2825">
        <v>0.99999995280194298</v>
      </c>
    </row>
    <row r="2826" spans="1:40" x14ac:dyDescent="0.25">
      <c r="A2826" t="str">
        <f>"20190303161931120"</f>
        <v>20190303161931120</v>
      </c>
      <c r="B2826" t="str">
        <f>"1551601171115832"</f>
        <v>1551601171115832</v>
      </c>
      <c r="C2826" t="s">
        <v>40</v>
      </c>
      <c r="D2826">
        <v>4.2106859999999999</v>
      </c>
      <c r="E2826">
        <v>0.48407129999999998</v>
      </c>
      <c r="F2826" t="s">
        <v>56</v>
      </c>
      <c r="G2826">
        <v>-300.89949999999999</v>
      </c>
      <c r="H2826" s="1">
        <v>4.8052869999999998E-6</v>
      </c>
      <c r="I2826">
        <v>277.90519999999998</v>
      </c>
      <c r="J2826">
        <v>-215.62010000000001</v>
      </c>
      <c r="K2826">
        <v>1.1208419999999999</v>
      </c>
      <c r="L2826">
        <v>283.32709999999997</v>
      </c>
      <c r="M2826">
        <v>-0.99686470000000005</v>
      </c>
      <c r="N2826">
        <v>-6.1945200000000002E-3</v>
      </c>
      <c r="O2826">
        <v>-7.8882220000000003E-2</v>
      </c>
      <c r="P2826">
        <v>-0.98976209999999998</v>
      </c>
      <c r="Q2826">
        <v>0.1412186</v>
      </c>
      <c r="R2826">
        <v>-2.0693670000000001E-2</v>
      </c>
      <c r="S2826">
        <v>-3.0329130000000002</v>
      </c>
      <c r="T2826">
        <v>-3.982699E-2</v>
      </c>
      <c r="U2826">
        <v>-0.19287109999999999</v>
      </c>
      <c r="V2826">
        <v>5.7453079999999997E-2</v>
      </c>
      <c r="W2826">
        <v>0.14733579999999999</v>
      </c>
      <c r="X2826">
        <v>0.98741639999999997</v>
      </c>
      <c r="Y2826">
        <v>1.545417E-2</v>
      </c>
      <c r="Z2826">
        <v>6.9375909999999999E-4</v>
      </c>
      <c r="AA2826">
        <v>0.99988030000000006</v>
      </c>
      <c r="AB2826">
        <v>12</v>
      </c>
      <c r="AC2826">
        <v>-85.279399999999896</v>
      </c>
      <c r="AD2826">
        <v>-1.120837194713</v>
      </c>
      <c r="AE2826">
        <v>-5.4218999999999902</v>
      </c>
      <c r="AF2826">
        <v>1.3219256058047399</v>
      </c>
      <c r="AG2826">
        <v>-1.120837194713</v>
      </c>
      <c r="AH2826">
        <v>85.426656688015598</v>
      </c>
      <c r="AI2826">
        <v>90.751613986132895</v>
      </c>
      <c r="AJ2826">
        <v>89.113453384452299</v>
      </c>
      <c r="AK2826">
        <v>85.444235827915307</v>
      </c>
      <c r="AL2826">
        <v>81.527435636128104</v>
      </c>
      <c r="AM2826">
        <v>86.669984732649496</v>
      </c>
      <c r="AN2826">
        <v>0.99999992067603904</v>
      </c>
    </row>
    <row r="2827" spans="1:40" x14ac:dyDescent="0.25">
      <c r="A2827" t="str">
        <f>"20190303161931139"</f>
        <v>20190303161931139</v>
      </c>
      <c r="B2827" t="str">
        <f>"1551601171125592"</f>
        <v>1551601171125592</v>
      </c>
      <c r="C2827" t="s">
        <v>40</v>
      </c>
      <c r="D2827">
        <v>4.1994740000000004</v>
      </c>
      <c r="E2827">
        <v>0.48388759999999997</v>
      </c>
      <c r="F2827" t="s">
        <v>56</v>
      </c>
      <c r="G2827">
        <v>-310.13310000000001</v>
      </c>
      <c r="H2827">
        <v>5.421981E-2</v>
      </c>
      <c r="I2827">
        <v>277.18610000000001</v>
      </c>
      <c r="J2827">
        <v>-215.71420000000001</v>
      </c>
      <c r="K2827">
        <v>1.120806</v>
      </c>
      <c r="L2827">
        <v>283.31950000000001</v>
      </c>
      <c r="M2827">
        <v>-0.99686209999999997</v>
      </c>
      <c r="N2827">
        <v>-6.1636540000000002E-3</v>
      </c>
      <c r="O2827">
        <v>-7.8918230000000006E-2</v>
      </c>
      <c r="P2827">
        <v>-0.98998730000000001</v>
      </c>
      <c r="Q2827">
        <v>0.13944489999999901</v>
      </c>
      <c r="R2827">
        <v>-2.1927060000000002E-2</v>
      </c>
      <c r="S2827">
        <v>-3.0317989999999999</v>
      </c>
      <c r="T2827">
        <v>-3.4215210000000003E-2</v>
      </c>
      <c r="U2827">
        <v>-0.196991</v>
      </c>
      <c r="V2827">
        <v>5.6284130000000002E-2</v>
      </c>
      <c r="W2827">
        <v>0.14553070000000001</v>
      </c>
      <c r="X2827">
        <v>0.98775139999999995</v>
      </c>
      <c r="Y2827">
        <v>1.4115279999999999E-2</v>
      </c>
      <c r="Z2827">
        <v>5.2490730000000002E-4</v>
      </c>
      <c r="AA2827">
        <v>0.99990020000000002</v>
      </c>
      <c r="AB2827">
        <v>12</v>
      </c>
      <c r="AC2827">
        <v>-94.418899999999994</v>
      </c>
      <c r="AD2827">
        <v>-1.06658619</v>
      </c>
      <c r="AE2827">
        <v>-6.1333999999999902</v>
      </c>
      <c r="AF2827">
        <v>1.3370738781941101</v>
      </c>
      <c r="AG2827">
        <v>-1.06658619</v>
      </c>
      <c r="AH2827">
        <v>94.596430839691095</v>
      </c>
      <c r="AI2827">
        <v>90.645924950656806</v>
      </c>
      <c r="AJ2827">
        <v>89.190206350155805</v>
      </c>
      <c r="AK2827">
        <v>94.611891960075098</v>
      </c>
      <c r="AL2827">
        <v>81.631987595400304</v>
      </c>
      <c r="AM2827">
        <v>86.738693990164293</v>
      </c>
      <c r="AN2827">
        <v>0.99999995806715203</v>
      </c>
    </row>
    <row r="2828" spans="1:40" x14ac:dyDescent="0.25">
      <c r="A2828" t="str">
        <f>"20190303161931160"</f>
        <v>20190303161931160</v>
      </c>
      <c r="B2828" t="str">
        <f>"1551601171154871"</f>
        <v>1551601171154871</v>
      </c>
      <c r="C2828" t="s">
        <v>40</v>
      </c>
      <c r="D2828">
        <v>4.2012309999999999</v>
      </c>
      <c r="E2828">
        <v>0.48373880000000002</v>
      </c>
      <c r="F2828" t="s">
        <v>56</v>
      </c>
      <c r="G2828">
        <v>-303.9898</v>
      </c>
      <c r="H2828" s="1">
        <v>4.281431E-6</v>
      </c>
      <c r="I2828">
        <v>277.44869999999997</v>
      </c>
      <c r="J2828">
        <v>-215.83090000000001</v>
      </c>
      <c r="K2828">
        <v>1.1207579999999999</v>
      </c>
      <c r="L2828">
        <v>283.31029999999998</v>
      </c>
      <c r="M2828">
        <v>-0.99686229999999998</v>
      </c>
      <c r="N2828">
        <v>-6.1273949999999999E-3</v>
      </c>
      <c r="O2828">
        <v>-7.8918260000000004E-2</v>
      </c>
      <c r="P2828">
        <v>-0.99013289999999998</v>
      </c>
      <c r="Q2828">
        <v>0.13808139999999999</v>
      </c>
      <c r="R2828">
        <v>-2.388442E-2</v>
      </c>
      <c r="S2828">
        <v>-3.0312960000000002</v>
      </c>
      <c r="T2828">
        <v>-3.8487199999999999E-2</v>
      </c>
      <c r="U2828">
        <v>-0.2015991</v>
      </c>
      <c r="V2828">
        <v>5.4354520000000003E-2</v>
      </c>
      <c r="W2828">
        <v>0.14412939999999999</v>
      </c>
      <c r="X2828">
        <v>0.98806490000000002</v>
      </c>
      <c r="Y2828">
        <v>1.2590250000000001E-2</v>
      </c>
      <c r="Z2828">
        <v>6.3414649999999999E-4</v>
      </c>
      <c r="AA2828">
        <v>0.99992049999999999</v>
      </c>
      <c r="AB2828">
        <v>12</v>
      </c>
      <c r="AC2828">
        <v>-88.158899999999903</v>
      </c>
      <c r="AD2828">
        <v>-1.120753718569</v>
      </c>
      <c r="AE2828">
        <v>-5.8616000000000099</v>
      </c>
      <c r="AF2828">
        <v>1.11398055775216</v>
      </c>
      <c r="AG2828">
        <v>-1.120753718569</v>
      </c>
      <c r="AH2828">
        <v>88.332312771139399</v>
      </c>
      <c r="AI2828">
        <v>90.726867727432094</v>
      </c>
      <c r="AJ2828">
        <v>89.277467112375305</v>
      </c>
      <c r="AK2828">
        <v>88.3464460014048</v>
      </c>
      <c r="AL2828">
        <v>81.713131839105202</v>
      </c>
      <c r="AM2828">
        <v>86.851270819715893</v>
      </c>
      <c r="AN2828">
        <v>0.99999997220039905</v>
      </c>
    </row>
    <row r="2829" spans="1:40" x14ac:dyDescent="0.25">
      <c r="A2829" t="str">
        <f>"20190303161931174"</f>
        <v>20190303161931174</v>
      </c>
      <c r="B2829" t="str">
        <f>"1551601171165608"</f>
        <v>1551601171165608</v>
      </c>
      <c r="C2829" t="s">
        <v>40</v>
      </c>
      <c r="D2829">
        <v>4.1806599999999996</v>
      </c>
      <c r="E2829">
        <v>0.48375990000000002</v>
      </c>
      <c r="F2829" t="s">
        <v>56</v>
      </c>
      <c r="G2829">
        <v>-309.86919999999998</v>
      </c>
      <c r="H2829" s="1">
        <v>3.3842050000000001E-6</v>
      </c>
      <c r="I2829">
        <v>276.84780000000001</v>
      </c>
      <c r="J2829">
        <v>-215.9006</v>
      </c>
      <c r="K2829">
        <v>1.1207320000000001</v>
      </c>
      <c r="L2829">
        <v>283.3048</v>
      </c>
      <c r="M2829">
        <v>-0.996865</v>
      </c>
      <c r="N2829">
        <v>-6.1069660000000001E-3</v>
      </c>
      <c r="O2829">
        <v>-7.8885159999999996E-2</v>
      </c>
      <c r="P2829">
        <v>-0.99023890000000003</v>
      </c>
      <c r="Q2829">
        <v>0.1371377</v>
      </c>
      <c r="R2829">
        <v>-2.4908380000000001E-2</v>
      </c>
      <c r="S2829">
        <v>-3.0299070000000001</v>
      </c>
      <c r="T2829">
        <v>-3.6110639999999999E-2</v>
      </c>
      <c r="U2829">
        <v>-0.2082214</v>
      </c>
      <c r="V2829">
        <v>5.3316679999999998E-2</v>
      </c>
      <c r="W2829">
        <v>0.1431644</v>
      </c>
      <c r="X2829">
        <v>0.98826179999999997</v>
      </c>
      <c r="Y2829">
        <v>1.0351910000000001E-2</v>
      </c>
      <c r="Z2829">
        <v>5.4903160000000005E-4</v>
      </c>
      <c r="AA2829">
        <v>0.99994629999999995</v>
      </c>
      <c r="AB2829">
        <v>12</v>
      </c>
      <c r="AC2829">
        <v>-93.968599999999896</v>
      </c>
      <c r="AD2829">
        <v>-1.120728615795</v>
      </c>
      <c r="AE2829">
        <v>-6.4569999999999901</v>
      </c>
      <c r="AF2829">
        <v>0.97585078790220903</v>
      </c>
      <c r="AG2829">
        <v>-1.120728615795</v>
      </c>
      <c r="AH2829">
        <v>94.171794175914201</v>
      </c>
      <c r="AI2829">
        <v>90.681802254215597</v>
      </c>
      <c r="AJ2829">
        <v>89.406296429733501</v>
      </c>
      <c r="AK2829">
        <v>94.183518386718106</v>
      </c>
      <c r="AL2829">
        <v>81.7690023374427</v>
      </c>
      <c r="AM2829">
        <v>86.911889013600302</v>
      </c>
      <c r="AN2829">
        <v>1.0000000495664001</v>
      </c>
    </row>
    <row r="2830" spans="1:40" x14ac:dyDescent="0.25">
      <c r="A2830" t="str">
        <f>"20190303161931189"</f>
        <v>20190303161931189</v>
      </c>
      <c r="B2830" t="str">
        <f>"1551601171175368"</f>
        <v>1551601171175368</v>
      </c>
      <c r="C2830" t="s">
        <v>40</v>
      </c>
      <c r="D2830">
        <v>4.1943479999999997</v>
      </c>
      <c r="E2830">
        <v>0.4838037</v>
      </c>
      <c r="F2830" t="s">
        <v>56</v>
      </c>
      <c r="G2830">
        <v>-307.11610000000002</v>
      </c>
      <c r="H2830" s="1">
        <v>3.846778E-6</v>
      </c>
      <c r="I2830">
        <v>276.9452</v>
      </c>
      <c r="J2830">
        <v>-215.97620000000001</v>
      </c>
      <c r="K2830">
        <v>1.1206969999999901</v>
      </c>
      <c r="L2830">
        <v>283.29880000000003</v>
      </c>
      <c r="M2830">
        <v>-0.99686989999999998</v>
      </c>
      <c r="N2830">
        <v>-6.0855450000000004E-3</v>
      </c>
      <c r="O2830">
        <v>-7.8827229999999998E-2</v>
      </c>
      <c r="P2830">
        <v>-0.99036329999999995</v>
      </c>
      <c r="Q2830">
        <v>0.13609060000000001</v>
      </c>
      <c r="R2830">
        <v>-2.5695249999999999E-2</v>
      </c>
      <c r="S2830">
        <v>-3.029404</v>
      </c>
      <c r="T2830">
        <v>-3.7221070000000002E-2</v>
      </c>
      <c r="U2830">
        <v>-0.21121219999999999</v>
      </c>
      <c r="V2830">
        <v>5.2492829999999997E-2</v>
      </c>
      <c r="W2830">
        <v>0.142094</v>
      </c>
      <c r="X2830">
        <v>0.98846029999999996</v>
      </c>
      <c r="Y2830">
        <v>9.2998160000000007E-3</v>
      </c>
      <c r="Z2830">
        <v>5.7146149999999995E-4</v>
      </c>
      <c r="AA2830">
        <v>0.99995659999999997</v>
      </c>
      <c r="AB2830">
        <v>12</v>
      </c>
      <c r="AC2830">
        <v>-91.139899999999997</v>
      </c>
      <c r="AD2830">
        <v>-1.1206931532219999</v>
      </c>
      <c r="AE2830">
        <v>-6.3536000000000197</v>
      </c>
      <c r="AF2830">
        <v>0.85048088688189805</v>
      </c>
      <c r="AG2830">
        <v>-1.1206931532219999</v>
      </c>
      <c r="AH2830">
        <v>91.343390279652894</v>
      </c>
      <c r="AI2830">
        <v>90.702896874920398</v>
      </c>
      <c r="AJ2830">
        <v>89.466545338691006</v>
      </c>
      <c r="AK2830">
        <v>91.354223868760499</v>
      </c>
      <c r="AL2830">
        <v>81.830964692092905</v>
      </c>
      <c r="AM2830">
        <v>86.960125746227305</v>
      </c>
      <c r="AN2830">
        <v>0.999999983356749</v>
      </c>
    </row>
    <row r="2831" spans="1:40" x14ac:dyDescent="0.25">
      <c r="A2831" t="str">
        <f>"20190303161931207"</f>
        <v>20190303161931207</v>
      </c>
      <c r="B2831" t="str">
        <f>"1551601171194887"</f>
        <v>1551601171194887</v>
      </c>
      <c r="C2831" t="s">
        <v>40</v>
      </c>
      <c r="D2831">
        <v>4.175999</v>
      </c>
      <c r="E2831">
        <v>0.48374719999999999</v>
      </c>
      <c r="F2831" t="s">
        <v>56</v>
      </c>
      <c r="G2831">
        <v>-302.79689999999999</v>
      </c>
      <c r="H2831" s="1">
        <v>4.6383960000000002E-6</v>
      </c>
      <c r="I2831">
        <v>277.18720000000002</v>
      </c>
      <c r="J2831">
        <v>-216.0762</v>
      </c>
      <c r="K2831">
        <v>1.1206480000000001</v>
      </c>
      <c r="L2831">
        <v>283.291</v>
      </c>
      <c r="M2831">
        <v>-0.99688019999999999</v>
      </c>
      <c r="N2831">
        <v>-6.0587139999999998E-3</v>
      </c>
      <c r="O2831">
        <v>-7.8699829999999998E-2</v>
      </c>
      <c r="P2831">
        <v>-0.99082130000000002</v>
      </c>
      <c r="Q2831">
        <v>0.1323377</v>
      </c>
      <c r="R2831">
        <v>-2.7570190000000001E-2</v>
      </c>
      <c r="S2831">
        <v>-3.0290370000000002</v>
      </c>
      <c r="T2831">
        <v>-3.9099219999999997E-2</v>
      </c>
      <c r="U2831">
        <v>-0.21322630000000001</v>
      </c>
      <c r="V2831">
        <v>5.0544169999999999E-2</v>
      </c>
      <c r="W2831">
        <v>0.13831459999999901</v>
      </c>
      <c r="X2831">
        <v>0.98909780000000003</v>
      </c>
      <c r="Y2831">
        <v>8.5016190000000002E-3</v>
      </c>
      <c r="Z2831">
        <v>6.167446E-4</v>
      </c>
      <c r="AA2831">
        <v>0.99996359999999995</v>
      </c>
      <c r="AB2831">
        <v>12</v>
      </c>
      <c r="AC2831">
        <v>-86.720699999999994</v>
      </c>
      <c r="AD2831">
        <v>-1.1206433616039999</v>
      </c>
      <c r="AE2831">
        <v>-6.1037999999999704</v>
      </c>
      <c r="AF2831">
        <v>0.74003741175350801</v>
      </c>
      <c r="AG2831">
        <v>-1.1206433616039999</v>
      </c>
      <c r="AH2831">
        <v>86.917647634807594</v>
      </c>
      <c r="AI2831">
        <v>90.738656100671193</v>
      </c>
      <c r="AJ2831">
        <v>89.512181967733994</v>
      </c>
      <c r="AK2831">
        <v>86.928021761013795</v>
      </c>
      <c r="AL2831">
        <v>82.049669264387305</v>
      </c>
      <c r="AM2831">
        <v>87.074656545152493</v>
      </c>
      <c r="AN2831">
        <v>1.0000000498294901</v>
      </c>
    </row>
    <row r="2832" spans="1:40" x14ac:dyDescent="0.25">
      <c r="A2832" t="str">
        <f>"20190303161931229"</f>
        <v>20190303161931229</v>
      </c>
      <c r="B2832" t="str">
        <f>"1551601171215383"</f>
        <v>1551601171215383</v>
      </c>
      <c r="C2832" t="s">
        <v>40</v>
      </c>
      <c r="D2832">
        <v>4.1764229999999998</v>
      </c>
      <c r="E2832">
        <v>0.48365350000000001</v>
      </c>
      <c r="F2832" t="s">
        <v>56</v>
      </c>
      <c r="G2832">
        <v>-282.3313</v>
      </c>
      <c r="H2832">
        <v>8.0001500000000003E-2</v>
      </c>
      <c r="I2832">
        <v>278.48930000000001</v>
      </c>
      <c r="J2832">
        <v>-216.1917</v>
      </c>
      <c r="K2832">
        <v>1.120595</v>
      </c>
      <c r="L2832">
        <v>283.28210000000001</v>
      </c>
      <c r="M2832">
        <v>-0.99689729999999999</v>
      </c>
      <c r="N2832">
        <v>-6.0296710000000003E-3</v>
      </c>
      <c r="O2832">
        <v>-7.8482750000000004E-2</v>
      </c>
      <c r="P2832">
        <v>-0.99101879999999998</v>
      </c>
      <c r="Q2832">
        <v>0.13035759999999999</v>
      </c>
      <c r="R2832">
        <v>-2.9813760000000002E-2</v>
      </c>
      <c r="S2832">
        <v>-3.0280459999999998</v>
      </c>
      <c r="T2832">
        <v>-4.7560449999999997E-2</v>
      </c>
      <c r="U2832">
        <v>-0.21945190000000001</v>
      </c>
      <c r="V2832">
        <v>4.8120629999999998E-2</v>
      </c>
      <c r="W2832">
        <v>0.13630439999999999</v>
      </c>
      <c r="X2832">
        <v>0.98949759999999998</v>
      </c>
      <c r="Y2832">
        <v>6.2136179999999997E-3</v>
      </c>
      <c r="Z2832">
        <v>8.2338369999999895E-4</v>
      </c>
      <c r="AA2832">
        <v>0.99998030000000004</v>
      </c>
      <c r="AB2832">
        <v>12</v>
      </c>
      <c r="AC2832">
        <v>-66.139600000000002</v>
      </c>
      <c r="AD2832">
        <v>-1.0405934999999999</v>
      </c>
      <c r="AE2832">
        <v>-4.7927999999999997</v>
      </c>
      <c r="AF2832">
        <v>0.412794144572113</v>
      </c>
      <c r="AG2832">
        <v>-1.0405934999999999</v>
      </c>
      <c r="AH2832">
        <v>66.2954172698972</v>
      </c>
      <c r="AI2832">
        <v>90.899241109724102</v>
      </c>
      <c r="AJ2832">
        <v>89.643247488056403</v>
      </c>
      <c r="AK2832">
        <v>66.304868485110703</v>
      </c>
      <c r="AL2832">
        <v>82.165946159660507</v>
      </c>
      <c r="AM2832">
        <v>87.215820882482902</v>
      </c>
      <c r="AN2832">
        <v>0.99999999244835802</v>
      </c>
    </row>
    <row r="2833" spans="1:40" x14ac:dyDescent="0.25">
      <c r="A2833" t="str">
        <f>"20190303161931263"</f>
        <v>20190303161931263</v>
      </c>
      <c r="B2833" t="str">
        <f>"1551601171255400"</f>
        <v>1551601171255400</v>
      </c>
      <c r="C2833" t="s">
        <v>40</v>
      </c>
      <c r="D2833">
        <v>4.1906040000000004</v>
      </c>
      <c r="E2833">
        <v>0.50089430000000001</v>
      </c>
      <c r="F2833" t="s">
        <v>52</v>
      </c>
      <c r="G2833">
        <v>-278.81119999999999</v>
      </c>
      <c r="H2833">
        <v>8.0000600000000005E-2</v>
      </c>
      <c r="I2833">
        <v>278.59140000000002</v>
      </c>
      <c r="J2833">
        <v>-216.3143</v>
      </c>
      <c r="K2833">
        <v>1.120552</v>
      </c>
      <c r="L2833">
        <v>283.27280000000002</v>
      </c>
      <c r="M2833">
        <v>-0.99692150000000002</v>
      </c>
      <c r="N2833">
        <v>-6.0007749999999999E-3</v>
      </c>
      <c r="O2833">
        <v>-7.8178789999999998E-2</v>
      </c>
      <c r="P2833">
        <v>-0.99092480000000005</v>
      </c>
      <c r="Q2833">
        <v>0.130413</v>
      </c>
      <c r="R2833">
        <v>-3.2577620000000002E-2</v>
      </c>
      <c r="S2833">
        <v>-3.0269780000000002</v>
      </c>
      <c r="T2833">
        <v>-5.030155E-2</v>
      </c>
      <c r="U2833">
        <v>-0.22674559999999999</v>
      </c>
      <c r="V2833">
        <v>4.506947E-2</v>
      </c>
      <c r="W2833">
        <v>0.13632849999999999</v>
      </c>
      <c r="X2833">
        <v>0.98963800000000002</v>
      </c>
      <c r="Y2833">
        <v>3.486425E-3</v>
      </c>
      <c r="Z2833">
        <v>8.6554630000000002E-4</v>
      </c>
      <c r="AA2833">
        <v>0.99999360000000004</v>
      </c>
      <c r="AB2833">
        <v>12</v>
      </c>
      <c r="AC2833">
        <v>-62.496899999999897</v>
      </c>
      <c r="AD2833">
        <v>-1.0405514</v>
      </c>
      <c r="AE2833">
        <v>-4.6813999999999902</v>
      </c>
      <c r="AF2833">
        <v>0.218887268560708</v>
      </c>
      <c r="AG2833">
        <v>-1.0405514</v>
      </c>
      <c r="AH2833">
        <v>62.654333486168603</v>
      </c>
      <c r="AI2833">
        <v>90.951464265517004</v>
      </c>
      <c r="AJ2833">
        <v>89.799834026509203</v>
      </c>
      <c r="AK2833">
        <v>62.663355826578702</v>
      </c>
      <c r="AL2833">
        <v>82.164552727146102</v>
      </c>
      <c r="AM2833">
        <v>87.392473412846897</v>
      </c>
      <c r="AN2833">
        <v>1.0000000440411601</v>
      </c>
    </row>
    <row r="2834" spans="1:40" x14ac:dyDescent="0.25">
      <c r="A2834" t="str">
        <f>"20190303161931277"</f>
        <v>20190303161931277</v>
      </c>
      <c r="B2834" t="str">
        <f>"1551601171265159"</f>
        <v>1551601171265159</v>
      </c>
      <c r="C2834" t="s">
        <v>40</v>
      </c>
      <c r="D2834">
        <v>4.1432659999999997</v>
      </c>
      <c r="E2834">
        <v>0.50553519999999996</v>
      </c>
      <c r="F2834" t="s">
        <v>52</v>
      </c>
      <c r="G2834">
        <v>-321.81299999999999</v>
      </c>
      <c r="H2834" s="1">
        <v>-3.6551769999999997E-7</v>
      </c>
      <c r="I2834">
        <v>279.89319999999998</v>
      </c>
      <c r="J2834">
        <v>-216.464</v>
      </c>
      <c r="K2834">
        <v>1.1205039999999999</v>
      </c>
      <c r="L2834">
        <v>283.26150000000001</v>
      </c>
      <c r="M2834">
        <v>-0.99695869999999998</v>
      </c>
      <c r="N2834">
        <v>-5.96775E-3</v>
      </c>
      <c r="O2834">
        <v>-7.7704330000000002E-2</v>
      </c>
      <c r="P2834">
        <v>-0.99081039999999998</v>
      </c>
      <c r="Q2834">
        <v>0.1311176</v>
      </c>
      <c r="R2834">
        <v>-3.3213119999999999E-2</v>
      </c>
      <c r="S2834">
        <v>-3.0285190000000002</v>
      </c>
      <c r="T2834">
        <v>-3.2167319999999999E-2</v>
      </c>
      <c r="U2834">
        <v>-9.7015379999999998E-2</v>
      </c>
      <c r="V2834">
        <v>4.3970469999999998E-2</v>
      </c>
      <c r="W2834">
        <v>0.13699639999999999</v>
      </c>
      <c r="X2834">
        <v>0.98959520000000001</v>
      </c>
      <c r="Y2834">
        <v>4.5740320000000001E-2</v>
      </c>
      <c r="Z2834">
        <v>7.3949429999999896E-4</v>
      </c>
      <c r="AA2834">
        <v>0.99895310000000004</v>
      </c>
      <c r="AB2834">
        <v>12</v>
      </c>
      <c r="AC2834">
        <v>-105.34899999999899</v>
      </c>
      <c r="AD2834">
        <v>-1.1205043655177001</v>
      </c>
      <c r="AE2834">
        <v>-3.3683000000000298</v>
      </c>
      <c r="AF2834">
        <v>4.8275573308214303</v>
      </c>
      <c r="AG2834">
        <v>-1.1205043655177001</v>
      </c>
      <c r="AH2834">
        <v>105.28029873459199</v>
      </c>
      <c r="AI2834">
        <v>90.609139293232303</v>
      </c>
      <c r="AJ2834">
        <v>87.374579599696204</v>
      </c>
      <c r="AK2834">
        <v>105.396879182737</v>
      </c>
      <c r="AL2834">
        <v>82.125922385913398</v>
      </c>
      <c r="AM2834">
        <v>87.455862384348904</v>
      </c>
      <c r="AN2834">
        <v>1.0000000378539999</v>
      </c>
    </row>
    <row r="2835" spans="1:40" x14ac:dyDescent="0.25">
      <c r="A2835" t="str">
        <f>"20190303161931295"</f>
        <v>20190303161931295</v>
      </c>
      <c r="B2835" t="str">
        <f>"1551601171285656"</f>
        <v>1551601171285656</v>
      </c>
      <c r="C2835" t="s">
        <v>40</v>
      </c>
      <c r="D2835">
        <v>4.1428719999999997</v>
      </c>
      <c r="E2835">
        <v>0.51003080000000001</v>
      </c>
      <c r="F2835" t="s">
        <v>56</v>
      </c>
      <c r="G2835">
        <v>-305.02859999999998</v>
      </c>
      <c r="H2835" s="1">
        <v>3.3494710000000001E-6</v>
      </c>
      <c r="I2835">
        <v>281.4495</v>
      </c>
      <c r="J2835">
        <v>-216.56010000000001</v>
      </c>
      <c r="K2835">
        <v>1.1204719999999999</v>
      </c>
      <c r="L2835">
        <v>283.25439999999998</v>
      </c>
      <c r="M2835">
        <v>-0.99698739999999997</v>
      </c>
      <c r="N2835">
        <v>-5.9478969999999997E-3</v>
      </c>
      <c r="O2835">
        <v>-7.7337080000000002E-2</v>
      </c>
      <c r="P2835">
        <v>-0.99035779999999995</v>
      </c>
      <c r="Q2835">
        <v>0.13323209999999999</v>
      </c>
      <c r="R2835">
        <v>-3.795627E-2</v>
      </c>
      <c r="S2835">
        <v>-3.0308229999999998</v>
      </c>
      <c r="T2835">
        <v>-3.8345339999999999E-2</v>
      </c>
      <c r="U2835">
        <v>-6.2011719999999999E-2</v>
      </c>
      <c r="V2835">
        <v>3.8852150000000002E-2</v>
      </c>
      <c r="W2835">
        <v>0.13909189999999999</v>
      </c>
      <c r="X2835">
        <v>0.98951699999999998</v>
      </c>
      <c r="Y2835">
        <v>5.6919020000000001E-2</v>
      </c>
      <c r="Z2835">
        <v>1.046324E-3</v>
      </c>
      <c r="AA2835">
        <v>0.99837830000000005</v>
      </c>
      <c r="AB2835">
        <v>12</v>
      </c>
      <c r="AC2835">
        <v>-88.468499999999906</v>
      </c>
      <c r="AD2835">
        <v>-1.120468650529</v>
      </c>
      <c r="AE2835">
        <v>-1.80489999999997</v>
      </c>
      <c r="AF2835">
        <v>5.0417130141911199</v>
      </c>
      <c r="AG2835">
        <v>-1.120468650529</v>
      </c>
      <c r="AH2835">
        <v>88.328953293445394</v>
      </c>
      <c r="AI2835">
        <v>90.725587390540696</v>
      </c>
      <c r="AJ2835">
        <v>86.7331688261511</v>
      </c>
      <c r="AK2835">
        <v>88.4798186595674</v>
      </c>
      <c r="AL2835">
        <v>82.004697924283903</v>
      </c>
      <c r="AM2835">
        <v>87.751507709881693</v>
      </c>
      <c r="AN2835">
        <v>0.99999996974711503</v>
      </c>
    </row>
    <row r="2836" spans="1:40" x14ac:dyDescent="0.25">
      <c r="A2836" t="str">
        <f>"20190303161931328"</f>
        <v>20190303161931328</v>
      </c>
      <c r="B2836" t="str">
        <f>"1551601171314936"</f>
        <v>1551601171314936</v>
      </c>
      <c r="C2836" t="s">
        <v>40</v>
      </c>
      <c r="D2836">
        <v>4.1547669999999997</v>
      </c>
      <c r="E2836">
        <v>0.51305779999999901</v>
      </c>
      <c r="F2836" t="s">
        <v>56</v>
      </c>
      <c r="G2836">
        <v>-311.57310000000001</v>
      </c>
      <c r="H2836" s="1">
        <v>3.1432510000000002E-6</v>
      </c>
      <c r="I2836">
        <v>282.0009</v>
      </c>
      <c r="J2836">
        <v>-216.74539999999999</v>
      </c>
      <c r="K2836">
        <v>1.1204179999999999</v>
      </c>
      <c r="L2836">
        <v>283.24099999999999</v>
      </c>
      <c r="M2836">
        <v>-0.99705279999999996</v>
      </c>
      <c r="N2836">
        <v>-5.9125740000000003E-3</v>
      </c>
      <c r="O2836">
        <v>-7.6491119999999996E-2</v>
      </c>
      <c r="P2836">
        <v>-0.99014020000000003</v>
      </c>
      <c r="Q2836">
        <v>0.1338655</v>
      </c>
      <c r="R2836">
        <v>-4.1264309999999998E-2</v>
      </c>
      <c r="S2836">
        <v>-3.032486</v>
      </c>
      <c r="T2836">
        <v>-3.5761479999999998E-2</v>
      </c>
      <c r="U2836">
        <v>-4.0008540000000002E-2</v>
      </c>
      <c r="V2836">
        <v>3.4715780000000002E-2</v>
      </c>
      <c r="W2836">
        <v>0.13968920000000001</v>
      </c>
      <c r="X2836">
        <v>0.98958670000000004</v>
      </c>
      <c r="Y2836">
        <v>6.3324359999999996E-2</v>
      </c>
      <c r="Z2836">
        <v>1.009154E-3</v>
      </c>
      <c r="AA2836">
        <v>0.99799249999999995</v>
      </c>
      <c r="AB2836">
        <v>12</v>
      </c>
      <c r="AC2836">
        <v>-94.827699999999993</v>
      </c>
      <c r="AD2836">
        <v>-1.120414856749</v>
      </c>
      <c r="AE2836">
        <v>-1.24009999999998</v>
      </c>
      <c r="AF2836">
        <v>6.0162968347102197</v>
      </c>
      <c r="AG2836">
        <v>-1.120414856749</v>
      </c>
      <c r="AH2836">
        <v>94.631519983252602</v>
      </c>
      <c r="AI2836">
        <v>90.676970188483807</v>
      </c>
      <c r="AJ2836">
        <v>86.362257385340399</v>
      </c>
      <c r="AK2836">
        <v>94.829192400838807</v>
      </c>
      <c r="AL2836">
        <v>81.970138387044699</v>
      </c>
      <c r="AM2836">
        <v>87.990825555769007</v>
      </c>
      <c r="AN2836">
        <v>1.0000000473972599</v>
      </c>
    </row>
    <row r="2837" spans="1:40" x14ac:dyDescent="0.25">
      <c r="A2837" t="str">
        <f>"20190303161931352"</f>
        <v>20190303161931352</v>
      </c>
      <c r="B2837" t="str">
        <f>"1551601171345191"</f>
        <v>1551601171345191</v>
      </c>
      <c r="C2837" t="s">
        <v>40</v>
      </c>
      <c r="D2837">
        <v>4.1805519999999996</v>
      </c>
      <c r="E2837">
        <v>0.51426149999999904</v>
      </c>
      <c r="F2837" t="s">
        <v>56</v>
      </c>
      <c r="G2837">
        <v>-296.68430000000001</v>
      </c>
      <c r="H2837" s="1">
        <v>3.567756E-6</v>
      </c>
      <c r="I2837">
        <v>282.59949999999998</v>
      </c>
      <c r="J2837">
        <v>-216.88659999999999</v>
      </c>
      <c r="K2837">
        <v>1.1203719999999999</v>
      </c>
      <c r="L2837">
        <v>283.23099999999999</v>
      </c>
      <c r="M2837">
        <v>-0.99711150000000004</v>
      </c>
      <c r="N2837">
        <v>-5.8881119999999896E-3</v>
      </c>
      <c r="O2837">
        <v>-7.572313E-2</v>
      </c>
      <c r="P2837">
        <v>-0.99019219999999997</v>
      </c>
      <c r="Q2837">
        <v>0.13312260000000001</v>
      </c>
      <c r="R2837">
        <v>-4.2404089999999998E-2</v>
      </c>
      <c r="S2837">
        <v>-3.0346220000000002</v>
      </c>
      <c r="T2837">
        <v>-4.2532920000000002E-2</v>
      </c>
      <c r="U2837">
        <v>-2.4353030000000001E-2</v>
      </c>
      <c r="V2837">
        <v>3.283316E-2</v>
      </c>
      <c r="W2837">
        <v>0.1389214</v>
      </c>
      <c r="X2837">
        <v>0.98975900000000006</v>
      </c>
      <c r="Y2837">
        <v>6.7708309999999994E-2</v>
      </c>
      <c r="Z2837">
        <v>1.2880299999999999E-3</v>
      </c>
      <c r="AA2837">
        <v>0.99770429999999999</v>
      </c>
      <c r="AB2837">
        <v>13</v>
      </c>
      <c r="AC2837">
        <v>-79.797700000000006</v>
      </c>
      <c r="AD2837">
        <v>-1.120368432244</v>
      </c>
      <c r="AE2837">
        <v>-0.63150000000001605</v>
      </c>
      <c r="AF2837">
        <v>5.4118827682163202</v>
      </c>
      <c r="AG2837">
        <v>-1.120368432244</v>
      </c>
      <c r="AH2837">
        <v>79.600713147944305</v>
      </c>
      <c r="AI2837">
        <v>90.804519501194804</v>
      </c>
      <c r="AJ2837">
        <v>86.110567516656701</v>
      </c>
      <c r="AK2837">
        <v>79.792338192223696</v>
      </c>
      <c r="AL2837">
        <v>82.014563070500898</v>
      </c>
      <c r="AM2837">
        <v>88.100030511045105</v>
      </c>
      <c r="AN2837">
        <v>1.00000002492727</v>
      </c>
    </row>
    <row r="2838" spans="1:40" x14ac:dyDescent="0.25">
      <c r="A2838" t="str">
        <f>"20190303161931373"</f>
        <v>20190303161931373</v>
      </c>
      <c r="B2838" t="str">
        <f>"1551601171365688"</f>
        <v>1551601171365688</v>
      </c>
      <c r="C2838" t="s">
        <v>40</v>
      </c>
      <c r="D2838">
        <v>4.2099949999999904</v>
      </c>
      <c r="E2838">
        <v>0.51494390000000001</v>
      </c>
      <c r="F2838" t="s">
        <v>56</v>
      </c>
      <c r="G2838">
        <v>-285.98559999999998</v>
      </c>
      <c r="H2838" s="1">
        <v>6.11694399999999E-6</v>
      </c>
      <c r="I2838">
        <v>282.83019999999999</v>
      </c>
      <c r="J2838">
        <v>-217.0025</v>
      </c>
      <c r="K2838">
        <v>1.120341</v>
      </c>
      <c r="L2838">
        <v>283.22300000000001</v>
      </c>
      <c r="M2838">
        <v>-0.99716349999999998</v>
      </c>
      <c r="N2838">
        <v>-5.8692120000000004E-3</v>
      </c>
      <c r="O2838">
        <v>-7.503688E-2</v>
      </c>
      <c r="P2838">
        <v>-0.99032560000000003</v>
      </c>
      <c r="Q2838">
        <v>0.1319081</v>
      </c>
      <c r="R2838">
        <v>-4.3078039999999998E-2</v>
      </c>
      <c r="S2838">
        <v>-3.0355989999999999</v>
      </c>
      <c r="T2838">
        <v>-4.9218890000000001E-2</v>
      </c>
      <c r="U2838">
        <v>-1.7608639999999998E-2</v>
      </c>
      <c r="V2838">
        <v>3.1496980000000001E-2</v>
      </c>
      <c r="W2838">
        <v>0.1376888</v>
      </c>
      <c r="X2838">
        <v>0.98997460000000004</v>
      </c>
      <c r="Y2838">
        <v>6.9236279999999997E-2</v>
      </c>
      <c r="Z2838">
        <v>1.53935799999999E-3</v>
      </c>
      <c r="AA2838">
        <v>0.99759909999999996</v>
      </c>
      <c r="AB2838">
        <v>13</v>
      </c>
      <c r="AC2838">
        <v>-68.983099999999894</v>
      </c>
      <c r="AD2838">
        <v>-1.120334883056</v>
      </c>
      <c r="AE2838">
        <v>-0.39280000000002202</v>
      </c>
      <c r="AF2838">
        <v>4.7834114853488696</v>
      </c>
      <c r="AG2838">
        <v>-1.120334883056</v>
      </c>
      <c r="AH2838">
        <v>68.799942182450394</v>
      </c>
      <c r="AI2838">
        <v>90.930672918386904</v>
      </c>
      <c r="AJ2838">
        <v>86.022831590094299</v>
      </c>
      <c r="AK2838">
        <v>68.975127546071803</v>
      </c>
      <c r="AL2838">
        <v>82.085870843532405</v>
      </c>
      <c r="AM2838">
        <v>88.177695194119593</v>
      </c>
      <c r="AN2838">
        <v>0.99999998701986004</v>
      </c>
    </row>
    <row r="2839" spans="1:40" x14ac:dyDescent="0.25">
      <c r="A2839" t="str">
        <f>"20190303161931396"</f>
        <v>20190303161931396</v>
      </c>
      <c r="B2839" t="str">
        <f>"1551601171385209"</f>
        <v>1551601171385209</v>
      </c>
      <c r="C2839" t="s">
        <v>40</v>
      </c>
      <c r="D2839">
        <v>4.1961149999999998</v>
      </c>
      <c r="E2839">
        <v>0.51537159999999904</v>
      </c>
      <c r="F2839" t="s">
        <v>52</v>
      </c>
      <c r="G2839">
        <v>-278.38249999999999</v>
      </c>
      <c r="H2839" s="1">
        <v>2.9971769999999999E-6</v>
      </c>
      <c r="I2839">
        <v>282.94159999999999</v>
      </c>
      <c r="J2839">
        <v>-217.13829999999999</v>
      </c>
      <c r="K2839">
        <v>1.1203069999999999</v>
      </c>
      <c r="L2839">
        <v>283.21370000000002</v>
      </c>
      <c r="M2839">
        <v>-0.99722840000000001</v>
      </c>
      <c r="N2839">
        <v>-5.8483060000000002E-3</v>
      </c>
      <c r="O2839">
        <v>-7.4170760000000002E-2</v>
      </c>
      <c r="P2839">
        <v>-0.99032719999999996</v>
      </c>
      <c r="Q2839">
        <v>0.1316764</v>
      </c>
      <c r="R2839">
        <v>-4.3744739999999997E-2</v>
      </c>
      <c r="S2839">
        <v>-3.0360870000000002</v>
      </c>
      <c r="T2839">
        <v>-5.5416109999999998E-2</v>
      </c>
      <c r="U2839">
        <v>-1.3916019999999999E-2</v>
      </c>
      <c r="V2839">
        <v>2.9980059999999999E-2</v>
      </c>
      <c r="W2839">
        <v>0.13743659999999999</v>
      </c>
      <c r="X2839">
        <v>0.99005679999999996</v>
      </c>
      <c r="Y2839">
        <v>6.9579409999999994E-2</v>
      </c>
      <c r="Z2839">
        <v>1.7570489999999999E-3</v>
      </c>
      <c r="AA2839">
        <v>0.99757490000000004</v>
      </c>
      <c r="AB2839">
        <v>13</v>
      </c>
      <c r="AC2839">
        <v>-61.244199999999999</v>
      </c>
      <c r="AD2839">
        <v>-1.120304002823</v>
      </c>
      <c r="AE2839">
        <v>-0.27210000000002299</v>
      </c>
      <c r="AF2839">
        <v>4.2698273781278804</v>
      </c>
      <c r="AG2839">
        <v>-1.120304002823</v>
      </c>
      <c r="AH2839">
        <v>61.075246568501903</v>
      </c>
      <c r="AI2839">
        <v>91.048301232407397</v>
      </c>
      <c r="AJ2839">
        <v>86.000905456931307</v>
      </c>
      <c r="AK2839">
        <v>61.234567446019</v>
      </c>
      <c r="AL2839">
        <v>82.100459995050997</v>
      </c>
      <c r="AM2839">
        <v>88.265547822281306</v>
      </c>
      <c r="AN2839">
        <v>1.0000000451216999</v>
      </c>
    </row>
    <row r="2840" spans="1:40" x14ac:dyDescent="0.25">
      <c r="A2840" t="str">
        <f>"20190303161931419"</f>
        <v>20190303161931419</v>
      </c>
      <c r="B2840" t="str">
        <f>"1551601171405704"</f>
        <v>1551601171405704</v>
      </c>
      <c r="C2840" t="s">
        <v>40</v>
      </c>
      <c r="D2840">
        <v>4.2422029999999999</v>
      </c>
      <c r="E2840">
        <v>0.51568800000000004</v>
      </c>
      <c r="F2840" t="s">
        <v>52</v>
      </c>
      <c r="G2840">
        <v>-276.21780000000001</v>
      </c>
      <c r="H2840" s="1">
        <v>1.844183E-6</v>
      </c>
      <c r="I2840">
        <v>282.9649</v>
      </c>
      <c r="J2840">
        <v>-217.2706</v>
      </c>
      <c r="K2840">
        <v>1.120274</v>
      </c>
      <c r="L2840">
        <v>283.20490000000001</v>
      </c>
      <c r="M2840">
        <v>-0.99729559999999995</v>
      </c>
      <c r="N2840">
        <v>-5.829168E-3</v>
      </c>
      <c r="O2840">
        <v>-7.3265339999999998E-2</v>
      </c>
      <c r="P2840">
        <v>-0.9901993</v>
      </c>
      <c r="Q2840">
        <v>0.13249629999999901</v>
      </c>
      <c r="R2840">
        <v>-4.4165210000000003E-2</v>
      </c>
      <c r="S2840">
        <v>-3.0363920000000002</v>
      </c>
      <c r="T2840">
        <v>-5.7578089999999998E-2</v>
      </c>
      <c r="U2840">
        <v>-1.2786870000000001E-2</v>
      </c>
      <c r="V2840">
        <v>2.8659649999999998E-2</v>
      </c>
      <c r="W2840">
        <v>0.13823669999999999</v>
      </c>
      <c r="X2840">
        <v>0.98998450000000005</v>
      </c>
      <c r="Y2840">
        <v>6.9043549999999995E-2</v>
      </c>
      <c r="Z2840">
        <v>1.816654E-3</v>
      </c>
      <c r="AA2840">
        <v>0.99761200000000005</v>
      </c>
      <c r="AB2840">
        <v>13</v>
      </c>
      <c r="AC2840">
        <v>-58.947200000000002</v>
      </c>
      <c r="AD2840">
        <v>-1.1202721558169999</v>
      </c>
      <c r="AE2840">
        <v>-0.24000000000000901</v>
      </c>
      <c r="AF2840">
        <v>4.0780315287455204</v>
      </c>
      <c r="AG2840">
        <v>-1.1202721558169999</v>
      </c>
      <c r="AH2840">
        <v>58.785125554439198</v>
      </c>
      <c r="AI2840">
        <v>91.0891404951048</v>
      </c>
      <c r="AJ2840">
        <v>86.031644814882398</v>
      </c>
      <c r="AK2840">
        <v>58.93705402634</v>
      </c>
      <c r="AL2840">
        <v>82.054175782505098</v>
      </c>
      <c r="AM2840">
        <v>88.341773545183301</v>
      </c>
      <c r="AN2840">
        <v>1.0000000355026299</v>
      </c>
    </row>
    <row r="2841" spans="1:40" x14ac:dyDescent="0.25">
      <c r="A2841" t="str">
        <f>"20190303161931440"</f>
        <v>20190303161931440</v>
      </c>
      <c r="B2841" t="str">
        <f>"1551601171434983"</f>
        <v>1551601171434983</v>
      </c>
      <c r="C2841" t="s">
        <v>40</v>
      </c>
      <c r="D2841">
        <v>4.2683989999999996</v>
      </c>
      <c r="E2841">
        <v>0.51617840000000004</v>
      </c>
      <c r="F2841" t="s">
        <v>52</v>
      </c>
      <c r="G2841">
        <v>-278.13319999999999</v>
      </c>
      <c r="H2841" s="1">
        <v>2.8624279999999998E-6</v>
      </c>
      <c r="I2841">
        <v>282.9896</v>
      </c>
      <c r="J2841">
        <v>-217.39680000000001</v>
      </c>
      <c r="K2841">
        <v>1.120263</v>
      </c>
      <c r="L2841">
        <v>283.19670000000002</v>
      </c>
      <c r="M2841">
        <v>-0.99736230000000003</v>
      </c>
      <c r="N2841">
        <v>-5.8119919999999898E-3</v>
      </c>
      <c r="O2841">
        <v>-7.2351369999999998E-2</v>
      </c>
      <c r="P2841">
        <v>-0.99006559999999999</v>
      </c>
      <c r="Q2841">
        <v>0.13324859999999999</v>
      </c>
      <c r="R2841">
        <v>-4.4888869999999997E-2</v>
      </c>
      <c r="S2841">
        <v>-3.0366970000000002</v>
      </c>
      <c r="T2841">
        <v>-5.5895090000000001E-2</v>
      </c>
      <c r="U2841">
        <v>-1.074219E-2</v>
      </c>
      <c r="V2841">
        <v>2.702601E-2</v>
      </c>
      <c r="W2841">
        <v>0.13897290000000001</v>
      </c>
      <c r="X2841">
        <v>0.98992740000000001</v>
      </c>
      <c r="Y2841">
        <v>6.8802920000000004E-2</v>
      </c>
      <c r="Z2841">
        <v>1.743054E-3</v>
      </c>
      <c r="AA2841">
        <v>0.99762870000000003</v>
      </c>
      <c r="AB2841">
        <v>13</v>
      </c>
      <c r="AC2841">
        <v>-60.736399999999897</v>
      </c>
      <c r="AD2841">
        <v>-1.120260137572</v>
      </c>
      <c r="AE2841">
        <v>-0.20710000000002499</v>
      </c>
      <c r="AF2841">
        <v>4.1864543957183704</v>
      </c>
      <c r="AG2841">
        <v>-1.120260137572</v>
      </c>
      <c r="AH2841">
        <v>60.5715947426391</v>
      </c>
      <c r="AI2841">
        <v>91.057032621443895</v>
      </c>
      <c r="AJ2841">
        <v>86.046243893731699</v>
      </c>
      <c r="AK2841">
        <v>60.726431418697402</v>
      </c>
      <c r="AL2841">
        <v>82.011583754745601</v>
      </c>
      <c r="AM2841">
        <v>88.436156261738404</v>
      </c>
      <c r="AN2841">
        <v>1.00000006471084</v>
      </c>
    </row>
    <row r="2842" spans="1:40" x14ac:dyDescent="0.25">
      <c r="A2842" t="str">
        <f>"20190303161931464"</f>
        <v>20190303161931464</v>
      </c>
      <c r="B2842" t="str">
        <f>"1551601171455141"</f>
        <v>1551601171455141</v>
      </c>
      <c r="C2842" t="s">
        <v>40</v>
      </c>
      <c r="D2842">
        <v>4.3045289999999996</v>
      </c>
      <c r="E2842">
        <v>0.51650379999999996</v>
      </c>
      <c r="F2842" t="s">
        <v>56</v>
      </c>
      <c r="G2842">
        <v>-281.24689999999998</v>
      </c>
      <c r="H2842" s="1">
        <v>8.1798919999999992E-6</v>
      </c>
      <c r="I2842">
        <v>283.01639999999998</v>
      </c>
      <c r="J2842">
        <v>-217.53890000000001</v>
      </c>
      <c r="K2842">
        <v>1.1202490000000001</v>
      </c>
      <c r="L2842">
        <v>283.18770000000001</v>
      </c>
      <c r="M2842">
        <v>-0.99743990000000005</v>
      </c>
      <c r="N2842">
        <v>-5.7938310000000002E-3</v>
      </c>
      <c r="O2842">
        <v>-7.1276829999999999E-2</v>
      </c>
      <c r="P2842">
        <v>-0.9899213</v>
      </c>
      <c r="Q2842">
        <v>0.13459160000000001</v>
      </c>
      <c r="R2842">
        <v>-4.4054900000000001E-2</v>
      </c>
      <c r="S2842">
        <v>-3.03688</v>
      </c>
      <c r="T2842">
        <v>-5.3282259999999998E-2</v>
      </c>
      <c r="U2842">
        <v>-8.5754390000000007E-3</v>
      </c>
      <c r="V2842">
        <v>2.678618E-2</v>
      </c>
      <c r="W2842">
        <v>0.140295899999999</v>
      </c>
      <c r="X2842">
        <v>0.98974720000000005</v>
      </c>
      <c r="Y2842">
        <v>6.8442269999999999E-2</v>
      </c>
      <c r="Z2842">
        <v>1.6350679999999999E-3</v>
      </c>
      <c r="AA2842">
        <v>0.99765369999999998</v>
      </c>
      <c r="AB2842">
        <v>13</v>
      </c>
      <c r="AC2842">
        <v>-63.707999999999899</v>
      </c>
      <c r="AD2842">
        <v>-1.1202408201080001</v>
      </c>
      <c r="AE2842">
        <v>-0.17130000000003001</v>
      </c>
      <c r="AF2842">
        <v>4.3687647072213798</v>
      </c>
      <c r="AG2842">
        <v>-1.1202408201080001</v>
      </c>
      <c r="AH2842">
        <v>63.538522072945398</v>
      </c>
      <c r="AI2842">
        <v>91.0076923541382</v>
      </c>
      <c r="AJ2842">
        <v>86.066662769822699</v>
      </c>
      <c r="AK2842">
        <v>63.698389554024601</v>
      </c>
      <c r="AL2842">
        <v>81.935030772285799</v>
      </c>
      <c r="AM2842">
        <v>88.449745019140593</v>
      </c>
      <c r="AN2842">
        <v>0.99999997945182095</v>
      </c>
    </row>
    <row r="2843" spans="1:40" x14ac:dyDescent="0.25">
      <c r="A2843" t="str">
        <f>"20190303161931485"</f>
        <v>20190303161931485</v>
      </c>
      <c r="B2843" t="str">
        <f>"1551601171475637"</f>
        <v>1551601171475637</v>
      </c>
      <c r="C2843" t="s">
        <v>40</v>
      </c>
      <c r="D2843">
        <v>4.3479449999999904</v>
      </c>
      <c r="E2843">
        <v>0.51674659999999994</v>
      </c>
      <c r="F2843" t="s">
        <v>56</v>
      </c>
      <c r="G2843">
        <v>-284.86309999999997</v>
      </c>
      <c r="H2843" s="1">
        <v>6.5586150000000004E-6</v>
      </c>
      <c r="I2843">
        <v>283.10169999999999</v>
      </c>
      <c r="J2843">
        <v>-217.66229999999999</v>
      </c>
      <c r="K2843">
        <v>1.1202399999999999</v>
      </c>
      <c r="L2843">
        <v>283.17989999999998</v>
      </c>
      <c r="M2843">
        <v>-0.99750850000000002</v>
      </c>
      <c r="N2843">
        <v>-5.7790680000000001E-3</v>
      </c>
      <c r="O2843">
        <v>-7.0311170000000006E-2</v>
      </c>
      <c r="P2843">
        <v>-0.98992860000000005</v>
      </c>
      <c r="Q2843">
        <v>0.134903</v>
      </c>
      <c r="R2843">
        <v>-4.2929139999999998E-2</v>
      </c>
      <c r="S2843">
        <v>-3.0372620000000001</v>
      </c>
      <c r="T2843">
        <v>-5.053854E-2</v>
      </c>
      <c r="U2843">
        <v>-3.8757319999999998E-3</v>
      </c>
      <c r="V2843">
        <v>2.6954140000000001E-2</v>
      </c>
      <c r="W2843">
        <v>0.14059189999999999</v>
      </c>
      <c r="X2843">
        <v>0.98970069999999999</v>
      </c>
      <c r="Y2843">
        <v>6.902237E-2</v>
      </c>
      <c r="Z2843">
        <v>1.5362209999999999E-3</v>
      </c>
      <c r="AA2843">
        <v>0.99761390000000005</v>
      </c>
      <c r="AB2843">
        <v>13</v>
      </c>
      <c r="AC2843">
        <v>-67.200799999999902</v>
      </c>
      <c r="AD2843">
        <v>-1.1202334413849999</v>
      </c>
      <c r="AE2843">
        <v>-7.8199999999981104E-2</v>
      </c>
      <c r="AF2843">
        <v>4.64574770026086</v>
      </c>
      <c r="AG2843">
        <v>-1.1202334413849999</v>
      </c>
      <c r="AH2843">
        <v>67.021353791537393</v>
      </c>
      <c r="AI2843">
        <v>90.955293560968499</v>
      </c>
      <c r="AJ2843">
        <v>86.034746842357094</v>
      </c>
      <c r="AK2843">
        <v>67.191515526203901</v>
      </c>
      <c r="AL2843">
        <v>81.9179019534037</v>
      </c>
      <c r="AM2843">
        <v>88.439955834900601</v>
      </c>
      <c r="AN2843">
        <v>1.00000004179461</v>
      </c>
    </row>
    <row r="2844" spans="1:40" x14ac:dyDescent="0.25">
      <c r="A2844" t="str">
        <f>"20190303161931507"</f>
        <v>20190303161931507</v>
      </c>
      <c r="B2844" t="str">
        <f>"1551601171495157"</f>
        <v>1551601171495157</v>
      </c>
      <c r="C2844" t="s">
        <v>40</v>
      </c>
      <c r="D2844">
        <v>4.332776</v>
      </c>
      <c r="E2844">
        <v>0.51699969999999995</v>
      </c>
      <c r="F2844" t="s">
        <v>56</v>
      </c>
      <c r="G2844">
        <v>-285.78530000000001</v>
      </c>
      <c r="H2844" s="1">
        <v>6.1290019999999997E-6</v>
      </c>
      <c r="I2844">
        <v>283.20179999999999</v>
      </c>
      <c r="J2844">
        <v>-217.79640000000001</v>
      </c>
      <c r="K2844">
        <v>1.1202379999999901</v>
      </c>
      <c r="L2844">
        <v>283.17180000000002</v>
      </c>
      <c r="M2844">
        <v>-0.99758369999999996</v>
      </c>
      <c r="N2844">
        <v>-5.7639639999999999E-3</v>
      </c>
      <c r="O2844">
        <v>-6.9236430000000002E-2</v>
      </c>
      <c r="P2844">
        <v>-0.98992709999999995</v>
      </c>
      <c r="Q2844">
        <v>0.1353375</v>
      </c>
      <c r="R2844">
        <v>-4.1579379999999999E-2</v>
      </c>
      <c r="S2844">
        <v>-3.037369</v>
      </c>
      <c r="T2844">
        <v>-4.994738E-2</v>
      </c>
      <c r="U2844">
        <v>9.765625E-4</v>
      </c>
      <c r="V2844">
        <v>2.7235909999999999E-2</v>
      </c>
      <c r="W2844">
        <v>0.14101060000000001</v>
      </c>
      <c r="X2844">
        <v>0.9896334</v>
      </c>
      <c r="Y2844">
        <v>6.9541699999999998E-2</v>
      </c>
      <c r="Z2844">
        <v>1.510667E-3</v>
      </c>
      <c r="AA2844">
        <v>0.99757790000000002</v>
      </c>
      <c r="AB2844">
        <v>13</v>
      </c>
      <c r="AC2844">
        <v>-67.988900000000001</v>
      </c>
      <c r="AD2844">
        <v>-1.1202318709979999</v>
      </c>
      <c r="AE2844">
        <v>2.9999999999972701E-2</v>
      </c>
      <c r="AF2844">
        <v>4.7360288356091704</v>
      </c>
      <c r="AG2844">
        <v>-1.1202318709979999</v>
      </c>
      <c r="AH2844">
        <v>67.805255230548994</v>
      </c>
      <c r="AI2844">
        <v>90.944215377069398</v>
      </c>
      <c r="AJ2844">
        <v>86.004521083765397</v>
      </c>
      <c r="AK2844">
        <v>67.979684652522593</v>
      </c>
      <c r="AL2844">
        <v>81.893670682914106</v>
      </c>
      <c r="AM2844">
        <v>88.423548670294196</v>
      </c>
      <c r="AN2844">
        <v>1.00000002525072</v>
      </c>
    </row>
    <row r="2845" spans="1:40" x14ac:dyDescent="0.25">
      <c r="A2845" t="str">
        <f>"20190303161931531"</f>
        <v>20190303161931531</v>
      </c>
      <c r="B2845" t="str">
        <f>"1551601171525413"</f>
        <v>1551601171525413</v>
      </c>
      <c r="C2845" t="s">
        <v>40</v>
      </c>
      <c r="D2845">
        <v>4.3513339999999996</v>
      </c>
      <c r="E2845">
        <v>0.51723759999999996</v>
      </c>
      <c r="F2845" t="s">
        <v>56</v>
      </c>
      <c r="G2845">
        <v>-287.15550000000002</v>
      </c>
      <c r="H2845" s="1">
        <v>5.4921829999999999E-6</v>
      </c>
      <c r="I2845">
        <v>283.34320000000002</v>
      </c>
      <c r="J2845">
        <v>-217.93960000000001</v>
      </c>
      <c r="K2845">
        <v>1.1202369999999999</v>
      </c>
      <c r="L2845">
        <v>283.16320000000002</v>
      </c>
      <c r="M2845">
        <v>-0.99766429999999995</v>
      </c>
      <c r="N2845">
        <v>-5.7488640000000002E-3</v>
      </c>
      <c r="O2845">
        <v>-6.8066950000000001E-2</v>
      </c>
      <c r="P2845">
        <v>-0.98986890000000005</v>
      </c>
      <c r="Q2845">
        <v>0.13622479999999901</v>
      </c>
      <c r="R2845">
        <v>-4.0029629999999997E-2</v>
      </c>
      <c r="S2845">
        <v>-3.0375519999999998</v>
      </c>
      <c r="T2845">
        <v>-4.9060109999999997E-2</v>
      </c>
      <c r="U2845">
        <v>7.5073240000000001E-3</v>
      </c>
      <c r="V2845">
        <v>2.7619189999999998E-2</v>
      </c>
      <c r="W2845">
        <v>0.14188110000000001</v>
      </c>
      <c r="X2845">
        <v>0.98949830000000005</v>
      </c>
      <c r="Y2845">
        <v>7.0517499999999997E-2</v>
      </c>
      <c r="Z2845">
        <v>1.4793129999999999E-3</v>
      </c>
      <c r="AA2845">
        <v>0.99750939999999999</v>
      </c>
      <c r="AB2845">
        <v>14</v>
      </c>
      <c r="AC2845">
        <v>-69.215900000000005</v>
      </c>
      <c r="AD2845">
        <v>-1.120231507817</v>
      </c>
      <c r="AE2845">
        <v>0.18000000000000599</v>
      </c>
      <c r="AF2845">
        <v>4.8896942725512798</v>
      </c>
      <c r="AG2845">
        <v>-1.120231507817</v>
      </c>
      <c r="AH2845">
        <v>69.025033511491301</v>
      </c>
      <c r="AI2845">
        <v>90.927467896628301</v>
      </c>
      <c r="AJ2845">
        <v>85.947968392342801</v>
      </c>
      <c r="AK2845">
        <v>69.207075360635102</v>
      </c>
      <c r="AL2845">
        <v>81.843287755369204</v>
      </c>
      <c r="AM2845">
        <v>88.401157184118304</v>
      </c>
      <c r="AN2845">
        <v>0.99999997594817702</v>
      </c>
    </row>
    <row r="2846" spans="1:40" x14ac:dyDescent="0.25">
      <c r="A2846" t="str">
        <f>"20190303161931552"</f>
        <v>20190303161931552</v>
      </c>
      <c r="B2846" t="str">
        <f>"1551601171544933"</f>
        <v>1551601171544933</v>
      </c>
      <c r="C2846" t="s">
        <v>40</v>
      </c>
      <c r="D2846">
        <v>4.3671749999999996</v>
      </c>
      <c r="E2846">
        <v>0.5174031</v>
      </c>
      <c r="F2846" t="s">
        <v>56</v>
      </c>
      <c r="G2846">
        <v>-290.29039999999998</v>
      </c>
      <c r="H2846" s="1">
        <v>2.355002E-6</v>
      </c>
      <c r="I2846">
        <v>283.49829999999997</v>
      </c>
      <c r="J2846">
        <v>-218.0735</v>
      </c>
      <c r="K2846">
        <v>1.120241</v>
      </c>
      <c r="L2846">
        <v>283.15530000000001</v>
      </c>
      <c r="M2846">
        <v>-0.99773920000000005</v>
      </c>
      <c r="N2846">
        <v>-5.7355729999999999E-3</v>
      </c>
      <c r="O2846">
        <v>-6.6959480000000002E-2</v>
      </c>
      <c r="P2846">
        <v>-0.98972300000000002</v>
      </c>
      <c r="Q2846">
        <v>0.1378925</v>
      </c>
      <c r="R2846">
        <v>-3.7868550000000001E-2</v>
      </c>
      <c r="S2846">
        <v>-3.0377350000000001</v>
      </c>
      <c r="T2846">
        <v>-4.7034380000000001E-2</v>
      </c>
      <c r="U2846">
        <v>1.4068600000000001E-2</v>
      </c>
      <c r="V2846">
        <v>2.8668659999999999E-2</v>
      </c>
      <c r="W2846">
        <v>0.14353289999999999</v>
      </c>
      <c r="X2846">
        <v>0.98923019999999995</v>
      </c>
      <c r="Y2846">
        <v>7.1565779999999996E-2</v>
      </c>
      <c r="Z2846">
        <v>1.4111690000000001E-3</v>
      </c>
      <c r="AA2846">
        <v>0.99743490000000001</v>
      </c>
      <c r="AB2846">
        <v>14</v>
      </c>
      <c r="AC2846">
        <v>-72.216899999999896</v>
      </c>
      <c r="AD2846">
        <v>-1.120238644998</v>
      </c>
      <c r="AE2846">
        <v>0.34299999999996</v>
      </c>
      <c r="AF2846">
        <v>5.1766702219467398</v>
      </c>
      <c r="AG2846">
        <v>-1.120238644998</v>
      </c>
      <c r="AH2846">
        <v>72.014522260306805</v>
      </c>
      <c r="AI2846">
        <v>90.888912644221307</v>
      </c>
      <c r="AJ2846">
        <v>85.888439557640197</v>
      </c>
      <c r="AK2846">
        <v>72.209031745265506</v>
      </c>
      <c r="AL2846">
        <v>81.747667993500997</v>
      </c>
      <c r="AM2846">
        <v>88.339988416734499</v>
      </c>
      <c r="AN2846">
        <v>0.999999987020322</v>
      </c>
    </row>
    <row r="2847" spans="1:40" x14ac:dyDescent="0.25">
      <c r="A2847" t="str">
        <f>"20190303161931574"</f>
        <v>20190303161931574</v>
      </c>
      <c r="B2847" t="str">
        <f>"1551601171564959"</f>
        <v>1551601171564959</v>
      </c>
      <c r="C2847" t="s">
        <v>40</v>
      </c>
      <c r="D2847">
        <v>4.4077510000000002</v>
      </c>
      <c r="E2847">
        <v>0.5175073</v>
      </c>
      <c r="F2847" t="s">
        <v>56</v>
      </c>
      <c r="G2847">
        <v>-295.97770000000003</v>
      </c>
      <c r="H2847" s="1">
        <v>3.3445610000000001E-6</v>
      </c>
      <c r="I2847">
        <v>283.71879999999999</v>
      </c>
      <c r="J2847">
        <v>-218.2122</v>
      </c>
      <c r="K2847">
        <v>1.1202399999999999</v>
      </c>
      <c r="L2847">
        <v>283.1474</v>
      </c>
      <c r="M2847">
        <v>-0.99781629999999999</v>
      </c>
      <c r="N2847">
        <v>-5.7226969999999997E-3</v>
      </c>
      <c r="O2847">
        <v>-6.5802659999999999E-2</v>
      </c>
      <c r="P2847">
        <v>-0.9896566</v>
      </c>
      <c r="Q2847">
        <v>0.13870639999999901</v>
      </c>
      <c r="R2847">
        <v>-3.6614500000000001E-2</v>
      </c>
      <c r="S2847">
        <v>-3.038071</v>
      </c>
      <c r="T2847">
        <v>-4.3686509999999998E-2</v>
      </c>
      <c r="U2847">
        <v>2.1972660000000001E-2</v>
      </c>
      <c r="V2847">
        <v>2.8768729999999999E-2</v>
      </c>
      <c r="W2847">
        <v>0.14433319999999999</v>
      </c>
      <c r="X2847">
        <v>0.98911079999999996</v>
      </c>
      <c r="Y2847">
        <v>7.300558E-2</v>
      </c>
      <c r="Z2847">
        <v>1.3027449999999999E-3</v>
      </c>
      <c r="AA2847">
        <v>0.99733070000000001</v>
      </c>
      <c r="AB2847">
        <v>14</v>
      </c>
      <c r="AC2847">
        <v>-77.765500000000003</v>
      </c>
      <c r="AD2847">
        <v>-1.120236655439</v>
      </c>
      <c r="AE2847">
        <v>0.57139999999998203</v>
      </c>
      <c r="AF2847">
        <v>5.6862419072252601</v>
      </c>
      <c r="AG2847">
        <v>-1.120236655439</v>
      </c>
      <c r="AH2847">
        <v>77.543259293373893</v>
      </c>
      <c r="AI2847">
        <v>90.825455714612701</v>
      </c>
      <c r="AJ2847">
        <v>85.806011068778901</v>
      </c>
      <c r="AK2847">
        <v>77.759535357608002</v>
      </c>
      <c r="AL2847">
        <v>81.701331336020303</v>
      </c>
      <c r="AM2847">
        <v>88.333996313890196</v>
      </c>
      <c r="AN2847">
        <v>0.99999994356234401</v>
      </c>
    </row>
    <row r="2848" spans="1:40" x14ac:dyDescent="0.25">
      <c r="A2848" t="str">
        <f>"20190303161931598"</f>
        <v>20190303161931598</v>
      </c>
      <c r="B2848" t="str">
        <f>"1551601171585455"</f>
        <v>1551601171585455</v>
      </c>
      <c r="C2848" t="s">
        <v>40</v>
      </c>
      <c r="D2848">
        <v>4.3979109999999997</v>
      </c>
      <c r="E2848">
        <v>0.51753839999999995</v>
      </c>
      <c r="F2848" t="s">
        <v>56</v>
      </c>
      <c r="G2848">
        <v>-297.34750000000003</v>
      </c>
      <c r="H2848" s="1">
        <v>3.5764819999999999E-6</v>
      </c>
      <c r="I2848">
        <v>283.84519999999998</v>
      </c>
      <c r="J2848">
        <v>-218.35499999999999</v>
      </c>
      <c r="K2848">
        <v>1.120234</v>
      </c>
      <c r="L2848">
        <v>283.13929999999999</v>
      </c>
      <c r="M2848">
        <v>-0.99789499999999998</v>
      </c>
      <c r="N2848">
        <v>-5.7104349999999998E-3</v>
      </c>
      <c r="O2848">
        <v>-6.4599450000000003E-2</v>
      </c>
      <c r="P2848">
        <v>-0.98959540000000001</v>
      </c>
      <c r="Q2848">
        <v>0.13919870000000001</v>
      </c>
      <c r="R2848">
        <v>-3.6396709999999999E-2</v>
      </c>
      <c r="S2848">
        <v>-3.038376</v>
      </c>
      <c r="T2848">
        <v>-4.3011189999999998E-2</v>
      </c>
      <c r="U2848">
        <v>2.6794430000000001E-2</v>
      </c>
      <c r="V2848">
        <v>2.7789709999999999E-2</v>
      </c>
      <c r="W2848">
        <v>0.144814</v>
      </c>
      <c r="X2848">
        <v>0.98906859999999996</v>
      </c>
      <c r="Y2848">
        <v>7.3385270000000002E-2</v>
      </c>
      <c r="Z2848">
        <v>1.273885E-3</v>
      </c>
      <c r="AA2848">
        <v>0.99730280000000004</v>
      </c>
      <c r="AB2848">
        <v>14</v>
      </c>
      <c r="AC2848">
        <v>-78.992500000000007</v>
      </c>
      <c r="AD2848">
        <v>-1.1202304235179901</v>
      </c>
      <c r="AE2848">
        <v>0.70589999999998498</v>
      </c>
      <c r="AF2848">
        <v>5.8062128280112297</v>
      </c>
      <c r="AG2848">
        <v>-1.1202304235179901</v>
      </c>
      <c r="AH2848">
        <v>78.7660597474176</v>
      </c>
      <c r="AI2848">
        <v>90.812615314214199</v>
      </c>
      <c r="AJ2848">
        <v>85.784086627343299</v>
      </c>
      <c r="AK2848">
        <v>78.987715448287901</v>
      </c>
      <c r="AL2848">
        <v>81.673491751327106</v>
      </c>
      <c r="AM2848">
        <v>88.390592615926806</v>
      </c>
      <c r="AN2848">
        <v>1.00000002904192</v>
      </c>
    </row>
    <row r="2849" spans="1:40" x14ac:dyDescent="0.25">
      <c r="A2849" t="str">
        <f>"20190303161931620"</f>
        <v>20190303161931620</v>
      </c>
      <c r="B2849" t="str">
        <f>"1551601171604975"</f>
        <v>1551601171604975</v>
      </c>
      <c r="C2849" t="s">
        <v>40</v>
      </c>
      <c r="D2849">
        <v>4.3754140000000001</v>
      </c>
      <c r="E2849">
        <v>0.51759270000000002</v>
      </c>
      <c r="F2849" t="s">
        <v>56</v>
      </c>
      <c r="G2849">
        <v>-298.5378</v>
      </c>
      <c r="H2849" s="1">
        <v>3.7851259999999998E-6</v>
      </c>
      <c r="I2849">
        <v>283.87380000000002</v>
      </c>
      <c r="J2849">
        <v>-218.49860000000001</v>
      </c>
      <c r="K2849">
        <v>1.1202240000000001</v>
      </c>
      <c r="L2849">
        <v>283.13139999999999</v>
      </c>
      <c r="M2849">
        <v>-0.99797369999999996</v>
      </c>
      <c r="N2849">
        <v>-5.6991339999999998E-3</v>
      </c>
      <c r="O2849">
        <v>-6.3373689999999996E-2</v>
      </c>
      <c r="P2849">
        <v>-0.9895661</v>
      </c>
      <c r="Q2849">
        <v>0.139297</v>
      </c>
      <c r="R2849">
        <v>-3.6819570000000003E-2</v>
      </c>
      <c r="S2849">
        <v>-3.0385279999999999</v>
      </c>
      <c r="T2849">
        <v>-4.2451139999999998E-2</v>
      </c>
      <c r="U2849">
        <v>2.7832030000000001E-2</v>
      </c>
      <c r="V2849">
        <v>2.6152660000000001E-2</v>
      </c>
      <c r="W2849">
        <v>0.14490320000000001</v>
      </c>
      <c r="X2849">
        <v>0.98910019999999998</v>
      </c>
      <c r="Y2849">
        <v>7.250086E-2</v>
      </c>
      <c r="Z2849">
        <v>1.2366670000000001E-3</v>
      </c>
      <c r="AA2849">
        <v>0.99736760000000002</v>
      </c>
      <c r="AB2849">
        <v>14</v>
      </c>
      <c r="AC2849">
        <v>-80.039199999999994</v>
      </c>
      <c r="AD2849">
        <v>-1.1202202148739999</v>
      </c>
      <c r="AE2849">
        <v>0.74240000000003104</v>
      </c>
      <c r="AF2849">
        <v>5.8122304903857698</v>
      </c>
      <c r="AG2849">
        <v>-1.1202202148739999</v>
      </c>
      <c r="AH2849">
        <v>79.815622666590997</v>
      </c>
      <c r="AI2849">
        <v>90.801975886076605</v>
      </c>
      <c r="AJ2849">
        <v>85.835032220684795</v>
      </c>
      <c r="AK2849">
        <v>80.034808291510302</v>
      </c>
      <c r="AL2849">
        <v>81.668326681930907</v>
      </c>
      <c r="AM2849">
        <v>88.485403205726399</v>
      </c>
      <c r="AN2849">
        <v>1.00000005231767</v>
      </c>
    </row>
    <row r="2850" spans="1:40" x14ac:dyDescent="0.25">
      <c r="A2850" t="str">
        <f>"20190303161931642"</f>
        <v>20190303161931642</v>
      </c>
      <c r="B2850" t="str">
        <f>"1551601171635232"</f>
        <v>1551601171635232</v>
      </c>
      <c r="C2850" t="s">
        <v>40</v>
      </c>
      <c r="D2850">
        <v>4.4417350000000004</v>
      </c>
      <c r="E2850">
        <v>0.51768019999999904</v>
      </c>
      <c r="F2850" t="s">
        <v>56</v>
      </c>
      <c r="G2850">
        <v>-295.15969999999999</v>
      </c>
      <c r="H2850" s="1">
        <v>3.1911860000000001E-6</v>
      </c>
      <c r="I2850">
        <v>283.81349999999998</v>
      </c>
      <c r="J2850">
        <v>-218.6369</v>
      </c>
      <c r="K2850">
        <v>1.1202129999999999</v>
      </c>
      <c r="L2850">
        <v>283.12400000000002</v>
      </c>
      <c r="M2850">
        <v>-0.99804930000000003</v>
      </c>
      <c r="N2850">
        <v>-5.6892419999999997E-3</v>
      </c>
      <c r="O2850">
        <v>-6.2173060000000002E-2</v>
      </c>
      <c r="P2850">
        <v>-0.98941429999999997</v>
      </c>
      <c r="Q2850">
        <v>0.14008770000000001</v>
      </c>
      <c r="R2850">
        <v>-3.7883710000000001E-2</v>
      </c>
      <c r="S2850">
        <v>-3.0388790000000001</v>
      </c>
      <c r="T2850">
        <v>-4.4406059999999997E-2</v>
      </c>
      <c r="U2850">
        <v>2.7038570000000001E-2</v>
      </c>
      <c r="V2850">
        <v>2.3895530000000002E-2</v>
      </c>
      <c r="W2850">
        <v>0.14568629999999999</v>
      </c>
      <c r="X2850">
        <v>0.98904219999999998</v>
      </c>
      <c r="Y2850">
        <v>7.1038569999999995E-2</v>
      </c>
      <c r="Z2850">
        <v>1.2753109999999999E-3</v>
      </c>
      <c r="AA2850">
        <v>0.99747280000000005</v>
      </c>
      <c r="AB2850">
        <v>14</v>
      </c>
      <c r="AC2850">
        <v>-76.522799999999904</v>
      </c>
      <c r="AD2850">
        <v>-1.120209808814</v>
      </c>
      <c r="AE2850">
        <v>0.68949999999995204</v>
      </c>
      <c r="AF2850">
        <v>5.4447323525193001</v>
      </c>
      <c r="AG2850">
        <v>-1.120209808814</v>
      </c>
      <c r="AH2850">
        <v>76.315531093732005</v>
      </c>
      <c r="AI2850">
        <v>90.838833066967496</v>
      </c>
      <c r="AJ2850">
        <v>85.919146644815299</v>
      </c>
      <c r="AK2850">
        <v>76.517712109842407</v>
      </c>
      <c r="AL2850">
        <v>81.622976549992998</v>
      </c>
      <c r="AM2850">
        <v>88.615987549220407</v>
      </c>
      <c r="AN2850">
        <v>0.99999998387125499</v>
      </c>
    </row>
    <row r="2851" spans="1:40" x14ac:dyDescent="0.25">
      <c r="A2851" t="str">
        <f>"20190303161931663"</f>
        <v>20190303161931663</v>
      </c>
      <c r="B2851" t="str">
        <f>"1551601171655728"</f>
        <v>1551601171655728</v>
      </c>
      <c r="C2851" t="s">
        <v>40</v>
      </c>
      <c r="D2851">
        <v>4.4498879999999996</v>
      </c>
      <c r="E2851">
        <v>0.51771889999999998</v>
      </c>
      <c r="F2851" t="s">
        <v>56</v>
      </c>
      <c r="G2851">
        <v>-293.60359999999997</v>
      </c>
      <c r="H2851" s="1">
        <v>2.921083E-6</v>
      </c>
      <c r="I2851">
        <v>283.7457</v>
      </c>
      <c r="J2851">
        <v>-218.77520000000001</v>
      </c>
      <c r="K2851">
        <v>1.1202000000000001</v>
      </c>
      <c r="L2851">
        <v>283.11680000000001</v>
      </c>
      <c r="M2851">
        <v>-0.99812509999999999</v>
      </c>
      <c r="N2851">
        <v>-5.6804109999999998E-3</v>
      </c>
      <c r="O2851">
        <v>-6.0945930000000002E-2</v>
      </c>
      <c r="P2851">
        <v>-0.98921159999999997</v>
      </c>
      <c r="Q2851">
        <v>0.1412736</v>
      </c>
      <c r="R2851">
        <v>-3.8767120000000002E-2</v>
      </c>
      <c r="S2851">
        <v>-3.0394899999999998</v>
      </c>
      <c r="T2851">
        <v>-4.5418380000000001E-2</v>
      </c>
      <c r="U2851">
        <v>2.5207520000000001E-2</v>
      </c>
      <c r="V2851">
        <v>2.1792820000000001E-2</v>
      </c>
      <c r="W2851">
        <v>0.1468642</v>
      </c>
      <c r="X2851">
        <v>0.98891660000000003</v>
      </c>
      <c r="Y2851">
        <v>6.920917E-2</v>
      </c>
      <c r="Z2851">
        <v>1.2775849999999999E-3</v>
      </c>
      <c r="AA2851">
        <v>0.99760130000000002</v>
      </c>
      <c r="AB2851">
        <v>14</v>
      </c>
      <c r="AC2851">
        <v>-74.828399999999903</v>
      </c>
      <c r="AD2851">
        <v>-1.1201970789169999</v>
      </c>
      <c r="AE2851">
        <v>0.62889999999998702</v>
      </c>
      <c r="AF2851">
        <v>5.1871276106433601</v>
      </c>
      <c r="AG2851">
        <v>-1.1201970789169999</v>
      </c>
      <c r="AH2851">
        <v>74.634240327582901</v>
      </c>
      <c r="AI2851">
        <v>90.857827826538497</v>
      </c>
      <c r="AJ2851">
        <v>86.024299647986794</v>
      </c>
      <c r="AK2851">
        <v>74.822663435753995</v>
      </c>
      <c r="AL2851">
        <v>81.554754440710994</v>
      </c>
      <c r="AM2851">
        <v>88.737573479411694</v>
      </c>
      <c r="AN2851">
        <v>1.00000003100037</v>
      </c>
    </row>
    <row r="2852" spans="1:40" x14ac:dyDescent="0.25">
      <c r="A2852" t="str">
        <f>"20190303161931686"</f>
        <v>20190303161931686</v>
      </c>
      <c r="B2852" t="str">
        <f>"1551601171675247"</f>
        <v>1551601171675247</v>
      </c>
      <c r="C2852" t="s">
        <v>40</v>
      </c>
      <c r="D2852">
        <v>4.4526279999999998</v>
      </c>
      <c r="E2852">
        <v>0.51776540000000004</v>
      </c>
      <c r="F2852" t="s">
        <v>56</v>
      </c>
      <c r="G2852">
        <v>-297.35730000000001</v>
      </c>
      <c r="H2852" s="1">
        <v>3.5888699999999899E-6</v>
      </c>
      <c r="I2852">
        <v>283.72340000000003</v>
      </c>
      <c r="J2852">
        <v>-218.923</v>
      </c>
      <c r="K2852">
        <v>1.120174</v>
      </c>
      <c r="L2852">
        <v>283.10930000000002</v>
      </c>
      <c r="M2852">
        <v>-0.99820660000000005</v>
      </c>
      <c r="N2852">
        <v>-5.6720939999999999E-3</v>
      </c>
      <c r="O2852">
        <v>-5.9596690000000001E-2</v>
      </c>
      <c r="P2852">
        <v>-0.98886669999999999</v>
      </c>
      <c r="Q2852">
        <v>0.143479</v>
      </c>
      <c r="R2852">
        <v>-3.9452389999999997E-2</v>
      </c>
      <c r="S2852">
        <v>-3.0398100000000001</v>
      </c>
      <c r="T2852">
        <v>-4.3332820000000001E-2</v>
      </c>
      <c r="U2852">
        <v>2.3468019999999999E-2</v>
      </c>
      <c r="V2852">
        <v>1.9763010000000001E-2</v>
      </c>
      <c r="W2852">
        <v>0.1490609</v>
      </c>
      <c r="X2852">
        <v>0.98863049999999997</v>
      </c>
      <c r="Y2852">
        <v>6.7290390000000005E-2</v>
      </c>
      <c r="Z2852">
        <v>1.1814569999999999E-3</v>
      </c>
      <c r="AA2852">
        <v>0.99773279999999998</v>
      </c>
      <c r="AB2852">
        <v>14</v>
      </c>
      <c r="AC2852">
        <v>-78.434299999999993</v>
      </c>
      <c r="AD2852">
        <v>-1.1201704111299999</v>
      </c>
      <c r="AE2852">
        <v>0.61410000000000697</v>
      </c>
      <c r="AF2852">
        <v>5.2864292741533498</v>
      </c>
      <c r="AG2852">
        <v>-1.1201704111299999</v>
      </c>
      <c r="AH2852">
        <v>78.242324894325506</v>
      </c>
      <c r="AI2852">
        <v>90.818363828125499</v>
      </c>
      <c r="AJ2852">
        <v>86.134695045784099</v>
      </c>
      <c r="AK2852">
        <v>78.428709801257</v>
      </c>
      <c r="AL2852">
        <v>81.427491702336198</v>
      </c>
      <c r="AM2852">
        <v>88.854793304551805</v>
      </c>
      <c r="AN2852">
        <v>0.99999999700165998</v>
      </c>
    </row>
    <row r="2853" spans="1:40" x14ac:dyDescent="0.25">
      <c r="A2853" t="str">
        <f>"20190303161931707"</f>
        <v>20190303161931707</v>
      </c>
      <c r="B2853" t="str">
        <f>"1551601171695744"</f>
        <v>1551601171695744</v>
      </c>
      <c r="C2853" t="s">
        <v>40</v>
      </c>
      <c r="D2853">
        <v>4.4679789999999997</v>
      </c>
      <c r="E2853">
        <v>0.51778729999999995</v>
      </c>
      <c r="F2853" t="s">
        <v>56</v>
      </c>
      <c r="G2853">
        <v>-306.34629999999999</v>
      </c>
      <c r="H2853" s="1">
        <v>2.9156929999999999E-6</v>
      </c>
      <c r="I2853">
        <v>283.73759999999999</v>
      </c>
      <c r="J2853">
        <v>-219.06270000000001</v>
      </c>
      <c r="K2853">
        <v>1.120155</v>
      </c>
      <c r="L2853">
        <v>283.10250000000002</v>
      </c>
      <c r="M2853">
        <v>-0.99828419999999896</v>
      </c>
      <c r="N2853">
        <v>-5.665565E-3</v>
      </c>
      <c r="O2853">
        <v>-5.8280459999999999E-2</v>
      </c>
      <c r="P2853">
        <v>-0.98853449999999998</v>
      </c>
      <c r="Q2853">
        <v>0.14561550000000001</v>
      </c>
      <c r="R2853">
        <v>-3.9948129999999998E-2</v>
      </c>
      <c r="S2853">
        <v>-3.0402979999999999</v>
      </c>
      <c r="T2853">
        <v>-3.895593E-2</v>
      </c>
      <c r="U2853">
        <v>2.185059E-2</v>
      </c>
      <c r="V2853">
        <v>1.7958269999999998E-2</v>
      </c>
      <c r="W2853">
        <v>0.151191299999999</v>
      </c>
      <c r="X2853">
        <v>0.98834140000000004</v>
      </c>
      <c r="Y2853">
        <v>6.5445249999999996E-2</v>
      </c>
      <c r="Z2853">
        <v>1.0208000000000001E-3</v>
      </c>
      <c r="AA2853">
        <v>0.99785570000000001</v>
      </c>
      <c r="AB2853">
        <v>14</v>
      </c>
      <c r="AC2853">
        <v>-87.283599999999893</v>
      </c>
      <c r="AD2853">
        <v>-1.1201520843070001</v>
      </c>
      <c r="AE2853">
        <v>0.63509999999996503</v>
      </c>
      <c r="AF2853">
        <v>5.7200882789966299</v>
      </c>
      <c r="AG2853">
        <v>-1.1201520843070001</v>
      </c>
      <c r="AH2853">
        <v>87.083878585292496</v>
      </c>
      <c r="AI2853">
        <v>90.735365324763094</v>
      </c>
      <c r="AJ2853">
        <v>86.241935949250802</v>
      </c>
      <c r="AK2853">
        <v>87.278726274330197</v>
      </c>
      <c r="AL2853">
        <v>81.304029698408101</v>
      </c>
      <c r="AM2853">
        <v>88.959044045177393</v>
      </c>
      <c r="AN2853">
        <v>1.00000001580552</v>
      </c>
    </row>
    <row r="2854" spans="1:40" x14ac:dyDescent="0.25">
      <c r="A2854" t="str">
        <f>"20190303161931730"</f>
        <v>20190303161931730</v>
      </c>
      <c r="B2854" t="str">
        <f>"1551601171725999"</f>
        <v>1551601171725999</v>
      </c>
      <c r="C2854" t="s">
        <v>40</v>
      </c>
      <c r="D2854">
        <v>4.4815259999999997</v>
      </c>
      <c r="E2854">
        <v>0.51783259999999998</v>
      </c>
      <c r="F2854" t="s">
        <v>56</v>
      </c>
      <c r="G2854">
        <v>-319.06670000000003</v>
      </c>
      <c r="H2854" s="1">
        <v>6.3090710000000001E-6</v>
      </c>
      <c r="I2854">
        <v>283.80009999999999</v>
      </c>
      <c r="J2854">
        <v>-219.2133</v>
      </c>
      <c r="K2854">
        <v>1.1201270000000001</v>
      </c>
      <c r="L2854">
        <v>283.09539999999998</v>
      </c>
      <c r="M2854">
        <v>-0.99836829999999999</v>
      </c>
      <c r="N2854">
        <v>-5.6595990000000004E-3</v>
      </c>
      <c r="O2854">
        <v>-5.6822980000000002E-2</v>
      </c>
      <c r="P2854">
        <v>-0.98834719999999998</v>
      </c>
      <c r="Q2854">
        <v>0.14687529999999999</v>
      </c>
      <c r="R2854">
        <v>-3.9971760000000002E-2</v>
      </c>
      <c r="S2854">
        <v>-3.0406650000000002</v>
      </c>
      <c r="T2854">
        <v>-3.4058570000000003E-2</v>
      </c>
      <c r="U2854">
        <v>2.1209720000000001E-2</v>
      </c>
      <c r="V2854">
        <v>1.6493000000000001E-2</v>
      </c>
      <c r="W2854">
        <v>0.15244449999999901</v>
      </c>
      <c r="X2854">
        <v>0.98817440000000001</v>
      </c>
      <c r="Y2854">
        <v>6.3779530000000001E-2</v>
      </c>
      <c r="Z2854">
        <v>8.5219739999999999E-4</v>
      </c>
      <c r="AA2854">
        <v>0.99796370000000001</v>
      </c>
      <c r="AB2854">
        <v>15</v>
      </c>
      <c r="AC2854">
        <v>-99.853399999999993</v>
      </c>
      <c r="AD2854">
        <v>-1.120120690929</v>
      </c>
      <c r="AE2854">
        <v>0.70470000000000199</v>
      </c>
      <c r="AF2854">
        <v>6.3768171815402397</v>
      </c>
      <c r="AG2854">
        <v>-1.120120690929</v>
      </c>
      <c r="AH2854">
        <v>99.639477262291507</v>
      </c>
      <c r="AI2854">
        <v>90.642762015967705</v>
      </c>
      <c r="AJ2854">
        <v>86.338127055196495</v>
      </c>
      <c r="AK2854">
        <v>99.849606392973598</v>
      </c>
      <c r="AL2854">
        <v>81.231384369655103</v>
      </c>
      <c r="AM2854">
        <v>89.0438008118863</v>
      </c>
      <c r="AN2854">
        <v>0.99999999472230405</v>
      </c>
    </row>
    <row r="2855" spans="1:40" x14ac:dyDescent="0.25">
      <c r="A2855" t="str">
        <f>"20190303161931752"</f>
        <v>20190303161931752</v>
      </c>
      <c r="B2855" t="str">
        <f>"1551601171745520"</f>
        <v>1551601171745520</v>
      </c>
      <c r="C2855" t="s">
        <v>40</v>
      </c>
      <c r="D2855">
        <v>4.4717589999999996</v>
      </c>
      <c r="E2855">
        <v>0.51783380000000001</v>
      </c>
      <c r="F2855" t="s">
        <v>52</v>
      </c>
      <c r="G2855">
        <v>-320.27179999999998</v>
      </c>
      <c r="H2855" s="1">
        <v>-1.356445E-6</v>
      </c>
      <c r="I2855">
        <v>283.79919999999998</v>
      </c>
      <c r="J2855">
        <v>-219.35839999999999</v>
      </c>
      <c r="K2855">
        <v>1.1201080000000001</v>
      </c>
      <c r="L2855">
        <v>283.08879999999999</v>
      </c>
      <c r="M2855">
        <v>-0.99844900000000003</v>
      </c>
      <c r="N2855">
        <v>-5.6546139999999996E-3</v>
      </c>
      <c r="O2855">
        <v>-5.538651E-2</v>
      </c>
      <c r="P2855">
        <v>-0.98830600000000002</v>
      </c>
      <c r="Q2855">
        <v>0.14744760000000001</v>
      </c>
      <c r="R2855">
        <v>-3.8865719999999999E-2</v>
      </c>
      <c r="S2855">
        <v>-3.041245</v>
      </c>
      <c r="T2855">
        <v>-3.3709049999999997E-2</v>
      </c>
      <c r="U2855">
        <v>2.1179199999999999E-2</v>
      </c>
      <c r="V2855">
        <v>1.6182289999999998E-2</v>
      </c>
      <c r="W2855">
        <v>0.15301139999999999</v>
      </c>
      <c r="X2855">
        <v>0.98809190000000002</v>
      </c>
      <c r="Y2855">
        <v>6.2332600000000002E-2</v>
      </c>
      <c r="Z2855">
        <v>8.2205769999999997E-4</v>
      </c>
      <c r="AA2855">
        <v>0.99805509999999997</v>
      </c>
      <c r="AB2855">
        <v>15</v>
      </c>
      <c r="AC2855">
        <v>-100.9134</v>
      </c>
      <c r="AD2855">
        <v>-1.120109356445</v>
      </c>
      <c r="AE2855">
        <v>0.71039999999999204</v>
      </c>
      <c r="AF2855">
        <v>6.2978638823358004</v>
      </c>
      <c r="AG2855">
        <v>-1.120109356445</v>
      </c>
      <c r="AH2855">
        <v>100.706737867581</v>
      </c>
      <c r="AI2855">
        <v>90.636002935556405</v>
      </c>
      <c r="AJ2855">
        <v>86.421572854056905</v>
      </c>
      <c r="AK2855">
        <v>100.909686286206</v>
      </c>
      <c r="AL2855">
        <v>81.198517670001493</v>
      </c>
      <c r="AM2855">
        <v>89.061732984028794</v>
      </c>
      <c r="AN2855">
        <v>0.99999997894260695</v>
      </c>
    </row>
    <row r="2856" spans="1:40" x14ac:dyDescent="0.25">
      <c r="A2856" t="str">
        <f>"20190303161931775"</f>
        <v>20190303161931775</v>
      </c>
      <c r="B2856" t="str">
        <f>"1551601171765546"</f>
        <v>1551601171765546</v>
      </c>
      <c r="C2856" t="s">
        <v>40</v>
      </c>
      <c r="D2856">
        <v>4.5021469999999999</v>
      </c>
      <c r="E2856">
        <v>0.51903169999999998</v>
      </c>
      <c r="F2856" t="s">
        <v>56</v>
      </c>
      <c r="G2856">
        <v>-319.75880000000001</v>
      </c>
      <c r="H2856" s="1">
        <v>6.6077829999999998E-6</v>
      </c>
      <c r="I2856">
        <v>283.89370000000002</v>
      </c>
      <c r="J2856">
        <v>-219.5094</v>
      </c>
      <c r="K2856">
        <v>1.120085</v>
      </c>
      <c r="L2856">
        <v>283.0822</v>
      </c>
      <c r="M2856">
        <v>-0.99853270000000005</v>
      </c>
      <c r="N2856">
        <v>-5.650268E-3</v>
      </c>
      <c r="O2856">
        <v>-5.385707E-2</v>
      </c>
      <c r="P2856">
        <v>-0.98839030000000005</v>
      </c>
      <c r="Q2856">
        <v>0.14731929999999999</v>
      </c>
      <c r="R2856">
        <v>-3.7169819999999999E-2</v>
      </c>
      <c r="S2856">
        <v>-3.0415190000000001</v>
      </c>
      <c r="T2856">
        <v>-3.3932209999999997E-2</v>
      </c>
      <c r="U2856">
        <v>2.4383539999999999E-2</v>
      </c>
      <c r="V2856">
        <v>1.637303E-2</v>
      </c>
      <c r="W2856">
        <v>0.1528775</v>
      </c>
      <c r="X2856">
        <v>0.98810949999999997</v>
      </c>
      <c r="Y2856">
        <v>6.1854600000000003E-2</v>
      </c>
      <c r="Z2856">
        <v>8.1601869999999997E-4</v>
      </c>
      <c r="AA2856">
        <v>0.99808479999999999</v>
      </c>
      <c r="AB2856">
        <v>15</v>
      </c>
      <c r="AC2856">
        <v>-100.24939999999999</v>
      </c>
      <c r="AD2856">
        <v>-1.1200783922169999</v>
      </c>
      <c r="AE2856">
        <v>0.81150000000002298</v>
      </c>
      <c r="AF2856">
        <v>6.2087721518552001</v>
      </c>
      <c r="AG2856">
        <v>-1.1200783922169999</v>
      </c>
      <c r="AH2856">
        <v>100.047704618843</v>
      </c>
      <c r="AI2856">
        <v>90.640193374420093</v>
      </c>
      <c r="AJ2856">
        <v>86.448885838359004</v>
      </c>
      <c r="AK2856">
        <v>100.24642949620601</v>
      </c>
      <c r="AL2856">
        <v>81.206281054034406</v>
      </c>
      <c r="AM2856">
        <v>89.050692586752405</v>
      </c>
      <c r="AN2856">
        <v>0.99999999505393999</v>
      </c>
    </row>
    <row r="2857" spans="1:40" x14ac:dyDescent="0.25">
      <c r="A2857" t="str">
        <f>"20190303161931797"</f>
        <v>20190303161931797</v>
      </c>
      <c r="B2857" t="str">
        <f>"1551601171786055"</f>
        <v>1551601171786055</v>
      </c>
      <c r="C2857" t="s">
        <v>40</v>
      </c>
      <c r="D2857">
        <v>4.5184860000000002</v>
      </c>
      <c r="E2857">
        <v>0.51896319999999996</v>
      </c>
      <c r="F2857" t="s">
        <v>52</v>
      </c>
      <c r="G2857">
        <v>-252.6765</v>
      </c>
      <c r="H2857" s="1">
        <v>-1.1246619999999999E-7</v>
      </c>
      <c r="I2857">
        <v>283.50380000000001</v>
      </c>
      <c r="J2857">
        <v>-219.66059999999999</v>
      </c>
      <c r="K2857">
        <v>1.1200650000000001</v>
      </c>
      <c r="L2857">
        <v>283.07589999999999</v>
      </c>
      <c r="M2857">
        <v>-0.9986157</v>
      </c>
      <c r="N2857">
        <v>-5.6466719999999897E-3</v>
      </c>
      <c r="O2857">
        <v>-5.2298699999999997E-2</v>
      </c>
      <c r="P2857">
        <v>-0.98852609999999996</v>
      </c>
      <c r="Q2857">
        <v>0.14691940000000001</v>
      </c>
      <c r="R2857">
        <v>-3.5085560000000002E-2</v>
      </c>
      <c r="S2857">
        <v>-3.052063</v>
      </c>
      <c r="T2857">
        <v>-0.103071</v>
      </c>
      <c r="U2857">
        <v>3.8787839999999997E-2</v>
      </c>
      <c r="V2857">
        <v>1.6923230000000001E-2</v>
      </c>
      <c r="W2857">
        <v>0.15247279999999999</v>
      </c>
      <c r="X2857">
        <v>0.98816280000000001</v>
      </c>
      <c r="Y2857">
        <v>6.4921759999999995E-2</v>
      </c>
      <c r="Z2857">
        <v>2.7490750000000001E-3</v>
      </c>
      <c r="AA2857">
        <v>0.99788659999999996</v>
      </c>
      <c r="AB2857">
        <v>15</v>
      </c>
      <c r="AC2857">
        <v>-33.015900000000002</v>
      </c>
      <c r="AD2857">
        <v>-1.12006511246619</v>
      </c>
      <c r="AE2857">
        <v>0.42790000000002198</v>
      </c>
      <c r="AF2857">
        <v>2.1515544422261299</v>
      </c>
      <c r="AG2857">
        <v>-1.12006511246619</v>
      </c>
      <c r="AH2857">
        <v>32.9104663781022</v>
      </c>
      <c r="AI2857">
        <v>91.9450862715928</v>
      </c>
      <c r="AJ2857">
        <v>86.259554334036594</v>
      </c>
      <c r="AK2857">
        <v>32.999735295881102</v>
      </c>
      <c r="AL2857">
        <v>81.229744074599793</v>
      </c>
      <c r="AM2857">
        <v>89.018851069373</v>
      </c>
      <c r="AN2857">
        <v>1.00000003487865</v>
      </c>
    </row>
    <row r="2858" spans="1:40" x14ac:dyDescent="0.25">
      <c r="A2858" t="str">
        <f>"20190303161931821"</f>
        <v>20190303161931821</v>
      </c>
      <c r="B2858" t="str">
        <f>"1551601171805563"</f>
        <v>1551601171805563</v>
      </c>
      <c r="C2858" t="s">
        <v>40</v>
      </c>
      <c r="D2858">
        <v>4.5219139999999998</v>
      </c>
      <c r="E2858">
        <v>0.51906179999999902</v>
      </c>
      <c r="F2858" t="s">
        <v>52</v>
      </c>
      <c r="G2858">
        <v>-252.739</v>
      </c>
      <c r="H2858" s="1">
        <v>-7.9252060000000006E-8</v>
      </c>
      <c r="I2858">
        <v>283.55549999999999</v>
      </c>
      <c r="J2858">
        <v>-219.81870000000001</v>
      </c>
      <c r="K2858">
        <v>1.1200490000000001</v>
      </c>
      <c r="L2858">
        <v>283.06950000000001</v>
      </c>
      <c r="M2858">
        <v>-0.9987007</v>
      </c>
      <c r="N2858">
        <v>-5.6436450000000001E-3</v>
      </c>
      <c r="O2858">
        <v>-5.0648800000000001E-2</v>
      </c>
      <c r="P2858">
        <v>-0.98866889999999996</v>
      </c>
      <c r="Q2858">
        <v>0.1466172</v>
      </c>
      <c r="R2858">
        <v>-3.221044E-2</v>
      </c>
      <c r="S2858">
        <v>-3.0517430000000001</v>
      </c>
      <c r="T2858">
        <v>-0.1033348</v>
      </c>
      <c r="U2858">
        <v>4.4250490000000003E-2</v>
      </c>
      <c r="V2858">
        <v>1.8171300000000001E-2</v>
      </c>
      <c r="W2858">
        <v>0.15216499999999999</v>
      </c>
      <c r="X2858">
        <v>0.98818799999999996</v>
      </c>
      <c r="Y2858">
        <v>6.5060580000000007E-2</v>
      </c>
      <c r="Z2858">
        <v>2.7130050000000001E-3</v>
      </c>
      <c r="AA2858">
        <v>0.99787769999999998</v>
      </c>
      <c r="AB2858">
        <v>15</v>
      </c>
      <c r="AC2858">
        <v>-32.920299999999997</v>
      </c>
      <c r="AD2858">
        <v>-1.1200490792520601</v>
      </c>
      <c r="AE2858">
        <v>0.48599999999999</v>
      </c>
      <c r="AF2858">
        <v>2.15028769467671</v>
      </c>
      <c r="AG2858">
        <v>-1.1200490792520601</v>
      </c>
      <c r="AH2858">
        <v>32.815452761185099</v>
      </c>
      <c r="AI2858">
        <v>91.9506666710693</v>
      </c>
      <c r="AJ2858">
        <v>86.250957433100197</v>
      </c>
      <c r="AK2858">
        <v>32.9048960951312</v>
      </c>
      <c r="AL2858">
        <v>81.247587208678596</v>
      </c>
      <c r="AM2858">
        <v>88.946534998558406</v>
      </c>
      <c r="AN2858">
        <v>0.99999995335634295</v>
      </c>
    </row>
    <row r="2859" spans="1:40" x14ac:dyDescent="0.25">
      <c r="A2859" t="str">
        <f>"20190303161931842"</f>
        <v>20190303161931842</v>
      </c>
      <c r="B2859" t="str">
        <f>"1551601171835819"</f>
        <v>1551601171835819</v>
      </c>
      <c r="C2859" t="s">
        <v>40</v>
      </c>
      <c r="D2859">
        <v>4.5308820000000001</v>
      </c>
      <c r="E2859">
        <v>0.51452690000000001</v>
      </c>
      <c r="F2859" t="s">
        <v>52</v>
      </c>
      <c r="G2859">
        <v>-250.74590000000001</v>
      </c>
      <c r="H2859" s="1">
        <v>-1.139844E-6</v>
      </c>
      <c r="I2859">
        <v>283.60820000000001</v>
      </c>
      <c r="J2859">
        <v>-219.9693</v>
      </c>
      <c r="K2859">
        <v>1.1200369999999999</v>
      </c>
      <c r="L2859">
        <v>283.06369999999998</v>
      </c>
      <c r="M2859">
        <v>-0.99877969999999905</v>
      </c>
      <c r="N2859">
        <v>-5.6413990000000001E-3</v>
      </c>
      <c r="O2859">
        <v>-4.9067470000000002E-2</v>
      </c>
      <c r="P2859">
        <v>-0.98873109999999997</v>
      </c>
      <c r="Q2859">
        <v>0.1467309</v>
      </c>
      <c r="R2859">
        <v>-2.9683330000000001E-2</v>
      </c>
      <c r="S2859">
        <v>-3.052505</v>
      </c>
      <c r="T2859">
        <v>-0.1105484</v>
      </c>
      <c r="U2859">
        <v>5.316162E-2</v>
      </c>
      <c r="V2859">
        <v>1.9134869999999998E-2</v>
      </c>
      <c r="W2859">
        <v>0.1522743</v>
      </c>
      <c r="X2859">
        <v>0.98815299999999995</v>
      </c>
      <c r="Y2859">
        <v>6.6379720000000003E-2</v>
      </c>
      <c r="Z2859">
        <v>2.888009E-3</v>
      </c>
      <c r="AA2859">
        <v>0.99779030000000002</v>
      </c>
      <c r="AB2859">
        <v>15</v>
      </c>
      <c r="AC2859">
        <v>-30.776599999999998</v>
      </c>
      <c r="AD2859">
        <v>-1.120038139844</v>
      </c>
      <c r="AE2859">
        <v>0.54450000000002696</v>
      </c>
      <c r="AF2859">
        <v>2.0512818886884201</v>
      </c>
      <c r="AG2859">
        <v>-1.120038139844</v>
      </c>
      <c r="AH2859">
        <v>30.672199686248899</v>
      </c>
      <c r="AI2859">
        <v>92.086649020598202</v>
      </c>
      <c r="AJ2859">
        <v>86.173895476525502</v>
      </c>
      <c r="AK2859">
        <v>30.761113055523399</v>
      </c>
      <c r="AL2859">
        <v>81.241251163578596</v>
      </c>
      <c r="AM2859">
        <v>88.890647208505001</v>
      </c>
      <c r="AN2859">
        <v>0.99999997854970302</v>
      </c>
    </row>
    <row r="2860" spans="1:40" x14ac:dyDescent="0.25">
      <c r="A2860" t="str">
        <f>"20190303161931864"</f>
        <v>20190303161931864</v>
      </c>
      <c r="B2860" t="str">
        <f>"1551601171855338"</f>
        <v>1551601171855338</v>
      </c>
      <c r="C2860" t="s">
        <v>40</v>
      </c>
      <c r="D2860">
        <v>4.5652540000000004</v>
      </c>
      <c r="E2860">
        <v>0.51486620000000005</v>
      </c>
      <c r="F2860" t="s">
        <v>52</v>
      </c>
      <c r="G2860">
        <v>-262.53710000000001</v>
      </c>
      <c r="H2860" s="1">
        <v>-1.8665180000000001E-7</v>
      </c>
      <c r="I2860">
        <v>283.40100000000001</v>
      </c>
      <c r="J2860">
        <v>-220.11779999999999</v>
      </c>
      <c r="K2860">
        <v>1.1200289999999999</v>
      </c>
      <c r="L2860">
        <v>283.0582</v>
      </c>
      <c r="M2860">
        <v>-0.9988551</v>
      </c>
      <c r="N2860">
        <v>-5.6397869999999899E-3</v>
      </c>
      <c r="O2860">
        <v>-4.750559E-2</v>
      </c>
      <c r="P2860">
        <v>-0.98888050000000005</v>
      </c>
      <c r="Q2860">
        <v>0.14622829999999901</v>
      </c>
      <c r="R2860">
        <v>-2.7068600000000002E-2</v>
      </c>
      <c r="S2860">
        <v>-3.0468289999999998</v>
      </c>
      <c r="T2860">
        <v>-8.0167530000000001E-2</v>
      </c>
      <c r="U2860">
        <v>2.4139399999999998E-2</v>
      </c>
      <c r="V2860">
        <v>2.02074E-2</v>
      </c>
      <c r="W2860">
        <v>0.15176870000000001</v>
      </c>
      <c r="X2860">
        <v>0.98820949999999996</v>
      </c>
      <c r="Y2860">
        <v>5.5385049999999998E-2</v>
      </c>
      <c r="Z2860">
        <v>1.8661999999999999E-3</v>
      </c>
      <c r="AA2860">
        <v>0.99846330000000005</v>
      </c>
      <c r="AB2860">
        <v>15</v>
      </c>
      <c r="AC2860">
        <v>-42.4193</v>
      </c>
      <c r="AD2860">
        <v>-1.1200291866518</v>
      </c>
      <c r="AE2860">
        <v>0.34280000000001098</v>
      </c>
      <c r="AF2860">
        <v>2.3559564115998501</v>
      </c>
      <c r="AG2860">
        <v>-1.1200291866518</v>
      </c>
      <c r="AH2860">
        <v>42.325614987092301</v>
      </c>
      <c r="AI2860">
        <v>91.513477307039395</v>
      </c>
      <c r="AJ2860">
        <v>86.814052037177206</v>
      </c>
      <c r="AK2860">
        <v>42.405927416198402</v>
      </c>
      <c r="AL2860">
        <v>81.270561167110998</v>
      </c>
      <c r="AM2860">
        <v>88.828550625139798</v>
      </c>
      <c r="AN2860">
        <v>1.00000004660234</v>
      </c>
    </row>
    <row r="2861" spans="1:40" x14ac:dyDescent="0.25">
      <c r="A2861" t="str">
        <f>"20190303161931877"</f>
        <v>20190303161931877</v>
      </c>
      <c r="B2861" t="str">
        <f>"1551601171866075"</f>
        <v>1551601171866075</v>
      </c>
      <c r="C2861" t="s">
        <v>40</v>
      </c>
      <c r="D2861">
        <v>4.5426539999999997</v>
      </c>
      <c r="E2861">
        <v>0.51462200000000002</v>
      </c>
      <c r="F2861" t="s">
        <v>52</v>
      </c>
      <c r="G2861">
        <v>-260.90699999999998</v>
      </c>
      <c r="H2861" s="1">
        <v>-1.0541249999999901E-6</v>
      </c>
      <c r="I2861">
        <v>283.52679999999998</v>
      </c>
      <c r="J2861">
        <v>-220.2114</v>
      </c>
      <c r="K2861">
        <v>1.120026</v>
      </c>
      <c r="L2861">
        <v>283.05489999999998</v>
      </c>
      <c r="M2861">
        <v>-0.99890140000000005</v>
      </c>
      <c r="N2861">
        <v>-5.6391469999999997E-3</v>
      </c>
      <c r="O2861">
        <v>-4.6522590000000003E-2</v>
      </c>
      <c r="P2861">
        <v>-0.98891839999999998</v>
      </c>
      <c r="Q2861">
        <v>0.1461992</v>
      </c>
      <c r="R2861">
        <v>-2.5811489999999999E-2</v>
      </c>
      <c r="S2861">
        <v>-3.0470579999999998</v>
      </c>
      <c r="T2861">
        <v>-8.3669190000000004E-2</v>
      </c>
      <c r="U2861">
        <v>3.5003659999999999E-2</v>
      </c>
      <c r="V2861">
        <v>2.049167E-2</v>
      </c>
      <c r="W2861">
        <v>0.1517385</v>
      </c>
      <c r="X2861">
        <v>0.98820819999999998</v>
      </c>
      <c r="Y2861">
        <v>5.7957359999999999E-2</v>
      </c>
      <c r="Z2861">
        <v>1.9735730000000002E-3</v>
      </c>
      <c r="AA2861">
        <v>0.99831709999999996</v>
      </c>
      <c r="AB2861">
        <v>15</v>
      </c>
      <c r="AC2861">
        <v>-40.695599999999899</v>
      </c>
      <c r="AD2861">
        <v>-1.1200270541249999</v>
      </c>
      <c r="AE2861">
        <v>0.47190000000000498</v>
      </c>
      <c r="AF2861">
        <v>2.3628941287727301</v>
      </c>
      <c r="AG2861">
        <v>-1.1200270541249999</v>
      </c>
      <c r="AH2861">
        <v>40.598832575217202</v>
      </c>
      <c r="AI2861">
        <v>91.577587721503605</v>
      </c>
      <c r="AJ2861">
        <v>86.669083869694902</v>
      </c>
      <c r="AK2861">
        <v>40.682956329847499</v>
      </c>
      <c r="AL2861">
        <v>81.272311045590996</v>
      </c>
      <c r="AM2861">
        <v>88.812074249114303</v>
      </c>
      <c r="AN2861">
        <v>0.999999963734438</v>
      </c>
    </row>
    <row r="2862" spans="1:40" x14ac:dyDescent="0.25">
      <c r="A2862" t="str">
        <f>"20190303161931891"</f>
        <v>20190303161931891</v>
      </c>
      <c r="B2862" t="str">
        <f>"1551601171885594"</f>
        <v>1551601171885594</v>
      </c>
      <c r="C2862" t="s">
        <v>40</v>
      </c>
      <c r="D2862">
        <v>4.5847910000000001</v>
      </c>
      <c r="E2862">
        <v>0.51418989999999998</v>
      </c>
      <c r="F2862" t="s">
        <v>52</v>
      </c>
      <c r="G2862">
        <v>-260.81369999999998</v>
      </c>
      <c r="H2862" s="1">
        <v>-1.103788E-6</v>
      </c>
      <c r="I2862">
        <v>283.55270000000002</v>
      </c>
      <c r="J2862">
        <v>-220.30359999999999</v>
      </c>
      <c r="K2862">
        <v>1.120025</v>
      </c>
      <c r="L2862">
        <v>283.05169999999998</v>
      </c>
      <c r="M2862">
        <v>-0.99894590000000005</v>
      </c>
      <c r="N2862">
        <v>-5.6387090000000004E-3</v>
      </c>
      <c r="O2862">
        <v>-4.5555930000000001E-2</v>
      </c>
      <c r="P2862">
        <v>-0.98891819999999997</v>
      </c>
      <c r="Q2862">
        <v>0.14640980000000001</v>
      </c>
      <c r="R2862">
        <v>-2.4599650000000001E-2</v>
      </c>
      <c r="S2862">
        <v>-3.0470280000000001</v>
      </c>
      <c r="T2862">
        <v>-8.4053279999999994E-2</v>
      </c>
      <c r="U2862">
        <v>3.7353520000000001E-2</v>
      </c>
      <c r="V2862">
        <v>2.074556E-2</v>
      </c>
      <c r="W2862">
        <v>0.15194820000000001</v>
      </c>
      <c r="X2862">
        <v>0.98817069999999996</v>
      </c>
      <c r="Y2862">
        <v>5.7761159999999999E-2</v>
      </c>
      <c r="Z2862">
        <v>1.9586650000000001E-3</v>
      </c>
      <c r="AA2862">
        <v>0.99832849999999995</v>
      </c>
      <c r="AB2862">
        <v>15</v>
      </c>
      <c r="AC2862">
        <v>-40.510100000000001</v>
      </c>
      <c r="AD2862">
        <v>-1.1200261037879999</v>
      </c>
      <c r="AE2862">
        <v>0.50100000000003297</v>
      </c>
      <c r="AF2862">
        <v>2.3441927500770401</v>
      </c>
      <c r="AG2862">
        <v>-1.1200261037879999</v>
      </c>
      <c r="AH2862">
        <v>40.414328150168302</v>
      </c>
      <c r="AI2862">
        <v>91.584802981872201</v>
      </c>
      <c r="AJ2862">
        <v>86.680335150150199</v>
      </c>
      <c r="AK2862">
        <v>40.497748307185702</v>
      </c>
      <c r="AL2862">
        <v>81.260155337597695</v>
      </c>
      <c r="AM2862">
        <v>88.797314623691506</v>
      </c>
      <c r="AN2862">
        <v>0.99999998304072102</v>
      </c>
    </row>
    <row r="2863" spans="1:40" x14ac:dyDescent="0.25">
      <c r="A2863" t="str">
        <f>"20190303161931909"</f>
        <v>20190303161931909</v>
      </c>
      <c r="B2863" t="str">
        <f>"1551601171895355"</f>
        <v>1551601171895355</v>
      </c>
      <c r="C2863" t="s">
        <v>40</v>
      </c>
      <c r="D2863">
        <v>4.5662459999999996</v>
      </c>
      <c r="E2863">
        <v>0.5140306</v>
      </c>
      <c r="F2863" t="s">
        <v>52</v>
      </c>
      <c r="G2863">
        <v>-261.60599999999999</v>
      </c>
      <c r="H2863" s="1">
        <v>-6.8214349999999898E-7</v>
      </c>
      <c r="I2863">
        <v>283.5684</v>
      </c>
      <c r="J2863">
        <v>-220.43809999999999</v>
      </c>
      <c r="K2863">
        <v>1.120017</v>
      </c>
      <c r="L2863">
        <v>283.04719999999998</v>
      </c>
      <c r="M2863">
        <v>-0.99900900000000004</v>
      </c>
      <c r="N2863">
        <v>-5.6385180000000003E-3</v>
      </c>
      <c r="O2863">
        <v>-4.4148670000000001E-2</v>
      </c>
      <c r="P2863">
        <v>-0.98893850000000005</v>
      </c>
      <c r="Q2863">
        <v>0.14658260000000001</v>
      </c>
      <c r="R2863">
        <v>-2.2676930000000001E-2</v>
      </c>
      <c r="S2863">
        <v>-3.0468139999999999</v>
      </c>
      <c r="T2863">
        <v>-8.262253E-2</v>
      </c>
      <c r="U2863">
        <v>3.8116459999999998E-2</v>
      </c>
      <c r="V2863">
        <v>2.127445E-2</v>
      </c>
      <c r="W2863">
        <v>0.15211930000000001</v>
      </c>
      <c r="X2863">
        <v>0.98813309999999999</v>
      </c>
      <c r="Y2863">
        <v>5.6607699999999997E-2</v>
      </c>
      <c r="Z2863">
        <v>1.8747989999999999E-3</v>
      </c>
      <c r="AA2863">
        <v>0.99839469999999997</v>
      </c>
      <c r="AB2863">
        <v>15</v>
      </c>
      <c r="AC2863">
        <v>-41.167900000000003</v>
      </c>
      <c r="AD2863">
        <v>-1.1200176821434999</v>
      </c>
      <c r="AE2863">
        <v>0.52120000000002098</v>
      </c>
      <c r="AF2863">
        <v>2.3364996993501101</v>
      </c>
      <c r="AG2863">
        <v>-1.1200176821434999</v>
      </c>
      <c r="AH2863">
        <v>41.074351024666001</v>
      </c>
      <c r="AI2863">
        <v>91.559437664011796</v>
      </c>
      <c r="AJ2863">
        <v>86.744258854654106</v>
      </c>
      <c r="AK2863">
        <v>41.155995705982598</v>
      </c>
      <c r="AL2863">
        <v>81.250236468082306</v>
      </c>
      <c r="AM2863">
        <v>88.766615643629905</v>
      </c>
      <c r="AN2863">
        <v>0.99999995348545001</v>
      </c>
    </row>
    <row r="2864" spans="1:40" x14ac:dyDescent="0.25">
      <c r="A2864" t="str">
        <f>"20190303161931931"</f>
        <v>20190303161931931</v>
      </c>
      <c r="B2864" t="str">
        <f>"1551601171925611"</f>
        <v>1551601171925611</v>
      </c>
      <c r="C2864" t="s">
        <v>40</v>
      </c>
      <c r="D2864">
        <v>4.5800679999999998</v>
      </c>
      <c r="E2864">
        <v>0.51353599999999999</v>
      </c>
      <c r="F2864" t="s">
        <v>52</v>
      </c>
      <c r="G2864">
        <v>-262.55200000000002</v>
      </c>
      <c r="H2864" s="1">
        <v>-1.7872290000000001E-7</v>
      </c>
      <c r="I2864">
        <v>283.64120000000003</v>
      </c>
      <c r="J2864">
        <v>-220.58799999999999</v>
      </c>
      <c r="K2864">
        <v>1.12001</v>
      </c>
      <c r="L2864">
        <v>283.04239999999999</v>
      </c>
      <c r="M2864">
        <v>-0.99907690000000005</v>
      </c>
      <c r="N2864">
        <v>-5.6389760000000004E-3</v>
      </c>
      <c r="O2864">
        <v>-4.2586319999999997E-2</v>
      </c>
      <c r="P2864">
        <v>-0.98889590000000005</v>
      </c>
      <c r="Q2864">
        <v>0.14713999999999999</v>
      </c>
      <c r="R2864">
        <v>-2.0857489999999999E-2</v>
      </c>
      <c r="S2864">
        <v>-3.0465550000000001</v>
      </c>
      <c r="T2864">
        <v>-8.1022860000000002E-2</v>
      </c>
      <c r="U2864">
        <v>4.296875E-2</v>
      </c>
      <c r="V2864">
        <v>2.1545439999999999E-2</v>
      </c>
      <c r="W2864">
        <v>0.15267629999999999</v>
      </c>
      <c r="X2864">
        <v>0.98804130000000001</v>
      </c>
      <c r="Y2864">
        <v>5.6639000000000002E-2</v>
      </c>
      <c r="Z2864">
        <v>1.804735E-3</v>
      </c>
      <c r="AA2864">
        <v>0.99839310000000003</v>
      </c>
      <c r="AB2864">
        <v>16</v>
      </c>
      <c r="AC2864">
        <v>-41.963999999999999</v>
      </c>
      <c r="AD2864">
        <v>-1.12001017872289</v>
      </c>
      <c r="AE2864">
        <v>0.59880000000003897</v>
      </c>
      <c r="AF2864">
        <v>2.38367979628371</v>
      </c>
      <c r="AG2864">
        <v>-1.12001017872289</v>
      </c>
      <c r="AH2864">
        <v>41.870607353172304</v>
      </c>
      <c r="AI2864">
        <v>91.529781806162305</v>
      </c>
      <c r="AJ2864">
        <v>86.7416872789764</v>
      </c>
      <c r="AK2864">
        <v>41.953356388913399</v>
      </c>
      <c r="AL2864">
        <v>81.217945366384697</v>
      </c>
      <c r="AM2864">
        <v>88.750793950926194</v>
      </c>
      <c r="AN2864">
        <v>0.99999993453608405</v>
      </c>
    </row>
    <row r="2865" spans="1:40" x14ac:dyDescent="0.25">
      <c r="A2865" t="str">
        <f>"20190303161931945"</f>
        <v>20190303161931945</v>
      </c>
      <c r="B2865" t="str">
        <f>"1551601171935371"</f>
        <v>1551601171935371</v>
      </c>
      <c r="C2865" t="s">
        <v>40</v>
      </c>
      <c r="D2865">
        <v>4.5869759999999999</v>
      </c>
      <c r="E2865">
        <v>0.51353599999999999</v>
      </c>
      <c r="F2865" t="s">
        <v>52</v>
      </c>
      <c r="G2865">
        <v>-263.16809999999998</v>
      </c>
      <c r="H2865" s="1">
        <v>1.490994E-7</v>
      </c>
      <c r="I2865">
        <v>283.65910000000002</v>
      </c>
      <c r="J2865">
        <v>-220.68620000000001</v>
      </c>
      <c r="K2865">
        <v>1.1200049999999999</v>
      </c>
      <c r="L2865">
        <v>283.03930000000003</v>
      </c>
      <c r="M2865">
        <v>-0.99912000000000001</v>
      </c>
      <c r="N2865">
        <v>-5.6396529999999997E-3</v>
      </c>
      <c r="O2865">
        <v>-4.1564329999999997E-2</v>
      </c>
      <c r="P2865">
        <v>-0.98898180000000002</v>
      </c>
      <c r="Q2865">
        <v>0.1467069</v>
      </c>
      <c r="R2865">
        <v>-1.98091E-2</v>
      </c>
      <c r="S2865">
        <v>-3.0465550000000001</v>
      </c>
      <c r="T2865">
        <v>-8.0135349999999994E-2</v>
      </c>
      <c r="U2865">
        <v>4.4128420000000002E-2</v>
      </c>
      <c r="V2865">
        <v>2.158475E-2</v>
      </c>
      <c r="W2865">
        <v>0.1522442</v>
      </c>
      <c r="X2865">
        <v>0.98810719999999996</v>
      </c>
      <c r="Y2865">
        <v>5.5998909999999999E-2</v>
      </c>
      <c r="Z2865">
        <v>1.7527619999999999E-3</v>
      </c>
      <c r="AA2865">
        <v>0.99842929999999996</v>
      </c>
      <c r="AB2865">
        <v>16</v>
      </c>
      <c r="AC2865">
        <v>-42.481899999999897</v>
      </c>
      <c r="AD2865">
        <v>-1.1200048509006</v>
      </c>
      <c r="AE2865">
        <v>0.61979999999999702</v>
      </c>
      <c r="AF2865">
        <v>2.3833677407256801</v>
      </c>
      <c r="AG2865">
        <v>-1.1200048509006</v>
      </c>
      <c r="AH2865">
        <v>42.389967314014598</v>
      </c>
      <c r="AI2865">
        <v>91.511100587431201</v>
      </c>
      <c r="AJ2865">
        <v>86.781943991834893</v>
      </c>
      <c r="AK2865">
        <v>42.471686822362003</v>
      </c>
      <c r="AL2865">
        <v>81.242996462290094</v>
      </c>
      <c r="AM2865">
        <v>88.748598917629906</v>
      </c>
      <c r="AN2865">
        <v>1.0000000182790201</v>
      </c>
    </row>
    <row r="2866" spans="1:40" x14ac:dyDescent="0.25">
      <c r="A2866" t="str">
        <f>"20190303161931959"</f>
        <v>20190303161931959</v>
      </c>
      <c r="B2866" t="str">
        <f>"1551601171946107"</f>
        <v>1551601171946107</v>
      </c>
      <c r="C2866" t="s">
        <v>40</v>
      </c>
      <c r="D2866">
        <v>4.5817269999999999</v>
      </c>
      <c r="E2866">
        <v>0.50997320000000002</v>
      </c>
      <c r="F2866" t="s">
        <v>52</v>
      </c>
      <c r="G2866">
        <v>-262.5489</v>
      </c>
      <c r="H2866" s="1">
        <v>-1.8038929999999999E-7</v>
      </c>
      <c r="I2866">
        <v>283.68770000000001</v>
      </c>
      <c r="J2866">
        <v>-220.78809999999999</v>
      </c>
      <c r="K2866">
        <v>1.1200000000000001</v>
      </c>
      <c r="L2866">
        <v>283.03629999999998</v>
      </c>
      <c r="M2866">
        <v>-0.99916329999999998</v>
      </c>
      <c r="N2866">
        <v>-5.6408300000000003E-3</v>
      </c>
      <c r="O2866">
        <v>-4.050873E-2</v>
      </c>
      <c r="P2866">
        <v>-0.9890198</v>
      </c>
      <c r="Q2866">
        <v>0.14653169999999999</v>
      </c>
      <c r="R2866">
        <v>-1.919804E-2</v>
      </c>
      <c r="S2866">
        <v>-3.046478</v>
      </c>
      <c r="T2866">
        <v>-8.1506250000000002E-2</v>
      </c>
      <c r="U2866">
        <v>4.7180180000000002E-2</v>
      </c>
      <c r="V2866">
        <v>2.115293E-2</v>
      </c>
      <c r="W2866">
        <v>0.15207079999999901</v>
      </c>
      <c r="X2866">
        <v>0.9881432</v>
      </c>
      <c r="Y2866">
        <v>5.5943489999999998E-2</v>
      </c>
      <c r="Z2866">
        <v>1.7609100000000001E-3</v>
      </c>
      <c r="AA2866">
        <v>0.9984324</v>
      </c>
      <c r="AB2866">
        <v>16</v>
      </c>
      <c r="AC2866">
        <v>-41.760800000000003</v>
      </c>
      <c r="AD2866">
        <v>-1.1200001803893</v>
      </c>
      <c r="AE2866">
        <v>0.65140000000002296</v>
      </c>
      <c r="AF2866">
        <v>2.3408857804606402</v>
      </c>
      <c r="AG2866">
        <v>-1.1200001803893</v>
      </c>
      <c r="AH2866">
        <v>41.670167927462401</v>
      </c>
      <c r="AI2866">
        <v>91.537188266865797</v>
      </c>
      <c r="AJ2866">
        <v>86.784700895708795</v>
      </c>
      <c r="AK2866">
        <v>41.750892705954797</v>
      </c>
      <c r="AL2866">
        <v>81.253048250058697</v>
      </c>
      <c r="AM2866">
        <v>88.773671128076998</v>
      </c>
      <c r="AN2866">
        <v>0.99999997918323202</v>
      </c>
    </row>
    <row r="2867" spans="1:40" x14ac:dyDescent="0.25">
      <c r="A2867" t="str">
        <f>"20190303161931977"</f>
        <v>20190303161931977</v>
      </c>
      <c r="B2867" t="str">
        <f>"1551601171965627"</f>
        <v>1551601171965627</v>
      </c>
      <c r="C2867" t="s">
        <v>40</v>
      </c>
      <c r="D2867">
        <v>4.7546390000000001</v>
      </c>
      <c r="E2867">
        <v>0.51013339999999996</v>
      </c>
      <c r="F2867" t="s">
        <v>52</v>
      </c>
      <c r="G2867">
        <v>-262.54340000000002</v>
      </c>
      <c r="H2867" s="1">
        <v>-1.833214E-7</v>
      </c>
      <c r="I2867">
        <v>283.31950000000001</v>
      </c>
      <c r="J2867">
        <v>-220.91249999999999</v>
      </c>
      <c r="K2867">
        <v>1.1200019999999999</v>
      </c>
      <c r="L2867">
        <v>283.03280000000001</v>
      </c>
      <c r="M2867">
        <v>-0.99921450000000001</v>
      </c>
      <c r="N2867">
        <v>-5.6426540000000004E-3</v>
      </c>
      <c r="O2867">
        <v>-3.9221619999999999E-2</v>
      </c>
      <c r="P2867">
        <v>-0.9890833</v>
      </c>
      <c r="Q2867">
        <v>0.14607979999999901</v>
      </c>
      <c r="R2867">
        <v>-1.9362339999999999E-2</v>
      </c>
      <c r="S2867">
        <v>-3.0458219999999998</v>
      </c>
      <c r="T2867">
        <v>-8.1697939999999997E-2</v>
      </c>
      <c r="U2867">
        <v>2.0660399999999999E-2</v>
      </c>
      <c r="V2867">
        <v>1.9718099999999999E-2</v>
      </c>
      <c r="W2867">
        <v>0.15162349999999999</v>
      </c>
      <c r="X2867">
        <v>0.98824160000000005</v>
      </c>
      <c r="Y2867">
        <v>4.597035E-2</v>
      </c>
      <c r="Z2867">
        <v>1.5764939999999999E-3</v>
      </c>
      <c r="AA2867">
        <v>0.99894150000000004</v>
      </c>
      <c r="AB2867">
        <v>16</v>
      </c>
      <c r="AC2867">
        <v>-41.630899999999997</v>
      </c>
      <c r="AD2867">
        <v>-1.12000218332139</v>
      </c>
      <c r="AE2867">
        <v>0.28669999999999601</v>
      </c>
      <c r="AF2867">
        <v>1.9179487867073</v>
      </c>
      <c r="AG2867">
        <v>-1.12000218332139</v>
      </c>
      <c r="AH2867">
        <v>41.557543422969303</v>
      </c>
      <c r="AI2867">
        <v>91.542143247863606</v>
      </c>
      <c r="AJ2867">
        <v>87.357580835932296</v>
      </c>
      <c r="AK2867">
        <v>41.616851728489202</v>
      </c>
      <c r="AL2867">
        <v>81.278977286583299</v>
      </c>
      <c r="AM2867">
        <v>88.856945485686296</v>
      </c>
      <c r="AN2867">
        <v>0.99999997459520895</v>
      </c>
    </row>
    <row r="2868" spans="1:40" x14ac:dyDescent="0.25">
      <c r="A2868" t="str">
        <f>"20190303161931993"</f>
        <v>20190303161931993</v>
      </c>
      <c r="B2868" t="str">
        <f>"1551601171985147"</f>
        <v>1551601171985147</v>
      </c>
      <c r="C2868" t="s">
        <v>40</v>
      </c>
      <c r="D2868">
        <v>4.5509899999999996</v>
      </c>
      <c r="E2868">
        <v>0.50999329999999998</v>
      </c>
      <c r="F2868" t="s">
        <v>52</v>
      </c>
      <c r="G2868">
        <v>-260.33629999999999</v>
      </c>
      <c r="H2868" s="1">
        <v>-1.357826E-6</v>
      </c>
      <c r="I2868">
        <v>283.31790000000001</v>
      </c>
      <c r="J2868">
        <v>-221.03290000000001</v>
      </c>
      <c r="K2868">
        <v>1.1199969999999999</v>
      </c>
      <c r="L2868">
        <v>283.02940000000001</v>
      </c>
      <c r="M2868">
        <v>-0.9992626</v>
      </c>
      <c r="N2868">
        <v>-5.6448499999999999E-3</v>
      </c>
      <c r="O2868">
        <v>-3.7978850000000001E-2</v>
      </c>
      <c r="P2868">
        <v>-0.98909740000000002</v>
      </c>
      <c r="Q2868">
        <v>0.14604039999999999</v>
      </c>
      <c r="R2868">
        <v>-1.893589E-2</v>
      </c>
      <c r="S2868">
        <v>-3.046341</v>
      </c>
      <c r="T2868">
        <v>-8.6544510000000005E-2</v>
      </c>
      <c r="U2868">
        <v>2.2033690000000002E-2</v>
      </c>
      <c r="V2868">
        <v>1.891642E-2</v>
      </c>
      <c r="W2868">
        <v>0.15158769999999999</v>
      </c>
      <c r="X2868">
        <v>0.9882628</v>
      </c>
      <c r="Y2868">
        <v>4.5174209999999999E-2</v>
      </c>
      <c r="Z2868">
        <v>1.6332650000000001E-3</v>
      </c>
      <c r="AA2868">
        <v>0.99897780000000003</v>
      </c>
      <c r="AB2868">
        <v>16</v>
      </c>
      <c r="AC2868">
        <v>-39.303399999999897</v>
      </c>
      <c r="AD2868">
        <v>-1.119998357826</v>
      </c>
      <c r="AE2868">
        <v>0.28849999999999898</v>
      </c>
      <c r="AF2868">
        <v>1.7795685744254499</v>
      </c>
      <c r="AG2868">
        <v>-1.119998357826</v>
      </c>
      <c r="AH2868">
        <v>39.2322301077307</v>
      </c>
      <c r="AI2868">
        <v>91.6335521371374</v>
      </c>
      <c r="AJ2868">
        <v>87.402851552712505</v>
      </c>
      <c r="AK2868">
        <v>39.288537003285597</v>
      </c>
      <c r="AL2868">
        <v>81.2810527892793</v>
      </c>
      <c r="AM2868">
        <v>88.903430652719507</v>
      </c>
      <c r="AN2868">
        <v>1.00000001180037</v>
      </c>
    </row>
    <row r="2869" spans="1:40" x14ac:dyDescent="0.25">
      <c r="A2869" t="str">
        <f>"20190303161932012"</f>
        <v>20190303161932012</v>
      </c>
      <c r="B2869" t="str">
        <f>"1551601172005643"</f>
        <v>1551601172005643</v>
      </c>
      <c r="C2869" t="s">
        <v>40</v>
      </c>
      <c r="D2869">
        <v>4.5631029999999999</v>
      </c>
      <c r="E2869">
        <v>0.509876</v>
      </c>
      <c r="F2869" t="s">
        <v>52</v>
      </c>
      <c r="G2869">
        <v>-258.96429999999998</v>
      </c>
      <c r="H2869" s="1">
        <v>3.2335390000000001E-6</v>
      </c>
      <c r="I2869">
        <v>283.31060000000002</v>
      </c>
      <c r="J2869">
        <v>-221.16669999999999</v>
      </c>
      <c r="K2869">
        <v>1.119991</v>
      </c>
      <c r="L2869">
        <v>283.02589999999998</v>
      </c>
      <c r="M2869">
        <v>-0.99931400000000004</v>
      </c>
      <c r="N2869">
        <v>-5.6477699999999999E-3</v>
      </c>
      <c r="O2869">
        <v>-3.6599949999999999E-2</v>
      </c>
      <c r="P2869">
        <v>-0.98908280000000004</v>
      </c>
      <c r="Q2869">
        <v>0.14615699999999901</v>
      </c>
      <c r="R2869">
        <v>-1.8795349999999999E-2</v>
      </c>
      <c r="S2869">
        <v>-3.046783</v>
      </c>
      <c r="T2869">
        <v>-8.9962009999999995E-2</v>
      </c>
      <c r="U2869">
        <v>2.2583010000000001E-2</v>
      </c>
      <c r="V2869">
        <v>1.7694209999999998E-2</v>
      </c>
      <c r="W2869">
        <v>0.15170929999999999</v>
      </c>
      <c r="X2869">
        <v>0.9882668</v>
      </c>
      <c r="Y2869">
        <v>4.3973180000000001E-2</v>
      </c>
      <c r="Z2869">
        <v>1.6468450000000001E-3</v>
      </c>
      <c r="AA2869">
        <v>0.99903140000000001</v>
      </c>
      <c r="AB2869">
        <v>16</v>
      </c>
      <c r="AC2869">
        <v>-37.797599999999903</v>
      </c>
      <c r="AD2869">
        <v>-1.1199877664610001</v>
      </c>
      <c r="AE2869">
        <v>0.28470000000004297</v>
      </c>
      <c r="AF2869">
        <v>1.6664585507117</v>
      </c>
      <c r="AG2869">
        <v>-1.1199877664610001</v>
      </c>
      <c r="AH2869">
        <v>37.728730306607602</v>
      </c>
      <c r="AI2869">
        <v>91.698686439774704</v>
      </c>
      <c r="AJ2869">
        <v>87.470918825092497</v>
      </c>
      <c r="AK2869">
        <v>37.782119411793097</v>
      </c>
      <c r="AL2869">
        <v>81.274004281825697</v>
      </c>
      <c r="AM2869">
        <v>88.974269654500802</v>
      </c>
      <c r="AN2869">
        <v>1.00000003237812</v>
      </c>
    </row>
    <row r="2870" spans="1:40" x14ac:dyDescent="0.25">
      <c r="A2870" t="str">
        <f>"20190303161932033"</f>
        <v>20190303161932033</v>
      </c>
      <c r="B2870" t="str">
        <f>"1551601172025163"</f>
        <v>1551601172025163</v>
      </c>
      <c r="C2870" t="s">
        <v>40</v>
      </c>
      <c r="D2870">
        <v>4.6033589999999904</v>
      </c>
      <c r="E2870">
        <v>0.51036040000000005</v>
      </c>
      <c r="F2870" t="s">
        <v>52</v>
      </c>
      <c r="G2870">
        <v>-257.6139</v>
      </c>
      <c r="H2870" s="1">
        <v>2.5149240000000001E-6</v>
      </c>
      <c r="I2870">
        <v>283.29020000000003</v>
      </c>
      <c r="J2870">
        <v>-221.32140000000001</v>
      </c>
      <c r="K2870">
        <v>1.1199790000000001</v>
      </c>
      <c r="L2870">
        <v>283.02210000000002</v>
      </c>
      <c r="M2870">
        <v>-0.99937100000000001</v>
      </c>
      <c r="N2870">
        <v>-5.6517700000000004E-3</v>
      </c>
      <c r="O2870">
        <v>-3.500764E-2</v>
      </c>
      <c r="P2870">
        <v>-0.98913019999999996</v>
      </c>
      <c r="Q2870">
        <v>0.1459734</v>
      </c>
      <c r="R2870">
        <v>-1.7696469999999999E-2</v>
      </c>
      <c r="S2870">
        <v>-3.0473629999999998</v>
      </c>
      <c r="T2870">
        <v>-9.3642829999999996E-2</v>
      </c>
      <c r="U2870">
        <v>2.209473E-2</v>
      </c>
      <c r="V2870">
        <v>1.7220739999999998E-2</v>
      </c>
      <c r="W2870">
        <v>0.1515302</v>
      </c>
      <c r="X2870">
        <v>0.98830260000000003</v>
      </c>
      <c r="Y2870">
        <v>4.2218499999999999E-2</v>
      </c>
      <c r="Z2870">
        <v>1.6453640000000001E-3</v>
      </c>
      <c r="AA2870">
        <v>0.99910710000000003</v>
      </c>
      <c r="AB2870">
        <v>16</v>
      </c>
      <c r="AC2870">
        <v>-36.292499999999897</v>
      </c>
      <c r="AD2870">
        <v>-1.1199764850759999</v>
      </c>
      <c r="AE2870">
        <v>0.268100000000004</v>
      </c>
      <c r="AF2870">
        <v>1.5370071623874699</v>
      </c>
      <c r="AG2870">
        <v>-1.1199764850759999</v>
      </c>
      <c r="AH2870">
        <v>36.226370603166899</v>
      </c>
      <c r="AI2870">
        <v>91.769204803616404</v>
      </c>
      <c r="AJ2870">
        <v>87.570520121057498</v>
      </c>
      <c r="AK2870">
        <v>36.276254842835598</v>
      </c>
      <c r="AL2870">
        <v>81.284385627317604</v>
      </c>
      <c r="AM2870">
        <v>89.001747153510394</v>
      </c>
      <c r="AN2870">
        <v>0.99999999228247305</v>
      </c>
    </row>
    <row r="2871" spans="1:40" x14ac:dyDescent="0.25">
      <c r="A2871" t="str">
        <f>"20190303161932056"</f>
        <v>20190303161932056</v>
      </c>
      <c r="B2871" t="str">
        <f>"1551601172045658"</f>
        <v>1551601172045658</v>
      </c>
      <c r="C2871" t="s">
        <v>40</v>
      </c>
      <c r="D2871">
        <v>4.5608849999999999</v>
      </c>
      <c r="E2871">
        <v>0.51023240000000003</v>
      </c>
      <c r="F2871" t="s">
        <v>52</v>
      </c>
      <c r="G2871">
        <v>-255.3023</v>
      </c>
      <c r="H2871" s="1">
        <v>1.2848299999999999E-6</v>
      </c>
      <c r="I2871">
        <v>283.34460000000001</v>
      </c>
      <c r="J2871">
        <v>-221.48410000000001</v>
      </c>
      <c r="K2871">
        <v>1.1199669999999999</v>
      </c>
      <c r="L2871">
        <v>283.01839999999999</v>
      </c>
      <c r="M2871">
        <v>-0.99942839999999999</v>
      </c>
      <c r="N2871">
        <v>-5.6567340000000001E-3</v>
      </c>
      <c r="O2871">
        <v>-3.333274E-2</v>
      </c>
      <c r="P2871">
        <v>-0.98920070000000004</v>
      </c>
      <c r="Q2871">
        <v>0.1456809</v>
      </c>
      <c r="R2871">
        <v>-1.6105089999999999E-2</v>
      </c>
      <c r="S2871">
        <v>-3.0483250000000002</v>
      </c>
      <c r="T2871">
        <v>-0.1004697</v>
      </c>
      <c r="U2871">
        <v>2.893066E-2</v>
      </c>
      <c r="V2871">
        <v>1.7158690000000001E-2</v>
      </c>
      <c r="W2871">
        <v>0.1512426</v>
      </c>
      <c r="X2871">
        <v>0.98834770000000005</v>
      </c>
      <c r="Y2871">
        <v>4.2777120000000002E-2</v>
      </c>
      <c r="Z2871">
        <v>1.7354229999999901E-3</v>
      </c>
      <c r="AA2871">
        <v>0.99908319999999995</v>
      </c>
      <c r="AB2871">
        <v>16</v>
      </c>
      <c r="AC2871">
        <v>-33.818199999999898</v>
      </c>
      <c r="AD2871">
        <v>-1.11996571517</v>
      </c>
      <c r="AE2871">
        <v>0.32620000000002802</v>
      </c>
      <c r="AF2871">
        <v>1.45169791605204</v>
      </c>
      <c r="AG2871">
        <v>-1.11996571517</v>
      </c>
      <c r="AH2871">
        <v>33.751520040872201</v>
      </c>
      <c r="AI2871">
        <v>91.898775629842106</v>
      </c>
      <c r="AJ2871">
        <v>87.537150054188899</v>
      </c>
      <c r="AK2871">
        <v>33.801284814515903</v>
      </c>
      <c r="AL2871">
        <v>81.301055746142197</v>
      </c>
      <c r="AM2871">
        <v>89.005388726315402</v>
      </c>
      <c r="AN2871">
        <v>0.99999996039628203</v>
      </c>
    </row>
    <row r="2872" spans="1:40" x14ac:dyDescent="0.25">
      <c r="A2872" t="str">
        <f>"20190303161932075"</f>
        <v>20190303161932075</v>
      </c>
      <c r="B2872" t="str">
        <f>"1551601172065179"</f>
        <v>1551601172065179</v>
      </c>
      <c r="C2872" t="s">
        <v>40</v>
      </c>
      <c r="D2872">
        <v>4.5916860000000002</v>
      </c>
      <c r="E2872">
        <v>0.51032149999999998</v>
      </c>
      <c r="F2872" t="s">
        <v>52</v>
      </c>
      <c r="G2872">
        <v>-253.66759999999999</v>
      </c>
      <c r="H2872" s="1">
        <v>4.1491299999999998E-7</v>
      </c>
      <c r="I2872">
        <v>283.36559999999997</v>
      </c>
      <c r="J2872">
        <v>-221.63419999999999</v>
      </c>
      <c r="K2872">
        <v>1.119956</v>
      </c>
      <c r="L2872">
        <v>283.01510000000002</v>
      </c>
      <c r="M2872">
        <v>-0.99947870000000005</v>
      </c>
      <c r="N2872">
        <v>-5.6619849999999996E-3</v>
      </c>
      <c r="O2872">
        <v>-3.1786330000000002E-2</v>
      </c>
      <c r="P2872">
        <v>-0.98931769999999997</v>
      </c>
      <c r="Q2872">
        <v>0.1450745</v>
      </c>
      <c r="R2872">
        <v>-1.427608E-2</v>
      </c>
      <c r="S2872">
        <v>-3.0489350000000002</v>
      </c>
      <c r="T2872">
        <v>-0.106101</v>
      </c>
      <c r="U2872">
        <v>3.2897950000000002E-2</v>
      </c>
      <c r="V2872">
        <v>1.746178E-2</v>
      </c>
      <c r="W2872">
        <v>0.15064069999999999</v>
      </c>
      <c r="X2872">
        <v>0.98843440000000005</v>
      </c>
      <c r="Y2872">
        <v>4.2525479999999997E-2</v>
      </c>
      <c r="Z2872">
        <v>1.785867E-3</v>
      </c>
      <c r="AA2872">
        <v>0.99909380000000003</v>
      </c>
      <c r="AB2872">
        <v>16</v>
      </c>
      <c r="AC2872">
        <v>-32.0334</v>
      </c>
      <c r="AD2872">
        <v>-1.119955585087</v>
      </c>
      <c r="AE2872">
        <v>0.35049999999995402</v>
      </c>
      <c r="AF2872">
        <v>1.36689275470373</v>
      </c>
      <c r="AG2872">
        <v>-1.119955585087</v>
      </c>
      <c r="AH2872">
        <v>31.9670011188161</v>
      </c>
      <c r="AI2872">
        <v>92.004691742047498</v>
      </c>
      <c r="AJ2872">
        <v>87.5515530264137</v>
      </c>
      <c r="AK2872">
        <v>32.015806359450302</v>
      </c>
      <c r="AL2872">
        <v>81.335942549225905</v>
      </c>
      <c r="AM2872">
        <v>88.987912363906005</v>
      </c>
      <c r="AN2872">
        <v>1.0000000486803</v>
      </c>
    </row>
    <row r="2873" spans="1:40" x14ac:dyDescent="0.25">
      <c r="A2873" t="str">
        <f>"20190303161932089"</f>
        <v>20190303161932089</v>
      </c>
      <c r="B2873" t="str">
        <f>"1551601172075915"</f>
        <v>1551601172075915</v>
      </c>
      <c r="C2873" t="s">
        <v>40</v>
      </c>
      <c r="D2873">
        <v>4.551374</v>
      </c>
      <c r="E2873">
        <v>0.5102565</v>
      </c>
      <c r="F2873" t="s">
        <v>52</v>
      </c>
      <c r="G2873">
        <v>-252.8586</v>
      </c>
      <c r="H2873" s="1">
        <v>-1.5613809999999999E-8</v>
      </c>
      <c r="I2873">
        <v>283.42360000000002</v>
      </c>
      <c r="J2873">
        <v>-221.73769999999999</v>
      </c>
      <c r="K2873">
        <v>1.1199490000000001</v>
      </c>
      <c r="L2873">
        <v>283.01310000000001</v>
      </c>
      <c r="M2873">
        <v>-0.99951210000000001</v>
      </c>
      <c r="N2873">
        <v>-5.6659299999999996E-3</v>
      </c>
      <c r="O2873">
        <v>-3.0720830000000001E-2</v>
      </c>
      <c r="P2873">
        <v>-0.98943190000000003</v>
      </c>
      <c r="Q2873">
        <v>0.14438819999999999</v>
      </c>
      <c r="R2873">
        <v>-1.3305859999999999E-2</v>
      </c>
      <c r="S2873">
        <v>-3.0490110000000001</v>
      </c>
      <c r="T2873">
        <v>-0.10936220000000001</v>
      </c>
      <c r="U2873">
        <v>3.988647E-2</v>
      </c>
      <c r="V2873">
        <v>1.7381440000000001E-2</v>
      </c>
      <c r="W2873">
        <v>0.14995899999999901</v>
      </c>
      <c r="X2873">
        <v>0.98853939999999996</v>
      </c>
      <c r="Y2873">
        <v>4.3746599999999997E-2</v>
      </c>
      <c r="Z2873">
        <v>1.8356539999999999E-3</v>
      </c>
      <c r="AA2873">
        <v>0.99904099999999996</v>
      </c>
      <c r="AB2873">
        <v>16</v>
      </c>
      <c r="AC2873">
        <v>-31.120899999999999</v>
      </c>
      <c r="AD2873">
        <v>-1.1199490156138101</v>
      </c>
      <c r="AE2873">
        <v>0.41050000000001302</v>
      </c>
      <c r="AF2873">
        <v>1.3646143564750299</v>
      </c>
      <c r="AG2873">
        <v>-1.1199490156138101</v>
      </c>
      <c r="AH2873">
        <v>31.053390266267499</v>
      </c>
      <c r="AI2873">
        <v>92.063503025274997</v>
      </c>
      <c r="AJ2873">
        <v>87.483805392918498</v>
      </c>
      <c r="AK2873">
        <v>31.103528821800701</v>
      </c>
      <c r="AL2873">
        <v>81.375449275650794</v>
      </c>
      <c r="AM2873">
        <v>88.992674906273507</v>
      </c>
      <c r="AN2873">
        <v>0.99999998074491603</v>
      </c>
    </row>
    <row r="2874" spans="1:40" x14ac:dyDescent="0.25">
      <c r="A2874" t="str">
        <f>"20190303161932103"</f>
        <v>20190303161932103</v>
      </c>
      <c r="B2874" t="str">
        <f>"1551601172095435"</f>
        <v>1551601172095435</v>
      </c>
      <c r="C2874" t="s">
        <v>40</v>
      </c>
      <c r="D2874">
        <v>4.568416</v>
      </c>
      <c r="E2874">
        <v>0.51021909999999904</v>
      </c>
      <c r="F2874" t="s">
        <v>52</v>
      </c>
      <c r="G2874">
        <v>-252.35230000000001</v>
      </c>
      <c r="H2874" s="1">
        <v>-2.8503289999999999E-7</v>
      </c>
      <c r="I2874">
        <v>283.44119999999998</v>
      </c>
      <c r="J2874">
        <v>-221.8407</v>
      </c>
      <c r="K2874">
        <v>1.1199429999999999</v>
      </c>
      <c r="L2874">
        <v>283.0111</v>
      </c>
      <c r="M2874">
        <v>-0.99954410000000005</v>
      </c>
      <c r="N2874">
        <v>-5.6701479999999999E-3</v>
      </c>
      <c r="O2874">
        <v>-2.965974E-2</v>
      </c>
      <c r="P2874">
        <v>-0.98948440000000004</v>
      </c>
      <c r="Q2874">
        <v>0.14414440000000001</v>
      </c>
      <c r="R2874">
        <v>-1.197229E-2</v>
      </c>
      <c r="S2874">
        <v>-3.048889</v>
      </c>
      <c r="T2874">
        <v>-0.1115352</v>
      </c>
      <c r="U2874">
        <v>4.263306E-2</v>
      </c>
      <c r="V2874">
        <v>1.766738E-2</v>
      </c>
      <c r="W2874">
        <v>0.14971860000000001</v>
      </c>
      <c r="X2874">
        <v>0.98857079999999997</v>
      </c>
      <c r="Y2874">
        <v>4.3585110000000003E-2</v>
      </c>
      <c r="Z2874">
        <v>1.836947E-3</v>
      </c>
      <c r="AA2874">
        <v>0.99904809999999999</v>
      </c>
      <c r="AB2874">
        <v>16</v>
      </c>
      <c r="AC2874">
        <v>-30.511600000000001</v>
      </c>
      <c r="AD2874">
        <v>-1.1199432850329001</v>
      </c>
      <c r="AE2874">
        <v>0.430099999999981</v>
      </c>
      <c r="AF2874">
        <v>1.3330956129804401</v>
      </c>
      <c r="AG2874">
        <v>-1.1199432850329001</v>
      </c>
      <c r="AH2874">
        <v>30.444409835929701</v>
      </c>
      <c r="AI2874">
        <v>92.104746205158406</v>
      </c>
      <c r="AJ2874">
        <v>87.492741954578605</v>
      </c>
      <c r="AK2874">
        <v>30.494155294631302</v>
      </c>
      <c r="AL2874">
        <v>81.389380721268097</v>
      </c>
      <c r="AM2874">
        <v>88.976139535364496</v>
      </c>
      <c r="AN2874">
        <v>1.0000000110573299</v>
      </c>
    </row>
    <row r="2875" spans="1:40" x14ac:dyDescent="0.25">
      <c r="A2875" t="str">
        <f>"20190303161932122"</f>
        <v>20190303161932122</v>
      </c>
      <c r="B2875" t="str">
        <f>"1551601172115931"</f>
        <v>1551601172115931</v>
      </c>
      <c r="C2875" t="s">
        <v>40</v>
      </c>
      <c r="D2875">
        <v>4.5506070000000003</v>
      </c>
      <c r="E2875">
        <v>0.51015730000000004</v>
      </c>
      <c r="F2875" t="s">
        <v>52</v>
      </c>
      <c r="G2875">
        <v>-251.95269999999999</v>
      </c>
      <c r="H2875" s="1">
        <v>-4.9763459999999995E-7</v>
      </c>
      <c r="I2875">
        <v>283.46980000000002</v>
      </c>
      <c r="J2875">
        <v>-221.9785</v>
      </c>
      <c r="K2875">
        <v>1.1199319999999999</v>
      </c>
      <c r="L2875">
        <v>283.0086</v>
      </c>
      <c r="M2875">
        <v>-0.99958499999999995</v>
      </c>
      <c r="N2875">
        <v>-5.6762610000000002E-3</v>
      </c>
      <c r="O2875">
        <v>-2.8239460000000001E-2</v>
      </c>
      <c r="P2875">
        <v>-0.98961869999999996</v>
      </c>
      <c r="Q2875">
        <v>0.14338029999999999</v>
      </c>
      <c r="R2875">
        <v>-9.8499309999999993E-3</v>
      </c>
      <c r="S2875">
        <v>-3.0489350000000002</v>
      </c>
      <c r="T2875">
        <v>-0.1133976</v>
      </c>
      <c r="U2875">
        <v>4.6447750000000003E-2</v>
      </c>
      <c r="V2875">
        <v>1.8388069999999999E-2</v>
      </c>
      <c r="W2875">
        <v>0.14895949999999999</v>
      </c>
      <c r="X2875">
        <v>0.98867229999999995</v>
      </c>
      <c r="Y2875">
        <v>4.3414290000000001E-2</v>
      </c>
      <c r="Z2875">
        <v>1.819869E-3</v>
      </c>
      <c r="AA2875">
        <v>0.99905549999999999</v>
      </c>
      <c r="AB2875">
        <v>16</v>
      </c>
      <c r="AC2875">
        <v>-29.9742</v>
      </c>
      <c r="AD2875">
        <v>-1.1199324976345999</v>
      </c>
      <c r="AE2875">
        <v>0.46120000000001898</v>
      </c>
      <c r="AF2875">
        <v>1.3056626930491599</v>
      </c>
      <c r="AG2875">
        <v>-1.1199324976345999</v>
      </c>
      <c r="AH2875">
        <v>29.907480004935699</v>
      </c>
      <c r="AI2875">
        <v>92.142489500328693</v>
      </c>
      <c r="AJ2875">
        <v>87.500241088067497</v>
      </c>
      <c r="AK2875">
        <v>29.956908453859299</v>
      </c>
      <c r="AL2875">
        <v>81.433366987991505</v>
      </c>
      <c r="AM2875">
        <v>88.934492905776594</v>
      </c>
      <c r="AN2875">
        <v>0.99999998527293199</v>
      </c>
    </row>
    <row r="2876" spans="1:40" x14ac:dyDescent="0.25">
      <c r="A2876" t="str">
        <f>"20190303161932136"</f>
        <v>20190303161932136</v>
      </c>
      <c r="B2876" t="str">
        <f>"1551601172125691"</f>
        <v>1551601172125691</v>
      </c>
      <c r="C2876" t="s">
        <v>40</v>
      </c>
      <c r="D2876">
        <v>4.5733360000000003</v>
      </c>
      <c r="E2876">
        <v>0.50995729999999995</v>
      </c>
      <c r="F2876" t="s">
        <v>52</v>
      </c>
      <c r="G2876">
        <v>-251.1951</v>
      </c>
      <c r="H2876" s="1">
        <v>-9.0078959999999999E-7</v>
      </c>
      <c r="I2876">
        <v>283.51100000000002</v>
      </c>
      <c r="J2876">
        <v>-222.07929999999999</v>
      </c>
      <c r="K2876">
        <v>1.1199250000000001</v>
      </c>
      <c r="L2876">
        <v>283.00700000000001</v>
      </c>
      <c r="M2876">
        <v>-0.99961390000000006</v>
      </c>
      <c r="N2876">
        <v>-5.6809449999999997E-3</v>
      </c>
      <c r="O2876">
        <v>-2.7201369999999999E-2</v>
      </c>
      <c r="P2876">
        <v>-0.98966529999999997</v>
      </c>
      <c r="Q2876">
        <v>0.1431443</v>
      </c>
      <c r="R2876">
        <v>-8.5124669999999993E-3</v>
      </c>
      <c r="S2876">
        <v>-3.0489350000000002</v>
      </c>
      <c r="T2876">
        <v>-0.1168718</v>
      </c>
      <c r="U2876">
        <v>5.2429199999999898E-2</v>
      </c>
      <c r="V2876">
        <v>1.8700479999999998E-2</v>
      </c>
      <c r="W2876">
        <v>0.14872750000000001</v>
      </c>
      <c r="X2876">
        <v>0.98870139999999995</v>
      </c>
      <c r="Y2876">
        <v>4.433293E-2</v>
      </c>
      <c r="Z2876">
        <v>1.863013E-3</v>
      </c>
      <c r="AA2876">
        <v>0.99901510000000004</v>
      </c>
      <c r="AB2876">
        <v>17</v>
      </c>
      <c r="AC2876">
        <v>-29.1158</v>
      </c>
      <c r="AD2876">
        <v>-1.1199259007896001</v>
      </c>
      <c r="AE2876">
        <v>0.50399999999996203</v>
      </c>
      <c r="AF2876">
        <v>1.2939020940199899</v>
      </c>
      <c r="AG2876">
        <v>-1.1199259007896001</v>
      </c>
      <c r="AH2876">
        <v>29.048351576955199</v>
      </c>
      <c r="AI2876">
        <v>92.205694718280697</v>
      </c>
      <c r="AJ2876">
        <v>87.449557263339301</v>
      </c>
      <c r="AK2876">
        <v>29.098713820211401</v>
      </c>
      <c r="AL2876">
        <v>81.446809626831893</v>
      </c>
      <c r="AM2876">
        <v>88.916426298014798</v>
      </c>
      <c r="AN2876">
        <v>1.00000001778522</v>
      </c>
    </row>
    <row r="2877" spans="1:40" x14ac:dyDescent="0.25">
      <c r="A2877" t="str">
        <f>"20190303161932154"</f>
        <v>20190303161932154</v>
      </c>
      <c r="B2877" t="str">
        <f>"1551601172145211"</f>
        <v>1551601172145211</v>
      </c>
      <c r="C2877" t="s">
        <v>40</v>
      </c>
      <c r="D2877">
        <v>4.5818510000000003</v>
      </c>
      <c r="E2877">
        <v>0.5159686</v>
      </c>
      <c r="F2877" t="s">
        <v>52</v>
      </c>
      <c r="G2877">
        <v>-251.0128</v>
      </c>
      <c r="H2877" s="1">
        <v>-9.9780039999999997E-7</v>
      </c>
      <c r="I2877">
        <v>283.52280000000002</v>
      </c>
      <c r="J2877">
        <v>-222.22559999999999</v>
      </c>
      <c r="K2877">
        <v>1.1199159999999999</v>
      </c>
      <c r="L2877">
        <v>283.00479999999999</v>
      </c>
      <c r="M2877">
        <v>-0.99965380000000004</v>
      </c>
      <c r="N2877">
        <v>-5.6880180000000004E-3</v>
      </c>
      <c r="O2877">
        <v>-2.569372E-2</v>
      </c>
      <c r="P2877">
        <v>-0.98967249999999996</v>
      </c>
      <c r="Q2877">
        <v>0.14321600000000001</v>
      </c>
      <c r="R2877">
        <v>-6.1456180000000003E-3</v>
      </c>
      <c r="S2877">
        <v>-3.0488740000000001</v>
      </c>
      <c r="T2877">
        <v>-0.1180122</v>
      </c>
      <c r="U2877">
        <v>5.435181E-2</v>
      </c>
      <c r="V2877">
        <v>1.9577669999999998E-2</v>
      </c>
      <c r="W2877">
        <v>0.14880389999999999</v>
      </c>
      <c r="X2877">
        <v>0.98867289999999997</v>
      </c>
      <c r="Y2877">
        <v>4.3456870000000002E-2</v>
      </c>
      <c r="Z2877">
        <v>1.8122660000000001E-3</v>
      </c>
      <c r="AA2877">
        <v>0.99905370000000004</v>
      </c>
      <c r="AB2877">
        <v>17</v>
      </c>
      <c r="AC2877">
        <v>-28.787199999999999</v>
      </c>
      <c r="AD2877">
        <v>-1.1199169978004</v>
      </c>
      <c r="AE2877">
        <v>0.51800000000002899</v>
      </c>
      <c r="AF2877">
        <v>1.2555914352631901</v>
      </c>
      <c r="AG2877">
        <v>-1.1199169978004</v>
      </c>
      <c r="AH2877">
        <v>28.7209322820697</v>
      </c>
      <c r="AI2877">
        <v>92.230877798546402</v>
      </c>
      <c r="AJ2877">
        <v>87.496797392822202</v>
      </c>
      <c r="AK2877">
        <v>28.770169882805799</v>
      </c>
      <c r="AL2877">
        <v>81.442382770918897</v>
      </c>
      <c r="AM2877">
        <v>88.865579017144995</v>
      </c>
      <c r="AN2877">
        <v>0.99999999450612398</v>
      </c>
    </row>
    <row r="2878" spans="1:40" x14ac:dyDescent="0.25">
      <c r="A2878" t="str">
        <f>"20190303161932168"</f>
        <v>20190303161932168</v>
      </c>
      <c r="B2878" t="str">
        <f>"1551601172155946"</f>
        <v>1551601172155946</v>
      </c>
      <c r="C2878" t="s">
        <v>40</v>
      </c>
      <c r="D2878">
        <v>4.7039260000000001</v>
      </c>
      <c r="E2878">
        <v>0.52121459999999997</v>
      </c>
      <c r="F2878" t="s">
        <v>42</v>
      </c>
      <c r="G2878">
        <v>-223.03219999999999</v>
      </c>
      <c r="H2878">
        <v>1.046003</v>
      </c>
      <c r="I2878">
        <v>283.0335</v>
      </c>
      <c r="J2878">
        <v>-222.32499999999999</v>
      </c>
      <c r="K2878">
        <v>1.1199110000000001</v>
      </c>
      <c r="L2878">
        <v>283.00330000000002</v>
      </c>
      <c r="M2878">
        <v>-0.9996794</v>
      </c>
      <c r="N2878">
        <v>-5.6930119999999999E-3</v>
      </c>
      <c r="O2878">
        <v>-2.4669460000000001E-2</v>
      </c>
      <c r="P2878">
        <v>-0.98969910000000005</v>
      </c>
      <c r="Q2878">
        <v>0.14307890000000001</v>
      </c>
      <c r="R2878">
        <v>-4.8984479999999997E-3</v>
      </c>
      <c r="S2878">
        <v>-3.0727389999999999</v>
      </c>
      <c r="T2878">
        <v>-0.28160359999999901</v>
      </c>
      <c r="U2878">
        <v>0.1091003</v>
      </c>
      <c r="V2878">
        <v>1.981306E-2</v>
      </c>
      <c r="W2878">
        <v>0.14867139999999901</v>
      </c>
      <c r="X2878">
        <v>0.98868820000000002</v>
      </c>
      <c r="Y2878">
        <v>5.977039E-2</v>
      </c>
      <c r="Z2878">
        <v>5.0182120000000002E-3</v>
      </c>
      <c r="AA2878">
        <v>0.99819950000000002</v>
      </c>
      <c r="AB2878">
        <v>17</v>
      </c>
      <c r="AC2878">
        <v>-0.70720000000000005</v>
      </c>
      <c r="AD2878">
        <v>-7.3908000000000001E-2</v>
      </c>
      <c r="AE2878">
        <v>3.0199999999979299E-2</v>
      </c>
      <c r="AF2878">
        <v>4.7123591925556797E-2</v>
      </c>
      <c r="AG2878">
        <v>-7.3908000000000001E-2</v>
      </c>
      <c r="AH2878">
        <v>0.69862332739459898</v>
      </c>
      <c r="AI2878">
        <v>96.025320769796906</v>
      </c>
      <c r="AJ2878">
        <v>86.141126139032394</v>
      </c>
      <c r="AK2878">
        <v>0.70410054605849304</v>
      </c>
      <c r="AL2878">
        <v>81.450060331537102</v>
      </c>
      <c r="AM2878">
        <v>88.851960819369907</v>
      </c>
      <c r="AN2878">
        <v>1.0000000496718799</v>
      </c>
    </row>
    <row r="2879" spans="1:40" x14ac:dyDescent="0.25">
      <c r="A2879" t="str">
        <f>"20190303161932182"</f>
        <v>20190303161932182</v>
      </c>
      <c r="B2879" t="str">
        <f>"1551601172175467"</f>
        <v>1551601172175467</v>
      </c>
      <c r="C2879" t="s">
        <v>40</v>
      </c>
      <c r="D2879">
        <v>4.6529410000000002</v>
      </c>
      <c r="E2879">
        <v>0.52578519999999995</v>
      </c>
      <c r="F2879" t="s">
        <v>42</v>
      </c>
      <c r="G2879">
        <v>-223.17240000000001</v>
      </c>
      <c r="H2879">
        <v>1.019922</v>
      </c>
      <c r="I2879">
        <v>283.04599999999999</v>
      </c>
      <c r="J2879">
        <v>-222.43369999999999</v>
      </c>
      <c r="K2879">
        <v>1.1199030000000001</v>
      </c>
      <c r="L2879">
        <v>283.00189999999998</v>
      </c>
      <c r="M2879">
        <v>-0.9997064</v>
      </c>
      <c r="N2879">
        <v>-5.6987030000000003E-3</v>
      </c>
      <c r="O2879">
        <v>-2.3549480000000001E-2</v>
      </c>
      <c r="P2879">
        <v>-0.98972870000000002</v>
      </c>
      <c r="Q2879">
        <v>0.14291709999999999</v>
      </c>
      <c r="R2879">
        <v>-3.405276E-3</v>
      </c>
      <c r="S2879">
        <v>-3.084625</v>
      </c>
      <c r="T2879">
        <v>-0.36406060000000001</v>
      </c>
      <c r="U2879">
        <v>0.15435789999999999</v>
      </c>
      <c r="V2879">
        <v>2.0199950000000001E-2</v>
      </c>
      <c r="W2879">
        <v>0.14851389999999901</v>
      </c>
      <c r="X2879">
        <v>0.98870400000000003</v>
      </c>
      <c r="Y2879">
        <v>7.2808609999999996E-2</v>
      </c>
      <c r="Z2879">
        <v>7.1220519999999898E-3</v>
      </c>
      <c r="AA2879">
        <v>0.99732050000000005</v>
      </c>
      <c r="AB2879">
        <v>17</v>
      </c>
      <c r="AC2879">
        <v>-0.73870000000002201</v>
      </c>
      <c r="AD2879">
        <v>-9.9981000000000098E-2</v>
      </c>
      <c r="AE2879">
        <v>4.4100000000014399E-2</v>
      </c>
      <c r="AF2879">
        <v>6.03818540851477E-2</v>
      </c>
      <c r="AG2879">
        <v>-9.9981000000000098E-2</v>
      </c>
      <c r="AH2879">
        <v>0.72423650270400597</v>
      </c>
      <c r="AI2879">
        <v>97.833175624951494</v>
      </c>
      <c r="AJ2879">
        <v>85.234094647174501</v>
      </c>
      <c r="AK2879">
        <v>0.73359435692533104</v>
      </c>
      <c r="AL2879">
        <v>81.459185363783803</v>
      </c>
      <c r="AM2879">
        <v>88.829567912220099</v>
      </c>
      <c r="AN2879">
        <v>1.0000000080446001</v>
      </c>
    </row>
    <row r="2880" spans="1:40" x14ac:dyDescent="0.25">
      <c r="A2880" t="str">
        <f>"20190303161932199"</f>
        <v>20190303161932199</v>
      </c>
      <c r="B2880" t="str">
        <f>"1551601172195963"</f>
        <v>1551601172195963</v>
      </c>
      <c r="C2880" t="s">
        <v>40</v>
      </c>
      <c r="D2880">
        <v>4.6153259999999996</v>
      </c>
      <c r="E2880">
        <v>0.52729230000000005</v>
      </c>
      <c r="F2880" t="s">
        <v>42</v>
      </c>
      <c r="G2880">
        <v>-223.1601</v>
      </c>
      <c r="H2880">
        <v>0.99455020000000005</v>
      </c>
      <c r="I2880">
        <v>283.0478</v>
      </c>
      <c r="J2880">
        <v>-222.56319999999999</v>
      </c>
      <c r="K2880">
        <v>1.1198900000000001</v>
      </c>
      <c r="L2880">
        <v>283.00040000000001</v>
      </c>
      <c r="M2880">
        <v>-0.99973699999999999</v>
      </c>
      <c r="N2880">
        <v>-5.7058200000000003E-3</v>
      </c>
      <c r="O2880">
        <v>-2.2214560000000001E-2</v>
      </c>
      <c r="P2880">
        <v>-0.98984030000000001</v>
      </c>
      <c r="Q2880">
        <v>0.14217369999999999</v>
      </c>
      <c r="R2880">
        <v>-1.655054E-3</v>
      </c>
      <c r="S2880">
        <v>-3.109299</v>
      </c>
      <c r="T2880">
        <v>-0.5365124</v>
      </c>
      <c r="U2880">
        <v>0.1952209</v>
      </c>
      <c r="V2880">
        <v>2.0632049999999999E-2</v>
      </c>
      <c r="W2880">
        <v>0.14777680000000001</v>
      </c>
      <c r="X2880">
        <v>0.9888055</v>
      </c>
      <c r="Y2880">
        <v>8.3245719999999995E-2</v>
      </c>
      <c r="Z2880">
        <v>1.103812E-2</v>
      </c>
      <c r="AA2880">
        <v>0.99646789999999996</v>
      </c>
      <c r="AB2880">
        <v>17</v>
      </c>
      <c r="AC2880">
        <v>-0.59690000000000498</v>
      </c>
      <c r="AD2880">
        <v>-0.1253398</v>
      </c>
      <c r="AE2880">
        <v>4.7399999999981901E-2</v>
      </c>
      <c r="AF2880">
        <v>5.81024987919838E-2</v>
      </c>
      <c r="AG2880">
        <v>-0.1253398</v>
      </c>
      <c r="AH2880">
        <v>0.57069350816967102</v>
      </c>
      <c r="AI2880">
        <v>102.325290264066</v>
      </c>
      <c r="AJ2880">
        <v>84.186727644222103</v>
      </c>
      <c r="AK2880">
        <v>0.58717718458478896</v>
      </c>
      <c r="AL2880">
        <v>81.501889145411397</v>
      </c>
      <c r="AM2880">
        <v>88.804660900285796</v>
      </c>
      <c r="AN2880">
        <v>0.99999999046784604</v>
      </c>
    </row>
    <row r="2881" spans="1:40" x14ac:dyDescent="0.25">
      <c r="A2881" t="str">
        <f>"20190303161932224"</f>
        <v>20190303161932224</v>
      </c>
      <c r="B2881" t="str">
        <f>"1551601172215483"</f>
        <v>1551601172215483</v>
      </c>
      <c r="C2881" t="s">
        <v>40</v>
      </c>
      <c r="D2881">
        <v>4.6348089999999997</v>
      </c>
      <c r="E2881">
        <v>0.52779469999999995</v>
      </c>
      <c r="F2881" t="s">
        <v>42</v>
      </c>
      <c r="G2881">
        <v>-223.3021</v>
      </c>
      <c r="H2881">
        <v>0.97066399999999997</v>
      </c>
      <c r="I2881">
        <v>283.05099999999999</v>
      </c>
      <c r="J2881">
        <v>-222.75200000000001</v>
      </c>
      <c r="K2881">
        <v>1.119877</v>
      </c>
      <c r="L2881">
        <v>282.99849999999998</v>
      </c>
      <c r="M2881">
        <v>-0.99977830000000001</v>
      </c>
      <c r="N2881">
        <v>-5.7166179999999997E-3</v>
      </c>
      <c r="O2881">
        <v>-2.0269289999999999E-2</v>
      </c>
      <c r="P2881">
        <v>-0.98987320000000001</v>
      </c>
      <c r="Q2881">
        <v>0.14195360000000001</v>
      </c>
      <c r="R2881">
        <v>8.1019199999999897E-4</v>
      </c>
      <c r="S2881">
        <v>-3.1217039999999998</v>
      </c>
      <c r="T2881">
        <v>-0.63044480000000003</v>
      </c>
      <c r="U2881">
        <v>0.2134094</v>
      </c>
      <c r="V2881">
        <v>2.1175679999999999E-2</v>
      </c>
      <c r="W2881">
        <v>0.147566</v>
      </c>
      <c r="X2881">
        <v>0.98882550000000002</v>
      </c>
      <c r="Y2881">
        <v>8.6243639999999996E-2</v>
      </c>
      <c r="Z2881">
        <v>1.27951E-2</v>
      </c>
      <c r="AA2881">
        <v>0.99619190000000002</v>
      </c>
      <c r="AB2881">
        <v>17</v>
      </c>
      <c r="AC2881">
        <v>-0.55009999999998604</v>
      </c>
      <c r="AD2881">
        <v>-0.14921300000000001</v>
      </c>
      <c r="AE2881">
        <v>5.2500000000008998E-2</v>
      </c>
      <c r="AF2881">
        <v>5.93148353557469E-2</v>
      </c>
      <c r="AG2881">
        <v>-0.14921300000000001</v>
      </c>
      <c r="AH2881">
        <v>0.51162015680850903</v>
      </c>
      <c r="AI2881">
        <v>106.15670042206899</v>
      </c>
      <c r="AJ2881">
        <v>83.386920058113802</v>
      </c>
      <c r="AK2881">
        <v>0.53622565577846304</v>
      </c>
      <c r="AL2881">
        <v>81.514101075871295</v>
      </c>
      <c r="AM2881">
        <v>88.773199444058505</v>
      </c>
      <c r="AN2881">
        <v>1.00000000161485</v>
      </c>
    </row>
    <row r="2882" spans="1:40" x14ac:dyDescent="0.25">
      <c r="A2882" t="str">
        <f>"20190303161932245"</f>
        <v>20190303161932245</v>
      </c>
      <c r="B2882" t="str">
        <f>"1551601172235978"</f>
        <v>1551601172235978</v>
      </c>
      <c r="C2882" t="s">
        <v>40</v>
      </c>
      <c r="D2882">
        <v>4.6273369999999998</v>
      </c>
      <c r="E2882">
        <v>0.52836300000000003</v>
      </c>
      <c r="F2882" t="s">
        <v>42</v>
      </c>
      <c r="G2882">
        <v>-223.4546</v>
      </c>
      <c r="H2882">
        <v>0.96680750000000004</v>
      </c>
      <c r="I2882">
        <v>283.04919999999998</v>
      </c>
      <c r="J2882">
        <v>-222.9169</v>
      </c>
      <c r="K2882">
        <v>1.1198600000000001</v>
      </c>
      <c r="L2882">
        <v>282.99709999999999</v>
      </c>
      <c r="M2882">
        <v>-0.99981120000000001</v>
      </c>
      <c r="N2882">
        <v>-5.7263449999999999E-3</v>
      </c>
      <c r="O2882">
        <v>-1.8570420000000001E-2</v>
      </c>
      <c r="P2882">
        <v>-0.98987530000000001</v>
      </c>
      <c r="Q2882">
        <v>0.14190159999999999</v>
      </c>
      <c r="R2882">
        <v>3.3649439999999999E-3</v>
      </c>
      <c r="S2882">
        <v>-3.1282350000000001</v>
      </c>
      <c r="T2882">
        <v>-0.68142119999999995</v>
      </c>
      <c r="U2882">
        <v>0.22506709999999999</v>
      </c>
      <c r="V2882">
        <v>2.2051970000000001E-2</v>
      </c>
      <c r="W2882">
        <v>0.14752119999999999</v>
      </c>
      <c r="X2882">
        <v>0.98881300000000005</v>
      </c>
      <c r="Y2882">
        <v>8.7757699999999994E-2</v>
      </c>
      <c r="Z2882">
        <v>1.3578929999999999E-2</v>
      </c>
      <c r="AA2882">
        <v>0.99604930000000003</v>
      </c>
      <c r="AB2882">
        <v>17</v>
      </c>
      <c r="AC2882">
        <v>-0.53770000000000095</v>
      </c>
      <c r="AD2882">
        <v>-0.15305250000000001</v>
      </c>
      <c r="AE2882">
        <v>5.2099999999995802E-2</v>
      </c>
      <c r="AF2882">
        <v>5.7463975119367801E-2</v>
      </c>
      <c r="AG2882">
        <v>-0.15305250000000001</v>
      </c>
      <c r="AH2882">
        <v>0.49676537570654999</v>
      </c>
      <c r="AI2882">
        <v>107.017112159069</v>
      </c>
      <c r="AJ2882">
        <v>83.401563800437103</v>
      </c>
      <c r="AK2882">
        <v>0.52297515686085805</v>
      </c>
      <c r="AL2882">
        <v>81.516696072201995</v>
      </c>
      <c r="AM2882">
        <v>88.722432445140598</v>
      </c>
      <c r="AN2882">
        <v>0.99999997139966001</v>
      </c>
    </row>
    <row r="2883" spans="1:40" x14ac:dyDescent="0.25">
      <c r="A2883" t="str">
        <f>"20190303161932268"</f>
        <v>20190303161932268</v>
      </c>
      <c r="B2883" t="str">
        <f>"1551601172255502"</f>
        <v>1551601172255502</v>
      </c>
      <c r="C2883" t="s">
        <v>40</v>
      </c>
      <c r="D2883">
        <v>4.65489</v>
      </c>
      <c r="E2883">
        <v>0.52918290000000001</v>
      </c>
      <c r="F2883" t="s">
        <v>42</v>
      </c>
      <c r="G2883">
        <v>-223.60820000000001</v>
      </c>
      <c r="H2883">
        <v>0.96345709999999996</v>
      </c>
      <c r="I2883">
        <v>283.04930000000002</v>
      </c>
      <c r="J2883">
        <v>-223.08869999999999</v>
      </c>
      <c r="K2883">
        <v>1.1198429999999999</v>
      </c>
      <c r="L2883">
        <v>282.99590000000001</v>
      </c>
      <c r="M2883">
        <v>-0.99984240000000002</v>
      </c>
      <c r="N2883">
        <v>-5.7367939999999999E-3</v>
      </c>
      <c r="O2883">
        <v>-1.6803370000000001E-2</v>
      </c>
      <c r="P2883">
        <v>-0.98994369999999998</v>
      </c>
      <c r="Q2883">
        <v>0.1413682</v>
      </c>
      <c r="R2883">
        <v>5.1799469999999999E-3</v>
      </c>
      <c r="S2883">
        <v>-3.1314540000000002</v>
      </c>
      <c r="T2883">
        <v>-0.70847419999999905</v>
      </c>
      <c r="U2883">
        <v>0.23638919999999999</v>
      </c>
      <c r="V2883">
        <v>2.212101E-2</v>
      </c>
      <c r="W2883">
        <v>0.14699770000000001</v>
      </c>
      <c r="X2883">
        <v>0.98888949999999998</v>
      </c>
      <c r="Y2883">
        <v>8.931451E-2</v>
      </c>
      <c r="Z2883">
        <v>1.3878E-2</v>
      </c>
      <c r="AA2883">
        <v>0.99590679999999998</v>
      </c>
      <c r="AB2883">
        <v>17</v>
      </c>
      <c r="AC2883">
        <v>-0.51950000000002206</v>
      </c>
      <c r="AD2883">
        <v>-0.156385899999999</v>
      </c>
      <c r="AE2883">
        <v>5.3400000000010502E-2</v>
      </c>
      <c r="AF2883">
        <v>5.7009746514062501E-2</v>
      </c>
      <c r="AG2883">
        <v>-0.156385899999999</v>
      </c>
      <c r="AH2883">
        <v>0.47585795287857202</v>
      </c>
      <c r="AI2883">
        <v>108.07184002040501</v>
      </c>
      <c r="AJ2883">
        <v>83.168290239735398</v>
      </c>
      <c r="AK2883">
        <v>0.50413039209533095</v>
      </c>
      <c r="AL2883">
        <v>81.5470217148941</v>
      </c>
      <c r="AM2883">
        <v>88.718533094582696</v>
      </c>
      <c r="AN2883">
        <v>1.0000000530494699</v>
      </c>
    </row>
    <row r="2884" spans="1:40" x14ac:dyDescent="0.25">
      <c r="A2884" t="str">
        <f>"20190303161932280"</f>
        <v>20190303161932280</v>
      </c>
      <c r="B2884" t="str">
        <f>"1551601172275995"</f>
        <v>1551601172275995</v>
      </c>
      <c r="C2884" t="s">
        <v>40</v>
      </c>
      <c r="D2884">
        <v>4.6686579999999998</v>
      </c>
      <c r="E2884">
        <v>0.52973479999999995</v>
      </c>
      <c r="F2884" t="s">
        <v>42</v>
      </c>
      <c r="G2884">
        <v>-223.90610000000001</v>
      </c>
      <c r="H2884">
        <v>0.93147919999999995</v>
      </c>
      <c r="I2884">
        <v>283.06060000000002</v>
      </c>
      <c r="J2884">
        <v>-223.20179999999999</v>
      </c>
      <c r="K2884">
        <v>1.119834</v>
      </c>
      <c r="L2884">
        <v>282.99540000000002</v>
      </c>
      <c r="M2884">
        <v>-0.99986120000000001</v>
      </c>
      <c r="N2884">
        <v>-5.7438029999999996E-3</v>
      </c>
      <c r="O2884">
        <v>-1.5643230000000001E-2</v>
      </c>
      <c r="P2884">
        <v>-0.9900002</v>
      </c>
      <c r="Q2884">
        <v>0.14092099999999999</v>
      </c>
      <c r="R2884">
        <v>6.4001219999999899E-3</v>
      </c>
      <c r="S2884">
        <v>-3.132263</v>
      </c>
      <c r="T2884">
        <v>-0.72181930000000005</v>
      </c>
      <c r="U2884">
        <v>0.24774170000000001</v>
      </c>
      <c r="V2884">
        <v>2.219438E-2</v>
      </c>
      <c r="W2884">
        <v>0.14655760000000001</v>
      </c>
      <c r="X2884">
        <v>0.98895310000000003</v>
      </c>
      <c r="Y2884">
        <v>9.1596860000000002E-2</v>
      </c>
      <c r="Z2884">
        <v>1.4133700000000001E-2</v>
      </c>
      <c r="AA2884">
        <v>0.99569589999999997</v>
      </c>
      <c r="AB2884">
        <v>17</v>
      </c>
      <c r="AC2884">
        <v>-0.70430000000001702</v>
      </c>
      <c r="AD2884">
        <v>-0.18835479999999999</v>
      </c>
      <c r="AE2884">
        <v>6.5200000000004296E-2</v>
      </c>
      <c r="AF2884">
        <v>7.1163258486308903E-2</v>
      </c>
      <c r="AG2884">
        <v>-0.18835479999999999</v>
      </c>
      <c r="AH2884">
        <v>0.65662962950931703</v>
      </c>
      <c r="AI2884">
        <v>105.917142691853</v>
      </c>
      <c r="AJ2884">
        <v>83.814622038058104</v>
      </c>
      <c r="AK2884">
        <v>0.68680725854563596</v>
      </c>
      <c r="AL2884">
        <v>81.572513033792305</v>
      </c>
      <c r="AM2884">
        <v>88.714366862630499</v>
      </c>
      <c r="AN2884">
        <v>0.99999997731047696</v>
      </c>
    </row>
    <row r="2885" spans="1:40" x14ac:dyDescent="0.25">
      <c r="A2885" t="str">
        <f>"20190303161932301"</f>
        <v>20190303161932301</v>
      </c>
      <c r="B2885" t="str">
        <f>"1551601172295515"</f>
        <v>1551601172295515</v>
      </c>
      <c r="C2885" t="s">
        <v>40</v>
      </c>
      <c r="D2885">
        <v>4.680847</v>
      </c>
      <c r="E2885">
        <v>0.53028699999999995</v>
      </c>
      <c r="F2885" t="s">
        <v>42</v>
      </c>
      <c r="G2885">
        <v>-223.9162</v>
      </c>
      <c r="H2885">
        <v>0.95253779999999999</v>
      </c>
      <c r="I2885">
        <v>283.0539</v>
      </c>
      <c r="J2885">
        <v>-223.35599999999999</v>
      </c>
      <c r="K2885">
        <v>1.1198250000000001</v>
      </c>
      <c r="L2885">
        <v>282.9948</v>
      </c>
      <c r="M2885">
        <v>-0.99988460000000001</v>
      </c>
      <c r="N2885">
        <v>-5.7535019999999997E-3</v>
      </c>
      <c r="O2885">
        <v>-1.4065970000000001E-2</v>
      </c>
      <c r="P2885">
        <v>-0.99010909999999996</v>
      </c>
      <c r="Q2885">
        <v>0.1401232</v>
      </c>
      <c r="R2885">
        <v>7.0481279999999999E-3</v>
      </c>
      <c r="S2885">
        <v>-3.1330719999999999</v>
      </c>
      <c r="T2885">
        <v>-0.73376759999999996</v>
      </c>
      <c r="U2885">
        <v>0.25677489999999997</v>
      </c>
      <c r="V2885">
        <v>2.1282949999999998E-2</v>
      </c>
      <c r="W2885">
        <v>0.1457717</v>
      </c>
      <c r="X2885">
        <v>0.98908929999999995</v>
      </c>
      <c r="Y2885">
        <v>9.2775839999999998E-2</v>
      </c>
      <c r="Z2885">
        <v>1.4138499999999899E-2</v>
      </c>
      <c r="AA2885">
        <v>0.99558659999999999</v>
      </c>
      <c r="AB2885">
        <v>17</v>
      </c>
      <c r="AC2885">
        <v>-0.56020000000000802</v>
      </c>
      <c r="AD2885">
        <v>-0.167287199999999</v>
      </c>
      <c r="AE2885">
        <v>5.9100000000000798E-2</v>
      </c>
      <c r="AF2885">
        <v>6.1546124618037601E-2</v>
      </c>
      <c r="AG2885">
        <v>-0.167287199999999</v>
      </c>
      <c r="AH2885">
        <v>0.51398369159192303</v>
      </c>
      <c r="AI2885">
        <v>107.908924450285</v>
      </c>
      <c r="AJ2885">
        <v>83.1717237334732</v>
      </c>
      <c r="AK2885">
        <v>0.54401486005604605</v>
      </c>
      <c r="AL2885">
        <v>81.618030809725198</v>
      </c>
      <c r="AM2885">
        <v>88.767315488948299</v>
      </c>
      <c r="AN2885">
        <v>0.99999999792804095</v>
      </c>
    </row>
    <row r="2886" spans="1:40" x14ac:dyDescent="0.25">
      <c r="A2886" t="str">
        <f>"20190303161932314"</f>
        <v>20190303161932314</v>
      </c>
      <c r="B2886" t="str">
        <f>"1551601172305275"</f>
        <v>1551601172305275</v>
      </c>
      <c r="C2886" t="s">
        <v>40</v>
      </c>
      <c r="D2886">
        <v>4.654439</v>
      </c>
      <c r="E2886">
        <v>0.53051510000000002</v>
      </c>
      <c r="F2886" t="s">
        <v>42</v>
      </c>
      <c r="G2886">
        <v>-224.0729</v>
      </c>
      <c r="H2886">
        <v>0.95004480000000002</v>
      </c>
      <c r="I2886">
        <v>283.05529999999999</v>
      </c>
      <c r="J2886">
        <v>-223.46440000000001</v>
      </c>
      <c r="K2886">
        <v>1.119821</v>
      </c>
      <c r="L2886">
        <v>282.99450000000002</v>
      </c>
      <c r="M2886">
        <v>-0.99989939999999999</v>
      </c>
      <c r="N2886">
        <v>-5.7603970000000004E-3</v>
      </c>
      <c r="O2886">
        <v>-1.296103E-2</v>
      </c>
      <c r="P2886">
        <v>-0.99014159999999996</v>
      </c>
      <c r="Q2886">
        <v>0.139867299999999</v>
      </c>
      <c r="R2886">
        <v>7.547715E-3</v>
      </c>
      <c r="S2886">
        <v>-3.1331020000000001</v>
      </c>
      <c r="T2886">
        <v>-0.74196049999999902</v>
      </c>
      <c r="U2886">
        <v>0.26385500000000001</v>
      </c>
      <c r="V2886">
        <v>2.0689699999999998E-2</v>
      </c>
      <c r="W2886">
        <v>0.14552409999999999</v>
      </c>
      <c r="X2886">
        <v>0.98913839999999997</v>
      </c>
      <c r="Y2886">
        <v>9.3844720000000006E-2</v>
      </c>
      <c r="Z2886">
        <v>1.416536E-2</v>
      </c>
      <c r="AA2886">
        <v>0.99548610000000004</v>
      </c>
      <c r="AB2886">
        <v>17</v>
      </c>
      <c r="AC2886">
        <v>-0.60849999999999205</v>
      </c>
      <c r="AD2886">
        <v>-0.16977619999999899</v>
      </c>
      <c r="AE2886">
        <v>6.0799999999971897E-2</v>
      </c>
      <c r="AF2886">
        <v>6.3766922728978007E-2</v>
      </c>
      <c r="AG2886">
        <v>-0.16977619999999899</v>
      </c>
      <c r="AH2886">
        <v>0.56417647846169405</v>
      </c>
      <c r="AI2886">
        <v>106.64790173300899</v>
      </c>
      <c r="AJ2886">
        <v>83.551422799623097</v>
      </c>
      <c r="AK2886">
        <v>0.59260887385374394</v>
      </c>
      <c r="AL2886">
        <v>81.6323705986335</v>
      </c>
      <c r="AM2886">
        <v>88.801725165316796</v>
      </c>
      <c r="AN2886">
        <v>1.0000000508607201</v>
      </c>
    </row>
    <row r="2887" spans="1:40" x14ac:dyDescent="0.25">
      <c r="A2887" t="str">
        <f>"20190303161932333"</f>
        <v>20190303161932333</v>
      </c>
      <c r="B2887" t="str">
        <f>"1551601172325771"</f>
        <v>1551601172325771</v>
      </c>
      <c r="C2887" t="s">
        <v>40</v>
      </c>
      <c r="D2887">
        <v>4.698302</v>
      </c>
      <c r="E2887">
        <v>0.53099989999999997</v>
      </c>
      <c r="F2887" t="s">
        <v>42</v>
      </c>
      <c r="G2887">
        <v>-224.22630000000001</v>
      </c>
      <c r="H2887">
        <v>0.93869720000000001</v>
      </c>
      <c r="I2887">
        <v>283.05950000000001</v>
      </c>
      <c r="J2887">
        <v>-223.61609999999999</v>
      </c>
      <c r="K2887">
        <v>1.1198220000000001</v>
      </c>
      <c r="L2887">
        <v>282.99430000000001</v>
      </c>
      <c r="M2887">
        <v>-0.99991819999999998</v>
      </c>
      <c r="N2887">
        <v>-5.7701569999999997E-3</v>
      </c>
      <c r="O2887">
        <v>-1.142133E-2</v>
      </c>
      <c r="P2887">
        <v>-0.99012279999999997</v>
      </c>
      <c r="Q2887">
        <v>0.13995750000000001</v>
      </c>
      <c r="R2887">
        <v>8.3103599999999993E-3</v>
      </c>
      <c r="S2887">
        <v>-3.1330719999999999</v>
      </c>
      <c r="T2887">
        <v>-0.74497460000000004</v>
      </c>
      <c r="U2887">
        <v>0.267547599999999</v>
      </c>
      <c r="V2887">
        <v>1.9929189999999999E-2</v>
      </c>
      <c r="W2887">
        <v>0.145625</v>
      </c>
      <c r="X2887">
        <v>0.98913910000000005</v>
      </c>
      <c r="Y2887">
        <v>9.3504599999999993E-2</v>
      </c>
      <c r="Z2887">
        <v>1.3827849999999999E-2</v>
      </c>
      <c r="AA2887">
        <v>0.99552280000000004</v>
      </c>
      <c r="AB2887">
        <v>18</v>
      </c>
      <c r="AC2887">
        <v>-0.61020000000001995</v>
      </c>
      <c r="AD2887">
        <v>-0.181124799999999</v>
      </c>
      <c r="AE2887">
        <v>6.5200000000004296E-2</v>
      </c>
      <c r="AF2887">
        <v>6.63824108933386E-2</v>
      </c>
      <c r="AG2887">
        <v>-0.181124799999999</v>
      </c>
      <c r="AH2887">
        <v>0.56058175601042204</v>
      </c>
      <c r="AI2887">
        <v>107.789341157694</v>
      </c>
      <c r="AJ2887">
        <v>83.246654841994001</v>
      </c>
      <c r="AK2887">
        <v>0.59284460259226501</v>
      </c>
      <c r="AL2887">
        <v>81.626526661416705</v>
      </c>
      <c r="AM2887">
        <v>88.845759909706899</v>
      </c>
      <c r="AN2887">
        <v>0.99999998619393304</v>
      </c>
    </row>
    <row r="2888" spans="1:40" x14ac:dyDescent="0.25">
      <c r="A2888" t="str">
        <f>"20190303161932347"</f>
        <v>20190303161932347</v>
      </c>
      <c r="B2888" t="str">
        <f>"1551601172335531"</f>
        <v>1551601172335531</v>
      </c>
      <c r="C2888" t="s">
        <v>40</v>
      </c>
      <c r="D2888">
        <v>4.6896810000000002</v>
      </c>
      <c r="E2888">
        <v>0.5311013</v>
      </c>
      <c r="F2888" t="s">
        <v>42</v>
      </c>
      <c r="G2888">
        <v>-224.38419999999999</v>
      </c>
      <c r="H2888">
        <v>0.93507470000000004</v>
      </c>
      <c r="I2888">
        <v>283.06150000000002</v>
      </c>
      <c r="J2888">
        <v>-223.72620000000001</v>
      </c>
      <c r="K2888">
        <v>1.119821</v>
      </c>
      <c r="L2888">
        <v>282.99430000000001</v>
      </c>
      <c r="M2888">
        <v>-0.99993019999999999</v>
      </c>
      <c r="N2888">
        <v>-5.7773379999999999E-3</v>
      </c>
      <c r="O2888">
        <v>-1.030793E-2</v>
      </c>
      <c r="P2888">
        <v>-0.99010350000000003</v>
      </c>
      <c r="Q2888">
        <v>0.140046799999999</v>
      </c>
      <c r="R2888">
        <v>9.0666679999999999E-3</v>
      </c>
      <c r="S2888">
        <v>-3.1341860000000001</v>
      </c>
      <c r="T2888">
        <v>-0.75374169999999996</v>
      </c>
      <c r="U2888">
        <v>0.27325440000000001</v>
      </c>
      <c r="V2888">
        <v>1.9583650000000001E-2</v>
      </c>
      <c r="W2888">
        <v>0.1457222</v>
      </c>
      <c r="X2888">
        <v>0.98913169999999995</v>
      </c>
      <c r="Y2888">
        <v>9.4112169999999995E-2</v>
      </c>
      <c r="Z2888">
        <v>1.3794789999999999E-2</v>
      </c>
      <c r="AA2888">
        <v>0.99546599999999996</v>
      </c>
      <c r="AB2888">
        <v>18</v>
      </c>
      <c r="AC2888">
        <v>-0.65799999999998704</v>
      </c>
      <c r="AD2888">
        <v>-0.1847463</v>
      </c>
      <c r="AE2888">
        <v>6.7200000000013901E-2</v>
      </c>
      <c r="AF2888">
        <v>6.8625178279188404E-2</v>
      </c>
      <c r="AG2888">
        <v>-0.1847463</v>
      </c>
      <c r="AH2888">
        <v>0.60970455495313003</v>
      </c>
      <c r="AI2888">
        <v>106.757481042031</v>
      </c>
      <c r="AJ2888">
        <v>83.578112346820404</v>
      </c>
      <c r="AK2888">
        <v>0.64076536640812198</v>
      </c>
      <c r="AL2888">
        <v>81.620897574977803</v>
      </c>
      <c r="AM2888">
        <v>88.865758813104705</v>
      </c>
      <c r="AN2888">
        <v>0.99999999943252604</v>
      </c>
    </row>
    <row r="2889" spans="1:40" x14ac:dyDescent="0.25">
      <c r="A2889" t="str">
        <f>"20190303161932360"</f>
        <v>20190303161932360</v>
      </c>
      <c r="B2889" t="str">
        <f>"1551601172356026"</f>
        <v>1551601172356026</v>
      </c>
      <c r="C2889" t="s">
        <v>40</v>
      </c>
      <c r="D2889">
        <v>4.7007269999999997</v>
      </c>
      <c r="E2889">
        <v>0.53403500000000004</v>
      </c>
      <c r="F2889" t="s">
        <v>42</v>
      </c>
      <c r="G2889">
        <v>-224.53890000000001</v>
      </c>
      <c r="H2889">
        <v>0.92272650000000001</v>
      </c>
      <c r="I2889">
        <v>283.06630000000001</v>
      </c>
      <c r="J2889">
        <v>-223.83609999999999</v>
      </c>
      <c r="K2889">
        <v>1.1198189999999999</v>
      </c>
      <c r="L2889">
        <v>282.99439999999998</v>
      </c>
      <c r="M2889">
        <v>-0.99994110000000003</v>
      </c>
      <c r="N2889">
        <v>-5.7846199999999999E-3</v>
      </c>
      <c r="O2889">
        <v>-9.2004889999999992E-3</v>
      </c>
      <c r="P2889">
        <v>-0.99006919999999998</v>
      </c>
      <c r="Q2889">
        <v>0.14027129999999999</v>
      </c>
      <c r="R2889">
        <v>9.3307549999999996E-3</v>
      </c>
      <c r="S2889">
        <v>-3.134979</v>
      </c>
      <c r="T2889">
        <v>-0.76017979999999996</v>
      </c>
      <c r="U2889">
        <v>0.27703860000000002</v>
      </c>
      <c r="V2889">
        <v>1.875199E-2</v>
      </c>
      <c r="W2889">
        <v>0.14595520000000001</v>
      </c>
      <c r="X2889">
        <v>0.98911349999999998</v>
      </c>
      <c r="Y2889">
        <v>9.4160869999999994E-2</v>
      </c>
      <c r="Z2889">
        <v>1.365184E-2</v>
      </c>
      <c r="AA2889">
        <v>0.9954634</v>
      </c>
      <c r="AB2889">
        <v>18</v>
      </c>
      <c r="AC2889">
        <v>-0.70280000000002396</v>
      </c>
      <c r="AD2889">
        <v>-0.1970925</v>
      </c>
      <c r="AE2889">
        <v>7.1900000000027803E-2</v>
      </c>
      <c r="AF2889">
        <v>7.2704476322662095E-2</v>
      </c>
      <c r="AG2889">
        <v>-0.1970925</v>
      </c>
      <c r="AH2889">
        <v>0.65140867693197502</v>
      </c>
      <c r="AI2889">
        <v>106.735844378753</v>
      </c>
      <c r="AJ2889">
        <v>83.631508668853598</v>
      </c>
      <c r="AK2889">
        <v>0.68444478142204301</v>
      </c>
      <c r="AL2889">
        <v>81.607403698667596</v>
      </c>
      <c r="AM2889">
        <v>88.913894926427105</v>
      </c>
      <c r="AN2889">
        <v>1.00000003670912</v>
      </c>
    </row>
    <row r="2890" spans="1:40" x14ac:dyDescent="0.25">
      <c r="A2890" t="str">
        <f>"20190303161932377"</f>
        <v>20190303161932377</v>
      </c>
      <c r="B2890" t="str">
        <f>"1551601172375547"</f>
        <v>1551601172375547</v>
      </c>
      <c r="C2890" t="s">
        <v>40</v>
      </c>
      <c r="D2890">
        <v>4.7179890000000002</v>
      </c>
      <c r="E2890">
        <v>0.53365899999999999</v>
      </c>
      <c r="F2890" t="s">
        <v>42</v>
      </c>
      <c r="G2890">
        <v>-224.5361</v>
      </c>
      <c r="H2890">
        <v>0.91694989999999998</v>
      </c>
      <c r="I2890">
        <v>283.06139999999999</v>
      </c>
      <c r="J2890">
        <v>-223.9734</v>
      </c>
      <c r="K2890">
        <v>1.1198189999999999</v>
      </c>
      <c r="L2890">
        <v>282.99470000000002</v>
      </c>
      <c r="M2890">
        <v>-0.99995270000000003</v>
      </c>
      <c r="N2890">
        <v>-5.7940149999999996E-3</v>
      </c>
      <c r="O2890">
        <v>-7.8231589999999997E-3</v>
      </c>
      <c r="P2890">
        <v>-0.9900852</v>
      </c>
      <c r="Q2890">
        <v>0.14012149999999901</v>
      </c>
      <c r="R2890">
        <v>9.8753520000000004E-3</v>
      </c>
      <c r="S2890">
        <v>-3.15686</v>
      </c>
      <c r="T2890">
        <v>-0.91479900000000003</v>
      </c>
      <c r="U2890">
        <v>0.30148320000000001</v>
      </c>
      <c r="V2890">
        <v>1.7934039999999998E-2</v>
      </c>
      <c r="W2890">
        <v>0.145817</v>
      </c>
      <c r="X2890">
        <v>0.98914899999999994</v>
      </c>
      <c r="Y2890">
        <v>9.8447759999999995E-2</v>
      </c>
      <c r="Z2890">
        <v>1.6410879999999999E-2</v>
      </c>
      <c r="AA2890">
        <v>0.99500690000000003</v>
      </c>
      <c r="AB2890">
        <v>18</v>
      </c>
      <c r="AC2890">
        <v>-0.56270000000000597</v>
      </c>
      <c r="AD2890">
        <v>-0.2028691</v>
      </c>
      <c r="AE2890">
        <v>6.6699999999968895E-2</v>
      </c>
      <c r="AF2890">
        <v>6.3022000349168494E-2</v>
      </c>
      <c r="AG2890">
        <v>-0.2028691</v>
      </c>
      <c r="AH2890">
        <v>0.49829039236769501</v>
      </c>
      <c r="AI2890">
        <v>111.99439970742201</v>
      </c>
      <c r="AJ2890">
        <v>82.791705889341699</v>
      </c>
      <c r="AK2890">
        <v>0.54168344943220503</v>
      </c>
      <c r="AL2890">
        <v>81.615407175334795</v>
      </c>
      <c r="AM2890">
        <v>88.961296801014797</v>
      </c>
      <c r="AN2890">
        <v>0.99999998574035998</v>
      </c>
    </row>
    <row r="2891" spans="1:40" x14ac:dyDescent="0.25">
      <c r="A2891" t="str">
        <f>"20190303161932391"</f>
        <v>20190303161932391</v>
      </c>
      <c r="B2891" t="str">
        <f>"1551601172385307"</f>
        <v>1551601172385307</v>
      </c>
      <c r="C2891" t="s">
        <v>40</v>
      </c>
      <c r="D2891">
        <v>4.7136779999999998</v>
      </c>
      <c r="E2891">
        <v>0.53352599999999994</v>
      </c>
      <c r="F2891" t="s">
        <v>42</v>
      </c>
      <c r="G2891">
        <v>-224.69460000000001</v>
      </c>
      <c r="H2891">
        <v>0.9098984</v>
      </c>
      <c r="I2891">
        <v>283.06400000000002</v>
      </c>
      <c r="J2891">
        <v>-224.07859999999999</v>
      </c>
      <c r="K2891">
        <v>1.11982</v>
      </c>
      <c r="L2891">
        <v>282.99509999999998</v>
      </c>
      <c r="M2891">
        <v>-0.99996039999999997</v>
      </c>
      <c r="N2891">
        <v>-5.8014490000000002E-3</v>
      </c>
      <c r="O2891">
        <v>-6.7719800000000004E-3</v>
      </c>
      <c r="P2891">
        <v>-0.99005759999999998</v>
      </c>
      <c r="Q2891">
        <v>0.1402803</v>
      </c>
      <c r="R2891">
        <v>1.0381720000000001E-2</v>
      </c>
      <c r="S2891">
        <v>-3.1570130000000001</v>
      </c>
      <c r="T2891">
        <v>-0.91858879999999998</v>
      </c>
      <c r="U2891">
        <v>0.30221559999999997</v>
      </c>
      <c r="V2891">
        <v>1.7400740000000001E-2</v>
      </c>
      <c r="W2891">
        <v>0.145984</v>
      </c>
      <c r="X2891">
        <v>0.98913390000000001</v>
      </c>
      <c r="Y2891">
        <v>9.7665559999999998E-2</v>
      </c>
      <c r="Z2891">
        <v>1.6067999999999999E-2</v>
      </c>
      <c r="AA2891">
        <v>0.99508960000000002</v>
      </c>
      <c r="AB2891">
        <v>18</v>
      </c>
      <c r="AC2891">
        <v>-0.61600000000001298</v>
      </c>
      <c r="AD2891">
        <v>-0.20992160000000001</v>
      </c>
      <c r="AE2891">
        <v>6.89000000000419E-2</v>
      </c>
      <c r="AF2891">
        <v>6.5551453326267106E-2</v>
      </c>
      <c r="AG2891">
        <v>-0.20992160000000001</v>
      </c>
      <c r="AH2891">
        <v>0.55218512404400799</v>
      </c>
      <c r="AI2891">
        <v>110.682246779504</v>
      </c>
      <c r="AJ2891">
        <v>83.229940668778099</v>
      </c>
      <c r="AK2891">
        <v>0.594367295866152</v>
      </c>
      <c r="AL2891">
        <v>81.605735345657706</v>
      </c>
      <c r="AM2891">
        <v>88.992162604222798</v>
      </c>
      <c r="AN2891">
        <v>0.99999999306887799</v>
      </c>
    </row>
    <row r="2892" spans="1:40" x14ac:dyDescent="0.25">
      <c r="A2892" t="str">
        <f>"20190303161932403"</f>
        <v>20190303161932403</v>
      </c>
      <c r="B2892" t="str">
        <f>"1551601172396044"</f>
        <v>1551601172396044</v>
      </c>
      <c r="C2892" t="s">
        <v>40</v>
      </c>
      <c r="D2892">
        <v>4.7352470000000002</v>
      </c>
      <c r="E2892">
        <v>0.53349669999999905</v>
      </c>
      <c r="F2892" t="s">
        <v>42</v>
      </c>
      <c r="G2892">
        <v>-224.85120000000001</v>
      </c>
      <c r="H2892">
        <v>0.8958528</v>
      </c>
      <c r="I2892">
        <v>283.06950000000001</v>
      </c>
      <c r="J2892">
        <v>-224.18450000000001</v>
      </c>
      <c r="K2892">
        <v>1.119815</v>
      </c>
      <c r="L2892">
        <v>282.99549999999999</v>
      </c>
      <c r="M2892">
        <v>-0.99996689999999999</v>
      </c>
      <c r="N2892">
        <v>-5.8091410000000003E-3</v>
      </c>
      <c r="O2892">
        <v>-5.7151959999999996E-3</v>
      </c>
      <c r="P2892">
        <v>-0.99002639999999997</v>
      </c>
      <c r="Q2892">
        <v>0.14045959999999999</v>
      </c>
      <c r="R2892">
        <v>1.09129E-2</v>
      </c>
      <c r="S2892">
        <v>-3.1566010000000002</v>
      </c>
      <c r="T2892">
        <v>-0.91494770000000003</v>
      </c>
      <c r="U2892">
        <v>0.303894</v>
      </c>
      <c r="V2892">
        <v>1.688717E-2</v>
      </c>
      <c r="W2892">
        <v>0.1461722</v>
      </c>
      <c r="X2892">
        <v>0.98911499999999997</v>
      </c>
      <c r="Y2892">
        <v>9.7242640000000005E-2</v>
      </c>
      <c r="Z2892">
        <v>1.5654959999999999E-2</v>
      </c>
      <c r="AA2892">
        <v>0.99513759999999996</v>
      </c>
      <c r="AB2892">
        <v>18</v>
      </c>
      <c r="AC2892">
        <v>-0.66669999999999097</v>
      </c>
      <c r="AD2892">
        <v>-0.2239622</v>
      </c>
      <c r="AE2892">
        <v>7.4000000000012195E-2</v>
      </c>
      <c r="AF2892">
        <v>7.0005439726945007E-2</v>
      </c>
      <c r="AG2892">
        <v>-0.2239622</v>
      </c>
      <c r="AH2892">
        <v>0.59944416577905901</v>
      </c>
      <c r="AI2892">
        <v>110.35960975830599</v>
      </c>
      <c r="AJ2892">
        <v>83.338947114204998</v>
      </c>
      <c r="AK2892">
        <v>0.64373374659617999</v>
      </c>
      <c r="AL2892">
        <v>81.594835295595701</v>
      </c>
      <c r="AM2892">
        <v>89.0218836288891</v>
      </c>
      <c r="AN2892">
        <v>0.99999998589422401</v>
      </c>
    </row>
    <row r="2893" spans="1:40" x14ac:dyDescent="0.25">
      <c r="A2893" t="str">
        <f>"20190303161932425"</f>
        <v>20190303161932425</v>
      </c>
      <c r="B2893" t="str">
        <f>"1551601172415563"</f>
        <v>1551601172415563</v>
      </c>
      <c r="C2893" t="s">
        <v>40</v>
      </c>
      <c r="D2893">
        <v>4.7173740000000004</v>
      </c>
      <c r="E2893">
        <v>0.53399859999999999</v>
      </c>
      <c r="F2893" t="s">
        <v>42</v>
      </c>
      <c r="G2893">
        <v>-224.86279999999999</v>
      </c>
      <c r="H2893">
        <v>0.92302600000000001</v>
      </c>
      <c r="I2893">
        <v>283.06130000000002</v>
      </c>
      <c r="J2893">
        <v>-224.351</v>
      </c>
      <c r="K2893">
        <v>1.119812</v>
      </c>
      <c r="L2893">
        <v>282.99650000000003</v>
      </c>
      <c r="M2893">
        <v>-0.99997480000000005</v>
      </c>
      <c r="N2893">
        <v>-5.8215480000000002E-3</v>
      </c>
      <c r="O2893">
        <v>-4.059862E-3</v>
      </c>
      <c r="P2893">
        <v>-0.98988810000000005</v>
      </c>
      <c r="Q2893">
        <v>0.141323799999999</v>
      </c>
      <c r="R2893">
        <v>1.2214259999999999E-2</v>
      </c>
      <c r="S2893">
        <v>-3.1567989999999999</v>
      </c>
      <c r="T2893">
        <v>-0.91585289999999997</v>
      </c>
      <c r="U2893">
        <v>0.30590820000000002</v>
      </c>
      <c r="V2893">
        <v>1.6553419999999999E-2</v>
      </c>
      <c r="W2893">
        <v>0.14704809999999999</v>
      </c>
      <c r="X2893">
        <v>0.98899079999999995</v>
      </c>
      <c r="Y2893">
        <v>9.6315129999999999E-2</v>
      </c>
      <c r="Z2893">
        <v>1.507436E-2</v>
      </c>
      <c r="AA2893">
        <v>0.99523680000000003</v>
      </c>
      <c r="AB2893">
        <v>18</v>
      </c>
      <c r="AC2893">
        <v>-0.51179999999999304</v>
      </c>
      <c r="AD2893">
        <v>-0.19678599999999999</v>
      </c>
      <c r="AE2893">
        <v>6.4799999999991004E-2</v>
      </c>
      <c r="AF2893">
        <v>5.8382352999711E-2</v>
      </c>
      <c r="AG2893">
        <v>-0.19678599999999999</v>
      </c>
      <c r="AH2893">
        <v>0.44655608635952598</v>
      </c>
      <c r="AI2893">
        <v>113.603220994154</v>
      </c>
      <c r="AJ2893">
        <v>82.551446743120295</v>
      </c>
      <c r="AK2893">
        <v>0.49147285500068</v>
      </c>
      <c r="AL2893">
        <v>81.544101668469906</v>
      </c>
      <c r="AM2893">
        <v>89.041090626190496</v>
      </c>
      <c r="AN2893">
        <v>0.99999998095597298</v>
      </c>
    </row>
    <row r="2894" spans="1:40" x14ac:dyDescent="0.25">
      <c r="A2894" t="str">
        <f>"20190303161932447"</f>
        <v>20190303161932447</v>
      </c>
      <c r="B2894" t="str">
        <f>"1551601172436059"</f>
        <v>1551601172436059</v>
      </c>
      <c r="C2894" t="s">
        <v>40</v>
      </c>
      <c r="D2894">
        <v>4.7560129999999896</v>
      </c>
      <c r="E2894">
        <v>0.53462759999999998</v>
      </c>
      <c r="F2894" t="s">
        <v>42</v>
      </c>
      <c r="G2894">
        <v>-225.02690000000001</v>
      </c>
      <c r="H2894">
        <v>0.92478190000000005</v>
      </c>
      <c r="I2894">
        <v>283.0641</v>
      </c>
      <c r="J2894">
        <v>-224.53569999999999</v>
      </c>
      <c r="K2894">
        <v>1.1198079999999999</v>
      </c>
      <c r="L2894">
        <v>282.99779999999998</v>
      </c>
      <c r="M2894">
        <v>-0.9999806</v>
      </c>
      <c r="N2894">
        <v>-5.8361079999999996E-3</v>
      </c>
      <c r="O2894">
        <v>-2.227971E-3</v>
      </c>
      <c r="P2894">
        <v>-0.98983679999999996</v>
      </c>
      <c r="Q2894">
        <v>0.14156340000000001</v>
      </c>
      <c r="R2894">
        <v>1.352692E-2</v>
      </c>
      <c r="S2894">
        <v>-3.156784</v>
      </c>
      <c r="T2894">
        <v>-0.91077030000000003</v>
      </c>
      <c r="U2894">
        <v>0.31478879999999998</v>
      </c>
      <c r="V2894">
        <v>1.6056560000000001E-2</v>
      </c>
      <c r="W2894">
        <v>0.14730279999999901</v>
      </c>
      <c r="X2894">
        <v>0.98896110000000004</v>
      </c>
      <c r="Y2894">
        <v>9.7340839999999998E-2</v>
      </c>
      <c r="Z2894">
        <v>1.4635570000000001E-2</v>
      </c>
      <c r="AA2894">
        <v>0.99514349999999996</v>
      </c>
      <c r="AB2894">
        <v>18</v>
      </c>
      <c r="AC2894">
        <v>-0.49120000000002001</v>
      </c>
      <c r="AD2894">
        <v>-0.19502610000000001</v>
      </c>
      <c r="AE2894">
        <v>6.6300000000012405E-2</v>
      </c>
      <c r="AF2894">
        <v>5.8359066960314503E-2</v>
      </c>
      <c r="AG2894">
        <v>-0.19502610000000001</v>
      </c>
      <c r="AH2894">
        <v>0.42521860562849401</v>
      </c>
      <c r="AI2894">
        <v>114.43654969595499</v>
      </c>
      <c r="AJ2894">
        <v>82.185271314552807</v>
      </c>
      <c r="AK2894">
        <v>0.47143591605893698</v>
      </c>
      <c r="AL2894">
        <v>81.529347868933996</v>
      </c>
      <c r="AM2894">
        <v>89.069839754982993</v>
      </c>
      <c r="AN2894">
        <v>0.99999999266004103</v>
      </c>
    </row>
    <row r="2895" spans="1:40" x14ac:dyDescent="0.25">
      <c r="A2895" t="str">
        <f>"20190303161932468"</f>
        <v>20190303161932468</v>
      </c>
      <c r="B2895" t="str">
        <f>"1551601172465339"</f>
        <v>1551601172465339</v>
      </c>
      <c r="C2895" t="s">
        <v>40</v>
      </c>
      <c r="D2895">
        <v>4.7891959999999996</v>
      </c>
      <c r="E2895">
        <v>0.53499849999999904</v>
      </c>
      <c r="F2895" t="s">
        <v>42</v>
      </c>
      <c r="G2895">
        <v>-225.34110000000001</v>
      </c>
      <c r="H2895">
        <v>0.88989319999999905</v>
      </c>
      <c r="I2895">
        <v>283.08089999999999</v>
      </c>
      <c r="J2895">
        <v>-224.70570000000001</v>
      </c>
      <c r="K2895">
        <v>1.119799</v>
      </c>
      <c r="L2895">
        <v>282.99939999999998</v>
      </c>
      <c r="M2895">
        <v>-0.9999827</v>
      </c>
      <c r="N2895">
        <v>-5.8498400000000002E-3</v>
      </c>
      <c r="O2895">
        <v>-5.441364E-4</v>
      </c>
      <c r="P2895">
        <v>-0.98980610000000002</v>
      </c>
      <c r="Q2895">
        <v>0.14171300000000001</v>
      </c>
      <c r="R2895">
        <v>1.419661E-2</v>
      </c>
      <c r="S2895">
        <v>-3.155151</v>
      </c>
      <c r="T2895">
        <v>-0.90043059999999997</v>
      </c>
      <c r="U2895">
        <v>0.32434079999999998</v>
      </c>
      <c r="V2895">
        <v>1.5063089999999999E-2</v>
      </c>
      <c r="W2895">
        <v>0.1474674</v>
      </c>
      <c r="X2895">
        <v>0.98895219999999995</v>
      </c>
      <c r="Y2895">
        <v>9.8791290000000004E-2</v>
      </c>
      <c r="Z2895">
        <v>1.423078E-2</v>
      </c>
      <c r="AA2895">
        <v>0.99500639999999996</v>
      </c>
      <c r="AB2895">
        <v>18</v>
      </c>
      <c r="AC2895">
        <v>-0.63540000000000396</v>
      </c>
      <c r="AD2895">
        <v>-0.22990579999999999</v>
      </c>
      <c r="AE2895">
        <v>8.1500000000005401E-2</v>
      </c>
      <c r="AF2895">
        <v>7.2506804461163102E-2</v>
      </c>
      <c r="AG2895">
        <v>-0.22990579999999999</v>
      </c>
      <c r="AH2895">
        <v>0.56285888870885903</v>
      </c>
      <c r="AI2895">
        <v>112.053527138974</v>
      </c>
      <c r="AJ2895">
        <v>82.659651136880299</v>
      </c>
      <c r="AK2895">
        <v>0.61231041324264701</v>
      </c>
      <c r="AL2895">
        <v>81.519812850437503</v>
      </c>
      <c r="AM2895">
        <v>89.127374658075993</v>
      </c>
      <c r="AN2895">
        <v>0.99999999231397396</v>
      </c>
    </row>
    <row r="2896" spans="1:40" x14ac:dyDescent="0.25">
      <c r="A2896" t="str">
        <f>"20190303161932481"</f>
        <v>20190303161932481</v>
      </c>
      <c r="B2896" t="str">
        <f>"1551601172476075"</f>
        <v>1551601172476075</v>
      </c>
      <c r="C2896" t="s">
        <v>40</v>
      </c>
      <c r="D2896">
        <v>4.9145320000000003</v>
      </c>
      <c r="E2896">
        <v>0.53499849999999904</v>
      </c>
      <c r="F2896" t="s">
        <v>42</v>
      </c>
      <c r="G2896">
        <v>-225.50800000000001</v>
      </c>
      <c r="H2896">
        <v>0.89251639999999999</v>
      </c>
      <c r="I2896">
        <v>283.08359999999999</v>
      </c>
      <c r="J2896">
        <v>-224.82429999999999</v>
      </c>
      <c r="K2896">
        <v>1.119793</v>
      </c>
      <c r="L2896">
        <v>283.00060000000002</v>
      </c>
      <c r="M2896">
        <v>-0.99998260000000005</v>
      </c>
      <c r="N2896">
        <v>-5.8596560000000004E-3</v>
      </c>
      <c r="O2896">
        <v>6.2954139999999998E-4</v>
      </c>
      <c r="P2896">
        <v>-0.98976520000000001</v>
      </c>
      <c r="Q2896">
        <v>0.1419464</v>
      </c>
      <c r="R2896">
        <v>1.4706769999999999E-2</v>
      </c>
      <c r="S2896">
        <v>-3.154099</v>
      </c>
      <c r="T2896">
        <v>-0.89355669999999898</v>
      </c>
      <c r="U2896">
        <v>0.33074949999999997</v>
      </c>
      <c r="V2896">
        <v>1.441452E-2</v>
      </c>
      <c r="W2896">
        <v>0.14771219999999999</v>
      </c>
      <c r="X2896">
        <v>0.98892530000000001</v>
      </c>
      <c r="Y2896">
        <v>9.9722149999999996E-2</v>
      </c>
      <c r="Z2896">
        <v>1.394513E-2</v>
      </c>
      <c r="AA2896">
        <v>0.99491759999999996</v>
      </c>
      <c r="AB2896">
        <v>18</v>
      </c>
      <c r="AC2896">
        <v>-0.68369999999998698</v>
      </c>
      <c r="AD2896">
        <v>-0.227276599999999</v>
      </c>
      <c r="AE2896">
        <v>8.2999999999969903E-2</v>
      </c>
      <c r="AF2896">
        <v>7.4460835669143202E-2</v>
      </c>
      <c r="AG2896">
        <v>-0.227276599999999</v>
      </c>
      <c r="AH2896">
        <v>0.61660441032147095</v>
      </c>
      <c r="AI2896">
        <v>110.099357950956</v>
      </c>
      <c r="AJ2896">
        <v>83.114332464865299</v>
      </c>
      <c r="AK2896">
        <v>0.66136228179719703</v>
      </c>
      <c r="AL2896">
        <v>81.505631268551795</v>
      </c>
      <c r="AM2896">
        <v>89.164919050954396</v>
      </c>
      <c r="AN2896">
        <v>0.999999960697879</v>
      </c>
    </row>
    <row r="2897" spans="1:40" x14ac:dyDescent="0.25">
      <c r="A2897" t="str">
        <f>"20190303161932496"</f>
        <v>20190303161932496</v>
      </c>
      <c r="B2897" t="str">
        <f>"1551601172485835"</f>
        <v>1551601172485835</v>
      </c>
      <c r="C2897" t="s">
        <v>40</v>
      </c>
      <c r="D2897">
        <v>4.7851410000000003</v>
      </c>
      <c r="E2897">
        <v>0.53271930000000001</v>
      </c>
      <c r="F2897" t="s">
        <v>42</v>
      </c>
      <c r="G2897">
        <v>-225.52070000000001</v>
      </c>
      <c r="H2897">
        <v>0.92268320000000004</v>
      </c>
      <c r="I2897">
        <v>283.07420000000002</v>
      </c>
      <c r="J2897">
        <v>-224.94290000000001</v>
      </c>
      <c r="K2897">
        <v>1.1197889999999999</v>
      </c>
      <c r="L2897">
        <v>283.00200000000001</v>
      </c>
      <c r="M2897">
        <v>-0.99998129999999996</v>
      </c>
      <c r="N2897">
        <v>-5.8695500000000003E-3</v>
      </c>
      <c r="O2897">
        <v>1.8036949999999999E-3</v>
      </c>
      <c r="P2897">
        <v>-0.98968999999999996</v>
      </c>
      <c r="Q2897">
        <v>0.14239479999999999</v>
      </c>
      <c r="R2897">
        <v>1.5422379999999999E-2</v>
      </c>
      <c r="S2897">
        <v>-3.1541139999999999</v>
      </c>
      <c r="T2897">
        <v>-0.89274549999999997</v>
      </c>
      <c r="U2897">
        <v>0.33270260000000001</v>
      </c>
      <c r="V2897">
        <v>1.39715E-2</v>
      </c>
      <c r="W2897">
        <v>0.1481701</v>
      </c>
      <c r="X2897">
        <v>0.98886320000000005</v>
      </c>
      <c r="Y2897">
        <v>9.9233559999999998E-2</v>
      </c>
      <c r="Z2897">
        <v>1.354582E-2</v>
      </c>
      <c r="AA2897">
        <v>0.99497199999999997</v>
      </c>
      <c r="AB2897">
        <v>18</v>
      </c>
      <c r="AC2897">
        <v>-0.57779999999999598</v>
      </c>
      <c r="AD2897">
        <v>-0.197105799999999</v>
      </c>
      <c r="AE2897">
        <v>7.2200000000009298E-2</v>
      </c>
      <c r="AF2897">
        <v>6.3842511152695194E-2</v>
      </c>
      <c r="AG2897">
        <v>-0.197105799999999</v>
      </c>
      <c r="AH2897">
        <v>0.51851679269909201</v>
      </c>
      <c r="AI2897">
        <v>110.670731305131</v>
      </c>
      <c r="AJ2897">
        <v>82.980770505360795</v>
      </c>
      <c r="AK2897">
        <v>0.55837821137189403</v>
      </c>
      <c r="AL2897">
        <v>81.479104002852907</v>
      </c>
      <c r="AM2897">
        <v>89.190530375820501</v>
      </c>
      <c r="AN2897">
        <v>1.00000000483025</v>
      </c>
    </row>
    <row r="2898" spans="1:40" x14ac:dyDescent="0.25">
      <c r="A2898" t="str">
        <f>"20190303161932513"</f>
        <v>20190303161932513</v>
      </c>
      <c r="B2898" t="str">
        <f>"1551601172505356"</f>
        <v>1551601172505356</v>
      </c>
      <c r="C2898" t="s">
        <v>40</v>
      </c>
      <c r="D2898">
        <v>4.8331480000000004</v>
      </c>
      <c r="E2898">
        <v>0.48796919999999999</v>
      </c>
      <c r="F2898" t="s">
        <v>42</v>
      </c>
      <c r="G2898">
        <v>-225.685</v>
      </c>
      <c r="H2898">
        <v>0.91745880000000002</v>
      </c>
      <c r="I2898">
        <v>283.07679999999999</v>
      </c>
      <c r="J2898">
        <v>-225.08279999999999</v>
      </c>
      <c r="K2898">
        <v>1.1197859999999999</v>
      </c>
      <c r="L2898">
        <v>283.00389999999999</v>
      </c>
      <c r="M2898">
        <v>-0.99997780000000003</v>
      </c>
      <c r="N2898">
        <v>-5.8812279999999996E-3</v>
      </c>
      <c r="O2898">
        <v>3.1869379999999998E-3</v>
      </c>
      <c r="P2898">
        <v>-0.98961129999999997</v>
      </c>
      <c r="Q2898">
        <v>0.14289549999999901</v>
      </c>
      <c r="R2898">
        <v>1.583323E-2</v>
      </c>
      <c r="S2898">
        <v>-3.1498569999999999</v>
      </c>
      <c r="T2898">
        <v>-0.85869479999999998</v>
      </c>
      <c r="U2898">
        <v>0.31652829999999998</v>
      </c>
      <c r="V2898">
        <v>1.301709E-2</v>
      </c>
      <c r="W2898">
        <v>0.1486846</v>
      </c>
      <c r="X2898">
        <v>0.98879899999999998</v>
      </c>
      <c r="Y2898">
        <v>9.3471499999999999E-2</v>
      </c>
      <c r="Z2898">
        <v>1.193046E-2</v>
      </c>
      <c r="AA2898">
        <v>0.9955505</v>
      </c>
      <c r="AB2898">
        <v>18</v>
      </c>
      <c r="AC2898">
        <v>-0.60220000000000995</v>
      </c>
      <c r="AD2898">
        <v>-0.20232720000000001</v>
      </c>
      <c r="AE2898">
        <v>7.29000000000041E-2</v>
      </c>
      <c r="AF2898">
        <v>6.3874266724436801E-2</v>
      </c>
      <c r="AG2898">
        <v>-0.20232720000000001</v>
      </c>
      <c r="AH2898">
        <v>0.54211748183616804</v>
      </c>
      <c r="AI2898">
        <v>110.33735602759501</v>
      </c>
      <c r="AJ2898">
        <v>83.280182941226698</v>
      </c>
      <c r="AK2898">
        <v>0.58215769506364201</v>
      </c>
      <c r="AL2898">
        <v>81.449295173640294</v>
      </c>
      <c r="AM2898">
        <v>89.245770639001705</v>
      </c>
      <c r="AN2898">
        <v>1.00000000865511</v>
      </c>
    </row>
    <row r="2899" spans="1:40" x14ac:dyDescent="0.25">
      <c r="A2899" t="str">
        <f>"20190303161932527"</f>
        <v>20190303161932527</v>
      </c>
      <c r="B2899" t="str">
        <f>"1551601172516091"</f>
        <v>1551601172516091</v>
      </c>
      <c r="C2899" t="s">
        <v>40</v>
      </c>
      <c r="D2899">
        <v>5.0663819999999999</v>
      </c>
      <c r="E2899">
        <v>0.48611969999999999</v>
      </c>
      <c r="F2899" t="s">
        <v>52</v>
      </c>
      <c r="G2899">
        <v>-242.6266</v>
      </c>
      <c r="H2899" s="1">
        <v>-1.3903760000000001E-7</v>
      </c>
      <c r="I2899">
        <v>282.74979999999999</v>
      </c>
      <c r="J2899">
        <v>-225.20519999999999</v>
      </c>
      <c r="K2899">
        <v>1.1197809999999999</v>
      </c>
      <c r="L2899">
        <v>283.00560000000002</v>
      </c>
      <c r="M2899">
        <v>-0.99997309999999995</v>
      </c>
      <c r="N2899">
        <v>-5.8914149999999997E-3</v>
      </c>
      <c r="O2899">
        <v>4.3948800000000003E-3</v>
      </c>
      <c r="P2899">
        <v>-0.989622</v>
      </c>
      <c r="Q2899">
        <v>0.14274619999999999</v>
      </c>
      <c r="R2899">
        <v>1.6500239999999999E-2</v>
      </c>
      <c r="S2899">
        <v>-3.0603940000000001</v>
      </c>
      <c r="T2899">
        <v>-0.1953384</v>
      </c>
      <c r="U2899">
        <v>-4.431152E-2</v>
      </c>
      <c r="V2899">
        <v>1.2490050000000001E-2</v>
      </c>
      <c r="W2899">
        <v>0.1485464</v>
      </c>
      <c r="X2899">
        <v>0.9888266</v>
      </c>
      <c r="Y2899">
        <v>-1.8822660000000001E-2</v>
      </c>
      <c r="Z2899">
        <v>-9.0992429999999999E-4</v>
      </c>
      <c r="AA2899">
        <v>0.9998224</v>
      </c>
      <c r="AB2899">
        <v>19</v>
      </c>
      <c r="AC2899">
        <v>-17.421399999999998</v>
      </c>
      <c r="AD2899">
        <v>-1.1197811390376</v>
      </c>
      <c r="AE2899">
        <v>-0.25580000000002201</v>
      </c>
      <c r="AF2899">
        <v>-0.33099661818077297</v>
      </c>
      <c r="AG2899">
        <v>-1.1197811390376</v>
      </c>
      <c r="AH2899">
        <v>17.348449096982201</v>
      </c>
      <c r="AI2899">
        <v>93.692447010869799</v>
      </c>
      <c r="AJ2899">
        <v>91.0930319171799</v>
      </c>
      <c r="AK2899">
        <v>17.387701246317</v>
      </c>
      <c r="AL2899">
        <v>81.457302635962805</v>
      </c>
      <c r="AM2899">
        <v>89.276324993807293</v>
      </c>
      <c r="AN2899">
        <v>1.0000000395847599</v>
      </c>
    </row>
    <row r="2900" spans="1:40" x14ac:dyDescent="0.25">
      <c r="A2900" t="str">
        <f>"20190303161932546"</f>
        <v>20190303161932546</v>
      </c>
      <c r="B2900" t="str">
        <f>"1551601172535611"</f>
        <v>1551601172535611</v>
      </c>
      <c r="C2900" t="s">
        <v>40</v>
      </c>
      <c r="D2900">
        <v>4.9826319999999997</v>
      </c>
      <c r="E2900">
        <v>0.48574440000000002</v>
      </c>
      <c r="F2900" t="s">
        <v>52</v>
      </c>
      <c r="G2900">
        <v>-251.7183</v>
      </c>
      <c r="H2900" s="1">
        <v>-6.2241109999999999E-7</v>
      </c>
      <c r="I2900">
        <v>282.50970000000001</v>
      </c>
      <c r="J2900">
        <v>-225.3614</v>
      </c>
      <c r="K2900">
        <v>1.119777</v>
      </c>
      <c r="L2900">
        <v>283.00810000000001</v>
      </c>
      <c r="M2900">
        <v>-0.99996499999999999</v>
      </c>
      <c r="N2900">
        <v>-5.9042239999999996E-3</v>
      </c>
      <c r="O2900">
        <v>5.9312920000000003E-3</v>
      </c>
      <c r="P2900">
        <v>-0.98969660000000004</v>
      </c>
      <c r="Q2900">
        <v>0.14219399999999999</v>
      </c>
      <c r="R2900">
        <v>1.6780949999999999E-2</v>
      </c>
      <c r="S2900">
        <v>-3.0509949999999999</v>
      </c>
      <c r="T2900">
        <v>-0.1288588</v>
      </c>
      <c r="U2900">
        <v>-5.706787E-2</v>
      </c>
      <c r="V2900">
        <v>1.1249790000000001E-2</v>
      </c>
      <c r="W2900">
        <v>0.14801029999999901</v>
      </c>
      <c r="X2900">
        <v>0.98892179999999996</v>
      </c>
      <c r="Y2900">
        <v>-2.4602530000000001E-2</v>
      </c>
      <c r="Z2900">
        <v>-8.0731420000000002E-4</v>
      </c>
      <c r="AA2900">
        <v>0.99969699999999995</v>
      </c>
      <c r="AB2900">
        <v>19</v>
      </c>
      <c r="AC2900">
        <v>-26.3569</v>
      </c>
      <c r="AD2900">
        <v>-1.1197776224111</v>
      </c>
      <c r="AE2900">
        <v>-0.49840000000000301</v>
      </c>
      <c r="AF2900">
        <v>-0.65354520329444599</v>
      </c>
      <c r="AG2900">
        <v>-1.1197776224111</v>
      </c>
      <c r="AH2900">
        <v>26.306015017740499</v>
      </c>
      <c r="AI2900">
        <v>92.436707627118295</v>
      </c>
      <c r="AJ2900">
        <v>91.4231604696933</v>
      </c>
      <c r="AK2900">
        <v>26.337946946753299</v>
      </c>
      <c r="AL2900">
        <v>81.488361619963399</v>
      </c>
      <c r="AM2900">
        <v>89.348242009280497</v>
      </c>
      <c r="AN2900">
        <v>0.99999996659818602</v>
      </c>
    </row>
    <row r="2901" spans="1:40" x14ac:dyDescent="0.25">
      <c r="A2901" t="str">
        <f>"20190303161932560"</f>
        <v>20190303161932560</v>
      </c>
      <c r="B2901" t="str">
        <f>"1551601172545371"</f>
        <v>1551601172545371</v>
      </c>
      <c r="C2901" t="s">
        <v>40</v>
      </c>
      <c r="D2901">
        <v>4.9791119999999998</v>
      </c>
      <c r="E2901">
        <v>0.48548079999999999</v>
      </c>
      <c r="F2901" t="s">
        <v>52</v>
      </c>
      <c r="G2901">
        <v>-267.91570000000002</v>
      </c>
      <c r="H2901" s="1">
        <v>2.6755710000000001E-6</v>
      </c>
      <c r="I2901">
        <v>282.18369999999999</v>
      </c>
      <c r="J2901">
        <v>-225.48570000000001</v>
      </c>
      <c r="K2901">
        <v>1.119774</v>
      </c>
      <c r="L2901">
        <v>283.01010000000002</v>
      </c>
      <c r="M2901">
        <v>-0.99995690000000004</v>
      </c>
      <c r="N2901">
        <v>-5.9142839999999997E-3</v>
      </c>
      <c r="O2901">
        <v>7.1471470000000004E-3</v>
      </c>
      <c r="P2901">
        <v>-0.98973270000000002</v>
      </c>
      <c r="Q2901">
        <v>0.14189839999999901</v>
      </c>
      <c r="R2901">
        <v>1.714978E-2</v>
      </c>
      <c r="S2901">
        <v>-3.0437470000000002</v>
      </c>
      <c r="T2901">
        <v>-8.0093150000000002E-2</v>
      </c>
      <c r="U2901">
        <v>-5.8959959999999999E-2</v>
      </c>
      <c r="V2901">
        <v>1.0414990000000001E-2</v>
      </c>
      <c r="W2901">
        <v>0.14772679999999999</v>
      </c>
      <c r="X2901">
        <v>0.9889734</v>
      </c>
      <c r="Y2901">
        <v>-2.6499930000000001E-2</v>
      </c>
      <c r="Z2901">
        <v>-5.7271669999999896E-4</v>
      </c>
      <c r="AA2901">
        <v>0.9996486</v>
      </c>
      <c r="AB2901">
        <v>19</v>
      </c>
      <c r="AC2901">
        <v>-42.43</v>
      </c>
      <c r="AD2901">
        <v>-1.119771324429</v>
      </c>
      <c r="AE2901">
        <v>-0.826400000000035</v>
      </c>
      <c r="AF2901">
        <v>-1.1288517322640299</v>
      </c>
      <c r="AG2901">
        <v>-1.119771324429</v>
      </c>
      <c r="AH2901">
        <v>42.393494449187699</v>
      </c>
      <c r="AI2901">
        <v>91.512508925245498</v>
      </c>
      <c r="AJ2901">
        <v>91.525308554958102</v>
      </c>
      <c r="AK2901">
        <v>42.423302154190701</v>
      </c>
      <c r="AL2901">
        <v>81.504786087179795</v>
      </c>
      <c r="AM2901">
        <v>89.396634012628397</v>
      </c>
      <c r="AN2901">
        <v>1.0000000326812399</v>
      </c>
    </row>
    <row r="2902" spans="1:40" x14ac:dyDescent="0.25">
      <c r="A2902" t="str">
        <f>"20190303161932579"</f>
        <v>20190303161932579</v>
      </c>
      <c r="B2902" t="str">
        <f>"1551601172565866"</f>
        <v>1551601172565866</v>
      </c>
      <c r="C2902" t="s">
        <v>40</v>
      </c>
      <c r="D2902">
        <v>4.9631999999999996</v>
      </c>
      <c r="E2902">
        <v>0.48556349999999998</v>
      </c>
      <c r="F2902" t="s">
        <v>52</v>
      </c>
      <c r="G2902">
        <v>-270.42430000000002</v>
      </c>
      <c r="H2902" s="1">
        <v>-1.202348E-6</v>
      </c>
      <c r="I2902">
        <v>282.13130000000001</v>
      </c>
      <c r="J2902">
        <v>-225.6439</v>
      </c>
      <c r="K2902">
        <v>1.1197729999999999</v>
      </c>
      <c r="L2902">
        <v>283.01299999999998</v>
      </c>
      <c r="M2902">
        <v>-0.99994479999999997</v>
      </c>
      <c r="N2902">
        <v>-5.9269809999999996E-3</v>
      </c>
      <c r="O2902">
        <v>8.6871229999999997E-3</v>
      </c>
      <c r="P2902">
        <v>-0.98969339999999995</v>
      </c>
      <c r="Q2902">
        <v>0.14217949999999999</v>
      </c>
      <c r="R2902">
        <v>1.7092779999999998E-2</v>
      </c>
      <c r="S2902">
        <v>-3.043015</v>
      </c>
      <c r="T2902">
        <v>-7.5825450000000003E-2</v>
      </c>
      <c r="U2902">
        <v>-5.9509279999999998E-2</v>
      </c>
      <c r="V2902">
        <v>8.8348790000000003E-3</v>
      </c>
      <c r="W2902">
        <v>0.14802390000000001</v>
      </c>
      <c r="X2902">
        <v>0.9889443</v>
      </c>
      <c r="Y2902">
        <v>-2.8224760000000002E-2</v>
      </c>
      <c r="Z2902">
        <v>-6.0016669999999998E-4</v>
      </c>
      <c r="AA2902">
        <v>0.99960139999999997</v>
      </c>
      <c r="AB2902">
        <v>19</v>
      </c>
      <c r="AC2902">
        <v>-44.7804</v>
      </c>
      <c r="AD2902">
        <v>-1.119774202348</v>
      </c>
      <c r="AE2902">
        <v>-0.88169999999996596</v>
      </c>
      <c r="AF2902">
        <v>-1.26989261638905</v>
      </c>
      <c r="AG2902">
        <v>-1.119774202348</v>
      </c>
      <c r="AH2902">
        <v>44.743083851656799</v>
      </c>
      <c r="AI2902">
        <v>91.433051353874205</v>
      </c>
      <c r="AJ2902">
        <v>91.625725226315197</v>
      </c>
      <c r="AK2902">
        <v>44.7751055172156</v>
      </c>
      <c r="AL2902">
        <v>81.487573827201103</v>
      </c>
      <c r="AM2902">
        <v>89.488153363940796</v>
      </c>
      <c r="AN2902">
        <v>0.99999997928032203</v>
      </c>
    </row>
    <row r="2903" spans="1:40" x14ac:dyDescent="0.25">
      <c r="A2903" t="str">
        <f>"20190303161932594"</f>
        <v>20190303161932594</v>
      </c>
      <c r="B2903" t="str">
        <f>"1551601172585388"</f>
        <v>1551601172585388</v>
      </c>
      <c r="C2903" t="s">
        <v>40</v>
      </c>
      <c r="D2903">
        <v>5.0229850000000003</v>
      </c>
      <c r="E2903">
        <v>0.4858867</v>
      </c>
      <c r="F2903" t="s">
        <v>52</v>
      </c>
      <c r="G2903">
        <v>-272.63010000000003</v>
      </c>
      <c r="H2903" s="1">
        <v>-2.7748530000000002E-8</v>
      </c>
      <c r="I2903">
        <v>282.11239999999998</v>
      </c>
      <c r="J2903">
        <v>-225.76859999999999</v>
      </c>
      <c r="K2903">
        <v>1.119777</v>
      </c>
      <c r="L2903">
        <v>283.0154</v>
      </c>
      <c r="M2903">
        <v>-0.99993350000000003</v>
      </c>
      <c r="N2903">
        <v>-5.9368989999999998E-3</v>
      </c>
      <c r="O2903">
        <v>9.8935519999999999E-3</v>
      </c>
      <c r="P2903">
        <v>-0.98959710000000001</v>
      </c>
      <c r="Q2903">
        <v>0.14278859999999999</v>
      </c>
      <c r="R2903">
        <v>1.7584579999999999E-2</v>
      </c>
      <c r="S2903">
        <v>-3.0426479999999998</v>
      </c>
      <c r="T2903">
        <v>-7.2512270000000004E-2</v>
      </c>
      <c r="U2903">
        <v>-5.8319089999999997E-2</v>
      </c>
      <c r="V2903">
        <v>8.1348059999999996E-3</v>
      </c>
      <c r="W2903">
        <v>0.148644</v>
      </c>
      <c r="X2903">
        <v>0.98885730000000005</v>
      </c>
      <c r="Y2903">
        <v>-2.9042789999999999E-2</v>
      </c>
      <c r="Z2903">
        <v>-6.0923349999999999E-4</v>
      </c>
      <c r="AA2903">
        <v>0.99957799999999997</v>
      </c>
      <c r="AB2903">
        <v>19</v>
      </c>
      <c r="AC2903">
        <v>-46.861499999999999</v>
      </c>
      <c r="AD2903">
        <v>-1.1197770277485299</v>
      </c>
      <c r="AE2903">
        <v>-0.90300000000002001</v>
      </c>
      <c r="AF2903">
        <v>-1.36581105145547</v>
      </c>
      <c r="AG2903">
        <v>-1.1197770277485299</v>
      </c>
      <c r="AH2903">
        <v>46.823546381206398</v>
      </c>
      <c r="AI2903">
        <v>91.369375326453394</v>
      </c>
      <c r="AJ2903">
        <v>91.670805220190005</v>
      </c>
      <c r="AK2903">
        <v>46.856844069283397</v>
      </c>
      <c r="AL2903">
        <v>81.451647333858503</v>
      </c>
      <c r="AM2903">
        <v>89.528668557943803</v>
      </c>
      <c r="AN2903">
        <v>0.99999998678397295</v>
      </c>
    </row>
    <row r="2904" spans="1:40" x14ac:dyDescent="0.25">
      <c r="A2904" t="str">
        <f>"20190303161932613"</f>
        <v>20190303161932613</v>
      </c>
      <c r="B2904" t="str">
        <f>"1551601172605883"</f>
        <v>1551601172605883</v>
      </c>
      <c r="C2904" t="s">
        <v>40</v>
      </c>
      <c r="D2904">
        <v>5.0198679999999998</v>
      </c>
      <c r="E2904">
        <v>0.48589470000000001</v>
      </c>
      <c r="F2904" t="s">
        <v>52</v>
      </c>
      <c r="G2904">
        <v>-274.07260000000002</v>
      </c>
      <c r="H2904" s="1">
        <v>7.3803119999999996E-7</v>
      </c>
      <c r="I2904">
        <v>282.15550000000002</v>
      </c>
      <c r="J2904">
        <v>-225.9374</v>
      </c>
      <c r="K2904">
        <v>1.1197709999999901</v>
      </c>
      <c r="L2904">
        <v>283.01900000000001</v>
      </c>
      <c r="M2904">
        <v>-0.99991600000000003</v>
      </c>
      <c r="N2904">
        <v>-5.9502549999999998E-3</v>
      </c>
      <c r="O2904">
        <v>1.1513860000000001E-2</v>
      </c>
      <c r="P2904">
        <v>-0.98946219999999996</v>
      </c>
      <c r="Q2904">
        <v>0.1436231</v>
      </c>
      <c r="R2904">
        <v>1.835695E-2</v>
      </c>
      <c r="S2904">
        <v>-3.0426790000000001</v>
      </c>
      <c r="T2904">
        <v>-7.0534940000000004E-2</v>
      </c>
      <c r="U2904">
        <v>-5.41687E-2</v>
      </c>
      <c r="V2904">
        <v>7.30628099999999E-3</v>
      </c>
      <c r="W2904">
        <v>0.14949279999999901</v>
      </c>
      <c r="X2904">
        <v>0.9887359</v>
      </c>
      <c r="Y2904">
        <v>-2.929961E-2</v>
      </c>
      <c r="Z2904">
        <v>-6.2508959999999999E-4</v>
      </c>
      <c r="AA2904">
        <v>0.99957050000000003</v>
      </c>
      <c r="AB2904">
        <v>19</v>
      </c>
      <c r="AC2904">
        <v>-48.135199999999998</v>
      </c>
      <c r="AD2904">
        <v>-1.1197702619687999</v>
      </c>
      <c r="AE2904">
        <v>-0.86349999999998694</v>
      </c>
      <c r="AF2904">
        <v>-1.41690799100667</v>
      </c>
      <c r="AG2904">
        <v>-1.1197702619687999</v>
      </c>
      <c r="AH2904">
        <v>48.096047090410003</v>
      </c>
      <c r="AI2904">
        <v>91.333138947647498</v>
      </c>
      <c r="AJ2904">
        <v>91.687443751746102</v>
      </c>
      <c r="AK2904">
        <v>48.129941402597801</v>
      </c>
      <c r="AL2904">
        <v>81.402465958833801</v>
      </c>
      <c r="AM2904">
        <v>89.576619554396203</v>
      </c>
      <c r="AN2904">
        <v>1.00000007947134</v>
      </c>
    </row>
    <row r="2905" spans="1:40" x14ac:dyDescent="0.25">
      <c r="A2905" t="str">
        <f>"20190303161932637"</f>
        <v>20190303161932637</v>
      </c>
      <c r="B2905" t="str">
        <f>"1551601172625403"</f>
        <v>1551601172625403</v>
      </c>
      <c r="C2905" t="s">
        <v>40</v>
      </c>
      <c r="D2905">
        <v>4.9615299999999998</v>
      </c>
      <c r="E2905">
        <v>0.48593370000000002</v>
      </c>
      <c r="F2905" t="s">
        <v>52</v>
      </c>
      <c r="G2905">
        <v>-275.63240000000002</v>
      </c>
      <c r="H2905" s="1">
        <v>1.5673020000000001E-6</v>
      </c>
      <c r="I2905">
        <v>282.17219999999998</v>
      </c>
      <c r="J2905">
        <v>-226.14</v>
      </c>
      <c r="K2905">
        <v>1.1197790000000001</v>
      </c>
      <c r="L2905">
        <v>283.02350000000001</v>
      </c>
      <c r="M2905">
        <v>-0.99989189999999994</v>
      </c>
      <c r="N2905">
        <v>-5.9661749999999998E-3</v>
      </c>
      <c r="O2905">
        <v>1.3437549999999999E-2</v>
      </c>
      <c r="P2905">
        <v>-0.98944810000000005</v>
      </c>
      <c r="Q2905">
        <v>0.1436385</v>
      </c>
      <c r="R2905">
        <v>1.8993719999999999E-2</v>
      </c>
      <c r="S2905">
        <v>-3.042862</v>
      </c>
      <c r="T2905">
        <v>-6.8564410000000006E-2</v>
      </c>
      <c r="U2905">
        <v>-5.1849369999999999E-2</v>
      </c>
      <c r="V2905">
        <v>6.0387660000000001E-3</v>
      </c>
      <c r="W2905">
        <v>0.14952670000000001</v>
      </c>
      <c r="X2905">
        <v>0.98873929999999999</v>
      </c>
      <c r="Y2905">
        <v>-3.0459880000000002E-2</v>
      </c>
      <c r="Z2905">
        <v>-6.5656259999999995E-4</v>
      </c>
      <c r="AA2905">
        <v>0.99953579999999997</v>
      </c>
      <c r="AB2905">
        <v>19</v>
      </c>
      <c r="AC2905">
        <v>-49.492400000000004</v>
      </c>
      <c r="AD2905">
        <v>-1.1197774326979999</v>
      </c>
      <c r="AE2905">
        <v>-0.85130000000003703</v>
      </c>
      <c r="AF2905">
        <v>-1.51551601446659</v>
      </c>
      <c r="AG2905">
        <v>-1.1197774326979999</v>
      </c>
      <c r="AH2905">
        <v>49.451185035368297</v>
      </c>
      <c r="AI2905">
        <v>91.296580971088602</v>
      </c>
      <c r="AJ2905">
        <v>91.755377583908697</v>
      </c>
      <c r="AK2905">
        <v>49.487072975587402</v>
      </c>
      <c r="AL2905">
        <v>81.400501314917094</v>
      </c>
      <c r="AM2905">
        <v>89.650068017682003</v>
      </c>
      <c r="AN2905">
        <v>1.0000000520360901</v>
      </c>
    </row>
    <row r="2906" spans="1:40" x14ac:dyDescent="0.25">
      <c r="A2906" t="str">
        <f>"20190303161932658"</f>
        <v>20190303161932658</v>
      </c>
      <c r="B2906" t="str">
        <f>"1551601172645899"</f>
        <v>1551601172645899</v>
      </c>
      <c r="C2906" t="s">
        <v>40</v>
      </c>
      <c r="D2906">
        <v>4.8174710000000003</v>
      </c>
      <c r="E2906">
        <v>0.48596040000000001</v>
      </c>
      <c r="F2906" t="s">
        <v>52</v>
      </c>
      <c r="G2906">
        <v>-274.29660000000001</v>
      </c>
      <c r="H2906" s="1">
        <v>8.5293279999999999E-7</v>
      </c>
      <c r="I2906">
        <v>282.25319999999999</v>
      </c>
      <c r="J2906">
        <v>-226.3244</v>
      </c>
      <c r="K2906">
        <v>1.119777</v>
      </c>
      <c r="L2906">
        <v>283.02800000000002</v>
      </c>
      <c r="M2906">
        <v>-0.99986710000000001</v>
      </c>
      <c r="N2906">
        <v>-5.9806240000000004E-3</v>
      </c>
      <c r="O2906">
        <v>1.51714E-2</v>
      </c>
      <c r="P2906">
        <v>-0.98948849999999999</v>
      </c>
      <c r="Q2906">
        <v>0.1433236</v>
      </c>
      <c r="R2906">
        <v>1.926756E-2</v>
      </c>
      <c r="S2906">
        <v>-3.0431979999999998</v>
      </c>
      <c r="T2906">
        <v>-7.0762989999999998E-2</v>
      </c>
      <c r="U2906">
        <v>-4.8675540000000003E-2</v>
      </c>
      <c r="V2906">
        <v>4.5949449999999996E-3</v>
      </c>
      <c r="W2906">
        <v>0.14922969999999999</v>
      </c>
      <c r="X2906">
        <v>0.98879189999999995</v>
      </c>
      <c r="Y2906">
        <v>-3.1147870000000001E-2</v>
      </c>
      <c r="Z2906">
        <v>-7.1721899999999995E-4</v>
      </c>
      <c r="AA2906">
        <v>0.99951449999999997</v>
      </c>
      <c r="AB2906">
        <v>19</v>
      </c>
      <c r="AC2906">
        <v>-47.972200000000001</v>
      </c>
      <c r="AD2906">
        <v>-1.1197761470671901</v>
      </c>
      <c r="AE2906">
        <v>-0.77480000000002702</v>
      </c>
      <c r="AF2906">
        <v>-1.5017112120026099</v>
      </c>
      <c r="AG2906">
        <v>-1.1197761470671901</v>
      </c>
      <c r="AH2906">
        <v>47.928815984167599</v>
      </c>
      <c r="AI2906">
        <v>91.337719789724105</v>
      </c>
      <c r="AJ2906">
        <v>91.794610894140703</v>
      </c>
      <c r="AK2906">
        <v>47.965408752850202</v>
      </c>
      <c r="AL2906">
        <v>81.417710969812902</v>
      </c>
      <c r="AM2906">
        <v>89.733746746390594</v>
      </c>
      <c r="AN2906">
        <v>1.00000001919362</v>
      </c>
    </row>
    <row r="2907" spans="1:40" x14ac:dyDescent="0.25">
      <c r="A2907" t="str">
        <f>"20190303161932680"</f>
        <v>20190303161932680</v>
      </c>
      <c r="B2907" t="str">
        <f>"1551601172665419"</f>
        <v>1551601172665419</v>
      </c>
      <c r="C2907" t="s">
        <v>40</v>
      </c>
      <c r="D2907">
        <v>5.0255799999999997</v>
      </c>
      <c r="E2907">
        <v>0.48592649999999998</v>
      </c>
      <c r="F2907" t="s">
        <v>52</v>
      </c>
      <c r="G2907">
        <v>-272.37299999999999</v>
      </c>
      <c r="H2907" s="1">
        <v>-1.7355820000000001E-7</v>
      </c>
      <c r="I2907">
        <v>282.31830000000002</v>
      </c>
      <c r="J2907">
        <v>-226.5121</v>
      </c>
      <c r="K2907">
        <v>1.119775</v>
      </c>
      <c r="L2907">
        <v>283.03280000000001</v>
      </c>
      <c r="M2907">
        <v>-0.99983889999999997</v>
      </c>
      <c r="N2907">
        <v>-5.9952290000000004E-3</v>
      </c>
      <c r="O2907">
        <v>1.6919569999999998E-2</v>
      </c>
      <c r="P2907">
        <v>-0.98955709999999997</v>
      </c>
      <c r="Q2907">
        <v>0.14277339999999999</v>
      </c>
      <c r="R2907">
        <v>1.9817310000000001E-2</v>
      </c>
      <c r="S2907">
        <v>-3.0435029999999998</v>
      </c>
      <c r="T2907">
        <v>-7.4009779999999997E-2</v>
      </c>
      <c r="U2907">
        <v>-4.6905519999999999E-2</v>
      </c>
      <c r="V2907">
        <v>3.4118590000000002E-3</v>
      </c>
      <c r="W2907">
        <v>0.14869679999999999</v>
      </c>
      <c r="X2907">
        <v>0.98887689999999995</v>
      </c>
      <c r="Y2907">
        <v>-3.2310770000000003E-2</v>
      </c>
      <c r="Z2907">
        <v>-7.9958470000000002E-4</v>
      </c>
      <c r="AA2907">
        <v>0.99947759999999997</v>
      </c>
      <c r="AB2907">
        <v>19</v>
      </c>
      <c r="AC2907">
        <v>-45.860900000000001</v>
      </c>
      <c r="AD2907">
        <v>-1.1197751735582</v>
      </c>
      <c r="AE2907">
        <v>-0.71449999999998604</v>
      </c>
      <c r="AF2907">
        <v>-1.48947058039014</v>
      </c>
      <c r="AG2907">
        <v>-1.1197751735582</v>
      </c>
      <c r="AH2907">
        <v>45.814938435909703</v>
      </c>
      <c r="AI2907">
        <v>91.399363701019894</v>
      </c>
      <c r="AJ2907">
        <v>91.862063628700298</v>
      </c>
      <c r="AK2907">
        <v>45.852818920273101</v>
      </c>
      <c r="AL2907">
        <v>81.448587812716298</v>
      </c>
      <c r="AM2907">
        <v>89.802316804745004</v>
      </c>
      <c r="AN2907">
        <v>0.99999995123284102</v>
      </c>
    </row>
    <row r="2908" spans="1:40" x14ac:dyDescent="0.25">
      <c r="A2908" t="str">
        <f>"20190303161932693"</f>
        <v>20190303161932693</v>
      </c>
      <c r="B2908" t="str">
        <f>"1551601172685915"</f>
        <v>1551601172685915</v>
      </c>
      <c r="C2908" t="s">
        <v>40</v>
      </c>
      <c r="D2908">
        <v>5.0253519999999998</v>
      </c>
      <c r="E2908">
        <v>0.48589850000000001</v>
      </c>
      <c r="F2908" t="s">
        <v>52</v>
      </c>
      <c r="G2908">
        <v>-270.88159999999999</v>
      </c>
      <c r="H2908" s="1">
        <v>-9.697584000000001E-7</v>
      </c>
      <c r="I2908">
        <v>282.3766</v>
      </c>
      <c r="J2908">
        <v>-226.63210000000001</v>
      </c>
      <c r="K2908">
        <v>1.119772</v>
      </c>
      <c r="L2908">
        <v>283.03609999999998</v>
      </c>
      <c r="M2908">
        <v>-0.99981949999999997</v>
      </c>
      <c r="N2908">
        <v>-6.00455E-3</v>
      </c>
      <c r="O2908">
        <v>1.8027950000000001E-2</v>
      </c>
      <c r="P2908">
        <v>-0.98956279999999996</v>
      </c>
      <c r="Q2908">
        <v>0.14266779999999901</v>
      </c>
      <c r="R2908">
        <v>2.0278959999999999E-2</v>
      </c>
      <c r="S2908">
        <v>-3.0436100000000001</v>
      </c>
      <c r="T2908">
        <v>-7.6813220000000001E-2</v>
      </c>
      <c r="U2908">
        <v>-4.501343E-2</v>
      </c>
      <c r="V2908">
        <v>2.7761209999999999E-3</v>
      </c>
      <c r="W2908">
        <v>0.14860209999999999</v>
      </c>
      <c r="X2908">
        <v>0.98889320000000003</v>
      </c>
      <c r="Y2908">
        <v>-3.279551E-2</v>
      </c>
      <c r="Z2908">
        <v>-8.5888559999999997E-4</v>
      </c>
      <c r="AA2908">
        <v>0.99946170000000001</v>
      </c>
      <c r="AB2908">
        <v>19</v>
      </c>
      <c r="AC2908">
        <v>-44.249499999999898</v>
      </c>
      <c r="AD2908">
        <v>-1.11977296975839</v>
      </c>
      <c r="AE2908">
        <v>-0.65949999999997999</v>
      </c>
      <c r="AF2908">
        <v>-1.4562026059586299</v>
      </c>
      <c r="AG2908">
        <v>-1.11977296975839</v>
      </c>
      <c r="AH2908">
        <v>44.202118589553301</v>
      </c>
      <c r="AI2908">
        <v>91.450377996680004</v>
      </c>
      <c r="AJ2908">
        <v>91.886880119625303</v>
      </c>
      <c r="AK2908">
        <v>44.240272437433397</v>
      </c>
      <c r="AL2908">
        <v>81.454075326329601</v>
      </c>
      <c r="AM2908">
        <v>89.839153915840299</v>
      </c>
      <c r="AN2908">
        <v>1.0000000259892201</v>
      </c>
    </row>
    <row r="2909" spans="1:40" x14ac:dyDescent="0.25">
      <c r="A2909" t="str">
        <f>"20190303161932706"</f>
        <v>20190303161932706</v>
      </c>
      <c r="B2909" t="str">
        <f>"1551601172695675"</f>
        <v>1551601172695675</v>
      </c>
      <c r="C2909" t="s">
        <v>40</v>
      </c>
      <c r="D2909">
        <v>4.9676689999999999</v>
      </c>
      <c r="E2909">
        <v>0.48593989999999998</v>
      </c>
      <c r="F2909" t="s">
        <v>52</v>
      </c>
      <c r="G2909">
        <v>-270.79809999999998</v>
      </c>
      <c r="H2909" s="1">
        <v>-1.0153020000000001E-6</v>
      </c>
      <c r="I2909">
        <v>282.4024</v>
      </c>
      <c r="J2909">
        <v>-226.74770000000001</v>
      </c>
      <c r="K2909">
        <v>1.119764</v>
      </c>
      <c r="L2909">
        <v>283.03930000000003</v>
      </c>
      <c r="M2909">
        <v>-0.99979969999999996</v>
      </c>
      <c r="N2909">
        <v>-6.0135529999999996E-3</v>
      </c>
      <c r="O2909">
        <v>1.9092169999999999E-2</v>
      </c>
      <c r="P2909">
        <v>-0.9895872</v>
      </c>
      <c r="Q2909">
        <v>0.14241970000000001</v>
      </c>
      <c r="R2909">
        <v>2.082848E-2</v>
      </c>
      <c r="S2909">
        <v>-3.0436550000000002</v>
      </c>
      <c r="T2909">
        <v>-7.7167990000000006E-2</v>
      </c>
      <c r="U2909">
        <v>-4.3670649999999998E-2</v>
      </c>
      <c r="V2909">
        <v>2.2715489999999999E-3</v>
      </c>
      <c r="W2909">
        <v>0.14836489999999999</v>
      </c>
      <c r="X2909">
        <v>0.98893010000000003</v>
      </c>
      <c r="Y2909">
        <v>-3.3417699999999897E-2</v>
      </c>
      <c r="Z2909">
        <v>-8.9320259999999896E-4</v>
      </c>
      <c r="AA2909">
        <v>0.99944109999999997</v>
      </c>
      <c r="AB2909">
        <v>19</v>
      </c>
      <c r="AC2909">
        <v>-44.050399999999897</v>
      </c>
      <c r="AD2909">
        <v>-1.119765015302</v>
      </c>
      <c r="AE2909">
        <v>-0.636900000000025</v>
      </c>
      <c r="AF2909">
        <v>-1.4768626704852801</v>
      </c>
      <c r="AG2909">
        <v>-1.119765015302</v>
      </c>
      <c r="AH2909">
        <v>44.0017833630788</v>
      </c>
      <c r="AI2909">
        <v>91.456938251898805</v>
      </c>
      <c r="AJ2909">
        <v>91.922336738553199</v>
      </c>
      <c r="AK2909">
        <v>44.040798541446598</v>
      </c>
      <c r="AL2909">
        <v>81.467818201577899</v>
      </c>
      <c r="AM2909">
        <v>89.868393183944093</v>
      </c>
      <c r="AN2909">
        <v>1.0000000230864301</v>
      </c>
    </row>
    <row r="2910" spans="1:40" x14ac:dyDescent="0.25">
      <c r="A2910" t="str">
        <f>"20190303161932725"</f>
        <v>20190303161932725</v>
      </c>
      <c r="B2910" t="str">
        <f>"1551601172715195"</f>
        <v>1551601172715195</v>
      </c>
      <c r="C2910" t="s">
        <v>40</v>
      </c>
      <c r="D2910">
        <v>4.9655589999999998</v>
      </c>
      <c r="E2910">
        <v>0.48596929999999999</v>
      </c>
      <c r="F2910" t="s">
        <v>52</v>
      </c>
      <c r="G2910">
        <v>-270.2457</v>
      </c>
      <c r="H2910" s="1">
        <v>-1.3113480000000001E-6</v>
      </c>
      <c r="I2910">
        <v>282.44959999999998</v>
      </c>
      <c r="J2910">
        <v>-226.9118</v>
      </c>
      <c r="K2910">
        <v>1.1197629999999901</v>
      </c>
      <c r="L2910">
        <v>283.04419999999999</v>
      </c>
      <c r="M2910">
        <v>-0.99976989999999999</v>
      </c>
      <c r="N2910">
        <v>-6.0263269999999997E-3</v>
      </c>
      <c r="O2910">
        <v>2.0594310000000001E-2</v>
      </c>
      <c r="P2910">
        <v>-0.98951789999999995</v>
      </c>
      <c r="Q2910">
        <v>0.1428566</v>
      </c>
      <c r="R2910">
        <v>2.1133539999999999E-2</v>
      </c>
      <c r="S2910">
        <v>-3.0437159999999999</v>
      </c>
      <c r="T2910">
        <v>-7.8354119999999999E-2</v>
      </c>
      <c r="U2910">
        <v>-4.1259770000000001E-2</v>
      </c>
      <c r="V2910">
        <v>1.0930580000000001E-3</v>
      </c>
      <c r="W2910">
        <v>0.14881659999999999</v>
      </c>
      <c r="X2910">
        <v>0.98886419999999997</v>
      </c>
      <c r="Y2910">
        <v>-3.4126429999999999E-2</v>
      </c>
      <c r="Z2910">
        <v>-9.4796469999999995E-4</v>
      </c>
      <c r="AA2910">
        <v>0.99941709999999995</v>
      </c>
      <c r="AB2910">
        <v>20</v>
      </c>
      <c r="AC2910">
        <v>-43.3339</v>
      </c>
      <c r="AD2910">
        <v>-1.11976431134799</v>
      </c>
      <c r="AE2910">
        <v>-0.59460000000001401</v>
      </c>
      <c r="AF2910">
        <v>-1.48592972765015</v>
      </c>
      <c r="AG2910">
        <v>-1.11976431134799</v>
      </c>
      <c r="AH2910">
        <v>43.283567505553798</v>
      </c>
      <c r="AI2910">
        <v>91.481063535998601</v>
      </c>
      <c r="AJ2910">
        <v>91.966198354899007</v>
      </c>
      <c r="AK2910">
        <v>43.323539505404099</v>
      </c>
      <c r="AL2910">
        <v>81.441646887944202</v>
      </c>
      <c r="AM2910">
        <v>89.936667153431003</v>
      </c>
      <c r="AN2910">
        <v>0.99999999062649503</v>
      </c>
    </row>
    <row r="2911" spans="1:40" x14ac:dyDescent="0.25">
      <c r="A2911" t="str">
        <f>"20190303161932738"</f>
        <v>20190303161932738</v>
      </c>
      <c r="B2911" t="str">
        <f>"1551601172725931"</f>
        <v>1551601172725931</v>
      </c>
      <c r="C2911" t="s">
        <v>40</v>
      </c>
      <c r="D2911">
        <v>4.9672499999999999</v>
      </c>
      <c r="E2911">
        <v>0.48593890000000001</v>
      </c>
      <c r="F2911" t="s">
        <v>52</v>
      </c>
      <c r="G2911">
        <v>-271.37790000000001</v>
      </c>
      <c r="H2911" s="1">
        <v>-7.0937559999999898E-7</v>
      </c>
      <c r="I2911">
        <v>282.46230000000003</v>
      </c>
      <c r="J2911">
        <v>-227.0377</v>
      </c>
      <c r="K2911">
        <v>1.119761</v>
      </c>
      <c r="L2911">
        <v>283.04809999999998</v>
      </c>
      <c r="M2911">
        <v>-0.99974540000000001</v>
      </c>
      <c r="N2911">
        <v>-6.0361579999999998E-3</v>
      </c>
      <c r="O2911">
        <v>2.174133E-2</v>
      </c>
      <c r="P2911">
        <v>-0.98948749999999996</v>
      </c>
      <c r="Q2911">
        <v>0.1429512</v>
      </c>
      <c r="R2911">
        <v>2.1896309999999999E-2</v>
      </c>
      <c r="S2911">
        <v>-3.0437159999999999</v>
      </c>
      <c r="T2911">
        <v>-7.6647999999999994E-2</v>
      </c>
      <c r="U2911">
        <v>-3.9825439999999997E-2</v>
      </c>
      <c r="V2911">
        <v>7.2233399999999896E-4</v>
      </c>
      <c r="W2911">
        <v>0.14892130000000001</v>
      </c>
      <c r="X2911">
        <v>0.98884879999999997</v>
      </c>
      <c r="Y2911">
        <v>-3.4802470000000002E-2</v>
      </c>
      <c r="Z2911">
        <v>-9.5933710000000003E-4</v>
      </c>
      <c r="AA2911">
        <v>0.9993938</v>
      </c>
      <c r="AB2911">
        <v>20</v>
      </c>
      <c r="AC2911">
        <v>-44.340200000000003</v>
      </c>
      <c r="AD2911">
        <v>-1.1197617093756</v>
      </c>
      <c r="AE2911">
        <v>-0.58579999999994903</v>
      </c>
      <c r="AF2911">
        <v>-1.5487064914006401</v>
      </c>
      <c r="AG2911">
        <v>-1.1197617093756</v>
      </c>
      <c r="AH2911">
        <v>44.288742021483102</v>
      </c>
      <c r="AI2911">
        <v>91.447428554915604</v>
      </c>
      <c r="AJ2911">
        <v>92.002725756693494</v>
      </c>
      <c r="AK2911">
        <v>44.329956326707297</v>
      </c>
      <c r="AL2911">
        <v>81.435580607832307</v>
      </c>
      <c r="AM2911">
        <v>89.958146602152397</v>
      </c>
      <c r="AN2911">
        <v>1.00000001231076</v>
      </c>
    </row>
    <row r="2912" spans="1:40" x14ac:dyDescent="0.25">
      <c r="A2912" t="str">
        <f>"20190303161932759"</f>
        <v>20190303161932759</v>
      </c>
      <c r="B2912" t="str">
        <f>"1551601172745451"</f>
        <v>1551601172745451</v>
      </c>
      <c r="C2912" t="s">
        <v>40</v>
      </c>
      <c r="D2912">
        <v>4.7789989999999998</v>
      </c>
      <c r="E2912">
        <v>0.48602190000000001</v>
      </c>
      <c r="F2912" t="s">
        <v>52</v>
      </c>
      <c r="G2912">
        <v>-271.68759999999997</v>
      </c>
      <c r="H2912" s="1">
        <v>-5.4595350000000003E-7</v>
      </c>
      <c r="I2912">
        <v>282.49380000000002</v>
      </c>
      <c r="J2912">
        <v>-227.20779999999999</v>
      </c>
      <c r="K2912">
        <v>1.1197569999999999</v>
      </c>
      <c r="L2912">
        <v>283.05349999999999</v>
      </c>
      <c r="M2912">
        <v>-0.9997106</v>
      </c>
      <c r="N2912">
        <v>-6.0494609999999999E-3</v>
      </c>
      <c r="O2912">
        <v>2.3286270000000001E-2</v>
      </c>
      <c r="P2912">
        <v>-0.98940260000000002</v>
      </c>
      <c r="Q2912">
        <v>0.14339950000000001</v>
      </c>
      <c r="R2912">
        <v>2.2783729999999999E-2</v>
      </c>
      <c r="S2912">
        <v>-3.0437319999999999</v>
      </c>
      <c r="T2912">
        <v>-7.6332810000000001E-2</v>
      </c>
      <c r="U2912">
        <v>-3.7780759999999997E-2</v>
      </c>
      <c r="V2912" s="1">
        <v>8.5370669999999997E-5</v>
      </c>
      <c r="W2912">
        <v>0.1493843</v>
      </c>
      <c r="X2912">
        <v>0.98877919999999997</v>
      </c>
      <c r="Y2912">
        <v>-3.567509E-2</v>
      </c>
      <c r="Z2912">
        <v>-9.9819209999999999E-4</v>
      </c>
      <c r="AA2912">
        <v>0.99936290000000005</v>
      </c>
      <c r="AB2912">
        <v>20</v>
      </c>
      <c r="AC2912">
        <v>-44.479799999999898</v>
      </c>
      <c r="AD2912">
        <v>-1.1197575459535001</v>
      </c>
      <c r="AE2912">
        <v>-0.559699999999963</v>
      </c>
      <c r="AF2912">
        <v>-1.59432548910167</v>
      </c>
      <c r="AG2912">
        <v>-1.1197575459535001</v>
      </c>
      <c r="AH2912">
        <v>44.426553613478703</v>
      </c>
      <c r="AI2912">
        <v>91.442888288871998</v>
      </c>
      <c r="AJ2912">
        <v>92.0552784315976</v>
      </c>
      <c r="AK2912">
        <v>44.469252261514498</v>
      </c>
      <c r="AL2912">
        <v>81.408752386496502</v>
      </c>
      <c r="AM2912">
        <v>89.995053112896102</v>
      </c>
      <c r="AN2912">
        <v>0.99999999136364004</v>
      </c>
    </row>
    <row r="2913" spans="1:40" x14ac:dyDescent="0.25">
      <c r="A2913" t="str">
        <f>"20190303161932781"</f>
        <v>20190303161932781</v>
      </c>
      <c r="B2913" t="str">
        <f>"1551601172775707"</f>
        <v>1551601172775707</v>
      </c>
      <c r="C2913" t="s">
        <v>40</v>
      </c>
      <c r="D2913">
        <v>4.7095209999999996</v>
      </c>
      <c r="E2913">
        <v>0.48617769999999999</v>
      </c>
      <c r="F2913" t="s">
        <v>52</v>
      </c>
      <c r="G2913">
        <v>-272.53579999999999</v>
      </c>
      <c r="H2913" s="1">
        <v>-9.6660489999999997E-8</v>
      </c>
      <c r="I2913">
        <v>282.54129999999998</v>
      </c>
      <c r="J2913">
        <v>-227.40620000000001</v>
      </c>
      <c r="K2913">
        <v>1.1197490000000001</v>
      </c>
      <c r="L2913">
        <v>283.06020000000001</v>
      </c>
      <c r="M2913">
        <v>-0.99966710000000003</v>
      </c>
      <c r="N2913">
        <v>-6.0649980000000003E-3</v>
      </c>
      <c r="O2913">
        <v>2.5080479999999999E-2</v>
      </c>
      <c r="P2913">
        <v>-0.98943530000000002</v>
      </c>
      <c r="Q2913">
        <v>0.1429366</v>
      </c>
      <c r="R2913">
        <v>2.4234149999999999E-2</v>
      </c>
      <c r="S2913">
        <v>-3.0438390000000002</v>
      </c>
      <c r="T2913">
        <v>-7.5193289999999996E-2</v>
      </c>
      <c r="U2913">
        <v>-3.4393310000000003E-2</v>
      </c>
      <c r="V2913">
        <v>-2.403017E-4</v>
      </c>
      <c r="W2913">
        <v>0.14893779999999901</v>
      </c>
      <c r="X2913">
        <v>0.98884649999999996</v>
      </c>
      <c r="Y2913">
        <v>-3.6356220000000002E-2</v>
      </c>
      <c r="Z2913">
        <v>-1.0265889999999901E-3</v>
      </c>
      <c r="AA2913">
        <v>0.99933839999999996</v>
      </c>
      <c r="AB2913">
        <v>20</v>
      </c>
      <c r="AC2913">
        <v>-45.129599999999897</v>
      </c>
      <c r="AD2913">
        <v>-1.1197490966604899</v>
      </c>
      <c r="AE2913">
        <v>-0.51890000000003</v>
      </c>
      <c r="AF2913">
        <v>-1.64961412898265</v>
      </c>
      <c r="AG2913">
        <v>-1.1197490966604899</v>
      </c>
      <c r="AH2913">
        <v>45.074643248788497</v>
      </c>
      <c r="AI2913">
        <v>91.422103528543403</v>
      </c>
      <c r="AJ2913">
        <v>92.095940361596703</v>
      </c>
      <c r="AK2913">
        <v>45.118715948257702</v>
      </c>
      <c r="AL2913">
        <v>81.434624142460905</v>
      </c>
      <c r="AM2913">
        <v>90.013923569480994</v>
      </c>
      <c r="AN2913">
        <v>0.99999996328799701</v>
      </c>
    </row>
    <row r="2914" spans="1:40" x14ac:dyDescent="0.25">
      <c r="A2914" t="str">
        <f>"20190303161932796"</f>
        <v>20190303161932796</v>
      </c>
      <c r="B2914" t="str">
        <f>"1551601172785467"</f>
        <v>1551601172785467</v>
      </c>
      <c r="C2914" t="s">
        <v>40</v>
      </c>
      <c r="D2914">
        <v>4.6938300000000002</v>
      </c>
      <c r="E2914">
        <v>0.48623650000000002</v>
      </c>
      <c r="F2914" t="s">
        <v>52</v>
      </c>
      <c r="G2914">
        <v>-271.51569999999998</v>
      </c>
      <c r="H2914" s="1">
        <v>-6.4376940000000005E-7</v>
      </c>
      <c r="I2914">
        <v>282.63830000000002</v>
      </c>
      <c r="J2914">
        <v>-227.53530000000001</v>
      </c>
      <c r="K2914">
        <v>1.1197410000000001</v>
      </c>
      <c r="L2914">
        <v>283.06470000000002</v>
      </c>
      <c r="M2914">
        <v>-0.99963709999999995</v>
      </c>
      <c r="N2914">
        <v>-6.0750800000000001E-3</v>
      </c>
      <c r="O2914">
        <v>2.6243539999999999E-2</v>
      </c>
      <c r="P2914">
        <v>-0.98950740000000004</v>
      </c>
      <c r="Q2914">
        <v>0.142266899999999</v>
      </c>
      <c r="R2914">
        <v>2.520874E-2</v>
      </c>
      <c r="S2914">
        <v>-3.04393</v>
      </c>
      <c r="T2914">
        <v>-7.7272300000000002E-2</v>
      </c>
      <c r="U2914">
        <v>-2.9113770000000001E-2</v>
      </c>
      <c r="V2914">
        <v>-4.195208E-4</v>
      </c>
      <c r="W2914">
        <v>0.14827860000000001</v>
      </c>
      <c r="X2914">
        <v>0.98894550000000003</v>
      </c>
      <c r="Y2914">
        <v>-3.5784440000000001E-2</v>
      </c>
      <c r="Z2914">
        <v>-1.069478E-3</v>
      </c>
      <c r="AA2914">
        <v>0.999359</v>
      </c>
      <c r="AB2914">
        <v>20</v>
      </c>
      <c r="AC2914">
        <v>-43.980399999999896</v>
      </c>
      <c r="AD2914">
        <v>-1.1197416437694001</v>
      </c>
      <c r="AE2914">
        <v>-0.426400000000001</v>
      </c>
      <c r="AF2914">
        <v>-1.57945211743277</v>
      </c>
      <c r="AG2914">
        <v>-1.1197416437694001</v>
      </c>
      <c r="AH2914">
        <v>43.9255907794564</v>
      </c>
      <c r="AI2914">
        <v>91.459312659272499</v>
      </c>
      <c r="AJ2914">
        <v>92.059322755014705</v>
      </c>
      <c r="AK2914">
        <v>43.968238714603103</v>
      </c>
      <c r="AL2914">
        <v>81.472817593796805</v>
      </c>
      <c r="AM2914">
        <v>90.024305454462393</v>
      </c>
      <c r="AN2914">
        <v>0.99999996059295504</v>
      </c>
    </row>
    <row r="2915" spans="1:40" x14ac:dyDescent="0.25">
      <c r="A2915" t="str">
        <f>"20190303161932807"</f>
        <v>20190303161932807</v>
      </c>
      <c r="B2915" t="str">
        <f>"1551601172795227"</f>
        <v>1551601172795227</v>
      </c>
      <c r="C2915" t="s">
        <v>40</v>
      </c>
      <c r="D2915">
        <v>4.671341</v>
      </c>
      <c r="E2915">
        <v>0.48628979999999999</v>
      </c>
      <c r="F2915" t="s">
        <v>52</v>
      </c>
      <c r="G2915">
        <v>-270.53440000000001</v>
      </c>
      <c r="H2915" s="1">
        <v>-1.168704E-6</v>
      </c>
      <c r="I2915">
        <v>282.7013</v>
      </c>
      <c r="J2915">
        <v>-227.65100000000001</v>
      </c>
      <c r="K2915">
        <v>1.119742</v>
      </c>
      <c r="L2915">
        <v>283.06889999999999</v>
      </c>
      <c r="M2915">
        <v>-0.99960939999999998</v>
      </c>
      <c r="N2915">
        <v>-6.0841109999999997E-3</v>
      </c>
      <c r="O2915">
        <v>2.728214E-2</v>
      </c>
      <c r="P2915">
        <v>-0.98959549999999996</v>
      </c>
      <c r="Q2915">
        <v>0.14147889999999999</v>
      </c>
      <c r="R2915">
        <v>2.616808E-2</v>
      </c>
      <c r="S2915">
        <v>-3.0438839999999998</v>
      </c>
      <c r="T2915">
        <v>-7.9266069999999994E-2</v>
      </c>
      <c r="U2915">
        <v>-2.572632E-2</v>
      </c>
      <c r="V2915">
        <v>-4.9172829999999997E-4</v>
      </c>
      <c r="W2915">
        <v>0.14750089999999999</v>
      </c>
      <c r="X2915">
        <v>0.98906179999999999</v>
      </c>
      <c r="Y2915">
        <v>-3.5709659999999997E-2</v>
      </c>
      <c r="Z2915">
        <v>-1.1178309999999999E-3</v>
      </c>
      <c r="AA2915">
        <v>0.99936159999999996</v>
      </c>
      <c r="AB2915">
        <v>20</v>
      </c>
      <c r="AC2915">
        <v>-42.883400000000002</v>
      </c>
      <c r="AD2915">
        <v>-1.119743168704</v>
      </c>
      <c r="AE2915">
        <v>-0.367599999999981</v>
      </c>
      <c r="AF2915">
        <v>-1.53638813902113</v>
      </c>
      <c r="AG2915">
        <v>-1.119743168704</v>
      </c>
      <c r="AH2915">
        <v>42.828209737772703</v>
      </c>
      <c r="AI2915">
        <v>91.496694175908502</v>
      </c>
      <c r="AJ2915">
        <v>92.054506239028697</v>
      </c>
      <c r="AK2915">
        <v>42.870384446844298</v>
      </c>
      <c r="AL2915">
        <v>81.517872292041105</v>
      </c>
      <c r="AM2915">
        <v>90.028485534408304</v>
      </c>
      <c r="AN2915">
        <v>1.00000000075838</v>
      </c>
    </row>
    <row r="2916" spans="1:40" x14ac:dyDescent="0.25">
      <c r="A2916" t="str">
        <f>"20190303161932827"</f>
        <v>20190303161932827</v>
      </c>
      <c r="B2916" t="str">
        <f>"1551601172815723"</f>
        <v>1551601172815723</v>
      </c>
      <c r="C2916" t="s">
        <v>40</v>
      </c>
      <c r="D2916">
        <v>4.6748409999999998</v>
      </c>
      <c r="E2916">
        <v>0.48635299999999998</v>
      </c>
      <c r="F2916" t="s">
        <v>52</v>
      </c>
      <c r="G2916">
        <v>-269.26440000000002</v>
      </c>
      <c r="H2916" s="1">
        <v>3.393253E-6</v>
      </c>
      <c r="I2916">
        <v>282.76429999999999</v>
      </c>
      <c r="J2916">
        <v>-227.8176</v>
      </c>
      <c r="K2916">
        <v>1.1197330000000001</v>
      </c>
      <c r="L2916">
        <v>283.07510000000002</v>
      </c>
      <c r="M2916">
        <v>-0.99956739999999999</v>
      </c>
      <c r="N2916">
        <v>-6.097168E-3</v>
      </c>
      <c r="O2916">
        <v>2.8772889999999999E-2</v>
      </c>
      <c r="P2916">
        <v>-0.98970329999999995</v>
      </c>
      <c r="Q2916">
        <v>0.1404051</v>
      </c>
      <c r="R2916">
        <v>2.7821189999999999E-2</v>
      </c>
      <c r="S2916">
        <v>-3.0438390000000002</v>
      </c>
      <c r="T2916">
        <v>-8.190393E-2</v>
      </c>
      <c r="U2916">
        <v>-2.2277829999999998E-2</v>
      </c>
      <c r="V2916">
        <v>-3.1916559999999999E-4</v>
      </c>
      <c r="W2916">
        <v>0.1464406</v>
      </c>
      <c r="X2916">
        <v>0.98921939999999997</v>
      </c>
      <c r="Y2916">
        <v>-3.6066189999999998E-2</v>
      </c>
      <c r="Z2916">
        <v>-1.193712E-3</v>
      </c>
      <c r="AA2916">
        <v>0.99934869999999998</v>
      </c>
      <c r="AB2916">
        <v>20</v>
      </c>
      <c r="AC2916">
        <v>-41.446800000000003</v>
      </c>
      <c r="AD2916">
        <v>-1.119729606747</v>
      </c>
      <c r="AE2916">
        <v>-0.310800000000028</v>
      </c>
      <c r="AF2916">
        <v>-1.5021413725431501</v>
      </c>
      <c r="AG2916">
        <v>-1.119729606747</v>
      </c>
      <c r="AH2916">
        <v>41.390488664454502</v>
      </c>
      <c r="AI2916">
        <v>91.548615666566903</v>
      </c>
      <c r="AJ2916">
        <v>92.078463128444596</v>
      </c>
      <c r="AK2916">
        <v>41.432870706453201</v>
      </c>
      <c r="AL2916">
        <v>81.579289831494705</v>
      </c>
      <c r="AM2916">
        <v>90.018486132814601</v>
      </c>
      <c r="AN2916">
        <v>0.99999998626569997</v>
      </c>
    </row>
    <row r="2917" spans="1:40" x14ac:dyDescent="0.25">
      <c r="A2917" t="str">
        <f>"20190303161932848"</f>
        <v>20190303161932848</v>
      </c>
      <c r="B2917" t="str">
        <f>"1551601172835243"</f>
        <v>1551601172835243</v>
      </c>
      <c r="C2917" t="s">
        <v>40</v>
      </c>
      <c r="D2917">
        <v>4.5989630000000004</v>
      </c>
      <c r="E2917">
        <v>0.49697829999999898</v>
      </c>
      <c r="F2917" t="s">
        <v>52</v>
      </c>
      <c r="G2917">
        <v>-268.00650000000002</v>
      </c>
      <c r="H2917" s="1">
        <v>2.7238500000000002E-6</v>
      </c>
      <c r="I2917">
        <v>282.85059999999999</v>
      </c>
      <c r="J2917">
        <v>-228.01609999999999</v>
      </c>
      <c r="K2917">
        <v>1.119729</v>
      </c>
      <c r="L2917">
        <v>283.0829</v>
      </c>
      <c r="M2917">
        <v>-0.99951480000000004</v>
      </c>
      <c r="N2917">
        <v>-6.1126219999999998E-3</v>
      </c>
      <c r="O2917">
        <v>3.0539790000000001E-2</v>
      </c>
      <c r="P2917">
        <v>-0.98968239999999996</v>
      </c>
      <c r="Q2917">
        <v>0.1399841</v>
      </c>
      <c r="R2917">
        <v>3.0551419999999999E-2</v>
      </c>
      <c r="S2917">
        <v>-3.0437319999999999</v>
      </c>
      <c r="T2917">
        <v>-8.4803580000000003E-2</v>
      </c>
      <c r="U2917">
        <v>-1.6998289999999999E-2</v>
      </c>
      <c r="V2917">
        <v>6.6029339999999998E-4</v>
      </c>
      <c r="W2917">
        <v>0.1460331</v>
      </c>
      <c r="X2917">
        <v>0.98927949999999998</v>
      </c>
      <c r="Y2917">
        <v>-3.6097579999999997E-2</v>
      </c>
      <c r="Z2917">
        <v>-1.2770920000000001E-3</v>
      </c>
      <c r="AA2917">
        <v>0.9993474</v>
      </c>
      <c r="AB2917">
        <v>20</v>
      </c>
      <c r="AC2917">
        <v>-39.990400000000001</v>
      </c>
      <c r="AD2917">
        <v>-1.11972627615</v>
      </c>
      <c r="AE2917">
        <v>-0.232300000000009</v>
      </c>
      <c r="AF2917">
        <v>-1.4523743363197801</v>
      </c>
      <c r="AG2917">
        <v>-1.11972627615</v>
      </c>
      <c r="AH2917">
        <v>39.933344914648899</v>
      </c>
      <c r="AI2917">
        <v>91.605085367982696</v>
      </c>
      <c r="AJ2917">
        <v>92.082927375499295</v>
      </c>
      <c r="AK2917">
        <v>39.975432633288897</v>
      </c>
      <c r="AL2917">
        <v>81.602891839309507</v>
      </c>
      <c r="AM2917">
        <v>89.961758007274497</v>
      </c>
      <c r="AN2917">
        <v>1.00000001570161</v>
      </c>
    </row>
    <row r="2918" spans="1:40" x14ac:dyDescent="0.25">
      <c r="A2918" t="str">
        <f>"20190303161932870"</f>
        <v>20190303161932870</v>
      </c>
      <c r="B2918" t="str">
        <f>"1551601172865500"</f>
        <v>1551601172865500</v>
      </c>
      <c r="C2918" t="s">
        <v>40</v>
      </c>
      <c r="D2918">
        <v>4.5262589999999996</v>
      </c>
      <c r="E2918">
        <v>0.49725970000000003</v>
      </c>
      <c r="F2918" t="s">
        <v>52</v>
      </c>
      <c r="G2918">
        <v>-271.05509999999998</v>
      </c>
      <c r="H2918" s="1">
        <v>-9.5491529999999997E-7</v>
      </c>
      <c r="I2918">
        <v>284.14960000000002</v>
      </c>
      <c r="J2918">
        <v>-228.2166</v>
      </c>
      <c r="K2918">
        <v>1.1197220000000001</v>
      </c>
      <c r="L2918">
        <v>283.09100000000001</v>
      </c>
      <c r="M2918">
        <v>-0.99945899999999999</v>
      </c>
      <c r="N2918">
        <v>-6.1282790000000004E-3</v>
      </c>
      <c r="O2918">
        <v>3.2315730000000001E-2</v>
      </c>
      <c r="P2918">
        <v>-0.98969300000000004</v>
      </c>
      <c r="Q2918">
        <v>0.13928779999999999</v>
      </c>
      <c r="R2918">
        <v>3.3269899999999998E-2</v>
      </c>
      <c r="S2918">
        <v>-3.0401310000000001</v>
      </c>
      <c r="T2918">
        <v>-7.9093930000000007E-2</v>
      </c>
      <c r="U2918">
        <v>7.5347899999999995E-2</v>
      </c>
      <c r="V2918">
        <v>1.6170729999999999E-3</v>
      </c>
      <c r="W2918">
        <v>0.14535049999999999</v>
      </c>
      <c r="X2918">
        <v>0.98937889999999995</v>
      </c>
      <c r="Y2918">
        <v>-7.5330129999999999E-3</v>
      </c>
      <c r="Z2918">
        <v>-7.6330069999999998E-4</v>
      </c>
      <c r="AA2918">
        <v>0.99997130000000001</v>
      </c>
      <c r="AB2918">
        <v>20</v>
      </c>
      <c r="AC2918">
        <v>-42.838499999999897</v>
      </c>
      <c r="AD2918">
        <v>-1.1197229549152901</v>
      </c>
      <c r="AE2918">
        <v>1.05860000000001</v>
      </c>
      <c r="AF2918">
        <v>-0.32611353764224899</v>
      </c>
      <c r="AG2918">
        <v>-1.1197229549152901</v>
      </c>
      <c r="AH2918">
        <v>42.821097289180997</v>
      </c>
      <c r="AI2918">
        <v>91.497834668085602</v>
      </c>
      <c r="AJ2918">
        <v>90.436340245984994</v>
      </c>
      <c r="AK2918">
        <v>42.836975880478498</v>
      </c>
      <c r="AL2918">
        <v>81.642423571029198</v>
      </c>
      <c r="AM2918">
        <v>89.906354000916494</v>
      </c>
      <c r="AN2918">
        <v>0.99999999527027295</v>
      </c>
    </row>
    <row r="2919" spans="1:40" x14ac:dyDescent="0.25">
      <c r="A2919" t="str">
        <f>"20190303161932891"</f>
        <v>20190303161932891</v>
      </c>
      <c r="B2919" t="str">
        <f>"1551601172885019"</f>
        <v>1551601172885019</v>
      </c>
      <c r="C2919" t="s">
        <v>40</v>
      </c>
      <c r="D2919">
        <v>4.4967319999999997</v>
      </c>
      <c r="E2919">
        <v>0.49742229999999998</v>
      </c>
      <c r="F2919" t="s">
        <v>52</v>
      </c>
      <c r="G2919">
        <v>-274.09440000000001</v>
      </c>
      <c r="H2919" s="1">
        <v>6.5212209999999999E-7</v>
      </c>
      <c r="I2919">
        <v>284.3852</v>
      </c>
      <c r="J2919">
        <v>-228.4144</v>
      </c>
      <c r="K2919">
        <v>1.1197159999999999</v>
      </c>
      <c r="L2919">
        <v>283.0994</v>
      </c>
      <c r="M2919">
        <v>-0.99940119999999999</v>
      </c>
      <c r="N2919">
        <v>-6.1436619999999898E-3</v>
      </c>
      <c r="O2919">
        <v>3.4055920000000003E-2</v>
      </c>
      <c r="P2919">
        <v>-0.98969470000000004</v>
      </c>
      <c r="Q2919">
        <v>0.1385972</v>
      </c>
      <c r="R2919">
        <v>3.5997260000000003E-2</v>
      </c>
      <c r="S2919">
        <v>-3.0388030000000001</v>
      </c>
      <c r="T2919">
        <v>-7.4167010000000005E-2</v>
      </c>
      <c r="U2919">
        <v>8.5723880000000002E-2</v>
      </c>
      <c r="V2919">
        <v>2.6179369999999999E-3</v>
      </c>
      <c r="W2919">
        <v>0.14467339999999901</v>
      </c>
      <c r="X2919">
        <v>0.98947600000000002</v>
      </c>
      <c r="Y2919">
        <v>-5.8529960000000001E-3</v>
      </c>
      <c r="Z2919">
        <v>-7.1084909999999998E-4</v>
      </c>
      <c r="AA2919">
        <v>0.99998260000000005</v>
      </c>
      <c r="AB2919">
        <v>20</v>
      </c>
      <c r="AC2919">
        <v>-45.68</v>
      </c>
      <c r="AD2919">
        <v>-1.1197153478778901</v>
      </c>
      <c r="AE2919">
        <v>1.2857999999999901</v>
      </c>
      <c r="AF2919">
        <v>-0.27048703631929799</v>
      </c>
      <c r="AG2919">
        <v>-1.1197153478778901</v>
      </c>
      <c r="AH2919">
        <v>45.669872452647802</v>
      </c>
      <c r="AI2919">
        <v>91.404448613362007</v>
      </c>
      <c r="AJ2919">
        <v>90.339339340270797</v>
      </c>
      <c r="AK2919">
        <v>45.684397506569098</v>
      </c>
      <c r="AL2919">
        <v>81.6816330348137</v>
      </c>
      <c r="AM2919">
        <v>89.848408257368206</v>
      </c>
      <c r="AN2919">
        <v>1.0000000004188401</v>
      </c>
    </row>
    <row r="2920" spans="1:40" x14ac:dyDescent="0.25">
      <c r="A2920" t="str">
        <f>"20190303161932914"</f>
        <v>20190303161932914</v>
      </c>
      <c r="B2920" t="str">
        <f>"1551601172905519"</f>
        <v>1551601172905519</v>
      </c>
      <c r="C2920" t="s">
        <v>40</v>
      </c>
      <c r="D2920">
        <v>4.4667029999999999</v>
      </c>
      <c r="E2920">
        <v>0.49721530000000003</v>
      </c>
      <c r="F2920" t="s">
        <v>52</v>
      </c>
      <c r="G2920">
        <v>-273.68349999999998</v>
      </c>
      <c r="H2920" s="1">
        <v>4.2734600000000002E-7</v>
      </c>
      <c r="I2920">
        <v>284.52539999999999</v>
      </c>
      <c r="J2920">
        <v>-228.6165</v>
      </c>
      <c r="K2920">
        <v>1.1197079999999999</v>
      </c>
      <c r="L2920">
        <v>283.10829999999999</v>
      </c>
      <c r="M2920">
        <v>-0.99933919999999998</v>
      </c>
      <c r="N2920">
        <v>-6.1594309999999999E-3</v>
      </c>
      <c r="O2920">
        <v>3.5822510000000002E-2</v>
      </c>
      <c r="P2920">
        <v>-0.98964039999999998</v>
      </c>
      <c r="Q2920">
        <v>0.1384146</v>
      </c>
      <c r="R2920">
        <v>3.8126710000000001E-2</v>
      </c>
      <c r="S2920">
        <v>-3.0383</v>
      </c>
      <c r="T2920">
        <v>-7.5151319999999994E-2</v>
      </c>
      <c r="U2920">
        <v>9.5703129999999997E-2</v>
      </c>
      <c r="V2920">
        <v>2.997829E-3</v>
      </c>
      <c r="W2920">
        <v>0.14450499999999999</v>
      </c>
      <c r="X2920">
        <v>0.98949949999999998</v>
      </c>
      <c r="Y2920">
        <v>-4.3345199999999997E-3</v>
      </c>
      <c r="Z2920">
        <v>-7.3174089999999904E-4</v>
      </c>
      <c r="AA2920">
        <v>0.9999903</v>
      </c>
      <c r="AB2920">
        <v>20</v>
      </c>
      <c r="AC2920">
        <v>-45.066999999999901</v>
      </c>
      <c r="AD2920">
        <v>-1.119707572654</v>
      </c>
      <c r="AE2920">
        <v>1.4171</v>
      </c>
      <c r="AF2920">
        <v>-0.19813105162101</v>
      </c>
      <c r="AG2920">
        <v>-1.119707572654</v>
      </c>
      <c r="AH2920">
        <v>45.061050065305601</v>
      </c>
      <c r="AI2920">
        <v>91.423417763687297</v>
      </c>
      <c r="AJ2920">
        <v>90.251924885809004</v>
      </c>
      <c r="AK2920">
        <v>45.075394994939899</v>
      </c>
      <c r="AL2920">
        <v>81.691383866588396</v>
      </c>
      <c r="AM2920">
        <v>89.826414845198997</v>
      </c>
      <c r="AN2920">
        <v>0.99999997125198103</v>
      </c>
    </row>
    <row r="2921" spans="1:40" x14ac:dyDescent="0.25">
      <c r="A2921" t="str">
        <f>"20190303161932927"</f>
        <v>20190303161932927</v>
      </c>
      <c r="B2921" t="str">
        <f>"1551601172915276"</f>
        <v>1551601172915276</v>
      </c>
      <c r="C2921" t="s">
        <v>40</v>
      </c>
      <c r="D2921">
        <v>4.4283279999999996</v>
      </c>
      <c r="E2921">
        <v>0.49701079999999997</v>
      </c>
      <c r="F2921" t="s">
        <v>52</v>
      </c>
      <c r="G2921">
        <v>-276.43450000000001</v>
      </c>
      <c r="H2921" s="1">
        <v>1.8842399999999999E-6</v>
      </c>
      <c r="I2921">
        <v>284.6875</v>
      </c>
      <c r="J2921">
        <v>-228.7414</v>
      </c>
      <c r="K2921">
        <v>1.119704</v>
      </c>
      <c r="L2921">
        <v>283.11399999999998</v>
      </c>
      <c r="M2921">
        <v>-0.99929979999999996</v>
      </c>
      <c r="N2921">
        <v>-6.1691380000000002E-3</v>
      </c>
      <c r="O2921">
        <v>3.6907469999999998E-2</v>
      </c>
      <c r="P2921">
        <v>-0.98957300000000004</v>
      </c>
      <c r="Q2921">
        <v>0.1385546</v>
      </c>
      <c r="R2921">
        <v>3.9348809999999998E-2</v>
      </c>
      <c r="S2921">
        <v>-3.0374759999999998</v>
      </c>
      <c r="T2921">
        <v>-7.1125510000000003E-2</v>
      </c>
      <c r="U2921">
        <v>0.10031130000000001</v>
      </c>
      <c r="V2921">
        <v>3.1470399999999998E-3</v>
      </c>
      <c r="W2921">
        <v>0.14465459999999999</v>
      </c>
      <c r="X2921">
        <v>0.98947719999999995</v>
      </c>
      <c r="Y2921">
        <v>-3.8971610000000001E-3</v>
      </c>
      <c r="Z2921">
        <v>-6.9355039999999897E-4</v>
      </c>
      <c r="AA2921">
        <v>0.9999922</v>
      </c>
      <c r="AB2921">
        <v>20</v>
      </c>
      <c r="AC2921">
        <v>-47.693100000000001</v>
      </c>
      <c r="AD2921">
        <v>-1.11970211576</v>
      </c>
      <c r="AE2921">
        <v>1.5734999999999599</v>
      </c>
      <c r="AF2921">
        <v>-0.187733604855648</v>
      </c>
      <c r="AG2921">
        <v>-1.11970211576</v>
      </c>
      <c r="AH2921">
        <v>47.692421301751601</v>
      </c>
      <c r="AI2921">
        <v>91.344908137542703</v>
      </c>
      <c r="AJ2921">
        <v>90.225534526916903</v>
      </c>
      <c r="AK2921">
        <v>47.705932821381801</v>
      </c>
      <c r="AL2921">
        <v>81.682721586630294</v>
      </c>
      <c r="AM2921">
        <v>89.817770938054593</v>
      </c>
      <c r="AN2921">
        <v>0.99999999324087996</v>
      </c>
    </row>
    <row r="2922" spans="1:40" x14ac:dyDescent="0.25">
      <c r="A2922" t="str">
        <f>"20190303161932947"</f>
        <v>20190303161932947</v>
      </c>
      <c r="B2922" t="str">
        <f>"1551601172935771"</f>
        <v>1551601172935771</v>
      </c>
      <c r="C2922" t="s">
        <v>40</v>
      </c>
      <c r="D2922">
        <v>4.4415259999999996</v>
      </c>
      <c r="E2922">
        <v>0.49676520000000002</v>
      </c>
      <c r="F2922" t="s">
        <v>52</v>
      </c>
      <c r="G2922">
        <v>-277.34769999999997</v>
      </c>
      <c r="H2922" s="1">
        <v>2.3674980000000001E-6</v>
      </c>
      <c r="I2922">
        <v>284.7491</v>
      </c>
      <c r="J2922">
        <v>-228.92570000000001</v>
      </c>
      <c r="K2922">
        <v>1.1197029999999999</v>
      </c>
      <c r="L2922">
        <v>283.12259999999998</v>
      </c>
      <c r="M2922">
        <v>-0.99923960000000001</v>
      </c>
      <c r="N2922">
        <v>-6.1833390000000004E-3</v>
      </c>
      <c r="O2922">
        <v>3.8497570000000002E-2</v>
      </c>
      <c r="P2922">
        <v>-0.98952200000000001</v>
      </c>
      <c r="Q2922">
        <v>0.13836699999999999</v>
      </c>
      <c r="R2922">
        <v>4.124092E-2</v>
      </c>
      <c r="S2922">
        <v>-3.0373540000000001</v>
      </c>
      <c r="T2922">
        <v>-6.9968820000000001E-2</v>
      </c>
      <c r="U2922">
        <v>0.1021729</v>
      </c>
      <c r="V2922">
        <v>3.4639839999999998E-3</v>
      </c>
      <c r="W2922">
        <v>0.14448039999999901</v>
      </c>
      <c r="X2922">
        <v>0.98950159999999998</v>
      </c>
      <c r="Y2922">
        <v>-4.874611E-3</v>
      </c>
      <c r="Z2922">
        <v>-7.1932069999999999E-4</v>
      </c>
      <c r="AA2922">
        <v>0.99998779999999998</v>
      </c>
      <c r="AB2922">
        <v>21</v>
      </c>
      <c r="AC2922">
        <v>-48.421999999999898</v>
      </c>
      <c r="AD2922">
        <v>-1.119700632502</v>
      </c>
      <c r="AE2922">
        <v>1.62650000000002</v>
      </c>
      <c r="AF2922">
        <v>-0.23874316819109301</v>
      </c>
      <c r="AG2922">
        <v>-1.119700632502</v>
      </c>
      <c r="AH2922">
        <v>48.422857581787397</v>
      </c>
      <c r="AI2922">
        <v>91.324620518014797</v>
      </c>
      <c r="AJ2922">
        <v>90.282487770661504</v>
      </c>
      <c r="AK2922">
        <v>48.436389875721098</v>
      </c>
      <c r="AL2922">
        <v>81.692808537982899</v>
      </c>
      <c r="AM2922">
        <v>89.799423414029903</v>
      </c>
      <c r="AN2922">
        <v>1.00000000078593</v>
      </c>
    </row>
    <row r="2923" spans="1:40" x14ac:dyDescent="0.25">
      <c r="A2923" t="str">
        <f>"20190303161932963"</f>
        <v>20190303161932963</v>
      </c>
      <c r="B2923" t="str">
        <f>"1551601172955291"</f>
        <v>1551601172955291</v>
      </c>
      <c r="C2923" t="s">
        <v>40</v>
      </c>
      <c r="D2923">
        <v>4.3926669999999897</v>
      </c>
      <c r="E2923">
        <v>0.49673879999999998</v>
      </c>
      <c r="F2923" t="s">
        <v>52</v>
      </c>
      <c r="G2923">
        <v>-278.90910000000002</v>
      </c>
      <c r="H2923" s="1">
        <v>3.1933200000000001E-6</v>
      </c>
      <c r="I2923">
        <v>284.86450000000002</v>
      </c>
      <c r="J2923">
        <v>-229.06720000000001</v>
      </c>
      <c r="K2923">
        <v>1.119702</v>
      </c>
      <c r="L2923">
        <v>283.12939999999998</v>
      </c>
      <c r="M2923">
        <v>-0.99919219999999997</v>
      </c>
      <c r="N2923">
        <v>-6.1944160000000003E-3</v>
      </c>
      <c r="O2923">
        <v>3.9709359999999999E-2</v>
      </c>
      <c r="P2923">
        <v>-0.98950680000000002</v>
      </c>
      <c r="Q2923">
        <v>0.13809830000000001</v>
      </c>
      <c r="R2923">
        <v>4.248855E-2</v>
      </c>
      <c r="S2923">
        <v>-3.0368499999999998</v>
      </c>
      <c r="T2923">
        <v>-6.8029880000000001E-2</v>
      </c>
      <c r="U2923">
        <v>0.105834999999999</v>
      </c>
      <c r="V2923">
        <v>3.509762E-3</v>
      </c>
      <c r="W2923">
        <v>0.14422279999999901</v>
      </c>
      <c r="X2923">
        <v>0.98953899999999995</v>
      </c>
      <c r="Y2923">
        <v>-4.8776409999999899E-3</v>
      </c>
      <c r="Z2923">
        <v>-7.1258849999999996E-4</v>
      </c>
      <c r="AA2923">
        <v>0.99998779999999998</v>
      </c>
      <c r="AB2923">
        <v>21</v>
      </c>
      <c r="AC2923">
        <v>-49.841900000000003</v>
      </c>
      <c r="AD2923">
        <v>-1.11969880668</v>
      </c>
      <c r="AE2923">
        <v>1.7351000000000401</v>
      </c>
      <c r="AF2923">
        <v>-0.24537255853131501</v>
      </c>
      <c r="AG2923">
        <v>-1.11969880668</v>
      </c>
      <c r="AH2923">
        <v>49.8463619906126</v>
      </c>
      <c r="AI2923">
        <v>91.286803075746406</v>
      </c>
      <c r="AJ2923">
        <v>90.282040612309004</v>
      </c>
      <c r="AK2923">
        <v>49.859540078197099</v>
      </c>
      <c r="AL2923">
        <v>81.707724005683502</v>
      </c>
      <c r="AM2923">
        <v>89.796780413477293</v>
      </c>
      <c r="AN2923">
        <v>0.99999998349506802</v>
      </c>
    </row>
    <row r="2924" spans="1:40" x14ac:dyDescent="0.25">
      <c r="A2924" t="str">
        <f>"20190303161932982"</f>
        <v>20190303161932982</v>
      </c>
      <c r="B2924" t="str">
        <f>"1551601172975788"</f>
        <v>1551601172975788</v>
      </c>
      <c r="C2924" t="s">
        <v>40</v>
      </c>
      <c r="D2924">
        <v>4.3840120000000002</v>
      </c>
      <c r="E2924">
        <v>0.4966604</v>
      </c>
      <c r="F2924" t="s">
        <v>52</v>
      </c>
      <c r="G2924">
        <v>-279.62869999999998</v>
      </c>
      <c r="H2924" s="1">
        <v>3.57239E-6</v>
      </c>
      <c r="I2924">
        <v>284.95370000000003</v>
      </c>
      <c r="J2924">
        <v>-229.24780000000001</v>
      </c>
      <c r="K2924">
        <v>1.1197029999999999</v>
      </c>
      <c r="L2924">
        <v>283.13830000000002</v>
      </c>
      <c r="M2924">
        <v>-0.99912979999999996</v>
      </c>
      <c r="N2924">
        <v>-6.2086479999999998E-3</v>
      </c>
      <c r="O2924">
        <v>4.124742E-2</v>
      </c>
      <c r="P2924">
        <v>-0.9895138</v>
      </c>
      <c r="Q2924">
        <v>0.1377265</v>
      </c>
      <c r="R2924">
        <v>4.352168E-2</v>
      </c>
      <c r="S2924">
        <v>-3.0364840000000002</v>
      </c>
      <c r="T2924">
        <v>-6.7243700000000003E-2</v>
      </c>
      <c r="U2924">
        <v>0.10955810000000001</v>
      </c>
      <c r="V2924">
        <v>3.0168450000000002E-3</v>
      </c>
      <c r="W2924">
        <v>0.14386660000000001</v>
      </c>
      <c r="X2924">
        <v>0.98959249999999999</v>
      </c>
      <c r="Y2924">
        <v>-5.1881100000000001E-3</v>
      </c>
      <c r="Z2924">
        <v>-7.3010580000000005E-4</v>
      </c>
      <c r="AA2924">
        <v>0.99998629999999999</v>
      </c>
      <c r="AB2924">
        <v>21</v>
      </c>
      <c r="AC2924">
        <v>-50.380899999999897</v>
      </c>
      <c r="AD2924">
        <v>-1.1196994276100001</v>
      </c>
      <c r="AE2924">
        <v>1.8154000000000099</v>
      </c>
      <c r="AF2924">
        <v>-0.26413666566145499</v>
      </c>
      <c r="AG2924">
        <v>-1.1196994276100001</v>
      </c>
      <c r="AH2924">
        <v>50.388048129798797</v>
      </c>
      <c r="AI2924">
        <v>91.272972785437503</v>
      </c>
      <c r="AJ2924">
        <v>90.300344587634896</v>
      </c>
      <c r="AK2924">
        <v>50.401179443712003</v>
      </c>
      <c r="AL2924">
        <v>81.728348049212599</v>
      </c>
      <c r="AM2924">
        <v>89.825330173315905</v>
      </c>
      <c r="AN2924">
        <v>1.00000000800278</v>
      </c>
    </row>
    <row r="2925" spans="1:40" x14ac:dyDescent="0.25">
      <c r="A2925" t="str">
        <f>"20190303161933005"</f>
        <v>20190303161933005</v>
      </c>
      <c r="B2925" t="str">
        <f>"1551601172995308"</f>
        <v>1551601172995308</v>
      </c>
      <c r="C2925" t="s">
        <v>40</v>
      </c>
      <c r="D2925">
        <v>4.3837630000000001</v>
      </c>
      <c r="E2925">
        <v>0.4966853</v>
      </c>
      <c r="F2925" t="s">
        <v>56</v>
      </c>
      <c r="G2925">
        <v>-280.43119999999999</v>
      </c>
      <c r="H2925" s="1">
        <v>8.1261649999999995E-6</v>
      </c>
      <c r="I2925">
        <v>285.02690000000001</v>
      </c>
      <c r="J2925">
        <v>-229.46299999999999</v>
      </c>
      <c r="K2925">
        <v>1.119705</v>
      </c>
      <c r="L2925">
        <v>283.14929999999998</v>
      </c>
      <c r="M2925">
        <v>-0.99905270000000002</v>
      </c>
      <c r="N2925">
        <v>-6.2257559999999998E-3</v>
      </c>
      <c r="O2925">
        <v>4.3069259999999998E-2</v>
      </c>
      <c r="P2925">
        <v>-0.98943669999999995</v>
      </c>
      <c r="Q2925">
        <v>0.13790520000000001</v>
      </c>
      <c r="R2925">
        <v>4.4690489999999999E-2</v>
      </c>
      <c r="S2925">
        <v>-3.0361020000000001</v>
      </c>
      <c r="T2925">
        <v>-6.6418050000000006E-2</v>
      </c>
      <c r="U2925">
        <v>0.11203</v>
      </c>
      <c r="V2925">
        <v>2.3831730000000001E-3</v>
      </c>
      <c r="W2925">
        <v>0.14406340000000001</v>
      </c>
      <c r="X2925">
        <v>0.98956560000000005</v>
      </c>
      <c r="Y2925">
        <v>-6.1936600000000001E-3</v>
      </c>
      <c r="Z2925">
        <v>-7.6021110000000004E-4</v>
      </c>
      <c r="AA2925">
        <v>0.99998050000000005</v>
      </c>
      <c r="AB2925">
        <v>21</v>
      </c>
      <c r="AC2925">
        <v>-50.968200000000003</v>
      </c>
      <c r="AD2925">
        <v>-1.1196968738349999</v>
      </c>
      <c r="AE2925">
        <v>1.8776000000000199</v>
      </c>
      <c r="AF2925">
        <v>-0.31919365465447302</v>
      </c>
      <c r="AG2925">
        <v>-1.1196968738349999</v>
      </c>
      <c r="AH2925">
        <v>50.977203511061703</v>
      </c>
      <c r="AI2925">
        <v>91.258255256442297</v>
      </c>
      <c r="AJ2925">
        <v>90.358752716846993</v>
      </c>
      <c r="AK2925">
        <v>50.990497972530697</v>
      </c>
      <c r="AL2925">
        <v>81.716953555086306</v>
      </c>
      <c r="AM2925">
        <v>89.862014715582603</v>
      </c>
      <c r="AN2925">
        <v>1.00000000971823</v>
      </c>
    </row>
    <row r="2926" spans="1:40" x14ac:dyDescent="0.25">
      <c r="A2926" t="str">
        <f>"20190303161933029"</f>
        <v>20190303161933029</v>
      </c>
      <c r="B2926" t="str">
        <f>"1551601173015803"</f>
        <v>1551601173015803</v>
      </c>
      <c r="C2926" t="s">
        <v>40</v>
      </c>
      <c r="D2926">
        <v>4.3747369999999997</v>
      </c>
      <c r="E2926">
        <v>0.49663780000000002</v>
      </c>
      <c r="F2926" t="s">
        <v>56</v>
      </c>
      <c r="G2926">
        <v>-282.91699999999997</v>
      </c>
      <c r="H2926" s="1">
        <v>6.9883249999999997E-6</v>
      </c>
      <c r="I2926">
        <v>285.19889999999998</v>
      </c>
      <c r="J2926">
        <v>-229.68209999999999</v>
      </c>
      <c r="K2926">
        <v>1.1197060000000001</v>
      </c>
      <c r="L2926">
        <v>283.16079999999999</v>
      </c>
      <c r="M2926">
        <v>-0.99897150000000001</v>
      </c>
      <c r="N2926">
        <v>-6.2432729999999997E-3</v>
      </c>
      <c r="O2926">
        <v>4.491179E-2</v>
      </c>
      <c r="P2926">
        <v>-0.98932710000000001</v>
      </c>
      <c r="Q2926">
        <v>0.13818</v>
      </c>
      <c r="R2926">
        <v>4.623874E-2</v>
      </c>
      <c r="S2926">
        <v>-3.0356290000000001</v>
      </c>
      <c r="T2926">
        <v>-6.3587190000000002E-2</v>
      </c>
      <c r="U2926">
        <v>0.116394</v>
      </c>
      <c r="V2926">
        <v>2.1101729999999999E-3</v>
      </c>
      <c r="W2926">
        <v>0.14435590000000001</v>
      </c>
      <c r="X2926">
        <v>0.98952359999999995</v>
      </c>
      <c r="Y2926">
        <v>-6.5971449999999996E-3</v>
      </c>
      <c r="Z2926">
        <v>-7.49138E-4</v>
      </c>
      <c r="AA2926">
        <v>0.99997789999999998</v>
      </c>
      <c r="AB2926">
        <v>21</v>
      </c>
      <c r="AC2926">
        <v>-53.234900000000003</v>
      </c>
      <c r="AD2926">
        <v>-1.1196990116750001</v>
      </c>
      <c r="AE2926">
        <v>2.03809999999998</v>
      </c>
      <c r="AF2926">
        <v>-0.35472103607097999</v>
      </c>
      <c r="AG2926">
        <v>-1.1196990116750001</v>
      </c>
      <c r="AH2926">
        <v>53.249195405789301</v>
      </c>
      <c r="AI2926">
        <v>91.204584436573498</v>
      </c>
      <c r="AJ2926">
        <v>90.3816718260599</v>
      </c>
      <c r="AK2926">
        <v>53.262147574559002</v>
      </c>
      <c r="AL2926">
        <v>81.700017569276298</v>
      </c>
      <c r="AM2926">
        <v>89.877816129228293</v>
      </c>
      <c r="AN2926">
        <v>1.00000001682592</v>
      </c>
    </row>
    <row r="2927" spans="1:40" x14ac:dyDescent="0.25">
      <c r="A2927" t="str">
        <f>"20190303161933049"</f>
        <v>20190303161933049</v>
      </c>
      <c r="B2927" t="str">
        <f>"1551601173035324"</f>
        <v>1551601173035324</v>
      </c>
      <c r="C2927" t="s">
        <v>40</v>
      </c>
      <c r="D2927">
        <v>4.3542170000000002</v>
      </c>
      <c r="E2927">
        <v>0.49659880000000001</v>
      </c>
      <c r="F2927" t="s">
        <v>56</v>
      </c>
      <c r="G2927">
        <v>-285.33249999999998</v>
      </c>
      <c r="H2927" s="1">
        <v>5.8822610000000004E-6</v>
      </c>
      <c r="I2927">
        <v>285.36759999999998</v>
      </c>
      <c r="J2927">
        <v>-229.88399999999999</v>
      </c>
      <c r="K2927">
        <v>1.119704</v>
      </c>
      <c r="L2927">
        <v>283.17180000000002</v>
      </c>
      <c r="M2927">
        <v>-0.99889399999999995</v>
      </c>
      <c r="N2927">
        <v>-6.2593950000000001E-3</v>
      </c>
      <c r="O2927">
        <v>4.6601080000000003E-2</v>
      </c>
      <c r="P2927">
        <v>-0.98924310000000004</v>
      </c>
      <c r="Q2927">
        <v>0.1383501</v>
      </c>
      <c r="R2927">
        <v>4.751118E-2</v>
      </c>
      <c r="S2927">
        <v>-3.0352329999999998</v>
      </c>
      <c r="T2927">
        <v>-6.1069610000000003E-2</v>
      </c>
      <c r="U2927">
        <v>0.1203613</v>
      </c>
      <c r="V2927">
        <v>1.7124389999999901E-3</v>
      </c>
      <c r="W2927">
        <v>0.14454320000000001</v>
      </c>
      <c r="X2927">
        <v>0.98949699999999996</v>
      </c>
      <c r="Y2927">
        <v>-6.97855E-3</v>
      </c>
      <c r="Z2927">
        <v>-7.370047E-4</v>
      </c>
      <c r="AA2927">
        <v>0.99997539999999996</v>
      </c>
      <c r="AB2927">
        <v>21</v>
      </c>
      <c r="AC2927">
        <v>-55.448499999999903</v>
      </c>
      <c r="AD2927">
        <v>-1.119698117739</v>
      </c>
      <c r="AE2927">
        <v>2.1957999999999598</v>
      </c>
      <c r="AF2927">
        <v>-0.39043721668456</v>
      </c>
      <c r="AG2927">
        <v>-1.119698117739</v>
      </c>
      <c r="AH2927">
        <v>55.468002771016899</v>
      </c>
      <c r="AI2927">
        <v>91.156408609581007</v>
      </c>
      <c r="AJ2927">
        <v>90.403296208843997</v>
      </c>
      <c r="AK2927">
        <v>55.4806767848102</v>
      </c>
      <c r="AL2927">
        <v>81.689172111203106</v>
      </c>
      <c r="AM2927">
        <v>89.900843125930805</v>
      </c>
      <c r="AN2927">
        <v>0.99999999106128401</v>
      </c>
    </row>
    <row r="2928" spans="1:40" x14ac:dyDescent="0.25">
      <c r="A2928" t="str">
        <f>"20190303161933072"</f>
        <v>20190303161933072</v>
      </c>
      <c r="B2928" t="str">
        <f>"1551601173065580"</f>
        <v>1551601173065580</v>
      </c>
      <c r="C2928" t="s">
        <v>40</v>
      </c>
      <c r="D2928">
        <v>4.3336519999999998</v>
      </c>
      <c r="E2928">
        <v>0.49647150000000001</v>
      </c>
      <c r="F2928" t="s">
        <v>56</v>
      </c>
      <c r="G2928">
        <v>-286.66239999999999</v>
      </c>
      <c r="H2928" s="1">
        <v>5.2675349999999999E-6</v>
      </c>
      <c r="I2928">
        <v>285.48860000000002</v>
      </c>
      <c r="J2928">
        <v>-230.0958</v>
      </c>
      <c r="K2928">
        <v>1.1196919999999999</v>
      </c>
      <c r="L2928">
        <v>283.18380000000002</v>
      </c>
      <c r="M2928">
        <v>-0.99881010000000003</v>
      </c>
      <c r="N2928">
        <v>-6.2763280000000003E-3</v>
      </c>
      <c r="O2928">
        <v>4.8364879999999999E-2</v>
      </c>
      <c r="P2928">
        <v>-0.98919000000000001</v>
      </c>
      <c r="Q2928">
        <v>0.1384551</v>
      </c>
      <c r="R2928">
        <v>4.8306429999999997E-2</v>
      </c>
      <c r="S2928">
        <v>-3.035034</v>
      </c>
      <c r="T2928">
        <v>-5.985248E-2</v>
      </c>
      <c r="U2928">
        <v>0.1238403</v>
      </c>
      <c r="V2928">
        <v>7.6294600000000002E-4</v>
      </c>
      <c r="W2928">
        <v>0.14466679999999901</v>
      </c>
      <c r="X2928">
        <v>0.98948009999999997</v>
      </c>
      <c r="Y2928">
        <v>-7.5973489999999998E-3</v>
      </c>
      <c r="Z2928">
        <v>-7.4793199999999998E-4</v>
      </c>
      <c r="AA2928">
        <v>0.9999709</v>
      </c>
      <c r="AB2928">
        <v>21</v>
      </c>
      <c r="AC2928">
        <v>-56.566600000000001</v>
      </c>
      <c r="AD2928">
        <v>-1.1196867324649999</v>
      </c>
      <c r="AE2928">
        <v>2.3048000000000002</v>
      </c>
      <c r="AF2928">
        <v>-0.43361819639291399</v>
      </c>
      <c r="AG2928">
        <v>-1.1196867324649999</v>
      </c>
      <c r="AH2928">
        <v>56.589737475257799</v>
      </c>
      <c r="AI2928">
        <v>91.133475338753499</v>
      </c>
      <c r="AJ2928">
        <v>90.439019643160606</v>
      </c>
      <c r="AK2928">
        <v>56.602474421510003</v>
      </c>
      <c r="AL2928">
        <v>81.682014924995499</v>
      </c>
      <c r="AM2928">
        <v>89.955821671266094</v>
      </c>
      <c r="AN2928">
        <v>0.99999996670242397</v>
      </c>
    </row>
    <row r="2929" spans="1:40" x14ac:dyDescent="0.25">
      <c r="A2929" t="str">
        <f>"20190303161933085"</f>
        <v>20190303161933085</v>
      </c>
      <c r="B2929" t="str">
        <f>"1551601173075339"</f>
        <v>1551601173075339</v>
      </c>
      <c r="C2929" t="s">
        <v>40</v>
      </c>
      <c r="D2929">
        <v>4.3662070000000002</v>
      </c>
      <c r="E2929">
        <v>0.49642560000000002</v>
      </c>
      <c r="F2929" t="s">
        <v>56</v>
      </c>
      <c r="G2929">
        <v>-288.98020000000002</v>
      </c>
      <c r="H2929" s="1">
        <v>4.2136580000000001E-6</v>
      </c>
      <c r="I2929">
        <v>285.61450000000002</v>
      </c>
      <c r="J2929">
        <v>-230.2209</v>
      </c>
      <c r="K2929">
        <v>1.1196900000000001</v>
      </c>
      <c r="L2929">
        <v>283.1909</v>
      </c>
      <c r="M2929">
        <v>-0.99875919999999896</v>
      </c>
      <c r="N2929">
        <v>-6.2863379999999998E-3</v>
      </c>
      <c r="O2929">
        <v>4.940348E-2</v>
      </c>
      <c r="P2929">
        <v>-0.9891858</v>
      </c>
      <c r="Q2929">
        <v>0.1383083</v>
      </c>
      <c r="R2929">
        <v>4.8808129999999998E-2</v>
      </c>
      <c r="S2929">
        <v>-3.034729</v>
      </c>
      <c r="T2929">
        <v>-5.7705399999999997E-2</v>
      </c>
      <c r="U2929">
        <v>0.12527469999999999</v>
      </c>
      <c r="V2929">
        <v>2.352756E-4</v>
      </c>
      <c r="W2929">
        <v>0.14453139999999901</v>
      </c>
      <c r="X2929">
        <v>0.98950020000000005</v>
      </c>
      <c r="Y2929">
        <v>-8.1616169999999995E-3</v>
      </c>
      <c r="Z2929">
        <v>-7.3102829999999999E-4</v>
      </c>
      <c r="AA2929">
        <v>0.99996640000000003</v>
      </c>
      <c r="AB2929">
        <v>21</v>
      </c>
      <c r="AC2929">
        <v>-58.759300000000003</v>
      </c>
      <c r="AD2929">
        <v>-1.119685786342</v>
      </c>
      <c r="AE2929">
        <v>2.42360000000002</v>
      </c>
      <c r="AF2929">
        <v>-0.48215581816147601</v>
      </c>
      <c r="AG2929">
        <v>-1.119685786342</v>
      </c>
      <c r="AH2929">
        <v>58.785973407016101</v>
      </c>
      <c r="AI2929">
        <v>91.091133702586802</v>
      </c>
      <c r="AJ2929">
        <v>90.469922881397295</v>
      </c>
      <c r="AK2929">
        <v>58.798612567844899</v>
      </c>
      <c r="AL2929">
        <v>81.689855562833799</v>
      </c>
      <c r="AM2929">
        <v>89.986376658995695</v>
      </c>
      <c r="AN2929">
        <v>1.0000000133703</v>
      </c>
    </row>
    <row r="2930" spans="1:40" x14ac:dyDescent="0.25">
      <c r="A2930" t="str">
        <f>"20190303161933104"</f>
        <v>20190303161933104</v>
      </c>
      <c r="B2930" t="str">
        <f>"1551601173095836"</f>
        <v>1551601173095836</v>
      </c>
      <c r="C2930" t="s">
        <v>40</v>
      </c>
      <c r="D2930">
        <v>4.3665699999999896</v>
      </c>
      <c r="E2930">
        <v>0.496332</v>
      </c>
      <c r="F2930" t="s">
        <v>56</v>
      </c>
      <c r="G2930">
        <v>-289.67540000000002</v>
      </c>
      <c r="H2930" s="1">
        <v>3.8941410000000002E-6</v>
      </c>
      <c r="I2930">
        <v>285.6687</v>
      </c>
      <c r="J2930">
        <v>-230.4074</v>
      </c>
      <c r="K2930">
        <v>1.119694</v>
      </c>
      <c r="L2930">
        <v>283.20190000000002</v>
      </c>
      <c r="M2930">
        <v>-0.99868179999999995</v>
      </c>
      <c r="N2930">
        <v>-6.3013230000000002E-3</v>
      </c>
      <c r="O2930">
        <v>5.094286E-2</v>
      </c>
      <c r="P2930">
        <v>-0.98916510000000002</v>
      </c>
      <c r="Q2930">
        <v>0.13836109999999999</v>
      </c>
      <c r="R2930">
        <v>4.9079940000000002E-2</v>
      </c>
      <c r="S2930">
        <v>-3.0345460000000002</v>
      </c>
      <c r="T2930">
        <v>-5.7148459999999998E-2</v>
      </c>
      <c r="U2930">
        <v>0.12646479999999999</v>
      </c>
      <c r="V2930">
        <v>-1.017083E-3</v>
      </c>
      <c r="W2930">
        <v>0.14460219999999999</v>
      </c>
      <c r="X2930">
        <v>0.98948939999999996</v>
      </c>
      <c r="Y2930">
        <v>-9.3086609999999993E-3</v>
      </c>
      <c r="Z2930">
        <v>-7.5423139999999998E-4</v>
      </c>
      <c r="AA2930">
        <v>0.99995639999999997</v>
      </c>
      <c r="AB2930">
        <v>21</v>
      </c>
      <c r="AC2930">
        <v>-59.268000000000001</v>
      </c>
      <c r="AD2930">
        <v>-1.1196901058590001</v>
      </c>
      <c r="AE2930">
        <v>2.4667999999999699</v>
      </c>
      <c r="AF2930">
        <v>-0.55554619931098004</v>
      </c>
      <c r="AG2930">
        <v>-1.1196901058590001</v>
      </c>
      <c r="AH2930">
        <v>59.295583496630698</v>
      </c>
      <c r="AI2930">
        <v>91.081751381558703</v>
      </c>
      <c r="AJ2930">
        <v>90.536794131331405</v>
      </c>
      <c r="AK2930">
        <v>59.3087561808426</v>
      </c>
      <c r="AL2930">
        <v>81.685756276501607</v>
      </c>
      <c r="AM2930">
        <v>90.058893549330705</v>
      </c>
      <c r="AN2930">
        <v>1.0000000517075101</v>
      </c>
    </row>
    <row r="2931" spans="1:40" x14ac:dyDescent="0.25">
      <c r="A2931" t="str">
        <f>"20190303161933127"</f>
        <v>20190303161933127</v>
      </c>
      <c r="B2931" t="str">
        <f>"1551601173115356"</f>
        <v>1551601173115356</v>
      </c>
      <c r="C2931" t="s">
        <v>40</v>
      </c>
      <c r="D2931">
        <v>4.3925989999999997</v>
      </c>
      <c r="E2931">
        <v>0.4962937</v>
      </c>
      <c r="F2931" t="s">
        <v>56</v>
      </c>
      <c r="G2931">
        <v>-291.08359999999999</v>
      </c>
      <c r="H2931" s="1">
        <v>2.3001210000000002E-6</v>
      </c>
      <c r="I2931">
        <v>285.73559999999998</v>
      </c>
      <c r="J2931">
        <v>-230.62209999999999</v>
      </c>
      <c r="K2931">
        <v>1.1196980000000001</v>
      </c>
      <c r="L2931">
        <v>283.2149</v>
      </c>
      <c r="M2931">
        <v>-0.99859089999999995</v>
      </c>
      <c r="N2931">
        <v>-6.3182530000000002E-3</v>
      </c>
      <c r="O2931">
        <v>5.2688430000000001E-2</v>
      </c>
      <c r="P2931">
        <v>-0.98894199999999999</v>
      </c>
      <c r="Q2931">
        <v>0.13984160000000001</v>
      </c>
      <c r="R2931">
        <v>4.9376249999999997E-2</v>
      </c>
      <c r="S2931">
        <v>-3.0344090000000001</v>
      </c>
      <c r="T2931">
        <v>-5.5995580000000003E-2</v>
      </c>
      <c r="U2931">
        <v>0.12670899999999999</v>
      </c>
      <c r="V2931">
        <v>-2.4386199999999999E-3</v>
      </c>
      <c r="W2931">
        <v>0.1461015</v>
      </c>
      <c r="X2931">
        <v>0.9892666</v>
      </c>
      <c r="Y2931">
        <v>-1.097416E-2</v>
      </c>
      <c r="Z2931">
        <v>-7.741232E-4</v>
      </c>
      <c r="AA2931">
        <v>0.99993949999999998</v>
      </c>
      <c r="AB2931">
        <v>21</v>
      </c>
      <c r="AC2931">
        <v>-60.461500000000001</v>
      </c>
      <c r="AD2931">
        <v>-1.11969569987899</v>
      </c>
      <c r="AE2931">
        <v>2.52069999999997</v>
      </c>
      <c r="AF2931">
        <v>-0.66825805930292104</v>
      </c>
      <c r="AG2931">
        <v>-1.11969569987899</v>
      </c>
      <c r="AH2931">
        <v>60.4896205318055</v>
      </c>
      <c r="AI2931">
        <v>91.060390170536095</v>
      </c>
      <c r="AJ2931">
        <v>90.632948405735107</v>
      </c>
      <c r="AK2931">
        <v>60.503673271760697</v>
      </c>
      <c r="AL2931">
        <v>81.598930190945396</v>
      </c>
      <c r="AM2931">
        <v>90.141238318188201</v>
      </c>
      <c r="AN2931">
        <v>1.0000000005226499</v>
      </c>
    </row>
    <row r="2932" spans="1:40" x14ac:dyDescent="0.25">
      <c r="A2932" t="str">
        <f>"20190303161933148"</f>
        <v>20190303161933148</v>
      </c>
      <c r="B2932" t="str">
        <f>"1551601173135852"</f>
        <v>1551601173135852</v>
      </c>
      <c r="C2932" t="s">
        <v>40</v>
      </c>
      <c r="D2932">
        <v>4.379194</v>
      </c>
      <c r="E2932">
        <v>0.49626959999999998</v>
      </c>
      <c r="F2932" t="s">
        <v>56</v>
      </c>
      <c r="G2932">
        <v>-297.65629999999999</v>
      </c>
      <c r="H2932" s="1">
        <v>3.4411150000000002E-6</v>
      </c>
      <c r="I2932">
        <v>286.02019999999999</v>
      </c>
      <c r="J2932">
        <v>-230.83109999999999</v>
      </c>
      <c r="K2932">
        <v>1.119723</v>
      </c>
      <c r="L2932">
        <v>283.2278</v>
      </c>
      <c r="M2932">
        <v>-0.99850209999999995</v>
      </c>
      <c r="N2932">
        <v>-6.3344430000000004E-3</v>
      </c>
      <c r="O2932">
        <v>5.4346329999999998E-2</v>
      </c>
      <c r="P2932">
        <v>-0.98877610000000005</v>
      </c>
      <c r="Q2932">
        <v>0.1414057</v>
      </c>
      <c r="R2932">
        <v>4.8230929999999998E-2</v>
      </c>
      <c r="S2932">
        <v>-3.034348</v>
      </c>
      <c r="T2932">
        <v>-5.0683739999999998E-2</v>
      </c>
      <c r="U2932">
        <v>0.1269836</v>
      </c>
      <c r="V2932">
        <v>-5.2190919999999998E-3</v>
      </c>
      <c r="W2932">
        <v>0.1476867</v>
      </c>
      <c r="X2932">
        <v>0.98902040000000002</v>
      </c>
      <c r="Y2932">
        <v>-1.254422E-2</v>
      </c>
      <c r="Z2932">
        <v>-7.0685899999999903E-4</v>
      </c>
      <c r="AA2932">
        <v>0.99992110000000001</v>
      </c>
      <c r="AB2932">
        <v>21</v>
      </c>
      <c r="AC2932">
        <v>-66.825199999999995</v>
      </c>
      <c r="AD2932">
        <v>-1.119719558885</v>
      </c>
      <c r="AE2932">
        <v>2.7923999999999798</v>
      </c>
      <c r="AF2932">
        <v>-0.84326764687804201</v>
      </c>
      <c r="AG2932">
        <v>-1.119719558885</v>
      </c>
      <c r="AH2932">
        <v>66.859459035306003</v>
      </c>
      <c r="AI2932">
        <v>90.959387171168501</v>
      </c>
      <c r="AJ2932">
        <v>90.722607034962707</v>
      </c>
      <c r="AK2932">
        <v>66.874151469073496</v>
      </c>
      <c r="AL2932">
        <v>81.507108643442805</v>
      </c>
      <c r="AM2932">
        <v>90.3023488381193</v>
      </c>
      <c r="AN2932">
        <v>0.99999997594717605</v>
      </c>
    </row>
    <row r="2933" spans="1:40" x14ac:dyDescent="0.25">
      <c r="A2933" t="str">
        <f>"20190303161933171"</f>
        <v>20190303161933171</v>
      </c>
      <c r="B2933" t="str">
        <f>"1551601173165901"</f>
        <v>1551601173165901</v>
      </c>
      <c r="C2933" t="s">
        <v>40</v>
      </c>
      <c r="D2933">
        <v>4.3869819999999997</v>
      </c>
      <c r="E2933">
        <v>0.49617139999999998</v>
      </c>
      <c r="F2933" t="s">
        <v>56</v>
      </c>
      <c r="G2933">
        <v>-304.32749999999999</v>
      </c>
      <c r="H2933" s="1">
        <v>3.0586880000000001E-6</v>
      </c>
      <c r="I2933">
        <v>286.19830000000002</v>
      </c>
      <c r="J2933">
        <v>-231.0591</v>
      </c>
      <c r="K2933">
        <v>1.11975</v>
      </c>
      <c r="L2933">
        <v>283.2423</v>
      </c>
      <c r="M2933">
        <v>-0.99840459999999998</v>
      </c>
      <c r="N2933">
        <v>-6.3517840000000001E-3</v>
      </c>
      <c r="O2933">
        <v>5.6109020000000003E-2</v>
      </c>
      <c r="P2933">
        <v>-0.98880429999999997</v>
      </c>
      <c r="Q2933">
        <v>0.1412033</v>
      </c>
      <c r="R2933">
        <v>4.8252320000000001E-2</v>
      </c>
      <c r="S2933">
        <v>-3.0346679999999999</v>
      </c>
      <c r="T2933">
        <v>-4.6233299999999998E-2</v>
      </c>
      <c r="U2933">
        <v>0.1226501</v>
      </c>
      <c r="V2933">
        <v>-6.9557109999999998E-3</v>
      </c>
      <c r="W2933">
        <v>0.14750569999999999</v>
      </c>
      <c r="X2933">
        <v>0.98903669999999999</v>
      </c>
      <c r="Y2933">
        <v>-1.573985E-2</v>
      </c>
      <c r="Z2933">
        <v>-6.6722210000000001E-4</v>
      </c>
      <c r="AA2933">
        <v>0.99987590000000004</v>
      </c>
      <c r="AB2933">
        <v>22</v>
      </c>
      <c r="AC2933">
        <v>-73.2683999999999</v>
      </c>
      <c r="AD2933">
        <v>-1.119746941312</v>
      </c>
      <c r="AE2933">
        <v>2.9560000000000102</v>
      </c>
      <c r="AF2933">
        <v>-1.1594869630320399</v>
      </c>
      <c r="AG2933">
        <v>-1.119746941312</v>
      </c>
      <c r="AH2933">
        <v>73.301740599857993</v>
      </c>
      <c r="AI2933">
        <v>90.875064640200193</v>
      </c>
      <c r="AJ2933">
        <v>90.906229086738307</v>
      </c>
      <c r="AK2933">
        <v>73.319461387812296</v>
      </c>
      <c r="AL2933">
        <v>81.517593828611595</v>
      </c>
      <c r="AM2933">
        <v>90.402943908417498</v>
      </c>
      <c r="AN2933">
        <v>0.99999995369744599</v>
      </c>
    </row>
    <row r="2934" spans="1:40" x14ac:dyDescent="0.25">
      <c r="A2934" t="str">
        <f>"20190303161933193"</f>
        <v>20190303161933193</v>
      </c>
      <c r="B2934" t="str">
        <f>"1551601173185421"</f>
        <v>1551601173185421</v>
      </c>
      <c r="C2934" t="s">
        <v>40</v>
      </c>
      <c r="D2934">
        <v>4.3772949999999904</v>
      </c>
      <c r="E2934">
        <v>0.4960794</v>
      </c>
      <c r="F2934" t="s">
        <v>56</v>
      </c>
      <c r="G2934">
        <v>-306.00330000000002</v>
      </c>
      <c r="H2934" s="1">
        <v>2.7577869999999999E-6</v>
      </c>
      <c r="I2934">
        <v>286.23970000000003</v>
      </c>
      <c r="J2934">
        <v>-231.2687</v>
      </c>
      <c r="K2934">
        <v>1.1197809999999999</v>
      </c>
      <c r="L2934">
        <v>283.2559</v>
      </c>
      <c r="M2934">
        <v>-0.99831550000000002</v>
      </c>
      <c r="N2934">
        <v>-6.3675709999999998E-3</v>
      </c>
      <c r="O2934">
        <v>5.7671399999999998E-2</v>
      </c>
      <c r="P2934">
        <v>-0.98885140000000005</v>
      </c>
      <c r="Q2934">
        <v>0.14087740000000001</v>
      </c>
      <c r="R2934">
        <v>4.8237229999999999E-2</v>
      </c>
      <c r="S2934">
        <v>-3.0345309999999999</v>
      </c>
      <c r="T2934">
        <v>-4.5339110000000002E-2</v>
      </c>
      <c r="U2934">
        <v>0.1213684</v>
      </c>
      <c r="V2934">
        <v>-8.5355159999999999E-3</v>
      </c>
      <c r="W2934">
        <v>0.1471982</v>
      </c>
      <c r="X2934">
        <v>0.98907020000000001</v>
      </c>
      <c r="Y2934">
        <v>-1.7724259999999999E-2</v>
      </c>
      <c r="Z2934">
        <v>-6.8214920000000002E-4</v>
      </c>
      <c r="AA2934">
        <v>0.99984269999999997</v>
      </c>
      <c r="AB2934">
        <v>22</v>
      </c>
      <c r="AC2934">
        <v>-74.7346</v>
      </c>
      <c r="AD2934">
        <v>-1.11977824221299</v>
      </c>
      <c r="AE2934">
        <v>2.98380000000002</v>
      </c>
      <c r="AF2934">
        <v>-1.33100362469758</v>
      </c>
      <c r="AG2934">
        <v>-1.11977824221299</v>
      </c>
      <c r="AH2934">
        <v>74.765533270644298</v>
      </c>
      <c r="AI2934">
        <v>90.8579301962193</v>
      </c>
      <c r="AJ2934">
        <v>91.019892885086193</v>
      </c>
      <c r="AK2934">
        <v>74.785763613167106</v>
      </c>
      <c r="AL2934">
        <v>81.535407229245607</v>
      </c>
      <c r="AM2934">
        <v>90.494441044539897</v>
      </c>
      <c r="AN2934">
        <v>1.0000000128223301</v>
      </c>
    </row>
    <row r="2935" spans="1:40" x14ac:dyDescent="0.25">
      <c r="A2935" t="str">
        <f>"20190303161933214"</f>
        <v>20190303161933214</v>
      </c>
      <c r="B2935" t="str">
        <f>"1551601173204941"</f>
        <v>1551601173204941</v>
      </c>
      <c r="C2935" t="s">
        <v>40</v>
      </c>
      <c r="D2935">
        <v>4.4546669999999997</v>
      </c>
      <c r="E2935">
        <v>0.49607760000000001</v>
      </c>
      <c r="F2935" t="s">
        <v>56</v>
      </c>
      <c r="G2935">
        <v>-304.66329999999999</v>
      </c>
      <c r="H2935" s="1">
        <v>3.0012019999999998E-6</v>
      </c>
      <c r="I2935">
        <v>286.17430000000002</v>
      </c>
      <c r="J2935">
        <v>-231.4804</v>
      </c>
      <c r="K2935">
        <v>1.11982</v>
      </c>
      <c r="L2935">
        <v>283.26979999999998</v>
      </c>
      <c r="M2935">
        <v>-0.9982278</v>
      </c>
      <c r="N2935">
        <v>-6.3831599999999997E-3</v>
      </c>
      <c r="O2935">
        <v>5.916594E-2</v>
      </c>
      <c r="P2935">
        <v>-0.98897000000000002</v>
      </c>
      <c r="Q2935">
        <v>0.13971459999999999</v>
      </c>
      <c r="R2935">
        <v>4.9181019999999999E-2</v>
      </c>
      <c r="S2935">
        <v>-3.0345610000000001</v>
      </c>
      <c r="T2935">
        <v>-4.6298150000000003E-2</v>
      </c>
      <c r="U2935">
        <v>0.1206665</v>
      </c>
      <c r="V2935">
        <v>-9.1006699999999999E-3</v>
      </c>
      <c r="W2935">
        <v>0.1460524</v>
      </c>
      <c r="X2935">
        <v>0.98923499999999998</v>
      </c>
      <c r="Y2935">
        <v>-1.9451840000000001E-2</v>
      </c>
      <c r="Z2935">
        <v>-7.3427099999999999E-4</v>
      </c>
      <c r="AA2935">
        <v>0.99981050000000005</v>
      </c>
      <c r="AB2935">
        <v>22</v>
      </c>
      <c r="AC2935">
        <v>-73.182899999999904</v>
      </c>
      <c r="AD2935">
        <v>-1.119816998798</v>
      </c>
      <c r="AE2935">
        <v>2.90450000000004</v>
      </c>
      <c r="AF2935">
        <v>-1.43027714554898</v>
      </c>
      <c r="AG2935">
        <v>-1.119816998798</v>
      </c>
      <c r="AH2935">
        <v>73.2094268444459</v>
      </c>
      <c r="AI2935">
        <v>90.876165121783501</v>
      </c>
      <c r="AJ2935">
        <v>91.119233186858594</v>
      </c>
      <c r="AK2935">
        <v>73.231959291801999</v>
      </c>
      <c r="AL2935">
        <v>81.601773959675398</v>
      </c>
      <c r="AM2935">
        <v>90.527089389431595</v>
      </c>
      <c r="AN2935">
        <v>1.0000000054825999</v>
      </c>
    </row>
    <row r="2936" spans="1:40" x14ac:dyDescent="0.25">
      <c r="A2936" t="str">
        <f>"20190303161933239"</f>
        <v>20190303161933239</v>
      </c>
      <c r="B2936" t="str">
        <f>"1551601173225437"</f>
        <v>1551601173225437</v>
      </c>
      <c r="C2936" t="s">
        <v>40</v>
      </c>
      <c r="D2936">
        <v>4.3723769999999904</v>
      </c>
      <c r="E2936">
        <v>0.49720560000000003</v>
      </c>
      <c r="F2936" t="s">
        <v>56</v>
      </c>
      <c r="G2936">
        <v>-300.1823</v>
      </c>
      <c r="H2936" s="1">
        <v>3.8079309999999998E-6</v>
      </c>
      <c r="I2936">
        <v>286.0385</v>
      </c>
      <c r="J2936">
        <v>-231.71719999999999</v>
      </c>
      <c r="K2936">
        <v>1.119893</v>
      </c>
      <c r="L2936">
        <v>283.28570000000002</v>
      </c>
      <c r="M2936">
        <v>-0.9981352</v>
      </c>
      <c r="N2936">
        <v>-6.4002069999999998E-3</v>
      </c>
      <c r="O2936">
        <v>6.0707039999999997E-2</v>
      </c>
      <c r="P2936">
        <v>-0.98895270000000002</v>
      </c>
      <c r="Q2936">
        <v>0.1391879</v>
      </c>
      <c r="R2936">
        <v>5.0987049999999999E-2</v>
      </c>
      <c r="S2936">
        <v>-3.0343629999999999</v>
      </c>
      <c r="T2936">
        <v>-4.945898E-2</v>
      </c>
      <c r="U2936">
        <v>0.1222839</v>
      </c>
      <c r="V2936">
        <v>-8.8532290000000007E-3</v>
      </c>
      <c r="W2936">
        <v>0.14554059999999999</v>
      </c>
      <c r="X2936">
        <v>0.98931259999999999</v>
      </c>
      <c r="Y2936">
        <v>-2.0459560000000002E-2</v>
      </c>
      <c r="Z2936">
        <v>-8.3177890000000001E-4</v>
      </c>
      <c r="AA2936">
        <v>0.99979030000000002</v>
      </c>
      <c r="AB2936">
        <v>22</v>
      </c>
      <c r="AC2936">
        <v>-68.465100000000007</v>
      </c>
      <c r="AD2936">
        <v>-1.119889192069</v>
      </c>
      <c r="AE2936">
        <v>2.7527999999999699</v>
      </c>
      <c r="AF2936">
        <v>-1.4082995192405201</v>
      </c>
      <c r="AG2936">
        <v>-1.119889192069</v>
      </c>
      <c r="AH2936">
        <v>68.487642822532905</v>
      </c>
      <c r="AI2936">
        <v>90.936601790351702</v>
      </c>
      <c r="AJ2936">
        <v>91.177997163324605</v>
      </c>
      <c r="AK2936">
        <v>68.511274099415601</v>
      </c>
      <c r="AL2936">
        <v>81.631414053426695</v>
      </c>
      <c r="AM2936">
        <v>90.512718747104998</v>
      </c>
      <c r="AN2936">
        <v>0.99999993321542002</v>
      </c>
    </row>
    <row r="2937" spans="1:40" x14ac:dyDescent="0.25">
      <c r="A2937" t="str">
        <f>"20190303161933263"</f>
        <v>20190303161933263</v>
      </c>
      <c r="B2937" t="str">
        <f>"1551601173255693"</f>
        <v>1551601173255693</v>
      </c>
      <c r="C2937" t="s">
        <v>40</v>
      </c>
      <c r="D2937">
        <v>4.4285809999999897</v>
      </c>
      <c r="E2937">
        <v>0.49868780000000001</v>
      </c>
      <c r="F2937" t="s">
        <v>56</v>
      </c>
      <c r="G2937">
        <v>-300.30770000000001</v>
      </c>
      <c r="H2937" s="1">
        <v>3.7574760000000002E-6</v>
      </c>
      <c r="I2937">
        <v>286.3612</v>
      </c>
      <c r="J2937">
        <v>-231.95169999999999</v>
      </c>
      <c r="K2937">
        <v>1.1199809999999999</v>
      </c>
      <c r="L2937">
        <v>283.30160000000001</v>
      </c>
      <c r="M2937">
        <v>-0.99805129999999997</v>
      </c>
      <c r="N2937">
        <v>-6.416972E-3</v>
      </c>
      <c r="O2937">
        <v>6.20683E-2</v>
      </c>
      <c r="P2937">
        <v>-0.9890042</v>
      </c>
      <c r="Q2937">
        <v>0.1385036</v>
      </c>
      <c r="R2937">
        <v>5.1843199999999999E-2</v>
      </c>
      <c r="S2937">
        <v>-3.033493</v>
      </c>
      <c r="T2937">
        <v>-4.952836E-2</v>
      </c>
      <c r="U2937">
        <v>0.13601679999999999</v>
      </c>
      <c r="V2937">
        <v>-9.3876970000000004E-3</v>
      </c>
      <c r="W2937">
        <v>0.14487249999999999</v>
      </c>
      <c r="X2937">
        <v>0.9894058</v>
      </c>
      <c r="Y2937">
        <v>-1.729406E-2</v>
      </c>
      <c r="Z2937">
        <v>-8.101963E-4</v>
      </c>
      <c r="AA2937">
        <v>0.99985009999999996</v>
      </c>
      <c r="AB2937">
        <v>22</v>
      </c>
      <c r="AC2937">
        <v>-68.355999999999995</v>
      </c>
      <c r="AD2937">
        <v>-1.119977242524</v>
      </c>
      <c r="AE2937">
        <v>3.0595999999999801</v>
      </c>
      <c r="AF2937">
        <v>-1.18880891229288</v>
      </c>
      <c r="AG2937">
        <v>-1.119977242524</v>
      </c>
      <c r="AH2937">
        <v>68.395781531441202</v>
      </c>
      <c r="AI2937">
        <v>90.937989810718406</v>
      </c>
      <c r="AJ2937">
        <v>90.995775963870699</v>
      </c>
      <c r="AK2937">
        <v>68.415280069223897</v>
      </c>
      <c r="AL2937">
        <v>81.670104012059298</v>
      </c>
      <c r="AM2937">
        <v>90.543618480251595</v>
      </c>
      <c r="AN2937">
        <v>1.0000000035924199</v>
      </c>
    </row>
    <row r="2938" spans="1:40" x14ac:dyDescent="0.25">
      <c r="A2938" t="str">
        <f>"20190303161933283"</f>
        <v>20190303161933283</v>
      </c>
      <c r="B2938" t="str">
        <f>"1551601173275213"</f>
        <v>1551601173275213</v>
      </c>
      <c r="C2938" t="s">
        <v>40</v>
      </c>
      <c r="D2938">
        <v>4.4346399999999999</v>
      </c>
      <c r="E2938">
        <v>0.499527</v>
      </c>
      <c r="F2938" t="s">
        <v>56</v>
      </c>
      <c r="G2938">
        <v>-300.81479999999999</v>
      </c>
      <c r="H2938" s="1">
        <v>3.6369779999999999E-6</v>
      </c>
      <c r="I2938">
        <v>286.71069999999997</v>
      </c>
      <c r="J2938">
        <v>-232.1583</v>
      </c>
      <c r="K2938">
        <v>1.12008</v>
      </c>
      <c r="L2938">
        <v>283.31569999999999</v>
      </c>
      <c r="M2938">
        <v>-0.99798659999999995</v>
      </c>
      <c r="N2938">
        <v>-6.4315780000000003E-3</v>
      </c>
      <c r="O2938">
        <v>6.3099089999999997E-2</v>
      </c>
      <c r="P2938">
        <v>-0.98932620000000004</v>
      </c>
      <c r="Q2938">
        <v>0.136076</v>
      </c>
      <c r="R2938">
        <v>5.2127649999999998E-2</v>
      </c>
      <c r="S2938">
        <v>-3.032394</v>
      </c>
      <c r="T2938">
        <v>-4.9318309999999997E-2</v>
      </c>
      <c r="U2938">
        <v>0.150116</v>
      </c>
      <c r="V2938">
        <v>-1.0187669999999999E-2</v>
      </c>
      <c r="W2938">
        <v>0.1424598</v>
      </c>
      <c r="X2938">
        <v>0.98974819999999997</v>
      </c>
      <c r="Y2938">
        <v>-1.367264E-2</v>
      </c>
      <c r="Z2938">
        <v>-7.7380709999999998E-4</v>
      </c>
      <c r="AA2938">
        <v>0.99990619999999997</v>
      </c>
      <c r="AB2938">
        <v>22</v>
      </c>
      <c r="AC2938">
        <v>-68.656499999999994</v>
      </c>
      <c r="AD2938">
        <v>-1.1200763630220001</v>
      </c>
      <c r="AE2938">
        <v>3.39499999999998</v>
      </c>
      <c r="AF2938">
        <v>-0.94376706258706999</v>
      </c>
      <c r="AG2938">
        <v>-1.1200763630220001</v>
      </c>
      <c r="AH2938">
        <v>68.7156618085817</v>
      </c>
      <c r="AI2938">
        <v>90.933759691212799</v>
      </c>
      <c r="AJ2938">
        <v>90.786872576771103</v>
      </c>
      <c r="AK2938">
        <v>68.731269776709297</v>
      </c>
      <c r="AL2938">
        <v>81.809790966069897</v>
      </c>
      <c r="AM2938">
        <v>90.589735733497605</v>
      </c>
      <c r="AN2938">
        <v>1.0000000413196499</v>
      </c>
    </row>
    <row r="2939" spans="1:40" x14ac:dyDescent="0.25">
      <c r="A2939" t="str">
        <f>"20190303161933305"</f>
        <v>20190303161933305</v>
      </c>
      <c r="B2939" t="str">
        <f>"1551601173295709"</f>
        <v>1551601173295709</v>
      </c>
      <c r="C2939" t="s">
        <v>40</v>
      </c>
      <c r="D2939">
        <v>4.4623480000000004</v>
      </c>
      <c r="E2939">
        <v>0.50023689999999998</v>
      </c>
      <c r="F2939" t="s">
        <v>56</v>
      </c>
      <c r="G2939">
        <v>-292.26389999999998</v>
      </c>
      <c r="H2939" s="1">
        <v>2.4469959999999999E-6</v>
      </c>
      <c r="I2939">
        <v>286.4502</v>
      </c>
      <c r="J2939">
        <v>-232.37549999999999</v>
      </c>
      <c r="K2939">
        <v>1.1202030000000001</v>
      </c>
      <c r="L2939">
        <v>283.33049999999997</v>
      </c>
      <c r="M2939">
        <v>-0.99792979999999998</v>
      </c>
      <c r="N2939">
        <v>-6.4471659999999998E-3</v>
      </c>
      <c r="O2939">
        <v>6.3989790000000005E-2</v>
      </c>
      <c r="P2939">
        <v>-0.98938230000000005</v>
      </c>
      <c r="Q2939">
        <v>0.13558010000000001</v>
      </c>
      <c r="R2939">
        <v>5.23572E-2</v>
      </c>
      <c r="S2939">
        <v>-3.0318149999999999</v>
      </c>
      <c r="T2939">
        <v>-5.6498409999999999E-2</v>
      </c>
      <c r="U2939">
        <v>0.15811159999999999</v>
      </c>
      <c r="V2939">
        <v>-1.0891639999999999E-2</v>
      </c>
      <c r="W2939">
        <v>0.141977399999999</v>
      </c>
      <c r="X2939">
        <v>0.98980999999999997</v>
      </c>
      <c r="Y2939">
        <v>-1.192348E-2</v>
      </c>
      <c r="Z2939">
        <v>-9.2728389999999997E-4</v>
      </c>
      <c r="AA2939">
        <v>0.9999285</v>
      </c>
      <c r="AB2939">
        <v>22</v>
      </c>
      <c r="AC2939">
        <v>-59.888399999999898</v>
      </c>
      <c r="AD2939">
        <v>-1.120200553004</v>
      </c>
      <c r="AE2939">
        <v>3.1197000000000199</v>
      </c>
      <c r="AF2939">
        <v>-0.71876863908788802</v>
      </c>
      <c r="AG2939">
        <v>-1.120200553004</v>
      </c>
      <c r="AH2939">
        <v>59.944373953366203</v>
      </c>
      <c r="AI2939">
        <v>91.070503838692701</v>
      </c>
      <c r="AJ2939">
        <v>90.686977497011796</v>
      </c>
      <c r="AK2939">
        <v>59.9591481451871</v>
      </c>
      <c r="AL2939">
        <v>81.837714131669998</v>
      </c>
      <c r="AM2939">
        <v>90.630444043545694</v>
      </c>
      <c r="AN2939">
        <v>1.00000002301632</v>
      </c>
    </row>
    <row r="2940" spans="1:40" x14ac:dyDescent="0.25">
      <c r="A2940" t="str">
        <f>"20190303161933326"</f>
        <v>20190303161933326</v>
      </c>
      <c r="B2940" t="str">
        <f>"1551601173315229"</f>
        <v>1551601173315229</v>
      </c>
      <c r="C2940" t="s">
        <v>40</v>
      </c>
      <c r="D2940">
        <v>4.4897589999999896</v>
      </c>
      <c r="E2940">
        <v>0.5009034</v>
      </c>
      <c r="F2940" t="s">
        <v>56</v>
      </c>
      <c r="G2940">
        <v>-291.59699999999998</v>
      </c>
      <c r="H2940" s="1">
        <v>2.3212829999999999E-6</v>
      </c>
      <c r="I2940">
        <v>286.5351</v>
      </c>
      <c r="J2940">
        <v>-232.59280000000001</v>
      </c>
      <c r="K2940">
        <v>1.1203419999999999</v>
      </c>
      <c r="L2940">
        <v>283.34530000000001</v>
      </c>
      <c r="M2940">
        <v>-0.99788730000000003</v>
      </c>
      <c r="N2940">
        <v>-6.4631699999999999E-3</v>
      </c>
      <c r="O2940">
        <v>6.4646800000000004E-2</v>
      </c>
      <c r="P2940">
        <v>-0.98942240000000004</v>
      </c>
      <c r="Q2940">
        <v>0.13499710000000001</v>
      </c>
      <c r="R2940">
        <v>5.3096339999999999E-2</v>
      </c>
      <c r="S2940">
        <v>-3.0313720000000002</v>
      </c>
      <c r="T2940">
        <v>-5.7339790000000002E-2</v>
      </c>
      <c r="U2940">
        <v>0.16403199999999901</v>
      </c>
      <c r="V2940">
        <v>-1.0859489999999999E-2</v>
      </c>
      <c r="W2940">
        <v>0.14140720000000001</v>
      </c>
      <c r="X2940">
        <v>0.98989190000000005</v>
      </c>
      <c r="Y2940">
        <v>-1.062681E-2</v>
      </c>
      <c r="Z2940">
        <v>-9.3754289999999996E-4</v>
      </c>
      <c r="AA2940">
        <v>0.99994309999999997</v>
      </c>
      <c r="AB2940">
        <v>22</v>
      </c>
      <c r="AC2940">
        <v>-59.004199999999898</v>
      </c>
      <c r="AD2940">
        <v>-1.1203396787169999</v>
      </c>
      <c r="AE2940">
        <v>3.1897999999999902</v>
      </c>
      <c r="AF2940">
        <v>-0.63115809604572204</v>
      </c>
      <c r="AG2940">
        <v>-1.1203396787169999</v>
      </c>
      <c r="AH2940">
        <v>59.065752446634299</v>
      </c>
      <c r="AI2940">
        <v>91.086575097274704</v>
      </c>
      <c r="AJ2940">
        <v>90.612221419456702</v>
      </c>
      <c r="AK2940">
        <v>59.079748083628402</v>
      </c>
      <c r="AL2940">
        <v>81.870716556635699</v>
      </c>
      <c r="AM2940">
        <v>90.628531242571199</v>
      </c>
      <c r="AN2940">
        <v>0.99999994921025304</v>
      </c>
    </row>
    <row r="2941" spans="1:40" x14ac:dyDescent="0.25">
      <c r="A2941" t="str">
        <f>"20190303161933350"</f>
        <v>20190303161933350</v>
      </c>
      <c r="B2941" t="str">
        <f>"1551601173335725"</f>
        <v>1551601173335725</v>
      </c>
      <c r="C2941" t="s">
        <v>40</v>
      </c>
      <c r="D2941">
        <v>4.501474</v>
      </c>
      <c r="E2941">
        <v>0.5015018</v>
      </c>
      <c r="F2941" t="s">
        <v>56</v>
      </c>
      <c r="G2941">
        <v>-291.17239999999998</v>
      </c>
      <c r="H2941" s="1">
        <v>2.2367410000000002E-6</v>
      </c>
      <c r="I2941">
        <v>286.64069999999998</v>
      </c>
      <c r="J2941">
        <v>-232.82409999999999</v>
      </c>
      <c r="K2941">
        <v>1.1204799999999999</v>
      </c>
      <c r="L2941">
        <v>283.36090000000002</v>
      </c>
      <c r="M2941">
        <v>-0.99785550000000001</v>
      </c>
      <c r="N2941">
        <v>-6.4805499999999999E-3</v>
      </c>
      <c r="O2941">
        <v>6.5135070000000003E-2</v>
      </c>
      <c r="P2941">
        <v>-0.98969609999999997</v>
      </c>
      <c r="Q2941">
        <v>0.13294529999999999</v>
      </c>
      <c r="R2941">
        <v>5.317318E-2</v>
      </c>
      <c r="S2941">
        <v>-3.030853</v>
      </c>
      <c r="T2941">
        <v>-5.7965280000000001E-2</v>
      </c>
      <c r="U2941">
        <v>0.17050170000000001</v>
      </c>
      <c r="V2941">
        <v>-1.1336229999999999E-2</v>
      </c>
      <c r="W2941">
        <v>0.13937089999999999</v>
      </c>
      <c r="X2941">
        <v>0.99017540000000004</v>
      </c>
      <c r="Y2941">
        <v>-8.9789810000000005E-3</v>
      </c>
      <c r="Z2941">
        <v>-9.3611780000000004E-4</v>
      </c>
      <c r="AA2941">
        <v>0.99995919999999905</v>
      </c>
      <c r="AB2941">
        <v>22</v>
      </c>
      <c r="AC2941">
        <v>-58.348300000000002</v>
      </c>
      <c r="AD2941">
        <v>-1.1204777632589999</v>
      </c>
      <c r="AE2941">
        <v>3.2797999999999599</v>
      </c>
      <c r="AF2941">
        <v>-0.52757123546077</v>
      </c>
      <c r="AG2941">
        <v>-1.1204777632589999</v>
      </c>
      <c r="AH2941">
        <v>58.416549988461803</v>
      </c>
      <c r="AI2941">
        <v>91.098800916230402</v>
      </c>
      <c r="AJ2941">
        <v>90.5174352716448</v>
      </c>
      <c r="AK2941">
        <v>58.4296766581922</v>
      </c>
      <c r="AL2941">
        <v>81.988555737886301</v>
      </c>
      <c r="AM2941">
        <v>90.655934048389597</v>
      </c>
      <c r="AN2941">
        <v>1.0000000403212901</v>
      </c>
    </row>
    <row r="2942" spans="1:40" x14ac:dyDescent="0.25">
      <c r="A2942" t="str">
        <f>"20190303161933372"</f>
        <v>20190303161933372</v>
      </c>
      <c r="B2942" t="str">
        <f>"1551601173365005"</f>
        <v>1551601173365005</v>
      </c>
      <c r="C2942" t="s">
        <v>40</v>
      </c>
      <c r="D2942">
        <v>4.5515999999999996</v>
      </c>
      <c r="E2942">
        <v>0.50226839999999995</v>
      </c>
      <c r="F2942" t="s">
        <v>56</v>
      </c>
      <c r="G2942">
        <v>-286.25369999999998</v>
      </c>
      <c r="H2942" s="1">
        <v>5.2488670000000004E-6</v>
      </c>
      <c r="I2942">
        <v>286.45589999999999</v>
      </c>
      <c r="J2942">
        <v>-233.05289999999999</v>
      </c>
      <c r="K2942">
        <v>1.1206050000000001</v>
      </c>
      <c r="L2942">
        <v>283.37619999999998</v>
      </c>
      <c r="M2942">
        <v>-0.99783730000000004</v>
      </c>
      <c r="N2942">
        <v>-6.4979E-3</v>
      </c>
      <c r="O2942">
        <v>6.5410850000000006E-2</v>
      </c>
      <c r="P2942">
        <v>-0.98999910000000002</v>
      </c>
      <c r="Q2942">
        <v>0.13086639999999999</v>
      </c>
      <c r="R2942">
        <v>5.2683830000000001E-2</v>
      </c>
      <c r="S2942">
        <v>-3.0303339999999999</v>
      </c>
      <c r="T2942">
        <v>-6.354928E-2</v>
      </c>
      <c r="U2942">
        <v>0.1755371</v>
      </c>
      <c r="V2942">
        <v>-1.216273E-2</v>
      </c>
      <c r="W2942">
        <v>0.13730719999999999</v>
      </c>
      <c r="X2942">
        <v>0.99045380000000005</v>
      </c>
      <c r="Y2942">
        <v>-7.587931E-3</v>
      </c>
      <c r="Z2942">
        <v>-1.048139E-3</v>
      </c>
      <c r="AA2942">
        <v>0.99997069999999999</v>
      </c>
      <c r="AB2942">
        <v>22</v>
      </c>
      <c r="AC2942">
        <v>-53.200800000000001</v>
      </c>
      <c r="AD2942">
        <v>-1.1205997511329999</v>
      </c>
      <c r="AE2942">
        <v>3.0796999999999999</v>
      </c>
      <c r="AF2942">
        <v>-0.40669875027212499</v>
      </c>
      <c r="AG2942">
        <v>-1.1205997511329999</v>
      </c>
      <c r="AH2942">
        <v>53.264758012344103</v>
      </c>
      <c r="AI2942">
        <v>91.205192660545507</v>
      </c>
      <c r="AJ2942">
        <v>90.437468787510298</v>
      </c>
      <c r="AK2942">
        <v>53.278096754569603</v>
      </c>
      <c r="AL2942">
        <v>82.107944390253607</v>
      </c>
      <c r="AM2942">
        <v>90.703554341106994</v>
      </c>
      <c r="AN2942">
        <v>0.99999996455366502</v>
      </c>
    </row>
    <row r="2943" spans="1:40" x14ac:dyDescent="0.25">
      <c r="A2943" t="str">
        <f>"20190303161933395"</f>
        <v>20190303161933395</v>
      </c>
      <c r="B2943" t="str">
        <f>"1551601173385501"</f>
        <v>1551601173385501</v>
      </c>
      <c r="C2943" t="s">
        <v>40</v>
      </c>
      <c r="D2943">
        <v>4.5567970000000004</v>
      </c>
      <c r="E2943">
        <v>0.50270999999999999</v>
      </c>
      <c r="F2943" t="s">
        <v>56</v>
      </c>
      <c r="G2943">
        <v>-282.77449999999999</v>
      </c>
      <c r="H2943" s="1">
        <v>6.8181500000000001E-6</v>
      </c>
      <c r="I2943">
        <v>286.32810000000001</v>
      </c>
      <c r="J2943">
        <v>-233.2748</v>
      </c>
      <c r="K2943">
        <v>1.1207210000000001</v>
      </c>
      <c r="L2943">
        <v>283.39089999999999</v>
      </c>
      <c r="M2943">
        <v>-0.99783259999999996</v>
      </c>
      <c r="N2943">
        <v>-6.5147950000000003E-3</v>
      </c>
      <c r="O2943">
        <v>6.548292E-2</v>
      </c>
      <c r="P2943">
        <v>-0.9898922</v>
      </c>
      <c r="Q2943">
        <v>0.1315355</v>
      </c>
      <c r="R2943">
        <v>5.3029279999999998E-2</v>
      </c>
      <c r="S2943">
        <v>-3.0297390000000002</v>
      </c>
      <c r="T2943">
        <v>-6.8282490000000001E-2</v>
      </c>
      <c r="U2943">
        <v>0.17987059999999999</v>
      </c>
      <c r="V2943">
        <v>-1.191978E-2</v>
      </c>
      <c r="W2943">
        <v>0.13798969999999999</v>
      </c>
      <c r="X2943">
        <v>0.99036190000000002</v>
      </c>
      <c r="Y2943">
        <v>-6.2220409999999898E-3</v>
      </c>
      <c r="Z2943">
        <v>-1.1365209999999999E-3</v>
      </c>
      <c r="AA2943">
        <v>0.99997999999999998</v>
      </c>
      <c r="AB2943">
        <v>23</v>
      </c>
      <c r="AC2943">
        <v>-49.499699999999898</v>
      </c>
      <c r="AD2943">
        <v>-1.1207141818499999</v>
      </c>
      <c r="AE2943">
        <v>2.93720000000001</v>
      </c>
      <c r="AF2943">
        <v>-0.31039896364625003</v>
      </c>
      <c r="AG2943">
        <v>-1.1207141818499999</v>
      </c>
      <c r="AH2943">
        <v>49.560478400389997</v>
      </c>
      <c r="AI2943">
        <v>91.295386856797705</v>
      </c>
      <c r="AJ2943">
        <v>90.358840726020205</v>
      </c>
      <c r="AK2943">
        <v>49.574119932375503</v>
      </c>
      <c r="AL2943">
        <v>82.068464221811496</v>
      </c>
      <c r="AM2943">
        <v>90.689566220238206</v>
      </c>
      <c r="AN2943">
        <v>0.99999996571647298</v>
      </c>
    </row>
    <row r="2944" spans="1:40" x14ac:dyDescent="0.25">
      <c r="A2944" t="str">
        <f>"20190303161933416"</f>
        <v>20190303161933416</v>
      </c>
      <c r="B2944" t="str">
        <f>"1551601173405021"</f>
        <v>1551601173405021</v>
      </c>
      <c r="C2944" t="s">
        <v>40</v>
      </c>
      <c r="D2944">
        <v>4.582973</v>
      </c>
      <c r="E2944">
        <v>0.50310679999999997</v>
      </c>
      <c r="F2944" t="s">
        <v>56</v>
      </c>
      <c r="G2944">
        <v>-285.22230000000002</v>
      </c>
      <c r="H2944" s="1">
        <v>5.6880169999999901E-6</v>
      </c>
      <c r="I2944">
        <v>286.54430000000002</v>
      </c>
      <c r="J2944">
        <v>-233.49250000000001</v>
      </c>
      <c r="K2944">
        <v>1.1208359999999999</v>
      </c>
      <c r="L2944">
        <v>283.40519999999998</v>
      </c>
      <c r="M2944">
        <v>-0.99784010000000001</v>
      </c>
      <c r="N2944">
        <v>-6.5332560000000003E-3</v>
      </c>
      <c r="O2944">
        <v>6.5365090000000001E-2</v>
      </c>
      <c r="P2944">
        <v>-0.98956429999999995</v>
      </c>
      <c r="Q2944">
        <v>0.13382639999999901</v>
      </c>
      <c r="R2944">
        <v>5.3417999999999903E-2</v>
      </c>
      <c r="S2944">
        <v>-3.02948</v>
      </c>
      <c r="T2944">
        <v>-6.5358040000000006E-2</v>
      </c>
      <c r="U2944">
        <v>0.1838989</v>
      </c>
      <c r="V2944">
        <v>-1.1430569999999999E-2</v>
      </c>
      <c r="W2944">
        <v>0.14029349999999999</v>
      </c>
      <c r="X2944">
        <v>0.99004400000000004</v>
      </c>
      <c r="Y2944">
        <v>-4.7755819999999996E-3</v>
      </c>
      <c r="Z2944">
        <v>-1.0472890000000001E-3</v>
      </c>
      <c r="AA2944">
        <v>0.99998799999999999</v>
      </c>
      <c r="AB2944">
        <v>23</v>
      </c>
      <c r="AC2944">
        <v>-51.729799999999997</v>
      </c>
      <c r="AD2944">
        <v>-1.1208303119830001</v>
      </c>
      <c r="AE2944">
        <v>3.13910000000004</v>
      </c>
      <c r="AF2944">
        <v>-0.248892055165927</v>
      </c>
      <c r="AG2944">
        <v>-1.1208303119830001</v>
      </c>
      <c r="AH2944">
        <v>51.800129827238401</v>
      </c>
      <c r="AI2944">
        <v>91.239535236772298</v>
      </c>
      <c r="AJ2944">
        <v>90.275295730386105</v>
      </c>
      <c r="AK2944">
        <v>51.812852246929403</v>
      </c>
      <c r="AL2944">
        <v>81.935170009328402</v>
      </c>
      <c r="AM2944">
        <v>90.661480015586207</v>
      </c>
      <c r="AN2944">
        <v>1.00000002300438</v>
      </c>
    </row>
    <row r="2945" spans="1:40" x14ac:dyDescent="0.25">
      <c r="A2945" t="str">
        <f>"20190303161933440"</f>
        <v>20190303161933440</v>
      </c>
      <c r="B2945" t="str">
        <f>"1551601173425517"</f>
        <v>1551601173425517</v>
      </c>
      <c r="C2945" t="s">
        <v>40</v>
      </c>
      <c r="D2945">
        <v>4.591094</v>
      </c>
      <c r="E2945">
        <v>0.50345660000000003</v>
      </c>
      <c r="F2945" t="s">
        <v>56</v>
      </c>
      <c r="G2945">
        <v>-292.31130000000002</v>
      </c>
      <c r="H2945" s="1">
        <v>2.4027739999999998E-6</v>
      </c>
      <c r="I2945">
        <v>287.0523</v>
      </c>
      <c r="J2945">
        <v>-233.7353</v>
      </c>
      <c r="K2945">
        <v>1.1209639999999901</v>
      </c>
      <c r="L2945">
        <v>283.42079999999999</v>
      </c>
      <c r="M2945">
        <v>-0.99786220000000003</v>
      </c>
      <c r="N2945">
        <v>-6.5613379999999999E-3</v>
      </c>
      <c r="O2945">
        <v>6.5024620000000005E-2</v>
      </c>
      <c r="P2945">
        <v>-0.98945810000000001</v>
      </c>
      <c r="Q2945">
        <v>0.13512650000000001</v>
      </c>
      <c r="R2945">
        <v>5.2094670000000003E-2</v>
      </c>
      <c r="S2945">
        <v>-3.0292970000000001</v>
      </c>
      <c r="T2945">
        <v>-5.7725430000000001E-2</v>
      </c>
      <c r="U2945">
        <v>0.18783569999999999</v>
      </c>
      <c r="V2945">
        <v>-1.244838E-2</v>
      </c>
      <c r="W2945">
        <v>0.141616299999999</v>
      </c>
      <c r="X2945">
        <v>0.98984340000000004</v>
      </c>
      <c r="Y2945">
        <v>-3.1390440000000001E-3</v>
      </c>
      <c r="Z2945">
        <v>-8.5003889999999999E-4</v>
      </c>
      <c r="AA2945">
        <v>0.99999470000000001</v>
      </c>
      <c r="AB2945">
        <v>23</v>
      </c>
      <c r="AC2945">
        <v>-58.576000000000001</v>
      </c>
      <c r="AD2945">
        <v>-1.1209615972260001</v>
      </c>
      <c r="AE2945">
        <v>3.6315000000000102</v>
      </c>
      <c r="AF2945">
        <v>-0.18508200550152801</v>
      </c>
      <c r="AG2945">
        <v>-1.1209615972260001</v>
      </c>
      <c r="AH2945">
        <v>58.666767233830498</v>
      </c>
      <c r="AI2945">
        <v>91.094627123256501</v>
      </c>
      <c r="AJ2945">
        <v>90.180756211704605</v>
      </c>
      <c r="AK2945">
        <v>58.677767407423197</v>
      </c>
      <c r="AL2945">
        <v>81.858615023636702</v>
      </c>
      <c r="AM2945">
        <v>90.720520071854395</v>
      </c>
      <c r="AN2945">
        <v>1.0000000475569299</v>
      </c>
    </row>
    <row r="2946" spans="1:40" x14ac:dyDescent="0.25">
      <c r="A2946" t="str">
        <f>"20190303161933462"</f>
        <v>20190303161933462</v>
      </c>
      <c r="B2946" t="str">
        <f>"1551601173455773"</f>
        <v>1551601173455773</v>
      </c>
      <c r="C2946" t="s">
        <v>40</v>
      </c>
      <c r="D2946">
        <v>4.6514579999999999</v>
      </c>
      <c r="E2946">
        <v>0.50395829999999997</v>
      </c>
      <c r="F2946" t="s">
        <v>56</v>
      </c>
      <c r="G2946">
        <v>-297.60969999999998</v>
      </c>
      <c r="H2946" s="1">
        <v>3.314991E-6</v>
      </c>
      <c r="I2946">
        <v>287.36849999999998</v>
      </c>
      <c r="J2946">
        <v>-233.96619999999999</v>
      </c>
      <c r="K2946">
        <v>1.121092</v>
      </c>
      <c r="L2946">
        <v>283.43540000000002</v>
      </c>
      <c r="M2946">
        <v>-0.99789499999999998</v>
      </c>
      <c r="N2946">
        <v>-6.5995659999999899E-3</v>
      </c>
      <c r="O2946">
        <v>6.4514429999999998E-2</v>
      </c>
      <c r="P2946">
        <v>-0.98953650000000004</v>
      </c>
      <c r="Q2946">
        <v>0.13541329999999999</v>
      </c>
      <c r="R2946">
        <v>4.9809939999999997E-2</v>
      </c>
      <c r="S2946">
        <v>-3.0293730000000001</v>
      </c>
      <c r="T2946">
        <v>-5.3163769999999999E-2</v>
      </c>
      <c r="U2946">
        <v>0.18722530000000001</v>
      </c>
      <c r="V2946">
        <v>-1.426724E-2</v>
      </c>
      <c r="W2946">
        <v>0.14193539999999999</v>
      </c>
      <c r="X2946">
        <v>0.98977309999999996</v>
      </c>
      <c r="Y2946">
        <v>-2.8314170000000001E-3</v>
      </c>
      <c r="Z2946">
        <v>-7.3826570000000002E-4</v>
      </c>
      <c r="AA2946">
        <v>0.99999570000000004</v>
      </c>
      <c r="AB2946">
        <v>23</v>
      </c>
      <c r="AC2946">
        <v>-63.643499999999896</v>
      </c>
      <c r="AD2946">
        <v>-1.1210886850090001</v>
      </c>
      <c r="AE2946">
        <v>3.9330999999999601</v>
      </c>
      <c r="AF2946">
        <v>-0.18105127127758</v>
      </c>
      <c r="AG2946">
        <v>-1.1210886850090001</v>
      </c>
      <c r="AH2946">
        <v>63.744953319081297</v>
      </c>
      <c r="AI2946">
        <v>91.007558502651193</v>
      </c>
      <c r="AJ2946">
        <v>90.162733601413905</v>
      </c>
      <c r="AK2946">
        <v>63.755067979372001</v>
      </c>
      <c r="AL2946">
        <v>81.840144990368003</v>
      </c>
      <c r="AM2946">
        <v>90.825841828747699</v>
      </c>
      <c r="AN2946">
        <v>1.00000000069699</v>
      </c>
    </row>
    <row r="2947" spans="1:40" x14ac:dyDescent="0.25">
      <c r="A2947" t="str">
        <f>"20190303161933483"</f>
        <v>20190303161933483</v>
      </c>
      <c r="B2947" t="str">
        <f>"1551601173475800"</f>
        <v>1551601173475800</v>
      </c>
      <c r="C2947" t="s">
        <v>40</v>
      </c>
      <c r="D2947">
        <v>4.6851629999999904</v>
      </c>
      <c r="E2947">
        <v>0.50434120000000005</v>
      </c>
      <c r="F2947" t="s">
        <v>56</v>
      </c>
      <c r="G2947">
        <v>-301.69080000000002</v>
      </c>
      <c r="H2947" s="1">
        <v>3.4068230000000001E-6</v>
      </c>
      <c r="I2947">
        <v>287.5659</v>
      </c>
      <c r="J2947">
        <v>-234.18369999999999</v>
      </c>
      <c r="K2947">
        <v>1.12121</v>
      </c>
      <c r="L2947">
        <v>283.44880000000001</v>
      </c>
      <c r="M2947">
        <v>-0.99793500000000002</v>
      </c>
      <c r="N2947">
        <v>-6.647394E-3</v>
      </c>
      <c r="O2947">
        <v>6.3887570000000005E-2</v>
      </c>
      <c r="P2947">
        <v>-0.98957260000000002</v>
      </c>
      <c r="Q2947">
        <v>0.13581969999999999</v>
      </c>
      <c r="R2947">
        <v>4.7951290000000001E-2</v>
      </c>
      <c r="S2947">
        <v>-3.0292819999999998</v>
      </c>
      <c r="T2947">
        <v>-5.0145629999999997E-2</v>
      </c>
      <c r="U2947">
        <v>0.18475340000000001</v>
      </c>
      <c r="V2947">
        <v>-1.553768E-2</v>
      </c>
      <c r="W2947">
        <v>0.14238329999999999</v>
      </c>
      <c r="X2947">
        <v>0.98968959999999995</v>
      </c>
      <c r="Y2947">
        <v>-3.015106E-3</v>
      </c>
      <c r="Z2947">
        <v>-6.6572349999999996E-4</v>
      </c>
      <c r="AA2947">
        <v>0.99999519999999997</v>
      </c>
      <c r="AB2947">
        <v>23</v>
      </c>
      <c r="AC2947">
        <v>-67.507099999999994</v>
      </c>
      <c r="AD2947">
        <v>-1.1212065931769899</v>
      </c>
      <c r="AE2947">
        <v>4.11709999999999</v>
      </c>
      <c r="AF2947">
        <v>-0.20421477010411601</v>
      </c>
      <c r="AG2947">
        <v>-1.1212065931769899</v>
      </c>
      <c r="AH2947">
        <v>67.613639058838402</v>
      </c>
      <c r="AI2947">
        <v>90.950018759403406</v>
      </c>
      <c r="AJ2947">
        <v>90.173051014931602</v>
      </c>
      <c r="AK2947">
        <v>67.623243006201605</v>
      </c>
      <c r="AL2947">
        <v>81.814218596973205</v>
      </c>
      <c r="AM2947">
        <v>90.899443984328798</v>
      </c>
      <c r="AN2947">
        <v>0.99999996398341495</v>
      </c>
    </row>
    <row r="2948" spans="1:40" x14ac:dyDescent="0.25">
      <c r="A2948" t="str">
        <f>"20190303161933506"</f>
        <v>20190303161933506</v>
      </c>
      <c r="B2948" t="str">
        <f>"1551601173495321"</f>
        <v>1551601173495321</v>
      </c>
      <c r="C2948" t="s">
        <v>40</v>
      </c>
      <c r="D2948">
        <v>4.627866</v>
      </c>
      <c r="E2948">
        <v>0.50462089999999904</v>
      </c>
      <c r="F2948" t="s">
        <v>56</v>
      </c>
      <c r="G2948">
        <v>-305.18630000000002</v>
      </c>
      <c r="H2948" s="1">
        <v>2.77113E-6</v>
      </c>
      <c r="I2948">
        <v>287.7448</v>
      </c>
      <c r="J2948">
        <v>-234.4143</v>
      </c>
      <c r="K2948">
        <v>1.1213109999999999</v>
      </c>
      <c r="L2948">
        <v>283.46280000000002</v>
      </c>
      <c r="M2948">
        <v>-0.99798480000000001</v>
      </c>
      <c r="N2948">
        <v>-6.713541E-3</v>
      </c>
      <c r="O2948">
        <v>6.3097280000000006E-2</v>
      </c>
      <c r="P2948">
        <v>-0.9896954</v>
      </c>
      <c r="Q2948">
        <v>0.1359503</v>
      </c>
      <c r="R2948">
        <v>4.4946529999999998E-2</v>
      </c>
      <c r="S2948">
        <v>-3.029312</v>
      </c>
      <c r="T2948">
        <v>-4.7836070000000001E-2</v>
      </c>
      <c r="U2948">
        <v>0.1832886</v>
      </c>
      <c r="V2948">
        <v>-1.7791040000000001E-2</v>
      </c>
      <c r="W2948">
        <v>0.14257259999999999</v>
      </c>
      <c r="X2948">
        <v>0.98962439999999996</v>
      </c>
      <c r="Y2948">
        <v>-2.7062380000000001E-3</v>
      </c>
      <c r="Z2948">
        <v>-6.0124810000000001E-4</v>
      </c>
      <c r="AA2948">
        <v>0.9999962</v>
      </c>
      <c r="AB2948">
        <v>23</v>
      </c>
      <c r="AC2948">
        <v>-70.772000000000006</v>
      </c>
      <c r="AD2948">
        <v>-1.12130822887</v>
      </c>
      <c r="AE2948">
        <v>4.2819999999999796</v>
      </c>
      <c r="AF2948">
        <v>-0.19210606836201899</v>
      </c>
      <c r="AG2948">
        <v>-1.12130822887</v>
      </c>
      <c r="AH2948">
        <v>70.883431647243697</v>
      </c>
      <c r="AI2948">
        <v>90.906285621837</v>
      </c>
      <c r="AJ2948">
        <v>90.155280856637305</v>
      </c>
      <c r="AK2948">
        <v>70.8925603922943</v>
      </c>
      <c r="AL2948">
        <v>81.803260681884396</v>
      </c>
      <c r="AM2948">
        <v>91.029927829889203</v>
      </c>
      <c r="AN2948">
        <v>0.99999996022519999</v>
      </c>
    </row>
    <row r="2949" spans="1:40" x14ac:dyDescent="0.25">
      <c r="A2949" t="str">
        <f>"20190303161933528"</f>
        <v>20190303161933528</v>
      </c>
      <c r="B2949" t="str">
        <f>"1551601173515816"</f>
        <v>1551601173515816</v>
      </c>
      <c r="C2949" t="s">
        <v>40</v>
      </c>
      <c r="D2949">
        <v>4.5935959999999998</v>
      </c>
      <c r="E2949">
        <v>0.50496660000000004</v>
      </c>
      <c r="F2949" t="s">
        <v>56</v>
      </c>
      <c r="G2949">
        <v>-307.18619999999999</v>
      </c>
      <c r="H2949" s="1">
        <v>2.417701E-6</v>
      </c>
      <c r="I2949">
        <v>287.72980000000001</v>
      </c>
      <c r="J2949">
        <v>-234.648</v>
      </c>
      <c r="K2949">
        <v>1.1213949999999999</v>
      </c>
      <c r="L2949">
        <v>283.47649999999999</v>
      </c>
      <c r="M2949">
        <v>-0.99804139999999997</v>
      </c>
      <c r="N2949">
        <v>-6.801016E-3</v>
      </c>
      <c r="O2949">
        <v>6.2186940000000003E-2</v>
      </c>
      <c r="P2949">
        <v>-0.98979490000000003</v>
      </c>
      <c r="Q2949">
        <v>0.13616489999999901</v>
      </c>
      <c r="R2949">
        <v>4.201709E-2</v>
      </c>
      <c r="S2949">
        <v>-3.0295719999999999</v>
      </c>
      <c r="T2949">
        <v>-4.6681279999999999E-2</v>
      </c>
      <c r="U2949">
        <v>0.17764279999999999</v>
      </c>
      <c r="V2949">
        <v>-1.9840509999999999E-2</v>
      </c>
      <c r="W2949">
        <v>0.14286750000000001</v>
      </c>
      <c r="X2949">
        <v>0.98954299999999995</v>
      </c>
      <c r="Y2949">
        <v>-3.6563889999999999E-3</v>
      </c>
      <c r="Z2949">
        <v>-5.7406150000000001E-4</v>
      </c>
      <c r="AA2949">
        <v>0.99999309999999997</v>
      </c>
      <c r="AB2949">
        <v>23</v>
      </c>
      <c r="AC2949">
        <v>-72.538199999999904</v>
      </c>
      <c r="AD2949">
        <v>-1.1213925822990001</v>
      </c>
      <c r="AE2949">
        <v>4.2533000000000198</v>
      </c>
      <c r="AF2949">
        <v>-0.265902011004159</v>
      </c>
      <c r="AG2949">
        <v>-1.1213925822990001</v>
      </c>
      <c r="AH2949">
        <v>72.645001010655903</v>
      </c>
      <c r="AI2949">
        <v>90.884376464128906</v>
      </c>
      <c r="AJ2949">
        <v>90.209718421703698</v>
      </c>
      <c r="AK2949">
        <v>72.654142325412394</v>
      </c>
      <c r="AL2949">
        <v>81.786190212464106</v>
      </c>
      <c r="AM2949">
        <v>91.148636483038203</v>
      </c>
      <c r="AN2949">
        <v>1.0000000586211499</v>
      </c>
    </row>
    <row r="2950" spans="1:40" x14ac:dyDescent="0.25">
      <c r="A2950" t="str">
        <f>"20190303161933550"</f>
        <v>20190303161933550</v>
      </c>
      <c r="B2950" t="str">
        <f>"1551601173545096"</f>
        <v>1551601173545096</v>
      </c>
      <c r="C2950" t="s">
        <v>40</v>
      </c>
      <c r="D2950">
        <v>4.8122530000000001</v>
      </c>
      <c r="E2950">
        <v>0.50501679999999904</v>
      </c>
      <c r="F2950" t="s">
        <v>56</v>
      </c>
      <c r="G2950">
        <v>-309.54340000000002</v>
      </c>
      <c r="H2950" s="1">
        <v>1.9997870000000002E-6</v>
      </c>
      <c r="I2950">
        <v>287.72730000000001</v>
      </c>
      <c r="J2950">
        <v>-234.87549999999999</v>
      </c>
      <c r="K2950">
        <v>1.1214489999999999</v>
      </c>
      <c r="L2950">
        <v>283.48970000000003</v>
      </c>
      <c r="M2950">
        <v>-0.99809990000000004</v>
      </c>
      <c r="N2950">
        <v>-6.8997800000000003E-3</v>
      </c>
      <c r="O2950">
        <v>6.1230550000000002E-2</v>
      </c>
      <c r="P2950">
        <v>-0.98966419999999999</v>
      </c>
      <c r="Q2950">
        <v>0.13792309999999999</v>
      </c>
      <c r="R2950">
        <v>3.9273379999999997E-2</v>
      </c>
      <c r="S2950">
        <v>-3.0298769999999999</v>
      </c>
      <c r="T2950">
        <v>-4.536569E-2</v>
      </c>
      <c r="U2950">
        <v>0.1719666</v>
      </c>
      <c r="V2950">
        <v>-2.1638009999999999E-2</v>
      </c>
      <c r="W2950">
        <v>0.1447164</v>
      </c>
      <c r="X2950">
        <v>0.98923649999999996</v>
      </c>
      <c r="Y2950">
        <v>-4.5714750000000002E-3</v>
      </c>
      <c r="Z2950">
        <v>-5.42644E-4</v>
      </c>
      <c r="AA2950">
        <v>0.99998940000000003</v>
      </c>
      <c r="AB2950">
        <v>23</v>
      </c>
      <c r="AC2950">
        <v>-74.667900000000003</v>
      </c>
      <c r="AD2950">
        <v>-1.1214470002129999</v>
      </c>
      <c r="AE2950">
        <v>4.23759999999998</v>
      </c>
      <c r="AF2950">
        <v>-0.34233958998762498</v>
      </c>
      <c r="AG2950">
        <v>-1.1214470002129999</v>
      </c>
      <c r="AH2950">
        <v>74.770454787409093</v>
      </c>
      <c r="AI2950">
        <v>90.859279102334895</v>
      </c>
      <c r="AJ2950">
        <v>90.262329240385</v>
      </c>
      <c r="AK2950">
        <v>74.779647959088095</v>
      </c>
      <c r="AL2950">
        <v>81.679142660643393</v>
      </c>
      <c r="AM2950">
        <v>91.253056256699594</v>
      </c>
      <c r="AN2950">
        <v>0.99999994641898304</v>
      </c>
    </row>
    <row r="2951" spans="1:40" x14ac:dyDescent="0.25">
      <c r="A2951" t="str">
        <f>"20190303161933574"</f>
        <v>20190303161933574</v>
      </c>
      <c r="B2951" t="str">
        <f>"1551601173565593"</f>
        <v>1551601173565593</v>
      </c>
      <c r="C2951" t="s">
        <v>40</v>
      </c>
      <c r="D2951">
        <v>4.728599</v>
      </c>
      <c r="E2951">
        <v>0.4632059</v>
      </c>
      <c r="F2951" t="s">
        <v>52</v>
      </c>
      <c r="G2951">
        <v>-320.05250000000001</v>
      </c>
      <c r="H2951" s="1">
        <v>-1.6614849999999999E-6</v>
      </c>
      <c r="I2951">
        <v>288.108</v>
      </c>
      <c r="J2951">
        <v>-235.11770000000001</v>
      </c>
      <c r="K2951">
        <v>1.1214999999999999</v>
      </c>
      <c r="L2951">
        <v>283.50330000000002</v>
      </c>
      <c r="M2951">
        <v>-0.99816459999999996</v>
      </c>
      <c r="N2951">
        <v>-7.0204339999999999E-3</v>
      </c>
      <c r="O2951">
        <v>6.015417E-2</v>
      </c>
      <c r="P2951">
        <v>-0.98956750000000004</v>
      </c>
      <c r="Q2951">
        <v>0.13925989999999999</v>
      </c>
      <c r="R2951">
        <v>3.6924989999999998E-2</v>
      </c>
      <c r="S2951">
        <v>-3.0303800000000001</v>
      </c>
      <c r="T2951">
        <v>-3.9898400000000001E-2</v>
      </c>
      <c r="U2951">
        <v>0.1643066</v>
      </c>
      <c r="V2951">
        <v>-2.2917980000000001E-2</v>
      </c>
      <c r="W2951">
        <v>0.14616799999999999</v>
      </c>
      <c r="X2951">
        <v>0.98899429999999999</v>
      </c>
      <c r="Y2951">
        <v>-6.0232509999999899E-3</v>
      </c>
      <c r="Z2951">
        <v>-4.2912380000000001E-4</v>
      </c>
      <c r="AA2951">
        <v>0.99998180000000003</v>
      </c>
      <c r="AB2951">
        <v>23</v>
      </c>
      <c r="AC2951">
        <v>-84.934799999999996</v>
      </c>
      <c r="AD2951">
        <v>-1.121501661485</v>
      </c>
      <c r="AE2951">
        <v>4.6046999999999798</v>
      </c>
      <c r="AF2951">
        <v>-0.51285725205711896</v>
      </c>
      <c r="AG2951">
        <v>-1.121501661485</v>
      </c>
      <c r="AH2951">
        <v>85.043198519458301</v>
      </c>
      <c r="AI2951">
        <v>90.755526841173193</v>
      </c>
      <c r="AJ2951">
        <v>90.345520868691196</v>
      </c>
      <c r="AK2951">
        <v>85.052139320288006</v>
      </c>
      <c r="AL2951">
        <v>81.595078853952103</v>
      </c>
      <c r="AM2951">
        <v>91.327478393057504</v>
      </c>
      <c r="AN2951">
        <v>1.0000000217318801</v>
      </c>
    </row>
    <row r="2952" spans="1:40" x14ac:dyDescent="0.25">
      <c r="A2952" t="str">
        <f>"20190303161933595"</f>
        <v>20190303161933595</v>
      </c>
      <c r="B2952" t="str">
        <f>"1551601173585113"</f>
        <v>1551601173585113</v>
      </c>
      <c r="C2952" t="s">
        <v>40</v>
      </c>
      <c r="D2952">
        <v>4.7174370000000003</v>
      </c>
      <c r="E2952">
        <v>0.45734920000000001</v>
      </c>
      <c r="F2952" t="s">
        <v>52</v>
      </c>
      <c r="G2952">
        <v>-332.22719999999998</v>
      </c>
      <c r="H2952">
        <v>8.0001089999999997E-2</v>
      </c>
      <c r="I2952">
        <v>277.88549999999998</v>
      </c>
      <c r="J2952">
        <v>-235.34530000000001</v>
      </c>
      <c r="K2952">
        <v>1.1215440000000001</v>
      </c>
      <c r="L2952">
        <v>283.51589999999999</v>
      </c>
      <c r="M2952">
        <v>-0.99822690000000003</v>
      </c>
      <c r="N2952">
        <v>-7.1610299999999997E-3</v>
      </c>
      <c r="O2952">
        <v>5.9093350000000003E-2</v>
      </c>
      <c r="P2952">
        <v>-0.98962229999999995</v>
      </c>
      <c r="Q2952">
        <v>0.1392755</v>
      </c>
      <c r="R2952">
        <v>3.5360460000000003E-2</v>
      </c>
      <c r="S2952">
        <v>-3.04277</v>
      </c>
      <c r="T2952">
        <v>-3.2633660000000002E-2</v>
      </c>
      <c r="U2952">
        <v>-0.1760254</v>
      </c>
      <c r="V2952">
        <v>-2.3437599999999999E-2</v>
      </c>
      <c r="W2952">
        <v>0.146320799999999</v>
      </c>
      <c r="X2952">
        <v>0.98895949999999999</v>
      </c>
      <c r="Y2952">
        <v>-0.11663759999999999</v>
      </c>
      <c r="Z2952">
        <v>-1.2533240000000001E-3</v>
      </c>
      <c r="AA2952">
        <v>0.9931738</v>
      </c>
      <c r="AB2952">
        <v>23</v>
      </c>
      <c r="AC2952">
        <v>-96.881899999999902</v>
      </c>
      <c r="AD2952">
        <v>-1.04154291</v>
      </c>
      <c r="AE2952">
        <v>-5.6303999999999998</v>
      </c>
      <c r="AF2952">
        <v>-11.344475526602499</v>
      </c>
      <c r="AG2952">
        <v>-1.04154291</v>
      </c>
      <c r="AH2952">
        <v>96.368758310676796</v>
      </c>
      <c r="AI2952">
        <v>90.614976217265294</v>
      </c>
      <c r="AJ2952">
        <v>96.713926861979502</v>
      </c>
      <c r="AK2952">
        <v>97.039783155923701</v>
      </c>
      <c r="AL2952">
        <v>81.586228683254006</v>
      </c>
      <c r="AM2952">
        <v>91.357612961797798</v>
      </c>
      <c r="AN2952">
        <v>0.99999999512332405</v>
      </c>
    </row>
    <row r="2953" spans="1:40" x14ac:dyDescent="0.25">
      <c r="A2953" t="str">
        <f>"20190303161933617"</f>
        <v>20190303161933617</v>
      </c>
      <c r="B2953" t="str">
        <f>"1551601173605609"</f>
        <v>1551601173605609</v>
      </c>
      <c r="C2953" t="s">
        <v>40</v>
      </c>
      <c r="D2953">
        <v>4.6480119999999996</v>
      </c>
      <c r="E2953">
        <v>0.45589059999999998</v>
      </c>
      <c r="F2953" t="s">
        <v>52</v>
      </c>
      <c r="G2953">
        <v>-320.74279999999999</v>
      </c>
      <c r="H2953">
        <v>8.0001559999999999E-2</v>
      </c>
      <c r="I2953">
        <v>277.12299999999999</v>
      </c>
      <c r="J2953">
        <v>-235.5718</v>
      </c>
      <c r="K2953">
        <v>1.1215999999999999</v>
      </c>
      <c r="L2953">
        <v>283.52809999999999</v>
      </c>
      <c r="M2953">
        <v>-0.99829049999999997</v>
      </c>
      <c r="N2953">
        <v>-7.3554269999999899E-3</v>
      </c>
      <c r="O2953">
        <v>5.7984210000000001E-2</v>
      </c>
      <c r="P2953">
        <v>-0.98986339999999995</v>
      </c>
      <c r="Q2953">
        <v>0.13753959999999901</v>
      </c>
      <c r="R2953">
        <v>3.5406460000000001E-2</v>
      </c>
      <c r="S2953">
        <v>-3.0448300000000001</v>
      </c>
      <c r="T2953">
        <v>-3.7135960000000003E-2</v>
      </c>
      <c r="U2953">
        <v>-0.22793579999999999</v>
      </c>
      <c r="V2953">
        <v>-2.2312809999999999E-2</v>
      </c>
      <c r="W2953">
        <v>0.14477960000000001</v>
      </c>
      <c r="X2953">
        <v>0.98921230000000004</v>
      </c>
      <c r="Y2953">
        <v>-0.13233300000000001</v>
      </c>
      <c r="Z2953">
        <v>-1.5736540000000001E-3</v>
      </c>
      <c r="AA2953">
        <v>0.99120410000000003</v>
      </c>
      <c r="AB2953">
        <v>23</v>
      </c>
      <c r="AC2953">
        <v>-85.170999999999907</v>
      </c>
      <c r="AD2953">
        <v>-1.04159844</v>
      </c>
      <c r="AE2953">
        <v>-6.4051</v>
      </c>
      <c r="AF2953">
        <v>-11.331343919856</v>
      </c>
      <c r="AG2953">
        <v>-1.04159844</v>
      </c>
      <c r="AH2953">
        <v>84.643699241663001</v>
      </c>
      <c r="AI2953">
        <v>90.698794771177106</v>
      </c>
      <c r="AJ2953">
        <v>97.624913995062002</v>
      </c>
      <c r="AK2953">
        <v>85.405152676248804</v>
      </c>
      <c r="AL2953">
        <v>81.675483343245801</v>
      </c>
      <c r="AM2953">
        <v>91.292152448282707</v>
      </c>
      <c r="AN2953">
        <v>0.99999998426877201</v>
      </c>
    </row>
    <row r="2954" spans="1:40" x14ac:dyDescent="0.25">
      <c r="A2954" t="str">
        <f>"20190303161933641"</f>
        <v>20190303161933641</v>
      </c>
      <c r="B2954" t="str">
        <f>"1551601173635865"</f>
        <v>1551601173635865</v>
      </c>
      <c r="C2954" t="s">
        <v>40</v>
      </c>
      <c r="D2954">
        <v>4.6580779999999997</v>
      </c>
      <c r="E2954">
        <v>0.45536559999999998</v>
      </c>
      <c r="F2954" t="s">
        <v>56</v>
      </c>
      <c r="G2954">
        <v>-310.2491</v>
      </c>
      <c r="H2954">
        <v>4.2887670000000003E-2</v>
      </c>
      <c r="I2954">
        <v>277.62540000000001</v>
      </c>
      <c r="J2954">
        <v>-235.8237</v>
      </c>
      <c r="K2954">
        <v>1.1217090000000001</v>
      </c>
      <c r="L2954">
        <v>283.54140000000001</v>
      </c>
      <c r="M2954">
        <v>-0.99836320000000001</v>
      </c>
      <c r="N2954">
        <v>-7.6755679999999998E-3</v>
      </c>
      <c r="O2954">
        <v>5.667428E-2</v>
      </c>
      <c r="P2954">
        <v>-0.99014740000000001</v>
      </c>
      <c r="Q2954">
        <v>0.1354312</v>
      </c>
      <c r="R2954">
        <v>3.5589860000000001E-2</v>
      </c>
      <c r="S2954">
        <v>-3.0454560000000002</v>
      </c>
      <c r="T2954">
        <v>-4.3991570000000001E-2</v>
      </c>
      <c r="U2954">
        <v>-0.24072270000000001</v>
      </c>
      <c r="V2954">
        <v>-2.0861680000000001E-2</v>
      </c>
      <c r="W2954">
        <v>0.14299020000000001</v>
      </c>
      <c r="X2954">
        <v>0.98950419999999994</v>
      </c>
      <c r="Y2954">
        <v>-0.13514770000000001</v>
      </c>
      <c r="Z2954">
        <v>-1.877271E-3</v>
      </c>
      <c r="AA2954">
        <v>0.99082369999999997</v>
      </c>
      <c r="AB2954">
        <v>23</v>
      </c>
      <c r="AC2954">
        <v>-74.425399999999996</v>
      </c>
      <c r="AD2954">
        <v>-1.07882133</v>
      </c>
      <c r="AE2954">
        <v>-5.9159999999999897</v>
      </c>
      <c r="AF2954">
        <v>-10.1225075271596</v>
      </c>
      <c r="AG2954">
        <v>-1.07882133</v>
      </c>
      <c r="AH2954">
        <v>73.955034179013694</v>
      </c>
      <c r="AI2954">
        <v>90.828025448027006</v>
      </c>
      <c r="AJ2954">
        <v>97.793861402484197</v>
      </c>
      <c r="AK2954">
        <v>74.652368311518103</v>
      </c>
      <c r="AL2954">
        <v>81.779086478399407</v>
      </c>
      <c r="AM2954">
        <v>91.207785845331699</v>
      </c>
      <c r="AN2954">
        <v>0.99999998440305105</v>
      </c>
    </row>
    <row r="2955" spans="1:40" x14ac:dyDescent="0.25">
      <c r="A2955" t="str">
        <f>"20190303161933663"</f>
        <v>20190303161933663</v>
      </c>
      <c r="B2955" t="str">
        <f>"1551601173655385"</f>
        <v>1551601173655385</v>
      </c>
      <c r="C2955" t="s">
        <v>40</v>
      </c>
      <c r="D2955">
        <v>4.6819050000000004</v>
      </c>
      <c r="E2955">
        <v>0.45552480000000001</v>
      </c>
      <c r="F2955" t="s">
        <v>56</v>
      </c>
      <c r="G2955">
        <v>-301.88150000000002</v>
      </c>
      <c r="H2955" s="1">
        <v>4.4760890000000001E-6</v>
      </c>
      <c r="I2955">
        <v>278.22050000000002</v>
      </c>
      <c r="J2955">
        <v>-236.05279999999999</v>
      </c>
      <c r="K2955">
        <v>1.1218570000000001</v>
      </c>
      <c r="L2955">
        <v>283.55290000000002</v>
      </c>
      <c r="M2955">
        <v>-0.99843130000000002</v>
      </c>
      <c r="N2955">
        <v>-8.0866789999999994E-3</v>
      </c>
      <c r="O2955">
        <v>5.5406370000000003E-2</v>
      </c>
      <c r="P2955">
        <v>-0.99036740000000001</v>
      </c>
      <c r="Q2955">
        <v>0.1336427</v>
      </c>
      <c r="R2955">
        <v>3.6226889999999998E-2</v>
      </c>
      <c r="S2955">
        <v>-3.0457459999999998</v>
      </c>
      <c r="T2955">
        <v>-5.1718710000000001E-2</v>
      </c>
      <c r="U2955">
        <v>-0.24533079999999999</v>
      </c>
      <c r="V2955">
        <v>-1.900077E-2</v>
      </c>
      <c r="W2955">
        <v>0.1416116</v>
      </c>
      <c r="X2955">
        <v>0.98973999999999995</v>
      </c>
      <c r="Y2955">
        <v>-0.1353637</v>
      </c>
      <c r="Z2955">
        <v>-2.1877820000000001E-3</v>
      </c>
      <c r="AA2955">
        <v>0.99079349999999999</v>
      </c>
      <c r="AB2955">
        <v>23</v>
      </c>
      <c r="AC2955">
        <v>-65.828699999999998</v>
      </c>
      <c r="AD2955">
        <v>-1.121852523911</v>
      </c>
      <c r="AE2955">
        <v>-5.3323999999999998</v>
      </c>
      <c r="AF2955">
        <v>-8.9690683829359497</v>
      </c>
      <c r="AG2955">
        <v>-1.121852523911</v>
      </c>
      <c r="AH2955">
        <v>65.413240468711805</v>
      </c>
      <c r="AI2955">
        <v>90.973433818510799</v>
      </c>
      <c r="AJ2955">
        <v>97.807367288584302</v>
      </c>
      <c r="AK2955">
        <v>66.034799684414196</v>
      </c>
      <c r="AL2955">
        <v>81.858887247952694</v>
      </c>
      <c r="AM2955">
        <v>91.099814309364206</v>
      </c>
      <c r="AN2955">
        <v>1.0000000710575701</v>
      </c>
    </row>
    <row r="2956" spans="1:40" x14ac:dyDescent="0.25">
      <c r="A2956" t="str">
        <f>"20190303161933684"</f>
        <v>20190303161933684</v>
      </c>
      <c r="B2956" t="str">
        <f>"1551601173674904"</f>
        <v>1551601173674904</v>
      </c>
      <c r="C2956" t="s">
        <v>40</v>
      </c>
      <c r="D2956">
        <v>4.6843969999999997</v>
      </c>
      <c r="E2956">
        <v>0.45551029999999998</v>
      </c>
      <c r="F2956" t="s">
        <v>56</v>
      </c>
      <c r="G2956">
        <v>-294.1268</v>
      </c>
      <c r="H2956" s="1">
        <v>3.6192649999999999E-6</v>
      </c>
      <c r="I2956">
        <v>278.92500000000001</v>
      </c>
      <c r="J2956">
        <v>-236.27440000000001</v>
      </c>
      <c r="K2956">
        <v>1.1220270000000001</v>
      </c>
      <c r="L2956">
        <v>283.56380000000001</v>
      </c>
      <c r="M2956">
        <v>-0.99849869999999996</v>
      </c>
      <c r="N2956">
        <v>-8.5881589999999997E-3</v>
      </c>
      <c r="O2956">
        <v>5.4099349999999997E-2</v>
      </c>
      <c r="P2956">
        <v>-0.99034319999999998</v>
      </c>
      <c r="Q2956">
        <v>0.13353770000000001</v>
      </c>
      <c r="R2956">
        <v>3.7258029999999998E-2</v>
      </c>
      <c r="S2956">
        <v>-3.0460050000000001</v>
      </c>
      <c r="T2956">
        <v>-5.8841709999999998E-2</v>
      </c>
      <c r="U2956">
        <v>-0.2427368</v>
      </c>
      <c r="V2956">
        <v>-1.6699039999999998E-2</v>
      </c>
      <c r="W2956">
        <v>0.14200479999999999</v>
      </c>
      <c r="X2956">
        <v>0.98972510000000002</v>
      </c>
      <c r="Y2956">
        <v>-0.13321359999999999</v>
      </c>
      <c r="Z2956">
        <v>-2.4372729999999998E-3</v>
      </c>
      <c r="AA2956">
        <v>0.99108430000000003</v>
      </c>
      <c r="AB2956">
        <v>23</v>
      </c>
      <c r="AC2956">
        <v>-57.852399999999903</v>
      </c>
      <c r="AD2956">
        <v>-1.122023380735</v>
      </c>
      <c r="AE2956">
        <v>-4.6387999999999998</v>
      </c>
      <c r="AF2956">
        <v>-7.7589987708274304</v>
      </c>
      <c r="AG2956">
        <v>-1.122023380735</v>
      </c>
      <c r="AH2956">
        <v>57.495218298643401</v>
      </c>
      <c r="AI2956">
        <v>91.107948710581894</v>
      </c>
      <c r="AJ2956">
        <v>97.685652894105999</v>
      </c>
      <c r="AK2956">
        <v>58.027244683866201</v>
      </c>
      <c r="AL2956">
        <v>81.836127947317394</v>
      </c>
      <c r="AM2956">
        <v>90.966625720217095</v>
      </c>
      <c r="AN2956">
        <v>0.99999999736498502</v>
      </c>
    </row>
    <row r="2957" spans="1:40" x14ac:dyDescent="0.25">
      <c r="A2957" t="str">
        <f>"20190303161933697"</f>
        <v>20190303161933697</v>
      </c>
      <c r="B2957" t="str">
        <f>"1551601173685641"</f>
        <v>1551601173685641</v>
      </c>
      <c r="C2957" t="s">
        <v>40</v>
      </c>
      <c r="D2957">
        <v>4.7280449999999998</v>
      </c>
      <c r="E2957">
        <v>0.45519910000000002</v>
      </c>
      <c r="F2957" t="s">
        <v>56</v>
      </c>
      <c r="G2957">
        <v>-293.75810000000001</v>
      </c>
      <c r="H2957" s="1">
        <v>3.518368E-6</v>
      </c>
      <c r="I2957">
        <v>279.02550000000002</v>
      </c>
      <c r="J2957">
        <v>-236.40880000000001</v>
      </c>
      <c r="K2957">
        <v>1.122131</v>
      </c>
      <c r="L2957">
        <v>283.5702</v>
      </c>
      <c r="M2957">
        <v>-0.99854149999999997</v>
      </c>
      <c r="N2957">
        <v>-8.9307150000000005E-3</v>
      </c>
      <c r="O2957">
        <v>5.3246830000000002E-2</v>
      </c>
      <c r="P2957">
        <v>-0.99031690000000006</v>
      </c>
      <c r="Q2957">
        <v>0.13361139999999999</v>
      </c>
      <c r="R2957">
        <v>3.7689489999999999E-2</v>
      </c>
      <c r="S2957">
        <v>-3.0463100000000001</v>
      </c>
      <c r="T2957">
        <v>-5.9460880000000001E-2</v>
      </c>
      <c r="U2957">
        <v>-0.240509</v>
      </c>
      <c r="V2957">
        <v>-1.543519E-2</v>
      </c>
      <c r="W2957">
        <v>0.1424192</v>
      </c>
      <c r="X2957">
        <v>0.98968610000000001</v>
      </c>
      <c r="Y2957">
        <v>-0.1316387</v>
      </c>
      <c r="Z2957">
        <v>-2.4345199999999999E-3</v>
      </c>
      <c r="AA2957">
        <v>0.99129469999999997</v>
      </c>
      <c r="AB2957">
        <v>23</v>
      </c>
      <c r="AC2957">
        <v>-57.349299999999999</v>
      </c>
      <c r="AD2957">
        <v>-1.1221274816319999</v>
      </c>
      <c r="AE2957">
        <v>-4.5446999999999704</v>
      </c>
      <c r="AF2957">
        <v>-7.5891549616163996</v>
      </c>
      <c r="AG2957">
        <v>-1.1221274816319999</v>
      </c>
      <c r="AH2957">
        <v>57.004248366612799</v>
      </c>
      <c r="AI2957">
        <v>91.117859949202298</v>
      </c>
      <c r="AJ2957">
        <v>97.583373571973496</v>
      </c>
      <c r="AK2957">
        <v>57.518160392687598</v>
      </c>
      <c r="AL2957">
        <v>81.812141004212705</v>
      </c>
      <c r="AM2957">
        <v>90.893515175783193</v>
      </c>
      <c r="AN2957">
        <v>1.0000000250760901</v>
      </c>
    </row>
    <row r="2958" spans="1:40" x14ac:dyDescent="0.25">
      <c r="A2958" t="str">
        <f>"20190303161933711"</f>
        <v>20190303161933711</v>
      </c>
      <c r="B2958" t="str">
        <f>"1551601173705161"</f>
        <v>1551601173705161</v>
      </c>
      <c r="C2958" t="s">
        <v>40</v>
      </c>
      <c r="D2958">
        <v>4.6715749999999998</v>
      </c>
      <c r="E2958">
        <v>0.45513510000000001</v>
      </c>
      <c r="F2958" t="s">
        <v>56</v>
      </c>
      <c r="G2958">
        <v>-292.75</v>
      </c>
      <c r="H2958" s="1">
        <v>3.313402E-6</v>
      </c>
      <c r="I2958">
        <v>279.0994</v>
      </c>
      <c r="J2958">
        <v>-236.5438</v>
      </c>
      <c r="K2958">
        <v>1.122228</v>
      </c>
      <c r="L2958">
        <v>283.57639999999998</v>
      </c>
      <c r="M2958">
        <v>-0.99858499999999994</v>
      </c>
      <c r="N2958">
        <v>-9.2799019999999996E-3</v>
      </c>
      <c r="O2958">
        <v>5.236201E-2</v>
      </c>
      <c r="P2958">
        <v>-0.99029489999999998</v>
      </c>
      <c r="Q2958">
        <v>0.13373950000000001</v>
      </c>
      <c r="R2958">
        <v>3.7813140000000002E-2</v>
      </c>
      <c r="S2958">
        <v>-3.0467070000000001</v>
      </c>
      <c r="T2958">
        <v>-6.0680150000000002E-2</v>
      </c>
      <c r="U2958">
        <v>-0.24176030000000001</v>
      </c>
      <c r="V2958">
        <v>-1.4447400000000001E-2</v>
      </c>
      <c r="W2958">
        <v>0.1428944</v>
      </c>
      <c r="X2958">
        <v>0.98963250000000003</v>
      </c>
      <c r="Y2958">
        <v>-0.131153399999999</v>
      </c>
      <c r="Z2958">
        <v>-2.4697579999999998E-3</v>
      </c>
      <c r="AA2958">
        <v>0.99135899999999999</v>
      </c>
      <c r="AB2958">
        <v>23</v>
      </c>
      <c r="AC2958">
        <v>-56.206200000000003</v>
      </c>
      <c r="AD2958">
        <v>-1.1222246865979999</v>
      </c>
      <c r="AE2958">
        <v>-4.4769999999999701</v>
      </c>
      <c r="AF2958">
        <v>-7.4111184578405496</v>
      </c>
      <c r="AG2958">
        <v>-1.1222246865979999</v>
      </c>
      <c r="AH2958">
        <v>55.872519989945701</v>
      </c>
      <c r="AI2958">
        <v>91.140668594721703</v>
      </c>
      <c r="AJ2958">
        <v>97.555797500589904</v>
      </c>
      <c r="AK2958">
        <v>56.373065865448801</v>
      </c>
      <c r="AL2958">
        <v>81.784632584650495</v>
      </c>
      <c r="AM2958">
        <v>90.8363874936705</v>
      </c>
      <c r="AN2958">
        <v>1.0000000109871801</v>
      </c>
    </row>
    <row r="2959" spans="1:40" x14ac:dyDescent="0.25">
      <c r="A2959" t="str">
        <f>"20190303161933729"</f>
        <v>20190303161933729</v>
      </c>
      <c r="B2959" t="str">
        <f>"1551601173725657"</f>
        <v>1551601173725657</v>
      </c>
      <c r="C2959" t="s">
        <v>40</v>
      </c>
      <c r="D2959">
        <v>4.6912070000000003</v>
      </c>
      <c r="E2959">
        <v>0.45513009999999898</v>
      </c>
      <c r="F2959" t="s">
        <v>56</v>
      </c>
      <c r="G2959">
        <v>-294.05759999999998</v>
      </c>
      <c r="H2959" s="1">
        <v>3.5778869999999999E-6</v>
      </c>
      <c r="I2959">
        <v>279.00740000000002</v>
      </c>
      <c r="J2959">
        <v>-236.74359999999999</v>
      </c>
      <c r="K2959">
        <v>1.1223639999999999</v>
      </c>
      <c r="L2959">
        <v>283.58530000000002</v>
      </c>
      <c r="M2959">
        <v>-0.99865179999999998</v>
      </c>
      <c r="N2959">
        <v>-9.7990760000000003E-3</v>
      </c>
      <c r="O2959">
        <v>5.0979860000000002E-2</v>
      </c>
      <c r="P2959">
        <v>-0.99033360000000004</v>
      </c>
      <c r="Q2959">
        <v>0.13338420000000001</v>
      </c>
      <c r="R2959">
        <v>3.8054650000000002E-2</v>
      </c>
      <c r="S2959">
        <v>-3.0466920000000002</v>
      </c>
      <c r="T2959">
        <v>-5.9447880000000002E-2</v>
      </c>
      <c r="U2959">
        <v>-0.2420349</v>
      </c>
      <c r="V2959">
        <v>-1.285539E-2</v>
      </c>
      <c r="W2959">
        <v>0.14305580000000001</v>
      </c>
      <c r="X2959">
        <v>0.98963109999999999</v>
      </c>
      <c r="Y2959">
        <v>-0.12987219999999999</v>
      </c>
      <c r="Z2959">
        <v>-2.3969450000000002E-3</v>
      </c>
      <c r="AA2959">
        <v>0.99152790000000002</v>
      </c>
      <c r="AB2959">
        <v>23</v>
      </c>
      <c r="AC2959">
        <v>-57.313999999999901</v>
      </c>
      <c r="AD2959">
        <v>-1.1223604221129999</v>
      </c>
      <c r="AE2959">
        <v>-4.5778999999999996</v>
      </c>
      <c r="AF2959">
        <v>-7.4910916500370401</v>
      </c>
      <c r="AG2959">
        <v>-1.1223604221129999</v>
      </c>
      <c r="AH2959">
        <v>56.984360694413397</v>
      </c>
      <c r="AI2959">
        <v>91.118725529648103</v>
      </c>
      <c r="AJ2959">
        <v>97.489086772074401</v>
      </c>
      <c r="AK2959">
        <v>57.4855939412422</v>
      </c>
      <c r="AL2959">
        <v>81.775288701511698</v>
      </c>
      <c r="AM2959">
        <v>90.744235064574795</v>
      </c>
      <c r="AN2959">
        <v>0.99999996852645001</v>
      </c>
    </row>
    <row r="2960" spans="1:40" x14ac:dyDescent="0.25">
      <c r="A2960" t="str">
        <f>"20190303161933742"</f>
        <v>20190303161933742</v>
      </c>
      <c r="B2960" t="str">
        <f>"1551601173735418"</f>
        <v>1551601173735418</v>
      </c>
      <c r="C2960" t="s">
        <v>40</v>
      </c>
      <c r="D2960">
        <v>4.7394420000000004</v>
      </c>
      <c r="E2960">
        <v>0.45499289999999998</v>
      </c>
      <c r="F2960" t="s">
        <v>56</v>
      </c>
      <c r="G2960">
        <v>-293.9135</v>
      </c>
      <c r="H2960" s="1">
        <v>3.5306589999999999E-6</v>
      </c>
      <c r="I2960">
        <v>279.0686</v>
      </c>
      <c r="J2960">
        <v>-236.88319999999999</v>
      </c>
      <c r="K2960">
        <v>1.1224379999999901</v>
      </c>
      <c r="L2960">
        <v>283.59129999999999</v>
      </c>
      <c r="M2960">
        <v>-0.99869909999999995</v>
      </c>
      <c r="N2960">
        <v>-1.0151820000000001E-2</v>
      </c>
      <c r="O2960">
        <v>4.9972540000000003E-2</v>
      </c>
      <c r="P2960">
        <v>-0.99036029999999997</v>
      </c>
      <c r="Q2960">
        <v>0.133275799999999</v>
      </c>
      <c r="R2960">
        <v>3.7739189999999999E-2</v>
      </c>
      <c r="S2960">
        <v>-3.0465849999999999</v>
      </c>
      <c r="T2960">
        <v>-5.9810639999999998E-2</v>
      </c>
      <c r="U2960">
        <v>-0.24069209999999999</v>
      </c>
      <c r="V2960">
        <v>-1.218345E-2</v>
      </c>
      <c r="W2960">
        <v>0.14329749999999999</v>
      </c>
      <c r="X2960">
        <v>0.9896047</v>
      </c>
      <c r="Y2960">
        <v>-0.12844030000000001</v>
      </c>
      <c r="Z2960">
        <v>-2.3849660000000001E-3</v>
      </c>
      <c r="AA2960">
        <v>0.9917144</v>
      </c>
      <c r="AB2960">
        <v>23</v>
      </c>
      <c r="AC2960">
        <v>-57.030299999999997</v>
      </c>
      <c r="AD2960">
        <v>-1.12243446934099</v>
      </c>
      <c r="AE2960">
        <v>-4.52269999999998</v>
      </c>
      <c r="AF2960">
        <v>-7.3643094594127598</v>
      </c>
      <c r="AG2960">
        <v>-1.12243446934099</v>
      </c>
      <c r="AH2960">
        <v>56.711185981578097</v>
      </c>
      <c r="AI2960">
        <v>91.124418506532805</v>
      </c>
      <c r="AJ2960">
        <v>97.398820057421801</v>
      </c>
      <c r="AK2960">
        <v>57.1983524971576</v>
      </c>
      <c r="AL2960">
        <v>81.761296708607901</v>
      </c>
      <c r="AM2960">
        <v>90.705357401267307</v>
      </c>
      <c r="AN2960">
        <v>1.0000000361111201</v>
      </c>
    </row>
    <row r="2961" spans="1:40" x14ac:dyDescent="0.25">
      <c r="A2961" t="str">
        <f>"20190303161933755"</f>
        <v>20190303161933755</v>
      </c>
      <c r="B2961" t="str">
        <f>"1551601173745177"</f>
        <v>1551601173745177</v>
      </c>
      <c r="C2961" t="s">
        <v>40</v>
      </c>
      <c r="D2961">
        <v>4.7040660000000001</v>
      </c>
      <c r="E2961">
        <v>0.45492719999999998</v>
      </c>
      <c r="F2961" t="s">
        <v>56</v>
      </c>
      <c r="G2961">
        <v>-293.1619</v>
      </c>
      <c r="H2961" s="1">
        <v>3.3808750000000001E-6</v>
      </c>
      <c r="I2961">
        <v>279.11520000000002</v>
      </c>
      <c r="J2961">
        <v>-237.0153</v>
      </c>
      <c r="K2961">
        <v>1.122501</v>
      </c>
      <c r="L2961">
        <v>283.59679999999997</v>
      </c>
      <c r="M2961">
        <v>-0.99874450000000004</v>
      </c>
      <c r="N2961">
        <v>-1.0466680000000001E-2</v>
      </c>
      <c r="O2961">
        <v>4.8988570000000002E-2</v>
      </c>
      <c r="P2961">
        <v>-0.99035200000000001</v>
      </c>
      <c r="Q2961">
        <v>0.1334852</v>
      </c>
      <c r="R2961">
        <v>3.7213749999999997E-2</v>
      </c>
      <c r="S2961">
        <v>-3.0466310000000001</v>
      </c>
      <c r="T2961">
        <v>-6.076264E-2</v>
      </c>
      <c r="U2961">
        <v>-0.24230960000000001</v>
      </c>
      <c r="V2961">
        <v>-1.174087E-2</v>
      </c>
      <c r="W2961">
        <v>0.143818899999999</v>
      </c>
      <c r="X2961">
        <v>0.98953440000000004</v>
      </c>
      <c r="Y2961">
        <v>-0.1279843</v>
      </c>
      <c r="Z2961">
        <v>-2.4088439999999998E-3</v>
      </c>
      <c r="AA2961">
        <v>0.99177320000000002</v>
      </c>
      <c r="AB2961">
        <v>23</v>
      </c>
      <c r="AC2961">
        <v>-56.146599999999999</v>
      </c>
      <c r="AD2961">
        <v>-1.122497619125</v>
      </c>
      <c r="AE2961">
        <v>-4.4815999999999496</v>
      </c>
      <c r="AF2961">
        <v>-7.2240417357629303</v>
      </c>
      <c r="AG2961">
        <v>-1.122497619125</v>
      </c>
      <c r="AH2961">
        <v>55.837443976082803</v>
      </c>
      <c r="AI2961">
        <v>91.142142847992901</v>
      </c>
      <c r="AJ2961">
        <v>97.371767675302607</v>
      </c>
      <c r="AK2961">
        <v>56.314002962737199</v>
      </c>
      <c r="AL2961">
        <v>81.731109931543301</v>
      </c>
      <c r="AM2961">
        <v>90.679785092828396</v>
      </c>
      <c r="AN2961">
        <v>1.00000002640446</v>
      </c>
    </row>
    <row r="2962" spans="1:40" x14ac:dyDescent="0.25">
      <c r="A2962" t="str">
        <f>"20190303161933774"</f>
        <v>20190303161933774</v>
      </c>
      <c r="B2962" t="str">
        <f>"1551601173765673"</f>
        <v>1551601173765673</v>
      </c>
      <c r="C2962" t="s">
        <v>40</v>
      </c>
      <c r="D2962">
        <v>4.7306379999999999</v>
      </c>
      <c r="E2962">
        <v>0.45478049999999998</v>
      </c>
      <c r="F2962" t="s">
        <v>56</v>
      </c>
      <c r="G2962">
        <v>-293.8888</v>
      </c>
      <c r="H2962" s="1">
        <v>3.5377320000000001E-6</v>
      </c>
      <c r="I2962">
        <v>279.03629999999998</v>
      </c>
      <c r="J2962">
        <v>-237.202</v>
      </c>
      <c r="K2962">
        <v>1.122573</v>
      </c>
      <c r="L2962">
        <v>283.6044</v>
      </c>
      <c r="M2962">
        <v>-0.99880840000000004</v>
      </c>
      <c r="N2962">
        <v>-1.088897E-2</v>
      </c>
      <c r="O2962">
        <v>4.7573810000000001E-2</v>
      </c>
      <c r="P2962">
        <v>-0.99030750000000001</v>
      </c>
      <c r="Q2962">
        <v>0.13418550000000001</v>
      </c>
      <c r="R2962">
        <v>3.5854650000000002E-2</v>
      </c>
      <c r="S2962">
        <v>-3.0465089999999999</v>
      </c>
      <c r="T2962">
        <v>-6.0128090000000002E-2</v>
      </c>
      <c r="U2962">
        <v>-0.24429319999999999</v>
      </c>
      <c r="V2962">
        <v>-1.17045E-2</v>
      </c>
      <c r="W2962">
        <v>0.14493529999999999</v>
      </c>
      <c r="X2962">
        <v>0.98937189999999997</v>
      </c>
      <c r="Y2962">
        <v>-0.12722510000000001</v>
      </c>
      <c r="Z2962">
        <v>-2.3677250000000002E-3</v>
      </c>
      <c r="AA2962">
        <v>0.99187110000000001</v>
      </c>
      <c r="AB2962">
        <v>23</v>
      </c>
      <c r="AC2962">
        <v>-56.686799999999998</v>
      </c>
      <c r="AD2962">
        <v>-1.122569462268</v>
      </c>
      <c r="AE2962">
        <v>-4.56810000000001</v>
      </c>
      <c r="AF2962">
        <v>-7.2570663479129003</v>
      </c>
      <c r="AG2962">
        <v>-1.122569462268</v>
      </c>
      <c r="AH2962">
        <v>56.383303979986501</v>
      </c>
      <c r="AI2962">
        <v>91.131256473169202</v>
      </c>
      <c r="AJ2962">
        <v>97.334188273245701</v>
      </c>
      <c r="AK2962">
        <v>56.8594947381278</v>
      </c>
      <c r="AL2962">
        <v>81.666467396477998</v>
      </c>
      <c r="AM2962">
        <v>90.677790796970299</v>
      </c>
      <c r="AN2962">
        <v>0.999999996507974</v>
      </c>
    </row>
    <row r="2963" spans="1:40" x14ac:dyDescent="0.25">
      <c r="A2963" t="str">
        <f>"20190303161933795"</f>
        <v>20190303161933795</v>
      </c>
      <c r="B2963" t="str">
        <f>"1551601173785194"</f>
        <v>1551601173785194</v>
      </c>
      <c r="C2963" t="s">
        <v>40</v>
      </c>
      <c r="D2963">
        <v>4.7236399999999996</v>
      </c>
      <c r="E2963">
        <v>0.45464890000000002</v>
      </c>
      <c r="F2963" t="s">
        <v>56</v>
      </c>
      <c r="G2963">
        <v>-296.197</v>
      </c>
      <c r="H2963" s="1">
        <v>4.0371510000000002E-6</v>
      </c>
      <c r="I2963">
        <v>278.7817</v>
      </c>
      <c r="J2963">
        <v>-237.43</v>
      </c>
      <c r="K2963">
        <v>1.1226290000000001</v>
      </c>
      <c r="L2963">
        <v>283.61320000000001</v>
      </c>
      <c r="M2963">
        <v>-0.99888529999999998</v>
      </c>
      <c r="N2963">
        <v>-1.135887E-2</v>
      </c>
      <c r="O2963">
        <v>4.581669E-2</v>
      </c>
      <c r="P2963">
        <v>-0.99039999999999995</v>
      </c>
      <c r="Q2963">
        <v>0.1342564</v>
      </c>
      <c r="R2963">
        <v>3.2914390000000002E-2</v>
      </c>
      <c r="S2963">
        <v>-3.046249</v>
      </c>
      <c r="T2963">
        <v>-5.7964679999999998E-2</v>
      </c>
      <c r="U2963">
        <v>-0.24902340000000001</v>
      </c>
      <c r="V2963">
        <v>-1.291026E-2</v>
      </c>
      <c r="W2963">
        <v>0.14546700000000001</v>
      </c>
      <c r="X2963">
        <v>0.98927889999999996</v>
      </c>
      <c r="Y2963">
        <v>-0.12701960000000001</v>
      </c>
      <c r="Z2963">
        <v>-2.280093E-3</v>
      </c>
      <c r="AA2963">
        <v>0.99189760000000005</v>
      </c>
      <c r="AB2963">
        <v>23</v>
      </c>
      <c r="AC2963">
        <v>-58.767000000000003</v>
      </c>
      <c r="AD2963">
        <v>-1.1226249628489999</v>
      </c>
      <c r="AE2963">
        <v>-4.8315000000000001</v>
      </c>
      <c r="AF2963">
        <v>-7.5163842095407096</v>
      </c>
      <c r="AG2963">
        <v>-1.1226249628489999</v>
      </c>
      <c r="AH2963">
        <v>58.462709874340298</v>
      </c>
      <c r="AI2963">
        <v>91.091103342354501</v>
      </c>
      <c r="AJ2963">
        <v>97.326165714269393</v>
      </c>
      <c r="AK2963">
        <v>58.954599178044901</v>
      </c>
      <c r="AL2963">
        <v>81.635677220044997</v>
      </c>
      <c r="AM2963">
        <v>90.747677346080494</v>
      </c>
      <c r="AN2963">
        <v>1.0000000324437299</v>
      </c>
    </row>
    <row r="2964" spans="1:40" x14ac:dyDescent="0.25">
      <c r="A2964" t="str">
        <f>"20190303161933808"</f>
        <v>20190303161933808</v>
      </c>
      <c r="B2964" t="str">
        <f>"1551601173794953"</f>
        <v>1551601173794953</v>
      </c>
      <c r="C2964" t="s">
        <v>40</v>
      </c>
      <c r="D2964">
        <v>4.7242059999999997</v>
      </c>
      <c r="E2964">
        <v>0.45462570000000002</v>
      </c>
      <c r="F2964" t="s">
        <v>56</v>
      </c>
      <c r="G2964">
        <v>-295.17989999999998</v>
      </c>
      <c r="H2964" s="1">
        <v>3.8801399999999998E-6</v>
      </c>
      <c r="I2964">
        <v>278.71550000000002</v>
      </c>
      <c r="J2964">
        <v>-237.55680000000001</v>
      </c>
      <c r="K2964">
        <v>1.1226560000000001</v>
      </c>
      <c r="L2964">
        <v>283.61790000000002</v>
      </c>
      <c r="M2964">
        <v>-0.99892740000000002</v>
      </c>
      <c r="N2964">
        <v>-1.16004E-2</v>
      </c>
      <c r="O2964">
        <v>4.4831700000000002E-2</v>
      </c>
      <c r="P2964">
        <v>-0.99046250000000002</v>
      </c>
      <c r="Q2964">
        <v>0.13418629999999901</v>
      </c>
      <c r="R2964">
        <v>3.1282869999999997E-2</v>
      </c>
      <c r="S2964">
        <v>-3.0456699999999999</v>
      </c>
      <c r="T2964">
        <v>-5.9206130000000003E-2</v>
      </c>
      <c r="U2964">
        <v>-0.2583008</v>
      </c>
      <c r="V2964">
        <v>-1.35675E-2</v>
      </c>
      <c r="W2964">
        <v>0.14563400000000001</v>
      </c>
      <c r="X2964">
        <v>0.9892455</v>
      </c>
      <c r="Y2964">
        <v>-0.12905510000000001</v>
      </c>
      <c r="Z2964">
        <v>-2.3530780000000002E-3</v>
      </c>
      <c r="AA2964">
        <v>0.99163460000000003</v>
      </c>
      <c r="AB2964">
        <v>23</v>
      </c>
      <c r="AC2964">
        <v>-57.623099999999901</v>
      </c>
      <c r="AD2964">
        <v>-1.1226521198599999</v>
      </c>
      <c r="AE2964">
        <v>-4.9024000000000001</v>
      </c>
      <c r="AF2964">
        <v>-7.4781669655116101</v>
      </c>
      <c r="AG2964">
        <v>-1.1226521198599999</v>
      </c>
      <c r="AH2964">
        <v>57.323755344539002</v>
      </c>
      <c r="AI2964">
        <v>91.112536295704899</v>
      </c>
      <c r="AJ2964">
        <v>97.432543484397399</v>
      </c>
      <c r="AK2964">
        <v>57.820379242502902</v>
      </c>
      <c r="AL2964">
        <v>81.626005551984505</v>
      </c>
      <c r="AM2964">
        <v>90.785762233175106</v>
      </c>
      <c r="AN2964">
        <v>0.99999999914125004</v>
      </c>
    </row>
    <row r="2965" spans="1:40" x14ac:dyDescent="0.25">
      <c r="A2965" t="str">
        <f>"20190303161933831"</f>
        <v>20190303161933831</v>
      </c>
      <c r="B2965" t="str">
        <f>"1551601173825209"</f>
        <v>1551601173825209</v>
      </c>
      <c r="C2965" t="s">
        <v>40</v>
      </c>
      <c r="D2965">
        <v>4.6663949999999996</v>
      </c>
      <c r="E2965">
        <v>0.45457059999999999</v>
      </c>
      <c r="F2965" t="s">
        <v>56</v>
      </c>
      <c r="G2965">
        <v>-294.64859999999999</v>
      </c>
      <c r="H2965" s="1">
        <v>3.7984669999999999E-6</v>
      </c>
      <c r="I2965">
        <v>278.67989999999998</v>
      </c>
      <c r="J2965">
        <v>-237.78659999999999</v>
      </c>
      <c r="K2965">
        <v>1.1226750000000001</v>
      </c>
      <c r="L2965">
        <v>283.62610000000001</v>
      </c>
      <c r="M2965">
        <v>-0.99900160000000005</v>
      </c>
      <c r="N2965">
        <v>-1.199308E-2</v>
      </c>
      <c r="O2965">
        <v>4.303912E-2</v>
      </c>
      <c r="P2965">
        <v>-0.99052700000000005</v>
      </c>
      <c r="Q2965">
        <v>0.13444220000000001</v>
      </c>
      <c r="R2965">
        <v>2.795452E-2</v>
      </c>
      <c r="S2965">
        <v>-3.0453190000000001</v>
      </c>
      <c r="T2965">
        <v>-5.9883119999999998E-2</v>
      </c>
      <c r="U2965">
        <v>-0.2633972</v>
      </c>
      <c r="V2965">
        <v>-1.511702E-2</v>
      </c>
      <c r="W2965">
        <v>0.14627370000000001</v>
      </c>
      <c r="X2965">
        <v>0.98912860000000002</v>
      </c>
      <c r="Y2965">
        <v>-0.12893180000000001</v>
      </c>
      <c r="Z2965">
        <v>-2.3696780000000001E-3</v>
      </c>
      <c r="AA2965">
        <v>0.99165060000000005</v>
      </c>
      <c r="AB2965">
        <v>23</v>
      </c>
      <c r="AC2965">
        <v>-56.862000000000002</v>
      </c>
      <c r="AD2965">
        <v>-1.122671201533</v>
      </c>
      <c r="AE2965">
        <v>-4.9462000000000304</v>
      </c>
      <c r="AF2965">
        <v>-7.3862244554667003</v>
      </c>
      <c r="AG2965">
        <v>-1.122671201533</v>
      </c>
      <c r="AH2965">
        <v>56.574519950434301</v>
      </c>
      <c r="AI2965">
        <v>91.127270542906501</v>
      </c>
      <c r="AJ2965">
        <v>97.438318010349704</v>
      </c>
      <c r="AK2965">
        <v>57.065690304730097</v>
      </c>
      <c r="AL2965">
        <v>81.588956312858301</v>
      </c>
      <c r="AM2965">
        <v>90.875592938933593</v>
      </c>
      <c r="AN2965">
        <v>0.99999995347166404</v>
      </c>
    </row>
    <row r="2966" spans="1:40" x14ac:dyDescent="0.25">
      <c r="A2966" t="str">
        <f>"20190303161933854"</f>
        <v>20190303161933854</v>
      </c>
      <c r="B2966" t="str">
        <f>"1551601173845705"</f>
        <v>1551601173845705</v>
      </c>
      <c r="C2966" t="s">
        <v>40</v>
      </c>
      <c r="D2966">
        <v>4.6944080000000001</v>
      </c>
      <c r="E2966">
        <v>0.45440760000000002</v>
      </c>
      <c r="F2966" t="s">
        <v>56</v>
      </c>
      <c r="G2966">
        <v>-295.4391</v>
      </c>
      <c r="H2966" s="1">
        <v>4.0237250000000002E-6</v>
      </c>
      <c r="I2966">
        <v>278.43939999999998</v>
      </c>
      <c r="J2966">
        <v>-238.02359999999999</v>
      </c>
      <c r="K2966">
        <v>1.122682</v>
      </c>
      <c r="L2966">
        <v>283.63420000000002</v>
      </c>
      <c r="M2966">
        <v>-0.99907480000000004</v>
      </c>
      <c r="N2966">
        <v>-1.234678E-2</v>
      </c>
      <c r="O2966">
        <v>4.1196629999999998E-2</v>
      </c>
      <c r="P2966">
        <v>-0.99046179999999995</v>
      </c>
      <c r="Q2966">
        <v>0.1354197</v>
      </c>
      <c r="R2966">
        <v>2.5441459999999999E-2</v>
      </c>
      <c r="S2966">
        <v>-3.0444490000000002</v>
      </c>
      <c r="T2966">
        <v>-5.928481E-2</v>
      </c>
      <c r="U2966">
        <v>-0.27389530000000001</v>
      </c>
      <c r="V2966">
        <v>-1.5794470000000001E-2</v>
      </c>
      <c r="W2966">
        <v>0.1475976</v>
      </c>
      <c r="X2966">
        <v>0.9889213</v>
      </c>
      <c r="Y2966">
        <v>-0.13052030000000001</v>
      </c>
      <c r="Z2966">
        <v>-2.3689050000000001E-3</v>
      </c>
      <c r="AA2966">
        <v>0.99144279999999996</v>
      </c>
      <c r="AB2966">
        <v>23</v>
      </c>
      <c r="AC2966">
        <v>-57.415500000000002</v>
      </c>
      <c r="AD2966">
        <v>-1.1226779762750001</v>
      </c>
      <c r="AE2966">
        <v>-5.1948000000000398</v>
      </c>
      <c r="AF2966">
        <v>-7.55303019971978</v>
      </c>
      <c r="AG2966">
        <v>-1.1226779762750001</v>
      </c>
      <c r="AH2966">
        <v>57.131059360652202</v>
      </c>
      <c r="AI2966">
        <v>91.116061325345896</v>
      </c>
      <c r="AJ2966">
        <v>97.531132733332697</v>
      </c>
      <c r="AK2966">
        <v>57.639106643898103</v>
      </c>
      <c r="AL2966">
        <v>81.512269847726202</v>
      </c>
      <c r="AM2966">
        <v>90.915016731031599</v>
      </c>
      <c r="AN2966">
        <v>0.99999992720101205</v>
      </c>
    </row>
    <row r="2967" spans="1:40" x14ac:dyDescent="0.25">
      <c r="A2967" t="str">
        <f>"20190303161933875"</f>
        <v>20190303161933875</v>
      </c>
      <c r="B2967" t="str">
        <f>"1551601173865225"</f>
        <v>1551601173865225</v>
      </c>
      <c r="C2967" t="s">
        <v>40</v>
      </c>
      <c r="D2967">
        <v>4.9367780000000003</v>
      </c>
      <c r="E2967">
        <v>0.45383000000000001</v>
      </c>
      <c r="F2967" t="s">
        <v>56</v>
      </c>
      <c r="G2967">
        <v>-298.87639999999999</v>
      </c>
      <c r="H2967" s="1">
        <v>4.8034789999999999E-6</v>
      </c>
      <c r="I2967">
        <v>277.95830000000001</v>
      </c>
      <c r="J2967">
        <v>-238.2458</v>
      </c>
      <c r="K2967">
        <v>1.122671</v>
      </c>
      <c r="L2967">
        <v>283.6413</v>
      </c>
      <c r="M2967">
        <v>-0.99914020000000003</v>
      </c>
      <c r="N2967">
        <v>-1.2632350000000001E-2</v>
      </c>
      <c r="O2967">
        <v>3.9487599999999998E-2</v>
      </c>
      <c r="P2967">
        <v>-0.99046000000000001</v>
      </c>
      <c r="Q2967">
        <v>0.1357708</v>
      </c>
      <c r="R2967">
        <v>2.357163E-2</v>
      </c>
      <c r="S2967">
        <v>-3.0438689999999999</v>
      </c>
      <c r="T2967">
        <v>-5.6156520000000001E-2</v>
      </c>
      <c r="U2967">
        <v>-0.28390500000000002</v>
      </c>
      <c r="V2967">
        <v>-1.5960820000000001E-2</v>
      </c>
      <c r="W2967">
        <v>0.14823140000000001</v>
      </c>
      <c r="X2967">
        <v>0.98882389999999998</v>
      </c>
      <c r="Y2967">
        <v>-0.13207739999999901</v>
      </c>
      <c r="Z2967">
        <v>-2.2812399999999999E-3</v>
      </c>
      <c r="AA2967">
        <v>0.99123680000000003</v>
      </c>
      <c r="AB2967">
        <v>23</v>
      </c>
      <c r="AC2967">
        <v>-60.630599999999902</v>
      </c>
      <c r="AD2967">
        <v>-1.1226661965209901</v>
      </c>
      <c r="AE2967">
        <v>-5.6829999999999901</v>
      </c>
      <c r="AF2967">
        <v>-8.07017199554741</v>
      </c>
      <c r="AG2967">
        <v>-1.1226661965209901</v>
      </c>
      <c r="AH2967">
        <v>60.338370835441701</v>
      </c>
      <c r="AI2967">
        <v>91.056526336376805</v>
      </c>
      <c r="AJ2967">
        <v>97.618018936537695</v>
      </c>
      <c r="AK2967">
        <v>60.886016871707199</v>
      </c>
      <c r="AL2967">
        <v>81.475552516516203</v>
      </c>
      <c r="AM2967">
        <v>90.924743239043806</v>
      </c>
      <c r="AN2967">
        <v>1.00000000046612</v>
      </c>
    </row>
    <row r="2968" spans="1:40" x14ac:dyDescent="0.25">
      <c r="A2968" t="str">
        <f>"20190303161933896"</f>
        <v>20190303161933896</v>
      </c>
      <c r="B2968" t="str">
        <f>"1551601173885721"</f>
        <v>1551601173885721</v>
      </c>
      <c r="C2968" t="s">
        <v>40</v>
      </c>
      <c r="D2968">
        <v>4.679379</v>
      </c>
      <c r="E2968">
        <v>0.4539395</v>
      </c>
      <c r="F2968" t="s">
        <v>56</v>
      </c>
      <c r="G2968">
        <v>-298.63959999999997</v>
      </c>
      <c r="H2968" s="1">
        <v>4.824432E-6</v>
      </c>
      <c r="I2968">
        <v>277.78019999999998</v>
      </c>
      <c r="J2968">
        <v>-238.46019999999999</v>
      </c>
      <c r="K2968">
        <v>1.1226480000000001</v>
      </c>
      <c r="L2968">
        <v>283.64789999999999</v>
      </c>
      <c r="M2968">
        <v>-0.99919999999999998</v>
      </c>
      <c r="N2968">
        <v>-1.2869429999999999E-2</v>
      </c>
      <c r="O2968">
        <v>3.7868829999999999E-2</v>
      </c>
      <c r="P2968">
        <v>-0.99054629999999999</v>
      </c>
      <c r="Q2968">
        <v>0.135313299999999</v>
      </c>
      <c r="R2968">
        <v>2.255542E-2</v>
      </c>
      <c r="S2968">
        <v>-3.0436709999999998</v>
      </c>
      <c r="T2968">
        <v>-5.6579110000000002E-2</v>
      </c>
      <c r="U2968">
        <v>-0.29537960000000002</v>
      </c>
      <c r="V2968">
        <v>-1.536393E-2</v>
      </c>
      <c r="W2968">
        <v>0.1480117</v>
      </c>
      <c r="X2968">
        <v>0.98886629999999998</v>
      </c>
      <c r="Y2968">
        <v>-0.1341793</v>
      </c>
      <c r="Z2968">
        <v>-2.3260529999999998E-3</v>
      </c>
      <c r="AA2968">
        <v>0.99095429999999995</v>
      </c>
      <c r="AB2968">
        <v>23</v>
      </c>
      <c r="AC2968">
        <v>-60.179400000000001</v>
      </c>
      <c r="AD2968">
        <v>-1.122643175568</v>
      </c>
      <c r="AE2968">
        <v>-5.8677000000000099</v>
      </c>
      <c r="AF2968">
        <v>-8.1397963416311701</v>
      </c>
      <c r="AG2968">
        <v>-1.122643175568</v>
      </c>
      <c r="AH2968">
        <v>59.893358985659702</v>
      </c>
      <c r="AI2968">
        <v>91.064048992796003</v>
      </c>
      <c r="AJ2968">
        <v>97.739356259861495</v>
      </c>
      <c r="AK2968">
        <v>60.454371742397399</v>
      </c>
      <c r="AL2968">
        <v>81.488281111747796</v>
      </c>
      <c r="AM2968">
        <v>90.890127940846796</v>
      </c>
      <c r="AN2968">
        <v>1.00000003647881</v>
      </c>
    </row>
    <row r="2969" spans="1:40" x14ac:dyDescent="0.25">
      <c r="A2969" t="str">
        <f>"20190303161933910"</f>
        <v>20190303161933910</v>
      </c>
      <c r="B2969" t="str">
        <f>"1551601173905241"</f>
        <v>1551601173905241</v>
      </c>
      <c r="C2969" t="s">
        <v>40</v>
      </c>
      <c r="D2969">
        <v>4.6618709999999997</v>
      </c>
      <c r="E2969">
        <v>0.45393339999999999</v>
      </c>
      <c r="F2969" t="s">
        <v>56</v>
      </c>
      <c r="G2969">
        <v>-296.9932</v>
      </c>
      <c r="H2969" s="1">
        <v>4.4838670000000001E-6</v>
      </c>
      <c r="I2969">
        <v>277.91750000000002</v>
      </c>
      <c r="J2969">
        <v>-238.59610000000001</v>
      </c>
      <c r="K2969">
        <v>1.1226309999999999</v>
      </c>
      <c r="L2969">
        <v>283.65190000000001</v>
      </c>
      <c r="M2969">
        <v>-0.99923589999999995</v>
      </c>
      <c r="N2969">
        <v>-1.300368E-2</v>
      </c>
      <c r="O2969">
        <v>3.6860379999999998E-2</v>
      </c>
      <c r="P2969">
        <v>-0.99063749999999995</v>
      </c>
      <c r="Q2969">
        <v>0.13478229999999999</v>
      </c>
      <c r="R2969">
        <v>2.1712639999999998E-2</v>
      </c>
      <c r="S2969">
        <v>-3.0433650000000001</v>
      </c>
      <c r="T2969">
        <v>-5.8370709999999999E-2</v>
      </c>
      <c r="U2969">
        <v>-0.29794310000000002</v>
      </c>
      <c r="V2969">
        <v>-1.520121E-2</v>
      </c>
      <c r="W2969">
        <v>0.14761550000000001</v>
      </c>
      <c r="X2969">
        <v>0.98892800000000003</v>
      </c>
      <c r="Y2969">
        <v>-0.13401350000000001</v>
      </c>
      <c r="Z2969">
        <v>-2.3829350000000001E-3</v>
      </c>
      <c r="AA2969">
        <v>0.99097659999999999</v>
      </c>
      <c r="AB2969">
        <v>23</v>
      </c>
      <c r="AC2969">
        <v>-58.397100000000002</v>
      </c>
      <c r="AD2969">
        <v>-1.122626516133</v>
      </c>
      <c r="AE2969">
        <v>-5.7343999999999902</v>
      </c>
      <c r="AF2969">
        <v>-7.8803390556819899</v>
      </c>
      <c r="AG2969">
        <v>-1.122626516133</v>
      </c>
      <c r="AH2969">
        <v>58.124742500907999</v>
      </c>
      <c r="AI2969">
        <v>91.096449757924802</v>
      </c>
      <c r="AJ2969">
        <v>97.720875316234597</v>
      </c>
      <c r="AK2969">
        <v>58.667245757101099</v>
      </c>
      <c r="AL2969">
        <v>81.511233524850695</v>
      </c>
      <c r="AM2969">
        <v>90.880647113841107</v>
      </c>
      <c r="AN2969">
        <v>1.00000000090485</v>
      </c>
    </row>
    <row r="2970" spans="1:40" x14ac:dyDescent="0.25">
      <c r="A2970" t="str">
        <f>"20190303161933921"</f>
        <v>20190303161933921</v>
      </c>
      <c r="B2970" t="str">
        <f>"1551601173915977"</f>
        <v>1551601173915977</v>
      </c>
      <c r="C2970" t="s">
        <v>40</v>
      </c>
      <c r="D2970">
        <v>4.638509</v>
      </c>
      <c r="E2970">
        <v>0.4539916</v>
      </c>
      <c r="F2970" t="s">
        <v>56</v>
      </c>
      <c r="G2970">
        <v>-294.62139999999999</v>
      </c>
      <c r="H2970" s="1">
        <v>3.992297E-6</v>
      </c>
      <c r="I2970">
        <v>278.11799999999999</v>
      </c>
      <c r="J2970">
        <v>-238.72</v>
      </c>
      <c r="K2970">
        <v>1.1226100000000001</v>
      </c>
      <c r="L2970">
        <v>283.65550000000002</v>
      </c>
      <c r="M2970">
        <v>-0.99926740000000003</v>
      </c>
      <c r="N2970">
        <v>-1.31156E-2</v>
      </c>
      <c r="O2970">
        <v>3.5955800000000003E-2</v>
      </c>
      <c r="P2970">
        <v>-0.99070080000000005</v>
      </c>
      <c r="Q2970">
        <v>0.13434889999999999</v>
      </c>
      <c r="R2970">
        <v>2.1513190000000001E-2</v>
      </c>
      <c r="S2970">
        <v>-3.0432589999999999</v>
      </c>
      <c r="T2970">
        <v>-6.0980319999999998E-2</v>
      </c>
      <c r="U2970">
        <v>-0.30059809999999998</v>
      </c>
      <c r="V2970">
        <v>-1.449834E-2</v>
      </c>
      <c r="W2970">
        <v>0.14729619999999999</v>
      </c>
      <c r="X2970">
        <v>0.98898609999999998</v>
      </c>
      <c r="Y2970">
        <v>-0.133972799999999</v>
      </c>
      <c r="Z2970">
        <v>-2.4683040000000002E-3</v>
      </c>
      <c r="AA2970">
        <v>0.99098189999999997</v>
      </c>
      <c r="AB2970">
        <v>23</v>
      </c>
      <c r="AC2970">
        <v>-55.901400000000002</v>
      </c>
      <c r="AD2970">
        <v>-1.122606007703</v>
      </c>
      <c r="AE2970">
        <v>-5.5375000000000201</v>
      </c>
      <c r="AF2970">
        <v>-7.5410593887811501</v>
      </c>
      <c r="AG2970">
        <v>-1.122606007703</v>
      </c>
      <c r="AH2970">
        <v>55.643902380149797</v>
      </c>
      <c r="AI2970">
        <v>91.1453084996472</v>
      </c>
      <c r="AJ2970">
        <v>97.717906218657006</v>
      </c>
      <c r="AK2970">
        <v>56.163793435320002</v>
      </c>
      <c r="AL2970">
        <v>81.529729735290701</v>
      </c>
      <c r="AM2970">
        <v>90.839884596508398</v>
      </c>
      <c r="AN2970">
        <v>0.99999993919520003</v>
      </c>
    </row>
    <row r="2971" spans="1:40" x14ac:dyDescent="0.25">
      <c r="A2971" t="str">
        <f>"20190303161933935"</f>
        <v>20190303161933935</v>
      </c>
      <c r="B2971" t="str">
        <f>"1551601173925737"</f>
        <v>1551601173925737</v>
      </c>
      <c r="C2971" t="s">
        <v>40</v>
      </c>
      <c r="D2971">
        <v>4.7236500000000001</v>
      </c>
      <c r="E2971">
        <v>0.45411629999999997</v>
      </c>
      <c r="F2971" t="s">
        <v>56</v>
      </c>
      <c r="G2971">
        <v>-293.5489</v>
      </c>
      <c r="H2971" s="1">
        <v>3.7602309999999998E-6</v>
      </c>
      <c r="I2971">
        <v>278.2362</v>
      </c>
      <c r="J2971">
        <v>-238.84979999999999</v>
      </c>
      <c r="K2971">
        <v>1.1225909999999999</v>
      </c>
      <c r="L2971">
        <v>283.65910000000002</v>
      </c>
      <c r="M2971">
        <v>-0.99929900000000005</v>
      </c>
      <c r="N2971">
        <v>-1.322164E-2</v>
      </c>
      <c r="O2971">
        <v>3.5025430000000003E-2</v>
      </c>
      <c r="P2971">
        <v>-0.9907646</v>
      </c>
      <c r="Q2971">
        <v>0.133936</v>
      </c>
      <c r="R2971">
        <v>2.1143289999999999E-2</v>
      </c>
      <c r="S2971">
        <v>-3.0431520000000001</v>
      </c>
      <c r="T2971">
        <v>-6.2307719999999997E-2</v>
      </c>
      <c r="U2971">
        <v>-0.30078129999999997</v>
      </c>
      <c r="V2971">
        <v>-1.393921E-2</v>
      </c>
      <c r="W2971">
        <v>0.1469916</v>
      </c>
      <c r="X2971">
        <v>0.98903949999999996</v>
      </c>
      <c r="Y2971">
        <v>-0.13311120000000001</v>
      </c>
      <c r="Z2971">
        <v>-2.4952329999999999E-3</v>
      </c>
      <c r="AA2971">
        <v>0.99109800000000003</v>
      </c>
      <c r="AB2971">
        <v>23</v>
      </c>
      <c r="AC2971">
        <v>-54.699100000000001</v>
      </c>
      <c r="AD2971">
        <v>-1.122587239769</v>
      </c>
      <c r="AE2971">
        <v>-5.4229000000000198</v>
      </c>
      <c r="AF2971">
        <v>-7.3325405944597604</v>
      </c>
      <c r="AG2971">
        <v>-1.122587239769</v>
      </c>
      <c r="AH2971">
        <v>54.452864069888399</v>
      </c>
      <c r="AI2971">
        <v>91.170467471939503</v>
      </c>
      <c r="AJ2971">
        <v>97.669230193389595</v>
      </c>
      <c r="AK2971">
        <v>54.955807328198198</v>
      </c>
      <c r="AL2971">
        <v>81.547374455019394</v>
      </c>
      <c r="AM2971">
        <v>90.807455141474094</v>
      </c>
      <c r="AN2971">
        <v>0.99999998230311604</v>
      </c>
    </row>
    <row r="2972" spans="1:40" x14ac:dyDescent="0.25">
      <c r="A2972" t="str">
        <f>"20190303161933954"</f>
        <v>20190303161933954</v>
      </c>
      <c r="B2972" t="str">
        <f>"1551601173945257"</f>
        <v>1551601173945257</v>
      </c>
      <c r="C2972" t="s">
        <v>40</v>
      </c>
      <c r="D2972">
        <v>4.8074589999999997</v>
      </c>
      <c r="E2972">
        <v>0.48874780000000001</v>
      </c>
      <c r="F2972" t="s">
        <v>56</v>
      </c>
      <c r="G2972">
        <v>-288.03160000000003</v>
      </c>
      <c r="H2972">
        <v>8.0001320000000001E-2</v>
      </c>
      <c r="I2972">
        <v>278.7989</v>
      </c>
      <c r="J2972">
        <v>-239.03870000000001</v>
      </c>
      <c r="K2972">
        <v>1.122566</v>
      </c>
      <c r="L2972">
        <v>283.66410000000002</v>
      </c>
      <c r="M2972">
        <v>-0.99934290000000003</v>
      </c>
      <c r="N2972">
        <v>-1.336237E-2</v>
      </c>
      <c r="O2972">
        <v>3.3695360000000001E-2</v>
      </c>
      <c r="P2972">
        <v>-0.99072579999999999</v>
      </c>
      <c r="Q2972">
        <v>0.1341705</v>
      </c>
      <c r="R2972">
        <v>2.1467670000000001E-2</v>
      </c>
      <c r="S2972">
        <v>-3.043091</v>
      </c>
      <c r="T2972">
        <v>-6.4509510000000006E-2</v>
      </c>
      <c r="U2972">
        <v>-0.30072019999999999</v>
      </c>
      <c r="V2972">
        <v>-1.228455E-2</v>
      </c>
      <c r="W2972">
        <v>0.14737030000000001</v>
      </c>
      <c r="X2972">
        <v>0.98900509999999997</v>
      </c>
      <c r="Y2972">
        <v>-0.13177179999999999</v>
      </c>
      <c r="Z2972">
        <v>-2.5395190000000001E-3</v>
      </c>
      <c r="AA2972">
        <v>0.99127679999999996</v>
      </c>
      <c r="AB2972">
        <v>23</v>
      </c>
      <c r="AC2972">
        <v>-48.992899999999999</v>
      </c>
      <c r="AD2972">
        <v>-1.0425646799999999</v>
      </c>
      <c r="AE2972">
        <v>-4.8652000000000104</v>
      </c>
      <c r="AF2972">
        <v>-6.5104980826971</v>
      </c>
      <c r="AG2972">
        <v>-1.0425646799999999</v>
      </c>
      <c r="AH2972">
        <v>48.779251893221499</v>
      </c>
      <c r="AI2972">
        <v>91.213644140421394</v>
      </c>
      <c r="AJ2972">
        <v>97.602257633348501</v>
      </c>
      <c r="AK2972">
        <v>49.222849792135598</v>
      </c>
      <c r="AL2972">
        <v>81.525437806982595</v>
      </c>
      <c r="AM2972">
        <v>90.711641096468099</v>
      </c>
      <c r="AN2972">
        <v>1.0000000016584001</v>
      </c>
    </row>
    <row r="2973" spans="1:40" x14ac:dyDescent="0.25">
      <c r="A2973" t="str">
        <f>"20190303161933976"</f>
        <v>20190303161933976</v>
      </c>
      <c r="B2973" t="str">
        <f>"1551601173965754"</f>
        <v>1551601173965754</v>
      </c>
      <c r="C2973" t="s">
        <v>40</v>
      </c>
      <c r="D2973">
        <v>4.5703310000000004</v>
      </c>
      <c r="E2973">
        <v>0.50450099999999998</v>
      </c>
      <c r="F2973" t="s">
        <v>58</v>
      </c>
      <c r="G2973">
        <v>0</v>
      </c>
      <c r="H2973">
        <v>0</v>
      </c>
      <c r="I2973">
        <v>0</v>
      </c>
      <c r="J2973">
        <v>-239.27099999999999</v>
      </c>
      <c r="K2973">
        <v>1.122528</v>
      </c>
      <c r="L2973">
        <v>283.67</v>
      </c>
      <c r="M2973">
        <v>-0.99939339999999999</v>
      </c>
      <c r="N2973">
        <v>-1.351275E-2</v>
      </c>
      <c r="O2973">
        <v>3.2100280000000002E-2</v>
      </c>
      <c r="P2973">
        <v>-0.99056599999999995</v>
      </c>
      <c r="Q2973">
        <v>0.13535549999999999</v>
      </c>
      <c r="R2973">
        <v>2.140806E-2</v>
      </c>
      <c r="S2973">
        <v>-3.0262150000000001</v>
      </c>
      <c r="T2973">
        <v>1.7533299999999901E-2</v>
      </c>
      <c r="U2973">
        <v>-2.4139399999999998E-2</v>
      </c>
      <c r="V2973">
        <v>-1.074685E-2</v>
      </c>
      <c r="W2973">
        <v>0.14870630000000001</v>
      </c>
      <c r="X2973">
        <v>0.98882300000000001</v>
      </c>
      <c r="Y2973">
        <v>-4.0069510000000003E-2</v>
      </c>
      <c r="Z2973">
        <v>4.6510259999999999E-4</v>
      </c>
      <c r="AA2973">
        <v>0.9991968</v>
      </c>
      <c r="AB2973">
        <v>23</v>
      </c>
      <c r="AC2973">
        <v>-3.0262150000000001</v>
      </c>
      <c r="AD2973">
        <v>1.7533299999999901E-2</v>
      </c>
      <c r="AE2973">
        <v>-2.4139399999999998E-2</v>
      </c>
      <c r="AF2973">
        <v>-0.12127409650822001</v>
      </c>
      <c r="AG2973">
        <v>1.7533299999999901E-2</v>
      </c>
      <c r="AH2973">
        <v>3.0237787167897299</v>
      </c>
      <c r="AI2973">
        <v>89.668042551316304</v>
      </c>
      <c r="AJ2973">
        <v>92.296719587192598</v>
      </c>
      <c r="AK2973">
        <v>3.0262604896477998</v>
      </c>
      <c r="AL2973">
        <v>81.448037733450903</v>
      </c>
      <c r="AM2973">
        <v>90.622684651935003</v>
      </c>
      <c r="AN2973">
        <v>0.99999999188680599</v>
      </c>
    </row>
    <row r="2974" spans="1:40" x14ac:dyDescent="0.25">
      <c r="A2974" t="str">
        <f>"20190303161933998"</f>
        <v>20190303161933998</v>
      </c>
      <c r="B2974" t="str">
        <f>"1551601173985274"</f>
        <v>1551601173985274</v>
      </c>
      <c r="C2974" t="s">
        <v>40</v>
      </c>
      <c r="D2974">
        <v>4.5771980000000001</v>
      </c>
      <c r="E2974">
        <v>0.51376029999999995</v>
      </c>
      <c r="F2974" t="s">
        <v>60</v>
      </c>
      <c r="G2974">
        <v>-550.05740000000003</v>
      </c>
      <c r="H2974">
        <v>1.57629</v>
      </c>
      <c r="I2974">
        <v>294.03910000000002</v>
      </c>
      <c r="J2974">
        <v>-239.49529999999999</v>
      </c>
      <c r="K2974">
        <v>1.1224989999999999</v>
      </c>
      <c r="L2974">
        <v>283.6755</v>
      </c>
      <c r="M2974">
        <v>-0.99943870000000001</v>
      </c>
      <c r="N2974">
        <v>-1.363749E-2</v>
      </c>
      <c r="O2974">
        <v>3.0598609999999998E-2</v>
      </c>
      <c r="P2974">
        <v>-0.99050780000000005</v>
      </c>
      <c r="Q2974">
        <v>0.13588739999999999</v>
      </c>
      <c r="R2974">
        <v>2.07081E-2</v>
      </c>
      <c r="S2974">
        <v>-3.0257869999999998</v>
      </c>
      <c r="T2974">
        <v>4.4186119999999997E-3</v>
      </c>
      <c r="U2974">
        <v>0.1009521</v>
      </c>
      <c r="V2974">
        <v>-9.9452310000000006E-3</v>
      </c>
      <c r="W2974">
        <v>0.1493631</v>
      </c>
      <c r="X2974">
        <v>0.98873239999999996</v>
      </c>
      <c r="Y2974">
        <v>2.7488320000000001E-3</v>
      </c>
      <c r="Z2974">
        <v>4.7869470000000002E-4</v>
      </c>
      <c r="AA2974">
        <v>0.99999610000000005</v>
      </c>
      <c r="AB2974">
        <v>23</v>
      </c>
      <c r="AC2974">
        <v>-310.56209999999999</v>
      </c>
      <c r="AD2974">
        <v>0.453791</v>
      </c>
      <c r="AE2974">
        <v>10.3636</v>
      </c>
      <c r="AF2974">
        <v>0.85509204068401801</v>
      </c>
      <c r="AG2974">
        <v>0.453791</v>
      </c>
      <c r="AH2974">
        <v>310.73313168657398</v>
      </c>
      <c r="AI2974">
        <v>89.916326295781403</v>
      </c>
      <c r="AJ2974">
        <v>89.842330809428205</v>
      </c>
      <c r="AK2974">
        <v>310.73463958241899</v>
      </c>
      <c r="AL2974">
        <v>81.409980922982996</v>
      </c>
      <c r="AM2974">
        <v>90.576293996860699</v>
      </c>
      <c r="AN2974">
        <v>1.0000000010354999</v>
      </c>
    </row>
    <row r="2975" spans="1:40" x14ac:dyDescent="0.25">
      <c r="A2975" t="str">
        <f>"20190303161934021"</f>
        <v>20190303161934021</v>
      </c>
      <c r="B2975" t="str">
        <f>"1551601174015530"</f>
        <v>1551601174015530</v>
      </c>
      <c r="C2975" t="s">
        <v>40</v>
      </c>
      <c r="D2975">
        <v>4.522043</v>
      </c>
      <c r="E2975">
        <v>0.51967259999999904</v>
      </c>
      <c r="F2975" t="s">
        <v>49</v>
      </c>
      <c r="G2975">
        <v>-499.95780000000002</v>
      </c>
      <c r="H2975">
        <v>1.222472E-2</v>
      </c>
      <c r="I2975">
        <v>298.5333</v>
      </c>
      <c r="J2975">
        <v>-239.71770000000001</v>
      </c>
      <c r="K2975">
        <v>1.122482</v>
      </c>
      <c r="L2975">
        <v>283.68060000000003</v>
      </c>
      <c r="M2975">
        <v>-0.99948090000000001</v>
      </c>
      <c r="N2975">
        <v>-1.3743669999999999E-2</v>
      </c>
      <c r="O2975">
        <v>2.9142930000000001E-2</v>
      </c>
      <c r="P2975">
        <v>-0.9905678</v>
      </c>
      <c r="Q2975">
        <v>0.13561010000000001</v>
      </c>
      <c r="R2975">
        <v>1.964084E-2</v>
      </c>
      <c r="S2975">
        <v>-3.0269469999999998</v>
      </c>
      <c r="T2975">
        <v>-1.290298E-2</v>
      </c>
      <c r="U2975">
        <v>0.1726685</v>
      </c>
      <c r="V2975">
        <v>-9.5598209999999996E-3</v>
      </c>
      <c r="W2975">
        <v>0.1491933</v>
      </c>
      <c r="X2975">
        <v>0.98876180000000002</v>
      </c>
      <c r="Y2975">
        <v>2.7828849999999999E-2</v>
      </c>
      <c r="Z2975">
        <v>5.2693499999999997E-4</v>
      </c>
      <c r="AA2975">
        <v>0.99961259999999996</v>
      </c>
      <c r="AB2975">
        <v>23</v>
      </c>
      <c r="AC2975">
        <v>-260.24009999999998</v>
      </c>
      <c r="AD2975">
        <v>-1.1102572799999999</v>
      </c>
      <c r="AE2975">
        <v>14.852699999999899</v>
      </c>
      <c r="AF2975">
        <v>7.2613840759632096</v>
      </c>
      <c r="AG2975">
        <v>-1.1102572799999999</v>
      </c>
      <c r="AH2975">
        <v>260.55770833201899</v>
      </c>
      <c r="AI2975">
        <v>90.244045680682603</v>
      </c>
      <c r="AJ2975">
        <v>88.403658809930903</v>
      </c>
      <c r="AK2975">
        <v>260.66123559355702</v>
      </c>
      <c r="AL2975">
        <v>81.419819670962895</v>
      </c>
      <c r="AM2975">
        <v>90.553945682125203</v>
      </c>
      <c r="AN2975">
        <v>0.99999996404084002</v>
      </c>
    </row>
    <row r="2976" spans="1:40" x14ac:dyDescent="0.25">
      <c r="A2976" t="str">
        <f>"20190303161934043"</f>
        <v>20190303161934043</v>
      </c>
      <c r="B2976" t="str">
        <f>"1551601174036026"</f>
        <v>1551601174036026</v>
      </c>
      <c r="C2976" t="s">
        <v>40</v>
      </c>
      <c r="D2976">
        <v>4.5253410000000001</v>
      </c>
      <c r="E2976">
        <v>0.521648</v>
      </c>
      <c r="F2976" t="s">
        <v>52</v>
      </c>
      <c r="G2976">
        <v>-329.77480000000003</v>
      </c>
      <c r="H2976">
        <v>8.0001180000000005E-2</v>
      </c>
      <c r="I2976">
        <v>290.12529999999998</v>
      </c>
      <c r="J2976">
        <v>-239.94880000000001</v>
      </c>
      <c r="K2976">
        <v>1.122471</v>
      </c>
      <c r="L2976">
        <v>283.68560000000002</v>
      </c>
      <c r="M2976">
        <v>-0.99952169999999896</v>
      </c>
      <c r="N2976">
        <v>-1.3838400000000001E-2</v>
      </c>
      <c r="O2976">
        <v>2.7661439999999999E-2</v>
      </c>
      <c r="P2976">
        <v>-0.99057039999999996</v>
      </c>
      <c r="Q2976">
        <v>0.13576369999999999</v>
      </c>
      <c r="R2976">
        <v>1.840052E-2</v>
      </c>
      <c r="S2976">
        <v>-3.0290530000000002</v>
      </c>
      <c r="T2976">
        <v>-3.5063619999999997E-2</v>
      </c>
      <c r="U2976">
        <v>0.2167664</v>
      </c>
      <c r="V2976">
        <v>-9.3237289999999994E-3</v>
      </c>
      <c r="W2976">
        <v>0.1494414</v>
      </c>
      <c r="X2976">
        <v>0.98872660000000001</v>
      </c>
      <c r="Y2976">
        <v>4.3752689999999997E-2</v>
      </c>
      <c r="Z2976">
        <v>6.1884050000000001E-4</v>
      </c>
      <c r="AA2976">
        <v>0.99904219999999999</v>
      </c>
      <c r="AB2976">
        <v>23</v>
      </c>
      <c r="AC2976">
        <v>-89.825999999999993</v>
      </c>
      <c r="AD2976">
        <v>-1.04246982</v>
      </c>
      <c r="AE2976">
        <v>6.4396999999999496</v>
      </c>
      <c r="AF2976">
        <v>3.95175174515545</v>
      </c>
      <c r="AG2976">
        <v>-1.04246982</v>
      </c>
      <c r="AH2976">
        <v>89.957715735604694</v>
      </c>
      <c r="AI2976">
        <v>90.663299491783704</v>
      </c>
      <c r="AJ2976">
        <v>87.4846713377448</v>
      </c>
      <c r="AK2976">
        <v>90.050506414727096</v>
      </c>
      <c r="AL2976">
        <v>81.405443530097799</v>
      </c>
      <c r="AM2976">
        <v>90.540285339623495</v>
      </c>
      <c r="AN2976">
        <v>0.99999997675199204</v>
      </c>
    </row>
    <row r="2977" spans="1:40" x14ac:dyDescent="0.25">
      <c r="A2977" t="str">
        <f>"20190303161934067"</f>
        <v>20190303161934067</v>
      </c>
      <c r="B2977" t="str">
        <f>"1551601174055545"</f>
        <v>1551601174055545</v>
      </c>
      <c r="C2977" t="s">
        <v>40</v>
      </c>
      <c r="D2977">
        <v>4.5410329999999997</v>
      </c>
      <c r="E2977">
        <v>0.52310840000000003</v>
      </c>
      <c r="F2977" t="s">
        <v>56</v>
      </c>
      <c r="G2977">
        <v>-318.62130000000002</v>
      </c>
      <c r="H2977">
        <v>2.379498E-2</v>
      </c>
      <c r="I2977">
        <v>289.61630000000002</v>
      </c>
      <c r="J2977">
        <v>-240.17910000000001</v>
      </c>
      <c r="K2977">
        <v>1.1224609999999999</v>
      </c>
      <c r="L2977">
        <v>283.6902</v>
      </c>
      <c r="M2977">
        <v>-0.99955959999999999</v>
      </c>
      <c r="N2977">
        <v>-1.3918359999999999E-2</v>
      </c>
      <c r="O2977">
        <v>2.6207970000000001E-2</v>
      </c>
      <c r="P2977">
        <v>-0.99053369999999996</v>
      </c>
      <c r="Q2977">
        <v>0.13606560000000001</v>
      </c>
      <c r="R2977">
        <v>1.8152149999999999E-2</v>
      </c>
      <c r="S2977">
        <v>-3.030106</v>
      </c>
      <c r="T2977">
        <v>-4.231596E-2</v>
      </c>
      <c r="U2977">
        <v>0.22842409999999999</v>
      </c>
      <c r="V2977">
        <v>-8.1243169999999903E-3</v>
      </c>
      <c r="W2977">
        <v>0.14982470000000001</v>
      </c>
      <c r="X2977">
        <v>0.98867919999999998</v>
      </c>
      <c r="Y2977">
        <v>4.8999870000000001E-2</v>
      </c>
      <c r="Z2977">
        <v>6.8222919999999998E-4</v>
      </c>
      <c r="AA2977">
        <v>0.99879850000000003</v>
      </c>
      <c r="AB2977">
        <v>23</v>
      </c>
      <c r="AC2977">
        <v>-78.4422</v>
      </c>
      <c r="AD2977">
        <v>-1.09866602</v>
      </c>
      <c r="AE2977">
        <v>5.9261000000000204</v>
      </c>
      <c r="AF2977">
        <v>3.8672997123694599</v>
      </c>
      <c r="AG2977">
        <v>-1.09866602</v>
      </c>
      <c r="AH2977">
        <v>78.555254229697994</v>
      </c>
      <c r="AI2977">
        <v>90.800311751957807</v>
      </c>
      <c r="AJ2977">
        <v>87.181586325991503</v>
      </c>
      <c r="AK2977">
        <v>78.658064056912096</v>
      </c>
      <c r="AL2977">
        <v>81.383232217625505</v>
      </c>
      <c r="AM2977">
        <v>90.470808527789103</v>
      </c>
      <c r="AN2977">
        <v>1.00000000288472</v>
      </c>
    </row>
    <row r="2978" spans="1:40" x14ac:dyDescent="0.25">
      <c r="A2978" t="str">
        <f>"20190303161934086"</f>
        <v>20190303161934086</v>
      </c>
      <c r="B2978" t="str">
        <f>"1551601174076041"</f>
        <v>1551601174076041</v>
      </c>
      <c r="C2978" t="s">
        <v>40</v>
      </c>
      <c r="D2978">
        <v>4.5353019999999997</v>
      </c>
      <c r="E2978">
        <v>0.52397209999999905</v>
      </c>
      <c r="F2978" t="s">
        <v>56</v>
      </c>
      <c r="G2978">
        <v>-312.94099999999997</v>
      </c>
      <c r="H2978" s="1">
        <v>3.1016129999999998E-6</v>
      </c>
      <c r="I2978">
        <v>289.416</v>
      </c>
      <c r="J2978">
        <v>-240.38399999999999</v>
      </c>
      <c r="K2978">
        <v>1.1224540000000001</v>
      </c>
      <c r="L2978">
        <v>283.69409999999999</v>
      </c>
      <c r="M2978">
        <v>-0.99959160000000002</v>
      </c>
      <c r="N2978">
        <v>-1.397927E-2</v>
      </c>
      <c r="O2978">
        <v>2.4925349999999999E-2</v>
      </c>
      <c r="P2978">
        <v>-0.99062240000000001</v>
      </c>
      <c r="Q2978">
        <v>0.13550079999999901</v>
      </c>
      <c r="R2978">
        <v>1.7515490000000002E-2</v>
      </c>
      <c r="S2978">
        <v>-3.030716</v>
      </c>
      <c r="T2978">
        <v>-4.6753169999999997E-2</v>
      </c>
      <c r="U2978">
        <v>0.23849490000000001</v>
      </c>
      <c r="V2978">
        <v>-7.4875069999999896E-3</v>
      </c>
      <c r="W2978">
        <v>0.1493226</v>
      </c>
      <c r="X2978">
        <v>0.98876019999999998</v>
      </c>
      <c r="Y2978">
        <v>5.3562650000000003E-2</v>
      </c>
      <c r="Z2978">
        <v>7.5175869999999996E-4</v>
      </c>
      <c r="AA2978">
        <v>0.99856420000000001</v>
      </c>
      <c r="AB2978">
        <v>23</v>
      </c>
      <c r="AC2978">
        <v>-72.556999999999903</v>
      </c>
      <c r="AD2978">
        <v>-1.1224508983870001</v>
      </c>
      <c r="AE2978">
        <v>5.7218999999999998</v>
      </c>
      <c r="AF2978">
        <v>3.9105065721586998</v>
      </c>
      <c r="AG2978">
        <v>-1.1224508983870001</v>
      </c>
      <c r="AH2978">
        <v>72.659806176411806</v>
      </c>
      <c r="AI2978">
        <v>90.8837577636247</v>
      </c>
      <c r="AJ2978">
        <v>86.919348100589403</v>
      </c>
      <c r="AK2978">
        <v>72.773617412245699</v>
      </c>
      <c r="AL2978">
        <v>81.412327861588096</v>
      </c>
      <c r="AM2978">
        <v>90.433870973093605</v>
      </c>
      <c r="AN2978">
        <v>1.00000001736793</v>
      </c>
    </row>
    <row r="2979" spans="1:40" x14ac:dyDescent="0.25">
      <c r="A2979" t="str">
        <f>"20190303161934099"</f>
        <v>20190303161934099</v>
      </c>
      <c r="B2979" t="str">
        <f>"1551601174095561"</f>
        <v>1551601174095561</v>
      </c>
      <c r="C2979" t="s">
        <v>40</v>
      </c>
      <c r="D2979">
        <v>4.5227089999999999</v>
      </c>
      <c r="E2979">
        <v>0.52480329999999997</v>
      </c>
      <c r="F2979" t="s">
        <v>56</v>
      </c>
      <c r="G2979">
        <v>-304.83199999999999</v>
      </c>
      <c r="H2979" s="1">
        <v>2.7360269999999998E-6</v>
      </c>
      <c r="I2979">
        <v>288.86520000000002</v>
      </c>
      <c r="J2979">
        <v>-240.51329999999999</v>
      </c>
      <c r="K2979">
        <v>1.122455</v>
      </c>
      <c r="L2979">
        <v>283.69639999999998</v>
      </c>
      <c r="M2979">
        <v>-0.99961100000000003</v>
      </c>
      <c r="N2979">
        <v>-1.4013009999999999E-2</v>
      </c>
      <c r="O2979">
        <v>2.411814E-2</v>
      </c>
      <c r="P2979">
        <v>-0.99064390000000002</v>
      </c>
      <c r="Q2979">
        <v>0.13537859999999999</v>
      </c>
      <c r="R2979">
        <v>1.725281E-2</v>
      </c>
      <c r="S2979">
        <v>-3.031326</v>
      </c>
      <c r="T2979">
        <v>-5.2794689999999998E-2</v>
      </c>
      <c r="U2979">
        <v>0.2432251</v>
      </c>
      <c r="V2979">
        <v>-6.948699E-3</v>
      </c>
      <c r="W2979">
        <v>0.14923529999999999</v>
      </c>
      <c r="X2979">
        <v>0.98877729999999997</v>
      </c>
      <c r="Y2979">
        <v>5.5898539999999997E-2</v>
      </c>
      <c r="Z2979">
        <v>7.966421E-4</v>
      </c>
      <c r="AA2979">
        <v>0.9984362</v>
      </c>
      <c r="AB2979">
        <v>23</v>
      </c>
      <c r="AC2979">
        <v>-64.318700000000007</v>
      </c>
      <c r="AD2979">
        <v>-1.1224522639729999</v>
      </c>
      <c r="AE2979">
        <v>5.1688000000000303</v>
      </c>
      <c r="AF2979">
        <v>3.6148027665448001</v>
      </c>
      <c r="AG2979">
        <v>-1.1224522639729999</v>
      </c>
      <c r="AH2979">
        <v>64.405172223862493</v>
      </c>
      <c r="AI2979">
        <v>90.996880210683301</v>
      </c>
      <c r="AJ2979">
        <v>86.787589131566705</v>
      </c>
      <c r="AK2979">
        <v>64.516299547566305</v>
      </c>
      <c r="AL2979">
        <v>81.417386349248503</v>
      </c>
      <c r="AM2979">
        <v>90.402643317027199</v>
      </c>
      <c r="AN2979">
        <v>1.00000000408958</v>
      </c>
    </row>
    <row r="2980" spans="1:40" x14ac:dyDescent="0.25">
      <c r="A2980" t="str">
        <f>"20190303161934120"</f>
        <v>20190303161934120</v>
      </c>
      <c r="B2980" t="str">
        <f>"1551601174116057"</f>
        <v>1551601174116057</v>
      </c>
      <c r="C2980" t="s">
        <v>40</v>
      </c>
      <c r="D2980">
        <v>4.5258320000000003</v>
      </c>
      <c r="E2980">
        <v>0.52543169999999995</v>
      </c>
      <c r="F2980" t="s">
        <v>56</v>
      </c>
      <c r="G2980">
        <v>-303.95960000000002</v>
      </c>
      <c r="H2980" s="1">
        <v>2.8873330000000001E-6</v>
      </c>
      <c r="I2980">
        <v>288.90460000000002</v>
      </c>
      <c r="J2980">
        <v>-240.72579999999999</v>
      </c>
      <c r="K2980">
        <v>1.1224590000000001</v>
      </c>
      <c r="L2980">
        <v>283.7</v>
      </c>
      <c r="M2980">
        <v>-0.99964140000000001</v>
      </c>
      <c r="N2980">
        <v>-1.406287E-2</v>
      </c>
      <c r="O2980">
        <v>2.2792139999999999E-2</v>
      </c>
      <c r="P2980">
        <v>-0.99060729999999997</v>
      </c>
      <c r="Q2980">
        <v>0.13562929999999901</v>
      </c>
      <c r="R2980">
        <v>1.7382519999999999E-2</v>
      </c>
      <c r="S2980">
        <v>-3.031326</v>
      </c>
      <c r="T2980">
        <v>-5.3628330000000002E-2</v>
      </c>
      <c r="U2980">
        <v>0.24884029999999999</v>
      </c>
      <c r="V2980">
        <v>-5.5028619999999999E-3</v>
      </c>
      <c r="W2980">
        <v>0.149538</v>
      </c>
      <c r="X2980">
        <v>0.98874070000000003</v>
      </c>
      <c r="Y2980">
        <v>5.905879E-2</v>
      </c>
      <c r="Z2980">
        <v>8.5523740000000004E-4</v>
      </c>
      <c r="AA2980">
        <v>0.99825410000000003</v>
      </c>
      <c r="AB2980">
        <v>23</v>
      </c>
      <c r="AC2980">
        <v>-63.233800000000002</v>
      </c>
      <c r="AD2980">
        <v>-1.1224561126670001</v>
      </c>
      <c r="AE2980">
        <v>5.2046000000000197</v>
      </c>
      <c r="AF2980">
        <v>3.7606946812426898</v>
      </c>
      <c r="AG2980">
        <v>-1.1224561126670001</v>
      </c>
      <c r="AH2980">
        <v>63.316189605231301</v>
      </c>
      <c r="AI2980">
        <v>91.013834795388604</v>
      </c>
      <c r="AJ2980">
        <v>86.600883795728905</v>
      </c>
      <c r="AK2980">
        <v>63.437706439750698</v>
      </c>
      <c r="AL2980">
        <v>81.399846348954</v>
      </c>
      <c r="AM2980">
        <v>90.318877853938801</v>
      </c>
      <c r="AN2980">
        <v>1.00000003338534</v>
      </c>
    </row>
    <row r="2981" spans="1:40" x14ac:dyDescent="0.25">
      <c r="A2981" t="str">
        <f>"20190303161934135"</f>
        <v>20190303161934135</v>
      </c>
      <c r="B2981" t="str">
        <f>"1551601174125818"</f>
        <v>1551601174125818</v>
      </c>
      <c r="C2981" t="s">
        <v>40</v>
      </c>
      <c r="D2981">
        <v>4.5528829999999996</v>
      </c>
      <c r="E2981">
        <v>0.52571219999999996</v>
      </c>
      <c r="F2981" t="s">
        <v>56</v>
      </c>
      <c r="G2981">
        <v>-304.4606</v>
      </c>
      <c r="H2981" s="1">
        <v>2.7866519999999999E-6</v>
      </c>
      <c r="I2981">
        <v>289.03969999999998</v>
      </c>
      <c r="J2981">
        <v>-240.86429999999999</v>
      </c>
      <c r="K2981">
        <v>1.1224639999999999</v>
      </c>
      <c r="L2981">
        <v>283.70209999999997</v>
      </c>
      <c r="M2981">
        <v>-0.99966029999999995</v>
      </c>
      <c r="N2981">
        <v>-1.409116E-2</v>
      </c>
      <c r="O2981">
        <v>2.1926979999999999E-2</v>
      </c>
      <c r="P2981">
        <v>-0.99064180000000002</v>
      </c>
      <c r="Q2981">
        <v>0.1354146</v>
      </c>
      <c r="R2981">
        <v>1.7082239999999999E-2</v>
      </c>
      <c r="S2981">
        <v>-3.0313110000000001</v>
      </c>
      <c r="T2981">
        <v>-5.3385500000000002E-2</v>
      </c>
      <c r="U2981">
        <v>0.25396729999999901</v>
      </c>
      <c r="V2981">
        <v>-4.9461970000000003E-3</v>
      </c>
      <c r="W2981">
        <v>0.1493527</v>
      </c>
      <c r="X2981">
        <v>0.98877159999999997</v>
      </c>
      <c r="Y2981">
        <v>6.1599170000000002E-2</v>
      </c>
      <c r="Z2981">
        <v>8.9946380000000003E-4</v>
      </c>
      <c r="AA2981">
        <v>0.9981006</v>
      </c>
      <c r="AB2981">
        <v>22</v>
      </c>
      <c r="AC2981">
        <v>-63.596299999999999</v>
      </c>
      <c r="AD2981">
        <v>-1.1224612133480001</v>
      </c>
      <c r="AE2981">
        <v>5.3376000000000001</v>
      </c>
      <c r="AF2981">
        <v>3.94048430341206</v>
      </c>
      <c r="AG2981">
        <v>-1.1224612133480001</v>
      </c>
      <c r="AH2981">
        <v>63.678357872095603</v>
      </c>
      <c r="AI2981">
        <v>91.007923081754896</v>
      </c>
      <c r="AJ2981">
        <v>86.458991627325602</v>
      </c>
      <c r="AK2981">
        <v>63.810035237473301</v>
      </c>
      <c r="AL2981">
        <v>81.410583423542406</v>
      </c>
      <c r="AM2981">
        <v>90.286612043575502</v>
      </c>
      <c r="AN2981">
        <v>0.99999998541430601</v>
      </c>
    </row>
    <row r="2982" spans="1:40" x14ac:dyDescent="0.25">
      <c r="A2982" t="str">
        <f>"20190303161934148"</f>
        <v>20190303161934148</v>
      </c>
      <c r="B2982" t="str">
        <f>"1551601174135578"</f>
        <v>1551601174135578</v>
      </c>
      <c r="C2982" t="s">
        <v>40</v>
      </c>
      <c r="D2982">
        <v>4.5494810000000001</v>
      </c>
      <c r="E2982">
        <v>0.52600230000000003</v>
      </c>
      <c r="F2982" t="s">
        <v>56</v>
      </c>
      <c r="G2982">
        <v>-303.14780000000002</v>
      </c>
      <c r="H2982" s="1">
        <v>3.0277869999999999E-6</v>
      </c>
      <c r="I2982">
        <v>288.9452</v>
      </c>
      <c r="J2982">
        <v>-240.99809999999999</v>
      </c>
      <c r="K2982">
        <v>1.1224670000000001</v>
      </c>
      <c r="L2982">
        <v>283.70409999999998</v>
      </c>
      <c r="M2982">
        <v>-0.99967790000000001</v>
      </c>
      <c r="N2982">
        <v>-1.4116419999999999E-2</v>
      </c>
      <c r="O2982">
        <v>2.1090569999999999E-2</v>
      </c>
      <c r="P2982">
        <v>-0.99066509999999997</v>
      </c>
      <c r="Q2982">
        <v>0.13525239999999999</v>
      </c>
      <c r="R2982">
        <v>1.7014729999999999E-2</v>
      </c>
      <c r="S2982">
        <v>-3.0314179999999999</v>
      </c>
      <c r="T2982">
        <v>-5.4631590000000001E-2</v>
      </c>
      <c r="U2982">
        <v>0.25518800000000003</v>
      </c>
      <c r="V2982">
        <v>-4.1843660000000001E-3</v>
      </c>
      <c r="W2982">
        <v>0.1492174</v>
      </c>
      <c r="X2982">
        <v>0.9887956</v>
      </c>
      <c r="Y2982">
        <v>6.2829430000000006E-2</v>
      </c>
      <c r="Z2982">
        <v>9.2744379999999996E-4</v>
      </c>
      <c r="AA2982">
        <v>0.99802389999999996</v>
      </c>
      <c r="AB2982">
        <v>22</v>
      </c>
      <c r="AC2982">
        <v>-62.149700000000003</v>
      </c>
      <c r="AD2982">
        <v>-1.1224639722130001</v>
      </c>
      <c r="AE2982">
        <v>5.2411000000000101</v>
      </c>
      <c r="AF2982">
        <v>3.9277586223908001</v>
      </c>
      <c r="AG2982">
        <v>-1.1224639722130001</v>
      </c>
      <c r="AH2982">
        <v>62.226267961737697</v>
      </c>
      <c r="AI2982">
        <v>91.031361549134203</v>
      </c>
      <c r="AJ2982">
        <v>86.388248279412906</v>
      </c>
      <c r="AK2982">
        <v>62.360208768177401</v>
      </c>
      <c r="AL2982">
        <v>81.418423867575001</v>
      </c>
      <c r="AM2982">
        <v>90.242461718710302</v>
      </c>
      <c r="AN2982">
        <v>1.00000003998047</v>
      </c>
    </row>
    <row r="2983" spans="1:40" x14ac:dyDescent="0.25">
      <c r="A2983" t="str">
        <f>"20190303161934164"</f>
        <v>20190303161934164</v>
      </c>
      <c r="B2983" t="str">
        <f>"1551601174156073"</f>
        <v>1551601174156073</v>
      </c>
      <c r="C2983" t="s">
        <v>40</v>
      </c>
      <c r="D2983">
        <v>4.541811</v>
      </c>
      <c r="E2983">
        <v>0.52638209999999996</v>
      </c>
      <c r="F2983" t="s">
        <v>56</v>
      </c>
      <c r="G2983">
        <v>-302.45699999999999</v>
      </c>
      <c r="H2983" s="1">
        <v>3.1528199999999998E-6</v>
      </c>
      <c r="I2983">
        <v>288.91669999999999</v>
      </c>
      <c r="J2983">
        <v>-241.1651</v>
      </c>
      <c r="K2983">
        <v>1.1224719999999999</v>
      </c>
      <c r="L2983">
        <v>283.70639999999997</v>
      </c>
      <c r="M2983">
        <v>-0.99969909999999995</v>
      </c>
      <c r="N2983">
        <v>-1.414442E-2</v>
      </c>
      <c r="O2983">
        <v>2.004444E-2</v>
      </c>
      <c r="P2983">
        <v>-0.99074870000000004</v>
      </c>
      <c r="Q2983">
        <v>0.1346434</v>
      </c>
      <c r="R2983">
        <v>1.6982690000000002E-2</v>
      </c>
      <c r="S2983">
        <v>-3.0314329999999998</v>
      </c>
      <c r="T2983">
        <v>-5.5365089999999999E-2</v>
      </c>
      <c r="U2983">
        <v>0.25711060000000002</v>
      </c>
      <c r="V2983">
        <v>-3.1803600000000001E-3</v>
      </c>
      <c r="W2983">
        <v>0.14863979999999999</v>
      </c>
      <c r="X2983">
        <v>0.9888863</v>
      </c>
      <c r="Y2983">
        <v>6.45009E-2</v>
      </c>
      <c r="Z2983">
        <v>9.6276809999999995E-4</v>
      </c>
      <c r="AA2983">
        <v>0.99791719999999895</v>
      </c>
      <c r="AB2983">
        <v>22</v>
      </c>
      <c r="AC2983">
        <v>-61.291899999999998</v>
      </c>
      <c r="AD2983">
        <v>-1.12246884718</v>
      </c>
      <c r="AE2983">
        <v>5.2103000000000099</v>
      </c>
      <c r="AF2983">
        <v>3.9792433459796199</v>
      </c>
      <c r="AG2983">
        <v>-1.12246884718</v>
      </c>
      <c r="AH2983">
        <v>61.363598651821199</v>
      </c>
      <c r="AI2983">
        <v>91.045747083013197</v>
      </c>
      <c r="AJ2983">
        <v>86.289737285791105</v>
      </c>
      <c r="AK2983">
        <v>61.502728016090501</v>
      </c>
      <c r="AL2983">
        <v>81.4518908757681</v>
      </c>
      <c r="AM2983">
        <v>90.184268481703995</v>
      </c>
      <c r="AN2983">
        <v>1.00000000958072</v>
      </c>
    </row>
    <row r="2984" spans="1:40" x14ac:dyDescent="0.25">
      <c r="A2984" t="str">
        <f>"20190303161934177"</f>
        <v>20190303161934177</v>
      </c>
      <c r="B2984" t="str">
        <f>"1551601174165834"</f>
        <v>1551601174165834</v>
      </c>
      <c r="C2984" t="s">
        <v>40</v>
      </c>
      <c r="D2984">
        <v>4.5630220000000001</v>
      </c>
      <c r="E2984">
        <v>0.52651289999999995</v>
      </c>
      <c r="F2984" t="s">
        <v>56</v>
      </c>
      <c r="G2984">
        <v>-299.48790000000002</v>
      </c>
      <c r="H2984" s="1">
        <v>3.5313820000000001E-6</v>
      </c>
      <c r="I2984">
        <v>288.70409999999998</v>
      </c>
      <c r="J2984">
        <v>-241.2936</v>
      </c>
      <c r="K2984">
        <v>1.122474</v>
      </c>
      <c r="L2984">
        <v>283.7081</v>
      </c>
      <c r="M2984">
        <v>-0.99971460000000001</v>
      </c>
      <c r="N2984">
        <v>-1.416301E-2</v>
      </c>
      <c r="O2984">
        <v>1.9237270000000001E-2</v>
      </c>
      <c r="P2984">
        <v>-0.99079589999999995</v>
      </c>
      <c r="Q2984">
        <v>0.1343087</v>
      </c>
      <c r="R2984">
        <v>1.6874770000000001E-2</v>
      </c>
      <c r="S2984">
        <v>-3.0314640000000002</v>
      </c>
      <c r="T2984">
        <v>-5.8342930000000001E-2</v>
      </c>
      <c r="U2984">
        <v>0.25976559999999999</v>
      </c>
      <c r="V2984">
        <v>-2.488732E-3</v>
      </c>
      <c r="W2984">
        <v>0.14832519999999999</v>
      </c>
      <c r="X2984">
        <v>0.98893549999999997</v>
      </c>
      <c r="Y2984">
        <v>6.6171279999999999E-2</v>
      </c>
      <c r="Z2984">
        <v>1.0076869999999999E-3</v>
      </c>
      <c r="AA2984">
        <v>0.99780769999999996</v>
      </c>
      <c r="AB2984">
        <v>22</v>
      </c>
      <c r="AC2984">
        <v>-58.194299999999998</v>
      </c>
      <c r="AD2984">
        <v>-1.122470468618</v>
      </c>
      <c r="AE2984">
        <v>4.99599999999998</v>
      </c>
      <c r="AF2984">
        <v>3.8740327497895701</v>
      </c>
      <c r="AG2984">
        <v>-1.122470468618</v>
      </c>
      <c r="AH2984">
        <v>58.258132085607002</v>
      </c>
      <c r="AI2984">
        <v>91.101360277003707</v>
      </c>
      <c r="AJ2984">
        <v>86.195562574173906</v>
      </c>
      <c r="AK2984">
        <v>58.397585770332903</v>
      </c>
      <c r="AL2984">
        <v>81.4701180168029</v>
      </c>
      <c r="AM2984">
        <v>90.1441889171914</v>
      </c>
      <c r="AN2984">
        <v>0.99999999095112801</v>
      </c>
    </row>
    <row r="2985" spans="1:40" x14ac:dyDescent="0.25">
      <c r="A2985" t="str">
        <f>"20190303161934199"</f>
        <v>20190303161934199</v>
      </c>
      <c r="B2985" t="str">
        <f>"1551601174185354"</f>
        <v>1551601174185354</v>
      </c>
      <c r="C2985" t="s">
        <v>40</v>
      </c>
      <c r="D2985">
        <v>4.5791890000000004</v>
      </c>
      <c r="E2985">
        <v>0.52681679999999997</v>
      </c>
      <c r="F2985" t="s">
        <v>56</v>
      </c>
      <c r="G2985">
        <v>-297.63220000000001</v>
      </c>
      <c r="H2985" s="1">
        <v>3.2155669999999999E-6</v>
      </c>
      <c r="I2985">
        <v>288.5514</v>
      </c>
      <c r="J2985">
        <v>-241.5018</v>
      </c>
      <c r="K2985">
        <v>1.1224730000000001</v>
      </c>
      <c r="L2985">
        <v>283.71050000000002</v>
      </c>
      <c r="M2985">
        <v>-0.99973869999999998</v>
      </c>
      <c r="N2985">
        <v>-1.419017E-2</v>
      </c>
      <c r="O2985">
        <v>1.7926109999999999E-2</v>
      </c>
      <c r="P2985">
        <v>-0.99088589999999999</v>
      </c>
      <c r="Q2985">
        <v>0.1336224</v>
      </c>
      <c r="R2985">
        <v>1.704338E-2</v>
      </c>
      <c r="S2985">
        <v>-3.0316160000000001</v>
      </c>
      <c r="T2985">
        <v>-6.0400839999999997E-2</v>
      </c>
      <c r="U2985">
        <v>0.26062010000000002</v>
      </c>
      <c r="V2985">
        <v>-1.0208610000000001E-3</v>
      </c>
      <c r="W2985">
        <v>0.1476703</v>
      </c>
      <c r="X2985">
        <v>0.98903609999999997</v>
      </c>
      <c r="Y2985">
        <v>6.7753069999999999E-2</v>
      </c>
      <c r="Z2985">
        <v>1.052933E-3</v>
      </c>
      <c r="AA2985">
        <v>0.99770159999999997</v>
      </c>
      <c r="AB2985">
        <v>22</v>
      </c>
      <c r="AC2985">
        <v>-56.130400000000002</v>
      </c>
      <c r="AD2985">
        <v>-1.1224697844329901</v>
      </c>
      <c r="AE2985">
        <v>4.8408999999999702</v>
      </c>
      <c r="AF2985">
        <v>3.8322997960330301</v>
      </c>
      <c r="AG2985">
        <v>-1.1224697844329901</v>
      </c>
      <c r="AH2985">
        <v>56.185863150881502</v>
      </c>
      <c r="AI2985">
        <v>91.141838940300602</v>
      </c>
      <c r="AJ2985">
        <v>86.098039035912095</v>
      </c>
      <c r="AK2985">
        <v>56.3275925116032</v>
      </c>
      <c r="AL2985">
        <v>81.5080587749421</v>
      </c>
      <c r="AM2985">
        <v>90.059139404514696</v>
      </c>
      <c r="AN2985">
        <v>0.99999998338123997</v>
      </c>
    </row>
    <row r="2986" spans="1:40" x14ac:dyDescent="0.25">
      <c r="A2986" t="str">
        <f>"20190303161934212"</f>
        <v>20190303161934212</v>
      </c>
      <c r="B2986" t="str">
        <f>"1551601174205850"</f>
        <v>1551601174205850</v>
      </c>
      <c r="C2986" t="s">
        <v>40</v>
      </c>
      <c r="D2986">
        <v>4.4766219999999999</v>
      </c>
      <c r="E2986">
        <v>0.52701430000000005</v>
      </c>
      <c r="F2986" t="s">
        <v>56</v>
      </c>
      <c r="G2986">
        <v>-295.04239999999999</v>
      </c>
      <c r="H2986" s="1">
        <v>2.772572E-6</v>
      </c>
      <c r="I2986">
        <v>288.3639</v>
      </c>
      <c r="J2986">
        <v>-241.63759999999999</v>
      </c>
      <c r="K2986">
        <v>1.122474</v>
      </c>
      <c r="L2986">
        <v>283.71199999999999</v>
      </c>
      <c r="M2986">
        <v>-0.99975340000000001</v>
      </c>
      <c r="N2986">
        <v>-1.4205580000000001E-2</v>
      </c>
      <c r="O2986">
        <v>1.7070640000000002E-2</v>
      </c>
      <c r="P2986">
        <v>-0.99093969999999998</v>
      </c>
      <c r="Q2986">
        <v>0.13326550000000001</v>
      </c>
      <c r="R2986">
        <v>1.6708509999999999E-2</v>
      </c>
      <c r="S2986">
        <v>-3.031631</v>
      </c>
      <c r="T2986">
        <v>-6.3557619999999995E-2</v>
      </c>
      <c r="U2986">
        <v>0.26348880000000002</v>
      </c>
      <c r="V2986">
        <v>-5.0777649999999999E-4</v>
      </c>
      <c r="W2986">
        <v>0.14733019999999999</v>
      </c>
      <c r="X2986">
        <v>0.98908720000000006</v>
      </c>
      <c r="Y2986">
        <v>6.95408E-2</v>
      </c>
      <c r="Z2986">
        <v>1.1074909999999999E-3</v>
      </c>
      <c r="AA2986">
        <v>0.99757850000000003</v>
      </c>
      <c r="AB2986">
        <v>22</v>
      </c>
      <c r="AC2986">
        <v>-53.404800000000002</v>
      </c>
      <c r="AD2986">
        <v>-1.122471227428</v>
      </c>
      <c r="AE2986">
        <v>4.6519000000000101</v>
      </c>
      <c r="AF2986">
        <v>3.7378371266078698</v>
      </c>
      <c r="AG2986">
        <v>-1.122471227428</v>
      </c>
      <c r="AH2986">
        <v>53.452999758652602</v>
      </c>
      <c r="AI2986">
        <v>91.200060168027093</v>
      </c>
      <c r="AJ2986">
        <v>85.999958117361004</v>
      </c>
      <c r="AK2986">
        <v>53.595284785510401</v>
      </c>
      <c r="AL2986">
        <v>81.527760431754501</v>
      </c>
      <c r="AM2986">
        <v>90.029414441749907</v>
      </c>
      <c r="AN2986">
        <v>0.99999996743642605</v>
      </c>
    </row>
    <row r="2987" spans="1:40" x14ac:dyDescent="0.25">
      <c r="A2987" t="str">
        <f>"20190303161934225"</f>
        <v>20190303161934225</v>
      </c>
      <c r="B2987" t="str">
        <f>"1551601174215609"</f>
        <v>1551601174215609</v>
      </c>
      <c r="C2987" t="s">
        <v>40</v>
      </c>
      <c r="D2987">
        <v>4.53695</v>
      </c>
      <c r="E2987">
        <v>0.52714249999999996</v>
      </c>
      <c r="F2987" t="s">
        <v>56</v>
      </c>
      <c r="G2987">
        <v>-294.51819999999998</v>
      </c>
      <c r="H2987" s="1">
        <v>2.6835359999999902E-6</v>
      </c>
      <c r="I2987">
        <v>288.31869999999998</v>
      </c>
      <c r="J2987">
        <v>-241.77209999999999</v>
      </c>
      <c r="K2987">
        <v>1.1224769999999999</v>
      </c>
      <c r="L2987">
        <v>283.7133</v>
      </c>
      <c r="M2987">
        <v>-0.99976739999999997</v>
      </c>
      <c r="N2987">
        <v>-1.4219600000000001E-2</v>
      </c>
      <c r="O2987">
        <v>1.622235E-2</v>
      </c>
      <c r="P2987">
        <v>-0.99099269999999995</v>
      </c>
      <c r="Q2987">
        <v>0.13291720000000001</v>
      </c>
      <c r="R2987">
        <v>1.6333670000000002E-2</v>
      </c>
      <c r="S2987">
        <v>-3.0316160000000001</v>
      </c>
      <c r="T2987">
        <v>-6.4350610000000003E-2</v>
      </c>
      <c r="U2987">
        <v>0.26409909999999998</v>
      </c>
      <c r="V2987" s="1">
        <v>-4.1580559999999997E-5</v>
      </c>
      <c r="W2987">
        <v>0.14699770000000001</v>
      </c>
      <c r="X2987">
        <v>0.98913680000000004</v>
      </c>
      <c r="Y2987">
        <v>7.0586049999999997E-2</v>
      </c>
      <c r="Z2987">
        <v>1.1372769999999999E-3</v>
      </c>
      <c r="AA2987">
        <v>0.99750510000000003</v>
      </c>
      <c r="AB2987">
        <v>22</v>
      </c>
      <c r="AC2987">
        <v>-52.746099999999899</v>
      </c>
      <c r="AD2987">
        <v>-1.1224743164640001</v>
      </c>
      <c r="AE2987">
        <v>4.6053999999999702</v>
      </c>
      <c r="AF2987">
        <v>3.7473575052825701</v>
      </c>
      <c r="AG2987">
        <v>-1.1224743164640001</v>
      </c>
      <c r="AH2987">
        <v>52.790149523562</v>
      </c>
      <c r="AI2987">
        <v>91.215037232011795</v>
      </c>
      <c r="AJ2987">
        <v>85.939617141080603</v>
      </c>
      <c r="AK2987">
        <v>52.934889473612301</v>
      </c>
      <c r="AL2987">
        <v>81.547020984956802</v>
      </c>
      <c r="AM2987">
        <v>90.002408555213293</v>
      </c>
      <c r="AN2987">
        <v>0.99999996732423602</v>
      </c>
    </row>
    <row r="2988" spans="1:40" x14ac:dyDescent="0.25">
      <c r="A2988" t="str">
        <f>"20190303161934243"</f>
        <v>20190303161934243</v>
      </c>
      <c r="B2988" t="str">
        <f>"1551601174236105"</f>
        <v>1551601174236105</v>
      </c>
      <c r="C2988" t="s">
        <v>40</v>
      </c>
      <c r="D2988">
        <v>4.5592899999999998</v>
      </c>
      <c r="E2988">
        <v>0.52748419999999996</v>
      </c>
      <c r="F2988" t="s">
        <v>56</v>
      </c>
      <c r="G2988">
        <v>-293.68419999999998</v>
      </c>
      <c r="H2988" s="1">
        <v>2.5437880000000002E-6</v>
      </c>
      <c r="I2988">
        <v>288.2251</v>
      </c>
      <c r="J2988">
        <v>-241.94980000000001</v>
      </c>
      <c r="K2988">
        <v>1.1224829999999999</v>
      </c>
      <c r="L2988">
        <v>283.7149</v>
      </c>
      <c r="M2988">
        <v>-0.99978469999999997</v>
      </c>
      <c r="N2988">
        <v>-1.423546E-2</v>
      </c>
      <c r="O2988">
        <v>1.510273E-2</v>
      </c>
      <c r="P2988">
        <v>-0.9910253</v>
      </c>
      <c r="Q2988">
        <v>0.13265669999999999</v>
      </c>
      <c r="R2988">
        <v>1.647214E-2</v>
      </c>
      <c r="S2988">
        <v>-3.0317229999999999</v>
      </c>
      <c r="T2988">
        <v>-6.5553669999999994E-2</v>
      </c>
      <c r="U2988">
        <v>0.26348880000000002</v>
      </c>
      <c r="V2988">
        <v>1.2079619999999999E-3</v>
      </c>
      <c r="W2988">
        <v>0.14675569999999999</v>
      </c>
      <c r="X2988">
        <v>0.98917200000000005</v>
      </c>
      <c r="Y2988">
        <v>7.1499599999999996E-2</v>
      </c>
      <c r="Z2988">
        <v>1.170244E-3</v>
      </c>
      <c r="AA2988">
        <v>0.99743990000000005</v>
      </c>
      <c r="AB2988">
        <v>22</v>
      </c>
      <c r="AC2988">
        <v>-51.734399999999901</v>
      </c>
      <c r="AD2988">
        <v>-1.1224804562120001</v>
      </c>
      <c r="AE2988">
        <v>4.5101999999999904</v>
      </c>
      <c r="AF2988">
        <v>3.7265346462300801</v>
      </c>
      <c r="AG2988">
        <v>-1.1224804562120001</v>
      </c>
      <c r="AH2988">
        <v>51.772433080511099</v>
      </c>
      <c r="AI2988">
        <v>91.238833742647401</v>
      </c>
      <c r="AJ2988">
        <v>85.882999943263002</v>
      </c>
      <c r="AK2988">
        <v>51.918511630440001</v>
      </c>
      <c r="AL2988">
        <v>81.561038611445994</v>
      </c>
      <c r="AM2988">
        <v>89.930031288787404</v>
      </c>
      <c r="AN2988">
        <v>0.99999997011934105</v>
      </c>
    </row>
    <row r="2989" spans="1:40" x14ac:dyDescent="0.25">
      <c r="A2989" t="str">
        <f>"20190303161934267"</f>
        <v>20190303161934267</v>
      </c>
      <c r="B2989" t="str">
        <f>"1551601174255625"</f>
        <v>1551601174255625</v>
      </c>
      <c r="C2989" t="s">
        <v>40</v>
      </c>
      <c r="D2989">
        <v>4.5270760000000001</v>
      </c>
      <c r="E2989">
        <v>0.52776040000000002</v>
      </c>
      <c r="F2989" t="s">
        <v>56</v>
      </c>
      <c r="G2989">
        <v>-293.47140000000002</v>
      </c>
      <c r="H2989" s="1">
        <v>2.5037249999999999E-6</v>
      </c>
      <c r="I2989">
        <v>288.25150000000002</v>
      </c>
      <c r="J2989">
        <v>-242.1739</v>
      </c>
      <c r="K2989">
        <v>1.1224829999999999</v>
      </c>
      <c r="L2989">
        <v>283.71660000000003</v>
      </c>
      <c r="M2989">
        <v>-0.99980460000000004</v>
      </c>
      <c r="N2989">
        <v>-1.4252249999999999E-2</v>
      </c>
      <c r="O2989">
        <v>1.369798E-2</v>
      </c>
      <c r="P2989">
        <v>-0.99112250000000002</v>
      </c>
      <c r="Q2989">
        <v>0.13198950000000001</v>
      </c>
      <c r="R2989">
        <v>1.5967309999999998E-2</v>
      </c>
      <c r="S2989">
        <v>-3.0315699999999999</v>
      </c>
      <c r="T2989">
        <v>-6.6047549999999997E-2</v>
      </c>
      <c r="U2989">
        <v>0.26693729999999999</v>
      </c>
      <c r="V2989">
        <v>2.0983210000000002E-3</v>
      </c>
      <c r="W2989">
        <v>0.14610809999999999</v>
      </c>
      <c r="X2989">
        <v>0.98926639999999999</v>
      </c>
      <c r="Y2989">
        <v>7.4029780000000003E-2</v>
      </c>
      <c r="Z2989">
        <v>1.230587E-3</v>
      </c>
      <c r="AA2989">
        <v>0.99725529999999996</v>
      </c>
      <c r="AB2989">
        <v>22</v>
      </c>
      <c r="AC2989">
        <v>-51.297499999999999</v>
      </c>
      <c r="AD2989">
        <v>-1.1224804962749999</v>
      </c>
      <c r="AE2989">
        <v>4.5348999999999897</v>
      </c>
      <c r="AF2989">
        <v>3.8299113478335798</v>
      </c>
      <c r="AG2989">
        <v>-1.1224804962749999</v>
      </c>
      <c r="AH2989">
        <v>51.330424438954097</v>
      </c>
      <c r="AI2989">
        <v>91.249258254005397</v>
      </c>
      <c r="AJ2989">
        <v>85.732902973313998</v>
      </c>
      <c r="AK2989">
        <v>51.485344094023098</v>
      </c>
      <c r="AL2989">
        <v>81.598547890167296</v>
      </c>
      <c r="AM2989">
        <v>89.878470797081206</v>
      </c>
      <c r="AN2989">
        <v>0.99999999500279402</v>
      </c>
    </row>
    <row r="2990" spans="1:40" x14ac:dyDescent="0.25">
      <c r="A2990" t="str">
        <f>"20190303161934289"</f>
        <v>20190303161934289</v>
      </c>
      <c r="B2990" t="str">
        <f>"1551601174285881"</f>
        <v>1551601174285881</v>
      </c>
      <c r="C2990" t="s">
        <v>40</v>
      </c>
      <c r="D2990">
        <v>4.539174</v>
      </c>
      <c r="E2990">
        <v>0.52841680000000002</v>
      </c>
      <c r="F2990" t="s">
        <v>56</v>
      </c>
      <c r="G2990">
        <v>-292.35809999999998</v>
      </c>
      <c r="H2990" s="1">
        <v>2.316202E-6</v>
      </c>
      <c r="I2990">
        <v>288.13749999999999</v>
      </c>
      <c r="J2990">
        <v>-242.39930000000001</v>
      </c>
      <c r="K2990">
        <v>1.1224670000000001</v>
      </c>
      <c r="L2990">
        <v>283.71809999999999</v>
      </c>
      <c r="M2990">
        <v>-0.99982260000000001</v>
      </c>
      <c r="N2990">
        <v>-1.426584E-2</v>
      </c>
      <c r="O2990">
        <v>1.230303E-2</v>
      </c>
      <c r="P2990">
        <v>-0.99114360000000001</v>
      </c>
      <c r="Q2990">
        <v>0.1318927</v>
      </c>
      <c r="R2990">
        <v>1.545293E-2</v>
      </c>
      <c r="S2990">
        <v>-3.0315859999999999</v>
      </c>
      <c r="T2990">
        <v>-6.7808149999999998E-2</v>
      </c>
      <c r="U2990">
        <v>0.2670593</v>
      </c>
      <c r="V2990">
        <v>2.971614E-3</v>
      </c>
      <c r="W2990">
        <v>0.1460265</v>
      </c>
      <c r="X2990">
        <v>0.98927619999999905</v>
      </c>
      <c r="Y2990">
        <v>7.5458639999999993E-2</v>
      </c>
      <c r="Z2990">
        <v>1.282208E-3</v>
      </c>
      <c r="AA2990">
        <v>0.99714809999999998</v>
      </c>
      <c r="AB2990">
        <v>22</v>
      </c>
      <c r="AC2990">
        <v>-49.958799999999897</v>
      </c>
      <c r="AD2990">
        <v>-1.1224646837979999</v>
      </c>
      <c r="AE2990">
        <v>4.4193999999999898</v>
      </c>
      <c r="AF2990">
        <v>3.8024537301525099</v>
      </c>
      <c r="AG2990">
        <v>-1.1224646837979999</v>
      </c>
      <c r="AH2990">
        <v>49.984359328302801</v>
      </c>
      <c r="AI2990">
        <v>91.282731011348403</v>
      </c>
      <c r="AJ2990">
        <v>85.649724432496896</v>
      </c>
      <c r="AK2990">
        <v>50.1413477959779</v>
      </c>
      <c r="AL2990">
        <v>81.603273825541095</v>
      </c>
      <c r="AM2990">
        <v>89.827893940581802</v>
      </c>
      <c r="AN2990">
        <v>0.999999984539227</v>
      </c>
    </row>
    <row r="2991" spans="1:40" x14ac:dyDescent="0.25">
      <c r="A2991" t="str">
        <f>"20190303161934310"</f>
        <v>20190303161934310</v>
      </c>
      <c r="B2991" t="str">
        <f>"1551601174305401"</f>
        <v>1551601174305401</v>
      </c>
      <c r="C2991" t="s">
        <v>40</v>
      </c>
      <c r="D2991">
        <v>4.4724139999999997</v>
      </c>
      <c r="E2991">
        <v>0.52876820000000002</v>
      </c>
      <c r="F2991" t="s">
        <v>56</v>
      </c>
      <c r="G2991">
        <v>-294.06240000000003</v>
      </c>
      <c r="H2991" s="1">
        <v>2.6016120000000001E-6</v>
      </c>
      <c r="I2991">
        <v>288.33089999999999</v>
      </c>
      <c r="J2991">
        <v>-242.60509999999999</v>
      </c>
      <c r="K2991">
        <v>1.12246</v>
      </c>
      <c r="L2991">
        <v>283.71910000000003</v>
      </c>
      <c r="M2991">
        <v>-0.99983710000000003</v>
      </c>
      <c r="N2991">
        <v>-1.427581E-2</v>
      </c>
      <c r="O2991">
        <v>1.1048229999999999E-2</v>
      </c>
      <c r="P2991">
        <v>-0.99111079999999996</v>
      </c>
      <c r="Q2991">
        <v>0.13227829999999999</v>
      </c>
      <c r="R2991">
        <v>1.421327E-2</v>
      </c>
      <c r="S2991">
        <v>-3.031342</v>
      </c>
      <c r="T2991">
        <v>-6.5860749999999996E-2</v>
      </c>
      <c r="U2991">
        <v>0.27066040000000002</v>
      </c>
      <c r="V2991">
        <v>2.9813079999999998E-3</v>
      </c>
      <c r="W2991">
        <v>0.1464213</v>
      </c>
      <c r="X2991">
        <v>0.98921780000000004</v>
      </c>
      <c r="Y2991">
        <v>7.7892530000000001E-2</v>
      </c>
      <c r="Z2991">
        <v>1.319551E-3</v>
      </c>
      <c r="AA2991">
        <v>0.99696090000000004</v>
      </c>
      <c r="AB2991">
        <v>22</v>
      </c>
      <c r="AC2991">
        <v>-51.457299999999996</v>
      </c>
      <c r="AD2991">
        <v>-1.122457398388</v>
      </c>
      <c r="AE2991">
        <v>4.6117999999999597</v>
      </c>
      <c r="AF2991">
        <v>4.0410409680817097</v>
      </c>
      <c r="AG2991">
        <v>-1.122457398388</v>
      </c>
      <c r="AH2991">
        <v>51.480815574670103</v>
      </c>
      <c r="AI2991">
        <v>91.245216367935399</v>
      </c>
      <c r="AJ2991">
        <v>85.511710594535003</v>
      </c>
      <c r="AK2991">
        <v>51.651372633746199</v>
      </c>
      <c r="AL2991">
        <v>81.5804075564035</v>
      </c>
      <c r="AM2991">
        <v>89.827322305910997</v>
      </c>
      <c r="AN2991">
        <v>0.99999997056395995</v>
      </c>
    </row>
    <row r="2992" spans="1:40" x14ac:dyDescent="0.25">
      <c r="A2992" t="str">
        <f>"20190303161934322"</f>
        <v>20190303161934322</v>
      </c>
      <c r="B2992" t="str">
        <f>"1551601174316138"</f>
        <v>1551601174316138</v>
      </c>
      <c r="C2992" t="s">
        <v>40</v>
      </c>
      <c r="D2992">
        <v>4.4596929999999997</v>
      </c>
      <c r="E2992">
        <v>0.52903080000000002</v>
      </c>
      <c r="F2992" t="s">
        <v>56</v>
      </c>
      <c r="G2992">
        <v>-296.17270000000002</v>
      </c>
      <c r="H2992" s="1">
        <v>2.9626050000000002E-6</v>
      </c>
      <c r="I2992">
        <v>288.48349999999999</v>
      </c>
      <c r="J2992">
        <v>-242.7329</v>
      </c>
      <c r="K2992">
        <v>1.1224499999999999</v>
      </c>
      <c r="L2992">
        <v>283.71969999999999</v>
      </c>
      <c r="M2992">
        <v>-0.99984519999999999</v>
      </c>
      <c r="N2992">
        <v>-1.428107E-2</v>
      </c>
      <c r="O2992">
        <v>1.027932E-2</v>
      </c>
      <c r="P2992">
        <v>-0.99107129999999999</v>
      </c>
      <c r="Q2992">
        <v>0.13264699999999999</v>
      </c>
      <c r="R2992">
        <v>1.350868E-2</v>
      </c>
      <c r="S2992">
        <v>-3.0315089999999998</v>
      </c>
      <c r="T2992">
        <v>-6.3522339999999997E-2</v>
      </c>
      <c r="U2992">
        <v>0.2696228</v>
      </c>
      <c r="V2992">
        <v>3.043001E-3</v>
      </c>
      <c r="W2992">
        <v>0.14679439999999999</v>
      </c>
      <c r="X2992">
        <v>0.98916230000000005</v>
      </c>
      <c r="Y2992">
        <v>7.8317250000000005E-2</v>
      </c>
      <c r="Z2992">
        <v>1.3108989999999999E-3</v>
      </c>
      <c r="AA2992">
        <v>0.99692760000000002</v>
      </c>
      <c r="AB2992">
        <v>22</v>
      </c>
      <c r="AC2992">
        <v>-53.439799999999998</v>
      </c>
      <c r="AD2992">
        <v>-1.122447037395</v>
      </c>
      <c r="AE2992">
        <v>4.7637999999999998</v>
      </c>
      <c r="AF2992">
        <v>4.2123237562943299</v>
      </c>
      <c r="AG2992">
        <v>-1.122447037395</v>
      </c>
      <c r="AH2992">
        <v>53.462549711889103</v>
      </c>
      <c r="AI2992">
        <v>91.199034166211007</v>
      </c>
      <c r="AJ2992">
        <v>85.4949622691841</v>
      </c>
      <c r="AK2992">
        <v>53.639983039481102</v>
      </c>
      <c r="AL2992">
        <v>81.558796865377403</v>
      </c>
      <c r="AM2992">
        <v>89.823739173698002</v>
      </c>
      <c r="AN2992">
        <v>0.99999995573386702</v>
      </c>
    </row>
    <row r="2993" spans="1:40" x14ac:dyDescent="0.25">
      <c r="A2993" t="str">
        <f>"20190303161934335"</f>
        <v>20190303161934335</v>
      </c>
      <c r="B2993" t="str">
        <f>"1551601174325898"</f>
        <v>1551601174325898</v>
      </c>
      <c r="C2993" t="s">
        <v>40</v>
      </c>
      <c r="D2993">
        <v>4.5078889999999996</v>
      </c>
      <c r="E2993">
        <v>0.52917899999999995</v>
      </c>
      <c r="F2993" t="s">
        <v>56</v>
      </c>
      <c r="G2993">
        <v>-298.22019999999998</v>
      </c>
      <c r="H2993" s="1">
        <v>3.3112289999999999E-6</v>
      </c>
      <c r="I2993">
        <v>288.65019999999998</v>
      </c>
      <c r="J2993">
        <v>-242.85550000000001</v>
      </c>
      <c r="K2993">
        <v>1.1224419999999999</v>
      </c>
      <c r="L2993">
        <v>283.7201</v>
      </c>
      <c r="M2993">
        <v>-0.99985230000000003</v>
      </c>
      <c r="N2993">
        <v>-1.428521E-2</v>
      </c>
      <c r="O2993">
        <v>9.5582849999999997E-3</v>
      </c>
      <c r="P2993">
        <v>-0.99108589999999996</v>
      </c>
      <c r="Q2993">
        <v>0.13262950000000001</v>
      </c>
      <c r="R2993">
        <v>1.257964E-2</v>
      </c>
      <c r="S2993">
        <v>-3.031555</v>
      </c>
      <c r="T2993">
        <v>-6.1324950000000003E-2</v>
      </c>
      <c r="U2993">
        <v>0.26937870000000003</v>
      </c>
      <c r="V2993">
        <v>2.8339200000000002E-3</v>
      </c>
      <c r="W2993">
        <v>0.14678069999999999</v>
      </c>
      <c r="X2993">
        <v>0.98916499999999996</v>
      </c>
      <c r="Y2993">
        <v>7.8956470000000001E-2</v>
      </c>
      <c r="Z2993">
        <v>1.3055009999999999E-3</v>
      </c>
      <c r="AA2993">
        <v>0.99687720000000002</v>
      </c>
      <c r="AB2993">
        <v>22</v>
      </c>
      <c r="AC2993">
        <v>-55.3646999999999</v>
      </c>
      <c r="AD2993">
        <v>-1.1224386887709901</v>
      </c>
      <c r="AE2993">
        <v>4.9300999999999799</v>
      </c>
      <c r="AF2993">
        <v>4.3988353973529204</v>
      </c>
      <c r="AG2993">
        <v>-1.1224386887709901</v>
      </c>
      <c r="AH2993">
        <v>55.3867126885918</v>
      </c>
      <c r="AI2993">
        <v>91.157324703801194</v>
      </c>
      <c r="AJ2993">
        <v>85.459077171423601</v>
      </c>
      <c r="AK2993">
        <v>55.572453283183997</v>
      </c>
      <c r="AL2993">
        <v>81.559590799057901</v>
      </c>
      <c r="AM2993">
        <v>89.835850225967604</v>
      </c>
      <c r="AN2993">
        <v>1.0000000011100201</v>
      </c>
    </row>
    <row r="2994" spans="1:40" x14ac:dyDescent="0.25">
      <c r="A2994" t="str">
        <f>"20190303161934358"</f>
        <v>20190303161934358</v>
      </c>
      <c r="B2994" t="str">
        <f>"1551601174345418"</f>
        <v>1551601174345418</v>
      </c>
      <c r="C2994" t="s">
        <v>40</v>
      </c>
      <c r="D2994">
        <v>4.54847</v>
      </c>
      <c r="E2994">
        <v>0.5258813</v>
      </c>
      <c r="F2994" t="s">
        <v>56</v>
      </c>
      <c r="G2994">
        <v>-297.17410000000001</v>
      </c>
      <c r="H2994" s="1">
        <v>3.1377399999999999E-6</v>
      </c>
      <c r="I2994">
        <v>288.51220000000001</v>
      </c>
      <c r="J2994">
        <v>-243.066</v>
      </c>
      <c r="K2994">
        <v>1.1224130000000001</v>
      </c>
      <c r="L2994">
        <v>283.72059999999999</v>
      </c>
      <c r="M2994">
        <v>-0.9998631</v>
      </c>
      <c r="N2994">
        <v>-1.429103E-2</v>
      </c>
      <c r="O2994">
        <v>8.3566560000000005E-3</v>
      </c>
      <c r="P2994">
        <v>-0.99115410000000004</v>
      </c>
      <c r="Q2994">
        <v>0.13228409999999999</v>
      </c>
      <c r="R2994">
        <v>1.071159E-2</v>
      </c>
      <c r="S2994">
        <v>-3.0319669999999999</v>
      </c>
      <c r="T2994">
        <v>-6.2652470000000002E-2</v>
      </c>
      <c r="U2994">
        <v>0.26748660000000002</v>
      </c>
      <c r="V2994">
        <v>2.168971E-3</v>
      </c>
      <c r="W2994">
        <v>0.14644019999999999</v>
      </c>
      <c r="X2994">
        <v>0.98921720000000002</v>
      </c>
      <c r="Y2994">
        <v>7.9524139999999993E-2</v>
      </c>
      <c r="Z2994">
        <v>1.3363330000000001E-3</v>
      </c>
      <c r="AA2994">
        <v>0.9968321</v>
      </c>
      <c r="AB2994">
        <v>22</v>
      </c>
      <c r="AC2994">
        <v>-54.1081</v>
      </c>
      <c r="AD2994">
        <v>-1.1224098622599901</v>
      </c>
      <c r="AE2994">
        <v>4.7916000000000096</v>
      </c>
      <c r="AF2994">
        <v>4.3373718824632403</v>
      </c>
      <c r="AG2994">
        <v>-1.1224098622599901</v>
      </c>
      <c r="AH2994">
        <v>54.123147785951403</v>
      </c>
      <c r="AI2994">
        <v>91.184238277834197</v>
      </c>
      <c r="AJ2994">
        <v>85.418168576975305</v>
      </c>
      <c r="AK2994">
        <v>54.308265715318299</v>
      </c>
      <c r="AL2994">
        <v>81.579313563000895</v>
      </c>
      <c r="AM2994">
        <v>89.874372700922194</v>
      </c>
      <c r="AN2994">
        <v>1.00000005269353</v>
      </c>
    </row>
    <row r="2995" spans="1:40" x14ac:dyDescent="0.25">
      <c r="A2995" t="str">
        <f>"20190303161934377"</f>
        <v>20190303161934377</v>
      </c>
      <c r="B2995" t="str">
        <f>"1551601174365914"</f>
        <v>1551601174365914</v>
      </c>
      <c r="C2995" t="s">
        <v>40</v>
      </c>
      <c r="D2995">
        <v>4.504391</v>
      </c>
      <c r="E2995">
        <v>0.52096290000000001</v>
      </c>
      <c r="F2995" t="s">
        <v>42</v>
      </c>
      <c r="G2995">
        <v>-243.86660000000001</v>
      </c>
      <c r="H2995">
        <v>1.0352380000000001</v>
      </c>
      <c r="I2995">
        <v>283.78179999999998</v>
      </c>
      <c r="J2995">
        <v>-243.2629</v>
      </c>
      <c r="K2995">
        <v>1.122377</v>
      </c>
      <c r="L2995">
        <v>283.721</v>
      </c>
      <c r="M2995">
        <v>-0.99987139999999997</v>
      </c>
      <c r="N2995">
        <v>-1.42948999999999E-2</v>
      </c>
      <c r="O2995">
        <v>7.2891809999999996E-3</v>
      </c>
      <c r="P2995">
        <v>-0.99115710000000001</v>
      </c>
      <c r="Q2995">
        <v>0.1324292</v>
      </c>
      <c r="R2995">
        <v>8.3871280000000006E-3</v>
      </c>
      <c r="S2995">
        <v>-3.068848</v>
      </c>
      <c r="T2995">
        <v>-0.33437820000000001</v>
      </c>
      <c r="U2995">
        <v>0.2337341</v>
      </c>
      <c r="V2995">
        <v>9.1698430000000002E-4</v>
      </c>
      <c r="W2995">
        <v>0.14658640000000001</v>
      </c>
      <c r="X2995">
        <v>0.9891974</v>
      </c>
      <c r="Y2995">
        <v>6.8250190000000002E-2</v>
      </c>
      <c r="Z2995">
        <v>3.5052270000000001E-3</v>
      </c>
      <c r="AA2995">
        <v>0.9976621</v>
      </c>
      <c r="AB2995">
        <v>22</v>
      </c>
      <c r="AC2995">
        <v>-0.60370000000000301</v>
      </c>
      <c r="AD2995">
        <v>-8.7138999999999994E-2</v>
      </c>
      <c r="AE2995">
        <v>6.0799999999971897E-2</v>
      </c>
      <c r="AF2995">
        <v>5.5257750012353599E-2</v>
      </c>
      <c r="AG2995">
        <v>-8.7138999999999994E-2</v>
      </c>
      <c r="AH2995">
        <v>0.59191869448258505</v>
      </c>
      <c r="AI2995">
        <v>98.338871064870403</v>
      </c>
      <c r="AJ2995">
        <v>84.666689092719196</v>
      </c>
      <c r="AK2995">
        <v>0.60084470966747805</v>
      </c>
      <c r="AL2995">
        <v>81.570844708725701</v>
      </c>
      <c r="AM2995">
        <v>89.946886925480896</v>
      </c>
      <c r="AN2995">
        <v>0.99999995484596205</v>
      </c>
    </row>
    <row r="2996" spans="1:40" x14ac:dyDescent="0.25">
      <c r="A2996" t="str">
        <f>"20190303161934392"</f>
        <v>20190303161934392</v>
      </c>
      <c r="B2996" t="str">
        <f>"1551601174385434"</f>
        <v>1551601174385434</v>
      </c>
      <c r="C2996" t="s">
        <v>40</v>
      </c>
      <c r="D2996">
        <v>4.538983</v>
      </c>
      <c r="E2996">
        <v>0.51965139999999999</v>
      </c>
      <c r="F2996" t="s">
        <v>42</v>
      </c>
      <c r="G2996">
        <v>-244.0489</v>
      </c>
      <c r="H2996">
        <v>1.007827</v>
      </c>
      <c r="I2996">
        <v>283.76889999999997</v>
      </c>
      <c r="J2996">
        <v>-243.40110000000001</v>
      </c>
      <c r="K2996">
        <v>1.1223459999999901</v>
      </c>
      <c r="L2996">
        <v>283.72120000000001</v>
      </c>
      <c r="M2996">
        <v>-0.99987630000000005</v>
      </c>
      <c r="N2996">
        <v>-1.429573E-2</v>
      </c>
      <c r="O2996">
        <v>6.5758539999999999E-3</v>
      </c>
      <c r="P2996">
        <v>-0.99113099999999998</v>
      </c>
      <c r="Q2996">
        <v>0.13270650000000001</v>
      </c>
      <c r="R2996">
        <v>6.9870840000000002E-3</v>
      </c>
      <c r="S2996">
        <v>-3.085251</v>
      </c>
      <c r="T2996">
        <v>-0.44969019999999998</v>
      </c>
      <c r="U2996">
        <v>0.1877441</v>
      </c>
      <c r="V2996">
        <v>2.360865E-4</v>
      </c>
      <c r="W2996">
        <v>0.14686279999999999</v>
      </c>
      <c r="X2996">
        <v>0.98915679999999995</v>
      </c>
      <c r="Y2996">
        <v>5.3609950000000003E-2</v>
      </c>
      <c r="Z2996">
        <v>3.4096439999999999E-3</v>
      </c>
      <c r="AA2996">
        <v>0.99855609999999995</v>
      </c>
      <c r="AB2996">
        <v>22</v>
      </c>
      <c r="AC2996">
        <v>-0.64779999999998905</v>
      </c>
      <c r="AD2996">
        <v>-0.114518999999999</v>
      </c>
      <c r="AE2996">
        <v>4.7699999999963397E-2</v>
      </c>
      <c r="AF2996">
        <v>4.2129188025651902E-2</v>
      </c>
      <c r="AG2996">
        <v>-0.114518999999999</v>
      </c>
      <c r="AH2996">
        <v>0.62856201184748695</v>
      </c>
      <c r="AI2996">
        <v>100.30296116584201</v>
      </c>
      <c r="AJ2996">
        <v>86.165501918679595</v>
      </c>
      <c r="AK2996">
        <v>0.64029655050020395</v>
      </c>
      <c r="AL2996">
        <v>81.554834899273601</v>
      </c>
      <c r="AM2996">
        <v>89.986324959002204</v>
      </c>
      <c r="AN2996">
        <v>0.99999995637345596</v>
      </c>
    </row>
    <row r="2997" spans="1:40" x14ac:dyDescent="0.25">
      <c r="A2997" t="str">
        <f>"20190303161934411"</f>
        <v>20190303161934411</v>
      </c>
      <c r="B2997" t="str">
        <f>"1551601174405930"</f>
        <v>1551601174405930</v>
      </c>
      <c r="C2997" t="s">
        <v>40</v>
      </c>
      <c r="D2997">
        <v>4.5251340000000004</v>
      </c>
      <c r="E2997">
        <v>0.52052149999999997</v>
      </c>
      <c r="F2997" t="s">
        <v>42</v>
      </c>
      <c r="G2997">
        <v>-244.23519999999999</v>
      </c>
      <c r="H2997">
        <v>0.98944100000000001</v>
      </c>
      <c r="I2997">
        <v>283.7681</v>
      </c>
      <c r="J2997">
        <v>-243.60050000000001</v>
      </c>
      <c r="K2997">
        <v>1.1222970000000001</v>
      </c>
      <c r="L2997">
        <v>283.72129999999999</v>
      </c>
      <c r="M2997">
        <v>-0.99988220000000005</v>
      </c>
      <c r="N2997">
        <v>-1.4292340000000001E-2</v>
      </c>
      <c r="O2997">
        <v>5.6045210000000003E-3</v>
      </c>
      <c r="P2997">
        <v>-0.99103399999999997</v>
      </c>
      <c r="Q2997">
        <v>0.13353280000000001</v>
      </c>
      <c r="R2997">
        <v>4.5736049999999997E-3</v>
      </c>
      <c r="S2997">
        <v>-3.091599</v>
      </c>
      <c r="T2997">
        <v>-0.4927359</v>
      </c>
      <c r="U2997">
        <v>0.17309569999999999</v>
      </c>
      <c r="V2997">
        <v>-1.1958260000000001E-3</v>
      </c>
      <c r="W2997">
        <v>0.14768199999999901</v>
      </c>
      <c r="X2997">
        <v>0.98903419999999997</v>
      </c>
      <c r="Y2997">
        <v>4.9680769999999999E-2</v>
      </c>
      <c r="Z2997">
        <v>3.4816019999999999E-3</v>
      </c>
      <c r="AA2997">
        <v>0.99875910000000001</v>
      </c>
      <c r="AB2997">
        <v>22</v>
      </c>
      <c r="AC2997">
        <v>-0.63469999999998095</v>
      </c>
      <c r="AD2997">
        <v>-0.132855999999999</v>
      </c>
      <c r="AE2997">
        <v>4.6800000000018799E-2</v>
      </c>
      <c r="AF2997">
        <v>4.1436000743411201E-2</v>
      </c>
      <c r="AG2997">
        <v>-0.132855999999999</v>
      </c>
      <c r="AH2997">
        <v>0.60843765558226903</v>
      </c>
      <c r="AI2997">
        <v>102.289941871197</v>
      </c>
      <c r="AJ2997">
        <v>86.104041538271204</v>
      </c>
      <c r="AK2997">
        <v>0.62415065458914298</v>
      </c>
      <c r="AL2997">
        <v>81.507381347005406</v>
      </c>
      <c r="AM2997">
        <v>90.069275409732597</v>
      </c>
      <c r="AN2997">
        <v>1.0000000259467301</v>
      </c>
    </row>
    <row r="2998" spans="1:40" x14ac:dyDescent="0.25">
      <c r="A2998" t="str">
        <f>"20190303161934434"</f>
        <v>20190303161934434</v>
      </c>
      <c r="B2998" t="str">
        <f>"1551601174425449"</f>
        <v>1551601174425449</v>
      </c>
      <c r="C2998" t="s">
        <v>40</v>
      </c>
      <c r="D2998">
        <v>4.5338479999999999</v>
      </c>
      <c r="E2998">
        <v>0.52083310000000005</v>
      </c>
      <c r="F2998" t="s">
        <v>42</v>
      </c>
      <c r="G2998">
        <v>-244.4288</v>
      </c>
      <c r="H2998">
        <v>0.98644200000000004</v>
      </c>
      <c r="I2998">
        <v>283.76769999999999</v>
      </c>
      <c r="J2998">
        <v>-243.81219999999999</v>
      </c>
      <c r="K2998">
        <v>1.1222319999999999</v>
      </c>
      <c r="L2998">
        <v>283.72129999999999</v>
      </c>
      <c r="M2998">
        <v>-0.99988719999999998</v>
      </c>
      <c r="N2998">
        <v>-1.4283229999999999E-2</v>
      </c>
      <c r="O2998">
        <v>4.6530870000000002E-3</v>
      </c>
      <c r="P2998">
        <v>-0.99105810000000005</v>
      </c>
      <c r="Q2998">
        <v>0.13341339999999999</v>
      </c>
      <c r="R2998">
        <v>2.2298610000000001E-3</v>
      </c>
      <c r="S2998">
        <v>-3.0947420000000001</v>
      </c>
      <c r="T2998">
        <v>-0.50776140000000003</v>
      </c>
      <c r="U2998">
        <v>0.17279050000000001</v>
      </c>
      <c r="V2998">
        <v>-2.5743860000000001E-3</v>
      </c>
      <c r="W2998">
        <v>0.14755179999999901</v>
      </c>
      <c r="X2998">
        <v>0.98905100000000001</v>
      </c>
      <c r="Y2998">
        <v>5.0420039999999999E-2</v>
      </c>
      <c r="Z2998">
        <v>3.776883E-3</v>
      </c>
      <c r="AA2998">
        <v>0.99872090000000002</v>
      </c>
      <c r="AB2998">
        <v>22</v>
      </c>
      <c r="AC2998">
        <v>-0.61660000000000503</v>
      </c>
      <c r="AD2998">
        <v>-0.13578999999999899</v>
      </c>
      <c r="AE2998">
        <v>4.6400000000005499E-2</v>
      </c>
      <c r="AF2998">
        <v>4.15274329783843E-2</v>
      </c>
      <c r="AG2998">
        <v>-0.13578999999999899</v>
      </c>
      <c r="AH2998">
        <v>0.58843186548821302</v>
      </c>
      <c r="AI2998">
        <v>102.96328568571499</v>
      </c>
      <c r="AJ2998">
        <v>85.9631549728321</v>
      </c>
      <c r="AK2998">
        <v>0.605322651246187</v>
      </c>
      <c r="AL2998">
        <v>81.514923845391195</v>
      </c>
      <c r="AM2998">
        <v>90.149133987560703</v>
      </c>
      <c r="AN2998">
        <v>1.0000000208737501</v>
      </c>
    </row>
    <row r="2999" spans="1:40" x14ac:dyDescent="0.25">
      <c r="A2999" t="str">
        <f>"20190303161934447"</f>
        <v>20190303161934447</v>
      </c>
      <c r="B2999" t="str">
        <f>"1551601174435209"</f>
        <v>1551601174435209</v>
      </c>
      <c r="C2999" t="s">
        <v>40</v>
      </c>
      <c r="D2999">
        <v>4.5978709999999996</v>
      </c>
      <c r="E2999">
        <v>0.52075590000000005</v>
      </c>
      <c r="F2999" t="s">
        <v>42</v>
      </c>
      <c r="G2999">
        <v>-244.6234</v>
      </c>
      <c r="H2999">
        <v>0.98617589999999999</v>
      </c>
      <c r="I2999">
        <v>283.7654</v>
      </c>
      <c r="J2999">
        <v>-243.9503</v>
      </c>
      <c r="K2999">
        <v>1.1221950000000001</v>
      </c>
      <c r="L2999">
        <v>283.72129999999999</v>
      </c>
      <c r="M2999">
        <v>-0.99988980000000005</v>
      </c>
      <c r="N2999">
        <v>-1.427517E-2</v>
      </c>
      <c r="O2999">
        <v>4.0744539999999999E-3</v>
      </c>
      <c r="P2999">
        <v>-0.99113499999999999</v>
      </c>
      <c r="Q2999">
        <v>0.13285749999999999</v>
      </c>
      <c r="R2999">
        <v>8.0915679999999995E-4</v>
      </c>
      <c r="S2999">
        <v>-3.0965880000000001</v>
      </c>
      <c r="T2999">
        <v>-0.5193932</v>
      </c>
      <c r="U2999">
        <v>0.1681213</v>
      </c>
      <c r="V2999">
        <v>-3.4070770000000001E-3</v>
      </c>
      <c r="W2999">
        <v>0.1469887</v>
      </c>
      <c r="X2999">
        <v>0.98913229999999996</v>
      </c>
      <c r="Y2999">
        <v>4.9442550000000002E-2</v>
      </c>
      <c r="Z2999">
        <v>3.850217E-3</v>
      </c>
      <c r="AA2999">
        <v>0.99876949999999998</v>
      </c>
      <c r="AB2999">
        <v>22</v>
      </c>
      <c r="AC2999">
        <v>-0.67310000000000503</v>
      </c>
      <c r="AD2999">
        <v>-0.1360191</v>
      </c>
      <c r="AE2999">
        <v>4.4100000000014399E-2</v>
      </c>
      <c r="AF2999">
        <v>3.9740925063023597E-2</v>
      </c>
      <c r="AG2999">
        <v>-0.1360191</v>
      </c>
      <c r="AH2999">
        <v>0.64696762328715796</v>
      </c>
      <c r="AI2999">
        <v>101.851297608316</v>
      </c>
      <c r="AJ2999">
        <v>86.484940181287698</v>
      </c>
      <c r="AK2999">
        <v>0.66230479559754796</v>
      </c>
      <c r="AL2999">
        <v>81.547542558311704</v>
      </c>
      <c r="AM2999">
        <v>90.197355157185697</v>
      </c>
      <c r="AN2999">
        <v>0.99999999650233096</v>
      </c>
    </row>
    <row r="3000" spans="1:40" x14ac:dyDescent="0.25">
      <c r="A3000" t="str">
        <f>"20190303161934467"</f>
        <v>20190303161934467</v>
      </c>
      <c r="B3000" t="str">
        <f>"1551601174455706"</f>
        <v>1551601174455706</v>
      </c>
      <c r="C3000" t="s">
        <v>40</v>
      </c>
      <c r="D3000">
        <v>4.576695</v>
      </c>
      <c r="E3000">
        <v>0.52072640000000003</v>
      </c>
      <c r="F3000" t="s">
        <v>42</v>
      </c>
      <c r="G3000">
        <v>-244.81270000000001</v>
      </c>
      <c r="H3000">
        <v>0.97561489999999995</v>
      </c>
      <c r="I3000">
        <v>283.767</v>
      </c>
      <c r="J3000">
        <v>-244.136</v>
      </c>
      <c r="K3000">
        <v>1.1221380000000001</v>
      </c>
      <c r="L3000">
        <v>283.72109999999998</v>
      </c>
      <c r="M3000">
        <v>-0.99989269999999997</v>
      </c>
      <c r="N3000">
        <v>-1.426036E-2</v>
      </c>
      <c r="O3000">
        <v>3.3599070000000001E-3</v>
      </c>
      <c r="P3000">
        <v>-0.99114429999999998</v>
      </c>
      <c r="Q3000">
        <v>0.13278090000000001</v>
      </c>
      <c r="R3000">
        <v>-1.547791E-3</v>
      </c>
      <c r="S3000">
        <v>-3.0972900000000001</v>
      </c>
      <c r="T3000">
        <v>-0.52661599999999997</v>
      </c>
      <c r="U3000">
        <v>0.16363529999999901</v>
      </c>
      <c r="V3000">
        <v>-5.037181E-3</v>
      </c>
      <c r="W3000">
        <v>0.14689579999999999</v>
      </c>
      <c r="X3000">
        <v>0.98913910000000005</v>
      </c>
      <c r="Y3000">
        <v>4.8686470000000003E-2</v>
      </c>
      <c r="Z3000">
        <v>3.9375159999999899E-3</v>
      </c>
      <c r="AA3000">
        <v>0.99880639999999998</v>
      </c>
      <c r="AB3000">
        <v>22</v>
      </c>
      <c r="AC3000">
        <v>-0.67670000000001096</v>
      </c>
      <c r="AD3000">
        <v>-0.14652309999999899</v>
      </c>
      <c r="AE3000">
        <v>4.5900000000017302E-2</v>
      </c>
      <c r="AF3000">
        <v>4.1680674943678303E-2</v>
      </c>
      <c r="AG3000">
        <v>-0.14652309999999899</v>
      </c>
      <c r="AH3000">
        <v>0.64667107341560603</v>
      </c>
      <c r="AI3000">
        <v>102.740978300641</v>
      </c>
      <c r="AJ3000">
        <v>86.312146864553</v>
      </c>
      <c r="AK3000">
        <v>0.66437171424577002</v>
      </c>
      <c r="AL3000">
        <v>81.5529233887315</v>
      </c>
      <c r="AM3000">
        <v>90.291775663406995</v>
      </c>
      <c r="AN3000">
        <v>0.99999995419943699</v>
      </c>
    </row>
    <row r="3001" spans="1:40" x14ac:dyDescent="0.25">
      <c r="A3001" t="str">
        <f>"20190303161934490"</f>
        <v>20190303161934490</v>
      </c>
      <c r="B3001" t="str">
        <f>"1551601174485961"</f>
        <v>1551601174485961</v>
      </c>
      <c r="C3001" t="s">
        <v>40</v>
      </c>
      <c r="D3001">
        <v>4.5730959999999996</v>
      </c>
      <c r="E3001">
        <v>0.5210186</v>
      </c>
      <c r="F3001" t="s">
        <v>42</v>
      </c>
      <c r="G3001">
        <v>-245.0052</v>
      </c>
      <c r="H3001">
        <v>0.97230530000000004</v>
      </c>
      <c r="I3001">
        <v>283.76499999999999</v>
      </c>
      <c r="J3001">
        <v>-244.3674</v>
      </c>
      <c r="K3001">
        <v>1.122074</v>
      </c>
      <c r="L3001">
        <v>283.72089999999997</v>
      </c>
      <c r="M3001">
        <v>-0.99989550000000005</v>
      </c>
      <c r="N3001">
        <v>-1.4236540000000001E-2</v>
      </c>
      <c r="O3001">
        <v>2.5746889999999998E-3</v>
      </c>
      <c r="P3001">
        <v>-0.99121420000000005</v>
      </c>
      <c r="Q3001">
        <v>0.13224079999999999</v>
      </c>
      <c r="R3001">
        <v>-2.7154549999999999E-3</v>
      </c>
      <c r="S3001">
        <v>-3.0986180000000001</v>
      </c>
      <c r="T3001">
        <v>-0.53421689999999999</v>
      </c>
      <c r="U3001">
        <v>0.15631099999999901</v>
      </c>
      <c r="V3001">
        <v>-5.4041159999999996E-3</v>
      </c>
      <c r="W3001">
        <v>0.14633360000000001</v>
      </c>
      <c r="X3001">
        <v>0.98922060000000001</v>
      </c>
      <c r="Y3001">
        <v>4.7090220000000002E-2</v>
      </c>
      <c r="Z3001">
        <v>3.9611799999999999E-3</v>
      </c>
      <c r="AA3001">
        <v>0.99888279999999996</v>
      </c>
      <c r="AB3001">
        <v>22</v>
      </c>
      <c r="AC3001">
        <v>-0.63779999999999804</v>
      </c>
      <c r="AD3001">
        <v>-0.14976869999999901</v>
      </c>
      <c r="AE3001">
        <v>4.4100000000014399E-2</v>
      </c>
      <c r="AF3001">
        <v>4.0248761872242203E-2</v>
      </c>
      <c r="AG3001">
        <v>-0.14976869999999901</v>
      </c>
      <c r="AH3001">
        <v>0.604725074480844</v>
      </c>
      <c r="AI3001">
        <v>103.88069139685101</v>
      </c>
      <c r="AJ3001">
        <v>86.192173762388805</v>
      </c>
      <c r="AK3001">
        <v>0.62429403492088598</v>
      </c>
      <c r="AL3001">
        <v>81.585487877525694</v>
      </c>
      <c r="AM3001">
        <v>90.313003953397498</v>
      </c>
      <c r="AN3001">
        <v>1.0000000612115201</v>
      </c>
    </row>
    <row r="3002" spans="1:40" x14ac:dyDescent="0.25">
      <c r="A3002" t="str">
        <f>"20190303161934511"</f>
        <v>20190303161934511</v>
      </c>
      <c r="B3002" t="str">
        <f>"1551601174505482"</f>
        <v>1551601174505482</v>
      </c>
      <c r="C3002" t="s">
        <v>40</v>
      </c>
      <c r="D3002">
        <v>4.6474489999999999</v>
      </c>
      <c r="E3002">
        <v>0.52535500000000002</v>
      </c>
      <c r="F3002" t="s">
        <v>42</v>
      </c>
      <c r="G3002">
        <v>-245.2004</v>
      </c>
      <c r="H3002">
        <v>0.97489680000000001</v>
      </c>
      <c r="I3002">
        <v>283.76280000000003</v>
      </c>
      <c r="J3002">
        <v>-244.571</v>
      </c>
      <c r="K3002">
        <v>1.1220239999999999</v>
      </c>
      <c r="L3002">
        <v>283.72070000000002</v>
      </c>
      <c r="M3002">
        <v>-0.99989709999999998</v>
      </c>
      <c r="N3002">
        <v>-1.4213679999999999E-2</v>
      </c>
      <c r="O3002">
        <v>1.9634029999999998E-3</v>
      </c>
      <c r="P3002">
        <v>-0.99130119999999999</v>
      </c>
      <c r="Q3002">
        <v>0.1315672</v>
      </c>
      <c r="R3002">
        <v>-3.49482E-3</v>
      </c>
      <c r="S3002">
        <v>-3.100098</v>
      </c>
      <c r="T3002">
        <v>-0.54780299999999904</v>
      </c>
      <c r="U3002">
        <v>0.15502929999999901</v>
      </c>
      <c r="V3002">
        <v>-5.5584639999999999E-3</v>
      </c>
      <c r="W3002">
        <v>0.1456392</v>
      </c>
      <c r="X3002">
        <v>0.98932220000000004</v>
      </c>
      <c r="Y3002">
        <v>4.7220390000000001E-2</v>
      </c>
      <c r="Z3002">
        <v>4.159678E-3</v>
      </c>
      <c r="AA3002">
        <v>0.99887590000000004</v>
      </c>
      <c r="AB3002">
        <v>22</v>
      </c>
      <c r="AC3002">
        <v>-0.62940000000000396</v>
      </c>
      <c r="AD3002">
        <v>-0.14712719999999899</v>
      </c>
      <c r="AE3002">
        <v>4.2100000000004897E-2</v>
      </c>
      <c r="AF3002">
        <v>3.8755741135802498E-2</v>
      </c>
      <c r="AG3002">
        <v>-0.14712719999999899</v>
      </c>
      <c r="AH3002">
        <v>0.59700478306219296</v>
      </c>
      <c r="AI3002">
        <v>103.81626598614</v>
      </c>
      <c r="AJ3002">
        <v>86.285743349556</v>
      </c>
      <c r="AK3002">
        <v>0.61608695120896795</v>
      </c>
      <c r="AL3002">
        <v>81.6257047836434</v>
      </c>
      <c r="AM3002">
        <v>90.321910472358397</v>
      </c>
      <c r="AN3002">
        <v>1.00000004425575</v>
      </c>
    </row>
    <row r="3003" spans="1:40" x14ac:dyDescent="0.25">
      <c r="A3003" t="str">
        <f>"20190303161934524"</f>
        <v>20190303161934524</v>
      </c>
      <c r="B3003" t="str">
        <f>"1551601174516218"</f>
        <v>1551601174516218</v>
      </c>
      <c r="C3003" t="s">
        <v>40</v>
      </c>
      <c r="D3003">
        <v>4.6593660000000003</v>
      </c>
      <c r="E3003">
        <v>0.52565319999999904</v>
      </c>
      <c r="F3003" t="s">
        <v>42</v>
      </c>
      <c r="G3003">
        <v>-245.36580000000001</v>
      </c>
      <c r="H3003">
        <v>0.91647800000000001</v>
      </c>
      <c r="I3003">
        <v>283.76799999999997</v>
      </c>
      <c r="J3003">
        <v>-244.69669999999999</v>
      </c>
      <c r="K3003">
        <v>1.12199</v>
      </c>
      <c r="L3003">
        <v>283.72050000000002</v>
      </c>
      <c r="M3003">
        <v>-0.99989790000000001</v>
      </c>
      <c r="N3003">
        <v>-1.419954E-2</v>
      </c>
      <c r="O3003">
        <v>1.6153910000000001E-3</v>
      </c>
      <c r="P3003">
        <v>-0.99135030000000002</v>
      </c>
      <c r="Q3003">
        <v>0.13117960000000001</v>
      </c>
      <c r="R3003">
        <v>-4.0590180000000002E-3</v>
      </c>
      <c r="S3003">
        <v>-3.1345670000000001</v>
      </c>
      <c r="T3003">
        <v>-0.81069029999999997</v>
      </c>
      <c r="U3003">
        <v>0.18603520000000001</v>
      </c>
      <c r="V3003">
        <v>-5.7668469999999899E-3</v>
      </c>
      <c r="W3003">
        <v>0.1452387</v>
      </c>
      <c r="X3003">
        <v>0.98937980000000003</v>
      </c>
      <c r="Y3003">
        <v>5.5747890000000001E-2</v>
      </c>
      <c r="Z3003">
        <v>7.1012000000000002E-3</v>
      </c>
      <c r="AA3003">
        <v>0.99841959999999996</v>
      </c>
      <c r="AB3003">
        <v>22</v>
      </c>
      <c r="AC3003">
        <v>-0.66910000000001402</v>
      </c>
      <c r="AD3003">
        <v>-0.205512</v>
      </c>
      <c r="AE3003">
        <v>4.7499999999956799E-2</v>
      </c>
      <c r="AF3003">
        <v>4.2435694843025798E-2</v>
      </c>
      <c r="AG3003">
        <v>-0.205512</v>
      </c>
      <c r="AH3003">
        <v>0.61175295911056604</v>
      </c>
      <c r="AI3003">
        <v>108.52776195326901</v>
      </c>
      <c r="AJ3003">
        <v>86.031898837417103</v>
      </c>
      <c r="AK3003">
        <v>0.64674388541473204</v>
      </c>
      <c r="AL3003">
        <v>81.648897667421906</v>
      </c>
      <c r="AM3003">
        <v>90.333958963370407</v>
      </c>
      <c r="AN3003">
        <v>0.99999996257502499</v>
      </c>
    </row>
    <row r="3004" spans="1:40" x14ac:dyDescent="0.25">
      <c r="A3004" t="str">
        <f>"20190303161934545"</f>
        <v>20190303161934545</v>
      </c>
      <c r="B3004" t="str">
        <f>"1551601174535738"</f>
        <v>1551601174535738</v>
      </c>
      <c r="C3004" t="s">
        <v>40</v>
      </c>
      <c r="D3004">
        <v>4.6864270000000001</v>
      </c>
      <c r="E3004">
        <v>0.52700970000000003</v>
      </c>
      <c r="F3004" t="s">
        <v>42</v>
      </c>
      <c r="G3004">
        <v>-245.37629999999999</v>
      </c>
      <c r="H3004">
        <v>0.93846459999999998</v>
      </c>
      <c r="I3004">
        <v>283.7611</v>
      </c>
      <c r="J3004">
        <v>-244.89349999999999</v>
      </c>
      <c r="K3004">
        <v>1.1219380000000001</v>
      </c>
      <c r="L3004">
        <v>283.72019999999998</v>
      </c>
      <c r="M3004">
        <v>-0.99989899999999998</v>
      </c>
      <c r="N3004">
        <v>-1.417477E-2</v>
      </c>
      <c r="O3004">
        <v>1.1302009999999999E-3</v>
      </c>
      <c r="P3004">
        <v>-0.99141330000000005</v>
      </c>
      <c r="Q3004">
        <v>0.13069939999999999</v>
      </c>
      <c r="R3004">
        <v>-4.198561E-3</v>
      </c>
      <c r="S3004">
        <v>-3.1390989999999999</v>
      </c>
      <c r="T3004">
        <v>-0.84771249999999998</v>
      </c>
      <c r="U3004">
        <v>0.18707280000000001</v>
      </c>
      <c r="V3004">
        <v>-5.4091729999999998E-3</v>
      </c>
      <c r="W3004">
        <v>0.14473620000000001</v>
      </c>
      <c r="X3004">
        <v>0.98945550000000004</v>
      </c>
      <c r="Y3004">
        <v>5.6278189999999999E-2</v>
      </c>
      <c r="Z3004">
        <v>7.5817389999999997E-3</v>
      </c>
      <c r="AA3004">
        <v>0.99838629999999995</v>
      </c>
      <c r="AB3004">
        <v>22</v>
      </c>
      <c r="AC3004">
        <v>-0.48279999999999701</v>
      </c>
      <c r="AD3004">
        <v>-0.18347339999999901</v>
      </c>
      <c r="AE3004">
        <v>4.0900000000021898E-2</v>
      </c>
      <c r="AF3004">
        <v>3.5293650131232999E-2</v>
      </c>
      <c r="AG3004">
        <v>-0.18347339999999901</v>
      </c>
      <c r="AH3004">
        <v>0.42229484167134301</v>
      </c>
      <c r="AI3004">
        <v>113.41058891522501</v>
      </c>
      <c r="AJ3004">
        <v>85.222559262441706</v>
      </c>
      <c r="AK3004">
        <v>0.46178031957779497</v>
      </c>
      <c r="AL3004">
        <v>81.6779966376685</v>
      </c>
      <c r="AM3004">
        <v>90.3132224704907</v>
      </c>
      <c r="AN3004">
        <v>1.0000000066116099</v>
      </c>
    </row>
    <row r="3005" spans="1:40" x14ac:dyDescent="0.25">
      <c r="A3005" t="str">
        <f>"20190303161934559"</f>
        <v>20190303161934559</v>
      </c>
      <c r="B3005" t="str">
        <f>"1551601174555258"</f>
        <v>1551601174555258</v>
      </c>
      <c r="C3005" t="s">
        <v>40</v>
      </c>
      <c r="D3005">
        <v>4.6676120000000001</v>
      </c>
      <c r="E3005">
        <v>0.52728730000000001</v>
      </c>
      <c r="F3005" t="s">
        <v>42</v>
      </c>
      <c r="G3005">
        <v>-245.73660000000001</v>
      </c>
      <c r="H3005">
        <v>0.88181339999999997</v>
      </c>
      <c r="I3005">
        <v>283.77330000000001</v>
      </c>
      <c r="J3005">
        <v>-245.02979999999999</v>
      </c>
      <c r="K3005">
        <v>1.12191</v>
      </c>
      <c r="L3005">
        <v>283.72000000000003</v>
      </c>
      <c r="M3005">
        <v>-0.99989939999999999</v>
      </c>
      <c r="N3005">
        <v>-1.4155299999999999E-2</v>
      </c>
      <c r="O3005">
        <v>8.3433420000000001E-4</v>
      </c>
      <c r="P3005">
        <v>-0.99137430000000004</v>
      </c>
      <c r="Q3005">
        <v>0.1309958</v>
      </c>
      <c r="R3005">
        <v>-4.1378530000000004E-3</v>
      </c>
      <c r="S3005">
        <v>-3.1448969999999998</v>
      </c>
      <c r="T3005">
        <v>-0.89575360000000004</v>
      </c>
      <c r="U3005">
        <v>0.19821169999999999</v>
      </c>
      <c r="V3005">
        <v>-5.0456729999999997E-3</v>
      </c>
      <c r="W3005">
        <v>0.14501310000000001</v>
      </c>
      <c r="X3005">
        <v>0.98941679999999999</v>
      </c>
      <c r="Y3005">
        <v>5.9614390000000003E-2</v>
      </c>
      <c r="Z3005">
        <v>8.5263730000000003E-3</v>
      </c>
      <c r="AA3005">
        <v>0.99818499999999999</v>
      </c>
      <c r="AB3005">
        <v>22</v>
      </c>
      <c r="AC3005">
        <v>-0.70680000000001497</v>
      </c>
      <c r="AD3005">
        <v>-0.24009659999999999</v>
      </c>
      <c r="AE3005">
        <v>5.3299999999978802E-2</v>
      </c>
      <c r="AF3005">
        <v>4.7284745915278502E-2</v>
      </c>
      <c r="AG3005">
        <v>-0.24009659999999999</v>
      </c>
      <c r="AH3005">
        <v>0.63408866386246698</v>
      </c>
      <c r="AI3005">
        <v>110.68653009258</v>
      </c>
      <c r="AJ3005">
        <v>85.735279054924803</v>
      </c>
      <c r="AK3005">
        <v>0.67966952128716196</v>
      </c>
      <c r="AL3005">
        <v>81.661961639627705</v>
      </c>
      <c r="AM3005">
        <v>90.292185519421395</v>
      </c>
      <c r="AN3005">
        <v>0.99999993105493401</v>
      </c>
    </row>
    <row r="3006" spans="1:40" x14ac:dyDescent="0.25">
      <c r="A3006" t="str">
        <f>"20190303161934578"</f>
        <v>20190303161934578</v>
      </c>
      <c r="B3006" t="str">
        <f>"1551601174565994"</f>
        <v>1551601174565994</v>
      </c>
      <c r="C3006" t="s">
        <v>40</v>
      </c>
      <c r="D3006">
        <v>4.6821900000000003</v>
      </c>
      <c r="E3006">
        <v>0.52729269999999995</v>
      </c>
      <c r="F3006" t="s">
        <v>42</v>
      </c>
      <c r="G3006">
        <v>-245.75040000000001</v>
      </c>
      <c r="H3006">
        <v>0.91242529999999999</v>
      </c>
      <c r="I3006">
        <v>283.76589999999999</v>
      </c>
      <c r="J3006">
        <v>-245.2105</v>
      </c>
      <c r="K3006">
        <v>1.1218729999999999</v>
      </c>
      <c r="L3006">
        <v>283.71969999999999</v>
      </c>
      <c r="M3006">
        <v>-0.99990029999999996</v>
      </c>
      <c r="N3006">
        <v>-1.412853E-2</v>
      </c>
      <c r="O3006">
        <v>4.6992840000000002E-4</v>
      </c>
      <c r="P3006">
        <v>-0.99128649999999996</v>
      </c>
      <c r="Q3006">
        <v>0.13167679999999901</v>
      </c>
      <c r="R3006">
        <v>-3.5749990000000001E-3</v>
      </c>
      <c r="S3006">
        <v>-3.1478120000000001</v>
      </c>
      <c r="T3006">
        <v>-0.91500820000000005</v>
      </c>
      <c r="U3006">
        <v>0.2006531</v>
      </c>
      <c r="V3006">
        <v>-4.1101820000000004E-3</v>
      </c>
      <c r="W3006">
        <v>0.14566699999999999</v>
      </c>
      <c r="X3006">
        <v>0.98932520000000002</v>
      </c>
      <c r="Y3006">
        <v>6.0540360000000001E-2</v>
      </c>
      <c r="Z3006">
        <v>8.9223380000000001E-3</v>
      </c>
      <c r="AA3006">
        <v>0.99812590000000001</v>
      </c>
      <c r="AB3006">
        <v>22</v>
      </c>
      <c r="AC3006">
        <v>-0.53990000000001703</v>
      </c>
      <c r="AD3006">
        <v>-0.20944769999999899</v>
      </c>
      <c r="AE3006">
        <v>4.6199999999998902E-2</v>
      </c>
      <c r="AF3006">
        <v>3.9974056691729799E-2</v>
      </c>
      <c r="AG3006">
        <v>-0.20944769999999899</v>
      </c>
      <c r="AH3006">
        <v>0.469741410730727</v>
      </c>
      <c r="AI3006">
        <v>113.954284977821</v>
      </c>
      <c r="AJ3006">
        <v>85.135962161078993</v>
      </c>
      <c r="AK3006">
        <v>0.51587135721900401</v>
      </c>
      <c r="AL3006">
        <v>81.624094923791006</v>
      </c>
      <c r="AM3006">
        <v>90.2380357103481</v>
      </c>
      <c r="AN3006">
        <v>1.00000005992005</v>
      </c>
    </row>
    <row r="3007" spans="1:40" x14ac:dyDescent="0.25">
      <c r="A3007" t="str">
        <f>"20190303161934601"</f>
        <v>20190303161934601</v>
      </c>
      <c r="B3007" t="str">
        <f>"1551601174595273"</f>
        <v>1551601174595273</v>
      </c>
      <c r="C3007" t="s">
        <v>40</v>
      </c>
      <c r="D3007">
        <v>4.7333489999999996</v>
      </c>
      <c r="E3007">
        <v>0.52683669999999905</v>
      </c>
      <c r="F3007" t="s">
        <v>42</v>
      </c>
      <c r="G3007">
        <v>-245.9417</v>
      </c>
      <c r="H3007">
        <v>0.90903520000000004</v>
      </c>
      <c r="I3007">
        <v>283.76690000000002</v>
      </c>
      <c r="J3007">
        <v>-245.42689999999999</v>
      </c>
      <c r="K3007">
        <v>1.1218379999999999</v>
      </c>
      <c r="L3007">
        <v>283.71929999999998</v>
      </c>
      <c r="M3007">
        <v>-0.99990080000000003</v>
      </c>
      <c r="N3007">
        <v>-1.4096600000000001E-2</v>
      </c>
      <c r="O3007" s="1">
        <v>7.1876159999999999E-5</v>
      </c>
      <c r="P3007">
        <v>-0.99128150000000004</v>
      </c>
      <c r="Q3007">
        <v>0.13172690000000001</v>
      </c>
      <c r="R3007">
        <v>-3.111117E-3</v>
      </c>
      <c r="S3007">
        <v>-3.1488649999999998</v>
      </c>
      <c r="T3007">
        <v>-0.91666630000000004</v>
      </c>
      <c r="U3007">
        <v>0.20211789999999999</v>
      </c>
      <c r="V3007">
        <v>-3.2412140000000001E-3</v>
      </c>
      <c r="W3007">
        <v>0.14568639999999999</v>
      </c>
      <c r="X3007">
        <v>0.98932549999999997</v>
      </c>
      <c r="Y3007">
        <v>6.1322979999999999E-2</v>
      </c>
      <c r="Z3007">
        <v>9.1583199999999993E-3</v>
      </c>
      <c r="AA3007">
        <v>0.99807599999999996</v>
      </c>
      <c r="AB3007">
        <v>22</v>
      </c>
      <c r="AC3007">
        <v>-0.51480000000000803</v>
      </c>
      <c r="AD3007">
        <v>-0.21280279999999999</v>
      </c>
      <c r="AE3007">
        <v>4.7600000000045301E-2</v>
      </c>
      <c r="AF3007">
        <v>4.0672080750758503E-2</v>
      </c>
      <c r="AG3007">
        <v>-0.21280279999999999</v>
      </c>
      <c r="AH3007">
        <v>0.44021884164279901</v>
      </c>
      <c r="AI3007">
        <v>115.703942427307</v>
      </c>
      <c r="AJ3007">
        <v>84.721394229911994</v>
      </c>
      <c r="AK3007">
        <v>0.49064435019447999</v>
      </c>
      <c r="AL3007">
        <v>81.622970800056393</v>
      </c>
      <c r="AM3007">
        <v>90.187710938692803</v>
      </c>
      <c r="AN3007">
        <v>0.99999998878170104</v>
      </c>
    </row>
    <row r="3008" spans="1:40" x14ac:dyDescent="0.25">
      <c r="A3008" t="str">
        <f>"20190303161934613"</f>
        <v>20190303161934613</v>
      </c>
      <c r="B3008" t="str">
        <f>"1551601174606010"</f>
        <v>1551601174606010</v>
      </c>
      <c r="C3008" t="s">
        <v>40</v>
      </c>
      <c r="D3008">
        <v>4.7569419999999996</v>
      </c>
      <c r="E3008">
        <v>0.52670189999999995</v>
      </c>
      <c r="F3008" t="s">
        <v>42</v>
      </c>
      <c r="G3008">
        <v>-246.13650000000001</v>
      </c>
      <c r="H3008">
        <v>0.91400420000000004</v>
      </c>
      <c r="I3008">
        <v>283.76420000000002</v>
      </c>
      <c r="J3008">
        <v>-245.55009999999999</v>
      </c>
      <c r="K3008">
        <v>1.121826</v>
      </c>
      <c r="L3008">
        <v>283.71899999999999</v>
      </c>
      <c r="M3008">
        <v>-0.99990089999999998</v>
      </c>
      <c r="N3008">
        <v>-1.407946E-2</v>
      </c>
      <c r="O3008">
        <v>-1.4072760000000001E-4</v>
      </c>
      <c r="P3008">
        <v>-0.99128550000000004</v>
      </c>
      <c r="Q3008">
        <v>0.1316938</v>
      </c>
      <c r="R3008">
        <v>-3.1221090000000001E-3</v>
      </c>
      <c r="S3008">
        <v>-3.1495820000000001</v>
      </c>
      <c r="T3008">
        <v>-0.92248439999999998</v>
      </c>
      <c r="U3008">
        <v>0.19918820000000001</v>
      </c>
      <c r="V3008">
        <v>-3.0383839999999999E-3</v>
      </c>
      <c r="W3008">
        <v>0.14563679999999901</v>
      </c>
      <c r="X3008">
        <v>0.98933349999999998</v>
      </c>
      <c r="Y3008">
        <v>6.0588860000000001E-2</v>
      </c>
      <c r="Z3008">
        <v>9.1568199999999995E-3</v>
      </c>
      <c r="AA3008">
        <v>0.99812080000000003</v>
      </c>
      <c r="AB3008">
        <v>22</v>
      </c>
      <c r="AC3008">
        <v>-0.58640000000002601</v>
      </c>
      <c r="AD3008">
        <v>-0.2078218</v>
      </c>
      <c r="AE3008">
        <v>4.52000000000225E-2</v>
      </c>
      <c r="AF3008">
        <v>4.02561656115785E-2</v>
      </c>
      <c r="AG3008">
        <v>-0.2078218</v>
      </c>
      <c r="AH3008">
        <v>0.52130388881997003</v>
      </c>
      <c r="AI3008">
        <v>111.676550477502</v>
      </c>
      <c r="AJ3008">
        <v>85.584264740498895</v>
      </c>
      <c r="AK3008">
        <v>0.56264394062658296</v>
      </c>
      <c r="AL3008">
        <v>81.625843754369996</v>
      </c>
      <c r="AM3008">
        <v>90.175962941131402</v>
      </c>
      <c r="AN3008">
        <v>1.0000000417569099</v>
      </c>
    </row>
    <row r="3009" spans="1:40" x14ac:dyDescent="0.25">
      <c r="A3009" t="str">
        <f>"20190303161934626"</f>
        <v>20190303161934626</v>
      </c>
      <c r="B3009" t="str">
        <f>"1551601174615770"</f>
        <v>1551601174615770</v>
      </c>
      <c r="C3009" t="s">
        <v>40</v>
      </c>
      <c r="D3009">
        <v>4.7583650000000004</v>
      </c>
      <c r="E3009">
        <v>0.52659829999999996</v>
      </c>
      <c r="F3009" t="s">
        <v>42</v>
      </c>
      <c r="G3009">
        <v>-246.32050000000001</v>
      </c>
      <c r="H3009">
        <v>0.89597459999999995</v>
      </c>
      <c r="I3009">
        <v>283.76780000000002</v>
      </c>
      <c r="J3009">
        <v>-245.66990000000001</v>
      </c>
      <c r="K3009">
        <v>1.12182</v>
      </c>
      <c r="L3009">
        <v>283.71879999999999</v>
      </c>
      <c r="M3009">
        <v>-0.99990109999999999</v>
      </c>
      <c r="N3009">
        <v>-1.406336E-2</v>
      </c>
      <c r="O3009">
        <v>-3.427878E-4</v>
      </c>
      <c r="P3009">
        <v>-0.99127469999999995</v>
      </c>
      <c r="Q3009">
        <v>0.13178000000000001</v>
      </c>
      <c r="R3009">
        <v>-2.950856E-3</v>
      </c>
      <c r="S3009">
        <v>-3.149689</v>
      </c>
      <c r="T3009">
        <v>-0.92342880000000005</v>
      </c>
      <c r="U3009">
        <v>0.19824220000000001</v>
      </c>
      <c r="V3009">
        <v>-2.6642580000000001E-3</v>
      </c>
      <c r="W3009">
        <v>0.14570659999999999</v>
      </c>
      <c r="X3009">
        <v>0.98932430000000005</v>
      </c>
      <c r="Y3009">
        <v>6.0481849999999997E-2</v>
      </c>
      <c r="Z3009">
        <v>9.2037660000000004E-3</v>
      </c>
      <c r="AA3009">
        <v>0.99812690000000004</v>
      </c>
      <c r="AB3009">
        <v>22</v>
      </c>
      <c r="AC3009">
        <v>-0.65059999999999696</v>
      </c>
      <c r="AD3009">
        <v>-0.2258454</v>
      </c>
      <c r="AE3009">
        <v>4.9000000000035002E-2</v>
      </c>
      <c r="AF3009">
        <v>4.3956111893096901E-2</v>
      </c>
      <c r="AG3009">
        <v>-0.2258454</v>
      </c>
      <c r="AH3009">
        <v>0.58096997110916904</v>
      </c>
      <c r="AI3009">
        <v>111.187855748692</v>
      </c>
      <c r="AJ3009">
        <v>85.673252298151894</v>
      </c>
      <c r="AK3009">
        <v>0.62487150023385396</v>
      </c>
      <c r="AL3009">
        <v>81.621801383299797</v>
      </c>
      <c r="AM3009">
        <v>90.154297604853099</v>
      </c>
      <c r="AN3009">
        <v>1.00000004106236</v>
      </c>
    </row>
    <row r="3010" spans="1:40" x14ac:dyDescent="0.25">
      <c r="A3010" t="str">
        <f>"20190303161934645"</f>
        <v>20190303161934645</v>
      </c>
      <c r="B3010" t="str">
        <f>"1551601174635290"</f>
        <v>1551601174635290</v>
      </c>
      <c r="C3010" t="s">
        <v>40</v>
      </c>
      <c r="D3010">
        <v>4.787229</v>
      </c>
      <c r="E3010">
        <v>0.52675249999999996</v>
      </c>
      <c r="F3010" t="s">
        <v>42</v>
      </c>
      <c r="G3010">
        <v>-246.5043</v>
      </c>
      <c r="H3010">
        <v>0.87725640000000005</v>
      </c>
      <c r="I3010">
        <v>283.77120000000002</v>
      </c>
      <c r="J3010">
        <v>-245.85470000000001</v>
      </c>
      <c r="K3010">
        <v>1.121823</v>
      </c>
      <c r="L3010">
        <v>283.7183</v>
      </c>
      <c r="M3010">
        <v>-0.99990129999999999</v>
      </c>
      <c r="N3010">
        <v>-1.404036E-2</v>
      </c>
      <c r="O3010">
        <v>-6.4645350000000002E-4</v>
      </c>
      <c r="P3010">
        <v>-0.99121579999999998</v>
      </c>
      <c r="Q3010">
        <v>0.13223289999999999</v>
      </c>
      <c r="R3010">
        <v>-2.4466650000000002E-3</v>
      </c>
      <c r="S3010">
        <v>-3.149734</v>
      </c>
      <c r="T3010">
        <v>-0.92320590000000002</v>
      </c>
      <c r="U3010">
        <v>0.19750980000000001</v>
      </c>
      <c r="V3010">
        <v>-1.8588669999999999E-3</v>
      </c>
      <c r="W3010">
        <v>0.1461364</v>
      </c>
      <c r="X3010">
        <v>0.98926270000000005</v>
      </c>
      <c r="Y3010">
        <v>6.0540200000000002E-2</v>
      </c>
      <c r="Z3010">
        <v>9.2926620000000001E-3</v>
      </c>
      <c r="AA3010">
        <v>0.99812250000000002</v>
      </c>
      <c r="AB3010">
        <v>22</v>
      </c>
      <c r="AC3010">
        <v>-0.64959999999999196</v>
      </c>
      <c r="AD3010">
        <v>-0.2445666</v>
      </c>
      <c r="AE3010">
        <v>5.2900000000022297E-2</v>
      </c>
      <c r="AF3010">
        <v>4.6738715348112199E-2</v>
      </c>
      <c r="AG3010">
        <v>-0.2445666</v>
      </c>
      <c r="AH3010">
        <v>0.56939016726852798</v>
      </c>
      <c r="AI3010">
        <v>113.174989827967</v>
      </c>
      <c r="AJ3010">
        <v>85.307364241115593</v>
      </c>
      <c r="AK3010">
        <v>0.62145192246064695</v>
      </c>
      <c r="AL3010">
        <v>81.596908836922907</v>
      </c>
      <c r="AM3010">
        <v>90.107661097933601</v>
      </c>
      <c r="AN3010">
        <v>0.99999999620138602</v>
      </c>
    </row>
    <row r="3011" spans="1:40" x14ac:dyDescent="0.25">
      <c r="A3011" t="str">
        <f>"20190303161934658"</f>
        <v>20190303161934658</v>
      </c>
      <c r="B3011" t="str">
        <f>"1551601174655786"</f>
        <v>1551601174655786</v>
      </c>
      <c r="C3011" t="s">
        <v>40</v>
      </c>
      <c r="D3011">
        <v>4.756348</v>
      </c>
      <c r="E3011">
        <v>0.53548890000000005</v>
      </c>
      <c r="F3011" t="s">
        <v>42</v>
      </c>
      <c r="G3011">
        <v>-246.52600000000001</v>
      </c>
      <c r="H3011">
        <v>0.92533659999999995</v>
      </c>
      <c r="I3011">
        <v>283.7611</v>
      </c>
      <c r="J3011">
        <v>-245.97989999999999</v>
      </c>
      <c r="K3011">
        <v>1.121826</v>
      </c>
      <c r="L3011">
        <v>283.71800000000002</v>
      </c>
      <c r="M3011">
        <v>-0.99990140000000005</v>
      </c>
      <c r="N3011">
        <v>-1.402597E-2</v>
      </c>
      <c r="O3011">
        <v>-8.5132509999999895E-4</v>
      </c>
      <c r="P3011">
        <v>-0.9912069</v>
      </c>
      <c r="Q3011">
        <v>0.1323087</v>
      </c>
      <c r="R3011">
        <v>-1.8457129999999999E-3</v>
      </c>
      <c r="S3011">
        <v>-3.150055</v>
      </c>
      <c r="T3011">
        <v>-0.92207939999999999</v>
      </c>
      <c r="U3011">
        <v>0.20007320000000001</v>
      </c>
      <c r="V3011">
        <v>-1.056466E-3</v>
      </c>
      <c r="W3011">
        <v>0.14619770000000001</v>
      </c>
      <c r="X3011">
        <v>0.98925479999999999</v>
      </c>
      <c r="Y3011">
        <v>6.1504360000000001E-2</v>
      </c>
      <c r="Z3011">
        <v>9.481616E-3</v>
      </c>
      <c r="AA3011">
        <v>0.9980618</v>
      </c>
      <c r="AB3011">
        <v>22</v>
      </c>
      <c r="AC3011">
        <v>-0.54609999999999503</v>
      </c>
      <c r="AD3011">
        <v>-0.19648940000000001</v>
      </c>
      <c r="AE3011">
        <v>4.3099999999981202E-2</v>
      </c>
      <c r="AF3011">
        <v>3.8598880245189697E-2</v>
      </c>
      <c r="AG3011">
        <v>-0.19648940000000001</v>
      </c>
      <c r="AH3011">
        <v>0.483816231156869</v>
      </c>
      <c r="AI3011">
        <v>112.039958844206</v>
      </c>
      <c r="AJ3011">
        <v>85.438601361738904</v>
      </c>
      <c r="AK3011">
        <v>0.52361828023797996</v>
      </c>
      <c r="AL3011">
        <v>81.593358264994507</v>
      </c>
      <c r="AM3011">
        <v>90.061188502686207</v>
      </c>
      <c r="AN3011">
        <v>0.99999997146436903</v>
      </c>
    </row>
    <row r="3012" spans="1:40" x14ac:dyDescent="0.25">
      <c r="A3012" t="str">
        <f>"20190303161934673"</f>
        <v>20190303161934673</v>
      </c>
      <c r="B3012" t="str">
        <f>"1551601174665546"</f>
        <v>1551601174665546</v>
      </c>
      <c r="C3012" t="s">
        <v>40</v>
      </c>
      <c r="D3012">
        <v>4.7489220000000003</v>
      </c>
      <c r="E3012">
        <v>0.53555569999999997</v>
      </c>
      <c r="F3012" t="s">
        <v>42</v>
      </c>
      <c r="G3012">
        <v>-246.70089999999999</v>
      </c>
      <c r="H3012">
        <v>0.88945359999999996</v>
      </c>
      <c r="I3012">
        <v>283.78019999999998</v>
      </c>
      <c r="J3012">
        <v>-246.1285</v>
      </c>
      <c r="K3012">
        <v>1.1218379999999999</v>
      </c>
      <c r="L3012">
        <v>283.7176</v>
      </c>
      <c r="M3012">
        <v>-0.99990140000000005</v>
      </c>
      <c r="N3012">
        <v>-1.4009600000000001E-2</v>
      </c>
      <c r="O3012">
        <v>-1.0956799999999999E-3</v>
      </c>
      <c r="P3012">
        <v>-0.99111830000000001</v>
      </c>
      <c r="Q3012">
        <v>0.1329755</v>
      </c>
      <c r="R3012">
        <v>-1.5350699999999999E-3</v>
      </c>
      <c r="S3012">
        <v>-3.163208</v>
      </c>
      <c r="T3012">
        <v>-1.0195399999999999</v>
      </c>
      <c r="U3012">
        <v>0.271698</v>
      </c>
      <c r="V3012">
        <v>-5.0592669999999999E-4</v>
      </c>
      <c r="W3012">
        <v>0.1468477</v>
      </c>
      <c r="X3012">
        <v>0.98915900000000001</v>
      </c>
      <c r="Y3012">
        <v>8.229011E-2</v>
      </c>
      <c r="Z3012">
        <v>1.383305E-2</v>
      </c>
      <c r="AA3012">
        <v>0.99651239999999996</v>
      </c>
      <c r="AB3012">
        <v>21</v>
      </c>
      <c r="AC3012">
        <v>-0.57239999999998703</v>
      </c>
      <c r="AD3012">
        <v>-0.23238439999999999</v>
      </c>
      <c r="AE3012">
        <v>6.2599999999974898E-2</v>
      </c>
      <c r="AF3012">
        <v>5.43715002950576E-2</v>
      </c>
      <c r="AG3012">
        <v>-0.23238439999999999</v>
      </c>
      <c r="AH3012">
        <v>0.492169553178532</v>
      </c>
      <c r="AI3012">
        <v>115.14104998361201</v>
      </c>
      <c r="AJ3012">
        <v>83.695919861677197</v>
      </c>
      <c r="AK3012">
        <v>0.54698230180111895</v>
      </c>
      <c r="AL3012">
        <v>81.5557100482241</v>
      </c>
      <c r="AM3012">
        <v>90.029305159357804</v>
      </c>
      <c r="AN3012">
        <v>1.00000001511905</v>
      </c>
    </row>
    <row r="3013" spans="1:40" x14ac:dyDescent="0.25">
      <c r="A3013" t="str">
        <f>"20190303161934691"</f>
        <v>20190303161934691</v>
      </c>
      <c r="B3013" t="str">
        <f>"1551601174686042"</f>
        <v>1551601174686042</v>
      </c>
      <c r="C3013" t="s">
        <v>40</v>
      </c>
      <c r="D3013">
        <v>4.7531290000000004</v>
      </c>
      <c r="E3013">
        <v>0.53594109999999995</v>
      </c>
      <c r="F3013" t="s">
        <v>42</v>
      </c>
      <c r="G3013">
        <v>-246.887</v>
      </c>
      <c r="H3013">
        <v>0.87609289999999995</v>
      </c>
      <c r="I3013">
        <v>283.7833</v>
      </c>
      <c r="J3013">
        <v>-246.3004</v>
      </c>
      <c r="K3013">
        <v>1.1218490000000001</v>
      </c>
      <c r="L3013">
        <v>283.71699999999998</v>
      </c>
      <c r="M3013">
        <v>-0.99990109999999999</v>
      </c>
      <c r="N3013">
        <v>-1.3991899999999899E-2</v>
      </c>
      <c r="O3013">
        <v>-1.3829879999999999E-3</v>
      </c>
      <c r="P3013">
        <v>-0.99105319999999997</v>
      </c>
      <c r="Q3013">
        <v>0.13345179999999901</v>
      </c>
      <c r="R3013">
        <v>-2.0412260000000002E-3</v>
      </c>
      <c r="S3013">
        <v>-3.1648860000000001</v>
      </c>
      <c r="T3013">
        <v>-1.0254000000000001</v>
      </c>
      <c r="U3013">
        <v>0.27386470000000002</v>
      </c>
      <c r="V3013">
        <v>-7.3086189999999995E-4</v>
      </c>
      <c r="W3013">
        <v>0.1473052</v>
      </c>
      <c r="X3013">
        <v>0.98909080000000005</v>
      </c>
      <c r="Y3013">
        <v>8.3108310000000005E-2</v>
      </c>
      <c r="Z3013">
        <v>1.411952E-2</v>
      </c>
      <c r="AA3013">
        <v>0.99644049999999995</v>
      </c>
      <c r="AB3013">
        <v>21</v>
      </c>
      <c r="AC3013">
        <v>-0.58660000000000401</v>
      </c>
      <c r="AD3013">
        <v>-0.24575609999999901</v>
      </c>
      <c r="AE3013">
        <v>6.6300000000012405E-2</v>
      </c>
      <c r="AF3013">
        <v>5.7198479346989399E-2</v>
      </c>
      <c r="AG3013">
        <v>-0.24575609999999901</v>
      </c>
      <c r="AH3013">
        <v>0.49987650844346598</v>
      </c>
      <c r="AI3013">
        <v>116.033028652788</v>
      </c>
      <c r="AJ3013">
        <v>83.472308349258796</v>
      </c>
      <c r="AK3013">
        <v>0.55995022137726602</v>
      </c>
      <c r="AL3013">
        <v>81.529208763232901</v>
      </c>
      <c r="AM3013">
        <v>90.042337159192499</v>
      </c>
      <c r="AN3013">
        <v>0.99999998337539797</v>
      </c>
    </row>
    <row r="3014" spans="1:40" x14ac:dyDescent="0.25">
      <c r="A3014" t="str">
        <f>"20190303161934711"</f>
        <v>20190303161934711</v>
      </c>
      <c r="B3014" t="str">
        <f>"1551601174705562"</f>
        <v>1551601174705562</v>
      </c>
      <c r="C3014" t="s">
        <v>40</v>
      </c>
      <c r="D3014">
        <v>4.7330230000000002</v>
      </c>
      <c r="E3014">
        <v>0.53610530000000001</v>
      </c>
      <c r="F3014" t="s">
        <v>42</v>
      </c>
      <c r="G3014">
        <v>-247.0762</v>
      </c>
      <c r="H3014">
        <v>0.87121489999999902</v>
      </c>
      <c r="I3014">
        <v>283.78519999999997</v>
      </c>
      <c r="J3014">
        <v>-246.49299999999999</v>
      </c>
      <c r="K3014">
        <v>1.1218619999999999</v>
      </c>
      <c r="L3014">
        <v>283.71640000000002</v>
      </c>
      <c r="M3014">
        <v>-0.99990100000000004</v>
      </c>
      <c r="N3014">
        <v>-1.397377E-2</v>
      </c>
      <c r="O3014">
        <v>-1.71417799999999E-3</v>
      </c>
      <c r="P3014">
        <v>-0.99096859999999998</v>
      </c>
      <c r="Q3014">
        <v>0.1340442</v>
      </c>
      <c r="R3014">
        <v>-3.6853659999999998E-3</v>
      </c>
      <c r="S3014">
        <v>-3.165359</v>
      </c>
      <c r="T3014">
        <v>-1.022626</v>
      </c>
      <c r="U3014">
        <v>0.27676390000000001</v>
      </c>
      <c r="V3014">
        <v>-2.0503190000000001E-3</v>
      </c>
      <c r="W3014">
        <v>0.1478777</v>
      </c>
      <c r="X3014">
        <v>0.98900350000000004</v>
      </c>
      <c r="Y3014">
        <v>8.4279090000000001E-2</v>
      </c>
      <c r="Z3014">
        <v>1.437358E-2</v>
      </c>
      <c r="AA3014">
        <v>0.99633850000000002</v>
      </c>
      <c r="AB3014">
        <v>21</v>
      </c>
      <c r="AC3014">
        <v>-0.58320000000000405</v>
      </c>
      <c r="AD3014">
        <v>-0.25064710000000001</v>
      </c>
      <c r="AE3014">
        <v>6.8799999999953301E-2</v>
      </c>
      <c r="AF3014">
        <v>5.9043478900831801E-2</v>
      </c>
      <c r="AG3014">
        <v>-0.25064710000000001</v>
      </c>
      <c r="AH3014">
        <v>0.49322761874161197</v>
      </c>
      <c r="AI3014">
        <v>116.77436508378899</v>
      </c>
      <c r="AJ3014">
        <v>83.173698597621296</v>
      </c>
      <c r="AK3014">
        <v>0.55640235893518997</v>
      </c>
      <c r="AL3014">
        <v>81.496043608154807</v>
      </c>
      <c r="AM3014">
        <v>90.118780628239804</v>
      </c>
      <c r="AN3014">
        <v>0.99999997048876998</v>
      </c>
    </row>
    <row r="3015" spans="1:40" x14ac:dyDescent="0.25">
      <c r="A3015" t="str">
        <f>"20190303161934734"</f>
        <v>20190303161934734</v>
      </c>
      <c r="B3015" t="str">
        <f>"1551601174726058"</f>
        <v>1551601174726058</v>
      </c>
      <c r="C3015" t="s">
        <v>40</v>
      </c>
      <c r="D3015">
        <v>4.7759340000000003</v>
      </c>
      <c r="E3015">
        <v>0.53619150000000004</v>
      </c>
      <c r="F3015" t="s">
        <v>42</v>
      </c>
      <c r="G3015">
        <v>-247.26769999999999</v>
      </c>
      <c r="H3015">
        <v>0.87292890000000001</v>
      </c>
      <c r="I3015">
        <v>283.78309999999999</v>
      </c>
      <c r="J3015">
        <v>-246.70699999999999</v>
      </c>
      <c r="K3015">
        <v>1.1218760000000001</v>
      </c>
      <c r="L3015">
        <v>283.71550000000002</v>
      </c>
      <c r="M3015">
        <v>-0.99990060000000003</v>
      </c>
      <c r="N3015">
        <v>-1.3955510000000001E-2</v>
      </c>
      <c r="O3015">
        <v>-2.0942339999999999E-3</v>
      </c>
      <c r="P3015">
        <v>-0.99092670000000005</v>
      </c>
      <c r="Q3015">
        <v>0.13430259999999999</v>
      </c>
      <c r="R3015">
        <v>-5.2619160000000002E-3</v>
      </c>
      <c r="S3015">
        <v>-3.1659700000000002</v>
      </c>
      <c r="T3015">
        <v>-1.017396</v>
      </c>
      <c r="U3015">
        <v>0.27291870000000001</v>
      </c>
      <c r="V3015">
        <v>-3.2537059999999999E-3</v>
      </c>
      <c r="W3015">
        <v>0.14811729999999901</v>
      </c>
      <c r="X3015">
        <v>0.98896439999999997</v>
      </c>
      <c r="Y3015">
        <v>8.3508429999999995E-2</v>
      </c>
      <c r="Z3015">
        <v>1.429129E-2</v>
      </c>
      <c r="AA3015">
        <v>0.99640459999999997</v>
      </c>
      <c r="AB3015">
        <v>21</v>
      </c>
      <c r="AC3015">
        <v>-0.56069999999999698</v>
      </c>
      <c r="AD3015">
        <v>-0.2489471</v>
      </c>
      <c r="AE3015">
        <v>6.7599999999970295E-2</v>
      </c>
      <c r="AF3015">
        <v>5.75850868934734E-2</v>
      </c>
      <c r="AG3015">
        <v>-0.2489471</v>
      </c>
      <c r="AH3015">
        <v>0.46935817386259299</v>
      </c>
      <c r="AI3015">
        <v>117.764631732591</v>
      </c>
      <c r="AJ3015">
        <v>83.005393751243901</v>
      </c>
      <c r="AK3015">
        <v>0.53440415062251101</v>
      </c>
      <c r="AL3015">
        <v>81.482162526793402</v>
      </c>
      <c r="AM3015">
        <v>90.1885031948093</v>
      </c>
      <c r="AN3015">
        <v>0.99999995281469101</v>
      </c>
    </row>
    <row r="3016" spans="1:40" x14ac:dyDescent="0.25">
      <c r="A3016" t="str">
        <f>"20190303161934756"</f>
        <v>20190303161934756</v>
      </c>
      <c r="B3016" t="str">
        <f>"1551601174745581"</f>
        <v>1551601174745581</v>
      </c>
      <c r="C3016" t="s">
        <v>40</v>
      </c>
      <c r="D3016">
        <v>4.7809429999999997</v>
      </c>
      <c r="E3016">
        <v>0.53606239999999905</v>
      </c>
      <c r="F3016" t="s">
        <v>42</v>
      </c>
      <c r="G3016">
        <v>-247.46109999999999</v>
      </c>
      <c r="H3016">
        <v>0.88024840000000004</v>
      </c>
      <c r="I3016">
        <v>283.77949999999998</v>
      </c>
      <c r="J3016">
        <v>-246.9171</v>
      </c>
      <c r="K3016">
        <v>1.1218859999999999</v>
      </c>
      <c r="L3016">
        <v>283.71469999999999</v>
      </c>
      <c r="M3016">
        <v>-0.99989989999999995</v>
      </c>
      <c r="N3016">
        <v>-1.393936E-2</v>
      </c>
      <c r="O3016">
        <v>-2.4781959999999998E-3</v>
      </c>
      <c r="P3016">
        <v>-0.9908458</v>
      </c>
      <c r="Q3016">
        <v>0.1348201</v>
      </c>
      <c r="R3016">
        <v>-6.9541169999999897E-3</v>
      </c>
      <c r="S3016">
        <v>-3.1663969999999999</v>
      </c>
      <c r="T3016">
        <v>-1.014597</v>
      </c>
      <c r="U3016">
        <v>0.2677002</v>
      </c>
      <c r="V3016">
        <v>-4.56858E-3</v>
      </c>
      <c r="W3016">
        <v>0.1486172</v>
      </c>
      <c r="X3016">
        <v>0.98888430000000005</v>
      </c>
      <c r="Y3016">
        <v>8.2317669999999996E-2</v>
      </c>
      <c r="Z3016">
        <v>1.4173969999999999E-2</v>
      </c>
      <c r="AA3016">
        <v>0.99650530000000004</v>
      </c>
      <c r="AB3016">
        <v>21</v>
      </c>
      <c r="AC3016">
        <v>-0.54399999999998205</v>
      </c>
      <c r="AD3016">
        <v>-0.24163760000000001</v>
      </c>
      <c r="AE3016">
        <v>6.4799999999991004E-2</v>
      </c>
      <c r="AF3016">
        <v>5.5375278958782401E-2</v>
      </c>
      <c r="AG3016">
        <v>-0.24163760000000001</v>
      </c>
      <c r="AH3016">
        <v>0.45526899910101298</v>
      </c>
      <c r="AI3016">
        <v>117.78361545340501</v>
      </c>
      <c r="AJ3016">
        <v>83.065065122281197</v>
      </c>
      <c r="AK3016">
        <v>0.51838693347340603</v>
      </c>
      <c r="AL3016">
        <v>81.453200664349595</v>
      </c>
      <c r="AM3016">
        <v>90.264700825033302</v>
      </c>
      <c r="AN3016">
        <v>1.00000005142277</v>
      </c>
    </row>
    <row r="3017" spans="1:40" x14ac:dyDescent="0.25">
      <c r="A3017" t="str">
        <f>"20190303161934779"</f>
        <v>20190303161934779</v>
      </c>
      <c r="B3017" t="str">
        <f>"1551601174775473"</f>
        <v>1551601174775473</v>
      </c>
      <c r="C3017" t="s">
        <v>40</v>
      </c>
      <c r="D3017">
        <v>4.8097479999999999</v>
      </c>
      <c r="E3017">
        <v>0.53614099999999998</v>
      </c>
      <c r="F3017" t="s">
        <v>42</v>
      </c>
      <c r="G3017">
        <v>-247.65369999999999</v>
      </c>
      <c r="H3017">
        <v>0.88619859999999995</v>
      </c>
      <c r="I3017">
        <v>283.77510000000001</v>
      </c>
      <c r="J3017">
        <v>-247.1319</v>
      </c>
      <c r="K3017">
        <v>1.1218950000000001</v>
      </c>
      <c r="L3017">
        <v>283.71370000000002</v>
      </c>
      <c r="M3017">
        <v>-0.99989899999999998</v>
      </c>
      <c r="N3017">
        <v>-1.392442E-2</v>
      </c>
      <c r="O3017">
        <v>-2.8781129999999999E-3</v>
      </c>
      <c r="P3017">
        <v>-0.99075279999999999</v>
      </c>
      <c r="Q3017">
        <v>0.13542390000000001</v>
      </c>
      <c r="R3017">
        <v>-8.3277360000000005E-3</v>
      </c>
      <c r="S3017">
        <v>-3.1674349999999998</v>
      </c>
      <c r="T3017">
        <v>-1.01345</v>
      </c>
      <c r="U3017">
        <v>0.25933840000000002</v>
      </c>
      <c r="V3017">
        <v>-5.5484059999999997E-3</v>
      </c>
      <c r="W3017">
        <v>0.14920420000000001</v>
      </c>
      <c r="X3017">
        <v>0.98879079999999997</v>
      </c>
      <c r="Y3017">
        <v>8.0179970000000003E-2</v>
      </c>
      <c r="Z3017">
        <v>1.3926559999999999E-2</v>
      </c>
      <c r="AA3017">
        <v>0.99668310000000004</v>
      </c>
      <c r="AB3017">
        <v>21</v>
      </c>
      <c r="AC3017">
        <v>-0.52179999999998405</v>
      </c>
      <c r="AD3017">
        <v>-0.2356964</v>
      </c>
      <c r="AE3017">
        <v>6.1399999999991899E-2</v>
      </c>
      <c r="AF3017">
        <v>5.2363735903140501E-2</v>
      </c>
      <c r="AG3017">
        <v>-0.2356964</v>
      </c>
      <c r="AH3017">
        <v>0.43423363634807999</v>
      </c>
      <c r="AI3017">
        <v>118.319475964091</v>
      </c>
      <c r="AJ3017">
        <v>83.123969088948698</v>
      </c>
      <c r="AK3017">
        <v>0.49684364215190502</v>
      </c>
      <c r="AL3017">
        <v>81.419188061192102</v>
      </c>
      <c r="AM3017">
        <v>90.321500675715299</v>
      </c>
      <c r="AN3017">
        <v>0.99999996213570896</v>
      </c>
    </row>
    <row r="3018" spans="1:40" x14ac:dyDescent="0.25">
      <c r="A3018" t="str">
        <f>"20190303161934800"</f>
        <v>20190303161934800</v>
      </c>
      <c r="B3018" t="str">
        <f>"1551601174795969"</f>
        <v>1551601174795969</v>
      </c>
      <c r="C3018" t="s">
        <v>40</v>
      </c>
      <c r="D3018">
        <v>4.790972</v>
      </c>
      <c r="E3018">
        <v>0.53621359999999996</v>
      </c>
      <c r="F3018" t="s">
        <v>42</v>
      </c>
      <c r="G3018">
        <v>-247.84690000000001</v>
      </c>
      <c r="H3018">
        <v>0.89406189999999996</v>
      </c>
      <c r="I3018">
        <v>283.77120000000002</v>
      </c>
      <c r="J3018">
        <v>-247.33860000000001</v>
      </c>
      <c r="K3018">
        <v>1.121909</v>
      </c>
      <c r="L3018">
        <v>283.71260000000001</v>
      </c>
      <c r="M3018">
        <v>-0.99989790000000001</v>
      </c>
      <c r="N3018">
        <v>-1.3911359999999999E-2</v>
      </c>
      <c r="O3018">
        <v>-3.2653869999999998E-3</v>
      </c>
      <c r="P3018">
        <v>-0.9906026</v>
      </c>
      <c r="Q3018">
        <v>0.13642550000000001</v>
      </c>
      <c r="R3018">
        <v>-9.7257460000000004E-3</v>
      </c>
      <c r="S3018">
        <v>-3.1681210000000002</v>
      </c>
      <c r="T3018">
        <v>-1.0095000000000001</v>
      </c>
      <c r="U3018">
        <v>0.25418089999999999</v>
      </c>
      <c r="V3018">
        <v>-6.5653639999999997E-3</v>
      </c>
      <c r="W3018">
        <v>0.15019009999999999</v>
      </c>
      <c r="X3018">
        <v>0.98863540000000005</v>
      </c>
      <c r="Y3018">
        <v>7.9012319999999997E-2</v>
      </c>
      <c r="Z3018">
        <v>1.379962E-2</v>
      </c>
      <c r="AA3018">
        <v>0.9967781</v>
      </c>
      <c r="AB3018">
        <v>21</v>
      </c>
      <c r="AC3018">
        <v>-0.50829999999999098</v>
      </c>
      <c r="AD3018">
        <v>-0.2278471</v>
      </c>
      <c r="AE3018">
        <v>5.86000000000126E-2</v>
      </c>
      <c r="AF3018">
        <v>5.02878041096066E-2</v>
      </c>
      <c r="AG3018">
        <v>-0.2278471</v>
      </c>
      <c r="AH3018">
        <v>0.42402392527274901</v>
      </c>
      <c r="AI3018">
        <v>118.08462158316</v>
      </c>
      <c r="AJ3018">
        <v>83.236506044686493</v>
      </c>
      <c r="AK3018">
        <v>0.48398290612818801</v>
      </c>
      <c r="AL3018">
        <v>81.362057252225298</v>
      </c>
      <c r="AM3018">
        <v>90.380486191940406</v>
      </c>
      <c r="AN3018">
        <v>1.0000000621378</v>
      </c>
    </row>
    <row r="3019" spans="1:40" x14ac:dyDescent="0.25">
      <c r="A3019" t="str">
        <f>"20190303161934824"</f>
        <v>20190303161934824</v>
      </c>
      <c r="B3019" t="str">
        <f>"1551601174815489"</f>
        <v>1551601174815489</v>
      </c>
      <c r="C3019" t="s">
        <v>40</v>
      </c>
      <c r="D3019">
        <v>4.8114229999999996</v>
      </c>
      <c r="E3019">
        <v>0.53615769999999996</v>
      </c>
      <c r="F3019" t="s">
        <v>42</v>
      </c>
      <c r="G3019">
        <v>-248.03919999999999</v>
      </c>
      <c r="H3019">
        <v>0.89958669999999996</v>
      </c>
      <c r="I3019">
        <v>283.76780000000002</v>
      </c>
      <c r="J3019">
        <v>-247.55850000000001</v>
      </c>
      <c r="K3019">
        <v>1.1219170000000001</v>
      </c>
      <c r="L3019">
        <v>283.71140000000003</v>
      </c>
      <c r="M3019">
        <v>-0.99989669999999997</v>
      </c>
      <c r="N3019">
        <v>-1.389542E-2</v>
      </c>
      <c r="O3019">
        <v>-3.679084E-3</v>
      </c>
      <c r="P3019">
        <v>-0.990506</v>
      </c>
      <c r="Q3019">
        <v>0.13710849999999999</v>
      </c>
      <c r="R3019">
        <v>-9.9488479999999997E-3</v>
      </c>
      <c r="S3019">
        <v>-3.1694179999999998</v>
      </c>
      <c r="T3019">
        <v>-1.0057430000000001</v>
      </c>
      <c r="U3019">
        <v>0.24948119999999999</v>
      </c>
      <c r="V3019">
        <v>-6.3803840000000002E-3</v>
      </c>
      <c r="W3019">
        <v>0.1508562</v>
      </c>
      <c r="X3019">
        <v>0.9885351</v>
      </c>
      <c r="Y3019">
        <v>7.7989950000000002E-2</v>
      </c>
      <c r="Z3019">
        <v>1.3704300000000001E-2</v>
      </c>
      <c r="AA3019">
        <v>0.99685999999999997</v>
      </c>
      <c r="AB3019">
        <v>21</v>
      </c>
      <c r="AC3019">
        <v>-0.48069999999998397</v>
      </c>
      <c r="AD3019">
        <v>-0.22233030000000001</v>
      </c>
      <c r="AE3019">
        <v>5.6399999999996397E-2</v>
      </c>
      <c r="AF3019">
        <v>4.8032742519829398E-2</v>
      </c>
      <c r="AG3019">
        <v>-0.22233030000000001</v>
      </c>
      <c r="AH3019">
        <v>0.39676603042214498</v>
      </c>
      <c r="AI3019">
        <v>119.086950305277</v>
      </c>
      <c r="AJ3019">
        <v>83.097327601495905</v>
      </c>
      <c r="AK3019">
        <v>0.45734143650998099</v>
      </c>
      <c r="AL3019">
        <v>81.3234519154921</v>
      </c>
      <c r="AM3019">
        <v>90.369803761726303</v>
      </c>
      <c r="AN3019">
        <v>0.99999997315521805</v>
      </c>
    </row>
    <row r="3020" spans="1:40" x14ac:dyDescent="0.25">
      <c r="A3020" t="str">
        <f>"20190303161934845"</f>
        <v>20190303161934845</v>
      </c>
      <c r="B3020" t="str">
        <f>"1551601174835985"</f>
        <v>1551601174835985</v>
      </c>
      <c r="C3020" t="s">
        <v>40</v>
      </c>
      <c r="D3020">
        <v>4.9396180000000003</v>
      </c>
      <c r="E3020">
        <v>0.53309640000000003</v>
      </c>
      <c r="F3020" t="s">
        <v>42</v>
      </c>
      <c r="G3020">
        <v>-248.23249999999999</v>
      </c>
      <c r="H3020">
        <v>0.908107</v>
      </c>
      <c r="I3020">
        <v>283.76429999999999</v>
      </c>
      <c r="J3020">
        <v>-247.76349999999999</v>
      </c>
      <c r="K3020">
        <v>1.121912</v>
      </c>
      <c r="L3020">
        <v>283.71019999999999</v>
      </c>
      <c r="M3020">
        <v>-0.99989550000000005</v>
      </c>
      <c r="N3020">
        <v>-1.3876070000000001E-2</v>
      </c>
      <c r="O3020">
        <v>-4.0647180000000002E-3</v>
      </c>
      <c r="P3020">
        <v>-0.99050740000000004</v>
      </c>
      <c r="Q3020">
        <v>0.13712179999999999</v>
      </c>
      <c r="R3020">
        <v>-9.6280540000000005E-3</v>
      </c>
      <c r="S3020">
        <v>-3.1704560000000002</v>
      </c>
      <c r="T3020">
        <v>-1.0057560000000001</v>
      </c>
      <c r="U3020">
        <v>0.24746699999999999</v>
      </c>
      <c r="V3020">
        <v>-5.678046E-3</v>
      </c>
      <c r="W3020">
        <v>0.1508505</v>
      </c>
      <c r="X3020">
        <v>0.98854030000000004</v>
      </c>
      <c r="Y3020">
        <v>7.7718460000000003E-2</v>
      </c>
      <c r="Z3020">
        <v>1.3770050000000001E-2</v>
      </c>
      <c r="AA3020">
        <v>0.99688019999999999</v>
      </c>
      <c r="AB3020">
        <v>21</v>
      </c>
      <c r="AC3020">
        <v>-0.46899999999999398</v>
      </c>
      <c r="AD3020">
        <v>-0.213805</v>
      </c>
      <c r="AE3020">
        <v>5.4100000000005297E-2</v>
      </c>
      <c r="AF3020">
        <v>4.6474521738911097E-2</v>
      </c>
      <c r="AG3020">
        <v>-0.213805</v>
      </c>
      <c r="AH3020">
        <v>0.38899609158944598</v>
      </c>
      <c r="AI3020">
        <v>118.623575322409</v>
      </c>
      <c r="AJ3020">
        <v>83.186995889413296</v>
      </c>
      <c r="AK3020">
        <v>0.44630753799115302</v>
      </c>
      <c r="AL3020">
        <v>81.323782684164399</v>
      </c>
      <c r="AM3020">
        <v>90.329095833530801</v>
      </c>
      <c r="AN3020">
        <v>1.00000001914035</v>
      </c>
    </row>
    <row r="3021" spans="1:40" x14ac:dyDescent="0.25">
      <c r="A3021" t="str">
        <f>"20190303161934869"</f>
        <v>20190303161934869</v>
      </c>
      <c r="B3021" t="str">
        <f>"1551601174865265"</f>
        <v>1551601174865265</v>
      </c>
      <c r="C3021" t="s">
        <v>40</v>
      </c>
      <c r="D3021">
        <v>4.8499220000000003</v>
      </c>
      <c r="E3021">
        <v>0.50715209999999999</v>
      </c>
      <c r="F3021" t="s">
        <v>42</v>
      </c>
      <c r="G3021">
        <v>-248.60419999999999</v>
      </c>
      <c r="H3021">
        <v>0.8943044</v>
      </c>
      <c r="I3021">
        <v>283.77030000000002</v>
      </c>
      <c r="J3021">
        <v>-247.98419999999999</v>
      </c>
      <c r="K3021">
        <v>1.1219129999999999</v>
      </c>
      <c r="L3021">
        <v>283.7088</v>
      </c>
      <c r="M3021">
        <v>-0.99989410000000001</v>
      </c>
      <c r="N3021">
        <v>-1.38527999999999E-2</v>
      </c>
      <c r="O3021">
        <v>-4.4779659999999999E-3</v>
      </c>
      <c r="P3021">
        <v>-0.99033490000000002</v>
      </c>
      <c r="Q3021">
        <v>0.13834659999999999</v>
      </c>
      <c r="R3021">
        <v>-9.8478139999999999E-3</v>
      </c>
      <c r="S3021">
        <v>-3.1489720000000001</v>
      </c>
      <c r="T3021">
        <v>-0.85261600000000004</v>
      </c>
      <c r="U3021">
        <v>0.2241821</v>
      </c>
      <c r="V3021">
        <v>-5.4908329999999997E-3</v>
      </c>
      <c r="W3021">
        <v>0.15204960000000001</v>
      </c>
      <c r="X3021">
        <v>0.98835759999999995</v>
      </c>
      <c r="Y3021">
        <v>7.2594660000000005E-2</v>
      </c>
      <c r="Z3021">
        <v>1.1284000000000001E-2</v>
      </c>
      <c r="AA3021">
        <v>0.99729769999999895</v>
      </c>
      <c r="AB3021">
        <v>21</v>
      </c>
      <c r="AC3021">
        <v>-0.62000000000000399</v>
      </c>
      <c r="AD3021">
        <v>-0.227608599999999</v>
      </c>
      <c r="AE3021">
        <v>6.1500000000023598E-2</v>
      </c>
      <c r="AF3021">
        <v>5.6707914900080501E-2</v>
      </c>
      <c r="AG3021">
        <v>-0.227608599999999</v>
      </c>
      <c r="AH3021">
        <v>0.54675061358381005</v>
      </c>
      <c r="AI3021">
        <v>112.49307895474701</v>
      </c>
      <c r="AJ3021">
        <v>84.078565281249396</v>
      </c>
      <c r="AK3021">
        <v>0.59494343921128101</v>
      </c>
      <c r="AL3021">
        <v>81.254277287804896</v>
      </c>
      <c r="AM3021">
        <v>90.318304144552201</v>
      </c>
      <c r="AN3021">
        <v>0.99999998779247601</v>
      </c>
    </row>
    <row r="3022" spans="1:40" x14ac:dyDescent="0.25">
      <c r="A3022" t="str">
        <f>"20190303161934892"</f>
        <v>20190303161934892</v>
      </c>
      <c r="B3022" t="str">
        <f>"1551601174885350"</f>
        <v>1551601174885350</v>
      </c>
      <c r="C3022" t="s">
        <v>40</v>
      </c>
      <c r="D3022">
        <v>5.0420870000000004</v>
      </c>
      <c r="E3022">
        <v>0.50190109999999999</v>
      </c>
      <c r="F3022" t="s">
        <v>52</v>
      </c>
      <c r="G3022">
        <v>-261.29660000000001</v>
      </c>
      <c r="H3022" s="1">
        <v>-8.4680850000000001E-7</v>
      </c>
      <c r="I3022">
        <v>283.80349999999999</v>
      </c>
      <c r="J3022">
        <v>-248.19919999999999</v>
      </c>
      <c r="K3022">
        <v>1.121912</v>
      </c>
      <c r="L3022">
        <v>283.70740000000001</v>
      </c>
      <c r="M3022">
        <v>-0.99989240000000001</v>
      </c>
      <c r="N3022">
        <v>-1.3830739999999999E-2</v>
      </c>
      <c r="O3022">
        <v>-4.8792870000000004E-3</v>
      </c>
      <c r="P3022">
        <v>-0.99008969999999996</v>
      </c>
      <c r="Q3022">
        <v>0.1400767</v>
      </c>
      <c r="R3022">
        <v>-1.0045699999999999E-2</v>
      </c>
      <c r="S3022">
        <v>-3.065582</v>
      </c>
      <c r="T3022">
        <v>-0.25835409999999998</v>
      </c>
      <c r="U3022">
        <v>2.1789550000000001E-2</v>
      </c>
      <c r="V3022">
        <v>-5.2928929999999999E-3</v>
      </c>
      <c r="W3022">
        <v>0.15375539999999999</v>
      </c>
      <c r="X3022">
        <v>0.98809469999999999</v>
      </c>
      <c r="Y3022">
        <v>1.192585E-2</v>
      </c>
      <c r="Z3022">
        <v>9.2736710000000005E-4</v>
      </c>
      <c r="AA3022">
        <v>0.9999285</v>
      </c>
      <c r="AB3022">
        <v>21</v>
      </c>
      <c r="AC3022">
        <v>-13.0974</v>
      </c>
      <c r="AD3022">
        <v>-1.1219128468085</v>
      </c>
      <c r="AE3022">
        <v>9.6099999999978494E-2</v>
      </c>
      <c r="AF3022">
        <v>0.158845479636545</v>
      </c>
      <c r="AG3022">
        <v>-1.1219128468085</v>
      </c>
      <c r="AH3022">
        <v>13.001382619697599</v>
      </c>
      <c r="AI3022">
        <v>94.931573003157794</v>
      </c>
      <c r="AJ3022">
        <v>89.3000188485736</v>
      </c>
      <c r="AK3022">
        <v>13.0506655135288</v>
      </c>
      <c r="AL3022">
        <v>81.155378764846503</v>
      </c>
      <c r="AM3022">
        <v>90.306911402108199</v>
      </c>
      <c r="AN3022">
        <v>0.99999993695677702</v>
      </c>
    </row>
    <row r="3023" spans="1:40" x14ac:dyDescent="0.25">
      <c r="A3023" t="str">
        <f>"20190303161934913"</f>
        <v>20190303161934913</v>
      </c>
      <c r="B3023" t="str">
        <f>"1551601174905849"</f>
        <v>1551601174905849</v>
      </c>
      <c r="C3023" t="s">
        <v>40</v>
      </c>
      <c r="D3023">
        <v>5.0364120000000003</v>
      </c>
      <c r="E3023">
        <v>0.50004229999999905</v>
      </c>
      <c r="F3023" t="s">
        <v>52</v>
      </c>
      <c r="G3023">
        <v>-268.52179999999998</v>
      </c>
      <c r="H3023" s="1">
        <v>2.9980829999999999E-6</v>
      </c>
      <c r="I3023">
        <v>283.57130000000001</v>
      </c>
      <c r="J3023">
        <v>-248.40899999999999</v>
      </c>
      <c r="K3023">
        <v>1.1219140000000001</v>
      </c>
      <c r="L3023">
        <v>283.70589999999999</v>
      </c>
      <c r="M3023">
        <v>-0.99989090000000003</v>
      </c>
      <c r="N3023">
        <v>-1.3810960000000001E-2</v>
      </c>
      <c r="O3023">
        <v>-5.2689269999999996E-3</v>
      </c>
      <c r="P3023">
        <v>-0.99009740000000002</v>
      </c>
      <c r="Q3023">
        <v>0.14004759999999999</v>
      </c>
      <c r="R3023">
        <v>-9.7104830000000007E-3</v>
      </c>
      <c r="S3023">
        <v>-3.0536650000000001</v>
      </c>
      <c r="T3023">
        <v>-0.16857800000000001</v>
      </c>
      <c r="U3023">
        <v>-2.0446780000000001E-2</v>
      </c>
      <c r="V3023">
        <v>-4.5711099999999998E-3</v>
      </c>
      <c r="W3023">
        <v>0.15370690000000001</v>
      </c>
      <c r="X3023">
        <v>0.98810589999999998</v>
      </c>
      <c r="Y3023">
        <v>-1.428052E-3</v>
      </c>
      <c r="Z3023">
        <v>1.6865559999999999E-4</v>
      </c>
      <c r="AA3023">
        <v>0.99999899999999997</v>
      </c>
      <c r="AB3023">
        <v>21</v>
      </c>
      <c r="AC3023">
        <v>-20.112799999999901</v>
      </c>
      <c r="AD3023">
        <v>-1.12191100191699</v>
      </c>
      <c r="AE3023">
        <v>-0.13459999999997699</v>
      </c>
      <c r="AF3023">
        <v>-2.85264085058483E-2</v>
      </c>
      <c r="AG3023">
        <v>-1.12191100191699</v>
      </c>
      <c r="AH3023">
        <v>20.050844341715599</v>
      </c>
      <c r="AI3023">
        <v>93.2025456071203</v>
      </c>
      <c r="AJ3023">
        <v>90.081514857002801</v>
      </c>
      <c r="AK3023">
        <v>20.082227388113999</v>
      </c>
      <c r="AL3023">
        <v>81.158191494564704</v>
      </c>
      <c r="AM3023">
        <v>90.265056045469393</v>
      </c>
      <c r="AN3023">
        <v>0.99999998788452504</v>
      </c>
    </row>
    <row r="3024" spans="1:40" x14ac:dyDescent="0.25">
      <c r="A3024" t="str">
        <f>"20190303161934936"</f>
        <v>20190303161934936</v>
      </c>
      <c r="B3024" t="str">
        <f>"1551601174925367"</f>
        <v>1551601174925367</v>
      </c>
      <c r="C3024" t="s">
        <v>40</v>
      </c>
      <c r="D3024">
        <v>5.032724</v>
      </c>
      <c r="E3024">
        <v>0.49868449999999998</v>
      </c>
      <c r="F3024" t="s">
        <v>52</v>
      </c>
      <c r="G3024">
        <v>-271.43049999999999</v>
      </c>
      <c r="H3024" s="1">
        <v>-7.2461189999999999E-7</v>
      </c>
      <c r="I3024">
        <v>283.45139999999998</v>
      </c>
      <c r="J3024">
        <v>-248.61</v>
      </c>
      <c r="K3024">
        <v>1.121912</v>
      </c>
      <c r="L3024">
        <v>283.70440000000002</v>
      </c>
      <c r="M3024">
        <v>-0.99988900000000003</v>
      </c>
      <c r="N3024">
        <v>-1.379354E-2</v>
      </c>
      <c r="O3024">
        <v>-5.6393669999999898E-3</v>
      </c>
      <c r="P3024">
        <v>-0.9901295</v>
      </c>
      <c r="Q3024">
        <v>0.1398501</v>
      </c>
      <c r="R3024">
        <v>-9.2331510000000002E-3</v>
      </c>
      <c r="S3024">
        <v>-3.0507200000000001</v>
      </c>
      <c r="T3024">
        <v>-0.14867139999999901</v>
      </c>
      <c r="U3024">
        <v>-3.3721920000000002E-2</v>
      </c>
      <c r="V3024">
        <v>-3.7264329999999999E-3</v>
      </c>
      <c r="W3024">
        <v>0.15349299999999999</v>
      </c>
      <c r="X3024">
        <v>0.98814270000000004</v>
      </c>
      <c r="Y3024">
        <v>-5.4085510000000002E-3</v>
      </c>
      <c r="Z3024" s="1">
        <v>2.785519E-5</v>
      </c>
      <c r="AA3024">
        <v>0.99998540000000002</v>
      </c>
      <c r="AB3024">
        <v>21</v>
      </c>
      <c r="AC3024">
        <v>-22.8204999999999</v>
      </c>
      <c r="AD3024">
        <v>-1.1219127246118901</v>
      </c>
      <c r="AE3024">
        <v>-0.25300000000004202</v>
      </c>
      <c r="AF3024">
        <v>-0.123990918912999</v>
      </c>
      <c r="AG3024">
        <v>-1.1219127246118901</v>
      </c>
      <c r="AH3024">
        <v>22.766545089325</v>
      </c>
      <c r="AI3024">
        <v>92.821155115669399</v>
      </c>
      <c r="AJ3024">
        <v>90.312040587901805</v>
      </c>
      <c r="AK3024">
        <v>22.794508926798301</v>
      </c>
      <c r="AL3024">
        <v>81.170594275766305</v>
      </c>
      <c r="AM3024">
        <v>90.216069876753195</v>
      </c>
      <c r="AN3024">
        <v>0.99999999145759599</v>
      </c>
    </row>
    <row r="3025" spans="1:40" x14ac:dyDescent="0.25">
      <c r="A3025" t="str">
        <f>"20190303161934958"</f>
        <v>20190303161934958</v>
      </c>
      <c r="B3025" t="str">
        <f>"1551601174945862"</f>
        <v>1551601174945862</v>
      </c>
      <c r="C3025" t="s">
        <v>40</v>
      </c>
      <c r="D3025">
        <v>5.0220039999999999</v>
      </c>
      <c r="E3025">
        <v>0.4980308</v>
      </c>
      <c r="F3025" t="s">
        <v>52</v>
      </c>
      <c r="G3025">
        <v>-272.53469999999999</v>
      </c>
      <c r="H3025" s="1">
        <v>-1.3331709999999999E-7</v>
      </c>
      <c r="I3025">
        <v>283.36689999999999</v>
      </c>
      <c r="J3025">
        <v>-248.82239999999999</v>
      </c>
      <c r="K3025">
        <v>1.121907</v>
      </c>
      <c r="L3025">
        <v>283.70269999999999</v>
      </c>
      <c r="M3025">
        <v>-0.99988690000000002</v>
      </c>
      <c r="N3025">
        <v>-1.377628E-2</v>
      </c>
      <c r="O3025">
        <v>-6.0237119999999996E-3</v>
      </c>
      <c r="P3025">
        <v>-0.99005880000000002</v>
      </c>
      <c r="Q3025">
        <v>0.14031930000000001</v>
      </c>
      <c r="R3025">
        <v>-9.6914410000000003E-3</v>
      </c>
      <c r="S3025">
        <v>-3.0496979999999998</v>
      </c>
      <c r="T3025">
        <v>-0.14301059999999999</v>
      </c>
      <c r="U3025">
        <v>-4.3029789999999998E-2</v>
      </c>
      <c r="V3025">
        <v>-3.802494E-3</v>
      </c>
      <c r="W3025">
        <v>0.15394440000000001</v>
      </c>
      <c r="X3025">
        <v>0.98807219999999996</v>
      </c>
      <c r="Y3025">
        <v>-8.0759979999999992E-3</v>
      </c>
      <c r="Z3025" s="1">
        <v>-4.5570060000000003E-5</v>
      </c>
      <c r="AA3025">
        <v>0.99996739999999995</v>
      </c>
      <c r="AB3025">
        <v>21</v>
      </c>
      <c r="AC3025">
        <v>-23.712299999999999</v>
      </c>
      <c r="AD3025">
        <v>-1.1219071333171</v>
      </c>
      <c r="AE3025">
        <v>-0.33580000000000598</v>
      </c>
      <c r="AF3025">
        <v>-0.192513411943422</v>
      </c>
      <c r="AG3025">
        <v>-1.1219071333171</v>
      </c>
      <c r="AH3025">
        <v>23.660937138227101</v>
      </c>
      <c r="AI3025">
        <v>92.714614046727306</v>
      </c>
      <c r="AJ3025">
        <v>90.4661676141275</v>
      </c>
      <c r="AK3025">
        <v>23.688302667956201</v>
      </c>
      <c r="AL3025">
        <v>81.144419987824705</v>
      </c>
      <c r="AM3025">
        <v>90.220495812234901</v>
      </c>
      <c r="AN3025">
        <v>1.0000000048324</v>
      </c>
    </row>
    <row r="3026" spans="1:40" x14ac:dyDescent="0.25">
      <c r="A3026" t="str">
        <f>"20190303161934981"</f>
        <v>20190303161934981</v>
      </c>
      <c r="B3026" t="str">
        <f>"1551601174975874"</f>
        <v>1551601174975874</v>
      </c>
      <c r="C3026" t="s">
        <v>40</v>
      </c>
      <c r="D3026">
        <v>5.0172869999999996</v>
      </c>
      <c r="E3026">
        <v>0.49778620000000001</v>
      </c>
      <c r="F3026" t="s">
        <v>52</v>
      </c>
      <c r="G3026">
        <v>-273.47230000000002</v>
      </c>
      <c r="H3026" s="1">
        <v>3.682835E-7</v>
      </c>
      <c r="I3026">
        <v>283.30549999999999</v>
      </c>
      <c r="J3026">
        <v>-249.03800000000001</v>
      </c>
      <c r="K3026">
        <v>1.121902</v>
      </c>
      <c r="L3026">
        <v>283.70100000000002</v>
      </c>
      <c r="M3026">
        <v>-0.99988480000000002</v>
      </c>
      <c r="N3026">
        <v>-1.3760110000000001E-2</v>
      </c>
      <c r="O3026">
        <v>-6.4021599999999996E-3</v>
      </c>
      <c r="P3026">
        <v>-0.98989579999999999</v>
      </c>
      <c r="Q3026">
        <v>0.14139199999999999</v>
      </c>
      <c r="R3026">
        <v>-1.071745E-2</v>
      </c>
      <c r="S3026">
        <v>-3.0493160000000001</v>
      </c>
      <c r="T3026">
        <v>-0.13878560000000001</v>
      </c>
      <c r="U3026">
        <v>-4.9133299999999998E-2</v>
      </c>
      <c r="V3026">
        <v>-4.4519370000000004E-3</v>
      </c>
      <c r="W3026">
        <v>0.1549982</v>
      </c>
      <c r="X3026">
        <v>0.98790469999999997</v>
      </c>
      <c r="Y3026">
        <v>-9.6986820000000001E-3</v>
      </c>
      <c r="Z3026" s="1">
        <v>-8.4214469999999996E-5</v>
      </c>
      <c r="AA3026">
        <v>0.99995299999999998</v>
      </c>
      <c r="AB3026">
        <v>21</v>
      </c>
      <c r="AC3026">
        <v>-24.4343</v>
      </c>
      <c r="AD3026">
        <v>-1.1219016317165</v>
      </c>
      <c r="AE3026">
        <v>-0.39549999999996999</v>
      </c>
      <c r="AF3026">
        <v>-0.23854201862862701</v>
      </c>
      <c r="AG3026">
        <v>-1.1219016317165</v>
      </c>
      <c r="AH3026">
        <v>24.384936826164399</v>
      </c>
      <c r="AI3026">
        <v>92.634079508656797</v>
      </c>
      <c r="AJ3026">
        <v>90.560469566119906</v>
      </c>
      <c r="AK3026">
        <v>24.411896886189101</v>
      </c>
      <c r="AL3026">
        <v>81.083307952405306</v>
      </c>
      <c r="AM3026">
        <v>90.258198461930107</v>
      </c>
      <c r="AN3026">
        <v>0.99999997901419002</v>
      </c>
    </row>
    <row r="3027" spans="1:40" x14ac:dyDescent="0.25">
      <c r="A3027" t="str">
        <f>"20190303161935003"</f>
        <v>20190303161935003</v>
      </c>
      <c r="B3027" t="str">
        <f>"1551601174995395"</f>
        <v>1551601174995395</v>
      </c>
      <c r="C3027" t="s">
        <v>40</v>
      </c>
      <c r="D3027">
        <v>5.0107920000000004</v>
      </c>
      <c r="E3027">
        <v>0.4977338</v>
      </c>
      <c r="F3027" t="s">
        <v>52</v>
      </c>
      <c r="G3027">
        <v>-274.3159</v>
      </c>
      <c r="H3027" s="1">
        <v>8.1920850000000005E-7</v>
      </c>
      <c r="I3027">
        <v>283.26</v>
      </c>
      <c r="J3027">
        <v>-249.2406</v>
      </c>
      <c r="K3027">
        <v>1.121893</v>
      </c>
      <c r="L3027">
        <v>283.69920000000002</v>
      </c>
      <c r="M3027">
        <v>-0.99988290000000002</v>
      </c>
      <c r="N3027">
        <v>-1.374654E-2</v>
      </c>
      <c r="O3027">
        <v>-6.7411119999999996E-3</v>
      </c>
      <c r="P3027">
        <v>-0.9897186</v>
      </c>
      <c r="Q3027">
        <v>0.14252509999999999</v>
      </c>
      <c r="R3027">
        <v>-1.200144E-2</v>
      </c>
      <c r="S3027">
        <v>-3.0493769999999998</v>
      </c>
      <c r="T3027">
        <v>-0.1353395</v>
      </c>
      <c r="U3027">
        <v>-5.3192139999999999E-2</v>
      </c>
      <c r="V3027">
        <v>-5.3978250000000002E-3</v>
      </c>
      <c r="W3027">
        <v>0.156115</v>
      </c>
      <c r="X3027">
        <v>0.98772409999999999</v>
      </c>
      <c r="Y3027">
        <v>-1.0689209999999999E-2</v>
      </c>
      <c r="Z3027">
        <v>-1.042217E-4</v>
      </c>
      <c r="AA3027">
        <v>0.99994280000000002</v>
      </c>
      <c r="AB3027">
        <v>21</v>
      </c>
      <c r="AC3027">
        <v>-25.075299999999999</v>
      </c>
      <c r="AD3027">
        <v>-1.1218921807915001</v>
      </c>
      <c r="AE3027">
        <v>-0.43920000000002701</v>
      </c>
      <c r="AF3027">
        <v>-0.26959915387759897</v>
      </c>
      <c r="AG3027">
        <v>-1.1218921807915001</v>
      </c>
      <c r="AH3027">
        <v>25.027607455151301</v>
      </c>
      <c r="AI3027">
        <v>92.5664843552116</v>
      </c>
      <c r="AJ3027">
        <v>90.617170309777293</v>
      </c>
      <c r="AK3027">
        <v>25.0541904817984</v>
      </c>
      <c r="AL3027">
        <v>81.018531357356196</v>
      </c>
      <c r="AM3027">
        <v>90.313113259330095</v>
      </c>
      <c r="AN3027">
        <v>0.999999963730269</v>
      </c>
    </row>
    <row r="3028" spans="1:40" x14ac:dyDescent="0.25">
      <c r="A3028" t="str">
        <f>"20190303161935026"</f>
        <v>20190303161935026</v>
      </c>
      <c r="B3028" t="str">
        <f>"1551601175015890"</f>
        <v>1551601175015890</v>
      </c>
      <c r="C3028" t="s">
        <v>40</v>
      </c>
      <c r="D3028">
        <v>5.0112040000000002</v>
      </c>
      <c r="E3028">
        <v>0.49771929999999998</v>
      </c>
      <c r="F3028" t="s">
        <v>52</v>
      </c>
      <c r="G3028">
        <v>-274.96910000000003</v>
      </c>
      <c r="H3028" s="1">
        <v>1.1684520000000001E-6</v>
      </c>
      <c r="I3028">
        <v>283.22190000000001</v>
      </c>
      <c r="J3028">
        <v>-249.4562</v>
      </c>
      <c r="K3028">
        <v>1.1218699999999999</v>
      </c>
      <c r="L3028">
        <v>283.69740000000002</v>
      </c>
      <c r="M3028">
        <v>-0.99988060000000001</v>
      </c>
      <c r="N3028">
        <v>-1.37336E-2</v>
      </c>
      <c r="O3028">
        <v>-7.0754199999999998E-3</v>
      </c>
      <c r="P3028">
        <v>-0.98967680000000002</v>
      </c>
      <c r="Q3028">
        <v>0.14274319999999999</v>
      </c>
      <c r="R3028">
        <v>-1.281934E-2</v>
      </c>
      <c r="S3028">
        <v>-3.0496219999999998</v>
      </c>
      <c r="T3028">
        <v>-0.13297900000000001</v>
      </c>
      <c r="U3028">
        <v>-5.6579589999999999E-2</v>
      </c>
      <c r="V3028">
        <v>-5.8780339999999999E-3</v>
      </c>
      <c r="W3028">
        <v>0.1563204</v>
      </c>
      <c r="X3028">
        <v>0.98768889999999998</v>
      </c>
      <c r="Y3028">
        <v>-1.1463289999999999E-2</v>
      </c>
      <c r="Z3028">
        <v>-1.173582E-4</v>
      </c>
      <c r="AA3028">
        <v>0.99993430000000005</v>
      </c>
      <c r="AB3028">
        <v>21</v>
      </c>
      <c r="AC3028">
        <v>-25.512899999999998</v>
      </c>
      <c r="AD3028">
        <v>-1.1218688315479901</v>
      </c>
      <c r="AE3028">
        <v>-0.47550000000001003</v>
      </c>
      <c r="AF3028">
        <v>-0.29438754909367998</v>
      </c>
      <c r="AG3028">
        <v>-1.1218688315479901</v>
      </c>
      <c r="AH3028">
        <v>25.4664014492182</v>
      </c>
      <c r="AI3028">
        <v>92.522246062945698</v>
      </c>
      <c r="AJ3028">
        <v>90.662300595506693</v>
      </c>
      <c r="AK3028">
        <v>25.492800090947298</v>
      </c>
      <c r="AL3028">
        <v>81.006616768083305</v>
      </c>
      <c r="AM3028">
        <v>90.340980407918707</v>
      </c>
      <c r="AN3028">
        <v>0.99999999096153702</v>
      </c>
    </row>
    <row r="3029" spans="1:40" x14ac:dyDescent="0.25">
      <c r="A3029" t="str">
        <f>"20190303161935047"</f>
        <v>20190303161935047</v>
      </c>
      <c r="B3029" t="str">
        <f>"1551601175035410"</f>
        <v>1551601175035410</v>
      </c>
      <c r="C3029" t="s">
        <v>40</v>
      </c>
      <c r="D3029">
        <v>5.0141210000000003</v>
      </c>
      <c r="E3029">
        <v>0.49784289999999998</v>
      </c>
      <c r="F3029" t="s">
        <v>52</v>
      </c>
      <c r="G3029">
        <v>-275.21460000000002</v>
      </c>
      <c r="H3029" s="1">
        <v>1.299969E-6</v>
      </c>
      <c r="I3029">
        <v>283.202</v>
      </c>
      <c r="J3029">
        <v>-249.65369999999999</v>
      </c>
      <c r="K3029">
        <v>1.121842</v>
      </c>
      <c r="L3029">
        <v>283.69560000000001</v>
      </c>
      <c r="M3029">
        <v>-0.99987890000000001</v>
      </c>
      <c r="N3029">
        <v>-1.372288E-2</v>
      </c>
      <c r="O3029">
        <v>-7.3500900000000001E-3</v>
      </c>
      <c r="P3029">
        <v>-0.9897418</v>
      </c>
      <c r="Q3029">
        <v>0.1422051</v>
      </c>
      <c r="R3029">
        <v>-1.3752830000000001E-2</v>
      </c>
      <c r="S3029">
        <v>-3.0496979999999998</v>
      </c>
      <c r="T3029">
        <v>-0.132825</v>
      </c>
      <c r="U3029">
        <v>-5.8654789999999998E-2</v>
      </c>
      <c r="V3029">
        <v>-6.5304229999999996E-3</v>
      </c>
      <c r="W3029">
        <v>0.15577260000000001</v>
      </c>
      <c r="X3029">
        <v>0.98777130000000002</v>
      </c>
      <c r="Y3029">
        <v>-1.186796E-2</v>
      </c>
      <c r="Z3029">
        <v>-1.20689E-4</v>
      </c>
      <c r="AA3029">
        <v>0.99992950000000003</v>
      </c>
      <c r="AB3029">
        <v>21</v>
      </c>
      <c r="AC3029">
        <v>-25.5609</v>
      </c>
      <c r="AD3029">
        <v>-1.121840700031</v>
      </c>
      <c r="AE3029">
        <v>-0.49360000000001403</v>
      </c>
      <c r="AF3029">
        <v>-0.30510658181664702</v>
      </c>
      <c r="AG3029">
        <v>-1.121840700031</v>
      </c>
      <c r="AH3029">
        <v>25.514708659282899</v>
      </c>
      <c r="AI3029">
        <v>92.517402005592601</v>
      </c>
      <c r="AJ3029">
        <v>90.685114084409804</v>
      </c>
      <c r="AK3029">
        <v>25.541181933313101</v>
      </c>
      <c r="AL3029">
        <v>81.038392247421797</v>
      </c>
      <c r="AM3029">
        <v>90.378792363193895</v>
      </c>
      <c r="AN3029">
        <v>0.99999994521950297</v>
      </c>
    </row>
    <row r="3030" spans="1:40" x14ac:dyDescent="0.25">
      <c r="A3030" t="str">
        <f>"20190303161935069"</f>
        <v>20190303161935069</v>
      </c>
      <c r="B3030" t="str">
        <f>"1551601175055906"</f>
        <v>1551601175055906</v>
      </c>
      <c r="C3030" t="s">
        <v>40</v>
      </c>
      <c r="D3030">
        <v>5.0317170000000004</v>
      </c>
      <c r="E3030">
        <v>0.4975347</v>
      </c>
      <c r="F3030" t="s">
        <v>52</v>
      </c>
      <c r="G3030">
        <v>-274.79410000000001</v>
      </c>
      <c r="H3030" s="1">
        <v>1.076363E-6</v>
      </c>
      <c r="I3030">
        <v>283.19830000000002</v>
      </c>
      <c r="J3030">
        <v>-249.86680000000001</v>
      </c>
      <c r="K3030">
        <v>1.1218109999999999</v>
      </c>
      <c r="L3030">
        <v>283.69369999999998</v>
      </c>
      <c r="M3030">
        <v>-0.99987709999999996</v>
      </c>
      <c r="N3030">
        <v>-1.3712210000000001E-2</v>
      </c>
      <c r="O3030">
        <v>-7.6168679999999997E-3</v>
      </c>
      <c r="P3030">
        <v>-0.98977470000000001</v>
      </c>
      <c r="Q3030">
        <v>0.14188239999999999</v>
      </c>
      <c r="R3030">
        <v>-1.4693100000000001E-2</v>
      </c>
      <c r="S3030">
        <v>-3.0498050000000001</v>
      </c>
      <c r="T3030">
        <v>-0.13609189999999999</v>
      </c>
      <c r="U3030">
        <v>-6.0333249999999998E-2</v>
      </c>
      <c r="V3030">
        <v>-7.1972759999999998E-3</v>
      </c>
      <c r="W3030">
        <v>0.15543999999999999</v>
      </c>
      <c r="X3030">
        <v>0.98781909999999895</v>
      </c>
      <c r="Y3030">
        <v>-1.214995E-2</v>
      </c>
      <c r="Z3030">
        <v>-1.190189E-4</v>
      </c>
      <c r="AA3030">
        <v>0.99992610000000004</v>
      </c>
      <c r="AB3030">
        <v>21</v>
      </c>
      <c r="AC3030">
        <v>-24.927299999999999</v>
      </c>
      <c r="AD3030">
        <v>-1.1218099236370001</v>
      </c>
      <c r="AE3030">
        <v>-0.49539999999996098</v>
      </c>
      <c r="AF3030">
        <v>-0.30488261143700401</v>
      </c>
      <c r="AG3030">
        <v>-1.1218099236370001</v>
      </c>
      <c r="AH3030">
        <v>24.879981122876298</v>
      </c>
      <c r="AI3030">
        <v>92.581459130014096</v>
      </c>
      <c r="AJ3030">
        <v>90.702074993413703</v>
      </c>
      <c r="AK3030">
        <v>24.907124916099999</v>
      </c>
      <c r="AL3030">
        <v>81.057684165269194</v>
      </c>
      <c r="AM3030">
        <v>90.417451172903199</v>
      </c>
      <c r="AN3030">
        <v>0.99999998435331405</v>
      </c>
    </row>
    <row r="3031" spans="1:40" x14ac:dyDescent="0.25">
      <c r="A3031" t="str">
        <f>"20190303161935093"</f>
        <v>20190303161935093</v>
      </c>
      <c r="B3031" t="str">
        <f>"1551601175085380"</f>
        <v>1551601175085380</v>
      </c>
      <c r="C3031" t="s">
        <v>40</v>
      </c>
      <c r="D3031">
        <v>4.8513719999999996</v>
      </c>
      <c r="E3031">
        <v>0.49697920000000001</v>
      </c>
      <c r="F3031" t="s">
        <v>52</v>
      </c>
      <c r="G3031">
        <v>-274.82139999999998</v>
      </c>
      <c r="H3031" s="1">
        <v>1.092695E-6</v>
      </c>
      <c r="I3031">
        <v>283.15730000000002</v>
      </c>
      <c r="J3031">
        <v>-250.07669999999999</v>
      </c>
      <c r="K3031">
        <v>1.1217870000000001</v>
      </c>
      <c r="L3031">
        <v>283.69189999999998</v>
      </c>
      <c r="M3031">
        <v>-0.99987530000000002</v>
      </c>
      <c r="N3031">
        <v>-1.3702499999999999E-2</v>
      </c>
      <c r="O3031">
        <v>-7.8481669999999996E-3</v>
      </c>
      <c r="P3031">
        <v>-0.98973500000000003</v>
      </c>
      <c r="Q3031">
        <v>0.14208189999999901</v>
      </c>
      <c r="R3031">
        <v>-1.540974E-2</v>
      </c>
      <c r="S3031">
        <v>-3.0496669999999999</v>
      </c>
      <c r="T3031">
        <v>-0.13709460000000001</v>
      </c>
      <c r="U3031">
        <v>-6.5551760000000001E-2</v>
      </c>
      <c r="V3031">
        <v>-7.6774929999999996E-3</v>
      </c>
      <c r="W3031">
        <v>0.15562989999999999</v>
      </c>
      <c r="X3031">
        <v>0.98778560000000004</v>
      </c>
      <c r="Y3031">
        <v>-1.362788E-2</v>
      </c>
      <c r="Z3031">
        <v>-1.544885E-4</v>
      </c>
      <c r="AA3031">
        <v>0.99990710000000005</v>
      </c>
      <c r="AB3031">
        <v>21</v>
      </c>
      <c r="AC3031">
        <v>-24.744699999999899</v>
      </c>
      <c r="AD3031">
        <v>-1.1217859073050001</v>
      </c>
      <c r="AE3031">
        <v>-0.534599999999954</v>
      </c>
      <c r="AF3031">
        <v>-0.33966699727847299</v>
      </c>
      <c r="AG3031">
        <v>-1.1217859073050001</v>
      </c>
      <c r="AH3031">
        <v>24.697399222796999</v>
      </c>
      <c r="AI3031">
        <v>92.6004109224465</v>
      </c>
      <c r="AJ3031">
        <v>90.787947682541798</v>
      </c>
      <c r="AK3031">
        <v>24.7251957658798</v>
      </c>
      <c r="AL3031">
        <v>81.046669801082004</v>
      </c>
      <c r="AM3031">
        <v>90.445318385377007</v>
      </c>
      <c r="AN3031">
        <v>1.00000000062006</v>
      </c>
    </row>
    <row r="3032" spans="1:40" x14ac:dyDescent="0.25">
      <c r="A3032" t="str">
        <f>"20190303161935114"</f>
        <v>20190303161935114</v>
      </c>
      <c r="B3032" t="str">
        <f>"1551601175105876"</f>
        <v>1551601175105876</v>
      </c>
      <c r="C3032" t="s">
        <v>40</v>
      </c>
      <c r="D3032">
        <v>4.9061329999999996</v>
      </c>
      <c r="E3032">
        <v>0.49674180000000001</v>
      </c>
      <c r="F3032" t="s">
        <v>52</v>
      </c>
      <c r="G3032">
        <v>-276.68700000000001</v>
      </c>
      <c r="H3032" s="1">
        <v>2.0896720000000002E-6</v>
      </c>
      <c r="I3032">
        <v>283.0616</v>
      </c>
      <c r="J3032">
        <v>-250.28149999999999</v>
      </c>
      <c r="K3032">
        <v>1.1217649999999999</v>
      </c>
      <c r="L3032">
        <v>283.69</v>
      </c>
      <c r="M3032">
        <v>-0.99987389999999998</v>
      </c>
      <c r="N3032">
        <v>-1.369372E-2</v>
      </c>
      <c r="O3032">
        <v>-8.0408960000000005E-3</v>
      </c>
      <c r="P3032">
        <v>-0.98972510000000002</v>
      </c>
      <c r="Q3032">
        <v>0.14213129999999999</v>
      </c>
      <c r="R3032">
        <v>-1.560012E-2</v>
      </c>
      <c r="S3032">
        <v>-3.0484469999999999</v>
      </c>
      <c r="T3032">
        <v>-0.1285106</v>
      </c>
      <c r="U3032">
        <v>-7.2204589999999999E-2</v>
      </c>
      <c r="V3032">
        <v>-7.6694349999999996E-3</v>
      </c>
      <c r="W3032">
        <v>0.15567129999999901</v>
      </c>
      <c r="X3032">
        <v>0.98777910000000002</v>
      </c>
      <c r="Y3032">
        <v>-1.562377E-2</v>
      </c>
      <c r="Z3032">
        <v>-2.0748899999999999E-4</v>
      </c>
      <c r="AA3032">
        <v>0.99987789999999999</v>
      </c>
      <c r="AB3032">
        <v>21</v>
      </c>
      <c r="AC3032">
        <v>-26.4055</v>
      </c>
      <c r="AD3032">
        <v>-1.12176291032799</v>
      </c>
      <c r="AE3032">
        <v>-0.62839999999999896</v>
      </c>
      <c r="AF3032">
        <v>-0.41528683215181</v>
      </c>
      <c r="AG3032">
        <v>-1.12176291032799</v>
      </c>
      <c r="AH3032">
        <v>26.362149805783702</v>
      </c>
      <c r="AI3032">
        <v>92.436279734546801</v>
      </c>
      <c r="AJ3032">
        <v>90.902514209578598</v>
      </c>
      <c r="AK3032">
        <v>26.389273532299502</v>
      </c>
      <c r="AL3032">
        <v>81.044268141557794</v>
      </c>
      <c r="AM3032">
        <v>90.444853942387695</v>
      </c>
      <c r="AN3032">
        <v>0.99999996213685804</v>
      </c>
    </row>
    <row r="3033" spans="1:40" x14ac:dyDescent="0.25">
      <c r="A3033" t="str">
        <f>"20190303161935136"</f>
        <v>20190303161935136</v>
      </c>
      <c r="B3033" t="str">
        <f>"1551601175125396"</f>
        <v>1551601175125396</v>
      </c>
      <c r="C3033" t="s">
        <v>40</v>
      </c>
      <c r="D3033">
        <v>4.8454790000000001</v>
      </c>
      <c r="E3033">
        <v>0.49657289999999998</v>
      </c>
      <c r="F3033" t="s">
        <v>52</v>
      </c>
      <c r="G3033">
        <v>-277.8304</v>
      </c>
      <c r="H3033" s="1">
        <v>2.7003229999999998E-6</v>
      </c>
      <c r="I3033">
        <v>283.01089999999999</v>
      </c>
      <c r="J3033">
        <v>-250.4796</v>
      </c>
      <c r="K3033">
        <v>1.1217520000000001</v>
      </c>
      <c r="L3033">
        <v>283.68819999999999</v>
      </c>
      <c r="M3033">
        <v>-0.99987289999999995</v>
      </c>
      <c r="N3033">
        <v>-1.3685900000000001E-2</v>
      </c>
      <c r="O3033">
        <v>-8.1986279999999995E-3</v>
      </c>
      <c r="P3033">
        <v>-0.98971370000000003</v>
      </c>
      <c r="Q3033">
        <v>0.1422281</v>
      </c>
      <c r="R3033">
        <v>-1.5441750000000001E-2</v>
      </c>
      <c r="S3033">
        <v>-3.047806</v>
      </c>
      <c r="T3033">
        <v>-0.12410350000000001</v>
      </c>
      <c r="U3033">
        <v>-7.5134279999999998E-2</v>
      </c>
      <c r="V3033">
        <v>-7.3490430000000004E-3</v>
      </c>
      <c r="W3033">
        <v>0.15575990000000001</v>
      </c>
      <c r="X3033">
        <v>0.98776759999999997</v>
      </c>
      <c r="Y3033">
        <v>-1.643151E-2</v>
      </c>
      <c r="Z3033">
        <v>-2.253995E-4</v>
      </c>
      <c r="AA3033">
        <v>0.999865</v>
      </c>
      <c r="AB3033">
        <v>21</v>
      </c>
      <c r="AC3033">
        <v>-27.3507999999999</v>
      </c>
      <c r="AD3033">
        <v>-1.121749299677</v>
      </c>
      <c r="AE3033">
        <v>-0.67730000000000201</v>
      </c>
      <c r="AF3033">
        <v>-0.45225695719229397</v>
      </c>
      <c r="AG3033">
        <v>-1.121749299677</v>
      </c>
      <c r="AH3033">
        <v>27.309524865331799</v>
      </c>
      <c r="AI3033">
        <v>92.351801977386103</v>
      </c>
      <c r="AJ3033">
        <v>90.948754935045102</v>
      </c>
      <c r="AK3033">
        <v>27.336294668751901</v>
      </c>
      <c r="AL3033">
        <v>81.039129329326798</v>
      </c>
      <c r="AM3033">
        <v>90.4262757538079</v>
      </c>
      <c r="AN3033">
        <v>0.99999999324539202</v>
      </c>
    </row>
    <row r="3034" spans="1:40" x14ac:dyDescent="0.25">
      <c r="A3034" t="str">
        <f>"20190303161935158"</f>
        <v>20190303161935158</v>
      </c>
      <c r="B3034" t="str">
        <f>"1551601175145892"</f>
        <v>1551601175145892</v>
      </c>
      <c r="C3034" t="s">
        <v>40</v>
      </c>
      <c r="D3034">
        <v>4.5766780000000002</v>
      </c>
      <c r="E3034">
        <v>0.49648870000000001</v>
      </c>
      <c r="F3034" t="s">
        <v>52</v>
      </c>
      <c r="G3034">
        <v>-279.00299999999999</v>
      </c>
      <c r="H3034" s="1">
        <v>3.3261880000000001E-6</v>
      </c>
      <c r="I3034">
        <v>282.96809999999999</v>
      </c>
      <c r="J3034">
        <v>-250.6883</v>
      </c>
      <c r="K3034">
        <v>1.1217410000000001</v>
      </c>
      <c r="L3034">
        <v>283.68630000000002</v>
      </c>
      <c r="M3034">
        <v>-0.99987170000000003</v>
      </c>
      <c r="N3034">
        <v>-1.3678269999999999E-2</v>
      </c>
      <c r="O3034">
        <v>-8.3422169999999903E-3</v>
      </c>
      <c r="P3034">
        <v>-0.98971600000000004</v>
      </c>
      <c r="Q3034">
        <v>0.14229600000000001</v>
      </c>
      <c r="R3034">
        <v>-1.4636929999999999E-2</v>
      </c>
      <c r="S3034">
        <v>-3.0471949999999999</v>
      </c>
      <c r="T3034">
        <v>-0.1198381</v>
      </c>
      <c r="U3034">
        <v>-7.6934810000000006E-2</v>
      </c>
      <c r="V3034">
        <v>-6.3966070000000003E-3</v>
      </c>
      <c r="W3034">
        <v>0.15582070000000001</v>
      </c>
      <c r="X3034">
        <v>0.98776470000000005</v>
      </c>
      <c r="Y3034">
        <v>-1.6883639999999998E-2</v>
      </c>
      <c r="Z3034">
        <v>-2.335494E-4</v>
      </c>
      <c r="AA3034">
        <v>0.99985740000000001</v>
      </c>
      <c r="AB3034">
        <v>21</v>
      </c>
      <c r="AC3034">
        <v>-28.314699999999899</v>
      </c>
      <c r="AD3034">
        <v>-1.121737673812</v>
      </c>
      <c r="AE3034">
        <v>-0.71820000000002404</v>
      </c>
      <c r="AF3034">
        <v>-0.48119080628408001</v>
      </c>
      <c r="AG3034">
        <v>-1.121737673812</v>
      </c>
      <c r="AH3034">
        <v>28.275357122427099</v>
      </c>
      <c r="AI3034">
        <v>92.271513599788705</v>
      </c>
      <c r="AJ3034">
        <v>90.974967039963602</v>
      </c>
      <c r="AK3034">
        <v>28.301690062639199</v>
      </c>
      <c r="AL3034">
        <v>81.035603242906205</v>
      </c>
      <c r="AM3034">
        <v>90.371033163270795</v>
      </c>
      <c r="AN3034">
        <v>1.00000005484784</v>
      </c>
    </row>
    <row r="3035" spans="1:40" x14ac:dyDescent="0.25">
      <c r="A3035" t="str">
        <f>"20190303161935182"</f>
        <v>20190303161935182</v>
      </c>
      <c r="B3035" t="str">
        <f>"1551601175176148"</f>
        <v>1551601175176148</v>
      </c>
      <c r="C3035" t="s">
        <v>40</v>
      </c>
      <c r="D3035">
        <v>4.5770339999999896</v>
      </c>
      <c r="E3035">
        <v>0.49650420000000001</v>
      </c>
      <c r="F3035" t="s">
        <v>56</v>
      </c>
      <c r="G3035">
        <v>-280.27120000000002</v>
      </c>
      <c r="H3035" s="1">
        <v>8.6255700000000005E-6</v>
      </c>
      <c r="I3035">
        <v>282.95350000000002</v>
      </c>
      <c r="J3035">
        <v>-250.90880000000001</v>
      </c>
      <c r="K3035">
        <v>1.121734</v>
      </c>
      <c r="L3035">
        <v>283.68439999999998</v>
      </c>
      <c r="M3035">
        <v>-0.9998707</v>
      </c>
      <c r="N3035">
        <v>-1.3670710000000001E-2</v>
      </c>
      <c r="O3035">
        <v>-8.4790890000000004E-3</v>
      </c>
      <c r="P3035">
        <v>-0.98966449999999995</v>
      </c>
      <c r="Q3035">
        <v>0.14273159999999999</v>
      </c>
      <c r="R3035">
        <v>-1.386356E-2</v>
      </c>
      <c r="S3035">
        <v>-3.0466609999999998</v>
      </c>
      <c r="T3035">
        <v>-0.1155239</v>
      </c>
      <c r="U3035">
        <v>-7.5469969999999997E-2</v>
      </c>
      <c r="V3035">
        <v>-5.4843679999999999E-3</v>
      </c>
      <c r="W3035">
        <v>0.15624830000000001</v>
      </c>
      <c r="X3035">
        <v>0.98770250000000004</v>
      </c>
      <c r="Y3035">
        <v>-1.6272189999999999E-2</v>
      </c>
      <c r="Z3035">
        <v>-2.1419540000000001E-4</v>
      </c>
      <c r="AA3035">
        <v>0.99986759999999997</v>
      </c>
      <c r="AB3035">
        <v>21</v>
      </c>
      <c r="AC3035">
        <v>-29.362400000000001</v>
      </c>
      <c r="AD3035">
        <v>-1.12172537443</v>
      </c>
      <c r="AE3035">
        <v>-0.73089999999996202</v>
      </c>
      <c r="AF3035">
        <v>-0.48118224714761698</v>
      </c>
      <c r="AG3035">
        <v>-1.12172537443</v>
      </c>
      <c r="AH3035">
        <v>29.3247706151496</v>
      </c>
      <c r="AI3035">
        <v>92.190304350512207</v>
      </c>
      <c r="AJ3035">
        <v>90.940066619815198</v>
      </c>
      <c r="AK3035">
        <v>29.350161427183899</v>
      </c>
      <c r="AL3035">
        <v>81.010798534946503</v>
      </c>
      <c r="AM3035">
        <v>90.318140239904494</v>
      </c>
      <c r="AN3035">
        <v>0.99999991902574603</v>
      </c>
    </row>
    <row r="3036" spans="1:40" x14ac:dyDescent="0.25">
      <c r="A3036" t="str">
        <f>"20190303161935205"</f>
        <v>20190303161935205</v>
      </c>
      <c r="B3036" t="str">
        <f>"1551601175195669"</f>
        <v>1551601175195669</v>
      </c>
      <c r="C3036" t="s">
        <v>40</v>
      </c>
      <c r="D3036">
        <v>4.486936</v>
      </c>
      <c r="E3036">
        <v>0.49653969999999997</v>
      </c>
      <c r="F3036" t="s">
        <v>56</v>
      </c>
      <c r="G3036">
        <v>-282.42180000000002</v>
      </c>
      <c r="H3036" s="1">
        <v>7.6779440000000002E-6</v>
      </c>
      <c r="I3036">
        <v>282.92410000000001</v>
      </c>
      <c r="J3036">
        <v>-251.11940000000001</v>
      </c>
      <c r="K3036">
        <v>1.121742</v>
      </c>
      <c r="L3036">
        <v>283.68239999999997</v>
      </c>
      <c r="M3036">
        <v>-0.99986960000000003</v>
      </c>
      <c r="N3036">
        <v>-1.366389E-2</v>
      </c>
      <c r="O3036">
        <v>-8.6024880000000001E-3</v>
      </c>
      <c r="P3036">
        <v>-0.98952289999999998</v>
      </c>
      <c r="Q3036">
        <v>0.1438104</v>
      </c>
      <c r="R3036">
        <v>-1.2765840000000001E-2</v>
      </c>
      <c r="S3036">
        <v>-3.0459589999999999</v>
      </c>
      <c r="T3036">
        <v>-0.1084228</v>
      </c>
      <c r="U3036">
        <v>-7.3486330000000002E-2</v>
      </c>
      <c r="V3036">
        <v>-4.2652219999999999E-3</v>
      </c>
      <c r="W3036">
        <v>0.15731829999999999</v>
      </c>
      <c r="X3036">
        <v>0.98753880000000005</v>
      </c>
      <c r="Y3036">
        <v>-1.5505619999999999E-2</v>
      </c>
      <c r="Z3036">
        <v>-1.932933E-4</v>
      </c>
      <c r="AA3036">
        <v>0.99987979999999999</v>
      </c>
      <c r="AB3036">
        <v>21</v>
      </c>
      <c r="AC3036">
        <v>-31.302399999999999</v>
      </c>
      <c r="AD3036">
        <v>-1.1217343220559901</v>
      </c>
      <c r="AE3036">
        <v>-0.758299999999962</v>
      </c>
      <c r="AF3036">
        <v>-0.48834151530900999</v>
      </c>
      <c r="AG3036">
        <v>-1.1217343220559901</v>
      </c>
      <c r="AH3036">
        <v>31.267635790174701</v>
      </c>
      <c r="AI3036">
        <v>92.054369065395605</v>
      </c>
      <c r="AJ3036">
        <v>90.894779295260605</v>
      </c>
      <c r="AK3036">
        <v>31.291561374144699</v>
      </c>
      <c r="AL3036">
        <v>80.948725665011906</v>
      </c>
      <c r="AM3036">
        <v>90.247461365308297</v>
      </c>
      <c r="AN3036">
        <v>1.0000000605695101</v>
      </c>
    </row>
    <row r="3037" spans="1:40" x14ac:dyDescent="0.25">
      <c r="A3037" t="str">
        <f>"20190303161935226"</f>
        <v>20190303161935226</v>
      </c>
      <c r="B3037" t="str">
        <f>"1551601175215189"</f>
        <v>1551601175215189</v>
      </c>
      <c r="C3037" t="s">
        <v>40</v>
      </c>
      <c r="D3037">
        <v>4.4647600000000001</v>
      </c>
      <c r="E3037">
        <v>0.49655090000000002</v>
      </c>
      <c r="F3037" t="s">
        <v>56</v>
      </c>
      <c r="G3037">
        <v>-284.76150000000001</v>
      </c>
      <c r="H3037" s="1">
        <v>6.6445240000000003E-6</v>
      </c>
      <c r="I3037">
        <v>282.90410000000003</v>
      </c>
      <c r="J3037">
        <v>-251.3169</v>
      </c>
      <c r="K3037">
        <v>1.1217440000000001</v>
      </c>
      <c r="L3037">
        <v>283.68060000000003</v>
      </c>
      <c r="M3037">
        <v>-0.99986889999999995</v>
      </c>
      <c r="N3037">
        <v>-1.3657819999999999E-2</v>
      </c>
      <c r="O3037">
        <v>-8.7160829999999995E-3</v>
      </c>
      <c r="P3037">
        <v>-0.98946730000000005</v>
      </c>
      <c r="Q3037">
        <v>0.1443043</v>
      </c>
      <c r="R3037">
        <v>-1.1448699999999999E-2</v>
      </c>
      <c r="S3037">
        <v>-3.0456240000000001</v>
      </c>
      <c r="T3037">
        <v>-0.1015506</v>
      </c>
      <c r="U3037">
        <v>-7.0465089999999994E-2</v>
      </c>
      <c r="V3037">
        <v>-2.8372409999999999E-3</v>
      </c>
      <c r="W3037">
        <v>0.15780520000000001</v>
      </c>
      <c r="X3037">
        <v>0.98746619999999996</v>
      </c>
      <c r="Y3037">
        <v>-1.4405279999999999E-2</v>
      </c>
      <c r="Z3037">
        <v>-1.6701340000000001E-4</v>
      </c>
      <c r="AA3037">
        <v>0.99989620000000001</v>
      </c>
      <c r="AB3037">
        <v>21</v>
      </c>
      <c r="AC3037">
        <v>-33.444600000000001</v>
      </c>
      <c r="AD3037">
        <v>-1.121737355476</v>
      </c>
      <c r="AE3037">
        <v>-0.77649999999999797</v>
      </c>
      <c r="AF3037">
        <v>-0.48439282367708503</v>
      </c>
      <c r="AG3037">
        <v>-1.121737355476</v>
      </c>
      <c r="AH3037">
        <v>33.412531084898397</v>
      </c>
      <c r="AI3037">
        <v>91.922630177555206</v>
      </c>
      <c r="AJ3037">
        <v>90.830578211570298</v>
      </c>
      <c r="AK3037">
        <v>33.434864507002303</v>
      </c>
      <c r="AL3037">
        <v>80.920475052274298</v>
      </c>
      <c r="AM3037">
        <v>90.1646248625174</v>
      </c>
      <c r="AN3037">
        <v>1.0000000136129801</v>
      </c>
    </row>
    <row r="3038" spans="1:40" x14ac:dyDescent="0.25">
      <c r="A3038" t="str">
        <f>"20190303161935241"</f>
        <v>20190303161935241</v>
      </c>
      <c r="B3038" t="str">
        <f>"1551601175225925"</f>
        <v>1551601175225925</v>
      </c>
      <c r="C3038" t="s">
        <v>40</v>
      </c>
      <c r="D3038">
        <v>4.4528049999999997</v>
      </c>
      <c r="E3038">
        <v>0.49657380000000001</v>
      </c>
      <c r="F3038" t="s">
        <v>56</v>
      </c>
      <c r="G3038">
        <v>-286.59050000000002</v>
      </c>
      <c r="H3038" s="1">
        <v>5.8321410000000001E-6</v>
      </c>
      <c r="I3038">
        <v>282.91039999999998</v>
      </c>
      <c r="J3038">
        <v>-251.4579</v>
      </c>
      <c r="K3038">
        <v>1.1217440000000001</v>
      </c>
      <c r="L3038">
        <v>283.67930000000001</v>
      </c>
      <c r="M3038">
        <v>-0.99986830000000004</v>
      </c>
      <c r="N3038">
        <v>-1.365368E-2</v>
      </c>
      <c r="O3038">
        <v>-8.7968149999999995E-3</v>
      </c>
      <c r="P3038">
        <v>-0.9894463</v>
      </c>
      <c r="Q3038">
        <v>0.14444470000000001</v>
      </c>
      <c r="R3038">
        <v>-1.1505390000000001E-2</v>
      </c>
      <c r="S3038">
        <v>-3.0453030000000001</v>
      </c>
      <c r="T3038">
        <v>-9.6843719999999994E-2</v>
      </c>
      <c r="U3038">
        <v>-6.6497799999999996E-2</v>
      </c>
      <c r="V3038">
        <v>-2.8155189999999998E-3</v>
      </c>
      <c r="W3038">
        <v>0.15794169999999999</v>
      </c>
      <c r="X3038">
        <v>0.9874444</v>
      </c>
      <c r="Y3038">
        <v>-1.3026640000000001E-2</v>
      </c>
      <c r="Z3038">
        <v>-1.3648339999999999E-4</v>
      </c>
      <c r="AA3038">
        <v>0.99991509999999995</v>
      </c>
      <c r="AB3038">
        <v>21</v>
      </c>
      <c r="AC3038">
        <v>-35.132599999999996</v>
      </c>
      <c r="AD3038">
        <v>-1.1217381678589999</v>
      </c>
      <c r="AE3038">
        <v>-0.76890000000003</v>
      </c>
      <c r="AF3038">
        <v>-0.45931849076944098</v>
      </c>
      <c r="AG3038">
        <v>-1.1217381678589999</v>
      </c>
      <c r="AH3038">
        <v>35.102237317271403</v>
      </c>
      <c r="AI3038">
        <v>91.830182551091298</v>
      </c>
      <c r="AJ3038">
        <v>90.749681818775997</v>
      </c>
      <c r="AK3038">
        <v>35.123159520054998</v>
      </c>
      <c r="AL3038">
        <v>80.912554504035</v>
      </c>
      <c r="AM3038">
        <v>90.163368103226702</v>
      </c>
      <c r="AN3038">
        <v>0.99999997541874397</v>
      </c>
    </row>
    <row r="3039" spans="1:40" x14ac:dyDescent="0.25">
      <c r="A3039" t="str">
        <f>"20190303161935260"</f>
        <v>20190303161935260</v>
      </c>
      <c r="B3039" t="str">
        <f>"1551601175245445"</f>
        <v>1551601175245445</v>
      </c>
      <c r="C3039" t="s">
        <v>40</v>
      </c>
      <c r="D3039">
        <v>4.3804299999999996</v>
      </c>
      <c r="E3039">
        <v>0.49658869999999999</v>
      </c>
      <c r="F3039" t="s">
        <v>56</v>
      </c>
      <c r="G3039">
        <v>-287.39890000000003</v>
      </c>
      <c r="H3039" s="1">
        <v>5.4772569999999999E-6</v>
      </c>
      <c r="I3039">
        <v>282.8929</v>
      </c>
      <c r="J3039">
        <v>-251.62360000000001</v>
      </c>
      <c r="K3039">
        <v>1.121748</v>
      </c>
      <c r="L3039">
        <v>283.67770000000002</v>
      </c>
      <c r="M3039">
        <v>-0.99986739999999996</v>
      </c>
      <c r="N3039">
        <v>-1.3649079999999999E-2</v>
      </c>
      <c r="O3039">
        <v>-8.8943619999999994E-3</v>
      </c>
      <c r="P3039">
        <v>-0.98960879999999996</v>
      </c>
      <c r="Q3039">
        <v>0.1432648</v>
      </c>
      <c r="R3039">
        <v>-1.2244700000000001E-2</v>
      </c>
      <c r="S3039">
        <v>-3.0451199999999998</v>
      </c>
      <c r="T3039">
        <v>-9.503984E-2</v>
      </c>
      <c r="U3039">
        <v>-6.6619869999999998E-2</v>
      </c>
      <c r="V3039">
        <v>-3.4579469999999998E-3</v>
      </c>
      <c r="W3039">
        <v>0.1567598</v>
      </c>
      <c r="X3039">
        <v>0.98763069999999997</v>
      </c>
      <c r="Y3039">
        <v>-1.297072E-2</v>
      </c>
      <c r="Z3039">
        <v>-1.347939E-4</v>
      </c>
      <c r="AA3039">
        <v>0.99991580000000002</v>
      </c>
      <c r="AB3039">
        <v>21</v>
      </c>
      <c r="AC3039">
        <v>-35.775300000000001</v>
      </c>
      <c r="AD3039">
        <v>-1.121742522743</v>
      </c>
      <c r="AE3039">
        <v>-0.78480000000001804</v>
      </c>
      <c r="AF3039">
        <v>-0.46608286497357698</v>
      </c>
      <c r="AG3039">
        <v>-1.121742522743</v>
      </c>
      <c r="AH3039">
        <v>35.745739046638803</v>
      </c>
      <c r="AI3039">
        <v>91.797265115257403</v>
      </c>
      <c r="AJ3039">
        <v>90.747027997545302</v>
      </c>
      <c r="AK3039">
        <v>35.766372467930601</v>
      </c>
      <c r="AL3039">
        <v>80.981126796338202</v>
      </c>
      <c r="AM3039">
        <v>90.200606319033994</v>
      </c>
      <c r="AN3039">
        <v>0.99999999593799205</v>
      </c>
    </row>
    <row r="3040" spans="1:40" x14ac:dyDescent="0.25">
      <c r="A3040" t="str">
        <f>"20190303161935283"</f>
        <v>20190303161935283</v>
      </c>
      <c r="B3040" t="str">
        <f>"1551601175275700"</f>
        <v>1551601175275700</v>
      </c>
      <c r="C3040" t="s">
        <v>40</v>
      </c>
      <c r="D3040">
        <v>4.3401579999999997</v>
      </c>
      <c r="E3040">
        <v>0.49659819999999999</v>
      </c>
      <c r="F3040" t="s">
        <v>56</v>
      </c>
      <c r="G3040">
        <v>-287.35570000000001</v>
      </c>
      <c r="H3040" s="1">
        <v>5.500436E-6</v>
      </c>
      <c r="I3040">
        <v>282.87360000000001</v>
      </c>
      <c r="J3040">
        <v>-251.83840000000001</v>
      </c>
      <c r="K3040">
        <v>1.12175</v>
      </c>
      <c r="L3040">
        <v>283.67559999999997</v>
      </c>
      <c r="M3040">
        <v>-0.99986620000000004</v>
      </c>
      <c r="N3040">
        <v>-1.3643479999999999E-2</v>
      </c>
      <c r="O3040">
        <v>-9.0243270000000004E-3</v>
      </c>
      <c r="P3040">
        <v>-0.98963579999999995</v>
      </c>
      <c r="Q3040">
        <v>0.14296049999999999</v>
      </c>
      <c r="R3040">
        <v>-1.3539600000000001E-2</v>
      </c>
      <c r="S3040">
        <v>-3.0444789999999999</v>
      </c>
      <c r="T3040">
        <v>-9.5575930000000003E-2</v>
      </c>
      <c r="U3040">
        <v>-6.8511959999999997E-2</v>
      </c>
      <c r="V3040">
        <v>-4.6256309999999998E-3</v>
      </c>
      <c r="W3040">
        <v>0.1564499</v>
      </c>
      <c r="X3040">
        <v>0.98767510000000003</v>
      </c>
      <c r="Y3040">
        <v>-1.346608E-2</v>
      </c>
      <c r="Z3040">
        <v>-1.4311719999999999E-4</v>
      </c>
      <c r="AA3040">
        <v>0.9999093</v>
      </c>
      <c r="AB3040">
        <v>21</v>
      </c>
      <c r="AC3040">
        <v>-35.517299999999999</v>
      </c>
      <c r="AD3040">
        <v>-1.121744499564</v>
      </c>
      <c r="AE3040">
        <v>-0.80199999999996396</v>
      </c>
      <c r="AF3040">
        <v>-0.480938285498832</v>
      </c>
      <c r="AG3040">
        <v>-1.121744499564</v>
      </c>
      <c r="AH3040">
        <v>35.487711094796197</v>
      </c>
      <c r="AI3040">
        <v>91.810315045173894</v>
      </c>
      <c r="AJ3040">
        <v>90.776439119557395</v>
      </c>
      <c r="AK3040">
        <v>35.508692613280999</v>
      </c>
      <c r="AL3040">
        <v>80.999104938630694</v>
      </c>
      <c r="AM3040">
        <v>90.268334390744698</v>
      </c>
      <c r="AN3040">
        <v>1.0000000354160801</v>
      </c>
    </row>
    <row r="3041" spans="1:40" x14ac:dyDescent="0.25">
      <c r="A3041" t="str">
        <f>"20190303161935306"</f>
        <v>20190303161935306</v>
      </c>
      <c r="B3041" t="str">
        <f>"1551601175295220"</f>
        <v>1551601175295220</v>
      </c>
      <c r="C3041" t="s">
        <v>40</v>
      </c>
      <c r="D3041">
        <v>4.3169769999999996</v>
      </c>
      <c r="E3041">
        <v>0.49661440000000001</v>
      </c>
      <c r="F3041" t="s">
        <v>56</v>
      </c>
      <c r="G3041">
        <v>-288.90750000000003</v>
      </c>
      <c r="H3041" s="1">
        <v>4.8291609999999901E-6</v>
      </c>
      <c r="I3041">
        <v>282.79180000000002</v>
      </c>
      <c r="J3041">
        <v>-252.04310000000001</v>
      </c>
      <c r="K3041">
        <v>1.121745</v>
      </c>
      <c r="L3041">
        <v>283.67360000000002</v>
      </c>
      <c r="M3041">
        <v>-0.99986520000000001</v>
      </c>
      <c r="N3041">
        <v>-1.3638310000000001E-2</v>
      </c>
      <c r="O3041">
        <v>-9.148995E-3</v>
      </c>
      <c r="P3041">
        <v>-0.98969200000000002</v>
      </c>
      <c r="Q3041">
        <v>0.14242650000000001</v>
      </c>
      <c r="R3041">
        <v>-1.498033E-2</v>
      </c>
      <c r="S3041">
        <v>-3.0437159999999999</v>
      </c>
      <c r="T3041">
        <v>-9.2105629999999994E-2</v>
      </c>
      <c r="U3041">
        <v>-7.2570800000000005E-2</v>
      </c>
      <c r="V3041">
        <v>-5.9424730000000002E-3</v>
      </c>
      <c r="W3041">
        <v>0.15591160000000001</v>
      </c>
      <c r="X3041">
        <v>0.9877532</v>
      </c>
      <c r="Y3041">
        <v>-1.4679319999999999E-2</v>
      </c>
      <c r="Z3041">
        <v>-1.7018529999999999E-4</v>
      </c>
      <c r="AA3041">
        <v>0.99989220000000001</v>
      </c>
      <c r="AB3041">
        <v>21</v>
      </c>
      <c r="AC3041">
        <v>-36.864400000000003</v>
      </c>
      <c r="AD3041">
        <v>-1.121740170839</v>
      </c>
      <c r="AE3041">
        <v>-0.88179999999999803</v>
      </c>
      <c r="AF3041">
        <v>-0.54395615778774997</v>
      </c>
      <c r="AG3041">
        <v>-1.121740170839</v>
      </c>
      <c r="AH3041">
        <v>36.836836959825803</v>
      </c>
      <c r="AI3041">
        <v>91.744018436008801</v>
      </c>
      <c r="AJ3041">
        <v>90.846004424802302</v>
      </c>
      <c r="AK3041">
        <v>36.857926508652902</v>
      </c>
      <c r="AL3041">
        <v>81.030330680947003</v>
      </c>
      <c r="AM3041">
        <v>90.344695937294304</v>
      </c>
      <c r="AN3041">
        <v>1.00000006205507</v>
      </c>
    </row>
    <row r="3042" spans="1:40" x14ac:dyDescent="0.25">
      <c r="A3042" t="str">
        <f>"20190303161935328"</f>
        <v>20190303161935328</v>
      </c>
      <c r="B3042" t="str">
        <f>"1551601175315716"</f>
        <v>1551601175315716</v>
      </c>
      <c r="C3042" t="s">
        <v>40</v>
      </c>
      <c r="D3042">
        <v>4.282826</v>
      </c>
      <c r="E3042">
        <v>0.49663279999999899</v>
      </c>
      <c r="F3042" t="s">
        <v>56</v>
      </c>
      <c r="G3042">
        <v>-289.5127</v>
      </c>
      <c r="H3042" s="1">
        <v>4.5743130000000001E-6</v>
      </c>
      <c r="I3042">
        <v>282.72629999999998</v>
      </c>
      <c r="J3042">
        <v>-252.25049999999999</v>
      </c>
      <c r="K3042">
        <v>1.121734</v>
      </c>
      <c r="L3042">
        <v>283.67149999999998</v>
      </c>
      <c r="M3042">
        <v>-0.99986419999999998</v>
      </c>
      <c r="N3042">
        <v>-1.362851E-2</v>
      </c>
      <c r="O3042">
        <v>-9.2686629999999999E-3</v>
      </c>
      <c r="P3042">
        <v>-0.98974229999999996</v>
      </c>
      <c r="Q3042">
        <v>0.14186209999999999</v>
      </c>
      <c r="R3042">
        <v>-1.6891349999999999E-2</v>
      </c>
      <c r="S3042">
        <v>-3.0432130000000002</v>
      </c>
      <c r="T3042">
        <v>-9.1105699999999998E-2</v>
      </c>
      <c r="U3042">
        <v>-7.6934810000000006E-2</v>
      </c>
      <c r="V3042">
        <v>-7.7329599999999997E-3</v>
      </c>
      <c r="W3042">
        <v>0.1553388</v>
      </c>
      <c r="X3042">
        <v>0.98783100000000001</v>
      </c>
      <c r="Y3042">
        <v>-1.5995869999999999E-2</v>
      </c>
      <c r="Z3042">
        <v>-1.9733479999999999E-4</v>
      </c>
      <c r="AA3042">
        <v>0.99987199999999998</v>
      </c>
      <c r="AB3042">
        <v>21</v>
      </c>
      <c r="AC3042">
        <v>-37.2622</v>
      </c>
      <c r="AD3042">
        <v>-1.1217294256870001</v>
      </c>
      <c r="AE3042">
        <v>-0.94519999999999904</v>
      </c>
      <c r="AF3042">
        <v>-0.59921387200671306</v>
      </c>
      <c r="AG3042">
        <v>-1.1217294256870001</v>
      </c>
      <c r="AH3042">
        <v>37.235638242880398</v>
      </c>
      <c r="AI3042">
        <v>91.725299211001698</v>
      </c>
      <c r="AJ3042">
        <v>90.921951772695195</v>
      </c>
      <c r="AK3042">
        <v>37.257349469916903</v>
      </c>
      <c r="AL3042">
        <v>81.063554053076999</v>
      </c>
      <c r="AM3042">
        <v>90.448514898762696</v>
      </c>
      <c r="AN3042">
        <v>1.0000000130083999</v>
      </c>
    </row>
    <row r="3043" spans="1:40" x14ac:dyDescent="0.25">
      <c r="A3043" t="str">
        <f>"20190303161935350"</f>
        <v>20190303161935350</v>
      </c>
      <c r="B3043" t="str">
        <f>"1551601175335236"</f>
        <v>1551601175335236</v>
      </c>
      <c r="C3043" t="s">
        <v>40</v>
      </c>
      <c r="D3043">
        <v>4.2717580000000002</v>
      </c>
      <c r="E3043">
        <v>0.496757</v>
      </c>
      <c r="F3043" t="s">
        <v>56</v>
      </c>
      <c r="G3043">
        <v>-290.17009999999999</v>
      </c>
      <c r="H3043" s="1">
        <v>2.408235E-6</v>
      </c>
      <c r="I3043">
        <v>282.6454</v>
      </c>
      <c r="J3043">
        <v>-252.44919999999999</v>
      </c>
      <c r="K3043">
        <v>1.1217220000000001</v>
      </c>
      <c r="L3043">
        <v>283.6696</v>
      </c>
      <c r="M3043">
        <v>-0.99986339999999996</v>
      </c>
      <c r="N3043">
        <v>-1.361419E-2</v>
      </c>
      <c r="O3043">
        <v>-9.3754990000000007E-3</v>
      </c>
      <c r="P3043">
        <v>-0.98981169999999996</v>
      </c>
      <c r="Q3043">
        <v>0.1411184</v>
      </c>
      <c r="R3043">
        <v>-1.8931949999999999E-2</v>
      </c>
      <c r="S3043">
        <v>-3.0426030000000002</v>
      </c>
      <c r="T3043">
        <v>-9.0005639999999998E-2</v>
      </c>
      <c r="U3043">
        <v>-8.2336430000000002E-2</v>
      </c>
      <c r="V3043">
        <v>-9.6644039999999997E-3</v>
      </c>
      <c r="W3043">
        <v>0.15458179999999999</v>
      </c>
      <c r="X3043">
        <v>0.9879327</v>
      </c>
      <c r="Y3043">
        <v>-1.766707E-2</v>
      </c>
      <c r="Z3043">
        <v>-2.3192610000000001E-4</v>
      </c>
      <c r="AA3043">
        <v>0.99984390000000001</v>
      </c>
      <c r="AB3043">
        <v>20</v>
      </c>
      <c r="AC3043">
        <v>-37.7209</v>
      </c>
      <c r="AD3043">
        <v>-1.12171959176499</v>
      </c>
      <c r="AE3043">
        <v>-1.0242</v>
      </c>
      <c r="AF3043">
        <v>-0.66987800632574501</v>
      </c>
      <c r="AG3043">
        <v>-1.12171959176499</v>
      </c>
      <c r="AH3043">
        <v>37.695535118878396</v>
      </c>
      <c r="AI3043">
        <v>91.704199214894203</v>
      </c>
      <c r="AJ3043">
        <v>91.018081927768705</v>
      </c>
      <c r="AK3043">
        <v>37.718170147615801</v>
      </c>
      <c r="AL3043">
        <v>81.107456953230695</v>
      </c>
      <c r="AM3043">
        <v>90.560475322278293</v>
      </c>
      <c r="AN3043">
        <v>0.99999997666260199</v>
      </c>
    </row>
    <row r="3044" spans="1:40" x14ac:dyDescent="0.25">
      <c r="A3044" t="str">
        <f>"20190303161935373"</f>
        <v>20190303161935373</v>
      </c>
      <c r="B3044" t="str">
        <f>"1551601175365493"</f>
        <v>1551601175365493</v>
      </c>
      <c r="C3044" t="s">
        <v>40</v>
      </c>
      <c r="D3044">
        <v>4.2301589999999996</v>
      </c>
      <c r="E3044">
        <v>0.50769489999999995</v>
      </c>
      <c r="F3044" t="s">
        <v>56</v>
      </c>
      <c r="G3044">
        <v>-290.17939999999999</v>
      </c>
      <c r="H3044" s="1">
        <v>2.4145189999999998E-6</v>
      </c>
      <c r="I3044">
        <v>282.59230000000002</v>
      </c>
      <c r="J3044">
        <v>-252.6574</v>
      </c>
      <c r="K3044">
        <v>1.1217079999999999</v>
      </c>
      <c r="L3044">
        <v>283.66750000000002</v>
      </c>
      <c r="M3044">
        <v>-0.99986269999999999</v>
      </c>
      <c r="N3044">
        <v>-1.359674E-2</v>
      </c>
      <c r="O3044">
        <v>-9.4716430000000001E-3</v>
      </c>
      <c r="P3044">
        <v>-0.98983290000000002</v>
      </c>
      <c r="Q3044">
        <v>0.140792</v>
      </c>
      <c r="R3044">
        <v>-2.0211880000000002E-2</v>
      </c>
      <c r="S3044">
        <v>-3.0421140000000002</v>
      </c>
      <c r="T3044">
        <v>-9.0442060000000005E-2</v>
      </c>
      <c r="U3044">
        <v>-8.6853029999999998E-2</v>
      </c>
      <c r="V3044">
        <v>-1.084505E-2</v>
      </c>
      <c r="W3044">
        <v>0.15423879999999901</v>
      </c>
      <c r="X3044">
        <v>0.98797409999999997</v>
      </c>
      <c r="Y3044">
        <v>-1.9057620000000001E-2</v>
      </c>
      <c r="Z3044">
        <v>-2.600999E-4</v>
      </c>
      <c r="AA3044">
        <v>0.99981830000000005</v>
      </c>
      <c r="AB3044">
        <v>20</v>
      </c>
      <c r="AC3044">
        <v>-37.521999999999899</v>
      </c>
      <c r="AD3044">
        <v>-1.1217055854810001</v>
      </c>
      <c r="AE3044">
        <v>-1.0751999999999899</v>
      </c>
      <c r="AF3044">
        <v>-0.71908180947560896</v>
      </c>
      <c r="AG3044">
        <v>-1.1217055854810001</v>
      </c>
      <c r="AH3044">
        <v>37.497018283466197</v>
      </c>
      <c r="AI3044">
        <v>91.713150384077807</v>
      </c>
      <c r="AJ3044">
        <v>91.098628776617502</v>
      </c>
      <c r="AK3044">
        <v>37.520683392228001</v>
      </c>
      <c r="AL3044">
        <v>81.127348371923006</v>
      </c>
      <c r="AM3044">
        <v>90.628913893280199</v>
      </c>
      <c r="AN3044">
        <v>1.00000002240287</v>
      </c>
    </row>
    <row r="3045" spans="1:40" x14ac:dyDescent="0.25">
      <c r="A3045" t="str">
        <f>"20190303161935395"</f>
        <v>20190303161935395</v>
      </c>
      <c r="B3045" t="str">
        <f>"1551601175385989"</f>
        <v>1551601175385989</v>
      </c>
      <c r="C3045" t="s">
        <v>40</v>
      </c>
      <c r="D3045">
        <v>4.2026019999999997</v>
      </c>
      <c r="E3045">
        <v>0.50931910000000002</v>
      </c>
      <c r="F3045" t="s">
        <v>56</v>
      </c>
      <c r="G3045">
        <v>-305.39679999999998</v>
      </c>
      <c r="H3045" s="1">
        <v>3.094692E-6</v>
      </c>
      <c r="I3045">
        <v>283.61669999999998</v>
      </c>
      <c r="J3045">
        <v>-252.8588</v>
      </c>
      <c r="K3045">
        <v>1.1216900000000001</v>
      </c>
      <c r="L3045">
        <v>283.66550000000001</v>
      </c>
      <c r="M3045">
        <v>-0.99986229999999998</v>
      </c>
      <c r="N3045">
        <v>-1.3580119999999999E-2</v>
      </c>
      <c r="O3045">
        <v>-9.5415180000000006E-3</v>
      </c>
      <c r="P3045">
        <v>-0.98992749999999996</v>
      </c>
      <c r="Q3045">
        <v>0.14014769999999999</v>
      </c>
      <c r="R3045">
        <v>-2.005827E-2</v>
      </c>
      <c r="S3045">
        <v>-3.0399479999999999</v>
      </c>
      <c r="T3045">
        <v>-6.4656140000000001E-2</v>
      </c>
      <c r="U3045">
        <v>-2.9296880000000002E-3</v>
      </c>
      <c r="V3045">
        <v>-1.0616250000000001E-2</v>
      </c>
      <c r="W3045">
        <v>0.1535801</v>
      </c>
      <c r="X3045">
        <v>0.98807920000000005</v>
      </c>
      <c r="Y3045">
        <v>8.5752490000000001E-3</v>
      </c>
      <c r="Z3045">
        <v>2.2275659999999999E-4</v>
      </c>
      <c r="AA3045">
        <v>0.99996320000000005</v>
      </c>
      <c r="AB3045">
        <v>20</v>
      </c>
      <c r="AC3045">
        <v>-52.537999999999897</v>
      </c>
      <c r="AD3045">
        <v>-1.1216869053080001</v>
      </c>
      <c r="AE3045">
        <v>-4.88000000000283E-2</v>
      </c>
      <c r="AF3045">
        <v>0.45233452085343201</v>
      </c>
      <c r="AG3045">
        <v>-1.1216869053080001</v>
      </c>
      <c r="AH3045">
        <v>52.512137410048197</v>
      </c>
      <c r="AI3045">
        <v>91.2236365495814</v>
      </c>
      <c r="AJ3045">
        <v>89.506471850603205</v>
      </c>
      <c r="AK3045">
        <v>52.526063657998201</v>
      </c>
      <c r="AL3045">
        <v>81.165544262673507</v>
      </c>
      <c r="AM3045">
        <v>90.615581134242305</v>
      </c>
      <c r="AN3045">
        <v>1.00000002867635</v>
      </c>
    </row>
    <row r="3046" spans="1:40" x14ac:dyDescent="0.25">
      <c r="A3046" t="str">
        <f>"20190303161935417"</f>
        <v>20190303161935417</v>
      </c>
      <c r="B3046" t="str">
        <f>"1551601175405508"</f>
        <v>1551601175405508</v>
      </c>
      <c r="C3046" t="s">
        <v>40</v>
      </c>
      <c r="D3046">
        <v>4.1943049999999999</v>
      </c>
      <c r="E3046">
        <v>0.50977799999999995</v>
      </c>
      <c r="F3046" t="s">
        <v>56</v>
      </c>
      <c r="G3046">
        <v>-301.03870000000001</v>
      </c>
      <c r="H3046" s="1">
        <v>3.8488479999999999E-6</v>
      </c>
      <c r="I3046">
        <v>283.83280000000002</v>
      </c>
      <c r="J3046">
        <v>-253.05600000000001</v>
      </c>
      <c r="K3046">
        <v>1.1216600000000001</v>
      </c>
      <c r="L3046">
        <v>283.6635</v>
      </c>
      <c r="M3046">
        <v>-0.99986200000000003</v>
      </c>
      <c r="N3046">
        <v>-1.3565000000000001E-2</v>
      </c>
      <c r="O3046">
        <v>-9.5841869999999992E-3</v>
      </c>
      <c r="P3046">
        <v>-0.98999899999999996</v>
      </c>
      <c r="Q3046">
        <v>0.13966429999999999</v>
      </c>
      <c r="R3046">
        <v>-1.9898840000000001E-2</v>
      </c>
      <c r="S3046">
        <v>-3.040756</v>
      </c>
      <c r="T3046">
        <v>-7.0792439999999998E-2</v>
      </c>
      <c r="U3046">
        <v>1.055908E-2</v>
      </c>
      <c r="V3046">
        <v>-1.040787E-2</v>
      </c>
      <c r="W3046">
        <v>0.153083</v>
      </c>
      <c r="X3046">
        <v>0.98815850000000005</v>
      </c>
      <c r="Y3046">
        <v>1.30513E-2</v>
      </c>
      <c r="Z3046">
        <v>3.3353780000000002E-4</v>
      </c>
      <c r="AA3046">
        <v>0.99991479999999999</v>
      </c>
      <c r="AB3046">
        <v>20</v>
      </c>
      <c r="AC3046">
        <v>-47.982700000000001</v>
      </c>
      <c r="AD3046">
        <v>-1.121656151152</v>
      </c>
      <c r="AE3046">
        <v>0.16930000000002099</v>
      </c>
      <c r="AF3046">
        <v>0.628866095882744</v>
      </c>
      <c r="AG3046">
        <v>-1.121656151152</v>
      </c>
      <c r="AH3046">
        <v>47.952669635053297</v>
      </c>
      <c r="AI3046">
        <v>91.339840397722398</v>
      </c>
      <c r="AJ3046">
        <v>89.248648551984502</v>
      </c>
      <c r="AK3046">
        <v>47.969908382407098</v>
      </c>
      <c r="AL3046">
        <v>81.194366349297994</v>
      </c>
      <c r="AM3046">
        <v>90.603450736811993</v>
      </c>
      <c r="AN3046">
        <v>0.99999997488459302</v>
      </c>
    </row>
    <row r="3047" spans="1:40" x14ac:dyDescent="0.25">
      <c r="A3047" t="str">
        <f>"20190303161935439"</f>
        <v>20190303161935439</v>
      </c>
      <c r="B3047" t="str">
        <f>"1551601175426004"</f>
        <v>1551601175426004</v>
      </c>
      <c r="C3047" t="s">
        <v>40</v>
      </c>
      <c r="D3047">
        <v>4.1926759999999996</v>
      </c>
      <c r="E3047">
        <v>0.51021810000000001</v>
      </c>
      <c r="F3047" t="s">
        <v>56</v>
      </c>
      <c r="G3047">
        <v>-304.81360000000001</v>
      </c>
      <c r="H3047" s="1">
        <v>3.172006E-6</v>
      </c>
      <c r="I3047">
        <v>283.91559999999998</v>
      </c>
      <c r="J3047">
        <v>-253.2627</v>
      </c>
      <c r="K3047">
        <v>1.1216459999999999</v>
      </c>
      <c r="L3047">
        <v>283.66149999999999</v>
      </c>
      <c r="M3047">
        <v>-0.99986209999999998</v>
      </c>
      <c r="N3047">
        <v>-1.355021E-2</v>
      </c>
      <c r="O3047">
        <v>-9.6053979999999994E-3</v>
      </c>
      <c r="P3047">
        <v>-0.99005489999999996</v>
      </c>
      <c r="Q3047">
        <v>0.13926269999999999</v>
      </c>
      <c r="R3047">
        <v>-1.9934859999999999E-2</v>
      </c>
      <c r="S3047">
        <v>-3.0399020000000001</v>
      </c>
      <c r="T3047">
        <v>-6.5878629999999994E-2</v>
      </c>
      <c r="U3047">
        <v>1.480103E-2</v>
      </c>
      <c r="V3047">
        <v>-1.041656E-2</v>
      </c>
      <c r="W3047">
        <v>0.1526679</v>
      </c>
      <c r="X3047">
        <v>0.98822270000000001</v>
      </c>
      <c r="Y3047">
        <v>1.4468959999999999E-2</v>
      </c>
      <c r="Z3047">
        <v>3.3279309999999999E-4</v>
      </c>
      <c r="AA3047">
        <v>0.99989530000000004</v>
      </c>
      <c r="AB3047">
        <v>20</v>
      </c>
      <c r="AC3047">
        <v>-51.550899999999999</v>
      </c>
      <c r="AD3047">
        <v>-1.1216428279939901</v>
      </c>
      <c r="AE3047">
        <v>0.254099999999994</v>
      </c>
      <c r="AF3047">
        <v>0.74894608001575003</v>
      </c>
      <c r="AG3047">
        <v>-1.1216428279939901</v>
      </c>
      <c r="AH3047">
        <v>51.521690167492501</v>
      </c>
      <c r="AI3047">
        <v>91.247017797379598</v>
      </c>
      <c r="AJ3047">
        <v>89.167177412735199</v>
      </c>
      <c r="AK3047">
        <v>51.539339931546003</v>
      </c>
      <c r="AL3047">
        <v>81.218433369653198</v>
      </c>
      <c r="AM3047">
        <v>90.603915314668399</v>
      </c>
      <c r="AN3047">
        <v>1.00000004860396</v>
      </c>
    </row>
    <row r="3048" spans="1:40" x14ac:dyDescent="0.25">
      <c r="A3048" t="str">
        <f>"20190303161935462"</f>
        <v>20190303161935462</v>
      </c>
      <c r="B3048" t="str">
        <f>"1551601175455285"</f>
        <v>1551601175455285</v>
      </c>
      <c r="C3048" t="s">
        <v>40</v>
      </c>
      <c r="D3048">
        <v>4.1401199999999996</v>
      </c>
      <c r="E3048">
        <v>0.51045870000000004</v>
      </c>
      <c r="F3048" t="s">
        <v>56</v>
      </c>
      <c r="G3048">
        <v>-307.27719999999999</v>
      </c>
      <c r="H3048" s="1">
        <v>2.7284E-6</v>
      </c>
      <c r="I3048">
        <v>283.99119999999999</v>
      </c>
      <c r="J3048">
        <v>-253.46770000000001</v>
      </c>
      <c r="K3048">
        <v>1.121634</v>
      </c>
      <c r="L3048">
        <v>283.65949999999998</v>
      </c>
      <c r="M3048">
        <v>-0.99986229999999998</v>
      </c>
      <c r="N3048">
        <v>-1.353641E-2</v>
      </c>
      <c r="O3048">
        <v>-9.6092750000000005E-3</v>
      </c>
      <c r="P3048">
        <v>-0.99006340000000004</v>
      </c>
      <c r="Q3048">
        <v>0.13926150000000001</v>
      </c>
      <c r="R3048">
        <v>-1.9520550000000001E-2</v>
      </c>
      <c r="S3048">
        <v>-3.0393979999999998</v>
      </c>
      <c r="T3048">
        <v>-6.3115000000000004E-2</v>
      </c>
      <c r="U3048">
        <v>1.8554689999999999E-2</v>
      </c>
      <c r="V3048">
        <v>-9.9934250000000002E-3</v>
      </c>
      <c r="W3048">
        <v>0.1526537</v>
      </c>
      <c r="X3048">
        <v>0.98822920000000003</v>
      </c>
      <c r="Y3048">
        <v>1.570846E-2</v>
      </c>
      <c r="Z3048">
        <v>3.3886469999999999E-4</v>
      </c>
      <c r="AA3048">
        <v>0.9998766</v>
      </c>
      <c r="AB3048">
        <v>20</v>
      </c>
      <c r="AC3048">
        <v>-53.8094999999999</v>
      </c>
      <c r="AD3048">
        <v>-1.1216312715999901</v>
      </c>
      <c r="AE3048">
        <v>0.33170000000001199</v>
      </c>
      <c r="AF3048">
        <v>0.84843367110578705</v>
      </c>
      <c r="AG3048">
        <v>-1.1216312715999901</v>
      </c>
      <c r="AH3048">
        <v>53.780461144023597</v>
      </c>
      <c r="AI3048">
        <v>91.194624022385497</v>
      </c>
      <c r="AJ3048">
        <v>89.096184091295896</v>
      </c>
      <c r="AK3048">
        <v>53.798846616517103</v>
      </c>
      <c r="AL3048">
        <v>81.219256066997303</v>
      </c>
      <c r="AM3048">
        <v>90.579381340743495</v>
      </c>
      <c r="AN3048">
        <v>0.99999998619978003</v>
      </c>
    </row>
    <row r="3049" spans="1:40" x14ac:dyDescent="0.25">
      <c r="A3049" t="str">
        <f>"20190303161935484"</f>
        <v>20190303161935484</v>
      </c>
      <c r="B3049" t="str">
        <f>"1551601175475781"</f>
        <v>1551601175475781</v>
      </c>
      <c r="C3049" t="s">
        <v>40</v>
      </c>
      <c r="D3049">
        <v>4.1359579999999996</v>
      </c>
      <c r="E3049">
        <v>0.51047120000000001</v>
      </c>
      <c r="F3049" t="s">
        <v>56</v>
      </c>
      <c r="G3049">
        <v>-308.05630000000002</v>
      </c>
      <c r="H3049" s="1">
        <v>2.5855500000000002E-6</v>
      </c>
      <c r="I3049">
        <v>284.04430000000002</v>
      </c>
      <c r="J3049">
        <v>-253.66980000000001</v>
      </c>
      <c r="K3049">
        <v>1.121624</v>
      </c>
      <c r="L3049">
        <v>283.6576</v>
      </c>
      <c r="M3049">
        <v>-0.99986260000000005</v>
      </c>
      <c r="N3049">
        <v>-1.352039E-2</v>
      </c>
      <c r="O3049">
        <v>-9.6008369999999992E-3</v>
      </c>
      <c r="P3049">
        <v>-0.99013470000000003</v>
      </c>
      <c r="Q3049">
        <v>0.13882829999999999</v>
      </c>
      <c r="R3049">
        <v>-1.898422E-2</v>
      </c>
      <c r="S3049">
        <v>-3.0393370000000002</v>
      </c>
      <c r="T3049">
        <v>-6.244922E-2</v>
      </c>
      <c r="U3049">
        <v>2.1423339999999999E-2</v>
      </c>
      <c r="V3049">
        <v>-9.463015E-3</v>
      </c>
      <c r="W3049">
        <v>0.15220549999999999</v>
      </c>
      <c r="X3049">
        <v>0.9883035</v>
      </c>
      <c r="Y3049">
        <v>1.664361E-2</v>
      </c>
      <c r="Z3049">
        <v>3.5094530000000002E-4</v>
      </c>
      <c r="AA3049">
        <v>0.99986140000000001</v>
      </c>
      <c r="AB3049">
        <v>20</v>
      </c>
      <c r="AC3049">
        <v>-54.386499999999998</v>
      </c>
      <c r="AD3049">
        <v>-1.1216214144500001</v>
      </c>
      <c r="AE3049">
        <v>0.38670000000001797</v>
      </c>
      <c r="AF3049">
        <v>0.90849939768741395</v>
      </c>
      <c r="AG3049">
        <v>-1.1216214144500001</v>
      </c>
      <c r="AH3049">
        <v>54.357162204998801</v>
      </c>
      <c r="AI3049">
        <v>91.181924923620997</v>
      </c>
      <c r="AJ3049">
        <v>89.0424751218751</v>
      </c>
      <c r="AK3049">
        <v>54.376322868814</v>
      </c>
      <c r="AL3049">
        <v>81.245239224404301</v>
      </c>
      <c r="AM3049">
        <v>90.548590845205396</v>
      </c>
      <c r="AN3049">
        <v>0.99999993549769295</v>
      </c>
    </row>
    <row r="3050" spans="1:40" x14ac:dyDescent="0.25">
      <c r="A3050" t="str">
        <f>"20190303161935508"</f>
        <v>20190303161935508</v>
      </c>
      <c r="B3050" t="str">
        <f>"1551601175495300"</f>
        <v>1551601175495300</v>
      </c>
      <c r="C3050" t="s">
        <v>40</v>
      </c>
      <c r="D3050">
        <v>4.1489960000000004</v>
      </c>
      <c r="E3050">
        <v>0.51051170000000001</v>
      </c>
      <c r="F3050" t="s">
        <v>56</v>
      </c>
      <c r="G3050">
        <v>-307.91849999999999</v>
      </c>
      <c r="H3050" s="1">
        <v>2.6088150000000001E-6</v>
      </c>
      <c r="I3050">
        <v>284.05799999999999</v>
      </c>
      <c r="J3050">
        <v>-253.88560000000001</v>
      </c>
      <c r="K3050">
        <v>1.121624</v>
      </c>
      <c r="L3050">
        <v>283.65550000000002</v>
      </c>
      <c r="M3050">
        <v>-0.9998631</v>
      </c>
      <c r="N3050">
        <v>-1.349829E-2</v>
      </c>
      <c r="O3050">
        <v>-9.5827989999999995E-3</v>
      </c>
      <c r="P3050">
        <v>-0.99022350000000003</v>
      </c>
      <c r="Q3050">
        <v>0.13815649999999999</v>
      </c>
      <c r="R3050">
        <v>-1.92493E-2</v>
      </c>
      <c r="S3050">
        <v>-3.039139</v>
      </c>
      <c r="T3050">
        <v>-6.2835929999999998E-2</v>
      </c>
      <c r="U3050">
        <v>2.243042E-2</v>
      </c>
      <c r="V3050">
        <v>-9.7444630000000001E-3</v>
      </c>
      <c r="W3050">
        <v>0.15151319999999999</v>
      </c>
      <c r="X3050">
        <v>0.98840720000000004</v>
      </c>
      <c r="Y3050">
        <v>1.6957150000000001E-2</v>
      </c>
      <c r="Z3050">
        <v>3.5850589999999902E-4</v>
      </c>
      <c r="AA3050">
        <v>0.99985619999999997</v>
      </c>
      <c r="AB3050">
        <v>20</v>
      </c>
      <c r="AC3050">
        <v>-54.032899999999898</v>
      </c>
      <c r="AD3050">
        <v>-1.1216213911849999</v>
      </c>
      <c r="AE3050">
        <v>0.40249999999997499</v>
      </c>
      <c r="AF3050">
        <v>0.91991867734574995</v>
      </c>
      <c r="AG3050">
        <v>-1.1216213911849999</v>
      </c>
      <c r="AH3050">
        <v>54.003292440667202</v>
      </c>
      <c r="AI3050">
        <v>91.189661092437007</v>
      </c>
      <c r="AJ3050">
        <v>89.024089863735796</v>
      </c>
      <c r="AK3050">
        <v>54.022771859192098</v>
      </c>
      <c r="AL3050">
        <v>81.285371089261503</v>
      </c>
      <c r="AM3050">
        <v>90.564846670526805</v>
      </c>
      <c r="AN3050">
        <v>0.99999999867261902</v>
      </c>
    </row>
    <row r="3051" spans="1:40" x14ac:dyDescent="0.25">
      <c r="A3051" t="str">
        <f>"20190303161935528"</f>
        <v>20190303161935528</v>
      </c>
      <c r="B3051" t="str">
        <f>"1551601175515796"</f>
        <v>1551601175515796</v>
      </c>
      <c r="C3051" t="s">
        <v>40</v>
      </c>
      <c r="D3051">
        <v>4.1426439999999998</v>
      </c>
      <c r="E3051">
        <v>0.51056089999999998</v>
      </c>
      <c r="F3051" t="s">
        <v>56</v>
      </c>
      <c r="G3051">
        <v>-307.3886</v>
      </c>
      <c r="H3051" s="1">
        <v>2.7039699999999999E-6</v>
      </c>
      <c r="I3051">
        <v>284.04450000000003</v>
      </c>
      <c r="J3051">
        <v>-254.06979999999999</v>
      </c>
      <c r="K3051">
        <v>1.121626</v>
      </c>
      <c r="L3051">
        <v>283.65370000000001</v>
      </c>
      <c r="M3051">
        <v>-0.99986359999999996</v>
      </c>
      <c r="N3051">
        <v>-1.34775E-2</v>
      </c>
      <c r="O3051">
        <v>-9.5643499999999992E-3</v>
      </c>
      <c r="P3051">
        <v>-0.99029520000000004</v>
      </c>
      <c r="Q3051">
        <v>0.1375536</v>
      </c>
      <c r="R3051">
        <v>-1.9869089999999999E-2</v>
      </c>
      <c r="S3051">
        <v>-3.0389400000000002</v>
      </c>
      <c r="T3051">
        <v>-6.3707349999999996E-2</v>
      </c>
      <c r="U3051">
        <v>2.209473E-2</v>
      </c>
      <c r="V3051">
        <v>-1.0383140000000001E-2</v>
      </c>
      <c r="W3051">
        <v>0.150891</v>
      </c>
      <c r="X3051">
        <v>0.98849589999999998</v>
      </c>
      <c r="Y3051">
        <v>1.6828639999999999E-2</v>
      </c>
      <c r="Z3051">
        <v>3.6138009999999999E-4</v>
      </c>
      <c r="AA3051">
        <v>0.99985829999999998</v>
      </c>
      <c r="AB3051">
        <v>20</v>
      </c>
      <c r="AC3051">
        <v>-53.318800000000003</v>
      </c>
      <c r="AD3051">
        <v>-1.1216232960299899</v>
      </c>
      <c r="AE3051">
        <v>0.39080000000001203</v>
      </c>
      <c r="AF3051">
        <v>0.90038960249459699</v>
      </c>
      <c r="AG3051">
        <v>-1.1216232960299899</v>
      </c>
      <c r="AH3051">
        <v>53.289042476445502</v>
      </c>
      <c r="AI3051">
        <v>91.205606693898105</v>
      </c>
      <c r="AJ3051">
        <v>89.0320033291366</v>
      </c>
      <c r="AK3051">
        <v>53.308449502033803</v>
      </c>
      <c r="AL3051">
        <v>81.321435377814197</v>
      </c>
      <c r="AM3051">
        <v>90.601811521952797</v>
      </c>
      <c r="AN3051">
        <v>1.0000000238970299</v>
      </c>
    </row>
    <row r="3052" spans="1:40" x14ac:dyDescent="0.25">
      <c r="A3052" t="str">
        <f>"20190303161935552"</f>
        <v>20190303161935552</v>
      </c>
      <c r="B3052" t="str">
        <f>"1551601175546052"</f>
        <v>1551601175546052</v>
      </c>
      <c r="C3052" t="s">
        <v>40</v>
      </c>
      <c r="D3052">
        <v>4.1772549999999997</v>
      </c>
      <c r="E3052">
        <v>0.51062240000000003</v>
      </c>
      <c r="F3052" t="s">
        <v>56</v>
      </c>
      <c r="G3052">
        <v>-306.40159999999997</v>
      </c>
      <c r="H3052" s="1">
        <v>2.8816489999999999E-6</v>
      </c>
      <c r="I3052">
        <v>284.01479999999998</v>
      </c>
      <c r="J3052">
        <v>-254.2834</v>
      </c>
      <c r="K3052">
        <v>1.121626</v>
      </c>
      <c r="L3052">
        <v>283.65170000000001</v>
      </c>
      <c r="M3052">
        <v>-0.99986399999999998</v>
      </c>
      <c r="N3052">
        <v>-1.3454290000000001E-2</v>
      </c>
      <c r="O3052">
        <v>-9.5451949999999994E-3</v>
      </c>
      <c r="P3052">
        <v>-0.99015980000000003</v>
      </c>
      <c r="Q3052">
        <v>0.1384128</v>
      </c>
      <c r="R3052">
        <v>-2.0626990000000001E-2</v>
      </c>
      <c r="S3052">
        <v>-3.0388790000000001</v>
      </c>
      <c r="T3052">
        <v>-6.5132019999999999E-2</v>
      </c>
      <c r="U3052">
        <v>2.0965580000000001E-2</v>
      </c>
      <c r="V3052">
        <v>-1.11632E-2</v>
      </c>
      <c r="W3052">
        <v>0.15172479999999999</v>
      </c>
      <c r="X3052">
        <v>0.98835969999999995</v>
      </c>
      <c r="Y3052">
        <v>1.6438020000000001E-2</v>
      </c>
      <c r="Z3052">
        <v>3.628746E-4</v>
      </c>
      <c r="AA3052">
        <v>0.9998648</v>
      </c>
      <c r="AB3052">
        <v>20</v>
      </c>
      <c r="AC3052">
        <v>-52.118199999999902</v>
      </c>
      <c r="AD3052">
        <v>-1.1216231183509999</v>
      </c>
      <c r="AE3052">
        <v>0.363099999999974</v>
      </c>
      <c r="AF3052">
        <v>0.860208453100614</v>
      </c>
      <c r="AG3052">
        <v>-1.1216231183509999</v>
      </c>
      <c r="AH3052">
        <v>52.088235948431297</v>
      </c>
      <c r="AI3052">
        <v>91.233399105006399</v>
      </c>
      <c r="AJ3052">
        <v>89.053877845341106</v>
      </c>
      <c r="AK3052">
        <v>52.1074113847719</v>
      </c>
      <c r="AL3052">
        <v>81.2731051974216</v>
      </c>
      <c r="AM3052">
        <v>90.6471095997871</v>
      </c>
      <c r="AN3052">
        <v>0.99999996427668403</v>
      </c>
    </row>
    <row r="3053" spans="1:40" x14ac:dyDescent="0.25">
      <c r="A3053" t="str">
        <f>"20190303161935573"</f>
        <v>20190303161935573</v>
      </c>
      <c r="B3053" t="str">
        <f>"1551601175565573"</f>
        <v>1551601175565573</v>
      </c>
      <c r="C3053" t="s">
        <v>40</v>
      </c>
      <c r="D3053">
        <v>4.1534500000000003</v>
      </c>
      <c r="E3053">
        <v>0.51067859999999998</v>
      </c>
      <c r="F3053" t="s">
        <v>56</v>
      </c>
      <c r="G3053">
        <v>-310.29410000000001</v>
      </c>
      <c r="H3053" s="1">
        <v>2.4008450000000001E-6</v>
      </c>
      <c r="I3053">
        <v>284.005</v>
      </c>
      <c r="J3053">
        <v>-254.4744</v>
      </c>
      <c r="K3053">
        <v>1.121621</v>
      </c>
      <c r="L3053">
        <v>283.6499</v>
      </c>
      <c r="M3053">
        <v>-0.99986430000000004</v>
      </c>
      <c r="N3053">
        <v>-1.3435269999999999E-2</v>
      </c>
      <c r="O3053">
        <v>-9.5331989999999991E-3</v>
      </c>
      <c r="P3053">
        <v>-0.99006170000000004</v>
      </c>
      <c r="Q3053">
        <v>0.13897899999999999</v>
      </c>
      <c r="R3053">
        <v>-2.1514510000000001E-2</v>
      </c>
      <c r="S3053">
        <v>-3.0387270000000002</v>
      </c>
      <c r="T3053">
        <v>-6.0851099999999998E-2</v>
      </c>
      <c r="U3053">
        <v>1.9165040000000001E-2</v>
      </c>
      <c r="V3053">
        <v>-1.2064210000000001E-2</v>
      </c>
      <c r="W3053">
        <v>0.1522715</v>
      </c>
      <c r="X3053">
        <v>0.98826499999999995</v>
      </c>
      <c r="Y3053">
        <v>1.5834879999999999E-2</v>
      </c>
      <c r="Z3053">
        <v>3.27728E-4</v>
      </c>
      <c r="AA3053">
        <v>0.99987459999999995</v>
      </c>
      <c r="AB3053">
        <v>20</v>
      </c>
      <c r="AC3053">
        <v>-55.819699999999997</v>
      </c>
      <c r="AD3053">
        <v>-1.1216185991550001</v>
      </c>
      <c r="AE3053">
        <v>0.35509999999999298</v>
      </c>
      <c r="AF3053">
        <v>0.88691412149375703</v>
      </c>
      <c r="AG3053">
        <v>-1.1216185991550001</v>
      </c>
      <c r="AH3053">
        <v>55.791252484529203</v>
      </c>
      <c r="AI3053">
        <v>91.151564770974701</v>
      </c>
      <c r="AJ3053">
        <v>89.089245111958306</v>
      </c>
      <c r="AK3053">
        <v>55.8095735401496</v>
      </c>
      <c r="AL3053">
        <v>81.241413078614897</v>
      </c>
      <c r="AM3053">
        <v>90.699401459233798</v>
      </c>
      <c r="AN3053">
        <v>0.99999993255008401</v>
      </c>
    </row>
    <row r="3054" spans="1:40" x14ac:dyDescent="0.25">
      <c r="A3054" t="str">
        <f>"20190303161935595"</f>
        <v>20190303161935595</v>
      </c>
      <c r="B3054" t="str">
        <f>"1551601175586070"</f>
        <v>1551601175586070</v>
      </c>
      <c r="C3054" t="s">
        <v>40</v>
      </c>
      <c r="D3054">
        <v>4.1784689999999998</v>
      </c>
      <c r="E3054">
        <v>0.51078000000000001</v>
      </c>
      <c r="F3054" t="s">
        <v>56</v>
      </c>
      <c r="G3054">
        <v>-311.68459999999999</v>
      </c>
      <c r="H3054" s="1">
        <v>3.0207589999999999E-6</v>
      </c>
      <c r="I3054">
        <v>283.9676</v>
      </c>
      <c r="J3054">
        <v>-254.67320000000001</v>
      </c>
      <c r="K3054">
        <v>1.121623</v>
      </c>
      <c r="L3054">
        <v>283.64800000000002</v>
      </c>
      <c r="M3054">
        <v>-0.9998648</v>
      </c>
      <c r="N3054">
        <v>-1.341705E-2</v>
      </c>
      <c r="O3054">
        <v>-9.5227220000000008E-3</v>
      </c>
      <c r="P3054">
        <v>-0.99003189999999996</v>
      </c>
      <c r="Q3054">
        <v>0.13891429999999999</v>
      </c>
      <c r="R3054">
        <v>-2.324215E-2</v>
      </c>
      <c r="S3054">
        <v>-3.038834</v>
      </c>
      <c r="T3054">
        <v>-5.9576990000000003E-2</v>
      </c>
      <c r="U3054">
        <v>1.6876220000000001E-2</v>
      </c>
      <c r="V3054">
        <v>-1.380325E-2</v>
      </c>
      <c r="W3054">
        <v>0.15218809999999999</v>
      </c>
      <c r="X3054">
        <v>0.98825510000000005</v>
      </c>
      <c r="Y3054">
        <v>1.5071559999999999E-2</v>
      </c>
      <c r="Z3054">
        <v>3.077612E-4</v>
      </c>
      <c r="AA3054">
        <v>0.99988639999999995</v>
      </c>
      <c r="AB3054">
        <v>20</v>
      </c>
      <c r="AC3054">
        <v>-57.011399999999902</v>
      </c>
      <c r="AD3054">
        <v>-1.121619979241</v>
      </c>
      <c r="AE3054">
        <v>0.31960000000003602</v>
      </c>
      <c r="AF3054">
        <v>0.86220429896372597</v>
      </c>
      <c r="AG3054">
        <v>-1.121619979241</v>
      </c>
      <c r="AH3054">
        <v>56.983715876364997</v>
      </c>
      <c r="AI3054">
        <v>91.127487749815302</v>
      </c>
      <c r="AJ3054">
        <v>89.133140103943504</v>
      </c>
      <c r="AK3054">
        <v>57.001274570918802</v>
      </c>
      <c r="AL3054">
        <v>81.246248006728507</v>
      </c>
      <c r="AM3054">
        <v>90.800214990718501</v>
      </c>
      <c r="AN3054">
        <v>0.99999994508408896</v>
      </c>
    </row>
    <row r="3055" spans="1:40" x14ac:dyDescent="0.25">
      <c r="A3055" t="str">
        <f>"20190303161935608"</f>
        <v>20190303161935608</v>
      </c>
      <c r="B3055" t="str">
        <f>"1551601175595829"</f>
        <v>1551601175595829</v>
      </c>
      <c r="C3055" t="s">
        <v>40</v>
      </c>
      <c r="D3055">
        <v>4.180199</v>
      </c>
      <c r="E3055">
        <v>0.51080899999999996</v>
      </c>
      <c r="F3055" t="s">
        <v>56</v>
      </c>
      <c r="G3055">
        <v>-312.2876</v>
      </c>
      <c r="H3055" s="1">
        <v>3.2946350000000001E-6</v>
      </c>
      <c r="I3055">
        <v>283.89330000000001</v>
      </c>
      <c r="J3055">
        <v>-254.79079999999999</v>
      </c>
      <c r="K3055">
        <v>1.121626</v>
      </c>
      <c r="L3055">
        <v>283.64690000000002</v>
      </c>
      <c r="M3055">
        <v>-0.99986489999999995</v>
      </c>
      <c r="N3055">
        <v>-1.340685E-2</v>
      </c>
      <c r="O3055">
        <v>-9.5146450000000004E-3</v>
      </c>
      <c r="P3055">
        <v>-0.99001969999999995</v>
      </c>
      <c r="Q3055">
        <v>0.13875989999999999</v>
      </c>
      <c r="R3055">
        <v>-2.4636910000000001E-2</v>
      </c>
      <c r="S3055">
        <v>-3.0387879999999998</v>
      </c>
      <c r="T3055">
        <v>-5.9158210000000003E-2</v>
      </c>
      <c r="U3055">
        <v>1.293945E-2</v>
      </c>
      <c r="V3055">
        <v>-1.5205079999999999E-2</v>
      </c>
      <c r="W3055">
        <v>0.1520241</v>
      </c>
      <c r="X3055">
        <v>0.98825980000000002</v>
      </c>
      <c r="Y3055">
        <v>1.37687E-2</v>
      </c>
      <c r="Z3055">
        <v>2.83971E-4</v>
      </c>
      <c r="AA3055">
        <v>0.99990520000000005</v>
      </c>
      <c r="AB3055">
        <v>20</v>
      </c>
      <c r="AC3055">
        <v>-57.4968</v>
      </c>
      <c r="AD3055">
        <v>-1.1216227053650001</v>
      </c>
      <c r="AE3055">
        <v>0.24639999999999401</v>
      </c>
      <c r="AF3055">
        <v>0.79319779054337702</v>
      </c>
      <c r="AG3055">
        <v>-1.1216227053650001</v>
      </c>
      <c r="AH3055">
        <v>57.469982781834098</v>
      </c>
      <c r="AI3055">
        <v>91.117974441358001</v>
      </c>
      <c r="AJ3055">
        <v>89.209256762158006</v>
      </c>
      <c r="AK3055">
        <v>57.486399445194202</v>
      </c>
      <c r="AL3055">
        <v>81.255755418566906</v>
      </c>
      <c r="AM3055">
        <v>90.881466774660595</v>
      </c>
      <c r="AN3055">
        <v>0.999999976867328</v>
      </c>
    </row>
    <row r="3056" spans="1:40" x14ac:dyDescent="0.25">
      <c r="A3056" t="str">
        <f>"20190303161935628"</f>
        <v>20190303161935628</v>
      </c>
      <c r="B3056" t="str">
        <f>"1551601175615349"</f>
        <v>1551601175615349</v>
      </c>
      <c r="C3056" t="s">
        <v>40</v>
      </c>
      <c r="D3056">
        <v>4.1703939999999999</v>
      </c>
      <c r="E3056">
        <v>0.51087870000000002</v>
      </c>
      <c r="F3056" t="s">
        <v>56</v>
      </c>
      <c r="G3056">
        <v>-312.25259999999997</v>
      </c>
      <c r="H3056" s="1">
        <v>3.284735E-6</v>
      </c>
      <c r="I3056">
        <v>283.82920000000001</v>
      </c>
      <c r="J3056">
        <v>-254.96979999999999</v>
      </c>
      <c r="K3056">
        <v>1.1216189999999999</v>
      </c>
      <c r="L3056">
        <v>283.64519999999999</v>
      </c>
      <c r="M3056">
        <v>-0.99986540000000002</v>
      </c>
      <c r="N3056">
        <v>-1.339241E-2</v>
      </c>
      <c r="O3056">
        <v>-9.4917839999999996E-3</v>
      </c>
      <c r="P3056">
        <v>-0.98984099999999997</v>
      </c>
      <c r="Q3056">
        <v>0.1395285</v>
      </c>
      <c r="R3056">
        <v>-2.7328870000000002E-2</v>
      </c>
      <c r="S3056">
        <v>-3.0387879999999998</v>
      </c>
      <c r="T3056">
        <v>-5.9315439999999997E-2</v>
      </c>
      <c r="U3056">
        <v>9.6435549999999998E-3</v>
      </c>
      <c r="V3056">
        <v>-1.7918670000000001E-2</v>
      </c>
      <c r="W3056">
        <v>0.15277669999999999</v>
      </c>
      <c r="X3056">
        <v>0.98809829999999998</v>
      </c>
      <c r="Y3056">
        <v>1.266167E-2</v>
      </c>
      <c r="Z3056">
        <v>2.6649950000000002E-4</v>
      </c>
      <c r="AA3056">
        <v>0.99991980000000003</v>
      </c>
      <c r="AB3056">
        <v>20</v>
      </c>
      <c r="AC3056">
        <v>-57.282799999999902</v>
      </c>
      <c r="AD3056">
        <v>-1.1216157152649999</v>
      </c>
      <c r="AE3056">
        <v>0.184000000000025</v>
      </c>
      <c r="AF3056">
        <v>0.72747746321045503</v>
      </c>
      <c r="AG3056">
        <v>-1.1216157152649999</v>
      </c>
      <c r="AH3056">
        <v>57.2565211214947</v>
      </c>
      <c r="AI3056">
        <v>91.122150676126296</v>
      </c>
      <c r="AJ3056">
        <v>89.272062905102601</v>
      </c>
      <c r="AK3056">
        <v>57.272126346141398</v>
      </c>
      <c r="AL3056">
        <v>81.2121253811831</v>
      </c>
      <c r="AM3056">
        <v>91.038916517430494</v>
      </c>
      <c r="AN3056">
        <v>1.0000000246301699</v>
      </c>
    </row>
    <row r="3057" spans="1:40" x14ac:dyDescent="0.25">
      <c r="A3057" t="str">
        <f>"20190303161935640"</f>
        <v>20190303161935640</v>
      </c>
      <c r="B3057" t="str">
        <f>"1551601175626085"</f>
        <v>1551601175626085</v>
      </c>
      <c r="C3057" t="s">
        <v>40</v>
      </c>
      <c r="D3057">
        <v>4.1531969999999996</v>
      </c>
      <c r="E3057">
        <v>0.51085069999999999</v>
      </c>
      <c r="F3057" t="s">
        <v>56</v>
      </c>
      <c r="G3057">
        <v>-315.6789</v>
      </c>
      <c r="H3057" s="1">
        <v>4.8162090000000002E-6</v>
      </c>
      <c r="I3057">
        <v>283.69150000000002</v>
      </c>
      <c r="J3057">
        <v>-255.08510000000001</v>
      </c>
      <c r="K3057">
        <v>1.121607</v>
      </c>
      <c r="L3057">
        <v>283.64409999999998</v>
      </c>
      <c r="M3057">
        <v>-0.99986580000000003</v>
      </c>
      <c r="N3057">
        <v>-1.338367E-2</v>
      </c>
      <c r="O3057">
        <v>-9.4659649999999998E-3</v>
      </c>
      <c r="P3057">
        <v>-0.98978580000000005</v>
      </c>
      <c r="Q3057">
        <v>0.13974029999999901</v>
      </c>
      <c r="R3057">
        <v>-2.823024E-2</v>
      </c>
      <c r="S3057">
        <v>-3.0387879999999998</v>
      </c>
      <c r="T3057">
        <v>-5.6142209999999998E-2</v>
      </c>
      <c r="U3057">
        <v>2.319336E-3</v>
      </c>
      <c r="V3057">
        <v>-1.8842480000000002E-2</v>
      </c>
      <c r="W3057">
        <v>0.152979799999999</v>
      </c>
      <c r="X3057">
        <v>0.98804970000000003</v>
      </c>
      <c r="Y3057">
        <v>1.0226890000000001E-2</v>
      </c>
      <c r="Z3057">
        <v>2.110891E-4</v>
      </c>
      <c r="AA3057">
        <v>0.99994769999999999</v>
      </c>
      <c r="AB3057">
        <v>20</v>
      </c>
      <c r="AC3057">
        <v>-60.593799999999902</v>
      </c>
      <c r="AD3057">
        <v>-1.121602183791</v>
      </c>
      <c r="AE3057">
        <v>4.7400000000038703E-2</v>
      </c>
      <c r="AF3057">
        <v>0.62081523652919401</v>
      </c>
      <c r="AG3057">
        <v>-1.121602183791</v>
      </c>
      <c r="AH3057">
        <v>60.569883136738603</v>
      </c>
      <c r="AI3057">
        <v>91.060797054249406</v>
      </c>
      <c r="AJ3057">
        <v>89.412763479846006</v>
      </c>
      <c r="AK3057">
        <v>60.583447790751997</v>
      </c>
      <c r="AL3057">
        <v>81.200350274442101</v>
      </c>
      <c r="AM3057">
        <v>91.092519670540099</v>
      </c>
      <c r="AN3057">
        <v>1.0000000339653301</v>
      </c>
    </row>
    <row r="3058" spans="1:40" x14ac:dyDescent="0.25">
      <c r="A3058" t="str">
        <f>"20190303161935662"</f>
        <v>20190303161935662</v>
      </c>
      <c r="B3058" t="str">
        <f>"1551601175655367"</f>
        <v>1551601175655367</v>
      </c>
      <c r="C3058" t="s">
        <v>40</v>
      </c>
      <c r="D3058">
        <v>4.181635</v>
      </c>
      <c r="E3058">
        <v>0.51095599999999997</v>
      </c>
      <c r="F3058" t="s">
        <v>56</v>
      </c>
      <c r="G3058">
        <v>-316.50409999999999</v>
      </c>
      <c r="H3058" s="1">
        <v>5.1861820000000003E-6</v>
      </c>
      <c r="I3058">
        <v>283.64530000000002</v>
      </c>
      <c r="J3058">
        <v>-255.27680000000001</v>
      </c>
      <c r="K3058">
        <v>1.1215900000000001</v>
      </c>
      <c r="L3058">
        <v>283.64229999999998</v>
      </c>
      <c r="M3058">
        <v>-0.99986640000000004</v>
      </c>
      <c r="N3058">
        <v>-1.337029E-2</v>
      </c>
      <c r="O3058">
        <v>-9.4020330000000006E-3</v>
      </c>
      <c r="P3058">
        <v>-0.98963319999999999</v>
      </c>
      <c r="Q3058">
        <v>0.1403451</v>
      </c>
      <c r="R3058">
        <v>-3.0484919999999999E-2</v>
      </c>
      <c r="S3058">
        <v>-3.0387879999999998</v>
      </c>
      <c r="T3058">
        <v>-5.5492760000000002E-2</v>
      </c>
      <c r="U3058" s="1">
        <v>6.1035159999999999E-5</v>
      </c>
      <c r="V3058">
        <v>-2.1155170000000001E-2</v>
      </c>
      <c r="W3058">
        <v>0.15357119999999999</v>
      </c>
      <c r="X3058">
        <v>0.98791110000000004</v>
      </c>
      <c r="Y3058">
        <v>9.4201279999999998E-3</v>
      </c>
      <c r="Z3058">
        <v>1.9495910000000001E-4</v>
      </c>
      <c r="AA3058">
        <v>0.99995560000000006</v>
      </c>
      <c r="AB3058">
        <v>20</v>
      </c>
      <c r="AC3058">
        <v>-61.2272999999999</v>
      </c>
      <c r="AD3058">
        <v>-1.12158481381799</v>
      </c>
      <c r="AE3058">
        <v>3.0000000000427402E-3</v>
      </c>
      <c r="AF3058">
        <v>0.57851829953772604</v>
      </c>
      <c r="AG3058">
        <v>-1.12158481381799</v>
      </c>
      <c r="AH3058">
        <v>61.204027250487101</v>
      </c>
      <c r="AI3058">
        <v>91.049800437276403</v>
      </c>
      <c r="AJ3058">
        <v>89.458439725212898</v>
      </c>
      <c r="AK3058">
        <v>61.217036743016699</v>
      </c>
      <c r="AL3058">
        <v>81.166060044791607</v>
      </c>
      <c r="AM3058">
        <v>91.2267467513322</v>
      </c>
      <c r="AN3058">
        <v>0.99999999809518902</v>
      </c>
    </row>
    <row r="3059" spans="1:40" x14ac:dyDescent="0.25">
      <c r="A3059" t="str">
        <f>"20190303161935676"</f>
        <v>20190303161935676</v>
      </c>
      <c r="B3059" t="str">
        <f>"1551601175665124"</f>
        <v>1551601175665124</v>
      </c>
      <c r="C3059" t="s">
        <v>40</v>
      </c>
      <c r="D3059">
        <v>4.201613</v>
      </c>
      <c r="E3059">
        <v>0.51101739999999996</v>
      </c>
      <c r="F3059" t="s">
        <v>56</v>
      </c>
      <c r="G3059">
        <v>-319.81599999999997</v>
      </c>
      <c r="H3059" s="1">
        <v>6.6644299999999997E-6</v>
      </c>
      <c r="I3059">
        <v>283.536</v>
      </c>
      <c r="J3059">
        <v>-255.4068</v>
      </c>
      <c r="K3059">
        <v>1.1215790000000001</v>
      </c>
      <c r="L3059">
        <v>283.64109999999999</v>
      </c>
      <c r="M3059">
        <v>-0.99986719999999896</v>
      </c>
      <c r="N3059">
        <v>-1.336208E-2</v>
      </c>
      <c r="O3059">
        <v>-9.3335050000000006E-3</v>
      </c>
      <c r="P3059">
        <v>-0.98954200000000003</v>
      </c>
      <c r="Q3059">
        <v>0.14055139999999999</v>
      </c>
      <c r="R3059">
        <v>-3.2439490000000001E-2</v>
      </c>
      <c r="S3059">
        <v>-3.0387879999999998</v>
      </c>
      <c r="T3059">
        <v>-5.2809000000000002E-2</v>
      </c>
      <c r="U3059">
        <v>-5.0048829999999999E-3</v>
      </c>
      <c r="V3059">
        <v>-2.3171529999999999E-2</v>
      </c>
      <c r="W3059">
        <v>0.15376960000000001</v>
      </c>
      <c r="X3059">
        <v>0.98783500000000002</v>
      </c>
      <c r="Y3059">
        <v>7.6852730000000003E-3</v>
      </c>
      <c r="Z3059">
        <v>1.5559450000000001E-4</v>
      </c>
      <c r="AA3059">
        <v>0.99997040000000004</v>
      </c>
      <c r="AB3059">
        <v>20</v>
      </c>
      <c r="AC3059">
        <v>-64.409199999999899</v>
      </c>
      <c r="AD3059">
        <v>-1.12157233557</v>
      </c>
      <c r="AE3059">
        <v>-0.105099999999993</v>
      </c>
      <c r="AF3059">
        <v>0.49597143207092798</v>
      </c>
      <c r="AG3059">
        <v>-1.12157233557</v>
      </c>
      <c r="AH3059">
        <v>64.387851321512997</v>
      </c>
      <c r="AI3059">
        <v>90.997904975747005</v>
      </c>
      <c r="AJ3059">
        <v>89.558666623930904</v>
      </c>
      <c r="AK3059">
        <v>64.399528802364799</v>
      </c>
      <c r="AL3059">
        <v>81.154555921160906</v>
      </c>
      <c r="AM3059">
        <v>91.343733979350603</v>
      </c>
      <c r="AN3059">
        <v>0.99999999845584997</v>
      </c>
    </row>
    <row r="3060" spans="1:40" x14ac:dyDescent="0.25">
      <c r="A3060" t="str">
        <f>"20190303161935707"</f>
        <v>20190303161935707</v>
      </c>
      <c r="B3060" t="str">
        <f>"1551601175695380"</f>
        <v>1551601175695380</v>
      </c>
      <c r="C3060" t="s">
        <v>40</v>
      </c>
      <c r="D3060">
        <v>4.1951150000000004</v>
      </c>
      <c r="E3060">
        <v>0.51117449999999998</v>
      </c>
      <c r="F3060" t="s">
        <v>52</v>
      </c>
      <c r="G3060">
        <v>-321.01299999999998</v>
      </c>
      <c r="H3060" s="1">
        <v>-9.4594749999999995E-7</v>
      </c>
      <c r="I3060">
        <v>283.4323</v>
      </c>
      <c r="J3060">
        <v>-255.67490000000001</v>
      </c>
      <c r="K3060">
        <v>1.1215310000000001</v>
      </c>
      <c r="L3060">
        <v>283.63889999999998</v>
      </c>
      <c r="M3060">
        <v>-0.99986929999999996</v>
      </c>
      <c r="N3060">
        <v>-1.334667E-2</v>
      </c>
      <c r="O3060">
        <v>-9.1311099999999996E-3</v>
      </c>
      <c r="P3060">
        <v>-0.98941369999999895</v>
      </c>
      <c r="Q3060">
        <v>0.1409745</v>
      </c>
      <c r="R3060">
        <v>-3.4451490000000001E-2</v>
      </c>
      <c r="S3060">
        <v>-3.0387729999999999</v>
      </c>
      <c r="T3060">
        <v>-5.1949740000000001E-2</v>
      </c>
      <c r="U3060">
        <v>-9.6740720000000006E-3</v>
      </c>
      <c r="V3060">
        <v>-2.5367689999999998E-2</v>
      </c>
      <c r="W3060">
        <v>0.15417899999999901</v>
      </c>
      <c r="X3060">
        <v>0.98771719999999996</v>
      </c>
      <c r="Y3060">
        <v>5.9468689999999996E-3</v>
      </c>
      <c r="Z3060">
        <v>1.2473469999999901E-4</v>
      </c>
      <c r="AA3060">
        <v>0.99998229999999999</v>
      </c>
      <c r="AB3060">
        <v>20</v>
      </c>
      <c r="AC3060">
        <v>-65.338099999999898</v>
      </c>
      <c r="AD3060">
        <v>-1.1215319459474999</v>
      </c>
      <c r="AE3060">
        <v>-0.20659999999997999</v>
      </c>
      <c r="AF3060">
        <v>0.389956204730942</v>
      </c>
      <c r="AG3060">
        <v>-1.1215319459474999</v>
      </c>
      <c r="AH3060">
        <v>65.318017214931103</v>
      </c>
      <c r="AI3060">
        <v>90.983673283272793</v>
      </c>
      <c r="AJ3060">
        <v>89.657941556797695</v>
      </c>
      <c r="AK3060">
        <v>65.328808902638201</v>
      </c>
      <c r="AL3060">
        <v>81.130815720243703</v>
      </c>
      <c r="AM3060">
        <v>91.4712127316606</v>
      </c>
      <c r="AN3060">
        <v>0.99999997545638697</v>
      </c>
    </row>
    <row r="3061" spans="1:40" x14ac:dyDescent="0.25">
      <c r="A3061" t="str">
        <f>"20190303161935728"</f>
        <v>20190303161935728</v>
      </c>
      <c r="B3061" t="str">
        <f>"1551601175715877"</f>
        <v>1551601175715877</v>
      </c>
      <c r="C3061" t="s">
        <v>40</v>
      </c>
      <c r="D3061">
        <v>4.2103989999999998</v>
      </c>
      <c r="E3061">
        <v>0.51128209999999996</v>
      </c>
      <c r="F3061" t="s">
        <v>52</v>
      </c>
      <c r="G3061">
        <v>-324.11169999999998</v>
      </c>
      <c r="H3061" s="1">
        <v>7.0748749999999997E-7</v>
      </c>
      <c r="I3061">
        <v>283.32960000000003</v>
      </c>
      <c r="J3061">
        <v>-255.86949999999999</v>
      </c>
      <c r="K3061">
        <v>1.1215010000000001</v>
      </c>
      <c r="L3061">
        <v>283.63729999999998</v>
      </c>
      <c r="M3061">
        <v>-0.99987130000000002</v>
      </c>
      <c r="N3061">
        <v>-1.3336819999999999E-2</v>
      </c>
      <c r="O3061">
        <v>-8.9227379999999995E-3</v>
      </c>
      <c r="P3061">
        <v>-0.9893151</v>
      </c>
      <c r="Q3061">
        <v>0.14173079999999999</v>
      </c>
      <c r="R3061">
        <v>-3.4177489999999998E-2</v>
      </c>
      <c r="S3061">
        <v>-3.0387119999999999</v>
      </c>
      <c r="T3061">
        <v>-4.9797889999999997E-2</v>
      </c>
      <c r="U3061">
        <v>-1.3732909999999999E-2</v>
      </c>
      <c r="V3061">
        <v>-2.528793E-2</v>
      </c>
      <c r="W3061">
        <v>0.15492619999999999</v>
      </c>
      <c r="X3061">
        <v>0.98760239999999999</v>
      </c>
      <c r="Y3061">
        <v>4.4032339999999998E-3</v>
      </c>
      <c r="Z3061" s="1">
        <v>9.2650380000000002E-5</v>
      </c>
      <c r="AA3061">
        <v>0.9999903</v>
      </c>
      <c r="AB3061">
        <v>20</v>
      </c>
      <c r="AC3061">
        <v>-68.242199999999997</v>
      </c>
      <c r="AD3061">
        <v>-1.1215002925124999</v>
      </c>
      <c r="AE3061">
        <v>-0.30769999999995401</v>
      </c>
      <c r="AF3061">
        <v>0.30119230733431401</v>
      </c>
      <c r="AG3061">
        <v>-1.1215002925124999</v>
      </c>
      <c r="AH3061">
        <v>68.223803149742295</v>
      </c>
      <c r="AI3061">
        <v>90.9417654462559</v>
      </c>
      <c r="AJ3061">
        <v>89.747054032136504</v>
      </c>
      <c r="AK3061">
        <v>68.233685199664393</v>
      </c>
      <c r="AL3061">
        <v>81.08748436063</v>
      </c>
      <c r="AM3061">
        <v>91.466759434751907</v>
      </c>
      <c r="AN3061">
        <v>1.0000000536679401</v>
      </c>
    </row>
    <row r="3062" spans="1:40" x14ac:dyDescent="0.25">
      <c r="A3062" t="str">
        <f>"20190303161935751"</f>
        <v>20190303161935751</v>
      </c>
      <c r="B3062" t="str">
        <f>"1551601175745156"</f>
        <v>1551601175745156</v>
      </c>
      <c r="C3062" t="s">
        <v>40</v>
      </c>
      <c r="D3062">
        <v>4.2641989999999996</v>
      </c>
      <c r="E3062">
        <v>0.51155439999999996</v>
      </c>
      <c r="F3062" t="s">
        <v>52</v>
      </c>
      <c r="G3062">
        <v>-326.84589999999997</v>
      </c>
      <c r="H3062" s="1">
        <v>2.1614580000000001E-6</v>
      </c>
      <c r="I3062">
        <v>283.35289999999998</v>
      </c>
      <c r="J3062">
        <v>-256.07130000000001</v>
      </c>
      <c r="K3062">
        <v>1.121472</v>
      </c>
      <c r="L3062">
        <v>283.63589999999999</v>
      </c>
      <c r="M3062">
        <v>-0.99987369999999998</v>
      </c>
      <c r="N3062">
        <v>-1.332758E-2</v>
      </c>
      <c r="O3062">
        <v>-8.6656010000000002E-3</v>
      </c>
      <c r="P3062">
        <v>-0.98923939999999999</v>
      </c>
      <c r="Q3062">
        <v>0.1425999</v>
      </c>
      <c r="R3062">
        <v>-3.2727289999999999E-2</v>
      </c>
      <c r="S3062">
        <v>-3.0388639999999998</v>
      </c>
      <c r="T3062">
        <v>-4.801714E-2</v>
      </c>
      <c r="U3062">
        <v>-1.217651E-2</v>
      </c>
      <c r="V3062">
        <v>-2.4082340000000001E-2</v>
      </c>
      <c r="W3062">
        <v>0.1557858</v>
      </c>
      <c r="X3062">
        <v>0.98749730000000002</v>
      </c>
      <c r="Y3062">
        <v>4.6584549999999997E-3</v>
      </c>
      <c r="Z3062" s="1">
        <v>8.9267519999999993E-5</v>
      </c>
      <c r="AA3062">
        <v>0.99998920000000002</v>
      </c>
      <c r="AB3062">
        <v>20</v>
      </c>
      <c r="AC3062">
        <v>-70.774599999999893</v>
      </c>
      <c r="AD3062">
        <v>-1.1214698385420001</v>
      </c>
      <c r="AE3062">
        <v>-0.28300000000001502</v>
      </c>
      <c r="AF3062">
        <v>0.33028657901050901</v>
      </c>
      <c r="AG3062">
        <v>-1.1214698385420001</v>
      </c>
      <c r="AH3062">
        <v>70.756629108302107</v>
      </c>
      <c r="AI3062">
        <v>90.908033773929702</v>
      </c>
      <c r="AJ3062">
        <v>89.732549588654294</v>
      </c>
      <c r="AK3062">
        <v>70.766286793874301</v>
      </c>
      <c r="AL3062">
        <v>81.037627507014406</v>
      </c>
      <c r="AM3062">
        <v>91.397009386634593</v>
      </c>
      <c r="AN3062">
        <v>1.0000000460444001</v>
      </c>
    </row>
    <row r="3063" spans="1:40" x14ac:dyDescent="0.25">
      <c r="A3063" t="str">
        <f>"20190303161935773"</f>
        <v>20190303161935773</v>
      </c>
      <c r="B3063" t="str">
        <f>"1551601175765652"</f>
        <v>1551601175765652</v>
      </c>
      <c r="C3063" t="s">
        <v>40</v>
      </c>
      <c r="D3063">
        <v>4.2574860000000001</v>
      </c>
      <c r="E3063">
        <v>0.51170119999999997</v>
      </c>
      <c r="F3063" t="s">
        <v>52</v>
      </c>
      <c r="G3063">
        <v>-329.29700000000003</v>
      </c>
      <c r="H3063" s="1">
        <v>3.4596950000000002E-6</v>
      </c>
      <c r="I3063">
        <v>283.4932</v>
      </c>
      <c r="J3063">
        <v>-256.2679</v>
      </c>
      <c r="K3063">
        <v>1.1214599999999999</v>
      </c>
      <c r="L3063">
        <v>283.6345</v>
      </c>
      <c r="M3063">
        <v>-0.99987619999999999</v>
      </c>
      <c r="N3063">
        <v>-1.331921E-2</v>
      </c>
      <c r="O3063">
        <v>-8.3825319999999998E-3</v>
      </c>
      <c r="P3063">
        <v>-0.98934330000000004</v>
      </c>
      <c r="Q3063">
        <v>0.14253769999999999</v>
      </c>
      <c r="R3063">
        <v>-2.971905E-2</v>
      </c>
      <c r="S3063">
        <v>-3.0391539999999999</v>
      </c>
      <c r="T3063">
        <v>-4.6545389999999999E-2</v>
      </c>
      <c r="U3063">
        <v>-5.9204100000000001E-3</v>
      </c>
      <c r="V3063">
        <v>-2.1346710000000001E-2</v>
      </c>
      <c r="W3063">
        <v>0.15571559999999901</v>
      </c>
      <c r="X3063">
        <v>0.98757119999999998</v>
      </c>
      <c r="Y3063">
        <v>6.4338590000000001E-3</v>
      </c>
      <c r="Z3063">
        <v>1.0883629999999999E-4</v>
      </c>
      <c r="AA3063">
        <v>0.99997930000000002</v>
      </c>
      <c r="AB3063">
        <v>20</v>
      </c>
      <c r="AC3063">
        <v>-73.0290999999999</v>
      </c>
      <c r="AD3063">
        <v>-1.1214565403049901</v>
      </c>
      <c r="AE3063">
        <v>-0.14130000000000101</v>
      </c>
      <c r="AF3063">
        <v>0.47081698874465999</v>
      </c>
      <c r="AG3063">
        <v>-1.1214565403049901</v>
      </c>
      <c r="AH3063">
        <v>73.010501325277801</v>
      </c>
      <c r="AI3063">
        <v>90.879987635081704</v>
      </c>
      <c r="AJ3063">
        <v>89.630526404139502</v>
      </c>
      <c r="AK3063">
        <v>73.020631585717396</v>
      </c>
      <c r="AL3063">
        <v>81.041698517773099</v>
      </c>
      <c r="AM3063">
        <v>91.238276247177296</v>
      </c>
      <c r="AN3063">
        <v>0.99999995259031005</v>
      </c>
    </row>
    <row r="3064" spans="1:40" x14ac:dyDescent="0.25">
      <c r="A3064" t="str">
        <f>"20190303161935794"</f>
        <v>20190303161935794</v>
      </c>
      <c r="B3064" t="str">
        <f>"1551601175785173"</f>
        <v>1551601175785173</v>
      </c>
      <c r="C3064" t="s">
        <v>40</v>
      </c>
      <c r="D3064">
        <v>4.2946359999999997</v>
      </c>
      <c r="E3064">
        <v>0.51189059999999997</v>
      </c>
      <c r="F3064" t="s">
        <v>52</v>
      </c>
      <c r="G3064">
        <v>-328.58150000000001</v>
      </c>
      <c r="H3064" s="1">
        <v>3.069417E-6</v>
      </c>
      <c r="I3064">
        <v>283.71069999999997</v>
      </c>
      <c r="J3064">
        <v>-256.459</v>
      </c>
      <c r="K3064">
        <v>1.1214489999999999</v>
      </c>
      <c r="L3064">
        <v>283.63319999999999</v>
      </c>
      <c r="M3064">
        <v>-0.99987879999999996</v>
      </c>
      <c r="N3064">
        <v>-1.3311770000000001E-2</v>
      </c>
      <c r="O3064">
        <v>-8.0861509999999998E-3</v>
      </c>
      <c r="P3064">
        <v>-0.98960729999999997</v>
      </c>
      <c r="Q3064">
        <v>0.14151050000000001</v>
      </c>
      <c r="R3064">
        <v>-2.55429E-2</v>
      </c>
      <c r="S3064">
        <v>-3.039215</v>
      </c>
      <c r="T3064">
        <v>-4.7132970000000003E-2</v>
      </c>
      <c r="U3064">
        <v>3.2043459999999998E-3</v>
      </c>
      <c r="V3064">
        <v>-1.7459700000000002E-2</v>
      </c>
      <c r="W3064">
        <v>0.15468309999999999</v>
      </c>
      <c r="X3064">
        <v>0.98780979999999996</v>
      </c>
      <c r="Y3064">
        <v>9.1391019999999996E-3</v>
      </c>
      <c r="Z3064">
        <v>1.494481E-4</v>
      </c>
      <c r="AA3064">
        <v>0.99995820000000002</v>
      </c>
      <c r="AB3064">
        <v>20</v>
      </c>
      <c r="AC3064">
        <v>-72.122500000000002</v>
      </c>
      <c r="AD3064">
        <v>-1.121445930583</v>
      </c>
      <c r="AE3064">
        <v>7.7499999999986302E-2</v>
      </c>
      <c r="AF3064">
        <v>0.66058279702573197</v>
      </c>
      <c r="AG3064">
        <v>-1.121445930583</v>
      </c>
      <c r="AH3064">
        <v>72.102082305777401</v>
      </c>
      <c r="AI3064">
        <v>90.891045588234505</v>
      </c>
      <c r="AJ3064">
        <v>89.475083851228106</v>
      </c>
      <c r="AK3064">
        <v>72.113828656063205</v>
      </c>
      <c r="AL3064">
        <v>81.101582006478907</v>
      </c>
      <c r="AM3064">
        <v>91.012606845688595</v>
      </c>
      <c r="AN3064">
        <v>0.99999995176286804</v>
      </c>
    </row>
    <row r="3065" spans="1:40" x14ac:dyDescent="0.25">
      <c r="A3065" t="str">
        <f>"20190303161935819"</f>
        <v>20190303161935819</v>
      </c>
      <c r="B3065" t="str">
        <f>"1551601175805669"</f>
        <v>1551601175805669</v>
      </c>
      <c r="C3065" t="s">
        <v>40</v>
      </c>
      <c r="D3065">
        <v>4.3600219999999998</v>
      </c>
      <c r="E3065">
        <v>0.51195369999999996</v>
      </c>
      <c r="F3065" t="s">
        <v>52</v>
      </c>
      <c r="G3065">
        <v>-321.625</v>
      </c>
      <c r="H3065" s="1">
        <v>-6.4407890000000001E-7</v>
      </c>
      <c r="I3065">
        <v>283.97609999999997</v>
      </c>
      <c r="J3065">
        <v>-256.67360000000002</v>
      </c>
      <c r="K3065">
        <v>1.1214470000000001</v>
      </c>
      <c r="L3065">
        <v>283.63189999999997</v>
      </c>
      <c r="M3065">
        <v>-0.99988160000000004</v>
      </c>
      <c r="N3065">
        <v>-1.3304130000000001E-2</v>
      </c>
      <c r="O3065">
        <v>-7.7412490000000004E-3</v>
      </c>
      <c r="P3065">
        <v>-0.99001349999999999</v>
      </c>
      <c r="Q3065">
        <v>0.13940539999999901</v>
      </c>
      <c r="R3065">
        <v>-2.0968959999999998E-2</v>
      </c>
      <c r="S3065">
        <v>-3.0393979999999998</v>
      </c>
      <c r="T3065">
        <v>-5.2305459999999998E-2</v>
      </c>
      <c r="U3065">
        <v>1.5991209999999999E-2</v>
      </c>
      <c r="V3065">
        <v>-1.322566E-2</v>
      </c>
      <c r="W3065">
        <v>0.15257309999999999</v>
      </c>
      <c r="X3065">
        <v>0.98820370000000002</v>
      </c>
      <c r="Y3065">
        <v>1.2999429999999999E-2</v>
      </c>
      <c r="Z3065">
        <v>2.2855069999999999E-4</v>
      </c>
      <c r="AA3065">
        <v>0.99991549999999996</v>
      </c>
      <c r="AB3065">
        <v>20</v>
      </c>
      <c r="AC3065">
        <v>-64.951399999999893</v>
      </c>
      <c r="AD3065">
        <v>-1.1214476440789001</v>
      </c>
      <c r="AE3065">
        <v>0.34420000000000001</v>
      </c>
      <c r="AF3065">
        <v>0.84678668253241696</v>
      </c>
      <c r="AG3065">
        <v>-1.1214476440789001</v>
      </c>
      <c r="AH3065">
        <v>64.9274335128068</v>
      </c>
      <c r="AI3065">
        <v>90.989448720869603</v>
      </c>
      <c r="AJ3065">
        <v>89.252788076433106</v>
      </c>
      <c r="AK3065">
        <v>64.942638651844703</v>
      </c>
      <c r="AL3065">
        <v>81.223929061646899</v>
      </c>
      <c r="AM3065">
        <v>90.766774360579106</v>
      </c>
      <c r="AN3065">
        <v>1.0000000108098599</v>
      </c>
    </row>
    <row r="3066" spans="1:40" x14ac:dyDescent="0.25">
      <c r="A3066" t="str">
        <f>"20190303161935840"</f>
        <v>20190303161935840</v>
      </c>
      <c r="B3066" t="str">
        <f>"1551601175835924"</f>
        <v>1551601175835924</v>
      </c>
      <c r="C3066" t="s">
        <v>40</v>
      </c>
      <c r="D3066">
        <v>4.3493190000000004</v>
      </c>
      <c r="E3066">
        <v>0.54544559999999997</v>
      </c>
      <c r="F3066" t="s">
        <v>56</v>
      </c>
      <c r="G3066">
        <v>-314.2955</v>
      </c>
      <c r="H3066" s="1">
        <v>4.1589540000000003E-6</v>
      </c>
      <c r="I3066">
        <v>284.19200000000001</v>
      </c>
      <c r="J3066">
        <v>-256.86849999999998</v>
      </c>
      <c r="K3066">
        <v>1.1214470000000001</v>
      </c>
      <c r="L3066">
        <v>283.63080000000002</v>
      </c>
      <c r="M3066">
        <v>-0.99988410000000005</v>
      </c>
      <c r="N3066">
        <v>-1.329488E-2</v>
      </c>
      <c r="O3066">
        <v>-7.4287219999999996E-3</v>
      </c>
      <c r="P3066">
        <v>-0.99034370000000005</v>
      </c>
      <c r="Q3066">
        <v>0.1376086</v>
      </c>
      <c r="R3066">
        <v>-1.683811E-2</v>
      </c>
      <c r="S3066">
        <v>-3.039215</v>
      </c>
      <c r="T3066">
        <v>-5.9149500000000001E-2</v>
      </c>
      <c r="U3066">
        <v>2.9541020000000001E-2</v>
      </c>
      <c r="V3066">
        <v>-9.4052589999999991E-3</v>
      </c>
      <c r="W3066">
        <v>0.15076889999999901</v>
      </c>
      <c r="X3066">
        <v>0.98852430000000002</v>
      </c>
      <c r="Y3066">
        <v>1.7142640000000001E-2</v>
      </c>
      <c r="Z3066">
        <v>3.265756E-4</v>
      </c>
      <c r="AA3066">
        <v>0.99985299999999999</v>
      </c>
      <c r="AB3066">
        <v>20</v>
      </c>
      <c r="AC3066">
        <v>-57.427</v>
      </c>
      <c r="AD3066">
        <v>-1.12144284104599</v>
      </c>
      <c r="AE3066">
        <v>0.56119999999998504</v>
      </c>
      <c r="AF3066">
        <v>0.98745487643838803</v>
      </c>
      <c r="AG3066">
        <v>-1.12144284104599</v>
      </c>
      <c r="AH3066">
        <v>57.399358682284699</v>
      </c>
      <c r="AI3066">
        <v>91.119111210203499</v>
      </c>
      <c r="AJ3066">
        <v>89.014424240593002</v>
      </c>
      <c r="AK3066">
        <v>57.418804222278197</v>
      </c>
      <c r="AL3066">
        <v>81.328511995301895</v>
      </c>
      <c r="AM3066">
        <v>90.545121031542706</v>
      </c>
      <c r="AN3066">
        <v>1.00000000589727</v>
      </c>
    </row>
    <row r="3067" spans="1:40" x14ac:dyDescent="0.25">
      <c r="A3067" t="str">
        <f>"20190303161935862"</f>
        <v>20190303161935862</v>
      </c>
      <c r="B3067" t="str">
        <f>"1551601175855445"</f>
        <v>1551601175855445</v>
      </c>
      <c r="C3067" t="s">
        <v>40</v>
      </c>
      <c r="D3067">
        <v>4.3523069999999997</v>
      </c>
      <c r="E3067">
        <v>0.54410139999999996</v>
      </c>
      <c r="F3067" t="s">
        <v>42</v>
      </c>
      <c r="G3067">
        <v>-257.61099999999999</v>
      </c>
      <c r="H3067">
        <v>0.98997950000000001</v>
      </c>
      <c r="I3067">
        <v>283.70429999999999</v>
      </c>
      <c r="J3067">
        <v>-257.06099999999998</v>
      </c>
      <c r="K3067">
        <v>1.1214569999999999</v>
      </c>
      <c r="L3067">
        <v>283.62970000000001</v>
      </c>
      <c r="M3067">
        <v>-0.99988659999999996</v>
      </c>
      <c r="N3067">
        <v>-1.327792E-2</v>
      </c>
      <c r="O3067">
        <v>-7.1302619999999896E-3</v>
      </c>
      <c r="P3067">
        <v>-0.99037529999999996</v>
      </c>
      <c r="Q3067">
        <v>0.1377591</v>
      </c>
      <c r="R3067">
        <v>-1.3399909999999999E-2</v>
      </c>
      <c r="S3067">
        <v>-3.1110229999999999</v>
      </c>
      <c r="T3067">
        <v>-0.55085689999999998</v>
      </c>
      <c r="U3067">
        <v>0.30767820000000001</v>
      </c>
      <c r="V3067">
        <v>-6.2653269999999898E-3</v>
      </c>
      <c r="W3067">
        <v>0.1509009</v>
      </c>
      <c r="X3067">
        <v>0.98852899999999999</v>
      </c>
      <c r="Y3067">
        <v>0.1036985</v>
      </c>
      <c r="Z3067">
        <v>1.0940190000000001E-2</v>
      </c>
      <c r="AA3067">
        <v>0.9945486</v>
      </c>
      <c r="AB3067">
        <v>20</v>
      </c>
      <c r="AC3067">
        <v>-0.55000000000001104</v>
      </c>
      <c r="AD3067">
        <v>-0.131477499999999</v>
      </c>
      <c r="AE3067">
        <v>7.4599999999975297E-2</v>
      </c>
      <c r="AF3067">
        <v>7.4348221410291099E-2</v>
      </c>
      <c r="AG3067">
        <v>-0.131477499999999</v>
      </c>
      <c r="AH3067">
        <v>0.52026086872698696</v>
      </c>
      <c r="AI3067">
        <v>104.04556991697901</v>
      </c>
      <c r="AJ3067">
        <v>81.867173585264695</v>
      </c>
      <c r="AK3067">
        <v>0.54174289341133297</v>
      </c>
      <c r="AL3067">
        <v>81.320861019623095</v>
      </c>
      <c r="AM3067">
        <v>90.363137538413497</v>
      </c>
      <c r="AN3067">
        <v>0.99999995989211199</v>
      </c>
    </row>
    <row r="3068" spans="1:40" x14ac:dyDescent="0.25">
      <c r="A3068" t="str">
        <f>"20190303161935884"</f>
        <v>20190303161935884</v>
      </c>
      <c r="B3068" t="str">
        <f>"1551601175875954"</f>
        <v>1551601175875954</v>
      </c>
      <c r="C3068" t="s">
        <v>40</v>
      </c>
      <c r="D3068">
        <v>4.3108820000000003</v>
      </c>
      <c r="E3068">
        <v>0.54409399999999997</v>
      </c>
      <c r="F3068" t="s">
        <v>42</v>
      </c>
      <c r="G3068">
        <v>-257.77449999999999</v>
      </c>
      <c r="H3068">
        <v>0.96183030000000003</v>
      </c>
      <c r="I3068">
        <v>283.69990000000001</v>
      </c>
      <c r="J3068">
        <v>-257.25560000000002</v>
      </c>
      <c r="K3068">
        <v>1.121459</v>
      </c>
      <c r="L3068">
        <v>283.62869999999998</v>
      </c>
      <c r="M3068">
        <v>-0.99988889999999997</v>
      </c>
      <c r="N3068">
        <v>-1.3248680000000001E-2</v>
      </c>
      <c r="O3068">
        <v>-6.8468940000000001E-3</v>
      </c>
      <c r="P3068">
        <v>-0.99027449999999995</v>
      </c>
      <c r="Q3068">
        <v>0.1386916</v>
      </c>
      <c r="R3068">
        <v>-1.101249E-2</v>
      </c>
      <c r="S3068">
        <v>-3.1307369999999999</v>
      </c>
      <c r="T3068">
        <v>-0.700345199999999</v>
      </c>
      <c r="U3068">
        <v>0.3077087</v>
      </c>
      <c r="V3068">
        <v>-4.1629060000000001E-3</v>
      </c>
      <c r="W3068">
        <v>0.15180160000000001</v>
      </c>
      <c r="X3068">
        <v>0.98840220000000001</v>
      </c>
      <c r="Y3068">
        <v>0.1018331</v>
      </c>
      <c r="Z3068">
        <v>1.33299E-2</v>
      </c>
      <c r="AA3068">
        <v>0.99471220000000005</v>
      </c>
      <c r="AB3068">
        <v>20</v>
      </c>
      <c r="AC3068">
        <v>-0.51889999999997305</v>
      </c>
      <c r="AD3068">
        <v>-0.15962869999999901</v>
      </c>
      <c r="AE3068">
        <v>7.1200000000033001E-2</v>
      </c>
      <c r="AF3068">
        <v>6.8398205761728795E-2</v>
      </c>
      <c r="AG3068">
        <v>-0.15962869999999901</v>
      </c>
      <c r="AH3068">
        <v>0.47434034155062899</v>
      </c>
      <c r="AI3068">
        <v>108.422026681064</v>
      </c>
      <c r="AJ3068">
        <v>81.7947084036593</v>
      </c>
      <c r="AK3068">
        <v>0.505132058017981</v>
      </c>
      <c r="AL3068">
        <v>81.268653472924697</v>
      </c>
      <c r="AM3068">
        <v>90.241314248374593</v>
      </c>
      <c r="AN3068">
        <v>0.99999998225688203</v>
      </c>
    </row>
    <row r="3069" spans="1:40" x14ac:dyDescent="0.25">
      <c r="A3069" t="str">
        <f>"20190303161935908"</f>
        <v>20190303161935908</v>
      </c>
      <c r="B3069" t="str">
        <f>"1551601175895461"</f>
        <v>1551601175895461</v>
      </c>
      <c r="C3069" t="s">
        <v>40</v>
      </c>
      <c r="D3069">
        <v>4.3403510000000001</v>
      </c>
      <c r="E3069">
        <v>0.54405209999999904</v>
      </c>
      <c r="F3069" t="s">
        <v>42</v>
      </c>
      <c r="G3069">
        <v>-257.94909999999999</v>
      </c>
      <c r="H3069">
        <v>0.9560826</v>
      </c>
      <c r="I3069">
        <v>283.69830000000002</v>
      </c>
      <c r="J3069">
        <v>-257.46379999999999</v>
      </c>
      <c r="K3069">
        <v>1.121451</v>
      </c>
      <c r="L3069">
        <v>283.62759999999997</v>
      </c>
      <c r="M3069">
        <v>-0.99989130000000004</v>
      </c>
      <c r="N3069">
        <v>-1.320181E-2</v>
      </c>
      <c r="O3069">
        <v>-6.5725150000000001E-3</v>
      </c>
      <c r="P3069">
        <v>-0.99025319999999994</v>
      </c>
      <c r="Q3069">
        <v>0.13893369999999999</v>
      </c>
      <c r="R3069">
        <v>-9.8164670000000006E-3</v>
      </c>
      <c r="S3069">
        <v>-3.137756</v>
      </c>
      <c r="T3069">
        <v>-0.74821190000000004</v>
      </c>
      <c r="U3069">
        <v>0.31411739999999999</v>
      </c>
      <c r="V3069">
        <v>-3.2432860000000002E-3</v>
      </c>
      <c r="W3069">
        <v>0.15199679999999999</v>
      </c>
      <c r="X3069">
        <v>0.98837569999999997</v>
      </c>
      <c r="Y3069">
        <v>0.1029634</v>
      </c>
      <c r="Z3069">
        <v>1.4225150000000001E-2</v>
      </c>
      <c r="AA3069">
        <v>0.99458340000000001</v>
      </c>
      <c r="AB3069">
        <v>20</v>
      </c>
      <c r="AC3069">
        <v>-0.48529999999999501</v>
      </c>
      <c r="AD3069">
        <v>-0.1653684</v>
      </c>
      <c r="AE3069">
        <v>7.0700000000044796E-2</v>
      </c>
      <c r="AF3069">
        <v>6.6344919526146601E-2</v>
      </c>
      <c r="AG3069">
        <v>-0.1653684</v>
      </c>
      <c r="AH3069">
        <v>0.43532767966513403</v>
      </c>
      <c r="AI3069">
        <v>110.582912156495</v>
      </c>
      <c r="AJ3069">
        <v>81.334671785210105</v>
      </c>
      <c r="AK3069">
        <v>0.47038127593274798</v>
      </c>
      <c r="AL3069">
        <v>81.257338498827394</v>
      </c>
      <c r="AM3069">
        <v>90.188011433888803</v>
      </c>
      <c r="AN3069">
        <v>1.0000000352324001</v>
      </c>
    </row>
    <row r="3070" spans="1:40" x14ac:dyDescent="0.25">
      <c r="A3070" t="str">
        <f>"20190303161935930"</f>
        <v>20190303161935930</v>
      </c>
      <c r="B3070" t="str">
        <f>"1551601175925717"</f>
        <v>1551601175925717</v>
      </c>
      <c r="C3070" t="s">
        <v>40</v>
      </c>
      <c r="D3070">
        <v>4.3677539999999997</v>
      </c>
      <c r="E3070">
        <v>0.54427829999999999</v>
      </c>
      <c r="F3070" t="s">
        <v>42</v>
      </c>
      <c r="G3070">
        <v>-258.28699999999998</v>
      </c>
      <c r="H3070">
        <v>0.92145279999999996</v>
      </c>
      <c r="I3070">
        <v>283.71050000000002</v>
      </c>
      <c r="J3070">
        <v>-257.66219999999998</v>
      </c>
      <c r="K3070">
        <v>1.121454</v>
      </c>
      <c r="L3070">
        <v>283.62670000000003</v>
      </c>
      <c r="M3070">
        <v>-0.9998937</v>
      </c>
      <c r="N3070">
        <v>-1.31451E-2</v>
      </c>
      <c r="O3070">
        <v>-6.3382619999999999E-3</v>
      </c>
      <c r="P3070">
        <v>-0.99036469999999999</v>
      </c>
      <c r="Q3070">
        <v>0.13812849999999999</v>
      </c>
      <c r="R3070">
        <v>-9.9239670000000006E-3</v>
      </c>
      <c r="S3070">
        <v>-3.1396790000000001</v>
      </c>
      <c r="T3070">
        <v>-0.76271889999999998</v>
      </c>
      <c r="U3070">
        <v>0.31582640000000001</v>
      </c>
      <c r="V3070">
        <v>-3.588281E-3</v>
      </c>
      <c r="W3070">
        <v>0.1511371</v>
      </c>
      <c r="X3070">
        <v>0.98850629999999995</v>
      </c>
      <c r="Y3070">
        <v>0.10309260000000001</v>
      </c>
      <c r="Z3070">
        <v>1.443445E-2</v>
      </c>
      <c r="AA3070">
        <v>0.99456699999999998</v>
      </c>
      <c r="AB3070">
        <v>20</v>
      </c>
      <c r="AC3070">
        <v>-0.62480000000004998</v>
      </c>
      <c r="AD3070">
        <v>-0.20000119999999999</v>
      </c>
      <c r="AE3070">
        <v>8.3799999999996502E-2</v>
      </c>
      <c r="AF3070">
        <v>7.9733173744365296E-2</v>
      </c>
      <c r="AG3070">
        <v>-0.20000119999999999</v>
      </c>
      <c r="AH3070">
        <v>0.567167397727671</v>
      </c>
      <c r="AI3070">
        <v>109.249097181731</v>
      </c>
      <c r="AJ3070">
        <v>81.997722104589798</v>
      </c>
      <c r="AK3070">
        <v>0.60666029707074698</v>
      </c>
      <c r="AL3070">
        <v>81.307171108602503</v>
      </c>
      <c r="AM3070">
        <v>90.2079829475895</v>
      </c>
      <c r="AN3070">
        <v>1.00000000194831</v>
      </c>
    </row>
    <row r="3071" spans="1:40" x14ac:dyDescent="0.25">
      <c r="A3071" t="str">
        <f>"20190303161935951"</f>
        <v>20190303161935951</v>
      </c>
      <c r="B3071" t="str">
        <f>"1551601175945237"</f>
        <v>1551601175945237</v>
      </c>
      <c r="C3071" t="s">
        <v>40</v>
      </c>
      <c r="D3071">
        <v>4.359197</v>
      </c>
      <c r="E3071">
        <v>0.54438009999999903</v>
      </c>
      <c r="F3071" t="s">
        <v>42</v>
      </c>
      <c r="G3071">
        <v>-258.46469999999999</v>
      </c>
      <c r="H3071">
        <v>0.92272779999999999</v>
      </c>
      <c r="I3071">
        <v>283.70749999999998</v>
      </c>
      <c r="J3071">
        <v>-257.84899999999999</v>
      </c>
      <c r="K3071">
        <v>1.1214599999999999</v>
      </c>
      <c r="L3071">
        <v>283.62580000000003</v>
      </c>
      <c r="M3071">
        <v>-0.9998958</v>
      </c>
      <c r="N3071">
        <v>-1.308467E-2</v>
      </c>
      <c r="O3071">
        <v>-6.1331989999999998E-3</v>
      </c>
      <c r="P3071">
        <v>-0.99040519999999999</v>
      </c>
      <c r="Q3071">
        <v>0.13780339999999999</v>
      </c>
      <c r="R3071">
        <v>-1.0396890000000001E-2</v>
      </c>
      <c r="S3071">
        <v>-3.1408390000000002</v>
      </c>
      <c r="T3071">
        <v>-0.77780119999999997</v>
      </c>
      <c r="U3071">
        <v>0.31527709999999998</v>
      </c>
      <c r="V3071">
        <v>-4.2691710000000004E-3</v>
      </c>
      <c r="W3071">
        <v>0.1507529</v>
      </c>
      <c r="X3071">
        <v>0.9885623</v>
      </c>
      <c r="Y3071">
        <v>0.1025776</v>
      </c>
      <c r="Z3071">
        <v>1.457932E-2</v>
      </c>
      <c r="AA3071">
        <v>0.99461820000000001</v>
      </c>
      <c r="AB3071">
        <v>20</v>
      </c>
      <c r="AC3071">
        <v>-0.61570000000000302</v>
      </c>
      <c r="AD3071">
        <v>-0.1987322</v>
      </c>
      <c r="AE3071">
        <v>8.1699999999955197E-2</v>
      </c>
      <c r="AF3071">
        <v>7.7536737353949406E-2</v>
      </c>
      <c r="AG3071">
        <v>-0.1987322</v>
      </c>
      <c r="AH3071">
        <v>0.55805343842491695</v>
      </c>
      <c r="AI3071">
        <v>109.429193578943</v>
      </c>
      <c r="AJ3071">
        <v>82.089884449599694</v>
      </c>
      <c r="AK3071">
        <v>0.59743625023445701</v>
      </c>
      <c r="AL3071">
        <v>81.329439640892005</v>
      </c>
      <c r="AM3071">
        <v>90.2474340359786</v>
      </c>
      <c r="AN3071">
        <v>1.0000000418303601</v>
      </c>
    </row>
    <row r="3072" spans="1:40" x14ac:dyDescent="0.25">
      <c r="A3072" t="str">
        <f>"20190303161935975"</f>
        <v>20190303161935975</v>
      </c>
      <c r="B3072" t="str">
        <f>"1551601175965733"</f>
        <v>1551601175965733</v>
      </c>
      <c r="C3072" t="s">
        <v>40</v>
      </c>
      <c r="D3072">
        <v>4.3155929999999998</v>
      </c>
      <c r="E3072">
        <v>0.54418900000000003</v>
      </c>
      <c r="F3072" t="s">
        <v>42</v>
      </c>
      <c r="G3072">
        <v>-258.64190000000002</v>
      </c>
      <c r="H3072">
        <v>0.92345290000000002</v>
      </c>
      <c r="I3072">
        <v>283.7047</v>
      </c>
      <c r="J3072">
        <v>-258.06319999999999</v>
      </c>
      <c r="K3072">
        <v>1.121469</v>
      </c>
      <c r="L3072">
        <v>283.62479999999999</v>
      </c>
      <c r="M3072">
        <v>-0.99989819999999996</v>
      </c>
      <c r="N3072">
        <v>-1.300016E-2</v>
      </c>
      <c r="O3072">
        <v>-5.912896E-3</v>
      </c>
      <c r="P3072">
        <v>-0.9904811</v>
      </c>
      <c r="Q3072">
        <v>0.1373106</v>
      </c>
      <c r="R3072">
        <v>-9.6768589999999995E-3</v>
      </c>
      <c r="S3072">
        <v>-3.1414789999999999</v>
      </c>
      <c r="T3072">
        <v>-0.78446389999999999</v>
      </c>
      <c r="U3072">
        <v>0.31219479999999999</v>
      </c>
      <c r="V3072">
        <v>-3.7736110000000001E-3</v>
      </c>
      <c r="W3072">
        <v>0.150176799999999</v>
      </c>
      <c r="X3072">
        <v>0.98865190000000003</v>
      </c>
      <c r="Y3072">
        <v>0.10136249999999999</v>
      </c>
      <c r="Z3072">
        <v>1.4481269999999999E-2</v>
      </c>
      <c r="AA3072">
        <v>0.99474419999999997</v>
      </c>
      <c r="AB3072">
        <v>20</v>
      </c>
      <c r="AC3072">
        <v>-0.57870000000002597</v>
      </c>
      <c r="AD3072">
        <v>-0.1980161</v>
      </c>
      <c r="AE3072">
        <v>7.9900000000009103E-2</v>
      </c>
      <c r="AF3072">
        <v>7.4734251504501706E-2</v>
      </c>
      <c r="AG3072">
        <v>-0.1980161</v>
      </c>
      <c r="AH3072">
        <v>0.51863045768409499</v>
      </c>
      <c r="AI3072">
        <v>110.701700634842</v>
      </c>
      <c r="AJ3072">
        <v>81.800166576498</v>
      </c>
      <c r="AK3072">
        <v>0.56015456424522803</v>
      </c>
      <c r="AL3072">
        <v>81.362827011955901</v>
      </c>
      <c r="AM3072">
        <v>90.218692680246093</v>
      </c>
      <c r="AN3072">
        <v>0.99999994538591297</v>
      </c>
    </row>
    <row r="3073" spans="1:40" x14ac:dyDescent="0.25">
      <c r="A3073" t="str">
        <f>"20190303161935996"</f>
        <v>20190303161935996</v>
      </c>
      <c r="B3073" t="str">
        <f>"1551601175985253"</f>
        <v>1551601175985253</v>
      </c>
      <c r="C3073" t="s">
        <v>40</v>
      </c>
      <c r="D3073">
        <v>4.3813829999999996</v>
      </c>
      <c r="E3073">
        <v>0.54396420000000001</v>
      </c>
      <c r="F3073" t="s">
        <v>42</v>
      </c>
      <c r="G3073">
        <v>-258.82209999999998</v>
      </c>
      <c r="H3073">
        <v>0.93037990000000004</v>
      </c>
      <c r="I3073">
        <v>283.70060000000001</v>
      </c>
      <c r="J3073">
        <v>-258.24919999999997</v>
      </c>
      <c r="K3073">
        <v>1.121469</v>
      </c>
      <c r="L3073">
        <v>283.62400000000002</v>
      </c>
      <c r="M3073">
        <v>-0.99990040000000002</v>
      </c>
      <c r="N3073">
        <v>-1.2903629999999999E-2</v>
      </c>
      <c r="O3073">
        <v>-5.7294240000000003E-3</v>
      </c>
      <c r="P3073">
        <v>-0.99042470000000005</v>
      </c>
      <c r="Q3073">
        <v>0.13777729999999999</v>
      </c>
      <c r="R3073">
        <v>-8.7453210000000003E-3</v>
      </c>
      <c r="S3073">
        <v>-3.1415410000000001</v>
      </c>
      <c r="T3073">
        <v>-0.79107249999999996</v>
      </c>
      <c r="U3073">
        <v>0.31210329999999997</v>
      </c>
      <c r="V3073">
        <v>-3.0299979999999999E-3</v>
      </c>
      <c r="W3073">
        <v>0.15054690000000001</v>
      </c>
      <c r="X3073">
        <v>0.98859819999999998</v>
      </c>
      <c r="Y3073">
        <v>0.1011084</v>
      </c>
      <c r="Z3073">
        <v>1.45141E-2</v>
      </c>
      <c r="AA3073">
        <v>0.99476949999999997</v>
      </c>
      <c r="AB3073">
        <v>20</v>
      </c>
      <c r="AC3073">
        <v>-0.57290000000000396</v>
      </c>
      <c r="AD3073">
        <v>-0.19108910000000001</v>
      </c>
      <c r="AE3073">
        <v>7.6599999999984902E-2</v>
      </c>
      <c r="AF3073">
        <v>7.2010662074558696E-2</v>
      </c>
      <c r="AG3073">
        <v>-0.19108910000000001</v>
      </c>
      <c r="AH3073">
        <v>0.51604783448518499</v>
      </c>
      <c r="AI3073">
        <v>110.140006800601</v>
      </c>
      <c r="AJ3073">
        <v>82.056093921291804</v>
      </c>
      <c r="AK3073">
        <v>0.55498283493102296</v>
      </c>
      <c r="AL3073">
        <v>81.341378252236495</v>
      </c>
      <c r="AM3073">
        <v>90.175607798723902</v>
      </c>
      <c r="AN3073">
        <v>0.99999997551536401</v>
      </c>
    </row>
    <row r="3074" spans="1:40" x14ac:dyDescent="0.25">
      <c r="A3074" t="str">
        <f>"20190303161936019"</f>
        <v>20190303161936019</v>
      </c>
      <c r="B3074" t="str">
        <f>"1551601176015509"</f>
        <v>1551601176015509</v>
      </c>
      <c r="C3074" t="s">
        <v>40</v>
      </c>
      <c r="D3074">
        <v>4.3655879999999998</v>
      </c>
      <c r="E3074">
        <v>0.54232199999999997</v>
      </c>
      <c r="F3074" t="s">
        <v>42</v>
      </c>
      <c r="G3074">
        <v>-259</v>
      </c>
      <c r="H3074">
        <v>0.93225480000000005</v>
      </c>
      <c r="I3074">
        <v>283.69869999999997</v>
      </c>
      <c r="J3074">
        <v>-258.44889999999998</v>
      </c>
      <c r="K3074">
        <v>1.121459</v>
      </c>
      <c r="L3074">
        <v>283.62299999999999</v>
      </c>
      <c r="M3074">
        <v>-0.99990319999999999</v>
      </c>
      <c r="N3074">
        <v>-1.277089E-2</v>
      </c>
      <c r="O3074">
        <v>-5.5369709999999999E-3</v>
      </c>
      <c r="P3074">
        <v>-0.99032290000000001</v>
      </c>
      <c r="Q3074">
        <v>0.1385845</v>
      </c>
      <c r="R3074">
        <v>-7.437389E-3</v>
      </c>
      <c r="S3074">
        <v>-3.1419069999999998</v>
      </c>
      <c r="T3074">
        <v>-0.79185240000000001</v>
      </c>
      <c r="U3074">
        <v>0.31243900000000002</v>
      </c>
      <c r="V3074">
        <v>-1.917764E-3</v>
      </c>
      <c r="W3074">
        <v>0.15122099999999999</v>
      </c>
      <c r="X3074">
        <v>0.98849819999999999</v>
      </c>
      <c r="Y3074">
        <v>0.10101499999999999</v>
      </c>
      <c r="Z3074">
        <v>1.4462300000000001E-2</v>
      </c>
      <c r="AA3074">
        <v>0.99477979999999999</v>
      </c>
      <c r="AB3074">
        <v>20</v>
      </c>
      <c r="AC3074">
        <v>-0.55110000000001902</v>
      </c>
      <c r="AD3074">
        <v>-0.18920419999999999</v>
      </c>
      <c r="AE3074">
        <v>7.5699999999983406E-2</v>
      </c>
      <c r="AF3074">
        <v>7.0584803400689095E-2</v>
      </c>
      <c r="AG3074">
        <v>-0.18920419999999999</v>
      </c>
      <c r="AH3074">
        <v>0.49357266989918103</v>
      </c>
      <c r="AI3074">
        <v>110.780517623834</v>
      </c>
      <c r="AJ3074">
        <v>81.861431423076397</v>
      </c>
      <c r="AK3074">
        <v>0.533286437330034</v>
      </c>
      <c r="AL3074">
        <v>81.302308783613597</v>
      </c>
      <c r="AM3074">
        <v>90.111158164418896</v>
      </c>
      <c r="AN3074">
        <v>1.0000000800314901</v>
      </c>
    </row>
    <row r="3075" spans="1:40" x14ac:dyDescent="0.25">
      <c r="A3075" t="str">
        <f>"20190303161936040"</f>
        <v>20190303161936040</v>
      </c>
      <c r="B3075" t="str">
        <f>"1551601176036006"</f>
        <v>1551601176036006</v>
      </c>
      <c r="C3075" t="s">
        <v>40</v>
      </c>
      <c r="D3075">
        <v>4.3771199999999997</v>
      </c>
      <c r="E3075">
        <v>0.54177909999999996</v>
      </c>
      <c r="F3075" t="s">
        <v>42</v>
      </c>
      <c r="G3075">
        <v>-259.16520000000003</v>
      </c>
      <c r="H3075">
        <v>0.90710789999999997</v>
      </c>
      <c r="I3075">
        <v>283.69130000000001</v>
      </c>
      <c r="J3075">
        <v>-258.64429999999999</v>
      </c>
      <c r="K3075">
        <v>1.121445</v>
      </c>
      <c r="L3075">
        <v>283.62220000000002</v>
      </c>
      <c r="M3075">
        <v>-0.99990610000000002</v>
      </c>
      <c r="N3075">
        <v>-1.2613249999999999E-2</v>
      </c>
      <c r="O3075">
        <v>-5.355355E-3</v>
      </c>
      <c r="P3075">
        <v>-0.99038820000000005</v>
      </c>
      <c r="Q3075">
        <v>0.13812679999999999</v>
      </c>
      <c r="R3075">
        <v>-7.2423219999999998E-3</v>
      </c>
      <c r="S3075">
        <v>-3.1640929999999998</v>
      </c>
      <c r="T3075">
        <v>-0.94681660000000001</v>
      </c>
      <c r="U3075">
        <v>0.3008728</v>
      </c>
      <c r="V3075">
        <v>-1.903332E-3</v>
      </c>
      <c r="W3075">
        <v>0.15060870000000001</v>
      </c>
      <c r="X3075">
        <v>0.98859160000000001</v>
      </c>
      <c r="Y3075">
        <v>9.5450270000000004E-2</v>
      </c>
      <c r="Z3075">
        <v>1.6061180000000001E-2</v>
      </c>
      <c r="AA3075">
        <v>0.99530459999999998</v>
      </c>
      <c r="AB3075">
        <v>20</v>
      </c>
      <c r="AC3075">
        <v>-0.52090000000004</v>
      </c>
      <c r="AD3075">
        <v>-0.2143371</v>
      </c>
      <c r="AE3075">
        <v>6.9099999999991696E-2</v>
      </c>
      <c r="AF3075">
        <v>6.1633965987397003E-2</v>
      </c>
      <c r="AG3075">
        <v>-0.2143371</v>
      </c>
      <c r="AH3075">
        <v>0.44627044663954502</v>
      </c>
      <c r="AI3075">
        <v>115.443667036638</v>
      </c>
      <c r="AJ3075">
        <v>82.136680525828098</v>
      </c>
      <c r="AK3075">
        <v>0.49889522922514001</v>
      </c>
      <c r="AL3075">
        <v>81.337796551170598</v>
      </c>
      <c r="AM3075">
        <v>90.110311230510106</v>
      </c>
      <c r="AN3075">
        <v>0.99999997738947499</v>
      </c>
    </row>
    <row r="3076" spans="1:40" x14ac:dyDescent="0.25">
      <c r="A3076" t="str">
        <f>"20190303161936063"</f>
        <v>20190303161936063</v>
      </c>
      <c r="B3076" t="str">
        <f>"1551601176055528"</f>
        <v>1551601176055528</v>
      </c>
      <c r="C3076" t="s">
        <v>40</v>
      </c>
      <c r="D3076">
        <v>4.3696330000000003</v>
      </c>
      <c r="E3076">
        <v>0.54174019999999901</v>
      </c>
      <c r="F3076" t="s">
        <v>42</v>
      </c>
      <c r="G3076">
        <v>-259.34309999999999</v>
      </c>
      <c r="H3076">
        <v>0.9086689</v>
      </c>
      <c r="I3076">
        <v>283.68799999999999</v>
      </c>
      <c r="J3076">
        <v>-258.84160000000003</v>
      </c>
      <c r="K3076">
        <v>1.1214139999999999</v>
      </c>
      <c r="L3076">
        <v>283.62130000000002</v>
      </c>
      <c r="M3076">
        <v>-0.9999093</v>
      </c>
      <c r="N3076">
        <v>-1.2435460000000001E-2</v>
      </c>
      <c r="O3076">
        <v>-5.1791509999999999E-3</v>
      </c>
      <c r="P3076">
        <v>-0.9902803</v>
      </c>
      <c r="Q3076">
        <v>0.13888739999999999</v>
      </c>
      <c r="R3076">
        <v>-7.4464049999999997E-3</v>
      </c>
      <c r="S3076">
        <v>-3.1657099999999998</v>
      </c>
      <c r="T3076">
        <v>-0.96381519999999998</v>
      </c>
      <c r="U3076">
        <v>0.2976685</v>
      </c>
      <c r="V3076">
        <v>-2.2826000000000001E-3</v>
      </c>
      <c r="W3076">
        <v>0.1511922</v>
      </c>
      <c r="X3076">
        <v>0.98850170000000004</v>
      </c>
      <c r="Y3076">
        <v>9.4145019999999996E-2</v>
      </c>
      <c r="Z3076">
        <v>1.6061010000000001E-2</v>
      </c>
      <c r="AA3076">
        <v>0.99542889999999995</v>
      </c>
      <c r="AB3076">
        <v>20</v>
      </c>
      <c r="AC3076">
        <v>-0.50149999999996397</v>
      </c>
      <c r="AD3076">
        <v>-0.21274509999999899</v>
      </c>
      <c r="AE3076">
        <v>6.6699999999968895E-2</v>
      </c>
      <c r="AF3076">
        <v>5.8884038995726903E-2</v>
      </c>
      <c r="AG3076">
        <v>-0.21274509999999899</v>
      </c>
      <c r="AH3076">
        <v>0.425844630225645</v>
      </c>
      <c r="AI3076">
        <v>116.329666021775</v>
      </c>
      <c r="AJ3076">
        <v>82.127298555095194</v>
      </c>
      <c r="AK3076">
        <v>0.47965764532057298</v>
      </c>
      <c r="AL3076">
        <v>81.303976966833702</v>
      </c>
      <c r="AM3076">
        <v>90.132304389424704</v>
      </c>
      <c r="AN3076">
        <v>0.99999995125324304</v>
      </c>
    </row>
    <row r="3077" spans="1:40" x14ac:dyDescent="0.25">
      <c r="A3077" t="str">
        <f>"20190303161936084"</f>
        <v>20190303161936084</v>
      </c>
      <c r="B3077" t="str">
        <f>"1551601176076022"</f>
        <v>1551601176076022</v>
      </c>
      <c r="C3077" t="s">
        <v>40</v>
      </c>
      <c r="D3077">
        <v>4.3608129999999896</v>
      </c>
      <c r="E3077">
        <v>0.54172759999999998</v>
      </c>
      <c r="F3077" t="s">
        <v>42</v>
      </c>
      <c r="G3077">
        <v>-259.52300000000002</v>
      </c>
      <c r="H3077">
        <v>0.91400110000000001</v>
      </c>
      <c r="I3077">
        <v>283.68490000000003</v>
      </c>
      <c r="J3077">
        <v>-259.03179999999998</v>
      </c>
      <c r="K3077">
        <v>1.1213879999999901</v>
      </c>
      <c r="L3077">
        <v>283.62049999999999</v>
      </c>
      <c r="M3077">
        <v>-0.99991240000000003</v>
      </c>
      <c r="N3077">
        <v>-1.225323E-2</v>
      </c>
      <c r="O3077">
        <v>-5.0140849999999997E-3</v>
      </c>
      <c r="P3077">
        <v>-0.99018799999999996</v>
      </c>
      <c r="Q3077">
        <v>0.13950290000000001</v>
      </c>
      <c r="R3077">
        <v>-8.168738E-3</v>
      </c>
      <c r="S3077">
        <v>-3.1668400000000001</v>
      </c>
      <c r="T3077">
        <v>-0.96385770000000004</v>
      </c>
      <c r="U3077">
        <v>0.29534909999999998</v>
      </c>
      <c r="V3077">
        <v>-3.1671189999999999E-3</v>
      </c>
      <c r="W3077">
        <v>0.15162629999999999</v>
      </c>
      <c r="X3077">
        <v>0.9884328</v>
      </c>
      <c r="Y3077">
        <v>9.3277209999999999E-2</v>
      </c>
      <c r="Z3077">
        <v>1.5867590000000001E-2</v>
      </c>
      <c r="AA3077">
        <v>0.99551369999999895</v>
      </c>
      <c r="AB3077">
        <v>20</v>
      </c>
      <c r="AC3077">
        <v>-0.49119999999999198</v>
      </c>
      <c r="AD3077">
        <v>-0.20738689999999901</v>
      </c>
      <c r="AE3077">
        <v>6.4400000000034596E-2</v>
      </c>
      <c r="AF3077">
        <v>5.6892245264237001E-2</v>
      </c>
      <c r="AG3077">
        <v>-0.20738689999999901</v>
      </c>
      <c r="AH3077">
        <v>0.41767557920880499</v>
      </c>
      <c r="AI3077">
        <v>116.196412187379</v>
      </c>
      <c r="AJ3077">
        <v>82.243388012253504</v>
      </c>
      <c r="AK3077">
        <v>0.46978606123450201</v>
      </c>
      <c r="AL3077">
        <v>81.278815054004895</v>
      </c>
      <c r="AM3077">
        <v>90.183585501115701</v>
      </c>
      <c r="AN3077">
        <v>0.99999998280514402</v>
      </c>
    </row>
    <row r="3078" spans="1:40" x14ac:dyDescent="0.25">
      <c r="A3078" t="str">
        <f>"20190303161936109"</f>
        <v>20190303161936109</v>
      </c>
      <c r="B3078" t="str">
        <f>"1551601176105301"</f>
        <v>1551601176105301</v>
      </c>
      <c r="C3078" t="s">
        <v>40</v>
      </c>
      <c r="D3078">
        <v>4.3725759999999996</v>
      </c>
      <c r="E3078">
        <v>0.54174899999999904</v>
      </c>
      <c r="F3078" t="s">
        <v>42</v>
      </c>
      <c r="G3078">
        <v>-259.70260000000002</v>
      </c>
      <c r="H3078">
        <v>0.9182553</v>
      </c>
      <c r="I3078">
        <v>283.68270000000001</v>
      </c>
      <c r="J3078">
        <v>-259.24369999999999</v>
      </c>
      <c r="K3078">
        <v>1.121346</v>
      </c>
      <c r="L3078">
        <v>283.61970000000002</v>
      </c>
      <c r="M3078">
        <v>-0.99991569999999996</v>
      </c>
      <c r="N3078">
        <v>-1.2049600000000001E-2</v>
      </c>
      <c r="O3078">
        <v>-4.8292270000000002E-3</v>
      </c>
      <c r="P3078">
        <v>-0.99013300000000004</v>
      </c>
      <c r="Q3078">
        <v>0.13985739999999999</v>
      </c>
      <c r="R3078">
        <v>-8.7475109999999995E-3</v>
      </c>
      <c r="S3078">
        <v>-3.1672669999999998</v>
      </c>
      <c r="T3078">
        <v>-0.95904979999999995</v>
      </c>
      <c r="U3078">
        <v>0.29345700000000002</v>
      </c>
      <c r="V3078">
        <v>-3.9272659999999996E-3</v>
      </c>
      <c r="W3078">
        <v>0.151779</v>
      </c>
      <c r="X3078">
        <v>0.98840669999999997</v>
      </c>
      <c r="Y3078">
        <v>9.2578489999999999E-2</v>
      </c>
      <c r="Z3078">
        <v>1.562383E-2</v>
      </c>
      <c r="AA3078">
        <v>0.99558279999999999</v>
      </c>
      <c r="AB3078">
        <v>20</v>
      </c>
      <c r="AC3078">
        <v>-0.45890000000002801</v>
      </c>
      <c r="AD3078">
        <v>-0.20309070000000001</v>
      </c>
      <c r="AE3078">
        <v>6.2999999999988093E-2</v>
      </c>
      <c r="AF3078">
        <v>5.4700204765766001E-2</v>
      </c>
      <c r="AG3078">
        <v>-0.20309070000000001</v>
      </c>
      <c r="AH3078">
        <v>0.38464729145072202</v>
      </c>
      <c r="AI3078">
        <v>117.59754362435601</v>
      </c>
      <c r="AJ3078">
        <v>81.906308955203301</v>
      </c>
      <c r="AK3078">
        <v>0.43839649137314401</v>
      </c>
      <c r="AL3078">
        <v>81.269964102280099</v>
      </c>
      <c r="AM3078">
        <v>90.227653841988399</v>
      </c>
      <c r="AN3078">
        <v>1.00000004643206</v>
      </c>
    </row>
    <row r="3079" spans="1:40" x14ac:dyDescent="0.25">
      <c r="A3079" t="str">
        <f>"20190303161936131"</f>
        <v>20190303161936131</v>
      </c>
      <c r="B3079" t="str">
        <f>"1551601176125797"</f>
        <v>1551601176125797</v>
      </c>
      <c r="C3079" t="s">
        <v>40</v>
      </c>
      <c r="D3079">
        <v>4.3755369999999996</v>
      </c>
      <c r="E3079">
        <v>0.54176999999999997</v>
      </c>
      <c r="F3079" t="s">
        <v>42</v>
      </c>
      <c r="G3079">
        <v>-260.04289999999997</v>
      </c>
      <c r="H3079">
        <v>0.88081690000000001</v>
      </c>
      <c r="I3079">
        <v>283.69319999999999</v>
      </c>
      <c r="J3079">
        <v>-259.44839999999999</v>
      </c>
      <c r="K3079">
        <v>1.1213150000000001</v>
      </c>
      <c r="L3079">
        <v>283.6189</v>
      </c>
      <c r="M3079">
        <v>-0.99991890000000005</v>
      </c>
      <c r="N3079">
        <v>-1.186335E-2</v>
      </c>
      <c r="O3079">
        <v>-4.6471230000000004E-3</v>
      </c>
      <c r="P3079">
        <v>-0.99023919999999999</v>
      </c>
      <c r="Q3079">
        <v>0.13911490000000001</v>
      </c>
      <c r="R3079">
        <v>-8.5776499999999992E-3</v>
      </c>
      <c r="S3079">
        <v>-3.1671140000000002</v>
      </c>
      <c r="T3079">
        <v>-0.95318970000000003</v>
      </c>
      <c r="U3079">
        <v>0.29159550000000001</v>
      </c>
      <c r="V3079">
        <v>-3.9358429999999996E-3</v>
      </c>
      <c r="W3079">
        <v>0.1508543</v>
      </c>
      <c r="X3079">
        <v>0.98854819999999999</v>
      </c>
      <c r="Y3079">
        <v>9.191357E-2</v>
      </c>
      <c r="Z3079">
        <v>1.53752E-2</v>
      </c>
      <c r="AA3079">
        <v>0.99564830000000004</v>
      </c>
      <c r="AB3079">
        <v>20</v>
      </c>
      <c r="AC3079">
        <v>-0.59449999999998204</v>
      </c>
      <c r="AD3079">
        <v>-0.24049809999999999</v>
      </c>
      <c r="AE3079">
        <v>7.4299999999993802E-2</v>
      </c>
      <c r="AF3079">
        <v>6.6367943302447399E-2</v>
      </c>
      <c r="AG3079">
        <v>-0.24049809999999999</v>
      </c>
      <c r="AH3079">
        <v>0.511696354892901</v>
      </c>
      <c r="AI3079">
        <v>114.990106959643</v>
      </c>
      <c r="AJ3079">
        <v>82.609889612327393</v>
      </c>
      <c r="AK3079">
        <v>0.56927778773854298</v>
      </c>
      <c r="AL3079">
        <v>81.323562510315796</v>
      </c>
      <c r="AM3079">
        <v>90.228118367085202</v>
      </c>
      <c r="AN3079">
        <v>1.00000002720592</v>
      </c>
    </row>
    <row r="3080" spans="1:40" x14ac:dyDescent="0.25">
      <c r="A3080" t="str">
        <f>"20190303161936152"</f>
        <v>20190303161936152</v>
      </c>
      <c r="B3080" t="str">
        <f>"1551601176145317"</f>
        <v>1551601176145317</v>
      </c>
      <c r="C3080" t="s">
        <v>40</v>
      </c>
      <c r="D3080">
        <v>4.372376</v>
      </c>
      <c r="E3080">
        <v>0.54192289999999999</v>
      </c>
      <c r="F3080" t="s">
        <v>42</v>
      </c>
      <c r="G3080">
        <v>-260.22379999999998</v>
      </c>
      <c r="H3080">
        <v>0.88723850000000004</v>
      </c>
      <c r="I3080">
        <v>283.69060000000002</v>
      </c>
      <c r="J3080">
        <v>-259.63479999999998</v>
      </c>
      <c r="K3080">
        <v>1.1212899999999999</v>
      </c>
      <c r="L3080">
        <v>283.6182</v>
      </c>
      <c r="M3080">
        <v>-0.99992150000000002</v>
      </c>
      <c r="N3080">
        <v>-1.1708120000000001E-2</v>
      </c>
      <c r="O3080">
        <v>-4.4777509999999899E-3</v>
      </c>
      <c r="P3080">
        <v>-0.99032299999999995</v>
      </c>
      <c r="Q3080">
        <v>0.13854359999999999</v>
      </c>
      <c r="R3080">
        <v>-8.1366240000000003E-3</v>
      </c>
      <c r="S3080">
        <v>-3.166382</v>
      </c>
      <c r="T3080">
        <v>-0.95587789999999995</v>
      </c>
      <c r="U3080">
        <v>0.2924194</v>
      </c>
      <c r="V3080">
        <v>-3.661437E-3</v>
      </c>
      <c r="W3080">
        <v>0.15013019999999999</v>
      </c>
      <c r="X3080">
        <v>0.98865939999999997</v>
      </c>
      <c r="Y3080">
        <v>9.2002009999999995E-2</v>
      </c>
      <c r="Z3080">
        <v>1.537754E-2</v>
      </c>
      <c r="AA3080">
        <v>0.99564010000000003</v>
      </c>
      <c r="AB3080">
        <v>20</v>
      </c>
      <c r="AC3080">
        <v>-0.58899999999999797</v>
      </c>
      <c r="AD3080">
        <v>-0.234051499999999</v>
      </c>
      <c r="AE3080">
        <v>7.2400000000015993E-2</v>
      </c>
      <c r="AF3080">
        <v>6.4935858325500306E-2</v>
      </c>
      <c r="AG3080">
        <v>-0.234051499999999</v>
      </c>
      <c r="AH3080">
        <v>0.50942682309852305</v>
      </c>
      <c r="AI3080">
        <v>114.50127813889399</v>
      </c>
      <c r="AJ3080">
        <v>82.735769130924496</v>
      </c>
      <c r="AK3080">
        <v>0.56436907998310304</v>
      </c>
      <c r="AL3080">
        <v>81.365527619531903</v>
      </c>
      <c r="AM3080">
        <v>90.212190293202696</v>
      </c>
      <c r="AN3080">
        <v>0.99999994614065102</v>
      </c>
    </row>
    <row r="3081" spans="1:40" x14ac:dyDescent="0.25">
      <c r="A3081" t="str">
        <f>"20190303161936174"</f>
        <v>20190303161936174</v>
      </c>
      <c r="B3081" t="str">
        <f>"1551601176165817"</f>
        <v>1551601176165817</v>
      </c>
      <c r="C3081" t="s">
        <v>40</v>
      </c>
      <c r="D3081">
        <v>4.4031919999999998</v>
      </c>
      <c r="E3081">
        <v>0.54203059999999903</v>
      </c>
      <c r="F3081" t="s">
        <v>42</v>
      </c>
      <c r="G3081">
        <v>-260.40309999999999</v>
      </c>
      <c r="H3081">
        <v>0.88924539999999996</v>
      </c>
      <c r="I3081">
        <v>283.69009999999997</v>
      </c>
      <c r="J3081">
        <v>-259.83089999999999</v>
      </c>
      <c r="K3081">
        <v>1.121275</v>
      </c>
      <c r="L3081">
        <v>283.61759999999998</v>
      </c>
      <c r="M3081">
        <v>-0.99992389999999998</v>
      </c>
      <c r="N3081">
        <v>-1.156133E-2</v>
      </c>
      <c r="O3081">
        <v>-4.2967650000000001E-3</v>
      </c>
      <c r="P3081">
        <v>-0.99026199999999998</v>
      </c>
      <c r="Q3081">
        <v>0.13901279999999999</v>
      </c>
      <c r="R3081">
        <v>-7.5289319999999899E-3</v>
      </c>
      <c r="S3081">
        <v>-3.165527</v>
      </c>
      <c r="T3081">
        <v>-0.95605119999999999</v>
      </c>
      <c r="U3081">
        <v>0.2955933</v>
      </c>
      <c r="V3081">
        <v>-3.2322760000000001E-3</v>
      </c>
      <c r="W3081">
        <v>0.15045359999999999</v>
      </c>
      <c r="X3081">
        <v>0.98861180000000004</v>
      </c>
      <c r="Y3081">
        <v>9.280513E-2</v>
      </c>
      <c r="Z3081">
        <v>1.544889E-2</v>
      </c>
      <c r="AA3081">
        <v>0.99556449999999996</v>
      </c>
      <c r="AB3081">
        <v>20</v>
      </c>
      <c r="AC3081">
        <v>-0.57220000000000903</v>
      </c>
      <c r="AD3081">
        <v>-0.2320296</v>
      </c>
      <c r="AE3081">
        <v>7.2499999999990905E-2</v>
      </c>
      <c r="AF3081">
        <v>6.4516957049719395E-2</v>
      </c>
      <c r="AG3081">
        <v>-0.2320296</v>
      </c>
      <c r="AH3081">
        <v>0.49222379774139402</v>
      </c>
      <c r="AI3081">
        <v>115.051041342106</v>
      </c>
      <c r="AJ3081">
        <v>82.5326730376445</v>
      </c>
      <c r="AK3081">
        <v>0.54798215307259401</v>
      </c>
      <c r="AL3081">
        <v>81.3467858578787</v>
      </c>
      <c r="AM3081">
        <v>90.187328446949806</v>
      </c>
      <c r="AN3081">
        <v>1.00000001223017</v>
      </c>
    </row>
    <row r="3082" spans="1:40" x14ac:dyDescent="0.25">
      <c r="A3082" t="str">
        <f>"20190303161936197"</f>
        <v>20190303161936197</v>
      </c>
      <c r="B3082" t="str">
        <f>"1551601176185333"</f>
        <v>1551601176185333</v>
      </c>
      <c r="C3082" t="s">
        <v>40</v>
      </c>
      <c r="D3082">
        <v>4.4210089999999997</v>
      </c>
      <c r="E3082">
        <v>0.54206909999999997</v>
      </c>
      <c r="F3082" t="s">
        <v>42</v>
      </c>
      <c r="G3082">
        <v>-260.58390000000003</v>
      </c>
      <c r="H3082">
        <v>0.89441559999999898</v>
      </c>
      <c r="I3082">
        <v>283.68900000000002</v>
      </c>
      <c r="J3082">
        <v>-260.0301</v>
      </c>
      <c r="K3082">
        <v>1.121273</v>
      </c>
      <c r="L3082">
        <v>283.61689999999999</v>
      </c>
      <c r="M3082">
        <v>-0.99992630000000005</v>
      </c>
      <c r="N3082">
        <v>-1.1428839999999999E-2</v>
      </c>
      <c r="O3082">
        <v>-4.1114690000000004E-3</v>
      </c>
      <c r="P3082">
        <v>-0.98994020000000005</v>
      </c>
      <c r="Q3082">
        <v>0.1413317</v>
      </c>
      <c r="R3082">
        <v>-6.6458669999999997E-3</v>
      </c>
      <c r="S3082">
        <v>-3.1656490000000002</v>
      </c>
      <c r="T3082">
        <v>-0.95378609999999997</v>
      </c>
      <c r="U3082">
        <v>0.29971310000000001</v>
      </c>
      <c r="V3082">
        <v>-2.5323210000000001E-3</v>
      </c>
      <c r="W3082">
        <v>0.1526372</v>
      </c>
      <c r="X3082">
        <v>0.98827900000000002</v>
      </c>
      <c r="Y3082">
        <v>9.3882610000000005E-2</v>
      </c>
      <c r="Z3082">
        <v>1.552013E-2</v>
      </c>
      <c r="AA3082">
        <v>0.99546230000000002</v>
      </c>
      <c r="AB3082">
        <v>20</v>
      </c>
      <c r="AC3082">
        <v>-0.55380000000002305</v>
      </c>
      <c r="AD3082">
        <v>-0.22685739999999999</v>
      </c>
      <c r="AE3082">
        <v>7.21000000000344E-2</v>
      </c>
      <c r="AF3082">
        <v>6.3842119738363595E-2</v>
      </c>
      <c r="AG3082">
        <v>-0.22685739999999999</v>
      </c>
      <c r="AH3082">
        <v>0.47510375723043902</v>
      </c>
      <c r="AI3082">
        <v>115.325235327473</v>
      </c>
      <c r="AJ3082">
        <v>82.346717846525294</v>
      </c>
      <c r="AK3082">
        <v>0.53034297989313295</v>
      </c>
      <c r="AL3082">
        <v>81.220212378518099</v>
      </c>
      <c r="AM3082">
        <v>90.146811768876503</v>
      </c>
      <c r="AN3082">
        <v>0.99999995465724201</v>
      </c>
    </row>
    <row r="3083" spans="1:40" x14ac:dyDescent="0.25">
      <c r="A3083" t="str">
        <f>"20190303161936219"</f>
        <v>20190303161936219</v>
      </c>
      <c r="B3083" t="str">
        <f>"1551601176215590"</f>
        <v>1551601176215590</v>
      </c>
      <c r="C3083" t="s">
        <v>40</v>
      </c>
      <c r="D3083">
        <v>4.4141389999999996</v>
      </c>
      <c r="E3083">
        <v>0.54215970000000002</v>
      </c>
      <c r="F3083" t="s">
        <v>42</v>
      </c>
      <c r="G3083">
        <v>-260.76589999999999</v>
      </c>
      <c r="H3083">
        <v>0.9018621</v>
      </c>
      <c r="I3083">
        <v>283.68819999999999</v>
      </c>
      <c r="J3083">
        <v>-260.2346</v>
      </c>
      <c r="K3083">
        <v>1.1212789999999999</v>
      </c>
      <c r="L3083">
        <v>283.61630000000002</v>
      </c>
      <c r="M3083">
        <v>-0.99992840000000005</v>
      </c>
      <c r="N3083">
        <v>-1.130899E-2</v>
      </c>
      <c r="O3083">
        <v>-3.9204160000000004E-3</v>
      </c>
      <c r="P3083">
        <v>-0.98946940000000005</v>
      </c>
      <c r="Q3083">
        <v>0.14462610000000001</v>
      </c>
      <c r="R3083">
        <v>-5.7842930000000002E-3</v>
      </c>
      <c r="S3083">
        <v>-3.1674190000000002</v>
      </c>
      <c r="T3083">
        <v>-0.94453430000000005</v>
      </c>
      <c r="U3083">
        <v>0.30590820000000002</v>
      </c>
      <c r="V3083">
        <v>-1.860331E-3</v>
      </c>
      <c r="W3083">
        <v>0.15580749999999999</v>
      </c>
      <c r="X3083">
        <v>0.98778569999999999</v>
      </c>
      <c r="Y3083">
        <v>9.5590820000000007E-2</v>
      </c>
      <c r="Z3083">
        <v>1.557093E-2</v>
      </c>
      <c r="AA3083">
        <v>0.99529889999999999</v>
      </c>
      <c r="AB3083">
        <v>20</v>
      </c>
      <c r="AC3083">
        <v>-0.531299999999987</v>
      </c>
      <c r="AD3083">
        <v>-0.2194169</v>
      </c>
      <c r="AE3083">
        <v>7.1899999999970904E-2</v>
      </c>
      <c r="AF3083">
        <v>6.3369058101546E-2</v>
      </c>
      <c r="AG3083">
        <v>-0.2194169</v>
      </c>
      <c r="AH3083">
        <v>0.45483539268406697</v>
      </c>
      <c r="AI3083">
        <v>115.538216358433</v>
      </c>
      <c r="AJ3083">
        <v>82.068433427557395</v>
      </c>
      <c r="AK3083">
        <v>0.50895446551568502</v>
      </c>
      <c r="AL3083">
        <v>81.036368524942006</v>
      </c>
      <c r="AM3083">
        <v>90.1079069972116</v>
      </c>
      <c r="AN3083">
        <v>1.00000001350608</v>
      </c>
    </row>
    <row r="3084" spans="1:40" x14ac:dyDescent="0.25">
      <c r="A3084" t="str">
        <f>"20190303161936241"</f>
        <v>20190303161936241</v>
      </c>
      <c r="B3084" t="str">
        <f>"1551601176236085"</f>
        <v>1551601176236085</v>
      </c>
      <c r="C3084" t="s">
        <v>40</v>
      </c>
      <c r="D3084">
        <v>4.5553030000000003</v>
      </c>
      <c r="E3084">
        <v>0.54214949999999995</v>
      </c>
      <c r="F3084" t="s">
        <v>42</v>
      </c>
      <c r="G3084">
        <v>-260.94909999999999</v>
      </c>
      <c r="H3084">
        <v>0.91134040000000005</v>
      </c>
      <c r="I3084">
        <v>283.68689999999998</v>
      </c>
      <c r="J3084">
        <v>-260.43349999999998</v>
      </c>
      <c r="K3084">
        <v>1.121302</v>
      </c>
      <c r="L3084">
        <v>283.6157</v>
      </c>
      <c r="M3084">
        <v>-0.9999304</v>
      </c>
      <c r="N3084">
        <v>-1.120693E-2</v>
      </c>
      <c r="O3084">
        <v>-3.735913E-3</v>
      </c>
      <c r="P3084">
        <v>-0.98880170000000001</v>
      </c>
      <c r="Q3084">
        <v>0.14915780000000001</v>
      </c>
      <c r="R3084">
        <v>-4.8635279999999998E-3</v>
      </c>
      <c r="S3084">
        <v>-3.169861</v>
      </c>
      <c r="T3084">
        <v>-0.9313477</v>
      </c>
      <c r="U3084">
        <v>0.31195070000000003</v>
      </c>
      <c r="V3084">
        <v>-1.122861E-3</v>
      </c>
      <c r="W3084">
        <v>0.1602306</v>
      </c>
      <c r="X3084">
        <v>0.98707900000000004</v>
      </c>
      <c r="Y3084">
        <v>9.7274440000000004E-2</v>
      </c>
      <c r="Z3084">
        <v>1.5552450000000001E-2</v>
      </c>
      <c r="AA3084">
        <v>0.99513609999999997</v>
      </c>
      <c r="AB3084">
        <v>20</v>
      </c>
      <c r="AC3084">
        <v>-0.51560000000000605</v>
      </c>
      <c r="AD3084">
        <v>-0.2099616</v>
      </c>
      <c r="AE3084">
        <v>7.1199999999976102E-2</v>
      </c>
      <c r="AF3084">
        <v>6.2891875603833594E-2</v>
      </c>
      <c r="AG3084">
        <v>-0.2099616</v>
      </c>
      <c r="AH3084">
        <v>0.44320975434305299</v>
      </c>
      <c r="AI3084">
        <v>115.12803353233799</v>
      </c>
      <c r="AJ3084">
        <v>81.923596132086402</v>
      </c>
      <c r="AK3084">
        <v>0.49444327059467302</v>
      </c>
      <c r="AL3084">
        <v>80.779718952418705</v>
      </c>
      <c r="AM3084">
        <v>90.065177324741995</v>
      </c>
      <c r="AN3084">
        <v>1.0000000291170901</v>
      </c>
    </row>
    <row r="3085" spans="1:40" x14ac:dyDescent="0.25">
      <c r="A3085" t="str">
        <f>"20190303161936253"</f>
        <v>20190303161936253</v>
      </c>
      <c r="B3085" t="str">
        <f>"1551601176245846"</f>
        <v>1551601176245846</v>
      </c>
      <c r="C3085" t="s">
        <v>40</v>
      </c>
      <c r="D3085">
        <v>4.559107</v>
      </c>
      <c r="E3085">
        <v>0.53402759999999905</v>
      </c>
      <c r="F3085" t="s">
        <v>42</v>
      </c>
      <c r="G3085">
        <v>-261.13209999999998</v>
      </c>
      <c r="H3085">
        <v>0.91952540000000005</v>
      </c>
      <c r="I3085">
        <v>283.68520000000001</v>
      </c>
      <c r="J3085">
        <v>-260.54300000000001</v>
      </c>
      <c r="K3085">
        <v>1.1213120000000001</v>
      </c>
      <c r="L3085">
        <v>283.61540000000002</v>
      </c>
      <c r="M3085">
        <v>-0.99993120000000002</v>
      </c>
      <c r="N3085">
        <v>-1.115708E-2</v>
      </c>
      <c r="O3085">
        <v>-3.6355110000000001E-3</v>
      </c>
      <c r="P3085">
        <v>-0.98840090000000003</v>
      </c>
      <c r="Q3085">
        <v>0.15180170000000001</v>
      </c>
      <c r="R3085">
        <v>-4.4662039999999997E-3</v>
      </c>
      <c r="S3085">
        <v>-3.1737980000000001</v>
      </c>
      <c r="T3085">
        <v>-0.91663249999999996</v>
      </c>
      <c r="U3085">
        <v>0.31530760000000002</v>
      </c>
      <c r="V3085">
        <v>-8.2550940000000001E-4</v>
      </c>
      <c r="W3085">
        <v>0.1628202</v>
      </c>
      <c r="X3085">
        <v>0.98665539999999996</v>
      </c>
      <c r="Y3085">
        <v>9.8204949999999999E-2</v>
      </c>
      <c r="Z3085">
        <v>1.541271E-2</v>
      </c>
      <c r="AA3085">
        <v>0.99504689999999996</v>
      </c>
      <c r="AB3085">
        <v>20</v>
      </c>
      <c r="AC3085">
        <v>-0.58909999999997298</v>
      </c>
      <c r="AD3085">
        <v>-0.20178660000000001</v>
      </c>
      <c r="AE3085">
        <v>6.9799999999986498E-2</v>
      </c>
      <c r="AF3085">
        <v>6.4480623261753897E-2</v>
      </c>
      <c r="AG3085">
        <v>-0.20178660000000001</v>
      </c>
      <c r="AH3085">
        <v>0.52777602631428899</v>
      </c>
      <c r="AI3085">
        <v>110.782348026888</v>
      </c>
      <c r="AJ3085">
        <v>83.034453234999305</v>
      </c>
      <c r="AK3085">
        <v>0.56870301271215895</v>
      </c>
      <c r="AL3085">
        <v>80.6293710982888</v>
      </c>
      <c r="AM3085">
        <v>90.047937905708196</v>
      </c>
      <c r="AN3085">
        <v>0.99999998867148399</v>
      </c>
    </row>
    <row r="3086" spans="1:40" x14ac:dyDescent="0.25">
      <c r="A3086" t="str">
        <f>"20190303161936266"</f>
        <v>20190303161936266</v>
      </c>
      <c r="B3086" t="str">
        <f>"1551601176255605"</f>
        <v>1551601176255605</v>
      </c>
      <c r="C3086" t="s">
        <v>40</v>
      </c>
      <c r="D3086">
        <v>4.4676410000000004</v>
      </c>
      <c r="E3086">
        <v>0.53402759999999905</v>
      </c>
      <c r="F3086" t="s">
        <v>42</v>
      </c>
      <c r="G3086">
        <v>-261.31700000000001</v>
      </c>
      <c r="H3086">
        <v>0.93028860000000002</v>
      </c>
      <c r="I3086">
        <v>283.67720000000003</v>
      </c>
      <c r="J3086">
        <v>-260.65289999999999</v>
      </c>
      <c r="K3086">
        <v>1.1213200000000001</v>
      </c>
      <c r="L3086">
        <v>283.61509999999998</v>
      </c>
      <c r="M3086">
        <v>-0.99993209999999999</v>
      </c>
      <c r="N3086">
        <v>-1.1109279999999999E-2</v>
      </c>
      <c r="O3086">
        <v>-3.5352439999999999E-3</v>
      </c>
      <c r="P3086">
        <v>-0.9879869</v>
      </c>
      <c r="Q3086">
        <v>0.15447330000000001</v>
      </c>
      <c r="R3086">
        <v>-4.492785E-3</v>
      </c>
      <c r="S3086">
        <v>-3.155945</v>
      </c>
      <c r="T3086">
        <v>-0.77890419999999905</v>
      </c>
      <c r="U3086">
        <v>0.25183109999999997</v>
      </c>
      <c r="V3086">
        <v>-9.5258690000000004E-4</v>
      </c>
      <c r="W3086">
        <v>0.16544010000000001</v>
      </c>
      <c r="X3086">
        <v>0.98621930000000002</v>
      </c>
      <c r="Y3086">
        <v>8.0459329999999996E-2</v>
      </c>
      <c r="Z3086">
        <v>1.1041489999999999E-2</v>
      </c>
      <c r="AA3086">
        <v>0.99669669999999999</v>
      </c>
      <c r="AB3086">
        <v>20</v>
      </c>
      <c r="AC3086">
        <v>-0.66410000000001901</v>
      </c>
      <c r="AD3086">
        <v>-0.19103139999999999</v>
      </c>
      <c r="AE3086">
        <v>6.2100000000043502E-2</v>
      </c>
      <c r="AF3086">
        <v>5.9561784672021403E-2</v>
      </c>
      <c r="AG3086">
        <v>-0.19103139999999999</v>
      </c>
      <c r="AH3086">
        <v>0.61354823070674103</v>
      </c>
      <c r="AI3086">
        <v>107.218121082856</v>
      </c>
      <c r="AJ3086">
        <v>84.455238201810104</v>
      </c>
      <c r="AK3086">
        <v>0.64535419219421497</v>
      </c>
      <c r="AL3086">
        <v>80.4771975207792</v>
      </c>
      <c r="AM3086">
        <v>90.055341841328897</v>
      </c>
      <c r="AN3086">
        <v>0.99999992090114798</v>
      </c>
    </row>
    <row r="3087" spans="1:40" x14ac:dyDescent="0.25">
      <c r="A3087" t="str">
        <f>"20190303161936278"</f>
        <v>20190303161936278</v>
      </c>
      <c r="B3087" t="str">
        <f>"1551601176275125"</f>
        <v>1551601176275125</v>
      </c>
      <c r="C3087" t="s">
        <v>40</v>
      </c>
      <c r="D3087">
        <v>4.4442969999999997</v>
      </c>
      <c r="E3087">
        <v>0.51056060000000003</v>
      </c>
      <c r="F3087" t="s">
        <v>42</v>
      </c>
      <c r="G3087">
        <v>-261.49020000000002</v>
      </c>
      <c r="H3087">
        <v>0.91704419999999998</v>
      </c>
      <c r="I3087">
        <v>283.68189999999998</v>
      </c>
      <c r="J3087">
        <v>-260.76620000000003</v>
      </c>
      <c r="K3087">
        <v>1.1213329999999999</v>
      </c>
      <c r="L3087">
        <v>283.6148</v>
      </c>
      <c r="M3087">
        <v>-0.99993290000000001</v>
      </c>
      <c r="N3087">
        <v>-1.10654E-2</v>
      </c>
      <c r="O3087">
        <v>-3.4334629999999999E-3</v>
      </c>
      <c r="P3087">
        <v>-0.98761719999999997</v>
      </c>
      <c r="Q3087">
        <v>0.156807</v>
      </c>
      <c r="R3087">
        <v>-4.8733580000000004E-3</v>
      </c>
      <c r="S3087">
        <v>-3.15802</v>
      </c>
      <c r="T3087">
        <v>-0.77051389999999997</v>
      </c>
      <c r="U3087">
        <v>0.25155640000000001</v>
      </c>
      <c r="V3087">
        <v>-1.4349880000000001E-3</v>
      </c>
      <c r="W3087">
        <v>0.16772609999999999</v>
      </c>
      <c r="X3087">
        <v>0.98583259999999995</v>
      </c>
      <c r="Y3087">
        <v>8.0285499999999996E-2</v>
      </c>
      <c r="Z3087">
        <v>1.087666E-2</v>
      </c>
      <c r="AA3087">
        <v>0.99671259999999995</v>
      </c>
      <c r="AB3087">
        <v>20</v>
      </c>
      <c r="AC3087">
        <v>-0.72399999999998899</v>
      </c>
      <c r="AD3087">
        <v>-0.20428879999999999</v>
      </c>
      <c r="AE3087">
        <v>6.7099999999982105E-2</v>
      </c>
      <c r="AF3087">
        <v>6.4494391637486201E-2</v>
      </c>
      <c r="AG3087">
        <v>-0.20428879999999999</v>
      </c>
      <c r="AH3087">
        <v>0.67081142750475498</v>
      </c>
      <c r="AI3087">
        <v>106.86425947815501</v>
      </c>
      <c r="AJ3087">
        <v>84.5082430717477</v>
      </c>
      <c r="AK3087">
        <v>0.70418847734757495</v>
      </c>
      <c r="AL3087">
        <v>80.344364153074494</v>
      </c>
      <c r="AM3087">
        <v>90.083400262867698</v>
      </c>
      <c r="AN3087">
        <v>1.0000000095172601</v>
      </c>
    </row>
    <row r="3088" spans="1:40" x14ac:dyDescent="0.25">
      <c r="A3088" t="str">
        <f>"20190303161936290"</f>
        <v>20190303161936290</v>
      </c>
      <c r="B3088" t="str">
        <f>"1551601176285862"</f>
        <v>1551601176285862</v>
      </c>
      <c r="C3088" t="s">
        <v>40</v>
      </c>
      <c r="D3088">
        <v>3.896658</v>
      </c>
      <c r="E3088">
        <v>0.51046040000000004</v>
      </c>
      <c r="F3088" t="s">
        <v>52</v>
      </c>
      <c r="G3088">
        <v>-277.94740000000002</v>
      </c>
      <c r="H3088" s="1">
        <v>2.720084E-6</v>
      </c>
      <c r="I3088">
        <v>283.98289999999997</v>
      </c>
      <c r="J3088">
        <v>-260.87430000000001</v>
      </c>
      <c r="K3088">
        <v>1.1213390000000001</v>
      </c>
      <c r="L3088">
        <v>283.6146</v>
      </c>
      <c r="M3088">
        <v>-0.99993370000000004</v>
      </c>
      <c r="N3088">
        <v>-1.1025989999999999E-2</v>
      </c>
      <c r="O3088">
        <v>-3.3376679999999998E-3</v>
      </c>
      <c r="P3088">
        <v>-0.9873286</v>
      </c>
      <c r="Q3088">
        <v>0.15860279999999999</v>
      </c>
      <c r="R3088">
        <v>-5.2756180000000001E-3</v>
      </c>
      <c r="S3088">
        <v>-3.0697939999999999</v>
      </c>
      <c r="T3088">
        <v>-0.20035020000000001</v>
      </c>
      <c r="U3088">
        <v>6.5765379999999998E-2</v>
      </c>
      <c r="V3088">
        <v>-1.9326860000000001E-3</v>
      </c>
      <c r="W3088">
        <v>0.1694802</v>
      </c>
      <c r="X3088">
        <v>0.98553170000000001</v>
      </c>
      <c r="Y3088">
        <v>2.4689160000000002E-2</v>
      </c>
      <c r="Z3088">
        <v>1.1218339999999999E-3</v>
      </c>
      <c r="AA3088">
        <v>0.99969450000000004</v>
      </c>
      <c r="AB3088">
        <v>20</v>
      </c>
      <c r="AC3088">
        <v>-17.0731</v>
      </c>
      <c r="AD3088">
        <v>-1.1213362799159901</v>
      </c>
      <c r="AE3088">
        <v>0.36829999999997598</v>
      </c>
      <c r="AF3088">
        <v>0.423459931669742</v>
      </c>
      <c r="AG3088">
        <v>-1.1213362799159901</v>
      </c>
      <c r="AH3088">
        <v>16.998483799320699</v>
      </c>
      <c r="AI3088">
        <v>93.772986183068397</v>
      </c>
      <c r="AJ3088">
        <v>88.572963917078994</v>
      </c>
      <c r="AK3088">
        <v>17.0406914426075</v>
      </c>
      <c r="AL3088">
        <v>80.242401854760104</v>
      </c>
      <c r="AM3088">
        <v>90.112360271081599</v>
      </c>
      <c r="AN3088">
        <v>1.00000000258605</v>
      </c>
    </row>
    <row r="3089" spans="1:40" x14ac:dyDescent="0.25">
      <c r="A3089" t="str">
        <f>"20190303161936376"</f>
        <v>20190303161936376</v>
      </c>
      <c r="B3089" t="str">
        <f>"1551601176365893"</f>
        <v>1551601176365893</v>
      </c>
      <c r="C3089" t="s">
        <v>40</v>
      </c>
      <c r="D3089">
        <v>4.0331950000000001</v>
      </c>
      <c r="E3089">
        <v>0.51046040000000004</v>
      </c>
      <c r="F3089" t="s">
        <v>42</v>
      </c>
      <c r="G3089">
        <v>-261.73140000000001</v>
      </c>
      <c r="H3089">
        <v>1.0403209999999901</v>
      </c>
      <c r="I3089">
        <v>283.63220000000001</v>
      </c>
      <c r="J3089">
        <v>-261.64830000000001</v>
      </c>
      <c r="K3089">
        <v>1.1213630000000001</v>
      </c>
      <c r="L3089">
        <v>283.61290000000002</v>
      </c>
      <c r="M3089">
        <v>-0.99993779999999999</v>
      </c>
      <c r="N3089">
        <v>-1.0819769999999999E-2</v>
      </c>
      <c r="O3089">
        <v>-2.6961229999999999E-3</v>
      </c>
      <c r="P3089">
        <v>-0.98607999999999996</v>
      </c>
      <c r="Q3089">
        <v>0.166044</v>
      </c>
      <c r="R3089">
        <v>-8.6975130000000005E-3</v>
      </c>
      <c r="S3089">
        <v>-3.0857540000000001</v>
      </c>
      <c r="T3089">
        <v>-0.29181109999999999</v>
      </c>
      <c r="U3089">
        <v>6.2713619999999998E-2</v>
      </c>
      <c r="V3089">
        <v>-5.9945880000000003E-3</v>
      </c>
      <c r="W3089">
        <v>0.17670559999999999</v>
      </c>
      <c r="X3089">
        <v>0.9842455</v>
      </c>
      <c r="Y3089">
        <v>2.2891789999999999E-2</v>
      </c>
      <c r="Z3089">
        <v>1.429313E-3</v>
      </c>
      <c r="AA3089">
        <v>0.99973690000000004</v>
      </c>
      <c r="AB3089">
        <v>20</v>
      </c>
      <c r="AC3089">
        <v>-8.31000000000017E-2</v>
      </c>
      <c r="AD3089">
        <v>-8.1042000000000003E-2</v>
      </c>
      <c r="AE3089">
        <v>1.9299999999986901E-2</v>
      </c>
      <c r="AF3089">
        <v>1.02627852435136E-2</v>
      </c>
      <c r="AG3089">
        <v>-8.1042000000000003E-2</v>
      </c>
      <c r="AH3089">
        <v>4.3654000139421903E-2</v>
      </c>
      <c r="AI3089">
        <v>151.042297698076</v>
      </c>
      <c r="AJ3089">
        <v>76.770355256335506</v>
      </c>
      <c r="AK3089">
        <v>9.2621823849064505E-2</v>
      </c>
      <c r="AL3089">
        <v>79.822071253286097</v>
      </c>
      <c r="AM3089">
        <v>90.348958004389701</v>
      </c>
      <c r="AN3089">
        <v>1.00000000421344</v>
      </c>
    </row>
    <row r="3090" spans="1:40" x14ac:dyDescent="0.25">
      <c r="A3090" t="str">
        <f>"20190303161936388"</f>
        <v>20190303161936388</v>
      </c>
      <c r="B3090" t="str">
        <f>"1551601176385413"</f>
        <v>1551601176385413</v>
      </c>
      <c r="C3090" t="s">
        <v>40</v>
      </c>
      <c r="D3090">
        <v>4.567933</v>
      </c>
      <c r="E3090">
        <v>0.48194609999999899</v>
      </c>
      <c r="F3090" t="s">
        <v>52</v>
      </c>
      <c r="G3090">
        <v>-274.55079999999998</v>
      </c>
      <c r="H3090" s="1">
        <v>9.1894090000000003E-7</v>
      </c>
      <c r="I3090">
        <v>283.83800000000002</v>
      </c>
      <c r="J3090">
        <v>-261.75630000000001</v>
      </c>
      <c r="K3090">
        <v>1.121367</v>
      </c>
      <c r="L3090">
        <v>283.61270000000002</v>
      </c>
      <c r="M3090">
        <v>-0.99993840000000001</v>
      </c>
      <c r="N3090">
        <v>-1.079921E-2</v>
      </c>
      <c r="O3090">
        <v>-2.612109E-3</v>
      </c>
      <c r="P3090">
        <v>-0.98592709999999995</v>
      </c>
      <c r="Q3090">
        <v>0.1669291</v>
      </c>
      <c r="R3090">
        <v>-9.084824E-3</v>
      </c>
      <c r="S3090">
        <v>-3.0880130000000001</v>
      </c>
      <c r="T3090">
        <v>-0.26838040000000002</v>
      </c>
      <c r="U3090">
        <v>5.386353E-2</v>
      </c>
      <c r="V3090">
        <v>-6.465709E-3</v>
      </c>
      <c r="W3090">
        <v>0.17756820000000001</v>
      </c>
      <c r="X3090">
        <v>0.9840873</v>
      </c>
      <c r="Y3090">
        <v>1.995978E-2</v>
      </c>
      <c r="Z3090">
        <v>1.1720890000000001E-3</v>
      </c>
      <c r="AA3090">
        <v>0.99980009999999997</v>
      </c>
      <c r="AB3090">
        <v>20</v>
      </c>
      <c r="AC3090">
        <v>-12.7944999999999</v>
      </c>
      <c r="AD3090">
        <v>-1.1213660810591</v>
      </c>
      <c r="AE3090">
        <v>0.22529999999994699</v>
      </c>
      <c r="AF3090">
        <v>0.256750179741636</v>
      </c>
      <c r="AG3090">
        <v>-1.1213660810591</v>
      </c>
      <c r="AH3090">
        <v>12.6963703815423</v>
      </c>
      <c r="AI3090">
        <v>95.046341850512405</v>
      </c>
      <c r="AJ3090">
        <v>88.841503795116793</v>
      </c>
      <c r="AK3090">
        <v>12.748380422934201</v>
      </c>
      <c r="AL3090">
        <v>79.771854180581897</v>
      </c>
      <c r="AM3090">
        <v>90.376442726898404</v>
      </c>
      <c r="AN3090">
        <v>1.0000000425327</v>
      </c>
    </row>
    <row r="3091" spans="1:40" x14ac:dyDescent="0.25">
      <c r="A3091" t="str">
        <f>"20190303161936401"</f>
        <v>20190303161936401</v>
      </c>
      <c r="B3091" t="str">
        <f>"1551601176396149"</f>
        <v>1551601176396149</v>
      </c>
      <c r="C3091" t="s">
        <v>40</v>
      </c>
      <c r="D3091">
        <v>4.7524290000000002</v>
      </c>
      <c r="E3091">
        <v>0.50008719999999995</v>
      </c>
      <c r="F3091" t="s">
        <v>42</v>
      </c>
      <c r="G3091">
        <v>-262.56049999999999</v>
      </c>
      <c r="H3091">
        <v>0.87637279999999995</v>
      </c>
      <c r="I3091">
        <v>283.56830000000002</v>
      </c>
      <c r="J3091">
        <v>-261.87270000000001</v>
      </c>
      <c r="K3091">
        <v>1.12137</v>
      </c>
      <c r="L3091">
        <v>283.61250000000001</v>
      </c>
      <c r="M3091">
        <v>-0.99993889999999996</v>
      </c>
      <c r="N3091">
        <v>-1.07793E-2</v>
      </c>
      <c r="O3091">
        <v>-2.523445E-3</v>
      </c>
      <c r="P3091">
        <v>-0.98581660000000004</v>
      </c>
      <c r="Q3091">
        <v>0.16754669999999999</v>
      </c>
      <c r="R3091">
        <v>-9.7155320000000007E-3</v>
      </c>
      <c r="S3091">
        <v>-3.2065730000000001</v>
      </c>
      <c r="T3091">
        <v>-0.97683679999999995</v>
      </c>
      <c r="U3091">
        <v>-0.17739869999999999</v>
      </c>
      <c r="V3091">
        <v>-7.1838079999999999E-3</v>
      </c>
      <c r="W3091">
        <v>0.1781655</v>
      </c>
      <c r="X3091">
        <v>0.98397429999999997</v>
      </c>
      <c r="Y3091">
        <v>-5.045811E-2</v>
      </c>
      <c r="Z3091">
        <v>-7.0636880000000003E-3</v>
      </c>
      <c r="AA3091">
        <v>0.99870119999999896</v>
      </c>
      <c r="AB3091">
        <v>20</v>
      </c>
      <c r="AC3091">
        <v>-0.68779999999998098</v>
      </c>
      <c r="AD3091">
        <v>-0.244997199999999</v>
      </c>
      <c r="AE3091">
        <v>-4.4199999999989303E-2</v>
      </c>
      <c r="AF3091">
        <v>-3.7700335708624397E-2</v>
      </c>
      <c r="AG3091">
        <v>-0.244997199999999</v>
      </c>
      <c r="AH3091">
        <v>0.61073690994815</v>
      </c>
      <c r="AI3091">
        <v>111.820572893994</v>
      </c>
      <c r="AJ3091">
        <v>93.532343785125406</v>
      </c>
      <c r="AK3091">
        <v>0.65912405243125305</v>
      </c>
      <c r="AL3091">
        <v>79.737076304979098</v>
      </c>
      <c r="AM3091">
        <v>90.418298086062805</v>
      </c>
      <c r="AN3091">
        <v>0.99999998777405996</v>
      </c>
    </row>
    <row r="3092" spans="1:40" x14ac:dyDescent="0.25">
      <c r="A3092" t="str">
        <f>"20190303161936413"</f>
        <v>20190303161936413</v>
      </c>
      <c r="B3092" t="str">
        <f>"1551601176405909"</f>
        <v>1551601176405909</v>
      </c>
      <c r="C3092" t="s">
        <v>40</v>
      </c>
      <c r="D3092">
        <v>5.7050789999999996</v>
      </c>
      <c r="E3092">
        <v>0.50189319999999904</v>
      </c>
      <c r="F3092" t="s">
        <v>56</v>
      </c>
      <c r="G3092">
        <v>-280.84140000000002</v>
      </c>
      <c r="H3092" s="1">
        <v>8.2765290000000005E-6</v>
      </c>
      <c r="I3092">
        <v>283.41890000000001</v>
      </c>
      <c r="J3092">
        <v>-261.9812</v>
      </c>
      <c r="K3092">
        <v>1.1213740000000001</v>
      </c>
      <c r="L3092">
        <v>283.6123</v>
      </c>
      <c r="M3092">
        <v>-0.99993909999999997</v>
      </c>
      <c r="N3092">
        <v>-1.076247E-2</v>
      </c>
      <c r="O3092">
        <v>-2.441347E-3</v>
      </c>
      <c r="P3092">
        <v>-0.98567059999999995</v>
      </c>
      <c r="Q3092">
        <v>0.1683762</v>
      </c>
      <c r="R3092">
        <v>-1.013958E-2</v>
      </c>
      <c r="S3092">
        <v>-3.0737610000000002</v>
      </c>
      <c r="T3092">
        <v>-0.18170990000000001</v>
      </c>
      <c r="U3092">
        <v>-3.1372070000000002E-2</v>
      </c>
      <c r="V3092">
        <v>-7.6893880000000001E-3</v>
      </c>
      <c r="W3092">
        <v>0.1789772</v>
      </c>
      <c r="X3092">
        <v>0.98382320000000001</v>
      </c>
      <c r="Y3092">
        <v>-7.7513410000000001E-3</v>
      </c>
      <c r="Z3092">
        <v>-1.527299E-4</v>
      </c>
      <c r="AA3092">
        <v>0.99997000000000003</v>
      </c>
      <c r="AB3092">
        <v>20</v>
      </c>
      <c r="AC3092">
        <v>-18.860199999999999</v>
      </c>
      <c r="AD3092">
        <v>-1.1213657234709999</v>
      </c>
      <c r="AE3092">
        <v>-0.19339999999999599</v>
      </c>
      <c r="AF3092">
        <v>-0.146833447208986</v>
      </c>
      <c r="AG3092">
        <v>-1.1213657234709999</v>
      </c>
      <c r="AH3092">
        <v>18.794183599114501</v>
      </c>
      <c r="AI3092">
        <v>93.414433470732504</v>
      </c>
      <c r="AJ3092">
        <v>90.447626022573999</v>
      </c>
      <c r="AK3092">
        <v>18.8281798988702</v>
      </c>
      <c r="AL3092">
        <v>79.689810006417702</v>
      </c>
      <c r="AM3092">
        <v>90.447804553431496</v>
      </c>
      <c r="AN3092">
        <v>1.0000000268329401</v>
      </c>
    </row>
    <row r="3093" spans="1:40" x14ac:dyDescent="0.25">
      <c r="A3093" t="str">
        <f>"20190303161936432"</f>
        <v>20190303161936432</v>
      </c>
      <c r="B3093" t="str">
        <f>"1551601176425429"</f>
        <v>1551601176425429</v>
      </c>
      <c r="C3093" t="s">
        <v>40</v>
      </c>
      <c r="D3093">
        <v>4.629683</v>
      </c>
      <c r="E3093">
        <v>0.50423090000000004</v>
      </c>
      <c r="F3093" t="s">
        <v>56</v>
      </c>
      <c r="G3093">
        <v>-293.67849999999999</v>
      </c>
      <c r="H3093" s="1">
        <v>2.9619110000000001E-6</v>
      </c>
      <c r="I3093">
        <v>283.4307</v>
      </c>
      <c r="J3093">
        <v>-262.14879999999999</v>
      </c>
      <c r="K3093">
        <v>1.1213770000000001</v>
      </c>
      <c r="L3093">
        <v>283.6121</v>
      </c>
      <c r="M3093">
        <v>-0.99993969999999999</v>
      </c>
      <c r="N3093">
        <v>-1.0738869999999999E-2</v>
      </c>
      <c r="O3093">
        <v>-2.3161789999999998E-3</v>
      </c>
      <c r="P3093">
        <v>-0.98542090000000004</v>
      </c>
      <c r="Q3093">
        <v>0.16972419999999999</v>
      </c>
      <c r="R3093">
        <v>-1.180965E-2</v>
      </c>
      <c r="S3093">
        <v>-3.0619510000000001</v>
      </c>
      <c r="T3093">
        <v>-0.1083242</v>
      </c>
      <c r="U3093">
        <v>-1.7547610000000002E-2</v>
      </c>
      <c r="V3093">
        <v>-9.4837879999999999E-3</v>
      </c>
      <c r="W3093">
        <v>0.1802995</v>
      </c>
      <c r="X3093">
        <v>0.98356600000000005</v>
      </c>
      <c r="Y3093">
        <v>-3.412394E-3</v>
      </c>
      <c r="Z3093" s="1">
        <v>-2.162655E-5</v>
      </c>
      <c r="AA3093">
        <v>0.99999420000000006</v>
      </c>
      <c r="AB3093">
        <v>20</v>
      </c>
      <c r="AC3093">
        <v>-31.529699999999899</v>
      </c>
      <c r="AD3093">
        <v>-1.121374038089</v>
      </c>
      <c r="AE3093">
        <v>-0.18139999999999601</v>
      </c>
      <c r="AF3093">
        <v>-0.108229979207357</v>
      </c>
      <c r="AG3093">
        <v>-1.121374038089</v>
      </c>
      <c r="AH3093">
        <v>31.490204484522199</v>
      </c>
      <c r="AI3093">
        <v>92.039443188177501</v>
      </c>
      <c r="AJ3093">
        <v>90.196921446208506</v>
      </c>
      <c r="AK3093">
        <v>31.510350235100901</v>
      </c>
      <c r="AL3093">
        <v>79.612794309373697</v>
      </c>
      <c r="AM3093">
        <v>90.552443036076795</v>
      </c>
      <c r="AN3093">
        <v>0.99999996414553805</v>
      </c>
    </row>
    <row r="3094" spans="1:40" x14ac:dyDescent="0.25">
      <c r="A3094" t="str">
        <f>"20190303161936446"</f>
        <v>20190303161936446</v>
      </c>
      <c r="B3094" t="str">
        <f>"1551601176436166"</f>
        <v>1551601176436166</v>
      </c>
      <c r="C3094" t="s">
        <v>40</v>
      </c>
      <c r="D3094">
        <v>4.613264</v>
      </c>
      <c r="E3094">
        <v>0.50448219999999999</v>
      </c>
      <c r="F3094" t="s">
        <v>56</v>
      </c>
      <c r="G3094">
        <v>-309.84339999999997</v>
      </c>
      <c r="H3094" s="1">
        <v>2.311499E-6</v>
      </c>
      <c r="I3094">
        <v>283.553</v>
      </c>
      <c r="J3094">
        <v>-262.27890000000002</v>
      </c>
      <c r="K3094">
        <v>1.1213789999999999</v>
      </c>
      <c r="L3094">
        <v>283.61189999999999</v>
      </c>
      <c r="M3094">
        <v>-0.99994019999999995</v>
      </c>
      <c r="N3094">
        <v>-1.072236E-2</v>
      </c>
      <c r="O3094">
        <v>-2.2191799999999999E-3</v>
      </c>
      <c r="P3094">
        <v>-0.98531449999999998</v>
      </c>
      <c r="Q3094">
        <v>0.17028499999999999</v>
      </c>
      <c r="R3094">
        <v>-1.260207E-2</v>
      </c>
      <c r="S3094">
        <v>-3.056702</v>
      </c>
      <c r="T3094">
        <v>-7.1867819999999999E-2</v>
      </c>
      <c r="U3094">
        <v>-3.7841799999999998E-3</v>
      </c>
      <c r="V3094">
        <v>-1.0371490000000001E-2</v>
      </c>
      <c r="W3094">
        <v>0.18084310000000001</v>
      </c>
      <c r="X3094">
        <v>0.98345729999999998</v>
      </c>
      <c r="Y3094">
        <v>9.807386999999999E-4</v>
      </c>
      <c r="Z3094" s="1">
        <v>4.5162220000000001E-5</v>
      </c>
      <c r="AA3094">
        <v>0.99999950000000004</v>
      </c>
      <c r="AB3094">
        <v>20</v>
      </c>
      <c r="AC3094">
        <v>-47.564499999999903</v>
      </c>
      <c r="AD3094">
        <v>-1.1213766885009999</v>
      </c>
      <c r="AE3094">
        <v>-5.8899999999994103E-2</v>
      </c>
      <c r="AF3094">
        <v>4.6634464211139301E-2</v>
      </c>
      <c r="AG3094">
        <v>-1.1213766885009999</v>
      </c>
      <c r="AH3094">
        <v>47.538090817755901</v>
      </c>
      <c r="AI3094">
        <v>91.351299690783804</v>
      </c>
      <c r="AJ3094">
        <v>89.943793343904304</v>
      </c>
      <c r="AK3094">
        <v>47.551337931208401</v>
      </c>
      <c r="AL3094">
        <v>79.5811284547772</v>
      </c>
      <c r="AM3094">
        <v>90.604215938776804</v>
      </c>
      <c r="AN3094">
        <v>1.00000002777285</v>
      </c>
    </row>
    <row r="3095" spans="1:40" x14ac:dyDescent="0.25">
      <c r="A3095" t="str">
        <f>"20190303161936464"</f>
        <v>20190303161936464</v>
      </c>
      <c r="B3095" t="str">
        <f>"1551601176455695"</f>
        <v>1551601176455695</v>
      </c>
      <c r="C3095" t="s">
        <v>40</v>
      </c>
      <c r="D3095">
        <v>4.85623</v>
      </c>
      <c r="E3095">
        <v>0.5026273</v>
      </c>
      <c r="F3095" t="s">
        <v>56</v>
      </c>
      <c r="G3095">
        <v>-315.62630000000001</v>
      </c>
      <c r="H3095" s="1">
        <v>4.8060969999999997E-6</v>
      </c>
      <c r="I3095">
        <v>283.54050000000001</v>
      </c>
      <c r="J3095">
        <v>-262.4479</v>
      </c>
      <c r="K3095">
        <v>1.121373</v>
      </c>
      <c r="L3095">
        <v>283.61169999999998</v>
      </c>
      <c r="M3095">
        <v>-0.99994070000000002</v>
      </c>
      <c r="N3095">
        <v>-1.070363E-2</v>
      </c>
      <c r="O3095">
        <v>-2.093321E-3</v>
      </c>
      <c r="P3095">
        <v>-0.98502559999999995</v>
      </c>
      <c r="Q3095">
        <v>0.1718509</v>
      </c>
      <c r="R3095">
        <v>-1.386363E-2</v>
      </c>
      <c r="S3095">
        <v>-3.0557560000000001</v>
      </c>
      <c r="T3095">
        <v>-6.4232590000000006E-2</v>
      </c>
      <c r="U3095">
        <v>-4.0893550000000002E-3</v>
      </c>
      <c r="V3095">
        <v>-1.175709E-2</v>
      </c>
      <c r="W3095">
        <v>0.18238770000000001</v>
      </c>
      <c r="X3095">
        <v>0.98315640000000004</v>
      </c>
      <c r="Y3095">
        <v>7.5483280000000004E-4</v>
      </c>
      <c r="Z3095" s="1">
        <v>3.3564530000000002E-5</v>
      </c>
      <c r="AA3095">
        <v>0.99999970000000005</v>
      </c>
      <c r="AB3095">
        <v>20</v>
      </c>
      <c r="AC3095">
        <v>-53.178400000000003</v>
      </c>
      <c r="AD3095">
        <v>-1.121368193903</v>
      </c>
      <c r="AE3095">
        <v>-7.1199999999976102E-2</v>
      </c>
      <c r="AF3095">
        <v>4.01081408092702E-2</v>
      </c>
      <c r="AG3095">
        <v>-1.121368193903</v>
      </c>
      <c r="AH3095">
        <v>53.154796872103603</v>
      </c>
      <c r="AI3095">
        <v>91.208547889098895</v>
      </c>
      <c r="AJ3095">
        <v>89.956767274233201</v>
      </c>
      <c r="AK3095">
        <v>53.166639030540999</v>
      </c>
      <c r="AL3095">
        <v>79.491132478135796</v>
      </c>
      <c r="AM3095">
        <v>90.685139747829894</v>
      </c>
      <c r="AN3095">
        <v>1.00000000456875</v>
      </c>
    </row>
    <row r="3096" spans="1:40" x14ac:dyDescent="0.25">
      <c r="A3096" t="str">
        <f>"20190303161936478"</f>
        <v>20190303161936478</v>
      </c>
      <c r="B3096" t="str">
        <f>"1551601176465445"</f>
        <v>1551601176465445</v>
      </c>
      <c r="C3096" t="s">
        <v>40</v>
      </c>
      <c r="D3096">
        <v>4.6778589999999998</v>
      </c>
      <c r="E3096">
        <v>0.50177640000000001</v>
      </c>
      <c r="F3096" t="s">
        <v>52</v>
      </c>
      <c r="G3096">
        <v>-332.9203</v>
      </c>
      <c r="H3096" s="1">
        <v>8.4173830000000002E-8</v>
      </c>
      <c r="I3096">
        <v>283.0849</v>
      </c>
      <c r="J3096">
        <v>-262.56470000000002</v>
      </c>
      <c r="K3096">
        <v>1.121373</v>
      </c>
      <c r="L3096">
        <v>283.61149999999998</v>
      </c>
      <c r="M3096">
        <v>-0.99994099999999997</v>
      </c>
      <c r="N3096">
        <v>-1.0692470000000001E-2</v>
      </c>
      <c r="O3096">
        <v>-2.0067169999999999E-3</v>
      </c>
      <c r="P3096">
        <v>-0.98493090000000005</v>
      </c>
      <c r="Q3096">
        <v>0.17237479999999999</v>
      </c>
      <c r="R3096">
        <v>-1.40865E-2</v>
      </c>
      <c r="S3096">
        <v>-3.0537719999999999</v>
      </c>
      <c r="T3096">
        <v>-4.8592330000000003E-2</v>
      </c>
      <c r="U3096">
        <v>-2.2827150000000001E-2</v>
      </c>
      <c r="V3096">
        <v>-1.206581E-2</v>
      </c>
      <c r="W3096">
        <v>0.1828996</v>
      </c>
      <c r="X3096">
        <v>0.98305759999999998</v>
      </c>
      <c r="Y3096">
        <v>-5.4669380000000002E-3</v>
      </c>
      <c r="Z3096" s="1">
        <v>-6.2251969999999998E-5</v>
      </c>
      <c r="AA3096">
        <v>0.99998500000000001</v>
      </c>
      <c r="AB3096">
        <v>20</v>
      </c>
      <c r="AC3096">
        <v>-70.355599999999896</v>
      </c>
      <c r="AD3096">
        <v>-1.1213729158261601</v>
      </c>
      <c r="AE3096">
        <v>-0.52659999999997298</v>
      </c>
      <c r="AF3096">
        <v>-0.38530923638110698</v>
      </c>
      <c r="AG3096">
        <v>-1.1213729158261601</v>
      </c>
      <c r="AH3096">
        <v>70.338647266289698</v>
      </c>
      <c r="AI3096">
        <v>90.913346099511401</v>
      </c>
      <c r="AJ3096">
        <v>90.313858356570407</v>
      </c>
      <c r="AK3096">
        <v>70.348640638433906</v>
      </c>
      <c r="AL3096">
        <v>79.461301421627994</v>
      </c>
      <c r="AM3096">
        <v>90.703199159322807</v>
      </c>
      <c r="AN3096">
        <v>1.0000000461844301</v>
      </c>
    </row>
    <row r="3097" spans="1:40" x14ac:dyDescent="0.25">
      <c r="A3097" t="str">
        <f>"20190303161936490"</f>
        <v>20190303161936490</v>
      </c>
      <c r="B3097" t="str">
        <f>"1551601176485942"</f>
        <v>1551601176485942</v>
      </c>
      <c r="C3097" t="s">
        <v>40</v>
      </c>
      <c r="D3097">
        <v>4.6839820000000003</v>
      </c>
      <c r="E3097">
        <v>0.50051299999999999</v>
      </c>
      <c r="F3097" t="s">
        <v>52</v>
      </c>
      <c r="G3097">
        <v>-347.67700000000002</v>
      </c>
      <c r="H3097" s="1">
        <v>2.5485260000000001E-6</v>
      </c>
      <c r="I3097">
        <v>282.76150000000001</v>
      </c>
      <c r="J3097">
        <v>-262.68419999999998</v>
      </c>
      <c r="K3097">
        <v>1.1213690000000001</v>
      </c>
      <c r="L3097">
        <v>283.6114</v>
      </c>
      <c r="M3097">
        <v>-0.99994110000000003</v>
      </c>
      <c r="N3097">
        <v>-1.06818E-2</v>
      </c>
      <c r="O3097">
        <v>-1.9182100000000001E-3</v>
      </c>
      <c r="P3097">
        <v>-0.98474260000000002</v>
      </c>
      <c r="Q3097">
        <v>0.17345060000000001</v>
      </c>
      <c r="R3097">
        <v>-1.4026820000000001E-2</v>
      </c>
      <c r="S3097">
        <v>-3.052521</v>
      </c>
      <c r="T3097">
        <v>-4.021752E-2</v>
      </c>
      <c r="U3097">
        <v>-3.048706E-2</v>
      </c>
      <c r="V3097">
        <v>-1.209289E-2</v>
      </c>
      <c r="W3097">
        <v>0.18396319999999999</v>
      </c>
      <c r="X3097">
        <v>0.98285869999999997</v>
      </c>
      <c r="Y3097">
        <v>-8.0675019999999903E-3</v>
      </c>
      <c r="Z3097" s="1">
        <v>-9.1454150000000006E-5</v>
      </c>
      <c r="AA3097">
        <v>0.99996750000000001</v>
      </c>
      <c r="AB3097">
        <v>20</v>
      </c>
      <c r="AC3097">
        <v>-84.992799999999903</v>
      </c>
      <c r="AD3097">
        <v>-1.121366451474</v>
      </c>
      <c r="AE3097">
        <v>-0.84989999999999</v>
      </c>
      <c r="AF3097">
        <v>-0.68673556403118496</v>
      </c>
      <c r="AG3097">
        <v>-1.121366451474</v>
      </c>
      <c r="AH3097">
        <v>84.979482859865399</v>
      </c>
      <c r="AI3097">
        <v>90.755991170105503</v>
      </c>
      <c r="AJ3097">
        <v>90.463008147866105</v>
      </c>
      <c r="AK3097">
        <v>84.989655697523304</v>
      </c>
      <c r="AL3097">
        <v>79.399308869683907</v>
      </c>
      <c r="AM3097">
        <v>90.704919841707706</v>
      </c>
      <c r="AN3097">
        <v>0.99999996055424001</v>
      </c>
    </row>
    <row r="3098" spans="1:40" x14ac:dyDescent="0.25">
      <c r="A3098" t="str">
        <f>"20190303161936503"</f>
        <v>20190303161936503</v>
      </c>
      <c r="B3098" t="str">
        <f>"1551601176495702"</f>
        <v>1551601176495702</v>
      </c>
      <c r="C3098" t="s">
        <v>40</v>
      </c>
      <c r="D3098">
        <v>4.6945199999999998</v>
      </c>
      <c r="E3098">
        <v>0.5000291</v>
      </c>
      <c r="F3098" t="s">
        <v>52</v>
      </c>
      <c r="G3098">
        <v>-385.48779999999999</v>
      </c>
      <c r="H3098" s="1">
        <v>1.3835409999999901E-6</v>
      </c>
      <c r="I3098">
        <v>281.98489999999998</v>
      </c>
      <c r="J3098">
        <v>-262.80509999999998</v>
      </c>
      <c r="K3098">
        <v>1.1213679999999999</v>
      </c>
      <c r="L3098">
        <v>283.61130000000003</v>
      </c>
      <c r="M3098">
        <v>-0.99994150000000004</v>
      </c>
      <c r="N3098">
        <v>-1.0671959999999999E-2</v>
      </c>
      <c r="O3098">
        <v>-1.829589E-3</v>
      </c>
      <c r="P3098">
        <v>-0.98467890000000002</v>
      </c>
      <c r="Q3098">
        <v>0.17379310000000001</v>
      </c>
      <c r="R3098">
        <v>-1.426212E-2</v>
      </c>
      <c r="S3098">
        <v>-3.0508120000000001</v>
      </c>
      <c r="T3098">
        <v>-2.785814E-2</v>
      </c>
      <c r="U3098">
        <v>-4.040527E-2</v>
      </c>
      <c r="V3098">
        <v>-1.241596E-2</v>
      </c>
      <c r="W3098">
        <v>0.18429499999999999</v>
      </c>
      <c r="X3098">
        <v>0.98279260000000002</v>
      </c>
      <c r="Y3098">
        <v>-1.141236E-2</v>
      </c>
      <c r="Z3098">
        <v>-1.158248E-4</v>
      </c>
      <c r="AA3098">
        <v>0.99993489999999996</v>
      </c>
      <c r="AB3098">
        <v>20</v>
      </c>
      <c r="AC3098">
        <v>-122.6827</v>
      </c>
      <c r="AD3098">
        <v>-1.1213666164589999</v>
      </c>
      <c r="AE3098">
        <v>-1.62640000000004</v>
      </c>
      <c r="AF3098">
        <v>-1.4018085075968501</v>
      </c>
      <c r="AG3098">
        <v>-1.1213666164589999</v>
      </c>
      <c r="AH3098">
        <v>122.675223162873</v>
      </c>
      <c r="AI3098">
        <v>90.523688397543495</v>
      </c>
      <c r="AJ3098">
        <v>90.654689785894405</v>
      </c>
      <c r="AK3098">
        <v>122.68835685688001</v>
      </c>
      <c r="AL3098">
        <v>79.379968379152501</v>
      </c>
      <c r="AM3098">
        <v>90.723798962622595</v>
      </c>
      <c r="AN3098">
        <v>1.00000004885123</v>
      </c>
    </row>
    <row r="3099" spans="1:40" x14ac:dyDescent="0.25">
      <c r="A3099" t="str">
        <f>"20190303161936522"</f>
        <v>20190303161936522</v>
      </c>
      <c r="B3099" t="str">
        <f>"1551601176516197"</f>
        <v>1551601176516197</v>
      </c>
      <c r="C3099" t="s">
        <v>40</v>
      </c>
      <c r="D3099">
        <v>4.6421409999999996</v>
      </c>
      <c r="E3099">
        <v>0.4994712</v>
      </c>
      <c r="F3099" t="s">
        <v>56</v>
      </c>
      <c r="G3099">
        <v>-415.8698</v>
      </c>
      <c r="H3099" s="1">
        <v>3.5320549999999998E-6</v>
      </c>
      <c r="I3099">
        <v>281.3553</v>
      </c>
      <c r="J3099">
        <v>-262.96789999999999</v>
      </c>
      <c r="K3099">
        <v>1.1213649999999999</v>
      </c>
      <c r="L3099">
        <v>283.61110000000002</v>
      </c>
      <c r="M3099">
        <v>-0.99994190000000005</v>
      </c>
      <c r="N3099">
        <v>-1.0660569999999999E-2</v>
      </c>
      <c r="O3099">
        <v>-1.71092799999999E-3</v>
      </c>
      <c r="P3099">
        <v>-0.98464700000000005</v>
      </c>
      <c r="Q3099">
        <v>0.17398829999999901</v>
      </c>
      <c r="R3099">
        <v>-1.40962E-2</v>
      </c>
      <c r="S3099">
        <v>-3.049957</v>
      </c>
      <c r="T3099">
        <v>-2.234423E-2</v>
      </c>
      <c r="U3099">
        <v>-4.4952390000000002E-2</v>
      </c>
      <c r="V3099">
        <v>-1.236725E-2</v>
      </c>
      <c r="W3099">
        <v>0.1844788</v>
      </c>
      <c r="X3099">
        <v>0.98275869999999999</v>
      </c>
      <c r="Y3099">
        <v>-1.302539E-2</v>
      </c>
      <c r="Z3099">
        <v>-1.2285200000000001E-4</v>
      </c>
      <c r="AA3099">
        <v>0.9999152</v>
      </c>
      <c r="AB3099">
        <v>20</v>
      </c>
      <c r="AC3099">
        <v>-152.90190000000001</v>
      </c>
      <c r="AD3099">
        <v>-1.1213614679449999</v>
      </c>
      <c r="AE3099">
        <v>-2.2558000000000198</v>
      </c>
      <c r="AF3099">
        <v>-1.9940705100529299</v>
      </c>
      <c r="AG3099">
        <v>-1.1213614679449999</v>
      </c>
      <c r="AH3099">
        <v>152.89731403725401</v>
      </c>
      <c r="AI3099">
        <v>90.420168691513496</v>
      </c>
      <c r="AJ3099">
        <v>90.747203101130907</v>
      </c>
      <c r="AK3099">
        <v>152.914428385772</v>
      </c>
      <c r="AL3099">
        <v>79.369253382741903</v>
      </c>
      <c r="AM3099">
        <v>90.720984538692505</v>
      </c>
      <c r="AN3099">
        <v>1.0000000194738401</v>
      </c>
    </row>
    <row r="3100" spans="1:40" x14ac:dyDescent="0.25">
      <c r="A3100" t="str">
        <f>"20190303161936545"</f>
        <v>20190303161936545</v>
      </c>
      <c r="B3100" t="str">
        <f>"1551601176535717"</f>
        <v>1551601176535717</v>
      </c>
      <c r="C3100" t="s">
        <v>40</v>
      </c>
      <c r="D3100">
        <v>4.8778119999999996</v>
      </c>
      <c r="E3100">
        <v>0.4990909</v>
      </c>
      <c r="F3100" t="s">
        <v>52</v>
      </c>
      <c r="G3100">
        <v>-465.00409999999999</v>
      </c>
      <c r="H3100" s="1">
        <v>1.3117489999999999E-6</v>
      </c>
      <c r="I3100">
        <v>280.36959999999999</v>
      </c>
      <c r="J3100">
        <v>-263.17720000000003</v>
      </c>
      <c r="K3100">
        <v>1.1213679999999999</v>
      </c>
      <c r="L3100">
        <v>283.61090000000002</v>
      </c>
      <c r="M3100">
        <v>-0.9999422</v>
      </c>
      <c r="N3100">
        <v>-1.064798E-2</v>
      </c>
      <c r="O3100">
        <v>-1.560442E-3</v>
      </c>
      <c r="P3100">
        <v>-0.98478500000000002</v>
      </c>
      <c r="Q3100">
        <v>0.17324479999999901</v>
      </c>
      <c r="R3100">
        <v>-1.3605819999999999E-2</v>
      </c>
      <c r="S3100">
        <v>-3.0490719999999998</v>
      </c>
      <c r="T3100">
        <v>-1.692331E-2</v>
      </c>
      <c r="U3100">
        <v>-4.891968E-2</v>
      </c>
      <c r="V3100">
        <v>-1.202549E-2</v>
      </c>
      <c r="W3100">
        <v>0.1837242</v>
      </c>
      <c r="X3100">
        <v>0.98290429999999995</v>
      </c>
      <c r="Y3100">
        <v>-1.448108E-2</v>
      </c>
      <c r="Z3100">
        <v>-1.252452E-4</v>
      </c>
      <c r="AA3100">
        <v>0.99989519999999998</v>
      </c>
      <c r="AB3100">
        <v>20</v>
      </c>
      <c r="AC3100">
        <v>-201.82689999999999</v>
      </c>
      <c r="AD3100">
        <v>-1.1213666882509901</v>
      </c>
      <c r="AE3100">
        <v>-3.2413000000000198</v>
      </c>
      <c r="AF3100">
        <v>-2.9262487506512498</v>
      </c>
      <c r="AG3100">
        <v>-1.1213666882509901</v>
      </c>
      <c r="AH3100">
        <v>201.825483642351</v>
      </c>
      <c r="AI3100">
        <v>90.318305519664307</v>
      </c>
      <c r="AJ3100">
        <v>90.830667927337402</v>
      </c>
      <c r="AK3100">
        <v>201.84981110337799</v>
      </c>
      <c r="AL3100">
        <v>79.4132407388785</v>
      </c>
      <c r="AM3100">
        <v>90.700958830008204</v>
      </c>
      <c r="AN3100">
        <v>1.0000000285169299</v>
      </c>
    </row>
    <row r="3101" spans="1:40" x14ac:dyDescent="0.25">
      <c r="A3101" t="str">
        <f>"20190303161936560"</f>
        <v>20190303161936560</v>
      </c>
      <c r="B3101" t="str">
        <f>"1551601176545478"</f>
        <v>1551601176545478</v>
      </c>
      <c r="C3101" t="s">
        <v>40</v>
      </c>
      <c r="D3101">
        <v>4.6562929999999998</v>
      </c>
      <c r="E3101">
        <v>0.49883090000000002</v>
      </c>
      <c r="F3101" t="s">
        <v>52</v>
      </c>
      <c r="G3101">
        <v>-468.16230000000002</v>
      </c>
      <c r="H3101" s="1">
        <v>3.0009010000000002E-6</v>
      </c>
      <c r="I3101">
        <v>280.17579999999998</v>
      </c>
      <c r="J3101">
        <v>-263.31130000000002</v>
      </c>
      <c r="K3101">
        <v>1.1213679999999999</v>
      </c>
      <c r="L3101">
        <v>283.61079999999998</v>
      </c>
      <c r="M3101">
        <v>-0.99994229999999995</v>
      </c>
      <c r="N3101">
        <v>-1.0641339999999999E-2</v>
      </c>
      <c r="O3101">
        <v>-1.4657750000000001E-3</v>
      </c>
      <c r="P3101">
        <v>-0.98489839999999995</v>
      </c>
      <c r="Q3101">
        <v>0.17263129999999999</v>
      </c>
      <c r="R3101">
        <v>-1.317637E-2</v>
      </c>
      <c r="S3101">
        <v>-3.0485530000000001</v>
      </c>
      <c r="T3101">
        <v>-1.6677020000000001E-2</v>
      </c>
      <c r="U3101">
        <v>-5.1086430000000002E-2</v>
      </c>
      <c r="V3101">
        <v>-1.168988E-2</v>
      </c>
      <c r="W3101">
        <v>0.18310489999999999</v>
      </c>
      <c r="X3101">
        <v>0.98302389999999995</v>
      </c>
      <c r="Y3101">
        <v>-1.5288919999999999E-2</v>
      </c>
      <c r="Z3101">
        <v>-1.3075209999999999E-4</v>
      </c>
      <c r="AA3101">
        <v>0.99988310000000002</v>
      </c>
      <c r="AB3101">
        <v>20</v>
      </c>
      <c r="AC3101">
        <v>-204.851</v>
      </c>
      <c r="AD3101">
        <v>-1.121364999099</v>
      </c>
      <c r="AE3101">
        <v>-3.4350000000000001</v>
      </c>
      <c r="AF3101">
        <v>-3.1346199280627101</v>
      </c>
      <c r="AG3101">
        <v>-1.121364999099</v>
      </c>
      <c r="AH3101">
        <v>204.84967849129799</v>
      </c>
      <c r="AI3101">
        <v>90.313602246870005</v>
      </c>
      <c r="AJ3101">
        <v>90.876674435449701</v>
      </c>
      <c r="AK3101">
        <v>204.87672898487699</v>
      </c>
      <c r="AL3101">
        <v>79.449336292477199</v>
      </c>
      <c r="AM3101">
        <v>90.681315294164506</v>
      </c>
      <c r="AN3101">
        <v>1.00000002283481</v>
      </c>
    </row>
    <row r="3102" spans="1:40" x14ac:dyDescent="0.25">
      <c r="A3102" t="str">
        <f>"20190303161936577"</f>
        <v>20190303161936577</v>
      </c>
      <c r="B3102" t="str">
        <f>"1551601176565973"</f>
        <v>1551601176565973</v>
      </c>
      <c r="C3102" t="s">
        <v>40</v>
      </c>
      <c r="D3102">
        <v>4.6598540000000002</v>
      </c>
      <c r="E3102">
        <v>0.49865949999999998</v>
      </c>
      <c r="F3102" t="s">
        <v>52</v>
      </c>
      <c r="G3102">
        <v>-456.65370000000001</v>
      </c>
      <c r="H3102" s="1">
        <v>2.1920380000000001E-6</v>
      </c>
      <c r="I3102">
        <v>280.31450000000001</v>
      </c>
      <c r="J3102">
        <v>-263.47030000000001</v>
      </c>
      <c r="K3102">
        <v>1.1213599999999999</v>
      </c>
      <c r="L3102">
        <v>283.61070000000001</v>
      </c>
      <c r="M3102">
        <v>-0.99994260000000001</v>
      </c>
      <c r="N3102">
        <v>-1.0634350000000001E-2</v>
      </c>
      <c r="O3102">
        <v>-1.3548970000000001E-3</v>
      </c>
      <c r="P3102">
        <v>-0.98515660000000005</v>
      </c>
      <c r="Q3102">
        <v>0.17116879999999901</v>
      </c>
      <c r="R3102">
        <v>-1.295431E-2</v>
      </c>
      <c r="S3102">
        <v>-3.0484010000000001</v>
      </c>
      <c r="T3102">
        <v>-1.7680410000000001E-2</v>
      </c>
      <c r="U3102">
        <v>-5.1971440000000001E-2</v>
      </c>
      <c r="V3102">
        <v>-1.1577769999999999E-2</v>
      </c>
      <c r="W3102">
        <v>0.18163840000000001</v>
      </c>
      <c r="X3102">
        <v>0.98329719999999998</v>
      </c>
      <c r="Y3102">
        <v>-1.569075E-2</v>
      </c>
      <c r="Z3102">
        <v>-1.3548999999999999E-4</v>
      </c>
      <c r="AA3102">
        <v>0.99987689999999996</v>
      </c>
      <c r="AB3102">
        <v>20</v>
      </c>
      <c r="AC3102">
        <v>-193.18340000000001</v>
      </c>
      <c r="AD3102">
        <v>-1.1213578079619999</v>
      </c>
      <c r="AE3102">
        <v>-3.29619999999999</v>
      </c>
      <c r="AF3102">
        <v>-3.0343363721082799</v>
      </c>
      <c r="AG3102">
        <v>-1.1213578079619999</v>
      </c>
      <c r="AH3102">
        <v>193.18118182984301</v>
      </c>
      <c r="AI3102">
        <v>90.332539761899994</v>
      </c>
      <c r="AJ3102">
        <v>90.899882538360998</v>
      </c>
      <c r="AK3102">
        <v>193.20826497261299</v>
      </c>
      <c r="AL3102">
        <v>79.534793131996494</v>
      </c>
      <c r="AM3102">
        <v>90.674594318335707</v>
      </c>
      <c r="AN3102">
        <v>0.99999996832028504</v>
      </c>
    </row>
    <row r="3103" spans="1:40" x14ac:dyDescent="0.25">
      <c r="A3103" t="str">
        <f>"20190303161936590"</f>
        <v>20190303161936590</v>
      </c>
      <c r="B3103" t="str">
        <f>"1551601176575733"</f>
        <v>1551601176575733</v>
      </c>
      <c r="C3103" t="s">
        <v>40</v>
      </c>
      <c r="D3103">
        <v>4.6428240000000001</v>
      </c>
      <c r="E3103">
        <v>0.49858170000000002</v>
      </c>
      <c r="F3103" t="s">
        <v>52</v>
      </c>
      <c r="G3103">
        <v>-396.11149999999998</v>
      </c>
      <c r="H3103" s="1">
        <v>1.7154699999999999E-6</v>
      </c>
      <c r="I3103">
        <v>281.32850000000002</v>
      </c>
      <c r="J3103">
        <v>-263.59190000000001</v>
      </c>
      <c r="K3103">
        <v>1.1213580000000001</v>
      </c>
      <c r="L3103">
        <v>283.61059999999998</v>
      </c>
      <c r="M3103">
        <v>-0.99994269999999996</v>
      </c>
      <c r="N3103">
        <v>-1.0629649999999999E-2</v>
      </c>
      <c r="O3103">
        <v>-1.271086E-3</v>
      </c>
      <c r="P3103">
        <v>-0.98524429999999996</v>
      </c>
      <c r="Q3103">
        <v>0.1706799</v>
      </c>
      <c r="R3103">
        <v>-1.273356E-2</v>
      </c>
      <c r="S3103">
        <v>-3.04895</v>
      </c>
      <c r="T3103">
        <v>-2.5776029999999998E-2</v>
      </c>
      <c r="U3103">
        <v>-5.2459720000000001E-2</v>
      </c>
      <c r="V3103">
        <v>-1.144004E-2</v>
      </c>
      <c r="W3103">
        <v>0.18114549999999999</v>
      </c>
      <c r="X3103">
        <v>0.98338970000000003</v>
      </c>
      <c r="Y3103">
        <v>-1.5931020000000001E-2</v>
      </c>
      <c r="Z3103">
        <v>-1.5478320000000001E-4</v>
      </c>
      <c r="AA3103">
        <v>0.99987309999999996</v>
      </c>
      <c r="AB3103">
        <v>20</v>
      </c>
      <c r="AC3103">
        <v>-132.519599999999</v>
      </c>
      <c r="AD3103">
        <v>-1.12135628453</v>
      </c>
      <c r="AE3103">
        <v>-2.2820999999999501</v>
      </c>
      <c r="AF3103">
        <v>-2.1134935455239701</v>
      </c>
      <c r="AG3103">
        <v>-1.12135628453</v>
      </c>
      <c r="AH3103">
        <v>132.512908426953</v>
      </c>
      <c r="AI3103">
        <v>90.484777520299502</v>
      </c>
      <c r="AJ3103">
        <v>90.913752442275097</v>
      </c>
      <c r="AK3103">
        <v>132.53450567551801</v>
      </c>
      <c r="AL3103">
        <v>79.563510262582199</v>
      </c>
      <c r="AM3103">
        <v>90.666507329830594</v>
      </c>
      <c r="AN3103">
        <v>0.99999993437576795</v>
      </c>
    </row>
    <row r="3104" spans="1:40" x14ac:dyDescent="0.25">
      <c r="A3104" t="str">
        <f>"20190303161936611"</f>
        <v>20190303161936611</v>
      </c>
      <c r="B3104" t="str">
        <f>"1551601176605323"</f>
        <v>1551601176605323</v>
      </c>
      <c r="C3104" t="s">
        <v>40</v>
      </c>
      <c r="D3104">
        <v>4.5723129999999896</v>
      </c>
      <c r="E3104">
        <v>0.49828260000000002</v>
      </c>
      <c r="F3104" t="s">
        <v>52</v>
      </c>
      <c r="G3104">
        <v>-380.21019999999999</v>
      </c>
      <c r="H3104" s="1">
        <v>-1.4249319999999999E-6</v>
      </c>
      <c r="I3104">
        <v>281.6148</v>
      </c>
      <c r="J3104">
        <v>-263.78120000000001</v>
      </c>
      <c r="K3104">
        <v>1.1213489999999999</v>
      </c>
      <c r="L3104">
        <v>283.6105</v>
      </c>
      <c r="M3104">
        <v>-0.99994300000000003</v>
      </c>
      <c r="N3104">
        <v>-1.062344E-2</v>
      </c>
      <c r="O3104">
        <v>-1.1426850000000001E-3</v>
      </c>
      <c r="P3104">
        <v>-0.98551520000000004</v>
      </c>
      <c r="Q3104">
        <v>0.16911399999999999</v>
      </c>
      <c r="R3104">
        <v>-1.2676710000000001E-2</v>
      </c>
      <c r="S3104">
        <v>-3.049347</v>
      </c>
      <c r="T3104">
        <v>-2.9321429999999999E-2</v>
      </c>
      <c r="U3104">
        <v>-5.2185059999999998E-2</v>
      </c>
      <c r="V3104">
        <v>-1.151046E-2</v>
      </c>
      <c r="W3104">
        <v>0.17957670000000001</v>
      </c>
      <c r="X3104">
        <v>0.98367660000000001</v>
      </c>
      <c r="Y3104">
        <v>-1.5966870000000001E-2</v>
      </c>
      <c r="Z3104">
        <v>-1.6273500000000001E-4</v>
      </c>
      <c r="AA3104">
        <v>0.99987250000000005</v>
      </c>
      <c r="AB3104">
        <v>20</v>
      </c>
      <c r="AC3104">
        <v>-116.42899999999899</v>
      </c>
      <c r="AD3104">
        <v>-1.1213504249320001</v>
      </c>
      <c r="AE3104">
        <v>-1.9957</v>
      </c>
      <c r="AF3104">
        <v>-1.8624768156743099</v>
      </c>
      <c r="AG3104">
        <v>-1.1213504249320001</v>
      </c>
      <c r="AH3104">
        <v>116.420408588101</v>
      </c>
      <c r="AI3104">
        <v>90.551779893680902</v>
      </c>
      <c r="AJ3104">
        <v>90.916531388408401</v>
      </c>
      <c r="AK3104">
        <v>116.44070500681801</v>
      </c>
      <c r="AL3104">
        <v>79.654894905878805</v>
      </c>
      <c r="AM3104">
        <v>90.670414117968804</v>
      </c>
      <c r="AN3104">
        <v>0.99999996762993004</v>
      </c>
    </row>
    <row r="3105" spans="1:40" x14ac:dyDescent="0.25">
      <c r="A3105" t="str">
        <f>"20190303161936625"</f>
        <v>20190303161936625</v>
      </c>
      <c r="B3105" t="str">
        <f>"1551601176616060"</f>
        <v>1551601176616060</v>
      </c>
      <c r="C3105" t="s">
        <v>40</v>
      </c>
      <c r="D3105">
        <v>4.6848599999999996</v>
      </c>
      <c r="E3105">
        <v>0.4982297</v>
      </c>
      <c r="F3105" t="s">
        <v>52</v>
      </c>
      <c r="G3105">
        <v>-356.3408</v>
      </c>
      <c r="H3105" s="1">
        <v>1.83744E-6</v>
      </c>
      <c r="I3105">
        <v>281.96370000000002</v>
      </c>
      <c r="J3105">
        <v>-263.91399999999999</v>
      </c>
      <c r="K3105">
        <v>1.1213439999999999</v>
      </c>
      <c r="L3105">
        <v>283.6105</v>
      </c>
      <c r="M3105">
        <v>-0.99994309999999997</v>
      </c>
      <c r="N3105">
        <v>-1.0619709999999999E-2</v>
      </c>
      <c r="O3105">
        <v>-1.053385E-3</v>
      </c>
      <c r="P3105">
        <v>-0.98566790000000004</v>
      </c>
      <c r="Q3105">
        <v>0.16822309999999999</v>
      </c>
      <c r="R3105">
        <v>-1.263912E-2</v>
      </c>
      <c r="S3105">
        <v>-3.049744</v>
      </c>
      <c r="T3105">
        <v>-3.6947250000000001E-2</v>
      </c>
      <c r="U3105">
        <v>-5.4260250000000003E-2</v>
      </c>
      <c r="V3105">
        <v>-1.1561149999999999E-2</v>
      </c>
      <c r="W3105">
        <v>0.17868399999999901</v>
      </c>
      <c r="X3105">
        <v>0.98383860000000001</v>
      </c>
      <c r="Y3105">
        <v>-1.6733339999999999E-2</v>
      </c>
      <c r="Z3105">
        <v>-1.886426E-4</v>
      </c>
      <c r="AA3105">
        <v>0.99985999999999997</v>
      </c>
      <c r="AB3105">
        <v>20</v>
      </c>
      <c r="AC3105">
        <v>-92.4268</v>
      </c>
      <c r="AD3105">
        <v>-1.12134216256</v>
      </c>
      <c r="AE3105">
        <v>-1.6467999999999801</v>
      </c>
      <c r="AF3105">
        <v>-1.5492046391865399</v>
      </c>
      <c r="AG3105">
        <v>-1.12134216256</v>
      </c>
      <c r="AH3105">
        <v>92.414885229200493</v>
      </c>
      <c r="AI3105">
        <v>90.695082790597695</v>
      </c>
      <c r="AJ3105">
        <v>90.960392624636597</v>
      </c>
      <c r="AK3105">
        <v>92.434671282943995</v>
      </c>
      <c r="AL3105">
        <v>79.706884209279906</v>
      </c>
      <c r="AM3105">
        <v>90.673255363114905</v>
      </c>
      <c r="AN3105">
        <v>1.0000000114476399</v>
      </c>
    </row>
    <row r="3106" spans="1:40" x14ac:dyDescent="0.25">
      <c r="A3106" t="str">
        <f>"20190303161936644"</f>
        <v>20190303161936644</v>
      </c>
      <c r="B3106" t="str">
        <f>"1551601176635580"</f>
        <v>1551601176635580</v>
      </c>
      <c r="C3106" t="s">
        <v>40</v>
      </c>
      <c r="D3106">
        <v>4.5603959999999999</v>
      </c>
      <c r="E3106">
        <v>0.49803130000000001</v>
      </c>
      <c r="F3106" t="s">
        <v>52</v>
      </c>
      <c r="G3106">
        <v>-348.05130000000003</v>
      </c>
      <c r="H3106" s="1">
        <v>2.7477130000000001E-6</v>
      </c>
      <c r="I3106">
        <v>282.1035</v>
      </c>
      <c r="J3106">
        <v>-264.08690000000001</v>
      </c>
      <c r="K3106">
        <v>1.121337</v>
      </c>
      <c r="L3106">
        <v>283.61040000000003</v>
      </c>
      <c r="M3106">
        <v>-0.99994329999999998</v>
      </c>
      <c r="N3106">
        <v>-1.061578E-2</v>
      </c>
      <c r="O3106">
        <v>-9.3833320000000003E-4</v>
      </c>
      <c r="P3106">
        <v>-0.98596689999999998</v>
      </c>
      <c r="Q3106">
        <v>0.16646179999999999</v>
      </c>
      <c r="R3106">
        <v>-1.2647540000000001E-2</v>
      </c>
      <c r="S3106">
        <v>-3.0498660000000002</v>
      </c>
      <c r="T3106">
        <v>-4.064715E-2</v>
      </c>
      <c r="U3106">
        <v>-5.4626460000000002E-2</v>
      </c>
      <c r="V3106">
        <v>-1.1682680000000001E-2</v>
      </c>
      <c r="W3106">
        <v>0.176922</v>
      </c>
      <c r="X3106">
        <v>0.98415549999999996</v>
      </c>
      <c r="Y3106">
        <v>-1.6967289999999999E-2</v>
      </c>
      <c r="Z3106">
        <v>-2.0058580000000001E-4</v>
      </c>
      <c r="AA3106">
        <v>0.99985610000000003</v>
      </c>
      <c r="AB3106">
        <v>20</v>
      </c>
      <c r="AC3106">
        <v>-83.964399999999998</v>
      </c>
      <c r="AD3106">
        <v>-1.121334252287</v>
      </c>
      <c r="AE3106">
        <v>-1.5069000000000301</v>
      </c>
      <c r="AF3106">
        <v>-1.4278537399987199</v>
      </c>
      <c r="AG3106">
        <v>-1.121334252287</v>
      </c>
      <c r="AH3106">
        <v>83.950809049449504</v>
      </c>
      <c r="AI3106">
        <v>90.765145819216798</v>
      </c>
      <c r="AJ3106">
        <v>90.974405210711396</v>
      </c>
      <c r="AK3106">
        <v>83.970438231947497</v>
      </c>
      <c r="AL3106">
        <v>79.809473549919005</v>
      </c>
      <c r="AM3106">
        <v>90.680112867017797</v>
      </c>
      <c r="AN3106">
        <v>0.99999996363811505</v>
      </c>
    </row>
    <row r="3107" spans="1:40" x14ac:dyDescent="0.25">
      <c r="A3107" t="str">
        <f>"20190303161936658"</f>
        <v>20190303161936658</v>
      </c>
      <c r="B3107" t="str">
        <f>"1551601176646315"</f>
        <v>1551601176646315</v>
      </c>
      <c r="C3107" t="s">
        <v>40</v>
      </c>
      <c r="D3107">
        <v>4.8242430000000001</v>
      </c>
      <c r="E3107">
        <v>0.49788579999999999</v>
      </c>
      <c r="F3107" t="s">
        <v>52</v>
      </c>
      <c r="G3107">
        <v>-337.613</v>
      </c>
      <c r="H3107" s="1">
        <v>2.6181340000000001E-6</v>
      </c>
      <c r="I3107">
        <v>282.24489999999997</v>
      </c>
      <c r="J3107">
        <v>-264.21210000000002</v>
      </c>
      <c r="K3107">
        <v>1.121332</v>
      </c>
      <c r="L3107">
        <v>283.61040000000003</v>
      </c>
      <c r="M3107">
        <v>-0.99994349999999999</v>
      </c>
      <c r="N3107">
        <v>-1.061352E-2</v>
      </c>
      <c r="O3107">
        <v>-8.5558940000000005E-4</v>
      </c>
      <c r="P3107">
        <v>-0.98614210000000002</v>
      </c>
      <c r="Q3107">
        <v>0.1654214</v>
      </c>
      <c r="R3107">
        <v>-1.265201E-2</v>
      </c>
      <c r="S3107">
        <v>-3.0498660000000002</v>
      </c>
      <c r="T3107">
        <v>-4.6512959999999999E-2</v>
      </c>
      <c r="U3107">
        <v>-5.6640629999999997E-2</v>
      </c>
      <c r="V3107">
        <v>-1.176891E-2</v>
      </c>
      <c r="W3107">
        <v>0.17588139999999999</v>
      </c>
      <c r="X3107">
        <v>0.98434100000000002</v>
      </c>
      <c r="Y3107">
        <v>-1.770934E-2</v>
      </c>
      <c r="Z3107">
        <v>-2.250543E-4</v>
      </c>
      <c r="AA3107">
        <v>0.99984320000000004</v>
      </c>
      <c r="AB3107">
        <v>20</v>
      </c>
      <c r="AC3107">
        <v>-73.400899999999993</v>
      </c>
      <c r="AD3107">
        <v>-1.121329381866</v>
      </c>
      <c r="AE3107">
        <v>-1.3655000000000499</v>
      </c>
      <c r="AF3107">
        <v>-1.30239109581249</v>
      </c>
      <c r="AG3107">
        <v>-1.121329381866</v>
      </c>
      <c r="AH3107">
        <v>73.3849208563433</v>
      </c>
      <c r="AI3107">
        <v>90.875279655804505</v>
      </c>
      <c r="AJ3107">
        <v>91.016744028100504</v>
      </c>
      <c r="AK3107">
        <v>73.405042137722802</v>
      </c>
      <c r="AL3107">
        <v>79.870045677128303</v>
      </c>
      <c r="AM3107">
        <v>90.685003209879596</v>
      </c>
      <c r="AN3107">
        <v>0.99999998919477395</v>
      </c>
    </row>
    <row r="3108" spans="1:40" x14ac:dyDescent="0.25">
      <c r="A3108" t="str">
        <f>"20190303161936677"</f>
        <v>20190303161936677</v>
      </c>
      <c r="B3108" t="str">
        <f>"1551601176665836"</f>
        <v>1551601176665836</v>
      </c>
      <c r="C3108" t="s">
        <v>40</v>
      </c>
      <c r="D3108">
        <v>4.8832459999999998</v>
      </c>
      <c r="E3108">
        <v>0.49771130000000002</v>
      </c>
      <c r="F3108" t="s">
        <v>52</v>
      </c>
      <c r="G3108">
        <v>-334.94560000000001</v>
      </c>
      <c r="H3108" s="1">
        <v>1.197916E-6</v>
      </c>
      <c r="I3108">
        <v>282.26190000000003</v>
      </c>
      <c r="J3108">
        <v>-264.38780000000003</v>
      </c>
      <c r="K3108">
        <v>1.1213200000000001</v>
      </c>
      <c r="L3108">
        <v>283.61040000000003</v>
      </c>
      <c r="M3108">
        <v>-0.99994360000000004</v>
      </c>
      <c r="N3108">
        <v>-1.061083E-2</v>
      </c>
      <c r="O3108">
        <v>-7.394624E-4</v>
      </c>
      <c r="P3108">
        <v>-0.98653480000000005</v>
      </c>
      <c r="Q3108">
        <v>0.16308599999999901</v>
      </c>
      <c r="R3108">
        <v>-1.235029E-2</v>
      </c>
      <c r="S3108">
        <v>-3.0495000000000001</v>
      </c>
      <c r="T3108">
        <v>-4.8343419999999998E-2</v>
      </c>
      <c r="U3108">
        <v>-5.8135989999999999E-2</v>
      </c>
      <c r="V3108">
        <v>-1.158181E-2</v>
      </c>
      <c r="W3108">
        <v>0.17354749999999999</v>
      </c>
      <c r="X3108">
        <v>0.9847574</v>
      </c>
      <c r="Y3108">
        <v>-1.8317440000000001E-2</v>
      </c>
      <c r="Z3108">
        <v>-2.3849830000000001E-4</v>
      </c>
      <c r="AA3108">
        <v>0.99983219999999995</v>
      </c>
      <c r="AB3108">
        <v>20</v>
      </c>
      <c r="AC3108">
        <v>-70.557799999999901</v>
      </c>
      <c r="AD3108">
        <v>-1.1213188020839999</v>
      </c>
      <c r="AE3108">
        <v>-1.3485</v>
      </c>
      <c r="AF3108">
        <v>-1.2959946629958901</v>
      </c>
      <c r="AG3108">
        <v>-1.1213188020839999</v>
      </c>
      <c r="AH3108">
        <v>70.540968459644503</v>
      </c>
      <c r="AI3108">
        <v>90.910543026317299</v>
      </c>
      <c r="AJ3108">
        <v>91.052532636360795</v>
      </c>
      <c r="AK3108">
        <v>70.561782781098898</v>
      </c>
      <c r="AL3108">
        <v>80.005857389726003</v>
      </c>
      <c r="AM3108">
        <v>90.673829146276205</v>
      </c>
      <c r="AN3108">
        <v>1.00000000496694</v>
      </c>
    </row>
    <row r="3109" spans="1:40" x14ac:dyDescent="0.25">
      <c r="A3109" t="str">
        <f>"20190303161936690"</f>
        <v>20190303161936690</v>
      </c>
      <c r="B3109" t="str">
        <f>"1551601176675596"</f>
        <v>1551601176675596</v>
      </c>
      <c r="C3109" t="s">
        <v>40</v>
      </c>
      <c r="D3109">
        <v>4.6196469999999996</v>
      </c>
      <c r="E3109">
        <v>0.4978264</v>
      </c>
      <c r="F3109" t="s">
        <v>52</v>
      </c>
      <c r="G3109">
        <v>-327.14550000000003</v>
      </c>
      <c r="H3109" s="1">
        <v>2.362474E-6</v>
      </c>
      <c r="I3109">
        <v>282.40190000000001</v>
      </c>
      <c r="J3109">
        <v>-264.51190000000003</v>
      </c>
      <c r="K3109">
        <v>1.1213139999999999</v>
      </c>
      <c r="L3109">
        <v>283.61040000000003</v>
      </c>
      <c r="M3109">
        <v>-0.99994360000000004</v>
      </c>
      <c r="N3109">
        <v>-1.060929E-2</v>
      </c>
      <c r="O3109">
        <v>-6.5731600000000002E-4</v>
      </c>
      <c r="P3109">
        <v>-0.98669960000000001</v>
      </c>
      <c r="Q3109">
        <v>0.16211199999999901</v>
      </c>
      <c r="R3109">
        <v>-1.1982960000000001E-2</v>
      </c>
      <c r="S3109">
        <v>-3.049255</v>
      </c>
      <c r="T3109">
        <v>-5.4482339999999997E-2</v>
      </c>
      <c r="U3109">
        <v>-5.8715820000000002E-2</v>
      </c>
      <c r="V3109">
        <v>-1.129546E-2</v>
      </c>
      <c r="W3109">
        <v>0.1725739</v>
      </c>
      <c r="X3109">
        <v>0.98493180000000002</v>
      </c>
      <c r="Y3109">
        <v>-1.8590280000000001E-2</v>
      </c>
      <c r="Z3109">
        <v>-2.5992140000000001E-4</v>
      </c>
      <c r="AA3109">
        <v>0.99982709999999997</v>
      </c>
      <c r="AB3109">
        <v>21</v>
      </c>
      <c r="AC3109">
        <v>-62.633600000000001</v>
      </c>
      <c r="AD3109">
        <v>-1.1213116375259999</v>
      </c>
      <c r="AE3109">
        <v>-1.2085000000000099</v>
      </c>
      <c r="AF3109">
        <v>-1.16695348034519</v>
      </c>
      <c r="AG3109">
        <v>-1.1213116375259999</v>
      </c>
      <c r="AH3109">
        <v>62.614320001111103</v>
      </c>
      <c r="AI3109">
        <v>91.0257782293844</v>
      </c>
      <c r="AJ3109">
        <v>91.067707348891503</v>
      </c>
      <c r="AK3109">
        <v>62.635231215469197</v>
      </c>
      <c r="AL3109">
        <v>80.0624950561715</v>
      </c>
      <c r="AM3109">
        <v>90.6570544429444</v>
      </c>
      <c r="AN3109">
        <v>0.99999999451453003</v>
      </c>
    </row>
    <row r="3110" spans="1:40" x14ac:dyDescent="0.25">
      <c r="A3110" t="str">
        <f>"20190303161936703"</f>
        <v>20190303161936703</v>
      </c>
      <c r="B3110" t="str">
        <f>"1551601176695612"</f>
        <v>1551601176695612</v>
      </c>
      <c r="C3110" t="s">
        <v>40</v>
      </c>
      <c r="D3110">
        <v>4.6014939999999998</v>
      </c>
      <c r="E3110">
        <v>0.49797249999999998</v>
      </c>
      <c r="F3110" t="s">
        <v>52</v>
      </c>
      <c r="G3110">
        <v>-322.8109</v>
      </c>
      <c r="H3110" s="1">
        <v>5.0443649999999999E-8</v>
      </c>
      <c r="I3110">
        <v>282.52460000000002</v>
      </c>
      <c r="J3110">
        <v>-264.63560000000001</v>
      </c>
      <c r="K3110">
        <v>1.1213040000000001</v>
      </c>
      <c r="L3110">
        <v>283.61040000000003</v>
      </c>
      <c r="M3110">
        <v>-0.99994360000000004</v>
      </c>
      <c r="N3110">
        <v>-1.0608019999999999E-2</v>
      </c>
      <c r="O3110">
        <v>-5.7576669999999895E-4</v>
      </c>
      <c r="P3110">
        <v>-0.98693140000000001</v>
      </c>
      <c r="Q3110">
        <v>0.16073809999999999</v>
      </c>
      <c r="R3110">
        <v>-1.1389E-2</v>
      </c>
      <c r="S3110">
        <v>-3.049347</v>
      </c>
      <c r="T3110">
        <v>-5.8650729999999998E-2</v>
      </c>
      <c r="U3110">
        <v>-5.6793209999999997E-2</v>
      </c>
      <c r="V3110">
        <v>-1.0782399999999999E-2</v>
      </c>
      <c r="W3110">
        <v>0.1712013</v>
      </c>
      <c r="X3110">
        <v>0.98517699999999997</v>
      </c>
      <c r="Y3110">
        <v>-1.8040629999999998E-2</v>
      </c>
      <c r="Z3110">
        <v>-2.6421179999999998E-4</v>
      </c>
      <c r="AA3110">
        <v>0.99983719999999998</v>
      </c>
      <c r="AB3110">
        <v>21</v>
      </c>
      <c r="AC3110">
        <v>-58.175299999999901</v>
      </c>
      <c r="AD3110">
        <v>-1.1213039495563499</v>
      </c>
      <c r="AE3110">
        <v>-1.0858000000000001</v>
      </c>
      <c r="AF3110">
        <v>-1.05191187707495</v>
      </c>
      <c r="AG3110">
        <v>-1.1213039495563499</v>
      </c>
      <c r="AH3110">
        <v>58.154318224678804</v>
      </c>
      <c r="AI3110">
        <v>91.104432519444103</v>
      </c>
      <c r="AJ3110">
        <v>91.036269376479794</v>
      </c>
      <c r="AK3110">
        <v>58.174638540532698</v>
      </c>
      <c r="AL3110">
        <v>80.142326820755898</v>
      </c>
      <c r="AM3110">
        <v>90.627056201711596</v>
      </c>
      <c r="AN3110">
        <v>0.99999993330022197</v>
      </c>
    </row>
    <row r="3111" spans="1:40" x14ac:dyDescent="0.25">
      <c r="A3111" t="str">
        <f>"20190303161936721"</f>
        <v>20190303161936721</v>
      </c>
      <c r="B3111" t="str">
        <f>"1551601176716109"</f>
        <v>1551601176716109</v>
      </c>
      <c r="C3111" t="s">
        <v>40</v>
      </c>
      <c r="D3111">
        <v>4.555822</v>
      </c>
      <c r="E3111">
        <v>0.49811080000000002</v>
      </c>
      <c r="F3111" t="s">
        <v>56</v>
      </c>
      <c r="G3111">
        <v>-317.61849999999998</v>
      </c>
      <c r="H3111" s="1">
        <v>5.7647720000000003E-6</v>
      </c>
      <c r="I3111">
        <v>282.67989999999998</v>
      </c>
      <c r="J3111">
        <v>-264.7971</v>
      </c>
      <c r="K3111">
        <v>1.1212899999999999</v>
      </c>
      <c r="L3111">
        <v>283.61040000000003</v>
      </c>
      <c r="M3111">
        <v>-0.99994360000000004</v>
      </c>
      <c r="N3111">
        <v>-1.0606829999999999E-2</v>
      </c>
      <c r="O3111">
        <v>-4.6846859999999998E-4</v>
      </c>
      <c r="P3111">
        <v>-0.98719710000000005</v>
      </c>
      <c r="Q3111">
        <v>0.15917899999999999</v>
      </c>
      <c r="R3111">
        <v>-1.020005E-2</v>
      </c>
      <c r="S3111">
        <v>-3.0496219999999998</v>
      </c>
      <c r="T3111">
        <v>-6.4540269999999997E-2</v>
      </c>
      <c r="U3111">
        <v>-5.3558349999999998E-2</v>
      </c>
      <c r="V3111">
        <v>-9.6984670000000005E-3</v>
      </c>
      <c r="W3111">
        <v>0.16964379999999901</v>
      </c>
      <c r="X3111">
        <v>0.98545769999999999</v>
      </c>
      <c r="Y3111">
        <v>-1.7085449999999999E-2</v>
      </c>
      <c r="Z3111">
        <v>-2.6645059999999999E-4</v>
      </c>
      <c r="AA3111">
        <v>0.99985400000000002</v>
      </c>
      <c r="AB3111">
        <v>21</v>
      </c>
      <c r="AC3111">
        <v>-52.821399999999898</v>
      </c>
      <c r="AD3111">
        <v>-1.1212842352279999</v>
      </c>
      <c r="AE3111">
        <v>-0.93050000000005095</v>
      </c>
      <c r="AF3111">
        <v>-0.90534549627601502</v>
      </c>
      <c r="AG3111">
        <v>-1.1212842352279999</v>
      </c>
      <c r="AH3111">
        <v>52.798045600112403</v>
      </c>
      <c r="AI3111">
        <v>91.216441990948695</v>
      </c>
      <c r="AJ3111">
        <v>90.982373347493706</v>
      </c>
      <c r="AK3111">
        <v>52.817710552383303</v>
      </c>
      <c r="AL3111">
        <v>80.232890302363899</v>
      </c>
      <c r="AM3111">
        <v>90.563863154535895</v>
      </c>
      <c r="AN3111">
        <v>0.99999997881493896</v>
      </c>
    </row>
    <row r="3112" spans="1:40" x14ac:dyDescent="0.25">
      <c r="A3112" t="str">
        <f>"20190303161936735"</f>
        <v>20190303161936735</v>
      </c>
      <c r="B3112" t="str">
        <f>"1551601176725869"</f>
        <v>1551601176725869</v>
      </c>
      <c r="C3112" t="s">
        <v>40</v>
      </c>
      <c r="D3112">
        <v>4.506615</v>
      </c>
      <c r="E3112">
        <v>0.49819780000000002</v>
      </c>
      <c r="F3112" t="s">
        <v>56</v>
      </c>
      <c r="G3112">
        <v>-313.49160000000001</v>
      </c>
      <c r="H3112" s="1">
        <v>3.9217449999999998E-6</v>
      </c>
      <c r="I3112">
        <v>282.8279</v>
      </c>
      <c r="J3112">
        <v>-264.92020000000002</v>
      </c>
      <c r="K3112">
        <v>1.1212879999999901</v>
      </c>
      <c r="L3112">
        <v>283.6105</v>
      </c>
      <c r="M3112">
        <v>-0.99994380000000005</v>
      </c>
      <c r="N3112">
        <v>-1.060622E-2</v>
      </c>
      <c r="O3112">
        <v>-3.8668550000000001E-4</v>
      </c>
      <c r="P3112">
        <v>-0.98735119999999998</v>
      </c>
      <c r="Q3112">
        <v>0.15827189999999999</v>
      </c>
      <c r="R3112">
        <v>-9.3902659999999995E-3</v>
      </c>
      <c r="S3112">
        <v>-3.0496829999999999</v>
      </c>
      <c r="T3112">
        <v>-7.0224880000000003E-2</v>
      </c>
      <c r="U3112">
        <v>-4.9011230000000003E-2</v>
      </c>
      <c r="V3112">
        <v>-8.9701219999999901E-3</v>
      </c>
      <c r="W3112">
        <v>0.16873759999999999</v>
      </c>
      <c r="X3112">
        <v>0.98562019999999995</v>
      </c>
      <c r="Y3112">
        <v>-1.5676160000000001E-2</v>
      </c>
      <c r="Z3112">
        <v>-2.5880599999999999E-4</v>
      </c>
      <c r="AA3112">
        <v>0.99987709999999996</v>
      </c>
      <c r="AB3112">
        <v>21</v>
      </c>
      <c r="AC3112">
        <v>-48.571399999999898</v>
      </c>
      <c r="AD3112">
        <v>-1.12128407825499</v>
      </c>
      <c r="AE3112">
        <v>-0.78260000000000196</v>
      </c>
      <c r="AF3112">
        <v>-0.76341029263396398</v>
      </c>
      <c r="AG3112">
        <v>-1.12128407825499</v>
      </c>
      <c r="AH3112">
        <v>48.545834194618998</v>
      </c>
      <c r="AI3112">
        <v>91.322986563173203</v>
      </c>
      <c r="AJ3112">
        <v>90.900933798247493</v>
      </c>
      <c r="AK3112">
        <v>48.564782413910699</v>
      </c>
      <c r="AL3112">
        <v>80.285571527061094</v>
      </c>
      <c r="AM3112">
        <v>90.521434060697104</v>
      </c>
      <c r="AN3112">
        <v>1.0000000096952399</v>
      </c>
    </row>
    <row r="3113" spans="1:40" x14ac:dyDescent="0.25">
      <c r="A3113" t="str">
        <f>"20190303161936756"</f>
        <v>20190303161936756</v>
      </c>
      <c r="B3113" t="str">
        <f>"1551601176745388"</f>
        <v>1551601176745388</v>
      </c>
      <c r="C3113" t="s">
        <v>40</v>
      </c>
      <c r="D3113">
        <v>4.4951080000000001</v>
      </c>
      <c r="E3113">
        <v>0.49833739999999999</v>
      </c>
      <c r="F3113" t="s">
        <v>56</v>
      </c>
      <c r="G3113">
        <v>-311.65129999999999</v>
      </c>
      <c r="H3113" s="1">
        <v>3.098797E-6</v>
      </c>
      <c r="I3113">
        <v>282.9058</v>
      </c>
      <c r="J3113">
        <v>-265.11750000000001</v>
      </c>
      <c r="K3113">
        <v>1.1212770000000001</v>
      </c>
      <c r="L3113">
        <v>283.6105</v>
      </c>
      <c r="M3113">
        <v>-0.99994369999999999</v>
      </c>
      <c r="N3113">
        <v>-1.060564E-2</v>
      </c>
      <c r="O3113">
        <v>-2.5459609999999998E-4</v>
      </c>
      <c r="P3113">
        <v>-0.98758210000000002</v>
      </c>
      <c r="Q3113">
        <v>0.156896799999999</v>
      </c>
      <c r="R3113">
        <v>-8.0615779999999998E-3</v>
      </c>
      <c r="S3113">
        <v>-3.049744</v>
      </c>
      <c r="T3113">
        <v>-7.3176859999999996E-2</v>
      </c>
      <c r="U3113">
        <v>-4.5989990000000001E-2</v>
      </c>
      <c r="V3113">
        <v>-7.7716299999999999E-3</v>
      </c>
      <c r="W3113">
        <v>0.1673637</v>
      </c>
      <c r="X3113">
        <v>0.98586459999999998</v>
      </c>
      <c r="Y3113">
        <v>-1.4817530000000001E-2</v>
      </c>
      <c r="Z3113">
        <v>-2.529233E-4</v>
      </c>
      <c r="AA3113">
        <v>0.99989019999999995</v>
      </c>
      <c r="AB3113">
        <v>21</v>
      </c>
      <c r="AC3113">
        <v>-46.5337999999999</v>
      </c>
      <c r="AD3113">
        <v>-1.121273901203</v>
      </c>
      <c r="AE3113">
        <v>-0.70470000000000199</v>
      </c>
      <c r="AF3113">
        <v>-0.69245003353211498</v>
      </c>
      <c r="AG3113">
        <v>-1.121273901203</v>
      </c>
      <c r="AH3113">
        <v>46.506981571553297</v>
      </c>
      <c r="AI3113">
        <v>91.380969063641402</v>
      </c>
      <c r="AJ3113">
        <v>90.853023174608694</v>
      </c>
      <c r="AK3113">
        <v>46.525649668836003</v>
      </c>
      <c r="AL3113">
        <v>80.365425846899498</v>
      </c>
      <c r="AM3113">
        <v>90.451656724080905</v>
      </c>
      <c r="AN3113">
        <v>1.0000000079218501</v>
      </c>
    </row>
    <row r="3114" spans="1:40" x14ac:dyDescent="0.25">
      <c r="A3114" t="str">
        <f>"20190303161936778"</f>
        <v>20190303161936778</v>
      </c>
      <c r="B3114" t="str">
        <f>"1551601176765884"</f>
        <v>1551601176765884</v>
      </c>
      <c r="C3114" t="s">
        <v>40</v>
      </c>
      <c r="D3114">
        <v>4.4810800000000004</v>
      </c>
      <c r="E3114">
        <v>0.49842350000000002</v>
      </c>
      <c r="F3114" t="s">
        <v>56</v>
      </c>
      <c r="G3114">
        <v>-309.34410000000003</v>
      </c>
      <c r="H3114" s="1">
        <v>2.4472839999999998E-6</v>
      </c>
      <c r="I3114">
        <v>283.01310000000001</v>
      </c>
      <c r="J3114">
        <v>-265.3184</v>
      </c>
      <c r="K3114">
        <v>1.121267</v>
      </c>
      <c r="L3114">
        <v>283.61070000000001</v>
      </c>
      <c r="M3114">
        <v>-0.9999439</v>
      </c>
      <c r="N3114">
        <v>-1.060555E-2</v>
      </c>
      <c r="O3114">
        <v>-1.1988789999999999E-4</v>
      </c>
      <c r="P3114">
        <v>-0.98780250000000003</v>
      </c>
      <c r="Q3114">
        <v>0.155556</v>
      </c>
      <c r="R3114">
        <v>-7.004433E-3</v>
      </c>
      <c r="S3114">
        <v>-3.0496829999999999</v>
      </c>
      <c r="T3114">
        <v>-7.731855E-2</v>
      </c>
      <c r="U3114">
        <v>-4.1198730000000003E-2</v>
      </c>
      <c r="V3114">
        <v>-6.8475769999999997E-3</v>
      </c>
      <c r="W3114">
        <v>0.16602510000000001</v>
      </c>
      <c r="X3114">
        <v>0.98609780000000002</v>
      </c>
      <c r="Y3114">
        <v>-1.338199E-2</v>
      </c>
      <c r="Z3114">
        <v>-2.3881719999999999E-4</v>
      </c>
      <c r="AA3114">
        <v>0.99991039999999998</v>
      </c>
      <c r="AB3114">
        <v>21</v>
      </c>
      <c r="AC3114">
        <v>-44.025700000000001</v>
      </c>
      <c r="AD3114">
        <v>-1.1212645527159999</v>
      </c>
      <c r="AE3114">
        <v>-0.59759999999999902</v>
      </c>
      <c r="AF3114">
        <v>-0.59193766725715402</v>
      </c>
      <c r="AG3114">
        <v>-1.1212645527159999</v>
      </c>
      <c r="AH3114">
        <v>43.997238226579697</v>
      </c>
      <c r="AI3114">
        <v>91.459728302790893</v>
      </c>
      <c r="AJ3114">
        <v>90.770809380648004</v>
      </c>
      <c r="AK3114">
        <v>44.015504040798</v>
      </c>
      <c r="AL3114">
        <v>80.443210674201893</v>
      </c>
      <c r="AM3114">
        <v>90.397862114598496</v>
      </c>
      <c r="AN3114">
        <v>1.0000000471528001</v>
      </c>
    </row>
    <row r="3115" spans="1:40" x14ac:dyDescent="0.25">
      <c r="A3115" t="str">
        <f>"20190303161936792"</f>
        <v>20190303161936792</v>
      </c>
      <c r="B3115" t="str">
        <f>"1551601176785405"</f>
        <v>1551601176785405</v>
      </c>
      <c r="C3115" t="s">
        <v>40</v>
      </c>
      <c r="D3115">
        <v>4.4218890000000002</v>
      </c>
      <c r="E3115">
        <v>0.4985945</v>
      </c>
      <c r="F3115" t="s">
        <v>56</v>
      </c>
      <c r="G3115">
        <v>-307.49340000000001</v>
      </c>
      <c r="H3115" s="1">
        <v>2.7688129999999998E-6</v>
      </c>
      <c r="I3115">
        <v>283.09030000000001</v>
      </c>
      <c r="J3115">
        <v>-265.44170000000003</v>
      </c>
      <c r="K3115">
        <v>1.1212629999999999</v>
      </c>
      <c r="L3115">
        <v>283.61070000000001</v>
      </c>
      <c r="M3115">
        <v>-0.99994369999999999</v>
      </c>
      <c r="N3115">
        <v>-1.0605710000000001E-2</v>
      </c>
      <c r="O3115" s="1">
        <v>-3.7037779999999998E-5</v>
      </c>
      <c r="P3115">
        <v>-0.98793850000000005</v>
      </c>
      <c r="Q3115">
        <v>0.1547058</v>
      </c>
      <c r="R3115">
        <v>-6.6255150000000002E-3</v>
      </c>
      <c r="S3115">
        <v>-3.0495610000000002</v>
      </c>
      <c r="T3115">
        <v>-8.1075670000000002E-2</v>
      </c>
      <c r="U3115">
        <v>-3.7628170000000002E-2</v>
      </c>
      <c r="V3115">
        <v>-6.5508830000000004E-3</v>
      </c>
      <c r="W3115">
        <v>0.1651763</v>
      </c>
      <c r="X3115">
        <v>0.98624230000000002</v>
      </c>
      <c r="Y3115">
        <v>-1.229484E-2</v>
      </c>
      <c r="Z3115">
        <v>-2.2802679999999999E-4</v>
      </c>
      <c r="AA3115">
        <v>0.99992440000000005</v>
      </c>
      <c r="AB3115">
        <v>21</v>
      </c>
      <c r="AC3115">
        <v>-42.051699999999897</v>
      </c>
      <c r="AD3115">
        <v>-1.1212602311869999</v>
      </c>
      <c r="AE3115">
        <v>-0.52039999999999498</v>
      </c>
      <c r="AF3115">
        <v>-0.51847385214046005</v>
      </c>
      <c r="AG3115">
        <v>-1.1212602311869999</v>
      </c>
      <c r="AH3115">
        <v>42.02184793016</v>
      </c>
      <c r="AI3115">
        <v>91.528332433198699</v>
      </c>
      <c r="AJ3115">
        <v>90.706890765290495</v>
      </c>
      <c r="AK3115">
        <v>42.040001702032399</v>
      </c>
      <c r="AL3115">
        <v>80.492523748863803</v>
      </c>
      <c r="AM3115">
        <v>90.380568170924107</v>
      </c>
      <c r="AN3115">
        <v>0.99999999922952898</v>
      </c>
    </row>
    <row r="3116" spans="1:40" x14ac:dyDescent="0.25">
      <c r="A3116" t="str">
        <f>"20190303161936806"</f>
        <v>20190303161936806</v>
      </c>
      <c r="B3116" t="str">
        <f>"1551601176796141"</f>
        <v>1551601176796141</v>
      </c>
      <c r="C3116" t="s">
        <v>40</v>
      </c>
      <c r="D3116">
        <v>4.3431730000000002</v>
      </c>
      <c r="E3116">
        <v>0.49865890000000002</v>
      </c>
      <c r="F3116" t="s">
        <v>56</v>
      </c>
      <c r="G3116">
        <v>-306.2355</v>
      </c>
      <c r="H3116" s="1">
        <v>2.987478E-6</v>
      </c>
      <c r="I3116">
        <v>283.1413</v>
      </c>
      <c r="J3116">
        <v>-265.57650000000001</v>
      </c>
      <c r="K3116">
        <v>1.1212569999999999</v>
      </c>
      <c r="L3116">
        <v>283.61079999999998</v>
      </c>
      <c r="M3116">
        <v>-0.9999439</v>
      </c>
      <c r="N3116">
        <v>-1.0606030000000001E-2</v>
      </c>
      <c r="O3116" s="1">
        <v>5.3559929999999997E-5</v>
      </c>
      <c r="P3116">
        <v>-0.9880198</v>
      </c>
      <c r="Q3116">
        <v>0.15420539999999999</v>
      </c>
      <c r="R3116">
        <v>-6.1857969999999998E-3</v>
      </c>
      <c r="S3116">
        <v>-3.0495299999999999</v>
      </c>
      <c r="T3116">
        <v>-8.381951E-2</v>
      </c>
      <c r="U3116">
        <v>-3.5095210000000002E-2</v>
      </c>
      <c r="V3116">
        <v>-6.20011E-3</v>
      </c>
      <c r="W3116">
        <v>0.1646774</v>
      </c>
      <c r="X3116">
        <v>0.98632799999999998</v>
      </c>
      <c r="Y3116">
        <v>-1.155514E-2</v>
      </c>
      <c r="Z3116">
        <v>-2.209681E-4</v>
      </c>
      <c r="AA3116">
        <v>0.99993319999999997</v>
      </c>
      <c r="AB3116">
        <v>21</v>
      </c>
      <c r="AC3116">
        <v>-40.658999999999899</v>
      </c>
      <c r="AD3116">
        <v>-1.1212540125220001</v>
      </c>
      <c r="AE3116">
        <v>-0.46949999999998199</v>
      </c>
      <c r="AF3116">
        <v>-0.471319427838164</v>
      </c>
      <c r="AG3116">
        <v>-1.1212540125220001</v>
      </c>
      <c r="AH3116">
        <v>40.628081583235897</v>
      </c>
      <c r="AI3116">
        <v>91.580741649646598</v>
      </c>
      <c r="AJ3116">
        <v>90.664648726769002</v>
      </c>
      <c r="AK3116">
        <v>40.646283541029</v>
      </c>
      <c r="AL3116">
        <v>80.521505555477304</v>
      </c>
      <c r="AM3116">
        <v>90.360159558064794</v>
      </c>
      <c r="AN3116">
        <v>1.0000000055093801</v>
      </c>
    </row>
    <row r="3117" spans="1:40" x14ac:dyDescent="0.25">
      <c r="A3117" t="str">
        <f>"20190303161936823"</f>
        <v>20190303161936823</v>
      </c>
      <c r="B3117" t="str">
        <f>"1551601176817613"</f>
        <v>1551601176817613</v>
      </c>
      <c r="C3117" t="s">
        <v>40</v>
      </c>
      <c r="D3117">
        <v>4.3857629999999999</v>
      </c>
      <c r="E3117">
        <v>0.49887140000000002</v>
      </c>
      <c r="F3117" t="s">
        <v>56</v>
      </c>
      <c r="G3117">
        <v>-305.62920000000003</v>
      </c>
      <c r="H3117" s="1">
        <v>3.0922030000000001E-6</v>
      </c>
      <c r="I3117">
        <v>283.17349999999999</v>
      </c>
      <c r="J3117">
        <v>-265.74020000000002</v>
      </c>
      <c r="K3117">
        <v>1.1212549999999999</v>
      </c>
      <c r="L3117">
        <v>283.61099999999999</v>
      </c>
      <c r="M3117">
        <v>-0.99994369999999999</v>
      </c>
      <c r="N3117">
        <v>-1.060665E-2</v>
      </c>
      <c r="O3117">
        <v>1.6376570000000001E-4</v>
      </c>
      <c r="P3117">
        <v>-0.98819199999999996</v>
      </c>
      <c r="Q3117">
        <v>0.15312000000000001</v>
      </c>
      <c r="R3117">
        <v>-5.5479419999999897E-3</v>
      </c>
      <c r="S3117">
        <v>-3.0495299999999999</v>
      </c>
      <c r="T3117">
        <v>-8.5369829999999994E-2</v>
      </c>
      <c r="U3117">
        <v>-3.329468E-2</v>
      </c>
      <c r="V3117">
        <v>-5.6715669999999998E-3</v>
      </c>
      <c r="W3117">
        <v>0.16359409999999999</v>
      </c>
      <c r="X3117">
        <v>0.98651149999999999</v>
      </c>
      <c r="Y3117">
        <v>-1.1075079999999999E-2</v>
      </c>
      <c r="Z3117">
        <v>-2.16586E-4</v>
      </c>
      <c r="AA3117">
        <v>0.99993869999999896</v>
      </c>
      <c r="AB3117">
        <v>21</v>
      </c>
      <c r="AC3117">
        <v>-39.889000000000003</v>
      </c>
      <c r="AD3117">
        <v>-1.12125190779699</v>
      </c>
      <c r="AE3117">
        <v>-0.4375</v>
      </c>
      <c r="AF3117">
        <v>-0.44368228608833299</v>
      </c>
      <c r="AG3117">
        <v>-1.12125190779699</v>
      </c>
      <c r="AH3117">
        <v>39.857438931548501</v>
      </c>
      <c r="AI3117">
        <v>91.611294855969007</v>
      </c>
      <c r="AJ3117">
        <v>90.637774858945605</v>
      </c>
      <c r="AK3117">
        <v>39.875675517711898</v>
      </c>
      <c r="AL3117">
        <v>80.584428031155497</v>
      </c>
      <c r="AM3117">
        <v>90.329396334665105</v>
      </c>
      <c r="AN3117">
        <v>1.0000000679296399</v>
      </c>
    </row>
    <row r="3118" spans="1:40" x14ac:dyDescent="0.25">
      <c r="A3118" t="str">
        <f>"20190303161936844"</f>
        <v>20190303161936844</v>
      </c>
      <c r="B3118" t="str">
        <f>"1551601176836156"</f>
        <v>1551601176836156</v>
      </c>
      <c r="C3118" t="s">
        <v>40</v>
      </c>
      <c r="D3118">
        <v>4.3649820000000004</v>
      </c>
      <c r="E3118">
        <v>0.49909219999999999</v>
      </c>
      <c r="F3118" t="s">
        <v>56</v>
      </c>
      <c r="G3118">
        <v>-304.23320000000001</v>
      </c>
      <c r="H3118" s="1">
        <v>3.3347680000000002E-6</v>
      </c>
      <c r="I3118">
        <v>283.23149999999998</v>
      </c>
      <c r="J3118">
        <v>-265.93509999999998</v>
      </c>
      <c r="K3118">
        <v>1.121251</v>
      </c>
      <c r="L3118">
        <v>283.61110000000002</v>
      </c>
      <c r="M3118">
        <v>-0.99994369999999999</v>
      </c>
      <c r="N3118">
        <v>-1.060767E-2</v>
      </c>
      <c r="O3118">
        <v>2.9495070000000001E-4</v>
      </c>
      <c r="P3118">
        <v>-0.98825980000000002</v>
      </c>
      <c r="Q3118">
        <v>0.152702799999999</v>
      </c>
      <c r="R3118">
        <v>-4.9519459999999996E-3</v>
      </c>
      <c r="S3118">
        <v>-3.0494379999999999</v>
      </c>
      <c r="T3118">
        <v>-8.8826299999999997E-2</v>
      </c>
      <c r="U3118">
        <v>-3.0059809999999999E-2</v>
      </c>
      <c r="V3118">
        <v>-5.2057579999999996E-3</v>
      </c>
      <c r="W3118">
        <v>0.16317870000000001</v>
      </c>
      <c r="X3118">
        <v>0.98658279999999998</v>
      </c>
      <c r="Y3118">
        <v>-1.014605E-2</v>
      </c>
      <c r="Z3118">
        <v>-2.070284E-4</v>
      </c>
      <c r="AA3118">
        <v>0.99994850000000002</v>
      </c>
      <c r="AB3118">
        <v>21</v>
      </c>
      <c r="AC3118">
        <v>-38.298099999999998</v>
      </c>
      <c r="AD3118">
        <v>-1.121247665232</v>
      </c>
      <c r="AE3118">
        <v>-0.37960000000003802</v>
      </c>
      <c r="AF3118">
        <v>-0.39056193942858503</v>
      </c>
      <c r="AG3118">
        <v>-1.121247665232</v>
      </c>
      <c r="AH3118">
        <v>38.265191195615998</v>
      </c>
      <c r="AI3118">
        <v>91.678314855400401</v>
      </c>
      <c r="AJ3118">
        <v>90.584781443430501</v>
      </c>
      <c r="AK3118">
        <v>38.283607356052102</v>
      </c>
      <c r="AL3118">
        <v>80.6085522828851</v>
      </c>
      <c r="AM3118">
        <v>90.302321502548295</v>
      </c>
      <c r="AN3118">
        <v>1.00000000465294</v>
      </c>
    </row>
    <row r="3119" spans="1:40" x14ac:dyDescent="0.25">
      <c r="A3119" t="str">
        <f>"20190303161936857"</f>
        <v>20190303161936857</v>
      </c>
      <c r="B3119" t="str">
        <f>"1551601176845917"</f>
        <v>1551601176845917</v>
      </c>
      <c r="C3119" t="s">
        <v>40</v>
      </c>
      <c r="D3119">
        <v>4.2924290000000003</v>
      </c>
      <c r="E3119">
        <v>0.49917859999999997</v>
      </c>
      <c r="F3119" t="s">
        <v>56</v>
      </c>
      <c r="G3119">
        <v>-303.8999</v>
      </c>
      <c r="H3119" s="1">
        <v>3.3895380000000001E-6</v>
      </c>
      <c r="I3119">
        <v>283.28140000000002</v>
      </c>
      <c r="J3119">
        <v>-266.05169999999998</v>
      </c>
      <c r="K3119">
        <v>1.1212500000000001</v>
      </c>
      <c r="L3119">
        <v>283.61130000000003</v>
      </c>
      <c r="M3119">
        <v>-0.99994369999999999</v>
      </c>
      <c r="N3119">
        <v>-1.060844E-2</v>
      </c>
      <c r="O3119">
        <v>3.7332629999999999E-4</v>
      </c>
      <c r="P3119">
        <v>-0.9883111</v>
      </c>
      <c r="Q3119">
        <v>0.15237600000000001</v>
      </c>
      <c r="R3119">
        <v>-4.758394E-3</v>
      </c>
      <c r="S3119">
        <v>-3.0494080000000001</v>
      </c>
      <c r="T3119">
        <v>-9.0060950000000001E-2</v>
      </c>
      <c r="U3119">
        <v>-2.6489260000000001E-2</v>
      </c>
      <c r="V3119">
        <v>-5.0893659999999997E-3</v>
      </c>
      <c r="W3119">
        <v>0.1628531</v>
      </c>
      <c r="X3119">
        <v>0.98663719999999999</v>
      </c>
      <c r="Y3119">
        <v>-9.0542620000000004E-3</v>
      </c>
      <c r="Z3119">
        <v>-1.887778E-4</v>
      </c>
      <c r="AA3119">
        <v>0.99995900000000004</v>
      </c>
      <c r="AB3119">
        <v>21</v>
      </c>
      <c r="AC3119">
        <v>-37.848199999999999</v>
      </c>
      <c r="AD3119">
        <v>-1.121246610462</v>
      </c>
      <c r="AE3119">
        <v>-0.32990000000000902</v>
      </c>
      <c r="AF3119">
        <v>-0.34372885594671398</v>
      </c>
      <c r="AG3119">
        <v>-1.121246610462</v>
      </c>
      <c r="AH3119">
        <v>37.8148892069892</v>
      </c>
      <c r="AI3119">
        <v>91.698305387930802</v>
      </c>
      <c r="AJ3119">
        <v>90.520791433678099</v>
      </c>
      <c r="AK3119">
        <v>37.833070047575497</v>
      </c>
      <c r="AL3119">
        <v>80.627460666202694</v>
      </c>
      <c r="AM3119">
        <v>90.295545927061298</v>
      </c>
      <c r="AN3119">
        <v>0.99999999912486603</v>
      </c>
    </row>
    <row r="3120" spans="1:40" x14ac:dyDescent="0.25">
      <c r="A3120" t="str">
        <f>"20190303161936871"</f>
        <v>20190303161936871</v>
      </c>
      <c r="B3120" t="str">
        <f>"1551601176855677"</f>
        <v>1551601176855677</v>
      </c>
      <c r="C3120" t="s">
        <v>40</v>
      </c>
      <c r="D3120">
        <v>4.3382750000000003</v>
      </c>
      <c r="E3120">
        <v>0.49923450000000003</v>
      </c>
      <c r="F3120" t="s">
        <v>56</v>
      </c>
      <c r="G3120">
        <v>-303.61869999999999</v>
      </c>
      <c r="H3120" s="1">
        <v>3.4376529999999999E-6</v>
      </c>
      <c r="I3120">
        <v>283.30149999999998</v>
      </c>
      <c r="J3120">
        <v>-266.173</v>
      </c>
      <c r="K3120">
        <v>1.1212470000000001</v>
      </c>
      <c r="L3120">
        <v>283.61149999999998</v>
      </c>
      <c r="M3120">
        <v>-0.99994369999999999</v>
      </c>
      <c r="N3120">
        <v>-1.060929E-2</v>
      </c>
      <c r="O3120">
        <v>4.5468160000000001E-4</v>
      </c>
      <c r="P3120">
        <v>-0.98829540000000005</v>
      </c>
      <c r="Q3120">
        <v>0.1524845</v>
      </c>
      <c r="R3120">
        <v>-4.5659369999999999E-3</v>
      </c>
      <c r="S3120">
        <v>-3.049347</v>
      </c>
      <c r="T3120">
        <v>-9.1012480000000007E-2</v>
      </c>
      <c r="U3120">
        <v>-2.5146479999999999E-2</v>
      </c>
      <c r="V3120">
        <v>-4.9773049999999996E-3</v>
      </c>
      <c r="W3120">
        <v>0.16296229999999901</v>
      </c>
      <c r="X3120">
        <v>0.98661980000000005</v>
      </c>
      <c r="Y3120">
        <v>-8.6955920000000003E-3</v>
      </c>
      <c r="Z3120">
        <v>-1.8462289999999999E-4</v>
      </c>
      <c r="AA3120">
        <v>0.99996220000000002</v>
      </c>
      <c r="AB3120">
        <v>21</v>
      </c>
      <c r="AC3120">
        <v>-37.445699999999903</v>
      </c>
      <c r="AD3120">
        <v>-1.1212435623469901</v>
      </c>
      <c r="AE3120">
        <v>-0.310000000000002</v>
      </c>
      <c r="AF3120">
        <v>-0.32673386791442399</v>
      </c>
      <c r="AG3120">
        <v>-1.1212435623469901</v>
      </c>
      <c r="AH3120">
        <v>37.4120140664592</v>
      </c>
      <c r="AI3120">
        <v>91.7165836657244</v>
      </c>
      <c r="AJ3120">
        <v>90.500373909131</v>
      </c>
      <c r="AK3120">
        <v>37.430238292795998</v>
      </c>
      <c r="AL3120">
        <v>80.621119804386495</v>
      </c>
      <c r="AM3120">
        <v>90.289043611952096</v>
      </c>
      <c r="AN3120">
        <v>1.0000000572691901</v>
      </c>
    </row>
    <row r="3121" spans="1:40" x14ac:dyDescent="0.25">
      <c r="A3121" t="str">
        <f>"20190303161936883"</f>
        <v>20190303161936883</v>
      </c>
      <c r="B3121" t="str">
        <f>"1551601176876172"</f>
        <v>1551601176876172</v>
      </c>
      <c r="C3121" t="s">
        <v>40</v>
      </c>
      <c r="D3121">
        <v>4.2759049999999998</v>
      </c>
      <c r="E3121">
        <v>0.49941609999999997</v>
      </c>
      <c r="F3121" t="s">
        <v>56</v>
      </c>
      <c r="G3121">
        <v>-304.09390000000002</v>
      </c>
      <c r="H3121" s="1">
        <v>3.3522740000000002E-6</v>
      </c>
      <c r="I3121">
        <v>283.31389999999999</v>
      </c>
      <c r="J3121">
        <v>-266.29640000000001</v>
      </c>
      <c r="K3121">
        <v>1.121246</v>
      </c>
      <c r="L3121">
        <v>283.61160000000001</v>
      </c>
      <c r="M3121">
        <v>-0.99994349999999999</v>
      </c>
      <c r="N3121">
        <v>-1.061023E-2</v>
      </c>
      <c r="O3121">
        <v>5.3776490000000002E-4</v>
      </c>
      <c r="P3121">
        <v>-0.98828669999999996</v>
      </c>
      <c r="Q3121">
        <v>0.15255339999999901</v>
      </c>
      <c r="R3121">
        <v>-4.1327680000000002E-3</v>
      </c>
      <c r="S3121">
        <v>-3.0493160000000001</v>
      </c>
      <c r="T3121">
        <v>-9.0162160000000005E-2</v>
      </c>
      <c r="U3121">
        <v>-2.3925780000000001E-2</v>
      </c>
      <c r="V3121">
        <v>-4.6262889999999996E-3</v>
      </c>
      <c r="W3121">
        <v>0.16303139999999999</v>
      </c>
      <c r="X3121">
        <v>0.98661010000000005</v>
      </c>
      <c r="Y3121">
        <v>-8.3787429999999993E-3</v>
      </c>
      <c r="Z3121">
        <v>-1.7849949999999999E-4</v>
      </c>
      <c r="AA3121">
        <v>0.99996490000000005</v>
      </c>
      <c r="AB3121">
        <v>21</v>
      </c>
      <c r="AC3121">
        <v>-37.797499999999999</v>
      </c>
      <c r="AD3121">
        <v>-1.121242647726</v>
      </c>
      <c r="AE3121">
        <v>-0.29770000000002</v>
      </c>
      <c r="AF3121">
        <v>-0.317747676884792</v>
      </c>
      <c r="AG3121">
        <v>-1.121242647726</v>
      </c>
      <c r="AH3121">
        <v>37.764104816659703</v>
      </c>
      <c r="AI3121">
        <v>91.700591938071796</v>
      </c>
      <c r="AJ3121">
        <v>90.482076069765895</v>
      </c>
      <c r="AK3121">
        <v>37.782082542719898</v>
      </c>
      <c r="AL3121">
        <v>80.617107071545107</v>
      </c>
      <c r="AM3121">
        <v>90.268662252515796</v>
      </c>
      <c r="AN3121">
        <v>1.00000006467893</v>
      </c>
    </row>
    <row r="3122" spans="1:40" x14ac:dyDescent="0.25">
      <c r="A3122" t="str">
        <f>"20190303161936900"</f>
        <v>20190303161936900</v>
      </c>
      <c r="B3122" t="str">
        <f>"1551601176885933"</f>
        <v>1551601176885933</v>
      </c>
      <c r="C3122" t="s">
        <v>40</v>
      </c>
      <c r="D3122">
        <v>4.2758900000000004</v>
      </c>
      <c r="E3122">
        <v>0.49952980000000002</v>
      </c>
      <c r="F3122" t="s">
        <v>56</v>
      </c>
      <c r="G3122">
        <v>-304.5924</v>
      </c>
      <c r="H3122" s="1">
        <v>3.2610510000000001E-6</v>
      </c>
      <c r="I3122">
        <v>283.34589999999997</v>
      </c>
      <c r="J3122">
        <v>-266.45249999999999</v>
      </c>
      <c r="K3122">
        <v>1.121245</v>
      </c>
      <c r="L3122">
        <v>283.61180000000002</v>
      </c>
      <c r="M3122">
        <v>-0.99994349999999999</v>
      </c>
      <c r="N3122">
        <v>-1.0611550000000001E-2</v>
      </c>
      <c r="O3122">
        <v>6.4313519999999896E-4</v>
      </c>
      <c r="P3122">
        <v>-0.98825479999999999</v>
      </c>
      <c r="Q3122">
        <v>0.15277370000000001</v>
      </c>
      <c r="R3122">
        <v>-3.565814E-3</v>
      </c>
      <c r="S3122">
        <v>-3.049255</v>
      </c>
      <c r="T3122">
        <v>-8.927715E-2</v>
      </c>
      <c r="U3122">
        <v>-2.114868E-2</v>
      </c>
      <c r="V3122">
        <v>-4.1627390000000004E-3</v>
      </c>
      <c r="W3122">
        <v>0.16325300000000001</v>
      </c>
      <c r="X3122">
        <v>0.98657550000000005</v>
      </c>
      <c r="Y3122">
        <v>-7.5741419999999999E-3</v>
      </c>
      <c r="Z3122">
        <v>-1.6305599999999999E-4</v>
      </c>
      <c r="AA3122">
        <v>0.99997130000000001</v>
      </c>
      <c r="AB3122">
        <v>21</v>
      </c>
      <c r="AC3122">
        <v>-38.139899999999997</v>
      </c>
      <c r="AD3122">
        <v>-1.1212417389489999</v>
      </c>
      <c r="AE3122">
        <v>-0.26590000000004399</v>
      </c>
      <c r="AF3122">
        <v>-0.29017966251804</v>
      </c>
      <c r="AG3122">
        <v>-1.1212417389489999</v>
      </c>
      <c r="AH3122">
        <v>38.106788898574699</v>
      </c>
      <c r="AI3122">
        <v>91.685317253816194</v>
      </c>
      <c r="AJ3122">
        <v>90.436293613035204</v>
      </c>
      <c r="AK3122">
        <v>38.124385207295298</v>
      </c>
      <c r="AL3122">
        <v>80.604237715999304</v>
      </c>
      <c r="AM3122">
        <v>90.2417513515515</v>
      </c>
      <c r="AN3122">
        <v>1.00000004380261</v>
      </c>
    </row>
    <row r="3123" spans="1:40" x14ac:dyDescent="0.25">
      <c r="A3123" t="str">
        <f>"20190303161936913"</f>
        <v>20190303161936913</v>
      </c>
      <c r="B3123" t="str">
        <f>"1551601176906078"</f>
        <v>1551601176906078</v>
      </c>
      <c r="C3123" t="s">
        <v>40</v>
      </c>
      <c r="D3123">
        <v>4.235697</v>
      </c>
      <c r="E3123">
        <v>0.49971110000000002</v>
      </c>
      <c r="F3123" t="s">
        <v>56</v>
      </c>
      <c r="G3123">
        <v>-305.08980000000003</v>
      </c>
      <c r="H3123" s="1">
        <v>3.1705590000000001E-6</v>
      </c>
      <c r="I3123">
        <v>283.37169999999998</v>
      </c>
      <c r="J3123">
        <v>-266.57429999999999</v>
      </c>
      <c r="K3123">
        <v>1.121245</v>
      </c>
      <c r="L3123">
        <v>283.61200000000002</v>
      </c>
      <c r="M3123">
        <v>-0.99994340000000004</v>
      </c>
      <c r="N3123">
        <v>-1.0612659999999999E-2</v>
      </c>
      <c r="O3123">
        <v>7.2520359999999999E-4</v>
      </c>
      <c r="P3123">
        <v>-0.98823030000000001</v>
      </c>
      <c r="Q3123">
        <v>0.15294089999999999</v>
      </c>
      <c r="R3123">
        <v>-3.1261700000000002E-3</v>
      </c>
      <c r="S3123">
        <v>-3.049255</v>
      </c>
      <c r="T3123">
        <v>-8.8488220000000006E-2</v>
      </c>
      <c r="U3123">
        <v>-1.895142E-2</v>
      </c>
      <c r="V3123">
        <v>-3.8046299999999998E-3</v>
      </c>
      <c r="W3123">
        <v>0.16342089999999901</v>
      </c>
      <c r="X3123">
        <v>0.98654909999999996</v>
      </c>
      <c r="Y3123">
        <v>-6.9360940000000003E-3</v>
      </c>
      <c r="Z3123">
        <v>-1.5078150000000001E-4</v>
      </c>
      <c r="AA3123">
        <v>0.99997590000000003</v>
      </c>
      <c r="AB3123">
        <v>21</v>
      </c>
      <c r="AC3123">
        <v>-38.515500000000003</v>
      </c>
      <c r="AD3123">
        <v>-1.121241829441</v>
      </c>
      <c r="AE3123">
        <v>-0.240300000000047</v>
      </c>
      <c r="AF3123">
        <v>-0.26800596989429198</v>
      </c>
      <c r="AG3123">
        <v>-1.121241829441</v>
      </c>
      <c r="AH3123">
        <v>38.482703689144103</v>
      </c>
      <c r="AI3123">
        <v>91.6688717854651</v>
      </c>
      <c r="AJ3123">
        <v>90.399019851419496</v>
      </c>
      <c r="AK3123">
        <v>38.499967450199897</v>
      </c>
      <c r="AL3123">
        <v>80.594486352199397</v>
      </c>
      <c r="AM3123">
        <v>90.220960275497902</v>
      </c>
      <c r="AN3123">
        <v>0.99999999623852798</v>
      </c>
    </row>
    <row r="3124" spans="1:40" x14ac:dyDescent="0.25">
      <c r="A3124" t="str">
        <f>"20190303161936926"</f>
        <v>20190303161936926</v>
      </c>
      <c r="B3124" t="str">
        <f>"1551601176915838"</f>
        <v>1551601176915838</v>
      </c>
      <c r="C3124" t="s">
        <v>40</v>
      </c>
      <c r="D3124">
        <v>4.232145</v>
      </c>
      <c r="E3124">
        <v>0.49980659999999999</v>
      </c>
      <c r="F3124" t="s">
        <v>56</v>
      </c>
      <c r="G3124">
        <v>-305.82389999999998</v>
      </c>
      <c r="H3124" s="1">
        <v>3.0377519999999999E-6</v>
      </c>
      <c r="I3124">
        <v>283.40140000000002</v>
      </c>
      <c r="J3124">
        <v>-266.69499999999999</v>
      </c>
      <c r="K3124">
        <v>1.1212470000000001</v>
      </c>
      <c r="L3124">
        <v>283.61219999999997</v>
      </c>
      <c r="M3124">
        <v>-0.99994340000000004</v>
      </c>
      <c r="N3124">
        <v>-1.061381E-2</v>
      </c>
      <c r="O3124">
        <v>8.0637850000000002E-4</v>
      </c>
      <c r="P3124">
        <v>-0.98821329999999996</v>
      </c>
      <c r="Q3124">
        <v>0.15306029999999901</v>
      </c>
      <c r="R3124">
        <v>-2.6545309999999999E-3</v>
      </c>
      <c r="S3124">
        <v>-3.0491640000000002</v>
      </c>
      <c r="T3124">
        <v>-8.7105509999999997E-2</v>
      </c>
      <c r="U3124">
        <v>-1.6357420000000001E-2</v>
      </c>
      <c r="V3124">
        <v>-3.412698E-3</v>
      </c>
      <c r="W3124">
        <v>0.163541299999999</v>
      </c>
      <c r="X3124">
        <v>0.98653060000000004</v>
      </c>
      <c r="Y3124">
        <v>-6.1673140000000001E-3</v>
      </c>
      <c r="Z3124">
        <v>-1.352851E-4</v>
      </c>
      <c r="AA3124">
        <v>0.99998100000000001</v>
      </c>
      <c r="AB3124">
        <v>21</v>
      </c>
      <c r="AC3124">
        <v>-39.128899999999902</v>
      </c>
      <c r="AD3124">
        <v>-1.1212439622479999</v>
      </c>
      <c r="AE3124">
        <v>-0.210799999999949</v>
      </c>
      <c r="AF3124">
        <v>-0.24215557861709699</v>
      </c>
      <c r="AG3124">
        <v>-1.1212439622479999</v>
      </c>
      <c r="AH3124">
        <v>39.0966153253447</v>
      </c>
      <c r="AI3124">
        <v>91.642692370709696</v>
      </c>
      <c r="AJ3124">
        <v>90.354872540943404</v>
      </c>
      <c r="AK3124">
        <v>39.113439598750602</v>
      </c>
      <c r="AL3124">
        <v>80.587494035610504</v>
      </c>
      <c r="AM3124">
        <v>90.198202075227698</v>
      </c>
      <c r="AN3124">
        <v>1.00000001402484</v>
      </c>
    </row>
    <row r="3125" spans="1:40" x14ac:dyDescent="0.25">
      <c r="A3125" t="str">
        <f>"20190303161936941"</f>
        <v>20190303161936941</v>
      </c>
      <c r="B3125" t="str">
        <f>"1551601176935358"</f>
        <v>1551601176935358</v>
      </c>
      <c r="C3125" t="s">
        <v>40</v>
      </c>
      <c r="D3125">
        <v>4.2004239999999999</v>
      </c>
      <c r="E3125">
        <v>0.50003829999999905</v>
      </c>
      <c r="F3125" t="s">
        <v>56</v>
      </c>
      <c r="G3125">
        <v>-306.38929999999999</v>
      </c>
      <c r="H3125" s="1">
        <v>2.9349360000000002E-6</v>
      </c>
      <c r="I3125">
        <v>283.43020000000001</v>
      </c>
      <c r="J3125">
        <v>-266.83699999999999</v>
      </c>
      <c r="K3125">
        <v>1.121251</v>
      </c>
      <c r="L3125">
        <v>283.61239999999998</v>
      </c>
      <c r="M3125">
        <v>-0.99994340000000004</v>
      </c>
      <c r="N3125">
        <v>-1.061526E-2</v>
      </c>
      <c r="O3125">
        <v>9.017974E-4</v>
      </c>
      <c r="P3125">
        <v>-0.98821610000000004</v>
      </c>
      <c r="Q3125">
        <v>0.1530463</v>
      </c>
      <c r="R3125">
        <v>-2.461993E-3</v>
      </c>
      <c r="S3125">
        <v>-3.049042</v>
      </c>
      <c r="T3125">
        <v>-8.6126209999999995E-2</v>
      </c>
      <c r="U3125">
        <v>-1.397705E-2</v>
      </c>
      <c r="V3125">
        <v>-3.3148589999999999E-3</v>
      </c>
      <c r="W3125">
        <v>0.1635287</v>
      </c>
      <c r="X3125">
        <v>0.98653299999999999</v>
      </c>
      <c r="Y3125">
        <v>-5.48272E-3</v>
      </c>
      <c r="Z3125">
        <v>-1.224245E-4</v>
      </c>
      <c r="AA3125">
        <v>0.99998500000000001</v>
      </c>
      <c r="AB3125">
        <v>21</v>
      </c>
      <c r="AC3125">
        <v>-39.552300000000002</v>
      </c>
      <c r="AD3125">
        <v>-1.121248065064</v>
      </c>
      <c r="AE3125">
        <v>-0.182199999999966</v>
      </c>
      <c r="AF3125">
        <v>-0.2176951474719</v>
      </c>
      <c r="AG3125">
        <v>-1.121248065064</v>
      </c>
      <c r="AH3125">
        <v>39.5203602487111</v>
      </c>
      <c r="AI3125">
        <v>91.625101058395202</v>
      </c>
      <c r="AJ3125">
        <v>90.315606612364405</v>
      </c>
      <c r="AK3125">
        <v>39.536862073115302</v>
      </c>
      <c r="AL3125">
        <v>80.5882256052749</v>
      </c>
      <c r="AM3125">
        <v>90.192519374014097</v>
      </c>
      <c r="AN3125">
        <v>0.99999999205143997</v>
      </c>
    </row>
    <row r="3126" spans="1:40" x14ac:dyDescent="0.25">
      <c r="A3126" t="str">
        <f>"20190303161936957"</f>
        <v>20190303161936957</v>
      </c>
      <c r="B3126" t="str">
        <f>"1551601176946093"</f>
        <v>1551601176946093</v>
      </c>
      <c r="C3126" t="s">
        <v>40</v>
      </c>
      <c r="D3126">
        <v>4.2153090000000004</v>
      </c>
      <c r="E3126">
        <v>0.50013419999999997</v>
      </c>
      <c r="F3126" t="s">
        <v>56</v>
      </c>
      <c r="G3126">
        <v>-307.00279999999998</v>
      </c>
      <c r="H3126" s="1">
        <v>2.8231149999999999E-6</v>
      </c>
      <c r="I3126">
        <v>283.46440000000001</v>
      </c>
      <c r="J3126">
        <v>-266.98419999999999</v>
      </c>
      <c r="K3126">
        <v>1.1212489999999999</v>
      </c>
      <c r="L3126">
        <v>283.61259999999999</v>
      </c>
      <c r="M3126">
        <v>-0.99994309999999997</v>
      </c>
      <c r="N3126">
        <v>-1.0616810000000001E-2</v>
      </c>
      <c r="O3126">
        <v>1.0006730000000001E-3</v>
      </c>
      <c r="P3126">
        <v>-0.98818980000000001</v>
      </c>
      <c r="Q3126">
        <v>0.15321969999999999</v>
      </c>
      <c r="R3126">
        <v>-2.1887019999999998E-3</v>
      </c>
      <c r="S3126">
        <v>-3.0489199999999999</v>
      </c>
      <c r="T3126">
        <v>-8.5111980000000004E-2</v>
      </c>
      <c r="U3126">
        <v>-1.1230469999999999E-2</v>
      </c>
      <c r="V3126">
        <v>-3.1388309999999999E-3</v>
      </c>
      <c r="W3126">
        <v>0.16370319999999999</v>
      </c>
      <c r="X3126">
        <v>0.98650470000000001</v>
      </c>
      <c r="Y3126">
        <v>-4.6814550000000002E-3</v>
      </c>
      <c r="Z3126">
        <v>-1.074938E-4</v>
      </c>
      <c r="AA3126">
        <v>0.99998900000000002</v>
      </c>
      <c r="AB3126">
        <v>21</v>
      </c>
      <c r="AC3126">
        <v>-40.0185999999999</v>
      </c>
      <c r="AD3126">
        <v>-1.1212461768849999</v>
      </c>
      <c r="AE3126">
        <v>-0.14819999999997399</v>
      </c>
      <c r="AF3126">
        <v>-0.188100057563025</v>
      </c>
      <c r="AG3126">
        <v>-1.1212461768849999</v>
      </c>
      <c r="AH3126">
        <v>39.987041641024597</v>
      </c>
      <c r="AI3126">
        <v>91.606148686848698</v>
      </c>
      <c r="AJ3126">
        <v>90.269518811349002</v>
      </c>
      <c r="AK3126">
        <v>40.003200794709798</v>
      </c>
      <c r="AL3126">
        <v>80.578091530831998</v>
      </c>
      <c r="AM3126">
        <v>90.182301373751997</v>
      </c>
      <c r="AN3126">
        <v>1.00000005653618</v>
      </c>
    </row>
    <row r="3127" spans="1:40" x14ac:dyDescent="0.25">
      <c r="A3127" t="str">
        <f>"20190303161936980"</f>
        <v>20190303161936980</v>
      </c>
      <c r="B3127" t="str">
        <f>"1551601176965614"</f>
        <v>1551601176965614</v>
      </c>
      <c r="C3127" t="s">
        <v>40</v>
      </c>
      <c r="D3127">
        <v>4.1724589999999999</v>
      </c>
      <c r="E3127">
        <v>0.50028450000000002</v>
      </c>
      <c r="F3127" t="s">
        <v>56</v>
      </c>
      <c r="G3127">
        <v>-307.65629999999999</v>
      </c>
      <c r="H3127" s="1">
        <v>2.7053179999999998E-6</v>
      </c>
      <c r="I3127">
        <v>283.48599999999999</v>
      </c>
      <c r="J3127">
        <v>-267.19229999999999</v>
      </c>
      <c r="K3127">
        <v>1.121251</v>
      </c>
      <c r="L3127">
        <v>283.613</v>
      </c>
      <c r="M3127">
        <v>-0.99994300000000003</v>
      </c>
      <c r="N3127">
        <v>-1.0619119999999999E-2</v>
      </c>
      <c r="O3127">
        <v>1.140194E-3</v>
      </c>
      <c r="P3127">
        <v>-0.98821499999999995</v>
      </c>
      <c r="Q3127">
        <v>0.15305659999999999</v>
      </c>
      <c r="R3127">
        <v>-2.1718779999999999E-3</v>
      </c>
      <c r="S3127">
        <v>-3.0488590000000002</v>
      </c>
      <c r="T3127">
        <v>-8.4050769999999997E-2</v>
      </c>
      <c r="U3127">
        <v>-9.4909669999999995E-3</v>
      </c>
      <c r="V3127">
        <v>-3.259812E-3</v>
      </c>
      <c r="W3127">
        <v>0.16354279999999999</v>
      </c>
      <c r="X3127">
        <v>0.98653080000000004</v>
      </c>
      <c r="Y3127">
        <v>-4.2507919999999998E-3</v>
      </c>
      <c r="Z3127">
        <v>-1.00478E-4</v>
      </c>
      <c r="AA3127">
        <v>0.99999090000000002</v>
      </c>
      <c r="AB3127">
        <v>21</v>
      </c>
      <c r="AC3127">
        <v>-40.463999999999999</v>
      </c>
      <c r="AD3127">
        <v>-1.1212482946819999</v>
      </c>
      <c r="AE3127">
        <v>-0.12700000000000899</v>
      </c>
      <c r="AF3127">
        <v>-0.173006488870874</v>
      </c>
      <c r="AG3127">
        <v>-1.1212482946819999</v>
      </c>
      <c r="AH3127">
        <v>40.432783619682702</v>
      </c>
      <c r="AI3127">
        <v>91.588457220287694</v>
      </c>
      <c r="AJ3127">
        <v>90.245159503222197</v>
      </c>
      <c r="AK3127">
        <v>40.448697385943099</v>
      </c>
      <c r="AL3127">
        <v>80.587406278407499</v>
      </c>
      <c r="AM3127">
        <v>90.189322816730296</v>
      </c>
      <c r="AN3127">
        <v>0.99999994657737601</v>
      </c>
    </row>
    <row r="3128" spans="1:40" x14ac:dyDescent="0.25">
      <c r="A3128" t="str">
        <f>"20190303161937001"</f>
        <v>20190303161937001</v>
      </c>
      <c r="B3128" t="str">
        <f>"1551601176995871"</f>
        <v>1551601176995871</v>
      </c>
      <c r="C3128" t="s">
        <v>40</v>
      </c>
      <c r="D3128">
        <v>4.2206239999999999</v>
      </c>
      <c r="E3128">
        <v>0.50058599999999998</v>
      </c>
      <c r="F3128" t="s">
        <v>56</v>
      </c>
      <c r="G3128">
        <v>-308.14920000000001</v>
      </c>
      <c r="H3128" s="1">
        <v>2.6165689999999999E-6</v>
      </c>
      <c r="I3128">
        <v>283.50110000000001</v>
      </c>
      <c r="J3128">
        <v>-267.3956</v>
      </c>
      <c r="K3128">
        <v>1.1212519999999999</v>
      </c>
      <c r="L3128">
        <v>283.61340000000001</v>
      </c>
      <c r="M3128">
        <v>-0.99994300000000003</v>
      </c>
      <c r="N3128">
        <v>-1.0621500000000001E-2</v>
      </c>
      <c r="O3128">
        <v>1.276318E-3</v>
      </c>
      <c r="P3128">
        <v>-0.98814970000000002</v>
      </c>
      <c r="Q3128">
        <v>0.1534828</v>
      </c>
      <c r="R3128">
        <v>-1.879124E-3</v>
      </c>
      <c r="S3128">
        <v>-3.048645</v>
      </c>
      <c r="T3128">
        <v>-8.3460690000000004E-2</v>
      </c>
      <c r="U3128">
        <v>-8.3312990000000003E-3</v>
      </c>
      <c r="V3128">
        <v>-3.1015299999999999E-3</v>
      </c>
      <c r="W3128">
        <v>0.163970799999999</v>
      </c>
      <c r="X3128">
        <v>0.98646029999999996</v>
      </c>
      <c r="Y3128">
        <v>-4.0068969999999997E-3</v>
      </c>
      <c r="Z3128" s="1">
        <v>-9.7501559999999999E-5</v>
      </c>
      <c r="AA3128">
        <v>0.99999199999999999</v>
      </c>
      <c r="AB3128">
        <v>21</v>
      </c>
      <c r="AC3128">
        <v>-40.753599999999999</v>
      </c>
      <c r="AD3128">
        <v>-1.121249383431</v>
      </c>
      <c r="AE3128">
        <v>-0.11230000000000399</v>
      </c>
      <c r="AF3128">
        <v>-0.16419309785873701</v>
      </c>
      <c r="AG3128">
        <v>-1.121249383431</v>
      </c>
      <c r="AH3128">
        <v>40.722598352319601</v>
      </c>
      <c r="AI3128">
        <v>91.577161360186494</v>
      </c>
      <c r="AJ3128">
        <v>90.231014742039406</v>
      </c>
      <c r="AK3128">
        <v>40.738362462396204</v>
      </c>
      <c r="AL3128">
        <v>80.562548464348595</v>
      </c>
      <c r="AM3128">
        <v>90.180143076693895</v>
      </c>
      <c r="AN3128">
        <v>0.999999983108535</v>
      </c>
    </row>
    <row r="3129" spans="1:40" x14ac:dyDescent="0.25">
      <c r="A3129" t="str">
        <f>"20190303161937016"</f>
        <v>20190303161937016</v>
      </c>
      <c r="B3129" t="str">
        <f>"1551601177005630"</f>
        <v>1551601177005630</v>
      </c>
      <c r="C3129" t="s">
        <v>40</v>
      </c>
      <c r="D3129">
        <v>4.1606350000000001</v>
      </c>
      <c r="E3129">
        <v>0.50068780000000002</v>
      </c>
      <c r="F3129" t="s">
        <v>56</v>
      </c>
      <c r="G3129">
        <v>-309.93740000000003</v>
      </c>
      <c r="H3129" s="1">
        <v>2.2950960000000002E-6</v>
      </c>
      <c r="I3129">
        <v>283.55</v>
      </c>
      <c r="J3129">
        <v>-267.52530000000002</v>
      </c>
      <c r="K3129">
        <v>1.121254</v>
      </c>
      <c r="L3129">
        <v>283.61369999999999</v>
      </c>
      <c r="M3129">
        <v>-0.99994269999999996</v>
      </c>
      <c r="N3129">
        <v>-1.062306E-2</v>
      </c>
      <c r="O3129">
        <v>1.363211E-3</v>
      </c>
      <c r="P3129">
        <v>-0.98813249999999997</v>
      </c>
      <c r="Q3129">
        <v>0.15358849999999999</v>
      </c>
      <c r="R3129">
        <v>-2.1256980000000001E-3</v>
      </c>
      <c r="S3129">
        <v>-3.0484619999999998</v>
      </c>
      <c r="T3129">
        <v>-8.0346580000000001E-2</v>
      </c>
      <c r="U3129">
        <v>-4.5471189999999996E-3</v>
      </c>
      <c r="V3129">
        <v>-3.4340270000000001E-3</v>
      </c>
      <c r="W3129">
        <v>0.16407759999999999</v>
      </c>
      <c r="X3129">
        <v>0.98644140000000002</v>
      </c>
      <c r="Y3129">
        <v>-2.8533349999999998E-3</v>
      </c>
      <c r="Z3129" s="1">
        <v>-7.4197769999999994E-5</v>
      </c>
      <c r="AA3129">
        <v>0.99999590000000005</v>
      </c>
      <c r="AB3129">
        <v>21</v>
      </c>
      <c r="AC3129">
        <v>-42.412100000000002</v>
      </c>
      <c r="AD3129">
        <v>-1.1212517049040001</v>
      </c>
      <c r="AE3129">
        <v>-6.3699999999982895E-2</v>
      </c>
      <c r="AF3129">
        <v>-0.12143496842821699</v>
      </c>
      <c r="AG3129">
        <v>-1.1212517049040001</v>
      </c>
      <c r="AH3129">
        <v>42.382351993132801</v>
      </c>
      <c r="AI3129">
        <v>91.515436079482598</v>
      </c>
      <c r="AJ3129">
        <v>90.164164842424299</v>
      </c>
      <c r="AK3129">
        <v>42.397355015461898</v>
      </c>
      <c r="AL3129">
        <v>80.556344883265595</v>
      </c>
      <c r="AM3129">
        <v>90.199458841668303</v>
      </c>
      <c r="AN3129">
        <v>0.99999994349857602</v>
      </c>
    </row>
    <row r="3130" spans="1:40" x14ac:dyDescent="0.25">
      <c r="A3130" t="str">
        <f>"20190303161937031"</f>
        <v>20190303161937031</v>
      </c>
      <c r="B3130" t="str">
        <f>"1551601177026126"</f>
        <v>1551601177026126</v>
      </c>
      <c r="C3130" t="s">
        <v>40</v>
      </c>
      <c r="D3130">
        <v>4.2008260000000002</v>
      </c>
      <c r="E3130">
        <v>0.50088880000000002</v>
      </c>
      <c r="F3130" t="s">
        <v>56</v>
      </c>
      <c r="G3130">
        <v>-310.63</v>
      </c>
      <c r="H3130" s="1">
        <v>2.589378E-6</v>
      </c>
      <c r="I3130">
        <v>283.55239999999998</v>
      </c>
      <c r="J3130">
        <v>-267.666</v>
      </c>
      <c r="K3130">
        <v>1.1212549999999999</v>
      </c>
      <c r="L3130">
        <v>283.61399999999998</v>
      </c>
      <c r="M3130">
        <v>-0.99994269999999996</v>
      </c>
      <c r="N3130">
        <v>-1.062479E-2</v>
      </c>
      <c r="O3130">
        <v>1.456716E-3</v>
      </c>
      <c r="P3130">
        <v>-0.98807149999999999</v>
      </c>
      <c r="Q3130">
        <v>0.1539799</v>
      </c>
      <c r="R3130">
        <v>-2.2983439999999999E-3</v>
      </c>
      <c r="S3130">
        <v>-3.04834</v>
      </c>
      <c r="T3130">
        <v>-7.9294320000000001E-2</v>
      </c>
      <c r="U3130">
        <v>-4.333496E-3</v>
      </c>
      <c r="V3130">
        <v>-3.6986010000000001E-3</v>
      </c>
      <c r="W3130">
        <v>0.16447039999999999</v>
      </c>
      <c r="X3130">
        <v>0.98637509999999995</v>
      </c>
      <c r="Y3130">
        <v>-2.876843E-3</v>
      </c>
      <c r="Z3130" s="1">
        <v>-7.510723E-5</v>
      </c>
      <c r="AA3130">
        <v>0.99999590000000005</v>
      </c>
      <c r="AB3130">
        <v>21</v>
      </c>
      <c r="AC3130">
        <v>-42.963999999999999</v>
      </c>
      <c r="AD3130">
        <v>-1.1212524106220001</v>
      </c>
      <c r="AE3130">
        <v>-6.1600000000055298E-2</v>
      </c>
      <c r="AF3130">
        <v>-0.124105275546764</v>
      </c>
      <c r="AG3130">
        <v>-1.1212524106220001</v>
      </c>
      <c r="AH3130">
        <v>42.934622869415897</v>
      </c>
      <c r="AI3130">
        <v>91.495952673043902</v>
      </c>
      <c r="AJ3130">
        <v>90.165616656787407</v>
      </c>
      <c r="AK3130">
        <v>42.949440625306401</v>
      </c>
      <c r="AL3130">
        <v>80.533529825200304</v>
      </c>
      <c r="AM3130">
        <v>90.214840413375597</v>
      </c>
      <c r="AN3130">
        <v>1.0000000150127599</v>
      </c>
    </row>
    <row r="3131" spans="1:40" x14ac:dyDescent="0.25">
      <c r="A3131" t="str">
        <f>"20190303161937046"</f>
        <v>20190303161937046</v>
      </c>
      <c r="B3131" t="str">
        <f>"1551601177035886"</f>
        <v>1551601177035886</v>
      </c>
      <c r="C3131" t="s">
        <v>40</v>
      </c>
      <c r="D3131">
        <v>4.1380309999999998</v>
      </c>
      <c r="E3131">
        <v>0.50093959999999904</v>
      </c>
      <c r="F3131" t="s">
        <v>56</v>
      </c>
      <c r="G3131">
        <v>-312.07929999999999</v>
      </c>
      <c r="H3131" s="1">
        <v>3.23072E-6</v>
      </c>
      <c r="I3131">
        <v>283.56810000000002</v>
      </c>
      <c r="J3131">
        <v>-267.80650000000003</v>
      </c>
      <c r="K3131">
        <v>1.1212580000000001</v>
      </c>
      <c r="L3131">
        <v>283.61430000000001</v>
      </c>
      <c r="M3131">
        <v>-0.99994240000000001</v>
      </c>
      <c r="N3131">
        <v>-1.062653E-2</v>
      </c>
      <c r="O3131">
        <v>1.5493219999999999E-3</v>
      </c>
      <c r="P3131">
        <v>-0.98802489999999998</v>
      </c>
      <c r="Q3131">
        <v>0.1542753</v>
      </c>
      <c r="R3131">
        <v>-2.4316670000000002E-3</v>
      </c>
      <c r="S3131">
        <v>-3.048279</v>
      </c>
      <c r="T3131">
        <v>-7.695639E-2</v>
      </c>
      <c r="U3131">
        <v>-3.1433110000000002E-3</v>
      </c>
      <c r="V3131">
        <v>-3.9236970000000003E-3</v>
      </c>
      <c r="W3131">
        <v>0.16476669999999999</v>
      </c>
      <c r="X3131">
        <v>0.9863248</v>
      </c>
      <c r="Y3131">
        <v>-2.579249E-3</v>
      </c>
      <c r="Z3131" s="1">
        <v>-6.8905039999999994E-5</v>
      </c>
      <c r="AA3131">
        <v>0.99999669999999896</v>
      </c>
      <c r="AB3131">
        <v>21</v>
      </c>
      <c r="AC3131">
        <v>-44.272799999999897</v>
      </c>
      <c r="AD3131">
        <v>-1.1212547692799999</v>
      </c>
      <c r="AE3131">
        <v>-4.6199999999998902E-2</v>
      </c>
      <c r="AF3131">
        <v>-0.114723052174575</v>
      </c>
      <c r="AG3131">
        <v>-1.1212547692799999</v>
      </c>
      <c r="AH3131">
        <v>44.244296643472403</v>
      </c>
      <c r="AI3131">
        <v>91.451694507804405</v>
      </c>
      <c r="AJ3131">
        <v>90.148564503675203</v>
      </c>
      <c r="AK3131">
        <v>44.258650669806002</v>
      </c>
      <c r="AL3131">
        <v>80.516318474479604</v>
      </c>
      <c r="AM3131">
        <v>90.2279270401595</v>
      </c>
      <c r="AN3131">
        <v>1.0000000359610299</v>
      </c>
    </row>
    <row r="3132" spans="1:40" x14ac:dyDescent="0.25">
      <c r="A3132" t="str">
        <f>"20190303161937070"</f>
        <v>20190303161937070</v>
      </c>
      <c r="B3132" t="str">
        <f>"1551601177055406"</f>
        <v>1551601177055406</v>
      </c>
      <c r="C3132" t="s">
        <v>40</v>
      </c>
      <c r="D3132">
        <v>4.1423459999999999</v>
      </c>
      <c r="E3132">
        <v>0.50104150000000003</v>
      </c>
      <c r="F3132" t="s">
        <v>56</v>
      </c>
      <c r="G3132">
        <v>-313.12400000000002</v>
      </c>
      <c r="H3132" s="1">
        <v>3.6941489999999998E-6</v>
      </c>
      <c r="I3132">
        <v>283.56619999999998</v>
      </c>
      <c r="J3132">
        <v>-268.0258</v>
      </c>
      <c r="K3132">
        <v>1.1212569999999999</v>
      </c>
      <c r="L3132">
        <v>283.6148</v>
      </c>
      <c r="M3132">
        <v>-0.9999422</v>
      </c>
      <c r="N3132">
        <v>-1.0629329999999999E-2</v>
      </c>
      <c r="O3132">
        <v>1.6899409999999999E-3</v>
      </c>
      <c r="P3132">
        <v>-0.98792899999999995</v>
      </c>
      <c r="Q3132">
        <v>0.15488499999999999</v>
      </c>
      <c r="R3132">
        <v>-2.7010910000000001E-3</v>
      </c>
      <c r="S3132">
        <v>-3.0481259999999999</v>
      </c>
      <c r="T3132">
        <v>-7.5417399999999996E-2</v>
      </c>
      <c r="U3132">
        <v>-3.2348630000000001E-3</v>
      </c>
      <c r="V3132">
        <v>-4.332893E-3</v>
      </c>
      <c r="W3132">
        <v>0.1653781</v>
      </c>
      <c r="X3132">
        <v>0.98622069999999995</v>
      </c>
      <c r="Y3132">
        <v>-2.7499249999999999E-3</v>
      </c>
      <c r="Z3132" s="1">
        <v>-7.2477550000000002E-5</v>
      </c>
      <c r="AA3132">
        <v>0.9999962</v>
      </c>
      <c r="AB3132">
        <v>21</v>
      </c>
      <c r="AC3132">
        <v>-45.098199999999999</v>
      </c>
      <c r="AD3132">
        <v>-1.1212533058509999</v>
      </c>
      <c r="AE3132">
        <v>-4.8600000000021702E-2</v>
      </c>
      <c r="AF3132">
        <v>-0.124740416991781</v>
      </c>
      <c r="AG3132">
        <v>-1.1212533058509999</v>
      </c>
      <c r="AH3132">
        <v>45.070193660103001</v>
      </c>
      <c r="AI3132">
        <v>91.4251012120491</v>
      </c>
      <c r="AJ3132">
        <v>90.158576668942302</v>
      </c>
      <c r="AK3132">
        <v>45.084311303453397</v>
      </c>
      <c r="AL3132">
        <v>80.480800039337495</v>
      </c>
      <c r="AM3132">
        <v>90.251723457739402</v>
      </c>
      <c r="AN3132">
        <v>0.99999997951492403</v>
      </c>
    </row>
    <row r="3133" spans="1:40" x14ac:dyDescent="0.25">
      <c r="A3133" t="str">
        <f>"20190303161937081"</f>
        <v>20190303161937081</v>
      </c>
      <c r="B3133" t="str">
        <f>"1551601177075901"</f>
        <v>1551601177075901</v>
      </c>
      <c r="C3133" t="s">
        <v>40</v>
      </c>
      <c r="D3133">
        <v>4.1584969999999997</v>
      </c>
      <c r="E3133">
        <v>0.50117420000000001</v>
      </c>
      <c r="F3133" t="s">
        <v>56</v>
      </c>
      <c r="G3133">
        <v>-315.19439999999997</v>
      </c>
      <c r="H3133" s="1">
        <v>4.61206E-6</v>
      </c>
      <c r="I3133">
        <v>283.56900000000002</v>
      </c>
      <c r="J3133">
        <v>-268.14780000000002</v>
      </c>
      <c r="K3133">
        <v>1.121259</v>
      </c>
      <c r="L3133">
        <v>283.61509999999998</v>
      </c>
      <c r="M3133">
        <v>-0.99994190000000005</v>
      </c>
      <c r="N3133">
        <v>-1.063089E-2</v>
      </c>
      <c r="O3133">
        <v>1.7665599999999999E-3</v>
      </c>
      <c r="P3133">
        <v>-0.9879038</v>
      </c>
      <c r="Q3133">
        <v>0.15504899999999999</v>
      </c>
      <c r="R3133">
        <v>-2.4372370000000001E-3</v>
      </c>
      <c r="S3133">
        <v>-3.0480040000000002</v>
      </c>
      <c r="T3133">
        <v>-7.2454569999999996E-2</v>
      </c>
      <c r="U3133">
        <v>-2.960205E-3</v>
      </c>
      <c r="V3133">
        <v>-4.1456100000000001E-3</v>
      </c>
      <c r="W3133">
        <v>0.16554360000000001</v>
      </c>
      <c r="X3133">
        <v>0.98619380000000001</v>
      </c>
      <c r="Y3133">
        <v>-2.7365800000000002E-3</v>
      </c>
      <c r="Z3133" s="1">
        <v>-7.0278809999999996E-5</v>
      </c>
      <c r="AA3133">
        <v>0.9999962</v>
      </c>
      <c r="AB3133">
        <v>21</v>
      </c>
      <c r="AC3133">
        <v>-47.046599999999899</v>
      </c>
      <c r="AD3133">
        <v>-1.1212543879400001</v>
      </c>
      <c r="AE3133">
        <v>-4.6099999999967098E-2</v>
      </c>
      <c r="AF3133">
        <v>-0.129141915931066</v>
      </c>
      <c r="AG3133">
        <v>-1.1212543879400001</v>
      </c>
      <c r="AH3133">
        <v>47.019737738663302</v>
      </c>
      <c r="AI3133">
        <v>91.366037581084001</v>
      </c>
      <c r="AJ3133">
        <v>90.157365151135807</v>
      </c>
      <c r="AK3133">
        <v>47.033282110114399</v>
      </c>
      <c r="AL3133">
        <v>80.471185643460103</v>
      </c>
      <c r="AM3133">
        <v>90.240849777643305</v>
      </c>
      <c r="AN3133">
        <v>1.00000004037083</v>
      </c>
    </row>
    <row r="3134" spans="1:40" x14ac:dyDescent="0.25">
      <c r="A3134" t="str">
        <f>"20190303161937095"</f>
        <v>20190303161937095</v>
      </c>
      <c r="B3134" t="str">
        <f>"1551601177085662"</f>
        <v>1551601177085662</v>
      </c>
      <c r="C3134" t="s">
        <v>40</v>
      </c>
      <c r="D3134">
        <v>4.1741890000000001</v>
      </c>
      <c r="E3134">
        <v>0.50124820000000003</v>
      </c>
      <c r="F3134" t="s">
        <v>56</v>
      </c>
      <c r="G3134">
        <v>-316.08199999999999</v>
      </c>
      <c r="H3134" s="1">
        <v>5.0033099999999999E-6</v>
      </c>
      <c r="I3134">
        <v>283.59589999999997</v>
      </c>
      <c r="J3134">
        <v>-268.26589999999999</v>
      </c>
      <c r="K3134">
        <v>1.121264</v>
      </c>
      <c r="L3134">
        <v>283.61540000000002</v>
      </c>
      <c r="M3134">
        <v>-0.99994179999999999</v>
      </c>
      <c r="N3134">
        <v>-1.063244E-2</v>
      </c>
      <c r="O3134">
        <v>1.8384040000000001E-3</v>
      </c>
      <c r="P3134">
        <v>-0.98789879999999997</v>
      </c>
      <c r="Q3134">
        <v>0.15508449999999999</v>
      </c>
      <c r="R3134">
        <v>-2.1800560000000001E-3</v>
      </c>
      <c r="S3134">
        <v>-3.0479129999999999</v>
      </c>
      <c r="T3134">
        <v>-7.1295259999999999E-2</v>
      </c>
      <c r="U3134">
        <v>-1.2207030000000001E-3</v>
      </c>
      <c r="V3134">
        <v>-3.9603059999999898E-3</v>
      </c>
      <c r="W3134">
        <v>0.16558030000000001</v>
      </c>
      <c r="X3134">
        <v>0.98618839999999997</v>
      </c>
      <c r="Y3134">
        <v>-2.2379729999999999E-3</v>
      </c>
      <c r="Z3134" s="1">
        <v>-6.1522779999999998E-5</v>
      </c>
      <c r="AA3134">
        <v>0.99999749999999998</v>
      </c>
      <c r="AB3134">
        <v>21</v>
      </c>
      <c r="AC3134">
        <v>-47.816099999999999</v>
      </c>
      <c r="AD3134">
        <v>-1.12125899669</v>
      </c>
      <c r="AE3134">
        <v>-1.9500000000050401E-2</v>
      </c>
      <c r="AF3134">
        <v>-0.107351214675918</v>
      </c>
      <c r="AG3134">
        <v>-1.12125899669</v>
      </c>
      <c r="AH3134">
        <v>47.789705001433802</v>
      </c>
      <c r="AI3134">
        <v>91.344043907874095</v>
      </c>
      <c r="AJ3134">
        <v>90.128704732134807</v>
      </c>
      <c r="AK3134">
        <v>47.802977419246801</v>
      </c>
      <c r="AL3134">
        <v>80.469053459804499</v>
      </c>
      <c r="AM3134">
        <v>90.230085447821693</v>
      </c>
      <c r="AN3134">
        <v>1.0000000400331299</v>
      </c>
    </row>
    <row r="3135" spans="1:40" x14ac:dyDescent="0.25">
      <c r="A3135" t="str">
        <f>"20190303161937109"</f>
        <v>20190303161937109</v>
      </c>
      <c r="B3135" t="str">
        <f>"1551601177095423"</f>
        <v>1551601177095423</v>
      </c>
      <c r="C3135" t="s">
        <v>40</v>
      </c>
      <c r="D3135">
        <v>4.1795239999999998</v>
      </c>
      <c r="E3135">
        <v>0.50129630000000003</v>
      </c>
      <c r="F3135" t="s">
        <v>56</v>
      </c>
      <c r="G3135">
        <v>-316.22359999999998</v>
      </c>
      <c r="H3135" s="1">
        <v>5.0644680000000003E-6</v>
      </c>
      <c r="I3135">
        <v>283.61439999999999</v>
      </c>
      <c r="J3135">
        <v>-268.39490000000001</v>
      </c>
      <c r="K3135">
        <v>1.121264</v>
      </c>
      <c r="L3135">
        <v>283.6157</v>
      </c>
      <c r="M3135">
        <v>-0.99994170000000004</v>
      </c>
      <c r="N3135">
        <v>-1.063414E-2</v>
      </c>
      <c r="O3135">
        <v>1.9148310000000001E-3</v>
      </c>
      <c r="P3135">
        <v>-0.9878924</v>
      </c>
      <c r="Q3135">
        <v>0.15513560000000001</v>
      </c>
      <c r="R3135">
        <v>-1.2917569999999999E-3</v>
      </c>
      <c r="S3135">
        <v>-3.0479129999999999</v>
      </c>
      <c r="T3135">
        <v>-7.1260809999999994E-2</v>
      </c>
      <c r="U3135" s="1">
        <v>-6.1035159999999999E-5</v>
      </c>
      <c r="V3135">
        <v>-3.1486219999999998E-3</v>
      </c>
      <c r="W3135">
        <v>0.1656329</v>
      </c>
      <c r="X3135">
        <v>0.98618249999999996</v>
      </c>
      <c r="Y3135">
        <v>-1.9340399999999999E-3</v>
      </c>
      <c r="Z3135" s="1">
        <v>-5.7293159999999999E-5</v>
      </c>
      <c r="AA3135">
        <v>0.99999819999999995</v>
      </c>
      <c r="AB3135">
        <v>21</v>
      </c>
      <c r="AC3135">
        <v>-47.828699999999898</v>
      </c>
      <c r="AD3135">
        <v>-1.121258935532</v>
      </c>
      <c r="AE3135">
        <v>-1.3000000000147299E-3</v>
      </c>
      <c r="AF3135">
        <v>-9.2838024425655905E-2</v>
      </c>
      <c r="AG3135">
        <v>-1.121258935532</v>
      </c>
      <c r="AH3135">
        <v>47.802338380164898</v>
      </c>
      <c r="AI3135">
        <v>91.343689611663095</v>
      </c>
      <c r="AJ3135">
        <v>90.111275315610499</v>
      </c>
      <c r="AK3135">
        <v>47.8155769086923</v>
      </c>
      <c r="AL3135">
        <v>80.465997575339003</v>
      </c>
      <c r="AM3135">
        <v>90.182929771013804</v>
      </c>
      <c r="AN3135">
        <v>1.00000004734457</v>
      </c>
    </row>
    <row r="3136" spans="1:40" x14ac:dyDescent="0.25">
      <c r="A3136" t="str">
        <f>"20190303161937124"</f>
        <v>20190303161937124</v>
      </c>
      <c r="B3136" t="str">
        <f>"1551601177115920"</f>
        <v>1551601177115920</v>
      </c>
      <c r="C3136" t="s">
        <v>40</v>
      </c>
      <c r="D3136">
        <v>4.2041279999999999</v>
      </c>
      <c r="E3136">
        <v>0.50140169999999995</v>
      </c>
      <c r="F3136" t="s">
        <v>56</v>
      </c>
      <c r="G3136">
        <v>-316.57490000000001</v>
      </c>
      <c r="H3136" s="1">
        <v>5.2167429999999997E-6</v>
      </c>
      <c r="I3136">
        <v>283.65480000000002</v>
      </c>
      <c r="J3136">
        <v>-268.54419999999999</v>
      </c>
      <c r="K3136">
        <v>1.1212679999999999</v>
      </c>
      <c r="L3136">
        <v>283.61610000000002</v>
      </c>
      <c r="M3136">
        <v>-0.99994150000000004</v>
      </c>
      <c r="N3136">
        <v>-1.0636140000000001E-2</v>
      </c>
      <c r="O3136">
        <v>1.9998250000000002E-3</v>
      </c>
      <c r="P3136">
        <v>-0.9878806</v>
      </c>
      <c r="Q3136">
        <v>0.15521550000000001</v>
      </c>
      <c r="R3136">
        <v>4.2482650000000001E-4</v>
      </c>
      <c r="S3136">
        <v>-3.0479129999999999</v>
      </c>
      <c r="T3136">
        <v>-7.0931910000000001E-2</v>
      </c>
      <c r="U3136">
        <v>2.4719239999999999E-3</v>
      </c>
      <c r="V3136">
        <v>-1.517776E-3</v>
      </c>
      <c r="W3136">
        <v>0.16571429999999901</v>
      </c>
      <c r="X3136">
        <v>0.98617259999999995</v>
      </c>
      <c r="Y3136">
        <v>-1.1882889999999999E-3</v>
      </c>
      <c r="Z3136" s="1">
        <v>-4.541077E-5</v>
      </c>
      <c r="AA3136">
        <v>0.99999930000000004</v>
      </c>
      <c r="AB3136">
        <v>21</v>
      </c>
      <c r="AC3136">
        <v>-48.030700000000003</v>
      </c>
      <c r="AD3136">
        <v>-1.1212627832569999</v>
      </c>
      <c r="AE3136">
        <v>3.8700000000005702E-2</v>
      </c>
      <c r="AF3136">
        <v>-5.7327257415404898E-2</v>
      </c>
      <c r="AG3136">
        <v>-1.1212627832569999</v>
      </c>
      <c r="AH3136">
        <v>48.004520071473102</v>
      </c>
      <c r="AI3136">
        <v>91.338038585009002</v>
      </c>
      <c r="AJ3136">
        <v>90.068422897149006</v>
      </c>
      <c r="AK3136">
        <v>48.017647421922099</v>
      </c>
      <c r="AL3136">
        <v>80.461267550694203</v>
      </c>
      <c r="AM3136">
        <v>90.088181410012794</v>
      </c>
      <c r="AN3136">
        <v>0.99999996492961696</v>
      </c>
    </row>
    <row r="3137" spans="1:40" x14ac:dyDescent="0.25">
      <c r="A3137" t="str">
        <f>"20190303161937137"</f>
        <v>20190303161937137</v>
      </c>
      <c r="B3137" t="str">
        <f>"1551601177125678"</f>
        <v>1551601177125678</v>
      </c>
      <c r="C3137" t="s">
        <v>40</v>
      </c>
      <c r="D3137">
        <v>4.2015469999999997</v>
      </c>
      <c r="E3137">
        <v>0.50145890000000004</v>
      </c>
      <c r="F3137" t="s">
        <v>56</v>
      </c>
      <c r="G3137">
        <v>-316.97609999999997</v>
      </c>
      <c r="H3137" s="1">
        <v>5.3871359999999998E-6</v>
      </c>
      <c r="I3137">
        <v>283.74079999999998</v>
      </c>
      <c r="J3137">
        <v>-268.65780000000001</v>
      </c>
      <c r="K3137">
        <v>1.121273</v>
      </c>
      <c r="L3137">
        <v>283.6164</v>
      </c>
      <c r="M3137">
        <v>-0.99994130000000003</v>
      </c>
      <c r="N3137">
        <v>-1.0637590000000001E-2</v>
      </c>
      <c r="O3137">
        <v>2.0609299999999999E-3</v>
      </c>
      <c r="P3137">
        <v>-0.98791019999999896</v>
      </c>
      <c r="Q3137">
        <v>0.15502170000000001</v>
      </c>
      <c r="R3137">
        <v>1.3763040000000001E-3</v>
      </c>
      <c r="S3137">
        <v>-3.047882</v>
      </c>
      <c r="T3137">
        <v>-7.0562479999999997E-2</v>
      </c>
      <c r="U3137">
        <v>7.8430180000000002E-3</v>
      </c>
      <c r="V3137">
        <v>-6.2762419999999998E-4</v>
      </c>
      <c r="W3137">
        <v>0.1655219</v>
      </c>
      <c r="X3137">
        <v>0.98620589999999997</v>
      </c>
      <c r="Y3137">
        <v>5.1217519999999998E-4</v>
      </c>
      <c r="Z3137" s="1">
        <v>-1.7131660000000001E-5</v>
      </c>
      <c r="AA3137">
        <v>0.99999990000000005</v>
      </c>
      <c r="AB3137">
        <v>21</v>
      </c>
      <c r="AC3137">
        <v>-48.318299999999901</v>
      </c>
      <c r="AD3137">
        <v>-1.121267612864</v>
      </c>
      <c r="AE3137">
        <v>0.12439999999998</v>
      </c>
      <c r="AF3137">
        <v>2.48001124858033E-2</v>
      </c>
      <c r="AG3137">
        <v>-1.121267612864</v>
      </c>
      <c r="AH3137">
        <v>48.2924478850667</v>
      </c>
      <c r="AI3137">
        <v>91.330070344670801</v>
      </c>
      <c r="AJ3137">
        <v>89.9705763175361</v>
      </c>
      <c r="AK3137">
        <v>48.305469450540699</v>
      </c>
      <c r="AL3137">
        <v>80.472445824093498</v>
      </c>
      <c r="AM3137">
        <v>90.036463189812096</v>
      </c>
      <c r="AN3137">
        <v>0.99999998524327804</v>
      </c>
    </row>
    <row r="3138" spans="1:40" x14ac:dyDescent="0.25">
      <c r="A3138" t="str">
        <f>"20190303161937152"</f>
        <v>20190303161937152</v>
      </c>
      <c r="B3138" t="str">
        <f>"1551601177146174"</f>
        <v>1551601177146174</v>
      </c>
      <c r="C3138" t="s">
        <v>40</v>
      </c>
      <c r="D3138">
        <v>4.1614180000000003</v>
      </c>
      <c r="E3138">
        <v>0.50153420000000004</v>
      </c>
      <c r="F3138" t="s">
        <v>56</v>
      </c>
      <c r="G3138">
        <v>-316.71809999999999</v>
      </c>
      <c r="H3138" s="1">
        <v>5.2680759999999998E-6</v>
      </c>
      <c r="I3138">
        <v>283.79399999999998</v>
      </c>
      <c r="J3138">
        <v>-268.7989</v>
      </c>
      <c r="K3138">
        <v>1.1212759999999999</v>
      </c>
      <c r="L3138">
        <v>283.61680000000001</v>
      </c>
      <c r="M3138">
        <v>-0.99994130000000003</v>
      </c>
      <c r="N3138">
        <v>-1.063711E-2</v>
      </c>
      <c r="O3138">
        <v>2.1343159999999998E-3</v>
      </c>
      <c r="P3138">
        <v>-0.98793980000000003</v>
      </c>
      <c r="Q3138">
        <v>0.1548273</v>
      </c>
      <c r="R3138">
        <v>2.0002259999999999E-3</v>
      </c>
      <c r="S3138">
        <v>-3.0478209999999999</v>
      </c>
      <c r="T3138">
        <v>-7.1107030000000002E-2</v>
      </c>
      <c r="U3138">
        <v>1.126099E-2</v>
      </c>
      <c r="V3138" s="1">
        <v>-7.7543490000000007E-5</v>
      </c>
      <c r="W3138">
        <v>0.16532769999999999</v>
      </c>
      <c r="X3138">
        <v>0.98623870000000002</v>
      </c>
      <c r="Y3138">
        <v>1.5598649999999999E-3</v>
      </c>
      <c r="Z3138" s="1">
        <v>-5.9389909999999996E-7</v>
      </c>
      <c r="AA3138">
        <v>0.99999879999999997</v>
      </c>
      <c r="AB3138">
        <v>21</v>
      </c>
      <c r="AC3138">
        <v>-47.919199999999897</v>
      </c>
      <c r="AD3138">
        <v>-1.1212707319239901</v>
      </c>
      <c r="AE3138">
        <v>0.177200000000027</v>
      </c>
      <c r="AF3138">
        <v>7.4878113314907499E-2</v>
      </c>
      <c r="AG3138">
        <v>-1.1212707319239901</v>
      </c>
      <c r="AH3138">
        <v>47.893246801810001</v>
      </c>
      <c r="AI3138">
        <v>91.341155018096003</v>
      </c>
      <c r="AJ3138">
        <v>89.910421684438305</v>
      </c>
      <c r="AK3138">
        <v>47.906429046686497</v>
      </c>
      <c r="AL3138">
        <v>80.483728382508303</v>
      </c>
      <c r="AM3138">
        <v>90.004504908088194</v>
      </c>
      <c r="AN3138">
        <v>1.00000001388898</v>
      </c>
    </row>
    <row r="3139" spans="1:40" x14ac:dyDescent="0.25">
      <c r="A3139" t="str">
        <f>"20190303161937166"</f>
        <v>20190303161937166</v>
      </c>
      <c r="B3139" t="str">
        <f>"1551601177155934"</f>
        <v>1551601177155934</v>
      </c>
      <c r="C3139" t="s">
        <v>40</v>
      </c>
      <c r="D3139">
        <v>4.1680519999999897</v>
      </c>
      <c r="E3139">
        <v>0.50156599999999996</v>
      </c>
      <c r="F3139" t="s">
        <v>56</v>
      </c>
      <c r="G3139">
        <v>-316.55700000000002</v>
      </c>
      <c r="H3139" s="1">
        <v>5.1932630000000004E-6</v>
      </c>
      <c r="I3139">
        <v>283.83249999999998</v>
      </c>
      <c r="J3139">
        <v>-268.93099999999998</v>
      </c>
      <c r="K3139">
        <v>1.1212789999999999</v>
      </c>
      <c r="L3139">
        <v>283.61709999999999</v>
      </c>
      <c r="M3139">
        <v>-0.99994110000000003</v>
      </c>
      <c r="N3139">
        <v>-1.063357E-2</v>
      </c>
      <c r="O3139">
        <v>2.2008090000000002E-3</v>
      </c>
      <c r="P3139">
        <v>-0.98791850000000003</v>
      </c>
      <c r="Q3139">
        <v>0.154950799999999</v>
      </c>
      <c r="R3139">
        <v>2.7161580000000002E-3</v>
      </c>
      <c r="S3139">
        <v>-3.0478519999999998</v>
      </c>
      <c r="T3139">
        <v>-7.1557880000000004E-2</v>
      </c>
      <c r="U3139">
        <v>1.376343E-2</v>
      </c>
      <c r="V3139">
        <v>5.7134649999999998E-4</v>
      </c>
      <c r="W3139">
        <v>0.16544719999999999</v>
      </c>
      <c r="X3139">
        <v>0.9862185</v>
      </c>
      <c r="Y3139">
        <v>2.3140679999999999E-3</v>
      </c>
      <c r="Z3139" s="1">
        <v>1.12052399999999E-5</v>
      </c>
      <c r="AA3139">
        <v>0.99999729999999998</v>
      </c>
      <c r="AB3139">
        <v>21</v>
      </c>
      <c r="AC3139">
        <v>-47.625999999999998</v>
      </c>
      <c r="AD3139">
        <v>-1.1212738067370001</v>
      </c>
      <c r="AE3139">
        <v>0.21539999999998799</v>
      </c>
      <c r="AF3139">
        <v>0.11051657202043701</v>
      </c>
      <c r="AG3139">
        <v>-1.1212738067370001</v>
      </c>
      <c r="AH3139">
        <v>47.599975193308701</v>
      </c>
      <c r="AI3139">
        <v>91.349416770111006</v>
      </c>
      <c r="AJ3139">
        <v>89.866972162501398</v>
      </c>
      <c r="AK3139">
        <v>47.6133080899235</v>
      </c>
      <c r="AL3139">
        <v>80.476785951246896</v>
      </c>
      <c r="AM3139">
        <v>89.966806808605497</v>
      </c>
      <c r="AN3139">
        <v>1.0000000160834499</v>
      </c>
    </row>
    <row r="3140" spans="1:40" x14ac:dyDescent="0.25">
      <c r="A3140" t="str">
        <f>"20190303161937180"</f>
        <v>20190303161937180</v>
      </c>
      <c r="B3140" t="str">
        <f>"1551601177165696"</f>
        <v>1551601177165696</v>
      </c>
      <c r="C3140" t="s">
        <v>40</v>
      </c>
      <c r="D3140">
        <v>4.162801</v>
      </c>
      <c r="E3140">
        <v>0.50158469999999999</v>
      </c>
      <c r="F3140" t="s">
        <v>56</v>
      </c>
      <c r="G3140">
        <v>-316.95400000000001</v>
      </c>
      <c r="H3140" s="1">
        <v>5.3656839999999997E-6</v>
      </c>
      <c r="I3140">
        <v>283.87439999999998</v>
      </c>
      <c r="J3140">
        <v>-269.07380000000001</v>
      </c>
      <c r="K3140">
        <v>1.121273</v>
      </c>
      <c r="L3140">
        <v>283.61759999999998</v>
      </c>
      <c r="M3140">
        <v>-0.99994099999999997</v>
      </c>
      <c r="N3140">
        <v>-1.062097E-2</v>
      </c>
      <c r="O3140">
        <v>2.2690240000000001E-3</v>
      </c>
      <c r="P3140">
        <v>-0.98789229999999995</v>
      </c>
      <c r="Q3140">
        <v>0.15509220000000001</v>
      </c>
      <c r="R3140">
        <v>3.9055790000000002E-3</v>
      </c>
      <c r="S3140">
        <v>-3.0477910000000001</v>
      </c>
      <c r="T3140">
        <v>-7.1161870000000002E-2</v>
      </c>
      <c r="U3140">
        <v>1.6326899999999998E-2</v>
      </c>
      <c r="V3140">
        <v>1.6922979999999901E-3</v>
      </c>
      <c r="W3140">
        <v>0.16557559999999999</v>
      </c>
      <c r="X3140">
        <v>0.98619559999999995</v>
      </c>
      <c r="Y3140">
        <v>3.086714E-3</v>
      </c>
      <c r="Z3140" s="1">
        <v>2.3552970000000001E-5</v>
      </c>
      <c r="AA3140">
        <v>0.99999519999999997</v>
      </c>
      <c r="AB3140">
        <v>21</v>
      </c>
      <c r="AC3140">
        <v>-47.880200000000002</v>
      </c>
      <c r="AD3140">
        <v>-1.121267634316</v>
      </c>
      <c r="AE3140">
        <v>0.25679999999999797</v>
      </c>
      <c r="AF3140">
        <v>0.14807068408638299</v>
      </c>
      <c r="AG3140">
        <v>-1.121267634316</v>
      </c>
      <c r="AH3140">
        <v>47.854416285470201</v>
      </c>
      <c r="AI3140">
        <v>91.342234383979701</v>
      </c>
      <c r="AJ3140">
        <v>89.822716504521694</v>
      </c>
      <c r="AK3140">
        <v>47.867779602341301</v>
      </c>
      <c r="AL3140">
        <v>80.469325675347505</v>
      </c>
      <c r="AM3140">
        <v>89.901681331870293</v>
      </c>
      <c r="AN3140">
        <v>0.99999995232361905</v>
      </c>
    </row>
    <row r="3141" spans="1:40" x14ac:dyDescent="0.25">
      <c r="A3141" t="str">
        <f>"20190303161937203"</f>
        <v>20190303161937203</v>
      </c>
      <c r="B3141" t="str">
        <f>"1551601177195950"</f>
        <v>1551601177195950</v>
      </c>
      <c r="C3141" t="s">
        <v>40</v>
      </c>
      <c r="D3141">
        <v>4.1933449999999999</v>
      </c>
      <c r="E3141">
        <v>0.50164869999999995</v>
      </c>
      <c r="F3141" t="s">
        <v>56</v>
      </c>
      <c r="G3141">
        <v>-317.45979999999997</v>
      </c>
      <c r="H3141" s="1">
        <v>5.5850149999999899E-6</v>
      </c>
      <c r="I3141">
        <v>283.93099999999998</v>
      </c>
      <c r="J3141">
        <v>-269.28489999999999</v>
      </c>
      <c r="K3141">
        <v>1.1212709999999999</v>
      </c>
      <c r="L3141">
        <v>283.6182</v>
      </c>
      <c r="M3141">
        <v>-0.99994130000000003</v>
      </c>
      <c r="N3141">
        <v>-1.058743E-2</v>
      </c>
      <c r="O3141">
        <v>2.3663159999999998E-3</v>
      </c>
      <c r="P3141">
        <v>-0.98791580000000001</v>
      </c>
      <c r="Q3141">
        <v>0.1549246</v>
      </c>
      <c r="R3141">
        <v>4.582498E-3</v>
      </c>
      <c r="S3141">
        <v>-3.0477910000000001</v>
      </c>
      <c r="T3141">
        <v>-7.0627570000000001E-2</v>
      </c>
      <c r="U3141">
        <v>1.9744870000000001E-2</v>
      </c>
      <c r="V3141">
        <v>2.27173E-3</v>
      </c>
      <c r="W3141">
        <v>0.1653752</v>
      </c>
      <c r="X3141">
        <v>0.98622810000000005</v>
      </c>
      <c r="Y3141">
        <v>4.1104490000000004E-3</v>
      </c>
      <c r="Z3141" s="1">
        <v>3.9608660000000003E-5</v>
      </c>
      <c r="AA3141">
        <v>0.99999150000000003</v>
      </c>
      <c r="AB3141">
        <v>21</v>
      </c>
      <c r="AC3141">
        <v>-48.174899999999901</v>
      </c>
      <c r="AD3141">
        <v>-1.1212654149850001</v>
      </c>
      <c r="AE3141">
        <v>0.31279999999998098</v>
      </c>
      <c r="AF3141">
        <v>0.19868808581810499</v>
      </c>
      <c r="AG3141">
        <v>-1.1212654149850001</v>
      </c>
      <c r="AH3141">
        <v>48.149422907066302</v>
      </c>
      <c r="AI3141">
        <v>91.334006021771003</v>
      </c>
      <c r="AJ3141">
        <v>89.763570912067905</v>
      </c>
      <c r="AK3141">
        <v>48.1628865348601</v>
      </c>
      <c r="AL3141">
        <v>80.480968630960803</v>
      </c>
      <c r="AM3141">
        <v>89.868022102606901</v>
      </c>
      <c r="AN3141">
        <v>0.99999999138092099</v>
      </c>
    </row>
    <row r="3142" spans="1:40" x14ac:dyDescent="0.25">
      <c r="A3142" t="str">
        <f>"20190303161937225"</f>
        <v>20190303161937225</v>
      </c>
      <c r="B3142" t="str">
        <f>"1551601177215470"</f>
        <v>1551601177215470</v>
      </c>
      <c r="C3142" t="s">
        <v>40</v>
      </c>
      <c r="D3142">
        <v>4.1981279999999996</v>
      </c>
      <c r="E3142">
        <v>0.50164579999999903</v>
      </c>
      <c r="F3142" t="s">
        <v>56</v>
      </c>
      <c r="G3142">
        <v>-317.40480000000002</v>
      </c>
      <c r="H3142" s="1">
        <v>5.5569889999999901E-6</v>
      </c>
      <c r="I3142">
        <v>283.97239999999999</v>
      </c>
      <c r="J3142">
        <v>-269.48630000000003</v>
      </c>
      <c r="K3142">
        <v>1.1212549999999999</v>
      </c>
      <c r="L3142">
        <v>283.61869999999999</v>
      </c>
      <c r="M3142">
        <v>-0.99994159999999999</v>
      </c>
      <c r="N3142">
        <v>-1.0526799999999999E-2</v>
      </c>
      <c r="O3142">
        <v>2.456382E-3</v>
      </c>
      <c r="P3142">
        <v>-0.98794079999999995</v>
      </c>
      <c r="Q3142">
        <v>0.15474499999999999</v>
      </c>
      <c r="R3142">
        <v>5.2014699999999997E-3</v>
      </c>
      <c r="S3142">
        <v>-3.0477289999999999</v>
      </c>
      <c r="T3142">
        <v>-7.1016670000000004E-2</v>
      </c>
      <c r="U3142">
        <v>2.243042E-2</v>
      </c>
      <c r="V3142">
        <v>2.8013439999999999E-3</v>
      </c>
      <c r="W3142">
        <v>0.1651359</v>
      </c>
      <c r="X3142">
        <v>0.98626689999999995</v>
      </c>
      <c r="Y3142">
        <v>4.9013119999999997E-3</v>
      </c>
      <c r="Z3142" s="1">
        <v>5.1526829999999998E-5</v>
      </c>
      <c r="AA3142">
        <v>0.99998799999999999</v>
      </c>
      <c r="AB3142">
        <v>21</v>
      </c>
      <c r="AC3142">
        <v>-47.918500000000002</v>
      </c>
      <c r="AD3142">
        <v>-1.1212494430109901</v>
      </c>
      <c r="AE3142">
        <v>0.35370000000000301</v>
      </c>
      <c r="AF3142">
        <v>0.23585714377028899</v>
      </c>
      <c r="AG3142">
        <v>-1.1212494430109901</v>
      </c>
      <c r="AH3142">
        <v>47.893003456869799</v>
      </c>
      <c r="AI3142">
        <v>91.341121757328295</v>
      </c>
      <c r="AJ3142">
        <v>89.717839586441599</v>
      </c>
      <c r="AK3142">
        <v>47.906707349028501</v>
      </c>
      <c r="AL3142">
        <v>80.494871268371895</v>
      </c>
      <c r="AM3142">
        <v>89.837260323208397</v>
      </c>
      <c r="AN3142">
        <v>1.00000005551631</v>
      </c>
    </row>
    <row r="3143" spans="1:40" x14ac:dyDescent="0.25">
      <c r="A3143" t="str">
        <f>"20190303161937236"</f>
        <v>20190303161937236</v>
      </c>
      <c r="B3143" t="str">
        <f>"1551601177226206"</f>
        <v>1551601177226206</v>
      </c>
      <c r="C3143" t="s">
        <v>40</v>
      </c>
      <c r="D3143">
        <v>4.2130070000000002</v>
      </c>
      <c r="E3143">
        <v>0.5016446</v>
      </c>
      <c r="F3143" t="s">
        <v>56</v>
      </c>
      <c r="G3143">
        <v>-317.25069999999999</v>
      </c>
      <c r="H3143" s="1">
        <v>5.4865049999999901E-6</v>
      </c>
      <c r="I3143">
        <v>283.99709999999999</v>
      </c>
      <c r="J3143">
        <v>-269.60750000000002</v>
      </c>
      <c r="K3143">
        <v>1.121237</v>
      </c>
      <c r="L3143">
        <v>283.6191</v>
      </c>
      <c r="M3143">
        <v>-0.9999422</v>
      </c>
      <c r="N3143">
        <v>-1.046737E-2</v>
      </c>
      <c r="O3143">
        <v>2.5093820000000001E-3</v>
      </c>
      <c r="P3143">
        <v>-0.98797939999999995</v>
      </c>
      <c r="Q3143">
        <v>0.15450849999999999</v>
      </c>
      <c r="R3143">
        <v>4.8860240000000001E-3</v>
      </c>
      <c r="S3143">
        <v>-3.0476679999999998</v>
      </c>
      <c r="T3143">
        <v>-7.1542739999999994E-2</v>
      </c>
      <c r="U3143">
        <v>2.4139399999999998E-2</v>
      </c>
      <c r="V3143">
        <v>2.4333549999999999E-3</v>
      </c>
      <c r="W3143">
        <v>0.16484099999999999</v>
      </c>
      <c r="X3143">
        <v>0.98631720000000001</v>
      </c>
      <c r="Y3143">
        <v>5.4089560000000004E-3</v>
      </c>
      <c r="Z3143" s="1">
        <v>5.9159939999999999E-5</v>
      </c>
      <c r="AA3143">
        <v>0.99998540000000002</v>
      </c>
      <c r="AB3143">
        <v>21</v>
      </c>
      <c r="AC3143">
        <v>-47.643199999999901</v>
      </c>
      <c r="AD3143">
        <v>-1.1212315134949999</v>
      </c>
      <c r="AE3143">
        <v>0.37799999999998501</v>
      </c>
      <c r="AF3143">
        <v>0.25829424090184899</v>
      </c>
      <c r="AG3143">
        <v>-1.1212315134949999</v>
      </c>
      <c r="AH3143">
        <v>47.617627421540199</v>
      </c>
      <c r="AI3143">
        <v>91.348849652535193</v>
      </c>
      <c r="AJ3143">
        <v>89.689211211635893</v>
      </c>
      <c r="AK3143">
        <v>47.6315265058591</v>
      </c>
      <c r="AL3143">
        <v>80.512002494474004</v>
      </c>
      <c r="AM3143">
        <v>89.858645181601204</v>
      </c>
      <c r="AN3143">
        <v>1.0000000477566899</v>
      </c>
    </row>
    <row r="3144" spans="1:40" x14ac:dyDescent="0.25">
      <c r="A3144" t="str">
        <f>"20190303161937258"</f>
        <v>20190303161937258</v>
      </c>
      <c r="B3144" t="str">
        <f>"1551601177245727"</f>
        <v>1551601177245727</v>
      </c>
      <c r="C3144" t="s">
        <v>40</v>
      </c>
      <c r="D3144">
        <v>4.244237</v>
      </c>
      <c r="E3144">
        <v>0.50167099999999998</v>
      </c>
      <c r="F3144" t="s">
        <v>56</v>
      </c>
      <c r="G3144">
        <v>-316.89909999999998</v>
      </c>
      <c r="H3144" s="1">
        <v>5.3323389999999998E-6</v>
      </c>
      <c r="I3144">
        <v>283.97710000000001</v>
      </c>
      <c r="J3144">
        <v>-269.80950000000001</v>
      </c>
      <c r="K3144">
        <v>1.121208</v>
      </c>
      <c r="L3144">
        <v>283.6198</v>
      </c>
      <c r="M3144">
        <v>-0.99994329999999998</v>
      </c>
      <c r="N3144">
        <v>-1.0340200000000001E-2</v>
      </c>
      <c r="O3144">
        <v>2.5977819999999999E-3</v>
      </c>
      <c r="P3144">
        <v>-0.98800500000000002</v>
      </c>
      <c r="Q3144">
        <v>0.1543456</v>
      </c>
      <c r="R3144">
        <v>4.905609E-3</v>
      </c>
      <c r="S3144">
        <v>-3.0476990000000002</v>
      </c>
      <c r="T3144">
        <v>-7.2257520000000006E-2</v>
      </c>
      <c r="U3144">
        <v>2.3071290000000001E-2</v>
      </c>
      <c r="V3144">
        <v>2.3660550000000002E-3</v>
      </c>
      <c r="W3144">
        <v>0.16455320000000001</v>
      </c>
      <c r="X3144">
        <v>0.98636539999999995</v>
      </c>
      <c r="Y3144">
        <v>4.9702059999999996E-3</v>
      </c>
      <c r="Z3144" s="1">
        <v>4.9891729999999997E-5</v>
      </c>
      <c r="AA3144">
        <v>0.99998770000000003</v>
      </c>
      <c r="AB3144">
        <v>21</v>
      </c>
      <c r="AC3144">
        <v>-47.089599999999898</v>
      </c>
      <c r="AD3144">
        <v>-1.1212026676610001</v>
      </c>
      <c r="AE3144">
        <v>0.357300000000009</v>
      </c>
      <c r="AF3144">
        <v>0.23483063396623499</v>
      </c>
      <c r="AG3144">
        <v>-1.1212026676610001</v>
      </c>
      <c r="AH3144">
        <v>47.063689734675101</v>
      </c>
      <c r="AI3144">
        <v>91.364687579195504</v>
      </c>
      <c r="AJ3144">
        <v>89.714117345129907</v>
      </c>
      <c r="AK3144">
        <v>47.077628787890099</v>
      </c>
      <c r="AL3144">
        <v>80.528720329116396</v>
      </c>
      <c r="AM3144">
        <v>89.862561373725498</v>
      </c>
      <c r="AN3144">
        <v>1.00000002808183</v>
      </c>
    </row>
    <row r="3145" spans="1:40" x14ac:dyDescent="0.25">
      <c r="A3145" t="str">
        <f>"20190303161937272"</f>
        <v>20190303161937272</v>
      </c>
      <c r="B3145" t="str">
        <f>"1551601177265246"</f>
        <v>1551601177265246</v>
      </c>
      <c r="C3145" t="s">
        <v>40</v>
      </c>
      <c r="D3145">
        <v>4.22227</v>
      </c>
      <c r="E3145">
        <v>0.50168140000000006</v>
      </c>
      <c r="F3145" t="s">
        <v>56</v>
      </c>
      <c r="G3145">
        <v>-316.93830000000003</v>
      </c>
      <c r="H3145" s="1">
        <v>5.3496740000000003E-6</v>
      </c>
      <c r="I3145">
        <v>283.97750000000002</v>
      </c>
      <c r="J3145">
        <v>-269.93380000000002</v>
      </c>
      <c r="K3145">
        <v>1.1211880000000001</v>
      </c>
      <c r="L3145">
        <v>283.62009999999998</v>
      </c>
      <c r="M3145">
        <v>-0.9999441</v>
      </c>
      <c r="N3145">
        <v>-1.0242090000000001E-2</v>
      </c>
      <c r="O3145">
        <v>2.6524679999999998E-3</v>
      </c>
      <c r="P3145">
        <v>-0.98798909999999995</v>
      </c>
      <c r="Q3145">
        <v>0.15445539999999999</v>
      </c>
      <c r="R3145">
        <v>4.5883759999999999E-3</v>
      </c>
      <c r="S3145">
        <v>-3.0476070000000002</v>
      </c>
      <c r="T3145">
        <v>-7.2503209999999998E-2</v>
      </c>
      <c r="U3145">
        <v>2.3132320000000001E-2</v>
      </c>
      <c r="V3145">
        <v>1.9950150000000002E-3</v>
      </c>
      <c r="W3145">
        <v>0.164566299999999</v>
      </c>
      <c r="X3145">
        <v>0.98636400000000002</v>
      </c>
      <c r="Y3145">
        <v>4.9357940000000003E-3</v>
      </c>
      <c r="Z3145" s="1">
        <v>4.8057499999999999E-5</v>
      </c>
      <c r="AA3145">
        <v>0.99998779999999998</v>
      </c>
      <c r="AB3145">
        <v>21</v>
      </c>
      <c r="AC3145">
        <v>-47.0045</v>
      </c>
      <c r="AD3145">
        <v>-1.1211826503259901</v>
      </c>
      <c r="AE3145">
        <v>0.35740000000004102</v>
      </c>
      <c r="AF3145">
        <v>0.232581959494084</v>
      </c>
      <c r="AG3145">
        <v>-1.1211826503259901</v>
      </c>
      <c r="AH3145">
        <v>46.978555782575</v>
      </c>
      <c r="AI3145">
        <v>91.367135575661194</v>
      </c>
      <c r="AJ3145">
        <v>89.716341731370406</v>
      </c>
      <c r="AK3145">
        <v>46.992508427618397</v>
      </c>
      <c r="AL3145">
        <v>80.527959053158696</v>
      </c>
      <c r="AM3145">
        <v>89.884113994737604</v>
      </c>
      <c r="AN3145">
        <v>0.99999999383826998</v>
      </c>
    </row>
    <row r="3146" spans="1:40" x14ac:dyDescent="0.25">
      <c r="A3146" t="str">
        <f>"20190303161937284"</f>
        <v>20190303161937284</v>
      </c>
      <c r="B3146" t="str">
        <f>"1551601177275982"</f>
        <v>1551601177275982</v>
      </c>
      <c r="C3146" t="s">
        <v>40</v>
      </c>
      <c r="D3146">
        <v>4.2789849999999996</v>
      </c>
      <c r="E3146">
        <v>0.5016912</v>
      </c>
      <c r="F3146" t="s">
        <v>56</v>
      </c>
      <c r="G3146">
        <v>-317.34989999999999</v>
      </c>
      <c r="H3146" s="1">
        <v>5.5332279999999997E-6</v>
      </c>
      <c r="I3146">
        <v>283.9658</v>
      </c>
      <c r="J3146">
        <v>-270.05990000000003</v>
      </c>
      <c r="K3146">
        <v>1.121164</v>
      </c>
      <c r="L3146">
        <v>283.62049999999999</v>
      </c>
      <c r="M3146">
        <v>-0.99994510000000003</v>
      </c>
      <c r="N3146">
        <v>-1.0132260000000001E-2</v>
      </c>
      <c r="O3146">
        <v>2.70828E-3</v>
      </c>
      <c r="P3146">
        <v>-0.98797000000000001</v>
      </c>
      <c r="Q3146">
        <v>0.15458060000000001</v>
      </c>
      <c r="R3146">
        <v>4.5322219999999998E-3</v>
      </c>
      <c r="S3146">
        <v>-3.0476070000000002</v>
      </c>
      <c r="T3146">
        <v>-7.2062490000000007E-2</v>
      </c>
      <c r="U3146">
        <v>2.2216799999999998E-2</v>
      </c>
      <c r="V3146">
        <v>1.884117E-3</v>
      </c>
      <c r="W3146">
        <v>0.1645828</v>
      </c>
      <c r="X3146">
        <v>0.9863615</v>
      </c>
      <c r="Y3146">
        <v>4.5797659999999999E-3</v>
      </c>
      <c r="Z3146" s="1">
        <v>4.075492E-5</v>
      </c>
      <c r="AA3146">
        <v>0.99998949999999998</v>
      </c>
      <c r="AB3146">
        <v>21</v>
      </c>
      <c r="AC3146">
        <v>-47.2899999999999</v>
      </c>
      <c r="AD3146">
        <v>-1.121158466772</v>
      </c>
      <c r="AE3146">
        <v>0.34530000000000799</v>
      </c>
      <c r="AF3146">
        <v>0.21709559260262401</v>
      </c>
      <c r="AG3146">
        <v>-1.121158466772</v>
      </c>
      <c r="AH3146">
        <v>47.2641970931721</v>
      </c>
      <c r="AI3146">
        <v>91.358849413474701</v>
      </c>
      <c r="AJ3146">
        <v>89.736828836689497</v>
      </c>
      <c r="AK3146">
        <v>47.2779912186015</v>
      </c>
      <c r="AL3146">
        <v>80.527000933628997</v>
      </c>
      <c r="AM3146">
        <v>89.890555520554301</v>
      </c>
      <c r="AN3146">
        <v>1.0000000283174699</v>
      </c>
    </row>
    <row r="3147" spans="1:40" x14ac:dyDescent="0.25">
      <c r="A3147" t="str">
        <f>"20190303161937303"</f>
        <v>20190303161937303</v>
      </c>
      <c r="B3147" t="str">
        <f>"1551601177295502"</f>
        <v>1551601177295502</v>
      </c>
      <c r="C3147" t="s">
        <v>40</v>
      </c>
      <c r="D3147">
        <v>4.2429769999999998</v>
      </c>
      <c r="E3147">
        <v>0.50166359999999999</v>
      </c>
      <c r="F3147" t="s">
        <v>56</v>
      </c>
      <c r="G3147">
        <v>-317.76479999999998</v>
      </c>
      <c r="H3147" s="1">
        <v>5.7170319999999997E-6</v>
      </c>
      <c r="I3147">
        <v>283.96820000000002</v>
      </c>
      <c r="J3147">
        <v>-270.23599999999999</v>
      </c>
      <c r="K3147">
        <v>1.1211310000000001</v>
      </c>
      <c r="L3147">
        <v>283.62110000000001</v>
      </c>
      <c r="M3147">
        <v>-0.99994660000000002</v>
      </c>
      <c r="N3147">
        <v>-9.9573000000000005E-3</v>
      </c>
      <c r="O3147">
        <v>2.7864090000000001E-3</v>
      </c>
      <c r="P3147">
        <v>-0.98796930000000005</v>
      </c>
      <c r="Q3147">
        <v>0.15458740000000001</v>
      </c>
      <c r="R3147">
        <v>4.4407429999999996E-3</v>
      </c>
      <c r="S3147">
        <v>-3.0476679999999998</v>
      </c>
      <c r="T3147">
        <v>-7.162607E-2</v>
      </c>
      <c r="U3147">
        <v>2.2216799999999998E-2</v>
      </c>
      <c r="V3147">
        <v>1.715919E-3</v>
      </c>
      <c r="W3147">
        <v>0.16441720000000001</v>
      </c>
      <c r="X3147">
        <v>0.98638939999999997</v>
      </c>
      <c r="Y3147">
        <v>4.5015599999999999E-3</v>
      </c>
      <c r="Z3147" s="1">
        <v>3.7574080000000002E-5</v>
      </c>
      <c r="AA3147">
        <v>0.99998989999999999</v>
      </c>
      <c r="AB3147">
        <v>21</v>
      </c>
      <c r="AC3147">
        <v>-47.528799999999897</v>
      </c>
      <c r="AD3147">
        <v>-1.1211252829679901</v>
      </c>
      <c r="AE3147">
        <v>0.34710000000001101</v>
      </c>
      <c r="AF3147">
        <v>0.21453805347496099</v>
      </c>
      <c r="AG3147">
        <v>-1.1211252829679901</v>
      </c>
      <c r="AH3147">
        <v>47.503152883744001</v>
      </c>
      <c r="AI3147">
        <v>91.351976989154494</v>
      </c>
      <c r="AJ3147">
        <v>89.741237356044607</v>
      </c>
      <c r="AK3147">
        <v>47.516865241436697</v>
      </c>
      <c r="AL3147">
        <v>80.536619926309001</v>
      </c>
      <c r="AM3147">
        <v>89.900328594859999</v>
      </c>
      <c r="AN3147">
        <v>1.0000000042331001</v>
      </c>
    </row>
    <row r="3148" spans="1:40" x14ac:dyDescent="0.25">
      <c r="A3148" t="str">
        <f>"20190303161937316"</f>
        <v>20190303161937316</v>
      </c>
      <c r="B3148" t="str">
        <f>"1551601177305262"</f>
        <v>1551601177305262</v>
      </c>
      <c r="C3148" t="s">
        <v>40</v>
      </c>
      <c r="D3148">
        <v>4.2722119999999997</v>
      </c>
      <c r="E3148">
        <v>0.50166309999999903</v>
      </c>
      <c r="F3148" t="s">
        <v>56</v>
      </c>
      <c r="G3148">
        <v>-318.04910000000001</v>
      </c>
      <c r="H3148" s="1">
        <v>5.8436100000000001E-6</v>
      </c>
      <c r="I3148">
        <v>283.9624</v>
      </c>
      <c r="J3148">
        <v>-270.3587</v>
      </c>
      <c r="K3148">
        <v>1.1211059999999999</v>
      </c>
      <c r="L3148">
        <v>283.62150000000003</v>
      </c>
      <c r="M3148">
        <v>-0.99994780000000005</v>
      </c>
      <c r="N3148">
        <v>-9.8243089999999998E-3</v>
      </c>
      <c r="O3148">
        <v>2.8414820000000002E-3</v>
      </c>
      <c r="P3148">
        <v>-0.98799650000000006</v>
      </c>
      <c r="Q3148">
        <v>0.154423799999999</v>
      </c>
      <c r="R3148">
        <v>4.0802529999999998E-3</v>
      </c>
      <c r="S3148">
        <v>-3.0476070000000002</v>
      </c>
      <c r="T3148">
        <v>-7.1460490000000002E-2</v>
      </c>
      <c r="U3148">
        <v>2.1759029999999999E-2</v>
      </c>
      <c r="V3148">
        <v>1.3012E-3</v>
      </c>
      <c r="W3148">
        <v>0.1641223</v>
      </c>
      <c r="X3148">
        <v>0.98643919999999996</v>
      </c>
      <c r="Y3148">
        <v>4.2965410000000001E-3</v>
      </c>
      <c r="Z3148" s="1">
        <v>3.2772150000000001E-5</v>
      </c>
      <c r="AA3148">
        <v>0.99999079999999996</v>
      </c>
      <c r="AB3148">
        <v>21</v>
      </c>
      <c r="AC3148">
        <v>-47.690399999999997</v>
      </c>
      <c r="AD3148">
        <v>-1.12110015639</v>
      </c>
      <c r="AE3148">
        <v>0.340899999999976</v>
      </c>
      <c r="AF3148">
        <v>0.20526725448130301</v>
      </c>
      <c r="AG3148">
        <v>-1.12110015639</v>
      </c>
      <c r="AH3148">
        <v>47.664836947910601</v>
      </c>
      <c r="AI3148">
        <v>91.347363696739805</v>
      </c>
      <c r="AJ3148">
        <v>89.753258892657101</v>
      </c>
      <c r="AK3148">
        <v>47.678461400063298</v>
      </c>
      <c r="AL3148">
        <v>80.5537496653304</v>
      </c>
      <c r="AM3148">
        <v>89.924421875102098</v>
      </c>
      <c r="AN3148">
        <v>1.0000000588876801</v>
      </c>
    </row>
    <row r="3149" spans="1:40" x14ac:dyDescent="0.25">
      <c r="A3149" t="str">
        <f>"20190303161937329"</f>
        <v>20190303161937329</v>
      </c>
      <c r="B3149" t="str">
        <f>"1551601177315998"</f>
        <v>1551601177315998</v>
      </c>
      <c r="C3149" t="s">
        <v>40</v>
      </c>
      <c r="D3149">
        <v>4.2638910000000001</v>
      </c>
      <c r="E3149">
        <v>0.50165490000000001</v>
      </c>
      <c r="F3149" t="s">
        <v>56</v>
      </c>
      <c r="G3149">
        <v>-317.97410000000002</v>
      </c>
      <c r="H3149" s="1">
        <v>5.8118610000000002E-6</v>
      </c>
      <c r="I3149">
        <v>283.94470000000001</v>
      </c>
      <c r="J3149">
        <v>-270.48970000000003</v>
      </c>
      <c r="K3149">
        <v>1.1210800000000001</v>
      </c>
      <c r="L3149">
        <v>283.62189999999998</v>
      </c>
      <c r="M3149">
        <v>-0.99994899999999998</v>
      </c>
      <c r="N3149">
        <v>-9.6767109999999993E-3</v>
      </c>
      <c r="O3149">
        <v>2.900728E-3</v>
      </c>
      <c r="P3149">
        <v>-0.98797570000000001</v>
      </c>
      <c r="Q3149">
        <v>0.15455389999999999</v>
      </c>
      <c r="R3149">
        <v>4.142827E-3</v>
      </c>
      <c r="S3149">
        <v>-3.0475460000000001</v>
      </c>
      <c r="T3149">
        <v>-7.1754219999999994E-2</v>
      </c>
      <c r="U3149">
        <v>2.0690920000000002E-2</v>
      </c>
      <c r="V3149">
        <v>1.3053850000000001E-3</v>
      </c>
      <c r="W3149">
        <v>0.1641068</v>
      </c>
      <c r="X3149">
        <v>0.98644169999999998</v>
      </c>
      <c r="Y3149">
        <v>3.8871470000000001E-3</v>
      </c>
      <c r="Z3149" s="1">
        <v>2.4346880000000001E-5</v>
      </c>
      <c r="AA3149">
        <v>0.9999924</v>
      </c>
      <c r="AB3149">
        <v>21</v>
      </c>
      <c r="AC3149">
        <v>-47.484400000000001</v>
      </c>
      <c r="AD3149">
        <v>-1.1210741881389901</v>
      </c>
      <c r="AE3149">
        <v>0.32280000000002901</v>
      </c>
      <c r="AF3149">
        <v>0.18494978147237301</v>
      </c>
      <c r="AG3149">
        <v>-1.1210741881389901</v>
      </c>
      <c r="AH3149">
        <v>47.458684369483997</v>
      </c>
      <c r="AI3149">
        <v>91.353185185887398</v>
      </c>
      <c r="AJ3149">
        <v>89.776715507472701</v>
      </c>
      <c r="AK3149">
        <v>47.472283870057097</v>
      </c>
      <c r="AL3149">
        <v>80.554649268258302</v>
      </c>
      <c r="AM3149">
        <v>89.924178988499094</v>
      </c>
      <c r="AN3149">
        <v>0.99999998666756396</v>
      </c>
    </row>
    <row r="3150" spans="1:40" x14ac:dyDescent="0.25">
      <c r="A3150" t="str">
        <f>"20190303161937342"</f>
        <v>20190303161937342</v>
      </c>
      <c r="B3150" t="str">
        <f>"1551601177335518"</f>
        <v>1551601177335518</v>
      </c>
      <c r="C3150" t="s">
        <v>40</v>
      </c>
      <c r="D3150">
        <v>4.2771970000000001</v>
      </c>
      <c r="E3150">
        <v>0.5016507</v>
      </c>
      <c r="F3150" t="s">
        <v>56</v>
      </c>
      <c r="G3150">
        <v>-318.4606</v>
      </c>
      <c r="H3150" s="1">
        <v>6.0271810000000002E-6</v>
      </c>
      <c r="I3150">
        <v>283.95</v>
      </c>
      <c r="J3150">
        <v>-270.61</v>
      </c>
      <c r="K3150">
        <v>1.1210469999999999</v>
      </c>
      <c r="L3150">
        <v>283.6223</v>
      </c>
      <c r="M3150">
        <v>-0.99995020000000001</v>
      </c>
      <c r="N3150">
        <v>-9.5351359999999996E-3</v>
      </c>
      <c r="O3150">
        <v>2.9554609999999999E-3</v>
      </c>
      <c r="P3150">
        <v>-0.9879964</v>
      </c>
      <c r="Q3150">
        <v>0.15441649999999901</v>
      </c>
      <c r="R3150">
        <v>4.3166799999999998E-3</v>
      </c>
      <c r="S3150">
        <v>-3.0476070000000002</v>
      </c>
      <c r="T3150">
        <v>-7.1222190000000005E-2</v>
      </c>
      <c r="U3150">
        <v>2.0843509999999999E-2</v>
      </c>
      <c r="V3150">
        <v>1.42525299999999E-3</v>
      </c>
      <c r="W3150">
        <v>0.16383020000000001</v>
      </c>
      <c r="X3150">
        <v>0.98648749999999996</v>
      </c>
      <c r="Y3150">
        <v>3.8823769999999998E-3</v>
      </c>
      <c r="Z3150" s="1">
        <v>2.2992900000000001E-5</v>
      </c>
      <c r="AA3150">
        <v>0.99999249999999995</v>
      </c>
      <c r="AB3150">
        <v>21</v>
      </c>
      <c r="AC3150">
        <v>-47.850599999999901</v>
      </c>
      <c r="AD3150">
        <v>-1.1210409728189901</v>
      </c>
      <c r="AE3150">
        <v>0.327699999999993</v>
      </c>
      <c r="AF3150">
        <v>0.18616938348866799</v>
      </c>
      <c r="AG3150">
        <v>-1.1210409728189901</v>
      </c>
      <c r="AH3150">
        <v>47.825111088398103</v>
      </c>
      <c r="AI3150">
        <v>91.342781406481095</v>
      </c>
      <c r="AJ3150">
        <v>89.776965158514898</v>
      </c>
      <c r="AK3150">
        <v>47.838610374045203</v>
      </c>
      <c r="AL3150">
        <v>80.570714623082395</v>
      </c>
      <c r="AM3150">
        <v>89.917220517422294</v>
      </c>
      <c r="AN3150">
        <v>0.99999997671720098</v>
      </c>
    </row>
    <row r="3151" spans="1:40" x14ac:dyDescent="0.25">
      <c r="A3151" t="str">
        <f>"20190303161937359"</f>
        <v>20190303161937359</v>
      </c>
      <c r="B3151" t="str">
        <f>"1551601177345278"</f>
        <v>1551601177345278</v>
      </c>
      <c r="C3151" t="s">
        <v>40</v>
      </c>
      <c r="D3151">
        <v>4.2775939999999997</v>
      </c>
      <c r="E3151">
        <v>0.50164370000000003</v>
      </c>
      <c r="F3151" t="s">
        <v>56</v>
      </c>
      <c r="G3151">
        <v>-318.3603</v>
      </c>
      <c r="H3151" s="1">
        <v>5.98232E-6</v>
      </c>
      <c r="I3151">
        <v>283.95420000000001</v>
      </c>
      <c r="J3151">
        <v>-270.77780000000001</v>
      </c>
      <c r="K3151">
        <v>1.121014</v>
      </c>
      <c r="L3151">
        <v>283.62290000000002</v>
      </c>
      <c r="M3151">
        <v>-0.99995199999999995</v>
      </c>
      <c r="N3151">
        <v>-9.3348419999999994E-3</v>
      </c>
      <c r="O3151">
        <v>3.031499E-3</v>
      </c>
      <c r="P3151">
        <v>-0.98798779999999997</v>
      </c>
      <c r="Q3151">
        <v>0.15447179999999999</v>
      </c>
      <c r="R3151">
        <v>4.3384699999999997E-3</v>
      </c>
      <c r="S3151">
        <v>-3.047577</v>
      </c>
      <c r="T3151">
        <v>-7.1548340000000002E-2</v>
      </c>
      <c r="U3151">
        <v>2.1179199999999999E-2</v>
      </c>
      <c r="V3151">
        <v>1.3722039999999999E-3</v>
      </c>
      <c r="W3151">
        <v>0.1636872</v>
      </c>
      <c r="X3151">
        <v>0.98651129999999998</v>
      </c>
      <c r="Y3151">
        <v>3.916559E-3</v>
      </c>
      <c r="Z3151" s="1">
        <v>2.138889E-5</v>
      </c>
      <c r="AA3151">
        <v>0.99999229999999995</v>
      </c>
      <c r="AB3151">
        <v>21</v>
      </c>
      <c r="AC3151">
        <v>-47.582499999999897</v>
      </c>
      <c r="AD3151">
        <v>-1.1210080176799999</v>
      </c>
      <c r="AE3151">
        <v>0.33129999999999798</v>
      </c>
      <c r="AF3151">
        <v>0.18694216010012199</v>
      </c>
      <c r="AG3151">
        <v>-1.1210080176799999</v>
      </c>
      <c r="AH3151">
        <v>47.556891103709297</v>
      </c>
      <c r="AI3151">
        <v>91.3503119893047</v>
      </c>
      <c r="AJ3151">
        <v>89.774776244418305</v>
      </c>
      <c r="AK3151">
        <v>47.570468757381299</v>
      </c>
      <c r="AL3151">
        <v>80.579019915668695</v>
      </c>
      <c r="AM3151">
        <v>89.920303551387804</v>
      </c>
      <c r="AN3151">
        <v>0.99999996370767297</v>
      </c>
    </row>
    <row r="3152" spans="1:40" x14ac:dyDescent="0.25">
      <c r="A3152" t="str">
        <f>"20190303161937382"</f>
        <v>20190303161937382</v>
      </c>
      <c r="B3152" t="str">
        <f>"1551601177375534"</f>
        <v>1551601177375534</v>
      </c>
      <c r="C3152" t="s">
        <v>40</v>
      </c>
      <c r="D3152">
        <v>4.3012870000000003</v>
      </c>
      <c r="E3152">
        <v>0.50157619999999903</v>
      </c>
      <c r="F3152" t="s">
        <v>56</v>
      </c>
      <c r="G3152">
        <v>-318.60849999999999</v>
      </c>
      <c r="H3152" s="1">
        <v>6.0916859999999997E-6</v>
      </c>
      <c r="I3152">
        <v>283.96199999999999</v>
      </c>
      <c r="J3152">
        <v>-270.99299999999999</v>
      </c>
      <c r="K3152">
        <v>1.1209800000000001</v>
      </c>
      <c r="L3152">
        <v>283.62369999999999</v>
      </c>
      <c r="M3152">
        <v>-0.99995389999999995</v>
      </c>
      <c r="N3152">
        <v>-9.0849469999999995E-3</v>
      </c>
      <c r="O3152">
        <v>3.1293760000000001E-3</v>
      </c>
      <c r="P3152">
        <v>-0.98794919999999997</v>
      </c>
      <c r="Q3152">
        <v>0.15472049999999901</v>
      </c>
      <c r="R3152">
        <v>4.2704409999999998E-3</v>
      </c>
      <c r="S3152">
        <v>-3.0476070000000002</v>
      </c>
      <c r="T3152">
        <v>-7.1426749999999997E-2</v>
      </c>
      <c r="U3152">
        <v>2.1606449999999999E-2</v>
      </c>
      <c r="V3152">
        <v>1.2079669999999999E-3</v>
      </c>
      <c r="W3152">
        <v>0.16368949999999999</v>
      </c>
      <c r="X3152">
        <v>0.98651120000000003</v>
      </c>
      <c r="Y3152">
        <v>3.9588169999999999E-3</v>
      </c>
      <c r="Z3152" s="1">
        <v>1.946756E-5</v>
      </c>
      <c r="AA3152">
        <v>0.9999922</v>
      </c>
      <c r="AB3152">
        <v>22</v>
      </c>
      <c r="AC3152">
        <v>-47.615499999999997</v>
      </c>
      <c r="AD3152">
        <v>-1.12097390831399</v>
      </c>
      <c r="AE3152">
        <v>0.33830000000000299</v>
      </c>
      <c r="AF3152">
        <v>0.18918055534307501</v>
      </c>
      <c r="AG3152">
        <v>-1.12097390831399</v>
      </c>
      <c r="AH3152">
        <v>47.589950835557502</v>
      </c>
      <c r="AI3152">
        <v>91.349333024065402</v>
      </c>
      <c r="AJ3152">
        <v>89.772237833785596</v>
      </c>
      <c r="AK3152">
        <v>47.6035270995377</v>
      </c>
      <c r="AL3152">
        <v>80.578886960634904</v>
      </c>
      <c r="AM3152">
        <v>89.929842280249602</v>
      </c>
      <c r="AN3152">
        <v>1.00000002965998</v>
      </c>
    </row>
    <row r="3153" spans="1:40" x14ac:dyDescent="0.25">
      <c r="A3153" t="str">
        <f>"20190303161937404"</f>
        <v>20190303161937404</v>
      </c>
      <c r="B3153" t="str">
        <f>"1551601177396029"</f>
        <v>1551601177396029</v>
      </c>
      <c r="C3153" t="s">
        <v>40</v>
      </c>
      <c r="D3153">
        <v>4.3490419999999999</v>
      </c>
      <c r="E3153">
        <v>0.50153579999999998</v>
      </c>
      <c r="F3153" t="s">
        <v>56</v>
      </c>
      <c r="G3153">
        <v>-319.83859999999999</v>
      </c>
      <c r="H3153" s="1">
        <v>6.6375969999999999E-6</v>
      </c>
      <c r="I3153">
        <v>283.9572</v>
      </c>
      <c r="J3153">
        <v>-271.21280000000002</v>
      </c>
      <c r="K3153">
        <v>1.120943</v>
      </c>
      <c r="L3153">
        <v>283.62450000000001</v>
      </c>
      <c r="M3153">
        <v>-0.9999557</v>
      </c>
      <c r="N3153">
        <v>-8.8482370000000001E-3</v>
      </c>
      <c r="O3153">
        <v>3.2296080000000001E-3</v>
      </c>
      <c r="P3153">
        <v>-0.98799079999999995</v>
      </c>
      <c r="Q3153">
        <v>0.1544584</v>
      </c>
      <c r="R3153">
        <v>4.1654040000000002E-3</v>
      </c>
      <c r="S3153">
        <v>-3.047485</v>
      </c>
      <c r="T3153">
        <v>-6.993771E-2</v>
      </c>
      <c r="U3153">
        <v>2.081299E-2</v>
      </c>
      <c r="V3153">
        <v>1.0041379999999999E-3</v>
      </c>
      <c r="W3153">
        <v>0.16319420000000001</v>
      </c>
      <c r="X3153">
        <v>0.98659339999999995</v>
      </c>
      <c r="Y3153">
        <v>3.5987160000000001E-3</v>
      </c>
      <c r="Z3153" s="1">
        <v>1.168066E-5</v>
      </c>
      <c r="AA3153">
        <v>0.99999349999999998</v>
      </c>
      <c r="AB3153">
        <v>22</v>
      </c>
      <c r="AC3153">
        <v>-48.625799999999899</v>
      </c>
      <c r="AD3153">
        <v>-1.120936362403</v>
      </c>
      <c r="AE3153">
        <v>0.33269999999998801</v>
      </c>
      <c r="AF3153">
        <v>0.175556566044935</v>
      </c>
      <c r="AG3153">
        <v>-1.120936362403</v>
      </c>
      <c r="AH3153">
        <v>48.600795258865901</v>
      </c>
      <c r="AI3153">
        <v>91.321235978068202</v>
      </c>
      <c r="AJ3153">
        <v>89.793036173622596</v>
      </c>
      <c r="AK3153">
        <v>48.614037255001101</v>
      </c>
      <c r="AL3153">
        <v>80.607651576747699</v>
      </c>
      <c r="AM3153">
        <v>89.941685349219796</v>
      </c>
      <c r="AN3153">
        <v>0.99999994606515996</v>
      </c>
    </row>
    <row r="3154" spans="1:40" x14ac:dyDescent="0.25">
      <c r="A3154" t="str">
        <f>"20190303161937418"</f>
        <v>20190303161937418</v>
      </c>
      <c r="B3154" t="str">
        <f>"1551601177405791"</f>
        <v>1551601177405791</v>
      </c>
      <c r="C3154" t="s">
        <v>40</v>
      </c>
      <c r="D3154">
        <v>4.3922230000000004</v>
      </c>
      <c r="E3154">
        <v>0.49400319999999998</v>
      </c>
      <c r="F3154" t="s">
        <v>56</v>
      </c>
      <c r="G3154">
        <v>-319.55630000000002</v>
      </c>
      <c r="H3154" s="1">
        <v>6.5134249999999901E-6</v>
      </c>
      <c r="I3154">
        <v>283.94600000000003</v>
      </c>
      <c r="J3154">
        <v>-271.3451</v>
      </c>
      <c r="K3154">
        <v>1.1209290000000001</v>
      </c>
      <c r="L3154">
        <v>283.625</v>
      </c>
      <c r="M3154">
        <v>-0.99995659999999997</v>
      </c>
      <c r="N3154">
        <v>-8.7198429999999997E-3</v>
      </c>
      <c r="O3154">
        <v>3.2898900000000002E-3</v>
      </c>
      <c r="P3154">
        <v>-0.9879829</v>
      </c>
      <c r="Q3154">
        <v>0.1545115</v>
      </c>
      <c r="R3154">
        <v>3.9957530000000003E-3</v>
      </c>
      <c r="S3154">
        <v>-3.0474239999999999</v>
      </c>
      <c r="T3154">
        <v>-7.0660349999999997E-2</v>
      </c>
      <c r="U3154">
        <v>2.0263670000000001E-2</v>
      </c>
      <c r="V3154">
        <v>7.7492130000000002E-4</v>
      </c>
      <c r="W3154">
        <v>0.1631203</v>
      </c>
      <c r="X3154">
        <v>0.98660590000000004</v>
      </c>
      <c r="Y3154">
        <v>3.35842E-3</v>
      </c>
      <c r="Z3154" s="1">
        <v>5.9898900000000002E-6</v>
      </c>
      <c r="AA3154">
        <v>0.9999943</v>
      </c>
      <c r="AB3154">
        <v>22</v>
      </c>
      <c r="AC3154">
        <v>-48.211199999999998</v>
      </c>
      <c r="AD3154">
        <v>-1.120922486575</v>
      </c>
      <c r="AE3154">
        <v>0.32099999999996898</v>
      </c>
      <c r="AF3154">
        <v>0.16229496386634801</v>
      </c>
      <c r="AG3154">
        <v>-1.120922486575</v>
      </c>
      <c r="AH3154">
        <v>48.185948246622097</v>
      </c>
      <c r="AI3154">
        <v>91.332591448126706</v>
      </c>
      <c r="AJ3154">
        <v>89.807022967437604</v>
      </c>
      <c r="AK3154">
        <v>48.199257414428601</v>
      </c>
      <c r="AL3154">
        <v>80.611943918320705</v>
      </c>
      <c r="AM3154">
        <v>89.954997521488096</v>
      </c>
      <c r="AN3154">
        <v>1.0000000173449599</v>
      </c>
    </row>
    <row r="3155" spans="1:40" x14ac:dyDescent="0.25">
      <c r="A3155" t="str">
        <f>"20190303161937432"</f>
        <v>20190303161937432</v>
      </c>
      <c r="B3155" t="str">
        <f>"1551601177425311"</f>
        <v>1551601177425311</v>
      </c>
      <c r="C3155" t="s">
        <v>40</v>
      </c>
      <c r="D3155">
        <v>4.3504129999999996</v>
      </c>
      <c r="E3155">
        <v>0.49211830000000001</v>
      </c>
      <c r="F3155" t="s">
        <v>56</v>
      </c>
      <c r="G3155">
        <v>-300.61950000000002</v>
      </c>
      <c r="H3155" s="1">
        <v>3.9753599999999998E-6</v>
      </c>
      <c r="I3155">
        <v>283.23630000000003</v>
      </c>
      <c r="J3155">
        <v>-271.47879999999998</v>
      </c>
      <c r="K3155">
        <v>1.120916</v>
      </c>
      <c r="L3155">
        <v>283.62540000000001</v>
      </c>
      <c r="M3155">
        <v>-0.99995750000000005</v>
      </c>
      <c r="N3155">
        <v>-8.5971039999999995E-3</v>
      </c>
      <c r="O3155">
        <v>3.3506769999999998E-3</v>
      </c>
      <c r="P3155">
        <v>-0.98798819999999998</v>
      </c>
      <c r="Q3155">
        <v>0.15448879999999901</v>
      </c>
      <c r="R3155">
        <v>3.57778E-3</v>
      </c>
      <c r="S3155">
        <v>-3.0549620000000002</v>
      </c>
      <c r="T3155">
        <v>-0.1169755</v>
      </c>
      <c r="U3155">
        <v>-4.0557860000000001E-2</v>
      </c>
      <c r="V3155">
        <v>2.9714260000000001E-4</v>
      </c>
      <c r="W3155">
        <v>0.16297679999999901</v>
      </c>
      <c r="X3155">
        <v>0.9866298</v>
      </c>
      <c r="Y3155">
        <v>-1.6608939999999999E-2</v>
      </c>
      <c r="Z3155">
        <v>-4.8873079999999999E-4</v>
      </c>
      <c r="AA3155">
        <v>0.99986200000000003</v>
      </c>
      <c r="AB3155">
        <v>22</v>
      </c>
      <c r="AC3155">
        <v>-29.140699999999999</v>
      </c>
      <c r="AD3155">
        <v>-1.1209120246399999</v>
      </c>
      <c r="AE3155">
        <v>-0.38909999999998401</v>
      </c>
      <c r="AF3155">
        <v>-0.48602350046009202</v>
      </c>
      <c r="AG3155">
        <v>-1.1209120246399999</v>
      </c>
      <c r="AH3155">
        <v>29.096189682456799</v>
      </c>
      <c r="AI3155">
        <v>92.205884702451002</v>
      </c>
      <c r="AJ3155">
        <v>90.956981173510698</v>
      </c>
      <c r="AK3155">
        <v>29.121828868522101</v>
      </c>
      <c r="AL3155">
        <v>80.620276685807696</v>
      </c>
      <c r="AM3155">
        <v>89.982744271074296</v>
      </c>
      <c r="AN3155">
        <v>0.99999994394000002</v>
      </c>
    </row>
    <row r="3156" spans="1:40" x14ac:dyDescent="0.25">
      <c r="A3156" t="str">
        <f>"20190303161937447"</f>
        <v>20190303161937447</v>
      </c>
      <c r="B3156" t="str">
        <f>"1551601177436047"</f>
        <v>1551601177436047</v>
      </c>
      <c r="C3156" t="s">
        <v>40</v>
      </c>
      <c r="D3156">
        <v>4.3820459999999999</v>
      </c>
      <c r="E3156">
        <v>0.49174820000000002</v>
      </c>
      <c r="F3156" t="s">
        <v>56</v>
      </c>
      <c r="G3156">
        <v>-295.87580000000003</v>
      </c>
      <c r="H3156" s="1">
        <v>3.3741710000000001E-6</v>
      </c>
      <c r="I3156">
        <v>283.17340000000002</v>
      </c>
      <c r="J3156">
        <v>-271.63400000000001</v>
      </c>
      <c r="K3156">
        <v>1.1209009999999999</v>
      </c>
      <c r="L3156">
        <v>283.62599999999998</v>
      </c>
      <c r="M3156">
        <v>-0.99995840000000003</v>
      </c>
      <c r="N3156">
        <v>-8.4648250000000005E-3</v>
      </c>
      <c r="O3156">
        <v>3.4210909999999998E-3</v>
      </c>
      <c r="P3156">
        <v>-0.98799879999999995</v>
      </c>
      <c r="Q3156">
        <v>0.1544362</v>
      </c>
      <c r="R3156">
        <v>2.8594699999999998E-3</v>
      </c>
      <c r="S3156">
        <v>-3.0586850000000001</v>
      </c>
      <c r="T3156">
        <v>-0.14053019999999999</v>
      </c>
      <c r="U3156">
        <v>-5.6671140000000002E-2</v>
      </c>
      <c r="V3156">
        <v>-4.9100459999999995E-4</v>
      </c>
      <c r="W3156">
        <v>0.1627943</v>
      </c>
      <c r="X3156">
        <v>0.98665990000000003</v>
      </c>
      <c r="Y3156">
        <v>-2.1915500000000001E-2</v>
      </c>
      <c r="Z3156">
        <v>-7.2410569999999997E-4</v>
      </c>
      <c r="AA3156">
        <v>0.99975959999999997</v>
      </c>
      <c r="AB3156">
        <v>22</v>
      </c>
      <c r="AC3156">
        <v>-24.241800000000001</v>
      </c>
      <c r="AD3156">
        <v>-1.120897625829</v>
      </c>
      <c r="AE3156">
        <v>-0.45259999999996098</v>
      </c>
      <c r="AF3156">
        <v>-0.53439160323519297</v>
      </c>
      <c r="AG3156">
        <v>-1.120897625829</v>
      </c>
      <c r="AH3156">
        <v>24.1884135374181</v>
      </c>
      <c r="AI3156">
        <v>92.652557478390094</v>
      </c>
      <c r="AJ3156">
        <v>91.265622622263294</v>
      </c>
      <c r="AK3156">
        <v>24.2202670367267</v>
      </c>
      <c r="AL3156">
        <v>80.630875154833802</v>
      </c>
      <c r="AM3156">
        <v>90.028512853293407</v>
      </c>
      <c r="AN3156">
        <v>0.99999999173300802</v>
      </c>
    </row>
    <row r="3157" spans="1:40" x14ac:dyDescent="0.25">
      <c r="A3157" t="str">
        <f>"20190303161937461"</f>
        <v>20190303161937461</v>
      </c>
      <c r="B3157" t="str">
        <f>"1551601177455567"</f>
        <v>1551601177455567</v>
      </c>
      <c r="C3157" t="s">
        <v>40</v>
      </c>
      <c r="D3157">
        <v>4.4077919999999997</v>
      </c>
      <c r="E3157">
        <v>0.49141289999999999</v>
      </c>
      <c r="F3157" t="s">
        <v>56</v>
      </c>
      <c r="G3157">
        <v>-294.74349999999998</v>
      </c>
      <c r="H3157" s="1">
        <v>3.1743459999999998E-6</v>
      </c>
      <c r="I3157">
        <v>283.16160000000002</v>
      </c>
      <c r="J3157">
        <v>-271.76830000000001</v>
      </c>
      <c r="K3157">
        <v>1.1208940000000001</v>
      </c>
      <c r="L3157">
        <v>283.6266</v>
      </c>
      <c r="M3157">
        <v>-0.99995900000000004</v>
      </c>
      <c r="N3157">
        <v>-8.3611009999999993E-3</v>
      </c>
      <c r="O3157">
        <v>3.4822579999999998E-3</v>
      </c>
      <c r="P3157">
        <v>-0.98801510000000003</v>
      </c>
      <c r="Q3157">
        <v>0.1543358</v>
      </c>
      <c r="R3157">
        <v>2.6338400000000001E-3</v>
      </c>
      <c r="S3157">
        <v>-3.0598139999999998</v>
      </c>
      <c r="T3157">
        <v>-0.14841270000000001</v>
      </c>
      <c r="U3157">
        <v>-6.149292E-2</v>
      </c>
      <c r="V3157">
        <v>-7.7660999999999995E-4</v>
      </c>
      <c r="W3157">
        <v>0.16259109999999999</v>
      </c>
      <c r="X3157">
        <v>0.9866933</v>
      </c>
      <c r="Y3157">
        <v>-2.35392E-2</v>
      </c>
      <c r="Z3157">
        <v>-8.0865329999999999E-4</v>
      </c>
      <c r="AA3157">
        <v>0.99972260000000002</v>
      </c>
      <c r="AB3157">
        <v>22</v>
      </c>
      <c r="AC3157">
        <v>-22.975199999999901</v>
      </c>
      <c r="AD3157">
        <v>-1.120890825654</v>
      </c>
      <c r="AE3157">
        <v>-0.46499999999997499</v>
      </c>
      <c r="AF3157">
        <v>-0.54371195256322902</v>
      </c>
      <c r="AG3157">
        <v>-1.120890825654</v>
      </c>
      <c r="AH3157">
        <v>22.918912804512601</v>
      </c>
      <c r="AI3157">
        <v>92.799136342975103</v>
      </c>
      <c r="AJ3157">
        <v>91.358989331618602</v>
      </c>
      <c r="AK3157">
        <v>22.952746743500001</v>
      </c>
      <c r="AL3157">
        <v>80.642675593088597</v>
      </c>
      <c r="AM3157">
        <v>90.045096552433407</v>
      </c>
      <c r="AN3157">
        <v>1.0000000685935899</v>
      </c>
    </row>
    <row r="3158" spans="1:40" x14ac:dyDescent="0.25">
      <c r="A3158" t="str">
        <f>"20190303161937474"</f>
        <v>20190303161937474</v>
      </c>
      <c r="B3158" t="str">
        <f>"1551601177465327"</f>
        <v>1551601177465327</v>
      </c>
      <c r="C3158" t="s">
        <v>40</v>
      </c>
      <c r="D3158">
        <v>4.4341929999999996</v>
      </c>
      <c r="E3158">
        <v>0.49146069999999997</v>
      </c>
      <c r="F3158" t="s">
        <v>56</v>
      </c>
      <c r="G3158">
        <v>-293.86599999999999</v>
      </c>
      <c r="H3158" s="1">
        <v>3.019008E-6</v>
      </c>
      <c r="I3158">
        <v>283.15789999999998</v>
      </c>
      <c r="J3158">
        <v>-271.8974</v>
      </c>
      <c r="K3158">
        <v>1.120892</v>
      </c>
      <c r="L3158">
        <v>283.62709999999998</v>
      </c>
      <c r="M3158">
        <v>-0.99995959999999995</v>
      </c>
      <c r="N3158">
        <v>-8.2697650000000001E-3</v>
      </c>
      <c r="O3158">
        <v>3.5406890000000001E-3</v>
      </c>
      <c r="P3158">
        <v>-0.9879985</v>
      </c>
      <c r="Q3158">
        <v>0.1544421</v>
      </c>
      <c r="R3158">
        <v>2.617412E-3</v>
      </c>
      <c r="S3158">
        <v>-3.0608219999999999</v>
      </c>
      <c r="T3158">
        <v>-0.15525820000000001</v>
      </c>
      <c r="U3158">
        <v>-6.4910889999999999E-2</v>
      </c>
      <c r="V3158">
        <v>-8.5047499999999995E-4</v>
      </c>
      <c r="W3158">
        <v>0.16260749999999999</v>
      </c>
      <c r="X3158">
        <v>0.98669050000000003</v>
      </c>
      <c r="Y3158">
        <v>-2.470201E-2</v>
      </c>
      <c r="Z3158">
        <v>-8.7845670000000003E-4</v>
      </c>
      <c r="AA3158">
        <v>0.99969450000000004</v>
      </c>
      <c r="AB3158">
        <v>22</v>
      </c>
      <c r="AC3158">
        <v>-21.968599999999899</v>
      </c>
      <c r="AD3158">
        <v>-1.120888980992</v>
      </c>
      <c r="AE3158">
        <v>-0.46920000000000001</v>
      </c>
      <c r="AF3158">
        <v>-0.54556408701209502</v>
      </c>
      <c r="AG3158">
        <v>-1.120888980992</v>
      </c>
      <c r="AH3158">
        <v>21.909789684792301</v>
      </c>
      <c r="AI3158">
        <v>92.927751425312493</v>
      </c>
      <c r="AJ3158">
        <v>91.426397151634205</v>
      </c>
      <c r="AK3158">
        <v>21.945225364816299</v>
      </c>
      <c r="AL3158">
        <v>80.641722928936304</v>
      </c>
      <c r="AM3158">
        <v>90.049385917887804</v>
      </c>
      <c r="AN3158">
        <v>1.0000000325771099</v>
      </c>
    </row>
    <row r="3159" spans="1:40" x14ac:dyDescent="0.25">
      <c r="A3159" t="str">
        <f>"20190303161937487"</f>
        <v>20190303161937487</v>
      </c>
      <c r="B3159" t="str">
        <f>"1551601177476063"</f>
        <v>1551601177476063</v>
      </c>
      <c r="C3159" t="s">
        <v>40</v>
      </c>
      <c r="D3159">
        <v>4.4320449999999996</v>
      </c>
      <c r="E3159">
        <v>0.49143920000000002</v>
      </c>
      <c r="F3159" t="s">
        <v>56</v>
      </c>
      <c r="G3159">
        <v>-293.58030000000002</v>
      </c>
      <c r="H3159" s="1">
        <v>2.9674219999999999E-6</v>
      </c>
      <c r="I3159">
        <v>283.16840000000002</v>
      </c>
      <c r="J3159">
        <v>-272.0247</v>
      </c>
      <c r="K3159">
        <v>1.120887</v>
      </c>
      <c r="L3159">
        <v>283.62759999999997</v>
      </c>
      <c r="M3159">
        <v>-0.99995999999999996</v>
      </c>
      <c r="N3159">
        <v>-8.1848649999999995E-3</v>
      </c>
      <c r="O3159">
        <v>3.5982549999999999E-3</v>
      </c>
      <c r="P3159">
        <v>-0.98801819999999896</v>
      </c>
      <c r="Q3159">
        <v>0.15432119999999999</v>
      </c>
      <c r="R3159">
        <v>2.326173E-3</v>
      </c>
      <c r="S3159">
        <v>-3.06134</v>
      </c>
      <c r="T3159">
        <v>-0.15825439999999999</v>
      </c>
      <c r="U3159">
        <v>-6.4758300000000005E-2</v>
      </c>
      <c r="V3159">
        <v>-1.1982080000000001E-3</v>
      </c>
      <c r="W3159">
        <v>0.1624033</v>
      </c>
      <c r="X3159">
        <v>0.98672369999999998</v>
      </c>
      <c r="Y3159">
        <v>-2.470468E-2</v>
      </c>
      <c r="Z3159">
        <v>-8.9567869999999895E-4</v>
      </c>
      <c r="AA3159">
        <v>0.99969439999999998</v>
      </c>
      <c r="AB3159">
        <v>22</v>
      </c>
      <c r="AC3159">
        <v>-21.555599999999998</v>
      </c>
      <c r="AD3159">
        <v>-1.1208840325780001</v>
      </c>
      <c r="AE3159">
        <v>-0.45919999999995198</v>
      </c>
      <c r="AF3159">
        <v>-0.53531535537466601</v>
      </c>
      <c r="AG3159">
        <v>-1.1208840325780001</v>
      </c>
      <c r="AH3159">
        <v>21.49571077829</v>
      </c>
      <c r="AI3159">
        <v>92.984035324379306</v>
      </c>
      <c r="AJ3159">
        <v>91.426562382474401</v>
      </c>
      <c r="AK3159">
        <v>21.531570435248799</v>
      </c>
      <c r="AL3159">
        <v>80.6535796914103</v>
      </c>
      <c r="AM3159">
        <v>90.069575938668507</v>
      </c>
      <c r="AN3159">
        <v>0.99999996384749501</v>
      </c>
    </row>
    <row r="3160" spans="1:40" x14ac:dyDescent="0.25">
      <c r="A3160" t="str">
        <f>"20190303161937503"</f>
        <v>20190303161937503</v>
      </c>
      <c r="B3160" t="str">
        <f>"1551601177495585"</f>
        <v>1551601177495585</v>
      </c>
      <c r="C3160" t="s">
        <v>40</v>
      </c>
      <c r="D3160">
        <v>4.4147660000000002</v>
      </c>
      <c r="E3160">
        <v>0.491475</v>
      </c>
      <c r="F3160" t="s">
        <v>56</v>
      </c>
      <c r="G3160">
        <v>-293.3023</v>
      </c>
      <c r="H3160" s="1">
        <v>2.9180229999999998E-6</v>
      </c>
      <c r="I3160">
        <v>283.16950000000003</v>
      </c>
      <c r="J3160">
        <v>-272.19110000000001</v>
      </c>
      <c r="K3160">
        <v>1.1208769999999999</v>
      </c>
      <c r="L3160">
        <v>283.62830000000002</v>
      </c>
      <c r="M3160">
        <v>-0.99996070000000004</v>
      </c>
      <c r="N3160">
        <v>-8.0854039999999992E-3</v>
      </c>
      <c r="O3160">
        <v>3.6740520000000001E-3</v>
      </c>
      <c r="P3160">
        <v>-0.98807999999999996</v>
      </c>
      <c r="Q3160">
        <v>0.15392979999999901</v>
      </c>
      <c r="R3160">
        <v>1.941459E-3</v>
      </c>
      <c r="S3160">
        <v>-3.0617369999999999</v>
      </c>
      <c r="T3160">
        <v>-0.16128870000000001</v>
      </c>
      <c r="U3160">
        <v>-6.5917970000000006E-2</v>
      </c>
      <c r="V3160">
        <v>-1.6589689999999999E-3</v>
      </c>
      <c r="W3160">
        <v>0.16191449999999999</v>
      </c>
      <c r="X3160">
        <v>0.9868034</v>
      </c>
      <c r="Y3160">
        <v>-2.5153910000000002E-2</v>
      </c>
      <c r="Z3160">
        <v>-9.2749260000000002E-4</v>
      </c>
      <c r="AA3160">
        <v>0.99968310000000005</v>
      </c>
      <c r="AB3160">
        <v>22</v>
      </c>
      <c r="AC3160">
        <v>-21.1112</v>
      </c>
      <c r="AD3160">
        <v>-1.120874081977</v>
      </c>
      <c r="AE3160">
        <v>-0.45879999999999599</v>
      </c>
      <c r="AF3160">
        <v>-0.53485605236173595</v>
      </c>
      <c r="AG3160">
        <v>-1.120874081977</v>
      </c>
      <c r="AH3160">
        <v>21.050060677899399</v>
      </c>
      <c r="AI3160">
        <v>93.047026769008397</v>
      </c>
      <c r="AJ3160">
        <v>91.455501844487699</v>
      </c>
      <c r="AK3160">
        <v>21.086666029689098</v>
      </c>
      <c r="AL3160">
        <v>80.681961889140993</v>
      </c>
      <c r="AM3160">
        <v>90.096322968177205</v>
      </c>
      <c r="AN3160">
        <v>1.0000000038699699</v>
      </c>
    </row>
    <row r="3161" spans="1:40" x14ac:dyDescent="0.25">
      <c r="A3161" t="str">
        <f>"20190303161937517"</f>
        <v>20190303161937517</v>
      </c>
      <c r="B3161" t="str">
        <f>"1551601177505342"</f>
        <v>1551601177505342</v>
      </c>
      <c r="C3161" t="s">
        <v>40</v>
      </c>
      <c r="D3161">
        <v>4.4150049999999998</v>
      </c>
      <c r="E3161">
        <v>0.49145080000000002</v>
      </c>
      <c r="F3161" t="s">
        <v>56</v>
      </c>
      <c r="G3161">
        <v>-292.82659999999998</v>
      </c>
      <c r="H3161" s="1">
        <v>2.8329079999999998E-6</v>
      </c>
      <c r="I3161">
        <v>283.17770000000002</v>
      </c>
      <c r="J3161">
        <v>-272.3143</v>
      </c>
      <c r="K3161">
        <v>1.1208739999999999</v>
      </c>
      <c r="L3161">
        <v>283.62880000000001</v>
      </c>
      <c r="M3161">
        <v>-0.99996099999999999</v>
      </c>
      <c r="N3161">
        <v>-8.0205459999999999E-3</v>
      </c>
      <c r="O3161">
        <v>3.7298629999999999E-3</v>
      </c>
      <c r="P3161">
        <v>-0.98816499999999996</v>
      </c>
      <c r="Q3161">
        <v>0.153387</v>
      </c>
      <c r="R3161">
        <v>1.61414E-3</v>
      </c>
      <c r="S3161">
        <v>-3.062195</v>
      </c>
      <c r="T3161">
        <v>-0.16633210000000001</v>
      </c>
      <c r="U3161">
        <v>-6.6864010000000001E-2</v>
      </c>
      <c r="V3161">
        <v>-2.0412569999999999E-3</v>
      </c>
      <c r="W3161">
        <v>0.16130829999999999</v>
      </c>
      <c r="X3161">
        <v>0.9869019</v>
      </c>
      <c r="Y3161">
        <v>-2.551192E-2</v>
      </c>
      <c r="Z3161">
        <v>-9.6722829999999998E-4</v>
      </c>
      <c r="AA3161">
        <v>0.99967399999999995</v>
      </c>
      <c r="AB3161">
        <v>22</v>
      </c>
      <c r="AC3161">
        <v>-20.5122999999999</v>
      </c>
      <c r="AD3161">
        <v>-1.120871167092</v>
      </c>
      <c r="AE3161">
        <v>-0.451099999999996</v>
      </c>
      <c r="AF3161">
        <v>-0.52603741979721996</v>
      </c>
      <c r="AG3161">
        <v>-1.120871167092</v>
      </c>
      <c r="AH3161">
        <v>20.449443194570399</v>
      </c>
      <c r="AI3161">
        <v>93.136311068885504</v>
      </c>
      <c r="AJ3161">
        <v>91.473540301953506</v>
      </c>
      <c r="AK3161">
        <v>20.486893237096901</v>
      </c>
      <c r="AL3161">
        <v>80.717156722893293</v>
      </c>
      <c r="AM3161">
        <v>90.118507466872799</v>
      </c>
      <c r="AN3161">
        <v>0.99999994730131803</v>
      </c>
    </row>
    <row r="3162" spans="1:40" x14ac:dyDescent="0.25">
      <c r="A3162" t="str">
        <f>"20190303161937529"</f>
        <v>20190303161937529</v>
      </c>
      <c r="B3162" t="str">
        <f>"1551601177516078"</f>
        <v>1551601177516078</v>
      </c>
      <c r="C3162" t="s">
        <v>40</v>
      </c>
      <c r="D3162">
        <v>4.4391730000000003</v>
      </c>
      <c r="E3162">
        <v>0.4914521</v>
      </c>
      <c r="F3162" t="s">
        <v>56</v>
      </c>
      <c r="G3162">
        <v>-292.73509999999999</v>
      </c>
      <c r="H3162" s="1">
        <v>2.8169090000000001E-6</v>
      </c>
      <c r="I3162">
        <v>283.17509999999999</v>
      </c>
      <c r="J3162">
        <v>-272.44380000000001</v>
      </c>
      <c r="K3162">
        <v>1.1208689999999999</v>
      </c>
      <c r="L3162">
        <v>283.6293</v>
      </c>
      <c r="M3162">
        <v>-0.99996119999999999</v>
      </c>
      <c r="N3162">
        <v>-7.95610699999999E-3</v>
      </c>
      <c r="O3162">
        <v>3.7886489999999998E-3</v>
      </c>
      <c r="P3162">
        <v>-0.98816040000000005</v>
      </c>
      <c r="Q3162">
        <v>0.15341689999999999</v>
      </c>
      <c r="R3162">
        <v>1.4908930000000001E-3</v>
      </c>
      <c r="S3162">
        <v>-3.0621339999999999</v>
      </c>
      <c r="T3162">
        <v>-0.16807629999999901</v>
      </c>
      <c r="U3162">
        <v>-6.8023680000000003E-2</v>
      </c>
      <c r="V3162">
        <v>-2.2224469999999998E-3</v>
      </c>
      <c r="W3162">
        <v>0.16127449999999999</v>
      </c>
      <c r="X3162">
        <v>0.98690710000000004</v>
      </c>
      <c r="Y3162">
        <v>-2.5947789999999998E-2</v>
      </c>
      <c r="Z3162">
        <v>-9.924745999999999E-4</v>
      </c>
      <c r="AA3162">
        <v>0.99966279999999996</v>
      </c>
      <c r="AB3162">
        <v>22</v>
      </c>
      <c r="AC3162">
        <v>-20.2912999999999</v>
      </c>
      <c r="AD3162">
        <v>-1.1208661830910001</v>
      </c>
      <c r="AE3162">
        <v>-0.45420000000001398</v>
      </c>
      <c r="AF3162">
        <v>-0.52946103848040704</v>
      </c>
      <c r="AG3162">
        <v>-1.1208661830910001</v>
      </c>
      <c r="AH3162">
        <v>20.227743089880502</v>
      </c>
      <c r="AI3162">
        <v>93.170564820105795</v>
      </c>
      <c r="AJ3162">
        <v>91.499374281291693</v>
      </c>
      <c r="AK3162">
        <v>20.2656917104222</v>
      </c>
      <c r="AL3162">
        <v>80.719119635811495</v>
      </c>
      <c r="AM3162">
        <v>90.129025941795504</v>
      </c>
      <c r="AN3162">
        <v>1.00000001382566</v>
      </c>
    </row>
    <row r="3163" spans="1:40" x14ac:dyDescent="0.25">
      <c r="A3163" t="str">
        <f>"20190303161937542"</f>
        <v>20190303161937542</v>
      </c>
      <c r="B3163" t="str">
        <f>"1551601177535599"</f>
        <v>1551601177535599</v>
      </c>
      <c r="C3163" t="s">
        <v>40</v>
      </c>
      <c r="D3163">
        <v>4.4722629999999999</v>
      </c>
      <c r="E3163">
        <v>0.49147089999999999</v>
      </c>
      <c r="F3163" t="s">
        <v>56</v>
      </c>
      <c r="G3163">
        <v>-292.87360000000001</v>
      </c>
      <c r="H3163" s="1">
        <v>2.8414739999999999E-6</v>
      </c>
      <c r="I3163">
        <v>283.17509999999999</v>
      </c>
      <c r="J3163">
        <v>-272.58199999999999</v>
      </c>
      <c r="K3163">
        <v>1.120859</v>
      </c>
      <c r="L3163">
        <v>283.62990000000002</v>
      </c>
      <c r="M3163">
        <v>-0.9999614</v>
      </c>
      <c r="N3163">
        <v>-7.8936719999999991E-3</v>
      </c>
      <c r="O3163">
        <v>3.8512989999999999E-3</v>
      </c>
      <c r="P3163">
        <v>-0.98821510000000001</v>
      </c>
      <c r="Q3163">
        <v>0.15306310000000001</v>
      </c>
      <c r="R3163">
        <v>1.6690079999999901E-3</v>
      </c>
      <c r="S3163">
        <v>-3.0621339999999999</v>
      </c>
      <c r="T3163">
        <v>-0.16800219999999999</v>
      </c>
      <c r="U3163">
        <v>-6.8084720000000001E-2</v>
      </c>
      <c r="V3163">
        <v>-2.1063549999999999E-3</v>
      </c>
      <c r="W3163">
        <v>0.16085940000000001</v>
      </c>
      <c r="X3163">
        <v>0.98697509999999999</v>
      </c>
      <c r="Y3163">
        <v>-2.60302E-2</v>
      </c>
      <c r="Z3163">
        <v>-9.9701970000000005E-4</v>
      </c>
      <c r="AA3163">
        <v>0.99966069999999996</v>
      </c>
      <c r="AB3163">
        <v>22</v>
      </c>
      <c r="AC3163">
        <v>-20.291599999999999</v>
      </c>
      <c r="AD3163">
        <v>-1.120856158526</v>
      </c>
      <c r="AE3163">
        <v>-0.45480000000003401</v>
      </c>
      <c r="AF3163">
        <v>-0.53132772258477101</v>
      </c>
      <c r="AG3163">
        <v>-1.120856158526</v>
      </c>
      <c r="AH3163">
        <v>20.228009660036001</v>
      </c>
      <c r="AI3163">
        <v>93.170487202577306</v>
      </c>
      <c r="AJ3163">
        <v>91.504638275804894</v>
      </c>
      <c r="AK3163">
        <v>20.2660060812041</v>
      </c>
      <c r="AL3163">
        <v>80.743217768333096</v>
      </c>
      <c r="AM3163">
        <v>90.122277723553694</v>
      </c>
      <c r="AN3163">
        <v>1.0000000156598701</v>
      </c>
    </row>
    <row r="3164" spans="1:40" x14ac:dyDescent="0.25">
      <c r="A3164" t="str">
        <f>"20190303161937560"</f>
        <v>20190303161937560</v>
      </c>
      <c r="B3164" t="str">
        <f>"1551601177556094"</f>
        <v>1551601177556094</v>
      </c>
      <c r="C3164" t="s">
        <v>40</v>
      </c>
      <c r="D3164">
        <v>4.5373839999999896</v>
      </c>
      <c r="E3164">
        <v>0.49138019999999999</v>
      </c>
      <c r="F3164" t="s">
        <v>56</v>
      </c>
      <c r="G3164">
        <v>-292.87450000000001</v>
      </c>
      <c r="H3164" s="1">
        <v>2.8409019999999998E-6</v>
      </c>
      <c r="I3164">
        <v>283.18360000000001</v>
      </c>
      <c r="J3164">
        <v>-272.75310000000002</v>
      </c>
      <c r="K3164">
        <v>1.120857</v>
      </c>
      <c r="L3164">
        <v>283.63060000000002</v>
      </c>
      <c r="M3164">
        <v>-0.99996169999999995</v>
      </c>
      <c r="N3164">
        <v>-7.8257320000000002E-3</v>
      </c>
      <c r="O3164">
        <v>3.9291660000000004E-3</v>
      </c>
      <c r="P3164">
        <v>-0.98825370000000001</v>
      </c>
      <c r="Q3164">
        <v>0.152811999999999</v>
      </c>
      <c r="R3164">
        <v>1.7807039999999999E-3</v>
      </c>
      <c r="S3164">
        <v>-3.0620120000000002</v>
      </c>
      <c r="T3164">
        <v>-0.16913</v>
      </c>
      <c r="U3164">
        <v>-6.7352289999999995E-2</v>
      </c>
      <c r="V3164">
        <v>-2.0721070000000001E-3</v>
      </c>
      <c r="W3164">
        <v>0.16054170000000001</v>
      </c>
      <c r="X3164">
        <v>0.98702690000000004</v>
      </c>
      <c r="Y3164">
        <v>-2.586952E-2</v>
      </c>
      <c r="Z3164">
        <v>-1.001259E-3</v>
      </c>
      <c r="AA3164">
        <v>0.99966480000000002</v>
      </c>
      <c r="AB3164">
        <v>22</v>
      </c>
      <c r="AC3164">
        <v>-20.121399999999898</v>
      </c>
      <c r="AD3164">
        <v>-1.1208541590979999</v>
      </c>
      <c r="AE3164">
        <v>-0.44700000000000201</v>
      </c>
      <c r="AF3164">
        <v>-0.52443277545442801</v>
      </c>
      <c r="AG3164">
        <v>-1.1208541590979999</v>
      </c>
      <c r="AH3164">
        <v>20.0572812275317</v>
      </c>
      <c r="AI3164">
        <v>93.197423115494004</v>
      </c>
      <c r="AJ3164">
        <v>91.497757334218704</v>
      </c>
      <c r="AK3164">
        <v>20.095419229820301</v>
      </c>
      <c r="AL3164">
        <v>80.761660336413797</v>
      </c>
      <c r="AM3164">
        <v>90.120283258122498</v>
      </c>
      <c r="AN3164">
        <v>1.00000001619495</v>
      </c>
    </row>
    <row r="3165" spans="1:40" x14ac:dyDescent="0.25">
      <c r="A3165" t="str">
        <f>"20190303161937584"</f>
        <v>20190303161937584</v>
      </c>
      <c r="B3165" t="str">
        <f>"1551601177575615"</f>
        <v>1551601177575615</v>
      </c>
      <c r="C3165" t="s">
        <v>40</v>
      </c>
      <c r="D3165">
        <v>4.5452349999999999</v>
      </c>
      <c r="E3165">
        <v>0.49129539999999999</v>
      </c>
      <c r="F3165" t="s">
        <v>56</v>
      </c>
      <c r="G3165">
        <v>-292.72879999999998</v>
      </c>
      <c r="H3165" s="1">
        <v>2.814603E-6</v>
      </c>
      <c r="I3165">
        <v>283.18869999999998</v>
      </c>
      <c r="J3165">
        <v>-272.98649999999998</v>
      </c>
      <c r="K3165">
        <v>1.1208450000000001</v>
      </c>
      <c r="L3165">
        <v>283.63170000000002</v>
      </c>
      <c r="M3165">
        <v>-0.99996200000000002</v>
      </c>
      <c r="N3165">
        <v>-7.74458099999999E-3</v>
      </c>
      <c r="O3165">
        <v>4.0349770000000004E-3</v>
      </c>
      <c r="P3165">
        <v>-0.98830379999999995</v>
      </c>
      <c r="Q3165">
        <v>0.15248329999999999</v>
      </c>
      <c r="R3165">
        <v>2.081912E-3</v>
      </c>
      <c r="S3165">
        <v>-3.0623170000000002</v>
      </c>
      <c r="T3165">
        <v>-0.1718287</v>
      </c>
      <c r="U3165">
        <v>-6.7749019999999993E-2</v>
      </c>
      <c r="V3165">
        <v>-1.8755009999999999E-3</v>
      </c>
      <c r="W3165">
        <v>0.1601332</v>
      </c>
      <c r="X3165">
        <v>0.98709360000000002</v>
      </c>
      <c r="Y3165">
        <v>-2.610055E-2</v>
      </c>
      <c r="Z3165">
        <v>-1.027746E-3</v>
      </c>
      <c r="AA3165">
        <v>0.99965879999999996</v>
      </c>
      <c r="AB3165">
        <v>22</v>
      </c>
      <c r="AC3165">
        <v>-19.7423</v>
      </c>
      <c r="AD3165">
        <v>-1.1208421853970001</v>
      </c>
      <c r="AE3165">
        <v>-0.44300000000003997</v>
      </c>
      <c r="AF3165">
        <v>-0.52098009671968004</v>
      </c>
      <c r="AG3165">
        <v>-1.1208421853970001</v>
      </c>
      <c r="AH3165">
        <v>19.6769599666167</v>
      </c>
      <c r="AI3165">
        <v>93.259028807889706</v>
      </c>
      <c r="AJ3165">
        <v>91.516646304209999</v>
      </c>
      <c r="AK3165">
        <v>19.7157414517836</v>
      </c>
      <c r="AL3165">
        <v>80.785371987874996</v>
      </c>
      <c r="AM3165">
        <v>90.108863194393606</v>
      </c>
      <c r="AN3165">
        <v>0.99999996720359896</v>
      </c>
    </row>
    <row r="3166" spans="1:40" x14ac:dyDescent="0.25">
      <c r="A3166" t="str">
        <f>"20190303161937604"</f>
        <v>20190303161937604</v>
      </c>
      <c r="B3166" t="str">
        <f>"1551601177596113"</f>
        <v>1551601177596113</v>
      </c>
      <c r="C3166" t="s">
        <v>40</v>
      </c>
      <c r="D3166">
        <v>4.5086709999999997</v>
      </c>
      <c r="E3166">
        <v>0.49119459999999998</v>
      </c>
      <c r="F3166" t="s">
        <v>56</v>
      </c>
      <c r="G3166">
        <v>-292.5025</v>
      </c>
      <c r="H3166" s="1">
        <v>2.7732789999999998E-6</v>
      </c>
      <c r="I3166">
        <v>283.20229999999998</v>
      </c>
      <c r="J3166">
        <v>-273.197</v>
      </c>
      <c r="K3166">
        <v>1.120835</v>
      </c>
      <c r="L3166">
        <v>283.63260000000002</v>
      </c>
      <c r="M3166">
        <v>-0.99996200000000002</v>
      </c>
      <c r="N3166">
        <v>-7.6834950000000003E-3</v>
      </c>
      <c r="O3166">
        <v>4.1303980000000004E-3</v>
      </c>
      <c r="P3166">
        <v>-0.98834069999999996</v>
      </c>
      <c r="Q3166">
        <v>0.15224509999999999</v>
      </c>
      <c r="R3166">
        <v>2.0458260000000002E-3</v>
      </c>
      <c r="S3166">
        <v>-3.0627749999999998</v>
      </c>
      <c r="T3166">
        <v>-0.17590069999999999</v>
      </c>
      <c r="U3166">
        <v>-6.7382810000000001E-2</v>
      </c>
      <c r="V3166">
        <v>-2.0059779999999998E-3</v>
      </c>
      <c r="W3166">
        <v>0.15983520000000001</v>
      </c>
      <c r="X3166">
        <v>0.98714170000000001</v>
      </c>
      <c r="Y3166">
        <v>-2.6070780000000002E-2</v>
      </c>
      <c r="Z3166">
        <v>-1.0534889999999999E-3</v>
      </c>
      <c r="AA3166">
        <v>0.99965950000000003</v>
      </c>
      <c r="AB3166">
        <v>22</v>
      </c>
      <c r="AC3166">
        <v>-19.305499999999899</v>
      </c>
      <c r="AD3166">
        <v>-1.120832226721</v>
      </c>
      <c r="AE3166">
        <v>-0.43030000000004498</v>
      </c>
      <c r="AF3166">
        <v>-0.50832551969060902</v>
      </c>
      <c r="AG3166">
        <v>-1.120832226721</v>
      </c>
      <c r="AH3166">
        <v>19.238742268861799</v>
      </c>
      <c r="AI3166">
        <v>93.333072313944399</v>
      </c>
      <c r="AJ3166">
        <v>91.513515372341899</v>
      </c>
      <c r="AK3166">
        <v>19.278066910406601</v>
      </c>
      <c r="AL3166">
        <v>80.802669463440594</v>
      </c>
      <c r="AM3166">
        <v>90.116431019975394</v>
      </c>
      <c r="AN3166">
        <v>1.0000000254928301</v>
      </c>
    </row>
    <row r="3167" spans="1:40" x14ac:dyDescent="0.25">
      <c r="A3167" t="str">
        <f>"20190303161937626"</f>
        <v>20190303161937626</v>
      </c>
      <c r="B3167" t="str">
        <f>"1551601177615630"</f>
        <v>1551601177615630</v>
      </c>
      <c r="C3167" t="s">
        <v>40</v>
      </c>
      <c r="D3167">
        <v>4.564425</v>
      </c>
      <c r="E3167">
        <v>0.49131649999999999</v>
      </c>
      <c r="F3167" t="s">
        <v>56</v>
      </c>
      <c r="G3167">
        <v>-292.4556</v>
      </c>
      <c r="H3167" s="1">
        <v>2.7647809999999999E-6</v>
      </c>
      <c r="I3167">
        <v>283.20429999999999</v>
      </c>
      <c r="J3167">
        <v>-273.41480000000001</v>
      </c>
      <c r="K3167">
        <v>1.1208279999999999</v>
      </c>
      <c r="L3167">
        <v>283.6336</v>
      </c>
      <c r="M3167">
        <v>-0.99996200000000002</v>
      </c>
      <c r="N3167">
        <v>-7.6304519999999898E-3</v>
      </c>
      <c r="O3167">
        <v>4.2291849999999999E-3</v>
      </c>
      <c r="P3167">
        <v>-0.98838979999999999</v>
      </c>
      <c r="Q3167">
        <v>0.15192539999999999</v>
      </c>
      <c r="R3167">
        <v>2.1474599999999999E-3</v>
      </c>
      <c r="S3167">
        <v>-3.0629580000000001</v>
      </c>
      <c r="T3167">
        <v>-0.17826040000000001</v>
      </c>
      <c r="U3167">
        <v>-6.8115229999999999E-2</v>
      </c>
      <c r="V3167">
        <v>-2.0018649999999998E-3</v>
      </c>
      <c r="W3167">
        <v>0.159463299999999</v>
      </c>
      <c r="X3167">
        <v>0.98720180000000002</v>
      </c>
      <c r="Y3167">
        <v>-2.6405029999999999E-2</v>
      </c>
      <c r="Z3167">
        <v>-1.082132E-3</v>
      </c>
      <c r="AA3167">
        <v>0.9996507</v>
      </c>
      <c r="AB3167">
        <v>22</v>
      </c>
      <c r="AC3167">
        <v>-19.040799999999901</v>
      </c>
      <c r="AD3167">
        <v>-1.120825235219</v>
      </c>
      <c r="AE3167">
        <v>-0.42930000000001201</v>
      </c>
      <c r="AF3167">
        <v>-0.50806600311064198</v>
      </c>
      <c r="AG3167">
        <v>-1.120825235219</v>
      </c>
      <c r="AH3167">
        <v>18.973105327834901</v>
      </c>
      <c r="AI3167">
        <v>93.379577307624501</v>
      </c>
      <c r="AJ3167">
        <v>91.533912460462403</v>
      </c>
      <c r="AK3167">
        <v>19.012972046803601</v>
      </c>
      <c r="AL3167">
        <v>80.824254130437595</v>
      </c>
      <c r="AM3167">
        <v>90.116185220124507</v>
      </c>
      <c r="AN3167">
        <v>0.99999997271680297</v>
      </c>
    </row>
    <row r="3168" spans="1:40" x14ac:dyDescent="0.25">
      <c r="A3168" t="str">
        <f>"20190303161937638"</f>
        <v>20190303161937638</v>
      </c>
      <c r="B3168" t="str">
        <f>"1551601177625390"</f>
        <v>1551601177625390</v>
      </c>
      <c r="C3168" t="s">
        <v>40</v>
      </c>
      <c r="D3168">
        <v>4.5414649999999996</v>
      </c>
      <c r="E3168">
        <v>0.49131649999999999</v>
      </c>
      <c r="F3168" t="s">
        <v>56</v>
      </c>
      <c r="G3168">
        <v>-292.28989999999999</v>
      </c>
      <c r="H3168" s="1">
        <v>2.7336450000000002E-6</v>
      </c>
      <c r="I3168">
        <v>283.22430000000003</v>
      </c>
      <c r="J3168">
        <v>-273.53769999999997</v>
      </c>
      <c r="K3168">
        <v>1.1208260000000001</v>
      </c>
      <c r="L3168">
        <v>283.63420000000002</v>
      </c>
      <c r="M3168">
        <v>-0.99996189999999996</v>
      </c>
      <c r="N3168">
        <v>-7.6051340000000004E-3</v>
      </c>
      <c r="O3168">
        <v>4.285128E-3</v>
      </c>
      <c r="P3168">
        <v>-0.98842260000000004</v>
      </c>
      <c r="Q3168">
        <v>0.1517096</v>
      </c>
      <c r="R3168">
        <v>2.2255090000000001E-3</v>
      </c>
      <c r="S3168">
        <v>-3.0633240000000002</v>
      </c>
      <c r="T3168">
        <v>-0.18190339999999999</v>
      </c>
      <c r="U3168">
        <v>-6.6436770000000006E-2</v>
      </c>
      <c r="V3168">
        <v>-1.9793469999999998E-3</v>
      </c>
      <c r="W3168">
        <v>0.1592228</v>
      </c>
      <c r="X3168">
        <v>0.98724069999999997</v>
      </c>
      <c r="Y3168">
        <v>-2.5909539999999998E-2</v>
      </c>
      <c r="Z3168">
        <v>-1.0887780000000001E-3</v>
      </c>
      <c r="AA3168">
        <v>0.99966370000000004</v>
      </c>
      <c r="AB3168">
        <v>23</v>
      </c>
      <c r="AC3168">
        <v>-18.752199999999998</v>
      </c>
      <c r="AD3168">
        <v>-1.120823266355</v>
      </c>
      <c r="AE3168">
        <v>-0.40989999999999299</v>
      </c>
      <c r="AF3168">
        <v>-0.48850977950247099</v>
      </c>
      <c r="AG3168">
        <v>-1.120823266355</v>
      </c>
      <c r="AH3168">
        <v>18.683556539625801</v>
      </c>
      <c r="AI3168">
        <v>93.431879325382099</v>
      </c>
      <c r="AJ3168">
        <v>91.497743372053904</v>
      </c>
      <c r="AK3168">
        <v>18.7235192089646</v>
      </c>
      <c r="AL3168">
        <v>80.838212436417606</v>
      </c>
      <c r="AM3168">
        <v>90.114873786438395</v>
      </c>
      <c r="AN3168">
        <v>1.0000000087954299</v>
      </c>
    </row>
    <row r="3169" spans="1:40" x14ac:dyDescent="0.25">
      <c r="A3169" t="str">
        <f>"20190303161937649"</f>
        <v>20190303161937649</v>
      </c>
      <c r="B3169" t="str">
        <f>"1551601177645886"</f>
        <v>1551601177645886</v>
      </c>
      <c r="C3169" t="s">
        <v>40</v>
      </c>
      <c r="D3169">
        <v>4.4440080000000002</v>
      </c>
      <c r="E3169">
        <v>0.49965999999999999</v>
      </c>
      <c r="F3169" t="s">
        <v>56</v>
      </c>
      <c r="G3169">
        <v>-292.34320000000002</v>
      </c>
      <c r="H3169" s="1">
        <v>2.7425940000000001E-6</v>
      </c>
      <c r="I3169">
        <v>283.22989999999999</v>
      </c>
      <c r="J3169">
        <v>-273.65699999999998</v>
      </c>
      <c r="K3169">
        <v>1.1208229999999999</v>
      </c>
      <c r="L3169">
        <v>283.63479999999998</v>
      </c>
      <c r="M3169">
        <v>-0.99996189999999996</v>
      </c>
      <c r="N3169">
        <v>-7.5822299999999997E-3</v>
      </c>
      <c r="O3169">
        <v>4.3392159999999999E-3</v>
      </c>
      <c r="P3169">
        <v>-0.98851480000000003</v>
      </c>
      <c r="Q3169">
        <v>0.1511016</v>
      </c>
      <c r="R3169">
        <v>2.6441070000000001E-3</v>
      </c>
      <c r="S3169">
        <v>-3.0633539999999999</v>
      </c>
      <c r="T3169">
        <v>-0.1825782</v>
      </c>
      <c r="U3169">
        <v>-6.5856929999999994E-2</v>
      </c>
      <c r="V3169">
        <v>-1.6146789999999999E-3</v>
      </c>
      <c r="W3169">
        <v>0.15859239999999999</v>
      </c>
      <c r="X3169">
        <v>0.98734279999999996</v>
      </c>
      <c r="Y3169">
        <v>-2.577407E-2</v>
      </c>
      <c r="Z3169">
        <v>-1.0906220000000001E-3</v>
      </c>
      <c r="AA3169">
        <v>0.99966719999999998</v>
      </c>
      <c r="AB3169">
        <v>23</v>
      </c>
      <c r="AC3169">
        <v>-18.686199999999999</v>
      </c>
      <c r="AD3169">
        <v>-1.120820257406</v>
      </c>
      <c r="AE3169">
        <v>-0.40489999999999698</v>
      </c>
      <c r="AF3169">
        <v>-0.48424061689099701</v>
      </c>
      <c r="AG3169">
        <v>-1.120820257406</v>
      </c>
      <c r="AH3169">
        <v>18.6173182059742</v>
      </c>
      <c r="AI3169">
        <v>93.444063207694597</v>
      </c>
      <c r="AJ3169">
        <v>91.489940122946294</v>
      </c>
      <c r="AK3169">
        <v>18.657311280218199</v>
      </c>
      <c r="AL3169">
        <v>80.874796294423206</v>
      </c>
      <c r="AM3169">
        <v>90.093700191557801</v>
      </c>
      <c r="AN3169">
        <v>0.99999998061893602</v>
      </c>
    </row>
    <row r="3170" spans="1:40" x14ac:dyDescent="0.25">
      <c r="A3170" t="str">
        <f>"20190303161937789"</f>
        <v>20190303161937789</v>
      </c>
      <c r="B3170" t="str">
        <f>"1551601177785455"</f>
        <v>1551601177785455</v>
      </c>
      <c r="C3170" t="s">
        <v>40</v>
      </c>
      <c r="D3170">
        <v>4.0565329999999999</v>
      </c>
      <c r="E3170">
        <v>0.52632840000000003</v>
      </c>
      <c r="F3170" t="s">
        <v>56</v>
      </c>
      <c r="G3170">
        <v>-296.3338</v>
      </c>
      <c r="H3170" s="1">
        <v>3.413562E-6</v>
      </c>
      <c r="I3170">
        <v>283.65199999999999</v>
      </c>
      <c r="J3170">
        <v>-275.089</v>
      </c>
      <c r="K3170">
        <v>1.1207689999999999</v>
      </c>
      <c r="L3170">
        <v>283.64210000000003</v>
      </c>
      <c r="M3170">
        <v>-0.99995990000000001</v>
      </c>
      <c r="N3170">
        <v>-7.4479180000000004E-3</v>
      </c>
      <c r="O3170">
        <v>4.9845899999999997E-3</v>
      </c>
      <c r="P3170">
        <v>-0.98937640000000004</v>
      </c>
      <c r="Q3170">
        <v>0.14537549999999999</v>
      </c>
      <c r="R3170">
        <v>-7.5348139999999999E-4</v>
      </c>
      <c r="S3170">
        <v>-3.057922</v>
      </c>
      <c r="T3170">
        <v>-0.1511402</v>
      </c>
      <c r="U3170">
        <v>2.319336E-3</v>
      </c>
      <c r="V3170">
        <v>-5.6542299999999997E-3</v>
      </c>
      <c r="W3170">
        <v>0.1527414</v>
      </c>
      <c r="X3170">
        <v>0.98824999999999996</v>
      </c>
      <c r="Y3170">
        <v>-4.2159559999999999E-3</v>
      </c>
      <c r="Z3170">
        <v>-3.2894599999999999E-4</v>
      </c>
      <c r="AA3170">
        <v>0.99999110000000002</v>
      </c>
      <c r="AB3170">
        <v>23</v>
      </c>
      <c r="AC3170">
        <v>-21.244800000000001</v>
      </c>
      <c r="AD3170">
        <v>-1.1207655864379999</v>
      </c>
      <c r="AE3170">
        <v>9.8999999999591602E-3</v>
      </c>
      <c r="AF3170">
        <v>-9.5733239217226304E-2</v>
      </c>
      <c r="AG3170">
        <v>-1.1207655864379999</v>
      </c>
      <c r="AH3170">
        <v>21.185624323794102</v>
      </c>
      <c r="AI3170">
        <v>93.028217556433802</v>
      </c>
      <c r="AJ3170">
        <v>90.258905432696494</v>
      </c>
      <c r="AK3170">
        <v>21.215465074840399</v>
      </c>
      <c r="AL3170">
        <v>81.214171582289794</v>
      </c>
      <c r="AM3170">
        <v>90.327811768758906</v>
      </c>
      <c r="AN3170">
        <v>0.999999984045426</v>
      </c>
    </row>
    <row r="3171" spans="1:40" x14ac:dyDescent="0.25">
      <c r="A3171" t="str">
        <f>"20190303161937805"</f>
        <v>20190303161937805</v>
      </c>
      <c r="B3171" t="str">
        <f>"1551601177795214"</f>
        <v>1551601177795214</v>
      </c>
      <c r="C3171" t="s">
        <v>40</v>
      </c>
      <c r="D3171">
        <v>4.3256639999999997</v>
      </c>
      <c r="E3171">
        <v>0.5291266</v>
      </c>
      <c r="F3171" t="s">
        <v>42</v>
      </c>
      <c r="G3171">
        <v>-275.88119999999998</v>
      </c>
      <c r="H3171">
        <v>0.81183280000000002</v>
      </c>
      <c r="I3171">
        <v>283.69310000000002</v>
      </c>
      <c r="J3171">
        <v>-275.26440000000002</v>
      </c>
      <c r="K3171">
        <v>1.120763</v>
      </c>
      <c r="L3171">
        <v>283.64299999999997</v>
      </c>
      <c r="M3171">
        <v>-0.9999595</v>
      </c>
      <c r="N3171">
        <v>-7.4435400000000002E-3</v>
      </c>
      <c r="O3171">
        <v>5.062988E-3</v>
      </c>
      <c r="P3171">
        <v>-0.98932339999999996</v>
      </c>
      <c r="Q3171">
        <v>0.14572850000000001</v>
      </c>
      <c r="R3171">
        <v>-1.5737780000000001E-3</v>
      </c>
      <c r="S3171">
        <v>-3.216675</v>
      </c>
      <c r="T3171">
        <v>-1.2543470000000001</v>
      </c>
      <c r="U3171">
        <v>0.20657349999999999</v>
      </c>
      <c r="V3171">
        <v>-6.5520419999999897E-3</v>
      </c>
      <c r="W3171">
        <v>0.15309010000000001</v>
      </c>
      <c r="X3171">
        <v>0.98819049999999997</v>
      </c>
      <c r="Y3171">
        <v>5.5269690000000003E-2</v>
      </c>
      <c r="Z3171">
        <v>8.7324610000000004E-3</v>
      </c>
      <c r="AA3171">
        <v>0.99843329999999997</v>
      </c>
      <c r="AB3171">
        <v>23</v>
      </c>
      <c r="AC3171">
        <v>-0.61679999999995505</v>
      </c>
      <c r="AD3171">
        <v>-0.30893019999999899</v>
      </c>
      <c r="AE3171">
        <v>5.0100000000043103E-2</v>
      </c>
      <c r="AF3171">
        <v>3.7604718801576301E-2</v>
      </c>
      <c r="AG3171">
        <v>-0.30893019999999899</v>
      </c>
      <c r="AH3171">
        <v>0.493946366736358</v>
      </c>
      <c r="AI3171">
        <v>121.948821219978</v>
      </c>
      <c r="AJ3171">
        <v>85.6464029327216</v>
      </c>
      <c r="AK3171">
        <v>0.583810754063536</v>
      </c>
      <c r="AL3171">
        <v>81.193954796845404</v>
      </c>
      <c r="AM3171">
        <v>90.379885105990297</v>
      </c>
      <c r="AN3171">
        <v>0.99999998613131402</v>
      </c>
    </row>
    <row r="3172" spans="1:40" x14ac:dyDescent="0.25">
      <c r="A3172" t="str">
        <f>"20190303161937819"</f>
        <v>20190303161937819</v>
      </c>
      <c r="B3172" t="str">
        <f>"1551601177815711"</f>
        <v>1551601177815711</v>
      </c>
      <c r="C3172" t="s">
        <v>40</v>
      </c>
      <c r="D3172">
        <v>4.6723850000000002</v>
      </c>
      <c r="E3172">
        <v>0.53444389999999997</v>
      </c>
      <c r="F3172" t="s">
        <v>42</v>
      </c>
      <c r="G3172">
        <v>-276.09980000000002</v>
      </c>
      <c r="H3172">
        <v>0.83623769999999997</v>
      </c>
      <c r="I3172">
        <v>283.7029</v>
      </c>
      <c r="J3172">
        <v>-275.4092</v>
      </c>
      <c r="K3172">
        <v>1.120763</v>
      </c>
      <c r="L3172">
        <v>283.6438</v>
      </c>
      <c r="M3172">
        <v>-0.99995919999999905</v>
      </c>
      <c r="N3172">
        <v>-7.4415790000000002E-3</v>
      </c>
      <c r="O3172">
        <v>5.1268879999999996E-3</v>
      </c>
      <c r="P3172">
        <v>-0.98932290000000001</v>
      </c>
      <c r="Q3172">
        <v>0.145729</v>
      </c>
      <c r="R3172">
        <v>-1.8581979999999999E-3</v>
      </c>
      <c r="S3172">
        <v>-3.1929020000000001</v>
      </c>
      <c r="T3172">
        <v>-1.0873569999999999</v>
      </c>
      <c r="U3172">
        <v>0.22738649999999999</v>
      </c>
      <c r="V3172">
        <v>-6.8993229999999997E-3</v>
      </c>
      <c r="W3172">
        <v>0.15308820000000001</v>
      </c>
      <c r="X3172">
        <v>0.98818839999999997</v>
      </c>
      <c r="Y3172">
        <v>6.2602179999999993E-2</v>
      </c>
      <c r="Z3172">
        <v>8.9360829999999992E-3</v>
      </c>
      <c r="AA3172">
        <v>0.99799850000000001</v>
      </c>
      <c r="AB3172">
        <v>23</v>
      </c>
      <c r="AC3172">
        <v>-0.69060000000001698</v>
      </c>
      <c r="AD3172">
        <v>-0.28452529999999898</v>
      </c>
      <c r="AE3172">
        <v>5.9100000000000798E-2</v>
      </c>
      <c r="AF3172">
        <v>4.7546540288929601E-2</v>
      </c>
      <c r="AG3172">
        <v>-0.28452529999999898</v>
      </c>
      <c r="AH3172">
        <v>0.59126179088841402</v>
      </c>
      <c r="AI3172">
        <v>115.625576483906</v>
      </c>
      <c r="AJ3172">
        <v>85.402431475299693</v>
      </c>
      <c r="AK3172">
        <v>0.65787979540194996</v>
      </c>
      <c r="AL3172">
        <v>81.194064687836104</v>
      </c>
      <c r="AM3172">
        <v>90.400020549254904</v>
      </c>
      <c r="AN3172">
        <v>0.99999995576582801</v>
      </c>
    </row>
    <row r="3173" spans="1:40" x14ac:dyDescent="0.25">
      <c r="A3173" t="str">
        <f>"20190303161937839"</f>
        <v>20190303161937839</v>
      </c>
      <c r="B3173" t="str">
        <f>"1551601177835230"</f>
        <v>1551601177835230</v>
      </c>
      <c r="C3173" t="s">
        <v>40</v>
      </c>
      <c r="D3173">
        <v>4.5447649999999999</v>
      </c>
      <c r="E3173">
        <v>0.53639979999999998</v>
      </c>
      <c r="F3173" t="s">
        <v>42</v>
      </c>
      <c r="G3173">
        <v>-276.13869999999997</v>
      </c>
      <c r="H3173">
        <v>0.93044830000000001</v>
      </c>
      <c r="I3173">
        <v>283.70650000000001</v>
      </c>
      <c r="J3173">
        <v>-275.61489999999998</v>
      </c>
      <c r="K3173">
        <v>1.12076</v>
      </c>
      <c r="L3173">
        <v>283.64499999999998</v>
      </c>
      <c r="M3173">
        <v>-0.99995880000000004</v>
      </c>
      <c r="N3173">
        <v>-7.4403179999999996E-3</v>
      </c>
      <c r="O3173">
        <v>5.21647E-3</v>
      </c>
      <c r="P3173">
        <v>-0.98921400000000004</v>
      </c>
      <c r="Q3173">
        <v>0.14645620000000001</v>
      </c>
      <c r="R3173">
        <v>-2.5348269999999999E-3</v>
      </c>
      <c r="S3173">
        <v>-3.154083</v>
      </c>
      <c r="T3173">
        <v>-0.82286729999999997</v>
      </c>
      <c r="U3173">
        <v>0.26940920000000002</v>
      </c>
      <c r="V3173">
        <v>-7.6650969999999896E-3</v>
      </c>
      <c r="W3173">
        <v>0.1538138</v>
      </c>
      <c r="X3173">
        <v>0.98807009999999995</v>
      </c>
      <c r="Y3173">
        <v>7.7421909999999997E-2</v>
      </c>
      <c r="Z3173">
        <v>8.9112589999999995E-3</v>
      </c>
      <c r="AA3173">
        <v>0.99695860000000003</v>
      </c>
      <c r="AB3173">
        <v>23</v>
      </c>
      <c r="AC3173">
        <v>-0.52379999999999405</v>
      </c>
      <c r="AD3173">
        <v>-0.1903117</v>
      </c>
      <c r="AE3173">
        <v>6.1500000000023598E-2</v>
      </c>
      <c r="AF3173">
        <v>5.1996134206383098E-2</v>
      </c>
      <c r="AG3173">
        <v>-0.1903117</v>
      </c>
      <c r="AH3173">
        <v>0.46373006532031502</v>
      </c>
      <c r="AI3173">
        <v>112.187480764551</v>
      </c>
      <c r="AJ3173">
        <v>83.602382652337397</v>
      </c>
      <c r="AK3173">
        <v>0.50395209555202902</v>
      </c>
      <c r="AL3173">
        <v>81.151992798034399</v>
      </c>
      <c r="AM3173">
        <v>90.444471397239099</v>
      </c>
      <c r="AN3173">
        <v>0.99999998064823403</v>
      </c>
    </row>
    <row r="3174" spans="1:40" x14ac:dyDescent="0.25">
      <c r="A3174" t="str">
        <f>"20190303161937851"</f>
        <v>20190303161937851</v>
      </c>
      <c r="B3174" t="str">
        <f>"1551601177845967"</f>
        <v>1551601177845967</v>
      </c>
      <c r="C3174" t="s">
        <v>40</v>
      </c>
      <c r="D3174">
        <v>4.5004330000000001</v>
      </c>
      <c r="E3174">
        <v>0.53729950000000004</v>
      </c>
      <c r="F3174" t="s">
        <v>42</v>
      </c>
      <c r="G3174">
        <v>-276.3587</v>
      </c>
      <c r="H3174">
        <v>0.95188439999999996</v>
      </c>
      <c r="I3174">
        <v>283.7122</v>
      </c>
      <c r="J3174">
        <v>-275.7405</v>
      </c>
      <c r="K3174">
        <v>1.1207590000000001</v>
      </c>
      <c r="L3174">
        <v>283.64580000000001</v>
      </c>
      <c r="M3174">
        <v>-0.99995849999999997</v>
      </c>
      <c r="N3174">
        <v>-7.4404939999999998E-3</v>
      </c>
      <c r="O3174">
        <v>5.2698049999999998E-3</v>
      </c>
      <c r="P3174">
        <v>-0.98909320000000001</v>
      </c>
      <c r="Q3174">
        <v>0.14727019999999999</v>
      </c>
      <c r="R3174">
        <v>-2.5194729999999999E-3</v>
      </c>
      <c r="S3174">
        <v>-3.138916</v>
      </c>
      <c r="T3174">
        <v>-0.71267769999999897</v>
      </c>
      <c r="U3174">
        <v>0.28329470000000001</v>
      </c>
      <c r="V3174">
        <v>-7.7013289999999998E-3</v>
      </c>
      <c r="W3174">
        <v>0.1546265</v>
      </c>
      <c r="X3174">
        <v>0.98794300000000002</v>
      </c>
      <c r="Y3174">
        <v>8.2605730000000002E-2</v>
      </c>
      <c r="Z3174">
        <v>8.4132110000000003E-3</v>
      </c>
      <c r="AA3174">
        <v>0.99654679999999995</v>
      </c>
      <c r="AB3174">
        <v>23</v>
      </c>
      <c r="AC3174">
        <v>-0.61820000000000097</v>
      </c>
      <c r="AD3174">
        <v>-0.16887460000000001</v>
      </c>
      <c r="AE3174">
        <v>6.6399999999987303E-2</v>
      </c>
      <c r="AF3174">
        <v>5.8803190510380403E-2</v>
      </c>
      <c r="AG3174">
        <v>-0.16887460000000001</v>
      </c>
      <c r="AH3174">
        <v>0.57604555210457198</v>
      </c>
      <c r="AI3174">
        <v>106.259127934516</v>
      </c>
      <c r="AJ3174">
        <v>84.171390719652607</v>
      </c>
      <c r="AK3174">
        <v>0.60316243569939099</v>
      </c>
      <c r="AL3174">
        <v>81.104865035087599</v>
      </c>
      <c r="AM3174">
        <v>90.446629725384199</v>
      </c>
      <c r="AN3174">
        <v>1.0000000181098001</v>
      </c>
    </row>
    <row r="3175" spans="1:40" x14ac:dyDescent="0.25">
      <c r="A3175" t="str">
        <f>"20190303161937863"</f>
        <v>20190303161937863</v>
      </c>
      <c r="B3175" t="str">
        <f>"1551601177855727"</f>
        <v>1551601177855727</v>
      </c>
      <c r="C3175" t="s">
        <v>40</v>
      </c>
      <c r="D3175">
        <v>4.5140560000000001</v>
      </c>
      <c r="E3175">
        <v>0.53726649999999998</v>
      </c>
      <c r="F3175" t="s">
        <v>42</v>
      </c>
      <c r="G3175">
        <v>-276.5641</v>
      </c>
      <c r="H3175">
        <v>0.94175359999999997</v>
      </c>
      <c r="I3175">
        <v>283.72250000000003</v>
      </c>
      <c r="J3175">
        <v>-275.87380000000002</v>
      </c>
      <c r="K3175">
        <v>1.12076</v>
      </c>
      <c r="L3175">
        <v>283.6465</v>
      </c>
      <c r="M3175">
        <v>-0.99995820000000002</v>
      </c>
      <c r="N3175">
        <v>-7.4412660000000002E-3</v>
      </c>
      <c r="O3175">
        <v>5.3255790000000004E-3</v>
      </c>
      <c r="P3175">
        <v>-0.98902489999999998</v>
      </c>
      <c r="Q3175">
        <v>0.14772379999999999</v>
      </c>
      <c r="R3175">
        <v>-2.6739540000000001E-3</v>
      </c>
      <c r="S3175">
        <v>-3.1352540000000002</v>
      </c>
      <c r="T3175">
        <v>-0.68152690000000005</v>
      </c>
      <c r="U3175">
        <v>0.29071039999999998</v>
      </c>
      <c r="V3175">
        <v>-7.9118069999999999E-3</v>
      </c>
      <c r="W3175">
        <v>0.15508069999999999</v>
      </c>
      <c r="X3175">
        <v>0.98787020000000003</v>
      </c>
      <c r="Y3175">
        <v>8.5097950000000006E-2</v>
      </c>
      <c r="Z3175">
        <v>8.341757E-3</v>
      </c>
      <c r="AA3175">
        <v>0.99633769999999999</v>
      </c>
      <c r="AB3175">
        <v>23</v>
      </c>
      <c r="AC3175">
        <v>-0.69029999999997904</v>
      </c>
      <c r="AD3175">
        <v>-0.17900639999999901</v>
      </c>
      <c r="AE3175">
        <v>7.60000000000218E-2</v>
      </c>
      <c r="AF3175">
        <v>6.7816831918447895E-2</v>
      </c>
      <c r="AG3175">
        <v>-0.17900639999999901</v>
      </c>
      <c r="AH3175">
        <v>0.64766423728887501</v>
      </c>
      <c r="AI3175">
        <v>105.370115914856</v>
      </c>
      <c r="AJ3175">
        <v>84.022350037925705</v>
      </c>
      <c r="AK3175">
        <v>0.67536018404655396</v>
      </c>
      <c r="AL3175">
        <v>81.078524067982698</v>
      </c>
      <c r="AM3175">
        <v>90.458869452135104</v>
      </c>
      <c r="AN3175">
        <v>1.0000000761252601</v>
      </c>
    </row>
    <row r="3176" spans="1:40" x14ac:dyDescent="0.25">
      <c r="A3176" t="str">
        <f>"20190303161937876"</f>
        <v>20190303161937876</v>
      </c>
      <c r="B3176" t="str">
        <f>"1551601177865486"</f>
        <v>1551601177865486</v>
      </c>
      <c r="C3176" t="s">
        <v>40</v>
      </c>
      <c r="D3176">
        <v>4.5287129999999998</v>
      </c>
      <c r="E3176">
        <v>0.53725889999999998</v>
      </c>
      <c r="F3176" t="s">
        <v>42</v>
      </c>
      <c r="G3176">
        <v>-276.57909999999998</v>
      </c>
      <c r="H3176">
        <v>0.97238389999999997</v>
      </c>
      <c r="I3176">
        <v>283.71210000000002</v>
      </c>
      <c r="J3176">
        <v>-276.00259999999997</v>
      </c>
      <c r="K3176">
        <v>1.1207579999999999</v>
      </c>
      <c r="L3176">
        <v>283.6472</v>
      </c>
      <c r="M3176">
        <v>-0.99995789999999996</v>
      </c>
      <c r="N3176">
        <v>-7.4429229999999997E-3</v>
      </c>
      <c r="O3176">
        <v>5.3759799999999998E-3</v>
      </c>
      <c r="P3176">
        <v>-0.98892500000000005</v>
      </c>
      <c r="Q3176">
        <v>0.1483912</v>
      </c>
      <c r="R3176">
        <v>-2.7681120000000001E-3</v>
      </c>
      <c r="S3176">
        <v>-3.1325379999999998</v>
      </c>
      <c r="T3176">
        <v>-0.65917709999999996</v>
      </c>
      <c r="U3176">
        <v>0.28997800000000001</v>
      </c>
      <c r="V3176">
        <v>-8.0555609999999993E-3</v>
      </c>
      <c r="W3176">
        <v>0.1557491</v>
      </c>
      <c r="X3176">
        <v>0.98776379999999997</v>
      </c>
      <c r="Y3176">
        <v>8.5016449999999993E-2</v>
      </c>
      <c r="Z3176">
        <v>8.073284E-3</v>
      </c>
      <c r="AA3176">
        <v>0.99634679999999998</v>
      </c>
      <c r="AB3176">
        <v>23</v>
      </c>
      <c r="AC3176">
        <v>-0.57650000000001</v>
      </c>
      <c r="AD3176">
        <v>-0.14837409999999901</v>
      </c>
      <c r="AE3176">
        <v>6.4900000000022801E-2</v>
      </c>
      <c r="AF3176">
        <v>5.80055458011337E-2</v>
      </c>
      <c r="AG3176">
        <v>-0.14837409999999901</v>
      </c>
      <c r="AH3176">
        <v>0.54142560065969103</v>
      </c>
      <c r="AI3176">
        <v>105.24214809105899</v>
      </c>
      <c r="AJ3176">
        <v>83.884950495759995</v>
      </c>
      <c r="AK3176">
        <v>0.56437682264972999</v>
      </c>
      <c r="AL3176">
        <v>81.039755824566399</v>
      </c>
      <c r="AM3176">
        <v>90.467256863229807</v>
      </c>
      <c r="AN3176">
        <v>0.99999999940213702</v>
      </c>
    </row>
    <row r="3177" spans="1:40" x14ac:dyDescent="0.25">
      <c r="A3177" t="str">
        <f>"20190303161937894"</f>
        <v>20190303161937894</v>
      </c>
      <c r="B3177" t="str">
        <f>"1551601177885983"</f>
        <v>1551601177885983</v>
      </c>
      <c r="C3177" t="s">
        <v>40</v>
      </c>
      <c r="D3177">
        <v>4.5150389999999998</v>
      </c>
      <c r="E3177">
        <v>0.53764499999999904</v>
      </c>
      <c r="F3177" t="s">
        <v>42</v>
      </c>
      <c r="G3177">
        <v>-276.78449999999998</v>
      </c>
      <c r="H3177">
        <v>0.96086059999999995</v>
      </c>
      <c r="I3177">
        <v>283.71969999999999</v>
      </c>
      <c r="J3177">
        <v>-276.19549999999998</v>
      </c>
      <c r="K3177">
        <v>1.120768</v>
      </c>
      <c r="L3177">
        <v>283.64839999999998</v>
      </c>
      <c r="M3177">
        <v>-0.9999576</v>
      </c>
      <c r="N3177">
        <v>-7.4462299999999999E-3</v>
      </c>
      <c r="O3177">
        <v>5.4473949999999998E-3</v>
      </c>
      <c r="P3177">
        <v>-0.98871750000000003</v>
      </c>
      <c r="Q3177">
        <v>0.14976059999999999</v>
      </c>
      <c r="R3177">
        <v>-3.1068760000000002E-3</v>
      </c>
      <c r="S3177">
        <v>-3.1304630000000002</v>
      </c>
      <c r="T3177">
        <v>-0.6401713</v>
      </c>
      <c r="U3177">
        <v>0.28967290000000001</v>
      </c>
      <c r="V3177">
        <v>-8.4653550000000008E-3</v>
      </c>
      <c r="W3177">
        <v>0.15712010000000001</v>
      </c>
      <c r="X3177">
        <v>0.98754319999999896</v>
      </c>
      <c r="Y3177">
        <v>8.5008429999999996E-2</v>
      </c>
      <c r="Z3177">
        <v>7.8455699999999996E-3</v>
      </c>
      <c r="AA3177">
        <v>0.99634929999999999</v>
      </c>
      <c r="AB3177">
        <v>24</v>
      </c>
      <c r="AC3177">
        <v>-0.58899999999999797</v>
      </c>
      <c r="AD3177">
        <v>-0.15990740000000001</v>
      </c>
      <c r="AE3177">
        <v>7.1300000000007899E-2</v>
      </c>
      <c r="AF3177">
        <v>6.3479081187685096E-2</v>
      </c>
      <c r="AG3177">
        <v>-0.15990740000000001</v>
      </c>
      <c r="AH3177">
        <v>0.54946532898006595</v>
      </c>
      <c r="AI3177">
        <v>106.12462048976001</v>
      </c>
      <c r="AJ3177">
        <v>83.409901708629405</v>
      </c>
      <c r="AK3177">
        <v>0.57577089026310202</v>
      </c>
      <c r="AL3177">
        <v>80.960223958053703</v>
      </c>
      <c r="AM3177">
        <v>90.491135206923403</v>
      </c>
      <c r="AN3177">
        <v>0.99999997996276202</v>
      </c>
    </row>
    <row r="3178" spans="1:40" x14ac:dyDescent="0.25">
      <c r="A3178" t="str">
        <f>"20190303161937906"</f>
        <v>20190303161937906</v>
      </c>
      <c r="B3178" t="str">
        <f>"1551601177895743"</f>
        <v>1551601177895743</v>
      </c>
      <c r="C3178" t="s">
        <v>40</v>
      </c>
      <c r="D3178">
        <v>4.4658389999999999</v>
      </c>
      <c r="E3178">
        <v>0.53806330000000002</v>
      </c>
      <c r="F3178" t="s">
        <v>42</v>
      </c>
      <c r="G3178">
        <v>-276.9982</v>
      </c>
      <c r="H3178">
        <v>0.96497060000000001</v>
      </c>
      <c r="I3178">
        <v>283.72340000000003</v>
      </c>
      <c r="J3178">
        <v>-276.32420000000002</v>
      </c>
      <c r="K3178">
        <v>1.120781</v>
      </c>
      <c r="L3178">
        <v>283.64909999999998</v>
      </c>
      <c r="M3178">
        <v>-0.99995719999999999</v>
      </c>
      <c r="N3178">
        <v>-7.4489659999999996E-3</v>
      </c>
      <c r="O3178">
        <v>5.4922340000000004E-3</v>
      </c>
      <c r="P3178">
        <v>-0.98861270000000001</v>
      </c>
      <c r="Q3178">
        <v>0.15044350000000001</v>
      </c>
      <c r="R3178">
        <v>-3.4371639999999999E-3</v>
      </c>
      <c r="S3178">
        <v>-3.127075</v>
      </c>
      <c r="T3178">
        <v>-0.60695049999999995</v>
      </c>
      <c r="U3178">
        <v>0.29135129999999998</v>
      </c>
      <c r="V3178">
        <v>-8.8401539999999994E-3</v>
      </c>
      <c r="W3178">
        <v>0.15780469999999999</v>
      </c>
      <c r="X3178">
        <v>0.98743080000000005</v>
      </c>
      <c r="Y3178">
        <v>8.5743840000000002E-2</v>
      </c>
      <c r="Z3178">
        <v>7.5366640000000002E-3</v>
      </c>
      <c r="AA3178">
        <v>0.99628870000000003</v>
      </c>
      <c r="AB3178">
        <v>24</v>
      </c>
      <c r="AC3178">
        <v>-0.67399999999997795</v>
      </c>
      <c r="AD3178">
        <v>-0.15581039999999999</v>
      </c>
      <c r="AE3178">
        <v>7.4300000000050603E-2</v>
      </c>
      <c r="AF3178">
        <v>6.7056483211367507E-2</v>
      </c>
      <c r="AG3178">
        <v>-0.15581039999999999</v>
      </c>
      <c r="AH3178">
        <v>0.64057602499592703</v>
      </c>
      <c r="AI3178">
        <v>103.599324013377</v>
      </c>
      <c r="AJ3178">
        <v>84.023955227224306</v>
      </c>
      <c r="AK3178">
        <v>0.66265458308866998</v>
      </c>
      <c r="AL3178">
        <v>80.920504197475097</v>
      </c>
      <c r="AM3178">
        <v>90.512937193091105</v>
      </c>
      <c r="AN3178">
        <v>1.0000000282267301</v>
      </c>
    </row>
    <row r="3179" spans="1:40" x14ac:dyDescent="0.25">
      <c r="A3179" t="str">
        <f>"20190303161937919"</f>
        <v>20190303161937919</v>
      </c>
      <c r="B3179" t="str">
        <f>"1551601177916239"</f>
        <v>1551601177916239</v>
      </c>
      <c r="C3179" t="s">
        <v>40</v>
      </c>
      <c r="D3179">
        <v>4.4749489999999996</v>
      </c>
      <c r="E3179">
        <v>0.53886369999999995</v>
      </c>
      <c r="F3179" t="s">
        <v>42</v>
      </c>
      <c r="G3179">
        <v>-277.20519999999999</v>
      </c>
      <c r="H3179">
        <v>0.95372880000000004</v>
      </c>
      <c r="I3179">
        <v>283.73200000000003</v>
      </c>
      <c r="J3179">
        <v>-276.46260000000001</v>
      </c>
      <c r="K3179">
        <v>1.1207879999999999</v>
      </c>
      <c r="L3179">
        <v>283.6499</v>
      </c>
      <c r="M3179">
        <v>-0.99995690000000004</v>
      </c>
      <c r="N3179">
        <v>-7.45263099999999E-3</v>
      </c>
      <c r="O3179">
        <v>5.535094E-3</v>
      </c>
      <c r="P3179">
        <v>-0.98852569999999995</v>
      </c>
      <c r="Q3179">
        <v>0.15100849999999999</v>
      </c>
      <c r="R3179">
        <v>-3.7006919999999998E-3</v>
      </c>
      <c r="S3179">
        <v>-3.1257630000000001</v>
      </c>
      <c r="T3179">
        <v>-0.59277729999999995</v>
      </c>
      <c r="U3179">
        <v>0.2938538</v>
      </c>
      <c r="V3179">
        <v>-9.1477139999999995E-3</v>
      </c>
      <c r="W3179">
        <v>0.15837300000000001</v>
      </c>
      <c r="X3179">
        <v>0.98733700000000002</v>
      </c>
      <c r="Y3179">
        <v>8.6584220000000003E-2</v>
      </c>
      <c r="Z3179">
        <v>7.4490609999999999E-3</v>
      </c>
      <c r="AA3179">
        <v>0.99621669999999996</v>
      </c>
      <c r="AB3179">
        <v>24</v>
      </c>
      <c r="AC3179">
        <v>-0.74259999999998105</v>
      </c>
      <c r="AD3179">
        <v>-0.16705919999999899</v>
      </c>
      <c r="AE3179">
        <v>8.2100000000025306E-2</v>
      </c>
      <c r="AF3179">
        <v>7.4274664720978906E-2</v>
      </c>
      <c r="AG3179">
        <v>-0.16705919999999899</v>
      </c>
      <c r="AH3179">
        <v>0.70766125019128501</v>
      </c>
      <c r="AI3179">
        <v>103.212747104331</v>
      </c>
      <c r="AJ3179">
        <v>84.008290828347896</v>
      </c>
      <c r="AK3179">
        <v>0.73089667337206199</v>
      </c>
      <c r="AL3179">
        <v>80.887528252825604</v>
      </c>
      <c r="AM3179">
        <v>90.530832337925702</v>
      </c>
      <c r="AN3179">
        <v>1.0000000196847101</v>
      </c>
    </row>
    <row r="3180" spans="1:40" x14ac:dyDescent="0.25">
      <c r="A3180" t="str">
        <f>"20190303161937931"</f>
        <v>20190303161937931</v>
      </c>
      <c r="B3180" t="str">
        <f>"1551601177925999"</f>
        <v>1551601177925999</v>
      </c>
      <c r="C3180" t="s">
        <v>40</v>
      </c>
      <c r="D3180">
        <v>4.5149489999999997</v>
      </c>
      <c r="E3180">
        <v>0.53893040000000003</v>
      </c>
      <c r="F3180" t="s">
        <v>42</v>
      </c>
      <c r="G3180">
        <v>-277.21940000000001</v>
      </c>
      <c r="H3180">
        <v>0.98285820000000002</v>
      </c>
      <c r="I3180">
        <v>283.72250000000003</v>
      </c>
      <c r="J3180">
        <v>-276.59370000000001</v>
      </c>
      <c r="K3180">
        <v>1.1207929999999999</v>
      </c>
      <c r="L3180">
        <v>283.65069999999997</v>
      </c>
      <c r="M3180">
        <v>-0.99995670000000003</v>
      </c>
      <c r="N3180">
        <v>-7.45648199999999E-3</v>
      </c>
      <c r="O3180">
        <v>5.5719910000000001E-3</v>
      </c>
      <c r="P3180">
        <v>-0.98843959999999997</v>
      </c>
      <c r="Q3180">
        <v>0.15156410000000001</v>
      </c>
      <c r="R3180">
        <v>-3.9743929999999997E-3</v>
      </c>
      <c r="S3180">
        <v>-3.1228940000000001</v>
      </c>
      <c r="T3180">
        <v>-0.56918880000000005</v>
      </c>
      <c r="U3180">
        <v>0.29922490000000002</v>
      </c>
      <c r="V3180">
        <v>-9.4589940000000001E-3</v>
      </c>
      <c r="W3180">
        <v>0.158931399999999</v>
      </c>
      <c r="X3180">
        <v>0.98724429999999996</v>
      </c>
      <c r="Y3180">
        <v>8.8411500000000004E-2</v>
      </c>
      <c r="Z3180">
        <v>7.3427759999999996E-3</v>
      </c>
      <c r="AA3180">
        <v>0.99605699999999997</v>
      </c>
      <c r="AB3180">
        <v>24</v>
      </c>
      <c r="AC3180">
        <v>-0.62569999999999404</v>
      </c>
      <c r="AD3180">
        <v>-0.137934799999999</v>
      </c>
      <c r="AE3180">
        <v>7.1800000000052905E-2</v>
      </c>
      <c r="AF3180">
        <v>6.5185693422288499E-2</v>
      </c>
      <c r="AG3180">
        <v>-0.137934799999999</v>
      </c>
      <c r="AH3180">
        <v>0.59743382493994901</v>
      </c>
      <c r="AI3180">
        <v>102.92645925068901</v>
      </c>
      <c r="AJ3180">
        <v>83.773119469184195</v>
      </c>
      <c r="AK3180">
        <v>0.61660551316085599</v>
      </c>
      <c r="AL3180">
        <v>80.855123554853094</v>
      </c>
      <c r="AM3180">
        <v>90.548946042678494</v>
      </c>
      <c r="AN3180">
        <v>0.99999998517797095</v>
      </c>
    </row>
    <row r="3181" spans="1:40" x14ac:dyDescent="0.25">
      <c r="A3181" t="str">
        <f>"20190303161937943"</f>
        <v>20190303161937943</v>
      </c>
      <c r="B3181" t="str">
        <f>"1551601177935759"</f>
        <v>1551601177935759</v>
      </c>
      <c r="C3181" t="s">
        <v>40</v>
      </c>
      <c r="D3181">
        <v>4.5279119999999997</v>
      </c>
      <c r="E3181">
        <v>0.53897069999999903</v>
      </c>
      <c r="F3181" t="s">
        <v>42</v>
      </c>
      <c r="G3181">
        <v>-277.42680000000001</v>
      </c>
      <c r="H3181">
        <v>0.9713889</v>
      </c>
      <c r="I3181">
        <v>283.73070000000001</v>
      </c>
      <c r="J3181">
        <v>-276.72269999999997</v>
      </c>
      <c r="K3181">
        <v>1.120806</v>
      </c>
      <c r="L3181">
        <v>283.6515</v>
      </c>
      <c r="M3181">
        <v>-0.99995650000000003</v>
      </c>
      <c r="N3181">
        <v>-7.460576E-3</v>
      </c>
      <c r="O3181">
        <v>5.6053680000000003E-3</v>
      </c>
      <c r="P3181">
        <v>-0.98838190000000004</v>
      </c>
      <c r="Q3181">
        <v>0.15193679999999901</v>
      </c>
      <c r="R3181">
        <v>-4.0799169999999997E-3</v>
      </c>
      <c r="S3181">
        <v>-3.1221619999999999</v>
      </c>
      <c r="T3181">
        <v>-0.55995260000000002</v>
      </c>
      <c r="U3181">
        <v>0.29898069999999999</v>
      </c>
      <c r="V3181">
        <v>-9.5986860000000004E-3</v>
      </c>
      <c r="W3181">
        <v>0.15930800000000001</v>
      </c>
      <c r="X3181">
        <v>0.98718229999999996</v>
      </c>
      <c r="Y3181">
        <v>8.8368100000000005E-2</v>
      </c>
      <c r="Z3181">
        <v>7.2235119999999996E-3</v>
      </c>
      <c r="AA3181">
        <v>0.99606170000000005</v>
      </c>
      <c r="AB3181">
        <v>24</v>
      </c>
      <c r="AC3181">
        <v>-0.70410000000003903</v>
      </c>
      <c r="AD3181">
        <v>-0.149417099999999</v>
      </c>
      <c r="AE3181">
        <v>7.9200000000014301E-2</v>
      </c>
      <c r="AF3181">
        <v>7.2047904489529205E-2</v>
      </c>
      <c r="AG3181">
        <v>-0.149417099999999</v>
      </c>
      <c r="AH3181">
        <v>0.67453598432252404</v>
      </c>
      <c r="AI3181">
        <v>102.42152227274001</v>
      </c>
      <c r="AJ3181">
        <v>83.9032918290807</v>
      </c>
      <c r="AK3181">
        <v>0.69463311500366798</v>
      </c>
      <c r="AL3181">
        <v>80.833267949461302</v>
      </c>
      <c r="AM3181">
        <v>90.557087445672906</v>
      </c>
      <c r="AN3181">
        <v>1.0000000335351</v>
      </c>
    </row>
    <row r="3182" spans="1:40" x14ac:dyDescent="0.25">
      <c r="A3182" t="str">
        <f>"20190303161937956"</f>
        <v>20190303161937956</v>
      </c>
      <c r="B3182" t="str">
        <f>"1551601177945519"</f>
        <v>1551601177945519</v>
      </c>
      <c r="C3182" t="s">
        <v>40</v>
      </c>
      <c r="D3182">
        <v>4.5946809999999996</v>
      </c>
      <c r="E3182">
        <v>0.53918089999999996</v>
      </c>
      <c r="F3182" t="s">
        <v>42</v>
      </c>
      <c r="G3182">
        <v>-277.43770000000001</v>
      </c>
      <c r="H3182">
        <v>0.99365119999999896</v>
      </c>
      <c r="I3182">
        <v>283.7201</v>
      </c>
      <c r="J3182">
        <v>-276.84629999999999</v>
      </c>
      <c r="K3182">
        <v>1.1208129999999901</v>
      </c>
      <c r="L3182">
        <v>283.65219999999999</v>
      </c>
      <c r="M3182">
        <v>-0.99995639999999997</v>
      </c>
      <c r="N3182">
        <v>-7.4649979999999996E-3</v>
      </c>
      <c r="O3182">
        <v>5.6296760000000001E-3</v>
      </c>
      <c r="P3182">
        <v>-0.98834509999999998</v>
      </c>
      <c r="Q3182">
        <v>0.152174799999999</v>
      </c>
      <c r="R3182">
        <v>-4.1042120000000003E-3</v>
      </c>
      <c r="S3182">
        <v>-3.1218569999999999</v>
      </c>
      <c r="T3182">
        <v>-0.55522559999999999</v>
      </c>
      <c r="U3182">
        <v>0.29855350000000003</v>
      </c>
      <c r="V3182">
        <v>-9.6496150000000003E-3</v>
      </c>
      <c r="W3182">
        <v>0.15954949999999901</v>
      </c>
      <c r="X3182">
        <v>0.98714270000000004</v>
      </c>
      <c r="Y3182">
        <v>8.8242520000000005E-2</v>
      </c>
      <c r="Z3182">
        <v>7.1518340000000001E-3</v>
      </c>
      <c r="AA3182">
        <v>0.9960734</v>
      </c>
      <c r="AB3182">
        <v>24</v>
      </c>
      <c r="AC3182">
        <v>-0.59140000000002102</v>
      </c>
      <c r="AD3182">
        <v>-0.12716179999999999</v>
      </c>
      <c r="AE3182">
        <v>6.7900000000008703E-2</v>
      </c>
      <c r="AF3182">
        <v>6.1751631078023297E-2</v>
      </c>
      <c r="AG3182">
        <v>-0.12716179999999999</v>
      </c>
      <c r="AH3182">
        <v>0.56594792730916799</v>
      </c>
      <c r="AI3182">
        <v>102.591050555553</v>
      </c>
      <c r="AJ3182">
        <v>83.772984650688898</v>
      </c>
      <c r="AK3182">
        <v>0.58333561844411597</v>
      </c>
      <c r="AL3182">
        <v>80.819250823136599</v>
      </c>
      <c r="AM3182">
        <v>90.560065534542204</v>
      </c>
      <c r="AN3182">
        <v>0.99999993409159105</v>
      </c>
    </row>
    <row r="3183" spans="1:40" x14ac:dyDescent="0.25">
      <c r="A3183" t="str">
        <f>"20190303161937974"</f>
        <v>20190303161937974</v>
      </c>
      <c r="B3183" t="str">
        <f>"1551601177966015"</f>
        <v>1551601177966015</v>
      </c>
      <c r="C3183" t="s">
        <v>40</v>
      </c>
      <c r="D3183">
        <v>4.54664</v>
      </c>
      <c r="E3183">
        <v>0.53917060000000006</v>
      </c>
      <c r="F3183" t="s">
        <v>42</v>
      </c>
      <c r="G3183">
        <v>-277.64440000000002</v>
      </c>
      <c r="H3183">
        <v>0.97939900000000002</v>
      </c>
      <c r="I3183">
        <v>283.72890000000001</v>
      </c>
      <c r="J3183">
        <v>-277.04610000000002</v>
      </c>
      <c r="K3183">
        <v>1.1208260000000001</v>
      </c>
      <c r="L3183">
        <v>283.6533</v>
      </c>
      <c r="M3183">
        <v>-0.99995599999999996</v>
      </c>
      <c r="N3183">
        <v>-7.4726119999999896E-3</v>
      </c>
      <c r="O3183">
        <v>5.6610280000000002E-3</v>
      </c>
      <c r="P3183">
        <v>-0.98834889999999997</v>
      </c>
      <c r="Q3183">
        <v>0.1521632</v>
      </c>
      <c r="R3183">
        <v>-3.558103E-3</v>
      </c>
      <c r="S3183">
        <v>-3.1217649999999999</v>
      </c>
      <c r="T3183">
        <v>-0.55321599999999904</v>
      </c>
      <c r="U3183">
        <v>0.29977419999999999</v>
      </c>
      <c r="V3183">
        <v>-9.1384340000000008E-3</v>
      </c>
      <c r="W3183">
        <v>0.15954479999999999</v>
      </c>
      <c r="X3183">
        <v>0.98714840000000004</v>
      </c>
      <c r="Y3183">
        <v>8.8604000000000002E-2</v>
      </c>
      <c r="Z3183">
        <v>7.155926E-3</v>
      </c>
      <c r="AA3183">
        <v>0.99604119999999996</v>
      </c>
      <c r="AB3183">
        <v>24</v>
      </c>
      <c r="AC3183">
        <v>-0.59829999999999395</v>
      </c>
      <c r="AD3183">
        <v>-0.141427</v>
      </c>
      <c r="AE3183">
        <v>7.5600000000008494E-2</v>
      </c>
      <c r="AF3183">
        <v>6.8447235896174505E-2</v>
      </c>
      <c r="AG3183">
        <v>-0.141427</v>
      </c>
      <c r="AH3183">
        <v>0.56750663701440196</v>
      </c>
      <c r="AI3183">
        <v>103.89674004128101</v>
      </c>
      <c r="AJ3183">
        <v>83.122748880021803</v>
      </c>
      <c r="AK3183">
        <v>0.588855163419854</v>
      </c>
      <c r="AL3183">
        <v>80.819524300344</v>
      </c>
      <c r="AM3183">
        <v>90.530395169637501</v>
      </c>
      <c r="AN3183">
        <v>1.0000000089027801</v>
      </c>
    </row>
    <row r="3184" spans="1:40" x14ac:dyDescent="0.25">
      <c r="A3184" t="str">
        <f>"20190303161937997"</f>
        <v>20190303161937997</v>
      </c>
      <c r="B3184" t="str">
        <f>"1551601177985535"</f>
        <v>1551601177985535</v>
      </c>
      <c r="C3184" t="s">
        <v>40</v>
      </c>
      <c r="D3184">
        <v>4.5239129999999896</v>
      </c>
      <c r="E3184">
        <v>0.53918189999999999</v>
      </c>
      <c r="F3184" t="s">
        <v>42</v>
      </c>
      <c r="G3184">
        <v>-277.82650000000001</v>
      </c>
      <c r="H3184">
        <v>0.9124719</v>
      </c>
      <c r="I3184">
        <v>283.7278</v>
      </c>
      <c r="J3184">
        <v>-277.2885</v>
      </c>
      <c r="K3184">
        <v>1.1208359999999999</v>
      </c>
      <c r="L3184">
        <v>283.65469999999999</v>
      </c>
      <c r="M3184">
        <v>-0.99995599999999996</v>
      </c>
      <c r="N3184">
        <v>-7.4827139999999997E-3</v>
      </c>
      <c r="O3184">
        <v>5.6832339999999997E-3</v>
      </c>
      <c r="P3184">
        <v>-0.98842850000000004</v>
      </c>
      <c r="Q3184">
        <v>0.1516576</v>
      </c>
      <c r="R3184">
        <v>-3.1044760000000001E-3</v>
      </c>
      <c r="S3184">
        <v>-3.1665649999999999</v>
      </c>
      <c r="T3184">
        <v>-0.84538760000000002</v>
      </c>
      <c r="U3184">
        <v>0.30096440000000002</v>
      </c>
      <c r="V3184">
        <v>-8.7117359999999994E-3</v>
      </c>
      <c r="W3184">
        <v>0.15904960000000001</v>
      </c>
      <c r="X3184">
        <v>0.98723209999999995</v>
      </c>
      <c r="Y3184">
        <v>8.607012E-2</v>
      </c>
      <c r="Z3184">
        <v>1.014962E-2</v>
      </c>
      <c r="AA3184">
        <v>0.99623740000000005</v>
      </c>
      <c r="AB3184">
        <v>24</v>
      </c>
      <c r="AC3184">
        <v>-0.53800000000001003</v>
      </c>
      <c r="AD3184">
        <v>-0.2083641</v>
      </c>
      <c r="AE3184">
        <v>7.3100000000010795E-2</v>
      </c>
      <c r="AF3184">
        <v>6.1049877682434903E-2</v>
      </c>
      <c r="AG3184">
        <v>-0.2083641</v>
      </c>
      <c r="AH3184">
        <v>0.469290770175051</v>
      </c>
      <c r="AI3184">
        <v>113.76331430885</v>
      </c>
      <c r="AJ3184">
        <v>82.588036050692097</v>
      </c>
      <c r="AK3184">
        <v>0.51708462818511902</v>
      </c>
      <c r="AL3184">
        <v>80.848263564029494</v>
      </c>
      <c r="AM3184">
        <v>90.505588047084203</v>
      </c>
      <c r="AN3184">
        <v>0.99999994443734996</v>
      </c>
    </row>
    <row r="3185" spans="1:40" x14ac:dyDescent="0.25">
      <c r="A3185" t="str">
        <f>"20190303161938018"</f>
        <v>20190303161938018</v>
      </c>
      <c r="B3185" t="str">
        <f>"1551601178006031"</f>
        <v>1551601178006031</v>
      </c>
      <c r="C3185" t="s">
        <v>40</v>
      </c>
      <c r="D3185">
        <v>4.5536390000000004</v>
      </c>
      <c r="E3185">
        <v>0.5387265</v>
      </c>
      <c r="F3185" t="s">
        <v>42</v>
      </c>
      <c r="G3185">
        <v>-278.04059999999998</v>
      </c>
      <c r="H3185">
        <v>0.91026560000000001</v>
      </c>
      <c r="I3185">
        <v>283.72669999999999</v>
      </c>
      <c r="J3185">
        <v>-277.51900000000001</v>
      </c>
      <c r="K3185">
        <v>1.120841</v>
      </c>
      <c r="L3185">
        <v>283.65600000000001</v>
      </c>
      <c r="M3185">
        <v>-0.99995579999999995</v>
      </c>
      <c r="N3185">
        <v>-7.4930429999999996E-3</v>
      </c>
      <c r="O3185">
        <v>5.6927069999999896E-3</v>
      </c>
      <c r="P3185">
        <v>-0.98853080000000004</v>
      </c>
      <c r="Q3185">
        <v>0.1509991</v>
      </c>
      <c r="R3185">
        <v>-2.5298949999999999E-3</v>
      </c>
      <c r="S3185">
        <v>-3.1723629999999998</v>
      </c>
      <c r="T3185">
        <v>-0.888223599999999</v>
      </c>
      <c r="U3185">
        <v>0.30249019999999999</v>
      </c>
      <c r="V3185">
        <v>-8.1509879999999996E-3</v>
      </c>
      <c r="W3185">
        <v>0.15840219999999999</v>
      </c>
      <c r="X3185">
        <v>0.98734100000000002</v>
      </c>
      <c r="Y3185">
        <v>8.6085270000000005E-2</v>
      </c>
      <c r="Z3185">
        <v>1.060965E-2</v>
      </c>
      <c r="AA3185">
        <v>0.99623130000000004</v>
      </c>
      <c r="AB3185">
        <v>24</v>
      </c>
      <c r="AC3185">
        <v>-0.52159999999997797</v>
      </c>
      <c r="AD3185">
        <v>-0.2105754</v>
      </c>
      <c r="AE3185">
        <v>7.0699999999987995E-2</v>
      </c>
      <c r="AF3185">
        <v>5.8385355753410098E-2</v>
      </c>
      <c r="AG3185">
        <v>-0.2105754</v>
      </c>
      <c r="AH3185">
        <v>0.44997862794877402</v>
      </c>
      <c r="AI3185">
        <v>114.894948771777</v>
      </c>
      <c r="AJ3185">
        <v>82.607095478067194</v>
      </c>
      <c r="AK3185">
        <v>0.50023156084185005</v>
      </c>
      <c r="AL3185">
        <v>80.885833397587703</v>
      </c>
      <c r="AM3185">
        <v>90.472994236160801</v>
      </c>
      <c r="AN3185">
        <v>0.99999997292560705</v>
      </c>
    </row>
    <row r="3186" spans="1:40" x14ac:dyDescent="0.25">
      <c r="A3186" t="str">
        <f>"20190303161938042"</f>
        <v>20190303161938042</v>
      </c>
      <c r="B3186" t="str">
        <f>"1551601178035311"</f>
        <v>1551601178035311</v>
      </c>
      <c r="C3186" t="s">
        <v>40</v>
      </c>
      <c r="D3186">
        <v>4.5572379999999999</v>
      </c>
      <c r="E3186">
        <v>0.53923069999999995</v>
      </c>
      <c r="F3186" t="s">
        <v>42</v>
      </c>
      <c r="G3186">
        <v>-278.25569999999999</v>
      </c>
      <c r="H3186">
        <v>0.90916839999999999</v>
      </c>
      <c r="I3186">
        <v>283.72620000000001</v>
      </c>
      <c r="J3186">
        <v>-277.7722</v>
      </c>
      <c r="K3186">
        <v>1.120841</v>
      </c>
      <c r="L3186">
        <v>283.65750000000003</v>
      </c>
      <c r="M3186">
        <v>-0.99995560000000006</v>
      </c>
      <c r="N3186">
        <v>-7.5076980000000001E-3</v>
      </c>
      <c r="O3186">
        <v>5.6942619999999899E-3</v>
      </c>
      <c r="P3186">
        <v>-0.98863650000000003</v>
      </c>
      <c r="Q3186">
        <v>0.15030760000000001</v>
      </c>
      <c r="R3186">
        <v>-2.3305190000000001E-3</v>
      </c>
      <c r="S3186">
        <v>-3.1748959999999999</v>
      </c>
      <c r="T3186">
        <v>-0.91211900000000001</v>
      </c>
      <c r="U3186">
        <v>0.30175780000000002</v>
      </c>
      <c r="V3186">
        <v>-7.9560069999999993E-3</v>
      </c>
      <c r="W3186">
        <v>0.15772610000000001</v>
      </c>
      <c r="X3186">
        <v>0.98745079999999996</v>
      </c>
      <c r="Y3186">
        <v>8.5637469999999993E-2</v>
      </c>
      <c r="Z3186">
        <v>1.0802580000000001E-2</v>
      </c>
      <c r="AA3186">
        <v>0.99626780000000004</v>
      </c>
      <c r="AB3186">
        <v>24</v>
      </c>
      <c r="AC3186">
        <v>-0.48349999999999199</v>
      </c>
      <c r="AD3186">
        <v>-0.21167259999999899</v>
      </c>
      <c r="AE3186">
        <v>6.8699999999978403E-2</v>
      </c>
      <c r="AF3186">
        <v>5.5515904401349001E-2</v>
      </c>
      <c r="AG3186">
        <v>-0.21167259999999899</v>
      </c>
      <c r="AH3186">
        <v>0.40735408269202</v>
      </c>
      <c r="AI3186">
        <v>117.24251696162101</v>
      </c>
      <c r="AJ3186">
        <v>82.239305192210793</v>
      </c>
      <c r="AK3186">
        <v>0.46241177960570701</v>
      </c>
      <c r="AL3186">
        <v>80.925064057492307</v>
      </c>
      <c r="AM3186">
        <v>90.461628831731105</v>
      </c>
      <c r="AN3186">
        <v>0.99999995154461496</v>
      </c>
    </row>
    <row r="3187" spans="1:40" x14ac:dyDescent="0.25">
      <c r="A3187" t="str">
        <f>"20190303161938062"</f>
        <v>20190303161938062</v>
      </c>
      <c r="B3187" t="str">
        <f>"1551601178055807"</f>
        <v>1551601178055807</v>
      </c>
      <c r="C3187" t="s">
        <v>40</v>
      </c>
      <c r="D3187">
        <v>4.5881720000000001</v>
      </c>
      <c r="E3187">
        <v>0.53961130000000002</v>
      </c>
      <c r="F3187" t="s">
        <v>42</v>
      </c>
      <c r="G3187">
        <v>-278.476</v>
      </c>
      <c r="H3187">
        <v>0.91809430000000003</v>
      </c>
      <c r="I3187">
        <v>283.72590000000002</v>
      </c>
      <c r="J3187">
        <v>-277.9973</v>
      </c>
      <c r="K3187">
        <v>1.1208419999999999</v>
      </c>
      <c r="L3187">
        <v>283.65879999999999</v>
      </c>
      <c r="M3187">
        <v>-0.99995540000000005</v>
      </c>
      <c r="N3187">
        <v>-7.525683E-3</v>
      </c>
      <c r="O3187">
        <v>5.6899409999999996E-3</v>
      </c>
      <c r="P3187">
        <v>-0.98879649999999997</v>
      </c>
      <c r="Q3187">
        <v>0.14924089999999901</v>
      </c>
      <c r="R3187">
        <v>-2.9268160000000001E-3</v>
      </c>
      <c r="S3187">
        <v>-3.1742249999999999</v>
      </c>
      <c r="T3187">
        <v>-0.91443039999999998</v>
      </c>
      <c r="U3187">
        <v>0.30734250000000002</v>
      </c>
      <c r="V3187">
        <v>-8.549783E-3</v>
      </c>
      <c r="W3187">
        <v>0.15667829999999999</v>
      </c>
      <c r="X3187">
        <v>0.98761270000000001</v>
      </c>
      <c r="Y3187">
        <v>8.7311689999999997E-2</v>
      </c>
      <c r="Z3187">
        <v>1.1073690000000001E-2</v>
      </c>
      <c r="AA3187">
        <v>0.99611950000000005</v>
      </c>
      <c r="AB3187">
        <v>24</v>
      </c>
      <c r="AC3187">
        <v>-0.47870000000000301</v>
      </c>
      <c r="AD3187">
        <v>-0.2027477</v>
      </c>
      <c r="AE3187">
        <v>6.7100000000039003E-2</v>
      </c>
      <c r="AF3187">
        <v>5.4744054391290299E-2</v>
      </c>
      <c r="AG3187">
        <v>-0.2027477</v>
      </c>
      <c r="AH3187">
        <v>0.407400871550122</v>
      </c>
      <c r="AI3187">
        <v>116.253823856102</v>
      </c>
      <c r="AJ3187">
        <v>82.346784517409304</v>
      </c>
      <c r="AK3187">
        <v>0.45834376998742499</v>
      </c>
      <c r="AL3187">
        <v>80.985855015574998</v>
      </c>
      <c r="AM3187">
        <v>90.495998324733506</v>
      </c>
      <c r="AN3187">
        <v>1.0000000168407599</v>
      </c>
    </row>
    <row r="3188" spans="1:40" x14ac:dyDescent="0.25">
      <c r="A3188" t="str">
        <f>"20190303161938074"</f>
        <v>20190303161938074</v>
      </c>
      <c r="B3188" t="str">
        <f>"1551601178065568"</f>
        <v>1551601178065568</v>
      </c>
      <c r="C3188" t="s">
        <v>40</v>
      </c>
      <c r="D3188">
        <v>4.588762</v>
      </c>
      <c r="E3188">
        <v>0.53952330000000004</v>
      </c>
      <c r="F3188" t="s">
        <v>42</v>
      </c>
      <c r="G3188">
        <v>-278.69380000000001</v>
      </c>
      <c r="H3188">
        <v>0.92016109999999895</v>
      </c>
      <c r="I3188">
        <v>283.72710000000001</v>
      </c>
      <c r="J3188">
        <v>-278.12220000000002</v>
      </c>
      <c r="K3188">
        <v>1.1208320000000001</v>
      </c>
      <c r="L3188">
        <v>283.65940000000001</v>
      </c>
      <c r="M3188">
        <v>-0.9999555</v>
      </c>
      <c r="N3188">
        <v>-7.5371809999999996E-3</v>
      </c>
      <c r="O3188">
        <v>5.6862010000000001E-3</v>
      </c>
      <c r="P3188">
        <v>-0.98884000000000005</v>
      </c>
      <c r="Q3188">
        <v>0.1489501</v>
      </c>
      <c r="R3188">
        <v>-3.0686110000000002E-3</v>
      </c>
      <c r="S3188">
        <v>-3.1729430000000001</v>
      </c>
      <c r="T3188">
        <v>-0.91433050000000005</v>
      </c>
      <c r="U3188">
        <v>0.30972290000000002</v>
      </c>
      <c r="V3188">
        <v>-8.6886259999999996E-3</v>
      </c>
      <c r="W3188">
        <v>0.1563986</v>
      </c>
      <c r="X3188">
        <v>0.98765579999999997</v>
      </c>
      <c r="Y3188">
        <v>8.8061319999999998E-2</v>
      </c>
      <c r="Z3188">
        <v>1.1186460000000001E-2</v>
      </c>
      <c r="AA3188">
        <v>0.9960523</v>
      </c>
      <c r="AB3188">
        <v>24</v>
      </c>
      <c r="AC3188">
        <v>-0.57159999999998901</v>
      </c>
      <c r="AD3188">
        <v>-0.20067090000000001</v>
      </c>
      <c r="AE3188">
        <v>6.7700000000001995E-2</v>
      </c>
      <c r="AF3188">
        <v>5.7464144085425398E-2</v>
      </c>
      <c r="AG3188">
        <v>-0.20067090000000001</v>
      </c>
      <c r="AH3188">
        <v>0.50998943729564605</v>
      </c>
      <c r="AI3188">
        <v>111.355806379456</v>
      </c>
      <c r="AJ3188">
        <v>83.571191732334796</v>
      </c>
      <c r="AK3188">
        <v>0.55105368532967003</v>
      </c>
      <c r="AL3188">
        <v>81.002080495099193</v>
      </c>
      <c r="AM3188">
        <v>90.504030612532205</v>
      </c>
      <c r="AN3188">
        <v>0.99999999678868301</v>
      </c>
    </row>
    <row r="3189" spans="1:40" x14ac:dyDescent="0.25">
      <c r="A3189" t="str">
        <f>"20190303161938087"</f>
        <v>20190303161938087</v>
      </c>
      <c r="B3189" t="str">
        <f>"1551601178075327"</f>
        <v>1551601178075327</v>
      </c>
      <c r="C3189" t="s">
        <v>40</v>
      </c>
      <c r="D3189">
        <v>4.5996370000000004</v>
      </c>
      <c r="E3189">
        <v>0.53935630000000001</v>
      </c>
      <c r="F3189" t="s">
        <v>42</v>
      </c>
      <c r="G3189">
        <v>-278.90100000000001</v>
      </c>
      <c r="H3189">
        <v>0.89640069999999905</v>
      </c>
      <c r="I3189">
        <v>283.73540000000003</v>
      </c>
      <c r="J3189">
        <v>-278.25790000000001</v>
      </c>
      <c r="K3189">
        <v>1.1208309999999999</v>
      </c>
      <c r="L3189">
        <v>283.66019999999997</v>
      </c>
      <c r="M3189">
        <v>-0.99995540000000005</v>
      </c>
      <c r="N3189">
        <v>-7.5501040000000002E-3</v>
      </c>
      <c r="O3189">
        <v>5.6819820000000004E-3</v>
      </c>
      <c r="P3189">
        <v>-0.98887530000000001</v>
      </c>
      <c r="Q3189">
        <v>0.1486981</v>
      </c>
      <c r="R3189">
        <v>-3.822626E-3</v>
      </c>
      <c r="S3189">
        <v>-3.1725159999999999</v>
      </c>
      <c r="T3189">
        <v>-0.91424620000000001</v>
      </c>
      <c r="U3189">
        <v>0.30929570000000001</v>
      </c>
      <c r="V3189">
        <v>-9.4382690000000009E-3</v>
      </c>
      <c r="W3189">
        <v>0.15615979999999999</v>
      </c>
      <c r="X3189">
        <v>0.98768670000000003</v>
      </c>
      <c r="Y3189">
        <v>8.7949559999999996E-2</v>
      </c>
      <c r="Z3189">
        <v>1.117259E-2</v>
      </c>
      <c r="AA3189">
        <v>0.99606229999999996</v>
      </c>
      <c r="AB3189">
        <v>24</v>
      </c>
      <c r="AC3189">
        <v>-0.643100000000004</v>
      </c>
      <c r="AD3189">
        <v>-0.2244303</v>
      </c>
      <c r="AE3189">
        <v>7.52000000000521E-2</v>
      </c>
      <c r="AF3189">
        <v>6.3870803225335199E-2</v>
      </c>
      <c r="AG3189">
        <v>-0.2244303</v>
      </c>
      <c r="AH3189">
        <v>0.57449398859898604</v>
      </c>
      <c r="AI3189">
        <v>111.219456494128</v>
      </c>
      <c r="AJ3189">
        <v>83.656051082134596</v>
      </c>
      <c r="AK3189">
        <v>0.62007401332349998</v>
      </c>
      <c r="AL3189">
        <v>81.015932878262007</v>
      </c>
      <c r="AM3189">
        <v>90.547498027587906</v>
      </c>
      <c r="AN3189">
        <v>0.99999999070732304</v>
      </c>
    </row>
    <row r="3190" spans="1:40" x14ac:dyDescent="0.25">
      <c r="A3190" t="str">
        <f>"20190303161938099"</f>
        <v>20190303161938099</v>
      </c>
      <c r="B3190" t="str">
        <f>"1551601178095822"</f>
        <v>1551601178095822</v>
      </c>
      <c r="C3190" t="s">
        <v>40</v>
      </c>
      <c r="D3190">
        <v>4.6150479999999998</v>
      </c>
      <c r="E3190">
        <v>0.53905309999999995</v>
      </c>
      <c r="F3190" t="s">
        <v>42</v>
      </c>
      <c r="G3190">
        <v>-279.11070000000001</v>
      </c>
      <c r="H3190">
        <v>0.87508819999999998</v>
      </c>
      <c r="I3190">
        <v>283.74259999999998</v>
      </c>
      <c r="J3190">
        <v>-278.40289999999999</v>
      </c>
      <c r="K3190">
        <v>1.1208309999999999</v>
      </c>
      <c r="L3190">
        <v>283.661</v>
      </c>
      <c r="M3190">
        <v>-0.99995540000000005</v>
      </c>
      <c r="N3190">
        <v>-7.5645230000000001E-3</v>
      </c>
      <c r="O3190">
        <v>5.6768690000000002E-3</v>
      </c>
      <c r="P3190">
        <v>-0.9888884</v>
      </c>
      <c r="Q3190">
        <v>0.14859900000000001</v>
      </c>
      <c r="R3190">
        <v>-4.281946E-3</v>
      </c>
      <c r="S3190">
        <v>-3.1724239999999999</v>
      </c>
      <c r="T3190">
        <v>-0.91421569999999996</v>
      </c>
      <c r="U3190">
        <v>0.30578610000000001</v>
      </c>
      <c r="V3190">
        <v>-9.8924119999999997E-3</v>
      </c>
      <c r="W3190">
        <v>0.15607499999999999</v>
      </c>
      <c r="X3190">
        <v>0.98769569999999995</v>
      </c>
      <c r="Y3190">
        <v>8.6908059999999995E-2</v>
      </c>
      <c r="Z3190">
        <v>1.102442E-2</v>
      </c>
      <c r="AA3190">
        <v>0.99615529999999997</v>
      </c>
      <c r="AB3190">
        <v>24</v>
      </c>
      <c r="AC3190">
        <v>-0.70780000000001997</v>
      </c>
      <c r="AD3190">
        <v>-0.24574279999999901</v>
      </c>
      <c r="AE3190">
        <v>8.1599999999980299E-2</v>
      </c>
      <c r="AF3190">
        <v>6.93325780646636E-2</v>
      </c>
      <c r="AG3190">
        <v>-0.24574279999999901</v>
      </c>
      <c r="AH3190">
        <v>0.63295463314370903</v>
      </c>
      <c r="AI3190">
        <v>111.10352877631</v>
      </c>
      <c r="AJ3190">
        <v>83.748857591464997</v>
      </c>
      <c r="AK3190">
        <v>0.68251600549072899</v>
      </c>
      <c r="AL3190">
        <v>81.020852235993303</v>
      </c>
      <c r="AM3190">
        <v>90.573835145437499</v>
      </c>
      <c r="AN3190">
        <v>1.00000003061933</v>
      </c>
    </row>
    <row r="3191" spans="1:40" x14ac:dyDescent="0.25">
      <c r="A3191" t="str">
        <f>"20190303161938110"</f>
        <v>20190303161938110</v>
      </c>
      <c r="B3191" t="str">
        <f>"1551601178105582"</f>
        <v>1551601178105582</v>
      </c>
      <c r="C3191" t="s">
        <v>40</v>
      </c>
      <c r="D3191">
        <v>4.6375270000000004</v>
      </c>
      <c r="E3191">
        <v>0.53890909999999903</v>
      </c>
      <c r="F3191" t="s">
        <v>42</v>
      </c>
      <c r="G3191">
        <v>-279.12599999999998</v>
      </c>
      <c r="H3191">
        <v>0.91259670000000004</v>
      </c>
      <c r="I3191">
        <v>283.72989999999999</v>
      </c>
      <c r="J3191">
        <v>-278.52550000000002</v>
      </c>
      <c r="K3191">
        <v>1.1208290000000001</v>
      </c>
      <c r="L3191">
        <v>283.6617</v>
      </c>
      <c r="M3191">
        <v>-0.99995529999999999</v>
      </c>
      <c r="N3191">
        <v>-7.5767229999999996E-3</v>
      </c>
      <c r="O3191">
        <v>5.6727770000000004E-3</v>
      </c>
      <c r="P3191">
        <v>-0.98886059999999998</v>
      </c>
      <c r="Q3191">
        <v>0.1487646</v>
      </c>
      <c r="R3191">
        <v>-4.914992E-3</v>
      </c>
      <c r="S3191">
        <v>-3.1723020000000002</v>
      </c>
      <c r="T3191">
        <v>-0.91363479999999997</v>
      </c>
      <c r="U3191">
        <v>0.30184939999999999</v>
      </c>
      <c r="V3191">
        <v>-1.0520389999999999E-2</v>
      </c>
      <c r="W3191">
        <v>0.15625259999999999</v>
      </c>
      <c r="X3191">
        <v>0.98766109999999896</v>
      </c>
      <c r="Y3191">
        <v>8.574213E-2</v>
      </c>
      <c r="Z3191">
        <v>1.085188E-2</v>
      </c>
      <c r="AA3191">
        <v>0.99625830000000004</v>
      </c>
      <c r="AB3191">
        <v>24</v>
      </c>
      <c r="AC3191">
        <v>-0.60049999999995396</v>
      </c>
      <c r="AD3191">
        <v>-0.20823230000000001</v>
      </c>
      <c r="AE3191">
        <v>6.8199999999990199E-2</v>
      </c>
      <c r="AF3191">
        <v>5.7916739032894501E-2</v>
      </c>
      <c r="AG3191">
        <v>-0.20823230000000001</v>
      </c>
      <c r="AH3191">
        <v>0.53711395426987396</v>
      </c>
      <c r="AI3191">
        <v>111.079305732351</v>
      </c>
      <c r="AJ3191">
        <v>83.845602988146396</v>
      </c>
      <c r="AK3191">
        <v>0.57897015406229202</v>
      </c>
      <c r="AL3191">
        <v>81.010549842681797</v>
      </c>
      <c r="AM3191">
        <v>90.610281350769199</v>
      </c>
      <c r="AN3191">
        <v>1.00000000103286</v>
      </c>
    </row>
    <row r="3192" spans="1:40" x14ac:dyDescent="0.25">
      <c r="A3192" t="str">
        <f>"20190303161938123"</f>
        <v>20190303161938123</v>
      </c>
      <c r="B3192" t="str">
        <f>"1551601178115343"</f>
        <v>1551601178115343</v>
      </c>
      <c r="C3192" t="s">
        <v>40</v>
      </c>
      <c r="D3192">
        <v>4.6373059999999997</v>
      </c>
      <c r="E3192">
        <v>0.53887459999999998</v>
      </c>
      <c r="F3192" t="s">
        <v>42</v>
      </c>
      <c r="G3192">
        <v>-279.33440000000002</v>
      </c>
      <c r="H3192">
        <v>0.88786830000000005</v>
      </c>
      <c r="I3192">
        <v>283.73809999999997</v>
      </c>
      <c r="J3192">
        <v>-278.65940000000001</v>
      </c>
      <c r="K3192">
        <v>1.1208290000000001</v>
      </c>
      <c r="L3192">
        <v>283.66239999999999</v>
      </c>
      <c r="M3192">
        <v>-0.99995520000000004</v>
      </c>
      <c r="N3192">
        <v>-7.5900809999999898E-3</v>
      </c>
      <c r="O3192">
        <v>5.6683849999999997E-3</v>
      </c>
      <c r="P3192">
        <v>-0.98883430000000005</v>
      </c>
      <c r="Q3192">
        <v>0.14892839999999999</v>
      </c>
      <c r="R3192">
        <v>-5.230218E-3</v>
      </c>
      <c r="S3192">
        <v>-3.1727599999999998</v>
      </c>
      <c r="T3192">
        <v>-0.91370119999999999</v>
      </c>
      <c r="U3192">
        <v>0.29891970000000001</v>
      </c>
      <c r="V3192">
        <v>-1.083138E-2</v>
      </c>
      <c r="W3192">
        <v>0.15642919999999999</v>
      </c>
      <c r="X3192">
        <v>0.9876298</v>
      </c>
      <c r="Y3192">
        <v>8.4857520000000006E-2</v>
      </c>
      <c r="Z3192">
        <v>1.0725439999999999E-2</v>
      </c>
      <c r="AA3192">
        <v>0.99633539999999998</v>
      </c>
      <c r="AB3192">
        <v>24</v>
      </c>
      <c r="AC3192">
        <v>-0.67500000000001104</v>
      </c>
      <c r="AD3192">
        <v>-0.23296069999999999</v>
      </c>
      <c r="AE3192">
        <v>7.5699999999983406E-2</v>
      </c>
      <c r="AF3192">
        <v>6.4307787939905298E-2</v>
      </c>
      <c r="AG3192">
        <v>-0.23296069999999999</v>
      </c>
      <c r="AH3192">
        <v>0.60432913945490896</v>
      </c>
      <c r="AI3192">
        <v>110.972942058177</v>
      </c>
      <c r="AJ3192">
        <v>83.925907325742699</v>
      </c>
      <c r="AK3192">
        <v>0.65086088231550998</v>
      </c>
      <c r="AL3192">
        <v>81.000305584694701</v>
      </c>
      <c r="AM3192">
        <v>90.628340174927104</v>
      </c>
      <c r="AN3192">
        <v>1.0000000176266901</v>
      </c>
    </row>
    <row r="3193" spans="1:40" x14ac:dyDescent="0.25">
      <c r="A3193" t="str">
        <f>"20190303161938134"</f>
        <v>20190303161938134</v>
      </c>
      <c r="B3193" t="str">
        <f>"1551601178126079"</f>
        <v>1551601178126079</v>
      </c>
      <c r="C3193" t="s">
        <v>40</v>
      </c>
      <c r="D3193">
        <v>4.6272760000000002</v>
      </c>
      <c r="E3193">
        <v>0.53886940000000005</v>
      </c>
      <c r="F3193" t="s">
        <v>42</v>
      </c>
      <c r="G3193">
        <v>-279.34910000000002</v>
      </c>
      <c r="H3193">
        <v>0.92204280000000005</v>
      </c>
      <c r="I3193">
        <v>283.72719999999998</v>
      </c>
      <c r="J3193">
        <v>-278.79160000000002</v>
      </c>
      <c r="K3193">
        <v>1.1208290000000001</v>
      </c>
      <c r="L3193">
        <v>283.66320000000002</v>
      </c>
      <c r="M3193">
        <v>-0.99995520000000004</v>
      </c>
      <c r="N3193">
        <v>-7.60321E-3</v>
      </c>
      <c r="O3193">
        <v>5.6653019999999997E-3</v>
      </c>
      <c r="P3193">
        <v>-0.98878829999999995</v>
      </c>
      <c r="Q3193">
        <v>0.1492318</v>
      </c>
      <c r="R3193">
        <v>-5.263935E-3</v>
      </c>
      <c r="S3193">
        <v>-3.173187</v>
      </c>
      <c r="T3193">
        <v>-0.91460779999999997</v>
      </c>
      <c r="U3193">
        <v>0.2970276</v>
      </c>
      <c r="V3193">
        <v>-1.0860969999999999E-2</v>
      </c>
      <c r="W3193">
        <v>0.1567452</v>
      </c>
      <c r="X3193">
        <v>0.98757930000000005</v>
      </c>
      <c r="Y3193">
        <v>8.4277229999999995E-2</v>
      </c>
      <c r="Z3193">
        <v>1.065169E-2</v>
      </c>
      <c r="AA3193">
        <v>0.99638539999999998</v>
      </c>
      <c r="AB3193">
        <v>24</v>
      </c>
      <c r="AC3193">
        <v>-0.55750000000000399</v>
      </c>
      <c r="AD3193">
        <v>-0.1987862</v>
      </c>
      <c r="AE3193">
        <v>6.3999999999964502E-2</v>
      </c>
      <c r="AF3193">
        <v>5.40570508680965E-2</v>
      </c>
      <c r="AG3193">
        <v>-0.1987862</v>
      </c>
      <c r="AH3193">
        <v>0.49565559995156</v>
      </c>
      <c r="AI3193">
        <v>111.73682365057201</v>
      </c>
      <c r="AJ3193">
        <v>83.775823842305897</v>
      </c>
      <c r="AK3193">
        <v>0.53676120558618701</v>
      </c>
      <c r="AL3193">
        <v>80.981973331994894</v>
      </c>
      <c r="AM3193">
        <v>90.630088800361705</v>
      </c>
      <c r="AN3193">
        <v>0.99999994609043397</v>
      </c>
    </row>
    <row r="3194" spans="1:40" x14ac:dyDescent="0.25">
      <c r="A3194" t="str">
        <f>"20190303161938151"</f>
        <v>20190303161938151</v>
      </c>
      <c r="B3194" t="str">
        <f>"1551601178145599"</f>
        <v>1551601178145599</v>
      </c>
      <c r="C3194" t="s">
        <v>40</v>
      </c>
      <c r="D3194">
        <v>4.6565300000000001</v>
      </c>
      <c r="E3194">
        <v>0.53883719999999902</v>
      </c>
      <c r="F3194" t="s">
        <v>42</v>
      </c>
      <c r="G3194">
        <v>-279.55829999999997</v>
      </c>
      <c r="H3194">
        <v>0.89942649999999902</v>
      </c>
      <c r="I3194">
        <v>283.73509999999999</v>
      </c>
      <c r="J3194">
        <v>-278.96170000000001</v>
      </c>
      <c r="K3194">
        <v>1.1208359999999999</v>
      </c>
      <c r="L3194">
        <v>283.66419999999999</v>
      </c>
      <c r="M3194">
        <v>-0.99995509999999999</v>
      </c>
      <c r="N3194">
        <v>-7.6200869999999898E-3</v>
      </c>
      <c r="O3194">
        <v>5.6620859999999898E-3</v>
      </c>
      <c r="P3194">
        <v>-0.9886897</v>
      </c>
      <c r="Q3194">
        <v>0.14987819999999999</v>
      </c>
      <c r="R3194">
        <v>-5.4512509999999998E-3</v>
      </c>
      <c r="S3194">
        <v>-3.1739199999999999</v>
      </c>
      <c r="T3194">
        <v>-0.91648169999999995</v>
      </c>
      <c r="U3194">
        <v>0.29660029999999998</v>
      </c>
      <c r="V3194">
        <v>-1.1044389999999999E-2</v>
      </c>
      <c r="W3194">
        <v>0.15740779999999999</v>
      </c>
      <c r="X3194">
        <v>0.98747189999999996</v>
      </c>
      <c r="Y3194">
        <v>8.4120710000000001E-2</v>
      </c>
      <c r="Z3194">
        <v>1.064873E-2</v>
      </c>
      <c r="AA3194">
        <v>0.99639869999999997</v>
      </c>
      <c r="AB3194">
        <v>24</v>
      </c>
      <c r="AC3194">
        <v>-0.59659999999996605</v>
      </c>
      <c r="AD3194">
        <v>-0.22140950000000001</v>
      </c>
      <c r="AE3194">
        <v>7.0899999999994606E-2</v>
      </c>
      <c r="AF3194">
        <v>5.9447176722825602E-2</v>
      </c>
      <c r="AG3194">
        <v>-0.22140950000000001</v>
      </c>
      <c r="AH3194">
        <v>0.52560841329344599</v>
      </c>
      <c r="AI3194">
        <v>112.712991649714</v>
      </c>
      <c r="AJ3194">
        <v>83.547174600042794</v>
      </c>
      <c r="AK3194">
        <v>0.57342858111138695</v>
      </c>
      <c r="AL3194">
        <v>80.943532203051802</v>
      </c>
      <c r="AM3194">
        <v>90.640798538229006</v>
      </c>
      <c r="AN3194">
        <v>0.99999997367046001</v>
      </c>
    </row>
    <row r="3195" spans="1:40" x14ac:dyDescent="0.25">
      <c r="A3195" t="str">
        <f>"20190303161938163"</f>
        <v>20190303161938163</v>
      </c>
      <c r="B3195" t="str">
        <f>"1551601178155359"</f>
        <v>1551601178155359</v>
      </c>
      <c r="C3195" t="s">
        <v>40</v>
      </c>
      <c r="D3195">
        <v>4.6162669999999997</v>
      </c>
      <c r="E3195">
        <v>0.53885190000000005</v>
      </c>
      <c r="F3195" t="s">
        <v>42</v>
      </c>
      <c r="G3195">
        <v>-279.77289999999999</v>
      </c>
      <c r="H3195">
        <v>0.8859167</v>
      </c>
      <c r="I3195">
        <v>283.7398</v>
      </c>
      <c r="J3195">
        <v>-279.10770000000002</v>
      </c>
      <c r="K3195">
        <v>1.1208370000000001</v>
      </c>
      <c r="L3195">
        <v>283.66500000000002</v>
      </c>
      <c r="M3195">
        <v>-0.99995489999999998</v>
      </c>
      <c r="N3195">
        <v>-7.6345479999999997E-3</v>
      </c>
      <c r="O3195">
        <v>5.660188E-3</v>
      </c>
      <c r="P3195">
        <v>-0.98863809999999996</v>
      </c>
      <c r="Q3195">
        <v>0.15022369999999999</v>
      </c>
      <c r="R3195">
        <v>-5.2730959999999997E-3</v>
      </c>
      <c r="S3195">
        <v>-3.175354</v>
      </c>
      <c r="T3195">
        <v>-0.9196105</v>
      </c>
      <c r="U3195">
        <v>0.29525759999999901</v>
      </c>
      <c r="V3195">
        <v>-1.0863889999999999E-2</v>
      </c>
      <c r="W3195">
        <v>0.15776699999999999</v>
      </c>
      <c r="X3195">
        <v>0.98741659999999998</v>
      </c>
      <c r="Y3195">
        <v>8.3663080000000001E-2</v>
      </c>
      <c r="Z3195">
        <v>1.061285E-2</v>
      </c>
      <c r="AA3195">
        <v>0.99643760000000003</v>
      </c>
      <c r="AB3195">
        <v>25</v>
      </c>
      <c r="AC3195">
        <v>-0.66519999999997004</v>
      </c>
      <c r="AD3195">
        <v>-0.2349203</v>
      </c>
      <c r="AE3195">
        <v>7.4799999999981895E-2</v>
      </c>
      <c r="AF3195">
        <v>6.3244200742423901E-2</v>
      </c>
      <c r="AG3195">
        <v>-0.2349203</v>
      </c>
      <c r="AH3195">
        <v>0.59262354775565496</v>
      </c>
      <c r="AI3195">
        <v>111.512824975934</v>
      </c>
      <c r="AJ3195">
        <v>83.908506317122999</v>
      </c>
      <c r="AK3195">
        <v>0.64061692580990803</v>
      </c>
      <c r="AL3195">
        <v>80.922691356339598</v>
      </c>
      <c r="AM3195">
        <v>90.630362029120903</v>
      </c>
      <c r="AN3195">
        <v>0.99999999617524604</v>
      </c>
    </row>
    <row r="3196" spans="1:40" x14ac:dyDescent="0.25">
      <c r="A3196" t="str">
        <f>"20190303161938176"</f>
        <v>20190303161938176</v>
      </c>
      <c r="B3196" t="str">
        <f>"1551601178166095"</f>
        <v>1551601178166095</v>
      </c>
      <c r="C3196" t="s">
        <v>40</v>
      </c>
      <c r="D3196">
        <v>4.6754740000000004</v>
      </c>
      <c r="E3196">
        <v>0.53885689999999997</v>
      </c>
      <c r="F3196" t="s">
        <v>42</v>
      </c>
      <c r="G3196">
        <v>-279.78890000000001</v>
      </c>
      <c r="H3196">
        <v>0.92327060000000005</v>
      </c>
      <c r="I3196">
        <v>283.72859999999997</v>
      </c>
      <c r="J3196">
        <v>-279.2448</v>
      </c>
      <c r="K3196">
        <v>1.1208370000000001</v>
      </c>
      <c r="L3196">
        <v>283.66579999999999</v>
      </c>
      <c r="M3196">
        <v>-0.99995489999999998</v>
      </c>
      <c r="N3196">
        <v>-7.6476540000000003E-3</v>
      </c>
      <c r="O3196">
        <v>5.6591269999999999E-3</v>
      </c>
      <c r="P3196">
        <v>-0.98861650000000001</v>
      </c>
      <c r="Q3196">
        <v>0.15037429999999999</v>
      </c>
      <c r="R3196">
        <v>-5.0401140000000001E-3</v>
      </c>
      <c r="S3196">
        <v>-3.1760250000000001</v>
      </c>
      <c r="T3196">
        <v>-0.92115970000000003</v>
      </c>
      <c r="U3196">
        <v>0.29577639999999999</v>
      </c>
      <c r="V3196">
        <v>-1.0629599999999999E-2</v>
      </c>
      <c r="W3196">
        <v>0.1579304</v>
      </c>
      <c r="X3196">
        <v>0.98739299999999997</v>
      </c>
      <c r="Y3196">
        <v>8.3791199999999996E-2</v>
      </c>
      <c r="Z3196">
        <v>1.0646889999999999E-2</v>
      </c>
      <c r="AA3196">
        <v>0.99642649999999999</v>
      </c>
      <c r="AB3196">
        <v>25</v>
      </c>
      <c r="AC3196">
        <v>-0.54410000000001402</v>
      </c>
      <c r="AD3196">
        <v>-0.1975664</v>
      </c>
      <c r="AE3196">
        <v>6.2799999999981496E-2</v>
      </c>
      <c r="AF3196">
        <v>5.2844063677244903E-2</v>
      </c>
      <c r="AG3196">
        <v>-0.1975664</v>
      </c>
      <c r="AH3196">
        <v>0.48176296997017498</v>
      </c>
      <c r="AI3196">
        <v>112.17804316530901</v>
      </c>
      <c r="AJ3196">
        <v>83.740312142332101</v>
      </c>
      <c r="AK3196">
        <v>0.52337418422135495</v>
      </c>
      <c r="AL3196">
        <v>80.913210107893093</v>
      </c>
      <c r="AM3196">
        <v>90.616783481602496</v>
      </c>
      <c r="AN3196">
        <v>0.99999996804465896</v>
      </c>
    </row>
    <row r="3197" spans="1:40" x14ac:dyDescent="0.25">
      <c r="A3197" t="str">
        <f>"20190303161938197"</f>
        <v>20190303161938197</v>
      </c>
      <c r="B3197" t="str">
        <f>"1551601178185615"</f>
        <v>1551601178185615</v>
      </c>
      <c r="C3197" t="s">
        <v>40</v>
      </c>
      <c r="D3197">
        <v>4.6740789999999999</v>
      </c>
      <c r="E3197">
        <v>0.53888130000000001</v>
      </c>
      <c r="F3197" t="s">
        <v>42</v>
      </c>
      <c r="G3197">
        <v>-279.99959999999999</v>
      </c>
      <c r="H3197">
        <v>0.90138859999999998</v>
      </c>
      <c r="I3197">
        <v>283.73649999999998</v>
      </c>
      <c r="J3197">
        <v>-279.46609999999998</v>
      </c>
      <c r="K3197">
        <v>1.120838</v>
      </c>
      <c r="L3197">
        <v>283.66699999999997</v>
      </c>
      <c r="M3197">
        <v>-0.99995480000000003</v>
      </c>
      <c r="N3197">
        <v>-7.6683139999999999E-3</v>
      </c>
      <c r="O3197">
        <v>5.6582159999999998E-3</v>
      </c>
      <c r="P3197">
        <v>-0.98859109999999994</v>
      </c>
      <c r="Q3197">
        <v>0.1505696</v>
      </c>
      <c r="R3197">
        <v>-4.1229880000000002E-3</v>
      </c>
      <c r="S3197">
        <v>-3.1765439999999998</v>
      </c>
      <c r="T3197">
        <v>-0.92358899999999999</v>
      </c>
      <c r="U3197">
        <v>0.29650880000000002</v>
      </c>
      <c r="V3197">
        <v>-9.7111449999999992E-3</v>
      </c>
      <c r="W3197">
        <v>0.15814610000000001</v>
      </c>
      <c r="X3197">
        <v>0.98736800000000002</v>
      </c>
      <c r="Y3197">
        <v>8.3980840000000001E-2</v>
      </c>
      <c r="Z3197">
        <v>1.070019E-2</v>
      </c>
      <c r="AA3197">
        <v>0.99640989999999996</v>
      </c>
      <c r="AB3197">
        <v>25</v>
      </c>
      <c r="AC3197">
        <v>-0.53350000000000297</v>
      </c>
      <c r="AD3197">
        <v>-0.21944939999999899</v>
      </c>
      <c r="AE3197">
        <v>6.9499999999948103E-2</v>
      </c>
      <c r="AF3197">
        <v>5.6997163269876597E-2</v>
      </c>
      <c r="AG3197">
        <v>-0.21944939999999899</v>
      </c>
      <c r="AH3197">
        <v>0.45772938954493803</v>
      </c>
      <c r="AI3197">
        <v>115.443057682976</v>
      </c>
      <c r="AJ3197">
        <v>82.9019778708942</v>
      </c>
      <c r="AK3197">
        <v>0.51080613723246704</v>
      </c>
      <c r="AL3197">
        <v>80.900694700234197</v>
      </c>
      <c r="AM3197">
        <v>90.563507914427305</v>
      </c>
      <c r="AN3197">
        <v>1.00000003135321</v>
      </c>
    </row>
    <row r="3198" spans="1:40" x14ac:dyDescent="0.25">
      <c r="A3198" t="str">
        <f>"20190303161938219"</f>
        <v>20190303161938219</v>
      </c>
      <c r="B3198" t="str">
        <f>"1551601178215871"</f>
        <v>1551601178215871</v>
      </c>
      <c r="C3198" t="s">
        <v>40</v>
      </c>
      <c r="D3198">
        <v>4.7037579999999997</v>
      </c>
      <c r="E3198">
        <v>0.53887910000000006</v>
      </c>
      <c r="F3198" t="s">
        <v>42</v>
      </c>
      <c r="G3198">
        <v>-280.22050000000002</v>
      </c>
      <c r="H3198">
        <v>0.90075190000000005</v>
      </c>
      <c r="I3198">
        <v>283.73829999999998</v>
      </c>
      <c r="J3198">
        <v>-279.71850000000001</v>
      </c>
      <c r="K3198">
        <v>1.120835</v>
      </c>
      <c r="L3198">
        <v>283.66849999999999</v>
      </c>
      <c r="M3198">
        <v>-0.99995440000000002</v>
      </c>
      <c r="N3198">
        <v>-7.6910640000000001E-3</v>
      </c>
      <c r="O3198">
        <v>5.6583099999999997E-3</v>
      </c>
      <c r="P3198">
        <v>-0.98856129999999998</v>
      </c>
      <c r="Q3198">
        <v>0.15077779999999999</v>
      </c>
      <c r="R3198">
        <v>-3.5677399999999998E-3</v>
      </c>
      <c r="S3198">
        <v>-3.1770019999999999</v>
      </c>
      <c r="T3198">
        <v>-0.9268554</v>
      </c>
      <c r="U3198">
        <v>0.29931639999999998</v>
      </c>
      <c r="V3198">
        <v>-9.1561820000000006E-3</v>
      </c>
      <c r="W3198">
        <v>0.1583763</v>
      </c>
      <c r="X3198">
        <v>0.9873364</v>
      </c>
      <c r="Y3198">
        <v>8.4784390000000001E-2</v>
      </c>
      <c r="Z3198">
        <v>1.085231E-2</v>
      </c>
      <c r="AA3198">
        <v>0.99634020000000001</v>
      </c>
      <c r="AB3198">
        <v>25</v>
      </c>
      <c r="AC3198">
        <v>-0.50200000000000899</v>
      </c>
      <c r="AD3198">
        <v>-0.2200831</v>
      </c>
      <c r="AE3198">
        <v>6.9799999999986498E-2</v>
      </c>
      <c r="AF3198">
        <v>5.6335667896515298E-2</v>
      </c>
      <c r="AG3198">
        <v>-0.2200831</v>
      </c>
      <c r="AH3198">
        <v>0.42268533707820799</v>
      </c>
      <c r="AI3198">
        <v>117.298913698815</v>
      </c>
      <c r="AJ3198">
        <v>82.408336919697007</v>
      </c>
      <c r="AK3198">
        <v>0.47986786990157498</v>
      </c>
      <c r="AL3198">
        <v>80.887336831011595</v>
      </c>
      <c r="AM3198">
        <v>90.531324021873203</v>
      </c>
      <c r="AN3198">
        <v>1.0000000274177301</v>
      </c>
    </row>
    <row r="3199" spans="1:40" x14ac:dyDescent="0.25">
      <c r="A3199" t="str">
        <f>"20190303161938231"</f>
        <v>20190303161938231</v>
      </c>
      <c r="B3199" t="str">
        <f>"1551601178225631"</f>
        <v>1551601178225631</v>
      </c>
      <c r="C3199" t="s">
        <v>40</v>
      </c>
      <c r="D3199">
        <v>4.6973940000000001</v>
      </c>
      <c r="E3199">
        <v>0.53887209999999997</v>
      </c>
      <c r="F3199" t="s">
        <v>42</v>
      </c>
      <c r="G3199">
        <v>-280.44510000000002</v>
      </c>
      <c r="H3199">
        <v>0.90751490000000001</v>
      </c>
      <c r="I3199">
        <v>283.73750000000001</v>
      </c>
      <c r="J3199">
        <v>-279.85019999999997</v>
      </c>
      <c r="K3199">
        <v>1.1208370000000001</v>
      </c>
      <c r="L3199">
        <v>283.66919999999999</v>
      </c>
      <c r="M3199">
        <v>-0.99995429999999996</v>
      </c>
      <c r="N3199">
        <v>-7.7026029999999997E-3</v>
      </c>
      <c r="O3199">
        <v>5.6582669999999998E-3</v>
      </c>
      <c r="P3199">
        <v>-0.98854750000000002</v>
      </c>
      <c r="Q3199">
        <v>0.1508729</v>
      </c>
      <c r="R3199">
        <v>-3.3784890000000001E-3</v>
      </c>
      <c r="S3199">
        <v>-3.178131</v>
      </c>
      <c r="T3199">
        <v>-0.93312799999999996</v>
      </c>
      <c r="U3199">
        <v>0.30123899999999998</v>
      </c>
      <c r="V3199">
        <v>-8.9667669999999901E-3</v>
      </c>
      <c r="W3199">
        <v>0.1584827</v>
      </c>
      <c r="X3199">
        <v>0.987321</v>
      </c>
      <c r="Y3199">
        <v>8.5285349999999996E-2</v>
      </c>
      <c r="Z3199">
        <v>1.0991000000000001E-2</v>
      </c>
      <c r="AA3199">
        <v>0.99629590000000001</v>
      </c>
      <c r="AB3199">
        <v>25</v>
      </c>
      <c r="AC3199">
        <v>-0.59490000000005205</v>
      </c>
      <c r="AD3199">
        <v>-0.21332209999999999</v>
      </c>
      <c r="AE3199">
        <v>6.8300000000021996E-2</v>
      </c>
      <c r="AF3199">
        <v>5.7620120388380797E-2</v>
      </c>
      <c r="AG3199">
        <v>-0.21332209999999999</v>
      </c>
      <c r="AH3199">
        <v>0.52823812146650495</v>
      </c>
      <c r="AI3199">
        <v>111.87327581258999</v>
      </c>
      <c r="AJ3199">
        <v>83.774798695408805</v>
      </c>
      <c r="AK3199">
        <v>0.57259227168417404</v>
      </c>
      <c r="AL3199">
        <v>80.881161989535997</v>
      </c>
      <c r="AM3199">
        <v>90.520341186454701</v>
      </c>
      <c r="AN3199">
        <v>0.99999996307535999</v>
      </c>
    </row>
    <row r="3200" spans="1:40" x14ac:dyDescent="0.25">
      <c r="A3200" t="str">
        <f>"20190303161938244"</f>
        <v>20190303161938244</v>
      </c>
      <c r="B3200" t="str">
        <f>"1551601178235391"</f>
        <v>1551601178235391</v>
      </c>
      <c r="C3200" t="s">
        <v>40</v>
      </c>
      <c r="D3200">
        <v>4.7160909999999996</v>
      </c>
      <c r="E3200">
        <v>0.53886299999999998</v>
      </c>
      <c r="F3200" t="s">
        <v>42</v>
      </c>
      <c r="G3200">
        <v>-280.6576</v>
      </c>
      <c r="H3200">
        <v>0.88322619999999896</v>
      </c>
      <c r="I3200">
        <v>283.74610000000001</v>
      </c>
      <c r="J3200">
        <v>-279.99160000000001</v>
      </c>
      <c r="K3200">
        <v>1.1208370000000001</v>
      </c>
      <c r="L3200">
        <v>283.67</v>
      </c>
      <c r="M3200">
        <v>-0.99995440000000002</v>
      </c>
      <c r="N3200">
        <v>-7.7148190000000004E-3</v>
      </c>
      <c r="O3200">
        <v>5.6582209999999997E-3</v>
      </c>
      <c r="P3200">
        <v>-0.98849620000000005</v>
      </c>
      <c r="Q3200">
        <v>0.15121279999999901</v>
      </c>
      <c r="R3200">
        <v>-3.1989079999999999E-3</v>
      </c>
      <c r="S3200">
        <v>-3.178528</v>
      </c>
      <c r="T3200">
        <v>-0.93547420000000003</v>
      </c>
      <c r="U3200">
        <v>0.3016663</v>
      </c>
      <c r="V3200">
        <v>-8.7868900000000003E-3</v>
      </c>
      <c r="W3200">
        <v>0.15883439999999999</v>
      </c>
      <c r="X3200">
        <v>0.98726610000000004</v>
      </c>
      <c r="Y3200">
        <v>8.5386089999999998E-2</v>
      </c>
      <c r="Z3200">
        <v>1.10308E-2</v>
      </c>
      <c r="AA3200">
        <v>0.99628689999999998</v>
      </c>
      <c r="AB3200">
        <v>25</v>
      </c>
      <c r="AC3200">
        <v>-0.66599999999999604</v>
      </c>
      <c r="AD3200">
        <v>-0.23761080000000001</v>
      </c>
      <c r="AE3200">
        <v>7.6099999999996698E-2</v>
      </c>
      <c r="AF3200">
        <v>6.42566709317621E-2</v>
      </c>
      <c r="AG3200">
        <v>-0.23761080000000001</v>
      </c>
      <c r="AH3200">
        <v>0.59203307364412505</v>
      </c>
      <c r="AI3200">
        <v>111.75219350151301</v>
      </c>
      <c r="AJ3200">
        <v>83.805614908309593</v>
      </c>
      <c r="AK3200">
        <v>0.64116376404502395</v>
      </c>
      <c r="AL3200">
        <v>80.860752556811093</v>
      </c>
      <c r="AM3200">
        <v>90.509931840264002</v>
      </c>
      <c r="AN3200">
        <v>0.99999996413421999</v>
      </c>
    </row>
    <row r="3201" spans="1:40" x14ac:dyDescent="0.25">
      <c r="A3201" t="str">
        <f>"20190303161938255"</f>
        <v>20190303161938255</v>
      </c>
      <c r="B3201" t="str">
        <f>"1551601178246127"</f>
        <v>1551601178246127</v>
      </c>
      <c r="C3201" t="s">
        <v>40</v>
      </c>
      <c r="D3201">
        <v>4.715808</v>
      </c>
      <c r="E3201">
        <v>0.53884290000000001</v>
      </c>
      <c r="F3201" t="s">
        <v>42</v>
      </c>
      <c r="G3201">
        <v>-280.67320000000001</v>
      </c>
      <c r="H3201">
        <v>0.92003380000000001</v>
      </c>
      <c r="I3201">
        <v>283.73489999999998</v>
      </c>
      <c r="J3201">
        <v>-280.12509999999997</v>
      </c>
      <c r="K3201">
        <v>1.120838</v>
      </c>
      <c r="L3201">
        <v>283.67070000000001</v>
      </c>
      <c r="M3201">
        <v>-0.99995420000000002</v>
      </c>
      <c r="N3201">
        <v>-7.7260849999999997E-3</v>
      </c>
      <c r="O3201">
        <v>5.6582990000000003E-3</v>
      </c>
      <c r="P3201">
        <v>-0.98844160000000003</v>
      </c>
      <c r="Q3201">
        <v>0.1515724</v>
      </c>
      <c r="R3201">
        <v>-3.0219090000000001E-3</v>
      </c>
      <c r="S3201">
        <v>-3.1791689999999999</v>
      </c>
      <c r="T3201">
        <v>-0.93674659999999998</v>
      </c>
      <c r="U3201">
        <v>0.30178829999999901</v>
      </c>
      <c r="V3201">
        <v>-8.6093630000000001E-3</v>
      </c>
      <c r="W3201">
        <v>0.15920490000000001</v>
      </c>
      <c r="X3201">
        <v>0.98720799999999997</v>
      </c>
      <c r="Y3201">
        <v>8.5396680000000003E-2</v>
      </c>
      <c r="Z3201">
        <v>1.1044740000000001E-2</v>
      </c>
      <c r="AA3201">
        <v>0.9962858</v>
      </c>
      <c r="AB3201">
        <v>25</v>
      </c>
      <c r="AC3201">
        <v>-0.54810000000003301</v>
      </c>
      <c r="AD3201">
        <v>-0.20080419999999999</v>
      </c>
      <c r="AE3201">
        <v>6.41999999999711E-2</v>
      </c>
      <c r="AF3201">
        <v>5.3953758973651601E-2</v>
      </c>
      <c r="AG3201">
        <v>-0.20080419999999999</v>
      </c>
      <c r="AH3201">
        <v>0.48432668793280298</v>
      </c>
      <c r="AI3201">
        <v>112.394402467837</v>
      </c>
      <c r="AJ3201">
        <v>83.643485864005598</v>
      </c>
      <c r="AK3201">
        <v>0.52707274212293098</v>
      </c>
      <c r="AL3201">
        <v>80.839251000393901</v>
      </c>
      <c r="AM3201">
        <v>90.499659301161003</v>
      </c>
      <c r="AN3201">
        <v>0.99999997828963705</v>
      </c>
    </row>
    <row r="3202" spans="1:40" x14ac:dyDescent="0.25">
      <c r="A3202" t="str">
        <f>"20190303161938274"</f>
        <v>20190303161938274</v>
      </c>
      <c r="B3202" t="str">
        <f>"1551601178265647"</f>
        <v>1551601178265647</v>
      </c>
      <c r="C3202" t="s">
        <v>40</v>
      </c>
      <c r="D3202">
        <v>4.7288790000000001</v>
      </c>
      <c r="E3202">
        <v>0.53880309999999998</v>
      </c>
      <c r="F3202" t="s">
        <v>42</v>
      </c>
      <c r="G3202">
        <v>-280.88580000000002</v>
      </c>
      <c r="H3202">
        <v>0.89652739999999997</v>
      </c>
      <c r="I3202">
        <v>283.7432</v>
      </c>
      <c r="J3202">
        <v>-280.32850000000002</v>
      </c>
      <c r="K3202">
        <v>1.120844</v>
      </c>
      <c r="L3202">
        <v>283.67189999999999</v>
      </c>
      <c r="M3202">
        <v>-0.99995420000000002</v>
      </c>
      <c r="N3202">
        <v>-7.7429919999999998E-3</v>
      </c>
      <c r="O3202">
        <v>5.658415E-3</v>
      </c>
      <c r="P3202">
        <v>-0.98833419999999905</v>
      </c>
      <c r="Q3202">
        <v>0.15227079999999901</v>
      </c>
      <c r="R3202">
        <v>-3.0581789999999998E-3</v>
      </c>
      <c r="S3202">
        <v>-3.1797490000000002</v>
      </c>
      <c r="T3202">
        <v>-0.93767230000000001</v>
      </c>
      <c r="U3202">
        <v>0.30191040000000002</v>
      </c>
      <c r="V3202">
        <v>-8.6445989999999993E-3</v>
      </c>
      <c r="W3202">
        <v>0.15991900000000001</v>
      </c>
      <c r="X3202">
        <v>0.98709230000000003</v>
      </c>
      <c r="Y3202">
        <v>8.5411109999999998E-2</v>
      </c>
      <c r="Z3202">
        <v>1.105592E-2</v>
      </c>
      <c r="AA3202">
        <v>0.99628439999999996</v>
      </c>
      <c r="AB3202">
        <v>25</v>
      </c>
      <c r="AC3202">
        <v>-0.55729999999999702</v>
      </c>
      <c r="AD3202">
        <v>-0.2243166</v>
      </c>
      <c r="AE3202">
        <v>7.1300000000007899E-2</v>
      </c>
      <c r="AF3202">
        <v>5.8776275959378503E-2</v>
      </c>
      <c r="AG3202">
        <v>-0.2243166</v>
      </c>
      <c r="AH3202">
        <v>0.48101913858188799</v>
      </c>
      <c r="AI3202">
        <v>114.83910078647</v>
      </c>
      <c r="AJ3202">
        <v>83.033498044621595</v>
      </c>
      <c r="AK3202">
        <v>0.53399625404423501</v>
      </c>
      <c r="AL3202">
        <v>80.797805388362903</v>
      </c>
      <c r="AM3202">
        <v>90.501762982385799</v>
      </c>
      <c r="AN3202">
        <v>1.0000000121860799</v>
      </c>
    </row>
    <row r="3203" spans="1:40" x14ac:dyDescent="0.25">
      <c r="A3203" t="str">
        <f>"20190303161938288"</f>
        <v>20190303161938288</v>
      </c>
      <c r="B3203" t="str">
        <f>"1551601178275407"</f>
        <v>1551601178275407</v>
      </c>
      <c r="C3203" t="s">
        <v>40</v>
      </c>
      <c r="D3203">
        <v>4.7340999999999998</v>
      </c>
      <c r="E3203">
        <v>0.53877900000000001</v>
      </c>
      <c r="F3203" t="s">
        <v>42</v>
      </c>
      <c r="G3203">
        <v>-281.10730000000001</v>
      </c>
      <c r="H3203">
        <v>0.89133059999999997</v>
      </c>
      <c r="I3203">
        <v>283.74590000000001</v>
      </c>
      <c r="J3203">
        <v>-280.48419999999999</v>
      </c>
      <c r="K3203">
        <v>1.120844</v>
      </c>
      <c r="L3203">
        <v>283.6728</v>
      </c>
      <c r="M3203">
        <v>-0.99995400000000001</v>
      </c>
      <c r="N3203">
        <v>-7.7556919999999998E-3</v>
      </c>
      <c r="O3203">
        <v>5.6583669999999897E-3</v>
      </c>
      <c r="P3203">
        <v>-0.98831970000000002</v>
      </c>
      <c r="Q3203">
        <v>0.152366</v>
      </c>
      <c r="R3203">
        <v>-3.0020300000000001E-3</v>
      </c>
      <c r="S3203">
        <v>-3.1807859999999999</v>
      </c>
      <c r="T3203">
        <v>-0.93744669999999997</v>
      </c>
      <c r="U3203">
        <v>0.3010254</v>
      </c>
      <c r="V3203">
        <v>-8.5889060000000003E-3</v>
      </c>
      <c r="W3203">
        <v>0.160026799999999</v>
      </c>
      <c r="X3203">
        <v>0.98707529999999999</v>
      </c>
      <c r="Y3203">
        <v>8.5121870000000002E-2</v>
      </c>
      <c r="Z3203">
        <v>1.10081E-2</v>
      </c>
      <c r="AA3203">
        <v>0.99630980000000002</v>
      </c>
      <c r="AB3203">
        <v>25</v>
      </c>
      <c r="AC3203">
        <v>-0.62310000000002197</v>
      </c>
      <c r="AD3203">
        <v>-0.22951339999999901</v>
      </c>
      <c r="AE3203">
        <v>7.3100000000010795E-2</v>
      </c>
      <c r="AF3203">
        <v>6.1360869947828398E-2</v>
      </c>
      <c r="AG3203">
        <v>-0.22951339999999901</v>
      </c>
      <c r="AH3203">
        <v>0.549907718394961</v>
      </c>
      <c r="AI3203">
        <v>112.528322767513</v>
      </c>
      <c r="AJ3203">
        <v>83.633048914673097</v>
      </c>
      <c r="AK3203">
        <v>0.59903260002329295</v>
      </c>
      <c r="AL3203">
        <v>80.791548179634503</v>
      </c>
      <c r="AM3203">
        <v>90.498539113688395</v>
      </c>
      <c r="AN3203">
        <v>0.99999999694730302</v>
      </c>
    </row>
    <row r="3204" spans="1:40" x14ac:dyDescent="0.25">
      <c r="A3204" t="str">
        <f>"20190303161938300"</f>
        <v>20190303161938300</v>
      </c>
      <c r="B3204" t="str">
        <f>"1551601178295903"</f>
        <v>1551601178295903</v>
      </c>
      <c r="C3204" t="s">
        <v>40</v>
      </c>
      <c r="D3204">
        <v>4.7797519999999896</v>
      </c>
      <c r="E3204">
        <v>0.53873559999999998</v>
      </c>
      <c r="F3204" t="s">
        <v>42</v>
      </c>
      <c r="G3204">
        <v>-281.32420000000002</v>
      </c>
      <c r="H3204">
        <v>0.87303660000000005</v>
      </c>
      <c r="I3204">
        <v>283.75240000000002</v>
      </c>
      <c r="J3204">
        <v>-280.62759999999997</v>
      </c>
      <c r="K3204">
        <v>1.1208419999999999</v>
      </c>
      <c r="L3204">
        <v>283.67360000000002</v>
      </c>
      <c r="M3204">
        <v>-0.99995389999999995</v>
      </c>
      <c r="N3204">
        <v>-7.7671679999999996E-3</v>
      </c>
      <c r="O3204">
        <v>5.6583240000000002E-3</v>
      </c>
      <c r="P3204">
        <v>-0.98834599999999995</v>
      </c>
      <c r="Q3204">
        <v>0.152189299999999</v>
      </c>
      <c r="R3204">
        <v>-3.3150430000000002E-3</v>
      </c>
      <c r="S3204">
        <v>-3.1810299999999998</v>
      </c>
      <c r="T3204">
        <v>-0.93844680000000003</v>
      </c>
      <c r="U3204">
        <v>0.30050660000000001</v>
      </c>
      <c r="V3204">
        <v>-8.9012039999999994E-3</v>
      </c>
      <c r="W3204">
        <v>0.15986149999999999</v>
      </c>
      <c r="X3204">
        <v>0.98709930000000001</v>
      </c>
      <c r="Y3204">
        <v>8.4954109999999999E-2</v>
      </c>
      <c r="Z3204">
        <v>1.099401E-2</v>
      </c>
      <c r="AA3204">
        <v>0.99632419999999999</v>
      </c>
      <c r="AB3204">
        <v>25</v>
      </c>
      <c r="AC3204">
        <v>-0.69660000000004596</v>
      </c>
      <c r="AD3204">
        <v>-0.24780540000000001</v>
      </c>
      <c r="AE3204">
        <v>7.8800000000000994E-2</v>
      </c>
      <c r="AF3204">
        <v>6.6542605342460107E-2</v>
      </c>
      <c r="AG3204">
        <v>-0.24780540000000001</v>
      </c>
      <c r="AH3204">
        <v>0.61961457181290502</v>
      </c>
      <c r="AI3204">
        <v>111.685153760923</v>
      </c>
      <c r="AJ3204">
        <v>83.870296474339696</v>
      </c>
      <c r="AK3204">
        <v>0.67063973353642803</v>
      </c>
      <c r="AL3204">
        <v>80.801142527749207</v>
      </c>
      <c r="AM3204">
        <v>90.516652781241703</v>
      </c>
      <c r="AN3204">
        <v>0.99999997933769402</v>
      </c>
    </row>
    <row r="3205" spans="1:40" x14ac:dyDescent="0.25">
      <c r="A3205" t="str">
        <f>"20190303161938312"</f>
        <v>20190303161938312</v>
      </c>
      <c r="B3205" t="str">
        <f>"1551601178305663"</f>
        <v>1551601178305663</v>
      </c>
      <c r="C3205" t="s">
        <v>40</v>
      </c>
      <c r="D3205">
        <v>4.7403519999999997</v>
      </c>
      <c r="E3205">
        <v>0.53870180000000001</v>
      </c>
      <c r="F3205" t="s">
        <v>42</v>
      </c>
      <c r="G3205">
        <v>-281.33940000000001</v>
      </c>
      <c r="H3205">
        <v>0.91014419999999996</v>
      </c>
      <c r="I3205">
        <v>283.74079999999998</v>
      </c>
      <c r="J3205">
        <v>-280.76319999999998</v>
      </c>
      <c r="K3205">
        <v>1.120843</v>
      </c>
      <c r="L3205">
        <v>283.67439999999999</v>
      </c>
      <c r="M3205">
        <v>-0.9999538</v>
      </c>
      <c r="N3205">
        <v>-7.7790450000000001E-3</v>
      </c>
      <c r="O3205">
        <v>5.6581000000000001E-3</v>
      </c>
      <c r="P3205">
        <v>-0.98831939999999996</v>
      </c>
      <c r="Q3205">
        <v>0.15235940000000001</v>
      </c>
      <c r="R3205">
        <v>-3.4150999999999899E-3</v>
      </c>
      <c r="S3205">
        <v>-3.1813660000000001</v>
      </c>
      <c r="T3205">
        <v>-0.9418147</v>
      </c>
      <c r="U3205">
        <v>0.29898069999999999</v>
      </c>
      <c r="V3205">
        <v>-9.0011929999999993E-3</v>
      </c>
      <c r="W3205">
        <v>0.16004280000000001</v>
      </c>
      <c r="X3205">
        <v>0.98706899999999997</v>
      </c>
      <c r="Y3205">
        <v>8.4468399999999999E-2</v>
      </c>
      <c r="Z3205">
        <v>1.09582E-2</v>
      </c>
      <c r="AA3205">
        <v>0.99636590000000003</v>
      </c>
      <c r="AB3205">
        <v>25</v>
      </c>
      <c r="AC3205">
        <v>-0.57620000000002802</v>
      </c>
      <c r="AD3205">
        <v>-0.21069879999999999</v>
      </c>
      <c r="AE3205">
        <v>6.6399999999987303E-2</v>
      </c>
      <c r="AF3205">
        <v>5.5778066869381797E-2</v>
      </c>
      <c r="AG3205">
        <v>-0.21069879999999999</v>
      </c>
      <c r="AH3205">
        <v>0.50935153586530202</v>
      </c>
      <c r="AI3205">
        <v>112.352594593959</v>
      </c>
      <c r="AJ3205">
        <v>83.750555630326403</v>
      </c>
      <c r="AK3205">
        <v>0.55402541832795604</v>
      </c>
      <c r="AL3205">
        <v>80.790619181005596</v>
      </c>
      <c r="AM3205">
        <v>90.522472161984794</v>
      </c>
      <c r="AN3205">
        <v>0.99999996503413002</v>
      </c>
    </row>
    <row r="3206" spans="1:40" x14ac:dyDescent="0.25">
      <c r="A3206" t="str">
        <f>"20190303161938330"</f>
        <v>20190303161938330</v>
      </c>
      <c r="B3206" t="str">
        <f>"1551601178326158"</f>
        <v>1551601178326158</v>
      </c>
      <c r="C3206" t="s">
        <v>40</v>
      </c>
      <c r="D3206">
        <v>4.7773149999999998</v>
      </c>
      <c r="E3206">
        <v>0.53864319999999999</v>
      </c>
      <c r="F3206" t="s">
        <v>42</v>
      </c>
      <c r="G3206">
        <v>-281.55430000000001</v>
      </c>
      <c r="H3206">
        <v>0.88653300000000002</v>
      </c>
      <c r="I3206">
        <v>283.74880000000002</v>
      </c>
      <c r="J3206">
        <v>-280.96019999999999</v>
      </c>
      <c r="K3206">
        <v>1.1208499999999999</v>
      </c>
      <c r="L3206">
        <v>283.6755</v>
      </c>
      <c r="M3206">
        <v>-0.9999536</v>
      </c>
      <c r="N3206">
        <v>-7.7979809999999998E-3</v>
      </c>
      <c r="O3206">
        <v>5.6580279999999998E-3</v>
      </c>
      <c r="P3206">
        <v>-0.98822900000000002</v>
      </c>
      <c r="Q3206">
        <v>0.15294099999999999</v>
      </c>
      <c r="R3206">
        <v>-3.5390579999999999E-3</v>
      </c>
      <c r="S3206">
        <v>-3.1817630000000001</v>
      </c>
      <c r="T3206">
        <v>-0.94232550000000004</v>
      </c>
      <c r="U3206">
        <v>0.2984619</v>
      </c>
      <c r="V3206">
        <v>-9.1245479999999997E-3</v>
      </c>
      <c r="W3206">
        <v>0.16064289999999901</v>
      </c>
      <c r="X3206">
        <v>0.98697040000000003</v>
      </c>
      <c r="Y3206">
        <v>8.4300070000000005E-2</v>
      </c>
      <c r="Z3206">
        <v>1.0938440000000001E-2</v>
      </c>
      <c r="AA3206">
        <v>0.99638040000000005</v>
      </c>
      <c r="AB3206">
        <v>25</v>
      </c>
      <c r="AC3206">
        <v>-0.59410000000002505</v>
      </c>
      <c r="AD3206">
        <v>-0.234316999999999</v>
      </c>
      <c r="AE3206">
        <v>7.3300000000017407E-2</v>
      </c>
      <c r="AF3206">
        <v>6.0645010045012798E-2</v>
      </c>
      <c r="AG3206">
        <v>-0.234316999999999</v>
      </c>
      <c r="AH3206">
        <v>0.51551577111783498</v>
      </c>
      <c r="AI3206">
        <v>114.29519715696</v>
      </c>
      <c r="AJ3206">
        <v>83.290591192272004</v>
      </c>
      <c r="AK3206">
        <v>0.56950749249116595</v>
      </c>
      <c r="AL3206">
        <v>80.755785461673</v>
      </c>
      <c r="AM3206">
        <v>90.529684777359705</v>
      </c>
      <c r="AN3206">
        <v>0.99999998458638695</v>
      </c>
    </row>
    <row r="3207" spans="1:40" x14ac:dyDescent="0.25">
      <c r="A3207" t="str">
        <f>"20190303161938341"</f>
        <v>20190303161938341</v>
      </c>
      <c r="B3207" t="str">
        <f>"1551601178335920"</f>
        <v>1551601178335920</v>
      </c>
      <c r="C3207" t="s">
        <v>40</v>
      </c>
      <c r="D3207">
        <v>4.7834279999999998</v>
      </c>
      <c r="E3207">
        <v>0.53861530000000002</v>
      </c>
      <c r="F3207" t="s">
        <v>42</v>
      </c>
      <c r="G3207">
        <v>-281.77659999999997</v>
      </c>
      <c r="H3207">
        <v>0.87897109999999901</v>
      </c>
      <c r="I3207">
        <v>283.75200000000001</v>
      </c>
      <c r="J3207">
        <v>-281.09210000000002</v>
      </c>
      <c r="K3207">
        <v>1.1208560000000001</v>
      </c>
      <c r="L3207">
        <v>283.67630000000003</v>
      </c>
      <c r="M3207">
        <v>-0.99995350000000005</v>
      </c>
      <c r="N3207">
        <v>-7.811938E-3</v>
      </c>
      <c r="O3207">
        <v>5.6579739999999996E-3</v>
      </c>
      <c r="P3207">
        <v>-0.98814579999999996</v>
      </c>
      <c r="Q3207">
        <v>0.15346860000000001</v>
      </c>
      <c r="R3207">
        <v>-3.9320220000000003E-3</v>
      </c>
      <c r="S3207">
        <v>-3.1827390000000002</v>
      </c>
      <c r="T3207">
        <v>-0.94289029999999996</v>
      </c>
      <c r="U3207">
        <v>0.29779050000000001</v>
      </c>
      <c r="V3207">
        <v>-9.5171400000000003E-3</v>
      </c>
      <c r="W3207">
        <v>0.1611832</v>
      </c>
      <c r="X3207">
        <v>0.98687860000000005</v>
      </c>
      <c r="Y3207">
        <v>8.4071119999999999E-2</v>
      </c>
      <c r="Z3207">
        <v>1.090816E-2</v>
      </c>
      <c r="AA3207">
        <v>0.99640010000000001</v>
      </c>
      <c r="AB3207">
        <v>25</v>
      </c>
      <c r="AC3207">
        <v>-0.68449999999995703</v>
      </c>
      <c r="AD3207">
        <v>-0.24188490000000001</v>
      </c>
      <c r="AE3207">
        <v>7.5699999999983406E-2</v>
      </c>
      <c r="AF3207">
        <v>6.3938079865905204E-2</v>
      </c>
      <c r="AG3207">
        <v>-0.24188490000000001</v>
      </c>
      <c r="AH3207">
        <v>0.60970165491506301</v>
      </c>
      <c r="AI3207">
        <v>111.53235947488599</v>
      </c>
      <c r="AJ3207">
        <v>84.013398252695296</v>
      </c>
      <c r="AK3207">
        <v>0.65903906630116804</v>
      </c>
      <c r="AL3207">
        <v>80.724419821144096</v>
      </c>
      <c r="AM3207">
        <v>90.552524952745202</v>
      </c>
      <c r="AN3207">
        <v>0.99999998552698899</v>
      </c>
    </row>
    <row r="3208" spans="1:40" x14ac:dyDescent="0.25">
      <c r="A3208" t="str">
        <f>"20190303161938354"</f>
        <v>20190303161938354</v>
      </c>
      <c r="B3208" t="str">
        <f>"1551601178345679"</f>
        <v>1551601178345679</v>
      </c>
      <c r="C3208" t="s">
        <v>40</v>
      </c>
      <c r="D3208">
        <v>4.7735099999999999</v>
      </c>
      <c r="E3208">
        <v>0.53860940000000002</v>
      </c>
      <c r="F3208" t="s">
        <v>42</v>
      </c>
      <c r="G3208">
        <v>-281.7912</v>
      </c>
      <c r="H3208">
        <v>0.91382300000000005</v>
      </c>
      <c r="I3208">
        <v>283.7414</v>
      </c>
      <c r="J3208">
        <v>-281.22899999999998</v>
      </c>
      <c r="K3208">
        <v>1.1208579999999999</v>
      </c>
      <c r="L3208">
        <v>283.67700000000002</v>
      </c>
      <c r="M3208">
        <v>-0.99995339999999999</v>
      </c>
      <c r="N3208">
        <v>-7.827334E-3</v>
      </c>
      <c r="O3208">
        <v>5.6579150000000003E-3</v>
      </c>
      <c r="P3208">
        <v>-0.98802290000000004</v>
      </c>
      <c r="Q3208">
        <v>0.15425559999999999</v>
      </c>
      <c r="R3208">
        <v>-4.0347739999999997E-3</v>
      </c>
      <c r="S3208">
        <v>-3.1835939999999998</v>
      </c>
      <c r="T3208">
        <v>-0.94272800000000001</v>
      </c>
      <c r="U3208">
        <v>0.29553220000000002</v>
      </c>
      <c r="V3208">
        <v>-9.6189169999999994E-3</v>
      </c>
      <c r="W3208">
        <v>0.1619845</v>
      </c>
      <c r="X3208">
        <v>0.98674640000000002</v>
      </c>
      <c r="Y3208">
        <v>8.3378359999999999E-2</v>
      </c>
      <c r="Z3208">
        <v>1.080181E-2</v>
      </c>
      <c r="AA3208">
        <v>0.9964594</v>
      </c>
      <c r="AB3208">
        <v>25</v>
      </c>
      <c r="AC3208">
        <v>-0.56219999999996095</v>
      </c>
      <c r="AD3208">
        <v>-0.207035</v>
      </c>
      <c r="AE3208">
        <v>6.4399999999977794E-2</v>
      </c>
      <c r="AF3208">
        <v>5.3990882022848699E-2</v>
      </c>
      <c r="AG3208">
        <v>-0.207035</v>
      </c>
      <c r="AH3208">
        <v>0.496142722834292</v>
      </c>
      <c r="AI3208">
        <v>112.530636310254</v>
      </c>
      <c r="AJ3208">
        <v>83.789438771334304</v>
      </c>
      <c r="AK3208">
        <v>0.54031112147357296</v>
      </c>
      <c r="AL3208">
        <v>80.677897305360901</v>
      </c>
      <c r="AM3208">
        <v>90.558508135032596</v>
      </c>
      <c r="AN3208">
        <v>0.99999997985873101</v>
      </c>
    </row>
    <row r="3209" spans="1:40" x14ac:dyDescent="0.25">
      <c r="A3209" t="str">
        <f>"20190303161938367"</f>
        <v>20190303161938367</v>
      </c>
      <c r="B3209" t="str">
        <f>"1551601178355441"</f>
        <v>1551601178355441</v>
      </c>
      <c r="C3209" t="s">
        <v>40</v>
      </c>
      <c r="D3209">
        <v>4.8127219999999999</v>
      </c>
      <c r="E3209">
        <v>0.53861829999999999</v>
      </c>
      <c r="F3209" t="s">
        <v>42</v>
      </c>
      <c r="G3209">
        <v>-282.00720000000001</v>
      </c>
      <c r="H3209">
        <v>0.89083519999999905</v>
      </c>
      <c r="I3209">
        <v>283.74900000000002</v>
      </c>
      <c r="J3209">
        <v>-281.37180000000001</v>
      </c>
      <c r="K3209">
        <v>1.120862</v>
      </c>
      <c r="L3209">
        <v>283.67790000000002</v>
      </c>
      <c r="M3209">
        <v>-0.99995319999999999</v>
      </c>
      <c r="N3209">
        <v>-7.8437319999999904E-3</v>
      </c>
      <c r="O3209">
        <v>5.6577320000000004E-3</v>
      </c>
      <c r="P3209">
        <v>-0.98800960000000004</v>
      </c>
      <c r="Q3209">
        <v>0.1543456</v>
      </c>
      <c r="R3209">
        <v>-3.832617E-3</v>
      </c>
      <c r="S3209">
        <v>-3.1844790000000001</v>
      </c>
      <c r="T3209">
        <v>-0.94124459999999999</v>
      </c>
      <c r="U3209">
        <v>0.29409790000000002</v>
      </c>
      <c r="V3209">
        <v>-9.4164290000000005E-3</v>
      </c>
      <c r="W3209">
        <v>0.1620904</v>
      </c>
      <c r="X3209">
        <v>0.98673100000000002</v>
      </c>
      <c r="Y3209">
        <v>8.2938970000000001E-2</v>
      </c>
      <c r="Z3209">
        <v>1.071911E-2</v>
      </c>
      <c r="AA3209">
        <v>0.99649699999999997</v>
      </c>
      <c r="AB3209">
        <v>25</v>
      </c>
      <c r="AC3209">
        <v>-0.63540000000000396</v>
      </c>
      <c r="AD3209">
        <v>-0.2300268</v>
      </c>
      <c r="AE3209">
        <v>7.1100000000001204E-2</v>
      </c>
      <c r="AF3209">
        <v>5.9767680741536197E-2</v>
      </c>
      <c r="AG3209">
        <v>-0.2300268</v>
      </c>
      <c r="AH3209">
        <v>0.562928364084891</v>
      </c>
      <c r="AI3209">
        <v>112.113947767098</v>
      </c>
      <c r="AJ3209">
        <v>83.939451434643701</v>
      </c>
      <c r="AK3209">
        <v>0.61104242689911004</v>
      </c>
      <c r="AL3209">
        <v>80.671748768402296</v>
      </c>
      <c r="AM3209">
        <v>90.546760224028901</v>
      </c>
      <c r="AN3209">
        <v>1.0000000166341301</v>
      </c>
    </row>
    <row r="3210" spans="1:40" x14ac:dyDescent="0.25">
      <c r="A3210" t="str">
        <f>"20190303161938380"</f>
        <v>20190303161938380</v>
      </c>
      <c r="B3210" t="str">
        <f>"1551601178375936"</f>
        <v>1551601178375936</v>
      </c>
      <c r="C3210" t="s">
        <v>40</v>
      </c>
      <c r="D3210">
        <v>4.9205670000000001</v>
      </c>
      <c r="E3210">
        <v>0.53850969999999998</v>
      </c>
      <c r="F3210" t="s">
        <v>42</v>
      </c>
      <c r="G3210">
        <v>-282.22489999999999</v>
      </c>
      <c r="H3210">
        <v>0.86855319999999903</v>
      </c>
      <c r="I3210">
        <v>283.75700000000001</v>
      </c>
      <c r="J3210">
        <v>-281.5369</v>
      </c>
      <c r="K3210">
        <v>1.1208610000000001</v>
      </c>
      <c r="L3210">
        <v>283.67880000000002</v>
      </c>
      <c r="M3210">
        <v>-0.99995319999999999</v>
      </c>
      <c r="N3210">
        <v>-7.8629330000000008E-3</v>
      </c>
      <c r="O3210">
        <v>5.6574769999999898E-3</v>
      </c>
      <c r="P3210">
        <v>-0.98792670000000005</v>
      </c>
      <c r="Q3210">
        <v>0.1548805</v>
      </c>
      <c r="R3210">
        <v>-3.6327450000000002E-3</v>
      </c>
      <c r="S3210">
        <v>-3.1846920000000001</v>
      </c>
      <c r="T3210">
        <v>-0.94191460000000005</v>
      </c>
      <c r="U3210">
        <v>0.29425050000000003</v>
      </c>
      <c r="V3210">
        <v>-9.2156129999999992E-3</v>
      </c>
      <c r="W3210">
        <v>0.16264379999999901</v>
      </c>
      <c r="X3210">
        <v>0.98664180000000001</v>
      </c>
      <c r="Y3210">
        <v>8.2974419999999993E-2</v>
      </c>
      <c r="Z3210">
        <v>1.073176E-2</v>
      </c>
      <c r="AA3210">
        <v>0.99649390000000004</v>
      </c>
      <c r="AB3210">
        <v>25</v>
      </c>
      <c r="AC3210">
        <v>-0.68799999999998795</v>
      </c>
      <c r="AD3210">
        <v>-0.25230780000000003</v>
      </c>
      <c r="AE3210">
        <v>7.8199999999981104E-2</v>
      </c>
      <c r="AF3210">
        <v>6.5596802308967597E-2</v>
      </c>
      <c r="AG3210">
        <v>-0.25230780000000003</v>
      </c>
      <c r="AH3210">
        <v>0.60773997709775696</v>
      </c>
      <c r="AI3210">
        <v>112.42888180082601</v>
      </c>
      <c r="AJ3210">
        <v>83.839592722789007</v>
      </c>
      <c r="AK3210">
        <v>0.66129422058323195</v>
      </c>
      <c r="AL3210">
        <v>80.639614604437497</v>
      </c>
      <c r="AM3210">
        <v>90.535149003564399</v>
      </c>
      <c r="AN3210">
        <v>0.99999998735432205</v>
      </c>
    </row>
    <row r="3211" spans="1:40" x14ac:dyDescent="0.25">
      <c r="A3211" t="str">
        <f>"20190303161938398"</f>
        <v>20190303161938398</v>
      </c>
      <c r="B3211" t="str">
        <f>"1551601178385695"</f>
        <v>1551601178385695</v>
      </c>
      <c r="C3211" t="s">
        <v>40</v>
      </c>
      <c r="D3211">
        <v>4.9690089999999998</v>
      </c>
      <c r="E3211">
        <v>0.53850969999999998</v>
      </c>
      <c r="F3211" t="s">
        <v>42</v>
      </c>
      <c r="G3211">
        <v>-282.24290000000002</v>
      </c>
      <c r="H3211">
        <v>0.91233129999999996</v>
      </c>
      <c r="I3211">
        <v>283.74419999999998</v>
      </c>
      <c r="J3211">
        <v>-281.72770000000003</v>
      </c>
      <c r="K3211">
        <v>1.120868</v>
      </c>
      <c r="L3211">
        <v>283.6798</v>
      </c>
      <c r="M3211">
        <v>-0.99995290000000003</v>
      </c>
      <c r="N3211">
        <v>-7.8846439999999997E-3</v>
      </c>
      <c r="O3211">
        <v>5.6573919999999998E-3</v>
      </c>
      <c r="P3211">
        <v>-0.98782099999999995</v>
      </c>
      <c r="Q3211">
        <v>0.1555629</v>
      </c>
      <c r="R3211">
        <v>-3.1711700000000001E-3</v>
      </c>
      <c r="S3211">
        <v>-3.1852719999999999</v>
      </c>
      <c r="T3211">
        <v>-0.94094750000000005</v>
      </c>
      <c r="U3211">
        <v>0.29388429999999999</v>
      </c>
      <c r="V3211">
        <v>-8.7535229999999992E-3</v>
      </c>
      <c r="W3211">
        <v>0.1633471</v>
      </c>
      <c r="X3211">
        <v>0.98652980000000001</v>
      </c>
      <c r="Y3211">
        <v>8.2856949999999999E-2</v>
      </c>
      <c r="Z3211">
        <v>1.070344E-2</v>
      </c>
      <c r="AA3211">
        <v>0.9965039</v>
      </c>
      <c r="AB3211">
        <v>25</v>
      </c>
      <c r="AC3211">
        <v>-0.515199999999993</v>
      </c>
      <c r="AD3211">
        <v>-0.20853669999999999</v>
      </c>
      <c r="AE3211">
        <v>6.4399999999977794E-2</v>
      </c>
      <c r="AF3211">
        <v>5.2943507199839798E-2</v>
      </c>
      <c r="AG3211">
        <v>-0.20853669999999999</v>
      </c>
      <c r="AH3211">
        <v>0.443940922881566</v>
      </c>
      <c r="AI3211">
        <v>115.00597102557499</v>
      </c>
      <c r="AJ3211">
        <v>83.199140145062401</v>
      </c>
      <c r="AK3211">
        <v>0.49332961923084101</v>
      </c>
      <c r="AL3211">
        <v>80.598772151264598</v>
      </c>
      <c r="AM3211">
        <v>90.508374670647399</v>
      </c>
      <c r="AN3211">
        <v>0.99999997276567998</v>
      </c>
    </row>
    <row r="3212" spans="1:40" x14ac:dyDescent="0.25">
      <c r="A3212" t="str">
        <f>"20190303161938419"</f>
        <v>20190303161938419</v>
      </c>
      <c r="B3212" t="str">
        <f>"1551601178415951"</f>
        <v>1551601178415951</v>
      </c>
      <c r="C3212" t="s">
        <v>40</v>
      </c>
      <c r="D3212">
        <v>5.1049600000000002</v>
      </c>
      <c r="E3212">
        <v>0.49577120000000002</v>
      </c>
      <c r="F3212" t="s">
        <v>42</v>
      </c>
      <c r="G3212">
        <v>-282.46589999999998</v>
      </c>
      <c r="H3212">
        <v>0.90338949999999996</v>
      </c>
      <c r="I3212">
        <v>283.74849999999998</v>
      </c>
      <c r="J3212">
        <v>-281.97230000000002</v>
      </c>
      <c r="K3212">
        <v>1.120881</v>
      </c>
      <c r="L3212">
        <v>283.68119999999999</v>
      </c>
      <c r="M3212">
        <v>-0.99995279999999998</v>
      </c>
      <c r="N3212">
        <v>-7.9117570000000002E-3</v>
      </c>
      <c r="O3212">
        <v>5.656927E-3</v>
      </c>
      <c r="P3212">
        <v>-0.98764759999999996</v>
      </c>
      <c r="Q3212">
        <v>0.15667110000000001</v>
      </c>
      <c r="R3212">
        <v>-2.5902910000000002E-3</v>
      </c>
      <c r="S3212">
        <v>-3.18573</v>
      </c>
      <c r="T3212">
        <v>-0.93864669999999895</v>
      </c>
      <c r="U3212">
        <v>0.29580689999999998</v>
      </c>
      <c r="V3212">
        <v>-8.1710009999999902E-3</v>
      </c>
      <c r="W3212">
        <v>0.1644803</v>
      </c>
      <c r="X3212">
        <v>0.98634650000000001</v>
      </c>
      <c r="Y3212">
        <v>8.3432350000000002E-2</v>
      </c>
      <c r="Z3212">
        <v>1.076411E-2</v>
      </c>
      <c r="AA3212">
        <v>0.99645530000000004</v>
      </c>
      <c r="AB3212">
        <v>25</v>
      </c>
      <c r="AC3212">
        <v>-0.49359999999995802</v>
      </c>
      <c r="AD3212">
        <v>-0.21749149999999901</v>
      </c>
      <c r="AE3212">
        <v>6.7299999999988799E-2</v>
      </c>
      <c r="AF3212">
        <v>5.4179650900050703E-2</v>
      </c>
      <c r="AG3212">
        <v>-0.21749149999999901</v>
      </c>
      <c r="AH3212">
        <v>0.414892194250367</v>
      </c>
      <c r="AI3212">
        <v>117.465353951324</v>
      </c>
      <c r="AJ3212">
        <v>82.559999852019899</v>
      </c>
      <c r="AK3212">
        <v>0.47156496900616501</v>
      </c>
      <c r="AL3212">
        <v>80.532954394577004</v>
      </c>
      <c r="AM3212">
        <v>90.474633572141002</v>
      </c>
      <c r="AN3212">
        <v>0.99999997620383996</v>
      </c>
    </row>
    <row r="3213" spans="1:40" x14ac:dyDescent="0.25">
      <c r="A3213" t="str">
        <f>"20190303161938432"</f>
        <v>20190303161938432</v>
      </c>
      <c r="B3213" t="str">
        <f>"1551601178425712"</f>
        <v>1551601178425712</v>
      </c>
      <c r="C3213" t="s">
        <v>40</v>
      </c>
      <c r="D3213">
        <v>5.1035180000000002</v>
      </c>
      <c r="E3213">
        <v>0.49406349999999999</v>
      </c>
      <c r="F3213" t="s">
        <v>52</v>
      </c>
      <c r="G3213">
        <v>-325.28989999999999</v>
      </c>
      <c r="H3213" s="1">
        <v>1.3454470000000001E-6</v>
      </c>
      <c r="I3213">
        <v>283.07920000000001</v>
      </c>
      <c r="J3213">
        <v>-282.11799999999999</v>
      </c>
      <c r="K3213">
        <v>1.120886</v>
      </c>
      <c r="L3213">
        <v>283.68209999999999</v>
      </c>
      <c r="M3213">
        <v>-0.99995270000000003</v>
      </c>
      <c r="N3213">
        <v>-7.9274549999999999E-3</v>
      </c>
      <c r="O3213">
        <v>5.6566860000000002E-3</v>
      </c>
      <c r="P3213">
        <v>-0.98755340000000003</v>
      </c>
      <c r="Q3213">
        <v>0.15727149999999901</v>
      </c>
      <c r="R3213">
        <v>-2.1438120000000001E-3</v>
      </c>
      <c r="S3213">
        <v>-3.049957</v>
      </c>
      <c r="T3213">
        <v>-7.8920130000000005E-2</v>
      </c>
      <c r="U3213">
        <v>-4.2388919999999997E-2</v>
      </c>
      <c r="V3213">
        <v>-7.7238559999999899E-3</v>
      </c>
      <c r="W3213">
        <v>0.1650954</v>
      </c>
      <c r="X3213">
        <v>0.9862474</v>
      </c>
      <c r="Y3213">
        <v>-1.9543499999999998E-2</v>
      </c>
      <c r="Z3213">
        <v>-4.3178880000000001E-4</v>
      </c>
      <c r="AA3213">
        <v>0.9998089</v>
      </c>
      <c r="AB3213">
        <v>25</v>
      </c>
      <c r="AC3213">
        <v>-43.171900000000001</v>
      </c>
      <c r="AD3213">
        <v>-1.120884654553</v>
      </c>
      <c r="AE3213">
        <v>-0.60289999999997601</v>
      </c>
      <c r="AF3213">
        <v>-0.84653734665950497</v>
      </c>
      <c r="AG3213">
        <v>-1.120884654553</v>
      </c>
      <c r="AH3213">
        <v>43.138724896558003</v>
      </c>
      <c r="AI3213">
        <v>91.488109807063395</v>
      </c>
      <c r="AJ3213">
        <v>91.1242055201038</v>
      </c>
      <c r="AK3213">
        <v>43.161587014253897</v>
      </c>
      <c r="AL3213">
        <v>80.497223906822995</v>
      </c>
      <c r="AM3213">
        <v>90.448706179733193</v>
      </c>
      <c r="AN3213">
        <v>1.0000000415297099</v>
      </c>
    </row>
    <row r="3214" spans="1:40" x14ac:dyDescent="0.25">
      <c r="A3214" t="str">
        <f>"20190303161938446"</f>
        <v>20190303161938446</v>
      </c>
      <c r="B3214" t="str">
        <f>"1551601178435474"</f>
        <v>1551601178435474</v>
      </c>
      <c r="C3214" t="s">
        <v>40</v>
      </c>
      <c r="D3214">
        <v>5.09117</v>
      </c>
      <c r="E3214">
        <v>0.49385380000000001</v>
      </c>
      <c r="F3214" t="s">
        <v>52</v>
      </c>
      <c r="G3214">
        <v>-351.27350000000001</v>
      </c>
      <c r="H3214" s="1">
        <v>-8.5911009999999996E-7</v>
      </c>
      <c r="I3214">
        <v>282.43959999999998</v>
      </c>
      <c r="J3214">
        <v>-282.26650000000001</v>
      </c>
      <c r="K3214">
        <v>1.1208899999999999</v>
      </c>
      <c r="L3214">
        <v>283.68290000000002</v>
      </c>
      <c r="M3214">
        <v>-0.99995239999999996</v>
      </c>
      <c r="N3214">
        <v>-7.9432429999999991E-3</v>
      </c>
      <c r="O3214">
        <v>5.6568019999999998E-3</v>
      </c>
      <c r="P3214">
        <v>-0.98736919999999995</v>
      </c>
      <c r="Q3214">
        <v>0.15842619999999999</v>
      </c>
      <c r="R3214">
        <v>-1.7825829999999999E-3</v>
      </c>
      <c r="S3214">
        <v>-3.0455930000000002</v>
      </c>
      <c r="T3214">
        <v>-4.9363610000000002E-2</v>
      </c>
      <c r="U3214">
        <v>-5.4718019999999999E-2</v>
      </c>
      <c r="V3214">
        <v>-7.3621540000000001E-3</v>
      </c>
      <c r="W3214">
        <v>0.166264</v>
      </c>
      <c r="X3214">
        <v>0.98605379999999998</v>
      </c>
      <c r="Y3214">
        <v>-2.3614360000000001E-2</v>
      </c>
      <c r="Z3214">
        <v>-3.318962E-4</v>
      </c>
      <c r="AA3214">
        <v>0.99972110000000003</v>
      </c>
      <c r="AB3214">
        <v>25</v>
      </c>
      <c r="AC3214">
        <v>-69.007000000000005</v>
      </c>
      <c r="AD3214">
        <v>-1.1208908591100999</v>
      </c>
      <c r="AE3214">
        <v>-1.24330000000003</v>
      </c>
      <c r="AF3214">
        <v>-1.6332206085488601</v>
      </c>
      <c r="AG3214">
        <v>-1.1208908591100999</v>
      </c>
      <c r="AH3214">
        <v>68.980668563646901</v>
      </c>
      <c r="AI3214">
        <v>90.930676330889497</v>
      </c>
      <c r="AJ3214">
        <v>91.356309964613601</v>
      </c>
      <c r="AK3214">
        <v>69.009104046943904</v>
      </c>
      <c r="AL3214">
        <v>80.429329407697296</v>
      </c>
      <c r="AM3214">
        <v>90.427778397501598</v>
      </c>
      <c r="AN3214">
        <v>1.0000000077509701</v>
      </c>
    </row>
    <row r="3215" spans="1:40" x14ac:dyDescent="0.25">
      <c r="A3215" t="str">
        <f>"20190303161938458"</f>
        <v>20190303161938458</v>
      </c>
      <c r="B3215" t="str">
        <f>"1551601178446208"</f>
        <v>1551601178446208</v>
      </c>
      <c r="C3215" t="s">
        <v>40</v>
      </c>
      <c r="D3215">
        <v>5.0257290000000001</v>
      </c>
      <c r="E3215">
        <v>0.49347530000000001</v>
      </c>
      <c r="F3215" t="s">
        <v>52</v>
      </c>
      <c r="G3215">
        <v>-389.73669999999998</v>
      </c>
      <c r="H3215" s="1">
        <v>3.6446050000000001E-6</v>
      </c>
      <c r="I3215">
        <v>281.73340000000002</v>
      </c>
      <c r="J3215">
        <v>-282.41820000000001</v>
      </c>
      <c r="K3215">
        <v>1.120897</v>
      </c>
      <c r="L3215">
        <v>283.68380000000002</v>
      </c>
      <c r="M3215">
        <v>-0.99995239999999996</v>
      </c>
      <c r="N3215">
        <v>-7.9588239999999998E-3</v>
      </c>
      <c r="O3215">
        <v>5.6563819999999997E-3</v>
      </c>
      <c r="P3215">
        <v>-0.9871299</v>
      </c>
      <c r="Q3215">
        <v>0.1599131</v>
      </c>
      <c r="R3215">
        <v>-1.6297389999999901E-3</v>
      </c>
      <c r="S3215">
        <v>-3.0433650000000001</v>
      </c>
      <c r="T3215">
        <v>-3.1741499999999999E-2</v>
      </c>
      <c r="U3215">
        <v>-5.52063E-2</v>
      </c>
      <c r="V3215">
        <v>-7.2074840000000001E-3</v>
      </c>
      <c r="W3215">
        <v>0.16776469999999999</v>
      </c>
      <c r="X3215">
        <v>0.98580069999999997</v>
      </c>
      <c r="Y3215">
        <v>-2.3789939999999999E-2</v>
      </c>
      <c r="Z3215">
        <v>-2.3270579999999999E-4</v>
      </c>
      <c r="AA3215">
        <v>0.99971690000000002</v>
      </c>
      <c r="AB3215">
        <v>26</v>
      </c>
      <c r="AC3215">
        <v>-107.31849999999901</v>
      </c>
      <c r="AD3215">
        <v>-1.120893355395</v>
      </c>
      <c r="AE3215">
        <v>-1.9503999999999999</v>
      </c>
      <c r="AF3215">
        <v>-2.5571435492617698</v>
      </c>
      <c r="AG3215">
        <v>-1.120893355395</v>
      </c>
      <c r="AH3215">
        <v>107.29404981839301</v>
      </c>
      <c r="AI3215">
        <v>90.598373279456595</v>
      </c>
      <c r="AJ3215">
        <v>91.3652742356836</v>
      </c>
      <c r="AK3215">
        <v>107.330370871798</v>
      </c>
      <c r="AL3215">
        <v>80.3421204721827</v>
      </c>
      <c r="AM3215">
        <v>90.418899130523897</v>
      </c>
      <c r="AN3215">
        <v>0.99999998125609402</v>
      </c>
    </row>
    <row r="3216" spans="1:40" x14ac:dyDescent="0.25">
      <c r="A3216" t="str">
        <f>"20190303161938475"</f>
        <v>20190303161938475</v>
      </c>
      <c r="B3216" t="str">
        <f>"1551601178465727"</f>
        <v>1551601178465727</v>
      </c>
      <c r="C3216" t="s">
        <v>40</v>
      </c>
      <c r="D3216">
        <v>5.0082570000000004</v>
      </c>
      <c r="E3216">
        <v>0.49341220000000002</v>
      </c>
      <c r="F3216" t="s">
        <v>56</v>
      </c>
      <c r="G3216">
        <v>-415.03449999999998</v>
      </c>
      <c r="H3216" s="1">
        <v>3.399697E-6</v>
      </c>
      <c r="I3216">
        <v>281.17419999999998</v>
      </c>
      <c r="J3216">
        <v>-282.6046</v>
      </c>
      <c r="K3216">
        <v>1.120914</v>
      </c>
      <c r="L3216">
        <v>283.6848</v>
      </c>
      <c r="M3216">
        <v>-0.99995230000000002</v>
      </c>
      <c r="N3216">
        <v>-7.9774990000000007E-3</v>
      </c>
      <c r="O3216">
        <v>5.6561880000000004E-3</v>
      </c>
      <c r="P3216">
        <v>-0.98650380000000004</v>
      </c>
      <c r="Q3216">
        <v>0.1637362</v>
      </c>
      <c r="R3216">
        <v>-9.6255120000000003E-4</v>
      </c>
      <c r="S3216">
        <v>-3.0431520000000001</v>
      </c>
      <c r="T3216">
        <v>-2.5721190000000001E-2</v>
      </c>
      <c r="U3216">
        <v>-5.758667E-2</v>
      </c>
      <c r="V3216">
        <v>-6.536076E-3</v>
      </c>
      <c r="W3216">
        <v>0.17160110000000001</v>
      </c>
      <c r="X3216">
        <v>0.98514489999999999</v>
      </c>
      <c r="Y3216">
        <v>-2.4573330000000001E-2</v>
      </c>
      <c r="Z3216">
        <v>-2.045521E-4</v>
      </c>
      <c r="AA3216">
        <v>0.99969799999999998</v>
      </c>
      <c r="AB3216">
        <v>26</v>
      </c>
      <c r="AC3216">
        <v>-132.42989999999901</v>
      </c>
      <c r="AD3216">
        <v>-1.120910600303</v>
      </c>
      <c r="AE3216">
        <v>-2.5106000000000099</v>
      </c>
      <c r="AF3216">
        <v>-3.2593985690566498</v>
      </c>
      <c r="AG3216">
        <v>-1.120910600303</v>
      </c>
      <c r="AH3216">
        <v>132.404098260252</v>
      </c>
      <c r="AI3216">
        <v>90.4848978526162</v>
      </c>
      <c r="AJ3216">
        <v>91.410168374789194</v>
      </c>
      <c r="AK3216">
        <v>132.448953773581</v>
      </c>
      <c r="AL3216">
        <v>80.119077206415696</v>
      </c>
      <c r="AM3216">
        <v>90.380130958110797</v>
      </c>
      <c r="AN3216">
        <v>1.0000000659033399</v>
      </c>
    </row>
    <row r="3217" spans="1:40" x14ac:dyDescent="0.25">
      <c r="A3217" t="str">
        <f>"20190303161938489"</f>
        <v>20190303161938489</v>
      </c>
      <c r="B3217" t="str">
        <f>"1551601178475488"</f>
        <v>1551601178475488</v>
      </c>
      <c r="C3217" t="s">
        <v>40</v>
      </c>
      <c r="D3217">
        <v>4.9475579999999999</v>
      </c>
      <c r="E3217">
        <v>0.4934306</v>
      </c>
      <c r="F3217" t="s">
        <v>49</v>
      </c>
      <c r="G3217">
        <v>-484.47680000000003</v>
      </c>
      <c r="H3217" s="1">
        <v>2.5910790000000001E-6</v>
      </c>
      <c r="I3217">
        <v>279.94040000000001</v>
      </c>
      <c r="J3217">
        <v>-282.7697</v>
      </c>
      <c r="K3217">
        <v>1.1209229999999999</v>
      </c>
      <c r="L3217">
        <v>283.6857</v>
      </c>
      <c r="M3217">
        <v>-0.99995219999999996</v>
      </c>
      <c r="N3217">
        <v>-7.9935719999999991E-3</v>
      </c>
      <c r="O3217">
        <v>5.6559449999999999E-3</v>
      </c>
      <c r="P3217">
        <v>-0.9862031</v>
      </c>
      <c r="Q3217">
        <v>0.1655384</v>
      </c>
      <c r="R3217">
        <v>-8.7902740000000003E-4</v>
      </c>
      <c r="S3217">
        <v>-3.043793</v>
      </c>
      <c r="T3217">
        <v>-1.69009E-2</v>
      </c>
      <c r="U3217">
        <v>-5.6457519999999997E-2</v>
      </c>
      <c r="V3217">
        <v>-6.4503779999999997E-3</v>
      </c>
      <c r="W3217">
        <v>0.1734165</v>
      </c>
      <c r="X3217">
        <v>0.98482749999999997</v>
      </c>
      <c r="Y3217">
        <v>-2.4199160000000001E-2</v>
      </c>
      <c r="Z3217">
        <v>-1.5010269999999999E-4</v>
      </c>
      <c r="AA3217">
        <v>0.99970720000000002</v>
      </c>
      <c r="AB3217">
        <v>26</v>
      </c>
      <c r="AC3217">
        <v>-201.7071</v>
      </c>
      <c r="AD3217">
        <v>-1.1209204089210001</v>
      </c>
      <c r="AE3217">
        <v>-3.7452999999999799</v>
      </c>
      <c r="AF3217">
        <v>-4.8859698018968603</v>
      </c>
      <c r="AG3217">
        <v>-1.1209204089210001</v>
      </c>
      <c r="AH3217">
        <v>201.67646355693199</v>
      </c>
      <c r="AI3217">
        <v>90.318353997896295</v>
      </c>
      <c r="AJ3217">
        <v>91.387820337349893</v>
      </c>
      <c r="AK3217">
        <v>201.73875462166001</v>
      </c>
      <c r="AL3217">
        <v>80.013479125525393</v>
      </c>
      <c r="AM3217">
        <v>90.375267903163603</v>
      </c>
      <c r="AN3217">
        <v>1.00000004730242</v>
      </c>
    </row>
    <row r="3218" spans="1:40" x14ac:dyDescent="0.25">
      <c r="A3218" t="str">
        <f>"20190303161938501"</f>
        <v>20190303161938501</v>
      </c>
      <c r="B3218" t="str">
        <f>"1551601178495983"</f>
        <v>1551601178495983</v>
      </c>
      <c r="C3218" t="s">
        <v>40</v>
      </c>
      <c r="D3218">
        <v>4.8378360000000002</v>
      </c>
      <c r="E3218">
        <v>0.49393520000000002</v>
      </c>
      <c r="F3218" t="s">
        <v>44</v>
      </c>
      <c r="G3218">
        <v>-534.78340000000003</v>
      </c>
      <c r="H3218">
        <v>-0.05</v>
      </c>
      <c r="I3218">
        <v>279.04239999999999</v>
      </c>
      <c r="J3218">
        <v>-282.92140000000001</v>
      </c>
      <c r="K3218">
        <v>1.12093</v>
      </c>
      <c r="L3218">
        <v>283.6866</v>
      </c>
      <c r="M3218">
        <v>-0.99995199999999995</v>
      </c>
      <c r="N3218">
        <v>-8.0079279999999992E-3</v>
      </c>
      <c r="O3218">
        <v>5.6558880000000004E-3</v>
      </c>
      <c r="P3218">
        <v>-0.98602809999999996</v>
      </c>
      <c r="Q3218">
        <v>0.166578</v>
      </c>
      <c r="R3218">
        <v>-8.1276329999999998E-4</v>
      </c>
      <c r="S3218">
        <v>-3.0442809999999998</v>
      </c>
      <c r="T3218">
        <v>-1.4144540000000001E-2</v>
      </c>
      <c r="U3218">
        <v>-5.6091309999999998E-2</v>
      </c>
      <c r="V3218">
        <v>-6.3834290000000004E-3</v>
      </c>
      <c r="W3218">
        <v>0.17446879999999901</v>
      </c>
      <c r="X3218">
        <v>0.98464200000000002</v>
      </c>
      <c r="Y3218">
        <v>-2.4076090000000001E-2</v>
      </c>
      <c r="Z3218">
        <v>-1.3332590000000001E-4</v>
      </c>
      <c r="AA3218">
        <v>0.99971010000000005</v>
      </c>
      <c r="AB3218">
        <v>26</v>
      </c>
      <c r="AC3218">
        <v>-251.86199999999999</v>
      </c>
      <c r="AD3218">
        <v>-1.17093</v>
      </c>
      <c r="AE3218">
        <v>-4.6442000000000103</v>
      </c>
      <c r="AF3218">
        <v>-6.0685434473823703</v>
      </c>
      <c r="AG3218">
        <v>-1.17093</v>
      </c>
      <c r="AH3218">
        <v>251.826262238092</v>
      </c>
      <c r="AI3218">
        <v>90.266332001490497</v>
      </c>
      <c r="AJ3218">
        <v>91.380454293531699</v>
      </c>
      <c r="AK3218">
        <v>251.90209338043601</v>
      </c>
      <c r="AL3218">
        <v>79.952252849635698</v>
      </c>
      <c r="AM3218">
        <v>90.371443038869401</v>
      </c>
      <c r="AN3218">
        <v>0.99999998925161804</v>
      </c>
    </row>
    <row r="3219" spans="1:40" x14ac:dyDescent="0.25">
      <c r="A3219" t="str">
        <f>"20190303161938514"</f>
        <v>20190303161938514</v>
      </c>
      <c r="B3219" t="str">
        <f>"1551601178505743"</f>
        <v>1551601178505743</v>
      </c>
      <c r="C3219" t="s">
        <v>40</v>
      </c>
      <c r="D3219">
        <v>5.0013889999999996</v>
      </c>
      <c r="E3219">
        <v>0.49415369999999997</v>
      </c>
      <c r="F3219" t="s">
        <v>52</v>
      </c>
      <c r="G3219">
        <v>-443.66800000000001</v>
      </c>
      <c r="H3219" s="1">
        <v>5.7575049999999996E-7</v>
      </c>
      <c r="I3219">
        <v>280.94229999999999</v>
      </c>
      <c r="J3219">
        <v>-283.05810000000002</v>
      </c>
      <c r="K3219">
        <v>1.1209340000000001</v>
      </c>
      <c r="L3219">
        <v>283.68740000000003</v>
      </c>
      <c r="M3219">
        <v>-0.99995179999999995</v>
      </c>
      <c r="N3219">
        <v>-8.020381E-3</v>
      </c>
      <c r="O3219">
        <v>5.6558379999999998E-3</v>
      </c>
      <c r="P3219">
        <v>-0.98587270000000005</v>
      </c>
      <c r="Q3219">
        <v>0.16749539999999999</v>
      </c>
      <c r="R3219">
        <v>-5.1373199999999895E-4</v>
      </c>
      <c r="S3219">
        <v>-3.0460210000000001</v>
      </c>
      <c r="T3219">
        <v>-2.1240709999999999E-2</v>
      </c>
      <c r="U3219">
        <v>-5.2001949999999998E-2</v>
      </c>
      <c r="V3219">
        <v>-6.0833279999999998E-3</v>
      </c>
      <c r="W3219">
        <v>0.17539739999999901</v>
      </c>
      <c r="X3219">
        <v>0.98447890000000005</v>
      </c>
      <c r="Y3219">
        <v>-2.2723340000000002E-2</v>
      </c>
      <c r="Z3219">
        <v>-1.6443410000000001E-4</v>
      </c>
      <c r="AA3219">
        <v>0.99974180000000001</v>
      </c>
      <c r="AB3219">
        <v>26</v>
      </c>
      <c r="AC3219">
        <v>-160.60989999999899</v>
      </c>
      <c r="AD3219">
        <v>-1.1209334242494999</v>
      </c>
      <c r="AE3219">
        <v>-2.7451000000000301</v>
      </c>
      <c r="AF3219">
        <v>-3.65329102356666</v>
      </c>
      <c r="AG3219">
        <v>-1.1209334242494999</v>
      </c>
      <c r="AH3219">
        <v>160.583984932427</v>
      </c>
      <c r="AI3219">
        <v>90.399835004119893</v>
      </c>
      <c r="AJ3219">
        <v>91.303256090154093</v>
      </c>
      <c r="AK3219">
        <v>160.62944700092399</v>
      </c>
      <c r="AL3219">
        <v>79.898214637968195</v>
      </c>
      <c r="AM3219">
        <v>90.354039668786996</v>
      </c>
      <c r="AN3219">
        <v>0.99999997967576204</v>
      </c>
    </row>
    <row r="3220" spans="1:40" x14ac:dyDescent="0.25">
      <c r="A3220" t="str">
        <f>"20190303161938531"</f>
        <v>20190303161938531</v>
      </c>
      <c r="B3220" t="str">
        <f>"1551601178525263"</f>
        <v>1551601178525263</v>
      </c>
      <c r="C3220" t="s">
        <v>40</v>
      </c>
      <c r="D3220">
        <v>4.8078419999999999</v>
      </c>
      <c r="E3220">
        <v>0.49452990000000002</v>
      </c>
      <c r="F3220" t="s">
        <v>52</v>
      </c>
      <c r="G3220">
        <v>-441.92079999999999</v>
      </c>
      <c r="H3220" s="1">
        <v>-3.6134840000000001E-7</v>
      </c>
      <c r="I3220">
        <v>281.10950000000003</v>
      </c>
      <c r="J3220">
        <v>-283.24610000000001</v>
      </c>
      <c r="K3220">
        <v>1.1209439999999999</v>
      </c>
      <c r="L3220">
        <v>283.68849999999998</v>
      </c>
      <c r="M3220">
        <v>-0.99995179999999995</v>
      </c>
      <c r="N3220">
        <v>-8.037186E-3</v>
      </c>
      <c r="O3220">
        <v>5.6554129999999998E-3</v>
      </c>
      <c r="P3220">
        <v>-0.98571540000000002</v>
      </c>
      <c r="Q3220">
        <v>0.1684194</v>
      </c>
      <c r="R3220">
        <v>-3.3755740000000002E-4</v>
      </c>
      <c r="S3220">
        <v>-3.0466310000000001</v>
      </c>
      <c r="T3220">
        <v>-2.149701E-2</v>
      </c>
      <c r="U3220">
        <v>-4.943848E-2</v>
      </c>
      <c r="V3220">
        <v>-5.9053439999999999E-3</v>
      </c>
      <c r="W3220">
        <v>0.1763362</v>
      </c>
      <c r="X3220">
        <v>0.98431230000000003</v>
      </c>
      <c r="Y3220">
        <v>-2.187855E-2</v>
      </c>
      <c r="Z3220">
        <v>-1.5956259999999999E-4</v>
      </c>
      <c r="AA3220">
        <v>0.9997606</v>
      </c>
      <c r="AB3220">
        <v>26</v>
      </c>
      <c r="AC3220">
        <v>-158.67469999999901</v>
      </c>
      <c r="AD3220">
        <v>-1.1209443613484</v>
      </c>
      <c r="AE3220">
        <v>-2.57899999999995</v>
      </c>
      <c r="AF3220">
        <v>-3.4761851815300702</v>
      </c>
      <c r="AG3220">
        <v>-1.1209443613484</v>
      </c>
      <c r="AH3220">
        <v>158.649661056089</v>
      </c>
      <c r="AI3220">
        <v>90.404721327454695</v>
      </c>
      <c r="AJ3220">
        <v>91.255211476096406</v>
      </c>
      <c r="AK3220">
        <v>158.69169900435699</v>
      </c>
      <c r="AL3220">
        <v>79.843574097108203</v>
      </c>
      <c r="AM3220">
        <v>90.343739713882997</v>
      </c>
      <c r="AN3220">
        <v>1.00000001622474</v>
      </c>
    </row>
    <row r="3221" spans="1:40" x14ac:dyDescent="0.25">
      <c r="A3221" t="str">
        <f>"20190303161938554"</f>
        <v>20190303161938554</v>
      </c>
      <c r="B3221" t="str">
        <f>"1551601178545759"</f>
        <v>1551601178545759</v>
      </c>
      <c r="C3221" t="s">
        <v>40</v>
      </c>
      <c r="D3221">
        <v>4.8350150000000003</v>
      </c>
      <c r="E3221">
        <v>0.49471680000000001</v>
      </c>
      <c r="F3221" t="s">
        <v>56</v>
      </c>
      <c r="G3221">
        <v>-416.471</v>
      </c>
      <c r="H3221" s="1">
        <v>3.610116E-6</v>
      </c>
      <c r="I3221">
        <v>281.68220000000002</v>
      </c>
      <c r="J3221">
        <v>-283.51870000000002</v>
      </c>
      <c r="K3221">
        <v>1.1209469999999999</v>
      </c>
      <c r="L3221">
        <v>283.69</v>
      </c>
      <c r="M3221">
        <v>-0.99995149999999999</v>
      </c>
      <c r="N3221">
        <v>-8.0607999999999999E-3</v>
      </c>
      <c r="O3221">
        <v>5.6550200000000002E-3</v>
      </c>
      <c r="P3221">
        <v>-0.98550780000000004</v>
      </c>
      <c r="Q3221">
        <v>0.16962920000000001</v>
      </c>
      <c r="R3221">
        <v>-4.8041339999999998E-4</v>
      </c>
      <c r="S3221">
        <v>-3.0478519999999998</v>
      </c>
      <c r="T3221">
        <v>-2.5644299999999998E-2</v>
      </c>
      <c r="U3221">
        <v>-4.5898439999999999E-2</v>
      </c>
      <c r="V3221">
        <v>-6.0466679999999998E-3</v>
      </c>
      <c r="W3221">
        <v>0.17756769999999999</v>
      </c>
      <c r="X3221">
        <v>0.98409000000000002</v>
      </c>
      <c r="Y3221">
        <v>-2.071046E-2</v>
      </c>
      <c r="Z3221">
        <v>-1.725974E-4</v>
      </c>
      <c r="AA3221">
        <v>0.99978549999999999</v>
      </c>
      <c r="AB3221">
        <v>26</v>
      </c>
      <c r="AC3221">
        <v>-132.95229999999901</v>
      </c>
      <c r="AD3221">
        <v>-1.120943389884</v>
      </c>
      <c r="AE3221">
        <v>-2.0077999999999698</v>
      </c>
      <c r="AF3221">
        <v>-2.7594441430805601</v>
      </c>
      <c r="AG3221">
        <v>-1.120943389884</v>
      </c>
      <c r="AH3221">
        <v>132.92937238945501</v>
      </c>
      <c r="AI3221">
        <v>90.483038242079203</v>
      </c>
      <c r="AJ3221">
        <v>91.189216467774003</v>
      </c>
      <c r="AK3221">
        <v>132.962735719135</v>
      </c>
      <c r="AL3221">
        <v>79.771882739598297</v>
      </c>
      <c r="AM3221">
        <v>90.352045236390495</v>
      </c>
      <c r="AN3221">
        <v>0.99999998918859601</v>
      </c>
    </row>
    <row r="3222" spans="1:40" x14ac:dyDescent="0.25">
      <c r="A3222" t="str">
        <f>"20190303161938567"</f>
        <v>20190303161938567</v>
      </c>
      <c r="B3222" t="str">
        <f>"1551601178555520"</f>
        <v>1551601178555520</v>
      </c>
      <c r="C3222" t="s">
        <v>40</v>
      </c>
      <c r="D3222">
        <v>4.9920309999999999</v>
      </c>
      <c r="E3222">
        <v>0.49482300000000001</v>
      </c>
      <c r="F3222" t="s">
        <v>52</v>
      </c>
      <c r="G3222">
        <v>-399.47190000000001</v>
      </c>
      <c r="H3222" s="1">
        <v>3.5036860000000001E-6</v>
      </c>
      <c r="I3222">
        <v>281.99220000000003</v>
      </c>
      <c r="J3222">
        <v>-283.6662</v>
      </c>
      <c r="K3222">
        <v>1.120954</v>
      </c>
      <c r="L3222">
        <v>283.69080000000002</v>
      </c>
      <c r="M3222">
        <v>-0.99995149999999999</v>
      </c>
      <c r="N3222">
        <v>-8.073172E-3</v>
      </c>
      <c r="O3222">
        <v>5.6546130000000002E-3</v>
      </c>
      <c r="P3222">
        <v>-0.98542130000000006</v>
      </c>
      <c r="Q3222">
        <v>0.17013120000000001</v>
      </c>
      <c r="R3222">
        <v>-5.9190109999999996E-4</v>
      </c>
      <c r="S3222">
        <v>-3.0491640000000002</v>
      </c>
      <c r="T3222">
        <v>-2.947688E-2</v>
      </c>
      <c r="U3222">
        <v>-4.4647220000000001E-2</v>
      </c>
      <c r="V3222">
        <v>-6.1573000000000001E-3</v>
      </c>
      <c r="W3222">
        <v>0.1780815</v>
      </c>
      <c r="X3222">
        <v>0.98399650000000005</v>
      </c>
      <c r="Y3222">
        <v>-2.029309E-2</v>
      </c>
      <c r="Z3222">
        <v>-1.8901709999999999E-4</v>
      </c>
      <c r="AA3222">
        <v>0.99979410000000002</v>
      </c>
      <c r="AB3222">
        <v>26</v>
      </c>
      <c r="AC3222">
        <v>-115.8057</v>
      </c>
      <c r="AD3222">
        <v>-1.120950496314</v>
      </c>
      <c r="AE3222">
        <v>-1.6985999999999899</v>
      </c>
      <c r="AF3222">
        <v>-2.3532101145340198</v>
      </c>
      <c r="AG3222">
        <v>-1.120950496314</v>
      </c>
      <c r="AH3222">
        <v>115.783397297045</v>
      </c>
      <c r="AI3222">
        <v>90.554574039031905</v>
      </c>
      <c r="AJ3222">
        <v>91.164333149567994</v>
      </c>
      <c r="AK3222">
        <v>115.812733399672</v>
      </c>
      <c r="AL3222">
        <v>79.741967727776995</v>
      </c>
      <c r="AM3222">
        <v>90.358520278044693</v>
      </c>
      <c r="AN3222">
        <v>1.0000000224988901</v>
      </c>
    </row>
    <row r="3223" spans="1:40" x14ac:dyDescent="0.25">
      <c r="A3223" t="str">
        <f>"20190303161938580"</f>
        <v>20190303161938580</v>
      </c>
      <c r="B3223" t="str">
        <f>"1551601178565279"</f>
        <v>1551601178565279</v>
      </c>
      <c r="C3223" t="s">
        <v>40</v>
      </c>
      <c r="D3223">
        <v>4.7653619999999997</v>
      </c>
      <c r="E3223">
        <v>0.4949113</v>
      </c>
      <c r="F3223" t="s">
        <v>52</v>
      </c>
      <c r="G3223">
        <v>-394.70650000000001</v>
      </c>
      <c r="H3223" s="1">
        <v>9.6776919999999995E-7</v>
      </c>
      <c r="I3223">
        <v>282.08850000000001</v>
      </c>
      <c r="J3223">
        <v>-283.82819999999998</v>
      </c>
      <c r="K3223">
        <v>1.1209559999999901</v>
      </c>
      <c r="L3223">
        <v>283.6918</v>
      </c>
      <c r="M3223">
        <v>-0.99995140000000005</v>
      </c>
      <c r="N3223">
        <v>-8.0863629999999992E-3</v>
      </c>
      <c r="O3223">
        <v>5.654559E-3</v>
      </c>
      <c r="P3223">
        <v>-0.98534820000000001</v>
      </c>
      <c r="Q3223">
        <v>0.1705535</v>
      </c>
      <c r="R3223">
        <v>-5.1576780000000004E-4</v>
      </c>
      <c r="S3223">
        <v>-3.049652</v>
      </c>
      <c r="T3223">
        <v>-3.0786279999999999E-2</v>
      </c>
      <c r="U3223">
        <v>-4.400635E-2</v>
      </c>
      <c r="V3223">
        <v>-6.0808019999999997E-3</v>
      </c>
      <c r="W3223">
        <v>0.17851600000000001</v>
      </c>
      <c r="X3223">
        <v>0.98391819999999997</v>
      </c>
      <c r="Y3223">
        <v>-2.0080529999999999E-2</v>
      </c>
      <c r="Z3223">
        <v>-1.9390330000000001E-4</v>
      </c>
      <c r="AA3223">
        <v>0.99979839999999998</v>
      </c>
      <c r="AB3223">
        <v>26</v>
      </c>
      <c r="AC3223">
        <v>-110.8783</v>
      </c>
      <c r="AD3223">
        <v>-1.12095503223079</v>
      </c>
      <c r="AE3223">
        <v>-1.60329999999999</v>
      </c>
      <c r="AF3223">
        <v>-2.2300348239589001</v>
      </c>
      <c r="AG3223">
        <v>-1.12095503223079</v>
      </c>
      <c r="AH3223">
        <v>110.856133033974</v>
      </c>
      <c r="AI3223">
        <v>90.579226532297696</v>
      </c>
      <c r="AJ3223">
        <v>91.152433781027</v>
      </c>
      <c r="AK3223">
        <v>110.884227132386</v>
      </c>
      <c r="AL3223">
        <v>79.716666880380998</v>
      </c>
      <c r="AM3223">
        <v>90.354094329200706</v>
      </c>
      <c r="AN3223">
        <v>0.99999998135010104</v>
      </c>
    </row>
    <row r="3224" spans="1:40" x14ac:dyDescent="0.25">
      <c r="A3224" t="str">
        <f>"20190303161938601"</f>
        <v>20190303161938601</v>
      </c>
      <c r="B3224" t="str">
        <f>"1551601178585777"</f>
        <v>1551601178585777</v>
      </c>
      <c r="C3224" t="s">
        <v>40</v>
      </c>
      <c r="D3224">
        <v>5.0467069999999996</v>
      </c>
      <c r="E3224">
        <v>0.49508799999999997</v>
      </c>
      <c r="F3224" t="s">
        <v>52</v>
      </c>
      <c r="G3224">
        <v>-390.00360000000001</v>
      </c>
      <c r="H3224" s="1">
        <v>-1.5348610000000001E-6</v>
      </c>
      <c r="I3224">
        <v>282.19709999999998</v>
      </c>
      <c r="J3224">
        <v>-284.05439999999999</v>
      </c>
      <c r="K3224">
        <v>1.1209499999999999</v>
      </c>
      <c r="L3224">
        <v>283.69310000000002</v>
      </c>
      <c r="M3224">
        <v>-0.99995129999999999</v>
      </c>
      <c r="N3224">
        <v>-8.1042489999999991E-3</v>
      </c>
      <c r="O3224">
        <v>5.6541300000000003E-3</v>
      </c>
      <c r="P3224">
        <v>-0.98529140000000004</v>
      </c>
      <c r="Q3224">
        <v>0.17088249999999999</v>
      </c>
      <c r="R3224">
        <v>-3.857315E-4</v>
      </c>
      <c r="S3224">
        <v>-3.0501710000000002</v>
      </c>
      <c r="T3224">
        <v>-3.2202479999999999E-2</v>
      </c>
      <c r="U3224">
        <v>-4.2938230000000001E-2</v>
      </c>
      <c r="V3224">
        <v>-5.9499929999999998E-3</v>
      </c>
      <c r="W3224">
        <v>0.178862299999999</v>
      </c>
      <c r="X3224">
        <v>0.98385610000000001</v>
      </c>
      <c r="Y3224">
        <v>-1.9727499999999999E-2</v>
      </c>
      <c r="Z3224">
        <v>-1.979463E-4</v>
      </c>
      <c r="AA3224">
        <v>0.99980539999999996</v>
      </c>
      <c r="AB3224">
        <v>26</v>
      </c>
      <c r="AC3224">
        <v>-105.9492</v>
      </c>
      <c r="AD3224">
        <v>-1.120951534861</v>
      </c>
      <c r="AE3224">
        <v>-1.49600000000003</v>
      </c>
      <c r="AF3224">
        <v>-2.0948117912091502</v>
      </c>
      <c r="AG3224">
        <v>-1.120951534861</v>
      </c>
      <c r="AH3224">
        <v>105.92719253018601</v>
      </c>
      <c r="AI3224">
        <v>90.606179011075994</v>
      </c>
      <c r="AJ3224">
        <v>91.132931296113497</v>
      </c>
      <c r="AK3224">
        <v>105.953833749002</v>
      </c>
      <c r="AL3224">
        <v>79.696500725225604</v>
      </c>
      <c r="AM3224">
        <v>90.346499179105905</v>
      </c>
      <c r="AN3224">
        <v>0.99999997514259897</v>
      </c>
    </row>
    <row r="3225" spans="1:40" x14ac:dyDescent="0.25">
      <c r="A3225" t="str">
        <f>"20190303161938621"</f>
        <v>20190303161938621</v>
      </c>
      <c r="B3225" t="str">
        <f>"1551601178616031"</f>
        <v>1551601178616031</v>
      </c>
      <c r="C3225" t="s">
        <v>40</v>
      </c>
      <c r="D3225">
        <v>4.8121330000000002</v>
      </c>
      <c r="E3225">
        <v>0.49520059999999999</v>
      </c>
      <c r="F3225" t="s">
        <v>52</v>
      </c>
      <c r="G3225">
        <v>-376.5222</v>
      </c>
      <c r="H3225" s="1">
        <v>1.9340250000000001E-6</v>
      </c>
      <c r="I3225">
        <v>282.43529999999998</v>
      </c>
      <c r="J3225">
        <v>-284.29820000000001</v>
      </c>
      <c r="K3225">
        <v>1.120949</v>
      </c>
      <c r="L3225">
        <v>283.69439999999997</v>
      </c>
      <c r="M3225">
        <v>-0.99995100000000003</v>
      </c>
      <c r="N3225">
        <v>-8.1254489999999999E-3</v>
      </c>
      <c r="O3225">
        <v>5.6540440000000004E-3</v>
      </c>
      <c r="P3225">
        <v>-0.98544319999999996</v>
      </c>
      <c r="Q3225">
        <v>0.17000509999999999</v>
      </c>
      <c r="R3225">
        <v>-2.7428149999999998E-4</v>
      </c>
      <c r="S3225">
        <v>-3.0512079999999999</v>
      </c>
      <c r="T3225">
        <v>-3.6988500000000001E-2</v>
      </c>
      <c r="U3225">
        <v>-4.1503909999999998E-2</v>
      </c>
      <c r="V3225">
        <v>-5.8392579999999999E-3</v>
      </c>
      <c r="W3225">
        <v>0.17800639999999901</v>
      </c>
      <c r="X3225">
        <v>0.984012</v>
      </c>
      <c r="Y3225">
        <v>-1.9252269999999998E-2</v>
      </c>
      <c r="Z3225">
        <v>-2.17507E-4</v>
      </c>
      <c r="AA3225">
        <v>0.9998146</v>
      </c>
      <c r="AB3225">
        <v>26</v>
      </c>
      <c r="AC3225">
        <v>-92.224000000000004</v>
      </c>
      <c r="AD3225">
        <v>-1.120947065975</v>
      </c>
      <c r="AE3225">
        <v>-1.2590999999999799</v>
      </c>
      <c r="AF3225">
        <v>-1.7802726838569101</v>
      </c>
      <c r="AG3225">
        <v>-1.120947065975</v>
      </c>
      <c r="AH3225">
        <v>92.201787672549102</v>
      </c>
      <c r="AI3225">
        <v>90.696411712860893</v>
      </c>
      <c r="AJ3225">
        <v>91.106154669830801</v>
      </c>
      <c r="AK3225">
        <v>92.225785673896198</v>
      </c>
      <c r="AL3225">
        <v>79.746340229493399</v>
      </c>
      <c r="AM3225">
        <v>90.339996780381</v>
      </c>
      <c r="AN3225">
        <v>0.99999999575947496</v>
      </c>
    </row>
    <row r="3226" spans="1:40" x14ac:dyDescent="0.25">
      <c r="A3226" t="str">
        <f>"20190303161938643"</f>
        <v>20190303161938643</v>
      </c>
      <c r="B3226" t="str">
        <f>"1551601178635551"</f>
        <v>1551601178635551</v>
      </c>
      <c r="C3226" t="s">
        <v>40</v>
      </c>
      <c r="D3226">
        <v>4.5122239999999998</v>
      </c>
      <c r="E3226">
        <v>0.49526490000000001</v>
      </c>
      <c r="F3226" t="s">
        <v>52</v>
      </c>
      <c r="G3226">
        <v>-358.09629999999999</v>
      </c>
      <c r="H3226" s="1">
        <v>2.77165E-6</v>
      </c>
      <c r="I3226">
        <v>282.71230000000003</v>
      </c>
      <c r="J3226">
        <v>-284.5514</v>
      </c>
      <c r="K3226">
        <v>1.1209499999999999</v>
      </c>
      <c r="L3226">
        <v>283.69580000000002</v>
      </c>
      <c r="M3226">
        <v>-0.99995080000000003</v>
      </c>
      <c r="N3226">
        <v>-8.1509709999999999E-3</v>
      </c>
      <c r="O3226">
        <v>5.6536420000000004E-3</v>
      </c>
      <c r="P3226">
        <v>-0.98560519999999996</v>
      </c>
      <c r="Q3226">
        <v>0.16906370000000001</v>
      </c>
      <c r="R3226">
        <v>-1.2411179999999999E-4</v>
      </c>
      <c r="S3226">
        <v>-3.0523069999999999</v>
      </c>
      <c r="T3226">
        <v>-4.6362639999999997E-2</v>
      </c>
      <c r="U3226">
        <v>-4.0618899999999999E-2</v>
      </c>
      <c r="V3226">
        <v>-5.6900650000000002E-3</v>
      </c>
      <c r="W3226">
        <v>0.17709179999999999</v>
      </c>
      <c r="X3226">
        <v>0.98417790000000005</v>
      </c>
      <c r="Y3226">
        <v>-1.8956049999999999E-2</v>
      </c>
      <c r="Z3226">
        <v>-2.610043E-4</v>
      </c>
      <c r="AA3226">
        <v>0.9998203</v>
      </c>
      <c r="AB3226">
        <v>26</v>
      </c>
      <c r="AC3226">
        <v>-73.544899999999899</v>
      </c>
      <c r="AD3226">
        <v>-1.1209472283499999</v>
      </c>
      <c r="AE3226">
        <v>-0.98349999999999205</v>
      </c>
      <c r="AF3226">
        <v>-1.39896969387998</v>
      </c>
      <c r="AG3226">
        <v>-1.1209472283499999</v>
      </c>
      <c r="AH3226">
        <v>73.521087464436903</v>
      </c>
      <c r="AI3226">
        <v>90.873340565625995</v>
      </c>
      <c r="AJ3226">
        <v>91.090100678213005</v>
      </c>
      <c r="AK3226">
        <v>73.542939435723696</v>
      </c>
      <c r="AL3226">
        <v>79.7995891243459</v>
      </c>
      <c r="AM3226">
        <v>90.331254214533899</v>
      </c>
      <c r="AN3226">
        <v>1.0000000106576701</v>
      </c>
    </row>
    <row r="3227" spans="1:40" x14ac:dyDescent="0.25">
      <c r="A3227" t="str">
        <f>"20190303161938664"</f>
        <v>20190303161938664</v>
      </c>
      <c r="B3227" t="str">
        <f>"1551601178656047"</f>
        <v>1551601178656047</v>
      </c>
      <c r="C3227" t="s">
        <v>40</v>
      </c>
      <c r="D3227">
        <v>4.7350839999999996</v>
      </c>
      <c r="E3227">
        <v>0.49527979999999999</v>
      </c>
      <c r="F3227" t="s">
        <v>52</v>
      </c>
      <c r="G3227">
        <v>-349.73360000000002</v>
      </c>
      <c r="H3227" s="1">
        <v>3.642918E-6</v>
      </c>
      <c r="I3227">
        <v>282.86110000000002</v>
      </c>
      <c r="J3227">
        <v>-284.80059999999997</v>
      </c>
      <c r="K3227">
        <v>1.1209450000000001</v>
      </c>
      <c r="L3227">
        <v>283.69720000000001</v>
      </c>
      <c r="M3227">
        <v>-0.99995049999999996</v>
      </c>
      <c r="N3227">
        <v>-8.1780829999999992E-3</v>
      </c>
      <c r="O3227">
        <v>5.6533520000000004E-3</v>
      </c>
      <c r="P3227">
        <v>-0.98577700000000001</v>
      </c>
      <c r="Q3227">
        <v>0.16805809999999999</v>
      </c>
      <c r="R3227">
        <v>-1.305058E-4</v>
      </c>
      <c r="S3227">
        <v>-3.0528559999999998</v>
      </c>
      <c r="T3227">
        <v>-5.2500369999999998E-2</v>
      </c>
      <c r="U3227">
        <v>-3.9093019999999999E-2</v>
      </c>
      <c r="V3227">
        <v>-5.6971799999999996E-3</v>
      </c>
      <c r="W3227">
        <v>0.17611470000000001</v>
      </c>
      <c r="X3227">
        <v>0.98435320000000004</v>
      </c>
      <c r="Y3227">
        <v>-1.8452960000000001E-2</v>
      </c>
      <c r="Z3227">
        <v>-2.850986E-4</v>
      </c>
      <c r="AA3227">
        <v>0.99982969999999904</v>
      </c>
      <c r="AB3227">
        <v>26</v>
      </c>
      <c r="AC3227">
        <v>-64.933000000000007</v>
      </c>
      <c r="AD3227">
        <v>-1.1209413570819999</v>
      </c>
      <c r="AE3227">
        <v>-0.83609999999998696</v>
      </c>
      <c r="AF3227">
        <v>-1.20282964914548</v>
      </c>
      <c r="AG3227">
        <v>-1.1209413570819999</v>
      </c>
      <c r="AH3227">
        <v>64.9078951802353</v>
      </c>
      <c r="AI3227">
        <v>90.989214073621994</v>
      </c>
      <c r="AJ3227">
        <v>91.061645503403497</v>
      </c>
      <c r="AK3227">
        <v>64.9287160308849</v>
      </c>
      <c r="AL3227">
        <v>79.856467067425896</v>
      </c>
      <c r="AM3227">
        <v>90.331609349522793</v>
      </c>
      <c r="AN3227">
        <v>1.0000000338831401</v>
      </c>
    </row>
    <row r="3228" spans="1:40" x14ac:dyDescent="0.25">
      <c r="A3228" t="str">
        <f>"20190303161938677"</f>
        <v>20190303161938677</v>
      </c>
      <c r="B3228" t="str">
        <f>"1551601178665807"</f>
        <v>1551601178665807</v>
      </c>
      <c r="C3228" t="s">
        <v>40</v>
      </c>
      <c r="D3228">
        <v>4.5440310000000004</v>
      </c>
      <c r="E3228">
        <v>0.49532700000000002</v>
      </c>
      <c r="F3228" t="s">
        <v>52</v>
      </c>
      <c r="G3228">
        <v>-343.85520000000002</v>
      </c>
      <c r="H3228" s="1">
        <v>5.1474029999999999E-7</v>
      </c>
      <c r="I3228">
        <v>282.94929999999999</v>
      </c>
      <c r="J3228">
        <v>-284.9572</v>
      </c>
      <c r="K3228">
        <v>1.1209439999999999</v>
      </c>
      <c r="L3228">
        <v>283.69810000000001</v>
      </c>
      <c r="M3228">
        <v>-0.99995049999999996</v>
      </c>
      <c r="N3228">
        <v>-8.1953289999999995E-3</v>
      </c>
      <c r="O3228">
        <v>5.6531029999999996E-3</v>
      </c>
      <c r="P3228">
        <v>-0.98583290000000001</v>
      </c>
      <c r="Q3228">
        <v>0.16773160000000001</v>
      </c>
      <c r="R3228" s="1">
        <v>-5.5991110000000004E-6</v>
      </c>
      <c r="S3228">
        <v>-3.053131</v>
      </c>
      <c r="T3228">
        <v>-5.7952999999999998E-2</v>
      </c>
      <c r="U3228">
        <v>-3.8665770000000002E-2</v>
      </c>
      <c r="V3228">
        <v>-5.5721690000000001E-3</v>
      </c>
      <c r="W3228">
        <v>0.1758053</v>
      </c>
      <c r="X3228">
        <v>0.98440919999999998</v>
      </c>
      <c r="Y3228">
        <v>-1.831087E-2</v>
      </c>
      <c r="Z3228">
        <v>-3.0977259999999998E-4</v>
      </c>
      <c r="AA3228">
        <v>0.99983230000000001</v>
      </c>
      <c r="AB3228">
        <v>26</v>
      </c>
      <c r="AC3228">
        <v>-58.898000000000003</v>
      </c>
      <c r="AD3228">
        <v>-1.1209434852597</v>
      </c>
      <c r="AE3228">
        <v>-0.74880000000001701</v>
      </c>
      <c r="AF3228">
        <v>-1.08136403304762</v>
      </c>
      <c r="AG3228">
        <v>-1.1209434852597</v>
      </c>
      <c r="AH3228">
        <v>58.871504933871599</v>
      </c>
      <c r="AI3228">
        <v>91.090625137553204</v>
      </c>
      <c r="AJ3228">
        <v>91.0523024459998</v>
      </c>
      <c r="AK3228">
        <v>58.892104357443202</v>
      </c>
      <c r="AL3228">
        <v>79.874475143096006</v>
      </c>
      <c r="AM3228">
        <v>90.324314682091895</v>
      </c>
      <c r="AN3228">
        <v>1.0000000128100399</v>
      </c>
    </row>
    <row r="3229" spans="1:40" x14ac:dyDescent="0.25">
      <c r="A3229" t="str">
        <f>"20190303161938690"</f>
        <v>20190303161938690</v>
      </c>
      <c r="B3229" t="str">
        <f>"1551601178675567"</f>
        <v>1551601178675567</v>
      </c>
      <c r="C3229" t="s">
        <v>40</v>
      </c>
      <c r="D3229">
        <v>4.6463239999999999</v>
      </c>
      <c r="E3229">
        <v>0.4953745</v>
      </c>
      <c r="F3229" t="s">
        <v>52</v>
      </c>
      <c r="G3229">
        <v>-342.20429999999999</v>
      </c>
      <c r="H3229" s="1">
        <v>-3.6379730000000001E-7</v>
      </c>
      <c r="I3229">
        <v>282.988</v>
      </c>
      <c r="J3229">
        <v>-285.09989999999999</v>
      </c>
      <c r="K3229">
        <v>1.120943</v>
      </c>
      <c r="L3229">
        <v>283.69889999999998</v>
      </c>
      <c r="M3229">
        <v>-0.99995029999999996</v>
      </c>
      <c r="N3229">
        <v>-8.2123890000000005E-3</v>
      </c>
      <c r="O3229">
        <v>5.653033E-3</v>
      </c>
      <c r="P3229">
        <v>-0.98583770000000004</v>
      </c>
      <c r="Q3229">
        <v>0.16770289999999999</v>
      </c>
      <c r="R3229">
        <v>1.5893209999999901E-4</v>
      </c>
      <c r="S3229">
        <v>-3.0532840000000001</v>
      </c>
      <c r="T3229">
        <v>-5.978584E-2</v>
      </c>
      <c r="U3229">
        <v>-3.7872309999999999E-2</v>
      </c>
      <c r="V3229">
        <v>-5.4074209999999999E-3</v>
      </c>
      <c r="W3229">
        <v>0.17579359999999999</v>
      </c>
      <c r="X3229">
        <v>0.98441219999999996</v>
      </c>
      <c r="Y3229">
        <v>-1.8050159999999999E-2</v>
      </c>
      <c r="Z3229">
        <v>-3.1508209999999998E-4</v>
      </c>
      <c r="AA3229">
        <v>0.99983699999999998</v>
      </c>
      <c r="AB3229">
        <v>26</v>
      </c>
      <c r="AC3229">
        <v>-57.104399999999998</v>
      </c>
      <c r="AD3229">
        <v>-1.1209433637973001</v>
      </c>
      <c r="AE3229">
        <v>-0.71089999999997999</v>
      </c>
      <c r="AF3229">
        <v>-1.0333144825487399</v>
      </c>
      <c r="AG3229">
        <v>-1.1209433637973001</v>
      </c>
      <c r="AH3229">
        <v>57.077478595606401</v>
      </c>
      <c r="AI3229">
        <v>91.124901663337894</v>
      </c>
      <c r="AJ3229">
        <v>91.037153243232893</v>
      </c>
      <c r="AK3229">
        <v>57.097835472779401</v>
      </c>
      <c r="AL3229">
        <v>79.875156026663007</v>
      </c>
      <c r="AM3229">
        <v>90.314725158078801</v>
      </c>
      <c r="AN3229">
        <v>1.00000000475583</v>
      </c>
    </row>
    <row r="3230" spans="1:40" x14ac:dyDescent="0.25">
      <c r="A3230" t="str">
        <f>"20190303161938702"</f>
        <v>20190303161938702</v>
      </c>
      <c r="B3230" t="str">
        <f>"1551601178696063"</f>
        <v>1551601178696063</v>
      </c>
      <c r="C3230" t="s">
        <v>40</v>
      </c>
      <c r="D3230">
        <v>4.6034350000000002</v>
      </c>
      <c r="E3230">
        <v>0.49548979999999998</v>
      </c>
      <c r="F3230" t="s">
        <v>52</v>
      </c>
      <c r="G3230">
        <v>-341.44049999999999</v>
      </c>
      <c r="H3230" s="1">
        <v>-7.7025539999999995E-7</v>
      </c>
      <c r="I3230">
        <v>283.00909999999999</v>
      </c>
      <c r="J3230">
        <v>-285.25560000000002</v>
      </c>
      <c r="K3230">
        <v>1.1209450000000001</v>
      </c>
      <c r="L3230">
        <v>283.69979999999998</v>
      </c>
      <c r="M3230">
        <v>-0.99995029999999996</v>
      </c>
      <c r="N3230">
        <v>-8.2332340000000007E-3</v>
      </c>
      <c r="O3230">
        <v>5.6527679999999999E-3</v>
      </c>
      <c r="P3230">
        <v>-0.98588560000000003</v>
      </c>
      <c r="Q3230">
        <v>0.16742089999999901</v>
      </c>
      <c r="R3230">
        <v>5.3461869999999996E-4</v>
      </c>
      <c r="S3230">
        <v>-3.0534669999999999</v>
      </c>
      <c r="T3230">
        <v>-6.0751319999999998E-2</v>
      </c>
      <c r="U3230">
        <v>-3.7384029999999999E-2</v>
      </c>
      <c r="V3230">
        <v>-5.0316650000000003E-3</v>
      </c>
      <c r="W3230">
        <v>0.17553260000000001</v>
      </c>
      <c r="X3230">
        <v>0.98446080000000002</v>
      </c>
      <c r="Y3230">
        <v>-1.7889180000000001E-2</v>
      </c>
      <c r="Z3230">
        <v>-3.1750829999999998E-4</v>
      </c>
      <c r="AA3230">
        <v>0.9998399</v>
      </c>
      <c r="AB3230">
        <v>26</v>
      </c>
      <c r="AC3230">
        <v>-56.184899999999899</v>
      </c>
      <c r="AD3230">
        <v>-1.1209457702554</v>
      </c>
      <c r="AE3230">
        <v>-0.69069999999999199</v>
      </c>
      <c r="AF3230">
        <v>-1.00789875293265</v>
      </c>
      <c r="AG3230">
        <v>-1.1209457702554</v>
      </c>
      <c r="AH3230">
        <v>56.1577479533141</v>
      </c>
      <c r="AI3230">
        <v>91.143325700859904</v>
      </c>
      <c r="AJ3230">
        <v>91.028213335400594</v>
      </c>
      <c r="AK3230">
        <v>56.177976418735199</v>
      </c>
      <c r="AL3230">
        <v>79.890346780782906</v>
      </c>
      <c r="AM3230">
        <v>90.292841175678902</v>
      </c>
      <c r="AN3230">
        <v>1.00000003902603</v>
      </c>
    </row>
    <row r="3231" spans="1:40" x14ac:dyDescent="0.25">
      <c r="A3231" t="str">
        <f>"20190303161938715"</f>
        <v>20190303161938715</v>
      </c>
      <c r="B3231" t="str">
        <f>"1551601178705823"</f>
        <v>1551601178705823</v>
      </c>
      <c r="C3231" t="s">
        <v>40</v>
      </c>
      <c r="D3231">
        <v>4.5362669999999996</v>
      </c>
      <c r="E3231">
        <v>0.4956103</v>
      </c>
      <c r="F3231" t="s">
        <v>52</v>
      </c>
      <c r="G3231">
        <v>-340.18549999999999</v>
      </c>
      <c r="H3231" s="1">
        <v>-1.4380799999999999E-6</v>
      </c>
      <c r="I3231">
        <v>283.06740000000002</v>
      </c>
      <c r="J3231">
        <v>-285.40199999999999</v>
      </c>
      <c r="K3231">
        <v>1.1209469999999999</v>
      </c>
      <c r="L3231">
        <v>283.70060000000001</v>
      </c>
      <c r="M3231">
        <v>-0.99995009999999995</v>
      </c>
      <c r="N3231">
        <v>-8.2563810000000001E-3</v>
      </c>
      <c r="O3231">
        <v>5.6524929999999998E-3</v>
      </c>
      <c r="P3231">
        <v>-0.98592409999999997</v>
      </c>
      <c r="Q3231">
        <v>0.16719310000000001</v>
      </c>
      <c r="R3231">
        <v>5.1883050000000003E-4</v>
      </c>
      <c r="S3231">
        <v>-3.0535580000000002</v>
      </c>
      <c r="T3231">
        <v>-6.2313559999999997E-2</v>
      </c>
      <c r="U3231">
        <v>-3.515625E-2</v>
      </c>
      <c r="V3231">
        <v>-5.047813E-3</v>
      </c>
      <c r="W3231">
        <v>0.1753275</v>
      </c>
      <c r="X3231">
        <v>0.98449719999999996</v>
      </c>
      <c r="Y3231">
        <v>-1.715914E-2</v>
      </c>
      <c r="Z3231">
        <v>-3.1457719999999998E-4</v>
      </c>
      <c r="AA3231">
        <v>0.99985270000000004</v>
      </c>
      <c r="AB3231">
        <v>26</v>
      </c>
      <c r="AC3231">
        <v>-54.783499999999997</v>
      </c>
      <c r="AD3231">
        <v>-1.1209484380800001</v>
      </c>
      <c r="AE3231">
        <v>-0.633199999999987</v>
      </c>
      <c r="AF3231">
        <v>-0.94246920851914895</v>
      </c>
      <c r="AG3231">
        <v>-1.1209484380800001</v>
      </c>
      <c r="AH3231">
        <v>54.756123790825797</v>
      </c>
      <c r="AI3231">
        <v>91.172601943586002</v>
      </c>
      <c r="AJ3231">
        <v>90.986084707926196</v>
      </c>
      <c r="AK3231">
        <v>54.775705072651398</v>
      </c>
      <c r="AL3231">
        <v>79.90228260085</v>
      </c>
      <c r="AM3231">
        <v>90.293770105461206</v>
      </c>
      <c r="AN3231">
        <v>0.99999997474008595</v>
      </c>
    </row>
    <row r="3232" spans="1:40" x14ac:dyDescent="0.25">
      <c r="A3232" t="str">
        <f>"20190303161938733"</f>
        <v>20190303161938733</v>
      </c>
      <c r="B3232" t="str">
        <f>"1551601178726320"</f>
        <v>1551601178726320</v>
      </c>
      <c r="C3232" t="s">
        <v>40</v>
      </c>
      <c r="D3232">
        <v>4.4786109999999999</v>
      </c>
      <c r="E3232">
        <v>0.4959363</v>
      </c>
      <c r="F3232" t="s">
        <v>52</v>
      </c>
      <c r="G3232">
        <v>-340.2987</v>
      </c>
      <c r="H3232" s="1">
        <v>-1.3778420000000001E-6</v>
      </c>
      <c r="I3232">
        <v>283.08229999999998</v>
      </c>
      <c r="J3232">
        <v>-285.60109999999997</v>
      </c>
      <c r="K3232">
        <v>1.1209450000000001</v>
      </c>
      <c r="L3232">
        <v>283.70179999999999</v>
      </c>
      <c r="M3232">
        <v>-0.99994970000000005</v>
      </c>
      <c r="N3232">
        <v>-8.2922269999999992E-3</v>
      </c>
      <c r="O3232">
        <v>5.6525229999999996E-3</v>
      </c>
      <c r="P3232">
        <v>-0.98607750000000005</v>
      </c>
      <c r="Q3232">
        <v>0.16628270000000001</v>
      </c>
      <c r="R3232">
        <v>1.0851910000000001E-3</v>
      </c>
      <c r="S3232">
        <v>-3.0534970000000001</v>
      </c>
      <c r="T3232">
        <v>-6.2350030000000001E-2</v>
      </c>
      <c r="U3232">
        <v>-3.4393310000000003E-2</v>
      </c>
      <c r="V3232">
        <v>-4.4828369999999999E-3</v>
      </c>
      <c r="W3232">
        <v>0.17445379999999999</v>
      </c>
      <c r="X3232">
        <v>0.98465510000000001</v>
      </c>
      <c r="Y3232">
        <v>-1.6909670000000002E-2</v>
      </c>
      <c r="Z3232">
        <v>-3.112775E-4</v>
      </c>
      <c r="AA3232">
        <v>0.99985690000000005</v>
      </c>
      <c r="AB3232">
        <v>26</v>
      </c>
      <c r="AC3232">
        <v>-54.697600000000001</v>
      </c>
      <c r="AD3232">
        <v>-1.1209463778419999</v>
      </c>
      <c r="AE3232">
        <v>-0.61950000000001604</v>
      </c>
      <c r="AF3232">
        <v>-0.92829033960709595</v>
      </c>
      <c r="AG3232">
        <v>-1.1209463778419999</v>
      </c>
      <c r="AH3232">
        <v>54.670266540047002</v>
      </c>
      <c r="AI3232">
        <v>91.174445452007703</v>
      </c>
      <c r="AJ3232">
        <v>90.972777550706795</v>
      </c>
      <c r="AK3232">
        <v>54.689636013566499</v>
      </c>
      <c r="AL3232">
        <v>79.953125223307893</v>
      </c>
      <c r="AM3232">
        <v>90.2608485608839</v>
      </c>
      <c r="AN3232">
        <v>0.99999994505900702</v>
      </c>
    </row>
    <row r="3233" spans="1:40" x14ac:dyDescent="0.25">
      <c r="A3233" t="str">
        <f>"20190303161938745"</f>
        <v>20190303161938745</v>
      </c>
      <c r="B3233" t="str">
        <f>"1551601178736080"</f>
        <v>1551601178736080</v>
      </c>
      <c r="C3233" t="s">
        <v>40</v>
      </c>
      <c r="D3233">
        <v>4.4139689999999998</v>
      </c>
      <c r="E3233">
        <v>0.4961315</v>
      </c>
      <c r="F3233" t="s">
        <v>52</v>
      </c>
      <c r="G3233">
        <v>-339.93400000000003</v>
      </c>
      <c r="H3233" s="1">
        <v>3.8128370000000001E-6</v>
      </c>
      <c r="I3233">
        <v>283.16950000000003</v>
      </c>
      <c r="J3233">
        <v>-285.7577</v>
      </c>
      <c r="K3233">
        <v>1.1209480000000001</v>
      </c>
      <c r="L3233">
        <v>283.70260000000002</v>
      </c>
      <c r="M3233">
        <v>-0.99994950000000005</v>
      </c>
      <c r="N3233">
        <v>-8.3242419999999904E-3</v>
      </c>
      <c r="O3233">
        <v>5.6522100000000004E-3</v>
      </c>
      <c r="P3233">
        <v>-0.98610609999999999</v>
      </c>
      <c r="Q3233">
        <v>0.16611389999999901</v>
      </c>
      <c r="R3233">
        <v>1.1285100000000001E-3</v>
      </c>
      <c r="S3233">
        <v>-3.0529790000000001</v>
      </c>
      <c r="T3233">
        <v>-6.2986020000000004E-2</v>
      </c>
      <c r="U3233">
        <v>-2.990723E-2</v>
      </c>
      <c r="V3233">
        <v>-4.4388120000000003E-3</v>
      </c>
      <c r="W3233">
        <v>0.1743171</v>
      </c>
      <c r="X3233">
        <v>0.98467959999999999</v>
      </c>
      <c r="Y3233">
        <v>-1.5442549999999999E-2</v>
      </c>
      <c r="Z3233">
        <v>-2.9311190000000002E-4</v>
      </c>
      <c r="AA3233">
        <v>0.99988069999999896</v>
      </c>
      <c r="AB3233">
        <v>26</v>
      </c>
      <c r="AC3233">
        <v>-54.176299999999998</v>
      </c>
      <c r="AD3233">
        <v>-1.1209441871629999</v>
      </c>
      <c r="AE3233">
        <v>-0.53309999999999003</v>
      </c>
      <c r="AF3233">
        <v>-0.83895875417778898</v>
      </c>
      <c r="AG3233">
        <v>-1.1209441871629999</v>
      </c>
      <c r="AH3233">
        <v>54.149241974833302</v>
      </c>
      <c r="AI3233">
        <v>91.185769051129498</v>
      </c>
      <c r="AJ3233">
        <v>90.887638466257101</v>
      </c>
      <c r="AK3233">
        <v>54.167340474782399</v>
      </c>
      <c r="AL3233">
        <v>79.961080342993995</v>
      </c>
      <c r="AM3233">
        <v>90.2582804304717</v>
      </c>
      <c r="AN3233">
        <v>1.00000003453027</v>
      </c>
    </row>
    <row r="3234" spans="1:40" x14ac:dyDescent="0.25">
      <c r="A3234" t="str">
        <f>"20190303161938757"</f>
        <v>20190303161938757</v>
      </c>
      <c r="B3234" t="str">
        <f>"1551601178745840"</f>
        <v>1551601178745840</v>
      </c>
      <c r="C3234" t="s">
        <v>40</v>
      </c>
      <c r="D3234">
        <v>4.3862809999999897</v>
      </c>
      <c r="E3234">
        <v>0.49632409999999999</v>
      </c>
      <c r="F3234" t="s">
        <v>52</v>
      </c>
      <c r="G3234">
        <v>-340.59829999999999</v>
      </c>
      <c r="H3234" s="1">
        <v>-1.218392E-6</v>
      </c>
      <c r="I3234">
        <v>283.19009999999997</v>
      </c>
      <c r="J3234">
        <v>-285.90539999999999</v>
      </c>
      <c r="K3234">
        <v>1.1209519999999999</v>
      </c>
      <c r="L3234">
        <v>283.70350000000002</v>
      </c>
      <c r="M3234">
        <v>-0.99994919999999998</v>
      </c>
      <c r="N3234">
        <v>-8.3607190000000008E-3</v>
      </c>
      <c r="O3234">
        <v>5.6520569999999899E-3</v>
      </c>
      <c r="P3234">
        <v>-0.98615589999999997</v>
      </c>
      <c r="Q3234">
        <v>0.165817299999999</v>
      </c>
      <c r="R3234">
        <v>1.1216360000000001E-3</v>
      </c>
      <c r="S3234">
        <v>-3.052826</v>
      </c>
      <c r="T3234">
        <v>-6.24001E-2</v>
      </c>
      <c r="U3234">
        <v>-2.8533940000000001E-2</v>
      </c>
      <c r="V3234">
        <v>-4.4455930000000003E-3</v>
      </c>
      <c r="W3234">
        <v>0.17405699999999999</v>
      </c>
      <c r="X3234">
        <v>0.98472550000000003</v>
      </c>
      <c r="Y3234">
        <v>-1.4993360000000001E-2</v>
      </c>
      <c r="Z3234">
        <v>-2.8416530000000001E-4</v>
      </c>
      <c r="AA3234">
        <v>0.99988750000000004</v>
      </c>
      <c r="AB3234">
        <v>26</v>
      </c>
      <c r="AC3234">
        <v>-54.692900000000002</v>
      </c>
      <c r="AD3234">
        <v>-1.1209532183919999</v>
      </c>
      <c r="AE3234">
        <v>-0.51340000000004604</v>
      </c>
      <c r="AF3234">
        <v>-0.82218461553920197</v>
      </c>
      <c r="AG3234">
        <v>-1.1209532183919999</v>
      </c>
      <c r="AH3234">
        <v>54.666163324625202</v>
      </c>
      <c r="AI3234">
        <v>91.1745772019529</v>
      </c>
      <c r="AJ3234">
        <v>90.861669341220093</v>
      </c>
      <c r="AK3234">
        <v>54.683836151960399</v>
      </c>
      <c r="AL3234">
        <v>79.976213543633406</v>
      </c>
      <c r="AM3234">
        <v>90.258662932867907</v>
      </c>
      <c r="AN3234">
        <v>0.99999995644818496</v>
      </c>
    </row>
    <row r="3235" spans="1:40" x14ac:dyDescent="0.25">
      <c r="A3235" t="str">
        <f>"20190303161938777"</f>
        <v>20190303161938777</v>
      </c>
      <c r="B3235" t="str">
        <f>"1551601178766336"</f>
        <v>1551601178766336</v>
      </c>
      <c r="C3235" t="s">
        <v>40</v>
      </c>
      <c r="D3235">
        <v>4.3194369999999997</v>
      </c>
      <c r="E3235">
        <v>0.49674469999999998</v>
      </c>
      <c r="F3235" t="s">
        <v>52</v>
      </c>
      <c r="G3235">
        <v>-340.89789999999999</v>
      </c>
      <c r="H3235" s="1">
        <v>-1.0589980000000001E-6</v>
      </c>
      <c r="I3235">
        <v>283.2208</v>
      </c>
      <c r="J3235">
        <v>-286.12650000000002</v>
      </c>
      <c r="K3235">
        <v>1.1209639999999901</v>
      </c>
      <c r="L3235">
        <v>283.70479999999998</v>
      </c>
      <c r="M3235">
        <v>-0.99994870000000002</v>
      </c>
      <c r="N3235">
        <v>-8.4209760000000002E-3</v>
      </c>
      <c r="O3235">
        <v>5.6518039999999999E-3</v>
      </c>
      <c r="P3235">
        <v>-0.98619120000000005</v>
      </c>
      <c r="Q3235">
        <v>0.16560420000000001</v>
      </c>
      <c r="R3235">
        <v>1.636095E-3</v>
      </c>
      <c r="S3235">
        <v>-3.0526119999999999</v>
      </c>
      <c r="T3235">
        <v>-6.2223670000000002E-2</v>
      </c>
      <c r="U3235">
        <v>-2.6794430000000001E-2</v>
      </c>
      <c r="V3235">
        <v>-3.9310700000000001E-3</v>
      </c>
      <c r="W3235">
        <v>0.173903</v>
      </c>
      <c r="X3235">
        <v>0.98475489999999999</v>
      </c>
      <c r="Y3235">
        <v>-1.442421E-2</v>
      </c>
      <c r="Z3235">
        <v>-2.7533620000000001E-4</v>
      </c>
      <c r="AA3235">
        <v>0.99989589999999995</v>
      </c>
      <c r="AB3235">
        <v>26</v>
      </c>
      <c r="AC3235">
        <v>-54.7713999999999</v>
      </c>
      <c r="AD3235">
        <v>-1.12096505899799</v>
      </c>
      <c r="AE3235">
        <v>-0.48399999999998</v>
      </c>
      <c r="AF3235">
        <v>-0.79322819178482695</v>
      </c>
      <c r="AG3235">
        <v>-1.12096505899799</v>
      </c>
      <c r="AH3235">
        <v>54.744860541088997</v>
      </c>
      <c r="AI3235">
        <v>91.172911102865697</v>
      </c>
      <c r="AJ3235">
        <v>90.830131759058304</v>
      </c>
      <c r="AK3235">
        <v>54.762081126368997</v>
      </c>
      <c r="AL3235">
        <v>79.985173779336407</v>
      </c>
      <c r="AM3235">
        <v>90.228719373296997</v>
      </c>
      <c r="AN3235">
        <v>0.99999995989717605</v>
      </c>
    </row>
    <row r="3236" spans="1:40" x14ac:dyDescent="0.25">
      <c r="A3236" t="str">
        <f>"20190303161938790"</f>
        <v>20190303161938790</v>
      </c>
      <c r="B3236" t="str">
        <f>"1551601178776096"</f>
        <v>1551601178776096</v>
      </c>
      <c r="C3236" t="s">
        <v>40</v>
      </c>
      <c r="D3236">
        <v>4.3200900000000004</v>
      </c>
      <c r="E3236">
        <v>0.49696689999999999</v>
      </c>
      <c r="F3236" t="s">
        <v>52</v>
      </c>
      <c r="G3236">
        <v>-342.73930000000001</v>
      </c>
      <c r="H3236" s="1">
        <v>-7.9041340000000002E-8</v>
      </c>
      <c r="I3236">
        <v>283.29379999999998</v>
      </c>
      <c r="J3236">
        <v>-286.28210000000001</v>
      </c>
      <c r="K3236">
        <v>1.120973</v>
      </c>
      <c r="L3236">
        <v>283.70569999999998</v>
      </c>
      <c r="M3236">
        <v>-0.99994830000000001</v>
      </c>
      <c r="N3236">
        <v>-8.4676439999999999E-3</v>
      </c>
      <c r="O3236">
        <v>5.6516070000000003E-3</v>
      </c>
      <c r="P3236">
        <v>-0.98618220000000001</v>
      </c>
      <c r="Q3236">
        <v>0.16565579999999999</v>
      </c>
      <c r="R3236">
        <v>1.6888719999999999E-3</v>
      </c>
      <c r="S3236">
        <v>-3.0521850000000001</v>
      </c>
      <c r="T3236">
        <v>-6.043482E-2</v>
      </c>
      <c r="U3236">
        <v>-2.215576E-2</v>
      </c>
      <c r="V3236">
        <v>-3.8784100000000001E-3</v>
      </c>
      <c r="W3236">
        <v>0.17400060000000001</v>
      </c>
      <c r="X3236">
        <v>0.98473790000000005</v>
      </c>
      <c r="Y3236">
        <v>-1.290637E-2</v>
      </c>
      <c r="Z3236">
        <v>-2.464538E-4</v>
      </c>
      <c r="AA3236">
        <v>0.99991669999999999</v>
      </c>
      <c r="AB3236">
        <v>26</v>
      </c>
      <c r="AC3236">
        <v>-56.4572</v>
      </c>
      <c r="AD3236">
        <v>-1.1209730790413399</v>
      </c>
      <c r="AE3236">
        <v>-0.41190000000000199</v>
      </c>
      <c r="AF3236">
        <v>-0.73069068240980095</v>
      </c>
      <c r="AG3236">
        <v>-1.1209730790413399</v>
      </c>
      <c r="AH3236">
        <v>56.431724309835097</v>
      </c>
      <c r="AI3236">
        <v>91.137891854027103</v>
      </c>
      <c r="AJ3236">
        <v>90.741837207783703</v>
      </c>
      <c r="AK3236">
        <v>56.447586291165102</v>
      </c>
      <c r="AL3236">
        <v>79.979495453092099</v>
      </c>
      <c r="AM3236">
        <v>90.2256594117367</v>
      </c>
      <c r="AN3236">
        <v>0.99999999128044903</v>
      </c>
    </row>
    <row r="3237" spans="1:40" x14ac:dyDescent="0.25">
      <c r="A3237" t="str">
        <f>"20190303161938812"</f>
        <v>20190303161938812</v>
      </c>
      <c r="B3237" t="str">
        <f>"1551601178806351"</f>
        <v>1551601178806351</v>
      </c>
      <c r="C3237" t="s">
        <v>40</v>
      </c>
      <c r="D3237">
        <v>4.1771469999999997</v>
      </c>
      <c r="E3237">
        <v>0.49729079999999898</v>
      </c>
      <c r="F3237" t="s">
        <v>52</v>
      </c>
      <c r="G3237">
        <v>-343.85980000000001</v>
      </c>
      <c r="H3237" s="1">
        <v>5.172284E-7</v>
      </c>
      <c r="I3237">
        <v>283.32510000000002</v>
      </c>
      <c r="J3237">
        <v>-286.53579999999999</v>
      </c>
      <c r="K3237">
        <v>1.120987</v>
      </c>
      <c r="L3237">
        <v>283.70710000000003</v>
      </c>
      <c r="M3237">
        <v>-0.99994749999999999</v>
      </c>
      <c r="N3237">
        <v>-8.5523049999999996E-3</v>
      </c>
      <c r="O3237">
        <v>5.6514240000000004E-3</v>
      </c>
      <c r="P3237">
        <v>-0.98626760000000002</v>
      </c>
      <c r="Q3237">
        <v>0.16514379999999901</v>
      </c>
      <c r="R3237">
        <v>1.9310620000000001E-3</v>
      </c>
      <c r="S3237">
        <v>-3.052063</v>
      </c>
      <c r="T3237">
        <v>-5.9420109999999998E-2</v>
      </c>
      <c r="U3237">
        <v>-2.0172120000000002E-2</v>
      </c>
      <c r="V3237">
        <v>-3.6368659999999999E-3</v>
      </c>
      <c r="W3237">
        <v>0.1735729</v>
      </c>
      <c r="X3237">
        <v>0.98481430000000003</v>
      </c>
      <c r="Y3237">
        <v>-1.2256919999999999E-2</v>
      </c>
      <c r="Z3237">
        <v>-2.3340709999999999E-4</v>
      </c>
      <c r="AA3237">
        <v>0.99992479999999995</v>
      </c>
      <c r="AB3237">
        <v>27</v>
      </c>
      <c r="AC3237">
        <v>-57.323999999999998</v>
      </c>
      <c r="AD3237">
        <v>-1.1209864827716001</v>
      </c>
      <c r="AE3237">
        <v>-0.382000000000005</v>
      </c>
      <c r="AF3237">
        <v>-0.70569811025899598</v>
      </c>
      <c r="AG3237">
        <v>-1.1209864827716001</v>
      </c>
      <c r="AH3237">
        <v>57.299014909560498</v>
      </c>
      <c r="AI3237">
        <v>91.120695239106098</v>
      </c>
      <c r="AJ3237">
        <v>90.705622586831495</v>
      </c>
      <c r="AK3237">
        <v>57.314323952424097</v>
      </c>
      <c r="AL3237">
        <v>80.004379518176705</v>
      </c>
      <c r="AM3237">
        <v>90.211589256157794</v>
      </c>
      <c r="AN3237">
        <v>0.99999999194660105</v>
      </c>
    </row>
    <row r="3238" spans="1:40" x14ac:dyDescent="0.25">
      <c r="A3238" t="str">
        <f>"20190303161938834"</f>
        <v>20190303161938834</v>
      </c>
      <c r="B3238" t="str">
        <f>"1551601178825871"</f>
        <v>1551601178825871</v>
      </c>
      <c r="C3238" t="s">
        <v>40</v>
      </c>
      <c r="D3238">
        <v>4.1459699999999904</v>
      </c>
      <c r="E3238">
        <v>0.50403819999999999</v>
      </c>
      <c r="F3238" t="s">
        <v>52</v>
      </c>
      <c r="G3238">
        <v>-345.19670000000002</v>
      </c>
      <c r="H3238" s="1">
        <v>1.2286430000000001E-6</v>
      </c>
      <c r="I3238">
        <v>283.3768</v>
      </c>
      <c r="J3238">
        <v>-286.80070000000001</v>
      </c>
      <c r="K3238">
        <v>1.1209990000000001</v>
      </c>
      <c r="L3238">
        <v>283.70859999999999</v>
      </c>
      <c r="M3238">
        <v>-0.99994669999999997</v>
      </c>
      <c r="N3238">
        <v>-8.654442E-3</v>
      </c>
      <c r="O3238">
        <v>5.6509840000000004E-3</v>
      </c>
      <c r="P3238">
        <v>-0.98636820000000003</v>
      </c>
      <c r="Q3238">
        <v>0.16454630000000001</v>
      </c>
      <c r="R3238">
        <v>1.5988790000000001E-3</v>
      </c>
      <c r="S3238">
        <v>-3.0515750000000001</v>
      </c>
      <c r="T3238">
        <v>-5.8314320000000003E-2</v>
      </c>
      <c r="U3238">
        <v>-1.7181399999999999E-2</v>
      </c>
      <c r="V3238">
        <v>-3.9687530000000002E-3</v>
      </c>
      <c r="W3238">
        <v>0.17307639999999999</v>
      </c>
      <c r="X3238">
        <v>0.98490040000000001</v>
      </c>
      <c r="Y3238">
        <v>-1.127796E-2</v>
      </c>
      <c r="Z3238">
        <v>-2.1563100000000001E-4</v>
      </c>
      <c r="AA3238">
        <v>0.99993639999999995</v>
      </c>
      <c r="AB3238">
        <v>27</v>
      </c>
      <c r="AC3238">
        <v>-58.396000000000001</v>
      </c>
      <c r="AD3238">
        <v>-1.1209977713570001</v>
      </c>
      <c r="AE3238">
        <v>-0.33179999999998699</v>
      </c>
      <c r="AF3238">
        <v>-0.66155810387006897</v>
      </c>
      <c r="AG3238">
        <v>-1.1209977713570001</v>
      </c>
      <c r="AH3238">
        <v>58.371682900281598</v>
      </c>
      <c r="AI3238">
        <v>91.100129728923804</v>
      </c>
      <c r="AJ3238">
        <v>90.649336502940699</v>
      </c>
      <c r="AK3238">
        <v>58.3861940850678</v>
      </c>
      <c r="AL3238">
        <v>80.033264074500096</v>
      </c>
      <c r="AM3238">
        <v>90.230877727398607</v>
      </c>
      <c r="AN3238">
        <v>0.999999994578747</v>
      </c>
    </row>
    <row r="3239" spans="1:40" x14ac:dyDescent="0.25">
      <c r="A3239" t="str">
        <f>"20190303161938855"</f>
        <v>20190303161938855</v>
      </c>
      <c r="B3239" t="str">
        <f>"1551601178846371"</f>
        <v>1551601178846371</v>
      </c>
      <c r="C3239" t="s">
        <v>40</v>
      </c>
      <c r="D3239">
        <v>4.1636550000000003</v>
      </c>
      <c r="E3239">
        <v>0.50446809999999997</v>
      </c>
      <c r="F3239" t="s">
        <v>58</v>
      </c>
      <c r="G3239">
        <v>0</v>
      </c>
      <c r="H3239">
        <v>0</v>
      </c>
      <c r="I3239">
        <v>0</v>
      </c>
      <c r="J3239">
        <v>-287.05180000000001</v>
      </c>
      <c r="K3239">
        <v>1.1210169999999999</v>
      </c>
      <c r="L3239">
        <v>283.70999999999998</v>
      </c>
      <c r="M3239">
        <v>-0.9999458</v>
      </c>
      <c r="N3239">
        <v>-8.7666700000000007E-3</v>
      </c>
      <c r="O3239">
        <v>5.6506730000000002E-3</v>
      </c>
      <c r="P3239">
        <v>-0.98640620000000001</v>
      </c>
      <c r="Q3239">
        <v>0.1643211</v>
      </c>
      <c r="R3239">
        <v>1.29411E-3</v>
      </c>
      <c r="S3239">
        <v>-3.0408629999999999</v>
      </c>
      <c r="T3239">
        <v>3.2343860000000001E-3</v>
      </c>
      <c r="U3239">
        <v>3.5736080000000003E-2</v>
      </c>
      <c r="V3239">
        <v>-4.2736329999999998E-3</v>
      </c>
      <c r="W3239">
        <v>0.1729628</v>
      </c>
      <c r="X3239">
        <v>0.98491910000000005</v>
      </c>
      <c r="Y3239">
        <v>6.1007559999999997E-3</v>
      </c>
      <c r="Z3239" s="1">
        <v>7.9045949999999998E-5</v>
      </c>
      <c r="AA3239">
        <v>0.99998140000000002</v>
      </c>
      <c r="AB3239">
        <v>27</v>
      </c>
      <c r="AC3239">
        <v>-3.0408629999999999</v>
      </c>
      <c r="AD3239">
        <v>3.2343860000000001E-3</v>
      </c>
      <c r="AE3239">
        <v>3.5736080000000003E-2</v>
      </c>
      <c r="AF3239">
        <v>1.85519089865748E-2</v>
      </c>
      <c r="AG3239">
        <v>3.2343860000000001E-3</v>
      </c>
      <c r="AH3239">
        <v>3.0410129490657498</v>
      </c>
      <c r="AI3239">
        <v>89.939062032295595</v>
      </c>
      <c r="AJ3239">
        <v>89.650467486194401</v>
      </c>
      <c r="AK3239">
        <v>3.0410712571338099</v>
      </c>
      <c r="AL3239">
        <v>80.039872735210096</v>
      </c>
      <c r="AM3239">
        <v>90.248608842487798</v>
      </c>
      <c r="AN3239">
        <v>1.0000000138338301</v>
      </c>
    </row>
    <row r="3240" spans="1:40" x14ac:dyDescent="0.25">
      <c r="A3240" t="str">
        <f>"20190303161938867"</f>
        <v>20190303161938867</v>
      </c>
      <c r="B3240" t="str">
        <f>"1551601178856128"</f>
        <v>1551601178856128</v>
      </c>
      <c r="C3240" t="s">
        <v>40</v>
      </c>
      <c r="D3240">
        <v>4.0853859999999997</v>
      </c>
      <c r="E3240">
        <v>0.50452059999999999</v>
      </c>
      <c r="F3240" t="s">
        <v>58</v>
      </c>
      <c r="G3240">
        <v>0</v>
      </c>
      <c r="H3240">
        <v>0</v>
      </c>
      <c r="I3240">
        <v>0</v>
      </c>
      <c r="J3240">
        <v>-287.2063</v>
      </c>
      <c r="K3240">
        <v>1.1210310000000001</v>
      </c>
      <c r="L3240">
        <v>283.71080000000001</v>
      </c>
      <c r="M3240">
        <v>-0.99994499999999997</v>
      </c>
      <c r="N3240">
        <v>-8.8421609999999994E-3</v>
      </c>
      <c r="O3240">
        <v>5.6505189999999997E-3</v>
      </c>
      <c r="P3240">
        <v>-0.98642149999999995</v>
      </c>
      <c r="Q3240">
        <v>0.16423099999999999</v>
      </c>
      <c r="R3240">
        <v>1.1275829999999999E-3</v>
      </c>
      <c r="S3240">
        <v>-3.0415040000000002</v>
      </c>
      <c r="T3240">
        <v>-1.199484E-3</v>
      </c>
      <c r="U3240">
        <v>3.8513180000000001E-2</v>
      </c>
      <c r="V3240">
        <v>-4.4399009999999996E-3</v>
      </c>
      <c r="W3240">
        <v>0.17294679999999901</v>
      </c>
      <c r="X3240">
        <v>0.98492120000000005</v>
      </c>
      <c r="Y3240">
        <v>7.0112319999999896E-3</v>
      </c>
      <c r="Z3240" s="1">
        <v>8.0115709999999997E-5</v>
      </c>
      <c r="AA3240">
        <v>0.99997539999999996</v>
      </c>
      <c r="AB3240">
        <v>27</v>
      </c>
      <c r="AC3240">
        <v>-3.0415040000000002</v>
      </c>
      <c r="AD3240">
        <v>-1.199484E-3</v>
      </c>
      <c r="AE3240">
        <v>3.8513180000000001E-2</v>
      </c>
      <c r="AF3240">
        <v>2.1325814773002699E-2</v>
      </c>
      <c r="AG3240">
        <v>-1.199484E-3</v>
      </c>
      <c r="AH3240">
        <v>3.04167259565373</v>
      </c>
      <c r="AI3240">
        <v>90.022594041916705</v>
      </c>
      <c r="AJ3240">
        <v>89.5982936617972</v>
      </c>
      <c r="AK3240">
        <v>3.0417475911535599</v>
      </c>
      <c r="AL3240">
        <v>80.040803750441398</v>
      </c>
      <c r="AM3240">
        <v>90.258280424511099</v>
      </c>
      <c r="AN3240">
        <v>1.0000000392802799</v>
      </c>
    </row>
    <row r="3241" spans="1:40" x14ac:dyDescent="0.25">
      <c r="A3241" t="str">
        <f>"20190303161938879"</f>
        <v>20190303161938879</v>
      </c>
      <c r="B3241" t="str">
        <f>"1551601178865887"</f>
        <v>1551601178865887</v>
      </c>
      <c r="C3241" t="s">
        <v>40</v>
      </c>
      <c r="D3241">
        <v>4.0308769999999896</v>
      </c>
      <c r="E3241">
        <v>0.5045655</v>
      </c>
      <c r="F3241" t="s">
        <v>58</v>
      </c>
      <c r="G3241">
        <v>0</v>
      </c>
      <c r="H3241">
        <v>0</v>
      </c>
      <c r="I3241">
        <v>0</v>
      </c>
      <c r="J3241">
        <v>-287.3553</v>
      </c>
      <c r="K3241">
        <v>1.1210439999999999</v>
      </c>
      <c r="L3241">
        <v>283.71170000000001</v>
      </c>
      <c r="M3241">
        <v>-0.99994430000000001</v>
      </c>
      <c r="N3241">
        <v>-8.9205389999999999E-3</v>
      </c>
      <c r="O3241">
        <v>5.6504679999999996E-3</v>
      </c>
      <c r="P3241">
        <v>-0.98643820000000004</v>
      </c>
      <c r="Q3241">
        <v>0.164131</v>
      </c>
      <c r="R3241">
        <v>9.056763E-4</v>
      </c>
      <c r="S3241">
        <v>-3.0408330000000001</v>
      </c>
      <c r="T3241">
        <v>2.5033949999999998E-3</v>
      </c>
      <c r="U3241">
        <v>3.8452149999999997E-2</v>
      </c>
      <c r="V3241">
        <v>-4.6620630000000001E-3</v>
      </c>
      <c r="W3241">
        <v>0.1729243</v>
      </c>
      <c r="X3241">
        <v>0.98492409999999997</v>
      </c>
      <c r="Y3241">
        <v>6.9941079999999997E-3</v>
      </c>
      <c r="Z3241" s="1">
        <v>8.3374879999999999E-5</v>
      </c>
      <c r="AA3241">
        <v>0.99997559999999996</v>
      </c>
      <c r="AB3241">
        <v>27</v>
      </c>
      <c r="AC3241">
        <v>-3.0408330000000001</v>
      </c>
      <c r="AD3241">
        <v>2.5033949999999998E-3</v>
      </c>
      <c r="AE3241">
        <v>3.8452149999999997E-2</v>
      </c>
      <c r="AF3241">
        <v>2.1268709362755302E-2</v>
      </c>
      <c r="AG3241">
        <v>2.5033949999999998E-3</v>
      </c>
      <c r="AH3241">
        <v>3.0409996727672199</v>
      </c>
      <c r="AI3241">
        <v>89.952834448200605</v>
      </c>
      <c r="AJ3241">
        <v>89.599280649735405</v>
      </c>
      <c r="AK3241">
        <v>3.0410750787763901</v>
      </c>
      <c r="AL3241">
        <v>80.042112387473097</v>
      </c>
      <c r="AM3241">
        <v>90.271203170689901</v>
      </c>
      <c r="AN3241">
        <v>1.00000001556135</v>
      </c>
    </row>
    <row r="3242" spans="1:40" x14ac:dyDescent="0.25">
      <c r="A3242" t="str">
        <f>"20190303161938901"</f>
        <v>20190303161938901</v>
      </c>
      <c r="B3242" t="str">
        <f>"1551601178896144"</f>
        <v>1551601178896144</v>
      </c>
      <c r="C3242" t="s">
        <v>40</v>
      </c>
      <c r="D3242">
        <v>3.9947870000000001</v>
      </c>
      <c r="E3242">
        <v>0.50469209999999998</v>
      </c>
      <c r="F3242" t="s">
        <v>58</v>
      </c>
      <c r="G3242">
        <v>0</v>
      </c>
      <c r="H3242">
        <v>0</v>
      </c>
      <c r="I3242">
        <v>0</v>
      </c>
      <c r="J3242">
        <v>-287.59640000000002</v>
      </c>
      <c r="K3242">
        <v>1.1210629999999999</v>
      </c>
      <c r="L3242">
        <v>283.71300000000002</v>
      </c>
      <c r="M3242">
        <v>-0.99994309999999997</v>
      </c>
      <c r="N3242">
        <v>-9.0546759999999994E-3</v>
      </c>
      <c r="O3242">
        <v>5.6502219999999999E-3</v>
      </c>
      <c r="P3242">
        <v>-0.98653769999999996</v>
      </c>
      <c r="Q3242">
        <v>0.1635345</v>
      </c>
      <c r="R3242">
        <v>6.4292500000000003E-4</v>
      </c>
      <c r="S3242">
        <v>-3.040527</v>
      </c>
      <c r="T3242">
        <v>4.1671989999999999E-3</v>
      </c>
      <c r="U3242">
        <v>3.8177490000000001E-2</v>
      </c>
      <c r="V3242">
        <v>-4.9250020000000004E-3</v>
      </c>
      <c r="W3242">
        <v>0.17246069999999999</v>
      </c>
      <c r="X3242">
        <v>0.98500410000000005</v>
      </c>
      <c r="Y3242">
        <v>6.9053519999999896E-3</v>
      </c>
      <c r="Z3242" s="1">
        <v>8.5436699999999995E-5</v>
      </c>
      <c r="AA3242">
        <v>0.99997619999999998</v>
      </c>
      <c r="AB3242">
        <v>27</v>
      </c>
      <c r="AC3242">
        <v>-3.040527</v>
      </c>
      <c r="AD3242">
        <v>4.1671989999999999E-3</v>
      </c>
      <c r="AE3242">
        <v>3.8177490000000001E-2</v>
      </c>
      <c r="AF3242">
        <v>2.0996485248743701E-2</v>
      </c>
      <c r="AG3242">
        <v>4.1671989999999999E-3</v>
      </c>
      <c r="AH3242">
        <v>3.0406884705740098</v>
      </c>
      <c r="AI3242">
        <v>89.9214792716011</v>
      </c>
      <c r="AJ3242">
        <v>89.604368918047697</v>
      </c>
      <c r="AK3242">
        <v>3.0407638173692502</v>
      </c>
      <c r="AL3242">
        <v>80.069079848826902</v>
      </c>
      <c r="AM3242">
        <v>90.286475434194799</v>
      </c>
      <c r="AN3242">
        <v>1.000000012853</v>
      </c>
    </row>
    <row r="3243" spans="1:40" x14ac:dyDescent="0.25">
      <c r="A3243" t="str">
        <f>"20190303161938913"</f>
        <v>20190303161938913</v>
      </c>
      <c r="B3243" t="str">
        <f>"1551601178905904"</f>
        <v>1551601178905904</v>
      </c>
      <c r="C3243" t="s">
        <v>40</v>
      </c>
      <c r="D3243">
        <v>3.973255</v>
      </c>
      <c r="E3243">
        <v>0.50482269999999996</v>
      </c>
      <c r="F3243" t="s">
        <v>58</v>
      </c>
      <c r="G3243">
        <v>0</v>
      </c>
      <c r="H3243">
        <v>0</v>
      </c>
      <c r="I3243">
        <v>0</v>
      </c>
      <c r="J3243">
        <v>-287.76089999999999</v>
      </c>
      <c r="K3243">
        <v>1.1210770000000001</v>
      </c>
      <c r="L3243">
        <v>283.714</v>
      </c>
      <c r="M3243">
        <v>-0.9999422</v>
      </c>
      <c r="N3243">
        <v>-9.1510010000000006E-3</v>
      </c>
      <c r="O3243">
        <v>5.6499619999999997E-3</v>
      </c>
      <c r="P3243">
        <v>-0.98658109999999999</v>
      </c>
      <c r="Q3243">
        <v>0.16327239999999901</v>
      </c>
      <c r="R3243">
        <v>2.75488E-4</v>
      </c>
      <c r="S3243">
        <v>-3.0394899999999998</v>
      </c>
      <c r="T3243">
        <v>8.6210969999999994E-3</v>
      </c>
      <c r="U3243">
        <v>3.8452149999999997E-2</v>
      </c>
      <c r="V3243">
        <v>-5.2924540000000003E-3</v>
      </c>
      <c r="W3243">
        <v>0.17229349999999999</v>
      </c>
      <c r="X3243">
        <v>0.9850314</v>
      </c>
      <c r="Y3243">
        <v>7.0003670000000004E-3</v>
      </c>
      <c r="Z3243" s="1">
        <v>8.9831109999999995E-5</v>
      </c>
      <c r="AA3243">
        <v>0.99997550000000002</v>
      </c>
      <c r="AB3243">
        <v>27</v>
      </c>
      <c r="AC3243">
        <v>-3.0394899999999998</v>
      </c>
      <c r="AD3243">
        <v>8.6210969999999994E-3</v>
      </c>
      <c r="AE3243">
        <v>3.8452149999999997E-2</v>
      </c>
      <c r="AF3243">
        <v>2.1277643540871902E-2</v>
      </c>
      <c r="AG3243">
        <v>8.6210969999999994E-3</v>
      </c>
      <c r="AH3243">
        <v>3.0396342946136499</v>
      </c>
      <c r="AI3243">
        <v>89.837500502035098</v>
      </c>
      <c r="AJ3243">
        <v>89.598932258738799</v>
      </c>
      <c r="AK3243">
        <v>3.03972099154175</v>
      </c>
      <c r="AL3243">
        <v>80.078804749059202</v>
      </c>
      <c r="AM3243">
        <v>90.3078402978865</v>
      </c>
      <c r="AN3243">
        <v>0.99999995959877497</v>
      </c>
    </row>
    <row r="3244" spans="1:40" x14ac:dyDescent="0.25">
      <c r="A3244" t="str">
        <f>"20190303161938926"</f>
        <v>20190303161938926</v>
      </c>
      <c r="B3244" t="str">
        <f>"1551601178915664"</f>
        <v>1551601178915664</v>
      </c>
      <c r="C3244" t="s">
        <v>40</v>
      </c>
      <c r="D3244">
        <v>3.9264049999999999</v>
      </c>
      <c r="E3244">
        <v>0.50481999999999905</v>
      </c>
      <c r="F3244" t="s">
        <v>58</v>
      </c>
      <c r="G3244">
        <v>0</v>
      </c>
      <c r="H3244">
        <v>0</v>
      </c>
      <c r="I3244">
        <v>0</v>
      </c>
      <c r="J3244">
        <v>-287.90140000000002</v>
      </c>
      <c r="K3244">
        <v>1.121086</v>
      </c>
      <c r="L3244">
        <v>283.71480000000003</v>
      </c>
      <c r="M3244">
        <v>-0.99994150000000004</v>
      </c>
      <c r="N3244">
        <v>-9.2347869999999995E-3</v>
      </c>
      <c r="O3244">
        <v>5.6497550000000002E-3</v>
      </c>
      <c r="P3244">
        <v>-0.98658179999999995</v>
      </c>
      <c r="Q3244">
        <v>0.16326830000000001</v>
      </c>
      <c r="R3244">
        <v>-1.9544079999999999E-4</v>
      </c>
      <c r="S3244">
        <v>-3.0392459999999999</v>
      </c>
      <c r="T3244">
        <v>9.3176360000000007E-3</v>
      </c>
      <c r="U3244">
        <v>3.8421629999999998E-2</v>
      </c>
      <c r="V3244">
        <v>-5.763481E-3</v>
      </c>
      <c r="W3244">
        <v>0.17237239999999901</v>
      </c>
      <c r="X3244">
        <v>0.98501499999999997</v>
      </c>
      <c r="Y3244">
        <v>6.9915699999999999E-3</v>
      </c>
      <c r="Z3244" s="1">
        <v>9.1061200000000002E-5</v>
      </c>
      <c r="AA3244">
        <v>0.99997559999999996</v>
      </c>
      <c r="AB3244">
        <v>27</v>
      </c>
      <c r="AC3244">
        <v>-3.0392459999999999</v>
      </c>
      <c r="AD3244">
        <v>9.3176360000000007E-3</v>
      </c>
      <c r="AE3244">
        <v>3.8421629999999998E-2</v>
      </c>
      <c r="AF3244">
        <v>2.1249091293038501E-2</v>
      </c>
      <c r="AG3244">
        <v>9.3176360000000007E-3</v>
      </c>
      <c r="AH3244">
        <v>3.0393860090573201</v>
      </c>
      <c r="AI3244">
        <v>89.824357124257602</v>
      </c>
      <c r="AJ3244">
        <v>89.599437711864695</v>
      </c>
      <c r="AK3244">
        <v>3.0394745687823699</v>
      </c>
      <c r="AL3244">
        <v>80.074215916590006</v>
      </c>
      <c r="AM3244">
        <v>90.335242984285401</v>
      </c>
      <c r="AN3244">
        <v>1.0000000061099901</v>
      </c>
    </row>
    <row r="3245" spans="1:40" x14ac:dyDescent="0.25">
      <c r="A3245" t="str">
        <f>"20190303161938938"</f>
        <v>20190303161938938</v>
      </c>
      <c r="B3245" t="str">
        <f>"1551601178925424"</f>
        <v>1551601178925424</v>
      </c>
      <c r="C3245" t="s">
        <v>40</v>
      </c>
      <c r="D3245">
        <v>3.9488120000000002</v>
      </c>
      <c r="E3245">
        <v>0.50486809999999904</v>
      </c>
      <c r="F3245" t="s">
        <v>58</v>
      </c>
      <c r="G3245">
        <v>0</v>
      </c>
      <c r="H3245">
        <v>0</v>
      </c>
      <c r="I3245">
        <v>0</v>
      </c>
      <c r="J3245">
        <v>-288.04969999999997</v>
      </c>
      <c r="K3245">
        <v>1.1210960000000001</v>
      </c>
      <c r="L3245">
        <v>283.71559999999999</v>
      </c>
      <c r="M3245">
        <v>-0.99994059999999996</v>
      </c>
      <c r="N3245">
        <v>-9.3236489999999998E-3</v>
      </c>
      <c r="O3245">
        <v>5.6495209999999898E-3</v>
      </c>
      <c r="P3245">
        <v>-0.98663069999999997</v>
      </c>
      <c r="Q3245">
        <v>0.16297249999999999</v>
      </c>
      <c r="R3245">
        <v>-6.0420020000000001E-4</v>
      </c>
      <c r="S3245">
        <v>-3.0388790000000001</v>
      </c>
      <c r="T3245">
        <v>1.1418940000000001E-2</v>
      </c>
      <c r="U3245">
        <v>3.701782E-2</v>
      </c>
      <c r="V3245">
        <v>-6.1718709999999998E-3</v>
      </c>
      <c r="W3245">
        <v>0.17216479999999901</v>
      </c>
      <c r="X3245">
        <v>0.98504879999999995</v>
      </c>
      <c r="Y3245">
        <v>6.5315140000000004E-3</v>
      </c>
      <c r="Z3245" s="1">
        <v>9.2080389999999999E-5</v>
      </c>
      <c r="AA3245">
        <v>0.9999787</v>
      </c>
      <c r="AB3245">
        <v>27</v>
      </c>
      <c r="AC3245">
        <v>-3.0388790000000001</v>
      </c>
      <c r="AD3245">
        <v>1.1418940000000001E-2</v>
      </c>
      <c r="AE3245">
        <v>3.701782E-2</v>
      </c>
      <c r="AF3245">
        <v>1.9847992430445799E-2</v>
      </c>
      <c r="AG3245">
        <v>1.1418940000000001E-2</v>
      </c>
      <c r="AH3245">
        <v>3.0389967380660199</v>
      </c>
      <c r="AI3245">
        <v>89.784718414412694</v>
      </c>
      <c r="AJ3245">
        <v>89.625800839151196</v>
      </c>
      <c r="AK3245">
        <v>3.0390830046200099</v>
      </c>
      <c r="AL3245">
        <v>80.086290725466995</v>
      </c>
      <c r="AM3245">
        <v>90.358984786048097</v>
      </c>
      <c r="AN3245">
        <v>0.99999997436606003</v>
      </c>
    </row>
    <row r="3246" spans="1:40" x14ac:dyDescent="0.25">
      <c r="A3246" t="str">
        <f>"20190303161938950"</f>
        <v>20190303161938950</v>
      </c>
      <c r="B3246" t="str">
        <f>"1551601178936160"</f>
        <v>1551601178936160</v>
      </c>
      <c r="C3246" t="s">
        <v>40</v>
      </c>
      <c r="D3246">
        <v>3.9115229999999999</v>
      </c>
      <c r="E3246">
        <v>0.50506249999999997</v>
      </c>
      <c r="F3246" t="s">
        <v>58</v>
      </c>
      <c r="G3246">
        <v>0</v>
      </c>
      <c r="H3246">
        <v>0</v>
      </c>
      <c r="I3246">
        <v>0</v>
      </c>
      <c r="J3246">
        <v>-288.19119999999998</v>
      </c>
      <c r="K3246">
        <v>1.121105</v>
      </c>
      <c r="L3246">
        <v>283.71640000000002</v>
      </c>
      <c r="M3246">
        <v>-0.99993989999999999</v>
      </c>
      <c r="N3246">
        <v>-9.4069219999999999E-3</v>
      </c>
      <c r="O3246">
        <v>5.6492490000000003E-3</v>
      </c>
      <c r="P3246">
        <v>-0.98661379999999999</v>
      </c>
      <c r="Q3246">
        <v>0.16307269999999999</v>
      </c>
      <c r="R3246">
        <v>-9.3827910000000001E-4</v>
      </c>
      <c r="S3246">
        <v>-3.0390009999999998</v>
      </c>
      <c r="T3246">
        <v>1.0049819999999999E-2</v>
      </c>
      <c r="U3246">
        <v>3.6376949999999998E-2</v>
      </c>
      <c r="V3246">
        <v>-6.5056230000000003E-3</v>
      </c>
      <c r="W3246">
        <v>0.17234659999999999</v>
      </c>
      <c r="X3246">
        <v>0.98501490000000003</v>
      </c>
      <c r="Y3246">
        <v>6.3204150000000002E-3</v>
      </c>
      <c r="Z3246" s="1">
        <v>9.1101409999999996E-5</v>
      </c>
      <c r="AA3246">
        <v>0.99997999999999998</v>
      </c>
      <c r="AB3246">
        <v>27</v>
      </c>
      <c r="AC3246">
        <v>-3.0390009999999998</v>
      </c>
      <c r="AD3246">
        <v>1.0049819999999999E-2</v>
      </c>
      <c r="AE3246">
        <v>3.6376949999999998E-2</v>
      </c>
      <c r="AF3246">
        <v>1.9207328227805898E-2</v>
      </c>
      <c r="AG3246">
        <v>1.0049819999999999E-2</v>
      </c>
      <c r="AH3246">
        <v>3.03912478266089</v>
      </c>
      <c r="AI3246">
        <v>89.810537995654897</v>
      </c>
      <c r="AJ3246">
        <v>89.637894370929999</v>
      </c>
      <c r="AK3246">
        <v>3.0392020934652</v>
      </c>
      <c r="AL3246">
        <v>80.075716680356194</v>
      </c>
      <c r="AM3246">
        <v>90.3784098305062</v>
      </c>
      <c r="AN3246">
        <v>1.0000000134420901</v>
      </c>
    </row>
    <row r="3247" spans="1:40" x14ac:dyDescent="0.25">
      <c r="A3247" t="str">
        <f>"20190303161938967"</f>
        <v>20190303161938967</v>
      </c>
      <c r="B3247" t="str">
        <f>"1551601178955679"</f>
        <v>1551601178955679</v>
      </c>
      <c r="C3247" t="s">
        <v>40</v>
      </c>
      <c r="D3247">
        <v>3.8983970000000001</v>
      </c>
      <c r="E3247">
        <v>0.50524399999999903</v>
      </c>
      <c r="F3247" t="s">
        <v>58</v>
      </c>
      <c r="G3247">
        <v>0</v>
      </c>
      <c r="H3247">
        <v>0</v>
      </c>
      <c r="I3247">
        <v>0</v>
      </c>
      <c r="J3247">
        <v>-288.39089999999999</v>
      </c>
      <c r="K3247">
        <v>1.1211120000000001</v>
      </c>
      <c r="L3247">
        <v>283.71749999999997</v>
      </c>
      <c r="M3247">
        <v>-0.99993880000000002</v>
      </c>
      <c r="N3247">
        <v>-9.5210079999999992E-3</v>
      </c>
      <c r="O3247">
        <v>5.6490660000000003E-3</v>
      </c>
      <c r="P3247">
        <v>-0.98666770000000004</v>
      </c>
      <c r="Q3247">
        <v>0.16274169999999999</v>
      </c>
      <c r="R3247">
        <v>-1.427624E-3</v>
      </c>
      <c r="S3247">
        <v>-3.0388790000000001</v>
      </c>
      <c r="T3247">
        <v>1.123738E-2</v>
      </c>
      <c r="U3247">
        <v>3.7048339999999999E-2</v>
      </c>
      <c r="V3247">
        <v>-6.9957810000000004E-3</v>
      </c>
      <c r="W3247">
        <v>0.1721287</v>
      </c>
      <c r="X3247">
        <v>0.98504970000000003</v>
      </c>
      <c r="Y3247">
        <v>6.5420110000000004E-3</v>
      </c>
      <c r="Z3247" s="1">
        <v>9.3722130000000004E-5</v>
      </c>
      <c r="AA3247">
        <v>0.99997860000000005</v>
      </c>
      <c r="AB3247">
        <v>27</v>
      </c>
      <c r="AC3247">
        <v>-3.0388790000000001</v>
      </c>
      <c r="AD3247">
        <v>1.123738E-2</v>
      </c>
      <c r="AE3247">
        <v>3.7048339999999999E-2</v>
      </c>
      <c r="AF3247">
        <v>1.9879872243640899E-2</v>
      </c>
      <c r="AG3247">
        <v>1.123738E-2</v>
      </c>
      <c r="AH3247">
        <v>3.0389982551127299</v>
      </c>
      <c r="AI3247">
        <v>89.788141458844606</v>
      </c>
      <c r="AJ3247">
        <v>89.625200005291504</v>
      </c>
      <c r="AK3247">
        <v>3.03908405323181</v>
      </c>
      <c r="AL3247">
        <v>80.088391415671097</v>
      </c>
      <c r="AM3247">
        <v>90.406905343891594</v>
      </c>
      <c r="AN3247">
        <v>1.0000000708927801</v>
      </c>
    </row>
    <row r="3248" spans="1:40" x14ac:dyDescent="0.25">
      <c r="A3248" t="str">
        <f>"20190303161938989"</f>
        <v>20190303161938989</v>
      </c>
      <c r="B3248" t="str">
        <f>"1551601178976176"</f>
        <v>1551601178976176</v>
      </c>
      <c r="C3248" t="s">
        <v>40</v>
      </c>
      <c r="D3248">
        <v>3.900023</v>
      </c>
      <c r="E3248">
        <v>0.50545859999999998</v>
      </c>
      <c r="F3248" t="s">
        <v>58</v>
      </c>
      <c r="G3248">
        <v>0</v>
      </c>
      <c r="H3248">
        <v>0</v>
      </c>
      <c r="I3248">
        <v>0</v>
      </c>
      <c r="J3248">
        <v>-288.67110000000002</v>
      </c>
      <c r="K3248">
        <v>1.1211249999999999</v>
      </c>
      <c r="L3248">
        <v>283.71910000000003</v>
      </c>
      <c r="M3248">
        <v>-0.99993739999999998</v>
      </c>
      <c r="N3248">
        <v>-9.6691269999999996E-3</v>
      </c>
      <c r="O3248">
        <v>5.6490100000000003E-3</v>
      </c>
      <c r="P3248">
        <v>-0.98676039999999998</v>
      </c>
      <c r="Q3248">
        <v>0.16217879999999901</v>
      </c>
      <c r="R3248">
        <v>-1.4406099999999999E-3</v>
      </c>
      <c r="S3248">
        <v>-3.038605</v>
      </c>
      <c r="T3248">
        <v>1.225805E-2</v>
      </c>
      <c r="U3248">
        <v>3.6895749999999998E-2</v>
      </c>
      <c r="V3248">
        <v>-7.0085099999999999E-3</v>
      </c>
      <c r="W3248">
        <v>0.17171249999999999</v>
      </c>
      <c r="X3248">
        <v>0.98512219999999995</v>
      </c>
      <c r="Y3248">
        <v>6.4929920000000004E-3</v>
      </c>
      <c r="Z3248" s="1">
        <v>9.5703990000000003E-5</v>
      </c>
      <c r="AA3248">
        <v>0.9999789</v>
      </c>
      <c r="AB3248">
        <v>27</v>
      </c>
      <c r="AC3248">
        <v>-3.038605</v>
      </c>
      <c r="AD3248">
        <v>1.225805E-2</v>
      </c>
      <c r="AE3248">
        <v>3.6895749999999998E-2</v>
      </c>
      <c r="AF3248">
        <v>1.9728929514487899E-2</v>
      </c>
      <c r="AG3248">
        <v>1.225805E-2</v>
      </c>
      <c r="AH3248">
        <v>3.0387155015710801</v>
      </c>
      <c r="AI3248">
        <v>89.768877370030694</v>
      </c>
      <c r="AJ3248">
        <v>89.628011074964604</v>
      </c>
      <c r="AK3248">
        <v>3.03880426976434</v>
      </c>
      <c r="AL3248">
        <v>80.112597884728999</v>
      </c>
      <c r="AM3248">
        <v>90.407615693822706</v>
      </c>
      <c r="AN3248">
        <v>1.0000000254007499</v>
      </c>
    </row>
    <row r="3249" spans="1:40" x14ac:dyDescent="0.25">
      <c r="A3249" t="str">
        <f>"20190303161939004"</f>
        <v>20190303161939004</v>
      </c>
      <c r="B3249" t="str">
        <f>"1551601178995696"</f>
        <v>1551601178995696</v>
      </c>
      <c r="C3249" t="s">
        <v>40</v>
      </c>
      <c r="D3249">
        <v>3.8650899999999999</v>
      </c>
      <c r="E3249">
        <v>0.5056775</v>
      </c>
      <c r="F3249" t="s">
        <v>58</v>
      </c>
      <c r="G3249">
        <v>0</v>
      </c>
      <c r="H3249">
        <v>0</v>
      </c>
      <c r="I3249">
        <v>0</v>
      </c>
      <c r="J3249">
        <v>-288.83960000000002</v>
      </c>
      <c r="K3249">
        <v>1.121138</v>
      </c>
      <c r="L3249">
        <v>283.72000000000003</v>
      </c>
      <c r="M3249">
        <v>-0.99993650000000001</v>
      </c>
      <c r="N3249">
        <v>-9.7525990000000007E-3</v>
      </c>
      <c r="O3249">
        <v>5.6487819999999998E-3</v>
      </c>
      <c r="P3249">
        <v>-0.98680540000000005</v>
      </c>
      <c r="Q3249">
        <v>0.1619062</v>
      </c>
      <c r="R3249">
        <v>-1.362222E-3</v>
      </c>
      <c r="S3249">
        <v>-3.0384220000000002</v>
      </c>
      <c r="T3249">
        <v>1.142907E-2</v>
      </c>
      <c r="U3249">
        <v>3.8543699999999903E-2</v>
      </c>
      <c r="V3249">
        <v>-6.9302959999999999E-3</v>
      </c>
      <c r="W3249">
        <v>0.17152220000000001</v>
      </c>
      <c r="X3249">
        <v>0.98515589999999997</v>
      </c>
      <c r="Y3249">
        <v>7.0362109999999997E-3</v>
      </c>
      <c r="Z3249" s="1">
        <v>9.7416040000000007E-5</v>
      </c>
      <c r="AA3249">
        <v>0.99997530000000001</v>
      </c>
      <c r="AB3249">
        <v>27</v>
      </c>
      <c r="AC3249">
        <v>-3.0384220000000002</v>
      </c>
      <c r="AD3249">
        <v>1.142907E-2</v>
      </c>
      <c r="AE3249">
        <v>3.8543699999999903E-2</v>
      </c>
      <c r="AF3249">
        <v>2.1378582989902299E-2</v>
      </c>
      <c r="AG3249">
        <v>1.142907E-2</v>
      </c>
      <c r="AH3249">
        <v>3.0385482687205201</v>
      </c>
      <c r="AI3249">
        <v>89.784496370784495</v>
      </c>
      <c r="AJ3249">
        <v>89.596885664558499</v>
      </c>
      <c r="AK3249">
        <v>3.0386449691920498</v>
      </c>
      <c r="AL3249">
        <v>80.123665426653304</v>
      </c>
      <c r="AM3249">
        <v>90.403053122544193</v>
      </c>
      <c r="AN3249">
        <v>1.00000002070014</v>
      </c>
    </row>
    <row r="3250" spans="1:40" x14ac:dyDescent="0.25">
      <c r="A3250" t="str">
        <f>"20190303161939024"</f>
        <v>20190303161939024</v>
      </c>
      <c r="B3250" t="str">
        <f>"1551601179016192"</f>
        <v>1551601179016192</v>
      </c>
      <c r="C3250" t="s">
        <v>40</v>
      </c>
      <c r="D3250">
        <v>3.8705769999999999</v>
      </c>
      <c r="E3250">
        <v>0.51347480000000001</v>
      </c>
      <c r="F3250" t="s">
        <v>58</v>
      </c>
      <c r="G3250">
        <v>0</v>
      </c>
      <c r="H3250">
        <v>0</v>
      </c>
      <c r="I3250">
        <v>0</v>
      </c>
      <c r="J3250">
        <v>-289.08069999999998</v>
      </c>
      <c r="K3250">
        <v>1.1211450000000001</v>
      </c>
      <c r="L3250">
        <v>283.72140000000002</v>
      </c>
      <c r="M3250">
        <v>-0.99993540000000003</v>
      </c>
      <c r="N3250">
        <v>-9.8617770000000004E-3</v>
      </c>
      <c r="O3250">
        <v>5.6487819999999998E-3</v>
      </c>
      <c r="P3250">
        <v>-0.98685710000000004</v>
      </c>
      <c r="Q3250">
        <v>0.1615916</v>
      </c>
      <c r="R3250">
        <v>-1.1630360000000001E-3</v>
      </c>
      <c r="S3250">
        <v>-3.0380250000000002</v>
      </c>
      <c r="T3250">
        <v>1.2999180000000001E-2</v>
      </c>
      <c r="U3250">
        <v>4.0466309999999998E-2</v>
      </c>
      <c r="V3250">
        <v>-6.7313629999999998E-3</v>
      </c>
      <c r="W3250">
        <v>0.17131589999999999</v>
      </c>
      <c r="X3250">
        <v>0.98519310000000004</v>
      </c>
      <c r="Y3250">
        <v>7.6706469999999896E-3</v>
      </c>
      <c r="Z3250">
        <v>1.0129009999999999E-4</v>
      </c>
      <c r="AA3250">
        <v>0.99997060000000004</v>
      </c>
      <c r="AB3250">
        <v>27</v>
      </c>
      <c r="AC3250">
        <v>-3.0380250000000002</v>
      </c>
      <c r="AD3250">
        <v>1.2999180000000001E-2</v>
      </c>
      <c r="AE3250">
        <v>4.0466309999999998E-2</v>
      </c>
      <c r="AF3250">
        <v>2.3303261973787799E-2</v>
      </c>
      <c r="AG3250">
        <v>1.2999180000000001E-2</v>
      </c>
      <c r="AH3250">
        <v>3.0381495079685101</v>
      </c>
      <c r="AI3250">
        <v>89.7548600894835</v>
      </c>
      <c r="AJ3250">
        <v>89.560537632011304</v>
      </c>
      <c r="AK3250">
        <v>3.03826668570562</v>
      </c>
      <c r="AL3250">
        <v>80.135662394680097</v>
      </c>
      <c r="AM3250">
        <v>90.391469133137207</v>
      </c>
      <c r="AN3250">
        <v>0.99999994656412705</v>
      </c>
    </row>
    <row r="3251" spans="1:40" x14ac:dyDescent="0.25">
      <c r="A3251" t="str">
        <f>"20190303161939039"</f>
        <v>20190303161939039</v>
      </c>
      <c r="B3251" t="str">
        <f>"1551601179025952"</f>
        <v>1551601179025952</v>
      </c>
      <c r="C3251" t="s">
        <v>40</v>
      </c>
      <c r="D3251">
        <v>3.8118949999999998</v>
      </c>
      <c r="E3251">
        <v>0.51344029999999996</v>
      </c>
      <c r="F3251" t="s">
        <v>58</v>
      </c>
      <c r="G3251">
        <v>0</v>
      </c>
      <c r="H3251">
        <v>0</v>
      </c>
      <c r="I3251">
        <v>0</v>
      </c>
      <c r="J3251">
        <v>-289.25869999999998</v>
      </c>
      <c r="K3251">
        <v>1.1211439999999999</v>
      </c>
      <c r="L3251">
        <v>283.72239999999999</v>
      </c>
      <c r="M3251">
        <v>-0.99993480000000001</v>
      </c>
      <c r="N3251">
        <v>-9.9348260000000008E-3</v>
      </c>
      <c r="O3251">
        <v>5.6485399999999996E-3</v>
      </c>
      <c r="P3251">
        <v>-0.98689720000000003</v>
      </c>
      <c r="Q3251">
        <v>0.1613484</v>
      </c>
      <c r="R3251">
        <v>-8.2334460000000004E-4</v>
      </c>
      <c r="S3251">
        <v>-3.0329899999999999</v>
      </c>
      <c r="T3251">
        <v>4.3095229999999998E-2</v>
      </c>
      <c r="U3251">
        <v>0.1036377</v>
      </c>
      <c r="V3251">
        <v>-6.3919069999999996E-3</v>
      </c>
      <c r="W3251">
        <v>0.17114489999999999</v>
      </c>
      <c r="X3251">
        <v>0.98522509999999996</v>
      </c>
      <c r="Y3251">
        <v>2.850492E-2</v>
      </c>
      <c r="Z3251" s="1">
        <v>7.5529650000000006E-5</v>
      </c>
      <c r="AA3251">
        <v>0.99959370000000003</v>
      </c>
      <c r="AB3251">
        <v>27</v>
      </c>
      <c r="AC3251">
        <v>-3.0329899999999999</v>
      </c>
      <c r="AD3251">
        <v>4.3095229999999998E-2</v>
      </c>
      <c r="AE3251">
        <v>0.1036377</v>
      </c>
      <c r="AF3251">
        <v>8.6485797112885704E-2</v>
      </c>
      <c r="AG3251">
        <v>4.3095229999999998E-2</v>
      </c>
      <c r="AH3251">
        <v>3.0329154365727899</v>
      </c>
      <c r="AI3251">
        <v>89.186259687989306</v>
      </c>
      <c r="AJ3251">
        <v>88.366611664628493</v>
      </c>
      <c r="AK3251">
        <v>3.03445432283179</v>
      </c>
      <c r="AL3251">
        <v>80.1456070311216</v>
      </c>
      <c r="AM3251">
        <v>90.371716226009994</v>
      </c>
      <c r="AN3251">
        <v>0.99999996547055703</v>
      </c>
    </row>
    <row r="3252" spans="1:40" x14ac:dyDescent="0.25">
      <c r="A3252" t="str">
        <f>"20190303161939053"</f>
        <v>20190303161939053</v>
      </c>
      <c r="B3252" t="str">
        <f>"1551601179046449"</f>
        <v>1551601179046449</v>
      </c>
      <c r="C3252" t="s">
        <v>40</v>
      </c>
      <c r="D3252">
        <v>3.8073640000000002</v>
      </c>
      <c r="E3252">
        <v>0.51343479999999997</v>
      </c>
      <c r="F3252" t="s">
        <v>58</v>
      </c>
      <c r="G3252">
        <v>0</v>
      </c>
      <c r="H3252">
        <v>0</v>
      </c>
      <c r="I3252">
        <v>0</v>
      </c>
      <c r="J3252">
        <v>-289.42970000000003</v>
      </c>
      <c r="K3252">
        <v>1.1211469999999999</v>
      </c>
      <c r="L3252">
        <v>283.72329999999999</v>
      </c>
      <c r="M3252">
        <v>-0.99993410000000005</v>
      </c>
      <c r="N3252">
        <v>-1.0000449999999999E-2</v>
      </c>
      <c r="O3252">
        <v>5.6485700000000003E-3</v>
      </c>
      <c r="P3252">
        <v>-0.98695160000000004</v>
      </c>
      <c r="Q3252">
        <v>0.16101750000000001</v>
      </c>
      <c r="R3252">
        <v>-2.7500369999999998E-4</v>
      </c>
      <c r="S3252">
        <v>-3.0320740000000002</v>
      </c>
      <c r="T3252">
        <v>4.7695639999999997E-2</v>
      </c>
      <c r="U3252">
        <v>0.1044006</v>
      </c>
      <c r="V3252">
        <v>-5.8434619999999998E-3</v>
      </c>
      <c r="W3252">
        <v>0.17087949999999999</v>
      </c>
      <c r="X3252">
        <v>0.9852746</v>
      </c>
      <c r="Y3252">
        <v>2.876621E-2</v>
      </c>
      <c r="Z3252" s="1">
        <v>6.3005050000000001E-5</v>
      </c>
      <c r="AA3252">
        <v>0.99958619999999998</v>
      </c>
      <c r="AB3252">
        <v>27</v>
      </c>
      <c r="AC3252">
        <v>-3.0320740000000002</v>
      </c>
      <c r="AD3252">
        <v>4.7695639999999997E-2</v>
      </c>
      <c r="AE3252">
        <v>0.1044006</v>
      </c>
      <c r="AF3252">
        <v>8.7249632730619295E-2</v>
      </c>
      <c r="AG3252">
        <v>4.7695639999999997E-2</v>
      </c>
      <c r="AH3252">
        <v>3.0318660370066501</v>
      </c>
      <c r="AI3252">
        <v>89.099101721531795</v>
      </c>
      <c r="AJ3252">
        <v>88.351623598882099</v>
      </c>
      <c r="AK3252">
        <v>3.0334961741925799</v>
      </c>
      <c r="AL3252">
        <v>80.161040964529704</v>
      </c>
      <c r="AM3252">
        <v>90.339805557664207</v>
      </c>
      <c r="AN3252">
        <v>0.99999999348677704</v>
      </c>
    </row>
    <row r="3253" spans="1:40" x14ac:dyDescent="0.25">
      <c r="A3253" t="str">
        <f>"20190303161939067"</f>
        <v>20190303161939067</v>
      </c>
      <c r="B3253" t="str">
        <f>"1551601179056208"</f>
        <v>1551601179056208</v>
      </c>
      <c r="C3253" t="s">
        <v>40</v>
      </c>
      <c r="D3253">
        <v>3.8048540000000002</v>
      </c>
      <c r="E3253">
        <v>0.51347900000000002</v>
      </c>
      <c r="F3253" t="s">
        <v>60</v>
      </c>
      <c r="G3253">
        <v>-547.6241</v>
      </c>
      <c r="H3253">
        <v>5.7878230000000004</v>
      </c>
      <c r="I3253">
        <v>292.75510000000003</v>
      </c>
      <c r="J3253">
        <v>-289.60520000000002</v>
      </c>
      <c r="K3253">
        <v>1.121148</v>
      </c>
      <c r="L3253">
        <v>283.72430000000003</v>
      </c>
      <c r="M3253">
        <v>-0.99993339999999997</v>
      </c>
      <c r="N3253">
        <v>-1.0063000000000001E-2</v>
      </c>
      <c r="O3253">
        <v>5.6484350000000003E-3</v>
      </c>
      <c r="P3253">
        <v>-0.98696830000000002</v>
      </c>
      <c r="Q3253">
        <v>0.16091469999999999</v>
      </c>
      <c r="R3253" s="1">
        <v>6.7884099999999999E-6</v>
      </c>
      <c r="S3253">
        <v>-3.0307620000000002</v>
      </c>
      <c r="T3253">
        <v>5.4779769999999998E-2</v>
      </c>
      <c r="U3253">
        <v>0.1060181</v>
      </c>
      <c r="V3253">
        <v>-5.5620820000000003E-3</v>
      </c>
      <c r="W3253">
        <v>0.17083860000000001</v>
      </c>
      <c r="X3253">
        <v>0.98528329999999997</v>
      </c>
      <c r="Y3253">
        <v>2.9313579999999999E-2</v>
      </c>
      <c r="Z3253" s="1">
        <v>4.1601999999999999E-5</v>
      </c>
      <c r="AA3253">
        <v>0.99957030000000002</v>
      </c>
      <c r="AB3253">
        <v>27</v>
      </c>
      <c r="AC3253">
        <v>-258.01889999999997</v>
      </c>
      <c r="AD3253">
        <v>4.6666749999999997</v>
      </c>
      <c r="AE3253">
        <v>9.0307999999999993</v>
      </c>
      <c r="AF3253">
        <v>7.5707055920663304</v>
      </c>
      <c r="AG3253">
        <v>4.6666749999999997</v>
      </c>
      <c r="AH3253">
        <v>257.98150737658102</v>
      </c>
      <c r="AI3253">
        <v>88.964124962594497</v>
      </c>
      <c r="AJ3253">
        <v>88.319084849382307</v>
      </c>
      <c r="AK3253">
        <v>258.13475470577498</v>
      </c>
      <c r="AL3253">
        <v>80.163419127542994</v>
      </c>
      <c r="AM3253">
        <v>90.323440414260602</v>
      </c>
      <c r="AN3253">
        <v>0.99999997263251195</v>
      </c>
    </row>
    <row r="3254" spans="1:40" x14ac:dyDescent="0.25">
      <c r="A3254" t="str">
        <f>"20190303161939081"</f>
        <v>20190303161939081</v>
      </c>
      <c r="B3254" t="str">
        <f>"1551601179065969"</f>
        <v>1551601179065969</v>
      </c>
      <c r="C3254" t="s">
        <v>40</v>
      </c>
      <c r="D3254">
        <v>3.807639</v>
      </c>
      <c r="E3254">
        <v>0.5135343</v>
      </c>
      <c r="F3254" t="s">
        <v>60</v>
      </c>
      <c r="G3254">
        <v>-545.13099999999997</v>
      </c>
      <c r="H3254">
        <v>5.6532400000000003</v>
      </c>
      <c r="I3254">
        <v>292.75510000000003</v>
      </c>
      <c r="J3254">
        <v>-289.7688</v>
      </c>
      <c r="K3254">
        <v>1.1211500000000001</v>
      </c>
      <c r="L3254">
        <v>283.72519999999997</v>
      </c>
      <c r="M3254">
        <v>-0.99993310000000002</v>
      </c>
      <c r="N3254">
        <v>-1.0114679999999999E-2</v>
      </c>
      <c r="O3254">
        <v>5.6483530000000001E-3</v>
      </c>
      <c r="P3254">
        <v>-0.98702970000000001</v>
      </c>
      <c r="Q3254">
        <v>0.16053809999999999</v>
      </c>
      <c r="R3254">
        <v>1.44597099999999E-4</v>
      </c>
      <c r="S3254">
        <v>-3.030853</v>
      </c>
      <c r="T3254">
        <v>5.3757190000000003E-2</v>
      </c>
      <c r="U3254">
        <v>0.1071167</v>
      </c>
      <c r="V3254">
        <v>-5.4247360000000003E-3</v>
      </c>
      <c r="W3254">
        <v>0.170514</v>
      </c>
      <c r="X3254">
        <v>0.98534029999999995</v>
      </c>
      <c r="Y3254">
        <v>2.9674550000000001E-2</v>
      </c>
      <c r="Z3254" s="1">
        <v>4.4319459999999999E-5</v>
      </c>
      <c r="AA3254">
        <v>0.99955959999999999</v>
      </c>
      <c r="AB3254">
        <v>27</v>
      </c>
      <c r="AC3254">
        <v>-255.3622</v>
      </c>
      <c r="AD3254">
        <v>4.5320900000000002</v>
      </c>
      <c r="AE3254">
        <v>9.0299000000000493</v>
      </c>
      <c r="AF3254">
        <v>7.5849204833073403</v>
      </c>
      <c r="AG3254">
        <v>4.5320900000000002</v>
      </c>
      <c r="AH3254">
        <v>255.32880950093201</v>
      </c>
      <c r="AI3254">
        <v>88.983554186018694</v>
      </c>
      <c r="AJ3254">
        <v>88.298444411184605</v>
      </c>
      <c r="AK3254">
        <v>255.48164673743099</v>
      </c>
      <c r="AL3254">
        <v>80.182294357451497</v>
      </c>
      <c r="AM3254">
        <v>90.315435527782896</v>
      </c>
      <c r="AN3254">
        <v>0.99999997938037899</v>
      </c>
    </row>
    <row r="3255" spans="1:40" x14ac:dyDescent="0.25">
      <c r="A3255" t="str">
        <f>"20190303161939094"</f>
        <v>20190303161939094</v>
      </c>
      <c r="B3255" t="str">
        <f>"1551601179085488"</f>
        <v>1551601179085488</v>
      </c>
      <c r="C3255" t="s">
        <v>40</v>
      </c>
      <c r="D3255">
        <v>3.804592</v>
      </c>
      <c r="E3255">
        <v>0.51367379999999996</v>
      </c>
      <c r="F3255" t="s">
        <v>60</v>
      </c>
      <c r="G3255">
        <v>-542.37419999999997</v>
      </c>
      <c r="H3255">
        <v>5.5892540000000004</v>
      </c>
      <c r="I3255">
        <v>292.75510000000003</v>
      </c>
      <c r="J3255">
        <v>-289.91950000000003</v>
      </c>
      <c r="K3255">
        <v>1.121148</v>
      </c>
      <c r="L3255">
        <v>283.72609999999997</v>
      </c>
      <c r="M3255">
        <v>-0.99993259999999995</v>
      </c>
      <c r="N3255">
        <v>-1.015521E-2</v>
      </c>
      <c r="O3255">
        <v>5.6481469999999897E-3</v>
      </c>
      <c r="P3255">
        <v>-0.9870198</v>
      </c>
      <c r="Q3255">
        <v>0.16059949999999901</v>
      </c>
      <c r="R3255">
        <v>2.517183E-4</v>
      </c>
      <c r="S3255">
        <v>-3.0306700000000002</v>
      </c>
      <c r="T3255">
        <v>5.3607700000000001E-2</v>
      </c>
      <c r="U3255">
        <v>0.1083374</v>
      </c>
      <c r="V3255">
        <v>-5.3170450000000003E-3</v>
      </c>
      <c r="W3255">
        <v>0.1706145</v>
      </c>
      <c r="X3255">
        <v>0.98532350000000002</v>
      </c>
      <c r="Y3255">
        <v>3.0078980000000002E-2</v>
      </c>
      <c r="Z3255" s="1">
        <v>4.4068120000000001E-5</v>
      </c>
      <c r="AA3255">
        <v>0.99954750000000003</v>
      </c>
      <c r="AB3255">
        <v>27</v>
      </c>
      <c r="AC3255">
        <v>-252.4547</v>
      </c>
      <c r="AD3255">
        <v>4.4681059999999997</v>
      </c>
      <c r="AE3255">
        <v>9.0290000000000497</v>
      </c>
      <c r="AF3255">
        <v>7.6005035884039396</v>
      </c>
      <c r="AG3255">
        <v>4.4681059999999997</v>
      </c>
      <c r="AH3255">
        <v>252.42270405952601</v>
      </c>
      <c r="AI3255">
        <v>88.986379016430604</v>
      </c>
      <c r="AJ3255">
        <v>88.275332457996996</v>
      </c>
      <c r="AK3255">
        <v>252.57662827496</v>
      </c>
      <c r="AL3255">
        <v>80.176450595410898</v>
      </c>
      <c r="AM3255">
        <v>90.309178945807901</v>
      </c>
      <c r="AN3255">
        <v>0.99999998911501597</v>
      </c>
    </row>
    <row r="3256" spans="1:40" x14ac:dyDescent="0.25">
      <c r="A3256" t="str">
        <f>"20190303161939107"</f>
        <v>20190303161939107</v>
      </c>
      <c r="B3256" t="str">
        <f>"1551601179096224"</f>
        <v>1551601179096224</v>
      </c>
      <c r="C3256" t="s">
        <v>40</v>
      </c>
      <c r="D3256">
        <v>3.7741850000000001</v>
      </c>
      <c r="E3256">
        <v>0.51356440000000003</v>
      </c>
      <c r="F3256" t="s">
        <v>60</v>
      </c>
      <c r="G3256">
        <v>-539.5204</v>
      </c>
      <c r="H3256">
        <v>5.7246090000000001</v>
      </c>
      <c r="I3256">
        <v>292.75510000000003</v>
      </c>
      <c r="J3256">
        <v>-290.07729999999998</v>
      </c>
      <c r="K3256">
        <v>1.1211519999999999</v>
      </c>
      <c r="L3256">
        <v>283.72699999999998</v>
      </c>
      <c r="M3256">
        <v>-0.99993209999999999</v>
      </c>
      <c r="N3256">
        <v>-1.019337E-2</v>
      </c>
      <c r="O3256">
        <v>5.648251E-3</v>
      </c>
      <c r="P3256">
        <v>-0.98701839999999996</v>
      </c>
      <c r="Q3256">
        <v>0.16060769999999999</v>
      </c>
      <c r="R3256">
        <v>3.4944570000000001E-4</v>
      </c>
      <c r="S3256">
        <v>-3.0303339999999999</v>
      </c>
      <c r="T3256">
        <v>5.589032E-2</v>
      </c>
      <c r="U3256">
        <v>0.1096191</v>
      </c>
      <c r="V3256">
        <v>-5.2192769999999996E-3</v>
      </c>
      <c r="W3256">
        <v>0.1706606</v>
      </c>
      <c r="X3256">
        <v>0.98531599999999997</v>
      </c>
      <c r="Y3256">
        <v>3.050487E-2</v>
      </c>
      <c r="Z3256" s="1">
        <v>3.6020009999999998E-5</v>
      </c>
      <c r="AA3256">
        <v>0.99953460000000005</v>
      </c>
      <c r="AB3256">
        <v>27</v>
      </c>
      <c r="AC3256">
        <v>-249.44309999999999</v>
      </c>
      <c r="AD3256">
        <v>4.6034569999999997</v>
      </c>
      <c r="AE3256">
        <v>9.0280999999999896</v>
      </c>
      <c r="AF3256">
        <v>7.6163749129812004</v>
      </c>
      <c r="AG3256">
        <v>4.6034569999999997</v>
      </c>
      <c r="AH3256">
        <v>249.40528370987099</v>
      </c>
      <c r="AI3256">
        <v>88.943062286746198</v>
      </c>
      <c r="AJ3256">
        <v>88.250836741250097</v>
      </c>
      <c r="AK3256">
        <v>249.56401288160001</v>
      </c>
      <c r="AL3256">
        <v>80.173769562464003</v>
      </c>
      <c r="AM3256">
        <v>90.303496286803806</v>
      </c>
      <c r="AN3256">
        <v>0.99999995055038005</v>
      </c>
    </row>
    <row r="3257" spans="1:40" x14ac:dyDescent="0.25">
      <c r="A3257" t="str">
        <f>"20190303161939123"</f>
        <v>20190303161939123</v>
      </c>
      <c r="B3257" t="str">
        <f>"1551601179115744"</f>
        <v>1551601179115744</v>
      </c>
      <c r="C3257" t="s">
        <v>40</v>
      </c>
      <c r="D3257">
        <v>3.777145</v>
      </c>
      <c r="E3257">
        <v>0.51372489999999904</v>
      </c>
      <c r="F3257" t="s">
        <v>60</v>
      </c>
      <c r="G3257">
        <v>-541.34659999999997</v>
      </c>
      <c r="H3257">
        <v>5.6739750000000004</v>
      </c>
      <c r="I3257">
        <v>292.75510000000003</v>
      </c>
      <c r="J3257">
        <v>-290.2713</v>
      </c>
      <c r="K3257">
        <v>1.121154</v>
      </c>
      <c r="L3257">
        <v>283.72809999999998</v>
      </c>
      <c r="M3257">
        <v>-0.99993169999999998</v>
      </c>
      <c r="N3257">
        <v>-1.0231530000000001E-2</v>
      </c>
      <c r="O3257">
        <v>5.6480559999999898E-3</v>
      </c>
      <c r="P3257">
        <v>-0.98702129999999999</v>
      </c>
      <c r="Q3257">
        <v>0.16058900000000001</v>
      </c>
      <c r="R3257">
        <v>3.5179449999999898E-4</v>
      </c>
      <c r="S3257">
        <v>-3.0305179999999998</v>
      </c>
      <c r="T3257">
        <v>5.4911849999999998E-2</v>
      </c>
      <c r="U3257">
        <v>0.1088867</v>
      </c>
      <c r="V3257">
        <v>-5.2169109999999899E-3</v>
      </c>
      <c r="W3257">
        <v>0.17067939999999901</v>
      </c>
      <c r="X3257">
        <v>0.98531279999999999</v>
      </c>
      <c r="Y3257">
        <v>3.0261730000000001E-2</v>
      </c>
      <c r="Z3257" s="1">
        <v>4.0878219999999999E-5</v>
      </c>
      <c r="AA3257">
        <v>0.99954200000000004</v>
      </c>
      <c r="AB3257">
        <v>27</v>
      </c>
      <c r="AC3257">
        <v>-251.0753</v>
      </c>
      <c r="AD3257">
        <v>4.5528209999999998</v>
      </c>
      <c r="AE3257">
        <v>9.0270000000000401</v>
      </c>
      <c r="AF3257">
        <v>7.6061965953945396</v>
      </c>
      <c r="AG3257">
        <v>4.5528209999999998</v>
      </c>
      <c r="AH3257">
        <v>251.03984310517899</v>
      </c>
      <c r="AI3257">
        <v>88.961482698038495</v>
      </c>
      <c r="AJ3257">
        <v>88.264539711333697</v>
      </c>
      <c r="AK3257">
        <v>251.19630815754201</v>
      </c>
      <c r="AL3257">
        <v>80.172676791782905</v>
      </c>
      <c r="AM3257">
        <v>90.303359693792402</v>
      </c>
      <c r="AN3257">
        <v>0.99999999379429005</v>
      </c>
    </row>
    <row r="3258" spans="1:40" x14ac:dyDescent="0.25">
      <c r="A3258" t="str">
        <f>"20190303161939136"</f>
        <v>20190303161939136</v>
      </c>
      <c r="B3258" t="str">
        <f>"1551601179126480"</f>
        <v>1551601179126480</v>
      </c>
      <c r="C3258" t="s">
        <v>40</v>
      </c>
      <c r="D3258">
        <v>3.796834</v>
      </c>
      <c r="E3258">
        <v>0.51372649999999997</v>
      </c>
      <c r="F3258" t="s">
        <v>60</v>
      </c>
      <c r="G3258">
        <v>-543.85469999999998</v>
      </c>
      <c r="H3258">
        <v>5.5144460000000004</v>
      </c>
      <c r="I3258">
        <v>292.93810000000002</v>
      </c>
      <c r="J3258">
        <v>-290.42129999999997</v>
      </c>
      <c r="K3258">
        <v>1.1211519999999999</v>
      </c>
      <c r="L3258">
        <v>283.72890000000001</v>
      </c>
      <c r="M3258">
        <v>-0.99993160000000003</v>
      </c>
      <c r="N3258">
        <v>-1.025589E-2</v>
      </c>
      <c r="O3258">
        <v>5.6479310000000001E-3</v>
      </c>
      <c r="P3258">
        <v>-0.9869715</v>
      </c>
      <c r="Q3258">
        <v>0.16089589999999901</v>
      </c>
      <c r="R3258">
        <v>1.8565119999999999E-4</v>
      </c>
      <c r="S3258">
        <v>-3.0307919999999999</v>
      </c>
      <c r="T3258">
        <v>5.2508949999999999E-2</v>
      </c>
      <c r="U3258">
        <v>0.11007690000000001</v>
      </c>
      <c r="V3258">
        <v>-5.3829200000000002E-3</v>
      </c>
      <c r="W3258">
        <v>0.17100969999999999</v>
      </c>
      <c r="X3258">
        <v>0.98525459999999998</v>
      </c>
      <c r="Y3258">
        <v>3.0650770000000001E-2</v>
      </c>
      <c r="Z3258" s="1">
        <v>4.7539539999999997E-5</v>
      </c>
      <c r="AA3258">
        <v>0.99953009999999998</v>
      </c>
      <c r="AB3258">
        <v>27</v>
      </c>
      <c r="AC3258">
        <v>-253.43340000000001</v>
      </c>
      <c r="AD3258">
        <v>4.3932939999999903</v>
      </c>
      <c r="AE3258">
        <v>9.2092000000000098</v>
      </c>
      <c r="AF3258">
        <v>7.7752702331124297</v>
      </c>
      <c r="AG3258">
        <v>4.3932939999999903</v>
      </c>
      <c r="AH3258">
        <v>253.40532369896999</v>
      </c>
      <c r="AI3258">
        <v>89.007228362631295</v>
      </c>
      <c r="AJ3258">
        <v>88.242537140174207</v>
      </c>
      <c r="AK3258">
        <v>253.562643026035</v>
      </c>
      <c r="AL3258">
        <v>80.153469276179194</v>
      </c>
      <c r="AM3258">
        <v>90.313031300523505</v>
      </c>
      <c r="AN3258">
        <v>0.99999996007148695</v>
      </c>
    </row>
    <row r="3259" spans="1:40" x14ac:dyDescent="0.25">
      <c r="A3259" t="str">
        <f>"20190303161939156"</f>
        <v>20190303161939156</v>
      </c>
      <c r="B3259" t="str">
        <f>"1551601179145999"</f>
        <v>1551601179145999</v>
      </c>
      <c r="C3259" t="s">
        <v>40</v>
      </c>
      <c r="D3259">
        <v>3.788754</v>
      </c>
      <c r="E3259">
        <v>0.51367810000000003</v>
      </c>
      <c r="F3259" t="s">
        <v>60</v>
      </c>
      <c r="G3259">
        <v>-539.84630000000004</v>
      </c>
      <c r="H3259">
        <v>5.5330079999999997</v>
      </c>
      <c r="I3259">
        <v>292.75510000000003</v>
      </c>
      <c r="J3259">
        <v>-290.66919999999999</v>
      </c>
      <c r="K3259">
        <v>1.121151</v>
      </c>
      <c r="L3259">
        <v>283.7303</v>
      </c>
      <c r="M3259">
        <v>-0.99993120000000002</v>
      </c>
      <c r="N3259">
        <v>-1.028929E-2</v>
      </c>
      <c r="O3259">
        <v>5.6477589999999996E-3</v>
      </c>
      <c r="P3259">
        <v>-0.98698629999999998</v>
      </c>
      <c r="Q3259">
        <v>0.160804</v>
      </c>
      <c r="R3259" s="1">
        <v>-7.1006829999999995E-5</v>
      </c>
      <c r="S3259">
        <v>-3.030853</v>
      </c>
      <c r="T3259">
        <v>5.3611039999999999E-2</v>
      </c>
      <c r="U3259">
        <v>0.10968020000000001</v>
      </c>
      <c r="V3259">
        <v>-5.6394909999999999E-3</v>
      </c>
      <c r="W3259">
        <v>0.17095089999999999</v>
      </c>
      <c r="X3259">
        <v>0.98526340000000001</v>
      </c>
      <c r="Y3259">
        <v>3.051949E-2</v>
      </c>
      <c r="Z3259" s="1">
        <v>4.520599E-5</v>
      </c>
      <c r="AA3259">
        <v>0.99953420000000004</v>
      </c>
      <c r="AB3259">
        <v>27</v>
      </c>
      <c r="AC3259">
        <v>-249.1771</v>
      </c>
      <c r="AD3259">
        <v>4.4118570000000004</v>
      </c>
      <c r="AE3259">
        <v>9.0248000000000204</v>
      </c>
      <c r="AF3259">
        <v>7.6149053764385899</v>
      </c>
      <c r="AG3259">
        <v>4.4118570000000004</v>
      </c>
      <c r="AH3259">
        <v>249.14609510376599</v>
      </c>
      <c r="AI3259">
        <v>88.985990849397595</v>
      </c>
      <c r="AJ3259">
        <v>88.249355837183998</v>
      </c>
      <c r="AK3259">
        <v>249.30148008292099</v>
      </c>
      <c r="AL3259">
        <v>80.156888924604004</v>
      </c>
      <c r="AM3259">
        <v>90.327948347881204</v>
      </c>
      <c r="AN3259">
        <v>0.99999999072455403</v>
      </c>
    </row>
    <row r="3260" spans="1:40" x14ac:dyDescent="0.25">
      <c r="A3260" t="str">
        <f>"20190303161939168"</f>
        <v>20190303161939168</v>
      </c>
      <c r="B3260" t="str">
        <f>"1551601179155760"</f>
        <v>1551601179155760</v>
      </c>
      <c r="C3260" t="s">
        <v>40</v>
      </c>
      <c r="D3260">
        <v>3.7929189999999999</v>
      </c>
      <c r="E3260">
        <v>0.51367119999999999</v>
      </c>
      <c r="F3260" t="s">
        <v>60</v>
      </c>
      <c r="G3260">
        <v>-542.35929999999996</v>
      </c>
      <c r="H3260">
        <v>5.6030449999999998</v>
      </c>
      <c r="I3260">
        <v>292.75510000000003</v>
      </c>
      <c r="J3260">
        <v>-290.81420000000003</v>
      </c>
      <c r="K3260">
        <v>1.1211450000000001</v>
      </c>
      <c r="L3260">
        <v>283.7312</v>
      </c>
      <c r="M3260">
        <v>-0.99993109999999996</v>
      </c>
      <c r="N3260">
        <v>-1.030476E-2</v>
      </c>
      <c r="O3260">
        <v>5.6476800000000004E-3</v>
      </c>
      <c r="P3260">
        <v>-0.98696910000000004</v>
      </c>
      <c r="Q3260">
        <v>0.16091</v>
      </c>
      <c r="R3260">
        <v>-3.2334360000000001E-4</v>
      </c>
      <c r="S3260">
        <v>-3.0307620000000002</v>
      </c>
      <c r="T3260">
        <v>5.3970339999999999E-2</v>
      </c>
      <c r="U3260">
        <v>0.10867309999999999</v>
      </c>
      <c r="V3260">
        <v>-5.8911839999999998E-3</v>
      </c>
      <c r="W3260">
        <v>0.1710721</v>
      </c>
      <c r="X3260">
        <v>0.98524089999999998</v>
      </c>
      <c r="Y3260">
        <v>3.0188960000000001E-2</v>
      </c>
      <c r="Z3260" s="1">
        <v>4.5619850000000003E-5</v>
      </c>
      <c r="AA3260">
        <v>0.99954419999999999</v>
      </c>
      <c r="AB3260">
        <v>27</v>
      </c>
      <c r="AC3260">
        <v>-251.54509999999999</v>
      </c>
      <c r="AD3260">
        <v>4.4819000000000004</v>
      </c>
      <c r="AE3260">
        <v>9.0239000000000207</v>
      </c>
      <c r="AF3260">
        <v>7.6006247973082601</v>
      </c>
      <c r="AG3260">
        <v>4.4819000000000004</v>
      </c>
      <c r="AH3260">
        <v>251.512311529774</v>
      </c>
      <c r="AI3260">
        <v>88.979574248076901</v>
      </c>
      <c r="AJ3260">
        <v>88.269065927967205</v>
      </c>
      <c r="AK3260">
        <v>251.66704149723199</v>
      </c>
      <c r="AL3260">
        <v>80.1498409457798</v>
      </c>
      <c r="AM3260">
        <v>90.342592311037706</v>
      </c>
      <c r="AN3260">
        <v>1.00000000024007</v>
      </c>
    </row>
    <row r="3261" spans="1:40" x14ac:dyDescent="0.25">
      <c r="A3261" t="str">
        <f>"20190303161939180"</f>
        <v>20190303161939180</v>
      </c>
      <c r="B3261" t="str">
        <f>"1551601179176255"</f>
        <v>1551601179176255</v>
      </c>
      <c r="C3261" t="s">
        <v>40</v>
      </c>
      <c r="D3261">
        <v>3.8158289999999999</v>
      </c>
      <c r="E3261">
        <v>0.51361880000000004</v>
      </c>
      <c r="F3261" t="s">
        <v>60</v>
      </c>
      <c r="G3261">
        <v>-545.06179999999995</v>
      </c>
      <c r="H3261">
        <v>5.6446189999999996</v>
      </c>
      <c r="I3261">
        <v>292.75510000000003</v>
      </c>
      <c r="J3261">
        <v>-290.96550000000002</v>
      </c>
      <c r="K3261">
        <v>1.121146</v>
      </c>
      <c r="L3261">
        <v>283.7321</v>
      </c>
      <c r="M3261">
        <v>-0.99993089999999996</v>
      </c>
      <c r="N3261">
        <v>-1.031695E-2</v>
      </c>
      <c r="O3261">
        <v>5.6476169999999997E-3</v>
      </c>
      <c r="P3261">
        <v>-0.98695730000000004</v>
      </c>
      <c r="Q3261">
        <v>0.16098189999999901</v>
      </c>
      <c r="R3261">
        <v>-4.6445239999999999E-4</v>
      </c>
      <c r="S3261">
        <v>-3.0308839999999999</v>
      </c>
      <c r="T3261">
        <v>5.3925279999999999E-2</v>
      </c>
      <c r="U3261">
        <v>0.1075745</v>
      </c>
      <c r="V3261">
        <v>-6.0325040000000002E-3</v>
      </c>
      <c r="W3261">
        <v>0.17115620000000001</v>
      </c>
      <c r="X3261">
        <v>0.98522540000000003</v>
      </c>
      <c r="Y3261">
        <v>2.982576E-2</v>
      </c>
      <c r="Z3261" s="1">
        <v>4.7371959999999997E-5</v>
      </c>
      <c r="AA3261">
        <v>0.99955510000000003</v>
      </c>
      <c r="AB3261">
        <v>27</v>
      </c>
      <c r="AC3261">
        <v>-254.09630000000001</v>
      </c>
      <c r="AD3261">
        <v>4.5234730000000001</v>
      </c>
      <c r="AE3261">
        <v>9.0230000000000192</v>
      </c>
      <c r="AF3261">
        <v>7.5853403192967299</v>
      </c>
      <c r="AG3261">
        <v>4.5234730000000001</v>
      </c>
      <c r="AH3261">
        <v>254.06279267227299</v>
      </c>
      <c r="AI3261">
        <v>88.980436576463404</v>
      </c>
      <c r="AJ3261">
        <v>88.289875838278206</v>
      </c>
      <c r="AK3261">
        <v>254.21625010249801</v>
      </c>
      <c r="AL3261">
        <v>80.144949861618301</v>
      </c>
      <c r="AM3261">
        <v>90.350815863858998</v>
      </c>
      <c r="AN3261">
        <v>0.99999996235405397</v>
      </c>
    </row>
    <row r="3262" spans="1:40" x14ac:dyDescent="0.25">
      <c r="A3262" t="str">
        <f>"20190303161939193"</f>
        <v>20190303161939193</v>
      </c>
      <c r="B3262" t="str">
        <f>"1551601179186016"</f>
        <v>1551601179186016</v>
      </c>
      <c r="C3262" t="s">
        <v>40</v>
      </c>
      <c r="D3262">
        <v>3.8693949999999999</v>
      </c>
      <c r="E3262">
        <v>0.51223809999999903</v>
      </c>
      <c r="F3262" t="s">
        <v>60</v>
      </c>
      <c r="G3262">
        <v>-546.64890000000003</v>
      </c>
      <c r="H3262">
        <v>5.6209280000000001</v>
      </c>
      <c r="I3262">
        <v>292.75510000000003</v>
      </c>
      <c r="J3262">
        <v>-291.12349999999998</v>
      </c>
      <c r="K3262">
        <v>1.1211469999999999</v>
      </c>
      <c r="L3262">
        <v>283.73289999999997</v>
      </c>
      <c r="M3262">
        <v>-0.99993089999999996</v>
      </c>
      <c r="N3262">
        <v>-1.032714E-2</v>
      </c>
      <c r="O3262">
        <v>5.6473850000000004E-3</v>
      </c>
      <c r="P3262">
        <v>-0.98691050000000002</v>
      </c>
      <c r="Q3262">
        <v>0.16126989999999999</v>
      </c>
      <c r="R3262">
        <v>-2.8859730000000002E-4</v>
      </c>
      <c r="S3262">
        <v>-3.0310060000000001</v>
      </c>
      <c r="T3262">
        <v>5.3343769999999999E-2</v>
      </c>
      <c r="U3262">
        <v>0.10696410000000001</v>
      </c>
      <c r="V3262">
        <v>-5.8555550000000001E-3</v>
      </c>
      <c r="W3262">
        <v>0.1714531</v>
      </c>
      <c r="X3262">
        <v>0.98517489999999996</v>
      </c>
      <c r="Y3262">
        <v>2.9623590000000002E-2</v>
      </c>
      <c r="Z3262" s="1">
        <v>5.009121E-5</v>
      </c>
      <c r="AA3262">
        <v>0.99956109999999998</v>
      </c>
      <c r="AB3262">
        <v>27</v>
      </c>
      <c r="AC3262">
        <v>-255.52539999999999</v>
      </c>
      <c r="AD3262">
        <v>4.4997809999999996</v>
      </c>
      <c r="AE3262">
        <v>9.0222000000000495</v>
      </c>
      <c r="AF3262">
        <v>7.5765824521483403</v>
      </c>
      <c r="AG3262">
        <v>4.4997809999999996</v>
      </c>
      <c r="AH3262">
        <v>255.49314723555</v>
      </c>
      <c r="AI3262">
        <v>88.991446318505893</v>
      </c>
      <c r="AJ3262">
        <v>88.301406445014507</v>
      </c>
      <c r="AK3262">
        <v>255.64506823920701</v>
      </c>
      <c r="AL3262">
        <v>80.127684072561905</v>
      </c>
      <c r="AM3262">
        <v>90.340543224909993</v>
      </c>
      <c r="AN3262">
        <v>1.0000000183069799</v>
      </c>
    </row>
    <row r="3263" spans="1:40" x14ac:dyDescent="0.25">
      <c r="A3263" t="str">
        <f>"20190303161939209"</f>
        <v>20190303161939209</v>
      </c>
      <c r="B3263" t="str">
        <f>"1551601179195776"</f>
        <v>1551601179195776</v>
      </c>
      <c r="C3263" t="s">
        <v>40</v>
      </c>
      <c r="D3263">
        <v>3.8521109999999998</v>
      </c>
      <c r="E3263">
        <v>0.51223809999999903</v>
      </c>
      <c r="F3263" t="s">
        <v>58</v>
      </c>
      <c r="G3263">
        <v>0</v>
      </c>
      <c r="H3263">
        <v>0</v>
      </c>
      <c r="I3263">
        <v>0</v>
      </c>
      <c r="J3263">
        <v>-291.3098</v>
      </c>
      <c r="K3263">
        <v>1.121149</v>
      </c>
      <c r="L3263">
        <v>283.73399999999998</v>
      </c>
      <c r="M3263">
        <v>-0.9999306</v>
      </c>
      <c r="N3263">
        <v>-1.0336939999999999E-2</v>
      </c>
      <c r="O3263">
        <v>5.6473349999999999E-3</v>
      </c>
      <c r="P3263">
        <v>-0.98689950000000004</v>
      </c>
      <c r="Q3263">
        <v>0.16133639999999999</v>
      </c>
      <c r="R3263">
        <v>-3.764792E-4</v>
      </c>
      <c r="S3263">
        <v>-3.0312190000000001</v>
      </c>
      <c r="T3263">
        <v>5.2461500000000001E-2</v>
      </c>
      <c r="U3263">
        <v>9.6496579999999998E-2</v>
      </c>
      <c r="V3263">
        <v>-5.9437919999999998E-3</v>
      </c>
      <c r="W3263">
        <v>0.17152919999999999</v>
      </c>
      <c r="X3263">
        <v>0.98516110000000001</v>
      </c>
      <c r="Y3263">
        <v>2.6173419999999999E-2</v>
      </c>
      <c r="Z3263" s="1">
        <v>6.4961930000000001E-5</v>
      </c>
      <c r="AA3263">
        <v>0.99965740000000003</v>
      </c>
      <c r="AB3263">
        <v>27</v>
      </c>
      <c r="AC3263">
        <v>-3.0312190000000001</v>
      </c>
      <c r="AD3263">
        <v>5.2461500000000001E-2</v>
      </c>
      <c r="AE3263">
        <v>9.6496579999999998E-2</v>
      </c>
      <c r="AF3263">
        <v>7.9352072231483495E-2</v>
      </c>
      <c r="AG3263">
        <v>5.2461500000000001E-2</v>
      </c>
      <c r="AH3263">
        <v>3.0308087231357601</v>
      </c>
      <c r="AI3263">
        <v>89.0086827381121</v>
      </c>
      <c r="AJ3263">
        <v>88.500235147868196</v>
      </c>
      <c r="AK3263">
        <v>3.03230118500545</v>
      </c>
      <c r="AL3263">
        <v>80.123258056772798</v>
      </c>
      <c r="AM3263">
        <v>90.3456795683758</v>
      </c>
      <c r="AN3263">
        <v>0.99999999403459405</v>
      </c>
    </row>
    <row r="3264" spans="1:40" x14ac:dyDescent="0.25">
      <c r="A3264" t="str">
        <f>"20190303161939224"</f>
        <v>20190303161939224</v>
      </c>
      <c r="B3264" t="str">
        <f>"1551601179216272"</f>
        <v>1551601179216272</v>
      </c>
      <c r="C3264" t="s">
        <v>40</v>
      </c>
      <c r="D3264">
        <v>3.8770790000000002</v>
      </c>
      <c r="E3264">
        <v>0.47237780000000001</v>
      </c>
      <c r="F3264" t="s">
        <v>58</v>
      </c>
      <c r="G3264">
        <v>0</v>
      </c>
      <c r="H3264">
        <v>0</v>
      </c>
      <c r="I3264">
        <v>0</v>
      </c>
      <c r="J3264">
        <v>-291.49579999999997</v>
      </c>
      <c r="K3264">
        <v>1.121149</v>
      </c>
      <c r="L3264">
        <v>283.73509999999999</v>
      </c>
      <c r="M3264">
        <v>-0.9999306</v>
      </c>
      <c r="N3264">
        <v>-1.034469E-2</v>
      </c>
      <c r="O3264">
        <v>5.6471749999999999E-3</v>
      </c>
      <c r="P3264">
        <v>-0.98692690000000005</v>
      </c>
      <c r="Q3264">
        <v>0.16116839999999999</v>
      </c>
      <c r="R3264">
        <v>1.9350279999999999E-4</v>
      </c>
      <c r="S3264">
        <v>-3.03125</v>
      </c>
      <c r="T3264">
        <v>5.2602290000000003E-2</v>
      </c>
      <c r="U3264">
        <v>9.5886230000000003E-2</v>
      </c>
      <c r="V3264">
        <v>-5.3741219999999899E-3</v>
      </c>
      <c r="W3264">
        <v>0.1713691</v>
      </c>
      <c r="X3264">
        <v>0.98519219999999996</v>
      </c>
      <c r="Y3264">
        <v>2.5972189999999999E-2</v>
      </c>
      <c r="Z3264" s="1">
        <v>6.5462289999999998E-5</v>
      </c>
      <c r="AA3264">
        <v>0.99966259999999996</v>
      </c>
      <c r="AB3264">
        <v>27</v>
      </c>
      <c r="AC3264">
        <v>-3.03125</v>
      </c>
      <c r="AD3264">
        <v>5.2602290000000003E-2</v>
      </c>
      <c r="AE3264">
        <v>9.5886230000000003E-2</v>
      </c>
      <c r="AF3264">
        <v>7.87420980546025E-2</v>
      </c>
      <c r="AG3264">
        <v>5.2602290000000003E-2</v>
      </c>
      <c r="AH3264">
        <v>3.0308313889128899</v>
      </c>
      <c r="AI3264">
        <v>89.006025104578995</v>
      </c>
      <c r="AJ3264">
        <v>88.511769661805005</v>
      </c>
      <c r="AK3264">
        <v>3.0323103777382201</v>
      </c>
      <c r="AL3264">
        <v>80.132568641840606</v>
      </c>
      <c r="AM3264">
        <v>90.312539477222401</v>
      </c>
      <c r="AN3264">
        <v>0.99999996028145899</v>
      </c>
    </row>
    <row r="3265" spans="1:40" x14ac:dyDescent="0.25">
      <c r="A3265" t="str">
        <f>"20190303161939246"</f>
        <v>20190303161939246</v>
      </c>
      <c r="B3265" t="str">
        <f>"1551601179235792"</f>
        <v>1551601179235792</v>
      </c>
      <c r="C3265" t="s">
        <v>40</v>
      </c>
      <c r="D3265">
        <v>3.8419949999999998</v>
      </c>
      <c r="E3265">
        <v>0.4697326</v>
      </c>
      <c r="F3265" t="s">
        <v>57</v>
      </c>
      <c r="G3265">
        <v>-511.07560000000001</v>
      </c>
      <c r="H3265">
        <v>5.6981159999999997</v>
      </c>
      <c r="I3265">
        <v>267.7294</v>
      </c>
      <c r="J3265">
        <v>-291.7577</v>
      </c>
      <c r="K3265">
        <v>1.121151</v>
      </c>
      <c r="L3265">
        <v>283.73649999999998</v>
      </c>
      <c r="M3265">
        <v>-0.9999306</v>
      </c>
      <c r="N3265">
        <v>-1.035316E-2</v>
      </c>
      <c r="O3265">
        <v>5.6469529999999997E-3</v>
      </c>
      <c r="P3265">
        <v>-0.98699409999999999</v>
      </c>
      <c r="Q3265">
        <v>0.16075510000000001</v>
      </c>
      <c r="R3265">
        <v>9.0709980000000003E-4</v>
      </c>
      <c r="S3265">
        <v>-3.02948</v>
      </c>
      <c r="T3265">
        <v>6.3148140000000005E-2</v>
      </c>
      <c r="U3265">
        <v>-0.2208252</v>
      </c>
      <c r="V3265">
        <v>-4.6603920000000002E-3</v>
      </c>
      <c r="W3265">
        <v>0.17096500000000001</v>
      </c>
      <c r="X3265">
        <v>0.98526610000000003</v>
      </c>
      <c r="Y3265">
        <v>-7.8319180000000002E-2</v>
      </c>
      <c r="Z3265">
        <v>5.8501989999999997E-4</v>
      </c>
      <c r="AA3265">
        <v>0.99692820000000004</v>
      </c>
      <c r="AB3265">
        <v>27</v>
      </c>
      <c r="AC3265">
        <v>-219.31790000000001</v>
      </c>
      <c r="AD3265">
        <v>4.5769650000000004</v>
      </c>
      <c r="AE3265">
        <v>-16.007099999999902</v>
      </c>
      <c r="AF3265">
        <v>-17.237921171494001</v>
      </c>
      <c r="AG3265">
        <v>4.5769650000000004</v>
      </c>
      <c r="AH3265">
        <v>219.12907743401601</v>
      </c>
      <c r="AI3265">
        <v>88.807117051648603</v>
      </c>
      <c r="AJ3265">
        <v>94.497944173009202</v>
      </c>
      <c r="AK3265">
        <v>219.85369478816801</v>
      </c>
      <c r="AL3265">
        <v>80.156069265738495</v>
      </c>
      <c r="AM3265">
        <v>90.271011862773705</v>
      </c>
      <c r="AN3265">
        <v>1.0000000191439</v>
      </c>
    </row>
    <row r="3266" spans="1:40" x14ac:dyDescent="0.25">
      <c r="A3266" t="str">
        <f>"20190303161939261"</f>
        <v>20190303161939261</v>
      </c>
      <c r="B3266" t="str">
        <f>"1551601179256287"</f>
        <v>1551601179256287</v>
      </c>
      <c r="C3266" t="s">
        <v>40</v>
      </c>
      <c r="D3266">
        <v>3.8595869999999999</v>
      </c>
      <c r="E3266">
        <v>0.46958509999999998</v>
      </c>
      <c r="F3266" t="s">
        <v>57</v>
      </c>
      <c r="G3266">
        <v>-511.07560000000001</v>
      </c>
      <c r="H3266">
        <v>5.5469689999999998</v>
      </c>
      <c r="I3266">
        <v>266.38170000000002</v>
      </c>
      <c r="J3266">
        <v>-291.93650000000002</v>
      </c>
      <c r="K3266">
        <v>1.121151</v>
      </c>
      <c r="L3266">
        <v>283.73750000000001</v>
      </c>
      <c r="M3266">
        <v>-0.9999304</v>
      </c>
      <c r="N3266">
        <v>-1.035791E-2</v>
      </c>
      <c r="O3266">
        <v>5.6469279999999998E-3</v>
      </c>
      <c r="P3266">
        <v>-0.98702190000000001</v>
      </c>
      <c r="Q3266">
        <v>0.16058159999999999</v>
      </c>
      <c r="R3266">
        <v>1.1650089999999901E-3</v>
      </c>
      <c r="S3266">
        <v>-3.0297550000000002</v>
      </c>
      <c r="T3266">
        <v>6.1141250000000001E-2</v>
      </c>
      <c r="U3266">
        <v>-0.23974609999999999</v>
      </c>
      <c r="V3266">
        <v>-4.4025959999999999E-3</v>
      </c>
      <c r="W3266">
        <v>0.170796799999999</v>
      </c>
      <c r="X3266">
        <v>0.98529639999999996</v>
      </c>
      <c r="Y3266">
        <v>-8.4501419999999994E-2</v>
      </c>
      <c r="Z3266">
        <v>5.8503050000000001E-4</v>
      </c>
      <c r="AA3266">
        <v>0.99642319999999995</v>
      </c>
      <c r="AB3266">
        <v>27</v>
      </c>
      <c r="AC3266">
        <v>-219.13910000000001</v>
      </c>
      <c r="AD3266">
        <v>4.4258179999999996</v>
      </c>
      <c r="AE3266">
        <v>-17.355799999999899</v>
      </c>
      <c r="AF3266">
        <v>-18.5855187021224</v>
      </c>
      <c r="AG3266">
        <v>4.4258179999999996</v>
      </c>
      <c r="AH3266">
        <v>218.94884223060799</v>
      </c>
      <c r="AI3266">
        <v>88.8461329596838</v>
      </c>
      <c r="AJ3266">
        <v>94.8519331160999</v>
      </c>
      <c r="AK3266">
        <v>219.78081100159699</v>
      </c>
      <c r="AL3266">
        <v>80.165849718188497</v>
      </c>
      <c r="AM3266">
        <v>90.256012800757304</v>
      </c>
      <c r="AN3266">
        <v>0.99999996279736802</v>
      </c>
    </row>
    <row r="3267" spans="1:40" x14ac:dyDescent="0.25">
      <c r="A3267" t="str">
        <f>"20190303161939279"</f>
        <v>20190303161939279</v>
      </c>
      <c r="B3267" t="str">
        <f>"1551601179266048"</f>
        <v>1551601179266048</v>
      </c>
      <c r="C3267" t="s">
        <v>40</v>
      </c>
      <c r="D3267">
        <v>3.8324739999999999</v>
      </c>
      <c r="E3267">
        <v>0.4693852</v>
      </c>
      <c r="F3267" t="s">
        <v>57</v>
      </c>
      <c r="G3267">
        <v>-512.82690000000002</v>
      </c>
      <c r="H3267">
        <v>5.3575980000000003</v>
      </c>
      <c r="I3267">
        <v>266.22800000000001</v>
      </c>
      <c r="J3267">
        <v>-292.15879999999999</v>
      </c>
      <c r="K3267">
        <v>1.1211519999999999</v>
      </c>
      <c r="L3267">
        <v>283.73880000000003</v>
      </c>
      <c r="M3267">
        <v>-0.9999304</v>
      </c>
      <c r="N3267">
        <v>-1.036311E-2</v>
      </c>
      <c r="O3267">
        <v>5.6467219999999999E-3</v>
      </c>
      <c r="P3267">
        <v>-0.98704650000000005</v>
      </c>
      <c r="Q3267">
        <v>0.16042679999999901</v>
      </c>
      <c r="R3267">
        <v>1.5786800000000001E-3</v>
      </c>
      <c r="S3267">
        <v>-3.0302730000000002</v>
      </c>
      <c r="T3267">
        <v>5.8118459999999997E-2</v>
      </c>
      <c r="U3267">
        <v>-0.2402039</v>
      </c>
      <c r="V3267">
        <v>-3.9887840000000004E-3</v>
      </c>
      <c r="W3267">
        <v>0.17064689999999999</v>
      </c>
      <c r="X3267">
        <v>0.98532410000000004</v>
      </c>
      <c r="Y3267">
        <v>-8.4638749999999999E-2</v>
      </c>
      <c r="Z3267">
        <v>5.3757519999999995E-4</v>
      </c>
      <c r="AA3267">
        <v>0.99641159999999995</v>
      </c>
      <c r="AB3267">
        <v>27</v>
      </c>
      <c r="AC3267">
        <v>-220.66810000000001</v>
      </c>
      <c r="AD3267">
        <v>4.2364459999999999</v>
      </c>
      <c r="AE3267">
        <v>-17.5108</v>
      </c>
      <c r="AF3267">
        <v>-18.749771647861799</v>
      </c>
      <c r="AG3267">
        <v>4.2364459999999999</v>
      </c>
      <c r="AH3267">
        <v>220.484941207036</v>
      </c>
      <c r="AI3267">
        <v>88.903199471435798</v>
      </c>
      <c r="AJ3267">
        <v>94.860669223571705</v>
      </c>
      <c r="AK3267">
        <v>221.32128390787</v>
      </c>
      <c r="AL3267">
        <v>80.174565981309797</v>
      </c>
      <c r="AM3267">
        <v>90.231943215607998</v>
      </c>
      <c r="AN3267">
        <v>0.99999992845910601</v>
      </c>
    </row>
    <row r="3268" spans="1:40" x14ac:dyDescent="0.25">
      <c r="A3268" t="str">
        <f>"20190303161939302"</f>
        <v>20190303161939302</v>
      </c>
      <c r="B3268" t="str">
        <f>"1551601179295328"</f>
        <v>1551601179295328</v>
      </c>
      <c r="C3268" t="s">
        <v>40</v>
      </c>
      <c r="D3268">
        <v>3.8271289999999998</v>
      </c>
      <c r="E3268">
        <v>0.46925709999999998</v>
      </c>
      <c r="F3268" t="s">
        <v>57</v>
      </c>
      <c r="G3268">
        <v>-512.82690000000002</v>
      </c>
      <c r="H3268">
        <v>5.288767</v>
      </c>
      <c r="I3268">
        <v>266.2303</v>
      </c>
      <c r="J3268">
        <v>-292.43720000000002</v>
      </c>
      <c r="K3268">
        <v>1.1211500000000001</v>
      </c>
      <c r="L3268">
        <v>283.74040000000002</v>
      </c>
      <c r="M3268">
        <v>-0.9999304</v>
      </c>
      <c r="N3268">
        <v>-1.0368860000000001E-2</v>
      </c>
      <c r="O3268">
        <v>5.6465129999999997E-3</v>
      </c>
      <c r="P3268">
        <v>-0.98702190000000001</v>
      </c>
      <c r="Q3268">
        <v>0.16057579999999999</v>
      </c>
      <c r="R3268">
        <v>1.9151699999999999E-3</v>
      </c>
      <c r="S3268">
        <v>-3.0304869999999999</v>
      </c>
      <c r="T3268">
        <v>5.7235840000000003E-2</v>
      </c>
      <c r="U3268">
        <v>-0.240448</v>
      </c>
      <c r="V3268">
        <v>-3.651811E-3</v>
      </c>
      <c r="W3268">
        <v>0.17080149999999999</v>
      </c>
      <c r="X3268">
        <v>0.98529869999999997</v>
      </c>
      <c r="Y3268">
        <v>-8.4713179999999999E-2</v>
      </c>
      <c r="Z3268">
        <v>5.2366049999999996E-4</v>
      </c>
      <c r="AA3268">
        <v>0.99640519999999999</v>
      </c>
      <c r="AB3268">
        <v>27</v>
      </c>
      <c r="AC3268">
        <v>-220.3897</v>
      </c>
      <c r="AD3268">
        <v>4.1676169999999999</v>
      </c>
      <c r="AE3268">
        <v>-17.510100000000001</v>
      </c>
      <c r="AF3268">
        <v>-18.747658872499901</v>
      </c>
      <c r="AG3268">
        <v>4.1676169999999999</v>
      </c>
      <c r="AH3268">
        <v>220.20905794184401</v>
      </c>
      <c r="AI3268">
        <v>88.919672189292896</v>
      </c>
      <c r="AJ3268">
        <v>94.866183795449302</v>
      </c>
      <c r="AK3268">
        <v>221.04495683976299</v>
      </c>
      <c r="AL3268">
        <v>80.165576862702295</v>
      </c>
      <c r="AM3268">
        <v>90.212354283865693</v>
      </c>
      <c r="AN3268">
        <v>1.0000000081737599</v>
      </c>
    </row>
    <row r="3269" spans="1:40" x14ac:dyDescent="0.25">
      <c r="A3269" t="str">
        <f>"20190303161939315"</f>
        <v>20190303161939315</v>
      </c>
      <c r="B3269" t="str">
        <f>"1551601179305596"</f>
        <v>1551601179305596</v>
      </c>
      <c r="C3269" t="s">
        <v>40</v>
      </c>
      <c r="D3269">
        <v>3.8388939999999998</v>
      </c>
      <c r="E3269">
        <v>0.46924759999999999</v>
      </c>
      <c r="F3269" t="s">
        <v>57</v>
      </c>
      <c r="G3269">
        <v>-512.82690000000002</v>
      </c>
      <c r="H3269">
        <v>5.2868079999999997</v>
      </c>
      <c r="I3269">
        <v>266.2482</v>
      </c>
      <c r="J3269">
        <v>-292.59050000000002</v>
      </c>
      <c r="K3269">
        <v>1.1211500000000001</v>
      </c>
      <c r="L3269">
        <v>283.74130000000002</v>
      </c>
      <c r="M3269">
        <v>-0.99993030000000005</v>
      </c>
      <c r="N3269">
        <v>-1.0371750000000001E-2</v>
      </c>
      <c r="O3269">
        <v>5.6464979999999998E-3</v>
      </c>
      <c r="P3269">
        <v>-0.98700949999999998</v>
      </c>
      <c r="Q3269">
        <v>0.16064979999999901</v>
      </c>
      <c r="R3269">
        <v>1.95941E-3</v>
      </c>
      <c r="S3269">
        <v>-3.03064</v>
      </c>
      <c r="T3269">
        <v>5.7284120000000001E-2</v>
      </c>
      <c r="U3269">
        <v>-0.24053959999999999</v>
      </c>
      <c r="V3269">
        <v>-3.6075970000000001E-3</v>
      </c>
      <c r="W3269">
        <v>0.17087859999999999</v>
      </c>
      <c r="X3269">
        <v>0.98528550000000004</v>
      </c>
      <c r="Y3269">
        <v>-8.4739099999999998E-2</v>
      </c>
      <c r="Z3269">
        <v>5.2437999999999996E-4</v>
      </c>
      <c r="AA3269">
        <v>0.99640300000000004</v>
      </c>
      <c r="AB3269">
        <v>27</v>
      </c>
      <c r="AC3269">
        <v>-220.2364</v>
      </c>
      <c r="AD3269">
        <v>4.1656579999999996</v>
      </c>
      <c r="AE3269">
        <v>-17.493099999999998</v>
      </c>
      <c r="AF3269">
        <v>-18.729793629694601</v>
      </c>
      <c r="AG3269">
        <v>4.1656579999999996</v>
      </c>
      <c r="AH3269">
        <v>220.05587551500801</v>
      </c>
      <c r="AI3269">
        <v>88.919426386558499</v>
      </c>
      <c r="AJ3269">
        <v>94.864936824400203</v>
      </c>
      <c r="AK3269">
        <v>220.89080158453999</v>
      </c>
      <c r="AL3269">
        <v>80.1610935003702</v>
      </c>
      <c r="AM3269">
        <v>90.209786055504495</v>
      </c>
      <c r="AN3269">
        <v>1.0000000136021601</v>
      </c>
    </row>
    <row r="3270" spans="1:40" x14ac:dyDescent="0.25">
      <c r="A3270" t="str">
        <f>"20190303161939328"</f>
        <v>20190303161939328</v>
      </c>
      <c r="B3270" t="str">
        <f>"1551601179316332"</f>
        <v>1551601179316332</v>
      </c>
      <c r="C3270" t="s">
        <v>40</v>
      </c>
      <c r="D3270">
        <v>3.8244280000000002</v>
      </c>
      <c r="E3270">
        <v>0.46923209999999999</v>
      </c>
      <c r="F3270" t="s">
        <v>57</v>
      </c>
      <c r="G3270">
        <v>-512.82690000000002</v>
      </c>
      <c r="H3270">
        <v>5.306216</v>
      </c>
      <c r="I3270">
        <v>266.26979999999998</v>
      </c>
      <c r="J3270">
        <v>-292.74489999999997</v>
      </c>
      <c r="K3270">
        <v>1.1211519999999999</v>
      </c>
      <c r="L3270">
        <v>283.74220000000003</v>
      </c>
      <c r="M3270">
        <v>-0.9999304</v>
      </c>
      <c r="N3270">
        <v>-1.0374599999999999E-2</v>
      </c>
      <c r="O3270">
        <v>5.6463049999999999E-3</v>
      </c>
      <c r="P3270">
        <v>-0.98700149999999998</v>
      </c>
      <c r="Q3270">
        <v>0.16069710000000001</v>
      </c>
      <c r="R3270">
        <v>2.123598E-3</v>
      </c>
      <c r="S3270">
        <v>-3.0305789999999999</v>
      </c>
      <c r="T3270">
        <v>5.7589889999999998E-2</v>
      </c>
      <c r="U3270">
        <v>-0.24041750000000001</v>
      </c>
      <c r="V3270">
        <v>-3.44313E-3</v>
      </c>
      <c r="W3270">
        <v>0.17092839999999901</v>
      </c>
      <c r="X3270">
        <v>0.98527739999999997</v>
      </c>
      <c r="Y3270">
        <v>-8.4700479999999995E-2</v>
      </c>
      <c r="Z3270">
        <v>5.2895959999999995E-4</v>
      </c>
      <c r="AA3270">
        <v>0.99640629999999997</v>
      </c>
      <c r="AB3270">
        <v>27</v>
      </c>
      <c r="AC3270">
        <v>-220.08199999999999</v>
      </c>
      <c r="AD3270">
        <v>4.1850639999999997</v>
      </c>
      <c r="AE3270">
        <v>-17.4724</v>
      </c>
      <c r="AF3270">
        <v>-18.7081156424996</v>
      </c>
      <c r="AG3270">
        <v>4.1850639999999997</v>
      </c>
      <c r="AH3270">
        <v>219.90081228989899</v>
      </c>
      <c r="AI3270">
        <v>88.913624791929905</v>
      </c>
      <c r="AJ3270">
        <v>94.862743229348197</v>
      </c>
      <c r="AK3270">
        <v>220.73485360797599</v>
      </c>
      <c r="AL3270">
        <v>80.158197072001201</v>
      </c>
      <c r="AM3270">
        <v>90.200223829620995</v>
      </c>
      <c r="AN3270">
        <v>0.99999996401075697</v>
      </c>
    </row>
    <row r="3271" spans="1:40" x14ac:dyDescent="0.25">
      <c r="A3271" t="str">
        <f>"20190303161939339"</f>
        <v>20190303161939339</v>
      </c>
      <c r="B3271" t="str">
        <f>"1551601179335852"</f>
        <v>1551601179335852</v>
      </c>
      <c r="C3271" t="s">
        <v>40</v>
      </c>
      <c r="D3271">
        <v>3.855988</v>
      </c>
      <c r="E3271">
        <v>0.46910030000000003</v>
      </c>
      <c r="F3271" t="s">
        <v>57</v>
      </c>
      <c r="G3271">
        <v>-512.82690000000002</v>
      </c>
      <c r="H3271">
        <v>5.3077529999999999</v>
      </c>
      <c r="I3271">
        <v>266.30099999999999</v>
      </c>
      <c r="J3271">
        <v>-292.9015</v>
      </c>
      <c r="K3271">
        <v>1.1211500000000001</v>
      </c>
      <c r="L3271">
        <v>283.74299999999999</v>
      </c>
      <c r="M3271">
        <v>-0.9999304</v>
      </c>
      <c r="N3271">
        <v>-1.037741E-2</v>
      </c>
      <c r="O3271">
        <v>5.6459919999999999E-3</v>
      </c>
      <c r="P3271">
        <v>-0.9869599</v>
      </c>
      <c r="Q3271">
        <v>0.16095489999999901</v>
      </c>
      <c r="R3271">
        <v>2.057611E-3</v>
      </c>
      <c r="S3271">
        <v>-3.03064</v>
      </c>
      <c r="T3271">
        <v>5.7652589999999997E-2</v>
      </c>
      <c r="U3271">
        <v>-0.24017330000000001</v>
      </c>
      <c r="V3271">
        <v>-3.5087439999999998E-3</v>
      </c>
      <c r="W3271">
        <v>0.1711886</v>
      </c>
      <c r="X3271">
        <v>0.985232</v>
      </c>
      <c r="Y3271">
        <v>-8.4618799999999994E-2</v>
      </c>
      <c r="Z3271">
        <v>5.2947339999999995E-4</v>
      </c>
      <c r="AA3271">
        <v>0.9964132</v>
      </c>
      <c r="AB3271">
        <v>27</v>
      </c>
      <c r="AC3271">
        <v>-219.9254</v>
      </c>
      <c r="AD3271">
        <v>4.1866029999999999</v>
      </c>
      <c r="AE3271">
        <v>-17.442</v>
      </c>
      <c r="AF3271">
        <v>-18.6767597367487</v>
      </c>
      <c r="AG3271">
        <v>4.1866029999999999</v>
      </c>
      <c r="AH3271">
        <v>219.744276859991</v>
      </c>
      <c r="AI3271">
        <v>88.912443871926797</v>
      </c>
      <c r="AJ3271">
        <v>94.858073633881503</v>
      </c>
      <c r="AK3271">
        <v>220.57628206963699</v>
      </c>
      <c r="AL3271">
        <v>80.1430657551427</v>
      </c>
      <c r="AM3271">
        <v>90.204048764834695</v>
      </c>
      <c r="AN3271">
        <v>0.999999970939208</v>
      </c>
    </row>
    <row r="3272" spans="1:40" x14ac:dyDescent="0.25">
      <c r="A3272" t="str">
        <f>"20190303161939352"</f>
        <v>20190303161939352</v>
      </c>
      <c r="B3272" t="str">
        <f>"1551601179345612"</f>
        <v>1551601179345612</v>
      </c>
      <c r="C3272" t="s">
        <v>40</v>
      </c>
      <c r="D3272">
        <v>3.863235</v>
      </c>
      <c r="E3272">
        <v>0.46902440000000001</v>
      </c>
      <c r="F3272" t="s">
        <v>57</v>
      </c>
      <c r="G3272">
        <v>-512.82690000000002</v>
      </c>
      <c r="H3272">
        <v>5.3236780000000001</v>
      </c>
      <c r="I3272">
        <v>266.22620000000001</v>
      </c>
      <c r="J3272">
        <v>-293.04770000000002</v>
      </c>
      <c r="K3272">
        <v>1.1211519999999999</v>
      </c>
      <c r="L3272">
        <v>283.7439</v>
      </c>
      <c r="M3272">
        <v>-0.99993030000000005</v>
      </c>
      <c r="N3272">
        <v>-1.038002E-2</v>
      </c>
      <c r="O3272">
        <v>5.6461580000000001E-3</v>
      </c>
      <c r="P3272">
        <v>-0.98699199999999998</v>
      </c>
      <c r="Q3272">
        <v>0.16075739999999999</v>
      </c>
      <c r="R3272">
        <v>2.0060820000000002E-3</v>
      </c>
      <c r="S3272">
        <v>-3.0307309999999998</v>
      </c>
      <c r="T3272">
        <v>5.7914849999999997E-2</v>
      </c>
      <c r="U3272">
        <v>-0.241394</v>
      </c>
      <c r="V3272">
        <v>-3.560073E-3</v>
      </c>
      <c r="W3272">
        <v>0.17099420000000001</v>
      </c>
      <c r="X3272">
        <v>0.98526559999999996</v>
      </c>
      <c r="Y3272">
        <v>-8.5015259999999995E-2</v>
      </c>
      <c r="Z3272">
        <v>5.3519489999999999E-4</v>
      </c>
      <c r="AA3272">
        <v>0.99637949999999997</v>
      </c>
      <c r="AB3272">
        <v>27</v>
      </c>
      <c r="AC3272">
        <v>-219.7792</v>
      </c>
      <c r="AD3272">
        <v>4.2025259999999998</v>
      </c>
      <c r="AE3272">
        <v>-17.517699999999898</v>
      </c>
      <c r="AF3272">
        <v>-18.7515825958242</v>
      </c>
      <c r="AG3272">
        <v>4.2025259999999998</v>
      </c>
      <c r="AH3272">
        <v>219.59699794756099</v>
      </c>
      <c r="AI3272">
        <v>88.907613287390404</v>
      </c>
      <c r="AJ3272">
        <v>94.880697749232397</v>
      </c>
      <c r="AK3272">
        <v>220.436214316545</v>
      </c>
      <c r="AL3272">
        <v>80.154370999939403</v>
      </c>
      <c r="AM3272">
        <v>90.207026683926401</v>
      </c>
      <c r="AN3272">
        <v>0.99999999654838201</v>
      </c>
    </row>
    <row r="3273" spans="1:40" x14ac:dyDescent="0.25">
      <c r="A3273" t="str">
        <f>"20190303161939369"</f>
        <v>20190303161939369</v>
      </c>
      <c r="B3273" t="str">
        <f>"1551601179355371"</f>
        <v>1551601179355371</v>
      </c>
      <c r="C3273" t="s">
        <v>40</v>
      </c>
      <c r="D3273">
        <v>3.8774009999999999</v>
      </c>
      <c r="E3273">
        <v>0.46894609999999898</v>
      </c>
      <c r="F3273" t="s">
        <v>57</v>
      </c>
      <c r="G3273">
        <v>-512.82690000000002</v>
      </c>
      <c r="H3273">
        <v>5.3123310000000004</v>
      </c>
      <c r="I3273">
        <v>266.1628</v>
      </c>
      <c r="J3273">
        <v>-293.24630000000002</v>
      </c>
      <c r="K3273">
        <v>1.1211549999999999</v>
      </c>
      <c r="L3273">
        <v>283.745</v>
      </c>
      <c r="M3273">
        <v>-0.99993030000000005</v>
      </c>
      <c r="N3273">
        <v>-1.038356E-2</v>
      </c>
      <c r="O3273">
        <v>5.6459600000000002E-3</v>
      </c>
      <c r="P3273">
        <v>-0.9869291</v>
      </c>
      <c r="Q3273">
        <v>0.16114149999999999</v>
      </c>
      <c r="R3273">
        <v>2.1145880000000001E-3</v>
      </c>
      <c r="S3273">
        <v>-3.0306090000000001</v>
      </c>
      <c r="T3273">
        <v>5.7794570000000003E-2</v>
      </c>
      <c r="U3273">
        <v>-0.2424316</v>
      </c>
      <c r="V3273">
        <v>-3.4513109999999999E-3</v>
      </c>
      <c r="W3273">
        <v>0.1713808</v>
      </c>
      <c r="X3273">
        <v>0.98519880000000004</v>
      </c>
      <c r="Y3273">
        <v>-8.5357230000000006E-2</v>
      </c>
      <c r="Z3273">
        <v>5.346455E-4</v>
      </c>
      <c r="AA3273">
        <v>0.99635030000000002</v>
      </c>
      <c r="AB3273">
        <v>27</v>
      </c>
      <c r="AC3273">
        <v>-219.5806</v>
      </c>
      <c r="AD3273">
        <v>4.1911759999999996</v>
      </c>
      <c r="AE3273">
        <v>-17.5822</v>
      </c>
      <c r="AF3273">
        <v>-18.8149186762273</v>
      </c>
      <c r="AG3273">
        <v>4.1911759999999996</v>
      </c>
      <c r="AH3273">
        <v>219.39840392148</v>
      </c>
      <c r="AI3273">
        <v>88.909610845121307</v>
      </c>
      <c r="AJ3273">
        <v>94.901514102067495</v>
      </c>
      <c r="AK3273">
        <v>220.24356236755</v>
      </c>
      <c r="AL3273">
        <v>80.1318884397012</v>
      </c>
      <c r="AM3273">
        <v>90.200715576564207</v>
      </c>
      <c r="AN3273">
        <v>0.99999998283884906</v>
      </c>
    </row>
    <row r="3274" spans="1:40" x14ac:dyDescent="0.25">
      <c r="A3274" t="str">
        <f>"20190303161939379"</f>
        <v>20190303161939379</v>
      </c>
      <c r="B3274" t="str">
        <f>"1551601179375868"</f>
        <v>1551601179375868</v>
      </c>
      <c r="C3274" t="s">
        <v>40</v>
      </c>
      <c r="D3274">
        <v>3.861145</v>
      </c>
      <c r="E3274">
        <v>0.46870089999999998</v>
      </c>
      <c r="F3274" t="s">
        <v>57</v>
      </c>
      <c r="G3274">
        <v>-512.827</v>
      </c>
      <c r="H3274">
        <v>5.3690939999999996</v>
      </c>
      <c r="I3274">
        <v>266.1712</v>
      </c>
      <c r="J3274">
        <v>-293.38740000000001</v>
      </c>
      <c r="K3274">
        <v>1.121157</v>
      </c>
      <c r="L3274">
        <v>283.74579999999997</v>
      </c>
      <c r="M3274">
        <v>-0.99993030000000005</v>
      </c>
      <c r="N3274">
        <v>-1.0386060000000001E-2</v>
      </c>
      <c r="O3274">
        <v>5.6457690000000001E-3</v>
      </c>
      <c r="P3274">
        <v>-0.98694490000000001</v>
      </c>
      <c r="Q3274">
        <v>0.1610432</v>
      </c>
      <c r="R3274">
        <v>2.317848E-3</v>
      </c>
      <c r="S3274">
        <v>-3.0306700000000002</v>
      </c>
      <c r="T3274">
        <v>5.8631419999999997E-2</v>
      </c>
      <c r="U3274">
        <v>-0.24255370000000001</v>
      </c>
      <c r="V3274">
        <v>-3.2479509999999998E-3</v>
      </c>
      <c r="W3274">
        <v>0.1712854</v>
      </c>
      <c r="X3274">
        <v>0.98521610000000004</v>
      </c>
      <c r="Y3274">
        <v>-8.5394940000000003E-2</v>
      </c>
      <c r="Z3274">
        <v>5.480118E-4</v>
      </c>
      <c r="AA3274">
        <v>0.99634699999999998</v>
      </c>
      <c r="AB3274">
        <v>27</v>
      </c>
      <c r="AC3274">
        <v>-219.43960000000001</v>
      </c>
      <c r="AD3274">
        <v>4.2479370000000003</v>
      </c>
      <c r="AE3274">
        <v>-17.574599999999901</v>
      </c>
      <c r="AF3274">
        <v>-18.806289285304999</v>
      </c>
      <c r="AG3274">
        <v>4.2479370000000003</v>
      </c>
      <c r="AH3274">
        <v>219.25523552737201</v>
      </c>
      <c r="AI3274">
        <v>88.894127475238307</v>
      </c>
      <c r="AJ3274">
        <v>94.902460509505204</v>
      </c>
      <c r="AK3274">
        <v>220.10129438874699</v>
      </c>
      <c r="AL3274">
        <v>80.137436671995303</v>
      </c>
      <c r="AM3274">
        <v>90.188885677166397</v>
      </c>
      <c r="AN3274">
        <v>1.0000000005690299</v>
      </c>
    </row>
    <row r="3275" spans="1:40" x14ac:dyDescent="0.25">
      <c r="A3275" t="str">
        <f>"20190303161939392"</f>
        <v>20190303161939392</v>
      </c>
      <c r="B3275" t="str">
        <f>"1551601179385629"</f>
        <v>1551601179385629</v>
      </c>
      <c r="C3275" t="s">
        <v>40</v>
      </c>
      <c r="D3275">
        <v>3.8756330000000001</v>
      </c>
      <c r="E3275">
        <v>0.46859260000000003</v>
      </c>
      <c r="F3275" t="s">
        <v>57</v>
      </c>
      <c r="G3275">
        <v>-512.82690000000002</v>
      </c>
      <c r="H3275">
        <v>5.2674089999999998</v>
      </c>
      <c r="I3275">
        <v>266.09410000000003</v>
      </c>
      <c r="J3275">
        <v>-293.54039999999998</v>
      </c>
      <c r="K3275">
        <v>1.121157</v>
      </c>
      <c r="L3275">
        <v>283.7466</v>
      </c>
      <c r="M3275">
        <v>-0.99993010000000004</v>
      </c>
      <c r="N3275">
        <v>-1.03887999999999E-2</v>
      </c>
      <c r="O3275">
        <v>5.6457540000000002E-3</v>
      </c>
      <c r="P3275">
        <v>-0.98690849999999997</v>
      </c>
      <c r="Q3275">
        <v>0.1612662</v>
      </c>
      <c r="R3275">
        <v>2.3217310000000001E-3</v>
      </c>
      <c r="S3275">
        <v>-3.0309140000000001</v>
      </c>
      <c r="T3275">
        <v>5.726933E-2</v>
      </c>
      <c r="U3275">
        <v>-0.24380489999999999</v>
      </c>
      <c r="V3275">
        <v>-3.244065E-3</v>
      </c>
      <c r="W3275">
        <v>0.17151040000000001</v>
      </c>
      <c r="X3275">
        <v>0.98517699999999997</v>
      </c>
      <c r="Y3275">
        <v>-8.5797799999999994E-2</v>
      </c>
      <c r="Z3275">
        <v>5.278317E-4</v>
      </c>
      <c r="AA3275">
        <v>0.99631239999999999</v>
      </c>
      <c r="AB3275">
        <v>27</v>
      </c>
      <c r="AC3275">
        <v>-219.28649999999999</v>
      </c>
      <c r="AD3275">
        <v>4.1462519999999996</v>
      </c>
      <c r="AE3275">
        <v>-17.6524999999999</v>
      </c>
      <c r="AF3275">
        <v>-18.883615474119299</v>
      </c>
      <c r="AG3275">
        <v>4.1462519999999996</v>
      </c>
      <c r="AH3275">
        <v>219.10550975435601</v>
      </c>
      <c r="AI3275">
        <v>88.919893451619302</v>
      </c>
      <c r="AJ3275">
        <v>94.925866467199299</v>
      </c>
      <c r="AK3275">
        <v>219.95682927278801</v>
      </c>
      <c r="AL3275">
        <v>80.1243517920296</v>
      </c>
      <c r="AM3275">
        <v>90.188667174698693</v>
      </c>
      <c r="AN3275">
        <v>1.00000003129744</v>
      </c>
    </row>
    <row r="3276" spans="1:40" x14ac:dyDescent="0.25">
      <c r="A3276" t="str">
        <f>"20190303161939406"</f>
        <v>20190303161939406</v>
      </c>
      <c r="B3276" t="str">
        <f>"1551601179395388"</f>
        <v>1551601179395388</v>
      </c>
      <c r="C3276" t="s">
        <v>40</v>
      </c>
      <c r="D3276">
        <v>3.8868900000000002</v>
      </c>
      <c r="E3276">
        <v>0.46854440000000003</v>
      </c>
      <c r="F3276" t="s">
        <v>57</v>
      </c>
      <c r="G3276">
        <v>-512.82690000000002</v>
      </c>
      <c r="H3276">
        <v>5.2992419999999996</v>
      </c>
      <c r="I3276">
        <v>266.0367</v>
      </c>
      <c r="J3276">
        <v>-293.70069999999998</v>
      </c>
      <c r="K3276">
        <v>1.1211530000000001</v>
      </c>
      <c r="L3276">
        <v>283.7475</v>
      </c>
      <c r="M3276">
        <v>-0.99993010000000004</v>
      </c>
      <c r="N3276">
        <v>-1.03917E-2</v>
      </c>
      <c r="O3276">
        <v>5.6455610000000003E-3</v>
      </c>
      <c r="P3276">
        <v>-0.98688969999999998</v>
      </c>
      <c r="Q3276">
        <v>0.16137889999999999</v>
      </c>
      <c r="R3276">
        <v>2.3599490000000001E-3</v>
      </c>
      <c r="S3276">
        <v>-3.0309140000000001</v>
      </c>
      <c r="T3276">
        <v>5.7749269999999998E-2</v>
      </c>
      <c r="U3276">
        <v>-0.24478150000000001</v>
      </c>
      <c r="V3276">
        <v>-3.2054779999999999E-3</v>
      </c>
      <c r="W3276">
        <v>0.17162559999999999</v>
      </c>
      <c r="X3276">
        <v>0.98515699999999995</v>
      </c>
      <c r="Y3276">
        <v>-8.6116330000000005E-2</v>
      </c>
      <c r="Z3276">
        <v>5.367433E-4</v>
      </c>
      <c r="AA3276">
        <v>0.99628499999999998</v>
      </c>
      <c r="AB3276">
        <v>27</v>
      </c>
      <c r="AC3276">
        <v>-219.12620000000001</v>
      </c>
      <c r="AD3276">
        <v>4.1780889999999999</v>
      </c>
      <c r="AE3276">
        <v>-17.710799999999999</v>
      </c>
      <c r="AF3276">
        <v>-18.940833524271198</v>
      </c>
      <c r="AG3276">
        <v>4.1780889999999999</v>
      </c>
      <c r="AH3276">
        <v>218.94363393210699</v>
      </c>
      <c r="AI3276">
        <v>88.9108276649429</v>
      </c>
      <c r="AJ3276">
        <v>94.944353069441604</v>
      </c>
      <c r="AK3276">
        <v>219.80110655245301</v>
      </c>
      <c r="AL3276">
        <v>80.117651345194105</v>
      </c>
      <c r="AM3276">
        <v>90.186426846265107</v>
      </c>
      <c r="AN3276">
        <v>0.99999996815678305</v>
      </c>
    </row>
    <row r="3277" spans="1:40" x14ac:dyDescent="0.25">
      <c r="A3277" t="str">
        <f>"20190303161939419"</f>
        <v>20190303161939419</v>
      </c>
      <c r="B3277" t="str">
        <f>"1551601179406125"</f>
        <v>1551601179406125</v>
      </c>
      <c r="C3277" t="s">
        <v>40</v>
      </c>
      <c r="D3277">
        <v>3.9072309999999999</v>
      </c>
      <c r="E3277">
        <v>0.46867160000000002</v>
      </c>
      <c r="F3277" t="s">
        <v>57</v>
      </c>
      <c r="G3277">
        <v>-512.82690000000002</v>
      </c>
      <c r="H3277">
        <v>5.3081469999999999</v>
      </c>
      <c r="I3277">
        <v>266.03320000000002</v>
      </c>
      <c r="J3277">
        <v>-293.87849999999997</v>
      </c>
      <c r="K3277">
        <v>1.121154</v>
      </c>
      <c r="L3277">
        <v>283.74849999999998</v>
      </c>
      <c r="M3277">
        <v>-0.99993019999999999</v>
      </c>
      <c r="N3277">
        <v>-1.039497E-2</v>
      </c>
      <c r="O3277">
        <v>5.645186E-3</v>
      </c>
      <c r="P3277">
        <v>-0.98685599999999996</v>
      </c>
      <c r="Q3277">
        <v>0.16158400000000001</v>
      </c>
      <c r="R3277">
        <v>2.4577879999999998E-3</v>
      </c>
      <c r="S3277">
        <v>-3.0309750000000002</v>
      </c>
      <c r="T3277">
        <v>5.7915929999999997E-2</v>
      </c>
      <c r="U3277">
        <v>-0.24502560000000001</v>
      </c>
      <c r="V3277">
        <v>-3.1071839999999998E-3</v>
      </c>
      <c r="W3277">
        <v>0.17183370000000001</v>
      </c>
      <c r="X3277">
        <v>0.98512109999999997</v>
      </c>
      <c r="Y3277">
        <v>-8.6193989999999998E-2</v>
      </c>
      <c r="Z3277">
        <v>5.3959530000000002E-4</v>
      </c>
      <c r="AA3277">
        <v>0.9962782</v>
      </c>
      <c r="AB3277">
        <v>27</v>
      </c>
      <c r="AC3277">
        <v>-218.94839999999999</v>
      </c>
      <c r="AD3277">
        <v>4.1869930000000002</v>
      </c>
      <c r="AE3277">
        <v>-17.7152999999999</v>
      </c>
      <c r="AF3277">
        <v>-18.9442059408426</v>
      </c>
      <c r="AG3277">
        <v>4.1869930000000002</v>
      </c>
      <c r="AH3277">
        <v>218.76541786991001</v>
      </c>
      <c r="AI3277">
        <v>88.907626166368999</v>
      </c>
      <c r="AJ3277">
        <v>94.949237648775195</v>
      </c>
      <c r="AK3277">
        <v>219.62404673647899</v>
      </c>
      <c r="AL3277">
        <v>80.105548893125302</v>
      </c>
      <c r="AM3277">
        <v>90.180716806294896</v>
      </c>
      <c r="AN3277">
        <v>1.0000000283566499</v>
      </c>
    </row>
    <row r="3278" spans="1:40" x14ac:dyDescent="0.25">
      <c r="A3278" t="str">
        <f>"20190303161939436"</f>
        <v>20190303161939436</v>
      </c>
      <c r="B3278" t="str">
        <f>"1551601179425644"</f>
        <v>1551601179425644</v>
      </c>
      <c r="C3278" t="s">
        <v>40</v>
      </c>
      <c r="D3278">
        <v>3.8682089999999998</v>
      </c>
      <c r="E3278">
        <v>0.46910659999999998</v>
      </c>
      <c r="F3278" t="s">
        <v>57</v>
      </c>
      <c r="G3278">
        <v>-512.82690000000002</v>
      </c>
      <c r="H3278">
        <v>5.3430119999999999</v>
      </c>
      <c r="I3278">
        <v>266.15699999999998</v>
      </c>
      <c r="J3278">
        <v>-294.07279999999997</v>
      </c>
      <c r="K3278">
        <v>1.1211530000000001</v>
      </c>
      <c r="L3278">
        <v>283.74959999999999</v>
      </c>
      <c r="M3278">
        <v>-0.99993010000000004</v>
      </c>
      <c r="N3278">
        <v>-1.0398569999999999E-2</v>
      </c>
      <c r="O3278">
        <v>5.6450479999999997E-3</v>
      </c>
      <c r="P3278">
        <v>-0.98679689999999998</v>
      </c>
      <c r="Q3278">
        <v>0.16194320000000001</v>
      </c>
      <c r="R3278">
        <v>2.6274169999999999E-3</v>
      </c>
      <c r="S3278">
        <v>-3.0310359999999998</v>
      </c>
      <c r="T3278">
        <v>5.844676E-2</v>
      </c>
      <c r="U3278">
        <v>-0.24353030000000001</v>
      </c>
      <c r="V3278">
        <v>-2.9369489999999999E-3</v>
      </c>
      <c r="W3278">
        <v>0.17219579999999901</v>
      </c>
      <c r="X3278">
        <v>0.9850584</v>
      </c>
      <c r="Y3278">
        <v>-8.5703689999999999E-2</v>
      </c>
      <c r="Z3278">
        <v>5.458199E-4</v>
      </c>
      <c r="AA3278">
        <v>0.99632050000000005</v>
      </c>
      <c r="AB3278">
        <v>27</v>
      </c>
      <c r="AC3278">
        <v>-218.75409999999999</v>
      </c>
      <c r="AD3278">
        <v>4.2218589999999896</v>
      </c>
      <c r="AE3278">
        <v>-17.592600000000001</v>
      </c>
      <c r="AF3278">
        <v>-18.820298689200602</v>
      </c>
      <c r="AG3278">
        <v>4.2218589999999896</v>
      </c>
      <c r="AH3278">
        <v>218.57040923059699</v>
      </c>
      <c r="AI3278">
        <v>88.897503219027698</v>
      </c>
      <c r="AJ3278">
        <v>94.921391120509796</v>
      </c>
      <c r="AK3278">
        <v>219.419806597757</v>
      </c>
      <c r="AL3278">
        <v>80.084488238190502</v>
      </c>
      <c r="AM3278">
        <v>90.170826708072596</v>
      </c>
      <c r="AN3278">
        <v>1.0000000353088101</v>
      </c>
    </row>
    <row r="3279" spans="1:40" x14ac:dyDescent="0.25">
      <c r="A3279" t="str">
        <f>"20190303161939452"</f>
        <v>20190303161939452</v>
      </c>
      <c r="B3279" t="str">
        <f>"1551601179446140"</f>
        <v>1551601179446140</v>
      </c>
      <c r="C3279" t="s">
        <v>40</v>
      </c>
      <c r="D3279">
        <v>3.8715660000000001</v>
      </c>
      <c r="E3279">
        <v>0.46953780000000001</v>
      </c>
      <c r="F3279" t="s">
        <v>57</v>
      </c>
      <c r="G3279">
        <v>-512.82690000000002</v>
      </c>
      <c r="H3279">
        <v>5.3311299999999999</v>
      </c>
      <c r="I3279">
        <v>266.4742</v>
      </c>
      <c r="J3279">
        <v>-294.267</v>
      </c>
      <c r="K3279">
        <v>1.121157</v>
      </c>
      <c r="L3279">
        <v>283.75069999999999</v>
      </c>
      <c r="M3279">
        <v>-0.99992999999999999</v>
      </c>
      <c r="N3279">
        <v>-1.04022E-2</v>
      </c>
      <c r="O3279">
        <v>5.6450290000000002E-3</v>
      </c>
      <c r="P3279">
        <v>-0.98677780000000004</v>
      </c>
      <c r="Q3279">
        <v>0.16205939999999999</v>
      </c>
      <c r="R3279">
        <v>2.538294E-3</v>
      </c>
      <c r="S3279">
        <v>-3.0312190000000001</v>
      </c>
      <c r="T3279">
        <v>5.8337569999999998E-2</v>
      </c>
      <c r="U3279">
        <v>-0.23937990000000001</v>
      </c>
      <c r="V3279">
        <v>-3.0256599999999999E-3</v>
      </c>
      <c r="W3279">
        <v>0.1723151</v>
      </c>
      <c r="X3279">
        <v>0.98503719999999995</v>
      </c>
      <c r="Y3279">
        <v>-8.4343370000000001E-2</v>
      </c>
      <c r="Z3279">
        <v>5.3797999999999997E-4</v>
      </c>
      <c r="AA3279">
        <v>0.99643660000000001</v>
      </c>
      <c r="AB3279">
        <v>27</v>
      </c>
      <c r="AC3279">
        <v>-218.5599</v>
      </c>
      <c r="AD3279">
        <v>4.2099729999999997</v>
      </c>
      <c r="AE3279">
        <v>-17.276499999999999</v>
      </c>
      <c r="AF3279">
        <v>-18.503245616960498</v>
      </c>
      <c r="AG3279">
        <v>4.2099729999999997</v>
      </c>
      <c r="AH3279">
        <v>218.37836223649001</v>
      </c>
      <c r="AI3279">
        <v>88.899511390559098</v>
      </c>
      <c r="AJ3279">
        <v>94.843115916429596</v>
      </c>
      <c r="AK3279">
        <v>219.20128435781101</v>
      </c>
      <c r="AL3279">
        <v>80.077548442096898</v>
      </c>
      <c r="AM3279">
        <v>90.175990310867206</v>
      </c>
      <c r="AN3279">
        <v>0.99999996684514203</v>
      </c>
    </row>
    <row r="3280" spans="1:40" x14ac:dyDescent="0.25">
      <c r="A3280" t="str">
        <f>"20190303161939464"</f>
        <v>20190303161939464</v>
      </c>
      <c r="B3280" t="str">
        <f>"1551601179455900"</f>
        <v>1551601179455900</v>
      </c>
      <c r="C3280" t="s">
        <v>40</v>
      </c>
      <c r="D3280">
        <v>3.8696120000000001</v>
      </c>
      <c r="E3280">
        <v>0.46972320000000001</v>
      </c>
      <c r="F3280" t="s">
        <v>57</v>
      </c>
      <c r="G3280">
        <v>-512.82690000000002</v>
      </c>
      <c r="H3280">
        <v>5.3346519999999904</v>
      </c>
      <c r="I3280">
        <v>266.70650000000001</v>
      </c>
      <c r="J3280">
        <v>-294.42469999999997</v>
      </c>
      <c r="K3280">
        <v>1.1211580000000001</v>
      </c>
      <c r="L3280">
        <v>283.7516</v>
      </c>
      <c r="M3280">
        <v>-0.99992999999999999</v>
      </c>
      <c r="N3280">
        <v>-1.040518E-2</v>
      </c>
      <c r="O3280">
        <v>5.6448339999999996E-3</v>
      </c>
      <c r="P3280">
        <v>-0.98673250000000001</v>
      </c>
      <c r="Q3280">
        <v>0.16233320000000001</v>
      </c>
      <c r="R3280">
        <v>2.6734609999999998E-3</v>
      </c>
      <c r="S3280">
        <v>-3.03125</v>
      </c>
      <c r="T3280">
        <v>5.8438780000000003E-2</v>
      </c>
      <c r="U3280">
        <v>-0.23638919999999999</v>
      </c>
      <c r="V3280">
        <v>-2.8902440000000001E-3</v>
      </c>
      <c r="W3280">
        <v>0.17259179999999999</v>
      </c>
      <c r="X3280">
        <v>0.98498920000000001</v>
      </c>
      <c r="Y3280">
        <v>-8.3365300000000003E-2</v>
      </c>
      <c r="Z3280">
        <v>5.3518789999999999E-4</v>
      </c>
      <c r="AA3280">
        <v>0.99651889999999999</v>
      </c>
      <c r="AB3280">
        <v>27</v>
      </c>
      <c r="AC3280">
        <v>-218.40219999999999</v>
      </c>
      <c r="AD3280">
        <v>4.2134939999999901</v>
      </c>
      <c r="AE3280">
        <v>-17.045099999999898</v>
      </c>
      <c r="AF3280">
        <v>-18.270980027893099</v>
      </c>
      <c r="AG3280">
        <v>4.2134939999999901</v>
      </c>
      <c r="AH3280">
        <v>218.22176866184699</v>
      </c>
      <c r="AI3280">
        <v>88.897708571121896</v>
      </c>
      <c r="AJ3280">
        <v>94.786021550435393</v>
      </c>
      <c r="AK3280">
        <v>219.025849069858</v>
      </c>
      <c r="AL3280">
        <v>80.061453928724106</v>
      </c>
      <c r="AM3280">
        <v>90.168121952701298</v>
      </c>
      <c r="AN3280">
        <v>1.0000000035271199</v>
      </c>
    </row>
    <row r="3281" spans="1:40" x14ac:dyDescent="0.25">
      <c r="A3281" t="str">
        <f>"20190303161939480"</f>
        <v>20190303161939480</v>
      </c>
      <c r="B3281" t="str">
        <f>"1551601179475420"</f>
        <v>1551601179475420</v>
      </c>
      <c r="C3281" t="s">
        <v>40</v>
      </c>
      <c r="D3281">
        <v>3.8651309999999999</v>
      </c>
      <c r="E3281">
        <v>0.47001419999999999</v>
      </c>
      <c r="F3281" t="s">
        <v>57</v>
      </c>
      <c r="G3281">
        <v>-512.827</v>
      </c>
      <c r="H3281">
        <v>5.4096019999999996</v>
      </c>
      <c r="I3281">
        <v>266.84890000000001</v>
      </c>
      <c r="J3281">
        <v>-294.61110000000002</v>
      </c>
      <c r="K3281">
        <v>1.121164</v>
      </c>
      <c r="L3281">
        <v>283.75259999999997</v>
      </c>
      <c r="M3281">
        <v>-0.99992999999999999</v>
      </c>
      <c r="N3281">
        <v>-1.040876E-2</v>
      </c>
      <c r="O3281">
        <v>5.6446369999999897E-3</v>
      </c>
      <c r="P3281">
        <v>-0.98670429999999998</v>
      </c>
      <c r="Q3281">
        <v>0.1625037</v>
      </c>
      <c r="R3281">
        <v>2.705327E-3</v>
      </c>
      <c r="S3281">
        <v>-3.031158</v>
      </c>
      <c r="T3281">
        <v>5.9519410000000002E-2</v>
      </c>
      <c r="U3281">
        <v>-0.23458860000000001</v>
      </c>
      <c r="V3281">
        <v>-2.8582170000000001E-3</v>
      </c>
      <c r="W3281">
        <v>0.17276559999999999</v>
      </c>
      <c r="X3281">
        <v>0.98495880000000002</v>
      </c>
      <c r="Y3281">
        <v>-8.2778599999999994E-2</v>
      </c>
      <c r="Z3281">
        <v>5.49261E-4</v>
      </c>
      <c r="AA3281">
        <v>0.9965678</v>
      </c>
      <c r="AB3281">
        <v>27</v>
      </c>
      <c r="AC3281">
        <v>-218.2159</v>
      </c>
      <c r="AD3281">
        <v>4.2884379999999904</v>
      </c>
      <c r="AE3281">
        <v>-16.903699999999901</v>
      </c>
      <c r="AF3281">
        <v>-18.128287225283799</v>
      </c>
      <c r="AG3281">
        <v>4.2884379999999904</v>
      </c>
      <c r="AH3281">
        <v>218.03329804870901</v>
      </c>
      <c r="AI3281">
        <v>88.877083778768295</v>
      </c>
      <c r="AJ3281">
        <v>94.752901399135396</v>
      </c>
      <c r="AK3281">
        <v>218.82765948618001</v>
      </c>
      <c r="AL3281">
        <v>80.051343815582797</v>
      </c>
      <c r="AM3281">
        <v>90.1662641232911</v>
      </c>
      <c r="AN3281">
        <v>0.99999997982260902</v>
      </c>
    </row>
    <row r="3282" spans="1:40" x14ac:dyDescent="0.25">
      <c r="A3282" t="str">
        <f>"20190303161939494"</f>
        <v>20190303161939494</v>
      </c>
      <c r="B3282" t="str">
        <f>"1551601179486157"</f>
        <v>1551601179486157</v>
      </c>
      <c r="C3282" t="s">
        <v>40</v>
      </c>
      <c r="D3282">
        <v>3.875588</v>
      </c>
      <c r="E3282">
        <v>0.47012670000000001</v>
      </c>
      <c r="F3282" t="s">
        <v>57</v>
      </c>
      <c r="G3282">
        <v>-512.827</v>
      </c>
      <c r="H3282">
        <v>5.4066239999999999</v>
      </c>
      <c r="I3282">
        <v>267.03620000000001</v>
      </c>
      <c r="J3282">
        <v>-294.78730000000002</v>
      </c>
      <c r="K3282">
        <v>1.121165</v>
      </c>
      <c r="L3282">
        <v>283.75360000000001</v>
      </c>
      <c r="M3282">
        <v>-0.99992979999999998</v>
      </c>
      <c r="N3282">
        <v>-1.041065E-2</v>
      </c>
      <c r="O3282">
        <v>5.643609E-3</v>
      </c>
      <c r="P3282">
        <v>-0.98670179999999996</v>
      </c>
      <c r="Q3282">
        <v>0.16251849999999901</v>
      </c>
      <c r="R3282">
        <v>2.7387240000000001E-3</v>
      </c>
      <c r="S3282">
        <v>-3.03125</v>
      </c>
      <c r="T3282">
        <v>5.9530619999999999E-2</v>
      </c>
      <c r="U3282">
        <v>-0.23220830000000001</v>
      </c>
      <c r="V3282">
        <v>-2.823454E-3</v>
      </c>
      <c r="W3282">
        <v>0.17278199999999999</v>
      </c>
      <c r="X3282">
        <v>0.98495600000000005</v>
      </c>
      <c r="Y3282">
        <v>-8.1997340000000002E-2</v>
      </c>
      <c r="Z3282">
        <v>5.4576389999999998E-4</v>
      </c>
      <c r="AA3282">
        <v>0.99663239999999997</v>
      </c>
      <c r="AB3282">
        <v>27</v>
      </c>
      <c r="AC3282">
        <v>-218.03970000000001</v>
      </c>
      <c r="AD3282">
        <v>4.2854590000000004</v>
      </c>
      <c r="AE3282">
        <v>-16.717399999999898</v>
      </c>
      <c r="AF3282">
        <v>-17.940841318909499</v>
      </c>
      <c r="AG3282">
        <v>4.2854590000000004</v>
      </c>
      <c r="AH3282">
        <v>217.858209122473</v>
      </c>
      <c r="AI3282">
        <v>88.8768887828343</v>
      </c>
      <c r="AJ3282">
        <v>94.707741756544195</v>
      </c>
      <c r="AK3282">
        <v>218.63768711757399</v>
      </c>
      <c r="AL3282">
        <v>80.050389585475699</v>
      </c>
      <c r="AM3282">
        <v>90.1642424176747</v>
      </c>
      <c r="AN3282">
        <v>0.99999995667624397</v>
      </c>
    </row>
    <row r="3283" spans="1:40" x14ac:dyDescent="0.25">
      <c r="A3283" t="str">
        <f>"20190303161939508"</f>
        <v>20190303161939508</v>
      </c>
      <c r="B3283" t="str">
        <f>"1551601179495916"</f>
        <v>1551601179495916</v>
      </c>
      <c r="C3283" t="s">
        <v>40</v>
      </c>
      <c r="D3283">
        <v>3.890603</v>
      </c>
      <c r="E3283">
        <v>0.47019290000000002</v>
      </c>
      <c r="F3283" t="s">
        <v>57</v>
      </c>
      <c r="G3283">
        <v>-512.82690000000002</v>
      </c>
      <c r="H3283">
        <v>5.3634550000000001</v>
      </c>
      <c r="I3283">
        <v>267.1345</v>
      </c>
      <c r="J3283">
        <v>-294.94880000000001</v>
      </c>
      <c r="K3283">
        <v>1.1211660000000001</v>
      </c>
      <c r="L3283">
        <v>283.75450000000001</v>
      </c>
      <c r="M3283">
        <v>-0.99992990000000004</v>
      </c>
      <c r="N3283">
        <v>-1.041123E-2</v>
      </c>
      <c r="O3283">
        <v>5.6415689999999999E-3</v>
      </c>
      <c r="P3283">
        <v>-0.98671500000000001</v>
      </c>
      <c r="Q3283">
        <v>0.1624391</v>
      </c>
      <c r="R3283">
        <v>2.62868E-3</v>
      </c>
      <c r="S3283">
        <v>-3.0313110000000001</v>
      </c>
      <c r="T3283">
        <v>5.8979749999999997E-2</v>
      </c>
      <c r="U3283">
        <v>-0.23104859999999999</v>
      </c>
      <c r="V3283">
        <v>-2.9329260000000002E-3</v>
      </c>
      <c r="W3283">
        <v>0.17270350000000001</v>
      </c>
      <c r="X3283">
        <v>0.98496950000000005</v>
      </c>
      <c r="Y3283">
        <v>-8.161496E-2</v>
      </c>
      <c r="Z3283">
        <v>5.3550280000000004E-4</v>
      </c>
      <c r="AA3283">
        <v>0.99666379999999999</v>
      </c>
      <c r="AB3283">
        <v>27</v>
      </c>
      <c r="AC3283">
        <v>-217.87809999999999</v>
      </c>
      <c r="AD3283">
        <v>4.2422889999999898</v>
      </c>
      <c r="AE3283">
        <v>-16.62</v>
      </c>
      <c r="AF3283">
        <v>-17.842251256432998</v>
      </c>
      <c r="AG3283">
        <v>4.2422889999999898</v>
      </c>
      <c r="AH3283">
        <v>217.69880853620299</v>
      </c>
      <c r="AI3283">
        <v>88.887350203396906</v>
      </c>
      <c r="AJ3283">
        <v>94.685399621299297</v>
      </c>
      <c r="AK3283">
        <v>218.46993885644699</v>
      </c>
      <c r="AL3283">
        <v>80.054956470763599</v>
      </c>
      <c r="AM3283">
        <v>90.170608109963695</v>
      </c>
      <c r="AN3283">
        <v>1.00000000844871</v>
      </c>
    </row>
    <row r="3284" spans="1:40" x14ac:dyDescent="0.25">
      <c r="A3284" t="str">
        <f>"20190303161939521"</f>
        <v>20190303161939521</v>
      </c>
      <c r="B3284" t="str">
        <f>"1551601179515436"</f>
        <v>1551601179515436</v>
      </c>
      <c r="C3284" t="s">
        <v>40</v>
      </c>
      <c r="D3284">
        <v>3.867391</v>
      </c>
      <c r="E3284">
        <v>0.47039229999999999</v>
      </c>
      <c r="F3284" t="s">
        <v>57</v>
      </c>
      <c r="G3284">
        <v>-512.82690000000002</v>
      </c>
      <c r="H3284">
        <v>5.3336920000000001</v>
      </c>
      <c r="I3284">
        <v>267.15440000000001</v>
      </c>
      <c r="J3284">
        <v>-295.11430000000001</v>
      </c>
      <c r="K3284">
        <v>1.1211660000000001</v>
      </c>
      <c r="L3284">
        <v>283.75549999999998</v>
      </c>
      <c r="M3284">
        <v>-0.99992999999999999</v>
      </c>
      <c r="N3284">
        <v>-1.0409969999999999E-2</v>
      </c>
      <c r="O3284">
        <v>5.6375610000000001E-3</v>
      </c>
      <c r="P3284">
        <v>-0.98668409999999995</v>
      </c>
      <c r="Q3284">
        <v>0.16262750000000001</v>
      </c>
      <c r="R3284">
        <v>2.6300469999999999E-3</v>
      </c>
      <c r="S3284">
        <v>-3.031342</v>
      </c>
      <c r="T3284">
        <v>5.8609960000000003E-2</v>
      </c>
      <c r="U3284">
        <v>-0.230957</v>
      </c>
      <c r="V3284">
        <v>-2.9271929999999998E-3</v>
      </c>
      <c r="W3284">
        <v>0.17288999999999999</v>
      </c>
      <c r="X3284">
        <v>0.98493679999999995</v>
      </c>
      <c r="Y3284">
        <v>-8.1580449999999999E-2</v>
      </c>
      <c r="Z3284">
        <v>5.2961160000000002E-4</v>
      </c>
      <c r="AA3284">
        <v>0.99666659999999996</v>
      </c>
      <c r="AB3284">
        <v>27</v>
      </c>
      <c r="AC3284">
        <v>-217.71260000000001</v>
      </c>
      <c r="AD3284">
        <v>4.2125260000000004</v>
      </c>
      <c r="AE3284">
        <v>-16.601099999999899</v>
      </c>
      <c r="AF3284">
        <v>-17.821637060114501</v>
      </c>
      <c r="AG3284">
        <v>4.2125260000000004</v>
      </c>
      <c r="AH3284">
        <v>217.53457432695501</v>
      </c>
      <c r="AI3284">
        <v>88.894317488598205</v>
      </c>
      <c r="AJ3284">
        <v>94.683527965471598</v>
      </c>
      <c r="AK3284">
        <v>218.30402458592599</v>
      </c>
      <c r="AL3284">
        <v>80.0441076324515</v>
      </c>
      <c r="AM3284">
        <v>90.170280276802401</v>
      </c>
      <c r="AN3284">
        <v>1.0000000102765401</v>
      </c>
    </row>
    <row r="3285" spans="1:40" x14ac:dyDescent="0.25">
      <c r="A3285" t="str">
        <f>"20190303161939535"</f>
        <v>20190303161939535</v>
      </c>
      <c r="B3285" t="str">
        <f>"1551601179526173"</f>
        <v>1551601179526173</v>
      </c>
      <c r="C3285" t="s">
        <v>40</v>
      </c>
      <c r="D3285">
        <v>3.8815940000000002</v>
      </c>
      <c r="E3285">
        <v>0.47046949999999998</v>
      </c>
      <c r="F3285" t="s">
        <v>57</v>
      </c>
      <c r="G3285">
        <v>-512.82690000000002</v>
      </c>
      <c r="H3285">
        <v>5.3451839999999997</v>
      </c>
      <c r="I3285">
        <v>267.30169999999998</v>
      </c>
      <c r="J3285">
        <v>-295.29250000000002</v>
      </c>
      <c r="K3285">
        <v>1.121165</v>
      </c>
      <c r="L3285">
        <v>283.75650000000002</v>
      </c>
      <c r="M3285">
        <v>-0.99993010000000004</v>
      </c>
      <c r="N3285">
        <v>-1.0407599999999999E-2</v>
      </c>
      <c r="O3285">
        <v>5.6306239999999999E-3</v>
      </c>
      <c r="P3285">
        <v>-0.98666430000000005</v>
      </c>
      <c r="Q3285">
        <v>0.16274729999999901</v>
      </c>
      <c r="R3285">
        <v>2.6759050000000001E-3</v>
      </c>
      <c r="S3285">
        <v>-3.031342</v>
      </c>
      <c r="T3285">
        <v>5.8814529999999997E-2</v>
      </c>
      <c r="U3285">
        <v>-0.22909550000000001</v>
      </c>
      <c r="V3285">
        <v>-2.87594E-3</v>
      </c>
      <c r="W3285">
        <v>0.17300739999999901</v>
      </c>
      <c r="X3285">
        <v>0.98491629999999997</v>
      </c>
      <c r="Y3285">
        <v>-8.0964919999999996E-2</v>
      </c>
      <c r="Z3285">
        <v>5.2989379999999998E-4</v>
      </c>
      <c r="AA3285">
        <v>0.99671679999999996</v>
      </c>
      <c r="AB3285">
        <v>27</v>
      </c>
      <c r="AC3285">
        <v>-217.53440000000001</v>
      </c>
      <c r="AD3285">
        <v>4.2240190000000002</v>
      </c>
      <c r="AE3285">
        <v>-16.454799999999999</v>
      </c>
      <c r="AF3285">
        <v>-17.672834161202999</v>
      </c>
      <c r="AG3285">
        <v>4.2240190000000002</v>
      </c>
      <c r="AH3285">
        <v>217.35680790684501</v>
      </c>
      <c r="AI3285">
        <v>88.890339539234205</v>
      </c>
      <c r="AJ3285">
        <v>94.6483763210652</v>
      </c>
      <c r="AK3285">
        <v>218.11500028025301</v>
      </c>
      <c r="AL3285">
        <v>80.037277836465094</v>
      </c>
      <c r="AM3285">
        <v>90.167302293418999</v>
      </c>
      <c r="AN3285">
        <v>0.99999997474566604</v>
      </c>
    </row>
    <row r="3286" spans="1:40" x14ac:dyDescent="0.25">
      <c r="A3286" t="str">
        <f>"20190303161939548"</f>
        <v>20190303161939548</v>
      </c>
      <c r="B3286" t="str">
        <f>"1551601179535933"</f>
        <v>1551601179535933</v>
      </c>
      <c r="C3286" t="s">
        <v>40</v>
      </c>
      <c r="D3286">
        <v>3.8732449999999998</v>
      </c>
      <c r="E3286">
        <v>0.47052129999999998</v>
      </c>
      <c r="F3286" t="s">
        <v>57</v>
      </c>
      <c r="G3286">
        <v>-512.82690000000002</v>
      </c>
      <c r="H3286">
        <v>5.3658570000000001</v>
      </c>
      <c r="I3286">
        <v>267.35149999999999</v>
      </c>
      <c r="J3286">
        <v>-295.45139999999998</v>
      </c>
      <c r="K3286">
        <v>1.1211660000000001</v>
      </c>
      <c r="L3286">
        <v>283.75740000000002</v>
      </c>
      <c r="M3286">
        <v>-0.99993019999999999</v>
      </c>
      <c r="N3286">
        <v>-1.0405090000000001E-2</v>
      </c>
      <c r="O3286">
        <v>5.6226710000000001E-3</v>
      </c>
      <c r="P3286">
        <v>-0.98668129999999998</v>
      </c>
      <c r="Q3286">
        <v>0.16264200000000001</v>
      </c>
      <c r="R3286">
        <v>2.791955E-3</v>
      </c>
      <c r="S3286">
        <v>-3.0314030000000001</v>
      </c>
      <c r="T3286">
        <v>5.9152009999999998E-2</v>
      </c>
      <c r="U3286">
        <v>-0.22860720000000001</v>
      </c>
      <c r="V3286">
        <v>-2.7534159999999998E-3</v>
      </c>
      <c r="W3286">
        <v>0.1728999</v>
      </c>
      <c r="X3286">
        <v>0.98493560000000002</v>
      </c>
      <c r="Y3286">
        <v>-8.0795729999999996E-2</v>
      </c>
      <c r="Z3286">
        <v>5.340923E-4</v>
      </c>
      <c r="AA3286">
        <v>0.99673060000000002</v>
      </c>
      <c r="AB3286">
        <v>27</v>
      </c>
      <c r="AC3286">
        <v>-217.37549999999999</v>
      </c>
      <c r="AD3286">
        <v>4.2446910000000004</v>
      </c>
      <c r="AE3286">
        <v>-16.405899999999999</v>
      </c>
      <c r="AF3286">
        <v>-17.621256558461798</v>
      </c>
      <c r="AG3286">
        <v>4.2446910000000004</v>
      </c>
      <c r="AH3286">
        <v>217.19746442397599</v>
      </c>
      <c r="AI3286">
        <v>88.884076452697698</v>
      </c>
      <c r="AJ3286">
        <v>94.638254842083001</v>
      </c>
      <c r="AK3286">
        <v>217.95243663833901</v>
      </c>
      <c r="AL3286">
        <v>80.043532094988706</v>
      </c>
      <c r="AM3286">
        <v>90.160171594045494</v>
      </c>
      <c r="AN3286">
        <v>1.0000000464335099</v>
      </c>
    </row>
    <row r="3287" spans="1:40" x14ac:dyDescent="0.25">
      <c r="A3287" t="str">
        <f>"20190303161939570"</f>
        <v>20190303161939570</v>
      </c>
      <c r="B3287" t="str">
        <f>"1551601179566188"</f>
        <v>1551601179566188</v>
      </c>
      <c r="C3287" t="s">
        <v>40</v>
      </c>
      <c r="D3287">
        <v>3.874933</v>
      </c>
      <c r="E3287">
        <v>0.47071750000000001</v>
      </c>
      <c r="F3287" t="s">
        <v>57</v>
      </c>
      <c r="G3287">
        <v>-512.82690000000002</v>
      </c>
      <c r="H3287">
        <v>5.3090270000000004</v>
      </c>
      <c r="I3287">
        <v>267.42180000000002</v>
      </c>
      <c r="J3287">
        <v>-295.71379999999999</v>
      </c>
      <c r="K3287">
        <v>1.121173</v>
      </c>
      <c r="L3287">
        <v>283.75880000000001</v>
      </c>
      <c r="M3287">
        <v>-0.99993030000000005</v>
      </c>
      <c r="N3287">
        <v>-1.040057E-2</v>
      </c>
      <c r="O3287">
        <v>5.604146E-3</v>
      </c>
      <c r="P3287">
        <v>-0.98677979999999998</v>
      </c>
      <c r="Q3287">
        <v>0.1620453</v>
      </c>
      <c r="R3287">
        <v>2.6919190000000001E-3</v>
      </c>
      <c r="S3287">
        <v>-3.0314939999999999</v>
      </c>
      <c r="T3287">
        <v>5.8404449999999997E-2</v>
      </c>
      <c r="U3287">
        <v>-0.22781370000000001</v>
      </c>
      <c r="V3287">
        <v>-2.837787E-3</v>
      </c>
      <c r="W3287">
        <v>0.1722996</v>
      </c>
      <c r="X3287">
        <v>0.98504049999999999</v>
      </c>
      <c r="Y3287">
        <v>-8.0515939999999994E-2</v>
      </c>
      <c r="Z3287">
        <v>5.2112489999999996E-4</v>
      </c>
      <c r="AA3287">
        <v>0.99675320000000001</v>
      </c>
      <c r="AB3287">
        <v>28</v>
      </c>
      <c r="AC3287">
        <v>-217.1131</v>
      </c>
      <c r="AD3287">
        <v>4.1878539999999997</v>
      </c>
      <c r="AE3287">
        <v>-16.3369999999999</v>
      </c>
      <c r="AF3287">
        <v>-17.547050870178399</v>
      </c>
      <c r="AG3287">
        <v>4.1878539999999997</v>
      </c>
      <c r="AH3287">
        <v>216.93787124409201</v>
      </c>
      <c r="AI3287">
        <v>88.897676252378204</v>
      </c>
      <c r="AJ3287">
        <v>94.624310182761107</v>
      </c>
      <c r="AK3287">
        <v>217.68664886778001</v>
      </c>
      <c r="AL3287">
        <v>80.078450302630102</v>
      </c>
      <c r="AM3287">
        <v>90.165062013638703</v>
      </c>
      <c r="AN3287">
        <v>0.99999999591773303</v>
      </c>
    </row>
    <row r="3288" spans="1:40" x14ac:dyDescent="0.25">
      <c r="A3288" t="str">
        <f>"20190303161939581"</f>
        <v>20190303161939581</v>
      </c>
      <c r="B3288" t="str">
        <f>"1551601179575948"</f>
        <v>1551601179575948</v>
      </c>
      <c r="C3288" t="s">
        <v>40</v>
      </c>
      <c r="D3288">
        <v>3.8946320000000001</v>
      </c>
      <c r="E3288">
        <v>0.47080830000000001</v>
      </c>
      <c r="F3288" t="s">
        <v>57</v>
      </c>
      <c r="G3288">
        <v>-512.82680000000005</v>
      </c>
      <c r="H3288">
        <v>5.169861</v>
      </c>
      <c r="I3288">
        <v>267.50650000000002</v>
      </c>
      <c r="J3288">
        <v>-295.86329999999998</v>
      </c>
      <c r="K3288">
        <v>1.121176</v>
      </c>
      <c r="L3288">
        <v>283.75959999999998</v>
      </c>
      <c r="M3288">
        <v>-0.9999304</v>
      </c>
      <c r="N3288">
        <v>-1.039811E-2</v>
      </c>
      <c r="O3288">
        <v>5.5915440000000004E-3</v>
      </c>
      <c r="P3288">
        <v>-0.98681260000000004</v>
      </c>
      <c r="Q3288">
        <v>0.16184670000000001</v>
      </c>
      <c r="R3288">
        <v>2.6037679999999998E-3</v>
      </c>
      <c r="S3288">
        <v>-3.0315249999999998</v>
      </c>
      <c r="T3288">
        <v>5.653238E-2</v>
      </c>
      <c r="U3288">
        <v>-0.22692870000000001</v>
      </c>
      <c r="V3288">
        <v>-2.9153909999999998E-3</v>
      </c>
      <c r="W3288">
        <v>0.1720991</v>
      </c>
      <c r="X3288">
        <v>0.98507540000000005</v>
      </c>
      <c r="Y3288">
        <v>-8.0214079999999993E-2</v>
      </c>
      <c r="Z3288">
        <v>4.9133990000000002E-4</v>
      </c>
      <c r="AA3288">
        <v>0.99677749999999998</v>
      </c>
      <c r="AB3288">
        <v>28</v>
      </c>
      <c r="AC3288">
        <v>-216.96350000000001</v>
      </c>
      <c r="AD3288">
        <v>4.0486849999999999</v>
      </c>
      <c r="AE3288">
        <v>-16.2530999999999</v>
      </c>
      <c r="AF3288">
        <v>-17.460026306771901</v>
      </c>
      <c r="AG3288">
        <v>4.0486849999999999</v>
      </c>
      <c r="AH3288">
        <v>216.794152119693</v>
      </c>
      <c r="AI3288">
        <v>88.933563562075804</v>
      </c>
      <c r="AJ3288">
        <v>94.604511995382396</v>
      </c>
      <c r="AK3288">
        <v>217.53378763345901</v>
      </c>
      <c r="AL3288">
        <v>80.090113070796605</v>
      </c>
      <c r="AM3288">
        <v>90.169569874786106</v>
      </c>
      <c r="AN3288">
        <v>1.0000000717053199</v>
      </c>
    </row>
    <row r="3289" spans="1:40" x14ac:dyDescent="0.25">
      <c r="A3289" t="str">
        <f>"20190303161939595"</f>
        <v>20190303161939595</v>
      </c>
      <c r="B3289" t="str">
        <f>"1551601179585708"</f>
        <v>1551601179585708</v>
      </c>
      <c r="C3289" t="s">
        <v>40</v>
      </c>
      <c r="D3289">
        <v>3.916563</v>
      </c>
      <c r="E3289">
        <v>0.47080830000000001</v>
      </c>
      <c r="F3289" t="s">
        <v>57</v>
      </c>
      <c r="G3289">
        <v>-512.82680000000005</v>
      </c>
      <c r="H3289">
        <v>5.0852820000000003</v>
      </c>
      <c r="I3289">
        <v>267.54739999999998</v>
      </c>
      <c r="J3289">
        <v>-296.02370000000002</v>
      </c>
      <c r="K3289">
        <v>1.1211770000000001</v>
      </c>
      <c r="L3289">
        <v>283.76049999999998</v>
      </c>
      <c r="M3289">
        <v>-0.9999306</v>
      </c>
      <c r="N3289">
        <v>-1.0395690000000001E-2</v>
      </c>
      <c r="O3289">
        <v>5.5760250000000001E-3</v>
      </c>
      <c r="P3289">
        <v>-0.98684229999999995</v>
      </c>
      <c r="Q3289">
        <v>0.16167129999999999</v>
      </c>
      <c r="R3289">
        <v>2.2640899999999999E-3</v>
      </c>
      <c r="S3289">
        <v>-3.0316160000000001</v>
      </c>
      <c r="T3289">
        <v>5.539119E-2</v>
      </c>
      <c r="U3289">
        <v>-0.22653200000000001</v>
      </c>
      <c r="V3289">
        <v>-3.2405400000000001E-3</v>
      </c>
      <c r="W3289">
        <v>0.1719215</v>
      </c>
      <c r="X3289">
        <v>0.98510529999999996</v>
      </c>
      <c r="Y3289">
        <v>-8.0067109999999997E-2</v>
      </c>
      <c r="Z3289">
        <v>4.732119E-4</v>
      </c>
      <c r="AA3289">
        <v>0.99678929999999999</v>
      </c>
      <c r="AB3289">
        <v>28</v>
      </c>
      <c r="AC3289">
        <v>-216.8031</v>
      </c>
      <c r="AD3289">
        <v>3.964105</v>
      </c>
      <c r="AE3289">
        <v>-16.213099999999901</v>
      </c>
      <c r="AF3289">
        <v>-17.416022430518701</v>
      </c>
      <c r="AG3289">
        <v>3.964105</v>
      </c>
      <c r="AH3289">
        <v>216.637296772637</v>
      </c>
      <c r="AI3289">
        <v>88.955069267867103</v>
      </c>
      <c r="AJ3289">
        <v>94.596268390029294</v>
      </c>
      <c r="AK3289">
        <v>217.37237708298301</v>
      </c>
      <c r="AL3289">
        <v>80.100441822768602</v>
      </c>
      <c r="AM3289">
        <v>90.188475887435999</v>
      </c>
      <c r="AN3289">
        <v>0.999999977674915</v>
      </c>
    </row>
    <row r="3290" spans="1:40" x14ac:dyDescent="0.25">
      <c r="A3290" t="str">
        <f>"20190303161939616"</f>
        <v>20190303161939616</v>
      </c>
      <c r="B3290" t="str">
        <f>"1551601179606204"</f>
        <v>1551601179606204</v>
      </c>
      <c r="C3290" t="s">
        <v>40</v>
      </c>
      <c r="D3290">
        <v>3.8465470000000002</v>
      </c>
      <c r="E3290">
        <v>0.49693779999999999</v>
      </c>
      <c r="F3290" t="s">
        <v>57</v>
      </c>
      <c r="G3290">
        <v>-512.82680000000005</v>
      </c>
      <c r="H3290">
        <v>5.0359210000000001</v>
      </c>
      <c r="I3290">
        <v>267.5034</v>
      </c>
      <c r="J3290">
        <v>-296.28370000000001</v>
      </c>
      <c r="K3290">
        <v>1.1211789999999999</v>
      </c>
      <c r="L3290">
        <v>283.76190000000003</v>
      </c>
      <c r="M3290">
        <v>-0.9999306</v>
      </c>
      <c r="N3290">
        <v>-1.0392159999999999E-2</v>
      </c>
      <c r="O3290">
        <v>5.548285E-3</v>
      </c>
      <c r="P3290">
        <v>-0.98683050000000005</v>
      </c>
      <c r="Q3290">
        <v>0.161748799999999</v>
      </c>
      <c r="R3290">
        <v>1.7635319999999999E-3</v>
      </c>
      <c r="S3290">
        <v>-3.0315859999999999</v>
      </c>
      <c r="T3290">
        <v>5.4741379999999999E-2</v>
      </c>
      <c r="U3290">
        <v>-0.22732540000000001</v>
      </c>
      <c r="V3290">
        <v>-3.7153920000000001E-3</v>
      </c>
      <c r="W3290">
        <v>0.17199519999999999</v>
      </c>
      <c r="X3290">
        <v>0.98509080000000004</v>
      </c>
      <c r="Y3290">
        <v>-8.0299889999999999E-2</v>
      </c>
      <c r="Z3290">
        <v>4.6366879999999998E-4</v>
      </c>
      <c r="AA3290">
        <v>0.99677059999999995</v>
      </c>
      <c r="AB3290">
        <v>28</v>
      </c>
      <c r="AC3290">
        <v>-216.54310000000001</v>
      </c>
      <c r="AD3290">
        <v>3.9147419999999999</v>
      </c>
      <c r="AE3290">
        <v>-16.258500000000002</v>
      </c>
      <c r="AF3290">
        <v>-17.454084964108802</v>
      </c>
      <c r="AG3290">
        <v>3.9147419999999999</v>
      </c>
      <c r="AH3290">
        <v>216.379232883909</v>
      </c>
      <c r="AI3290">
        <v>88.966870442283394</v>
      </c>
      <c r="AJ3290">
        <v>94.611740274302704</v>
      </c>
      <c r="AK3290">
        <v>217.117347787527</v>
      </c>
      <c r="AL3290">
        <v>80.096155681637995</v>
      </c>
      <c r="AM3290">
        <v>90.216097106425593</v>
      </c>
      <c r="AN3290">
        <v>1.0000000186026901</v>
      </c>
    </row>
    <row r="3291" spans="1:40" x14ac:dyDescent="0.25">
      <c r="A3291" t="str">
        <f>"20190303161939631"</f>
        <v>20190303161939631</v>
      </c>
      <c r="B3291" t="str">
        <f>"1551601179625724"</f>
        <v>1551601179625724</v>
      </c>
      <c r="C3291" t="s">
        <v>40</v>
      </c>
      <c r="D3291">
        <v>3.826444</v>
      </c>
      <c r="E3291">
        <v>0.50322500000000003</v>
      </c>
      <c r="F3291" t="s">
        <v>58</v>
      </c>
      <c r="G3291">
        <v>0</v>
      </c>
      <c r="H3291">
        <v>0</v>
      </c>
      <c r="I3291">
        <v>0</v>
      </c>
      <c r="J3291">
        <v>-296.47030000000001</v>
      </c>
      <c r="K3291">
        <v>1.1211799999999901</v>
      </c>
      <c r="L3291">
        <v>283.76299999999998</v>
      </c>
      <c r="M3291">
        <v>-0.99993069999999895</v>
      </c>
      <c r="N3291">
        <v>-1.039006E-2</v>
      </c>
      <c r="O3291">
        <v>5.5264009999999898E-3</v>
      </c>
      <c r="P3291">
        <v>-0.98686339999999995</v>
      </c>
      <c r="Q3291">
        <v>0.16154849999999901</v>
      </c>
      <c r="R3291">
        <v>1.6968930000000001E-3</v>
      </c>
      <c r="S3291">
        <v>-3.0317690000000002</v>
      </c>
      <c r="T3291">
        <v>5.06022E-2</v>
      </c>
      <c r="U3291">
        <v>-2.053833E-2</v>
      </c>
      <c r="V3291">
        <v>-3.7610920000000002E-3</v>
      </c>
      <c r="W3291">
        <v>0.17179330000000001</v>
      </c>
      <c r="X3291">
        <v>0.98512580000000005</v>
      </c>
      <c r="Y3291">
        <v>-1.229801E-2</v>
      </c>
      <c r="Z3291">
        <v>1.8837580000000001E-4</v>
      </c>
      <c r="AA3291">
        <v>0.99992440000000005</v>
      </c>
      <c r="AB3291">
        <v>28</v>
      </c>
      <c r="AC3291">
        <v>-3.0317690000000002</v>
      </c>
      <c r="AD3291">
        <v>5.06022E-2</v>
      </c>
      <c r="AE3291">
        <v>-2.053833E-2</v>
      </c>
      <c r="AF3291">
        <v>-3.7283307022674697E-2</v>
      </c>
      <c r="AG3291">
        <v>5.06022E-2</v>
      </c>
      <c r="AH3291">
        <v>3.0307649234409499</v>
      </c>
      <c r="AI3291">
        <v>89.043540518940603</v>
      </c>
      <c r="AJ3291">
        <v>90.704795141409903</v>
      </c>
      <c r="AK3291">
        <v>3.0314166075924698</v>
      </c>
      <c r="AL3291">
        <v>80.107897928439201</v>
      </c>
      <c r="AM3291">
        <v>90.218747342661999</v>
      </c>
      <c r="AN3291">
        <v>0.99999996278178005</v>
      </c>
    </row>
    <row r="3292" spans="1:40" x14ac:dyDescent="0.25">
      <c r="A3292" t="str">
        <f>"20190303161939649"</f>
        <v>20190303161939649</v>
      </c>
      <c r="B3292" t="str">
        <f>"1551601179635484"</f>
        <v>1551601179635484</v>
      </c>
      <c r="C3292" t="s">
        <v>40</v>
      </c>
      <c r="D3292">
        <v>3.827887</v>
      </c>
      <c r="E3292">
        <v>0.50481100000000001</v>
      </c>
      <c r="F3292" t="s">
        <v>58</v>
      </c>
      <c r="G3292">
        <v>0</v>
      </c>
      <c r="H3292">
        <v>0</v>
      </c>
      <c r="I3292">
        <v>0</v>
      </c>
      <c r="J3292">
        <v>-296.68599999999998</v>
      </c>
      <c r="K3292">
        <v>1.121178</v>
      </c>
      <c r="L3292">
        <v>283.76409999999998</v>
      </c>
      <c r="M3292">
        <v>-0.99993089999999996</v>
      </c>
      <c r="N3292">
        <v>-1.0388150000000001E-2</v>
      </c>
      <c r="O3292">
        <v>5.4995139999999996E-3</v>
      </c>
      <c r="P3292">
        <v>-0.98692159999999995</v>
      </c>
      <c r="Q3292">
        <v>0.16119449999999999</v>
      </c>
      <c r="R3292">
        <v>1.5076270000000001E-3</v>
      </c>
      <c r="S3292">
        <v>-3.0312190000000001</v>
      </c>
      <c r="T3292">
        <v>5.292082E-2</v>
      </c>
      <c r="U3292">
        <v>2.9479979999999999E-2</v>
      </c>
      <c r="V3292">
        <v>-3.9248080000000001E-3</v>
      </c>
      <c r="W3292">
        <v>0.17143810000000001</v>
      </c>
      <c r="X3292">
        <v>0.98518709999999998</v>
      </c>
      <c r="Y3292">
        <v>4.2271660000000001E-3</v>
      </c>
      <c r="Z3292">
        <v>1.3818829999999999E-4</v>
      </c>
      <c r="AA3292">
        <v>0.99999110000000002</v>
      </c>
      <c r="AB3292">
        <v>28</v>
      </c>
      <c r="AC3292">
        <v>-3.0312190000000001</v>
      </c>
      <c r="AD3292">
        <v>5.292082E-2</v>
      </c>
      <c r="AE3292">
        <v>2.9479979999999999E-2</v>
      </c>
      <c r="AF3292">
        <v>1.2804500487249701E-2</v>
      </c>
      <c r="AG3292">
        <v>5.292082E-2</v>
      </c>
      <c r="AH3292">
        <v>3.0304117002792399</v>
      </c>
      <c r="AI3292">
        <v>88.999540425490906</v>
      </c>
      <c r="AJ3292">
        <v>89.757907656359393</v>
      </c>
      <c r="AK3292">
        <v>3.03090079705877</v>
      </c>
      <c r="AL3292">
        <v>80.128556483693998</v>
      </c>
      <c r="AM3292">
        <v>90.228254860584897</v>
      </c>
      <c r="AN3292">
        <v>1.0000000241279201</v>
      </c>
    </row>
    <row r="3293" spans="1:40" x14ac:dyDescent="0.25">
      <c r="A3293" t="str">
        <f>"20190303161939670"</f>
        <v>20190303161939670</v>
      </c>
      <c r="B3293" t="str">
        <f>"1551601179665740"</f>
        <v>1551601179665740</v>
      </c>
      <c r="C3293" t="s">
        <v>40</v>
      </c>
      <c r="D3293">
        <v>3.830076</v>
      </c>
      <c r="E3293">
        <v>0.50707609999999903</v>
      </c>
      <c r="F3293" t="s">
        <v>58</v>
      </c>
      <c r="G3293">
        <v>0</v>
      </c>
      <c r="H3293">
        <v>0</v>
      </c>
      <c r="I3293">
        <v>0</v>
      </c>
      <c r="J3293">
        <v>-296.95479999999998</v>
      </c>
      <c r="K3293">
        <v>1.121181</v>
      </c>
      <c r="L3293">
        <v>283.76549999999997</v>
      </c>
      <c r="M3293">
        <v>-0.99993120000000002</v>
      </c>
      <c r="N3293">
        <v>-1.0386640000000001E-2</v>
      </c>
      <c r="O3293">
        <v>5.463875E-3</v>
      </c>
      <c r="P3293">
        <v>-0.98688690000000001</v>
      </c>
      <c r="Q3293">
        <v>0.16140829999999901</v>
      </c>
      <c r="R3293">
        <v>1.381881E-3</v>
      </c>
      <c r="S3293">
        <v>-3.0310359999999998</v>
      </c>
      <c r="T3293">
        <v>5.278468E-2</v>
      </c>
      <c r="U3293">
        <v>4.1259770000000001E-2</v>
      </c>
      <c r="V3293">
        <v>-4.0153250000000001E-3</v>
      </c>
      <c r="W3293">
        <v>0.17165</v>
      </c>
      <c r="X3293">
        <v>0.98514979999999996</v>
      </c>
      <c r="Y3293">
        <v>8.1489149999999996E-3</v>
      </c>
      <c r="Z3293">
        <v>1.2326049999999999E-4</v>
      </c>
      <c r="AA3293">
        <v>0.99996680000000004</v>
      </c>
      <c r="AB3293">
        <v>28</v>
      </c>
      <c r="AC3293">
        <v>-3.0310359999999998</v>
      </c>
      <c r="AD3293">
        <v>5.278468E-2</v>
      </c>
      <c r="AE3293">
        <v>4.1259770000000001E-2</v>
      </c>
      <c r="AF3293">
        <v>2.4689573694994599E-2</v>
      </c>
      <c r="AG3293">
        <v>5.278468E-2</v>
      </c>
      <c r="AH3293">
        <v>3.0302973641946598</v>
      </c>
      <c r="AI3293">
        <v>89.002100173722297</v>
      </c>
      <c r="AJ3293">
        <v>89.533188694055994</v>
      </c>
      <c r="AK3293">
        <v>3.03085762003712</v>
      </c>
      <c r="AL3293">
        <v>80.116232456201402</v>
      </c>
      <c r="AM3293">
        <v>90.233527837001802</v>
      </c>
      <c r="AN3293">
        <v>0.99999998688744696</v>
      </c>
    </row>
    <row r="3294" spans="1:40" x14ac:dyDescent="0.25">
      <c r="A3294" t="str">
        <f>"20190303161939683"</f>
        <v>20190303161939683</v>
      </c>
      <c r="B3294" t="str">
        <f>"1551601179675500"</f>
        <v>1551601179675500</v>
      </c>
      <c r="C3294" t="s">
        <v>40</v>
      </c>
      <c r="D3294">
        <v>3.8427069999999999</v>
      </c>
      <c r="E3294">
        <v>0.50726910000000003</v>
      </c>
      <c r="F3294" t="s">
        <v>58</v>
      </c>
      <c r="G3294">
        <v>0</v>
      </c>
      <c r="H3294">
        <v>0</v>
      </c>
      <c r="I3294">
        <v>0</v>
      </c>
      <c r="J3294">
        <v>-297.11410000000001</v>
      </c>
      <c r="K3294">
        <v>1.121183</v>
      </c>
      <c r="L3294">
        <v>283.76639999999998</v>
      </c>
      <c r="M3294">
        <v>-0.99993129999999997</v>
      </c>
      <c r="N3294">
        <v>-1.038611E-2</v>
      </c>
      <c r="O3294">
        <v>5.4425389999999997E-3</v>
      </c>
      <c r="P3294">
        <v>-0.98690040000000001</v>
      </c>
      <c r="Q3294">
        <v>0.1613252</v>
      </c>
      <c r="R3294">
        <v>1.3418579999999901E-3</v>
      </c>
      <c r="S3294">
        <v>-3.031647</v>
      </c>
      <c r="T3294">
        <v>4.9726369999999999E-2</v>
      </c>
      <c r="U3294">
        <v>5.8990479999999998E-2</v>
      </c>
      <c r="V3294">
        <v>-4.0346449999999999E-3</v>
      </c>
      <c r="W3294">
        <v>0.17156640000000001</v>
      </c>
      <c r="X3294">
        <v>0.98516429999999999</v>
      </c>
      <c r="Y3294">
        <v>1.401372E-2</v>
      </c>
      <c r="Z3294">
        <v>1.036464E-4</v>
      </c>
      <c r="AA3294">
        <v>0.99990179999999995</v>
      </c>
      <c r="AB3294">
        <v>28</v>
      </c>
      <c r="AC3294">
        <v>-3.031647</v>
      </c>
      <c r="AD3294">
        <v>4.9726369999999999E-2</v>
      </c>
      <c r="AE3294">
        <v>5.8990479999999998E-2</v>
      </c>
      <c r="AF3294">
        <v>4.2477436193968598E-2</v>
      </c>
      <c r="AG3294">
        <v>4.9726369999999999E-2</v>
      </c>
      <c r="AH3294">
        <v>3.0311079900441</v>
      </c>
      <c r="AI3294">
        <v>89.060219584748907</v>
      </c>
      <c r="AJ3294">
        <v>89.197119164325699</v>
      </c>
      <c r="AK3294">
        <v>3.0318134328761301</v>
      </c>
      <c r="AL3294">
        <v>80.121094671249196</v>
      </c>
      <c r="AM3294">
        <v>90.234648005350294</v>
      </c>
      <c r="AN3294">
        <v>1.0000000029818601</v>
      </c>
    </row>
    <row r="3295" spans="1:40" x14ac:dyDescent="0.25">
      <c r="A3295" t="str">
        <f>"20190303161939695"</f>
        <v>20190303161939695</v>
      </c>
      <c r="B3295" t="str">
        <f>"1551601179686236"</f>
        <v>1551601179686236</v>
      </c>
      <c r="C3295" t="s">
        <v>40</v>
      </c>
      <c r="D3295">
        <v>3.8774989999999998</v>
      </c>
      <c r="E3295">
        <v>0.50759969999999999</v>
      </c>
      <c r="F3295" t="s">
        <v>58</v>
      </c>
      <c r="G3295">
        <v>0</v>
      </c>
      <c r="H3295">
        <v>0</v>
      </c>
      <c r="I3295">
        <v>0</v>
      </c>
      <c r="J3295">
        <v>-297.27069999999998</v>
      </c>
      <c r="K3295">
        <v>1.121183</v>
      </c>
      <c r="L3295">
        <v>283.7672</v>
      </c>
      <c r="M3295">
        <v>-0.99993140000000003</v>
      </c>
      <c r="N3295">
        <v>-1.038597E-2</v>
      </c>
      <c r="O3295">
        <v>5.4215009999999996E-3</v>
      </c>
      <c r="P3295">
        <v>-0.98686339999999995</v>
      </c>
      <c r="Q3295">
        <v>0.1615501</v>
      </c>
      <c r="R3295">
        <v>1.38771799999999E-3</v>
      </c>
      <c r="S3295">
        <v>-3.0316770000000002</v>
      </c>
      <c r="T3295">
        <v>4.9559350000000002E-2</v>
      </c>
      <c r="U3295">
        <v>6.0302729999999999E-2</v>
      </c>
      <c r="V3295">
        <v>-3.9677810000000001E-3</v>
      </c>
      <c r="W3295">
        <v>0.1717909</v>
      </c>
      <c r="X3295">
        <v>0.98512540000000004</v>
      </c>
      <c r="Y3295">
        <v>1.446717E-2</v>
      </c>
      <c r="Z3295">
        <v>1.018183E-4</v>
      </c>
      <c r="AA3295">
        <v>0.99989530000000004</v>
      </c>
      <c r="AB3295">
        <v>28</v>
      </c>
      <c r="AC3295">
        <v>-3.0316770000000002</v>
      </c>
      <c r="AD3295">
        <v>4.9559350000000002E-2</v>
      </c>
      <c r="AE3295">
        <v>6.0302729999999999E-2</v>
      </c>
      <c r="AF3295">
        <v>4.3853003567979297E-2</v>
      </c>
      <c r="AG3295">
        <v>4.9559350000000002E-2</v>
      </c>
      <c r="AH3295">
        <v>3.0311496952283501</v>
      </c>
      <c r="AI3295">
        <v>89.063394470939997</v>
      </c>
      <c r="AJ3295">
        <v>89.171134059038906</v>
      </c>
      <c r="AK3295">
        <v>3.0318719778343599</v>
      </c>
      <c r="AL3295">
        <v>80.108037437412193</v>
      </c>
      <c r="AM3295">
        <v>90.230768464638203</v>
      </c>
      <c r="AN3295">
        <v>0.99999995516701501</v>
      </c>
    </row>
    <row r="3296" spans="1:40" x14ac:dyDescent="0.25">
      <c r="A3296" t="str">
        <f>"20190303161939709"</f>
        <v>20190303161939709</v>
      </c>
      <c r="B3296" t="str">
        <f>"1551601179705623"</f>
        <v>1551601179705623</v>
      </c>
      <c r="C3296" t="s">
        <v>40</v>
      </c>
      <c r="D3296">
        <v>3.8836810000000002</v>
      </c>
      <c r="E3296">
        <v>0.50798659999999995</v>
      </c>
      <c r="F3296" t="s">
        <v>58</v>
      </c>
      <c r="G3296">
        <v>0</v>
      </c>
      <c r="H3296">
        <v>0</v>
      </c>
      <c r="I3296">
        <v>0</v>
      </c>
      <c r="J3296">
        <v>-297.43419999999998</v>
      </c>
      <c r="K3296">
        <v>1.121184</v>
      </c>
      <c r="L3296">
        <v>283.7681</v>
      </c>
      <c r="M3296">
        <v>-0.99993149999999997</v>
      </c>
      <c r="N3296">
        <v>-1.0386019999999999E-2</v>
      </c>
      <c r="O3296">
        <v>5.3996259999999898E-3</v>
      </c>
      <c r="P3296">
        <v>-0.98688290000000001</v>
      </c>
      <c r="Q3296">
        <v>0.1614321</v>
      </c>
      <c r="R3296">
        <v>1.4018189999999999E-3</v>
      </c>
      <c r="S3296">
        <v>-3.03186</v>
      </c>
      <c r="T3296">
        <v>4.8626540000000003E-2</v>
      </c>
      <c r="U3296">
        <v>6.3446039999999995E-2</v>
      </c>
      <c r="V3296">
        <v>-3.9316919999999997E-3</v>
      </c>
      <c r="W3296">
        <v>0.17167299999999999</v>
      </c>
      <c r="X3296">
        <v>0.98514619999999997</v>
      </c>
      <c r="Y3296">
        <v>1.5524E-2</v>
      </c>
      <c r="Z3296" s="1">
        <v>9.881624E-5</v>
      </c>
      <c r="AA3296">
        <v>0.99987950000000003</v>
      </c>
      <c r="AB3296">
        <v>28</v>
      </c>
      <c r="AC3296">
        <v>-3.03186</v>
      </c>
      <c r="AD3296">
        <v>4.8626540000000003E-2</v>
      </c>
      <c r="AE3296">
        <v>6.3446039999999995E-2</v>
      </c>
      <c r="AF3296">
        <v>4.7061221658956903E-2</v>
      </c>
      <c r="AG3296">
        <v>4.8626540000000003E-2</v>
      </c>
      <c r="AH3296">
        <v>3.03137896732163</v>
      </c>
      <c r="AI3296">
        <v>89.081104338083406</v>
      </c>
      <c r="AJ3296">
        <v>89.110572180445601</v>
      </c>
      <c r="AK3296">
        <v>3.03213418939472</v>
      </c>
      <c r="AL3296">
        <v>80.114895489600102</v>
      </c>
      <c r="AM3296">
        <v>90.228664701682504</v>
      </c>
      <c r="AN3296">
        <v>1.0000000562527001</v>
      </c>
    </row>
    <row r="3297" spans="1:40" x14ac:dyDescent="0.25">
      <c r="A3297" t="str">
        <f>"20190303161939720"</f>
        <v>20190303161939720</v>
      </c>
      <c r="B3297" t="str">
        <f>"1551601179716359"</f>
        <v>1551601179716359</v>
      </c>
      <c r="C3297" t="s">
        <v>40</v>
      </c>
      <c r="D3297">
        <v>3.8704749999999999</v>
      </c>
      <c r="E3297">
        <v>0.50813450000000004</v>
      </c>
      <c r="F3297" t="s">
        <v>58</v>
      </c>
      <c r="G3297">
        <v>0</v>
      </c>
      <c r="H3297">
        <v>0</v>
      </c>
      <c r="I3297">
        <v>0</v>
      </c>
      <c r="J3297">
        <v>-297.57920000000001</v>
      </c>
      <c r="K3297">
        <v>1.121184</v>
      </c>
      <c r="L3297">
        <v>283.76889999999997</v>
      </c>
      <c r="M3297">
        <v>-0.99993160000000003</v>
      </c>
      <c r="N3297">
        <v>-1.0386319999999999E-2</v>
      </c>
      <c r="O3297">
        <v>5.3807869999999997E-3</v>
      </c>
      <c r="P3297">
        <v>-0.98686119999999999</v>
      </c>
      <c r="Q3297">
        <v>0.1615646</v>
      </c>
      <c r="R3297">
        <v>1.422092E-3</v>
      </c>
      <c r="S3297">
        <v>-3.0321039999999999</v>
      </c>
      <c r="T3297">
        <v>4.7151680000000001E-2</v>
      </c>
      <c r="U3297">
        <v>6.6467289999999998E-2</v>
      </c>
      <c r="V3297">
        <v>-3.8930810000000001E-3</v>
      </c>
      <c r="W3297">
        <v>0.17180589999999901</v>
      </c>
      <c r="X3297">
        <v>0.98512310000000003</v>
      </c>
      <c r="Y3297">
        <v>1.653696E-2</v>
      </c>
      <c r="Z3297" s="1">
        <v>9.687078E-5</v>
      </c>
      <c r="AA3297">
        <v>0.99986330000000001</v>
      </c>
      <c r="AB3297">
        <v>28</v>
      </c>
      <c r="AC3297">
        <v>-3.0321039999999999</v>
      </c>
      <c r="AD3297">
        <v>4.7151680000000001E-2</v>
      </c>
      <c r="AE3297">
        <v>6.6467289999999998E-2</v>
      </c>
      <c r="AF3297">
        <v>5.0138223101757799E-2</v>
      </c>
      <c r="AG3297">
        <v>4.7151680000000001E-2</v>
      </c>
      <c r="AH3297">
        <v>3.03168497305467</v>
      </c>
      <c r="AI3297">
        <v>89.109074592241598</v>
      </c>
      <c r="AJ3297">
        <v>89.052524671338901</v>
      </c>
      <c r="AK3297">
        <v>3.0324661413094298</v>
      </c>
      <c r="AL3297">
        <v>80.107165205571107</v>
      </c>
      <c r="AM3297">
        <v>90.226424443229803</v>
      </c>
      <c r="AN3297">
        <v>0.99999997275404595</v>
      </c>
    </row>
    <row r="3298" spans="1:40" x14ac:dyDescent="0.25">
      <c r="A3298" t="str">
        <f>"20190303161939737"</f>
        <v>20190303161939737</v>
      </c>
      <c r="B3298" t="str">
        <f>"1551601179726120"</f>
        <v>1551601179726120</v>
      </c>
      <c r="C3298" t="s">
        <v>40</v>
      </c>
      <c r="D3298">
        <v>3.8711760000000002</v>
      </c>
      <c r="E3298">
        <v>0.50821810000000001</v>
      </c>
      <c r="F3298" t="s">
        <v>58</v>
      </c>
      <c r="G3298">
        <v>0</v>
      </c>
      <c r="H3298">
        <v>0</v>
      </c>
      <c r="I3298">
        <v>0</v>
      </c>
      <c r="J3298">
        <v>-297.78399999999999</v>
      </c>
      <c r="K3298">
        <v>1.121186</v>
      </c>
      <c r="L3298">
        <v>283.76990000000001</v>
      </c>
      <c r="M3298">
        <v>-0.99993180000000004</v>
      </c>
      <c r="N3298">
        <v>-1.038709E-2</v>
      </c>
      <c r="O3298">
        <v>5.3547319999999897E-3</v>
      </c>
      <c r="P3298">
        <v>-0.98690089999999997</v>
      </c>
      <c r="Q3298">
        <v>0.1613231</v>
      </c>
      <c r="R3298">
        <v>1.33556E-3</v>
      </c>
      <c r="S3298">
        <v>-3.031952</v>
      </c>
      <c r="T3298">
        <v>4.808486E-2</v>
      </c>
      <c r="U3298">
        <v>6.7657469999999997E-2</v>
      </c>
      <c r="V3298">
        <v>-3.9543159999999898E-3</v>
      </c>
      <c r="W3298">
        <v>0.17156540000000001</v>
      </c>
      <c r="X3298">
        <v>0.98516479999999995</v>
      </c>
      <c r="Y3298">
        <v>1.6956369999999998E-2</v>
      </c>
      <c r="Z3298" s="1">
        <v>9.4160449999999997E-5</v>
      </c>
      <c r="AA3298">
        <v>0.99985619999999997</v>
      </c>
      <c r="AB3298">
        <v>28</v>
      </c>
      <c r="AC3298">
        <v>-3.031952</v>
      </c>
      <c r="AD3298">
        <v>4.808486E-2</v>
      </c>
      <c r="AE3298">
        <v>6.7657469999999997E-2</v>
      </c>
      <c r="AF3298">
        <v>5.1407411450652002E-2</v>
      </c>
      <c r="AG3298">
        <v>4.808486E-2</v>
      </c>
      <c r="AH3298">
        <v>3.0315087295405498</v>
      </c>
      <c r="AI3298">
        <v>89.091398764357706</v>
      </c>
      <c r="AJ3298">
        <v>89.028488554469206</v>
      </c>
      <c r="AK3298">
        <v>3.03232584874941</v>
      </c>
      <c r="AL3298">
        <v>80.121152830793704</v>
      </c>
      <c r="AM3298">
        <v>90.229976143009694</v>
      </c>
      <c r="AN3298">
        <v>1.00000000312561</v>
      </c>
    </row>
    <row r="3299" spans="1:40" x14ac:dyDescent="0.25">
      <c r="A3299" t="str">
        <f>"20190303161939750"</f>
        <v>20190303161939750</v>
      </c>
      <c r="B3299" t="str">
        <f>"1551601179745639"</f>
        <v>1551601179745639</v>
      </c>
      <c r="C3299" t="s">
        <v>40</v>
      </c>
      <c r="D3299">
        <v>3.9071570000000002</v>
      </c>
      <c r="E3299">
        <v>0.50836239999999999</v>
      </c>
      <c r="F3299" t="s">
        <v>58</v>
      </c>
      <c r="G3299">
        <v>0</v>
      </c>
      <c r="H3299">
        <v>0</v>
      </c>
      <c r="I3299">
        <v>0</v>
      </c>
      <c r="J3299">
        <v>-297.93979999999999</v>
      </c>
      <c r="K3299">
        <v>1.121186</v>
      </c>
      <c r="L3299">
        <v>283.77080000000001</v>
      </c>
      <c r="M3299">
        <v>-0.99993180000000004</v>
      </c>
      <c r="N3299">
        <v>-1.038787E-2</v>
      </c>
      <c r="O3299">
        <v>5.3350569999999998E-3</v>
      </c>
      <c r="P3299">
        <v>-0.98692530000000001</v>
      </c>
      <c r="Q3299">
        <v>0.16117329999999999</v>
      </c>
      <c r="R3299">
        <v>1.38156E-3</v>
      </c>
      <c r="S3299">
        <v>-3.0319210000000001</v>
      </c>
      <c r="T3299">
        <v>4.7800660000000002E-2</v>
      </c>
      <c r="U3299">
        <v>6.7993159999999997E-2</v>
      </c>
      <c r="V3299">
        <v>-3.8891210000000002E-3</v>
      </c>
      <c r="W3299">
        <v>0.1714165</v>
      </c>
      <c r="X3299">
        <v>0.98519100000000004</v>
      </c>
      <c r="Y3299">
        <v>1.7086899999999999E-2</v>
      </c>
      <c r="Z3299" s="1">
        <v>9.3598530000000004E-5</v>
      </c>
      <c r="AA3299">
        <v>0.99985400000000002</v>
      </c>
      <c r="AB3299">
        <v>28</v>
      </c>
      <c r="AC3299">
        <v>-3.0319210000000001</v>
      </c>
      <c r="AD3299">
        <v>4.7800660000000002E-2</v>
      </c>
      <c r="AE3299">
        <v>6.7993159999999997E-2</v>
      </c>
      <c r="AF3299">
        <v>5.1802978195721001E-2</v>
      </c>
      <c r="AG3299">
        <v>4.7800660000000002E-2</v>
      </c>
      <c r="AH3299">
        <v>3.0314874843373798</v>
      </c>
      <c r="AI3299">
        <v>89.096763732769901</v>
      </c>
      <c r="AJ3299">
        <v>89.021007614755007</v>
      </c>
      <c r="AK3299">
        <v>3.03230684782074</v>
      </c>
      <c r="AL3299">
        <v>80.129812667882206</v>
      </c>
      <c r="AM3299">
        <v>90.226178539839296</v>
      </c>
      <c r="AN3299">
        <v>1.0000000241077001</v>
      </c>
    </row>
    <row r="3300" spans="1:40" x14ac:dyDescent="0.25">
      <c r="A3300" t="str">
        <f>"20190303161939761"</f>
        <v>20190303161939761</v>
      </c>
      <c r="B3300" t="str">
        <f>"1551601179755399"</f>
        <v>1551601179755399</v>
      </c>
      <c r="C3300" t="s">
        <v>40</v>
      </c>
      <c r="D3300">
        <v>3.9134280000000001</v>
      </c>
      <c r="E3300">
        <v>0.50842609999999999</v>
      </c>
      <c r="F3300" t="s">
        <v>58</v>
      </c>
      <c r="G3300">
        <v>0</v>
      </c>
      <c r="H3300">
        <v>0</v>
      </c>
      <c r="I3300">
        <v>0</v>
      </c>
      <c r="J3300">
        <v>-298.08150000000001</v>
      </c>
      <c r="K3300">
        <v>1.1211850000000001</v>
      </c>
      <c r="L3300">
        <v>283.7715</v>
      </c>
      <c r="M3300">
        <v>-0.99993189999999998</v>
      </c>
      <c r="N3300">
        <v>-1.038877E-2</v>
      </c>
      <c r="O3300">
        <v>5.3168740000000001E-3</v>
      </c>
      <c r="P3300">
        <v>-0.98694660000000001</v>
      </c>
      <c r="Q3300">
        <v>0.16104479999999999</v>
      </c>
      <c r="R3300">
        <v>1.1588460000000001E-3</v>
      </c>
      <c r="S3300">
        <v>-3.031952</v>
      </c>
      <c r="T3300">
        <v>4.7196870000000002E-2</v>
      </c>
      <c r="U3300">
        <v>6.9061280000000003E-2</v>
      </c>
      <c r="V3300">
        <v>-4.0935650000000004E-3</v>
      </c>
      <c r="W3300">
        <v>0.17128869999999999</v>
      </c>
      <c r="X3300">
        <v>0.98521239999999999</v>
      </c>
      <c r="Y3300">
        <v>1.7456909999999999E-2</v>
      </c>
      <c r="Z3300" s="1">
        <v>9.2821650000000003E-5</v>
      </c>
      <c r="AA3300">
        <v>0.99984759999999995</v>
      </c>
      <c r="AB3300">
        <v>28</v>
      </c>
      <c r="AC3300">
        <v>-3.031952</v>
      </c>
      <c r="AD3300">
        <v>4.7196870000000002E-2</v>
      </c>
      <c r="AE3300">
        <v>6.9061280000000003E-2</v>
      </c>
      <c r="AF3300">
        <v>5.2926108812286002E-2</v>
      </c>
      <c r="AG3300">
        <v>4.7196870000000002E-2</v>
      </c>
      <c r="AH3300">
        <v>3.0315421399966098</v>
      </c>
      <c r="AI3300">
        <v>89.108192806828896</v>
      </c>
      <c r="AJ3300">
        <v>88.999804560608197</v>
      </c>
      <c r="AK3300">
        <v>3.0323714258162702</v>
      </c>
      <c r="AL3300">
        <v>80.137244998743995</v>
      </c>
      <c r="AM3300">
        <v>90.238063028791601</v>
      </c>
      <c r="AN3300">
        <v>1.0000000245679199</v>
      </c>
    </row>
    <row r="3301" spans="1:40" x14ac:dyDescent="0.25">
      <c r="A3301" t="str">
        <f>"20190303161939773"</f>
        <v>20190303161939773</v>
      </c>
      <c r="B3301" t="str">
        <f>"1551601179766136"</f>
        <v>1551601179766136</v>
      </c>
      <c r="C3301" t="s">
        <v>40</v>
      </c>
      <c r="D3301">
        <v>3.9144670000000001</v>
      </c>
      <c r="E3301">
        <v>0.50855439999999996</v>
      </c>
      <c r="F3301" t="s">
        <v>58</v>
      </c>
      <c r="G3301">
        <v>0</v>
      </c>
      <c r="H3301">
        <v>0</v>
      </c>
      <c r="I3301">
        <v>0</v>
      </c>
      <c r="J3301">
        <v>-298.2294</v>
      </c>
      <c r="K3301">
        <v>1.1211869999999999</v>
      </c>
      <c r="L3301">
        <v>283.7722</v>
      </c>
      <c r="M3301">
        <v>-0.99993209999999999</v>
      </c>
      <c r="N3301">
        <v>-1.0389900000000001E-2</v>
      </c>
      <c r="O3301">
        <v>5.2980329999999997E-3</v>
      </c>
      <c r="P3301">
        <v>-0.9869675</v>
      </c>
      <c r="Q3301">
        <v>0.1609188</v>
      </c>
      <c r="R3301">
        <v>7.4185519999999999E-4</v>
      </c>
      <c r="S3301">
        <v>-3.031952</v>
      </c>
      <c r="T3301">
        <v>4.6622990000000003E-2</v>
      </c>
      <c r="U3301">
        <v>6.9244379999999994E-2</v>
      </c>
      <c r="V3301">
        <v>-4.4925119999999997E-3</v>
      </c>
      <c r="W3301">
        <v>0.1711647</v>
      </c>
      <c r="X3301">
        <v>0.9852322</v>
      </c>
      <c r="Y3301">
        <v>1.7536099999999999E-2</v>
      </c>
      <c r="Z3301" s="1">
        <v>9.2800550000000004E-5</v>
      </c>
      <c r="AA3301">
        <v>0.99984620000000002</v>
      </c>
      <c r="AB3301">
        <v>28</v>
      </c>
      <c r="AC3301">
        <v>-3.031952</v>
      </c>
      <c r="AD3301">
        <v>4.6622990000000003E-2</v>
      </c>
      <c r="AE3301">
        <v>6.9244379999999994E-2</v>
      </c>
      <c r="AF3301">
        <v>5.3166595869616202E-2</v>
      </c>
      <c r="AG3301">
        <v>4.6622990000000003E-2</v>
      </c>
      <c r="AH3301">
        <v>3.0315598562193902</v>
      </c>
      <c r="AI3301">
        <v>89.119041189691501</v>
      </c>
      <c r="AJ3301">
        <v>88.995266645995599</v>
      </c>
      <c r="AK3301">
        <v>3.03238446638183</v>
      </c>
      <c r="AL3301">
        <v>80.1444560527259</v>
      </c>
      <c r="AM3301">
        <v>90.261258404918294</v>
      </c>
      <c r="AN3301">
        <v>1.0000000125535</v>
      </c>
    </row>
    <row r="3302" spans="1:40" x14ac:dyDescent="0.25">
      <c r="A3302" t="str">
        <f>"20190303161939786"</f>
        <v>20190303161939786</v>
      </c>
      <c r="B3302" t="str">
        <f>"1551601179775895"</f>
        <v>1551601179775895</v>
      </c>
      <c r="C3302" t="s">
        <v>40</v>
      </c>
      <c r="D3302">
        <v>3.8949500000000001</v>
      </c>
      <c r="E3302">
        <v>0.50865700000000003</v>
      </c>
      <c r="F3302" t="s">
        <v>58</v>
      </c>
      <c r="G3302">
        <v>0</v>
      </c>
      <c r="H3302">
        <v>0</v>
      </c>
      <c r="I3302">
        <v>0</v>
      </c>
      <c r="J3302">
        <v>-298.38909999999998</v>
      </c>
      <c r="K3302">
        <v>1.1211869999999999</v>
      </c>
      <c r="L3302">
        <v>283.7731</v>
      </c>
      <c r="M3302">
        <v>-0.99993220000000005</v>
      </c>
      <c r="N3302">
        <v>-1.039124E-2</v>
      </c>
      <c r="O3302">
        <v>5.2780589999999999E-3</v>
      </c>
      <c r="P3302">
        <v>-0.98695109999999997</v>
      </c>
      <c r="Q3302">
        <v>0.16102040000000001</v>
      </c>
      <c r="R3302">
        <v>4.5438949999999998E-4</v>
      </c>
      <c r="S3302">
        <v>-3.0320429999999998</v>
      </c>
      <c r="T3302">
        <v>4.5902489999999997E-2</v>
      </c>
      <c r="U3302">
        <v>6.9335939999999999E-2</v>
      </c>
      <c r="V3302">
        <v>-4.7602089999999996E-3</v>
      </c>
      <c r="W3302">
        <v>0.17126759999999999</v>
      </c>
      <c r="X3302">
        <v>0.98521300000000001</v>
      </c>
      <c r="Y3302">
        <v>1.758556E-2</v>
      </c>
      <c r="Z3302" s="1">
        <v>9.3018239999999999E-5</v>
      </c>
      <c r="AA3302">
        <v>0.9998454</v>
      </c>
      <c r="AB3302">
        <v>28</v>
      </c>
      <c r="AC3302">
        <v>-3.0320429999999998</v>
      </c>
      <c r="AD3302">
        <v>4.5902489999999997E-2</v>
      </c>
      <c r="AE3302">
        <v>6.9335939999999999E-2</v>
      </c>
      <c r="AF3302">
        <v>5.3318596246065497E-2</v>
      </c>
      <c r="AG3302">
        <v>4.5902489999999997E-2</v>
      </c>
      <c r="AH3302">
        <v>3.0316722652853101</v>
      </c>
      <c r="AI3302">
        <v>89.132686118430499</v>
      </c>
      <c r="AJ3302">
        <v>88.992432112428503</v>
      </c>
      <c r="AK3302">
        <v>3.0324885218899098</v>
      </c>
      <c r="AL3302">
        <v>80.138471358506294</v>
      </c>
      <c r="AM3302">
        <v>90.276831266913106</v>
      </c>
      <c r="AN3302">
        <v>0.99999995288424004</v>
      </c>
    </row>
    <row r="3303" spans="1:40" x14ac:dyDescent="0.25">
      <c r="A3303" t="str">
        <f>"20190303161939797"</f>
        <v>20190303161939797</v>
      </c>
      <c r="B3303" t="str">
        <f>"1551601179785656"</f>
        <v>1551601179785656</v>
      </c>
      <c r="C3303" t="s">
        <v>40</v>
      </c>
      <c r="D3303">
        <v>3.9323169999999998</v>
      </c>
      <c r="E3303">
        <v>0.50875870000000001</v>
      </c>
      <c r="F3303" t="s">
        <v>58</v>
      </c>
      <c r="G3303">
        <v>0</v>
      </c>
      <c r="H3303">
        <v>0</v>
      </c>
      <c r="I3303">
        <v>0</v>
      </c>
      <c r="J3303">
        <v>-298.541</v>
      </c>
      <c r="K3303">
        <v>1.1211880000000001</v>
      </c>
      <c r="L3303">
        <v>283.77390000000003</v>
      </c>
      <c r="M3303">
        <v>-0.9999323</v>
      </c>
      <c r="N3303">
        <v>-1.0392749999999999E-2</v>
      </c>
      <c r="O3303">
        <v>5.2588590000000003E-3</v>
      </c>
      <c r="P3303">
        <v>-0.98694349999999997</v>
      </c>
      <c r="Q3303">
        <v>0.1610674</v>
      </c>
      <c r="R3303">
        <v>1.5398859999999999E-4</v>
      </c>
      <c r="S3303">
        <v>-3.0319210000000001</v>
      </c>
      <c r="T3303">
        <v>4.7223929999999997E-2</v>
      </c>
      <c r="U3303">
        <v>6.9152829999999998E-2</v>
      </c>
      <c r="V3303">
        <v>-5.0415679999999997E-3</v>
      </c>
      <c r="W3303">
        <v>0.17131550000000001</v>
      </c>
      <c r="X3303">
        <v>0.9852033</v>
      </c>
      <c r="Y3303">
        <v>1.75453E-2</v>
      </c>
      <c r="Z3303" s="1">
        <v>9.1111430000000005E-5</v>
      </c>
      <c r="AA3303">
        <v>0.99984600000000001</v>
      </c>
      <c r="AB3303">
        <v>28</v>
      </c>
      <c r="AC3303">
        <v>-3.0319210000000001</v>
      </c>
      <c r="AD3303">
        <v>4.7223929999999997E-2</v>
      </c>
      <c r="AE3303">
        <v>6.9152829999999998E-2</v>
      </c>
      <c r="AF3303">
        <v>5.31936716190958E-2</v>
      </c>
      <c r="AG3303">
        <v>4.7223929999999997E-2</v>
      </c>
      <c r="AH3303">
        <v>3.03150769749938</v>
      </c>
      <c r="AI3303">
        <v>89.107672822450098</v>
      </c>
      <c r="AJ3303">
        <v>88.9947377857915</v>
      </c>
      <c r="AK3303">
        <v>3.0323420958498399</v>
      </c>
      <c r="AL3303">
        <v>80.1356859914073</v>
      </c>
      <c r="AM3303">
        <v>90.293196386106203</v>
      </c>
      <c r="AN3303">
        <v>0.99999998013951896</v>
      </c>
    </row>
    <row r="3304" spans="1:40" x14ac:dyDescent="0.25">
      <c r="A3304" t="str">
        <f>"20190303161939810"</f>
        <v>20190303161939810</v>
      </c>
      <c r="B3304" t="str">
        <f>"1551601179806152"</f>
        <v>1551601179806152</v>
      </c>
      <c r="C3304" t="s">
        <v>40</v>
      </c>
      <c r="D3304">
        <v>3.929602</v>
      </c>
      <c r="E3304">
        <v>0.50877829999999902</v>
      </c>
      <c r="F3304" t="s">
        <v>58</v>
      </c>
      <c r="G3304">
        <v>0</v>
      </c>
      <c r="H3304">
        <v>0</v>
      </c>
      <c r="I3304">
        <v>0</v>
      </c>
      <c r="J3304">
        <v>-298.68579999999997</v>
      </c>
      <c r="K3304">
        <v>1.1211869999999999</v>
      </c>
      <c r="L3304">
        <v>283.77460000000002</v>
      </c>
      <c r="M3304">
        <v>-0.99993220000000005</v>
      </c>
      <c r="N3304">
        <v>-1.039429E-2</v>
      </c>
      <c r="O3304">
        <v>5.2408510000000004E-3</v>
      </c>
      <c r="P3304">
        <v>-0.98695540000000004</v>
      </c>
      <c r="Q3304">
        <v>0.16099359999999999</v>
      </c>
      <c r="R3304">
        <v>1.2023890000000001E-4</v>
      </c>
      <c r="S3304">
        <v>-3.0319820000000002</v>
      </c>
      <c r="T3304">
        <v>4.7341590000000003E-2</v>
      </c>
      <c r="U3304">
        <v>6.8939210000000001E-2</v>
      </c>
      <c r="V3304">
        <v>-5.0576049999999997E-3</v>
      </c>
      <c r="W3304">
        <v>0.17124310000000001</v>
      </c>
      <c r="X3304">
        <v>0.98521579999999997</v>
      </c>
      <c r="Y3304">
        <v>1.7492440000000001E-2</v>
      </c>
      <c r="Z3304" s="1">
        <v>9.0667400000000005E-5</v>
      </c>
      <c r="AA3304">
        <v>0.99984700000000004</v>
      </c>
      <c r="AB3304">
        <v>28</v>
      </c>
      <c r="AC3304">
        <v>-3.0319820000000002</v>
      </c>
      <c r="AD3304">
        <v>4.7341590000000003E-2</v>
      </c>
      <c r="AE3304">
        <v>6.8939210000000001E-2</v>
      </c>
      <c r="AF3304">
        <v>5.3034315024254597E-2</v>
      </c>
      <c r="AG3304">
        <v>4.7341590000000003E-2</v>
      </c>
      <c r="AH3304">
        <v>3.0315629648731899</v>
      </c>
      <c r="AI3304">
        <v>89.105465397402796</v>
      </c>
      <c r="AJ3304">
        <v>88.997766984057606</v>
      </c>
      <c r="AK3304">
        <v>3.0323963914212402</v>
      </c>
      <c r="AL3304">
        <v>80.139896380533102</v>
      </c>
      <c r="AM3304">
        <v>90.294125282484202</v>
      </c>
      <c r="AN3304">
        <v>0.99999997561779197</v>
      </c>
    </row>
    <row r="3305" spans="1:40" x14ac:dyDescent="0.25">
      <c r="A3305" t="str">
        <f>"20190303161939823"</f>
        <v>20190303161939823</v>
      </c>
      <c r="B3305" t="str">
        <f>"1551601179817865"</f>
        <v>1551601179817865</v>
      </c>
      <c r="C3305" t="s">
        <v>40</v>
      </c>
      <c r="D3305">
        <v>3.9320940000000002</v>
      </c>
      <c r="E3305">
        <v>0.50877829999999902</v>
      </c>
      <c r="F3305" t="s">
        <v>58</v>
      </c>
      <c r="G3305">
        <v>0</v>
      </c>
      <c r="H3305">
        <v>0</v>
      </c>
      <c r="I3305">
        <v>0</v>
      </c>
      <c r="J3305">
        <v>-298.85629999999998</v>
      </c>
      <c r="K3305">
        <v>1.121186</v>
      </c>
      <c r="L3305">
        <v>283.77539999999999</v>
      </c>
      <c r="M3305">
        <v>-0.99993240000000005</v>
      </c>
      <c r="N3305">
        <v>-1.0396270000000001E-2</v>
      </c>
      <c r="O3305">
        <v>5.2195000000000002E-3</v>
      </c>
      <c r="P3305">
        <v>-0.98693260000000005</v>
      </c>
      <c r="Q3305">
        <v>0.161134</v>
      </c>
      <c r="R3305" s="1">
        <v>-6.5523669999999995E-5</v>
      </c>
      <c r="S3305">
        <v>-3.0321349999999998</v>
      </c>
      <c r="T3305">
        <v>4.6017170000000003E-2</v>
      </c>
      <c r="U3305">
        <v>6.9122310000000006E-2</v>
      </c>
      <c r="V3305">
        <v>-5.2223690000000001E-3</v>
      </c>
      <c r="W3305">
        <v>0.1713855</v>
      </c>
      <c r="X3305">
        <v>0.98519020000000002</v>
      </c>
      <c r="Y3305">
        <v>1.757299E-2</v>
      </c>
      <c r="Z3305" s="1">
        <v>9.1490469999999999E-5</v>
      </c>
      <c r="AA3305">
        <v>0.9998456</v>
      </c>
      <c r="AB3305">
        <v>28</v>
      </c>
      <c r="AC3305">
        <v>-3.0321349999999998</v>
      </c>
      <c r="AD3305">
        <v>4.6017170000000003E-2</v>
      </c>
      <c r="AE3305">
        <v>6.9122310000000006E-2</v>
      </c>
      <c r="AF3305">
        <v>5.3282019542125601E-2</v>
      </c>
      <c r="AG3305">
        <v>4.6017170000000003E-2</v>
      </c>
      <c r="AH3305">
        <v>3.0317565668239701</v>
      </c>
      <c r="AI3305">
        <v>89.130543587618604</v>
      </c>
      <c r="AJ3305">
        <v>88.993151156056896</v>
      </c>
      <c r="AK3305">
        <v>3.0325738958880399</v>
      </c>
      <c r="AL3305">
        <v>80.131615241187603</v>
      </c>
      <c r="AM3305">
        <v>90.303714856470705</v>
      </c>
      <c r="AN3305">
        <v>0.999999996462131</v>
      </c>
    </row>
    <row r="3306" spans="1:40" x14ac:dyDescent="0.25">
      <c r="A3306" t="str">
        <f>"20190303161939839"</f>
        <v>20190303161939839</v>
      </c>
      <c r="B3306" t="str">
        <f>"1551601179825671"</f>
        <v>1551601179825671</v>
      </c>
      <c r="C3306" t="s">
        <v>40</v>
      </c>
      <c r="D3306">
        <v>3.9795199999999999</v>
      </c>
      <c r="E3306">
        <v>0.51660419999999996</v>
      </c>
      <c r="F3306" t="s">
        <v>58</v>
      </c>
      <c r="G3306">
        <v>0</v>
      </c>
      <c r="H3306">
        <v>0</v>
      </c>
      <c r="I3306">
        <v>0</v>
      </c>
      <c r="J3306">
        <v>-299.04660000000001</v>
      </c>
      <c r="K3306">
        <v>1.1211850000000001</v>
      </c>
      <c r="L3306">
        <v>283.77640000000002</v>
      </c>
      <c r="M3306">
        <v>-0.9999325</v>
      </c>
      <c r="N3306">
        <v>-1.039874E-2</v>
      </c>
      <c r="O3306">
        <v>5.1952910000000003E-3</v>
      </c>
      <c r="P3306">
        <v>-0.9869</v>
      </c>
      <c r="Q3306">
        <v>0.16133310000000001</v>
      </c>
      <c r="R3306">
        <v>-3.1951910000000002E-4</v>
      </c>
      <c r="S3306">
        <v>-3.0321039999999999</v>
      </c>
      <c r="T3306">
        <v>4.6438340000000002E-2</v>
      </c>
      <c r="U3306">
        <v>6.8267820000000007E-2</v>
      </c>
      <c r="V3306">
        <v>-5.451895E-3</v>
      </c>
      <c r="W3306">
        <v>0.17158660000000001</v>
      </c>
      <c r="X3306">
        <v>0.98515399999999997</v>
      </c>
      <c r="Y3306">
        <v>1.7315799999999999E-2</v>
      </c>
      <c r="Z3306" s="1">
        <v>9.1038190000000005E-5</v>
      </c>
      <c r="AA3306">
        <v>0.99985009999999996</v>
      </c>
      <c r="AB3306">
        <v>28</v>
      </c>
      <c r="AC3306">
        <v>-3.0321039999999999</v>
      </c>
      <c r="AD3306">
        <v>4.6438340000000002E-2</v>
      </c>
      <c r="AE3306">
        <v>6.8267820000000007E-2</v>
      </c>
      <c r="AF3306">
        <v>5.2501076483216599E-2</v>
      </c>
      <c r="AG3306">
        <v>4.6438340000000002E-2</v>
      </c>
      <c r="AH3306">
        <v>3.0317069905390999</v>
      </c>
      <c r="AI3306">
        <v>89.122568884163201</v>
      </c>
      <c r="AJ3306">
        <v>89.007889130723598</v>
      </c>
      <c r="AK3306">
        <v>3.0325171325051898</v>
      </c>
      <c r="AL3306">
        <v>80.119920285420093</v>
      </c>
      <c r="AM3306">
        <v>90.317074675681297</v>
      </c>
      <c r="AN3306">
        <v>1.00000004408732</v>
      </c>
    </row>
    <row r="3307" spans="1:40" x14ac:dyDescent="0.25">
      <c r="A3307" t="str">
        <f>"20190303161939852"</f>
        <v>20190303161939852</v>
      </c>
      <c r="B3307" t="str">
        <f>"1551601179846167"</f>
        <v>1551601179846167</v>
      </c>
      <c r="C3307" t="s">
        <v>40</v>
      </c>
      <c r="D3307">
        <v>3.9466670000000001</v>
      </c>
      <c r="E3307">
        <v>0.51859169999999999</v>
      </c>
      <c r="F3307" t="s">
        <v>52</v>
      </c>
      <c r="G3307">
        <v>-322.37700000000001</v>
      </c>
      <c r="H3307" s="1">
        <v>-2.7825030000000002E-7</v>
      </c>
      <c r="I3307">
        <v>284.76280000000003</v>
      </c>
      <c r="J3307">
        <v>-299.21559999999999</v>
      </c>
      <c r="K3307">
        <v>1.121184</v>
      </c>
      <c r="L3307">
        <v>283.77730000000003</v>
      </c>
      <c r="M3307">
        <v>-0.99993259999999995</v>
      </c>
      <c r="N3307">
        <v>-1.040108E-2</v>
      </c>
      <c r="O3307">
        <v>5.173942E-3</v>
      </c>
      <c r="P3307">
        <v>-0.98691010000000001</v>
      </c>
      <c r="Q3307">
        <v>0.1612711</v>
      </c>
      <c r="R3307">
        <v>-4.5205510000000001E-4</v>
      </c>
      <c r="S3307">
        <v>-3.063904</v>
      </c>
      <c r="T3307">
        <v>-0.1472415</v>
      </c>
      <c r="U3307">
        <v>0.1295471</v>
      </c>
      <c r="V3307">
        <v>-5.5637560000000004E-3</v>
      </c>
      <c r="W3307">
        <v>0.17152690000000001</v>
      </c>
      <c r="X3307">
        <v>0.98516369999999998</v>
      </c>
      <c r="Y3307">
        <v>3.7025559999999999E-2</v>
      </c>
      <c r="Z3307">
        <v>8.8692289999999895E-4</v>
      </c>
      <c r="AA3307">
        <v>0.99931400000000004</v>
      </c>
      <c r="AB3307">
        <v>28</v>
      </c>
      <c r="AC3307">
        <v>-23.1614</v>
      </c>
      <c r="AD3307">
        <v>-1.1211842782503001</v>
      </c>
      <c r="AE3307">
        <v>0.98550000000000104</v>
      </c>
      <c r="AF3307">
        <v>0.86362453645008996</v>
      </c>
      <c r="AG3307">
        <v>-1.1211842782503001</v>
      </c>
      <c r="AH3307">
        <v>23.112128807028899</v>
      </c>
      <c r="AI3307">
        <v>92.7753441577741</v>
      </c>
      <c r="AJ3307">
        <v>87.860040043058802</v>
      </c>
      <c r="AK3307">
        <v>23.1554183619828</v>
      </c>
      <c r="AL3307">
        <v>80.123391622678696</v>
      </c>
      <c r="AM3307">
        <v>90.323577033919193</v>
      </c>
      <c r="AN3307">
        <v>0.99999997430106302</v>
      </c>
    </row>
    <row r="3308" spans="1:40" x14ac:dyDescent="0.25">
      <c r="A3308" t="str">
        <f>"20190303161939872"</f>
        <v>20190303161939872</v>
      </c>
      <c r="B3308" t="str">
        <f>"1551601179865689"</f>
        <v>1551601179865689</v>
      </c>
      <c r="C3308" t="s">
        <v>40</v>
      </c>
      <c r="D3308">
        <v>3.953478</v>
      </c>
      <c r="E3308">
        <v>0.53200199999999997</v>
      </c>
      <c r="F3308" t="s">
        <v>56</v>
      </c>
      <c r="G3308">
        <v>-315.48559999999998</v>
      </c>
      <c r="H3308" s="1">
        <v>4.6560139999999999E-6</v>
      </c>
      <c r="I3308">
        <v>284.54309999999998</v>
      </c>
      <c r="J3308">
        <v>-299.45940000000002</v>
      </c>
      <c r="K3308">
        <v>1.121181</v>
      </c>
      <c r="L3308">
        <v>283.77839999999998</v>
      </c>
      <c r="M3308">
        <v>-0.99993279999999995</v>
      </c>
      <c r="N3308">
        <v>-1.0404689999999999E-2</v>
      </c>
      <c r="O3308">
        <v>5.1431089999999999E-3</v>
      </c>
      <c r="P3308">
        <v>-0.98686079999999998</v>
      </c>
      <c r="Q3308">
        <v>0.16157179999999999</v>
      </c>
      <c r="R3308">
        <v>-7.6586380000000004E-4</v>
      </c>
      <c r="S3308">
        <v>-3.0744630000000002</v>
      </c>
      <c r="T3308">
        <v>-0.211864</v>
      </c>
      <c r="U3308">
        <v>0.14471439999999999</v>
      </c>
      <c r="V3308">
        <v>-5.8467079999999999E-3</v>
      </c>
      <c r="W3308">
        <v>0.17183080000000001</v>
      </c>
      <c r="X3308">
        <v>0.98510920000000002</v>
      </c>
      <c r="Y3308">
        <v>4.1774350000000002E-2</v>
      </c>
      <c r="Z3308">
        <v>1.3542459999999999E-3</v>
      </c>
      <c r="AA3308">
        <v>0.99912610000000002</v>
      </c>
      <c r="AB3308">
        <v>28</v>
      </c>
      <c r="AC3308">
        <v>-16.0261999999999</v>
      </c>
      <c r="AD3308">
        <v>-1.1211763439860001</v>
      </c>
      <c r="AE3308">
        <v>0.76470000000000404</v>
      </c>
      <c r="AF3308">
        <v>0.67894555728350903</v>
      </c>
      <c r="AG3308">
        <v>-1.1211763439860001</v>
      </c>
      <c r="AH3308">
        <v>15.952025211623999</v>
      </c>
      <c r="AI3308">
        <v>94.016755692913193</v>
      </c>
      <c r="AJ3308">
        <v>87.562864251397301</v>
      </c>
      <c r="AK3308">
        <v>16.005783698912001</v>
      </c>
      <c r="AL3308">
        <v>80.1057179944913</v>
      </c>
      <c r="AM3308">
        <v>90.340051396474607</v>
      </c>
      <c r="AN3308">
        <v>1.00000007187385</v>
      </c>
    </row>
    <row r="3309" spans="1:40" x14ac:dyDescent="0.25">
      <c r="A3309" t="str">
        <f>"20190303161939886"</f>
        <v>20190303161939886</v>
      </c>
      <c r="B3309" t="str">
        <f>"1551601179875447"</f>
        <v>1551601179875447</v>
      </c>
      <c r="C3309" t="s">
        <v>40</v>
      </c>
      <c r="D3309">
        <v>3.888029</v>
      </c>
      <c r="E3309">
        <v>0.53197810000000001</v>
      </c>
      <c r="F3309" t="s">
        <v>42</v>
      </c>
      <c r="G3309">
        <v>-300.30259999999998</v>
      </c>
      <c r="H3309">
        <v>0.94070149999999997</v>
      </c>
      <c r="I3309">
        <v>283.84519999999998</v>
      </c>
      <c r="J3309">
        <v>-299.63510000000002</v>
      </c>
      <c r="K3309">
        <v>1.121184</v>
      </c>
      <c r="L3309">
        <v>283.77940000000001</v>
      </c>
      <c r="M3309">
        <v>-0.99993290000000001</v>
      </c>
      <c r="N3309">
        <v>-1.0407430000000001E-2</v>
      </c>
      <c r="O3309">
        <v>5.1205670000000003E-3</v>
      </c>
      <c r="P3309">
        <v>-0.98684919999999998</v>
      </c>
      <c r="Q3309">
        <v>0.16164289999999901</v>
      </c>
      <c r="R3309">
        <v>-6.2512699999999995E-4</v>
      </c>
      <c r="S3309">
        <v>-3.1505429999999999</v>
      </c>
      <c r="T3309">
        <v>-0.67432569999999903</v>
      </c>
      <c r="U3309">
        <v>0.24948119999999999</v>
      </c>
      <c r="V3309">
        <v>-5.6836350000000002E-3</v>
      </c>
      <c r="W3309">
        <v>0.17190459999999999</v>
      </c>
      <c r="X3309">
        <v>0.98509720000000001</v>
      </c>
      <c r="Y3309">
        <v>7.2231050000000005E-2</v>
      </c>
      <c r="Z3309">
        <v>6.9833650000000001E-3</v>
      </c>
      <c r="AA3309">
        <v>0.99736349999999996</v>
      </c>
      <c r="AB3309">
        <v>28</v>
      </c>
      <c r="AC3309">
        <v>-0.66749999999996101</v>
      </c>
      <c r="AD3309">
        <v>-0.18048249999999999</v>
      </c>
      <c r="AE3309">
        <v>6.5799999999967398E-2</v>
      </c>
      <c r="AF3309">
        <v>5.8169237703425601E-2</v>
      </c>
      <c r="AG3309">
        <v>-0.18048249999999999</v>
      </c>
      <c r="AH3309">
        <v>0.62273886798158096</v>
      </c>
      <c r="AI3309">
        <v>106.096254931481</v>
      </c>
      <c r="AJ3309">
        <v>84.663559371537801</v>
      </c>
      <c r="AK3309">
        <v>0.65096950060369896</v>
      </c>
      <c r="AL3309">
        <v>80.101424921738897</v>
      </c>
      <c r="AM3309">
        <v>90.330571119700096</v>
      </c>
      <c r="AN3309">
        <v>0.99999999432790598</v>
      </c>
    </row>
    <row r="3310" spans="1:40" x14ac:dyDescent="0.25">
      <c r="A3310" t="str">
        <f>"20190303161939897"</f>
        <v>20190303161939897</v>
      </c>
      <c r="B3310" t="str">
        <f>"1551601179886183"</f>
        <v>1551601179886183</v>
      </c>
      <c r="C3310" t="s">
        <v>40</v>
      </c>
      <c r="D3310">
        <v>3.9537749999999998</v>
      </c>
      <c r="E3310">
        <v>0.53201519999999902</v>
      </c>
      <c r="F3310" t="s">
        <v>42</v>
      </c>
      <c r="G3310">
        <v>-300.54219999999998</v>
      </c>
      <c r="H3310">
        <v>0.91922099999999995</v>
      </c>
      <c r="I3310">
        <v>283.85149999999999</v>
      </c>
      <c r="J3310">
        <v>-299.79480000000001</v>
      </c>
      <c r="K3310">
        <v>1.1211850000000001</v>
      </c>
      <c r="L3310">
        <v>283.78019999999998</v>
      </c>
      <c r="M3310">
        <v>-0.99993279999999995</v>
      </c>
      <c r="N3310">
        <v>-1.0410040000000001E-2</v>
      </c>
      <c r="O3310">
        <v>5.1008809999999998E-3</v>
      </c>
      <c r="P3310">
        <v>-0.98682219999999998</v>
      </c>
      <c r="Q3310">
        <v>0.1618079</v>
      </c>
      <c r="R3310">
        <v>-5.658716E-4</v>
      </c>
      <c r="S3310">
        <v>-3.1552120000000001</v>
      </c>
      <c r="T3310">
        <v>-0.70248849999999996</v>
      </c>
      <c r="U3310">
        <v>0.25021359999999998</v>
      </c>
      <c r="V3310">
        <v>-5.6045549999999998E-3</v>
      </c>
      <c r="W3310">
        <v>0.1720718</v>
      </c>
      <c r="X3310">
        <v>0.98506839999999996</v>
      </c>
      <c r="Y3310">
        <v>7.223773E-2</v>
      </c>
      <c r="Z3310">
        <v>7.2459330000000004E-3</v>
      </c>
      <c r="AA3310">
        <v>0.9973611</v>
      </c>
      <c r="AB3310">
        <v>28</v>
      </c>
      <c r="AC3310">
        <v>-0.74739999999996998</v>
      </c>
      <c r="AD3310">
        <v>-0.201964</v>
      </c>
      <c r="AE3310">
        <v>7.1300000000007899E-2</v>
      </c>
      <c r="AF3310">
        <v>6.2932574988329201E-2</v>
      </c>
      <c r="AG3310">
        <v>-0.201964</v>
      </c>
      <c r="AH3310">
        <v>0.697296596563031</v>
      </c>
      <c r="AI3310">
        <v>106.091058841042</v>
      </c>
      <c r="AJ3310">
        <v>84.842899991639001</v>
      </c>
      <c r="AK3310">
        <v>0.72867860533231599</v>
      </c>
      <c r="AL3310">
        <v>80.091699555312502</v>
      </c>
      <c r="AM3310">
        <v>90.325981305161903</v>
      </c>
      <c r="AN3310">
        <v>0.99999993403527099</v>
      </c>
    </row>
    <row r="3311" spans="1:40" x14ac:dyDescent="0.25">
      <c r="A3311" t="str">
        <f>"20190303161939911"</f>
        <v>20190303161939911</v>
      </c>
      <c r="B3311" t="str">
        <f>"1551601179906211"</f>
        <v>1551601179906211</v>
      </c>
      <c r="C3311" t="s">
        <v>40</v>
      </c>
      <c r="D3311">
        <v>3.9663550000000001</v>
      </c>
      <c r="E3311">
        <v>0.5322076</v>
      </c>
      <c r="F3311" t="s">
        <v>42</v>
      </c>
      <c r="G3311">
        <v>-300.5564</v>
      </c>
      <c r="H3311">
        <v>0.94774999999999998</v>
      </c>
      <c r="I3311">
        <v>283.8408</v>
      </c>
      <c r="J3311">
        <v>-299.94889999999998</v>
      </c>
      <c r="K3311">
        <v>1.121186</v>
      </c>
      <c r="L3311">
        <v>283.78089999999997</v>
      </c>
      <c r="M3311">
        <v>-0.99993279999999995</v>
      </c>
      <c r="N3311">
        <v>-1.0412640000000001E-2</v>
      </c>
      <c r="O3311">
        <v>5.0817340000000001E-3</v>
      </c>
      <c r="P3311">
        <v>-0.98679380000000005</v>
      </c>
      <c r="Q3311">
        <v>0.1619797</v>
      </c>
      <c r="R3311">
        <v>-7.5768959999999996E-4</v>
      </c>
      <c r="S3311">
        <v>-3.1581419999999998</v>
      </c>
      <c r="T3311">
        <v>-0.71922249999999999</v>
      </c>
      <c r="U3311">
        <v>0.2507935</v>
      </c>
      <c r="V3311">
        <v>-5.7777019999999896E-3</v>
      </c>
      <c r="W3311">
        <v>0.17224610000000001</v>
      </c>
      <c r="X3311">
        <v>0.98503700000000005</v>
      </c>
      <c r="Y3311">
        <v>7.2287249999999997E-2</v>
      </c>
      <c r="Z3311">
        <v>7.4080889999999996E-3</v>
      </c>
      <c r="AA3311">
        <v>0.99735640000000003</v>
      </c>
      <c r="AB3311">
        <v>28</v>
      </c>
      <c r="AC3311">
        <v>-0.60750000000001503</v>
      </c>
      <c r="AD3311">
        <v>-0.17343600000000001</v>
      </c>
      <c r="AE3311">
        <v>5.9900000000027299E-2</v>
      </c>
      <c r="AF3311">
        <v>5.2568544173564803E-2</v>
      </c>
      <c r="AG3311">
        <v>-0.17343600000000001</v>
      </c>
      <c r="AH3311">
        <v>0.56239938508110598</v>
      </c>
      <c r="AI3311">
        <v>107.06896854059799</v>
      </c>
      <c r="AJ3311">
        <v>84.659969982671299</v>
      </c>
      <c r="AK3311">
        <v>0.59087779300980103</v>
      </c>
      <c r="AL3311">
        <v>80.081562152953595</v>
      </c>
      <c r="AM3311">
        <v>90.3360626490703</v>
      </c>
      <c r="AN3311">
        <v>0.99999999608730505</v>
      </c>
    </row>
    <row r="3312" spans="1:40" x14ac:dyDescent="0.25">
      <c r="A3312" t="str">
        <f>"20190303161939926"</f>
        <v>20190303161939926</v>
      </c>
      <c r="B3312" t="str">
        <f>"1551601179915971"</f>
        <v>1551601179915971</v>
      </c>
      <c r="C3312" t="s">
        <v>40</v>
      </c>
      <c r="D3312">
        <v>3.9999579999999999</v>
      </c>
      <c r="E3312">
        <v>0.53210789999999997</v>
      </c>
      <c r="F3312" t="s">
        <v>42</v>
      </c>
      <c r="G3312">
        <v>-300.79570000000001</v>
      </c>
      <c r="H3312">
        <v>0.92517780000000005</v>
      </c>
      <c r="I3312">
        <v>283.8485</v>
      </c>
      <c r="J3312">
        <v>-300.14789999999999</v>
      </c>
      <c r="K3312">
        <v>1.1211880000000001</v>
      </c>
      <c r="L3312">
        <v>283.78190000000001</v>
      </c>
      <c r="M3312">
        <v>-0.99993310000000002</v>
      </c>
      <c r="N3312">
        <v>-1.0416079999999999E-2</v>
      </c>
      <c r="O3312">
        <v>5.0566220000000002E-3</v>
      </c>
      <c r="P3312">
        <v>-0.98674519999999999</v>
      </c>
      <c r="Q3312">
        <v>0.16227710000000001</v>
      </c>
      <c r="R3312">
        <v>-5.8910720000000002E-4</v>
      </c>
      <c r="S3312">
        <v>-3.160431</v>
      </c>
      <c r="T3312">
        <v>-0.73157119999999998</v>
      </c>
      <c r="U3312">
        <v>0.25161739999999999</v>
      </c>
      <c r="V3312">
        <v>-5.5843560000000004E-3</v>
      </c>
      <c r="W3312">
        <v>0.17254620000000001</v>
      </c>
      <c r="X3312">
        <v>0.98498560000000002</v>
      </c>
      <c r="Y3312">
        <v>7.2450990000000007E-2</v>
      </c>
      <c r="Z3312">
        <v>7.5450140000000001E-3</v>
      </c>
      <c r="AA3312">
        <v>0.99734339999999999</v>
      </c>
      <c r="AB3312">
        <v>28</v>
      </c>
      <c r="AC3312">
        <v>-0.64780000000001703</v>
      </c>
      <c r="AD3312">
        <v>-0.196010199999999</v>
      </c>
      <c r="AE3312">
        <v>6.6599999999993997E-2</v>
      </c>
      <c r="AF3312">
        <v>5.80630132406139E-2</v>
      </c>
      <c r="AG3312">
        <v>-0.196010199999999</v>
      </c>
      <c r="AH3312">
        <v>0.594288344657113</v>
      </c>
      <c r="AI3312">
        <v>108.172959536623</v>
      </c>
      <c r="AJ3312">
        <v>84.419812386303207</v>
      </c>
      <c r="AK3312">
        <v>0.62846634643862298</v>
      </c>
      <c r="AL3312">
        <v>80.064106416918506</v>
      </c>
      <c r="AM3312">
        <v>90.324833786408703</v>
      </c>
      <c r="AN3312">
        <v>1.00000000418686</v>
      </c>
    </row>
    <row r="3313" spans="1:40" x14ac:dyDescent="0.25">
      <c r="A3313" t="str">
        <f>"20190303161939940"</f>
        <v>20190303161939940</v>
      </c>
      <c r="B3313" t="str">
        <f>"1551601179935492"</f>
        <v>1551601179935492</v>
      </c>
      <c r="C3313" t="s">
        <v>40</v>
      </c>
      <c r="D3313">
        <v>3.9959380000000002</v>
      </c>
      <c r="E3313">
        <v>0.53196679999999996</v>
      </c>
      <c r="F3313" t="s">
        <v>42</v>
      </c>
      <c r="G3313">
        <v>-301.041</v>
      </c>
      <c r="H3313">
        <v>0.91367920000000002</v>
      </c>
      <c r="I3313">
        <v>283.85309999999998</v>
      </c>
      <c r="J3313">
        <v>-300.32459999999998</v>
      </c>
      <c r="K3313">
        <v>1.1211899999999999</v>
      </c>
      <c r="L3313">
        <v>283.78280000000001</v>
      </c>
      <c r="M3313">
        <v>-0.99993310000000002</v>
      </c>
      <c r="N3313">
        <v>-1.041926E-2</v>
      </c>
      <c r="O3313">
        <v>5.0346109999999996E-3</v>
      </c>
      <c r="P3313">
        <v>-0.98670170000000001</v>
      </c>
      <c r="Q3313">
        <v>0.1625412</v>
      </c>
      <c r="R3313">
        <v>-3.7741990000000002E-4</v>
      </c>
      <c r="S3313">
        <v>-3.1612550000000001</v>
      </c>
      <c r="T3313">
        <v>-0.73460130000000001</v>
      </c>
      <c r="U3313">
        <v>0.25109860000000001</v>
      </c>
      <c r="V3313">
        <v>-5.3506719999999999E-3</v>
      </c>
      <c r="W3313">
        <v>0.17281299999999999</v>
      </c>
      <c r="X3313">
        <v>0.98494009999999999</v>
      </c>
      <c r="Y3313">
        <v>7.2279889999999999E-2</v>
      </c>
      <c r="Z3313">
        <v>7.5564229999999996E-3</v>
      </c>
      <c r="AA3313">
        <v>0.99735580000000001</v>
      </c>
      <c r="AB3313">
        <v>28</v>
      </c>
      <c r="AC3313">
        <v>-0.71640000000002102</v>
      </c>
      <c r="AD3313">
        <v>-0.207510799999999</v>
      </c>
      <c r="AE3313">
        <v>7.0299999999974702E-2</v>
      </c>
      <c r="AF3313">
        <v>6.1575138697760601E-2</v>
      </c>
      <c r="AG3313">
        <v>-0.207510799999999</v>
      </c>
      <c r="AH3313">
        <v>0.66175233600121497</v>
      </c>
      <c r="AI3313">
        <v>107.339878003189</v>
      </c>
      <c r="AJ3313">
        <v>84.684013793399899</v>
      </c>
      <c r="AK3313">
        <v>0.69625310342242197</v>
      </c>
      <c r="AL3313">
        <v>80.048586540718304</v>
      </c>
      <c r="AM3313">
        <v>90.311255382315196</v>
      </c>
      <c r="AN3313">
        <v>0.99999998162393</v>
      </c>
    </row>
    <row r="3314" spans="1:40" x14ac:dyDescent="0.25">
      <c r="A3314" t="str">
        <f>"20190303161939954"</f>
        <v>20190303161939954</v>
      </c>
      <c r="B3314" t="str">
        <f>"1551601179946227"</f>
        <v>1551601179946227</v>
      </c>
      <c r="C3314" t="s">
        <v>40</v>
      </c>
      <c r="D3314">
        <v>4.0068289999999998</v>
      </c>
      <c r="E3314">
        <v>0.53195209999999904</v>
      </c>
      <c r="F3314" t="s">
        <v>42</v>
      </c>
      <c r="G3314">
        <v>-301.05880000000002</v>
      </c>
      <c r="H3314">
        <v>0.95020559999999998</v>
      </c>
      <c r="I3314">
        <v>283.84129999999999</v>
      </c>
      <c r="J3314">
        <v>-300.47910000000002</v>
      </c>
      <c r="K3314">
        <v>1.1211899999999999</v>
      </c>
      <c r="L3314">
        <v>283.7835</v>
      </c>
      <c r="M3314">
        <v>-0.99993319999999997</v>
      </c>
      <c r="N3314">
        <v>-1.04221E-2</v>
      </c>
      <c r="O3314">
        <v>5.0150469999999999E-3</v>
      </c>
      <c r="P3314">
        <v>-0.98669119999999999</v>
      </c>
      <c r="Q3314">
        <v>0.16260469999999999</v>
      </c>
      <c r="R3314">
        <v>-4.5905220000000001E-4</v>
      </c>
      <c r="S3314">
        <v>-3.161835</v>
      </c>
      <c r="T3314">
        <v>-0.73633029999999999</v>
      </c>
      <c r="U3314">
        <v>0.25067139999999999</v>
      </c>
      <c r="V3314">
        <v>-5.4130719999999997E-3</v>
      </c>
      <c r="W3314">
        <v>0.17287920000000001</v>
      </c>
      <c r="X3314">
        <v>0.98492809999999997</v>
      </c>
      <c r="Y3314">
        <v>7.2146370000000001E-2</v>
      </c>
      <c r="Z3314">
        <v>7.5599150000000004E-3</v>
      </c>
      <c r="AA3314">
        <v>0.99736539999999996</v>
      </c>
      <c r="AB3314">
        <v>28</v>
      </c>
      <c r="AC3314">
        <v>-0.57970000000000199</v>
      </c>
      <c r="AD3314">
        <v>-0.17098439999999901</v>
      </c>
      <c r="AE3314">
        <v>5.7799999999986001E-2</v>
      </c>
      <c r="AF3314">
        <v>5.0538456689706301E-2</v>
      </c>
      <c r="AG3314">
        <v>-0.17098439999999901</v>
      </c>
      <c r="AH3314">
        <v>0.53398459804975795</v>
      </c>
      <c r="AI3314">
        <v>107.681251105917</v>
      </c>
      <c r="AJ3314">
        <v>84.593401080669295</v>
      </c>
      <c r="AK3314">
        <v>0.56296478717793597</v>
      </c>
      <c r="AL3314">
        <v>80.044735186909506</v>
      </c>
      <c r="AM3314">
        <v>90.314889033223807</v>
      </c>
      <c r="AN3314">
        <v>0.99999994065536102</v>
      </c>
    </row>
    <row r="3315" spans="1:40" x14ac:dyDescent="0.25">
      <c r="A3315" t="str">
        <f>"20190303161939967"</f>
        <v>20190303161939967</v>
      </c>
      <c r="B3315" t="str">
        <f>"1551601179955987"</f>
        <v>1551601179955987</v>
      </c>
      <c r="C3315" t="s">
        <v>40</v>
      </c>
      <c r="D3315">
        <v>4.0082269999999998</v>
      </c>
      <c r="E3315">
        <v>0.53174670000000002</v>
      </c>
      <c r="F3315" t="s">
        <v>42</v>
      </c>
      <c r="G3315">
        <v>-301.2996</v>
      </c>
      <c r="H3315">
        <v>0.92953339999999995</v>
      </c>
      <c r="I3315">
        <v>283.84840000000003</v>
      </c>
      <c r="J3315">
        <v>-300.65069999999997</v>
      </c>
      <c r="K3315">
        <v>1.1211899999999999</v>
      </c>
      <c r="L3315">
        <v>283.78440000000001</v>
      </c>
      <c r="M3315">
        <v>-0.99993319999999997</v>
      </c>
      <c r="N3315">
        <v>-1.04252999999999E-2</v>
      </c>
      <c r="O3315">
        <v>4.9933360000000001E-3</v>
      </c>
      <c r="P3315">
        <v>-0.98667709999999997</v>
      </c>
      <c r="Q3315">
        <v>0.1626919</v>
      </c>
      <c r="R3315">
        <v>-1.8801070000000001E-4</v>
      </c>
      <c r="S3315">
        <v>-3.1623540000000001</v>
      </c>
      <c r="T3315">
        <v>-0.73865000000000003</v>
      </c>
      <c r="U3315">
        <v>0.2494507</v>
      </c>
      <c r="V3315">
        <v>-5.1199280000000002E-3</v>
      </c>
      <c r="W3315">
        <v>0.1729694</v>
      </c>
      <c r="X3315">
        <v>0.98491390000000001</v>
      </c>
      <c r="Y3315">
        <v>7.177153E-2</v>
      </c>
      <c r="Z3315">
        <v>7.5405580000000002E-3</v>
      </c>
      <c r="AA3315">
        <v>0.99739259999999996</v>
      </c>
      <c r="AB3315">
        <v>28</v>
      </c>
      <c r="AC3315">
        <v>-0.64890000000002601</v>
      </c>
      <c r="AD3315">
        <v>-0.19165659999999901</v>
      </c>
      <c r="AE3315">
        <v>6.4000000000021304E-2</v>
      </c>
      <c r="AF3315">
        <v>5.5927042466537402E-2</v>
      </c>
      <c r="AG3315">
        <v>-0.19165659999999901</v>
      </c>
      <c r="AH3315">
        <v>0.59758338079041395</v>
      </c>
      <c r="AI3315">
        <v>107.70953169663601</v>
      </c>
      <c r="AJ3315">
        <v>84.653337266823002</v>
      </c>
      <c r="AK3315">
        <v>0.63005236560107802</v>
      </c>
      <c r="AL3315">
        <v>80.039488744662407</v>
      </c>
      <c r="AM3315">
        <v>90.297840880778296</v>
      </c>
      <c r="AN3315">
        <v>1.00000000870614</v>
      </c>
    </row>
    <row r="3316" spans="1:40" x14ac:dyDescent="0.25">
      <c r="A3316" t="str">
        <f>"20190303161939983"</f>
        <v>20190303161939983</v>
      </c>
      <c r="B3316" t="str">
        <f>"1551601179975507"</f>
        <v>1551601179975507</v>
      </c>
      <c r="C3316" t="s">
        <v>40</v>
      </c>
      <c r="D3316">
        <v>4.0437709999999996</v>
      </c>
      <c r="E3316">
        <v>0.53169259999999996</v>
      </c>
      <c r="F3316" t="s">
        <v>42</v>
      </c>
      <c r="G3316">
        <v>-301.5428</v>
      </c>
      <c r="H3316">
        <v>0.91270110000000004</v>
      </c>
      <c r="I3316">
        <v>283.85469999999998</v>
      </c>
      <c r="J3316">
        <v>-300.85449999999997</v>
      </c>
      <c r="K3316">
        <v>1.121191</v>
      </c>
      <c r="L3316">
        <v>283.78539999999998</v>
      </c>
      <c r="M3316">
        <v>-0.99993339999999997</v>
      </c>
      <c r="N3316">
        <v>-1.042921E-2</v>
      </c>
      <c r="O3316">
        <v>4.9676260000000002E-3</v>
      </c>
      <c r="P3316">
        <v>-0.98665040000000004</v>
      </c>
      <c r="Q3316">
        <v>0.1628531</v>
      </c>
      <c r="R3316">
        <v>-1.6651400000000001E-4</v>
      </c>
      <c r="S3316">
        <v>-3.162445</v>
      </c>
      <c r="T3316">
        <v>-0.73916280000000001</v>
      </c>
      <c r="U3316">
        <v>0.24850459999999999</v>
      </c>
      <c r="V3316">
        <v>-5.073284E-3</v>
      </c>
      <c r="W3316">
        <v>0.17313419999999999</v>
      </c>
      <c r="X3316">
        <v>0.98488520000000002</v>
      </c>
      <c r="Y3316">
        <v>7.1502759999999999E-2</v>
      </c>
      <c r="Z3316">
        <v>7.5186960000000001E-3</v>
      </c>
      <c r="AA3316">
        <v>0.99741210000000002</v>
      </c>
      <c r="AB3316">
        <v>28</v>
      </c>
      <c r="AC3316">
        <v>-0.688300000000026</v>
      </c>
      <c r="AD3316">
        <v>-0.20848989999999901</v>
      </c>
      <c r="AE3316">
        <v>6.9299999999998294E-2</v>
      </c>
      <c r="AF3316">
        <v>6.0394085688144E-2</v>
      </c>
      <c r="AG3316">
        <v>-0.20848989999999901</v>
      </c>
      <c r="AH3316">
        <v>0.63129464280970404</v>
      </c>
      <c r="AI3316">
        <v>108.198625041323</v>
      </c>
      <c r="AJ3316">
        <v>84.535313520227405</v>
      </c>
      <c r="AK3316">
        <v>0.66756903015968905</v>
      </c>
      <c r="AL3316">
        <v>80.0299019057571</v>
      </c>
      <c r="AM3316">
        <v>90.295136113872104</v>
      </c>
      <c r="AN3316">
        <v>1.00000002329961</v>
      </c>
    </row>
    <row r="3317" spans="1:40" x14ac:dyDescent="0.25">
      <c r="A3317" t="str">
        <f>"20190303161940006"</f>
        <v>20190303161940006</v>
      </c>
      <c r="B3317" t="str">
        <f>"1551601179996003"</f>
        <v>1551601179996003</v>
      </c>
      <c r="C3317" t="s">
        <v>40</v>
      </c>
      <c r="D3317">
        <v>4.0651039999999998</v>
      </c>
      <c r="E3317">
        <v>0.53171159999999995</v>
      </c>
      <c r="F3317" t="s">
        <v>42</v>
      </c>
      <c r="G3317">
        <v>-301.56349999999998</v>
      </c>
      <c r="H3317">
        <v>0.95521560000000005</v>
      </c>
      <c r="I3317">
        <v>283.84129999999999</v>
      </c>
      <c r="J3317">
        <v>-301.13729999999998</v>
      </c>
      <c r="K3317">
        <v>1.1211899999999999</v>
      </c>
      <c r="L3317">
        <v>283.7867</v>
      </c>
      <c r="M3317">
        <v>-0.99993339999999997</v>
      </c>
      <c r="N3317">
        <v>-1.0434819999999999E-2</v>
      </c>
      <c r="O3317">
        <v>4.9320730000000004E-3</v>
      </c>
      <c r="P3317">
        <v>-0.9867283</v>
      </c>
      <c r="Q3317">
        <v>0.1623811</v>
      </c>
      <c r="R3317" s="1">
        <v>3.1360429999999899E-5</v>
      </c>
      <c r="S3317">
        <v>-3.1628720000000001</v>
      </c>
      <c r="T3317">
        <v>-0.74053290000000005</v>
      </c>
      <c r="U3317">
        <v>0.24804689999999999</v>
      </c>
      <c r="V3317">
        <v>-4.8407499999999996E-3</v>
      </c>
      <c r="W3317">
        <v>0.1726683</v>
      </c>
      <c r="X3317">
        <v>0.98496810000000001</v>
      </c>
      <c r="Y3317">
        <v>7.13805E-2</v>
      </c>
      <c r="Z3317">
        <v>7.5239269999999997E-3</v>
      </c>
      <c r="AA3317">
        <v>0.9974208</v>
      </c>
      <c r="AB3317">
        <v>28</v>
      </c>
      <c r="AC3317">
        <v>-0.42619999999999397</v>
      </c>
      <c r="AD3317">
        <v>-0.16597439999999899</v>
      </c>
      <c r="AE3317">
        <v>5.4599999999993501E-2</v>
      </c>
      <c r="AF3317">
        <v>4.5681264140743798E-2</v>
      </c>
      <c r="AG3317">
        <v>-0.16597439999999899</v>
      </c>
      <c r="AH3317">
        <v>0.37109466050496198</v>
      </c>
      <c r="AI3317">
        <v>113.936701163866</v>
      </c>
      <c r="AJ3317">
        <v>82.982270085677797</v>
      </c>
      <c r="AK3317">
        <v>0.409078875529095</v>
      </c>
      <c r="AL3317">
        <v>80.057003620152102</v>
      </c>
      <c r="AM3317">
        <v>90.281585070296103</v>
      </c>
      <c r="AN3317">
        <v>0.99999996635152999</v>
      </c>
    </row>
    <row r="3318" spans="1:40" x14ac:dyDescent="0.25">
      <c r="A3318" t="str">
        <f>"20190303161940029"</f>
        <v>20190303161940029</v>
      </c>
      <c r="B3318" t="str">
        <f>"1551601180026260"</f>
        <v>1551601180026260</v>
      </c>
      <c r="C3318" t="s">
        <v>40</v>
      </c>
      <c r="D3318">
        <v>4.0745469999999999</v>
      </c>
      <c r="E3318">
        <v>0.53209859999999998</v>
      </c>
      <c r="F3318" t="s">
        <v>42</v>
      </c>
      <c r="G3318">
        <v>-302.04379999999998</v>
      </c>
      <c r="H3318">
        <v>0.90784739999999997</v>
      </c>
      <c r="I3318">
        <v>283.8587</v>
      </c>
      <c r="J3318">
        <v>-301.42559999999997</v>
      </c>
      <c r="K3318">
        <v>1.1211899999999999</v>
      </c>
      <c r="L3318">
        <v>283.78809999999999</v>
      </c>
      <c r="M3318">
        <v>-0.99993359999999998</v>
      </c>
      <c r="N3318">
        <v>-1.044048E-2</v>
      </c>
      <c r="O3318">
        <v>4.8961050000000004E-3</v>
      </c>
      <c r="P3318">
        <v>-0.98678779999999999</v>
      </c>
      <c r="Q3318">
        <v>0.1620193</v>
      </c>
      <c r="R3318" s="1">
        <v>-9.1634690000000005E-5</v>
      </c>
      <c r="S3318">
        <v>-3.1628419999999999</v>
      </c>
      <c r="T3318">
        <v>-0.74447259999999904</v>
      </c>
      <c r="U3318">
        <v>0.24966430000000001</v>
      </c>
      <c r="V3318">
        <v>-4.9284189999999999E-3</v>
      </c>
      <c r="W3318">
        <v>0.17231279999999999</v>
      </c>
      <c r="X3318">
        <v>0.98502990000000001</v>
      </c>
      <c r="Y3318">
        <v>7.1889339999999996E-2</v>
      </c>
      <c r="Z3318">
        <v>7.630548E-3</v>
      </c>
      <c r="AA3318">
        <v>0.99738340000000003</v>
      </c>
      <c r="AB3318">
        <v>28</v>
      </c>
      <c r="AC3318">
        <v>-0.61820000000000097</v>
      </c>
      <c r="AD3318">
        <v>-0.21334259999999899</v>
      </c>
      <c r="AE3318">
        <v>7.0600000000013097E-2</v>
      </c>
      <c r="AF3318">
        <v>6.0463914675188697E-2</v>
      </c>
      <c r="AG3318">
        <v>-0.21334259999999899</v>
      </c>
      <c r="AH3318">
        <v>0.55347074737939295</v>
      </c>
      <c r="AI3318">
        <v>110.966004415829</v>
      </c>
      <c r="AJ3318">
        <v>83.765445861253298</v>
      </c>
      <c r="AK3318">
        <v>0.59623889352952497</v>
      </c>
      <c r="AL3318">
        <v>80.077682025844496</v>
      </c>
      <c r="AM3318">
        <v>90.286666681016897</v>
      </c>
      <c r="AN3318">
        <v>0.99999994712584295</v>
      </c>
    </row>
    <row r="3319" spans="1:40" x14ac:dyDescent="0.25">
      <c r="A3319" t="str">
        <f>"20190303161940051"</f>
        <v>20190303161940051</v>
      </c>
      <c r="B3319" t="str">
        <f>"1551601180045779"</f>
        <v>1551601180045779</v>
      </c>
      <c r="C3319" t="s">
        <v>40</v>
      </c>
      <c r="D3319">
        <v>4.1350790000000002</v>
      </c>
      <c r="E3319">
        <v>0.53223399999999998</v>
      </c>
      <c r="F3319" t="s">
        <v>42</v>
      </c>
      <c r="G3319">
        <v>-302.29930000000002</v>
      </c>
      <c r="H3319">
        <v>0.91605899999999996</v>
      </c>
      <c r="I3319">
        <v>283.858</v>
      </c>
      <c r="J3319">
        <v>-301.70519999999999</v>
      </c>
      <c r="K3319">
        <v>1.121184</v>
      </c>
      <c r="L3319">
        <v>283.7894</v>
      </c>
      <c r="M3319">
        <v>-0.99993370000000004</v>
      </c>
      <c r="N3319">
        <v>-1.044605E-2</v>
      </c>
      <c r="O3319">
        <v>4.8613930000000003E-3</v>
      </c>
      <c r="P3319">
        <v>-0.98680769999999995</v>
      </c>
      <c r="Q3319">
        <v>0.16189709999999999</v>
      </c>
      <c r="R3319">
        <v>-1.592981E-4</v>
      </c>
      <c r="S3319">
        <v>-3.16214</v>
      </c>
      <c r="T3319">
        <v>-0.74252719999999905</v>
      </c>
      <c r="U3319">
        <v>0.25189210000000001</v>
      </c>
      <c r="V3319">
        <v>-4.961872E-3</v>
      </c>
      <c r="W3319">
        <v>0.1721963</v>
      </c>
      <c r="X3319">
        <v>0.98505010000000004</v>
      </c>
      <c r="Y3319">
        <v>7.2626789999999997E-2</v>
      </c>
      <c r="Z3319">
        <v>7.7106809999999996E-3</v>
      </c>
      <c r="AA3319">
        <v>0.99732940000000003</v>
      </c>
      <c r="AB3319">
        <v>28</v>
      </c>
      <c r="AC3319">
        <v>-0.59410000000002505</v>
      </c>
      <c r="AD3319">
        <v>-0.205124999999999</v>
      </c>
      <c r="AE3319">
        <v>6.8600000000003505E-2</v>
      </c>
      <c r="AF3319">
        <v>5.8794160290362101E-2</v>
      </c>
      <c r="AG3319">
        <v>-0.205124999999999</v>
      </c>
      <c r="AH3319">
        <v>0.53185723790661998</v>
      </c>
      <c r="AI3319">
        <v>110.973909450495</v>
      </c>
      <c r="AJ3319">
        <v>83.691850255830104</v>
      </c>
      <c r="AK3319">
        <v>0.57306643630813703</v>
      </c>
      <c r="AL3319">
        <v>80.084458228433206</v>
      </c>
      <c r="AM3319">
        <v>90.288606558833294</v>
      </c>
      <c r="AN3319">
        <v>0.99999994270871995</v>
      </c>
    </row>
    <row r="3320" spans="1:40" x14ac:dyDescent="0.25">
      <c r="A3320" t="str">
        <f>"20190303161940072"</f>
        <v>20190303161940072</v>
      </c>
      <c r="B3320" t="str">
        <f>"1551601180066275"</f>
        <v>1551601180066275</v>
      </c>
      <c r="C3320" t="s">
        <v>40</v>
      </c>
      <c r="D3320">
        <v>4.1609629999999997</v>
      </c>
      <c r="E3320">
        <v>0.51509819999999995</v>
      </c>
      <c r="F3320" t="s">
        <v>42</v>
      </c>
      <c r="G3320">
        <v>-302.55430000000001</v>
      </c>
      <c r="H3320">
        <v>0.92233609999999999</v>
      </c>
      <c r="I3320">
        <v>283.85750000000002</v>
      </c>
      <c r="J3320">
        <v>-301.97969999999998</v>
      </c>
      <c r="K3320">
        <v>1.121186</v>
      </c>
      <c r="L3320">
        <v>283.79070000000002</v>
      </c>
      <c r="M3320">
        <v>-0.99993390000000004</v>
      </c>
      <c r="N3320">
        <v>-1.045158E-2</v>
      </c>
      <c r="O3320">
        <v>4.8281089999999997E-3</v>
      </c>
      <c r="P3320">
        <v>-0.9868671</v>
      </c>
      <c r="Q3320">
        <v>0.16153519999999999</v>
      </c>
      <c r="R3320" s="1">
        <v>9.0379270000000002E-5</v>
      </c>
      <c r="S3320">
        <v>-3.161591</v>
      </c>
      <c r="T3320">
        <v>-0.74045919999999998</v>
      </c>
      <c r="U3320">
        <v>0.25231930000000002</v>
      </c>
      <c r="V3320">
        <v>-4.6794009999999997E-3</v>
      </c>
      <c r="W3320">
        <v>0.171840299999999</v>
      </c>
      <c r="X3320">
        <v>0.98511369999999998</v>
      </c>
      <c r="Y3320">
        <v>7.2811290000000001E-2</v>
      </c>
      <c r="Z3320">
        <v>7.72194599999999E-3</v>
      </c>
      <c r="AA3320">
        <v>0.99731579999999997</v>
      </c>
      <c r="AB3320">
        <v>28</v>
      </c>
      <c r="AC3320">
        <v>-0.57460000000003197</v>
      </c>
      <c r="AD3320">
        <v>-0.1988499</v>
      </c>
      <c r="AE3320">
        <v>6.6800000000000595E-2</v>
      </c>
      <c r="AF3320">
        <v>5.7258841668282101E-2</v>
      </c>
      <c r="AG3320">
        <v>-0.1988499</v>
      </c>
      <c r="AH3320">
        <v>0.514160058666427</v>
      </c>
      <c r="AI3320">
        <v>111.025310007651</v>
      </c>
      <c r="AJ3320">
        <v>83.6455045935691</v>
      </c>
      <c r="AK3320">
        <v>0.55423859808485598</v>
      </c>
      <c r="AL3320">
        <v>80.105164684952499</v>
      </c>
      <c r="AM3320">
        <v>90.272159357311594</v>
      </c>
      <c r="AN3320">
        <v>0.99999999371274895</v>
      </c>
    </row>
    <row r="3321" spans="1:40" x14ac:dyDescent="0.25">
      <c r="A3321" t="str">
        <f>"20190303161940086"</f>
        <v>20190303161940086</v>
      </c>
      <c r="B3321" t="str">
        <f>"1551601180076035"</f>
        <v>1551601180076035</v>
      </c>
      <c r="C3321" t="s">
        <v>40</v>
      </c>
      <c r="D3321">
        <v>4.2129440000000002</v>
      </c>
      <c r="E3321">
        <v>0.51140169999999996</v>
      </c>
      <c r="F3321" t="s">
        <v>42</v>
      </c>
      <c r="G3321">
        <v>-302.84980000000002</v>
      </c>
      <c r="H3321">
        <v>1.009371</v>
      </c>
      <c r="I3321">
        <v>283.82350000000002</v>
      </c>
      <c r="J3321">
        <v>-302.14729999999997</v>
      </c>
      <c r="K3321">
        <v>1.121186</v>
      </c>
      <c r="L3321">
        <v>283.79149999999998</v>
      </c>
      <c r="M3321">
        <v>-0.99993390000000004</v>
      </c>
      <c r="N3321">
        <v>-1.0454990000000001E-2</v>
      </c>
      <c r="O3321">
        <v>4.8082460000000004E-3</v>
      </c>
      <c r="P3321">
        <v>-0.98693410000000004</v>
      </c>
      <c r="Q3321">
        <v>0.1611255</v>
      </c>
      <c r="R3321">
        <v>3.4598350000000002E-4</v>
      </c>
      <c r="S3321">
        <v>-3.1052249999999999</v>
      </c>
      <c r="T3321">
        <v>-0.39899119999999999</v>
      </c>
      <c r="U3321">
        <v>0.1169434</v>
      </c>
      <c r="V3321">
        <v>-4.4044510000000002E-3</v>
      </c>
      <c r="W3321">
        <v>0.1714348</v>
      </c>
      <c r="X3321">
        <v>0.98518559999999999</v>
      </c>
      <c r="Y3321">
        <v>3.2571929999999999E-2</v>
      </c>
      <c r="Z3321">
        <v>1.6893940000000001E-3</v>
      </c>
      <c r="AA3321">
        <v>0.99946800000000002</v>
      </c>
      <c r="AB3321">
        <v>28</v>
      </c>
      <c r="AC3321">
        <v>-0.70250000000004298</v>
      </c>
      <c r="AD3321">
        <v>-0.111815</v>
      </c>
      <c r="AE3321">
        <v>3.2000000000039101E-2</v>
      </c>
      <c r="AF3321">
        <v>2.79158902135077E-2</v>
      </c>
      <c r="AG3321">
        <v>-0.111815</v>
      </c>
      <c r="AH3321">
        <v>0.68531966462096106</v>
      </c>
      <c r="AI3321">
        <v>99.259036411579899</v>
      </c>
      <c r="AJ3321">
        <v>87.667396680768405</v>
      </c>
      <c r="AK3321">
        <v>0.69494239607869601</v>
      </c>
      <c r="AL3321">
        <v>80.1287479425947</v>
      </c>
      <c r="AM3321">
        <v>90.256149472860898</v>
      </c>
      <c r="AN3321">
        <v>0.99999997814350505</v>
      </c>
    </row>
    <row r="3322" spans="1:40" x14ac:dyDescent="0.25">
      <c r="A3322" t="str">
        <f>"20190303161940099"</f>
        <v>20190303161940099</v>
      </c>
      <c r="B3322" t="str">
        <f>"1551601180095555"</f>
        <v>1551601180095555</v>
      </c>
      <c r="C3322" t="s">
        <v>40</v>
      </c>
      <c r="D3322">
        <v>4.2396029999999998</v>
      </c>
      <c r="E3322">
        <v>0.5057952</v>
      </c>
      <c r="F3322" t="s">
        <v>42</v>
      </c>
      <c r="G3322">
        <v>-303.10879999999997</v>
      </c>
      <c r="H3322">
        <v>1.0222469999999999</v>
      </c>
      <c r="I3322">
        <v>283.81920000000002</v>
      </c>
      <c r="J3322">
        <v>-302.315</v>
      </c>
      <c r="K3322">
        <v>1.1211850000000001</v>
      </c>
      <c r="L3322">
        <v>283.79239999999999</v>
      </c>
      <c r="M3322">
        <v>-0.99993390000000004</v>
      </c>
      <c r="N3322">
        <v>-1.0458429999999999E-2</v>
      </c>
      <c r="O3322">
        <v>4.7888569999999997E-3</v>
      </c>
      <c r="P3322">
        <v>-0.98699709999999996</v>
      </c>
      <c r="Q3322">
        <v>0.16073850000000001</v>
      </c>
      <c r="R3322">
        <v>2.027117E-4</v>
      </c>
      <c r="S3322">
        <v>-3.0916440000000001</v>
      </c>
      <c r="T3322">
        <v>-0.31824350000000001</v>
      </c>
      <c r="U3322">
        <v>8.8470460000000001E-2</v>
      </c>
      <c r="V3322">
        <v>-4.5287749999999996E-3</v>
      </c>
      <c r="W3322">
        <v>0.17105239999999999</v>
      </c>
      <c r="X3322">
        <v>0.98525149999999995</v>
      </c>
      <c r="Y3322">
        <v>2.3699290000000001E-2</v>
      </c>
      <c r="Z3322">
        <v>8.9903589999999897E-4</v>
      </c>
      <c r="AA3322">
        <v>0.99971869999999996</v>
      </c>
      <c r="AB3322">
        <v>28</v>
      </c>
      <c r="AC3322">
        <v>-0.79379999999997597</v>
      </c>
      <c r="AD3322">
        <v>-9.8938000000000206E-2</v>
      </c>
      <c r="AE3322">
        <v>2.6800000000036999E-2</v>
      </c>
      <c r="AF3322">
        <v>2.2646680481541701E-2</v>
      </c>
      <c r="AG3322">
        <v>-9.8938000000000206E-2</v>
      </c>
      <c r="AH3322">
        <v>0.78178819427959101</v>
      </c>
      <c r="AI3322">
        <v>97.209644376619593</v>
      </c>
      <c r="AJ3322">
        <v>88.340731591969899</v>
      </c>
      <c r="AK3322">
        <v>0.78834914897891395</v>
      </c>
      <c r="AL3322">
        <v>80.150986315610595</v>
      </c>
      <c r="AM3322">
        <v>90.263362061789394</v>
      </c>
      <c r="AN3322">
        <v>0.99999997580050404</v>
      </c>
    </row>
    <row r="3323" spans="1:40" x14ac:dyDescent="0.25">
      <c r="A3323" t="str">
        <f>"20190303161940112"</f>
        <v>20190303161940112</v>
      </c>
      <c r="B3323" t="str">
        <f>"1551601180106291"</f>
        <v>1551601180106291</v>
      </c>
      <c r="C3323" t="s">
        <v>40</v>
      </c>
      <c r="D3323">
        <v>4.2034949999999904</v>
      </c>
      <c r="E3323">
        <v>0.50426170000000003</v>
      </c>
      <c r="F3323" t="s">
        <v>56</v>
      </c>
      <c r="G3323">
        <v>-318.04939999999999</v>
      </c>
      <c r="H3323" s="1">
        <v>5.8389890000000002E-6</v>
      </c>
      <c r="I3323">
        <v>284.01670000000001</v>
      </c>
      <c r="J3323">
        <v>-302.48469999999998</v>
      </c>
      <c r="K3323">
        <v>1.1211819999999999</v>
      </c>
      <c r="L3323">
        <v>283.79309999999998</v>
      </c>
      <c r="M3323">
        <v>-0.99993399999999999</v>
      </c>
      <c r="N3323">
        <v>-1.0461939999999999E-2</v>
      </c>
      <c r="O3323">
        <v>4.7691729999999998E-3</v>
      </c>
      <c r="P3323">
        <v>-0.98702800000000002</v>
      </c>
      <c r="Q3323">
        <v>0.1605491</v>
      </c>
      <c r="R3323">
        <v>3.4494469999999999E-4</v>
      </c>
      <c r="S3323">
        <v>-3.0751949999999999</v>
      </c>
      <c r="T3323">
        <v>-0.21912719999999999</v>
      </c>
      <c r="U3323">
        <v>4.3853759999999999E-2</v>
      </c>
      <c r="V3323">
        <v>-4.3668370000000001E-3</v>
      </c>
      <c r="W3323">
        <v>0.1708664</v>
      </c>
      <c r="X3323">
        <v>0.98528459999999995</v>
      </c>
      <c r="Y3323">
        <v>9.4711750000000001E-3</v>
      </c>
      <c r="Z3323" s="1">
        <v>9.7073379999999997E-5</v>
      </c>
      <c r="AA3323">
        <v>0.99995509999999999</v>
      </c>
      <c r="AB3323">
        <v>28</v>
      </c>
      <c r="AC3323">
        <v>-15.5647</v>
      </c>
      <c r="AD3323">
        <v>-1.12117616101099</v>
      </c>
      <c r="AE3323">
        <v>0.22360000000003299</v>
      </c>
      <c r="AF3323">
        <v>0.14859180185315399</v>
      </c>
      <c r="AG3323">
        <v>-1.12117616101099</v>
      </c>
      <c r="AH3323">
        <v>15.485256231829</v>
      </c>
      <c r="AI3323">
        <v>94.140959704690104</v>
      </c>
      <c r="AJ3323">
        <v>89.450224026160001</v>
      </c>
      <c r="AK3323">
        <v>15.5265023773224</v>
      </c>
      <c r="AL3323">
        <v>80.161803497494304</v>
      </c>
      <c r="AM3323">
        <v>90.253936468402699</v>
      </c>
      <c r="AN3323">
        <v>1.00000006945574</v>
      </c>
    </row>
    <row r="3324" spans="1:40" x14ac:dyDescent="0.25">
      <c r="A3324" t="str">
        <f>"20190303161940128"</f>
        <v>20190303161940128</v>
      </c>
      <c r="B3324" t="str">
        <f>"1551601180125811"</f>
        <v>1551601180125811</v>
      </c>
      <c r="C3324" t="s">
        <v>40</v>
      </c>
      <c r="D3324">
        <v>4.2527739999999996</v>
      </c>
      <c r="E3324">
        <v>0.50254460000000001</v>
      </c>
      <c r="F3324" t="s">
        <v>52</v>
      </c>
      <c r="G3324">
        <v>-320.70499999999998</v>
      </c>
      <c r="H3324" s="1">
        <v>-1.133983E-6</v>
      </c>
      <c r="I3324">
        <v>283.9846</v>
      </c>
      <c r="J3324">
        <v>-302.68939999999998</v>
      </c>
      <c r="K3324">
        <v>1.1211799999999901</v>
      </c>
      <c r="L3324">
        <v>283.79410000000001</v>
      </c>
      <c r="M3324">
        <v>-0.99993399999999999</v>
      </c>
      <c r="N3324">
        <v>-1.046562E-2</v>
      </c>
      <c r="O3324">
        <v>4.7456159999999898E-3</v>
      </c>
      <c r="P3324">
        <v>-0.98707310000000004</v>
      </c>
      <c r="Q3324">
        <v>0.16026899999999999</v>
      </c>
      <c r="R3324">
        <v>7.8848280000000002E-4</v>
      </c>
      <c r="S3324">
        <v>-3.07016</v>
      </c>
      <c r="T3324">
        <v>-0.1889218</v>
      </c>
      <c r="U3324">
        <v>3.225708E-2</v>
      </c>
      <c r="V3324">
        <v>-3.9004930000000001E-3</v>
      </c>
      <c r="W3324">
        <v>0.17059059999999901</v>
      </c>
      <c r="X3324">
        <v>0.9853343</v>
      </c>
      <c r="Y3324">
        <v>5.7537769999999998E-3</v>
      </c>
      <c r="Z3324" s="1">
        <v>-3.5106700000000001E-5</v>
      </c>
      <c r="AA3324">
        <v>0.99998339999999997</v>
      </c>
      <c r="AB3324">
        <v>28</v>
      </c>
      <c r="AC3324">
        <v>-18.015599999999999</v>
      </c>
      <c r="AD3324">
        <v>-1.12118113398299</v>
      </c>
      <c r="AE3324">
        <v>0.19049999999998499</v>
      </c>
      <c r="AF3324">
        <v>0.10459300528688199</v>
      </c>
      <c r="AG3324">
        <v>-1.12118113398299</v>
      </c>
      <c r="AH3324">
        <v>17.946799960358401</v>
      </c>
      <c r="AI3324">
        <v>93.574703281394207</v>
      </c>
      <c r="AJ3324">
        <v>89.666086993980699</v>
      </c>
      <c r="AK3324">
        <v>17.982091525989802</v>
      </c>
      <c r="AL3324">
        <v>80.177840691328001</v>
      </c>
      <c r="AM3324">
        <v>90.226806901580403</v>
      </c>
      <c r="AN3324">
        <v>1.0000000247052401</v>
      </c>
    </row>
    <row r="3325" spans="1:40" x14ac:dyDescent="0.25">
      <c r="A3325" t="str">
        <f>"20190303161940141"</f>
        <v>20190303161940141</v>
      </c>
      <c r="B3325" t="str">
        <f>"1551601180135572"</f>
        <v>1551601180135572</v>
      </c>
      <c r="C3325" t="s">
        <v>40</v>
      </c>
      <c r="D3325">
        <v>4.2584119999999999</v>
      </c>
      <c r="E3325">
        <v>0.50195230000000002</v>
      </c>
      <c r="F3325" t="s">
        <v>52</v>
      </c>
      <c r="G3325">
        <v>-323.78890000000001</v>
      </c>
      <c r="H3325" s="1">
        <v>5.0935309999999996E-7</v>
      </c>
      <c r="I3325">
        <v>283.93290000000002</v>
      </c>
      <c r="J3325">
        <v>-302.8569</v>
      </c>
      <c r="K3325">
        <v>1.121178</v>
      </c>
      <c r="L3325">
        <v>283.79489999999998</v>
      </c>
      <c r="M3325">
        <v>-0.9999342</v>
      </c>
      <c r="N3325">
        <v>-1.046705E-2</v>
      </c>
      <c r="O3325">
        <v>4.7262989999999998E-3</v>
      </c>
      <c r="P3325">
        <v>-0.98706510000000003</v>
      </c>
      <c r="Q3325">
        <v>0.1603193</v>
      </c>
      <c r="R3325">
        <v>8.7759739999999995E-4</v>
      </c>
      <c r="S3325">
        <v>-3.0657350000000001</v>
      </c>
      <c r="T3325">
        <v>-0.16290579999999999</v>
      </c>
      <c r="U3325">
        <v>2.0172120000000002E-2</v>
      </c>
      <c r="V3325">
        <v>-3.7919249999999998E-3</v>
      </c>
      <c r="W3325">
        <v>0.17064179999999901</v>
      </c>
      <c r="X3325">
        <v>0.98532580000000003</v>
      </c>
      <c r="Y3325">
        <v>1.85436E-3</v>
      </c>
      <c r="Z3325">
        <v>-1.425729E-4</v>
      </c>
      <c r="AA3325">
        <v>0.99999830000000001</v>
      </c>
      <c r="AB3325">
        <v>28</v>
      </c>
      <c r="AC3325">
        <v>-20.931999999999999</v>
      </c>
      <c r="AD3325">
        <v>-1.1211774906468901</v>
      </c>
      <c r="AE3325">
        <v>0.13800000000003301</v>
      </c>
      <c r="AF3325">
        <v>3.8950419853913801E-2</v>
      </c>
      <c r="AG3325">
        <v>-1.1211774906468901</v>
      </c>
      <c r="AH3325">
        <v>20.872538189717101</v>
      </c>
      <c r="AI3325">
        <v>93.0747075042174</v>
      </c>
      <c r="AJ3325">
        <v>89.893079985908201</v>
      </c>
      <c r="AK3325">
        <v>20.902665059315702</v>
      </c>
      <c r="AL3325">
        <v>80.174862925655603</v>
      </c>
      <c r="AM3325">
        <v>90.220495826031794</v>
      </c>
      <c r="AN3325">
        <v>0.99999996737404195</v>
      </c>
    </row>
    <row r="3326" spans="1:40" x14ac:dyDescent="0.25">
      <c r="A3326" t="str">
        <f>"20190303161940155"</f>
        <v>20190303161940155</v>
      </c>
      <c r="B3326" t="str">
        <f>"1551601180146308"</f>
        <v>1551601180146308</v>
      </c>
      <c r="C3326" t="s">
        <v>40</v>
      </c>
      <c r="D3326">
        <v>4.2635459999999998</v>
      </c>
      <c r="E3326">
        <v>0.50136150000000002</v>
      </c>
      <c r="F3326" t="s">
        <v>52</v>
      </c>
      <c r="G3326">
        <v>-325.26280000000003</v>
      </c>
      <c r="H3326" s="1">
        <v>1.2946289999999901E-6</v>
      </c>
      <c r="I3326">
        <v>283.91109999999998</v>
      </c>
      <c r="J3326">
        <v>-303.01670000000001</v>
      </c>
      <c r="K3326">
        <v>1.121178</v>
      </c>
      <c r="L3326">
        <v>283.79559999999998</v>
      </c>
      <c r="M3326">
        <v>-0.99993430000000005</v>
      </c>
      <c r="N3326">
        <v>-1.046683E-2</v>
      </c>
      <c r="O3326">
        <v>4.7079460000000002E-3</v>
      </c>
      <c r="P3326">
        <v>-0.98704579999999997</v>
      </c>
      <c r="Q3326">
        <v>0.16043589999999999</v>
      </c>
      <c r="R3326">
        <v>1.0549870000000001E-3</v>
      </c>
      <c r="S3326">
        <v>-3.064209</v>
      </c>
      <c r="T3326">
        <v>-0.15333089999999999</v>
      </c>
      <c r="U3326">
        <v>1.5899659999999999E-2</v>
      </c>
      <c r="V3326">
        <v>-3.5963980000000002E-3</v>
      </c>
      <c r="W3326">
        <v>0.170758299999999</v>
      </c>
      <c r="X3326">
        <v>0.98530640000000003</v>
      </c>
      <c r="Y3326">
        <v>4.8351390000000001E-4</v>
      </c>
      <c r="Z3326">
        <v>-1.7155579999999999E-4</v>
      </c>
      <c r="AA3326">
        <v>0.99999990000000005</v>
      </c>
      <c r="AB3326">
        <v>28</v>
      </c>
      <c r="AC3326">
        <v>-22.246099999999998</v>
      </c>
      <c r="AD3326">
        <v>-1.121176705371</v>
      </c>
      <c r="AE3326">
        <v>0.11549999999999699</v>
      </c>
      <c r="AF3326">
        <v>1.07323020643828E-2</v>
      </c>
      <c r="AG3326">
        <v>-1.121176705371</v>
      </c>
      <c r="AH3326">
        <v>22.190035196998799</v>
      </c>
      <c r="AI3326">
        <v>92.892474213899803</v>
      </c>
      <c r="AJ3326">
        <v>89.972288662034899</v>
      </c>
      <c r="AK3326">
        <v>22.218344097412398</v>
      </c>
      <c r="AL3326">
        <v>80.168089027413998</v>
      </c>
      <c r="AM3326">
        <v>90.209130390069902</v>
      </c>
      <c r="AN3326">
        <v>1.00000001648921</v>
      </c>
    </row>
    <row r="3327" spans="1:40" x14ac:dyDescent="0.25">
      <c r="A3327" t="str">
        <f>"20190303161940172"</f>
        <v>20190303161940172</v>
      </c>
      <c r="B3327" t="str">
        <f>"1551601180165827"</f>
        <v>1551601180165827</v>
      </c>
      <c r="C3327" t="s">
        <v>40</v>
      </c>
      <c r="D3327">
        <v>4.2625039999999998</v>
      </c>
      <c r="E3327">
        <v>0.50077249999999995</v>
      </c>
      <c r="F3327" t="s">
        <v>52</v>
      </c>
      <c r="G3327">
        <v>-326.84730000000002</v>
      </c>
      <c r="H3327" s="1">
        <v>2.1389360000000001E-6</v>
      </c>
      <c r="I3327">
        <v>283.88529999999997</v>
      </c>
      <c r="J3327">
        <v>-303.24939999999998</v>
      </c>
      <c r="K3327">
        <v>1.1211719999999901</v>
      </c>
      <c r="L3327">
        <v>283.79669999999999</v>
      </c>
      <c r="M3327">
        <v>-0.99993430000000005</v>
      </c>
      <c r="N3327">
        <v>-1.0465E-2</v>
      </c>
      <c r="O3327">
        <v>4.6817330000000004E-3</v>
      </c>
      <c r="P3327">
        <v>-0.98697389999999996</v>
      </c>
      <c r="Q3327">
        <v>0.160874499999999</v>
      </c>
      <c r="R3327">
        <v>1.3484899999999999E-3</v>
      </c>
      <c r="S3327">
        <v>-3.062805</v>
      </c>
      <c r="T3327">
        <v>-0.14409829999999901</v>
      </c>
      <c r="U3327">
        <v>1.153564E-2</v>
      </c>
      <c r="V3327">
        <v>-3.2766620000000001E-3</v>
      </c>
      <c r="W3327">
        <v>0.17119429999999999</v>
      </c>
      <c r="X3327">
        <v>0.98523179999999999</v>
      </c>
      <c r="Y3327">
        <v>-9.1129540000000004E-4</v>
      </c>
      <c r="Z3327">
        <v>-1.9736410000000001E-4</v>
      </c>
      <c r="AA3327">
        <v>0.99999959999999999</v>
      </c>
      <c r="AB3327">
        <v>28</v>
      </c>
      <c r="AC3327">
        <v>-23.597899999999999</v>
      </c>
      <c r="AD3327">
        <v>-1.12116986106399</v>
      </c>
      <c r="AE3327">
        <v>8.8599999999985302E-2</v>
      </c>
      <c r="AF3327">
        <v>-2.18367939497978E-2</v>
      </c>
      <c r="AG3327">
        <v>-1.12116986106399</v>
      </c>
      <c r="AH3327">
        <v>23.544908169323602</v>
      </c>
      <c r="AI3327">
        <v>92.726270387607101</v>
      </c>
      <c r="AJ3327">
        <v>90.053139123061598</v>
      </c>
      <c r="AK3327">
        <v>23.571597302788099</v>
      </c>
      <c r="AL3327">
        <v>80.142734189798503</v>
      </c>
      <c r="AM3327">
        <v>90.190552326178206</v>
      </c>
      <c r="AN3327">
        <v>0.99999996229879495</v>
      </c>
    </row>
    <row r="3328" spans="1:40" x14ac:dyDescent="0.25">
      <c r="A3328" t="str">
        <f>"20190303161940187"</f>
        <v>20190303161940187</v>
      </c>
      <c r="B3328" t="str">
        <f>"1551601180175587"</f>
        <v>1551601180175587</v>
      </c>
      <c r="C3328" t="s">
        <v>40</v>
      </c>
      <c r="D3328">
        <v>4.2998880000000002</v>
      </c>
      <c r="E3328">
        <v>0.50046309999999905</v>
      </c>
      <c r="F3328" t="s">
        <v>52</v>
      </c>
      <c r="G3328">
        <v>-329.14429999999999</v>
      </c>
      <c r="H3328" s="1">
        <v>3.3624070000000002E-6</v>
      </c>
      <c r="I3328">
        <v>283.85989999999998</v>
      </c>
      <c r="J3328">
        <v>-303.42739999999998</v>
      </c>
      <c r="K3328">
        <v>1.1211739999999999</v>
      </c>
      <c r="L3328">
        <v>283.79750000000001</v>
      </c>
      <c r="M3328">
        <v>-0.99993449999999995</v>
      </c>
      <c r="N3328">
        <v>-1.046279E-2</v>
      </c>
      <c r="O3328">
        <v>4.6620759999999898E-3</v>
      </c>
      <c r="P3328">
        <v>-0.98694579999999998</v>
      </c>
      <c r="Q3328">
        <v>0.1610453</v>
      </c>
      <c r="R3328">
        <v>1.5222440000000001E-3</v>
      </c>
      <c r="S3328">
        <v>-3.0612180000000002</v>
      </c>
      <c r="T3328">
        <v>-0.1325412</v>
      </c>
      <c r="U3328">
        <v>7.4768069999999898E-3</v>
      </c>
      <c r="V3328">
        <v>-3.0834830000000001E-3</v>
      </c>
      <c r="W3328">
        <v>0.17136289999999901</v>
      </c>
      <c r="X3328">
        <v>0.9852031</v>
      </c>
      <c r="Y3328">
        <v>-2.2148340000000002E-3</v>
      </c>
      <c r="Z3328">
        <v>-2.125141E-4</v>
      </c>
      <c r="AA3328">
        <v>0.99999749999999998</v>
      </c>
      <c r="AB3328">
        <v>28</v>
      </c>
      <c r="AC3328">
        <v>-25.716899999999999</v>
      </c>
      <c r="AD3328">
        <v>-1.121170637593</v>
      </c>
      <c r="AE3328">
        <v>6.2399999999968203E-2</v>
      </c>
      <c r="AF3328">
        <v>-5.7392287865263798E-2</v>
      </c>
      <c r="AG3328">
        <v>-1.121170637593</v>
      </c>
      <c r="AH3328">
        <v>25.668125129964402</v>
      </c>
      <c r="AI3328">
        <v>92.501054453849605</v>
      </c>
      <c r="AJ3328">
        <v>90.128109488898403</v>
      </c>
      <c r="AK3328">
        <v>25.6926636447219</v>
      </c>
      <c r="AL3328">
        <v>80.132929105017496</v>
      </c>
      <c r="AM3328">
        <v>90.179323415890906</v>
      </c>
      <c r="AN3328">
        <v>0.99999994980671403</v>
      </c>
    </row>
    <row r="3329" spans="1:40" x14ac:dyDescent="0.25">
      <c r="A3329" t="str">
        <f>"20190303161940199"</f>
        <v>20190303161940199</v>
      </c>
      <c r="B3329" t="str">
        <f>"1551601180196083"</f>
        <v>1551601180196083</v>
      </c>
      <c r="C3329" t="s">
        <v>40</v>
      </c>
      <c r="D3329">
        <v>4.3324249999999997</v>
      </c>
      <c r="E3329">
        <v>0.50017270000000003</v>
      </c>
      <c r="F3329" t="s">
        <v>52</v>
      </c>
      <c r="G3329">
        <v>-330.11259999999999</v>
      </c>
      <c r="H3329" s="1">
        <v>-1.443132E-6</v>
      </c>
      <c r="I3329">
        <v>283.8451</v>
      </c>
      <c r="J3329">
        <v>-303.5872</v>
      </c>
      <c r="K3329">
        <v>1.121173</v>
      </c>
      <c r="L3329">
        <v>283.79820000000001</v>
      </c>
      <c r="M3329">
        <v>-0.99993460000000001</v>
      </c>
      <c r="N3329">
        <v>-1.0460519999999999E-2</v>
      </c>
      <c r="O3329">
        <v>4.6445669999999996E-3</v>
      </c>
      <c r="P3329">
        <v>-0.98688580000000004</v>
      </c>
      <c r="Q3329">
        <v>0.16141150000000001</v>
      </c>
      <c r="R3329">
        <v>1.6819700000000001E-3</v>
      </c>
      <c r="S3329">
        <v>-3.0606689999999999</v>
      </c>
      <c r="T3329">
        <v>-0.12859329999999999</v>
      </c>
      <c r="U3329">
        <v>5.4626459999999998E-3</v>
      </c>
      <c r="V3329">
        <v>-2.9057190000000002E-3</v>
      </c>
      <c r="W3329">
        <v>0.17172609999999999</v>
      </c>
      <c r="X3329">
        <v>0.98514040000000003</v>
      </c>
      <c r="Y3329">
        <v>-2.8545900000000002E-3</v>
      </c>
      <c r="Z3329">
        <v>-2.213634E-4</v>
      </c>
      <c r="AA3329">
        <v>0.99999590000000005</v>
      </c>
      <c r="AB3329">
        <v>28</v>
      </c>
      <c r="AC3329">
        <v>-26.525399999999902</v>
      </c>
      <c r="AD3329">
        <v>-1.1211744431320001</v>
      </c>
      <c r="AE3329">
        <v>4.6899999999993697E-2</v>
      </c>
      <c r="AF3329">
        <v>-7.6170148453786696E-2</v>
      </c>
      <c r="AG3329">
        <v>-1.1211744431320001</v>
      </c>
      <c r="AH3329">
        <v>26.478026738148799</v>
      </c>
      <c r="AI3329">
        <v>92.424649973055807</v>
      </c>
      <c r="AJ3329">
        <v>90.164824064710999</v>
      </c>
      <c r="AK3329">
        <v>26.501862839611299</v>
      </c>
      <c r="AL3329">
        <v>80.111806181575602</v>
      </c>
      <c r="AM3329">
        <v>90.168996167810107</v>
      </c>
      <c r="AN3329">
        <v>0.99999995216813697</v>
      </c>
    </row>
    <row r="3330" spans="1:40" x14ac:dyDescent="0.25">
      <c r="A3330" t="str">
        <f>"20190303161940211"</f>
        <v>20190303161940211</v>
      </c>
      <c r="B3330" t="str">
        <f>"1551601180205844"</f>
        <v>1551601180205844</v>
      </c>
      <c r="C3330" t="s">
        <v>40</v>
      </c>
      <c r="D3330">
        <v>4.3299320000000003</v>
      </c>
      <c r="E3330">
        <v>0.50007409999999997</v>
      </c>
      <c r="F3330" t="s">
        <v>52</v>
      </c>
      <c r="G3330">
        <v>-331.72320000000002</v>
      </c>
      <c r="H3330" s="1">
        <v>-5.8553350000000002E-7</v>
      </c>
      <c r="I3330">
        <v>283.83269999999999</v>
      </c>
      <c r="J3330">
        <v>-303.73950000000002</v>
      </c>
      <c r="K3330">
        <v>1.1211719999999901</v>
      </c>
      <c r="L3330">
        <v>283.7989</v>
      </c>
      <c r="M3330">
        <v>-0.99993469999999995</v>
      </c>
      <c r="N3330">
        <v>-1.045834E-2</v>
      </c>
      <c r="O3330">
        <v>4.6283069999999999E-3</v>
      </c>
      <c r="P3330">
        <v>-0.98682550000000002</v>
      </c>
      <c r="Q3330">
        <v>0.1617816</v>
      </c>
      <c r="R3330">
        <v>1.6192170000000001E-3</v>
      </c>
      <c r="S3330">
        <v>-3.0597840000000001</v>
      </c>
      <c r="T3330">
        <v>-0.1219273</v>
      </c>
      <c r="U3330">
        <v>3.7536620000000001E-3</v>
      </c>
      <c r="V3330">
        <v>-2.952503E-3</v>
      </c>
      <c r="W3330">
        <v>0.17209340000000001</v>
      </c>
      <c r="X3330">
        <v>0.98507619999999896</v>
      </c>
      <c r="Y3330">
        <v>-3.3963959999999999E-3</v>
      </c>
      <c r="Z3330">
        <v>-2.2137789999999999E-4</v>
      </c>
      <c r="AA3330">
        <v>0.99999420000000006</v>
      </c>
      <c r="AB3330">
        <v>28</v>
      </c>
      <c r="AC3330">
        <v>-27.983699999999999</v>
      </c>
      <c r="AD3330">
        <v>-1.12117258553349</v>
      </c>
      <c r="AE3330">
        <v>3.3799999999985099E-2</v>
      </c>
      <c r="AF3330">
        <v>-9.5571174646641902E-2</v>
      </c>
      <c r="AG3330">
        <v>-1.12117258553349</v>
      </c>
      <c r="AH3330">
        <v>27.9387089685492</v>
      </c>
      <c r="AI3330">
        <v>92.298017144914695</v>
      </c>
      <c r="AJ3330">
        <v>90.195993436856199</v>
      </c>
      <c r="AK3330">
        <v>27.961359420551499</v>
      </c>
      <c r="AL3330">
        <v>80.090443762295394</v>
      </c>
      <c r="AM3330">
        <v>90.171728293039905</v>
      </c>
      <c r="AN3330">
        <v>0.99999998770198195</v>
      </c>
    </row>
    <row r="3331" spans="1:40" x14ac:dyDescent="0.25">
      <c r="A3331" t="str">
        <f>"20190303161940229"</f>
        <v>20190303161940229</v>
      </c>
      <c r="B3331" t="str">
        <f>"1551601180225364"</f>
        <v>1551601180225364</v>
      </c>
      <c r="C3331" t="s">
        <v>40</v>
      </c>
      <c r="D3331">
        <v>4.3731980000000004</v>
      </c>
      <c r="E3331">
        <v>0.49978020000000001</v>
      </c>
      <c r="F3331" t="s">
        <v>52</v>
      </c>
      <c r="G3331">
        <v>-332.6345</v>
      </c>
      <c r="H3331" s="1">
        <v>-1.001829E-7</v>
      </c>
      <c r="I3331">
        <v>283.82310000000001</v>
      </c>
      <c r="J3331">
        <v>-303.9597</v>
      </c>
      <c r="K3331">
        <v>1.121176</v>
      </c>
      <c r="L3331">
        <v>283.79989999999998</v>
      </c>
      <c r="M3331">
        <v>-0.99993489999999996</v>
      </c>
      <c r="N3331">
        <v>-1.0455290000000001E-2</v>
      </c>
      <c r="O3331">
        <v>4.6047809999999996E-3</v>
      </c>
      <c r="P3331">
        <v>-0.98677839999999994</v>
      </c>
      <c r="Q3331">
        <v>0.1620675</v>
      </c>
      <c r="R3331">
        <v>1.7959720000000001E-3</v>
      </c>
      <c r="S3331">
        <v>-3.0595089999999998</v>
      </c>
      <c r="T3331">
        <v>-0.1187141</v>
      </c>
      <c r="U3331">
        <v>2.5634770000000002E-3</v>
      </c>
      <c r="V3331">
        <v>-2.7517940000000001E-3</v>
      </c>
      <c r="W3331">
        <v>0.17237569999999999</v>
      </c>
      <c r="X3331">
        <v>0.9850274</v>
      </c>
      <c r="Y3331">
        <v>-3.7617240000000001E-3</v>
      </c>
      <c r="Z3331">
        <v>-2.2310090000000001E-4</v>
      </c>
      <c r="AA3331">
        <v>0.99999289999999996</v>
      </c>
      <c r="AB3331">
        <v>28</v>
      </c>
      <c r="AC3331">
        <v>-28.674800000000001</v>
      </c>
      <c r="AD3331">
        <v>-1.1211761001828999</v>
      </c>
      <c r="AE3331">
        <v>2.3200000000031199E-2</v>
      </c>
      <c r="AF3331">
        <v>-0.108682464314689</v>
      </c>
      <c r="AG3331">
        <v>-1.1211761001828999</v>
      </c>
      <c r="AH3331">
        <v>28.630832387346501</v>
      </c>
      <c r="AI3331">
        <v>92.242526150709097</v>
      </c>
      <c r="AJ3331">
        <v>90.217493383309204</v>
      </c>
      <c r="AK3331">
        <v>28.652982583284398</v>
      </c>
      <c r="AL3331">
        <v>80.074023570548405</v>
      </c>
      <c r="AM3331">
        <v>90.160062321243103</v>
      </c>
      <c r="AN3331">
        <v>0.99999996653573298</v>
      </c>
    </row>
    <row r="3332" spans="1:40" x14ac:dyDescent="0.25">
      <c r="A3332" t="str">
        <f>"20190303161940243"</f>
        <v>20190303161940243</v>
      </c>
      <c r="B3332" t="str">
        <f>"1551601180236100"</f>
        <v>1551601180236100</v>
      </c>
      <c r="C3332" t="s">
        <v>40</v>
      </c>
      <c r="D3332">
        <v>4.4086179999999997</v>
      </c>
      <c r="E3332">
        <v>0.49974049999999998</v>
      </c>
      <c r="F3332" t="s">
        <v>52</v>
      </c>
      <c r="G3332">
        <v>-334.00790000000001</v>
      </c>
      <c r="H3332" s="1">
        <v>6.3140179999999997E-7</v>
      </c>
      <c r="I3332">
        <v>283.80739999999997</v>
      </c>
      <c r="J3332">
        <v>-304.15899999999999</v>
      </c>
      <c r="K3332">
        <v>1.1211679999999999</v>
      </c>
      <c r="L3332">
        <v>283.80079999999998</v>
      </c>
      <c r="M3332">
        <v>-0.99993500000000002</v>
      </c>
      <c r="N3332">
        <v>-1.045285E-2</v>
      </c>
      <c r="O3332">
        <v>4.5831029999999998E-3</v>
      </c>
      <c r="P3332">
        <v>-0.98672400000000005</v>
      </c>
      <c r="Q3332">
        <v>0.16239400000000001</v>
      </c>
      <c r="R3332">
        <v>2.033506E-3</v>
      </c>
      <c r="S3332">
        <v>-3.058929</v>
      </c>
      <c r="T3332">
        <v>-0.1141361</v>
      </c>
      <c r="U3332">
        <v>7.6293949999999998E-4</v>
      </c>
      <c r="V3332">
        <v>-2.492377E-3</v>
      </c>
      <c r="W3332">
        <v>0.1726993</v>
      </c>
      <c r="X3332">
        <v>0.9849715</v>
      </c>
      <c r="Y3332">
        <v>-4.3284329999999996E-3</v>
      </c>
      <c r="Z3332">
        <v>-2.2640790000000001E-4</v>
      </c>
      <c r="AA3332">
        <v>0.99999059999999995</v>
      </c>
      <c r="AB3332">
        <v>28</v>
      </c>
      <c r="AC3332">
        <v>-29.8489</v>
      </c>
      <c r="AD3332">
        <v>-1.1211673685982</v>
      </c>
      <c r="AE3332">
        <v>6.5999999999917201E-3</v>
      </c>
      <c r="AF3332">
        <v>-0.13002466136415</v>
      </c>
      <c r="AG3332">
        <v>-1.1211673685982</v>
      </c>
      <c r="AH3332">
        <v>29.806563811604502</v>
      </c>
      <c r="AI3332">
        <v>92.154132152154304</v>
      </c>
      <c r="AJ3332">
        <v>90.249938809473306</v>
      </c>
      <c r="AK3332">
        <v>29.827925991195301</v>
      </c>
      <c r="AL3332">
        <v>80.055201281696498</v>
      </c>
      <c r="AM3332">
        <v>90.144981228665401</v>
      </c>
      <c r="AN3332">
        <v>1.00000005798792</v>
      </c>
    </row>
    <row r="3333" spans="1:40" x14ac:dyDescent="0.25">
      <c r="A3333" t="str">
        <f>"20190303161940263"</f>
        <v>20190303161940263</v>
      </c>
      <c r="B3333" t="str">
        <f>"1551601180255619"</f>
        <v>1551601180255619</v>
      </c>
      <c r="C3333" t="s">
        <v>40</v>
      </c>
      <c r="D3333">
        <v>4.3594860000000004</v>
      </c>
      <c r="E3333">
        <v>0.4995212</v>
      </c>
      <c r="F3333" t="s">
        <v>52</v>
      </c>
      <c r="G3333">
        <v>-334.70909999999998</v>
      </c>
      <c r="H3333" s="1">
        <v>1.004443E-6</v>
      </c>
      <c r="I3333">
        <v>283.80869999999999</v>
      </c>
      <c r="J3333">
        <v>-304.39330000000001</v>
      </c>
      <c r="K3333">
        <v>1.121167</v>
      </c>
      <c r="L3333">
        <v>283.80180000000001</v>
      </c>
      <c r="M3333">
        <v>-0.99993509999999997</v>
      </c>
      <c r="N3333">
        <v>-1.045048E-2</v>
      </c>
      <c r="O3333">
        <v>4.5580239999999999E-3</v>
      </c>
      <c r="P3333">
        <v>-0.98661189999999999</v>
      </c>
      <c r="Q3333">
        <v>0.1630751</v>
      </c>
      <c r="R3333">
        <v>1.9248239999999999E-3</v>
      </c>
      <c r="S3333">
        <v>-3.0588380000000002</v>
      </c>
      <c r="T3333">
        <v>-0.11225739999999899</v>
      </c>
      <c r="U3333">
        <v>7.9345700000000002E-4</v>
      </c>
      <c r="V3333">
        <v>-2.576137E-3</v>
      </c>
      <c r="W3333">
        <v>0.173377</v>
      </c>
      <c r="X3333">
        <v>0.98485210000000001</v>
      </c>
      <c r="Y3333">
        <v>-4.2935949999999999E-3</v>
      </c>
      <c r="Z3333">
        <v>-2.208012E-4</v>
      </c>
      <c r="AA3333">
        <v>0.99999079999999996</v>
      </c>
      <c r="AB3333">
        <v>28</v>
      </c>
      <c r="AC3333">
        <v>-30.3157999999999</v>
      </c>
      <c r="AD3333">
        <v>-1.1211659955569999</v>
      </c>
      <c r="AE3333">
        <v>6.89999999997326E-3</v>
      </c>
      <c r="AF3333">
        <v>-0.13110842699726499</v>
      </c>
      <c r="AG3333">
        <v>-1.1211659955569999</v>
      </c>
      <c r="AH3333">
        <v>30.2741095631485</v>
      </c>
      <c r="AI3333">
        <v>92.120892590835595</v>
      </c>
      <c r="AJ3333">
        <v>90.248129925935004</v>
      </c>
      <c r="AK3333">
        <v>30.295146681452898</v>
      </c>
      <c r="AL3333">
        <v>80.015776033677497</v>
      </c>
      <c r="AM3333">
        <v>90.149871682162697</v>
      </c>
      <c r="AN3333">
        <v>0.99999993974262402</v>
      </c>
    </row>
    <row r="3334" spans="1:40" x14ac:dyDescent="0.25">
      <c r="A3334" t="str">
        <f>"20190303161940284"</f>
        <v>20190303161940284</v>
      </c>
      <c r="B3334" t="str">
        <f>"1551601180276115"</f>
        <v>1551601180276115</v>
      </c>
      <c r="C3334" t="s">
        <v>40</v>
      </c>
      <c r="D3334">
        <v>4.3875890000000002</v>
      </c>
      <c r="E3334">
        <v>0.4993322</v>
      </c>
      <c r="F3334" t="s">
        <v>52</v>
      </c>
      <c r="G3334">
        <v>-336.8057</v>
      </c>
      <c r="H3334" s="1">
        <v>2.120936E-6</v>
      </c>
      <c r="I3334">
        <v>283.79050000000001</v>
      </c>
      <c r="J3334">
        <v>-304.6712</v>
      </c>
      <c r="K3334">
        <v>1.1211739999999999</v>
      </c>
      <c r="L3334">
        <v>283.80309999999997</v>
      </c>
      <c r="M3334">
        <v>-0.99993509999999997</v>
      </c>
      <c r="N3334">
        <v>-1.0448320000000001E-2</v>
      </c>
      <c r="O3334">
        <v>4.528593E-3</v>
      </c>
      <c r="P3334">
        <v>-0.98646909999999999</v>
      </c>
      <c r="Q3334">
        <v>0.16393659999999999</v>
      </c>
      <c r="R3334">
        <v>1.842195E-3</v>
      </c>
      <c r="S3334">
        <v>-3.0581670000000001</v>
      </c>
      <c r="T3334">
        <v>-0.1057839</v>
      </c>
      <c r="U3334">
        <v>-1.0681149999999999E-3</v>
      </c>
      <c r="V3334">
        <v>-2.6287989999999998E-3</v>
      </c>
      <c r="W3334">
        <v>0.17423449999999999</v>
      </c>
      <c r="X3334">
        <v>0.98470069999999998</v>
      </c>
      <c r="Y3334">
        <v>-4.8729890000000003E-3</v>
      </c>
      <c r="Z3334">
        <v>-2.1901470000000001E-4</v>
      </c>
      <c r="AA3334">
        <v>0.99998810000000005</v>
      </c>
      <c r="AB3334">
        <v>28</v>
      </c>
      <c r="AC3334">
        <v>-32.134500000000003</v>
      </c>
      <c r="AD3334">
        <v>-1.121171879064</v>
      </c>
      <c r="AE3334">
        <v>-1.25999999999635E-2</v>
      </c>
      <c r="AF3334">
        <v>-0.15793963367055</v>
      </c>
      <c r="AG3334">
        <v>-1.121171879064</v>
      </c>
      <c r="AH3334">
        <v>32.095043767699799</v>
      </c>
      <c r="AI3334">
        <v>92.000668058235107</v>
      </c>
      <c r="AJ3334">
        <v>90.281950118134205</v>
      </c>
      <c r="AK3334">
        <v>32.115009041892797</v>
      </c>
      <c r="AL3334">
        <v>79.965886377253696</v>
      </c>
      <c r="AM3334">
        <v>90.1529588940775</v>
      </c>
      <c r="AN3334">
        <v>1.0000000200774599</v>
      </c>
    </row>
    <row r="3335" spans="1:40" x14ac:dyDescent="0.25">
      <c r="A3335" t="str">
        <f>"20190303161940307"</f>
        <v>20190303161940307</v>
      </c>
      <c r="B3335" t="str">
        <f>"1551601180295636"</f>
        <v>1551601180295636</v>
      </c>
      <c r="C3335" t="s">
        <v>40</v>
      </c>
      <c r="D3335">
        <v>4.4318059999999999</v>
      </c>
      <c r="E3335">
        <v>0.49918970000000001</v>
      </c>
      <c r="F3335" t="s">
        <v>52</v>
      </c>
      <c r="G3335">
        <v>-338.55759999999998</v>
      </c>
      <c r="H3335" s="1">
        <v>3.053919E-6</v>
      </c>
      <c r="I3335">
        <v>283.77539999999999</v>
      </c>
      <c r="J3335">
        <v>-304.9556</v>
      </c>
      <c r="K3335">
        <v>1.1211819999999999</v>
      </c>
      <c r="L3335">
        <v>283.80439999999999</v>
      </c>
      <c r="M3335">
        <v>-0.99993540000000003</v>
      </c>
      <c r="N3335">
        <v>-1.044703E-2</v>
      </c>
      <c r="O3335">
        <v>4.4983209999999996E-3</v>
      </c>
      <c r="P3335">
        <v>-0.98627969999999998</v>
      </c>
      <c r="Q3335">
        <v>0.16507339999999901</v>
      </c>
      <c r="R3335">
        <v>1.823704E-3</v>
      </c>
      <c r="S3335">
        <v>-3.0579529999999999</v>
      </c>
      <c r="T3335">
        <v>-0.1011759</v>
      </c>
      <c r="U3335">
        <v>-2.5024410000000002E-3</v>
      </c>
      <c r="V3335">
        <v>-2.6165260000000001E-3</v>
      </c>
      <c r="W3335">
        <v>0.17536779999999999</v>
      </c>
      <c r="X3335">
        <v>0.98449949999999997</v>
      </c>
      <c r="Y3335">
        <v>-5.3119169999999898E-3</v>
      </c>
      <c r="Z3335">
        <v>-2.1741349999999999E-4</v>
      </c>
      <c r="AA3335">
        <v>0.99998589999999998</v>
      </c>
      <c r="AB3335">
        <v>28</v>
      </c>
      <c r="AC3335">
        <v>-33.601999999999897</v>
      </c>
      <c r="AD3335">
        <v>-1.121178946081</v>
      </c>
      <c r="AE3335">
        <v>-2.89999999999963E-2</v>
      </c>
      <c r="AF3335">
        <v>-0.17996017141389201</v>
      </c>
      <c r="AG3335">
        <v>-1.121178946081</v>
      </c>
      <c r="AH3335">
        <v>33.564161945720798</v>
      </c>
      <c r="AI3335">
        <v>91.9131722179566</v>
      </c>
      <c r="AJ3335">
        <v>90.307198479015696</v>
      </c>
      <c r="AK3335">
        <v>33.5833648554013</v>
      </c>
      <c r="AL3335">
        <v>79.899937383619005</v>
      </c>
      <c r="AM3335">
        <v>90.152275896342701</v>
      </c>
      <c r="AN3335">
        <v>0.999999988492699</v>
      </c>
    </row>
    <row r="3336" spans="1:40" x14ac:dyDescent="0.25">
      <c r="A3336" t="str">
        <f>"20190303161940330"</f>
        <v>20190303161940330</v>
      </c>
      <c r="B3336" t="str">
        <f>"1551601180325892"</f>
        <v>1551601180325892</v>
      </c>
      <c r="C3336" t="s">
        <v>40</v>
      </c>
      <c r="D3336">
        <v>4.4316879999999896</v>
      </c>
      <c r="E3336">
        <v>0.49904779999999999</v>
      </c>
      <c r="F3336" t="s">
        <v>52</v>
      </c>
      <c r="G3336">
        <v>-340.56869999999998</v>
      </c>
      <c r="H3336" s="1">
        <v>-1.2341759999999999E-6</v>
      </c>
      <c r="I3336">
        <v>283.75069999999999</v>
      </c>
      <c r="J3336">
        <v>-305.24689999999998</v>
      </c>
      <c r="K3336">
        <v>1.121183</v>
      </c>
      <c r="L3336">
        <v>283.80560000000003</v>
      </c>
      <c r="M3336">
        <v>-0.99993540000000003</v>
      </c>
      <c r="N3336">
        <v>-1.044658E-2</v>
      </c>
      <c r="O3336">
        <v>4.4678629999999999E-3</v>
      </c>
      <c r="P3336">
        <v>-0.98612339999999998</v>
      </c>
      <c r="Q3336">
        <v>0.16600190000000001</v>
      </c>
      <c r="R3336">
        <v>1.98438E-3</v>
      </c>
      <c r="S3336">
        <v>-3.0578609999999999</v>
      </c>
      <c r="T3336">
        <v>-9.6268770000000004E-2</v>
      </c>
      <c r="U3336">
        <v>-4.6081539999999997E-3</v>
      </c>
      <c r="V3336">
        <v>-2.4255230000000002E-3</v>
      </c>
      <c r="W3336">
        <v>0.17629449999999999</v>
      </c>
      <c r="X3336">
        <v>0.9843345</v>
      </c>
      <c r="Y3336">
        <v>-5.9701440000000001E-3</v>
      </c>
      <c r="Z3336">
        <v>-2.191052E-4</v>
      </c>
      <c r="AA3336">
        <v>0.99998220000000004</v>
      </c>
      <c r="AB3336">
        <v>29</v>
      </c>
      <c r="AC3336">
        <v>-35.321800000000003</v>
      </c>
      <c r="AD3336">
        <v>-1.1211842341760001</v>
      </c>
      <c r="AE3336">
        <v>-5.4900000000031902E-2</v>
      </c>
      <c r="AF3336">
        <v>-0.21250692360527701</v>
      </c>
      <c r="AG3336">
        <v>-1.1211842341760001</v>
      </c>
      <c r="AH3336">
        <v>35.285650007130599</v>
      </c>
      <c r="AI3336">
        <v>91.819900014555799</v>
      </c>
      <c r="AJ3336">
        <v>90.345058193203599</v>
      </c>
      <c r="AK3336">
        <v>35.3040976333522</v>
      </c>
      <c r="AL3336">
        <v>79.8460014050643</v>
      </c>
      <c r="AM3336">
        <v>90.141183662400607</v>
      </c>
      <c r="AN3336">
        <v>1.0000000208911599</v>
      </c>
    </row>
    <row r="3337" spans="1:40" x14ac:dyDescent="0.25">
      <c r="A3337" t="str">
        <f>"20190303161940344"</f>
        <v>20190303161940344</v>
      </c>
      <c r="B3337" t="str">
        <f>"1551601180335652"</f>
        <v>1551601180335652</v>
      </c>
      <c r="C3337" t="s">
        <v>40</v>
      </c>
      <c r="D3337">
        <v>4.4212379999999998</v>
      </c>
      <c r="E3337">
        <v>0.49903209999999998</v>
      </c>
      <c r="F3337" t="s">
        <v>52</v>
      </c>
      <c r="G3337">
        <v>-342.65600000000001</v>
      </c>
      <c r="H3337" s="1">
        <v>-1.233757E-7</v>
      </c>
      <c r="I3337">
        <v>283.73880000000003</v>
      </c>
      <c r="J3337">
        <v>-305.43169999999998</v>
      </c>
      <c r="K3337">
        <v>1.1211880000000001</v>
      </c>
      <c r="L3337">
        <v>283.8064</v>
      </c>
      <c r="M3337">
        <v>-0.99993560000000004</v>
      </c>
      <c r="N3337">
        <v>-1.044669E-2</v>
      </c>
      <c r="O3337">
        <v>4.4478979999999996E-3</v>
      </c>
      <c r="P3337">
        <v>-0.98614069999999998</v>
      </c>
      <c r="Q3337">
        <v>0.16590050000000001</v>
      </c>
      <c r="R3337">
        <v>1.9735070000000002E-3</v>
      </c>
      <c r="S3337">
        <v>-3.0576479999999999</v>
      </c>
      <c r="T3337">
        <v>-9.1640349999999995E-2</v>
      </c>
      <c r="U3337">
        <v>-5.4626459999999998E-3</v>
      </c>
      <c r="V3337">
        <v>-2.4166499999999998E-3</v>
      </c>
      <c r="W3337">
        <v>0.17619309999999999</v>
      </c>
      <c r="X3337">
        <v>0.98435260000000002</v>
      </c>
      <c r="Y3337">
        <v>-6.230045E-3</v>
      </c>
      <c r="Z3337">
        <v>-2.1270809999999999E-4</v>
      </c>
      <c r="AA3337">
        <v>0.9999806</v>
      </c>
      <c r="AB3337">
        <v>29</v>
      </c>
      <c r="AC3337">
        <v>-37.224299999999999</v>
      </c>
      <c r="AD3337">
        <v>-1.1211881233757</v>
      </c>
      <c r="AE3337">
        <v>-6.7599999999970295E-2</v>
      </c>
      <c r="AF3337">
        <v>-0.23296689875739099</v>
      </c>
      <c r="AG3337">
        <v>-1.1211881233757</v>
      </c>
      <c r="AH3337">
        <v>37.189892419071001</v>
      </c>
      <c r="AI3337">
        <v>91.726776624975997</v>
      </c>
      <c r="AJ3337">
        <v>90.358910569646</v>
      </c>
      <c r="AK3337">
        <v>37.207518521476203</v>
      </c>
      <c r="AL3337">
        <v>79.851902807236499</v>
      </c>
      <c r="AM3337">
        <v>90.140664602675301</v>
      </c>
      <c r="AN3337">
        <v>0.99999994490579402</v>
      </c>
    </row>
    <row r="3338" spans="1:40" x14ac:dyDescent="0.25">
      <c r="A3338" t="str">
        <f>"20190303161940362"</f>
        <v>20190303161940362</v>
      </c>
      <c r="B3338" t="str">
        <f>"1551601180356148"</f>
        <v>1551601180356148</v>
      </c>
      <c r="C3338" t="s">
        <v>40</v>
      </c>
      <c r="D3338">
        <v>4.4469750000000001</v>
      </c>
      <c r="E3338">
        <v>0.49900640000000002</v>
      </c>
      <c r="F3338" t="s">
        <v>52</v>
      </c>
      <c r="G3338">
        <v>-342.70350000000002</v>
      </c>
      <c r="H3338" s="1">
        <v>-9.8133339999999999E-8</v>
      </c>
      <c r="I3338">
        <v>283.7405</v>
      </c>
      <c r="J3338">
        <v>-305.6703</v>
      </c>
      <c r="K3338">
        <v>1.121191</v>
      </c>
      <c r="L3338">
        <v>283.8075</v>
      </c>
      <c r="M3338">
        <v>-0.99993569999999998</v>
      </c>
      <c r="N3338">
        <v>-1.0447400000000001E-2</v>
      </c>
      <c r="O3338">
        <v>4.4226229999999997E-3</v>
      </c>
      <c r="P3338">
        <v>-0.98610819999999999</v>
      </c>
      <c r="Q3338">
        <v>0.16609350000000001</v>
      </c>
      <c r="R3338">
        <v>1.849938E-3</v>
      </c>
      <c r="S3338">
        <v>-3.0576479999999999</v>
      </c>
      <c r="T3338">
        <v>-9.1978309999999994E-2</v>
      </c>
      <c r="U3338">
        <v>-5.4016109999999997E-3</v>
      </c>
      <c r="V3338">
        <v>-2.5155989999999999E-3</v>
      </c>
      <c r="W3338">
        <v>0.17638690000000001</v>
      </c>
      <c r="X3338">
        <v>0.98431769999999996</v>
      </c>
      <c r="Y3338">
        <v>-6.1848049999999998E-3</v>
      </c>
      <c r="Z3338">
        <v>-2.1212990000000001E-4</v>
      </c>
      <c r="AA3338">
        <v>0.99998089999999995</v>
      </c>
      <c r="AB3338">
        <v>29</v>
      </c>
      <c r="AC3338">
        <v>-37.033200000000001</v>
      </c>
      <c r="AD3338">
        <v>-1.1211910981333399</v>
      </c>
      <c r="AE3338">
        <v>-6.7000000000007207E-2</v>
      </c>
      <c r="AF3338">
        <v>-0.23058080849278301</v>
      </c>
      <c r="AG3338">
        <v>-1.1211910981333399</v>
      </c>
      <c r="AH3338">
        <v>36.998628855784901</v>
      </c>
      <c r="AI3338">
        <v>91.735702661242499</v>
      </c>
      <c r="AJ3338">
        <v>90.357070965469603</v>
      </c>
      <c r="AK3338">
        <v>37.016331182275401</v>
      </c>
      <c r="AL3338">
        <v>79.840622783045205</v>
      </c>
      <c r="AM3338">
        <v>90.146429239103398</v>
      </c>
      <c r="AN3338">
        <v>1.0000000006316101</v>
      </c>
    </row>
    <row r="3339" spans="1:40" x14ac:dyDescent="0.25">
      <c r="A3339" t="str">
        <f>"20190303161940386"</f>
        <v>20190303161940386</v>
      </c>
      <c r="B3339" t="str">
        <f>"1551601180375668"</f>
        <v>1551601180375668</v>
      </c>
      <c r="C3339" t="s">
        <v>40</v>
      </c>
      <c r="D3339">
        <v>4.4318169999999997</v>
      </c>
      <c r="E3339">
        <v>0.49896990000000002</v>
      </c>
      <c r="F3339" t="s">
        <v>52</v>
      </c>
      <c r="G3339">
        <v>-343.42259999999999</v>
      </c>
      <c r="H3339" s="1">
        <v>2.845364E-7</v>
      </c>
      <c r="I3339">
        <v>283.73289999999997</v>
      </c>
      <c r="J3339">
        <v>-305.95909999999998</v>
      </c>
      <c r="K3339">
        <v>1.1211819999999999</v>
      </c>
      <c r="L3339">
        <v>283.80869999999999</v>
      </c>
      <c r="M3339">
        <v>-0.99993589999999999</v>
      </c>
      <c r="N3339">
        <v>-1.0448900000000001E-2</v>
      </c>
      <c r="O3339">
        <v>4.3916809999999997E-3</v>
      </c>
      <c r="P3339">
        <v>-0.98617480000000002</v>
      </c>
      <c r="Q3339">
        <v>0.1656965</v>
      </c>
      <c r="R3339">
        <v>2.113583E-3</v>
      </c>
      <c r="S3339">
        <v>-3.0575559999999999</v>
      </c>
      <c r="T3339">
        <v>-9.0805289999999997E-2</v>
      </c>
      <c r="U3339">
        <v>-6.0424800000000002E-3</v>
      </c>
      <c r="V3339">
        <v>-2.2210009999999998E-3</v>
      </c>
      <c r="W3339">
        <v>0.1759917</v>
      </c>
      <c r="X3339">
        <v>0.98438910000000002</v>
      </c>
      <c r="Y3339">
        <v>-6.3635269999999999E-3</v>
      </c>
      <c r="Z3339">
        <v>-2.1224500000000001E-4</v>
      </c>
      <c r="AA3339">
        <v>0.99997970000000003</v>
      </c>
      <c r="AB3339">
        <v>29</v>
      </c>
      <c r="AC3339">
        <v>-37.463500000000003</v>
      </c>
      <c r="AD3339">
        <v>-1.1211817154635999</v>
      </c>
      <c r="AE3339">
        <v>-7.5800000000015105E-2</v>
      </c>
      <c r="AF3339">
        <v>-0.24012090818013801</v>
      </c>
      <c r="AG3339">
        <v>-1.1211817154635999</v>
      </c>
      <c r="AH3339">
        <v>37.429282607623499</v>
      </c>
      <c r="AI3339">
        <v>91.715727687931803</v>
      </c>
      <c r="AJ3339">
        <v>90.367565844597195</v>
      </c>
      <c r="AK3339">
        <v>37.446841028462998</v>
      </c>
      <c r="AL3339">
        <v>79.863625469846298</v>
      </c>
      <c r="AM3339">
        <v>90.129271817073601</v>
      </c>
      <c r="AN3339">
        <v>0.99999995575656997</v>
      </c>
    </row>
    <row r="3340" spans="1:40" x14ac:dyDescent="0.25">
      <c r="A3340" t="str">
        <f>"20190303161940407"</f>
        <v>20190303161940407</v>
      </c>
      <c r="B3340" t="str">
        <f>"1551601180396164"</f>
        <v>1551601180396164</v>
      </c>
      <c r="C3340" t="s">
        <v>40</v>
      </c>
      <c r="D3340">
        <v>4.4221909999999998</v>
      </c>
      <c r="E3340">
        <v>0.49892019999999998</v>
      </c>
      <c r="F3340" t="s">
        <v>52</v>
      </c>
      <c r="G3340">
        <v>-343.24290000000002</v>
      </c>
      <c r="H3340" s="1">
        <v>1.8891680000000001E-7</v>
      </c>
      <c r="I3340">
        <v>283.73610000000002</v>
      </c>
      <c r="J3340">
        <v>-306.2441</v>
      </c>
      <c r="K3340">
        <v>1.121186</v>
      </c>
      <c r="L3340">
        <v>283.80990000000003</v>
      </c>
      <c r="M3340">
        <v>-0.99993600000000005</v>
      </c>
      <c r="N3340">
        <v>-1.045105E-2</v>
      </c>
      <c r="O3340">
        <v>4.3619239999999997E-3</v>
      </c>
      <c r="P3340">
        <v>-0.98616300000000001</v>
      </c>
      <c r="Q3340">
        <v>0.16575899999999999</v>
      </c>
      <c r="R3340">
        <v>2.6727169999999998E-3</v>
      </c>
      <c r="S3340">
        <v>-3.0575260000000002</v>
      </c>
      <c r="T3340">
        <v>-9.1944579999999998E-2</v>
      </c>
      <c r="U3340">
        <v>-5.9509280000000003E-3</v>
      </c>
      <c r="V3340">
        <v>-1.6328320000000001E-3</v>
      </c>
      <c r="W3340">
        <v>0.1760565</v>
      </c>
      <c r="X3340">
        <v>0.98437870000000005</v>
      </c>
      <c r="Y3340">
        <v>-6.3037730000000004E-3</v>
      </c>
      <c r="Z3340">
        <v>-2.132708E-4</v>
      </c>
      <c r="AA3340">
        <v>0.99998010000000004</v>
      </c>
      <c r="AB3340">
        <v>29</v>
      </c>
      <c r="AC3340">
        <v>-36.998800000000003</v>
      </c>
      <c r="AD3340">
        <v>-1.1211858110832</v>
      </c>
      <c r="AE3340">
        <v>-7.3800000000005597E-2</v>
      </c>
      <c r="AF3340">
        <v>-0.23497826796985699</v>
      </c>
      <c r="AG3340">
        <v>-1.1211858110832</v>
      </c>
      <c r="AH3340">
        <v>36.964182347637902</v>
      </c>
      <c r="AI3340">
        <v>91.737309601360295</v>
      </c>
      <c r="AJ3340">
        <v>90.364219653441296</v>
      </c>
      <c r="AK3340">
        <v>36.981928681976797</v>
      </c>
      <c r="AL3340">
        <v>79.859854174885797</v>
      </c>
      <c r="AM3340">
        <v>90.095038928058102</v>
      </c>
      <c r="AN3340">
        <v>0.99999999117313998</v>
      </c>
    </row>
    <row r="3341" spans="1:40" x14ac:dyDescent="0.25">
      <c r="A3341" t="str">
        <f>"20190303161940422"</f>
        <v>20190303161940422</v>
      </c>
      <c r="B3341" t="str">
        <f>"1551601180415684"</f>
        <v>1551601180415684</v>
      </c>
      <c r="C3341" t="s">
        <v>40</v>
      </c>
      <c r="D3341">
        <v>4.4097540000000004</v>
      </c>
      <c r="E3341">
        <v>0.49885810000000003</v>
      </c>
      <c r="F3341" t="s">
        <v>52</v>
      </c>
      <c r="G3341">
        <v>-343.62810000000002</v>
      </c>
      <c r="H3341" s="1">
        <v>3.939169E-7</v>
      </c>
      <c r="I3341">
        <v>283.75060000000002</v>
      </c>
      <c r="J3341">
        <v>-306.42849999999999</v>
      </c>
      <c r="K3341">
        <v>1.121184</v>
      </c>
      <c r="L3341">
        <v>283.8107</v>
      </c>
      <c r="M3341">
        <v>-0.99993600000000005</v>
      </c>
      <c r="N3341">
        <v>-1.045272E-2</v>
      </c>
      <c r="O3341">
        <v>4.3423649999999999E-3</v>
      </c>
      <c r="P3341">
        <v>-0.98617980000000005</v>
      </c>
      <c r="Q3341">
        <v>0.165651399999999</v>
      </c>
      <c r="R3341">
        <v>2.9984510000000001E-3</v>
      </c>
      <c r="S3341">
        <v>-3.0575260000000002</v>
      </c>
      <c r="T3341">
        <v>-9.1698409999999994E-2</v>
      </c>
      <c r="U3341">
        <v>-4.8522950000000004E-3</v>
      </c>
      <c r="V3341">
        <v>-1.2883250000000001E-3</v>
      </c>
      <c r="W3341">
        <v>0.17595039999999901</v>
      </c>
      <c r="X3341">
        <v>0.9843982</v>
      </c>
      <c r="Y3341">
        <v>-5.9251599999999996E-3</v>
      </c>
      <c r="Z3341">
        <v>-2.046265E-4</v>
      </c>
      <c r="AA3341">
        <v>0.99998240000000005</v>
      </c>
      <c r="AB3341">
        <v>29</v>
      </c>
      <c r="AC3341">
        <v>-37.199599999999997</v>
      </c>
      <c r="AD3341">
        <v>-1.1211836060831</v>
      </c>
      <c r="AE3341">
        <v>-6.0099999999977102E-2</v>
      </c>
      <c r="AF3341">
        <v>-0.22144133329410301</v>
      </c>
      <c r="AG3341">
        <v>-1.1211836060831</v>
      </c>
      <c r="AH3341">
        <v>37.165227459466003</v>
      </c>
      <c r="AI3341">
        <v>91.727918188869197</v>
      </c>
      <c r="AJ3341">
        <v>90.341381031017903</v>
      </c>
      <c r="AK3341">
        <v>37.182794691315003</v>
      </c>
      <c r="AL3341">
        <v>79.866029847975497</v>
      </c>
      <c r="AM3341">
        <v>90.074985451006697</v>
      </c>
      <c r="AN3341">
        <v>1.00000000960235</v>
      </c>
    </row>
    <row r="3342" spans="1:40" x14ac:dyDescent="0.25">
      <c r="A3342" t="str">
        <f>"20190303161940437"</f>
        <v>20190303161940437</v>
      </c>
      <c r="B3342" t="str">
        <f>"1551601180425444"</f>
        <v>1551601180425444</v>
      </c>
      <c r="C3342" t="s">
        <v>40</v>
      </c>
      <c r="D3342">
        <v>4.3974029999999997</v>
      </c>
      <c r="E3342">
        <v>0.49882739999999998</v>
      </c>
      <c r="F3342" t="s">
        <v>52</v>
      </c>
      <c r="G3342">
        <v>-343.62990000000002</v>
      </c>
      <c r="H3342" s="1">
        <v>3.9487469999999999E-7</v>
      </c>
      <c r="I3342">
        <v>283.75990000000002</v>
      </c>
      <c r="J3342">
        <v>-306.61649999999997</v>
      </c>
      <c r="K3342">
        <v>1.1211819999999999</v>
      </c>
      <c r="L3342">
        <v>283.81150000000002</v>
      </c>
      <c r="M3342">
        <v>-0.99993600000000005</v>
      </c>
      <c r="N3342">
        <v>-1.0454669999999999E-2</v>
      </c>
      <c r="O3342">
        <v>4.3225059999999899E-3</v>
      </c>
      <c r="P3342">
        <v>-0.98621460000000005</v>
      </c>
      <c r="Q3342">
        <v>0.16544229999999999</v>
      </c>
      <c r="R3342">
        <v>3.1784349999999999E-3</v>
      </c>
      <c r="S3342">
        <v>-3.0574949999999999</v>
      </c>
      <c r="T3342">
        <v>-9.2147350000000003E-2</v>
      </c>
      <c r="U3342">
        <v>-4.1809079999999997E-3</v>
      </c>
      <c r="V3342">
        <v>-1.0884029999999999E-3</v>
      </c>
      <c r="W3342">
        <v>0.17574389999999901</v>
      </c>
      <c r="X3342">
        <v>0.98443530000000001</v>
      </c>
      <c r="Y3342">
        <v>-5.6858400000000002E-3</v>
      </c>
      <c r="Z3342">
        <v>-2.0045039999999999E-4</v>
      </c>
      <c r="AA3342">
        <v>0.99998379999999998</v>
      </c>
      <c r="AB3342">
        <v>29</v>
      </c>
      <c r="AC3342">
        <v>-37.013399999999997</v>
      </c>
      <c r="AD3342">
        <v>-1.1211816051253001</v>
      </c>
      <c r="AE3342">
        <v>-5.1600000000007598E-2</v>
      </c>
      <c r="AF3342">
        <v>-0.21140493052510401</v>
      </c>
      <c r="AG3342">
        <v>-1.1211816051253001</v>
      </c>
      <c r="AH3342">
        <v>36.978900872040803</v>
      </c>
      <c r="AI3342">
        <v>91.736618727060801</v>
      </c>
      <c r="AJ3342">
        <v>90.327551064130802</v>
      </c>
      <c r="AK3342">
        <v>36.996497806421402</v>
      </c>
      <c r="AL3342">
        <v>79.878048422499702</v>
      </c>
      <c r="AM3342">
        <v>90.063346847578401</v>
      </c>
      <c r="AN3342">
        <v>0.99999998144719404</v>
      </c>
    </row>
    <row r="3343" spans="1:40" x14ac:dyDescent="0.25">
      <c r="A3343" t="str">
        <f>"20190303161940455"</f>
        <v>20190303161940455</v>
      </c>
      <c r="B3343" t="str">
        <f>"1551601180445940"</f>
        <v>1551601180445940</v>
      </c>
      <c r="C3343" t="s">
        <v>40</v>
      </c>
      <c r="D3343">
        <v>4.401986</v>
      </c>
      <c r="E3343">
        <v>0.49878299999999998</v>
      </c>
      <c r="F3343" t="s">
        <v>52</v>
      </c>
      <c r="G3343">
        <v>-343.50549999999998</v>
      </c>
      <c r="H3343" s="1">
        <v>3.2863650000000002E-7</v>
      </c>
      <c r="I3343">
        <v>283.76620000000003</v>
      </c>
      <c r="J3343">
        <v>-306.84449999999998</v>
      </c>
      <c r="K3343">
        <v>1.121175</v>
      </c>
      <c r="L3343">
        <v>283.8125</v>
      </c>
      <c r="M3343">
        <v>-0.99993609999999999</v>
      </c>
      <c r="N3343">
        <v>-1.0457299999999999E-2</v>
      </c>
      <c r="O3343">
        <v>4.2979369999999999E-3</v>
      </c>
      <c r="P3343">
        <v>-0.98627880000000001</v>
      </c>
      <c r="Q3343">
        <v>0.16503899999999999</v>
      </c>
      <c r="R3343">
        <v>4.0325359999999998E-3</v>
      </c>
      <c r="S3343">
        <v>-3.0575260000000002</v>
      </c>
      <c r="T3343">
        <v>-9.2928650000000002E-2</v>
      </c>
      <c r="U3343">
        <v>-3.7536620000000001E-3</v>
      </c>
      <c r="V3343">
        <v>-2.110801E-4</v>
      </c>
      <c r="W3343">
        <v>0.1753439</v>
      </c>
      <c r="X3343">
        <v>0.98450720000000003</v>
      </c>
      <c r="Y3343">
        <v>-5.5215569999999999E-3</v>
      </c>
      <c r="Z3343">
        <v>-1.9842939999999999E-4</v>
      </c>
      <c r="AA3343">
        <v>0.99998469999999995</v>
      </c>
      <c r="AB3343">
        <v>29</v>
      </c>
      <c r="AC3343">
        <v>-36.661000000000001</v>
      </c>
      <c r="AD3343">
        <v>-1.1211746713635</v>
      </c>
      <c r="AE3343">
        <v>-4.62999999999738E-2</v>
      </c>
      <c r="AF3343">
        <v>-0.203684354290008</v>
      </c>
      <c r="AG3343">
        <v>-1.1211746713635</v>
      </c>
      <c r="AH3343">
        <v>36.626206938339003</v>
      </c>
      <c r="AI3343">
        <v>91.753321900001296</v>
      </c>
      <c r="AJ3343">
        <v>90.318627958626806</v>
      </c>
      <c r="AK3343">
        <v>36.643929301453397</v>
      </c>
      <c r="AL3343">
        <v>79.901328191088496</v>
      </c>
      <c r="AM3343">
        <v>90.012284317152606</v>
      </c>
      <c r="AN3343">
        <v>0.99999997733692902</v>
      </c>
    </row>
    <row r="3344" spans="1:40" x14ac:dyDescent="0.25">
      <c r="A3344" t="str">
        <f>"20190303161940476"</f>
        <v>20190303161940476</v>
      </c>
      <c r="B3344" t="str">
        <f>"1551601180465460"</f>
        <v>1551601180465460</v>
      </c>
      <c r="C3344" t="s">
        <v>40</v>
      </c>
      <c r="D3344">
        <v>4.4044549999999996</v>
      </c>
      <c r="E3344">
        <v>0.4986737</v>
      </c>
      <c r="F3344" t="s">
        <v>52</v>
      </c>
      <c r="G3344">
        <v>-343.35289999999998</v>
      </c>
      <c r="H3344" s="1">
        <v>2.4747929999999999E-7</v>
      </c>
      <c r="I3344">
        <v>283.7921</v>
      </c>
      <c r="J3344">
        <v>-307.11489999999998</v>
      </c>
      <c r="K3344">
        <v>1.1211679999999999</v>
      </c>
      <c r="L3344">
        <v>283.81360000000001</v>
      </c>
      <c r="M3344">
        <v>-0.99993620000000005</v>
      </c>
      <c r="N3344">
        <v>-1.0460769999999999E-2</v>
      </c>
      <c r="O3344">
        <v>4.2686579999999998E-3</v>
      </c>
      <c r="P3344">
        <v>-0.9863381</v>
      </c>
      <c r="Q3344">
        <v>0.16467979999999999</v>
      </c>
      <c r="R3344">
        <v>4.2295040000000002E-3</v>
      </c>
      <c r="S3344">
        <v>-3.0574650000000001</v>
      </c>
      <c r="T3344">
        <v>-9.3894720000000001E-2</v>
      </c>
      <c r="U3344">
        <v>-1.708984E-3</v>
      </c>
      <c r="V3344" s="1">
        <v>1.5299589999999899E-5</v>
      </c>
      <c r="W3344">
        <v>0.17498900000000001</v>
      </c>
      <c r="X3344">
        <v>0.98457039999999996</v>
      </c>
      <c r="Y3344">
        <v>-4.8239160000000001E-3</v>
      </c>
      <c r="Z3344">
        <v>-1.857048E-4</v>
      </c>
      <c r="AA3344">
        <v>0.9999884</v>
      </c>
      <c r="AB3344">
        <v>29</v>
      </c>
      <c r="AC3344">
        <v>-36.238</v>
      </c>
      <c r="AD3344">
        <v>-1.1211677525207</v>
      </c>
      <c r="AE3344">
        <v>-2.15000000000031E-2</v>
      </c>
      <c r="AF3344">
        <v>-0.17602739556678601</v>
      </c>
      <c r="AG3344">
        <v>-1.1211677525207</v>
      </c>
      <c r="AH3344">
        <v>36.202923797376002</v>
      </c>
      <c r="AI3344">
        <v>91.773804166792701</v>
      </c>
      <c r="AJ3344">
        <v>90.278583780215499</v>
      </c>
      <c r="AK3344">
        <v>36.220708086009203</v>
      </c>
      <c r="AL3344">
        <v>79.921982140043497</v>
      </c>
      <c r="AM3344">
        <v>89.999109660482105</v>
      </c>
      <c r="AN3344">
        <v>1.00000001145561</v>
      </c>
    </row>
    <row r="3345" spans="1:40" x14ac:dyDescent="0.25">
      <c r="A3345" t="str">
        <f>"20190303161940498"</f>
        <v>20190303161940498</v>
      </c>
      <c r="B3345" t="str">
        <f>"1551601180485956"</f>
        <v>1551601180485956</v>
      </c>
      <c r="C3345" t="s">
        <v>40</v>
      </c>
      <c r="D3345">
        <v>4.3614430000000004</v>
      </c>
      <c r="E3345">
        <v>0.49853199999999998</v>
      </c>
      <c r="F3345" t="s">
        <v>52</v>
      </c>
      <c r="G3345">
        <v>-343.28</v>
      </c>
      <c r="H3345" s="1">
        <v>2.0868010000000001E-7</v>
      </c>
      <c r="I3345">
        <v>283.79129999999998</v>
      </c>
      <c r="J3345">
        <v>-307.4024</v>
      </c>
      <c r="K3345">
        <v>1.12117</v>
      </c>
      <c r="L3345">
        <v>283.81479999999999</v>
      </c>
      <c r="M3345">
        <v>-0.9999363</v>
      </c>
      <c r="N3345">
        <v>-1.046482E-2</v>
      </c>
      <c r="O3345">
        <v>4.2378809999999998E-3</v>
      </c>
      <c r="P3345">
        <v>-0.98634540000000004</v>
      </c>
      <c r="Q3345">
        <v>0.164635</v>
      </c>
      <c r="R3345">
        <v>4.2994189999999996E-3</v>
      </c>
      <c r="S3345">
        <v>-3.0573730000000001</v>
      </c>
      <c r="T3345">
        <v>-9.478259E-2</v>
      </c>
      <c r="U3345">
        <v>-1.8920899999999999E-3</v>
      </c>
      <c r="V3345">
        <v>1.1553E-4</v>
      </c>
      <c r="W3345">
        <v>0.17494770000000001</v>
      </c>
      <c r="X3345">
        <v>0.9845777</v>
      </c>
      <c r="Y3345">
        <v>-4.8529549999999999E-3</v>
      </c>
      <c r="Z3345">
        <v>-1.8761259999999999E-4</v>
      </c>
      <c r="AA3345">
        <v>0.99998819999999999</v>
      </c>
      <c r="AB3345">
        <v>29</v>
      </c>
      <c r="AC3345">
        <v>-35.877599999999902</v>
      </c>
      <c r="AD3345">
        <v>-1.1211697913198999</v>
      </c>
      <c r="AE3345">
        <v>-2.3500000000012702E-2</v>
      </c>
      <c r="AF3345">
        <v>-0.175381838958106</v>
      </c>
      <c r="AG3345">
        <v>-1.1211697913198999</v>
      </c>
      <c r="AH3345">
        <v>35.842176408169898</v>
      </c>
      <c r="AI3345">
        <v>91.791648709923606</v>
      </c>
      <c r="AJ3345">
        <v>90.280355714555796</v>
      </c>
      <c r="AK3345">
        <v>35.860136505105103</v>
      </c>
      <c r="AL3345">
        <v>79.924385201980201</v>
      </c>
      <c r="AM3345">
        <v>89.993276933474306</v>
      </c>
      <c r="AN3345">
        <v>0.99999997920988004</v>
      </c>
    </row>
    <row r="3346" spans="1:40" x14ac:dyDescent="0.25">
      <c r="A3346" t="str">
        <f>"20190303161940521"</f>
        <v>20190303161940521</v>
      </c>
      <c r="B3346" t="str">
        <f>"1551601180516212"</f>
        <v>1551601180516212</v>
      </c>
      <c r="C3346" t="s">
        <v>40</v>
      </c>
      <c r="D3346">
        <v>4.3875830000000002</v>
      </c>
      <c r="E3346">
        <v>0.49840119999999999</v>
      </c>
      <c r="F3346" t="s">
        <v>52</v>
      </c>
      <c r="G3346">
        <v>-343.76830000000001</v>
      </c>
      <c r="H3346" s="1">
        <v>4.6849529999999999E-7</v>
      </c>
      <c r="I3346">
        <v>283.78289999999998</v>
      </c>
      <c r="J3346">
        <v>-307.69810000000001</v>
      </c>
      <c r="K3346">
        <v>1.1211690000000001</v>
      </c>
      <c r="L3346">
        <v>283.81599999999997</v>
      </c>
      <c r="M3346">
        <v>-0.9999363</v>
      </c>
      <c r="N3346">
        <v>-1.0469310000000001E-2</v>
      </c>
      <c r="O3346">
        <v>4.206385E-3</v>
      </c>
      <c r="P3346">
        <v>-0.98643130000000001</v>
      </c>
      <c r="Q3346">
        <v>0.16411389999999901</v>
      </c>
      <c r="R3346">
        <v>4.5033269999999997E-3</v>
      </c>
      <c r="S3346">
        <v>-3.0572810000000001</v>
      </c>
      <c r="T3346">
        <v>-9.4256880000000001E-2</v>
      </c>
      <c r="U3346">
        <v>-2.6855469999999999E-3</v>
      </c>
      <c r="V3346">
        <v>3.5009549999999998E-4</v>
      </c>
      <c r="W3346">
        <v>0.17443220000000001</v>
      </c>
      <c r="X3346">
        <v>0.98466909999999996</v>
      </c>
      <c r="Y3346">
        <v>-5.0809109999999996E-3</v>
      </c>
      <c r="Z3346">
        <v>-1.905311E-4</v>
      </c>
      <c r="AA3346">
        <v>0.99998710000000002</v>
      </c>
      <c r="AB3346">
        <v>29</v>
      </c>
      <c r="AC3346">
        <v>-36.0702</v>
      </c>
      <c r="AD3346">
        <v>-1.1211685315047</v>
      </c>
      <c r="AE3346">
        <v>-3.3099999999990297E-2</v>
      </c>
      <c r="AF3346">
        <v>-0.18465477422689999</v>
      </c>
      <c r="AG3346">
        <v>-1.1211685315047</v>
      </c>
      <c r="AH3346">
        <v>36.0349264912387</v>
      </c>
      <c r="AI3346">
        <v>91.782067350728298</v>
      </c>
      <c r="AJ3346">
        <v>90.2935997837792</v>
      </c>
      <c r="AK3346">
        <v>36.0528368300008</v>
      </c>
      <c r="AL3346">
        <v>79.954382394603897</v>
      </c>
      <c r="AM3346">
        <v>89.979628695841797</v>
      </c>
      <c r="AN3346">
        <v>0.99999997572925403</v>
      </c>
    </row>
    <row r="3347" spans="1:40" x14ac:dyDescent="0.25">
      <c r="A3347" t="str">
        <f>"20190303161940534"</f>
        <v>20190303161940534</v>
      </c>
      <c r="B3347" t="str">
        <f>"1551601180525972"</f>
        <v>1551601180525972</v>
      </c>
      <c r="C3347" t="s">
        <v>40</v>
      </c>
      <c r="D3347">
        <v>4.3516490000000001</v>
      </c>
      <c r="E3347">
        <v>0.4983185</v>
      </c>
      <c r="F3347" t="s">
        <v>52</v>
      </c>
      <c r="G3347">
        <v>-343.71350000000001</v>
      </c>
      <c r="H3347" s="1">
        <v>4.393753E-7</v>
      </c>
      <c r="I3347">
        <v>283.77929999999998</v>
      </c>
      <c r="J3347">
        <v>-307.86930000000001</v>
      </c>
      <c r="K3347">
        <v>1.1211739999999999</v>
      </c>
      <c r="L3347">
        <v>283.81670000000003</v>
      </c>
      <c r="M3347">
        <v>-0.99993659999999995</v>
      </c>
      <c r="N3347">
        <v>-1.047206E-2</v>
      </c>
      <c r="O3347">
        <v>4.1880119999999996E-3</v>
      </c>
      <c r="P3347">
        <v>-0.98645400000000005</v>
      </c>
      <c r="Q3347">
        <v>0.16398109999999999</v>
      </c>
      <c r="R3347">
        <v>4.3822610000000001E-3</v>
      </c>
      <c r="S3347">
        <v>-3.0571290000000002</v>
      </c>
      <c r="T3347">
        <v>-9.5168950000000002E-2</v>
      </c>
      <c r="U3347">
        <v>-3.112793E-3</v>
      </c>
      <c r="V3347">
        <v>2.4696149999999998E-4</v>
      </c>
      <c r="W3347">
        <v>0.17430209999999999</v>
      </c>
      <c r="X3347">
        <v>0.98469220000000002</v>
      </c>
      <c r="Y3347">
        <v>-5.2021769999999997E-3</v>
      </c>
      <c r="Z3347">
        <v>-1.9469140000000001E-4</v>
      </c>
      <c r="AA3347">
        <v>0.9999865</v>
      </c>
      <c r="AB3347">
        <v>29</v>
      </c>
      <c r="AC3347">
        <v>-35.844200000000001</v>
      </c>
      <c r="AD3347">
        <v>-1.1211735606247</v>
      </c>
      <c r="AE3347">
        <v>-3.7400000000047798E-2</v>
      </c>
      <c r="AF3347">
        <v>-0.187340522784473</v>
      </c>
      <c r="AG3347">
        <v>-1.1211735606247</v>
      </c>
      <c r="AH3347">
        <v>35.808694480163098</v>
      </c>
      <c r="AI3347">
        <v>91.793325801817204</v>
      </c>
      <c r="AJ3347">
        <v>90.299751876293996</v>
      </c>
      <c r="AK3347">
        <v>35.8267320167243</v>
      </c>
      <c r="AL3347">
        <v>79.961952851023597</v>
      </c>
      <c r="AM3347">
        <v>89.985630178287593</v>
      </c>
      <c r="AN3347">
        <v>1.00000000589761</v>
      </c>
    </row>
    <row r="3348" spans="1:40" x14ac:dyDescent="0.25">
      <c r="A3348" t="str">
        <f>"20190303161940552"</f>
        <v>20190303161940552</v>
      </c>
      <c r="B3348" t="str">
        <f>"1551601180545492"</f>
        <v>1551601180545492</v>
      </c>
      <c r="C3348" t="s">
        <v>40</v>
      </c>
      <c r="D3348">
        <v>4.3898000000000001</v>
      </c>
      <c r="E3348">
        <v>0.49822949999999999</v>
      </c>
      <c r="F3348" t="s">
        <v>52</v>
      </c>
      <c r="G3348">
        <v>-343.92290000000003</v>
      </c>
      <c r="H3348" s="1">
        <v>5.5080579999999995E-7</v>
      </c>
      <c r="I3348">
        <v>283.7681</v>
      </c>
      <c r="J3348">
        <v>-308.101</v>
      </c>
      <c r="K3348">
        <v>1.12117</v>
      </c>
      <c r="L3348">
        <v>283.8177</v>
      </c>
      <c r="M3348">
        <v>-0.99993650000000001</v>
      </c>
      <c r="N3348">
        <v>-1.047589E-2</v>
      </c>
      <c r="O3348">
        <v>4.1634350000000001E-3</v>
      </c>
      <c r="P3348">
        <v>-0.98651</v>
      </c>
      <c r="Q3348">
        <v>0.1636386</v>
      </c>
      <c r="R3348">
        <v>4.5068460000000001E-3</v>
      </c>
      <c r="S3348">
        <v>-3.0570369999999998</v>
      </c>
      <c r="T3348">
        <v>-9.5065830000000004E-2</v>
      </c>
      <c r="U3348">
        <v>-4.1198729999999996E-3</v>
      </c>
      <c r="V3348">
        <v>3.9540940000000002E-4</v>
      </c>
      <c r="W3348">
        <v>0.17396449999999999</v>
      </c>
      <c r="X3348">
        <v>0.98475179999999995</v>
      </c>
      <c r="Y3348">
        <v>-5.5068720000000003E-3</v>
      </c>
      <c r="Z3348">
        <v>-2.0028919999999999E-4</v>
      </c>
      <c r="AA3348">
        <v>0.99998480000000001</v>
      </c>
      <c r="AB3348">
        <v>29</v>
      </c>
      <c r="AC3348">
        <v>-35.821899999999999</v>
      </c>
      <c r="AD3348">
        <v>-1.1211694491941999</v>
      </c>
      <c r="AE3348">
        <v>-4.9599999999998E-2</v>
      </c>
      <c r="AF3348">
        <v>-0.19855539763203001</v>
      </c>
      <c r="AG3348">
        <v>-1.1211694491941999</v>
      </c>
      <c r="AH3348">
        <v>35.786327038880202</v>
      </c>
      <c r="AI3348">
        <v>91.794436310622402</v>
      </c>
      <c r="AJ3348">
        <v>90.317894304594603</v>
      </c>
      <c r="AK3348">
        <v>35.804436151312601</v>
      </c>
      <c r="AL3348">
        <v>79.981595503595699</v>
      </c>
      <c r="AM3348">
        <v>89.976993909955496</v>
      </c>
      <c r="AN3348">
        <v>0.99999995560604005</v>
      </c>
    </row>
    <row r="3349" spans="1:40" x14ac:dyDescent="0.25">
      <c r="A3349" t="str">
        <f>"20190303161940575"</f>
        <v>20190303161940575</v>
      </c>
      <c r="B3349" t="str">
        <f>"1551601180565987"</f>
        <v>1551601180565987</v>
      </c>
      <c r="C3349" t="s">
        <v>40</v>
      </c>
      <c r="D3349">
        <v>4.3789740000000004</v>
      </c>
      <c r="E3349">
        <v>0.49817519999999998</v>
      </c>
      <c r="F3349" t="s">
        <v>52</v>
      </c>
      <c r="G3349">
        <v>-344.01</v>
      </c>
      <c r="H3349" s="1">
        <v>5.9715880000000002E-7</v>
      </c>
      <c r="I3349">
        <v>283.76170000000002</v>
      </c>
      <c r="J3349">
        <v>-308.38490000000002</v>
      </c>
      <c r="K3349">
        <v>1.1211690000000001</v>
      </c>
      <c r="L3349">
        <v>283.81880000000001</v>
      </c>
      <c r="M3349">
        <v>-0.99993659999999995</v>
      </c>
      <c r="N3349">
        <v>-1.048081E-2</v>
      </c>
      <c r="O3349">
        <v>4.132953E-3</v>
      </c>
      <c r="P3349">
        <v>-0.9865467</v>
      </c>
      <c r="Q3349">
        <v>0.16342209999999999</v>
      </c>
      <c r="R3349">
        <v>4.372473E-3</v>
      </c>
      <c r="S3349">
        <v>-3.056854</v>
      </c>
      <c r="T3349">
        <v>-9.5442529999999998E-2</v>
      </c>
      <c r="U3349">
        <v>-4.7607420000000001E-3</v>
      </c>
      <c r="V3349">
        <v>2.9114450000000002E-4</v>
      </c>
      <c r="W3349">
        <v>0.1737532</v>
      </c>
      <c r="X3349">
        <v>0.98478920000000003</v>
      </c>
      <c r="Y3349">
        <v>-5.6859700000000003E-3</v>
      </c>
      <c r="Z3349">
        <v>-2.0424899999999999E-4</v>
      </c>
      <c r="AA3349">
        <v>0.99998379999999998</v>
      </c>
      <c r="AB3349">
        <v>29</v>
      </c>
      <c r="AC3349">
        <v>-35.625099999999897</v>
      </c>
      <c r="AD3349">
        <v>-1.1211684028411999</v>
      </c>
      <c r="AE3349">
        <v>-5.7099999999991199E-2</v>
      </c>
      <c r="AF3349">
        <v>-0.204142263111594</v>
      </c>
      <c r="AG3349">
        <v>-1.1211684028411999</v>
      </c>
      <c r="AH3349">
        <v>35.589310603908501</v>
      </c>
      <c r="AI3349">
        <v>91.804359867236002</v>
      </c>
      <c r="AJ3349">
        <v>90.328648170475802</v>
      </c>
      <c r="AK3349">
        <v>35.6075514731439</v>
      </c>
      <c r="AL3349">
        <v>79.993889919057906</v>
      </c>
      <c r="AM3349">
        <v>89.9830609935685</v>
      </c>
      <c r="AN3349">
        <v>1.0000000138559999</v>
      </c>
    </row>
    <row r="3350" spans="1:40" x14ac:dyDescent="0.25">
      <c r="A3350" t="str">
        <f>"20190303161940590"</f>
        <v>20190303161940590</v>
      </c>
      <c r="B3350" t="str">
        <f>"1551601180585510"</f>
        <v>1551601180585510</v>
      </c>
      <c r="C3350" t="s">
        <v>40</v>
      </c>
      <c r="D3350">
        <v>4.4070780000000003</v>
      </c>
      <c r="E3350">
        <v>0.4980946</v>
      </c>
      <c r="F3350" t="s">
        <v>52</v>
      </c>
      <c r="G3350">
        <v>-344.27269999999999</v>
      </c>
      <c r="H3350" s="1">
        <v>7.369364E-7</v>
      </c>
      <c r="I3350">
        <v>283.7604</v>
      </c>
      <c r="J3350">
        <v>-308.5849</v>
      </c>
      <c r="K3350">
        <v>1.1211660000000001</v>
      </c>
      <c r="L3350">
        <v>283.81959999999998</v>
      </c>
      <c r="M3350">
        <v>-0.99993679999999996</v>
      </c>
      <c r="N3350">
        <v>-1.04844E-2</v>
      </c>
      <c r="O3350">
        <v>4.111595E-3</v>
      </c>
      <c r="P3350">
        <v>-0.98658389999999996</v>
      </c>
      <c r="Q3350">
        <v>0.16319979999999901</v>
      </c>
      <c r="R3350">
        <v>4.2638729999999996E-3</v>
      </c>
      <c r="S3350">
        <v>-3.0567319999999998</v>
      </c>
      <c r="T3350">
        <v>-9.5494990000000002E-2</v>
      </c>
      <c r="U3350">
        <v>-4.9743649999999997E-3</v>
      </c>
      <c r="V3350">
        <v>2.034587E-4</v>
      </c>
      <c r="W3350">
        <v>0.17353479999999999</v>
      </c>
      <c r="X3350">
        <v>0.98482769999999997</v>
      </c>
      <c r="Y3350">
        <v>-5.7345249999999999E-3</v>
      </c>
      <c r="Z3350">
        <v>-2.0494250000000001E-4</v>
      </c>
      <c r="AA3350">
        <v>0.99998350000000003</v>
      </c>
      <c r="AB3350">
        <v>29</v>
      </c>
      <c r="AC3350">
        <v>-35.687799999999903</v>
      </c>
      <c r="AD3350">
        <v>-1.1211652630636</v>
      </c>
      <c r="AE3350">
        <v>-5.9199999999975703E-2</v>
      </c>
      <c r="AF3350">
        <v>-0.20573825829964701</v>
      </c>
      <c r="AG3350">
        <v>-1.1211652630636</v>
      </c>
      <c r="AH3350">
        <v>35.652067809801103</v>
      </c>
      <c r="AI3350">
        <v>91.801180403884004</v>
      </c>
      <c r="AJ3350">
        <v>90.330634483795507</v>
      </c>
      <c r="AK3350">
        <v>35.670285657570602</v>
      </c>
      <c r="AL3350">
        <v>80.006596039974198</v>
      </c>
      <c r="AM3350">
        <v>89.988163082080902</v>
      </c>
      <c r="AN3350">
        <v>0.99999998344688601</v>
      </c>
    </row>
    <row r="3351" spans="1:40" x14ac:dyDescent="0.25">
      <c r="A3351" t="str">
        <f>"20190303161940603"</f>
        <v>20190303161940603</v>
      </c>
      <c r="B3351" t="str">
        <f>"1551601180596244"</f>
        <v>1551601180596244</v>
      </c>
      <c r="C3351" t="s">
        <v>40</v>
      </c>
      <c r="D3351">
        <v>4.4193020000000001</v>
      </c>
      <c r="E3351">
        <v>0.49803609999999998</v>
      </c>
      <c r="F3351" t="s">
        <v>52</v>
      </c>
      <c r="G3351">
        <v>-344.49279999999999</v>
      </c>
      <c r="H3351" s="1">
        <v>8.5407499999999995E-7</v>
      </c>
      <c r="I3351">
        <v>283.75110000000001</v>
      </c>
      <c r="J3351">
        <v>-308.7604</v>
      </c>
      <c r="K3351">
        <v>1.121162</v>
      </c>
      <c r="L3351">
        <v>283.82029999999997</v>
      </c>
      <c r="M3351">
        <v>-0.99993670000000001</v>
      </c>
      <c r="N3351">
        <v>-1.048762E-2</v>
      </c>
      <c r="O3351">
        <v>4.0928630000000004E-3</v>
      </c>
      <c r="P3351">
        <v>-0.98657260000000002</v>
      </c>
      <c r="Q3351">
        <v>0.16326769999999999</v>
      </c>
      <c r="R3351">
        <v>4.3237199999999996E-3</v>
      </c>
      <c r="S3351">
        <v>-3.05661</v>
      </c>
      <c r="T3351">
        <v>-9.5437649999999999E-2</v>
      </c>
      <c r="U3351">
        <v>-5.8288569999999998E-3</v>
      </c>
      <c r="V3351">
        <v>2.8190730000000002E-4</v>
      </c>
      <c r="W3351">
        <v>0.1736057</v>
      </c>
      <c r="X3351">
        <v>0.9848152</v>
      </c>
      <c r="Y3351">
        <v>-5.9952460000000001E-3</v>
      </c>
      <c r="Z3351">
        <v>-2.09865E-4</v>
      </c>
      <c r="AA3351">
        <v>0.99998200000000004</v>
      </c>
      <c r="AB3351">
        <v>29</v>
      </c>
      <c r="AC3351">
        <v>-35.732399999999899</v>
      </c>
      <c r="AD3351">
        <v>-1.1211611459249999</v>
      </c>
      <c r="AE3351">
        <v>-6.9199999999966594E-2</v>
      </c>
      <c r="AF3351">
        <v>-0.21524336677080799</v>
      </c>
      <c r="AG3351">
        <v>-1.1211611459249999</v>
      </c>
      <c r="AH3351">
        <v>35.696674518834897</v>
      </c>
      <c r="AI3351">
        <v>91.7989217718644</v>
      </c>
      <c r="AJ3351">
        <v>90.345477196129096</v>
      </c>
      <c r="AK3351">
        <v>35.714925503572097</v>
      </c>
      <c r="AL3351">
        <v>80.002471310101996</v>
      </c>
      <c r="AM3351">
        <v>89.983598853812595</v>
      </c>
      <c r="AN3351">
        <v>0.99999999834762698</v>
      </c>
    </row>
    <row r="3352" spans="1:40" x14ac:dyDescent="0.25">
      <c r="A3352" t="str">
        <f>"20190303161940631"</f>
        <v>20190303161940631</v>
      </c>
      <c r="B3352" t="str">
        <f>"1551601180625524"</f>
        <v>1551601180625524</v>
      </c>
      <c r="C3352" t="s">
        <v>40</v>
      </c>
      <c r="D3352">
        <v>4.4172979999999997</v>
      </c>
      <c r="E3352">
        <v>0.49792999999999998</v>
      </c>
      <c r="F3352" t="s">
        <v>52</v>
      </c>
      <c r="G3352">
        <v>-344.85109999999997</v>
      </c>
      <c r="H3352" s="1">
        <v>1.04475E-6</v>
      </c>
      <c r="I3352">
        <v>283.74720000000002</v>
      </c>
      <c r="J3352">
        <v>-309.11430000000001</v>
      </c>
      <c r="K3352">
        <v>1.1211580000000001</v>
      </c>
      <c r="L3352">
        <v>283.82170000000002</v>
      </c>
      <c r="M3352">
        <v>-0.99993670000000001</v>
      </c>
      <c r="N3352">
        <v>-1.0494119999999999E-2</v>
      </c>
      <c r="O3352">
        <v>4.0556919999999996E-3</v>
      </c>
      <c r="P3352">
        <v>-0.98675469999999998</v>
      </c>
      <c r="Q3352">
        <v>0.16216549999999999</v>
      </c>
      <c r="R3352">
        <v>4.2110759999999898E-3</v>
      </c>
      <c r="S3352">
        <v>-3.0565799999999999</v>
      </c>
      <c r="T3352">
        <v>-9.495294E-2</v>
      </c>
      <c r="U3352">
        <v>-6.1950679999999998E-3</v>
      </c>
      <c r="V3352">
        <v>2.049601E-4</v>
      </c>
      <c r="W3352">
        <v>0.1725119</v>
      </c>
      <c r="X3352">
        <v>0.98500739999999998</v>
      </c>
      <c r="Y3352">
        <v>-6.0779019999999996E-3</v>
      </c>
      <c r="Z3352">
        <v>-2.0968930000000001E-4</v>
      </c>
      <c r="AA3352">
        <v>0.99998149999999997</v>
      </c>
      <c r="AB3352">
        <v>29</v>
      </c>
      <c r="AC3352">
        <v>-35.736799999999903</v>
      </c>
      <c r="AD3352">
        <v>-1.12115695525</v>
      </c>
      <c r="AE3352">
        <v>-7.4500000000000399E-2</v>
      </c>
      <c r="AF3352">
        <v>-0.21922905067207399</v>
      </c>
      <c r="AG3352">
        <v>-1.12115695525</v>
      </c>
      <c r="AH3352">
        <v>35.701065585613101</v>
      </c>
      <c r="AI3352">
        <v>91.798692726354204</v>
      </c>
      <c r="AJ3352">
        <v>90.351830996230603</v>
      </c>
      <c r="AK3352">
        <v>35.719338435128002</v>
      </c>
      <c r="AL3352">
        <v>80.066101416857194</v>
      </c>
      <c r="AM3352">
        <v>89.988077908319099</v>
      </c>
      <c r="AN3352">
        <v>0.99999998785250599</v>
      </c>
    </row>
    <row r="3353" spans="1:40" x14ac:dyDescent="0.25">
      <c r="A3353" t="str">
        <f>"20190303161940653"</f>
        <v>20190303161940653</v>
      </c>
      <c r="B3353" t="str">
        <f>"1551601180646020"</f>
        <v>1551601180646020</v>
      </c>
      <c r="C3353" t="s">
        <v>40</v>
      </c>
      <c r="D3353">
        <v>4.4306299999999998</v>
      </c>
      <c r="E3353">
        <v>0.49790800000000002</v>
      </c>
      <c r="F3353" t="s">
        <v>52</v>
      </c>
      <c r="G3353">
        <v>-344.17329999999998</v>
      </c>
      <c r="H3353" s="1">
        <v>6.8401929999999996E-7</v>
      </c>
      <c r="I3353">
        <v>283.7353</v>
      </c>
      <c r="J3353">
        <v>-309.41480000000001</v>
      </c>
      <c r="K3353">
        <v>1.121159</v>
      </c>
      <c r="L3353">
        <v>283.8229</v>
      </c>
      <c r="M3353">
        <v>-0.99993690000000002</v>
      </c>
      <c r="N3353">
        <v>-1.0499919999999999E-2</v>
      </c>
      <c r="O3353">
        <v>4.0233580000000003E-3</v>
      </c>
      <c r="P3353">
        <v>-0.98687409999999998</v>
      </c>
      <c r="Q3353">
        <v>0.16144990000000001</v>
      </c>
      <c r="R3353">
        <v>3.7353429999999999E-3</v>
      </c>
      <c r="S3353">
        <v>-3.0563349999999998</v>
      </c>
      <c r="T3353">
        <v>-9.7739220000000002E-2</v>
      </c>
      <c r="U3353">
        <v>-7.5378419999999899E-3</v>
      </c>
      <c r="V3353">
        <v>-2.3939879999999999E-4</v>
      </c>
      <c r="W3353">
        <v>0.17180309999999999</v>
      </c>
      <c r="X3353">
        <v>0.98513130000000004</v>
      </c>
      <c r="Y3353">
        <v>-6.4845090000000003E-3</v>
      </c>
      <c r="Z3353">
        <v>-2.2410590000000001E-4</v>
      </c>
      <c r="AA3353">
        <v>0.99997899999999995</v>
      </c>
      <c r="AB3353">
        <v>29</v>
      </c>
      <c r="AC3353">
        <v>-34.758499999999898</v>
      </c>
      <c r="AD3353">
        <v>-1.1211583159806999</v>
      </c>
      <c r="AE3353">
        <v>-8.7600000000008907E-2</v>
      </c>
      <c r="AF3353">
        <v>-0.227216471944402</v>
      </c>
      <c r="AG3353">
        <v>-1.1211583159806999</v>
      </c>
      <c r="AH3353">
        <v>34.721740951815399</v>
      </c>
      <c r="AI3353">
        <v>91.849387516946393</v>
      </c>
      <c r="AJ3353">
        <v>90.374933937507606</v>
      </c>
      <c r="AK3353">
        <v>34.740580277531201</v>
      </c>
      <c r="AL3353">
        <v>80.107328530850197</v>
      </c>
      <c r="AM3353">
        <v>90.013923565914993</v>
      </c>
      <c r="AN3353">
        <v>1.0000000203605399</v>
      </c>
    </row>
    <row r="3354" spans="1:40" x14ac:dyDescent="0.25">
      <c r="A3354" t="str">
        <f>"20190303161940675"</f>
        <v>20190303161940675</v>
      </c>
      <c r="B3354" t="str">
        <f>"1551601180665539"</f>
        <v>1551601180665539</v>
      </c>
      <c r="C3354" t="s">
        <v>40</v>
      </c>
      <c r="D3354">
        <v>4.4335990000000001</v>
      </c>
      <c r="E3354">
        <v>0.49787989999999999</v>
      </c>
      <c r="F3354" t="s">
        <v>52</v>
      </c>
      <c r="G3354">
        <v>-343.76560000000001</v>
      </c>
      <c r="H3354" s="1">
        <v>4.6709360000000002E-7</v>
      </c>
      <c r="I3354">
        <v>283.7217</v>
      </c>
      <c r="J3354">
        <v>-309.6875</v>
      </c>
      <c r="K3354">
        <v>1.121157</v>
      </c>
      <c r="L3354">
        <v>283.82389999999998</v>
      </c>
      <c r="M3354">
        <v>-0.99993690000000002</v>
      </c>
      <c r="N3354">
        <v>-1.0505260000000001E-2</v>
      </c>
      <c r="O3354">
        <v>3.9945409999999999E-3</v>
      </c>
      <c r="P3354">
        <v>-0.98702129999999999</v>
      </c>
      <c r="Q3354">
        <v>0.16054549999999901</v>
      </c>
      <c r="R3354">
        <v>3.7854189999999999E-3</v>
      </c>
      <c r="S3354">
        <v>-3.056244</v>
      </c>
      <c r="T3354">
        <v>-9.9751000000000006E-2</v>
      </c>
      <c r="U3354">
        <v>-9.0026859999999993E-3</v>
      </c>
      <c r="V3354">
        <v>-1.6097649999999999E-4</v>
      </c>
      <c r="W3354">
        <v>0.1709058</v>
      </c>
      <c r="X3354">
        <v>0.98528740000000004</v>
      </c>
      <c r="Y3354">
        <v>-6.9345169999999899E-3</v>
      </c>
      <c r="Z3354">
        <v>-2.3795709999999999E-4</v>
      </c>
      <c r="AA3354">
        <v>0.99997590000000003</v>
      </c>
      <c r="AB3354">
        <v>29</v>
      </c>
      <c r="AC3354">
        <v>-34.078099999999999</v>
      </c>
      <c r="AD3354">
        <v>-1.1211565329063999</v>
      </c>
      <c r="AE3354">
        <v>-0.102199999999982</v>
      </c>
      <c r="AF3354">
        <v>-0.238075369185234</v>
      </c>
      <c r="AG3354">
        <v>-1.1211565329063999</v>
      </c>
      <c r="AH3354">
        <v>34.040575147234598</v>
      </c>
      <c r="AI3354">
        <v>91.886359302837207</v>
      </c>
      <c r="AJ3354">
        <v>90.400712720027698</v>
      </c>
      <c r="AK3354">
        <v>34.059865358031303</v>
      </c>
      <c r="AL3354">
        <v>80.159512045085705</v>
      </c>
      <c r="AM3354">
        <v>90.009360998596605</v>
      </c>
      <c r="AN3354">
        <v>1.0000000394929101</v>
      </c>
    </row>
    <row r="3355" spans="1:40" x14ac:dyDescent="0.25">
      <c r="A3355" t="str">
        <f>"20190303161940697"</f>
        <v>20190303161940697</v>
      </c>
      <c r="B3355" t="str">
        <f>"1551601180686036"</f>
        <v>1551601180686036</v>
      </c>
      <c r="C3355" t="s">
        <v>40</v>
      </c>
      <c r="D3355">
        <v>4.4956610000000001</v>
      </c>
      <c r="E3355">
        <v>0.50894410000000001</v>
      </c>
      <c r="F3355" t="s">
        <v>52</v>
      </c>
      <c r="G3355">
        <v>-343.17520000000002</v>
      </c>
      <c r="H3355" s="1">
        <v>1.5289410000000001E-7</v>
      </c>
      <c r="I3355">
        <v>283.72859999999997</v>
      </c>
      <c r="J3355">
        <v>-309.97550000000001</v>
      </c>
      <c r="K3355">
        <v>1.121146</v>
      </c>
      <c r="L3355">
        <v>283.82510000000002</v>
      </c>
      <c r="M3355">
        <v>-0.99993690000000002</v>
      </c>
      <c r="N3355">
        <v>-1.051097E-2</v>
      </c>
      <c r="O3355">
        <v>3.9640530000000004E-3</v>
      </c>
      <c r="P3355">
        <v>-0.98705620000000005</v>
      </c>
      <c r="Q3355">
        <v>0.16033829999999999</v>
      </c>
      <c r="R3355">
        <v>3.4087100000000001E-3</v>
      </c>
      <c r="S3355">
        <v>-3.0561219999999998</v>
      </c>
      <c r="T3355">
        <v>-0.10231800000000001</v>
      </c>
      <c r="U3355">
        <v>-8.6975100000000003E-3</v>
      </c>
      <c r="V3355">
        <v>-5.081927E-4</v>
      </c>
      <c r="W3355">
        <v>0.17070479999999999</v>
      </c>
      <c r="X3355">
        <v>0.98532209999999998</v>
      </c>
      <c r="Y3355">
        <v>-6.8040959999999999E-3</v>
      </c>
      <c r="Z3355">
        <v>-2.4065919999999999E-4</v>
      </c>
      <c r="AA3355">
        <v>0.9999768</v>
      </c>
      <c r="AB3355">
        <v>29</v>
      </c>
      <c r="AC3355">
        <v>-33.1997</v>
      </c>
      <c r="AD3355">
        <v>-1.1211458471058999</v>
      </c>
      <c r="AE3355">
        <v>-9.6500000000048602E-2</v>
      </c>
      <c r="AF3355">
        <v>-0.22785204324946901</v>
      </c>
      <c r="AG3355">
        <v>-1.1211458471058999</v>
      </c>
      <c r="AH3355">
        <v>33.161239927448399</v>
      </c>
      <c r="AI3355">
        <v>91.9363254332347</v>
      </c>
      <c r="AJ3355">
        <v>90.393675116478093</v>
      </c>
      <c r="AK3355">
        <v>33.180969215649696</v>
      </c>
      <c r="AL3355">
        <v>80.171200002641896</v>
      </c>
      <c r="AM3355">
        <v>90.029551041540103</v>
      </c>
      <c r="AN3355">
        <v>1.00000001387563</v>
      </c>
    </row>
    <row r="3356" spans="1:40" x14ac:dyDescent="0.25">
      <c r="A3356" t="str">
        <f>"20190303161940720"</f>
        <v>20190303161940720</v>
      </c>
      <c r="B3356" t="str">
        <f>"1551601180716292"</f>
        <v>1551601180716292</v>
      </c>
      <c r="C3356" t="s">
        <v>40</v>
      </c>
      <c r="D3356">
        <v>4.5047790000000001</v>
      </c>
      <c r="E3356">
        <v>0.52178789999999997</v>
      </c>
      <c r="F3356" t="s">
        <v>52</v>
      </c>
      <c r="G3356">
        <v>-331.68</v>
      </c>
      <c r="H3356" s="1">
        <v>-6.323421E-7</v>
      </c>
      <c r="I3356">
        <v>284.37790000000001</v>
      </c>
      <c r="J3356">
        <v>-310.26960000000003</v>
      </c>
      <c r="K3356">
        <v>1.12114</v>
      </c>
      <c r="L3356">
        <v>283.82619999999997</v>
      </c>
      <c r="M3356">
        <v>-0.99993710000000002</v>
      </c>
      <c r="N3356">
        <v>-1.0516869999999999E-2</v>
      </c>
      <c r="O3356">
        <v>3.9330839999999999E-3</v>
      </c>
      <c r="P3356">
        <v>-0.98721610000000004</v>
      </c>
      <c r="Q3356">
        <v>0.1593426</v>
      </c>
      <c r="R3356">
        <v>3.8424560000000002E-3</v>
      </c>
      <c r="S3356">
        <v>-3.0647890000000002</v>
      </c>
      <c r="T3356">
        <v>-0.1583117</v>
      </c>
      <c r="U3356">
        <v>7.8063960000000002E-2</v>
      </c>
      <c r="V3356" s="1">
        <v>-4.4373389999999997E-5</v>
      </c>
      <c r="W3356">
        <v>0.1697166</v>
      </c>
      <c r="X3356">
        <v>0.98549290000000001</v>
      </c>
      <c r="Y3356">
        <v>2.1499589999999999E-2</v>
      </c>
      <c r="Z3356">
        <v>5.0633199999999996E-4</v>
      </c>
      <c r="AA3356">
        <v>0.99976869999999995</v>
      </c>
      <c r="AB3356">
        <v>29</v>
      </c>
      <c r="AC3356">
        <v>-21.4103999999999</v>
      </c>
      <c r="AD3356">
        <v>-1.1211406323421</v>
      </c>
      <c r="AE3356">
        <v>0.55170000000003905</v>
      </c>
      <c r="AF3356">
        <v>0.46620469066999798</v>
      </c>
      <c r="AG3356">
        <v>-1.1211406323421</v>
      </c>
      <c r="AH3356">
        <v>21.3538904398049</v>
      </c>
      <c r="AI3356">
        <v>93.004718909126296</v>
      </c>
      <c r="AJ3356">
        <v>88.749299644734094</v>
      </c>
      <c r="AK3356">
        <v>21.3883832966936</v>
      </c>
      <c r="AL3356">
        <v>80.228657916074098</v>
      </c>
      <c r="AM3356">
        <v>90.002579833875998</v>
      </c>
      <c r="AN3356">
        <v>0.99999999111748294</v>
      </c>
    </row>
    <row r="3357" spans="1:40" x14ac:dyDescent="0.25">
      <c r="A3357" t="str">
        <f>"20190303161940742"</f>
        <v>20190303161940742</v>
      </c>
      <c r="B3357" t="str">
        <f>"1551601180735812"</f>
        <v>1551601180735812</v>
      </c>
      <c r="C3357" t="s">
        <v>40</v>
      </c>
      <c r="D3357">
        <v>4.5179130000000001</v>
      </c>
      <c r="E3357">
        <v>0.52545410000000004</v>
      </c>
      <c r="F3357" t="s">
        <v>42</v>
      </c>
      <c r="G3357">
        <v>-311.04070000000002</v>
      </c>
      <c r="H3357">
        <v>0.99387899999999996</v>
      </c>
      <c r="I3357">
        <v>283.87079999999997</v>
      </c>
      <c r="J3357">
        <v>-310.5616</v>
      </c>
      <c r="K3357">
        <v>1.121135</v>
      </c>
      <c r="L3357">
        <v>283.82729999999998</v>
      </c>
      <c r="M3357">
        <v>-0.99993710000000002</v>
      </c>
      <c r="N3357">
        <v>-1.0522790000000001E-2</v>
      </c>
      <c r="O3357">
        <v>3.9020600000000002E-3</v>
      </c>
      <c r="P3357">
        <v>-0.98732920000000002</v>
      </c>
      <c r="Q3357">
        <v>0.15864909999999999</v>
      </c>
      <c r="R3357">
        <v>3.4713299999999999E-3</v>
      </c>
      <c r="S3357">
        <v>-3.1212770000000001</v>
      </c>
      <c r="T3357">
        <v>-0.51515270000000002</v>
      </c>
      <c r="U3357">
        <v>0.18005370000000001</v>
      </c>
      <c r="V3357">
        <v>-3.8520790000000002E-4</v>
      </c>
      <c r="W3357">
        <v>0.16903000000000001</v>
      </c>
      <c r="X3357">
        <v>0.98561080000000001</v>
      </c>
      <c r="Y3357">
        <v>5.2979419999999999E-2</v>
      </c>
      <c r="Z3357">
        <v>4.021691E-3</v>
      </c>
      <c r="AA3357">
        <v>0.99858749999999996</v>
      </c>
      <c r="AB3357">
        <v>29</v>
      </c>
      <c r="AC3357">
        <v>-0.47910000000001601</v>
      </c>
      <c r="AD3357">
        <v>-0.12725599999999901</v>
      </c>
      <c r="AE3357">
        <v>4.3499999999994501E-2</v>
      </c>
      <c r="AF3357">
        <v>3.8907558781124299E-2</v>
      </c>
      <c r="AG3357">
        <v>-0.12725599999999901</v>
      </c>
      <c r="AH3357">
        <v>0.44792299707010902</v>
      </c>
      <c r="AI3357">
        <v>105.803457189613</v>
      </c>
      <c r="AJ3357">
        <v>85.035625303405993</v>
      </c>
      <c r="AK3357">
        <v>0.46727176136652598</v>
      </c>
      <c r="AL3357">
        <v>80.268573691402693</v>
      </c>
      <c r="AM3357">
        <v>90.0223930031827</v>
      </c>
      <c r="AN3357">
        <v>0.99999996918088196</v>
      </c>
    </row>
    <row r="3358" spans="1:40" x14ac:dyDescent="0.25">
      <c r="A3358" t="str">
        <f>"20190303161940764"</f>
        <v>20190303161940764</v>
      </c>
      <c r="B3358" t="str">
        <f>"1551601180756308"</f>
        <v>1551601180756308</v>
      </c>
      <c r="C3358" t="s">
        <v>40</v>
      </c>
      <c r="D3358">
        <v>4.510135</v>
      </c>
      <c r="E3358">
        <v>0.52651630000000005</v>
      </c>
      <c r="F3358" t="s">
        <v>42</v>
      </c>
      <c r="G3358">
        <v>-311.28640000000001</v>
      </c>
      <c r="H3358">
        <v>0.96484979999999998</v>
      </c>
      <c r="I3358">
        <v>283.87540000000001</v>
      </c>
      <c r="J3358">
        <v>-310.83769999999998</v>
      </c>
      <c r="K3358">
        <v>1.1211390000000001</v>
      </c>
      <c r="L3358">
        <v>283.82830000000001</v>
      </c>
      <c r="M3358">
        <v>-0.99993710000000002</v>
      </c>
      <c r="N3358">
        <v>-1.052842E-2</v>
      </c>
      <c r="O3358">
        <v>3.8729440000000001E-3</v>
      </c>
      <c r="P3358">
        <v>-0.98746650000000002</v>
      </c>
      <c r="Q3358">
        <v>0.15779309999999999</v>
      </c>
      <c r="R3358">
        <v>3.4010160000000002E-3</v>
      </c>
      <c r="S3358">
        <v>-3.14682</v>
      </c>
      <c r="T3358">
        <v>-0.67844759999999904</v>
      </c>
      <c r="U3358">
        <v>0.2077637</v>
      </c>
      <c r="V3358">
        <v>-4.2756860000000001E-4</v>
      </c>
      <c r="W3358">
        <v>0.1681812</v>
      </c>
      <c r="X3358">
        <v>0.98575599999999997</v>
      </c>
      <c r="Y3358">
        <v>6.0638070000000002E-2</v>
      </c>
      <c r="Z3358">
        <v>5.9947179999999996E-3</v>
      </c>
      <c r="AA3358">
        <v>0.99814179999999997</v>
      </c>
      <c r="AB3358">
        <v>29</v>
      </c>
      <c r="AC3358">
        <v>-0.44870000000003002</v>
      </c>
      <c r="AD3358">
        <v>-0.15628919999999899</v>
      </c>
      <c r="AE3358">
        <v>4.7100000000000301E-2</v>
      </c>
      <c r="AF3358">
        <v>4.05015181853349E-2</v>
      </c>
      <c r="AG3358">
        <v>-0.15628919999999899</v>
      </c>
      <c r="AH3358">
        <v>0.40078434419651798</v>
      </c>
      <c r="AI3358">
        <v>111.20537136719901</v>
      </c>
      <c r="AJ3358">
        <v>84.229528305787497</v>
      </c>
      <c r="AK3358">
        <v>0.43208191071252899</v>
      </c>
      <c r="AL3358">
        <v>80.317912963810102</v>
      </c>
      <c r="AM3358">
        <v>90.0248518646561</v>
      </c>
      <c r="AN3358">
        <v>0.99999999519217297</v>
      </c>
    </row>
    <row r="3359" spans="1:40" x14ac:dyDescent="0.25">
      <c r="A3359" t="str">
        <f>"20190303161940786"</f>
        <v>20190303161940786</v>
      </c>
      <c r="B3359" t="str">
        <f>"1551601180775829"</f>
        <v>1551601180775829</v>
      </c>
      <c r="C3359" t="s">
        <v>40</v>
      </c>
      <c r="D3359">
        <v>4.5432600000000001</v>
      </c>
      <c r="E3359">
        <v>0.52704459999999997</v>
      </c>
      <c r="F3359" t="s">
        <v>42</v>
      </c>
      <c r="G3359">
        <v>-311.53919999999999</v>
      </c>
      <c r="H3359">
        <v>0.94934300000000005</v>
      </c>
      <c r="I3359">
        <v>283.87630000000001</v>
      </c>
      <c r="J3359">
        <v>-311.13569999999999</v>
      </c>
      <c r="K3359">
        <v>1.1211370000000001</v>
      </c>
      <c r="L3359">
        <v>283.8295</v>
      </c>
      <c r="M3359">
        <v>-0.99993730000000003</v>
      </c>
      <c r="N3359">
        <v>-1.0534450000000001E-2</v>
      </c>
      <c r="O3359">
        <v>3.8412630000000001E-3</v>
      </c>
      <c r="P3359">
        <v>-0.98751540000000004</v>
      </c>
      <c r="Q3359">
        <v>0.15748480000000001</v>
      </c>
      <c r="R3359">
        <v>3.4651069999999998E-3</v>
      </c>
      <c r="S3359">
        <v>-3.1610109999999998</v>
      </c>
      <c r="T3359">
        <v>-0.77418790000000004</v>
      </c>
      <c r="U3359">
        <v>0.215332</v>
      </c>
      <c r="V3359">
        <v>-3.3263690000000001E-4</v>
      </c>
      <c r="W3359">
        <v>0.1678789</v>
      </c>
      <c r="X3359">
        <v>0.98580760000000001</v>
      </c>
      <c r="Y3359">
        <v>6.231925E-2</v>
      </c>
      <c r="Z3359">
        <v>6.959514E-3</v>
      </c>
      <c r="AA3359">
        <v>0.99803200000000003</v>
      </c>
      <c r="AB3359">
        <v>29</v>
      </c>
      <c r="AC3359">
        <v>-0.40350000000000802</v>
      </c>
      <c r="AD3359">
        <v>-0.171794</v>
      </c>
      <c r="AE3359">
        <v>4.6800000000018799E-2</v>
      </c>
      <c r="AF3359">
        <v>3.8384053678400698E-2</v>
      </c>
      <c r="AG3359">
        <v>-0.171794</v>
      </c>
      <c r="AH3359">
        <v>0.34242834175285403</v>
      </c>
      <c r="AI3359">
        <v>116.499503779237</v>
      </c>
      <c r="AJ3359">
        <v>83.604203648925505</v>
      </c>
      <c r="AK3359">
        <v>0.38502426319440702</v>
      </c>
      <c r="AL3359">
        <v>80.335483634598603</v>
      </c>
      <c r="AM3359">
        <v>90.019333072454501</v>
      </c>
      <c r="AN3359">
        <v>1.0000000299651299</v>
      </c>
    </row>
    <row r="3360" spans="1:40" x14ac:dyDescent="0.25">
      <c r="A3360" t="str">
        <f>"20190303161940809"</f>
        <v>20190303161940809</v>
      </c>
      <c r="B3360" t="str">
        <f>"1551601180806084"</f>
        <v>1551601180806084</v>
      </c>
      <c r="C3360" t="s">
        <v>40</v>
      </c>
      <c r="D3360">
        <v>4.5414940000000001</v>
      </c>
      <c r="E3360">
        <v>0.52870090000000003</v>
      </c>
      <c r="F3360" t="s">
        <v>42</v>
      </c>
      <c r="G3360">
        <v>-312.03190000000001</v>
      </c>
      <c r="H3360">
        <v>0.88869739999999997</v>
      </c>
      <c r="I3360">
        <v>283.89150000000001</v>
      </c>
      <c r="J3360">
        <v>-311.42669999999998</v>
      </c>
      <c r="K3360">
        <v>1.1211409999999999</v>
      </c>
      <c r="L3360">
        <v>283.8306</v>
      </c>
      <c r="M3360">
        <v>-0.99993719999999997</v>
      </c>
      <c r="N3360">
        <v>-1.054034E-2</v>
      </c>
      <c r="O3360">
        <v>3.8109490000000001E-3</v>
      </c>
      <c r="P3360">
        <v>-0.9875292</v>
      </c>
      <c r="Q3360">
        <v>0.15740100000000001</v>
      </c>
      <c r="R3360">
        <v>3.3387680000000002E-3</v>
      </c>
      <c r="S3360">
        <v>-3.1681819999999998</v>
      </c>
      <c r="T3360">
        <v>-0.82159159999999998</v>
      </c>
      <c r="U3360">
        <v>0.21911620000000001</v>
      </c>
      <c r="V3360">
        <v>-4.2900700000000002E-4</v>
      </c>
      <c r="W3360">
        <v>0.16780139999999999</v>
      </c>
      <c r="X3360">
        <v>0.98582069999999999</v>
      </c>
      <c r="Y3360">
        <v>6.3143179999999993E-2</v>
      </c>
      <c r="Z3360">
        <v>7.4522089999999996E-3</v>
      </c>
      <c r="AA3360">
        <v>0.99797670000000005</v>
      </c>
      <c r="AB3360">
        <v>29</v>
      </c>
      <c r="AC3360">
        <v>-0.60520000000002405</v>
      </c>
      <c r="AD3360">
        <v>-0.2324436</v>
      </c>
      <c r="AE3360">
        <v>6.0900000000003701E-2</v>
      </c>
      <c r="AF3360">
        <v>5.1126675733230098E-2</v>
      </c>
      <c r="AG3360">
        <v>-0.2324436</v>
      </c>
      <c r="AH3360">
        <v>0.528279539532718</v>
      </c>
      <c r="AI3360">
        <v>113.651251333934</v>
      </c>
      <c r="AJ3360">
        <v>84.472153685460398</v>
      </c>
      <c r="AK3360">
        <v>0.579416289071502</v>
      </c>
      <c r="AL3360">
        <v>80.339987401226097</v>
      </c>
      <c r="AM3360">
        <v>90.024933833231401</v>
      </c>
      <c r="AN3360">
        <v>0.99999997321872702</v>
      </c>
    </row>
    <row r="3361" spans="1:40" x14ac:dyDescent="0.25">
      <c r="A3361" t="str">
        <f>"20190303161940831"</f>
        <v>20190303161940831</v>
      </c>
      <c r="B3361" t="str">
        <f>"1551601180825604"</f>
        <v>1551601180825604</v>
      </c>
      <c r="C3361" t="s">
        <v>40</v>
      </c>
      <c r="D3361">
        <v>4.5731089999999996</v>
      </c>
      <c r="E3361">
        <v>0.52889160000000002</v>
      </c>
      <c r="F3361" t="s">
        <v>42</v>
      </c>
      <c r="G3361">
        <v>-312.29360000000003</v>
      </c>
      <c r="H3361">
        <v>0.89096900000000001</v>
      </c>
      <c r="I3361">
        <v>283.8947</v>
      </c>
      <c r="J3361">
        <v>-311.7217</v>
      </c>
      <c r="K3361">
        <v>1.1211359999999999</v>
      </c>
      <c r="L3361">
        <v>283.83159999999998</v>
      </c>
      <c r="M3361">
        <v>-0.99993739999999998</v>
      </c>
      <c r="N3361">
        <v>-1.054632E-2</v>
      </c>
      <c r="O3361">
        <v>3.7796259999999999E-3</v>
      </c>
      <c r="P3361">
        <v>-0.98756129999999998</v>
      </c>
      <c r="Q3361">
        <v>0.15721179999999901</v>
      </c>
      <c r="R3361">
        <v>2.709618E-3</v>
      </c>
      <c r="S3361">
        <v>-3.1713260000000001</v>
      </c>
      <c r="T3361">
        <v>-0.84202849999999996</v>
      </c>
      <c r="U3361">
        <v>0.23321529999999999</v>
      </c>
      <c r="V3361">
        <v>-1.026976E-3</v>
      </c>
      <c r="W3361">
        <v>0.16761799999999999</v>
      </c>
      <c r="X3361">
        <v>0.98585149999999999</v>
      </c>
      <c r="Y3361">
        <v>6.7276390000000005E-2</v>
      </c>
      <c r="Z3361">
        <v>8.1835559999999998E-3</v>
      </c>
      <c r="AA3361">
        <v>0.99770080000000005</v>
      </c>
      <c r="AB3361">
        <v>29</v>
      </c>
      <c r="AC3361">
        <v>-0.57190000000002705</v>
      </c>
      <c r="AD3361">
        <v>-0.23016700000000001</v>
      </c>
      <c r="AE3361">
        <v>6.3100000000019904E-2</v>
      </c>
      <c r="AF3361">
        <v>5.2531455373922301E-2</v>
      </c>
      <c r="AG3361">
        <v>-0.23016700000000001</v>
      </c>
      <c r="AH3361">
        <v>0.49320821656229702</v>
      </c>
      <c r="AI3361">
        <v>114.893579700179</v>
      </c>
      <c r="AJ3361">
        <v>83.920364782864795</v>
      </c>
      <c r="AK3361">
        <v>0.54680046321968701</v>
      </c>
      <c r="AL3361">
        <v>80.350646817740795</v>
      </c>
      <c r="AM3361">
        <v>90.059685834202099</v>
      </c>
      <c r="AN3361">
        <v>1.0000000143279699</v>
      </c>
    </row>
    <row r="3362" spans="1:40" x14ac:dyDescent="0.25">
      <c r="A3362" t="str">
        <f>"20190303161940854"</f>
        <v>20190303161940854</v>
      </c>
      <c r="B3362" t="str">
        <f>"1551601180846101"</f>
        <v>1551601180846101</v>
      </c>
      <c r="C3362" t="s">
        <v>40</v>
      </c>
      <c r="D3362">
        <v>4.5257209999999999</v>
      </c>
      <c r="E3362">
        <v>0.52945580000000003</v>
      </c>
      <c r="F3362" t="s">
        <v>42</v>
      </c>
      <c r="G3362">
        <v>-312.55689999999998</v>
      </c>
      <c r="H3362">
        <v>0.89598989999999901</v>
      </c>
      <c r="I3362">
        <v>283.8931</v>
      </c>
      <c r="J3362">
        <v>-312.0224</v>
      </c>
      <c r="K3362">
        <v>1.121138</v>
      </c>
      <c r="L3362">
        <v>283.83269999999999</v>
      </c>
      <c r="M3362">
        <v>-0.99993750000000003</v>
      </c>
      <c r="N3362">
        <v>-1.05524E-2</v>
      </c>
      <c r="O3362">
        <v>3.7476480000000001E-3</v>
      </c>
      <c r="P3362">
        <v>-0.98748670000000005</v>
      </c>
      <c r="Q3362">
        <v>0.15767709999999999</v>
      </c>
      <c r="R3362">
        <v>2.9329579999999998E-3</v>
      </c>
      <c r="S3362">
        <v>-3.173279</v>
      </c>
      <c r="T3362">
        <v>-0.85541160000000005</v>
      </c>
      <c r="U3362">
        <v>0.23345949999999999</v>
      </c>
      <c r="V3362">
        <v>-7.7165419999999897E-4</v>
      </c>
      <c r="W3362">
        <v>0.1680886</v>
      </c>
      <c r="X3362">
        <v>0.98577159999999997</v>
      </c>
      <c r="Y3362">
        <v>6.7270960000000005E-2</v>
      </c>
      <c r="Z3362">
        <v>8.3061030000000004E-3</v>
      </c>
      <c r="AA3362">
        <v>0.99770020000000004</v>
      </c>
      <c r="AB3362">
        <v>29</v>
      </c>
      <c r="AC3362">
        <v>-0.53449999999997999</v>
      </c>
      <c r="AD3362">
        <v>-0.22514809999999999</v>
      </c>
      <c r="AE3362">
        <v>6.0400000000015497E-2</v>
      </c>
      <c r="AF3362">
        <v>4.9690622333588202E-2</v>
      </c>
      <c r="AG3362">
        <v>-0.22514809999999999</v>
      </c>
      <c r="AH3362">
        <v>0.45500619553075899</v>
      </c>
      <c r="AI3362">
        <v>116.192555248218</v>
      </c>
      <c r="AJ3362">
        <v>83.7675030608535</v>
      </c>
      <c r="AK3362">
        <v>0.51008966158204505</v>
      </c>
      <c r="AL3362">
        <v>80.323295320162998</v>
      </c>
      <c r="AM3362">
        <v>90.044850673191306</v>
      </c>
      <c r="AN3362">
        <v>1.0000000101333599</v>
      </c>
    </row>
    <row r="3363" spans="1:40" x14ac:dyDescent="0.25">
      <c r="A3363" t="str">
        <f>"20190303161940876"</f>
        <v>20190303161940876</v>
      </c>
      <c r="B3363" t="str">
        <f>"1551601180865620"</f>
        <v>1551601180865620</v>
      </c>
      <c r="C3363" t="s">
        <v>40</v>
      </c>
      <c r="D3363">
        <v>4.5640589999999897</v>
      </c>
      <c r="E3363">
        <v>0.53005449999999998</v>
      </c>
      <c r="F3363" t="s">
        <v>42</v>
      </c>
      <c r="G3363">
        <v>-312.82220000000001</v>
      </c>
      <c r="H3363">
        <v>0.90485990000000005</v>
      </c>
      <c r="I3363">
        <v>283.89350000000002</v>
      </c>
      <c r="J3363">
        <v>-312.30829999999997</v>
      </c>
      <c r="K3363">
        <v>1.1211390000000001</v>
      </c>
      <c r="L3363">
        <v>283.8338</v>
      </c>
      <c r="M3363">
        <v>-0.99993739999999998</v>
      </c>
      <c r="N3363">
        <v>-1.055822E-2</v>
      </c>
      <c r="O3363">
        <v>3.7172799999999999E-3</v>
      </c>
      <c r="P3363">
        <v>-0.98752240000000002</v>
      </c>
      <c r="Q3363">
        <v>0.1574458</v>
      </c>
      <c r="R3363">
        <v>3.252596E-3</v>
      </c>
      <c r="S3363">
        <v>-3.1743769999999998</v>
      </c>
      <c r="T3363">
        <v>-0.858523699999999</v>
      </c>
      <c r="U3363">
        <v>0.23965449999999999</v>
      </c>
      <c r="V3363">
        <v>-4.224214E-4</v>
      </c>
      <c r="W3363">
        <v>0.16786389999999901</v>
      </c>
      <c r="X3363">
        <v>0.98581010000000002</v>
      </c>
      <c r="Y3363">
        <v>6.9127549999999996E-2</v>
      </c>
      <c r="Z3363">
        <v>8.5949970000000001E-3</v>
      </c>
      <c r="AA3363">
        <v>0.99757079999999998</v>
      </c>
      <c r="AB3363">
        <v>29</v>
      </c>
      <c r="AC3363">
        <v>-0.513900000000035</v>
      </c>
      <c r="AD3363">
        <v>-0.216279099999999</v>
      </c>
      <c r="AE3363">
        <v>5.9700000000020702E-2</v>
      </c>
      <c r="AF3363">
        <v>4.91921864536045E-2</v>
      </c>
      <c r="AG3363">
        <v>-0.216279099999999</v>
      </c>
      <c r="AH3363">
        <v>0.43763575360249202</v>
      </c>
      <c r="AI3363">
        <v>116.15593716119599</v>
      </c>
      <c r="AJ3363">
        <v>83.5866220676767</v>
      </c>
      <c r="AK3363">
        <v>0.490633848339184</v>
      </c>
      <c r="AL3363">
        <v>80.336355251447699</v>
      </c>
      <c r="AM3363">
        <v>90.024551343016896</v>
      </c>
      <c r="AN3363">
        <v>1.0000000103125199</v>
      </c>
    </row>
    <row r="3364" spans="1:40" x14ac:dyDescent="0.25">
      <c r="A3364" t="str">
        <f>"20190303161940898"</f>
        <v>20190303161940898</v>
      </c>
      <c r="B3364" t="str">
        <f>"1551601180895876"</f>
        <v>1551601180895876</v>
      </c>
      <c r="C3364" t="s">
        <v>40</v>
      </c>
      <c r="D3364">
        <v>4.5844719999999999</v>
      </c>
      <c r="E3364">
        <v>0.53120610000000001</v>
      </c>
      <c r="F3364" t="s">
        <v>42</v>
      </c>
      <c r="G3364">
        <v>-313.08609999999999</v>
      </c>
      <c r="H3364">
        <v>0.91023730000000003</v>
      </c>
      <c r="I3364">
        <v>283.89409999999998</v>
      </c>
      <c r="J3364">
        <v>-312.59829999999999</v>
      </c>
      <c r="K3364">
        <v>1.1211329999999999</v>
      </c>
      <c r="L3364">
        <v>283.83479999999997</v>
      </c>
      <c r="M3364">
        <v>-0.99993750000000003</v>
      </c>
      <c r="N3364">
        <v>-1.0564169999999999E-2</v>
      </c>
      <c r="O3364">
        <v>3.68667E-3</v>
      </c>
      <c r="P3364">
        <v>-0.98768199999999995</v>
      </c>
      <c r="Q3364">
        <v>0.15645229999999999</v>
      </c>
      <c r="R3364">
        <v>2.6403360000000001E-3</v>
      </c>
      <c r="S3364">
        <v>-3.174347</v>
      </c>
      <c r="T3364">
        <v>-0.86076129999999995</v>
      </c>
      <c r="U3364">
        <v>0.2449646</v>
      </c>
      <c r="V3364">
        <v>-1.00501E-3</v>
      </c>
      <c r="W3364">
        <v>0.16687759999999999</v>
      </c>
      <c r="X3364">
        <v>0.98597710000000005</v>
      </c>
      <c r="Y3364">
        <v>7.0744340000000003E-2</v>
      </c>
      <c r="Z3364">
        <v>8.8469969999999901E-3</v>
      </c>
      <c r="AA3364">
        <v>0.99745519999999999</v>
      </c>
      <c r="AB3364">
        <v>29</v>
      </c>
      <c r="AC3364">
        <v>-0.48779999999999202</v>
      </c>
      <c r="AD3364">
        <v>-0.21089569999999999</v>
      </c>
      <c r="AE3364">
        <v>5.9300000000007402E-2</v>
      </c>
      <c r="AF3364">
        <v>4.8557104933709898E-2</v>
      </c>
      <c r="AG3364">
        <v>-0.21089569999999999</v>
      </c>
      <c r="AH3364">
        <v>0.412106808187509</v>
      </c>
      <c r="AI3364">
        <v>116.94124054259601</v>
      </c>
      <c r="AJ3364">
        <v>83.280022251596904</v>
      </c>
      <c r="AK3364">
        <v>0.46547482216821301</v>
      </c>
      <c r="AL3364">
        <v>80.3936744543077</v>
      </c>
      <c r="AM3364">
        <v>90.058401773657806</v>
      </c>
      <c r="AN3364">
        <v>0.99999999257563499</v>
      </c>
    </row>
    <row r="3365" spans="1:40" x14ac:dyDescent="0.25">
      <c r="A3365" t="str">
        <f>"20190303161940920"</f>
        <v>20190303161940920</v>
      </c>
      <c r="B3365" t="str">
        <f>"1551601180915396"</f>
        <v>1551601180915396</v>
      </c>
      <c r="C3365" t="s">
        <v>40</v>
      </c>
      <c r="D3365">
        <v>4.5588480000000002</v>
      </c>
      <c r="E3365">
        <v>0.53193659999999998</v>
      </c>
      <c r="F3365" t="s">
        <v>42</v>
      </c>
      <c r="G3365">
        <v>-313.3494</v>
      </c>
      <c r="H3365">
        <v>0.91385360000000004</v>
      </c>
      <c r="I3365">
        <v>283.89479999999998</v>
      </c>
      <c r="J3365">
        <v>-312.88049999999998</v>
      </c>
      <c r="K3365">
        <v>1.1211279999999999</v>
      </c>
      <c r="L3365">
        <v>283.83589999999998</v>
      </c>
      <c r="M3365">
        <v>-0.99993750000000003</v>
      </c>
      <c r="N3365">
        <v>-1.057E-2</v>
      </c>
      <c r="O3365">
        <v>3.656659E-3</v>
      </c>
      <c r="P3365">
        <v>-0.98782919999999996</v>
      </c>
      <c r="Q3365">
        <v>0.15552969999999999</v>
      </c>
      <c r="R3365">
        <v>2.0458339999999998E-3</v>
      </c>
      <c r="S3365">
        <v>-3.1754760000000002</v>
      </c>
      <c r="T3365">
        <v>-0.87629389999999996</v>
      </c>
      <c r="U3365">
        <v>0.25170900000000002</v>
      </c>
      <c r="V3365">
        <v>-1.570377E-3</v>
      </c>
      <c r="W3365">
        <v>0.1659621</v>
      </c>
      <c r="X3365">
        <v>0.98613090000000003</v>
      </c>
      <c r="Y3365">
        <v>7.2690370000000004E-2</v>
      </c>
      <c r="Z3365">
        <v>9.2720200000000006E-3</v>
      </c>
      <c r="AA3365">
        <v>0.99731150000000002</v>
      </c>
      <c r="AB3365">
        <v>29</v>
      </c>
      <c r="AC3365">
        <v>-0.46890000000001902</v>
      </c>
      <c r="AD3365">
        <v>-0.2072744</v>
      </c>
      <c r="AE3365">
        <v>5.8899999999994103E-2</v>
      </c>
      <c r="AF3365">
        <v>4.7959124448389699E-2</v>
      </c>
      <c r="AG3365">
        <v>-0.2072744</v>
      </c>
      <c r="AH3365">
        <v>0.39342924031655602</v>
      </c>
      <c r="AI3365">
        <v>117.60817729476599</v>
      </c>
      <c r="AJ3365">
        <v>83.049919848830498</v>
      </c>
      <c r="AK3365">
        <v>0.44726873538095502</v>
      </c>
      <c r="AL3365">
        <v>80.446870811751893</v>
      </c>
      <c r="AM3365">
        <v>90.091241333464595</v>
      </c>
      <c r="AN3365">
        <v>1.0000000183275699</v>
      </c>
    </row>
    <row r="3366" spans="1:40" x14ac:dyDescent="0.25">
      <c r="A3366" t="str">
        <f>"20190303161940942"</f>
        <v>20190303161940942</v>
      </c>
      <c r="B3366" t="str">
        <f>"1551601180935893"</f>
        <v>1551601180935893</v>
      </c>
      <c r="C3366" t="s">
        <v>40</v>
      </c>
      <c r="D3366">
        <v>4.574897</v>
      </c>
      <c r="E3366">
        <v>0.53256079999999995</v>
      </c>
      <c r="F3366" t="s">
        <v>42</v>
      </c>
      <c r="G3366">
        <v>-313.61250000000001</v>
      </c>
      <c r="H3366">
        <v>0.91626750000000001</v>
      </c>
      <c r="I3366">
        <v>283.89519999999999</v>
      </c>
      <c r="J3366">
        <v>-313.17669999999998</v>
      </c>
      <c r="K3366">
        <v>1.12113</v>
      </c>
      <c r="L3366">
        <v>283.83690000000001</v>
      </c>
      <c r="M3366">
        <v>-0.99993750000000003</v>
      </c>
      <c r="N3366">
        <v>-1.057613E-2</v>
      </c>
      <c r="O3366">
        <v>3.6255129999999999E-3</v>
      </c>
      <c r="P3366">
        <v>-0.98783739999999998</v>
      </c>
      <c r="Q3366">
        <v>0.15548499999999901</v>
      </c>
      <c r="R3366">
        <v>1.3808679999999999E-3</v>
      </c>
      <c r="S3366">
        <v>-3.176361</v>
      </c>
      <c r="T3366">
        <v>-0.88901160000000001</v>
      </c>
      <c r="U3366">
        <v>0.25698850000000001</v>
      </c>
      <c r="V3366">
        <v>-2.2047220000000001E-3</v>
      </c>
      <c r="W3366">
        <v>0.16592399999999999</v>
      </c>
      <c r="X3366">
        <v>0.98613609999999896</v>
      </c>
      <c r="Y3366">
        <v>7.4211550000000001E-2</v>
      </c>
      <c r="Z3366">
        <v>9.6181089999999997E-3</v>
      </c>
      <c r="AA3366">
        <v>0.99719610000000003</v>
      </c>
      <c r="AB3366">
        <v>29</v>
      </c>
      <c r="AC3366">
        <v>-0.435800000000028</v>
      </c>
      <c r="AD3366">
        <v>-0.2048625</v>
      </c>
      <c r="AE3366">
        <v>5.8299999999974199E-2</v>
      </c>
      <c r="AF3366">
        <v>4.6602439850279703E-2</v>
      </c>
      <c r="AG3366">
        <v>-0.2048625</v>
      </c>
      <c r="AH3366">
        <v>0.35823746480174401</v>
      </c>
      <c r="AI3366">
        <v>119.556881536836</v>
      </c>
      <c r="AJ3366">
        <v>82.588122689475696</v>
      </c>
      <c r="AK3366">
        <v>0.41530050866069201</v>
      </c>
      <c r="AL3366">
        <v>80.449084499771303</v>
      </c>
      <c r="AM3366">
        <v>90.1280969788356</v>
      </c>
      <c r="AN3366">
        <v>1.00000002114915</v>
      </c>
    </row>
    <row r="3367" spans="1:40" x14ac:dyDescent="0.25">
      <c r="A3367" t="str">
        <f>"20190303161940966"</f>
        <v>20190303161940966</v>
      </c>
      <c r="B3367" t="str">
        <f>"1551601180955411"</f>
        <v>1551601180955411</v>
      </c>
      <c r="C3367" t="s">
        <v>40</v>
      </c>
      <c r="D3367">
        <v>4.5775860000000002</v>
      </c>
      <c r="E3367">
        <v>0.5330821</v>
      </c>
      <c r="F3367" t="s">
        <v>42</v>
      </c>
      <c r="G3367">
        <v>-313.8777</v>
      </c>
      <c r="H3367">
        <v>0.9231203</v>
      </c>
      <c r="I3367">
        <v>283.89460000000003</v>
      </c>
      <c r="J3367">
        <v>-313.47199999999998</v>
      </c>
      <c r="K3367">
        <v>1.121129</v>
      </c>
      <c r="L3367">
        <v>283.83800000000002</v>
      </c>
      <c r="M3367">
        <v>-0.99993759999999998</v>
      </c>
      <c r="N3367">
        <v>-1.058225E-2</v>
      </c>
      <c r="O3367">
        <v>3.5938329999999998E-3</v>
      </c>
      <c r="P3367">
        <v>-0.98777250000000005</v>
      </c>
      <c r="Q3367">
        <v>0.15589919999999999</v>
      </c>
      <c r="R3367">
        <v>1.0875780000000001E-3</v>
      </c>
      <c r="S3367">
        <v>-3.1778559999999998</v>
      </c>
      <c r="T3367">
        <v>-0.8975341</v>
      </c>
      <c r="U3367">
        <v>0.26055909999999999</v>
      </c>
      <c r="V3367">
        <v>-2.466462E-3</v>
      </c>
      <c r="W3367">
        <v>0.1663434</v>
      </c>
      <c r="X3367">
        <v>0.98606479999999996</v>
      </c>
      <c r="Y3367">
        <v>7.5226929999999997E-2</v>
      </c>
      <c r="Z3367">
        <v>9.8529680000000001E-3</v>
      </c>
      <c r="AA3367">
        <v>0.99711780000000005</v>
      </c>
      <c r="AB3367">
        <v>29</v>
      </c>
      <c r="AC3367">
        <v>-0.40570000000002399</v>
      </c>
      <c r="AD3367">
        <v>-0.19800869999999901</v>
      </c>
      <c r="AE3367">
        <v>5.6600000000059901E-2</v>
      </c>
      <c r="AF3367">
        <v>4.4697466208803903E-2</v>
      </c>
      <c r="AG3367">
        <v>-0.19800869999999901</v>
      </c>
      <c r="AH3367">
        <v>0.32902126213722199</v>
      </c>
      <c r="AI3367">
        <v>120.809048117271</v>
      </c>
      <c r="AJ3367">
        <v>82.263740268871501</v>
      </c>
      <c r="AK3367">
        <v>0.386600956671795</v>
      </c>
      <c r="AL3367">
        <v>80.424715802375502</v>
      </c>
      <c r="AM3367">
        <v>90.143314687034405</v>
      </c>
      <c r="AN3367">
        <v>0.99999999997869804</v>
      </c>
    </row>
    <row r="3368" spans="1:40" x14ac:dyDescent="0.25">
      <c r="A3368" t="str">
        <f>"20190303161940988"</f>
        <v>20190303161940988</v>
      </c>
      <c r="B3368" t="str">
        <f>"1551601180985668"</f>
        <v>1551601180985668</v>
      </c>
      <c r="C3368" t="s">
        <v>40</v>
      </c>
      <c r="D3368">
        <v>4.5853890000000002</v>
      </c>
      <c r="E3368">
        <v>0.53371789999999997</v>
      </c>
      <c r="F3368" t="s">
        <v>42</v>
      </c>
      <c r="G3368">
        <v>-314.37740000000002</v>
      </c>
      <c r="H3368">
        <v>0.86373089999999997</v>
      </c>
      <c r="I3368">
        <v>283.91300000000001</v>
      </c>
      <c r="J3368">
        <v>-313.77289999999999</v>
      </c>
      <c r="K3368">
        <v>1.1211279999999999</v>
      </c>
      <c r="L3368">
        <v>283.839</v>
      </c>
      <c r="M3368">
        <v>-0.99993779999999999</v>
      </c>
      <c r="N3368">
        <v>-1.0588480000000001E-2</v>
      </c>
      <c r="O3368">
        <v>3.5623260000000002E-3</v>
      </c>
      <c r="P3368">
        <v>-0.9877707</v>
      </c>
      <c r="Q3368">
        <v>0.15591259999999901</v>
      </c>
      <c r="R3368">
        <v>8.0057190000000001E-4</v>
      </c>
      <c r="S3368">
        <v>-3.1795040000000001</v>
      </c>
      <c r="T3368">
        <v>-0.90390009999999998</v>
      </c>
      <c r="U3368">
        <v>0.26272579999999901</v>
      </c>
      <c r="V3368">
        <v>-2.722707E-3</v>
      </c>
      <c r="W3368">
        <v>0.1663627</v>
      </c>
      <c r="X3368">
        <v>0.98606090000000002</v>
      </c>
      <c r="Y3368">
        <v>7.5828690000000004E-2</v>
      </c>
      <c r="Z3368">
        <v>1.0008019999999999E-2</v>
      </c>
      <c r="AA3368">
        <v>0.99707060000000003</v>
      </c>
      <c r="AB3368">
        <v>29</v>
      </c>
      <c r="AC3368">
        <v>-0.60450000000003001</v>
      </c>
      <c r="AD3368">
        <v>-0.25739709999999999</v>
      </c>
      <c r="AE3368">
        <v>7.4000000000012195E-2</v>
      </c>
      <c r="AF3368">
        <v>6.0957189755100803E-2</v>
      </c>
      <c r="AG3368">
        <v>-0.25739709999999999</v>
      </c>
      <c r="AH3368">
        <v>0.51310393765138396</v>
      </c>
      <c r="AI3368">
        <v>116.479919750541</v>
      </c>
      <c r="AJ3368">
        <v>83.224966432810206</v>
      </c>
      <c r="AK3368">
        <v>0.577273502687075</v>
      </c>
      <c r="AL3368">
        <v>80.423594656291797</v>
      </c>
      <c r="AM3368">
        <v>90.158204451160202</v>
      </c>
      <c r="AN3368">
        <v>1.00000002979675</v>
      </c>
    </row>
    <row r="3369" spans="1:40" x14ac:dyDescent="0.25">
      <c r="A3369" t="str">
        <f>"20190303161941011"</f>
        <v>20190303161941011</v>
      </c>
      <c r="B3369" t="str">
        <f>"1551601181006164"</f>
        <v>1551601181006164</v>
      </c>
      <c r="C3369" t="s">
        <v>40</v>
      </c>
      <c r="D3369">
        <v>4.548629</v>
      </c>
      <c r="E3369">
        <v>0.534076</v>
      </c>
      <c r="F3369" t="s">
        <v>42</v>
      </c>
      <c r="G3369">
        <v>-314.64319999999998</v>
      </c>
      <c r="H3369">
        <v>0.87151069999999997</v>
      </c>
      <c r="I3369">
        <v>283.91210000000001</v>
      </c>
      <c r="J3369">
        <v>-314.06959999999998</v>
      </c>
      <c r="K3369">
        <v>1.1211249999999999</v>
      </c>
      <c r="L3369">
        <v>283.83999999999997</v>
      </c>
      <c r="M3369">
        <v>-0.99993779999999999</v>
      </c>
      <c r="N3369">
        <v>-1.0594650000000001E-2</v>
      </c>
      <c r="O3369">
        <v>3.5310010000000002E-3</v>
      </c>
      <c r="P3369">
        <v>-0.9877705</v>
      </c>
      <c r="Q3369">
        <v>0.1559149</v>
      </c>
      <c r="R3369">
        <v>5.7838720000000004E-4</v>
      </c>
      <c r="S3369">
        <v>-3.180939</v>
      </c>
      <c r="T3369">
        <v>-0.91226969999999996</v>
      </c>
      <c r="U3369">
        <v>0.2667542</v>
      </c>
      <c r="V3369">
        <v>-2.9140709999999998E-3</v>
      </c>
      <c r="W3369">
        <v>0.1663712</v>
      </c>
      <c r="X3369">
        <v>0.98605889999999996</v>
      </c>
      <c r="Y3369">
        <v>7.6977799999999999E-2</v>
      </c>
      <c r="Z3369">
        <v>1.0264850000000001E-2</v>
      </c>
      <c r="AA3369">
        <v>0.99697999999999998</v>
      </c>
      <c r="AB3369">
        <v>29</v>
      </c>
      <c r="AC3369">
        <v>-0.573599999999999</v>
      </c>
      <c r="AD3369">
        <v>-0.24961430000000001</v>
      </c>
      <c r="AE3369">
        <v>7.21000000000344E-2</v>
      </c>
      <c r="AF3369">
        <v>5.9063019711461599E-2</v>
      </c>
      <c r="AG3369">
        <v>-0.24961430000000001</v>
      </c>
      <c r="AH3369">
        <v>0.48367936350273499</v>
      </c>
      <c r="AI3369">
        <v>117.124644691396</v>
      </c>
      <c r="AJ3369">
        <v>83.037969711638297</v>
      </c>
      <c r="AK3369">
        <v>0.54748649822651996</v>
      </c>
      <c r="AL3369">
        <v>80.423100578774793</v>
      </c>
      <c r="AM3369">
        <v>90.169324046907406</v>
      </c>
      <c r="AN3369">
        <v>1.00000001113422</v>
      </c>
    </row>
    <row r="3370" spans="1:40" x14ac:dyDescent="0.25">
      <c r="A3370" t="str">
        <f>"20190303161941032"</f>
        <v>20190303161941032</v>
      </c>
      <c r="B3370" t="str">
        <f>"1551601181025528"</f>
        <v>1551601181025528</v>
      </c>
      <c r="C3370" t="s">
        <v>40</v>
      </c>
      <c r="D3370">
        <v>4.5585889999999996</v>
      </c>
      <c r="E3370">
        <v>0.53439910000000002</v>
      </c>
      <c r="F3370" t="s">
        <v>42</v>
      </c>
      <c r="G3370">
        <v>-314.9092</v>
      </c>
      <c r="H3370">
        <v>0.87914609999999904</v>
      </c>
      <c r="I3370">
        <v>283.91129999999998</v>
      </c>
      <c r="J3370">
        <v>-314.35300000000001</v>
      </c>
      <c r="K3370">
        <v>1.121127</v>
      </c>
      <c r="L3370">
        <v>283.84089999999998</v>
      </c>
      <c r="M3370">
        <v>-0.99993770000000004</v>
      </c>
      <c r="N3370">
        <v>-1.060054E-2</v>
      </c>
      <c r="O3370">
        <v>3.5008119999999998E-3</v>
      </c>
      <c r="P3370">
        <v>-0.98779229999999996</v>
      </c>
      <c r="Q3370">
        <v>0.1557752</v>
      </c>
      <c r="R3370">
        <v>8.3209059999999897E-4</v>
      </c>
      <c r="S3370">
        <v>-3.1817630000000001</v>
      </c>
      <c r="T3370">
        <v>-0.9169756</v>
      </c>
      <c r="U3370">
        <v>0.26907350000000002</v>
      </c>
      <c r="V3370">
        <v>-2.6301359999999999E-3</v>
      </c>
      <c r="W3370">
        <v>0.1662372</v>
      </c>
      <c r="X3370">
        <v>0.98608229999999997</v>
      </c>
      <c r="Y3370">
        <v>7.7649830000000003E-2</v>
      </c>
      <c r="Z3370">
        <v>1.041768E-2</v>
      </c>
      <c r="AA3370">
        <v>0.99692619999999998</v>
      </c>
      <c r="AB3370">
        <v>29</v>
      </c>
      <c r="AC3370">
        <v>-0.55619999999998904</v>
      </c>
      <c r="AD3370">
        <v>-0.2419809</v>
      </c>
      <c r="AE3370">
        <v>7.0400000000006402E-2</v>
      </c>
      <c r="AF3370">
        <v>5.7702676065006502E-2</v>
      </c>
      <c r="AG3370">
        <v>-0.2419809</v>
      </c>
      <c r="AH3370">
        <v>0.46906021037920598</v>
      </c>
      <c r="AI3370">
        <v>117.113569647304</v>
      </c>
      <c r="AJ3370">
        <v>82.986844750055795</v>
      </c>
      <c r="AK3370">
        <v>0.53094428686149198</v>
      </c>
      <c r="AL3370">
        <v>80.430886659113597</v>
      </c>
      <c r="AM3370">
        <v>90.152822269483806</v>
      </c>
      <c r="AN3370">
        <v>1.0000000133262501</v>
      </c>
    </row>
    <row r="3371" spans="1:40" x14ac:dyDescent="0.25">
      <c r="A3371" t="str">
        <f>"20190303161941054"</f>
        <v>20190303161941054</v>
      </c>
      <c r="B3371" t="str">
        <f>"1551601181046024"</f>
        <v>1551601181046024</v>
      </c>
      <c r="C3371" t="s">
        <v>40</v>
      </c>
      <c r="D3371">
        <v>4.5459399999999999</v>
      </c>
      <c r="E3371">
        <v>0.53465949999999995</v>
      </c>
      <c r="F3371" t="s">
        <v>42</v>
      </c>
      <c r="G3371">
        <v>-315.17410000000001</v>
      </c>
      <c r="H3371">
        <v>0.88346800000000003</v>
      </c>
      <c r="I3371">
        <v>283.9117</v>
      </c>
      <c r="J3371">
        <v>-314.64769999999999</v>
      </c>
      <c r="K3371">
        <v>1.121127</v>
      </c>
      <c r="L3371">
        <v>283.84190000000001</v>
      </c>
      <c r="M3371">
        <v>-0.99993790000000005</v>
      </c>
      <c r="N3371">
        <v>-1.060668E-2</v>
      </c>
      <c r="O3371">
        <v>3.4691919999999998E-3</v>
      </c>
      <c r="P3371">
        <v>-0.98773440000000001</v>
      </c>
      <c r="Q3371">
        <v>0.156135</v>
      </c>
      <c r="R3371">
        <v>1.696695E-3</v>
      </c>
      <c r="S3371">
        <v>-3.1820979999999999</v>
      </c>
      <c r="T3371">
        <v>-0.9210988</v>
      </c>
      <c r="U3371">
        <v>0.27282709999999999</v>
      </c>
      <c r="V3371">
        <v>-1.7342950000000001E-3</v>
      </c>
      <c r="W3371">
        <v>0.166603</v>
      </c>
      <c r="X3371">
        <v>0.98602250000000002</v>
      </c>
      <c r="Y3371">
        <v>7.8765429999999997E-2</v>
      </c>
      <c r="Z3371">
        <v>1.06322E-2</v>
      </c>
      <c r="AA3371">
        <v>0.99683650000000001</v>
      </c>
      <c r="AB3371">
        <v>29</v>
      </c>
      <c r="AC3371">
        <v>-0.52640000000002296</v>
      </c>
      <c r="AD3371">
        <v>-0.23765899999999901</v>
      </c>
      <c r="AE3371">
        <v>6.9799999999986498E-2</v>
      </c>
      <c r="AF3371">
        <v>5.6629684296290297E-2</v>
      </c>
      <c r="AG3371">
        <v>-0.23765899999999901</v>
      </c>
      <c r="AH3371">
        <v>0.43875172017359598</v>
      </c>
      <c r="AI3371">
        <v>118.24533887549001</v>
      </c>
      <c r="AJ3371">
        <v>82.645493639553706</v>
      </c>
      <c r="AK3371">
        <v>0.50218701036544799</v>
      </c>
      <c r="AL3371">
        <v>80.409631028500598</v>
      </c>
      <c r="AM3371">
        <v>90.100776281941606</v>
      </c>
      <c r="AN3371">
        <v>0.999999968947198</v>
      </c>
    </row>
    <row r="3372" spans="1:40" x14ac:dyDescent="0.25">
      <c r="A3372" t="str">
        <f>"20190303161941078"</f>
        <v>20190303161941078</v>
      </c>
      <c r="B3372" t="str">
        <f>"1551601181066520"</f>
        <v>1551601181066520</v>
      </c>
      <c r="C3372" t="s">
        <v>40</v>
      </c>
      <c r="D3372">
        <v>4.536581</v>
      </c>
      <c r="E3372">
        <v>0.53488029999999998</v>
      </c>
      <c r="F3372" t="s">
        <v>42</v>
      </c>
      <c r="G3372">
        <v>-315.44049999999999</v>
      </c>
      <c r="H3372">
        <v>0.89098199999999905</v>
      </c>
      <c r="I3372">
        <v>283.91129999999998</v>
      </c>
      <c r="J3372">
        <v>-314.94979999999998</v>
      </c>
      <c r="K3372">
        <v>1.1211329999999999</v>
      </c>
      <c r="L3372">
        <v>283.84300000000002</v>
      </c>
      <c r="M3372">
        <v>-0.99993779999999999</v>
      </c>
      <c r="N3372">
        <v>-1.0612959999999999E-2</v>
      </c>
      <c r="O3372">
        <v>3.4371509999999998E-3</v>
      </c>
      <c r="P3372">
        <v>-0.98763789999999996</v>
      </c>
      <c r="Q3372">
        <v>0.15674489999999999</v>
      </c>
      <c r="R3372">
        <v>1.6100719999999999E-3</v>
      </c>
      <c r="S3372">
        <v>-3.1828310000000002</v>
      </c>
      <c r="T3372">
        <v>-0.92396780000000001</v>
      </c>
      <c r="U3372">
        <v>0.27786250000000001</v>
      </c>
      <c r="V3372">
        <v>-1.7886460000000001E-3</v>
      </c>
      <c r="W3372">
        <v>0.167217899999999</v>
      </c>
      <c r="X3372">
        <v>0.98591830000000003</v>
      </c>
      <c r="Y3372">
        <v>8.0260890000000001E-2</v>
      </c>
      <c r="Z3372">
        <v>1.088924E-2</v>
      </c>
      <c r="AA3372">
        <v>0.9967144</v>
      </c>
      <c r="AB3372">
        <v>29</v>
      </c>
      <c r="AC3372">
        <v>-0.49070000000000302</v>
      </c>
      <c r="AD3372">
        <v>-0.23015099999999999</v>
      </c>
      <c r="AE3372">
        <v>6.8299999999965097E-2</v>
      </c>
      <c r="AF3372">
        <v>5.4789152493504099E-2</v>
      </c>
      <c r="AG3372">
        <v>-0.23015099999999999</v>
      </c>
      <c r="AH3372">
        <v>0.40379182698725002</v>
      </c>
      <c r="AI3372">
        <v>119.457712816362</v>
      </c>
      <c r="AJ3372">
        <v>82.272918871029404</v>
      </c>
      <c r="AK3372">
        <v>0.46799484353319298</v>
      </c>
      <c r="AL3372">
        <v>80.373898510695298</v>
      </c>
      <c r="AM3372">
        <v>90.103945483525806</v>
      </c>
      <c r="AN3372">
        <v>0.99999995980490497</v>
      </c>
    </row>
    <row r="3373" spans="1:40" x14ac:dyDescent="0.25">
      <c r="A3373" t="str">
        <f>"20190303161941098"</f>
        <v>20190303161941098</v>
      </c>
      <c r="B3373" t="str">
        <f>"1551601181095802"</f>
        <v>1551601181095802</v>
      </c>
      <c r="C3373" t="s">
        <v>40</v>
      </c>
      <c r="D3373">
        <v>4.5598929999999998</v>
      </c>
      <c r="E3373">
        <v>0.53519240000000001</v>
      </c>
      <c r="F3373" t="s">
        <v>42</v>
      </c>
      <c r="G3373">
        <v>-315.70819999999998</v>
      </c>
      <c r="H3373">
        <v>0.90078749999999996</v>
      </c>
      <c r="I3373">
        <v>283.90980000000002</v>
      </c>
      <c r="J3373">
        <v>-315.23439999999999</v>
      </c>
      <c r="K3373">
        <v>1.1211390000000001</v>
      </c>
      <c r="L3373">
        <v>283.84390000000002</v>
      </c>
      <c r="M3373">
        <v>-0.99993799999999999</v>
      </c>
      <c r="N3373">
        <v>-1.0618860000000001E-2</v>
      </c>
      <c r="O3373">
        <v>3.4071940000000001E-3</v>
      </c>
      <c r="P3373">
        <v>-0.98754730000000002</v>
      </c>
      <c r="Q3373">
        <v>0.15731600000000001</v>
      </c>
      <c r="R3373">
        <v>1.5573360000000001E-3</v>
      </c>
      <c r="S3373">
        <v>-3.183929</v>
      </c>
      <c r="T3373">
        <v>-0.92510990000000004</v>
      </c>
      <c r="U3373">
        <v>0.27975460000000002</v>
      </c>
      <c r="V3373">
        <v>-1.811502E-3</v>
      </c>
      <c r="W3373">
        <v>0.16779379999999999</v>
      </c>
      <c r="X3373">
        <v>0.98582049999999999</v>
      </c>
      <c r="Y3373">
        <v>8.0818329999999994E-2</v>
      </c>
      <c r="Z3373">
        <v>1.0988619999999999E-2</v>
      </c>
      <c r="AA3373">
        <v>0.99666829999999995</v>
      </c>
      <c r="AB3373">
        <v>29</v>
      </c>
      <c r="AC3373">
        <v>-0.47379999999998201</v>
      </c>
      <c r="AD3373">
        <v>-0.22035149999999901</v>
      </c>
      <c r="AE3373">
        <v>6.5899999999999098E-2</v>
      </c>
      <c r="AF3373">
        <v>5.3032373572283097E-2</v>
      </c>
      <c r="AG3373">
        <v>-0.22035149999999901</v>
      </c>
      <c r="AH3373">
        <v>0.39104648787365298</v>
      </c>
      <c r="AI3373">
        <v>119.17813481768999</v>
      </c>
      <c r="AJ3373">
        <v>82.276861933057603</v>
      </c>
      <c r="AK3373">
        <v>0.45197850820285601</v>
      </c>
      <c r="AL3373">
        <v>80.340429856259604</v>
      </c>
      <c r="AM3373">
        <v>90.105284179379893</v>
      </c>
      <c r="AN3373">
        <v>1.0000000495390899</v>
      </c>
    </row>
    <row r="3374" spans="1:40" x14ac:dyDescent="0.25">
      <c r="A3374" t="str">
        <f>"20190303161941121"</f>
        <v>20190303161941121</v>
      </c>
      <c r="B3374" t="str">
        <f>"1551601181116312"</f>
        <v>1551601181116312</v>
      </c>
      <c r="C3374" t="s">
        <v>40</v>
      </c>
      <c r="D3374">
        <v>4.5741300000000003</v>
      </c>
      <c r="E3374">
        <v>0.53540679999999996</v>
      </c>
      <c r="F3374" t="s">
        <v>42</v>
      </c>
      <c r="G3374">
        <v>-315.97399999999999</v>
      </c>
      <c r="H3374">
        <v>0.90545889999999996</v>
      </c>
      <c r="I3374">
        <v>283.91000000000003</v>
      </c>
      <c r="J3374">
        <v>-315.53089999999997</v>
      </c>
      <c r="K3374">
        <v>1.1211450000000001</v>
      </c>
      <c r="L3374">
        <v>283.8449</v>
      </c>
      <c r="M3374">
        <v>-0.99993779999999999</v>
      </c>
      <c r="N3374">
        <v>-1.062513E-2</v>
      </c>
      <c r="O3374">
        <v>3.375809E-3</v>
      </c>
      <c r="P3374">
        <v>-0.98741259999999997</v>
      </c>
      <c r="Q3374">
        <v>0.1581612</v>
      </c>
      <c r="R3374">
        <v>1.334305E-3</v>
      </c>
      <c r="S3374">
        <v>-3.185333</v>
      </c>
      <c r="T3374">
        <v>-0.92896040000000002</v>
      </c>
      <c r="U3374">
        <v>0.28292850000000003</v>
      </c>
      <c r="V3374">
        <v>-2.003468E-3</v>
      </c>
      <c r="W3374">
        <v>0.16864370000000001</v>
      </c>
      <c r="X3374">
        <v>0.98567499999999997</v>
      </c>
      <c r="Y3374">
        <v>8.173271E-2</v>
      </c>
      <c r="Z3374">
        <v>1.1170080000000001E-2</v>
      </c>
      <c r="AA3374">
        <v>0.99659169999999997</v>
      </c>
      <c r="AB3374">
        <v>29</v>
      </c>
      <c r="AC3374">
        <v>-0.44310000000001498</v>
      </c>
      <c r="AD3374">
        <v>-0.21568609999999999</v>
      </c>
      <c r="AE3374">
        <v>6.5100000000029398E-2</v>
      </c>
      <c r="AF3374">
        <v>5.1629125556387802E-2</v>
      </c>
      <c r="AG3374">
        <v>-0.21568609999999999</v>
      </c>
      <c r="AH3374">
        <v>0.35985443652315202</v>
      </c>
      <c r="AI3374">
        <v>120.68045395591901</v>
      </c>
      <c r="AJ3374">
        <v>81.835362461012494</v>
      </c>
      <c r="AK3374">
        <v>0.42270708040476701</v>
      </c>
      <c r="AL3374">
        <v>80.291029321730207</v>
      </c>
      <c r="AM3374">
        <v>90.116458368842004</v>
      </c>
      <c r="AN3374">
        <v>0.99999995852935697</v>
      </c>
    </row>
    <row r="3375" spans="1:40" x14ac:dyDescent="0.25">
      <c r="A3375" t="str">
        <f>"20190303161941144"</f>
        <v>20190303161941144</v>
      </c>
      <c r="B3375" t="str">
        <f>"1551601181135817"</f>
        <v>1551601181135817</v>
      </c>
      <c r="C3375" t="s">
        <v>40</v>
      </c>
      <c r="D3375">
        <v>4.5737269999999999</v>
      </c>
      <c r="E3375">
        <v>0.53560209999999997</v>
      </c>
      <c r="F3375" t="s">
        <v>42</v>
      </c>
      <c r="G3375">
        <v>-316.24189999999999</v>
      </c>
      <c r="H3375">
        <v>0.91371639999999998</v>
      </c>
      <c r="I3375">
        <v>283.9083</v>
      </c>
      <c r="J3375">
        <v>-315.82850000000002</v>
      </c>
      <c r="K3375">
        <v>1.121148</v>
      </c>
      <c r="L3375">
        <v>283.84589999999997</v>
      </c>
      <c r="M3375">
        <v>-0.99993810000000005</v>
      </c>
      <c r="N3375">
        <v>-1.063133E-2</v>
      </c>
      <c r="O3375">
        <v>3.3436519999999999E-3</v>
      </c>
      <c r="P3375">
        <v>-0.98727759999999998</v>
      </c>
      <c r="Q3375">
        <v>0.15900549999999999</v>
      </c>
      <c r="R3375">
        <v>9.7284559999999995E-4</v>
      </c>
      <c r="S3375">
        <v>-3.186798</v>
      </c>
      <c r="T3375">
        <v>-0.92968989999999996</v>
      </c>
      <c r="U3375">
        <v>0.28305049999999998</v>
      </c>
      <c r="V3375">
        <v>-2.3321280000000002E-3</v>
      </c>
      <c r="W3375">
        <v>0.16949239999999999</v>
      </c>
      <c r="X3375">
        <v>0.98552870000000004</v>
      </c>
      <c r="Y3375">
        <v>8.1757750000000004E-2</v>
      </c>
      <c r="Z3375">
        <v>1.118625E-2</v>
      </c>
      <c r="AA3375">
        <v>0.99658950000000002</v>
      </c>
      <c r="AB3375">
        <v>30</v>
      </c>
      <c r="AC3375">
        <v>-0.41339999999996702</v>
      </c>
      <c r="AD3375">
        <v>-0.20743159999999899</v>
      </c>
      <c r="AE3375">
        <v>6.2400000000025102E-2</v>
      </c>
      <c r="AF3375">
        <v>4.89640967982393E-2</v>
      </c>
      <c r="AG3375">
        <v>-0.20743159999999899</v>
      </c>
      <c r="AH3375">
        <v>0.33190355153113998</v>
      </c>
      <c r="AI3375">
        <v>121.72782599208099</v>
      </c>
      <c r="AJ3375">
        <v>81.607966812929405</v>
      </c>
      <c r="AK3375">
        <v>0.39444304908669803</v>
      </c>
      <c r="AL3375">
        <v>80.241692219496002</v>
      </c>
      <c r="AM3375">
        <v>90.135582903137703</v>
      </c>
      <c r="AN3375">
        <v>0.99999996550122805</v>
      </c>
    </row>
    <row r="3376" spans="1:40" x14ac:dyDescent="0.25">
      <c r="A3376" t="str">
        <f>"20190303161941166"</f>
        <v>20190303161941166</v>
      </c>
      <c r="B3376" t="str">
        <f>"1551601181156312"</f>
        <v>1551601181156312</v>
      </c>
      <c r="C3376" t="s">
        <v>40</v>
      </c>
      <c r="D3376">
        <v>4.5800080000000003</v>
      </c>
      <c r="E3376">
        <v>0.53577819999999898</v>
      </c>
      <c r="F3376" t="s">
        <v>42</v>
      </c>
      <c r="G3376">
        <v>-316.51</v>
      </c>
      <c r="H3376">
        <v>0.92219410000000002</v>
      </c>
      <c r="I3376">
        <v>283.90629999999999</v>
      </c>
      <c r="J3376">
        <v>-316.11720000000003</v>
      </c>
      <c r="K3376">
        <v>1.121151</v>
      </c>
      <c r="L3376">
        <v>283.84679999999997</v>
      </c>
      <c r="M3376">
        <v>-0.99993799999999999</v>
      </c>
      <c r="N3376">
        <v>-1.0637300000000001E-2</v>
      </c>
      <c r="O3376">
        <v>3.3135170000000002E-3</v>
      </c>
      <c r="P3376">
        <v>-0.98721380000000003</v>
      </c>
      <c r="Q3376">
        <v>0.15939719999999999</v>
      </c>
      <c r="R3376">
        <v>1.3028009999999999E-3</v>
      </c>
      <c r="S3376">
        <v>-3.1882929999999998</v>
      </c>
      <c r="T3376">
        <v>-0.93079940000000005</v>
      </c>
      <c r="U3376">
        <v>0.28152470000000002</v>
      </c>
      <c r="V3376">
        <v>-1.9724899999999999E-3</v>
      </c>
      <c r="W3376">
        <v>0.1698895</v>
      </c>
      <c r="X3376">
        <v>0.98546109999999998</v>
      </c>
      <c r="Y3376">
        <v>8.1287419999999999E-2</v>
      </c>
      <c r="Z3376">
        <v>1.1132799999999899E-2</v>
      </c>
      <c r="AA3376">
        <v>0.99662850000000003</v>
      </c>
      <c r="AB3376">
        <v>30</v>
      </c>
      <c r="AC3376">
        <v>-0.39279999999996501</v>
      </c>
      <c r="AD3376">
        <v>-0.19895689999999999</v>
      </c>
      <c r="AE3376">
        <v>5.9500000000014097E-2</v>
      </c>
      <c r="AF3376">
        <v>4.6528765620608002E-2</v>
      </c>
      <c r="AG3376">
        <v>-0.19895689999999999</v>
      </c>
      <c r="AH3376">
        <v>0.314195622748772</v>
      </c>
      <c r="AI3376">
        <v>122.062821648135</v>
      </c>
      <c r="AJ3376">
        <v>81.576373922434698</v>
      </c>
      <c r="AK3376">
        <v>0.37479015921216002</v>
      </c>
      <c r="AL3376">
        <v>80.218605150403405</v>
      </c>
      <c r="AM3376">
        <v>90.114682559469003</v>
      </c>
      <c r="AN3376">
        <v>0.99999995627012905</v>
      </c>
    </row>
    <row r="3377" spans="1:40" x14ac:dyDescent="0.25">
      <c r="A3377" t="str">
        <f>"20190303161941177"</f>
        <v>20190303161941177</v>
      </c>
      <c r="B3377" t="str">
        <f>"1551601181166073"</f>
        <v>1551601181166073</v>
      </c>
      <c r="C3377" t="s">
        <v>40</v>
      </c>
      <c r="D3377">
        <v>4.5857859999999997</v>
      </c>
      <c r="E3377">
        <v>0.53586020000000001</v>
      </c>
      <c r="F3377" t="s">
        <v>42</v>
      </c>
      <c r="G3377">
        <v>-317.01260000000002</v>
      </c>
      <c r="H3377">
        <v>0.85937350000000001</v>
      </c>
      <c r="I3377">
        <v>283.92680000000001</v>
      </c>
      <c r="J3377">
        <v>-316.2765</v>
      </c>
      <c r="K3377">
        <v>1.1211519999999999</v>
      </c>
      <c r="L3377">
        <v>283.84730000000002</v>
      </c>
      <c r="M3377">
        <v>-0.99993799999999999</v>
      </c>
      <c r="N3377">
        <v>-1.064058E-2</v>
      </c>
      <c r="O3377">
        <v>3.296631E-3</v>
      </c>
      <c r="P3377">
        <v>-0.98716979999999999</v>
      </c>
      <c r="Q3377">
        <v>0.1596688</v>
      </c>
      <c r="R3377">
        <v>1.3583619999999999E-3</v>
      </c>
      <c r="S3377">
        <v>-3.1890559999999999</v>
      </c>
      <c r="T3377">
        <v>-0.93231989999999998</v>
      </c>
      <c r="U3377">
        <v>0.2841187</v>
      </c>
      <c r="V3377">
        <v>-1.900503E-3</v>
      </c>
      <c r="W3377">
        <v>0.1701635</v>
      </c>
      <c r="X3377">
        <v>0.98541400000000001</v>
      </c>
      <c r="Y3377">
        <v>8.204554E-2</v>
      </c>
      <c r="Z3377">
        <v>1.126401E-2</v>
      </c>
      <c r="AA3377">
        <v>0.99656489999999998</v>
      </c>
      <c r="AB3377">
        <v>30</v>
      </c>
      <c r="AC3377">
        <v>-0.73610000000002096</v>
      </c>
      <c r="AD3377">
        <v>-0.26177850000000003</v>
      </c>
      <c r="AE3377">
        <v>7.9499999999995893E-2</v>
      </c>
      <c r="AF3377">
        <v>6.8508299511511606E-2</v>
      </c>
      <c r="AG3377">
        <v>-0.26177850000000003</v>
      </c>
      <c r="AH3377">
        <v>0.65453251637462295</v>
      </c>
      <c r="AI3377">
        <v>111.691393790712</v>
      </c>
      <c r="AJ3377">
        <v>84.024749299771599</v>
      </c>
      <c r="AK3377">
        <v>0.70826138194589205</v>
      </c>
      <c r="AL3377">
        <v>80.202674476380096</v>
      </c>
      <c r="AM3377">
        <v>90.110502454644504</v>
      </c>
      <c r="AN3377">
        <v>0.99999999001995099</v>
      </c>
    </row>
    <row r="3378" spans="1:40" x14ac:dyDescent="0.25">
      <c r="A3378" t="str">
        <f>"20190303161941191"</f>
        <v>20190303161941191</v>
      </c>
      <c r="B3378" t="str">
        <f>"1551601181185593"</f>
        <v>1551601181185593</v>
      </c>
      <c r="C3378" t="s">
        <v>40</v>
      </c>
      <c r="D3378">
        <v>4.6177830000000002</v>
      </c>
      <c r="E3378">
        <v>0.53598979999999996</v>
      </c>
      <c r="F3378" t="s">
        <v>42</v>
      </c>
      <c r="G3378">
        <v>-317.02929999999998</v>
      </c>
      <c r="H3378">
        <v>0.9010087</v>
      </c>
      <c r="I3378">
        <v>283.9151</v>
      </c>
      <c r="J3378">
        <v>-316.4479</v>
      </c>
      <c r="K3378">
        <v>1.1211519999999999</v>
      </c>
      <c r="L3378">
        <v>283.84789999999998</v>
      </c>
      <c r="M3378">
        <v>-0.99993810000000005</v>
      </c>
      <c r="N3378">
        <v>-1.064412E-2</v>
      </c>
      <c r="O3378">
        <v>3.2786109999999999E-3</v>
      </c>
      <c r="P3378">
        <v>-0.98711590000000005</v>
      </c>
      <c r="Q3378">
        <v>0.16000149999999999</v>
      </c>
      <c r="R3378">
        <v>1.4432309999999999E-3</v>
      </c>
      <c r="S3378">
        <v>-3.1894230000000001</v>
      </c>
      <c r="T3378">
        <v>-0.93259440000000005</v>
      </c>
      <c r="U3378">
        <v>0.28610229999999998</v>
      </c>
      <c r="V3378">
        <v>-1.7974929999999901E-3</v>
      </c>
      <c r="W3378">
        <v>0.1704994</v>
      </c>
      <c r="X3378">
        <v>0.98535620000000002</v>
      </c>
      <c r="Y3378">
        <v>8.2640889999999995E-2</v>
      </c>
      <c r="Z3378">
        <v>1.1359070000000001E-2</v>
      </c>
      <c r="AA3378">
        <v>0.99651469999999998</v>
      </c>
      <c r="AB3378">
        <v>30</v>
      </c>
      <c r="AC3378">
        <v>-0.58139999999997305</v>
      </c>
      <c r="AD3378">
        <v>-0.22014329999999999</v>
      </c>
      <c r="AE3378">
        <v>6.7200000000013901E-2</v>
      </c>
      <c r="AF3378">
        <v>5.7200567156973199E-2</v>
      </c>
      <c r="AG3378">
        <v>-0.22014329999999999</v>
      </c>
      <c r="AH3378">
        <v>0.509528704105222</v>
      </c>
      <c r="AI3378">
        <v>113.236544615591</v>
      </c>
      <c r="AJ3378">
        <v>83.594695608308896</v>
      </c>
      <c r="AK3378">
        <v>0.55799146743038597</v>
      </c>
      <c r="AL3378">
        <v>80.183144093119793</v>
      </c>
      <c r="AM3378">
        <v>90.104519206724405</v>
      </c>
      <c r="AN3378">
        <v>1.00000005862994</v>
      </c>
    </row>
    <row r="3379" spans="1:40" x14ac:dyDescent="0.25">
      <c r="A3379" t="str">
        <f>"20190303161941202"</f>
        <v>20190303161941202</v>
      </c>
      <c r="B3379" t="str">
        <f>"1551601181196329"</f>
        <v>1551601181196329</v>
      </c>
      <c r="C3379" t="s">
        <v>40</v>
      </c>
      <c r="D3379">
        <v>4.6431979999999999</v>
      </c>
      <c r="E3379">
        <v>0.53605689999999995</v>
      </c>
      <c r="F3379" t="s">
        <v>42</v>
      </c>
      <c r="G3379">
        <v>-317.28410000000002</v>
      </c>
      <c r="H3379">
        <v>0.87623969999999995</v>
      </c>
      <c r="I3379">
        <v>283.92320000000001</v>
      </c>
      <c r="J3379">
        <v>-316.59910000000002</v>
      </c>
      <c r="K3379">
        <v>1.121148</v>
      </c>
      <c r="L3379">
        <v>283.84840000000003</v>
      </c>
      <c r="M3379">
        <v>-0.99993810000000005</v>
      </c>
      <c r="N3379">
        <v>-1.0647230000000001E-2</v>
      </c>
      <c r="O3379">
        <v>3.262975E-3</v>
      </c>
      <c r="P3379">
        <v>-0.98714290000000005</v>
      </c>
      <c r="Q3379">
        <v>0.15983129999999901</v>
      </c>
      <c r="R3379">
        <v>1.7902809999999999E-3</v>
      </c>
      <c r="S3379">
        <v>-3.1902159999999999</v>
      </c>
      <c r="T3379">
        <v>-0.9343129</v>
      </c>
      <c r="U3379">
        <v>0.2868347</v>
      </c>
      <c r="V3379">
        <v>-1.434807E-3</v>
      </c>
      <c r="W3379">
        <v>0.1703326</v>
      </c>
      <c r="X3379">
        <v>0.98538559999999997</v>
      </c>
      <c r="Y3379">
        <v>8.2841579999999998E-2</v>
      </c>
      <c r="Z3379">
        <v>1.1409910000000001E-2</v>
      </c>
      <c r="AA3379">
        <v>0.99649739999999998</v>
      </c>
      <c r="AB3379">
        <v>30</v>
      </c>
      <c r="AC3379">
        <v>-0.68500000000000205</v>
      </c>
      <c r="AD3379">
        <v>-0.2449083</v>
      </c>
      <c r="AE3379">
        <v>7.4799999999981895E-2</v>
      </c>
      <c r="AF3379">
        <v>6.4425942707776906E-2</v>
      </c>
      <c r="AG3379">
        <v>-0.2449083</v>
      </c>
      <c r="AH3379">
        <v>0.60838784899652798</v>
      </c>
      <c r="AI3379">
        <v>111.816947081244</v>
      </c>
      <c r="AJ3379">
        <v>83.955124991655495</v>
      </c>
      <c r="AK3379">
        <v>0.65898903807976805</v>
      </c>
      <c r="AL3379">
        <v>80.192842488326207</v>
      </c>
      <c r="AM3379">
        <v>90.083427571314999</v>
      </c>
      <c r="AN3379">
        <v>1.00000001699062</v>
      </c>
    </row>
    <row r="3380" spans="1:40" x14ac:dyDescent="0.25">
      <c r="A3380" t="str">
        <f>"20190303161941213"</f>
        <v>20190303161941213</v>
      </c>
      <c r="B3380" t="str">
        <f>"1551601181206089"</f>
        <v>1551601181206089</v>
      </c>
      <c r="C3380" t="s">
        <v>40</v>
      </c>
      <c r="D3380">
        <v>4.6358779999999999</v>
      </c>
      <c r="E3380">
        <v>0.53611739999999997</v>
      </c>
      <c r="F3380" t="s">
        <v>42</v>
      </c>
      <c r="G3380">
        <v>-317.30059999999997</v>
      </c>
      <c r="H3380">
        <v>0.91532959999999997</v>
      </c>
      <c r="I3380">
        <v>283.91219999999998</v>
      </c>
      <c r="J3380">
        <v>-316.74599999999998</v>
      </c>
      <c r="K3380">
        <v>1.1211469999999999</v>
      </c>
      <c r="L3380">
        <v>283.84879999999998</v>
      </c>
      <c r="M3380">
        <v>-0.99993799999999999</v>
      </c>
      <c r="N3380">
        <v>-1.065024E-2</v>
      </c>
      <c r="O3380">
        <v>3.2474629999999999E-3</v>
      </c>
      <c r="P3380">
        <v>-0.987093</v>
      </c>
      <c r="Q3380">
        <v>0.1601359</v>
      </c>
      <c r="R3380">
        <v>2.0342670000000002E-3</v>
      </c>
      <c r="S3380">
        <v>-3.1900940000000002</v>
      </c>
      <c r="T3380">
        <v>-0.93596769999999996</v>
      </c>
      <c r="U3380">
        <v>0.2895508</v>
      </c>
      <c r="V3380">
        <v>-1.1758459999999999E-3</v>
      </c>
      <c r="W3380">
        <v>0.17063989999999901</v>
      </c>
      <c r="X3380">
        <v>0.98533280000000001</v>
      </c>
      <c r="Y3380">
        <v>8.3654309999999996E-2</v>
      </c>
      <c r="Z3380">
        <v>1.155393E-2</v>
      </c>
      <c r="AA3380">
        <v>0.99642779999999997</v>
      </c>
      <c r="AB3380">
        <v>30</v>
      </c>
      <c r="AC3380">
        <v>-0.55459999999999299</v>
      </c>
      <c r="AD3380">
        <v>-0.20581739999999901</v>
      </c>
      <c r="AE3380">
        <v>6.34000000000014E-2</v>
      </c>
      <c r="AF3380">
        <v>5.4226638032423898E-2</v>
      </c>
      <c r="AG3380">
        <v>-0.20581739999999901</v>
      </c>
      <c r="AH3380">
        <v>0.48840621364588299</v>
      </c>
      <c r="AI3380">
        <v>112.725523901999</v>
      </c>
      <c r="AJ3380">
        <v>83.6645268644277</v>
      </c>
      <c r="AK3380">
        <v>0.53276820470347797</v>
      </c>
      <c r="AL3380">
        <v>80.174974152703101</v>
      </c>
      <c r="AM3380">
        <v>90.068373833872897</v>
      </c>
      <c r="AN3380">
        <v>1.00000004242083</v>
      </c>
    </row>
    <row r="3381" spans="1:40" x14ac:dyDescent="0.25">
      <c r="A3381" t="str">
        <f>"20190303161941226"</f>
        <v>20190303161941226</v>
      </c>
      <c r="B3381" t="str">
        <f>"1551601181215850"</f>
        <v>1551601181215850</v>
      </c>
      <c r="C3381" t="s">
        <v>40</v>
      </c>
      <c r="D3381">
        <v>4.6260560000000002</v>
      </c>
      <c r="E3381">
        <v>0.53617429999999999</v>
      </c>
      <c r="F3381" t="s">
        <v>42</v>
      </c>
      <c r="G3381">
        <v>-317.55250000000001</v>
      </c>
      <c r="H3381">
        <v>0.88443300000000002</v>
      </c>
      <c r="I3381">
        <v>283.92239999999998</v>
      </c>
      <c r="J3381">
        <v>-316.91480000000001</v>
      </c>
      <c r="K3381">
        <v>1.1211469999999999</v>
      </c>
      <c r="L3381">
        <v>283.8494</v>
      </c>
      <c r="M3381">
        <v>-0.99993810000000005</v>
      </c>
      <c r="N3381">
        <v>-1.065368E-2</v>
      </c>
      <c r="O3381">
        <v>3.2294469999999999E-3</v>
      </c>
      <c r="P3381">
        <v>-0.98707270000000003</v>
      </c>
      <c r="Q3381">
        <v>0.160251</v>
      </c>
      <c r="R3381">
        <v>2.667258E-3</v>
      </c>
      <c r="S3381">
        <v>-3.190582</v>
      </c>
      <c r="T3381">
        <v>-0.936554</v>
      </c>
      <c r="U3381">
        <v>0.28958129999999999</v>
      </c>
      <c r="V3381">
        <v>-5.2463209999999995E-4</v>
      </c>
      <c r="W3381">
        <v>0.17075779999999999</v>
      </c>
      <c r="X3381">
        <v>0.98531290000000005</v>
      </c>
      <c r="Y3381">
        <v>8.3663650000000006E-2</v>
      </c>
      <c r="Z3381">
        <v>1.1565489999999999E-2</v>
      </c>
      <c r="AA3381">
        <v>0.9964269</v>
      </c>
      <c r="AB3381">
        <v>30</v>
      </c>
      <c r="AC3381">
        <v>-0.63769999999999505</v>
      </c>
      <c r="AD3381">
        <v>-0.23671399999999901</v>
      </c>
      <c r="AE3381">
        <v>7.2999999999978998E-2</v>
      </c>
      <c r="AF3381">
        <v>6.2446878493512999E-2</v>
      </c>
      <c r="AG3381">
        <v>-0.23671399999999901</v>
      </c>
      <c r="AH3381">
        <v>0.56155683841736603</v>
      </c>
      <c r="AI3381">
        <v>112.73121054686</v>
      </c>
      <c r="AJ3381">
        <v>83.654600269837402</v>
      </c>
      <c r="AK3381">
        <v>0.61260036990104005</v>
      </c>
      <c r="AL3381">
        <v>80.168118000189907</v>
      </c>
      <c r="AM3381">
        <v>90.030507265546206</v>
      </c>
      <c r="AN3381">
        <v>1.0000000062030401</v>
      </c>
    </row>
    <row r="3382" spans="1:40" x14ac:dyDescent="0.25">
      <c r="A3382" t="str">
        <f>"20190303161941237"</f>
        <v>20190303161941237</v>
      </c>
      <c r="B3382" t="str">
        <f>"1551601181226585"</f>
        <v>1551601181226585</v>
      </c>
      <c r="C3382" t="s">
        <v>40</v>
      </c>
      <c r="D3382">
        <v>4.6679040000000001</v>
      </c>
      <c r="E3382">
        <v>0.53623069999999995</v>
      </c>
      <c r="F3382" t="s">
        <v>42</v>
      </c>
      <c r="G3382">
        <v>-317.8075</v>
      </c>
      <c r="H3382">
        <v>0.85890630000000001</v>
      </c>
      <c r="I3382">
        <v>283.93119999999999</v>
      </c>
      <c r="J3382">
        <v>-317.07100000000003</v>
      </c>
      <c r="K3382">
        <v>1.121143</v>
      </c>
      <c r="L3382">
        <v>283.84980000000002</v>
      </c>
      <c r="M3382">
        <v>-0.9999382</v>
      </c>
      <c r="N3382">
        <v>-1.0656850000000001E-2</v>
      </c>
      <c r="O3382">
        <v>3.2129200000000002E-3</v>
      </c>
      <c r="P3382">
        <v>-0.98711349999999998</v>
      </c>
      <c r="Q3382">
        <v>0.1599981</v>
      </c>
      <c r="R3382">
        <v>2.7846239999999999E-3</v>
      </c>
      <c r="S3382">
        <v>-3.1906430000000001</v>
      </c>
      <c r="T3382">
        <v>-0.93725159999999996</v>
      </c>
      <c r="U3382">
        <v>0.2920837</v>
      </c>
      <c r="V3382">
        <v>-3.916864E-4</v>
      </c>
      <c r="W3382">
        <v>0.17050839999999901</v>
      </c>
      <c r="X3382">
        <v>0.98535620000000002</v>
      </c>
      <c r="Y3382">
        <v>8.441543E-2</v>
      </c>
      <c r="Z3382">
        <v>1.16896E-2</v>
      </c>
      <c r="AA3382">
        <v>0.99636210000000003</v>
      </c>
      <c r="AB3382">
        <v>30</v>
      </c>
      <c r="AC3382">
        <v>-0.73650000000003502</v>
      </c>
      <c r="AD3382">
        <v>-0.26223669999999999</v>
      </c>
      <c r="AE3382">
        <v>8.1399999999973702E-2</v>
      </c>
      <c r="AF3382">
        <v>7.0236228566019604E-2</v>
      </c>
      <c r="AG3382">
        <v>-0.26223669999999999</v>
      </c>
      <c r="AH3382">
        <v>0.65475181385064996</v>
      </c>
      <c r="AI3382">
        <v>111.713853703056</v>
      </c>
      <c r="AJ3382">
        <v>83.877207817082805</v>
      </c>
      <c r="AK3382">
        <v>0.708802618766878</v>
      </c>
      <c r="AL3382">
        <v>80.182620725986993</v>
      </c>
      <c r="AM3382">
        <v>90.022775496242502</v>
      </c>
      <c r="AN3382">
        <v>1.0000000543836101</v>
      </c>
    </row>
    <row r="3383" spans="1:40" x14ac:dyDescent="0.25">
      <c r="A3383" t="str">
        <f>"20190303161941250"</f>
        <v>20190303161941250</v>
      </c>
      <c r="B3383" t="str">
        <f>"1551601181246105"</f>
        <v>1551601181246105</v>
      </c>
      <c r="C3383" t="s">
        <v>40</v>
      </c>
      <c r="D3383">
        <v>4.6475330000000001</v>
      </c>
      <c r="E3383">
        <v>0.53633609999999998</v>
      </c>
      <c r="F3383" t="s">
        <v>42</v>
      </c>
      <c r="G3383">
        <v>-317.82380000000001</v>
      </c>
      <c r="H3383">
        <v>0.89948229999999996</v>
      </c>
      <c r="I3383">
        <v>283.91890000000001</v>
      </c>
      <c r="J3383">
        <v>-317.23020000000002</v>
      </c>
      <c r="K3383">
        <v>1.121143</v>
      </c>
      <c r="L3383">
        <v>283.8503</v>
      </c>
      <c r="M3383">
        <v>-0.99993810000000005</v>
      </c>
      <c r="N3383">
        <v>-1.0660080000000001E-2</v>
      </c>
      <c r="O3383">
        <v>3.1962129999999998E-3</v>
      </c>
      <c r="P3383">
        <v>-0.98712029999999995</v>
      </c>
      <c r="Q3383">
        <v>0.15995519999999999</v>
      </c>
      <c r="R3383">
        <v>2.8286819999999999E-3</v>
      </c>
      <c r="S3383">
        <v>-3.1906129999999999</v>
      </c>
      <c r="T3383">
        <v>-0.93951549999999995</v>
      </c>
      <c r="U3383">
        <v>0.292724599999999</v>
      </c>
      <c r="V3383">
        <v>-3.3060750000000002E-4</v>
      </c>
      <c r="W3383">
        <v>0.17046929999999999</v>
      </c>
      <c r="X3383">
        <v>0.98536290000000004</v>
      </c>
      <c r="Y3383">
        <v>8.4605899999999998E-2</v>
      </c>
      <c r="Z3383">
        <v>1.174883E-2</v>
      </c>
      <c r="AA3383">
        <v>0.99634520000000004</v>
      </c>
      <c r="AB3383">
        <v>30</v>
      </c>
      <c r="AC3383">
        <v>-0.59359999999998003</v>
      </c>
      <c r="AD3383">
        <v>-0.22166069999999999</v>
      </c>
      <c r="AE3383">
        <v>6.8600000000003505E-2</v>
      </c>
      <c r="AF3383">
        <v>5.8634050698999601E-2</v>
      </c>
      <c r="AG3383">
        <v>-0.22166069999999999</v>
      </c>
      <c r="AH3383">
        <v>0.52198900667343795</v>
      </c>
      <c r="AI3383">
        <v>112.879374066389</v>
      </c>
      <c r="AJ3383">
        <v>83.590937622997004</v>
      </c>
      <c r="AK3383">
        <v>0.57012624997783201</v>
      </c>
      <c r="AL3383">
        <v>80.184893421451406</v>
      </c>
      <c r="AM3383">
        <v>90.0192237943143</v>
      </c>
      <c r="AN3383">
        <v>0.99999996812010905</v>
      </c>
    </row>
    <row r="3384" spans="1:40" x14ac:dyDescent="0.25">
      <c r="A3384" t="str">
        <f>"20190303161941262"</f>
        <v>20190303161941262</v>
      </c>
      <c r="B3384" t="str">
        <f>"1551601181255865"</f>
        <v>1551601181255865</v>
      </c>
      <c r="C3384" t="s">
        <v>40</v>
      </c>
      <c r="D3384">
        <v>4.6287839999999996</v>
      </c>
      <c r="E3384">
        <v>0.53638399999999997</v>
      </c>
      <c r="F3384" t="s">
        <v>42</v>
      </c>
      <c r="G3384">
        <v>-318.07780000000002</v>
      </c>
      <c r="H3384">
        <v>0.87093790000000004</v>
      </c>
      <c r="I3384">
        <v>283.92849999999999</v>
      </c>
      <c r="J3384">
        <v>-317.40219999999999</v>
      </c>
      <c r="K3384">
        <v>1.121143</v>
      </c>
      <c r="L3384">
        <v>283.85090000000002</v>
      </c>
      <c r="M3384">
        <v>-0.99993810000000005</v>
      </c>
      <c r="N3384">
        <v>-1.0663590000000001E-2</v>
      </c>
      <c r="O3384">
        <v>3.1778370000000002E-3</v>
      </c>
      <c r="P3384">
        <v>-0.98709009999999997</v>
      </c>
      <c r="Q3384">
        <v>0.16014039999999999</v>
      </c>
      <c r="R3384">
        <v>2.9057319999999998E-3</v>
      </c>
      <c r="S3384">
        <v>-3.1909480000000001</v>
      </c>
      <c r="T3384">
        <v>-0.94206290000000004</v>
      </c>
      <c r="U3384">
        <v>0.2933655</v>
      </c>
      <c r="V3384">
        <v>-2.3568849999999999E-4</v>
      </c>
      <c r="W3384">
        <v>0.1706578</v>
      </c>
      <c r="X3384">
        <v>0.98533029999999999</v>
      </c>
      <c r="Y3384">
        <v>8.4786570000000006E-2</v>
      </c>
      <c r="Z3384">
        <v>1.180924E-2</v>
      </c>
      <c r="AA3384">
        <v>0.99632909999999997</v>
      </c>
      <c r="AB3384">
        <v>30</v>
      </c>
      <c r="AC3384">
        <v>-0.67560000000003095</v>
      </c>
      <c r="AD3384">
        <v>-0.25020510000000001</v>
      </c>
      <c r="AE3384">
        <v>7.75999999999612E-2</v>
      </c>
      <c r="AF3384">
        <v>6.6456372980448195E-2</v>
      </c>
      <c r="AG3384">
        <v>-0.25020510000000001</v>
      </c>
      <c r="AH3384">
        <v>0.59526277448996101</v>
      </c>
      <c r="AI3384">
        <v>112.671850378401</v>
      </c>
      <c r="AJ3384">
        <v>83.6297588595843</v>
      </c>
      <c r="AK3384">
        <v>0.64912002916965394</v>
      </c>
      <c r="AL3384">
        <v>80.173932573892699</v>
      </c>
      <c r="AM3384">
        <v>90.013705004374899</v>
      </c>
      <c r="AN3384">
        <v>0.999999970173999</v>
      </c>
    </row>
    <row r="3385" spans="1:40" x14ac:dyDescent="0.25">
      <c r="A3385" t="str">
        <f>"20190303161941279"</f>
        <v>20190303161941279</v>
      </c>
      <c r="B3385" t="str">
        <f>"1551601181276361"</f>
        <v>1551601181276361</v>
      </c>
      <c r="C3385" t="s">
        <v>40</v>
      </c>
      <c r="D3385">
        <v>4.6852900000000002</v>
      </c>
      <c r="E3385">
        <v>0.53646119999999997</v>
      </c>
      <c r="F3385" t="s">
        <v>42</v>
      </c>
      <c r="G3385">
        <v>-318.09660000000002</v>
      </c>
      <c r="H3385">
        <v>0.91605999999999999</v>
      </c>
      <c r="I3385">
        <v>283.9151</v>
      </c>
      <c r="J3385">
        <v>-317.61360000000002</v>
      </c>
      <c r="K3385">
        <v>1.1211439999999999</v>
      </c>
      <c r="L3385">
        <v>283.85149999999999</v>
      </c>
      <c r="M3385">
        <v>-0.99993810000000005</v>
      </c>
      <c r="N3385">
        <v>-1.0667909999999999E-2</v>
      </c>
      <c r="O3385">
        <v>3.155817E-3</v>
      </c>
      <c r="P3385">
        <v>-0.98706850000000002</v>
      </c>
      <c r="Q3385">
        <v>0.16027710000000001</v>
      </c>
      <c r="R3385">
        <v>2.7023949999999998E-3</v>
      </c>
      <c r="S3385">
        <v>-3.191284</v>
      </c>
      <c r="T3385">
        <v>-0.94248330000000002</v>
      </c>
      <c r="U3385">
        <v>0.29425050000000003</v>
      </c>
      <c r="V3385">
        <v>-4.1703729999999998E-4</v>
      </c>
      <c r="W3385">
        <v>0.17079820000000001</v>
      </c>
      <c r="X3385">
        <v>0.98530600000000002</v>
      </c>
      <c r="Y3385">
        <v>8.5057800000000003E-2</v>
      </c>
      <c r="Z3385">
        <v>1.185977E-2</v>
      </c>
      <c r="AA3385">
        <v>0.99630540000000001</v>
      </c>
      <c r="AB3385">
        <v>30</v>
      </c>
      <c r="AC3385">
        <v>-0.48300000000000398</v>
      </c>
      <c r="AD3385">
        <v>-0.20508399999999999</v>
      </c>
      <c r="AE3385">
        <v>6.3600000000008095E-2</v>
      </c>
      <c r="AF3385">
        <v>5.27306126379634E-2</v>
      </c>
      <c r="AG3385">
        <v>-0.20508399999999999</v>
      </c>
      <c r="AH3385">
        <v>0.41045839628616398</v>
      </c>
      <c r="AI3385">
        <v>116.36179788045099</v>
      </c>
      <c r="AJ3385">
        <v>82.679444576017701</v>
      </c>
      <c r="AK3385">
        <v>0.461861515659169</v>
      </c>
      <c r="AL3385">
        <v>80.165769236921193</v>
      </c>
      <c r="AM3385">
        <v>90.024250817271593</v>
      </c>
      <c r="AN3385">
        <v>1.00000005633967</v>
      </c>
    </row>
    <row r="3386" spans="1:40" x14ac:dyDescent="0.25">
      <c r="A3386" t="str">
        <f>"20190303161941301"</f>
        <v>20190303161941301</v>
      </c>
      <c r="B3386" t="str">
        <f>"1551601181295883"</f>
        <v>1551601181295883</v>
      </c>
      <c r="C3386" t="s">
        <v>40</v>
      </c>
      <c r="D3386">
        <v>4.675503</v>
      </c>
      <c r="E3386">
        <v>0.53654139999999995</v>
      </c>
      <c r="F3386" t="s">
        <v>42</v>
      </c>
      <c r="G3386">
        <v>-318.35570000000001</v>
      </c>
      <c r="H3386">
        <v>0.90154040000000002</v>
      </c>
      <c r="I3386">
        <v>283.92009999999999</v>
      </c>
      <c r="J3386">
        <v>-317.90809999999999</v>
      </c>
      <c r="K3386">
        <v>1.1211450000000001</v>
      </c>
      <c r="L3386">
        <v>283.85239999999999</v>
      </c>
      <c r="M3386">
        <v>-0.9999382</v>
      </c>
      <c r="N3386">
        <v>-1.0673899999999899E-2</v>
      </c>
      <c r="O3386">
        <v>3.1244340000000002E-3</v>
      </c>
      <c r="P3386">
        <v>-0.98701919999999999</v>
      </c>
      <c r="Q3386">
        <v>0.1605885</v>
      </c>
      <c r="R3386">
        <v>2.2328489999999999E-3</v>
      </c>
      <c r="S3386">
        <v>-3.1918639999999998</v>
      </c>
      <c r="T3386">
        <v>-0.94456459999999998</v>
      </c>
      <c r="U3386">
        <v>0.2940063</v>
      </c>
      <c r="V3386">
        <v>-8.5534149999999998E-4</v>
      </c>
      <c r="W3386">
        <v>0.1711144</v>
      </c>
      <c r="X3386">
        <v>0.98525079999999998</v>
      </c>
      <c r="Y3386">
        <v>8.4984749999999998E-2</v>
      </c>
      <c r="Z3386">
        <v>1.187999E-2</v>
      </c>
      <c r="AA3386">
        <v>0.99631139999999996</v>
      </c>
      <c r="AB3386">
        <v>30</v>
      </c>
      <c r="AC3386">
        <v>-0.44760000000002198</v>
      </c>
      <c r="AD3386">
        <v>-0.21960460000000001</v>
      </c>
      <c r="AE3386">
        <v>6.7700000000001995E-2</v>
      </c>
      <c r="AF3386">
        <v>5.3670706450197003E-2</v>
      </c>
      <c r="AG3386">
        <v>-0.21960460000000001</v>
      </c>
      <c r="AH3386">
        <v>0.36250147706409103</v>
      </c>
      <c r="AI3386">
        <v>120.933021959098</v>
      </c>
      <c r="AJ3386">
        <v>81.578168317517196</v>
      </c>
      <c r="AK3386">
        <v>0.427216626485523</v>
      </c>
      <c r="AL3386">
        <v>80.147381102331195</v>
      </c>
      <c r="AM3386">
        <v>90.049741086919596</v>
      </c>
      <c r="AN3386">
        <v>1.00000000419854</v>
      </c>
    </row>
    <row r="3387" spans="1:40" x14ac:dyDescent="0.25">
      <c r="A3387" t="str">
        <f>"20190303161941323"</f>
        <v>20190303161941323</v>
      </c>
      <c r="B3387" t="str">
        <f>"1551601181316377"</f>
        <v>1551601181316377</v>
      </c>
      <c r="C3387" t="s">
        <v>40</v>
      </c>
      <c r="D3387">
        <v>4.7347640000000002</v>
      </c>
      <c r="E3387">
        <v>0.53655520000000001</v>
      </c>
      <c r="F3387" t="s">
        <v>42</v>
      </c>
      <c r="G3387">
        <v>-318.62470000000002</v>
      </c>
      <c r="H3387">
        <v>0.90882249999999998</v>
      </c>
      <c r="I3387">
        <v>283.91829999999999</v>
      </c>
      <c r="J3387">
        <v>-318.19869999999997</v>
      </c>
      <c r="K3387">
        <v>1.1211450000000001</v>
      </c>
      <c r="L3387">
        <v>283.85329999999999</v>
      </c>
      <c r="M3387">
        <v>-0.9999382</v>
      </c>
      <c r="N3387">
        <v>-1.067978E-2</v>
      </c>
      <c r="O3387">
        <v>3.0937669999999999E-3</v>
      </c>
      <c r="P3387">
        <v>-0.9869907</v>
      </c>
      <c r="Q3387">
        <v>0.16076109999999999</v>
      </c>
      <c r="R3387">
        <v>2.2642949999999999E-3</v>
      </c>
      <c r="S3387">
        <v>-3.1927189999999999</v>
      </c>
      <c r="T3387">
        <v>-0.94593159999999998</v>
      </c>
      <c r="U3387">
        <v>0.29205320000000001</v>
      </c>
      <c r="V3387">
        <v>-7.9424189999999998E-4</v>
      </c>
      <c r="W3387">
        <v>0.171293</v>
      </c>
      <c r="X3387">
        <v>0.98521979999999998</v>
      </c>
      <c r="Y3387">
        <v>8.4402489999999997E-2</v>
      </c>
      <c r="Z3387">
        <v>1.181456E-2</v>
      </c>
      <c r="AA3387">
        <v>0.99636170000000002</v>
      </c>
      <c r="AB3387">
        <v>30</v>
      </c>
      <c r="AC3387">
        <v>-0.42600000000004401</v>
      </c>
      <c r="AD3387">
        <v>-0.2123225</v>
      </c>
      <c r="AE3387">
        <v>6.4999999999997699E-2</v>
      </c>
      <c r="AF3387">
        <v>5.1242114244206403E-2</v>
      </c>
      <c r="AG3387">
        <v>-0.2123225</v>
      </c>
      <c r="AH3387">
        <v>0.342945491885219</v>
      </c>
      <c r="AI3387">
        <v>121.479842745494</v>
      </c>
      <c r="AJ3387">
        <v>81.5018683729283</v>
      </c>
      <c r="AK3387">
        <v>0.40659341937968102</v>
      </c>
      <c r="AL3387">
        <v>80.136994571636194</v>
      </c>
      <c r="AM3387">
        <v>90.046189387306597</v>
      </c>
      <c r="AN3387">
        <v>0.999999988490617</v>
      </c>
    </row>
    <row r="3388" spans="1:40" x14ac:dyDescent="0.25">
      <c r="A3388" t="str">
        <f>"20190303161941337"</f>
        <v>20190303161941337</v>
      </c>
      <c r="B3388" t="str">
        <f>"1551601181326137"</f>
        <v>1551601181326137</v>
      </c>
      <c r="C3388" t="s">
        <v>40</v>
      </c>
      <c r="D3388">
        <v>4.7360540000000002</v>
      </c>
      <c r="E3388">
        <v>0.53653119999999999</v>
      </c>
      <c r="F3388" t="s">
        <v>42</v>
      </c>
      <c r="G3388">
        <v>-318.89359999999999</v>
      </c>
      <c r="H3388">
        <v>0.91481199999999996</v>
      </c>
      <c r="I3388">
        <v>283.91699999999997</v>
      </c>
      <c r="J3388">
        <v>-318.39600000000002</v>
      </c>
      <c r="K3388">
        <v>1.121151</v>
      </c>
      <c r="L3388">
        <v>283.85390000000001</v>
      </c>
      <c r="M3388">
        <v>-0.99993829999999995</v>
      </c>
      <c r="N3388">
        <v>-1.068388E-2</v>
      </c>
      <c r="O3388">
        <v>3.0728830000000002E-3</v>
      </c>
      <c r="P3388">
        <v>-0.98697550000000001</v>
      </c>
      <c r="Q3388">
        <v>0.16084960000000001</v>
      </c>
      <c r="R3388">
        <v>2.6351600000000001E-3</v>
      </c>
      <c r="S3388">
        <v>-3.1933289999999999</v>
      </c>
      <c r="T3388">
        <v>-0.94823749999999996</v>
      </c>
      <c r="U3388">
        <v>0.29165649999999999</v>
      </c>
      <c r="V3388">
        <v>-4.0243080000000001E-4</v>
      </c>
      <c r="W3388">
        <v>0.1713855</v>
      </c>
      <c r="X3388">
        <v>0.98520399999999997</v>
      </c>
      <c r="Y3388">
        <v>8.4272490000000005E-2</v>
      </c>
      <c r="Z3388">
        <v>1.1825509999999999E-2</v>
      </c>
      <c r="AA3388">
        <v>0.99637260000000005</v>
      </c>
      <c r="AB3388">
        <v>30</v>
      </c>
      <c r="AC3388">
        <v>-0.49760000000003302</v>
      </c>
      <c r="AD3388">
        <v>-0.206338999999999</v>
      </c>
      <c r="AE3388">
        <v>6.3100000000019904E-2</v>
      </c>
      <c r="AF3388">
        <v>5.2659118495536901E-2</v>
      </c>
      <c r="AG3388">
        <v>-0.206338999999999</v>
      </c>
      <c r="AH3388">
        <v>0.42574356522370599</v>
      </c>
      <c r="AI3388">
        <v>115.687104245846</v>
      </c>
      <c r="AJ3388">
        <v>82.949044482728695</v>
      </c>
      <c r="AK3388">
        <v>0.47603187814590597</v>
      </c>
      <c r="AL3388">
        <v>80.131615641131702</v>
      </c>
      <c r="AM3388">
        <v>90.023403868745604</v>
      </c>
      <c r="AN3388">
        <v>1.0000000365883901</v>
      </c>
    </row>
    <row r="3389" spans="1:40" x14ac:dyDescent="0.25">
      <c r="A3389" t="str">
        <f>"20190303161941351"</f>
        <v>20190303161941351</v>
      </c>
      <c r="B3389" t="str">
        <f>"1551601181345657"</f>
        <v>1551601181345657</v>
      </c>
      <c r="C3389" t="s">
        <v>40</v>
      </c>
      <c r="D3389">
        <v>4.7593050000000003</v>
      </c>
      <c r="E3389">
        <v>0.53649099999999905</v>
      </c>
      <c r="F3389" t="s">
        <v>42</v>
      </c>
      <c r="G3389">
        <v>-319.15159999999997</v>
      </c>
      <c r="H3389">
        <v>0.89642699999999997</v>
      </c>
      <c r="I3389">
        <v>283.92340000000002</v>
      </c>
      <c r="J3389">
        <v>-318.56639999999999</v>
      </c>
      <c r="K3389">
        <v>1.121151</v>
      </c>
      <c r="L3389">
        <v>283.8544</v>
      </c>
      <c r="M3389">
        <v>-0.99993829999999995</v>
      </c>
      <c r="N3389">
        <v>-1.068735E-2</v>
      </c>
      <c r="O3389">
        <v>3.055042E-3</v>
      </c>
      <c r="P3389">
        <v>-0.98695600000000006</v>
      </c>
      <c r="Q3389">
        <v>0.16096779999999999</v>
      </c>
      <c r="R3389">
        <v>2.7853940000000001E-3</v>
      </c>
      <c r="S3389">
        <v>-3.1935730000000002</v>
      </c>
      <c r="T3389">
        <v>-0.94972049999999997</v>
      </c>
      <c r="U3389">
        <v>0.29269410000000001</v>
      </c>
      <c r="V3389">
        <v>-2.3424390000000001E-4</v>
      </c>
      <c r="W3389">
        <v>0.17150670000000001</v>
      </c>
      <c r="X3389">
        <v>0.98518289999999997</v>
      </c>
      <c r="Y3389">
        <v>8.4579710000000002E-2</v>
      </c>
      <c r="Z3389">
        <v>1.1893010000000001E-2</v>
      </c>
      <c r="AA3389">
        <v>0.99634579999999995</v>
      </c>
      <c r="AB3389">
        <v>30</v>
      </c>
      <c r="AC3389">
        <v>-0.58519999999998595</v>
      </c>
      <c r="AD3389">
        <v>-0.22472399999999901</v>
      </c>
      <c r="AE3389">
        <v>6.9000000000016798E-2</v>
      </c>
      <c r="AF3389">
        <v>5.8677507083387398E-2</v>
      </c>
      <c r="AG3389">
        <v>-0.22472399999999901</v>
      </c>
      <c r="AH3389">
        <v>0.51107550101132804</v>
      </c>
      <c r="AI3389">
        <v>113.59754851380799</v>
      </c>
      <c r="AJ3389">
        <v>83.450445165477305</v>
      </c>
      <c r="AK3389">
        <v>0.56137518091513505</v>
      </c>
      <c r="AL3389">
        <v>80.124566410661203</v>
      </c>
      <c r="AM3389">
        <v>90.013623040547799</v>
      </c>
      <c r="AN3389">
        <v>0.99999997473375202</v>
      </c>
    </row>
    <row r="3390" spans="1:40" x14ac:dyDescent="0.25">
      <c r="A3390" t="str">
        <f>"20190303161941363"</f>
        <v>20190303161941363</v>
      </c>
      <c r="B3390" t="str">
        <f>"1551601181356393"</f>
        <v>1551601181356393</v>
      </c>
      <c r="C3390" t="s">
        <v>40</v>
      </c>
      <c r="D3390">
        <v>4.7622660000000003</v>
      </c>
      <c r="E3390">
        <v>0.53647270000000002</v>
      </c>
      <c r="F3390" t="s">
        <v>42</v>
      </c>
      <c r="G3390">
        <v>-319.4076</v>
      </c>
      <c r="H3390">
        <v>0.87020869999999995</v>
      </c>
      <c r="I3390">
        <v>283.93150000000003</v>
      </c>
      <c r="J3390">
        <v>-318.7405</v>
      </c>
      <c r="K3390">
        <v>1.121154</v>
      </c>
      <c r="L3390">
        <v>283.85489999999999</v>
      </c>
      <c r="M3390">
        <v>-0.9999382</v>
      </c>
      <c r="N3390">
        <v>-1.0690740000000001E-2</v>
      </c>
      <c r="O3390">
        <v>3.037021E-3</v>
      </c>
      <c r="P3390">
        <v>-0.98698620000000004</v>
      </c>
      <c r="Q3390">
        <v>0.160771</v>
      </c>
      <c r="R3390">
        <v>3.3005690000000002E-3</v>
      </c>
      <c r="S3390">
        <v>-3.1941830000000002</v>
      </c>
      <c r="T3390">
        <v>-0.95279150000000001</v>
      </c>
      <c r="U3390">
        <v>0.292572</v>
      </c>
      <c r="V3390">
        <v>2.9828089999999998E-4</v>
      </c>
      <c r="W3390">
        <v>0.17131360000000001</v>
      </c>
      <c r="X3390">
        <v>0.98521650000000005</v>
      </c>
      <c r="Y3390">
        <v>8.4523009999999996E-2</v>
      </c>
      <c r="Z3390">
        <v>1.192297E-2</v>
      </c>
      <c r="AA3390">
        <v>0.99635019999999996</v>
      </c>
      <c r="AB3390">
        <v>30</v>
      </c>
      <c r="AC3390">
        <v>-0.66710000000000402</v>
      </c>
      <c r="AD3390">
        <v>-0.25094529999999998</v>
      </c>
      <c r="AE3390">
        <v>7.6600000000041704E-2</v>
      </c>
      <c r="AF3390">
        <v>6.54346099168409E-2</v>
      </c>
      <c r="AG3390">
        <v>-0.25094529999999998</v>
      </c>
      <c r="AH3390">
        <v>0.58554889159526902</v>
      </c>
      <c r="AI3390">
        <v>113.069789661679</v>
      </c>
      <c r="AJ3390">
        <v>83.623697832310199</v>
      </c>
      <c r="AK3390">
        <v>0.64040825745418595</v>
      </c>
      <c r="AL3390">
        <v>80.135796636902398</v>
      </c>
      <c r="AM3390">
        <v>89.982653319186994</v>
      </c>
      <c r="AN3390">
        <v>0.99999999519435201</v>
      </c>
    </row>
    <row r="3391" spans="1:40" x14ac:dyDescent="0.25">
      <c r="A3391" t="str">
        <f>"20190303161941378"</f>
        <v>20190303161941378</v>
      </c>
      <c r="B3391" t="str">
        <f>"1551601181375913"</f>
        <v>1551601181375913</v>
      </c>
      <c r="C3391" t="s">
        <v>40</v>
      </c>
      <c r="D3391">
        <v>4.7406220000000001</v>
      </c>
      <c r="E3391">
        <v>0.53647609999999901</v>
      </c>
      <c r="F3391" t="s">
        <v>42</v>
      </c>
      <c r="G3391">
        <v>-319.42680000000001</v>
      </c>
      <c r="H3391">
        <v>0.91599269999999999</v>
      </c>
      <c r="I3391">
        <v>283.91820000000001</v>
      </c>
      <c r="J3391">
        <v>-318.94029999999998</v>
      </c>
      <c r="K3391">
        <v>1.121157</v>
      </c>
      <c r="L3391">
        <v>283.85550000000001</v>
      </c>
      <c r="M3391">
        <v>-0.99993829999999995</v>
      </c>
      <c r="N3391">
        <v>-1.069444E-2</v>
      </c>
      <c r="O3391">
        <v>3.0156050000000002E-3</v>
      </c>
      <c r="P3391">
        <v>-0.98697650000000003</v>
      </c>
      <c r="Q3391">
        <v>0.1608184</v>
      </c>
      <c r="R3391">
        <v>3.8954129999999999E-3</v>
      </c>
      <c r="S3391">
        <v>-3.1941220000000001</v>
      </c>
      <c r="T3391">
        <v>-0.95485330000000002</v>
      </c>
      <c r="U3391">
        <v>0.29437259999999998</v>
      </c>
      <c r="V3391">
        <v>9.1454500000000001E-4</v>
      </c>
      <c r="W3391">
        <v>0.1713644</v>
      </c>
      <c r="X3391">
        <v>0.98520730000000001</v>
      </c>
      <c r="Y3391">
        <v>8.5062639999999995E-2</v>
      </c>
      <c r="Z3391">
        <v>1.203458E-2</v>
      </c>
      <c r="AA3391">
        <v>0.99630289999999999</v>
      </c>
      <c r="AB3391">
        <v>30</v>
      </c>
      <c r="AC3391">
        <v>-0.48650000000003402</v>
      </c>
      <c r="AD3391">
        <v>-0.20516429999999999</v>
      </c>
      <c r="AE3391">
        <v>6.2700000000006598E-2</v>
      </c>
      <c r="AF3391">
        <v>5.2115560566896098E-2</v>
      </c>
      <c r="AG3391">
        <v>-0.20516429999999999</v>
      </c>
      <c r="AH3391">
        <v>0.41422354431768199</v>
      </c>
      <c r="AI3391">
        <v>116.17062269931201</v>
      </c>
      <c r="AJ3391">
        <v>82.829007162800707</v>
      </c>
      <c r="AK3391">
        <v>0.46517691937024902</v>
      </c>
      <c r="AL3391">
        <v>80.1328424606439</v>
      </c>
      <c r="AM3391">
        <v>89.946813677056596</v>
      </c>
      <c r="AN3391">
        <v>1.0000000089765999</v>
      </c>
    </row>
    <row r="3392" spans="1:40" x14ac:dyDescent="0.25">
      <c r="A3392" t="str">
        <f>"20190303161941391"</f>
        <v>20190303161941391</v>
      </c>
      <c r="B3392" t="str">
        <f>"1551601181385672"</f>
        <v>1551601181385672</v>
      </c>
      <c r="C3392" t="s">
        <v>40</v>
      </c>
      <c r="D3392">
        <v>4.7548399999999997</v>
      </c>
      <c r="E3392">
        <v>0.53650399999999998</v>
      </c>
      <c r="F3392" t="s">
        <v>42</v>
      </c>
      <c r="G3392">
        <v>-319.68529999999998</v>
      </c>
      <c r="H3392">
        <v>0.89786549999999998</v>
      </c>
      <c r="I3392">
        <v>283.92489999999998</v>
      </c>
      <c r="J3392">
        <v>-319.113</v>
      </c>
      <c r="K3392">
        <v>1.1211580000000001</v>
      </c>
      <c r="L3392">
        <v>283.85599999999999</v>
      </c>
      <c r="M3392">
        <v>-0.99993840000000001</v>
      </c>
      <c r="N3392">
        <v>-1.0697679999999999E-2</v>
      </c>
      <c r="O3392">
        <v>2.9970539999999999E-3</v>
      </c>
      <c r="P3392">
        <v>-0.98697250000000003</v>
      </c>
      <c r="Q3392">
        <v>0.1608415</v>
      </c>
      <c r="R3392">
        <v>3.9448670000000003E-3</v>
      </c>
      <c r="S3392">
        <v>-3.194458</v>
      </c>
      <c r="T3392">
        <v>-0.95746410000000004</v>
      </c>
      <c r="U3392">
        <v>0.29611209999999999</v>
      </c>
      <c r="V3392">
        <v>9.8230910000000004E-4</v>
      </c>
      <c r="W3392">
        <v>0.17139070000000001</v>
      </c>
      <c r="X3392">
        <v>0.98520269999999999</v>
      </c>
      <c r="Y3392">
        <v>8.5567309999999994E-2</v>
      </c>
      <c r="Z3392">
        <v>1.214545E-2</v>
      </c>
      <c r="AA3392">
        <v>0.99625839999999999</v>
      </c>
      <c r="AB3392">
        <v>30</v>
      </c>
      <c r="AC3392">
        <v>-0.57229999999998404</v>
      </c>
      <c r="AD3392">
        <v>-0.2232925</v>
      </c>
      <c r="AE3392">
        <v>6.8899999999985001E-2</v>
      </c>
      <c r="AF3392">
        <v>5.8418390994771002E-2</v>
      </c>
      <c r="AG3392">
        <v>-0.2232925</v>
      </c>
      <c r="AH3392">
        <v>0.497805585556372</v>
      </c>
      <c r="AI3392">
        <v>114.012807116179</v>
      </c>
      <c r="AJ3392">
        <v>83.306848821729105</v>
      </c>
      <c r="AK3392">
        <v>0.54870998712779995</v>
      </c>
      <c r="AL3392">
        <v>80.131313347520503</v>
      </c>
      <c r="AM3392">
        <v>89.942872520592303</v>
      </c>
      <c r="AN3392">
        <v>1.00000004853247</v>
      </c>
    </row>
    <row r="3393" spans="1:40" x14ac:dyDescent="0.25">
      <c r="A3393" t="str">
        <f>"20190303161941404"</f>
        <v>20190303161941404</v>
      </c>
      <c r="B3393" t="str">
        <f>"1551601181396410"</f>
        <v>1551601181396410</v>
      </c>
      <c r="C3393" t="s">
        <v>40</v>
      </c>
      <c r="D3393">
        <v>4.7407529999999998</v>
      </c>
      <c r="E3393">
        <v>0.5365434</v>
      </c>
      <c r="F3393" t="s">
        <v>42</v>
      </c>
      <c r="G3393">
        <v>-319.94200000000001</v>
      </c>
      <c r="H3393">
        <v>0.87249569999999999</v>
      </c>
      <c r="I3393">
        <v>283.93310000000002</v>
      </c>
      <c r="J3393">
        <v>-319.28120000000001</v>
      </c>
      <c r="K3393">
        <v>1.1211599999999999</v>
      </c>
      <c r="L3393">
        <v>283.85640000000001</v>
      </c>
      <c r="M3393">
        <v>-0.99993840000000001</v>
      </c>
      <c r="N3393">
        <v>-1.0700899999999999E-2</v>
      </c>
      <c r="O3393">
        <v>2.9790379999999998E-3</v>
      </c>
      <c r="P3393">
        <v>-0.98697619999999997</v>
      </c>
      <c r="Q3393">
        <v>0.1608145</v>
      </c>
      <c r="R3393">
        <v>4.099821E-3</v>
      </c>
      <c r="S3393">
        <v>-3.1946409999999998</v>
      </c>
      <c r="T3393">
        <v>-0.95839059999999998</v>
      </c>
      <c r="U3393">
        <v>0.2970276</v>
      </c>
      <c r="V3393">
        <v>1.1550740000000001E-3</v>
      </c>
      <c r="W3393">
        <v>0.1713672</v>
      </c>
      <c r="X3393">
        <v>0.98520649999999999</v>
      </c>
      <c r="Y3393">
        <v>8.5843370000000002E-2</v>
      </c>
      <c r="Z3393">
        <v>1.2202670000000001E-2</v>
      </c>
      <c r="AA3393">
        <v>0.99623390000000001</v>
      </c>
      <c r="AB3393">
        <v>30</v>
      </c>
      <c r="AC3393">
        <v>-0.66079999999999395</v>
      </c>
      <c r="AD3393">
        <v>-0.24866429999999901</v>
      </c>
      <c r="AE3393">
        <v>7.6700000000016602E-2</v>
      </c>
      <c r="AF3393">
        <v>6.5569312082740597E-2</v>
      </c>
      <c r="AG3393">
        <v>-0.24866429999999901</v>
      </c>
      <c r="AH3393">
        <v>0.57998678976019402</v>
      </c>
      <c r="AI3393">
        <v>113.07533484031499</v>
      </c>
      <c r="AJ3393">
        <v>83.549920231998001</v>
      </c>
      <c r="AK3393">
        <v>0.63444301956742299</v>
      </c>
      <c r="AL3393">
        <v>80.132679031315106</v>
      </c>
      <c r="AM3393">
        <v>89.932825417917897</v>
      </c>
      <c r="AN3393">
        <v>0.99999994953701599</v>
      </c>
    </row>
    <row r="3394" spans="1:40" x14ac:dyDescent="0.25">
      <c r="A3394" t="str">
        <f>"20190303161941416"</f>
        <v>20190303161941416</v>
      </c>
      <c r="B3394" t="str">
        <f>"1551601181406169"</f>
        <v>1551601181406169</v>
      </c>
      <c r="C3394" t="s">
        <v>40</v>
      </c>
      <c r="D3394">
        <v>4.7660989999999996</v>
      </c>
      <c r="E3394">
        <v>0.53657200000000005</v>
      </c>
      <c r="F3394" t="s">
        <v>42</v>
      </c>
      <c r="G3394">
        <v>-319.96069999999997</v>
      </c>
      <c r="H3394">
        <v>0.91716339999999996</v>
      </c>
      <c r="I3394">
        <v>283.91980000000001</v>
      </c>
      <c r="J3394">
        <v>-319.45119999999997</v>
      </c>
      <c r="K3394">
        <v>1.121162</v>
      </c>
      <c r="L3394">
        <v>283.85700000000003</v>
      </c>
      <c r="M3394">
        <v>-0.99993840000000001</v>
      </c>
      <c r="N3394">
        <v>-1.070437E-2</v>
      </c>
      <c r="O3394">
        <v>2.96102E-3</v>
      </c>
      <c r="P3394">
        <v>-0.98694190000000004</v>
      </c>
      <c r="Q3394">
        <v>0.16101309999999999</v>
      </c>
      <c r="R3394">
        <v>4.548145E-3</v>
      </c>
      <c r="S3394">
        <v>-3.1945800000000002</v>
      </c>
      <c r="T3394">
        <v>-0.95903400000000005</v>
      </c>
      <c r="U3394">
        <v>0.29769899999999999</v>
      </c>
      <c r="V3394">
        <v>1.621225E-3</v>
      </c>
      <c r="W3394">
        <v>0.17156869999999999</v>
      </c>
      <c r="X3394">
        <v>0.98517080000000001</v>
      </c>
      <c r="Y3394">
        <v>8.6055329999999999E-2</v>
      </c>
      <c r="Z3394">
        <v>1.22478E-2</v>
      </c>
      <c r="AA3394">
        <v>0.99621499999999996</v>
      </c>
      <c r="AB3394">
        <v>30</v>
      </c>
      <c r="AC3394">
        <v>-0.50950000000000195</v>
      </c>
      <c r="AD3394">
        <v>-0.2039986</v>
      </c>
      <c r="AE3394">
        <v>6.2799999999981496E-2</v>
      </c>
      <c r="AF3394">
        <v>5.2932305507336602E-2</v>
      </c>
      <c r="AG3394">
        <v>-0.2039986</v>
      </c>
      <c r="AH3394">
        <v>0.44017450266800001</v>
      </c>
      <c r="AI3394">
        <v>114.70878410793701</v>
      </c>
      <c r="AJ3394">
        <v>83.142936826734498</v>
      </c>
      <c r="AK3394">
        <v>0.488027510051742</v>
      </c>
      <c r="AL3394">
        <v>80.120960640138605</v>
      </c>
      <c r="AM3394">
        <v>89.905712525898807</v>
      </c>
      <c r="AN3394">
        <v>0.99999997618141501</v>
      </c>
    </row>
    <row r="3395" spans="1:40" x14ac:dyDescent="0.25">
      <c r="A3395" t="str">
        <f>"20190303161941428"</f>
        <v>20190303161941428</v>
      </c>
      <c r="B3395" t="str">
        <f>"1551601181425760"</f>
        <v>1551601181425760</v>
      </c>
      <c r="C3395" t="s">
        <v>40</v>
      </c>
      <c r="D3395">
        <v>4.7980650000000002</v>
      </c>
      <c r="E3395">
        <v>0.53652040000000001</v>
      </c>
      <c r="F3395" t="s">
        <v>42</v>
      </c>
      <c r="G3395">
        <v>-320.2165</v>
      </c>
      <c r="H3395">
        <v>0.89143939999999999</v>
      </c>
      <c r="I3395">
        <v>283.92899999999997</v>
      </c>
      <c r="J3395">
        <v>-319.61070000000001</v>
      </c>
      <c r="K3395">
        <v>1.121159</v>
      </c>
      <c r="L3395">
        <v>283.85750000000002</v>
      </c>
      <c r="M3395">
        <v>-0.99993840000000001</v>
      </c>
      <c r="N3395">
        <v>-1.0707650000000001E-2</v>
      </c>
      <c r="O3395">
        <v>2.9441939999999998E-3</v>
      </c>
      <c r="P3395">
        <v>-0.98684780000000005</v>
      </c>
      <c r="Q3395">
        <v>0.1615906</v>
      </c>
      <c r="R3395">
        <v>4.5248720000000001E-3</v>
      </c>
      <c r="S3395">
        <v>-3.194763</v>
      </c>
      <c r="T3395">
        <v>-0.95898280000000002</v>
      </c>
      <c r="U3395">
        <v>0.29904170000000002</v>
      </c>
      <c r="V3395">
        <v>1.6149840000000001E-3</v>
      </c>
      <c r="W3395">
        <v>0.17214839999999901</v>
      </c>
      <c r="X3395">
        <v>0.98506970000000005</v>
      </c>
      <c r="Y3395">
        <v>8.646363E-2</v>
      </c>
      <c r="Z3395">
        <v>1.2313340000000001E-2</v>
      </c>
      <c r="AA3395">
        <v>0.99617889999999998</v>
      </c>
      <c r="AB3395">
        <v>30</v>
      </c>
      <c r="AC3395">
        <v>-0.60579999999998702</v>
      </c>
      <c r="AD3395">
        <v>-0.2297196</v>
      </c>
      <c r="AE3395">
        <v>7.1500000000014496E-2</v>
      </c>
      <c r="AF3395">
        <v>6.1057043288236398E-2</v>
      </c>
      <c r="AG3395">
        <v>-0.2297196</v>
      </c>
      <c r="AH3395">
        <v>0.53073975679596597</v>
      </c>
      <c r="AI3395">
        <v>113.267368972982</v>
      </c>
      <c r="AJ3395">
        <v>83.437462671884106</v>
      </c>
      <c r="AK3395">
        <v>0.58153567956154095</v>
      </c>
      <c r="AL3395">
        <v>80.087244843180898</v>
      </c>
      <c r="AM3395">
        <v>89.906065850692599</v>
      </c>
      <c r="AN3395">
        <v>0.99999999682698504</v>
      </c>
    </row>
    <row r="3396" spans="1:40" x14ac:dyDescent="0.25">
      <c r="A3396" t="str">
        <f>"20190303161941441"</f>
        <v>20190303161941441</v>
      </c>
      <c r="B3396" t="str">
        <f>"1551601181435520"</f>
        <v>1551601181435520</v>
      </c>
      <c r="C3396" t="s">
        <v>40</v>
      </c>
      <c r="D3396">
        <v>4.8190220000000004</v>
      </c>
      <c r="E3396">
        <v>0.53648300000000004</v>
      </c>
      <c r="F3396" t="s">
        <v>42</v>
      </c>
      <c r="G3396">
        <v>-320.47230000000002</v>
      </c>
      <c r="H3396">
        <v>0.86256999999999995</v>
      </c>
      <c r="I3396">
        <v>283.93830000000003</v>
      </c>
      <c r="J3396">
        <v>-319.7792</v>
      </c>
      <c r="K3396">
        <v>1.1211549999999999</v>
      </c>
      <c r="L3396">
        <v>283.85789999999997</v>
      </c>
      <c r="M3396">
        <v>-0.99993840000000001</v>
      </c>
      <c r="N3396">
        <v>-1.0711200000000001E-2</v>
      </c>
      <c r="O3396">
        <v>2.9262939999999999E-3</v>
      </c>
      <c r="P3396">
        <v>-0.98684879999999997</v>
      </c>
      <c r="Q3396">
        <v>0.16158400000000001</v>
      </c>
      <c r="R3396">
        <v>4.498607E-3</v>
      </c>
      <c r="S3396">
        <v>-3.1956790000000002</v>
      </c>
      <c r="T3396">
        <v>-0.95918680000000001</v>
      </c>
      <c r="U3396">
        <v>0.29873660000000002</v>
      </c>
      <c r="V3396">
        <v>1.6062559999999999E-3</v>
      </c>
      <c r="W3396">
        <v>0.1721451</v>
      </c>
      <c r="X3396">
        <v>0.98507029999999995</v>
      </c>
      <c r="Y3396">
        <v>8.6364860000000002E-2</v>
      </c>
      <c r="Z3396">
        <v>1.2302769999999999E-2</v>
      </c>
      <c r="AA3396">
        <v>0.99618759999999995</v>
      </c>
      <c r="AB3396">
        <v>30</v>
      </c>
      <c r="AC3396">
        <v>-0.69310000000001504</v>
      </c>
      <c r="AD3396">
        <v>-0.25858499999999901</v>
      </c>
      <c r="AE3396">
        <v>8.0400000000054206E-2</v>
      </c>
      <c r="AF3396">
        <v>6.8907314282973503E-2</v>
      </c>
      <c r="AG3396">
        <v>-0.25858499999999901</v>
      </c>
      <c r="AH3396">
        <v>0.60960648548182395</v>
      </c>
      <c r="AI3396">
        <v>112.855387187264</v>
      </c>
      <c r="AJ3396">
        <v>83.550903620639701</v>
      </c>
      <c r="AK3396">
        <v>0.66575858036392799</v>
      </c>
      <c r="AL3396">
        <v>80.087436873803199</v>
      </c>
      <c r="AM3396">
        <v>89.906573563276297</v>
      </c>
      <c r="AN3396">
        <v>1.00000000572721</v>
      </c>
    </row>
    <row r="3397" spans="1:40" x14ac:dyDescent="0.25">
      <c r="A3397" t="str">
        <f>"20190303161941456"</f>
        <v>20190303161941456</v>
      </c>
      <c r="B3397" t="str">
        <f>"1551601181446255"</f>
        <v>1551601181446255</v>
      </c>
      <c r="C3397" t="s">
        <v>40</v>
      </c>
      <c r="D3397">
        <v>4.8174299999999999</v>
      </c>
      <c r="E3397">
        <v>0.53646099999999997</v>
      </c>
      <c r="F3397" t="s">
        <v>42</v>
      </c>
      <c r="G3397">
        <v>-320.49040000000002</v>
      </c>
      <c r="H3397">
        <v>0.90734409999999999</v>
      </c>
      <c r="I3397">
        <v>283.92450000000002</v>
      </c>
      <c r="J3397">
        <v>-319.97899999999998</v>
      </c>
      <c r="K3397">
        <v>1.121156</v>
      </c>
      <c r="L3397">
        <v>283.85849999999999</v>
      </c>
      <c r="M3397">
        <v>-0.99993840000000001</v>
      </c>
      <c r="N3397">
        <v>-1.071543E-2</v>
      </c>
      <c r="O3397">
        <v>2.905407E-3</v>
      </c>
      <c r="P3397">
        <v>-0.98673650000000002</v>
      </c>
      <c r="Q3397">
        <v>0.16227359999999999</v>
      </c>
      <c r="R3397">
        <v>4.3423350000000001E-3</v>
      </c>
      <c r="S3397">
        <v>-3.1959529999999998</v>
      </c>
      <c r="T3397">
        <v>-0.96081760000000005</v>
      </c>
      <c r="U3397">
        <v>0.2976685</v>
      </c>
      <c r="V3397">
        <v>1.470926E-3</v>
      </c>
      <c r="W3397">
        <v>0.17283789999999999</v>
      </c>
      <c r="X3397">
        <v>0.98494919999999997</v>
      </c>
      <c r="Y3397">
        <v>8.6049180000000003E-2</v>
      </c>
      <c r="Z3397">
        <v>1.227925E-2</v>
      </c>
      <c r="AA3397">
        <v>0.99621519999999997</v>
      </c>
      <c r="AB3397">
        <v>30</v>
      </c>
      <c r="AC3397">
        <v>-0.51139999999997998</v>
      </c>
      <c r="AD3397">
        <v>-0.2138119</v>
      </c>
      <c r="AE3397">
        <v>6.6000000000030895E-2</v>
      </c>
      <c r="AF3397">
        <v>5.5048891613193297E-2</v>
      </c>
      <c r="AG3397">
        <v>-0.2138119</v>
      </c>
      <c r="AH3397">
        <v>0.43653351905983301</v>
      </c>
      <c r="AI3397">
        <v>115.91726340496901</v>
      </c>
      <c r="AJ3397">
        <v>82.812676024665194</v>
      </c>
      <c r="AK3397">
        <v>0.48919057872388799</v>
      </c>
      <c r="AL3397">
        <v>80.0471384149904</v>
      </c>
      <c r="AM3397">
        <v>89.914434379841595</v>
      </c>
      <c r="AN3397">
        <v>1.00000001494017</v>
      </c>
    </row>
    <row r="3398" spans="1:40" x14ac:dyDescent="0.25">
      <c r="A3398" t="str">
        <f>"20190303161941471"</f>
        <v>20190303161941471</v>
      </c>
      <c r="B3398" t="str">
        <f>"1551601181465776"</f>
        <v>1551601181465776</v>
      </c>
      <c r="C3398" t="s">
        <v>40</v>
      </c>
      <c r="D3398">
        <v>4.8153040000000003</v>
      </c>
      <c r="E3398">
        <v>0.53511059999999999</v>
      </c>
      <c r="F3398" t="s">
        <v>42</v>
      </c>
      <c r="G3398">
        <v>-320.75040000000001</v>
      </c>
      <c r="H3398">
        <v>0.88959769999999905</v>
      </c>
      <c r="I3398">
        <v>283.93079999999998</v>
      </c>
      <c r="J3398">
        <v>-320.17169999999999</v>
      </c>
      <c r="K3398">
        <v>1.1211610000000001</v>
      </c>
      <c r="L3398">
        <v>283.85899999999998</v>
      </c>
      <c r="M3398">
        <v>-0.99993840000000001</v>
      </c>
      <c r="N3398">
        <v>-1.071951E-2</v>
      </c>
      <c r="O3398">
        <v>2.8853569999999999E-3</v>
      </c>
      <c r="P3398">
        <v>-0.98672579999999999</v>
      </c>
      <c r="Q3398">
        <v>0.1623444</v>
      </c>
      <c r="R3398">
        <v>4.0788530000000003E-3</v>
      </c>
      <c r="S3398">
        <v>-3.1968380000000001</v>
      </c>
      <c r="T3398">
        <v>-0.95964360000000004</v>
      </c>
      <c r="U3398">
        <v>0.29745480000000002</v>
      </c>
      <c r="V3398">
        <v>1.227171E-3</v>
      </c>
      <c r="W3398">
        <v>0.17291210000000001</v>
      </c>
      <c r="X3398">
        <v>0.98493649999999999</v>
      </c>
      <c r="Y3398">
        <v>8.5990349999999993E-2</v>
      </c>
      <c r="Z3398">
        <v>1.2259279999999999E-2</v>
      </c>
      <c r="AA3398">
        <v>0.99622049999999995</v>
      </c>
      <c r="AB3398">
        <v>30</v>
      </c>
      <c r="AC3398">
        <v>-0.57870000000002597</v>
      </c>
      <c r="AD3398">
        <v>-0.2315633</v>
      </c>
      <c r="AE3398">
        <v>7.1799999999939204E-2</v>
      </c>
      <c r="AF3398">
        <v>6.0577515030803303E-2</v>
      </c>
      <c r="AG3398">
        <v>-0.2315633</v>
      </c>
      <c r="AH3398">
        <v>0.50005258740360703</v>
      </c>
      <c r="AI3398">
        <v>114.689041399952</v>
      </c>
      <c r="AJ3398">
        <v>83.092716073663198</v>
      </c>
      <c r="AK3398">
        <v>0.55438595527235301</v>
      </c>
      <c r="AL3398">
        <v>80.042821977031196</v>
      </c>
      <c r="AM3398">
        <v>89.928612978950696</v>
      </c>
      <c r="AN3398">
        <v>1.0000000046536599</v>
      </c>
    </row>
    <row r="3399" spans="1:40" x14ac:dyDescent="0.25">
      <c r="A3399" t="str">
        <f>"20190303161941491"</f>
        <v>20190303161941491</v>
      </c>
      <c r="B3399" t="str">
        <f>"1551601181486272"</f>
        <v>1551601181486272</v>
      </c>
      <c r="C3399" t="s">
        <v>40</v>
      </c>
      <c r="D3399">
        <v>4.7950530000000002</v>
      </c>
      <c r="E3399">
        <v>0.53531329999999999</v>
      </c>
      <c r="F3399" t="s">
        <v>42</v>
      </c>
      <c r="G3399">
        <v>-321.0016</v>
      </c>
      <c r="H3399">
        <v>0.84827070000000004</v>
      </c>
      <c r="I3399">
        <v>283.93279999999999</v>
      </c>
      <c r="J3399">
        <v>-320.44349999999997</v>
      </c>
      <c r="K3399">
        <v>1.1211610000000001</v>
      </c>
      <c r="L3399">
        <v>283.85969999999998</v>
      </c>
      <c r="M3399">
        <v>-0.99993849999999995</v>
      </c>
      <c r="N3399">
        <v>-1.072525E-2</v>
      </c>
      <c r="O3399">
        <v>2.856361E-3</v>
      </c>
      <c r="P3399">
        <v>-0.98665610000000004</v>
      </c>
      <c r="Q3399">
        <v>0.16278020000000001</v>
      </c>
      <c r="R3399">
        <v>3.5953920000000002E-3</v>
      </c>
      <c r="S3399">
        <v>-3.2130130000000001</v>
      </c>
      <c r="T3399">
        <v>-1.056481</v>
      </c>
      <c r="U3399">
        <v>0.28521729999999901</v>
      </c>
      <c r="V3399">
        <v>7.7251849999999999E-4</v>
      </c>
      <c r="W3399">
        <v>0.17335300000000001</v>
      </c>
      <c r="X3399">
        <v>0.9848595</v>
      </c>
      <c r="Y3399">
        <v>8.1318589999999996E-2</v>
      </c>
      <c r="Z3399">
        <v>1.2567439999999999E-2</v>
      </c>
      <c r="AA3399">
        <v>0.99660890000000002</v>
      </c>
      <c r="AB3399">
        <v>30</v>
      </c>
      <c r="AC3399">
        <v>-0.55810000000002402</v>
      </c>
      <c r="AD3399">
        <v>-0.27289029999999997</v>
      </c>
      <c r="AE3399">
        <v>7.3100000000010795E-2</v>
      </c>
      <c r="AF3399">
        <v>5.7896713974793401E-2</v>
      </c>
      <c r="AG3399">
        <v>-0.27289029999999997</v>
      </c>
      <c r="AH3399">
        <v>0.45205089122498499</v>
      </c>
      <c r="AI3399">
        <v>120.91235642667699</v>
      </c>
      <c r="AJ3399">
        <v>82.701538896511806</v>
      </c>
      <c r="AK3399">
        <v>0.53119784786882596</v>
      </c>
      <c r="AL3399">
        <v>80.017173357229694</v>
      </c>
      <c r="AM3399">
        <v>89.955057507626194</v>
      </c>
      <c r="AN3399">
        <v>1.00000004706704</v>
      </c>
    </row>
    <row r="3400" spans="1:40" x14ac:dyDescent="0.25">
      <c r="A3400" t="str">
        <f>"20190303161941513"</f>
        <v>20190303161941513</v>
      </c>
      <c r="B3400" t="str">
        <f>"1551601181505791"</f>
        <v>1551601181505791</v>
      </c>
      <c r="C3400" t="s">
        <v>40</v>
      </c>
      <c r="D3400">
        <v>4.8430220000000004</v>
      </c>
      <c r="E3400">
        <v>0.52984330000000002</v>
      </c>
      <c r="F3400" t="s">
        <v>42</v>
      </c>
      <c r="G3400">
        <v>-321.2706</v>
      </c>
      <c r="H3400">
        <v>0.85136119999999904</v>
      </c>
      <c r="I3400">
        <v>283.93360000000001</v>
      </c>
      <c r="J3400">
        <v>-320.73910000000001</v>
      </c>
      <c r="K3400">
        <v>1.1211679999999999</v>
      </c>
      <c r="L3400">
        <v>283.86059999999998</v>
      </c>
      <c r="M3400">
        <v>-0.99993849999999995</v>
      </c>
      <c r="N3400">
        <v>-1.073141E-2</v>
      </c>
      <c r="O3400">
        <v>2.8253340000000001E-3</v>
      </c>
      <c r="P3400">
        <v>-0.98660049999999999</v>
      </c>
      <c r="Q3400">
        <v>0.16311819999999999</v>
      </c>
      <c r="R3400">
        <v>3.4593610000000002E-3</v>
      </c>
      <c r="S3400">
        <v>-3.212402</v>
      </c>
      <c r="T3400">
        <v>-1.047776</v>
      </c>
      <c r="U3400">
        <v>0.28536990000000001</v>
      </c>
      <c r="V3400">
        <v>6.6712289999999903E-4</v>
      </c>
      <c r="W3400">
        <v>0.1736963</v>
      </c>
      <c r="X3400">
        <v>0.98479899999999998</v>
      </c>
      <c r="Y3400">
        <v>8.1469050000000001E-2</v>
      </c>
      <c r="Z3400">
        <v>1.25092E-2</v>
      </c>
      <c r="AA3400">
        <v>0.99659730000000002</v>
      </c>
      <c r="AB3400">
        <v>30</v>
      </c>
      <c r="AC3400">
        <v>-0.53149999999999398</v>
      </c>
      <c r="AD3400">
        <v>-0.26980679999999901</v>
      </c>
      <c r="AE3400">
        <v>7.3000000000035897E-2</v>
      </c>
      <c r="AF3400">
        <v>5.7065068314833101E-2</v>
      </c>
      <c r="AG3400">
        <v>-0.26980679999999901</v>
      </c>
      <c r="AH3400">
        <v>0.42437202728379603</v>
      </c>
      <c r="AI3400">
        <v>122.21534312737199</v>
      </c>
      <c r="AJ3400">
        <v>82.341409146030202</v>
      </c>
      <c r="AK3400">
        <v>0.50610646003481796</v>
      </c>
      <c r="AL3400">
        <v>79.997199843211902</v>
      </c>
      <c r="AM3400">
        <v>89.9611866779519</v>
      </c>
      <c r="AN3400">
        <v>0.99999996004382596</v>
      </c>
    </row>
    <row r="3401" spans="1:40" x14ac:dyDescent="0.25">
      <c r="A3401" t="str">
        <f>"20190303161941528"</f>
        <v>20190303161941528</v>
      </c>
      <c r="B3401" t="str">
        <f>"1551601181526288"</f>
        <v>1551601181526288</v>
      </c>
      <c r="C3401" t="s">
        <v>40</v>
      </c>
      <c r="D3401">
        <v>4.7634930000000004</v>
      </c>
      <c r="E3401">
        <v>0.51768700000000001</v>
      </c>
      <c r="F3401" t="s">
        <v>42</v>
      </c>
      <c r="G3401">
        <v>-321.56420000000003</v>
      </c>
      <c r="H3401">
        <v>0.91374469999999997</v>
      </c>
      <c r="I3401">
        <v>283.9239</v>
      </c>
      <c r="J3401">
        <v>-320.94720000000001</v>
      </c>
      <c r="K3401">
        <v>1.121167</v>
      </c>
      <c r="L3401">
        <v>283.86110000000002</v>
      </c>
      <c r="M3401">
        <v>-0.99993840000000001</v>
      </c>
      <c r="N3401">
        <v>-1.0735700000000001E-2</v>
      </c>
      <c r="O3401">
        <v>2.8034359999999999E-3</v>
      </c>
      <c r="P3401">
        <v>-0.98653040000000003</v>
      </c>
      <c r="Q3401">
        <v>0.16354060000000001</v>
      </c>
      <c r="R3401">
        <v>3.5023979999999999E-3</v>
      </c>
      <c r="S3401">
        <v>-3.1717219999999999</v>
      </c>
      <c r="T3401">
        <v>-0.79732760000000003</v>
      </c>
      <c r="U3401">
        <v>0.2426758</v>
      </c>
      <c r="V3401">
        <v>7.3200849999999998E-4</v>
      </c>
      <c r="W3401">
        <v>0.1741222</v>
      </c>
      <c r="X3401">
        <v>0.98472369999999998</v>
      </c>
      <c r="Y3401">
        <v>7.1270849999999997E-2</v>
      </c>
      <c r="Z3401">
        <v>8.5346129999999999E-3</v>
      </c>
      <c r="AA3401">
        <v>0.99742050000000004</v>
      </c>
      <c r="AB3401">
        <v>30</v>
      </c>
      <c r="AC3401">
        <v>-0.61700000000001798</v>
      </c>
      <c r="AD3401">
        <v>-0.2074223</v>
      </c>
      <c r="AE3401">
        <v>6.2799999999981496E-2</v>
      </c>
      <c r="AF3401">
        <v>5.49260508752576E-2</v>
      </c>
      <c r="AG3401">
        <v>-0.2074223</v>
      </c>
      <c r="AH3401">
        <v>0.55508347414481396</v>
      </c>
      <c r="AI3401">
        <v>110.3982350686</v>
      </c>
      <c r="AJ3401">
        <v>84.348922641640897</v>
      </c>
      <c r="AK3401">
        <v>0.59511221199931497</v>
      </c>
      <c r="AL3401">
        <v>79.972419568857504</v>
      </c>
      <c r="AM3401">
        <v>89.957408367552901</v>
      </c>
      <c r="AN3401">
        <v>0.99999992085548395</v>
      </c>
    </row>
    <row r="3402" spans="1:40" x14ac:dyDescent="0.25">
      <c r="A3402" t="str">
        <f>"20190303161941540"</f>
        <v>20190303161941540</v>
      </c>
      <c r="B3402" t="str">
        <f>"1551601181536048"</f>
        <v>1551601181536048</v>
      </c>
      <c r="C3402" t="s">
        <v>40</v>
      </c>
      <c r="D3402">
        <v>4.9287080000000003</v>
      </c>
      <c r="E3402">
        <v>0.5134822</v>
      </c>
      <c r="F3402" t="s">
        <v>42</v>
      </c>
      <c r="G3402">
        <v>-321.88319999999999</v>
      </c>
      <c r="H3402">
        <v>1.017841</v>
      </c>
      <c r="I3402">
        <v>283.90620000000001</v>
      </c>
      <c r="J3402">
        <v>-321.11250000000001</v>
      </c>
      <c r="K3402">
        <v>1.1211629999999999</v>
      </c>
      <c r="L3402">
        <v>283.86160000000001</v>
      </c>
      <c r="M3402">
        <v>-0.99993849999999995</v>
      </c>
      <c r="N3402">
        <v>-1.073911E-2</v>
      </c>
      <c r="O3402">
        <v>2.7862500000000001E-3</v>
      </c>
      <c r="P3402">
        <v>-0.98655029999999999</v>
      </c>
      <c r="Q3402">
        <v>0.16342000000000001</v>
      </c>
      <c r="R3402">
        <v>3.5373959999999999E-3</v>
      </c>
      <c r="S3402">
        <v>-3.097137</v>
      </c>
      <c r="T3402">
        <v>-0.34209909999999999</v>
      </c>
      <c r="U3402">
        <v>0.14776610000000001</v>
      </c>
      <c r="V3402">
        <v>7.8386079999999999E-4</v>
      </c>
      <c r="W3402">
        <v>0.1740053</v>
      </c>
      <c r="X3402">
        <v>0.98474439999999996</v>
      </c>
      <c r="Y3402">
        <v>4.4589599999999903E-2</v>
      </c>
      <c r="Z3402">
        <v>2.417298E-3</v>
      </c>
      <c r="AA3402">
        <v>0.99900250000000002</v>
      </c>
      <c r="AB3402">
        <v>30</v>
      </c>
      <c r="AC3402">
        <v>-0.77069999999997596</v>
      </c>
      <c r="AD3402">
        <v>-0.103321999999999</v>
      </c>
      <c r="AE3402">
        <v>4.4600000000002603E-2</v>
      </c>
      <c r="AF3402">
        <v>4.1705282815621199E-2</v>
      </c>
      <c r="AG3402">
        <v>-0.103321999999999</v>
      </c>
      <c r="AH3402">
        <v>0.75725671132386496</v>
      </c>
      <c r="AI3402">
        <v>97.757988897083393</v>
      </c>
      <c r="AJ3402">
        <v>86.847667259758296</v>
      </c>
      <c r="AK3402">
        <v>0.76541001635970696</v>
      </c>
      <c r="AL3402">
        <v>79.979222040082306</v>
      </c>
      <c r="AM3402">
        <v>89.954392321418595</v>
      </c>
      <c r="AN3402">
        <v>0.99999999609860102</v>
      </c>
    </row>
    <row r="3403" spans="1:40" x14ac:dyDescent="0.25">
      <c r="A3403" t="str">
        <f>"20190303161941557"</f>
        <v>20190303161941557</v>
      </c>
      <c r="B3403" t="str">
        <f>"1551601181545808"</f>
        <v>1551601181545808</v>
      </c>
      <c r="C3403" t="s">
        <v>40</v>
      </c>
      <c r="D3403">
        <v>4.814184</v>
      </c>
      <c r="E3403">
        <v>0.51040479999999999</v>
      </c>
      <c r="F3403" t="s">
        <v>52</v>
      </c>
      <c r="G3403">
        <v>-334.9452</v>
      </c>
      <c r="H3403" s="1">
        <v>1.105299E-6</v>
      </c>
      <c r="I3403">
        <v>284.3759</v>
      </c>
      <c r="J3403">
        <v>-321.32929999999999</v>
      </c>
      <c r="K3403">
        <v>1.121162</v>
      </c>
      <c r="L3403">
        <v>283.86219999999997</v>
      </c>
      <c r="M3403">
        <v>-0.99993860000000001</v>
      </c>
      <c r="N3403">
        <v>-1.074337E-2</v>
      </c>
      <c r="O3403">
        <v>2.763162E-3</v>
      </c>
      <c r="P3403">
        <v>-0.98657399999999995</v>
      </c>
      <c r="Q3403">
        <v>0.16327459999999999</v>
      </c>
      <c r="R3403">
        <v>3.6433189999999999E-3</v>
      </c>
      <c r="S3403">
        <v>-3.0818479999999999</v>
      </c>
      <c r="T3403">
        <v>-0.24978919999999999</v>
      </c>
      <c r="U3403">
        <v>0.1145935</v>
      </c>
      <c r="V3403">
        <v>9.1245509999999998E-4</v>
      </c>
      <c r="W3403">
        <v>0.17386450000000001</v>
      </c>
      <c r="X3403">
        <v>0.98476920000000001</v>
      </c>
      <c r="Y3403">
        <v>3.4275760000000002E-2</v>
      </c>
      <c r="Z3403">
        <v>1.376955E-3</v>
      </c>
      <c r="AA3403">
        <v>0.99941150000000001</v>
      </c>
      <c r="AB3403">
        <v>30</v>
      </c>
      <c r="AC3403">
        <v>-13.6159</v>
      </c>
      <c r="AD3403">
        <v>-1.1211608947010001</v>
      </c>
      <c r="AE3403">
        <v>0.51370000000002802</v>
      </c>
      <c r="AF3403">
        <v>0.47287132474002602</v>
      </c>
      <c r="AG3403">
        <v>-1.1211608947010001</v>
      </c>
      <c r="AH3403">
        <v>13.525690851922</v>
      </c>
      <c r="AI3403">
        <v>94.735603693028196</v>
      </c>
      <c r="AJ3403">
        <v>87.997699266454305</v>
      </c>
      <c r="AK3403">
        <v>13.580313768957399</v>
      </c>
      <c r="AL3403">
        <v>79.987414571839594</v>
      </c>
      <c r="AM3403">
        <v>89.9469116100869</v>
      </c>
      <c r="AN3403">
        <v>1.00000003710159</v>
      </c>
    </row>
    <row r="3404" spans="1:40" x14ac:dyDescent="0.25">
      <c r="A3404" t="str">
        <f>"20190303161941572"</f>
        <v>20190303161941572</v>
      </c>
      <c r="B3404" t="str">
        <f>"1551601181566304"</f>
        <v>1551601181566304</v>
      </c>
      <c r="C3404" t="s">
        <v>40</v>
      </c>
      <c r="D3404">
        <v>4.7616610000000001</v>
      </c>
      <c r="E3404">
        <v>0.50779960000000002</v>
      </c>
      <c r="F3404" t="s">
        <v>52</v>
      </c>
      <c r="G3404">
        <v>-337.7817</v>
      </c>
      <c r="H3404" s="1">
        <v>2.6159959999999999E-6</v>
      </c>
      <c r="I3404">
        <v>284.34739999999999</v>
      </c>
      <c r="J3404">
        <v>-321.524</v>
      </c>
      <c r="K3404">
        <v>1.1211660000000001</v>
      </c>
      <c r="L3404">
        <v>283.86270000000002</v>
      </c>
      <c r="M3404">
        <v>-0.99993849999999995</v>
      </c>
      <c r="N3404">
        <v>-1.074715E-2</v>
      </c>
      <c r="O3404">
        <v>2.7426389999999998E-3</v>
      </c>
      <c r="P3404">
        <v>-0.98661860000000001</v>
      </c>
      <c r="Q3404">
        <v>0.16299920000000001</v>
      </c>
      <c r="R3404">
        <v>3.8833140000000001E-3</v>
      </c>
      <c r="S3404">
        <v>-3.0751339999999998</v>
      </c>
      <c r="T3404">
        <v>-0.2095573</v>
      </c>
      <c r="U3404">
        <v>9.0698239999999999E-2</v>
      </c>
      <c r="V3404">
        <v>1.1727199999999999E-3</v>
      </c>
      <c r="W3404">
        <v>0.173593</v>
      </c>
      <c r="X3404">
        <v>0.98481680000000005</v>
      </c>
      <c r="Y3404">
        <v>2.667247E-2</v>
      </c>
      <c r="Z3404">
        <v>8.9391359999999997E-4</v>
      </c>
      <c r="AA3404">
        <v>0.99964379999999997</v>
      </c>
      <c r="AB3404">
        <v>30</v>
      </c>
      <c r="AC3404">
        <v>-16.2577</v>
      </c>
      <c r="AD3404">
        <v>-1.1211633840039901</v>
      </c>
      <c r="AE3404">
        <v>0.48469999999997498</v>
      </c>
      <c r="AF3404">
        <v>0.43802530837182102</v>
      </c>
      <c r="AG3404">
        <v>-1.1211633840039901</v>
      </c>
      <c r="AH3404">
        <v>16.182078600405902</v>
      </c>
      <c r="AI3404">
        <v>93.961915576563996</v>
      </c>
      <c r="AJ3404">
        <v>88.449465286425294</v>
      </c>
      <c r="AK3404">
        <v>16.226784688721299</v>
      </c>
      <c r="AL3404">
        <v>80.003210376137801</v>
      </c>
      <c r="AM3404">
        <v>89.931772209012706</v>
      </c>
      <c r="AN3404">
        <v>1.0000000172417101</v>
      </c>
    </row>
    <row r="3405" spans="1:40" x14ac:dyDescent="0.25">
      <c r="A3405" t="str">
        <f>"20190303161941583"</f>
        <v>20190303161941583</v>
      </c>
      <c r="B3405" t="str">
        <f>"1551601181576064"</f>
        <v>1551601181576064</v>
      </c>
      <c r="C3405" t="s">
        <v>40</v>
      </c>
      <c r="D3405">
        <v>4.7251349999999999</v>
      </c>
      <c r="E3405">
        <v>0.50707009999999997</v>
      </c>
      <c r="F3405" t="s">
        <v>52</v>
      </c>
      <c r="G3405">
        <v>-341.59649999999999</v>
      </c>
      <c r="H3405" s="1">
        <v>-6.8720539999999996E-7</v>
      </c>
      <c r="I3405">
        <v>284.32600000000002</v>
      </c>
      <c r="J3405">
        <v>-321.68869999999998</v>
      </c>
      <c r="K3405">
        <v>1.121162</v>
      </c>
      <c r="L3405">
        <v>283.86309999999997</v>
      </c>
      <c r="M3405">
        <v>-0.99993849999999995</v>
      </c>
      <c r="N3405">
        <v>-1.0750350000000001E-2</v>
      </c>
      <c r="O3405">
        <v>2.7252779999999998E-3</v>
      </c>
      <c r="P3405">
        <v>-0.98662689999999997</v>
      </c>
      <c r="Q3405">
        <v>0.16294349999999999</v>
      </c>
      <c r="R3405">
        <v>4.1134930000000002E-3</v>
      </c>
      <c r="S3405">
        <v>-3.068695</v>
      </c>
      <c r="T3405">
        <v>-0.17140459999999999</v>
      </c>
      <c r="U3405">
        <v>7.08313E-2</v>
      </c>
      <c r="V3405">
        <v>1.419898E-3</v>
      </c>
      <c r="W3405">
        <v>0.1735409</v>
      </c>
      <c r="X3405">
        <v>0.98482559999999997</v>
      </c>
      <c r="Y3405">
        <v>2.0315969999999999E-2</v>
      </c>
      <c r="Z3405">
        <v>5.5338060000000001E-4</v>
      </c>
      <c r="AA3405">
        <v>0.9997935</v>
      </c>
      <c r="AB3405">
        <v>30</v>
      </c>
      <c r="AC3405">
        <v>-19.907800000000002</v>
      </c>
      <c r="AD3405">
        <v>-1.1211626872053999</v>
      </c>
      <c r="AE3405">
        <v>0.46289999999998999</v>
      </c>
      <c r="AF3405">
        <v>0.40734956768874298</v>
      </c>
      <c r="AG3405">
        <v>-1.1211626872053999</v>
      </c>
      <c r="AH3405">
        <v>19.846076079322199</v>
      </c>
      <c r="AI3405">
        <v>93.232689368096104</v>
      </c>
      <c r="AJ3405">
        <v>88.824143666191105</v>
      </c>
      <c r="AK3405">
        <v>19.881893148986698</v>
      </c>
      <c r="AL3405">
        <v>80.006240926939498</v>
      </c>
      <c r="AM3405">
        <v>89.917392372448106</v>
      </c>
      <c r="AN3405">
        <v>0.99999996124924895</v>
      </c>
    </row>
    <row r="3406" spans="1:40" x14ac:dyDescent="0.25">
      <c r="A3406" t="str">
        <f>"20190303161941596"</f>
        <v>20190303161941596</v>
      </c>
      <c r="B3406" t="str">
        <f>"1551601181585825"</f>
        <v>1551601181585825</v>
      </c>
      <c r="C3406" t="s">
        <v>40</v>
      </c>
      <c r="D3406">
        <v>4.7362690000000001</v>
      </c>
      <c r="E3406">
        <v>0.50697859999999995</v>
      </c>
      <c r="F3406" t="s">
        <v>52</v>
      </c>
      <c r="G3406">
        <v>-342.69260000000003</v>
      </c>
      <c r="H3406" s="1">
        <v>-1.039016E-7</v>
      </c>
      <c r="I3406">
        <v>284.31509999999997</v>
      </c>
      <c r="J3406">
        <v>-321.858</v>
      </c>
      <c r="K3406">
        <v>1.1211610000000001</v>
      </c>
      <c r="L3406">
        <v>283.86360000000002</v>
      </c>
      <c r="M3406">
        <v>-0.99993860000000001</v>
      </c>
      <c r="N3406">
        <v>-1.075372E-2</v>
      </c>
      <c r="O3406">
        <v>2.7071999999999999E-3</v>
      </c>
      <c r="P3406">
        <v>-0.98667749999999999</v>
      </c>
      <c r="Q3406">
        <v>0.16263620000000001</v>
      </c>
      <c r="R3406">
        <v>4.1567640000000003E-3</v>
      </c>
      <c r="S3406">
        <v>-3.0674739999999998</v>
      </c>
      <c r="T3406">
        <v>-0.16373740000000001</v>
      </c>
      <c r="U3406">
        <v>6.6009520000000002E-2</v>
      </c>
      <c r="V3406">
        <v>1.480971E-3</v>
      </c>
      <c r="W3406">
        <v>0.17323749999999999</v>
      </c>
      <c r="X3406">
        <v>0.98487899999999995</v>
      </c>
      <c r="Y3406">
        <v>1.8777740000000001E-2</v>
      </c>
      <c r="Z3406">
        <v>4.8652400000000001E-4</v>
      </c>
      <c r="AA3406">
        <v>0.99982360000000003</v>
      </c>
      <c r="AB3406">
        <v>30</v>
      </c>
      <c r="AC3406">
        <v>-20.834599999999998</v>
      </c>
      <c r="AD3406">
        <v>-1.1211611039016001</v>
      </c>
      <c r="AE3406">
        <v>0.45149999999995299</v>
      </c>
      <c r="AF3406">
        <v>0.393951398044317</v>
      </c>
      <c r="AG3406">
        <v>-1.1211611039016001</v>
      </c>
      <c r="AH3406">
        <v>20.775612630595301</v>
      </c>
      <c r="AI3406">
        <v>93.088430568996699</v>
      </c>
      <c r="AJ3406">
        <v>88.913675948461403</v>
      </c>
      <c r="AK3406">
        <v>20.809571838494701</v>
      </c>
      <c r="AL3406">
        <v>80.023892558371003</v>
      </c>
      <c r="AM3406">
        <v>89.913843909834299</v>
      </c>
      <c r="AN3406">
        <v>1.0000000346611699</v>
      </c>
    </row>
    <row r="3407" spans="1:40" x14ac:dyDescent="0.25">
      <c r="A3407" t="str">
        <f>"20190303161941613"</f>
        <v>20190303161941613</v>
      </c>
      <c r="B3407" t="str">
        <f>"1551601181606320"</f>
        <v>1551601181606320</v>
      </c>
      <c r="C3407" t="s">
        <v>40</v>
      </c>
      <c r="D3407">
        <v>4.7619439999999997</v>
      </c>
      <c r="E3407">
        <v>0.50646880000000005</v>
      </c>
      <c r="F3407" t="s">
        <v>52</v>
      </c>
      <c r="G3407">
        <v>-343.6481</v>
      </c>
      <c r="H3407" s="1">
        <v>4.0455530000000001E-7</v>
      </c>
      <c r="I3407">
        <v>284.32830000000001</v>
      </c>
      <c r="J3407">
        <v>-322.08030000000002</v>
      </c>
      <c r="K3407">
        <v>1.121159</v>
      </c>
      <c r="L3407">
        <v>283.86410000000001</v>
      </c>
      <c r="M3407">
        <v>-0.99993849999999995</v>
      </c>
      <c r="N3407">
        <v>-1.0758149999999999E-2</v>
      </c>
      <c r="O3407">
        <v>2.6841080000000002E-3</v>
      </c>
      <c r="P3407">
        <v>-0.98677859999999995</v>
      </c>
      <c r="Q3407">
        <v>0.16201869999999999</v>
      </c>
      <c r="R3407">
        <v>4.2111850000000001E-3</v>
      </c>
      <c r="S3407">
        <v>-3.0661930000000002</v>
      </c>
      <c r="T3407">
        <v>-0.15776419999999999</v>
      </c>
      <c r="U3407">
        <v>6.5399170000000006E-2</v>
      </c>
      <c r="V3407">
        <v>1.5578279999999901E-3</v>
      </c>
      <c r="W3407">
        <v>0.1726251</v>
      </c>
      <c r="X3407">
        <v>0.98498640000000004</v>
      </c>
      <c r="Y3407">
        <v>1.8612989999999999E-2</v>
      </c>
      <c r="Z3407">
        <v>4.6955150000000003E-4</v>
      </c>
      <c r="AA3407">
        <v>0.99982669999999996</v>
      </c>
      <c r="AB3407">
        <v>30</v>
      </c>
      <c r="AC3407">
        <v>-21.567799999999899</v>
      </c>
      <c r="AD3407">
        <v>-1.1211585954446901</v>
      </c>
      <c r="AE3407">
        <v>0.464200000000005</v>
      </c>
      <c r="AF3407">
        <v>0.40521020680334102</v>
      </c>
      <c r="AG3407">
        <v>-1.1211585954446901</v>
      </c>
      <c r="AH3407">
        <v>21.510867922625199</v>
      </c>
      <c r="AI3407">
        <v>92.983060410708802</v>
      </c>
      <c r="AJ3407">
        <v>88.920820435120305</v>
      </c>
      <c r="AK3407">
        <v>21.543876872384502</v>
      </c>
      <c r="AL3407">
        <v>80.059517172205503</v>
      </c>
      <c r="AM3407">
        <v>89.909382611591596</v>
      </c>
      <c r="AN3407">
        <v>1.0000000300815199</v>
      </c>
    </row>
    <row r="3408" spans="1:40" x14ac:dyDescent="0.25">
      <c r="A3408" t="str">
        <f>"20190303161941627"</f>
        <v>20190303161941627</v>
      </c>
      <c r="B3408" t="str">
        <f>"1551601181616080"</f>
        <v>1551601181616080</v>
      </c>
      <c r="C3408" t="s">
        <v>40</v>
      </c>
      <c r="D3408">
        <v>4.7466269999999904</v>
      </c>
      <c r="E3408">
        <v>0.50634840000000003</v>
      </c>
      <c r="F3408" t="s">
        <v>52</v>
      </c>
      <c r="G3408">
        <v>-344.66890000000001</v>
      </c>
      <c r="H3408" s="1">
        <v>9.4773590000000004E-7</v>
      </c>
      <c r="I3408">
        <v>284.32029999999997</v>
      </c>
      <c r="J3408">
        <v>-322.27600000000001</v>
      </c>
      <c r="K3408">
        <v>1.121159</v>
      </c>
      <c r="L3408">
        <v>283.86470000000003</v>
      </c>
      <c r="M3408">
        <v>-0.99993849999999995</v>
      </c>
      <c r="N3408">
        <v>-1.076205E-2</v>
      </c>
      <c r="O3408">
        <v>2.6635809999999999E-3</v>
      </c>
      <c r="P3408">
        <v>-0.98680639999999997</v>
      </c>
      <c r="Q3408">
        <v>0.16185339999999901</v>
      </c>
      <c r="R3408">
        <v>4.0862290000000002E-3</v>
      </c>
      <c r="S3408">
        <v>-3.0649109999999999</v>
      </c>
      <c r="T3408">
        <v>-0.15212329999999999</v>
      </c>
      <c r="U3408">
        <v>6.1889649999999997E-2</v>
      </c>
      <c r="V3408">
        <v>1.4529580000000001E-3</v>
      </c>
      <c r="W3408">
        <v>0.17246400000000001</v>
      </c>
      <c r="X3408">
        <v>0.98501470000000002</v>
      </c>
      <c r="Y3408">
        <v>1.7501389999999999E-2</v>
      </c>
      <c r="Z3408">
        <v>4.2481939999999997E-4</v>
      </c>
      <c r="AA3408">
        <v>0.99984680000000004</v>
      </c>
      <c r="AB3408">
        <v>30</v>
      </c>
      <c r="AC3408">
        <v>-22.392900000000001</v>
      </c>
      <c r="AD3408">
        <v>-1.1211580522641</v>
      </c>
      <c r="AE3408">
        <v>0.45559999999994699</v>
      </c>
      <c r="AF3408">
        <v>0.39495996315521598</v>
      </c>
      <c r="AG3408">
        <v>-1.1211580522641</v>
      </c>
      <c r="AH3408">
        <v>22.338061133900901</v>
      </c>
      <c r="AI3408">
        <v>92.872843447997994</v>
      </c>
      <c r="AJ3408">
        <v>88.987057062308196</v>
      </c>
      <c r="AK3408">
        <v>22.369666156931</v>
      </c>
      <c r="AL3408">
        <v>80.068887274058795</v>
      </c>
      <c r="AM3408">
        <v>89.915485219832405</v>
      </c>
      <c r="AN3408">
        <v>0.99999995079951798</v>
      </c>
    </row>
    <row r="3409" spans="1:40" x14ac:dyDescent="0.25">
      <c r="A3409" t="str">
        <f>"20190303161941639"</f>
        <v>20190303161941639</v>
      </c>
      <c r="B3409" t="str">
        <f>"1551601181625840"</f>
        <v>1551601181625840</v>
      </c>
      <c r="C3409" t="s">
        <v>40</v>
      </c>
      <c r="D3409">
        <v>4.740456</v>
      </c>
      <c r="E3409">
        <v>0.50607659999999999</v>
      </c>
      <c r="F3409" t="s">
        <v>52</v>
      </c>
      <c r="G3409">
        <v>-345.43450000000001</v>
      </c>
      <c r="H3409" s="1">
        <v>1.355162E-6</v>
      </c>
      <c r="I3409">
        <v>284.32130000000001</v>
      </c>
      <c r="J3409">
        <v>-322.44110000000001</v>
      </c>
      <c r="K3409">
        <v>1.121151</v>
      </c>
      <c r="L3409">
        <v>283.86509999999998</v>
      </c>
      <c r="M3409">
        <v>-0.99993869999999896</v>
      </c>
      <c r="N3409">
        <v>-1.076527E-2</v>
      </c>
      <c r="O3409">
        <v>2.645863E-3</v>
      </c>
      <c r="P3409">
        <v>-0.98683069999999895</v>
      </c>
      <c r="Q3409">
        <v>0.1617034</v>
      </c>
      <c r="R3409">
        <v>4.1694059999999996E-3</v>
      </c>
      <c r="S3409">
        <v>-3.0641780000000001</v>
      </c>
      <c r="T3409">
        <v>-0.14834449999999999</v>
      </c>
      <c r="U3409">
        <v>6.0424800000000001E-2</v>
      </c>
      <c r="V3409">
        <v>1.5536580000000001E-3</v>
      </c>
      <c r="W3409">
        <v>0.1723179</v>
      </c>
      <c r="X3409">
        <v>0.98504020000000003</v>
      </c>
      <c r="Y3409">
        <v>1.704781E-2</v>
      </c>
      <c r="Z3409">
        <v>4.0468550000000001E-4</v>
      </c>
      <c r="AA3409">
        <v>0.99985460000000004</v>
      </c>
      <c r="AB3409">
        <v>30</v>
      </c>
      <c r="AC3409">
        <v>-22.993400000000001</v>
      </c>
      <c r="AD3409">
        <v>-1.1211496448379901</v>
      </c>
      <c r="AE3409">
        <v>0.45620000000002298</v>
      </c>
      <c r="AF3409">
        <v>0.39442013467287301</v>
      </c>
      <c r="AG3409">
        <v>-1.1211496448379901</v>
      </c>
      <c r="AH3409">
        <v>22.940008179026499</v>
      </c>
      <c r="AI3409">
        <v>92.797584037557201</v>
      </c>
      <c r="AJ3409">
        <v>89.014979313098607</v>
      </c>
      <c r="AK3409">
        <v>22.970775324802599</v>
      </c>
      <c r="AL3409">
        <v>80.077386251468198</v>
      </c>
      <c r="AM3409">
        <v>89.909630112162603</v>
      </c>
      <c r="AN3409">
        <v>1.0000000340648101</v>
      </c>
    </row>
    <row r="3410" spans="1:40" x14ac:dyDescent="0.25">
      <c r="A3410" t="str">
        <f>"20190303161941658"</f>
        <v>20190303161941658</v>
      </c>
      <c r="B3410" t="str">
        <f>"1551601181646336"</f>
        <v>1551601181646336</v>
      </c>
      <c r="C3410" t="s">
        <v>40</v>
      </c>
      <c r="D3410">
        <v>4.8451320000000004</v>
      </c>
      <c r="E3410">
        <v>0.50592109999999901</v>
      </c>
      <c r="F3410" t="s">
        <v>52</v>
      </c>
      <c r="G3410">
        <v>-345.8673</v>
      </c>
      <c r="H3410" s="1">
        <v>1.5854849999999999E-6</v>
      </c>
      <c r="I3410">
        <v>284.31169999999997</v>
      </c>
      <c r="J3410">
        <v>-322.6875</v>
      </c>
      <c r="K3410">
        <v>1.121148</v>
      </c>
      <c r="L3410">
        <v>283.8657</v>
      </c>
      <c r="M3410">
        <v>-0.99993860000000001</v>
      </c>
      <c r="N3410">
        <v>-1.077001E-2</v>
      </c>
      <c r="O3410">
        <v>2.6196150000000001E-3</v>
      </c>
      <c r="P3410">
        <v>-0.98683480000000001</v>
      </c>
      <c r="Q3410">
        <v>0.161685</v>
      </c>
      <c r="R3410">
        <v>3.8900369999999998E-3</v>
      </c>
      <c r="S3410">
        <v>-3.0637819999999998</v>
      </c>
      <c r="T3410">
        <v>-0.14662900000000001</v>
      </c>
      <c r="U3410">
        <v>5.841064E-2</v>
      </c>
      <c r="V3410">
        <v>1.3003190000000001E-3</v>
      </c>
      <c r="W3410">
        <v>0.17230429999999999</v>
      </c>
      <c r="X3410">
        <v>0.98504290000000005</v>
      </c>
      <c r="Y3410">
        <v>1.6420839999999999E-2</v>
      </c>
      <c r="Z3410">
        <v>3.8409099999999998E-4</v>
      </c>
      <c r="AA3410">
        <v>0.99986509999999995</v>
      </c>
      <c r="AB3410">
        <v>30</v>
      </c>
      <c r="AC3410">
        <v>-23.1798</v>
      </c>
      <c r="AD3410">
        <v>-1.1211464145150001</v>
      </c>
      <c r="AE3410">
        <v>0.44599999999996898</v>
      </c>
      <c r="AF3410">
        <v>0.38437392428662898</v>
      </c>
      <c r="AG3410">
        <v>-1.1211464145150001</v>
      </c>
      <c r="AH3410">
        <v>23.126805943714899</v>
      </c>
      <c r="AI3410">
        <v>92.7750419702855</v>
      </c>
      <c r="AJ3410">
        <v>89.047815933819606</v>
      </c>
      <c r="AK3410">
        <v>23.157155821790798</v>
      </c>
      <c r="AL3410">
        <v>80.078176851866999</v>
      </c>
      <c r="AM3410">
        <v>89.924365987059701</v>
      </c>
      <c r="AN3410">
        <v>0.99999998873420004</v>
      </c>
    </row>
    <row r="3411" spans="1:40" x14ac:dyDescent="0.25">
      <c r="A3411" t="str">
        <f>"20190303161941669"</f>
        <v>20190303161941669</v>
      </c>
      <c r="B3411" t="str">
        <f>"1551601181656096"</f>
        <v>1551601181656096</v>
      </c>
      <c r="C3411" t="s">
        <v>40</v>
      </c>
      <c r="D3411">
        <v>4.752599</v>
      </c>
      <c r="E3411">
        <v>0.50572379999999995</v>
      </c>
      <c r="F3411" t="s">
        <v>52</v>
      </c>
      <c r="G3411">
        <v>-345.93329999999997</v>
      </c>
      <c r="H3411" s="1">
        <v>1.6206500000000001E-6</v>
      </c>
      <c r="I3411">
        <v>284.29169999999999</v>
      </c>
      <c r="J3411">
        <v>-322.84190000000001</v>
      </c>
      <c r="K3411">
        <v>1.121146</v>
      </c>
      <c r="L3411">
        <v>283.86610000000002</v>
      </c>
      <c r="M3411">
        <v>-0.99993869999999896</v>
      </c>
      <c r="N3411">
        <v>-1.077294E-2</v>
      </c>
      <c r="O3411">
        <v>2.6029109999999999E-3</v>
      </c>
      <c r="P3411">
        <v>-0.98685929999999999</v>
      </c>
      <c r="Q3411">
        <v>0.16153979999999901</v>
      </c>
      <c r="R3411">
        <v>3.758646E-3</v>
      </c>
      <c r="S3411">
        <v>-3.0640260000000001</v>
      </c>
      <c r="T3411">
        <v>-0.14777779999999999</v>
      </c>
      <c r="U3411">
        <v>5.6152340000000002E-2</v>
      </c>
      <c r="V3411">
        <v>1.1854739999999999E-3</v>
      </c>
      <c r="W3411">
        <v>0.17216199999999901</v>
      </c>
      <c r="X3411">
        <v>0.98506800000000005</v>
      </c>
      <c r="Y3411">
        <v>1.5700059999999998E-2</v>
      </c>
      <c r="Z3411">
        <v>3.6556559999999997E-4</v>
      </c>
      <c r="AA3411">
        <v>0.99987669999999995</v>
      </c>
      <c r="AB3411">
        <v>30</v>
      </c>
      <c r="AC3411">
        <v>-23.091399999999901</v>
      </c>
      <c r="AD3411">
        <v>-1.12114437935</v>
      </c>
      <c r="AE3411">
        <v>0.425599999999974</v>
      </c>
      <c r="AF3411">
        <v>0.36463095012002</v>
      </c>
      <c r="AG3411">
        <v>-1.12114437935</v>
      </c>
      <c r="AH3411">
        <v>23.038139303774901</v>
      </c>
      <c r="AI3411">
        <v>92.785736178454101</v>
      </c>
      <c r="AJ3411">
        <v>89.093239691638104</v>
      </c>
      <c r="AK3411">
        <v>23.0682852208237</v>
      </c>
      <c r="AL3411">
        <v>80.086454464034702</v>
      </c>
      <c r="AM3411">
        <v>89.931047781338705</v>
      </c>
      <c r="AN3411">
        <v>1.0000000621083001</v>
      </c>
    </row>
    <row r="3412" spans="1:40" x14ac:dyDescent="0.25">
      <c r="A3412" t="str">
        <f>"20190303161941682"</f>
        <v>20190303161941682</v>
      </c>
      <c r="B3412" t="str">
        <f>"1551601181675615"</f>
        <v>1551601181675615</v>
      </c>
      <c r="C3412" t="s">
        <v>40</v>
      </c>
      <c r="D3412">
        <v>4.7430209999999997</v>
      </c>
      <c r="E3412">
        <v>0.50542419999999999</v>
      </c>
      <c r="F3412" t="s">
        <v>52</v>
      </c>
      <c r="G3412">
        <v>-346.07819999999998</v>
      </c>
      <c r="H3412" s="1">
        <v>1.6977339999999999E-6</v>
      </c>
      <c r="I3412">
        <v>284.27730000000003</v>
      </c>
      <c r="J3412">
        <v>-323.02370000000002</v>
      </c>
      <c r="K3412">
        <v>1.1211439999999999</v>
      </c>
      <c r="L3412">
        <v>283.86649999999997</v>
      </c>
      <c r="M3412">
        <v>-0.99993869999999896</v>
      </c>
      <c r="N3412">
        <v>-1.077636E-2</v>
      </c>
      <c r="O3412">
        <v>2.5837E-3</v>
      </c>
      <c r="P3412">
        <v>-0.98688810000000005</v>
      </c>
      <c r="Q3412">
        <v>0.16137070000000001</v>
      </c>
      <c r="R3412">
        <v>3.3995700000000002E-3</v>
      </c>
      <c r="S3412">
        <v>-3.0639340000000002</v>
      </c>
      <c r="T3412">
        <v>-0.14783389999999999</v>
      </c>
      <c r="U3412">
        <v>5.4229739999999999E-2</v>
      </c>
      <c r="V3412">
        <v>8.4513009999999996E-4</v>
      </c>
      <c r="W3412">
        <v>0.1719967</v>
      </c>
      <c r="X3412">
        <v>0.98509720000000001</v>
      </c>
      <c r="Y3412">
        <v>1.509344E-2</v>
      </c>
      <c r="Z3412">
        <v>3.485289E-4</v>
      </c>
      <c r="AA3412">
        <v>0.99988600000000005</v>
      </c>
      <c r="AB3412">
        <v>30</v>
      </c>
      <c r="AC3412">
        <v>-23.054499999999901</v>
      </c>
      <c r="AD3412">
        <v>-1.1211423022660001</v>
      </c>
      <c r="AE3412">
        <v>0.41080000000005101</v>
      </c>
      <c r="AF3412">
        <v>0.35040086946635801</v>
      </c>
      <c r="AG3412">
        <v>-1.1211423022660001</v>
      </c>
      <c r="AH3412">
        <v>23.001106774383501</v>
      </c>
      <c r="AI3412">
        <v>92.790234719450197</v>
      </c>
      <c r="AJ3412">
        <v>89.127218604251297</v>
      </c>
      <c r="AK3412">
        <v>23.031080167413801</v>
      </c>
      <c r="AL3412">
        <v>80.096068614390802</v>
      </c>
      <c r="AM3412">
        <v>89.950845078039407</v>
      </c>
      <c r="AN3412">
        <v>1.0000000362518</v>
      </c>
    </row>
    <row r="3413" spans="1:40" x14ac:dyDescent="0.25">
      <c r="A3413" t="str">
        <f>"20190303161941703"</f>
        <v>20190303161941703</v>
      </c>
      <c r="B3413" t="str">
        <f>"1551601181696112"</f>
        <v>1551601181696112</v>
      </c>
      <c r="C3413" t="s">
        <v>40</v>
      </c>
      <c r="D3413">
        <v>4.7661709999999999</v>
      </c>
      <c r="E3413">
        <v>0.50490579999999996</v>
      </c>
      <c r="F3413" t="s">
        <v>52</v>
      </c>
      <c r="G3413">
        <v>-346.4502</v>
      </c>
      <c r="H3413" s="1">
        <v>1.8956699999999999E-6</v>
      </c>
      <c r="I3413">
        <v>284.255</v>
      </c>
      <c r="J3413">
        <v>-323.29500000000002</v>
      </c>
      <c r="K3413">
        <v>1.1211469999999999</v>
      </c>
      <c r="L3413">
        <v>283.86720000000003</v>
      </c>
      <c r="M3413">
        <v>-0.99993869999999896</v>
      </c>
      <c r="N3413">
        <v>-1.078145E-2</v>
      </c>
      <c r="O3413">
        <v>2.5550619999999999E-3</v>
      </c>
      <c r="P3413">
        <v>-0.98691050000000002</v>
      </c>
      <c r="Q3413">
        <v>0.1612421</v>
      </c>
      <c r="R3413">
        <v>3.0001490000000001E-3</v>
      </c>
      <c r="S3413">
        <v>-3.0636290000000002</v>
      </c>
      <c r="T3413">
        <v>-0.14661879999999999</v>
      </c>
      <c r="U3413">
        <v>5.0811769999999999E-2</v>
      </c>
      <c r="V3413">
        <v>4.7409330000000002E-4</v>
      </c>
      <c r="W3413">
        <v>0.1718731</v>
      </c>
      <c r="X3413">
        <v>0.98511899999999997</v>
      </c>
      <c r="Y3413">
        <v>1.4010399999999999E-2</v>
      </c>
      <c r="Z3413">
        <v>3.159592E-4</v>
      </c>
      <c r="AA3413">
        <v>0.99990179999999995</v>
      </c>
      <c r="AB3413">
        <v>30</v>
      </c>
      <c r="AC3413">
        <v>-23.155199999999901</v>
      </c>
      <c r="AD3413">
        <v>-1.12114510432999</v>
      </c>
      <c r="AE3413">
        <v>0.38779999999997</v>
      </c>
      <c r="AF3413">
        <v>0.32786390909934399</v>
      </c>
      <c r="AG3413">
        <v>-1.12114510432999</v>
      </c>
      <c r="AH3413">
        <v>23.101970886095401</v>
      </c>
      <c r="AI3413">
        <v>92.778121020834604</v>
      </c>
      <c r="AJ3413">
        <v>89.186911052285893</v>
      </c>
      <c r="AK3413">
        <v>23.131483305440099</v>
      </c>
      <c r="AL3413">
        <v>80.103257220706993</v>
      </c>
      <c r="AM3413">
        <v>89.972426130154403</v>
      </c>
      <c r="AN3413">
        <v>1.0000000157145299</v>
      </c>
    </row>
    <row r="3414" spans="1:40" x14ac:dyDescent="0.25">
      <c r="A3414" t="str">
        <f>"20190303161941725"</f>
        <v>20190303161941725</v>
      </c>
      <c r="B3414" t="str">
        <f>"1551601181715632"</f>
        <v>1551601181715632</v>
      </c>
      <c r="C3414" t="s">
        <v>40</v>
      </c>
      <c r="D3414">
        <v>4.7907279999999997</v>
      </c>
      <c r="E3414">
        <v>0.50493529999999998</v>
      </c>
      <c r="F3414" t="s">
        <v>52</v>
      </c>
      <c r="G3414">
        <v>-347.34859999999998</v>
      </c>
      <c r="H3414" s="1">
        <v>2.3737499999999999E-6</v>
      </c>
      <c r="I3414">
        <v>284.2276</v>
      </c>
      <c r="J3414">
        <v>-323.59190000000001</v>
      </c>
      <c r="K3414">
        <v>1.121149</v>
      </c>
      <c r="L3414">
        <v>283.86790000000002</v>
      </c>
      <c r="M3414">
        <v>-0.99993860000000001</v>
      </c>
      <c r="N3414">
        <v>-1.078701E-2</v>
      </c>
      <c r="O3414">
        <v>2.5242120000000001E-3</v>
      </c>
      <c r="P3414">
        <v>-0.98689559999999998</v>
      </c>
      <c r="Q3414">
        <v>0.16133549999999999</v>
      </c>
      <c r="R3414">
        <v>2.830637E-3</v>
      </c>
      <c r="S3414">
        <v>-3.0629879999999998</v>
      </c>
      <c r="T3414">
        <v>-0.14276720000000001</v>
      </c>
      <c r="U3414">
        <v>4.5898439999999999E-2</v>
      </c>
      <c r="V3414">
        <v>3.3464269999999998E-4</v>
      </c>
      <c r="W3414">
        <v>0.17197219999999999</v>
      </c>
      <c r="X3414">
        <v>0.98510180000000003</v>
      </c>
      <c r="Y3414">
        <v>1.244403E-2</v>
      </c>
      <c r="Z3414">
        <v>2.6663799999999998E-4</v>
      </c>
      <c r="AA3414">
        <v>0.99992250000000005</v>
      </c>
      <c r="AB3414">
        <v>30</v>
      </c>
      <c r="AC3414">
        <v>-23.756699999999899</v>
      </c>
      <c r="AD3414">
        <v>-1.1211466262500001</v>
      </c>
      <c r="AE3414">
        <v>0.35969999999997498</v>
      </c>
      <c r="AF3414">
        <v>0.29906250637756998</v>
      </c>
      <c r="AG3414">
        <v>-1.1211466262500001</v>
      </c>
      <c r="AH3414">
        <v>23.704750003732599</v>
      </c>
      <c r="AI3414">
        <v>92.707644494630202</v>
      </c>
      <c r="AJ3414">
        <v>89.277186622935702</v>
      </c>
      <c r="AK3414">
        <v>23.733132555137601</v>
      </c>
      <c r="AL3414">
        <v>80.097493760734196</v>
      </c>
      <c r="AM3414">
        <v>89.980536413985504</v>
      </c>
      <c r="AN3414">
        <v>1.0000000529609001</v>
      </c>
    </row>
    <row r="3415" spans="1:40" x14ac:dyDescent="0.25">
      <c r="A3415" t="str">
        <f>"20190303161941738"</f>
        <v>20190303161941738</v>
      </c>
      <c r="B3415" t="str">
        <f>"1551601181726368"</f>
        <v>1551601181726368</v>
      </c>
      <c r="C3415" t="s">
        <v>40</v>
      </c>
      <c r="D3415">
        <v>4.711284</v>
      </c>
      <c r="E3415">
        <v>0.50462810000000002</v>
      </c>
      <c r="F3415" t="s">
        <v>52</v>
      </c>
      <c r="G3415">
        <v>-348.11750000000001</v>
      </c>
      <c r="H3415" s="1">
        <v>2.782921E-6</v>
      </c>
      <c r="I3415">
        <v>284.23009999999999</v>
      </c>
      <c r="J3415">
        <v>-323.77620000000002</v>
      </c>
      <c r="K3415">
        <v>1.1211469999999999</v>
      </c>
      <c r="L3415">
        <v>283.86829999999998</v>
      </c>
      <c r="M3415">
        <v>-0.99993869999999896</v>
      </c>
      <c r="N3415">
        <v>-1.079046E-2</v>
      </c>
      <c r="O3415">
        <v>2.5044659999999999E-3</v>
      </c>
      <c r="P3415">
        <v>-0.98687639999999999</v>
      </c>
      <c r="Q3415">
        <v>0.16145489999999901</v>
      </c>
      <c r="R3415">
        <v>2.6933600000000001E-3</v>
      </c>
      <c r="S3415">
        <v>-3.0626220000000002</v>
      </c>
      <c r="T3415">
        <v>-0.14000270000000001</v>
      </c>
      <c r="U3415">
        <v>4.5227049999999998E-2</v>
      </c>
      <c r="V3415">
        <v>2.1690580000000001E-4</v>
      </c>
      <c r="W3415">
        <v>0.17209430000000001</v>
      </c>
      <c r="X3415">
        <v>0.98508039999999997</v>
      </c>
      <c r="Y3415">
        <v>1.224715E-2</v>
      </c>
      <c r="Z3415">
        <v>2.5848430000000001E-4</v>
      </c>
      <c r="AA3415">
        <v>0.99992499999999995</v>
      </c>
      <c r="AB3415">
        <v>30</v>
      </c>
      <c r="AC3415">
        <v>-24.341299999999901</v>
      </c>
      <c r="AD3415">
        <v>-1.12114421707899</v>
      </c>
      <c r="AE3415">
        <v>0.361800000000016</v>
      </c>
      <c r="AF3415">
        <v>0.300196645623025</v>
      </c>
      <c r="AG3415">
        <v>-1.12114421707899</v>
      </c>
      <c r="AH3415">
        <v>24.2906095781236</v>
      </c>
      <c r="AI3415">
        <v>92.6424359652258</v>
      </c>
      <c r="AJ3415">
        <v>89.291943449590605</v>
      </c>
      <c r="AK3415">
        <v>24.318322229511701</v>
      </c>
      <c r="AL3415">
        <v>80.090390985693801</v>
      </c>
      <c r="AM3415">
        <v>89.987383987447998</v>
      </c>
      <c r="AN3415">
        <v>0.99999994480238596</v>
      </c>
    </row>
    <row r="3416" spans="1:40" x14ac:dyDescent="0.25">
      <c r="A3416" t="str">
        <f>"20190303161941750"</f>
        <v>20190303161941750</v>
      </c>
      <c r="B3416" t="str">
        <f>"1551601181736128"</f>
        <v>1551601181736128</v>
      </c>
      <c r="C3416" t="s">
        <v>40</v>
      </c>
      <c r="D3416">
        <v>4.8480730000000003</v>
      </c>
      <c r="E3416">
        <v>0.50420920000000002</v>
      </c>
      <c r="F3416" t="s">
        <v>52</v>
      </c>
      <c r="G3416">
        <v>-348.73250000000002</v>
      </c>
      <c r="H3416" s="1">
        <v>3.110195E-6</v>
      </c>
      <c r="I3416">
        <v>284.20929999999998</v>
      </c>
      <c r="J3416">
        <v>-323.93439999999998</v>
      </c>
      <c r="K3416">
        <v>1.1211500000000001</v>
      </c>
      <c r="L3416">
        <v>283.86869999999999</v>
      </c>
      <c r="M3416">
        <v>-0.99993880000000002</v>
      </c>
      <c r="N3416">
        <v>-1.079342E-2</v>
      </c>
      <c r="O3416">
        <v>2.487642E-3</v>
      </c>
      <c r="P3416">
        <v>-0.98691530000000005</v>
      </c>
      <c r="Q3416">
        <v>0.16121759999999999</v>
      </c>
      <c r="R3416">
        <v>2.7243300000000001E-3</v>
      </c>
      <c r="S3416">
        <v>-3.0622859999999998</v>
      </c>
      <c r="T3416">
        <v>-0.13757130000000001</v>
      </c>
      <c r="U3416">
        <v>4.1839599999999998E-2</v>
      </c>
      <c r="V3416">
        <v>2.645635E-4</v>
      </c>
      <c r="W3416">
        <v>0.1718604</v>
      </c>
      <c r="X3416">
        <v>0.98512129999999998</v>
      </c>
      <c r="Y3416">
        <v>1.116148E-2</v>
      </c>
      <c r="Z3416">
        <v>2.2599649999999999E-4</v>
      </c>
      <c r="AA3416">
        <v>0.99993770000000004</v>
      </c>
      <c r="AB3416">
        <v>30</v>
      </c>
      <c r="AC3416">
        <v>-24.798100000000002</v>
      </c>
      <c r="AD3416">
        <v>-1.1211468898049901</v>
      </c>
      <c r="AE3416">
        <v>0.34059999999999402</v>
      </c>
      <c r="AF3416">
        <v>0.278337741607454</v>
      </c>
      <c r="AG3416">
        <v>-1.1211468898049901</v>
      </c>
      <c r="AH3416">
        <v>24.748293776491799</v>
      </c>
      <c r="AI3416">
        <v>92.5936754182448</v>
      </c>
      <c r="AJ3416">
        <v>89.355636163477897</v>
      </c>
      <c r="AK3416">
        <v>24.775239395300801</v>
      </c>
      <c r="AL3416">
        <v>80.103995924822897</v>
      </c>
      <c r="AM3416">
        <v>89.984612685159902</v>
      </c>
      <c r="AN3416">
        <v>1.0000000213978399</v>
      </c>
    </row>
    <row r="3417" spans="1:40" x14ac:dyDescent="0.25">
      <c r="A3417" t="str">
        <f>"20190303161941763"</f>
        <v>20190303161941763</v>
      </c>
      <c r="B3417" t="str">
        <f>"1551601181755648"</f>
        <v>1551601181755648</v>
      </c>
      <c r="C3417" t="s">
        <v>40</v>
      </c>
      <c r="D3417">
        <v>4.6278230000000002</v>
      </c>
      <c r="E3417">
        <v>0.50351859999999904</v>
      </c>
      <c r="F3417" t="s">
        <v>52</v>
      </c>
      <c r="G3417">
        <v>-349.50760000000002</v>
      </c>
      <c r="H3417" s="1">
        <v>3.5226730000000001E-6</v>
      </c>
      <c r="I3417">
        <v>284.19170000000003</v>
      </c>
      <c r="J3417">
        <v>-324.10919999999999</v>
      </c>
      <c r="K3417">
        <v>1.1211500000000001</v>
      </c>
      <c r="L3417">
        <v>283.86919999999998</v>
      </c>
      <c r="M3417">
        <v>-0.99993880000000002</v>
      </c>
      <c r="N3417">
        <v>-1.0796689999999999E-2</v>
      </c>
      <c r="O3417">
        <v>2.4694449999999998E-3</v>
      </c>
      <c r="P3417">
        <v>-0.98694040000000005</v>
      </c>
      <c r="Q3417">
        <v>0.161054799999999</v>
      </c>
      <c r="R3417">
        <v>3.1545800000000001E-3</v>
      </c>
      <c r="S3417">
        <v>-3.0615839999999999</v>
      </c>
      <c r="T3417">
        <v>-0.13422200000000001</v>
      </c>
      <c r="U3417">
        <v>3.8665770000000002E-2</v>
      </c>
      <c r="V3417">
        <v>7.1257869999999997E-4</v>
      </c>
      <c r="W3417">
        <v>0.1717012</v>
      </c>
      <c r="X3417">
        <v>0.98514880000000005</v>
      </c>
      <c r="Y3417">
        <v>1.014809E-2</v>
      </c>
      <c r="Z3417">
        <v>1.956002E-4</v>
      </c>
      <c r="AA3417">
        <v>0.99994850000000002</v>
      </c>
      <c r="AB3417">
        <v>30</v>
      </c>
      <c r="AC3417">
        <v>-25.398399999999999</v>
      </c>
      <c r="AD3417">
        <v>-1.1211464773269999</v>
      </c>
      <c r="AE3417">
        <v>0.32250000000004703</v>
      </c>
      <c r="AF3417">
        <v>0.25927029703390497</v>
      </c>
      <c r="AG3417">
        <v>-1.1211464773269999</v>
      </c>
      <c r="AH3417">
        <v>25.349731684270701</v>
      </c>
      <c r="AI3417">
        <v>92.5322466877697</v>
      </c>
      <c r="AJ3417">
        <v>89.414014475153806</v>
      </c>
      <c r="AK3417">
        <v>25.375836675370198</v>
      </c>
      <c r="AL3417">
        <v>80.113254674267296</v>
      </c>
      <c r="AM3417">
        <v>89.958556773392303</v>
      </c>
      <c r="AN3417">
        <v>0.99999998399564105</v>
      </c>
    </row>
    <row r="3418" spans="1:40" x14ac:dyDescent="0.25">
      <c r="A3418" t="str">
        <f>"20190303161941776"</f>
        <v>20190303161941776</v>
      </c>
      <c r="B3418" t="str">
        <f>"1551601181766384"</f>
        <v>1551601181766384</v>
      </c>
      <c r="C3418" t="s">
        <v>40</v>
      </c>
      <c r="D3418">
        <v>4.5867659999999999</v>
      </c>
      <c r="E3418">
        <v>0.50326959999999998</v>
      </c>
      <c r="F3418" t="s">
        <v>52</v>
      </c>
      <c r="G3418">
        <v>-351.05110000000002</v>
      </c>
      <c r="H3418" s="1">
        <v>-9.7745320000000002E-7</v>
      </c>
      <c r="I3418">
        <v>284.173</v>
      </c>
      <c r="J3418">
        <v>-324.27089999999998</v>
      </c>
      <c r="K3418">
        <v>1.121154</v>
      </c>
      <c r="L3418">
        <v>283.86950000000002</v>
      </c>
      <c r="M3418">
        <v>-0.99993880000000002</v>
      </c>
      <c r="N3418">
        <v>-1.0799700000000001E-2</v>
      </c>
      <c r="O3418">
        <v>2.452381E-3</v>
      </c>
      <c r="P3418">
        <v>-0.9869388</v>
      </c>
      <c r="Q3418">
        <v>0.16106389999999901</v>
      </c>
      <c r="R3418">
        <v>3.1962840000000002E-3</v>
      </c>
      <c r="S3418">
        <v>-3.0603639999999999</v>
      </c>
      <c r="T3418">
        <v>-0.1273531</v>
      </c>
      <c r="U3418">
        <v>3.4515379999999998E-2</v>
      </c>
      <c r="V3418">
        <v>7.710735E-4</v>
      </c>
      <c r="W3418">
        <v>0.17171339999999999</v>
      </c>
      <c r="X3418">
        <v>0.98514659999999998</v>
      </c>
      <c r="Y3418">
        <v>8.816628E-3</v>
      </c>
      <c r="Z3418">
        <v>1.5547010000000001E-4</v>
      </c>
      <c r="AA3418">
        <v>0.99996110000000005</v>
      </c>
      <c r="AB3418">
        <v>30</v>
      </c>
      <c r="AC3418">
        <v>-26.780200000000001</v>
      </c>
      <c r="AD3418">
        <v>-1.1211549774531999</v>
      </c>
      <c r="AE3418">
        <v>0.303499999999985</v>
      </c>
      <c r="AF3418">
        <v>0.23740397079174599</v>
      </c>
      <c r="AG3418">
        <v>-1.1211549774531999</v>
      </c>
      <c r="AH3418">
        <v>26.734013535808099</v>
      </c>
      <c r="AI3418">
        <v>92.401334190000597</v>
      </c>
      <c r="AJ3418">
        <v>89.491214141320597</v>
      </c>
      <c r="AK3418">
        <v>26.758565523241099</v>
      </c>
      <c r="AL3418">
        <v>80.112544836921202</v>
      </c>
      <c r="AM3418">
        <v>89.955154645793101</v>
      </c>
      <c r="AN3418">
        <v>0.99999995489272997</v>
      </c>
    </row>
    <row r="3419" spans="1:40" x14ac:dyDescent="0.25">
      <c r="A3419" t="str">
        <f>"20190303161941792"</f>
        <v>20190303161941792</v>
      </c>
      <c r="B3419" t="str">
        <f>"1551601181785904"</f>
        <v>1551601181785904</v>
      </c>
      <c r="C3419" t="s">
        <v>40</v>
      </c>
      <c r="D3419">
        <v>4.5489670000000002</v>
      </c>
      <c r="E3419">
        <v>0.50281999999999905</v>
      </c>
      <c r="F3419" t="s">
        <v>52</v>
      </c>
      <c r="G3419">
        <v>-352.02429999999998</v>
      </c>
      <c r="H3419" s="1">
        <v>-4.5955309999999998E-7</v>
      </c>
      <c r="I3419">
        <v>284.16899999999998</v>
      </c>
      <c r="J3419">
        <v>-324.49380000000002</v>
      </c>
      <c r="K3419">
        <v>1.121151</v>
      </c>
      <c r="L3419">
        <v>283.87009999999998</v>
      </c>
      <c r="M3419">
        <v>-0.99993880000000002</v>
      </c>
      <c r="N3419">
        <v>-1.080383E-2</v>
      </c>
      <c r="O3419">
        <v>2.428992E-3</v>
      </c>
      <c r="P3419">
        <v>-0.98700370000000004</v>
      </c>
      <c r="Q3419">
        <v>0.16066269999999999</v>
      </c>
      <c r="R3419">
        <v>3.4490060000000001E-3</v>
      </c>
      <c r="S3419">
        <v>-3.0597840000000001</v>
      </c>
      <c r="T3419">
        <v>-0.1236061</v>
      </c>
      <c r="U3419">
        <v>3.3020019999999997E-2</v>
      </c>
      <c r="V3419">
        <v>1.0469539999999999E-3</v>
      </c>
      <c r="W3419">
        <v>0.17131689999999999</v>
      </c>
      <c r="X3419">
        <v>0.98521539999999996</v>
      </c>
      <c r="Y3419">
        <v>8.3543909999999992E-3</v>
      </c>
      <c r="Z3419">
        <v>1.41982E-4</v>
      </c>
      <c r="AA3419">
        <v>0.99996510000000005</v>
      </c>
      <c r="AB3419">
        <v>30</v>
      </c>
      <c r="AC3419">
        <v>-27.5304999999999</v>
      </c>
      <c r="AD3419">
        <v>-1.1211514595531</v>
      </c>
      <c r="AE3419">
        <v>0.29890000000006001</v>
      </c>
      <c r="AF3419">
        <v>0.231639742535166</v>
      </c>
      <c r="AG3419">
        <v>-1.1211514595531</v>
      </c>
      <c r="AH3419">
        <v>27.4855669880479</v>
      </c>
      <c r="AI3419">
        <v>92.335748706915794</v>
      </c>
      <c r="AJ3419">
        <v>89.517140562687899</v>
      </c>
      <c r="AK3419">
        <v>27.509398943271201</v>
      </c>
      <c r="AL3419">
        <v>80.135604575915707</v>
      </c>
      <c r="AM3419">
        <v>89.939113798906803</v>
      </c>
      <c r="AN3419">
        <v>0.99999998036772297</v>
      </c>
    </row>
    <row r="3420" spans="1:40" x14ac:dyDescent="0.25">
      <c r="A3420" t="str">
        <f>"20190303161941806"</f>
        <v>20190303161941806</v>
      </c>
      <c r="B3420" t="str">
        <f>"1551601181795664"</f>
        <v>1551601181795664</v>
      </c>
      <c r="C3420" t="s">
        <v>40</v>
      </c>
      <c r="D3420">
        <v>4.5141739999999997</v>
      </c>
      <c r="E3420">
        <v>0.50264010000000003</v>
      </c>
      <c r="F3420" t="s">
        <v>52</v>
      </c>
      <c r="G3420">
        <v>-353.37540000000001</v>
      </c>
      <c r="H3420" s="1">
        <v>2.5943920000000001E-7</v>
      </c>
      <c r="I3420">
        <v>284.15820000000002</v>
      </c>
      <c r="J3420">
        <v>-324.68029999999999</v>
      </c>
      <c r="K3420">
        <v>1.121148</v>
      </c>
      <c r="L3420">
        <v>283.87049999999999</v>
      </c>
      <c r="M3420">
        <v>-0.99993869999999896</v>
      </c>
      <c r="N3420">
        <v>-1.0807270000000001E-2</v>
      </c>
      <c r="O3420">
        <v>2.4099569999999999E-3</v>
      </c>
      <c r="P3420">
        <v>-0.98702639999999997</v>
      </c>
      <c r="Q3420">
        <v>0.16052049999999901</v>
      </c>
      <c r="R3420">
        <v>3.468067E-3</v>
      </c>
      <c r="S3420">
        <v>-3.0587770000000001</v>
      </c>
      <c r="T3420">
        <v>-0.1187381</v>
      </c>
      <c r="U3420">
        <v>3.0517579999999999E-2</v>
      </c>
      <c r="V3420">
        <v>1.084415E-3</v>
      </c>
      <c r="W3420">
        <v>0.17117829999999901</v>
      </c>
      <c r="X3420">
        <v>0.98523939999999999</v>
      </c>
      <c r="Y3420">
        <v>7.5602129999999997E-3</v>
      </c>
      <c r="Z3420">
        <v>1.200792E-4</v>
      </c>
      <c r="AA3420">
        <v>0.99997139999999995</v>
      </c>
      <c r="AB3420">
        <v>30</v>
      </c>
      <c r="AC3420">
        <v>-28.6951</v>
      </c>
      <c r="AD3420">
        <v>-1.1211477405607999</v>
      </c>
      <c r="AE3420">
        <v>0.28770000000002899</v>
      </c>
      <c r="AF3420">
        <v>0.21820809732746699</v>
      </c>
      <c r="AG3420">
        <v>-1.1211477405607999</v>
      </c>
      <c r="AH3420">
        <v>28.651975852029999</v>
      </c>
      <c r="AI3420">
        <v>92.240767574890498</v>
      </c>
      <c r="AJ3420">
        <v>89.563654479197197</v>
      </c>
      <c r="AK3420">
        <v>28.674732906431998</v>
      </c>
      <c r="AL3420">
        <v>80.143664343969206</v>
      </c>
      <c r="AM3420">
        <v>89.936936771255304</v>
      </c>
      <c r="AN3420">
        <v>0.99999993082956795</v>
      </c>
    </row>
    <row r="3421" spans="1:40" x14ac:dyDescent="0.25">
      <c r="A3421" t="str">
        <f>"20190303161941822"</f>
        <v>20190303161941822</v>
      </c>
      <c r="B3421" t="str">
        <f>"1551601181816161"</f>
        <v>1551601181816161</v>
      </c>
      <c r="C3421" t="s">
        <v>40</v>
      </c>
      <c r="D3421">
        <v>4.451524</v>
      </c>
      <c r="E3421">
        <v>0.5023415</v>
      </c>
      <c r="F3421" t="s">
        <v>52</v>
      </c>
      <c r="G3421">
        <v>-354.13819999999998</v>
      </c>
      <c r="H3421" s="1">
        <v>6.6537599999999999E-7</v>
      </c>
      <c r="I3421">
        <v>284.1515</v>
      </c>
      <c r="J3421">
        <v>-324.90410000000003</v>
      </c>
      <c r="K3421">
        <v>1.121148</v>
      </c>
      <c r="L3421">
        <v>283.87099999999998</v>
      </c>
      <c r="M3421">
        <v>-0.99993880000000002</v>
      </c>
      <c r="N3421">
        <v>-1.0811380000000001E-2</v>
      </c>
      <c r="O3421">
        <v>2.3858579999999998E-3</v>
      </c>
      <c r="P3421">
        <v>-0.98705080000000001</v>
      </c>
      <c r="Q3421">
        <v>0.1603676</v>
      </c>
      <c r="R3421">
        <v>3.6458620000000001E-3</v>
      </c>
      <c r="S3421">
        <v>-3.0582579999999999</v>
      </c>
      <c r="T3421">
        <v>-0.116395</v>
      </c>
      <c r="U3421">
        <v>2.9174800000000001E-2</v>
      </c>
      <c r="V3421">
        <v>1.286082E-3</v>
      </c>
      <c r="W3421">
        <v>0.17102979999999901</v>
      </c>
      <c r="X3421">
        <v>0.98526499999999995</v>
      </c>
      <c r="Y3421">
        <v>7.1475710000000001E-3</v>
      </c>
      <c r="Z3421">
        <v>1.0964E-4</v>
      </c>
      <c r="AA3421">
        <v>0.99997440000000004</v>
      </c>
      <c r="AB3421">
        <v>30</v>
      </c>
      <c r="AC3421">
        <v>-29.234099999999899</v>
      </c>
      <c r="AD3421">
        <v>-1.121147334624</v>
      </c>
      <c r="AE3421">
        <v>0.28050000000001701</v>
      </c>
      <c r="AF3421">
        <v>0.210437242769282</v>
      </c>
      <c r="AG3421">
        <v>-1.121147334624</v>
      </c>
      <c r="AH3421">
        <v>29.191755537004301</v>
      </c>
      <c r="AI3421">
        <v>92.199380836243805</v>
      </c>
      <c r="AJ3421">
        <v>89.586973897564604</v>
      </c>
      <c r="AK3421">
        <v>29.2140350946475</v>
      </c>
      <c r="AL3421">
        <v>80.152300642395105</v>
      </c>
      <c r="AM3421">
        <v>89.925210954558196</v>
      </c>
      <c r="AN3421">
        <v>0.99999998335997498</v>
      </c>
    </row>
    <row r="3422" spans="1:40" x14ac:dyDescent="0.25">
      <c r="A3422" t="str">
        <f>"20190303161941837"</f>
        <v>20190303161941837</v>
      </c>
      <c r="B3422" t="str">
        <f>"1551601181825920"</f>
        <v>1551601181825920</v>
      </c>
      <c r="C3422" t="s">
        <v>40</v>
      </c>
      <c r="D3422">
        <v>4.4731769999999997</v>
      </c>
      <c r="E3422">
        <v>0.50234869999999998</v>
      </c>
      <c r="F3422" t="s">
        <v>52</v>
      </c>
      <c r="G3422">
        <v>-355.54469999999998</v>
      </c>
      <c r="H3422" s="1">
        <v>1.4138130000000001E-6</v>
      </c>
      <c r="I3422">
        <v>284.14659999999998</v>
      </c>
      <c r="J3422">
        <v>-325.09660000000002</v>
      </c>
      <c r="K3422">
        <v>1.1211439999999999</v>
      </c>
      <c r="L3422">
        <v>283.87150000000003</v>
      </c>
      <c r="M3422">
        <v>-0.99993880000000002</v>
      </c>
      <c r="N3422">
        <v>-1.081491E-2</v>
      </c>
      <c r="O3422">
        <v>2.3654539999999999E-3</v>
      </c>
      <c r="P3422">
        <v>-0.98711749999999998</v>
      </c>
      <c r="Q3422">
        <v>0.15995509999999999</v>
      </c>
      <c r="R3422">
        <v>3.7211710000000001E-3</v>
      </c>
      <c r="S3422">
        <v>-3.0574340000000002</v>
      </c>
      <c r="T3422">
        <v>-0.1118724</v>
      </c>
      <c r="U3422">
        <v>2.7496340000000001E-2</v>
      </c>
      <c r="V3422">
        <v>1.3814299999999999E-3</v>
      </c>
      <c r="W3422">
        <v>0.17062160000000001</v>
      </c>
      <c r="X3422">
        <v>0.98533559999999998</v>
      </c>
      <c r="Y3422">
        <v>6.6224300000000003E-3</v>
      </c>
      <c r="Z3422" s="1">
        <v>9.5997939999999994E-5</v>
      </c>
      <c r="AA3422">
        <v>0.99997809999999998</v>
      </c>
      <c r="AB3422">
        <v>30</v>
      </c>
      <c r="AC3422">
        <v>-30.448099999999901</v>
      </c>
      <c r="AD3422">
        <v>-1.1211425861869999</v>
      </c>
      <c r="AE3422">
        <v>0.27509999999995199</v>
      </c>
      <c r="AF3422">
        <v>0.20279651109167901</v>
      </c>
      <c r="AG3422">
        <v>-1.1211425861869999</v>
      </c>
      <c r="AH3422">
        <v>30.407441996724099</v>
      </c>
      <c r="AI3422">
        <v>92.111530023858705</v>
      </c>
      <c r="AJ3422">
        <v>89.617882625047102</v>
      </c>
      <c r="AK3422">
        <v>30.428779402197701</v>
      </c>
      <c r="AL3422">
        <v>80.1760372711922</v>
      </c>
      <c r="AM3422">
        <v>89.919671980963301</v>
      </c>
      <c r="AN3422">
        <v>0.99999994168137996</v>
      </c>
    </row>
    <row r="3423" spans="1:40" x14ac:dyDescent="0.25">
      <c r="A3423" t="str">
        <f>"20190303161941859"</f>
        <v>20190303161941859</v>
      </c>
      <c r="B3423" t="str">
        <f>"1551601181856176"</f>
        <v>1551601181856176</v>
      </c>
      <c r="C3423" t="s">
        <v>40</v>
      </c>
      <c r="D3423">
        <v>4.3695399999999998</v>
      </c>
      <c r="E3423">
        <v>0.52517290000000005</v>
      </c>
      <c r="F3423" t="s">
        <v>52</v>
      </c>
      <c r="G3423">
        <v>-355.2878</v>
      </c>
      <c r="H3423" s="1">
        <v>1.2771030000000001E-6</v>
      </c>
      <c r="I3423">
        <v>284.1472</v>
      </c>
      <c r="J3423">
        <v>-325.39909999999998</v>
      </c>
      <c r="K3423">
        <v>1.1211439999999999</v>
      </c>
      <c r="L3423">
        <v>283.87209999999999</v>
      </c>
      <c r="M3423">
        <v>-0.99993889999999996</v>
      </c>
      <c r="N3423">
        <v>-1.082047E-2</v>
      </c>
      <c r="O3423">
        <v>2.3337739999999998E-3</v>
      </c>
      <c r="P3423">
        <v>-0.9871046</v>
      </c>
      <c r="Q3423">
        <v>0.16004009999999999</v>
      </c>
      <c r="R3423">
        <v>3.458727E-3</v>
      </c>
      <c r="S3423">
        <v>-3.0574340000000002</v>
      </c>
      <c r="T3423">
        <v>-0.113537</v>
      </c>
      <c r="U3423">
        <v>2.792358E-2</v>
      </c>
      <c r="V3423">
        <v>1.1501549999999999E-3</v>
      </c>
      <c r="W3423">
        <v>0.1707118</v>
      </c>
      <c r="X3423">
        <v>0.98532030000000004</v>
      </c>
      <c r="Y3423">
        <v>6.7935540000000003E-3</v>
      </c>
      <c r="Z3423">
        <v>1.014797E-4</v>
      </c>
      <c r="AA3423">
        <v>0.99997689999999995</v>
      </c>
      <c r="AB3423">
        <v>30</v>
      </c>
      <c r="AC3423">
        <v>-29.8887</v>
      </c>
      <c r="AD3423">
        <v>-1.1211427228969999</v>
      </c>
      <c r="AE3423">
        <v>0.275100000000009</v>
      </c>
      <c r="AF3423">
        <v>0.205053213081935</v>
      </c>
      <c r="AG3423">
        <v>-1.1211427228969999</v>
      </c>
      <c r="AH3423">
        <v>29.847267785922</v>
      </c>
      <c r="AI3423">
        <v>92.151119722142596</v>
      </c>
      <c r="AJ3423">
        <v>89.606379420173397</v>
      </c>
      <c r="AK3423">
        <v>29.869020775878099</v>
      </c>
      <c r="AL3423">
        <v>80.170792497597304</v>
      </c>
      <c r="AM3423">
        <v>89.933119212752104</v>
      </c>
      <c r="AN3423">
        <v>0.99999996755392595</v>
      </c>
    </row>
    <row r="3424" spans="1:40" x14ac:dyDescent="0.25">
      <c r="A3424" t="str">
        <f>"20190303161941870"</f>
        <v>20190303161941870</v>
      </c>
      <c r="B3424" t="str">
        <f>"1551601181865937"</f>
        <v>1551601181865937</v>
      </c>
      <c r="C3424" t="s">
        <v>40</v>
      </c>
      <c r="D3424">
        <v>4.3347230000000003</v>
      </c>
      <c r="E3424">
        <v>0.54035749999999905</v>
      </c>
      <c r="F3424" t="s">
        <v>42</v>
      </c>
      <c r="G3424">
        <v>-326.20030000000003</v>
      </c>
      <c r="H3424">
        <v>1.019741</v>
      </c>
      <c r="I3424">
        <v>283.92610000000002</v>
      </c>
      <c r="J3424">
        <v>-325.56290000000001</v>
      </c>
      <c r="K3424">
        <v>1.1211450000000001</v>
      </c>
      <c r="L3424">
        <v>283.8725</v>
      </c>
      <c r="M3424">
        <v>-0.99993880000000002</v>
      </c>
      <c r="N3424">
        <v>-1.082347E-2</v>
      </c>
      <c r="O3424">
        <v>2.31671E-3</v>
      </c>
      <c r="P3424">
        <v>-0.98708700000000005</v>
      </c>
      <c r="Q3424">
        <v>0.16015009999999999</v>
      </c>
      <c r="R3424">
        <v>3.3667340000000001E-3</v>
      </c>
      <c r="S3424">
        <v>-3.1021420000000002</v>
      </c>
      <c r="T3424">
        <v>-0.39273560000000002</v>
      </c>
      <c r="U3424">
        <v>0.20825199999999999</v>
      </c>
      <c r="V3424">
        <v>1.074991E-3</v>
      </c>
      <c r="W3424">
        <v>0.17082459999999999</v>
      </c>
      <c r="X3424">
        <v>0.98530090000000004</v>
      </c>
      <c r="Y3424">
        <v>6.4130800000000002E-2</v>
      </c>
      <c r="Z3424">
        <v>4.1210029999999998E-3</v>
      </c>
      <c r="AA3424">
        <v>0.99793299999999996</v>
      </c>
      <c r="AB3424">
        <v>30</v>
      </c>
      <c r="AC3424">
        <v>-0.63740000000001296</v>
      </c>
      <c r="AD3424">
        <v>-0.10140399999999999</v>
      </c>
      <c r="AE3424">
        <v>5.3600000000017099E-2</v>
      </c>
      <c r="AF3424">
        <v>5.0845259420040298E-2</v>
      </c>
      <c r="AG3424">
        <v>-0.10140399999999999</v>
      </c>
      <c r="AH3424">
        <v>0.62189310013008903</v>
      </c>
      <c r="AI3424">
        <v>99.230706927456197</v>
      </c>
      <c r="AJ3424">
        <v>85.325959497026602</v>
      </c>
      <c r="AK3424">
        <v>0.63215428465755397</v>
      </c>
      <c r="AL3424">
        <v>80.164233820988997</v>
      </c>
      <c r="AM3424">
        <v>89.937488717532005</v>
      </c>
      <c r="AN3424">
        <v>1.0000000315558</v>
      </c>
    </row>
    <row r="3425" spans="1:40" x14ac:dyDescent="0.25">
      <c r="A3425" t="str">
        <f>"20190303161941883"</f>
        <v>20190303161941883</v>
      </c>
      <c r="B3425" t="str">
        <f>"1551601181875697"</f>
        <v>1551601181875697</v>
      </c>
      <c r="C3425" t="s">
        <v>40</v>
      </c>
      <c r="D3425">
        <v>4.2820080000000003</v>
      </c>
      <c r="E3425">
        <v>0.54008</v>
      </c>
      <c r="F3425" t="s">
        <v>42</v>
      </c>
      <c r="G3425">
        <v>-326.40929999999997</v>
      </c>
      <c r="H3425">
        <v>0.88890219999999898</v>
      </c>
      <c r="I3425">
        <v>283.9599</v>
      </c>
      <c r="J3425">
        <v>-325.73250000000002</v>
      </c>
      <c r="K3425">
        <v>1.1211469999999999</v>
      </c>
      <c r="L3425">
        <v>283.87290000000002</v>
      </c>
      <c r="M3425">
        <v>-0.99993880000000002</v>
      </c>
      <c r="N3425">
        <v>-1.0826580000000001E-2</v>
      </c>
      <c r="O3425">
        <v>2.2990480000000002E-3</v>
      </c>
      <c r="P3425">
        <v>-0.98708890000000005</v>
      </c>
      <c r="Q3425">
        <v>0.16014229999999999</v>
      </c>
      <c r="R3425">
        <v>3.1482459999999999E-3</v>
      </c>
      <c r="S3425">
        <v>-3.1796880000000001</v>
      </c>
      <c r="T3425">
        <v>-0.87248979999999998</v>
      </c>
      <c r="U3425">
        <v>0.32751459999999999</v>
      </c>
      <c r="V3425">
        <v>8.738951E-4</v>
      </c>
      <c r="W3425">
        <v>0.17081979999999999</v>
      </c>
      <c r="X3425">
        <v>0.98530189999999995</v>
      </c>
      <c r="Y3425">
        <v>9.6571980000000002E-2</v>
      </c>
      <c r="Z3425">
        <v>1.2916999999999901E-2</v>
      </c>
      <c r="AA3425">
        <v>0.99524219999999997</v>
      </c>
      <c r="AB3425">
        <v>30</v>
      </c>
      <c r="AC3425">
        <v>-0.67679999999995699</v>
      </c>
      <c r="AD3425">
        <v>-0.2322448</v>
      </c>
      <c r="AE3425">
        <v>8.6999999999989003E-2</v>
      </c>
      <c r="AF3425">
        <v>7.6573508697620599E-2</v>
      </c>
      <c r="AG3425">
        <v>-0.2322448</v>
      </c>
      <c r="AH3425">
        <v>0.606716946808604</v>
      </c>
      <c r="AI3425">
        <v>110.795606305669</v>
      </c>
      <c r="AJ3425">
        <v>82.806754582457998</v>
      </c>
      <c r="AK3425">
        <v>0.65414570464542399</v>
      </c>
      <c r="AL3425">
        <v>80.164512639323604</v>
      </c>
      <c r="AM3425">
        <v>89.9491825928297</v>
      </c>
      <c r="AN3425">
        <v>1.0000000009541401</v>
      </c>
    </row>
    <row r="3426" spans="1:40" x14ac:dyDescent="0.25">
      <c r="A3426" t="str">
        <f>"20190303161941897"</f>
        <v>20190303161941897</v>
      </c>
      <c r="B3426" t="str">
        <f>"1551601181886432"</f>
        <v>1551601181886432</v>
      </c>
      <c r="C3426" t="s">
        <v>40</v>
      </c>
      <c r="D3426">
        <v>4.2282840000000004</v>
      </c>
      <c r="E3426">
        <v>0.5400374</v>
      </c>
      <c r="F3426" t="s">
        <v>42</v>
      </c>
      <c r="G3426">
        <v>-326.42360000000002</v>
      </c>
      <c r="H3426">
        <v>0.92231940000000001</v>
      </c>
      <c r="I3426">
        <v>283.94349999999997</v>
      </c>
      <c r="J3426">
        <v>-325.91759999999999</v>
      </c>
      <c r="K3426">
        <v>1.121148</v>
      </c>
      <c r="L3426">
        <v>283.87329999999997</v>
      </c>
      <c r="M3426">
        <v>-0.99993869999999896</v>
      </c>
      <c r="N3426">
        <v>-1.082997E-2</v>
      </c>
      <c r="O3426">
        <v>2.2794809999999999E-3</v>
      </c>
      <c r="P3426">
        <v>-0.9870892</v>
      </c>
      <c r="Q3426">
        <v>0.16013810000000001</v>
      </c>
      <c r="R3426">
        <v>3.2784239999999998E-3</v>
      </c>
      <c r="S3426">
        <v>-3.1869809999999998</v>
      </c>
      <c r="T3426">
        <v>-0.91696069999999996</v>
      </c>
      <c r="U3426">
        <v>0.32485960000000003</v>
      </c>
      <c r="V3426">
        <v>1.0234829999999999E-3</v>
      </c>
      <c r="W3426">
        <v>0.17081939999999901</v>
      </c>
      <c r="X3426">
        <v>0.98530189999999995</v>
      </c>
      <c r="Y3426">
        <v>9.5248540000000007E-2</v>
      </c>
      <c r="Z3426">
        <v>1.3307970000000001E-2</v>
      </c>
      <c r="AA3426">
        <v>0.99536449999999999</v>
      </c>
      <c r="AB3426">
        <v>30</v>
      </c>
      <c r="AC3426">
        <v>-0.50600000000002798</v>
      </c>
      <c r="AD3426">
        <v>-0.19882859999999999</v>
      </c>
      <c r="AE3426">
        <v>7.0199999999999804E-2</v>
      </c>
      <c r="AF3426">
        <v>5.9962724220760398E-2</v>
      </c>
      <c r="AG3426">
        <v>-0.19882859999999999</v>
      </c>
      <c r="AH3426">
        <v>0.43956940641298398</v>
      </c>
      <c r="AI3426">
        <v>114.14073735368601</v>
      </c>
      <c r="AJ3426">
        <v>82.232090219093095</v>
      </c>
      <c r="AK3426">
        <v>0.48615800263720699</v>
      </c>
      <c r="AL3426">
        <v>80.164536630438107</v>
      </c>
      <c r="AM3426">
        <v>89.940483992558995</v>
      </c>
      <c r="AN3426">
        <v>1.0000000745387001</v>
      </c>
    </row>
    <row r="3427" spans="1:40" x14ac:dyDescent="0.25">
      <c r="A3427" t="str">
        <f>"20190303161941914"</f>
        <v>20190303161941914</v>
      </c>
      <c r="B3427" t="str">
        <f>"1551601181905953"</f>
        <v>1551601181905953</v>
      </c>
      <c r="C3427" t="s">
        <v>40</v>
      </c>
      <c r="D3427">
        <v>4.1903489999999897</v>
      </c>
      <c r="E3427">
        <v>0.54020699999999999</v>
      </c>
      <c r="F3427" t="s">
        <v>42</v>
      </c>
      <c r="G3427">
        <v>-326.68400000000003</v>
      </c>
      <c r="H3427">
        <v>0.89693769999999995</v>
      </c>
      <c r="I3427">
        <v>283.95170000000002</v>
      </c>
      <c r="J3427">
        <v>-326.15809999999999</v>
      </c>
      <c r="K3427">
        <v>1.1211500000000001</v>
      </c>
      <c r="L3427">
        <v>283.87380000000002</v>
      </c>
      <c r="M3427">
        <v>-0.99993880000000002</v>
      </c>
      <c r="N3427">
        <v>-1.0834369999999999E-2</v>
      </c>
      <c r="O3427">
        <v>2.2538879999999999E-3</v>
      </c>
      <c r="P3427">
        <v>-0.98709639999999998</v>
      </c>
      <c r="Q3427">
        <v>0.1601052</v>
      </c>
      <c r="R3427">
        <v>2.6539850000000002E-3</v>
      </c>
      <c r="S3427">
        <v>-3.1895449999999999</v>
      </c>
      <c r="T3427">
        <v>-0.93319819999999998</v>
      </c>
      <c r="U3427">
        <v>0.32513429999999999</v>
      </c>
      <c r="V3427">
        <v>4.243405E-4</v>
      </c>
      <c r="W3427">
        <v>0.17079029999999901</v>
      </c>
      <c r="X3427">
        <v>0.9853073</v>
      </c>
      <c r="Y3427">
        <v>9.5153760000000004E-2</v>
      </c>
      <c r="Z3427">
        <v>1.35084E-2</v>
      </c>
      <c r="AA3427">
        <v>0.99537089999999995</v>
      </c>
      <c r="AB3427">
        <v>30</v>
      </c>
      <c r="AC3427">
        <v>-0.52590000000003501</v>
      </c>
      <c r="AD3427">
        <v>-0.2242123</v>
      </c>
      <c r="AE3427">
        <v>7.7899999999999595E-2</v>
      </c>
      <c r="AF3427">
        <v>6.51301473778923E-2</v>
      </c>
      <c r="AG3427">
        <v>-0.2242123</v>
      </c>
      <c r="AH3427">
        <v>0.44663437149195101</v>
      </c>
      <c r="AI3427">
        <v>116.415901700075</v>
      </c>
      <c r="AJ3427">
        <v>81.703361472920705</v>
      </c>
      <c r="AK3427">
        <v>0.50397951681270303</v>
      </c>
      <c r="AL3427">
        <v>80.166227974888798</v>
      </c>
      <c r="AM3427">
        <v>89.975324532535794</v>
      </c>
      <c r="AN3427">
        <v>0.99999999103611903</v>
      </c>
    </row>
    <row r="3428" spans="1:40" x14ac:dyDescent="0.25">
      <c r="A3428" t="str">
        <f>"20190303161941937"</f>
        <v>20190303161941937</v>
      </c>
      <c r="B3428" t="str">
        <f>"1551601181926448"</f>
        <v>1551601181926448</v>
      </c>
      <c r="C3428" t="s">
        <v>40</v>
      </c>
      <c r="D3428">
        <v>4.1816069999999996</v>
      </c>
      <c r="E3428">
        <v>0.54023120000000002</v>
      </c>
      <c r="F3428" t="s">
        <v>42</v>
      </c>
      <c r="G3428">
        <v>-326.952</v>
      </c>
      <c r="H3428">
        <v>0.887575</v>
      </c>
      <c r="I3428">
        <v>283.95479999999998</v>
      </c>
      <c r="J3428">
        <v>-326.46289999999999</v>
      </c>
      <c r="K3428">
        <v>1.1211450000000001</v>
      </c>
      <c r="L3428">
        <v>283.87450000000001</v>
      </c>
      <c r="M3428">
        <v>-0.99993869999999896</v>
      </c>
      <c r="N3428">
        <v>-1.083986E-2</v>
      </c>
      <c r="O3428">
        <v>2.221673E-3</v>
      </c>
      <c r="P3428">
        <v>-0.98712500000000003</v>
      </c>
      <c r="Q3428">
        <v>0.15993189999999999</v>
      </c>
      <c r="R3428">
        <v>2.4570009999999999E-3</v>
      </c>
      <c r="S3428">
        <v>-3.1906129999999999</v>
      </c>
      <c r="T3428">
        <v>-0.9387913</v>
      </c>
      <c r="U3428">
        <v>0.3244629</v>
      </c>
      <c r="V3428">
        <v>2.5911050000000001E-4</v>
      </c>
      <c r="W3428">
        <v>0.170623</v>
      </c>
      <c r="X3428">
        <v>0.9853364</v>
      </c>
      <c r="Y3428">
        <v>9.4910250000000002E-2</v>
      </c>
      <c r="Z3428">
        <v>1.3551840000000001E-2</v>
      </c>
      <c r="AA3428">
        <v>0.99539359999999999</v>
      </c>
      <c r="AB3428">
        <v>30</v>
      </c>
      <c r="AC3428">
        <v>-0.48910000000000697</v>
      </c>
      <c r="AD3428">
        <v>-0.23357</v>
      </c>
      <c r="AE3428">
        <v>8.0299999999965593E-2</v>
      </c>
      <c r="AF3428">
        <v>6.4818871019424504E-2</v>
      </c>
      <c r="AG3428">
        <v>-0.23357</v>
      </c>
      <c r="AH3428">
        <v>0.40036798087844699</v>
      </c>
      <c r="AI3428">
        <v>119.937200997801</v>
      </c>
      <c r="AJ3428">
        <v>80.803708302262606</v>
      </c>
      <c r="AK3428">
        <v>0.468028792974233</v>
      </c>
      <c r="AL3428">
        <v>80.1759569203533</v>
      </c>
      <c r="AM3428">
        <v>89.984933127675603</v>
      </c>
      <c r="AN3428">
        <v>1.0000000482161</v>
      </c>
    </row>
    <row r="3429" spans="1:40" x14ac:dyDescent="0.25">
      <c r="A3429" t="str">
        <f>"20190303161941948"</f>
        <v>20190303161941948</v>
      </c>
      <c r="B3429" t="str">
        <f>"1551601181945968"</f>
        <v>1551601181945968</v>
      </c>
      <c r="C3429" t="s">
        <v>40</v>
      </c>
      <c r="D3429">
        <v>4.1793440000000004</v>
      </c>
      <c r="E3429">
        <v>0.54031989999999996</v>
      </c>
      <c r="F3429" t="s">
        <v>42</v>
      </c>
      <c r="G3429">
        <v>-327.2278</v>
      </c>
      <c r="H3429">
        <v>0.8974164</v>
      </c>
      <c r="I3429">
        <v>283.95260000000002</v>
      </c>
      <c r="J3429">
        <v>-326.61739999999998</v>
      </c>
      <c r="K3429">
        <v>1.121146</v>
      </c>
      <c r="L3429">
        <v>283.87479999999999</v>
      </c>
      <c r="M3429">
        <v>-0.99993880000000002</v>
      </c>
      <c r="N3429">
        <v>-1.0842600000000001E-2</v>
      </c>
      <c r="O3429">
        <v>2.2053260000000001E-3</v>
      </c>
      <c r="P3429">
        <v>-0.98707599999999995</v>
      </c>
      <c r="Q3429">
        <v>0.160236299999999</v>
      </c>
      <c r="R3429">
        <v>2.384284E-3</v>
      </c>
      <c r="S3429">
        <v>-3.1895449999999999</v>
      </c>
      <c r="T3429">
        <v>-0.93309880000000001</v>
      </c>
      <c r="U3429">
        <v>0.32479859999999999</v>
      </c>
      <c r="V3429">
        <v>2.0264750000000001E-4</v>
      </c>
      <c r="W3429">
        <v>0.17092929999999901</v>
      </c>
      <c r="X3429">
        <v>0.98528329999999997</v>
      </c>
      <c r="Y3429">
        <v>9.5099530000000002E-2</v>
      </c>
      <c r="Z3429">
        <v>1.351286E-2</v>
      </c>
      <c r="AA3429">
        <v>0.99537609999999999</v>
      </c>
      <c r="AB3429">
        <v>30</v>
      </c>
      <c r="AC3429">
        <v>-0.61040000000002603</v>
      </c>
      <c r="AD3429">
        <v>-0.223729599999999</v>
      </c>
      <c r="AE3429">
        <v>7.7800000000024697E-2</v>
      </c>
      <c r="AF3429">
        <v>6.7526807525851607E-2</v>
      </c>
      <c r="AG3429">
        <v>-0.223729599999999</v>
      </c>
      <c r="AH3429">
        <v>0.53927937011207705</v>
      </c>
      <c r="AI3429">
        <v>112.374665573727</v>
      </c>
      <c r="AJ3429">
        <v>82.862756442520606</v>
      </c>
      <c r="AK3429">
        <v>0.587738923910329</v>
      </c>
      <c r="AL3429">
        <v>80.158145331483098</v>
      </c>
      <c r="AM3429">
        <v>89.988215728090395</v>
      </c>
      <c r="AN3429">
        <v>1.00000002396169</v>
      </c>
    </row>
    <row r="3430" spans="1:40" x14ac:dyDescent="0.25">
      <c r="A3430" t="str">
        <f>"20190303161941960"</f>
        <v>20190303161941960</v>
      </c>
      <c r="B3430" t="str">
        <f>"1551601181955728"</f>
        <v>1551601181955728</v>
      </c>
      <c r="C3430" t="s">
        <v>40</v>
      </c>
      <c r="D3430">
        <v>4.1299109999999999</v>
      </c>
      <c r="E3430">
        <v>0.54034819999999995</v>
      </c>
      <c r="F3430" t="s">
        <v>42</v>
      </c>
      <c r="G3430">
        <v>-327.48849999999999</v>
      </c>
      <c r="H3430">
        <v>0.8689635</v>
      </c>
      <c r="I3430">
        <v>283.96409999999997</v>
      </c>
      <c r="J3430">
        <v>-326.7799</v>
      </c>
      <c r="K3430">
        <v>1.121149</v>
      </c>
      <c r="L3430">
        <v>283.87509999999997</v>
      </c>
      <c r="M3430">
        <v>-0.99993900000000002</v>
      </c>
      <c r="N3430">
        <v>-1.084545E-2</v>
      </c>
      <c r="O3430">
        <v>2.188321E-3</v>
      </c>
      <c r="P3430">
        <v>-0.98701130000000004</v>
      </c>
      <c r="Q3430">
        <v>0.1606368</v>
      </c>
      <c r="R3430">
        <v>2.1799689999999999E-3</v>
      </c>
      <c r="S3430">
        <v>-3.1883539999999999</v>
      </c>
      <c r="T3430">
        <v>-0.92312989999999995</v>
      </c>
      <c r="U3430">
        <v>0.32592769999999999</v>
      </c>
      <c r="V3430" s="1">
        <v>1.5026180000000001E-5</v>
      </c>
      <c r="W3430">
        <v>0.17133190000000001</v>
      </c>
      <c r="X3430">
        <v>0.98521329999999996</v>
      </c>
      <c r="Y3430">
        <v>9.5561989999999999E-2</v>
      </c>
      <c r="Z3430">
        <v>1.345679E-2</v>
      </c>
      <c r="AA3430">
        <v>0.99533249999999995</v>
      </c>
      <c r="AB3430">
        <v>30</v>
      </c>
      <c r="AC3430">
        <v>-0.70859999999998902</v>
      </c>
      <c r="AD3430">
        <v>-0.25218549999999901</v>
      </c>
      <c r="AE3430">
        <v>8.8999999999998594E-2</v>
      </c>
      <c r="AF3430">
        <v>7.7753744181972798E-2</v>
      </c>
      <c r="AG3430">
        <v>-0.25218549999999901</v>
      </c>
      <c r="AH3430">
        <v>0.63021055516579005</v>
      </c>
      <c r="AI3430">
        <v>111.660472779343</v>
      </c>
      <c r="AJ3430">
        <v>82.966539313249498</v>
      </c>
      <c r="AK3430">
        <v>0.68323386551527099</v>
      </c>
      <c r="AL3430">
        <v>80.134731772875</v>
      </c>
      <c r="AM3430">
        <v>89.999126141825101</v>
      </c>
      <c r="AN3430">
        <v>0.99999993334014003</v>
      </c>
    </row>
    <row r="3431" spans="1:40" x14ac:dyDescent="0.25">
      <c r="A3431" t="str">
        <f>"20190303161941973"</f>
        <v>20190303161941973</v>
      </c>
      <c r="B3431" t="str">
        <f>"1551601181966464"</f>
        <v>1551601181966464</v>
      </c>
      <c r="C3431" t="s">
        <v>40</v>
      </c>
      <c r="D3431">
        <v>4.1454339999999998</v>
      </c>
      <c r="E3431">
        <v>0.54028180000000003</v>
      </c>
      <c r="F3431" t="s">
        <v>42</v>
      </c>
      <c r="G3431">
        <v>-327.50580000000002</v>
      </c>
      <c r="H3431">
        <v>0.91160090000000005</v>
      </c>
      <c r="I3431">
        <v>283.9495</v>
      </c>
      <c r="J3431">
        <v>-326.94650000000001</v>
      </c>
      <c r="K3431">
        <v>1.1211469999999999</v>
      </c>
      <c r="L3431">
        <v>283.87540000000001</v>
      </c>
      <c r="M3431">
        <v>-0.99993869999999896</v>
      </c>
      <c r="N3431">
        <v>-1.084835E-2</v>
      </c>
      <c r="O3431">
        <v>2.170782E-3</v>
      </c>
      <c r="P3431">
        <v>-0.98694029999999999</v>
      </c>
      <c r="Q3431">
        <v>0.16107589999999999</v>
      </c>
      <c r="R3431">
        <v>1.88354E-3</v>
      </c>
      <c r="S3431">
        <v>-3.1886290000000002</v>
      </c>
      <c r="T3431">
        <v>-0.92058130000000005</v>
      </c>
      <c r="U3431">
        <v>0.32559199999999999</v>
      </c>
      <c r="V3431">
        <v>-2.6382709999999999E-4</v>
      </c>
      <c r="W3431">
        <v>0.17177310000000001</v>
      </c>
      <c r="X3431">
        <v>0.98513649999999997</v>
      </c>
      <c r="Y3431">
        <v>9.5490920000000007E-2</v>
      </c>
      <c r="Z3431">
        <v>1.3415989999999999E-2</v>
      </c>
      <c r="AA3431">
        <v>0.99533990000000006</v>
      </c>
      <c r="AB3431">
        <v>30</v>
      </c>
      <c r="AC3431">
        <v>-0.55930000000000701</v>
      </c>
      <c r="AD3431">
        <v>-0.20954609999999901</v>
      </c>
      <c r="AE3431">
        <v>7.4099999999987107E-2</v>
      </c>
      <c r="AF3431">
        <v>6.4050108860131794E-2</v>
      </c>
      <c r="AG3431">
        <v>-0.20954609999999901</v>
      </c>
      <c r="AH3431">
        <v>0.49163932831054302</v>
      </c>
      <c r="AI3431">
        <v>112.911230876945</v>
      </c>
      <c r="AJ3431">
        <v>82.577388193553503</v>
      </c>
      <c r="AK3431">
        <v>0.538257571810975</v>
      </c>
      <c r="AL3431">
        <v>80.109073094941294</v>
      </c>
      <c r="AM3431">
        <v>90.015344248223201</v>
      </c>
      <c r="AN3431">
        <v>0.99999999556029895</v>
      </c>
    </row>
    <row r="3432" spans="1:40" x14ac:dyDescent="0.25">
      <c r="A3432" t="str">
        <f>"20190303161941987"</f>
        <v>20190303161941987</v>
      </c>
      <c r="B3432" t="str">
        <f>"1551601181976225"</f>
        <v>1551601181976225</v>
      </c>
      <c r="C3432" t="s">
        <v>40</v>
      </c>
      <c r="D3432">
        <v>4.0904400000000001</v>
      </c>
      <c r="E3432">
        <v>0.54024759999999905</v>
      </c>
      <c r="F3432" t="s">
        <v>42</v>
      </c>
      <c r="G3432">
        <v>-327.767</v>
      </c>
      <c r="H3432">
        <v>0.88485219999999898</v>
      </c>
      <c r="I3432">
        <v>283.95909999999998</v>
      </c>
      <c r="J3432">
        <v>-327.14249999999998</v>
      </c>
      <c r="K3432">
        <v>1.1211500000000001</v>
      </c>
      <c r="L3432">
        <v>283.8759</v>
      </c>
      <c r="M3432">
        <v>-0.99993900000000002</v>
      </c>
      <c r="N3432">
        <v>-1.085175E-2</v>
      </c>
      <c r="O3432">
        <v>2.1497259999999998E-3</v>
      </c>
      <c r="P3432">
        <v>-0.98687029999999998</v>
      </c>
      <c r="Q3432">
        <v>0.1615067</v>
      </c>
      <c r="R3432">
        <v>1.725861E-3</v>
      </c>
      <c r="S3432">
        <v>-3.188965</v>
      </c>
      <c r="T3432">
        <v>-0.91840100000000002</v>
      </c>
      <c r="U3432">
        <v>0.32376100000000002</v>
      </c>
      <c r="V3432">
        <v>-4.0049349999999998E-4</v>
      </c>
      <c r="W3432">
        <v>0.17220659999999999</v>
      </c>
      <c r="X3432">
        <v>0.98506079999999996</v>
      </c>
      <c r="Y3432">
        <v>9.4974790000000003E-2</v>
      </c>
      <c r="Z3432">
        <v>1.3316049999999999E-2</v>
      </c>
      <c r="AA3432">
        <v>0.99539060000000001</v>
      </c>
      <c r="AB3432">
        <v>30</v>
      </c>
      <c r="AC3432">
        <v>-0.62450000000001105</v>
      </c>
      <c r="AD3432">
        <v>-0.2362978</v>
      </c>
      <c r="AE3432">
        <v>8.3199999999976598E-2</v>
      </c>
      <c r="AF3432">
        <v>7.1762159390395694E-2</v>
      </c>
      <c r="AG3432">
        <v>-0.2362978</v>
      </c>
      <c r="AH3432">
        <v>0.54763890273329396</v>
      </c>
      <c r="AI3432">
        <v>113.16255408643801</v>
      </c>
      <c r="AJ3432">
        <v>82.534543871952593</v>
      </c>
      <c r="AK3432">
        <v>0.60074522519295903</v>
      </c>
      <c r="AL3432">
        <v>80.083859972586396</v>
      </c>
      <c r="AM3432">
        <v>90.023294588524905</v>
      </c>
      <c r="AN3432">
        <v>1.0000000265876201</v>
      </c>
    </row>
    <row r="3433" spans="1:40" x14ac:dyDescent="0.25">
      <c r="A3433" t="str">
        <f>"20190303161942004"</f>
        <v>20190303161942004</v>
      </c>
      <c r="B3433" t="str">
        <f>"1551601181995744"</f>
        <v>1551601181995744</v>
      </c>
      <c r="C3433" t="s">
        <v>40</v>
      </c>
      <c r="D3433">
        <v>4.1281299999999996</v>
      </c>
      <c r="E3433">
        <v>0.54036139999999999</v>
      </c>
      <c r="F3433" t="s">
        <v>42</v>
      </c>
      <c r="G3433">
        <v>-328.03160000000003</v>
      </c>
      <c r="H3433">
        <v>0.86524840000000003</v>
      </c>
      <c r="I3433">
        <v>283.96600000000001</v>
      </c>
      <c r="J3433">
        <v>-327.38029999999998</v>
      </c>
      <c r="K3433">
        <v>1.121149</v>
      </c>
      <c r="L3433">
        <v>283.87630000000001</v>
      </c>
      <c r="M3433">
        <v>-0.99993900000000002</v>
      </c>
      <c r="N3433">
        <v>-1.085588E-2</v>
      </c>
      <c r="O3433">
        <v>2.1242560000000001E-3</v>
      </c>
      <c r="P3433">
        <v>-0.9868131</v>
      </c>
      <c r="Q3433">
        <v>0.16185559999999999</v>
      </c>
      <c r="R3433">
        <v>1.7868420000000001E-3</v>
      </c>
      <c r="S3433">
        <v>-3.1896360000000001</v>
      </c>
      <c r="T3433">
        <v>-0.9180855</v>
      </c>
      <c r="U3433">
        <v>0.32257079999999999</v>
      </c>
      <c r="V3433">
        <v>-3.145162E-4</v>
      </c>
      <c r="W3433">
        <v>0.17255889999999999</v>
      </c>
      <c r="X3433">
        <v>0.98499919999999996</v>
      </c>
      <c r="Y3433">
        <v>9.4628829999999997E-2</v>
      </c>
      <c r="Z3433">
        <v>1.326597E-2</v>
      </c>
      <c r="AA3433">
        <v>0.99542419999999998</v>
      </c>
      <c r="AB3433">
        <v>30</v>
      </c>
      <c r="AC3433">
        <v>-0.65130000000004795</v>
      </c>
      <c r="AD3433">
        <v>-0.25590059999999898</v>
      </c>
      <c r="AE3433">
        <v>8.9699999999993396E-2</v>
      </c>
      <c r="AF3433">
        <v>7.6696477955456893E-2</v>
      </c>
      <c r="AG3433">
        <v>-0.25590059999999898</v>
      </c>
      <c r="AH3433">
        <v>0.56577304046143595</v>
      </c>
      <c r="AI3433">
        <v>114.142069625071</v>
      </c>
      <c r="AJ3433">
        <v>82.280014930016407</v>
      </c>
      <c r="AK3433">
        <v>0.62567291784454704</v>
      </c>
      <c r="AL3433">
        <v>80.063368123936002</v>
      </c>
      <c r="AM3433">
        <v>90.018294888194902</v>
      </c>
      <c r="AN3433">
        <v>1.0000000484451399</v>
      </c>
    </row>
    <row r="3434" spans="1:40" x14ac:dyDescent="0.25">
      <c r="A3434" t="str">
        <f>"20190303161942017"</f>
        <v>20190303161942017</v>
      </c>
      <c r="B3434" t="str">
        <f>"1551601182006480"</f>
        <v>1551601182006480</v>
      </c>
      <c r="C3434" t="s">
        <v>40</v>
      </c>
      <c r="D3434">
        <v>4.0636619999999999</v>
      </c>
      <c r="E3434">
        <v>0.5403289</v>
      </c>
      <c r="F3434" t="s">
        <v>42</v>
      </c>
      <c r="G3434">
        <v>-328.0573</v>
      </c>
      <c r="H3434">
        <v>0.92636300000000005</v>
      </c>
      <c r="I3434">
        <v>283.9452</v>
      </c>
      <c r="J3434">
        <v>-327.5521</v>
      </c>
      <c r="K3434">
        <v>1.121151</v>
      </c>
      <c r="L3434">
        <v>283.87670000000003</v>
      </c>
      <c r="M3434">
        <v>-0.99993869999999896</v>
      </c>
      <c r="N3434">
        <v>-1.085885E-2</v>
      </c>
      <c r="O3434">
        <v>2.1065350000000001E-3</v>
      </c>
      <c r="P3434">
        <v>-0.98682060000000005</v>
      </c>
      <c r="Q3434">
        <v>0.1618069</v>
      </c>
      <c r="R3434">
        <v>1.8790009999999999E-3</v>
      </c>
      <c r="S3434">
        <v>-3.1900330000000001</v>
      </c>
      <c r="T3434">
        <v>-0.91778190000000004</v>
      </c>
      <c r="U3434">
        <v>0.32321169999999999</v>
      </c>
      <c r="V3434">
        <v>-2.046118E-4</v>
      </c>
      <c r="W3434">
        <v>0.1725129</v>
      </c>
      <c r="X3434">
        <v>0.98500719999999997</v>
      </c>
      <c r="Y3434">
        <v>9.4826549999999996E-2</v>
      </c>
      <c r="Z3434">
        <v>1.3294149999999999E-2</v>
      </c>
      <c r="AA3434">
        <v>0.99540499999999998</v>
      </c>
      <c r="AB3434">
        <v>30</v>
      </c>
      <c r="AC3434">
        <v>-0.50520000000000198</v>
      </c>
      <c r="AD3434">
        <v>-0.19478799999999999</v>
      </c>
      <c r="AE3434">
        <v>6.8499999999971806E-2</v>
      </c>
      <c r="AF3434">
        <v>5.8845452344303703E-2</v>
      </c>
      <c r="AG3434">
        <v>-0.19478799999999999</v>
      </c>
      <c r="AH3434">
        <v>0.44097130229782699</v>
      </c>
      <c r="AI3434">
        <v>113.645900770202</v>
      </c>
      <c r="AJ3434">
        <v>82.399065738905406</v>
      </c>
      <c r="AK3434">
        <v>0.48565506448079698</v>
      </c>
      <c r="AL3434">
        <v>80.066043002529796</v>
      </c>
      <c r="AM3434">
        <v>90.011901834230201</v>
      </c>
      <c r="AN3434">
        <v>0.99999996329211804</v>
      </c>
    </row>
    <row r="3435" spans="1:40" x14ac:dyDescent="0.25">
      <c r="A3435" t="str">
        <f>"20190303161942031"</f>
        <v>20190303161942031</v>
      </c>
      <c r="B3435" t="str">
        <f>"1551601182026000"</f>
        <v>1551601182026000</v>
      </c>
      <c r="C3435" t="s">
        <v>40</v>
      </c>
      <c r="D3435">
        <v>4.0881769999999999</v>
      </c>
      <c r="E3435">
        <v>0.54038889999999995</v>
      </c>
      <c r="F3435" t="s">
        <v>42</v>
      </c>
      <c r="G3435">
        <v>-328.31819999999999</v>
      </c>
      <c r="H3435">
        <v>0.90044269999999904</v>
      </c>
      <c r="I3435">
        <v>283.95490000000001</v>
      </c>
      <c r="J3435">
        <v>-327.74369999999999</v>
      </c>
      <c r="K3435">
        <v>1.1211500000000001</v>
      </c>
      <c r="L3435">
        <v>283.87700000000001</v>
      </c>
      <c r="M3435">
        <v>-0.99993900000000002</v>
      </c>
      <c r="N3435">
        <v>-1.0862170000000001E-2</v>
      </c>
      <c r="O3435">
        <v>2.0863100000000001E-3</v>
      </c>
      <c r="P3435">
        <v>-0.98676969999999997</v>
      </c>
      <c r="Q3435">
        <v>0.16211800000000001</v>
      </c>
      <c r="R3435">
        <v>1.820948E-3</v>
      </c>
      <c r="S3435">
        <v>-3.1901860000000002</v>
      </c>
      <c r="T3435">
        <v>-0.91911589999999999</v>
      </c>
      <c r="U3435">
        <v>0.32354739999999999</v>
      </c>
      <c r="V3435">
        <v>-2.4311259999999999E-4</v>
      </c>
      <c r="W3435">
        <v>0.17282709999999901</v>
      </c>
      <c r="X3435">
        <v>0.98495220000000006</v>
      </c>
      <c r="Y3435">
        <v>9.4929990000000006E-2</v>
      </c>
      <c r="Z3435">
        <v>1.3332129999999999E-2</v>
      </c>
      <c r="AA3435">
        <v>0.99539460000000002</v>
      </c>
      <c r="AB3435">
        <v>30</v>
      </c>
      <c r="AC3435">
        <v>-0.57450000000000001</v>
      </c>
      <c r="AD3435">
        <v>-0.2207073</v>
      </c>
      <c r="AE3435">
        <v>7.7899999999999595E-2</v>
      </c>
      <c r="AF3435">
        <v>6.6992363297206106E-2</v>
      </c>
      <c r="AG3435">
        <v>-0.2207073</v>
      </c>
      <c r="AH3435">
        <v>0.501920831086209</v>
      </c>
      <c r="AI3435">
        <v>113.55046550832699</v>
      </c>
      <c r="AJ3435">
        <v>82.397552091590597</v>
      </c>
      <c r="AK3435">
        <v>0.55238049358364005</v>
      </c>
      <c r="AL3435">
        <v>80.047767025711494</v>
      </c>
      <c r="AM3435">
        <v>90.014142133642196</v>
      </c>
      <c r="AN3435">
        <v>1.0000000509414899</v>
      </c>
    </row>
    <row r="3436" spans="1:40" x14ac:dyDescent="0.25">
      <c r="A3436" t="str">
        <f>"20190303161942044"</f>
        <v>20190303161942044</v>
      </c>
      <c r="B3436" t="str">
        <f>"1551601182035760"</f>
        <v>1551601182035760</v>
      </c>
      <c r="C3436" t="s">
        <v>40</v>
      </c>
      <c r="D3436">
        <v>4.0534949999999998</v>
      </c>
      <c r="E3436">
        <v>0.54037819999999903</v>
      </c>
      <c r="F3436" t="s">
        <v>42</v>
      </c>
      <c r="G3436">
        <v>-328.58269999999999</v>
      </c>
      <c r="H3436">
        <v>0.87979509999999905</v>
      </c>
      <c r="I3436">
        <v>283.96260000000001</v>
      </c>
      <c r="J3436">
        <v>-327.92970000000003</v>
      </c>
      <c r="K3436">
        <v>1.121151</v>
      </c>
      <c r="L3436">
        <v>283.87740000000002</v>
      </c>
      <c r="M3436">
        <v>-0.99993880000000002</v>
      </c>
      <c r="N3436">
        <v>-1.0865410000000001E-2</v>
      </c>
      <c r="O3436">
        <v>2.0667419999999999E-3</v>
      </c>
      <c r="P3436">
        <v>-0.98677590000000004</v>
      </c>
      <c r="Q3436">
        <v>0.16208139999999999</v>
      </c>
      <c r="R3436">
        <v>1.668515E-3</v>
      </c>
      <c r="S3436">
        <v>-3.1904300000000001</v>
      </c>
      <c r="T3436">
        <v>-0.91770850000000004</v>
      </c>
      <c r="U3436">
        <v>0.32455440000000002</v>
      </c>
      <c r="V3436">
        <v>-3.7602909999999998E-4</v>
      </c>
      <c r="W3436">
        <v>0.17279369999999999</v>
      </c>
      <c r="X3436">
        <v>0.984958</v>
      </c>
      <c r="Y3436">
        <v>9.5250840000000003E-2</v>
      </c>
      <c r="Z3436">
        <v>1.3364529999999999E-2</v>
      </c>
      <c r="AA3436">
        <v>0.99536360000000002</v>
      </c>
      <c r="AB3436">
        <v>30</v>
      </c>
      <c r="AC3436">
        <v>-0.65299999999996305</v>
      </c>
      <c r="AD3436">
        <v>-0.24135590000000001</v>
      </c>
      <c r="AE3436">
        <v>8.5199999999986106E-2</v>
      </c>
      <c r="AF3436">
        <v>7.3920719201728394E-2</v>
      </c>
      <c r="AG3436">
        <v>-0.24135590000000001</v>
      </c>
      <c r="AH3436">
        <v>0.57582652403651902</v>
      </c>
      <c r="AI3436">
        <v>112.57438049743701</v>
      </c>
      <c r="AJ3436">
        <v>82.684764071964494</v>
      </c>
      <c r="AK3436">
        <v>0.62872341214248595</v>
      </c>
      <c r="AL3436">
        <v>80.049709754780295</v>
      </c>
      <c r="AM3436">
        <v>90.021873906661298</v>
      </c>
      <c r="AN3436">
        <v>1.0000000329607801</v>
      </c>
    </row>
    <row r="3437" spans="1:40" x14ac:dyDescent="0.25">
      <c r="A3437" t="str">
        <f>"20190303161942060"</f>
        <v>20190303161942060</v>
      </c>
      <c r="B3437" t="str">
        <f>"1551601182056257"</f>
        <v>1551601182056257</v>
      </c>
      <c r="C3437" t="s">
        <v>40</v>
      </c>
      <c r="D3437">
        <v>4.0829839999999997</v>
      </c>
      <c r="E3437">
        <v>0.54028520000000002</v>
      </c>
      <c r="F3437" t="s">
        <v>42</v>
      </c>
      <c r="G3437">
        <v>-328.60309999999998</v>
      </c>
      <c r="H3437">
        <v>0.92731739999999996</v>
      </c>
      <c r="I3437">
        <v>283.94589999999999</v>
      </c>
      <c r="J3437">
        <v>-328.13099999999997</v>
      </c>
      <c r="K3437">
        <v>1.121151</v>
      </c>
      <c r="L3437">
        <v>283.87779999999998</v>
      </c>
      <c r="M3437">
        <v>-0.99993889999999996</v>
      </c>
      <c r="N3437">
        <v>-1.0868910000000001E-2</v>
      </c>
      <c r="O3437">
        <v>2.0455040000000001E-3</v>
      </c>
      <c r="P3437">
        <v>-0.98677879999999996</v>
      </c>
      <c r="Q3437">
        <v>0.162064299999999</v>
      </c>
      <c r="R3437">
        <v>1.7482330000000001E-3</v>
      </c>
      <c r="S3437">
        <v>-3.1904910000000002</v>
      </c>
      <c r="T3437">
        <v>-0.91826929999999996</v>
      </c>
      <c r="U3437">
        <v>0.32360840000000002</v>
      </c>
      <c r="V3437">
        <v>-2.7552160000000002E-4</v>
      </c>
      <c r="W3437">
        <v>0.17278009999999999</v>
      </c>
      <c r="X3437">
        <v>0.98496039999999996</v>
      </c>
      <c r="Y3437">
        <v>9.4983650000000003E-2</v>
      </c>
      <c r="Z3437">
        <v>1.3338849999999999E-2</v>
      </c>
      <c r="AA3437">
        <v>0.99538950000000004</v>
      </c>
      <c r="AB3437">
        <v>30</v>
      </c>
      <c r="AC3437">
        <v>-0.47210000000001101</v>
      </c>
      <c r="AD3437">
        <v>-0.193833599999999</v>
      </c>
      <c r="AE3437">
        <v>6.8100000000015301E-2</v>
      </c>
      <c r="AF3437">
        <v>5.7619043703869402E-2</v>
      </c>
      <c r="AG3437">
        <v>-0.193833599999999</v>
      </c>
      <c r="AH3437">
        <v>0.40530688613700599</v>
      </c>
      <c r="AI3437">
        <v>115.33655131807799</v>
      </c>
      <c r="AJ3437">
        <v>81.9089604752197</v>
      </c>
      <c r="AK3437">
        <v>0.45295153232590402</v>
      </c>
      <c r="AL3437">
        <v>80.050500688056005</v>
      </c>
      <c r="AM3437">
        <v>90.016027268134707</v>
      </c>
      <c r="AN3437">
        <v>1.00000001421816</v>
      </c>
    </row>
    <row r="3438" spans="1:40" x14ac:dyDescent="0.25">
      <c r="A3438" t="str">
        <f>"20190303161942070"</f>
        <v>20190303161942070</v>
      </c>
      <c r="B3438" t="str">
        <f>"1551601182066016"</f>
        <v>1551601182066016</v>
      </c>
      <c r="C3438" t="s">
        <v>40</v>
      </c>
      <c r="D3438">
        <v>4.0712510000000002</v>
      </c>
      <c r="E3438">
        <v>0.54023089999999996</v>
      </c>
      <c r="F3438" t="s">
        <v>42</v>
      </c>
      <c r="G3438">
        <v>-328.8673</v>
      </c>
      <c r="H3438">
        <v>0.90840670000000001</v>
      </c>
      <c r="I3438">
        <v>283.95269999999999</v>
      </c>
      <c r="J3438">
        <v>-328.29</v>
      </c>
      <c r="K3438">
        <v>1.121156</v>
      </c>
      <c r="L3438">
        <v>283.87810000000002</v>
      </c>
      <c r="M3438">
        <v>-0.99993900000000002</v>
      </c>
      <c r="N3438">
        <v>-1.087167E-2</v>
      </c>
      <c r="O3438">
        <v>2.0285030000000001E-3</v>
      </c>
      <c r="P3438">
        <v>-0.98681059999999998</v>
      </c>
      <c r="Q3438">
        <v>0.16186809999999999</v>
      </c>
      <c r="R3438">
        <v>1.925183E-3</v>
      </c>
      <c r="S3438">
        <v>-3.1910400000000001</v>
      </c>
      <c r="T3438">
        <v>-0.92215800000000003</v>
      </c>
      <c r="U3438">
        <v>0.32360840000000002</v>
      </c>
      <c r="V3438" s="1">
        <v>-8.1680980000000005E-5</v>
      </c>
      <c r="W3438">
        <v>0.17258709999999999</v>
      </c>
      <c r="X3438">
        <v>0.98499429999999999</v>
      </c>
      <c r="Y3438">
        <v>9.4953480000000007E-2</v>
      </c>
      <c r="Z3438">
        <v>1.33892E-2</v>
      </c>
      <c r="AA3438">
        <v>0.99539169999999999</v>
      </c>
      <c r="AB3438">
        <v>31</v>
      </c>
      <c r="AC3438">
        <v>-0.57729999999997905</v>
      </c>
      <c r="AD3438">
        <v>-0.2127493</v>
      </c>
      <c r="AE3438">
        <v>7.4599999999975297E-2</v>
      </c>
      <c r="AF3438">
        <v>6.4775958329659697E-2</v>
      </c>
      <c r="AG3438">
        <v>-0.2127493</v>
      </c>
      <c r="AH3438">
        <v>0.509404022206848</v>
      </c>
      <c r="AI3438">
        <v>112.504586703708</v>
      </c>
      <c r="AJ3438">
        <v>82.753145506503103</v>
      </c>
      <c r="AK3438">
        <v>0.55583329089622802</v>
      </c>
      <c r="AL3438">
        <v>80.061727711663707</v>
      </c>
      <c r="AM3438">
        <v>90.004751271565496</v>
      </c>
      <c r="AN3438">
        <v>1.0000000423953399</v>
      </c>
    </row>
    <row r="3439" spans="1:40" x14ac:dyDescent="0.25">
      <c r="A3439" t="str">
        <f>"20190303161942082"</f>
        <v>20190303161942082</v>
      </c>
      <c r="B3439" t="str">
        <f>"1551601182075776"</f>
        <v>1551601182075776</v>
      </c>
      <c r="C3439" t="s">
        <v>40</v>
      </c>
      <c r="D3439">
        <v>4.0492339999999896</v>
      </c>
      <c r="E3439">
        <v>0.54017440000000005</v>
      </c>
      <c r="F3439" t="s">
        <v>42</v>
      </c>
      <c r="G3439">
        <v>-329.12810000000002</v>
      </c>
      <c r="H3439">
        <v>0.87818940000000001</v>
      </c>
      <c r="I3439">
        <v>283.96319999999997</v>
      </c>
      <c r="J3439">
        <v>-328.44760000000002</v>
      </c>
      <c r="K3439">
        <v>1.121156</v>
      </c>
      <c r="L3439">
        <v>283.8784</v>
      </c>
      <c r="M3439">
        <v>-0.99993889999999996</v>
      </c>
      <c r="N3439">
        <v>-1.0874409999999999E-2</v>
      </c>
      <c r="O3439">
        <v>2.0118010000000001E-3</v>
      </c>
      <c r="P3439">
        <v>-0.98685679999999998</v>
      </c>
      <c r="Q3439">
        <v>0.16158549999999999</v>
      </c>
      <c r="R3439">
        <v>1.9281019999999999E-3</v>
      </c>
      <c r="S3439">
        <v>-3.1912229999999999</v>
      </c>
      <c r="T3439">
        <v>-0.92517340000000003</v>
      </c>
      <c r="U3439">
        <v>0.323028599999999</v>
      </c>
      <c r="V3439" s="1">
        <v>-6.2326869999999897E-5</v>
      </c>
      <c r="W3439">
        <v>0.17230709999999999</v>
      </c>
      <c r="X3439">
        <v>0.98504329999999996</v>
      </c>
      <c r="Y3439">
        <v>9.4768160000000004E-2</v>
      </c>
      <c r="Z3439">
        <v>1.3406400000000001E-2</v>
      </c>
      <c r="AA3439">
        <v>0.99540910000000005</v>
      </c>
      <c r="AB3439">
        <v>31</v>
      </c>
      <c r="AC3439">
        <v>-0.680499999999994</v>
      </c>
      <c r="AD3439">
        <v>-0.2429666</v>
      </c>
      <c r="AE3439">
        <v>8.4799999999972897E-2</v>
      </c>
      <c r="AF3439">
        <v>7.4125769906215097E-2</v>
      </c>
      <c r="AG3439">
        <v>-0.2429666</v>
      </c>
      <c r="AH3439">
        <v>0.60475485355767999</v>
      </c>
      <c r="AI3439">
        <v>111.740931088146</v>
      </c>
      <c r="AJ3439">
        <v>83.012020857725801</v>
      </c>
      <c r="AK3439">
        <v>0.65593889302382502</v>
      </c>
      <c r="AL3439">
        <v>80.0780143185562</v>
      </c>
      <c r="AM3439">
        <v>90.003625288955803</v>
      </c>
      <c r="AN3439">
        <v>1.0000000217349601</v>
      </c>
    </row>
    <row r="3440" spans="1:40" x14ac:dyDescent="0.25">
      <c r="A3440" t="str">
        <f>"20190303161942095"</f>
        <v>20190303161942095</v>
      </c>
      <c r="B3440" t="str">
        <f>"1551601182085536"</f>
        <v>1551601182085536</v>
      </c>
      <c r="C3440" t="s">
        <v>40</v>
      </c>
      <c r="D3440">
        <v>4.0421880000000003</v>
      </c>
      <c r="E3440">
        <v>0.54010019999999903</v>
      </c>
      <c r="F3440" t="s">
        <v>42</v>
      </c>
      <c r="G3440">
        <v>-329.1447</v>
      </c>
      <c r="H3440">
        <v>0.91841950000000006</v>
      </c>
      <c r="I3440">
        <v>283.94920000000002</v>
      </c>
      <c r="J3440">
        <v>-328.61099999999999</v>
      </c>
      <c r="K3440">
        <v>1.1211549999999999</v>
      </c>
      <c r="L3440">
        <v>283.87869999999998</v>
      </c>
      <c r="M3440">
        <v>-0.99993880000000002</v>
      </c>
      <c r="N3440">
        <v>-1.087723E-2</v>
      </c>
      <c r="O3440">
        <v>1.9946199999999999E-3</v>
      </c>
      <c r="P3440">
        <v>-0.98687480000000005</v>
      </c>
      <c r="Q3440">
        <v>0.1614747</v>
      </c>
      <c r="R3440">
        <v>1.9876630000000002E-3</v>
      </c>
      <c r="S3440">
        <v>-3.1913149999999999</v>
      </c>
      <c r="T3440">
        <v>-0.92812099999999997</v>
      </c>
      <c r="U3440">
        <v>0.32290649999999999</v>
      </c>
      <c r="V3440" s="1">
        <v>1.424382E-5</v>
      </c>
      <c r="W3440">
        <v>0.17219960000000001</v>
      </c>
      <c r="X3440">
        <v>0.98506210000000005</v>
      </c>
      <c r="Y3440">
        <v>9.4722000000000001E-2</v>
      </c>
      <c r="Z3440">
        <v>1.3443510000000001E-2</v>
      </c>
      <c r="AA3440">
        <v>0.99541299999999999</v>
      </c>
      <c r="AB3440">
        <v>31</v>
      </c>
      <c r="AC3440">
        <v>-0.53370000000001006</v>
      </c>
      <c r="AD3440">
        <v>-0.20273550000000001</v>
      </c>
      <c r="AE3440">
        <v>7.0500000000038199E-2</v>
      </c>
      <c r="AF3440">
        <v>6.0810787419369801E-2</v>
      </c>
      <c r="AG3440">
        <v>-0.20273550000000001</v>
      </c>
      <c r="AH3440">
        <v>0.46753192389638498</v>
      </c>
      <c r="AI3440">
        <v>113.268049272106</v>
      </c>
      <c r="AJ3440">
        <v>82.5892752038868</v>
      </c>
      <c r="AK3440">
        <v>0.51321119891236699</v>
      </c>
      <c r="AL3440">
        <v>80.084267075838994</v>
      </c>
      <c r="AM3440">
        <v>89.999171513379594</v>
      </c>
      <c r="AN3440">
        <v>1.00000002164972</v>
      </c>
    </row>
    <row r="3441" spans="1:40" x14ac:dyDescent="0.25">
      <c r="A3441" t="str">
        <f>"20190303161942108"</f>
        <v>20190303161942108</v>
      </c>
      <c r="B3441" t="str">
        <f>"1551601182106032"</f>
        <v>1551601182106032</v>
      </c>
      <c r="C3441" t="s">
        <v>40</v>
      </c>
      <c r="D3441">
        <v>4.0674080000000004</v>
      </c>
      <c r="E3441">
        <v>0.54000630000000005</v>
      </c>
      <c r="F3441" t="s">
        <v>42</v>
      </c>
      <c r="G3441">
        <v>-329.4058</v>
      </c>
      <c r="H3441">
        <v>0.88929360000000002</v>
      </c>
      <c r="I3441">
        <v>283.95960000000002</v>
      </c>
      <c r="J3441">
        <v>-328.80189999999999</v>
      </c>
      <c r="K3441">
        <v>1.1211549999999999</v>
      </c>
      <c r="L3441">
        <v>283.87909999999999</v>
      </c>
      <c r="M3441">
        <v>-0.99993900000000002</v>
      </c>
      <c r="N3441">
        <v>-1.088046E-2</v>
      </c>
      <c r="O3441">
        <v>1.9742179999999998E-3</v>
      </c>
      <c r="P3441">
        <v>-0.98690770000000005</v>
      </c>
      <c r="Q3441">
        <v>0.16127339999999901</v>
      </c>
      <c r="R3441">
        <v>2.058668E-3</v>
      </c>
      <c r="S3441">
        <v>-3.1916199999999999</v>
      </c>
      <c r="T3441">
        <v>-0.93105389999999999</v>
      </c>
      <c r="U3441">
        <v>0.32235720000000001</v>
      </c>
      <c r="V3441">
        <v>1.05262E-4</v>
      </c>
      <c r="W3441">
        <v>0.17200179999999901</v>
      </c>
      <c r="X3441">
        <v>0.98509659999999999</v>
      </c>
      <c r="Y3441">
        <v>9.4546409999999997E-2</v>
      </c>
      <c r="Z3441">
        <v>1.346137E-2</v>
      </c>
      <c r="AA3441">
        <v>0.99542949999999997</v>
      </c>
      <c r="AB3441">
        <v>31</v>
      </c>
      <c r="AC3441">
        <v>-0.60390000000000998</v>
      </c>
      <c r="AD3441">
        <v>-0.231861399999999</v>
      </c>
      <c r="AE3441">
        <v>8.0500000000029104E-2</v>
      </c>
      <c r="AF3441">
        <v>6.9274128644781593E-2</v>
      </c>
      <c r="AG3441">
        <v>-0.231861399999999</v>
      </c>
      <c r="AH3441">
        <v>0.52763676027107598</v>
      </c>
      <c r="AI3441">
        <v>113.542500267918</v>
      </c>
      <c r="AJ3441">
        <v>82.520342133000895</v>
      </c>
      <c r="AK3441">
        <v>0.58048183821615795</v>
      </c>
      <c r="AL3441">
        <v>80.095771330576397</v>
      </c>
      <c r="AM3441">
        <v>89.993877688421406</v>
      </c>
      <c r="AN3441">
        <v>0.99999997080744296</v>
      </c>
    </row>
    <row r="3442" spans="1:40" x14ac:dyDescent="0.25">
      <c r="A3442" t="str">
        <f>"20190303161942127"</f>
        <v>20190303161942127</v>
      </c>
      <c r="B3442" t="str">
        <f>"1551601182115792"</f>
        <v>1551601182115792</v>
      </c>
      <c r="C3442" t="s">
        <v>40</v>
      </c>
      <c r="D3442">
        <v>4.0334979999999998</v>
      </c>
      <c r="E3442">
        <v>0.54000090000000001</v>
      </c>
      <c r="F3442" t="s">
        <v>42</v>
      </c>
      <c r="G3442">
        <v>-329.6703</v>
      </c>
      <c r="H3442">
        <v>0.86693330000000002</v>
      </c>
      <c r="I3442">
        <v>283.96679999999998</v>
      </c>
      <c r="J3442">
        <v>-329.05560000000003</v>
      </c>
      <c r="K3442">
        <v>1.121157</v>
      </c>
      <c r="L3442">
        <v>283.87950000000001</v>
      </c>
      <c r="M3442">
        <v>-0.99993889999999996</v>
      </c>
      <c r="N3442">
        <v>-1.088455E-2</v>
      </c>
      <c r="O3442">
        <v>1.947612E-3</v>
      </c>
      <c r="P3442">
        <v>-0.98699079999999995</v>
      </c>
      <c r="Q3442">
        <v>0.16076079999999901</v>
      </c>
      <c r="R3442">
        <v>2.2844580000000001E-3</v>
      </c>
      <c r="S3442">
        <v>-3.1918329999999999</v>
      </c>
      <c r="T3442">
        <v>-0.93443759999999998</v>
      </c>
      <c r="U3442">
        <v>0.32165529999999998</v>
      </c>
      <c r="V3442">
        <v>3.5723280000000003E-4</v>
      </c>
      <c r="W3442">
        <v>0.17149400000000001</v>
      </c>
      <c r="X3442">
        <v>0.98518510000000004</v>
      </c>
      <c r="Y3442">
        <v>9.4330330000000004E-2</v>
      </c>
      <c r="Z3442">
        <v>1.348122E-2</v>
      </c>
      <c r="AA3442">
        <v>0.99544969999999999</v>
      </c>
      <c r="AB3442">
        <v>31</v>
      </c>
      <c r="AC3442">
        <v>-0.61469999999997005</v>
      </c>
      <c r="AD3442">
        <v>-0.254223699999999</v>
      </c>
      <c r="AE3442">
        <v>8.7299999999970596E-2</v>
      </c>
      <c r="AF3442">
        <v>7.3739325500157202E-2</v>
      </c>
      <c r="AG3442">
        <v>-0.254223699999999</v>
      </c>
      <c r="AH3442">
        <v>0.52658146755579205</v>
      </c>
      <c r="AI3442">
        <v>115.553222068932</v>
      </c>
      <c r="AJ3442">
        <v>82.028477269518305</v>
      </c>
      <c r="AK3442">
        <v>0.58936849232048305</v>
      </c>
      <c r="AL3442">
        <v>80.125305266677003</v>
      </c>
      <c r="AM3442">
        <v>89.979224278923198</v>
      </c>
      <c r="AN3442">
        <v>1.0000000004566401</v>
      </c>
    </row>
    <row r="3443" spans="1:40" x14ac:dyDescent="0.25">
      <c r="A3443" t="str">
        <f>"20190303161942148"</f>
        <v>20190303161942148</v>
      </c>
      <c r="B3443" t="str">
        <f>"1551601182146049"</f>
        <v>1551601182146049</v>
      </c>
      <c r="C3443" t="s">
        <v>40</v>
      </c>
      <c r="D3443">
        <v>3.988442</v>
      </c>
      <c r="E3443">
        <v>0.53987909999999995</v>
      </c>
      <c r="F3443" t="s">
        <v>42</v>
      </c>
      <c r="G3443">
        <v>-329.94150000000002</v>
      </c>
      <c r="H3443">
        <v>0.86087179999999996</v>
      </c>
      <c r="I3443">
        <v>283.96949999999998</v>
      </c>
      <c r="J3443">
        <v>-329.35169999999999</v>
      </c>
      <c r="K3443">
        <v>1.121156</v>
      </c>
      <c r="L3443">
        <v>283.88010000000003</v>
      </c>
      <c r="M3443">
        <v>-0.99993900000000002</v>
      </c>
      <c r="N3443">
        <v>-1.088941E-2</v>
      </c>
      <c r="O3443">
        <v>1.9160550000000001E-3</v>
      </c>
      <c r="P3443">
        <v>-0.98699150000000002</v>
      </c>
      <c r="Q3443">
        <v>0.16075320000000001</v>
      </c>
      <c r="R3443">
        <v>2.51184E-3</v>
      </c>
      <c r="S3443">
        <v>-3.1915279999999999</v>
      </c>
      <c r="T3443">
        <v>-0.93770169999999997</v>
      </c>
      <c r="U3443">
        <v>0.32229609999999997</v>
      </c>
      <c r="V3443">
        <v>6.1569540000000001E-4</v>
      </c>
      <c r="W3443">
        <v>0.1714917</v>
      </c>
      <c r="X3443">
        <v>0.98518539999999999</v>
      </c>
      <c r="Y3443">
        <v>9.4531509999999999E-2</v>
      </c>
      <c r="Z3443">
        <v>1.3564690000000001E-2</v>
      </c>
      <c r="AA3443">
        <v>0.99542949999999997</v>
      </c>
      <c r="AB3443">
        <v>31</v>
      </c>
      <c r="AC3443">
        <v>-0.58980000000002497</v>
      </c>
      <c r="AD3443">
        <v>-0.26028420000000002</v>
      </c>
      <c r="AE3443">
        <v>8.9399999999955002E-2</v>
      </c>
      <c r="AF3443">
        <v>7.4152535951243395E-2</v>
      </c>
      <c r="AG3443">
        <v>-0.26028420000000002</v>
      </c>
      <c r="AH3443">
        <v>0.49561512242911798</v>
      </c>
      <c r="AI3443">
        <v>117.447041552301</v>
      </c>
      <c r="AJ3443">
        <v>81.490687026207596</v>
      </c>
      <c r="AK3443">
        <v>0.564695327533414</v>
      </c>
      <c r="AL3443">
        <v>80.125439296440305</v>
      </c>
      <c r="AM3443">
        <v>89.964192787171797</v>
      </c>
      <c r="AN3443">
        <v>1.00000002731143</v>
      </c>
    </row>
    <row r="3444" spans="1:40" x14ac:dyDescent="0.25">
      <c r="A3444" t="str">
        <f>"20190303161942161"</f>
        <v>20190303161942161</v>
      </c>
      <c r="B3444" t="str">
        <f>"1551601182155809"</f>
        <v>1551601182155809</v>
      </c>
      <c r="C3444" t="s">
        <v>40</v>
      </c>
      <c r="D3444">
        <v>4.0695779999999999</v>
      </c>
      <c r="E3444">
        <v>0.53987319999999905</v>
      </c>
      <c r="F3444" t="s">
        <v>42</v>
      </c>
      <c r="G3444">
        <v>-330.21719999999999</v>
      </c>
      <c r="H3444">
        <v>0.86567430000000001</v>
      </c>
      <c r="I3444">
        <v>283.9676</v>
      </c>
      <c r="J3444">
        <v>-329.5224</v>
      </c>
      <c r="K3444">
        <v>1.121157</v>
      </c>
      <c r="L3444">
        <v>283.88040000000001</v>
      </c>
      <c r="M3444">
        <v>-0.99993900000000002</v>
      </c>
      <c r="N3444">
        <v>-1.089242E-2</v>
      </c>
      <c r="O3444">
        <v>1.897861E-3</v>
      </c>
      <c r="P3444">
        <v>-0.98700719999999997</v>
      </c>
      <c r="Q3444">
        <v>0.1606582</v>
      </c>
      <c r="R3444">
        <v>2.3870290000000001E-3</v>
      </c>
      <c r="S3444">
        <v>-3.1922000000000001</v>
      </c>
      <c r="T3444">
        <v>-0.94237839999999995</v>
      </c>
      <c r="U3444">
        <v>0.32229609999999997</v>
      </c>
      <c r="V3444">
        <v>5.0878070000000004E-4</v>
      </c>
      <c r="W3444">
        <v>0.17139960000000001</v>
      </c>
      <c r="X3444">
        <v>0.98520149999999995</v>
      </c>
      <c r="Y3444">
        <v>9.4492469999999995E-2</v>
      </c>
      <c r="Z3444">
        <v>1.362381E-2</v>
      </c>
      <c r="AA3444">
        <v>0.9954324</v>
      </c>
      <c r="AB3444">
        <v>31</v>
      </c>
      <c r="AC3444">
        <v>-0.69479999999998598</v>
      </c>
      <c r="AD3444">
        <v>-0.25548269999999901</v>
      </c>
      <c r="AE3444">
        <v>8.7199999999995698E-2</v>
      </c>
      <c r="AF3444">
        <v>7.5792294412731998E-2</v>
      </c>
      <c r="AG3444">
        <v>-0.25548269999999901</v>
      </c>
      <c r="AH3444">
        <v>0.613323724749403</v>
      </c>
      <c r="AI3444">
        <v>112.46067855872001</v>
      </c>
      <c r="AJ3444">
        <v>82.955313083490793</v>
      </c>
      <c r="AK3444">
        <v>0.66871658662853395</v>
      </c>
      <c r="AL3444">
        <v>80.130795657670404</v>
      </c>
      <c r="AM3444">
        <v>89.970411145114696</v>
      </c>
      <c r="AN3444">
        <v>1.0000000386701</v>
      </c>
    </row>
    <row r="3445" spans="1:40" x14ac:dyDescent="0.25">
      <c r="A3445" t="str">
        <f>"20190303161942173"</f>
        <v>20190303161942173</v>
      </c>
      <c r="B3445" t="str">
        <f>"1551601182165568"</f>
        <v>1551601182165568</v>
      </c>
      <c r="C3445" t="s">
        <v>40</v>
      </c>
      <c r="D3445">
        <v>4.0690799999999996</v>
      </c>
      <c r="E3445">
        <v>0.53986149999999999</v>
      </c>
      <c r="F3445" t="s">
        <v>42</v>
      </c>
      <c r="G3445">
        <v>-330.23540000000003</v>
      </c>
      <c r="H3445">
        <v>0.91041530000000004</v>
      </c>
      <c r="I3445">
        <v>283.95229999999998</v>
      </c>
      <c r="J3445">
        <v>-329.6841</v>
      </c>
      <c r="K3445">
        <v>1.121151</v>
      </c>
      <c r="L3445">
        <v>283.88069999999999</v>
      </c>
      <c r="M3445">
        <v>-0.99993900000000002</v>
      </c>
      <c r="N3445">
        <v>-1.089533E-2</v>
      </c>
      <c r="O3445">
        <v>1.88068E-3</v>
      </c>
      <c r="P3445">
        <v>-0.98701669999999997</v>
      </c>
      <c r="Q3445">
        <v>0.160603</v>
      </c>
      <c r="R3445">
        <v>2.2132979999999998E-3</v>
      </c>
      <c r="S3445">
        <v>-3.192291</v>
      </c>
      <c r="T3445">
        <v>-0.94370080000000001</v>
      </c>
      <c r="U3445">
        <v>0.3214417</v>
      </c>
      <c r="V3445">
        <v>3.5217320000000002E-4</v>
      </c>
      <c r="W3445">
        <v>0.17134739999999901</v>
      </c>
      <c r="X3445">
        <v>0.98521060000000005</v>
      </c>
      <c r="Y3445">
        <v>9.4242350000000003E-2</v>
      </c>
      <c r="Z3445">
        <v>1.360865E-2</v>
      </c>
      <c r="AA3445">
        <v>0.99545629999999996</v>
      </c>
      <c r="AB3445">
        <v>31</v>
      </c>
      <c r="AC3445">
        <v>-0.55130000000002599</v>
      </c>
      <c r="AD3445">
        <v>-0.2107357</v>
      </c>
      <c r="AE3445">
        <v>7.1599999999989394E-2</v>
      </c>
      <c r="AF3445">
        <v>6.1697490012498697E-2</v>
      </c>
      <c r="AG3445">
        <v>-0.2107357</v>
      </c>
      <c r="AH3445">
        <v>0.482151806201289</v>
      </c>
      <c r="AI3445">
        <v>113.43857780584</v>
      </c>
      <c r="AJ3445">
        <v>82.707901346565905</v>
      </c>
      <c r="AK3445">
        <v>0.52979852750974898</v>
      </c>
      <c r="AL3445">
        <v>80.133830932028303</v>
      </c>
      <c r="AM3445">
        <v>89.979519062058202</v>
      </c>
      <c r="AN3445">
        <v>0.99999999093254099</v>
      </c>
    </row>
    <row r="3446" spans="1:40" x14ac:dyDescent="0.25">
      <c r="A3446" t="str">
        <f>"20190303161942185"</f>
        <v>20190303161942185</v>
      </c>
      <c r="B3446" t="str">
        <f>"1551601182176304"</f>
        <v>1551601182176304</v>
      </c>
      <c r="C3446" t="s">
        <v>40</v>
      </c>
      <c r="D3446">
        <v>4.0671660000000003</v>
      </c>
      <c r="E3446">
        <v>0.53986149999999999</v>
      </c>
      <c r="F3446" t="s">
        <v>42</v>
      </c>
      <c r="G3446">
        <v>-330.49709999999999</v>
      </c>
      <c r="H3446">
        <v>0.88064089999999995</v>
      </c>
      <c r="I3446">
        <v>283.96280000000002</v>
      </c>
      <c r="J3446">
        <v>-329.84530000000001</v>
      </c>
      <c r="K3446">
        <v>1.1211500000000001</v>
      </c>
      <c r="L3446">
        <v>283.88099999999997</v>
      </c>
      <c r="M3446">
        <v>-0.99993889999999996</v>
      </c>
      <c r="N3446">
        <v>-1.089825E-2</v>
      </c>
      <c r="O3446">
        <v>1.8636760000000001E-3</v>
      </c>
      <c r="P3446">
        <v>-0.98698050000000004</v>
      </c>
      <c r="Q3446">
        <v>0.160827</v>
      </c>
      <c r="R3446">
        <v>2.0968380000000002E-3</v>
      </c>
      <c r="S3446">
        <v>-3.1924130000000002</v>
      </c>
      <c r="T3446">
        <v>-0.94441200000000003</v>
      </c>
      <c r="U3446">
        <v>0.32089230000000002</v>
      </c>
      <c r="V3446">
        <v>2.5256779999999998E-4</v>
      </c>
      <c r="W3446">
        <v>0.1715739</v>
      </c>
      <c r="X3446">
        <v>0.98517120000000002</v>
      </c>
      <c r="Y3446">
        <v>9.4086359999999994E-2</v>
      </c>
      <c r="Z3446">
        <v>1.359921E-2</v>
      </c>
      <c r="AA3446">
        <v>0.9954712</v>
      </c>
      <c r="AB3446">
        <v>31</v>
      </c>
      <c r="AC3446">
        <v>-0.65179999999997995</v>
      </c>
      <c r="AD3446">
        <v>-0.2405091</v>
      </c>
      <c r="AE3446">
        <v>8.1800000000043796E-2</v>
      </c>
      <c r="AF3446">
        <v>7.1059887101129995E-2</v>
      </c>
      <c r="AG3446">
        <v>-0.2405091</v>
      </c>
      <c r="AH3446">
        <v>0.57489065670714301</v>
      </c>
      <c r="AI3446">
        <v>112.548053890616</v>
      </c>
      <c r="AJ3446">
        <v>82.953643293144694</v>
      </c>
      <c r="AK3446">
        <v>0.62721081137589196</v>
      </c>
      <c r="AL3446">
        <v>80.120658257074695</v>
      </c>
      <c r="AM3446">
        <v>89.985311112765103</v>
      </c>
      <c r="AN3446">
        <v>0.99999998013057101</v>
      </c>
    </row>
    <row r="3447" spans="1:40" x14ac:dyDescent="0.25">
      <c r="A3447" t="str">
        <f>"20190303161942196"</f>
        <v>20190303161942196</v>
      </c>
      <c r="B3447" t="str">
        <f>"1551601182186064"</f>
        <v>1551601182186064</v>
      </c>
      <c r="C3447" t="s">
        <v>40</v>
      </c>
      <c r="D3447">
        <v>4.0637809999999996</v>
      </c>
      <c r="E3447">
        <v>0.52345120000000001</v>
      </c>
      <c r="F3447" t="s">
        <v>42</v>
      </c>
      <c r="G3447">
        <v>-330.51519999999999</v>
      </c>
      <c r="H3447">
        <v>0.9231644</v>
      </c>
      <c r="I3447">
        <v>283.9486</v>
      </c>
      <c r="J3447">
        <v>-330.0061</v>
      </c>
      <c r="K3447">
        <v>1.1211519999999999</v>
      </c>
      <c r="L3447">
        <v>283.88130000000001</v>
      </c>
      <c r="M3447">
        <v>-0.99993889999999996</v>
      </c>
      <c r="N3447">
        <v>-1.090117E-2</v>
      </c>
      <c r="O3447">
        <v>1.846791E-3</v>
      </c>
      <c r="P3447">
        <v>-0.9869909</v>
      </c>
      <c r="Q3447">
        <v>0.16076289999999999</v>
      </c>
      <c r="R3447">
        <v>2.0859720000000002E-3</v>
      </c>
      <c r="S3447">
        <v>-3.1926570000000001</v>
      </c>
      <c r="T3447">
        <v>-0.94362469999999998</v>
      </c>
      <c r="U3447">
        <v>0.32070920000000003</v>
      </c>
      <c r="V3447">
        <v>2.5829329999999998E-4</v>
      </c>
      <c r="W3447">
        <v>0.17151279999999999</v>
      </c>
      <c r="X3447">
        <v>0.98518190000000005</v>
      </c>
      <c r="Y3447">
        <v>9.4047169999999999E-2</v>
      </c>
      <c r="Z3447">
        <v>1.35868E-2</v>
      </c>
      <c r="AA3447">
        <v>0.99547509999999995</v>
      </c>
      <c r="AB3447">
        <v>31</v>
      </c>
      <c r="AC3447">
        <v>-0.50909999999998901</v>
      </c>
      <c r="AD3447">
        <v>-0.19798760000000001</v>
      </c>
      <c r="AE3447">
        <v>6.7299999999988799E-2</v>
      </c>
      <c r="AF3447">
        <v>5.7772170413549102E-2</v>
      </c>
      <c r="AG3447">
        <v>-0.19798760000000001</v>
      </c>
      <c r="AH3447">
        <v>0.44332591249574299</v>
      </c>
      <c r="AI3447">
        <v>113.886234612762</v>
      </c>
      <c r="AJ3447">
        <v>82.575320774395905</v>
      </c>
      <c r="AK3447">
        <v>0.48895253155928697</v>
      </c>
      <c r="AL3447">
        <v>80.124212317506505</v>
      </c>
      <c r="AM3447">
        <v>89.984978291189194</v>
      </c>
      <c r="AN3447">
        <v>1.00000004168343</v>
      </c>
    </row>
    <row r="3448" spans="1:40" x14ac:dyDescent="0.25">
      <c r="A3448" t="str">
        <f>"20190303161942209"</f>
        <v>20190303161942209</v>
      </c>
      <c r="B3448" t="str">
        <f>"1551601182205585"</f>
        <v>1551601182205585</v>
      </c>
      <c r="C3448" t="s">
        <v>40</v>
      </c>
      <c r="D3448">
        <v>4.1205910000000001</v>
      </c>
      <c r="E3448">
        <v>0.51828719999999995</v>
      </c>
      <c r="F3448" t="s">
        <v>42</v>
      </c>
      <c r="G3448">
        <v>-330.81790000000001</v>
      </c>
      <c r="H3448">
        <v>0.98093430000000004</v>
      </c>
      <c r="I3448">
        <v>283.93079999999998</v>
      </c>
      <c r="J3448">
        <v>-330.1832</v>
      </c>
      <c r="K3448">
        <v>1.121148</v>
      </c>
      <c r="L3448">
        <v>283.88159999999999</v>
      </c>
      <c r="M3448">
        <v>-0.99993880000000002</v>
      </c>
      <c r="N3448">
        <v>-1.090438E-2</v>
      </c>
      <c r="O3448">
        <v>1.828058E-3</v>
      </c>
      <c r="P3448">
        <v>-0.98693249999999999</v>
      </c>
      <c r="Q3448">
        <v>0.1611244</v>
      </c>
      <c r="R3448">
        <v>1.7509540000000001E-3</v>
      </c>
      <c r="S3448">
        <v>-3.1271360000000001</v>
      </c>
      <c r="T3448">
        <v>-0.54029039999999995</v>
      </c>
      <c r="U3448">
        <v>0.1905212</v>
      </c>
      <c r="V3448" s="1">
        <v>-5.8363799999999998E-5</v>
      </c>
      <c r="W3448">
        <v>0.17187729999999901</v>
      </c>
      <c r="X3448">
        <v>0.9851183</v>
      </c>
      <c r="Y3448">
        <v>5.8098490000000003E-2</v>
      </c>
      <c r="Z3448">
        <v>5.0036409999999996E-3</v>
      </c>
      <c r="AA3448">
        <v>0.99829829999999997</v>
      </c>
      <c r="AB3448">
        <v>31</v>
      </c>
      <c r="AC3448">
        <v>-0.63470000000000903</v>
      </c>
      <c r="AD3448">
        <v>-0.1402137</v>
      </c>
      <c r="AE3448">
        <v>4.9199999999984798E-2</v>
      </c>
      <c r="AF3448">
        <v>4.5816944943260801E-2</v>
      </c>
      <c r="AG3448">
        <v>-0.1402137</v>
      </c>
      <c r="AH3448">
        <v>0.60541926517851896</v>
      </c>
      <c r="AI3448">
        <v>103.00376033548601</v>
      </c>
      <c r="AJ3448">
        <v>85.672216954150102</v>
      </c>
      <c r="AK3448">
        <v>0.62313045244228105</v>
      </c>
      <c r="AL3448">
        <v>80.103012159681896</v>
      </c>
      <c r="AM3448">
        <v>90.003394515574797</v>
      </c>
      <c r="AN3448">
        <v>0.99999993732825398</v>
      </c>
    </row>
    <row r="3449" spans="1:40" x14ac:dyDescent="0.25">
      <c r="A3449" t="str">
        <f>"20190303161942221"</f>
        <v>20190303161942221</v>
      </c>
      <c r="B3449" t="str">
        <f>"1551601182216321"</f>
        <v>1551601182216321</v>
      </c>
      <c r="C3449" t="s">
        <v>40</v>
      </c>
      <c r="D3449">
        <v>4.1529129999999999</v>
      </c>
      <c r="E3449">
        <v>0.4893458</v>
      </c>
      <c r="F3449" t="s">
        <v>42</v>
      </c>
      <c r="G3449">
        <v>-331.10449999999997</v>
      </c>
      <c r="H3449">
        <v>1.0060750000000001</v>
      </c>
      <c r="I3449">
        <v>283.92619999999999</v>
      </c>
      <c r="J3449">
        <v>-330.3492</v>
      </c>
      <c r="K3449">
        <v>1.1211500000000001</v>
      </c>
      <c r="L3449">
        <v>283.88189999999997</v>
      </c>
      <c r="M3449">
        <v>-0.99993889999999996</v>
      </c>
      <c r="N3449">
        <v>-1.0907389999999999E-2</v>
      </c>
      <c r="O3449">
        <v>1.8106960000000001E-3</v>
      </c>
      <c r="P3449">
        <v>-0.98690319999999998</v>
      </c>
      <c r="Q3449">
        <v>0.16130559999999999</v>
      </c>
      <c r="R3449">
        <v>1.6712529999999999E-3</v>
      </c>
      <c r="S3449">
        <v>-3.1027529999999999</v>
      </c>
      <c r="T3449">
        <v>-0.38781850000000001</v>
      </c>
      <c r="U3449">
        <v>0.14862059999999999</v>
      </c>
      <c r="V3449">
        <v>-1.205473E-4</v>
      </c>
      <c r="W3449">
        <v>0.17206050000000001</v>
      </c>
      <c r="X3449">
        <v>0.98508640000000003</v>
      </c>
      <c r="Y3449">
        <v>4.5661920000000002E-2</v>
      </c>
      <c r="Z3449">
        <v>2.8855909999999999E-3</v>
      </c>
      <c r="AA3449">
        <v>0.99895279999999997</v>
      </c>
      <c r="AB3449">
        <v>31</v>
      </c>
      <c r="AC3449">
        <v>-0.75529999999997699</v>
      </c>
      <c r="AD3449">
        <v>-0.115075</v>
      </c>
      <c r="AE3449">
        <v>4.43000000000211E-2</v>
      </c>
      <c r="AF3449">
        <v>4.1961532136442797E-2</v>
      </c>
      <c r="AG3449">
        <v>-0.115075</v>
      </c>
      <c r="AH3449">
        <v>0.73829990447280203</v>
      </c>
      <c r="AI3449">
        <v>98.845067885996798</v>
      </c>
      <c r="AJ3449">
        <v>86.747074005176799</v>
      </c>
      <c r="AK3449">
        <v>0.74839145822810305</v>
      </c>
      <c r="AL3449">
        <v>80.092357688817103</v>
      </c>
      <c r="AM3449">
        <v>90.007011416955095</v>
      </c>
      <c r="AN3449">
        <v>1.00000002282843</v>
      </c>
    </row>
    <row r="3450" spans="1:40" x14ac:dyDescent="0.25">
      <c r="A3450" t="str">
        <f>"20190303161942232"</f>
        <v>20190303161942232</v>
      </c>
      <c r="B3450" t="str">
        <f>"1551601182226081"</f>
        <v>1551601182226081</v>
      </c>
      <c r="C3450" t="s">
        <v>40</v>
      </c>
      <c r="D3450">
        <v>4.1380379999999999</v>
      </c>
      <c r="E3450">
        <v>0.48812070000000002</v>
      </c>
      <c r="F3450" t="s">
        <v>57</v>
      </c>
      <c r="G3450">
        <v>-511.9622</v>
      </c>
      <c r="H3450">
        <v>10.812989999999999</v>
      </c>
      <c r="I3450">
        <v>279.00830000000002</v>
      </c>
      <c r="J3450">
        <v>-330.5061</v>
      </c>
      <c r="K3450">
        <v>1.121151</v>
      </c>
      <c r="L3450">
        <v>283.88209999999998</v>
      </c>
      <c r="M3450">
        <v>-0.99993900000000002</v>
      </c>
      <c r="N3450">
        <v>-1.091021E-2</v>
      </c>
      <c r="O3450">
        <v>1.794052E-3</v>
      </c>
      <c r="P3450">
        <v>-0.98688509999999996</v>
      </c>
      <c r="Q3450">
        <v>0.1614188</v>
      </c>
      <c r="R3450">
        <v>1.4711380000000001E-3</v>
      </c>
      <c r="S3450">
        <v>-3.0136720000000001</v>
      </c>
      <c r="T3450">
        <v>0.16082679999999999</v>
      </c>
      <c r="U3450">
        <v>-8.0871579999999998E-2</v>
      </c>
      <c r="V3450">
        <v>-3.042039E-4</v>
      </c>
      <c r="W3450">
        <v>0.1721761</v>
      </c>
      <c r="X3450">
        <v>0.98506609999999994</v>
      </c>
      <c r="Y3450">
        <v>-2.8582699999999999E-2</v>
      </c>
      <c r="Z3450">
        <v>7.2115669999999897E-4</v>
      </c>
      <c r="AA3450">
        <v>0.99959120000000001</v>
      </c>
      <c r="AB3450">
        <v>31</v>
      </c>
      <c r="AC3450">
        <v>-181.45609999999999</v>
      </c>
      <c r="AD3450">
        <v>9.6918389999999999</v>
      </c>
      <c r="AE3450">
        <v>-4.8737999999999602</v>
      </c>
      <c r="AF3450">
        <v>-5.1845733528036799</v>
      </c>
      <c r="AG3450">
        <v>9.6918389999999999</v>
      </c>
      <c r="AH3450">
        <v>180.931277411786</v>
      </c>
      <c r="AI3450">
        <v>86.935056877077002</v>
      </c>
      <c r="AJ3450">
        <v>91.641357490758196</v>
      </c>
      <c r="AK3450">
        <v>181.26483026200401</v>
      </c>
      <c r="AL3450">
        <v>80.085633341193201</v>
      </c>
      <c r="AM3450">
        <v>90.017693837020005</v>
      </c>
      <c r="AN3450">
        <v>0.99999996166021499</v>
      </c>
    </row>
    <row r="3451" spans="1:40" x14ac:dyDescent="0.25">
      <c r="A3451" t="str">
        <f>"20190303161942246"</f>
        <v>20190303161942246</v>
      </c>
      <c r="B3451" t="str">
        <f>"1551601182235842"</f>
        <v>1551601182235842</v>
      </c>
      <c r="C3451" t="s">
        <v>40</v>
      </c>
      <c r="D3451">
        <v>4.1228150000000001</v>
      </c>
      <c r="E3451">
        <v>0.48856670000000002</v>
      </c>
      <c r="F3451" t="s">
        <v>57</v>
      </c>
      <c r="G3451">
        <v>-511.96249999999998</v>
      </c>
      <c r="H3451">
        <v>11.7362</v>
      </c>
      <c r="I3451">
        <v>278.38720000000001</v>
      </c>
      <c r="J3451">
        <v>-330.68020000000001</v>
      </c>
      <c r="K3451">
        <v>1.121159</v>
      </c>
      <c r="L3451">
        <v>283.88240000000002</v>
      </c>
      <c r="M3451">
        <v>-0.99993900000000002</v>
      </c>
      <c r="N3451">
        <v>-1.0913330000000001E-2</v>
      </c>
      <c r="O3451">
        <v>1.775499E-3</v>
      </c>
      <c r="P3451">
        <v>-0.986869</v>
      </c>
      <c r="Q3451">
        <v>0.16151840000000001</v>
      </c>
      <c r="R3451">
        <v>1.3575E-3</v>
      </c>
      <c r="S3451">
        <v>-3.0112299999999999</v>
      </c>
      <c r="T3451">
        <v>0.1761556</v>
      </c>
      <c r="U3451">
        <v>-9.1186519999999993E-2</v>
      </c>
      <c r="V3451">
        <v>-4.0001860000000002E-4</v>
      </c>
      <c r="W3451">
        <v>0.17227890000000001</v>
      </c>
      <c r="X3451">
        <v>0.98504809999999998</v>
      </c>
      <c r="Y3451">
        <v>-3.199432E-2</v>
      </c>
      <c r="Z3451">
        <v>8.8317179999999895E-4</v>
      </c>
      <c r="AA3451">
        <v>0.99948760000000003</v>
      </c>
      <c r="AB3451">
        <v>31</v>
      </c>
      <c r="AC3451">
        <v>-181.28229999999999</v>
      </c>
      <c r="AD3451">
        <v>10.615041</v>
      </c>
      <c r="AE3451">
        <v>-5.4952000000000103</v>
      </c>
      <c r="AF3451">
        <v>-5.7972181931696198</v>
      </c>
      <c r="AG3451">
        <v>10.615041</v>
      </c>
      <c r="AH3451">
        <v>180.65341483861599</v>
      </c>
      <c r="AI3451">
        <v>86.638941501800304</v>
      </c>
      <c r="AJ3451">
        <v>91.838006713069504</v>
      </c>
      <c r="AK3451">
        <v>181.057844699047</v>
      </c>
      <c r="AL3451">
        <v>80.079654063651205</v>
      </c>
      <c r="AM3451">
        <v>90.023267266082598</v>
      </c>
      <c r="AN3451">
        <v>0.99999996935684898</v>
      </c>
    </row>
    <row r="3452" spans="1:40" x14ac:dyDescent="0.25">
      <c r="A3452" t="str">
        <f>"20190303161942260"</f>
        <v>20190303161942260</v>
      </c>
      <c r="B3452" t="str">
        <f>"1551601182245600"</f>
        <v>1551601182245600</v>
      </c>
      <c r="C3452" t="s">
        <v>40</v>
      </c>
      <c r="D3452">
        <v>4.1692809999999998</v>
      </c>
      <c r="E3452">
        <v>0.48910179999999998</v>
      </c>
      <c r="F3452" t="s">
        <v>57</v>
      </c>
      <c r="G3452">
        <v>-511.96249999999998</v>
      </c>
      <c r="H3452">
        <v>11.797140000000001</v>
      </c>
      <c r="I3452">
        <v>278.58539999999999</v>
      </c>
      <c r="J3452">
        <v>-330.88569999999999</v>
      </c>
      <c r="K3452">
        <v>1.121159</v>
      </c>
      <c r="L3452">
        <v>283.88279999999997</v>
      </c>
      <c r="M3452">
        <v>-0.99993889999999996</v>
      </c>
      <c r="N3452">
        <v>-1.091701E-2</v>
      </c>
      <c r="O3452">
        <v>1.7539019999999999E-3</v>
      </c>
      <c r="P3452">
        <v>-0.98679419999999995</v>
      </c>
      <c r="Q3452">
        <v>0.161976799999999</v>
      </c>
      <c r="R3452">
        <v>9.7660299999999993E-4</v>
      </c>
      <c r="S3452">
        <v>-3.011047</v>
      </c>
      <c r="T3452">
        <v>0.17732619999999999</v>
      </c>
      <c r="U3452">
        <v>-8.7982179999999993E-2</v>
      </c>
      <c r="V3452">
        <v>-7.592826E-4</v>
      </c>
      <c r="W3452">
        <v>0.17274020000000001</v>
      </c>
      <c r="X3452">
        <v>0.98496709999999998</v>
      </c>
      <c r="Y3452">
        <v>-3.0912700000000001E-2</v>
      </c>
      <c r="Z3452">
        <v>8.6267869999999999E-4</v>
      </c>
      <c r="AA3452">
        <v>0.99952169999999896</v>
      </c>
      <c r="AB3452">
        <v>31</v>
      </c>
      <c r="AC3452">
        <v>-181.07679999999999</v>
      </c>
      <c r="AD3452">
        <v>10.675980999999901</v>
      </c>
      <c r="AE3452">
        <v>-5.2973999999999801</v>
      </c>
      <c r="AF3452">
        <v>-5.5955677130036099</v>
      </c>
      <c r="AG3452">
        <v>10.675980999999901</v>
      </c>
      <c r="AH3452">
        <v>180.44054009549501</v>
      </c>
      <c r="AI3452">
        <v>86.615597021708794</v>
      </c>
      <c r="AJ3452">
        <v>91.776206739345895</v>
      </c>
      <c r="AK3452">
        <v>180.842681517106</v>
      </c>
      <c r="AL3452">
        <v>80.052821250518093</v>
      </c>
      <c r="AM3452">
        <v>90.044167647650795</v>
      </c>
      <c r="AN3452">
        <v>0.99999997064425705</v>
      </c>
    </row>
    <row r="3453" spans="1:40" x14ac:dyDescent="0.25">
      <c r="A3453" t="str">
        <f>"20190303161942272"</f>
        <v>20190303161942272</v>
      </c>
      <c r="B3453" t="str">
        <f>"1551601182266097"</f>
        <v>1551601182266097</v>
      </c>
      <c r="C3453" t="s">
        <v>40</v>
      </c>
      <c r="D3453">
        <v>4.1536929999999996</v>
      </c>
      <c r="E3453">
        <v>0.48997740000000001</v>
      </c>
      <c r="F3453" t="s">
        <v>57</v>
      </c>
      <c r="G3453">
        <v>-511.96230000000003</v>
      </c>
      <c r="H3453">
        <v>11.24836</v>
      </c>
      <c r="I3453">
        <v>278.80349999999999</v>
      </c>
      <c r="J3453">
        <v>-331.04899999999998</v>
      </c>
      <c r="K3453">
        <v>1.121162</v>
      </c>
      <c r="L3453">
        <v>283.88299999999998</v>
      </c>
      <c r="M3453">
        <v>-0.99993900000000002</v>
      </c>
      <c r="N3453">
        <v>-1.091991E-2</v>
      </c>
      <c r="O3453">
        <v>1.736542E-3</v>
      </c>
      <c r="P3453">
        <v>-0.98672530000000003</v>
      </c>
      <c r="Q3453">
        <v>0.16239779999999901</v>
      </c>
      <c r="R3453">
        <v>7.9124419999999896E-4</v>
      </c>
      <c r="S3453">
        <v>-3.0125730000000002</v>
      </c>
      <c r="T3453">
        <v>0.16848750000000001</v>
      </c>
      <c r="U3453">
        <v>-8.4503170000000002E-2</v>
      </c>
      <c r="V3453">
        <v>-9.2688459999999999E-4</v>
      </c>
      <c r="W3453">
        <v>0.17316289999999901</v>
      </c>
      <c r="X3453">
        <v>0.98489280000000001</v>
      </c>
      <c r="Y3453">
        <v>-2.9733840000000001E-2</v>
      </c>
      <c r="Z3453">
        <v>7.8415149999999905E-4</v>
      </c>
      <c r="AA3453">
        <v>0.99955760000000005</v>
      </c>
      <c r="AB3453">
        <v>31</v>
      </c>
      <c r="AC3453">
        <v>-180.91329999999999</v>
      </c>
      <c r="AD3453">
        <v>10.127198</v>
      </c>
      <c r="AE3453">
        <v>-5.0794999999999897</v>
      </c>
      <c r="AF3453">
        <v>-5.3768392144222004</v>
      </c>
      <c r="AG3453">
        <v>10.127198</v>
      </c>
      <c r="AH3453">
        <v>180.339546764011</v>
      </c>
      <c r="AI3453">
        <v>86.787282627141806</v>
      </c>
      <c r="AJ3453">
        <v>91.707772715673201</v>
      </c>
      <c r="AK3453">
        <v>180.70368747294</v>
      </c>
      <c r="AL3453">
        <v>80.028232449536205</v>
      </c>
      <c r="AM3453">
        <v>90.053921157711102</v>
      </c>
      <c r="AN3453">
        <v>1.0000000382716501</v>
      </c>
    </row>
    <row r="3454" spans="1:40" x14ac:dyDescent="0.25">
      <c r="A3454" t="str">
        <f>"20190303161942287"</f>
        <v>20190303161942287</v>
      </c>
      <c r="B3454" t="str">
        <f>"1551601182275857"</f>
        <v>1551601182275857</v>
      </c>
      <c r="C3454" t="s">
        <v>40</v>
      </c>
      <c r="D3454">
        <v>4.1567569999999998</v>
      </c>
      <c r="E3454">
        <v>0.4902859</v>
      </c>
      <c r="F3454" t="s">
        <v>57</v>
      </c>
      <c r="G3454">
        <v>-511.96199999999999</v>
      </c>
      <c r="H3454">
        <v>10.12055</v>
      </c>
      <c r="I3454">
        <v>279.18900000000002</v>
      </c>
      <c r="J3454">
        <v>-331.23829999999998</v>
      </c>
      <c r="K3454">
        <v>1.1211660000000001</v>
      </c>
      <c r="L3454">
        <v>283.88330000000002</v>
      </c>
      <c r="M3454">
        <v>-0.99993889999999996</v>
      </c>
      <c r="N3454">
        <v>-1.0923260000000001E-2</v>
      </c>
      <c r="O3454">
        <v>1.7166149999999999E-3</v>
      </c>
      <c r="P3454">
        <v>-0.98673670000000002</v>
      </c>
      <c r="Q3454">
        <v>0.16232820000000001</v>
      </c>
      <c r="R3454">
        <v>6.005769E-4</v>
      </c>
      <c r="S3454">
        <v>-3.0157780000000001</v>
      </c>
      <c r="T3454">
        <v>0.15001889999999901</v>
      </c>
      <c r="U3454">
        <v>-7.8247070000000002E-2</v>
      </c>
      <c r="V3454">
        <v>-1.098314E-3</v>
      </c>
      <c r="W3454">
        <v>0.1730971</v>
      </c>
      <c r="X3454">
        <v>0.98490420000000001</v>
      </c>
      <c r="Y3454">
        <v>-2.7623499999999999E-2</v>
      </c>
      <c r="Z3454">
        <v>6.3960959999999996E-4</v>
      </c>
      <c r="AA3454">
        <v>0.99961820000000001</v>
      </c>
      <c r="AB3454">
        <v>31</v>
      </c>
      <c r="AC3454">
        <v>-180.72370000000001</v>
      </c>
      <c r="AD3454">
        <v>8.9993839999999992</v>
      </c>
      <c r="AE3454">
        <v>-4.6942999999999904</v>
      </c>
      <c r="AF3454">
        <v>-4.9921739570315502</v>
      </c>
      <c r="AG3454">
        <v>8.9993839999999992</v>
      </c>
      <c r="AH3454">
        <v>180.268667989275</v>
      </c>
      <c r="AI3454">
        <v>87.143142490291694</v>
      </c>
      <c r="AJ3454">
        <v>91.586284606130107</v>
      </c>
      <c r="AK3454">
        <v>180.56218699335801</v>
      </c>
      <c r="AL3454">
        <v>80.032060411812196</v>
      </c>
      <c r="AM3454">
        <v>90.063893250424798</v>
      </c>
      <c r="AN3454">
        <v>1.0000000477498401</v>
      </c>
    </row>
    <row r="3455" spans="1:40" x14ac:dyDescent="0.25">
      <c r="A3455" t="str">
        <f>"20190303161942307"</f>
        <v>20190303161942307</v>
      </c>
      <c r="B3455" t="str">
        <f>"1551601182296352"</f>
        <v>1551601182296352</v>
      </c>
      <c r="C3455" t="s">
        <v>40</v>
      </c>
      <c r="D3455">
        <v>4.218242</v>
      </c>
      <c r="E3455">
        <v>0.49136030000000003</v>
      </c>
      <c r="F3455" t="s">
        <v>57</v>
      </c>
      <c r="G3455">
        <v>-514.08900000000006</v>
      </c>
      <c r="H3455">
        <v>9.861205</v>
      </c>
      <c r="I3455">
        <v>279.27539999999999</v>
      </c>
      <c r="J3455">
        <v>-331.51900000000001</v>
      </c>
      <c r="K3455">
        <v>1.1211629999999999</v>
      </c>
      <c r="L3455">
        <v>283.88380000000001</v>
      </c>
      <c r="M3455">
        <v>-0.99993889999999996</v>
      </c>
      <c r="N3455">
        <v>-1.092804E-2</v>
      </c>
      <c r="O3455">
        <v>1.6869649999999999E-3</v>
      </c>
      <c r="P3455">
        <v>-0.98666920000000002</v>
      </c>
      <c r="Q3455">
        <v>0.16273989999999999</v>
      </c>
      <c r="R3455">
        <v>2.006516E-4</v>
      </c>
      <c r="S3455">
        <v>-3.016632</v>
      </c>
      <c r="T3455">
        <v>0.1441925</v>
      </c>
      <c r="U3455">
        <v>-7.6019290000000003E-2</v>
      </c>
      <c r="V3455">
        <v>-1.46875E-3</v>
      </c>
      <c r="W3455">
        <v>0.17351229999999901</v>
      </c>
      <c r="X3455">
        <v>0.9848306</v>
      </c>
      <c r="Y3455">
        <v>-2.6852020000000001E-2</v>
      </c>
      <c r="Z3455">
        <v>5.9346910000000004E-4</v>
      </c>
      <c r="AA3455">
        <v>0.99963930000000001</v>
      </c>
      <c r="AB3455">
        <v>31</v>
      </c>
      <c r="AC3455">
        <v>-182.57</v>
      </c>
      <c r="AD3455">
        <v>8.7400419999999901</v>
      </c>
      <c r="AE3455">
        <v>-4.6084000000000103</v>
      </c>
      <c r="AF3455">
        <v>-4.9051667398032999</v>
      </c>
      <c r="AG3455">
        <v>8.7400419999999901</v>
      </c>
      <c r="AH3455">
        <v>182.14480003270501</v>
      </c>
      <c r="AI3455">
        <v>87.253818686460505</v>
      </c>
      <c r="AJ3455">
        <v>91.542604789883399</v>
      </c>
      <c r="AK3455">
        <v>182.42033103210099</v>
      </c>
      <c r="AL3455">
        <v>80.007905150445893</v>
      </c>
      <c r="AM3455">
        <v>90.085449328817404</v>
      </c>
      <c r="AN3455">
        <v>0.99999999308710597</v>
      </c>
    </row>
    <row r="3456" spans="1:40" x14ac:dyDescent="0.25">
      <c r="A3456" t="str">
        <f>"20190303161942330"</f>
        <v>20190303161942330</v>
      </c>
      <c r="B3456" t="str">
        <f>"1551601182315872"</f>
        <v>1551601182315872</v>
      </c>
      <c r="C3456" t="s">
        <v>40</v>
      </c>
      <c r="D3456">
        <v>4.2498589999999998</v>
      </c>
      <c r="E3456">
        <v>0.4920271</v>
      </c>
      <c r="F3456" t="s">
        <v>57</v>
      </c>
      <c r="G3456">
        <v>-551.06560000000002</v>
      </c>
      <c r="H3456">
        <v>11.104799999999999</v>
      </c>
      <c r="I3456">
        <v>278.88409999999999</v>
      </c>
      <c r="J3456">
        <v>-331.84210000000002</v>
      </c>
      <c r="K3456">
        <v>1.121164</v>
      </c>
      <c r="L3456">
        <v>283.8843</v>
      </c>
      <c r="M3456">
        <v>-0.99993889999999996</v>
      </c>
      <c r="N3456">
        <v>-1.093359E-2</v>
      </c>
      <c r="O3456">
        <v>1.652606E-3</v>
      </c>
      <c r="P3456">
        <v>-0.98662019999999995</v>
      </c>
      <c r="Q3456">
        <v>0.1630364</v>
      </c>
      <c r="R3456" s="1">
        <v>-9.9577010000000006E-6</v>
      </c>
      <c r="S3456">
        <v>-3.0179140000000002</v>
      </c>
      <c r="T3456">
        <v>0.1372372</v>
      </c>
      <c r="U3456">
        <v>-6.8725590000000003E-2</v>
      </c>
      <c r="V3456">
        <v>-1.6457010000000001E-3</v>
      </c>
      <c r="W3456">
        <v>0.1738142</v>
      </c>
      <c r="X3456">
        <v>0.98477709999999996</v>
      </c>
      <c r="Y3456">
        <v>-2.439713E-2</v>
      </c>
      <c r="Z3456">
        <v>5.1407229999999996E-4</v>
      </c>
      <c r="AA3456">
        <v>0.99970219999999999</v>
      </c>
      <c r="AB3456">
        <v>31</v>
      </c>
      <c r="AC3456">
        <v>-219.2235</v>
      </c>
      <c r="AD3456">
        <v>9.9836360000000006</v>
      </c>
      <c r="AE3456">
        <v>-5.0002000000000004</v>
      </c>
      <c r="AF3456">
        <v>-5.3514119678475804</v>
      </c>
      <c r="AG3456">
        <v>9.9836360000000006</v>
      </c>
      <c r="AH3456">
        <v>218.76146711201201</v>
      </c>
      <c r="AI3456">
        <v>87.387780998927099</v>
      </c>
      <c r="AJ3456">
        <v>91.401307947673203</v>
      </c>
      <c r="AK3456">
        <v>219.054536795817</v>
      </c>
      <c r="AL3456">
        <v>79.990340840499499</v>
      </c>
      <c r="AM3456">
        <v>90.095749214582696</v>
      </c>
      <c r="AN3456">
        <v>1.00000001056891</v>
      </c>
    </row>
    <row r="3457" spans="1:40" x14ac:dyDescent="0.25">
      <c r="A3457" t="str">
        <f>"20190303161942351"</f>
        <v>20190303161942351</v>
      </c>
      <c r="B3457" t="str">
        <f>"1551601182336369"</f>
        <v>1551601182336369</v>
      </c>
      <c r="C3457" t="s">
        <v>40</v>
      </c>
      <c r="D3457">
        <v>4.2429870000000003</v>
      </c>
      <c r="E3457">
        <v>0.49256420000000001</v>
      </c>
      <c r="F3457" t="s">
        <v>57</v>
      </c>
      <c r="G3457">
        <v>-551.06539999999995</v>
      </c>
      <c r="H3457">
        <v>10.57863</v>
      </c>
      <c r="I3457">
        <v>279.23090000000002</v>
      </c>
      <c r="J3457">
        <v>-332.11329999999998</v>
      </c>
      <c r="K3457">
        <v>1.121162</v>
      </c>
      <c r="L3457">
        <v>283.88470000000001</v>
      </c>
      <c r="M3457">
        <v>-0.99993880000000002</v>
      </c>
      <c r="N3457">
        <v>-1.093832E-2</v>
      </c>
      <c r="O3457">
        <v>1.6239099999999999E-3</v>
      </c>
      <c r="P3457">
        <v>-0.98663650000000003</v>
      </c>
      <c r="Q3457">
        <v>0.16293659999999999</v>
      </c>
      <c r="R3457" s="1">
        <v>2.9839110000000001E-5</v>
      </c>
      <c r="S3457">
        <v>-3.0191650000000001</v>
      </c>
      <c r="T3457">
        <v>0.13025019999999901</v>
      </c>
      <c r="U3457">
        <v>-6.4086909999999997E-2</v>
      </c>
      <c r="V3457">
        <v>-1.577639E-3</v>
      </c>
      <c r="W3457">
        <v>0.17371889999999901</v>
      </c>
      <c r="X3457">
        <v>0.98479399999999995</v>
      </c>
      <c r="Y3457">
        <v>-2.282733E-2</v>
      </c>
      <c r="Z3457">
        <v>4.5497499999999999E-4</v>
      </c>
      <c r="AA3457">
        <v>0.9997393</v>
      </c>
      <c r="AB3457">
        <v>31</v>
      </c>
      <c r="AC3457">
        <v>-218.9521</v>
      </c>
      <c r="AD3457">
        <v>9.4574679999999898</v>
      </c>
      <c r="AE3457">
        <v>-4.6537999999999897</v>
      </c>
      <c r="AF3457">
        <v>-5.0000490725843001</v>
      </c>
      <c r="AG3457">
        <v>9.4574679999999898</v>
      </c>
      <c r="AH3457">
        <v>218.536704526401</v>
      </c>
      <c r="AI3457">
        <v>87.522642284534399</v>
      </c>
      <c r="AJ3457">
        <v>91.310680219251694</v>
      </c>
      <c r="AK3457">
        <v>218.79838988657701</v>
      </c>
      <c r="AL3457">
        <v>79.9958852089608</v>
      </c>
      <c r="AM3457">
        <v>90.091787702776301</v>
      </c>
      <c r="AN3457">
        <v>0.999999983799012</v>
      </c>
    </row>
    <row r="3458" spans="1:40" x14ac:dyDescent="0.25">
      <c r="A3458" t="str">
        <f>"20190303161942363"</f>
        <v>20190303161942363</v>
      </c>
      <c r="B3458" t="str">
        <f>"1551601182355889"</f>
        <v>1551601182355889</v>
      </c>
      <c r="C3458" t="s">
        <v>40</v>
      </c>
      <c r="D3458">
        <v>4.2567510000000004</v>
      </c>
      <c r="E3458">
        <v>0.49297249999999998</v>
      </c>
      <c r="F3458" t="s">
        <v>58</v>
      </c>
      <c r="G3458">
        <v>0</v>
      </c>
      <c r="H3458">
        <v>0</v>
      </c>
      <c r="I3458">
        <v>0</v>
      </c>
      <c r="J3458">
        <v>-332.30829999999997</v>
      </c>
      <c r="K3458">
        <v>1.1211599999999999</v>
      </c>
      <c r="L3458">
        <v>283.88499999999999</v>
      </c>
      <c r="M3458">
        <v>-0.99993889999999996</v>
      </c>
      <c r="N3458">
        <v>-1.094171E-2</v>
      </c>
      <c r="O3458">
        <v>1.6033270000000001E-3</v>
      </c>
      <c r="P3458">
        <v>-0.98665210000000003</v>
      </c>
      <c r="Q3458">
        <v>0.16284309999999999</v>
      </c>
      <c r="R3458">
        <v>-1.619514E-4</v>
      </c>
      <c r="S3458">
        <v>-3.0202939999999998</v>
      </c>
      <c r="T3458">
        <v>0.12294140000000001</v>
      </c>
      <c r="U3458">
        <v>-5.960083E-2</v>
      </c>
      <c r="V3458">
        <v>-1.749067E-3</v>
      </c>
      <c r="W3458">
        <v>0.1736287</v>
      </c>
      <c r="X3458">
        <v>0.98480959999999995</v>
      </c>
      <c r="Y3458">
        <v>-2.1317659999999999E-2</v>
      </c>
      <c r="Z3458">
        <v>3.9973420000000002E-4</v>
      </c>
      <c r="AA3458">
        <v>0.99977269999999896</v>
      </c>
      <c r="AB3458">
        <v>31</v>
      </c>
      <c r="AC3458">
        <v>-3.0202939999999998</v>
      </c>
      <c r="AD3458">
        <v>0.12294140000000001</v>
      </c>
      <c r="AE3458">
        <v>-5.960083E-2</v>
      </c>
      <c r="AF3458">
        <v>-6.43370031018482E-2</v>
      </c>
      <c r="AG3458">
        <v>0.12294140000000001</v>
      </c>
      <c r="AH3458">
        <v>3.0152005928857202</v>
      </c>
      <c r="AI3458">
        <v>87.665653377520599</v>
      </c>
      <c r="AJ3458">
        <v>91.222366255963493</v>
      </c>
      <c r="AK3458">
        <v>3.0183916997534399</v>
      </c>
      <c r="AL3458">
        <v>80.001132863398595</v>
      </c>
      <c r="AM3458">
        <v>90.101759824250294</v>
      </c>
      <c r="AN3458">
        <v>0.99999996647560896</v>
      </c>
    </row>
    <row r="3459" spans="1:40" x14ac:dyDescent="0.25">
      <c r="A3459" t="str">
        <f>"20190303161942377"</f>
        <v>20190303161942377</v>
      </c>
      <c r="B3459" t="str">
        <f>"1551601182365648"</f>
        <v>1551601182365648</v>
      </c>
      <c r="C3459" t="s">
        <v>40</v>
      </c>
      <c r="D3459">
        <v>4.2944750000000003</v>
      </c>
      <c r="E3459">
        <v>0.4930022</v>
      </c>
      <c r="F3459" t="s">
        <v>58</v>
      </c>
      <c r="G3459">
        <v>0</v>
      </c>
      <c r="H3459">
        <v>0</v>
      </c>
      <c r="I3459">
        <v>0</v>
      </c>
      <c r="J3459">
        <v>-332.48610000000002</v>
      </c>
      <c r="K3459">
        <v>1.121162</v>
      </c>
      <c r="L3459">
        <v>283.88529999999997</v>
      </c>
      <c r="M3459">
        <v>-0.99993900000000002</v>
      </c>
      <c r="N3459">
        <v>-1.094476E-2</v>
      </c>
      <c r="O3459">
        <v>1.5844749999999999E-3</v>
      </c>
      <c r="P3459">
        <v>-0.98671620000000004</v>
      </c>
      <c r="Q3459">
        <v>0.16245560000000001</v>
      </c>
      <c r="R3459">
        <v>-1.3186919999999999E-4</v>
      </c>
      <c r="S3459">
        <v>-3.0213619999999999</v>
      </c>
      <c r="T3459">
        <v>0.1164125</v>
      </c>
      <c r="U3459">
        <v>-5.7037350000000001E-2</v>
      </c>
      <c r="V3459">
        <v>-1.700345E-3</v>
      </c>
      <c r="W3459">
        <v>0.1732455</v>
      </c>
      <c r="X3459">
        <v>0.98487720000000001</v>
      </c>
      <c r="Y3459">
        <v>-2.044613E-2</v>
      </c>
      <c r="Z3459">
        <v>3.6013379999999897E-4</v>
      </c>
      <c r="AA3459">
        <v>0.99979090000000004</v>
      </c>
      <c r="AB3459">
        <v>31</v>
      </c>
      <c r="AC3459">
        <v>-3.0213619999999999</v>
      </c>
      <c r="AD3459">
        <v>0.1164125</v>
      </c>
      <c r="AE3459">
        <v>-5.7037350000000001E-2</v>
      </c>
      <c r="AF3459">
        <v>-6.1733223808093401E-2</v>
      </c>
      <c r="AG3459">
        <v>0.1164125</v>
      </c>
      <c r="AH3459">
        <v>3.0167908574465501</v>
      </c>
      <c r="AI3459">
        <v>87.790618045471305</v>
      </c>
      <c r="AJ3459">
        <v>91.172291937259999</v>
      </c>
      <c r="AK3459">
        <v>3.0196671900477798</v>
      </c>
      <c r="AL3459">
        <v>80.023426772984607</v>
      </c>
      <c r="AM3459">
        <v>90.098918418887493</v>
      </c>
      <c r="AN3459">
        <v>0.999999996761604</v>
      </c>
    </row>
    <row r="3460" spans="1:40" x14ac:dyDescent="0.25">
      <c r="A3460" t="str">
        <f>"20190303161942389"</f>
        <v>20190303161942389</v>
      </c>
      <c r="B3460" t="str">
        <f>"1551601182376385"</f>
        <v>1551601182376385</v>
      </c>
      <c r="C3460" t="s">
        <v>40</v>
      </c>
      <c r="D3460">
        <v>4.2778769999999904</v>
      </c>
      <c r="E3460">
        <v>0.49312909999999999</v>
      </c>
      <c r="F3460" t="s">
        <v>58</v>
      </c>
      <c r="G3460">
        <v>0</v>
      </c>
      <c r="H3460">
        <v>0</v>
      </c>
      <c r="I3460">
        <v>0</v>
      </c>
      <c r="J3460">
        <v>-332.65350000000001</v>
      </c>
      <c r="K3460">
        <v>1.121162</v>
      </c>
      <c r="L3460">
        <v>283.88549999999998</v>
      </c>
      <c r="M3460">
        <v>-0.99993880000000002</v>
      </c>
      <c r="N3460">
        <v>-1.094761E-2</v>
      </c>
      <c r="O3460">
        <v>1.566757E-3</v>
      </c>
      <c r="P3460">
        <v>-0.98672000000000004</v>
      </c>
      <c r="Q3460">
        <v>0.16243079999999999</v>
      </c>
      <c r="R3460" s="1">
        <v>3.579538E-6</v>
      </c>
      <c r="S3460">
        <v>-3.0218509999999998</v>
      </c>
      <c r="T3460">
        <v>0.11255030000000001</v>
      </c>
      <c r="U3460">
        <v>-5.6854250000000002E-2</v>
      </c>
      <c r="V3460">
        <v>-1.547723E-3</v>
      </c>
      <c r="W3460">
        <v>0.1732235</v>
      </c>
      <c r="X3460">
        <v>0.98488129999999996</v>
      </c>
      <c r="Y3460">
        <v>-2.036582E-2</v>
      </c>
      <c r="Z3460">
        <v>3.430563E-4</v>
      </c>
      <c r="AA3460">
        <v>0.99979249999999997</v>
      </c>
      <c r="AB3460">
        <v>31</v>
      </c>
      <c r="AC3460">
        <v>-3.0218509999999998</v>
      </c>
      <c r="AD3460">
        <v>0.11255030000000001</v>
      </c>
      <c r="AE3460">
        <v>-5.6854250000000002E-2</v>
      </c>
      <c r="AF3460">
        <v>-6.15036810606003E-2</v>
      </c>
      <c r="AG3460">
        <v>0.11255030000000001</v>
      </c>
      <c r="AH3460">
        <v>3.0175736331563998</v>
      </c>
      <c r="AI3460">
        <v>87.864399380213101</v>
      </c>
      <c r="AJ3460">
        <v>91.167631326987603</v>
      </c>
      <c r="AK3460">
        <v>3.0202981482520599</v>
      </c>
      <c r="AL3460">
        <v>80.024706419013896</v>
      </c>
      <c r="AM3460">
        <v>90.090039198385597</v>
      </c>
      <c r="AN3460">
        <v>0.99999997574421196</v>
      </c>
    </row>
    <row r="3461" spans="1:40" x14ac:dyDescent="0.25">
      <c r="A3461" t="str">
        <f>"20190303161942401"</f>
        <v>20190303161942401</v>
      </c>
      <c r="B3461" t="str">
        <f>"1551601182386145"</f>
        <v>1551601182386145</v>
      </c>
      <c r="C3461" t="s">
        <v>40</v>
      </c>
      <c r="D3461">
        <v>4.3134360000000003</v>
      </c>
      <c r="E3461">
        <v>0.49317670000000002</v>
      </c>
      <c r="F3461" t="s">
        <v>58</v>
      </c>
      <c r="G3461">
        <v>0</v>
      </c>
      <c r="H3461">
        <v>0</v>
      </c>
      <c r="I3461">
        <v>0</v>
      </c>
      <c r="J3461">
        <v>-332.81450000000001</v>
      </c>
      <c r="K3461">
        <v>1.1211610000000001</v>
      </c>
      <c r="L3461">
        <v>283.88569999999999</v>
      </c>
      <c r="M3461">
        <v>-0.99993900000000002</v>
      </c>
      <c r="N3461">
        <v>-1.0950329999999999E-2</v>
      </c>
      <c r="O3461">
        <v>1.5493989999999999E-3</v>
      </c>
      <c r="P3461">
        <v>-0.98675000000000002</v>
      </c>
      <c r="Q3461">
        <v>0.16224910000000001</v>
      </c>
      <c r="R3461">
        <v>1.076264E-4</v>
      </c>
      <c r="S3461">
        <v>-3.0223390000000001</v>
      </c>
      <c r="T3461">
        <v>0.1095232</v>
      </c>
      <c r="U3461">
        <v>-5.5297850000000003E-2</v>
      </c>
      <c r="V3461">
        <v>-1.4266039999999999E-3</v>
      </c>
      <c r="W3461">
        <v>0.17304449999999999</v>
      </c>
      <c r="X3461">
        <v>0.98491300000000004</v>
      </c>
      <c r="Y3461">
        <v>-1.9831729999999999E-2</v>
      </c>
      <c r="Z3461">
        <v>3.2364509999999999E-4</v>
      </c>
      <c r="AA3461">
        <v>0.99980329999999995</v>
      </c>
      <c r="AB3461">
        <v>31</v>
      </c>
      <c r="AC3461">
        <v>-3.0223390000000001</v>
      </c>
      <c r="AD3461">
        <v>0.1095232</v>
      </c>
      <c r="AE3461">
        <v>-5.5297850000000003E-2</v>
      </c>
      <c r="AF3461">
        <v>-5.9902236296831002E-2</v>
      </c>
      <c r="AG3461">
        <v>0.1095232</v>
      </c>
      <c r="AH3461">
        <v>3.0182874449672199</v>
      </c>
      <c r="AI3461">
        <v>87.922255142114395</v>
      </c>
      <c r="AJ3461">
        <v>91.136967526603897</v>
      </c>
      <c r="AK3461">
        <v>3.0208678735916901</v>
      </c>
      <c r="AL3461">
        <v>80.035120125738402</v>
      </c>
      <c r="AM3461">
        <v>90.082990407349101</v>
      </c>
      <c r="AN3461">
        <v>1.00000002587411</v>
      </c>
    </row>
    <row r="3462" spans="1:40" x14ac:dyDescent="0.25">
      <c r="A3462" t="str">
        <f>"20190303161942413"</f>
        <v>20190303161942413</v>
      </c>
      <c r="B3462" t="str">
        <f>"1551601182405665"</f>
        <v>1551601182405665</v>
      </c>
      <c r="C3462" t="s">
        <v>40</v>
      </c>
      <c r="D3462">
        <v>4.3314949999999897</v>
      </c>
      <c r="E3462">
        <v>0.49320829999999999</v>
      </c>
      <c r="F3462" t="s">
        <v>58</v>
      </c>
      <c r="G3462">
        <v>0</v>
      </c>
      <c r="H3462">
        <v>0</v>
      </c>
      <c r="I3462">
        <v>0</v>
      </c>
      <c r="J3462">
        <v>-332.98360000000002</v>
      </c>
      <c r="K3462">
        <v>1.1211530000000001</v>
      </c>
      <c r="L3462">
        <v>283.88600000000002</v>
      </c>
      <c r="M3462">
        <v>-0.99993900000000002</v>
      </c>
      <c r="N3462">
        <v>-1.095315E-2</v>
      </c>
      <c r="O3462">
        <v>1.5315019999999999E-3</v>
      </c>
      <c r="P3462">
        <v>-0.98676569999999997</v>
      </c>
      <c r="Q3462">
        <v>0.16215370000000001</v>
      </c>
      <c r="R3462">
        <v>1.379335E-4</v>
      </c>
      <c r="S3462">
        <v>-3.0227970000000002</v>
      </c>
      <c r="T3462">
        <v>0.1062828</v>
      </c>
      <c r="U3462">
        <v>-5.46875E-2</v>
      </c>
      <c r="V3462">
        <v>-1.378254E-3</v>
      </c>
      <c r="W3462">
        <v>0.17295199999999999</v>
      </c>
      <c r="X3462">
        <v>0.98492930000000001</v>
      </c>
      <c r="Y3462">
        <v>-1.961009E-2</v>
      </c>
      <c r="Z3462">
        <v>3.0777840000000001E-4</v>
      </c>
      <c r="AA3462">
        <v>0.99980769999999997</v>
      </c>
      <c r="AB3462">
        <v>31</v>
      </c>
      <c r="AC3462">
        <v>-3.0227970000000002</v>
      </c>
      <c r="AD3462">
        <v>0.1062828</v>
      </c>
      <c r="AE3462">
        <v>-5.46875E-2</v>
      </c>
      <c r="AF3462">
        <v>-5.9243915876298098E-2</v>
      </c>
      <c r="AG3462">
        <v>0.1062828</v>
      </c>
      <c r="AH3462">
        <v>3.0189786896998498</v>
      </c>
      <c r="AI3462">
        <v>87.984129116088695</v>
      </c>
      <c r="AJ3462">
        <v>91.124218176396795</v>
      </c>
      <c r="AK3462">
        <v>3.0214298277481202</v>
      </c>
      <c r="AL3462">
        <v>80.040500958832993</v>
      </c>
      <c r="AM3462">
        <v>90.080176400227799</v>
      </c>
      <c r="AN3462">
        <v>1.00000000994328</v>
      </c>
    </row>
    <row r="3463" spans="1:40" x14ac:dyDescent="0.25">
      <c r="A3463" t="str">
        <f>"20190303161942429"</f>
        <v>20190303161942429</v>
      </c>
      <c r="B3463" t="str">
        <f>"1551601182416401"</f>
        <v>1551601182416401</v>
      </c>
      <c r="C3463" t="s">
        <v>40</v>
      </c>
      <c r="D3463">
        <v>4.358492</v>
      </c>
      <c r="E3463">
        <v>0.49332979999999998</v>
      </c>
      <c r="F3463" t="s">
        <v>58</v>
      </c>
      <c r="G3463">
        <v>0</v>
      </c>
      <c r="H3463">
        <v>0</v>
      </c>
      <c r="I3463">
        <v>0</v>
      </c>
      <c r="J3463">
        <v>-333.19150000000002</v>
      </c>
      <c r="K3463">
        <v>1.1211530000000001</v>
      </c>
      <c r="L3463">
        <v>283.88630000000001</v>
      </c>
      <c r="M3463">
        <v>-0.99993889999999996</v>
      </c>
      <c r="N3463">
        <v>-1.095661E-2</v>
      </c>
      <c r="O3463">
        <v>1.5094279999999999E-3</v>
      </c>
      <c r="P3463">
        <v>-0.98671589999999998</v>
      </c>
      <c r="Q3463">
        <v>0.16245479999999901</v>
      </c>
      <c r="R3463">
        <v>6.2904089999999996E-4</v>
      </c>
      <c r="S3463">
        <v>-3.0235599999999998</v>
      </c>
      <c r="T3463">
        <v>0.1015979</v>
      </c>
      <c r="U3463">
        <v>-5.435181E-2</v>
      </c>
      <c r="V3463">
        <v>-8.6581780000000001E-4</v>
      </c>
      <c r="W3463">
        <v>0.17325589999999999</v>
      </c>
      <c r="X3463">
        <v>0.98487650000000004</v>
      </c>
      <c r="Y3463">
        <v>-1.9473549999999999E-2</v>
      </c>
      <c r="Z3463">
        <v>2.8757590000000002E-4</v>
      </c>
      <c r="AA3463">
        <v>0.99981030000000004</v>
      </c>
      <c r="AB3463">
        <v>31</v>
      </c>
      <c r="AC3463">
        <v>-3.0235599999999998</v>
      </c>
      <c r="AD3463">
        <v>0.1015979</v>
      </c>
      <c r="AE3463">
        <v>-5.435181E-2</v>
      </c>
      <c r="AF3463">
        <v>-5.8849442446119601E-2</v>
      </c>
      <c r="AG3463">
        <v>0.1015979</v>
      </c>
      <c r="AH3463">
        <v>3.0200656565268802</v>
      </c>
      <c r="AI3463">
        <v>88.073607176139603</v>
      </c>
      <c r="AJ3463">
        <v>91.116332685359097</v>
      </c>
      <c r="AK3463">
        <v>3.02234709454321</v>
      </c>
      <c r="AL3463">
        <v>80.022822167104394</v>
      </c>
      <c r="AM3463">
        <v>90.050369455447097</v>
      </c>
      <c r="AN3463">
        <v>1.0000000383887599</v>
      </c>
    </row>
    <row r="3464" spans="1:40" x14ac:dyDescent="0.25">
      <c r="A3464" t="str">
        <f>"20190303161942442"</f>
        <v>20190303161942442</v>
      </c>
      <c r="B3464" t="str">
        <f>"1551601182435921"</f>
        <v>1551601182435921</v>
      </c>
      <c r="C3464" t="s">
        <v>40</v>
      </c>
      <c r="D3464">
        <v>4.3795089999999997</v>
      </c>
      <c r="E3464">
        <v>0.49361470000000002</v>
      </c>
      <c r="F3464" t="s">
        <v>58</v>
      </c>
      <c r="G3464">
        <v>0</v>
      </c>
      <c r="H3464">
        <v>0</v>
      </c>
      <c r="I3464">
        <v>0</v>
      </c>
      <c r="J3464">
        <v>-333.39010000000002</v>
      </c>
      <c r="K3464">
        <v>1.121157</v>
      </c>
      <c r="L3464">
        <v>283.88650000000001</v>
      </c>
      <c r="M3464">
        <v>-0.99993900000000002</v>
      </c>
      <c r="N3464">
        <v>-1.0959899999999899E-2</v>
      </c>
      <c r="O3464">
        <v>1.4888429999999999E-3</v>
      </c>
      <c r="P3464">
        <v>-0.98668549999999999</v>
      </c>
      <c r="Q3464">
        <v>0.1626377</v>
      </c>
      <c r="R3464">
        <v>9.203204E-4</v>
      </c>
      <c r="S3464">
        <v>-3.0238649999999998</v>
      </c>
      <c r="T3464">
        <v>0.1004872</v>
      </c>
      <c r="U3464">
        <v>-5.2032469999999997E-2</v>
      </c>
      <c r="V3464">
        <v>-5.5396799999999995E-4</v>
      </c>
      <c r="W3464">
        <v>0.17344229999999899</v>
      </c>
      <c r="X3464">
        <v>0.98484389999999999</v>
      </c>
      <c r="Y3464">
        <v>-1.868506E-2</v>
      </c>
      <c r="Z3464">
        <v>2.7370390000000001E-4</v>
      </c>
      <c r="AA3464">
        <v>0.99982539999999998</v>
      </c>
      <c r="AB3464">
        <v>31</v>
      </c>
      <c r="AC3464">
        <v>-3.0238649999999998</v>
      </c>
      <c r="AD3464">
        <v>0.1004872</v>
      </c>
      <c r="AE3464">
        <v>-5.2032469999999997E-2</v>
      </c>
      <c r="AF3464">
        <v>-5.6472396824473699E-2</v>
      </c>
      <c r="AG3464">
        <v>0.1004872</v>
      </c>
      <c r="AH3464">
        <v>3.02044960628412</v>
      </c>
      <c r="AI3464">
        <v>88.094864837044298</v>
      </c>
      <c r="AJ3464">
        <v>91.071116381885204</v>
      </c>
      <c r="AK3464">
        <v>3.0226482814030602</v>
      </c>
      <c r="AL3464">
        <v>80.0119779022953</v>
      </c>
      <c r="AM3464">
        <v>90.0322284831513</v>
      </c>
      <c r="AN3464">
        <v>1.00000002283852</v>
      </c>
    </row>
    <row r="3465" spans="1:40" x14ac:dyDescent="0.25">
      <c r="A3465" t="str">
        <f>"20190303161942454"</f>
        <v>20190303161942454</v>
      </c>
      <c r="B3465" t="str">
        <f>"1551601182445681"</f>
        <v>1551601182445681</v>
      </c>
      <c r="C3465" t="s">
        <v>40</v>
      </c>
      <c r="D3465">
        <v>4.3925450000000001</v>
      </c>
      <c r="E3465">
        <v>0.49371510000000002</v>
      </c>
      <c r="F3465" t="s">
        <v>58</v>
      </c>
      <c r="G3465">
        <v>0</v>
      </c>
      <c r="H3465">
        <v>0</v>
      </c>
      <c r="I3465">
        <v>0</v>
      </c>
      <c r="J3465">
        <v>-333.55439999999999</v>
      </c>
      <c r="K3465">
        <v>1.1211549999999999</v>
      </c>
      <c r="L3465">
        <v>283.88679999999999</v>
      </c>
      <c r="M3465">
        <v>-0.99993900000000002</v>
      </c>
      <c r="N3465">
        <v>-1.0962609999999999E-2</v>
      </c>
      <c r="O3465">
        <v>1.4713059999999999E-3</v>
      </c>
      <c r="P3465">
        <v>-0.98666609999999999</v>
      </c>
      <c r="Q3465">
        <v>0.16275499999999901</v>
      </c>
      <c r="R3465">
        <v>9.4720999999999998E-4</v>
      </c>
      <c r="S3465">
        <v>-3.0245359999999999</v>
      </c>
      <c r="T3465">
        <v>9.6933359999999996E-2</v>
      </c>
      <c r="U3465">
        <v>-4.8980709999999997E-2</v>
      </c>
      <c r="V3465">
        <v>-5.0981370000000004E-4</v>
      </c>
      <c r="W3465">
        <v>0.17356150000000001</v>
      </c>
      <c r="X3465">
        <v>0.98482289999999995</v>
      </c>
      <c r="Y3465">
        <v>-1.7656189999999999E-2</v>
      </c>
      <c r="Z3465">
        <v>2.4929789999999998E-4</v>
      </c>
      <c r="AA3465">
        <v>0.99984410000000001</v>
      </c>
      <c r="AB3465">
        <v>31</v>
      </c>
      <c r="AC3465">
        <v>-3.0245359999999999</v>
      </c>
      <c r="AD3465">
        <v>9.6933359999999996E-2</v>
      </c>
      <c r="AE3465">
        <v>-4.8980709999999997E-2</v>
      </c>
      <c r="AF3465">
        <v>-5.33761312865026E-2</v>
      </c>
      <c r="AG3465">
        <v>9.6933359999999996E-2</v>
      </c>
      <c r="AH3465">
        <v>3.0213581163674199</v>
      </c>
      <c r="AI3465">
        <v>88.162712836521706</v>
      </c>
      <c r="AJ3465">
        <v>91.012097486167406</v>
      </c>
      <c r="AK3465">
        <v>3.02338385836322</v>
      </c>
      <c r="AL3465">
        <v>80.005042830716803</v>
      </c>
      <c r="AM3465">
        <v>90.029660328510502</v>
      </c>
      <c r="AN3465">
        <v>0.99999999927833405</v>
      </c>
    </row>
    <row r="3466" spans="1:40" x14ac:dyDescent="0.25">
      <c r="A3466" t="str">
        <f>"20190303161942467"</f>
        <v>20190303161942467</v>
      </c>
      <c r="B3466" t="str">
        <f>"1551601182456416"</f>
        <v>1551601182456416</v>
      </c>
      <c r="C3466" t="s">
        <v>40</v>
      </c>
      <c r="D3466">
        <v>4.4144370000000004</v>
      </c>
      <c r="E3466">
        <v>0.49380350000000001</v>
      </c>
      <c r="F3466" t="s">
        <v>58</v>
      </c>
      <c r="G3466">
        <v>0</v>
      </c>
      <c r="H3466">
        <v>0</v>
      </c>
      <c r="I3466">
        <v>0</v>
      </c>
      <c r="J3466">
        <v>-333.72239999999999</v>
      </c>
      <c r="K3466">
        <v>1.121154</v>
      </c>
      <c r="L3466">
        <v>283.887</v>
      </c>
      <c r="M3466">
        <v>-0.99993889999999996</v>
      </c>
      <c r="N3466">
        <v>-1.09654E-2</v>
      </c>
      <c r="O3466">
        <v>1.4534699999999999E-3</v>
      </c>
      <c r="P3466">
        <v>-0.98664399999999997</v>
      </c>
      <c r="Q3466">
        <v>0.162886</v>
      </c>
      <c r="R3466">
        <v>1.326205E-3</v>
      </c>
      <c r="S3466">
        <v>-3.0247799999999998</v>
      </c>
      <c r="T3466">
        <v>9.5808030000000002E-2</v>
      </c>
      <c r="U3466">
        <v>-4.7973630000000003E-2</v>
      </c>
      <c r="V3466">
        <v>-1.134683E-4</v>
      </c>
      <c r="W3466">
        <v>0.1736954</v>
      </c>
      <c r="X3466">
        <v>0.98479939999999999</v>
      </c>
      <c r="Y3466">
        <v>-1.730458E-2</v>
      </c>
      <c r="Z3466">
        <v>2.410252E-4</v>
      </c>
      <c r="AA3466">
        <v>0.99985020000000002</v>
      </c>
      <c r="AB3466">
        <v>31</v>
      </c>
      <c r="AC3466">
        <v>-3.0247799999999998</v>
      </c>
      <c r="AD3466">
        <v>9.5808030000000002E-2</v>
      </c>
      <c r="AE3466">
        <v>-4.7973630000000003E-2</v>
      </c>
      <c r="AF3466">
        <v>-5.2317794818193201E-2</v>
      </c>
      <c r="AG3466">
        <v>9.5808030000000002E-2</v>
      </c>
      <c r="AH3466">
        <v>3.02167628847601</v>
      </c>
      <c r="AI3466">
        <v>88.184208034271506</v>
      </c>
      <c r="AJ3466">
        <v>90.991929334893101</v>
      </c>
      <c r="AK3466">
        <v>3.0236474534252999</v>
      </c>
      <c r="AL3466">
        <v>79.9972524226704</v>
      </c>
      <c r="AM3466">
        <v>90.006601602996199</v>
      </c>
      <c r="AN3466">
        <v>0.99999998154828695</v>
      </c>
    </row>
    <row r="3467" spans="1:40" x14ac:dyDescent="0.25">
      <c r="A3467" t="str">
        <f>"20190303161942478"</f>
        <v>20190303161942478</v>
      </c>
      <c r="B3467" t="str">
        <f>"1551601182466176"</f>
        <v>1551601182466176</v>
      </c>
      <c r="C3467" t="s">
        <v>40</v>
      </c>
      <c r="D3467">
        <v>4.3895239999999998</v>
      </c>
      <c r="E3467">
        <v>0.49384620000000001</v>
      </c>
      <c r="F3467" t="s">
        <v>58</v>
      </c>
      <c r="G3467">
        <v>0</v>
      </c>
      <c r="H3467">
        <v>0</v>
      </c>
      <c r="I3467">
        <v>0</v>
      </c>
      <c r="J3467">
        <v>-333.89640000000003</v>
      </c>
      <c r="K3467">
        <v>1.121149</v>
      </c>
      <c r="L3467">
        <v>283.88720000000001</v>
      </c>
      <c r="M3467">
        <v>-0.99993880000000002</v>
      </c>
      <c r="N3467">
        <v>-1.096827E-2</v>
      </c>
      <c r="O3467">
        <v>1.435275E-3</v>
      </c>
      <c r="P3467">
        <v>-0.98663900000000004</v>
      </c>
      <c r="Q3467">
        <v>0.16291789999999901</v>
      </c>
      <c r="R3467">
        <v>1.1568609999999999E-3</v>
      </c>
      <c r="S3467">
        <v>-3.024994</v>
      </c>
      <c r="T3467">
        <v>9.5096109999999998E-2</v>
      </c>
      <c r="U3467">
        <v>-4.6173100000000002E-2</v>
      </c>
      <c r="V3467">
        <v>-2.6420479999999998E-4</v>
      </c>
      <c r="W3467">
        <v>0.1737301</v>
      </c>
      <c r="X3467">
        <v>0.98479320000000004</v>
      </c>
      <c r="Y3467">
        <v>-1.6690610000000002E-2</v>
      </c>
      <c r="Z3467">
        <v>2.315567E-4</v>
      </c>
      <c r="AA3467">
        <v>0.99986070000000005</v>
      </c>
      <c r="AB3467">
        <v>31</v>
      </c>
      <c r="AC3467">
        <v>-3.024994</v>
      </c>
      <c r="AD3467">
        <v>9.5096109999999998E-2</v>
      </c>
      <c r="AE3467">
        <v>-4.6173100000000002E-2</v>
      </c>
      <c r="AF3467">
        <v>-5.04651502789637E-2</v>
      </c>
      <c r="AG3467">
        <v>9.5096109999999998E-2</v>
      </c>
      <c r="AH3467">
        <v>3.0219388070655002</v>
      </c>
      <c r="AI3467">
        <v>88.197829340538107</v>
      </c>
      <c r="AJ3467">
        <v>90.956727309252898</v>
      </c>
      <c r="AK3467">
        <v>3.0238558423275199</v>
      </c>
      <c r="AL3467">
        <v>79.995233065383999</v>
      </c>
      <c r="AM3467">
        <v>90.015371572025302</v>
      </c>
      <c r="AN3467">
        <v>0.99999993210821003</v>
      </c>
    </row>
    <row r="3468" spans="1:40" x14ac:dyDescent="0.25">
      <c r="A3468" t="str">
        <f>"20190303161942491"</f>
        <v>20190303161942491</v>
      </c>
      <c r="B3468" t="str">
        <f>"1551601182485697"</f>
        <v>1551601182485697</v>
      </c>
      <c r="C3468" t="s">
        <v>40</v>
      </c>
      <c r="D3468">
        <v>4.3717169999999896</v>
      </c>
      <c r="E3468">
        <v>0.49392170000000002</v>
      </c>
      <c r="F3468" t="s">
        <v>58</v>
      </c>
      <c r="G3468">
        <v>0</v>
      </c>
      <c r="H3468">
        <v>0</v>
      </c>
      <c r="I3468">
        <v>0</v>
      </c>
      <c r="J3468">
        <v>-334.06079999999997</v>
      </c>
      <c r="K3468">
        <v>1.121149</v>
      </c>
      <c r="L3468">
        <v>283.88749999999999</v>
      </c>
      <c r="M3468">
        <v>-0.99993880000000002</v>
      </c>
      <c r="N3468">
        <v>-1.097098E-2</v>
      </c>
      <c r="O3468">
        <v>1.417855E-3</v>
      </c>
      <c r="P3468">
        <v>-0.98667000000000005</v>
      </c>
      <c r="Q3468">
        <v>0.1627297</v>
      </c>
      <c r="R3468">
        <v>1.2577510000000001E-3</v>
      </c>
      <c r="S3468">
        <v>-3.0251160000000001</v>
      </c>
      <c r="T3468">
        <v>9.4348550000000003E-2</v>
      </c>
      <c r="U3468">
        <v>-4.6325680000000001E-2</v>
      </c>
      <c r="V3468">
        <v>-1.4634350000000001E-4</v>
      </c>
      <c r="W3468">
        <v>0.1735447</v>
      </c>
      <c r="X3468">
        <v>0.98482599999999998</v>
      </c>
      <c r="Y3468">
        <v>-1.6723129999999999E-2</v>
      </c>
      <c r="Z3468">
        <v>2.2870519999999999E-4</v>
      </c>
      <c r="AA3468">
        <v>0.99986010000000003</v>
      </c>
      <c r="AB3468">
        <v>31</v>
      </c>
      <c r="AC3468">
        <v>-3.0251160000000001</v>
      </c>
      <c r="AD3468">
        <v>9.4348550000000003E-2</v>
      </c>
      <c r="AE3468">
        <v>-4.6325680000000001E-2</v>
      </c>
      <c r="AF3468">
        <v>-5.0565892718584103E-2</v>
      </c>
      <c r="AG3468">
        <v>9.4348550000000003E-2</v>
      </c>
      <c r="AH3468">
        <v>3.02210830570779</v>
      </c>
      <c r="AI3468">
        <v>88.212088336507094</v>
      </c>
      <c r="AJ3468">
        <v>90.958583090022003</v>
      </c>
      <c r="AK3468">
        <v>3.0240035002991599</v>
      </c>
      <c r="AL3468">
        <v>80.006020414268605</v>
      </c>
      <c r="AM3468">
        <v>90.008514057150606</v>
      </c>
      <c r="AN3468">
        <v>1.0000000172952499</v>
      </c>
    </row>
    <row r="3469" spans="1:40" x14ac:dyDescent="0.25">
      <c r="A3469" t="str">
        <f>"20190303161942508"</f>
        <v>20190303161942508</v>
      </c>
      <c r="B3469" t="str">
        <f>"1551601182496433"</f>
        <v>1551601182496433</v>
      </c>
      <c r="C3469" t="s">
        <v>40</v>
      </c>
      <c r="D3469">
        <v>4.337599</v>
      </c>
      <c r="E3469">
        <v>0.50469509999999995</v>
      </c>
      <c r="F3469" t="s">
        <v>58</v>
      </c>
      <c r="G3469">
        <v>0</v>
      </c>
      <c r="H3469">
        <v>0</v>
      </c>
      <c r="I3469">
        <v>0</v>
      </c>
      <c r="J3469">
        <v>-334.2835</v>
      </c>
      <c r="K3469">
        <v>1.121156</v>
      </c>
      <c r="L3469">
        <v>283.88780000000003</v>
      </c>
      <c r="M3469">
        <v>-0.99993880000000002</v>
      </c>
      <c r="N3469">
        <v>-1.0974650000000001E-2</v>
      </c>
      <c r="O3469">
        <v>1.394469E-3</v>
      </c>
      <c r="P3469">
        <v>-0.98664390000000002</v>
      </c>
      <c r="Q3469">
        <v>0.16288349999999999</v>
      </c>
      <c r="R3469">
        <v>1.7235900000000001E-3</v>
      </c>
      <c r="S3469">
        <v>-3.0255130000000001</v>
      </c>
      <c r="T3469">
        <v>9.1586470000000003E-2</v>
      </c>
      <c r="U3469">
        <v>-4.5410159999999998E-2</v>
      </c>
      <c r="V3469">
        <v>3.4241019999999998E-4</v>
      </c>
      <c r="W3469">
        <v>0.17370150000000001</v>
      </c>
      <c r="X3469">
        <v>0.98479830000000002</v>
      </c>
      <c r="Y3469">
        <v>-1.6395799999999999E-2</v>
      </c>
      <c r="Z3469">
        <v>2.156003E-4</v>
      </c>
      <c r="AA3469">
        <v>0.99986549999999996</v>
      </c>
      <c r="AB3469">
        <v>31</v>
      </c>
      <c r="AC3469">
        <v>-3.0255130000000001</v>
      </c>
      <c r="AD3469">
        <v>9.1586470000000003E-2</v>
      </c>
      <c r="AE3469">
        <v>-4.5410159999999998E-2</v>
      </c>
      <c r="AF3469">
        <v>-4.9583927711430401E-2</v>
      </c>
      <c r="AG3469">
        <v>9.1586470000000003E-2</v>
      </c>
      <c r="AH3469">
        <v>3.02267750397588</v>
      </c>
      <c r="AI3469">
        <v>88.264714659395494</v>
      </c>
      <c r="AJ3469">
        <v>90.939794272735995</v>
      </c>
      <c r="AK3469">
        <v>3.0244711835982501</v>
      </c>
      <c r="AL3469">
        <v>79.996897811230895</v>
      </c>
      <c r="AM3469">
        <v>89.980078500814102</v>
      </c>
      <c r="AN3469">
        <v>1.00000001001494</v>
      </c>
    </row>
    <row r="3470" spans="1:40" x14ac:dyDescent="0.25">
      <c r="A3470" t="str">
        <f>"20190303161942528"</f>
        <v>20190303161942528</v>
      </c>
      <c r="B3470" t="str">
        <f>"1551601182515954"</f>
        <v>1551601182515954</v>
      </c>
      <c r="C3470" t="s">
        <v>40</v>
      </c>
      <c r="D3470">
        <v>4.3444669999999999</v>
      </c>
      <c r="E3470">
        <v>0.50737639999999995</v>
      </c>
      <c r="F3470" t="s">
        <v>58</v>
      </c>
      <c r="G3470">
        <v>0</v>
      </c>
      <c r="H3470">
        <v>0</v>
      </c>
      <c r="I3470">
        <v>0</v>
      </c>
      <c r="J3470">
        <v>-334.57889999999998</v>
      </c>
      <c r="K3470">
        <v>1.1211599999999999</v>
      </c>
      <c r="L3470">
        <v>283.88810000000001</v>
      </c>
      <c r="M3470">
        <v>-0.99993880000000002</v>
      </c>
      <c r="N3470">
        <v>-1.09795E-2</v>
      </c>
      <c r="O3470">
        <v>1.363565E-3</v>
      </c>
      <c r="P3470">
        <v>-0.98656109999999997</v>
      </c>
      <c r="Q3470">
        <v>0.16338659999999999</v>
      </c>
      <c r="R3470">
        <v>1.4637630000000001E-3</v>
      </c>
      <c r="S3470">
        <v>-3.041534</v>
      </c>
      <c r="T3470">
        <v>-6.0719249999999997E-3</v>
      </c>
      <c r="U3470">
        <v>4.1595460000000001E-2</v>
      </c>
      <c r="V3470">
        <v>1.130264E-4</v>
      </c>
      <c r="W3470">
        <v>0.17420910000000001</v>
      </c>
      <c r="X3470">
        <v>0.98470869999999999</v>
      </c>
      <c r="Y3470">
        <v>1.23109E-2</v>
      </c>
      <c r="Z3470" s="1">
        <v>9.2126259999999996E-5</v>
      </c>
      <c r="AA3470">
        <v>0.99992420000000004</v>
      </c>
      <c r="AB3470">
        <v>31</v>
      </c>
      <c r="AC3470">
        <v>-3.041534</v>
      </c>
      <c r="AD3470">
        <v>-6.0719249999999997E-3</v>
      </c>
      <c r="AE3470">
        <v>4.1595460000000001E-2</v>
      </c>
      <c r="AF3470">
        <v>3.7447692826800598E-2</v>
      </c>
      <c r="AG3470">
        <v>-6.0719249999999997E-3</v>
      </c>
      <c r="AH3470">
        <v>3.0415757741086802</v>
      </c>
      <c r="AI3470">
        <v>90.114371258561505</v>
      </c>
      <c r="AJ3470">
        <v>89.294613546334503</v>
      </c>
      <c r="AK3470">
        <v>3.0418123524662199</v>
      </c>
      <c r="AL3470">
        <v>79.9673643280871</v>
      </c>
      <c r="AM3470">
        <v>89.993423501117505</v>
      </c>
      <c r="AN3470">
        <v>1.0000000235767299</v>
      </c>
    </row>
    <row r="3471" spans="1:40" x14ac:dyDescent="0.25">
      <c r="A3471" t="str">
        <f>"20190303161942544"</f>
        <v>20190303161942544</v>
      </c>
      <c r="B3471" t="str">
        <f>"1551601182536449"</f>
        <v>1551601182536449</v>
      </c>
      <c r="C3471" t="s">
        <v>40</v>
      </c>
      <c r="D3471">
        <v>4.3212120000000001</v>
      </c>
      <c r="E3471">
        <v>0.50804050000000001</v>
      </c>
      <c r="F3471" t="s">
        <v>56</v>
      </c>
      <c r="G3471">
        <v>-429.7765</v>
      </c>
      <c r="H3471" s="1">
        <v>2.1235149999999999E-6</v>
      </c>
      <c r="I3471">
        <v>285.83909999999997</v>
      </c>
      <c r="J3471">
        <v>-334.79219999999998</v>
      </c>
      <c r="K3471">
        <v>1.121165</v>
      </c>
      <c r="L3471">
        <v>283.88839999999999</v>
      </c>
      <c r="M3471">
        <v>-0.99993889999999996</v>
      </c>
      <c r="N3471">
        <v>-1.098298E-2</v>
      </c>
      <c r="O3471">
        <v>1.3408389999999999E-3</v>
      </c>
      <c r="P3471">
        <v>-0.98651699999999998</v>
      </c>
      <c r="Q3471">
        <v>0.1636561</v>
      </c>
      <c r="R3471">
        <v>1.118806E-3</v>
      </c>
      <c r="S3471">
        <v>-3.0466920000000002</v>
      </c>
      <c r="T3471">
        <v>-3.5881400000000001E-2</v>
      </c>
      <c r="U3471">
        <v>6.2438960000000002E-2</v>
      </c>
      <c r="V3471">
        <v>-2.09235E-4</v>
      </c>
      <c r="W3471">
        <v>0.174481</v>
      </c>
      <c r="X3471">
        <v>0.98466050000000005</v>
      </c>
      <c r="Y3471">
        <v>1.91465E-2</v>
      </c>
      <c r="Z3471">
        <v>2.168304E-4</v>
      </c>
      <c r="AA3471">
        <v>0.9998167</v>
      </c>
      <c r="AB3471">
        <v>31</v>
      </c>
      <c r="AC3471">
        <v>-94.984300000000005</v>
      </c>
      <c r="AD3471">
        <v>-1.1211628764849999</v>
      </c>
      <c r="AE3471">
        <v>1.9506999999999799</v>
      </c>
      <c r="AF3471">
        <v>1.8230780288285</v>
      </c>
      <c r="AG3471">
        <v>-1.1211628764849999</v>
      </c>
      <c r="AH3471">
        <v>94.973603575801206</v>
      </c>
      <c r="AI3471">
        <v>90.676220389245401</v>
      </c>
      <c r="AJ3471">
        <v>88.900306546961801</v>
      </c>
      <c r="AK3471">
        <v>94.997715740265207</v>
      </c>
      <c r="AL3471">
        <v>79.951542875779097</v>
      </c>
      <c r="AM3471">
        <v>90.012175041291798</v>
      </c>
      <c r="AN3471">
        <v>0.99999998170026705</v>
      </c>
    </row>
    <row r="3472" spans="1:40" x14ac:dyDescent="0.25">
      <c r="A3472" t="str">
        <f>"20190303161942555"</f>
        <v>20190303161942555</v>
      </c>
      <c r="B3472" t="str">
        <f>"1551601182546209"</f>
        <v>1551601182546209</v>
      </c>
      <c r="C3472" t="s">
        <v>40</v>
      </c>
      <c r="D3472">
        <v>4.3172940000000004</v>
      </c>
      <c r="E3472">
        <v>0.50816830000000002</v>
      </c>
      <c r="F3472" t="s">
        <v>56</v>
      </c>
      <c r="G3472">
        <v>-419.9443</v>
      </c>
      <c r="H3472" s="1">
        <v>3.8700990000000002E-6</v>
      </c>
      <c r="I3472">
        <v>285.75569999999999</v>
      </c>
      <c r="J3472">
        <v>-334.96170000000001</v>
      </c>
      <c r="K3472">
        <v>1.121167</v>
      </c>
      <c r="L3472">
        <v>283.8886</v>
      </c>
      <c r="M3472">
        <v>-0.99993880000000002</v>
      </c>
      <c r="N3472">
        <v>-1.0985740000000001E-2</v>
      </c>
      <c r="O3472">
        <v>1.3231219999999999E-3</v>
      </c>
      <c r="P3472">
        <v>-0.98651129999999998</v>
      </c>
      <c r="Q3472">
        <v>0.16369330000000001</v>
      </c>
      <c r="R3472">
        <v>6.8625899999999896E-4</v>
      </c>
      <c r="S3472">
        <v>-3.0476380000000001</v>
      </c>
      <c r="T3472">
        <v>-4.0126920000000003E-2</v>
      </c>
      <c r="U3472">
        <v>6.6833500000000004E-2</v>
      </c>
      <c r="V3472">
        <v>-6.2428869999999999E-4</v>
      </c>
      <c r="W3472">
        <v>0.17452089999999901</v>
      </c>
      <c r="X3472">
        <v>0.98465329999999995</v>
      </c>
      <c r="Y3472">
        <v>2.0598160000000001E-2</v>
      </c>
      <c r="Z3472">
        <v>2.4586639999999999E-4</v>
      </c>
      <c r="AA3472">
        <v>0.9997878</v>
      </c>
      <c r="AB3472">
        <v>31</v>
      </c>
      <c r="AC3472">
        <v>-84.982599999999906</v>
      </c>
      <c r="AD3472">
        <v>-1.1211631299009901</v>
      </c>
      <c r="AE3472">
        <v>1.86709999999999</v>
      </c>
      <c r="AF3472">
        <v>1.75434403558969</v>
      </c>
      <c r="AG3472">
        <v>-1.1211631299009901</v>
      </c>
      <c r="AH3472">
        <v>84.970214101941195</v>
      </c>
      <c r="AI3472">
        <v>90.755800178011697</v>
      </c>
      <c r="AJ3472">
        <v>88.817206346907795</v>
      </c>
      <c r="AK3472">
        <v>84.995717623235507</v>
      </c>
      <c r="AL3472">
        <v>79.949221619447698</v>
      </c>
      <c r="AM3472">
        <v>90.036326596290095</v>
      </c>
      <c r="AN3472">
        <v>1.00000002773704</v>
      </c>
    </row>
    <row r="3473" spans="1:40" x14ac:dyDescent="0.25">
      <c r="A3473" t="str">
        <f>"20190303161942570"</f>
        <v>20190303161942570</v>
      </c>
      <c r="B3473" t="str">
        <f>"1551601182565729"</f>
        <v>1551601182565729</v>
      </c>
      <c r="C3473" t="s">
        <v>40</v>
      </c>
      <c r="D3473">
        <v>4.298394</v>
      </c>
      <c r="E3473">
        <v>0.50844149999999999</v>
      </c>
      <c r="F3473" t="s">
        <v>56</v>
      </c>
      <c r="G3473">
        <v>-413.41160000000002</v>
      </c>
      <c r="H3473" s="1">
        <v>2.72533E-6</v>
      </c>
      <c r="I3473">
        <v>285.59530000000001</v>
      </c>
      <c r="J3473">
        <v>-335.1585</v>
      </c>
      <c r="K3473">
        <v>1.1211690000000001</v>
      </c>
      <c r="L3473">
        <v>283.88889999999998</v>
      </c>
      <c r="M3473">
        <v>-0.99993880000000002</v>
      </c>
      <c r="N3473">
        <v>-1.0988919999999999E-2</v>
      </c>
      <c r="O3473">
        <v>1.3023620000000001E-3</v>
      </c>
      <c r="P3473">
        <v>-0.98651739999999999</v>
      </c>
      <c r="Q3473">
        <v>0.16365689999999999</v>
      </c>
      <c r="R3473">
        <v>2.3303829999999999E-4</v>
      </c>
      <c r="S3473">
        <v>-3.0482480000000001</v>
      </c>
      <c r="T3473">
        <v>-4.3563959999999999E-2</v>
      </c>
      <c r="U3473">
        <v>6.6314699999999893E-2</v>
      </c>
      <c r="V3473">
        <v>-1.057192E-3</v>
      </c>
      <c r="W3473">
        <v>0.174488</v>
      </c>
      <c r="X3473">
        <v>0.9846587</v>
      </c>
      <c r="Y3473">
        <v>2.044404E-2</v>
      </c>
      <c r="Z3473">
        <v>2.5411949999999998E-4</v>
      </c>
      <c r="AA3473">
        <v>0.99979099999999999</v>
      </c>
      <c r="AB3473">
        <v>31</v>
      </c>
      <c r="AC3473">
        <v>-78.253100000000003</v>
      </c>
      <c r="AD3473">
        <v>-1.12116627467</v>
      </c>
      <c r="AE3473">
        <v>1.7064000000000299</v>
      </c>
      <c r="AF3473">
        <v>1.6041494018515099</v>
      </c>
      <c r="AG3473">
        <v>-1.12116627467</v>
      </c>
      <c r="AH3473">
        <v>78.239203160296796</v>
      </c>
      <c r="AI3473">
        <v>90.820818738129006</v>
      </c>
      <c r="AJ3473">
        <v>88.825421133823895</v>
      </c>
      <c r="AK3473">
        <v>78.263677528449406</v>
      </c>
      <c r="AL3473">
        <v>79.951135414279705</v>
      </c>
      <c r="AM3473">
        <v>90.0615163573529</v>
      </c>
      <c r="AN3473">
        <v>0.99999996764230603</v>
      </c>
    </row>
    <row r="3474" spans="1:40" x14ac:dyDescent="0.25">
      <c r="A3474" t="str">
        <f>"20190303161942584"</f>
        <v>20190303161942584</v>
      </c>
      <c r="B3474" t="str">
        <f>"1551601182575488"</f>
        <v>1551601182575488</v>
      </c>
      <c r="C3474" t="s">
        <v>40</v>
      </c>
      <c r="D3474">
        <v>4.301984</v>
      </c>
      <c r="E3474">
        <v>0.50865760000000004</v>
      </c>
      <c r="F3474" t="s">
        <v>56</v>
      </c>
      <c r="G3474">
        <v>-406.79340000000002</v>
      </c>
      <c r="H3474" s="1">
        <v>5.2135769999999999E-6</v>
      </c>
      <c r="I3474">
        <v>285.46850000000001</v>
      </c>
      <c r="J3474">
        <v>-335.34739999999999</v>
      </c>
      <c r="K3474">
        <v>1.121167</v>
      </c>
      <c r="L3474">
        <v>283.88909999999998</v>
      </c>
      <c r="M3474">
        <v>-0.99993889999999996</v>
      </c>
      <c r="N3474">
        <v>-1.099198E-2</v>
      </c>
      <c r="O3474">
        <v>1.282498E-3</v>
      </c>
      <c r="P3474">
        <v>-0.98646929999999999</v>
      </c>
      <c r="Q3474">
        <v>0.16394690000000001</v>
      </c>
      <c r="R3474" s="1">
        <v>2.9243530000000001E-5</v>
      </c>
      <c r="S3474">
        <v>-3.0488590000000002</v>
      </c>
      <c r="T3474">
        <v>-4.7717929999999999E-2</v>
      </c>
      <c r="U3474">
        <v>6.7230219999999993E-2</v>
      </c>
      <c r="V3474">
        <v>-1.241179E-3</v>
      </c>
      <c r="W3474">
        <v>0.17478009999999999</v>
      </c>
      <c r="X3474">
        <v>0.98460669999999995</v>
      </c>
      <c r="Y3474">
        <v>2.0759E-2</v>
      </c>
      <c r="Z3474">
        <v>2.7056809999999998E-4</v>
      </c>
      <c r="AA3474">
        <v>0.99978449999999996</v>
      </c>
      <c r="AB3474">
        <v>31</v>
      </c>
      <c r="AC3474">
        <v>-71.445999999999998</v>
      </c>
      <c r="AD3474">
        <v>-1.1211617864229999</v>
      </c>
      <c r="AE3474">
        <v>1.5794000000000199</v>
      </c>
      <c r="AF3474">
        <v>1.48739772873274</v>
      </c>
      <c r="AG3474">
        <v>-1.1211617864229999</v>
      </c>
      <c r="AH3474">
        <v>71.430385612265397</v>
      </c>
      <c r="AI3474">
        <v>90.899038199947299</v>
      </c>
      <c r="AJ3474">
        <v>88.807100123392999</v>
      </c>
      <c r="AK3474">
        <v>71.454666358969902</v>
      </c>
      <c r="AL3474">
        <v>79.934138341085898</v>
      </c>
      <c r="AM3474">
        <v>90.072226078343505</v>
      </c>
      <c r="AN3474">
        <v>0.99999998878310403</v>
      </c>
    </row>
    <row r="3475" spans="1:40" x14ac:dyDescent="0.25">
      <c r="A3475" t="str">
        <f>"20190303161942596"</f>
        <v>20190303161942596</v>
      </c>
      <c r="B3475" t="str">
        <f>"1551601182586225"</f>
        <v>1551601182586225</v>
      </c>
      <c r="C3475" t="s">
        <v>40</v>
      </c>
      <c r="D3475">
        <v>4.3188630000000003</v>
      </c>
      <c r="E3475">
        <v>0.50873420000000003</v>
      </c>
      <c r="F3475" t="s">
        <v>56</v>
      </c>
      <c r="G3475">
        <v>-406.21370000000002</v>
      </c>
      <c r="H3475" s="1">
        <v>5.4690130000000002E-6</v>
      </c>
      <c r="I3475">
        <v>285.47640000000001</v>
      </c>
      <c r="J3475">
        <v>-335.51839999999999</v>
      </c>
      <c r="K3475">
        <v>1.1211660000000001</v>
      </c>
      <c r="L3475">
        <v>283.88929999999999</v>
      </c>
      <c r="M3475">
        <v>-0.99993889999999996</v>
      </c>
      <c r="N3475">
        <v>-1.0994729999999999E-2</v>
      </c>
      <c r="O3475">
        <v>1.2645989999999999E-3</v>
      </c>
      <c r="P3475">
        <v>-0.98646579999999995</v>
      </c>
      <c r="Q3475">
        <v>0.16396830000000001</v>
      </c>
      <c r="R3475">
        <v>-2.0437410000000001E-4</v>
      </c>
      <c r="S3475">
        <v>-3.0491640000000002</v>
      </c>
      <c r="T3475">
        <v>-4.8240180000000001E-2</v>
      </c>
      <c r="U3475">
        <v>6.8298339999999999E-2</v>
      </c>
      <c r="V3475">
        <v>-1.4576109999999999E-3</v>
      </c>
      <c r="W3475">
        <v>0.17480399999999999</v>
      </c>
      <c r="X3475">
        <v>0.98460219999999998</v>
      </c>
      <c r="Y3475">
        <v>2.112458E-2</v>
      </c>
      <c r="Z3475">
        <v>2.771316E-4</v>
      </c>
      <c r="AA3475">
        <v>0.99977680000000002</v>
      </c>
      <c r="AB3475">
        <v>31</v>
      </c>
      <c r="AC3475">
        <v>-70.695300000000003</v>
      </c>
      <c r="AD3475">
        <v>-1.1211605309870001</v>
      </c>
      <c r="AE3475">
        <v>1.5871000000000199</v>
      </c>
      <c r="AF3475">
        <v>1.4973157343244401</v>
      </c>
      <c r="AG3475">
        <v>-1.1211605309870001</v>
      </c>
      <c r="AH3475">
        <v>70.679483019240806</v>
      </c>
      <c r="AI3475">
        <v>90.908580124169504</v>
      </c>
      <c r="AJ3475">
        <v>88.786394039978603</v>
      </c>
      <c r="AK3475">
        <v>70.704230956935305</v>
      </c>
      <c r="AL3475">
        <v>79.932747956716696</v>
      </c>
      <c r="AM3475">
        <v>90.084820953539804</v>
      </c>
      <c r="AN3475">
        <v>1.00000002764533</v>
      </c>
    </row>
    <row r="3476" spans="1:40" x14ac:dyDescent="0.25">
      <c r="A3476" t="str">
        <f>"20190303161942610"</f>
        <v>20190303161942610</v>
      </c>
      <c r="B3476" t="str">
        <f>"1551601182606721"</f>
        <v>1551601182606721</v>
      </c>
      <c r="C3476" t="s">
        <v>40</v>
      </c>
      <c r="D3476">
        <v>4.2949929999999998</v>
      </c>
      <c r="E3476">
        <v>0.50888129999999998</v>
      </c>
      <c r="F3476" t="s">
        <v>56</v>
      </c>
      <c r="G3476">
        <v>-407.24950000000001</v>
      </c>
      <c r="H3476" s="1">
        <v>5.0070950000000004E-6</v>
      </c>
      <c r="I3476">
        <v>285.48880000000003</v>
      </c>
      <c r="J3476">
        <v>-335.71440000000001</v>
      </c>
      <c r="K3476">
        <v>1.1211660000000001</v>
      </c>
      <c r="L3476">
        <v>283.8895</v>
      </c>
      <c r="M3476">
        <v>-0.99993880000000002</v>
      </c>
      <c r="N3476">
        <v>-1.0999510000000001E-2</v>
      </c>
      <c r="O3476">
        <v>1.244188E-3</v>
      </c>
      <c r="P3476">
        <v>-0.98650660000000001</v>
      </c>
      <c r="Q3476">
        <v>0.16372220000000001</v>
      </c>
      <c r="R3476">
        <v>-2.111332E-4</v>
      </c>
      <c r="S3476">
        <v>-3.0491030000000001</v>
      </c>
      <c r="T3476">
        <v>-4.7657610000000003E-2</v>
      </c>
      <c r="U3476">
        <v>6.7993159999999997E-2</v>
      </c>
      <c r="V3476">
        <v>-1.44405799999999E-3</v>
      </c>
      <c r="W3476">
        <v>0.17456360000000001</v>
      </c>
      <c r="X3476">
        <v>0.98464479999999999</v>
      </c>
      <c r="Y3476">
        <v>2.1045520000000002E-2</v>
      </c>
      <c r="Z3476">
        <v>2.7445680000000002E-4</v>
      </c>
      <c r="AA3476">
        <v>0.99977850000000001</v>
      </c>
      <c r="AB3476">
        <v>31</v>
      </c>
      <c r="AC3476">
        <v>-71.5351</v>
      </c>
      <c r="AD3476">
        <v>-1.1211609929049999</v>
      </c>
      <c r="AE3476">
        <v>1.5993000000000199</v>
      </c>
      <c r="AF3476">
        <v>1.5099195605048901</v>
      </c>
      <c r="AG3476">
        <v>-1.1211609929049999</v>
      </c>
      <c r="AH3476">
        <v>71.519475368725296</v>
      </c>
      <c r="AI3476">
        <v>90.897912404840795</v>
      </c>
      <c r="AJ3476">
        <v>88.790550854498306</v>
      </c>
      <c r="AK3476">
        <v>71.544197640821395</v>
      </c>
      <c r="AL3476">
        <v>79.946736250622493</v>
      </c>
      <c r="AM3476">
        <v>90.084028646119705</v>
      </c>
      <c r="AN3476">
        <v>0.99999995895775196</v>
      </c>
    </row>
    <row r="3477" spans="1:40" x14ac:dyDescent="0.25">
      <c r="A3477" t="str">
        <f>"20190303161942624"</f>
        <v>20190303161942624</v>
      </c>
      <c r="B3477" t="str">
        <f>"1551601182615505"</f>
        <v>1551601182615505</v>
      </c>
      <c r="C3477" t="s">
        <v>40</v>
      </c>
      <c r="D3477">
        <v>4.3063560000000001</v>
      </c>
      <c r="E3477">
        <v>0.50896660000000005</v>
      </c>
      <c r="F3477" t="s">
        <v>56</v>
      </c>
      <c r="G3477">
        <v>-408.73320000000001</v>
      </c>
      <c r="H3477" s="1">
        <v>4.3390759999999999E-6</v>
      </c>
      <c r="I3477">
        <v>285.53769999999997</v>
      </c>
      <c r="J3477">
        <v>-335.90410000000003</v>
      </c>
      <c r="K3477">
        <v>1.121164</v>
      </c>
      <c r="L3477">
        <v>283.8897</v>
      </c>
      <c r="M3477">
        <v>-0.99993869999999896</v>
      </c>
      <c r="N3477">
        <v>-1.100657E-2</v>
      </c>
      <c r="O3477">
        <v>1.224124E-3</v>
      </c>
      <c r="P3477">
        <v>-0.98651770000000005</v>
      </c>
      <c r="Q3477">
        <v>0.16365550000000001</v>
      </c>
      <c r="R3477">
        <v>-1.566308E-4</v>
      </c>
      <c r="S3477">
        <v>-3.0488279999999999</v>
      </c>
      <c r="T3477">
        <v>-4.6813010000000002E-2</v>
      </c>
      <c r="U3477">
        <v>6.8817139999999999E-2</v>
      </c>
      <c r="V3477">
        <v>-1.3694200000000001E-3</v>
      </c>
      <c r="W3477">
        <v>0.17450350000000001</v>
      </c>
      <c r="X3477">
        <v>0.98465559999999996</v>
      </c>
      <c r="Y3477">
        <v>2.1337720000000001E-2</v>
      </c>
      <c r="Z3477">
        <v>2.7592140000000002E-4</v>
      </c>
      <c r="AA3477">
        <v>0.99977229999999995</v>
      </c>
      <c r="AB3477">
        <v>31</v>
      </c>
      <c r="AC3477">
        <v>-72.829099999999897</v>
      </c>
      <c r="AD3477">
        <v>-1.121159660924</v>
      </c>
      <c r="AE3477">
        <v>1.6479999999999599</v>
      </c>
      <c r="AF3477">
        <v>1.55847236824742</v>
      </c>
      <c r="AG3477">
        <v>-1.121159660924</v>
      </c>
      <c r="AH3477">
        <v>72.8138157883226</v>
      </c>
      <c r="AI3477">
        <v>90.881947123084302</v>
      </c>
      <c r="AJ3477">
        <v>88.773855531852902</v>
      </c>
      <c r="AK3477">
        <v>72.839121389289502</v>
      </c>
      <c r="AL3477">
        <v>79.950233807854801</v>
      </c>
      <c r="AM3477">
        <v>90.079684648920306</v>
      </c>
      <c r="AN3477">
        <v>0.999999998717373</v>
      </c>
    </row>
    <row r="3478" spans="1:40" x14ac:dyDescent="0.25">
      <c r="A3478" t="str">
        <f>"20190303161942636"</f>
        <v>20190303161942636</v>
      </c>
      <c r="B3478" t="str">
        <f>"1551601182626241"</f>
        <v>1551601182626241</v>
      </c>
      <c r="C3478" t="s">
        <v>40</v>
      </c>
      <c r="D3478">
        <v>4.2988309999999998</v>
      </c>
      <c r="E3478">
        <v>0.50887729999999998</v>
      </c>
      <c r="F3478" t="s">
        <v>56</v>
      </c>
      <c r="G3478">
        <v>-409.38900000000001</v>
      </c>
      <c r="H3478" s="1">
        <v>4.0419189999999997E-6</v>
      </c>
      <c r="I3478">
        <v>285.56830000000002</v>
      </c>
      <c r="J3478">
        <v>-336.07780000000002</v>
      </c>
      <c r="K3478">
        <v>1.1211660000000001</v>
      </c>
      <c r="L3478">
        <v>283.88990000000001</v>
      </c>
      <c r="M3478">
        <v>-0.99993869999999896</v>
      </c>
      <c r="N3478">
        <v>-1.101656E-2</v>
      </c>
      <c r="O3478">
        <v>1.2057109999999999E-3</v>
      </c>
      <c r="P3478">
        <v>-0.98657139999999999</v>
      </c>
      <c r="Q3478">
        <v>0.16333129999999901</v>
      </c>
      <c r="R3478">
        <v>-1.078011E-4</v>
      </c>
      <c r="S3478">
        <v>-3.048737</v>
      </c>
      <c r="T3478">
        <v>-4.6514630000000001E-2</v>
      </c>
      <c r="U3478">
        <v>6.9641110000000006E-2</v>
      </c>
      <c r="V3478">
        <v>-1.302821E-3</v>
      </c>
      <c r="W3478">
        <v>0.17418989999999901</v>
      </c>
      <c r="X3478">
        <v>0.98471120000000001</v>
      </c>
      <c r="Y3478">
        <v>2.162685E-2</v>
      </c>
      <c r="Z3478">
        <v>2.7899670000000002E-4</v>
      </c>
      <c r="AA3478">
        <v>0.99976609999999999</v>
      </c>
      <c r="AB3478">
        <v>31</v>
      </c>
      <c r="AC3478">
        <v>-73.3111999999999</v>
      </c>
      <c r="AD3478">
        <v>-1.1211619580809999</v>
      </c>
      <c r="AE3478">
        <v>1.6784000000000101</v>
      </c>
      <c r="AF3478">
        <v>1.5896297147338001</v>
      </c>
      <c r="AG3478">
        <v>-1.1211619580809999</v>
      </c>
      <c r="AH3478">
        <v>73.296036880115395</v>
      </c>
      <c r="AI3478">
        <v>90.876142054581393</v>
      </c>
      <c r="AJ3478">
        <v>88.757575422295403</v>
      </c>
      <c r="AK3478">
        <v>73.321844965176894</v>
      </c>
      <c r="AL3478">
        <v>79.968481076769905</v>
      </c>
      <c r="AM3478">
        <v>90.075805069756498</v>
      </c>
      <c r="AN3478">
        <v>0.99999998300500303</v>
      </c>
    </row>
    <row r="3479" spans="1:40" x14ac:dyDescent="0.25">
      <c r="A3479" t="str">
        <f>"20190303161942651"</f>
        <v>20190303161942651</v>
      </c>
      <c r="B3479" t="str">
        <f>"1551601182645761"</f>
        <v>1551601182645761</v>
      </c>
      <c r="C3479" t="s">
        <v>40</v>
      </c>
      <c r="D3479">
        <v>4.3118449999999999</v>
      </c>
      <c r="E3479">
        <v>0.50871880000000003</v>
      </c>
      <c r="F3479" t="s">
        <v>56</v>
      </c>
      <c r="G3479">
        <v>-407.9119</v>
      </c>
      <c r="H3479" s="1">
        <v>4.7066139999999999E-6</v>
      </c>
      <c r="I3479">
        <v>285.5215</v>
      </c>
      <c r="J3479">
        <v>-336.28550000000001</v>
      </c>
      <c r="K3479">
        <v>1.121167</v>
      </c>
      <c r="L3479">
        <v>283.89010000000002</v>
      </c>
      <c r="M3479">
        <v>-0.99993840000000001</v>
      </c>
      <c r="N3479">
        <v>-1.10309E-2</v>
      </c>
      <c r="O3479">
        <v>1.1838759999999999E-3</v>
      </c>
      <c r="P3479">
        <v>-0.98666359999999997</v>
      </c>
      <c r="Q3479">
        <v>0.16277159999999999</v>
      </c>
      <c r="R3479">
        <v>4.7926419999999998E-4</v>
      </c>
      <c r="S3479">
        <v>-3.0486759999999999</v>
      </c>
      <c r="T3479">
        <v>-4.7582630000000001E-2</v>
      </c>
      <c r="U3479">
        <v>6.9244379999999994E-2</v>
      </c>
      <c r="V3479">
        <v>-6.9435600000000003E-4</v>
      </c>
      <c r="W3479">
        <v>0.17364560000000001</v>
      </c>
      <c r="X3479">
        <v>0.98480800000000002</v>
      </c>
      <c r="Y3479">
        <v>2.1518969999999998E-2</v>
      </c>
      <c r="Z3479">
        <v>2.8120009999999998E-4</v>
      </c>
      <c r="AA3479">
        <v>0.9997684</v>
      </c>
      <c r="AB3479">
        <v>31</v>
      </c>
      <c r="AC3479">
        <v>-71.626399999999904</v>
      </c>
      <c r="AD3479">
        <v>-1.1211622933859999</v>
      </c>
      <c r="AE3479">
        <v>1.63139999999998</v>
      </c>
      <c r="AF3479">
        <v>1.5462182677781999</v>
      </c>
      <c r="AG3479">
        <v>-1.1211622933859999</v>
      </c>
      <c r="AH3479">
        <v>71.610744762100197</v>
      </c>
      <c r="AI3479">
        <v>90.896760038861004</v>
      </c>
      <c r="AJ3479">
        <v>88.763062477277501</v>
      </c>
      <c r="AK3479">
        <v>71.636209846713498</v>
      </c>
      <c r="AL3479">
        <v>80.000150338483607</v>
      </c>
      <c r="AM3479">
        <v>90.040397378663798</v>
      </c>
      <c r="AN3479">
        <v>1.0000000366968</v>
      </c>
    </row>
    <row r="3480" spans="1:40" x14ac:dyDescent="0.25">
      <c r="A3480" t="str">
        <f>"20190303161942664"</f>
        <v>20190303161942664</v>
      </c>
      <c r="B3480" t="str">
        <f>"1551601182655520"</f>
        <v>1551601182655520</v>
      </c>
      <c r="C3480" t="s">
        <v>40</v>
      </c>
      <c r="D3480">
        <v>4.3004230000000003</v>
      </c>
      <c r="E3480">
        <v>0.5088047</v>
      </c>
      <c r="F3480" t="s">
        <v>56</v>
      </c>
      <c r="G3480">
        <v>-406.36989999999997</v>
      </c>
      <c r="H3480" s="1">
        <v>5.3946799999999997E-6</v>
      </c>
      <c r="I3480">
        <v>285.50099999999998</v>
      </c>
      <c r="J3480">
        <v>-336.46</v>
      </c>
      <c r="K3480">
        <v>1.1211719999999901</v>
      </c>
      <c r="L3480">
        <v>283.8904</v>
      </c>
      <c r="M3480">
        <v>-0.9999382</v>
      </c>
      <c r="N3480">
        <v>-1.104512E-2</v>
      </c>
      <c r="O3480">
        <v>1.1656170000000001E-3</v>
      </c>
      <c r="P3480">
        <v>-0.98668029999999995</v>
      </c>
      <c r="Q3480">
        <v>0.16267000000000001</v>
      </c>
      <c r="R3480">
        <v>7.5025999999999999E-4</v>
      </c>
      <c r="S3480">
        <v>-3.0485229999999999</v>
      </c>
      <c r="T3480">
        <v>-4.8768159999999998E-2</v>
      </c>
      <c r="U3480">
        <v>7.0068359999999996E-2</v>
      </c>
      <c r="V3480">
        <v>-4.0509310000000001E-4</v>
      </c>
      <c r="W3480">
        <v>0.17355779999999901</v>
      </c>
      <c r="X3480">
        <v>0.98482360000000002</v>
      </c>
      <c r="Y3480">
        <v>2.18082E-2</v>
      </c>
      <c r="Z3480">
        <v>2.891015E-4</v>
      </c>
      <c r="AA3480">
        <v>0.99976209999999999</v>
      </c>
      <c r="AB3480">
        <v>31</v>
      </c>
      <c r="AC3480">
        <v>-69.909899999999993</v>
      </c>
      <c r="AD3480">
        <v>-1.12116660531999</v>
      </c>
      <c r="AE3480">
        <v>1.6105999999999701</v>
      </c>
      <c r="AF3480">
        <v>1.52871278781694</v>
      </c>
      <c r="AG3480">
        <v>-1.12116660531999</v>
      </c>
      <c r="AH3480">
        <v>69.893763151775303</v>
      </c>
      <c r="AI3480">
        <v>90.9187836948404</v>
      </c>
      <c r="AJ3480">
        <v>88.747029435570994</v>
      </c>
      <c r="AK3480">
        <v>69.919468711232199</v>
      </c>
      <c r="AL3480">
        <v>80.005258084984803</v>
      </c>
      <c r="AM3480">
        <v>90.023567797959799</v>
      </c>
      <c r="AN3480">
        <v>0.99999999857910904</v>
      </c>
    </row>
    <row r="3481" spans="1:40" x14ac:dyDescent="0.25">
      <c r="A3481" t="str">
        <f>"20190303161942676"</f>
        <v>20190303161942676</v>
      </c>
      <c r="B3481" t="str">
        <f>"1551601182666257"</f>
        <v>1551601182666257</v>
      </c>
      <c r="C3481" t="s">
        <v>40</v>
      </c>
      <c r="D3481">
        <v>4.2758940000000001</v>
      </c>
      <c r="E3481">
        <v>0.50876440000000001</v>
      </c>
      <c r="F3481" t="s">
        <v>56</v>
      </c>
      <c r="G3481">
        <v>-406.98340000000002</v>
      </c>
      <c r="H3481" s="1">
        <v>5.1131849999999901E-6</v>
      </c>
      <c r="I3481">
        <v>285.54660000000001</v>
      </c>
      <c r="J3481">
        <v>-336.62270000000001</v>
      </c>
      <c r="K3481">
        <v>1.121175</v>
      </c>
      <c r="L3481">
        <v>283.89049999999997</v>
      </c>
      <c r="M3481">
        <v>-0.99993829999999995</v>
      </c>
      <c r="N3481">
        <v>-1.106066E-2</v>
      </c>
      <c r="O3481">
        <v>1.1484819999999999E-3</v>
      </c>
      <c r="P3481">
        <v>-0.98667850000000001</v>
      </c>
      <c r="Q3481">
        <v>0.16268189999999999</v>
      </c>
      <c r="R3481">
        <v>7.5527089999999895E-4</v>
      </c>
      <c r="S3481">
        <v>-3.0484309999999999</v>
      </c>
      <c r="T3481">
        <v>-4.8463340000000001E-2</v>
      </c>
      <c r="U3481">
        <v>7.1594240000000003E-2</v>
      </c>
      <c r="V3481">
        <v>-3.8348949999999999E-4</v>
      </c>
      <c r="W3481">
        <v>0.17358509999999999</v>
      </c>
      <c r="X3481">
        <v>0.98481879999999999</v>
      </c>
      <c r="Y3481">
        <v>2.232611E-2</v>
      </c>
      <c r="Z3481">
        <v>2.9538390000000001E-4</v>
      </c>
      <c r="AA3481">
        <v>0.99975069999999999</v>
      </c>
      <c r="AB3481">
        <v>31</v>
      </c>
      <c r="AC3481">
        <v>-70.360699999999994</v>
      </c>
      <c r="AD3481">
        <v>-1.121169886815</v>
      </c>
      <c r="AE3481">
        <v>1.6561000000000301</v>
      </c>
      <c r="AF3481">
        <v>1.5748863168490801</v>
      </c>
      <c r="AG3481">
        <v>-1.121169886815</v>
      </c>
      <c r="AH3481">
        <v>70.344704261388898</v>
      </c>
      <c r="AI3481">
        <v>90.912887129442197</v>
      </c>
      <c r="AJ3481">
        <v>88.717468946016695</v>
      </c>
      <c r="AK3481">
        <v>70.371263356915506</v>
      </c>
      <c r="AL3481">
        <v>80.003669830787501</v>
      </c>
      <c r="AM3481">
        <v>90.022311037042499</v>
      </c>
      <c r="AN3481">
        <v>1.00000000141982</v>
      </c>
    </row>
    <row r="3482" spans="1:40" x14ac:dyDescent="0.25">
      <c r="A3482" t="str">
        <f>"20190303161942689"</f>
        <v>20190303161942689</v>
      </c>
      <c r="B3482" t="str">
        <f>"1551601182676017"</f>
        <v>1551601182676017</v>
      </c>
      <c r="C3482" t="s">
        <v>40</v>
      </c>
      <c r="D3482">
        <v>4.2904530000000003</v>
      </c>
      <c r="E3482">
        <v>0.5087235</v>
      </c>
      <c r="F3482" t="s">
        <v>56</v>
      </c>
      <c r="G3482">
        <v>-408.76089999999999</v>
      </c>
      <c r="H3482" s="1">
        <v>4.3167440000000001E-6</v>
      </c>
      <c r="I3482">
        <v>285.58629999999999</v>
      </c>
      <c r="J3482">
        <v>-336.80270000000002</v>
      </c>
      <c r="K3482">
        <v>1.1211770000000001</v>
      </c>
      <c r="L3482">
        <v>283.89069999999998</v>
      </c>
      <c r="M3482">
        <v>-0.99993810000000005</v>
      </c>
      <c r="N3482">
        <v>-1.107841E-2</v>
      </c>
      <c r="O3482">
        <v>1.129667E-3</v>
      </c>
      <c r="P3482">
        <v>-0.9866201</v>
      </c>
      <c r="Q3482">
        <v>0.1630346</v>
      </c>
      <c r="R3482">
        <v>9.8244239999999996E-4</v>
      </c>
      <c r="S3482">
        <v>-3.0482480000000001</v>
      </c>
      <c r="T3482">
        <v>-4.7375800000000003E-2</v>
      </c>
      <c r="U3482">
        <v>7.1655269999999993E-2</v>
      </c>
      <c r="V3482">
        <v>-1.3741099999999999E-4</v>
      </c>
      <c r="W3482">
        <v>0.1739551</v>
      </c>
      <c r="X3482">
        <v>0.98475360000000001</v>
      </c>
      <c r="Y3482">
        <v>2.2366489999999999E-2</v>
      </c>
      <c r="Z3482">
        <v>2.9266120000000001E-4</v>
      </c>
      <c r="AA3482">
        <v>0.99974980000000002</v>
      </c>
      <c r="AB3482">
        <v>31</v>
      </c>
      <c r="AC3482">
        <v>-71.958199999999906</v>
      </c>
      <c r="AD3482">
        <v>-1.1211726832560001</v>
      </c>
      <c r="AE3482">
        <v>1.69560000000001</v>
      </c>
      <c r="AF3482">
        <v>1.61391355100089</v>
      </c>
      <c r="AG3482">
        <v>-1.1211726832560001</v>
      </c>
      <c r="AH3482">
        <v>71.942614269697401</v>
      </c>
      <c r="AI3482">
        <v>90.892615727213098</v>
      </c>
      <c r="AJ3482">
        <v>88.714879511646203</v>
      </c>
      <c r="AK3482">
        <v>71.969448331178995</v>
      </c>
      <c r="AL3482">
        <v>79.982143117269402</v>
      </c>
      <c r="AM3482">
        <v>90.007994964737904</v>
      </c>
      <c r="AN3482">
        <v>1.0000000242053699</v>
      </c>
    </row>
    <row r="3483" spans="1:40" x14ac:dyDescent="0.25">
      <c r="A3483" t="str">
        <f>"20190303161942701"</f>
        <v>20190303161942701</v>
      </c>
      <c r="B3483" t="str">
        <f>"1551601182695537"</f>
        <v>1551601182695537</v>
      </c>
      <c r="C3483" t="s">
        <v>40</v>
      </c>
      <c r="D3483">
        <v>4.2654779999999999</v>
      </c>
      <c r="E3483">
        <v>0.50877600000000001</v>
      </c>
      <c r="F3483" t="s">
        <v>56</v>
      </c>
      <c r="G3483">
        <v>-411.61200000000002</v>
      </c>
      <c r="H3483" s="1">
        <v>2.4005429999999998E-6</v>
      </c>
      <c r="I3483">
        <v>285.65910000000002</v>
      </c>
      <c r="J3483">
        <v>-336.97329999999999</v>
      </c>
      <c r="K3483">
        <v>1.121183</v>
      </c>
      <c r="L3483">
        <v>283.89089999999999</v>
      </c>
      <c r="M3483">
        <v>-0.99993779999999999</v>
      </c>
      <c r="N3483">
        <v>-1.109601E-2</v>
      </c>
      <c r="O3483">
        <v>1.111749E-3</v>
      </c>
      <c r="P3483">
        <v>-0.98661790000000005</v>
      </c>
      <c r="Q3483">
        <v>0.16304640000000001</v>
      </c>
      <c r="R3483">
        <v>1.0760959999999999E-3</v>
      </c>
      <c r="S3483">
        <v>-3.0481259999999999</v>
      </c>
      <c r="T3483">
        <v>-4.5682550000000002E-2</v>
      </c>
      <c r="U3483">
        <v>7.2052000000000005E-2</v>
      </c>
      <c r="V3483" s="1">
        <v>-2.6266950000000001E-5</v>
      </c>
      <c r="W3483">
        <v>0.17398379999999999</v>
      </c>
      <c r="X3483">
        <v>0.98474850000000003</v>
      </c>
      <c r="Y3483">
        <v>2.251562E-2</v>
      </c>
      <c r="Z3483">
        <v>2.89315E-4</v>
      </c>
      <c r="AA3483">
        <v>0.99974640000000004</v>
      </c>
      <c r="AB3483">
        <v>31</v>
      </c>
      <c r="AC3483">
        <v>-74.638699999999901</v>
      </c>
      <c r="AD3483">
        <v>-1.1211805994570001</v>
      </c>
      <c r="AE3483">
        <v>1.76820000000003</v>
      </c>
      <c r="AF3483">
        <v>1.68483433784794</v>
      </c>
      <c r="AG3483">
        <v>-1.1211805994570001</v>
      </c>
      <c r="AH3483">
        <v>74.623790847898903</v>
      </c>
      <c r="AI3483">
        <v>90.860552910461294</v>
      </c>
      <c r="AJ3483">
        <v>88.706612223245997</v>
      </c>
      <c r="AK3483">
        <v>74.651228209544897</v>
      </c>
      <c r="AL3483">
        <v>79.980472876192394</v>
      </c>
      <c r="AM3483">
        <v>90.001528294153601</v>
      </c>
      <c r="AN3483">
        <v>0.99999998580232097</v>
      </c>
    </row>
    <row r="3484" spans="1:40" x14ac:dyDescent="0.25">
      <c r="A3484" t="str">
        <f>"20190303161942719"</f>
        <v>20190303161942719</v>
      </c>
      <c r="B3484" t="str">
        <f>"1551601182706273"</f>
        <v>1551601182706273</v>
      </c>
      <c r="C3484" t="s">
        <v>40</v>
      </c>
      <c r="D3484">
        <v>4.2617120000000002</v>
      </c>
      <c r="E3484">
        <v>0.50880579999999997</v>
      </c>
      <c r="F3484" t="s">
        <v>56</v>
      </c>
      <c r="G3484">
        <v>-412.52229999999997</v>
      </c>
      <c r="H3484" s="1">
        <v>2.5594789999999999E-6</v>
      </c>
      <c r="I3484">
        <v>285.68799999999999</v>
      </c>
      <c r="J3484">
        <v>-337.22820000000002</v>
      </c>
      <c r="K3484">
        <v>1.121184</v>
      </c>
      <c r="L3484">
        <v>283.89109999999999</v>
      </c>
      <c r="M3484">
        <v>-0.99993770000000004</v>
      </c>
      <c r="N3484">
        <v>-1.1124240000000001E-2</v>
      </c>
      <c r="O3484">
        <v>1.084771E-3</v>
      </c>
      <c r="P3484">
        <v>-0.98661290000000001</v>
      </c>
      <c r="Q3484">
        <v>0.16307859999999999</v>
      </c>
      <c r="R3484">
        <v>8.5226029999999997E-4</v>
      </c>
      <c r="S3484">
        <v>-3.0481259999999999</v>
      </c>
      <c r="T3484">
        <v>-4.523551E-2</v>
      </c>
      <c r="U3484">
        <v>7.2509770000000001E-2</v>
      </c>
      <c r="V3484">
        <v>-2.233382E-4</v>
      </c>
      <c r="W3484">
        <v>0.1740438</v>
      </c>
      <c r="X3484">
        <v>0.98473790000000005</v>
      </c>
      <c r="Y3484">
        <v>2.2692670000000002E-2</v>
      </c>
      <c r="Z3484">
        <v>2.9057520000000002E-4</v>
      </c>
      <c r="AA3484">
        <v>0.99974240000000003</v>
      </c>
      <c r="AB3484">
        <v>31</v>
      </c>
      <c r="AC3484">
        <v>-75.294099999999901</v>
      </c>
      <c r="AD3484">
        <v>-1.1211814405210001</v>
      </c>
      <c r="AE3484">
        <v>1.7968999999999899</v>
      </c>
      <c r="AF3484">
        <v>1.7148370266175299</v>
      </c>
      <c r="AG3484">
        <v>-1.1211814405210001</v>
      </c>
      <c r="AH3484">
        <v>75.279322647127302</v>
      </c>
      <c r="AI3484">
        <v>90.853057069709607</v>
      </c>
      <c r="AJ3484">
        <v>88.695047575931198</v>
      </c>
      <c r="AK3484">
        <v>75.307198407992303</v>
      </c>
      <c r="AL3484">
        <v>79.976982142688001</v>
      </c>
      <c r="AM3484">
        <v>90.012994661873606</v>
      </c>
      <c r="AN3484">
        <v>1.0000000129474</v>
      </c>
    </row>
    <row r="3485" spans="1:40" x14ac:dyDescent="0.25">
      <c r="A3485" t="str">
        <f>"20190303161942741"</f>
        <v>20190303161942741</v>
      </c>
      <c r="B3485" t="str">
        <f>"1551601182735553"</f>
        <v>1551601182735553</v>
      </c>
      <c r="C3485" t="s">
        <v>40</v>
      </c>
      <c r="D3485">
        <v>4.3221869999999996</v>
      </c>
      <c r="E3485">
        <v>0.50879129999999995</v>
      </c>
      <c r="F3485" t="s">
        <v>56</v>
      </c>
      <c r="G3485">
        <v>-412.57089999999999</v>
      </c>
      <c r="H3485" s="1">
        <v>2.5701519999999999E-6</v>
      </c>
      <c r="I3485">
        <v>285.66449999999998</v>
      </c>
      <c r="J3485">
        <v>-337.53140000000002</v>
      </c>
      <c r="K3485">
        <v>1.121189</v>
      </c>
      <c r="L3485">
        <v>283.89139999999998</v>
      </c>
      <c r="M3485">
        <v>-0.99993730000000003</v>
      </c>
      <c r="N3485">
        <v>-1.116024E-2</v>
      </c>
      <c r="O3485">
        <v>1.0529210000000001E-3</v>
      </c>
      <c r="P3485">
        <v>-0.98664149999999995</v>
      </c>
      <c r="Q3485">
        <v>0.1629072</v>
      </c>
      <c r="R3485">
        <v>4.7613590000000002E-4</v>
      </c>
      <c r="S3485">
        <v>-3.048187</v>
      </c>
      <c r="T3485">
        <v>-4.5360329999999997E-2</v>
      </c>
      <c r="U3485">
        <v>7.1746829999999998E-2</v>
      </c>
      <c r="V3485">
        <v>-5.6800869999999997E-4</v>
      </c>
      <c r="W3485">
        <v>0.1739086</v>
      </c>
      <c r="X3485">
        <v>0.98476169999999996</v>
      </c>
      <c r="Y3485">
        <v>2.2473969999999999E-2</v>
      </c>
      <c r="Z3485">
        <v>2.8871099999999998E-4</v>
      </c>
      <c r="AA3485">
        <v>0.99974739999999995</v>
      </c>
      <c r="AB3485">
        <v>31</v>
      </c>
      <c r="AC3485">
        <v>-75.039499999999904</v>
      </c>
      <c r="AD3485">
        <v>-1.1211864298479901</v>
      </c>
      <c r="AE3485">
        <v>1.7730999999999899</v>
      </c>
      <c r="AF3485">
        <v>1.6937055460208701</v>
      </c>
      <c r="AG3485">
        <v>-1.1211864298479901</v>
      </c>
      <c r="AH3485">
        <v>75.024586160320098</v>
      </c>
      <c r="AI3485">
        <v>90.855960858633395</v>
      </c>
      <c r="AJ3485">
        <v>88.706747963421094</v>
      </c>
      <c r="AK3485">
        <v>75.052076760169598</v>
      </c>
      <c r="AL3485">
        <v>79.984849019513007</v>
      </c>
      <c r="AM3485">
        <v>90.033048094404506</v>
      </c>
      <c r="AN3485">
        <v>1.0000000647873599</v>
      </c>
    </row>
    <row r="3486" spans="1:40" x14ac:dyDescent="0.25">
      <c r="A3486" t="str">
        <f>"20190303161942762"</f>
        <v>20190303161942762</v>
      </c>
      <c r="B3486" t="str">
        <f>"1551601182756049"</f>
        <v>1551601182756049</v>
      </c>
      <c r="C3486" t="s">
        <v>40</v>
      </c>
      <c r="D3486">
        <v>4.3273199999999896</v>
      </c>
      <c r="E3486">
        <v>0.52312389999999998</v>
      </c>
      <c r="F3486" t="s">
        <v>56</v>
      </c>
      <c r="G3486">
        <v>-409.74250000000001</v>
      </c>
      <c r="H3486" s="1">
        <v>3.885559E-6</v>
      </c>
      <c r="I3486">
        <v>285.56639999999999</v>
      </c>
      <c r="J3486">
        <v>-337.83319999999998</v>
      </c>
      <c r="K3486">
        <v>1.121194</v>
      </c>
      <c r="L3486">
        <v>283.89170000000001</v>
      </c>
      <c r="M3486">
        <v>-0.99993679999999996</v>
      </c>
      <c r="N3486">
        <v>-1.119677E-2</v>
      </c>
      <c r="O3486">
        <v>1.021718E-3</v>
      </c>
      <c r="P3486">
        <v>-0.98662419999999995</v>
      </c>
      <c r="Q3486">
        <v>0.16301099999999999</v>
      </c>
      <c r="R3486">
        <v>6.9183809999999999E-4</v>
      </c>
      <c r="S3486">
        <v>-3.0484309999999999</v>
      </c>
      <c r="T3486">
        <v>-4.7331449999999997E-2</v>
      </c>
      <c r="U3486">
        <v>7.0709229999999998E-2</v>
      </c>
      <c r="V3486">
        <v>-3.2147589999999998E-4</v>
      </c>
      <c r="W3486">
        <v>0.17404810000000001</v>
      </c>
      <c r="X3486">
        <v>0.98473710000000003</v>
      </c>
      <c r="Y3486">
        <v>2.2162939999999999E-2</v>
      </c>
      <c r="Z3486">
        <v>2.91711E-4</v>
      </c>
      <c r="AA3486">
        <v>0.99975429999999998</v>
      </c>
      <c r="AB3486">
        <v>31</v>
      </c>
      <c r="AC3486">
        <v>-71.909300000000002</v>
      </c>
      <c r="AD3486">
        <v>-1.1211901144409999</v>
      </c>
      <c r="AE3486">
        <v>1.6746999999999701</v>
      </c>
      <c r="AF3486">
        <v>1.60083453929371</v>
      </c>
      <c r="AG3486">
        <v>-1.1211901144409999</v>
      </c>
      <c r="AH3486">
        <v>71.893505665011602</v>
      </c>
      <c r="AI3486">
        <v>90.893242560047298</v>
      </c>
      <c r="AJ3486">
        <v>88.724420129751394</v>
      </c>
      <c r="AK3486">
        <v>71.920066012900506</v>
      </c>
      <c r="AL3486">
        <v>79.976731824121799</v>
      </c>
      <c r="AM3486">
        <v>90.018704699590202</v>
      </c>
      <c r="AN3486">
        <v>1.00000000028838</v>
      </c>
    </row>
    <row r="3487" spans="1:40" x14ac:dyDescent="0.25">
      <c r="A3487" t="str">
        <f>"20190303161942774"</f>
        <v>20190303161942774</v>
      </c>
      <c r="B3487" t="str">
        <f>"1551601182765809"</f>
        <v>1551601182765809</v>
      </c>
      <c r="C3487" t="s">
        <v>40</v>
      </c>
      <c r="D3487">
        <v>4.3374980000000001</v>
      </c>
      <c r="E3487">
        <v>0.52598979999999995</v>
      </c>
      <c r="F3487" t="s">
        <v>42</v>
      </c>
      <c r="G3487">
        <v>-338.59609999999998</v>
      </c>
      <c r="H3487">
        <v>1.051444</v>
      </c>
      <c r="I3487">
        <v>283.93770000000001</v>
      </c>
      <c r="J3487">
        <v>-337.99900000000002</v>
      </c>
      <c r="K3487">
        <v>1.1211960000000001</v>
      </c>
      <c r="L3487">
        <v>283.89179999999999</v>
      </c>
      <c r="M3487">
        <v>-0.99993650000000001</v>
      </c>
      <c r="N3487">
        <v>-1.1217700000000001E-2</v>
      </c>
      <c r="O3487">
        <v>1.0042569999999999E-3</v>
      </c>
      <c r="P3487">
        <v>-0.98660190000000003</v>
      </c>
      <c r="Q3487">
        <v>0.1631455</v>
      </c>
      <c r="R3487">
        <v>5.1713829999999999E-4</v>
      </c>
      <c r="S3487">
        <v>-3.0871580000000001</v>
      </c>
      <c r="T3487">
        <v>-0.28222629999999999</v>
      </c>
      <c r="U3487">
        <v>0.1855164</v>
      </c>
      <c r="V3487">
        <v>-4.7923449999999999E-4</v>
      </c>
      <c r="W3487">
        <v>0.17420250000000001</v>
      </c>
      <c r="X3487">
        <v>0.98470970000000002</v>
      </c>
      <c r="Y3487">
        <v>5.8711289999999999E-2</v>
      </c>
      <c r="Z3487">
        <v>2.9257720000000001E-3</v>
      </c>
      <c r="AA3487">
        <v>0.99827069999999996</v>
      </c>
      <c r="AB3487">
        <v>31</v>
      </c>
      <c r="AC3487">
        <v>-0.597099999999954</v>
      </c>
      <c r="AD3487">
        <v>-6.97519999999998E-2</v>
      </c>
      <c r="AE3487">
        <v>4.5900000000017302E-2</v>
      </c>
      <c r="AF3487">
        <v>4.4693966887162102E-2</v>
      </c>
      <c r="AG3487">
        <v>-6.97519999999998E-2</v>
      </c>
      <c r="AH3487">
        <v>0.58915318714295095</v>
      </c>
      <c r="AI3487">
        <v>96.732858581343905</v>
      </c>
      <c r="AJ3487">
        <v>85.6617731267241</v>
      </c>
      <c r="AK3487">
        <v>0.59494904832330597</v>
      </c>
      <c r="AL3487">
        <v>79.967747778495607</v>
      </c>
      <c r="AM3487">
        <v>90.027884474052797</v>
      </c>
      <c r="AN3487">
        <v>0.99999996697302196</v>
      </c>
    </row>
    <row r="3488" spans="1:40" x14ac:dyDescent="0.25">
      <c r="A3488" t="str">
        <f>"20190303161942787"</f>
        <v>20190303161942787</v>
      </c>
      <c r="B3488" t="str">
        <f>"1551601182775569"</f>
        <v>1551601182775569</v>
      </c>
      <c r="C3488" t="s">
        <v>40</v>
      </c>
      <c r="D3488">
        <v>4.3450530000000001</v>
      </c>
      <c r="E3488">
        <v>0.52598979999999995</v>
      </c>
      <c r="F3488" t="s">
        <v>42</v>
      </c>
      <c r="G3488">
        <v>-338.85980000000001</v>
      </c>
      <c r="H3488">
        <v>1.027857</v>
      </c>
      <c r="I3488">
        <v>283.95</v>
      </c>
      <c r="J3488">
        <v>-338.17</v>
      </c>
      <c r="K3488">
        <v>1.1212</v>
      </c>
      <c r="L3488">
        <v>283.892</v>
      </c>
      <c r="M3488">
        <v>-0.9999363</v>
      </c>
      <c r="N3488">
        <v>-1.1239600000000001E-2</v>
      </c>
      <c r="O3488">
        <v>9.8607610000000004E-4</v>
      </c>
      <c r="P3488">
        <v>-0.98658860000000004</v>
      </c>
      <c r="Q3488">
        <v>0.163224799999999</v>
      </c>
      <c r="R3488">
        <v>6.8906509999999905E-4</v>
      </c>
      <c r="S3488">
        <v>-3.09613</v>
      </c>
      <c r="T3488">
        <v>-0.33591650000000001</v>
      </c>
      <c r="U3488">
        <v>0.20785519999999999</v>
      </c>
      <c r="V3488">
        <v>-2.8953259999999999E-4</v>
      </c>
      <c r="W3488">
        <v>0.1743035</v>
      </c>
      <c r="X3488">
        <v>0.98469189999999995</v>
      </c>
      <c r="Y3488">
        <v>6.5580570000000005E-2</v>
      </c>
      <c r="Z3488">
        <v>3.8178919999999998E-3</v>
      </c>
      <c r="AA3488">
        <v>0.99783999999999995</v>
      </c>
      <c r="AB3488">
        <v>31</v>
      </c>
      <c r="AC3488">
        <v>-0.68979999999999098</v>
      </c>
      <c r="AD3488">
        <v>-9.3342999999999898E-2</v>
      </c>
      <c r="AE3488">
        <v>5.7999999999992703E-2</v>
      </c>
      <c r="AF3488">
        <v>5.6296120007890402E-2</v>
      </c>
      <c r="AG3488">
        <v>-9.3342999999999898E-2</v>
      </c>
      <c r="AH3488">
        <v>0.67753742454468502</v>
      </c>
      <c r="AI3488">
        <v>97.817544006254494</v>
      </c>
      <c r="AJ3488">
        <v>85.250243428500099</v>
      </c>
      <c r="AK3488">
        <v>0.68625004949769397</v>
      </c>
      <c r="AL3488">
        <v>79.961870984614094</v>
      </c>
      <c r="AM3488">
        <v>90.016846889400995</v>
      </c>
      <c r="AN3488">
        <v>0.99999996593349205</v>
      </c>
    </row>
    <row r="3489" spans="1:40" x14ac:dyDescent="0.25">
      <c r="A3489" t="str">
        <f>"20190303161942798"</f>
        <v>20190303161942798</v>
      </c>
      <c r="B3489" t="str">
        <f>"1551601182796065"</f>
        <v>1551601182796065</v>
      </c>
      <c r="C3489" t="s">
        <v>40</v>
      </c>
      <c r="D3489">
        <v>4.3087609999999996</v>
      </c>
      <c r="E3489">
        <v>0.53964909999999999</v>
      </c>
      <c r="F3489" t="s">
        <v>42</v>
      </c>
      <c r="G3489">
        <v>-339.1327</v>
      </c>
      <c r="H3489">
        <v>1.0168569999999999</v>
      </c>
      <c r="I3489">
        <v>283.95679999999999</v>
      </c>
      <c r="J3489">
        <v>-338.33980000000003</v>
      </c>
      <c r="K3489">
        <v>1.1212029999999999</v>
      </c>
      <c r="L3489">
        <v>283.8922</v>
      </c>
      <c r="M3489">
        <v>-0.99993620000000005</v>
      </c>
      <c r="N3489">
        <v>-1.126189E-2</v>
      </c>
      <c r="O3489">
        <v>9.6824819999999996E-4</v>
      </c>
      <c r="P3489">
        <v>-0.986572</v>
      </c>
      <c r="Q3489">
        <v>0.16332659999999999</v>
      </c>
      <c r="R3489">
        <v>6.3437360000000002E-4</v>
      </c>
      <c r="S3489">
        <v>-3.09613</v>
      </c>
      <c r="T3489">
        <v>-0.33569110000000002</v>
      </c>
      <c r="U3489">
        <v>0.2080688</v>
      </c>
      <c r="V3489">
        <v>-3.2614930000000002E-4</v>
      </c>
      <c r="W3489">
        <v>0.174427</v>
      </c>
      <c r="X3489">
        <v>0.98467000000000005</v>
      </c>
      <c r="Y3489">
        <v>6.5666719999999998E-2</v>
      </c>
      <c r="Z3489">
        <v>3.823211E-3</v>
      </c>
      <c r="AA3489">
        <v>0.99783429999999995</v>
      </c>
      <c r="AB3489">
        <v>31</v>
      </c>
      <c r="AC3489">
        <v>-0.79289999999997396</v>
      </c>
      <c r="AD3489">
        <v>-0.10434599999999999</v>
      </c>
      <c r="AE3489">
        <v>6.4599999999984406E-2</v>
      </c>
      <c r="AF3489">
        <v>6.27525718171182E-2</v>
      </c>
      <c r="AG3489">
        <v>-0.10434599999999999</v>
      </c>
      <c r="AH3489">
        <v>0.77955042254991902</v>
      </c>
      <c r="AI3489">
        <v>97.599662024469197</v>
      </c>
      <c r="AJ3489">
        <v>85.397704511304696</v>
      </c>
      <c r="AK3489">
        <v>0.78900242983365998</v>
      </c>
      <c r="AL3489">
        <v>79.954684677665696</v>
      </c>
      <c r="AM3489">
        <v>90.018977909043301</v>
      </c>
      <c r="AN3489">
        <v>0.99999994680118098</v>
      </c>
    </row>
    <row r="3490" spans="1:40" x14ac:dyDescent="0.25">
      <c r="A3490" t="str">
        <f>"20190303161942812"</f>
        <v>20190303161942812</v>
      </c>
      <c r="B3490" t="str">
        <f>"1551601182805825"</f>
        <v>1551601182805825</v>
      </c>
      <c r="C3490" t="s">
        <v>40</v>
      </c>
      <c r="D3490">
        <v>4.3334469999999996</v>
      </c>
      <c r="E3490">
        <v>0.53957429999999995</v>
      </c>
      <c r="F3490" t="s">
        <v>42</v>
      </c>
      <c r="G3490">
        <v>-339.08890000000002</v>
      </c>
      <c r="H3490">
        <v>0.92780969999999996</v>
      </c>
      <c r="I3490">
        <v>283.96679999999998</v>
      </c>
      <c r="J3490">
        <v>-338.5104</v>
      </c>
      <c r="K3490">
        <v>1.121211</v>
      </c>
      <c r="L3490">
        <v>283.89229999999998</v>
      </c>
      <c r="M3490">
        <v>-0.99993589999999999</v>
      </c>
      <c r="N3490">
        <v>-1.128412E-2</v>
      </c>
      <c r="O3490">
        <v>9.503011E-4</v>
      </c>
      <c r="P3490">
        <v>-0.98658369999999995</v>
      </c>
      <c r="Q3490">
        <v>0.16325580000000001</v>
      </c>
      <c r="R3490">
        <v>6.8216539999999904E-4</v>
      </c>
      <c r="S3490">
        <v>-3.1763919999999999</v>
      </c>
      <c r="T3490">
        <v>-0.82014169999999997</v>
      </c>
      <c r="U3490">
        <v>0.31603999999999999</v>
      </c>
      <c r="V3490">
        <v>-2.6088730000000001E-4</v>
      </c>
      <c r="W3490">
        <v>0.17437820000000001</v>
      </c>
      <c r="X3490">
        <v>0.98467870000000002</v>
      </c>
      <c r="Y3490">
        <v>9.4868820000000006E-2</v>
      </c>
      <c r="Z3490">
        <v>1.233688E-2</v>
      </c>
      <c r="AA3490">
        <v>0.9954134</v>
      </c>
      <c r="AB3490">
        <v>31</v>
      </c>
      <c r="AC3490">
        <v>-0.578500000000019</v>
      </c>
      <c r="AD3490">
        <v>-0.1934013</v>
      </c>
      <c r="AE3490">
        <v>7.4500000000000399E-2</v>
      </c>
      <c r="AF3490">
        <v>6.6625192932669705E-2</v>
      </c>
      <c r="AG3490">
        <v>-0.1934013</v>
      </c>
      <c r="AH3490">
        <v>0.52126137845684295</v>
      </c>
      <c r="AI3490">
        <v>110.205206101559</v>
      </c>
      <c r="AJ3490">
        <v>82.716214418324299</v>
      </c>
      <c r="AK3490">
        <v>0.55996107350934099</v>
      </c>
      <c r="AL3490">
        <v>79.957524601630297</v>
      </c>
      <c r="AM3490">
        <v>90.015180323153899</v>
      </c>
      <c r="AN3490">
        <v>0.99999998346555596</v>
      </c>
    </row>
    <row r="3491" spans="1:40" x14ac:dyDescent="0.25">
      <c r="A3491" t="str">
        <f>"20190303161942826"</f>
        <v>20190303161942826</v>
      </c>
      <c r="B3491" t="str">
        <f>"1551601182815586"</f>
        <v>1551601182815586</v>
      </c>
      <c r="C3491" t="s">
        <v>40</v>
      </c>
      <c r="D3491">
        <v>4.3434710000000001</v>
      </c>
      <c r="E3491">
        <v>0.53953769999999901</v>
      </c>
      <c r="F3491" t="s">
        <v>42</v>
      </c>
      <c r="G3491">
        <v>-339.35480000000001</v>
      </c>
      <c r="H3491">
        <v>0.90003099999999903</v>
      </c>
      <c r="I3491">
        <v>283.97629999999998</v>
      </c>
      <c r="J3491">
        <v>-338.70830000000001</v>
      </c>
      <c r="K3491">
        <v>1.1212150000000001</v>
      </c>
      <c r="L3491">
        <v>283.89249999999998</v>
      </c>
      <c r="M3491">
        <v>-0.99993569999999998</v>
      </c>
      <c r="N3491">
        <v>-1.1309649999999999E-2</v>
      </c>
      <c r="O3491">
        <v>9.2941439999999996E-4</v>
      </c>
      <c r="P3491">
        <v>-0.98653760000000001</v>
      </c>
      <c r="Q3491">
        <v>0.16353380000000001</v>
      </c>
      <c r="R3491">
        <v>6.0194540000000003E-4</v>
      </c>
      <c r="S3491">
        <v>-3.1783450000000002</v>
      </c>
      <c r="T3491">
        <v>-0.83260080000000003</v>
      </c>
      <c r="U3491">
        <v>0.3156738</v>
      </c>
      <c r="V3491">
        <v>-3.2050029999999998E-4</v>
      </c>
      <c r="W3491">
        <v>0.174681</v>
      </c>
      <c r="X3491">
        <v>0.98462499999999997</v>
      </c>
      <c r="Y3491">
        <v>9.4632759999999996E-2</v>
      </c>
      <c r="Z3491">
        <v>1.2478019999999999E-2</v>
      </c>
      <c r="AA3491">
        <v>0.99543400000000004</v>
      </c>
      <c r="AB3491">
        <v>31</v>
      </c>
      <c r="AC3491">
        <v>-0.64650000000000296</v>
      </c>
      <c r="AD3491">
        <v>-0.22118399999999999</v>
      </c>
      <c r="AE3491">
        <v>8.3799999999996502E-2</v>
      </c>
      <c r="AF3491">
        <v>7.4610255670699205E-2</v>
      </c>
      <c r="AG3491">
        <v>-0.22118399999999999</v>
      </c>
      <c r="AH3491">
        <v>0.57983012563766101</v>
      </c>
      <c r="AI3491">
        <v>110.72384018560101</v>
      </c>
      <c r="AJ3491">
        <v>82.667696002650899</v>
      </c>
      <c r="AK3491">
        <v>0.62505361906338397</v>
      </c>
      <c r="AL3491">
        <v>79.939904901573797</v>
      </c>
      <c r="AM3491">
        <v>90.018650058523903</v>
      </c>
      <c r="AN3491">
        <v>0.99999997255322004</v>
      </c>
    </row>
    <row r="3492" spans="1:40" x14ac:dyDescent="0.25">
      <c r="A3492" t="str">
        <f>"20190303161942839"</f>
        <v>20190303161942839</v>
      </c>
      <c r="B3492" t="str">
        <f>"1551601182836081"</f>
        <v>1551601182836081</v>
      </c>
      <c r="C3492" t="s">
        <v>40</v>
      </c>
      <c r="D3492">
        <v>4.379918</v>
      </c>
      <c r="E3492">
        <v>0.53965689999999999</v>
      </c>
      <c r="F3492" t="s">
        <v>42</v>
      </c>
      <c r="G3492">
        <v>-339.62490000000003</v>
      </c>
      <c r="H3492">
        <v>0.87892789999999998</v>
      </c>
      <c r="I3492">
        <v>283.98360000000002</v>
      </c>
      <c r="J3492">
        <v>-338.89389999999997</v>
      </c>
      <c r="K3492">
        <v>1.121219</v>
      </c>
      <c r="L3492">
        <v>283.89260000000002</v>
      </c>
      <c r="M3492">
        <v>-0.99993540000000003</v>
      </c>
      <c r="N3492">
        <v>-1.133235E-2</v>
      </c>
      <c r="O3492">
        <v>9.0991450000000001E-4</v>
      </c>
      <c r="P3492">
        <v>-0.98648950000000002</v>
      </c>
      <c r="Q3492">
        <v>0.16382439999999901</v>
      </c>
      <c r="R3492">
        <v>3.6727119999999997E-4</v>
      </c>
      <c r="S3492">
        <v>-3.1801149999999998</v>
      </c>
      <c r="T3492">
        <v>-0.8405956</v>
      </c>
      <c r="U3492">
        <v>0.31524659999999999</v>
      </c>
      <c r="V3492">
        <v>-5.3597330000000002E-4</v>
      </c>
      <c r="W3492">
        <v>0.17499319999999999</v>
      </c>
      <c r="X3492">
        <v>0.98456949999999999</v>
      </c>
      <c r="Y3492">
        <v>9.4414730000000002E-2</v>
      </c>
      <c r="Z3492">
        <v>1.2558949999999999E-2</v>
      </c>
      <c r="AA3492">
        <v>0.9954537</v>
      </c>
      <c r="AB3492">
        <v>31</v>
      </c>
      <c r="AC3492">
        <v>-0.73100000000005105</v>
      </c>
      <c r="AD3492">
        <v>-0.24229109999999901</v>
      </c>
      <c r="AE3492">
        <v>9.1000000000008199E-2</v>
      </c>
      <c r="AF3492">
        <v>8.15160685606892E-2</v>
      </c>
      <c r="AG3492">
        <v>-0.24229109999999901</v>
      </c>
      <c r="AH3492">
        <v>0.65971242509857897</v>
      </c>
      <c r="AI3492">
        <v>110.026583920325</v>
      </c>
      <c r="AJ3492">
        <v>82.956063397697704</v>
      </c>
      <c r="AK3492">
        <v>0.70750995074433298</v>
      </c>
      <c r="AL3492">
        <v>79.921737648737107</v>
      </c>
      <c r="AM3492">
        <v>90.031190286707201</v>
      </c>
      <c r="AN3492">
        <v>1.0000000038219301</v>
      </c>
    </row>
    <row r="3493" spans="1:40" x14ac:dyDescent="0.25">
      <c r="A3493" t="str">
        <f>"20190303161942853"</f>
        <v>20190303161942853</v>
      </c>
      <c r="B3493" t="str">
        <f>"1551601182845841"</f>
        <v>1551601182845841</v>
      </c>
      <c r="C3493" t="s">
        <v>40</v>
      </c>
      <c r="D3493">
        <v>4.3919899999999998</v>
      </c>
      <c r="E3493">
        <v>0.53953009999999901</v>
      </c>
      <c r="F3493" t="s">
        <v>42</v>
      </c>
      <c r="G3493">
        <v>-339.64400000000001</v>
      </c>
      <c r="H3493">
        <v>0.92379389999999995</v>
      </c>
      <c r="I3493">
        <v>283.9674</v>
      </c>
      <c r="J3493">
        <v>-339.08870000000002</v>
      </c>
      <c r="K3493">
        <v>1.121216</v>
      </c>
      <c r="L3493">
        <v>283.89280000000002</v>
      </c>
      <c r="M3493">
        <v>-0.99993520000000002</v>
      </c>
      <c r="N3493">
        <v>-1.135649E-2</v>
      </c>
      <c r="O3493">
        <v>8.8903669999999997E-4</v>
      </c>
      <c r="P3493">
        <v>-0.98642059999999998</v>
      </c>
      <c r="Q3493">
        <v>0.16423869999999999</v>
      </c>
      <c r="R3493">
        <v>-1.7258430000000001E-4</v>
      </c>
      <c r="S3493">
        <v>-3.1799620000000002</v>
      </c>
      <c r="T3493">
        <v>-0.83699950000000001</v>
      </c>
      <c r="U3493">
        <v>0.31603999999999999</v>
      </c>
      <c r="V3493">
        <v>-1.0551340000000001E-3</v>
      </c>
      <c r="W3493">
        <v>0.17543029999999901</v>
      </c>
      <c r="X3493">
        <v>0.98449129999999996</v>
      </c>
      <c r="Y3493">
        <v>9.4702209999999995E-2</v>
      </c>
      <c r="Z3493">
        <v>1.255474E-2</v>
      </c>
      <c r="AA3493">
        <v>0.99542649999999999</v>
      </c>
      <c r="AB3493">
        <v>31</v>
      </c>
      <c r="AC3493">
        <v>-0.55529999999998803</v>
      </c>
      <c r="AD3493">
        <v>-0.19742209999999999</v>
      </c>
      <c r="AE3493">
        <v>7.4599999999975297E-2</v>
      </c>
      <c r="AF3493">
        <v>6.5921678329553896E-2</v>
      </c>
      <c r="AG3493">
        <v>-0.19742209999999999</v>
      </c>
      <c r="AH3493">
        <v>0.49402935078997801</v>
      </c>
      <c r="AI3493">
        <v>111.608780625797</v>
      </c>
      <c r="AJ3493">
        <v>82.399534032988797</v>
      </c>
      <c r="AK3493">
        <v>0.53608409105676902</v>
      </c>
      <c r="AL3493">
        <v>79.896300244797899</v>
      </c>
      <c r="AM3493">
        <v>90.061407045317097</v>
      </c>
      <c r="AN3493">
        <v>1.0000000116207599</v>
      </c>
    </row>
    <row r="3494" spans="1:40" x14ac:dyDescent="0.25">
      <c r="A3494" t="str">
        <f>"20190303161942865"</f>
        <v>20190303161942865</v>
      </c>
      <c r="B3494" t="str">
        <f>"1551601182855601"</f>
        <v>1551601182855601</v>
      </c>
      <c r="C3494" t="s">
        <v>40</v>
      </c>
      <c r="D3494">
        <v>4.3871219999999997</v>
      </c>
      <c r="E3494">
        <v>0.53930699999999998</v>
      </c>
      <c r="F3494" t="s">
        <v>42</v>
      </c>
      <c r="G3494">
        <v>-339.91379999999998</v>
      </c>
      <c r="H3494">
        <v>0.90442880000000003</v>
      </c>
      <c r="I3494">
        <v>283.97410000000002</v>
      </c>
      <c r="J3494">
        <v>-339.25560000000002</v>
      </c>
      <c r="K3494">
        <v>1.121216</v>
      </c>
      <c r="L3494">
        <v>283.8929</v>
      </c>
      <c r="M3494">
        <v>-0.99993489999999996</v>
      </c>
      <c r="N3494">
        <v>-1.1377419999999999E-2</v>
      </c>
      <c r="O3494">
        <v>8.712174E-4</v>
      </c>
      <c r="P3494">
        <v>-0.98642079999999999</v>
      </c>
      <c r="Q3494">
        <v>0.16423560000000001</v>
      </c>
      <c r="R3494">
        <v>-7.46618E-4</v>
      </c>
      <c r="S3494">
        <v>-3.1805110000000001</v>
      </c>
      <c r="T3494">
        <v>-0.83575149999999998</v>
      </c>
      <c r="U3494">
        <v>0.31256099999999998</v>
      </c>
      <c r="V3494">
        <v>-1.6114180000000001E-3</v>
      </c>
      <c r="W3494">
        <v>0.17544760000000001</v>
      </c>
      <c r="X3494">
        <v>0.98448749999999996</v>
      </c>
      <c r="Y3494">
        <v>9.3670279999999995E-2</v>
      </c>
      <c r="Z3494">
        <v>1.2402430000000001E-2</v>
      </c>
      <c r="AA3494">
        <v>0.99552600000000002</v>
      </c>
      <c r="AB3494">
        <v>31</v>
      </c>
      <c r="AC3494">
        <v>-0.65819999999996504</v>
      </c>
      <c r="AD3494">
        <v>-0.21678720000000001</v>
      </c>
      <c r="AE3494">
        <v>8.1200000000023906E-2</v>
      </c>
      <c r="AF3494">
        <v>7.2842923887574906E-2</v>
      </c>
      <c r="AG3494">
        <v>-0.21678720000000001</v>
      </c>
      <c r="AH3494">
        <v>0.59472195462352895</v>
      </c>
      <c r="AI3494">
        <v>109.890869710993</v>
      </c>
      <c r="AJ3494">
        <v>83.017060637538194</v>
      </c>
      <c r="AK3494">
        <v>0.63717892695502898</v>
      </c>
      <c r="AL3494">
        <v>79.895293776834706</v>
      </c>
      <c r="AM3494">
        <v>90.093782163794501</v>
      </c>
      <c r="AN3494">
        <v>1.0000000473349799</v>
      </c>
    </row>
    <row r="3495" spans="1:40" x14ac:dyDescent="0.25">
      <c r="A3495" t="str">
        <f>"20190303161942878"</f>
        <v>20190303161942878</v>
      </c>
      <c r="B3495" t="str">
        <f>"1551601182866337"</f>
        <v>1551601182866337</v>
      </c>
      <c r="C3495" t="s">
        <v>40</v>
      </c>
      <c r="D3495">
        <v>4.4066989999999997</v>
      </c>
      <c r="E3495">
        <v>0.53913520000000004</v>
      </c>
      <c r="F3495" t="s">
        <v>42</v>
      </c>
      <c r="G3495">
        <v>-340.18200000000002</v>
      </c>
      <c r="H3495">
        <v>0.87847469999999905</v>
      </c>
      <c r="I3495">
        <v>283.98320000000001</v>
      </c>
      <c r="J3495">
        <v>-339.43709999999999</v>
      </c>
      <c r="K3495">
        <v>1.121219</v>
      </c>
      <c r="L3495">
        <v>283.89299999999997</v>
      </c>
      <c r="M3495">
        <v>-0.99993460000000001</v>
      </c>
      <c r="N3495">
        <v>-1.14044E-2</v>
      </c>
      <c r="O3495">
        <v>8.5234500000000001E-4</v>
      </c>
      <c r="P3495">
        <v>-0.98638669999999995</v>
      </c>
      <c r="Q3495">
        <v>0.1644427</v>
      </c>
      <c r="R3495">
        <v>-5.9267409999999999E-4</v>
      </c>
      <c r="S3495">
        <v>-3.1803279999999998</v>
      </c>
      <c r="T3495">
        <v>-0.83342909999999903</v>
      </c>
      <c r="U3495">
        <v>0.3093262</v>
      </c>
      <c r="V3495">
        <v>-1.439072E-3</v>
      </c>
      <c r="W3495">
        <v>0.1756809</v>
      </c>
      <c r="X3495">
        <v>0.98444609999999999</v>
      </c>
      <c r="Y3495">
        <v>9.2739940000000007E-2</v>
      </c>
      <c r="Z3495">
        <v>1.225264E-2</v>
      </c>
      <c r="AA3495">
        <v>0.99561489999999997</v>
      </c>
      <c r="AB3495">
        <v>31</v>
      </c>
      <c r="AC3495">
        <v>-0.74489999999997203</v>
      </c>
      <c r="AD3495">
        <v>-0.2427443</v>
      </c>
      <c r="AE3495">
        <v>9.0200000000038402E-2</v>
      </c>
      <c r="AF3495">
        <v>8.1079264900886197E-2</v>
      </c>
      <c r="AG3495">
        <v>-0.2427443</v>
      </c>
      <c r="AH3495">
        <v>0.67439453856139198</v>
      </c>
      <c r="AI3495">
        <v>109.665394608216</v>
      </c>
      <c r="AJ3495">
        <v>83.144503177999596</v>
      </c>
      <c r="AK3495">
        <v>0.72132283758438598</v>
      </c>
      <c r="AL3495">
        <v>79.881715158088198</v>
      </c>
      <c r="AM3495">
        <v>90.083755416659997</v>
      </c>
      <c r="AN3495">
        <v>0.99999998667912005</v>
      </c>
    </row>
    <row r="3496" spans="1:40" x14ac:dyDescent="0.25">
      <c r="A3496" t="str">
        <f>"20190303161942890"</f>
        <v>20190303161942890</v>
      </c>
      <c r="B3496" t="str">
        <f>"1551601182885857"</f>
        <v>1551601182885857</v>
      </c>
      <c r="C3496" t="s">
        <v>40</v>
      </c>
      <c r="D3496">
        <v>4.3903489999999996</v>
      </c>
      <c r="E3496">
        <v>0.53907910000000003</v>
      </c>
      <c r="F3496" t="s">
        <v>42</v>
      </c>
      <c r="G3496">
        <v>-340.2002</v>
      </c>
      <c r="H3496">
        <v>0.92166539999999997</v>
      </c>
      <c r="I3496">
        <v>283.96719999999999</v>
      </c>
      <c r="J3496">
        <v>-339.59699999999998</v>
      </c>
      <c r="K3496">
        <v>1.1212230000000001</v>
      </c>
      <c r="L3496">
        <v>283.8931</v>
      </c>
      <c r="M3496">
        <v>-0.9999344</v>
      </c>
      <c r="N3496">
        <v>-1.143014E-2</v>
      </c>
      <c r="O3496">
        <v>8.3550669999999999E-4</v>
      </c>
      <c r="P3496">
        <v>-0.98637180000000002</v>
      </c>
      <c r="Q3496">
        <v>0.16453139999999999</v>
      </c>
      <c r="R3496">
        <v>-6.9241599999999995E-4</v>
      </c>
      <c r="S3496">
        <v>-3.1802670000000002</v>
      </c>
      <c r="T3496">
        <v>-0.83177780000000001</v>
      </c>
      <c r="U3496">
        <v>0.30841059999999998</v>
      </c>
      <c r="V3496">
        <v>-1.522128E-3</v>
      </c>
      <c r="W3496">
        <v>0.17579449999999999</v>
      </c>
      <c r="X3496">
        <v>0.98442569999999996</v>
      </c>
      <c r="Y3496">
        <v>9.2494350000000003E-2</v>
      </c>
      <c r="Z3496">
        <v>1.2202960000000001E-2</v>
      </c>
      <c r="AA3496">
        <v>0.99563840000000003</v>
      </c>
      <c r="AB3496">
        <v>31</v>
      </c>
      <c r="AC3496">
        <v>-0.60320000000001495</v>
      </c>
      <c r="AD3496">
        <v>-0.199557599999999</v>
      </c>
      <c r="AE3496">
        <v>7.4099999999987107E-2</v>
      </c>
      <c r="AF3496">
        <v>6.6432998729959197E-2</v>
      </c>
      <c r="AG3496">
        <v>-0.199557599999999</v>
      </c>
      <c r="AH3496">
        <v>0.54454731057865802</v>
      </c>
      <c r="AI3496">
        <v>109.98977309603301</v>
      </c>
      <c r="AJ3496">
        <v>83.044472420096398</v>
      </c>
      <c r="AK3496">
        <v>0.58375367450360705</v>
      </c>
      <c r="AL3496">
        <v>79.875103503584498</v>
      </c>
      <c r="AM3496">
        <v>90.0885911864939</v>
      </c>
      <c r="AN3496">
        <v>0.99999999096219405</v>
      </c>
    </row>
    <row r="3497" spans="1:40" x14ac:dyDescent="0.25">
      <c r="A3497" t="str">
        <f>"20190303161942902"</f>
        <v>20190303161942902</v>
      </c>
      <c r="B3497" t="str">
        <f>"1551601182895617"</f>
        <v>1551601182895617</v>
      </c>
      <c r="C3497" t="s">
        <v>40</v>
      </c>
      <c r="D3497">
        <v>4.4043060000000001</v>
      </c>
      <c r="E3497">
        <v>0.53900630000000005</v>
      </c>
      <c r="F3497" t="s">
        <v>42</v>
      </c>
      <c r="G3497">
        <v>-340.4667</v>
      </c>
      <c r="H3497">
        <v>0.89369679999999996</v>
      </c>
      <c r="I3497">
        <v>283.97789999999998</v>
      </c>
      <c r="J3497">
        <v>-339.77820000000003</v>
      </c>
      <c r="K3497">
        <v>1.121235</v>
      </c>
      <c r="L3497">
        <v>283.89330000000001</v>
      </c>
      <c r="M3497">
        <v>-0.99993399999999999</v>
      </c>
      <c r="N3497">
        <v>-1.1462460000000001E-2</v>
      </c>
      <c r="O3497">
        <v>8.1648479999999997E-4</v>
      </c>
      <c r="P3497">
        <v>-0.98638440000000005</v>
      </c>
      <c r="Q3497">
        <v>0.164455399999999</v>
      </c>
      <c r="R3497">
        <v>-7.3588590000000001E-4</v>
      </c>
      <c r="S3497">
        <v>-3.18045</v>
      </c>
      <c r="T3497">
        <v>-0.83208379999999904</v>
      </c>
      <c r="U3497">
        <v>0.30828860000000002</v>
      </c>
      <c r="V3497">
        <v>-1.547019E-3</v>
      </c>
      <c r="W3497">
        <v>0.17575089999999999</v>
      </c>
      <c r="X3497">
        <v>0.98443349999999996</v>
      </c>
      <c r="Y3497">
        <v>9.2467939999999998E-2</v>
      </c>
      <c r="Z3497">
        <v>1.220917E-2</v>
      </c>
      <c r="AA3497">
        <v>0.99564079999999999</v>
      </c>
      <c r="AB3497">
        <v>31</v>
      </c>
      <c r="AC3497">
        <v>-0.68849999999997602</v>
      </c>
      <c r="AD3497">
        <v>-0.227538199999999</v>
      </c>
      <c r="AE3497">
        <v>8.4599999999966202E-2</v>
      </c>
      <c r="AF3497">
        <v>7.5874101966143997E-2</v>
      </c>
      <c r="AG3497">
        <v>-0.227538199999999</v>
      </c>
      <c r="AH3497">
        <v>0.62167920118323095</v>
      </c>
      <c r="AI3497">
        <v>109.966588100613</v>
      </c>
      <c r="AJ3497">
        <v>83.041633334184695</v>
      </c>
      <c r="AK3497">
        <v>0.66634491143268204</v>
      </c>
      <c r="AL3497">
        <v>79.877641650854301</v>
      </c>
      <c r="AM3497">
        <v>90.090039181479995</v>
      </c>
      <c r="AN3497">
        <v>1.00000004402042</v>
      </c>
    </row>
    <row r="3498" spans="1:40" x14ac:dyDescent="0.25">
      <c r="A3498" t="str">
        <f>"20190303161942916"</f>
        <v>20190303161942916</v>
      </c>
      <c r="B3498" t="str">
        <f>"1551601182906353"</f>
        <v>1551601182906353</v>
      </c>
      <c r="C3498" t="s">
        <v>40</v>
      </c>
      <c r="D3498">
        <v>4.4561270000000004</v>
      </c>
      <c r="E3498">
        <v>0.5389659</v>
      </c>
      <c r="F3498" t="s">
        <v>42</v>
      </c>
      <c r="G3498">
        <v>-340.48579999999998</v>
      </c>
      <c r="H3498">
        <v>0.93588340000000003</v>
      </c>
      <c r="I3498">
        <v>283.9622</v>
      </c>
      <c r="J3498">
        <v>-339.95740000000001</v>
      </c>
      <c r="K3498">
        <v>1.1212420000000001</v>
      </c>
      <c r="L3498">
        <v>283.89339999999999</v>
      </c>
      <c r="M3498">
        <v>-0.99993359999999998</v>
      </c>
      <c r="N3498">
        <v>-1.149989E-2</v>
      </c>
      <c r="O3498">
        <v>7.968955E-4</v>
      </c>
      <c r="P3498">
        <v>-0.98635879999999998</v>
      </c>
      <c r="Q3498">
        <v>0.16460830000000001</v>
      </c>
      <c r="R3498">
        <v>-9.1512449999999997E-4</v>
      </c>
      <c r="S3498">
        <v>-3.1806030000000001</v>
      </c>
      <c r="T3498">
        <v>-0.83314869999999996</v>
      </c>
      <c r="U3498">
        <v>0.30758669999999999</v>
      </c>
      <c r="V3498">
        <v>-1.7065610000000001E-3</v>
      </c>
      <c r="W3498">
        <v>0.1759405</v>
      </c>
      <c r="X3498">
        <v>0.98439929999999998</v>
      </c>
      <c r="Y3498">
        <v>9.2263559999999994E-2</v>
      </c>
      <c r="Z3498">
        <v>1.2202340000000001E-2</v>
      </c>
      <c r="AA3498">
        <v>0.99565979999999998</v>
      </c>
      <c r="AB3498">
        <v>31</v>
      </c>
      <c r="AC3498">
        <v>-0.528399999999976</v>
      </c>
      <c r="AD3498">
        <v>-0.18535860000000001</v>
      </c>
      <c r="AE3498">
        <v>6.8800000000010103E-2</v>
      </c>
      <c r="AF3498">
        <v>6.0997895405414997E-2</v>
      </c>
      <c r="AG3498">
        <v>-0.18535860000000001</v>
      </c>
      <c r="AH3498">
        <v>0.47141202923925801</v>
      </c>
      <c r="AI3498">
        <v>111.303189835434</v>
      </c>
      <c r="AJ3498">
        <v>82.627233846235299</v>
      </c>
      <c r="AK3498">
        <v>0.51020373886254999</v>
      </c>
      <c r="AL3498">
        <v>79.866605729986205</v>
      </c>
      <c r="AM3498">
        <v>90.099328234820305</v>
      </c>
      <c r="AN3498">
        <v>0.99999997686559305</v>
      </c>
    </row>
    <row r="3499" spans="1:40" x14ac:dyDescent="0.25">
      <c r="A3499" t="str">
        <f>"20190303161942932"</f>
        <v>20190303161942932</v>
      </c>
      <c r="B3499" t="str">
        <f>"1551601182926449"</f>
        <v>1551601182926449</v>
      </c>
      <c r="C3499" t="s">
        <v>40</v>
      </c>
      <c r="D3499">
        <v>4.4441800000000002</v>
      </c>
      <c r="E3499">
        <v>0.53898449999999998</v>
      </c>
      <c r="F3499" t="s">
        <v>42</v>
      </c>
      <c r="G3499">
        <v>-340.75310000000002</v>
      </c>
      <c r="H3499">
        <v>0.91210990000000003</v>
      </c>
      <c r="I3499">
        <v>283.97030000000001</v>
      </c>
      <c r="J3499">
        <v>-340.18369999999999</v>
      </c>
      <c r="K3499">
        <v>1.121248</v>
      </c>
      <c r="L3499">
        <v>283.89359999999999</v>
      </c>
      <c r="M3499">
        <v>-0.99993310000000002</v>
      </c>
      <c r="N3499">
        <v>-1.1553799999999999E-2</v>
      </c>
      <c r="O3499">
        <v>7.7214009999999997E-4</v>
      </c>
      <c r="P3499">
        <v>-0.98635229999999996</v>
      </c>
      <c r="Q3499">
        <v>0.16464909999999999</v>
      </c>
      <c r="R3499">
        <v>-5.2553509999999997E-4</v>
      </c>
      <c r="S3499">
        <v>-3.181305</v>
      </c>
      <c r="T3499">
        <v>-0.836196099999999</v>
      </c>
      <c r="U3499">
        <v>0.306610099999999</v>
      </c>
      <c r="V3499">
        <v>-1.292999E-3</v>
      </c>
      <c r="W3499">
        <v>0.17603440000000001</v>
      </c>
      <c r="X3499">
        <v>0.98438320000000001</v>
      </c>
      <c r="Y3499">
        <v>9.1952539999999999E-2</v>
      </c>
      <c r="Z3499">
        <v>1.220805E-2</v>
      </c>
      <c r="AA3499">
        <v>0.99568860000000003</v>
      </c>
      <c r="AB3499">
        <v>31</v>
      </c>
      <c r="AC3499">
        <v>-0.56940000000002999</v>
      </c>
      <c r="AD3499">
        <v>-0.20913809999999999</v>
      </c>
      <c r="AE3499">
        <v>7.6700000000016602E-2</v>
      </c>
      <c r="AF3499">
        <v>6.7337898502216498E-2</v>
      </c>
      <c r="AG3499">
        <v>-0.20913809999999999</v>
      </c>
      <c r="AH3499">
        <v>0.50283280541006503</v>
      </c>
      <c r="AI3499">
        <v>112.403399856552</v>
      </c>
      <c r="AJ3499">
        <v>82.372497423850902</v>
      </c>
      <c r="AK3499">
        <v>0.54873852392816502</v>
      </c>
      <c r="AL3499">
        <v>79.861140931374507</v>
      </c>
      <c r="AM3499">
        <v>90.075258642172003</v>
      </c>
      <c r="AN3499">
        <v>1.0000000331359999</v>
      </c>
    </row>
    <row r="3500" spans="1:40" x14ac:dyDescent="0.25">
      <c r="A3500" t="str">
        <f>"20190303161942954"</f>
        <v>20190303161942954</v>
      </c>
      <c r="B3500" t="str">
        <f>"1551601182945969"</f>
        <v>1551601182945969</v>
      </c>
      <c r="C3500" t="s">
        <v>40</v>
      </c>
      <c r="D3500">
        <v>4.4150859999999996</v>
      </c>
      <c r="E3500">
        <v>0.53804810000000003</v>
      </c>
      <c r="F3500" t="s">
        <v>42</v>
      </c>
      <c r="G3500">
        <v>-341.0258</v>
      </c>
      <c r="H3500">
        <v>0.89855769999999902</v>
      </c>
      <c r="I3500">
        <v>283.97550000000001</v>
      </c>
      <c r="J3500">
        <v>-340.4932</v>
      </c>
      <c r="K3500">
        <v>1.121262</v>
      </c>
      <c r="L3500">
        <v>283.8938</v>
      </c>
      <c r="M3500">
        <v>-0.99993209999999999</v>
      </c>
      <c r="N3500">
        <v>-1.1644949999999999E-2</v>
      </c>
      <c r="O3500">
        <v>7.3941019999999998E-4</v>
      </c>
      <c r="P3500">
        <v>-0.98633249999999995</v>
      </c>
      <c r="Q3500">
        <v>0.16476669999999999</v>
      </c>
      <c r="R3500">
        <v>-4.4521179999999999E-4</v>
      </c>
      <c r="S3500">
        <v>-3.1821899999999999</v>
      </c>
      <c r="T3500">
        <v>-0.84158279999999996</v>
      </c>
      <c r="U3500">
        <v>0.30838009999999999</v>
      </c>
      <c r="V3500">
        <v>-1.1812400000000001E-3</v>
      </c>
      <c r="W3500">
        <v>0.17624139999999999</v>
      </c>
      <c r="X3500">
        <v>0.98434630000000001</v>
      </c>
      <c r="Y3500">
        <v>9.2449439999999994E-2</v>
      </c>
      <c r="Z3500">
        <v>1.235722E-2</v>
      </c>
      <c r="AA3500">
        <v>0.99564070000000005</v>
      </c>
      <c r="AB3500">
        <v>31</v>
      </c>
      <c r="AC3500">
        <v>-0.53260000000000196</v>
      </c>
      <c r="AD3500">
        <v>-0.22270429999999999</v>
      </c>
      <c r="AE3500">
        <v>8.1700000000012096E-2</v>
      </c>
      <c r="AF3500">
        <v>6.9443405376827805E-2</v>
      </c>
      <c r="AG3500">
        <v>-0.22270429999999999</v>
      </c>
      <c r="AH3500">
        <v>0.45494402283031399</v>
      </c>
      <c r="AI3500">
        <v>115.823045471307</v>
      </c>
      <c r="AJ3500">
        <v>81.321267337371495</v>
      </c>
      <c r="AK3500">
        <v>0.51126671679060998</v>
      </c>
      <c r="AL3500">
        <v>79.849092323647298</v>
      </c>
      <c r="AM3500">
        <v>90.068756324988698</v>
      </c>
      <c r="AN3500">
        <v>1.00000003236279</v>
      </c>
    </row>
    <row r="3501" spans="1:40" x14ac:dyDescent="0.25">
      <c r="A3501" t="str">
        <f>"20190303161942975"</f>
        <v>20190303161942975</v>
      </c>
      <c r="B3501" t="str">
        <f>"1551601182965489"</f>
        <v>1551601182965489</v>
      </c>
      <c r="C3501" t="s">
        <v>40</v>
      </c>
      <c r="D3501">
        <v>4.4467600000000003</v>
      </c>
      <c r="E3501">
        <v>0.53869750000000005</v>
      </c>
      <c r="F3501" t="s">
        <v>42</v>
      </c>
      <c r="G3501">
        <v>-341.29379999999998</v>
      </c>
      <c r="H3501">
        <v>0.87258419999999903</v>
      </c>
      <c r="I3501">
        <v>283.96910000000003</v>
      </c>
      <c r="J3501">
        <v>-340.78949999999998</v>
      </c>
      <c r="K3501">
        <v>1.121286</v>
      </c>
      <c r="L3501">
        <v>283.89389999999997</v>
      </c>
      <c r="M3501">
        <v>-0.99993069999999895</v>
      </c>
      <c r="N3501">
        <v>-1.1750760000000001E-2</v>
      </c>
      <c r="O3501">
        <v>7.1076759999999896E-4</v>
      </c>
      <c r="P3501">
        <v>-0.9863944</v>
      </c>
      <c r="Q3501">
        <v>0.1643965</v>
      </c>
      <c r="R3501">
        <v>-3.4951980000000001E-4</v>
      </c>
      <c r="S3501">
        <v>-3.2081909999999998</v>
      </c>
      <c r="T3501">
        <v>-0.99659120000000001</v>
      </c>
      <c r="U3501">
        <v>0.30084229999999901</v>
      </c>
      <c r="V3501">
        <v>-1.0569069999999999E-3</v>
      </c>
      <c r="W3501">
        <v>0.1759762</v>
      </c>
      <c r="X3501">
        <v>0.98439379999999999</v>
      </c>
      <c r="Y3501">
        <v>8.8390860000000002E-2</v>
      </c>
      <c r="Z3501">
        <v>1.3711030000000001E-2</v>
      </c>
      <c r="AA3501">
        <v>0.99599150000000003</v>
      </c>
      <c r="AB3501">
        <v>31</v>
      </c>
      <c r="AC3501">
        <v>-0.50429999999999997</v>
      </c>
      <c r="AD3501">
        <v>-0.2487018</v>
      </c>
      <c r="AE3501">
        <v>7.52000000000521E-2</v>
      </c>
      <c r="AF3501">
        <v>6.0457533487176002E-2</v>
      </c>
      <c r="AG3501">
        <v>-0.2487018</v>
      </c>
      <c r="AH3501">
        <v>0.40742036860224101</v>
      </c>
      <c r="AI3501">
        <v>121.124361924626</v>
      </c>
      <c r="AJ3501">
        <v>81.559413486762793</v>
      </c>
      <c r="AK3501">
        <v>0.48114348736169998</v>
      </c>
      <c r="AL3501">
        <v>79.864527542256894</v>
      </c>
      <c r="AM3501">
        <v>90.061516323212302</v>
      </c>
      <c r="AN3501">
        <v>0.99999994674864101</v>
      </c>
    </row>
    <row r="3502" spans="1:40" x14ac:dyDescent="0.25">
      <c r="A3502" t="str">
        <f>"20190303161942989"</f>
        <v>20190303161942989</v>
      </c>
      <c r="B3502" t="str">
        <f>"1551601182985984"</f>
        <v>1551601182985984</v>
      </c>
      <c r="C3502" t="s">
        <v>40</v>
      </c>
      <c r="D3502">
        <v>4.4237169999999999</v>
      </c>
      <c r="E3502">
        <v>0.53916379999999997</v>
      </c>
      <c r="F3502" t="s">
        <v>42</v>
      </c>
      <c r="G3502">
        <v>-341.57459999999998</v>
      </c>
      <c r="H3502">
        <v>0.87897320000000001</v>
      </c>
      <c r="I3502">
        <v>283.96929999999998</v>
      </c>
      <c r="J3502">
        <v>-340.98630000000003</v>
      </c>
      <c r="K3502">
        <v>1.1213010000000001</v>
      </c>
      <c r="L3502">
        <v>283.89400000000001</v>
      </c>
      <c r="M3502">
        <v>-0.99992970000000003</v>
      </c>
      <c r="N3502">
        <v>-1.182971E-2</v>
      </c>
      <c r="O3502">
        <v>6.9194690000000001E-4</v>
      </c>
      <c r="P3502">
        <v>-0.98643040000000004</v>
      </c>
      <c r="Q3502">
        <v>0.16417950000000001</v>
      </c>
      <c r="R3502">
        <v>-3.0566799999999999E-4</v>
      </c>
      <c r="S3502">
        <v>-3.2063600000000001</v>
      </c>
      <c r="T3502">
        <v>-0.98949670000000001</v>
      </c>
      <c r="U3502">
        <v>0.30572510000000003</v>
      </c>
      <c r="V3502">
        <v>-9.9450259999999996E-4</v>
      </c>
      <c r="W3502">
        <v>0.1758372</v>
      </c>
      <c r="X3502">
        <v>0.98441869999999998</v>
      </c>
      <c r="Y3502">
        <v>8.9943430000000005E-2</v>
      </c>
      <c r="Z3502">
        <v>1.387968E-2</v>
      </c>
      <c r="AA3502">
        <v>0.99585009999999996</v>
      </c>
      <c r="AB3502">
        <v>31</v>
      </c>
      <c r="AC3502">
        <v>-0.58829999999994698</v>
      </c>
      <c r="AD3502">
        <v>-0.24232780000000001</v>
      </c>
      <c r="AE3502">
        <v>7.5299999999970099E-2</v>
      </c>
      <c r="AF3502">
        <v>6.4179052157457103E-2</v>
      </c>
      <c r="AG3502">
        <v>-0.24232780000000001</v>
      </c>
      <c r="AH3502">
        <v>0.50418505724095397</v>
      </c>
      <c r="AI3502">
        <v>115.49112436588</v>
      </c>
      <c r="AJ3502">
        <v>82.745682082740402</v>
      </c>
      <c r="AK3502">
        <v>0.56306685689510605</v>
      </c>
      <c r="AL3502">
        <v>79.872617774829706</v>
      </c>
      <c r="AM3502">
        <v>90.057882669549102</v>
      </c>
      <c r="AN3502">
        <v>0.99999994342447396</v>
      </c>
    </row>
    <row r="3503" spans="1:40" x14ac:dyDescent="0.25">
      <c r="A3503" t="str">
        <f>"20190303161943003"</f>
        <v>20190303161943003</v>
      </c>
      <c r="B3503" t="str">
        <f>"1551601182995745"</f>
        <v>1551601182995745</v>
      </c>
      <c r="C3503" t="s">
        <v>40</v>
      </c>
      <c r="D3503">
        <v>4.4179879999999896</v>
      </c>
      <c r="E3503">
        <v>0.53932080000000004</v>
      </c>
      <c r="F3503" t="s">
        <v>42</v>
      </c>
      <c r="G3503">
        <v>-341.84460000000001</v>
      </c>
      <c r="H3503">
        <v>0.85828379999999904</v>
      </c>
      <c r="I3503">
        <v>283.97699999999998</v>
      </c>
      <c r="J3503">
        <v>-341.1814</v>
      </c>
      <c r="K3503">
        <v>1.1213139999999999</v>
      </c>
      <c r="L3503">
        <v>283.89420000000001</v>
      </c>
      <c r="M3503">
        <v>-0.99992890000000001</v>
      </c>
      <c r="N3503">
        <v>-1.1914579999999999E-2</v>
      </c>
      <c r="O3503">
        <v>6.7161079999999995E-4</v>
      </c>
      <c r="P3503">
        <v>-0.98645989999999995</v>
      </c>
      <c r="Q3503">
        <v>0.16400339999999999</v>
      </c>
      <c r="R3503">
        <v>-3.0324280000000001E-4</v>
      </c>
      <c r="S3503">
        <v>-3.204834</v>
      </c>
      <c r="T3503">
        <v>-0.98214449999999998</v>
      </c>
      <c r="U3503">
        <v>0.30886839999999999</v>
      </c>
      <c r="V3503">
        <v>-9.7151799999999999E-4</v>
      </c>
      <c r="W3503">
        <v>0.17574479999999901</v>
      </c>
      <c r="X3503">
        <v>0.98443530000000001</v>
      </c>
      <c r="Y3503">
        <v>9.0982560000000004E-2</v>
      </c>
      <c r="Z3503">
        <v>1.396176E-2</v>
      </c>
      <c r="AA3503">
        <v>0.99575460000000005</v>
      </c>
      <c r="AB3503">
        <v>31</v>
      </c>
      <c r="AC3503">
        <v>-0.663200000000017</v>
      </c>
      <c r="AD3503">
        <v>-0.26303019999999999</v>
      </c>
      <c r="AE3503">
        <v>8.2800000000020094E-2</v>
      </c>
      <c r="AF3503">
        <v>7.1309827666611106E-2</v>
      </c>
      <c r="AG3503">
        <v>-0.26303019999999999</v>
      </c>
      <c r="AH3503">
        <v>0.57430512355276697</v>
      </c>
      <c r="AI3503">
        <v>114.442130258209</v>
      </c>
      <c r="AJ3503">
        <v>82.921973382651302</v>
      </c>
      <c r="AK3503">
        <v>0.63568573412720197</v>
      </c>
      <c r="AL3503">
        <v>79.877996427491794</v>
      </c>
      <c r="AM3503">
        <v>90.056543952710797</v>
      </c>
      <c r="AN3503">
        <v>1.0000000192301699</v>
      </c>
    </row>
    <row r="3504" spans="1:40" x14ac:dyDescent="0.25">
      <c r="A3504" t="str">
        <f>"20190303161943017"</f>
        <v>20190303161943017</v>
      </c>
      <c r="B3504" t="str">
        <f>"1551601183005505"</f>
        <v>1551601183005505</v>
      </c>
      <c r="C3504" t="s">
        <v>40</v>
      </c>
      <c r="D3504">
        <v>4.44672</v>
      </c>
      <c r="E3504">
        <v>0.53923679999999996</v>
      </c>
      <c r="F3504" t="s">
        <v>42</v>
      </c>
      <c r="G3504">
        <v>-341.8664</v>
      </c>
      <c r="H3504">
        <v>0.91178859999999995</v>
      </c>
      <c r="I3504">
        <v>283.96080000000001</v>
      </c>
      <c r="J3504">
        <v>-341.36270000000002</v>
      </c>
      <c r="K3504">
        <v>1.1213249999999999</v>
      </c>
      <c r="L3504">
        <v>283.89429999999999</v>
      </c>
      <c r="M3504">
        <v>-0.99992780000000003</v>
      </c>
      <c r="N3504">
        <v>-1.199886E-2</v>
      </c>
      <c r="O3504">
        <v>6.5222809999999996E-4</v>
      </c>
      <c r="P3504">
        <v>-0.98651350000000004</v>
      </c>
      <c r="Q3504">
        <v>0.16367970000000001</v>
      </c>
      <c r="R3504">
        <v>-2.179514E-4</v>
      </c>
      <c r="S3504">
        <v>-3.204224</v>
      </c>
      <c r="T3504">
        <v>-0.98006870000000001</v>
      </c>
      <c r="U3504">
        <v>0.31045529999999999</v>
      </c>
      <c r="V3504">
        <v>-8.6687600000000004E-4</v>
      </c>
      <c r="W3504">
        <v>0.17550489999999999</v>
      </c>
      <c r="X3504">
        <v>0.98447819999999997</v>
      </c>
      <c r="Y3504">
        <v>9.1498220000000005E-2</v>
      </c>
      <c r="Z3504">
        <v>1.402642E-2</v>
      </c>
      <c r="AA3504">
        <v>0.99570639999999999</v>
      </c>
      <c r="AB3504">
        <v>31</v>
      </c>
      <c r="AC3504">
        <v>-0.50369999999998005</v>
      </c>
      <c r="AD3504">
        <v>-0.20953639999999901</v>
      </c>
      <c r="AE3504">
        <v>6.6500000000019099E-2</v>
      </c>
      <c r="AF3504">
        <v>5.65525888953873E-2</v>
      </c>
      <c r="AG3504">
        <v>-0.20953639999999901</v>
      </c>
      <c r="AH3504">
        <v>0.43051788204445202</v>
      </c>
      <c r="AI3504">
        <v>115.76020004336701</v>
      </c>
      <c r="AJ3504">
        <v>82.516505388490899</v>
      </c>
      <c r="AK3504">
        <v>0.48213000839583903</v>
      </c>
      <c r="AL3504">
        <v>79.891958745063107</v>
      </c>
      <c r="AM3504">
        <v>90.050451420178007</v>
      </c>
      <c r="AN3504">
        <v>1.00000002383662</v>
      </c>
    </row>
    <row r="3505" spans="1:40" x14ac:dyDescent="0.25">
      <c r="A3505" t="str">
        <f>"20190303161943032"</f>
        <v>20190303161943032</v>
      </c>
      <c r="B3505" t="str">
        <f>"1551601183025653"</f>
        <v>1551601183025653</v>
      </c>
      <c r="C3505" t="s">
        <v>40</v>
      </c>
      <c r="D3505">
        <v>4.4413159999999996</v>
      </c>
      <c r="E3505">
        <v>0.53948180000000001</v>
      </c>
      <c r="F3505" t="s">
        <v>42</v>
      </c>
      <c r="G3505">
        <v>-342.13330000000002</v>
      </c>
      <c r="H3505">
        <v>0.88540980000000002</v>
      </c>
      <c r="I3505">
        <v>283.96929999999998</v>
      </c>
      <c r="J3505">
        <v>-341.57420000000002</v>
      </c>
      <c r="K3505">
        <v>1.1213379999999999</v>
      </c>
      <c r="L3505">
        <v>283.89440000000002</v>
      </c>
      <c r="M3505">
        <v>-0.9999266</v>
      </c>
      <c r="N3505">
        <v>-1.209962E-2</v>
      </c>
      <c r="O3505">
        <v>6.2940459999999995E-4</v>
      </c>
      <c r="P3505">
        <v>-0.98653979999999997</v>
      </c>
      <c r="Q3505">
        <v>0.16352130000000001</v>
      </c>
      <c r="R3505" s="1">
        <v>-3.9170959999999999E-5</v>
      </c>
      <c r="S3505">
        <v>-3.203827</v>
      </c>
      <c r="T3505">
        <v>-0.98093129999999995</v>
      </c>
      <c r="U3505">
        <v>0.30975340000000001</v>
      </c>
      <c r="V3505">
        <v>-6.6502559999999996E-4</v>
      </c>
      <c r="W3505">
        <v>0.1754462</v>
      </c>
      <c r="X3505">
        <v>0.98448880000000005</v>
      </c>
      <c r="Y3505">
        <v>9.131454E-2</v>
      </c>
      <c r="Z3505">
        <v>1.402226E-2</v>
      </c>
      <c r="AA3505">
        <v>0.99572340000000004</v>
      </c>
      <c r="AB3505">
        <v>31</v>
      </c>
      <c r="AC3505">
        <v>-0.55910000000000004</v>
      </c>
      <c r="AD3505">
        <v>-0.23592819999999901</v>
      </c>
      <c r="AE3505">
        <v>7.4899999999956807E-2</v>
      </c>
      <c r="AF3505">
        <v>6.3449124095801099E-2</v>
      </c>
      <c r="AG3505">
        <v>-0.23592819999999901</v>
      </c>
      <c r="AH3505">
        <v>0.47589957345920603</v>
      </c>
      <c r="AI3505">
        <v>116.169679381134</v>
      </c>
      <c r="AJ3505">
        <v>82.405847822425102</v>
      </c>
      <c r="AK3505">
        <v>0.53494701693010505</v>
      </c>
      <c r="AL3505">
        <v>79.895374815719805</v>
      </c>
      <c r="AM3505">
        <v>90.038703491956994</v>
      </c>
      <c r="AN3505">
        <v>1.0000000043394599</v>
      </c>
    </row>
    <row r="3506" spans="1:40" x14ac:dyDescent="0.25">
      <c r="A3506" t="str">
        <f>"20190303161943047"</f>
        <v>20190303161943047</v>
      </c>
      <c r="B3506" t="str">
        <f>"1551601183036389"</f>
        <v>1551601183036389</v>
      </c>
      <c r="C3506" t="s">
        <v>40</v>
      </c>
      <c r="D3506">
        <v>4.4656399999999996</v>
      </c>
      <c r="E3506">
        <v>0.53957569999999999</v>
      </c>
      <c r="F3506" t="s">
        <v>42</v>
      </c>
      <c r="G3506">
        <v>-342.4042</v>
      </c>
      <c r="H3506">
        <v>0.86827969999999899</v>
      </c>
      <c r="I3506">
        <v>283.97550000000001</v>
      </c>
      <c r="J3506">
        <v>-341.77100000000002</v>
      </c>
      <c r="K3506">
        <v>1.121351</v>
      </c>
      <c r="L3506">
        <v>283.89449999999999</v>
      </c>
      <c r="M3506">
        <v>-0.99992559999999997</v>
      </c>
      <c r="N3506">
        <v>-1.2195320000000001E-2</v>
      </c>
      <c r="O3506">
        <v>6.0791339999999999E-4</v>
      </c>
      <c r="P3506">
        <v>-0.98656849999999996</v>
      </c>
      <c r="Q3506">
        <v>0.1633491</v>
      </c>
      <c r="R3506">
        <v>-1.7185839999999999E-4</v>
      </c>
      <c r="S3506">
        <v>-3.2028500000000002</v>
      </c>
      <c r="T3506">
        <v>-0.9765568</v>
      </c>
      <c r="U3506">
        <v>0.3126526</v>
      </c>
      <c r="V3506">
        <v>-7.7629420000000003E-4</v>
      </c>
      <c r="W3506">
        <v>0.1753683</v>
      </c>
      <c r="X3506">
        <v>0.98450260000000001</v>
      </c>
      <c r="Y3506">
        <v>9.2246469999999997E-2</v>
      </c>
      <c r="Z3506">
        <v>1.412326E-2</v>
      </c>
      <c r="AA3506">
        <v>0.99563599999999997</v>
      </c>
      <c r="AB3506">
        <v>31</v>
      </c>
      <c r="AC3506">
        <v>-0.63320000000004395</v>
      </c>
      <c r="AD3506">
        <v>-0.2530713</v>
      </c>
      <c r="AE3506">
        <v>8.1000000000017197E-2</v>
      </c>
      <c r="AF3506">
        <v>6.9665997246874597E-2</v>
      </c>
      <c r="AG3506">
        <v>-0.2530713</v>
      </c>
      <c r="AH3506">
        <v>0.54724205072864696</v>
      </c>
      <c r="AI3506">
        <v>114.643111702008</v>
      </c>
      <c r="AJ3506">
        <v>82.745052955697304</v>
      </c>
      <c r="AK3506">
        <v>0.60693681396154098</v>
      </c>
      <c r="AL3506">
        <v>79.899908466954798</v>
      </c>
      <c r="AM3506">
        <v>90.045178521724793</v>
      </c>
      <c r="AN3506">
        <v>1.0000000063421599</v>
      </c>
    </row>
    <row r="3507" spans="1:40" x14ac:dyDescent="0.25">
      <c r="A3507" t="str">
        <f>"20190303161943059"</f>
        <v>20190303161943059</v>
      </c>
      <c r="B3507" t="str">
        <f>"1551601183055909"</f>
        <v>1551601183055909</v>
      </c>
      <c r="C3507" t="s">
        <v>40</v>
      </c>
      <c r="D3507">
        <v>4.4626580000000002</v>
      </c>
      <c r="E3507">
        <v>0.53974940000000005</v>
      </c>
      <c r="F3507" t="s">
        <v>42</v>
      </c>
      <c r="G3507">
        <v>-342.67309999999998</v>
      </c>
      <c r="H3507">
        <v>0.84658619999999996</v>
      </c>
      <c r="I3507">
        <v>283.98320000000001</v>
      </c>
      <c r="J3507">
        <v>-341.96559999999999</v>
      </c>
      <c r="K3507">
        <v>1.121362</v>
      </c>
      <c r="L3507">
        <v>283.89460000000003</v>
      </c>
      <c r="M3507">
        <v>-0.99992420000000004</v>
      </c>
      <c r="N3507">
        <v>-1.2291379999999999E-2</v>
      </c>
      <c r="O3507">
        <v>5.8777500000000002E-4</v>
      </c>
      <c r="P3507">
        <v>-0.98656029999999995</v>
      </c>
      <c r="Q3507">
        <v>0.1633973</v>
      </c>
      <c r="R3507">
        <v>-3.0628410000000002E-4</v>
      </c>
      <c r="S3507">
        <v>-3.2023929999999998</v>
      </c>
      <c r="T3507">
        <v>-0.97539169999999997</v>
      </c>
      <c r="U3507">
        <v>0.31301879999999999</v>
      </c>
      <c r="V3507">
        <v>-8.908163E-4</v>
      </c>
      <c r="W3507">
        <v>0.175511</v>
      </c>
      <c r="X3507">
        <v>0.98447700000000005</v>
      </c>
      <c r="Y3507">
        <v>9.2392699999999994E-2</v>
      </c>
      <c r="Z3507">
        <v>1.414255E-2</v>
      </c>
      <c r="AA3507">
        <v>0.99562220000000001</v>
      </c>
      <c r="AB3507">
        <v>31</v>
      </c>
      <c r="AC3507">
        <v>-0.70749999999998103</v>
      </c>
      <c r="AD3507">
        <v>-0.27477579999999902</v>
      </c>
      <c r="AE3507">
        <v>8.8599999999985302E-2</v>
      </c>
      <c r="AF3507">
        <v>7.6781529139100094E-2</v>
      </c>
      <c r="AG3507">
        <v>-0.27477579999999902</v>
      </c>
      <c r="AH3507">
        <v>0.61606253086970397</v>
      </c>
      <c r="AI3507">
        <v>113.873946418643</v>
      </c>
      <c r="AJ3507">
        <v>82.895706244000905</v>
      </c>
      <c r="AK3507">
        <v>0.67891839378835805</v>
      </c>
      <c r="AL3507">
        <v>79.891602813677494</v>
      </c>
      <c r="AM3507">
        <v>90.051844787010097</v>
      </c>
      <c r="AN3507">
        <v>0.99999993410183796</v>
      </c>
    </row>
    <row r="3508" spans="1:40" x14ac:dyDescent="0.25">
      <c r="A3508" t="str">
        <f>"20190303161943071"</f>
        <v>20190303161943071</v>
      </c>
      <c r="B3508" t="str">
        <f>"1551601183065670"</f>
        <v>1551601183065670</v>
      </c>
      <c r="C3508" t="s">
        <v>40</v>
      </c>
      <c r="D3508">
        <v>4.4714470000000004</v>
      </c>
      <c r="E3508">
        <v>0.53981639999999997</v>
      </c>
      <c r="F3508" t="s">
        <v>42</v>
      </c>
      <c r="G3508">
        <v>-342.69450000000001</v>
      </c>
      <c r="H3508">
        <v>0.90012499999999995</v>
      </c>
      <c r="I3508">
        <v>283.96660000000003</v>
      </c>
      <c r="J3508">
        <v>-342.12959999999998</v>
      </c>
      <c r="K3508">
        <v>1.1213740000000001</v>
      </c>
      <c r="L3508">
        <v>283.8947</v>
      </c>
      <c r="M3508">
        <v>-0.99992340000000002</v>
      </c>
      <c r="N3508">
        <v>-1.2371470000000001E-2</v>
      </c>
      <c r="O3508">
        <v>5.7059150000000002E-4</v>
      </c>
      <c r="P3508">
        <v>-0.98661120000000002</v>
      </c>
      <c r="Q3508">
        <v>0.16309179999999901</v>
      </c>
      <c r="R3508" s="1">
        <v>-2.5304500000000001E-5</v>
      </c>
      <c r="S3508">
        <v>-3.201965</v>
      </c>
      <c r="T3508">
        <v>-0.97185980000000005</v>
      </c>
      <c r="U3508">
        <v>0.31396479999999999</v>
      </c>
      <c r="V3508">
        <v>-5.9274909999999998E-4</v>
      </c>
      <c r="W3508">
        <v>0.1752852</v>
      </c>
      <c r="X3508">
        <v>0.98451750000000005</v>
      </c>
      <c r="Y3508">
        <v>9.2725589999999997E-2</v>
      </c>
      <c r="Z3508">
        <v>1.415717E-2</v>
      </c>
      <c r="AA3508">
        <v>0.995591</v>
      </c>
      <c r="AB3508">
        <v>31</v>
      </c>
      <c r="AC3508">
        <v>-0.56490000000002205</v>
      </c>
      <c r="AD3508">
        <v>-0.221248999999999</v>
      </c>
      <c r="AE3508">
        <v>7.1900000000027803E-2</v>
      </c>
      <c r="AF3508">
        <v>6.2189913792279797E-2</v>
      </c>
      <c r="AG3508">
        <v>-0.221248999999999</v>
      </c>
      <c r="AH3508">
        <v>0.49084644116276299</v>
      </c>
      <c r="AI3508">
        <v>114.093001347216</v>
      </c>
      <c r="AJ3508">
        <v>82.779137429012295</v>
      </c>
      <c r="AK3508">
        <v>0.54198610146445703</v>
      </c>
      <c r="AL3508">
        <v>79.904744391157493</v>
      </c>
      <c r="AM3508">
        <v>90.034496103559903</v>
      </c>
      <c r="AN3508">
        <v>0.99999998024839198</v>
      </c>
    </row>
    <row r="3509" spans="1:40" x14ac:dyDescent="0.25">
      <c r="A3509" t="str">
        <f>"20190303161943089"</f>
        <v>20190303161943089</v>
      </c>
      <c r="B3509" t="str">
        <f>"1551601183086166"</f>
        <v>1551601183086166</v>
      </c>
      <c r="C3509" t="s">
        <v>40</v>
      </c>
      <c r="D3509">
        <v>4.4794749999999999</v>
      </c>
      <c r="E3509">
        <v>0.53987549999999995</v>
      </c>
      <c r="F3509" t="s">
        <v>42</v>
      </c>
      <c r="G3509">
        <v>-342.95949999999999</v>
      </c>
      <c r="H3509">
        <v>0.86954699999999996</v>
      </c>
      <c r="I3509">
        <v>283.97660000000002</v>
      </c>
      <c r="J3509">
        <v>-342.35930000000002</v>
      </c>
      <c r="K3509">
        <v>1.1213869999999999</v>
      </c>
      <c r="L3509">
        <v>283.89479999999998</v>
      </c>
      <c r="M3509">
        <v>-0.99992210000000004</v>
      </c>
      <c r="N3509">
        <v>-1.248166E-2</v>
      </c>
      <c r="O3509">
        <v>5.4683819999999997E-4</v>
      </c>
      <c r="P3509">
        <v>-0.98659719999999995</v>
      </c>
      <c r="Q3509">
        <v>0.1631756</v>
      </c>
      <c r="R3509" s="1">
        <v>5.5951069999999998E-5</v>
      </c>
      <c r="S3509">
        <v>-3.2012939999999999</v>
      </c>
      <c r="T3509">
        <v>-0.97131599999999996</v>
      </c>
      <c r="U3509">
        <v>0.31530760000000002</v>
      </c>
      <c r="V3509">
        <v>-4.8804369999999998E-4</v>
      </c>
      <c r="W3509">
        <v>0.17547769999999999</v>
      </c>
      <c r="X3509">
        <v>0.98448329999999995</v>
      </c>
      <c r="Y3509">
        <v>9.3163259999999998E-2</v>
      </c>
      <c r="Z3509">
        <v>1.423199E-2</v>
      </c>
      <c r="AA3509">
        <v>0.99554909999999996</v>
      </c>
      <c r="AB3509">
        <v>31</v>
      </c>
      <c r="AC3509">
        <v>-0.60019999999997198</v>
      </c>
      <c r="AD3509">
        <v>-0.25184000000000001</v>
      </c>
      <c r="AE3509">
        <v>8.1800000000043796E-2</v>
      </c>
      <c r="AF3509">
        <v>6.9464876033771994E-2</v>
      </c>
      <c r="AG3509">
        <v>-0.25184000000000001</v>
      </c>
      <c r="AH3509">
        <v>0.51178377636206795</v>
      </c>
      <c r="AI3509">
        <v>115.994404617429</v>
      </c>
      <c r="AJ3509">
        <v>82.270427912893496</v>
      </c>
      <c r="AK3509">
        <v>0.57460541970103796</v>
      </c>
      <c r="AL3509">
        <v>79.893541663520494</v>
      </c>
      <c r="AM3509">
        <v>90.028403571637298</v>
      </c>
      <c r="AN3509">
        <v>1.0000000146814101</v>
      </c>
    </row>
    <row r="3510" spans="1:40" x14ac:dyDescent="0.25">
      <c r="A3510" t="str">
        <f>"20190303161943110"</f>
        <v>20190303161943110</v>
      </c>
      <c r="B3510" t="str">
        <f>"1551601183105686"</f>
        <v>1551601183105686</v>
      </c>
      <c r="C3510" t="s">
        <v>40</v>
      </c>
      <c r="D3510">
        <v>4.4686089999999998</v>
      </c>
      <c r="E3510">
        <v>0.53989500000000001</v>
      </c>
      <c r="F3510" t="s">
        <v>42</v>
      </c>
      <c r="G3510">
        <v>-343.23160000000001</v>
      </c>
      <c r="H3510">
        <v>0.85702990000000001</v>
      </c>
      <c r="I3510">
        <v>283.98129999999998</v>
      </c>
      <c r="J3510">
        <v>-342.65820000000002</v>
      </c>
      <c r="K3510">
        <v>1.121405</v>
      </c>
      <c r="L3510">
        <v>283.89490000000001</v>
      </c>
      <c r="M3510">
        <v>-0.99992029999999998</v>
      </c>
      <c r="N3510">
        <v>-1.2616550000000001E-2</v>
      </c>
      <c r="O3510">
        <v>5.1713539999999998E-4</v>
      </c>
      <c r="P3510">
        <v>-0.9866471</v>
      </c>
      <c r="Q3510">
        <v>0.16287299999999999</v>
      </c>
      <c r="R3510">
        <v>-1.2594510000000001E-4</v>
      </c>
      <c r="S3510">
        <v>-3.2011720000000001</v>
      </c>
      <c r="T3510">
        <v>-0.97012710000000002</v>
      </c>
      <c r="U3510">
        <v>0.31610110000000002</v>
      </c>
      <c r="V3510">
        <v>-6.4063080000000005E-4</v>
      </c>
      <c r="W3510">
        <v>0.1753082</v>
      </c>
      <c r="X3510">
        <v>0.98451339999999998</v>
      </c>
      <c r="Y3510">
        <v>9.3435039999999997E-2</v>
      </c>
      <c r="Z3510">
        <v>1.427322E-2</v>
      </c>
      <c r="AA3510">
        <v>0.99552300000000005</v>
      </c>
      <c r="AB3510">
        <v>31</v>
      </c>
      <c r="AC3510">
        <v>-0.57339999999999203</v>
      </c>
      <c r="AD3510">
        <v>-0.26437509999999897</v>
      </c>
      <c r="AE3510">
        <v>8.6399999999969099E-2</v>
      </c>
      <c r="AF3510">
        <v>7.1285812541222696E-2</v>
      </c>
      <c r="AG3510">
        <v>-0.26437509999999897</v>
      </c>
      <c r="AH3510">
        <v>0.47475995225182399</v>
      </c>
      <c r="AI3510">
        <v>118.841024783652</v>
      </c>
      <c r="AJ3510">
        <v>81.460757838554102</v>
      </c>
      <c r="AK3510">
        <v>0.54806283657243804</v>
      </c>
      <c r="AL3510">
        <v>79.903406115365399</v>
      </c>
      <c r="AM3510">
        <v>90.0372828200057</v>
      </c>
      <c r="AN3510">
        <v>1.0000000050873099</v>
      </c>
    </row>
    <row r="3511" spans="1:40" x14ac:dyDescent="0.25">
      <c r="A3511" t="str">
        <f>"20190303161943126"</f>
        <v>20190303161943126</v>
      </c>
      <c r="B3511" t="str">
        <f>"1551601183116423"</f>
        <v>1551601183116423</v>
      </c>
      <c r="C3511" t="s">
        <v>40</v>
      </c>
      <c r="D3511">
        <v>4.4787759999999999</v>
      </c>
      <c r="E3511">
        <v>0.53991400000000001</v>
      </c>
      <c r="F3511" t="s">
        <v>42</v>
      </c>
      <c r="G3511">
        <v>-343.51069999999999</v>
      </c>
      <c r="H3511">
        <v>0.86283639999999995</v>
      </c>
      <c r="I3511">
        <v>283.97930000000002</v>
      </c>
      <c r="J3511">
        <v>-342.86750000000001</v>
      </c>
      <c r="K3511">
        <v>1.1214170000000001</v>
      </c>
      <c r="L3511">
        <v>283.89499999999998</v>
      </c>
      <c r="M3511">
        <v>-0.99991920000000001</v>
      </c>
      <c r="N3511">
        <v>-1.270538E-2</v>
      </c>
      <c r="O3511">
        <v>4.9618359999999996E-4</v>
      </c>
      <c r="P3511">
        <v>-0.98665740000000002</v>
      </c>
      <c r="Q3511">
        <v>0.16281029999999999</v>
      </c>
      <c r="R3511">
        <v>-3.6980349999999999E-4</v>
      </c>
      <c r="S3511">
        <v>-3.2008670000000001</v>
      </c>
      <c r="T3511">
        <v>-0.97078869999999895</v>
      </c>
      <c r="U3511">
        <v>0.316162099999999</v>
      </c>
      <c r="V3511">
        <v>-8.6408630000000001E-4</v>
      </c>
      <c r="W3511">
        <v>0.17533260000000001</v>
      </c>
      <c r="X3511">
        <v>0.98450890000000002</v>
      </c>
      <c r="Y3511">
        <v>9.3473600000000004E-2</v>
      </c>
      <c r="Z3511">
        <v>1.4299589999999999E-2</v>
      </c>
      <c r="AA3511">
        <v>0.99551900000000004</v>
      </c>
      <c r="AB3511">
        <v>31</v>
      </c>
      <c r="AC3511">
        <v>-0.64319999999997801</v>
      </c>
      <c r="AD3511">
        <v>-0.25858059999999999</v>
      </c>
      <c r="AE3511">
        <v>8.4300000000041495E-2</v>
      </c>
      <c r="AF3511">
        <v>7.2466453025722202E-2</v>
      </c>
      <c r="AG3511">
        <v>-0.25858059999999999</v>
      </c>
      <c r="AH3511">
        <v>0.55504874835978302</v>
      </c>
      <c r="AI3511">
        <v>114.79455766365101</v>
      </c>
      <c r="AJ3511">
        <v>82.561609953275706</v>
      </c>
      <c r="AK3511">
        <v>0.61659908089961601</v>
      </c>
      <c r="AL3511">
        <v>79.901986263965</v>
      </c>
      <c r="AM3511">
        <v>90.050287494010902</v>
      </c>
      <c r="AN3511">
        <v>1.00000002072355</v>
      </c>
    </row>
    <row r="3512" spans="1:40" x14ac:dyDescent="0.25">
      <c r="A3512" t="str">
        <f>"20190303161943143"</f>
        <v>20190303161943143</v>
      </c>
      <c r="B3512" t="str">
        <f>"1551601183135881"</f>
        <v>1551601183135881</v>
      </c>
      <c r="C3512" t="s">
        <v>40</v>
      </c>
      <c r="D3512">
        <v>4.5120180000000003</v>
      </c>
      <c r="E3512">
        <v>0.53993349999999996</v>
      </c>
      <c r="F3512" t="s">
        <v>42</v>
      </c>
      <c r="G3512">
        <v>-343.7801</v>
      </c>
      <c r="H3512">
        <v>0.84468129999999997</v>
      </c>
      <c r="I3512">
        <v>283.98540000000003</v>
      </c>
      <c r="J3512">
        <v>-343.12329999999997</v>
      </c>
      <c r="K3512">
        <v>1.121427</v>
      </c>
      <c r="L3512">
        <v>283.89510000000001</v>
      </c>
      <c r="M3512">
        <v>-0.99991799999999997</v>
      </c>
      <c r="N3512">
        <v>-1.2804680000000001E-2</v>
      </c>
      <c r="O3512">
        <v>4.7027430000000001E-4</v>
      </c>
      <c r="P3512">
        <v>-0.98661589999999999</v>
      </c>
      <c r="Q3512">
        <v>0.1630606</v>
      </c>
      <c r="R3512">
        <v>-6.694356E-4</v>
      </c>
      <c r="S3512">
        <v>-3.2008969999999999</v>
      </c>
      <c r="T3512">
        <v>-0.97071300000000005</v>
      </c>
      <c r="U3512">
        <v>0.31582640000000001</v>
      </c>
      <c r="V3512">
        <v>-1.138174E-3</v>
      </c>
      <c r="W3512">
        <v>0.17568049999999999</v>
      </c>
      <c r="X3512">
        <v>0.98444659999999995</v>
      </c>
      <c r="Y3512">
        <v>9.3396789999999993E-2</v>
      </c>
      <c r="Z3512">
        <v>1.429879E-2</v>
      </c>
      <c r="AA3512">
        <v>0.99552629999999998</v>
      </c>
      <c r="AB3512">
        <v>31</v>
      </c>
      <c r="AC3512">
        <v>-0.65680000000003202</v>
      </c>
      <c r="AD3512">
        <v>-0.27674569999999998</v>
      </c>
      <c r="AE3512">
        <v>9.03000000000133E-2</v>
      </c>
      <c r="AF3512">
        <v>7.6637333156171605E-2</v>
      </c>
      <c r="AG3512">
        <v>-0.27674569999999998</v>
      </c>
      <c r="AH3512">
        <v>0.55937371563102101</v>
      </c>
      <c r="AI3512">
        <v>116.11239042314</v>
      </c>
      <c r="AJ3512">
        <v>82.198726592612005</v>
      </c>
      <c r="AK3512">
        <v>0.62877692152355202</v>
      </c>
      <c r="AL3512">
        <v>79.881738788232397</v>
      </c>
      <c r="AM3512">
        <v>90.066242838864994</v>
      </c>
      <c r="AN3512">
        <v>1.0000000208859301</v>
      </c>
    </row>
    <row r="3513" spans="1:40" x14ac:dyDescent="0.25">
      <c r="A3513" t="str">
        <f>"20190303161943167"</f>
        <v>20190303161943167</v>
      </c>
      <c r="B3513" t="str">
        <f>"1551601183156378"</f>
        <v>1551601183156378</v>
      </c>
      <c r="C3513" t="s">
        <v>40</v>
      </c>
      <c r="D3513">
        <v>4.504416</v>
      </c>
      <c r="E3513">
        <v>0.53991659999999997</v>
      </c>
      <c r="F3513" t="s">
        <v>42</v>
      </c>
      <c r="G3513">
        <v>-343.80829999999997</v>
      </c>
      <c r="H3513">
        <v>0.91404819999999998</v>
      </c>
      <c r="I3513">
        <v>283.96280000000002</v>
      </c>
      <c r="J3513">
        <v>-343.4375</v>
      </c>
      <c r="K3513">
        <v>1.121437</v>
      </c>
      <c r="L3513">
        <v>283.89519999999999</v>
      </c>
      <c r="M3513">
        <v>-0.99991660000000004</v>
      </c>
      <c r="N3513">
        <v>-1.290759E-2</v>
      </c>
      <c r="O3513">
        <v>4.3772629999999998E-4</v>
      </c>
      <c r="P3513">
        <v>-0.986595</v>
      </c>
      <c r="Q3513">
        <v>0.1631851</v>
      </c>
      <c r="R3513">
        <v>-1.046939E-3</v>
      </c>
      <c r="S3513">
        <v>-3.2010800000000001</v>
      </c>
      <c r="T3513">
        <v>-0.96919060000000001</v>
      </c>
      <c r="U3513">
        <v>0.31475829999999999</v>
      </c>
      <c r="V3513">
        <v>-1.484076E-3</v>
      </c>
      <c r="W3513">
        <v>0.1759058</v>
      </c>
      <c r="X3513">
        <v>0.98440589999999994</v>
      </c>
      <c r="Y3513">
        <v>9.3118039999999999E-2</v>
      </c>
      <c r="Z3513">
        <v>1.4248830000000001E-2</v>
      </c>
      <c r="AA3513">
        <v>0.99555309999999997</v>
      </c>
      <c r="AB3513">
        <v>31</v>
      </c>
      <c r="AC3513">
        <v>-0.37079999999997398</v>
      </c>
      <c r="AD3513">
        <v>-0.20738880000000001</v>
      </c>
      <c r="AE3513">
        <v>6.7600000000027194E-2</v>
      </c>
      <c r="AF3513">
        <v>5.1765425233979603E-2</v>
      </c>
      <c r="AG3513">
        <v>-0.20738880000000001</v>
      </c>
      <c r="AH3513">
        <v>0.28465024680829698</v>
      </c>
      <c r="AI3513">
        <v>125.633610453576</v>
      </c>
      <c r="AJ3513">
        <v>79.693042432082805</v>
      </c>
      <c r="AK3513">
        <v>0.35597125814188901</v>
      </c>
      <c r="AL3513">
        <v>79.868625777285203</v>
      </c>
      <c r="AM3513">
        <v>90.086378217416794</v>
      </c>
      <c r="AN3513">
        <v>1.0000000144550101</v>
      </c>
    </row>
    <row r="3514" spans="1:40" x14ac:dyDescent="0.25">
      <c r="A3514" t="str">
        <f>"20190303161943187"</f>
        <v>20190303161943187</v>
      </c>
      <c r="B3514" t="str">
        <f>"1551601183175898"</f>
        <v>1551601183175898</v>
      </c>
      <c r="C3514" t="s">
        <v>40</v>
      </c>
      <c r="D3514">
        <v>4.5530710000000001</v>
      </c>
      <c r="E3514">
        <v>0.53961899999999996</v>
      </c>
      <c r="F3514" t="s">
        <v>42</v>
      </c>
      <c r="G3514">
        <v>-344.33460000000002</v>
      </c>
      <c r="H3514">
        <v>0.849817499999999</v>
      </c>
      <c r="I3514">
        <v>283.98340000000002</v>
      </c>
      <c r="J3514">
        <v>-343.73520000000002</v>
      </c>
      <c r="K3514">
        <v>1.1214379999999999</v>
      </c>
      <c r="L3514">
        <v>283.89530000000002</v>
      </c>
      <c r="M3514">
        <v>-0.99991569999999996</v>
      </c>
      <c r="N3514">
        <v>-1.298564E-2</v>
      </c>
      <c r="O3514">
        <v>4.0741319999999998E-4</v>
      </c>
      <c r="P3514">
        <v>-0.98655959999999998</v>
      </c>
      <c r="Q3514">
        <v>0.1633965</v>
      </c>
      <c r="R3514">
        <v>-1.382365E-3</v>
      </c>
      <c r="S3514">
        <v>-3.2013850000000001</v>
      </c>
      <c r="T3514">
        <v>-0.96933970000000003</v>
      </c>
      <c r="U3514">
        <v>0.31335449999999998</v>
      </c>
      <c r="V3514">
        <v>-1.789562E-3</v>
      </c>
      <c r="W3514">
        <v>0.17619399999999999</v>
      </c>
      <c r="X3514">
        <v>0.98435379999999995</v>
      </c>
      <c r="Y3514">
        <v>9.2721890000000001E-2</v>
      </c>
      <c r="Z3514">
        <v>1.420102E-2</v>
      </c>
      <c r="AA3514">
        <v>0.99559070000000005</v>
      </c>
      <c r="AB3514">
        <v>31</v>
      </c>
      <c r="AC3514">
        <v>-0.59940000000000204</v>
      </c>
      <c r="AD3514">
        <v>-0.27162049999999999</v>
      </c>
      <c r="AE3514">
        <v>8.8099999999997097E-2</v>
      </c>
      <c r="AF3514">
        <v>7.3151805343126097E-2</v>
      </c>
      <c r="AG3514">
        <v>-0.27162049999999999</v>
      </c>
      <c r="AH3514">
        <v>0.49911138476929001</v>
      </c>
      <c r="AI3514">
        <v>118.30049291464</v>
      </c>
      <c r="AJ3514">
        <v>81.661862012254502</v>
      </c>
      <c r="AK3514">
        <v>0.57292325581313897</v>
      </c>
      <c r="AL3514">
        <v>79.851850636499506</v>
      </c>
      <c r="AM3514">
        <v>90.104164007710807</v>
      </c>
      <c r="AN3514">
        <v>0.99999996587129503</v>
      </c>
    </row>
    <row r="3515" spans="1:40" x14ac:dyDescent="0.25">
      <c r="A3515" t="str">
        <f>"20190303161943199"</f>
        <v>20190303161943199</v>
      </c>
      <c r="B3515" t="str">
        <f>"1551601183196392"</f>
        <v>1551601183196392</v>
      </c>
      <c r="C3515" t="s">
        <v>40</v>
      </c>
      <c r="D3515">
        <v>4.5732460000000001</v>
      </c>
      <c r="E3515">
        <v>0.53935310000000003</v>
      </c>
      <c r="F3515" t="s">
        <v>42</v>
      </c>
      <c r="G3515">
        <v>-344.61259999999999</v>
      </c>
      <c r="H3515">
        <v>0.85493609999999898</v>
      </c>
      <c r="I3515">
        <v>283.9803</v>
      </c>
      <c r="J3515">
        <v>-343.89510000000001</v>
      </c>
      <c r="K3515">
        <v>1.1214379999999999</v>
      </c>
      <c r="L3515">
        <v>283.8954</v>
      </c>
      <c r="M3515">
        <v>-0.99991509999999995</v>
      </c>
      <c r="N3515">
        <v>-1.3020820000000001E-2</v>
      </c>
      <c r="O3515">
        <v>3.9103039999999998E-4</v>
      </c>
      <c r="P3515">
        <v>-0.98658049999999997</v>
      </c>
      <c r="Q3515">
        <v>0.16327</v>
      </c>
      <c r="R3515">
        <v>-1.414472E-3</v>
      </c>
      <c r="S3515">
        <v>-3.2024539999999999</v>
      </c>
      <c r="T3515">
        <v>-0.9727595</v>
      </c>
      <c r="U3515">
        <v>0.3099365</v>
      </c>
      <c r="V3515">
        <v>-1.805082E-3</v>
      </c>
      <c r="W3515">
        <v>0.1761025</v>
      </c>
      <c r="X3515">
        <v>0.98437019999999997</v>
      </c>
      <c r="Y3515">
        <v>9.1674249999999999E-2</v>
      </c>
      <c r="Z3515">
        <v>1.408734E-2</v>
      </c>
      <c r="AA3515">
        <v>0.99568939999999995</v>
      </c>
      <c r="AB3515">
        <v>31</v>
      </c>
      <c r="AC3515">
        <v>-0.71749999999997205</v>
      </c>
      <c r="AD3515">
        <v>-0.26650190000000001</v>
      </c>
      <c r="AE3515">
        <v>8.4900000000004597E-2</v>
      </c>
      <c r="AF3515">
        <v>7.4485230020276294E-2</v>
      </c>
      <c r="AG3515">
        <v>-0.26650190000000001</v>
      </c>
      <c r="AH3515">
        <v>0.63160005922262796</v>
      </c>
      <c r="AI3515">
        <v>112.735795841881</v>
      </c>
      <c r="AJ3515">
        <v>83.274116880239106</v>
      </c>
      <c r="AK3515">
        <v>0.68955779091009495</v>
      </c>
      <c r="AL3515">
        <v>79.857177029361793</v>
      </c>
      <c r="AM3515">
        <v>90.105065618962001</v>
      </c>
      <c r="AN3515">
        <v>1.00000001973765</v>
      </c>
    </row>
    <row r="3516" spans="1:40" x14ac:dyDescent="0.25">
      <c r="A3516" t="str">
        <f>"20190303161943211"</f>
        <v>20190303161943211</v>
      </c>
      <c r="B3516" t="str">
        <f>"1551601183206153"</f>
        <v>1551601183206153</v>
      </c>
      <c r="C3516" t="s">
        <v>40</v>
      </c>
      <c r="D3516">
        <v>4.602468</v>
      </c>
      <c r="E3516">
        <v>0.53926600000000002</v>
      </c>
      <c r="F3516" t="s">
        <v>42</v>
      </c>
      <c r="G3516">
        <v>-344.62959999999998</v>
      </c>
      <c r="H3516">
        <v>0.89748879999999998</v>
      </c>
      <c r="I3516">
        <v>283.96600000000001</v>
      </c>
      <c r="J3516">
        <v>-344.05739999999997</v>
      </c>
      <c r="K3516">
        <v>1.1214379999999999</v>
      </c>
      <c r="L3516">
        <v>283.8954</v>
      </c>
      <c r="M3516">
        <v>-0.99991479999999999</v>
      </c>
      <c r="N3516">
        <v>-1.305336E-2</v>
      </c>
      <c r="O3516">
        <v>3.7424730000000002E-4</v>
      </c>
      <c r="P3516">
        <v>-0.98660809999999999</v>
      </c>
      <c r="Q3516">
        <v>0.1631022</v>
      </c>
      <c r="R3516">
        <v>-1.5158029999999901E-3</v>
      </c>
      <c r="S3516">
        <v>-3.2028500000000002</v>
      </c>
      <c r="T3516">
        <v>-0.97645009999999999</v>
      </c>
      <c r="U3516">
        <v>0.3077087</v>
      </c>
      <c r="V3516">
        <v>-1.8900880000000001E-3</v>
      </c>
      <c r="W3516">
        <v>0.17596679999999901</v>
      </c>
      <c r="X3516">
        <v>0.98439430000000006</v>
      </c>
      <c r="Y3516">
        <v>9.0993400000000002E-2</v>
      </c>
      <c r="Z3516">
        <v>1.403564E-2</v>
      </c>
      <c r="AA3516">
        <v>0.99575259999999999</v>
      </c>
      <c r="AB3516">
        <v>31</v>
      </c>
      <c r="AC3516">
        <v>-0.57220000000000903</v>
      </c>
      <c r="AD3516">
        <v>-0.22394919999999899</v>
      </c>
      <c r="AE3516">
        <v>7.0600000000013097E-2</v>
      </c>
      <c r="AF3516">
        <v>6.1158087788565803E-2</v>
      </c>
      <c r="AG3516">
        <v>-0.22394919999999899</v>
      </c>
      <c r="AH3516">
        <v>0.49720618734421401</v>
      </c>
      <c r="AI3516">
        <v>114.08683884781701</v>
      </c>
      <c r="AJ3516">
        <v>82.987643880498595</v>
      </c>
      <c r="AK3516">
        <v>0.54873267500301404</v>
      </c>
      <c r="AL3516">
        <v>79.865075333708205</v>
      </c>
      <c r="AM3516">
        <v>90.1100107266262</v>
      </c>
      <c r="AN3516">
        <v>1.0000000125036801</v>
      </c>
    </row>
    <row r="3517" spans="1:40" x14ac:dyDescent="0.25">
      <c r="A3517" t="str">
        <f>"20190303161943222"</f>
        <v>20190303161943222</v>
      </c>
      <c r="B3517" t="str">
        <f>"1551601183215913"</f>
        <v>1551601183215913</v>
      </c>
      <c r="C3517" t="s">
        <v>40</v>
      </c>
      <c r="D3517">
        <v>4.6110419999999896</v>
      </c>
      <c r="E3517">
        <v>0.5391669</v>
      </c>
      <c r="F3517" t="s">
        <v>42</v>
      </c>
      <c r="G3517">
        <v>-344.8929</v>
      </c>
      <c r="H3517">
        <v>0.86625019999999997</v>
      </c>
      <c r="I3517">
        <v>283.97559999999999</v>
      </c>
      <c r="J3517">
        <v>-344.226</v>
      </c>
      <c r="K3517">
        <v>1.121437</v>
      </c>
      <c r="L3517">
        <v>283.8954</v>
      </c>
      <c r="M3517">
        <v>-0.99991439999999998</v>
      </c>
      <c r="N3517">
        <v>-1.3084169999999999E-2</v>
      </c>
      <c r="O3517">
        <v>3.5705790000000002E-4</v>
      </c>
      <c r="P3517">
        <v>-0.98662450000000002</v>
      </c>
      <c r="Q3517">
        <v>0.16300300000000001</v>
      </c>
      <c r="R3517">
        <v>-1.4795699999999999E-3</v>
      </c>
      <c r="S3517">
        <v>-3.2029420000000002</v>
      </c>
      <c r="T3517">
        <v>-0.97836710000000005</v>
      </c>
      <c r="U3517">
        <v>0.30645749999999999</v>
      </c>
      <c r="V3517">
        <v>-1.8370680000000001E-3</v>
      </c>
      <c r="W3517">
        <v>0.17589830000000001</v>
      </c>
      <c r="X3517">
        <v>0.98440669999999997</v>
      </c>
      <c r="Y3517">
        <v>9.0622709999999995E-2</v>
      </c>
      <c r="Z3517">
        <v>1.400939E-2</v>
      </c>
      <c r="AA3517">
        <v>0.99578670000000002</v>
      </c>
      <c r="AB3517">
        <v>31</v>
      </c>
      <c r="AC3517">
        <v>-0.66689999999999805</v>
      </c>
      <c r="AD3517">
        <v>-0.25518679999999899</v>
      </c>
      <c r="AE3517">
        <v>8.0199999999990695E-2</v>
      </c>
      <c r="AF3517">
        <v>6.98765149046328E-2</v>
      </c>
      <c r="AG3517">
        <v>-0.25518679999999899</v>
      </c>
      <c r="AH3517">
        <v>0.58281098373294105</v>
      </c>
      <c r="AI3517">
        <v>113.49659034037199</v>
      </c>
      <c r="AJ3517">
        <v>83.1631193243052</v>
      </c>
      <c r="AK3517">
        <v>0.64005599207351904</v>
      </c>
      <c r="AL3517">
        <v>79.869062859290693</v>
      </c>
      <c r="AM3517">
        <v>90.106923409695298</v>
      </c>
      <c r="AN3517">
        <v>1.0000000688833</v>
      </c>
    </row>
    <row r="3518" spans="1:40" x14ac:dyDescent="0.25">
      <c r="A3518" t="str">
        <f>"20190303161943235"</f>
        <v>20190303161943235</v>
      </c>
      <c r="B3518" t="str">
        <f>"1551601183225674"</f>
        <v>1551601183225674</v>
      </c>
      <c r="C3518" t="s">
        <v>40</v>
      </c>
      <c r="D3518">
        <v>4.608568</v>
      </c>
      <c r="E3518">
        <v>0.53905930000000002</v>
      </c>
      <c r="F3518" t="s">
        <v>42</v>
      </c>
      <c r="G3518">
        <v>-344.91160000000002</v>
      </c>
      <c r="H3518">
        <v>0.91165949999999996</v>
      </c>
      <c r="I3518">
        <v>283.96129999999999</v>
      </c>
      <c r="J3518">
        <v>-344.38709999999998</v>
      </c>
      <c r="K3518">
        <v>1.121432</v>
      </c>
      <c r="L3518">
        <v>283.8954</v>
      </c>
      <c r="M3518">
        <v>-0.99991410000000003</v>
      </c>
      <c r="N3518">
        <v>-1.3109569999999999E-2</v>
      </c>
      <c r="O3518">
        <v>3.4020460000000003E-4</v>
      </c>
      <c r="P3518">
        <v>-0.9866066</v>
      </c>
      <c r="Q3518">
        <v>0.16311139999999999</v>
      </c>
      <c r="R3518">
        <v>-1.5129399999999999E-3</v>
      </c>
      <c r="S3518">
        <v>-3.2030029999999998</v>
      </c>
      <c r="T3518">
        <v>-0.98005640000000005</v>
      </c>
      <c r="U3518">
        <v>0.30621340000000002</v>
      </c>
      <c r="V3518">
        <v>-1.853922E-3</v>
      </c>
      <c r="W3518">
        <v>0.1760311</v>
      </c>
      <c r="X3518">
        <v>0.98438289999999995</v>
      </c>
      <c r="Y3518">
        <v>9.0550800000000001E-2</v>
      </c>
      <c r="Z3518">
        <v>1.4026159999999999E-2</v>
      </c>
      <c r="AA3518">
        <v>0.99579300000000004</v>
      </c>
      <c r="AB3518">
        <v>31</v>
      </c>
      <c r="AC3518">
        <v>-0.52450000000004504</v>
      </c>
      <c r="AD3518">
        <v>-0.2097725</v>
      </c>
      <c r="AE3518">
        <v>6.5899999999999098E-2</v>
      </c>
      <c r="AF3518">
        <v>5.67802370777288E-2</v>
      </c>
      <c r="AG3518">
        <v>-0.2097725</v>
      </c>
      <c r="AH3518">
        <v>0.45316199385671002</v>
      </c>
      <c r="AI3518">
        <v>114.670119401224</v>
      </c>
      <c r="AJ3518">
        <v>82.858179580298497</v>
      </c>
      <c r="AK3518">
        <v>0.50257764549872397</v>
      </c>
      <c r="AL3518">
        <v>79.861333072068305</v>
      </c>
      <c r="AM3518">
        <v>90.107906974571407</v>
      </c>
      <c r="AN3518">
        <v>1.0000000395032</v>
      </c>
    </row>
    <row r="3519" spans="1:40" x14ac:dyDescent="0.25">
      <c r="A3519" t="str">
        <f>"20190303161943248"</f>
        <v>20190303161943248</v>
      </c>
      <c r="B3519" t="str">
        <f>"1551601183246169"</f>
        <v>1551601183246169</v>
      </c>
      <c r="C3519" t="s">
        <v>40</v>
      </c>
      <c r="D3519">
        <v>4.6361520000000001</v>
      </c>
      <c r="E3519">
        <v>0.53891409999999995</v>
      </c>
      <c r="F3519" t="s">
        <v>42</v>
      </c>
      <c r="G3519">
        <v>-345.17410000000001</v>
      </c>
      <c r="H3519">
        <v>0.88035790000000003</v>
      </c>
      <c r="I3519">
        <v>283.97039999999998</v>
      </c>
      <c r="J3519">
        <v>-344.56619999999998</v>
      </c>
      <c r="K3519">
        <v>1.1214299999999999</v>
      </c>
      <c r="L3519">
        <v>283.89550000000003</v>
      </c>
      <c r="M3519">
        <v>-0.99991359999999996</v>
      </c>
      <c r="N3519">
        <v>-1.3135539999999999E-2</v>
      </c>
      <c r="O3519">
        <v>3.217979E-4</v>
      </c>
      <c r="P3519">
        <v>-0.98658349999999995</v>
      </c>
      <c r="Q3519">
        <v>0.16325149999999999</v>
      </c>
      <c r="R3519">
        <v>-1.2584919999999999E-3</v>
      </c>
      <c r="S3519">
        <v>-3.20343</v>
      </c>
      <c r="T3519">
        <v>-0.98136760000000001</v>
      </c>
      <c r="U3519">
        <v>0.30487059999999999</v>
      </c>
      <c r="V3519">
        <v>-1.5811579999999901E-3</v>
      </c>
      <c r="W3519">
        <v>0.17619679999999999</v>
      </c>
      <c r="X3519">
        <v>0.9843537</v>
      </c>
      <c r="Y3519">
        <v>9.0150670000000002E-2</v>
      </c>
      <c r="Z3519">
        <v>1.3985879999999999E-2</v>
      </c>
      <c r="AA3519">
        <v>0.99582990000000005</v>
      </c>
      <c r="AB3519">
        <v>31</v>
      </c>
      <c r="AC3519">
        <v>-0.60790000000002897</v>
      </c>
      <c r="AD3519">
        <v>-0.24107209999999901</v>
      </c>
      <c r="AE3519">
        <v>7.4899999999956807E-2</v>
      </c>
      <c r="AF3519">
        <v>6.4684004635127496E-2</v>
      </c>
      <c r="AG3519">
        <v>-0.24107209999999901</v>
      </c>
      <c r="AH3519">
        <v>0.52638111718817904</v>
      </c>
      <c r="AI3519">
        <v>114.44469011945</v>
      </c>
      <c r="AJ3519">
        <v>82.994367148074105</v>
      </c>
      <c r="AK3519">
        <v>0.58256060490417905</v>
      </c>
      <c r="AL3519">
        <v>79.851688106487103</v>
      </c>
      <c r="AM3519">
        <v>90.092033587345398</v>
      </c>
      <c r="AN3519">
        <v>1.0000000095472701</v>
      </c>
    </row>
    <row r="3520" spans="1:40" x14ac:dyDescent="0.25">
      <c r="A3520" t="str">
        <f>"20190303161943260"</f>
        <v>20190303161943260</v>
      </c>
      <c r="B3520" t="str">
        <f>"1551601183255930"</f>
        <v>1551601183255930</v>
      </c>
      <c r="C3520" t="s">
        <v>40</v>
      </c>
      <c r="D3520">
        <v>4.6458059999999897</v>
      </c>
      <c r="E3520">
        <v>0.53883239999999999</v>
      </c>
      <c r="F3520" t="s">
        <v>42</v>
      </c>
      <c r="G3520">
        <v>-345.43869999999998</v>
      </c>
      <c r="H3520">
        <v>0.85338849999999999</v>
      </c>
      <c r="I3520">
        <v>283.97899999999998</v>
      </c>
      <c r="J3520">
        <v>-344.73869999999999</v>
      </c>
      <c r="K3520">
        <v>1.1214309999999901</v>
      </c>
      <c r="L3520">
        <v>283.8956</v>
      </c>
      <c r="M3520">
        <v>-0.9999133</v>
      </c>
      <c r="N3520">
        <v>-1.315594E-2</v>
      </c>
      <c r="O3520">
        <v>3.039626E-4</v>
      </c>
      <c r="P3520">
        <v>-0.9866376</v>
      </c>
      <c r="Q3520">
        <v>0.16292590000000001</v>
      </c>
      <c r="R3520">
        <v>-1.049892E-3</v>
      </c>
      <c r="S3520">
        <v>-3.2040709999999999</v>
      </c>
      <c r="T3520">
        <v>-0.98435099999999998</v>
      </c>
      <c r="U3520">
        <v>0.30480960000000001</v>
      </c>
      <c r="V3520">
        <v>-1.354994E-3</v>
      </c>
      <c r="W3520">
        <v>0.17589170000000001</v>
      </c>
      <c r="X3520">
        <v>0.98440859999999997</v>
      </c>
      <c r="Y3520">
        <v>9.0108519999999998E-2</v>
      </c>
      <c r="Z3520">
        <v>1.4021749999999999E-2</v>
      </c>
      <c r="AA3520">
        <v>0.99583319999999997</v>
      </c>
      <c r="AB3520">
        <v>31</v>
      </c>
      <c r="AC3520">
        <v>-0.69999999999998797</v>
      </c>
      <c r="AD3520">
        <v>-0.26804249999999902</v>
      </c>
      <c r="AE3520">
        <v>8.3400000000040095E-2</v>
      </c>
      <c r="AF3520">
        <v>7.2679629555281594E-2</v>
      </c>
      <c r="AG3520">
        <v>-0.26804249999999902</v>
      </c>
      <c r="AH3520">
        <v>0.61160345081613898</v>
      </c>
      <c r="AI3520">
        <v>113.518666556618</v>
      </c>
      <c r="AJ3520">
        <v>83.223062282534798</v>
      </c>
      <c r="AK3520">
        <v>0.67170521168794906</v>
      </c>
      <c r="AL3520">
        <v>79.869446386973095</v>
      </c>
      <c r="AM3520">
        <v>90.078865004262894</v>
      </c>
      <c r="AN3520">
        <v>1.0000000089457901</v>
      </c>
    </row>
    <row r="3521" spans="1:40" x14ac:dyDescent="0.25">
      <c r="A3521" t="str">
        <f>"20190303161943272"</f>
        <v>20190303161943272</v>
      </c>
      <c r="B3521" t="str">
        <f>"1551601183265689"</f>
        <v>1551601183265689</v>
      </c>
      <c r="C3521" t="s">
        <v>40</v>
      </c>
      <c r="D3521">
        <v>4.6391169999999997</v>
      </c>
      <c r="E3521">
        <v>0.53883149999999902</v>
      </c>
      <c r="F3521" t="s">
        <v>42</v>
      </c>
      <c r="G3521">
        <v>-345.45740000000001</v>
      </c>
      <c r="H3521">
        <v>0.90001679999999995</v>
      </c>
      <c r="I3521">
        <v>283.96429999999998</v>
      </c>
      <c r="J3521">
        <v>-344.9033</v>
      </c>
      <c r="K3521">
        <v>1.121437</v>
      </c>
      <c r="L3521">
        <v>283.8956</v>
      </c>
      <c r="M3521">
        <v>-0.9999133</v>
      </c>
      <c r="N3521">
        <v>-1.317202E-2</v>
      </c>
      <c r="O3521">
        <v>2.870479E-4</v>
      </c>
      <c r="P3521">
        <v>-0.98665329999999996</v>
      </c>
      <c r="Q3521">
        <v>0.16283120000000001</v>
      </c>
      <c r="R3521">
        <v>-1.1879620000000001E-3</v>
      </c>
      <c r="S3521">
        <v>-3.2039490000000002</v>
      </c>
      <c r="T3521">
        <v>-0.98709069999999999</v>
      </c>
      <c r="U3521">
        <v>0.30441279999999998</v>
      </c>
      <c r="V3521">
        <v>-1.4761209999999999E-3</v>
      </c>
      <c r="W3521">
        <v>0.17581329999999901</v>
      </c>
      <c r="X3521">
        <v>0.98442240000000003</v>
      </c>
      <c r="Y3521">
        <v>8.9988280000000004E-2</v>
      </c>
      <c r="Z3521">
        <v>1.4044799999999901E-2</v>
      </c>
      <c r="AA3521">
        <v>0.99584379999999995</v>
      </c>
      <c r="AB3521">
        <v>31</v>
      </c>
      <c r="AC3521">
        <v>-0.55410000000000503</v>
      </c>
      <c r="AD3521">
        <v>-0.22142020000000001</v>
      </c>
      <c r="AE3521">
        <v>6.8699999999978403E-2</v>
      </c>
      <c r="AF3521">
        <v>5.9226635845806001E-2</v>
      </c>
      <c r="AG3521">
        <v>-0.22142020000000001</v>
      </c>
      <c r="AH3521">
        <v>0.478818212170533</v>
      </c>
      <c r="AI3521">
        <v>114.651956421591</v>
      </c>
      <c r="AJ3521">
        <v>82.9487083780879</v>
      </c>
      <c r="AK3521">
        <v>0.53084986546841795</v>
      </c>
      <c r="AL3521">
        <v>79.874009173478399</v>
      </c>
      <c r="AM3521">
        <v>90.085913770311507</v>
      </c>
      <c r="AN3521">
        <v>0.99999997850592803</v>
      </c>
    </row>
    <row r="3522" spans="1:40" x14ac:dyDescent="0.25">
      <c r="A3522" t="str">
        <f>"20190303161943286"</f>
        <v>20190303161943286</v>
      </c>
      <c r="B3522" t="str">
        <f>"1551601183276424"</f>
        <v>1551601183276424</v>
      </c>
      <c r="C3522" t="s">
        <v>40</v>
      </c>
      <c r="D3522">
        <v>4.7882619999999996</v>
      </c>
      <c r="E3522">
        <v>0.53883149999999902</v>
      </c>
      <c r="F3522" t="s">
        <v>42</v>
      </c>
      <c r="G3522">
        <v>-345.72039999999998</v>
      </c>
      <c r="H3522">
        <v>0.8696971</v>
      </c>
      <c r="I3522">
        <v>283.97340000000003</v>
      </c>
      <c r="J3522">
        <v>-345.08440000000002</v>
      </c>
      <c r="K3522">
        <v>1.1214360000000001</v>
      </c>
      <c r="L3522">
        <v>283.8956</v>
      </c>
      <c r="M3522">
        <v>-0.9999131</v>
      </c>
      <c r="N3522">
        <v>-1.318738E-2</v>
      </c>
      <c r="O3522">
        <v>2.6852769999999998E-4</v>
      </c>
      <c r="P3522">
        <v>-0.98665599999999998</v>
      </c>
      <c r="Q3522">
        <v>0.1628154</v>
      </c>
      <c r="R3522">
        <v>-1.1068689999999999E-3</v>
      </c>
      <c r="S3522">
        <v>-3.2038880000000001</v>
      </c>
      <c r="T3522">
        <v>-0.9870603</v>
      </c>
      <c r="U3522">
        <v>0.30426029999999998</v>
      </c>
      <c r="V3522">
        <v>-1.3770760000000001E-3</v>
      </c>
      <c r="W3522">
        <v>0.17581240000000001</v>
      </c>
      <c r="X3522">
        <v>0.98442269999999998</v>
      </c>
      <c r="Y3522">
        <v>8.9961840000000001E-2</v>
      </c>
      <c r="Z3522">
        <v>1.404656E-2</v>
      </c>
      <c r="AA3522">
        <v>0.99584620000000001</v>
      </c>
      <c r="AB3522">
        <v>31</v>
      </c>
      <c r="AC3522">
        <v>-0.63599999999996704</v>
      </c>
      <c r="AD3522">
        <v>-0.25173889999999999</v>
      </c>
      <c r="AE3522">
        <v>7.7800000000024697E-2</v>
      </c>
      <c r="AF3522">
        <v>6.7248668855093105E-2</v>
      </c>
      <c r="AG3522">
        <v>-0.25173889999999999</v>
      </c>
      <c r="AH3522">
        <v>0.55097254110230798</v>
      </c>
      <c r="AI3522">
        <v>114.395881733289</v>
      </c>
      <c r="AJ3522">
        <v>83.041212723546394</v>
      </c>
      <c r="AK3522">
        <v>0.60947977676435305</v>
      </c>
      <c r="AL3522">
        <v>79.874061512605294</v>
      </c>
      <c r="AM3522">
        <v>90.080149097947199</v>
      </c>
      <c r="AN3522">
        <v>0.99999997430367904</v>
      </c>
    </row>
    <row r="3523" spans="1:40" x14ac:dyDescent="0.25">
      <c r="A3523" t="str">
        <f>"20190303161943298"</f>
        <v>20190303161943298</v>
      </c>
      <c r="B3523" t="str">
        <f>"1551601183295945"</f>
        <v>1551601183295945</v>
      </c>
      <c r="C3523" t="s">
        <v>40</v>
      </c>
      <c r="D3523">
        <v>4.6855909999999996</v>
      </c>
      <c r="E3523">
        <v>0.53268309999999996</v>
      </c>
      <c r="F3523" t="s">
        <v>42</v>
      </c>
      <c r="G3523">
        <v>-345.98509999999999</v>
      </c>
      <c r="H3523">
        <v>0.84388980000000002</v>
      </c>
      <c r="I3523">
        <v>283.98149999999998</v>
      </c>
      <c r="J3523">
        <v>-345.2672</v>
      </c>
      <c r="K3523">
        <v>1.121427</v>
      </c>
      <c r="L3523">
        <v>283.8956</v>
      </c>
      <c r="M3523">
        <v>-0.99991300000000005</v>
      </c>
      <c r="N3523">
        <v>-1.319887E-2</v>
      </c>
      <c r="O3523">
        <v>2.4962059999999997E-4</v>
      </c>
      <c r="P3523">
        <v>-0.98669359999999995</v>
      </c>
      <c r="Q3523">
        <v>0.16258919999999999</v>
      </c>
      <c r="R3523">
        <v>-8.0735099999999999E-4</v>
      </c>
      <c r="S3523">
        <v>-3.203827</v>
      </c>
      <c r="T3523">
        <v>-0.98720609999999998</v>
      </c>
      <c r="U3523">
        <v>0.30426029999999998</v>
      </c>
      <c r="V3523">
        <v>-1.0588570000000001E-3</v>
      </c>
      <c r="W3523">
        <v>0.17559829999999901</v>
      </c>
      <c r="X3523">
        <v>0.98446129999999998</v>
      </c>
      <c r="Y3523">
        <v>8.997927E-2</v>
      </c>
      <c r="Z3523">
        <v>1.4057419999999999E-2</v>
      </c>
      <c r="AA3523">
        <v>0.99584439999999996</v>
      </c>
      <c r="AB3523">
        <v>31</v>
      </c>
      <c r="AC3523">
        <v>-0.71789999999998599</v>
      </c>
      <c r="AD3523">
        <v>-0.27753719999999898</v>
      </c>
      <c r="AE3523">
        <v>8.5899999999980894E-2</v>
      </c>
      <c r="AF3523">
        <v>7.4712178767696202E-2</v>
      </c>
      <c r="AG3523">
        <v>-0.27753719999999898</v>
      </c>
      <c r="AH3523">
        <v>0.62572312305753897</v>
      </c>
      <c r="AI3523">
        <v>113.76955642232301</v>
      </c>
      <c r="AJ3523">
        <v>83.191042804973705</v>
      </c>
      <c r="AK3523">
        <v>0.688576962850876</v>
      </c>
      <c r="AL3523">
        <v>79.886522327978597</v>
      </c>
      <c r="AM3523">
        <v>90.061625595453293</v>
      </c>
      <c r="AN3523">
        <v>0.99999996766936206</v>
      </c>
    </row>
    <row r="3524" spans="1:40" x14ac:dyDescent="0.25">
      <c r="A3524" t="str">
        <f>"20190303161943322"</f>
        <v>20190303161943322</v>
      </c>
      <c r="B3524" t="str">
        <f>"1551601183316441"</f>
        <v>1551601183316441</v>
      </c>
      <c r="C3524" t="s">
        <v>40</v>
      </c>
      <c r="D3524">
        <v>4.7674789999999998</v>
      </c>
      <c r="E3524">
        <v>0.51214459999999995</v>
      </c>
      <c r="F3524" t="s">
        <v>42</v>
      </c>
      <c r="G3524">
        <v>-346.02980000000002</v>
      </c>
      <c r="H3524">
        <v>0.94669579999999998</v>
      </c>
      <c r="I3524">
        <v>283.9579</v>
      </c>
      <c r="J3524">
        <v>-345.58159999999998</v>
      </c>
      <c r="K3524">
        <v>1.1214249999999999</v>
      </c>
      <c r="L3524">
        <v>283.89569999999998</v>
      </c>
      <c r="M3524">
        <v>-0.99991289999999999</v>
      </c>
      <c r="N3524">
        <v>-1.3214780000000001E-2</v>
      </c>
      <c r="O3524">
        <v>2.1733230000000001E-4</v>
      </c>
      <c r="P3524">
        <v>-0.98666379999999998</v>
      </c>
      <c r="Q3524">
        <v>0.16277159999999999</v>
      </c>
      <c r="R3524">
        <v>-5.884385E-4</v>
      </c>
      <c r="S3524">
        <v>-3.1599430000000002</v>
      </c>
      <c r="T3524">
        <v>-0.72404559999999996</v>
      </c>
      <c r="U3524">
        <v>0.25631710000000002</v>
      </c>
      <c r="V3524">
        <v>-8.0768460000000002E-4</v>
      </c>
      <c r="W3524">
        <v>0.17579600000000001</v>
      </c>
      <c r="X3524">
        <v>0.98442629999999998</v>
      </c>
      <c r="Y3524">
        <v>7.849594E-2</v>
      </c>
      <c r="Z3524">
        <v>9.3442040000000001E-3</v>
      </c>
      <c r="AA3524">
        <v>0.99687060000000005</v>
      </c>
      <c r="AB3524">
        <v>31</v>
      </c>
      <c r="AC3524">
        <v>-0.44820000000004201</v>
      </c>
      <c r="AD3524">
        <v>-0.174729199999999</v>
      </c>
      <c r="AE3524">
        <v>6.22000000000184E-2</v>
      </c>
      <c r="AF3524">
        <v>5.4044136832850698E-2</v>
      </c>
      <c r="AG3524">
        <v>-0.174729199999999</v>
      </c>
      <c r="AH3524">
        <v>0.39005322363176298</v>
      </c>
      <c r="AI3524">
        <v>113.927984617644</v>
      </c>
      <c r="AJ3524">
        <v>82.111561500638103</v>
      </c>
      <c r="AK3524">
        <v>0.43080457207900902</v>
      </c>
      <c r="AL3524">
        <v>79.875016426325899</v>
      </c>
      <c r="AM3524">
        <v>90.047009012633794</v>
      </c>
      <c r="AN3524">
        <v>1.00000001305105</v>
      </c>
    </row>
    <row r="3525" spans="1:40" x14ac:dyDescent="0.25">
      <c r="A3525" t="str">
        <f>"20190303161943335"</f>
        <v>20190303161943335</v>
      </c>
      <c r="B3525" t="str">
        <f>"1551601183326202"</f>
        <v>1551601183326202</v>
      </c>
      <c r="C3525" t="s">
        <v>40</v>
      </c>
      <c r="D3525">
        <v>4.6976529999999999</v>
      </c>
      <c r="E3525">
        <v>0.50922190000000001</v>
      </c>
      <c r="F3525" t="s">
        <v>52</v>
      </c>
      <c r="G3525">
        <v>-371.81819999999999</v>
      </c>
      <c r="H3525" s="1">
        <v>-5.6924339999999998E-7</v>
      </c>
      <c r="I3525">
        <v>284.70150000000001</v>
      </c>
      <c r="J3525">
        <v>-345.76389999999998</v>
      </c>
      <c r="K3525">
        <v>1.121426</v>
      </c>
      <c r="L3525">
        <v>283.89569999999998</v>
      </c>
      <c r="M3525">
        <v>-0.99991260000000004</v>
      </c>
      <c r="N3525">
        <v>-1.3221439999999999E-2</v>
      </c>
      <c r="O3525">
        <v>1.9869319999999999E-4</v>
      </c>
      <c r="P3525">
        <v>-0.98672769999999999</v>
      </c>
      <c r="Q3525">
        <v>0.16238369999999999</v>
      </c>
      <c r="R3525">
        <v>-4.6973909999999998E-4</v>
      </c>
      <c r="S3525">
        <v>-3.062195</v>
      </c>
      <c r="T3525">
        <v>-0.13088669999999999</v>
      </c>
      <c r="U3525">
        <v>9.4055180000000002E-2</v>
      </c>
      <c r="V3525">
        <v>-6.7066279999999999E-4</v>
      </c>
      <c r="W3525">
        <v>0.17541570000000001</v>
      </c>
      <c r="X3525">
        <v>0.98449419999999999</v>
      </c>
      <c r="Y3525">
        <v>3.0465550000000001E-2</v>
      </c>
      <c r="Z3525">
        <v>8.4635509999999995E-4</v>
      </c>
      <c r="AA3525">
        <v>0.99953539999999996</v>
      </c>
      <c r="AB3525">
        <v>31</v>
      </c>
      <c r="AC3525">
        <v>-26.054300000000001</v>
      </c>
      <c r="AD3525">
        <v>-1.1214265692434</v>
      </c>
      <c r="AE3525">
        <v>0.80580000000003305</v>
      </c>
      <c r="AF3525">
        <v>0.79914363663172505</v>
      </c>
      <c r="AG3525">
        <v>-1.1214265692434</v>
      </c>
      <c r="AH3525">
        <v>26.006326193854498</v>
      </c>
      <c r="AI3525">
        <v>92.467975301851993</v>
      </c>
      <c r="AJ3525">
        <v>88.2399223314804</v>
      </c>
      <c r="AK3525">
        <v>26.0427577303813</v>
      </c>
      <c r="AL3525">
        <v>79.897149552267706</v>
      </c>
      <c r="AM3525">
        <v>90.039031354346506</v>
      </c>
      <c r="AN3525">
        <v>0.99999997371436</v>
      </c>
    </row>
    <row r="3526" spans="1:40" x14ac:dyDescent="0.25">
      <c r="A3526" t="str">
        <f>"20190303161943348"</f>
        <v>20190303161943348</v>
      </c>
      <c r="B3526" t="str">
        <f>"1551601183335961"</f>
        <v>1551601183335961</v>
      </c>
      <c r="C3526" t="s">
        <v>40</v>
      </c>
      <c r="D3526">
        <v>4.6484100000000002</v>
      </c>
      <c r="E3526">
        <v>0.50797170000000003</v>
      </c>
      <c r="F3526" t="s">
        <v>52</v>
      </c>
      <c r="G3526">
        <v>-378.80810000000002</v>
      </c>
      <c r="H3526" s="1">
        <v>3.1504450000000001E-6</v>
      </c>
      <c r="I3526">
        <v>284.66590000000002</v>
      </c>
      <c r="J3526">
        <v>-345.9479</v>
      </c>
      <c r="K3526">
        <v>1.1214230000000001</v>
      </c>
      <c r="L3526">
        <v>283.89569999999998</v>
      </c>
      <c r="M3526">
        <v>-0.99991260000000004</v>
      </c>
      <c r="N3526">
        <v>-1.322719E-2</v>
      </c>
      <c r="O3526">
        <v>1.799998E-4</v>
      </c>
      <c r="P3526">
        <v>-0.98675089999999999</v>
      </c>
      <c r="Q3526">
        <v>0.16224269999999999</v>
      </c>
      <c r="R3526">
        <v>-3.051455E-4</v>
      </c>
      <c r="S3526">
        <v>-3.0574650000000001</v>
      </c>
      <c r="T3526">
        <v>-0.1037612</v>
      </c>
      <c r="U3526">
        <v>7.1258539999999995E-2</v>
      </c>
      <c r="V3526">
        <v>-4.8759150000000001E-4</v>
      </c>
      <c r="W3526">
        <v>0.17528050000000001</v>
      </c>
      <c r="X3526">
        <v>0.98451840000000002</v>
      </c>
      <c r="Y3526">
        <v>2.3101690000000001E-2</v>
      </c>
      <c r="Z3526">
        <v>5.4098289999999995E-4</v>
      </c>
      <c r="AA3526">
        <v>0.99973299999999998</v>
      </c>
      <c r="AB3526">
        <v>31</v>
      </c>
      <c r="AC3526">
        <v>-32.860199999999999</v>
      </c>
      <c r="AD3526">
        <v>-1.1214198495550001</v>
      </c>
      <c r="AE3526">
        <v>0.77020000000004496</v>
      </c>
      <c r="AF3526">
        <v>0.76339603884924401</v>
      </c>
      <c r="AG3526">
        <v>-1.1214198495550001</v>
      </c>
      <c r="AH3526">
        <v>32.822132751061801</v>
      </c>
      <c r="AI3526">
        <v>91.956310662727802</v>
      </c>
      <c r="AJ3526">
        <v>88.667622030805902</v>
      </c>
      <c r="AK3526">
        <v>32.850156077550501</v>
      </c>
      <c r="AL3526">
        <v>79.905017971434802</v>
      </c>
      <c r="AM3526">
        <v>90.028376242427001</v>
      </c>
      <c r="AN3526">
        <v>0.99999998568213999</v>
      </c>
    </row>
    <row r="3527" spans="1:40" x14ac:dyDescent="0.25">
      <c r="A3527" t="str">
        <f>"20190303161943367"</f>
        <v>20190303161943367</v>
      </c>
      <c r="B3527" t="str">
        <f>"1551601183355481"</f>
        <v>1551601183355481</v>
      </c>
      <c r="C3527" t="s">
        <v>40</v>
      </c>
      <c r="D3527">
        <v>4.6896810000000002</v>
      </c>
      <c r="E3527">
        <v>0.50702139999999996</v>
      </c>
      <c r="F3527" t="s">
        <v>52</v>
      </c>
      <c r="G3527">
        <v>-383.2681</v>
      </c>
      <c r="H3527" s="1">
        <v>2.0231520000000001E-7</v>
      </c>
      <c r="I3527">
        <v>284.65019999999998</v>
      </c>
      <c r="J3527">
        <v>-346.19630000000001</v>
      </c>
      <c r="K3527">
        <v>1.121426</v>
      </c>
      <c r="L3527">
        <v>283.89580000000001</v>
      </c>
      <c r="M3527">
        <v>-0.99991249999999998</v>
      </c>
      <c r="N3527">
        <v>-1.3233190000000001E-2</v>
      </c>
      <c r="O3527">
        <v>1.548059E-4</v>
      </c>
      <c r="P3527">
        <v>-0.98689780000000005</v>
      </c>
      <c r="Q3527">
        <v>0.16134760000000001</v>
      </c>
      <c r="R3527" s="1">
        <v>7.5636900000000001E-5</v>
      </c>
      <c r="S3527">
        <v>-3.0553889999999999</v>
      </c>
      <c r="T3527">
        <v>-9.1810459999999997E-2</v>
      </c>
      <c r="U3527">
        <v>6.1767580000000002E-2</v>
      </c>
      <c r="V3527" s="1">
        <v>-8.2019959999999906E-5</v>
      </c>
      <c r="W3527">
        <v>0.17439370000000001</v>
      </c>
      <c r="X3527">
        <v>0.984676</v>
      </c>
      <c r="Y3527">
        <v>2.0044019999999999E-2</v>
      </c>
      <c r="Z3527">
        <v>4.3113329999999999E-4</v>
      </c>
      <c r="AA3527">
        <v>0.99979899999999999</v>
      </c>
      <c r="AB3527">
        <v>31</v>
      </c>
      <c r="AC3527">
        <v>-37.071800000000003</v>
      </c>
      <c r="AD3527">
        <v>-1.1214257976848001</v>
      </c>
      <c r="AE3527">
        <v>0.75439999999997498</v>
      </c>
      <c r="AF3527">
        <v>0.74797638894260499</v>
      </c>
      <c r="AG3527">
        <v>-1.1214257976848001</v>
      </c>
      <c r="AH3527">
        <v>37.038038028615901</v>
      </c>
      <c r="AI3527">
        <v>91.733900036781193</v>
      </c>
      <c r="AJ3527">
        <v>88.8430794937766</v>
      </c>
      <c r="AK3527">
        <v>37.062559618937897</v>
      </c>
      <c r="AL3527">
        <v>79.956622836375601</v>
      </c>
      <c r="AM3527">
        <v>90.004772531810403</v>
      </c>
      <c r="AN3527">
        <v>0.99999999715148102</v>
      </c>
    </row>
    <row r="3528" spans="1:40" x14ac:dyDescent="0.25">
      <c r="A3528" t="str">
        <f>"20190303161943388"</f>
        <v>20190303161943388</v>
      </c>
      <c r="B3528" t="str">
        <f>"1551601183375980"</f>
        <v>1551601183375980</v>
      </c>
      <c r="C3528" t="s">
        <v>40</v>
      </c>
      <c r="D3528">
        <v>4.6965479999999999</v>
      </c>
      <c r="E3528">
        <v>0.50582570000000004</v>
      </c>
      <c r="F3528" t="s">
        <v>52</v>
      </c>
      <c r="G3528">
        <v>-384.75049999999999</v>
      </c>
      <c r="H3528" s="1">
        <v>9.9119189999999998E-7</v>
      </c>
      <c r="I3528">
        <v>284.59339999999997</v>
      </c>
      <c r="J3528">
        <v>-346.49189999999999</v>
      </c>
      <c r="K3528">
        <v>1.121426</v>
      </c>
      <c r="L3528">
        <v>283.89580000000001</v>
      </c>
      <c r="M3528">
        <v>-0.99991229999999998</v>
      </c>
      <c r="N3528">
        <v>-1.32382E-2</v>
      </c>
      <c r="O3528">
        <v>1.2426200000000001E-4</v>
      </c>
      <c r="P3528">
        <v>-0.98692299999999999</v>
      </c>
      <c r="Q3528">
        <v>0.161191</v>
      </c>
      <c r="R3528">
        <v>3.9418130000000001E-4</v>
      </c>
      <c r="S3528">
        <v>-3.0543520000000002</v>
      </c>
      <c r="T3528">
        <v>-8.8841920000000005E-2</v>
      </c>
      <c r="U3528">
        <v>5.5267330000000003E-2</v>
      </c>
      <c r="V3528">
        <v>2.666945E-4</v>
      </c>
      <c r="W3528">
        <v>0.17424200000000001</v>
      </c>
      <c r="X3528">
        <v>0.98470279999999999</v>
      </c>
      <c r="Y3528">
        <v>1.7956369999999999E-2</v>
      </c>
      <c r="Z3528">
        <v>3.7800989999999999E-4</v>
      </c>
      <c r="AA3528">
        <v>0.99983869999999997</v>
      </c>
      <c r="AB3528">
        <v>31</v>
      </c>
      <c r="AC3528">
        <v>-38.258600000000001</v>
      </c>
      <c r="AD3528">
        <v>-1.1214250088080999</v>
      </c>
      <c r="AE3528">
        <v>0.69759999999996503</v>
      </c>
      <c r="AF3528">
        <v>0.69225091956804197</v>
      </c>
      <c r="AG3528">
        <v>-1.1214250088080999</v>
      </c>
      <c r="AH3528">
        <v>38.225854561862199</v>
      </c>
      <c r="AI3528">
        <v>91.680118675587707</v>
      </c>
      <c r="AJ3528">
        <v>88.962515776836497</v>
      </c>
      <c r="AK3528">
        <v>38.248565494285799</v>
      </c>
      <c r="AL3528">
        <v>79.965449526708099</v>
      </c>
      <c r="AM3528">
        <v>89.984482151471695</v>
      </c>
      <c r="AN3528">
        <v>0.99999997500889704</v>
      </c>
    </row>
    <row r="3529" spans="1:40" x14ac:dyDescent="0.25">
      <c r="A3529" t="str">
        <f>"20190303161943401"</f>
        <v>20190303161943401</v>
      </c>
      <c r="B3529" t="str">
        <f>"1551601183385738"</f>
        <v>1551601183385738</v>
      </c>
      <c r="C3529" t="s">
        <v>40</v>
      </c>
      <c r="D3529">
        <v>4.6853249999999997</v>
      </c>
      <c r="E3529">
        <v>0.50514389999999998</v>
      </c>
      <c r="F3529" t="s">
        <v>52</v>
      </c>
      <c r="G3529">
        <v>-385.17849999999999</v>
      </c>
      <c r="H3529" s="1">
        <v>1.218942E-6</v>
      </c>
      <c r="I3529">
        <v>284.49110000000002</v>
      </c>
      <c r="J3529">
        <v>-346.66449999999998</v>
      </c>
      <c r="K3529">
        <v>1.1214230000000001</v>
      </c>
      <c r="L3529">
        <v>283.89580000000001</v>
      </c>
      <c r="M3529">
        <v>-0.99991249999999998</v>
      </c>
      <c r="N3529">
        <v>-1.324032E-2</v>
      </c>
      <c r="O3529">
        <v>1.063687E-4</v>
      </c>
      <c r="P3529">
        <v>-0.98691450000000003</v>
      </c>
      <c r="Q3529">
        <v>0.16124479999999999</v>
      </c>
      <c r="R3529">
        <v>3.0495229999999998E-4</v>
      </c>
      <c r="S3529">
        <v>-3.0541990000000001</v>
      </c>
      <c r="T3529">
        <v>-8.8533399999999998E-2</v>
      </c>
      <c r="U3529">
        <v>4.6997070000000002E-2</v>
      </c>
      <c r="V3529">
        <v>1.9520639999999999E-4</v>
      </c>
      <c r="W3529">
        <v>0.17429739999999999</v>
      </c>
      <c r="X3529">
        <v>0.98469309999999999</v>
      </c>
      <c r="Y3529">
        <v>1.527018E-2</v>
      </c>
      <c r="Z3529">
        <v>3.2071999999999998E-4</v>
      </c>
      <c r="AA3529">
        <v>0.99988339999999998</v>
      </c>
      <c r="AB3529">
        <v>31</v>
      </c>
      <c r="AC3529">
        <v>-38.514000000000003</v>
      </c>
      <c r="AD3529">
        <v>-1.1214217810580001</v>
      </c>
      <c r="AE3529">
        <v>0.59530000000000804</v>
      </c>
      <c r="AF3529">
        <v>0.59070226785909996</v>
      </c>
      <c r="AG3529">
        <v>-1.1214217810580001</v>
      </c>
      <c r="AH3529">
        <v>38.481445782670498</v>
      </c>
      <c r="AI3529">
        <v>91.669037946866894</v>
      </c>
      <c r="AJ3529">
        <v>89.120560875994002</v>
      </c>
      <c r="AK3529">
        <v>38.502314027924299</v>
      </c>
      <c r="AL3529">
        <v>79.962226890986898</v>
      </c>
      <c r="AM3529">
        <v>89.988641635949804</v>
      </c>
      <c r="AN3529">
        <v>1.00000006146995</v>
      </c>
    </row>
    <row r="3530" spans="1:40" x14ac:dyDescent="0.25">
      <c r="A3530" t="str">
        <f>"20190303161943414"</f>
        <v>20190303161943414</v>
      </c>
      <c r="B3530" t="str">
        <f>"1551601183406233"</f>
        <v>1551601183406233</v>
      </c>
      <c r="C3530" t="s">
        <v>40</v>
      </c>
      <c r="D3530">
        <v>4.8978679999999999</v>
      </c>
      <c r="E3530">
        <v>0.50447889999999995</v>
      </c>
      <c r="F3530" t="s">
        <v>52</v>
      </c>
      <c r="G3530">
        <v>-384.76330000000002</v>
      </c>
      <c r="H3530" s="1">
        <v>9.9802409999999998E-7</v>
      </c>
      <c r="I3530">
        <v>284.40890000000002</v>
      </c>
      <c r="J3530">
        <v>-346.84109999999998</v>
      </c>
      <c r="K3530">
        <v>1.1214249999999999</v>
      </c>
      <c r="L3530">
        <v>283.89580000000001</v>
      </c>
      <c r="M3530">
        <v>-0.99991249999999998</v>
      </c>
      <c r="N3530">
        <v>-1.3241960000000001E-2</v>
      </c>
      <c r="O3530" s="1">
        <v>8.8179949999999996E-5</v>
      </c>
      <c r="P3530">
        <v>-0.98689789999999999</v>
      </c>
      <c r="Q3530">
        <v>0.16134760000000001</v>
      </c>
      <c r="R3530">
        <v>2.222848E-4</v>
      </c>
      <c r="S3530">
        <v>-3.0544129999999998</v>
      </c>
      <c r="T3530">
        <v>-8.9905260000000001E-2</v>
      </c>
      <c r="U3530">
        <v>4.1137699999999902E-2</v>
      </c>
      <c r="V3530">
        <v>1.3062539999999999E-4</v>
      </c>
      <c r="W3530">
        <v>0.1744021</v>
      </c>
      <c r="X3530">
        <v>0.98467450000000001</v>
      </c>
      <c r="Y3530">
        <v>1.33705E-2</v>
      </c>
      <c r="Z3530">
        <v>2.838599E-4</v>
      </c>
      <c r="AA3530">
        <v>0.99991059999999998</v>
      </c>
      <c r="AB3530">
        <v>31</v>
      </c>
      <c r="AC3530">
        <v>-37.922199999999997</v>
      </c>
      <c r="AD3530">
        <v>-1.1214240019759001</v>
      </c>
      <c r="AE3530">
        <v>0.51310000000000799</v>
      </c>
      <c r="AF3530">
        <v>0.50931042460092302</v>
      </c>
      <c r="AG3530">
        <v>-1.1214240019759001</v>
      </c>
      <c r="AH3530">
        <v>37.889117679743698</v>
      </c>
      <c r="AI3530">
        <v>91.695165127602806</v>
      </c>
      <c r="AJ3530">
        <v>89.229869097807196</v>
      </c>
      <c r="AK3530">
        <v>37.909131188280703</v>
      </c>
      <c r="AL3530">
        <v>79.956133991431003</v>
      </c>
      <c r="AM3530">
        <v>89.992399230331102</v>
      </c>
      <c r="AN3530">
        <v>0.99999999024882702</v>
      </c>
    </row>
    <row r="3531" spans="1:40" x14ac:dyDescent="0.25">
      <c r="A3531" t="str">
        <f>"20190303161943427"</f>
        <v>20190303161943427</v>
      </c>
      <c r="B3531" t="str">
        <f>"1551601183415993"</f>
        <v>1551601183415993</v>
      </c>
      <c r="C3531" t="s">
        <v>40</v>
      </c>
      <c r="D3531">
        <v>4.7249530000000002</v>
      </c>
      <c r="E3531">
        <v>0.50416510000000003</v>
      </c>
      <c r="F3531" t="s">
        <v>52</v>
      </c>
      <c r="G3531">
        <v>-384.62209999999999</v>
      </c>
      <c r="H3531" s="1">
        <v>9.2286969999999998E-7</v>
      </c>
      <c r="I3531">
        <v>284.3347</v>
      </c>
      <c r="J3531">
        <v>-347.02530000000002</v>
      </c>
      <c r="K3531">
        <v>1.1214280000000001</v>
      </c>
      <c r="L3531">
        <v>283.89580000000001</v>
      </c>
      <c r="M3531">
        <v>-0.99991229999999998</v>
      </c>
      <c r="N3531">
        <v>-1.3243329999999999E-2</v>
      </c>
      <c r="O3531" s="1">
        <v>6.9277059999999998E-5</v>
      </c>
      <c r="P3531">
        <v>-0.98689470000000001</v>
      </c>
      <c r="Q3531">
        <v>0.16136519999999999</v>
      </c>
      <c r="R3531">
        <v>5.4278740000000001E-4</v>
      </c>
      <c r="S3531">
        <v>-3.0546880000000001</v>
      </c>
      <c r="T3531">
        <v>-9.066987E-2</v>
      </c>
      <c r="U3531">
        <v>3.549194E-2</v>
      </c>
      <c r="V3531">
        <v>4.698231E-4</v>
      </c>
      <c r="W3531">
        <v>0.17442089999999999</v>
      </c>
      <c r="X3531">
        <v>0.98467110000000002</v>
      </c>
      <c r="Y3531">
        <v>1.154144E-2</v>
      </c>
      <c r="Z3531">
        <v>2.465597E-4</v>
      </c>
      <c r="AA3531">
        <v>0.99993339999999997</v>
      </c>
      <c r="AB3531">
        <v>31</v>
      </c>
      <c r="AC3531">
        <v>-37.596799999999902</v>
      </c>
      <c r="AD3531">
        <v>-1.1214270771303001</v>
      </c>
      <c r="AE3531">
        <v>0.43889999999998902</v>
      </c>
      <c r="AF3531">
        <v>0.43590740369631298</v>
      </c>
      <c r="AG3531">
        <v>-1.1214270771303001</v>
      </c>
      <c r="AH3531">
        <v>37.563414953973201</v>
      </c>
      <c r="AI3531">
        <v>91.709898786222297</v>
      </c>
      <c r="AJ3531">
        <v>89.335136768405206</v>
      </c>
      <c r="AK3531">
        <v>37.582678948663201</v>
      </c>
      <c r="AL3531">
        <v>79.955040397724503</v>
      </c>
      <c r="AM3531">
        <v>89.972662060758196</v>
      </c>
      <c r="AN3531">
        <v>1.0000000231328801</v>
      </c>
    </row>
    <row r="3532" spans="1:40" x14ac:dyDescent="0.25">
      <c r="A3532" t="str">
        <f>"20190303161943440"</f>
        <v>20190303161943440</v>
      </c>
      <c r="B3532" t="str">
        <f>"1551601183425753"</f>
        <v>1551601183425753</v>
      </c>
      <c r="C3532" t="s">
        <v>40</v>
      </c>
      <c r="D3532">
        <v>4.7115609999999997</v>
      </c>
      <c r="E3532">
        <v>0.50393350000000003</v>
      </c>
      <c r="F3532" t="s">
        <v>52</v>
      </c>
      <c r="G3532">
        <v>-385.40629999999999</v>
      </c>
      <c r="H3532" s="1">
        <v>1.3401929999999999E-6</v>
      </c>
      <c r="I3532">
        <v>284.32139999999998</v>
      </c>
      <c r="J3532">
        <v>-347.21140000000003</v>
      </c>
      <c r="K3532">
        <v>1.121434</v>
      </c>
      <c r="L3532">
        <v>283.89580000000001</v>
      </c>
      <c r="M3532">
        <v>-0.99991229999999998</v>
      </c>
      <c r="N3532">
        <v>-1.3244199999999999E-2</v>
      </c>
      <c r="O3532" s="1">
        <v>5.0374599999999997E-5</v>
      </c>
      <c r="P3532">
        <v>-0.98689970000000005</v>
      </c>
      <c r="Q3532">
        <v>0.1613357</v>
      </c>
      <c r="R3532">
        <v>2.3326369999999999E-4</v>
      </c>
      <c r="S3532">
        <v>-3.0544129999999998</v>
      </c>
      <c r="T3532">
        <v>-8.9244480000000001E-2</v>
      </c>
      <c r="U3532">
        <v>3.3874509999999997E-2</v>
      </c>
      <c r="V3532">
        <v>1.787391E-4</v>
      </c>
      <c r="W3532">
        <v>0.17439270000000001</v>
      </c>
      <c r="X3532">
        <v>0.9846762</v>
      </c>
      <c r="Y3532">
        <v>1.1032459999999999E-2</v>
      </c>
      <c r="Z3532">
        <v>2.3341679999999999E-4</v>
      </c>
      <c r="AA3532">
        <v>0.99993909999999997</v>
      </c>
      <c r="AB3532">
        <v>31</v>
      </c>
      <c r="AC3532">
        <v>-38.194899999999897</v>
      </c>
      <c r="AD3532">
        <v>-1.1214326598069999</v>
      </c>
      <c r="AE3532">
        <v>0.425599999999974</v>
      </c>
      <c r="AF3532">
        <v>0.42331090535652399</v>
      </c>
      <c r="AG3532">
        <v>-1.1214326598069999</v>
      </c>
      <c r="AH3532">
        <v>38.162027659499401</v>
      </c>
      <c r="AI3532">
        <v>91.683110872013401</v>
      </c>
      <c r="AJ3532">
        <v>89.364474712089702</v>
      </c>
      <c r="AK3532">
        <v>38.180848057860999</v>
      </c>
      <c r="AL3532">
        <v>79.956681380519896</v>
      </c>
      <c r="AM3532">
        <v>89.989599630871993</v>
      </c>
      <c r="AN3532">
        <v>1.0000000323036899</v>
      </c>
    </row>
    <row r="3533" spans="1:40" x14ac:dyDescent="0.25">
      <c r="A3533" t="str">
        <f>"20190303161943456"</f>
        <v>20190303161943456</v>
      </c>
      <c r="B3533" t="str">
        <f>"1551601183446249"</f>
        <v>1551601183446249</v>
      </c>
      <c r="C3533" t="s">
        <v>40</v>
      </c>
      <c r="D3533">
        <v>4.744586</v>
      </c>
      <c r="E3533">
        <v>0.50362029999999902</v>
      </c>
      <c r="F3533" t="s">
        <v>52</v>
      </c>
      <c r="G3533">
        <v>-386.20440000000002</v>
      </c>
      <c r="H3533" s="1">
        <v>1.7648640000000001E-6</v>
      </c>
      <c r="I3533">
        <v>284.29629999999997</v>
      </c>
      <c r="J3533">
        <v>-347.41449999999998</v>
      </c>
      <c r="K3533">
        <v>1.1214309999999901</v>
      </c>
      <c r="L3533">
        <v>283.89569999999998</v>
      </c>
      <c r="M3533">
        <v>-0.99991229999999998</v>
      </c>
      <c r="N3533">
        <v>-1.324476E-2</v>
      </c>
      <c r="O3533" s="1">
        <v>2.9511660000000001E-5</v>
      </c>
      <c r="P3533">
        <v>-0.98684479999999997</v>
      </c>
      <c r="Q3533">
        <v>0.1616707</v>
      </c>
      <c r="R3533" s="1">
        <v>-9.8022170000000003E-5</v>
      </c>
      <c r="S3533">
        <v>-3.0541689999999999</v>
      </c>
      <c r="T3533">
        <v>-8.7837460000000006E-2</v>
      </c>
      <c r="U3533">
        <v>3.1372070000000002E-2</v>
      </c>
      <c r="V3533">
        <v>-1.3175789999999999E-4</v>
      </c>
      <c r="W3533">
        <v>0.17472699999999999</v>
      </c>
      <c r="X3533">
        <v>0.98461690000000002</v>
      </c>
      <c r="Y3533">
        <v>1.0235650000000001E-2</v>
      </c>
      <c r="Z3533">
        <v>2.1450559999999999E-4</v>
      </c>
      <c r="AA3533">
        <v>0.99994760000000005</v>
      </c>
      <c r="AB3533">
        <v>31</v>
      </c>
      <c r="AC3533">
        <v>-38.789900000000003</v>
      </c>
      <c r="AD3533">
        <v>-1.12142923513599</v>
      </c>
      <c r="AE3533">
        <v>0.40059999999999701</v>
      </c>
      <c r="AF3533">
        <v>0.39912159171197498</v>
      </c>
      <c r="AG3533">
        <v>-1.12142923513599</v>
      </c>
      <c r="AH3533">
        <v>38.757521421844999</v>
      </c>
      <c r="AI3533">
        <v>91.657274098372596</v>
      </c>
      <c r="AJ3533">
        <v>89.409993890999004</v>
      </c>
      <c r="AK3533">
        <v>38.775796166412398</v>
      </c>
      <c r="AL3533">
        <v>79.9372283153658</v>
      </c>
      <c r="AM3533">
        <v>90.007667115547605</v>
      </c>
      <c r="AN3533">
        <v>0.99999999082737701</v>
      </c>
    </row>
    <row r="3534" spans="1:40" x14ac:dyDescent="0.25">
      <c r="A3534" t="str">
        <f>"20190303161943468"</f>
        <v>20190303161943468</v>
      </c>
      <c r="B3534" t="str">
        <f>"1551601183456985"</f>
        <v>1551601183456985</v>
      </c>
      <c r="C3534" t="s">
        <v>40</v>
      </c>
      <c r="D3534">
        <v>5.0167739999999998</v>
      </c>
      <c r="E3534">
        <v>0.50354480000000001</v>
      </c>
      <c r="F3534" t="s">
        <v>52</v>
      </c>
      <c r="G3534">
        <v>-388.262</v>
      </c>
      <c r="H3534" s="1">
        <v>2.8598429999999998E-6</v>
      </c>
      <c r="I3534">
        <v>284.2672</v>
      </c>
      <c r="J3534">
        <v>-347.59</v>
      </c>
      <c r="K3534">
        <v>1.121434</v>
      </c>
      <c r="L3534">
        <v>283.89569999999998</v>
      </c>
      <c r="M3534">
        <v>-0.99991229999999998</v>
      </c>
      <c r="N3534">
        <v>-1.324502E-2</v>
      </c>
      <c r="O3534" s="1">
        <v>1.1273809999999999E-5</v>
      </c>
      <c r="P3534">
        <v>-0.98682139999999996</v>
      </c>
      <c r="Q3534">
        <v>0.16181209999999999</v>
      </c>
      <c r="R3534">
        <v>-3.254563E-4</v>
      </c>
      <c r="S3534">
        <v>-3.0537719999999999</v>
      </c>
      <c r="T3534">
        <v>-8.3838220000000005E-2</v>
      </c>
      <c r="U3534">
        <v>2.7771000000000001E-2</v>
      </c>
      <c r="V3534">
        <v>-3.416165E-4</v>
      </c>
      <c r="W3534">
        <v>0.17486879999999999</v>
      </c>
      <c r="X3534">
        <v>0.98459169999999996</v>
      </c>
      <c r="Y3534">
        <v>9.0772769999999999E-3</v>
      </c>
      <c r="Z3534">
        <v>1.8455260000000001E-4</v>
      </c>
      <c r="AA3534">
        <v>0.99995880000000004</v>
      </c>
      <c r="AB3534">
        <v>31</v>
      </c>
      <c r="AC3534">
        <v>-40.671999999999898</v>
      </c>
      <c r="AD3534">
        <v>-1.1214311401570001</v>
      </c>
      <c r="AE3534">
        <v>0.37150000000002498</v>
      </c>
      <c r="AF3534">
        <v>0.37075958636777201</v>
      </c>
      <c r="AG3534">
        <v>-1.1214311401570001</v>
      </c>
      <c r="AH3534">
        <v>40.641109521092503</v>
      </c>
      <c r="AI3534">
        <v>91.580525248549705</v>
      </c>
      <c r="AJ3534">
        <v>89.477318152045598</v>
      </c>
      <c r="AK3534">
        <v>40.658269190638599</v>
      </c>
      <c r="AL3534">
        <v>79.928976979241398</v>
      </c>
      <c r="AM3534">
        <v>90.019879492054002</v>
      </c>
      <c r="AN3534">
        <v>1.00000001481208</v>
      </c>
    </row>
    <row r="3535" spans="1:40" x14ac:dyDescent="0.25">
      <c r="A3535" t="str">
        <f>"20190303161943480"</f>
        <v>20190303161943480</v>
      </c>
      <c r="B3535" t="str">
        <f>"1551601183465770"</f>
        <v>1551601183465770</v>
      </c>
      <c r="C3535" t="s">
        <v>40</v>
      </c>
      <c r="D3535">
        <v>4.9571589999999999</v>
      </c>
      <c r="E3535">
        <v>0.50346899999999895</v>
      </c>
      <c r="F3535" t="s">
        <v>52</v>
      </c>
      <c r="G3535">
        <v>-389.315</v>
      </c>
      <c r="H3535" s="1">
        <v>3.4201730000000002E-6</v>
      </c>
      <c r="I3535">
        <v>284.25639999999999</v>
      </c>
      <c r="J3535">
        <v>-347.7627</v>
      </c>
      <c r="K3535">
        <v>1.1214390000000001</v>
      </c>
      <c r="L3535">
        <v>283.89569999999998</v>
      </c>
      <c r="M3535">
        <v>-0.99991229999999998</v>
      </c>
      <c r="N3535">
        <v>-1.324498E-2</v>
      </c>
      <c r="O3535" s="1">
        <v>-6.4279340000000004E-6</v>
      </c>
      <c r="P3535">
        <v>-0.986842</v>
      </c>
      <c r="Q3535">
        <v>0.1616882</v>
      </c>
      <c r="R3535">
        <v>-2.9474960000000001E-4</v>
      </c>
      <c r="S3535">
        <v>-3.0534970000000001</v>
      </c>
      <c r="T3535">
        <v>-8.2068089999999996E-2</v>
      </c>
      <c r="U3535">
        <v>2.6397710000000001E-2</v>
      </c>
      <c r="V3535">
        <v>-2.9326560000000001E-4</v>
      </c>
      <c r="W3535">
        <v>0.17474479999999901</v>
      </c>
      <c r="X3535">
        <v>0.98461370000000004</v>
      </c>
      <c r="Y3535">
        <v>8.6465150000000005E-3</v>
      </c>
      <c r="Z3535">
        <v>1.73540099999999E-4</v>
      </c>
      <c r="AA3535">
        <v>0.99996260000000003</v>
      </c>
      <c r="AB3535">
        <v>31</v>
      </c>
      <c r="AC3535">
        <v>-41.552300000000002</v>
      </c>
      <c r="AD3535">
        <v>-1.1214355798269999</v>
      </c>
      <c r="AE3535">
        <v>0.36070000000000801</v>
      </c>
      <c r="AF3535">
        <v>0.36070440846908902</v>
      </c>
      <c r="AG3535">
        <v>-1.1214355798269999</v>
      </c>
      <c r="AH3535">
        <v>41.5220560881965</v>
      </c>
      <c r="AI3535">
        <v>91.547020860367098</v>
      </c>
      <c r="AJ3535">
        <v>89.502280899511106</v>
      </c>
      <c r="AK3535">
        <v>41.538763429131201</v>
      </c>
      <c r="AL3535">
        <v>79.936192452530705</v>
      </c>
      <c r="AM3535">
        <v>90.017065454867705</v>
      </c>
      <c r="AN3535">
        <v>0.99999998467972095</v>
      </c>
    </row>
    <row r="3536" spans="1:40" x14ac:dyDescent="0.25">
      <c r="A3536" t="str">
        <f>"20190303161943494"</f>
        <v>20190303161943494</v>
      </c>
      <c r="B3536" t="str">
        <f>"1551601183486265"</f>
        <v>1551601183486265</v>
      </c>
      <c r="C3536" t="s">
        <v>40</v>
      </c>
      <c r="D3536">
        <v>4.7378330000000002</v>
      </c>
      <c r="E3536">
        <v>0.50326510000000002</v>
      </c>
      <c r="F3536" t="s">
        <v>52</v>
      </c>
      <c r="G3536">
        <v>-389.34629999999999</v>
      </c>
      <c r="H3536" s="1">
        <v>3.4368389999999999E-6</v>
      </c>
      <c r="I3536">
        <v>284.24900000000002</v>
      </c>
      <c r="J3536">
        <v>-347.93709999999999</v>
      </c>
      <c r="K3536">
        <v>1.12144</v>
      </c>
      <c r="L3536">
        <v>283.89569999999998</v>
      </c>
      <c r="M3536">
        <v>-0.99991229999999998</v>
      </c>
      <c r="N3536">
        <v>-1.324473E-2</v>
      </c>
      <c r="O3536" s="1">
        <v>-2.43071E-5</v>
      </c>
      <c r="P3536">
        <v>-0.98671359999999997</v>
      </c>
      <c r="Q3536">
        <v>0.16246759999999999</v>
      </c>
      <c r="R3536">
        <v>-7.8576519999999997E-4</v>
      </c>
      <c r="S3536">
        <v>-3.0534669999999999</v>
      </c>
      <c r="T3536">
        <v>-8.2346559999999999E-2</v>
      </c>
      <c r="U3536">
        <v>2.5939940000000002E-2</v>
      </c>
      <c r="V3536">
        <v>-7.6688380000000005E-4</v>
      </c>
      <c r="W3536">
        <v>0.17552229999999999</v>
      </c>
      <c r="X3536">
        <v>0.98447510000000005</v>
      </c>
      <c r="Y3536">
        <v>8.5146279999999998E-3</v>
      </c>
      <c r="Z3536">
        <v>1.715284E-4</v>
      </c>
      <c r="AA3536">
        <v>0.99996379999999996</v>
      </c>
      <c r="AB3536">
        <v>31</v>
      </c>
      <c r="AC3536">
        <v>-41.409199999999998</v>
      </c>
      <c r="AD3536">
        <v>-1.1214365631609999</v>
      </c>
      <c r="AE3536">
        <v>0.35330000000004702</v>
      </c>
      <c r="AF3536">
        <v>0.35404697771798399</v>
      </c>
      <c r="AG3536">
        <v>-1.1214365631609999</v>
      </c>
      <c r="AH3536">
        <v>41.378845326357997</v>
      </c>
      <c r="AI3536">
        <v>91.552375541521698</v>
      </c>
      <c r="AJ3536">
        <v>89.509776012135006</v>
      </c>
      <c r="AK3536">
        <v>41.395553019258998</v>
      </c>
      <c r="AL3536">
        <v>79.890945265547302</v>
      </c>
      <c r="AM3536">
        <v>90.044632105199398</v>
      </c>
      <c r="AN3536">
        <v>0.99999994421402905</v>
      </c>
    </row>
    <row r="3537" spans="1:40" x14ac:dyDescent="0.25">
      <c r="A3537" t="str">
        <f>"20190303161943507"</f>
        <v>20190303161943507</v>
      </c>
      <c r="B3537" t="str">
        <f>"1551601183496025"</f>
        <v>1551601183496025</v>
      </c>
      <c r="C3537" t="s">
        <v>40</v>
      </c>
      <c r="D3537">
        <v>4.7465669999999998</v>
      </c>
      <c r="E3537">
        <v>0.50317089999999998</v>
      </c>
      <c r="F3537" t="s">
        <v>52</v>
      </c>
      <c r="G3537">
        <v>-391.57299999999998</v>
      </c>
      <c r="H3537" s="1">
        <v>-6.9971149999999899E-7</v>
      </c>
      <c r="I3537">
        <v>284.21800000000002</v>
      </c>
      <c r="J3537">
        <v>-348.1216</v>
      </c>
      <c r="K3537">
        <v>1.121437</v>
      </c>
      <c r="L3537">
        <v>283.89569999999998</v>
      </c>
      <c r="M3537">
        <v>-0.99991229999999998</v>
      </c>
      <c r="N3537">
        <v>-1.324431E-2</v>
      </c>
      <c r="O3537" s="1">
        <v>-4.2960490000000002E-5</v>
      </c>
      <c r="P3537">
        <v>-0.9867184</v>
      </c>
      <c r="Q3537">
        <v>0.16243949999999999</v>
      </c>
      <c r="R3537">
        <v>-7.1620850000000003E-4</v>
      </c>
      <c r="S3537">
        <v>-3.053375</v>
      </c>
      <c r="T3537">
        <v>-7.8471540000000006E-2</v>
      </c>
      <c r="U3537">
        <v>2.2552490000000001E-2</v>
      </c>
      <c r="V3537">
        <v>-6.7863369999999904E-4</v>
      </c>
      <c r="W3537">
        <v>0.1754936</v>
      </c>
      <c r="X3537">
        <v>0.98448029999999997</v>
      </c>
      <c r="Y3537">
        <v>7.4251279999999996E-3</v>
      </c>
      <c r="Z3537">
        <v>1.4511600000000001E-4</v>
      </c>
      <c r="AA3537">
        <v>0.99997239999999998</v>
      </c>
      <c r="AB3537">
        <v>31</v>
      </c>
      <c r="AC3537">
        <v>-43.4514</v>
      </c>
      <c r="AD3537">
        <v>-1.1214376997114901</v>
      </c>
      <c r="AE3537">
        <v>0.322300000000041</v>
      </c>
      <c r="AF3537">
        <v>0.32395108326387201</v>
      </c>
      <c r="AG3537">
        <v>-1.1214376997114901</v>
      </c>
      <c r="AH3537">
        <v>43.422463779420802</v>
      </c>
      <c r="AI3537">
        <v>91.479362865770995</v>
      </c>
      <c r="AJ3537">
        <v>89.572555680234302</v>
      </c>
      <c r="AK3537">
        <v>43.438150599372797</v>
      </c>
      <c r="AL3537">
        <v>79.892615769287204</v>
      </c>
      <c r="AM3537">
        <v>90.039495803711404</v>
      </c>
      <c r="AN3537">
        <v>0.99999996263637303</v>
      </c>
    </row>
    <row r="3538" spans="1:40" x14ac:dyDescent="0.25">
      <c r="A3538" t="str">
        <f>"20190303161943523"</f>
        <v>20190303161943523</v>
      </c>
      <c r="B3538" t="str">
        <f>"1551601183516521"</f>
        <v>1551601183516521</v>
      </c>
      <c r="C3538" t="s">
        <v>40</v>
      </c>
      <c r="D3538">
        <v>4.6094759999999999</v>
      </c>
      <c r="E3538">
        <v>0.50299079999999996</v>
      </c>
      <c r="F3538" t="s">
        <v>52</v>
      </c>
      <c r="G3538">
        <v>-392.27940000000001</v>
      </c>
      <c r="H3538" s="1">
        <v>-3.2380290000000001E-7</v>
      </c>
      <c r="I3538">
        <v>284.20729999999998</v>
      </c>
      <c r="J3538">
        <v>-348.33819999999997</v>
      </c>
      <c r="K3538">
        <v>1.1214409999999999</v>
      </c>
      <c r="L3538">
        <v>283.8956</v>
      </c>
      <c r="M3538">
        <v>-0.99991240000000003</v>
      </c>
      <c r="N3538">
        <v>-1.324354E-2</v>
      </c>
      <c r="O3538" s="1">
        <v>-6.5011609999999993E-5</v>
      </c>
      <c r="P3538">
        <v>-0.9868325</v>
      </c>
      <c r="Q3538">
        <v>0.16174740000000001</v>
      </c>
      <c r="R3538">
        <v>-3.6638650000000002E-4</v>
      </c>
      <c r="S3538">
        <v>-3.0531920000000001</v>
      </c>
      <c r="T3538">
        <v>-7.7539209999999997E-2</v>
      </c>
      <c r="U3538">
        <v>2.1545410000000001E-2</v>
      </c>
      <c r="V3538">
        <v>-3.0687800000000001E-4</v>
      </c>
      <c r="W3538">
        <v>0.17480209999999999</v>
      </c>
      <c r="X3538">
        <v>0.98460349999999996</v>
      </c>
      <c r="Y3538">
        <v>7.1180269999999999E-3</v>
      </c>
      <c r="Z3538">
        <v>1.383074E-4</v>
      </c>
      <c r="AA3538">
        <v>0.99997469999999999</v>
      </c>
      <c r="AB3538">
        <v>31</v>
      </c>
      <c r="AC3538">
        <v>-43.941200000000002</v>
      </c>
      <c r="AD3538">
        <v>-1.1214413238029</v>
      </c>
      <c r="AE3538">
        <v>0.311699999999973</v>
      </c>
      <c r="AF3538">
        <v>0.31435219717884499</v>
      </c>
      <c r="AG3538">
        <v>-1.1214413238029</v>
      </c>
      <c r="AH3538">
        <v>43.912578960121401</v>
      </c>
      <c r="AI3538">
        <v>91.462866631374297</v>
      </c>
      <c r="AJ3538">
        <v>89.5898499483839</v>
      </c>
      <c r="AK3538">
        <v>43.928021112673598</v>
      </c>
      <c r="AL3538">
        <v>79.932857835717201</v>
      </c>
      <c r="AM3538">
        <v>90.017857760668207</v>
      </c>
      <c r="AN3538">
        <v>0.99999996027538196</v>
      </c>
    </row>
    <row r="3539" spans="1:40" x14ac:dyDescent="0.25">
      <c r="A3539" t="str">
        <f>"20190303161943537"</f>
        <v>20190303161943537</v>
      </c>
      <c r="B3539" t="str">
        <f>"1551601183526281"</f>
        <v>1551601183526281</v>
      </c>
      <c r="C3539" t="s">
        <v>40</v>
      </c>
      <c r="D3539">
        <v>4.719811</v>
      </c>
      <c r="E3539">
        <v>0.50295920000000005</v>
      </c>
      <c r="F3539" t="s">
        <v>52</v>
      </c>
      <c r="G3539">
        <v>-392.20749999999998</v>
      </c>
      <c r="H3539" s="1">
        <v>-3.6208280000000002E-7</v>
      </c>
      <c r="I3539">
        <v>284.19380000000001</v>
      </c>
      <c r="J3539">
        <v>-348.5258</v>
      </c>
      <c r="K3539">
        <v>1.121443</v>
      </c>
      <c r="L3539">
        <v>283.8956</v>
      </c>
      <c r="M3539">
        <v>-0.99991229999999998</v>
      </c>
      <c r="N3539">
        <v>-1.324269E-2</v>
      </c>
      <c r="O3539" s="1">
        <v>-8.4433680000000003E-5</v>
      </c>
      <c r="P3539">
        <v>-0.98690029999999995</v>
      </c>
      <c r="Q3539">
        <v>0.1613327</v>
      </c>
      <c r="R3539">
        <v>-2.7947870000000002E-4</v>
      </c>
      <c r="S3539">
        <v>-3.0528559999999998</v>
      </c>
      <c r="T3539">
        <v>-7.8040960000000006E-2</v>
      </c>
      <c r="U3539">
        <v>2.0751950000000002E-2</v>
      </c>
      <c r="V3539">
        <v>-2.0078690000000001E-4</v>
      </c>
      <c r="W3539">
        <v>0.17438799999999999</v>
      </c>
      <c r="X3539">
        <v>0.98467700000000002</v>
      </c>
      <c r="Y3539">
        <v>6.8784179999999999E-3</v>
      </c>
      <c r="Z3539">
        <v>1.345001E-4</v>
      </c>
      <c r="AA3539">
        <v>0.99997630000000004</v>
      </c>
      <c r="AB3539">
        <v>31</v>
      </c>
      <c r="AC3539">
        <v>-43.6816999999999</v>
      </c>
      <c r="AD3539">
        <v>-1.1214433620827999</v>
      </c>
      <c r="AE3539">
        <v>0.29820000000000801</v>
      </c>
      <c r="AF3539">
        <v>0.30168969270226798</v>
      </c>
      <c r="AG3539">
        <v>-1.1214433620827999</v>
      </c>
      <c r="AH3539">
        <v>43.652904089855703</v>
      </c>
      <c r="AI3539">
        <v>91.471570099424298</v>
      </c>
      <c r="AJ3539">
        <v>89.604029301655999</v>
      </c>
      <c r="AK3539">
        <v>43.668348805092101</v>
      </c>
      <c r="AL3539">
        <v>79.956954580157202</v>
      </c>
      <c r="AM3539">
        <v>90.011683264453197</v>
      </c>
      <c r="AN3539">
        <v>1.0000000045941799</v>
      </c>
    </row>
    <row r="3540" spans="1:40" x14ac:dyDescent="0.25">
      <c r="A3540" t="str">
        <f>"20190303161943552"</f>
        <v>20190303161943552</v>
      </c>
      <c r="B3540" t="str">
        <f>"1551601183536042"</f>
        <v>1551601183536042</v>
      </c>
      <c r="C3540" t="s">
        <v>40</v>
      </c>
      <c r="D3540">
        <v>4.6779529999999996</v>
      </c>
      <c r="E3540">
        <v>0.50290500000000005</v>
      </c>
      <c r="F3540" t="s">
        <v>52</v>
      </c>
      <c r="G3540">
        <v>-391.97</v>
      </c>
      <c r="H3540" s="1">
        <v>-4.8843899999999997E-7</v>
      </c>
      <c r="I3540">
        <v>284.19529999999997</v>
      </c>
      <c r="J3540">
        <v>-348.73680000000002</v>
      </c>
      <c r="K3540">
        <v>1.1214409999999999</v>
      </c>
      <c r="L3540">
        <v>283.8956</v>
      </c>
      <c r="M3540">
        <v>-0.99991240000000003</v>
      </c>
      <c r="N3540">
        <v>-1.324148E-2</v>
      </c>
      <c r="O3540">
        <v>-1.0647470000000001E-4</v>
      </c>
      <c r="P3540">
        <v>-0.98688750000000003</v>
      </c>
      <c r="Q3540">
        <v>0.161411</v>
      </c>
      <c r="R3540" s="1">
        <v>-5.2335669999999999E-6</v>
      </c>
      <c r="S3540">
        <v>-3.052673</v>
      </c>
      <c r="T3540">
        <v>-7.8799960000000002E-2</v>
      </c>
      <c r="U3540">
        <v>2.105713E-2</v>
      </c>
      <c r="V3540" s="1">
        <v>9.5267389999999995E-5</v>
      </c>
      <c r="W3540">
        <v>0.17446500000000001</v>
      </c>
      <c r="X3540">
        <v>0.98466339999999997</v>
      </c>
      <c r="Y3540">
        <v>7.0007119999999897E-3</v>
      </c>
      <c r="Z3540">
        <v>1.380424E-4</v>
      </c>
      <c r="AA3540">
        <v>0.99997550000000002</v>
      </c>
      <c r="AB3540">
        <v>31</v>
      </c>
      <c r="AC3540">
        <v>-43.233199999999997</v>
      </c>
      <c r="AD3540">
        <v>-1.1214414884389901</v>
      </c>
      <c r="AE3540">
        <v>0.29969999999997299</v>
      </c>
      <c r="AF3540">
        <v>0.304099040244668</v>
      </c>
      <c r="AG3540">
        <v>-1.1214414884389901</v>
      </c>
      <c r="AH3540">
        <v>43.2040993457192</v>
      </c>
      <c r="AI3540">
        <v>91.486846156679206</v>
      </c>
      <c r="AJ3540">
        <v>89.596721049742698</v>
      </c>
      <c r="AK3540">
        <v>43.219721279909301</v>
      </c>
      <c r="AL3540">
        <v>79.952474361249003</v>
      </c>
      <c r="AM3540">
        <v>89.994456563171497</v>
      </c>
      <c r="AN3540">
        <v>1.00000002830021</v>
      </c>
    </row>
    <row r="3541" spans="1:40" x14ac:dyDescent="0.25">
      <c r="A3541" t="str">
        <f>"20190303161943570"</f>
        <v>20190303161943570</v>
      </c>
      <c r="B3541" t="str">
        <f>"1551601183556537"</f>
        <v>1551601183556537</v>
      </c>
      <c r="C3541" t="s">
        <v>40</v>
      </c>
      <c r="D3541">
        <v>4.6574070000000001</v>
      </c>
      <c r="E3541">
        <v>0.50285360000000001</v>
      </c>
      <c r="F3541" t="s">
        <v>52</v>
      </c>
      <c r="G3541">
        <v>-392.71980000000002</v>
      </c>
      <c r="H3541" s="1">
        <v>-8.9437659999999994E-8</v>
      </c>
      <c r="I3541">
        <v>284.2047</v>
      </c>
      <c r="J3541">
        <v>-348.95519999999999</v>
      </c>
      <c r="K3541">
        <v>1.121443</v>
      </c>
      <c r="L3541">
        <v>283.89550000000003</v>
      </c>
      <c r="M3541">
        <v>-0.99991240000000003</v>
      </c>
      <c r="N3541">
        <v>-1.323998E-2</v>
      </c>
      <c r="O3541">
        <v>-1.2923040000000001E-4</v>
      </c>
      <c r="P3541">
        <v>-0.98696490000000003</v>
      </c>
      <c r="Q3541">
        <v>0.16093560000000001</v>
      </c>
      <c r="R3541">
        <v>5.6461900000000004E-4</v>
      </c>
      <c r="S3541">
        <v>-3.0526119999999999</v>
      </c>
      <c r="T3541">
        <v>-7.7832940000000003E-2</v>
      </c>
      <c r="U3541">
        <v>2.1453860000000002E-2</v>
      </c>
      <c r="V3541">
        <v>6.8779679999999904E-4</v>
      </c>
      <c r="W3541">
        <v>0.17398939999999999</v>
      </c>
      <c r="X3541">
        <v>0.98474729999999999</v>
      </c>
      <c r="Y3541">
        <v>7.1535540000000003E-3</v>
      </c>
      <c r="Z3541">
        <v>1.4013599999999999E-4</v>
      </c>
      <c r="AA3541">
        <v>0.99997440000000004</v>
      </c>
      <c r="AB3541">
        <v>31</v>
      </c>
      <c r="AC3541">
        <v>-43.764600000000002</v>
      </c>
      <c r="AD3541">
        <v>-1.1214430894376599</v>
      </c>
      <c r="AE3541">
        <v>0.30919999999997499</v>
      </c>
      <c r="AF3541">
        <v>0.31464961734168401</v>
      </c>
      <c r="AG3541">
        <v>-1.1214430894376599</v>
      </c>
      <c r="AH3541">
        <v>43.735843644023902</v>
      </c>
      <c r="AI3541">
        <v>91.468777385176395</v>
      </c>
      <c r="AJ3541">
        <v>89.5878029878332</v>
      </c>
      <c r="AK3541">
        <v>43.751350359035101</v>
      </c>
      <c r="AL3541">
        <v>79.980147342031998</v>
      </c>
      <c r="AM3541">
        <v>89.959981766495304</v>
      </c>
      <c r="AN3541">
        <v>1.00000001461704</v>
      </c>
    </row>
    <row r="3542" spans="1:40" x14ac:dyDescent="0.25">
      <c r="A3542" t="str">
        <f>"20190303161943589"</f>
        <v>20190303161943589</v>
      </c>
      <c r="B3542" t="str">
        <f>"1551601183576057"</f>
        <v>1551601183576057</v>
      </c>
      <c r="C3542" t="s">
        <v>40</v>
      </c>
      <c r="D3542">
        <v>4.592841</v>
      </c>
      <c r="E3542">
        <v>0.5029247</v>
      </c>
      <c r="F3542" t="s">
        <v>52</v>
      </c>
      <c r="G3542">
        <v>-392.64400000000001</v>
      </c>
      <c r="H3542" s="1">
        <v>-1.297565E-7</v>
      </c>
      <c r="I3542">
        <v>284.2253</v>
      </c>
      <c r="J3542">
        <v>-349.24340000000001</v>
      </c>
      <c r="K3542">
        <v>1.1214459999999999</v>
      </c>
      <c r="L3542">
        <v>283.89550000000003</v>
      </c>
      <c r="M3542">
        <v>-0.99991240000000003</v>
      </c>
      <c r="N3542">
        <v>-1.323791E-2</v>
      </c>
      <c r="O3542">
        <v>-1.5854430000000001E-4</v>
      </c>
      <c r="P3542">
        <v>-0.98695109999999997</v>
      </c>
      <c r="Q3542">
        <v>0.16101799999999999</v>
      </c>
      <c r="R3542">
        <v>1.0317010000000001E-3</v>
      </c>
      <c r="S3542">
        <v>-3.0523989999999999</v>
      </c>
      <c r="T3542">
        <v>-7.8351619999999997E-2</v>
      </c>
      <c r="U3542">
        <v>2.3040769999999999E-2</v>
      </c>
      <c r="V3542">
        <v>1.1836069999999999E-3</v>
      </c>
      <c r="W3542">
        <v>0.17406869999999999</v>
      </c>
      <c r="X3542">
        <v>0.98473279999999996</v>
      </c>
      <c r="Y3542">
        <v>7.7028950000000004E-3</v>
      </c>
      <c r="Z3542">
        <v>1.5181559999999901E-4</v>
      </c>
      <c r="AA3542">
        <v>0.99997029999999998</v>
      </c>
      <c r="AB3542">
        <v>31</v>
      </c>
      <c r="AC3542">
        <v>-43.400599999999997</v>
      </c>
      <c r="AD3542">
        <v>-1.1214461297564999</v>
      </c>
      <c r="AE3542">
        <v>0.329799999999977</v>
      </c>
      <c r="AF3542">
        <v>0.33645688532611101</v>
      </c>
      <c r="AG3542">
        <v>-1.1214461297564999</v>
      </c>
      <c r="AH3542">
        <v>43.371590690487501</v>
      </c>
      <c r="AI3542">
        <v>91.481105107253597</v>
      </c>
      <c r="AJ3542">
        <v>89.555534567210302</v>
      </c>
      <c r="AK3542">
        <v>43.387391298403898</v>
      </c>
      <c r="AL3542">
        <v>79.975533235324207</v>
      </c>
      <c r="AM3542">
        <v>89.931132939773704</v>
      </c>
      <c r="AN3542">
        <v>1.00000000032053</v>
      </c>
    </row>
    <row r="3543" spans="1:40" x14ac:dyDescent="0.25">
      <c r="A3543" t="str">
        <f>"20190303161943602"</f>
        <v>20190303161943602</v>
      </c>
      <c r="B3543" t="str">
        <f>"1551601183596553"</f>
        <v>1551601183596553</v>
      </c>
      <c r="C3543" t="s">
        <v>40</v>
      </c>
      <c r="D3543">
        <v>4.5301679999999998</v>
      </c>
      <c r="E3543">
        <v>0.50315559999999904</v>
      </c>
      <c r="F3543" t="s">
        <v>52</v>
      </c>
      <c r="G3543">
        <v>-394.03750000000002</v>
      </c>
      <c r="H3543" s="1">
        <v>6.11792E-7</v>
      </c>
      <c r="I3543">
        <v>284.26049999999998</v>
      </c>
      <c r="J3543">
        <v>-349.42129999999997</v>
      </c>
      <c r="K3543">
        <v>1.121448</v>
      </c>
      <c r="L3543">
        <v>283.8954</v>
      </c>
      <c r="M3543">
        <v>-0.99991240000000003</v>
      </c>
      <c r="N3543">
        <v>-1.3236650000000001E-2</v>
      </c>
      <c r="O3543">
        <v>-1.7677479999999999E-4</v>
      </c>
      <c r="P3543">
        <v>-0.9869791</v>
      </c>
      <c r="Q3543">
        <v>0.1608444</v>
      </c>
      <c r="R3543">
        <v>1.178924E-3</v>
      </c>
      <c r="S3543">
        <v>-3.0521240000000001</v>
      </c>
      <c r="T3543">
        <v>-7.6411599999999996E-2</v>
      </c>
      <c r="U3543">
        <v>2.4871830000000001E-2</v>
      </c>
      <c r="V3543">
        <v>1.3487659999999999E-3</v>
      </c>
      <c r="W3543">
        <v>0.17389499999999999</v>
      </c>
      <c r="X3543">
        <v>0.98476330000000001</v>
      </c>
      <c r="Y3543">
        <v>8.3215379999999999E-3</v>
      </c>
      <c r="Z3543">
        <v>1.6132540000000001E-4</v>
      </c>
      <c r="AA3543">
        <v>0.9999654</v>
      </c>
      <c r="AB3543">
        <v>30</v>
      </c>
      <c r="AC3543">
        <v>-44.616199999999999</v>
      </c>
      <c r="AD3543">
        <v>-1.1214473882080001</v>
      </c>
      <c r="AE3543">
        <v>0.36509999999998399</v>
      </c>
      <c r="AF3543">
        <v>0.37275221966279298</v>
      </c>
      <c r="AG3543">
        <v>-1.1214473882080001</v>
      </c>
      <c r="AH3543">
        <v>44.587966417841798</v>
      </c>
      <c r="AI3543">
        <v>91.440711921989902</v>
      </c>
      <c r="AJ3543">
        <v>89.521022527177905</v>
      </c>
      <c r="AK3543">
        <v>44.603624715266903</v>
      </c>
      <c r="AL3543">
        <v>79.985639882177594</v>
      </c>
      <c r="AM3543">
        <v>89.921525760526904</v>
      </c>
      <c r="AN3543">
        <v>1.0000000236108</v>
      </c>
    </row>
    <row r="3544" spans="1:40" x14ac:dyDescent="0.25">
      <c r="A3544" t="str">
        <f>"20190303161943617"</f>
        <v>20190303161943617</v>
      </c>
      <c r="B3544" t="str">
        <f>"1551601183606313"</f>
        <v>1551601183606313</v>
      </c>
      <c r="C3544" t="s">
        <v>40</v>
      </c>
      <c r="D3544">
        <v>4.5000090000000004</v>
      </c>
      <c r="E3544">
        <v>0.50327630000000001</v>
      </c>
      <c r="F3544" t="s">
        <v>52</v>
      </c>
      <c r="G3544">
        <v>-394.94569999999999</v>
      </c>
      <c r="H3544" s="1">
        <v>1.0950539999999999E-6</v>
      </c>
      <c r="I3544">
        <v>284.2946</v>
      </c>
      <c r="J3544">
        <v>-349.60669999999999</v>
      </c>
      <c r="K3544">
        <v>1.1214500000000001</v>
      </c>
      <c r="L3544">
        <v>283.8954</v>
      </c>
      <c r="M3544">
        <v>-0.99991249999999998</v>
      </c>
      <c r="N3544">
        <v>-1.323532E-2</v>
      </c>
      <c r="O3544">
        <v>-1.9583959999999999E-4</v>
      </c>
      <c r="P3544">
        <v>-0.98700189999999999</v>
      </c>
      <c r="Q3544">
        <v>0.16070479999999901</v>
      </c>
      <c r="R3544">
        <v>1.2202510000000001E-3</v>
      </c>
      <c r="S3544">
        <v>-3.0517880000000002</v>
      </c>
      <c r="T3544">
        <v>-7.5177789999999994E-2</v>
      </c>
      <c r="U3544">
        <v>2.676392E-2</v>
      </c>
      <c r="V3544">
        <v>1.408847E-3</v>
      </c>
      <c r="W3544">
        <v>0.17375409999999999</v>
      </c>
      <c r="X3544">
        <v>0.98478810000000006</v>
      </c>
      <c r="Y3544">
        <v>8.9612319999999995E-3</v>
      </c>
      <c r="Z3544">
        <v>1.7190829999999999E-4</v>
      </c>
      <c r="AA3544">
        <v>0.99995979999999995</v>
      </c>
      <c r="AB3544">
        <v>30</v>
      </c>
      <c r="AC3544">
        <v>-45.338999999999999</v>
      </c>
      <c r="AD3544">
        <v>-1.1214489049459999</v>
      </c>
      <c r="AE3544">
        <v>0.39920000000000699</v>
      </c>
      <c r="AF3544">
        <v>0.40783044623003301</v>
      </c>
      <c r="AG3544">
        <v>-1.1214489049459999</v>
      </c>
      <c r="AH3544">
        <v>45.311201340623903</v>
      </c>
      <c r="AI3544">
        <v>91.417719489701994</v>
      </c>
      <c r="AJ3544">
        <v>89.4843144373678</v>
      </c>
      <c r="AK3544">
        <v>45.326911876387904</v>
      </c>
      <c r="AL3544">
        <v>79.993837790434696</v>
      </c>
      <c r="AM3544">
        <v>89.918032181734603</v>
      </c>
      <c r="AN3544">
        <v>1.00000003700914</v>
      </c>
    </row>
    <row r="3545" spans="1:40" x14ac:dyDescent="0.25">
      <c r="A3545" t="str">
        <f>"20190303161943634"</f>
        <v>20190303161943634</v>
      </c>
      <c r="B3545" t="str">
        <f>"1551601183625833"</f>
        <v>1551601183625833</v>
      </c>
      <c r="C3545" t="s">
        <v>40</v>
      </c>
      <c r="D3545">
        <v>4.45228</v>
      </c>
      <c r="E3545">
        <v>0.503444</v>
      </c>
      <c r="F3545" t="s">
        <v>52</v>
      </c>
      <c r="G3545">
        <v>-395.11099999999999</v>
      </c>
      <c r="H3545" s="1">
        <v>1.1830459999999999E-6</v>
      </c>
      <c r="I3545">
        <v>284.30939999999998</v>
      </c>
      <c r="J3545">
        <v>-349.84930000000003</v>
      </c>
      <c r="K3545">
        <v>1.121443</v>
      </c>
      <c r="L3545">
        <v>283.89530000000002</v>
      </c>
      <c r="M3545">
        <v>-0.99991249999999998</v>
      </c>
      <c r="N3545">
        <v>-1.323352E-2</v>
      </c>
      <c r="O3545">
        <v>-2.2074E-4</v>
      </c>
      <c r="P3545">
        <v>-0.98705609999999999</v>
      </c>
      <c r="Q3545">
        <v>0.16037270000000001</v>
      </c>
      <c r="R3545">
        <v>1.141062E-3</v>
      </c>
      <c r="S3545">
        <v>-3.0517270000000001</v>
      </c>
      <c r="T3545">
        <v>-7.5209499999999999E-2</v>
      </c>
      <c r="U3545">
        <v>2.7771000000000001E-2</v>
      </c>
      <c r="V3545">
        <v>1.354449E-3</v>
      </c>
      <c r="W3545">
        <v>0.17342109999999999</v>
      </c>
      <c r="X3545">
        <v>0.98484680000000002</v>
      </c>
      <c r="Y3545">
        <v>9.3161040000000004E-3</v>
      </c>
      <c r="Z3545">
        <v>1.7895629999999999E-4</v>
      </c>
      <c r="AA3545">
        <v>0.99995659999999997</v>
      </c>
      <c r="AB3545">
        <v>30</v>
      </c>
      <c r="AC3545">
        <v>-45.261699999999898</v>
      </c>
      <c r="AD3545">
        <v>-1.1214418169539999</v>
      </c>
      <c r="AE3545">
        <v>0.414099999999962</v>
      </c>
      <c r="AF3545">
        <v>0.42383176658770499</v>
      </c>
      <c r="AG3545">
        <v>-1.1214418169539999</v>
      </c>
      <c r="AH3545">
        <v>45.233841124728798</v>
      </c>
      <c r="AI3545">
        <v>91.420129337313895</v>
      </c>
      <c r="AJ3545">
        <v>89.463166066953207</v>
      </c>
      <c r="AK3545">
        <v>45.249725391568902</v>
      </c>
      <c r="AL3545">
        <v>80.013210689449707</v>
      </c>
      <c r="AM3545">
        <v>89.921201792666196</v>
      </c>
      <c r="AN3545">
        <v>0.99999996596377105</v>
      </c>
    </row>
    <row r="3546" spans="1:40" x14ac:dyDescent="0.25">
      <c r="A3546" t="str">
        <f>"20190303161943647"</f>
        <v>20190303161943647</v>
      </c>
      <c r="B3546" t="str">
        <f>"1551601183636569"</f>
        <v>1551601183636569</v>
      </c>
      <c r="C3546" t="s">
        <v>40</v>
      </c>
      <c r="D3546">
        <v>4.4294630000000002</v>
      </c>
      <c r="E3546">
        <v>0.50358389999999997</v>
      </c>
      <c r="F3546" t="s">
        <v>52</v>
      </c>
      <c r="G3546">
        <v>-395.23899999999998</v>
      </c>
      <c r="H3546" s="1">
        <v>1.251147E-6</v>
      </c>
      <c r="I3546">
        <v>284.32510000000002</v>
      </c>
      <c r="J3546">
        <v>-350.02870000000001</v>
      </c>
      <c r="K3546">
        <v>1.121442</v>
      </c>
      <c r="L3546">
        <v>283.89519999999999</v>
      </c>
      <c r="M3546">
        <v>-0.99991260000000004</v>
      </c>
      <c r="N3546">
        <v>-1.323214E-2</v>
      </c>
      <c r="O3546">
        <v>-2.394439E-4</v>
      </c>
      <c r="P3546">
        <v>-0.98704729999999996</v>
      </c>
      <c r="Q3546">
        <v>0.16042790000000001</v>
      </c>
      <c r="R3546">
        <v>1.0241689999999999E-3</v>
      </c>
      <c r="S3546">
        <v>-3.0515439999999998</v>
      </c>
      <c r="T3546">
        <v>-7.5394390000000006E-2</v>
      </c>
      <c r="U3546">
        <v>2.8900149999999999E-2</v>
      </c>
      <c r="V3546">
        <v>1.256023E-3</v>
      </c>
      <c r="W3546">
        <v>0.17347470000000001</v>
      </c>
      <c r="X3546">
        <v>0.98483750000000003</v>
      </c>
      <c r="Y3546">
        <v>9.7051289999999998E-3</v>
      </c>
      <c r="Z3546">
        <v>1.8684689999999999E-4</v>
      </c>
      <c r="AA3546">
        <v>0.99995290000000003</v>
      </c>
      <c r="AB3546">
        <v>30</v>
      </c>
      <c r="AC3546">
        <v>-45.210299999999997</v>
      </c>
      <c r="AD3546">
        <v>-1.121440748853</v>
      </c>
      <c r="AE3546">
        <v>0.42990000000003098</v>
      </c>
      <c r="AF3546">
        <v>0.440455282132655</v>
      </c>
      <c r="AG3546">
        <v>-1.121440748853</v>
      </c>
      <c r="AH3546">
        <v>45.182398119569903</v>
      </c>
      <c r="AI3546">
        <v>91.421739084502903</v>
      </c>
      <c r="AJ3546">
        <v>89.441476539124594</v>
      </c>
      <c r="AK3546">
        <v>45.198459376886497</v>
      </c>
      <c r="AL3546">
        <v>80.010092465279499</v>
      </c>
      <c r="AM3546">
        <v>89.926927256675896</v>
      </c>
      <c r="AN3546">
        <v>0.99999997527005802</v>
      </c>
    </row>
    <row r="3547" spans="1:40" x14ac:dyDescent="0.25">
      <c r="A3547" t="str">
        <f>"20190303161943659"</f>
        <v>20190303161943659</v>
      </c>
      <c r="B3547" t="str">
        <f>"1551601183646329"</f>
        <v>1551601183646329</v>
      </c>
      <c r="C3547" t="s">
        <v>40</v>
      </c>
      <c r="D3547">
        <v>4.3983049999999997</v>
      </c>
      <c r="E3547">
        <v>0.50369759999999997</v>
      </c>
      <c r="F3547" t="s">
        <v>52</v>
      </c>
      <c r="G3547">
        <v>-396.00020000000001</v>
      </c>
      <c r="H3547" s="1">
        <v>1.6562440000000001E-6</v>
      </c>
      <c r="I3547">
        <v>284.34629999999999</v>
      </c>
      <c r="J3547">
        <v>-350.21100000000001</v>
      </c>
      <c r="K3547">
        <v>1.121443</v>
      </c>
      <c r="L3547">
        <v>283.89519999999999</v>
      </c>
      <c r="M3547">
        <v>-0.99991240000000003</v>
      </c>
      <c r="N3547">
        <v>-1.323065E-2</v>
      </c>
      <c r="O3547">
        <v>-2.5779429999999999E-4</v>
      </c>
      <c r="P3547">
        <v>-0.98699930000000002</v>
      </c>
      <c r="Q3547">
        <v>0.16072059999999999</v>
      </c>
      <c r="R3547">
        <v>1.0938860000000001E-3</v>
      </c>
      <c r="S3547">
        <v>-3.0513919999999999</v>
      </c>
      <c r="T3547">
        <v>-7.4436429999999998E-2</v>
      </c>
      <c r="U3547">
        <v>2.9937740000000001E-2</v>
      </c>
      <c r="V3547">
        <v>1.343587E-3</v>
      </c>
      <c r="W3547">
        <v>0.17376539999999999</v>
      </c>
      <c r="X3547">
        <v>0.98478619999999994</v>
      </c>
      <c r="Y3547">
        <v>1.0063880000000001E-2</v>
      </c>
      <c r="Z3547">
        <v>1.922018E-4</v>
      </c>
      <c r="AA3547">
        <v>0.99994930000000004</v>
      </c>
      <c r="AB3547">
        <v>30</v>
      </c>
      <c r="AC3547">
        <v>-45.789200000000001</v>
      </c>
      <c r="AD3547">
        <v>-1.121441343756</v>
      </c>
      <c r="AE3547">
        <v>0.451099999999996</v>
      </c>
      <c r="AF3547">
        <v>0.462627743192493</v>
      </c>
      <c r="AG3547">
        <v>-1.121441343756</v>
      </c>
      <c r="AH3547">
        <v>45.761635712746802</v>
      </c>
      <c r="AI3547">
        <v>91.403746081257395</v>
      </c>
      <c r="AJ3547">
        <v>89.420787439051196</v>
      </c>
      <c r="AK3547">
        <v>45.777712461659704</v>
      </c>
      <c r="AL3547">
        <v>79.993180373231993</v>
      </c>
      <c r="AM3547">
        <v>89.921828903833998</v>
      </c>
      <c r="AN3547">
        <v>1.0000000395868101</v>
      </c>
    </row>
    <row r="3548" spans="1:40" x14ac:dyDescent="0.25">
      <c r="A3548" t="str">
        <f>"20190303161943673"</f>
        <v>20190303161943673</v>
      </c>
      <c r="B3548" t="str">
        <f>"1551601183665849"</f>
        <v>1551601183665849</v>
      </c>
      <c r="C3548" t="s">
        <v>40</v>
      </c>
      <c r="D3548">
        <v>4.3514559999999998</v>
      </c>
      <c r="E3548">
        <v>0.5039922</v>
      </c>
      <c r="F3548" t="s">
        <v>52</v>
      </c>
      <c r="G3548">
        <v>-397.05079999999998</v>
      </c>
      <c r="H3548" s="1">
        <v>2.2153230000000002E-6</v>
      </c>
      <c r="I3548">
        <v>284.37299999999999</v>
      </c>
      <c r="J3548">
        <v>-350.38159999999999</v>
      </c>
      <c r="K3548">
        <v>1.121442</v>
      </c>
      <c r="L3548">
        <v>283.89510000000001</v>
      </c>
      <c r="M3548">
        <v>-0.99991240000000003</v>
      </c>
      <c r="N3548">
        <v>-1.322914E-2</v>
      </c>
      <c r="O3548">
        <v>-2.751888E-4</v>
      </c>
      <c r="P3548">
        <v>-0.98700469999999896</v>
      </c>
      <c r="Q3548">
        <v>0.16068769999999999</v>
      </c>
      <c r="R3548">
        <v>1.222498E-3</v>
      </c>
      <c r="S3548">
        <v>-3.0513919999999999</v>
      </c>
      <c r="T3548">
        <v>-7.3056460000000004E-2</v>
      </c>
      <c r="U3548">
        <v>3.1127930000000002E-2</v>
      </c>
      <c r="V3548">
        <v>1.48951799999999E-3</v>
      </c>
      <c r="W3548">
        <v>0.1737311</v>
      </c>
      <c r="X3548">
        <v>0.984792</v>
      </c>
      <c r="Y3548">
        <v>1.047122E-2</v>
      </c>
      <c r="Z3548">
        <v>1.9755980000000001E-4</v>
      </c>
      <c r="AA3548">
        <v>0.99994519999999998</v>
      </c>
      <c r="AB3548">
        <v>30</v>
      </c>
      <c r="AC3548">
        <v>-46.669199999999897</v>
      </c>
      <c r="AD3548">
        <v>-1.1214397846769999</v>
      </c>
      <c r="AE3548">
        <v>0.47789999999997601</v>
      </c>
      <c r="AF3548">
        <v>0.49046077592579201</v>
      </c>
      <c r="AG3548">
        <v>-1.1214397846769999</v>
      </c>
      <c r="AH3548">
        <v>46.642137467380799</v>
      </c>
      <c r="AI3548">
        <v>91.377249047881406</v>
      </c>
      <c r="AJ3548">
        <v>89.397534111511803</v>
      </c>
      <c r="AK3548">
        <v>46.658195062490698</v>
      </c>
      <c r="AL3548">
        <v>79.995175556111903</v>
      </c>
      <c r="AM3548">
        <v>89.913339030141799</v>
      </c>
      <c r="AN3548">
        <v>0.99999999851754096</v>
      </c>
    </row>
    <row r="3549" spans="1:40" x14ac:dyDescent="0.25">
      <c r="A3549" t="str">
        <f>"20190303161943686"</f>
        <v>20190303161943686</v>
      </c>
      <c r="B3549" t="str">
        <f>"1551601183676585"</f>
        <v>1551601183676585</v>
      </c>
      <c r="C3549" t="s">
        <v>40</v>
      </c>
      <c r="D3549">
        <v>4.3315570000000001</v>
      </c>
      <c r="E3549">
        <v>0.50410949999999999</v>
      </c>
      <c r="F3549" t="s">
        <v>52</v>
      </c>
      <c r="G3549">
        <v>-397.71940000000001</v>
      </c>
      <c r="H3549" s="1">
        <v>2.5710629999999999E-6</v>
      </c>
      <c r="I3549">
        <v>284.42200000000003</v>
      </c>
      <c r="J3549">
        <v>-350.55799999999999</v>
      </c>
      <c r="K3549">
        <v>1.121443</v>
      </c>
      <c r="L3549">
        <v>283.89510000000001</v>
      </c>
      <c r="M3549">
        <v>-0.99991260000000004</v>
      </c>
      <c r="N3549">
        <v>-1.322751E-2</v>
      </c>
      <c r="O3549">
        <v>-2.9341600000000001E-4</v>
      </c>
      <c r="P3549">
        <v>-0.98700980000000005</v>
      </c>
      <c r="Q3549">
        <v>0.16065760000000001</v>
      </c>
      <c r="R3549">
        <v>1.1086609999999999E-3</v>
      </c>
      <c r="S3549">
        <v>-3.0512389999999998</v>
      </c>
      <c r="T3549">
        <v>-7.2284340000000002E-2</v>
      </c>
      <c r="U3549">
        <v>3.3966059999999999E-2</v>
      </c>
      <c r="V3549">
        <v>1.3936109999999999E-3</v>
      </c>
      <c r="W3549">
        <v>0.1736992</v>
      </c>
      <c r="X3549">
        <v>0.98479779999999995</v>
      </c>
      <c r="Y3549">
        <v>1.141962E-2</v>
      </c>
      <c r="Z3549">
        <v>2.1386070000000001E-4</v>
      </c>
      <c r="AA3549">
        <v>0.99993480000000001</v>
      </c>
      <c r="AB3549">
        <v>30</v>
      </c>
      <c r="AC3549">
        <v>-47.161399999999901</v>
      </c>
      <c r="AD3549">
        <v>-1.1214404289369999</v>
      </c>
      <c r="AE3549">
        <v>0.52690000000001103</v>
      </c>
      <c r="AF3549">
        <v>0.54043355625633704</v>
      </c>
      <c r="AG3549">
        <v>-1.1214404289369999</v>
      </c>
      <c r="AH3549">
        <v>47.134595355224597</v>
      </c>
      <c r="AI3549">
        <v>91.362851687842394</v>
      </c>
      <c r="AJ3549">
        <v>89.343089617050396</v>
      </c>
      <c r="AK3549">
        <v>47.151031551442699</v>
      </c>
      <c r="AL3549">
        <v>79.997031833306707</v>
      </c>
      <c r="AM3549">
        <v>89.918919421547699</v>
      </c>
      <c r="AN3549">
        <v>1.0000000305585399</v>
      </c>
    </row>
    <row r="3550" spans="1:40" x14ac:dyDescent="0.25">
      <c r="A3550" t="str">
        <f>"20190303161943701"</f>
        <v>20190303161943701</v>
      </c>
      <c r="B3550" t="str">
        <f>"1551601183696105"</f>
        <v>1551601183696105</v>
      </c>
      <c r="C3550" t="s">
        <v>40</v>
      </c>
      <c r="D3550">
        <v>4.3766980000000002</v>
      </c>
      <c r="E3550">
        <v>0.50416620000000001</v>
      </c>
      <c r="F3550" t="s">
        <v>52</v>
      </c>
      <c r="G3550">
        <v>-398.447</v>
      </c>
      <c r="H3550" s="1">
        <v>2.958303E-6</v>
      </c>
      <c r="I3550">
        <v>284.4325</v>
      </c>
      <c r="J3550">
        <v>-350.77359999999999</v>
      </c>
      <c r="K3550">
        <v>1.121443</v>
      </c>
      <c r="L3550">
        <v>283.89490000000001</v>
      </c>
      <c r="M3550">
        <v>-0.99991249999999998</v>
      </c>
      <c r="N3550">
        <v>-1.3225570000000001E-2</v>
      </c>
      <c r="O3550">
        <v>-3.1545549999999998E-4</v>
      </c>
      <c r="P3550">
        <v>-0.98701130000000004</v>
      </c>
      <c r="Q3550">
        <v>0.16064729999999999</v>
      </c>
      <c r="R3550">
        <v>1.259128E-3</v>
      </c>
      <c r="S3550">
        <v>-3.0510860000000002</v>
      </c>
      <c r="T3550">
        <v>-7.1448800000000007E-2</v>
      </c>
      <c r="U3550">
        <v>3.4240720000000002E-2</v>
      </c>
      <c r="V3550">
        <v>1.565954E-3</v>
      </c>
      <c r="W3550">
        <v>0.17368699999999901</v>
      </c>
      <c r="X3550">
        <v>0.98479969999999994</v>
      </c>
      <c r="Y3550">
        <v>1.1532260000000001E-2</v>
      </c>
      <c r="Z3550">
        <v>2.1450209999999999E-4</v>
      </c>
      <c r="AA3550">
        <v>0.99993350000000003</v>
      </c>
      <c r="AB3550">
        <v>30</v>
      </c>
      <c r="AC3550">
        <v>-47.673399999999901</v>
      </c>
      <c r="AD3550">
        <v>-1.1214400416970001</v>
      </c>
      <c r="AE3550">
        <v>0.53759999999999697</v>
      </c>
      <c r="AF3550">
        <v>0.55233452932882199</v>
      </c>
      <c r="AG3550">
        <v>-1.1214400416970001</v>
      </c>
      <c r="AH3550">
        <v>47.646865985853502</v>
      </c>
      <c r="AI3550">
        <v>91.348202127663498</v>
      </c>
      <c r="AJ3550">
        <v>89.335842571877706</v>
      </c>
      <c r="AK3550">
        <v>47.663261947471497</v>
      </c>
      <c r="AL3550">
        <v>79.997741702502296</v>
      </c>
      <c r="AM3550">
        <v>89.908892661633899</v>
      </c>
      <c r="AN3550">
        <v>1.0000000376505001</v>
      </c>
    </row>
    <row r="3551" spans="1:40" x14ac:dyDescent="0.25">
      <c r="A3551" t="str">
        <f>"20190303161943714"</f>
        <v>20190303161943714</v>
      </c>
      <c r="B3551" t="str">
        <f>"1551601183705865"</f>
        <v>1551601183705865</v>
      </c>
      <c r="C3551" t="s">
        <v>40</v>
      </c>
      <c r="D3551">
        <v>4.2890879999999996</v>
      </c>
      <c r="E3551">
        <v>0.4819058</v>
      </c>
      <c r="F3551" t="s">
        <v>52</v>
      </c>
      <c r="G3551">
        <v>-398.55099999999999</v>
      </c>
      <c r="H3551" s="1">
        <v>3.013645E-6</v>
      </c>
      <c r="I3551">
        <v>284.44310000000002</v>
      </c>
      <c r="J3551">
        <v>-350.94330000000002</v>
      </c>
      <c r="K3551">
        <v>1.121443</v>
      </c>
      <c r="L3551">
        <v>283.89490000000001</v>
      </c>
      <c r="M3551">
        <v>-0.99991260000000004</v>
      </c>
      <c r="N3551">
        <v>-1.3224E-2</v>
      </c>
      <c r="O3551">
        <v>-3.3320410000000001E-4</v>
      </c>
      <c r="P3551">
        <v>-0.9870411</v>
      </c>
      <c r="Q3551">
        <v>0.16046579999999999</v>
      </c>
      <c r="R3551">
        <v>1.1565480000000001E-3</v>
      </c>
      <c r="S3551">
        <v>-3.0510860000000002</v>
      </c>
      <c r="T3551">
        <v>-7.1615579999999998E-2</v>
      </c>
      <c r="U3551">
        <v>3.5003659999999999E-2</v>
      </c>
      <c r="V3551">
        <v>1.4809580000000001E-3</v>
      </c>
      <c r="W3551">
        <v>0.1735043</v>
      </c>
      <c r="X3551">
        <v>0.98483200000000004</v>
      </c>
      <c r="Y3551">
        <v>1.179988E-2</v>
      </c>
      <c r="Z3551">
        <v>2.1991790000000001E-4</v>
      </c>
      <c r="AA3551">
        <v>0.9999304</v>
      </c>
      <c r="AB3551">
        <v>30</v>
      </c>
      <c r="AC3551">
        <v>-47.607699999999902</v>
      </c>
      <c r="AD3551">
        <v>-1.121439986355</v>
      </c>
      <c r="AE3551">
        <v>0.54820000000000801</v>
      </c>
      <c r="AF3551">
        <v>0.56375166402313404</v>
      </c>
      <c r="AG3551">
        <v>-1.121439986355</v>
      </c>
      <c r="AH3551">
        <v>47.581116453599002</v>
      </c>
      <c r="AI3551">
        <v>91.350060324695505</v>
      </c>
      <c r="AJ3551">
        <v>89.321178607812399</v>
      </c>
      <c r="AK3551">
        <v>47.597668919314003</v>
      </c>
      <c r="AL3551">
        <v>80.0083706639155</v>
      </c>
      <c r="AM3551">
        <v>89.913840554453202</v>
      </c>
      <c r="AN3551">
        <v>1.0000000017895401</v>
      </c>
    </row>
    <row r="3552" spans="1:40" x14ac:dyDescent="0.25">
      <c r="A3552" t="str">
        <f>"20190303161943727"</f>
        <v>20190303161943727</v>
      </c>
      <c r="B3552" t="str">
        <f>"1551601183716602"</f>
        <v>1551601183716602</v>
      </c>
      <c r="C3552" t="s">
        <v>40</v>
      </c>
      <c r="D3552">
        <v>4.2546290000000004</v>
      </c>
      <c r="E3552">
        <v>0.47502850000000002</v>
      </c>
      <c r="F3552" t="s">
        <v>56</v>
      </c>
      <c r="G3552">
        <v>-412.45839999999998</v>
      </c>
      <c r="H3552" s="1">
        <v>2.9564670000000001E-6</v>
      </c>
      <c r="I3552">
        <v>281.01729999999998</v>
      </c>
      <c r="J3552">
        <v>-351.1182</v>
      </c>
      <c r="K3552">
        <v>1.121445</v>
      </c>
      <c r="L3552">
        <v>283.89479999999998</v>
      </c>
      <c r="M3552">
        <v>-0.99991269999999999</v>
      </c>
      <c r="N3552">
        <v>-1.3222370000000001E-2</v>
      </c>
      <c r="O3552">
        <v>-3.5131030000000002E-4</v>
      </c>
      <c r="P3552">
        <v>-0.98702350000000005</v>
      </c>
      <c r="Q3552">
        <v>0.16057479999999999</v>
      </c>
      <c r="R3552">
        <v>8.7383529999999999E-4</v>
      </c>
      <c r="S3552">
        <v>-3.048584</v>
      </c>
      <c r="T3552">
        <v>-5.5576680000000003E-2</v>
      </c>
      <c r="U3552">
        <v>-0.1426086</v>
      </c>
      <c r="V3552">
        <v>1.216127E-3</v>
      </c>
      <c r="W3552">
        <v>0.1736114</v>
      </c>
      <c r="X3552">
        <v>0.98481350000000001</v>
      </c>
      <c r="Y3552">
        <v>-4.6363330000000001E-2</v>
      </c>
      <c r="Z3552">
        <v>-7.2732690000000002E-4</v>
      </c>
      <c r="AA3552">
        <v>0.99892440000000005</v>
      </c>
      <c r="AB3552">
        <v>30</v>
      </c>
      <c r="AC3552">
        <v>-61.340199999999903</v>
      </c>
      <c r="AD3552">
        <v>-1.1214420435329999</v>
      </c>
      <c r="AE3552">
        <v>-2.8774999999999902</v>
      </c>
      <c r="AF3552">
        <v>-2.8549963289014602</v>
      </c>
      <c r="AG3552">
        <v>-1.1214420435329999</v>
      </c>
      <c r="AH3552">
        <v>61.320756122839803</v>
      </c>
      <c r="AI3552">
        <v>91.046582484309894</v>
      </c>
      <c r="AJ3552">
        <v>92.665674853440606</v>
      </c>
      <c r="AK3552">
        <v>61.397424764983697</v>
      </c>
      <c r="AL3552">
        <v>80.002139841227404</v>
      </c>
      <c r="AM3552">
        <v>89.929246594371904</v>
      </c>
      <c r="AN3552">
        <v>1.0000000134785401</v>
      </c>
    </row>
    <row r="3553" spans="1:40" x14ac:dyDescent="0.25">
      <c r="A3553" t="str">
        <f>"20190303161943741"</f>
        <v>20190303161943741</v>
      </c>
      <c r="B3553" t="str">
        <f>"1551601183736122"</f>
        <v>1551601183736122</v>
      </c>
      <c r="C3553" t="s">
        <v>40</v>
      </c>
      <c r="D3553">
        <v>4.2243339999999998</v>
      </c>
      <c r="E3553">
        <v>0.46694439999999998</v>
      </c>
      <c r="F3553" t="s">
        <v>56</v>
      </c>
      <c r="G3553">
        <v>-431.0059</v>
      </c>
      <c r="H3553">
        <v>7.5679730000000001E-2</v>
      </c>
      <c r="I3553">
        <v>278.70119999999997</v>
      </c>
      <c r="J3553">
        <v>-351.3</v>
      </c>
      <c r="K3553">
        <v>1.121445</v>
      </c>
      <c r="L3553">
        <v>283.8947</v>
      </c>
      <c r="M3553">
        <v>-0.99991260000000004</v>
      </c>
      <c r="N3553">
        <v>-1.3220610000000001E-2</v>
      </c>
      <c r="O3553">
        <v>-3.695398E-4</v>
      </c>
      <c r="P3553">
        <v>-0.98699460000000006</v>
      </c>
      <c r="Q3553">
        <v>0.16075229999999999</v>
      </c>
      <c r="R3553">
        <v>7.5013559999999996E-4</v>
      </c>
      <c r="S3553">
        <v>-3.0460820000000002</v>
      </c>
      <c r="T3553">
        <v>-3.9874550000000002E-2</v>
      </c>
      <c r="U3553">
        <v>-0.1980286</v>
      </c>
      <c r="V3553">
        <v>1.1103930000000001E-3</v>
      </c>
      <c r="W3553">
        <v>0.17378650000000001</v>
      </c>
      <c r="X3553">
        <v>0.98478270000000001</v>
      </c>
      <c r="Y3553">
        <v>-6.4494090000000004E-2</v>
      </c>
      <c r="Z3553">
        <v>-8.4854380000000005E-4</v>
      </c>
      <c r="AA3553">
        <v>0.99791770000000002</v>
      </c>
      <c r="AB3553">
        <v>30</v>
      </c>
      <c r="AC3553">
        <v>-79.7058999999999</v>
      </c>
      <c r="AD3553">
        <v>-1.04576527</v>
      </c>
      <c r="AE3553">
        <v>-5.1935000000000198</v>
      </c>
      <c r="AF3553">
        <v>-5.1631575303895403</v>
      </c>
      <c r="AG3553">
        <v>-1.04576527</v>
      </c>
      <c r="AH3553">
        <v>79.6941531960628</v>
      </c>
      <c r="AI3553">
        <v>90.750232760089503</v>
      </c>
      <c r="AJ3553">
        <v>93.706850046921602</v>
      </c>
      <c r="AK3553">
        <v>79.868077943074894</v>
      </c>
      <c r="AL3553">
        <v>79.991952085024806</v>
      </c>
      <c r="AM3553">
        <v>89.935396097495399</v>
      </c>
      <c r="AN3553">
        <v>0.99999997338707602</v>
      </c>
    </row>
    <row r="3554" spans="1:40" x14ac:dyDescent="0.25">
      <c r="A3554" t="str">
        <f>"20190303161943757"</f>
        <v>20190303161943757</v>
      </c>
      <c r="B3554" t="str">
        <f>"1551601183745881"</f>
        <v>1551601183745881</v>
      </c>
      <c r="C3554" t="s">
        <v>40</v>
      </c>
      <c r="D3554">
        <v>4.1727189999999998</v>
      </c>
      <c r="E3554">
        <v>0.46498990000000001</v>
      </c>
      <c r="F3554" t="s">
        <v>52</v>
      </c>
      <c r="G3554">
        <v>-450.77539999999999</v>
      </c>
      <c r="H3554">
        <v>8.0001639999999999E-2</v>
      </c>
      <c r="I3554">
        <v>275.31470000000002</v>
      </c>
      <c r="J3554">
        <v>-351.52620000000002</v>
      </c>
      <c r="K3554">
        <v>1.1214459999999999</v>
      </c>
      <c r="L3554">
        <v>283.89460000000003</v>
      </c>
      <c r="M3554">
        <v>-0.99991260000000004</v>
      </c>
      <c r="N3554">
        <v>-1.3218239999999999E-2</v>
      </c>
      <c r="O3554">
        <v>-3.9265060000000002E-4</v>
      </c>
      <c r="P3554">
        <v>-0.9869348</v>
      </c>
      <c r="Q3554">
        <v>0.16112029999999999</v>
      </c>
      <c r="R3554">
        <v>2.1847659999999999E-4</v>
      </c>
      <c r="S3554">
        <v>-3.0449519999999999</v>
      </c>
      <c r="T3554">
        <v>-3.1878709999999998E-2</v>
      </c>
      <c r="U3554">
        <v>-0.26263429999999999</v>
      </c>
      <c r="V3554">
        <v>6.0130589999999999E-4</v>
      </c>
      <c r="W3554">
        <v>0.174151799999999</v>
      </c>
      <c r="X3554">
        <v>0.9847186</v>
      </c>
      <c r="Y3554">
        <v>-8.5531469999999998E-2</v>
      </c>
      <c r="Z3554">
        <v>-1.0143610000000001E-3</v>
      </c>
      <c r="AA3554">
        <v>0.99633499999999997</v>
      </c>
      <c r="AB3554">
        <v>30</v>
      </c>
      <c r="AC3554">
        <v>-99.249199999999902</v>
      </c>
      <c r="AD3554">
        <v>-1.0414443599999901</v>
      </c>
      <c r="AE3554">
        <v>-8.5799000000000092</v>
      </c>
      <c r="AF3554">
        <v>-8.5399923325613791</v>
      </c>
      <c r="AG3554">
        <v>-1.0414443599999901</v>
      </c>
      <c r="AH3554">
        <v>99.241715313981203</v>
      </c>
      <c r="AI3554">
        <v>90.599027227003404</v>
      </c>
      <c r="AJ3554">
        <v>94.918325738073094</v>
      </c>
      <c r="AK3554">
        <v>99.613925401303604</v>
      </c>
      <c r="AL3554">
        <v>79.970697758299806</v>
      </c>
      <c r="AM3554">
        <v>89.965013064662102</v>
      </c>
      <c r="AN3554">
        <v>0.999999966098992</v>
      </c>
    </row>
    <row r="3555" spans="1:40" x14ac:dyDescent="0.25">
      <c r="A3555" t="str">
        <f>"20190303161943772"</f>
        <v>20190303161943772</v>
      </c>
      <c r="B3555" t="str">
        <f>"1551601183766379"</f>
        <v>1551601183766379</v>
      </c>
      <c r="C3555" t="s">
        <v>40</v>
      </c>
      <c r="D3555">
        <v>4.1464970000000001</v>
      </c>
      <c r="E3555">
        <v>0.46317079999999999</v>
      </c>
      <c r="F3555" t="s">
        <v>44</v>
      </c>
      <c r="G3555">
        <v>-476.73039999999997</v>
      </c>
      <c r="H3555">
        <v>-0.05</v>
      </c>
      <c r="I3555">
        <v>272.37450000000001</v>
      </c>
      <c r="J3555">
        <v>-351.71679999999998</v>
      </c>
      <c r="K3555">
        <v>1.1214489999999999</v>
      </c>
      <c r="L3555">
        <v>283.89449999999999</v>
      </c>
      <c r="M3555">
        <v>-0.99991260000000004</v>
      </c>
      <c r="N3555">
        <v>-1.3216189999999999E-2</v>
      </c>
      <c r="O3555">
        <v>-4.1230409999999998E-4</v>
      </c>
      <c r="P3555">
        <v>-0.98695679999999997</v>
      </c>
      <c r="Q3555">
        <v>0.16098570000000001</v>
      </c>
      <c r="R3555">
        <v>1.4952340000000001E-4</v>
      </c>
      <c r="S3555">
        <v>-3.0444339999999999</v>
      </c>
      <c r="T3555">
        <v>-2.8484579999999999E-2</v>
      </c>
      <c r="U3555">
        <v>-0.2801208</v>
      </c>
      <c r="V3555">
        <v>5.5196610000000001E-4</v>
      </c>
      <c r="W3555">
        <v>0.17401520000000001</v>
      </c>
      <c r="X3555">
        <v>0.98474280000000003</v>
      </c>
      <c r="Y3555">
        <v>-9.1203599999999996E-2</v>
      </c>
      <c r="Z3555">
        <v>-1.031354E-3</v>
      </c>
      <c r="AA3555">
        <v>0.99583169999999999</v>
      </c>
      <c r="AB3555">
        <v>30</v>
      </c>
      <c r="AC3555">
        <v>-125.0136</v>
      </c>
      <c r="AD3555">
        <v>-1.171449</v>
      </c>
      <c r="AE3555">
        <v>-11.5199999999999</v>
      </c>
      <c r="AF3555">
        <v>-11.467452448561</v>
      </c>
      <c r="AG3555">
        <v>-1.171449</v>
      </c>
      <c r="AH3555">
        <v>125.007455346425</v>
      </c>
      <c r="AI3555">
        <v>90.534660149848193</v>
      </c>
      <c r="AJ3555">
        <v>95.241310238732197</v>
      </c>
      <c r="AK3555">
        <v>125.537797696981</v>
      </c>
      <c r="AL3555">
        <v>79.978645945362103</v>
      </c>
      <c r="AM3555">
        <v>89.9678846855724</v>
      </c>
      <c r="AN3555">
        <v>0.99999998832472703</v>
      </c>
    </row>
    <row r="3556" spans="1:40" x14ac:dyDescent="0.25">
      <c r="A3556" t="str">
        <f>"20190303161943791"</f>
        <v>20190303161943791</v>
      </c>
      <c r="B3556" t="str">
        <f>"1551601183785897"</f>
        <v>1551601183785897</v>
      </c>
      <c r="C3556" t="s">
        <v>40</v>
      </c>
      <c r="D3556">
        <v>4.09274</v>
      </c>
      <c r="E3556">
        <v>0.46183999999999997</v>
      </c>
      <c r="F3556" t="s">
        <v>44</v>
      </c>
      <c r="G3556">
        <v>-483.26990000000001</v>
      </c>
      <c r="H3556">
        <v>-0.05</v>
      </c>
      <c r="I3556">
        <v>271.15069999999997</v>
      </c>
      <c r="J3556">
        <v>-351.98399999999998</v>
      </c>
      <c r="K3556">
        <v>1.1214489999999999</v>
      </c>
      <c r="L3556">
        <v>283.89429999999999</v>
      </c>
      <c r="M3556">
        <v>-0.99991269999999999</v>
      </c>
      <c r="N3556">
        <v>-1.3213280000000001E-2</v>
      </c>
      <c r="O3556">
        <v>-4.401753E-4</v>
      </c>
      <c r="P3556">
        <v>-0.98702160000000005</v>
      </c>
      <c r="Q3556">
        <v>0.16058789999999901</v>
      </c>
      <c r="R3556">
        <v>2.0601650000000001E-4</v>
      </c>
      <c r="S3556">
        <v>-3.0441280000000002</v>
      </c>
      <c r="T3556">
        <v>-2.7107240000000001E-2</v>
      </c>
      <c r="U3556">
        <v>-0.29489140000000003</v>
      </c>
      <c r="V3556">
        <v>6.35886E-4</v>
      </c>
      <c r="W3556">
        <v>0.17361559999999901</v>
      </c>
      <c r="X3556">
        <v>0.9848133</v>
      </c>
      <c r="Y3556">
        <v>-9.5973240000000001E-2</v>
      </c>
      <c r="Z3556">
        <v>-1.0637960000000001E-3</v>
      </c>
      <c r="AA3556">
        <v>0.99538329999999997</v>
      </c>
      <c r="AB3556">
        <v>30</v>
      </c>
      <c r="AC3556">
        <v>-131.285899999999</v>
      </c>
      <c r="AD3556">
        <v>-1.171449</v>
      </c>
      <c r="AE3556">
        <v>-12.743600000000001</v>
      </c>
      <c r="AF3556">
        <v>-12.684804404701</v>
      </c>
      <c r="AG3556">
        <v>-1.171449</v>
      </c>
      <c r="AH3556">
        <v>131.28114242399201</v>
      </c>
      <c r="AI3556">
        <v>90.508878802148303</v>
      </c>
      <c r="AJ3556">
        <v>95.518969144425299</v>
      </c>
      <c r="AK3556">
        <v>131.89774414937401</v>
      </c>
      <c r="AL3556">
        <v>80.001895436736106</v>
      </c>
      <c r="AM3556">
        <v>89.963004582707995</v>
      </c>
      <c r="AN3556">
        <v>1.00000000838562</v>
      </c>
    </row>
    <row r="3557" spans="1:40" x14ac:dyDescent="0.25">
      <c r="A3557" t="str">
        <f>"20190303161943814"</f>
        <v>20190303161943814</v>
      </c>
      <c r="B3557" t="str">
        <f>"1551601183806397"</f>
        <v>1551601183806397</v>
      </c>
      <c r="C3557" t="s">
        <v>40</v>
      </c>
      <c r="D3557">
        <v>4.0770749999999998</v>
      </c>
      <c r="E3557">
        <v>0.46124540000000003</v>
      </c>
      <c r="F3557" t="s">
        <v>44</v>
      </c>
      <c r="G3557">
        <v>-478.86610000000002</v>
      </c>
      <c r="H3557">
        <v>-0.05</v>
      </c>
      <c r="I3557">
        <v>271.18579999999997</v>
      </c>
      <c r="J3557">
        <v>-352.2878</v>
      </c>
      <c r="K3557">
        <v>1.1214489999999999</v>
      </c>
      <c r="L3557">
        <v>283.89420000000001</v>
      </c>
      <c r="M3557">
        <v>-0.99991260000000004</v>
      </c>
      <c r="N3557">
        <v>-1.320994E-2</v>
      </c>
      <c r="O3557">
        <v>-4.713842E-4</v>
      </c>
      <c r="P3557">
        <v>-0.98712310000000003</v>
      </c>
      <c r="Q3557">
        <v>0.1599624</v>
      </c>
      <c r="R3557">
        <v>2.7880720000000002E-4</v>
      </c>
      <c r="S3557">
        <v>-3.0441280000000002</v>
      </c>
      <c r="T3557">
        <v>-2.8105140000000001E-2</v>
      </c>
      <c r="U3557">
        <v>-0.30490109999999998</v>
      </c>
      <c r="V3557">
        <v>7.3963619999999996E-4</v>
      </c>
      <c r="W3557">
        <v>0.17298810000000001</v>
      </c>
      <c r="X3557">
        <v>0.98492360000000001</v>
      </c>
      <c r="Y3557">
        <v>-9.9182419999999993E-2</v>
      </c>
      <c r="Z3557">
        <v>-1.115368E-3</v>
      </c>
      <c r="AA3557">
        <v>0.99506870000000003</v>
      </c>
      <c r="AB3557">
        <v>30</v>
      </c>
      <c r="AC3557">
        <v>-126.5783</v>
      </c>
      <c r="AD3557">
        <v>-1.171449</v>
      </c>
      <c r="AE3557">
        <v>-12.708399999999999</v>
      </c>
      <c r="AF3557">
        <v>-12.647653905152699</v>
      </c>
      <c r="AG3557">
        <v>-1.171449</v>
      </c>
      <c r="AH3557">
        <v>126.573544138098</v>
      </c>
      <c r="AI3557">
        <v>90.527634771210899</v>
      </c>
      <c r="AJ3557">
        <v>95.706245472029295</v>
      </c>
      <c r="AK3557">
        <v>127.20926663472</v>
      </c>
      <c r="AL3557">
        <v>80.038400463474105</v>
      </c>
      <c r="AM3557">
        <v>89.956973287401198</v>
      </c>
      <c r="AN3557">
        <v>0.999999963820138</v>
      </c>
    </row>
    <row r="3558" spans="1:40" x14ac:dyDescent="0.25">
      <c r="A3558" t="str">
        <f>"20190303161943829"</f>
        <v>20190303161943829</v>
      </c>
      <c r="B3558" t="str">
        <f>"1551601183817130"</f>
        <v>1551601183817130</v>
      </c>
      <c r="C3558" t="s">
        <v>40</v>
      </c>
      <c r="D3558">
        <v>4.0484710000000002</v>
      </c>
      <c r="E3558">
        <v>0.461449</v>
      </c>
      <c r="F3558" t="s">
        <v>44</v>
      </c>
      <c r="G3558">
        <v>-483.47919999999999</v>
      </c>
      <c r="H3558">
        <v>-0.05</v>
      </c>
      <c r="I3558">
        <v>270.56240000000003</v>
      </c>
      <c r="J3558">
        <v>-352.49340000000001</v>
      </c>
      <c r="K3558">
        <v>1.121448</v>
      </c>
      <c r="L3558">
        <v>283.89409999999998</v>
      </c>
      <c r="M3558">
        <v>-0.99991269999999999</v>
      </c>
      <c r="N3558">
        <v>-1.3207760000000001E-2</v>
      </c>
      <c r="O3558">
        <v>-4.9258850000000003E-4</v>
      </c>
      <c r="P3558">
        <v>-0.98714409999999997</v>
      </c>
      <c r="Q3558">
        <v>0.15983349999999999</v>
      </c>
      <c r="R3558">
        <v>2.7081039999999999E-4</v>
      </c>
      <c r="S3558">
        <v>-3.0436100000000001</v>
      </c>
      <c r="T3558">
        <v>-2.717733E-2</v>
      </c>
      <c r="U3558">
        <v>-0.30929570000000001</v>
      </c>
      <c r="V3558">
        <v>7.5261139999999995E-4</v>
      </c>
      <c r="W3558">
        <v>0.1728576</v>
      </c>
      <c r="X3558">
        <v>0.98494649999999995</v>
      </c>
      <c r="Y3558">
        <v>-0.1006006</v>
      </c>
      <c r="Z3558">
        <v>-1.1162100000000001E-3</v>
      </c>
      <c r="AA3558">
        <v>0.99492630000000004</v>
      </c>
      <c r="AB3558">
        <v>30</v>
      </c>
      <c r="AC3558">
        <v>-130.98579999999899</v>
      </c>
      <c r="AD3558">
        <v>-1.171448</v>
      </c>
      <c r="AE3558">
        <v>-13.3316999999999</v>
      </c>
      <c r="AF3558">
        <v>-13.2661204732076</v>
      </c>
      <c r="AG3558">
        <v>-1.171448</v>
      </c>
      <c r="AH3558">
        <v>130.98198280357499</v>
      </c>
      <c r="AI3558">
        <v>90.509807788666507</v>
      </c>
      <c r="AJ3558">
        <v>95.783311223439497</v>
      </c>
      <c r="AK3558">
        <v>131.65729019686799</v>
      </c>
      <c r="AL3558">
        <v>80.045991908055697</v>
      </c>
      <c r="AM3558">
        <v>89.956219501829807</v>
      </c>
      <c r="AN3558">
        <v>0.99999996208196396</v>
      </c>
    </row>
    <row r="3559" spans="1:40" x14ac:dyDescent="0.25">
      <c r="A3559" t="str">
        <f>"20190303161943846"</f>
        <v>20190303161943846</v>
      </c>
      <c r="B3559" t="str">
        <f>"1551601183835674"</f>
        <v>1551601183835674</v>
      </c>
      <c r="C3559" t="s">
        <v>40</v>
      </c>
      <c r="D3559">
        <v>4.0498479999999999</v>
      </c>
      <c r="E3559">
        <v>0.46183049999999998</v>
      </c>
      <c r="F3559" t="s">
        <v>44</v>
      </c>
      <c r="G3559">
        <v>-481.9966</v>
      </c>
      <c r="H3559">
        <v>-0.05</v>
      </c>
      <c r="I3559">
        <v>270.79629999999997</v>
      </c>
      <c r="J3559">
        <v>-352.73399999999998</v>
      </c>
      <c r="K3559">
        <v>1.121448</v>
      </c>
      <c r="L3559">
        <v>283.89389999999997</v>
      </c>
      <c r="M3559">
        <v>-0.99991269999999999</v>
      </c>
      <c r="N3559">
        <v>-1.320523E-2</v>
      </c>
      <c r="O3559">
        <v>-5.1677329999999999E-4</v>
      </c>
      <c r="P3559">
        <v>-0.98722790000000005</v>
      </c>
      <c r="Q3559">
        <v>0.15931380000000001</v>
      </c>
      <c r="R3559">
        <v>6.0917719999999999E-4</v>
      </c>
      <c r="S3559">
        <v>-3.0436399999999999</v>
      </c>
      <c r="T3559">
        <v>-2.7531859999999998E-2</v>
      </c>
      <c r="U3559">
        <v>-0.30783080000000002</v>
      </c>
      <c r="V3559">
        <v>1.1148600000000001E-3</v>
      </c>
      <c r="W3559">
        <v>0.17233670000000001</v>
      </c>
      <c r="X3559">
        <v>0.98503739999999995</v>
      </c>
      <c r="Y3559">
        <v>-0.10010139999999999</v>
      </c>
      <c r="Z3559">
        <v>-1.1164020000000001E-3</v>
      </c>
      <c r="AA3559">
        <v>0.99497659999999999</v>
      </c>
      <c r="AB3559">
        <v>30</v>
      </c>
      <c r="AC3559">
        <v>-129.262599999999</v>
      </c>
      <c r="AD3559">
        <v>-1.171448</v>
      </c>
      <c r="AE3559">
        <v>-13.0976</v>
      </c>
      <c r="AF3559">
        <v>-13.0297337142916</v>
      </c>
      <c r="AG3559">
        <v>-1.171448</v>
      </c>
      <c r="AH3559">
        <v>129.258843711624</v>
      </c>
      <c r="AI3559">
        <v>90.516628358174202</v>
      </c>
      <c r="AJ3559">
        <v>95.756166398845295</v>
      </c>
      <c r="AK3559">
        <v>129.91918614565</v>
      </c>
      <c r="AL3559">
        <v>80.076291690752399</v>
      </c>
      <c r="AM3559">
        <v>89.935152974421598</v>
      </c>
      <c r="AN3559">
        <v>0.99999993023923195</v>
      </c>
    </row>
    <row r="3560" spans="1:40" x14ac:dyDescent="0.25">
      <c r="A3560" t="str">
        <f>"20190303161943859"</f>
        <v>20190303161943859</v>
      </c>
      <c r="B3560" t="str">
        <f>"1551601183856170"</f>
        <v>1551601183856170</v>
      </c>
      <c r="C3560" t="s">
        <v>40</v>
      </c>
      <c r="D3560">
        <v>3.9360339999999998</v>
      </c>
      <c r="E3560">
        <v>0.46204879999999998</v>
      </c>
      <c r="F3560" t="s">
        <v>44</v>
      </c>
      <c r="G3560">
        <v>-474.53030000000001</v>
      </c>
      <c r="H3560">
        <v>-0.05</v>
      </c>
      <c r="I3560">
        <v>271.75069999999999</v>
      </c>
      <c r="J3560">
        <v>-352.90390000000002</v>
      </c>
      <c r="K3560">
        <v>1.1214459999999999</v>
      </c>
      <c r="L3560">
        <v>283.8938</v>
      </c>
      <c r="M3560">
        <v>-0.99991269999999999</v>
      </c>
      <c r="N3560">
        <v>-1.3203319999999999E-2</v>
      </c>
      <c r="O3560">
        <v>-5.345193E-4</v>
      </c>
      <c r="P3560">
        <v>-0.98729029999999995</v>
      </c>
      <c r="Q3560">
        <v>0.15892539999999999</v>
      </c>
      <c r="R3560">
        <v>6.7752830000000004E-4</v>
      </c>
      <c r="S3560">
        <v>-3.0437620000000001</v>
      </c>
      <c r="T3560">
        <v>-2.9275180000000001E-2</v>
      </c>
      <c r="U3560">
        <v>-0.30346679999999998</v>
      </c>
      <c r="V3560">
        <v>1.2007330000000001E-3</v>
      </c>
      <c r="W3560">
        <v>0.1719473</v>
      </c>
      <c r="X3560">
        <v>0.98510540000000002</v>
      </c>
      <c r="Y3560">
        <v>-9.8666619999999997E-2</v>
      </c>
      <c r="Z3560">
        <v>-1.1282589999999999E-3</v>
      </c>
      <c r="AA3560">
        <v>0.99511989999999995</v>
      </c>
      <c r="AB3560">
        <v>30</v>
      </c>
      <c r="AC3560">
        <v>-121.6264</v>
      </c>
      <c r="AD3560">
        <v>-1.171446</v>
      </c>
      <c r="AE3560">
        <v>-12.1431</v>
      </c>
      <c r="AF3560">
        <v>-12.0769716648298</v>
      </c>
      <c r="AG3560">
        <v>-1.171446</v>
      </c>
      <c r="AH3560">
        <v>121.621702901266</v>
      </c>
      <c r="AI3560">
        <v>90.549148572921595</v>
      </c>
      <c r="AJ3560">
        <v>95.670850853777196</v>
      </c>
      <c r="AK3560">
        <v>122.22546439644999</v>
      </c>
      <c r="AL3560">
        <v>80.098941293115999</v>
      </c>
      <c r="AM3560">
        <v>89.930162905256793</v>
      </c>
      <c r="AN3560">
        <v>0.99999998242309296</v>
      </c>
    </row>
    <row r="3561" spans="1:40" x14ac:dyDescent="0.25">
      <c r="A3561" t="str">
        <f>"20190303161943953"</f>
        <v>20190303161943953</v>
      </c>
      <c r="B3561" t="str">
        <f>"1551601183945961"</f>
        <v>1551601183945961</v>
      </c>
      <c r="C3561" t="s">
        <v>40</v>
      </c>
      <c r="D3561">
        <v>3.2855249999999998</v>
      </c>
      <c r="E3561">
        <v>0.46204879999999998</v>
      </c>
      <c r="F3561" t="s">
        <v>49</v>
      </c>
      <c r="G3561">
        <v>-480.9076</v>
      </c>
      <c r="H3561" s="1">
        <v>2.806495E-7</v>
      </c>
      <c r="I3561">
        <v>271.2099</v>
      </c>
      <c r="J3561">
        <v>-354.1807</v>
      </c>
      <c r="K3561">
        <v>1.1214329999999999</v>
      </c>
      <c r="L3561">
        <v>283.8929</v>
      </c>
      <c r="M3561">
        <v>-0.99991289999999999</v>
      </c>
      <c r="N3561">
        <v>-1.318856E-2</v>
      </c>
      <c r="O3561">
        <v>-6.6566110000000004E-4</v>
      </c>
      <c r="P3561">
        <v>-0.98772479999999996</v>
      </c>
      <c r="Q3561">
        <v>0.15620329999999999</v>
      </c>
      <c r="R3561">
        <v>6.5656380000000004E-4</v>
      </c>
      <c r="S3561">
        <v>-3.0431210000000002</v>
      </c>
      <c r="T3561">
        <v>-2.6660920000000001E-2</v>
      </c>
      <c r="U3561">
        <v>-0.30154419999999998</v>
      </c>
      <c r="V3561">
        <v>1.3097950000000001E-3</v>
      </c>
      <c r="W3561">
        <v>0.16921610000000001</v>
      </c>
      <c r="X3561">
        <v>0.98557810000000001</v>
      </c>
      <c r="Y3561">
        <v>-9.7935620000000001E-2</v>
      </c>
      <c r="Z3561">
        <v>-1.078346E-3</v>
      </c>
      <c r="AA3561">
        <v>0.99519219999999997</v>
      </c>
      <c r="AB3561">
        <v>30</v>
      </c>
      <c r="AC3561">
        <v>-126.7269</v>
      </c>
      <c r="AD3561">
        <v>-1.12143271935049</v>
      </c>
      <c r="AE3561">
        <v>-12.6829999999999</v>
      </c>
      <c r="AF3561">
        <v>-12.597655972198201</v>
      </c>
      <c r="AG3561">
        <v>-1.12143271935049</v>
      </c>
      <c r="AH3561">
        <v>126.725489963198</v>
      </c>
      <c r="AI3561">
        <v>90.504528034079499</v>
      </c>
      <c r="AJ3561">
        <v>95.677065418321604</v>
      </c>
      <c r="AK3561">
        <v>127.355048403079</v>
      </c>
      <c r="AL3561">
        <v>80.257755383995203</v>
      </c>
      <c r="AM3561">
        <v>89.923856180096706</v>
      </c>
      <c r="AN3561">
        <v>0.99999999763088099</v>
      </c>
    </row>
    <row r="3562" spans="1:40" x14ac:dyDescent="0.25">
      <c r="A3562" t="str">
        <f>"20190303161943968"</f>
        <v>20190303161943968</v>
      </c>
      <c r="B3562" t="str">
        <f>"1551601183966458"</f>
        <v>1551601183966458</v>
      </c>
      <c r="C3562" t="s">
        <v>40</v>
      </c>
      <c r="D3562">
        <v>3.6912509999999998</v>
      </c>
      <c r="E3562">
        <v>0.55376389999999998</v>
      </c>
      <c r="F3562" t="s">
        <v>52</v>
      </c>
      <c r="G3562">
        <v>-444.73020000000002</v>
      </c>
      <c r="H3562">
        <v>8.0000500000000002E-2</v>
      </c>
      <c r="I3562">
        <v>274.9119</v>
      </c>
      <c r="J3562">
        <v>-354.3716</v>
      </c>
      <c r="K3562">
        <v>1.1214309999999901</v>
      </c>
      <c r="L3562">
        <v>283.89280000000002</v>
      </c>
      <c r="M3562">
        <v>-0.99991289999999999</v>
      </c>
      <c r="N3562">
        <v>-1.318633E-2</v>
      </c>
      <c r="O3562">
        <v>-6.8519509999999905E-4</v>
      </c>
      <c r="P3562">
        <v>-0.98774980000000001</v>
      </c>
      <c r="Q3562">
        <v>0.1560455</v>
      </c>
      <c r="R3562">
        <v>6.2948609999999999E-4</v>
      </c>
      <c r="S3562">
        <v>-3.0430299999999999</v>
      </c>
      <c r="T3562">
        <v>-3.4998660000000001E-2</v>
      </c>
      <c r="U3562">
        <v>-0.3018188</v>
      </c>
      <c r="V3562">
        <v>1.302033E-3</v>
      </c>
      <c r="W3562">
        <v>0.16905680000000001</v>
      </c>
      <c r="X3562">
        <v>0.98560550000000002</v>
      </c>
      <c r="Y3562">
        <v>-9.8003599999999996E-2</v>
      </c>
      <c r="Z3562">
        <v>-1.211146E-3</v>
      </c>
      <c r="AA3562">
        <v>0.99518530000000005</v>
      </c>
      <c r="AB3562">
        <v>30</v>
      </c>
      <c r="AC3562">
        <v>-90.358599999999996</v>
      </c>
      <c r="AD3562">
        <v>-1.0414304999999999</v>
      </c>
      <c r="AE3562">
        <v>-8.9809000000000196</v>
      </c>
      <c r="AF3562">
        <v>-8.9178062093817605</v>
      </c>
      <c r="AG3562">
        <v>-1.0414304999999999</v>
      </c>
      <c r="AH3562">
        <v>90.352848124034196</v>
      </c>
      <c r="AI3562">
        <v>90.657183872803202</v>
      </c>
      <c r="AJ3562">
        <v>95.636824144085907</v>
      </c>
      <c r="AK3562">
        <v>90.797846941429199</v>
      </c>
      <c r="AL3562">
        <v>80.267016530546698</v>
      </c>
      <c r="AM3562">
        <v>89.924309521111994</v>
      </c>
      <c r="AN3562">
        <v>1.00000004927321</v>
      </c>
    </row>
    <row r="3563" spans="1:40" x14ac:dyDescent="0.25">
      <c r="A3563" t="str">
        <f>"20190303161943983"</f>
        <v>20190303161943983</v>
      </c>
      <c r="B3563" t="str">
        <f>"1551601183976218"</f>
        <v>1551601183976218</v>
      </c>
      <c r="C3563" t="s">
        <v>40</v>
      </c>
      <c r="D3563">
        <v>4.1373879999999996</v>
      </c>
      <c r="E3563">
        <v>0.55376389999999998</v>
      </c>
      <c r="F3563" t="s">
        <v>42</v>
      </c>
      <c r="G3563">
        <v>-355.28730000000002</v>
      </c>
      <c r="H3563">
        <v>0.95608959999999998</v>
      </c>
      <c r="I3563">
        <v>284.01859999999999</v>
      </c>
      <c r="J3563">
        <v>-354.57010000000002</v>
      </c>
      <c r="K3563">
        <v>1.121432</v>
      </c>
      <c r="L3563">
        <v>283.89260000000002</v>
      </c>
      <c r="M3563">
        <v>-0.99991289999999999</v>
      </c>
      <c r="N3563">
        <v>-1.318398E-2</v>
      </c>
      <c r="O3563">
        <v>-7.0568210000000004E-4</v>
      </c>
      <c r="P3563">
        <v>-0.98780789999999996</v>
      </c>
      <c r="Q3563">
        <v>0.1556775</v>
      </c>
      <c r="R3563">
        <v>4.2671240000000002E-4</v>
      </c>
      <c r="S3563">
        <v>-3.1261290000000002</v>
      </c>
      <c r="T3563">
        <v>-0.56454349999999998</v>
      </c>
      <c r="U3563">
        <v>0.4284058</v>
      </c>
      <c r="V3563">
        <v>1.119618E-3</v>
      </c>
      <c r="W3563">
        <v>0.1686869</v>
      </c>
      <c r="X3563">
        <v>0.98566909999999996</v>
      </c>
      <c r="Y3563">
        <v>0.13416989999999901</v>
      </c>
      <c r="Z3563">
        <v>1.2975749999999999E-2</v>
      </c>
      <c r="AA3563">
        <v>0.99087340000000002</v>
      </c>
      <c r="AB3563">
        <v>30</v>
      </c>
      <c r="AC3563">
        <v>-0.71719999999999096</v>
      </c>
      <c r="AD3563">
        <v>-0.165342399999999</v>
      </c>
      <c r="AE3563">
        <v>0.12599999999997599</v>
      </c>
      <c r="AF3563">
        <v>0.120303651671576</v>
      </c>
      <c r="AG3563">
        <v>-0.165342399999999</v>
      </c>
      <c r="AH3563">
        <v>0.68195162685678301</v>
      </c>
      <c r="AI3563">
        <v>103.428964025738</v>
      </c>
      <c r="AJ3563">
        <v>79.995340789586606</v>
      </c>
      <c r="AK3563">
        <v>0.71194739919174399</v>
      </c>
      <c r="AL3563">
        <v>80.288519057028594</v>
      </c>
      <c r="AM3563">
        <v>89.934917957276795</v>
      </c>
      <c r="AN3563">
        <v>1.0000000492354399</v>
      </c>
    </row>
    <row r="3564" spans="1:40" x14ac:dyDescent="0.25">
      <c r="A3564" t="str">
        <f>"20190303161944003"</f>
        <v>20190303161944003</v>
      </c>
      <c r="B3564" t="str">
        <f>"1551601183995738"</f>
        <v>1551601183995738</v>
      </c>
      <c r="C3564" t="s">
        <v>40</v>
      </c>
      <c r="D3564">
        <v>3.8889999999999998</v>
      </c>
      <c r="E3564">
        <v>0.56395379999999995</v>
      </c>
      <c r="F3564" t="s">
        <v>42</v>
      </c>
      <c r="G3564">
        <v>-355.30259999999998</v>
      </c>
      <c r="H3564">
        <v>0.98890690000000003</v>
      </c>
      <c r="I3564">
        <v>283.99329999999998</v>
      </c>
      <c r="J3564">
        <v>-354.84300000000002</v>
      </c>
      <c r="K3564">
        <v>1.121432</v>
      </c>
      <c r="L3564">
        <v>283.89240000000001</v>
      </c>
      <c r="M3564">
        <v>-0.99991289999999999</v>
      </c>
      <c r="N3564">
        <v>-1.318073E-2</v>
      </c>
      <c r="O3564">
        <v>-7.3332020000000005E-4</v>
      </c>
      <c r="P3564">
        <v>-0.98786260000000004</v>
      </c>
      <c r="Q3564">
        <v>0.15533089999999999</v>
      </c>
      <c r="R3564">
        <v>3.890144E-4</v>
      </c>
      <c r="S3564">
        <v>-3.1259459999999999</v>
      </c>
      <c r="T3564">
        <v>-0.56567849999999997</v>
      </c>
      <c r="U3564">
        <v>0.4281006</v>
      </c>
      <c r="V3564">
        <v>1.109259E-3</v>
      </c>
      <c r="W3564">
        <v>0.1683386</v>
      </c>
      <c r="X3564">
        <v>0.98572859999999995</v>
      </c>
      <c r="Y3564">
        <v>0.1341019</v>
      </c>
      <c r="Z3564">
        <v>1.2998289999999999E-2</v>
      </c>
      <c r="AA3564">
        <v>0.99088229999999999</v>
      </c>
      <c r="AB3564">
        <v>30</v>
      </c>
      <c r="AC3564">
        <v>-0.45959999999996598</v>
      </c>
      <c r="AD3564">
        <v>-0.13252510000000001</v>
      </c>
      <c r="AE3564">
        <v>0.100899999999967</v>
      </c>
      <c r="AF3564">
        <v>9.3796886842201194E-2</v>
      </c>
      <c r="AG3564">
        <v>-0.13252510000000001</v>
      </c>
      <c r="AH3564">
        <v>0.42575423420740299</v>
      </c>
      <c r="AI3564">
        <v>106.90831823910101</v>
      </c>
      <c r="AJ3564">
        <v>77.575772865093299</v>
      </c>
      <c r="AK3564">
        <v>0.45566152575879298</v>
      </c>
      <c r="AL3564">
        <v>80.308764156870893</v>
      </c>
      <c r="AM3564">
        <v>89.935524005026195</v>
      </c>
      <c r="AN3564">
        <v>0.99999999378172399</v>
      </c>
    </row>
    <row r="3565" spans="1:40" x14ac:dyDescent="0.25">
      <c r="A3565" t="str">
        <f>"20190303161944018"</f>
        <v>20190303161944018</v>
      </c>
      <c r="B3565" t="str">
        <f>"1551601184006474"</f>
        <v>1551601184006474</v>
      </c>
      <c r="C3565" t="s">
        <v>40</v>
      </c>
      <c r="D3565">
        <v>3.9595509999999998</v>
      </c>
      <c r="E3565">
        <v>0.56506440000000002</v>
      </c>
      <c r="F3565" t="s">
        <v>61</v>
      </c>
      <c r="G3565">
        <v>-450.08850000000001</v>
      </c>
      <c r="H3565">
        <v>4.3410330000000004</v>
      </c>
      <c r="I3565">
        <v>299.99520000000001</v>
      </c>
      <c r="J3565">
        <v>-355.0419</v>
      </c>
      <c r="K3565">
        <v>1.1214329999999999</v>
      </c>
      <c r="L3565">
        <v>283.8922</v>
      </c>
      <c r="M3565">
        <v>-0.99991289999999999</v>
      </c>
      <c r="N3565">
        <v>-1.317839E-2</v>
      </c>
      <c r="O3565">
        <v>-7.5392429999999902E-4</v>
      </c>
      <c r="P3565">
        <v>-0.9878768</v>
      </c>
      <c r="Q3565">
        <v>0.15523970000000001</v>
      </c>
      <c r="R3565">
        <v>3.0383139999999999E-4</v>
      </c>
      <c r="S3565">
        <v>-3.0205989999999998</v>
      </c>
      <c r="T3565">
        <v>0.10210619999999999</v>
      </c>
      <c r="U3565">
        <v>0.51068119999999995</v>
      </c>
      <c r="V3565">
        <v>1.0443799999999999E-3</v>
      </c>
      <c r="W3565">
        <v>0.16824510000000001</v>
      </c>
      <c r="X3565">
        <v>0.98574470000000003</v>
      </c>
      <c r="Y3565">
        <v>0.16738710000000001</v>
      </c>
      <c r="Z3565">
        <v>-1.732611E-3</v>
      </c>
      <c r="AA3565">
        <v>0.98588969999999998</v>
      </c>
      <c r="AB3565">
        <v>30</v>
      </c>
      <c r="AC3565">
        <v>-95.046599999999998</v>
      </c>
      <c r="AD3565">
        <v>3.2195999999999998</v>
      </c>
      <c r="AE3565">
        <v>16.103000000000002</v>
      </c>
      <c r="AF3565">
        <v>16.1566380710121</v>
      </c>
      <c r="AG3565">
        <v>3.2195999999999998</v>
      </c>
      <c r="AH3565">
        <v>94.928545832422898</v>
      </c>
      <c r="AI3565">
        <v>88.085015886592601</v>
      </c>
      <c r="AJ3565">
        <v>80.340935330962495</v>
      </c>
      <c r="AK3565">
        <v>96.347452440508803</v>
      </c>
      <c r="AL3565">
        <v>80.314199463505702</v>
      </c>
      <c r="AM3565">
        <v>89.939296103932193</v>
      </c>
      <c r="AN3565">
        <v>1.00000005899084</v>
      </c>
    </row>
    <row r="3566" spans="1:40" x14ac:dyDescent="0.25">
      <c r="A3566" t="str">
        <f>"20190303161944037"</f>
        <v>20190303161944037</v>
      </c>
      <c r="B3566" t="str">
        <f>"1551601184025993"</f>
        <v>1551601184025993</v>
      </c>
      <c r="C3566" t="s">
        <v>40</v>
      </c>
      <c r="D3566">
        <v>4.0003599999999997</v>
      </c>
      <c r="E3566">
        <v>0.56222280000000002</v>
      </c>
      <c r="F3566" t="s">
        <v>61</v>
      </c>
      <c r="G3566">
        <v>-448.81420000000003</v>
      </c>
      <c r="H3566">
        <v>3.8119269999999998</v>
      </c>
      <c r="I3566">
        <v>299.99520000000001</v>
      </c>
      <c r="J3566">
        <v>-355.30399999999997</v>
      </c>
      <c r="K3566">
        <v>1.1214309999999901</v>
      </c>
      <c r="L3566">
        <v>283.892</v>
      </c>
      <c r="M3566">
        <v>-0.99991300000000005</v>
      </c>
      <c r="N3566">
        <v>-1.3175289999999999E-2</v>
      </c>
      <c r="O3566">
        <v>-7.8131580000000004E-4</v>
      </c>
      <c r="P3566">
        <v>-0.98791519999999999</v>
      </c>
      <c r="Q3566">
        <v>0.1549953</v>
      </c>
      <c r="R3566" s="1">
        <v>3.4971159999999999E-5</v>
      </c>
      <c r="S3566">
        <v>-3.0230709999999998</v>
      </c>
      <c r="T3566">
        <v>8.6737629999999996E-2</v>
      </c>
      <c r="U3566">
        <v>0.51913450000000005</v>
      </c>
      <c r="V3566">
        <v>8.0271740000000002E-4</v>
      </c>
      <c r="W3566">
        <v>0.167997799999999</v>
      </c>
      <c r="X3566">
        <v>0.98578699999999997</v>
      </c>
      <c r="Y3566">
        <v>0.1699801</v>
      </c>
      <c r="Z3566">
        <v>-1.3247160000000001E-3</v>
      </c>
      <c r="AA3566">
        <v>0.98544659999999995</v>
      </c>
      <c r="AB3566">
        <v>30</v>
      </c>
      <c r="AC3566">
        <v>-93.510199999999998</v>
      </c>
      <c r="AD3566">
        <v>2.690496</v>
      </c>
      <c r="AE3566">
        <v>16.103200000000001</v>
      </c>
      <c r="AF3566">
        <v>16.163267187245001</v>
      </c>
      <c r="AG3566">
        <v>2.690496</v>
      </c>
      <c r="AH3566">
        <v>93.422477230170003</v>
      </c>
      <c r="AI3566">
        <v>88.374516733093401</v>
      </c>
      <c r="AJ3566">
        <v>80.184276756861806</v>
      </c>
      <c r="AK3566">
        <v>94.848559434046905</v>
      </c>
      <c r="AL3566">
        <v>80.328572308721206</v>
      </c>
      <c r="AM3566">
        <v>89.953344577483406</v>
      </c>
      <c r="AN3566">
        <v>0.99999995726453095</v>
      </c>
    </row>
    <row r="3567" spans="1:40" x14ac:dyDescent="0.25">
      <c r="A3567" t="str">
        <f>"20190303161944051"</f>
        <v>20190303161944051</v>
      </c>
      <c r="B3567" t="str">
        <f>"1551601184046490"</f>
        <v>1551601184046490</v>
      </c>
      <c r="C3567" t="s">
        <v>40</v>
      </c>
      <c r="D3567">
        <v>3.9734569999999998</v>
      </c>
      <c r="E3567">
        <v>0.56142799999999904</v>
      </c>
      <c r="F3567" t="s">
        <v>61</v>
      </c>
      <c r="G3567">
        <v>-449.14729999999997</v>
      </c>
      <c r="H3567">
        <v>2.8265709999999999</v>
      </c>
      <c r="I3567">
        <v>299.24849999999998</v>
      </c>
      <c r="J3567">
        <v>-355.48880000000003</v>
      </c>
      <c r="K3567">
        <v>1.121432</v>
      </c>
      <c r="L3567">
        <v>283.89179999999999</v>
      </c>
      <c r="M3567">
        <v>-0.99991300000000005</v>
      </c>
      <c r="N3567">
        <v>-1.31731E-2</v>
      </c>
      <c r="O3567">
        <v>-8.0037320000000002E-4</v>
      </c>
      <c r="P3567">
        <v>-0.98788929999999997</v>
      </c>
      <c r="Q3567">
        <v>0.15516079999999999</v>
      </c>
      <c r="R3567">
        <v>-2.4353530000000001E-4</v>
      </c>
      <c r="S3567">
        <v>-3.028076</v>
      </c>
      <c r="T3567">
        <v>5.5020689999999997E-2</v>
      </c>
      <c r="U3567">
        <v>0.49551390000000001</v>
      </c>
      <c r="V3567">
        <v>5.4304329999999999E-4</v>
      </c>
      <c r="W3567">
        <v>0.1681609</v>
      </c>
      <c r="X3567">
        <v>0.98575939999999995</v>
      </c>
      <c r="Y3567">
        <v>0.16227459999999999</v>
      </c>
      <c r="Z3567">
        <v>-4.1338060000000002E-4</v>
      </c>
      <c r="AA3567">
        <v>0.98674550000000005</v>
      </c>
      <c r="AB3567">
        <v>30</v>
      </c>
      <c r="AC3567">
        <v>-93.658499999999904</v>
      </c>
      <c r="AD3567">
        <v>1.705139</v>
      </c>
      <c r="AE3567">
        <v>15.356699999999901</v>
      </c>
      <c r="AF3567">
        <v>15.4266839415956</v>
      </c>
      <c r="AG3567">
        <v>1.705139</v>
      </c>
      <c r="AH3567">
        <v>93.615960689960701</v>
      </c>
      <c r="AI3567">
        <v>88.970401650646494</v>
      </c>
      <c r="AJ3567">
        <v>80.6425014474883</v>
      </c>
      <c r="AK3567">
        <v>94.893825786230494</v>
      </c>
      <c r="AL3567">
        <v>80.319092811459896</v>
      </c>
      <c r="AM3567">
        <v>89.968436429786607</v>
      </c>
      <c r="AN3567">
        <v>0.99999998893659703</v>
      </c>
    </row>
    <row r="3568" spans="1:40" x14ac:dyDescent="0.25">
      <c r="A3568" t="str">
        <f>"20190303161944063"</f>
        <v>20190303161944063</v>
      </c>
      <c r="B3568" t="str">
        <f>"1551601184056250"</f>
        <v>1551601184056250</v>
      </c>
      <c r="C3568" t="s">
        <v>40</v>
      </c>
      <c r="D3568">
        <v>3.9667669999999999</v>
      </c>
      <c r="E3568">
        <v>0.56063249999999998</v>
      </c>
      <c r="F3568" t="s">
        <v>61</v>
      </c>
      <c r="G3568">
        <v>-450.72489999999999</v>
      </c>
      <c r="H3568">
        <v>2.6459030000000001</v>
      </c>
      <c r="I3568">
        <v>299.24849999999998</v>
      </c>
      <c r="J3568">
        <v>-355.65269999999998</v>
      </c>
      <c r="K3568">
        <v>1.121434</v>
      </c>
      <c r="L3568">
        <v>283.89159999999998</v>
      </c>
      <c r="M3568">
        <v>-0.99991289999999999</v>
      </c>
      <c r="N3568">
        <v>-1.317115E-2</v>
      </c>
      <c r="O3568">
        <v>-8.1693229999999905E-4</v>
      </c>
      <c r="P3568">
        <v>-0.98790929999999999</v>
      </c>
      <c r="Q3568">
        <v>0.1550327</v>
      </c>
      <c r="R3568">
        <v>-2.1890970000000001E-4</v>
      </c>
      <c r="S3568">
        <v>-3.0292659999999998</v>
      </c>
      <c r="T3568">
        <v>4.8490640000000002E-2</v>
      </c>
      <c r="U3568">
        <v>0.48846440000000002</v>
      </c>
      <c r="V3568">
        <v>5.8391430000000004E-4</v>
      </c>
      <c r="W3568">
        <v>0.16803119999999999</v>
      </c>
      <c r="X3568">
        <v>0.98578149999999998</v>
      </c>
      <c r="Y3568">
        <v>0.159995</v>
      </c>
      <c r="Z3568">
        <v>-2.3545860000000001E-4</v>
      </c>
      <c r="AA3568">
        <v>0.98711780000000005</v>
      </c>
      <c r="AB3568">
        <v>30</v>
      </c>
      <c r="AC3568">
        <v>-95.072199999999995</v>
      </c>
      <c r="AD3568">
        <v>1.5244689999999901</v>
      </c>
      <c r="AE3568">
        <v>15.3568999999999</v>
      </c>
      <c r="AF3568">
        <v>15.4307025612295</v>
      </c>
      <c r="AG3568">
        <v>1.5244689999999901</v>
      </c>
      <c r="AH3568">
        <v>95.035807693246795</v>
      </c>
      <c r="AI3568">
        <v>89.092874969376595</v>
      </c>
      <c r="AJ3568">
        <v>80.777524356468007</v>
      </c>
      <c r="AK3568">
        <v>96.292446906145699</v>
      </c>
      <c r="AL3568">
        <v>80.326631406242797</v>
      </c>
      <c r="AM3568">
        <v>89.9660616261569</v>
      </c>
      <c r="AN3568">
        <v>0.99999999543579898</v>
      </c>
    </row>
    <row r="3569" spans="1:40" x14ac:dyDescent="0.25">
      <c r="A3569" t="str">
        <f>"20190303161944075"</f>
        <v>20190303161944075</v>
      </c>
      <c r="B3569" t="str">
        <f>"1551601184066009"</f>
        <v>1551601184066009</v>
      </c>
      <c r="C3569" t="s">
        <v>40</v>
      </c>
      <c r="D3569">
        <v>4.0064640000000002</v>
      </c>
      <c r="E3569">
        <v>0.55982849999999995</v>
      </c>
      <c r="F3569" t="s">
        <v>61</v>
      </c>
      <c r="G3569">
        <v>-452.16309999999999</v>
      </c>
      <c r="H3569">
        <v>2.4959509999999998</v>
      </c>
      <c r="I3569">
        <v>299.24849999999998</v>
      </c>
      <c r="J3569">
        <v>-355.8143</v>
      </c>
      <c r="K3569">
        <v>1.121426</v>
      </c>
      <c r="L3569">
        <v>283.89150000000001</v>
      </c>
      <c r="M3569">
        <v>-0.99991300000000005</v>
      </c>
      <c r="N3569">
        <v>-1.3169230000000001E-2</v>
      </c>
      <c r="O3569">
        <v>-8.3348910000000001E-4</v>
      </c>
      <c r="P3569">
        <v>-0.98790060000000002</v>
      </c>
      <c r="Q3569">
        <v>0.15508849999999999</v>
      </c>
      <c r="R3569">
        <v>-3.7026220000000001E-4</v>
      </c>
      <c r="S3569">
        <v>-3.0300600000000002</v>
      </c>
      <c r="T3569">
        <v>4.3154949999999997E-2</v>
      </c>
      <c r="U3569">
        <v>0.4821472</v>
      </c>
      <c r="V3569">
        <v>4.4901590000000002E-4</v>
      </c>
      <c r="W3569">
        <v>0.16808480000000001</v>
      </c>
      <c r="X3569">
        <v>0.98577239999999999</v>
      </c>
      <c r="Y3569">
        <v>0.157966299999999</v>
      </c>
      <c r="Z3569" s="1">
        <v>-9.3818180000000001E-5</v>
      </c>
      <c r="AA3569">
        <v>0.98744449999999995</v>
      </c>
      <c r="AB3569">
        <v>30</v>
      </c>
      <c r="AC3569">
        <v>-96.348799999999898</v>
      </c>
      <c r="AD3569">
        <v>1.37452499999999</v>
      </c>
      <c r="AE3569">
        <v>15.3569999999999</v>
      </c>
      <c r="AF3569">
        <v>15.4342439067053</v>
      </c>
      <c r="AG3569">
        <v>1.37452499999999</v>
      </c>
      <c r="AH3569">
        <v>96.316848537505194</v>
      </c>
      <c r="AI3569">
        <v>89.192693058104297</v>
      </c>
      <c r="AJ3569">
        <v>80.896065227069101</v>
      </c>
      <c r="AK3569">
        <v>97.555320286204804</v>
      </c>
      <c r="AL3569">
        <v>80.323515727107306</v>
      </c>
      <c r="AM3569">
        <v>89.973901973493</v>
      </c>
      <c r="AN3569">
        <v>0.99999996310403805</v>
      </c>
    </row>
    <row r="3570" spans="1:40" x14ac:dyDescent="0.25">
      <c r="A3570" t="str">
        <f>"20190303161944088"</f>
        <v>20190303161944088</v>
      </c>
      <c r="B3570" t="str">
        <f>"1551601184075770"</f>
        <v>1551601184075770</v>
      </c>
      <c r="C3570" t="s">
        <v>40</v>
      </c>
      <c r="D3570">
        <v>3.982542</v>
      </c>
      <c r="E3570">
        <v>0.55922839999999996</v>
      </c>
      <c r="F3570" t="s">
        <v>61</v>
      </c>
      <c r="G3570">
        <v>-453.71879999999999</v>
      </c>
      <c r="H3570">
        <v>2.3444509999999998</v>
      </c>
      <c r="I3570">
        <v>299.24849999999998</v>
      </c>
      <c r="J3570">
        <v>-355.98860000000002</v>
      </c>
      <c r="K3570">
        <v>1.1214249999999999</v>
      </c>
      <c r="L3570">
        <v>283.8913</v>
      </c>
      <c r="M3570">
        <v>-0.99991300000000005</v>
      </c>
      <c r="N3570">
        <v>-1.3167160000000001E-2</v>
      </c>
      <c r="O3570">
        <v>-8.5135600000000005E-4</v>
      </c>
      <c r="P3570">
        <v>-0.98782890000000001</v>
      </c>
      <c r="Q3570">
        <v>0.15554319999999999</v>
      </c>
      <c r="R3570">
        <v>-5.6416729999999996E-4</v>
      </c>
      <c r="S3570">
        <v>-3.0310060000000001</v>
      </c>
      <c r="T3570">
        <v>3.7863729999999998E-2</v>
      </c>
      <c r="U3570">
        <v>0.4754333</v>
      </c>
      <c r="V3570">
        <v>2.725685E-4</v>
      </c>
      <c r="W3570">
        <v>0.16853699999999999</v>
      </c>
      <c r="X3570">
        <v>0.98569530000000005</v>
      </c>
      <c r="Y3570">
        <v>0.15580350000000001</v>
      </c>
      <c r="Z3570" s="1">
        <v>4.3099049999999999E-5</v>
      </c>
      <c r="AA3570">
        <v>0.98778809999999995</v>
      </c>
      <c r="AB3570">
        <v>30</v>
      </c>
      <c r="AC3570">
        <v>-97.730199999999897</v>
      </c>
      <c r="AD3570">
        <v>1.2230259999999999</v>
      </c>
      <c r="AE3570">
        <v>15.357199999999899</v>
      </c>
      <c r="AF3570">
        <v>15.4380453753396</v>
      </c>
      <c r="AG3570">
        <v>1.2230259999999999</v>
      </c>
      <c r="AH3570">
        <v>97.702156779469902</v>
      </c>
      <c r="AI3570">
        <v>89.291602568172607</v>
      </c>
      <c r="AJ3570">
        <v>81.020857051001897</v>
      </c>
      <c r="AK3570">
        <v>98.921890787468399</v>
      </c>
      <c r="AL3570">
        <v>80.297232059078695</v>
      </c>
      <c r="AM3570">
        <v>89.984156336871806</v>
      </c>
      <c r="AN3570">
        <v>1.00000000955233</v>
      </c>
    </row>
    <row r="3571" spans="1:40" x14ac:dyDescent="0.25">
      <c r="A3571" t="str">
        <f>"20190303161944103"</f>
        <v>20190303161944103</v>
      </c>
      <c r="B3571" t="str">
        <f>"1551601184096270"</f>
        <v>1551601184096270</v>
      </c>
      <c r="C3571" t="s">
        <v>40</v>
      </c>
      <c r="D3571">
        <v>3.9179249999999999</v>
      </c>
      <c r="E3571">
        <v>0.55736580000000002</v>
      </c>
      <c r="F3571" t="s">
        <v>61</v>
      </c>
      <c r="G3571">
        <v>-455.0514</v>
      </c>
      <c r="H3571">
        <v>2.292805</v>
      </c>
      <c r="I3571">
        <v>299.24849999999998</v>
      </c>
      <c r="J3571">
        <v>-356.19220000000001</v>
      </c>
      <c r="K3571">
        <v>1.121429</v>
      </c>
      <c r="L3571">
        <v>283.89109999999999</v>
      </c>
      <c r="M3571">
        <v>-0.99991300000000005</v>
      </c>
      <c r="N3571">
        <v>-1.3164769999999999E-2</v>
      </c>
      <c r="O3571">
        <v>-8.7220089999999896E-4</v>
      </c>
      <c r="P3571">
        <v>-0.98776140000000001</v>
      </c>
      <c r="Q3571">
        <v>0.155973</v>
      </c>
      <c r="R3571">
        <v>-4.1496989999999999E-4</v>
      </c>
      <c r="S3571">
        <v>-3.0315859999999999</v>
      </c>
      <c r="T3571">
        <v>3.5847660000000003E-2</v>
      </c>
      <c r="U3571">
        <v>0.46997070000000002</v>
      </c>
      <c r="V3571">
        <v>4.4242290000000002E-4</v>
      </c>
      <c r="W3571">
        <v>0.16896329999999901</v>
      </c>
      <c r="X3571">
        <v>0.9856222</v>
      </c>
      <c r="Y3571">
        <v>0.15405779999999999</v>
      </c>
      <c r="Z3571" s="1">
        <v>9.3055540000000007E-5</v>
      </c>
      <c r="AA3571">
        <v>0.98806179999999999</v>
      </c>
      <c r="AB3571">
        <v>30</v>
      </c>
      <c r="AC3571">
        <v>-98.859200000000001</v>
      </c>
      <c r="AD3571">
        <v>1.171376</v>
      </c>
      <c r="AE3571">
        <v>15.357399999999901</v>
      </c>
      <c r="AF3571">
        <v>15.4415098503541</v>
      </c>
      <c r="AG3571">
        <v>1.171376</v>
      </c>
      <c r="AH3571">
        <v>98.832217690789307</v>
      </c>
      <c r="AI3571">
        <v>89.329091206431698</v>
      </c>
      <c r="AJ3571">
        <v>81.119920436540497</v>
      </c>
      <c r="AK3571">
        <v>100.038090754829</v>
      </c>
      <c r="AL3571">
        <v>80.272450968577004</v>
      </c>
      <c r="AM3571">
        <v>89.974281257841497</v>
      </c>
      <c r="AN3571">
        <v>0.99999995680887499</v>
      </c>
    </row>
    <row r="3572" spans="1:40" x14ac:dyDescent="0.25">
      <c r="A3572" t="str">
        <f>"20190303161944116"</f>
        <v>20190303161944116</v>
      </c>
      <c r="B3572" t="str">
        <f>"1551601184106026"</f>
        <v>1551601184106026</v>
      </c>
      <c r="C3572" t="s">
        <v>40</v>
      </c>
      <c r="D3572">
        <v>4.0270190000000001</v>
      </c>
      <c r="E3572">
        <v>0.55671440000000005</v>
      </c>
      <c r="F3572" t="s">
        <v>61</v>
      </c>
      <c r="G3572">
        <v>-456.12439999999998</v>
      </c>
      <c r="H3572">
        <v>2.281256</v>
      </c>
      <c r="I3572">
        <v>298.90839999999997</v>
      </c>
      <c r="J3572">
        <v>-356.36700000000002</v>
      </c>
      <c r="K3572">
        <v>1.1214309999999901</v>
      </c>
      <c r="L3572">
        <v>283.89089999999999</v>
      </c>
      <c r="M3572">
        <v>-0.9999131</v>
      </c>
      <c r="N3572">
        <v>-1.3162729999999999E-2</v>
      </c>
      <c r="O3572">
        <v>-8.90423E-4</v>
      </c>
      <c r="P3572">
        <v>-0.98773089999999997</v>
      </c>
      <c r="Q3572">
        <v>0.15616579999999999</v>
      </c>
      <c r="R3572">
        <v>-4.3718659999999999E-4</v>
      </c>
      <c r="S3572">
        <v>-3.0317690000000002</v>
      </c>
      <c r="T3572">
        <v>3.5187360000000001E-2</v>
      </c>
      <c r="U3572">
        <v>0.45559690000000003</v>
      </c>
      <c r="V3572">
        <v>4.3813869999999999E-4</v>
      </c>
      <c r="W3572">
        <v>0.16915359999999999</v>
      </c>
      <c r="X3572">
        <v>0.98558959999999995</v>
      </c>
      <c r="Y3572">
        <v>0.1494875</v>
      </c>
      <c r="Z3572">
        <v>1.0480999999999999E-4</v>
      </c>
      <c r="AA3572">
        <v>0.98876359999999996</v>
      </c>
      <c r="AB3572">
        <v>30</v>
      </c>
      <c r="AC3572">
        <v>-99.757400000000004</v>
      </c>
      <c r="AD3572">
        <v>1.1598250000000001</v>
      </c>
      <c r="AE3572">
        <v>15.017499999999901</v>
      </c>
      <c r="AF3572">
        <v>15.1043315382248</v>
      </c>
      <c r="AG3572">
        <v>1.1598250000000001</v>
      </c>
      <c r="AH3572">
        <v>99.7308050456692</v>
      </c>
      <c r="AI3572">
        <v>89.341217424362497</v>
      </c>
      <c r="AJ3572">
        <v>81.387944197391107</v>
      </c>
      <c r="AK3572">
        <v>100.874771376715</v>
      </c>
      <c r="AL3572">
        <v>80.261388731463796</v>
      </c>
      <c r="AM3572">
        <v>89.9745294626711</v>
      </c>
      <c r="AN3572">
        <v>0.99999999599332001</v>
      </c>
    </row>
    <row r="3573" spans="1:40" x14ac:dyDescent="0.25">
      <c r="A3573" t="str">
        <f>"20190303161944130"</f>
        <v>20190303161944130</v>
      </c>
      <c r="B3573" t="str">
        <f>"1551601184116762"</f>
        <v>1551601184116762</v>
      </c>
      <c r="C3573" t="s">
        <v>40</v>
      </c>
      <c r="D3573">
        <v>4.0479620000000001</v>
      </c>
      <c r="E3573">
        <v>0.55621860000000001</v>
      </c>
      <c r="F3573" t="s">
        <v>60</v>
      </c>
      <c r="G3573">
        <v>-511.8211</v>
      </c>
      <c r="H3573">
        <v>2.7998789999999998</v>
      </c>
      <c r="I3573">
        <v>306.97879999999998</v>
      </c>
      <c r="J3573">
        <v>-356.54739999999998</v>
      </c>
      <c r="K3573">
        <v>1.1214329999999999</v>
      </c>
      <c r="L3573">
        <v>283.89080000000001</v>
      </c>
      <c r="M3573">
        <v>-0.9999131</v>
      </c>
      <c r="N3573">
        <v>-1.316061E-2</v>
      </c>
      <c r="O3573">
        <v>-9.0912199999999995E-4</v>
      </c>
      <c r="P3573">
        <v>-0.98768959999999995</v>
      </c>
      <c r="Q3573">
        <v>0.15642729999999999</v>
      </c>
      <c r="R3573">
        <v>-4.2772390000000001E-4</v>
      </c>
      <c r="S3573">
        <v>-3.032257</v>
      </c>
      <c r="T3573">
        <v>3.2741190000000003E-2</v>
      </c>
      <c r="U3573">
        <v>0.45034790000000002</v>
      </c>
      <c r="V3573">
        <v>4.6622180000000001E-4</v>
      </c>
      <c r="W3573">
        <v>0.1694126</v>
      </c>
      <c r="X3573">
        <v>0.98554509999999995</v>
      </c>
      <c r="Y3573">
        <v>0.14780860000000001</v>
      </c>
      <c r="Z3573">
        <v>1.6268850000000001E-4</v>
      </c>
      <c r="AA3573">
        <v>0.98901600000000001</v>
      </c>
      <c r="AB3573">
        <v>30</v>
      </c>
      <c r="AC3573">
        <v>-155.27369999999999</v>
      </c>
      <c r="AD3573">
        <v>1.6784460000000001</v>
      </c>
      <c r="AE3573">
        <v>23.087999999999901</v>
      </c>
      <c r="AF3573">
        <v>23.226510152994202</v>
      </c>
      <c r="AG3573">
        <v>1.6784460000000001</v>
      </c>
      <c r="AH3573">
        <v>155.234897770716</v>
      </c>
      <c r="AI3573">
        <v>89.387344259169794</v>
      </c>
      <c r="AJ3573">
        <v>81.490433296534405</v>
      </c>
      <c r="AK3573">
        <v>156.971849198341</v>
      </c>
      <c r="AL3573">
        <v>80.246331807873204</v>
      </c>
      <c r="AM3573">
        <v>89.972895670158195</v>
      </c>
      <c r="AN3573">
        <v>0.99999999526776795</v>
      </c>
    </row>
    <row r="3574" spans="1:40" x14ac:dyDescent="0.25">
      <c r="A3574" t="str">
        <f>"20190303161944142"</f>
        <v>20190303161944142</v>
      </c>
      <c r="B3574" t="str">
        <f>"1551601184136282"</f>
        <v>1551601184136282</v>
      </c>
      <c r="C3574" t="s">
        <v>40</v>
      </c>
      <c r="D3574">
        <v>4.0465339999999896</v>
      </c>
      <c r="E3574">
        <v>0.55523230000000001</v>
      </c>
      <c r="F3574" t="s">
        <v>60</v>
      </c>
      <c r="G3574">
        <v>-511.82100000000003</v>
      </c>
      <c r="H3574">
        <v>2.7278880000000001</v>
      </c>
      <c r="I3574">
        <v>306.73790000000002</v>
      </c>
      <c r="J3574">
        <v>-356.71839999999997</v>
      </c>
      <c r="K3574">
        <v>1.12144</v>
      </c>
      <c r="L3574">
        <v>283.89060000000001</v>
      </c>
      <c r="M3574">
        <v>-0.99991319999999995</v>
      </c>
      <c r="N3574">
        <v>-1.3158599999999999E-2</v>
      </c>
      <c r="O3574">
        <v>-9.2675069999999997E-4</v>
      </c>
      <c r="P3574">
        <v>-0.9876393</v>
      </c>
      <c r="Q3574">
        <v>0.1567442</v>
      </c>
      <c r="R3574">
        <v>-1.8698679999999999E-4</v>
      </c>
      <c r="S3574">
        <v>-3.032654</v>
      </c>
      <c r="T3574">
        <v>3.1377429999999998E-2</v>
      </c>
      <c r="U3574">
        <v>0.44622800000000001</v>
      </c>
      <c r="V3574">
        <v>7.2416919999999897E-4</v>
      </c>
      <c r="W3574">
        <v>0.1697264</v>
      </c>
      <c r="X3574">
        <v>0.98549100000000001</v>
      </c>
      <c r="Y3574">
        <v>0.1464925</v>
      </c>
      <c r="Z3574">
        <v>1.935816E-4</v>
      </c>
      <c r="AA3574">
        <v>0.98921170000000003</v>
      </c>
      <c r="AB3574">
        <v>30</v>
      </c>
      <c r="AC3574">
        <v>-155.1026</v>
      </c>
      <c r="AD3574">
        <v>1.6064479999999901</v>
      </c>
      <c r="AE3574">
        <v>22.847300000000001</v>
      </c>
      <c r="AF3574">
        <v>22.988630333908102</v>
      </c>
      <c r="AG3574">
        <v>1.6064479999999901</v>
      </c>
      <c r="AH3574">
        <v>155.06507660280801</v>
      </c>
      <c r="AI3574">
        <v>89.412863306049204</v>
      </c>
      <c r="AJ3574">
        <v>81.567236569299595</v>
      </c>
      <c r="AK3574">
        <v>156.76809554766001</v>
      </c>
      <c r="AL3574">
        <v>80.228088665056603</v>
      </c>
      <c r="AM3574">
        <v>89.957897300589096</v>
      </c>
      <c r="AN3574">
        <v>1.00000004317949</v>
      </c>
    </row>
    <row r="3575" spans="1:40" x14ac:dyDescent="0.25">
      <c r="A3575" t="str">
        <f>"20190303161944160"</f>
        <v>20190303161944160</v>
      </c>
      <c r="B3575" t="str">
        <f>"1551601184146042"</f>
        <v>1551601184146042</v>
      </c>
      <c r="C3575" t="s">
        <v>40</v>
      </c>
      <c r="D3575">
        <v>4.0022630000000001</v>
      </c>
      <c r="E3575">
        <v>0.55469049999999998</v>
      </c>
      <c r="F3575" t="s">
        <v>60</v>
      </c>
      <c r="G3575">
        <v>-511.82100000000003</v>
      </c>
      <c r="H3575">
        <v>2.4962339999999998</v>
      </c>
      <c r="I3575">
        <v>306.32940000000002</v>
      </c>
      <c r="J3575">
        <v>-356.9502</v>
      </c>
      <c r="K3575">
        <v>1.1214409999999999</v>
      </c>
      <c r="L3575">
        <v>283.8904</v>
      </c>
      <c r="M3575">
        <v>-0.99991319999999995</v>
      </c>
      <c r="N3575">
        <v>-1.315589E-2</v>
      </c>
      <c r="O3575">
        <v>-9.5057309999999995E-4</v>
      </c>
      <c r="P3575">
        <v>-0.98753659999999999</v>
      </c>
      <c r="Q3575">
        <v>0.15739049999999999</v>
      </c>
      <c r="R3575">
        <v>1.344257E-4</v>
      </c>
      <c r="S3575">
        <v>-3.0333860000000001</v>
      </c>
      <c r="T3575">
        <v>2.6888970000000002E-2</v>
      </c>
      <c r="U3575">
        <v>0.43884279999999998</v>
      </c>
      <c r="V3575">
        <v>1.069078E-3</v>
      </c>
      <c r="W3575">
        <v>0.17036879999999999</v>
      </c>
      <c r="X3575">
        <v>0.98537980000000003</v>
      </c>
      <c r="Y3575">
        <v>0.14412359999999999</v>
      </c>
      <c r="Z3575">
        <v>2.966949E-4</v>
      </c>
      <c r="AA3575">
        <v>0.98955970000000004</v>
      </c>
      <c r="AB3575">
        <v>30</v>
      </c>
      <c r="AC3575">
        <v>-154.87079999999901</v>
      </c>
      <c r="AD3575">
        <v>1.3747929999999999</v>
      </c>
      <c r="AE3575">
        <v>22.439</v>
      </c>
      <c r="AF3575">
        <v>22.584475487334402</v>
      </c>
      <c r="AG3575">
        <v>1.3747929999999999</v>
      </c>
      <c r="AH3575">
        <v>154.837447688222</v>
      </c>
      <c r="AI3575">
        <v>89.496613653329405</v>
      </c>
      <c r="AJ3575">
        <v>81.701400500613801</v>
      </c>
      <c r="AK3575">
        <v>156.481896062879</v>
      </c>
      <c r="AL3575">
        <v>80.190737551903297</v>
      </c>
      <c r="AM3575">
        <v>89.937837539051898</v>
      </c>
      <c r="AN3575">
        <v>1.0000000105946201</v>
      </c>
    </row>
    <row r="3576" spans="1:40" x14ac:dyDescent="0.25">
      <c r="A3576" t="str">
        <f>"20190303161944183"</f>
        <v>20190303161944183</v>
      </c>
      <c r="B3576" t="str">
        <f>"1551601184176297"</f>
        <v>1551601184176297</v>
      </c>
      <c r="C3576" t="s">
        <v>40</v>
      </c>
      <c r="D3576">
        <v>4.0938509999999999</v>
      </c>
      <c r="E3576">
        <v>0.55367159999999904</v>
      </c>
      <c r="F3576" t="s">
        <v>60</v>
      </c>
      <c r="G3576">
        <v>-511.82100000000003</v>
      </c>
      <c r="H3576">
        <v>2.5247739999999999</v>
      </c>
      <c r="I3576">
        <v>306.12569999999999</v>
      </c>
      <c r="J3576">
        <v>-357.25490000000002</v>
      </c>
      <c r="K3576">
        <v>1.121443</v>
      </c>
      <c r="L3576">
        <v>283.89</v>
      </c>
      <c r="M3576">
        <v>-0.9999131</v>
      </c>
      <c r="N3576">
        <v>-1.3152280000000001E-2</v>
      </c>
      <c r="O3576">
        <v>-9.8154649999999998E-4</v>
      </c>
      <c r="P3576">
        <v>-0.98746929999999999</v>
      </c>
      <c r="Q3576">
        <v>0.15780910000000001</v>
      </c>
      <c r="R3576">
        <v>9.2769830000000001E-4</v>
      </c>
      <c r="S3576">
        <v>-3.033417</v>
      </c>
      <c r="T3576">
        <v>2.7488470000000001E-2</v>
      </c>
      <c r="U3576">
        <v>0.43551640000000003</v>
      </c>
      <c r="V3576">
        <v>1.892749E-3</v>
      </c>
      <c r="W3576">
        <v>0.1707832</v>
      </c>
      <c r="X3576">
        <v>0.98530680000000004</v>
      </c>
      <c r="Y3576">
        <v>0.14308959999999901</v>
      </c>
      <c r="Z3576">
        <v>2.7910549999999999E-4</v>
      </c>
      <c r="AA3576">
        <v>0.98970970000000003</v>
      </c>
      <c r="AB3576">
        <v>30</v>
      </c>
      <c r="AC3576">
        <v>-154.56609999999901</v>
      </c>
      <c r="AD3576">
        <v>1.4033310000000001</v>
      </c>
      <c r="AE3576">
        <v>22.235700000000001</v>
      </c>
      <c r="AF3576">
        <v>22.385608354522802</v>
      </c>
      <c r="AG3576">
        <v>1.4033310000000001</v>
      </c>
      <c r="AH3576">
        <v>154.53171830917299</v>
      </c>
      <c r="AI3576">
        <v>89.485075198361798</v>
      </c>
      <c r="AJ3576">
        <v>81.757416996170505</v>
      </c>
      <c r="AK3576">
        <v>156.15100628200699</v>
      </c>
      <c r="AL3576">
        <v>80.166640800798206</v>
      </c>
      <c r="AM3576">
        <v>89.889936417790295</v>
      </c>
      <c r="AN3576">
        <v>0.99999998701362802</v>
      </c>
    </row>
    <row r="3577" spans="1:40" x14ac:dyDescent="0.25">
      <c r="A3577" t="str">
        <f>"20190303161944204"</f>
        <v>20190303161944204</v>
      </c>
      <c r="B3577" t="str">
        <f>"1551601184195818"</f>
        <v>1551601184195818</v>
      </c>
      <c r="C3577" t="s">
        <v>40</v>
      </c>
      <c r="D3577">
        <v>4.070875</v>
      </c>
      <c r="E3577">
        <v>0.5526335</v>
      </c>
      <c r="F3577" t="s">
        <v>60</v>
      </c>
      <c r="G3577">
        <v>-511.82089999999999</v>
      </c>
      <c r="H3577">
        <v>2.3759420000000002</v>
      </c>
      <c r="I3577">
        <v>305.77449999999999</v>
      </c>
      <c r="J3577">
        <v>-357.54700000000003</v>
      </c>
      <c r="K3577">
        <v>1.1214440000000001</v>
      </c>
      <c r="L3577">
        <v>283.8897</v>
      </c>
      <c r="M3577">
        <v>-0.9999131</v>
      </c>
      <c r="N3577">
        <v>-1.314881E-2</v>
      </c>
      <c r="O3577">
        <v>-1.011798E-3</v>
      </c>
      <c r="P3577">
        <v>-0.98739869999999996</v>
      </c>
      <c r="Q3577">
        <v>0.15824250000000001</v>
      </c>
      <c r="R3577">
        <v>1.74807E-3</v>
      </c>
      <c r="S3577">
        <v>-3.033722</v>
      </c>
      <c r="T3577">
        <v>2.462423E-2</v>
      </c>
      <c r="U3577">
        <v>0.4295349</v>
      </c>
      <c r="V3577">
        <v>2.7428999999999999E-3</v>
      </c>
      <c r="W3577">
        <v>0.17121220000000001</v>
      </c>
      <c r="X3577">
        <v>0.98523039999999995</v>
      </c>
      <c r="Y3577">
        <v>0.14119309999999999</v>
      </c>
      <c r="Z3577">
        <v>3.4131960000000002E-4</v>
      </c>
      <c r="AA3577">
        <v>0.98998200000000003</v>
      </c>
      <c r="AB3577">
        <v>30</v>
      </c>
      <c r="AC3577">
        <v>-154.2739</v>
      </c>
      <c r="AD3577">
        <v>1.2544979999999899</v>
      </c>
      <c r="AE3577">
        <v>21.884799999999899</v>
      </c>
      <c r="AF3577">
        <v>22.039467728934302</v>
      </c>
      <c r="AG3577">
        <v>1.2544979999999899</v>
      </c>
      <c r="AH3577">
        <v>154.24167831690099</v>
      </c>
      <c r="AI3577">
        <v>89.538690319321603</v>
      </c>
      <c r="AJ3577">
        <v>81.868098484236597</v>
      </c>
      <c r="AK3577">
        <v>155.813373087874</v>
      </c>
      <c r="AL3577">
        <v>80.141694009915696</v>
      </c>
      <c r="AM3577">
        <v>89.840487882224707</v>
      </c>
      <c r="AN3577">
        <v>1.0000000410067</v>
      </c>
    </row>
    <row r="3578" spans="1:40" x14ac:dyDescent="0.25">
      <c r="A3578" t="str">
        <f>"20190303161944227"</f>
        <v>20190303161944227</v>
      </c>
      <c r="B3578" t="str">
        <f>"1551601184216314"</f>
        <v>1551601184216314</v>
      </c>
      <c r="C3578" t="s">
        <v>40</v>
      </c>
      <c r="D3578">
        <v>4.0524849999999999</v>
      </c>
      <c r="E3578">
        <v>0.55159829999999999</v>
      </c>
      <c r="F3578" t="s">
        <v>60</v>
      </c>
      <c r="G3578">
        <v>-511.82089999999999</v>
      </c>
      <c r="H3578">
        <v>2.33135</v>
      </c>
      <c r="I3578">
        <v>305.42720000000003</v>
      </c>
      <c r="J3578">
        <v>-357.83769999999998</v>
      </c>
      <c r="K3578">
        <v>1.1214459999999999</v>
      </c>
      <c r="L3578">
        <v>283.88940000000002</v>
      </c>
      <c r="M3578">
        <v>-0.99991319999999995</v>
      </c>
      <c r="N3578">
        <v>-1.314538E-2</v>
      </c>
      <c r="O3578">
        <v>-1.041695E-3</v>
      </c>
      <c r="P3578">
        <v>-0.98731729999999995</v>
      </c>
      <c r="Q3578">
        <v>0.1587451</v>
      </c>
      <c r="R3578">
        <v>2.2129789999999999E-3</v>
      </c>
      <c r="S3578">
        <v>-3.033722</v>
      </c>
      <c r="T3578">
        <v>2.379394E-2</v>
      </c>
      <c r="U3578">
        <v>0.42352289999999998</v>
      </c>
      <c r="V3578">
        <v>3.2374169999999998E-3</v>
      </c>
      <c r="W3578">
        <v>0.1717101</v>
      </c>
      <c r="X3578">
        <v>0.98514219999999997</v>
      </c>
      <c r="Y3578">
        <v>0.13929859999999999</v>
      </c>
      <c r="Z3578">
        <v>3.5463090000000002E-4</v>
      </c>
      <c r="AA3578">
        <v>0.99025030000000003</v>
      </c>
      <c r="AB3578">
        <v>30</v>
      </c>
      <c r="AC3578">
        <v>-153.98320000000001</v>
      </c>
      <c r="AD3578">
        <v>1.2099040000000001</v>
      </c>
      <c r="AE3578">
        <v>21.537800000000001</v>
      </c>
      <c r="AF3578">
        <v>21.696891851973302</v>
      </c>
      <c r="AG3578">
        <v>1.2099040000000001</v>
      </c>
      <c r="AH3578">
        <v>153.951356361584</v>
      </c>
      <c r="AI3578">
        <v>89.554127687766893</v>
      </c>
      <c r="AJ3578">
        <v>81.977943143026593</v>
      </c>
      <c r="AK3578">
        <v>155.47745530879101</v>
      </c>
      <c r="AL3578">
        <v>80.112737181814396</v>
      </c>
      <c r="AM3578">
        <v>89.811712803592798</v>
      </c>
      <c r="AN3578">
        <v>0.99999999676583995</v>
      </c>
    </row>
    <row r="3579" spans="1:40" x14ac:dyDescent="0.25">
      <c r="A3579" t="str">
        <f>"20190303161944238"</f>
        <v>20190303161944238</v>
      </c>
      <c r="B3579" t="str">
        <f>"1551601184226074"</f>
        <v>1551601184226074</v>
      </c>
      <c r="C3579" t="s">
        <v>40</v>
      </c>
      <c r="D3579">
        <v>4.1018939999999997</v>
      </c>
      <c r="E3579">
        <v>0.55114849999999904</v>
      </c>
      <c r="F3579" t="s">
        <v>60</v>
      </c>
      <c r="G3579">
        <v>-511.82089999999999</v>
      </c>
      <c r="H3579">
        <v>2.3352189999999999</v>
      </c>
      <c r="I3579">
        <v>305.03859999999997</v>
      </c>
      <c r="J3579">
        <v>-358.00889999999998</v>
      </c>
      <c r="K3579">
        <v>1.1214489999999999</v>
      </c>
      <c r="L3579">
        <v>283.88920000000002</v>
      </c>
      <c r="M3579">
        <v>-0.99991319999999995</v>
      </c>
      <c r="N3579">
        <v>-1.314339E-2</v>
      </c>
      <c r="O3579">
        <v>-1.0593239999999999E-3</v>
      </c>
      <c r="P3579">
        <v>-0.98730669999999998</v>
      </c>
      <c r="Q3579">
        <v>0.1588059</v>
      </c>
      <c r="R3579">
        <v>2.5619459999999998E-3</v>
      </c>
      <c r="S3579">
        <v>-3.0338129999999999</v>
      </c>
      <c r="T3579">
        <v>2.3915769999999999E-2</v>
      </c>
      <c r="U3579">
        <v>0.41668699999999997</v>
      </c>
      <c r="V3579">
        <v>3.603738E-3</v>
      </c>
      <c r="W3579">
        <v>0.1717688</v>
      </c>
      <c r="X3579">
        <v>0.98513070000000003</v>
      </c>
      <c r="Y3579">
        <v>0.1371223</v>
      </c>
      <c r="Z3579">
        <v>3.4525659999999999E-4</v>
      </c>
      <c r="AA3579">
        <v>0.99055409999999999</v>
      </c>
      <c r="AB3579">
        <v>30</v>
      </c>
      <c r="AC3579">
        <v>-153.81200000000001</v>
      </c>
      <c r="AD3579">
        <v>1.21377</v>
      </c>
      <c r="AE3579">
        <v>21.149399999999901</v>
      </c>
      <c r="AF3579">
        <v>21.3110364727827</v>
      </c>
      <c r="AG3579">
        <v>1.21377</v>
      </c>
      <c r="AH3579">
        <v>153.78010919389001</v>
      </c>
      <c r="AI3579">
        <v>89.552060565676001</v>
      </c>
      <c r="AJ3579">
        <v>82.110132051250801</v>
      </c>
      <c r="AK3579">
        <v>155.25448623740999</v>
      </c>
      <c r="AL3579">
        <v>80.1093232465402</v>
      </c>
      <c r="AM3579">
        <v>89.790405418438993</v>
      </c>
      <c r="AN3579">
        <v>1.0000000018317501</v>
      </c>
    </row>
    <row r="3580" spans="1:40" x14ac:dyDescent="0.25">
      <c r="A3580" t="str">
        <f>"20190303161944250"</f>
        <v>20190303161944250</v>
      </c>
      <c r="B3580" t="str">
        <f>"1551601184246571"</f>
        <v>1551601184246571</v>
      </c>
      <c r="C3580" t="s">
        <v>40</v>
      </c>
      <c r="D3580">
        <v>4.1766120000000004</v>
      </c>
      <c r="E3580">
        <v>0.55019830000000003</v>
      </c>
      <c r="F3580" t="s">
        <v>60</v>
      </c>
      <c r="G3580">
        <v>-511.82089999999999</v>
      </c>
      <c r="H3580">
        <v>2.2893650000000001</v>
      </c>
      <c r="I3580">
        <v>304.88049999999998</v>
      </c>
      <c r="J3580">
        <v>-358.16019999999997</v>
      </c>
      <c r="K3580">
        <v>1.121448</v>
      </c>
      <c r="L3580">
        <v>283.88909999999998</v>
      </c>
      <c r="M3580">
        <v>-0.9999131</v>
      </c>
      <c r="N3580">
        <v>-1.314162E-2</v>
      </c>
      <c r="O3580">
        <v>-1.0748089999999999E-3</v>
      </c>
      <c r="P3580">
        <v>-0.98729460000000002</v>
      </c>
      <c r="Q3580">
        <v>0.1588763</v>
      </c>
      <c r="R3580">
        <v>2.8267140000000001E-3</v>
      </c>
      <c r="S3580">
        <v>-3.0337830000000001</v>
      </c>
      <c r="T3580">
        <v>2.303767E-2</v>
      </c>
      <c r="U3580">
        <v>0.41403200000000001</v>
      </c>
      <c r="V3580">
        <v>3.883844E-3</v>
      </c>
      <c r="W3580">
        <v>0.1718374</v>
      </c>
      <c r="X3580">
        <v>0.98511769999999999</v>
      </c>
      <c r="Y3580">
        <v>0.13628799999999999</v>
      </c>
      <c r="Z3580">
        <v>3.6242840000000001E-4</v>
      </c>
      <c r="AA3580">
        <v>0.99066920000000003</v>
      </c>
      <c r="AB3580">
        <v>30</v>
      </c>
      <c r="AC3580">
        <v>-153.66069999999999</v>
      </c>
      <c r="AD3580">
        <v>1.1679170000000001</v>
      </c>
      <c r="AE3580">
        <v>20.991399999999999</v>
      </c>
      <c r="AF3580">
        <v>21.155358290145301</v>
      </c>
      <c r="AG3580">
        <v>1.1679170000000001</v>
      </c>
      <c r="AH3580">
        <v>153.6293350434</v>
      </c>
      <c r="AI3580">
        <v>89.568507571426494</v>
      </c>
      <c r="AJ3580">
        <v>82.159458081757506</v>
      </c>
      <c r="AK3580">
        <v>155.08348010146199</v>
      </c>
      <c r="AL3580">
        <v>80.105333709965095</v>
      </c>
      <c r="AM3580">
        <v>89.774111543678501</v>
      </c>
      <c r="AN3580">
        <v>1.0000000295681299</v>
      </c>
    </row>
    <row r="3581" spans="1:40" x14ac:dyDescent="0.25">
      <c r="A3581" t="str">
        <f>"20190303161944262"</f>
        <v>20190303161944262</v>
      </c>
      <c r="B3581" t="str">
        <f>"1551601184256331"</f>
        <v>1551601184256331</v>
      </c>
      <c r="C3581" t="s">
        <v>40</v>
      </c>
      <c r="D3581">
        <v>4.2057960000000003</v>
      </c>
      <c r="E3581">
        <v>0.54979409999999995</v>
      </c>
      <c r="F3581" t="s">
        <v>60</v>
      </c>
      <c r="G3581">
        <v>-511.82089999999999</v>
      </c>
      <c r="H3581">
        <v>2.1466080000000001</v>
      </c>
      <c r="I3581">
        <v>304.51060000000001</v>
      </c>
      <c r="J3581">
        <v>-358.31720000000001</v>
      </c>
      <c r="K3581">
        <v>1.121448</v>
      </c>
      <c r="L3581">
        <v>283.88889999999998</v>
      </c>
      <c r="M3581">
        <v>-0.99991319999999995</v>
      </c>
      <c r="N3581">
        <v>-1.313979E-2</v>
      </c>
      <c r="O3581">
        <v>-1.0910080000000001E-3</v>
      </c>
      <c r="P3581">
        <v>-0.98726990000000003</v>
      </c>
      <c r="Q3581">
        <v>0.15902759999999999</v>
      </c>
      <c r="R3581">
        <v>2.9377919999999998E-3</v>
      </c>
      <c r="S3581">
        <v>-3.0342099999999999</v>
      </c>
      <c r="T3581">
        <v>2.0244720000000001E-2</v>
      </c>
      <c r="U3581">
        <v>0.407196</v>
      </c>
      <c r="V3581">
        <v>4.0107809999999997E-3</v>
      </c>
      <c r="W3581">
        <v>0.1719868</v>
      </c>
      <c r="X3581">
        <v>0.9850911</v>
      </c>
      <c r="Y3581">
        <v>0.1340932</v>
      </c>
      <c r="Z3581">
        <v>4.1807580000000001E-4</v>
      </c>
      <c r="AA3581">
        <v>0.99096859999999998</v>
      </c>
      <c r="AB3581">
        <v>30</v>
      </c>
      <c r="AC3581">
        <v>-153.50369999999899</v>
      </c>
      <c r="AD3581">
        <v>1.0251600000000001</v>
      </c>
      <c r="AE3581">
        <v>20.621700000000001</v>
      </c>
      <c r="AF3581">
        <v>20.788265184747399</v>
      </c>
      <c r="AG3581">
        <v>1.0251600000000001</v>
      </c>
      <c r="AH3581">
        <v>153.47438446613</v>
      </c>
      <c r="AI3581">
        <v>89.620751256094294</v>
      </c>
      <c r="AJ3581">
        <v>82.2861735423364</v>
      </c>
      <c r="AK3581">
        <v>154.87927430639101</v>
      </c>
      <c r="AL3581">
        <v>80.096644165651696</v>
      </c>
      <c r="AM3581">
        <v>89.766722535546606</v>
      </c>
      <c r="AN3581">
        <v>1.00000001051884</v>
      </c>
    </row>
    <row r="3582" spans="1:40" x14ac:dyDescent="0.25">
      <c r="A3582" t="str">
        <f>"20190303161944274"</f>
        <v>20190303161944274</v>
      </c>
      <c r="B3582" t="str">
        <f>"1551601184266089"</f>
        <v>1551601184266089</v>
      </c>
      <c r="C3582" t="s">
        <v>40</v>
      </c>
      <c r="D3582">
        <v>4.2130280000000004</v>
      </c>
      <c r="E3582">
        <v>0.54942360000000001</v>
      </c>
      <c r="F3582" t="s">
        <v>60</v>
      </c>
      <c r="G3582">
        <v>-511.82080000000002</v>
      </c>
      <c r="H3582">
        <v>2.0796109999999999</v>
      </c>
      <c r="I3582">
        <v>304.33659999999998</v>
      </c>
      <c r="J3582">
        <v>-358.4855</v>
      </c>
      <c r="K3582">
        <v>1.1214489999999999</v>
      </c>
      <c r="L3582">
        <v>283.88869999999997</v>
      </c>
      <c r="M3582">
        <v>-0.9999131</v>
      </c>
      <c r="N3582">
        <v>-1.313782E-2</v>
      </c>
      <c r="O3582">
        <v>-1.1081610000000001E-3</v>
      </c>
      <c r="P3582">
        <v>-0.98726840000000005</v>
      </c>
      <c r="Q3582">
        <v>0.1590338</v>
      </c>
      <c r="R3582">
        <v>3.1191349999999999E-3</v>
      </c>
      <c r="S3582">
        <v>-3.034424</v>
      </c>
      <c r="T3582">
        <v>1.8942480000000001E-2</v>
      </c>
      <c r="U3582">
        <v>0.40420529999999999</v>
      </c>
      <c r="V3582">
        <v>4.2092709999999997E-3</v>
      </c>
      <c r="W3582">
        <v>0.171991</v>
      </c>
      <c r="X3582">
        <v>0.98508949999999995</v>
      </c>
      <c r="Y3582">
        <v>0.13314139999999999</v>
      </c>
      <c r="Z3582">
        <v>4.4334780000000002E-4</v>
      </c>
      <c r="AA3582">
        <v>0.99109700000000001</v>
      </c>
      <c r="AB3582">
        <v>30</v>
      </c>
      <c r="AC3582">
        <v>-153.33529999999999</v>
      </c>
      <c r="AD3582">
        <v>0.95816199999999996</v>
      </c>
      <c r="AE3582">
        <v>20.447900000000001</v>
      </c>
      <c r="AF3582">
        <v>20.617031327006998</v>
      </c>
      <c r="AG3582">
        <v>0.95816199999999996</v>
      </c>
      <c r="AH3582">
        <v>153.306662662083</v>
      </c>
      <c r="AI3582">
        <v>89.645102558561405</v>
      </c>
      <c r="AJ3582">
        <v>82.340685805157705</v>
      </c>
      <c r="AK3582">
        <v>154.689730983484</v>
      </c>
      <c r="AL3582">
        <v>80.096399503251106</v>
      </c>
      <c r="AM3582">
        <v>89.755177579976106</v>
      </c>
      <c r="AN3582">
        <v>0.99999997252679995</v>
      </c>
    </row>
    <row r="3583" spans="1:40" x14ac:dyDescent="0.25">
      <c r="A3583" t="str">
        <f>"20190303161944289"</f>
        <v>20190303161944289</v>
      </c>
      <c r="B3583" t="str">
        <f>"1551601184285610"</f>
        <v>1551601184285610</v>
      </c>
      <c r="C3583" t="s">
        <v>40</v>
      </c>
      <c r="D3583">
        <v>4.225098</v>
      </c>
      <c r="E3583">
        <v>0.54879169999999999</v>
      </c>
      <c r="F3583" t="s">
        <v>60</v>
      </c>
      <c r="G3583">
        <v>-511.82080000000002</v>
      </c>
      <c r="H3583">
        <v>1.999692</v>
      </c>
      <c r="I3583">
        <v>304.1859</v>
      </c>
      <c r="J3583">
        <v>-358.68450000000001</v>
      </c>
      <c r="K3583">
        <v>1.121451</v>
      </c>
      <c r="L3583">
        <v>283.88839999999999</v>
      </c>
      <c r="M3583">
        <v>-0.99991319999999995</v>
      </c>
      <c r="N3583">
        <v>-1.313543E-2</v>
      </c>
      <c r="O3583">
        <v>-1.128885E-3</v>
      </c>
      <c r="P3583">
        <v>-0.98725529999999995</v>
      </c>
      <c r="Q3583">
        <v>0.15911349999999999</v>
      </c>
      <c r="R3583">
        <v>3.1963859999999998E-3</v>
      </c>
      <c r="S3583">
        <v>-3.0346679999999999</v>
      </c>
      <c r="T3583">
        <v>1.7383099999999999E-2</v>
      </c>
      <c r="U3583">
        <v>0.40170289999999997</v>
      </c>
      <c r="V3583">
        <v>4.3068029999999997E-3</v>
      </c>
      <c r="W3583">
        <v>0.172068</v>
      </c>
      <c r="X3583">
        <v>0.9850757</v>
      </c>
      <c r="Y3583">
        <v>0.1323483</v>
      </c>
      <c r="Z3583">
        <v>4.7441900000000001E-4</v>
      </c>
      <c r="AA3583">
        <v>0.99120319999999995</v>
      </c>
      <c r="AB3583">
        <v>30</v>
      </c>
      <c r="AC3583">
        <v>-153.13630000000001</v>
      </c>
      <c r="AD3583">
        <v>0.87824099999999905</v>
      </c>
      <c r="AE3583">
        <v>20.297499999999999</v>
      </c>
      <c r="AF3583">
        <v>20.469713596626899</v>
      </c>
      <c r="AG3583">
        <v>0.87824099999999905</v>
      </c>
      <c r="AH3583">
        <v>153.10833801427299</v>
      </c>
      <c r="AI3583">
        <v>89.674248989088099</v>
      </c>
      <c r="AJ3583">
        <v>82.385036422479601</v>
      </c>
      <c r="AK3583">
        <v>154.47311627424</v>
      </c>
      <c r="AL3583">
        <v>80.091921635899695</v>
      </c>
      <c r="AM3583">
        <v>89.749501421218596</v>
      </c>
      <c r="AN3583">
        <v>1.00000003995328</v>
      </c>
    </row>
    <row r="3584" spans="1:40" x14ac:dyDescent="0.25">
      <c r="A3584" t="str">
        <f>"20190303161944304"</f>
        <v>20190303161944304</v>
      </c>
      <c r="B3584" t="str">
        <f>"1551601184296346"</f>
        <v>1551601184296346</v>
      </c>
      <c r="C3584" t="s">
        <v>40</v>
      </c>
      <c r="D3584">
        <v>4.2275019999999897</v>
      </c>
      <c r="E3584">
        <v>0.54853619999999903</v>
      </c>
      <c r="F3584" t="s">
        <v>60</v>
      </c>
      <c r="G3584">
        <v>-511.82069999999999</v>
      </c>
      <c r="H3584">
        <v>1.804716</v>
      </c>
      <c r="I3584">
        <v>303.91980000000001</v>
      </c>
      <c r="J3584">
        <v>-358.87880000000001</v>
      </c>
      <c r="K3584">
        <v>1.1214459999999999</v>
      </c>
      <c r="L3584">
        <v>283.88819999999998</v>
      </c>
      <c r="M3584">
        <v>-0.99991319999999995</v>
      </c>
      <c r="N3584">
        <v>-1.3132970000000001E-2</v>
      </c>
      <c r="O3584">
        <v>-1.1491299999999999E-3</v>
      </c>
      <c r="P3584">
        <v>-0.98730180000000001</v>
      </c>
      <c r="Q3584">
        <v>0.158829</v>
      </c>
      <c r="R3584">
        <v>2.9588990000000001E-3</v>
      </c>
      <c r="S3584">
        <v>-3.0352480000000002</v>
      </c>
      <c r="T3584">
        <v>1.354444E-2</v>
      </c>
      <c r="U3584">
        <v>0.39703369999999999</v>
      </c>
      <c r="V3584">
        <v>4.0894820000000002E-3</v>
      </c>
      <c r="W3584">
        <v>0.1717815</v>
      </c>
      <c r="X3584">
        <v>0.98512659999999996</v>
      </c>
      <c r="Y3584">
        <v>0.1308445</v>
      </c>
      <c r="Z3584">
        <v>5.5202780000000002E-4</v>
      </c>
      <c r="AA3584">
        <v>0.99140269999999997</v>
      </c>
      <c r="AB3584">
        <v>30</v>
      </c>
      <c r="AC3584">
        <v>-152.94189999999901</v>
      </c>
      <c r="AD3584">
        <v>0.68326999999999904</v>
      </c>
      <c r="AE3584">
        <v>20.031600000000001</v>
      </c>
      <c r="AF3584">
        <v>20.206955535478201</v>
      </c>
      <c r="AG3584">
        <v>0.68326999999999904</v>
      </c>
      <c r="AH3584">
        <v>152.915777583128</v>
      </c>
      <c r="AI3584">
        <v>89.746194680318595</v>
      </c>
      <c r="AJ3584">
        <v>82.472301004516893</v>
      </c>
      <c r="AK3584">
        <v>154.246630250902</v>
      </c>
      <c r="AL3584">
        <v>80.108584720947107</v>
      </c>
      <c r="AM3584">
        <v>89.762153703818797</v>
      </c>
      <c r="AN3584">
        <v>1.0000000128164099</v>
      </c>
    </row>
    <row r="3585" spans="1:40" x14ac:dyDescent="0.25">
      <c r="A3585" t="str">
        <f>"20190303161944316"</f>
        <v>20190303161944316</v>
      </c>
      <c r="B3585" t="str">
        <f>"1551601184306106"</f>
        <v>1551601184306106</v>
      </c>
      <c r="C3585" t="s">
        <v>40</v>
      </c>
      <c r="D3585">
        <v>4.2091089999999998</v>
      </c>
      <c r="E3585">
        <v>0.54831459999999999</v>
      </c>
      <c r="F3585" t="s">
        <v>60</v>
      </c>
      <c r="G3585">
        <v>-511.82069999999999</v>
      </c>
      <c r="H3585">
        <v>1.683484</v>
      </c>
      <c r="I3585">
        <v>303.75009999999997</v>
      </c>
      <c r="J3585">
        <v>-359.0471</v>
      </c>
      <c r="K3585">
        <v>1.121443</v>
      </c>
      <c r="L3585">
        <v>283.88799999999998</v>
      </c>
      <c r="M3585">
        <v>-0.9999131</v>
      </c>
      <c r="N3585">
        <v>-1.3130910000000001E-2</v>
      </c>
      <c r="O3585">
        <v>-1.166165E-3</v>
      </c>
      <c r="P3585">
        <v>-0.9872512</v>
      </c>
      <c r="Q3585">
        <v>0.1591427</v>
      </c>
      <c r="R3585">
        <v>2.9440690000000001E-3</v>
      </c>
      <c r="S3585">
        <v>-3.0356450000000001</v>
      </c>
      <c r="T3585">
        <v>1.115727E-2</v>
      </c>
      <c r="U3585">
        <v>0.39422610000000002</v>
      </c>
      <c r="V3585">
        <v>4.0912910000000004E-3</v>
      </c>
      <c r="W3585">
        <v>0.17209289999999999</v>
      </c>
      <c r="X3585">
        <v>0.98507219999999995</v>
      </c>
      <c r="Y3585">
        <v>0.1299428</v>
      </c>
      <c r="Z3585">
        <v>5.9941499999999995E-4</v>
      </c>
      <c r="AA3585">
        <v>0.99152130000000005</v>
      </c>
      <c r="AB3585">
        <v>30</v>
      </c>
      <c r="AC3585">
        <v>-152.77359999999999</v>
      </c>
      <c r="AD3585">
        <v>0.56204100000000001</v>
      </c>
      <c r="AE3585">
        <v>19.862100000000002</v>
      </c>
      <c r="AF3585">
        <v>20.039994358235901</v>
      </c>
      <c r="AG3585">
        <v>0.56204100000000001</v>
      </c>
      <c r="AH3585">
        <v>152.74829862205701</v>
      </c>
      <c r="AI3585">
        <v>89.790971025163003</v>
      </c>
      <c r="AJ3585">
        <v>82.525700754652703</v>
      </c>
      <c r="AK3585">
        <v>154.05830063939101</v>
      </c>
      <c r="AL3585">
        <v>80.090472687423201</v>
      </c>
      <c r="AM3585">
        <v>89.762035352120407</v>
      </c>
      <c r="AN3585">
        <v>0.99999997205264701</v>
      </c>
    </row>
    <row r="3586" spans="1:40" x14ac:dyDescent="0.25">
      <c r="A3586" t="str">
        <f>"20190303161944339"</f>
        <v>20190303161944339</v>
      </c>
      <c r="B3586" t="str">
        <f>"1551601184325626"</f>
        <v>1551601184325626</v>
      </c>
      <c r="C3586" t="s">
        <v>40</v>
      </c>
      <c r="D3586">
        <v>4.2187340000000004</v>
      </c>
      <c r="E3586">
        <v>0.54787589999999997</v>
      </c>
      <c r="F3586" t="s">
        <v>60</v>
      </c>
      <c r="G3586">
        <v>-511.82069999999999</v>
      </c>
      <c r="H3586">
        <v>1.67065</v>
      </c>
      <c r="I3586">
        <v>303.63029999999998</v>
      </c>
      <c r="J3586">
        <v>-359.33589999999998</v>
      </c>
      <c r="K3586">
        <v>1.121437</v>
      </c>
      <c r="L3586">
        <v>283.88760000000002</v>
      </c>
      <c r="M3586">
        <v>-0.99991319999999995</v>
      </c>
      <c r="N3586">
        <v>-1.312757E-2</v>
      </c>
      <c r="O3586">
        <v>-1.1958260000000001E-3</v>
      </c>
      <c r="P3586">
        <v>-0.98731760000000002</v>
      </c>
      <c r="Q3586">
        <v>0.15873960000000001</v>
      </c>
      <c r="R3586">
        <v>2.4478849999999999E-3</v>
      </c>
      <c r="S3586">
        <v>-3.0357970000000001</v>
      </c>
      <c r="T3586">
        <v>1.091516E-2</v>
      </c>
      <c r="U3586">
        <v>0.39230350000000003</v>
      </c>
      <c r="V3586">
        <v>3.624609E-3</v>
      </c>
      <c r="W3586">
        <v>0.17168710000000001</v>
      </c>
      <c r="X3586">
        <v>0.98514489999999999</v>
      </c>
      <c r="Y3586">
        <v>0.1293482</v>
      </c>
      <c r="Z3586">
        <v>6.0107189999999999E-4</v>
      </c>
      <c r="AA3586">
        <v>0.99159909999999996</v>
      </c>
      <c r="AB3586">
        <v>30</v>
      </c>
      <c r="AC3586">
        <v>-152.48480000000001</v>
      </c>
      <c r="AD3586">
        <v>0.54921299999999995</v>
      </c>
      <c r="AE3586">
        <v>19.7426999999999</v>
      </c>
      <c r="AF3586">
        <v>19.924792652767401</v>
      </c>
      <c r="AG3586">
        <v>0.54921299999999995</v>
      </c>
      <c r="AH3586">
        <v>152.459134897784</v>
      </c>
      <c r="AI3586">
        <v>89.795341095263495</v>
      </c>
      <c r="AJ3586">
        <v>82.5542481193594</v>
      </c>
      <c r="AK3586">
        <v>153.75658298413001</v>
      </c>
      <c r="AL3586">
        <v>80.114075241973893</v>
      </c>
      <c r="AM3586">
        <v>89.789194603762795</v>
      </c>
      <c r="AN3586">
        <v>1.0000000360464101</v>
      </c>
    </row>
    <row r="3587" spans="1:40" x14ac:dyDescent="0.25">
      <c r="A3587" t="str">
        <f>"20190303161944352"</f>
        <v>20190303161944352</v>
      </c>
      <c r="B3587" t="str">
        <f>"1551601184346122"</f>
        <v>1551601184346122</v>
      </c>
      <c r="C3587" t="s">
        <v>40</v>
      </c>
      <c r="D3587">
        <v>4.2070489999999996</v>
      </c>
      <c r="E3587">
        <v>0.54745849999999996</v>
      </c>
      <c r="F3587" t="s">
        <v>60</v>
      </c>
      <c r="G3587">
        <v>-511.82060000000001</v>
      </c>
      <c r="H3587">
        <v>1.4660500000000001</v>
      </c>
      <c r="I3587">
        <v>303.34120000000001</v>
      </c>
      <c r="J3587">
        <v>-359.52339999999998</v>
      </c>
      <c r="K3587">
        <v>1.1214390000000001</v>
      </c>
      <c r="L3587">
        <v>283.88740000000001</v>
      </c>
      <c r="M3587">
        <v>-0.99991319999999995</v>
      </c>
      <c r="N3587">
        <v>-1.312551E-2</v>
      </c>
      <c r="O3587">
        <v>-1.215004E-3</v>
      </c>
      <c r="P3587">
        <v>-0.98732889999999995</v>
      </c>
      <c r="Q3587">
        <v>0.15867210000000001</v>
      </c>
      <c r="R3587">
        <v>2.1709300000000002E-3</v>
      </c>
      <c r="S3587">
        <v>-3.0364990000000001</v>
      </c>
      <c r="T3587">
        <v>6.86419E-3</v>
      </c>
      <c r="U3587">
        <v>0.38739010000000001</v>
      </c>
      <c r="V3587">
        <v>3.3664820000000001E-3</v>
      </c>
      <c r="W3587">
        <v>0.17161799999999999</v>
      </c>
      <c r="X3587">
        <v>0.98515779999999997</v>
      </c>
      <c r="Y3587">
        <v>0.12775880000000001</v>
      </c>
      <c r="Z3587">
        <v>6.7942610000000004E-4</v>
      </c>
      <c r="AA3587">
        <v>0.99180500000000005</v>
      </c>
      <c r="AB3587">
        <v>30</v>
      </c>
      <c r="AC3587">
        <v>-152.2972</v>
      </c>
      <c r="AD3587">
        <v>0.344611</v>
      </c>
      <c r="AE3587">
        <v>19.453800000000001</v>
      </c>
      <c r="AF3587">
        <v>19.638744334814</v>
      </c>
      <c r="AG3587">
        <v>0.344611</v>
      </c>
      <c r="AH3587">
        <v>152.272681960829</v>
      </c>
      <c r="AI3587">
        <v>89.8713982626914</v>
      </c>
      <c r="AJ3587">
        <v>82.651078838257007</v>
      </c>
      <c r="AK3587">
        <v>153.53425906726301</v>
      </c>
      <c r="AL3587">
        <v>80.118093479534494</v>
      </c>
      <c r="AM3587">
        <v>89.804209579803597</v>
      </c>
      <c r="AN3587">
        <v>0.99999998101294796</v>
      </c>
    </row>
    <row r="3588" spans="1:40" x14ac:dyDescent="0.25">
      <c r="A3588" t="str">
        <f>"20190303161944367"</f>
        <v>20190303161944367</v>
      </c>
      <c r="B3588" t="str">
        <f>"1551601184355882"</f>
        <v>1551601184355882</v>
      </c>
      <c r="C3588" t="s">
        <v>40</v>
      </c>
      <c r="D3588">
        <v>4.2173360000000004</v>
      </c>
      <c r="E3588">
        <v>0.54729249999999996</v>
      </c>
      <c r="F3588" t="s">
        <v>60</v>
      </c>
      <c r="G3588">
        <v>-511.82060000000001</v>
      </c>
      <c r="H3588">
        <v>1.342959</v>
      </c>
      <c r="I3588">
        <v>303.11829999999998</v>
      </c>
      <c r="J3588">
        <v>-359.71600000000001</v>
      </c>
      <c r="K3588">
        <v>1.1214390000000001</v>
      </c>
      <c r="L3588">
        <v>283.88709999999998</v>
      </c>
      <c r="M3588">
        <v>-0.99991319999999995</v>
      </c>
      <c r="N3588">
        <v>-1.312345E-2</v>
      </c>
      <c r="O3588">
        <v>-1.234897E-3</v>
      </c>
      <c r="P3588">
        <v>-0.98733009999999999</v>
      </c>
      <c r="Q3588">
        <v>0.1586688</v>
      </c>
      <c r="R3588">
        <v>1.931566E-3</v>
      </c>
      <c r="S3588">
        <v>-3.0369570000000001</v>
      </c>
      <c r="T3588">
        <v>4.4190879999999998E-3</v>
      </c>
      <c r="U3588">
        <v>0.38348389999999999</v>
      </c>
      <c r="V3588">
        <v>3.1468720000000002E-3</v>
      </c>
      <c r="W3588">
        <v>0.17161289999999901</v>
      </c>
      <c r="X3588">
        <v>0.98515949999999997</v>
      </c>
      <c r="Y3588">
        <v>0.1265037</v>
      </c>
      <c r="Z3588">
        <v>7.2379159999999998E-4</v>
      </c>
      <c r="AA3588">
        <v>0.99196589999999996</v>
      </c>
      <c r="AB3588">
        <v>30</v>
      </c>
      <c r="AC3588">
        <v>-152.1046</v>
      </c>
      <c r="AD3588">
        <v>0.22151999999999999</v>
      </c>
      <c r="AE3588">
        <v>19.231200000000001</v>
      </c>
      <c r="AF3588">
        <v>19.418994470609899</v>
      </c>
      <c r="AG3588">
        <v>0.22151999999999999</v>
      </c>
      <c r="AH3588">
        <v>152.08041592012</v>
      </c>
      <c r="AI3588">
        <v>89.917215303335297</v>
      </c>
      <c r="AJ3588">
        <v>82.723336776499707</v>
      </c>
      <c r="AK3588">
        <v>153.31535906032599</v>
      </c>
      <c r="AL3588">
        <v>80.118390930200306</v>
      </c>
      <c r="AM3588">
        <v>89.816982051090505</v>
      </c>
      <c r="AN3588">
        <v>1.0000000653450201</v>
      </c>
    </row>
    <row r="3589" spans="1:40" x14ac:dyDescent="0.25">
      <c r="A3589" t="str">
        <f>"20190303161944383"</f>
        <v>20190303161944383</v>
      </c>
      <c r="B3589" t="str">
        <f>"1551601184376378"</f>
        <v>1551601184376378</v>
      </c>
      <c r="C3589" t="s">
        <v>40</v>
      </c>
      <c r="D3589">
        <v>4.1912089999999997</v>
      </c>
      <c r="E3589">
        <v>0.5469465</v>
      </c>
      <c r="F3589" t="s">
        <v>60</v>
      </c>
      <c r="G3589">
        <v>-511.82060000000001</v>
      </c>
      <c r="H3589">
        <v>1.3029919999999999</v>
      </c>
      <c r="I3589">
        <v>302.98989999999998</v>
      </c>
      <c r="J3589">
        <v>-359.92939999999999</v>
      </c>
      <c r="K3589">
        <v>1.1214440000000001</v>
      </c>
      <c r="L3589">
        <v>283.88679999999999</v>
      </c>
      <c r="M3589">
        <v>-0.9999133</v>
      </c>
      <c r="N3589">
        <v>-1.31212E-2</v>
      </c>
      <c r="O3589">
        <v>-1.257289E-3</v>
      </c>
      <c r="P3589">
        <v>-0.98731959999999996</v>
      </c>
      <c r="Q3589">
        <v>0.1587394</v>
      </c>
      <c r="R3589">
        <v>1.5354100000000001E-3</v>
      </c>
      <c r="S3589">
        <v>-3.0371700000000001</v>
      </c>
      <c r="T3589">
        <v>3.6269430000000001E-3</v>
      </c>
      <c r="U3589">
        <v>0.38143919999999998</v>
      </c>
      <c r="V3589">
        <v>2.7730039999999999E-3</v>
      </c>
      <c r="W3589">
        <v>0.171681</v>
      </c>
      <c r="X3589">
        <v>0.98514869999999999</v>
      </c>
      <c r="Y3589">
        <v>0.12585969999999999</v>
      </c>
      <c r="Z3589">
        <v>7.3619359999999999E-4</v>
      </c>
      <c r="AA3589">
        <v>0.99204780000000004</v>
      </c>
      <c r="AB3589">
        <v>30</v>
      </c>
      <c r="AC3589">
        <v>-151.8912</v>
      </c>
      <c r="AD3589">
        <v>0.18154799999999899</v>
      </c>
      <c r="AE3589">
        <v>19.103099999999898</v>
      </c>
      <c r="AF3589">
        <v>19.294045306437699</v>
      </c>
      <c r="AG3589">
        <v>0.18154799999999899</v>
      </c>
      <c r="AH3589">
        <v>151.86684616317501</v>
      </c>
      <c r="AI3589">
        <v>89.932052416802094</v>
      </c>
      <c r="AJ3589">
        <v>82.759600345317494</v>
      </c>
      <c r="AK3589">
        <v>153.08766151297999</v>
      </c>
      <c r="AL3589">
        <v>80.114429735923395</v>
      </c>
      <c r="AM3589">
        <v>89.838723833101</v>
      </c>
      <c r="AN3589">
        <v>1.00000000821193</v>
      </c>
    </row>
    <row r="3590" spans="1:40" x14ac:dyDescent="0.25">
      <c r="A3590" t="str">
        <f>"20190303161944404"</f>
        <v>20190303161944404</v>
      </c>
      <c r="B3590" t="str">
        <f>"1551601184395897"</f>
        <v>1551601184395897</v>
      </c>
      <c r="C3590" t="s">
        <v>40</v>
      </c>
      <c r="D3590">
        <v>4.161448</v>
      </c>
      <c r="E3590">
        <v>0.54670889999999905</v>
      </c>
      <c r="F3590" t="s">
        <v>60</v>
      </c>
      <c r="G3590">
        <v>-511.82060000000001</v>
      </c>
      <c r="H3590">
        <v>1.220515</v>
      </c>
      <c r="I3590">
        <v>302.75389999999999</v>
      </c>
      <c r="J3590">
        <v>-360.21870000000001</v>
      </c>
      <c r="K3590">
        <v>1.12144</v>
      </c>
      <c r="L3590">
        <v>283.88639999999998</v>
      </c>
      <c r="M3590">
        <v>-0.9999133</v>
      </c>
      <c r="N3590">
        <v>-1.311797E-2</v>
      </c>
      <c r="O3590">
        <v>-1.286833E-3</v>
      </c>
      <c r="P3590">
        <v>-0.98732690000000001</v>
      </c>
      <c r="Q3590">
        <v>0.1586931</v>
      </c>
      <c r="R3590">
        <v>1.471071E-3</v>
      </c>
      <c r="S3590">
        <v>-3.0376280000000002</v>
      </c>
      <c r="T3590">
        <v>1.9830469999999999E-3</v>
      </c>
      <c r="U3590">
        <v>0.37731930000000002</v>
      </c>
      <c r="V3590">
        <v>2.737471E-3</v>
      </c>
      <c r="W3590">
        <v>0.17163120000000001</v>
      </c>
      <c r="X3590">
        <v>0.98515750000000002</v>
      </c>
      <c r="Y3590">
        <v>0.12454519999999999</v>
      </c>
      <c r="Z3590">
        <v>7.6189929999999904E-4</v>
      </c>
      <c r="AA3590">
        <v>0.99221369999999998</v>
      </c>
      <c r="AB3590">
        <v>30</v>
      </c>
      <c r="AC3590">
        <v>-151.6019</v>
      </c>
      <c r="AD3590">
        <v>9.9074999999999996E-2</v>
      </c>
      <c r="AE3590">
        <v>18.8675</v>
      </c>
      <c r="AF3590">
        <v>19.062579440011501</v>
      </c>
      <c r="AG3590">
        <v>9.9074999999999996E-2</v>
      </c>
      <c r="AH3590">
        <v>151.57742930019</v>
      </c>
      <c r="AI3590">
        <v>89.962842660602107</v>
      </c>
      <c r="AJ3590">
        <v>82.832037655686904</v>
      </c>
      <c r="AK3590">
        <v>152.77142672638999</v>
      </c>
      <c r="AL3590">
        <v>80.117326285290901</v>
      </c>
      <c r="AM3590">
        <v>89.840791821449798</v>
      </c>
      <c r="AN3590">
        <v>1.0000000311835799</v>
      </c>
    </row>
    <row r="3591" spans="1:40" x14ac:dyDescent="0.25">
      <c r="A3591" t="str">
        <f>"20190303161944417"</f>
        <v>20190303161944417</v>
      </c>
      <c r="B3591" t="str">
        <f>"1551601184405658"</f>
        <v>1551601184405658</v>
      </c>
      <c r="C3591" t="s">
        <v>40</v>
      </c>
      <c r="D3591">
        <v>4.1853610000000003</v>
      </c>
      <c r="E3591">
        <v>0.546602699999999</v>
      </c>
      <c r="F3591" t="s">
        <v>60</v>
      </c>
      <c r="G3591">
        <v>-511.82049999999998</v>
      </c>
      <c r="H3591">
        <v>1.1135889999999999</v>
      </c>
      <c r="I3591">
        <v>302.59660000000002</v>
      </c>
      <c r="J3591">
        <v>-360.38529999999997</v>
      </c>
      <c r="K3591">
        <v>1.1214390000000001</v>
      </c>
      <c r="L3591">
        <v>283.88619999999997</v>
      </c>
      <c r="M3591">
        <v>-0.9999131</v>
      </c>
      <c r="N3591">
        <v>-1.311616E-2</v>
      </c>
      <c r="O3591">
        <v>-1.303867E-3</v>
      </c>
      <c r="P3591">
        <v>-0.98736619999999997</v>
      </c>
      <c r="Q3591">
        <v>0.1584496</v>
      </c>
      <c r="R3591">
        <v>1.296118E-3</v>
      </c>
      <c r="S3591">
        <v>-3.0379939999999999</v>
      </c>
      <c r="T3591">
        <v>-1.5556810000000001E-4</v>
      </c>
      <c r="U3591">
        <v>0.37493900000000002</v>
      </c>
      <c r="V3591">
        <v>2.5794960000000001E-3</v>
      </c>
      <c r="W3591">
        <v>0.17138639999999999</v>
      </c>
      <c r="X3591">
        <v>0.98520050000000003</v>
      </c>
      <c r="Y3591">
        <v>0.12378119999999999</v>
      </c>
      <c r="Z3591">
        <v>8.0105659999999996E-4</v>
      </c>
      <c r="AA3591">
        <v>0.9923092</v>
      </c>
      <c r="AB3591">
        <v>30</v>
      </c>
      <c r="AC3591">
        <v>-151.43520000000001</v>
      </c>
      <c r="AD3591">
        <v>-7.8499999999999091E-3</v>
      </c>
      <c r="AE3591">
        <v>18.7104</v>
      </c>
      <c r="AF3591">
        <v>18.907852394774</v>
      </c>
      <c r="AG3591">
        <v>-7.8499999999999091E-3</v>
      </c>
      <c r="AH3591">
        <v>151.41067287933299</v>
      </c>
      <c r="AI3591">
        <v>90.002947648063198</v>
      </c>
      <c r="AJ3591">
        <v>82.881869881587804</v>
      </c>
      <c r="AK3591">
        <v>152.58669275391401</v>
      </c>
      <c r="AL3591">
        <v>80.131562821714397</v>
      </c>
      <c r="AM3591">
        <v>89.849985971025802</v>
      </c>
      <c r="AN3591">
        <v>0.99999998855241201</v>
      </c>
    </row>
    <row r="3592" spans="1:40" x14ac:dyDescent="0.25">
      <c r="A3592" t="str">
        <f>"20190303161944430"</f>
        <v>20190303161944430</v>
      </c>
      <c r="B3592" t="str">
        <f>"1551601184416394"</f>
        <v>1551601184416394</v>
      </c>
      <c r="C3592" t="s">
        <v>40</v>
      </c>
      <c r="D3592">
        <v>4.1679709999999996</v>
      </c>
      <c r="E3592">
        <v>0.54638730000000002</v>
      </c>
      <c r="F3592" t="s">
        <v>60</v>
      </c>
      <c r="G3592">
        <v>-511.82049999999998</v>
      </c>
      <c r="H3592">
        <v>1.0454000000000001</v>
      </c>
      <c r="I3592">
        <v>302.50049999999999</v>
      </c>
      <c r="J3592">
        <v>-360.5573</v>
      </c>
      <c r="K3592">
        <v>1.1214379999999999</v>
      </c>
      <c r="L3592">
        <v>283.88589999999999</v>
      </c>
      <c r="M3592">
        <v>-0.99991319999999995</v>
      </c>
      <c r="N3592">
        <v>-1.311432E-2</v>
      </c>
      <c r="O3592">
        <v>-1.321736E-3</v>
      </c>
      <c r="P3592">
        <v>-0.98741780000000001</v>
      </c>
      <c r="Q3592">
        <v>0.1581292</v>
      </c>
      <c r="R3592">
        <v>1.157188E-3</v>
      </c>
      <c r="S3592">
        <v>-3.038116</v>
      </c>
      <c r="T3592">
        <v>-1.523733E-3</v>
      </c>
      <c r="U3592">
        <v>0.37344359999999999</v>
      </c>
      <c r="V3592">
        <v>2.4583489999999999E-3</v>
      </c>
      <c r="W3592">
        <v>0.17106459999999901</v>
      </c>
      <c r="X3592">
        <v>0.98525669999999999</v>
      </c>
      <c r="Y3592">
        <v>0.12331259999999999</v>
      </c>
      <c r="Z3592">
        <v>8.2584619999999896E-4</v>
      </c>
      <c r="AA3592">
        <v>0.99236760000000002</v>
      </c>
      <c r="AB3592">
        <v>30</v>
      </c>
      <c r="AC3592">
        <v>-151.26319999999899</v>
      </c>
      <c r="AD3592">
        <v>-7.60379999999998E-2</v>
      </c>
      <c r="AE3592">
        <v>18.614599999999999</v>
      </c>
      <c r="AF3592">
        <v>18.814526251748099</v>
      </c>
      <c r="AG3592">
        <v>-7.60379999999998E-2</v>
      </c>
      <c r="AH3592">
        <v>151.23842450174999</v>
      </c>
      <c r="AI3592">
        <v>90.028586190142093</v>
      </c>
      <c r="AJ3592">
        <v>82.908660788729506</v>
      </c>
      <c r="AK3592">
        <v>152.40424280716999</v>
      </c>
      <c r="AL3592">
        <v>80.150276622110994</v>
      </c>
      <c r="AM3592">
        <v>89.857039561397201</v>
      </c>
      <c r="AN3592">
        <v>0.99999995287392596</v>
      </c>
    </row>
    <row r="3593" spans="1:40" x14ac:dyDescent="0.25">
      <c r="A3593" t="str">
        <f>"20190303161944443"</f>
        <v>20190303161944443</v>
      </c>
      <c r="B3593" t="str">
        <f>"1551601184436489"</f>
        <v>1551601184436489</v>
      </c>
      <c r="C3593" t="s">
        <v>40</v>
      </c>
      <c r="D3593">
        <v>4.1680960000000002</v>
      </c>
      <c r="E3593">
        <v>0.51654739999999999</v>
      </c>
      <c r="F3593" t="s">
        <v>60</v>
      </c>
      <c r="G3593">
        <v>-511.82049999999998</v>
      </c>
      <c r="H3593">
        <v>0.94471879999999997</v>
      </c>
      <c r="I3593">
        <v>302.38029999999998</v>
      </c>
      <c r="J3593">
        <v>-360.73160000000001</v>
      </c>
      <c r="K3593">
        <v>1.121442</v>
      </c>
      <c r="L3593">
        <v>283.88569999999999</v>
      </c>
      <c r="M3593">
        <v>-0.99991319999999995</v>
      </c>
      <c r="N3593">
        <v>-1.3112459999999999E-2</v>
      </c>
      <c r="O3593">
        <v>-1.339605E-3</v>
      </c>
      <c r="P3593">
        <v>-0.98744189999999998</v>
      </c>
      <c r="Q3593">
        <v>0.15797849999999999</v>
      </c>
      <c r="R3593">
        <v>1.194194E-3</v>
      </c>
      <c r="S3593">
        <v>-3.0383610000000001</v>
      </c>
      <c r="T3593">
        <v>-3.5479069999999999E-3</v>
      </c>
      <c r="U3593">
        <v>0.3714905</v>
      </c>
      <c r="V3593">
        <v>2.5130690000000002E-3</v>
      </c>
      <c r="W3593">
        <v>0.17091239999999999</v>
      </c>
      <c r="X3593">
        <v>0.98528300000000002</v>
      </c>
      <c r="Y3593">
        <v>0.1226915</v>
      </c>
      <c r="Z3593">
        <v>8.6284179999999901E-4</v>
      </c>
      <c r="AA3593">
        <v>0.99244449999999995</v>
      </c>
      <c r="AB3593">
        <v>30</v>
      </c>
      <c r="AC3593">
        <v>-151.088899999999</v>
      </c>
      <c r="AD3593">
        <v>-0.1767232</v>
      </c>
      <c r="AE3593">
        <v>18.494599999999899</v>
      </c>
      <c r="AF3593">
        <v>18.696975034550402</v>
      </c>
      <c r="AG3593">
        <v>-0.1767232</v>
      </c>
      <c r="AH3593">
        <v>151.063783200589</v>
      </c>
      <c r="AI3593">
        <v>90.066520339069896</v>
      </c>
      <c r="AJ3593">
        <v>82.944454476351694</v>
      </c>
      <c r="AK3593">
        <v>152.21653885635001</v>
      </c>
      <c r="AL3593">
        <v>80.159127625330498</v>
      </c>
      <c r="AM3593">
        <v>89.853861342290998</v>
      </c>
      <c r="AN3593">
        <v>0.99999997703927901</v>
      </c>
    </row>
    <row r="3594" spans="1:40" x14ac:dyDescent="0.25">
      <c r="A3594" t="str">
        <f>"20190303161944456"</f>
        <v>20190303161944456</v>
      </c>
      <c r="B3594" t="str">
        <f>"1551601184446249"</f>
        <v>1551601184446249</v>
      </c>
      <c r="C3594" t="s">
        <v>40</v>
      </c>
      <c r="D3594">
        <v>4.2150290000000004</v>
      </c>
      <c r="E3594">
        <v>0.51242549999999998</v>
      </c>
      <c r="F3594" t="s">
        <v>58</v>
      </c>
      <c r="G3594">
        <v>0</v>
      </c>
      <c r="H3594">
        <v>0</v>
      </c>
      <c r="I3594">
        <v>0</v>
      </c>
      <c r="J3594">
        <v>-360.9015</v>
      </c>
      <c r="K3594">
        <v>1.121442</v>
      </c>
      <c r="L3594">
        <v>283.8854</v>
      </c>
      <c r="M3594">
        <v>-0.99991319999999995</v>
      </c>
      <c r="N3594">
        <v>-1.311066E-2</v>
      </c>
      <c r="O3594">
        <v>-1.3572320000000001E-3</v>
      </c>
      <c r="P3594">
        <v>-0.98748780000000003</v>
      </c>
      <c r="Q3594">
        <v>0.15769159999999999</v>
      </c>
      <c r="R3594">
        <v>1.2347059999999999E-3</v>
      </c>
      <c r="S3594">
        <v>-3.0391849999999998</v>
      </c>
      <c r="T3594">
        <v>-7.2554350000000002E-3</v>
      </c>
      <c r="U3594">
        <v>0.13366700000000001</v>
      </c>
      <c r="V3594">
        <v>2.5711559999999998E-3</v>
      </c>
      <c r="W3594">
        <v>0.17062439999999901</v>
      </c>
      <c r="X3594">
        <v>0.98533280000000001</v>
      </c>
      <c r="Y3594">
        <v>4.5293809999999997E-2</v>
      </c>
      <c r="Z3594">
        <v>3.3656570000000001E-4</v>
      </c>
      <c r="AA3594">
        <v>0.99897369999999996</v>
      </c>
      <c r="AB3594">
        <v>30</v>
      </c>
      <c r="AC3594">
        <v>-3.0391849999999998</v>
      </c>
      <c r="AD3594">
        <v>-7.2554350000000002E-3</v>
      </c>
      <c r="AE3594">
        <v>0.13366700000000001</v>
      </c>
      <c r="AF3594">
        <v>0.137791326490634</v>
      </c>
      <c r="AG3594">
        <v>-7.2554350000000002E-3</v>
      </c>
      <c r="AH3594">
        <v>3.03898348131117</v>
      </c>
      <c r="AI3594">
        <v>90.136650418404102</v>
      </c>
      <c r="AJ3594">
        <v>87.403915483358205</v>
      </c>
      <c r="AK3594">
        <v>3.0421143454306998</v>
      </c>
      <c r="AL3594">
        <v>80.1758751505958</v>
      </c>
      <c r="AM3594">
        <v>89.850491069711495</v>
      </c>
      <c r="AN3594">
        <v>1.0000000117371799</v>
      </c>
    </row>
    <row r="3595" spans="1:40" x14ac:dyDescent="0.25">
      <c r="A3595" t="str">
        <f>"20190303161944469"</f>
        <v>20190303161944469</v>
      </c>
      <c r="B3595" t="str">
        <f>"1551601184456008"</f>
        <v>1551601184456008</v>
      </c>
      <c r="C3595" t="s">
        <v>40</v>
      </c>
      <c r="D3595">
        <v>4.2026629999999896</v>
      </c>
      <c r="E3595">
        <v>0.50853660000000001</v>
      </c>
      <c r="F3595" t="s">
        <v>58</v>
      </c>
      <c r="G3595">
        <v>0</v>
      </c>
      <c r="H3595">
        <v>0</v>
      </c>
      <c r="I3595">
        <v>0</v>
      </c>
      <c r="J3595">
        <v>-361.08390000000003</v>
      </c>
      <c r="K3595">
        <v>1.12144</v>
      </c>
      <c r="L3595">
        <v>283.88510000000002</v>
      </c>
      <c r="M3595">
        <v>-0.9999131</v>
      </c>
      <c r="N3595">
        <v>-1.3108710000000001E-2</v>
      </c>
      <c r="O3595">
        <v>-1.3762889999999999E-3</v>
      </c>
      <c r="P3595">
        <v>-0.98748360000000002</v>
      </c>
      <c r="Q3595">
        <v>0.15771650000000001</v>
      </c>
      <c r="R3595">
        <v>1.2138450000000001E-3</v>
      </c>
      <c r="S3595">
        <v>-3.0372620000000001</v>
      </c>
      <c r="T3595">
        <v>3.6401749999999998E-3</v>
      </c>
      <c r="U3595">
        <v>0.1011658</v>
      </c>
      <c r="V3595">
        <v>2.5690859999999999E-3</v>
      </c>
      <c r="W3595">
        <v>0.1706474</v>
      </c>
      <c r="X3595">
        <v>0.9853288</v>
      </c>
      <c r="Y3595">
        <v>3.4665469999999997E-2</v>
      </c>
      <c r="Z3595">
        <v>1.8682820000000001E-4</v>
      </c>
      <c r="AA3595">
        <v>0.99939889999999998</v>
      </c>
      <c r="AB3595">
        <v>30</v>
      </c>
      <c r="AC3595">
        <v>-3.0372620000000001</v>
      </c>
      <c r="AD3595">
        <v>3.6401749999999998E-3</v>
      </c>
      <c r="AE3595">
        <v>0.1011658</v>
      </c>
      <c r="AF3595">
        <v>0.10534606262516</v>
      </c>
      <c r="AG3595">
        <v>3.6401749999999998E-3</v>
      </c>
      <c r="AH3595">
        <v>3.0371155198859299</v>
      </c>
      <c r="AI3595">
        <v>89.931368691966796</v>
      </c>
      <c r="AJ3595">
        <v>88.013422333198307</v>
      </c>
      <c r="AK3595">
        <v>3.03894417930251</v>
      </c>
      <c r="AL3595">
        <v>80.174537514844005</v>
      </c>
      <c r="AM3595">
        <v>89.850610830164698</v>
      </c>
      <c r="AN3595">
        <v>0.99999998971953696</v>
      </c>
    </row>
    <row r="3596" spans="1:40" x14ac:dyDescent="0.25">
      <c r="A3596" t="str">
        <f>"20190303161944483"</f>
        <v>20190303161944483</v>
      </c>
      <c r="B3596" t="str">
        <f>"1551601184476508"</f>
        <v>1551601184476508</v>
      </c>
      <c r="C3596" t="s">
        <v>40</v>
      </c>
      <c r="D3596">
        <v>4.1906790000000003</v>
      </c>
      <c r="E3596">
        <v>0.50533499999999998</v>
      </c>
      <c r="F3596" t="s">
        <v>58</v>
      </c>
      <c r="G3596">
        <v>0</v>
      </c>
      <c r="H3596">
        <v>0</v>
      </c>
      <c r="I3596">
        <v>0</v>
      </c>
      <c r="J3596">
        <v>-361.26130000000001</v>
      </c>
      <c r="K3596">
        <v>1.1214379999999999</v>
      </c>
      <c r="L3596">
        <v>283.88490000000002</v>
      </c>
      <c r="M3596">
        <v>-0.9999131</v>
      </c>
      <c r="N3596">
        <v>-1.3106799999999899E-2</v>
      </c>
      <c r="O3596">
        <v>-1.39498799999999E-3</v>
      </c>
      <c r="P3596">
        <v>-0.98758590000000002</v>
      </c>
      <c r="Q3596">
        <v>0.15707579999999999</v>
      </c>
      <c r="R3596">
        <v>1.1998390000000001E-3</v>
      </c>
      <c r="S3596">
        <v>-3.0359799999999999</v>
      </c>
      <c r="T3596">
        <v>1.215601E-2</v>
      </c>
      <c r="U3596">
        <v>7.0007319999999998E-2</v>
      </c>
      <c r="V3596">
        <v>2.57398E-3</v>
      </c>
      <c r="W3596">
        <v>0.1700065</v>
      </c>
      <c r="X3596">
        <v>0.98543959999999997</v>
      </c>
      <c r="Y3596">
        <v>2.4448049999999999E-2</v>
      </c>
      <c r="Z3596" s="1">
        <v>8.7439929999999998E-5</v>
      </c>
      <c r="AA3596">
        <v>0.99970110000000001</v>
      </c>
      <c r="AB3596">
        <v>30</v>
      </c>
      <c r="AC3596">
        <v>-3.0359799999999999</v>
      </c>
      <c r="AD3596">
        <v>1.215601E-2</v>
      </c>
      <c r="AE3596">
        <v>7.0007319999999998E-2</v>
      </c>
      <c r="AF3596">
        <v>7.4241581885702096E-2</v>
      </c>
      <c r="AG3596">
        <v>1.215601E-2</v>
      </c>
      <c r="AH3596">
        <v>3.0358307335418901</v>
      </c>
      <c r="AI3596">
        <v>89.7706472343218</v>
      </c>
      <c r="AJ3596">
        <v>88.599104495822104</v>
      </c>
      <c r="AK3596">
        <v>3.03676272102012</v>
      </c>
      <c r="AL3596">
        <v>80.211803220441595</v>
      </c>
      <c r="AM3596">
        <v>89.8503430802281</v>
      </c>
      <c r="AN3596">
        <v>1.0000000203317201</v>
      </c>
    </row>
    <row r="3597" spans="1:40" x14ac:dyDescent="0.25">
      <c r="A3597" t="str">
        <f>"20190303161944495"</f>
        <v>20190303161944495</v>
      </c>
      <c r="B3597" t="str">
        <f>"1551601184486264"</f>
        <v>1551601184486264</v>
      </c>
      <c r="C3597" t="s">
        <v>40</v>
      </c>
      <c r="D3597">
        <v>4.1575709999999999</v>
      </c>
      <c r="E3597">
        <v>0.50485909999999901</v>
      </c>
      <c r="F3597" t="s">
        <v>58</v>
      </c>
      <c r="G3597">
        <v>0</v>
      </c>
      <c r="H3597">
        <v>0</v>
      </c>
      <c r="I3597">
        <v>0</v>
      </c>
      <c r="J3597">
        <v>-361.41849999999999</v>
      </c>
      <c r="K3597">
        <v>1.1214360000000001</v>
      </c>
      <c r="L3597">
        <v>283.88459999999998</v>
      </c>
      <c r="M3597">
        <v>-0.9999133</v>
      </c>
      <c r="N3597">
        <v>-1.310501E-2</v>
      </c>
      <c r="O3597">
        <v>-1.4114279999999999E-3</v>
      </c>
      <c r="P3597">
        <v>-0.98762399999999995</v>
      </c>
      <c r="Q3597">
        <v>0.156836999999999</v>
      </c>
      <c r="R3597">
        <v>1.2295699999999999E-3</v>
      </c>
      <c r="S3597">
        <v>-3.0350039999999998</v>
      </c>
      <c r="T3597">
        <v>1.663709E-2</v>
      </c>
      <c r="U3597">
        <v>4.4769290000000003E-2</v>
      </c>
      <c r="V3597">
        <v>2.6198829999999999E-3</v>
      </c>
      <c r="W3597">
        <v>0.16976640000000001</v>
      </c>
      <c r="X3597">
        <v>0.98548080000000005</v>
      </c>
      <c r="Y3597">
        <v>1.6160859999999999E-2</v>
      </c>
      <c r="Z3597" s="1">
        <v>3.5378559999999998E-5</v>
      </c>
      <c r="AA3597">
        <v>0.99986940000000002</v>
      </c>
      <c r="AB3597">
        <v>30</v>
      </c>
      <c r="AC3597">
        <v>-3.0350039999999998</v>
      </c>
      <c r="AD3597">
        <v>1.663709E-2</v>
      </c>
      <c r="AE3597">
        <v>4.4769290000000003E-2</v>
      </c>
      <c r="AF3597">
        <v>4.90518285264138E-2</v>
      </c>
      <c r="AG3597">
        <v>1.663709E-2</v>
      </c>
      <c r="AH3597">
        <v>3.0348466068122599</v>
      </c>
      <c r="AI3597">
        <v>89.685947551112605</v>
      </c>
      <c r="AJ3597">
        <v>89.074016442719596</v>
      </c>
      <c r="AK3597">
        <v>3.0352885862015402</v>
      </c>
      <c r="AL3597">
        <v>80.225762172463604</v>
      </c>
      <c r="AM3597">
        <v>89.847680558476299</v>
      </c>
      <c r="AN3597">
        <v>0.999999950762265</v>
      </c>
    </row>
    <row r="3598" spans="1:40" x14ac:dyDescent="0.25">
      <c r="A3598" t="str">
        <f>"20190303161944507"</f>
        <v>20190303161944507</v>
      </c>
      <c r="B3598" t="str">
        <f>"1551601184496025"</f>
        <v>1551601184496025</v>
      </c>
      <c r="C3598" t="s">
        <v>40</v>
      </c>
      <c r="D3598">
        <v>4.15517</v>
      </c>
      <c r="E3598">
        <v>0.50468649999999904</v>
      </c>
      <c r="F3598" t="s">
        <v>58</v>
      </c>
      <c r="G3598">
        <v>0</v>
      </c>
      <c r="H3598">
        <v>0</v>
      </c>
      <c r="I3598">
        <v>0</v>
      </c>
      <c r="J3598">
        <v>-361.58789999999999</v>
      </c>
      <c r="K3598">
        <v>1.1214329999999999</v>
      </c>
      <c r="L3598">
        <v>283.88440000000003</v>
      </c>
      <c r="M3598">
        <v>-0.99991319999999995</v>
      </c>
      <c r="N3598">
        <v>-1.310305E-2</v>
      </c>
      <c r="O3598">
        <v>-1.428702E-3</v>
      </c>
      <c r="P3598">
        <v>-0.98765800000000004</v>
      </c>
      <c r="Q3598">
        <v>0.1566206</v>
      </c>
      <c r="R3598">
        <v>1.308963E-3</v>
      </c>
      <c r="S3598">
        <v>-3.035339</v>
      </c>
      <c r="T3598">
        <v>1.393318E-2</v>
      </c>
      <c r="U3598">
        <v>4.0801999999999998E-2</v>
      </c>
      <c r="V3598">
        <v>2.716315E-3</v>
      </c>
      <c r="W3598">
        <v>0.16954830000000001</v>
      </c>
      <c r="X3598">
        <v>0.98551820000000001</v>
      </c>
      <c r="Y3598">
        <v>1.486986E-2</v>
      </c>
      <c r="Z3598" s="1">
        <v>3.8023079999999997E-5</v>
      </c>
      <c r="AA3598">
        <v>0.99988940000000004</v>
      </c>
      <c r="AB3598">
        <v>30</v>
      </c>
      <c r="AC3598">
        <v>-3.035339</v>
      </c>
      <c r="AD3598">
        <v>1.393318E-2</v>
      </c>
      <c r="AE3598">
        <v>4.0801999999999998E-2</v>
      </c>
      <c r="AF3598">
        <v>4.5137974340072502E-2</v>
      </c>
      <c r="AG3598">
        <v>1.393318E-2</v>
      </c>
      <c r="AH3598">
        <v>3.0352136591444201</v>
      </c>
      <c r="AI3598">
        <v>89.737014052167098</v>
      </c>
      <c r="AJ3598">
        <v>89.147992502079006</v>
      </c>
      <c r="AK3598">
        <v>3.03558125025328</v>
      </c>
      <c r="AL3598">
        <v>80.238443314559603</v>
      </c>
      <c r="AM3598">
        <v>89.842080043550297</v>
      </c>
      <c r="AN3598">
        <v>1.0000000634656501</v>
      </c>
    </row>
    <row r="3599" spans="1:40" x14ac:dyDescent="0.25">
      <c r="A3599" t="str">
        <f>"20190303161944522"</f>
        <v>20190303161944522</v>
      </c>
      <c r="B3599" t="str">
        <f>"1551601184517497"</f>
        <v>1551601184517497</v>
      </c>
      <c r="C3599" t="s">
        <v>40</v>
      </c>
      <c r="D3599">
        <v>4.1474390000000003</v>
      </c>
      <c r="E3599">
        <v>0.5046349</v>
      </c>
      <c r="F3599" t="s">
        <v>58</v>
      </c>
      <c r="G3599">
        <v>0</v>
      </c>
      <c r="H3599">
        <v>0</v>
      </c>
      <c r="I3599">
        <v>0</v>
      </c>
      <c r="J3599">
        <v>-361.78160000000003</v>
      </c>
      <c r="K3599">
        <v>1.121434</v>
      </c>
      <c r="L3599">
        <v>283.88409999999999</v>
      </c>
      <c r="M3599">
        <v>-0.9999131</v>
      </c>
      <c r="N3599">
        <v>-1.3100830000000001E-2</v>
      </c>
      <c r="O3599">
        <v>-1.4484770000000001E-3</v>
      </c>
      <c r="P3599">
        <v>-0.98770250000000004</v>
      </c>
      <c r="Q3599">
        <v>0.1563388</v>
      </c>
      <c r="R3599">
        <v>1.4619189999999999E-3</v>
      </c>
      <c r="S3599">
        <v>-3.035126</v>
      </c>
      <c r="T3599">
        <v>1.4447089999999999E-2</v>
      </c>
      <c r="U3599">
        <v>3.9978029999999998E-2</v>
      </c>
      <c r="V3599">
        <v>2.888898E-3</v>
      </c>
      <c r="W3599">
        <v>0.169265</v>
      </c>
      <c r="X3599">
        <v>0.98556630000000001</v>
      </c>
      <c r="Y3599">
        <v>1.4619170000000001E-2</v>
      </c>
      <c r="Z3599" s="1">
        <v>3.51071099999999E-5</v>
      </c>
      <c r="AA3599">
        <v>0.99989309999999998</v>
      </c>
      <c r="AB3599">
        <v>30</v>
      </c>
      <c r="AC3599">
        <v>-3.035126</v>
      </c>
      <c r="AD3599">
        <v>1.4447089999999999E-2</v>
      </c>
      <c r="AE3599">
        <v>3.9978029999999998E-2</v>
      </c>
      <c r="AF3599">
        <v>4.4373670505458901E-2</v>
      </c>
      <c r="AG3599">
        <v>1.4447089999999999E-2</v>
      </c>
      <c r="AH3599">
        <v>3.0349961504900902</v>
      </c>
      <c r="AI3599">
        <v>89.727293698558796</v>
      </c>
      <c r="AJ3599">
        <v>89.162357123658197</v>
      </c>
      <c r="AK3599">
        <v>3.0353549009190401</v>
      </c>
      <c r="AL3599">
        <v>80.254912230909298</v>
      </c>
      <c r="AM3599">
        <v>89.8320547397025</v>
      </c>
      <c r="AN3599">
        <v>0.99999995882617099</v>
      </c>
    </row>
    <row r="3600" spans="1:40" x14ac:dyDescent="0.25">
      <c r="A3600" t="str">
        <f>"20190303161944535"</f>
        <v>20190303161944535</v>
      </c>
      <c r="B3600" t="str">
        <f>"1551601184526281"</f>
        <v>1551601184526281</v>
      </c>
      <c r="C3600" t="s">
        <v>40</v>
      </c>
      <c r="D3600">
        <v>4.1483290000000004</v>
      </c>
      <c r="E3600">
        <v>0.50450529999999905</v>
      </c>
      <c r="F3600" t="s">
        <v>58</v>
      </c>
      <c r="G3600">
        <v>0</v>
      </c>
      <c r="H3600">
        <v>0</v>
      </c>
      <c r="I3600">
        <v>0</v>
      </c>
      <c r="J3600">
        <v>-361.95409999999998</v>
      </c>
      <c r="K3600">
        <v>1.121432</v>
      </c>
      <c r="L3600">
        <v>283.88380000000001</v>
      </c>
      <c r="M3600">
        <v>-0.9999133</v>
      </c>
      <c r="N3600">
        <v>-1.309894E-2</v>
      </c>
      <c r="O3600">
        <v>-1.4663460000000001E-3</v>
      </c>
      <c r="P3600">
        <v>-0.98767890000000003</v>
      </c>
      <c r="Q3600">
        <v>0.156489299999999</v>
      </c>
      <c r="R3600">
        <v>1.3585649999999999E-3</v>
      </c>
      <c r="S3600">
        <v>-3.0354000000000001</v>
      </c>
      <c r="T3600">
        <v>1.19065E-2</v>
      </c>
      <c r="U3600">
        <v>4.0039060000000001E-2</v>
      </c>
      <c r="V3600">
        <v>2.8030419999999999E-3</v>
      </c>
      <c r="W3600">
        <v>0.16941349999999999</v>
      </c>
      <c r="X3600">
        <v>0.98554109999999995</v>
      </c>
      <c r="Y3600">
        <v>1.4655929999999999E-2</v>
      </c>
      <c r="Z3600" s="1">
        <v>4.2294340000000002E-5</v>
      </c>
      <c r="AA3600">
        <v>0.99989260000000002</v>
      </c>
      <c r="AB3600">
        <v>30</v>
      </c>
      <c r="AC3600">
        <v>-3.0354000000000001</v>
      </c>
      <c r="AD3600">
        <v>1.19065E-2</v>
      </c>
      <c r="AE3600">
        <v>4.0039060000000001E-2</v>
      </c>
      <c r="AF3600">
        <v>4.4489660324142498E-2</v>
      </c>
      <c r="AG3600">
        <v>1.19065E-2</v>
      </c>
      <c r="AH3600">
        <v>3.03529132596986</v>
      </c>
      <c r="AI3600">
        <v>89.775271841170706</v>
      </c>
      <c r="AJ3600">
        <v>89.160249554326299</v>
      </c>
      <c r="AK3600">
        <v>3.0356407113039401</v>
      </c>
      <c r="AL3600">
        <v>80.246279782208703</v>
      </c>
      <c r="AM3600">
        <v>89.837041759752694</v>
      </c>
      <c r="AN3600">
        <v>1.00000002540795</v>
      </c>
    </row>
    <row r="3601" spans="1:40" x14ac:dyDescent="0.25">
      <c r="A3601" t="str">
        <f>"20190303161944548"</f>
        <v>20190303161944548</v>
      </c>
      <c r="B3601" t="str">
        <f>"1551601184536041"</f>
        <v>1551601184536041</v>
      </c>
      <c r="C3601" t="s">
        <v>40</v>
      </c>
      <c r="D3601">
        <v>4.1156860000000002</v>
      </c>
      <c r="E3601">
        <v>0.50435549999999996</v>
      </c>
      <c r="F3601" t="s">
        <v>58</v>
      </c>
      <c r="G3601">
        <v>0</v>
      </c>
      <c r="H3601">
        <v>0</v>
      </c>
      <c r="I3601">
        <v>0</v>
      </c>
      <c r="J3601">
        <v>-362.12450000000001</v>
      </c>
      <c r="K3601">
        <v>1.121432</v>
      </c>
      <c r="L3601">
        <v>283.88350000000003</v>
      </c>
      <c r="M3601">
        <v>-0.9999133</v>
      </c>
      <c r="N3601">
        <v>-1.309709E-2</v>
      </c>
      <c r="O3601">
        <v>-1.483856E-3</v>
      </c>
      <c r="P3601">
        <v>-0.98767499999999997</v>
      </c>
      <c r="Q3601">
        <v>0.156516299999999</v>
      </c>
      <c r="R3601">
        <v>1.1908579999999999E-3</v>
      </c>
      <c r="S3601">
        <v>-3.035431</v>
      </c>
      <c r="T3601">
        <v>1.1812329999999999E-2</v>
      </c>
      <c r="U3601">
        <v>3.8543699999999903E-2</v>
      </c>
      <c r="V3601">
        <v>2.6528430000000002E-3</v>
      </c>
      <c r="W3601">
        <v>0.16943839999999999</v>
      </c>
      <c r="X3601">
        <v>0.9855372</v>
      </c>
      <c r="Y3601">
        <v>1.41808E-2</v>
      </c>
      <c r="Z3601" s="1">
        <v>4.0071460000000001E-5</v>
      </c>
      <c r="AA3601">
        <v>0.99989939999999999</v>
      </c>
      <c r="AB3601">
        <v>30</v>
      </c>
      <c r="AC3601">
        <v>-3.035431</v>
      </c>
      <c r="AD3601">
        <v>1.1812329999999999E-2</v>
      </c>
      <c r="AE3601">
        <v>3.8543699999999903E-2</v>
      </c>
      <c r="AF3601">
        <v>4.3047533852928699E-2</v>
      </c>
      <c r="AG3601">
        <v>1.1812329999999999E-2</v>
      </c>
      <c r="AH3601">
        <v>3.0353245010142902</v>
      </c>
      <c r="AI3601">
        <v>89.777050135446004</v>
      </c>
      <c r="AJ3601">
        <v>89.187475123249897</v>
      </c>
      <c r="AK3601">
        <v>3.03565272186535</v>
      </c>
      <c r="AL3601">
        <v>80.244831848239201</v>
      </c>
      <c r="AM3601">
        <v>89.845773106780996</v>
      </c>
      <c r="AN3601">
        <v>0.99999999077719104</v>
      </c>
    </row>
    <row r="3602" spans="1:40" x14ac:dyDescent="0.25">
      <c r="A3602" t="str">
        <f>"20190303161944561"</f>
        <v>20190303161944561</v>
      </c>
      <c r="B3602" t="str">
        <f>"1551601184556542"</f>
        <v>1551601184556542</v>
      </c>
      <c r="C3602" t="s">
        <v>40</v>
      </c>
      <c r="D3602">
        <v>4.1481320000000004</v>
      </c>
      <c r="E3602">
        <v>0.50413969999999997</v>
      </c>
      <c r="F3602" t="s">
        <v>58</v>
      </c>
      <c r="G3602">
        <v>0</v>
      </c>
      <c r="H3602">
        <v>0</v>
      </c>
      <c r="I3602">
        <v>0</v>
      </c>
      <c r="J3602">
        <v>-362.30630000000002</v>
      </c>
      <c r="K3602">
        <v>1.1214299999999999</v>
      </c>
      <c r="L3602">
        <v>283.88319999999999</v>
      </c>
      <c r="M3602">
        <v>-0.99991319999999995</v>
      </c>
      <c r="N3602">
        <v>-1.30951E-2</v>
      </c>
      <c r="O3602">
        <v>-1.502555E-3</v>
      </c>
      <c r="P3602">
        <v>-0.98769980000000002</v>
      </c>
      <c r="Q3602">
        <v>0.15635650000000001</v>
      </c>
      <c r="R3602">
        <v>1.2735489999999999E-3</v>
      </c>
      <c r="S3602">
        <v>-3.035431</v>
      </c>
      <c r="T3602">
        <v>1.2233610000000001E-2</v>
      </c>
      <c r="U3602">
        <v>3.7048339999999999E-2</v>
      </c>
      <c r="V3602">
        <v>2.7539330000000001E-3</v>
      </c>
      <c r="W3602">
        <v>0.16927719999999999</v>
      </c>
      <c r="X3602">
        <v>0.98556460000000001</v>
      </c>
      <c r="Y3602">
        <v>1.3706980000000001E-2</v>
      </c>
      <c r="Z3602" s="1">
        <v>3.6401859999999998E-5</v>
      </c>
      <c r="AA3602">
        <v>0.99990610000000002</v>
      </c>
      <c r="AB3602">
        <v>30</v>
      </c>
      <c r="AC3602">
        <v>-3.035431</v>
      </c>
      <c r="AD3602">
        <v>1.2233610000000001E-2</v>
      </c>
      <c r="AE3602">
        <v>3.7048339999999999E-2</v>
      </c>
      <c r="AF3602">
        <v>4.1608915211840201E-2</v>
      </c>
      <c r="AG3602">
        <v>1.2233610000000001E-2</v>
      </c>
      <c r="AH3602">
        <v>3.03532260530854</v>
      </c>
      <c r="AI3602">
        <v>89.769097170523494</v>
      </c>
      <c r="AJ3602">
        <v>89.214625189058296</v>
      </c>
      <c r="AK3602">
        <v>3.0356324351501698</v>
      </c>
      <c r="AL3602">
        <v>80.254203074784201</v>
      </c>
      <c r="AM3602">
        <v>89.839900573442506</v>
      </c>
      <c r="AN3602">
        <v>0.999999967679983</v>
      </c>
    </row>
    <row r="3603" spans="1:40" x14ac:dyDescent="0.25">
      <c r="A3603" t="str">
        <f>"20190303161944584"</f>
        <v>20190303161944584</v>
      </c>
      <c r="B3603" t="str">
        <f>"1551601184576056"</f>
        <v>1551601184576056</v>
      </c>
      <c r="C3603" t="s">
        <v>40</v>
      </c>
      <c r="D3603">
        <v>4.134423</v>
      </c>
      <c r="E3603">
        <v>0.50392109999999901</v>
      </c>
      <c r="F3603" t="s">
        <v>58</v>
      </c>
      <c r="G3603">
        <v>0</v>
      </c>
      <c r="H3603">
        <v>0</v>
      </c>
      <c r="I3603">
        <v>0</v>
      </c>
      <c r="J3603">
        <v>-362.59460000000001</v>
      </c>
      <c r="K3603">
        <v>1.1214280000000001</v>
      </c>
      <c r="L3603">
        <v>283.88279999999997</v>
      </c>
      <c r="M3603">
        <v>-0.99991319999999995</v>
      </c>
      <c r="N3603">
        <v>-1.3091899999999899E-2</v>
      </c>
      <c r="O3603">
        <v>-1.5321E-3</v>
      </c>
      <c r="P3603">
        <v>-0.98764759999999996</v>
      </c>
      <c r="Q3603">
        <v>0.15668789999999999</v>
      </c>
      <c r="R3603">
        <v>1.132603E-3</v>
      </c>
      <c r="S3603">
        <v>-3.0355829999999999</v>
      </c>
      <c r="T3603">
        <v>1.076269E-2</v>
      </c>
      <c r="U3603">
        <v>3.5797120000000002E-2</v>
      </c>
      <c r="V3603">
        <v>2.641909E-3</v>
      </c>
      <c r="W3603">
        <v>0.1696047</v>
      </c>
      <c r="X3603">
        <v>0.98550859999999996</v>
      </c>
      <c r="Y3603">
        <v>1.332381E-2</v>
      </c>
      <c r="Z3603" s="1">
        <v>3.8114239999999998E-5</v>
      </c>
      <c r="AA3603">
        <v>0.9999112</v>
      </c>
      <c r="AB3603">
        <v>30</v>
      </c>
      <c r="AC3603">
        <v>-3.0355829999999999</v>
      </c>
      <c r="AD3603">
        <v>1.076269E-2</v>
      </c>
      <c r="AE3603">
        <v>3.5797120000000002E-2</v>
      </c>
      <c r="AF3603">
        <v>4.0447784575366401E-2</v>
      </c>
      <c r="AG3603">
        <v>1.076269E-2</v>
      </c>
      <c r="AH3603">
        <v>3.0354864344595298</v>
      </c>
      <c r="AI3603">
        <v>89.796869659874602</v>
      </c>
      <c r="AJ3603">
        <v>89.236580280957895</v>
      </c>
      <c r="AK3603">
        <v>3.0357749838485901</v>
      </c>
      <c r="AL3603">
        <v>80.235163395411803</v>
      </c>
      <c r="AM3603">
        <v>89.846404310470803</v>
      </c>
      <c r="AN3603">
        <v>0.99999996730960605</v>
      </c>
    </row>
    <row r="3604" spans="1:40" x14ac:dyDescent="0.25">
      <c r="A3604" t="str">
        <f>"20190303161944607"</f>
        <v>20190303161944607</v>
      </c>
      <c r="B3604" t="str">
        <f>"1551601184596552"</f>
        <v>1551601184596552</v>
      </c>
      <c r="C3604" t="s">
        <v>40</v>
      </c>
      <c r="D3604">
        <v>4.1252110000000002</v>
      </c>
      <c r="E3604">
        <v>0.5036427</v>
      </c>
      <c r="F3604" t="s">
        <v>58</v>
      </c>
      <c r="G3604">
        <v>0</v>
      </c>
      <c r="H3604">
        <v>0</v>
      </c>
      <c r="I3604">
        <v>0</v>
      </c>
      <c r="J3604">
        <v>-362.89389999999997</v>
      </c>
      <c r="K3604">
        <v>1.1214329999999999</v>
      </c>
      <c r="L3604">
        <v>283.88229999999999</v>
      </c>
      <c r="M3604">
        <v>-0.9999131</v>
      </c>
      <c r="N3604">
        <v>-1.3088499999999999E-2</v>
      </c>
      <c r="O3604">
        <v>-1.5629509999999999E-3</v>
      </c>
      <c r="P3604">
        <v>-0.98767850000000001</v>
      </c>
      <c r="Q3604">
        <v>0.15649170000000001</v>
      </c>
      <c r="R3604">
        <v>1.401525E-3</v>
      </c>
      <c r="S3604">
        <v>-3.0354920000000001</v>
      </c>
      <c r="T3604">
        <v>1.233625E-2</v>
      </c>
      <c r="U3604">
        <v>3.3782960000000001E-2</v>
      </c>
      <c r="V3604">
        <v>2.9416300000000002E-3</v>
      </c>
      <c r="W3604">
        <v>0.169406</v>
      </c>
      <c r="X3604">
        <v>0.98554189999999997</v>
      </c>
      <c r="Y3604">
        <v>1.2691610000000001E-2</v>
      </c>
      <c r="Z3604" s="1">
        <v>3.046577E-5</v>
      </c>
      <c r="AA3604">
        <v>0.99991949999999996</v>
      </c>
      <c r="AB3604">
        <v>30</v>
      </c>
      <c r="AC3604">
        <v>-3.0354920000000001</v>
      </c>
      <c r="AD3604">
        <v>1.233625E-2</v>
      </c>
      <c r="AE3604">
        <v>3.3782960000000001E-2</v>
      </c>
      <c r="AF3604">
        <v>3.8527014270313797E-2</v>
      </c>
      <c r="AG3604">
        <v>1.233625E-2</v>
      </c>
      <c r="AH3604">
        <v>3.0353853595602902</v>
      </c>
      <c r="AI3604">
        <v>89.767161609593202</v>
      </c>
      <c r="AJ3604">
        <v>89.272805089438904</v>
      </c>
      <c r="AK3604">
        <v>3.0356549202644199</v>
      </c>
      <c r="AL3604">
        <v>80.246714974957698</v>
      </c>
      <c r="AM3604">
        <v>89.828984964131095</v>
      </c>
      <c r="AN3604">
        <v>0.99999994133933101</v>
      </c>
    </row>
    <row r="3605" spans="1:40" x14ac:dyDescent="0.25">
      <c r="A3605" t="str">
        <f>"20190303161944619"</f>
        <v>20190303161944619</v>
      </c>
      <c r="B3605" t="str">
        <f>"1551601184606313"</f>
        <v>1551601184606313</v>
      </c>
      <c r="C3605" t="s">
        <v>40</v>
      </c>
      <c r="D3605">
        <v>4.1814519999999904</v>
      </c>
      <c r="E3605">
        <v>0.50357499999999999</v>
      </c>
      <c r="F3605" t="s">
        <v>58</v>
      </c>
      <c r="G3605">
        <v>0</v>
      </c>
      <c r="H3605">
        <v>0</v>
      </c>
      <c r="I3605">
        <v>0</v>
      </c>
      <c r="J3605">
        <v>-363.06330000000003</v>
      </c>
      <c r="K3605">
        <v>1.1214329999999999</v>
      </c>
      <c r="L3605">
        <v>283.88200000000001</v>
      </c>
      <c r="M3605">
        <v>-0.9999133</v>
      </c>
      <c r="N3605">
        <v>-1.3086550000000001E-2</v>
      </c>
      <c r="O3605">
        <v>-1.580461E-3</v>
      </c>
      <c r="P3605">
        <v>-0.9876045</v>
      </c>
      <c r="Q3605">
        <v>0.1569576</v>
      </c>
      <c r="R3605">
        <v>1.4289470000000001E-3</v>
      </c>
      <c r="S3605">
        <v>-3.0354000000000001</v>
      </c>
      <c r="T3605">
        <v>1.238525E-2</v>
      </c>
      <c r="U3605">
        <v>3.2714840000000002E-2</v>
      </c>
      <c r="V3605">
        <v>2.9860149999999998E-3</v>
      </c>
      <c r="W3605">
        <v>0.16986879999999999</v>
      </c>
      <c r="X3605">
        <v>0.98546210000000001</v>
      </c>
      <c r="Y3605">
        <v>1.235763E-2</v>
      </c>
      <c r="Z3605" s="1">
        <v>2.852288E-5</v>
      </c>
      <c r="AA3605">
        <v>0.99992360000000002</v>
      </c>
      <c r="AB3605">
        <v>30</v>
      </c>
      <c r="AC3605">
        <v>-3.0354000000000001</v>
      </c>
      <c r="AD3605">
        <v>1.238525E-2</v>
      </c>
      <c r="AE3605">
        <v>3.2714840000000002E-2</v>
      </c>
      <c r="AF3605">
        <v>3.7511915977199599E-2</v>
      </c>
      <c r="AG3605">
        <v>1.238525E-2</v>
      </c>
      <c r="AH3605">
        <v>3.0352939718816598</v>
      </c>
      <c r="AI3605">
        <v>89.766228761798402</v>
      </c>
      <c r="AJ3605">
        <v>89.291941711697305</v>
      </c>
      <c r="AK3605">
        <v>3.0355510264199101</v>
      </c>
      <c r="AL3605">
        <v>80.219808486047299</v>
      </c>
      <c r="AM3605">
        <v>89.8263905497043</v>
      </c>
      <c r="AN3605">
        <v>0.99999993801771303</v>
      </c>
    </row>
    <row r="3606" spans="1:40" x14ac:dyDescent="0.25">
      <c r="A3606" t="str">
        <f>"20190303161944639"</f>
        <v>20190303161944639</v>
      </c>
      <c r="B3606" t="str">
        <f>"1551601184636307"</f>
        <v>1551601184636307</v>
      </c>
      <c r="C3606" t="s">
        <v>40</v>
      </c>
      <c r="D3606">
        <v>4.2055740000000004</v>
      </c>
      <c r="E3606">
        <v>0.50365689999999996</v>
      </c>
      <c r="F3606" t="s">
        <v>58</v>
      </c>
      <c r="G3606">
        <v>0</v>
      </c>
      <c r="H3606">
        <v>0</v>
      </c>
      <c r="I3606">
        <v>0</v>
      </c>
      <c r="J3606">
        <v>-363.33049999999997</v>
      </c>
      <c r="K3606">
        <v>1.1214379999999999</v>
      </c>
      <c r="L3606">
        <v>283.88150000000002</v>
      </c>
      <c r="M3606">
        <v>-0.99991319999999995</v>
      </c>
      <c r="N3606">
        <v>-1.30835E-2</v>
      </c>
      <c r="O3606">
        <v>-1.6080929999999999E-3</v>
      </c>
      <c r="P3606">
        <v>-0.98758409999999996</v>
      </c>
      <c r="Q3606">
        <v>0.15708220000000001</v>
      </c>
      <c r="R3606">
        <v>1.7683320000000001E-3</v>
      </c>
      <c r="S3606">
        <v>-3.0352779999999999</v>
      </c>
      <c r="T3606">
        <v>1.422143E-2</v>
      </c>
      <c r="U3606">
        <v>3.2470699999999998E-2</v>
      </c>
      <c r="V3606">
        <v>3.352889E-3</v>
      </c>
      <c r="W3606">
        <v>0.16999010000000001</v>
      </c>
      <c r="X3606">
        <v>0.98544010000000004</v>
      </c>
      <c r="Y3606">
        <v>1.230527E-2</v>
      </c>
      <c r="Z3606" s="1">
        <v>2.3102940000000001E-5</v>
      </c>
      <c r="AA3606">
        <v>0.99992429999999999</v>
      </c>
      <c r="AB3606">
        <v>30</v>
      </c>
      <c r="AC3606">
        <v>-3.0352779999999999</v>
      </c>
      <c r="AD3606">
        <v>1.422143E-2</v>
      </c>
      <c r="AE3606">
        <v>3.2470699999999998E-2</v>
      </c>
      <c r="AF3606">
        <v>3.7351264838939101E-2</v>
      </c>
      <c r="AG3606">
        <v>1.422143E-2</v>
      </c>
      <c r="AH3606">
        <v>3.0351552319169399</v>
      </c>
      <c r="AI3606">
        <v>89.731558948117694</v>
      </c>
      <c r="AJ3606">
        <v>89.294941560388295</v>
      </c>
      <c r="AK3606">
        <v>3.03541836455687</v>
      </c>
      <c r="AL3606">
        <v>80.212756878872796</v>
      </c>
      <c r="AM3606">
        <v>89.805055987092999</v>
      </c>
      <c r="AN3606">
        <v>1.0000000333253301</v>
      </c>
    </row>
    <row r="3607" spans="1:40" x14ac:dyDescent="0.25">
      <c r="A3607" t="str">
        <f>"20190303161944652"</f>
        <v>20190303161944652</v>
      </c>
      <c r="B3607" t="str">
        <f>"1551601184646067"</f>
        <v>1551601184646067</v>
      </c>
      <c r="C3607" t="s">
        <v>40</v>
      </c>
      <c r="D3607">
        <v>4.189635</v>
      </c>
      <c r="E3607">
        <v>0.50378699999999998</v>
      </c>
      <c r="F3607" t="s">
        <v>58</v>
      </c>
      <c r="G3607">
        <v>0</v>
      </c>
      <c r="H3607">
        <v>0</v>
      </c>
      <c r="I3607">
        <v>0</v>
      </c>
      <c r="J3607">
        <v>-363.50799999999998</v>
      </c>
      <c r="K3607">
        <v>1.1214379999999999</v>
      </c>
      <c r="L3607">
        <v>283.88130000000001</v>
      </c>
      <c r="M3607">
        <v>-0.99991319999999995</v>
      </c>
      <c r="N3607">
        <v>-1.3081479999999999E-2</v>
      </c>
      <c r="O3607">
        <v>-1.626436E-3</v>
      </c>
      <c r="P3607">
        <v>-0.98757649999999997</v>
      </c>
      <c r="Q3607">
        <v>0.15713099999999999</v>
      </c>
      <c r="R3607">
        <v>1.71736E-3</v>
      </c>
      <c r="S3607">
        <v>-3.035339</v>
      </c>
      <c r="T3607">
        <v>1.4371510000000001E-2</v>
      </c>
      <c r="U3607">
        <v>3.4027099999999998E-2</v>
      </c>
      <c r="V3607">
        <v>3.3200109999999999E-3</v>
      </c>
      <c r="W3607">
        <v>0.17003660000000001</v>
      </c>
      <c r="X3607">
        <v>0.98543210000000003</v>
      </c>
      <c r="Y3607">
        <v>1.283606E-2</v>
      </c>
      <c r="Z3607" s="1">
        <v>2.4599809999999999E-5</v>
      </c>
      <c r="AA3607">
        <v>0.99991759999999996</v>
      </c>
      <c r="AB3607">
        <v>30</v>
      </c>
      <c r="AC3607">
        <v>-3.035339</v>
      </c>
      <c r="AD3607">
        <v>1.4371510000000001E-2</v>
      </c>
      <c r="AE3607">
        <v>3.4027099999999998E-2</v>
      </c>
      <c r="AF3607">
        <v>3.8963388268551197E-2</v>
      </c>
      <c r="AG3607">
        <v>1.4371510000000001E-2</v>
      </c>
      <c r="AH3607">
        <v>3.0352116031866601</v>
      </c>
      <c r="AI3607">
        <v>89.728732956623602</v>
      </c>
      <c r="AJ3607">
        <v>89.264527361457496</v>
      </c>
      <c r="AK3607">
        <v>3.0354957028538201</v>
      </c>
      <c r="AL3607">
        <v>80.2100523996737</v>
      </c>
      <c r="AM3607">
        <v>89.806966001496207</v>
      </c>
      <c r="AN3607">
        <v>0.99999994576150297</v>
      </c>
    </row>
    <row r="3608" spans="1:40" x14ac:dyDescent="0.25">
      <c r="A3608" t="str">
        <f>"20190303161944665"</f>
        <v>20190303161944665</v>
      </c>
      <c r="B3608" t="str">
        <f>"1551601184655827"</f>
        <v>1551601184655827</v>
      </c>
      <c r="C3608" t="s">
        <v>40</v>
      </c>
      <c r="D3608">
        <v>4.2082819999999996</v>
      </c>
      <c r="E3608">
        <v>0.50387360000000003</v>
      </c>
      <c r="F3608" t="s">
        <v>58</v>
      </c>
      <c r="G3608">
        <v>0</v>
      </c>
      <c r="H3608">
        <v>0</v>
      </c>
      <c r="I3608">
        <v>0</v>
      </c>
      <c r="J3608">
        <v>-363.67509999999999</v>
      </c>
      <c r="K3608">
        <v>1.1214379999999999</v>
      </c>
      <c r="L3608">
        <v>283.88099999999997</v>
      </c>
      <c r="M3608">
        <v>-0.9999133</v>
      </c>
      <c r="N3608">
        <v>-1.307958E-2</v>
      </c>
      <c r="O3608">
        <v>-1.643828E-3</v>
      </c>
      <c r="P3608">
        <v>-0.98757629999999996</v>
      </c>
      <c r="Q3608">
        <v>0.15713379999999999</v>
      </c>
      <c r="R3608">
        <v>1.516887E-3</v>
      </c>
      <c r="S3608">
        <v>-3.035339</v>
      </c>
      <c r="T3608">
        <v>1.4740349999999999E-2</v>
      </c>
      <c r="U3608">
        <v>3.4545899999999997E-2</v>
      </c>
      <c r="V3608">
        <v>3.1366129999999999E-3</v>
      </c>
      <c r="W3608">
        <v>0.17003750000000001</v>
      </c>
      <c r="X3608">
        <v>0.98543259999999999</v>
      </c>
      <c r="Y3608">
        <v>1.3024340000000001E-2</v>
      </c>
      <c r="Z3608" s="1">
        <v>2.407569E-5</v>
      </c>
      <c r="AA3608">
        <v>0.9999152</v>
      </c>
      <c r="AB3608">
        <v>30</v>
      </c>
      <c r="AC3608">
        <v>-3.035339</v>
      </c>
      <c r="AD3608">
        <v>1.4740349999999999E-2</v>
      </c>
      <c r="AE3608">
        <v>3.4545899999999997E-2</v>
      </c>
      <c r="AF3608">
        <v>3.9534922209935298E-2</v>
      </c>
      <c r="AG3608">
        <v>1.4740349999999999E-2</v>
      </c>
      <c r="AH3608">
        <v>3.0352065355733502</v>
      </c>
      <c r="AI3608">
        <v>89.7217712996204</v>
      </c>
      <c r="AJ3608">
        <v>89.253739056282498</v>
      </c>
      <c r="AK3608">
        <v>3.03549979436327</v>
      </c>
      <c r="AL3608">
        <v>80.210000602185602</v>
      </c>
      <c r="AM3608">
        <v>89.817629252420602</v>
      </c>
      <c r="AN3608">
        <v>0.99999999944506002</v>
      </c>
    </row>
    <row r="3609" spans="1:40" x14ac:dyDescent="0.25">
      <c r="A3609" t="str">
        <f>"20190303161944684"</f>
        <v>20190303161944684</v>
      </c>
      <c r="B3609" t="str">
        <f>"1551601184676323"</f>
        <v>1551601184676323</v>
      </c>
      <c r="C3609" t="s">
        <v>40</v>
      </c>
      <c r="D3609">
        <v>4.1943020000000004</v>
      </c>
      <c r="E3609">
        <v>0.50396350000000001</v>
      </c>
      <c r="F3609" t="s">
        <v>58</v>
      </c>
      <c r="G3609">
        <v>0</v>
      </c>
      <c r="H3609">
        <v>0</v>
      </c>
      <c r="I3609">
        <v>0</v>
      </c>
      <c r="J3609">
        <v>-363.92219999999998</v>
      </c>
      <c r="K3609">
        <v>1.121442</v>
      </c>
      <c r="L3609">
        <v>283.88049999999998</v>
      </c>
      <c r="M3609">
        <v>-0.9999131</v>
      </c>
      <c r="N3609">
        <v>-1.307679E-2</v>
      </c>
      <c r="O3609">
        <v>-1.6686079999999901E-3</v>
      </c>
      <c r="P3609">
        <v>-0.98756719999999998</v>
      </c>
      <c r="Q3609">
        <v>0.157194</v>
      </c>
      <c r="R3609">
        <v>1.071217E-3</v>
      </c>
      <c r="S3609">
        <v>-3.0354000000000001</v>
      </c>
      <c r="T3609">
        <v>1.4689560000000001E-2</v>
      </c>
      <c r="U3609">
        <v>3.4423830000000002E-2</v>
      </c>
      <c r="V3609">
        <v>2.715393E-3</v>
      </c>
      <c r="W3609">
        <v>0.17009479999999999</v>
      </c>
      <c r="X3609">
        <v>0.98542399999999997</v>
      </c>
      <c r="Y3609">
        <v>1.300868E-2</v>
      </c>
      <c r="Z3609" s="1">
        <v>2.369085E-5</v>
      </c>
      <c r="AA3609">
        <v>0.99991540000000001</v>
      </c>
      <c r="AB3609">
        <v>30</v>
      </c>
      <c r="AC3609">
        <v>-3.0354000000000001</v>
      </c>
      <c r="AD3609">
        <v>1.4689560000000001E-2</v>
      </c>
      <c r="AE3609">
        <v>3.4423830000000002E-2</v>
      </c>
      <c r="AF3609">
        <v>3.94881832254644E-2</v>
      </c>
      <c r="AG3609">
        <v>1.4689560000000001E-2</v>
      </c>
      <c r="AH3609">
        <v>3.0352672521986999</v>
      </c>
      <c r="AI3609">
        <v>89.722735451543102</v>
      </c>
      <c r="AJ3609">
        <v>89.254636110126597</v>
      </c>
      <c r="AK3609">
        <v>3.0355596505516602</v>
      </c>
      <c r="AL3609">
        <v>80.206669393729399</v>
      </c>
      <c r="AM3609">
        <v>89.842118555219301</v>
      </c>
      <c r="AN3609">
        <v>1.00000003706109</v>
      </c>
    </row>
    <row r="3610" spans="1:40" x14ac:dyDescent="0.25">
      <c r="A3610" t="str">
        <f>"20190303161944696"</f>
        <v>20190303161944696</v>
      </c>
      <c r="B3610" t="str">
        <f>"1551601184686083"</f>
        <v>1551601184686083</v>
      </c>
      <c r="C3610" t="s">
        <v>40</v>
      </c>
      <c r="D3610">
        <v>4.203271</v>
      </c>
      <c r="E3610">
        <v>0.5039304</v>
      </c>
      <c r="F3610" t="s">
        <v>58</v>
      </c>
      <c r="G3610">
        <v>0</v>
      </c>
      <c r="H3610">
        <v>0</v>
      </c>
      <c r="I3610">
        <v>0</v>
      </c>
      <c r="J3610">
        <v>-364.084</v>
      </c>
      <c r="K3610">
        <v>1.1214360000000001</v>
      </c>
      <c r="L3610">
        <v>283.8802</v>
      </c>
      <c r="M3610">
        <v>-0.99991319999999995</v>
      </c>
      <c r="N3610">
        <v>-1.307494E-2</v>
      </c>
      <c r="O3610">
        <v>-1.6855209999999999E-3</v>
      </c>
      <c r="P3610">
        <v>-0.98756359999999999</v>
      </c>
      <c r="Q3610">
        <v>0.15721889999999999</v>
      </c>
      <c r="R3610">
        <v>8.1893570000000004E-4</v>
      </c>
      <c r="S3610">
        <v>-3.0354610000000002</v>
      </c>
      <c r="T3610">
        <v>1.400387E-2</v>
      </c>
      <c r="U3610">
        <v>3.3874509999999997E-2</v>
      </c>
      <c r="V3610">
        <v>2.479831E-3</v>
      </c>
      <c r="W3610">
        <v>0.17011789999999999</v>
      </c>
      <c r="X3610">
        <v>0.98542059999999998</v>
      </c>
      <c r="Y3610">
        <v>1.284443E-2</v>
      </c>
      <c r="Z3610" s="1">
        <v>2.4534529999999999E-5</v>
      </c>
      <c r="AA3610">
        <v>0.99991750000000001</v>
      </c>
      <c r="AB3610">
        <v>30</v>
      </c>
      <c r="AC3610">
        <v>-3.0354610000000002</v>
      </c>
      <c r="AD3610">
        <v>1.400387E-2</v>
      </c>
      <c r="AE3610">
        <v>3.3874509999999997E-2</v>
      </c>
      <c r="AF3610">
        <v>3.89904022440953E-2</v>
      </c>
      <c r="AG3610">
        <v>1.400387E-2</v>
      </c>
      <c r="AH3610">
        <v>3.0353349912738499</v>
      </c>
      <c r="AI3610">
        <v>89.7356829578126</v>
      </c>
      <c r="AJ3610">
        <v>89.264047416733206</v>
      </c>
      <c r="AK3610">
        <v>3.0356177079951201</v>
      </c>
      <c r="AL3610">
        <v>80.205325961236198</v>
      </c>
      <c r="AM3610">
        <v>89.855814308860801</v>
      </c>
      <c r="AN3610">
        <v>1.00000000418327</v>
      </c>
    </row>
    <row r="3611" spans="1:40" x14ac:dyDescent="0.25">
      <c r="A3611" t="str">
        <f>"20190303161944708"</f>
        <v>20190303161944708</v>
      </c>
      <c r="B3611" t="str">
        <f>"1551601184695843"</f>
        <v>1551601184695843</v>
      </c>
      <c r="C3611" t="s">
        <v>40</v>
      </c>
      <c r="D3611">
        <v>4.2289960000000004</v>
      </c>
      <c r="E3611">
        <v>0.50395730000000005</v>
      </c>
      <c r="F3611" t="s">
        <v>58</v>
      </c>
      <c r="G3611">
        <v>0</v>
      </c>
      <c r="H3611">
        <v>0</v>
      </c>
      <c r="I3611">
        <v>0</v>
      </c>
      <c r="J3611">
        <v>-364.2475</v>
      </c>
      <c r="K3611">
        <v>1.1214360000000001</v>
      </c>
      <c r="L3611">
        <v>283.87990000000002</v>
      </c>
      <c r="M3611">
        <v>-0.99991319999999995</v>
      </c>
      <c r="N3611">
        <v>-1.3073069999999999E-2</v>
      </c>
      <c r="O3611">
        <v>-1.7025530000000001E-3</v>
      </c>
      <c r="P3611">
        <v>-0.98756120000000003</v>
      </c>
      <c r="Q3611">
        <v>0.15723570000000001</v>
      </c>
      <c r="R3611">
        <v>3.7237540000000001E-4</v>
      </c>
      <c r="S3611">
        <v>-3.0355829999999999</v>
      </c>
      <c r="T3611">
        <v>1.36131E-2</v>
      </c>
      <c r="U3611">
        <v>3.2897950000000002E-2</v>
      </c>
      <c r="V3611">
        <v>2.050077E-3</v>
      </c>
      <c r="W3611">
        <v>0.1701329</v>
      </c>
      <c r="X3611">
        <v>0.98541900000000004</v>
      </c>
      <c r="Y3611">
        <v>1.2539369999999999E-2</v>
      </c>
      <c r="Z3611" s="1">
        <v>2.396134E-5</v>
      </c>
      <c r="AA3611">
        <v>0.99992139999999996</v>
      </c>
      <c r="AB3611">
        <v>30</v>
      </c>
      <c r="AC3611">
        <v>-3.0355829999999999</v>
      </c>
      <c r="AD3611">
        <v>1.36131E-2</v>
      </c>
      <c r="AE3611">
        <v>3.2897950000000002E-2</v>
      </c>
      <c r="AF3611">
        <v>3.8065818959515503E-2</v>
      </c>
      <c r="AG3611">
        <v>1.36131E-2</v>
      </c>
      <c r="AH3611">
        <v>3.03546154589807</v>
      </c>
      <c r="AI3611">
        <v>89.743068191076205</v>
      </c>
      <c r="AJ3611">
        <v>89.281527234449598</v>
      </c>
      <c r="AK3611">
        <v>3.0357307389968802</v>
      </c>
      <c r="AL3611">
        <v>80.204453828868907</v>
      </c>
      <c r="AM3611">
        <v>89.880801374525703</v>
      </c>
      <c r="AN3611">
        <v>1.00000000601955</v>
      </c>
    </row>
    <row r="3612" spans="1:40" x14ac:dyDescent="0.25">
      <c r="A3612" t="str">
        <f>"20190303161944729"</f>
        <v>20190303161944729</v>
      </c>
      <c r="B3612" t="str">
        <f>"1551601184716339"</f>
        <v>1551601184716339</v>
      </c>
      <c r="C3612" t="s">
        <v>40</v>
      </c>
      <c r="D3612">
        <v>4.2379850000000001</v>
      </c>
      <c r="E3612">
        <v>0.50389830000000002</v>
      </c>
      <c r="F3612" t="s">
        <v>58</v>
      </c>
      <c r="G3612">
        <v>0</v>
      </c>
      <c r="H3612">
        <v>0</v>
      </c>
      <c r="I3612">
        <v>0</v>
      </c>
      <c r="J3612">
        <v>-364.51330000000002</v>
      </c>
      <c r="K3612">
        <v>1.121435</v>
      </c>
      <c r="L3612">
        <v>283.87950000000001</v>
      </c>
      <c r="M3612">
        <v>-0.99991319999999995</v>
      </c>
      <c r="N3612">
        <v>-1.307005E-2</v>
      </c>
      <c r="O3612">
        <v>-1.729831E-3</v>
      </c>
      <c r="P3612">
        <v>-0.98755179999999998</v>
      </c>
      <c r="Q3612">
        <v>0.1572962</v>
      </c>
      <c r="R3612">
        <v>1.18542E-4</v>
      </c>
      <c r="S3612">
        <v>-3.0356749999999999</v>
      </c>
      <c r="T3612">
        <v>1.311934E-2</v>
      </c>
      <c r="U3612">
        <v>3.1707760000000001E-2</v>
      </c>
      <c r="V3612">
        <v>1.823386E-3</v>
      </c>
      <c r="W3612">
        <v>0.1701898</v>
      </c>
      <c r="X3612">
        <v>0.9854096</v>
      </c>
      <c r="Y3612">
        <v>1.2174310000000001E-2</v>
      </c>
      <c r="Z3612" s="1">
        <v>2.317363E-5</v>
      </c>
      <c r="AA3612">
        <v>0.99992590000000003</v>
      </c>
      <c r="AB3612">
        <v>30</v>
      </c>
      <c r="AC3612">
        <v>-3.0356749999999999</v>
      </c>
      <c r="AD3612">
        <v>1.311934E-2</v>
      </c>
      <c r="AE3612">
        <v>3.1707760000000001E-2</v>
      </c>
      <c r="AF3612">
        <v>3.6958675046567399E-2</v>
      </c>
      <c r="AG3612">
        <v>1.311934E-2</v>
      </c>
      <c r="AH3612">
        <v>3.03555891385535</v>
      </c>
      <c r="AI3612">
        <v>89.752394057566505</v>
      </c>
      <c r="AJ3612">
        <v>89.302444283947693</v>
      </c>
      <c r="AK3612">
        <v>3.0358122439027602</v>
      </c>
      <c r="AL3612">
        <v>80.201145254881993</v>
      </c>
      <c r="AM3612">
        <v>89.893980936466903</v>
      </c>
      <c r="AN3612">
        <v>0.999999986266352</v>
      </c>
    </row>
    <row r="3613" spans="1:40" x14ac:dyDescent="0.25">
      <c r="A3613" t="str">
        <f>"20190303161944740"</f>
        <v>20190303161944740</v>
      </c>
      <c r="B3613" t="str">
        <f>"1551601184735859"</f>
        <v>1551601184735859</v>
      </c>
      <c r="C3613" t="s">
        <v>40</v>
      </c>
      <c r="D3613">
        <v>4.2270250000000003</v>
      </c>
      <c r="E3613">
        <v>0.50387660000000001</v>
      </c>
      <c r="F3613" t="s">
        <v>58</v>
      </c>
      <c r="G3613">
        <v>0</v>
      </c>
      <c r="H3613">
        <v>0</v>
      </c>
      <c r="I3613">
        <v>0</v>
      </c>
      <c r="J3613">
        <v>-364.6687</v>
      </c>
      <c r="K3613">
        <v>1.121435</v>
      </c>
      <c r="L3613">
        <v>283.87920000000003</v>
      </c>
      <c r="M3613">
        <v>-0.99991300000000005</v>
      </c>
      <c r="N3613">
        <v>-1.30683E-2</v>
      </c>
      <c r="O3613">
        <v>-1.745674E-3</v>
      </c>
      <c r="P3613">
        <v>-0.98752949999999995</v>
      </c>
      <c r="Q3613">
        <v>0.15743379999999901</v>
      </c>
      <c r="R3613">
        <v>1.4934219999999999E-4</v>
      </c>
      <c r="S3613">
        <v>-3.035736</v>
      </c>
      <c r="T3613">
        <v>1.2836459999999999E-2</v>
      </c>
      <c r="U3613">
        <v>3.0303960000000001E-2</v>
      </c>
      <c r="V3613">
        <v>1.869618E-3</v>
      </c>
      <c r="W3613">
        <v>0.17032600000000001</v>
      </c>
      <c r="X3613">
        <v>0.98538599999999998</v>
      </c>
      <c r="Y3613">
        <v>1.172759E-2</v>
      </c>
      <c r="Z3613" s="1">
        <v>2.1646049999999999E-5</v>
      </c>
      <c r="AA3613">
        <v>0.99993120000000002</v>
      </c>
      <c r="AB3613">
        <v>30</v>
      </c>
      <c r="AC3613">
        <v>-3.035736</v>
      </c>
      <c r="AD3613">
        <v>1.2836459999999999E-2</v>
      </c>
      <c r="AE3613">
        <v>3.0303960000000001E-2</v>
      </c>
      <c r="AF3613">
        <v>3.5603135722628201E-2</v>
      </c>
      <c r="AG3613">
        <v>1.2836459999999999E-2</v>
      </c>
      <c r="AH3613">
        <v>3.0356241974001001</v>
      </c>
      <c r="AI3613">
        <v>89.757736804056506</v>
      </c>
      <c r="AJ3613">
        <v>89.328040707517999</v>
      </c>
      <c r="AK3613">
        <v>3.03586011301898</v>
      </c>
      <c r="AL3613">
        <v>80.193226133202799</v>
      </c>
      <c r="AM3613">
        <v>89.891290223161903</v>
      </c>
      <c r="AN3613">
        <v>1.0000000053717299</v>
      </c>
    </row>
    <row r="3614" spans="1:40" x14ac:dyDescent="0.25">
      <c r="A3614" t="str">
        <f>"20190303161944753"</f>
        <v>20190303161944753</v>
      </c>
      <c r="B3614" t="str">
        <f>"1551601184746594"</f>
        <v>1551601184746594</v>
      </c>
      <c r="C3614" t="s">
        <v>40</v>
      </c>
      <c r="D3614">
        <v>4.1758249999999997</v>
      </c>
      <c r="E3614">
        <v>0.50384180000000001</v>
      </c>
      <c r="F3614" t="s">
        <v>58</v>
      </c>
      <c r="G3614">
        <v>0</v>
      </c>
      <c r="H3614">
        <v>0</v>
      </c>
      <c r="I3614">
        <v>0</v>
      </c>
      <c r="J3614">
        <v>-364.82780000000002</v>
      </c>
      <c r="K3614">
        <v>1.121435</v>
      </c>
      <c r="L3614">
        <v>283.87889999999999</v>
      </c>
      <c r="M3614">
        <v>-0.9999133</v>
      </c>
      <c r="N3614">
        <v>-1.306651E-2</v>
      </c>
      <c r="O3614">
        <v>-1.762233E-3</v>
      </c>
      <c r="P3614">
        <v>-0.98752150000000005</v>
      </c>
      <c r="Q3614">
        <v>0.15748519999999999</v>
      </c>
      <c r="R3614">
        <v>1.1166980000000001E-4</v>
      </c>
      <c r="S3614">
        <v>-3.0358890000000001</v>
      </c>
      <c r="T3614">
        <v>1.293743E-2</v>
      </c>
      <c r="U3614">
        <v>3.0303960000000001E-2</v>
      </c>
      <c r="V3614">
        <v>1.848218E-3</v>
      </c>
      <c r="W3614">
        <v>0.17037539999999901</v>
      </c>
      <c r="X3614">
        <v>0.98537750000000002</v>
      </c>
      <c r="Y3614">
        <v>1.174364E-2</v>
      </c>
      <c r="Z3614" s="1">
        <v>2.1170950000000001E-5</v>
      </c>
      <c r="AA3614">
        <v>0.99993100000000001</v>
      </c>
      <c r="AB3614">
        <v>30</v>
      </c>
      <c r="AC3614">
        <v>-3.0358890000000001</v>
      </c>
      <c r="AD3614">
        <v>1.293743E-2</v>
      </c>
      <c r="AE3614">
        <v>3.0303960000000001E-2</v>
      </c>
      <c r="AF3614">
        <v>3.5653664870734597E-2</v>
      </c>
      <c r="AG3614">
        <v>1.293743E-2</v>
      </c>
      <c r="AH3614">
        <v>3.0357757528219498</v>
      </c>
      <c r="AI3614">
        <v>89.755843450361994</v>
      </c>
      <c r="AJ3614">
        <v>89.327120719116806</v>
      </c>
      <c r="AK3614">
        <v>3.0360126782237602</v>
      </c>
      <c r="AL3614">
        <v>80.190353735338903</v>
      </c>
      <c r="AM3614">
        <v>89.892533605811707</v>
      </c>
      <c r="AN3614">
        <v>1.00000000517059</v>
      </c>
    </row>
    <row r="3615" spans="1:40" x14ac:dyDescent="0.25">
      <c r="A3615" t="str">
        <f>"20190303161944766"</f>
        <v>20190303161944766</v>
      </c>
      <c r="B3615" t="str">
        <f>"1551601184756355"</f>
        <v>1551601184756355</v>
      </c>
      <c r="C3615" t="s">
        <v>40</v>
      </c>
      <c r="D3615">
        <v>4.1808709999999998</v>
      </c>
      <c r="E3615">
        <v>0.50400319999999998</v>
      </c>
      <c r="F3615" t="s">
        <v>58</v>
      </c>
      <c r="G3615">
        <v>0</v>
      </c>
      <c r="H3615">
        <v>0</v>
      </c>
      <c r="I3615">
        <v>0</v>
      </c>
      <c r="J3615">
        <v>-365.00209999999998</v>
      </c>
      <c r="K3615">
        <v>1.121434</v>
      </c>
      <c r="L3615">
        <v>283.87849999999997</v>
      </c>
      <c r="M3615">
        <v>-0.99991319999999995</v>
      </c>
      <c r="N3615">
        <v>-1.3064559999999999E-2</v>
      </c>
      <c r="O3615">
        <v>-1.779627E-3</v>
      </c>
      <c r="P3615">
        <v>-0.98751290000000003</v>
      </c>
      <c r="Q3615">
        <v>0.15754019999999999</v>
      </c>
      <c r="R3615">
        <v>1.4539530000000001E-4</v>
      </c>
      <c r="S3615">
        <v>-3.0357669999999999</v>
      </c>
      <c r="T3615">
        <v>1.3216729999999999E-2</v>
      </c>
      <c r="U3615">
        <v>3.0029299999999998E-2</v>
      </c>
      <c r="V3615">
        <v>1.8991679999999999E-3</v>
      </c>
      <c r="W3615">
        <v>0.170428</v>
      </c>
      <c r="X3615">
        <v>0.98536829999999997</v>
      </c>
      <c r="Y3615">
        <v>1.1670979999999999E-2</v>
      </c>
      <c r="Z3615" s="1">
        <v>1.9839749999999999E-5</v>
      </c>
      <c r="AA3615">
        <v>0.99993189999999998</v>
      </c>
      <c r="AB3615">
        <v>29</v>
      </c>
      <c r="AC3615">
        <v>-3.0357669999999999</v>
      </c>
      <c r="AD3615">
        <v>1.3216729999999999E-2</v>
      </c>
      <c r="AE3615">
        <v>3.0029299999999998E-2</v>
      </c>
      <c r="AF3615">
        <v>3.5431574261274301E-2</v>
      </c>
      <c r="AG3615">
        <v>1.3216729999999999E-2</v>
      </c>
      <c r="AH3615">
        <v>3.0356512129559299</v>
      </c>
      <c r="AI3615">
        <v>89.750562092019095</v>
      </c>
      <c r="AJ3615">
        <v>89.331284345614307</v>
      </c>
      <c r="AK3615">
        <v>3.03588675103788</v>
      </c>
      <c r="AL3615">
        <v>80.187295178218093</v>
      </c>
      <c r="AM3615">
        <v>89.8895700457917</v>
      </c>
      <c r="AN3615">
        <v>0.999999998333991</v>
      </c>
    </row>
    <row r="3616" spans="1:40" x14ac:dyDescent="0.25">
      <c r="A3616" t="str">
        <f>"20190303161944779"</f>
        <v>20190303161944779</v>
      </c>
      <c r="B3616" t="str">
        <f>"1551601184766115"</f>
        <v>1551601184766115</v>
      </c>
      <c r="C3616" t="s">
        <v>40</v>
      </c>
      <c r="D3616">
        <v>4.2134739999999997</v>
      </c>
      <c r="E3616">
        <v>0.50400319999999998</v>
      </c>
      <c r="F3616" t="s">
        <v>58</v>
      </c>
      <c r="G3616">
        <v>0</v>
      </c>
      <c r="H3616">
        <v>0</v>
      </c>
      <c r="I3616">
        <v>0</v>
      </c>
      <c r="J3616">
        <v>-365.18439999999998</v>
      </c>
      <c r="K3616">
        <v>1.121432</v>
      </c>
      <c r="L3616">
        <v>283.87819999999999</v>
      </c>
      <c r="M3616">
        <v>-0.9999131</v>
      </c>
      <c r="N3616">
        <v>-1.3062519999999999E-2</v>
      </c>
      <c r="O3616">
        <v>-1.79809E-3</v>
      </c>
      <c r="P3616">
        <v>-0.98753999999999997</v>
      </c>
      <c r="Q3616">
        <v>0.15736919999999999</v>
      </c>
      <c r="R3616">
        <v>-1.001675E-4</v>
      </c>
      <c r="S3616">
        <v>-3.0357970000000001</v>
      </c>
      <c r="T3616">
        <v>1.328111E-2</v>
      </c>
      <c r="U3616">
        <v>3.1372070000000002E-2</v>
      </c>
      <c r="V3616">
        <v>1.67198E-3</v>
      </c>
      <c r="W3616">
        <v>0.1702555</v>
      </c>
      <c r="X3616">
        <v>0.98539849999999996</v>
      </c>
      <c r="Y3616">
        <v>1.2131589999999999E-2</v>
      </c>
      <c r="Z3616" s="1">
        <v>2.1349689999999999E-5</v>
      </c>
      <c r="AA3616">
        <v>0.99992639999999999</v>
      </c>
      <c r="AB3616">
        <v>29</v>
      </c>
      <c r="AC3616">
        <v>-3.0357970000000001</v>
      </c>
      <c r="AD3616">
        <v>1.328111E-2</v>
      </c>
      <c r="AE3616">
        <v>3.1372070000000002E-2</v>
      </c>
      <c r="AF3616">
        <v>3.6830416245644301E-2</v>
      </c>
      <c r="AG3616">
        <v>1.328111E-2</v>
      </c>
      <c r="AH3616">
        <v>3.03567758281162</v>
      </c>
      <c r="AI3616">
        <v>89.749350622232797</v>
      </c>
      <c r="AJ3616">
        <v>89.304891965719605</v>
      </c>
      <c r="AK3616">
        <v>3.0359300476507398</v>
      </c>
      <c r="AL3616">
        <v>80.197324982616806</v>
      </c>
      <c r="AM3616">
        <v>89.9027831831512</v>
      </c>
      <c r="AN3616">
        <v>0.999999967299809</v>
      </c>
    </row>
    <row r="3617" spans="1:40" x14ac:dyDescent="0.25">
      <c r="A3617" t="str">
        <f>"20190303161944796"</f>
        <v>20190303161944796</v>
      </c>
      <c r="B3617" t="str">
        <f>"1551601184786611"</f>
        <v>1551601184786611</v>
      </c>
      <c r="C3617" t="s">
        <v>40</v>
      </c>
      <c r="D3617">
        <v>4.1345419999999997</v>
      </c>
      <c r="E3617">
        <v>0.51577200000000001</v>
      </c>
      <c r="F3617" t="s">
        <v>58</v>
      </c>
      <c r="G3617">
        <v>0</v>
      </c>
      <c r="H3617">
        <v>0</v>
      </c>
      <c r="I3617">
        <v>0</v>
      </c>
      <c r="J3617">
        <v>-365.3972</v>
      </c>
      <c r="K3617">
        <v>1.1214329999999999</v>
      </c>
      <c r="L3617">
        <v>283.87779999999998</v>
      </c>
      <c r="M3617">
        <v>-0.9999131</v>
      </c>
      <c r="N3617">
        <v>-1.306014E-2</v>
      </c>
      <c r="O3617">
        <v>-1.819888E-3</v>
      </c>
      <c r="P3617">
        <v>-0.9875159</v>
      </c>
      <c r="Q3617">
        <v>0.15752049999999901</v>
      </c>
      <c r="R3617">
        <v>1.6924790000000001E-4</v>
      </c>
      <c r="S3617">
        <v>-3.0357970000000001</v>
      </c>
      <c r="T3617">
        <v>1.27697E-2</v>
      </c>
      <c r="U3617">
        <v>3.0822749999999999E-2</v>
      </c>
      <c r="V3617">
        <v>1.9628200000000001E-3</v>
      </c>
      <c r="W3617">
        <v>0.170404</v>
      </c>
      <c r="X3617">
        <v>0.98537229999999998</v>
      </c>
      <c r="Y3617">
        <v>1.1972460000000001E-2</v>
      </c>
      <c r="Z3617" s="1">
        <v>2.1583219999999998E-5</v>
      </c>
      <c r="AA3617">
        <v>0.99992840000000005</v>
      </c>
      <c r="AB3617">
        <v>29</v>
      </c>
      <c r="AC3617">
        <v>-3.0357970000000001</v>
      </c>
      <c r="AD3617">
        <v>1.27697E-2</v>
      </c>
      <c r="AE3617">
        <v>3.0822749999999999E-2</v>
      </c>
      <c r="AF3617">
        <v>3.6347337427407402E-2</v>
      </c>
      <c r="AG3617">
        <v>1.27697E-2</v>
      </c>
      <c r="AH3617">
        <v>3.0356821665594098</v>
      </c>
      <c r="AI3617">
        <v>89.759002055749207</v>
      </c>
      <c r="AJ3617">
        <v>89.314009370449199</v>
      </c>
      <c r="AK3617">
        <v>3.0359266148151498</v>
      </c>
      <c r="AL3617">
        <v>80.188690436622494</v>
      </c>
      <c r="AM3617">
        <v>89.885869378305699</v>
      </c>
      <c r="AN3617">
        <v>0.99999997274282004</v>
      </c>
    </row>
    <row r="3618" spans="1:40" x14ac:dyDescent="0.25">
      <c r="A3618" t="str">
        <f>"20190303161944819"</f>
        <v>20190303161944819</v>
      </c>
      <c r="B3618" t="str">
        <f>"1551601184806131"</f>
        <v>1551601184806131</v>
      </c>
      <c r="C3618" t="s">
        <v>40</v>
      </c>
      <c r="D3618">
        <v>4.125413</v>
      </c>
      <c r="E3618">
        <v>0.51639929999999901</v>
      </c>
      <c r="F3618" t="s">
        <v>58</v>
      </c>
      <c r="G3618">
        <v>0</v>
      </c>
      <c r="H3618">
        <v>0</v>
      </c>
      <c r="I3618">
        <v>0</v>
      </c>
      <c r="J3618">
        <v>-365.70030000000003</v>
      </c>
      <c r="K3618">
        <v>1.1214329999999999</v>
      </c>
      <c r="L3618">
        <v>283.87720000000002</v>
      </c>
      <c r="M3618">
        <v>-0.99991319999999995</v>
      </c>
      <c r="N3618">
        <v>-1.3056770000000001E-2</v>
      </c>
      <c r="O3618">
        <v>-1.8514499999999999E-3</v>
      </c>
      <c r="P3618">
        <v>-0.98751549999999999</v>
      </c>
      <c r="Q3618">
        <v>0.15752189999999999</v>
      </c>
      <c r="R3618">
        <v>4.9130530000000003E-4</v>
      </c>
      <c r="S3618">
        <v>-3.0346679999999999</v>
      </c>
      <c r="T3618">
        <v>2.009797E-2</v>
      </c>
      <c r="U3618">
        <v>0.12530519999999901</v>
      </c>
      <c r="V3618">
        <v>2.3159729999999998E-3</v>
      </c>
      <c r="W3618">
        <v>0.17040259999999999</v>
      </c>
      <c r="X3618">
        <v>0.98537180000000002</v>
      </c>
      <c r="Y3618">
        <v>4.3106600000000002E-2</v>
      </c>
      <c r="Z3618">
        <v>1.024443E-4</v>
      </c>
      <c r="AA3618">
        <v>0.99907049999999997</v>
      </c>
      <c r="AB3618">
        <v>29</v>
      </c>
      <c r="AC3618">
        <v>-3.0346679999999999</v>
      </c>
      <c r="AD3618">
        <v>2.009797E-2</v>
      </c>
      <c r="AE3618">
        <v>0.12530519999999901</v>
      </c>
      <c r="AF3618">
        <v>0.130918266887525</v>
      </c>
      <c r="AG3618">
        <v>2.009797E-2</v>
      </c>
      <c r="AH3618">
        <v>3.0342979199523099</v>
      </c>
      <c r="AI3618">
        <v>89.620854064982296</v>
      </c>
      <c r="AJ3618">
        <v>87.529440118223107</v>
      </c>
      <c r="AK3618">
        <v>3.0371874140444199</v>
      </c>
      <c r="AL3618">
        <v>80.188772081916895</v>
      </c>
      <c r="AM3618">
        <v>89.865334857337004</v>
      </c>
      <c r="AN3618">
        <v>0.99999999702646802</v>
      </c>
    </row>
    <row r="3619" spans="1:40" x14ac:dyDescent="0.25">
      <c r="A3619" t="str">
        <f>"20190303161944840"</f>
        <v>20190303161944840</v>
      </c>
      <c r="B3619" t="str">
        <f>"1551601184836388"</f>
        <v>1551601184836388</v>
      </c>
      <c r="C3619" t="s">
        <v>40</v>
      </c>
      <c r="D3619">
        <v>4.1322199999999896</v>
      </c>
      <c r="E3619">
        <v>0.51697309999999996</v>
      </c>
      <c r="F3619" t="s">
        <v>58</v>
      </c>
      <c r="G3619">
        <v>0</v>
      </c>
      <c r="H3619">
        <v>0</v>
      </c>
      <c r="I3619">
        <v>0</v>
      </c>
      <c r="J3619">
        <v>-365.98340000000002</v>
      </c>
      <c r="K3619">
        <v>1.121435</v>
      </c>
      <c r="L3619">
        <v>283.8766</v>
      </c>
      <c r="M3619">
        <v>-0.99991300000000005</v>
      </c>
      <c r="N3619">
        <v>-1.305361E-2</v>
      </c>
      <c r="O3619">
        <v>-1.880751E-3</v>
      </c>
      <c r="P3619">
        <v>-0.98747370000000001</v>
      </c>
      <c r="Q3619">
        <v>0.1577827</v>
      </c>
      <c r="R3619">
        <v>5.1315180000000005E-4</v>
      </c>
      <c r="S3619">
        <v>-3.0350950000000001</v>
      </c>
      <c r="T3619">
        <v>1.7260310000000001E-2</v>
      </c>
      <c r="U3619">
        <v>0.131134</v>
      </c>
      <c r="V3619">
        <v>2.3667810000000001E-3</v>
      </c>
      <c r="W3619">
        <v>0.17065959999999999</v>
      </c>
      <c r="X3619">
        <v>0.98532719999999896</v>
      </c>
      <c r="Y3619">
        <v>4.5045330000000001E-2</v>
      </c>
      <c r="Z3619">
        <v>1.3089509999999999E-4</v>
      </c>
      <c r="AA3619">
        <v>0.99898489999999995</v>
      </c>
      <c r="AB3619">
        <v>29</v>
      </c>
      <c r="AC3619">
        <v>-3.0350950000000001</v>
      </c>
      <c r="AD3619">
        <v>1.7260310000000001E-2</v>
      </c>
      <c r="AE3619">
        <v>0.131134</v>
      </c>
      <c r="AF3619">
        <v>0.13683809532833399</v>
      </c>
      <c r="AG3619">
        <v>1.7260310000000001E-2</v>
      </c>
      <c r="AH3619">
        <v>3.0347450161249201</v>
      </c>
      <c r="AI3619">
        <v>89.674460794830296</v>
      </c>
      <c r="AJ3619">
        <v>87.418254811432604</v>
      </c>
      <c r="AK3619">
        <v>3.03787753135795</v>
      </c>
      <c r="AL3619">
        <v>80.173828161248196</v>
      </c>
      <c r="AM3619">
        <v>89.862374344757299</v>
      </c>
      <c r="AN3619">
        <v>0.99999999589215005</v>
      </c>
    </row>
    <row r="3620" spans="1:40" x14ac:dyDescent="0.25">
      <c r="A3620" t="str">
        <f>"20190303161944853"</f>
        <v>20190303161944853</v>
      </c>
      <c r="B3620" t="str">
        <f>"1551601184846147"</f>
        <v>1551601184846147</v>
      </c>
      <c r="C3620" t="s">
        <v>40</v>
      </c>
      <c r="D3620">
        <v>4.1014109999999997</v>
      </c>
      <c r="E3620">
        <v>0.51700579999999996</v>
      </c>
      <c r="F3620" t="s">
        <v>58</v>
      </c>
      <c r="G3620">
        <v>0</v>
      </c>
      <c r="H3620">
        <v>0</v>
      </c>
      <c r="I3620">
        <v>0</v>
      </c>
      <c r="J3620">
        <v>-366.15429999999998</v>
      </c>
      <c r="K3620">
        <v>1.1214379999999999</v>
      </c>
      <c r="L3620">
        <v>283.87630000000001</v>
      </c>
      <c r="M3620">
        <v>-0.99991300000000005</v>
      </c>
      <c r="N3620">
        <v>-1.3051719999999999E-2</v>
      </c>
      <c r="O3620">
        <v>-1.898144E-3</v>
      </c>
      <c r="P3620">
        <v>-0.9874792</v>
      </c>
      <c r="Q3620">
        <v>0.157749</v>
      </c>
      <c r="R3620">
        <v>5.0325969999999995E-4</v>
      </c>
      <c r="S3620">
        <v>-3.0355829999999999</v>
      </c>
      <c r="T3620">
        <v>1.507592E-2</v>
      </c>
      <c r="U3620">
        <v>0.13571169999999999</v>
      </c>
      <c r="V3620">
        <v>2.374162E-3</v>
      </c>
      <c r="W3620">
        <v>0.1706239</v>
      </c>
      <c r="X3620">
        <v>0.98533340000000003</v>
      </c>
      <c r="Y3620">
        <v>4.6559290000000003E-2</v>
      </c>
      <c r="Z3620">
        <v>1.5425930000000001E-4</v>
      </c>
      <c r="AA3620">
        <v>0.99891549999999996</v>
      </c>
      <c r="AB3620">
        <v>29</v>
      </c>
      <c r="AC3620">
        <v>-3.0355829999999999</v>
      </c>
      <c r="AD3620">
        <v>1.507592E-2</v>
      </c>
      <c r="AE3620">
        <v>0.13571169999999999</v>
      </c>
      <c r="AF3620">
        <v>0.14147043766088599</v>
      </c>
      <c r="AG3620">
        <v>1.507592E-2</v>
      </c>
      <c r="AH3620">
        <v>3.0352451928518098</v>
      </c>
      <c r="AI3620">
        <v>89.7157255096417</v>
      </c>
      <c r="AJ3620">
        <v>87.331419211413603</v>
      </c>
      <c r="AK3620">
        <v>3.03857771808224</v>
      </c>
      <c r="AL3620">
        <v>80.175904411237596</v>
      </c>
      <c r="AM3620">
        <v>89.861946018238399</v>
      </c>
      <c r="AN3620">
        <v>1.00000003052598</v>
      </c>
    </row>
    <row r="3621" spans="1:40" x14ac:dyDescent="0.25">
      <c r="A3621" t="str">
        <f>"20190303161944873"</f>
        <v>20190303161944873</v>
      </c>
      <c r="B3621" t="str">
        <f>"1551601184865667"</f>
        <v>1551601184865667</v>
      </c>
      <c r="C3621" t="s">
        <v>40</v>
      </c>
      <c r="D3621">
        <v>4.1846329999999998</v>
      </c>
      <c r="E3621">
        <v>0.51716600000000001</v>
      </c>
      <c r="F3621" t="s">
        <v>58</v>
      </c>
      <c r="G3621">
        <v>0</v>
      </c>
      <c r="H3621">
        <v>0</v>
      </c>
      <c r="I3621">
        <v>0</v>
      </c>
      <c r="J3621">
        <v>-366.416</v>
      </c>
      <c r="K3621">
        <v>1.121437</v>
      </c>
      <c r="L3621">
        <v>283.87569999999999</v>
      </c>
      <c r="M3621">
        <v>-0.9999131</v>
      </c>
      <c r="N3621">
        <v>-1.3048850000000001E-2</v>
      </c>
      <c r="O3621">
        <v>-1.925066E-3</v>
      </c>
      <c r="P3621">
        <v>-0.98744949999999998</v>
      </c>
      <c r="Q3621">
        <v>0.15793509999999999</v>
      </c>
      <c r="R3621">
        <v>6.7973090000000001E-4</v>
      </c>
      <c r="S3621">
        <v>-3.0355829999999999</v>
      </c>
      <c r="T3621">
        <v>1.513135E-2</v>
      </c>
      <c r="U3621">
        <v>0.1357727</v>
      </c>
      <c r="V3621">
        <v>2.5772299999999998E-3</v>
      </c>
      <c r="W3621">
        <v>0.17080670000000001</v>
      </c>
      <c r="X3621">
        <v>0.98530119999999999</v>
      </c>
      <c r="Y3621">
        <v>4.6606229999999998E-2</v>
      </c>
      <c r="Z3621">
        <v>1.5344259999999999E-4</v>
      </c>
      <c r="AA3621">
        <v>0.9989133</v>
      </c>
      <c r="AB3621">
        <v>29</v>
      </c>
      <c r="AC3621">
        <v>-3.0355829999999999</v>
      </c>
      <c r="AD3621">
        <v>1.513135E-2</v>
      </c>
      <c r="AE3621">
        <v>0.1357727</v>
      </c>
      <c r="AF3621">
        <v>0.14161313141895601</v>
      </c>
      <c r="AG3621">
        <v>1.513135E-2</v>
      </c>
      <c r="AH3621">
        <v>3.0352407150818101</v>
      </c>
      <c r="AI3621">
        <v>89.714680532131695</v>
      </c>
      <c r="AJ3621">
        <v>87.328727516643497</v>
      </c>
      <c r="AK3621">
        <v>3.0385801676495898</v>
      </c>
      <c r="AL3621">
        <v>80.165274527110995</v>
      </c>
      <c r="AM3621">
        <v>89.850133070908598</v>
      </c>
      <c r="AN3621">
        <v>1.0000000128004001</v>
      </c>
    </row>
    <row r="3622" spans="1:40" x14ac:dyDescent="0.25">
      <c r="A3622" t="str">
        <f>"20190303161944885"</f>
        <v>20190303161944885</v>
      </c>
      <c r="B3622" t="str">
        <f>"1551601184876403"</f>
        <v>1551601184876403</v>
      </c>
      <c r="C3622" t="s">
        <v>40</v>
      </c>
      <c r="D3622">
        <v>4.0906229999999999</v>
      </c>
      <c r="E3622">
        <v>0.5169764</v>
      </c>
      <c r="F3622" t="s">
        <v>58</v>
      </c>
      <c r="G3622">
        <v>0</v>
      </c>
      <c r="H3622">
        <v>0</v>
      </c>
      <c r="I3622">
        <v>0</v>
      </c>
      <c r="J3622">
        <v>-366.56650000000002</v>
      </c>
      <c r="K3622">
        <v>1.121435</v>
      </c>
      <c r="L3622">
        <v>283.87540000000001</v>
      </c>
      <c r="M3622">
        <v>-0.99991300000000005</v>
      </c>
      <c r="N3622">
        <v>-1.30472E-2</v>
      </c>
      <c r="O3622">
        <v>-1.9405500000000001E-3</v>
      </c>
      <c r="P3622">
        <v>-0.98742110000000005</v>
      </c>
      <c r="Q3622">
        <v>0.1581119</v>
      </c>
      <c r="R3622">
        <v>5.6597449999999997E-4</v>
      </c>
      <c r="S3622">
        <v>-3.0357669999999999</v>
      </c>
      <c r="T3622">
        <v>1.424396E-2</v>
      </c>
      <c r="U3622">
        <v>0.13763429999999999</v>
      </c>
      <c r="V3622">
        <v>2.4786119999999998E-3</v>
      </c>
      <c r="W3622">
        <v>0.170982</v>
      </c>
      <c r="X3622">
        <v>0.98527100000000001</v>
      </c>
      <c r="Y3622">
        <v>4.7230309999999998E-2</v>
      </c>
      <c r="Z3622">
        <v>1.6312750000000001E-4</v>
      </c>
      <c r="AA3622">
        <v>0.99888399999999999</v>
      </c>
      <c r="AB3622">
        <v>29</v>
      </c>
      <c r="AC3622">
        <v>-3.0357669999999999</v>
      </c>
      <c r="AD3622">
        <v>1.424396E-2</v>
      </c>
      <c r="AE3622">
        <v>0.13763429999999999</v>
      </c>
      <c r="AF3622">
        <v>0.143522446723648</v>
      </c>
      <c r="AG3622">
        <v>1.424396E-2</v>
      </c>
      <c r="AH3622">
        <v>3.0354274853290701</v>
      </c>
      <c r="AI3622">
        <v>89.731437472259998</v>
      </c>
      <c r="AJ3622">
        <v>87.292931333189301</v>
      </c>
      <c r="AK3622">
        <v>3.0388520203855198</v>
      </c>
      <c r="AL3622">
        <v>80.155080149244</v>
      </c>
      <c r="AM3622">
        <v>89.855863303527897</v>
      </c>
      <c r="AN3622">
        <v>0.99999996564122196</v>
      </c>
    </row>
    <row r="3623" spans="1:40" x14ac:dyDescent="0.25">
      <c r="A3623" t="str">
        <f>"20190303161944897"</f>
        <v>20190303161944897</v>
      </c>
      <c r="B3623" t="str">
        <f>"1551601184886163"</f>
        <v>1551601184886163</v>
      </c>
      <c r="C3623" t="s">
        <v>40</v>
      </c>
      <c r="D3623">
        <v>4.0828160000000002</v>
      </c>
      <c r="E3623">
        <v>0.51685630000000005</v>
      </c>
      <c r="F3623" t="s">
        <v>58</v>
      </c>
      <c r="G3623">
        <v>0</v>
      </c>
      <c r="H3623">
        <v>0</v>
      </c>
      <c r="I3623">
        <v>0</v>
      </c>
      <c r="J3623">
        <v>-366.7371</v>
      </c>
      <c r="K3623">
        <v>1.121435</v>
      </c>
      <c r="L3623">
        <v>283.87509999999997</v>
      </c>
      <c r="M3623">
        <v>-0.9999131</v>
      </c>
      <c r="N3623">
        <v>-1.304523E-2</v>
      </c>
      <c r="O3623">
        <v>-1.958179E-3</v>
      </c>
      <c r="P3623">
        <v>-0.98742909999999995</v>
      </c>
      <c r="Q3623">
        <v>0.1580616</v>
      </c>
      <c r="R3623">
        <v>5.6705809999999998E-4</v>
      </c>
      <c r="S3623">
        <v>-3.0357059999999998</v>
      </c>
      <c r="T3623">
        <v>1.5532610000000001E-2</v>
      </c>
      <c r="U3623">
        <v>0.13562009999999999</v>
      </c>
      <c r="V3623">
        <v>2.4969599999999999E-3</v>
      </c>
      <c r="W3623">
        <v>0.17092929999999901</v>
      </c>
      <c r="X3623">
        <v>0.98528020000000005</v>
      </c>
      <c r="Y3623">
        <v>4.6587410000000003E-2</v>
      </c>
      <c r="Z3623">
        <v>1.4936109999999999E-4</v>
      </c>
      <c r="AA3623">
        <v>0.99891419999999997</v>
      </c>
      <c r="AB3623">
        <v>29</v>
      </c>
      <c r="AC3623">
        <v>-3.0357059999999998</v>
      </c>
      <c r="AD3623">
        <v>1.5532610000000001E-2</v>
      </c>
      <c r="AE3623">
        <v>0.13562009999999999</v>
      </c>
      <c r="AF3623">
        <v>0.14156110221187099</v>
      </c>
      <c r="AG3623">
        <v>1.5532610000000001E-2</v>
      </c>
      <c r="AH3623">
        <v>3.0353552805666801</v>
      </c>
      <c r="AI3623">
        <v>89.707125227938903</v>
      </c>
      <c r="AJ3623">
        <v>87.329808172384105</v>
      </c>
      <c r="AK3623">
        <v>3.0386942075333701</v>
      </c>
      <c r="AL3623">
        <v>80.158145753906894</v>
      </c>
      <c r="AM3623">
        <v>89.8547976876673</v>
      </c>
      <c r="AN3623">
        <v>1.00000006645988</v>
      </c>
    </row>
    <row r="3624" spans="1:40" x14ac:dyDescent="0.25">
      <c r="A3624" t="str">
        <f>"20190303161944910"</f>
        <v>20190303161944910</v>
      </c>
      <c r="B3624" t="str">
        <f>"1551601184905684"</f>
        <v>1551601184905684</v>
      </c>
      <c r="C3624" t="s">
        <v>40</v>
      </c>
      <c r="D3624">
        <v>4.1231499999999999</v>
      </c>
      <c r="E3624">
        <v>0.51676169999999999</v>
      </c>
      <c r="F3624" t="s">
        <v>58</v>
      </c>
      <c r="G3624">
        <v>0</v>
      </c>
      <c r="H3624">
        <v>0</v>
      </c>
      <c r="I3624">
        <v>0</v>
      </c>
      <c r="J3624">
        <v>-366.89690000000002</v>
      </c>
      <c r="K3624">
        <v>1.121434</v>
      </c>
      <c r="L3624">
        <v>283.87479999999999</v>
      </c>
      <c r="M3624">
        <v>-0.9999131</v>
      </c>
      <c r="N3624">
        <v>-1.304342E-2</v>
      </c>
      <c r="O3624">
        <v>-1.9746170000000001E-3</v>
      </c>
      <c r="P3624">
        <v>-0.98742680000000005</v>
      </c>
      <c r="Q3624">
        <v>0.15807769999999999</v>
      </c>
      <c r="R3624">
        <v>4.4483689999999998E-4</v>
      </c>
      <c r="S3624">
        <v>-3.0354000000000001</v>
      </c>
      <c r="T3624">
        <v>1.6710160000000002E-2</v>
      </c>
      <c r="U3624">
        <v>0.13491819999999999</v>
      </c>
      <c r="V3624">
        <v>2.3912429999999999E-3</v>
      </c>
      <c r="W3624">
        <v>0.1709434</v>
      </c>
      <c r="X3624">
        <v>0.98527799999999999</v>
      </c>
      <c r="Y3624">
        <v>4.6377769999999999E-2</v>
      </c>
      <c r="Z3624">
        <v>1.3841990000000001E-4</v>
      </c>
      <c r="AA3624">
        <v>0.99892400000000003</v>
      </c>
      <c r="AB3624">
        <v>29</v>
      </c>
      <c r="AC3624">
        <v>-3.0354000000000001</v>
      </c>
      <c r="AD3624">
        <v>1.6710160000000002E-2</v>
      </c>
      <c r="AE3624">
        <v>0.13491819999999999</v>
      </c>
      <c r="AF3624">
        <v>0.140907936637333</v>
      </c>
      <c r="AG3624">
        <v>1.6710160000000002E-2</v>
      </c>
      <c r="AH3624">
        <v>3.0350358483097599</v>
      </c>
      <c r="AI3624">
        <v>89.684886155155496</v>
      </c>
      <c r="AJ3624">
        <v>87.341831442189999</v>
      </c>
      <c r="AK3624">
        <v>3.0383510127337101</v>
      </c>
      <c r="AL3624">
        <v>80.157325658672306</v>
      </c>
      <c r="AM3624">
        <v>89.860944969146203</v>
      </c>
      <c r="AN3624">
        <v>1.0000000506653199</v>
      </c>
    </row>
    <row r="3625" spans="1:40" x14ac:dyDescent="0.25">
      <c r="A3625" t="str">
        <f>"20190303161944930"</f>
        <v>20190303161944930</v>
      </c>
      <c r="B3625" t="str">
        <f>"1551601184926179"</f>
        <v>1551601184926179</v>
      </c>
      <c r="C3625" t="s">
        <v>40</v>
      </c>
      <c r="D3625">
        <v>4.1034220000000001</v>
      </c>
      <c r="E3625">
        <v>0.51670959999999999</v>
      </c>
      <c r="F3625" t="s">
        <v>58</v>
      </c>
      <c r="G3625">
        <v>0</v>
      </c>
      <c r="H3625">
        <v>0</v>
      </c>
      <c r="I3625">
        <v>0</v>
      </c>
      <c r="J3625">
        <v>-367.15289999999999</v>
      </c>
      <c r="K3625">
        <v>1.121435</v>
      </c>
      <c r="L3625">
        <v>283.87419999999997</v>
      </c>
      <c r="M3625">
        <v>-0.99991300000000005</v>
      </c>
      <c r="N3625">
        <v>-1.3040599999999999E-2</v>
      </c>
      <c r="O3625">
        <v>-2.0005859999999999E-3</v>
      </c>
      <c r="P3625">
        <v>-0.98745240000000001</v>
      </c>
      <c r="Q3625">
        <v>0.15791759999999999</v>
      </c>
      <c r="R3625">
        <v>1.5601139999999901E-4</v>
      </c>
      <c r="S3625">
        <v>-3.0357970000000001</v>
      </c>
      <c r="T3625">
        <v>1.452196E-2</v>
      </c>
      <c r="U3625">
        <v>0.13388059999999999</v>
      </c>
      <c r="V3625">
        <v>2.1280769999999999E-3</v>
      </c>
      <c r="W3625">
        <v>0.1707813</v>
      </c>
      <c r="X3625">
        <v>0.98530669999999998</v>
      </c>
      <c r="Y3625">
        <v>4.6057140000000003E-2</v>
      </c>
      <c r="Z3625">
        <v>1.547156E-4</v>
      </c>
      <c r="AA3625">
        <v>0.99893880000000002</v>
      </c>
      <c r="AB3625">
        <v>29</v>
      </c>
      <c r="AC3625">
        <v>-3.0357970000000001</v>
      </c>
      <c r="AD3625">
        <v>1.452196E-2</v>
      </c>
      <c r="AE3625">
        <v>0.13388059999999999</v>
      </c>
      <c r="AF3625">
        <v>0.13995102506100901</v>
      </c>
      <c r="AG3625">
        <v>1.452196E-2</v>
      </c>
      <c r="AH3625">
        <v>3.0354537371954202</v>
      </c>
      <c r="AI3625">
        <v>89.726183357479002</v>
      </c>
      <c r="AJ3625">
        <v>87.360220497361695</v>
      </c>
      <c r="AK3625">
        <v>3.0387129787776099</v>
      </c>
      <c r="AL3625">
        <v>80.166751783376696</v>
      </c>
      <c r="AM3625">
        <v>89.876252093904199</v>
      </c>
      <c r="AN3625">
        <v>1.0000000371031399</v>
      </c>
    </row>
    <row r="3626" spans="1:40" x14ac:dyDescent="0.25">
      <c r="A3626" t="str">
        <f>"20190303161944942"</f>
        <v>20190303161944942</v>
      </c>
      <c r="B3626" t="str">
        <f>"1551601184935939"</f>
        <v>1551601184935939</v>
      </c>
      <c r="C3626" t="s">
        <v>40</v>
      </c>
      <c r="D3626">
        <v>4.1066000000000003</v>
      </c>
      <c r="E3626">
        <v>0.51659920000000004</v>
      </c>
      <c r="F3626" t="s">
        <v>58</v>
      </c>
      <c r="G3626">
        <v>0</v>
      </c>
      <c r="H3626">
        <v>0</v>
      </c>
      <c r="I3626">
        <v>0</v>
      </c>
      <c r="J3626">
        <v>-367.3279</v>
      </c>
      <c r="K3626">
        <v>1.121434</v>
      </c>
      <c r="L3626">
        <v>283.87389999999999</v>
      </c>
      <c r="M3626">
        <v>-0.9999131</v>
      </c>
      <c r="N3626">
        <v>-1.303871E-2</v>
      </c>
      <c r="O3626">
        <v>-2.0183380000000002E-3</v>
      </c>
      <c r="P3626">
        <v>-0.98739399999999999</v>
      </c>
      <c r="Q3626">
        <v>0.1582838</v>
      </c>
      <c r="R3626" s="1">
        <v>5.2870249999999997E-5</v>
      </c>
      <c r="S3626">
        <v>-3.0357669999999999</v>
      </c>
      <c r="T3626">
        <v>1.4680149999999999E-2</v>
      </c>
      <c r="U3626">
        <v>0.132720899999999</v>
      </c>
      <c r="V3626">
        <v>2.0422169999999998E-3</v>
      </c>
      <c r="W3626">
        <v>0.1711445</v>
      </c>
      <c r="X3626">
        <v>0.9852438</v>
      </c>
      <c r="Y3626">
        <v>4.5694440000000003E-2</v>
      </c>
      <c r="Z3626">
        <v>1.5156069999999999E-4</v>
      </c>
      <c r="AA3626">
        <v>0.99895540000000005</v>
      </c>
      <c r="AB3626">
        <v>29</v>
      </c>
      <c r="AC3626">
        <v>-3.0357669999999999</v>
      </c>
      <c r="AD3626">
        <v>1.4680149999999999E-2</v>
      </c>
      <c r="AE3626">
        <v>0.132720899999999</v>
      </c>
      <c r="AF3626">
        <v>0.13884511293431701</v>
      </c>
      <c r="AG3626">
        <v>1.4680149999999999E-2</v>
      </c>
      <c r="AH3626">
        <v>3.0354220714228699</v>
      </c>
      <c r="AI3626">
        <v>89.723193172772795</v>
      </c>
      <c r="AJ3626">
        <v>87.381023953856996</v>
      </c>
      <c r="AK3626">
        <v>3.03863137347571</v>
      </c>
      <c r="AL3626">
        <v>80.145630417184194</v>
      </c>
      <c r="AM3626">
        <v>89.8812372659728</v>
      </c>
      <c r="AN3626">
        <v>0.99999997798448204</v>
      </c>
    </row>
    <row r="3627" spans="1:40" x14ac:dyDescent="0.25">
      <c r="A3627" t="str">
        <f>"20190303161944963"</f>
        <v>20190303161944963</v>
      </c>
      <c r="B3627" t="str">
        <f>"1551601184956439"</f>
        <v>1551601184956439</v>
      </c>
      <c r="C3627" t="s">
        <v>40</v>
      </c>
      <c r="D3627">
        <v>4.1477329999999997</v>
      </c>
      <c r="E3627">
        <v>0.51660529999999905</v>
      </c>
      <c r="F3627" t="s">
        <v>58</v>
      </c>
      <c r="G3627">
        <v>0</v>
      </c>
      <c r="H3627">
        <v>0</v>
      </c>
      <c r="I3627">
        <v>0</v>
      </c>
      <c r="J3627">
        <v>-367.59160000000003</v>
      </c>
      <c r="K3627">
        <v>1.1214309999999901</v>
      </c>
      <c r="L3627">
        <v>283.87329999999997</v>
      </c>
      <c r="M3627">
        <v>-0.99991289999999999</v>
      </c>
      <c r="N3627">
        <v>-1.303587E-2</v>
      </c>
      <c r="O3627">
        <v>-2.0450199999999998E-3</v>
      </c>
      <c r="P3627">
        <v>-0.98745830000000001</v>
      </c>
      <c r="Q3627">
        <v>0.1578801</v>
      </c>
      <c r="R3627">
        <v>-3.0807959999999999E-4</v>
      </c>
      <c r="S3627">
        <v>-3.0356450000000001</v>
      </c>
      <c r="T3627">
        <v>1.6602639999999998E-2</v>
      </c>
      <c r="U3627">
        <v>0.13116459999999999</v>
      </c>
      <c r="V3627">
        <v>1.70775299999999E-3</v>
      </c>
      <c r="W3627">
        <v>0.170739</v>
      </c>
      <c r="X3627">
        <v>0.98531480000000005</v>
      </c>
      <c r="Y3627">
        <v>4.5211649999999999E-2</v>
      </c>
      <c r="Z3627">
        <v>1.33429699999999E-4</v>
      </c>
      <c r="AA3627">
        <v>0.99897740000000002</v>
      </c>
      <c r="AB3627">
        <v>29</v>
      </c>
      <c r="AC3627">
        <v>-3.0356450000000001</v>
      </c>
      <c r="AD3627">
        <v>1.6602639999999998E-2</v>
      </c>
      <c r="AE3627">
        <v>0.13116459999999999</v>
      </c>
      <c r="AF3627">
        <v>0.13736870681337601</v>
      </c>
      <c r="AG3627">
        <v>1.6602639999999998E-2</v>
      </c>
      <c r="AH3627">
        <v>3.0352797706447801</v>
      </c>
      <c r="AI3627">
        <v>89.686922093165407</v>
      </c>
      <c r="AJ3627">
        <v>87.408713297902494</v>
      </c>
      <c r="AK3627">
        <v>3.0384320126262501</v>
      </c>
      <c r="AL3627">
        <v>80.169211042483198</v>
      </c>
      <c r="AM3627">
        <v>89.900694741037597</v>
      </c>
      <c r="AN3627">
        <v>0.99999998882017405</v>
      </c>
    </row>
    <row r="3628" spans="1:40" x14ac:dyDescent="0.25">
      <c r="A3628" t="str">
        <f>"20190303161944986"</f>
        <v>20190303161944986</v>
      </c>
      <c r="B3628" t="str">
        <f>"1551601184975955"</f>
        <v>1551601184975955</v>
      </c>
      <c r="C3628" t="s">
        <v>40</v>
      </c>
      <c r="D3628">
        <v>4.1156160000000002</v>
      </c>
      <c r="E3628">
        <v>0.51658349999999997</v>
      </c>
      <c r="F3628" t="s">
        <v>58</v>
      </c>
      <c r="G3628">
        <v>0</v>
      </c>
      <c r="H3628">
        <v>0</v>
      </c>
      <c r="I3628">
        <v>0</v>
      </c>
      <c r="J3628">
        <v>-367.89150000000001</v>
      </c>
      <c r="K3628">
        <v>1.1214299999999999</v>
      </c>
      <c r="L3628">
        <v>283.87259999999998</v>
      </c>
      <c r="M3628">
        <v>-0.99991300000000005</v>
      </c>
      <c r="N3628">
        <v>-1.303263E-2</v>
      </c>
      <c r="O3628">
        <v>-2.0756329999999999E-3</v>
      </c>
      <c r="P3628">
        <v>-0.98747309999999999</v>
      </c>
      <c r="Q3628">
        <v>0.15778539999999999</v>
      </c>
      <c r="R3628">
        <v>-9.831986E-4</v>
      </c>
      <c r="S3628">
        <v>-3.035736</v>
      </c>
      <c r="T3628">
        <v>1.4947530000000001E-2</v>
      </c>
      <c r="U3628">
        <v>0.1300354</v>
      </c>
      <c r="V3628">
        <v>1.0629560000000001E-3</v>
      </c>
      <c r="W3628">
        <v>0.170641299999999</v>
      </c>
      <c r="X3628">
        <v>0.98533269999999995</v>
      </c>
      <c r="Y3628">
        <v>4.4870019999999997E-2</v>
      </c>
      <c r="Z3628">
        <v>1.448609E-4</v>
      </c>
      <c r="AA3628">
        <v>0.99899280000000001</v>
      </c>
      <c r="AB3628">
        <v>29</v>
      </c>
      <c r="AC3628">
        <v>-3.035736</v>
      </c>
      <c r="AD3628">
        <v>1.4947530000000001E-2</v>
      </c>
      <c r="AE3628">
        <v>0.1300354</v>
      </c>
      <c r="AF3628">
        <v>0.136333429060468</v>
      </c>
      <c r="AG3628">
        <v>1.4947530000000001E-2</v>
      </c>
      <c r="AH3628">
        <v>3.0353860746178398</v>
      </c>
      <c r="AI3628">
        <v>89.718137688591497</v>
      </c>
      <c r="AJ3628">
        <v>87.428306128800102</v>
      </c>
      <c r="AK3628">
        <v>3.0384829857210698</v>
      </c>
      <c r="AL3628">
        <v>80.1748928834906</v>
      </c>
      <c r="AM3628">
        <v>89.938190553320098</v>
      </c>
      <c r="AN3628">
        <v>1.0000000564152101</v>
      </c>
    </row>
    <row r="3629" spans="1:40" x14ac:dyDescent="0.25">
      <c r="A3629" t="str">
        <f>"20190303161945009"</f>
        <v>20190303161945009</v>
      </c>
      <c r="B3629" t="str">
        <f>"1551601184996451"</f>
        <v>1551601184996451</v>
      </c>
      <c r="C3629" t="s">
        <v>40</v>
      </c>
      <c r="D3629">
        <v>4.1592460000000004</v>
      </c>
      <c r="E3629">
        <v>0.51649499999999904</v>
      </c>
      <c r="F3629" t="s">
        <v>58</v>
      </c>
      <c r="G3629">
        <v>0</v>
      </c>
      <c r="H3629">
        <v>0</v>
      </c>
      <c r="I3629">
        <v>0</v>
      </c>
      <c r="J3629">
        <v>-368.19310000000002</v>
      </c>
      <c r="K3629">
        <v>1.1214360000000001</v>
      </c>
      <c r="L3629">
        <v>283.87200000000001</v>
      </c>
      <c r="M3629">
        <v>-0.99991300000000005</v>
      </c>
      <c r="N3629">
        <v>-1.302938E-2</v>
      </c>
      <c r="O3629">
        <v>-2.1070770000000002E-3</v>
      </c>
      <c r="P3629">
        <v>-0.98744030000000005</v>
      </c>
      <c r="Q3629">
        <v>0.15798400000000001</v>
      </c>
      <c r="R3629">
        <v>-1.649012E-3</v>
      </c>
      <c r="S3629">
        <v>-3.0359189999999998</v>
      </c>
      <c r="T3629">
        <v>1.438475E-2</v>
      </c>
      <c r="U3629">
        <v>0.12808230000000001</v>
      </c>
      <c r="V3629">
        <v>4.2813820000000001E-4</v>
      </c>
      <c r="W3629">
        <v>0.1708363</v>
      </c>
      <c r="X3629">
        <v>0.98529929999999999</v>
      </c>
      <c r="Y3629">
        <v>4.4257299999999999E-2</v>
      </c>
      <c r="Z3629">
        <v>1.4623629999999999E-4</v>
      </c>
      <c r="AA3629">
        <v>0.99902020000000002</v>
      </c>
      <c r="AB3629">
        <v>29</v>
      </c>
      <c r="AC3629">
        <v>-3.0359189999999998</v>
      </c>
      <c r="AD3629">
        <v>1.438475E-2</v>
      </c>
      <c r="AE3629">
        <v>0.12808230000000001</v>
      </c>
      <c r="AF3629">
        <v>0.13447645941042199</v>
      </c>
      <c r="AG3629">
        <v>1.438475E-2</v>
      </c>
      <c r="AH3629">
        <v>3.0355743284994299</v>
      </c>
      <c r="AI3629">
        <v>89.728759147820398</v>
      </c>
      <c r="AJ3629">
        <v>87.463445681852306</v>
      </c>
      <c r="AK3629">
        <v>3.0385855826375701</v>
      </c>
      <c r="AL3629">
        <v>80.163552824421799</v>
      </c>
      <c r="AM3629">
        <v>89.975103493563395</v>
      </c>
      <c r="AN3629">
        <v>0.99999996764024801</v>
      </c>
    </row>
    <row r="3630" spans="1:40" x14ac:dyDescent="0.25">
      <c r="A3630" t="str">
        <f>"20190303161945031"</f>
        <v>20190303161945031</v>
      </c>
      <c r="B3630" t="str">
        <f>"1551601185025732"</f>
        <v>1551601185025732</v>
      </c>
      <c r="C3630" t="s">
        <v>40</v>
      </c>
      <c r="D3630">
        <v>4.1661380000000001</v>
      </c>
      <c r="E3630">
        <v>0.51644409999999996</v>
      </c>
      <c r="F3630" t="s">
        <v>58</v>
      </c>
      <c r="G3630">
        <v>0</v>
      </c>
      <c r="H3630">
        <v>0</v>
      </c>
      <c r="I3630">
        <v>0</v>
      </c>
      <c r="J3630">
        <v>-368.48009999999999</v>
      </c>
      <c r="K3630">
        <v>1.121432</v>
      </c>
      <c r="L3630">
        <v>283.87130000000002</v>
      </c>
      <c r="M3630">
        <v>-0.99991289999999999</v>
      </c>
      <c r="N3630">
        <v>-1.3026329999999999E-2</v>
      </c>
      <c r="O3630">
        <v>-2.1365009999999999E-3</v>
      </c>
      <c r="P3630">
        <v>-0.98739949999999999</v>
      </c>
      <c r="Q3630">
        <v>0.15823380000000001</v>
      </c>
      <c r="R3630">
        <v>-2.1529280000000001E-3</v>
      </c>
      <c r="S3630">
        <v>-3.036041</v>
      </c>
      <c r="T3630">
        <v>1.441884E-2</v>
      </c>
      <c r="U3630">
        <v>0.12542719999999999</v>
      </c>
      <c r="V3630" s="1">
        <v>-4.6626840000000002E-5</v>
      </c>
      <c r="W3630">
        <v>0.1710825</v>
      </c>
      <c r="X3630">
        <v>0.98525669999999999</v>
      </c>
      <c r="Y3630">
        <v>4.3412829999999999E-2</v>
      </c>
      <c r="Z3630">
        <v>1.41879E-4</v>
      </c>
      <c r="AA3630">
        <v>0.99905719999999998</v>
      </c>
      <c r="AB3630">
        <v>29</v>
      </c>
      <c r="AC3630">
        <v>-3.036041</v>
      </c>
      <c r="AD3630">
        <v>1.441884E-2</v>
      </c>
      <c r="AE3630">
        <v>0.12542719999999999</v>
      </c>
      <c r="AF3630">
        <v>0.13191099833387501</v>
      </c>
      <c r="AG3630">
        <v>1.441884E-2</v>
      </c>
      <c r="AH3630">
        <v>3.0356977176341098</v>
      </c>
      <c r="AI3630">
        <v>89.728117319327097</v>
      </c>
      <c r="AJ3630">
        <v>87.511876140539698</v>
      </c>
      <c r="AK3630">
        <v>3.0385965588207502</v>
      </c>
      <c r="AL3630">
        <v>80.149236095861795</v>
      </c>
      <c r="AM3630">
        <v>90.002711497563993</v>
      </c>
      <c r="AN3630">
        <v>0.99999999443760101</v>
      </c>
    </row>
    <row r="3631" spans="1:40" x14ac:dyDescent="0.25">
      <c r="A3631" t="str">
        <f>"20190303161945053"</f>
        <v>20190303161945053</v>
      </c>
      <c r="B3631" t="str">
        <f>"1551601185046227"</f>
        <v>1551601185046227</v>
      </c>
      <c r="C3631" t="s">
        <v>40</v>
      </c>
      <c r="D3631">
        <v>4.1811749999999996</v>
      </c>
      <c r="E3631">
        <v>0.51641959999999998</v>
      </c>
      <c r="F3631" t="s">
        <v>58</v>
      </c>
      <c r="G3631">
        <v>0</v>
      </c>
      <c r="H3631">
        <v>0</v>
      </c>
      <c r="I3631">
        <v>0</v>
      </c>
      <c r="J3631">
        <v>-368.77210000000002</v>
      </c>
      <c r="K3631">
        <v>1.1214329999999999</v>
      </c>
      <c r="L3631">
        <v>283.8707</v>
      </c>
      <c r="M3631">
        <v>-0.99991289999999999</v>
      </c>
      <c r="N3631">
        <v>-1.302182E-2</v>
      </c>
      <c r="O3631">
        <v>-2.166393E-3</v>
      </c>
      <c r="P3631">
        <v>-0.98738910000000002</v>
      </c>
      <c r="Q3631">
        <v>0.15828689999999901</v>
      </c>
      <c r="R3631">
        <v>-2.820744E-3</v>
      </c>
      <c r="S3631">
        <v>-3.0362239999999998</v>
      </c>
      <c r="T3631">
        <v>1.449311E-2</v>
      </c>
      <c r="U3631">
        <v>0.12350460000000001</v>
      </c>
      <c r="V3631">
        <v>-6.8527029999999997E-4</v>
      </c>
      <c r="W3631">
        <v>0.1711309</v>
      </c>
      <c r="X3631">
        <v>0.98524809999999996</v>
      </c>
      <c r="Y3631">
        <v>4.280863E-2</v>
      </c>
      <c r="Z3631">
        <v>1.38183E-4</v>
      </c>
      <c r="AA3631">
        <v>0.99908330000000001</v>
      </c>
      <c r="AB3631">
        <v>29</v>
      </c>
      <c r="AC3631">
        <v>-3.0362239999999998</v>
      </c>
      <c r="AD3631">
        <v>1.449311E-2</v>
      </c>
      <c r="AE3631">
        <v>0.12350460000000001</v>
      </c>
      <c r="AF3631">
        <v>0.130079563064013</v>
      </c>
      <c r="AG3631">
        <v>1.449311E-2</v>
      </c>
      <c r="AH3631">
        <v>3.0358802324086001</v>
      </c>
      <c r="AI3631">
        <v>89.726726198468597</v>
      </c>
      <c r="AJ3631">
        <v>87.546525745508006</v>
      </c>
      <c r="AK3631">
        <v>3.0387003025131798</v>
      </c>
      <c r="AL3631">
        <v>80.146421890472993</v>
      </c>
      <c r="AM3631">
        <v>90.039850967166799</v>
      </c>
      <c r="AN3631">
        <v>1.0000000365419</v>
      </c>
    </row>
    <row r="3632" spans="1:40" x14ac:dyDescent="0.25">
      <c r="A3632" t="str">
        <f>"20190303161945075"</f>
        <v>20190303161945075</v>
      </c>
      <c r="B3632" t="str">
        <f>"1551601185065747"</f>
        <v>1551601185065747</v>
      </c>
      <c r="C3632" t="s">
        <v>40</v>
      </c>
      <c r="D3632">
        <v>4.1536670000000004</v>
      </c>
      <c r="E3632">
        <v>0.51654769999999905</v>
      </c>
      <c r="F3632" t="s">
        <v>58</v>
      </c>
      <c r="G3632">
        <v>0</v>
      </c>
      <c r="H3632">
        <v>0</v>
      </c>
      <c r="I3632">
        <v>0</v>
      </c>
      <c r="J3632">
        <v>-369.05360000000002</v>
      </c>
      <c r="K3632">
        <v>1.1214280000000001</v>
      </c>
      <c r="L3632">
        <v>283.87</v>
      </c>
      <c r="M3632">
        <v>-0.99991300000000005</v>
      </c>
      <c r="N3632">
        <v>-1.301359E-2</v>
      </c>
      <c r="O3632">
        <v>-2.1955439999999998E-3</v>
      </c>
      <c r="P3632">
        <v>-0.98736970000000002</v>
      </c>
      <c r="Q3632">
        <v>0.15840670000000001</v>
      </c>
      <c r="R3632">
        <v>-2.9425950000000001E-3</v>
      </c>
      <c r="S3632">
        <v>-3.0362849999999999</v>
      </c>
      <c r="T3632">
        <v>1.475835E-2</v>
      </c>
      <c r="U3632">
        <v>0.1211853</v>
      </c>
      <c r="V3632">
        <v>-7.7827589999999904E-4</v>
      </c>
      <c r="W3632">
        <v>0.1712427</v>
      </c>
      <c r="X3632">
        <v>0.98522860000000001</v>
      </c>
      <c r="Y3632">
        <v>4.2074970000000003E-2</v>
      </c>
      <c r="Z3632">
        <v>1.324477E-4</v>
      </c>
      <c r="AA3632">
        <v>0.99911450000000002</v>
      </c>
      <c r="AB3632">
        <v>29</v>
      </c>
      <c r="AC3632">
        <v>-3.0362849999999999</v>
      </c>
      <c r="AD3632">
        <v>1.475835E-2</v>
      </c>
      <c r="AE3632">
        <v>0.1211853</v>
      </c>
      <c r="AF3632">
        <v>0.12784885337436799</v>
      </c>
      <c r="AG3632">
        <v>1.475835E-2</v>
      </c>
      <c r="AH3632">
        <v>3.0359399774164402</v>
      </c>
      <c r="AI3632">
        <v>89.721721858848198</v>
      </c>
      <c r="AJ3632">
        <v>87.588597207368196</v>
      </c>
      <c r="AK3632">
        <v>3.03866659649906</v>
      </c>
      <c r="AL3632">
        <v>80.139920195346804</v>
      </c>
      <c r="AM3632">
        <v>90.0452604756819</v>
      </c>
      <c r="AN3632">
        <v>1.0000000311373101</v>
      </c>
    </row>
    <row r="3633" spans="1:40" x14ac:dyDescent="0.25">
      <c r="A3633" t="str">
        <f>"20190303161945096"</f>
        <v>20190303161945096</v>
      </c>
      <c r="B3633" t="str">
        <f>"1551601185086244"</f>
        <v>1551601185086244</v>
      </c>
      <c r="C3633" t="s">
        <v>40</v>
      </c>
      <c r="D3633">
        <v>4.144825</v>
      </c>
      <c r="E3633">
        <v>0.52466420000000002</v>
      </c>
      <c r="F3633" t="s">
        <v>58</v>
      </c>
      <c r="G3633">
        <v>0</v>
      </c>
      <c r="H3633">
        <v>0</v>
      </c>
      <c r="I3633">
        <v>0</v>
      </c>
      <c r="J3633">
        <v>-369.34949999999998</v>
      </c>
      <c r="K3633">
        <v>1.12144</v>
      </c>
      <c r="L3633">
        <v>283.86939999999998</v>
      </c>
      <c r="M3633">
        <v>-0.99991319999999995</v>
      </c>
      <c r="N3633">
        <v>-1.300187E-2</v>
      </c>
      <c r="O3633">
        <v>-2.2255109999999999E-3</v>
      </c>
      <c r="P3633">
        <v>-0.98732940000000002</v>
      </c>
      <c r="Q3633">
        <v>0.15866810000000001</v>
      </c>
      <c r="R3633">
        <v>-2.3516850000000001E-3</v>
      </c>
      <c r="S3633">
        <v>-3.0363769999999999</v>
      </c>
      <c r="T3633">
        <v>1.468098E-2</v>
      </c>
      <c r="U3633">
        <v>0.1218872</v>
      </c>
      <c r="V3633">
        <v>-1.5814129999999901E-4</v>
      </c>
      <c r="W3633">
        <v>0.17149210000000001</v>
      </c>
      <c r="X3633">
        <v>0.98518550000000005</v>
      </c>
      <c r="Y3633">
        <v>4.2334299999999998E-2</v>
      </c>
      <c r="Z3633">
        <v>1.3334959999999999E-4</v>
      </c>
      <c r="AA3633">
        <v>0.99910350000000003</v>
      </c>
      <c r="AB3633">
        <v>29</v>
      </c>
      <c r="AC3633">
        <v>-3.0363769999999999</v>
      </c>
      <c r="AD3633">
        <v>1.468098E-2</v>
      </c>
      <c r="AE3633">
        <v>0.1218872</v>
      </c>
      <c r="AF3633">
        <v>0.12864195588352001</v>
      </c>
      <c r="AG3633">
        <v>1.468098E-2</v>
      </c>
      <c r="AH3633">
        <v>3.0360273344590798</v>
      </c>
      <c r="AI3633">
        <v>89.723191696836196</v>
      </c>
      <c r="AJ3633">
        <v>87.573725771980506</v>
      </c>
      <c r="AK3633">
        <v>3.0387869717323102</v>
      </c>
      <c r="AL3633">
        <v>80.125415934556003</v>
      </c>
      <c r="AM3633">
        <v>90.009197079107295</v>
      </c>
      <c r="AN3633">
        <v>1.00000001739066</v>
      </c>
    </row>
    <row r="3634" spans="1:40" x14ac:dyDescent="0.25">
      <c r="A3634" t="str">
        <f>"20190303161945119"</f>
        <v>20190303161945119</v>
      </c>
      <c r="B3634" t="str">
        <f>"1551601185116499"</f>
        <v>1551601185116499</v>
      </c>
      <c r="C3634" t="s">
        <v>40</v>
      </c>
      <c r="D3634">
        <v>4.1387140000000002</v>
      </c>
      <c r="E3634">
        <v>0.52535569999999998</v>
      </c>
      <c r="F3634" t="s">
        <v>60</v>
      </c>
      <c r="G3634">
        <v>-541.59040000000005</v>
      </c>
      <c r="H3634">
        <v>2.1682429999999999</v>
      </c>
      <c r="I3634">
        <v>294.55</v>
      </c>
      <c r="J3634">
        <v>-369.63780000000003</v>
      </c>
      <c r="K3634">
        <v>1.121437</v>
      </c>
      <c r="L3634">
        <v>283.86860000000001</v>
      </c>
      <c r="M3634">
        <v>-0.99991319999999995</v>
      </c>
      <c r="N3634">
        <v>-1.298944E-2</v>
      </c>
      <c r="O3634">
        <v>-2.2539270000000002E-3</v>
      </c>
      <c r="P3634">
        <v>-0.98729469999999997</v>
      </c>
      <c r="Q3634">
        <v>0.1588936</v>
      </c>
      <c r="R3634">
        <v>-1.5231509999999999E-3</v>
      </c>
      <c r="S3634">
        <v>-3.0360109999999998</v>
      </c>
      <c r="T3634">
        <v>1.8453000000000001E-2</v>
      </c>
      <c r="U3634">
        <v>0.18826290000000001</v>
      </c>
      <c r="V3634">
        <v>6.9850399999999997E-4</v>
      </c>
      <c r="W3634">
        <v>0.17170489999999999</v>
      </c>
      <c r="X3634">
        <v>0.98514820000000003</v>
      </c>
      <c r="Y3634">
        <v>6.4141669999999998E-2</v>
      </c>
      <c r="Z3634">
        <v>1.7932049999999999E-4</v>
      </c>
      <c r="AA3634">
        <v>0.99794079999999996</v>
      </c>
      <c r="AB3634">
        <v>29</v>
      </c>
      <c r="AC3634">
        <v>-171.95259999999999</v>
      </c>
      <c r="AD3634">
        <v>1.0468059999999999</v>
      </c>
      <c r="AE3634">
        <v>10.681399999999901</v>
      </c>
      <c r="AF3634">
        <v>11.068565497438</v>
      </c>
      <c r="AG3634">
        <v>1.0468059999999999</v>
      </c>
      <c r="AH3634">
        <v>171.92173895789099</v>
      </c>
      <c r="AI3634">
        <v>89.651859548992405</v>
      </c>
      <c r="AJ3634">
        <v>86.316300407833296</v>
      </c>
      <c r="AK3634">
        <v>172.28085578867399</v>
      </c>
      <c r="AL3634">
        <v>80.113039826384593</v>
      </c>
      <c r="AM3634">
        <v>89.959375326000298</v>
      </c>
      <c r="AN3634">
        <v>1.0000000182775399</v>
      </c>
    </row>
    <row r="3635" spans="1:40" x14ac:dyDescent="0.25">
      <c r="A3635" t="str">
        <f>"20190303161945141"</f>
        <v>20190303161945141</v>
      </c>
      <c r="B3635" t="str">
        <f>"1551601185136019"</f>
        <v>1551601185136019</v>
      </c>
      <c r="C3635" t="s">
        <v>40</v>
      </c>
      <c r="D3635">
        <v>4.154509</v>
      </c>
      <c r="E3635">
        <v>0.52581860000000002</v>
      </c>
      <c r="F3635" t="s">
        <v>60</v>
      </c>
      <c r="G3635">
        <v>-535.06470000000002</v>
      </c>
      <c r="H3635">
        <v>2.0267360000000001</v>
      </c>
      <c r="I3635">
        <v>294.55</v>
      </c>
      <c r="J3635">
        <v>-369.9323</v>
      </c>
      <c r="K3635">
        <v>1.121435</v>
      </c>
      <c r="L3635">
        <v>283.86790000000002</v>
      </c>
      <c r="M3635">
        <v>-0.9999133</v>
      </c>
      <c r="N3635">
        <v>-1.2976669999999999E-2</v>
      </c>
      <c r="O3635">
        <v>-2.2837619999999999E-3</v>
      </c>
      <c r="P3635">
        <v>-0.98737759999999997</v>
      </c>
      <c r="Q3635">
        <v>0.15838089999999999</v>
      </c>
      <c r="R3635">
        <v>-1.1481379999999999E-3</v>
      </c>
      <c r="S3635">
        <v>-3.0362239999999998</v>
      </c>
      <c r="T3635">
        <v>1.6617300000000002E-2</v>
      </c>
      <c r="U3635">
        <v>0.19604489999999999</v>
      </c>
      <c r="V3635">
        <v>1.1033200000000001E-3</v>
      </c>
      <c r="W3635">
        <v>0.17118069999999999</v>
      </c>
      <c r="X3635">
        <v>0.98523899999999998</v>
      </c>
      <c r="Y3635">
        <v>6.6714510000000005E-2</v>
      </c>
      <c r="Z3635">
        <v>2.088654E-4</v>
      </c>
      <c r="AA3635">
        <v>0.99777210000000005</v>
      </c>
      <c r="AB3635">
        <v>29</v>
      </c>
      <c r="AC3635">
        <v>-165.13239999999999</v>
      </c>
      <c r="AD3635">
        <v>0.90530100000000002</v>
      </c>
      <c r="AE3635">
        <v>10.682099999999901</v>
      </c>
      <c r="AF3635">
        <v>11.058895960810499</v>
      </c>
      <c r="AG3635">
        <v>0.90530100000000002</v>
      </c>
      <c r="AH3635">
        <v>165.102630336658</v>
      </c>
      <c r="AI3635">
        <v>89.686537756630699</v>
      </c>
      <c r="AJ3635">
        <v>86.167941127754204</v>
      </c>
      <c r="AK3635">
        <v>165.475065474698</v>
      </c>
      <c r="AL3635">
        <v>80.143525146474602</v>
      </c>
      <c r="AM3635">
        <v>89.935837341978001</v>
      </c>
      <c r="AN3635">
        <v>0.99999996824425497</v>
      </c>
    </row>
    <row r="3636" spans="1:40" x14ac:dyDescent="0.25">
      <c r="A3636" t="str">
        <f>"20190303161945164"</f>
        <v>20190303161945164</v>
      </c>
      <c r="B3636" t="str">
        <f>"1551601185156519"</f>
        <v>1551601185156519</v>
      </c>
      <c r="C3636" t="s">
        <v>40</v>
      </c>
      <c r="D3636">
        <v>4.1638960000000003</v>
      </c>
      <c r="E3636">
        <v>0.52602260000000001</v>
      </c>
      <c r="F3636" t="s">
        <v>60</v>
      </c>
      <c r="G3636">
        <v>-531.07190000000003</v>
      </c>
      <c r="H3636">
        <v>1.6622749999999999</v>
      </c>
      <c r="I3636">
        <v>294.55</v>
      </c>
      <c r="J3636">
        <v>-370.21809999999999</v>
      </c>
      <c r="K3636">
        <v>1.121442</v>
      </c>
      <c r="L3636">
        <v>283.86720000000003</v>
      </c>
      <c r="M3636">
        <v>-0.99991339999999995</v>
      </c>
      <c r="N3636">
        <v>-1.296459E-2</v>
      </c>
      <c r="O3636">
        <v>-2.3130030000000001E-3</v>
      </c>
      <c r="P3636">
        <v>-0.98740170000000005</v>
      </c>
      <c r="Q3636">
        <v>0.15822919999999999</v>
      </c>
      <c r="R3636">
        <v>-1.276641E-3</v>
      </c>
      <c r="S3636">
        <v>-3.0369869999999999</v>
      </c>
      <c r="T3636">
        <v>1.0194780000000001E-2</v>
      </c>
      <c r="U3636">
        <v>0.20132449999999999</v>
      </c>
      <c r="V3636">
        <v>1.0037329999999999E-3</v>
      </c>
      <c r="W3636">
        <v>0.17101759999999999</v>
      </c>
      <c r="X3636">
        <v>0.98526749999999996</v>
      </c>
      <c r="Y3636">
        <v>6.8454409999999993E-2</v>
      </c>
      <c r="Z3636">
        <v>2.917625E-4</v>
      </c>
      <c r="AA3636">
        <v>0.99765420000000005</v>
      </c>
      <c r="AB3636">
        <v>29</v>
      </c>
      <c r="AC3636">
        <v>-160.85380000000001</v>
      </c>
      <c r="AD3636">
        <v>0.54083299999999901</v>
      </c>
      <c r="AE3636">
        <v>10.682799999999901</v>
      </c>
      <c r="AF3636">
        <v>11.054733545010601</v>
      </c>
      <c r="AG3636">
        <v>0.54083299999999901</v>
      </c>
      <c r="AH3636">
        <v>160.82684808742999</v>
      </c>
      <c r="AI3636">
        <v>89.807778446119897</v>
      </c>
      <c r="AJ3636">
        <v>86.067852697331503</v>
      </c>
      <c r="AK3636">
        <v>161.20724146210799</v>
      </c>
      <c r="AL3636">
        <v>80.153010634664795</v>
      </c>
      <c r="AM3636">
        <v>89.941630425480497</v>
      </c>
      <c r="AN3636">
        <v>1.00000003677297</v>
      </c>
    </row>
    <row r="3637" spans="1:40" x14ac:dyDescent="0.25">
      <c r="A3637" t="str">
        <f>"20190303161945188"</f>
        <v>20190303161945188</v>
      </c>
      <c r="B3637" t="str">
        <f>"1551601185176035"</f>
        <v>1551601185176035</v>
      </c>
      <c r="C3637" t="s">
        <v>40</v>
      </c>
      <c r="D3637">
        <v>4.1898419999999996</v>
      </c>
      <c r="E3637">
        <v>0.52612789999999998</v>
      </c>
      <c r="F3637" t="s">
        <v>60</v>
      </c>
      <c r="G3637">
        <v>-530.41160000000002</v>
      </c>
      <c r="H3637">
        <v>1.688995</v>
      </c>
      <c r="I3637">
        <v>294.55</v>
      </c>
      <c r="J3637">
        <v>-370.52550000000002</v>
      </c>
      <c r="K3637">
        <v>1.1214440000000001</v>
      </c>
      <c r="L3637">
        <v>283.86649999999997</v>
      </c>
      <c r="M3637">
        <v>-0.99991339999999995</v>
      </c>
      <c r="N3637">
        <v>-1.2952409999999999E-2</v>
      </c>
      <c r="O3637">
        <v>-2.3449809999999999E-3</v>
      </c>
      <c r="P3637">
        <v>-0.98740640000000002</v>
      </c>
      <c r="Q3637">
        <v>0.1581968</v>
      </c>
      <c r="R3637">
        <v>-1.601522E-3</v>
      </c>
      <c r="S3637">
        <v>-3.0368040000000001</v>
      </c>
      <c r="T3637">
        <v>1.0760779999999999E-2</v>
      </c>
      <c r="U3637">
        <v>0.20251459999999999</v>
      </c>
      <c r="V3637">
        <v>7.1071320000000004E-4</v>
      </c>
      <c r="W3637">
        <v>0.17097300000000001</v>
      </c>
      <c r="X3637">
        <v>0.98527540000000002</v>
      </c>
      <c r="Y3637">
        <v>6.8879599999999999E-2</v>
      </c>
      <c r="Z3637">
        <v>2.860483E-4</v>
      </c>
      <c r="AA3637">
        <v>0.99762490000000004</v>
      </c>
      <c r="AB3637">
        <v>29</v>
      </c>
      <c r="AC3637">
        <v>-159.8861</v>
      </c>
      <c r="AD3637">
        <v>0.56755099999999903</v>
      </c>
      <c r="AE3637">
        <v>10.6835</v>
      </c>
      <c r="AF3637">
        <v>11.0582932075269</v>
      </c>
      <c r="AG3637">
        <v>0.56755099999999903</v>
      </c>
      <c r="AH3637">
        <v>159.858600271124</v>
      </c>
      <c r="AI3637">
        <v>89.797066811475105</v>
      </c>
      <c r="AJ3637">
        <v>86.042841694584098</v>
      </c>
      <c r="AK3637">
        <v>160.24163018218599</v>
      </c>
      <c r="AL3637">
        <v>80.155603291253797</v>
      </c>
      <c r="AM3637">
        <v>89.958670581096797</v>
      </c>
      <c r="AN3637">
        <v>0.99999994284370397</v>
      </c>
    </row>
    <row r="3638" spans="1:40" x14ac:dyDescent="0.25">
      <c r="A3638" t="str">
        <f>"20190303161945210"</f>
        <v>20190303161945210</v>
      </c>
      <c r="B3638" t="str">
        <f>"1551601185196531"</f>
        <v>1551601185196531</v>
      </c>
      <c r="C3638" t="s">
        <v>40</v>
      </c>
      <c r="D3638">
        <v>4.2163360000000001</v>
      </c>
      <c r="E3638">
        <v>0.52624009999999999</v>
      </c>
      <c r="F3638" t="s">
        <v>60</v>
      </c>
      <c r="G3638">
        <v>-530.93849999999998</v>
      </c>
      <c r="H3638">
        <v>1.6052379999999999</v>
      </c>
      <c r="I3638">
        <v>294.55</v>
      </c>
      <c r="J3638">
        <v>-370.80939999999998</v>
      </c>
      <c r="K3638">
        <v>1.1214390000000001</v>
      </c>
      <c r="L3638">
        <v>283.86579999999998</v>
      </c>
      <c r="M3638">
        <v>-0.99991350000000001</v>
      </c>
      <c r="N3638">
        <v>-1.2941940000000001E-2</v>
      </c>
      <c r="O3638">
        <v>-2.3741169999999998E-3</v>
      </c>
      <c r="P3638">
        <v>-0.98737169999999996</v>
      </c>
      <c r="Q3638">
        <v>0.15840979999999999</v>
      </c>
      <c r="R3638">
        <v>-1.893626E-3</v>
      </c>
      <c r="S3638">
        <v>-3.0370789999999999</v>
      </c>
      <c r="T3638">
        <v>9.1612340000000007E-3</v>
      </c>
      <c r="U3638">
        <v>0.20227049999999999</v>
      </c>
      <c r="V3638">
        <v>4.4720859999999998E-4</v>
      </c>
      <c r="W3638">
        <v>0.17117499999999999</v>
      </c>
      <c r="X3638">
        <v>0.98524049999999996</v>
      </c>
      <c r="Y3638">
        <v>6.8822739999999993E-2</v>
      </c>
      <c r="Z3638">
        <v>3.043268E-4</v>
      </c>
      <c r="AA3638">
        <v>0.99762890000000004</v>
      </c>
      <c r="AB3638">
        <v>29</v>
      </c>
      <c r="AC3638">
        <v>-160.12909999999999</v>
      </c>
      <c r="AD3638">
        <v>0.48379899999999998</v>
      </c>
      <c r="AE3638">
        <v>10.684200000000001</v>
      </c>
      <c r="AF3638">
        <v>11.0642663683268</v>
      </c>
      <c r="AG3638">
        <v>0.48379899999999998</v>
      </c>
      <c r="AH3638">
        <v>160.10182600338101</v>
      </c>
      <c r="AI3638">
        <v>89.827274921343403</v>
      </c>
      <c r="AJ3638">
        <v>86.046706864729899</v>
      </c>
      <c r="AK3638">
        <v>160.484412767592</v>
      </c>
      <c r="AL3638">
        <v>80.143856560161097</v>
      </c>
      <c r="AM3638">
        <v>89.973992985893005</v>
      </c>
      <c r="AN3638">
        <v>0.99999996173038996</v>
      </c>
    </row>
    <row r="3639" spans="1:40" x14ac:dyDescent="0.25">
      <c r="A3639" t="str">
        <f>"20190303161945231"</f>
        <v>20190303161945231</v>
      </c>
      <c r="B3639" t="str">
        <f>"1551601185225811"</f>
        <v>1551601185225811</v>
      </c>
      <c r="C3639" t="s">
        <v>40</v>
      </c>
      <c r="D3639">
        <v>4.2305440000000001</v>
      </c>
      <c r="E3639">
        <v>0.52633949999999996</v>
      </c>
      <c r="F3639" t="s">
        <v>60</v>
      </c>
      <c r="G3639">
        <v>-531.03409999999997</v>
      </c>
      <c r="H3639">
        <v>1.5470569999999999</v>
      </c>
      <c r="I3639">
        <v>294.55</v>
      </c>
      <c r="J3639">
        <v>-371.09460000000001</v>
      </c>
      <c r="K3639">
        <v>1.1214360000000001</v>
      </c>
      <c r="L3639">
        <v>283.86509999999998</v>
      </c>
      <c r="M3639">
        <v>-0.99991359999999996</v>
      </c>
      <c r="N3639">
        <v>-1.2932249999999999E-2</v>
      </c>
      <c r="O3639">
        <v>-2.402787E-3</v>
      </c>
      <c r="P3639">
        <v>-0.98739489999999996</v>
      </c>
      <c r="Q3639">
        <v>0.15825029999999901</v>
      </c>
      <c r="R3639">
        <v>-2.894401E-3</v>
      </c>
      <c r="S3639">
        <v>-3.037445</v>
      </c>
      <c r="T3639">
        <v>8.0702299999999994E-3</v>
      </c>
      <c r="U3639">
        <v>0.20254520000000001</v>
      </c>
      <c r="V3639">
        <v>-5.2554879999999998E-4</v>
      </c>
      <c r="W3639">
        <v>0.171006399999999</v>
      </c>
      <c r="X3639">
        <v>0.98526979999999997</v>
      </c>
      <c r="Y3639">
        <v>6.8933099999999997E-2</v>
      </c>
      <c r="Z3639">
        <v>3.1735090000000002E-4</v>
      </c>
      <c r="AA3639">
        <v>0.99762119999999999</v>
      </c>
      <c r="AB3639">
        <v>29</v>
      </c>
      <c r="AC3639">
        <v>-159.93949999999899</v>
      </c>
      <c r="AD3639">
        <v>0.42562099999999897</v>
      </c>
      <c r="AE3639">
        <v>10.684900000000001</v>
      </c>
      <c r="AF3639">
        <v>11.069123759564301</v>
      </c>
      <c r="AG3639">
        <v>0.42562099999999897</v>
      </c>
      <c r="AH3639">
        <v>159.912235131698</v>
      </c>
      <c r="AI3639">
        <v>89.847866446427901</v>
      </c>
      <c r="AJ3639">
        <v>86.040302670509803</v>
      </c>
      <c r="AK3639">
        <v>160.295444722723</v>
      </c>
      <c r="AL3639">
        <v>80.153661794080406</v>
      </c>
      <c r="AM3639">
        <v>90.030561908334406</v>
      </c>
      <c r="AN3639">
        <v>1.00000002191727</v>
      </c>
    </row>
    <row r="3640" spans="1:40" x14ac:dyDescent="0.25">
      <c r="A3640" t="str">
        <f>"20190303161945254"</f>
        <v>20190303161945254</v>
      </c>
      <c r="B3640" t="str">
        <f>"1551601185246307"</f>
        <v>1551601185246307</v>
      </c>
      <c r="C3640" t="s">
        <v>40</v>
      </c>
      <c r="D3640">
        <v>4.1835930000000001</v>
      </c>
      <c r="E3640">
        <v>0.52626039999999996</v>
      </c>
      <c r="F3640" t="s">
        <v>60</v>
      </c>
      <c r="G3640">
        <v>-533.05960000000005</v>
      </c>
      <c r="H3640">
        <v>1.453254</v>
      </c>
      <c r="I3640">
        <v>294.55</v>
      </c>
      <c r="J3640">
        <v>-371.38569999999999</v>
      </c>
      <c r="K3640">
        <v>1.121437</v>
      </c>
      <c r="L3640">
        <v>283.86430000000001</v>
      </c>
      <c r="M3640">
        <v>-0.99991350000000001</v>
      </c>
      <c r="N3640">
        <v>-1.292309E-2</v>
      </c>
      <c r="O3640">
        <v>-2.4322879999999999E-3</v>
      </c>
      <c r="P3640">
        <v>-0.98734639999999996</v>
      </c>
      <c r="Q3640">
        <v>0.1585462</v>
      </c>
      <c r="R3640">
        <v>-3.1457120000000002E-3</v>
      </c>
      <c r="S3640">
        <v>-3.0378419999999999</v>
      </c>
      <c r="T3640">
        <v>6.2252280000000002E-3</v>
      </c>
      <c r="U3640">
        <v>0.2004089</v>
      </c>
      <c r="V3640">
        <v>-7.477327E-4</v>
      </c>
      <c r="W3640">
        <v>0.17129249999999999</v>
      </c>
      <c r="X3640">
        <v>0.98521999999999998</v>
      </c>
      <c r="Y3640">
        <v>6.8255250000000003E-2</v>
      </c>
      <c r="Z3640">
        <v>3.3529179999999999E-4</v>
      </c>
      <c r="AA3640">
        <v>0.99766779999999999</v>
      </c>
      <c r="AB3640">
        <v>29</v>
      </c>
      <c r="AC3640">
        <v>-161.6739</v>
      </c>
      <c r="AD3640">
        <v>0.33181699999999997</v>
      </c>
      <c r="AE3640">
        <v>10.685699999999899</v>
      </c>
      <c r="AF3640">
        <v>11.078892263166599</v>
      </c>
      <c r="AG3640">
        <v>0.33181699999999997</v>
      </c>
      <c r="AH3640">
        <v>161.64675087443999</v>
      </c>
      <c r="AI3640">
        <v>89.882662714710193</v>
      </c>
      <c r="AJ3640">
        <v>86.079212075385797</v>
      </c>
      <c r="AK3640">
        <v>162.02630658187499</v>
      </c>
      <c r="AL3640">
        <v>80.137024401781701</v>
      </c>
      <c r="AM3640">
        <v>90.043484622407306</v>
      </c>
      <c r="AN3640">
        <v>1.00000006403021</v>
      </c>
    </row>
    <row r="3641" spans="1:40" x14ac:dyDescent="0.25">
      <c r="A3641" t="str">
        <f>"20190303161945275"</f>
        <v>20190303161945275</v>
      </c>
      <c r="B3641" t="str">
        <f>"1551601185265828"</f>
        <v>1551601185265828</v>
      </c>
      <c r="C3641" t="s">
        <v>40</v>
      </c>
      <c r="D3641">
        <v>4.2254880000000004</v>
      </c>
      <c r="E3641">
        <v>0.52634780000000003</v>
      </c>
      <c r="F3641" t="s">
        <v>60</v>
      </c>
      <c r="G3641">
        <v>-534.54939999999999</v>
      </c>
      <c r="H3641">
        <v>1.56003799999999</v>
      </c>
      <c r="I3641">
        <v>294.55</v>
      </c>
      <c r="J3641">
        <v>-371.6746</v>
      </c>
      <c r="K3641">
        <v>1.121426</v>
      </c>
      <c r="L3641">
        <v>283.86360000000002</v>
      </c>
      <c r="M3641">
        <v>-0.99991359999999996</v>
      </c>
      <c r="N3641">
        <v>-1.291465E-2</v>
      </c>
      <c r="O3641">
        <v>-2.4615560000000002E-3</v>
      </c>
      <c r="P3641">
        <v>-0.98736630000000003</v>
      </c>
      <c r="Q3641">
        <v>0.15842100000000001</v>
      </c>
      <c r="R3641">
        <v>-3.2493639999999998E-3</v>
      </c>
      <c r="S3641">
        <v>-3.03775</v>
      </c>
      <c r="T3641">
        <v>8.1673860000000004E-3</v>
      </c>
      <c r="U3641">
        <v>0.19894410000000001</v>
      </c>
      <c r="V3641">
        <v>-8.2244860000000003E-4</v>
      </c>
      <c r="W3641">
        <v>0.17115900000000001</v>
      </c>
      <c r="X3641">
        <v>0.98524310000000004</v>
      </c>
      <c r="Y3641">
        <v>6.7807549999999994E-2</v>
      </c>
      <c r="Z3641">
        <v>3.0891449999999998E-4</v>
      </c>
      <c r="AA3641">
        <v>0.99769839999999999</v>
      </c>
      <c r="AB3641">
        <v>29</v>
      </c>
      <c r="AC3641">
        <v>-162.87479999999999</v>
      </c>
      <c r="AD3641">
        <v>0.438611999999999</v>
      </c>
      <c r="AE3641">
        <v>10.6863999999999</v>
      </c>
      <c r="AF3641">
        <v>11.0872464286753</v>
      </c>
      <c r="AG3641">
        <v>0.438611999999999</v>
      </c>
      <c r="AH3641">
        <v>162.846823210721</v>
      </c>
      <c r="AI3641">
        <v>89.846036220598293</v>
      </c>
      <c r="AJ3641">
        <v>86.105090772443901</v>
      </c>
      <c r="AK3641">
        <v>163.22440762239199</v>
      </c>
      <c r="AL3641">
        <v>80.144787633290505</v>
      </c>
      <c r="AM3641">
        <v>90.047828624936102</v>
      </c>
      <c r="AN3641">
        <v>1.00000002290015</v>
      </c>
    </row>
    <row r="3642" spans="1:40" x14ac:dyDescent="0.25">
      <c r="A3642" t="str">
        <f>"20190303161945298"</f>
        <v>20190303161945298</v>
      </c>
      <c r="B3642" t="str">
        <f>"1551601185286324"</f>
        <v>1551601185286324</v>
      </c>
      <c r="C3642" t="s">
        <v>40</v>
      </c>
      <c r="D3642">
        <v>4.2678729999999998</v>
      </c>
      <c r="E3642">
        <v>0.52642250000000002</v>
      </c>
      <c r="F3642" t="s">
        <v>60</v>
      </c>
      <c r="G3642">
        <v>-535.15859999999998</v>
      </c>
      <c r="H3642">
        <v>1.5083519999999999</v>
      </c>
      <c r="I3642">
        <v>294.55</v>
      </c>
      <c r="J3642">
        <v>-371.9683</v>
      </c>
      <c r="K3642">
        <v>1.121426</v>
      </c>
      <c r="L3642">
        <v>283.86279999999999</v>
      </c>
      <c r="M3642">
        <v>-0.99991370000000002</v>
      </c>
      <c r="N3642">
        <v>-1.2906890000000001E-2</v>
      </c>
      <c r="O3642">
        <v>-2.4911899999999999E-3</v>
      </c>
      <c r="P3642">
        <v>-0.98745249999999996</v>
      </c>
      <c r="Q3642">
        <v>0.15788479999999999</v>
      </c>
      <c r="R3642">
        <v>-3.201527E-3</v>
      </c>
      <c r="S3642">
        <v>-3.037903</v>
      </c>
      <c r="T3642">
        <v>7.1915390000000003E-3</v>
      </c>
      <c r="U3642">
        <v>0.1985779</v>
      </c>
      <c r="V3642">
        <v>-7.4500279999999998E-4</v>
      </c>
      <c r="W3642">
        <v>0.1706164</v>
      </c>
      <c r="X3642">
        <v>0.98533729999999997</v>
      </c>
      <c r="Y3642">
        <v>6.7713999999999996E-2</v>
      </c>
      <c r="Z3642">
        <v>3.19396E-4</v>
      </c>
      <c r="AA3642">
        <v>0.9977047</v>
      </c>
      <c r="AB3642">
        <v>29</v>
      </c>
      <c r="AC3642">
        <v>-163.19029999999901</v>
      </c>
      <c r="AD3642">
        <v>0.38692599999999999</v>
      </c>
      <c r="AE3642">
        <v>10.687200000000001</v>
      </c>
      <c r="AF3642">
        <v>11.093676601889699</v>
      </c>
      <c r="AG3642">
        <v>0.38692599999999999</v>
      </c>
      <c r="AH3642">
        <v>163.16225414120001</v>
      </c>
      <c r="AI3642">
        <v>89.864440952375205</v>
      </c>
      <c r="AJ3642">
        <v>86.1103498127666</v>
      </c>
      <c r="AK3642">
        <v>163.53941588716299</v>
      </c>
      <c r="AL3642">
        <v>80.176340746073095</v>
      </c>
      <c r="AM3642">
        <v>90.043320706555406</v>
      </c>
      <c r="AN3642">
        <v>1.0000000528747</v>
      </c>
    </row>
    <row r="3643" spans="1:40" x14ac:dyDescent="0.25">
      <c r="A3643" t="str">
        <f>"20190303161945321"</f>
        <v>20190303161945321</v>
      </c>
      <c r="B3643" t="str">
        <f>"1551601185316579"</f>
        <v>1551601185316579</v>
      </c>
      <c r="C3643" t="s">
        <v>40</v>
      </c>
      <c r="D3643">
        <v>4.2375660000000002</v>
      </c>
      <c r="E3643">
        <v>0.52625980000000006</v>
      </c>
      <c r="F3643" t="s">
        <v>60</v>
      </c>
      <c r="G3643">
        <v>-534.78129999999999</v>
      </c>
      <c r="H3643">
        <v>1.2934000000000001</v>
      </c>
      <c r="I3643">
        <v>294.55</v>
      </c>
      <c r="J3643">
        <v>-372.25979999999998</v>
      </c>
      <c r="K3643">
        <v>1.121427</v>
      </c>
      <c r="L3643">
        <v>283.8621</v>
      </c>
      <c r="M3643">
        <v>-0.99991370000000002</v>
      </c>
      <c r="N3643">
        <v>-1.2899880000000001E-2</v>
      </c>
      <c r="O3643">
        <v>-2.5203510000000001E-3</v>
      </c>
      <c r="P3643">
        <v>-0.98747839999999998</v>
      </c>
      <c r="Q3643">
        <v>0.15772630000000001</v>
      </c>
      <c r="R3643">
        <v>-3.0668879999999998E-3</v>
      </c>
      <c r="S3643">
        <v>-3.0382389999999999</v>
      </c>
      <c r="T3643">
        <v>3.210783E-3</v>
      </c>
      <c r="U3643">
        <v>0.19943240000000001</v>
      </c>
      <c r="V3643">
        <v>-5.8104350000000001E-4</v>
      </c>
      <c r="W3643">
        <v>0.17045199999999999</v>
      </c>
      <c r="X3643">
        <v>0.98536579999999996</v>
      </c>
      <c r="Y3643">
        <v>6.8014950000000005E-2</v>
      </c>
      <c r="Z3643">
        <v>3.6814200000000001E-4</v>
      </c>
      <c r="AA3643">
        <v>0.99768420000000002</v>
      </c>
      <c r="AB3643">
        <v>29</v>
      </c>
      <c r="AC3643">
        <v>-162.5215</v>
      </c>
      <c r="AD3643">
        <v>0.17197299999999999</v>
      </c>
      <c r="AE3643">
        <v>10.687900000000001</v>
      </c>
      <c r="AF3643">
        <v>11.097498952600599</v>
      </c>
      <c r="AG3643">
        <v>0.17197299999999999</v>
      </c>
      <c r="AH3643">
        <v>162.493863072826</v>
      </c>
      <c r="AI3643">
        <v>89.939502794597104</v>
      </c>
      <c r="AJ3643">
        <v>86.093058291546697</v>
      </c>
      <c r="AK3643">
        <v>162.87246419836001</v>
      </c>
      <c r="AL3643">
        <v>80.1858995863182</v>
      </c>
      <c r="AM3643">
        <v>90.033785764032899</v>
      </c>
      <c r="AN3643">
        <v>0.99999999086259395</v>
      </c>
    </row>
    <row r="3644" spans="1:40" x14ac:dyDescent="0.25">
      <c r="A3644" t="str">
        <f>"20190303161945342"</f>
        <v>20190303161945342</v>
      </c>
      <c r="B3644" t="str">
        <f>"1551601185336099"</f>
        <v>1551601185336099</v>
      </c>
      <c r="C3644" t="s">
        <v>40</v>
      </c>
      <c r="D3644">
        <v>4.2310429999999997</v>
      </c>
      <c r="E3644">
        <v>0.52613189999999999</v>
      </c>
      <c r="F3644" t="s">
        <v>60</v>
      </c>
      <c r="G3644">
        <v>-535.66300000000001</v>
      </c>
      <c r="H3644">
        <v>1.242686</v>
      </c>
      <c r="I3644">
        <v>294.55</v>
      </c>
      <c r="J3644">
        <v>-372.5453</v>
      </c>
      <c r="K3644">
        <v>1.121424</v>
      </c>
      <c r="L3644">
        <v>283.86130000000003</v>
      </c>
      <c r="M3644">
        <v>-0.99991379999999996</v>
      </c>
      <c r="N3644">
        <v>-1.289352E-2</v>
      </c>
      <c r="O3644">
        <v>-2.5496310000000001E-3</v>
      </c>
      <c r="P3644">
        <v>-0.98756520000000003</v>
      </c>
      <c r="Q3644">
        <v>0.157189</v>
      </c>
      <c r="R3644">
        <v>-2.6069840000000001E-3</v>
      </c>
      <c r="S3644">
        <v>-3.0383</v>
      </c>
      <c r="T3644">
        <v>2.256274E-3</v>
      </c>
      <c r="U3644">
        <v>0.1987305</v>
      </c>
      <c r="V3644" s="1">
        <v>-9.2239340000000006E-5</v>
      </c>
      <c r="W3644">
        <v>0.16990930000000001</v>
      </c>
      <c r="X3644">
        <v>0.98545970000000005</v>
      </c>
      <c r="Y3644">
        <v>6.7813250000000005E-2</v>
      </c>
      <c r="Z3644">
        <v>3.7777630000000002E-4</v>
      </c>
      <c r="AA3644">
        <v>0.99769790000000003</v>
      </c>
      <c r="AB3644">
        <v>29</v>
      </c>
      <c r="AC3644">
        <v>-163.11770000000001</v>
      </c>
      <c r="AD3644">
        <v>0.121261999999999</v>
      </c>
      <c r="AE3644">
        <v>10.6886999999999</v>
      </c>
      <c r="AF3644">
        <v>11.104583587189801</v>
      </c>
      <c r="AG3644">
        <v>0.121261999999999</v>
      </c>
      <c r="AH3644">
        <v>163.089825480972</v>
      </c>
      <c r="AI3644">
        <v>89.957497348283198</v>
      </c>
      <c r="AJ3644">
        <v>86.104813599756596</v>
      </c>
      <c r="AK3644">
        <v>163.467481954459</v>
      </c>
      <c r="AL3644">
        <v>80.217454384539593</v>
      </c>
      <c r="AM3644">
        <v>90.005362903091395</v>
      </c>
      <c r="AN3644">
        <v>0.99999999952933805</v>
      </c>
    </row>
    <row r="3645" spans="1:40" x14ac:dyDescent="0.25">
      <c r="A3645" t="str">
        <f>"20190303161945365"</f>
        <v>20190303161945365</v>
      </c>
      <c r="B3645" t="str">
        <f>"1551601185356595"</f>
        <v>1551601185356595</v>
      </c>
      <c r="C3645" t="s">
        <v>40</v>
      </c>
      <c r="D3645">
        <v>4.2271859999999997</v>
      </c>
      <c r="E3645">
        <v>0.52600049999999998</v>
      </c>
      <c r="F3645" t="s">
        <v>60</v>
      </c>
      <c r="G3645">
        <v>-535.78240000000005</v>
      </c>
      <c r="H3645">
        <v>1.143831</v>
      </c>
      <c r="I3645">
        <v>294.55</v>
      </c>
      <c r="J3645">
        <v>-372.83409999999998</v>
      </c>
      <c r="K3645">
        <v>1.121421</v>
      </c>
      <c r="L3645">
        <v>283.8605</v>
      </c>
      <c r="M3645">
        <v>-0.99991370000000002</v>
      </c>
      <c r="N3645">
        <v>-1.2887539999999999E-2</v>
      </c>
      <c r="O3645">
        <v>-2.579034E-3</v>
      </c>
      <c r="P3645">
        <v>-0.98758710000000005</v>
      </c>
      <c r="Q3645">
        <v>0.15705089999999999</v>
      </c>
      <c r="R3645">
        <v>-2.622241E-3</v>
      </c>
      <c r="S3645">
        <v>-3.0382690000000001</v>
      </c>
      <c r="T3645">
        <v>4.18663E-4</v>
      </c>
      <c r="U3645">
        <v>0.19894410000000001</v>
      </c>
      <c r="V3645" s="1">
        <v>-7.8360519999999998E-5</v>
      </c>
      <c r="W3645">
        <v>0.16976550000000001</v>
      </c>
      <c r="X3645">
        <v>0.98548449999999999</v>
      </c>
      <c r="Y3645">
        <v>6.791287E-2</v>
      </c>
      <c r="Z3645">
        <v>3.9986939999999999E-4</v>
      </c>
      <c r="AA3645">
        <v>0.9976912</v>
      </c>
      <c r="AB3645">
        <v>29</v>
      </c>
      <c r="AC3645">
        <v>-162.94829999999999</v>
      </c>
      <c r="AD3645">
        <v>2.2409999999999999E-2</v>
      </c>
      <c r="AE3645">
        <v>10.689500000000001</v>
      </c>
      <c r="AF3645">
        <v>11.109748313250901</v>
      </c>
      <c r="AG3645">
        <v>2.2409999999999999E-2</v>
      </c>
      <c r="AH3645">
        <v>162.92018405077999</v>
      </c>
      <c r="AI3645">
        <v>89.992137110241501</v>
      </c>
      <c r="AJ3645">
        <v>86.098962294853905</v>
      </c>
      <c r="AK3645">
        <v>163.298540657692</v>
      </c>
      <c r="AL3645">
        <v>80.2258151365386</v>
      </c>
      <c r="AM3645">
        <v>90.0045558576182</v>
      </c>
      <c r="AN3645">
        <v>1.00000001543543</v>
      </c>
    </row>
    <row r="3646" spans="1:40" x14ac:dyDescent="0.25">
      <c r="A3646" t="str">
        <f>"20190303161945388"</f>
        <v>20190303161945388</v>
      </c>
      <c r="B3646" t="str">
        <f>"1551601185376115"</f>
        <v>1551601185376115</v>
      </c>
      <c r="C3646" t="s">
        <v>40</v>
      </c>
      <c r="D3646">
        <v>4.2718280000000002</v>
      </c>
      <c r="E3646">
        <v>0.52586669999999902</v>
      </c>
      <c r="F3646" t="s">
        <v>60</v>
      </c>
      <c r="G3646">
        <v>-537.32809999999995</v>
      </c>
      <c r="H3646">
        <v>1.0548869999999999</v>
      </c>
      <c r="I3646">
        <v>294.55</v>
      </c>
      <c r="J3646">
        <v>-373.1345</v>
      </c>
      <c r="K3646">
        <v>1.1214170000000001</v>
      </c>
      <c r="L3646">
        <v>283.85969999999998</v>
      </c>
      <c r="M3646">
        <v>-0.99991370000000002</v>
      </c>
      <c r="N3646">
        <v>-1.2881770000000001E-2</v>
      </c>
      <c r="O3646">
        <v>-2.6067529999999998E-3</v>
      </c>
      <c r="P3646">
        <v>-0.98763820000000002</v>
      </c>
      <c r="Q3646">
        <v>0.156717299999999</v>
      </c>
      <c r="R3646">
        <v>-3.300945E-3</v>
      </c>
      <c r="S3646">
        <v>-3.0384220000000002</v>
      </c>
      <c r="T3646">
        <v>-1.227379E-3</v>
      </c>
      <c r="U3646">
        <v>0.1974487</v>
      </c>
      <c r="V3646">
        <v>-7.2917969999999996E-4</v>
      </c>
      <c r="W3646">
        <v>0.16942660000000001</v>
      </c>
      <c r="X3646">
        <v>0.98554249999999999</v>
      </c>
      <c r="Y3646">
        <v>6.7448079999999994E-2</v>
      </c>
      <c r="Z3646">
        <v>4.1601719999999999E-4</v>
      </c>
      <c r="AA3646">
        <v>0.99772269999999996</v>
      </c>
      <c r="AB3646">
        <v>29</v>
      </c>
      <c r="AC3646">
        <v>-164.19359999999901</v>
      </c>
      <c r="AD3646">
        <v>-6.6529999999999895E-2</v>
      </c>
      <c r="AE3646">
        <v>10.690300000000001</v>
      </c>
      <c r="AF3646">
        <v>11.118309500494</v>
      </c>
      <c r="AG3646">
        <v>-6.6529999999999895E-2</v>
      </c>
      <c r="AH3646">
        <v>164.16514592452799</v>
      </c>
      <c r="AI3646">
        <v>90.023166766864094</v>
      </c>
      <c r="AJ3646">
        <v>86.125481538007605</v>
      </c>
      <c r="AK3646">
        <v>164.54122999665199</v>
      </c>
      <c r="AL3646">
        <v>80.245517572447397</v>
      </c>
      <c r="AM3646">
        <v>90.042391791011596</v>
      </c>
      <c r="AN3646">
        <v>0.999999961898421</v>
      </c>
    </row>
    <row r="3647" spans="1:40" x14ac:dyDescent="0.25">
      <c r="A3647" t="str">
        <f>"20190303161945411"</f>
        <v>20190303161945411</v>
      </c>
      <c r="B3647" t="str">
        <f>"1551601185406373"</f>
        <v>1551601185406373</v>
      </c>
      <c r="C3647" t="s">
        <v>40</v>
      </c>
      <c r="D3647">
        <v>4.2690739999999998</v>
      </c>
      <c r="E3647">
        <v>0.52578939999999996</v>
      </c>
      <c r="F3647" t="s">
        <v>60</v>
      </c>
      <c r="G3647">
        <v>-541.029</v>
      </c>
      <c r="H3647">
        <v>0.94108950000000002</v>
      </c>
      <c r="I3647">
        <v>294.55</v>
      </c>
      <c r="J3647">
        <v>-373.42259999999999</v>
      </c>
      <c r="K3647">
        <v>1.121407</v>
      </c>
      <c r="L3647">
        <v>283.85890000000001</v>
      </c>
      <c r="M3647">
        <v>-0.99991379999999996</v>
      </c>
      <c r="N3647">
        <v>-1.287662E-2</v>
      </c>
      <c r="O3647">
        <v>-2.6305310000000002E-3</v>
      </c>
      <c r="P3647">
        <v>-0.98765720000000001</v>
      </c>
      <c r="Q3647">
        <v>0.15654390000000001</v>
      </c>
      <c r="R3647">
        <v>-5.2580190000000001E-3</v>
      </c>
      <c r="S3647">
        <v>-3.0386959999999998</v>
      </c>
      <c r="T3647">
        <v>-3.2621619999999999E-3</v>
      </c>
      <c r="U3647">
        <v>0.1934814</v>
      </c>
      <c r="V3647">
        <v>-2.6621370000000002E-3</v>
      </c>
      <c r="W3647">
        <v>0.16924900000000001</v>
      </c>
      <c r="X3647">
        <v>0.98556969999999999</v>
      </c>
      <c r="Y3647">
        <v>6.6168379999999999E-2</v>
      </c>
      <c r="Z3647">
        <v>4.309262E-4</v>
      </c>
      <c r="AA3647">
        <v>0.99780840000000004</v>
      </c>
      <c r="AB3647">
        <v>29</v>
      </c>
      <c r="AC3647">
        <v>-167.60640000000001</v>
      </c>
      <c r="AD3647">
        <v>-0.18031749999999999</v>
      </c>
      <c r="AE3647">
        <v>10.6911</v>
      </c>
      <c r="AF3647">
        <v>11.1319804854874</v>
      </c>
      <c r="AG3647">
        <v>-0.18031749999999999</v>
      </c>
      <c r="AH3647">
        <v>167.577501240326</v>
      </c>
      <c r="AI3647">
        <v>90.061516060462694</v>
      </c>
      <c r="AJ3647">
        <v>86.199491050055798</v>
      </c>
      <c r="AK3647">
        <v>167.94693336253999</v>
      </c>
      <c r="AL3647">
        <v>80.2558425159515</v>
      </c>
      <c r="AM3647">
        <v>90.154762107271594</v>
      </c>
      <c r="AN3647">
        <v>0.99999997226624704</v>
      </c>
    </row>
    <row r="3648" spans="1:40" x14ac:dyDescent="0.25">
      <c r="A3648" t="str">
        <f>"20190303161945432"</f>
        <v>20190303161945432</v>
      </c>
      <c r="B3648" t="str">
        <f>"1551601185425891"</f>
        <v>1551601185425891</v>
      </c>
      <c r="C3648" t="s">
        <v>40</v>
      </c>
      <c r="D3648">
        <v>4.2735839999999996</v>
      </c>
      <c r="E3648">
        <v>0.52573789999999998</v>
      </c>
      <c r="F3648" t="s">
        <v>60</v>
      </c>
      <c r="G3648">
        <v>-547.31920000000002</v>
      </c>
      <c r="H3648">
        <v>0.82241790000000004</v>
      </c>
      <c r="I3648">
        <v>294.55</v>
      </c>
      <c r="J3648">
        <v>-373.70740000000001</v>
      </c>
      <c r="K3648">
        <v>1.121413</v>
      </c>
      <c r="L3648">
        <v>283.85809999999998</v>
      </c>
      <c r="M3648">
        <v>-0.99991370000000002</v>
      </c>
      <c r="N3648">
        <v>-1.2871850000000001E-2</v>
      </c>
      <c r="O3648">
        <v>-2.6487989999999999E-3</v>
      </c>
      <c r="P3648">
        <v>-0.98759509999999995</v>
      </c>
      <c r="Q3648">
        <v>0.1568543</v>
      </c>
      <c r="R3648">
        <v>-7.2600659999999999E-3</v>
      </c>
      <c r="S3648">
        <v>-3.0393680000000001</v>
      </c>
      <c r="T3648">
        <v>-5.224228E-3</v>
      </c>
      <c r="U3648">
        <v>0.1868591</v>
      </c>
      <c r="V3648">
        <v>-4.6446289999999999E-3</v>
      </c>
      <c r="W3648">
        <v>0.16955399999999901</v>
      </c>
      <c r="X3648">
        <v>0.98550990000000005</v>
      </c>
      <c r="Y3648">
        <v>6.4006599999999997E-2</v>
      </c>
      <c r="Z3648">
        <v>4.3779179999999998E-4</v>
      </c>
      <c r="AA3648">
        <v>0.99794939999999999</v>
      </c>
      <c r="AB3648">
        <v>29</v>
      </c>
      <c r="AC3648">
        <v>-173.61179999999999</v>
      </c>
      <c r="AD3648">
        <v>-0.29899510000000001</v>
      </c>
      <c r="AE3648">
        <v>10.6919</v>
      </c>
      <c r="AF3648">
        <v>11.151730373035001</v>
      </c>
      <c r="AG3648">
        <v>-0.29899510000000001</v>
      </c>
      <c r="AH3648">
        <v>173.58235491889701</v>
      </c>
      <c r="AI3648">
        <v>90.098488675575496</v>
      </c>
      <c r="AJ3648">
        <v>86.324106799226101</v>
      </c>
      <c r="AK3648">
        <v>173.940462306999</v>
      </c>
      <c r="AL3648">
        <v>80.238110785031694</v>
      </c>
      <c r="AM3648">
        <v>90.270028407456607</v>
      </c>
      <c r="AN3648">
        <v>0.99999994724627705</v>
      </c>
    </row>
    <row r="3649" spans="1:40" x14ac:dyDescent="0.25">
      <c r="A3649" t="str">
        <f>"20190303161945455"</f>
        <v>20190303161945455</v>
      </c>
      <c r="B3649" t="str">
        <f>"1551601185446387"</f>
        <v>1551601185446387</v>
      </c>
      <c r="C3649" t="s">
        <v>40</v>
      </c>
      <c r="D3649">
        <v>4.3840339999999998</v>
      </c>
      <c r="E3649">
        <v>0.52574299999999996</v>
      </c>
      <c r="F3649" t="s">
        <v>60</v>
      </c>
      <c r="G3649">
        <v>-550.05709999999999</v>
      </c>
      <c r="H3649">
        <v>0.82832870000000003</v>
      </c>
      <c r="I3649">
        <v>294.37079999999997</v>
      </c>
      <c r="J3649">
        <v>-373.99459999999999</v>
      </c>
      <c r="K3649">
        <v>1.12141</v>
      </c>
      <c r="L3649">
        <v>283.85739999999998</v>
      </c>
      <c r="M3649">
        <v>-0.99991379999999996</v>
      </c>
      <c r="N3649">
        <v>-1.286732E-2</v>
      </c>
      <c r="O3649">
        <v>-2.66073E-3</v>
      </c>
      <c r="P3649">
        <v>-0.98743460000000005</v>
      </c>
      <c r="Q3649">
        <v>0.157764299999999</v>
      </c>
      <c r="R3649">
        <v>-9.1305729999999995E-3</v>
      </c>
      <c r="S3649">
        <v>-3.039825</v>
      </c>
      <c r="T3649">
        <v>-5.0505400000000001E-3</v>
      </c>
      <c r="U3649">
        <v>0.1812134</v>
      </c>
      <c r="V3649">
        <v>-6.5016850000000001E-3</v>
      </c>
      <c r="W3649">
        <v>0.1704571</v>
      </c>
      <c r="X3649">
        <v>0.98534359999999999</v>
      </c>
      <c r="Y3649">
        <v>6.2162549999999997E-2</v>
      </c>
      <c r="Z3649">
        <v>4.2211069999999998E-4</v>
      </c>
      <c r="AA3649">
        <v>0.99806589999999995</v>
      </c>
      <c r="AB3649">
        <v>29</v>
      </c>
      <c r="AC3649">
        <v>-176.0625</v>
      </c>
      <c r="AD3649">
        <v>-0.29308129999999999</v>
      </c>
      <c r="AE3649">
        <v>10.513399999999899</v>
      </c>
      <c r="AF3649">
        <v>10.981825957402201</v>
      </c>
      <c r="AG3649">
        <v>-0.29308129999999999</v>
      </c>
      <c r="AH3649">
        <v>176.033414986661</v>
      </c>
      <c r="AI3649">
        <v>90.095207630799493</v>
      </c>
      <c r="AJ3649">
        <v>86.430235090769699</v>
      </c>
      <c r="AK3649">
        <v>176.375875872731</v>
      </c>
      <c r="AL3649">
        <v>80.185602657333604</v>
      </c>
      <c r="AM3649">
        <v>90.378054623808097</v>
      </c>
      <c r="AN3649">
        <v>0.99999995245460305</v>
      </c>
    </row>
    <row r="3650" spans="1:40" x14ac:dyDescent="0.25">
      <c r="A3650" t="str">
        <f>"20190303161945466"</f>
        <v>20190303161945466</v>
      </c>
      <c r="B3650" t="str">
        <f>"1551601185456147"</f>
        <v>1551601185456147</v>
      </c>
      <c r="C3650" t="s">
        <v>40</v>
      </c>
      <c r="D3650">
        <v>4.4192809999999998</v>
      </c>
      <c r="E3650">
        <v>0.50283440000000001</v>
      </c>
      <c r="F3650" t="s">
        <v>60</v>
      </c>
      <c r="G3650">
        <v>-550.05719999999997</v>
      </c>
      <c r="H3650">
        <v>0.97352780000000005</v>
      </c>
      <c r="I3650">
        <v>294.0616</v>
      </c>
      <c r="J3650">
        <v>-374.15269999999998</v>
      </c>
      <c r="K3650">
        <v>1.12141</v>
      </c>
      <c r="L3650">
        <v>283.8569</v>
      </c>
      <c r="M3650">
        <v>-0.99991379999999996</v>
      </c>
      <c r="N3650">
        <v>-1.286493E-2</v>
      </c>
      <c r="O3650">
        <v>-2.6650789999999999E-3</v>
      </c>
      <c r="P3650">
        <v>-0.98734469999999996</v>
      </c>
      <c r="Q3650">
        <v>0.1582856</v>
      </c>
      <c r="R3650">
        <v>-9.8198079999999993E-3</v>
      </c>
      <c r="S3650">
        <v>-3.0402529999999999</v>
      </c>
      <c r="T3650">
        <v>-2.5521519999999998E-3</v>
      </c>
      <c r="U3650">
        <v>0.17620849999999999</v>
      </c>
      <c r="V3650">
        <v>-7.185599E-3</v>
      </c>
      <c r="W3650">
        <v>0.17097490000000001</v>
      </c>
      <c r="X3650">
        <v>0.98524920000000005</v>
      </c>
      <c r="Y3650">
        <v>6.0521480000000002E-2</v>
      </c>
      <c r="Z3650">
        <v>3.8300440000000002E-4</v>
      </c>
      <c r="AA3650">
        <v>0.99816680000000002</v>
      </c>
      <c r="AB3650">
        <v>29</v>
      </c>
      <c r="AC3650">
        <v>-175.90449999999899</v>
      </c>
      <c r="AD3650">
        <v>-0.14788219999999899</v>
      </c>
      <c r="AE3650">
        <v>10.204700000000001</v>
      </c>
      <c r="AF3650">
        <v>10.6734943730258</v>
      </c>
      <c r="AG3650">
        <v>-0.14788219999999899</v>
      </c>
      <c r="AH3650">
        <v>175.87655273505001</v>
      </c>
      <c r="AI3650">
        <v>90.048087501454603</v>
      </c>
      <c r="AJ3650">
        <v>86.527126225290402</v>
      </c>
      <c r="AK3650">
        <v>176.20019055960501</v>
      </c>
      <c r="AL3650">
        <v>80.155493546459297</v>
      </c>
      <c r="AM3650">
        <v>90.417860980371302</v>
      </c>
      <c r="AN3650">
        <v>1.00000001768181</v>
      </c>
    </row>
    <row r="3651" spans="1:40" x14ac:dyDescent="0.25">
      <c r="A3651" t="str">
        <f>"20190303161945480"</f>
        <v>20190303161945480</v>
      </c>
      <c r="B3651" t="str">
        <f>"1551601185475667"</f>
        <v>1551601185475667</v>
      </c>
      <c r="C3651" t="s">
        <v>40</v>
      </c>
      <c r="D3651">
        <v>4.2694900000000002</v>
      </c>
      <c r="E3651">
        <v>0.48863020000000001</v>
      </c>
      <c r="F3651" t="s">
        <v>44</v>
      </c>
      <c r="G3651">
        <v>-555.22659999999996</v>
      </c>
      <c r="H3651">
        <v>-0.05</v>
      </c>
      <c r="I3651">
        <v>283.3664</v>
      </c>
      <c r="J3651">
        <v>-374.33010000000002</v>
      </c>
      <c r="K3651">
        <v>1.1214090000000001</v>
      </c>
      <c r="L3651">
        <v>283.85640000000001</v>
      </c>
      <c r="M3651">
        <v>-0.99991379999999996</v>
      </c>
      <c r="N3651">
        <v>-1.286237E-2</v>
      </c>
      <c r="O3651">
        <v>-2.6682329999999999E-3</v>
      </c>
      <c r="P3651">
        <v>-0.98730739999999995</v>
      </c>
      <c r="Q3651">
        <v>0.15847929999999999</v>
      </c>
      <c r="R3651">
        <v>-1.0414970000000001E-2</v>
      </c>
      <c r="S3651">
        <v>-3.041595</v>
      </c>
      <c r="T3651">
        <v>-1.9676800000000001E-2</v>
      </c>
      <c r="U3651">
        <v>-8.2397459999999992E-3</v>
      </c>
      <c r="V3651">
        <v>-7.7763479999999998E-3</v>
      </c>
      <c r="W3651">
        <v>0.17116609999999999</v>
      </c>
      <c r="X3651">
        <v>0.98521150000000002</v>
      </c>
      <c r="Y3651" s="1">
        <v>-4.0609260000000002E-5</v>
      </c>
      <c r="Z3651" s="1">
        <v>-1.7452920000000002E-5</v>
      </c>
      <c r="AA3651">
        <v>1</v>
      </c>
      <c r="AB3651">
        <v>29</v>
      </c>
      <c r="AC3651">
        <v>-180.8965</v>
      </c>
      <c r="AD3651">
        <v>-1.1714089999999999</v>
      </c>
      <c r="AE3651">
        <v>-0.49000000000000898</v>
      </c>
      <c r="AF3651">
        <v>-7.2840476538725196E-3</v>
      </c>
      <c r="AG3651">
        <v>-1.1714089999999999</v>
      </c>
      <c r="AH3651">
        <v>180.889578289388</v>
      </c>
      <c r="AI3651">
        <v>90.371032174311793</v>
      </c>
      <c r="AJ3651">
        <v>90.002307182050302</v>
      </c>
      <c r="AK3651">
        <v>180.89337131530101</v>
      </c>
      <c r="AL3651">
        <v>80.144374537602701</v>
      </c>
      <c r="AM3651">
        <v>90.452230478480203</v>
      </c>
      <c r="AN3651">
        <v>1.0000000025548299</v>
      </c>
    </row>
    <row r="3652" spans="1:40" x14ac:dyDescent="0.25">
      <c r="A3652" t="str">
        <f>"20190303161945493"</f>
        <v>20190303161945493</v>
      </c>
      <c r="B3652" t="str">
        <f>"1551601185486404"</f>
        <v>1551601185486404</v>
      </c>
      <c r="C3652" t="s">
        <v>40</v>
      </c>
      <c r="D3652">
        <v>4.3975280000000003</v>
      </c>
      <c r="E3652">
        <v>0.48445870000000002</v>
      </c>
      <c r="F3652" t="s">
        <v>49</v>
      </c>
      <c r="G3652">
        <v>-473.20609999999999</v>
      </c>
      <c r="H3652" s="1">
        <v>4.775474E-6</v>
      </c>
      <c r="I3652">
        <v>279.84809999999999</v>
      </c>
      <c r="J3652">
        <v>-374.49299999999999</v>
      </c>
      <c r="K3652">
        <v>1.1214059999999999</v>
      </c>
      <c r="L3652">
        <v>283.85599999999999</v>
      </c>
      <c r="M3652">
        <v>-0.99991379999999996</v>
      </c>
      <c r="N3652">
        <v>-1.2860079999999999E-2</v>
      </c>
      <c r="O3652">
        <v>-2.669851E-3</v>
      </c>
      <c r="P3652">
        <v>-0.98728260000000001</v>
      </c>
      <c r="Q3652">
        <v>0.1585956</v>
      </c>
      <c r="R3652">
        <v>-1.099062E-2</v>
      </c>
      <c r="S3652">
        <v>-3.0428160000000002</v>
      </c>
      <c r="T3652">
        <v>-3.4510140000000002E-2</v>
      </c>
      <c r="U3652">
        <v>-0.12335210000000001</v>
      </c>
      <c r="V3652">
        <v>-8.3493189999999991E-3</v>
      </c>
      <c r="W3652">
        <v>0.1712793</v>
      </c>
      <c r="X3652">
        <v>0.98518709999999998</v>
      </c>
      <c r="Y3652">
        <v>-3.7832299999999999E-2</v>
      </c>
      <c r="Z3652">
        <v>-4.618887E-4</v>
      </c>
      <c r="AA3652">
        <v>0.99928399999999995</v>
      </c>
      <c r="AB3652">
        <v>29</v>
      </c>
      <c r="AC3652">
        <v>-98.713099999999898</v>
      </c>
      <c r="AD3652">
        <v>-1.1214012245260001</v>
      </c>
      <c r="AE3652">
        <v>-4.0079000000000002</v>
      </c>
      <c r="AF3652">
        <v>-3.7438323016553299</v>
      </c>
      <c r="AG3652">
        <v>-1.1214012245260001</v>
      </c>
      <c r="AH3652">
        <v>98.710731424160002</v>
      </c>
      <c r="AI3652">
        <v>90.650411925015703</v>
      </c>
      <c r="AJ3652">
        <v>92.172033592824604</v>
      </c>
      <c r="AK3652">
        <v>98.788067696974096</v>
      </c>
      <c r="AL3652">
        <v>80.137791073086802</v>
      </c>
      <c r="AM3652">
        <v>90.4855618674449</v>
      </c>
      <c r="AN3652">
        <v>0.999999965871331</v>
      </c>
    </row>
    <row r="3653" spans="1:40" x14ac:dyDescent="0.25">
      <c r="A3653" t="str">
        <f>"20190303161945505"</f>
        <v>20190303161945505</v>
      </c>
      <c r="B3653" t="str">
        <f>"1551601185496164"</f>
        <v>1551601185496164</v>
      </c>
      <c r="C3653" t="s">
        <v>40</v>
      </c>
      <c r="D3653">
        <v>4.3890560000000001</v>
      </c>
      <c r="E3653">
        <v>0.48177170000000002</v>
      </c>
      <c r="F3653" t="s">
        <v>49</v>
      </c>
      <c r="G3653">
        <v>-478.4939</v>
      </c>
      <c r="H3653">
        <v>8.0000230000000006E-2</v>
      </c>
      <c r="I3653">
        <v>278.46350000000001</v>
      </c>
      <c r="J3653">
        <v>-374.66199999999998</v>
      </c>
      <c r="K3653">
        <v>1.1213949999999999</v>
      </c>
      <c r="L3653">
        <v>283.85550000000001</v>
      </c>
      <c r="M3653">
        <v>-0.99991390000000002</v>
      </c>
      <c r="N3653">
        <v>-1.2857749999999999E-2</v>
      </c>
      <c r="O3653">
        <v>-2.6706379999999999E-3</v>
      </c>
      <c r="P3653">
        <v>-0.98726829999999999</v>
      </c>
      <c r="Q3653">
        <v>0.15862490000000001</v>
      </c>
      <c r="R3653">
        <v>-1.181624E-2</v>
      </c>
      <c r="S3653">
        <v>-3.0417480000000001</v>
      </c>
      <c r="T3653">
        <v>-3.0458329999999999E-2</v>
      </c>
      <c r="U3653">
        <v>-0.15771479999999999</v>
      </c>
      <c r="V3653">
        <v>-9.173255E-3</v>
      </c>
      <c r="W3653">
        <v>0.1713066</v>
      </c>
      <c r="X3653">
        <v>0.98517509999999997</v>
      </c>
      <c r="Y3653">
        <v>-4.9107440000000002E-2</v>
      </c>
      <c r="Z3653">
        <v>-5.692389E-4</v>
      </c>
      <c r="AA3653">
        <v>0.99879340000000005</v>
      </c>
      <c r="AB3653">
        <v>29</v>
      </c>
      <c r="AC3653">
        <v>-103.8319</v>
      </c>
      <c r="AD3653">
        <v>-1.0413947699999999</v>
      </c>
      <c r="AE3653">
        <v>-5.3919999999999897</v>
      </c>
      <c r="AF3653">
        <v>-5.1141473965984403</v>
      </c>
      <c r="AG3653">
        <v>-1.0413947699999999</v>
      </c>
      <c r="AH3653">
        <v>103.835513858406</v>
      </c>
      <c r="AI3653">
        <v>90.573920139938906</v>
      </c>
      <c r="AJ3653">
        <v>92.819675658017701</v>
      </c>
      <c r="AK3653">
        <v>103.96659533186801</v>
      </c>
      <c r="AL3653">
        <v>80.136204159058096</v>
      </c>
      <c r="AM3653">
        <v>90.5334824308256</v>
      </c>
      <c r="AN3653">
        <v>1.00000003873543</v>
      </c>
    </row>
    <row r="3654" spans="1:40" x14ac:dyDescent="0.25">
      <c r="A3654" t="str">
        <f>"20190303161945519"</f>
        <v>20190303161945519</v>
      </c>
      <c r="B3654" t="str">
        <f>"1551601185505924"</f>
        <v>1551601185505924</v>
      </c>
      <c r="C3654" t="s">
        <v>40</v>
      </c>
      <c r="D3654">
        <v>4.3685669999999996</v>
      </c>
      <c r="E3654">
        <v>0.4800006</v>
      </c>
      <c r="F3654" t="s">
        <v>49</v>
      </c>
      <c r="G3654">
        <v>-498.94839999999999</v>
      </c>
      <c r="H3654" s="1">
        <v>1.3821700000000001E-6</v>
      </c>
      <c r="I3654">
        <v>276.44779999999997</v>
      </c>
      <c r="J3654">
        <v>-374.84320000000002</v>
      </c>
      <c r="K3654">
        <v>1.1213930000000001</v>
      </c>
      <c r="L3654">
        <v>283.85500000000002</v>
      </c>
      <c r="M3654">
        <v>-0.99991379999999996</v>
      </c>
      <c r="N3654">
        <v>-1.285534E-2</v>
      </c>
      <c r="O3654">
        <v>-2.6702430000000001E-3</v>
      </c>
      <c r="P3654">
        <v>-0.98721159999999997</v>
      </c>
      <c r="Q3654">
        <v>0.158942</v>
      </c>
      <c r="R3654">
        <v>-1.228332E-2</v>
      </c>
      <c r="S3654">
        <v>-3.0408940000000002</v>
      </c>
      <c r="T3654">
        <v>-2.7436970000000001E-2</v>
      </c>
      <c r="U3654">
        <v>-0.18124390000000001</v>
      </c>
      <c r="V3654">
        <v>-9.6401390000000007E-3</v>
      </c>
      <c r="W3654">
        <v>0.17162040000000001</v>
      </c>
      <c r="X3654">
        <v>0.98511599999999999</v>
      </c>
      <c r="Y3654">
        <v>-5.6825069999999998E-2</v>
      </c>
      <c r="Z3654">
        <v>-6.3196269999999896E-4</v>
      </c>
      <c r="AA3654">
        <v>0.99838389999999999</v>
      </c>
      <c r="AB3654">
        <v>29</v>
      </c>
      <c r="AC3654">
        <v>-124.105199999999</v>
      </c>
      <c r="AD3654">
        <v>-1.1213916178299901</v>
      </c>
      <c r="AE3654">
        <v>-7.4072000000000404</v>
      </c>
      <c r="AF3654">
        <v>-7.0751795507122797</v>
      </c>
      <c r="AG3654">
        <v>-1.1213916178299901</v>
      </c>
      <c r="AH3654">
        <v>124.11444066574801</v>
      </c>
      <c r="AI3654">
        <v>90.516822421098794</v>
      </c>
      <c r="AJ3654">
        <v>93.262631437393296</v>
      </c>
      <c r="AK3654">
        <v>124.32099608114</v>
      </c>
      <c r="AL3654">
        <v>80.117954225168106</v>
      </c>
      <c r="AM3654">
        <v>90.560666610479998</v>
      </c>
      <c r="AN3654">
        <v>1.0000000137160401</v>
      </c>
    </row>
    <row r="3655" spans="1:40" x14ac:dyDescent="0.25">
      <c r="A3655" t="str">
        <f>"20190303161945533"</f>
        <v>20190303161945533</v>
      </c>
      <c r="B3655" t="str">
        <f>"1551601185526420"</f>
        <v>1551601185526420</v>
      </c>
      <c r="C3655" t="s">
        <v>40</v>
      </c>
      <c r="D3655">
        <v>4.3423689999999997</v>
      </c>
      <c r="E3655">
        <v>0.47859669999999999</v>
      </c>
      <c r="F3655" t="s">
        <v>49</v>
      </c>
      <c r="G3655">
        <v>-502.98500000000001</v>
      </c>
      <c r="H3655">
        <v>8.0000479999999999E-2</v>
      </c>
      <c r="I3655">
        <v>275.58600000000001</v>
      </c>
      <c r="J3655">
        <v>-375.00979999999998</v>
      </c>
      <c r="K3655">
        <v>1.1213979999999999</v>
      </c>
      <c r="L3655">
        <v>283.8546</v>
      </c>
      <c r="M3655">
        <v>-0.99991379999999996</v>
      </c>
      <c r="N3655">
        <v>-1.28532E-2</v>
      </c>
      <c r="O3655">
        <v>-2.6695E-3</v>
      </c>
      <c r="P3655">
        <v>-0.98720399999999997</v>
      </c>
      <c r="Q3655">
        <v>0.15896299999999999</v>
      </c>
      <c r="R3655">
        <v>-1.261488E-2</v>
      </c>
      <c r="S3655">
        <v>-3.0404049999999998</v>
      </c>
      <c r="T3655">
        <v>-2.470899E-2</v>
      </c>
      <c r="U3655">
        <v>-0.1961975</v>
      </c>
      <c r="V3655">
        <v>-9.9722109999999999E-3</v>
      </c>
      <c r="W3655">
        <v>0.17163970000000001</v>
      </c>
      <c r="X3655">
        <v>0.98510929999999997</v>
      </c>
      <c r="Y3655">
        <v>-6.172648E-2</v>
      </c>
      <c r="Z3655">
        <v>-6.6030089999999896E-4</v>
      </c>
      <c r="AA3655">
        <v>0.99809289999999995</v>
      </c>
      <c r="AB3655">
        <v>29</v>
      </c>
      <c r="AC3655">
        <v>-127.9752</v>
      </c>
      <c r="AD3655">
        <v>-1.0413975200000001</v>
      </c>
      <c r="AE3655">
        <v>-8.2685999999999904</v>
      </c>
      <c r="AF3655">
        <v>-7.9263898090893896</v>
      </c>
      <c r="AG3655">
        <v>-1.0413975200000001</v>
      </c>
      <c r="AH3655">
        <v>127.988378779228</v>
      </c>
      <c r="AI3655">
        <v>90.465294409521107</v>
      </c>
      <c r="AJ3655">
        <v>93.543832704752603</v>
      </c>
      <c r="AK3655">
        <v>128.23781527589799</v>
      </c>
      <c r="AL3655">
        <v>80.116831447089695</v>
      </c>
      <c r="AM3655">
        <v>90.5799824315839</v>
      </c>
      <c r="AN3655">
        <v>0.99999998227740405</v>
      </c>
    </row>
    <row r="3656" spans="1:40" x14ac:dyDescent="0.25">
      <c r="A3656" t="str">
        <f>"20190303161945546"</f>
        <v>20190303161945546</v>
      </c>
      <c r="B3656" t="str">
        <f>"1551601185536180"</f>
        <v>1551601185536180</v>
      </c>
      <c r="C3656" t="s">
        <v>40</v>
      </c>
      <c r="D3656">
        <v>4.3384589999999896</v>
      </c>
      <c r="E3656">
        <v>0.47827760000000002</v>
      </c>
      <c r="F3656" t="s">
        <v>49</v>
      </c>
      <c r="G3656">
        <v>-499.95780000000002</v>
      </c>
      <c r="H3656">
        <v>2.2522569999999999E-2</v>
      </c>
      <c r="I3656">
        <v>275.26650000000001</v>
      </c>
      <c r="J3656">
        <v>-375.18119999999999</v>
      </c>
      <c r="K3656">
        <v>1.1213979999999999</v>
      </c>
      <c r="L3656">
        <v>283.85410000000002</v>
      </c>
      <c r="M3656">
        <v>-0.99991390000000002</v>
      </c>
      <c r="N3656">
        <v>-1.2851029999999999E-2</v>
      </c>
      <c r="O3656">
        <v>-2.6685229999999999E-3</v>
      </c>
      <c r="P3656">
        <v>-0.9871801</v>
      </c>
      <c r="Q3656">
        <v>0.15916640000000001</v>
      </c>
      <c r="R3656">
        <v>-1.1916929999999999E-2</v>
      </c>
      <c r="S3656">
        <v>-3.040527</v>
      </c>
      <c r="T3656">
        <v>-2.6740429999999999E-2</v>
      </c>
      <c r="U3656">
        <v>-0.20898439999999999</v>
      </c>
      <c r="V3656">
        <v>-9.2752589999999992E-3</v>
      </c>
      <c r="W3656">
        <v>0.1718402</v>
      </c>
      <c r="X3656">
        <v>0.98508119999999999</v>
      </c>
      <c r="Y3656">
        <v>-6.5902199999999994E-2</v>
      </c>
      <c r="Z3656">
        <v>-7.2425440000000005E-4</v>
      </c>
      <c r="AA3656">
        <v>0.99782579999999998</v>
      </c>
      <c r="AB3656">
        <v>29</v>
      </c>
      <c r="AC3656">
        <v>-124.7766</v>
      </c>
      <c r="AD3656">
        <v>-1.0988754300000001</v>
      </c>
      <c r="AE3656">
        <v>-8.5876000000000001</v>
      </c>
      <c r="AF3656">
        <v>-8.25393555975052</v>
      </c>
      <c r="AG3656">
        <v>-1.0988754300000001</v>
      </c>
      <c r="AH3656">
        <v>124.789440876556</v>
      </c>
      <c r="AI3656">
        <v>90.503424281098503</v>
      </c>
      <c r="AJ3656">
        <v>93.784196988044101</v>
      </c>
      <c r="AK3656">
        <v>125.06694021090701</v>
      </c>
      <c r="AL3656">
        <v>80.105170840522703</v>
      </c>
      <c r="AM3656">
        <v>90.539465670968099</v>
      </c>
      <c r="AN3656">
        <v>1.00000002767949</v>
      </c>
    </row>
    <row r="3657" spans="1:40" x14ac:dyDescent="0.25">
      <c r="A3657" t="str">
        <f>"20190303161945559"</f>
        <v>20190303161945559</v>
      </c>
      <c r="B3657" t="str">
        <f>"1551601185545941"</f>
        <v>1551601185545941</v>
      </c>
      <c r="C3657" t="s">
        <v>40</v>
      </c>
      <c r="D3657">
        <v>4.3088800000000003</v>
      </c>
      <c r="E3657">
        <v>0.4780218</v>
      </c>
      <c r="F3657" t="s">
        <v>49</v>
      </c>
      <c r="G3657">
        <v>-501.33879999999999</v>
      </c>
      <c r="H3657">
        <v>8.0001039999999995E-2</v>
      </c>
      <c r="I3657">
        <v>275.14839999999998</v>
      </c>
      <c r="J3657">
        <v>-375.35759999999999</v>
      </c>
      <c r="K3657">
        <v>1.121397</v>
      </c>
      <c r="L3657">
        <v>283.85359999999997</v>
      </c>
      <c r="M3657">
        <v>-0.99991390000000002</v>
      </c>
      <c r="N3657">
        <v>-1.284885E-2</v>
      </c>
      <c r="O3657">
        <v>-2.6674310000000001E-3</v>
      </c>
      <c r="P3657">
        <v>-0.98711249999999995</v>
      </c>
      <c r="Q3657">
        <v>0.1596311</v>
      </c>
      <c r="R3657">
        <v>-1.1274030000000001E-2</v>
      </c>
      <c r="S3657">
        <v>-3.0404360000000001</v>
      </c>
      <c r="T3657">
        <v>-2.5097970000000001E-2</v>
      </c>
      <c r="U3657">
        <v>-0.2098083</v>
      </c>
      <c r="V3657">
        <v>-8.6333780000000006E-3</v>
      </c>
      <c r="W3657">
        <v>0.17230200000000001</v>
      </c>
      <c r="X3657">
        <v>0.9850063</v>
      </c>
      <c r="Y3657">
        <v>-6.6175029999999996E-2</v>
      </c>
      <c r="Z3657">
        <v>-7.1072029999999997E-4</v>
      </c>
      <c r="AA3657">
        <v>0.99780780000000002</v>
      </c>
      <c r="AB3657">
        <v>29</v>
      </c>
      <c r="AC3657">
        <v>-125.9812</v>
      </c>
      <c r="AD3657">
        <v>-1.04139596</v>
      </c>
      <c r="AE3657">
        <v>-8.7051999999999907</v>
      </c>
      <c r="AF3657">
        <v>-8.3685260110080293</v>
      </c>
      <c r="AG3657">
        <v>-1.04139596</v>
      </c>
      <c r="AH3657">
        <v>125.995405642558</v>
      </c>
      <c r="AI3657">
        <v>90.472517744949002</v>
      </c>
      <c r="AJ3657">
        <v>93.799963962106403</v>
      </c>
      <c r="AK3657">
        <v>126.27730982316299</v>
      </c>
      <c r="AL3657">
        <v>80.078310372376905</v>
      </c>
      <c r="AM3657">
        <v>90.502172885759506</v>
      </c>
      <c r="AN3657">
        <v>0.99999996272968905</v>
      </c>
    </row>
    <row r="3658" spans="1:40" x14ac:dyDescent="0.25">
      <c r="A3658" t="str">
        <f>"20190303161945578"</f>
        <v>20190303161945578</v>
      </c>
      <c r="B3658" t="str">
        <f>"1551601185566435"</f>
        <v>1551601185566435</v>
      </c>
      <c r="C3658" t="s">
        <v>40</v>
      </c>
      <c r="D3658">
        <v>4.3215729999999999</v>
      </c>
      <c r="E3658">
        <v>0.47747729999999999</v>
      </c>
      <c r="F3658" t="s">
        <v>57</v>
      </c>
      <c r="G3658">
        <v>-512.8252</v>
      </c>
      <c r="H3658">
        <v>8.8732539999999999E-2</v>
      </c>
      <c r="I3658">
        <v>274.35109999999997</v>
      </c>
      <c r="J3658">
        <v>-375.5924</v>
      </c>
      <c r="K3658">
        <v>1.1214029999999999</v>
      </c>
      <c r="L3658">
        <v>283.85300000000001</v>
      </c>
      <c r="M3658">
        <v>-0.99991390000000002</v>
      </c>
      <c r="N3658">
        <v>-1.284603E-2</v>
      </c>
      <c r="O3658">
        <v>-2.6663360000000001E-3</v>
      </c>
      <c r="P3658">
        <v>-0.98719259999999998</v>
      </c>
      <c r="Q3658">
        <v>0.15923870000000001</v>
      </c>
      <c r="R3658">
        <v>-9.6736419999999997E-3</v>
      </c>
      <c r="S3658">
        <v>-3.0404659999999999</v>
      </c>
      <c r="T3658">
        <v>-2.283835E-2</v>
      </c>
      <c r="U3658">
        <v>-0.21017459999999999</v>
      </c>
      <c r="V3658">
        <v>-7.0341020000000004E-3</v>
      </c>
      <c r="W3658">
        <v>0.17190739999999999</v>
      </c>
      <c r="X3658">
        <v>0.98508799999999996</v>
      </c>
      <c r="Y3658">
        <v>-6.6295729999999997E-2</v>
      </c>
      <c r="Z3658">
        <v>-6.8925859999999998E-4</v>
      </c>
      <c r="AA3658">
        <v>0.99779980000000001</v>
      </c>
      <c r="AB3658">
        <v>29</v>
      </c>
      <c r="AC3658">
        <v>-137.2328</v>
      </c>
      <c r="AD3658">
        <v>-1.0326704600000001</v>
      </c>
      <c r="AE3658">
        <v>-9.5019000000000293</v>
      </c>
      <c r="AF3658">
        <v>-9.1354124327850599</v>
      </c>
      <c r="AG3658">
        <v>-1.0326704600000001</v>
      </c>
      <c r="AH3658">
        <v>137.24991476446499</v>
      </c>
      <c r="AI3658">
        <v>90.430134466322201</v>
      </c>
      <c r="AJ3658">
        <v>93.808014433403699</v>
      </c>
      <c r="AK3658">
        <v>137.55748351670599</v>
      </c>
      <c r="AL3658">
        <v>80.101262128488301</v>
      </c>
      <c r="AM3658">
        <v>90.409118279466696</v>
      </c>
      <c r="AN3658">
        <v>1.0000000002548499</v>
      </c>
    </row>
    <row r="3659" spans="1:40" x14ac:dyDescent="0.25">
      <c r="A3659" t="str">
        <f>"20190303161945591"</f>
        <v>20190303161945591</v>
      </c>
      <c r="B3659" t="str">
        <f>"1551601185585956"</f>
        <v>1551601185585956</v>
      </c>
      <c r="C3659" t="s">
        <v>40</v>
      </c>
      <c r="D3659">
        <v>4.2960330000000004</v>
      </c>
      <c r="E3659">
        <v>0.47702640000000002</v>
      </c>
      <c r="F3659" t="s">
        <v>49</v>
      </c>
      <c r="G3659">
        <v>-503.69229999999999</v>
      </c>
      <c r="H3659">
        <v>8.0000370000000001E-2</v>
      </c>
      <c r="I3659">
        <v>275.01459999999997</v>
      </c>
      <c r="J3659">
        <v>-375.76499999999999</v>
      </c>
      <c r="K3659">
        <v>1.121405</v>
      </c>
      <c r="L3659">
        <v>283.85250000000002</v>
      </c>
      <c r="M3659">
        <v>-0.99991410000000003</v>
      </c>
      <c r="N3659">
        <v>-1.2844E-2</v>
      </c>
      <c r="O3659">
        <v>-2.6657260000000002E-3</v>
      </c>
      <c r="P3659">
        <v>-0.98724259999999997</v>
      </c>
      <c r="Q3659">
        <v>0.1589718</v>
      </c>
      <c r="R3659">
        <v>-8.9744760000000003E-3</v>
      </c>
      <c r="S3659">
        <v>-3.0408629999999999</v>
      </c>
      <c r="T3659">
        <v>-2.4721030000000001E-2</v>
      </c>
      <c r="U3659">
        <v>-0.2098083</v>
      </c>
      <c r="V3659">
        <v>-6.3349799999999996E-3</v>
      </c>
      <c r="W3659">
        <v>0.17163970000000001</v>
      </c>
      <c r="X3659">
        <v>0.9851394</v>
      </c>
      <c r="Y3659">
        <v>-6.6167219999999999E-2</v>
      </c>
      <c r="Z3659">
        <v>-7.0665479999999998E-4</v>
      </c>
      <c r="AA3659">
        <v>0.99780829999999998</v>
      </c>
      <c r="AB3659">
        <v>29</v>
      </c>
      <c r="AC3659">
        <v>-127.9273</v>
      </c>
      <c r="AD3659">
        <v>-1.0414046299999999</v>
      </c>
      <c r="AE3659">
        <v>-8.8379000000000403</v>
      </c>
      <c r="AF3659">
        <v>-8.4962610125124201</v>
      </c>
      <c r="AG3659">
        <v>-1.0414046299999999</v>
      </c>
      <c r="AH3659">
        <v>127.941968399229</v>
      </c>
      <c r="AI3659">
        <v>90.465333228042596</v>
      </c>
      <c r="AJ3659">
        <v>93.799270951424802</v>
      </c>
      <c r="AK3659">
        <v>128.22799324899901</v>
      </c>
      <c r="AL3659">
        <v>80.116831404491194</v>
      </c>
      <c r="AM3659">
        <v>90.368437821382798</v>
      </c>
      <c r="AN3659">
        <v>0.99999997801002405</v>
      </c>
    </row>
    <row r="3660" spans="1:40" x14ac:dyDescent="0.25">
      <c r="A3660" t="str">
        <f>"20190303161945612"</f>
        <v>20190303161945612</v>
      </c>
      <c r="B3660" t="str">
        <f>"1551601185606453"</f>
        <v>1551601185606453</v>
      </c>
      <c r="C3660" t="s">
        <v>40</v>
      </c>
      <c r="D3660">
        <v>4.345917</v>
      </c>
      <c r="E3660">
        <v>0.47682010000000002</v>
      </c>
      <c r="F3660" t="s">
        <v>49</v>
      </c>
      <c r="G3660">
        <v>-500.85930000000002</v>
      </c>
      <c r="H3660">
        <v>8.0001180000000005E-2</v>
      </c>
      <c r="I3660">
        <v>275.15390000000002</v>
      </c>
      <c r="J3660">
        <v>-376.0299</v>
      </c>
      <c r="K3660">
        <v>1.121405</v>
      </c>
      <c r="L3660">
        <v>283.85180000000003</v>
      </c>
      <c r="M3660">
        <v>-0.99991410000000003</v>
      </c>
      <c r="N3660">
        <v>-1.284099E-2</v>
      </c>
      <c r="O3660">
        <v>-2.665232E-3</v>
      </c>
      <c r="P3660">
        <v>-0.98741570000000001</v>
      </c>
      <c r="Q3660">
        <v>0.1579942</v>
      </c>
      <c r="R3660">
        <v>-6.9477260000000004E-3</v>
      </c>
      <c r="S3660">
        <v>-3.040924</v>
      </c>
      <c r="T3660">
        <v>-2.5315520000000001E-2</v>
      </c>
      <c r="U3660">
        <v>-0.21145630000000001</v>
      </c>
      <c r="V3660">
        <v>-4.3087330000000004E-3</v>
      </c>
      <c r="W3660">
        <v>0.17066099999999901</v>
      </c>
      <c r="X3660">
        <v>0.98532039999999999</v>
      </c>
      <c r="Y3660">
        <v>-6.6704250000000007E-2</v>
      </c>
      <c r="Z3660">
        <v>-7.1816719999999998E-4</v>
      </c>
      <c r="AA3660">
        <v>0.99777249999999995</v>
      </c>
      <c r="AB3660">
        <v>29</v>
      </c>
      <c r="AC3660">
        <v>-124.82940000000001</v>
      </c>
      <c r="AD3660">
        <v>-1.04140382</v>
      </c>
      <c r="AE3660">
        <v>-8.6979000000000006</v>
      </c>
      <c r="AF3660">
        <v>-8.3645630369476702</v>
      </c>
      <c r="AG3660">
        <v>-1.04140382</v>
      </c>
      <c r="AH3660">
        <v>124.843493364568</v>
      </c>
      <c r="AI3660">
        <v>90.476862591177195</v>
      </c>
      <c r="AJ3660">
        <v>93.833110878218406</v>
      </c>
      <c r="AK3660">
        <v>125.127727831142</v>
      </c>
      <c r="AL3660">
        <v>80.173746956192105</v>
      </c>
      <c r="AM3660">
        <v>90.250548595526595</v>
      </c>
      <c r="AN3660">
        <v>1.00000001637861</v>
      </c>
    </row>
    <row r="3661" spans="1:40" x14ac:dyDescent="0.25">
      <c r="A3661" t="str">
        <f>"20190303161945627"</f>
        <v>20190303161945627</v>
      </c>
      <c r="B3661" t="str">
        <f>"1551601185616212"</f>
        <v>1551601185616212</v>
      </c>
      <c r="C3661" t="s">
        <v>40</v>
      </c>
      <c r="D3661">
        <v>4.3299880000000002</v>
      </c>
      <c r="E3661">
        <v>0.47676299999999999</v>
      </c>
      <c r="F3661" t="s">
        <v>49</v>
      </c>
      <c r="G3661">
        <v>-499.77800000000002</v>
      </c>
      <c r="H3661" s="1">
        <v>1.058602E-6</v>
      </c>
      <c r="I3661">
        <v>275.4461</v>
      </c>
      <c r="J3661">
        <v>-376.22980000000001</v>
      </c>
      <c r="K3661">
        <v>1.121405</v>
      </c>
      <c r="L3661">
        <v>283.85129999999998</v>
      </c>
      <c r="M3661">
        <v>-0.99991419999999998</v>
      </c>
      <c r="N3661">
        <v>-1.2838779999999999E-2</v>
      </c>
      <c r="O3661">
        <v>-2.6648639999999999E-3</v>
      </c>
      <c r="P3661">
        <v>-0.98749010000000004</v>
      </c>
      <c r="Q3661">
        <v>0.15756389999999901</v>
      </c>
      <c r="R3661">
        <v>-6.0882530000000001E-3</v>
      </c>
      <c r="S3661">
        <v>-3.0411679999999999</v>
      </c>
      <c r="T3661">
        <v>-2.755904E-2</v>
      </c>
      <c r="U3661">
        <v>-0.20657349999999999</v>
      </c>
      <c r="V3661">
        <v>-3.4491909999999999E-3</v>
      </c>
      <c r="W3661">
        <v>0.1702292</v>
      </c>
      <c r="X3661">
        <v>0.98539849999999996</v>
      </c>
      <c r="Y3661">
        <v>-6.5103919999999996E-2</v>
      </c>
      <c r="Z3661">
        <v>-7.2314280000000002E-4</v>
      </c>
      <c r="AA3661">
        <v>0.9978783</v>
      </c>
      <c r="AB3661">
        <v>29</v>
      </c>
      <c r="AC3661">
        <v>-123.54819999999999</v>
      </c>
      <c r="AD3661">
        <v>-1.1214039413979999</v>
      </c>
      <c r="AE3661">
        <v>-8.4051999999999794</v>
      </c>
      <c r="AF3661">
        <v>-8.0752416993480196</v>
      </c>
      <c r="AG3661">
        <v>-1.1214039413979999</v>
      </c>
      <c r="AH3661">
        <v>123.560029125615</v>
      </c>
      <c r="AI3661">
        <v>90.518882854303499</v>
      </c>
      <c r="AJ3661">
        <v>93.739236850114807</v>
      </c>
      <c r="AK3661">
        <v>123.82870375169701</v>
      </c>
      <c r="AL3661">
        <v>80.198854910398595</v>
      </c>
      <c r="AM3661">
        <v>90.200551634629804</v>
      </c>
      <c r="AN3661">
        <v>1.00000004062672</v>
      </c>
    </row>
    <row r="3662" spans="1:40" x14ac:dyDescent="0.25">
      <c r="A3662" t="str">
        <f>"20190303161945644"</f>
        <v>20190303161945644</v>
      </c>
      <c r="B3662" t="str">
        <f>"1551601185635731"</f>
        <v>1551601185635731</v>
      </c>
      <c r="C3662" t="s">
        <v>40</v>
      </c>
      <c r="D3662">
        <v>4.3520240000000001</v>
      </c>
      <c r="E3662">
        <v>0.47657880000000002</v>
      </c>
      <c r="F3662" t="s">
        <v>49</v>
      </c>
      <c r="G3662">
        <v>-495.4579</v>
      </c>
      <c r="H3662" s="1">
        <v>1.7115240000000001E-6</v>
      </c>
      <c r="I3662">
        <v>275.83800000000002</v>
      </c>
      <c r="J3662">
        <v>-376.45249999999999</v>
      </c>
      <c r="K3662">
        <v>1.121399</v>
      </c>
      <c r="L3662">
        <v>283.85059999999999</v>
      </c>
      <c r="M3662">
        <v>-0.99991410000000003</v>
      </c>
      <c r="N3662">
        <v>-1.283638E-2</v>
      </c>
      <c r="O3662">
        <v>-2.664497E-3</v>
      </c>
      <c r="P3662">
        <v>-0.98756699999999997</v>
      </c>
      <c r="Q3662">
        <v>0.15712219999999999</v>
      </c>
      <c r="R3662">
        <v>-4.9146509999999999E-3</v>
      </c>
      <c r="S3662">
        <v>-3.0413209999999999</v>
      </c>
      <c r="T3662">
        <v>-2.8605220000000001E-2</v>
      </c>
      <c r="U3662">
        <v>-0.2044067</v>
      </c>
      <c r="V3662">
        <v>-2.2760889999999998E-3</v>
      </c>
      <c r="W3662">
        <v>0.1697862</v>
      </c>
      <c r="X3662">
        <v>0.98547830000000003</v>
      </c>
      <c r="Y3662">
        <v>-6.4392909999999998E-2</v>
      </c>
      <c r="Z3662">
        <v>-7.254017E-4</v>
      </c>
      <c r="AA3662">
        <v>0.99792440000000004</v>
      </c>
      <c r="AB3662">
        <v>29</v>
      </c>
      <c r="AC3662">
        <v>-119.00539999999999</v>
      </c>
      <c r="AD3662">
        <v>-1.121397288476</v>
      </c>
      <c r="AE3662">
        <v>-8.0126000000000097</v>
      </c>
      <c r="AF3662">
        <v>-7.6947757368972303</v>
      </c>
      <c r="AG3662">
        <v>-1.121397288476</v>
      </c>
      <c r="AH3662">
        <v>119.01580854641099</v>
      </c>
      <c r="AI3662">
        <v>90.5387147760609</v>
      </c>
      <c r="AJ3662">
        <v>93.699217912848496</v>
      </c>
      <c r="AK3662">
        <v>119.26956774247</v>
      </c>
      <c r="AL3662">
        <v>80.224611559481104</v>
      </c>
      <c r="AM3662">
        <v>90.132331743490099</v>
      </c>
      <c r="AN3662">
        <v>1.00000000703123</v>
      </c>
    </row>
    <row r="3663" spans="1:40" x14ac:dyDescent="0.25">
      <c r="A3663" t="str">
        <f>"20190303161945658"</f>
        <v>20190303161945658</v>
      </c>
      <c r="B3663" t="str">
        <f>"1551601185646467"</f>
        <v>1551601185646467</v>
      </c>
      <c r="C3663" t="s">
        <v>40</v>
      </c>
      <c r="D3663">
        <v>4.3324980000000002</v>
      </c>
      <c r="E3663">
        <v>0.47643200000000002</v>
      </c>
      <c r="F3663" t="s">
        <v>49</v>
      </c>
      <c r="G3663">
        <v>-491.90699999999998</v>
      </c>
      <c r="H3663" s="1">
        <v>2.141009E-6</v>
      </c>
      <c r="I3663">
        <v>276.16199999999998</v>
      </c>
      <c r="J3663">
        <v>-376.62029999999999</v>
      </c>
      <c r="K3663">
        <v>1.121397</v>
      </c>
      <c r="L3663">
        <v>283.85019999999997</v>
      </c>
      <c r="M3663">
        <v>-0.99991410000000003</v>
      </c>
      <c r="N3663">
        <v>-1.283462E-2</v>
      </c>
      <c r="O3663">
        <v>-2.6643700000000001E-3</v>
      </c>
      <c r="P3663">
        <v>-0.98762450000000002</v>
      </c>
      <c r="Q3663">
        <v>0.15676119999999999</v>
      </c>
      <c r="R3663">
        <v>-4.8745719999999998E-3</v>
      </c>
      <c r="S3663">
        <v>-3.0414729999999999</v>
      </c>
      <c r="T3663">
        <v>-2.954149E-2</v>
      </c>
      <c r="U3663">
        <v>-0.20254520000000001</v>
      </c>
      <c r="V3663">
        <v>-2.236287E-3</v>
      </c>
      <c r="W3663">
        <v>0.1694243</v>
      </c>
      <c r="X3663">
        <v>0.98554070000000005</v>
      </c>
      <c r="Y3663">
        <v>-6.3781359999999995E-2</v>
      </c>
      <c r="Z3663">
        <v>-7.2750929999999998E-4</v>
      </c>
      <c r="AA3663">
        <v>0.99796359999999995</v>
      </c>
      <c r="AB3663">
        <v>29</v>
      </c>
      <c r="AC3663">
        <v>-115.2867</v>
      </c>
      <c r="AD3663">
        <v>-1.1213948589910001</v>
      </c>
      <c r="AE3663">
        <v>-7.68819999999993</v>
      </c>
      <c r="AF3663">
        <v>-7.3802857925194898</v>
      </c>
      <c r="AG3663">
        <v>-1.1213948589910001</v>
      </c>
      <c r="AH3663">
        <v>115.29591623387</v>
      </c>
      <c r="AI3663">
        <v>90.556116381208199</v>
      </c>
      <c r="AJ3663">
        <v>93.6626023059044</v>
      </c>
      <c r="AK3663">
        <v>115.537329227469</v>
      </c>
      <c r="AL3663">
        <v>80.245651985018</v>
      </c>
      <c r="AM3663">
        <v>90.130009432361106</v>
      </c>
      <c r="AN3663">
        <v>1.0000000328832599</v>
      </c>
    </row>
    <row r="3664" spans="1:40" x14ac:dyDescent="0.25">
      <c r="A3664" t="str">
        <f>"20190303161945670"</f>
        <v>20190303161945670</v>
      </c>
      <c r="B3664" t="str">
        <f>"1551601185665897"</f>
        <v>1551601185665897</v>
      </c>
      <c r="C3664" t="s">
        <v>40</v>
      </c>
      <c r="D3664">
        <v>4.2848569999999997</v>
      </c>
      <c r="E3664">
        <v>0.47633789999999998</v>
      </c>
      <c r="F3664" t="s">
        <v>49</v>
      </c>
      <c r="G3664">
        <v>-488.38420000000002</v>
      </c>
      <c r="H3664" s="1">
        <v>2.1095739999999998E-6</v>
      </c>
      <c r="I3664">
        <v>276.37369999999999</v>
      </c>
      <c r="J3664">
        <v>-376.7885</v>
      </c>
      <c r="K3664">
        <v>1.1213869999999999</v>
      </c>
      <c r="L3664">
        <v>283.84980000000002</v>
      </c>
      <c r="M3664">
        <v>-0.99991410000000003</v>
      </c>
      <c r="N3664">
        <v>-1.283287E-2</v>
      </c>
      <c r="O3664">
        <v>-2.6640050000000001E-3</v>
      </c>
      <c r="P3664">
        <v>-0.9876819</v>
      </c>
      <c r="Q3664">
        <v>0.156388</v>
      </c>
      <c r="R3664">
        <v>-5.2494019999999898E-3</v>
      </c>
      <c r="S3664">
        <v>-3.0414430000000001</v>
      </c>
      <c r="T3664">
        <v>-3.0516620000000001E-2</v>
      </c>
      <c r="U3664">
        <v>-0.20346069999999999</v>
      </c>
      <c r="V3664">
        <v>-2.6110019999999999E-3</v>
      </c>
      <c r="W3664">
        <v>0.16905020000000001</v>
      </c>
      <c r="X3664">
        <v>0.98560400000000004</v>
      </c>
      <c r="Y3664">
        <v>-6.4081100000000002E-2</v>
      </c>
      <c r="Z3664">
        <v>-7.4023950000000002E-4</v>
      </c>
      <c r="AA3664">
        <v>0.99794439999999995</v>
      </c>
      <c r="AB3664">
        <v>29</v>
      </c>
      <c r="AC3664">
        <v>-111.59569999999999</v>
      </c>
      <c r="AD3664">
        <v>-1.121384890426</v>
      </c>
      <c r="AE3664">
        <v>-7.4761000000000299</v>
      </c>
      <c r="AF3664">
        <v>-7.1780359150074897</v>
      </c>
      <c r="AG3664">
        <v>-1.121384890426</v>
      </c>
      <c r="AH3664">
        <v>111.604003069491</v>
      </c>
      <c r="AI3664">
        <v>90.574495445626994</v>
      </c>
      <c r="AJ3664">
        <v>93.680024519225796</v>
      </c>
      <c r="AK3664">
        <v>111.84022176661</v>
      </c>
      <c r="AL3664">
        <v>80.267399879273896</v>
      </c>
      <c r="AM3664">
        <v>90.151784129266801</v>
      </c>
      <c r="AN3664">
        <v>1.0000000161337399</v>
      </c>
    </row>
    <row r="3665" spans="1:40" x14ac:dyDescent="0.25">
      <c r="A3665" t="str">
        <f>"20190303161945682"</f>
        <v>20190303161945682</v>
      </c>
      <c r="B3665" t="str">
        <f>"1551601185675658"</f>
        <v>1551601185675658</v>
      </c>
      <c r="C3665" t="s">
        <v>40</v>
      </c>
      <c r="D3665">
        <v>4.2806989999999896</v>
      </c>
      <c r="E3665">
        <v>0.47628419999999999</v>
      </c>
      <c r="F3665" t="s">
        <v>52</v>
      </c>
      <c r="G3665">
        <v>-464.60219999999998</v>
      </c>
      <c r="H3665">
        <v>8.0000409999999994E-2</v>
      </c>
      <c r="I3665">
        <v>277.92809999999997</v>
      </c>
      <c r="J3665">
        <v>-376.9502</v>
      </c>
      <c r="K3665">
        <v>1.121386</v>
      </c>
      <c r="L3665">
        <v>283.84930000000003</v>
      </c>
      <c r="M3665">
        <v>-0.99991430000000003</v>
      </c>
      <c r="N3665">
        <v>-1.2831220000000001E-2</v>
      </c>
      <c r="O3665">
        <v>-2.664235E-3</v>
      </c>
      <c r="P3665">
        <v>-0.98770630000000004</v>
      </c>
      <c r="Q3665">
        <v>0.15622610000000001</v>
      </c>
      <c r="R3665">
        <v>-5.5114439999999999E-3</v>
      </c>
      <c r="S3665">
        <v>-3.0420229999999999</v>
      </c>
      <c r="T3665">
        <v>-3.6075469999999998E-2</v>
      </c>
      <c r="U3665">
        <v>-0.20513919999999999</v>
      </c>
      <c r="V3665">
        <v>-2.8728579999999998E-3</v>
      </c>
      <c r="W3665">
        <v>0.16888710000000001</v>
      </c>
      <c r="X3665">
        <v>0.98563120000000004</v>
      </c>
      <c r="Y3665">
        <v>-6.4614210000000005E-2</v>
      </c>
      <c r="Z3665">
        <v>-8.0033179999999902E-4</v>
      </c>
      <c r="AA3665">
        <v>0.99790999999999996</v>
      </c>
      <c r="AB3665">
        <v>29</v>
      </c>
      <c r="AC3665">
        <v>-87.651999999999902</v>
      </c>
      <c r="AD3665">
        <v>-1.04138559</v>
      </c>
      <c r="AE3665">
        <v>-5.9212000000000504</v>
      </c>
      <c r="AF3665">
        <v>-5.6868351851330399</v>
      </c>
      <c r="AG3665">
        <v>-1.04138559</v>
      </c>
      <c r="AH3665">
        <v>87.655148783146302</v>
      </c>
      <c r="AI3665">
        <v>90.679241713086896</v>
      </c>
      <c r="AJ3665">
        <v>93.711997078963805</v>
      </c>
      <c r="AK3665">
        <v>87.845601407045194</v>
      </c>
      <c r="AL3665">
        <v>80.276880833757104</v>
      </c>
      <c r="AM3665">
        <v>90.167001787691206</v>
      </c>
      <c r="AN3665">
        <v>0.99999998413646896</v>
      </c>
    </row>
    <row r="3666" spans="1:40" x14ac:dyDescent="0.25">
      <c r="A3666" t="str">
        <f>"20190303161945696"</f>
        <v>20190303161945696</v>
      </c>
      <c r="B3666" t="str">
        <f>"1551601185686394"</f>
        <v>1551601185686394</v>
      </c>
      <c r="C3666" t="s">
        <v>40</v>
      </c>
      <c r="D3666">
        <v>4.2871800000000002</v>
      </c>
      <c r="E3666">
        <v>0.47622930000000002</v>
      </c>
      <c r="F3666" t="s">
        <v>52</v>
      </c>
      <c r="G3666">
        <v>-458.30410000000001</v>
      </c>
      <c r="H3666">
        <v>8.0000769999999999E-2</v>
      </c>
      <c r="I3666">
        <v>278.3279</v>
      </c>
      <c r="J3666">
        <v>-377.1173</v>
      </c>
      <c r="K3666">
        <v>1.1213839999999999</v>
      </c>
      <c r="L3666">
        <v>283.84879999999998</v>
      </c>
      <c r="M3666">
        <v>-0.99991419999999998</v>
      </c>
      <c r="N3666">
        <v>-1.282954E-2</v>
      </c>
      <c r="O3666">
        <v>-2.6642269999999999E-3</v>
      </c>
      <c r="P3666">
        <v>-0.9877011</v>
      </c>
      <c r="Q3666">
        <v>0.15622800000000001</v>
      </c>
      <c r="R3666">
        <v>-6.298288E-3</v>
      </c>
      <c r="S3666">
        <v>-3.0423580000000001</v>
      </c>
      <c r="T3666">
        <v>-3.8944239999999998E-2</v>
      </c>
      <c r="U3666">
        <v>-0.2064819</v>
      </c>
      <c r="V3666">
        <v>-3.6596129999999999E-3</v>
      </c>
      <c r="W3666">
        <v>0.16888710000000001</v>
      </c>
      <c r="X3666">
        <v>0.98562859999999997</v>
      </c>
      <c r="Y3666">
        <v>-6.5044060000000001E-2</v>
      </c>
      <c r="Z3666">
        <v>-8.3366339999999895E-4</v>
      </c>
      <c r="AA3666">
        <v>0.99788209999999999</v>
      </c>
      <c r="AB3666">
        <v>29</v>
      </c>
      <c r="AC3666">
        <v>-81.186800000000005</v>
      </c>
      <c r="AD3666">
        <v>-1.0413832300000001</v>
      </c>
      <c r="AE3666">
        <v>-5.5208999999999797</v>
      </c>
      <c r="AF3666">
        <v>-5.30369393539159</v>
      </c>
      <c r="AG3666">
        <v>-1.0413832300000001</v>
      </c>
      <c r="AH3666">
        <v>81.187925434391701</v>
      </c>
      <c r="AI3666">
        <v>90.733319692806305</v>
      </c>
      <c r="AJ3666">
        <v>93.737601514084105</v>
      </c>
      <c r="AK3666">
        <v>81.367640279981003</v>
      </c>
      <c r="AL3666">
        <v>80.276880903357295</v>
      </c>
      <c r="AM3666">
        <v>90.212736740792394</v>
      </c>
      <c r="AN3666">
        <v>0.99999999122583905</v>
      </c>
    </row>
    <row r="3667" spans="1:40" x14ac:dyDescent="0.25">
      <c r="A3667" t="str">
        <f>"20190303161945711"</f>
        <v>20190303161945711</v>
      </c>
      <c r="B3667" t="str">
        <f>"1551601185705913"</f>
        <v>1551601185705913</v>
      </c>
      <c r="C3667" t="s">
        <v>40</v>
      </c>
      <c r="D3667">
        <v>4.3677950000000001</v>
      </c>
      <c r="E3667">
        <v>0.47584759999999998</v>
      </c>
      <c r="F3667" t="s">
        <v>52</v>
      </c>
      <c r="G3667">
        <v>-455.00069999999999</v>
      </c>
      <c r="H3667">
        <v>8.0001729999999993E-2</v>
      </c>
      <c r="I3667">
        <v>278.4905</v>
      </c>
      <c r="J3667">
        <v>-377.31790000000001</v>
      </c>
      <c r="K3667">
        <v>1.121386</v>
      </c>
      <c r="L3667">
        <v>283.84829999999999</v>
      </c>
      <c r="M3667">
        <v>-0.99991419999999998</v>
      </c>
      <c r="N3667">
        <v>-1.282755E-2</v>
      </c>
      <c r="O3667">
        <v>-2.6643349999999999E-3</v>
      </c>
      <c r="P3667">
        <v>-0.987738</v>
      </c>
      <c r="Q3667">
        <v>0.15594140000000001</v>
      </c>
      <c r="R3667">
        <v>-7.4871449999999997E-3</v>
      </c>
      <c r="S3667">
        <v>-3.0424500000000001</v>
      </c>
      <c r="T3667">
        <v>-4.0680769999999998E-2</v>
      </c>
      <c r="U3667">
        <v>-0.20932010000000001</v>
      </c>
      <c r="V3667">
        <v>-4.8484419999999997E-3</v>
      </c>
      <c r="W3667">
        <v>0.16859950000000001</v>
      </c>
      <c r="X3667">
        <v>0.98567269999999896</v>
      </c>
      <c r="Y3667">
        <v>-6.5967540000000005E-2</v>
      </c>
      <c r="Z3667">
        <v>-8.6270070000000001E-4</v>
      </c>
      <c r="AA3667">
        <v>0.99782139999999997</v>
      </c>
      <c r="AB3667">
        <v>29</v>
      </c>
      <c r="AC3667">
        <v>-77.682799999999901</v>
      </c>
      <c r="AD3667">
        <v>-1.04138427</v>
      </c>
      <c r="AE3667">
        <v>-5.3577999999999903</v>
      </c>
      <c r="AF3667">
        <v>-5.1498698506211502</v>
      </c>
      <c r="AG3667">
        <v>-1.04138427</v>
      </c>
      <c r="AH3667">
        <v>77.682906077049097</v>
      </c>
      <c r="AI3667">
        <v>90.766355094711002</v>
      </c>
      <c r="AJ3667">
        <v>93.792786655591598</v>
      </c>
      <c r="AK3667">
        <v>77.860384903054396</v>
      </c>
      <c r="AL3667">
        <v>80.2935988459014</v>
      </c>
      <c r="AM3667">
        <v>90.281830899200997</v>
      </c>
      <c r="AN3667">
        <v>0.99999998515768296</v>
      </c>
    </row>
    <row r="3668" spans="1:40" x14ac:dyDescent="0.25">
      <c r="A3668" t="str">
        <f>"20190303161945724"</f>
        <v>20190303161945724</v>
      </c>
      <c r="B3668" t="str">
        <f>"1551601185716649"</f>
        <v>1551601185716649</v>
      </c>
      <c r="C3668" t="s">
        <v>40</v>
      </c>
      <c r="D3668">
        <v>4.2709669999999997</v>
      </c>
      <c r="E3668">
        <v>0.47576449999999998</v>
      </c>
      <c r="F3668" t="s">
        <v>52</v>
      </c>
      <c r="G3668">
        <v>-450.12060000000002</v>
      </c>
      <c r="H3668">
        <v>8.000169E-2</v>
      </c>
      <c r="I3668">
        <v>278.68770000000001</v>
      </c>
      <c r="J3668">
        <v>-377.48739999999998</v>
      </c>
      <c r="K3668">
        <v>1.121386</v>
      </c>
      <c r="L3668">
        <v>283.84780000000001</v>
      </c>
      <c r="M3668">
        <v>-0.99991419999999998</v>
      </c>
      <c r="N3668">
        <v>-1.282589E-2</v>
      </c>
      <c r="O3668">
        <v>-2.6644450000000001E-3</v>
      </c>
      <c r="P3668">
        <v>-0.98771920000000002</v>
      </c>
      <c r="Q3668">
        <v>0.15605150000000001</v>
      </c>
      <c r="R3668">
        <v>-7.6728550000000001E-3</v>
      </c>
      <c r="S3668">
        <v>-3.0424799999999999</v>
      </c>
      <c r="T3668">
        <v>-4.3520209999999997E-2</v>
      </c>
      <c r="U3668">
        <v>-0.21566769999999999</v>
      </c>
      <c r="V3668">
        <v>-5.0340009999999998E-3</v>
      </c>
      <c r="W3668">
        <v>0.16870760000000001</v>
      </c>
      <c r="X3668">
        <v>0.98565329999999995</v>
      </c>
      <c r="Y3668">
        <v>-6.8036659999999999E-2</v>
      </c>
      <c r="Z3668">
        <v>-9.1896320000000003E-4</v>
      </c>
      <c r="AA3668">
        <v>0.99768239999999997</v>
      </c>
      <c r="AB3668">
        <v>29</v>
      </c>
      <c r="AC3668">
        <v>-72.633200000000002</v>
      </c>
      <c r="AD3668">
        <v>-1.04138431</v>
      </c>
      <c r="AE3668">
        <v>-5.1600999999999999</v>
      </c>
      <c r="AF3668">
        <v>-4.9655229772752003</v>
      </c>
      <c r="AG3668">
        <v>-1.04138431</v>
      </c>
      <c r="AH3668">
        <v>72.631836397739605</v>
      </c>
      <c r="AI3668">
        <v>90.819529265529894</v>
      </c>
      <c r="AJ3668">
        <v>93.910977873937</v>
      </c>
      <c r="AK3668">
        <v>72.808821980766695</v>
      </c>
      <c r="AL3668">
        <v>80.287315420348193</v>
      </c>
      <c r="AM3668">
        <v>90.292622673311001</v>
      </c>
      <c r="AN3668">
        <v>1.00000001163235</v>
      </c>
    </row>
    <row r="3669" spans="1:40" x14ac:dyDescent="0.25">
      <c r="A3669" t="str">
        <f>"20190303161945739"</f>
        <v>20190303161945739</v>
      </c>
      <c r="B3669" t="str">
        <f>"1551601185736169"</f>
        <v>1551601185736169</v>
      </c>
      <c r="C3669" t="s">
        <v>40</v>
      </c>
      <c r="D3669">
        <v>4.3288960000000003</v>
      </c>
      <c r="E3669">
        <v>0.47541509999999998</v>
      </c>
      <c r="F3669" t="s">
        <v>52</v>
      </c>
      <c r="G3669">
        <v>-447.70089999999999</v>
      </c>
      <c r="H3669">
        <v>8.0000920000000003E-2</v>
      </c>
      <c r="I3669">
        <v>278.83600000000001</v>
      </c>
      <c r="J3669">
        <v>-377.67500000000001</v>
      </c>
      <c r="K3669">
        <v>1.121389</v>
      </c>
      <c r="L3669">
        <v>283.84739999999999</v>
      </c>
      <c r="M3669">
        <v>-0.99991430000000003</v>
      </c>
      <c r="N3669">
        <v>-1.282406E-2</v>
      </c>
      <c r="O3669">
        <v>-2.6646719999999999E-3</v>
      </c>
      <c r="P3669">
        <v>-0.98772789999999999</v>
      </c>
      <c r="Q3669">
        <v>0.15599370000000001</v>
      </c>
      <c r="R3669">
        <v>-7.747416E-3</v>
      </c>
      <c r="S3669">
        <v>-3.042786</v>
      </c>
      <c r="T3669">
        <v>-4.5129660000000002E-2</v>
      </c>
      <c r="U3669">
        <v>-0.21719359999999999</v>
      </c>
      <c r="V3669">
        <v>-5.1087809999999997E-3</v>
      </c>
      <c r="W3669">
        <v>0.1686483</v>
      </c>
      <c r="X3669">
        <v>0.98566310000000001</v>
      </c>
      <c r="Y3669">
        <v>-6.8526320000000002E-2</v>
      </c>
      <c r="Z3669">
        <v>-9.421834E-4</v>
      </c>
      <c r="AA3669">
        <v>0.9976488</v>
      </c>
      <c r="AB3669">
        <v>29</v>
      </c>
      <c r="AC3669">
        <v>-70.025899999999893</v>
      </c>
      <c r="AD3669">
        <v>-1.0413880799999999</v>
      </c>
      <c r="AE3669">
        <v>-5.0113999999999796</v>
      </c>
      <c r="AF3669">
        <v>-4.8237094416566499</v>
      </c>
      <c r="AG3669">
        <v>-1.0413880799999999</v>
      </c>
      <c r="AH3669">
        <v>70.023598632094505</v>
      </c>
      <c r="AI3669">
        <v>90.850023494640496</v>
      </c>
      <c r="AJ3669">
        <v>93.940703747108401</v>
      </c>
      <c r="AK3669">
        <v>70.197272221215002</v>
      </c>
      <c r="AL3669">
        <v>80.290762805562395</v>
      </c>
      <c r="AM3669">
        <v>90.296966548329195</v>
      </c>
      <c r="AN3669">
        <v>1.0000000477188999</v>
      </c>
    </row>
    <row r="3670" spans="1:40" x14ac:dyDescent="0.25">
      <c r="A3670" t="str">
        <f>"20190303161945756"</f>
        <v>20190303161945756</v>
      </c>
      <c r="B3670" t="str">
        <f>"1551601185745929"</f>
        <v>1551601185745929</v>
      </c>
      <c r="C3670" t="s">
        <v>40</v>
      </c>
      <c r="D3670">
        <v>4.2993350000000001</v>
      </c>
      <c r="E3670">
        <v>0.47533540000000002</v>
      </c>
      <c r="F3670" t="s">
        <v>52</v>
      </c>
      <c r="G3670">
        <v>-450.1859</v>
      </c>
      <c r="H3670">
        <v>8.0001669999999997E-2</v>
      </c>
      <c r="I3670">
        <v>278.59530000000001</v>
      </c>
      <c r="J3670">
        <v>-377.89120000000003</v>
      </c>
      <c r="K3670">
        <v>1.1213879999999901</v>
      </c>
      <c r="L3670">
        <v>283.84679999999997</v>
      </c>
      <c r="M3670">
        <v>-0.99991430000000003</v>
      </c>
      <c r="N3670">
        <v>-1.282199E-2</v>
      </c>
      <c r="O3670">
        <v>-2.6646600000000001E-3</v>
      </c>
      <c r="P3670">
        <v>-0.98771439999999999</v>
      </c>
      <c r="Q3670">
        <v>0.1560754</v>
      </c>
      <c r="R3670">
        <v>-7.8015100000000002E-3</v>
      </c>
      <c r="S3670">
        <v>-3.0424500000000001</v>
      </c>
      <c r="T3670">
        <v>-4.3695089999999999E-2</v>
      </c>
      <c r="U3670">
        <v>-0.22036739999999999</v>
      </c>
      <c r="V3670">
        <v>-5.1627620000000004E-3</v>
      </c>
      <c r="W3670">
        <v>0.1687273</v>
      </c>
      <c r="X3670">
        <v>0.9856492</v>
      </c>
      <c r="Y3670">
        <v>-6.956996E-2</v>
      </c>
      <c r="Z3670">
        <v>-9.4146119999999995E-4</v>
      </c>
      <c r="AA3670">
        <v>0.99757669999999998</v>
      </c>
      <c r="AB3670">
        <v>29</v>
      </c>
      <c r="AC3670">
        <v>-72.294699999999906</v>
      </c>
      <c r="AD3670">
        <v>-1.0413863299999999</v>
      </c>
      <c r="AE3670">
        <v>-5.2514999999999601</v>
      </c>
      <c r="AF3670">
        <v>-5.0577807676931101</v>
      </c>
      <c r="AG3670">
        <v>-1.0413863299999999</v>
      </c>
      <c r="AH3670">
        <v>72.293515991560596</v>
      </c>
      <c r="AI3670">
        <v>90.823275139817497</v>
      </c>
      <c r="AJ3670">
        <v>94.001991959259698</v>
      </c>
      <c r="AK3670">
        <v>72.477707512064597</v>
      </c>
      <c r="AL3670">
        <v>80.286169679327003</v>
      </c>
      <c r="AM3670">
        <v>90.300108566062704</v>
      </c>
      <c r="AN3670">
        <v>0.99999995066869796</v>
      </c>
    </row>
    <row r="3671" spans="1:40" x14ac:dyDescent="0.25">
      <c r="A3671" t="str">
        <f>"20190303161945769"</f>
        <v>20190303161945769</v>
      </c>
      <c r="B3671" t="str">
        <f>"1551601185756665"</f>
        <v>1551601185756665</v>
      </c>
      <c r="C3671" t="s">
        <v>40</v>
      </c>
      <c r="D3671">
        <v>4.2967259999999996</v>
      </c>
      <c r="E3671">
        <v>0.47520319999999999</v>
      </c>
      <c r="F3671" t="s">
        <v>52</v>
      </c>
      <c r="G3671">
        <v>-452.42559999999997</v>
      </c>
      <c r="H3671">
        <v>8.0001009999999997E-2</v>
      </c>
      <c r="I3671">
        <v>278.42630000000003</v>
      </c>
      <c r="J3671">
        <v>-378.0573</v>
      </c>
      <c r="K3671">
        <v>1.121391</v>
      </c>
      <c r="L3671">
        <v>283.84640000000002</v>
      </c>
      <c r="M3671">
        <v>-0.99991430000000003</v>
      </c>
      <c r="N3671">
        <v>-1.2820410000000001E-2</v>
      </c>
      <c r="O3671">
        <v>-2.6644120000000001E-3</v>
      </c>
      <c r="P3671">
        <v>-0.98772760000000004</v>
      </c>
      <c r="Q3671">
        <v>0.15600610000000001</v>
      </c>
      <c r="R3671">
        <v>-7.5265879999999999E-3</v>
      </c>
      <c r="S3671">
        <v>-3.042297</v>
      </c>
      <c r="T3671">
        <v>-4.250669E-2</v>
      </c>
      <c r="U3671">
        <v>-0.22125239999999999</v>
      </c>
      <c r="V3671">
        <v>-4.8878749999999999E-3</v>
      </c>
      <c r="W3671">
        <v>0.1686568</v>
      </c>
      <c r="X3671">
        <v>0.9856627</v>
      </c>
      <c r="Y3671">
        <v>-6.9862980000000005E-2</v>
      </c>
      <c r="Z3671">
        <v>-9.3282E-4</v>
      </c>
      <c r="AA3671">
        <v>0.99755609999999995</v>
      </c>
      <c r="AB3671">
        <v>29</v>
      </c>
      <c r="AC3671">
        <v>-74.368299999999905</v>
      </c>
      <c r="AD3671">
        <v>-1.0413899900000001</v>
      </c>
      <c r="AE3671">
        <v>-5.4200999999999899</v>
      </c>
      <c r="AF3671">
        <v>-5.2208983412951602</v>
      </c>
      <c r="AG3671">
        <v>-1.0413899900000001</v>
      </c>
      <c r="AH3671">
        <v>74.367972929345299</v>
      </c>
      <c r="AI3671">
        <v>90.800302642893897</v>
      </c>
      <c r="AJ3671">
        <v>94.0157804844564</v>
      </c>
      <c r="AK3671">
        <v>74.558283712953397</v>
      </c>
      <c r="AL3671">
        <v>80.290268077816094</v>
      </c>
      <c r="AM3671">
        <v>90.284125911100105</v>
      </c>
      <c r="AN3671">
        <v>0.99999998283977198</v>
      </c>
    </row>
    <row r="3672" spans="1:40" x14ac:dyDescent="0.25">
      <c r="A3672" t="str">
        <f>"20190303161945782"</f>
        <v>20190303161945782</v>
      </c>
      <c r="B3672" t="str">
        <f>"1551601185776185"</f>
        <v>1551601185776185</v>
      </c>
      <c r="C3672" t="s">
        <v>40</v>
      </c>
      <c r="D3672">
        <v>4.2887559999999896</v>
      </c>
      <c r="E3672">
        <v>0.47498820000000003</v>
      </c>
      <c r="F3672" t="s">
        <v>52</v>
      </c>
      <c r="G3672">
        <v>-452.60320000000002</v>
      </c>
      <c r="H3672">
        <v>8.0000970000000005E-2</v>
      </c>
      <c r="I3672">
        <v>278.41829999999999</v>
      </c>
      <c r="J3672">
        <v>-378.22899999999998</v>
      </c>
      <c r="K3672">
        <v>1.121391</v>
      </c>
      <c r="L3672">
        <v>283.84589999999997</v>
      </c>
      <c r="M3672">
        <v>-0.99991439999999998</v>
      </c>
      <c r="N3672">
        <v>-1.2818799999999899E-2</v>
      </c>
      <c r="O3672">
        <v>-2.6646410000000001E-3</v>
      </c>
      <c r="P3672">
        <v>-0.98768880000000003</v>
      </c>
      <c r="Q3672">
        <v>0.15625610000000001</v>
      </c>
      <c r="R3672">
        <v>-7.4106739999999999E-3</v>
      </c>
      <c r="S3672">
        <v>-3.042297</v>
      </c>
      <c r="T3672">
        <v>-4.2500259999999998E-2</v>
      </c>
      <c r="U3672">
        <v>-0.2215271</v>
      </c>
      <c r="V3672">
        <v>-4.7720480000000001E-3</v>
      </c>
      <c r="W3672">
        <v>0.168905</v>
      </c>
      <c r="X3672">
        <v>0.98562079999999996</v>
      </c>
      <c r="Y3672">
        <v>-6.9952319999999998E-2</v>
      </c>
      <c r="Z3672">
        <v>-9.3388729999999999E-4</v>
      </c>
      <c r="AA3672">
        <v>0.99754989999999999</v>
      </c>
      <c r="AB3672">
        <v>29</v>
      </c>
      <c r="AC3672">
        <v>-74.374199999999902</v>
      </c>
      <c r="AD3672">
        <v>-1.0413900300000001</v>
      </c>
      <c r="AE3672">
        <v>-5.4275999999999804</v>
      </c>
      <c r="AF3672">
        <v>-5.2283642964172898</v>
      </c>
      <c r="AG3672">
        <v>-1.0413900300000001</v>
      </c>
      <c r="AH3672">
        <v>74.373895434608102</v>
      </c>
      <c r="AI3672">
        <v>90.800233650419202</v>
      </c>
      <c r="AJ3672">
        <v>94.021185088491706</v>
      </c>
      <c r="AK3672">
        <v>74.564714232193396</v>
      </c>
      <c r="AL3672">
        <v>80.275840607786094</v>
      </c>
      <c r="AM3672">
        <v>90.277404934633495</v>
      </c>
      <c r="AN3672">
        <v>1.0000000164298699</v>
      </c>
    </row>
    <row r="3673" spans="1:40" x14ac:dyDescent="0.25">
      <c r="A3673" t="str">
        <f>"20190303161945796"</f>
        <v>20190303161945796</v>
      </c>
      <c r="B3673" t="str">
        <f>"1551601185785945"</f>
        <v>1551601185785945</v>
      </c>
      <c r="C3673" t="s">
        <v>40</v>
      </c>
      <c r="D3673">
        <v>4.2580359999999997</v>
      </c>
      <c r="E3673">
        <v>0.47495589999999999</v>
      </c>
      <c r="F3673" t="s">
        <v>52</v>
      </c>
      <c r="G3673">
        <v>-457.69749999999999</v>
      </c>
      <c r="H3673">
        <v>8.0000959999999996E-2</v>
      </c>
      <c r="I3673">
        <v>278.02699999999999</v>
      </c>
      <c r="J3673">
        <v>-378.40370000000001</v>
      </c>
      <c r="K3673">
        <v>1.1213930000000001</v>
      </c>
      <c r="L3673">
        <v>283.84550000000002</v>
      </c>
      <c r="M3673">
        <v>-0.99991430000000003</v>
      </c>
      <c r="N3673">
        <v>-1.2817169999999999E-2</v>
      </c>
      <c r="O3673">
        <v>-2.6643919999999998E-3</v>
      </c>
      <c r="P3673">
        <v>-0.98766229999999999</v>
      </c>
      <c r="Q3673">
        <v>0.156419899999999</v>
      </c>
      <c r="R3673">
        <v>-7.4843389999999996E-3</v>
      </c>
      <c r="S3673">
        <v>-3.0420530000000001</v>
      </c>
      <c r="T3673">
        <v>-3.9864419999999998E-2</v>
      </c>
      <c r="U3673">
        <v>-0.2227478</v>
      </c>
      <c r="V3673">
        <v>-4.8461700000000003E-3</v>
      </c>
      <c r="W3673">
        <v>0.16906669999999999</v>
      </c>
      <c r="X3673">
        <v>0.98559269999999999</v>
      </c>
      <c r="Y3673">
        <v>-7.0357669999999997E-2</v>
      </c>
      <c r="Z3673">
        <v>-9.1115589999999995E-4</v>
      </c>
      <c r="AA3673">
        <v>0.9975214</v>
      </c>
      <c r="AB3673">
        <v>29</v>
      </c>
      <c r="AC3673">
        <v>-79.293799999999905</v>
      </c>
      <c r="AD3673">
        <v>-1.0413920400000001</v>
      </c>
      <c r="AE3673">
        <v>-5.8185000000000198</v>
      </c>
      <c r="AF3673">
        <v>-5.6062304112509302</v>
      </c>
      <c r="AG3673">
        <v>-1.0413920400000001</v>
      </c>
      <c r="AH3673">
        <v>79.295418559635706</v>
      </c>
      <c r="AI3673">
        <v>90.750552759417801</v>
      </c>
      <c r="AJ3673">
        <v>94.044114331603893</v>
      </c>
      <c r="AK3673">
        <v>79.500174347939804</v>
      </c>
      <c r="AL3673">
        <v>80.266440556976093</v>
      </c>
      <c r="AM3673">
        <v>90.281721699169196</v>
      </c>
      <c r="AN3673">
        <v>1.0000000023529201</v>
      </c>
    </row>
    <row r="3674" spans="1:40" x14ac:dyDescent="0.25">
      <c r="A3674" t="str">
        <f>"20190303161945811"</f>
        <v>20190303161945811</v>
      </c>
      <c r="B3674" t="str">
        <f>"1551601185806442"</f>
        <v>1551601185806442</v>
      </c>
      <c r="C3674" t="s">
        <v>40</v>
      </c>
      <c r="D3674">
        <v>4.2816299999999998</v>
      </c>
      <c r="E3674">
        <v>0.4753175</v>
      </c>
      <c r="F3674" t="s">
        <v>52</v>
      </c>
      <c r="G3674">
        <v>-460.07089999999999</v>
      </c>
      <c r="H3674">
        <v>8.0001740000000002E-2</v>
      </c>
      <c r="I3674">
        <v>277.85629999999998</v>
      </c>
      <c r="J3674">
        <v>-378.59730000000002</v>
      </c>
      <c r="K3674">
        <v>1.1213900000000001</v>
      </c>
      <c r="L3674">
        <v>283.84500000000003</v>
      </c>
      <c r="M3674">
        <v>-0.99991439999999998</v>
      </c>
      <c r="N3674">
        <v>-1.2815379999999999E-2</v>
      </c>
      <c r="O3674">
        <v>-2.6646180000000001E-3</v>
      </c>
      <c r="P3674">
        <v>-0.98760349999999997</v>
      </c>
      <c r="Q3674">
        <v>0.1568011</v>
      </c>
      <c r="R3674">
        <v>-7.2822390000000002E-3</v>
      </c>
      <c r="S3674">
        <v>-3.0419309999999999</v>
      </c>
      <c r="T3674">
        <v>-3.8789629999999999E-2</v>
      </c>
      <c r="U3674">
        <v>-0.22308349999999999</v>
      </c>
      <c r="V3674">
        <v>-4.6442469999999998E-3</v>
      </c>
      <c r="W3674">
        <v>0.16944500000000001</v>
      </c>
      <c r="X3674">
        <v>0.98552870000000004</v>
      </c>
      <c r="Y3674">
        <v>-7.0470329999999998E-2</v>
      </c>
      <c r="Z3674">
        <v>-9.010725E-4</v>
      </c>
      <c r="AA3674">
        <v>0.99751350000000005</v>
      </c>
      <c r="AB3674">
        <v>29</v>
      </c>
      <c r="AC3674">
        <v>-81.473599999999905</v>
      </c>
      <c r="AD3674">
        <v>-1.04138826</v>
      </c>
      <c r="AE3674">
        <v>-5.9887000000000503</v>
      </c>
      <c r="AF3674">
        <v>-5.7706271781921501</v>
      </c>
      <c r="AG3674">
        <v>-1.04138826</v>
      </c>
      <c r="AH3674">
        <v>81.476029825807501</v>
      </c>
      <c r="AI3674">
        <v>90.730458187581803</v>
      </c>
      <c r="AJ3674">
        <v>94.051269887309502</v>
      </c>
      <c r="AK3674">
        <v>81.686767984255695</v>
      </c>
      <c r="AL3674">
        <v>80.244448216942203</v>
      </c>
      <c r="AM3674">
        <v>90.270001048577498</v>
      </c>
      <c r="AN3674">
        <v>0.99999999778944304</v>
      </c>
    </row>
    <row r="3675" spans="1:40" x14ac:dyDescent="0.25">
      <c r="A3675" t="str">
        <f>"20190303161945827"</f>
        <v>20190303161945827</v>
      </c>
      <c r="B3675" t="str">
        <f>"1551601185816202"</f>
        <v>1551601185816202</v>
      </c>
      <c r="C3675" t="s">
        <v>40</v>
      </c>
      <c r="D3675">
        <v>4.2633470000000004</v>
      </c>
      <c r="E3675">
        <v>0.47556709999999902</v>
      </c>
      <c r="F3675" t="s">
        <v>52</v>
      </c>
      <c r="G3675">
        <v>-463.54320000000001</v>
      </c>
      <c r="H3675">
        <v>8.0000719999999997E-2</v>
      </c>
      <c r="I3675">
        <v>277.70490000000001</v>
      </c>
      <c r="J3675">
        <v>-378.80220000000003</v>
      </c>
      <c r="K3675">
        <v>1.1213900000000001</v>
      </c>
      <c r="L3675">
        <v>283.84449999999998</v>
      </c>
      <c r="M3675">
        <v>-0.99991450000000004</v>
      </c>
      <c r="N3675">
        <v>-1.281348E-2</v>
      </c>
      <c r="O3675">
        <v>-2.6647250000000002E-3</v>
      </c>
      <c r="P3675">
        <v>-0.98755919999999997</v>
      </c>
      <c r="Q3675">
        <v>0.15709519999999999</v>
      </c>
      <c r="R3675">
        <v>-6.9406399999999997E-3</v>
      </c>
      <c r="S3675">
        <v>-3.0419619999999998</v>
      </c>
      <c r="T3675">
        <v>-3.7292720000000001E-2</v>
      </c>
      <c r="U3675">
        <v>-0.2198792</v>
      </c>
      <c r="V3675">
        <v>-4.3019140000000004E-3</v>
      </c>
      <c r="W3675">
        <v>0.16973679999999999</v>
      </c>
      <c r="X3675">
        <v>0.98548009999999997</v>
      </c>
      <c r="Y3675">
        <v>-6.9425020000000004E-2</v>
      </c>
      <c r="Z3675">
        <v>-8.7188420000000003E-4</v>
      </c>
      <c r="AA3675">
        <v>0.9975868</v>
      </c>
      <c r="AB3675">
        <v>29</v>
      </c>
      <c r="AC3675">
        <v>-84.7409999999999</v>
      </c>
      <c r="AD3675">
        <v>-1.04138928</v>
      </c>
      <c r="AE3675">
        <v>-6.1395999999999704</v>
      </c>
      <c r="AF3675">
        <v>-5.9128599240339996</v>
      </c>
      <c r="AG3675">
        <v>-1.04138928</v>
      </c>
      <c r="AH3675">
        <v>84.744329380172104</v>
      </c>
      <c r="AI3675">
        <v>90.702342209752999</v>
      </c>
      <c r="AJ3675">
        <v>93.991225862451998</v>
      </c>
      <c r="AK3675">
        <v>84.956740557820694</v>
      </c>
      <c r="AL3675">
        <v>80.227484158188204</v>
      </c>
      <c r="AM3675">
        <v>90.250111545032695</v>
      </c>
      <c r="AN3675">
        <v>1.0000000576171499</v>
      </c>
    </row>
    <row r="3676" spans="1:40" x14ac:dyDescent="0.25">
      <c r="A3676" t="str">
        <f>"20190303161945846"</f>
        <v>20190303161945846</v>
      </c>
      <c r="B3676" t="str">
        <f>"1551601185836697"</f>
        <v>1551601185836697</v>
      </c>
      <c r="C3676" t="s">
        <v>40</v>
      </c>
      <c r="D3676">
        <v>4.2192109999999996</v>
      </c>
      <c r="E3676">
        <v>0.47616259999999999</v>
      </c>
      <c r="F3676" t="s">
        <v>52</v>
      </c>
      <c r="G3676">
        <v>-466.90550000000002</v>
      </c>
      <c r="H3676">
        <v>8.0001210000000003E-2</v>
      </c>
      <c r="I3676">
        <v>277.55220000000003</v>
      </c>
      <c r="J3676">
        <v>-379.04489999999998</v>
      </c>
      <c r="K3676">
        <v>1.1213949999999999</v>
      </c>
      <c r="L3676">
        <v>283.84379999999999</v>
      </c>
      <c r="M3676">
        <v>-0.99991450000000004</v>
      </c>
      <c r="N3676">
        <v>-1.2811029999999999E-2</v>
      </c>
      <c r="O3676">
        <v>-2.6647089999999999E-3</v>
      </c>
      <c r="P3676">
        <v>-0.98755059999999995</v>
      </c>
      <c r="Q3676">
        <v>0.15717700000000001</v>
      </c>
      <c r="R3676">
        <v>-6.3074899999999998E-3</v>
      </c>
      <c r="S3676">
        <v>-3.041992</v>
      </c>
      <c r="T3676">
        <v>-3.5956620000000002E-2</v>
      </c>
      <c r="U3676">
        <v>-0.21725459999999999</v>
      </c>
      <c r="V3676">
        <v>-3.6688879999999999E-3</v>
      </c>
      <c r="W3676">
        <v>0.1698162</v>
      </c>
      <c r="X3676">
        <v>0.98546889999999998</v>
      </c>
      <c r="Y3676">
        <v>-6.8568740000000003E-2</v>
      </c>
      <c r="Z3676">
        <v>-8.4718259999999905E-4</v>
      </c>
      <c r="AA3676">
        <v>0.99764600000000003</v>
      </c>
      <c r="AB3676">
        <v>29</v>
      </c>
      <c r="AC3676">
        <v>-87.860600000000005</v>
      </c>
      <c r="AD3676">
        <v>-1.0413937900000001</v>
      </c>
      <c r="AE3676">
        <v>-6.2915999999999599</v>
      </c>
      <c r="AF3676">
        <v>-6.0565889977676202</v>
      </c>
      <c r="AG3676">
        <v>-1.0413937900000001</v>
      </c>
      <c r="AH3676">
        <v>87.864773631100206</v>
      </c>
      <c r="AI3676">
        <v>90.677443782332801</v>
      </c>
      <c r="AJ3676">
        <v>93.943206397866206</v>
      </c>
      <c r="AK3676">
        <v>88.079425614374998</v>
      </c>
      <c r="AL3676">
        <v>80.222867067745995</v>
      </c>
      <c r="AM3676">
        <v>90.213310462350805</v>
      </c>
      <c r="AN3676">
        <v>0.99999997769440296</v>
      </c>
    </row>
    <row r="3677" spans="1:40" x14ac:dyDescent="0.25">
      <c r="A3677" t="str">
        <f>"20190303161945860"</f>
        <v>20190303161945860</v>
      </c>
      <c r="B3677" t="str">
        <f>"1551601185847434"</f>
        <v>1551601185847434</v>
      </c>
      <c r="C3677" t="s">
        <v>40</v>
      </c>
      <c r="D3677">
        <v>4.2300180000000003</v>
      </c>
      <c r="E3677">
        <v>0.47638239999999998</v>
      </c>
      <c r="F3677" t="s">
        <v>49</v>
      </c>
      <c r="G3677">
        <v>-471.0052</v>
      </c>
      <c r="H3677">
        <v>8.000053E-2</v>
      </c>
      <c r="I3677">
        <v>277.46890000000002</v>
      </c>
      <c r="J3677">
        <v>-379.22859999999997</v>
      </c>
      <c r="K3677">
        <v>1.1213959999999901</v>
      </c>
      <c r="L3677">
        <v>283.8433</v>
      </c>
      <c r="M3677">
        <v>-0.99991450000000004</v>
      </c>
      <c r="N3677">
        <v>-1.2809259999999999E-2</v>
      </c>
      <c r="O3677">
        <v>-2.6646980000000001E-3</v>
      </c>
      <c r="P3677">
        <v>-0.98754549999999997</v>
      </c>
      <c r="Q3677">
        <v>0.15721199999999999</v>
      </c>
      <c r="R3677">
        <v>-6.1955600000000001E-3</v>
      </c>
      <c r="S3677">
        <v>-3.0419619999999998</v>
      </c>
      <c r="T3677">
        <v>-3.4448390000000002E-2</v>
      </c>
      <c r="U3677">
        <v>-0.21087649999999999</v>
      </c>
      <c r="V3677">
        <v>-3.5570290000000002E-3</v>
      </c>
      <c r="W3677">
        <v>0.1698491</v>
      </c>
      <c r="X3677">
        <v>0.98546369999999905</v>
      </c>
      <c r="Y3677">
        <v>-6.6488710000000006E-2</v>
      </c>
      <c r="Z3677">
        <v>-8.0635769999999997E-4</v>
      </c>
      <c r="AA3677">
        <v>0.99778690000000003</v>
      </c>
      <c r="AB3677">
        <v>29</v>
      </c>
      <c r="AC3677">
        <v>-91.776600000000002</v>
      </c>
      <c r="AD3677">
        <v>-1.0413954700000001</v>
      </c>
      <c r="AE3677">
        <v>-6.3743999999999801</v>
      </c>
      <c r="AF3677">
        <v>-6.1290150410092101</v>
      </c>
      <c r="AG3677">
        <v>-1.0413954700000001</v>
      </c>
      <c r="AH3677">
        <v>91.781500670473903</v>
      </c>
      <c r="AI3677">
        <v>90.648632084093805</v>
      </c>
      <c r="AJ3677">
        <v>93.820444130154002</v>
      </c>
      <c r="AK3677">
        <v>91.991810479096799</v>
      </c>
      <c r="AL3677">
        <v>80.220954830795193</v>
      </c>
      <c r="AM3677">
        <v>90.206808088651997</v>
      </c>
      <c r="AN3677">
        <v>1.0000000366219</v>
      </c>
    </row>
    <row r="3678" spans="1:40" x14ac:dyDescent="0.25">
      <c r="A3678" t="str">
        <f>"20190303161945872"</f>
        <v>20190303161945872</v>
      </c>
      <c r="B3678" t="str">
        <f>"1551601185865977"</f>
        <v>1551601185865977</v>
      </c>
      <c r="C3678" t="s">
        <v>40</v>
      </c>
      <c r="D3678">
        <v>4.2331320000000003</v>
      </c>
      <c r="E3678">
        <v>0.47683910000000002</v>
      </c>
      <c r="F3678" t="s">
        <v>49</v>
      </c>
      <c r="G3678">
        <v>-471.73020000000002</v>
      </c>
      <c r="H3678">
        <v>8.0000420000000003E-2</v>
      </c>
      <c r="I3678">
        <v>277.49590000000001</v>
      </c>
      <c r="J3678">
        <v>-379.39089999999999</v>
      </c>
      <c r="K3678">
        <v>1.1213949999999999</v>
      </c>
      <c r="L3678">
        <v>283.84289999999999</v>
      </c>
      <c r="M3678">
        <v>-0.99991450000000004</v>
      </c>
      <c r="N3678">
        <v>-1.2807809999999999E-2</v>
      </c>
      <c r="O3678">
        <v>-2.664689E-3</v>
      </c>
      <c r="P3678">
        <v>-0.98755740000000003</v>
      </c>
      <c r="Q3678">
        <v>0.15714939999999999</v>
      </c>
      <c r="R3678">
        <v>-5.9074459999999898E-3</v>
      </c>
      <c r="S3678">
        <v>-3.041992</v>
      </c>
      <c r="T3678">
        <v>-3.4247159999999999E-2</v>
      </c>
      <c r="U3678">
        <v>-0.20874019999999999</v>
      </c>
      <c r="V3678">
        <v>-3.2690140000000002E-3</v>
      </c>
      <c r="W3678">
        <v>0.1697852</v>
      </c>
      <c r="X3678">
        <v>0.98547569999999995</v>
      </c>
      <c r="Y3678">
        <v>-6.5790810000000005E-2</v>
      </c>
      <c r="Z3678">
        <v>-7.9588149999999997E-4</v>
      </c>
      <c r="AA3678">
        <v>0.99783310000000003</v>
      </c>
      <c r="AB3678">
        <v>29</v>
      </c>
      <c r="AC3678">
        <v>-92.339299999999994</v>
      </c>
      <c r="AD3678">
        <v>-1.04139458</v>
      </c>
      <c r="AE3678">
        <v>-6.34699999999998</v>
      </c>
      <c r="AF3678">
        <v>-6.1001295448487296</v>
      </c>
      <c r="AG3678">
        <v>-1.04139458</v>
      </c>
      <c r="AH3678">
        <v>92.344196133195595</v>
      </c>
      <c r="AI3678">
        <v>90.644710135475606</v>
      </c>
      <c r="AJ3678">
        <v>93.779388702667404</v>
      </c>
      <c r="AK3678">
        <v>92.551318967485699</v>
      </c>
      <c r="AL3678">
        <v>80.2246699057999</v>
      </c>
      <c r="AM3678">
        <v>90.190060514296505</v>
      </c>
      <c r="AN3678">
        <v>1.0000000279410299</v>
      </c>
    </row>
    <row r="3679" spans="1:40" x14ac:dyDescent="0.25">
      <c r="A3679" t="str">
        <f>"20190303161945890"</f>
        <v>20190303161945890</v>
      </c>
      <c r="B3679" t="str">
        <f>"1551601185886474"</f>
        <v>1551601185886474</v>
      </c>
      <c r="C3679" t="s">
        <v>40</v>
      </c>
      <c r="D3679">
        <v>4.2172859999999996</v>
      </c>
      <c r="E3679">
        <v>0.47726790000000002</v>
      </c>
      <c r="F3679" t="s">
        <v>49</v>
      </c>
      <c r="G3679">
        <v>-471.80680000000001</v>
      </c>
      <c r="H3679">
        <v>8.0000429999999997E-2</v>
      </c>
      <c r="I3679">
        <v>277.63679999999999</v>
      </c>
      <c r="J3679">
        <v>-379.61200000000002</v>
      </c>
      <c r="K3679">
        <v>1.1213949999999999</v>
      </c>
      <c r="L3679">
        <v>283.84230000000002</v>
      </c>
      <c r="M3679">
        <v>-0.99991450000000004</v>
      </c>
      <c r="N3679">
        <v>-1.280596E-2</v>
      </c>
      <c r="O3679">
        <v>-2.6646769999999998E-3</v>
      </c>
      <c r="P3679">
        <v>-0.98753670000000005</v>
      </c>
      <c r="Q3679">
        <v>0.15727940000000001</v>
      </c>
      <c r="R3679">
        <v>-5.8818489999999998E-3</v>
      </c>
      <c r="S3679">
        <v>-3.0420229999999999</v>
      </c>
      <c r="T3679">
        <v>-3.4279230000000001E-2</v>
      </c>
      <c r="U3679">
        <v>-0.20428470000000001</v>
      </c>
      <c r="V3679">
        <v>-3.2430950000000001E-3</v>
      </c>
      <c r="W3679">
        <v>0.1699135</v>
      </c>
      <c r="X3679">
        <v>0.98545369999999999</v>
      </c>
      <c r="Y3679">
        <v>-6.4335459999999997E-2</v>
      </c>
      <c r="Z3679">
        <v>-7.7860789999999896E-4</v>
      </c>
      <c r="AA3679">
        <v>0.99792800000000004</v>
      </c>
      <c r="AB3679">
        <v>29</v>
      </c>
      <c r="AC3679">
        <v>-92.194800000000001</v>
      </c>
      <c r="AD3679">
        <v>-1.04139457</v>
      </c>
      <c r="AE3679">
        <v>-6.2055000000000202</v>
      </c>
      <c r="AF3679">
        <v>-5.9590315822784801</v>
      </c>
      <c r="AG3679">
        <v>-1.04139457</v>
      </c>
      <c r="AH3679">
        <v>92.1992989548433</v>
      </c>
      <c r="AI3679">
        <v>90.645783182076201</v>
      </c>
      <c r="AJ3679">
        <v>93.698001353503003</v>
      </c>
      <c r="AK3679">
        <v>92.397539403457998</v>
      </c>
      <c r="AL3679">
        <v>80.217210739488294</v>
      </c>
      <c r="AM3679">
        <v>90.1885578036201</v>
      </c>
      <c r="AN3679">
        <v>1.0000000549955499</v>
      </c>
    </row>
    <row r="3680" spans="1:40" x14ac:dyDescent="0.25">
      <c r="A3680" t="str">
        <f>"20190303161945905"</f>
        <v>20190303161945905</v>
      </c>
      <c r="B3680" t="str">
        <f>"1551601185896233"</f>
        <v>1551601185896233</v>
      </c>
      <c r="C3680" t="s">
        <v>40</v>
      </c>
      <c r="D3680">
        <v>4.2120329999999999</v>
      </c>
      <c r="E3680">
        <v>0.47744209999999898</v>
      </c>
      <c r="F3680" t="s">
        <v>49</v>
      </c>
      <c r="G3680">
        <v>-472.68920000000003</v>
      </c>
      <c r="H3680">
        <v>8.0000290000000002E-2</v>
      </c>
      <c r="I3680">
        <v>277.70760000000001</v>
      </c>
      <c r="J3680">
        <v>-379.80590000000001</v>
      </c>
      <c r="K3680">
        <v>1.1213949999999999</v>
      </c>
      <c r="L3680">
        <v>283.84179999999998</v>
      </c>
      <c r="M3680">
        <v>-0.99991450000000004</v>
      </c>
      <c r="N3680">
        <v>-1.280443E-2</v>
      </c>
      <c r="O3680">
        <v>-2.6646669999999999E-3</v>
      </c>
      <c r="P3680">
        <v>-0.98751069999999996</v>
      </c>
      <c r="Q3680">
        <v>0.1574537</v>
      </c>
      <c r="R3680">
        <v>-5.5654210000000001E-3</v>
      </c>
      <c r="S3680">
        <v>-3.0420530000000001</v>
      </c>
      <c r="T3680">
        <v>-3.4036039999999997E-2</v>
      </c>
      <c r="U3680">
        <v>-0.2005005</v>
      </c>
      <c r="V3680">
        <v>-2.9272339999999999E-3</v>
      </c>
      <c r="W3680">
        <v>0.1700854</v>
      </c>
      <c r="X3680">
        <v>0.985425</v>
      </c>
      <c r="Y3680">
        <v>-6.3099100000000005E-2</v>
      </c>
      <c r="Z3680">
        <v>-7.6135949999999895E-4</v>
      </c>
      <c r="AA3680">
        <v>0.99800699999999998</v>
      </c>
      <c r="AB3680">
        <v>29</v>
      </c>
      <c r="AC3680">
        <v>-92.883300000000006</v>
      </c>
      <c r="AD3680">
        <v>-1.0413947100000001</v>
      </c>
      <c r="AE3680">
        <v>-6.1341999999999599</v>
      </c>
      <c r="AF3680">
        <v>-5.8859181885994696</v>
      </c>
      <c r="AG3680">
        <v>-1.0413947100000001</v>
      </c>
      <c r="AH3680">
        <v>92.887691309797006</v>
      </c>
      <c r="AI3680">
        <v>90.641049483867604</v>
      </c>
      <c r="AJ3680">
        <v>93.625754774339896</v>
      </c>
      <c r="AK3680">
        <v>93.079813776828303</v>
      </c>
      <c r="AL3680">
        <v>80.207215782216593</v>
      </c>
      <c r="AM3680">
        <v>90.170198300765904</v>
      </c>
      <c r="AN3680">
        <v>1.0000000213085201</v>
      </c>
    </row>
    <row r="3681" spans="1:40" x14ac:dyDescent="0.25">
      <c r="A3681" t="str">
        <f>"20190303161945918"</f>
        <v>20190303161945918</v>
      </c>
      <c r="B3681" t="str">
        <f>"1551601185905993"</f>
        <v>1551601185905993</v>
      </c>
      <c r="C3681" t="s">
        <v>40</v>
      </c>
      <c r="D3681">
        <v>4.2217539999999998</v>
      </c>
      <c r="E3681">
        <v>0.47757909999999998</v>
      </c>
      <c r="F3681" t="s">
        <v>49</v>
      </c>
      <c r="G3681">
        <v>-475.0872</v>
      </c>
      <c r="H3681">
        <v>7.9999890000000004E-2</v>
      </c>
      <c r="I3681">
        <v>277.64120000000003</v>
      </c>
      <c r="J3681">
        <v>-379.97590000000002</v>
      </c>
      <c r="K3681">
        <v>1.1213949999999999</v>
      </c>
      <c r="L3681">
        <v>283.84140000000002</v>
      </c>
      <c r="M3681">
        <v>-0.99991450000000004</v>
      </c>
      <c r="N3681">
        <v>-1.2803119999999999E-2</v>
      </c>
      <c r="O3681">
        <v>-2.6648969999999998E-3</v>
      </c>
      <c r="P3681">
        <v>-0.98751469999999997</v>
      </c>
      <c r="Q3681">
        <v>0.15743399999999999</v>
      </c>
      <c r="R3681">
        <v>-5.4346790000000004E-3</v>
      </c>
      <c r="S3681">
        <v>-3.042084</v>
      </c>
      <c r="T3681">
        <v>-3.3249019999999997E-2</v>
      </c>
      <c r="U3681">
        <v>-0.19796749999999999</v>
      </c>
      <c r="V3681">
        <v>-2.7961459999999998E-3</v>
      </c>
      <c r="W3681">
        <v>0.170064299999999</v>
      </c>
      <c r="X3681">
        <v>0.985429</v>
      </c>
      <c r="Y3681">
        <v>-6.2271159999999999E-2</v>
      </c>
      <c r="Z3681">
        <v>-7.4401950000000001E-4</v>
      </c>
      <c r="AA3681">
        <v>0.99805900000000003</v>
      </c>
      <c r="AB3681">
        <v>29</v>
      </c>
      <c r="AC3681">
        <v>-95.1112999999999</v>
      </c>
      <c r="AD3681">
        <v>-1.0413951100000001</v>
      </c>
      <c r="AE3681">
        <v>-6.2001999999999899</v>
      </c>
      <c r="AF3681">
        <v>-5.9459855685119498</v>
      </c>
      <c r="AG3681">
        <v>-1.0413951100000001</v>
      </c>
      <c r="AH3681">
        <v>95.116131671422707</v>
      </c>
      <c r="AI3681">
        <v>90.626065502786204</v>
      </c>
      <c r="AJ3681">
        <v>93.577070818606401</v>
      </c>
      <c r="AK3681">
        <v>95.307490536114202</v>
      </c>
      <c r="AL3681">
        <v>80.208442378832402</v>
      </c>
      <c r="AM3681">
        <v>90.162575827119198</v>
      </c>
      <c r="AN3681">
        <v>0.99999999930397099</v>
      </c>
    </row>
    <row r="3682" spans="1:40" x14ac:dyDescent="0.25">
      <c r="A3682" t="str">
        <f>"20190303161945931"</f>
        <v>20190303161945931</v>
      </c>
      <c r="B3682" t="str">
        <f>"1551601185926491"</f>
        <v>1551601185926491</v>
      </c>
      <c r="C3682" t="s">
        <v>40</v>
      </c>
      <c r="D3682">
        <v>4.1855460000000004</v>
      </c>
      <c r="E3682">
        <v>0.47784539999999998</v>
      </c>
      <c r="F3682" t="s">
        <v>49</v>
      </c>
      <c r="G3682">
        <v>-475.67070000000001</v>
      </c>
      <c r="H3682">
        <v>7.9999970000000004E-2</v>
      </c>
      <c r="I3682">
        <v>277.64760000000001</v>
      </c>
      <c r="J3682">
        <v>-380.14</v>
      </c>
      <c r="K3682">
        <v>1.1213959999999901</v>
      </c>
      <c r="L3682">
        <v>283.84089999999998</v>
      </c>
      <c r="M3682">
        <v>-0.99991450000000004</v>
      </c>
      <c r="N3682">
        <v>-1.280186E-2</v>
      </c>
      <c r="O3682">
        <v>-2.6646510000000001E-3</v>
      </c>
      <c r="P3682">
        <v>-0.98752050000000002</v>
      </c>
      <c r="Q3682">
        <v>0.15740090000000001</v>
      </c>
      <c r="R3682">
        <v>-5.3125960000000002E-3</v>
      </c>
      <c r="S3682">
        <v>-3.042084</v>
      </c>
      <c r="T3682">
        <v>-3.3105370000000002E-2</v>
      </c>
      <c r="U3682">
        <v>-0.1968994</v>
      </c>
      <c r="V3682">
        <v>-2.67446E-3</v>
      </c>
      <c r="W3682">
        <v>0.1700305</v>
      </c>
      <c r="X3682">
        <v>0.98543519999999896</v>
      </c>
      <c r="Y3682">
        <v>-6.1922530000000003E-2</v>
      </c>
      <c r="Z3682">
        <v>-7.3850360000000004E-4</v>
      </c>
      <c r="AA3682">
        <v>0.99808070000000004</v>
      </c>
      <c r="AB3682">
        <v>29</v>
      </c>
      <c r="AC3682">
        <v>-95.530699999999996</v>
      </c>
      <c r="AD3682">
        <v>-1.04139602999999</v>
      </c>
      <c r="AE3682">
        <v>-6.1932999999999598</v>
      </c>
      <c r="AF3682">
        <v>-5.9379984801203598</v>
      </c>
      <c r="AG3682">
        <v>-1.04139602999999</v>
      </c>
      <c r="AH3682">
        <v>95.5355596361983</v>
      </c>
      <c r="AI3682">
        <v>90.623331524095505</v>
      </c>
      <c r="AJ3682">
        <v>93.556635322689203</v>
      </c>
      <c r="AK3682">
        <v>95.725584284677097</v>
      </c>
      <c r="AL3682">
        <v>80.210407886814593</v>
      </c>
      <c r="AM3682">
        <v>90.155499716519202</v>
      </c>
      <c r="AN3682">
        <v>1.0000000285327899</v>
      </c>
    </row>
    <row r="3683" spans="1:40" x14ac:dyDescent="0.25">
      <c r="A3683" t="str">
        <f>"20190303161945943"</f>
        <v>20190303161945943</v>
      </c>
      <c r="B3683" t="str">
        <f>"1551601185936250"</f>
        <v>1551601185936250</v>
      </c>
      <c r="C3683" t="s">
        <v>40</v>
      </c>
      <c r="D3683">
        <v>4.2175750000000001</v>
      </c>
      <c r="E3683">
        <v>0.4779699</v>
      </c>
      <c r="F3683" t="s">
        <v>49</v>
      </c>
      <c r="G3683">
        <v>-476.72879999999998</v>
      </c>
      <c r="H3683">
        <v>8.0000080000000001E-2</v>
      </c>
      <c r="I3683">
        <v>277.66570000000002</v>
      </c>
      <c r="J3683">
        <v>-380.29809999999998</v>
      </c>
      <c r="K3683">
        <v>1.121397</v>
      </c>
      <c r="L3683">
        <v>283.84059999999999</v>
      </c>
      <c r="M3683">
        <v>-0.99991459999999999</v>
      </c>
      <c r="N3683">
        <v>-1.280065E-2</v>
      </c>
      <c r="O3683">
        <v>-2.664881E-3</v>
      </c>
      <c r="P3683">
        <v>-0.98749140000000002</v>
      </c>
      <c r="Q3683">
        <v>0.1575838</v>
      </c>
      <c r="R3683">
        <v>-5.338331E-3</v>
      </c>
      <c r="S3683">
        <v>-3.0420530000000001</v>
      </c>
      <c r="T3683">
        <v>-3.2798649999999999E-2</v>
      </c>
      <c r="U3683">
        <v>-0.19448850000000001</v>
      </c>
      <c r="V3683">
        <v>-2.699749E-3</v>
      </c>
      <c r="W3683">
        <v>0.1702119</v>
      </c>
      <c r="X3683">
        <v>0.98540380000000005</v>
      </c>
      <c r="Y3683">
        <v>-6.1135399999999999E-2</v>
      </c>
      <c r="Z3683">
        <v>-7.2633219999999996E-4</v>
      </c>
      <c r="AA3683">
        <v>0.99812920000000005</v>
      </c>
      <c r="AB3683">
        <v>29</v>
      </c>
      <c r="AC3683">
        <v>-96.430700000000002</v>
      </c>
      <c r="AD3683">
        <v>-1.0413969199999999</v>
      </c>
      <c r="AE3683">
        <v>-6.1748999999999796</v>
      </c>
      <c r="AF3683">
        <v>-5.9171934045311296</v>
      </c>
      <c r="AG3683">
        <v>-1.0413969199999999</v>
      </c>
      <c r="AH3683">
        <v>96.435613118113096</v>
      </c>
      <c r="AI3683">
        <v>90.617545055915699</v>
      </c>
      <c r="AJ3683">
        <v>93.511210034426398</v>
      </c>
      <c r="AK3683">
        <v>96.622591368675202</v>
      </c>
      <c r="AL3683">
        <v>80.199860546866304</v>
      </c>
      <c r="AM3683">
        <v>90.156975076022405</v>
      </c>
      <c r="AN3683">
        <v>1.00000001430035</v>
      </c>
    </row>
    <row r="3684" spans="1:40" x14ac:dyDescent="0.25">
      <c r="A3684" t="str">
        <f>"20190303161945957"</f>
        <v>20190303161945957</v>
      </c>
      <c r="B3684" t="str">
        <f>"1551601185946009"</f>
        <v>1551601185946009</v>
      </c>
      <c r="C3684" t="s">
        <v>40</v>
      </c>
      <c r="D3684">
        <v>4.2117239999999896</v>
      </c>
      <c r="E3684">
        <v>0.47808129999999999</v>
      </c>
      <c r="F3684" t="s">
        <v>49</v>
      </c>
      <c r="G3684">
        <v>-487.3904</v>
      </c>
      <c r="H3684" s="1">
        <v>2.1627390000000001E-6</v>
      </c>
      <c r="I3684">
        <v>277.02280000000002</v>
      </c>
      <c r="J3684">
        <v>-380.48230000000001</v>
      </c>
      <c r="K3684">
        <v>1.1214010000000001</v>
      </c>
      <c r="L3684">
        <v>283.84010000000001</v>
      </c>
      <c r="M3684">
        <v>-0.99991459999999999</v>
      </c>
      <c r="N3684">
        <v>-1.279924E-2</v>
      </c>
      <c r="O3684">
        <v>-2.664872E-3</v>
      </c>
      <c r="P3684">
        <v>-0.98753210000000002</v>
      </c>
      <c r="Q3684">
        <v>0.1573416</v>
      </c>
      <c r="R3684">
        <v>-4.9160239999999997E-3</v>
      </c>
      <c r="S3684">
        <v>-3.0420229999999999</v>
      </c>
      <c r="T3684">
        <v>-3.1853909999999999E-2</v>
      </c>
      <c r="U3684">
        <v>-0.19366459999999999</v>
      </c>
      <c r="V3684">
        <v>-2.2774259999999999E-3</v>
      </c>
      <c r="W3684">
        <v>0.16996849999999999</v>
      </c>
      <c r="X3684">
        <v>0.98544690000000001</v>
      </c>
      <c r="Y3684">
        <v>-6.0867129999999998E-2</v>
      </c>
      <c r="Z3684">
        <v>-7.1450889999999997E-4</v>
      </c>
      <c r="AA3684">
        <v>0.99814559999999997</v>
      </c>
      <c r="AB3684">
        <v>29</v>
      </c>
      <c r="AC3684">
        <v>-106.9081</v>
      </c>
      <c r="AD3684">
        <v>-1.121398837261</v>
      </c>
      <c r="AE3684">
        <v>-6.8172999999999799</v>
      </c>
      <c r="AF3684">
        <v>-6.5316403208395197</v>
      </c>
      <c r="AG3684">
        <v>-1.121398837261</v>
      </c>
      <c r="AH3684">
        <v>106.91417325248101</v>
      </c>
      <c r="AI3684">
        <v>90.599822345161101</v>
      </c>
      <c r="AJ3684">
        <v>93.495989994904207</v>
      </c>
      <c r="AK3684">
        <v>107.11937407814899</v>
      </c>
      <c r="AL3684">
        <v>80.214012761902595</v>
      </c>
      <c r="AM3684">
        <v>90.132413695394604</v>
      </c>
      <c r="AN3684">
        <v>1.0000000351905201</v>
      </c>
    </row>
    <row r="3685" spans="1:40" x14ac:dyDescent="0.25">
      <c r="A3685" t="str">
        <f>"20190303161945972"</f>
        <v>20190303161945972</v>
      </c>
      <c r="B3685" t="str">
        <f>"1551601185966506"</f>
        <v>1551601185966506</v>
      </c>
      <c r="C3685" t="s">
        <v>40</v>
      </c>
      <c r="D3685">
        <v>4.2312050000000001</v>
      </c>
      <c r="E3685">
        <v>0.47831309999999999</v>
      </c>
      <c r="F3685" t="s">
        <v>49</v>
      </c>
      <c r="G3685">
        <v>-478.3039</v>
      </c>
      <c r="H3685">
        <v>8.0000080000000001E-2</v>
      </c>
      <c r="I3685">
        <v>277.67630000000003</v>
      </c>
      <c r="J3685">
        <v>-380.65679999999998</v>
      </c>
      <c r="K3685">
        <v>1.1213919999999999</v>
      </c>
      <c r="L3685">
        <v>283.83960000000002</v>
      </c>
      <c r="M3685">
        <v>-0.99991459999999999</v>
      </c>
      <c r="N3685">
        <v>-1.2797899999999999E-2</v>
      </c>
      <c r="O3685">
        <v>-2.6649830000000001E-3</v>
      </c>
      <c r="P3685">
        <v>-0.98750950000000004</v>
      </c>
      <c r="Q3685">
        <v>0.15748589999999901</v>
      </c>
      <c r="R3685">
        <v>-4.8349710000000004E-3</v>
      </c>
      <c r="S3685">
        <v>-3.0420530000000001</v>
      </c>
      <c r="T3685">
        <v>-3.238547E-2</v>
      </c>
      <c r="U3685">
        <v>-0.19168089999999999</v>
      </c>
      <c r="V3685">
        <v>-2.1965489999999999E-3</v>
      </c>
      <c r="W3685">
        <v>0.17011129999999999</v>
      </c>
      <c r="X3685">
        <v>0.98542240000000003</v>
      </c>
      <c r="Y3685">
        <v>-6.0218010000000002E-2</v>
      </c>
      <c r="Z3685">
        <v>-7.1169820000000004E-4</v>
      </c>
      <c r="AA3685">
        <v>0.99818499999999999</v>
      </c>
      <c r="AB3685">
        <v>29</v>
      </c>
      <c r="AC3685">
        <v>-97.647099999999995</v>
      </c>
      <c r="AD3685">
        <v>-1.0413919199999999</v>
      </c>
      <c r="AE3685">
        <v>-6.1632999999999898</v>
      </c>
      <c r="AF3685">
        <v>-5.9023602824157404</v>
      </c>
      <c r="AG3685">
        <v>-1.0413919199999999</v>
      </c>
      <c r="AH3685">
        <v>97.652116836551698</v>
      </c>
      <c r="AI3685">
        <v>90.609883533179001</v>
      </c>
      <c r="AJ3685">
        <v>93.458905114403194</v>
      </c>
      <c r="AK3685">
        <v>97.835874180660397</v>
      </c>
      <c r="AL3685">
        <v>80.205709594337094</v>
      </c>
      <c r="AM3685">
        <v>90.127714550384795</v>
      </c>
      <c r="AN3685">
        <v>0.99999999281847896</v>
      </c>
    </row>
    <row r="3686" spans="1:40" x14ac:dyDescent="0.25">
      <c r="A3686" t="str">
        <f>"20190303161945990"</f>
        <v>20190303161945990</v>
      </c>
      <c r="B3686" t="str">
        <f>"1551601185986025"</f>
        <v>1551601185986025</v>
      </c>
      <c r="C3686" t="s">
        <v>40</v>
      </c>
      <c r="D3686">
        <v>4.2372529999999999</v>
      </c>
      <c r="E3686">
        <v>0.47854380000000002</v>
      </c>
      <c r="F3686" t="s">
        <v>49</v>
      </c>
      <c r="G3686">
        <v>-487.82049999999998</v>
      </c>
      <c r="H3686" s="1">
        <v>2.2880669999999999E-6</v>
      </c>
      <c r="I3686">
        <v>277.16140000000001</v>
      </c>
      <c r="J3686">
        <v>-380.90429999999998</v>
      </c>
      <c r="K3686">
        <v>1.121391</v>
      </c>
      <c r="L3686">
        <v>283.839</v>
      </c>
      <c r="M3686">
        <v>-0.99991459999999999</v>
      </c>
      <c r="N3686">
        <v>-1.279598E-2</v>
      </c>
      <c r="O3686">
        <v>-2.6648520000000001E-3</v>
      </c>
      <c r="P3686">
        <v>-0.98752960000000001</v>
      </c>
      <c r="Q3686">
        <v>0.15736339999999999</v>
      </c>
      <c r="R3686">
        <v>-4.7128099999999996E-3</v>
      </c>
      <c r="S3686">
        <v>-3.042084</v>
      </c>
      <c r="T3686">
        <v>-3.1833170000000001E-2</v>
      </c>
      <c r="U3686">
        <v>-0.1895752</v>
      </c>
      <c r="V3686">
        <v>-2.0744230000000002E-3</v>
      </c>
      <c r="W3686">
        <v>0.16998729999999901</v>
      </c>
      <c r="X3686">
        <v>0.98544410000000005</v>
      </c>
      <c r="Y3686">
        <v>-5.9529539999999999E-2</v>
      </c>
      <c r="Z3686">
        <v>-6.9864470000000002E-4</v>
      </c>
      <c r="AA3686">
        <v>0.99822630000000001</v>
      </c>
      <c r="AB3686">
        <v>29</v>
      </c>
      <c r="AC3686">
        <v>-106.9162</v>
      </c>
      <c r="AD3686">
        <v>-1.1213887119329999</v>
      </c>
      <c r="AE3686">
        <v>-6.6775999999999804</v>
      </c>
      <c r="AF3686">
        <v>-6.3919366807792999</v>
      </c>
      <c r="AG3686">
        <v>-1.1213887119329999</v>
      </c>
      <c r="AH3686">
        <v>106.92189999116</v>
      </c>
      <c r="AI3686">
        <v>90.599820934390493</v>
      </c>
      <c r="AJ3686">
        <v>93.421148031887597</v>
      </c>
      <c r="AK3686">
        <v>107.118658808324</v>
      </c>
      <c r="AL3686">
        <v>80.212919641644504</v>
      </c>
      <c r="AM3686">
        <v>90.120611110527506</v>
      </c>
      <c r="AN3686">
        <v>1.0000000298084399</v>
      </c>
    </row>
    <row r="3687" spans="1:40" x14ac:dyDescent="0.25">
      <c r="A3687" t="str">
        <f>"20190303161946005"</f>
        <v>20190303161946005</v>
      </c>
      <c r="B3687" t="str">
        <f>"1551601185995785"</f>
        <v>1551601185995785</v>
      </c>
      <c r="C3687" t="s">
        <v>40</v>
      </c>
      <c r="D3687">
        <v>4.2346110000000001</v>
      </c>
      <c r="E3687">
        <v>0.47865439999999998</v>
      </c>
      <c r="F3687" t="s">
        <v>49</v>
      </c>
      <c r="G3687">
        <v>-487.18860000000001</v>
      </c>
      <c r="H3687" s="1">
        <v>2.2241699999999998E-6</v>
      </c>
      <c r="I3687">
        <v>277.2978</v>
      </c>
      <c r="J3687">
        <v>-381.08870000000002</v>
      </c>
      <c r="K3687">
        <v>1.1213930000000001</v>
      </c>
      <c r="L3687">
        <v>283.83850000000001</v>
      </c>
      <c r="M3687">
        <v>-0.99991459999999999</v>
      </c>
      <c r="N3687">
        <v>-1.279454E-2</v>
      </c>
      <c r="O3687">
        <v>-2.6649619999999999E-3</v>
      </c>
      <c r="P3687">
        <v>-0.9875138</v>
      </c>
      <c r="Q3687">
        <v>0.15747030000000001</v>
      </c>
      <c r="R3687">
        <v>-4.4279139999999998E-3</v>
      </c>
      <c r="S3687">
        <v>-3.0421140000000002</v>
      </c>
      <c r="T3687">
        <v>-3.2096859999999998E-2</v>
      </c>
      <c r="U3687">
        <v>-0.18722530000000001</v>
      </c>
      <c r="V3687">
        <v>-1.7891630000000001E-3</v>
      </c>
      <c r="W3687">
        <v>0.17009250000000001</v>
      </c>
      <c r="X3687">
        <v>0.98542649999999998</v>
      </c>
      <c r="Y3687">
        <v>-5.8760680000000003E-2</v>
      </c>
      <c r="Z3687">
        <v>-6.9196500000000001E-4</v>
      </c>
      <c r="AA3687">
        <v>0.99827189999999999</v>
      </c>
      <c r="AB3687">
        <v>29</v>
      </c>
      <c r="AC3687">
        <v>-106.09990000000001</v>
      </c>
      <c r="AD3687">
        <v>-1.1213907758299999</v>
      </c>
      <c r="AE3687">
        <v>-6.54070000000001</v>
      </c>
      <c r="AF3687">
        <v>-6.2572050904027696</v>
      </c>
      <c r="AG3687">
        <v>-1.1213907758299999</v>
      </c>
      <c r="AH3687">
        <v>106.10514740661</v>
      </c>
      <c r="AI3687">
        <v>90.604467826949602</v>
      </c>
      <c r="AJ3687">
        <v>93.3749231083941</v>
      </c>
      <c r="AK3687">
        <v>106.295401777283</v>
      </c>
      <c r="AL3687">
        <v>80.206802986452104</v>
      </c>
      <c r="AM3687">
        <v>90.104027419719799</v>
      </c>
      <c r="AN3687">
        <v>1.0000000232813699</v>
      </c>
    </row>
    <row r="3688" spans="1:40" x14ac:dyDescent="0.25">
      <c r="A3688" t="str">
        <f>"20190303161946025"</f>
        <v>20190303161946025</v>
      </c>
      <c r="B3688" t="str">
        <f>"1551601186016283"</f>
        <v>1551601186016283</v>
      </c>
      <c r="C3688" t="s">
        <v>40</v>
      </c>
      <c r="D3688">
        <v>4.2301380000000002</v>
      </c>
      <c r="E3688">
        <v>0.47859160000000001</v>
      </c>
      <c r="F3688" t="s">
        <v>49</v>
      </c>
      <c r="G3688">
        <v>-489.08409999999998</v>
      </c>
      <c r="H3688" s="1">
        <v>2.5463920000000001E-6</v>
      </c>
      <c r="I3688">
        <v>277.25810000000001</v>
      </c>
      <c r="J3688">
        <v>-381.33839999999998</v>
      </c>
      <c r="K3688">
        <v>1.1213930000000001</v>
      </c>
      <c r="L3688">
        <v>283.83780000000002</v>
      </c>
      <c r="M3688">
        <v>-0.99991479999999999</v>
      </c>
      <c r="N3688">
        <v>-1.279258E-2</v>
      </c>
      <c r="O3688">
        <v>-2.665068E-3</v>
      </c>
      <c r="P3688">
        <v>-0.98749600000000004</v>
      </c>
      <c r="Q3688">
        <v>0.1575772</v>
      </c>
      <c r="R3688">
        <v>-4.6318210000000004E-3</v>
      </c>
      <c r="S3688">
        <v>-3.0421450000000001</v>
      </c>
      <c r="T3688">
        <v>-3.1588669999999999E-2</v>
      </c>
      <c r="U3688">
        <v>-0.1853638</v>
      </c>
      <c r="V3688">
        <v>-1.9930579999999998E-3</v>
      </c>
      <c r="W3688">
        <v>0.1701973</v>
      </c>
      <c r="X3688">
        <v>0.98540799999999995</v>
      </c>
      <c r="Y3688">
        <v>-5.8151599999999998E-2</v>
      </c>
      <c r="Z3688">
        <v>-6.8038020000000003E-4</v>
      </c>
      <c r="AA3688">
        <v>0.99830750000000001</v>
      </c>
      <c r="AB3688">
        <v>29</v>
      </c>
      <c r="AC3688">
        <v>-107.7457</v>
      </c>
      <c r="AD3688">
        <v>-1.1213904536079999</v>
      </c>
      <c r="AE3688">
        <v>-6.5796999999999999</v>
      </c>
      <c r="AF3688">
        <v>-6.2918245588544499</v>
      </c>
      <c r="AG3688">
        <v>-1.1213904536079999</v>
      </c>
      <c r="AH3688">
        <v>107.751225692668</v>
      </c>
      <c r="AI3688">
        <v>90.595254253665004</v>
      </c>
      <c r="AJ3688">
        <v>93.341828428354503</v>
      </c>
      <c r="AK3688">
        <v>107.940591118916</v>
      </c>
      <c r="AL3688">
        <v>80.200709407642094</v>
      </c>
      <c r="AM3688">
        <v>90.115884644746799</v>
      </c>
      <c r="AN3688">
        <v>1.00000000983574</v>
      </c>
    </row>
    <row r="3689" spans="1:40" x14ac:dyDescent="0.25">
      <c r="A3689" t="str">
        <f>"20190303161946048"</f>
        <v>20190303161946048</v>
      </c>
      <c r="B3689" t="str">
        <f>"1551601186035802"</f>
        <v>1551601186035802</v>
      </c>
      <c r="C3689" t="s">
        <v>40</v>
      </c>
      <c r="D3689">
        <v>4.2929639999999996</v>
      </c>
      <c r="E3689">
        <v>0.4781958</v>
      </c>
      <c r="F3689" t="s">
        <v>49</v>
      </c>
      <c r="G3689">
        <v>-478.12419999999997</v>
      </c>
      <c r="H3689">
        <v>8.0000089999999996E-2</v>
      </c>
      <c r="I3689">
        <v>277.91460000000001</v>
      </c>
      <c r="J3689">
        <v>-381.62740000000002</v>
      </c>
      <c r="K3689">
        <v>1.1213959999999901</v>
      </c>
      <c r="L3689">
        <v>283.83710000000002</v>
      </c>
      <c r="M3689">
        <v>-0.99991479999999999</v>
      </c>
      <c r="N3689">
        <v>-1.2790279999999999E-2</v>
      </c>
      <c r="O3689">
        <v>-2.6649349999999998E-3</v>
      </c>
      <c r="P3689">
        <v>-0.98741279999999998</v>
      </c>
      <c r="Q3689">
        <v>0.1580897</v>
      </c>
      <c r="R3689">
        <v>-4.9300380000000003E-3</v>
      </c>
      <c r="S3689">
        <v>-3.0423279999999999</v>
      </c>
      <c r="T3689">
        <v>-3.273475E-2</v>
      </c>
      <c r="U3689">
        <v>-0.18618770000000001</v>
      </c>
      <c r="V3689">
        <v>-2.2916960000000002E-3</v>
      </c>
      <c r="W3689">
        <v>0.1707061</v>
      </c>
      <c r="X3689">
        <v>0.98531930000000001</v>
      </c>
      <c r="Y3689">
        <v>-5.8417049999999998E-2</v>
      </c>
      <c r="Z3689">
        <v>-6.9335719999999998E-4</v>
      </c>
      <c r="AA3689">
        <v>0.99829199999999996</v>
      </c>
      <c r="AB3689">
        <v>29</v>
      </c>
      <c r="AC3689">
        <v>-96.496799999999894</v>
      </c>
      <c r="AD3689">
        <v>-1.0413959100000001</v>
      </c>
      <c r="AE3689">
        <v>-5.9225000000000101</v>
      </c>
      <c r="AF3689">
        <v>-5.6646429953726001</v>
      </c>
      <c r="AG3689">
        <v>-1.0413959100000001</v>
      </c>
      <c r="AH3689">
        <v>96.501044568396907</v>
      </c>
      <c r="AI3689">
        <v>90.617223909733497</v>
      </c>
      <c r="AJ3689">
        <v>93.3594260487383</v>
      </c>
      <c r="AK3689">
        <v>96.672769115703503</v>
      </c>
      <c r="AL3689">
        <v>80.171124009767894</v>
      </c>
      <c r="AM3689">
        <v>90.133260631312297</v>
      </c>
      <c r="AN3689">
        <v>0.99999997370012705</v>
      </c>
    </row>
    <row r="3690" spans="1:40" x14ac:dyDescent="0.25">
      <c r="A3690" t="str">
        <f>"20190303161946068"</f>
        <v>20190303161946068</v>
      </c>
      <c r="B3690" t="str">
        <f>"1551601186066058"</f>
        <v>1551601186066058</v>
      </c>
      <c r="C3690" t="s">
        <v>40</v>
      </c>
      <c r="D3690">
        <v>4.2754849999999998</v>
      </c>
      <c r="E3690">
        <v>0.47769460000000002</v>
      </c>
      <c r="F3690" t="s">
        <v>49</v>
      </c>
      <c r="G3690">
        <v>-488.63159999999999</v>
      </c>
      <c r="H3690" s="1">
        <v>2.4211360000000001E-6</v>
      </c>
      <c r="I3690">
        <v>277.1309</v>
      </c>
      <c r="J3690">
        <v>-381.9049</v>
      </c>
      <c r="K3690">
        <v>1.1213979999999999</v>
      </c>
      <c r="L3690">
        <v>283.83640000000003</v>
      </c>
      <c r="M3690">
        <v>-0.99991479999999999</v>
      </c>
      <c r="N3690">
        <v>-1.2787990000000001E-2</v>
      </c>
      <c r="O3690">
        <v>-2.6650390000000001E-3</v>
      </c>
      <c r="P3690">
        <v>-0.98736040000000003</v>
      </c>
      <c r="Q3690">
        <v>0.1584149</v>
      </c>
      <c r="R3690">
        <v>-4.961984E-3</v>
      </c>
      <c r="S3690">
        <v>-3.042389</v>
      </c>
      <c r="T3690">
        <v>-3.1883960000000003E-2</v>
      </c>
      <c r="U3690">
        <v>-0.1906738</v>
      </c>
      <c r="V3690">
        <v>-2.323983E-3</v>
      </c>
      <c r="W3690">
        <v>0.1710285</v>
      </c>
      <c r="X3690">
        <v>0.98526329999999995</v>
      </c>
      <c r="Y3690">
        <v>-5.9882150000000002E-2</v>
      </c>
      <c r="Z3690">
        <v>-7.0291280000000004E-4</v>
      </c>
      <c r="AA3690">
        <v>0.99820520000000001</v>
      </c>
      <c r="AB3690">
        <v>29</v>
      </c>
      <c r="AC3690">
        <v>-106.72669999999999</v>
      </c>
      <c r="AD3690">
        <v>-1.121395578864</v>
      </c>
      <c r="AE3690">
        <v>-6.7055000000000202</v>
      </c>
      <c r="AF3690">
        <v>-6.4203161203912504</v>
      </c>
      <c r="AG3690">
        <v>-1.121395578864</v>
      </c>
      <c r="AH3690">
        <v>106.732455807794</v>
      </c>
      <c r="AI3690">
        <v>90.600875829106101</v>
      </c>
      <c r="AJ3690">
        <v>93.442385794658094</v>
      </c>
      <c r="AK3690">
        <v>106.93126348216801</v>
      </c>
      <c r="AL3690">
        <v>80.152376003652904</v>
      </c>
      <c r="AM3690">
        <v>90.135145773336504</v>
      </c>
      <c r="AN3690">
        <v>0.99999995951806098</v>
      </c>
    </row>
    <row r="3691" spans="1:40" x14ac:dyDescent="0.25">
      <c r="A3691" t="str">
        <f>"20190303161946080"</f>
        <v>20190303161946080</v>
      </c>
      <c r="B3691" t="str">
        <f>"1551601186075818"</f>
        <v>1551601186075818</v>
      </c>
      <c r="C3691" t="s">
        <v>40</v>
      </c>
      <c r="D3691">
        <v>4.2875509999999997</v>
      </c>
      <c r="E3691">
        <v>0.4775451</v>
      </c>
      <c r="F3691" t="s">
        <v>49</v>
      </c>
      <c r="G3691">
        <v>-488.00580000000002</v>
      </c>
      <c r="H3691" s="1">
        <v>2.277708E-6</v>
      </c>
      <c r="I3691">
        <v>277.03919999999999</v>
      </c>
      <c r="J3691">
        <v>-382.06240000000003</v>
      </c>
      <c r="K3691">
        <v>1.121399</v>
      </c>
      <c r="L3691">
        <v>283.83589999999998</v>
      </c>
      <c r="M3691">
        <v>-0.99991459999999999</v>
      </c>
      <c r="N3691">
        <v>-1.278673E-2</v>
      </c>
      <c r="O3691">
        <v>-2.6649120000000002E-3</v>
      </c>
      <c r="P3691">
        <v>-0.98735459999999997</v>
      </c>
      <c r="Q3691">
        <v>0.15844169999999999</v>
      </c>
      <c r="R3691">
        <v>-5.2043899999999997E-3</v>
      </c>
      <c r="S3691">
        <v>-3.0425420000000001</v>
      </c>
      <c r="T3691">
        <v>-3.2157060000000001E-2</v>
      </c>
      <c r="U3691">
        <v>-0.1949158</v>
      </c>
      <c r="V3691">
        <v>-2.5663930000000001E-3</v>
      </c>
      <c r="W3691">
        <v>0.17105429999999999</v>
      </c>
      <c r="X3691">
        <v>0.98525830000000003</v>
      </c>
      <c r="Y3691">
        <v>-6.1264970000000002E-2</v>
      </c>
      <c r="Z3691">
        <v>-7.2145640000000001E-4</v>
      </c>
      <c r="AA3691">
        <v>0.99812129999999999</v>
      </c>
      <c r="AB3691">
        <v>29</v>
      </c>
      <c r="AC3691">
        <v>-105.9434</v>
      </c>
      <c r="AD3691">
        <v>-1.121396722292</v>
      </c>
      <c r="AE3691">
        <v>-6.79669999999998</v>
      </c>
      <c r="AF3691">
        <v>-6.5135961254258303</v>
      </c>
      <c r="AG3691">
        <v>-1.121396722292</v>
      </c>
      <c r="AH3691">
        <v>105.949315994163</v>
      </c>
      <c r="AI3691">
        <v>90.605268984527001</v>
      </c>
      <c r="AJ3691">
        <v>93.518025988772294</v>
      </c>
      <c r="AK3691">
        <v>106.15527318378901</v>
      </c>
      <c r="AL3691">
        <v>80.150876452068999</v>
      </c>
      <c r="AM3691">
        <v>90.149243254193095</v>
      </c>
      <c r="AN3691">
        <v>1.0000000388201999</v>
      </c>
    </row>
    <row r="3692" spans="1:40" x14ac:dyDescent="0.25">
      <c r="A3692" t="str">
        <f>"20190303161946094"</f>
        <v>20190303161946094</v>
      </c>
      <c r="B3692" t="str">
        <f>"1551601186086553"</f>
        <v>1551601186086553</v>
      </c>
      <c r="C3692" t="s">
        <v>40</v>
      </c>
      <c r="D3692">
        <v>4.2962059999999997</v>
      </c>
      <c r="E3692">
        <v>0.47740929999999998</v>
      </c>
      <c r="F3692" t="s">
        <v>49</v>
      </c>
      <c r="G3692">
        <v>-479.3827</v>
      </c>
      <c r="H3692">
        <v>7.9999920000000002E-2</v>
      </c>
      <c r="I3692">
        <v>277.55059999999997</v>
      </c>
      <c r="J3692">
        <v>-382.23160000000001</v>
      </c>
      <c r="K3692">
        <v>1.121397</v>
      </c>
      <c r="L3692">
        <v>283.83550000000002</v>
      </c>
      <c r="M3692">
        <v>-0.99991479999999999</v>
      </c>
      <c r="N3692">
        <v>-1.2785370000000001E-2</v>
      </c>
      <c r="O3692">
        <v>-2.6650229999999999E-3</v>
      </c>
      <c r="P3692">
        <v>-0.9872957</v>
      </c>
      <c r="Q3692">
        <v>0.15879670000000001</v>
      </c>
      <c r="R3692">
        <v>-5.5733129999999999E-3</v>
      </c>
      <c r="S3692">
        <v>-3.0426030000000002</v>
      </c>
      <c r="T3692">
        <v>-3.2558080000000003E-2</v>
      </c>
      <c r="U3692">
        <v>-0.1965027</v>
      </c>
      <c r="V3692">
        <v>-2.935479E-3</v>
      </c>
      <c r="W3692">
        <v>0.17140710000000001</v>
      </c>
      <c r="X3692">
        <v>0.98519590000000001</v>
      </c>
      <c r="Y3692">
        <v>-6.1781820000000001E-2</v>
      </c>
      <c r="Z3692">
        <v>-7.3115910000000003E-4</v>
      </c>
      <c r="AA3692">
        <v>0.99808940000000002</v>
      </c>
      <c r="AB3692">
        <v>29</v>
      </c>
      <c r="AC3692">
        <v>-97.1511</v>
      </c>
      <c r="AD3692">
        <v>-1.0413970800000001</v>
      </c>
      <c r="AE3692">
        <v>-6.2849000000000501</v>
      </c>
      <c r="AF3692">
        <v>-6.0252571760614897</v>
      </c>
      <c r="AG3692">
        <v>-1.0413970800000001</v>
      </c>
      <c r="AH3692">
        <v>97.156388527238505</v>
      </c>
      <c r="AI3692">
        <v>90.612939362729605</v>
      </c>
      <c r="AJ3692">
        <v>93.548714159380296</v>
      </c>
      <c r="AK3692">
        <v>97.348610999703695</v>
      </c>
      <c r="AL3692">
        <v>80.130358961063493</v>
      </c>
      <c r="AM3692">
        <v>90.170717376942704</v>
      </c>
      <c r="AN3692">
        <v>0.99999998617208896</v>
      </c>
    </row>
    <row r="3693" spans="1:40" x14ac:dyDescent="0.25">
      <c r="A3693" t="str">
        <f>"20190303161946108"</f>
        <v>20190303161946108</v>
      </c>
      <c r="B3693" t="str">
        <f>"1551601186096314"</f>
        <v>1551601186096314</v>
      </c>
      <c r="C3693" t="s">
        <v>40</v>
      </c>
      <c r="D3693">
        <v>4.3005440000000004</v>
      </c>
      <c r="E3693">
        <v>0.47727989999999998</v>
      </c>
      <c r="F3693" t="s">
        <v>49</v>
      </c>
      <c r="G3693">
        <v>-490.1155</v>
      </c>
      <c r="H3693" s="1">
        <v>2.5256999999999998E-6</v>
      </c>
      <c r="I3693">
        <v>276.80079999999998</v>
      </c>
      <c r="J3693">
        <v>-382.40719999999999</v>
      </c>
      <c r="K3693">
        <v>1.121397</v>
      </c>
      <c r="L3693">
        <v>283.83499999999998</v>
      </c>
      <c r="M3693">
        <v>-0.99991479999999999</v>
      </c>
      <c r="N3693">
        <v>-1.2783950000000001E-2</v>
      </c>
      <c r="O3693">
        <v>-2.6648940000000001E-3</v>
      </c>
      <c r="P3693">
        <v>-0.98729769999999994</v>
      </c>
      <c r="Q3693">
        <v>0.15878789999999901</v>
      </c>
      <c r="R3693">
        <v>-5.4426519999999897E-3</v>
      </c>
      <c r="S3693">
        <v>-3.0425719999999998</v>
      </c>
      <c r="T3693">
        <v>-3.162587E-2</v>
      </c>
      <c r="U3693">
        <v>-0.19839480000000001</v>
      </c>
      <c r="V3693">
        <v>-2.8048859999999999E-3</v>
      </c>
      <c r="W3693">
        <v>0.17139679999999999</v>
      </c>
      <c r="X3693">
        <v>0.98519809999999997</v>
      </c>
      <c r="Y3693">
        <v>-6.2400900000000002E-2</v>
      </c>
      <c r="Z3693">
        <v>-7.2965179999999897E-4</v>
      </c>
      <c r="AA3693">
        <v>0.99805089999999996</v>
      </c>
      <c r="AB3693">
        <v>29</v>
      </c>
      <c r="AC3693">
        <v>-107.70829999999999</v>
      </c>
      <c r="AD3693">
        <v>-1.1213944742999999</v>
      </c>
      <c r="AE3693">
        <v>-7.0341999999999896</v>
      </c>
      <c r="AF3693">
        <v>-6.74639219358881</v>
      </c>
      <c r="AG3693">
        <v>-1.1213944742999999</v>
      </c>
      <c r="AH3693">
        <v>107.71503797942</v>
      </c>
      <c r="AI3693">
        <v>90.595304176496001</v>
      </c>
      <c r="AJ3693">
        <v>93.583859415779798</v>
      </c>
      <c r="AK3693">
        <v>107.931926417093</v>
      </c>
      <c r="AL3693">
        <v>80.130958243059098</v>
      </c>
      <c r="AM3693">
        <v>90.163122214311301</v>
      </c>
      <c r="AN3693">
        <v>1.00000001333966</v>
      </c>
    </row>
    <row r="3694" spans="1:40" x14ac:dyDescent="0.25">
      <c r="A3694" t="str">
        <f>"20190303161946123"</f>
        <v>20190303161946123</v>
      </c>
      <c r="B3694" t="str">
        <f>"1551601186115834"</f>
        <v>1551601186115834</v>
      </c>
      <c r="C3694" t="s">
        <v>40</v>
      </c>
      <c r="D3694">
        <v>4.301647</v>
      </c>
      <c r="E3694">
        <v>0.47699780000000003</v>
      </c>
      <c r="F3694" t="s">
        <v>49</v>
      </c>
      <c r="G3694">
        <v>-489.41039999999998</v>
      </c>
      <c r="H3694" s="1">
        <v>2.4559449999999998E-6</v>
      </c>
      <c r="I3694">
        <v>276.83850000000001</v>
      </c>
      <c r="J3694">
        <v>-382.6139</v>
      </c>
      <c r="K3694">
        <v>1.1214010000000001</v>
      </c>
      <c r="L3694">
        <v>283.83440000000002</v>
      </c>
      <c r="M3694">
        <v>-0.99991490000000005</v>
      </c>
      <c r="N3694">
        <v>-1.278224E-2</v>
      </c>
      <c r="O3694">
        <v>-2.665003E-3</v>
      </c>
      <c r="P3694">
        <v>-0.9872959</v>
      </c>
      <c r="Q3694">
        <v>0.1587829</v>
      </c>
      <c r="R3694">
        <v>-5.9263409999999999E-3</v>
      </c>
      <c r="S3694">
        <v>-3.0426329999999999</v>
      </c>
      <c r="T3694">
        <v>-3.1886820000000003E-2</v>
      </c>
      <c r="U3694">
        <v>-0.19894410000000001</v>
      </c>
      <c r="V3694">
        <v>-3.288292E-3</v>
      </c>
      <c r="W3694">
        <v>0.17139019999999999</v>
      </c>
      <c r="X3694">
        <v>0.98519769999999895</v>
      </c>
      <c r="Y3694">
        <v>-6.2578800000000004E-2</v>
      </c>
      <c r="Z3694">
        <v>-7.3410299999999995E-4</v>
      </c>
      <c r="AA3694">
        <v>0.99803980000000003</v>
      </c>
      <c r="AB3694">
        <v>29</v>
      </c>
      <c r="AC3694">
        <v>-106.796499999999</v>
      </c>
      <c r="AD3694">
        <v>-1.1213985440550001</v>
      </c>
      <c r="AE3694">
        <v>-6.9958999999999998</v>
      </c>
      <c r="AF3694">
        <v>-6.7105022299716603</v>
      </c>
      <c r="AG3694">
        <v>-1.1213985440550001</v>
      </c>
      <c r="AH3694">
        <v>106.803040844398</v>
      </c>
      <c r="AI3694">
        <v>90.600381863686906</v>
      </c>
      <c r="AJ3694">
        <v>93.595203918622204</v>
      </c>
      <c r="AK3694">
        <v>107.01952115611</v>
      </c>
      <c r="AL3694">
        <v>80.131341551234399</v>
      </c>
      <c r="AM3694">
        <v>90.1912352757072</v>
      </c>
      <c r="AN3694">
        <v>0.99999996080280196</v>
      </c>
    </row>
    <row r="3695" spans="1:40" x14ac:dyDescent="0.25">
      <c r="A3695" t="str">
        <f>"20190303161946136"</f>
        <v>20190303161946136</v>
      </c>
      <c r="B3695" t="str">
        <f>"1551601186126569"</f>
        <v>1551601186126569</v>
      </c>
      <c r="C3695" t="s">
        <v>40</v>
      </c>
      <c r="D3695">
        <v>4.3190549999999996</v>
      </c>
      <c r="E3695">
        <v>0.47687489999999999</v>
      </c>
      <c r="F3695" t="s">
        <v>49</v>
      </c>
      <c r="G3695">
        <v>-478.20409999999998</v>
      </c>
      <c r="H3695">
        <v>8.0000089999999996E-2</v>
      </c>
      <c r="I3695">
        <v>277.47989999999999</v>
      </c>
      <c r="J3695">
        <v>-382.7604</v>
      </c>
      <c r="K3695">
        <v>1.1213979999999999</v>
      </c>
      <c r="L3695">
        <v>283.83409999999998</v>
      </c>
      <c r="M3695">
        <v>-0.99991490000000005</v>
      </c>
      <c r="N3695">
        <v>-1.2781010000000001E-2</v>
      </c>
      <c r="O3695">
        <v>-2.6649949999999999E-3</v>
      </c>
      <c r="P3695">
        <v>-0.9872341</v>
      </c>
      <c r="Q3695">
        <v>0.15915290000000001</v>
      </c>
      <c r="R3695">
        <v>-6.2854599999999997E-3</v>
      </c>
      <c r="S3695">
        <v>-3.042694</v>
      </c>
      <c r="T3695">
        <v>-3.3148410000000003E-2</v>
      </c>
      <c r="U3695">
        <v>-0.20227049999999999</v>
      </c>
      <c r="V3695">
        <v>-3.647436E-3</v>
      </c>
      <c r="W3695">
        <v>0.17175799999999999</v>
      </c>
      <c r="X3695">
        <v>0.98513240000000002</v>
      </c>
      <c r="Y3695">
        <v>-6.3663259999999999E-2</v>
      </c>
      <c r="Z3695">
        <v>-7.5875270000000004E-4</v>
      </c>
      <c r="AA3695">
        <v>0.99797119999999995</v>
      </c>
      <c r="AB3695">
        <v>29</v>
      </c>
      <c r="AC3695">
        <v>-95.443699999999893</v>
      </c>
      <c r="AD3695">
        <v>-1.0413979099999999</v>
      </c>
      <c r="AE3695">
        <v>-6.3541999999999899</v>
      </c>
      <c r="AF3695">
        <v>-6.0990767976548002</v>
      </c>
      <c r="AG3695">
        <v>-1.0413979099999999</v>
      </c>
      <c r="AH3695">
        <v>95.448983000885207</v>
      </c>
      <c r="AI3695">
        <v>90.623829699983602</v>
      </c>
      <c r="AJ3695">
        <v>93.656161649235699</v>
      </c>
      <c r="AK3695">
        <v>95.649315749219696</v>
      </c>
      <c r="AL3695">
        <v>80.109951157402605</v>
      </c>
      <c r="AM3695">
        <v>90.212135682385295</v>
      </c>
      <c r="AN3695">
        <v>0.99999997994156598</v>
      </c>
    </row>
    <row r="3696" spans="1:40" x14ac:dyDescent="0.25">
      <c r="A3696" t="str">
        <f>"20190303161946148"</f>
        <v>20190303161946148</v>
      </c>
      <c r="B3696" t="str">
        <f>"1551601186136330"</f>
        <v>1551601186136330</v>
      </c>
      <c r="C3696" t="s">
        <v>40</v>
      </c>
      <c r="D3696">
        <v>4.3265919999999998</v>
      </c>
      <c r="E3696">
        <v>0.47676439999999998</v>
      </c>
      <c r="F3696" t="s">
        <v>49</v>
      </c>
      <c r="G3696">
        <v>-488.00810000000001</v>
      </c>
      <c r="H3696" s="1">
        <v>2.1755269999999999E-6</v>
      </c>
      <c r="I3696">
        <v>276.74900000000002</v>
      </c>
      <c r="J3696">
        <v>-382.9255</v>
      </c>
      <c r="K3696">
        <v>1.121397</v>
      </c>
      <c r="L3696">
        <v>283.83359999999999</v>
      </c>
      <c r="M3696">
        <v>-0.99991490000000005</v>
      </c>
      <c r="N3696">
        <v>-1.277962E-2</v>
      </c>
      <c r="O3696">
        <v>-2.6649859999999998E-3</v>
      </c>
      <c r="P3696">
        <v>-0.98723249999999996</v>
      </c>
      <c r="Q3696">
        <v>0.15915850000000001</v>
      </c>
      <c r="R3696">
        <v>-6.4089389999999998E-3</v>
      </c>
      <c r="S3696">
        <v>-3.0427550000000001</v>
      </c>
      <c r="T3696">
        <v>-3.2420039999999997E-2</v>
      </c>
      <c r="U3696">
        <v>-0.20483399999999999</v>
      </c>
      <c r="V3696">
        <v>-3.7705070000000002E-3</v>
      </c>
      <c r="W3696">
        <v>0.1717622</v>
      </c>
      <c r="X3696">
        <v>0.98513119999999998</v>
      </c>
      <c r="Y3696">
        <v>-6.4499130000000002E-2</v>
      </c>
      <c r="Z3696">
        <v>-7.6152079999999996E-4</v>
      </c>
      <c r="AA3696">
        <v>0.99791750000000001</v>
      </c>
      <c r="AB3696">
        <v>29</v>
      </c>
      <c r="AC3696">
        <v>-105.0826</v>
      </c>
      <c r="AD3696">
        <v>-1.1213948244730001</v>
      </c>
      <c r="AE3696">
        <v>-7.08459999999996</v>
      </c>
      <c r="AF3696">
        <v>-6.8037370230710099</v>
      </c>
      <c r="AG3696">
        <v>-1.1213948244730001</v>
      </c>
      <c r="AH3696">
        <v>105.089195055232</v>
      </c>
      <c r="AI3696">
        <v>90.610096325982894</v>
      </c>
      <c r="AJ3696">
        <v>93.704302035399294</v>
      </c>
      <c r="AK3696">
        <v>105.315180677755</v>
      </c>
      <c r="AL3696">
        <v>80.109706841998502</v>
      </c>
      <c r="AM3696">
        <v>90.219293717254004</v>
      </c>
      <c r="AN3696">
        <v>0.99999997564265797</v>
      </c>
    </row>
    <row r="3697" spans="1:40" x14ac:dyDescent="0.25">
      <c r="A3697" t="str">
        <f>"20190303161946170"</f>
        <v>20190303161946170</v>
      </c>
      <c r="B3697" t="str">
        <f>"1551601186166199"</f>
        <v>1551601186166199</v>
      </c>
      <c r="C3697" t="s">
        <v>40</v>
      </c>
      <c r="D3697">
        <v>4.3576040000000003</v>
      </c>
      <c r="E3697">
        <v>0.47641359999999999</v>
      </c>
      <c r="F3697" t="s">
        <v>49</v>
      </c>
      <c r="G3697">
        <v>-487.7373</v>
      </c>
      <c r="H3697" s="1">
        <v>2.1164760000000002E-6</v>
      </c>
      <c r="I3697">
        <v>276.71780000000001</v>
      </c>
      <c r="J3697">
        <v>-383.19040000000001</v>
      </c>
      <c r="K3697">
        <v>1.1214</v>
      </c>
      <c r="L3697">
        <v>283.8329</v>
      </c>
      <c r="M3697">
        <v>-0.99991490000000005</v>
      </c>
      <c r="N3697">
        <v>-1.277737E-2</v>
      </c>
      <c r="O3697">
        <v>-2.6652099999999999E-3</v>
      </c>
      <c r="P3697">
        <v>-0.98732220000000004</v>
      </c>
      <c r="Q3697">
        <v>0.15859989999999999</v>
      </c>
      <c r="R3697">
        <v>-6.4340109999999999E-3</v>
      </c>
      <c r="S3697">
        <v>-3.042694</v>
      </c>
      <c r="T3697">
        <v>-3.2554149999999997E-2</v>
      </c>
      <c r="U3697">
        <v>-0.20657349999999999</v>
      </c>
      <c r="V3697">
        <v>-3.795779E-3</v>
      </c>
      <c r="W3697">
        <v>0.17120279999999999</v>
      </c>
      <c r="X3697">
        <v>0.98522849999999995</v>
      </c>
      <c r="Y3697">
        <v>-6.5068020000000004E-2</v>
      </c>
      <c r="Z3697">
        <v>-7.6943149999999995E-4</v>
      </c>
      <c r="AA3697">
        <v>0.99788049999999995</v>
      </c>
      <c r="AB3697">
        <v>29</v>
      </c>
      <c r="AC3697">
        <v>-104.54689999999999</v>
      </c>
      <c r="AD3697">
        <v>-1.1213978835239999</v>
      </c>
      <c r="AE3697">
        <v>-7.1150999999999804</v>
      </c>
      <c r="AF3697">
        <v>-6.8356297252156502</v>
      </c>
      <c r="AG3697">
        <v>-1.1213978835239999</v>
      </c>
      <c r="AH3697">
        <v>104.553519689365</v>
      </c>
      <c r="AI3697">
        <v>90.613198267813601</v>
      </c>
      <c r="AJ3697">
        <v>93.740630911710895</v>
      </c>
      <c r="AK3697">
        <v>104.782736394827</v>
      </c>
      <c r="AL3697">
        <v>80.142240272571101</v>
      </c>
      <c r="AM3697">
        <v>90.220741727050594</v>
      </c>
      <c r="AN3697">
        <v>1.00000000193915</v>
      </c>
    </row>
    <row r="3698" spans="1:40" x14ac:dyDescent="0.25">
      <c r="A3698" t="str">
        <f>"20190303161946181"</f>
        <v>20190303161946181</v>
      </c>
      <c r="B3698" t="str">
        <f>"1551601186175958"</f>
        <v>1551601186175958</v>
      </c>
      <c r="C3698" t="s">
        <v>40</v>
      </c>
      <c r="D3698">
        <v>4.342975</v>
      </c>
      <c r="E3698">
        <v>0.47631210000000002</v>
      </c>
      <c r="F3698" t="s">
        <v>49</v>
      </c>
      <c r="G3698">
        <v>-472.34179999999998</v>
      </c>
      <c r="H3698">
        <v>8.0000349999999998E-2</v>
      </c>
      <c r="I3698">
        <v>277.6841</v>
      </c>
      <c r="J3698">
        <v>-383.3503</v>
      </c>
      <c r="K3698">
        <v>1.121397</v>
      </c>
      <c r="L3698">
        <v>283.83249999999998</v>
      </c>
      <c r="M3698">
        <v>-0.99991490000000005</v>
      </c>
      <c r="N3698">
        <v>-1.2775999999999999E-2</v>
      </c>
      <c r="O3698">
        <v>-2.6652009999999999E-3</v>
      </c>
      <c r="P3698">
        <v>-0.98729710000000004</v>
      </c>
      <c r="Q3698">
        <v>0.15875500000000001</v>
      </c>
      <c r="R3698">
        <v>-6.4346000000000004E-3</v>
      </c>
      <c r="S3698">
        <v>-3.0428769999999998</v>
      </c>
      <c r="T3698">
        <v>-3.5544630000000001E-2</v>
      </c>
      <c r="U3698">
        <v>-0.20986940000000001</v>
      </c>
      <c r="V3698">
        <v>-3.7966160000000001E-3</v>
      </c>
      <c r="W3698">
        <v>0.17135590000000001</v>
      </c>
      <c r="X3698">
        <v>0.98520189999999996</v>
      </c>
      <c r="Y3698">
        <v>-6.6138479999999999E-2</v>
      </c>
      <c r="Z3698">
        <v>-8.1177840000000001E-4</v>
      </c>
      <c r="AA3698">
        <v>0.99781010000000003</v>
      </c>
      <c r="AB3698">
        <v>29</v>
      </c>
      <c r="AC3698">
        <v>-88.991499999999903</v>
      </c>
      <c r="AD3698">
        <v>-1.04139665</v>
      </c>
      <c r="AE3698">
        <v>-6.1483999999999801</v>
      </c>
      <c r="AF3698">
        <v>-5.9103730508468297</v>
      </c>
      <c r="AG3698">
        <v>-1.04139665</v>
      </c>
      <c r="AH3698">
        <v>88.995442661911596</v>
      </c>
      <c r="AI3698">
        <v>90.668953099924494</v>
      </c>
      <c r="AJ3698">
        <v>93.799552770989905</v>
      </c>
      <c r="AK3698">
        <v>89.197566285030504</v>
      </c>
      <c r="AL3698">
        <v>80.133336909026099</v>
      </c>
      <c r="AM3698">
        <v>90.220796363087402</v>
      </c>
      <c r="AN3698">
        <v>1.0000000212607301</v>
      </c>
    </row>
    <row r="3699" spans="1:40" x14ac:dyDescent="0.25">
      <c r="A3699" t="str">
        <f>"20190303161946194"</f>
        <v>20190303161946194</v>
      </c>
      <c r="B3699" t="str">
        <f>"1551601186185718"</f>
        <v>1551601186185718</v>
      </c>
      <c r="C3699" t="s">
        <v>40</v>
      </c>
      <c r="D3699">
        <v>4.4209839999999998</v>
      </c>
      <c r="E3699">
        <v>0.47621609999999998</v>
      </c>
      <c r="F3699" t="s">
        <v>49</v>
      </c>
      <c r="G3699">
        <v>-473.31760000000003</v>
      </c>
      <c r="H3699">
        <v>8.0000180000000004E-2</v>
      </c>
      <c r="I3699">
        <v>277.60570000000001</v>
      </c>
      <c r="J3699">
        <v>-383.5077</v>
      </c>
      <c r="K3699">
        <v>1.121397</v>
      </c>
      <c r="L3699">
        <v>283.83210000000003</v>
      </c>
      <c r="M3699">
        <v>-0.999915</v>
      </c>
      <c r="N3699">
        <v>-1.277464E-2</v>
      </c>
      <c r="O3699">
        <v>-2.6651930000000002E-3</v>
      </c>
      <c r="P3699">
        <v>-0.98729449999999996</v>
      </c>
      <c r="Q3699">
        <v>0.1587914</v>
      </c>
      <c r="R3699">
        <v>-5.9349900000000002E-3</v>
      </c>
      <c r="S3699">
        <v>-3.0428470000000001</v>
      </c>
      <c r="T3699">
        <v>-3.5221820000000001E-2</v>
      </c>
      <c r="U3699">
        <v>-0.21060180000000001</v>
      </c>
      <c r="V3699">
        <v>-3.296748E-3</v>
      </c>
      <c r="W3699">
        <v>0.17139109999999999</v>
      </c>
      <c r="X3699">
        <v>0.98519749999999995</v>
      </c>
      <c r="Y3699">
        <v>-6.6378290000000006E-2</v>
      </c>
      <c r="Z3699">
        <v>-8.1143190000000003E-4</v>
      </c>
      <c r="AA3699">
        <v>0.99779419999999996</v>
      </c>
      <c r="AB3699">
        <v>29</v>
      </c>
      <c r="AC3699">
        <v>-89.809899999999999</v>
      </c>
      <c r="AD3699">
        <v>-1.0413968199999999</v>
      </c>
      <c r="AE3699">
        <v>-6.2264000000000097</v>
      </c>
      <c r="AF3699">
        <v>-5.9861966315465702</v>
      </c>
      <c r="AG3699">
        <v>-1.0413968199999999</v>
      </c>
      <c r="AH3699">
        <v>89.814158491154799</v>
      </c>
      <c r="AI3699">
        <v>90.662845316529001</v>
      </c>
      <c r="AJ3699">
        <v>93.813176823281594</v>
      </c>
      <c r="AK3699">
        <v>90.019454135884004</v>
      </c>
      <c r="AL3699">
        <v>80.1312890615757</v>
      </c>
      <c r="AM3699">
        <v>90.191727081611205</v>
      </c>
      <c r="AN3699">
        <v>0.99999994585641605</v>
      </c>
    </row>
    <row r="3700" spans="1:40" x14ac:dyDescent="0.25">
      <c r="A3700" t="str">
        <f>"20190303161946216"</f>
        <v>20190303161946216</v>
      </c>
      <c r="B3700" t="str">
        <f>"1551601186206214"</f>
        <v>1551601186206214</v>
      </c>
      <c r="C3700" t="s">
        <v>40</v>
      </c>
      <c r="D3700">
        <v>4.4102480000000002</v>
      </c>
      <c r="E3700">
        <v>0.47603050000000002</v>
      </c>
      <c r="F3700" t="s">
        <v>49</v>
      </c>
      <c r="G3700">
        <v>-472.00900000000001</v>
      </c>
      <c r="H3700">
        <v>8.0000399999999902E-2</v>
      </c>
      <c r="I3700">
        <v>277.73750000000001</v>
      </c>
      <c r="J3700">
        <v>-383.76589999999999</v>
      </c>
      <c r="K3700">
        <v>1.1214010000000001</v>
      </c>
      <c r="L3700">
        <v>283.83150000000001</v>
      </c>
      <c r="M3700">
        <v>-0.999915</v>
      </c>
      <c r="N3700">
        <v>-1.277242E-2</v>
      </c>
      <c r="O3700">
        <v>-2.6651790000000002E-3</v>
      </c>
      <c r="P3700">
        <v>-0.98734040000000001</v>
      </c>
      <c r="Q3700">
        <v>0.15851879999999999</v>
      </c>
      <c r="R3700">
        <v>-5.552871E-3</v>
      </c>
      <c r="S3700">
        <v>-3.0431210000000002</v>
      </c>
      <c r="T3700">
        <v>-3.5808439999999997E-2</v>
      </c>
      <c r="U3700">
        <v>-0.20956420000000001</v>
      </c>
      <c r="V3700">
        <v>-2.9144879999999998E-3</v>
      </c>
      <c r="W3700">
        <v>0.17111680000000001</v>
      </c>
      <c r="X3700">
        <v>0.98524639999999997</v>
      </c>
      <c r="Y3700">
        <v>-6.6033330000000001E-2</v>
      </c>
      <c r="Z3700">
        <v>-8.1296419999999996E-4</v>
      </c>
      <c r="AA3700">
        <v>0.99781710000000001</v>
      </c>
      <c r="AB3700">
        <v>29</v>
      </c>
      <c r="AC3700">
        <v>-88.243099999999998</v>
      </c>
      <c r="AD3700">
        <v>-1.0414006</v>
      </c>
      <c r="AE3700">
        <v>-6.0939999999999896</v>
      </c>
      <c r="AF3700">
        <v>-5.85796354207696</v>
      </c>
      <c r="AG3700">
        <v>-1.0414006</v>
      </c>
      <c r="AH3700">
        <v>88.246797206667694</v>
      </c>
      <c r="AI3700">
        <v>90.674631587801898</v>
      </c>
      <c r="AJ3700">
        <v>93.797813647397803</v>
      </c>
      <c r="AK3700">
        <v>88.447145060226404</v>
      </c>
      <c r="AL3700">
        <v>80.1472411050636</v>
      </c>
      <c r="AM3700">
        <v>90.169487931918397</v>
      </c>
      <c r="AN3700">
        <v>0.99999996109775002</v>
      </c>
    </row>
    <row r="3701" spans="1:40" x14ac:dyDescent="0.25">
      <c r="A3701" t="str">
        <f>"20190303161946232"</f>
        <v>20190303161946232</v>
      </c>
      <c r="B3701" t="str">
        <f>"1551601186225734"</f>
        <v>1551601186225734</v>
      </c>
      <c r="C3701" t="s">
        <v>40</v>
      </c>
      <c r="D3701">
        <v>4.3880589999999904</v>
      </c>
      <c r="E3701">
        <v>0.47587489999999999</v>
      </c>
      <c r="F3701" t="s">
        <v>52</v>
      </c>
      <c r="G3701">
        <v>-467.81880000000001</v>
      </c>
      <c r="H3701">
        <v>8.0000920000000003E-2</v>
      </c>
      <c r="I3701">
        <v>278.03590000000003</v>
      </c>
      <c r="J3701">
        <v>-383.99180000000001</v>
      </c>
      <c r="K3701">
        <v>1.1214</v>
      </c>
      <c r="L3701">
        <v>283.83080000000001</v>
      </c>
      <c r="M3701">
        <v>-0.999915</v>
      </c>
      <c r="N3701">
        <v>-1.2770490000000001E-2</v>
      </c>
      <c r="O3701">
        <v>-2.665167E-3</v>
      </c>
      <c r="P3701">
        <v>-0.98738970000000004</v>
      </c>
      <c r="Q3701">
        <v>0.15821979999999999</v>
      </c>
      <c r="R3701">
        <v>-5.302841E-3</v>
      </c>
      <c r="S3701">
        <v>-3.043304</v>
      </c>
      <c r="T3701">
        <v>-3.770602E-2</v>
      </c>
      <c r="U3701">
        <v>-0.20983889999999999</v>
      </c>
      <c r="V3701">
        <v>-2.6646949999999999E-3</v>
      </c>
      <c r="W3701">
        <v>0.17081660000000001</v>
      </c>
      <c r="X3701">
        <v>0.98529920000000004</v>
      </c>
      <c r="Y3701">
        <v>-6.6118090000000004E-2</v>
      </c>
      <c r="Z3701">
        <v>-8.3284280000000003E-4</v>
      </c>
      <c r="AA3701">
        <v>0.99781140000000001</v>
      </c>
      <c r="AB3701">
        <v>29</v>
      </c>
      <c r="AC3701">
        <v>-83.826999999999998</v>
      </c>
      <c r="AD3701">
        <v>-1.0413990799999999</v>
      </c>
      <c r="AE3701">
        <v>-5.7948999999999797</v>
      </c>
      <c r="AF3701">
        <v>-5.5705926109901904</v>
      </c>
      <c r="AG3701">
        <v>-1.0413990799999999</v>
      </c>
      <c r="AH3701">
        <v>83.829271549567395</v>
      </c>
      <c r="AI3701">
        <v>90.710174568373205</v>
      </c>
      <c r="AJ3701">
        <v>93.801809077597397</v>
      </c>
      <c r="AK3701">
        <v>84.020609273038204</v>
      </c>
      <c r="AL3701">
        <v>80.164698338549996</v>
      </c>
      <c r="AM3701">
        <v>90.154953343070204</v>
      </c>
      <c r="AN3701">
        <v>0.99999996247781997</v>
      </c>
    </row>
    <row r="3702" spans="1:40" x14ac:dyDescent="0.25">
      <c r="A3702" t="str">
        <f>"20190303161946248"</f>
        <v>20190303161946248</v>
      </c>
      <c r="B3702" t="str">
        <f>"1551601186236470"</f>
        <v>1551601186236470</v>
      </c>
      <c r="C3702" t="s">
        <v>40</v>
      </c>
      <c r="D3702">
        <v>4.4442839999999997</v>
      </c>
      <c r="E3702">
        <v>0.47577370000000002</v>
      </c>
      <c r="F3702" t="s">
        <v>52</v>
      </c>
      <c r="G3702">
        <v>-464.5446</v>
      </c>
      <c r="H3702">
        <v>8.0000399999999902E-2</v>
      </c>
      <c r="I3702">
        <v>278.26319999999998</v>
      </c>
      <c r="J3702">
        <v>-384.19439999999997</v>
      </c>
      <c r="K3702">
        <v>1.121399</v>
      </c>
      <c r="L3702">
        <v>283.83030000000002</v>
      </c>
      <c r="M3702">
        <v>-0.999915</v>
      </c>
      <c r="N3702">
        <v>-1.276877E-2</v>
      </c>
      <c r="O3702">
        <v>-2.6652749999999999E-3</v>
      </c>
      <c r="P3702">
        <v>-0.98749699999999996</v>
      </c>
      <c r="Q3702">
        <v>0.157556</v>
      </c>
      <c r="R3702">
        <v>-5.1121889999999996E-3</v>
      </c>
      <c r="S3702">
        <v>-3.043488</v>
      </c>
      <c r="T3702">
        <v>-3.9346689999999997E-2</v>
      </c>
      <c r="U3702">
        <v>-0.21035770000000001</v>
      </c>
      <c r="V3702">
        <v>-2.4732930000000001E-3</v>
      </c>
      <c r="W3702">
        <v>0.17015259999999999</v>
      </c>
      <c r="X3702">
        <v>0.98541460000000003</v>
      </c>
      <c r="Y3702">
        <v>-6.6282430000000003E-2</v>
      </c>
      <c r="Z3702">
        <v>-8.5123589999999997E-4</v>
      </c>
      <c r="AA3702">
        <v>0.99780049999999998</v>
      </c>
      <c r="AB3702">
        <v>29</v>
      </c>
      <c r="AC3702">
        <v>-80.350200000000001</v>
      </c>
      <c r="AD3702">
        <v>-1.0413986</v>
      </c>
      <c r="AE3702">
        <v>-5.5671000000000301</v>
      </c>
      <c r="AF3702">
        <v>-5.3520126590071797</v>
      </c>
      <c r="AG3702">
        <v>-1.0413986</v>
      </c>
      <c r="AH3702">
        <v>80.351320615525594</v>
      </c>
      <c r="AI3702">
        <v>90.740902627382894</v>
      </c>
      <c r="AJ3702">
        <v>93.810708390229706</v>
      </c>
      <c r="AK3702">
        <v>80.536099205295798</v>
      </c>
      <c r="AL3702">
        <v>80.203308135483098</v>
      </c>
      <c r="AM3702">
        <v>90.143806427091405</v>
      </c>
      <c r="AN3702">
        <v>0.999999979179091</v>
      </c>
    </row>
    <row r="3703" spans="1:40" x14ac:dyDescent="0.25">
      <c r="A3703" t="str">
        <f>"20190303161946271"</f>
        <v>20190303161946271</v>
      </c>
      <c r="B3703" t="str">
        <f>"1551601186266295"</f>
        <v>1551601186266295</v>
      </c>
      <c r="C3703" t="s">
        <v>40</v>
      </c>
      <c r="D3703">
        <v>4.4114240000000002</v>
      </c>
      <c r="E3703">
        <v>0.4755818</v>
      </c>
      <c r="F3703" t="s">
        <v>52</v>
      </c>
      <c r="G3703">
        <v>-459.80509999999998</v>
      </c>
      <c r="H3703">
        <v>8.0000310000000005E-2</v>
      </c>
      <c r="I3703">
        <v>278.59309999999999</v>
      </c>
      <c r="J3703">
        <v>-384.4794</v>
      </c>
      <c r="K3703">
        <v>1.121397</v>
      </c>
      <c r="L3703">
        <v>283.82960000000003</v>
      </c>
      <c r="M3703">
        <v>-0.99991490000000005</v>
      </c>
      <c r="N3703">
        <v>-1.2766339999999999E-2</v>
      </c>
      <c r="O3703">
        <v>-2.6651399999999999E-3</v>
      </c>
      <c r="P3703">
        <v>-0.98758699999999999</v>
      </c>
      <c r="Q3703">
        <v>0.15697340000000001</v>
      </c>
      <c r="R3703">
        <v>-5.6003759999999998E-3</v>
      </c>
      <c r="S3703">
        <v>-3.0435789999999998</v>
      </c>
      <c r="T3703">
        <v>-4.1919709999999999E-2</v>
      </c>
      <c r="U3703">
        <v>-0.21081539999999999</v>
      </c>
      <c r="V3703">
        <v>-2.9618029999999998E-3</v>
      </c>
      <c r="W3703">
        <v>0.169569</v>
      </c>
      <c r="X3703">
        <v>0.98551390000000005</v>
      </c>
      <c r="Y3703">
        <v>-6.6428749999999995E-2</v>
      </c>
      <c r="Z3703">
        <v>-8.7881169999999998E-4</v>
      </c>
      <c r="AA3703">
        <v>0.99779079999999998</v>
      </c>
      <c r="AB3703">
        <v>29</v>
      </c>
      <c r="AC3703">
        <v>-75.325699999999898</v>
      </c>
      <c r="AD3703">
        <v>-1.04139669</v>
      </c>
      <c r="AE3703">
        <v>-5.2365000000000297</v>
      </c>
      <c r="AF3703">
        <v>-5.0347537888592599</v>
      </c>
      <c r="AG3703">
        <v>-1.04139669</v>
      </c>
      <c r="AH3703">
        <v>75.325061378109396</v>
      </c>
      <c r="AI3703">
        <v>90.790321528805194</v>
      </c>
      <c r="AJ3703">
        <v>93.823982253833094</v>
      </c>
      <c r="AK3703">
        <v>75.500318703938802</v>
      </c>
      <c r="AL3703">
        <v>80.237239561563598</v>
      </c>
      <c r="AM3703">
        <v>90.172192701434199</v>
      </c>
      <c r="AN3703">
        <v>1.00000003256561</v>
      </c>
    </row>
    <row r="3704" spans="1:40" x14ac:dyDescent="0.25">
      <c r="A3704" t="str">
        <f>"20190303161946283"</f>
        <v>20190303161946283</v>
      </c>
      <c r="B3704" t="str">
        <f>"1551601186276056"</f>
        <v>1551601186276056</v>
      </c>
      <c r="C3704" t="s">
        <v>40</v>
      </c>
      <c r="D3704">
        <v>4.4528540000000003</v>
      </c>
      <c r="E3704">
        <v>0.47555419999999998</v>
      </c>
      <c r="F3704" t="s">
        <v>52</v>
      </c>
      <c r="G3704">
        <v>-454.78559999999999</v>
      </c>
      <c r="H3704">
        <v>8.0000310000000005E-2</v>
      </c>
      <c r="I3704">
        <v>278.88310000000001</v>
      </c>
      <c r="J3704">
        <v>-384.64769999999999</v>
      </c>
      <c r="K3704">
        <v>1.1213959999999901</v>
      </c>
      <c r="L3704">
        <v>283.82909999999998</v>
      </c>
      <c r="M3704">
        <v>-0.99991509999999995</v>
      </c>
      <c r="N3704">
        <v>-1.2764889999999999E-2</v>
      </c>
      <c r="O3704">
        <v>-2.6652500000000001E-3</v>
      </c>
      <c r="P3704">
        <v>-0.98759549999999996</v>
      </c>
      <c r="Q3704">
        <v>0.15690899999999999</v>
      </c>
      <c r="R3704">
        <v>-5.9052330000000002E-3</v>
      </c>
      <c r="S3704">
        <v>-3.0436709999999998</v>
      </c>
      <c r="T3704">
        <v>-4.5083760000000001E-2</v>
      </c>
      <c r="U3704">
        <v>-0.21414179999999999</v>
      </c>
      <c r="V3704">
        <v>-3.2663549999999999E-3</v>
      </c>
      <c r="W3704">
        <v>0.16950319999999999</v>
      </c>
      <c r="X3704">
        <v>0.98552419999999996</v>
      </c>
      <c r="Y3704">
        <v>-6.7510070000000005E-2</v>
      </c>
      <c r="Z3704">
        <v>-9.2537279999999999E-4</v>
      </c>
      <c r="AA3704">
        <v>0.9977182</v>
      </c>
      <c r="AB3704">
        <v>28</v>
      </c>
      <c r="AC3704">
        <v>-70.137900000000002</v>
      </c>
      <c r="AD3704">
        <v>-1.0413956900000001</v>
      </c>
      <c r="AE3704">
        <v>-4.9459999999999598</v>
      </c>
      <c r="AF3704">
        <v>-4.7579884373570502</v>
      </c>
      <c r="AG3704">
        <v>-1.0413956900000001</v>
      </c>
      <c r="AH3704">
        <v>70.135448825679305</v>
      </c>
      <c r="AI3704">
        <v>90.848734749548896</v>
      </c>
      <c r="AJ3704">
        <v>93.880998840991495</v>
      </c>
      <c r="AK3704">
        <v>70.304367865251805</v>
      </c>
      <c r="AL3704">
        <v>80.241064446758799</v>
      </c>
      <c r="AM3704">
        <v>90.189896575480802</v>
      </c>
      <c r="AN3704">
        <v>0.99999997633543203</v>
      </c>
    </row>
    <row r="3705" spans="1:40" x14ac:dyDescent="0.25">
      <c r="A3705" t="str">
        <f>"20190303161946303"</f>
        <v>20190303161946303</v>
      </c>
      <c r="B3705" t="str">
        <f>"1551601186296551"</f>
        <v>1551601186296551</v>
      </c>
      <c r="C3705" t="s">
        <v>40</v>
      </c>
      <c r="D3705">
        <v>4.4770089999999998</v>
      </c>
      <c r="E3705">
        <v>0.47548679999999899</v>
      </c>
      <c r="F3705" t="s">
        <v>52</v>
      </c>
      <c r="G3705">
        <v>-453.76319999999998</v>
      </c>
      <c r="H3705">
        <v>8.0000600000000005E-2</v>
      </c>
      <c r="I3705">
        <v>278.94560000000001</v>
      </c>
      <c r="J3705">
        <v>-384.89479999999998</v>
      </c>
      <c r="K3705">
        <v>1.1213930000000001</v>
      </c>
      <c r="L3705">
        <v>283.82850000000002</v>
      </c>
      <c r="M3705">
        <v>-0.99991509999999995</v>
      </c>
      <c r="N3705">
        <v>-1.276278E-2</v>
      </c>
      <c r="O3705">
        <v>-2.665237E-3</v>
      </c>
      <c r="P3705">
        <v>-0.98755570000000004</v>
      </c>
      <c r="Q3705">
        <v>0.1571205</v>
      </c>
      <c r="R3705">
        <v>-6.8600789999999998E-3</v>
      </c>
      <c r="S3705">
        <v>-3.0436399999999999</v>
      </c>
      <c r="T3705">
        <v>-4.585993E-2</v>
      </c>
      <c r="U3705">
        <v>-0.21505740000000001</v>
      </c>
      <c r="V3705">
        <v>-4.2211059999999996E-3</v>
      </c>
      <c r="W3705">
        <v>0.16971240000000001</v>
      </c>
      <c r="X3705">
        <v>0.98548460000000004</v>
      </c>
      <c r="Y3705">
        <v>-6.780899E-2</v>
      </c>
      <c r="Z3705">
        <v>-9.3737710000000001E-4</v>
      </c>
      <c r="AA3705">
        <v>0.99769790000000003</v>
      </c>
      <c r="AB3705">
        <v>28</v>
      </c>
      <c r="AC3705">
        <v>-68.868399999999994</v>
      </c>
      <c r="AD3705">
        <v>-1.0413924000000001</v>
      </c>
      <c r="AE3705">
        <v>-4.8829000000000002</v>
      </c>
      <c r="AF3705">
        <v>-4.6982481893873</v>
      </c>
      <c r="AG3705">
        <v>-1.0413924000000001</v>
      </c>
      <c r="AH3705">
        <v>68.865502529607696</v>
      </c>
      <c r="AI3705">
        <v>90.864358706648105</v>
      </c>
      <c r="AJ3705">
        <v>93.902873011740795</v>
      </c>
      <c r="AK3705">
        <v>69.0334373534685</v>
      </c>
      <c r="AL3705">
        <v>80.228902253862998</v>
      </c>
      <c r="AM3705">
        <v>90.2454123379013</v>
      </c>
      <c r="AN3705">
        <v>1.0000000066433901</v>
      </c>
    </row>
    <row r="3706" spans="1:40" x14ac:dyDescent="0.25">
      <c r="A3706" t="str">
        <f>"20190303161946317"</f>
        <v>20190303161946317</v>
      </c>
      <c r="B3706" t="str">
        <f>"1551601186306312"</f>
        <v>1551601186306312</v>
      </c>
      <c r="C3706" t="s">
        <v>40</v>
      </c>
      <c r="D3706">
        <v>4.4866129999999904</v>
      </c>
      <c r="E3706">
        <v>0.4755259</v>
      </c>
      <c r="F3706" t="s">
        <v>52</v>
      </c>
      <c r="G3706">
        <v>-453.68279999999999</v>
      </c>
      <c r="H3706">
        <v>8.0000639999999998E-2</v>
      </c>
      <c r="I3706">
        <v>278.89490000000001</v>
      </c>
      <c r="J3706">
        <v>-385.0686</v>
      </c>
      <c r="K3706">
        <v>1.121394</v>
      </c>
      <c r="L3706">
        <v>283.82799999999997</v>
      </c>
      <c r="M3706">
        <v>-0.999915</v>
      </c>
      <c r="N3706">
        <v>-1.27613E-2</v>
      </c>
      <c r="O3706">
        <v>-2.6651079999999998E-3</v>
      </c>
      <c r="P3706">
        <v>-0.98758570000000001</v>
      </c>
      <c r="Q3706">
        <v>0.15691229999999901</v>
      </c>
      <c r="R3706">
        <v>-7.2714980000000004E-3</v>
      </c>
      <c r="S3706">
        <v>-3.0436100000000001</v>
      </c>
      <c r="T3706">
        <v>-4.6077729999999997E-2</v>
      </c>
      <c r="U3706">
        <v>-0.21829219999999999</v>
      </c>
      <c r="V3706">
        <v>-4.6329209999999999E-3</v>
      </c>
      <c r="W3706">
        <v>0.16950279999999901</v>
      </c>
      <c r="X3706">
        <v>0.98551880000000003</v>
      </c>
      <c r="Y3706">
        <v>-6.886449E-2</v>
      </c>
      <c r="Z3706">
        <v>-9.5428159999999995E-4</v>
      </c>
      <c r="AA3706">
        <v>0.9976256</v>
      </c>
      <c r="AB3706">
        <v>28</v>
      </c>
      <c r="AC3706">
        <v>-68.614199999999897</v>
      </c>
      <c r="AD3706">
        <v>-1.04139336</v>
      </c>
      <c r="AE3706">
        <v>-4.9330999999999596</v>
      </c>
      <c r="AF3706">
        <v>-4.7491149626618299</v>
      </c>
      <c r="AG3706">
        <v>-1.04139336</v>
      </c>
      <c r="AH3706">
        <v>68.611380757465696</v>
      </c>
      <c r="AI3706">
        <v>90.867501440766205</v>
      </c>
      <c r="AJ3706">
        <v>93.959560766238198</v>
      </c>
      <c r="AK3706">
        <v>68.783429418027495</v>
      </c>
      <c r="AL3706">
        <v>80.241087778673901</v>
      </c>
      <c r="AM3706">
        <v>90.269345308015005</v>
      </c>
      <c r="AN3706">
        <v>0.99999998415913505</v>
      </c>
    </row>
    <row r="3707" spans="1:40" x14ac:dyDescent="0.25">
      <c r="A3707" t="str">
        <f>"20190303161946330"</f>
        <v>20190303161946330</v>
      </c>
      <c r="B3707" t="str">
        <f>"1551601186325832"</f>
        <v>1551601186325832</v>
      </c>
      <c r="C3707" t="s">
        <v>40</v>
      </c>
      <c r="D3707">
        <v>4.4851409999999996</v>
      </c>
      <c r="E3707">
        <v>0.48993409999999898</v>
      </c>
      <c r="F3707" t="s">
        <v>52</v>
      </c>
      <c r="G3707">
        <v>-452.40199999999999</v>
      </c>
      <c r="H3707">
        <v>8.0001000000000003E-2</v>
      </c>
      <c r="I3707">
        <v>278.98050000000001</v>
      </c>
      <c r="J3707">
        <v>-385.24079999999998</v>
      </c>
      <c r="K3707">
        <v>1.1213959999999901</v>
      </c>
      <c r="L3707">
        <v>283.82749999999999</v>
      </c>
      <c r="M3707">
        <v>-0.99991509999999995</v>
      </c>
      <c r="N3707">
        <v>-1.275986E-2</v>
      </c>
      <c r="O3707">
        <v>-2.665218E-3</v>
      </c>
      <c r="P3707">
        <v>-0.98758959999999996</v>
      </c>
      <c r="Q3707">
        <v>0.15685470000000001</v>
      </c>
      <c r="R3707">
        <v>-7.9474509999999995E-3</v>
      </c>
      <c r="S3707">
        <v>-3.0435789999999998</v>
      </c>
      <c r="T3707">
        <v>-4.7072650000000001E-2</v>
      </c>
      <c r="U3707">
        <v>-0.21911620000000001</v>
      </c>
      <c r="V3707">
        <v>-5.3087380000000003E-3</v>
      </c>
      <c r="W3707">
        <v>0.16944400000000001</v>
      </c>
      <c r="X3707">
        <v>0.98552550000000005</v>
      </c>
      <c r="Y3707">
        <v>-6.9133249999999993E-2</v>
      </c>
      <c r="Z3707">
        <v>-9.6839530000000004E-4</v>
      </c>
      <c r="AA3707">
        <v>0.99760700000000002</v>
      </c>
      <c r="AB3707">
        <v>28</v>
      </c>
      <c r="AC3707">
        <v>-67.161199999999994</v>
      </c>
      <c r="AD3707">
        <v>-1.0413949999999901</v>
      </c>
      <c r="AE3707">
        <v>-4.84699999999998</v>
      </c>
      <c r="AF3707">
        <v>-4.66685272908125</v>
      </c>
      <c r="AG3707">
        <v>-1.0413949999999901</v>
      </c>
      <c r="AH3707">
        <v>67.157817496573202</v>
      </c>
      <c r="AI3707">
        <v>90.886259355478899</v>
      </c>
      <c r="AJ3707">
        <v>93.975141086002694</v>
      </c>
      <c r="AK3707">
        <v>67.327828338986194</v>
      </c>
      <c r="AL3707">
        <v>80.244506192853393</v>
      </c>
      <c r="AM3707">
        <v>90.308632643207304</v>
      </c>
      <c r="AN3707">
        <v>0.99999998149270097</v>
      </c>
    </row>
    <row r="3708" spans="1:40" x14ac:dyDescent="0.25">
      <c r="A3708" t="str">
        <f>"20190303161946344"</f>
        <v>20190303161946344</v>
      </c>
      <c r="B3708" t="str">
        <f>"1551601186336568"</f>
        <v>1551601186336568</v>
      </c>
      <c r="C3708" t="s">
        <v>40</v>
      </c>
      <c r="D3708">
        <v>4.4677290000000003</v>
      </c>
      <c r="E3708">
        <v>0.49092059999999998</v>
      </c>
      <c r="F3708" t="s">
        <v>52</v>
      </c>
      <c r="G3708">
        <v>-459.1628</v>
      </c>
      <c r="H3708" s="1">
        <v>3.4865309999999998E-6</v>
      </c>
      <c r="I3708">
        <v>281.24639999999999</v>
      </c>
      <c r="J3708">
        <v>-385.42380000000003</v>
      </c>
      <c r="K3708">
        <v>1.1213959999999901</v>
      </c>
      <c r="L3708">
        <v>283.827</v>
      </c>
      <c r="M3708">
        <v>-0.9999152</v>
      </c>
      <c r="N3708">
        <v>-1.275833E-2</v>
      </c>
      <c r="O3708">
        <v>-2.665447E-3</v>
      </c>
      <c r="P3708">
        <v>-0.98757240000000002</v>
      </c>
      <c r="Q3708">
        <v>0.15696160000000001</v>
      </c>
      <c r="R3708">
        <v>-8.0099779999999992E-3</v>
      </c>
      <c r="S3708">
        <v>-3.0441590000000001</v>
      </c>
      <c r="T3708">
        <v>-4.6179650000000003E-2</v>
      </c>
      <c r="U3708">
        <v>-0.1062927</v>
      </c>
      <c r="V3708">
        <v>-5.3711399999999999E-3</v>
      </c>
      <c r="W3708">
        <v>0.169548799999999</v>
      </c>
      <c r="X3708">
        <v>0.98550709999999997</v>
      </c>
      <c r="Y3708">
        <v>-3.2224700000000002E-2</v>
      </c>
      <c r="Z3708">
        <v>-4.4357240000000002E-4</v>
      </c>
      <c r="AA3708">
        <v>0.99948049999999999</v>
      </c>
      <c r="AB3708">
        <v>28</v>
      </c>
      <c r="AC3708">
        <v>-73.738999999999905</v>
      </c>
      <c r="AD3708">
        <v>-1.1213925134689999</v>
      </c>
      <c r="AE3708">
        <v>-2.5806</v>
      </c>
      <c r="AF3708">
        <v>-2.3834769104829601</v>
      </c>
      <c r="AG3708">
        <v>-1.1213925134689999</v>
      </c>
      <c r="AH3708">
        <v>73.728586613245795</v>
      </c>
      <c r="AI3708">
        <v>90.870931718121497</v>
      </c>
      <c r="AJ3708">
        <v>91.851596923421695</v>
      </c>
      <c r="AK3708">
        <v>73.775625834952805</v>
      </c>
      <c r="AL3708">
        <v>80.238413072540496</v>
      </c>
      <c r="AM3708">
        <v>90.312266249696506</v>
      </c>
      <c r="AN3708">
        <v>0.99999994443837303</v>
      </c>
    </row>
    <row r="3709" spans="1:40" x14ac:dyDescent="0.25">
      <c r="A3709" t="str">
        <f>"20190303161946359"</f>
        <v>20190303161946359</v>
      </c>
      <c r="B3709" t="str">
        <f>"1551601186346309"</f>
        <v>1551601186346309</v>
      </c>
      <c r="C3709" t="s">
        <v>40</v>
      </c>
      <c r="D3709">
        <v>4.477976</v>
      </c>
      <c r="E3709">
        <v>0.4915795</v>
      </c>
      <c r="F3709" t="s">
        <v>52</v>
      </c>
      <c r="G3709">
        <v>-450.82920000000001</v>
      </c>
      <c r="H3709" s="1">
        <v>-9.6853479999999995E-7</v>
      </c>
      <c r="I3709">
        <v>281.7106</v>
      </c>
      <c r="J3709">
        <v>-385.60509999999999</v>
      </c>
      <c r="K3709">
        <v>1.1214</v>
      </c>
      <c r="L3709">
        <v>283.82659999999998</v>
      </c>
      <c r="M3709">
        <v>-0.9999152</v>
      </c>
      <c r="N3709">
        <v>-1.275683E-2</v>
      </c>
      <c r="O3709">
        <v>-2.6654370000000001E-3</v>
      </c>
      <c r="P3709">
        <v>-0.98746009999999995</v>
      </c>
      <c r="Q3709">
        <v>0.15767320000000001</v>
      </c>
      <c r="R3709">
        <v>-7.8651229999999999E-3</v>
      </c>
      <c r="S3709">
        <v>-3.0452270000000001</v>
      </c>
      <c r="T3709">
        <v>-5.2211399999999998E-2</v>
      </c>
      <c r="U3709">
        <v>-9.8541260000000006E-2</v>
      </c>
      <c r="V3709">
        <v>-5.226695E-3</v>
      </c>
      <c r="W3709">
        <v>0.170257399999999</v>
      </c>
      <c r="X3709">
        <v>0.98538579999999998</v>
      </c>
      <c r="Y3709">
        <v>-2.9670370000000001E-2</v>
      </c>
      <c r="Z3709">
        <v>-4.3191110000000003E-4</v>
      </c>
      <c r="AA3709">
        <v>0.99955959999999999</v>
      </c>
      <c r="AB3709">
        <v>28</v>
      </c>
      <c r="AC3709">
        <v>-65.224100000000007</v>
      </c>
      <c r="AD3709">
        <v>-1.1214009685348001</v>
      </c>
      <c r="AE3709">
        <v>-2.1159999999999801</v>
      </c>
      <c r="AF3709">
        <v>-1.94155430497104</v>
      </c>
      <c r="AG3709">
        <v>-1.1214009685348001</v>
      </c>
      <c r="AH3709">
        <v>65.210252851872994</v>
      </c>
      <c r="AI3709">
        <v>90.984764755720605</v>
      </c>
      <c r="AJ3709">
        <v>91.705406873564201</v>
      </c>
      <c r="AK3709">
        <v>65.248787347019601</v>
      </c>
      <c r="AL3709">
        <v>80.197215204789103</v>
      </c>
      <c r="AM3709">
        <v>90.303906100409094</v>
      </c>
      <c r="AN3709">
        <v>1.0000000377185101</v>
      </c>
    </row>
    <row r="3710" spans="1:40" x14ac:dyDescent="0.25">
      <c r="A3710" t="str">
        <f>"20190303161946382"</f>
        <v>20190303161946382</v>
      </c>
      <c r="B3710" t="str">
        <f>"1551601186376564"</f>
        <v>1551601186376564</v>
      </c>
      <c r="C3710" t="s">
        <v>40</v>
      </c>
      <c r="D3710">
        <v>4.4873989999999999</v>
      </c>
      <c r="E3710">
        <v>0.49222840000000001</v>
      </c>
      <c r="F3710" t="s">
        <v>52</v>
      </c>
      <c r="G3710">
        <v>-449.96980000000002</v>
      </c>
      <c r="H3710" s="1">
        <v>-1.4329259999999999E-6</v>
      </c>
      <c r="I3710">
        <v>281.87189999999998</v>
      </c>
      <c r="J3710">
        <v>-385.89569999999998</v>
      </c>
      <c r="K3710">
        <v>1.121402</v>
      </c>
      <c r="L3710">
        <v>283.82580000000002</v>
      </c>
      <c r="M3710">
        <v>-0.99991529999999995</v>
      </c>
      <c r="N3710">
        <v>-1.2754440000000001E-2</v>
      </c>
      <c r="O3710">
        <v>-2.6655419999999999E-3</v>
      </c>
      <c r="P3710">
        <v>-0.98735510000000004</v>
      </c>
      <c r="Q3710">
        <v>0.15831770000000001</v>
      </c>
      <c r="R3710">
        <v>-8.1245559999999998E-3</v>
      </c>
      <c r="S3710">
        <v>-3.0458370000000001</v>
      </c>
      <c r="T3710">
        <v>-5.3066490000000001E-2</v>
      </c>
      <c r="U3710">
        <v>-9.2498780000000003E-2</v>
      </c>
      <c r="V3710">
        <v>-5.4859139999999997E-3</v>
      </c>
      <c r="W3710">
        <v>0.1708983</v>
      </c>
      <c r="X3710">
        <v>0.98527339999999997</v>
      </c>
      <c r="Y3710">
        <v>-2.7683039999999999E-2</v>
      </c>
      <c r="Z3710">
        <v>-4.052584E-4</v>
      </c>
      <c r="AA3710">
        <v>0.99961670000000002</v>
      </c>
      <c r="AB3710">
        <v>28</v>
      </c>
      <c r="AC3710">
        <v>-64.074100000000001</v>
      </c>
      <c r="AD3710">
        <v>-1.1214034329260001</v>
      </c>
      <c r="AE3710">
        <v>-1.9539000000000299</v>
      </c>
      <c r="AF3710">
        <v>-1.7825414924826299</v>
      </c>
      <c r="AG3710">
        <v>-1.1214034329260001</v>
      </c>
      <c r="AH3710">
        <v>64.059477242436699</v>
      </c>
      <c r="AI3710">
        <v>91.002510032292406</v>
      </c>
      <c r="AJ3710">
        <v>91.593921156832394</v>
      </c>
      <c r="AK3710">
        <v>64.094084160755898</v>
      </c>
      <c r="AL3710">
        <v>80.159947772148996</v>
      </c>
      <c r="AM3710">
        <v>90.319014469376</v>
      </c>
      <c r="AN3710">
        <v>0.99999999847143195</v>
      </c>
    </row>
    <row r="3711" spans="1:40" x14ac:dyDescent="0.25">
      <c r="A3711" t="str">
        <f>"20190303161946403"</f>
        <v>20190303161946403</v>
      </c>
      <c r="B3711" t="str">
        <f>"1551601186396084"</f>
        <v>1551601186396084</v>
      </c>
      <c r="C3711" t="s">
        <v>40</v>
      </c>
      <c r="D3711">
        <v>4.5125520000000003</v>
      </c>
      <c r="E3711">
        <v>0.49244209999999999</v>
      </c>
      <c r="F3711" t="s">
        <v>52</v>
      </c>
      <c r="G3711">
        <v>-453.70609999999999</v>
      </c>
      <c r="H3711" s="1">
        <v>5.5516769999999898E-7</v>
      </c>
      <c r="I3711">
        <v>281.87650000000002</v>
      </c>
      <c r="J3711">
        <v>-386.16919999999999</v>
      </c>
      <c r="K3711">
        <v>1.1214029999999999</v>
      </c>
      <c r="L3711">
        <v>283.82510000000002</v>
      </c>
      <c r="M3711">
        <v>-0.9999152</v>
      </c>
      <c r="N3711">
        <v>-1.275219E-2</v>
      </c>
      <c r="O3711">
        <v>-2.6654080000000002E-3</v>
      </c>
      <c r="P3711">
        <v>-0.9872301</v>
      </c>
      <c r="Q3711">
        <v>0.15907539999999901</v>
      </c>
      <c r="R3711">
        <v>-8.4862369999999902E-3</v>
      </c>
      <c r="S3711">
        <v>-3.045776</v>
      </c>
      <c r="T3711">
        <v>-5.0368910000000003E-2</v>
      </c>
      <c r="U3711">
        <v>-8.7554930000000003E-2</v>
      </c>
      <c r="V3711">
        <v>-5.8483019999999997E-3</v>
      </c>
      <c r="W3711">
        <v>0.17165229999999901</v>
      </c>
      <c r="X3711">
        <v>0.98514029999999997</v>
      </c>
      <c r="Y3711">
        <v>-2.606356E-2</v>
      </c>
      <c r="Z3711">
        <v>-3.7161399999999998E-4</v>
      </c>
      <c r="AA3711">
        <v>0.9996602</v>
      </c>
      <c r="AB3711">
        <v>28</v>
      </c>
      <c r="AC3711">
        <v>-67.536900000000003</v>
      </c>
      <c r="AD3711">
        <v>-1.1214024448322999</v>
      </c>
      <c r="AE3711">
        <v>-1.9485999999999899</v>
      </c>
      <c r="AF3711">
        <v>-1.76807799854079</v>
      </c>
      <c r="AG3711">
        <v>-1.1214024448322999</v>
      </c>
      <c r="AH3711">
        <v>67.523253444657996</v>
      </c>
      <c r="AI3711">
        <v>90.951134733696406</v>
      </c>
      <c r="AJ3711">
        <v>91.499931637840703</v>
      </c>
      <c r="AK3711">
        <v>67.555705895236699</v>
      </c>
      <c r="AL3711">
        <v>80.116099447453706</v>
      </c>
      <c r="AM3711">
        <v>90.340133365413195</v>
      </c>
      <c r="AN3711">
        <v>1.00000006270782</v>
      </c>
    </row>
    <row r="3712" spans="1:40" x14ac:dyDescent="0.25">
      <c r="A3712" t="str">
        <f>"20190303161946428"</f>
        <v>20190303161946428</v>
      </c>
      <c r="B3712" t="str">
        <f>"1551601186416580"</f>
        <v>1551601186416580</v>
      </c>
      <c r="C3712" t="s">
        <v>40</v>
      </c>
      <c r="D3712">
        <v>4.5257579999999997</v>
      </c>
      <c r="E3712">
        <v>0.49251129999999999</v>
      </c>
      <c r="F3712" t="s">
        <v>52</v>
      </c>
      <c r="G3712">
        <v>-455.4341</v>
      </c>
      <c r="H3712" s="1">
        <v>1.47655499999999E-6</v>
      </c>
      <c r="I3712">
        <v>281.83409999999998</v>
      </c>
      <c r="J3712">
        <v>-386.4667</v>
      </c>
      <c r="K3712">
        <v>1.121408</v>
      </c>
      <c r="L3712">
        <v>283.82429999999999</v>
      </c>
      <c r="M3712">
        <v>-0.99991509999999995</v>
      </c>
      <c r="N3712">
        <v>-1.2749750000000001E-2</v>
      </c>
      <c r="O3712">
        <v>-2.6651539999999999E-3</v>
      </c>
      <c r="P3712">
        <v>-0.98716530000000002</v>
      </c>
      <c r="Q3712">
        <v>0.1594594</v>
      </c>
      <c r="R3712">
        <v>-8.7974950000000007E-3</v>
      </c>
      <c r="S3712">
        <v>-3.0460210000000001</v>
      </c>
      <c r="T3712">
        <v>-4.9315209999999998E-2</v>
      </c>
      <c r="U3712">
        <v>-8.7554930000000003E-2</v>
      </c>
      <c r="V3712">
        <v>-6.1598019999999998E-3</v>
      </c>
      <c r="W3712">
        <v>0.17203280000000001</v>
      </c>
      <c r="X3712">
        <v>0.98507199999999995</v>
      </c>
      <c r="Y3712">
        <v>-2.606172E-2</v>
      </c>
      <c r="Z3712">
        <v>-3.6795110000000002E-4</v>
      </c>
      <c r="AA3712">
        <v>0.99966029999999995</v>
      </c>
      <c r="AB3712">
        <v>28</v>
      </c>
      <c r="AC3712">
        <v>-68.967399999999998</v>
      </c>
      <c r="AD3712">
        <v>-1.1214065234449999</v>
      </c>
      <c r="AE3712">
        <v>-1.99020000000001</v>
      </c>
      <c r="AF3712">
        <v>-1.80589217954954</v>
      </c>
      <c r="AG3712">
        <v>-1.1214065234449999</v>
      </c>
      <c r="AH3712">
        <v>68.954244273367607</v>
      </c>
      <c r="AI3712">
        <v>90.931402842981896</v>
      </c>
      <c r="AJ3712">
        <v>91.500217343093496</v>
      </c>
      <c r="AK3712">
        <v>68.987003141651499</v>
      </c>
      <c r="AL3712">
        <v>80.093968940449201</v>
      </c>
      <c r="AM3712">
        <v>90.358274377163198</v>
      </c>
      <c r="AN3712">
        <v>1.0000000363102499</v>
      </c>
    </row>
    <row r="3713" spans="1:40" x14ac:dyDescent="0.25">
      <c r="A3713" t="str">
        <f>"20190303161946448"</f>
        <v>20190303161946448</v>
      </c>
      <c r="B3713" t="str">
        <f>"1551601186436101"</f>
        <v>1551601186436101</v>
      </c>
      <c r="C3713" t="s">
        <v>40</v>
      </c>
      <c r="D3713">
        <v>4.5299589999999998</v>
      </c>
      <c r="E3713">
        <v>0.4926159</v>
      </c>
      <c r="F3713" t="s">
        <v>52</v>
      </c>
      <c r="G3713">
        <v>-455.25369999999998</v>
      </c>
      <c r="H3713" s="1">
        <v>1.380922E-6</v>
      </c>
      <c r="I3713">
        <v>281.82580000000002</v>
      </c>
      <c r="J3713">
        <v>-386.74680000000001</v>
      </c>
      <c r="K3713">
        <v>1.1213959999999901</v>
      </c>
      <c r="L3713">
        <v>283.82350000000002</v>
      </c>
      <c r="M3713">
        <v>-0.9999152</v>
      </c>
      <c r="N3713">
        <v>-1.274748E-2</v>
      </c>
      <c r="O3713">
        <v>-2.6653779999999999E-3</v>
      </c>
      <c r="P3713">
        <v>-0.98717500000000002</v>
      </c>
      <c r="Q3713">
        <v>0.15940550000000001</v>
      </c>
      <c r="R3713">
        <v>-8.7135800000000003E-3</v>
      </c>
      <c r="S3713">
        <v>-3.0462039999999999</v>
      </c>
      <c r="T3713">
        <v>-4.9661039999999997E-2</v>
      </c>
      <c r="U3713">
        <v>-8.8500980000000007E-2</v>
      </c>
      <c r="V3713">
        <v>-6.0753129999999997E-3</v>
      </c>
      <c r="W3713">
        <v>0.17197689999999999</v>
      </c>
      <c r="X3713">
        <v>0.98508229999999997</v>
      </c>
      <c r="Y3713">
        <v>-2.636983E-2</v>
      </c>
      <c r="Z3713">
        <v>-3.7355610000000002E-4</v>
      </c>
      <c r="AA3713">
        <v>0.99965219999999999</v>
      </c>
      <c r="AB3713">
        <v>28</v>
      </c>
      <c r="AC3713">
        <v>-68.506899999999902</v>
      </c>
      <c r="AD3713">
        <v>-1.12139461907799</v>
      </c>
      <c r="AE3713">
        <v>-1.9977</v>
      </c>
      <c r="AF3713">
        <v>-1.81459548024937</v>
      </c>
      <c r="AG3713">
        <v>-1.12139461907799</v>
      </c>
      <c r="AH3713">
        <v>68.493644624810997</v>
      </c>
      <c r="AI3713">
        <v>90.937647705170903</v>
      </c>
      <c r="AJ3713">
        <v>91.517576543816105</v>
      </c>
      <c r="AK3713">
        <v>68.526853398055195</v>
      </c>
      <c r="AL3713">
        <v>80.097220374918805</v>
      </c>
      <c r="AM3713">
        <v>90.353356649422196</v>
      </c>
      <c r="AN3713">
        <v>1.00000005066747</v>
      </c>
    </row>
    <row r="3714" spans="1:40" x14ac:dyDescent="0.25">
      <c r="A3714" t="str">
        <f>"20190303161946471"</f>
        <v>20190303161946471</v>
      </c>
      <c r="B3714" t="str">
        <f>"1551601186466360"</f>
        <v>1551601186466360</v>
      </c>
      <c r="C3714" t="s">
        <v>40</v>
      </c>
      <c r="D3714">
        <v>4.5479339999999997</v>
      </c>
      <c r="E3714">
        <v>0.49268070000000003</v>
      </c>
      <c r="F3714" t="s">
        <v>52</v>
      </c>
      <c r="G3714">
        <v>-454.16849999999999</v>
      </c>
      <c r="H3714" s="1">
        <v>8.0056950000000001E-7</v>
      </c>
      <c r="I3714">
        <v>281.89190000000002</v>
      </c>
      <c r="J3714">
        <v>-387.02589999999998</v>
      </c>
      <c r="K3714">
        <v>1.1214010000000001</v>
      </c>
      <c r="L3714">
        <v>283.82279999999997</v>
      </c>
      <c r="M3714">
        <v>-0.99991529999999995</v>
      </c>
      <c r="N3714">
        <v>-1.274522E-2</v>
      </c>
      <c r="O3714">
        <v>-2.665363E-3</v>
      </c>
      <c r="P3714">
        <v>-0.98717779999999999</v>
      </c>
      <c r="Q3714">
        <v>0.1593928</v>
      </c>
      <c r="R3714">
        <v>-8.6072719999999991E-3</v>
      </c>
      <c r="S3714">
        <v>-3.0463870000000002</v>
      </c>
      <c r="T3714">
        <v>-5.0669190000000003E-2</v>
      </c>
      <c r="U3714">
        <v>-8.7280269999999993E-2</v>
      </c>
      <c r="V3714">
        <v>-5.9691709999999997E-3</v>
      </c>
      <c r="W3714">
        <v>0.1719619</v>
      </c>
      <c r="X3714">
        <v>0.98508549999999995</v>
      </c>
      <c r="Y3714">
        <v>-2.5967770000000001E-2</v>
      </c>
      <c r="Z3714">
        <v>-3.7108490000000002E-4</v>
      </c>
      <c r="AA3714">
        <v>0.99966270000000002</v>
      </c>
      <c r="AB3714">
        <v>28</v>
      </c>
      <c r="AC3714">
        <v>-67.142600000000002</v>
      </c>
      <c r="AD3714">
        <v>-1.1214001994305001</v>
      </c>
      <c r="AE3714">
        <v>-1.9308999999999501</v>
      </c>
      <c r="AF3714">
        <v>-1.7514310587125901</v>
      </c>
      <c r="AG3714">
        <v>-1.1214001994305001</v>
      </c>
      <c r="AH3714">
        <v>67.128798388689603</v>
      </c>
      <c r="AI3714">
        <v>90.956723090256801</v>
      </c>
      <c r="AJ3714">
        <v>91.4945425732259</v>
      </c>
      <c r="AK3714">
        <v>67.161005220812797</v>
      </c>
      <c r="AL3714">
        <v>80.098092143867504</v>
      </c>
      <c r="AM3714">
        <v>90.347182168064705</v>
      </c>
      <c r="AN3714">
        <v>0.99999998418214298</v>
      </c>
    </row>
    <row r="3715" spans="1:40" x14ac:dyDescent="0.25">
      <c r="A3715" t="str">
        <f>"20190303161946492"</f>
        <v>20190303161946492</v>
      </c>
      <c r="B3715" t="str">
        <f>"1551601186485876"</f>
        <v>1551601186485876</v>
      </c>
      <c r="C3715" t="s">
        <v>40</v>
      </c>
      <c r="D3715">
        <v>4.5544539999999998</v>
      </c>
      <c r="E3715">
        <v>0.49265389999999998</v>
      </c>
      <c r="F3715" t="s">
        <v>52</v>
      </c>
      <c r="G3715">
        <v>-453.07159999999999</v>
      </c>
      <c r="H3715" s="1">
        <v>2.141902E-7</v>
      </c>
      <c r="I3715">
        <v>281.95319999999998</v>
      </c>
      <c r="J3715">
        <v>-387.30509999999998</v>
      </c>
      <c r="K3715">
        <v>1.1213979999999999</v>
      </c>
      <c r="L3715">
        <v>283.82209999999998</v>
      </c>
      <c r="M3715">
        <v>-0.99991529999999995</v>
      </c>
      <c r="N3715">
        <v>-1.2742959999999999E-2</v>
      </c>
      <c r="O3715">
        <v>-2.6653499999999999E-3</v>
      </c>
      <c r="P3715">
        <v>-0.98724120000000004</v>
      </c>
      <c r="Q3715">
        <v>0.15904470000000001</v>
      </c>
      <c r="R3715">
        <v>-7.7297719999999898E-3</v>
      </c>
      <c r="S3715">
        <v>-3.0466000000000002</v>
      </c>
      <c r="T3715">
        <v>-5.1728730000000001E-2</v>
      </c>
      <c r="U3715">
        <v>-8.6242680000000002E-2</v>
      </c>
      <c r="V3715">
        <v>-5.091567E-3</v>
      </c>
      <c r="W3715">
        <v>0.17161289999999901</v>
      </c>
      <c r="X3715">
        <v>0.98515129999999995</v>
      </c>
      <c r="Y3715">
        <v>-2.5625470000000001E-2</v>
      </c>
      <c r="Z3715">
        <v>-3.6953849999999999E-4</v>
      </c>
      <c r="AA3715">
        <v>0.99967150000000005</v>
      </c>
      <c r="AB3715">
        <v>28</v>
      </c>
      <c r="AC3715">
        <v>-65.766499999999994</v>
      </c>
      <c r="AD3715">
        <v>-1.1213977858098001</v>
      </c>
      <c r="AE3715">
        <v>-1.86889999999999</v>
      </c>
      <c r="AF3715">
        <v>-1.6930965346100499</v>
      </c>
      <c r="AG3715">
        <v>-1.1213977858098001</v>
      </c>
      <c r="AH3715">
        <v>65.752146452761906</v>
      </c>
      <c r="AI3715">
        <v>90.976756671895004</v>
      </c>
      <c r="AJ3715">
        <v>91.475021872376402</v>
      </c>
      <c r="AK3715">
        <v>65.783499998213699</v>
      </c>
      <c r="AL3715">
        <v>80.118390255014404</v>
      </c>
      <c r="AM3715">
        <v>90.296119695303204</v>
      </c>
      <c r="AN3715">
        <v>0.99999999769630699</v>
      </c>
    </row>
    <row r="3716" spans="1:40" x14ac:dyDescent="0.25">
      <c r="A3716" t="str">
        <f>"20190303161946516"</f>
        <v>20190303161946516</v>
      </c>
      <c r="B3716" t="str">
        <f>"1551601186506376"</f>
        <v>1551601186506376</v>
      </c>
      <c r="C3716" t="s">
        <v>40</v>
      </c>
      <c r="D3716">
        <v>4.5182070000000003</v>
      </c>
      <c r="E3716">
        <v>0.49249389999999998</v>
      </c>
      <c r="F3716" t="s">
        <v>52</v>
      </c>
      <c r="G3716">
        <v>-450.59089999999998</v>
      </c>
      <c r="H3716" s="1">
        <v>-1.1116160000000001E-6</v>
      </c>
      <c r="I3716">
        <v>282.08330000000001</v>
      </c>
      <c r="J3716">
        <v>-387.58789999999999</v>
      </c>
      <c r="K3716">
        <v>1.1214</v>
      </c>
      <c r="L3716">
        <v>283.82130000000001</v>
      </c>
      <c r="M3716">
        <v>-0.99991549999999996</v>
      </c>
      <c r="N3716">
        <v>-1.2740680000000001E-2</v>
      </c>
      <c r="O3716">
        <v>-2.6654539999999998E-3</v>
      </c>
      <c r="P3716">
        <v>-0.98733170000000003</v>
      </c>
      <c r="Q3716">
        <v>0.15852169999999999</v>
      </c>
      <c r="R3716">
        <v>-6.8812949999999999E-3</v>
      </c>
      <c r="S3716">
        <v>-3.0468139999999999</v>
      </c>
      <c r="T3716">
        <v>-5.3988340000000003E-2</v>
      </c>
      <c r="U3716">
        <v>-8.3709720000000001E-2</v>
      </c>
      <c r="V3716">
        <v>-4.2431070000000003E-3</v>
      </c>
      <c r="W3716">
        <v>0.17108860000000001</v>
      </c>
      <c r="X3716">
        <v>0.98524650000000003</v>
      </c>
      <c r="Y3716">
        <v>-2.4792729999999999E-2</v>
      </c>
      <c r="Z3716">
        <v>-3.6433219999999999E-4</v>
      </c>
      <c r="AA3716">
        <v>0.99969260000000004</v>
      </c>
      <c r="AB3716">
        <v>28</v>
      </c>
      <c r="AC3716">
        <v>-63.002999999999901</v>
      </c>
      <c r="AD3716">
        <v>-1.1214011116160001</v>
      </c>
      <c r="AE3716">
        <v>-1.73799999999999</v>
      </c>
      <c r="AF3716">
        <v>-1.56955175967296</v>
      </c>
      <c r="AG3716">
        <v>-1.1214011116160001</v>
      </c>
      <c r="AH3716">
        <v>62.987469175706501</v>
      </c>
      <c r="AI3716">
        <v>91.019644576328602</v>
      </c>
      <c r="AJ3716">
        <v>91.427428129911206</v>
      </c>
      <c r="AK3716">
        <v>63.017000137581903</v>
      </c>
      <c r="AL3716">
        <v>80.148881311189697</v>
      </c>
      <c r="AM3716">
        <v>90.246751061915305</v>
      </c>
      <c r="AN3716">
        <v>0.99999998938461099</v>
      </c>
    </row>
    <row r="3717" spans="1:40" x14ac:dyDescent="0.25">
      <c r="A3717" t="str">
        <f>"20190303161946537"</f>
        <v>20190303161946537</v>
      </c>
      <c r="B3717" t="str">
        <f>"1551601186525893"</f>
        <v>1551601186525893</v>
      </c>
      <c r="C3717" t="s">
        <v>40</v>
      </c>
      <c r="D3717">
        <v>4.5781900000000002</v>
      </c>
      <c r="E3717">
        <v>0.49147360000000001</v>
      </c>
      <c r="F3717" t="s">
        <v>52</v>
      </c>
      <c r="G3717">
        <v>-449.36360000000002</v>
      </c>
      <c r="H3717" s="1">
        <v>3.5540959999999999E-6</v>
      </c>
      <c r="I3717">
        <v>282.14449999999999</v>
      </c>
      <c r="J3717">
        <v>-387.87150000000003</v>
      </c>
      <c r="K3717">
        <v>1.1213919999999999</v>
      </c>
      <c r="L3717">
        <v>283.82060000000001</v>
      </c>
      <c r="M3717">
        <v>-0.99991529999999995</v>
      </c>
      <c r="N3717">
        <v>-1.273841E-2</v>
      </c>
      <c r="O3717">
        <v>-2.6654399999999998E-3</v>
      </c>
      <c r="P3717">
        <v>-0.98746619999999996</v>
      </c>
      <c r="Q3717">
        <v>0.15769710000000001</v>
      </c>
      <c r="R3717">
        <v>-6.5014499999999998E-3</v>
      </c>
      <c r="S3717">
        <v>-3.046783</v>
      </c>
      <c r="T3717">
        <v>-5.5307389999999998E-2</v>
      </c>
      <c r="U3717">
        <v>-8.2702639999999994E-2</v>
      </c>
      <c r="V3717">
        <v>-3.8626569999999998E-3</v>
      </c>
      <c r="W3717">
        <v>0.17026350000000001</v>
      </c>
      <c r="X3717">
        <v>0.98539100000000002</v>
      </c>
      <c r="Y3717">
        <v>-2.4462669999999999E-2</v>
      </c>
      <c r="Z3717">
        <v>-3.6341390000000002E-4</v>
      </c>
      <c r="AA3717">
        <v>0.9997007</v>
      </c>
      <c r="AB3717">
        <v>28</v>
      </c>
      <c r="AC3717">
        <v>-61.492099999999901</v>
      </c>
      <c r="AD3717">
        <v>-1.121388445904</v>
      </c>
      <c r="AE3717">
        <v>-1.6761000000000099</v>
      </c>
      <c r="AF3717">
        <v>-1.5116748871688499</v>
      </c>
      <c r="AG3717">
        <v>-1.121388445904</v>
      </c>
      <c r="AH3717">
        <v>61.475920014915701</v>
      </c>
      <c r="AI3717">
        <v>91.044706461287703</v>
      </c>
      <c r="AJ3717">
        <v>91.408602595378596</v>
      </c>
      <c r="AK3717">
        <v>61.504726767065797</v>
      </c>
      <c r="AL3717">
        <v>80.196860160485699</v>
      </c>
      <c r="AM3717">
        <v>90.2245939025849</v>
      </c>
      <c r="AN3717">
        <v>1.0000000012161701</v>
      </c>
    </row>
    <row r="3718" spans="1:40" x14ac:dyDescent="0.25">
      <c r="A3718" t="str">
        <f>"20190303161946560"</f>
        <v>20190303161946560</v>
      </c>
      <c r="B3718" t="str">
        <f>"1551601186556149"</f>
        <v>1551601186556149</v>
      </c>
      <c r="C3718" t="s">
        <v>40</v>
      </c>
      <c r="D3718">
        <v>4.5254699999999897</v>
      </c>
      <c r="E3718">
        <v>0.45788879999999998</v>
      </c>
      <c r="F3718" t="s">
        <v>52</v>
      </c>
      <c r="G3718">
        <v>-444.13600000000002</v>
      </c>
      <c r="H3718" s="1">
        <v>7.712964E-7</v>
      </c>
      <c r="I3718">
        <v>282.16559999999998</v>
      </c>
      <c r="J3718">
        <v>-388.15480000000002</v>
      </c>
      <c r="K3718">
        <v>1.121391</v>
      </c>
      <c r="L3718">
        <v>283.81990000000002</v>
      </c>
      <c r="M3718">
        <v>-0.99991549999999996</v>
      </c>
      <c r="N3718">
        <v>-1.273619E-2</v>
      </c>
      <c r="O3718">
        <v>-2.6656639999999999E-3</v>
      </c>
      <c r="P3718">
        <v>-0.98747779999999996</v>
      </c>
      <c r="Q3718">
        <v>0.15761939999999999</v>
      </c>
      <c r="R3718">
        <v>-6.6373600000000001E-3</v>
      </c>
      <c r="S3718">
        <v>-3.04718</v>
      </c>
      <c r="T3718">
        <v>-6.0732479999999998E-2</v>
      </c>
      <c r="U3718">
        <v>-8.9630130000000002E-2</v>
      </c>
      <c r="V3718">
        <v>-3.9985070000000001E-3</v>
      </c>
      <c r="W3718">
        <v>0.17018369999999999</v>
      </c>
      <c r="X3718">
        <v>0.98540430000000001</v>
      </c>
      <c r="Y3718">
        <v>-2.672795E-2</v>
      </c>
      <c r="Z3718">
        <v>-4.1737939999999998E-4</v>
      </c>
      <c r="AA3718">
        <v>0.9996427</v>
      </c>
      <c r="AB3718">
        <v>28</v>
      </c>
      <c r="AC3718">
        <v>-55.981199999999902</v>
      </c>
      <c r="AD3718">
        <v>-1.1213902287035999</v>
      </c>
      <c r="AE3718">
        <v>-1.6543000000000301</v>
      </c>
      <c r="AF3718">
        <v>-1.50445181739768</v>
      </c>
      <c r="AG3718">
        <v>-1.1213902287035999</v>
      </c>
      <c r="AH3718">
        <v>55.962974958665498</v>
      </c>
      <c r="AI3718">
        <v>91.147528968041797</v>
      </c>
      <c r="AJ3718">
        <v>91.539910691871299</v>
      </c>
      <c r="AK3718">
        <v>55.9944234503769</v>
      </c>
      <c r="AL3718">
        <v>80.201500634469696</v>
      </c>
      <c r="AM3718">
        <v>90.232489667527702</v>
      </c>
      <c r="AN3718">
        <v>1.0000000571312</v>
      </c>
    </row>
    <row r="3719" spans="1:40" x14ac:dyDescent="0.25">
      <c r="A3719" t="str">
        <f>"20190303161946582"</f>
        <v>20190303161946582</v>
      </c>
      <c r="B3719" t="str">
        <f>"1551601186576645"</f>
        <v>1551601186576645</v>
      </c>
      <c r="C3719" t="s">
        <v>40</v>
      </c>
      <c r="D3719">
        <v>4.5545070000000001</v>
      </c>
      <c r="E3719">
        <v>0.4551347</v>
      </c>
      <c r="F3719" t="s">
        <v>56</v>
      </c>
      <c r="G3719">
        <v>-420.15980000000002</v>
      </c>
      <c r="H3719" s="1">
        <v>4.3339899999999996E-6</v>
      </c>
      <c r="I3719">
        <v>280.06689999999998</v>
      </c>
      <c r="J3719">
        <v>-388.43939999999998</v>
      </c>
      <c r="K3719">
        <v>1.1213949999999999</v>
      </c>
      <c r="L3719">
        <v>283.81909999999999</v>
      </c>
      <c r="M3719">
        <v>-0.99991540000000001</v>
      </c>
      <c r="N3719">
        <v>-1.2733970000000001E-2</v>
      </c>
      <c r="O3719">
        <v>-2.6656499999999999E-3</v>
      </c>
      <c r="P3719">
        <v>-0.98749439999999999</v>
      </c>
      <c r="Q3719">
        <v>0.15752160000000001</v>
      </c>
      <c r="R3719">
        <v>-6.4728869999999897E-3</v>
      </c>
      <c r="S3719">
        <v>-3.0527340000000001</v>
      </c>
      <c r="T3719">
        <v>-0.1069614</v>
      </c>
      <c r="U3719">
        <v>-0.35797119999999999</v>
      </c>
      <c r="V3719">
        <v>-3.833646E-3</v>
      </c>
      <c r="W3719">
        <v>0.17008400000000001</v>
      </c>
      <c r="X3719">
        <v>0.98542209999999997</v>
      </c>
      <c r="Y3719">
        <v>-0.1137229</v>
      </c>
      <c r="Z3719">
        <v>-2.6525490000000001E-3</v>
      </c>
      <c r="AA3719">
        <v>0.99350899999999998</v>
      </c>
      <c r="AB3719">
        <v>28</v>
      </c>
      <c r="AC3719">
        <v>-31.720400000000001</v>
      </c>
      <c r="AD3719">
        <v>-1.1213906660099999</v>
      </c>
      <c r="AE3719">
        <v>-3.75220000000001</v>
      </c>
      <c r="AF3719">
        <v>-3.66310939181527</v>
      </c>
      <c r="AG3719">
        <v>-1.1213906660099999</v>
      </c>
      <c r="AH3719">
        <v>31.691229366040499</v>
      </c>
      <c r="AI3719">
        <v>92.013166666457906</v>
      </c>
      <c r="AJ3719">
        <v>96.593415053136894</v>
      </c>
      <c r="AK3719">
        <v>31.9219345618841</v>
      </c>
      <c r="AL3719">
        <v>80.207296868117396</v>
      </c>
      <c r="AM3719">
        <v>90.222900042349295</v>
      </c>
      <c r="AN3719">
        <v>0.99999998953303104</v>
      </c>
    </row>
    <row r="3720" spans="1:40" x14ac:dyDescent="0.25">
      <c r="A3720" t="str">
        <f>"20190303161946604"</f>
        <v>20190303161946604</v>
      </c>
      <c r="B3720" t="str">
        <f>"1551601186596579"</f>
        <v>1551601186596579</v>
      </c>
      <c r="C3720" t="s">
        <v>40</v>
      </c>
      <c r="D3720">
        <v>4.4838399999999998</v>
      </c>
      <c r="E3720">
        <v>0.45398909999999998</v>
      </c>
      <c r="F3720" t="s">
        <v>56</v>
      </c>
      <c r="G3720">
        <v>-418.5754</v>
      </c>
      <c r="H3720" s="1">
        <v>4.1239819999999997E-6</v>
      </c>
      <c r="I3720">
        <v>280.07400000000001</v>
      </c>
      <c r="J3720">
        <v>-388.7167</v>
      </c>
      <c r="K3720">
        <v>1.1213919999999999</v>
      </c>
      <c r="L3720">
        <v>283.81830000000002</v>
      </c>
      <c r="M3720">
        <v>-0.99991549999999996</v>
      </c>
      <c r="N3720">
        <v>-1.273178E-2</v>
      </c>
      <c r="O3720">
        <v>-2.6656359999999999E-3</v>
      </c>
      <c r="P3720">
        <v>-0.98749019999999998</v>
      </c>
      <c r="Q3720">
        <v>0.1575491</v>
      </c>
      <c r="R3720">
        <v>-6.4606819999999997E-3</v>
      </c>
      <c r="S3720">
        <v>-3.0536500000000002</v>
      </c>
      <c r="T3720">
        <v>-0.11362949999999999</v>
      </c>
      <c r="U3720">
        <v>-0.37948609999999999</v>
      </c>
      <c r="V3720">
        <v>-3.8214120000000002E-3</v>
      </c>
      <c r="W3720">
        <v>0.17010890000000001</v>
      </c>
      <c r="X3720">
        <v>0.98541780000000001</v>
      </c>
      <c r="Y3720">
        <v>-0.1205685</v>
      </c>
      <c r="Z3720">
        <v>-2.93976E-3</v>
      </c>
      <c r="AA3720">
        <v>0.99270060000000004</v>
      </c>
      <c r="AB3720">
        <v>28</v>
      </c>
      <c r="AC3720">
        <v>-29.858699999999999</v>
      </c>
      <c r="AD3720">
        <v>-1.1213878760180001</v>
      </c>
      <c r="AE3720">
        <v>-3.7443</v>
      </c>
      <c r="AF3720">
        <v>-3.6596059045023401</v>
      </c>
      <c r="AG3720">
        <v>-1.1213878760180001</v>
      </c>
      <c r="AH3720">
        <v>29.827156088387699</v>
      </c>
      <c r="AI3720">
        <v>92.137079384132704</v>
      </c>
      <c r="AJ3720">
        <v>96.994874654205205</v>
      </c>
      <c r="AK3720">
        <v>30.071738667157099</v>
      </c>
      <c r="AL3720">
        <v>80.205848623580195</v>
      </c>
      <c r="AM3720">
        <v>90.222189696411704</v>
      </c>
      <c r="AN3720">
        <v>0.99999994080286003</v>
      </c>
    </row>
    <row r="3721" spans="1:40" x14ac:dyDescent="0.25">
      <c r="A3721" t="str">
        <f>"20190303161946628"</f>
        <v>20190303161946628</v>
      </c>
      <c r="B3721" t="str">
        <f>"1551601186616099"</f>
        <v>1551601186616099</v>
      </c>
      <c r="C3721" t="s">
        <v>40</v>
      </c>
      <c r="D3721">
        <v>4.5031049999999997</v>
      </c>
      <c r="E3721">
        <v>0.4533722</v>
      </c>
      <c r="F3721" t="s">
        <v>56</v>
      </c>
      <c r="G3721">
        <v>-419.70190000000002</v>
      </c>
      <c r="H3721" s="1">
        <v>4.341267E-6</v>
      </c>
      <c r="I3721">
        <v>279.87439999999998</v>
      </c>
      <c r="J3721">
        <v>-389.01150000000001</v>
      </c>
      <c r="K3721">
        <v>1.1213959999999901</v>
      </c>
      <c r="L3721">
        <v>283.81760000000003</v>
      </c>
      <c r="M3721">
        <v>-0.99991540000000001</v>
      </c>
      <c r="N3721">
        <v>-1.2729209999999999E-2</v>
      </c>
      <c r="O3721">
        <v>-2.6656200000000001E-3</v>
      </c>
      <c r="P3721">
        <v>-0.98741179999999995</v>
      </c>
      <c r="Q3721">
        <v>0.15802279999999999</v>
      </c>
      <c r="R3721">
        <v>-6.8405719999999996E-3</v>
      </c>
      <c r="S3721">
        <v>-3.0531009999999998</v>
      </c>
      <c r="T3721">
        <v>-0.110495</v>
      </c>
      <c r="U3721">
        <v>-0.38861079999999998</v>
      </c>
      <c r="V3721">
        <v>-4.2016709999999997E-3</v>
      </c>
      <c r="W3721">
        <v>0.17057929999999999</v>
      </c>
      <c r="X3721">
        <v>0.98533499999999996</v>
      </c>
      <c r="Y3721">
        <v>-0.1235131</v>
      </c>
      <c r="Z3721">
        <v>-2.9527239999999999E-3</v>
      </c>
      <c r="AA3721">
        <v>0.99233850000000001</v>
      </c>
      <c r="AB3721">
        <v>28</v>
      </c>
      <c r="AC3721">
        <v>-30.6904</v>
      </c>
      <c r="AD3721">
        <v>-1.12139165873299</v>
      </c>
      <c r="AE3721">
        <v>-3.94320000000004</v>
      </c>
      <c r="AF3721">
        <v>-3.8563055212487001</v>
      </c>
      <c r="AG3721">
        <v>-1.12139165873299</v>
      </c>
      <c r="AH3721">
        <v>30.6605331632848</v>
      </c>
      <c r="AI3721">
        <v>92.0782678762111</v>
      </c>
      <c r="AJ3721">
        <v>97.1686908777978</v>
      </c>
      <c r="AK3721">
        <v>30.922433691130699</v>
      </c>
      <c r="AL3721">
        <v>80.178497588010799</v>
      </c>
      <c r="AM3721">
        <v>90.244319501559602</v>
      </c>
      <c r="AN3721">
        <v>1.0000000069263399</v>
      </c>
    </row>
    <row r="3722" spans="1:40" x14ac:dyDescent="0.25">
      <c r="A3722" t="str">
        <f>"20190303161946650"</f>
        <v>20190303161946650</v>
      </c>
      <c r="B3722" t="str">
        <f>"1551601186636595"</f>
        <v>1551601186636595</v>
      </c>
      <c r="C3722" t="s">
        <v>40</v>
      </c>
      <c r="D3722">
        <v>4.4826290000000002</v>
      </c>
      <c r="E3722">
        <v>0.45318039999999998</v>
      </c>
      <c r="F3722" t="s">
        <v>56</v>
      </c>
      <c r="G3722">
        <v>-421.22980000000001</v>
      </c>
      <c r="H3722" s="1">
        <v>4.1804709999999999E-6</v>
      </c>
      <c r="I3722">
        <v>279.65179999999998</v>
      </c>
      <c r="J3722">
        <v>-389.2903</v>
      </c>
      <c r="K3722">
        <v>1.121394</v>
      </c>
      <c r="L3722">
        <v>283.8168</v>
      </c>
      <c r="M3722">
        <v>-0.99991549999999996</v>
      </c>
      <c r="N3722">
        <v>-1.2726950000000001E-2</v>
      </c>
      <c r="O3722">
        <v>-2.6656060000000001E-3</v>
      </c>
      <c r="P3722">
        <v>-0.987286</v>
      </c>
      <c r="Q3722">
        <v>0.1587826</v>
      </c>
      <c r="R3722">
        <v>-7.3746979999999998E-3</v>
      </c>
      <c r="S3722">
        <v>-3.052521</v>
      </c>
      <c r="T3722">
        <v>-0.1062464</v>
      </c>
      <c r="U3722">
        <v>-0.39468379999999997</v>
      </c>
      <c r="V3722">
        <v>-4.7357229999999998E-3</v>
      </c>
      <c r="W3722">
        <v>0.17133570000000001</v>
      </c>
      <c r="X3722">
        <v>0.98520129999999995</v>
      </c>
      <c r="Y3722">
        <v>-0.12548419999999999</v>
      </c>
      <c r="Z3722">
        <v>-2.9177069999999999E-3</v>
      </c>
      <c r="AA3722">
        <v>0.99209139999999996</v>
      </c>
      <c r="AB3722">
        <v>28</v>
      </c>
      <c r="AC3722">
        <v>-31.939499999999999</v>
      </c>
      <c r="AD3722">
        <v>-1.121389819529</v>
      </c>
      <c r="AE3722">
        <v>-4.1650000000000196</v>
      </c>
      <c r="AF3722">
        <v>-4.0749010490126896</v>
      </c>
      <c r="AG3722">
        <v>-1.121389819529</v>
      </c>
      <c r="AH3722">
        <v>31.9118097530081</v>
      </c>
      <c r="AI3722">
        <v>91.996364743750405</v>
      </c>
      <c r="AJ3722">
        <v>97.276865224785595</v>
      </c>
      <c r="AK3722">
        <v>32.190463423174997</v>
      </c>
      <c r="AL3722">
        <v>80.134511199636407</v>
      </c>
      <c r="AM3722">
        <v>90.275410569439103</v>
      </c>
      <c r="AN3722">
        <v>0.999999975344256</v>
      </c>
    </row>
    <row r="3723" spans="1:40" x14ac:dyDescent="0.25">
      <c r="A3723" t="str">
        <f>"20190303161946672"</f>
        <v>20190303161946672</v>
      </c>
      <c r="B3723" t="str">
        <f>"1551601186665875"</f>
        <v>1551601186665875</v>
      </c>
      <c r="C3723" t="s">
        <v>40</v>
      </c>
      <c r="D3723">
        <v>4.5482259999999997</v>
      </c>
      <c r="E3723">
        <v>0.45314910000000003</v>
      </c>
      <c r="F3723" t="s">
        <v>56</v>
      </c>
      <c r="G3723">
        <v>-423.2792</v>
      </c>
      <c r="H3723" s="1">
        <v>3.880626E-6</v>
      </c>
      <c r="I3723">
        <v>279.38749999999999</v>
      </c>
      <c r="J3723">
        <v>-389.57380000000001</v>
      </c>
      <c r="K3723">
        <v>1.1214</v>
      </c>
      <c r="L3723">
        <v>283.81610000000001</v>
      </c>
      <c r="M3723">
        <v>-0.99991560000000002</v>
      </c>
      <c r="N3723">
        <v>-1.2724930000000001E-2</v>
      </c>
      <c r="O3723">
        <v>-2.665593E-3</v>
      </c>
      <c r="P3723">
        <v>-0.98720479999999999</v>
      </c>
      <c r="Q3723">
        <v>0.15927559999999999</v>
      </c>
      <c r="R3723">
        <v>-7.6174049999999998E-3</v>
      </c>
      <c r="S3723">
        <v>-3.0518489999999998</v>
      </c>
      <c r="T3723">
        <v>-0.10068920000000001</v>
      </c>
      <c r="U3723">
        <v>-0.39770509999999998</v>
      </c>
      <c r="V3723">
        <v>-4.9791080000000003E-3</v>
      </c>
      <c r="W3723">
        <v>0.17182520000000001</v>
      </c>
      <c r="X3723">
        <v>0.98511490000000002</v>
      </c>
      <c r="Y3723">
        <v>-0.12648589999999901</v>
      </c>
      <c r="Z3723">
        <v>-2.8319310000000002E-3</v>
      </c>
      <c r="AA3723">
        <v>0.99196430000000002</v>
      </c>
      <c r="AB3723">
        <v>28</v>
      </c>
      <c r="AC3723">
        <v>-33.705399999999997</v>
      </c>
      <c r="AD3723">
        <v>-1.1213961193740001</v>
      </c>
      <c r="AE3723">
        <v>-4.4286000000000101</v>
      </c>
      <c r="AF3723">
        <v>-4.33401609639649</v>
      </c>
      <c r="AG3723">
        <v>-1.1213961193740001</v>
      </c>
      <c r="AH3723">
        <v>33.680436936692097</v>
      </c>
      <c r="AI3723">
        <v>91.891385022194697</v>
      </c>
      <c r="AJ3723">
        <v>97.332555338717796</v>
      </c>
      <c r="AK3723">
        <v>33.976654588509199</v>
      </c>
      <c r="AL3723">
        <v>80.106043261898805</v>
      </c>
      <c r="AM3723">
        <v>90.289590021296902</v>
      </c>
      <c r="AN3723">
        <v>1.0000000285367601</v>
      </c>
    </row>
    <row r="3724" spans="1:40" x14ac:dyDescent="0.25">
      <c r="A3724" t="str">
        <f>"20190303161946694"</f>
        <v>20190303161946694</v>
      </c>
      <c r="B3724" t="str">
        <f>"1551601186686372"</f>
        <v>1551601186686372</v>
      </c>
      <c r="C3724" t="s">
        <v>40</v>
      </c>
      <c r="D3724">
        <v>4.5232419999999998</v>
      </c>
      <c r="E3724">
        <v>0.45319930000000003</v>
      </c>
      <c r="F3724" t="s">
        <v>56</v>
      </c>
      <c r="G3724">
        <v>-425.17009999999999</v>
      </c>
      <c r="H3724" s="1">
        <v>3.6043860000000002E-6</v>
      </c>
      <c r="I3724">
        <v>279.16410000000002</v>
      </c>
      <c r="J3724">
        <v>-389.84879999999998</v>
      </c>
      <c r="K3724">
        <v>1.1214040000000001</v>
      </c>
      <c r="L3724">
        <v>283.81529999999998</v>
      </c>
      <c r="M3724">
        <v>-0.99991560000000002</v>
      </c>
      <c r="N3724">
        <v>-1.2723089999999999E-2</v>
      </c>
      <c r="O3724">
        <v>-2.6655810000000002E-3</v>
      </c>
      <c r="P3724">
        <v>-0.98720350000000001</v>
      </c>
      <c r="Q3724">
        <v>0.15926850000000001</v>
      </c>
      <c r="R3724">
        <v>-7.9444589999999992E-3</v>
      </c>
      <c r="S3724">
        <v>-3.051361</v>
      </c>
      <c r="T3724">
        <v>-9.6127509999999999E-2</v>
      </c>
      <c r="U3724">
        <v>-0.39877319999999999</v>
      </c>
      <c r="V3724">
        <v>-5.3060549999999996E-3</v>
      </c>
      <c r="W3724">
        <v>0.17181629999999901</v>
      </c>
      <c r="X3724">
        <v>0.98511470000000001</v>
      </c>
      <c r="Y3724">
        <v>-0.12685460000000001</v>
      </c>
      <c r="Z3724">
        <v>-2.7501050000000001E-3</v>
      </c>
      <c r="AA3724">
        <v>0.99191750000000001</v>
      </c>
      <c r="AB3724">
        <v>28</v>
      </c>
      <c r="AC3724">
        <v>-35.321300000000001</v>
      </c>
      <c r="AD3724">
        <v>-1.121400395614</v>
      </c>
      <c r="AE3724">
        <v>-4.6511999999999603</v>
      </c>
      <c r="AF3724">
        <v>-4.5525134876977402</v>
      </c>
      <c r="AG3724">
        <v>-1.121400395614</v>
      </c>
      <c r="AH3724">
        <v>35.298600132587303</v>
      </c>
      <c r="AI3724">
        <v>91.804678983496601</v>
      </c>
      <c r="AJ3724">
        <v>97.348955291789906</v>
      </c>
      <c r="AK3724">
        <v>35.608623804118601</v>
      </c>
      <c r="AL3724">
        <v>80.106560443958998</v>
      </c>
      <c r="AM3724">
        <v>90.308605299915399</v>
      </c>
      <c r="AN3724">
        <v>0.99999998366072096</v>
      </c>
    </row>
    <row r="3725" spans="1:40" x14ac:dyDescent="0.25">
      <c r="A3725" t="str">
        <f>"20190303161946716"</f>
        <v>20190303161946716</v>
      </c>
      <c r="B3725" t="str">
        <f>"1551601186705892"</f>
        <v>1551601186705892</v>
      </c>
      <c r="C3725" t="s">
        <v>40</v>
      </c>
      <c r="D3725">
        <v>4.4499769999999996</v>
      </c>
      <c r="E3725">
        <v>0.45301279999999999</v>
      </c>
      <c r="F3725" t="s">
        <v>56</v>
      </c>
      <c r="G3725">
        <v>-426.03440000000001</v>
      </c>
      <c r="H3725" s="1">
        <v>3.473467E-6</v>
      </c>
      <c r="I3725">
        <v>279.0795</v>
      </c>
      <c r="J3725">
        <v>-390.13510000000002</v>
      </c>
      <c r="K3725">
        <v>1.1214040000000001</v>
      </c>
      <c r="L3725">
        <v>283.81459999999998</v>
      </c>
      <c r="M3725">
        <v>-0.99991560000000002</v>
      </c>
      <c r="N3725">
        <v>-1.272121E-2</v>
      </c>
      <c r="O3725">
        <v>-2.665569E-3</v>
      </c>
      <c r="P3725">
        <v>-0.9872282</v>
      </c>
      <c r="Q3725">
        <v>0.15911500000000001</v>
      </c>
      <c r="R3725">
        <v>-7.9442319999999903E-3</v>
      </c>
      <c r="S3725">
        <v>-3.0509029999999999</v>
      </c>
      <c r="T3725">
        <v>-9.4548110000000005E-2</v>
      </c>
      <c r="U3725">
        <v>-0.39929199999999998</v>
      </c>
      <c r="V3725">
        <v>-5.306201E-3</v>
      </c>
      <c r="W3725">
        <v>0.17166129999999999</v>
      </c>
      <c r="X3725">
        <v>0.98514179999999996</v>
      </c>
      <c r="Y3725">
        <v>-0.12704180000000001</v>
      </c>
      <c r="Z3725">
        <v>-2.72303E-3</v>
      </c>
      <c r="AA3725">
        <v>0.99189360000000004</v>
      </c>
      <c r="AB3725">
        <v>28</v>
      </c>
      <c r="AC3725">
        <v>-35.899299999999897</v>
      </c>
      <c r="AD3725">
        <v>-1.121400526533</v>
      </c>
      <c r="AE3725">
        <v>-4.7350999999999797</v>
      </c>
      <c r="AF3725">
        <v>-4.6349380590113602</v>
      </c>
      <c r="AG3725">
        <v>-1.121400526533</v>
      </c>
      <c r="AH3725">
        <v>35.8773855940142</v>
      </c>
      <c r="AI3725">
        <v>91.775535481299499</v>
      </c>
      <c r="AJ3725">
        <v>97.361172694314803</v>
      </c>
      <c r="AK3725">
        <v>36.192913491640297</v>
      </c>
      <c r="AL3725">
        <v>80.115576007985595</v>
      </c>
      <c r="AM3725">
        <v>90.308605301843301</v>
      </c>
      <c r="AN3725">
        <v>1.00000006189698</v>
      </c>
    </row>
    <row r="3726" spans="1:40" x14ac:dyDescent="0.25">
      <c r="A3726" t="str">
        <f>"20190303161946739"</f>
        <v>20190303161946739</v>
      </c>
      <c r="B3726" t="str">
        <f>"1551601186726388"</f>
        <v>1551601186726388</v>
      </c>
      <c r="C3726" t="s">
        <v>40</v>
      </c>
      <c r="D3726">
        <v>4.4842500000000003</v>
      </c>
      <c r="E3726">
        <v>0.4528838</v>
      </c>
      <c r="F3726" t="s">
        <v>56</v>
      </c>
      <c r="G3726">
        <v>-426.73500000000001</v>
      </c>
      <c r="H3726" s="1">
        <v>3.3679259999999998E-6</v>
      </c>
      <c r="I3726">
        <v>279.00880000000001</v>
      </c>
      <c r="J3726">
        <v>-390.41809999999998</v>
      </c>
      <c r="K3726">
        <v>1.1214040000000001</v>
      </c>
      <c r="L3726">
        <v>283.81380000000001</v>
      </c>
      <c r="M3726">
        <v>-0.99991569999999996</v>
      </c>
      <c r="N3726">
        <v>-1.2719319999999999E-2</v>
      </c>
      <c r="O3726">
        <v>-2.6657949999999999E-3</v>
      </c>
      <c r="P3726">
        <v>-0.98729900000000004</v>
      </c>
      <c r="Q3726">
        <v>0.15866450000000001</v>
      </c>
      <c r="R3726">
        <v>-8.1767319999999904E-3</v>
      </c>
      <c r="S3726">
        <v>-3.0506899999999999</v>
      </c>
      <c r="T3726">
        <v>-9.3471529999999997E-2</v>
      </c>
      <c r="U3726">
        <v>-0.40057369999999998</v>
      </c>
      <c r="V3726">
        <v>-5.5377600000000001E-3</v>
      </c>
      <c r="W3726">
        <v>0.1712098</v>
      </c>
      <c r="X3726">
        <v>0.98521899999999996</v>
      </c>
      <c r="Y3726">
        <v>-0.12746150000000001</v>
      </c>
      <c r="Z3726">
        <v>-2.7107099999999999E-3</v>
      </c>
      <c r="AA3726">
        <v>0.99183980000000005</v>
      </c>
      <c r="AB3726">
        <v>28</v>
      </c>
      <c r="AC3726">
        <v>-36.316899999999997</v>
      </c>
      <c r="AD3726">
        <v>-1.121400632074</v>
      </c>
      <c r="AE3726">
        <v>-4.8049999999999997</v>
      </c>
      <c r="AF3726">
        <v>-4.7037539960259904</v>
      </c>
      <c r="AG3726">
        <v>-1.121400632074</v>
      </c>
      <c r="AH3726">
        <v>36.295569990803102</v>
      </c>
      <c r="AI3726">
        <v>91.755000475423302</v>
      </c>
      <c r="AJ3726">
        <v>97.384137760250397</v>
      </c>
      <c r="AK3726">
        <v>36.616270181300997</v>
      </c>
      <c r="AL3726">
        <v>80.141832875448301</v>
      </c>
      <c r="AM3726">
        <v>90.322047112920799</v>
      </c>
      <c r="AN3726">
        <v>0.99999997018142806</v>
      </c>
    </row>
    <row r="3727" spans="1:40" x14ac:dyDescent="0.25">
      <c r="A3727" t="str">
        <f>"20190303161946761"</f>
        <v>20190303161946761</v>
      </c>
      <c r="B3727" t="str">
        <f>"1551601186756643"</f>
        <v>1551601186756643</v>
      </c>
      <c r="C3727" t="s">
        <v>40</v>
      </c>
      <c r="D3727">
        <v>4.4637010000000004</v>
      </c>
      <c r="E3727">
        <v>0.45277000000000001</v>
      </c>
      <c r="F3727" t="s">
        <v>56</v>
      </c>
      <c r="G3727">
        <v>-426.85550000000001</v>
      </c>
      <c r="H3727" s="1">
        <v>3.346146E-6</v>
      </c>
      <c r="I3727">
        <v>279.01029999999997</v>
      </c>
      <c r="J3727">
        <v>-390.69690000000003</v>
      </c>
      <c r="K3727">
        <v>1.1214010000000001</v>
      </c>
      <c r="L3727">
        <v>283.81310000000002</v>
      </c>
      <c r="M3727">
        <v>-0.99991569999999996</v>
      </c>
      <c r="N3727">
        <v>-1.271743E-2</v>
      </c>
      <c r="O3727">
        <v>-2.665784E-3</v>
      </c>
      <c r="P3727">
        <v>-0.98729630000000002</v>
      </c>
      <c r="Q3727">
        <v>0.15867809999999999</v>
      </c>
      <c r="R3727">
        <v>-8.2283679999999998E-3</v>
      </c>
      <c r="S3727">
        <v>-3.0503849999999999</v>
      </c>
      <c r="T3727">
        <v>-9.3878980000000001E-2</v>
      </c>
      <c r="U3727">
        <v>-0.40213009999999999</v>
      </c>
      <c r="V3727">
        <v>-5.5894250000000003E-3</v>
      </c>
      <c r="W3727">
        <v>0.1712216</v>
      </c>
      <c r="X3727">
        <v>0.98521669999999995</v>
      </c>
      <c r="Y3727">
        <v>-0.1279708</v>
      </c>
      <c r="Z3727">
        <v>-2.7299059999999998E-3</v>
      </c>
      <c r="AA3727">
        <v>0.99177420000000005</v>
      </c>
      <c r="AB3727">
        <v>28</v>
      </c>
      <c r="AC3727">
        <v>-36.1585999999999</v>
      </c>
      <c r="AD3727">
        <v>-1.121397653854</v>
      </c>
      <c r="AE3727">
        <v>-4.8028000000000404</v>
      </c>
      <c r="AF3727">
        <v>-4.7019400920149597</v>
      </c>
      <c r="AG3727">
        <v>-1.121397653854</v>
      </c>
      <c r="AH3727">
        <v>36.1371207618688</v>
      </c>
      <c r="AI3727">
        <v>91.762569513124006</v>
      </c>
      <c r="AJ3727">
        <v>97.413327034312601</v>
      </c>
      <c r="AK3727">
        <v>36.4589806533981</v>
      </c>
      <c r="AL3727">
        <v>80.1411470682485</v>
      </c>
      <c r="AM3727">
        <v>90.3250523733319</v>
      </c>
      <c r="AN3727">
        <v>1.0000000119686401</v>
      </c>
    </row>
    <row r="3728" spans="1:40" x14ac:dyDescent="0.25">
      <c r="A3728" t="str">
        <f>"20190303161946782"</f>
        <v>20190303161946782</v>
      </c>
      <c r="B3728" t="str">
        <f>"1551601186776164"</f>
        <v>1551601186776164</v>
      </c>
      <c r="C3728" t="s">
        <v>40</v>
      </c>
      <c r="D3728">
        <v>4.4771340000000004</v>
      </c>
      <c r="E3728">
        <v>0.45267800000000002</v>
      </c>
      <c r="F3728" t="s">
        <v>56</v>
      </c>
      <c r="G3728">
        <v>-427.59660000000002</v>
      </c>
      <c r="H3728" s="1">
        <v>3.2352489999999998E-6</v>
      </c>
      <c r="I3728">
        <v>278.93270000000001</v>
      </c>
      <c r="J3728">
        <v>-390.97149999999999</v>
      </c>
      <c r="K3728">
        <v>1.1214010000000001</v>
      </c>
      <c r="L3728">
        <v>283.81229999999999</v>
      </c>
      <c r="M3728">
        <v>-0.99991569999999996</v>
      </c>
      <c r="N3728">
        <v>-1.2715529999999999E-2</v>
      </c>
      <c r="O3728">
        <v>-2.6657719999999998E-3</v>
      </c>
      <c r="P3728">
        <v>-0.98728159999999998</v>
      </c>
      <c r="Q3728">
        <v>0.1587906</v>
      </c>
      <c r="R3728">
        <v>-7.8005729999999999E-3</v>
      </c>
      <c r="S3728">
        <v>-3.0501100000000001</v>
      </c>
      <c r="T3728">
        <v>-9.2694399999999996E-2</v>
      </c>
      <c r="U3728">
        <v>-0.40341189999999999</v>
      </c>
      <c r="V3728">
        <v>-5.1613470000000002E-3</v>
      </c>
      <c r="W3728">
        <v>0.17133190000000001</v>
      </c>
      <c r="X3728">
        <v>0.98519990000000002</v>
      </c>
      <c r="Y3728">
        <v>-0.12839349999999999</v>
      </c>
      <c r="Z3728">
        <v>-2.7153110000000002E-3</v>
      </c>
      <c r="AA3728">
        <v>0.99171960000000003</v>
      </c>
      <c r="AB3728">
        <v>28</v>
      </c>
      <c r="AC3728">
        <v>-36.625100000000003</v>
      </c>
      <c r="AD3728">
        <v>-1.1213977647510001</v>
      </c>
      <c r="AE3728">
        <v>-4.8795999999999804</v>
      </c>
      <c r="AF3728">
        <v>-4.7775398787580903</v>
      </c>
      <c r="AG3728">
        <v>-1.1213977647510001</v>
      </c>
      <c r="AH3728">
        <v>36.604261552038501</v>
      </c>
      <c r="AI3728">
        <v>91.739999617797494</v>
      </c>
      <c r="AJ3728">
        <v>97.436134439883006</v>
      </c>
      <c r="AK3728">
        <v>36.931753058986502</v>
      </c>
      <c r="AL3728">
        <v>80.134732947324096</v>
      </c>
      <c r="AM3728">
        <v>90.300163138752396</v>
      </c>
      <c r="AN3728">
        <v>1.0000000512102301</v>
      </c>
    </row>
    <row r="3729" spans="1:40" x14ac:dyDescent="0.25">
      <c r="A3729" t="str">
        <f>"20190303161946806"</f>
        <v>20190303161946806</v>
      </c>
      <c r="B3729" t="str">
        <f>"1551601186796660"</f>
        <v>1551601186796660</v>
      </c>
      <c r="C3729" t="s">
        <v>40</v>
      </c>
      <c r="D3729">
        <v>4.4851539999999996</v>
      </c>
      <c r="E3729">
        <v>0.45283309999999999</v>
      </c>
      <c r="F3729" t="s">
        <v>56</v>
      </c>
      <c r="G3729">
        <v>-428.625</v>
      </c>
      <c r="H3729" s="1">
        <v>3.0791350000000002E-6</v>
      </c>
      <c r="I3729">
        <v>278.83330000000001</v>
      </c>
      <c r="J3729">
        <v>-391.25580000000002</v>
      </c>
      <c r="K3729">
        <v>1.1214</v>
      </c>
      <c r="L3729">
        <v>283.8116</v>
      </c>
      <c r="M3729">
        <v>-0.99991580000000002</v>
      </c>
      <c r="N3729">
        <v>-1.2713540000000001E-2</v>
      </c>
      <c r="O3729">
        <v>-2.6657590000000002E-3</v>
      </c>
      <c r="P3729">
        <v>-0.9873054</v>
      </c>
      <c r="Q3729">
        <v>0.1586719</v>
      </c>
      <c r="R3729">
        <v>-7.1889700000000003E-3</v>
      </c>
      <c r="S3729">
        <v>-3.0500790000000002</v>
      </c>
      <c r="T3729">
        <v>-9.0837600000000004E-2</v>
      </c>
      <c r="U3729">
        <v>-0.40332030000000002</v>
      </c>
      <c r="V3729">
        <v>-4.5502590000000001E-3</v>
      </c>
      <c r="W3729">
        <v>0.17121169999999999</v>
      </c>
      <c r="X3729">
        <v>0.98522379999999998</v>
      </c>
      <c r="Y3729">
        <v>-0.12836829999999999</v>
      </c>
      <c r="Z3729">
        <v>-2.6773840000000001E-3</v>
      </c>
      <c r="AA3729">
        <v>0.99172289999999996</v>
      </c>
      <c r="AB3729">
        <v>28</v>
      </c>
      <c r="AC3729">
        <v>-37.3691999999999</v>
      </c>
      <c r="AD3729">
        <v>-1.1213969208650001</v>
      </c>
      <c r="AE3729">
        <v>-4.9782999999999902</v>
      </c>
      <c r="AF3729">
        <v>-4.8743441135667096</v>
      </c>
      <c r="AG3729">
        <v>-1.1213969208650001</v>
      </c>
      <c r="AH3729">
        <v>37.349292108247198</v>
      </c>
      <c r="AI3729">
        <v>91.705312691082</v>
      </c>
      <c r="AJ3729">
        <v>97.435476539315204</v>
      </c>
      <c r="AK3729">
        <v>37.682706677981102</v>
      </c>
      <c r="AL3729">
        <v>80.141723112775395</v>
      </c>
      <c r="AM3729">
        <v>90.264618843670902</v>
      </c>
      <c r="AN3729">
        <v>1.0000000435801399</v>
      </c>
    </row>
    <row r="3730" spans="1:40" x14ac:dyDescent="0.25">
      <c r="A3730" t="str">
        <f>"20190303161946828"</f>
        <v>20190303161946828</v>
      </c>
      <c r="B3730" t="str">
        <f>"1551601186816180"</f>
        <v>1551601186816180</v>
      </c>
      <c r="C3730" t="s">
        <v>40</v>
      </c>
      <c r="D3730">
        <v>4.45174</v>
      </c>
      <c r="E3730">
        <v>0.45313429999999999</v>
      </c>
      <c r="F3730" t="s">
        <v>56</v>
      </c>
      <c r="G3730">
        <v>-428.79570000000001</v>
      </c>
      <c r="H3730" s="1">
        <v>3.0355410000000001E-6</v>
      </c>
      <c r="I3730">
        <v>278.8836</v>
      </c>
      <c r="J3730">
        <v>-391.54430000000002</v>
      </c>
      <c r="K3730">
        <v>1.1214</v>
      </c>
      <c r="L3730">
        <v>283.81079999999997</v>
      </c>
      <c r="M3730">
        <v>-0.99991569999999996</v>
      </c>
      <c r="N3730">
        <v>-1.271133E-2</v>
      </c>
      <c r="O3730">
        <v>-2.6657450000000002E-3</v>
      </c>
      <c r="P3730">
        <v>-0.98742600000000003</v>
      </c>
      <c r="Q3730">
        <v>0.15795149999999999</v>
      </c>
      <c r="R3730">
        <v>-6.4428760000000002E-3</v>
      </c>
      <c r="S3730">
        <v>-3.050262</v>
      </c>
      <c r="T3730">
        <v>-9.1117980000000001E-2</v>
      </c>
      <c r="U3730">
        <v>-0.40042109999999997</v>
      </c>
      <c r="V3730">
        <v>-3.8033020000000002E-3</v>
      </c>
      <c r="W3730">
        <v>0.17049049999999999</v>
      </c>
      <c r="X3730">
        <v>0.98535200000000001</v>
      </c>
      <c r="Y3730">
        <v>-0.1274342</v>
      </c>
      <c r="Z3730">
        <v>-2.662967E-3</v>
      </c>
      <c r="AA3730">
        <v>0.99184349999999999</v>
      </c>
      <c r="AB3730">
        <v>28</v>
      </c>
      <c r="AC3730">
        <v>-37.251399999999897</v>
      </c>
      <c r="AD3730">
        <v>-1.1213969644589901</v>
      </c>
      <c r="AE3730">
        <v>-4.9271999999999698</v>
      </c>
      <c r="AF3730">
        <v>-4.8235756779451497</v>
      </c>
      <c r="AG3730">
        <v>-1.1213969644589901</v>
      </c>
      <c r="AH3730">
        <v>37.231243777303597</v>
      </c>
      <c r="AI3730">
        <v>91.710924206852994</v>
      </c>
      <c r="AJ3730">
        <v>97.381961755731197</v>
      </c>
      <c r="AK3730">
        <v>37.559152369000103</v>
      </c>
      <c r="AL3730">
        <v>80.183661217676203</v>
      </c>
      <c r="AM3730">
        <v>90.221151497779005</v>
      </c>
      <c r="AN3730">
        <v>1.0000000198001699</v>
      </c>
    </row>
    <row r="3731" spans="1:40" x14ac:dyDescent="0.25">
      <c r="A3731" t="str">
        <f>"20190303161946851"</f>
        <v>20190303161946851</v>
      </c>
      <c r="B3731" t="str">
        <f>"1551601186846436"</f>
        <v>1551601186846436</v>
      </c>
      <c r="C3731" t="s">
        <v>40</v>
      </c>
      <c r="D3731">
        <v>4.4116879999999998</v>
      </c>
      <c r="E3731">
        <v>0.45337169999999999</v>
      </c>
      <c r="F3731" t="s">
        <v>56</v>
      </c>
      <c r="G3731">
        <v>-428.07479999999998</v>
      </c>
      <c r="H3731" s="1">
        <v>3.1134799999999998E-6</v>
      </c>
      <c r="I3731">
        <v>279.07209999999998</v>
      </c>
      <c r="J3731">
        <v>-391.82530000000003</v>
      </c>
      <c r="K3731">
        <v>1.121399</v>
      </c>
      <c r="L3731">
        <v>283.81009999999998</v>
      </c>
      <c r="M3731">
        <v>-0.99991580000000002</v>
      </c>
      <c r="N3731">
        <v>-1.270924E-2</v>
      </c>
      <c r="O3731">
        <v>-2.6659700000000001E-3</v>
      </c>
      <c r="P3731">
        <v>-0.98743329999999996</v>
      </c>
      <c r="Q3731">
        <v>0.15791820000000001</v>
      </c>
      <c r="R3731">
        <v>-6.1375980000000002E-3</v>
      </c>
      <c r="S3731">
        <v>-3.0506289999999998</v>
      </c>
      <c r="T3731">
        <v>-9.3646759999999996E-2</v>
      </c>
      <c r="U3731">
        <v>-0.3957214</v>
      </c>
      <c r="V3731">
        <v>-3.4979189999999999E-3</v>
      </c>
      <c r="W3731">
        <v>0.17045569999999999</v>
      </c>
      <c r="X3731">
        <v>0.98535910000000004</v>
      </c>
      <c r="Y3731">
        <v>-0.12591330000000001</v>
      </c>
      <c r="Z3731">
        <v>-2.6801339999999998E-3</v>
      </c>
      <c r="AA3731">
        <v>0.99203770000000002</v>
      </c>
      <c r="AB3731">
        <v>28</v>
      </c>
      <c r="AC3731">
        <v>-36.249499999999898</v>
      </c>
      <c r="AD3731">
        <v>-1.12139588652</v>
      </c>
      <c r="AE3731">
        <v>-4.7380000000000004</v>
      </c>
      <c r="AF3731">
        <v>-4.6369722218196996</v>
      </c>
      <c r="AG3731">
        <v>-1.12139588652</v>
      </c>
      <c r="AH3731">
        <v>36.227915627112203</v>
      </c>
      <c r="AI3731">
        <v>91.758624919574302</v>
      </c>
      <c r="AJ3731">
        <v>97.293883577304001</v>
      </c>
      <c r="AK3731">
        <v>36.540674744801798</v>
      </c>
      <c r="AL3731">
        <v>80.185684222073604</v>
      </c>
      <c r="AM3731">
        <v>90.203393010651297</v>
      </c>
      <c r="AN3731">
        <v>0.99999996852631401</v>
      </c>
    </row>
    <row r="3732" spans="1:40" x14ac:dyDescent="0.25">
      <c r="A3732" t="str">
        <f>"20190303161946872"</f>
        <v>20190303161946872</v>
      </c>
      <c r="B3732" t="str">
        <f>"1551601186865956"</f>
        <v>1551601186865956</v>
      </c>
      <c r="C3732" t="s">
        <v>40</v>
      </c>
      <c r="D3732">
        <v>4.4205040000000002</v>
      </c>
      <c r="E3732">
        <v>0.45354050000000001</v>
      </c>
      <c r="F3732" t="s">
        <v>56</v>
      </c>
      <c r="G3732">
        <v>-428.79700000000003</v>
      </c>
      <c r="H3732" s="1">
        <v>2.9913699999999999E-6</v>
      </c>
      <c r="I3732">
        <v>279.04950000000002</v>
      </c>
      <c r="J3732">
        <v>-392.10449999999997</v>
      </c>
      <c r="K3732">
        <v>1.1213959999999901</v>
      </c>
      <c r="L3732">
        <v>283.80939999999998</v>
      </c>
      <c r="M3732">
        <v>-0.99991569999999996</v>
      </c>
      <c r="N3732">
        <v>-1.270721E-2</v>
      </c>
      <c r="O3732">
        <v>-2.665719E-3</v>
      </c>
      <c r="P3732">
        <v>-0.98743910000000001</v>
      </c>
      <c r="Q3732">
        <v>0.15788779999999999</v>
      </c>
      <c r="R3732">
        <v>-5.9380919999999998E-3</v>
      </c>
      <c r="S3732">
        <v>-3.0505070000000001</v>
      </c>
      <c r="T3732">
        <v>-9.2525360000000001E-2</v>
      </c>
      <c r="U3732">
        <v>-0.39279170000000002</v>
      </c>
      <c r="V3732">
        <v>-3.2991890000000001E-3</v>
      </c>
      <c r="W3732">
        <v>0.17042280000000001</v>
      </c>
      <c r="X3732">
        <v>0.98536550000000001</v>
      </c>
      <c r="Y3732">
        <v>-0.1249837</v>
      </c>
      <c r="Z3732">
        <v>-2.6381130000000001E-3</v>
      </c>
      <c r="AA3732">
        <v>0.99215529999999996</v>
      </c>
      <c r="AB3732">
        <v>28</v>
      </c>
      <c r="AC3732">
        <v>-36.692500000000003</v>
      </c>
      <c r="AD3732">
        <v>-1.1213930086299999</v>
      </c>
      <c r="AE3732">
        <v>-4.7598999999999503</v>
      </c>
      <c r="AF3732">
        <v>-4.6577847790888303</v>
      </c>
      <c r="AG3732">
        <v>-1.1213930086299999</v>
      </c>
      <c r="AH3732">
        <v>36.671373873756998</v>
      </c>
      <c r="AI3732">
        <v>91.737580500193502</v>
      </c>
      <c r="AJ3732">
        <v>97.238617062161893</v>
      </c>
      <c r="AK3732">
        <v>36.982998027701697</v>
      </c>
      <c r="AL3732">
        <v>80.187597476868206</v>
      </c>
      <c r="AM3732">
        <v>90.191836327897803</v>
      </c>
      <c r="AN3732">
        <v>0.99999999199907297</v>
      </c>
    </row>
    <row r="3733" spans="1:40" x14ac:dyDescent="0.25">
      <c r="A3733" t="str">
        <f>"20190303161946886"</f>
        <v>20190303161946886</v>
      </c>
      <c r="B3733" t="str">
        <f>"1551601186876692"</f>
        <v>1551601186876692</v>
      </c>
      <c r="C3733" t="s">
        <v>40</v>
      </c>
      <c r="D3733">
        <v>4.4178160000000002</v>
      </c>
      <c r="E3733">
        <v>0.45358860000000001</v>
      </c>
      <c r="F3733" t="s">
        <v>56</v>
      </c>
      <c r="G3733">
        <v>-429.32</v>
      </c>
      <c r="H3733" s="1">
        <v>2.901475E-6</v>
      </c>
      <c r="I3733">
        <v>279.03859999999997</v>
      </c>
      <c r="J3733">
        <v>-392.26409999999998</v>
      </c>
      <c r="K3733">
        <v>1.1213959999999901</v>
      </c>
      <c r="L3733">
        <v>283.80889999999999</v>
      </c>
      <c r="M3733">
        <v>-0.99991580000000002</v>
      </c>
      <c r="N3733">
        <v>-1.270605E-2</v>
      </c>
      <c r="O3733">
        <v>-2.6659499999999998E-3</v>
      </c>
      <c r="P3733">
        <v>-0.98737710000000001</v>
      </c>
      <c r="Q3733">
        <v>0.15828420000000001</v>
      </c>
      <c r="R3733">
        <v>-5.7198409999999998E-3</v>
      </c>
      <c r="S3733">
        <v>-3.0505070000000001</v>
      </c>
      <c r="T3733">
        <v>-9.1918949999999999E-2</v>
      </c>
      <c r="U3733">
        <v>-0.39105220000000002</v>
      </c>
      <c r="V3733">
        <v>-3.0804909999999999E-3</v>
      </c>
      <c r="W3733">
        <v>0.170817</v>
      </c>
      <c r="X3733">
        <v>0.98529800000000001</v>
      </c>
      <c r="Y3733">
        <v>-0.1244281</v>
      </c>
      <c r="Z3733">
        <v>-2.614351E-3</v>
      </c>
      <c r="AA3733">
        <v>0.99222520000000003</v>
      </c>
      <c r="AB3733">
        <v>28</v>
      </c>
      <c r="AC3733">
        <v>-37.055900000000001</v>
      </c>
      <c r="AD3733">
        <v>-1.12139309852499</v>
      </c>
      <c r="AE3733">
        <v>-4.7703000000000104</v>
      </c>
      <c r="AF3733">
        <v>-4.66728128032259</v>
      </c>
      <c r="AG3733">
        <v>-1.12139309852499</v>
      </c>
      <c r="AH3733">
        <v>37.035122814814301</v>
      </c>
      <c r="AI3733">
        <v>91.720737124805794</v>
      </c>
      <c r="AJ3733">
        <v>97.182726987178896</v>
      </c>
      <c r="AK3733">
        <v>37.344897361479603</v>
      </c>
      <c r="AL3733">
        <v>80.164675876809895</v>
      </c>
      <c r="AM3733">
        <v>90.179132159056806</v>
      </c>
      <c r="AN3733">
        <v>1.00000004285889</v>
      </c>
    </row>
    <row r="3734" spans="1:40" x14ac:dyDescent="0.25">
      <c r="A3734" t="str">
        <f>"20190303161946899"</f>
        <v>20190303161946899</v>
      </c>
      <c r="B3734" t="str">
        <f>"1551601186886452"</f>
        <v>1551601186886452</v>
      </c>
      <c r="C3734" t="s">
        <v>40</v>
      </c>
      <c r="D3734">
        <v>4.4423919999999999</v>
      </c>
      <c r="E3734">
        <v>0.45359509999999997</v>
      </c>
      <c r="F3734" t="s">
        <v>56</v>
      </c>
      <c r="G3734">
        <v>-429.65949999999998</v>
      </c>
      <c r="H3734" s="1">
        <v>2.8425249999999999E-6</v>
      </c>
      <c r="I3734">
        <v>279.03379999999999</v>
      </c>
      <c r="J3734">
        <v>-392.43900000000002</v>
      </c>
      <c r="K3734">
        <v>1.121397</v>
      </c>
      <c r="L3734">
        <v>283.80840000000001</v>
      </c>
      <c r="M3734">
        <v>-0.99991600000000003</v>
      </c>
      <c r="N3734">
        <v>-1.2704750000000001E-2</v>
      </c>
      <c r="O3734">
        <v>-2.666061E-3</v>
      </c>
      <c r="P3734">
        <v>-0.98736939999999995</v>
      </c>
      <c r="Q3734">
        <v>0.15832009999999999</v>
      </c>
      <c r="R3734">
        <v>-6.0642269999999898E-3</v>
      </c>
      <c r="S3734">
        <v>-3.050751</v>
      </c>
      <c r="T3734">
        <v>-9.1484190000000007E-2</v>
      </c>
      <c r="U3734">
        <v>-0.38955689999999998</v>
      </c>
      <c r="V3734">
        <v>-3.4248540000000002E-3</v>
      </c>
      <c r="W3734">
        <v>0.170851799999999</v>
      </c>
      <c r="X3734">
        <v>0.98529080000000002</v>
      </c>
      <c r="Y3734">
        <v>-0.12394040000000001</v>
      </c>
      <c r="Z3734">
        <v>-2.5953130000000001E-3</v>
      </c>
      <c r="AA3734">
        <v>0.99228629999999995</v>
      </c>
      <c r="AB3734">
        <v>28</v>
      </c>
      <c r="AC3734">
        <v>-37.220499999999902</v>
      </c>
      <c r="AD3734">
        <v>-1.1213941574749999</v>
      </c>
      <c r="AE3734">
        <v>-4.7746000000000199</v>
      </c>
      <c r="AF3734">
        <v>-4.6711714468043999</v>
      </c>
      <c r="AG3734">
        <v>-1.1213941574749999</v>
      </c>
      <c r="AH3734">
        <v>37.1998776612201</v>
      </c>
      <c r="AI3734">
        <v>91.713218475003004</v>
      </c>
      <c r="AJ3734">
        <v>97.157144177235196</v>
      </c>
      <c r="AK3734">
        <v>37.508775847148101</v>
      </c>
      <c r="AL3734">
        <v>80.162651947806097</v>
      </c>
      <c r="AM3734">
        <v>90.199158349333999</v>
      </c>
      <c r="AN3734">
        <v>1.0000000138764</v>
      </c>
    </row>
    <row r="3735" spans="1:40" x14ac:dyDescent="0.25">
      <c r="A3735" t="str">
        <f>"20190303161946912"</f>
        <v>20190303161946912</v>
      </c>
      <c r="B3735" t="str">
        <f>"1551601186905972"</f>
        <v>1551601186905972</v>
      </c>
      <c r="C3735" t="s">
        <v>40</v>
      </c>
      <c r="D3735">
        <v>4.4301789999999999</v>
      </c>
      <c r="E3735">
        <v>0.45367649999999998</v>
      </c>
      <c r="F3735" t="s">
        <v>56</v>
      </c>
      <c r="G3735">
        <v>-429.98840000000001</v>
      </c>
      <c r="H3735" s="1">
        <v>2.8099800000000001E-6</v>
      </c>
      <c r="I3735">
        <v>278.99799999999999</v>
      </c>
      <c r="J3735">
        <v>-392.60649999999998</v>
      </c>
      <c r="K3735">
        <v>1.1213949999999999</v>
      </c>
      <c r="L3735">
        <v>283.80799999999999</v>
      </c>
      <c r="M3735">
        <v>-0.99991580000000002</v>
      </c>
      <c r="N3735">
        <v>-1.270348E-2</v>
      </c>
      <c r="O3735">
        <v>-2.665695E-3</v>
      </c>
      <c r="P3735">
        <v>-0.98739390000000005</v>
      </c>
      <c r="Q3735">
        <v>0.1581611</v>
      </c>
      <c r="R3735">
        <v>-6.2010440000000002E-3</v>
      </c>
      <c r="S3735">
        <v>-3.0505979999999999</v>
      </c>
      <c r="T3735">
        <v>-9.110451E-2</v>
      </c>
      <c r="U3735">
        <v>-0.39080809999999999</v>
      </c>
      <c r="V3735">
        <v>-3.5621419999999999E-3</v>
      </c>
      <c r="W3735">
        <v>0.17069210000000001</v>
      </c>
      <c r="X3735">
        <v>0.98531800000000003</v>
      </c>
      <c r="Y3735">
        <v>-0.12434779999999999</v>
      </c>
      <c r="Z3735">
        <v>-2.596606E-3</v>
      </c>
      <c r="AA3735">
        <v>0.99223530000000004</v>
      </c>
      <c r="AB3735">
        <v>28</v>
      </c>
      <c r="AC3735">
        <v>-37.381900000000002</v>
      </c>
      <c r="AD3735">
        <v>-1.1213921900199999</v>
      </c>
      <c r="AE3735">
        <v>-4.8099999999999996</v>
      </c>
      <c r="AF3735">
        <v>-4.7061600475394902</v>
      </c>
      <c r="AG3735">
        <v>-1.1213921900199999</v>
      </c>
      <c r="AH3735">
        <v>37.361516297017403</v>
      </c>
      <c r="AI3735">
        <v>91.705724909954</v>
      </c>
      <c r="AJ3735">
        <v>97.179323843545006</v>
      </c>
      <c r="AK3735">
        <v>37.6734437349334</v>
      </c>
      <c r="AL3735">
        <v>80.171938573276194</v>
      </c>
      <c r="AM3735">
        <v>90.207135983985395</v>
      </c>
      <c r="AN3735">
        <v>1.0000000214910101</v>
      </c>
    </row>
    <row r="3736" spans="1:40" x14ac:dyDescent="0.25">
      <c r="A3736" t="str">
        <f>"20190303161946924"</f>
        <v>20190303161946924</v>
      </c>
      <c r="B3736" t="str">
        <f>"1551601186916708"</f>
        <v>1551601186916708</v>
      </c>
      <c r="C3736" t="s">
        <v>40</v>
      </c>
      <c r="D3736">
        <v>4.4498930000000003</v>
      </c>
      <c r="E3736">
        <v>0.45371349999999999</v>
      </c>
      <c r="F3736" t="s">
        <v>56</v>
      </c>
      <c r="G3736">
        <v>-429.89350000000002</v>
      </c>
      <c r="H3736" s="1">
        <v>2.800956E-6</v>
      </c>
      <c r="I3736">
        <v>279.03410000000002</v>
      </c>
      <c r="J3736">
        <v>-392.75709999999998</v>
      </c>
      <c r="K3736">
        <v>1.1213930000000001</v>
      </c>
      <c r="L3736">
        <v>283.80759999999998</v>
      </c>
      <c r="M3736">
        <v>-0.99991580000000002</v>
      </c>
      <c r="N3736">
        <v>-1.270232E-2</v>
      </c>
      <c r="O3736">
        <v>-2.6659259999999999E-3</v>
      </c>
      <c r="P3736">
        <v>-0.98735499999999998</v>
      </c>
      <c r="Q3736">
        <v>0.15840179999999901</v>
      </c>
      <c r="R3736">
        <v>-6.2563410000000003E-3</v>
      </c>
      <c r="S3736">
        <v>-3.0505070000000001</v>
      </c>
      <c r="T3736">
        <v>-9.1742630000000006E-2</v>
      </c>
      <c r="U3736">
        <v>-0.39056400000000002</v>
      </c>
      <c r="V3736">
        <v>-3.61743E-3</v>
      </c>
      <c r="W3736">
        <v>0.17093120000000001</v>
      </c>
      <c r="X3736">
        <v>0.98527629999999999</v>
      </c>
      <c r="Y3736">
        <v>-0.1242723</v>
      </c>
      <c r="Z3736">
        <v>-2.6073649999999999E-3</v>
      </c>
      <c r="AA3736">
        <v>0.99224469999999998</v>
      </c>
      <c r="AB3736">
        <v>28</v>
      </c>
      <c r="AC3736">
        <v>-37.136400000000002</v>
      </c>
      <c r="AD3736">
        <v>-1.1213901990440001</v>
      </c>
      <c r="AE3736">
        <v>-4.7734999999999497</v>
      </c>
      <c r="AF3736">
        <v>-4.6702828679664403</v>
      </c>
      <c r="AG3736">
        <v>-1.1213901990440001</v>
      </c>
      <c r="AH3736">
        <v>37.115701706338498</v>
      </c>
      <c r="AI3736">
        <v>91.717040169913602</v>
      </c>
      <c r="AJ3736">
        <v>97.171856890533803</v>
      </c>
      <c r="AK3736">
        <v>37.425183649505698</v>
      </c>
      <c r="AL3736">
        <v>80.158034348218195</v>
      </c>
      <c r="AM3736">
        <v>90.210359815211106</v>
      </c>
      <c r="AN3736">
        <v>0.999999974137467</v>
      </c>
    </row>
    <row r="3737" spans="1:40" x14ac:dyDescent="0.25">
      <c r="A3737" t="str">
        <f>"20190303161946938"</f>
        <v>20190303161946938</v>
      </c>
      <c r="B3737" t="str">
        <f>"1551601186926468"</f>
        <v>1551601186926468</v>
      </c>
      <c r="C3737" t="s">
        <v>40</v>
      </c>
      <c r="D3737">
        <v>4.392601</v>
      </c>
      <c r="E3737">
        <v>0.45380009999999998</v>
      </c>
      <c r="F3737" t="s">
        <v>56</v>
      </c>
      <c r="G3737">
        <v>-430.29790000000003</v>
      </c>
      <c r="H3737" s="1">
        <v>2.9183309999999999E-6</v>
      </c>
      <c r="I3737">
        <v>279.0034</v>
      </c>
      <c r="J3737">
        <v>-392.91969999999998</v>
      </c>
      <c r="K3737">
        <v>1.1213919999999999</v>
      </c>
      <c r="L3737">
        <v>283.80720000000002</v>
      </c>
      <c r="M3737">
        <v>-0.99991600000000003</v>
      </c>
      <c r="N3737">
        <v>-1.270106E-2</v>
      </c>
      <c r="O3737">
        <v>-2.6660379999999999E-3</v>
      </c>
      <c r="P3737">
        <v>-0.98736860000000004</v>
      </c>
      <c r="Q3737">
        <v>0.15830939999999999</v>
      </c>
      <c r="R3737">
        <v>-6.4631899999999997E-3</v>
      </c>
      <c r="S3737">
        <v>-3.0505369999999998</v>
      </c>
      <c r="T3737">
        <v>-9.1123339999999997E-2</v>
      </c>
      <c r="U3737">
        <v>-0.39038089999999998</v>
      </c>
      <c r="V3737">
        <v>-3.8237420000000002E-3</v>
      </c>
      <c r="W3737">
        <v>0.17083770000000001</v>
      </c>
      <c r="X3737">
        <v>0.98529180000000005</v>
      </c>
      <c r="Y3737">
        <v>-0.1242133</v>
      </c>
      <c r="Z3737">
        <v>-2.5939940000000001E-3</v>
      </c>
      <c r="AA3737">
        <v>0.99225220000000003</v>
      </c>
      <c r="AB3737">
        <v>28</v>
      </c>
      <c r="AC3737">
        <v>-37.3782</v>
      </c>
      <c r="AD3737">
        <v>-1.121389081669</v>
      </c>
      <c r="AE3737">
        <v>-4.8038000000000203</v>
      </c>
      <c r="AF3737">
        <v>-4.6999616524816297</v>
      </c>
      <c r="AG3737">
        <v>-1.121389081669</v>
      </c>
      <c r="AH3737">
        <v>37.3577970393738</v>
      </c>
      <c r="AI3737">
        <v>91.705922307155404</v>
      </c>
      <c r="AJ3737">
        <v>97.170672958944493</v>
      </c>
      <c r="AK3737">
        <v>37.668981306139997</v>
      </c>
      <c r="AL3737">
        <v>80.163472092099497</v>
      </c>
      <c r="AM3737">
        <v>90.222353599915195</v>
      </c>
      <c r="AN3737">
        <v>1.0000000359457</v>
      </c>
    </row>
    <row r="3738" spans="1:40" x14ac:dyDescent="0.25">
      <c r="A3738" t="str">
        <f>"20190303161946950"</f>
        <v>20190303161946950</v>
      </c>
      <c r="B3738" t="str">
        <f>"1551601186945987"</f>
        <v>1551601186945987</v>
      </c>
      <c r="C3738" t="s">
        <v>40</v>
      </c>
      <c r="D3738">
        <v>4.4031520000000004</v>
      </c>
      <c r="E3738">
        <v>0.45390950000000002</v>
      </c>
      <c r="F3738" t="s">
        <v>56</v>
      </c>
      <c r="G3738">
        <v>-430.7131</v>
      </c>
      <c r="H3738" s="1">
        <v>3.084235E-6</v>
      </c>
      <c r="I3738">
        <v>278.96960000000001</v>
      </c>
      <c r="J3738">
        <v>-393.0874</v>
      </c>
      <c r="K3738">
        <v>1.1213979999999999</v>
      </c>
      <c r="L3738">
        <v>283.80669999999998</v>
      </c>
      <c r="M3738">
        <v>-0.99991600000000003</v>
      </c>
      <c r="N3738">
        <v>-1.2699749999999999E-2</v>
      </c>
      <c r="O3738">
        <v>-2.6660299999999998E-3</v>
      </c>
      <c r="P3738">
        <v>-0.98741319999999999</v>
      </c>
      <c r="Q3738">
        <v>0.1580203</v>
      </c>
      <c r="R3738">
        <v>-6.7374990000000001E-3</v>
      </c>
      <c r="S3738">
        <v>-3.050354</v>
      </c>
      <c r="T3738">
        <v>-9.0508699999999997E-2</v>
      </c>
      <c r="U3738">
        <v>-0.39044190000000001</v>
      </c>
      <c r="V3738">
        <v>-4.0978580000000002E-3</v>
      </c>
      <c r="W3738">
        <v>0.170547799999999</v>
      </c>
      <c r="X3738">
        <v>0.98534089999999996</v>
      </c>
      <c r="Y3738">
        <v>-0.1242412</v>
      </c>
      <c r="Z3738">
        <v>-2.58268E-3</v>
      </c>
      <c r="AA3738">
        <v>0.99224869999999998</v>
      </c>
      <c r="AB3738">
        <v>28</v>
      </c>
      <c r="AC3738">
        <v>-37.625700000000002</v>
      </c>
      <c r="AD3738">
        <v>-1.1213949157649901</v>
      </c>
      <c r="AE3738">
        <v>-4.8370999999999604</v>
      </c>
      <c r="AF3738">
        <v>-4.7326279601923202</v>
      </c>
      <c r="AG3738">
        <v>-1.1213949157649901</v>
      </c>
      <c r="AH3738">
        <v>37.605602097932099</v>
      </c>
      <c r="AI3738">
        <v>91.694688073986697</v>
      </c>
      <c r="AJ3738">
        <v>97.172907891882701</v>
      </c>
      <c r="AK3738">
        <v>37.9188159508534</v>
      </c>
      <c r="AL3738">
        <v>80.180329343511602</v>
      </c>
      <c r="AM3738">
        <v>90.238281608761696</v>
      </c>
      <c r="AN3738">
        <v>1.00000001686891</v>
      </c>
    </row>
    <row r="3739" spans="1:40" x14ac:dyDescent="0.25">
      <c r="A3739" t="str">
        <f>"20190303161946963"</f>
        <v>20190303161946963</v>
      </c>
      <c r="B3739" t="str">
        <f>"1551601186955747"</f>
        <v>1551601186955747</v>
      </c>
      <c r="C3739" t="s">
        <v>40</v>
      </c>
      <c r="D3739">
        <v>4.3679519999999998</v>
      </c>
      <c r="E3739">
        <v>0.45398480000000002</v>
      </c>
      <c r="F3739" t="s">
        <v>56</v>
      </c>
      <c r="G3739">
        <v>-430.51429999999999</v>
      </c>
      <c r="H3739" s="1">
        <v>2.9908120000000001E-6</v>
      </c>
      <c r="I3739">
        <v>279.0197</v>
      </c>
      <c r="J3739">
        <v>-393.2441</v>
      </c>
      <c r="K3739">
        <v>1.1213959999999901</v>
      </c>
      <c r="L3739">
        <v>283.80630000000002</v>
      </c>
      <c r="M3739">
        <v>-0.99991600000000003</v>
      </c>
      <c r="N3739">
        <v>-1.269852E-2</v>
      </c>
      <c r="O3739">
        <v>-2.6660220000000001E-3</v>
      </c>
      <c r="P3739">
        <v>-0.98741920000000005</v>
      </c>
      <c r="Q3739">
        <v>0.1579835</v>
      </c>
      <c r="R3739">
        <v>-6.6924869999999996E-3</v>
      </c>
      <c r="S3739">
        <v>-3.0502009999999999</v>
      </c>
      <c r="T3739">
        <v>-9.1391089999999994E-2</v>
      </c>
      <c r="U3739">
        <v>-0.3901367</v>
      </c>
      <c r="V3739">
        <v>-4.0532500000000004E-3</v>
      </c>
      <c r="W3739">
        <v>0.1705102</v>
      </c>
      <c r="X3739">
        <v>0.98534759999999999</v>
      </c>
      <c r="Y3739">
        <v>-0.12414849999999999</v>
      </c>
      <c r="Z3739">
        <v>-2.5978440000000002E-3</v>
      </c>
      <c r="AA3739">
        <v>0.99226020000000004</v>
      </c>
      <c r="AB3739">
        <v>28</v>
      </c>
      <c r="AC3739">
        <v>-37.270199999999903</v>
      </c>
      <c r="AD3739">
        <v>-1.12139300918799</v>
      </c>
      <c r="AE3739">
        <v>-4.7866000000000204</v>
      </c>
      <c r="AF3739">
        <v>-4.68304105823825</v>
      </c>
      <c r="AG3739">
        <v>-1.12139300918799</v>
      </c>
      <c r="AH3739">
        <v>37.249654835762101</v>
      </c>
      <c r="AI3739">
        <v>91.710896785744197</v>
      </c>
      <c r="AJ3739">
        <v>97.165652927300599</v>
      </c>
      <c r="AK3739">
        <v>37.559621686295202</v>
      </c>
      <c r="AL3739">
        <v>80.182515769379194</v>
      </c>
      <c r="AM3739">
        <v>90.235686176574902</v>
      </c>
      <c r="AN3739">
        <v>1.0000000249826799</v>
      </c>
    </row>
    <row r="3740" spans="1:40" x14ac:dyDescent="0.25">
      <c r="A3740" t="str">
        <f>"20190303161946985"</f>
        <v>20190303161946985</v>
      </c>
      <c r="B3740" t="str">
        <f>"1551601186976244"</f>
        <v>1551601186976244</v>
      </c>
      <c r="C3740" t="s">
        <v>40</v>
      </c>
      <c r="D3740">
        <v>4.3767269999999998</v>
      </c>
      <c r="E3740">
        <v>0.45407009999999998</v>
      </c>
      <c r="F3740" t="s">
        <v>56</v>
      </c>
      <c r="G3740">
        <v>-430.75900000000001</v>
      </c>
      <c r="H3740" s="1">
        <v>3.0953140000000002E-6</v>
      </c>
      <c r="I3740">
        <v>279.0222</v>
      </c>
      <c r="J3740">
        <v>-393.50920000000002</v>
      </c>
      <c r="K3740">
        <v>1.1213949999999999</v>
      </c>
      <c r="L3740">
        <v>283.80560000000003</v>
      </c>
      <c r="M3740">
        <v>-0.99991589999999997</v>
      </c>
      <c r="N3740">
        <v>-1.269644E-2</v>
      </c>
      <c r="O3740">
        <v>-2.666009E-3</v>
      </c>
      <c r="P3740">
        <v>-0.98745430000000001</v>
      </c>
      <c r="Q3740">
        <v>0.15771540000000001</v>
      </c>
      <c r="R3740">
        <v>-7.7535360000000001E-3</v>
      </c>
      <c r="S3740">
        <v>-3.0501710000000002</v>
      </c>
      <c r="T3740">
        <v>-9.1175560000000003E-2</v>
      </c>
      <c r="U3740">
        <v>-0.38897710000000002</v>
      </c>
      <c r="V3740">
        <v>-5.1139410000000003E-3</v>
      </c>
      <c r="W3740">
        <v>0.17024049999999999</v>
      </c>
      <c r="X3740">
        <v>0.98538930000000002</v>
      </c>
      <c r="Y3740">
        <v>-0.1237791</v>
      </c>
      <c r="Z3740">
        <v>-2.5857179999999999E-3</v>
      </c>
      <c r="AA3740">
        <v>0.99230640000000003</v>
      </c>
      <c r="AB3740">
        <v>28</v>
      </c>
      <c r="AC3740">
        <v>-37.249799999999901</v>
      </c>
      <c r="AD3740">
        <v>-1.1213919046859999</v>
      </c>
      <c r="AE3740">
        <v>-4.7834000000000199</v>
      </c>
      <c r="AF3740">
        <v>-4.67989416335881</v>
      </c>
      <c r="AG3740">
        <v>-1.1213919046859999</v>
      </c>
      <c r="AH3740">
        <v>37.229228116937897</v>
      </c>
      <c r="AI3740">
        <v>91.711836559230903</v>
      </c>
      <c r="AJ3740">
        <v>97.164775952207606</v>
      </c>
      <c r="AK3740">
        <v>37.538971154882901</v>
      </c>
      <c r="AL3740">
        <v>80.198197736865893</v>
      </c>
      <c r="AM3740">
        <v>90.297349083690506</v>
      </c>
      <c r="AN3740">
        <v>1.0000000263936399</v>
      </c>
    </row>
    <row r="3741" spans="1:40" x14ac:dyDescent="0.25">
      <c r="A3741" t="str">
        <f>"20190303161946998"</f>
        <v>20190303161946998</v>
      </c>
      <c r="B3741" t="str">
        <f>"1551601186986980"</f>
        <v>1551601186986980</v>
      </c>
      <c r="C3741" t="s">
        <v>40</v>
      </c>
      <c r="D3741">
        <v>4.4081359999999998</v>
      </c>
      <c r="E3741">
        <v>0.45407589999999998</v>
      </c>
      <c r="F3741" t="s">
        <v>56</v>
      </c>
      <c r="G3741">
        <v>-430.66849999999999</v>
      </c>
      <c r="H3741" s="1">
        <v>3.0535850000000001E-6</v>
      </c>
      <c r="I3741">
        <v>279.03120000000001</v>
      </c>
      <c r="J3741">
        <v>-393.68340000000001</v>
      </c>
      <c r="K3741">
        <v>1.121397</v>
      </c>
      <c r="L3741">
        <v>283.80509999999998</v>
      </c>
      <c r="M3741">
        <v>-0.99991589999999997</v>
      </c>
      <c r="N3741">
        <v>-1.2695059999999999E-2</v>
      </c>
      <c r="O3741">
        <v>-2.666E-3</v>
      </c>
      <c r="P3741">
        <v>-0.98744050000000005</v>
      </c>
      <c r="Q3741">
        <v>0.1577857</v>
      </c>
      <c r="R3741">
        <v>-8.0760299999999997E-3</v>
      </c>
      <c r="S3741">
        <v>-3.049744</v>
      </c>
      <c r="T3741">
        <v>-9.2035169999999999E-2</v>
      </c>
      <c r="U3741">
        <v>-0.39184570000000002</v>
      </c>
      <c r="V3741">
        <v>-5.4362069999999898E-3</v>
      </c>
      <c r="W3741">
        <v>0.17030909999999999</v>
      </c>
      <c r="X3741">
        <v>0.98537569999999997</v>
      </c>
      <c r="Y3741">
        <v>-0.124713</v>
      </c>
      <c r="Z3741">
        <v>-2.6224170000000002E-3</v>
      </c>
      <c r="AA3741">
        <v>0.9921894</v>
      </c>
      <c r="AB3741">
        <v>28</v>
      </c>
      <c r="AC3741">
        <v>-36.985099999999903</v>
      </c>
      <c r="AD3741">
        <v>-1.121393946415</v>
      </c>
      <c r="AE3741">
        <v>-4.7738999999999603</v>
      </c>
      <c r="AF3741">
        <v>-4.67104903333896</v>
      </c>
      <c r="AG3741">
        <v>-1.121393946415</v>
      </c>
      <c r="AH3741">
        <v>36.9642719745626</v>
      </c>
      <c r="AI3741">
        <v>91.723961129732999</v>
      </c>
      <c r="AJ3741">
        <v>97.202098612849696</v>
      </c>
      <c r="AK3741">
        <v>37.275107324652303</v>
      </c>
      <c r="AL3741">
        <v>80.1942087956525</v>
      </c>
      <c r="AM3741">
        <v>90.316091169822499</v>
      </c>
      <c r="AN3741">
        <v>1.0000000060199199</v>
      </c>
    </row>
    <row r="3742" spans="1:40" x14ac:dyDescent="0.25">
      <c r="A3742" t="str">
        <f>"20190303161947019"</f>
        <v>20190303161947019</v>
      </c>
      <c r="B3742" t="str">
        <f>"1551601187006500"</f>
        <v>1551601187006500</v>
      </c>
      <c r="C3742" t="s">
        <v>40</v>
      </c>
      <c r="D3742">
        <v>4.4431960000000004</v>
      </c>
      <c r="E3742">
        <v>0.45405499999999999</v>
      </c>
      <c r="F3742" t="s">
        <v>56</v>
      </c>
      <c r="G3742">
        <v>-430.96300000000002</v>
      </c>
      <c r="H3742" s="1">
        <v>3.1889949999999999E-6</v>
      </c>
      <c r="I3742">
        <v>279.00389999999999</v>
      </c>
      <c r="J3742">
        <v>-393.93680000000001</v>
      </c>
      <c r="K3742">
        <v>1.1214010000000001</v>
      </c>
      <c r="L3742">
        <v>283.80439999999999</v>
      </c>
      <c r="M3742">
        <v>-0.99991589999999997</v>
      </c>
      <c r="N3742">
        <v>-1.2693100000000001E-2</v>
      </c>
      <c r="O3742">
        <v>-2.6659880000000002E-3</v>
      </c>
      <c r="P3742">
        <v>-0.98741670000000004</v>
      </c>
      <c r="Q3742">
        <v>0.1579007</v>
      </c>
      <c r="R3742">
        <v>-8.7114389999999996E-3</v>
      </c>
      <c r="S3742">
        <v>-3.0496219999999998</v>
      </c>
      <c r="T3742">
        <v>-9.1734650000000001E-2</v>
      </c>
      <c r="U3742">
        <v>-0.39276119999999998</v>
      </c>
      <c r="V3742">
        <v>-6.0718119999999898E-3</v>
      </c>
      <c r="W3742">
        <v>0.17042189999999999</v>
      </c>
      <c r="X3742">
        <v>0.98535249999999996</v>
      </c>
      <c r="Y3742">
        <v>-0.12501129999999999</v>
      </c>
      <c r="Z3742">
        <v>-2.6228530000000001E-3</v>
      </c>
      <c r="AA3742">
        <v>0.99215189999999998</v>
      </c>
      <c r="AB3742">
        <v>28</v>
      </c>
      <c r="AC3742">
        <v>-37.026200000000003</v>
      </c>
      <c r="AD3742">
        <v>-1.121397811005</v>
      </c>
      <c r="AE3742">
        <v>-4.8005000000000004</v>
      </c>
      <c r="AF3742">
        <v>-4.6975258762303396</v>
      </c>
      <c r="AG3742">
        <v>-1.121397811005</v>
      </c>
      <c r="AH3742">
        <v>37.005484329454198</v>
      </c>
      <c r="AI3742">
        <v>91.721924974248495</v>
      </c>
      <c r="AJ3742">
        <v>97.234509567444405</v>
      </c>
      <c r="AK3742">
        <v>37.3193000050357</v>
      </c>
      <c r="AL3742">
        <v>80.187650086875706</v>
      </c>
      <c r="AM3742">
        <v>90.353056188977902</v>
      </c>
      <c r="AN3742">
        <v>1.00000002007841</v>
      </c>
    </row>
    <row r="3743" spans="1:40" x14ac:dyDescent="0.25">
      <c r="A3743" t="str">
        <f>"20190303161947041"</f>
        <v>20190303161947041</v>
      </c>
      <c r="B3743" t="str">
        <f>"1551601187035780"</f>
        <v>1551601187035780</v>
      </c>
      <c r="C3743" t="s">
        <v>40</v>
      </c>
      <c r="D3743">
        <v>4.3605710000000002</v>
      </c>
      <c r="E3743">
        <v>0.43179990000000001</v>
      </c>
      <c r="F3743" t="s">
        <v>56</v>
      </c>
      <c r="G3743">
        <v>-431.27120000000002</v>
      </c>
      <c r="H3743">
        <v>1.2773019999999999E-3</v>
      </c>
      <c r="I3743">
        <v>278.96730000000002</v>
      </c>
      <c r="J3743">
        <v>-394.21660000000003</v>
      </c>
      <c r="K3743">
        <v>1.1213949999999999</v>
      </c>
      <c r="L3743">
        <v>283.80369999999999</v>
      </c>
      <c r="M3743">
        <v>-0.99991589999999997</v>
      </c>
      <c r="N3743">
        <v>-1.269091E-2</v>
      </c>
      <c r="O3743">
        <v>-2.6659740000000002E-3</v>
      </c>
      <c r="P3743">
        <v>-0.98745309999999997</v>
      </c>
      <c r="Q3743">
        <v>0.15763559999999999</v>
      </c>
      <c r="R3743">
        <v>-9.3479059999999996E-3</v>
      </c>
      <c r="S3743">
        <v>-3.0493769999999998</v>
      </c>
      <c r="T3743">
        <v>-9.1488840000000002E-2</v>
      </c>
      <c r="U3743">
        <v>-0.3950806</v>
      </c>
      <c r="V3743">
        <v>-6.7087739999999998E-3</v>
      </c>
      <c r="W3743">
        <v>0.17015549999999999</v>
      </c>
      <c r="X3743">
        <v>0.9853944</v>
      </c>
      <c r="Y3743">
        <v>-0.1257635</v>
      </c>
      <c r="Z3743">
        <v>-2.6340309999999998E-3</v>
      </c>
      <c r="AA3743">
        <v>0.99205670000000001</v>
      </c>
      <c r="AB3743">
        <v>28</v>
      </c>
      <c r="AC3743">
        <v>-37.054599999999901</v>
      </c>
      <c r="AD3743">
        <v>-1.1201176980000001</v>
      </c>
      <c r="AE3743">
        <v>-4.8363999999999603</v>
      </c>
      <c r="AF3743">
        <v>-4.7333354603461499</v>
      </c>
      <c r="AG3743">
        <v>-1.1201176980000001</v>
      </c>
      <c r="AH3743">
        <v>37.0340887836701</v>
      </c>
      <c r="AI3743">
        <v>91.718445800648098</v>
      </c>
      <c r="AJ3743">
        <v>97.283498388643494</v>
      </c>
      <c r="AK3743">
        <v>37.352146662197399</v>
      </c>
      <c r="AL3743">
        <v>80.203139850402806</v>
      </c>
      <c r="AM3743">
        <v>90.390075788038104</v>
      </c>
      <c r="AN3743">
        <v>1.0000000126900901</v>
      </c>
    </row>
    <row r="3744" spans="1:40" x14ac:dyDescent="0.25">
      <c r="A3744" t="str">
        <f>"20190303161947064"</f>
        <v>20190303161947064</v>
      </c>
      <c r="B3744" t="str">
        <f>"1551601187056276"</f>
        <v>1551601187056276</v>
      </c>
      <c r="C3744" t="s">
        <v>40</v>
      </c>
      <c r="D3744">
        <v>4.3776659999999996</v>
      </c>
      <c r="E3744">
        <v>0.42145450000000001</v>
      </c>
      <c r="F3744" t="s">
        <v>56</v>
      </c>
      <c r="G3744">
        <v>-422.42899999999997</v>
      </c>
      <c r="H3744" s="1">
        <v>4.2690070000000001E-6</v>
      </c>
      <c r="I3744">
        <v>278.49040000000002</v>
      </c>
      <c r="J3744">
        <v>-394.50420000000003</v>
      </c>
      <c r="K3744">
        <v>1.121391</v>
      </c>
      <c r="L3744">
        <v>283.80290000000002</v>
      </c>
      <c r="M3744">
        <v>-0.99991609999999997</v>
      </c>
      <c r="N3744">
        <v>-1.2688680000000001E-2</v>
      </c>
      <c r="O3744">
        <v>-2.6661979999999998E-3</v>
      </c>
      <c r="P3744">
        <v>-0.98756949999999999</v>
      </c>
      <c r="Q3744">
        <v>0.15691169999999999</v>
      </c>
      <c r="R3744">
        <v>-9.2474380000000002E-3</v>
      </c>
      <c r="S3744">
        <v>-3.0520320000000001</v>
      </c>
      <c r="T3744">
        <v>-0.12131260000000001</v>
      </c>
      <c r="U3744">
        <v>-0.57479859999999905</v>
      </c>
      <c r="V3744">
        <v>-6.6076490000000002E-3</v>
      </c>
      <c r="W3744">
        <v>0.16943039999999901</v>
      </c>
      <c r="X3744">
        <v>0.98551999999999995</v>
      </c>
      <c r="Y3744">
        <v>-0.18227460000000001</v>
      </c>
      <c r="Z3744">
        <v>-4.6852380000000004E-3</v>
      </c>
      <c r="AA3744">
        <v>0.98323649999999996</v>
      </c>
      <c r="AB3744">
        <v>28</v>
      </c>
      <c r="AC3744">
        <v>-27.924800000000001</v>
      </c>
      <c r="AD3744">
        <v>-1.1213867309929999</v>
      </c>
      <c r="AE3744">
        <v>-5.3125</v>
      </c>
      <c r="AF3744">
        <v>-5.2298828767608896</v>
      </c>
      <c r="AG3744">
        <v>-1.1213867309929999</v>
      </c>
      <c r="AH3744">
        <v>27.895452657449699</v>
      </c>
      <c r="AI3744">
        <v>92.262649499096497</v>
      </c>
      <c r="AJ3744">
        <v>100.618634413785</v>
      </c>
      <c r="AK3744">
        <v>28.403617059612301</v>
      </c>
      <c r="AL3744">
        <v>80.245296989811806</v>
      </c>
      <c r="AM3744">
        <v>90.384147178519996</v>
      </c>
      <c r="AN3744">
        <v>0.99999999593473299</v>
      </c>
    </row>
    <row r="3745" spans="1:40" x14ac:dyDescent="0.25">
      <c r="A3745" t="str">
        <f>"20190303161947085"</f>
        <v>20190303161947085</v>
      </c>
      <c r="B3745" t="str">
        <f>"1551601187075796"</f>
        <v>1551601187075796</v>
      </c>
      <c r="C3745" t="s">
        <v>40</v>
      </c>
      <c r="D3745">
        <v>4.3402979999999998</v>
      </c>
      <c r="E3745">
        <v>0.4168442</v>
      </c>
      <c r="F3745" t="s">
        <v>56</v>
      </c>
      <c r="G3745">
        <v>-420.51639999999998</v>
      </c>
      <c r="H3745" s="1">
        <v>4.7846150000000001E-6</v>
      </c>
      <c r="I3745">
        <v>278.20389999999998</v>
      </c>
      <c r="J3745">
        <v>-394.76620000000003</v>
      </c>
      <c r="K3745">
        <v>1.121391</v>
      </c>
      <c r="L3745">
        <v>283.80220000000003</v>
      </c>
      <c r="M3745">
        <v>-0.99991600000000003</v>
      </c>
      <c r="N3745">
        <v>-1.2686660000000001E-2</v>
      </c>
      <c r="O3745">
        <v>-2.6659470000000001E-3</v>
      </c>
      <c r="P3745">
        <v>-0.98764099999999999</v>
      </c>
      <c r="Q3745">
        <v>0.1564931</v>
      </c>
      <c r="R3745">
        <v>-8.6757780000000003E-3</v>
      </c>
      <c r="S3745">
        <v>-3.0525509999999998</v>
      </c>
      <c r="T3745">
        <v>-0.13159580000000001</v>
      </c>
      <c r="U3745">
        <v>-0.6570435</v>
      </c>
      <c r="V3745">
        <v>-6.0361809999999998E-3</v>
      </c>
      <c r="W3745">
        <v>0.1690112</v>
      </c>
      <c r="X3745">
        <v>0.98559560000000002</v>
      </c>
      <c r="Y3745">
        <v>-0.20757809999999999</v>
      </c>
      <c r="Z3745">
        <v>-5.6740430000000001E-3</v>
      </c>
      <c r="AA3745">
        <v>0.97820200000000002</v>
      </c>
      <c r="AB3745">
        <v>28</v>
      </c>
      <c r="AC3745">
        <v>-25.7501999999999</v>
      </c>
      <c r="AD3745">
        <v>-1.1213862153850001</v>
      </c>
      <c r="AE3745">
        <v>-5.5983000000000498</v>
      </c>
      <c r="AF3745">
        <v>-5.51963046659026</v>
      </c>
      <c r="AG3745">
        <v>-1.1213862153850001</v>
      </c>
      <c r="AH3745">
        <v>25.718461142100001</v>
      </c>
      <c r="AI3745">
        <v>92.4411335391124</v>
      </c>
      <c r="AJ3745">
        <v>102.112928267695</v>
      </c>
      <c r="AK3745">
        <v>26.3279902584582</v>
      </c>
      <c r="AL3745">
        <v>80.269666426530193</v>
      </c>
      <c r="AM3745">
        <v>90.350897844638396</v>
      </c>
      <c r="AN3745">
        <v>0.99999995397293096</v>
      </c>
    </row>
    <row r="3746" spans="1:40" x14ac:dyDescent="0.25">
      <c r="A3746" t="str">
        <f>"20190303161947097"</f>
        <v>20190303161947097</v>
      </c>
      <c r="B3746" t="str">
        <f>"1551601187086532"</f>
        <v>1551601187086532</v>
      </c>
      <c r="C3746" t="s">
        <v>40</v>
      </c>
      <c r="D3746">
        <v>4.3506080000000003</v>
      </c>
      <c r="E3746">
        <v>0.41563030000000001</v>
      </c>
      <c r="F3746" t="s">
        <v>56</v>
      </c>
      <c r="G3746">
        <v>-419.77960000000002</v>
      </c>
      <c r="H3746" s="1">
        <v>4.901215E-6</v>
      </c>
      <c r="I3746">
        <v>278.13510000000002</v>
      </c>
      <c r="J3746">
        <v>-394.9246</v>
      </c>
      <c r="K3746">
        <v>1.1213949999999999</v>
      </c>
      <c r="L3746">
        <v>283.80180000000001</v>
      </c>
      <c r="M3746">
        <v>-0.99991609999999997</v>
      </c>
      <c r="N3746">
        <v>-1.2685460000000001E-2</v>
      </c>
      <c r="O3746">
        <v>-2.6662970000000002E-3</v>
      </c>
      <c r="P3746">
        <v>-0.98765009999999998</v>
      </c>
      <c r="Q3746">
        <v>0.1564624</v>
      </c>
      <c r="R3746">
        <v>-8.2046589999999996E-3</v>
      </c>
      <c r="S3746">
        <v>-3.0531920000000001</v>
      </c>
      <c r="T3746">
        <v>-0.13687869999999999</v>
      </c>
      <c r="U3746">
        <v>-0.69174190000000002</v>
      </c>
      <c r="V3746">
        <v>-5.5648329999999999E-3</v>
      </c>
      <c r="W3746">
        <v>0.16897879999999901</v>
      </c>
      <c r="X3746">
        <v>0.98560400000000004</v>
      </c>
      <c r="Y3746">
        <v>-0.21809339999999999</v>
      </c>
      <c r="Z3746">
        <v>-6.1421549999999998E-3</v>
      </c>
      <c r="AA3746">
        <v>0.97590860000000001</v>
      </c>
      <c r="AB3746">
        <v>28</v>
      </c>
      <c r="AC3746">
        <v>-24.855</v>
      </c>
      <c r="AD3746">
        <v>-1.1213900987850001</v>
      </c>
      <c r="AE3746">
        <v>-5.6666999999999899</v>
      </c>
      <c r="AF3746">
        <v>-5.5895879239514699</v>
      </c>
      <c r="AG3746">
        <v>-1.1213900987850001</v>
      </c>
      <c r="AH3746">
        <v>24.821991666139699</v>
      </c>
      <c r="AI3746">
        <v>92.523599890437197</v>
      </c>
      <c r="AJ3746">
        <v>102.69057691513601</v>
      </c>
      <c r="AK3746">
        <v>25.468260230866701</v>
      </c>
      <c r="AL3746">
        <v>80.271550583169201</v>
      </c>
      <c r="AM3746">
        <v>90.323495091929402</v>
      </c>
      <c r="AN3746">
        <v>1.0000000235158699</v>
      </c>
    </row>
    <row r="3747" spans="1:40" x14ac:dyDescent="0.25">
      <c r="A3747" t="str">
        <f>"20190303161947110"</f>
        <v>20190303161947110</v>
      </c>
      <c r="B3747" t="str">
        <f>"1551601187106052"</f>
        <v>1551601187106052</v>
      </c>
      <c r="C3747" t="s">
        <v>40</v>
      </c>
      <c r="D3747">
        <v>4.3573130000000004</v>
      </c>
      <c r="E3747">
        <v>0.41382269999999999</v>
      </c>
      <c r="F3747" t="s">
        <v>56</v>
      </c>
      <c r="G3747">
        <v>-419.8766</v>
      </c>
      <c r="H3747" s="1">
        <v>4.9358950000000001E-6</v>
      </c>
      <c r="I3747">
        <v>278.08569999999997</v>
      </c>
      <c r="J3747">
        <v>-395.08870000000002</v>
      </c>
      <c r="K3747">
        <v>1.1213949999999999</v>
      </c>
      <c r="L3747">
        <v>283.8014</v>
      </c>
      <c r="M3747">
        <v>-0.99991609999999997</v>
      </c>
      <c r="N3747">
        <v>-1.268422E-2</v>
      </c>
      <c r="O3747">
        <v>-2.6661699999999998E-3</v>
      </c>
      <c r="P3747">
        <v>-0.98766319999999996</v>
      </c>
      <c r="Q3747">
        <v>0.15637980000000001</v>
      </c>
      <c r="R3747">
        <v>-8.1826659999999999E-3</v>
      </c>
      <c r="S3747">
        <v>-3.0534669999999999</v>
      </c>
      <c r="T3747">
        <v>-0.13722809999999999</v>
      </c>
      <c r="U3747">
        <v>-0.69949340000000004</v>
      </c>
      <c r="V3747">
        <v>-5.5428250000000004E-3</v>
      </c>
      <c r="W3747">
        <v>0.16889560000000001</v>
      </c>
      <c r="X3747">
        <v>0.98561840000000001</v>
      </c>
      <c r="Y3747">
        <v>-0.22042519999999999</v>
      </c>
      <c r="Z3747">
        <v>-6.2193600000000002E-3</v>
      </c>
      <c r="AA3747">
        <v>0.97538409999999998</v>
      </c>
      <c r="AB3747">
        <v>28</v>
      </c>
      <c r="AC3747">
        <v>-24.787899999999901</v>
      </c>
      <c r="AD3747">
        <v>-1.1213900641050001</v>
      </c>
      <c r="AE3747">
        <v>-5.7157000000000204</v>
      </c>
      <c r="AF3747">
        <v>-5.63862817153053</v>
      </c>
      <c r="AG3747">
        <v>-1.1213900641050001</v>
      </c>
      <c r="AH3747">
        <v>24.754946294931301</v>
      </c>
      <c r="AI3747">
        <v>92.529015595953197</v>
      </c>
      <c r="AJ3747">
        <v>102.83178237708999</v>
      </c>
      <c r="AK3747">
        <v>25.413756302396202</v>
      </c>
      <c r="AL3747">
        <v>80.276387255416495</v>
      </c>
      <c r="AM3747">
        <v>90.322211041520802</v>
      </c>
      <c r="AN3747">
        <v>1.00000003851344</v>
      </c>
    </row>
    <row r="3748" spans="1:40" x14ac:dyDescent="0.25">
      <c r="A3748" t="str">
        <f>"20190303161947130"</f>
        <v>20190303161947130</v>
      </c>
      <c r="B3748" t="str">
        <f>"1551601187115812"</f>
        <v>1551601187115812</v>
      </c>
      <c r="C3748" t="s">
        <v>40</v>
      </c>
      <c r="D3748">
        <v>4.3362230000000004</v>
      </c>
      <c r="E3748">
        <v>0.4132035</v>
      </c>
      <c r="F3748" t="s">
        <v>56</v>
      </c>
      <c r="G3748">
        <v>-419.27289999999999</v>
      </c>
      <c r="H3748" s="1">
        <v>4.8073380000000003E-6</v>
      </c>
      <c r="I3748">
        <v>278.14640000000003</v>
      </c>
      <c r="J3748">
        <v>-395.32780000000002</v>
      </c>
      <c r="K3748">
        <v>1.121391</v>
      </c>
      <c r="L3748">
        <v>283.80070000000001</v>
      </c>
      <c r="M3748">
        <v>-0.99991609999999997</v>
      </c>
      <c r="N3748">
        <v>-1.268242E-2</v>
      </c>
      <c r="O3748">
        <v>-2.66592E-3</v>
      </c>
      <c r="P3748">
        <v>-0.98762510000000003</v>
      </c>
      <c r="Q3748">
        <v>0.1566427</v>
      </c>
      <c r="R3748">
        <v>-7.7396289999999996E-3</v>
      </c>
      <c r="S3748">
        <v>-3.0539860000000001</v>
      </c>
      <c r="T3748">
        <v>-0.1416094</v>
      </c>
      <c r="U3748">
        <v>-0.7141113</v>
      </c>
      <c r="V3748">
        <v>-5.0998730000000004E-3</v>
      </c>
      <c r="W3748">
        <v>0.169156</v>
      </c>
      <c r="X3748">
        <v>0.98557609999999995</v>
      </c>
      <c r="Y3748">
        <v>-0.22479769999999999</v>
      </c>
      <c r="Z3748">
        <v>-6.4966869999999897E-3</v>
      </c>
      <c r="AA3748">
        <v>0.97438380000000002</v>
      </c>
      <c r="AB3748">
        <v>28</v>
      </c>
      <c r="AC3748">
        <v>-23.945099999999901</v>
      </c>
      <c r="AD3748">
        <v>-1.1213861926619999</v>
      </c>
      <c r="AE3748">
        <v>-5.6542999999999699</v>
      </c>
      <c r="AF3748">
        <v>-5.5788497729023998</v>
      </c>
      <c r="AG3748">
        <v>-1.1213861926619999</v>
      </c>
      <c r="AH3748">
        <v>23.9104194643193</v>
      </c>
      <c r="AI3748">
        <v>92.615038460687899</v>
      </c>
      <c r="AJ3748">
        <v>103.133458482885</v>
      </c>
      <c r="AK3748">
        <v>24.578226761534399</v>
      </c>
      <c r="AL3748">
        <v>80.261249299265799</v>
      </c>
      <c r="AM3748">
        <v>90.296474915580205</v>
      </c>
      <c r="AN3748">
        <v>1.0000000049659099</v>
      </c>
    </row>
    <row r="3749" spans="1:40" x14ac:dyDescent="0.25">
      <c r="A3749" t="str">
        <f>"20190303161947152"</f>
        <v>20190303161947152</v>
      </c>
      <c r="B3749" t="str">
        <f>"1551601187146068"</f>
        <v>1551601187146068</v>
      </c>
      <c r="C3749" t="s">
        <v>40</v>
      </c>
      <c r="D3749">
        <v>4.3029270000000004</v>
      </c>
      <c r="E3749">
        <v>0.41160200000000002</v>
      </c>
      <c r="F3749" t="s">
        <v>56</v>
      </c>
      <c r="G3749">
        <v>-419.0034</v>
      </c>
      <c r="H3749" s="1">
        <v>4.7275080000000003E-6</v>
      </c>
      <c r="I3749">
        <v>278.23700000000002</v>
      </c>
      <c r="J3749">
        <v>-395.61779999999999</v>
      </c>
      <c r="K3749">
        <v>1.1213919999999999</v>
      </c>
      <c r="L3749">
        <v>283.79989999999998</v>
      </c>
      <c r="M3749">
        <v>-0.99991609999999997</v>
      </c>
      <c r="N3749">
        <v>-1.2680250000000001E-2</v>
      </c>
      <c r="O3749">
        <v>-2.666145E-3</v>
      </c>
      <c r="P3749">
        <v>-0.98766909999999997</v>
      </c>
      <c r="Q3749">
        <v>0.15636369999999999</v>
      </c>
      <c r="R3749">
        <v>-7.7657129999999996E-3</v>
      </c>
      <c r="S3749">
        <v>-3.054932</v>
      </c>
      <c r="T3749">
        <v>-0.1446952</v>
      </c>
      <c r="U3749">
        <v>-0.71789550000000002</v>
      </c>
      <c r="V3749">
        <v>-5.1259699999999997E-3</v>
      </c>
      <c r="W3749">
        <v>0.16887539999999901</v>
      </c>
      <c r="X3749">
        <v>0.9856241</v>
      </c>
      <c r="Y3749">
        <v>-0.2258619</v>
      </c>
      <c r="Z3749">
        <v>-6.6353059999999997E-3</v>
      </c>
      <c r="AA3749">
        <v>0.97413669999999997</v>
      </c>
      <c r="AB3749">
        <v>28</v>
      </c>
      <c r="AC3749">
        <v>-23.3856</v>
      </c>
      <c r="AD3749">
        <v>-1.121387272492</v>
      </c>
      <c r="AE3749">
        <v>-5.5628999999999502</v>
      </c>
      <c r="AF3749">
        <v>-5.4885812689166</v>
      </c>
      <c r="AG3749">
        <v>-1.121387272492</v>
      </c>
      <c r="AH3749">
        <v>23.3495350449573</v>
      </c>
      <c r="AI3749">
        <v>92.676735113767407</v>
      </c>
      <c r="AJ3749">
        <v>103.22790097521001</v>
      </c>
      <c r="AK3749">
        <v>24.012139025420002</v>
      </c>
      <c r="AL3749">
        <v>80.277561329279095</v>
      </c>
      <c r="AM3749">
        <v>90.297977493672306</v>
      </c>
      <c r="AN3749">
        <v>1.0000000213972</v>
      </c>
    </row>
    <row r="3750" spans="1:40" x14ac:dyDescent="0.25">
      <c r="A3750" t="str">
        <f>"20190303161947166"</f>
        <v>20190303161947166</v>
      </c>
      <c r="B3750" t="str">
        <f>"1551601187155828"</f>
        <v>1551601187155828</v>
      </c>
      <c r="C3750" t="s">
        <v>40</v>
      </c>
      <c r="D3750">
        <v>4.3683199999999998</v>
      </c>
      <c r="E3750">
        <v>0.41116819999999998</v>
      </c>
      <c r="F3750" t="s">
        <v>56</v>
      </c>
      <c r="G3750">
        <v>-418.59829999999999</v>
      </c>
      <c r="H3750" s="1">
        <v>4.6319810000000004E-6</v>
      </c>
      <c r="I3750">
        <v>278.30399999999997</v>
      </c>
      <c r="J3750">
        <v>-395.77809999999999</v>
      </c>
      <c r="K3750">
        <v>1.1213930000000001</v>
      </c>
      <c r="L3750">
        <v>283.79950000000002</v>
      </c>
      <c r="M3750">
        <v>-0.99991609999999997</v>
      </c>
      <c r="N3750">
        <v>-1.2679060000000001E-2</v>
      </c>
      <c r="O3750">
        <v>-2.6661380000000002E-3</v>
      </c>
      <c r="P3750">
        <v>-0.98770349999999996</v>
      </c>
      <c r="Q3750">
        <v>0.15614259999999999</v>
      </c>
      <c r="R3750">
        <v>-7.8437439999999997E-3</v>
      </c>
      <c r="S3750">
        <v>-3.055237</v>
      </c>
      <c r="T3750">
        <v>-0.14908740000000001</v>
      </c>
      <c r="U3750">
        <v>-0.73068239999999995</v>
      </c>
      <c r="V3750">
        <v>-5.2037159999999997E-3</v>
      </c>
      <c r="W3750">
        <v>0.16865350000000001</v>
      </c>
      <c r="X3750">
        <v>0.98566169999999997</v>
      </c>
      <c r="Y3750">
        <v>-0.22967679999999999</v>
      </c>
      <c r="Z3750">
        <v>-6.9052480000000001E-3</v>
      </c>
      <c r="AA3750">
        <v>0.97324250000000001</v>
      </c>
      <c r="AB3750">
        <v>28</v>
      </c>
      <c r="AC3750">
        <v>-22.8202</v>
      </c>
      <c r="AD3750">
        <v>-1.121388368019</v>
      </c>
      <c r="AE3750">
        <v>-5.4954999999999901</v>
      </c>
      <c r="AF3750">
        <v>-5.4222580505450102</v>
      </c>
      <c r="AG3750">
        <v>-1.121388368019</v>
      </c>
      <c r="AH3750">
        <v>22.782772580601701</v>
      </c>
      <c r="AI3750">
        <v>92.741424863813506</v>
      </c>
      <c r="AJ3750">
        <v>103.387234102966</v>
      </c>
      <c r="AK3750">
        <v>23.445961714078699</v>
      </c>
      <c r="AL3750">
        <v>80.290460406090205</v>
      </c>
      <c r="AM3750">
        <v>90.302485319850504</v>
      </c>
      <c r="AN3750">
        <v>1.00000003428467</v>
      </c>
    </row>
    <row r="3751" spans="1:40" x14ac:dyDescent="0.25">
      <c r="A3751" t="str">
        <f>"20190303161947178"</f>
        <v>20190303161947178</v>
      </c>
      <c r="B3751" t="str">
        <f>"1551601187166564"</f>
        <v>1551601187166564</v>
      </c>
      <c r="C3751" t="s">
        <v>40</v>
      </c>
      <c r="D3751">
        <v>4.3387609999999999</v>
      </c>
      <c r="E3751">
        <v>0.41062159999999898</v>
      </c>
      <c r="F3751" t="s">
        <v>56</v>
      </c>
      <c r="G3751">
        <v>-418.83080000000001</v>
      </c>
      <c r="H3751" s="1">
        <v>4.6904780000000001E-6</v>
      </c>
      <c r="I3751">
        <v>278.2552</v>
      </c>
      <c r="J3751">
        <v>-395.94670000000002</v>
      </c>
      <c r="K3751">
        <v>1.1213930000000001</v>
      </c>
      <c r="L3751">
        <v>283.79899999999998</v>
      </c>
      <c r="M3751">
        <v>-0.99991620000000003</v>
      </c>
      <c r="N3751">
        <v>-1.267779E-2</v>
      </c>
      <c r="O3751">
        <v>-2.6662489999999999E-3</v>
      </c>
      <c r="P3751">
        <v>-0.987707</v>
      </c>
      <c r="Q3751">
        <v>0.1561062</v>
      </c>
      <c r="R3751">
        <v>-8.1129429999999992E-3</v>
      </c>
      <c r="S3751">
        <v>-3.0549620000000002</v>
      </c>
      <c r="T3751">
        <v>-0.1486073</v>
      </c>
      <c r="U3751">
        <v>-0.73474119999999998</v>
      </c>
      <c r="V3751">
        <v>-5.4725930000000004E-3</v>
      </c>
      <c r="W3751">
        <v>0.1686164</v>
      </c>
      <c r="X3751">
        <v>0.98566659999999995</v>
      </c>
      <c r="Y3751">
        <v>-0.23091909999999999</v>
      </c>
      <c r="Z3751">
        <v>-6.9253659999999996E-3</v>
      </c>
      <c r="AA3751">
        <v>0.97294829999999999</v>
      </c>
      <c r="AB3751">
        <v>28</v>
      </c>
      <c r="AC3751">
        <v>-22.884099999999901</v>
      </c>
      <c r="AD3751">
        <v>-1.1213883095219901</v>
      </c>
      <c r="AE3751">
        <v>-5.5438000000000303</v>
      </c>
      <c r="AF3751">
        <v>-5.4703529705940399</v>
      </c>
      <c r="AG3751">
        <v>-1.1213883095219901</v>
      </c>
      <c r="AH3751">
        <v>22.846980043538199</v>
      </c>
      <c r="AI3751">
        <v>92.732846878766495</v>
      </c>
      <c r="AJ3751">
        <v>103.46508783876099</v>
      </c>
      <c r="AK3751">
        <v>23.519497666265099</v>
      </c>
      <c r="AL3751">
        <v>80.292617049740599</v>
      </c>
      <c r="AM3751">
        <v>90.318112899420498</v>
      </c>
      <c r="AN3751">
        <v>1.0000000429893301</v>
      </c>
    </row>
    <row r="3752" spans="1:40" x14ac:dyDescent="0.25">
      <c r="A3752" t="str">
        <f>"20190303161947196"</f>
        <v>20190303161947196</v>
      </c>
      <c r="B3752" t="str">
        <f>"1551601187186084"</f>
        <v>1551601187186084</v>
      </c>
      <c r="C3752" t="s">
        <v>40</v>
      </c>
      <c r="D3752">
        <v>4.3067039999999999</v>
      </c>
      <c r="E3752">
        <v>0.40983750000000002</v>
      </c>
      <c r="F3752" t="s">
        <v>56</v>
      </c>
      <c r="G3752">
        <v>-419.04849999999999</v>
      </c>
      <c r="H3752" s="1">
        <v>4.7479150000000001E-6</v>
      </c>
      <c r="I3752">
        <v>278.20190000000002</v>
      </c>
      <c r="J3752">
        <v>-396.16739999999999</v>
      </c>
      <c r="K3752">
        <v>1.1213919999999999</v>
      </c>
      <c r="L3752">
        <v>283.79849999999999</v>
      </c>
      <c r="M3752">
        <v>-0.99991620000000003</v>
      </c>
      <c r="N3752">
        <v>-1.2676110000000001E-2</v>
      </c>
      <c r="O3752">
        <v>-2.666238E-3</v>
      </c>
      <c r="P3752">
        <v>-0.98764030000000003</v>
      </c>
      <c r="Q3752">
        <v>0.1565155</v>
      </c>
      <c r="R3752">
        <v>-8.34179E-3</v>
      </c>
      <c r="S3752">
        <v>-3.0546570000000002</v>
      </c>
      <c r="T3752">
        <v>-0.14827609999999999</v>
      </c>
      <c r="U3752">
        <v>-0.74008180000000001</v>
      </c>
      <c r="V3752">
        <v>-5.701551E-3</v>
      </c>
      <c r="W3752">
        <v>0.1690229</v>
      </c>
      <c r="X3752">
        <v>0.98559560000000002</v>
      </c>
      <c r="Y3752">
        <v>-0.23254730000000001</v>
      </c>
      <c r="Z3752">
        <v>-6.962256E-3</v>
      </c>
      <c r="AA3752">
        <v>0.97256019999999999</v>
      </c>
      <c r="AB3752">
        <v>28</v>
      </c>
      <c r="AC3752">
        <v>-22.8811</v>
      </c>
      <c r="AD3752">
        <v>-1.1213872520849999</v>
      </c>
      <c r="AE3752">
        <v>-5.5965999999999596</v>
      </c>
      <c r="AF3752">
        <v>-5.5230517082013204</v>
      </c>
      <c r="AG3752">
        <v>-1.1213872520849999</v>
      </c>
      <c r="AH3752">
        <v>22.8441693628914</v>
      </c>
      <c r="AI3752">
        <v>92.731730299226797</v>
      </c>
      <c r="AJ3752">
        <v>103.591624944503</v>
      </c>
      <c r="AK3752">
        <v>23.529081652734899</v>
      </c>
      <c r="AL3752">
        <v>80.268986414344297</v>
      </c>
      <c r="AM3752">
        <v>90.331445437676095</v>
      </c>
      <c r="AN3752">
        <v>0.99999996757378695</v>
      </c>
    </row>
    <row r="3753" spans="1:40" x14ac:dyDescent="0.25">
      <c r="A3753" t="str">
        <f>"20190303161947210"</f>
        <v>20190303161947210</v>
      </c>
      <c r="B3753" t="str">
        <f>"1551601187206580"</f>
        <v>1551601187206580</v>
      </c>
      <c r="C3753" t="s">
        <v>40</v>
      </c>
      <c r="D3753">
        <v>4.5880720000000004</v>
      </c>
      <c r="E3753">
        <v>0.41024139999999998</v>
      </c>
      <c r="F3753" t="s">
        <v>56</v>
      </c>
      <c r="G3753">
        <v>-419.27850000000001</v>
      </c>
      <c r="H3753" s="1">
        <v>4.8084969999999999E-6</v>
      </c>
      <c r="I3753">
        <v>278.14589999999998</v>
      </c>
      <c r="J3753">
        <v>-396.32510000000002</v>
      </c>
      <c r="K3753">
        <v>1.1213949999999999</v>
      </c>
      <c r="L3753">
        <v>283.798</v>
      </c>
      <c r="M3753">
        <v>-0.99991609999999997</v>
      </c>
      <c r="N3753">
        <v>-1.2674909999999999E-2</v>
      </c>
      <c r="O3753">
        <v>-2.666112E-3</v>
      </c>
      <c r="P3753">
        <v>-0.98760139999999996</v>
      </c>
      <c r="Q3753">
        <v>0.15676319999999999</v>
      </c>
      <c r="R3753">
        <v>-8.3009380000000008E-3</v>
      </c>
      <c r="S3753">
        <v>-3.0547490000000002</v>
      </c>
      <c r="T3753">
        <v>-0.14822149999999901</v>
      </c>
      <c r="U3753">
        <v>-0.74713130000000005</v>
      </c>
      <c r="V3753">
        <v>-5.6608919999999998E-3</v>
      </c>
      <c r="W3753">
        <v>0.16926869999999999</v>
      </c>
      <c r="X3753">
        <v>0.98555369999999998</v>
      </c>
      <c r="Y3753">
        <v>-0.23465649999999999</v>
      </c>
      <c r="Z3753">
        <v>-7.0228510000000001E-3</v>
      </c>
      <c r="AA3753">
        <v>0.97205299999999994</v>
      </c>
      <c r="AB3753">
        <v>28</v>
      </c>
      <c r="AC3753">
        <v>-22.953399999999899</v>
      </c>
      <c r="AD3753">
        <v>-1.121390191503</v>
      </c>
      <c r="AE3753">
        <v>-5.6521000000000097</v>
      </c>
      <c r="AF3753">
        <v>-5.5783253762965899</v>
      </c>
      <c r="AG3753">
        <v>-1.121390191503</v>
      </c>
      <c r="AH3753">
        <v>22.916817498490801</v>
      </c>
      <c r="AI3753">
        <v>92.722065814759105</v>
      </c>
      <c r="AJ3753">
        <v>103.680664634561</v>
      </c>
      <c r="AK3753">
        <v>23.612618538073399</v>
      </c>
      <c r="AL3753">
        <v>80.254697705558698</v>
      </c>
      <c r="AM3753">
        <v>90.329095870689997</v>
      </c>
      <c r="AN3753">
        <v>1.0000000170408001</v>
      </c>
    </row>
    <row r="3754" spans="1:40" x14ac:dyDescent="0.25">
      <c r="A3754" t="str">
        <f>"20190303161947223"</f>
        <v>20190303161947223</v>
      </c>
      <c r="B3754" t="str">
        <f>"1551601187216340"</f>
        <v>1551601187216340</v>
      </c>
      <c r="C3754" t="s">
        <v>40</v>
      </c>
      <c r="D3754">
        <v>4.5144409999999997</v>
      </c>
      <c r="E3754">
        <v>0.45040570000000002</v>
      </c>
      <c r="F3754" t="s">
        <v>56</v>
      </c>
      <c r="G3754">
        <v>-419.73579999999998</v>
      </c>
      <c r="H3754" s="1">
        <v>4.9065670000000003E-6</v>
      </c>
      <c r="I3754">
        <v>278.09800000000001</v>
      </c>
      <c r="J3754">
        <v>-396.50299999999999</v>
      </c>
      <c r="K3754">
        <v>1.1213979999999999</v>
      </c>
      <c r="L3754">
        <v>283.79759999999999</v>
      </c>
      <c r="M3754">
        <v>-0.99991600000000003</v>
      </c>
      <c r="N3754">
        <v>-1.267359E-2</v>
      </c>
      <c r="O3754">
        <v>-2.666103E-3</v>
      </c>
      <c r="P3754">
        <v>-0.98753380000000002</v>
      </c>
      <c r="Q3754">
        <v>0.1571921</v>
      </c>
      <c r="R3754">
        <v>-8.2164079999999997E-3</v>
      </c>
      <c r="S3754">
        <v>-3.0546259999999998</v>
      </c>
      <c r="T3754">
        <v>-0.146318899999999</v>
      </c>
      <c r="U3754">
        <v>-0.74374390000000001</v>
      </c>
      <c r="V3754">
        <v>-5.5768240000000002E-3</v>
      </c>
      <c r="W3754">
        <v>0.1696954</v>
      </c>
      <c r="X3754">
        <v>0.98548080000000005</v>
      </c>
      <c r="Y3754">
        <v>-0.2336568</v>
      </c>
      <c r="Z3754">
        <v>-6.9231140000000002E-3</v>
      </c>
      <c r="AA3754">
        <v>0.97229449999999995</v>
      </c>
      <c r="AB3754">
        <v>28</v>
      </c>
      <c r="AC3754">
        <v>-23.232799999999902</v>
      </c>
      <c r="AD3754">
        <v>-1.1213930934330001</v>
      </c>
      <c r="AE3754">
        <v>-5.69959999999997</v>
      </c>
      <c r="AF3754">
        <v>-5.62527211926822</v>
      </c>
      <c r="AG3754">
        <v>-1.1213930934330001</v>
      </c>
      <c r="AH3754">
        <v>23.196938821320501</v>
      </c>
      <c r="AI3754">
        <v>92.689814344741905</v>
      </c>
      <c r="AJ3754">
        <v>103.63112816411</v>
      </c>
      <c r="AK3754">
        <v>23.895589123641599</v>
      </c>
      <c r="AL3754">
        <v>80.229890734798005</v>
      </c>
      <c r="AM3754">
        <v>90.324232666407397</v>
      </c>
      <c r="AN3754">
        <v>1.0000000184578599</v>
      </c>
    </row>
    <row r="3755" spans="1:40" x14ac:dyDescent="0.25">
      <c r="A3755" t="str">
        <f>"20190303161947242"</f>
        <v>20190303161947242</v>
      </c>
      <c r="B3755" t="str">
        <f>"1551601187236006"</f>
        <v>1551601187236006</v>
      </c>
      <c r="C3755" t="s">
        <v>40</v>
      </c>
      <c r="D3755">
        <v>4.4898400000000001</v>
      </c>
      <c r="E3755">
        <v>0.46876479999999998</v>
      </c>
      <c r="F3755" t="s">
        <v>41</v>
      </c>
      <c r="G3755">
        <v>-501.07799999999997</v>
      </c>
      <c r="H3755">
        <v>7.9985500000000001E-2</v>
      </c>
      <c r="I3755">
        <v>269.2561</v>
      </c>
      <c r="J3755">
        <v>-396.73590000000002</v>
      </c>
      <c r="K3755">
        <v>1.1214010000000001</v>
      </c>
      <c r="L3755">
        <v>283.79689999999999</v>
      </c>
      <c r="M3755">
        <v>-0.99991609999999997</v>
      </c>
      <c r="N3755">
        <v>-1.267187E-2</v>
      </c>
      <c r="O3755">
        <v>-2.6660920000000001E-3</v>
      </c>
      <c r="P3755">
        <v>-0.98747119999999999</v>
      </c>
      <c r="Q3755">
        <v>0.15759879999999901</v>
      </c>
      <c r="R3755">
        <v>-7.9723650000000004E-3</v>
      </c>
      <c r="S3755">
        <v>-3.0391849999999998</v>
      </c>
      <c r="T3755">
        <v>-3.0265810000000001E-2</v>
      </c>
      <c r="U3755">
        <v>-0.42260740000000002</v>
      </c>
      <c r="V3755">
        <v>-5.3325630000000002E-3</v>
      </c>
      <c r="W3755">
        <v>0.17009959999999999</v>
      </c>
      <c r="X3755">
        <v>0.98541250000000002</v>
      </c>
      <c r="Y3755">
        <v>-0.1350712</v>
      </c>
      <c r="Z3755">
        <v>-1.536506E-3</v>
      </c>
      <c r="AA3755">
        <v>0.99083469999999996</v>
      </c>
      <c r="AB3755">
        <v>28</v>
      </c>
      <c r="AC3755">
        <v>-104.3421</v>
      </c>
      <c r="AD3755">
        <v>-1.0414155</v>
      </c>
      <c r="AE3755">
        <v>-14.5407999999999</v>
      </c>
      <c r="AF3755">
        <v>-14.2611467482627</v>
      </c>
      <c r="AG3755">
        <v>-1.0414155</v>
      </c>
      <c r="AH3755">
        <v>104.37030044933999</v>
      </c>
      <c r="AI3755">
        <v>90.566420197817706</v>
      </c>
      <c r="AJ3755">
        <v>97.780704860878501</v>
      </c>
      <c r="AK3755">
        <v>105.345263152667</v>
      </c>
      <c r="AL3755">
        <v>80.206390461145901</v>
      </c>
      <c r="AM3755">
        <v>90.310053273618493</v>
      </c>
      <c r="AN3755">
        <v>1.0000000526522701</v>
      </c>
    </row>
    <row r="3756" spans="1:40" x14ac:dyDescent="0.25">
      <c r="A3756" t="str">
        <f>"20190303161947264"</f>
        <v>20190303161947264</v>
      </c>
      <c r="B3756" t="str">
        <f>"1551601187256032"</f>
        <v>1551601187256032</v>
      </c>
      <c r="C3756" t="s">
        <v>40</v>
      </c>
      <c r="D3756">
        <v>4.4706390000000003</v>
      </c>
      <c r="E3756">
        <v>0.47886420000000002</v>
      </c>
      <c r="F3756" t="s">
        <v>57</v>
      </c>
      <c r="G3756">
        <v>-512.82560000000001</v>
      </c>
      <c r="H3756">
        <v>1.159721</v>
      </c>
      <c r="I3756">
        <v>273.27480000000003</v>
      </c>
      <c r="J3756">
        <v>-397.0093</v>
      </c>
      <c r="K3756">
        <v>1.1213959999999901</v>
      </c>
      <c r="L3756">
        <v>283.7962</v>
      </c>
      <c r="M3756">
        <v>-0.99991629999999998</v>
      </c>
      <c r="N3756">
        <v>-1.266987E-2</v>
      </c>
      <c r="O3756">
        <v>-2.666318E-3</v>
      </c>
      <c r="P3756">
        <v>-0.98737030000000003</v>
      </c>
      <c r="Q3756">
        <v>0.1582443</v>
      </c>
      <c r="R3756">
        <v>-7.6763969999999997E-3</v>
      </c>
      <c r="S3756">
        <v>-3.0356749999999999</v>
      </c>
      <c r="T3756">
        <v>1.0041E-3</v>
      </c>
      <c r="U3756">
        <v>-0.27514650000000002</v>
      </c>
      <c r="V3756">
        <v>-5.0364390000000002E-3</v>
      </c>
      <c r="W3756">
        <v>0.1707418</v>
      </c>
      <c r="X3756">
        <v>0.98530289999999998</v>
      </c>
      <c r="Y3756">
        <v>-8.7612060000000005E-2</v>
      </c>
      <c r="Z3756">
        <v>-5.7630919999999996E-4</v>
      </c>
      <c r="AA3756">
        <v>0.99615450000000005</v>
      </c>
      <c r="AB3756">
        <v>28</v>
      </c>
      <c r="AC3756">
        <v>-115.8163</v>
      </c>
      <c r="AD3756">
        <v>3.8325000000000102E-2</v>
      </c>
      <c r="AE3756">
        <v>-10.5213999999999</v>
      </c>
      <c r="AF3756">
        <v>-10.212533648735</v>
      </c>
      <c r="AG3756">
        <v>3.8325000000000102E-2</v>
      </c>
      <c r="AH3756">
        <v>115.84393131499201</v>
      </c>
      <c r="AI3756">
        <v>89.981117895511105</v>
      </c>
      <c r="AJ3756">
        <v>95.038039129883501</v>
      </c>
      <c r="AK3756">
        <v>116.29322308219299</v>
      </c>
      <c r="AL3756">
        <v>80.169048000541494</v>
      </c>
      <c r="AM3756">
        <v>90.292868502957205</v>
      </c>
      <c r="AN3756">
        <v>0.99999996636672395</v>
      </c>
    </row>
    <row r="3757" spans="1:40" x14ac:dyDescent="0.25">
      <c r="A3757" t="str">
        <f>"20190303161947287"</f>
        <v>20190303161947287</v>
      </c>
      <c r="B3757" t="str">
        <f>"1551601187276528"</f>
        <v>1551601187276528</v>
      </c>
      <c r="C3757" t="s">
        <v>40</v>
      </c>
      <c r="D3757">
        <v>4.4120999999999997</v>
      </c>
      <c r="E3757">
        <v>0.48384090000000002</v>
      </c>
      <c r="F3757" t="s">
        <v>57</v>
      </c>
      <c r="G3757">
        <v>-511.959</v>
      </c>
      <c r="H3757">
        <v>1.124352</v>
      </c>
      <c r="I3757">
        <v>276.4819</v>
      </c>
      <c r="J3757">
        <v>-397.2885</v>
      </c>
      <c r="K3757">
        <v>1.1214010000000001</v>
      </c>
      <c r="L3757">
        <v>283.7955</v>
      </c>
      <c r="M3757">
        <v>-0.99991629999999998</v>
      </c>
      <c r="N3757">
        <v>-1.266783E-2</v>
      </c>
      <c r="O3757">
        <v>-2.666187E-3</v>
      </c>
      <c r="P3757">
        <v>-0.98727969999999998</v>
      </c>
      <c r="Q3757">
        <v>0.15880820000000001</v>
      </c>
      <c r="R3757">
        <v>-7.6711289999999996E-3</v>
      </c>
      <c r="S3757">
        <v>-3.0368650000000001</v>
      </c>
      <c r="T3757" s="1">
        <v>8.0227849999999995E-5</v>
      </c>
      <c r="U3757">
        <v>-0.1932373</v>
      </c>
      <c r="V3757">
        <v>-5.0317130000000002E-3</v>
      </c>
      <c r="W3757">
        <v>0.17130229999999999</v>
      </c>
      <c r="X3757">
        <v>0.98520569999999996</v>
      </c>
      <c r="Y3757">
        <v>-6.0841060000000002E-2</v>
      </c>
      <c r="Z3757">
        <v>-4.187773E-4</v>
      </c>
      <c r="AA3757">
        <v>0.99814740000000002</v>
      </c>
      <c r="AB3757">
        <v>28</v>
      </c>
      <c r="AC3757">
        <v>-114.6705</v>
      </c>
      <c r="AD3757">
        <v>2.9509999999999198E-3</v>
      </c>
      <c r="AE3757">
        <v>-7.3136000000000001</v>
      </c>
      <c r="AF3757">
        <v>-7.0078164951566801</v>
      </c>
      <c r="AG3757">
        <v>2.9509999999999198E-3</v>
      </c>
      <c r="AH3757">
        <v>114.68959327577799</v>
      </c>
      <c r="AI3757">
        <v>89.9985285055877</v>
      </c>
      <c r="AJ3757">
        <v>93.4965660154418</v>
      </c>
      <c r="AK3757">
        <v>114.90349127203</v>
      </c>
      <c r="AL3757">
        <v>80.1364541773779</v>
      </c>
      <c r="AM3757">
        <v>90.292622557910505</v>
      </c>
      <c r="AN3757">
        <v>1.0000000337167401</v>
      </c>
    </row>
    <row r="3758" spans="1:40" x14ac:dyDescent="0.25">
      <c r="A3758" t="str">
        <f>"20190303161947308"</f>
        <v>20190303161947308</v>
      </c>
      <c r="B3758" t="str">
        <f>"1551601187296048"</f>
        <v>1551601187296048</v>
      </c>
      <c r="C3758" t="s">
        <v>40</v>
      </c>
      <c r="D3758">
        <v>4.4522089999999999</v>
      </c>
      <c r="E3758">
        <v>0.48639670000000002</v>
      </c>
      <c r="F3758" t="s">
        <v>57</v>
      </c>
      <c r="G3758">
        <v>-511.959</v>
      </c>
      <c r="H3758">
        <v>1.1936899999999999</v>
      </c>
      <c r="I3758">
        <v>277.97089999999997</v>
      </c>
      <c r="J3758">
        <v>-397.56760000000003</v>
      </c>
      <c r="K3758">
        <v>1.121402</v>
      </c>
      <c r="L3758">
        <v>283.79469999999998</v>
      </c>
      <c r="M3758">
        <v>-0.99991640000000004</v>
      </c>
      <c r="N3758">
        <v>-1.2665799999999901E-2</v>
      </c>
      <c r="O3758">
        <v>-2.6662919999999998E-3</v>
      </c>
      <c r="P3758">
        <v>-0.98722049999999995</v>
      </c>
      <c r="Q3758">
        <v>0.1591911</v>
      </c>
      <c r="R3758">
        <v>-7.3485769999999898E-3</v>
      </c>
      <c r="S3758">
        <v>-3.03714</v>
      </c>
      <c r="T3758">
        <v>1.9167660000000001E-3</v>
      </c>
      <c r="U3758">
        <v>-0.1542664</v>
      </c>
      <c r="V3758">
        <v>-4.7095959999999999E-3</v>
      </c>
      <c r="W3758">
        <v>0.1716828</v>
      </c>
      <c r="X3758">
        <v>0.98514100000000004</v>
      </c>
      <c r="Y3758">
        <v>-4.8065070000000001E-2</v>
      </c>
      <c r="Z3758">
        <v>-3.2487400000000001E-4</v>
      </c>
      <c r="AA3758">
        <v>0.99884410000000001</v>
      </c>
      <c r="AB3758">
        <v>28</v>
      </c>
      <c r="AC3758">
        <v>-114.391399999999</v>
      </c>
      <c r="AD3758">
        <v>7.2287999999999894E-2</v>
      </c>
      <c r="AE3758">
        <v>-5.8238000000000003</v>
      </c>
      <c r="AF3758">
        <v>-5.5187518069625296</v>
      </c>
      <c r="AG3758">
        <v>7.2287999999999894E-2</v>
      </c>
      <c r="AH3758">
        <v>114.406476948595</v>
      </c>
      <c r="AI3758">
        <v>89.963839579200396</v>
      </c>
      <c r="AJ3758">
        <v>92.761699155875306</v>
      </c>
      <c r="AK3758">
        <v>114.539529485899</v>
      </c>
      <c r="AL3758">
        <v>80.114324737485106</v>
      </c>
      <c r="AM3758">
        <v>90.273907916084795</v>
      </c>
      <c r="AN3758">
        <v>0.99999997699566101</v>
      </c>
    </row>
    <row r="3759" spans="1:40" x14ac:dyDescent="0.25">
      <c r="A3759" t="str">
        <f>"20190303161947321"</f>
        <v>20190303161947321</v>
      </c>
      <c r="B3759" t="str">
        <f>"1551601187316544"</f>
        <v>1551601187316544</v>
      </c>
      <c r="C3759" t="s">
        <v>40</v>
      </c>
      <c r="D3759">
        <v>4.4498620000000004</v>
      </c>
      <c r="E3759">
        <v>0.48753419999999997</v>
      </c>
      <c r="F3759" t="s">
        <v>57</v>
      </c>
      <c r="G3759">
        <v>-511.959</v>
      </c>
      <c r="H3759">
        <v>1.076044</v>
      </c>
      <c r="I3759">
        <v>278.78699999999998</v>
      </c>
      <c r="J3759">
        <v>-397.72949999999997</v>
      </c>
      <c r="K3759">
        <v>1.1214029999999999</v>
      </c>
      <c r="L3759">
        <v>283.79430000000002</v>
      </c>
      <c r="M3759">
        <v>-0.99991640000000004</v>
      </c>
      <c r="N3759">
        <v>-1.266462E-2</v>
      </c>
      <c r="O3759">
        <v>-2.6654579999999999E-3</v>
      </c>
      <c r="P3759">
        <v>-0.98723660000000002</v>
      </c>
      <c r="Q3759">
        <v>0.1590848</v>
      </c>
      <c r="R3759">
        <v>-7.4787359999999997E-3</v>
      </c>
      <c r="S3759">
        <v>-3.0380250000000002</v>
      </c>
      <c r="T3759">
        <v>-1.2024640000000001E-3</v>
      </c>
      <c r="U3759">
        <v>-0.13299559999999999</v>
      </c>
      <c r="V3759">
        <v>-4.8407479999999998E-3</v>
      </c>
      <c r="W3759">
        <v>0.17157529999999999</v>
      </c>
      <c r="X3759">
        <v>0.98515909999999995</v>
      </c>
      <c r="Y3759">
        <v>-4.107193E-2</v>
      </c>
      <c r="Z3759">
        <v>-3.0102800000000001E-4</v>
      </c>
      <c r="AA3759">
        <v>0.99915609999999999</v>
      </c>
      <c r="AB3759">
        <v>28</v>
      </c>
      <c r="AC3759">
        <v>-114.2295</v>
      </c>
      <c r="AD3759">
        <v>-4.5359000000000101E-2</v>
      </c>
      <c r="AE3759">
        <v>-5.0072999999999803</v>
      </c>
      <c r="AF3759">
        <v>-4.7027831605186696</v>
      </c>
      <c r="AG3759">
        <v>-4.5359000000000101E-2</v>
      </c>
      <c r="AH3759">
        <v>114.242423990426</v>
      </c>
      <c r="AI3759">
        <v>90.0227295593142</v>
      </c>
      <c r="AJ3759">
        <v>92.357246750785507</v>
      </c>
      <c r="AK3759">
        <v>114.33918692251601</v>
      </c>
      <c r="AL3759">
        <v>80.120576877817101</v>
      </c>
      <c r="AM3759">
        <v>90.281530361902895</v>
      </c>
      <c r="AN3759">
        <v>0.99999998436204895</v>
      </c>
    </row>
    <row r="3760" spans="1:40" x14ac:dyDescent="0.25">
      <c r="A3760" t="str">
        <f>"20190303161947341"</f>
        <v>20190303161947341</v>
      </c>
      <c r="B3760" t="str">
        <f>"1551601187336064"</f>
        <v>1551601187336064</v>
      </c>
      <c r="C3760" t="s">
        <v>40</v>
      </c>
      <c r="D3760">
        <v>4.4307410000000003</v>
      </c>
      <c r="E3760">
        <v>0.48845759999999999</v>
      </c>
      <c r="F3760" t="s">
        <v>57</v>
      </c>
      <c r="G3760">
        <v>-511.959</v>
      </c>
      <c r="H3760">
        <v>1.0010509999999999</v>
      </c>
      <c r="I3760">
        <v>279.1395</v>
      </c>
      <c r="J3760">
        <v>-397.98379999999997</v>
      </c>
      <c r="K3760">
        <v>1.121405</v>
      </c>
      <c r="L3760">
        <v>283.79360000000003</v>
      </c>
      <c r="M3760">
        <v>-0.99991640000000004</v>
      </c>
      <c r="N3760">
        <v>-1.266287E-2</v>
      </c>
      <c r="O3760">
        <v>-2.6693490000000001E-3</v>
      </c>
      <c r="P3760">
        <v>-0.98725160000000001</v>
      </c>
      <c r="Q3760">
        <v>0.15897349999999999</v>
      </c>
      <c r="R3760">
        <v>-7.8839730000000007E-3</v>
      </c>
      <c r="S3760">
        <v>-3.0383</v>
      </c>
      <c r="T3760">
        <v>-3.198981E-3</v>
      </c>
      <c r="U3760">
        <v>-0.1238098</v>
      </c>
      <c r="V3760">
        <v>-5.241089E-3</v>
      </c>
      <c r="W3760">
        <v>0.17146249999999999</v>
      </c>
      <c r="X3760">
        <v>0.98517670000000002</v>
      </c>
      <c r="Y3760">
        <v>-3.8048329999999998E-2</v>
      </c>
      <c r="Z3760">
        <v>-2.9201310000000002E-4</v>
      </c>
      <c r="AA3760">
        <v>0.99927589999999999</v>
      </c>
      <c r="AB3760">
        <v>28</v>
      </c>
      <c r="AC3760">
        <v>-113.9752</v>
      </c>
      <c r="AD3760">
        <v>-0.120354</v>
      </c>
      <c r="AE3760">
        <v>-4.6541000000000201</v>
      </c>
      <c r="AF3760">
        <v>-4.3498146353277303</v>
      </c>
      <c r="AG3760">
        <v>-0.120354</v>
      </c>
      <c r="AH3760">
        <v>113.987091393569</v>
      </c>
      <c r="AI3760">
        <v>90.060452092979503</v>
      </c>
      <c r="AJ3760">
        <v>92.185380344054195</v>
      </c>
      <c r="AK3760">
        <v>114.070120438321</v>
      </c>
      <c r="AL3760">
        <v>80.127137155107107</v>
      </c>
      <c r="AM3760">
        <v>90.304807702880396</v>
      </c>
      <c r="AN3760">
        <v>0.99999999407152296</v>
      </c>
    </row>
    <row r="3761" spans="1:40" x14ac:dyDescent="0.25">
      <c r="A3761" t="str">
        <f>"20190303161947364"</f>
        <v>20190303161947364</v>
      </c>
      <c r="B3761" t="str">
        <f>"1551601187356560"</f>
        <v>1551601187356560</v>
      </c>
      <c r="C3761" t="s">
        <v>40</v>
      </c>
      <c r="D3761">
        <v>4.4307910000000001</v>
      </c>
      <c r="E3761">
        <v>0.48905929999999997</v>
      </c>
      <c r="F3761" t="s">
        <v>57</v>
      </c>
      <c r="G3761">
        <v>-514.64689999999996</v>
      </c>
      <c r="H3761">
        <v>0.9401832</v>
      </c>
      <c r="I3761">
        <v>279.27539999999999</v>
      </c>
      <c r="J3761">
        <v>-398.25729999999999</v>
      </c>
      <c r="K3761">
        <v>1.121408</v>
      </c>
      <c r="L3761">
        <v>283.7928</v>
      </c>
      <c r="M3761">
        <v>-0.99991640000000004</v>
      </c>
      <c r="N3761">
        <v>-1.266109E-2</v>
      </c>
      <c r="O3761">
        <v>-2.6617799999999999E-3</v>
      </c>
      <c r="P3761">
        <v>-0.98734529999999998</v>
      </c>
      <c r="Q3761">
        <v>0.158381299999999</v>
      </c>
      <c r="R3761">
        <v>-8.064646E-3</v>
      </c>
      <c r="S3761">
        <v>-3.038513</v>
      </c>
      <c r="T3761">
        <v>-4.717827E-3</v>
      </c>
      <c r="U3761">
        <v>-0.1176758</v>
      </c>
      <c r="V3761">
        <v>-5.4305029999999997E-3</v>
      </c>
      <c r="W3761">
        <v>0.1708701</v>
      </c>
      <c r="X3761">
        <v>0.9852786</v>
      </c>
      <c r="Y3761">
        <v>-3.6038699999999903E-2</v>
      </c>
      <c r="Z3761">
        <v>-2.8576730000000002E-4</v>
      </c>
      <c r="AA3761">
        <v>0.99935039999999997</v>
      </c>
      <c r="AB3761">
        <v>28</v>
      </c>
      <c r="AC3761">
        <v>-116.38959999999901</v>
      </c>
      <c r="AD3761">
        <v>-0.18122479999999999</v>
      </c>
      <c r="AE3761">
        <v>-4.5174000000000003</v>
      </c>
      <c r="AF3761">
        <v>-4.2075454953966602</v>
      </c>
      <c r="AG3761">
        <v>-0.18122479999999999</v>
      </c>
      <c r="AH3761">
        <v>116.400931126887</v>
      </c>
      <c r="AI3761">
        <v>90.089145600739798</v>
      </c>
      <c r="AJ3761">
        <v>92.070169734667701</v>
      </c>
      <c r="AK3761">
        <v>116.47709237755799</v>
      </c>
      <c r="AL3761">
        <v>80.161587654089502</v>
      </c>
      <c r="AM3761">
        <v>90.315790632128497</v>
      </c>
      <c r="AN3761">
        <v>1.0000000005273999</v>
      </c>
    </row>
    <row r="3762" spans="1:40" x14ac:dyDescent="0.25">
      <c r="A3762" t="str">
        <f>"20190303161947386"</f>
        <v>20190303161947386</v>
      </c>
      <c r="B3762" t="str">
        <f>"1551601187376080"</f>
        <v>1551601187376080</v>
      </c>
      <c r="C3762" t="s">
        <v>40</v>
      </c>
      <c r="D3762">
        <v>4.3998229999999996</v>
      </c>
      <c r="E3762">
        <v>0.48950670000000002</v>
      </c>
      <c r="F3762" t="s">
        <v>57</v>
      </c>
      <c r="G3762">
        <v>-551.06209999999999</v>
      </c>
      <c r="H3762">
        <v>0.64684680000000006</v>
      </c>
      <c r="I3762">
        <v>278.06779999999998</v>
      </c>
      <c r="J3762">
        <v>-398.54140000000001</v>
      </c>
      <c r="K3762">
        <v>1.1213979999999999</v>
      </c>
      <c r="L3762">
        <v>283.7921</v>
      </c>
      <c r="M3762">
        <v>-0.99991629999999998</v>
      </c>
      <c r="N3762">
        <v>-1.265929E-2</v>
      </c>
      <c r="O3762">
        <v>-2.667418E-3</v>
      </c>
      <c r="P3762">
        <v>-0.98733539999999997</v>
      </c>
      <c r="Q3762">
        <v>0.15843309999999999</v>
      </c>
      <c r="R3762">
        <v>-8.2414859999999993E-3</v>
      </c>
      <c r="S3762">
        <v>-3.0390320000000002</v>
      </c>
      <c r="T3762">
        <v>-9.4366069999999996E-3</v>
      </c>
      <c r="U3762">
        <v>-0.11386110000000001</v>
      </c>
      <c r="V3762">
        <v>-5.6000579999999998E-3</v>
      </c>
      <c r="W3762">
        <v>0.17091990000000001</v>
      </c>
      <c r="X3762">
        <v>0.98526899999999995</v>
      </c>
      <c r="Y3762">
        <v>-3.477334E-2</v>
      </c>
      <c r="Z3762">
        <v>-2.9963869999999999E-4</v>
      </c>
      <c r="AA3762">
        <v>0.99939520000000004</v>
      </c>
      <c r="AB3762">
        <v>28</v>
      </c>
      <c r="AC3762">
        <v>-152.52069999999901</v>
      </c>
      <c r="AD3762">
        <v>-0.47455119999999901</v>
      </c>
      <c r="AE3762">
        <v>-5.7243000000000199</v>
      </c>
      <c r="AF3762">
        <v>-5.3173591606814901</v>
      </c>
      <c r="AG3762">
        <v>-0.47455119999999901</v>
      </c>
      <c r="AH3762">
        <v>152.533953070732</v>
      </c>
      <c r="AI3762">
        <v>90.178145173047398</v>
      </c>
      <c r="AJ3762">
        <v>91.996531986116395</v>
      </c>
      <c r="AK3762">
        <v>152.627344688524</v>
      </c>
      <c r="AL3762">
        <v>80.158691594584894</v>
      </c>
      <c r="AM3762">
        <v>90.325653434063398</v>
      </c>
      <c r="AN3762">
        <v>0.999999987613306</v>
      </c>
    </row>
    <row r="3763" spans="1:40" x14ac:dyDescent="0.25">
      <c r="A3763" t="str">
        <f>"20190303161947408"</f>
        <v>20190303161947408</v>
      </c>
      <c r="B3763" t="str">
        <f>"1551601187396576"</f>
        <v>1551601187396576</v>
      </c>
      <c r="C3763" t="s">
        <v>40</v>
      </c>
      <c r="D3763">
        <v>4.411689</v>
      </c>
      <c r="E3763">
        <v>0.48993140000000002</v>
      </c>
      <c r="F3763" t="s">
        <v>57</v>
      </c>
      <c r="G3763">
        <v>-551.06200000000001</v>
      </c>
      <c r="H3763">
        <v>0.57274480000000005</v>
      </c>
      <c r="I3763">
        <v>278.23439999999999</v>
      </c>
      <c r="J3763">
        <v>-398.8143</v>
      </c>
      <c r="K3763">
        <v>1.121402</v>
      </c>
      <c r="L3763">
        <v>283.79140000000001</v>
      </c>
      <c r="M3763">
        <v>-0.99991640000000004</v>
      </c>
      <c r="N3763">
        <v>-1.265763E-2</v>
      </c>
      <c r="O3763">
        <v>-2.664582E-3</v>
      </c>
      <c r="P3763">
        <v>-0.98736270000000004</v>
      </c>
      <c r="Q3763">
        <v>0.15825810000000001</v>
      </c>
      <c r="R3763">
        <v>-8.3387789999999993E-3</v>
      </c>
      <c r="S3763">
        <v>-3.0392760000000001</v>
      </c>
      <c r="T3763">
        <v>-1.0931369999999999E-2</v>
      </c>
      <c r="U3763">
        <v>-0.11074829999999999</v>
      </c>
      <c r="V3763">
        <v>-5.7012440000000003E-3</v>
      </c>
      <c r="W3763">
        <v>0.1707437</v>
      </c>
      <c r="X3763">
        <v>0.98529900000000004</v>
      </c>
      <c r="Y3763">
        <v>-3.3750830000000002E-2</v>
      </c>
      <c r="Z3763">
        <v>-2.9849850000000002E-4</v>
      </c>
      <c r="AA3763">
        <v>0.99943020000000005</v>
      </c>
      <c r="AB3763">
        <v>28</v>
      </c>
      <c r="AC3763">
        <v>-152.24770000000001</v>
      </c>
      <c r="AD3763">
        <v>-0.54865719999999996</v>
      </c>
      <c r="AE3763">
        <v>-5.5570000000000102</v>
      </c>
      <c r="AF3763">
        <v>-5.1512045031854399</v>
      </c>
      <c r="AG3763">
        <v>-0.54865719999999996</v>
      </c>
      <c r="AH3763">
        <v>152.25999296835101</v>
      </c>
      <c r="AI3763">
        <v>90.206341998288707</v>
      </c>
      <c r="AJ3763">
        <v>91.937670850725993</v>
      </c>
      <c r="AK3763">
        <v>152.348092837682</v>
      </c>
      <c r="AL3763">
        <v>80.168938022231799</v>
      </c>
      <c r="AM3763">
        <v>90.331527357283605</v>
      </c>
      <c r="AN3763">
        <v>1.0000000173369099</v>
      </c>
    </row>
    <row r="3764" spans="1:40" x14ac:dyDescent="0.25">
      <c r="A3764" t="str">
        <f>"20190303161947431"</f>
        <v>20190303161947431</v>
      </c>
      <c r="B3764" t="str">
        <f>"1551601187425856"</f>
        <v>1551601187425856</v>
      </c>
      <c r="C3764" t="s">
        <v>40</v>
      </c>
      <c r="D3764">
        <v>4.4019159999999999</v>
      </c>
      <c r="E3764">
        <v>0.49041360000000001</v>
      </c>
      <c r="F3764" t="s">
        <v>57</v>
      </c>
      <c r="G3764">
        <v>-551.06200000000001</v>
      </c>
      <c r="H3764">
        <v>0.5222677</v>
      </c>
      <c r="I3764">
        <v>278.3997</v>
      </c>
      <c r="J3764">
        <v>-399.09739999999999</v>
      </c>
      <c r="K3764">
        <v>1.121399</v>
      </c>
      <c r="L3764">
        <v>283.79059999999998</v>
      </c>
      <c r="M3764">
        <v>-0.99991649999999999</v>
      </c>
      <c r="N3764">
        <v>-1.265612E-2</v>
      </c>
      <c r="O3764">
        <v>-2.6696580000000001E-3</v>
      </c>
      <c r="P3764">
        <v>-0.98737249999999999</v>
      </c>
      <c r="Q3764">
        <v>0.15820879999999901</v>
      </c>
      <c r="R3764">
        <v>-8.1309180000000009E-3</v>
      </c>
      <c r="S3764">
        <v>-3.0393979999999998</v>
      </c>
      <c r="T3764">
        <v>-1.19592E-2</v>
      </c>
      <c r="U3764">
        <v>-0.1076355</v>
      </c>
      <c r="V3764">
        <v>-5.4870519999999897E-3</v>
      </c>
      <c r="W3764">
        <v>0.1706925</v>
      </c>
      <c r="X3764">
        <v>0.98530910000000005</v>
      </c>
      <c r="Y3764">
        <v>-3.2721960000000001E-2</v>
      </c>
      <c r="Z3764">
        <v>-2.9477650000000002E-4</v>
      </c>
      <c r="AA3764">
        <v>0.99946449999999998</v>
      </c>
      <c r="AB3764">
        <v>28</v>
      </c>
      <c r="AC3764">
        <v>-151.96459999999999</v>
      </c>
      <c r="AD3764">
        <v>-0.59913130000000003</v>
      </c>
      <c r="AE3764">
        <v>-5.3908999999999798</v>
      </c>
      <c r="AF3764">
        <v>-4.9850774539335401</v>
      </c>
      <c r="AG3764">
        <v>-0.59913130000000003</v>
      </c>
      <c r="AH3764">
        <v>151.976092063312</v>
      </c>
      <c r="AI3764">
        <v>90.225753039501399</v>
      </c>
      <c r="AJ3764">
        <v>91.878726591598095</v>
      </c>
      <c r="AK3764">
        <v>152.05900997432801</v>
      </c>
      <c r="AL3764">
        <v>80.171915397271505</v>
      </c>
      <c r="AM3764">
        <v>90.319069083703994</v>
      </c>
      <c r="AN3764">
        <v>1.0000000299193501</v>
      </c>
    </row>
    <row r="3765" spans="1:40" x14ac:dyDescent="0.25">
      <c r="A3765" t="str">
        <f>"20190303161947454"</f>
        <v>20190303161947454</v>
      </c>
      <c r="B3765" t="str">
        <f>"1551601187446352"</f>
        <v>1551601187446352</v>
      </c>
      <c r="C3765" t="s">
        <v>40</v>
      </c>
      <c r="D3765">
        <v>4.4208170000000004</v>
      </c>
      <c r="E3765">
        <v>0.49065120000000001</v>
      </c>
      <c r="F3765" t="s">
        <v>57</v>
      </c>
      <c r="G3765">
        <v>-551.06200000000001</v>
      </c>
      <c r="H3765">
        <v>0.40336050000000001</v>
      </c>
      <c r="I3765">
        <v>278.62329999999997</v>
      </c>
      <c r="J3765">
        <v>-399.38159999999999</v>
      </c>
      <c r="K3765">
        <v>1.121397</v>
      </c>
      <c r="L3765">
        <v>283.78989999999999</v>
      </c>
      <c r="M3765">
        <v>-0.99991629999999998</v>
      </c>
      <c r="N3765">
        <v>-1.2654459999999999E-2</v>
      </c>
      <c r="O3765">
        <v>-2.668241E-3</v>
      </c>
      <c r="P3765">
        <v>-0.98740620000000001</v>
      </c>
      <c r="Q3765">
        <v>0.158028</v>
      </c>
      <c r="R3765">
        <v>-7.4897439999999996E-3</v>
      </c>
      <c r="S3765">
        <v>-3.0397949999999998</v>
      </c>
      <c r="T3765">
        <v>-1.4361499999999999E-2</v>
      </c>
      <c r="U3765">
        <v>-0.103363</v>
      </c>
      <c r="V3765">
        <v>-4.8477650000000004E-3</v>
      </c>
      <c r="W3765">
        <v>0.1705112</v>
      </c>
      <c r="X3765">
        <v>0.98534379999999999</v>
      </c>
      <c r="Y3765">
        <v>-3.1315410000000002E-2</v>
      </c>
      <c r="Z3765">
        <v>-2.9331730000000002E-4</v>
      </c>
      <c r="AA3765">
        <v>0.99950950000000005</v>
      </c>
      <c r="AB3765">
        <v>28</v>
      </c>
      <c r="AC3765">
        <v>-151.68039999999999</v>
      </c>
      <c r="AD3765">
        <v>-0.71803649999999997</v>
      </c>
      <c r="AE3765">
        <v>-5.1666000000000096</v>
      </c>
      <c r="AF3765">
        <v>-4.7617227215433102</v>
      </c>
      <c r="AG3765">
        <v>-0.71803649999999997</v>
      </c>
      <c r="AH3765">
        <v>151.690251427812</v>
      </c>
      <c r="AI3765">
        <v>90.271078060930293</v>
      </c>
      <c r="AJ3765">
        <v>91.797986693432804</v>
      </c>
      <c r="AK3765">
        <v>151.76666945652099</v>
      </c>
      <c r="AL3765">
        <v>80.182457247224505</v>
      </c>
      <c r="AM3765">
        <v>90.2818856053687</v>
      </c>
      <c r="AN3765">
        <v>0.99999998717468697</v>
      </c>
    </row>
    <row r="3766" spans="1:40" x14ac:dyDescent="0.25">
      <c r="A3766" t="str">
        <f>"20190303161947477"</f>
        <v>20190303161947477</v>
      </c>
      <c r="B3766" t="str">
        <f>"1551601187465872"</f>
        <v>1551601187465872</v>
      </c>
      <c r="C3766" t="s">
        <v>40</v>
      </c>
      <c r="D3766">
        <v>4.406968</v>
      </c>
      <c r="E3766">
        <v>0.49087550000000002</v>
      </c>
      <c r="F3766" t="s">
        <v>57</v>
      </c>
      <c r="G3766">
        <v>-551.06200000000001</v>
      </c>
      <c r="H3766">
        <v>0.3577535</v>
      </c>
      <c r="I3766">
        <v>278.83190000000002</v>
      </c>
      <c r="J3766">
        <v>-399.65949999999998</v>
      </c>
      <c r="K3766">
        <v>1.1213900000000001</v>
      </c>
      <c r="L3766">
        <v>283.78910000000002</v>
      </c>
      <c r="M3766">
        <v>-0.99991640000000004</v>
      </c>
      <c r="N3766">
        <v>-1.265264E-2</v>
      </c>
      <c r="O3766">
        <v>-2.666575E-3</v>
      </c>
      <c r="P3766">
        <v>-0.98757499999999998</v>
      </c>
      <c r="Q3766">
        <v>0.156962299999999</v>
      </c>
      <c r="R3766">
        <v>-7.6440079999999999E-3</v>
      </c>
      <c r="S3766">
        <v>-3.0399479999999999</v>
      </c>
      <c r="T3766">
        <v>-1.530313E-2</v>
      </c>
      <c r="U3766">
        <v>-9.9365229999999999E-2</v>
      </c>
      <c r="V3766">
        <v>-5.0037479999999997E-3</v>
      </c>
      <c r="W3766">
        <v>0.1694454</v>
      </c>
      <c r="X3766">
        <v>0.98552689999999998</v>
      </c>
      <c r="Y3766">
        <v>-3.0002310000000001E-2</v>
      </c>
      <c r="Z3766">
        <v>-2.856747E-4</v>
      </c>
      <c r="AA3766">
        <v>0.99954980000000004</v>
      </c>
      <c r="AB3766">
        <v>28</v>
      </c>
      <c r="AC3766">
        <v>-151.4025</v>
      </c>
      <c r="AD3766">
        <v>-0.76363649999999905</v>
      </c>
      <c r="AE3766">
        <v>-4.9572000000000003</v>
      </c>
      <c r="AF3766">
        <v>-4.5533082232279298</v>
      </c>
      <c r="AG3766">
        <v>-0.76363649999999905</v>
      </c>
      <c r="AH3766">
        <v>151.411333741438</v>
      </c>
      <c r="AI3766">
        <v>90.288835758049203</v>
      </c>
      <c r="AJ3766">
        <v>91.722504756974004</v>
      </c>
      <c r="AK3766">
        <v>151.48170761461901</v>
      </c>
      <c r="AL3766">
        <v>80.244425238777495</v>
      </c>
      <c r="AM3766">
        <v>90.290901424096802</v>
      </c>
      <c r="AN3766">
        <v>1.0000000258494</v>
      </c>
    </row>
    <row r="3767" spans="1:40" x14ac:dyDescent="0.25">
      <c r="A3767" t="str">
        <f>"20190303161947499"</f>
        <v>20190303161947499</v>
      </c>
      <c r="B3767" t="str">
        <f>"1551601187486370"</f>
        <v>1551601187486370</v>
      </c>
      <c r="C3767" t="s">
        <v>40</v>
      </c>
      <c r="D3767">
        <v>4.3530480000000003</v>
      </c>
      <c r="E3767">
        <v>0.4910175</v>
      </c>
      <c r="F3767" t="s">
        <v>57</v>
      </c>
      <c r="G3767">
        <v>-551.06190000000004</v>
      </c>
      <c r="H3767">
        <v>0.14473169999999999</v>
      </c>
      <c r="I3767">
        <v>278.91050000000001</v>
      </c>
      <c r="J3767">
        <v>-399.9298</v>
      </c>
      <c r="K3767">
        <v>1.1213919999999999</v>
      </c>
      <c r="L3767">
        <v>283.78840000000002</v>
      </c>
      <c r="M3767">
        <v>-0.99991660000000004</v>
      </c>
      <c r="N3767">
        <v>-1.26508E-2</v>
      </c>
      <c r="O3767">
        <v>-2.6680919999999999E-3</v>
      </c>
      <c r="P3767">
        <v>-0.98757649999999997</v>
      </c>
      <c r="Q3767">
        <v>0.15696179999999901</v>
      </c>
      <c r="R3767">
        <v>-7.4866489999999997E-3</v>
      </c>
      <c r="S3767">
        <v>-3.0401310000000001</v>
      </c>
      <c r="T3767">
        <v>-1.960945E-2</v>
      </c>
      <c r="U3767">
        <v>-9.7961430000000002E-2</v>
      </c>
      <c r="V3767">
        <v>-4.844442E-3</v>
      </c>
      <c r="W3767">
        <v>0.1694436</v>
      </c>
      <c r="X3767">
        <v>0.98552799999999996</v>
      </c>
      <c r="Y3767">
        <v>-2.9537250000000001E-2</v>
      </c>
      <c r="Z3767">
        <v>-2.986733E-4</v>
      </c>
      <c r="AA3767">
        <v>0.9995636</v>
      </c>
      <c r="AB3767">
        <v>28</v>
      </c>
      <c r="AC3767">
        <v>-151.13210000000001</v>
      </c>
      <c r="AD3767">
        <v>-0.97666030000000004</v>
      </c>
      <c r="AE3767">
        <v>-4.8779000000000101</v>
      </c>
      <c r="AF3767">
        <v>-4.4744294277335603</v>
      </c>
      <c r="AG3767">
        <v>-0.97666030000000004</v>
      </c>
      <c r="AH3767">
        <v>151.13827254804099</v>
      </c>
      <c r="AI3767">
        <v>90.370079848963798</v>
      </c>
      <c r="AJ3767">
        <v>91.695739006410705</v>
      </c>
      <c r="AK3767">
        <v>151.207644690509</v>
      </c>
      <c r="AL3767">
        <v>80.244529831602705</v>
      </c>
      <c r="AM3767">
        <v>90.281639735375407</v>
      </c>
      <c r="AN3767">
        <v>1.00000002049162</v>
      </c>
    </row>
    <row r="3768" spans="1:40" x14ac:dyDescent="0.25">
      <c r="A3768" t="str">
        <f>"20190303161947521"</f>
        <v>20190303161947521</v>
      </c>
      <c r="B3768" t="str">
        <f>"1551601187516624"</f>
        <v>1551601187516624</v>
      </c>
      <c r="C3768" t="s">
        <v>40</v>
      </c>
      <c r="D3768">
        <v>4.4032249999999999</v>
      </c>
      <c r="E3768">
        <v>0.49117240000000001</v>
      </c>
      <c r="F3768" t="s">
        <v>57</v>
      </c>
      <c r="G3768">
        <v>-551.06190000000004</v>
      </c>
      <c r="H3768">
        <v>0.13202659999999999</v>
      </c>
      <c r="I3768">
        <v>278.99290000000002</v>
      </c>
      <c r="J3768">
        <v>-400.21170000000001</v>
      </c>
      <c r="K3768">
        <v>1.1213930000000001</v>
      </c>
      <c r="L3768">
        <v>283.7876</v>
      </c>
      <c r="M3768">
        <v>-0.99991649999999999</v>
      </c>
      <c r="N3768">
        <v>-1.264885E-2</v>
      </c>
      <c r="O3768">
        <v>-2.6656010000000001E-3</v>
      </c>
      <c r="P3768">
        <v>-0.98755999999999999</v>
      </c>
      <c r="Q3768">
        <v>0.1570811</v>
      </c>
      <c r="R3768">
        <v>-7.1316280000000001E-3</v>
      </c>
      <c r="S3768">
        <v>-3.0401609999999999</v>
      </c>
      <c r="T3768">
        <v>-1.9900319999999999E-2</v>
      </c>
      <c r="U3768">
        <v>-9.6466060000000006E-2</v>
      </c>
      <c r="V3768">
        <v>-4.4928370000000004E-3</v>
      </c>
      <c r="W3768">
        <v>0.16956060000000001</v>
      </c>
      <c r="X3768">
        <v>0.98550950000000004</v>
      </c>
      <c r="Y3768">
        <v>-2.9048250000000001E-2</v>
      </c>
      <c r="Z3768">
        <v>-2.9508680000000002E-4</v>
      </c>
      <c r="AA3768">
        <v>0.99957790000000002</v>
      </c>
      <c r="AB3768">
        <v>28</v>
      </c>
      <c r="AC3768">
        <v>-150.8502</v>
      </c>
      <c r="AD3768">
        <v>-0.98936639999999998</v>
      </c>
      <c r="AE3768">
        <v>-4.7946999999999704</v>
      </c>
      <c r="AF3768">
        <v>-4.3923556216760602</v>
      </c>
      <c r="AG3768">
        <v>-0.98936639999999998</v>
      </c>
      <c r="AH3768">
        <v>150.855963205492</v>
      </c>
      <c r="AI3768">
        <v>90.375601291281896</v>
      </c>
      <c r="AJ3768">
        <v>91.667765421995298</v>
      </c>
      <c r="AK3768">
        <v>150.92313695533099</v>
      </c>
      <c r="AL3768">
        <v>80.237727386211105</v>
      </c>
      <c r="AM3768">
        <v>90.2612037882854</v>
      </c>
      <c r="AN3768">
        <v>0.99999997862345902</v>
      </c>
    </row>
    <row r="3769" spans="1:40" x14ac:dyDescent="0.25">
      <c r="A3769" t="str">
        <f>"20190303161947543"</f>
        <v>20190303161947543</v>
      </c>
      <c r="B3769" t="str">
        <f>"1551601187536144"</f>
        <v>1551601187536144</v>
      </c>
      <c r="C3769" t="s">
        <v>40</v>
      </c>
      <c r="D3769">
        <v>4.3164360000000004</v>
      </c>
      <c r="E3769">
        <v>0.50849849999999996</v>
      </c>
      <c r="F3769" t="s">
        <v>57</v>
      </c>
      <c r="G3769">
        <v>-551.06190000000004</v>
      </c>
      <c r="H3769">
        <v>8.933932E-2</v>
      </c>
      <c r="I3769">
        <v>279.09070000000003</v>
      </c>
      <c r="J3769">
        <v>-400.4914</v>
      </c>
      <c r="K3769">
        <v>1.1213930000000001</v>
      </c>
      <c r="L3769">
        <v>283.7869</v>
      </c>
      <c r="M3769">
        <v>-0.99991640000000004</v>
      </c>
      <c r="N3769">
        <v>-1.264697E-2</v>
      </c>
      <c r="O3769">
        <v>-2.672439E-3</v>
      </c>
      <c r="P3769">
        <v>-0.98758800000000002</v>
      </c>
      <c r="Q3769">
        <v>0.15690209999999999</v>
      </c>
      <c r="R3769">
        <v>-7.1888129999999996E-3</v>
      </c>
      <c r="S3769">
        <v>-3.0404049999999998</v>
      </c>
      <c r="T3769">
        <v>-2.0799519999999998E-2</v>
      </c>
      <c r="U3769">
        <v>-9.4665529999999998E-2</v>
      </c>
      <c r="V3769">
        <v>-4.5413839999999999E-3</v>
      </c>
      <c r="W3769">
        <v>0.16938010000000001</v>
      </c>
      <c r="X3769">
        <v>0.98554030000000004</v>
      </c>
      <c r="Y3769">
        <v>-2.8447420000000001E-2</v>
      </c>
      <c r="Z3769">
        <v>-2.927386E-4</v>
      </c>
      <c r="AA3769">
        <v>0.99959520000000002</v>
      </c>
      <c r="AB3769">
        <v>28</v>
      </c>
      <c r="AC3769">
        <v>-150.57050000000001</v>
      </c>
      <c r="AD3769">
        <v>-1.03205368</v>
      </c>
      <c r="AE3769">
        <v>-4.69619999999997</v>
      </c>
      <c r="AF3769">
        <v>-4.2935590246508601</v>
      </c>
      <c r="AG3769">
        <v>-1.03205368</v>
      </c>
      <c r="AH3769">
        <v>150.57544619214599</v>
      </c>
      <c r="AI3769">
        <v>90.392543220925802</v>
      </c>
      <c r="AJ3769">
        <v>91.633308601359801</v>
      </c>
      <c r="AK3769">
        <v>150.64018315131099</v>
      </c>
      <c r="AL3769">
        <v>80.248220905729795</v>
      </c>
      <c r="AM3769">
        <v>90.264017914516998</v>
      </c>
      <c r="AN3769">
        <v>0.99999996268436697</v>
      </c>
    </row>
    <row r="3770" spans="1:40" x14ac:dyDescent="0.25">
      <c r="A3770" t="str">
        <f>"20190303161947565"</f>
        <v>20190303161947565</v>
      </c>
      <c r="B3770" t="str">
        <f>"1551601187556640"</f>
        <v>1551601187556640</v>
      </c>
      <c r="C3770" t="s">
        <v>40</v>
      </c>
      <c r="D3770">
        <v>4.2521990000000001</v>
      </c>
      <c r="E3770">
        <v>0.52280470000000001</v>
      </c>
      <c r="F3770" t="s">
        <v>56</v>
      </c>
      <c r="G3770">
        <v>-419.6617</v>
      </c>
      <c r="H3770" s="1">
        <v>3.9688239999999998E-6</v>
      </c>
      <c r="I3770">
        <v>284.053</v>
      </c>
      <c r="J3770">
        <v>-400.75979999999998</v>
      </c>
      <c r="K3770">
        <v>1.121402</v>
      </c>
      <c r="L3770">
        <v>283.78609999999998</v>
      </c>
      <c r="M3770">
        <v>-0.99991660000000004</v>
      </c>
      <c r="N3770">
        <v>-1.2645170000000001E-2</v>
      </c>
      <c r="O3770">
        <v>-2.6660690000000001E-3</v>
      </c>
      <c r="P3770">
        <v>-0.98758829999999997</v>
      </c>
      <c r="Q3770">
        <v>0.156911299999999</v>
      </c>
      <c r="R3770">
        <v>-6.9621199999999996E-3</v>
      </c>
      <c r="S3770">
        <v>-3.0665279999999999</v>
      </c>
      <c r="T3770">
        <v>-0.17938019999999999</v>
      </c>
      <c r="U3770">
        <v>4.2572020000000002E-2</v>
      </c>
      <c r="V3770">
        <v>-4.3228529999999998E-3</v>
      </c>
      <c r="W3770">
        <v>0.16938719999999999</v>
      </c>
      <c r="X3770">
        <v>0.98554010000000003</v>
      </c>
      <c r="Y3770">
        <v>1.6510319999999998E-2</v>
      </c>
      <c r="Z3770">
        <v>7.0909E-4</v>
      </c>
      <c r="AA3770">
        <v>0.99986339999999996</v>
      </c>
      <c r="AB3770">
        <v>28</v>
      </c>
      <c r="AC3770">
        <v>-18.901900000000001</v>
      </c>
      <c r="AD3770">
        <v>-1.1213980311759999</v>
      </c>
      <c r="AE3770">
        <v>0.26690000000002101</v>
      </c>
      <c r="AF3770">
        <v>0.31618418563334499</v>
      </c>
      <c r="AG3770">
        <v>-1.1213980311759999</v>
      </c>
      <c r="AH3770">
        <v>18.834840948137199</v>
      </c>
      <c r="AI3770">
        <v>93.406803169467807</v>
      </c>
      <c r="AJ3770">
        <v>89.038254797863004</v>
      </c>
      <c r="AK3770">
        <v>18.8708436357572</v>
      </c>
      <c r="AL3770">
        <v>80.247808505281</v>
      </c>
      <c r="AM3770">
        <v>90.251313613680495</v>
      </c>
      <c r="AN3770">
        <v>0.99999999964495401</v>
      </c>
    </row>
    <row r="3771" spans="1:40" x14ac:dyDescent="0.25">
      <c r="A3771" t="str">
        <f>"20190303161947587"</f>
        <v>20190303161947587</v>
      </c>
      <c r="B3771" t="str">
        <f>"1551601187576160"</f>
        <v>1551601187576160</v>
      </c>
      <c r="C3771" t="s">
        <v>40</v>
      </c>
      <c r="D3771">
        <v>4.2492109999999998</v>
      </c>
      <c r="E3771">
        <v>0.52420359999999999</v>
      </c>
      <c r="F3771" t="s">
        <v>42</v>
      </c>
      <c r="G3771">
        <v>-401.68090000000001</v>
      </c>
      <c r="H3771">
        <v>0.92959650000000005</v>
      </c>
      <c r="I3771">
        <v>283.83190000000002</v>
      </c>
      <c r="J3771">
        <v>-401.04050000000001</v>
      </c>
      <c r="K3771">
        <v>1.1214010000000001</v>
      </c>
      <c r="L3771">
        <v>283.78539999999998</v>
      </c>
      <c r="M3771">
        <v>-0.99991669999999999</v>
      </c>
      <c r="N3771">
        <v>-1.264327E-2</v>
      </c>
      <c r="O3771">
        <v>-2.6716000000000001E-3</v>
      </c>
      <c r="P3771">
        <v>-0.98758179999999995</v>
      </c>
      <c r="Q3771">
        <v>0.15695770000000001</v>
      </c>
      <c r="R3771">
        <v>-6.8548309999999996E-3</v>
      </c>
      <c r="S3771">
        <v>-3.142792</v>
      </c>
      <c r="T3771">
        <v>-0.65451289999999995</v>
      </c>
      <c r="U3771">
        <v>0.1556091</v>
      </c>
      <c r="V3771">
        <v>-4.2086249999999997E-3</v>
      </c>
      <c r="W3771">
        <v>0.16943179999999999</v>
      </c>
      <c r="X3771">
        <v>0.98553290000000005</v>
      </c>
      <c r="Y3771">
        <v>5.0912859999999997E-2</v>
      </c>
      <c r="Z3771">
        <v>6.0845569999999896E-3</v>
      </c>
      <c r="AA3771">
        <v>0.99868460000000003</v>
      </c>
      <c r="AB3771">
        <v>28</v>
      </c>
      <c r="AC3771">
        <v>-0.64039999999999897</v>
      </c>
      <c r="AD3771">
        <v>-0.19180449999999999</v>
      </c>
      <c r="AE3771">
        <v>4.6500000000037199E-2</v>
      </c>
      <c r="AF3771">
        <v>4.4261247272453799E-2</v>
      </c>
      <c r="AG3771">
        <v>-0.19180449999999999</v>
      </c>
      <c r="AH3771">
        <v>0.58781985592140595</v>
      </c>
      <c r="AI3771">
        <v>108.023696767335</v>
      </c>
      <c r="AJ3771">
        <v>85.693908366619297</v>
      </c>
      <c r="AK3771">
        <v>0.61990338541245704</v>
      </c>
      <c r="AL3771">
        <v>80.245215364977099</v>
      </c>
      <c r="AM3771">
        <v>90.244674717862793</v>
      </c>
      <c r="AN3771">
        <v>0.99999997217902004</v>
      </c>
    </row>
    <row r="3772" spans="1:40" x14ac:dyDescent="0.25">
      <c r="A3772" t="str">
        <f>"20190303161947610"</f>
        <v>20190303161947610</v>
      </c>
      <c r="B3772" t="str">
        <f>"1551601187606417"</f>
        <v>1551601187606417</v>
      </c>
      <c r="C3772" t="s">
        <v>40</v>
      </c>
      <c r="D3772">
        <v>4.3311859999999998</v>
      </c>
      <c r="E3772">
        <v>0.52529079999999995</v>
      </c>
      <c r="F3772" t="s">
        <v>42</v>
      </c>
      <c r="G3772">
        <v>-401.91849999999999</v>
      </c>
      <c r="H3772">
        <v>0.90604090000000004</v>
      </c>
      <c r="I3772">
        <v>283.83170000000001</v>
      </c>
      <c r="J3772">
        <v>-401.31569999999999</v>
      </c>
      <c r="K3772">
        <v>1.1214029999999999</v>
      </c>
      <c r="L3772">
        <v>283.78469999999999</v>
      </c>
      <c r="M3772">
        <v>-0.99991660000000004</v>
      </c>
      <c r="N3772">
        <v>-1.264148E-2</v>
      </c>
      <c r="O3772">
        <v>-2.6660379999999999E-3</v>
      </c>
      <c r="P3772">
        <v>-0.98755720000000002</v>
      </c>
      <c r="Q3772">
        <v>0.15711510000000001</v>
      </c>
      <c r="R3772">
        <v>-6.7742899999999997E-3</v>
      </c>
      <c r="S3772">
        <v>-3.16214</v>
      </c>
      <c r="T3772">
        <v>-0.77556899999999995</v>
      </c>
      <c r="U3772">
        <v>0.166687</v>
      </c>
      <c r="V3772">
        <v>-4.1347320000000003E-3</v>
      </c>
      <c r="W3772">
        <v>0.1695874</v>
      </c>
      <c r="X3772">
        <v>0.98550649999999995</v>
      </c>
      <c r="Y3772">
        <v>5.3564210000000001E-2</v>
      </c>
      <c r="Z3772">
        <v>7.4232669999999999E-3</v>
      </c>
      <c r="AA3772">
        <v>0.9985368</v>
      </c>
      <c r="AB3772">
        <v>28</v>
      </c>
      <c r="AC3772">
        <v>-0.602800000000002</v>
      </c>
      <c r="AD3772">
        <v>-0.2153621</v>
      </c>
      <c r="AE3772">
        <v>4.7000000000025403E-2</v>
      </c>
      <c r="AF3772">
        <v>4.3134556006785202E-2</v>
      </c>
      <c r="AG3772">
        <v>-0.2153621</v>
      </c>
      <c r="AH3772">
        <v>0.53481980766761095</v>
      </c>
      <c r="AI3772">
        <v>111.869454173291</v>
      </c>
      <c r="AJ3772">
        <v>85.388932765110894</v>
      </c>
      <c r="AK3772">
        <v>0.57816403443307696</v>
      </c>
      <c r="AL3772">
        <v>80.236169720783806</v>
      </c>
      <c r="AM3772">
        <v>90.240385327749095</v>
      </c>
      <c r="AN3772">
        <v>1.0000000218948599</v>
      </c>
    </row>
    <row r="3773" spans="1:40" x14ac:dyDescent="0.25">
      <c r="A3773" t="str">
        <f>"20190303161947631"</f>
        <v>20190303161947631</v>
      </c>
      <c r="B3773" t="str">
        <f>"1551601187625936"</f>
        <v>1551601187625936</v>
      </c>
      <c r="C3773" t="s">
        <v>40</v>
      </c>
      <c r="D3773">
        <v>4.3131309999999896</v>
      </c>
      <c r="E3773">
        <v>0.52529590000000004</v>
      </c>
      <c r="F3773" t="s">
        <v>42</v>
      </c>
      <c r="G3773">
        <v>-402.16390000000001</v>
      </c>
      <c r="H3773">
        <v>0.89947889999999997</v>
      </c>
      <c r="I3773">
        <v>283.83190000000002</v>
      </c>
      <c r="J3773">
        <v>-401.59370000000001</v>
      </c>
      <c r="K3773">
        <v>1.1214</v>
      </c>
      <c r="L3773">
        <v>283.78390000000002</v>
      </c>
      <c r="M3773">
        <v>-0.99991660000000004</v>
      </c>
      <c r="N3773">
        <v>-1.263977E-2</v>
      </c>
      <c r="O3773">
        <v>-2.668733E-3</v>
      </c>
      <c r="P3773">
        <v>-0.98755789999999999</v>
      </c>
      <c r="Q3773">
        <v>0.15711069999999999</v>
      </c>
      <c r="R3773">
        <v>-6.7537250000000004E-3</v>
      </c>
      <c r="S3773">
        <v>-3.1710509999999998</v>
      </c>
      <c r="T3773">
        <v>-0.82973090000000005</v>
      </c>
      <c r="U3773">
        <v>0.17550660000000001</v>
      </c>
      <c r="V3773">
        <v>-4.111239E-3</v>
      </c>
      <c r="W3773">
        <v>0.16958119999999999</v>
      </c>
      <c r="X3773">
        <v>0.98550769999999999</v>
      </c>
      <c r="Y3773">
        <v>5.5876009999999997E-2</v>
      </c>
      <c r="Z3773">
        <v>8.1965630000000005E-3</v>
      </c>
      <c r="AA3773">
        <v>0.99840410000000002</v>
      </c>
      <c r="AB3773">
        <v>28</v>
      </c>
      <c r="AC3773">
        <v>-0.57019999999999904</v>
      </c>
      <c r="AD3773">
        <v>-0.22192109999999901</v>
      </c>
      <c r="AE3773">
        <v>4.8000000000001798E-2</v>
      </c>
      <c r="AF3773">
        <v>4.3046976660988001E-2</v>
      </c>
      <c r="AG3773">
        <v>-0.22192109999999901</v>
      </c>
      <c r="AH3773">
        <v>0.49553635534993201</v>
      </c>
      <c r="AI3773">
        <v>114.044514165813</v>
      </c>
      <c r="AJ3773">
        <v>85.035210022062003</v>
      </c>
      <c r="AK3773">
        <v>0.54466347068474796</v>
      </c>
      <c r="AL3773">
        <v>80.236530513957902</v>
      </c>
      <c r="AM3773">
        <v>90.239019214985007</v>
      </c>
      <c r="AN3773">
        <v>1.00000005621942</v>
      </c>
    </row>
    <row r="3774" spans="1:40" x14ac:dyDescent="0.25">
      <c r="A3774" t="str">
        <f>"20190303161947655"</f>
        <v>20190303161947655</v>
      </c>
      <c r="B3774" t="str">
        <f>"1551601187646436"</f>
        <v>1551601187646436</v>
      </c>
      <c r="C3774" t="s">
        <v>40</v>
      </c>
      <c r="D3774">
        <v>4.2794309999999998</v>
      </c>
      <c r="E3774">
        <v>0.52502090000000001</v>
      </c>
      <c r="F3774" t="s">
        <v>42</v>
      </c>
      <c r="G3774">
        <v>-402.41390000000001</v>
      </c>
      <c r="H3774">
        <v>0.90331939999999999</v>
      </c>
      <c r="I3774">
        <v>283.8295</v>
      </c>
      <c r="J3774">
        <v>-401.87650000000002</v>
      </c>
      <c r="K3774">
        <v>1.1214</v>
      </c>
      <c r="L3774">
        <v>283.78309999999999</v>
      </c>
      <c r="M3774">
        <v>-0.99991660000000004</v>
      </c>
      <c r="N3774">
        <v>-1.263794E-2</v>
      </c>
      <c r="O3774">
        <v>-2.67133E-3</v>
      </c>
      <c r="P3774">
        <v>-0.98756080000000002</v>
      </c>
      <c r="Q3774">
        <v>0.15709500000000001</v>
      </c>
      <c r="R3774">
        <v>-6.7113629999999997E-3</v>
      </c>
      <c r="S3774">
        <v>-3.1732480000000001</v>
      </c>
      <c r="T3774">
        <v>-0.84378299999999995</v>
      </c>
      <c r="U3774">
        <v>0.1763306</v>
      </c>
      <c r="V3774">
        <v>-4.0656700000000004E-3</v>
      </c>
      <c r="W3774">
        <v>0.16956389999999999</v>
      </c>
      <c r="X3774">
        <v>0.98551080000000002</v>
      </c>
      <c r="Y3774">
        <v>5.6028660000000001E-2</v>
      </c>
      <c r="Z3774">
        <v>8.3417379999999996E-3</v>
      </c>
      <c r="AA3774">
        <v>0.99839429999999996</v>
      </c>
      <c r="AB3774">
        <v>28</v>
      </c>
      <c r="AC3774">
        <v>-0.537399999999991</v>
      </c>
      <c r="AD3774">
        <v>-0.21808060000000001</v>
      </c>
      <c r="AE3774">
        <v>4.6400000000005499E-2</v>
      </c>
      <c r="AF3774">
        <v>4.1114861142634899E-2</v>
      </c>
      <c r="AG3774">
        <v>-0.21808060000000001</v>
      </c>
      <c r="AH3774">
        <v>0.46178969370218298</v>
      </c>
      <c r="AI3774">
        <v>115.19183308094399</v>
      </c>
      <c r="AJ3774">
        <v>84.912158242123596</v>
      </c>
      <c r="AK3774">
        <v>0.51234685625335297</v>
      </c>
      <c r="AL3774">
        <v>80.237535657801104</v>
      </c>
      <c r="AM3774">
        <v>90.236369211156898</v>
      </c>
      <c r="AN3774">
        <v>0.99999999138619899</v>
      </c>
    </row>
    <row r="3775" spans="1:40" x14ac:dyDescent="0.25">
      <c r="A3775" t="str">
        <f>"20190303161947677"</f>
        <v>20190303161947677</v>
      </c>
      <c r="B3775" t="str">
        <f>"1551601187665952"</f>
        <v>1551601187665952</v>
      </c>
      <c r="C3775" t="s">
        <v>40</v>
      </c>
      <c r="D3775">
        <v>4.3285839999999904</v>
      </c>
      <c r="E3775">
        <v>0.52514419999999995</v>
      </c>
      <c r="F3775" t="s">
        <v>42</v>
      </c>
      <c r="G3775">
        <v>-402.6651</v>
      </c>
      <c r="H3775">
        <v>0.90975609999999996</v>
      </c>
      <c r="I3775">
        <v>283.82639999999998</v>
      </c>
      <c r="J3775">
        <v>-402.1558</v>
      </c>
      <c r="K3775">
        <v>1.1214010000000001</v>
      </c>
      <c r="L3775">
        <v>283.7824</v>
      </c>
      <c r="M3775">
        <v>-0.99991669999999999</v>
      </c>
      <c r="N3775">
        <v>-1.2636039999999999E-2</v>
      </c>
      <c r="O3775">
        <v>-2.6719320000000001E-3</v>
      </c>
      <c r="P3775">
        <v>-0.98758480000000004</v>
      </c>
      <c r="Q3775">
        <v>0.15699170000000001</v>
      </c>
      <c r="R3775">
        <v>-5.4763340000000002E-3</v>
      </c>
      <c r="S3775">
        <v>-3.1745000000000001</v>
      </c>
      <c r="T3775">
        <v>-0.85204650000000004</v>
      </c>
      <c r="U3775">
        <v>0.1734619</v>
      </c>
      <c r="V3775">
        <v>-2.8302779999999999E-3</v>
      </c>
      <c r="W3775">
        <v>0.16945859999999999</v>
      </c>
      <c r="X3775">
        <v>0.9855332</v>
      </c>
      <c r="Y3775">
        <v>5.5103480000000003E-2</v>
      </c>
      <c r="Z3775">
        <v>8.2870169999999903E-3</v>
      </c>
      <c r="AA3775">
        <v>0.99844630000000001</v>
      </c>
      <c r="AB3775">
        <v>28</v>
      </c>
      <c r="AC3775">
        <v>-0.50929999999999598</v>
      </c>
      <c r="AD3775">
        <v>-0.2116449</v>
      </c>
      <c r="AE3775">
        <v>4.3999999999982699E-2</v>
      </c>
      <c r="AF3775">
        <v>3.8723184482378298E-2</v>
      </c>
      <c r="AG3775">
        <v>-0.2116449</v>
      </c>
      <c r="AH3775">
        <v>0.434672871803226</v>
      </c>
      <c r="AI3775">
        <v>115.872711493811</v>
      </c>
      <c r="AJ3775">
        <v>84.909198085400504</v>
      </c>
      <c r="AK3775">
        <v>0.48500881867666101</v>
      </c>
      <c r="AL3775">
        <v>80.243657167699496</v>
      </c>
      <c r="AM3775">
        <v>90.164542948370098</v>
      </c>
      <c r="AN3775">
        <v>0.99999995794487695</v>
      </c>
    </row>
    <row r="3776" spans="1:40" x14ac:dyDescent="0.25">
      <c r="A3776" t="str">
        <f>"20190303161947700"</f>
        <v>20190303161947700</v>
      </c>
      <c r="B3776" t="str">
        <f>"1551601187696209"</f>
        <v>1551601187696209</v>
      </c>
      <c r="C3776" t="s">
        <v>40</v>
      </c>
      <c r="D3776">
        <v>4.2472709999999996</v>
      </c>
      <c r="E3776">
        <v>0.5263099</v>
      </c>
      <c r="F3776" t="s">
        <v>42</v>
      </c>
      <c r="G3776">
        <v>-402.916</v>
      </c>
      <c r="H3776">
        <v>0.91596250000000001</v>
      </c>
      <c r="I3776">
        <v>283.82459999999998</v>
      </c>
      <c r="J3776">
        <v>-402.4282</v>
      </c>
      <c r="K3776">
        <v>1.1214040000000001</v>
      </c>
      <c r="L3776">
        <v>283.7817</v>
      </c>
      <c r="M3776">
        <v>-0.99991669999999999</v>
      </c>
      <c r="N3776">
        <v>-1.26342E-2</v>
      </c>
      <c r="O3776">
        <v>-2.6712139999999999E-3</v>
      </c>
      <c r="P3776">
        <v>-0.98758380000000001</v>
      </c>
      <c r="Q3776">
        <v>0.1570348</v>
      </c>
      <c r="R3776">
        <v>-4.3025679999999997E-3</v>
      </c>
      <c r="S3776">
        <v>-3.1750790000000002</v>
      </c>
      <c r="T3776">
        <v>-0.85795759999999899</v>
      </c>
      <c r="U3776">
        <v>0.17565919999999999</v>
      </c>
      <c r="V3776">
        <v>-1.6577670000000001E-3</v>
      </c>
      <c r="W3776">
        <v>0.1694995</v>
      </c>
      <c r="X3776">
        <v>0.98552890000000004</v>
      </c>
      <c r="Y3776">
        <v>5.5730549999999997E-2</v>
      </c>
      <c r="Z3776">
        <v>8.4258909999999996E-3</v>
      </c>
      <c r="AA3776">
        <v>0.99841029999999997</v>
      </c>
      <c r="AB3776">
        <v>28</v>
      </c>
      <c r="AC3776">
        <v>-0.48779999999999202</v>
      </c>
      <c r="AD3776">
        <v>-0.2054415</v>
      </c>
      <c r="AE3776">
        <v>4.2899999999974597E-2</v>
      </c>
      <c r="AF3776">
        <v>3.7587118565156702E-2</v>
      </c>
      <c r="AG3776">
        <v>-0.2054415</v>
      </c>
      <c r="AH3776">
        <v>0.41469212995601801</v>
      </c>
      <c r="AI3776">
        <v>116.26102923719699</v>
      </c>
      <c r="AJ3776">
        <v>84.820941808345296</v>
      </c>
      <c r="AK3776">
        <v>0.46431515595739498</v>
      </c>
      <c r="AL3776">
        <v>80.241279991065596</v>
      </c>
      <c r="AM3776">
        <v>90.096377653594601</v>
      </c>
      <c r="AN3776">
        <v>1.0000000207134401</v>
      </c>
    </row>
    <row r="3777" spans="1:40" x14ac:dyDescent="0.25">
      <c r="A3777" t="str">
        <f>"20190303161947722"</f>
        <v>20190303161947722</v>
      </c>
      <c r="B3777" t="str">
        <f>"1551601187715729"</f>
        <v>1551601187715729</v>
      </c>
      <c r="C3777" t="s">
        <v>40</v>
      </c>
      <c r="D3777">
        <v>4.3941970000000001</v>
      </c>
      <c r="E3777">
        <v>0.526694199999999</v>
      </c>
      <c r="F3777" t="s">
        <v>42</v>
      </c>
      <c r="G3777">
        <v>-403.16680000000002</v>
      </c>
      <c r="H3777">
        <v>0.92238439999999999</v>
      </c>
      <c r="I3777">
        <v>283.82549999999998</v>
      </c>
      <c r="J3777">
        <v>-402.70979999999997</v>
      </c>
      <c r="K3777">
        <v>1.1214040000000001</v>
      </c>
      <c r="L3777">
        <v>283.78089999999997</v>
      </c>
      <c r="M3777">
        <v>-0.99991669999999999</v>
      </c>
      <c r="N3777">
        <v>-1.2632330000000001E-2</v>
      </c>
      <c r="O3777">
        <v>-2.668718E-3</v>
      </c>
      <c r="P3777">
        <v>-0.98760729999999997</v>
      </c>
      <c r="Q3777">
        <v>0.15691440000000001</v>
      </c>
      <c r="R3777">
        <v>-3.0961650000000001E-3</v>
      </c>
      <c r="S3777">
        <v>-3.1745909999999999</v>
      </c>
      <c r="T3777">
        <v>-0.85543040000000004</v>
      </c>
      <c r="U3777">
        <v>0.18716430000000001</v>
      </c>
      <c r="V3777">
        <v>-4.5426670000000001E-4</v>
      </c>
      <c r="W3777">
        <v>0.169377799999999</v>
      </c>
      <c r="X3777">
        <v>0.98555110000000001</v>
      </c>
      <c r="Y3777">
        <v>5.9224779999999998E-2</v>
      </c>
      <c r="Z3777">
        <v>8.8872269999999993E-3</v>
      </c>
      <c r="AA3777">
        <v>0.99820509999999996</v>
      </c>
      <c r="AB3777">
        <v>28</v>
      </c>
      <c r="AC3777">
        <v>-0.45700000000004998</v>
      </c>
      <c r="AD3777">
        <v>-0.19901959999999999</v>
      </c>
      <c r="AE3777">
        <v>4.4600000000002603E-2</v>
      </c>
      <c r="AF3777">
        <v>3.8573069501981097E-2</v>
      </c>
      <c r="AG3777">
        <v>-0.19901959999999999</v>
      </c>
      <c r="AH3777">
        <v>0.38462275013252301</v>
      </c>
      <c r="AI3777">
        <v>117.24205397799101</v>
      </c>
      <c r="AJ3777">
        <v>84.273066110099705</v>
      </c>
      <c r="AK3777">
        <v>0.434777348529647</v>
      </c>
      <c r="AL3777">
        <v>80.2483550652519</v>
      </c>
      <c r="AM3777">
        <v>90.026409145949003</v>
      </c>
      <c r="AN3777">
        <v>1.00000000810114</v>
      </c>
    </row>
    <row r="3778" spans="1:40" x14ac:dyDescent="0.25">
      <c r="A3778" t="str">
        <f>"20190303161947744"</f>
        <v>20190303161947744</v>
      </c>
      <c r="B3778" t="str">
        <f>"1551601187736225"</f>
        <v>1551601187736225</v>
      </c>
      <c r="C3778" t="s">
        <v>40</v>
      </c>
      <c r="D3778">
        <v>4.3502450000000001</v>
      </c>
      <c r="E3778">
        <v>0.52759699999999998</v>
      </c>
      <c r="F3778" t="s">
        <v>42</v>
      </c>
      <c r="G3778">
        <v>-403.41789999999997</v>
      </c>
      <c r="H3778">
        <v>0.92910459999999995</v>
      </c>
      <c r="I3778">
        <v>283.82389999999998</v>
      </c>
      <c r="J3778">
        <v>-402.9794</v>
      </c>
      <c r="K3778">
        <v>1.1213979999999999</v>
      </c>
      <c r="L3778">
        <v>283.78030000000001</v>
      </c>
      <c r="M3778">
        <v>-0.99991669999999999</v>
      </c>
      <c r="N3778">
        <v>-1.2630600000000001E-2</v>
      </c>
      <c r="O3778">
        <v>-2.674142E-3</v>
      </c>
      <c r="P3778">
        <v>-0.98760420000000004</v>
      </c>
      <c r="Q3778">
        <v>0.1569545</v>
      </c>
      <c r="R3778">
        <v>-1.878687E-3</v>
      </c>
      <c r="S3778">
        <v>-3.175262</v>
      </c>
      <c r="T3778">
        <v>-0.862299699999999</v>
      </c>
      <c r="U3778">
        <v>0.19232179999999999</v>
      </c>
      <c r="V3778">
        <v>7.7018360000000001E-4</v>
      </c>
      <c r="W3778">
        <v>0.16941629999999999</v>
      </c>
      <c r="X3778">
        <v>0.98554430000000004</v>
      </c>
      <c r="Y3778">
        <v>6.0741320000000001E-2</v>
      </c>
      <c r="Z3778">
        <v>9.1645730000000005E-3</v>
      </c>
      <c r="AA3778">
        <v>0.99811150000000004</v>
      </c>
      <c r="AB3778">
        <v>28</v>
      </c>
      <c r="AC3778">
        <v>-0.43849999999997602</v>
      </c>
      <c r="AD3778">
        <v>-0.192293399999999</v>
      </c>
      <c r="AE3778">
        <v>4.3599999999969399E-2</v>
      </c>
      <c r="AF3778">
        <v>3.7610653638889303E-2</v>
      </c>
      <c r="AG3778">
        <v>-0.192293399999999</v>
      </c>
      <c r="AH3778">
        <v>0.368257505902853</v>
      </c>
      <c r="AI3778">
        <v>117.450469516545</v>
      </c>
      <c r="AJ3778">
        <v>84.168521592904398</v>
      </c>
      <c r="AK3778">
        <v>0.41713894999687301</v>
      </c>
      <c r="AL3778">
        <v>80.246116963251595</v>
      </c>
      <c r="AM3778">
        <v>89.955224477735797</v>
      </c>
      <c r="AN3778">
        <v>1.0000000215754701</v>
      </c>
    </row>
    <row r="3779" spans="1:40" x14ac:dyDescent="0.25">
      <c r="A3779" t="str">
        <f>"20190303161947766"</f>
        <v>20190303161947766</v>
      </c>
      <c r="B3779" t="str">
        <f>"1551601187756278"</f>
        <v>1551601187756278</v>
      </c>
      <c r="C3779" t="s">
        <v>40</v>
      </c>
      <c r="D3779">
        <v>4.3158250000000002</v>
      </c>
      <c r="E3779">
        <v>0.53742239999999997</v>
      </c>
      <c r="F3779" t="s">
        <v>42</v>
      </c>
      <c r="G3779">
        <v>-403.66730000000001</v>
      </c>
      <c r="H3779">
        <v>0.93259760000000003</v>
      </c>
      <c r="I3779">
        <v>283.82440000000003</v>
      </c>
      <c r="J3779">
        <v>-403.25439999999998</v>
      </c>
      <c r="K3779">
        <v>1.121397</v>
      </c>
      <c r="L3779">
        <v>283.77960000000002</v>
      </c>
      <c r="M3779">
        <v>-0.99991669999999999</v>
      </c>
      <c r="N3779">
        <v>-1.262885E-2</v>
      </c>
      <c r="O3779">
        <v>-2.6683560000000002E-3</v>
      </c>
      <c r="P3779">
        <v>-0.98762070000000002</v>
      </c>
      <c r="Q3779">
        <v>0.1568601</v>
      </c>
      <c r="R3779">
        <v>-6.2673730000000003E-4</v>
      </c>
      <c r="S3779">
        <v>-3.1766359999999998</v>
      </c>
      <c r="T3779">
        <v>-0.87191209999999997</v>
      </c>
      <c r="U3779">
        <v>0.20245360000000001</v>
      </c>
      <c r="V3779">
        <v>2.0144659999999999E-3</v>
      </c>
      <c r="W3779">
        <v>0.16932</v>
      </c>
      <c r="X3779">
        <v>0.98555910000000002</v>
      </c>
      <c r="Y3779">
        <v>6.3716809999999999E-2</v>
      </c>
      <c r="Z3779">
        <v>9.6731079999999997E-3</v>
      </c>
      <c r="AA3779">
        <v>0.99792110000000001</v>
      </c>
      <c r="AB3779">
        <v>28</v>
      </c>
      <c r="AC3779">
        <v>-0.41290000000003502</v>
      </c>
      <c r="AD3779">
        <v>-0.18879939999999901</v>
      </c>
      <c r="AE3779">
        <v>4.4800000000009201E-2</v>
      </c>
      <c r="AF3779">
        <v>3.8040704094612202E-2</v>
      </c>
      <c r="AG3779">
        <v>-0.18879939999999901</v>
      </c>
      <c r="AH3779">
        <v>0.342087667970917</v>
      </c>
      <c r="AI3779">
        <v>118.745759980296</v>
      </c>
      <c r="AJ3779">
        <v>83.654685564641895</v>
      </c>
      <c r="AK3779">
        <v>0.39257646540025098</v>
      </c>
      <c r="AL3779">
        <v>80.251715511790593</v>
      </c>
      <c r="AM3779">
        <v>89.882888566463393</v>
      </c>
      <c r="AN3779">
        <v>1.0000000300330301</v>
      </c>
    </row>
    <row r="3780" spans="1:40" x14ac:dyDescent="0.25">
      <c r="A3780" t="str">
        <f>"20190303161947788"</f>
        <v>20190303161947788</v>
      </c>
      <c r="B3780" t="str">
        <f>"1551601187785558"</f>
        <v>1551601187785558</v>
      </c>
      <c r="C3780" t="s">
        <v>40</v>
      </c>
      <c r="D3780">
        <v>4.3861270000000001</v>
      </c>
      <c r="E3780">
        <v>0.53711609999999999</v>
      </c>
      <c r="F3780" t="s">
        <v>42</v>
      </c>
      <c r="G3780">
        <v>-404.12700000000001</v>
      </c>
      <c r="H3780">
        <v>0.84975859999999903</v>
      </c>
      <c r="I3780">
        <v>283.8571</v>
      </c>
      <c r="J3780">
        <v>-403.5326</v>
      </c>
      <c r="K3780">
        <v>1.121391</v>
      </c>
      <c r="L3780">
        <v>283.77879999999999</v>
      </c>
      <c r="M3780">
        <v>-0.9999169</v>
      </c>
      <c r="N3780">
        <v>-1.2627090000000001E-2</v>
      </c>
      <c r="O3780">
        <v>-2.6721129999999998E-3</v>
      </c>
      <c r="P3780">
        <v>-0.98760749999999997</v>
      </c>
      <c r="Q3780">
        <v>0.15694530000000001</v>
      </c>
      <c r="R3780">
        <v>2.9019130000000002E-4</v>
      </c>
      <c r="S3780">
        <v>-3.1958009999999999</v>
      </c>
      <c r="T3780">
        <v>-0.99486019999999997</v>
      </c>
      <c r="U3780">
        <v>0.28225709999999998</v>
      </c>
      <c r="V3780">
        <v>2.9365649999999999E-3</v>
      </c>
      <c r="W3780">
        <v>0.1694031</v>
      </c>
      <c r="X3780">
        <v>0.98554249999999999</v>
      </c>
      <c r="Y3780">
        <v>8.6297360000000004E-2</v>
      </c>
      <c r="Z3780">
        <v>1.4435129999999999E-2</v>
      </c>
      <c r="AA3780">
        <v>0.99616490000000002</v>
      </c>
      <c r="AB3780">
        <v>28</v>
      </c>
      <c r="AC3780">
        <v>-0.59439999999994997</v>
      </c>
      <c r="AD3780">
        <v>-0.2716324</v>
      </c>
      <c r="AE3780">
        <v>7.8300000000012901E-2</v>
      </c>
      <c r="AF3780">
        <v>6.6282146999257399E-2</v>
      </c>
      <c r="AG3780">
        <v>-0.2716324</v>
      </c>
      <c r="AH3780">
        <v>0.492990488163985</v>
      </c>
      <c r="AI3780">
        <v>118.637879053208</v>
      </c>
      <c r="AJ3780">
        <v>82.342551541856594</v>
      </c>
      <c r="AK3780">
        <v>0.56676018311165399</v>
      </c>
      <c r="AL3780">
        <v>80.246884408239694</v>
      </c>
      <c r="AM3780">
        <v>89.829279525908703</v>
      </c>
      <c r="AN3780">
        <v>1.00000002650492</v>
      </c>
    </row>
    <row r="3781" spans="1:40" x14ac:dyDescent="0.25">
      <c r="A3781" t="str">
        <f>"20190303161947811"</f>
        <v>20190303161947811</v>
      </c>
      <c r="B3781" t="str">
        <f>"1551601187806053"</f>
        <v>1551601187806053</v>
      </c>
      <c r="C3781" t="s">
        <v>40</v>
      </c>
      <c r="D3781">
        <v>4.3536250000000001</v>
      </c>
      <c r="E3781">
        <v>0.53672430000000004</v>
      </c>
      <c r="F3781" t="s">
        <v>42</v>
      </c>
      <c r="G3781">
        <v>-404.3784</v>
      </c>
      <c r="H3781">
        <v>0.85966659999999995</v>
      </c>
      <c r="I3781">
        <v>283.85309999999998</v>
      </c>
      <c r="J3781">
        <v>-403.81349999999998</v>
      </c>
      <c r="K3781">
        <v>1.121391</v>
      </c>
      <c r="L3781">
        <v>283.77800000000002</v>
      </c>
      <c r="M3781">
        <v>-0.99991669999999999</v>
      </c>
      <c r="N3781">
        <v>-1.2625300000000001E-2</v>
      </c>
      <c r="O3781">
        <v>-2.67081E-3</v>
      </c>
      <c r="P3781">
        <v>-0.98755280000000001</v>
      </c>
      <c r="Q3781">
        <v>0.15728839999999999</v>
      </c>
      <c r="R3781">
        <v>3.1711070000000003E-4</v>
      </c>
      <c r="S3781">
        <v>-3.1946110000000001</v>
      </c>
      <c r="T3781">
        <v>-0.98850450000000001</v>
      </c>
      <c r="U3781">
        <v>0.2807617</v>
      </c>
      <c r="V3781">
        <v>2.9615050000000001E-3</v>
      </c>
      <c r="W3781">
        <v>0.1697438</v>
      </c>
      <c r="X3781">
        <v>0.98548380000000002</v>
      </c>
      <c r="Y3781">
        <v>8.5933469999999998E-2</v>
      </c>
      <c r="Z3781">
        <v>1.4297509999999999E-2</v>
      </c>
      <c r="AA3781">
        <v>0.99619829999999998</v>
      </c>
      <c r="AB3781">
        <v>28</v>
      </c>
      <c r="AC3781">
        <v>-0.56490000000002205</v>
      </c>
      <c r="AD3781">
        <v>-0.26172440000000002</v>
      </c>
      <c r="AE3781">
        <v>7.5099999999963502E-2</v>
      </c>
      <c r="AF3781">
        <v>6.3264307531959899E-2</v>
      </c>
      <c r="AG3781">
        <v>-0.26172440000000002</v>
      </c>
      <c r="AH3781">
        <v>0.466333971449374</v>
      </c>
      <c r="AI3781">
        <v>119.080347483905</v>
      </c>
      <c r="AJ3781">
        <v>82.274243273396394</v>
      </c>
      <c r="AK3781">
        <v>0.53848807516100505</v>
      </c>
      <c r="AL3781">
        <v>80.227076851343099</v>
      </c>
      <c r="AM3781">
        <v>89.827819364739696</v>
      </c>
      <c r="AN3781">
        <v>1.00000002410637</v>
      </c>
    </row>
    <row r="3782" spans="1:40" x14ac:dyDescent="0.25">
      <c r="A3782" t="str">
        <f>"20190303161947833"</f>
        <v>20190303161947833</v>
      </c>
      <c r="B3782" t="str">
        <f>"1551601187825574"</f>
        <v>1551601187825574</v>
      </c>
      <c r="C3782" t="s">
        <v>40</v>
      </c>
      <c r="D3782">
        <v>4.4020000000000001</v>
      </c>
      <c r="E3782">
        <v>0.53644579999999997</v>
      </c>
      <c r="F3782" t="s">
        <v>42</v>
      </c>
      <c r="G3782">
        <v>-404.62950000000001</v>
      </c>
      <c r="H3782">
        <v>0.86851690000000004</v>
      </c>
      <c r="I3782">
        <v>283.84930000000003</v>
      </c>
      <c r="J3782">
        <v>-404.08409999999998</v>
      </c>
      <c r="K3782">
        <v>1.1213879999999901</v>
      </c>
      <c r="L3782">
        <v>283.77730000000003</v>
      </c>
      <c r="M3782">
        <v>-0.9999169</v>
      </c>
      <c r="N3782">
        <v>-1.2623560000000001E-2</v>
      </c>
      <c r="O3782">
        <v>-2.6720979999999999E-3</v>
      </c>
      <c r="P3782">
        <v>-0.98761790000000005</v>
      </c>
      <c r="Q3782">
        <v>0.15687989999999999</v>
      </c>
      <c r="R3782">
        <v>4.7530700000000001E-4</v>
      </c>
      <c r="S3782">
        <v>-3.1954039999999999</v>
      </c>
      <c r="T3782">
        <v>-0.99027189999999998</v>
      </c>
      <c r="U3782">
        <v>0.2780762</v>
      </c>
      <c r="V3782">
        <v>3.1215090000000002E-3</v>
      </c>
      <c r="W3782">
        <v>0.1693345</v>
      </c>
      <c r="X3782">
        <v>0.98555369999999998</v>
      </c>
      <c r="Y3782">
        <v>8.5109240000000003E-2</v>
      </c>
      <c r="Z3782">
        <v>1.4188660000000001E-2</v>
      </c>
      <c r="AA3782">
        <v>0.99627060000000001</v>
      </c>
      <c r="AB3782">
        <v>28</v>
      </c>
      <c r="AC3782">
        <v>-0.54540000000002897</v>
      </c>
      <c r="AD3782">
        <v>-0.25287109999999902</v>
      </c>
      <c r="AE3782">
        <v>7.2000000000002701E-2</v>
      </c>
      <c r="AF3782">
        <v>6.0644141704035898E-2</v>
      </c>
      <c r="AG3782">
        <v>-0.25287109999999902</v>
      </c>
      <c r="AH3782">
        <v>0.450105898135784</v>
      </c>
      <c r="AI3782">
        <v>119.10786856192399</v>
      </c>
      <c r="AJ3782">
        <v>82.326573952584198</v>
      </c>
      <c r="AK3782">
        <v>0.519823840040883</v>
      </c>
      <c r="AL3782">
        <v>80.250872315404393</v>
      </c>
      <c r="AM3782">
        <v>89.818529732707802</v>
      </c>
      <c r="AN3782">
        <v>1.00000000614618</v>
      </c>
    </row>
    <row r="3783" spans="1:40" x14ac:dyDescent="0.25">
      <c r="A3783" t="str">
        <f>"20190303161947847"</f>
        <v>20190303161947847</v>
      </c>
      <c r="B3783" t="str">
        <f>"1551601187836311"</f>
        <v>1551601187836311</v>
      </c>
      <c r="C3783" t="s">
        <v>40</v>
      </c>
      <c r="D3783">
        <v>4.4077630000000001</v>
      </c>
      <c r="E3783">
        <v>0.53621009999999902</v>
      </c>
      <c r="F3783" t="s">
        <v>42</v>
      </c>
      <c r="G3783">
        <v>-404.8793</v>
      </c>
      <c r="H3783">
        <v>0.87469279999999905</v>
      </c>
      <c r="I3783">
        <v>283.84629999999999</v>
      </c>
      <c r="J3783">
        <v>-404.2457</v>
      </c>
      <c r="K3783">
        <v>1.1213879999999901</v>
      </c>
      <c r="L3783">
        <v>283.77690000000001</v>
      </c>
      <c r="M3783">
        <v>-0.9999169</v>
      </c>
      <c r="N3783">
        <v>-1.262252E-2</v>
      </c>
      <c r="O3783">
        <v>-2.6710330000000002E-3</v>
      </c>
      <c r="P3783">
        <v>-0.98759549999999996</v>
      </c>
      <c r="Q3783">
        <v>0.1570203</v>
      </c>
      <c r="R3783">
        <v>4.3325029999999998E-4</v>
      </c>
      <c r="S3783">
        <v>-3.1948850000000002</v>
      </c>
      <c r="T3783">
        <v>-0.99117029999999995</v>
      </c>
      <c r="U3783">
        <v>0.27648929999999999</v>
      </c>
      <c r="V3783">
        <v>3.0778210000000001E-3</v>
      </c>
      <c r="W3783">
        <v>0.1694736</v>
      </c>
      <c r="X3783">
        <v>0.98552989999999996</v>
      </c>
      <c r="Y3783">
        <v>8.4644709999999998E-2</v>
      </c>
      <c r="Z3783">
        <v>1.4129279999999999E-2</v>
      </c>
      <c r="AA3783">
        <v>0.99631099999999995</v>
      </c>
      <c r="AB3783">
        <v>28</v>
      </c>
      <c r="AC3783">
        <v>-0.63360000000000105</v>
      </c>
      <c r="AD3783">
        <v>-0.246695199999999</v>
      </c>
      <c r="AE3783">
        <v>6.9399999999973205E-2</v>
      </c>
      <c r="AF3783">
        <v>6.18301070180668E-2</v>
      </c>
      <c r="AG3783">
        <v>-0.246695199999999</v>
      </c>
      <c r="AH3783">
        <v>0.55088918639958395</v>
      </c>
      <c r="AI3783">
        <v>113.989950776359</v>
      </c>
      <c r="AJ3783">
        <v>83.596098538523904</v>
      </c>
      <c r="AK3783">
        <v>0.60676221003693098</v>
      </c>
      <c r="AL3783">
        <v>80.242785324475904</v>
      </c>
      <c r="AM3783">
        <v>89.821065215690496</v>
      </c>
      <c r="AN3783">
        <v>0.99999997893653803</v>
      </c>
    </row>
    <row r="3784" spans="1:40" x14ac:dyDescent="0.25">
      <c r="A3784" t="str">
        <f>"20190303161947861"</f>
        <v>20190303161947861</v>
      </c>
      <c r="B3784" t="str">
        <f>"1551601187855767"</f>
        <v>1551601187855767</v>
      </c>
      <c r="C3784" t="s">
        <v>40</v>
      </c>
      <c r="D3784">
        <v>4.3911239999999996</v>
      </c>
      <c r="E3784">
        <v>0.53596290000000002</v>
      </c>
      <c r="F3784" t="s">
        <v>42</v>
      </c>
      <c r="G3784">
        <v>-405.11709999999999</v>
      </c>
      <c r="H3784">
        <v>0.85092060000000003</v>
      </c>
      <c r="I3784">
        <v>283.85210000000001</v>
      </c>
      <c r="J3784">
        <v>-404.4425</v>
      </c>
      <c r="K3784">
        <v>1.1213879999999901</v>
      </c>
      <c r="L3784">
        <v>283.77640000000002</v>
      </c>
      <c r="M3784">
        <v>-0.99991680000000005</v>
      </c>
      <c r="N3784">
        <v>-1.262127E-2</v>
      </c>
      <c r="O3784">
        <v>-2.6726749999999998E-3</v>
      </c>
      <c r="P3784">
        <v>-0.98760119999999896</v>
      </c>
      <c r="Q3784">
        <v>0.1569836</v>
      </c>
      <c r="R3784">
        <v>5.1191309999999897E-4</v>
      </c>
      <c r="S3784">
        <v>-3.1952210000000001</v>
      </c>
      <c r="T3784">
        <v>-0.99176410000000004</v>
      </c>
      <c r="U3784">
        <v>0.27429199999999998</v>
      </c>
      <c r="V3784">
        <v>3.158662E-3</v>
      </c>
      <c r="W3784">
        <v>0.16943559999999999</v>
      </c>
      <c r="X3784">
        <v>0.98553619999999997</v>
      </c>
      <c r="Y3784">
        <v>8.3985019999999994E-2</v>
      </c>
      <c r="Z3784">
        <v>1.4032380000000001E-2</v>
      </c>
      <c r="AA3784">
        <v>0.99636820000000004</v>
      </c>
      <c r="AB3784">
        <v>28</v>
      </c>
      <c r="AC3784">
        <v>-0.67459999999999798</v>
      </c>
      <c r="AD3784">
        <v>-0.27046739999999903</v>
      </c>
      <c r="AE3784">
        <v>7.5699999999983406E-2</v>
      </c>
      <c r="AF3784">
        <v>6.6885118566639395E-2</v>
      </c>
      <c r="AG3784">
        <v>-0.27046739999999903</v>
      </c>
      <c r="AH3784">
        <v>0.58200441368619804</v>
      </c>
      <c r="AI3784">
        <v>114.781749390242</v>
      </c>
      <c r="AJ3784">
        <v>83.444213664369997</v>
      </c>
      <c r="AK3784">
        <v>0.64525605080359205</v>
      </c>
      <c r="AL3784">
        <v>80.244994726857897</v>
      </c>
      <c r="AM3784">
        <v>89.816366581121201</v>
      </c>
      <c r="AN3784">
        <v>1.00000000060171</v>
      </c>
    </row>
    <row r="3785" spans="1:40" x14ac:dyDescent="0.25">
      <c r="A3785" t="str">
        <f>"20190303161947879"</f>
        <v>20190303161947879</v>
      </c>
      <c r="B3785" t="str">
        <f>"1551601187876262"</f>
        <v>1551601187876262</v>
      </c>
      <c r="C3785" t="s">
        <v>40</v>
      </c>
      <c r="D3785">
        <v>4.4634219999999996</v>
      </c>
      <c r="E3785">
        <v>0.53589889999999996</v>
      </c>
      <c r="F3785" t="s">
        <v>42</v>
      </c>
      <c r="G3785">
        <v>-405.13869999999997</v>
      </c>
      <c r="H3785">
        <v>0.90414810000000001</v>
      </c>
      <c r="I3785">
        <v>283.83600000000001</v>
      </c>
      <c r="J3785">
        <v>-404.64850000000001</v>
      </c>
      <c r="K3785">
        <v>1.1213919999999999</v>
      </c>
      <c r="L3785">
        <v>283.7758</v>
      </c>
      <c r="M3785">
        <v>-0.99991680000000005</v>
      </c>
      <c r="N3785">
        <v>-1.261996E-2</v>
      </c>
      <c r="O3785">
        <v>-2.6720789999999999E-3</v>
      </c>
      <c r="P3785">
        <v>-0.98762019999999995</v>
      </c>
      <c r="Q3785">
        <v>0.156862</v>
      </c>
      <c r="R3785">
        <v>8.3427459999999996E-4</v>
      </c>
      <c r="S3785">
        <v>-3.1960449999999998</v>
      </c>
      <c r="T3785">
        <v>-0.99732430000000005</v>
      </c>
      <c r="U3785">
        <v>0.27194210000000002</v>
      </c>
      <c r="V3785">
        <v>3.4802850000000001E-3</v>
      </c>
      <c r="W3785">
        <v>0.1693134</v>
      </c>
      <c r="X3785">
        <v>0.98555610000000005</v>
      </c>
      <c r="Y3785">
        <v>8.322889E-2</v>
      </c>
      <c r="Z3785">
        <v>1.3981789999999999E-2</v>
      </c>
      <c r="AA3785">
        <v>0.9964324</v>
      </c>
      <c r="AB3785">
        <v>28</v>
      </c>
      <c r="AC3785">
        <v>-0.490199999999958</v>
      </c>
      <c r="AD3785">
        <v>-0.21724389999999999</v>
      </c>
      <c r="AE3785">
        <v>6.0200000000008899E-2</v>
      </c>
      <c r="AF3785">
        <v>5.1537920465763998E-2</v>
      </c>
      <c r="AG3785">
        <v>-0.21724389999999999</v>
      </c>
      <c r="AH3785">
        <v>0.410593612934536</v>
      </c>
      <c r="AI3785">
        <v>117.69846986520901</v>
      </c>
      <c r="AJ3785">
        <v>82.845621218858298</v>
      </c>
      <c r="AK3785">
        <v>0.46737370948287299</v>
      </c>
      <c r="AL3785">
        <v>80.252098741085106</v>
      </c>
      <c r="AM3785">
        <v>89.797672792908202</v>
      </c>
      <c r="AN3785">
        <v>0.99999998302522497</v>
      </c>
    </row>
    <row r="3786" spans="1:40" x14ac:dyDescent="0.25">
      <c r="A3786" t="str">
        <f>"20190303161947900"</f>
        <v>20190303161947900</v>
      </c>
      <c r="B3786" t="str">
        <f>"1551601187895788"</f>
        <v>1551601187895788</v>
      </c>
      <c r="C3786" t="s">
        <v>40</v>
      </c>
      <c r="D3786">
        <v>4.4099969999999997</v>
      </c>
      <c r="E3786">
        <v>0.53618189999999999</v>
      </c>
      <c r="F3786" t="s">
        <v>42</v>
      </c>
      <c r="G3786">
        <v>-405.3809</v>
      </c>
      <c r="H3786">
        <v>0.89255359999999995</v>
      </c>
      <c r="I3786">
        <v>283.83819999999997</v>
      </c>
      <c r="J3786">
        <v>-404.9153</v>
      </c>
      <c r="K3786">
        <v>1.121397</v>
      </c>
      <c r="L3786">
        <v>283.77510000000001</v>
      </c>
      <c r="M3786">
        <v>-0.99991680000000005</v>
      </c>
      <c r="N3786">
        <v>-1.2618239999999999E-2</v>
      </c>
      <c r="O3786">
        <v>-2.6720670000000002E-3</v>
      </c>
      <c r="P3786">
        <v>-0.98759169999999996</v>
      </c>
      <c r="Q3786">
        <v>0.1570394</v>
      </c>
      <c r="R3786">
        <v>1.1425210000000001E-3</v>
      </c>
      <c r="S3786">
        <v>-3.1959529999999998</v>
      </c>
      <c r="T3786">
        <v>-0.99861630000000001</v>
      </c>
      <c r="U3786">
        <v>0.27157589999999998</v>
      </c>
      <c r="V3786">
        <v>3.7885610000000002E-3</v>
      </c>
      <c r="W3786">
        <v>0.16948869999999999</v>
      </c>
      <c r="X3786">
        <v>0.98552479999999998</v>
      </c>
      <c r="Y3786">
        <v>8.3112899999999906E-2</v>
      </c>
      <c r="Z3786">
        <v>1.398042E-2</v>
      </c>
      <c r="AA3786">
        <v>0.9964421</v>
      </c>
      <c r="AB3786">
        <v>28</v>
      </c>
      <c r="AC3786">
        <v>-0.46559999999999402</v>
      </c>
      <c r="AD3786">
        <v>-0.228843399999999</v>
      </c>
      <c r="AE3786">
        <v>6.3099999999963005E-2</v>
      </c>
      <c r="AF3786">
        <v>5.2007016653075597E-2</v>
      </c>
      <c r="AG3786">
        <v>-0.228843399999999</v>
      </c>
      <c r="AH3786">
        <v>0.37619071673334198</v>
      </c>
      <c r="AI3786">
        <v>121.072596406599</v>
      </c>
      <c r="AJ3786">
        <v>82.128955038365902</v>
      </c>
      <c r="AK3786">
        <v>0.4433886408796</v>
      </c>
      <c r="AL3786">
        <v>80.241907193238504</v>
      </c>
      <c r="AM3786">
        <v>89.7797442677616</v>
      </c>
      <c r="AN3786">
        <v>0.99999995201858904</v>
      </c>
    </row>
    <row r="3787" spans="1:40" x14ac:dyDescent="0.25">
      <c r="A3787" t="str">
        <f>"20190303161947913"</f>
        <v>20190303161947913</v>
      </c>
      <c r="B3787" t="str">
        <f>"1551601187906518"</f>
        <v>1551601187906518</v>
      </c>
      <c r="C3787" t="s">
        <v>40</v>
      </c>
      <c r="D3787">
        <v>4.433694</v>
      </c>
      <c r="E3787">
        <v>0.53631669999999998</v>
      </c>
      <c r="F3787" t="s">
        <v>42</v>
      </c>
      <c r="G3787">
        <v>-405.63029999999998</v>
      </c>
      <c r="H3787">
        <v>0.89803809999999995</v>
      </c>
      <c r="I3787">
        <v>283.8365</v>
      </c>
      <c r="J3787">
        <v>-405.0718</v>
      </c>
      <c r="K3787">
        <v>1.121397</v>
      </c>
      <c r="L3787">
        <v>283.7747</v>
      </c>
      <c r="M3787">
        <v>-0.99991680000000005</v>
      </c>
      <c r="N3787">
        <v>-1.261724E-2</v>
      </c>
      <c r="O3787">
        <v>-2.6720590000000001E-3</v>
      </c>
      <c r="P3787">
        <v>-0.98765760000000002</v>
      </c>
      <c r="Q3787">
        <v>0.15662209999999999</v>
      </c>
      <c r="R3787">
        <v>1.470996E-3</v>
      </c>
      <c r="S3787">
        <v>-3.1961059999999999</v>
      </c>
      <c r="T3787">
        <v>-0.99843939999999998</v>
      </c>
      <c r="U3787">
        <v>0.2734375</v>
      </c>
      <c r="V3787">
        <v>4.1172359999999998E-3</v>
      </c>
      <c r="W3787">
        <v>0.1690709</v>
      </c>
      <c r="X3787">
        <v>0.98559529999999995</v>
      </c>
      <c r="Y3787">
        <v>8.3660150000000003E-2</v>
      </c>
      <c r="Z3787">
        <v>1.406408E-2</v>
      </c>
      <c r="AA3787">
        <v>0.99639509999999998</v>
      </c>
      <c r="AB3787">
        <v>28</v>
      </c>
      <c r="AC3787">
        <v>-0.55849999999998001</v>
      </c>
      <c r="AD3787">
        <v>-0.2233589</v>
      </c>
      <c r="AE3787">
        <v>6.1800000000005101E-2</v>
      </c>
      <c r="AF3787">
        <v>5.46562085682432E-2</v>
      </c>
      <c r="AG3787">
        <v>-0.2233589</v>
      </c>
      <c r="AH3787">
        <v>0.482150034579786</v>
      </c>
      <c r="AI3787">
        <v>114.716988536035</v>
      </c>
      <c r="AJ3787">
        <v>83.532596862433905</v>
      </c>
      <c r="AK3787">
        <v>0.53417708223917104</v>
      </c>
      <c r="AL3787">
        <v>80.266196456566306</v>
      </c>
      <c r="AM3787">
        <v>89.760653410318497</v>
      </c>
      <c r="AN3787">
        <v>1.00000000812059</v>
      </c>
    </row>
    <row r="3788" spans="1:40" x14ac:dyDescent="0.25">
      <c r="A3788" t="str">
        <f>"20190303161947926"</f>
        <v>20190303161947926</v>
      </c>
      <c r="B3788" t="str">
        <f>"1551601187916278"</f>
        <v>1551601187916278</v>
      </c>
      <c r="C3788" t="s">
        <v>40</v>
      </c>
      <c r="D3788">
        <v>4.410952</v>
      </c>
      <c r="E3788">
        <v>0.53642650000000003</v>
      </c>
      <c r="F3788" t="s">
        <v>42</v>
      </c>
      <c r="G3788">
        <v>-405.86709999999999</v>
      </c>
      <c r="H3788">
        <v>0.87262399999999996</v>
      </c>
      <c r="I3788">
        <v>283.84350000000001</v>
      </c>
      <c r="J3788">
        <v>-405.23349999999999</v>
      </c>
      <c r="K3788">
        <v>1.1213979999999999</v>
      </c>
      <c r="L3788">
        <v>283.77420000000001</v>
      </c>
      <c r="M3788">
        <v>-0.9999169</v>
      </c>
      <c r="N3788">
        <v>-1.2616209999999999E-2</v>
      </c>
      <c r="O3788">
        <v>-2.6722909999999998E-3</v>
      </c>
      <c r="P3788">
        <v>-0.98769149999999994</v>
      </c>
      <c r="Q3788">
        <v>0.15640679999999901</v>
      </c>
      <c r="R3788">
        <v>1.6411310000000001E-3</v>
      </c>
      <c r="S3788">
        <v>-3.1955870000000002</v>
      </c>
      <c r="T3788">
        <v>-0.99961049999999996</v>
      </c>
      <c r="U3788">
        <v>0.27606199999999997</v>
      </c>
      <c r="V3788">
        <v>4.2875500000000002E-3</v>
      </c>
      <c r="W3788">
        <v>0.16885520000000001</v>
      </c>
      <c r="X3788">
        <v>0.98563149999999999</v>
      </c>
      <c r="Y3788">
        <v>8.4437419999999999E-2</v>
      </c>
      <c r="Z3788">
        <v>1.420454E-2</v>
      </c>
      <c r="AA3788">
        <v>0.99632750000000003</v>
      </c>
      <c r="AB3788">
        <v>28</v>
      </c>
      <c r="AC3788">
        <v>-0.63360000000000105</v>
      </c>
      <c r="AD3788">
        <v>-0.248773999999999</v>
      </c>
      <c r="AE3788">
        <v>6.9299999999998294E-2</v>
      </c>
      <c r="AF3788">
        <v>6.1607708599196398E-2</v>
      </c>
      <c r="AG3788">
        <v>-0.248773999999999</v>
      </c>
      <c r="AH3788">
        <v>0.54967485304050101</v>
      </c>
      <c r="AI3788">
        <v>114.216678221495</v>
      </c>
      <c r="AJ3788">
        <v>83.604962296624706</v>
      </c>
      <c r="AK3788">
        <v>0.60648697999210199</v>
      </c>
      <c r="AL3788">
        <v>80.278734942055394</v>
      </c>
      <c r="AM3788">
        <v>89.750761851727006</v>
      </c>
      <c r="AN3788">
        <v>0.99999995772214501</v>
      </c>
    </row>
    <row r="3789" spans="1:40" x14ac:dyDescent="0.25">
      <c r="A3789" t="str">
        <f>"20190303161947944"</f>
        <v>20190303161947944</v>
      </c>
      <c r="B3789" t="str">
        <f>"1551601187935798"</f>
        <v>1551601187935798</v>
      </c>
      <c r="C3789" t="s">
        <v>40</v>
      </c>
      <c r="D3789">
        <v>4.4386060000000001</v>
      </c>
      <c r="E3789">
        <v>0.53660580000000002</v>
      </c>
      <c r="F3789" t="s">
        <v>42</v>
      </c>
      <c r="G3789">
        <v>-406.10469999999998</v>
      </c>
      <c r="H3789">
        <v>0.84896909999999903</v>
      </c>
      <c r="I3789">
        <v>283.85019999999997</v>
      </c>
      <c r="J3789">
        <v>-405.46469999999999</v>
      </c>
      <c r="K3789">
        <v>1.1213979999999999</v>
      </c>
      <c r="L3789">
        <v>283.77359999999999</v>
      </c>
      <c r="M3789">
        <v>-0.9999169</v>
      </c>
      <c r="N3789">
        <v>-1.2614729999999999E-2</v>
      </c>
      <c r="O3789">
        <v>-2.6718089999999998E-3</v>
      </c>
      <c r="P3789">
        <v>-0.98761049999999995</v>
      </c>
      <c r="Q3789">
        <v>0.15691069999999999</v>
      </c>
      <c r="R3789">
        <v>2.1471350000000001E-3</v>
      </c>
      <c r="S3789">
        <v>-3.1951900000000002</v>
      </c>
      <c r="T3789">
        <v>-0.99928280000000003</v>
      </c>
      <c r="U3789">
        <v>0.27813719999999997</v>
      </c>
      <c r="V3789">
        <v>4.792808E-3</v>
      </c>
      <c r="W3789">
        <v>0.1693566</v>
      </c>
      <c r="X3789">
        <v>0.98554319999999895</v>
      </c>
      <c r="Y3789">
        <v>8.506097E-2</v>
      </c>
      <c r="Z3789">
        <v>1.4300419999999999E-2</v>
      </c>
      <c r="AA3789">
        <v>0.99627310000000002</v>
      </c>
      <c r="AB3789">
        <v>28</v>
      </c>
      <c r="AC3789">
        <v>-0.63999999999998602</v>
      </c>
      <c r="AD3789">
        <v>-0.27242889999999997</v>
      </c>
      <c r="AE3789">
        <v>7.6599999999984902E-2</v>
      </c>
      <c r="AF3789">
        <v>6.6441050091667106E-2</v>
      </c>
      <c r="AG3789">
        <v>-0.27242889999999997</v>
      </c>
      <c r="AH3789">
        <v>0.54282491193859095</v>
      </c>
      <c r="AI3789">
        <v>116.480413000157</v>
      </c>
      <c r="AJ3789">
        <v>83.0217822621983</v>
      </c>
      <c r="AK3789">
        <v>0.61097528895498898</v>
      </c>
      <c r="AL3789">
        <v>80.249587599593596</v>
      </c>
      <c r="AM3789">
        <v>89.721366343316504</v>
      </c>
      <c r="AN3789">
        <v>1.0000000140191601</v>
      </c>
    </row>
    <row r="3790" spans="1:40" x14ac:dyDescent="0.25">
      <c r="A3790" t="str">
        <f>"20190303161947957"</f>
        <v>20190303161947957</v>
      </c>
      <c r="B3790" t="str">
        <f>"1551601187946534"</f>
        <v>1551601187946534</v>
      </c>
      <c r="C3790" t="s">
        <v>40</v>
      </c>
      <c r="D3790">
        <v>4.4492609999999999</v>
      </c>
      <c r="E3790">
        <v>0.53669089999999997</v>
      </c>
      <c r="F3790" t="s">
        <v>42</v>
      </c>
      <c r="G3790">
        <v>-406.13130000000001</v>
      </c>
      <c r="H3790">
        <v>0.91357600000000005</v>
      </c>
      <c r="I3790">
        <v>283.83260000000001</v>
      </c>
      <c r="J3790">
        <v>-405.61360000000002</v>
      </c>
      <c r="K3790">
        <v>1.121397</v>
      </c>
      <c r="L3790">
        <v>283.77319999999997</v>
      </c>
      <c r="M3790">
        <v>-0.99991699999999994</v>
      </c>
      <c r="N3790">
        <v>-1.261376E-2</v>
      </c>
      <c r="O3790">
        <v>-2.6719199999999999E-3</v>
      </c>
      <c r="P3790">
        <v>-0.98755009999999999</v>
      </c>
      <c r="Q3790">
        <v>0.1572885</v>
      </c>
      <c r="R3790">
        <v>2.2658410000000002E-3</v>
      </c>
      <c r="S3790">
        <v>-3.1952820000000002</v>
      </c>
      <c r="T3790">
        <v>-0.99631619999999999</v>
      </c>
      <c r="U3790">
        <v>0.28201290000000001</v>
      </c>
      <c r="V3790">
        <v>4.9114040000000003E-3</v>
      </c>
      <c r="W3790">
        <v>0.1697321</v>
      </c>
      <c r="X3790">
        <v>0.98547799999999997</v>
      </c>
      <c r="Y3790">
        <v>8.6225899999999994E-2</v>
      </c>
      <c r="Z3790">
        <v>1.444487E-2</v>
      </c>
      <c r="AA3790">
        <v>0.99617089999999997</v>
      </c>
      <c r="AB3790">
        <v>28</v>
      </c>
      <c r="AC3790">
        <v>-0.51769999999998995</v>
      </c>
      <c r="AD3790">
        <v>-0.20782099999999901</v>
      </c>
      <c r="AE3790">
        <v>5.9400000000039199E-2</v>
      </c>
      <c r="AF3790">
        <v>5.2442071563620803E-2</v>
      </c>
      <c r="AG3790">
        <v>-0.20782099999999901</v>
      </c>
      <c r="AH3790">
        <v>0.446519130969115</v>
      </c>
      <c r="AI3790">
        <v>114.80862245352399</v>
      </c>
      <c r="AJ3790">
        <v>83.301502506868104</v>
      </c>
      <c r="AK3790">
        <v>0.49529695459622802</v>
      </c>
      <c r="AL3790">
        <v>80.227756825712504</v>
      </c>
      <c r="AM3790">
        <v>89.714452894040207</v>
      </c>
      <c r="AN3790">
        <v>0.99999999807183004</v>
      </c>
    </row>
    <row r="3791" spans="1:40" x14ac:dyDescent="0.25">
      <c r="A3791" t="str">
        <f>"20190303161947970"</f>
        <v>20190303161947970</v>
      </c>
      <c r="B3791" t="str">
        <f>"1551601187966054"</f>
        <v>1551601187966054</v>
      </c>
      <c r="C3791" t="s">
        <v>40</v>
      </c>
      <c r="D3791">
        <v>4.4627739999999996</v>
      </c>
      <c r="E3791">
        <v>0.53685950000000005</v>
      </c>
      <c r="F3791" t="s">
        <v>42</v>
      </c>
      <c r="G3791">
        <v>-406.36669999999998</v>
      </c>
      <c r="H3791">
        <v>0.88701240000000003</v>
      </c>
      <c r="I3791">
        <v>283.8399</v>
      </c>
      <c r="J3791">
        <v>-405.77480000000003</v>
      </c>
      <c r="K3791">
        <v>1.121394</v>
      </c>
      <c r="L3791">
        <v>283.77280000000002</v>
      </c>
      <c r="M3791">
        <v>-0.99991699999999994</v>
      </c>
      <c r="N3791">
        <v>-1.2612659999999999E-2</v>
      </c>
      <c r="O3791">
        <v>-2.6722690000000001E-3</v>
      </c>
      <c r="P3791">
        <v>-0.98756460000000001</v>
      </c>
      <c r="Q3791">
        <v>0.1571968</v>
      </c>
      <c r="R3791">
        <v>2.4019929999999998E-3</v>
      </c>
      <c r="S3791">
        <v>-3.195557</v>
      </c>
      <c r="T3791">
        <v>-0.99466160000000003</v>
      </c>
      <c r="U3791">
        <v>0.28323359999999997</v>
      </c>
      <c r="V3791">
        <v>5.0480890000000004E-3</v>
      </c>
      <c r="W3791">
        <v>0.16964000000000001</v>
      </c>
      <c r="X3791">
        <v>0.98549319999999896</v>
      </c>
      <c r="Y3791">
        <v>8.6593110000000001E-2</v>
      </c>
      <c r="Z3791">
        <v>1.4479560000000001E-2</v>
      </c>
      <c r="AA3791">
        <v>0.99613850000000004</v>
      </c>
      <c r="AB3791">
        <v>28</v>
      </c>
      <c r="AC3791">
        <v>-0.59189999999995202</v>
      </c>
      <c r="AD3791">
        <v>-0.2343816</v>
      </c>
      <c r="AE3791">
        <v>6.7099999999982105E-2</v>
      </c>
      <c r="AF3791">
        <v>5.9474270777783403E-2</v>
      </c>
      <c r="AG3791">
        <v>-0.2343816</v>
      </c>
      <c r="AH3791">
        <v>0.512393843167542</v>
      </c>
      <c r="AI3791">
        <v>114.435819722292</v>
      </c>
      <c r="AJ3791">
        <v>83.379225527434798</v>
      </c>
      <c r="AK3791">
        <v>0.56658571621521903</v>
      </c>
      <c r="AL3791">
        <v>80.233111733542998</v>
      </c>
      <c r="AM3791">
        <v>89.706510745471704</v>
      </c>
      <c r="AN3791">
        <v>1.0000000300243901</v>
      </c>
    </row>
    <row r="3792" spans="1:40" x14ac:dyDescent="0.25">
      <c r="A3792" t="str">
        <f>"20190303161947983"</f>
        <v>20190303161947983</v>
      </c>
      <c r="B3792" t="str">
        <f>"1551601187975815"</f>
        <v>1551601187975815</v>
      </c>
      <c r="C3792" t="s">
        <v>40</v>
      </c>
      <c r="D3792">
        <v>4.4557079999999996</v>
      </c>
      <c r="E3792">
        <v>0.5369486</v>
      </c>
      <c r="F3792" t="s">
        <v>42</v>
      </c>
      <c r="G3792">
        <v>-406.60410000000002</v>
      </c>
      <c r="H3792">
        <v>0.86346219999999996</v>
      </c>
      <c r="I3792">
        <v>283.84699999999998</v>
      </c>
      <c r="J3792">
        <v>-405.94839999999999</v>
      </c>
      <c r="K3792">
        <v>1.1213930000000001</v>
      </c>
      <c r="L3792">
        <v>283.77229999999997</v>
      </c>
      <c r="M3792">
        <v>-0.99991699999999994</v>
      </c>
      <c r="N3792">
        <v>-1.261141E-2</v>
      </c>
      <c r="O3792">
        <v>-2.6722629999999998E-3</v>
      </c>
      <c r="P3792">
        <v>-0.9875389</v>
      </c>
      <c r="Q3792">
        <v>0.1573503</v>
      </c>
      <c r="R3792">
        <v>2.8277879999999999E-3</v>
      </c>
      <c r="S3792">
        <v>-3.1953130000000001</v>
      </c>
      <c r="T3792">
        <v>-0.99386629999999998</v>
      </c>
      <c r="U3792">
        <v>0.28512569999999998</v>
      </c>
      <c r="V3792">
        <v>5.4736689999999996E-3</v>
      </c>
      <c r="W3792">
        <v>0.16979179999999999</v>
      </c>
      <c r="X3792">
        <v>0.98546480000000003</v>
      </c>
      <c r="Y3792">
        <v>8.7163439999999995E-2</v>
      </c>
      <c r="Z3792">
        <v>1.45597E-2</v>
      </c>
      <c r="AA3792">
        <v>0.99608759999999996</v>
      </c>
      <c r="AB3792">
        <v>28</v>
      </c>
      <c r="AC3792">
        <v>-0.65570000000002404</v>
      </c>
      <c r="AD3792">
        <v>-0.25793080000000002</v>
      </c>
      <c r="AE3792">
        <v>7.4700000000007094E-2</v>
      </c>
      <c r="AF3792">
        <v>6.6321176911617805E-2</v>
      </c>
      <c r="AG3792">
        <v>-0.25793080000000002</v>
      </c>
      <c r="AH3792">
        <v>0.56863597611274397</v>
      </c>
      <c r="AI3792">
        <v>114.2535470217</v>
      </c>
      <c r="AJ3792">
        <v>83.347531984101806</v>
      </c>
      <c r="AK3792">
        <v>0.62791215104127096</v>
      </c>
      <c r="AL3792">
        <v>80.224286342894899</v>
      </c>
      <c r="AM3792">
        <v>89.681759402237901</v>
      </c>
      <c r="AN3792">
        <v>1.00000004421929</v>
      </c>
    </row>
    <row r="3793" spans="1:40" x14ac:dyDescent="0.25">
      <c r="A3793" t="str">
        <f>"20190303161947998"</f>
        <v>20190303161947998</v>
      </c>
      <c r="B3793" t="str">
        <f>"1551601187986550"</f>
        <v>1551601187986550</v>
      </c>
      <c r="C3793" t="s">
        <v>40</v>
      </c>
      <c r="D3793">
        <v>4.4693750000000003</v>
      </c>
      <c r="E3793">
        <v>0.53698259999999998</v>
      </c>
      <c r="F3793" t="s">
        <v>42</v>
      </c>
      <c r="G3793">
        <v>-406.62389999999999</v>
      </c>
      <c r="H3793">
        <v>0.91144049999999999</v>
      </c>
      <c r="I3793">
        <v>283.83330000000001</v>
      </c>
      <c r="J3793">
        <v>-406.11360000000002</v>
      </c>
      <c r="K3793">
        <v>1.1213949999999999</v>
      </c>
      <c r="L3793">
        <v>283.77190000000002</v>
      </c>
      <c r="M3793">
        <v>-0.99991699999999994</v>
      </c>
      <c r="N3793">
        <v>-1.261032E-2</v>
      </c>
      <c r="O3793">
        <v>-2.6720189999999999E-3</v>
      </c>
      <c r="P3793">
        <v>-0.98752680000000004</v>
      </c>
      <c r="Q3793">
        <v>0.1574277</v>
      </c>
      <c r="R3793">
        <v>2.7089729999999999E-3</v>
      </c>
      <c r="S3793">
        <v>-3.1952820000000002</v>
      </c>
      <c r="T3793">
        <v>-0.99305589999999999</v>
      </c>
      <c r="U3793">
        <v>0.28701779999999999</v>
      </c>
      <c r="V3793">
        <v>5.354653E-3</v>
      </c>
      <c r="W3793">
        <v>0.1698684</v>
      </c>
      <c r="X3793">
        <v>0.9854522</v>
      </c>
      <c r="Y3793">
        <v>8.7728650000000005E-2</v>
      </c>
      <c r="Z3793">
        <v>1.463773E-2</v>
      </c>
      <c r="AA3793">
        <v>0.99603680000000006</v>
      </c>
      <c r="AB3793">
        <v>28</v>
      </c>
      <c r="AC3793">
        <v>-0.510299999999972</v>
      </c>
      <c r="AD3793">
        <v>-0.20995449999999999</v>
      </c>
      <c r="AE3793">
        <v>6.1399999999991899E-2</v>
      </c>
      <c r="AF3793">
        <v>5.3788220861033097E-2</v>
      </c>
      <c r="AG3793">
        <v>-0.20995449999999999</v>
      </c>
      <c r="AH3793">
        <v>0.43718467911984399</v>
      </c>
      <c r="AI3793">
        <v>115.48471582747101</v>
      </c>
      <c r="AJ3793">
        <v>82.9859672225883</v>
      </c>
      <c r="AK3793">
        <v>0.48795953564897798</v>
      </c>
      <c r="AL3793">
        <v>80.219832276048706</v>
      </c>
      <c r="AM3793">
        <v>89.688674906519495</v>
      </c>
      <c r="AN3793">
        <v>0.99999999205607504</v>
      </c>
    </row>
    <row r="3794" spans="1:40" x14ac:dyDescent="0.25">
      <c r="A3794" t="str">
        <f>"20190303161948012"</f>
        <v>20190303161948012</v>
      </c>
      <c r="B3794" t="str">
        <f>"1551601188006070"</f>
        <v>1551601188006070</v>
      </c>
      <c r="C3794" t="s">
        <v>40</v>
      </c>
      <c r="D3794">
        <v>4.6294459999999997</v>
      </c>
      <c r="E3794">
        <v>0.5369505</v>
      </c>
      <c r="F3794" t="s">
        <v>42</v>
      </c>
      <c r="G3794">
        <v>-406.86110000000002</v>
      </c>
      <c r="H3794">
        <v>0.889185</v>
      </c>
      <c r="I3794">
        <v>283.839</v>
      </c>
      <c r="J3794">
        <v>-406.30189999999999</v>
      </c>
      <c r="K3794">
        <v>1.1213949999999999</v>
      </c>
      <c r="L3794">
        <v>283.77140000000003</v>
      </c>
      <c r="M3794">
        <v>-0.99991699999999994</v>
      </c>
      <c r="N3794">
        <v>-1.260909E-2</v>
      </c>
      <c r="O3794">
        <v>-2.6720110000000002E-3</v>
      </c>
      <c r="P3794">
        <v>-0.98749790000000004</v>
      </c>
      <c r="Q3794">
        <v>0.1576168</v>
      </c>
      <c r="R3794">
        <v>2.247176E-3</v>
      </c>
      <c r="S3794">
        <v>-3.1953740000000002</v>
      </c>
      <c r="T3794">
        <v>-0.99273149999999999</v>
      </c>
      <c r="U3794">
        <v>0.28659059999999997</v>
      </c>
      <c r="V3794">
        <v>4.8928460000000002E-3</v>
      </c>
      <c r="W3794">
        <v>0.1700554</v>
      </c>
      <c r="X3794">
        <v>0.98542240000000003</v>
      </c>
      <c r="Y3794">
        <v>8.760308E-2</v>
      </c>
      <c r="Z3794">
        <v>1.461312E-2</v>
      </c>
      <c r="AA3794">
        <v>0.9960483</v>
      </c>
      <c r="AB3794">
        <v>28</v>
      </c>
      <c r="AC3794">
        <v>-0.559200000000032</v>
      </c>
      <c r="AD3794">
        <v>-0.23221</v>
      </c>
      <c r="AE3794">
        <v>6.7599999999970295E-2</v>
      </c>
      <c r="AF3794">
        <v>5.9057169640814103E-2</v>
      </c>
      <c r="AG3794">
        <v>-0.23221</v>
      </c>
      <c r="AH3794">
        <v>0.47781213489562702</v>
      </c>
      <c r="AI3794">
        <v>115.748749500364</v>
      </c>
      <c r="AJ3794">
        <v>82.954025692533804</v>
      </c>
      <c r="AK3794">
        <v>0.53452190753934603</v>
      </c>
      <c r="AL3794">
        <v>80.208960278115498</v>
      </c>
      <c r="AM3794">
        <v>89.715515780988198</v>
      </c>
      <c r="AN3794">
        <v>1.0000000427164399</v>
      </c>
    </row>
    <row r="3795" spans="1:40" x14ac:dyDescent="0.25">
      <c r="A3795" t="str">
        <f>"20190303161948028"</f>
        <v>20190303161948028</v>
      </c>
      <c r="B3795" t="str">
        <f>"1551601188015830"</f>
        <v>1551601188015830</v>
      </c>
      <c r="C3795" t="s">
        <v>40</v>
      </c>
      <c r="D3795">
        <v>4.4705380000000003</v>
      </c>
      <c r="E3795">
        <v>0.52234740000000002</v>
      </c>
      <c r="F3795" t="s">
        <v>42</v>
      </c>
      <c r="G3795">
        <v>-407.10140000000001</v>
      </c>
      <c r="H3795">
        <v>0.87344659999999996</v>
      </c>
      <c r="I3795">
        <v>283.84289999999999</v>
      </c>
      <c r="J3795">
        <v>-406.49079999999998</v>
      </c>
      <c r="K3795">
        <v>1.1213959999999901</v>
      </c>
      <c r="L3795">
        <v>283.77080000000001</v>
      </c>
      <c r="M3795">
        <v>-0.99991699999999994</v>
      </c>
      <c r="N3795">
        <v>-1.260784E-2</v>
      </c>
      <c r="O3795">
        <v>-2.6720030000000001E-3</v>
      </c>
      <c r="P3795">
        <v>-0.98748899999999995</v>
      </c>
      <c r="Q3795">
        <v>0.15767590000000001</v>
      </c>
      <c r="R3795">
        <v>2.0090809999999998E-3</v>
      </c>
      <c r="S3795">
        <v>-3.1954959999999999</v>
      </c>
      <c r="T3795">
        <v>-0.9910504</v>
      </c>
      <c r="U3795">
        <v>0.2847595</v>
      </c>
      <c r="V3795">
        <v>4.6548789999999998E-3</v>
      </c>
      <c r="W3795">
        <v>0.17011319999999999</v>
      </c>
      <c r="X3795">
        <v>0.9854136</v>
      </c>
      <c r="Y3795">
        <v>8.7073529999999996E-2</v>
      </c>
      <c r="Z3795">
        <v>1.450655E-2</v>
      </c>
      <c r="AA3795">
        <v>0.99609630000000005</v>
      </c>
      <c r="AB3795">
        <v>28</v>
      </c>
      <c r="AC3795">
        <v>-0.61060000000003301</v>
      </c>
      <c r="AD3795">
        <v>-0.24794939999999899</v>
      </c>
      <c r="AE3795">
        <v>7.2099999999977599E-2</v>
      </c>
      <c r="AF3795">
        <v>6.3417800445453004E-2</v>
      </c>
      <c r="AG3795">
        <v>-0.24794939999999899</v>
      </c>
      <c r="AH3795">
        <v>0.52502127535830101</v>
      </c>
      <c r="AI3795">
        <v>115.119879723502</v>
      </c>
      <c r="AJ3795">
        <v>83.112557951076496</v>
      </c>
      <c r="AK3795">
        <v>0.58407881484655499</v>
      </c>
      <c r="AL3795">
        <v>80.205599844923697</v>
      </c>
      <c r="AM3795">
        <v>89.729349242684293</v>
      </c>
      <c r="AN3795">
        <v>1.0000000658888499</v>
      </c>
    </row>
    <row r="3796" spans="1:40" x14ac:dyDescent="0.25">
      <c r="A3796" t="str">
        <f>"20190303161948046"</f>
        <v>20190303161948046</v>
      </c>
      <c r="B3796" t="str">
        <f>"1551601188036326"</f>
        <v>1551601188036326</v>
      </c>
      <c r="C3796" t="s">
        <v>40</v>
      </c>
      <c r="D3796">
        <v>4.5471360000000001</v>
      </c>
      <c r="E3796">
        <v>0.51573340000000001</v>
      </c>
      <c r="F3796" t="s">
        <v>42</v>
      </c>
      <c r="G3796">
        <v>-407.38249999999999</v>
      </c>
      <c r="H3796">
        <v>0.94998720000000003</v>
      </c>
      <c r="I3796">
        <v>283.81970000000001</v>
      </c>
      <c r="J3796">
        <v>-406.70670000000001</v>
      </c>
      <c r="K3796">
        <v>1.121397</v>
      </c>
      <c r="L3796">
        <v>283.77019999999999</v>
      </c>
      <c r="M3796">
        <v>-0.99991699999999994</v>
      </c>
      <c r="N3796">
        <v>-1.260644E-2</v>
      </c>
      <c r="O3796">
        <v>-2.6719949999999999E-3</v>
      </c>
      <c r="P3796">
        <v>-0.98737149999999996</v>
      </c>
      <c r="Q3796">
        <v>0.15841269999999999</v>
      </c>
      <c r="R3796">
        <v>1.8080450000000001E-3</v>
      </c>
      <c r="S3796">
        <v>-3.1338200000000001</v>
      </c>
      <c r="T3796">
        <v>-0.60238459999999905</v>
      </c>
      <c r="U3796">
        <v>0.17193599999999901</v>
      </c>
      <c r="V3796">
        <v>4.4534489999999999E-3</v>
      </c>
      <c r="W3796">
        <v>0.1708471</v>
      </c>
      <c r="X3796">
        <v>0.98528749999999998</v>
      </c>
      <c r="Y3796">
        <v>5.6311029999999998E-2</v>
      </c>
      <c r="Z3796">
        <v>6.1929200000000002E-3</v>
      </c>
      <c r="AA3796">
        <v>0.99839409999999895</v>
      </c>
      <c r="AB3796">
        <v>28</v>
      </c>
      <c r="AC3796">
        <v>-0.67579999999998097</v>
      </c>
      <c r="AD3796">
        <v>-0.1714098</v>
      </c>
      <c r="AE3796">
        <v>4.9500000000023102E-2</v>
      </c>
      <c r="AF3796">
        <v>4.8220103428052302E-2</v>
      </c>
      <c r="AG3796">
        <v>-0.1714098</v>
      </c>
      <c r="AH3796">
        <v>0.63502984425680198</v>
      </c>
      <c r="AI3796">
        <v>105.064129131138</v>
      </c>
      <c r="AJ3796">
        <v>85.657658144088401</v>
      </c>
      <c r="AK3796">
        <v>0.65952210046932502</v>
      </c>
      <c r="AL3796">
        <v>80.162925230004205</v>
      </c>
      <c r="AM3796">
        <v>89.741027776828801</v>
      </c>
      <c r="AN3796">
        <v>1.0000000112213201</v>
      </c>
    </row>
    <row r="3797" spans="1:40" x14ac:dyDescent="0.25">
      <c r="A3797" t="str">
        <f>"20190303161948059"</f>
        <v>20190303161948059</v>
      </c>
      <c r="B3797" t="str">
        <f>"1551601188046086"</f>
        <v>1551601188046086</v>
      </c>
      <c r="C3797" t="s">
        <v>40</v>
      </c>
      <c r="D3797">
        <v>4.5370379999999999</v>
      </c>
      <c r="E3797">
        <v>0.47279189999999999</v>
      </c>
      <c r="F3797" t="s">
        <v>42</v>
      </c>
      <c r="G3797">
        <v>-407.64420000000001</v>
      </c>
      <c r="H3797">
        <v>0.98070119999999905</v>
      </c>
      <c r="I3797">
        <v>283.80680000000001</v>
      </c>
      <c r="J3797">
        <v>-406.88130000000001</v>
      </c>
      <c r="K3797">
        <v>1.1214</v>
      </c>
      <c r="L3797">
        <v>283.7697</v>
      </c>
      <c r="M3797">
        <v>-0.99991699999999994</v>
      </c>
      <c r="N3797">
        <v>-1.260532E-2</v>
      </c>
      <c r="O3797">
        <v>-2.6719880000000001E-3</v>
      </c>
      <c r="P3797">
        <v>-0.98740000000000006</v>
      </c>
      <c r="Q3797">
        <v>0.15823709999999999</v>
      </c>
      <c r="R3797">
        <v>1.4395709999999999E-3</v>
      </c>
      <c r="S3797">
        <v>-3.1130979999999999</v>
      </c>
      <c r="T3797">
        <v>-0.46737919999999999</v>
      </c>
      <c r="U3797">
        <v>0.1203308</v>
      </c>
      <c r="V3797">
        <v>4.0848150000000003E-3</v>
      </c>
      <c r="W3797">
        <v>0.17067089999999999</v>
      </c>
      <c r="X3797">
        <v>0.98531959999999996</v>
      </c>
      <c r="Y3797">
        <v>4.0774110000000002E-2</v>
      </c>
      <c r="Z3797">
        <v>3.6665220000000002E-3</v>
      </c>
      <c r="AA3797">
        <v>0.99916170000000004</v>
      </c>
      <c r="AB3797">
        <v>28</v>
      </c>
      <c r="AC3797">
        <v>-0.76290000000000102</v>
      </c>
      <c r="AD3797">
        <v>-0.14069880000000001</v>
      </c>
      <c r="AE3797">
        <v>3.7100000000009403E-2</v>
      </c>
      <c r="AF3797">
        <v>3.78539969763666E-2</v>
      </c>
      <c r="AG3797">
        <v>-0.14069880000000001</v>
      </c>
      <c r="AH3797">
        <v>0.73776374732296801</v>
      </c>
      <c r="AI3797">
        <v>100.783363578918</v>
      </c>
      <c r="AJ3797">
        <v>87.062780604092694</v>
      </c>
      <c r="AK3797">
        <v>0.75201357984584005</v>
      </c>
      <c r="AL3797">
        <v>80.173170901183397</v>
      </c>
      <c r="AM3797">
        <v>89.762471670304095</v>
      </c>
      <c r="AN3797">
        <v>0.99999997798227602</v>
      </c>
    </row>
    <row r="3798" spans="1:40" x14ac:dyDescent="0.25">
      <c r="A3798" t="str">
        <f>"20190303161948080"</f>
        <v>20190303161948080</v>
      </c>
      <c r="B3798" t="str">
        <f>"1551601188066116"</f>
        <v>1551601188066116</v>
      </c>
      <c r="C3798" t="s">
        <v>40</v>
      </c>
      <c r="D3798">
        <v>4.5503479999999996</v>
      </c>
      <c r="E3798">
        <v>0.46929870000000001</v>
      </c>
      <c r="F3798" t="s">
        <v>57</v>
      </c>
      <c r="G3798">
        <v>-511.95949999999999</v>
      </c>
      <c r="H3798">
        <v>2.5872350000000002</v>
      </c>
      <c r="I3798">
        <v>276.22730000000001</v>
      </c>
      <c r="J3798">
        <v>-407.12959999999998</v>
      </c>
      <c r="K3798">
        <v>1.1214029999999999</v>
      </c>
      <c r="L3798">
        <v>283.76900000000001</v>
      </c>
      <c r="M3798">
        <v>-0.99991719999999895</v>
      </c>
      <c r="N3798">
        <v>-1.260373E-2</v>
      </c>
      <c r="O3798">
        <v>-2.6722170000000002E-3</v>
      </c>
      <c r="P3798">
        <v>-0.98729469999999997</v>
      </c>
      <c r="Q3798">
        <v>0.1588984</v>
      </c>
      <c r="R3798">
        <v>9.7337879999999995E-4</v>
      </c>
      <c r="S3798">
        <v>-3.0317989999999999</v>
      </c>
      <c r="T3798">
        <v>4.2295689999999997E-2</v>
      </c>
      <c r="U3798">
        <v>-0.2176208</v>
      </c>
      <c r="V3798">
        <v>3.618703E-3</v>
      </c>
      <c r="W3798">
        <v>0.17132910000000001</v>
      </c>
      <c r="X3798">
        <v>0.98520719999999995</v>
      </c>
      <c r="Y3798">
        <v>-6.892972E-2</v>
      </c>
      <c r="Z3798" s="1">
        <v>-2.565974E-5</v>
      </c>
      <c r="AA3798">
        <v>0.99762150000000005</v>
      </c>
      <c r="AB3798">
        <v>28</v>
      </c>
      <c r="AC3798">
        <v>-104.82989999999999</v>
      </c>
      <c r="AD3798">
        <v>1.46583199999999</v>
      </c>
      <c r="AE3798">
        <v>-7.5416999999999899</v>
      </c>
      <c r="AF3798">
        <v>-7.2601104219202801</v>
      </c>
      <c r="AG3798">
        <v>1.46583199999999</v>
      </c>
      <c r="AH3798">
        <v>104.829289304957</v>
      </c>
      <c r="AI3798">
        <v>89.200797244460801</v>
      </c>
      <c r="AJ3798">
        <v>93.961779466467803</v>
      </c>
      <c r="AK3798">
        <v>105.090616912134</v>
      </c>
      <c r="AL3798">
        <v>80.134895185575502</v>
      </c>
      <c r="AM3798">
        <v>89.789551399123994</v>
      </c>
      <c r="AN3798">
        <v>0.99999999122502603</v>
      </c>
    </row>
    <row r="3799" spans="1:40" x14ac:dyDescent="0.25">
      <c r="A3799" t="str">
        <f>"20190303161948103"</f>
        <v>20190303161948103</v>
      </c>
      <c r="B3799" t="str">
        <f>"1551601188096372"</f>
        <v>1551601188096372</v>
      </c>
      <c r="C3799" t="s">
        <v>40</v>
      </c>
      <c r="D3799">
        <v>4.5650120000000003</v>
      </c>
      <c r="E3799">
        <v>0.4704353</v>
      </c>
      <c r="F3799" t="s">
        <v>57</v>
      </c>
      <c r="G3799">
        <v>-512.82640000000004</v>
      </c>
      <c r="H3799">
        <v>3.8625060000000002</v>
      </c>
      <c r="I3799">
        <v>275.16520000000003</v>
      </c>
      <c r="J3799">
        <v>-407.41219999999998</v>
      </c>
      <c r="K3799">
        <v>1.121405</v>
      </c>
      <c r="L3799">
        <v>283.76830000000001</v>
      </c>
      <c r="M3799">
        <v>-0.99991719999999895</v>
      </c>
      <c r="N3799">
        <v>-1.2601930000000001E-2</v>
      </c>
      <c r="O3799">
        <v>-2.6725630000000002E-3</v>
      </c>
      <c r="P3799">
        <v>-0.98725309999999999</v>
      </c>
      <c r="Q3799">
        <v>0.15915770000000001</v>
      </c>
      <c r="R3799">
        <v>5.8509359999999995E-4</v>
      </c>
      <c r="S3799">
        <v>-3.0262150000000001</v>
      </c>
      <c r="T3799">
        <v>7.8482869999999996E-2</v>
      </c>
      <c r="U3799">
        <v>-0.2463379</v>
      </c>
      <c r="V3799">
        <v>3.2305900000000002E-3</v>
      </c>
      <c r="W3799">
        <v>0.1715865</v>
      </c>
      <c r="X3799">
        <v>0.98516369999999998</v>
      </c>
      <c r="Y3799">
        <v>-7.8457280000000004E-2</v>
      </c>
      <c r="Z3799">
        <v>4.1748369999999998E-4</v>
      </c>
      <c r="AA3799">
        <v>0.99691739999999995</v>
      </c>
      <c r="AB3799">
        <v>28</v>
      </c>
      <c r="AC3799">
        <v>-105.41419999999999</v>
      </c>
      <c r="AD3799">
        <v>2.741101</v>
      </c>
      <c r="AE3799">
        <v>-8.60309999999998</v>
      </c>
      <c r="AF3799">
        <v>-8.3157352628606205</v>
      </c>
      <c r="AG3799">
        <v>2.741101</v>
      </c>
      <c r="AH3799">
        <v>105.366044320984</v>
      </c>
      <c r="AI3799">
        <v>88.514402030495603</v>
      </c>
      <c r="AJ3799">
        <v>94.512563578757096</v>
      </c>
      <c r="AK3799">
        <v>105.729221994233</v>
      </c>
      <c r="AL3799">
        <v>80.119925060009393</v>
      </c>
      <c r="AM3799">
        <v>89.812113957448901</v>
      </c>
      <c r="AN3799">
        <v>0.999999939745842</v>
      </c>
    </row>
    <row r="3800" spans="1:40" x14ac:dyDescent="0.25">
      <c r="A3800" t="str">
        <f>"20190303161948117"</f>
        <v>20190303161948117</v>
      </c>
      <c r="B3800" t="str">
        <f>"1551601188106132"</f>
        <v>1551601188106132</v>
      </c>
      <c r="C3800" t="s">
        <v>40</v>
      </c>
      <c r="D3800">
        <v>4.5593459999999997</v>
      </c>
      <c r="E3800">
        <v>0.4710259</v>
      </c>
      <c r="F3800" t="s">
        <v>57</v>
      </c>
      <c r="G3800">
        <v>-511.96</v>
      </c>
      <c r="H3800">
        <v>4.0814589999999997</v>
      </c>
      <c r="I3800">
        <v>275.54270000000002</v>
      </c>
      <c r="J3800">
        <v>-407.58519999999999</v>
      </c>
      <c r="K3800">
        <v>1.121405</v>
      </c>
      <c r="L3800">
        <v>283.76780000000002</v>
      </c>
      <c r="M3800">
        <v>-0.99991719999999895</v>
      </c>
      <c r="N3800">
        <v>-1.260082E-2</v>
      </c>
      <c r="O3800">
        <v>-2.672556E-3</v>
      </c>
      <c r="P3800">
        <v>-0.98720980000000003</v>
      </c>
      <c r="Q3800">
        <v>0.15942729999999999</v>
      </c>
      <c r="R3800" s="1">
        <v>4.4449230000000003E-5</v>
      </c>
      <c r="S3800">
        <v>-3.0250849999999998</v>
      </c>
      <c r="T3800">
        <v>8.5651279999999996E-2</v>
      </c>
      <c r="U3800">
        <v>-0.23800660000000001</v>
      </c>
      <c r="V3800">
        <v>2.689772E-3</v>
      </c>
      <c r="W3800">
        <v>0.171853799999999</v>
      </c>
      <c r="X3800">
        <v>0.98511879999999996</v>
      </c>
      <c r="Y3800">
        <v>-7.5755999999999907E-2</v>
      </c>
      <c r="Z3800">
        <v>4.8334259999999998E-4</v>
      </c>
      <c r="AA3800">
        <v>0.99712630000000002</v>
      </c>
      <c r="AB3800">
        <v>28</v>
      </c>
      <c r="AC3800">
        <v>-104.37479999999999</v>
      </c>
      <c r="AD3800">
        <v>2.9600539999999902</v>
      </c>
      <c r="AE3800">
        <v>-8.2250999999999905</v>
      </c>
      <c r="AF3800">
        <v>-7.9397546359189102</v>
      </c>
      <c r="AG3800">
        <v>2.9600539999999902</v>
      </c>
      <c r="AH3800">
        <v>104.313031737665</v>
      </c>
      <c r="AI3800">
        <v>88.379259667755207</v>
      </c>
      <c r="AJ3800">
        <v>94.352658120365106</v>
      </c>
      <c r="AK3800">
        <v>104.65663005115699</v>
      </c>
      <c r="AL3800">
        <v>80.104379642018102</v>
      </c>
      <c r="AM3800">
        <v>89.843559781338996</v>
      </c>
      <c r="AN3800">
        <v>1.00000000678064</v>
      </c>
    </row>
    <row r="3801" spans="1:40" x14ac:dyDescent="0.25">
      <c r="A3801" t="str">
        <f>"20190303161948130"</f>
        <v>20190303161948130</v>
      </c>
      <c r="B3801" t="str">
        <f>"1551601188126628"</f>
        <v>1551601188126628</v>
      </c>
      <c r="C3801" t="s">
        <v>40</v>
      </c>
      <c r="D3801">
        <v>4.5797410000000003</v>
      </c>
      <c r="E3801">
        <v>0.4716938</v>
      </c>
      <c r="F3801" t="s">
        <v>57</v>
      </c>
      <c r="G3801">
        <v>-511.96</v>
      </c>
      <c r="H3801">
        <v>4.0155810000000001</v>
      </c>
      <c r="I3801">
        <v>275.66399999999999</v>
      </c>
      <c r="J3801">
        <v>-407.74900000000002</v>
      </c>
      <c r="K3801">
        <v>1.1214059999999999</v>
      </c>
      <c r="L3801">
        <v>283.76740000000001</v>
      </c>
      <c r="M3801">
        <v>-0.9999171</v>
      </c>
      <c r="N3801">
        <v>-1.259978E-2</v>
      </c>
      <c r="O3801">
        <v>-2.672312E-3</v>
      </c>
      <c r="P3801">
        <v>-0.98717889999999997</v>
      </c>
      <c r="Q3801">
        <v>0.15961639999999999</v>
      </c>
      <c r="R3801">
        <v>-5.3085009999999995E-4</v>
      </c>
      <c r="S3801">
        <v>-3.02536</v>
      </c>
      <c r="T3801">
        <v>8.3891510000000002E-2</v>
      </c>
      <c r="U3801">
        <v>-0.23489380000000001</v>
      </c>
      <c r="V3801">
        <v>2.11415E-3</v>
      </c>
      <c r="W3801">
        <v>0.17204169999999999</v>
      </c>
      <c r="X3801">
        <v>0.98508739999999995</v>
      </c>
      <c r="Y3801">
        <v>-7.4730489999999997E-2</v>
      </c>
      <c r="Z3801">
        <v>4.5520659999999998E-4</v>
      </c>
      <c r="AA3801">
        <v>0.99720359999999997</v>
      </c>
      <c r="AB3801">
        <v>28</v>
      </c>
      <c r="AC3801">
        <v>-104.210999999999</v>
      </c>
      <c r="AD3801">
        <v>2.8941750000000002</v>
      </c>
      <c r="AE3801">
        <v>-8.1034000000000201</v>
      </c>
      <c r="AF3801">
        <v>-7.8188702249533097</v>
      </c>
      <c r="AG3801">
        <v>2.8941750000000002</v>
      </c>
      <c r="AH3801">
        <v>104.152434578862</v>
      </c>
      <c r="AI3801">
        <v>88.412745634629999</v>
      </c>
      <c r="AJ3801">
        <v>94.293221970938404</v>
      </c>
      <c r="AK3801">
        <v>104.48560000894599</v>
      </c>
      <c r="AL3801">
        <v>80.093450935802096</v>
      </c>
      <c r="AM3801">
        <v>89.8770345795905</v>
      </c>
      <c r="AN3801">
        <v>1.00000000090393</v>
      </c>
    </row>
    <row r="3802" spans="1:40" x14ac:dyDescent="0.25">
      <c r="A3802" t="str">
        <f>"20190303161948142"</f>
        <v>20190303161948142</v>
      </c>
      <c r="B3802" t="str">
        <f>"1551601188136388"</f>
        <v>1551601188136388</v>
      </c>
      <c r="C3802" t="s">
        <v>40</v>
      </c>
      <c r="D3802">
        <v>4.7436829999999999</v>
      </c>
      <c r="E3802">
        <v>0.47177930000000001</v>
      </c>
      <c r="F3802" t="s">
        <v>57</v>
      </c>
      <c r="G3802">
        <v>-511.9599</v>
      </c>
      <c r="H3802">
        <v>3.911286</v>
      </c>
      <c r="I3802">
        <v>275.80860000000001</v>
      </c>
      <c r="J3802">
        <v>-407.90809999999999</v>
      </c>
      <c r="K3802">
        <v>1.121405</v>
      </c>
      <c r="L3802">
        <v>283.76690000000002</v>
      </c>
      <c r="M3802">
        <v>-0.99991719999999895</v>
      </c>
      <c r="N3802">
        <v>-1.2598760000000001E-2</v>
      </c>
      <c r="O3802">
        <v>-2.6725439999999998E-3</v>
      </c>
      <c r="P3802">
        <v>-0.98713580000000001</v>
      </c>
      <c r="Q3802">
        <v>0.15987960000000001</v>
      </c>
      <c r="R3802">
        <v>-1.2531300000000001E-3</v>
      </c>
      <c r="S3802">
        <v>-3.0257260000000001</v>
      </c>
      <c r="T3802">
        <v>8.100533E-2</v>
      </c>
      <c r="U3802">
        <v>-0.23107910000000001</v>
      </c>
      <c r="V3802">
        <v>1.3919539999999999E-3</v>
      </c>
      <c r="W3802">
        <v>0.17230390000000001</v>
      </c>
      <c r="X3802">
        <v>0.98504290000000005</v>
      </c>
      <c r="Y3802">
        <v>-7.3472689999999993E-2</v>
      </c>
      <c r="Z3802">
        <v>4.1329399999999998E-4</v>
      </c>
      <c r="AA3802">
        <v>0.99729719999999999</v>
      </c>
      <c r="AB3802">
        <v>28</v>
      </c>
      <c r="AC3802">
        <v>-104.0518</v>
      </c>
      <c r="AD3802">
        <v>2.7898809999999998</v>
      </c>
      <c r="AE3802">
        <v>-7.9583000000000004</v>
      </c>
      <c r="AF3802">
        <v>-7.6746812395561603</v>
      </c>
      <c r="AG3802">
        <v>2.7898809999999998</v>
      </c>
      <c r="AH3802">
        <v>103.998368694772</v>
      </c>
      <c r="AI3802">
        <v>88.467505751042495</v>
      </c>
      <c r="AJ3802">
        <v>94.220558604559798</v>
      </c>
      <c r="AK3802">
        <v>104.31847803383999</v>
      </c>
      <c r="AL3802">
        <v>80.078200663677194</v>
      </c>
      <c r="AM3802">
        <v>89.9190359766136</v>
      </c>
      <c r="AN3802">
        <v>1.0000000431657701</v>
      </c>
    </row>
    <row r="3803" spans="1:40" x14ac:dyDescent="0.25">
      <c r="A3803" t="str">
        <f>"20190303161948155"</f>
        <v>20190303161948155</v>
      </c>
      <c r="B3803" t="str">
        <f>"1551601188146147"</f>
        <v>1551601188146147</v>
      </c>
      <c r="C3803" t="s">
        <v>40</v>
      </c>
      <c r="D3803">
        <v>4.7457599999999998</v>
      </c>
      <c r="E3803">
        <v>0.47191070000000002</v>
      </c>
      <c r="F3803" t="s">
        <v>57</v>
      </c>
      <c r="G3803">
        <v>-511.9599</v>
      </c>
      <c r="H3803">
        <v>3.8849309999999999</v>
      </c>
      <c r="I3803">
        <v>275.76060000000001</v>
      </c>
      <c r="J3803">
        <v>-408.0591</v>
      </c>
      <c r="K3803">
        <v>1.1214059999999999</v>
      </c>
      <c r="L3803">
        <v>283.76650000000001</v>
      </c>
      <c r="M3803">
        <v>-0.9999171</v>
      </c>
      <c r="N3803">
        <v>-1.2597789999999999E-2</v>
      </c>
      <c r="O3803">
        <v>-2.6722989999999999E-3</v>
      </c>
      <c r="P3803">
        <v>-0.98710640000000005</v>
      </c>
      <c r="Q3803">
        <v>0.16005539999999999</v>
      </c>
      <c r="R3803">
        <v>-1.887403E-3</v>
      </c>
      <c r="S3803">
        <v>-3.025757</v>
      </c>
      <c r="T3803">
        <v>8.0363749999999998E-2</v>
      </c>
      <c r="U3803">
        <v>-0.23281859999999999</v>
      </c>
      <c r="V3803">
        <v>7.5756700000000001E-4</v>
      </c>
      <c r="W3803">
        <v>0.17247760000000001</v>
      </c>
      <c r="X3803">
        <v>0.98501309999999997</v>
      </c>
      <c r="Y3803">
        <v>-7.4042330000000003E-2</v>
      </c>
      <c r="Z3803">
        <v>4.1005399999999997E-4</v>
      </c>
      <c r="AA3803">
        <v>0.997255</v>
      </c>
      <c r="AB3803">
        <v>28</v>
      </c>
      <c r="AC3803">
        <v>-103.9008</v>
      </c>
      <c r="AD3803">
        <v>2.763525</v>
      </c>
      <c r="AE3803">
        <v>-8.0058999999999898</v>
      </c>
      <c r="AF3803">
        <v>-7.7227642389150404</v>
      </c>
      <c r="AG3803">
        <v>2.763525</v>
      </c>
      <c r="AH3803">
        <v>103.848791734109</v>
      </c>
      <c r="AI3803">
        <v>88.479854711219602</v>
      </c>
      <c r="AJ3803">
        <v>94.2529991076226</v>
      </c>
      <c r="AK3803">
        <v>104.172211757982</v>
      </c>
      <c r="AL3803">
        <v>80.068096206776502</v>
      </c>
      <c r="AM3803">
        <v>89.955934207128493</v>
      </c>
      <c r="AN3803">
        <v>0.999999951790563</v>
      </c>
    </row>
    <row r="3804" spans="1:40" x14ac:dyDescent="0.25">
      <c r="A3804" t="str">
        <f>"20190303161948169"</f>
        <v>20190303161948169</v>
      </c>
      <c r="B3804" t="str">
        <f>"1551601188155908"</f>
        <v>1551601188155908</v>
      </c>
      <c r="C3804" t="s">
        <v>40</v>
      </c>
      <c r="D3804">
        <v>4.6052530000000003</v>
      </c>
      <c r="E3804">
        <v>0.47218900000000003</v>
      </c>
      <c r="F3804" t="s">
        <v>57</v>
      </c>
      <c r="G3804">
        <v>-511.9599</v>
      </c>
      <c r="H3804">
        <v>3.8634409999999999</v>
      </c>
      <c r="I3804">
        <v>275.73829999999998</v>
      </c>
      <c r="J3804">
        <v>-408.23169999999999</v>
      </c>
      <c r="K3804">
        <v>1.121408</v>
      </c>
      <c r="L3804">
        <v>283.76600000000002</v>
      </c>
      <c r="M3804">
        <v>-0.9999171</v>
      </c>
      <c r="N3804">
        <v>-1.2596690000000001E-2</v>
      </c>
      <c r="O3804">
        <v>-2.6722920000000002E-3</v>
      </c>
      <c r="P3804">
        <v>-0.98706470000000002</v>
      </c>
      <c r="Q3804">
        <v>0.1602973</v>
      </c>
      <c r="R3804">
        <v>-2.861789E-3</v>
      </c>
      <c r="S3804">
        <v>-3.0257869999999998</v>
      </c>
      <c r="T3804">
        <v>7.985544E-2</v>
      </c>
      <c r="U3804">
        <v>-0.23379520000000001</v>
      </c>
      <c r="V3804">
        <v>-2.1728540000000001E-4</v>
      </c>
      <c r="W3804">
        <v>0.1727186</v>
      </c>
      <c r="X3804">
        <v>0.98497120000000005</v>
      </c>
      <c r="Y3804">
        <v>-7.4361730000000001E-2</v>
      </c>
      <c r="Z3804">
        <v>4.0650719999999998E-4</v>
      </c>
      <c r="AA3804">
        <v>0.99723119999999998</v>
      </c>
      <c r="AB3804">
        <v>28</v>
      </c>
      <c r="AC3804">
        <v>-103.7282</v>
      </c>
      <c r="AD3804">
        <v>2.7420330000000002</v>
      </c>
      <c r="AE3804">
        <v>-8.0276999999999799</v>
      </c>
      <c r="AF3804">
        <v>-7.74507728048878</v>
      </c>
      <c r="AG3804">
        <v>2.7420330000000002</v>
      </c>
      <c r="AH3804">
        <v>103.67726551376001</v>
      </c>
      <c r="AI3804">
        <v>88.489215035730197</v>
      </c>
      <c r="AJ3804">
        <v>94.272272243346293</v>
      </c>
      <c r="AK3804">
        <v>104.002309356401</v>
      </c>
      <c r="AL3804">
        <v>80.054078154775496</v>
      </c>
      <c r="AM3804">
        <v>90.012639492573797</v>
      </c>
      <c r="AN3804">
        <v>1.00000001341417</v>
      </c>
    </row>
    <row r="3805" spans="1:40" x14ac:dyDescent="0.25">
      <c r="A3805" t="str">
        <f>"20190303161948182"</f>
        <v>20190303161948182</v>
      </c>
      <c r="B3805" t="str">
        <f>"1551601188176404"</f>
        <v>1551601188176404</v>
      </c>
      <c r="C3805" t="s">
        <v>40</v>
      </c>
      <c r="D3805">
        <v>4.5917409999999999</v>
      </c>
      <c r="E3805">
        <v>0.47265390000000002</v>
      </c>
      <c r="F3805" t="s">
        <v>57</v>
      </c>
      <c r="G3805">
        <v>-511.9599</v>
      </c>
      <c r="H3805">
        <v>3.8235839999999999</v>
      </c>
      <c r="I3805">
        <v>275.7337</v>
      </c>
      <c r="J3805">
        <v>-408.39060000000001</v>
      </c>
      <c r="K3805">
        <v>1.1214059999999999</v>
      </c>
      <c r="L3805">
        <v>283.76560000000001</v>
      </c>
      <c r="M3805">
        <v>-0.9999171</v>
      </c>
      <c r="N3805">
        <v>-1.259568E-2</v>
      </c>
      <c r="O3805">
        <v>-2.6722859999999998E-3</v>
      </c>
      <c r="P3805">
        <v>-0.9870217</v>
      </c>
      <c r="Q3805">
        <v>0.16055410000000001</v>
      </c>
      <c r="R3805">
        <v>-3.3244300000000002E-3</v>
      </c>
      <c r="S3805">
        <v>-3.025909</v>
      </c>
      <c r="T3805">
        <v>7.8828809999999999E-2</v>
      </c>
      <c r="U3805">
        <v>-0.23431399999999999</v>
      </c>
      <c r="V3805">
        <v>-6.7941059999999996E-4</v>
      </c>
      <c r="W3805">
        <v>0.17297360000000001</v>
      </c>
      <c r="X3805">
        <v>0.98492619999999997</v>
      </c>
      <c r="Y3805">
        <v>-7.4529029999999996E-2</v>
      </c>
      <c r="Z3805">
        <v>3.9593979999999999E-4</v>
      </c>
      <c r="AA3805">
        <v>0.99721879999999996</v>
      </c>
      <c r="AB3805">
        <v>28</v>
      </c>
      <c r="AC3805">
        <v>-103.5693</v>
      </c>
      <c r="AD3805">
        <v>2.702178</v>
      </c>
      <c r="AE3805">
        <v>-8.0319000000000091</v>
      </c>
      <c r="AF3805">
        <v>-7.7498386692649603</v>
      </c>
      <c r="AG3805">
        <v>2.702178</v>
      </c>
      <c r="AH3805">
        <v>103.52034871266299</v>
      </c>
      <c r="AI3805">
        <v>88.508925971089894</v>
      </c>
      <c r="AJ3805">
        <v>94.281344773857299</v>
      </c>
      <c r="AK3805">
        <v>103.845194221661</v>
      </c>
      <c r="AL3805">
        <v>80.039244067103496</v>
      </c>
      <c r="AM3805">
        <v>90.039523117328002</v>
      </c>
      <c r="AN3805">
        <v>0.99999997367108096</v>
      </c>
    </row>
    <row r="3806" spans="1:40" x14ac:dyDescent="0.25">
      <c r="A3806" t="str">
        <f>"20190303161948201"</f>
        <v>20190303161948201</v>
      </c>
      <c r="B3806" t="str">
        <f>"1551601188195927"</f>
        <v>1551601188195927</v>
      </c>
      <c r="C3806" t="s">
        <v>40</v>
      </c>
      <c r="D3806">
        <v>4.7345300000000003</v>
      </c>
      <c r="E3806">
        <v>0.47301470000000001</v>
      </c>
      <c r="F3806" t="s">
        <v>57</v>
      </c>
      <c r="G3806">
        <v>-511.95979999999997</v>
      </c>
      <c r="H3806">
        <v>3.6659259999999998</v>
      </c>
      <c r="I3806">
        <v>275.8288</v>
      </c>
      <c r="J3806">
        <v>-408.62880000000001</v>
      </c>
      <c r="K3806">
        <v>1.1214029999999999</v>
      </c>
      <c r="L3806">
        <v>283.76490000000001</v>
      </c>
      <c r="M3806">
        <v>-0.99991730000000001</v>
      </c>
      <c r="N3806">
        <v>-1.259414E-2</v>
      </c>
      <c r="O3806">
        <v>-2.6722759999999999E-3</v>
      </c>
      <c r="P3806">
        <v>-0.98707089999999997</v>
      </c>
      <c r="Q3806">
        <v>0.1602344</v>
      </c>
      <c r="R3806">
        <v>-4.0093059999999998E-3</v>
      </c>
      <c r="S3806">
        <v>-3.0265810000000002</v>
      </c>
      <c r="T3806">
        <v>7.4360129999999997E-2</v>
      </c>
      <c r="U3806">
        <v>-0.23193359999999999</v>
      </c>
      <c r="V3806">
        <v>-1.3647069999999999E-3</v>
      </c>
      <c r="W3806">
        <v>0.17265329999999901</v>
      </c>
      <c r="X3806">
        <v>0.98498169999999996</v>
      </c>
      <c r="Y3806">
        <v>-7.3734359999999999E-2</v>
      </c>
      <c r="Z3806">
        <v>3.4013899999999999E-4</v>
      </c>
      <c r="AA3806">
        <v>0.99727790000000005</v>
      </c>
      <c r="AB3806">
        <v>28</v>
      </c>
      <c r="AC3806">
        <v>-103.33099999999899</v>
      </c>
      <c r="AD3806">
        <v>2.5445229999999999</v>
      </c>
      <c r="AE3806">
        <v>-7.9360999999999997</v>
      </c>
      <c r="AF3806">
        <v>-7.6553059827009902</v>
      </c>
      <c r="AG3806">
        <v>2.5445229999999999</v>
      </c>
      <c r="AH3806">
        <v>103.289573722767</v>
      </c>
      <c r="AI3806">
        <v>88.592670977372293</v>
      </c>
      <c r="AJ3806">
        <v>94.238726451899296</v>
      </c>
      <c r="AK3806">
        <v>103.6041232134</v>
      </c>
      <c r="AL3806">
        <v>80.057876367444393</v>
      </c>
      <c r="AM3806">
        <v>90.079384115804601</v>
      </c>
      <c r="AN3806">
        <v>0.99999998688048697</v>
      </c>
    </row>
    <row r="3807" spans="1:40" x14ac:dyDescent="0.25">
      <c r="A3807" t="str">
        <f>"20190303161948214"</f>
        <v>20190303161948214</v>
      </c>
      <c r="B3807" t="str">
        <f>"1551601188206660"</f>
        <v>1551601188206660</v>
      </c>
      <c r="C3807" t="s">
        <v>40</v>
      </c>
      <c r="D3807">
        <v>4.6351310000000003</v>
      </c>
      <c r="E3807">
        <v>0.47311880000000001</v>
      </c>
      <c r="F3807" t="s">
        <v>57</v>
      </c>
      <c r="G3807">
        <v>-511.95979999999997</v>
      </c>
      <c r="H3807">
        <v>3.5067740000000001</v>
      </c>
      <c r="I3807">
        <v>275.8809</v>
      </c>
      <c r="J3807">
        <v>-408.77929999999998</v>
      </c>
      <c r="K3807">
        <v>1.1214010000000001</v>
      </c>
      <c r="L3807">
        <v>283.7645</v>
      </c>
      <c r="M3807">
        <v>-0.9999171</v>
      </c>
      <c r="N3807">
        <v>-1.2593139999999999E-2</v>
      </c>
      <c r="O3807">
        <v>-2.67227E-3</v>
      </c>
      <c r="P3807">
        <v>-0.98708720000000005</v>
      </c>
      <c r="Q3807">
        <v>0.1601293</v>
      </c>
      <c r="R3807">
        <v>-4.1669029999999996E-3</v>
      </c>
      <c r="S3807">
        <v>-3.0270079999999999</v>
      </c>
      <c r="T3807">
        <v>6.9880010000000006E-2</v>
      </c>
      <c r="U3807">
        <v>-0.230957</v>
      </c>
      <c r="V3807">
        <v>-1.5220769999999999E-3</v>
      </c>
      <c r="W3807">
        <v>0.1725476</v>
      </c>
      <c r="X3807">
        <v>0.98499999999999999</v>
      </c>
      <c r="Y3807">
        <v>-7.3405559999999995E-2</v>
      </c>
      <c r="Z3807">
        <v>2.8785049999999998E-4</v>
      </c>
      <c r="AA3807">
        <v>0.99730209999999997</v>
      </c>
      <c r="AB3807">
        <v>28</v>
      </c>
      <c r="AC3807">
        <v>-103.18049999999999</v>
      </c>
      <c r="AD3807">
        <v>2.3853729999999902</v>
      </c>
      <c r="AE3807">
        <v>-7.8836000000000004</v>
      </c>
      <c r="AF3807">
        <v>-7.6037834663064796</v>
      </c>
      <c r="AG3807">
        <v>2.3853729999999902</v>
      </c>
      <c r="AH3807">
        <v>103.146392381992</v>
      </c>
      <c r="AI3807">
        <v>88.678792492244298</v>
      </c>
      <c r="AJ3807">
        <v>94.2161248931708</v>
      </c>
      <c r="AK3807">
        <v>103.45378576336201</v>
      </c>
      <c r="AL3807">
        <v>80.064024894133098</v>
      </c>
      <c r="AM3807">
        <v>90.088536567290703</v>
      </c>
      <c r="AN3807">
        <v>0.99999999549207697</v>
      </c>
    </row>
    <row r="3808" spans="1:40" x14ac:dyDescent="0.25">
      <c r="A3808" t="str">
        <f>"20190303161948227"</f>
        <v>20190303161948227</v>
      </c>
      <c r="B3808" t="str">
        <f>"1551601188216420"</f>
        <v>1551601188216420</v>
      </c>
      <c r="C3808" t="s">
        <v>40</v>
      </c>
      <c r="D3808">
        <v>4.5905040000000001</v>
      </c>
      <c r="E3808">
        <v>0.47320610000000002</v>
      </c>
      <c r="F3808" t="s">
        <v>57</v>
      </c>
      <c r="G3808">
        <v>-511.95979999999997</v>
      </c>
      <c r="H3808">
        <v>3.4400930000000001</v>
      </c>
      <c r="I3808">
        <v>275.9008</v>
      </c>
      <c r="J3808">
        <v>-408.94560000000001</v>
      </c>
      <c r="K3808">
        <v>1.1214</v>
      </c>
      <c r="L3808">
        <v>283.76400000000001</v>
      </c>
      <c r="M3808">
        <v>-0.99991730000000001</v>
      </c>
      <c r="N3808">
        <v>-1.2592030000000001E-2</v>
      </c>
      <c r="O3808">
        <v>-2.6725009999999999E-3</v>
      </c>
      <c r="P3808">
        <v>-0.98711539999999998</v>
      </c>
      <c r="Q3808">
        <v>0.15995789999999999</v>
      </c>
      <c r="R3808">
        <v>-4.0896420000000001E-3</v>
      </c>
      <c r="S3808">
        <v>-3.0272220000000001</v>
      </c>
      <c r="T3808">
        <v>6.8030599999999997E-2</v>
      </c>
      <c r="U3808">
        <v>-0.2307129</v>
      </c>
      <c r="V3808">
        <v>-1.4446229999999999E-3</v>
      </c>
      <c r="W3808">
        <v>0.17237520000000001</v>
      </c>
      <c r="X3808">
        <v>0.98503030000000003</v>
      </c>
      <c r="Y3808">
        <v>-7.3320709999999997E-2</v>
      </c>
      <c r="Z3808">
        <v>2.6666819999999998E-4</v>
      </c>
      <c r="AA3808">
        <v>0.99730839999999998</v>
      </c>
      <c r="AB3808">
        <v>27</v>
      </c>
      <c r="AC3808">
        <v>-103.01419999999899</v>
      </c>
      <c r="AD3808">
        <v>2.3186930000000001</v>
      </c>
      <c r="AE3808">
        <v>-7.8632</v>
      </c>
      <c r="AF3808">
        <v>-7.5840245267379203</v>
      </c>
      <c r="AG3808">
        <v>2.3186930000000001</v>
      </c>
      <c r="AH3808">
        <v>102.982975933313</v>
      </c>
      <c r="AI3808">
        <v>88.713668264266005</v>
      </c>
      <c r="AJ3808">
        <v>94.211857318926505</v>
      </c>
      <c r="AK3808">
        <v>103.287884562188</v>
      </c>
      <c r="AL3808">
        <v>80.074052931295199</v>
      </c>
      <c r="AM3808">
        <v>90.084028624850504</v>
      </c>
      <c r="AN3808">
        <v>0.99999999421437102</v>
      </c>
    </row>
    <row r="3809" spans="1:40" x14ac:dyDescent="0.25">
      <c r="A3809" t="str">
        <f>"20190303161948247"</f>
        <v>20190303161948247</v>
      </c>
      <c r="B3809" t="str">
        <f>"1551601188235940"</f>
        <v>1551601188235940</v>
      </c>
      <c r="C3809" t="s">
        <v>40</v>
      </c>
      <c r="D3809">
        <v>4.6677770000000001</v>
      </c>
      <c r="E3809">
        <v>0.47345809999999999</v>
      </c>
      <c r="F3809" t="s">
        <v>57</v>
      </c>
      <c r="G3809">
        <v>-511.9597</v>
      </c>
      <c r="H3809">
        <v>3.3625250000000002</v>
      </c>
      <c r="I3809">
        <v>275.94709999999998</v>
      </c>
      <c r="J3809">
        <v>-409.19049999999999</v>
      </c>
      <c r="K3809">
        <v>1.1213959999999901</v>
      </c>
      <c r="L3809">
        <v>283.76339999999999</v>
      </c>
      <c r="M3809">
        <v>-0.99991730000000001</v>
      </c>
      <c r="N3809">
        <v>-1.259042E-2</v>
      </c>
      <c r="O3809">
        <v>-2.6724909999999999E-3</v>
      </c>
      <c r="P3809">
        <v>-0.98715799999999998</v>
      </c>
      <c r="Q3809">
        <v>0.15969820000000001</v>
      </c>
      <c r="R3809">
        <v>-3.9692579999999998E-3</v>
      </c>
      <c r="S3809">
        <v>-3.0275270000000001</v>
      </c>
      <c r="T3809">
        <v>6.5867659999999995E-2</v>
      </c>
      <c r="U3809">
        <v>-0.2297363</v>
      </c>
      <c r="V3809">
        <v>-1.3244419999999999E-3</v>
      </c>
      <c r="W3809">
        <v>0.17211409999999999</v>
      </c>
      <c r="X3809">
        <v>0.98507610000000001</v>
      </c>
      <c r="Y3809">
        <v>-7.2994050000000005E-2</v>
      </c>
      <c r="Z3809">
        <v>2.4094510000000001E-4</v>
      </c>
      <c r="AA3809">
        <v>0.99733229999999995</v>
      </c>
      <c r="AB3809">
        <v>27</v>
      </c>
      <c r="AC3809">
        <v>-102.7692</v>
      </c>
      <c r="AD3809">
        <v>2.2411289999999999</v>
      </c>
      <c r="AE3809">
        <v>-7.8163000000000098</v>
      </c>
      <c r="AF3809">
        <v>-7.53803639509671</v>
      </c>
      <c r="AG3809">
        <v>2.2411289999999999</v>
      </c>
      <c r="AH3809">
        <v>102.741144744024</v>
      </c>
      <c r="AI3809">
        <v>88.7537338179297</v>
      </c>
      <c r="AJ3809">
        <v>94.196227242120401</v>
      </c>
      <c r="AK3809">
        <v>103.04167834037401</v>
      </c>
      <c r="AL3809">
        <v>80.089239599314197</v>
      </c>
      <c r="AM3809">
        <v>90.077034546959496</v>
      </c>
      <c r="AN3809">
        <v>0.99999997017831499</v>
      </c>
    </row>
    <row r="3810" spans="1:40" x14ac:dyDescent="0.25">
      <c r="A3810" t="str">
        <f>"20190303161948262"</f>
        <v>20190303161948262</v>
      </c>
      <c r="B3810" t="str">
        <f>"1551601188256436"</f>
        <v>1551601188256436</v>
      </c>
      <c r="C3810" t="s">
        <v>40</v>
      </c>
      <c r="D3810">
        <v>4.5846850000000003</v>
      </c>
      <c r="E3810">
        <v>0.47350300000000001</v>
      </c>
      <c r="F3810" t="s">
        <v>57</v>
      </c>
      <c r="G3810">
        <v>-511.9597</v>
      </c>
      <c r="H3810">
        <v>3.1601249999999999</v>
      </c>
      <c r="I3810">
        <v>276.05829999999997</v>
      </c>
      <c r="J3810">
        <v>-409.36869999999999</v>
      </c>
      <c r="K3810">
        <v>1.1213959999999901</v>
      </c>
      <c r="L3810">
        <v>283.7629</v>
      </c>
      <c r="M3810">
        <v>-0.99991730000000001</v>
      </c>
      <c r="N3810">
        <v>-1.2589309999999999E-2</v>
      </c>
      <c r="O3810">
        <v>-2.672603E-3</v>
      </c>
      <c r="P3810">
        <v>-0.98719259999999998</v>
      </c>
      <c r="Q3810">
        <v>0.15947939999999999</v>
      </c>
      <c r="R3810">
        <v>-4.1687829999999997E-3</v>
      </c>
      <c r="S3810">
        <v>-3.028381</v>
      </c>
      <c r="T3810">
        <v>6.0079100000000003E-2</v>
      </c>
      <c r="U3810">
        <v>-0.2270508</v>
      </c>
      <c r="V3810">
        <v>-1.5231929999999999E-3</v>
      </c>
      <c r="W3810">
        <v>0.17189470000000001</v>
      </c>
      <c r="X3810">
        <v>0.98511420000000005</v>
      </c>
      <c r="Y3810">
        <v>-7.2095149999999997E-2</v>
      </c>
      <c r="Z3810">
        <v>1.730445E-4</v>
      </c>
      <c r="AA3810">
        <v>0.99739770000000005</v>
      </c>
      <c r="AB3810">
        <v>27</v>
      </c>
      <c r="AC3810">
        <v>-102.59099999999999</v>
      </c>
      <c r="AD3810">
        <v>2.038729</v>
      </c>
      <c r="AE3810">
        <v>-7.7046000000000197</v>
      </c>
      <c r="AF3810">
        <v>-7.4274490282555297</v>
      </c>
      <c r="AG3810">
        <v>2.038729</v>
      </c>
      <c r="AH3810">
        <v>102.570947179497</v>
      </c>
      <c r="AI3810">
        <v>88.8642958255233</v>
      </c>
      <c r="AJ3810">
        <v>94.141718473463797</v>
      </c>
      <c r="AK3810">
        <v>102.859723022677</v>
      </c>
      <c r="AL3810">
        <v>80.102001252869002</v>
      </c>
      <c r="AM3810">
        <v>90.088591211795105</v>
      </c>
      <c r="AN3810">
        <v>1.0000000475233199</v>
      </c>
    </row>
    <row r="3811" spans="1:40" x14ac:dyDescent="0.25">
      <c r="A3811" t="str">
        <f>"20190303161948280"</f>
        <v>20190303161948280</v>
      </c>
      <c r="B3811" t="str">
        <f>"1551601188275955"</f>
        <v>1551601188275955</v>
      </c>
      <c r="C3811" t="s">
        <v>40</v>
      </c>
      <c r="D3811">
        <v>4.6017229999999998</v>
      </c>
      <c r="E3811">
        <v>0.46236369999999999</v>
      </c>
      <c r="F3811" t="s">
        <v>57</v>
      </c>
      <c r="G3811">
        <v>-511.95960000000002</v>
      </c>
      <c r="H3811">
        <v>2.968216</v>
      </c>
      <c r="I3811">
        <v>276.07409999999999</v>
      </c>
      <c r="J3811">
        <v>-409.59780000000001</v>
      </c>
      <c r="K3811">
        <v>1.121397</v>
      </c>
      <c r="L3811">
        <v>283.76229999999998</v>
      </c>
      <c r="M3811">
        <v>-0.99991730000000001</v>
      </c>
      <c r="N3811">
        <v>-1.2587889999999999E-2</v>
      </c>
      <c r="O3811">
        <v>-2.672476E-3</v>
      </c>
      <c r="P3811">
        <v>-0.987178</v>
      </c>
      <c r="Q3811">
        <v>0.15956960000000001</v>
      </c>
      <c r="R3811">
        <v>-4.2165800000000002E-3</v>
      </c>
      <c r="S3811">
        <v>-3.0291440000000001</v>
      </c>
      <c r="T3811">
        <v>5.4532289999999997E-2</v>
      </c>
      <c r="U3811">
        <v>-0.22702030000000001</v>
      </c>
      <c r="V3811">
        <v>-1.571551E-3</v>
      </c>
      <c r="W3811">
        <v>0.17198350000000001</v>
      </c>
      <c r="X3811">
        <v>0.98509860000000005</v>
      </c>
      <c r="Y3811">
        <v>-7.2068049999999995E-2</v>
      </c>
      <c r="Z3811">
        <v>1.118568E-4</v>
      </c>
      <c r="AA3811">
        <v>0.9973997</v>
      </c>
      <c r="AB3811">
        <v>27</v>
      </c>
      <c r="AC3811">
        <v>-102.3618</v>
      </c>
      <c r="AD3811">
        <v>1.84681899999999</v>
      </c>
      <c r="AE3811">
        <v>-7.6881999999999904</v>
      </c>
      <c r="AF3811">
        <v>-7.4121921834492097</v>
      </c>
      <c r="AG3811">
        <v>1.84681899999999</v>
      </c>
      <c r="AH3811">
        <v>102.348853219372</v>
      </c>
      <c r="AI3811">
        <v>88.968946527885194</v>
      </c>
      <c r="AJ3811">
        <v>94.142178240272003</v>
      </c>
      <c r="AK3811">
        <v>102.633518349045</v>
      </c>
      <c r="AL3811">
        <v>80.096836225338606</v>
      </c>
      <c r="AM3811">
        <v>90.0914052290819</v>
      </c>
      <c r="AN3811">
        <v>1.0000000228833701</v>
      </c>
    </row>
    <row r="3812" spans="1:40" x14ac:dyDescent="0.25">
      <c r="A3812" t="str">
        <f>"20190303161948303"</f>
        <v>20190303161948303</v>
      </c>
      <c r="B3812" t="str">
        <f>"1551601188296452"</f>
        <v>1551601188296452</v>
      </c>
      <c r="C3812" t="s">
        <v>40</v>
      </c>
      <c r="D3812">
        <v>4.5371709999999998</v>
      </c>
      <c r="E3812">
        <v>0.46165089999999998</v>
      </c>
      <c r="F3812" t="s">
        <v>57</v>
      </c>
      <c r="G3812">
        <v>-512.82529999999997</v>
      </c>
      <c r="H3812">
        <v>0.26443440000000001</v>
      </c>
      <c r="I3812">
        <v>273.01280000000003</v>
      </c>
      <c r="J3812">
        <v>-409.87079999999997</v>
      </c>
      <c r="K3812">
        <v>1.1213959999999901</v>
      </c>
      <c r="L3812">
        <v>283.76150000000001</v>
      </c>
      <c r="M3812">
        <v>-0.99991739999999996</v>
      </c>
      <c r="N3812">
        <v>-1.258621E-2</v>
      </c>
      <c r="O3812">
        <v>-2.6724650000000002E-3</v>
      </c>
      <c r="P3812">
        <v>-0.98719089999999998</v>
      </c>
      <c r="Q3812">
        <v>0.15948029999999999</v>
      </c>
      <c r="R3812">
        <v>-4.5409430000000004E-3</v>
      </c>
      <c r="S3812">
        <v>-3.041687</v>
      </c>
      <c r="T3812">
        <v>-2.524877E-2</v>
      </c>
      <c r="U3812">
        <v>-0.31674190000000002</v>
      </c>
      <c r="V3812">
        <v>-1.8956960000000001E-3</v>
      </c>
      <c r="W3812">
        <v>0.17189279999999901</v>
      </c>
      <c r="X3812">
        <v>0.98511389999999999</v>
      </c>
      <c r="Y3812">
        <v>-0.1009062</v>
      </c>
      <c r="Z3812">
        <v>-1.0658740000000001E-3</v>
      </c>
      <c r="AA3812">
        <v>0.99489539999999999</v>
      </c>
      <c r="AB3812">
        <v>27</v>
      </c>
      <c r="AC3812">
        <v>-102.9545</v>
      </c>
      <c r="AD3812">
        <v>-0.85696159999999899</v>
      </c>
      <c r="AE3812">
        <v>-10.7486999999999</v>
      </c>
      <c r="AF3812">
        <v>-10.472779795223101</v>
      </c>
      <c r="AG3812">
        <v>-0.85696159999999899</v>
      </c>
      <c r="AH3812">
        <v>102.975802448517</v>
      </c>
      <c r="AI3812">
        <v>90.474356036929194</v>
      </c>
      <c r="AJ3812">
        <v>95.8070927342809</v>
      </c>
      <c r="AK3812">
        <v>103.51052791740101</v>
      </c>
      <c r="AL3812">
        <v>80.102111906056507</v>
      </c>
      <c r="AM3812">
        <v>90.110256535786604</v>
      </c>
      <c r="AN3812">
        <v>1.00000006216418</v>
      </c>
    </row>
    <row r="3813" spans="1:40" x14ac:dyDescent="0.25">
      <c r="A3813" t="str">
        <f>"20190303161948315"</f>
        <v>20190303161948315</v>
      </c>
      <c r="B3813" t="str">
        <f>"1551601188306212"</f>
        <v>1551601188306212</v>
      </c>
      <c r="C3813" t="s">
        <v>40</v>
      </c>
      <c r="D3813">
        <v>4.4956339999999999</v>
      </c>
      <c r="E3813">
        <v>0.46154909999999999</v>
      </c>
      <c r="F3813" t="s">
        <v>57</v>
      </c>
      <c r="G3813">
        <v>-512.82510000000002</v>
      </c>
      <c r="H3813">
        <v>1.492667E-2</v>
      </c>
      <c r="I3813">
        <v>272.82420000000002</v>
      </c>
      <c r="J3813">
        <v>-410.03289999999998</v>
      </c>
      <c r="K3813">
        <v>1.121394</v>
      </c>
      <c r="L3813">
        <v>283.76100000000002</v>
      </c>
      <c r="M3813">
        <v>-0.99991730000000001</v>
      </c>
      <c r="N3813">
        <v>-1.25852E-2</v>
      </c>
      <c r="O3813">
        <v>-2.6722199999999999E-3</v>
      </c>
      <c r="P3813">
        <v>-0.98721789999999998</v>
      </c>
      <c r="Q3813">
        <v>0.159304</v>
      </c>
      <c r="R3813">
        <v>-4.7663319999999999E-3</v>
      </c>
      <c r="S3813">
        <v>-3.0427550000000001</v>
      </c>
      <c r="T3813">
        <v>-3.2698629999999999E-2</v>
      </c>
      <c r="U3813">
        <v>-0.32324219999999998</v>
      </c>
      <c r="V3813">
        <v>-2.121707E-3</v>
      </c>
      <c r="W3813">
        <v>0.17171620000000001</v>
      </c>
      <c r="X3813">
        <v>0.98514420000000003</v>
      </c>
      <c r="Y3813">
        <v>-0.1029683</v>
      </c>
      <c r="Z3813">
        <v>-1.2064269999999999E-3</v>
      </c>
      <c r="AA3813">
        <v>0.99468389999999995</v>
      </c>
      <c r="AB3813">
        <v>27</v>
      </c>
      <c r="AC3813">
        <v>-102.79219999999999</v>
      </c>
      <c r="AD3813">
        <v>-1.1064673300000001</v>
      </c>
      <c r="AE3813">
        <v>-10.9367999999999</v>
      </c>
      <c r="AF3813">
        <v>-10.6608344313636</v>
      </c>
      <c r="AG3813">
        <v>-1.1064673300000001</v>
      </c>
      <c r="AH3813">
        <v>102.809281998899</v>
      </c>
      <c r="AI3813">
        <v>90.613323855080097</v>
      </c>
      <c r="AJ3813">
        <v>95.920141633719894</v>
      </c>
      <c r="AK3813">
        <v>103.36646518989799</v>
      </c>
      <c r="AL3813">
        <v>80.112382688959201</v>
      </c>
      <c r="AM3813">
        <v>90.123397842170803</v>
      </c>
      <c r="AN3813">
        <v>1.0000000248883301</v>
      </c>
    </row>
    <row r="3814" spans="1:40" x14ac:dyDescent="0.25">
      <c r="A3814" t="str">
        <f>"20190303161948336"</f>
        <v>20190303161948336</v>
      </c>
      <c r="B3814" t="str">
        <f>"1551601188326709"</f>
        <v>1551601188326709</v>
      </c>
      <c r="C3814" t="s">
        <v>40</v>
      </c>
      <c r="D3814">
        <v>4.4447219999999996</v>
      </c>
      <c r="E3814">
        <v>0.46089780000000002</v>
      </c>
      <c r="F3814" t="s">
        <v>49</v>
      </c>
      <c r="G3814">
        <v>-499.95780000000002</v>
      </c>
      <c r="H3814">
        <v>6.6778790000000003E-3</v>
      </c>
      <c r="I3814">
        <v>274.16660000000002</v>
      </c>
      <c r="J3814">
        <v>-410.28109999999998</v>
      </c>
      <c r="K3814">
        <v>1.1214029999999999</v>
      </c>
      <c r="L3814">
        <v>283.7604</v>
      </c>
      <c r="M3814">
        <v>-0.99991739999999996</v>
      </c>
      <c r="N3814">
        <v>-1.258365E-2</v>
      </c>
      <c r="O3814">
        <v>-2.6724489999999999E-3</v>
      </c>
      <c r="P3814">
        <v>-0.98723839999999996</v>
      </c>
      <c r="Q3814">
        <v>0.15919029999999901</v>
      </c>
      <c r="R3814">
        <v>-4.3593850000000003E-3</v>
      </c>
      <c r="S3814">
        <v>-3.0433349999999999</v>
      </c>
      <c r="T3814">
        <v>-3.7725450000000001E-2</v>
      </c>
      <c r="U3814">
        <v>-0.32470700000000002</v>
      </c>
      <c r="V3814">
        <v>-1.7144650000000001E-3</v>
      </c>
      <c r="W3814">
        <v>0.17160110000000001</v>
      </c>
      <c r="X3814">
        <v>0.98516499999999996</v>
      </c>
      <c r="Y3814">
        <v>-0.1034185</v>
      </c>
      <c r="Z3814">
        <v>-1.2922669999999999E-3</v>
      </c>
      <c r="AA3814">
        <v>0.99463710000000005</v>
      </c>
      <c r="AB3814">
        <v>27</v>
      </c>
      <c r="AC3814">
        <v>-89.676699999999997</v>
      </c>
      <c r="AD3814">
        <v>-1.114725121</v>
      </c>
      <c r="AE3814">
        <v>-9.5937999999999803</v>
      </c>
      <c r="AF3814">
        <v>-9.3526615939841999</v>
      </c>
      <c r="AG3814">
        <v>-1.114725121</v>
      </c>
      <c r="AH3814">
        <v>89.688319125892093</v>
      </c>
      <c r="AI3814">
        <v>90.708245545271396</v>
      </c>
      <c r="AJ3814">
        <v>95.953263842099304</v>
      </c>
      <c r="AK3814">
        <v>90.181536240046597</v>
      </c>
      <c r="AL3814">
        <v>80.119076319835997</v>
      </c>
      <c r="AM3814">
        <v>90.099710717956498</v>
      </c>
      <c r="AN3814">
        <v>0.99999997706822197</v>
      </c>
    </row>
    <row r="3815" spans="1:40" x14ac:dyDescent="0.25">
      <c r="A3815" t="str">
        <f>"20190303161948358"</f>
        <v>20190303161948358</v>
      </c>
      <c r="B3815" t="str">
        <f>"1551601188346228"</f>
        <v>1551601188346228</v>
      </c>
      <c r="C3815" t="s">
        <v>40</v>
      </c>
      <c r="D3815">
        <v>4.360233</v>
      </c>
      <c r="E3815">
        <v>0.46088869999999998</v>
      </c>
      <c r="F3815" t="s">
        <v>49</v>
      </c>
      <c r="G3815">
        <v>-489.58879999999999</v>
      </c>
      <c r="H3815" s="1">
        <v>1.9093399999999999E-6</v>
      </c>
      <c r="I3815">
        <v>275.20280000000002</v>
      </c>
      <c r="J3815">
        <v>-410.55149999999998</v>
      </c>
      <c r="K3815">
        <v>1.121405</v>
      </c>
      <c r="L3815">
        <v>283.75970000000001</v>
      </c>
      <c r="M3815">
        <v>-0.99991730000000001</v>
      </c>
      <c r="N3815">
        <v>-1.2582070000000001E-2</v>
      </c>
      <c r="O3815">
        <v>-2.672439E-3</v>
      </c>
      <c r="P3815">
        <v>-0.98721680000000001</v>
      </c>
      <c r="Q3815">
        <v>0.15932199999999999</v>
      </c>
      <c r="R3815">
        <v>-4.389703E-3</v>
      </c>
      <c r="S3815">
        <v>-3.0442809999999998</v>
      </c>
      <c r="T3815">
        <v>-4.3045760000000002E-2</v>
      </c>
      <c r="U3815">
        <v>-0.32849119999999998</v>
      </c>
      <c r="V3815">
        <v>-1.74496E-3</v>
      </c>
      <c r="W3815">
        <v>0.17173079999999999</v>
      </c>
      <c r="X3815">
        <v>0.98514239999999997</v>
      </c>
      <c r="Y3815">
        <v>-0.1046044</v>
      </c>
      <c r="Z3815">
        <v>-1.393287E-3</v>
      </c>
      <c r="AA3815">
        <v>0.99451290000000003</v>
      </c>
      <c r="AB3815">
        <v>27</v>
      </c>
      <c r="AC3815">
        <v>-79.037300000000002</v>
      </c>
      <c r="AD3815">
        <v>-1.1214030906600001</v>
      </c>
      <c r="AE3815">
        <v>-8.5568999999999793</v>
      </c>
      <c r="AF3815">
        <v>-8.3439701192789393</v>
      </c>
      <c r="AG3815">
        <v>-1.1214030906600001</v>
      </c>
      <c r="AH3815">
        <v>79.044159507366103</v>
      </c>
      <c r="AI3815">
        <v>90.808312827804698</v>
      </c>
      <c r="AJ3815">
        <v>96.025876057288698</v>
      </c>
      <c r="AK3815">
        <v>79.491248162732404</v>
      </c>
      <c r="AL3815">
        <v>80.111533612110193</v>
      </c>
      <c r="AM3815">
        <v>90.101486585960302</v>
      </c>
      <c r="AN3815">
        <v>1.0000000304159</v>
      </c>
    </row>
    <row r="3816" spans="1:40" x14ac:dyDescent="0.25">
      <c r="A3816" t="str">
        <f>"20190303161948371"</f>
        <v>20190303161948371</v>
      </c>
      <c r="B3816" t="str">
        <f>"1551601188366724"</f>
        <v>1551601188366724</v>
      </c>
      <c r="C3816" t="s">
        <v>40</v>
      </c>
      <c r="D3816">
        <v>4.3422359999999998</v>
      </c>
      <c r="E3816">
        <v>0.46058690000000002</v>
      </c>
      <c r="F3816" t="s">
        <v>49</v>
      </c>
      <c r="G3816">
        <v>-499.45940000000002</v>
      </c>
      <c r="H3816" s="1">
        <v>8.4228669999999905E-7</v>
      </c>
      <c r="I3816">
        <v>274.14800000000002</v>
      </c>
      <c r="J3816">
        <v>-410.7158</v>
      </c>
      <c r="K3816">
        <v>1.121407</v>
      </c>
      <c r="L3816">
        <v>283.7593</v>
      </c>
      <c r="M3816">
        <v>-0.99991719999999895</v>
      </c>
      <c r="N3816">
        <v>-1.25811E-2</v>
      </c>
      <c r="O3816">
        <v>-2.672434E-3</v>
      </c>
      <c r="P3816">
        <v>-0.98722540000000003</v>
      </c>
      <c r="Q3816">
        <v>0.1592787</v>
      </c>
      <c r="R3816">
        <v>-4.0378330000000002E-3</v>
      </c>
      <c r="S3816">
        <v>-3.0436100000000001</v>
      </c>
      <c r="T3816">
        <v>-3.8389329999999999E-2</v>
      </c>
      <c r="U3816">
        <v>-0.32904050000000001</v>
      </c>
      <c r="V3816">
        <v>-1.3926570000000001E-3</v>
      </c>
      <c r="W3816">
        <v>0.17168659999999999</v>
      </c>
      <c r="X3816">
        <v>0.98515059999999999</v>
      </c>
      <c r="Y3816">
        <v>-0.10480829999999999</v>
      </c>
      <c r="Z3816">
        <v>-1.3202470000000001E-3</v>
      </c>
      <c r="AA3816">
        <v>0.99449160000000003</v>
      </c>
      <c r="AB3816">
        <v>27</v>
      </c>
      <c r="AC3816">
        <v>-88.743600000000001</v>
      </c>
      <c r="AD3816">
        <v>-1.1214061577133001</v>
      </c>
      <c r="AE3816">
        <v>-9.6113000000000195</v>
      </c>
      <c r="AF3816">
        <v>-9.3726061970125301</v>
      </c>
      <c r="AG3816">
        <v>-1.1214061577133001</v>
      </c>
      <c r="AH3816">
        <v>88.754962528831896</v>
      </c>
      <c r="AI3816">
        <v>90.719883041755295</v>
      </c>
      <c r="AJ3816">
        <v>96.028145865225198</v>
      </c>
      <c r="AK3816">
        <v>89.255513399392797</v>
      </c>
      <c r="AL3816">
        <v>80.114103626185099</v>
      </c>
      <c r="AM3816">
        <v>90.080996058121798</v>
      </c>
      <c r="AN3816">
        <v>0.99999996639671895</v>
      </c>
    </row>
    <row r="3817" spans="1:40" x14ac:dyDescent="0.25">
      <c r="A3817" t="str">
        <f>"20190303161948393"</f>
        <v>20190303161948393</v>
      </c>
      <c r="B3817" t="str">
        <f>"1551601188386244"</f>
        <v>1551601188386244</v>
      </c>
      <c r="C3817" t="s">
        <v>40</v>
      </c>
      <c r="D3817">
        <v>4.3086650000000004</v>
      </c>
      <c r="E3817">
        <v>0.46042470000000002</v>
      </c>
      <c r="F3817" t="s">
        <v>49</v>
      </c>
      <c r="G3817">
        <v>-499.95780000000002</v>
      </c>
      <c r="H3817">
        <v>4.0671840000000001E-2</v>
      </c>
      <c r="I3817">
        <v>274.07780000000002</v>
      </c>
      <c r="J3817">
        <v>-410.96980000000002</v>
      </c>
      <c r="K3817">
        <v>1.1214090000000001</v>
      </c>
      <c r="L3817">
        <v>283.7586</v>
      </c>
      <c r="M3817">
        <v>-0.99991730000000001</v>
      </c>
      <c r="N3817">
        <v>-1.257951E-2</v>
      </c>
      <c r="O3817">
        <v>-2.6724240000000001E-3</v>
      </c>
      <c r="P3817">
        <v>-0.98725669999999999</v>
      </c>
      <c r="Q3817">
        <v>0.1590906</v>
      </c>
      <c r="R3817">
        <v>-3.7886539999999998E-3</v>
      </c>
      <c r="S3817">
        <v>-3.0434269999999999</v>
      </c>
      <c r="T3817">
        <v>-3.6856409999999999E-2</v>
      </c>
      <c r="U3817">
        <v>-0.33016970000000001</v>
      </c>
      <c r="V3817">
        <v>-1.143254E-3</v>
      </c>
      <c r="W3817">
        <v>0.17149729999999999</v>
      </c>
      <c r="X3817">
        <v>0.98518399999999995</v>
      </c>
      <c r="Y3817">
        <v>-0.1051803</v>
      </c>
      <c r="Z3817">
        <v>-1.299814E-3</v>
      </c>
      <c r="AA3817">
        <v>0.99445229999999996</v>
      </c>
      <c r="AB3817">
        <v>27</v>
      </c>
      <c r="AC3817">
        <v>-88.988</v>
      </c>
      <c r="AD3817">
        <v>-1.08073716</v>
      </c>
      <c r="AE3817">
        <v>-9.6807999999999694</v>
      </c>
      <c r="AF3817">
        <v>-9.4415566445368793</v>
      </c>
      <c r="AG3817">
        <v>-1.08073716</v>
      </c>
      <c r="AH3817">
        <v>89.000581828576301</v>
      </c>
      <c r="AI3817">
        <v>90.691828848606903</v>
      </c>
      <c r="AJ3817">
        <v>96.055529400628799</v>
      </c>
      <c r="AK3817">
        <v>89.506505632306499</v>
      </c>
      <c r="AL3817">
        <v>80.125114064811797</v>
      </c>
      <c r="AM3817">
        <v>90.066488696231602</v>
      </c>
      <c r="AN3817">
        <v>1.0000000723964899</v>
      </c>
    </row>
    <row r="3818" spans="1:40" x14ac:dyDescent="0.25">
      <c r="A3818" t="str">
        <f>"20190303161948407"</f>
        <v>20190303161948407</v>
      </c>
      <c r="B3818" t="str">
        <f>"1551601188396003"</f>
        <v>1551601188396003</v>
      </c>
      <c r="C3818" t="s">
        <v>40</v>
      </c>
      <c r="D3818">
        <v>4.305161</v>
      </c>
      <c r="E3818">
        <v>0.46034659999999999</v>
      </c>
      <c r="F3818" t="s">
        <v>49</v>
      </c>
      <c r="G3818">
        <v>-503.24279999999999</v>
      </c>
      <c r="H3818">
        <v>7.9999639999999997E-2</v>
      </c>
      <c r="I3818">
        <v>273.73379999999997</v>
      </c>
      <c r="J3818">
        <v>-411.15809999999999</v>
      </c>
      <c r="K3818">
        <v>1.121407</v>
      </c>
      <c r="L3818">
        <v>283.75810000000001</v>
      </c>
      <c r="M3818">
        <v>-0.99991730000000001</v>
      </c>
      <c r="N3818">
        <v>-1.257833E-2</v>
      </c>
      <c r="O3818">
        <v>-2.6724169999999998E-3</v>
      </c>
      <c r="P3818">
        <v>-0.98723050000000001</v>
      </c>
      <c r="Q3818">
        <v>0.1592507</v>
      </c>
      <c r="R3818">
        <v>-3.9332600000000001E-3</v>
      </c>
      <c r="S3818">
        <v>-3.0429689999999998</v>
      </c>
      <c r="T3818">
        <v>-3.4343480000000003E-2</v>
      </c>
      <c r="U3818">
        <v>-0.33059690000000003</v>
      </c>
      <c r="V3818">
        <v>-1.2879079999999999E-3</v>
      </c>
      <c r="W3818">
        <v>0.17165610000000001</v>
      </c>
      <c r="X3818">
        <v>0.98515609999999998</v>
      </c>
      <c r="Y3818">
        <v>-0.1053359</v>
      </c>
      <c r="Z3818">
        <v>-1.2605940000000001E-3</v>
      </c>
      <c r="AA3818">
        <v>0.99443590000000004</v>
      </c>
      <c r="AB3818">
        <v>27</v>
      </c>
      <c r="AC3818">
        <v>-92.084699999999998</v>
      </c>
      <c r="AD3818">
        <v>-1.04140736</v>
      </c>
      <c r="AE3818">
        <v>-10.0243</v>
      </c>
      <c r="AF3818">
        <v>-9.7769201953692697</v>
      </c>
      <c r="AG3818">
        <v>-1.04140736</v>
      </c>
      <c r="AH3818">
        <v>92.099520892789897</v>
      </c>
      <c r="AI3818">
        <v>90.644220043041202</v>
      </c>
      <c r="AJ3818">
        <v>96.059598837262001</v>
      </c>
      <c r="AK3818">
        <v>92.622861359804304</v>
      </c>
      <c r="AL3818">
        <v>80.115877900731306</v>
      </c>
      <c r="AM3818">
        <v>90.0749035109896</v>
      </c>
      <c r="AN3818">
        <v>1.0000000083707099</v>
      </c>
    </row>
    <row r="3819" spans="1:40" x14ac:dyDescent="0.25">
      <c r="A3819" t="str">
        <f>"20190303161948420"</f>
        <v>20190303161948420</v>
      </c>
      <c r="B3819" t="str">
        <f>"1551601188416500"</f>
        <v>1551601188416500</v>
      </c>
      <c r="C3819" t="s">
        <v>40</v>
      </c>
      <c r="D3819">
        <v>4.2682289999999998</v>
      </c>
      <c r="E3819">
        <v>0.46024969999999998</v>
      </c>
      <c r="F3819" t="s">
        <v>57</v>
      </c>
      <c r="G3819">
        <v>-512.8252</v>
      </c>
      <c r="H3819">
        <v>4.8345689999999997E-2</v>
      </c>
      <c r="I3819">
        <v>272.68189999999998</v>
      </c>
      <c r="J3819">
        <v>-411.31720000000001</v>
      </c>
      <c r="K3819">
        <v>1.121407</v>
      </c>
      <c r="L3819">
        <v>283.7577</v>
      </c>
      <c r="M3819">
        <v>-0.99991730000000001</v>
      </c>
      <c r="N3819">
        <v>-1.2577319999999999E-2</v>
      </c>
      <c r="O3819">
        <v>-2.672411E-3</v>
      </c>
      <c r="P3819">
        <v>-0.98727290000000001</v>
      </c>
      <c r="Q3819">
        <v>0.15897809999999901</v>
      </c>
      <c r="R3819">
        <v>-4.2316690000000004E-3</v>
      </c>
      <c r="S3819">
        <v>-3.0426329999999999</v>
      </c>
      <c r="T3819">
        <v>-3.2111529999999999E-2</v>
      </c>
      <c r="U3819">
        <v>-0.3314819</v>
      </c>
      <c r="V3819">
        <v>-1.5862809999999999E-3</v>
      </c>
      <c r="W3819">
        <v>0.1713827</v>
      </c>
      <c r="X3819">
        <v>0.9852033</v>
      </c>
      <c r="Y3819">
        <v>-0.1056348</v>
      </c>
      <c r="Z3819">
        <v>-1.227491E-3</v>
      </c>
      <c r="AA3819">
        <v>0.99440430000000002</v>
      </c>
      <c r="AB3819">
        <v>27</v>
      </c>
      <c r="AC3819">
        <v>-101.507999999999</v>
      </c>
      <c r="AD3819">
        <v>-1.0730613099999999</v>
      </c>
      <c r="AE3819">
        <v>-11.075799999999999</v>
      </c>
      <c r="AF3819">
        <v>-10.803274815714399</v>
      </c>
      <c r="AG3819">
        <v>-1.0730613099999999</v>
      </c>
      <c r="AH3819">
        <v>101.52602682650399</v>
      </c>
      <c r="AI3819">
        <v>90.602155803702999</v>
      </c>
      <c r="AJ3819">
        <v>96.073926067512701</v>
      </c>
      <c r="AK3819">
        <v>102.10483010364899</v>
      </c>
      <c r="AL3819">
        <v>80.131778554855799</v>
      </c>
      <c r="AM3819">
        <v>90.092252155349101</v>
      </c>
      <c r="AN3819">
        <v>1.00000004423879</v>
      </c>
    </row>
    <row r="3820" spans="1:40" x14ac:dyDescent="0.25">
      <c r="A3820" t="str">
        <f>"20190303161948433"</f>
        <v>20190303161948433</v>
      </c>
      <c r="B3820" t="str">
        <f>"1551601188426261"</f>
        <v>1551601188426261</v>
      </c>
      <c r="C3820" t="s">
        <v>40</v>
      </c>
      <c r="D3820">
        <v>4.2705859999999998</v>
      </c>
      <c r="E3820">
        <v>0.46027279999999998</v>
      </c>
      <c r="F3820" t="s">
        <v>57</v>
      </c>
      <c r="G3820">
        <v>-512.8252</v>
      </c>
      <c r="H3820">
        <v>0.10983569999999999</v>
      </c>
      <c r="I3820">
        <v>272.64589999999998</v>
      </c>
      <c r="J3820">
        <v>-411.46350000000001</v>
      </c>
      <c r="K3820">
        <v>1.121407</v>
      </c>
      <c r="L3820">
        <v>283.75729999999999</v>
      </c>
      <c r="M3820">
        <v>-0.99991739999999996</v>
      </c>
      <c r="N3820">
        <v>-1.257639E-2</v>
      </c>
      <c r="O3820">
        <v>-2.6724050000000001E-3</v>
      </c>
      <c r="P3820">
        <v>-0.98727310000000001</v>
      </c>
      <c r="Q3820">
        <v>0.15897439999999999</v>
      </c>
      <c r="R3820">
        <v>-4.3389960000000003E-3</v>
      </c>
      <c r="S3820">
        <v>-3.042084</v>
      </c>
      <c r="T3820">
        <v>-3.031325E-2</v>
      </c>
      <c r="U3820">
        <v>-0.33300780000000002</v>
      </c>
      <c r="V3820">
        <v>-1.6938630000000001E-3</v>
      </c>
      <c r="W3820">
        <v>0.17137849999999999</v>
      </c>
      <c r="X3820">
        <v>0.98520379999999996</v>
      </c>
      <c r="Y3820">
        <v>-0.10614800000000001</v>
      </c>
      <c r="Z3820">
        <v>-1.2037689999999999E-3</v>
      </c>
      <c r="AA3820">
        <v>0.99434959999999994</v>
      </c>
      <c r="AB3820">
        <v>27</v>
      </c>
      <c r="AC3820">
        <v>-101.361699999999</v>
      </c>
      <c r="AD3820">
        <v>-1.0115713</v>
      </c>
      <c r="AE3820">
        <v>-11.1114</v>
      </c>
      <c r="AF3820">
        <v>-10.839392643886899</v>
      </c>
      <c r="AG3820">
        <v>-1.0115713</v>
      </c>
      <c r="AH3820">
        <v>101.381057170689</v>
      </c>
      <c r="AI3820">
        <v>90.568433766911994</v>
      </c>
      <c r="AJ3820">
        <v>96.102728551153007</v>
      </c>
      <c r="AK3820">
        <v>101.96388803115499</v>
      </c>
      <c r="AL3820">
        <v>80.132022305056196</v>
      </c>
      <c r="AM3820">
        <v>90.098508659168502</v>
      </c>
      <c r="AN3820">
        <v>0.99999999348427604</v>
      </c>
    </row>
    <row r="3821" spans="1:40" x14ac:dyDescent="0.25">
      <c r="A3821" t="str">
        <f>"20190303161948447"</f>
        <v>20190303161948447</v>
      </c>
      <c r="B3821" t="str">
        <f>"1551601188436020"</f>
        <v>1551601188436020</v>
      </c>
      <c r="C3821" t="s">
        <v>40</v>
      </c>
      <c r="D3821">
        <v>4.242426</v>
      </c>
      <c r="E3821">
        <v>0.46028069999999999</v>
      </c>
      <c r="F3821" t="s">
        <v>57</v>
      </c>
      <c r="G3821">
        <v>-512.8252</v>
      </c>
      <c r="H3821">
        <v>0.17357359999999999</v>
      </c>
      <c r="I3821">
        <v>272.64710000000002</v>
      </c>
      <c r="J3821">
        <v>-411.65010000000001</v>
      </c>
      <c r="K3821">
        <v>1.1214029999999999</v>
      </c>
      <c r="L3821">
        <v>283.7568</v>
      </c>
      <c r="M3821">
        <v>-0.99991739999999996</v>
      </c>
      <c r="N3821">
        <v>-1.257523E-2</v>
      </c>
      <c r="O3821">
        <v>-2.6723979999999999E-3</v>
      </c>
      <c r="P3821">
        <v>-0.98731599999999997</v>
      </c>
      <c r="Q3821">
        <v>0.15869049999999901</v>
      </c>
      <c r="R3821">
        <v>-4.9695579999999998E-3</v>
      </c>
      <c r="S3821">
        <v>-3.0417480000000001</v>
      </c>
      <c r="T3821">
        <v>-2.844095E-2</v>
      </c>
      <c r="U3821">
        <v>-0.33340449999999999</v>
      </c>
      <c r="V3821">
        <v>-2.3244260000000001E-3</v>
      </c>
      <c r="W3821">
        <v>0.17109369999999999</v>
      </c>
      <c r="X3821">
        <v>0.98525200000000002</v>
      </c>
      <c r="Y3821">
        <v>-0.10628899999999999</v>
      </c>
      <c r="Z3821">
        <v>-1.1743750000000001E-3</v>
      </c>
      <c r="AA3821">
        <v>0.99433459999999996</v>
      </c>
      <c r="AB3821">
        <v>27</v>
      </c>
      <c r="AC3821">
        <v>-101.1751</v>
      </c>
      <c r="AD3821">
        <v>-0.94782940000000004</v>
      </c>
      <c r="AE3821">
        <v>-11.109699999999901</v>
      </c>
      <c r="AF3821">
        <v>-10.8383189437473</v>
      </c>
      <c r="AG3821">
        <v>-0.94782940000000004</v>
      </c>
      <c r="AH3821">
        <v>101.195655090127</v>
      </c>
      <c r="AI3821">
        <v>90.533582620118494</v>
      </c>
      <c r="AJ3821">
        <v>96.113223827752705</v>
      </c>
      <c r="AK3821">
        <v>101.77881973779201</v>
      </c>
      <c r="AL3821">
        <v>80.148584639487098</v>
      </c>
      <c r="AM3821">
        <v>90.135173085161995</v>
      </c>
      <c r="AN3821">
        <v>0.99999998031995896</v>
      </c>
    </row>
    <row r="3822" spans="1:40" x14ac:dyDescent="0.25">
      <c r="A3822" t="str">
        <f>"20190303161948470"</f>
        <v>20190303161948470</v>
      </c>
      <c r="B3822" t="str">
        <f>"1551601188466277"</f>
        <v>1551601188466277</v>
      </c>
      <c r="C3822" t="s">
        <v>40</v>
      </c>
      <c r="D3822">
        <v>4.2270260000000004</v>
      </c>
      <c r="E3822">
        <v>0.46026679999999998</v>
      </c>
      <c r="F3822" t="s">
        <v>57</v>
      </c>
      <c r="G3822">
        <v>-512.8252</v>
      </c>
      <c r="H3822">
        <v>0.17069699999999999</v>
      </c>
      <c r="I3822">
        <v>272.6019</v>
      </c>
      <c r="J3822">
        <v>-411.92079999999999</v>
      </c>
      <c r="K3822">
        <v>1.1214</v>
      </c>
      <c r="L3822">
        <v>283.7561</v>
      </c>
      <c r="M3822">
        <v>-0.99991739999999996</v>
      </c>
      <c r="N3822">
        <v>-1.2573569999999999E-2</v>
      </c>
      <c r="O3822">
        <v>-2.6725059999999998E-3</v>
      </c>
      <c r="P3822">
        <v>-0.98732209999999998</v>
      </c>
      <c r="Q3822">
        <v>0.1586275</v>
      </c>
      <c r="R3822">
        <v>-5.700335E-3</v>
      </c>
      <c r="S3822">
        <v>-3.0414119999999998</v>
      </c>
      <c r="T3822">
        <v>-2.8576609999999999E-2</v>
      </c>
      <c r="U3822">
        <v>-0.33532709999999999</v>
      </c>
      <c r="V3822">
        <v>-3.0550070000000002E-3</v>
      </c>
      <c r="W3822">
        <v>0.17102989999999901</v>
      </c>
      <c r="X3822">
        <v>0.9852611</v>
      </c>
      <c r="Y3822">
        <v>-0.106921699999999</v>
      </c>
      <c r="Z3822">
        <v>-1.183538E-3</v>
      </c>
      <c r="AA3822">
        <v>0.99426669999999995</v>
      </c>
      <c r="AB3822">
        <v>27</v>
      </c>
      <c r="AC3822">
        <v>-100.9044</v>
      </c>
      <c r="AD3822">
        <v>-0.95070299999999996</v>
      </c>
      <c r="AE3822">
        <v>-11.154199999999999</v>
      </c>
      <c r="AF3822">
        <v>-10.8835167589751</v>
      </c>
      <c r="AG3822">
        <v>-0.95070299999999996</v>
      </c>
      <c r="AH3822">
        <v>100.92500059617301</v>
      </c>
      <c r="AI3822">
        <v>90.536593504650597</v>
      </c>
      <c r="AJ3822">
        <v>96.154858609514804</v>
      </c>
      <c r="AK3822">
        <v>101.51458278776801</v>
      </c>
      <c r="AL3822">
        <v>80.152294967445201</v>
      </c>
      <c r="AM3822">
        <v>90.177656914011607</v>
      </c>
      <c r="AN3822">
        <v>0.99999999746749502</v>
      </c>
    </row>
    <row r="3823" spans="1:40" x14ac:dyDescent="0.25">
      <c r="A3823" t="str">
        <f>"20190303161948493"</f>
        <v>20190303161948493</v>
      </c>
      <c r="B3823" t="str">
        <f>"1551601188486771"</f>
        <v>1551601188486771</v>
      </c>
      <c r="C3823" t="s">
        <v>40</v>
      </c>
      <c r="D3823">
        <v>4.2077220000000004</v>
      </c>
      <c r="E3823">
        <v>0.46020949999999999</v>
      </c>
      <c r="F3823" t="s">
        <v>57</v>
      </c>
      <c r="G3823">
        <v>-512.82529999999997</v>
      </c>
      <c r="H3823">
        <v>0.25093399999999999</v>
      </c>
      <c r="I3823">
        <v>272.55189999999999</v>
      </c>
      <c r="J3823">
        <v>-412.202</v>
      </c>
      <c r="K3823">
        <v>1.1214010000000001</v>
      </c>
      <c r="L3823">
        <v>283.75540000000001</v>
      </c>
      <c r="M3823">
        <v>-0.99991739999999996</v>
      </c>
      <c r="N3823">
        <v>-1.2571860000000001E-2</v>
      </c>
      <c r="O3823">
        <v>-2.672734E-3</v>
      </c>
      <c r="P3823">
        <v>-0.98737350000000002</v>
      </c>
      <c r="Q3823">
        <v>0.15829770000000001</v>
      </c>
      <c r="R3823">
        <v>-5.9465610000000004E-3</v>
      </c>
      <c r="S3823">
        <v>-3.0408330000000001</v>
      </c>
      <c r="T3823">
        <v>-2.6229740000000001E-2</v>
      </c>
      <c r="U3823">
        <v>-0.33764650000000002</v>
      </c>
      <c r="V3823">
        <v>-3.3004390000000001E-3</v>
      </c>
      <c r="W3823">
        <v>0.17069860000000001</v>
      </c>
      <c r="X3823">
        <v>0.98531780000000002</v>
      </c>
      <c r="Y3823">
        <v>-0.1076925</v>
      </c>
      <c r="Z3823">
        <v>-1.1526349999999999E-3</v>
      </c>
      <c r="AA3823">
        <v>0.99418359999999995</v>
      </c>
      <c r="AB3823">
        <v>27</v>
      </c>
      <c r="AC3823">
        <v>-100.62329999999901</v>
      </c>
      <c r="AD3823">
        <v>-0.87046699999999999</v>
      </c>
      <c r="AE3823">
        <v>-11.2035</v>
      </c>
      <c r="AF3823">
        <v>-10.933691198217501</v>
      </c>
      <c r="AG3823">
        <v>-0.87046699999999999</v>
      </c>
      <c r="AH3823">
        <v>100.64544726085499</v>
      </c>
      <c r="AI3823">
        <v>90.492631752296703</v>
      </c>
      <c r="AJ3823">
        <v>96.200054436563306</v>
      </c>
      <c r="AK3823">
        <v>101.24134219948699</v>
      </c>
      <c r="AL3823">
        <v>80.1715607472795</v>
      </c>
      <c r="AM3823">
        <v>90.191918300887195</v>
      </c>
      <c r="AN3823">
        <v>1.00000003596819</v>
      </c>
    </row>
    <row r="3824" spans="1:40" x14ac:dyDescent="0.25">
      <c r="A3824" t="str">
        <f>"20190303161948515"</f>
        <v>20190303161948515</v>
      </c>
      <c r="B3824" t="str">
        <f>"1551601188506292"</f>
        <v>1551601188506292</v>
      </c>
      <c r="C3824" t="s">
        <v>40</v>
      </c>
      <c r="D3824">
        <v>4.2100900000000001</v>
      </c>
      <c r="E3824">
        <v>0.46022459999999998</v>
      </c>
      <c r="F3824" t="s">
        <v>57</v>
      </c>
      <c r="G3824">
        <v>-512.82529999999997</v>
      </c>
      <c r="H3824">
        <v>0.25834970000000002</v>
      </c>
      <c r="I3824">
        <v>272.54180000000002</v>
      </c>
      <c r="J3824">
        <v>-412.46440000000001</v>
      </c>
      <c r="K3824">
        <v>1.1214040000000001</v>
      </c>
      <c r="L3824">
        <v>283.75470000000001</v>
      </c>
      <c r="M3824">
        <v>-0.99991750000000001</v>
      </c>
      <c r="N3824">
        <v>-1.257025E-2</v>
      </c>
      <c r="O3824">
        <v>-2.6727249999999999E-3</v>
      </c>
      <c r="P3824">
        <v>-0.98738649999999994</v>
      </c>
      <c r="Q3824">
        <v>0.1582142</v>
      </c>
      <c r="R3824">
        <v>-6.0255430000000004E-3</v>
      </c>
      <c r="S3824">
        <v>-3.0404969999999998</v>
      </c>
      <c r="T3824">
        <v>-2.6076080000000001E-2</v>
      </c>
      <c r="U3824">
        <v>-0.33883669999999999</v>
      </c>
      <c r="V3824">
        <v>-3.3798919999999998E-3</v>
      </c>
      <c r="W3824">
        <v>0.1706136</v>
      </c>
      <c r="X3824">
        <v>0.98533219999999999</v>
      </c>
      <c r="Y3824">
        <v>-0.108089</v>
      </c>
      <c r="Z3824">
        <v>-1.154214E-3</v>
      </c>
      <c r="AA3824">
        <v>0.99414060000000004</v>
      </c>
      <c r="AB3824">
        <v>27</v>
      </c>
      <c r="AC3824">
        <v>-100.36089999999901</v>
      </c>
      <c r="AD3824">
        <v>-0.86305429999999905</v>
      </c>
      <c r="AE3824">
        <v>-11.2128999999999</v>
      </c>
      <c r="AF3824">
        <v>-10.943802351523599</v>
      </c>
      <c r="AG3824">
        <v>-0.86305429999999905</v>
      </c>
      <c r="AH3824">
        <v>100.383180877372</v>
      </c>
      <c r="AI3824">
        <v>90.489692616303898</v>
      </c>
      <c r="AJ3824">
        <v>96.2218298022581</v>
      </c>
      <c r="AK3824">
        <v>100.981655144353</v>
      </c>
      <c r="AL3824">
        <v>80.176502880822497</v>
      </c>
      <c r="AM3824">
        <v>90.196535531149905</v>
      </c>
      <c r="AN3824">
        <v>0.99999998426586501</v>
      </c>
    </row>
    <row r="3825" spans="1:40" x14ac:dyDescent="0.25">
      <c r="A3825" t="str">
        <f>"20190303161948537"</f>
        <v>20190303161948537</v>
      </c>
      <c r="B3825" t="str">
        <f>"1551601188526787"</f>
        <v>1551601188526787</v>
      </c>
      <c r="C3825" t="s">
        <v>40</v>
      </c>
      <c r="D3825">
        <v>4.1881779999999997</v>
      </c>
      <c r="E3825">
        <v>0.46021570000000001</v>
      </c>
      <c r="F3825" t="s">
        <v>57</v>
      </c>
      <c r="G3825">
        <v>-512.82529999999997</v>
      </c>
      <c r="H3825">
        <v>0.2884158</v>
      </c>
      <c r="I3825">
        <v>272.56869999999998</v>
      </c>
      <c r="J3825">
        <v>-412.74380000000002</v>
      </c>
      <c r="K3825">
        <v>1.1214040000000001</v>
      </c>
      <c r="L3825">
        <v>283.75400000000002</v>
      </c>
      <c r="M3825">
        <v>-0.99991750000000001</v>
      </c>
      <c r="N3825">
        <v>-1.256853E-2</v>
      </c>
      <c r="O3825">
        <v>-2.6728329999999999E-3</v>
      </c>
      <c r="P3825">
        <v>-0.98735209999999995</v>
      </c>
      <c r="Q3825">
        <v>0.1584409</v>
      </c>
      <c r="R3825">
        <v>-5.7172150000000003E-3</v>
      </c>
      <c r="S3825">
        <v>-3.040314</v>
      </c>
      <c r="T3825">
        <v>-2.5231960000000001E-2</v>
      </c>
      <c r="U3825">
        <v>-0.33886719999999998</v>
      </c>
      <c r="V3825">
        <v>-3.0710830000000001E-3</v>
      </c>
      <c r="W3825">
        <v>0.1708382</v>
      </c>
      <c r="X3825">
        <v>0.98529429999999996</v>
      </c>
      <c r="Y3825">
        <v>-0.1081058</v>
      </c>
      <c r="Z3825">
        <v>-1.140098E-3</v>
      </c>
      <c r="AA3825">
        <v>0.99413870000000004</v>
      </c>
      <c r="AB3825">
        <v>27</v>
      </c>
      <c r="AC3825">
        <v>-100.081499999999</v>
      </c>
      <c r="AD3825">
        <v>-0.83298819999999996</v>
      </c>
      <c r="AE3825">
        <v>-11.1853</v>
      </c>
      <c r="AF3825">
        <v>-10.9169908551511</v>
      </c>
      <c r="AG3825">
        <v>-0.83298819999999996</v>
      </c>
      <c r="AH3825">
        <v>100.10419218362</v>
      </c>
      <c r="AI3825">
        <v>90.4739493765981</v>
      </c>
      <c r="AJ3825">
        <v>96.223868315520704</v>
      </c>
      <c r="AK3825">
        <v>100.70116112244099</v>
      </c>
      <c r="AL3825">
        <v>80.163442559058893</v>
      </c>
      <c r="AM3825">
        <v>90.178585753118895</v>
      </c>
      <c r="AN3825">
        <v>0.99999998987126104</v>
      </c>
    </row>
    <row r="3826" spans="1:40" x14ac:dyDescent="0.25">
      <c r="A3826" t="str">
        <f>"20190303161948558"</f>
        <v>20190303161948558</v>
      </c>
      <c r="B3826" t="str">
        <f>"1551601188546308"</f>
        <v>1551601188546308</v>
      </c>
      <c r="C3826" t="s">
        <v>40</v>
      </c>
      <c r="D3826">
        <v>4.1823439999999996</v>
      </c>
      <c r="E3826">
        <v>0.46006760000000002</v>
      </c>
      <c r="F3826" t="s">
        <v>57</v>
      </c>
      <c r="G3826">
        <v>-512.82529999999997</v>
      </c>
      <c r="H3826">
        <v>0.33279309999999901</v>
      </c>
      <c r="I3826">
        <v>272.6191</v>
      </c>
      <c r="J3826">
        <v>-413.00790000000001</v>
      </c>
      <c r="K3826">
        <v>1.1214059999999999</v>
      </c>
      <c r="L3826">
        <v>283.75330000000002</v>
      </c>
      <c r="M3826">
        <v>-0.99991750000000001</v>
      </c>
      <c r="N3826">
        <v>-1.2566880000000001E-2</v>
      </c>
      <c r="O3826">
        <v>-2.6727040000000001E-3</v>
      </c>
      <c r="P3826">
        <v>-0.98726630000000004</v>
      </c>
      <c r="Q3826">
        <v>0.15898979999999999</v>
      </c>
      <c r="R3826">
        <v>-5.2303779999999999E-3</v>
      </c>
      <c r="S3826">
        <v>-3.040314</v>
      </c>
      <c r="T3826">
        <v>-2.395427E-2</v>
      </c>
      <c r="U3826">
        <v>-0.33825680000000002</v>
      </c>
      <c r="V3826">
        <v>-2.5850349999999999E-3</v>
      </c>
      <c r="W3826">
        <v>0.1713846</v>
      </c>
      <c r="X3826">
        <v>0.98520079999999999</v>
      </c>
      <c r="Y3826">
        <v>-0.1079094</v>
      </c>
      <c r="Z3826">
        <v>-1.1164650000000001E-3</v>
      </c>
      <c r="AA3826">
        <v>0.99416009999999999</v>
      </c>
      <c r="AB3826">
        <v>27</v>
      </c>
      <c r="AC3826">
        <v>-99.817399999999907</v>
      </c>
      <c r="AD3826">
        <v>-0.78861289999999995</v>
      </c>
      <c r="AE3826">
        <v>-11.1342</v>
      </c>
      <c r="AF3826">
        <v>-10.8666868539198</v>
      </c>
      <c r="AG3826">
        <v>-0.78861289999999995</v>
      </c>
      <c r="AH3826">
        <v>99.840648854175299</v>
      </c>
      <c r="AI3826">
        <v>90.449896830413905</v>
      </c>
      <c r="AJ3826">
        <v>96.211639096401697</v>
      </c>
      <c r="AK3826">
        <v>100.433370734581</v>
      </c>
      <c r="AL3826">
        <v>80.131667516627601</v>
      </c>
      <c r="AM3826">
        <v>90.150336109648904</v>
      </c>
      <c r="AN3826">
        <v>0.999999989921875</v>
      </c>
    </row>
    <row r="3827" spans="1:40" x14ac:dyDescent="0.25">
      <c r="A3827" t="str">
        <f>"20190303161948581"</f>
        <v>20190303161948581</v>
      </c>
      <c r="B3827" t="str">
        <f>"1551601188576564"</f>
        <v>1551601188576564</v>
      </c>
      <c r="C3827" t="s">
        <v>40</v>
      </c>
      <c r="D3827">
        <v>4.1695190000000002</v>
      </c>
      <c r="E3827">
        <v>0.46009729999999999</v>
      </c>
      <c r="F3827" t="s">
        <v>57</v>
      </c>
      <c r="G3827">
        <v>-512.82529999999997</v>
      </c>
      <c r="H3827">
        <v>0.41499350000000002</v>
      </c>
      <c r="I3827">
        <v>272.6592</v>
      </c>
      <c r="J3827">
        <v>-413.28359999999998</v>
      </c>
      <c r="K3827">
        <v>1.121407</v>
      </c>
      <c r="L3827">
        <v>283.75259999999997</v>
      </c>
      <c r="M3827">
        <v>-0.99991759999999996</v>
      </c>
      <c r="N3827">
        <v>-1.2565140000000001E-2</v>
      </c>
      <c r="O3827">
        <v>-2.6726929999999999E-3</v>
      </c>
      <c r="P3827">
        <v>-0.98724069999999997</v>
      </c>
      <c r="Q3827">
        <v>0.15917490000000001</v>
      </c>
      <c r="R3827">
        <v>-4.4097260000000001E-3</v>
      </c>
      <c r="S3827">
        <v>-3.0404049999999998</v>
      </c>
      <c r="T3827">
        <v>-2.151465E-2</v>
      </c>
      <c r="U3827">
        <v>-0.33792109999999997</v>
      </c>
      <c r="V3827">
        <v>-1.764271E-3</v>
      </c>
      <c r="W3827">
        <v>0.17156729999999901</v>
      </c>
      <c r="X3827">
        <v>0.98517080000000001</v>
      </c>
      <c r="Y3827">
        <v>-0.1077989</v>
      </c>
      <c r="Z3827">
        <v>-1.0742429999999999E-3</v>
      </c>
      <c r="AA3827">
        <v>0.99417219999999995</v>
      </c>
      <c r="AB3827">
        <v>27</v>
      </c>
      <c r="AC3827">
        <v>-99.541700000000006</v>
      </c>
      <c r="AD3827">
        <v>-0.70641350000000003</v>
      </c>
      <c r="AE3827">
        <v>-11.0933999999999</v>
      </c>
      <c r="AF3827">
        <v>-10.8267564195795</v>
      </c>
      <c r="AG3827">
        <v>-0.70641350000000003</v>
      </c>
      <c r="AH3827">
        <v>99.566043118530402</v>
      </c>
      <c r="AI3827">
        <v>90.4041202632378</v>
      </c>
      <c r="AJ3827">
        <v>96.205927820714905</v>
      </c>
      <c r="AK3827">
        <v>100.15545225739299</v>
      </c>
      <c r="AL3827">
        <v>80.121042080939006</v>
      </c>
      <c r="AM3827">
        <v>90.1026067501749</v>
      </c>
      <c r="AN3827">
        <v>0.999999978127045</v>
      </c>
    </row>
    <row r="3828" spans="1:40" x14ac:dyDescent="0.25">
      <c r="A3828" t="str">
        <f>"20190303161948603"</f>
        <v>20190303161948603</v>
      </c>
      <c r="B3828" t="str">
        <f>"1551601188596084"</f>
        <v>1551601188596084</v>
      </c>
      <c r="C3828" t="s">
        <v>40</v>
      </c>
      <c r="D3828">
        <v>4.162236</v>
      </c>
      <c r="E3828">
        <v>0.46013130000000002</v>
      </c>
      <c r="F3828" t="s">
        <v>57</v>
      </c>
      <c r="G3828">
        <v>-512.82529999999997</v>
      </c>
      <c r="H3828">
        <v>0.48444219999999999</v>
      </c>
      <c r="I3828">
        <v>272.76889999999997</v>
      </c>
      <c r="J3828">
        <v>-413.55689999999998</v>
      </c>
      <c r="K3828">
        <v>1.1214040000000001</v>
      </c>
      <c r="L3828">
        <v>283.7518</v>
      </c>
      <c r="M3828">
        <v>-0.99991759999999996</v>
      </c>
      <c r="N3828">
        <v>-1.256344E-2</v>
      </c>
      <c r="O3828">
        <v>-2.6728009999999998E-3</v>
      </c>
      <c r="P3828">
        <v>-0.98730390000000001</v>
      </c>
      <c r="Q3828">
        <v>0.15879889999999999</v>
      </c>
      <c r="R3828">
        <v>-3.774908E-3</v>
      </c>
      <c r="S3828">
        <v>-3.040375</v>
      </c>
      <c r="T3828">
        <v>-1.9452810000000001E-2</v>
      </c>
      <c r="U3828">
        <v>-0.33547969999999999</v>
      </c>
      <c r="V3828">
        <v>-1.128752E-3</v>
      </c>
      <c r="W3828">
        <v>0.1711905</v>
      </c>
      <c r="X3828">
        <v>0.98523729999999998</v>
      </c>
      <c r="Y3828">
        <v>-0.1070122</v>
      </c>
      <c r="Z3828">
        <v>-1.0320349999999999E-3</v>
      </c>
      <c r="AA3828">
        <v>0.99425719999999995</v>
      </c>
      <c r="AB3828">
        <v>27</v>
      </c>
      <c r="AC3828">
        <v>-99.2684</v>
      </c>
      <c r="AD3828">
        <v>-0.63696180000000002</v>
      </c>
      <c r="AE3828">
        <v>-10.982900000000001</v>
      </c>
      <c r="AF3828">
        <v>-10.717079257695101</v>
      </c>
      <c r="AG3828">
        <v>-0.63696180000000002</v>
      </c>
      <c r="AH3828">
        <v>99.293364088389794</v>
      </c>
      <c r="AI3828">
        <v>90.365422126954201</v>
      </c>
      <c r="AJ3828">
        <v>96.160285574340193</v>
      </c>
      <c r="AK3828">
        <v>99.872086491371107</v>
      </c>
      <c r="AL3828">
        <v>80.142955544827899</v>
      </c>
      <c r="AM3828">
        <v>90.065641746837599</v>
      </c>
      <c r="AN3828">
        <v>0.99999999934130801</v>
      </c>
    </row>
    <row r="3829" spans="1:40" x14ac:dyDescent="0.25">
      <c r="A3829" t="str">
        <f>"20190303161948626"</f>
        <v>20190303161948626</v>
      </c>
      <c r="B3829" t="str">
        <f>"1551601188616580"</f>
        <v>1551601188616580</v>
      </c>
      <c r="C3829" t="s">
        <v>40</v>
      </c>
      <c r="D3829">
        <v>4.1797950000000004</v>
      </c>
      <c r="E3829">
        <v>0.46010240000000002</v>
      </c>
      <c r="F3829" t="s">
        <v>57</v>
      </c>
      <c r="G3829">
        <v>-512.82529999999997</v>
      </c>
      <c r="H3829">
        <v>0.47846139999999998</v>
      </c>
      <c r="I3829">
        <v>272.8734</v>
      </c>
      <c r="J3829">
        <v>-413.82960000000003</v>
      </c>
      <c r="K3829">
        <v>1.1214029999999999</v>
      </c>
      <c r="L3829">
        <v>283.75119999999998</v>
      </c>
      <c r="M3829">
        <v>-0.99991759999999996</v>
      </c>
      <c r="N3829">
        <v>-1.256174E-2</v>
      </c>
      <c r="O3829">
        <v>-2.6727909999999999E-3</v>
      </c>
      <c r="P3829">
        <v>-0.98728830000000001</v>
      </c>
      <c r="Q3829">
        <v>0.15890670000000001</v>
      </c>
      <c r="R3829">
        <v>-3.2637809999999999E-3</v>
      </c>
      <c r="S3829">
        <v>-3.0404659999999999</v>
      </c>
      <c r="T3829">
        <v>-1.9690039999999999E-2</v>
      </c>
      <c r="U3829">
        <v>-0.33319090000000001</v>
      </c>
      <c r="V3829">
        <v>-6.1807029999999996E-4</v>
      </c>
      <c r="W3829">
        <v>0.17129620000000001</v>
      </c>
      <c r="X3829">
        <v>0.98521939999999997</v>
      </c>
      <c r="Y3829">
        <v>-0.1062693</v>
      </c>
      <c r="Z3829">
        <v>-1.0287930000000001E-3</v>
      </c>
      <c r="AA3829">
        <v>0.99433680000000002</v>
      </c>
      <c r="AB3829">
        <v>27</v>
      </c>
      <c r="AC3829">
        <v>-98.9956999999999</v>
      </c>
      <c r="AD3829">
        <v>-0.6429416</v>
      </c>
      <c r="AE3829">
        <v>-10.877799999999899</v>
      </c>
      <c r="AF3829">
        <v>-10.612703156900301</v>
      </c>
      <c r="AG3829">
        <v>-0.6429416</v>
      </c>
      <c r="AH3829">
        <v>99.020295833295506</v>
      </c>
      <c r="AI3829">
        <v>90.369899522131405</v>
      </c>
      <c r="AJ3829">
        <v>96.117440407926196</v>
      </c>
      <c r="AK3829">
        <v>99.589466456603006</v>
      </c>
      <c r="AL3829">
        <v>80.136808769967502</v>
      </c>
      <c r="AM3829">
        <v>90.035944090206399</v>
      </c>
      <c r="AN3829">
        <v>1.0000000181408399</v>
      </c>
    </row>
    <row r="3830" spans="1:40" x14ac:dyDescent="0.25">
      <c r="A3830" t="str">
        <f>"20190303161948648"</f>
        <v>20190303161948648</v>
      </c>
      <c r="B3830" t="str">
        <f>"1551601188636100"</f>
        <v>1551601188636100</v>
      </c>
      <c r="C3830" t="s">
        <v>40</v>
      </c>
      <c r="D3830">
        <v>4.1768650000000003</v>
      </c>
      <c r="E3830">
        <v>0.46018249999999999</v>
      </c>
      <c r="F3830" t="s">
        <v>57</v>
      </c>
      <c r="G3830">
        <v>-512.82529999999997</v>
      </c>
      <c r="H3830">
        <v>0.51136280000000001</v>
      </c>
      <c r="I3830">
        <v>272.94569999999999</v>
      </c>
      <c r="J3830">
        <v>-414.10410000000002</v>
      </c>
      <c r="K3830">
        <v>1.1214059999999999</v>
      </c>
      <c r="L3830">
        <v>283.75040000000001</v>
      </c>
      <c r="M3830">
        <v>-0.99991750000000001</v>
      </c>
      <c r="N3830">
        <v>-1.256004E-2</v>
      </c>
      <c r="O3830">
        <v>-2.67278E-3</v>
      </c>
      <c r="P3830">
        <v>-0.98730249999999997</v>
      </c>
      <c r="Q3830">
        <v>0.1588204</v>
      </c>
      <c r="R3830">
        <v>-3.1294339999999999E-3</v>
      </c>
      <c r="S3830">
        <v>-3.0405579999999999</v>
      </c>
      <c r="T3830">
        <v>-1.8734339999999999E-2</v>
      </c>
      <c r="U3830">
        <v>-0.33187870000000003</v>
      </c>
      <c r="V3830">
        <v>-4.8371820000000002E-4</v>
      </c>
      <c r="W3830">
        <v>0.17120839999999901</v>
      </c>
      <c r="X3830">
        <v>0.98523470000000002</v>
      </c>
      <c r="Y3830">
        <v>-0.10584250000000001</v>
      </c>
      <c r="Z3830">
        <v>-1.008866E-3</v>
      </c>
      <c r="AA3830">
        <v>0.9943824</v>
      </c>
      <c r="AB3830">
        <v>27</v>
      </c>
      <c r="AC3830">
        <v>-98.721199999999897</v>
      </c>
      <c r="AD3830">
        <v>-0.61004319999999901</v>
      </c>
      <c r="AE3830">
        <v>-10.8047</v>
      </c>
      <c r="AF3830">
        <v>-10.5403827970023</v>
      </c>
      <c r="AG3830">
        <v>-0.61004319999999901</v>
      </c>
      <c r="AH3830">
        <v>98.7460021405264</v>
      </c>
      <c r="AI3830">
        <v>90.351963855155205</v>
      </c>
      <c r="AJ3830">
        <v>96.092817092861097</v>
      </c>
      <c r="AK3830">
        <v>99.308835261270005</v>
      </c>
      <c r="AL3830">
        <v>80.141914410831006</v>
      </c>
      <c r="AM3830">
        <v>90.028130362345905</v>
      </c>
      <c r="AN3830">
        <v>0.99999998214897301</v>
      </c>
    </row>
    <row r="3831" spans="1:40" x14ac:dyDescent="0.25">
      <c r="A3831" t="str">
        <f>"20190303161948671"</f>
        <v>20190303161948671</v>
      </c>
      <c r="B3831" t="str">
        <f>"1551601188666356"</f>
        <v>1551601188666356</v>
      </c>
      <c r="C3831" t="s">
        <v>40</v>
      </c>
      <c r="D3831">
        <v>4.1659819999999996</v>
      </c>
      <c r="E3831">
        <v>0.47309630000000003</v>
      </c>
      <c r="F3831" t="s">
        <v>57</v>
      </c>
      <c r="G3831">
        <v>-512.82529999999997</v>
      </c>
      <c r="H3831">
        <v>0.52423050000000004</v>
      </c>
      <c r="I3831">
        <v>272.99349999999998</v>
      </c>
      <c r="J3831">
        <v>-414.37639999999999</v>
      </c>
      <c r="K3831">
        <v>1.121405</v>
      </c>
      <c r="L3831">
        <v>283.74970000000002</v>
      </c>
      <c r="M3831">
        <v>-0.99991759999999996</v>
      </c>
      <c r="N3831">
        <v>-1.2558349999999999E-2</v>
      </c>
      <c r="O3831">
        <v>-2.6727690000000002E-3</v>
      </c>
      <c r="P3831">
        <v>-0.98727670000000001</v>
      </c>
      <c r="Q3831">
        <v>0.1589807</v>
      </c>
      <c r="R3831">
        <v>-3.1813459999999998E-3</v>
      </c>
      <c r="S3831">
        <v>-3.0404969999999998</v>
      </c>
      <c r="T3831">
        <v>-1.8389820000000001E-2</v>
      </c>
      <c r="U3831">
        <v>-0.3312988</v>
      </c>
      <c r="V3831">
        <v>-5.3585060000000003E-4</v>
      </c>
      <c r="W3831">
        <v>0.1713672</v>
      </c>
      <c r="X3831">
        <v>0.9852071</v>
      </c>
      <c r="Y3831">
        <v>-0.105657399999999</v>
      </c>
      <c r="Z3831">
        <v>-1.001374E-3</v>
      </c>
      <c r="AA3831">
        <v>0.99440209999999996</v>
      </c>
      <c r="AB3831">
        <v>27</v>
      </c>
      <c r="AC3831">
        <v>-98.448899999999895</v>
      </c>
      <c r="AD3831">
        <v>-0.59717449999999905</v>
      </c>
      <c r="AE3831">
        <v>-10.7562</v>
      </c>
      <c r="AF3831">
        <v>-10.492628147706601</v>
      </c>
      <c r="AG3831">
        <v>-0.59717449999999905</v>
      </c>
      <c r="AH3831">
        <v>98.473718871256693</v>
      </c>
      <c r="AI3831">
        <v>90.345499006816993</v>
      </c>
      <c r="AJ3831">
        <v>96.082064548391301</v>
      </c>
      <c r="AK3831">
        <v>99.032949926601702</v>
      </c>
      <c r="AL3831">
        <v>80.132679704960196</v>
      </c>
      <c r="AM3831">
        <v>90.031162965433396</v>
      </c>
      <c r="AN3831">
        <v>1.0000000171310499</v>
      </c>
    </row>
    <row r="3832" spans="1:40" x14ac:dyDescent="0.25">
      <c r="A3832" t="str">
        <f>"20190303161948694"</f>
        <v>20190303161948694</v>
      </c>
      <c r="B3832" t="str">
        <f>"1551601188685877"</f>
        <v>1551601188685877</v>
      </c>
      <c r="C3832" t="s">
        <v>40</v>
      </c>
      <c r="D3832">
        <v>4.1831769999999997</v>
      </c>
      <c r="E3832">
        <v>0.47401199999999999</v>
      </c>
      <c r="F3832" t="s">
        <v>57</v>
      </c>
      <c r="G3832">
        <v>-511.95870000000002</v>
      </c>
      <c r="H3832">
        <v>0.16282720000000001</v>
      </c>
      <c r="I3832">
        <v>276.4289</v>
      </c>
      <c r="J3832">
        <v>-414.65249999999997</v>
      </c>
      <c r="K3832">
        <v>1.1214040000000001</v>
      </c>
      <c r="L3832">
        <v>283.74900000000002</v>
      </c>
      <c r="M3832">
        <v>-0.99991759999999996</v>
      </c>
      <c r="N3832">
        <v>-1.2556660000000001E-2</v>
      </c>
      <c r="O3832">
        <v>-2.6727589999999998E-3</v>
      </c>
      <c r="P3832">
        <v>-0.98720929999999996</v>
      </c>
      <c r="Q3832">
        <v>0.15938659999999999</v>
      </c>
      <c r="R3832">
        <v>-3.7396420000000001E-3</v>
      </c>
      <c r="S3832">
        <v>-3.0427249999999999</v>
      </c>
      <c r="T3832">
        <v>-2.9886960000000001E-2</v>
      </c>
      <c r="U3832">
        <v>-0.22827149999999999</v>
      </c>
      <c r="V3832">
        <v>-1.093875E-3</v>
      </c>
      <c r="W3832">
        <v>0.17177020000000001</v>
      </c>
      <c r="X3832">
        <v>0.98513640000000002</v>
      </c>
      <c r="Y3832">
        <v>-7.2138190000000005E-2</v>
      </c>
      <c r="Z3832">
        <v>-8.1466759999999905E-4</v>
      </c>
      <c r="AA3832">
        <v>0.99739429999999996</v>
      </c>
      <c r="AB3832">
        <v>27</v>
      </c>
      <c r="AC3832">
        <v>-97.306200000000004</v>
      </c>
      <c r="AD3832">
        <v>-0.95857680000000001</v>
      </c>
      <c r="AE3832">
        <v>-7.3201000000000196</v>
      </c>
      <c r="AF3832">
        <v>-7.0592961113694797</v>
      </c>
      <c r="AG3832">
        <v>-0.95857680000000001</v>
      </c>
      <c r="AH3832">
        <v>97.316027908429504</v>
      </c>
      <c r="AI3832">
        <v>90.562874479946103</v>
      </c>
      <c r="AJ3832">
        <v>94.148963657750798</v>
      </c>
      <c r="AK3832">
        <v>97.576440901191503</v>
      </c>
      <c r="AL3832">
        <v>80.109241428200406</v>
      </c>
      <c r="AM3832">
        <v>90.063620017549695</v>
      </c>
      <c r="AN3832">
        <v>0.99999996238775701</v>
      </c>
    </row>
    <row r="3833" spans="1:40" x14ac:dyDescent="0.25">
      <c r="A3833" t="str">
        <f>"20190303161948717"</f>
        <v>20190303161948717</v>
      </c>
      <c r="B3833" t="str">
        <f>"1551601188706372"</f>
        <v>1551601188706372</v>
      </c>
      <c r="C3833" t="s">
        <v>40</v>
      </c>
      <c r="D3833">
        <v>4.2221820000000001</v>
      </c>
      <c r="E3833">
        <v>0.47426740000000001</v>
      </c>
      <c r="F3833" t="s">
        <v>57</v>
      </c>
      <c r="G3833">
        <v>-511.95859999999999</v>
      </c>
      <c r="H3833">
        <v>0.1035208</v>
      </c>
      <c r="I3833">
        <v>276.63240000000002</v>
      </c>
      <c r="J3833">
        <v>-414.9248</v>
      </c>
      <c r="K3833">
        <v>1.1214059999999999</v>
      </c>
      <c r="L3833">
        <v>283.74829999999997</v>
      </c>
      <c r="M3833">
        <v>-0.99991770000000002</v>
      </c>
      <c r="N3833">
        <v>-1.255501E-2</v>
      </c>
      <c r="O3833">
        <v>-2.6728670000000002E-3</v>
      </c>
      <c r="P3833">
        <v>-0.98723530000000004</v>
      </c>
      <c r="Q3833">
        <v>0.159195</v>
      </c>
      <c r="R3833">
        <v>-4.8754239999999997E-3</v>
      </c>
      <c r="S3833">
        <v>-3.0431819999999998</v>
      </c>
      <c r="T3833">
        <v>-3.1831030000000003E-2</v>
      </c>
      <c r="U3833">
        <v>-0.2225647</v>
      </c>
      <c r="V3833">
        <v>-2.2298050000000001E-3</v>
      </c>
      <c r="W3833">
        <v>0.1715776</v>
      </c>
      <c r="X3833">
        <v>0.98516809999999999</v>
      </c>
      <c r="Y3833">
        <v>-7.0266060000000005E-2</v>
      </c>
      <c r="Z3833">
        <v>-8.1430800000000002E-4</v>
      </c>
      <c r="AA3833">
        <v>0.99752799999999997</v>
      </c>
      <c r="AB3833">
        <v>27</v>
      </c>
      <c r="AC3833">
        <v>-97.033799999999999</v>
      </c>
      <c r="AD3833">
        <v>-1.0178851999999901</v>
      </c>
      <c r="AE3833">
        <v>-7.1158999999999502</v>
      </c>
      <c r="AF3833">
        <v>-6.8557453425876398</v>
      </c>
      <c r="AG3833">
        <v>-1.0178851999999901</v>
      </c>
      <c r="AH3833">
        <v>97.041853293527197</v>
      </c>
      <c r="AI3833">
        <v>90.599467174998793</v>
      </c>
      <c r="AJ3833">
        <v>94.041078233712696</v>
      </c>
      <c r="AK3833">
        <v>97.289046789066902</v>
      </c>
      <c r="AL3833">
        <v>80.120443420184202</v>
      </c>
      <c r="AM3833">
        <v>90.129681622328903</v>
      </c>
      <c r="AN3833">
        <v>1.00000001505485</v>
      </c>
    </row>
    <row r="3834" spans="1:40" x14ac:dyDescent="0.25">
      <c r="A3834" t="str">
        <f>"20190303161948738"</f>
        <v>20190303161948738</v>
      </c>
      <c r="B3834" t="str">
        <f>"1551601188725892"</f>
        <v>1551601188725892</v>
      </c>
      <c r="C3834" t="s">
        <v>40</v>
      </c>
      <c r="D3834">
        <v>4.1997339999999896</v>
      </c>
      <c r="E3834">
        <v>0.4743734</v>
      </c>
      <c r="F3834" t="s">
        <v>57</v>
      </c>
      <c r="G3834">
        <v>-511.95870000000002</v>
      </c>
      <c r="H3834">
        <v>0.13100719999999999</v>
      </c>
      <c r="I3834">
        <v>276.60950000000003</v>
      </c>
      <c r="J3834">
        <v>-415.19709999999998</v>
      </c>
      <c r="K3834">
        <v>1.1214029999999999</v>
      </c>
      <c r="L3834">
        <v>283.74759999999998</v>
      </c>
      <c r="M3834">
        <v>-0.99991779999999997</v>
      </c>
      <c r="N3834">
        <v>-1.255336E-2</v>
      </c>
      <c r="O3834">
        <v>-2.6732150000000001E-3</v>
      </c>
      <c r="P3834">
        <v>-0.98709440000000004</v>
      </c>
      <c r="Q3834">
        <v>0.16006119999999999</v>
      </c>
      <c r="R3834">
        <v>-5.0419530000000001E-3</v>
      </c>
      <c r="S3834">
        <v>-3.0426639999999998</v>
      </c>
      <c r="T3834">
        <v>-3.1053069999999999E-2</v>
      </c>
      <c r="U3834">
        <v>-0.2238464</v>
      </c>
      <c r="V3834">
        <v>-2.3962050000000002E-3</v>
      </c>
      <c r="W3834">
        <v>0.17244010000000001</v>
      </c>
      <c r="X3834">
        <v>0.98501709999999998</v>
      </c>
      <c r="Y3834">
        <v>-7.0696289999999995E-2</v>
      </c>
      <c r="Z3834">
        <v>-8.1091349999999997E-4</v>
      </c>
      <c r="AA3834">
        <v>0.99749759999999998</v>
      </c>
      <c r="AB3834">
        <v>27</v>
      </c>
      <c r="AC3834">
        <v>-96.761600000000001</v>
      </c>
      <c r="AD3834">
        <v>-0.99039580000000005</v>
      </c>
      <c r="AE3834">
        <v>-7.1380999999999499</v>
      </c>
      <c r="AF3834">
        <v>-6.8786728553064602</v>
      </c>
      <c r="AG3834">
        <v>-0.99039580000000005</v>
      </c>
      <c r="AH3834">
        <v>96.770254235538204</v>
      </c>
      <c r="AI3834">
        <v>90.584897858692798</v>
      </c>
      <c r="AJ3834">
        <v>94.065889256683903</v>
      </c>
      <c r="AK3834">
        <v>97.019478090235495</v>
      </c>
      <c r="AL3834">
        <v>80.070278050966394</v>
      </c>
      <c r="AM3834">
        <v>90.139380486415902</v>
      </c>
      <c r="AN3834">
        <v>1.0000000085894101</v>
      </c>
    </row>
    <row r="3835" spans="1:40" x14ac:dyDescent="0.25">
      <c r="A3835" t="str">
        <f>"20190303161948761"</f>
        <v>20190303161948761</v>
      </c>
      <c r="B3835" t="str">
        <f>"1551601188746388"</f>
        <v>1551601188746388</v>
      </c>
      <c r="C3835" t="s">
        <v>40</v>
      </c>
      <c r="D3835">
        <v>4.23529</v>
      </c>
      <c r="E3835">
        <v>0.47419450000000002</v>
      </c>
      <c r="F3835" t="s">
        <v>57</v>
      </c>
      <c r="G3835">
        <v>-511.95870000000002</v>
      </c>
      <c r="H3835">
        <v>0.27100210000000002</v>
      </c>
      <c r="I3835">
        <v>276.64080000000001</v>
      </c>
      <c r="J3835">
        <v>-415.4674</v>
      </c>
      <c r="K3835">
        <v>1.1214029999999999</v>
      </c>
      <c r="L3835">
        <v>283.74680000000001</v>
      </c>
      <c r="M3835">
        <v>-0.99991779999999997</v>
      </c>
      <c r="N3835">
        <v>-1.254918E-2</v>
      </c>
      <c r="O3835">
        <v>-2.6731889999999999E-3</v>
      </c>
      <c r="P3835">
        <v>-0.98711850000000001</v>
      </c>
      <c r="Q3835">
        <v>0.15990550000000001</v>
      </c>
      <c r="R3835">
        <v>-5.2823260000000004E-3</v>
      </c>
      <c r="S3835">
        <v>-3.0423580000000001</v>
      </c>
      <c r="T3835">
        <v>-2.6735539999999999E-2</v>
      </c>
      <c r="U3835">
        <v>-0.2234497</v>
      </c>
      <c r="V3835">
        <v>-2.6362930000000001E-3</v>
      </c>
      <c r="W3835">
        <v>0.172280399999999</v>
      </c>
      <c r="X3835">
        <v>0.98504440000000004</v>
      </c>
      <c r="Y3835">
        <v>-7.0575849999999996E-2</v>
      </c>
      <c r="Z3835">
        <v>-7.6319219999999995E-4</v>
      </c>
      <c r="AA3835">
        <v>0.99750609999999995</v>
      </c>
      <c r="AB3835">
        <v>27</v>
      </c>
      <c r="AC3835">
        <v>-96.491299999999995</v>
      </c>
      <c r="AD3835">
        <v>-0.85040090000000002</v>
      </c>
      <c r="AE3835">
        <v>-7.1059999999999901</v>
      </c>
      <c r="AF3835">
        <v>-6.8474858450991398</v>
      </c>
      <c r="AG3835">
        <v>-0.85040090000000002</v>
      </c>
      <c r="AH3835">
        <v>96.502497136079</v>
      </c>
      <c r="AI3835">
        <v>90.503623572898604</v>
      </c>
      <c r="AJ3835">
        <v>94.058709261579295</v>
      </c>
      <c r="AK3835">
        <v>96.748866647565904</v>
      </c>
      <c r="AL3835">
        <v>80.079566903246203</v>
      </c>
      <c r="AM3835">
        <v>90.1533414146854</v>
      </c>
      <c r="AN3835">
        <v>0.99999997811815</v>
      </c>
    </row>
    <row r="3836" spans="1:40" x14ac:dyDescent="0.25">
      <c r="A3836" t="str">
        <f>"20190303161948782"</f>
        <v>20190303161948782</v>
      </c>
      <c r="B3836" t="str">
        <f>"1551601188776841"</f>
        <v>1551601188776841</v>
      </c>
      <c r="C3836" t="s">
        <v>40</v>
      </c>
      <c r="D3836">
        <v>4.2232209999999997</v>
      </c>
      <c r="E3836">
        <v>0.47390480000000001</v>
      </c>
      <c r="F3836" t="s">
        <v>57</v>
      </c>
      <c r="G3836">
        <v>-511.95870000000002</v>
      </c>
      <c r="H3836">
        <v>0.30211480000000002</v>
      </c>
      <c r="I3836">
        <v>276.57220000000001</v>
      </c>
      <c r="J3836">
        <v>-415.73520000000002</v>
      </c>
      <c r="K3836">
        <v>1.1214</v>
      </c>
      <c r="L3836">
        <v>283.74610000000001</v>
      </c>
      <c r="M3836">
        <v>-0.99991790000000003</v>
      </c>
      <c r="N3836">
        <v>-1.254074E-2</v>
      </c>
      <c r="O3836">
        <v>-2.673136E-3</v>
      </c>
      <c r="P3836">
        <v>-0.98714460000000004</v>
      </c>
      <c r="Q3836">
        <v>0.15975510000000001</v>
      </c>
      <c r="R3836">
        <v>-4.9198449999999999E-3</v>
      </c>
      <c r="S3836">
        <v>-3.0421140000000002</v>
      </c>
      <c r="T3836">
        <v>-2.5827409999999999E-2</v>
      </c>
      <c r="U3836">
        <v>-0.22619629999999999</v>
      </c>
      <c r="V3836">
        <v>-2.2742130000000002E-3</v>
      </c>
      <c r="W3836">
        <v>0.1721221</v>
      </c>
      <c r="X3836">
        <v>0.98507299999999998</v>
      </c>
      <c r="Y3836">
        <v>-7.1477669999999993E-2</v>
      </c>
      <c r="Z3836">
        <v>-7.6266099999999998E-4</v>
      </c>
      <c r="AA3836">
        <v>0.99744189999999999</v>
      </c>
      <c r="AB3836">
        <v>27</v>
      </c>
      <c r="AC3836">
        <v>-96.223500000000001</v>
      </c>
      <c r="AD3836">
        <v>-0.81928519999999905</v>
      </c>
      <c r="AE3836">
        <v>-7.1738999999999997</v>
      </c>
      <c r="AF3836">
        <v>-6.9161370490522298</v>
      </c>
      <c r="AG3836">
        <v>-0.81928519999999905</v>
      </c>
      <c r="AH3836">
        <v>96.235396452978705</v>
      </c>
      <c r="AI3836">
        <v>90.486512292974098</v>
      </c>
      <c r="AJ3836">
        <v>94.110601374239593</v>
      </c>
      <c r="AK3836">
        <v>96.487075354071095</v>
      </c>
      <c r="AL3836">
        <v>80.088774610911997</v>
      </c>
      <c r="AM3836">
        <v>90.132277075009398</v>
      </c>
      <c r="AN3836">
        <v>1.00000000234108</v>
      </c>
    </row>
    <row r="3837" spans="1:40" x14ac:dyDescent="0.25">
      <c r="A3837" t="str">
        <f>"20190303161948805"</f>
        <v>20190303161948805</v>
      </c>
      <c r="B3837" t="str">
        <f>"1551601188796340"</f>
        <v>1551601188796340</v>
      </c>
      <c r="C3837" t="s">
        <v>40</v>
      </c>
      <c r="D3837">
        <v>4.2347710000000003</v>
      </c>
      <c r="E3837">
        <v>0.4737131</v>
      </c>
      <c r="F3837" t="s">
        <v>57</v>
      </c>
      <c r="G3837">
        <v>-511.95870000000002</v>
      </c>
      <c r="H3837">
        <v>0.2160996</v>
      </c>
      <c r="I3837">
        <v>276.5616</v>
      </c>
      <c r="J3837">
        <v>-416.00850000000003</v>
      </c>
      <c r="K3837">
        <v>1.1214010000000001</v>
      </c>
      <c r="L3837">
        <v>283.74540000000002</v>
      </c>
      <c r="M3837">
        <v>-0.99991799999999997</v>
      </c>
      <c r="N3837">
        <v>-1.2529240000000001E-2</v>
      </c>
      <c r="O3837">
        <v>-2.6729449999999999E-3</v>
      </c>
      <c r="P3837">
        <v>-0.98718309999999998</v>
      </c>
      <c r="Q3837">
        <v>0.15953580000000001</v>
      </c>
      <c r="R3837">
        <v>-4.231907E-3</v>
      </c>
      <c r="S3837">
        <v>-3.0425719999999998</v>
      </c>
      <c r="T3837">
        <v>-2.8622870000000002E-2</v>
      </c>
      <c r="U3837">
        <v>-0.22717290000000001</v>
      </c>
      <c r="V3837">
        <v>-1.5861390000000001E-3</v>
      </c>
      <c r="W3837">
        <v>0.1718924</v>
      </c>
      <c r="X3837">
        <v>0.9851145</v>
      </c>
      <c r="Y3837">
        <v>-7.1784120000000007E-2</v>
      </c>
      <c r="Z3837">
        <v>-7.9587889999999995E-4</v>
      </c>
      <c r="AA3837">
        <v>0.99741990000000003</v>
      </c>
      <c r="AB3837">
        <v>27</v>
      </c>
      <c r="AC3837">
        <v>-95.950199999999995</v>
      </c>
      <c r="AD3837">
        <v>-0.90530140000000003</v>
      </c>
      <c r="AE3837">
        <v>-7.1838000000000104</v>
      </c>
      <c r="AF3837">
        <v>-6.9266714249161998</v>
      </c>
      <c r="AG3837">
        <v>-0.90530140000000003</v>
      </c>
      <c r="AH3837">
        <v>95.960565660243205</v>
      </c>
      <c r="AI3837">
        <v>90.539115403705097</v>
      </c>
      <c r="AJ3837">
        <v>94.128590869979902</v>
      </c>
      <c r="AK3837">
        <v>96.214492200953998</v>
      </c>
      <c r="AL3837">
        <v>80.102135004668199</v>
      </c>
      <c r="AM3837">
        <v>90.092252212192903</v>
      </c>
      <c r="AN3837">
        <v>1.00000004556246</v>
      </c>
    </row>
    <row r="3838" spans="1:40" x14ac:dyDescent="0.25">
      <c r="A3838" t="str">
        <f>"20190303161948827"</f>
        <v>20190303161948827</v>
      </c>
      <c r="B3838" t="str">
        <f>"1551601188815859"</f>
        <v>1551601188815859</v>
      </c>
      <c r="C3838" t="s">
        <v>40</v>
      </c>
      <c r="D3838">
        <v>4.2774109999999999</v>
      </c>
      <c r="E3838">
        <v>0.47343249999999998</v>
      </c>
      <c r="F3838" t="s">
        <v>57</v>
      </c>
      <c r="G3838">
        <v>-511.95870000000002</v>
      </c>
      <c r="H3838">
        <v>0.16246099999999999</v>
      </c>
      <c r="I3838">
        <v>276.61200000000002</v>
      </c>
      <c r="J3838">
        <v>-416.28140000000002</v>
      </c>
      <c r="K3838">
        <v>1.121397</v>
      </c>
      <c r="L3838">
        <v>283.74470000000002</v>
      </c>
      <c r="M3838">
        <v>-0.99991819999999998</v>
      </c>
      <c r="N3838">
        <v>-1.2516960000000001E-2</v>
      </c>
      <c r="O3838">
        <v>-2.6728680000000001E-3</v>
      </c>
      <c r="P3838">
        <v>-0.98720730000000001</v>
      </c>
      <c r="Q3838">
        <v>0.15939439999999999</v>
      </c>
      <c r="R3838">
        <v>-3.9167669999999998E-3</v>
      </c>
      <c r="S3838">
        <v>-3.0429379999999999</v>
      </c>
      <c r="T3838">
        <v>-3.0408979999999999E-2</v>
      </c>
      <c r="U3838">
        <v>-0.22622680000000001</v>
      </c>
      <c r="V3838">
        <v>-1.2709780000000001E-3</v>
      </c>
      <c r="W3838">
        <v>0.17173920000000001</v>
      </c>
      <c r="X3838">
        <v>0.98514159999999995</v>
      </c>
      <c r="Y3838">
        <v>-7.1466249999999995E-2</v>
      </c>
      <c r="Z3838">
        <v>-8.112595E-4</v>
      </c>
      <c r="AA3838">
        <v>0.99744270000000002</v>
      </c>
      <c r="AB3838">
        <v>27</v>
      </c>
      <c r="AC3838">
        <v>-95.677300000000002</v>
      </c>
      <c r="AD3838">
        <v>-0.95893600000000001</v>
      </c>
      <c r="AE3838">
        <v>-7.1326999999999998</v>
      </c>
      <c r="AF3838">
        <v>-6.8762347983359504</v>
      </c>
      <c r="AG3838">
        <v>-0.95893600000000001</v>
      </c>
      <c r="AH3838">
        <v>95.686465597919593</v>
      </c>
      <c r="AI3838">
        <v>90.572702104591201</v>
      </c>
      <c r="AJ3838">
        <v>94.110331930697299</v>
      </c>
      <c r="AK3838">
        <v>95.938010516561206</v>
      </c>
      <c r="AL3838">
        <v>80.111044467192997</v>
      </c>
      <c r="AM3838">
        <v>90.073919967292596</v>
      </c>
      <c r="AN3838">
        <v>0.99999997012613695</v>
      </c>
    </row>
    <row r="3839" spans="1:40" x14ac:dyDescent="0.25">
      <c r="A3839" t="str">
        <f>"20190303161948849"</f>
        <v>20190303161948849</v>
      </c>
      <c r="B3839" t="str">
        <f>"1551601188836356"</f>
        <v>1551601188836356</v>
      </c>
      <c r="C3839" t="s">
        <v>40</v>
      </c>
      <c r="D3839">
        <v>4.3127000000000004</v>
      </c>
      <c r="E3839">
        <v>0.47323409999999999</v>
      </c>
      <c r="F3839" t="s">
        <v>57</v>
      </c>
      <c r="G3839">
        <v>-511.95859999999999</v>
      </c>
      <c r="H3839">
        <v>0.1094728</v>
      </c>
      <c r="I3839">
        <v>276.58800000000002</v>
      </c>
      <c r="J3839">
        <v>-416.54849999999999</v>
      </c>
      <c r="K3839">
        <v>1.1213839999999999</v>
      </c>
      <c r="L3839">
        <v>283.74400000000003</v>
      </c>
      <c r="M3839">
        <v>-0.99991830000000004</v>
      </c>
      <c r="N3839">
        <v>-1.2505219999999999E-2</v>
      </c>
      <c r="O3839">
        <v>-2.6729140000000002E-3</v>
      </c>
      <c r="P3839">
        <v>-0.98722549999999998</v>
      </c>
      <c r="Q3839">
        <v>0.1592877</v>
      </c>
      <c r="R3839">
        <v>-3.7067979999999999E-3</v>
      </c>
      <c r="S3839">
        <v>-3.0431819999999998</v>
      </c>
      <c r="T3839">
        <v>-3.2183410000000003E-2</v>
      </c>
      <c r="U3839">
        <v>-0.22763059999999999</v>
      </c>
      <c r="V3839">
        <v>-1.0610210000000001E-3</v>
      </c>
      <c r="W3839">
        <v>0.17162089999999999</v>
      </c>
      <c r="X3839">
        <v>0.98516250000000005</v>
      </c>
      <c r="Y3839">
        <v>-7.1917120000000001E-2</v>
      </c>
      <c r="Z3839">
        <v>-8.3523799999999997E-4</v>
      </c>
      <c r="AA3839">
        <v>0.99741020000000002</v>
      </c>
      <c r="AB3839">
        <v>27</v>
      </c>
      <c r="AC3839">
        <v>-95.4101</v>
      </c>
      <c r="AD3839">
        <v>-1.0119111999999999</v>
      </c>
      <c r="AE3839">
        <v>-7.1560000000000601</v>
      </c>
      <c r="AF3839">
        <v>-6.9001596898413204</v>
      </c>
      <c r="AG3839">
        <v>-1.0119111999999999</v>
      </c>
      <c r="AH3839">
        <v>95.418214871533706</v>
      </c>
      <c r="AI3839">
        <v>90.606017201007205</v>
      </c>
      <c r="AJ3839">
        <v>94.136139301092001</v>
      </c>
      <c r="AK3839">
        <v>95.672733301041305</v>
      </c>
      <c r="AL3839">
        <v>80.117925061273297</v>
      </c>
      <c r="AM3839">
        <v>90.061707588108405</v>
      </c>
      <c r="AN3839">
        <v>1.0000000052443101</v>
      </c>
    </row>
    <row r="3840" spans="1:40" x14ac:dyDescent="0.25">
      <c r="A3840" t="str">
        <f>"20190303161948871"</f>
        <v>20190303161948871</v>
      </c>
      <c r="B3840" t="str">
        <f>"1551601188866611"</f>
        <v>1551601188866611</v>
      </c>
      <c r="C3840" t="s">
        <v>40</v>
      </c>
      <c r="D3840">
        <v>4.324522</v>
      </c>
      <c r="E3840">
        <v>0.47308830000000002</v>
      </c>
      <c r="F3840" t="s">
        <v>57</v>
      </c>
      <c r="G3840">
        <v>-511.95859999999999</v>
      </c>
      <c r="H3840">
        <v>6.2705810000000001E-2</v>
      </c>
      <c r="I3840">
        <v>276.58109999999999</v>
      </c>
      <c r="J3840">
        <v>-416.82339999999999</v>
      </c>
      <c r="K3840">
        <v>1.121386</v>
      </c>
      <c r="L3840">
        <v>283.74329999999998</v>
      </c>
      <c r="M3840">
        <v>-0.99991850000000004</v>
      </c>
      <c r="N3840">
        <v>-1.249373E-2</v>
      </c>
      <c r="O3840">
        <v>-2.6728429999999998E-3</v>
      </c>
      <c r="P3840">
        <v>-0.98724100000000004</v>
      </c>
      <c r="Q3840">
        <v>0.1591862</v>
      </c>
      <c r="R3840">
        <v>-3.8936270000000002E-3</v>
      </c>
      <c r="S3840">
        <v>-3.0434269999999999</v>
      </c>
      <c r="T3840">
        <v>-3.3767459999999999E-2</v>
      </c>
      <c r="U3840">
        <v>-0.2284851</v>
      </c>
      <c r="V3840">
        <v>-1.248011E-3</v>
      </c>
      <c r="W3840">
        <v>0.1715081</v>
      </c>
      <c r="X3840">
        <v>0.98518190000000005</v>
      </c>
      <c r="Y3840">
        <v>-7.2189039999999996E-2</v>
      </c>
      <c r="Z3840">
        <v>-8.5527409999999998E-4</v>
      </c>
      <c r="AA3840">
        <v>0.99739060000000002</v>
      </c>
      <c r="AB3840">
        <v>27</v>
      </c>
      <c r="AC3840">
        <v>-95.135199999999998</v>
      </c>
      <c r="AD3840">
        <v>-1.05868019</v>
      </c>
      <c r="AE3840">
        <v>-7.1621999999999799</v>
      </c>
      <c r="AF3840">
        <v>-6.9070226238860597</v>
      </c>
      <c r="AG3840">
        <v>-1.05868019</v>
      </c>
      <c r="AH3840">
        <v>95.142289402961197</v>
      </c>
      <c r="AI3840">
        <v>90.635849842511902</v>
      </c>
      <c r="AJ3840">
        <v>94.152204143036201</v>
      </c>
      <c r="AK3840">
        <v>95.398548197068394</v>
      </c>
      <c r="AL3840">
        <v>80.124485052572496</v>
      </c>
      <c r="AM3840">
        <v>90.072581240922702</v>
      </c>
      <c r="AN3840">
        <v>0.999999980992338</v>
      </c>
    </row>
    <row r="3841" spans="1:40" x14ac:dyDescent="0.25">
      <c r="A3841" t="str">
        <f>"20190303161948894"</f>
        <v>20190303161948894</v>
      </c>
      <c r="B3841" t="str">
        <f>"1551601188886131"</f>
        <v>1551601188886131</v>
      </c>
      <c r="C3841" t="s">
        <v>40</v>
      </c>
      <c r="D3841">
        <v>4.3345539999999998</v>
      </c>
      <c r="E3841">
        <v>0.47297529999999999</v>
      </c>
      <c r="F3841" t="s">
        <v>49</v>
      </c>
      <c r="G3841">
        <v>-504.6429</v>
      </c>
      <c r="H3841">
        <v>7.9999979999999998E-2</v>
      </c>
      <c r="I3841">
        <v>277.09800000000001</v>
      </c>
      <c r="J3841">
        <v>-417.09879999999998</v>
      </c>
      <c r="K3841">
        <v>1.1213850000000001</v>
      </c>
      <c r="L3841">
        <v>283.74250000000001</v>
      </c>
      <c r="M3841">
        <v>-0.99991859999999999</v>
      </c>
      <c r="N3841">
        <v>-1.248289E-2</v>
      </c>
      <c r="O3841">
        <v>-2.672776E-3</v>
      </c>
      <c r="P3841">
        <v>-0.9872282</v>
      </c>
      <c r="Q3841">
        <v>0.1592519</v>
      </c>
      <c r="R3841">
        <v>-4.4418569999999996E-3</v>
      </c>
      <c r="S3841">
        <v>-3.043701</v>
      </c>
      <c r="T3841">
        <v>-3.6093E-2</v>
      </c>
      <c r="U3841">
        <v>-0.2303162</v>
      </c>
      <c r="V3841">
        <v>-1.796216E-3</v>
      </c>
      <c r="W3841">
        <v>0.17156350000000001</v>
      </c>
      <c r="X3841">
        <v>0.98517140000000003</v>
      </c>
      <c r="Y3841">
        <v>-7.2777960000000003E-2</v>
      </c>
      <c r="Z3841">
        <v>-8.8748880000000003E-4</v>
      </c>
      <c r="AA3841">
        <v>0.99734780000000001</v>
      </c>
      <c r="AB3841">
        <v>27</v>
      </c>
      <c r="AC3841">
        <v>-87.5441</v>
      </c>
      <c r="AD3841">
        <v>-1.0413850200000001</v>
      </c>
      <c r="AE3841">
        <v>-6.6444999999999901</v>
      </c>
      <c r="AF3841">
        <v>-6.4095704961935498</v>
      </c>
      <c r="AG3841">
        <v>-1.0413850200000001</v>
      </c>
      <c r="AH3841">
        <v>87.549230283583697</v>
      </c>
      <c r="AI3841">
        <v>90.679673729898099</v>
      </c>
      <c r="AJ3841">
        <v>94.187213506980001</v>
      </c>
      <c r="AK3841">
        <v>87.789719215597898</v>
      </c>
      <c r="AL3841">
        <v>80.1212630420724</v>
      </c>
      <c r="AM3841">
        <v>90.104464544804102</v>
      </c>
      <c r="AN3841">
        <v>0.99999997415106401</v>
      </c>
    </row>
    <row r="3842" spans="1:40" x14ac:dyDescent="0.25">
      <c r="A3842" t="str">
        <f>"20190303161948917"</f>
        <v>20190303161948917</v>
      </c>
      <c r="B3842" t="str">
        <f>"1551601188906627"</f>
        <v>1551601188906627</v>
      </c>
      <c r="C3842" t="s">
        <v>40</v>
      </c>
      <c r="D3842">
        <v>4.336379</v>
      </c>
      <c r="E3842">
        <v>0.47280810000000001</v>
      </c>
      <c r="F3842" t="s">
        <v>49</v>
      </c>
      <c r="G3842">
        <v>-504.31259999999997</v>
      </c>
      <c r="H3842">
        <v>8.0000039999999994E-2</v>
      </c>
      <c r="I3842">
        <v>277.07470000000001</v>
      </c>
      <c r="J3842">
        <v>-417.3691</v>
      </c>
      <c r="K3842">
        <v>1.121381</v>
      </c>
      <c r="L3842">
        <v>283.74180000000001</v>
      </c>
      <c r="M3842">
        <v>-0.99991859999999999</v>
      </c>
      <c r="N3842">
        <v>-1.2473110000000001E-2</v>
      </c>
      <c r="O3842">
        <v>-2.672715E-3</v>
      </c>
      <c r="P3842">
        <v>-0.98726389999999997</v>
      </c>
      <c r="Q3842">
        <v>0.15902539999999901</v>
      </c>
      <c r="R3842">
        <v>-4.573349E-3</v>
      </c>
      <c r="S3842">
        <v>-3.0436399999999999</v>
      </c>
      <c r="T3842">
        <v>-3.6342859999999998E-2</v>
      </c>
      <c r="U3842">
        <v>-0.2326965</v>
      </c>
      <c r="V3842">
        <v>-1.9278310000000001E-3</v>
      </c>
      <c r="W3842">
        <v>0.1713277</v>
      </c>
      <c r="X3842">
        <v>0.98521219999999998</v>
      </c>
      <c r="Y3842">
        <v>-7.3554800000000004E-2</v>
      </c>
      <c r="Z3842">
        <v>-8.9936200000000001E-4</v>
      </c>
      <c r="AA3842">
        <v>0.99729080000000003</v>
      </c>
      <c r="AB3842">
        <v>27</v>
      </c>
      <c r="AC3842">
        <v>-86.943499999999901</v>
      </c>
      <c r="AD3842">
        <v>-1.0413809599999999</v>
      </c>
      <c r="AE3842">
        <v>-6.6670999999999996</v>
      </c>
      <c r="AF3842">
        <v>-6.4337652777895098</v>
      </c>
      <c r="AG3842">
        <v>-1.0413809599999999</v>
      </c>
      <c r="AH3842">
        <v>86.948608926980995</v>
      </c>
      <c r="AI3842">
        <v>90.684326376619893</v>
      </c>
      <c r="AJ3842">
        <v>94.231890825826198</v>
      </c>
      <c r="AK3842">
        <v>87.192536402438904</v>
      </c>
      <c r="AL3842">
        <v>80.134976573118095</v>
      </c>
      <c r="AM3842">
        <v>90.112114363725496</v>
      </c>
      <c r="AN3842">
        <v>0.99999998817424696</v>
      </c>
    </row>
    <row r="3843" spans="1:40" x14ac:dyDescent="0.25">
      <c r="A3843" t="str">
        <f>"20190303161948938"</f>
        <v>20190303161948938</v>
      </c>
      <c r="B3843" t="str">
        <f>"1551601188926148"</f>
        <v>1551601188926148</v>
      </c>
      <c r="C3843" t="s">
        <v>40</v>
      </c>
      <c r="D3843">
        <v>4.3546589999999998</v>
      </c>
      <c r="E3843">
        <v>0.47271829999999998</v>
      </c>
      <c r="F3843" t="s">
        <v>49</v>
      </c>
      <c r="G3843">
        <v>-499.98570000000001</v>
      </c>
      <c r="H3843">
        <v>7.7938540000000001E-2</v>
      </c>
      <c r="I3843">
        <v>277.38440000000003</v>
      </c>
      <c r="J3843">
        <v>-417.63819999999998</v>
      </c>
      <c r="K3843">
        <v>1.121389</v>
      </c>
      <c r="L3843">
        <v>283.74110000000002</v>
      </c>
      <c r="M3843">
        <v>-0.99991870000000005</v>
      </c>
      <c r="N3843">
        <v>-1.2464370000000001E-2</v>
      </c>
      <c r="O3843">
        <v>-2.6726599999999999E-3</v>
      </c>
      <c r="P3843">
        <v>-0.98721769999999998</v>
      </c>
      <c r="Q3843">
        <v>0.15930320000000001</v>
      </c>
      <c r="R3843">
        <v>-4.8740930000000003E-3</v>
      </c>
      <c r="S3843">
        <v>-3.0438230000000002</v>
      </c>
      <c r="T3843">
        <v>-3.8443329999999998E-2</v>
      </c>
      <c r="U3843">
        <v>-0.2342224</v>
      </c>
      <c r="V3843">
        <v>-2.2283889999999999E-3</v>
      </c>
      <c r="W3843">
        <v>0.17159639999999901</v>
      </c>
      <c r="X3843">
        <v>0.98516479999999995</v>
      </c>
      <c r="Y3843">
        <v>-7.4046280000000006E-2</v>
      </c>
      <c r="Z3843">
        <v>-9.2865989999999995E-4</v>
      </c>
      <c r="AA3843">
        <v>0.99725439999999999</v>
      </c>
      <c r="AB3843">
        <v>27</v>
      </c>
      <c r="AC3843">
        <v>-82.347499999999997</v>
      </c>
      <c r="AD3843">
        <v>-1.0434504600000001</v>
      </c>
      <c r="AE3843">
        <v>-6.3566999999999796</v>
      </c>
      <c r="AF3843">
        <v>-6.1355940076571098</v>
      </c>
      <c r="AG3843">
        <v>-1.0434504600000001</v>
      </c>
      <c r="AH3843">
        <v>82.351052335869497</v>
      </c>
      <c r="AI3843">
        <v>90.723935945064099</v>
      </c>
      <c r="AJ3843">
        <v>94.260969483537494</v>
      </c>
      <c r="AK3843">
        <v>82.585895427211895</v>
      </c>
      <c r="AL3843">
        <v>80.119349760519896</v>
      </c>
      <c r="AM3843">
        <v>90.129599704602498</v>
      </c>
      <c r="AN3843">
        <v>0.99999998668476697</v>
      </c>
    </row>
    <row r="3844" spans="1:40" x14ac:dyDescent="0.25">
      <c r="A3844" t="str">
        <f>"20190303161948961"</f>
        <v>20190303161948961</v>
      </c>
      <c r="B3844" t="str">
        <f>"1551601188956403"</f>
        <v>1551601188956403</v>
      </c>
      <c r="C3844" t="s">
        <v>40</v>
      </c>
      <c r="D3844">
        <v>4.3636100000000004</v>
      </c>
      <c r="E3844">
        <v>0.47257569999999999</v>
      </c>
      <c r="F3844" t="s">
        <v>49</v>
      </c>
      <c r="G3844">
        <v>-499.9735</v>
      </c>
      <c r="H3844">
        <v>6.5728140000000004E-2</v>
      </c>
      <c r="I3844">
        <v>277.36110000000002</v>
      </c>
      <c r="J3844">
        <v>-417.91309999999999</v>
      </c>
      <c r="K3844">
        <v>1.121391</v>
      </c>
      <c r="L3844">
        <v>283.74040000000002</v>
      </c>
      <c r="M3844">
        <v>-0.999919</v>
      </c>
      <c r="N3844">
        <v>-1.2456299999999899E-2</v>
      </c>
      <c r="O3844">
        <v>-2.6730870000000002E-3</v>
      </c>
      <c r="P3844">
        <v>-0.987205</v>
      </c>
      <c r="Q3844">
        <v>0.15937689999999999</v>
      </c>
      <c r="R3844">
        <v>-5.0513490000000001E-3</v>
      </c>
      <c r="S3844">
        <v>-3.0439759999999998</v>
      </c>
      <c r="T3844">
        <v>-3.902829E-2</v>
      </c>
      <c r="U3844">
        <v>-0.23587040000000001</v>
      </c>
      <c r="V3844">
        <v>-2.4054609999999998E-3</v>
      </c>
      <c r="W3844">
        <v>0.17166219999999999</v>
      </c>
      <c r="X3844">
        <v>0.98515299999999995</v>
      </c>
      <c r="Y3844">
        <v>-7.4578400000000003E-2</v>
      </c>
      <c r="Z3844">
        <v>-9.4163370000000001E-4</v>
      </c>
      <c r="AA3844">
        <v>0.99721470000000001</v>
      </c>
      <c r="AB3844">
        <v>27</v>
      </c>
      <c r="AC3844">
        <v>-82.060400000000001</v>
      </c>
      <c r="AD3844">
        <v>-1.05566286</v>
      </c>
      <c r="AE3844">
        <v>-6.3792999999999997</v>
      </c>
      <c r="AF3844">
        <v>-6.1588924921133996</v>
      </c>
      <c r="AG3844">
        <v>-1.05566286</v>
      </c>
      <c r="AH3844">
        <v>82.063661029843701</v>
      </c>
      <c r="AI3844">
        <v>90.734942750948406</v>
      </c>
      <c r="AJ3844">
        <v>94.292012310826195</v>
      </c>
      <c r="AK3844">
        <v>82.301220175793702</v>
      </c>
      <c r="AL3844">
        <v>80.115523698579807</v>
      </c>
      <c r="AM3844">
        <v>90.139899578224103</v>
      </c>
      <c r="AN3844">
        <v>1.0000000652802199</v>
      </c>
    </row>
    <row r="3845" spans="1:40" x14ac:dyDescent="0.25">
      <c r="A3845" t="str">
        <f>"20190303161948983"</f>
        <v>20190303161948983</v>
      </c>
      <c r="B3845" t="str">
        <f>"1551601188975924"</f>
        <v>1551601188975924</v>
      </c>
      <c r="C3845" t="s">
        <v>40</v>
      </c>
      <c r="D3845">
        <v>4.3953100000000003</v>
      </c>
      <c r="E3845">
        <v>0.47248620000000002</v>
      </c>
      <c r="F3845" t="s">
        <v>49</v>
      </c>
      <c r="G3845">
        <v>-499.95780000000002</v>
      </c>
      <c r="H3845">
        <v>2.0740069999999999E-2</v>
      </c>
      <c r="I3845">
        <v>277.34649999999999</v>
      </c>
      <c r="J3845">
        <v>-418.18110000000001</v>
      </c>
      <c r="K3845">
        <v>1.121389</v>
      </c>
      <c r="L3845">
        <v>283.73970000000003</v>
      </c>
      <c r="M3845">
        <v>-0.999919</v>
      </c>
      <c r="N3845">
        <v>-1.244923E-2</v>
      </c>
      <c r="O3845">
        <v>-2.6730439999999999E-3</v>
      </c>
      <c r="P3845">
        <v>-0.98718209999999995</v>
      </c>
      <c r="Q3845">
        <v>0.1595067</v>
      </c>
      <c r="R3845">
        <v>-5.428039E-3</v>
      </c>
      <c r="S3845">
        <v>-3.0442499999999999</v>
      </c>
      <c r="T3845">
        <v>-4.0839430000000003E-2</v>
      </c>
      <c r="U3845">
        <v>-0.2372437</v>
      </c>
      <c r="V3845">
        <v>-2.7821460000000001E-3</v>
      </c>
      <c r="W3845">
        <v>0.171784299999999</v>
      </c>
      <c r="X3845">
        <v>0.98513070000000003</v>
      </c>
      <c r="Y3845">
        <v>-7.5017730000000005E-2</v>
      </c>
      <c r="Z3845">
        <v>-9.675552E-4</v>
      </c>
      <c r="AA3845">
        <v>0.99718169999999995</v>
      </c>
      <c r="AB3845">
        <v>27</v>
      </c>
      <c r="AC3845">
        <v>-81.776700000000005</v>
      </c>
      <c r="AD3845">
        <v>-1.10064893</v>
      </c>
      <c r="AE3845">
        <v>-6.3932000000000304</v>
      </c>
      <c r="AF3845">
        <v>-6.1734559842768304</v>
      </c>
      <c r="AG3845">
        <v>-1.10064893</v>
      </c>
      <c r="AH3845">
        <v>81.778774192331596</v>
      </c>
      <c r="AI3845">
        <v>90.768901726097695</v>
      </c>
      <c r="AJ3845">
        <v>94.317053703905898</v>
      </c>
      <c r="AK3845">
        <v>82.018844756904997</v>
      </c>
      <c r="AL3845">
        <v>80.108422154298594</v>
      </c>
      <c r="AM3845">
        <v>90.161810813528106</v>
      </c>
      <c r="AN3845">
        <v>1.0000000410726699</v>
      </c>
    </row>
    <row r="3846" spans="1:40" x14ac:dyDescent="0.25">
      <c r="A3846" t="str">
        <f>"20190303161948997"</f>
        <v>20190303161948997</v>
      </c>
      <c r="B3846" t="str">
        <f>"1551601188986660"</f>
        <v>1551601188986660</v>
      </c>
      <c r="C3846" t="s">
        <v>40</v>
      </c>
      <c r="D3846">
        <v>4.4200650000000001</v>
      </c>
      <c r="E3846">
        <v>0.47239490000000001</v>
      </c>
      <c r="F3846" t="s">
        <v>49</v>
      </c>
      <c r="G3846">
        <v>-499.02010000000001</v>
      </c>
      <c r="H3846" s="1">
        <v>1.536063E-6</v>
      </c>
      <c r="I3846">
        <v>277.39389999999997</v>
      </c>
      <c r="J3846">
        <v>-418.34660000000002</v>
      </c>
      <c r="K3846">
        <v>1.121389</v>
      </c>
      <c r="L3846">
        <v>283.73919999999998</v>
      </c>
      <c r="M3846">
        <v>-0.999919</v>
      </c>
      <c r="N3846">
        <v>-1.244527E-2</v>
      </c>
      <c r="O3846">
        <v>-2.6729000000000002E-3</v>
      </c>
      <c r="P3846">
        <v>-0.9871491</v>
      </c>
      <c r="Q3846">
        <v>0.15970409999999999</v>
      </c>
      <c r="R3846">
        <v>-5.6164070000000003E-3</v>
      </c>
      <c r="S3846">
        <v>-3.0444339999999999</v>
      </c>
      <c r="T3846">
        <v>-4.2231919999999999E-2</v>
      </c>
      <c r="U3846">
        <v>-0.23898320000000001</v>
      </c>
      <c r="V3846">
        <v>-2.9708830000000001E-3</v>
      </c>
      <c r="W3846">
        <v>0.1719774</v>
      </c>
      <c r="X3846">
        <v>0.98509639999999998</v>
      </c>
      <c r="Y3846">
        <v>-7.5578729999999997E-2</v>
      </c>
      <c r="Z3846">
        <v>-9.9065770000000006E-4</v>
      </c>
      <c r="AA3846">
        <v>0.99713929999999995</v>
      </c>
      <c r="AB3846">
        <v>27</v>
      </c>
      <c r="AC3846">
        <v>-80.673499999999905</v>
      </c>
      <c r="AD3846">
        <v>-1.1213874639370001</v>
      </c>
      <c r="AE3846">
        <v>-6.3452999999999999</v>
      </c>
      <c r="AF3846">
        <v>-6.1284515823844297</v>
      </c>
      <c r="AG3846">
        <v>-1.1213874639370001</v>
      </c>
      <c r="AH3846">
        <v>80.674681406936003</v>
      </c>
      <c r="AI3846">
        <v>90.794079120743604</v>
      </c>
      <c r="AJ3846">
        <v>94.344130096335107</v>
      </c>
      <c r="AK3846">
        <v>80.914891390599607</v>
      </c>
      <c r="AL3846">
        <v>80.097190634649394</v>
      </c>
      <c r="AM3846">
        <v>90.172793790810204</v>
      </c>
      <c r="AN3846">
        <v>0.99999998477475904</v>
      </c>
    </row>
    <row r="3847" spans="1:40" x14ac:dyDescent="0.25">
      <c r="A3847" t="str">
        <f>"20190303161949017"</f>
        <v>20190303161949017</v>
      </c>
      <c r="B3847" t="str">
        <f>"1551601189006179"</f>
        <v>1551601189006179</v>
      </c>
      <c r="C3847" t="s">
        <v>40</v>
      </c>
      <c r="D3847">
        <v>4.4122000000000003</v>
      </c>
      <c r="E3847">
        <v>0.47227400000000003</v>
      </c>
      <c r="F3847" t="s">
        <v>49</v>
      </c>
      <c r="G3847">
        <v>-498.5086</v>
      </c>
      <c r="H3847" s="1">
        <v>1.6293480000000001E-6</v>
      </c>
      <c r="I3847">
        <v>277.40839999999997</v>
      </c>
      <c r="J3847">
        <v>-418.59969999999998</v>
      </c>
      <c r="K3847">
        <v>1.1213850000000001</v>
      </c>
      <c r="L3847">
        <v>283.73860000000002</v>
      </c>
      <c r="M3847">
        <v>-0.99991909999999895</v>
      </c>
      <c r="N3847">
        <v>-1.243963E-2</v>
      </c>
      <c r="O3847">
        <v>-2.6729850000000001E-3</v>
      </c>
      <c r="P3847">
        <v>-0.98713609999999896</v>
      </c>
      <c r="Q3847">
        <v>0.1597732</v>
      </c>
      <c r="R3847">
        <v>-5.9128669999999996E-3</v>
      </c>
      <c r="S3847">
        <v>-3.0445859999999998</v>
      </c>
      <c r="T3847">
        <v>-4.2590740000000002E-2</v>
      </c>
      <c r="U3847">
        <v>-0.240448</v>
      </c>
      <c r="V3847">
        <v>-3.2672460000000001E-3</v>
      </c>
      <c r="W3847">
        <v>0.17204079999999999</v>
      </c>
      <c r="X3847">
        <v>0.98508439999999997</v>
      </c>
      <c r="Y3847">
        <v>-7.6051270000000004E-2</v>
      </c>
      <c r="Z3847">
        <v>-1.0007799999999999E-3</v>
      </c>
      <c r="AA3847">
        <v>0.99710339999999997</v>
      </c>
      <c r="AB3847">
        <v>27</v>
      </c>
      <c r="AC3847">
        <v>-79.908900000000003</v>
      </c>
      <c r="AD3847">
        <v>-1.121383370652</v>
      </c>
      <c r="AE3847">
        <v>-6.3302000000000396</v>
      </c>
      <c r="AF3847">
        <v>-6.1153687673877899</v>
      </c>
      <c r="AG3847">
        <v>-1.121383370652</v>
      </c>
      <c r="AH3847">
        <v>79.909897590125297</v>
      </c>
      <c r="AI3847">
        <v>90.801640774871302</v>
      </c>
      <c r="AJ3847">
        <v>94.376218787101195</v>
      </c>
      <c r="AK3847">
        <v>80.151400291507301</v>
      </c>
      <c r="AL3847">
        <v>80.093503207841195</v>
      </c>
      <c r="AM3847">
        <v>90.190033178882501</v>
      </c>
      <c r="AN3847">
        <v>0.99999999344221202</v>
      </c>
    </row>
    <row r="3848" spans="1:40" x14ac:dyDescent="0.25">
      <c r="A3848" t="str">
        <f>"20190303161949040"</f>
        <v>20190303161949040</v>
      </c>
      <c r="B3848" t="str">
        <f>"1551601189026676"</f>
        <v>1551601189026676</v>
      </c>
      <c r="C3848" t="s">
        <v>40</v>
      </c>
      <c r="D3848">
        <v>4.4550679999999998</v>
      </c>
      <c r="E3848">
        <v>0.47207179999999999</v>
      </c>
      <c r="F3848" t="s">
        <v>49</v>
      </c>
      <c r="G3848">
        <v>-495.72250000000003</v>
      </c>
      <c r="H3848" s="1">
        <v>2.1549139999999999E-6</v>
      </c>
      <c r="I3848">
        <v>277.58640000000003</v>
      </c>
      <c r="J3848">
        <v>-418.86009999999999</v>
      </c>
      <c r="K3848">
        <v>1.1213900000000001</v>
      </c>
      <c r="L3848">
        <v>283.73790000000002</v>
      </c>
      <c r="M3848">
        <v>-0.99991909999999895</v>
      </c>
      <c r="N3848">
        <v>-1.243439E-2</v>
      </c>
      <c r="O3848">
        <v>-2.672953E-3</v>
      </c>
      <c r="P3848">
        <v>-0.98717730000000004</v>
      </c>
      <c r="Q3848">
        <v>0.15950989999999901</v>
      </c>
      <c r="R3848">
        <v>-6.1394650000000002E-3</v>
      </c>
      <c r="S3848">
        <v>-3.0448300000000001</v>
      </c>
      <c r="T3848">
        <v>-4.4272539999999999E-2</v>
      </c>
      <c r="U3848">
        <v>-0.24288940000000001</v>
      </c>
      <c r="V3848">
        <v>-3.4938199999999999E-3</v>
      </c>
      <c r="W3848">
        <v>0.1717726</v>
      </c>
      <c r="X3848">
        <v>0.98513039999999996</v>
      </c>
      <c r="Y3848">
        <v>-7.6838489999999995E-2</v>
      </c>
      <c r="Z3848">
        <v>-1.030637E-3</v>
      </c>
      <c r="AA3848">
        <v>0.99704300000000001</v>
      </c>
      <c r="AB3848">
        <v>27</v>
      </c>
      <c r="AC3848">
        <v>-76.862399999999994</v>
      </c>
      <c r="AD3848">
        <v>-1.121387845086</v>
      </c>
      <c r="AE3848">
        <v>-6.1514999999999898</v>
      </c>
      <c r="AF3848">
        <v>-5.9447552332113798</v>
      </c>
      <c r="AG3848">
        <v>-1.121387845086</v>
      </c>
      <c r="AH3848">
        <v>76.8623129205439</v>
      </c>
      <c r="AI3848">
        <v>90.833372779142806</v>
      </c>
      <c r="AJ3848">
        <v>94.422617960701402</v>
      </c>
      <c r="AK3848">
        <v>77.100017982990806</v>
      </c>
      <c r="AL3848">
        <v>80.109101909180893</v>
      </c>
      <c r="AM3848">
        <v>90.203201831034704</v>
      </c>
      <c r="AN3848">
        <v>0.99999996894655496</v>
      </c>
    </row>
    <row r="3849" spans="1:40" x14ac:dyDescent="0.25">
      <c r="A3849" t="str">
        <f>"20190303161949054"</f>
        <v>20190303161949054</v>
      </c>
      <c r="B3849" t="str">
        <f>"1551601189046195"</f>
        <v>1551601189046195</v>
      </c>
      <c r="C3849" t="s">
        <v>40</v>
      </c>
      <c r="D3849">
        <v>4.4433689999999997</v>
      </c>
      <c r="E3849">
        <v>0.47195320000000002</v>
      </c>
      <c r="F3849" t="s">
        <v>49</v>
      </c>
      <c r="G3849">
        <v>-491.34179999999998</v>
      </c>
      <c r="H3849" s="1">
        <v>2.8079829999999998E-6</v>
      </c>
      <c r="I3849">
        <v>277.90699999999998</v>
      </c>
      <c r="J3849">
        <v>-419.0385</v>
      </c>
      <c r="K3849">
        <v>1.121389</v>
      </c>
      <c r="L3849">
        <v>283.73739999999998</v>
      </c>
      <c r="M3849">
        <v>-0.99991920000000001</v>
      </c>
      <c r="N3849">
        <v>-1.243112E-2</v>
      </c>
      <c r="O3849">
        <v>-2.6729330000000002E-3</v>
      </c>
      <c r="P3849">
        <v>-0.98718240000000002</v>
      </c>
      <c r="Q3849">
        <v>0.15947420000000001</v>
      </c>
      <c r="R3849">
        <v>-6.2319200000000002E-3</v>
      </c>
      <c r="S3849">
        <v>-3.0450740000000001</v>
      </c>
      <c r="T3849">
        <v>-4.7111269999999997E-2</v>
      </c>
      <c r="U3849">
        <v>-0.2449646</v>
      </c>
      <c r="V3849">
        <v>-3.5863840000000002E-3</v>
      </c>
      <c r="W3849">
        <v>0.1717341</v>
      </c>
      <c r="X3849">
        <v>0.98513680000000003</v>
      </c>
      <c r="Y3849">
        <v>-7.7505660000000004E-2</v>
      </c>
      <c r="Z3849">
        <v>-1.073035E-3</v>
      </c>
      <c r="AA3849">
        <v>0.99699130000000002</v>
      </c>
      <c r="AB3849">
        <v>27</v>
      </c>
      <c r="AC3849">
        <v>-72.303299999999894</v>
      </c>
      <c r="AD3849">
        <v>-1.1213861920170001</v>
      </c>
      <c r="AE3849">
        <v>-5.8303999999999903</v>
      </c>
      <c r="AF3849">
        <v>-5.6357554781380497</v>
      </c>
      <c r="AG3849">
        <v>-1.1213861920170001</v>
      </c>
      <c r="AH3849">
        <v>72.301347861323094</v>
      </c>
      <c r="AI3849">
        <v>90.885893381638198</v>
      </c>
      <c r="AJ3849">
        <v>94.457086980952297</v>
      </c>
      <c r="AK3849">
        <v>72.529333027162593</v>
      </c>
      <c r="AL3849">
        <v>80.111341270871804</v>
      </c>
      <c r="AM3849">
        <v>90.208583984624795</v>
      </c>
      <c r="AN3849">
        <v>0.99999998898362197</v>
      </c>
    </row>
    <row r="3850" spans="1:40" x14ac:dyDescent="0.25">
      <c r="A3850" t="str">
        <f>"20190303161949073"</f>
        <v>20190303161949073</v>
      </c>
      <c r="B3850" t="str">
        <f>"1551601189066691"</f>
        <v>1551601189066691</v>
      </c>
      <c r="C3850" t="s">
        <v>40</v>
      </c>
      <c r="D3850">
        <v>4.4493099999999997</v>
      </c>
      <c r="E3850">
        <v>0.47210829999999998</v>
      </c>
      <c r="F3850" t="s">
        <v>49</v>
      </c>
      <c r="G3850">
        <v>-488.60399999999998</v>
      </c>
      <c r="H3850" s="1">
        <v>2.762922E-6</v>
      </c>
      <c r="I3850">
        <v>278.11160000000001</v>
      </c>
      <c r="J3850">
        <v>-419.27159999999998</v>
      </c>
      <c r="K3850">
        <v>1.1213839999999999</v>
      </c>
      <c r="L3850">
        <v>283.73680000000002</v>
      </c>
      <c r="M3850">
        <v>-0.99991920000000001</v>
      </c>
      <c r="N3850">
        <v>-1.2427179999999999E-2</v>
      </c>
      <c r="O3850">
        <v>-2.6729079999999999E-3</v>
      </c>
      <c r="P3850">
        <v>-0.98722330000000003</v>
      </c>
      <c r="Q3850">
        <v>0.15922649999999999</v>
      </c>
      <c r="R3850">
        <v>-6.0941969999999896E-3</v>
      </c>
      <c r="S3850">
        <v>-3.0453190000000001</v>
      </c>
      <c r="T3850">
        <v>-4.9090149999999999E-2</v>
      </c>
      <c r="U3850">
        <v>-0.24627689999999999</v>
      </c>
      <c r="V3850">
        <v>-3.4484310000000001E-3</v>
      </c>
      <c r="W3850">
        <v>0.1714832</v>
      </c>
      <c r="X3850">
        <v>0.98518099999999997</v>
      </c>
      <c r="Y3850">
        <v>-7.7924919999999995E-2</v>
      </c>
      <c r="Z3850">
        <v>-1.102214E-3</v>
      </c>
      <c r="AA3850">
        <v>0.99695860000000003</v>
      </c>
      <c r="AB3850">
        <v>27</v>
      </c>
      <c r="AC3850">
        <v>-69.332400000000007</v>
      </c>
      <c r="AD3850">
        <v>-1.1213812370780001</v>
      </c>
      <c r="AE3850">
        <v>-5.6252000000000004</v>
      </c>
      <c r="AF3850">
        <v>-5.4384330846113498</v>
      </c>
      <c r="AG3850">
        <v>-1.1213812370780001</v>
      </c>
      <c r="AH3850">
        <v>69.329171340118705</v>
      </c>
      <c r="AI3850">
        <v>90.923825976376506</v>
      </c>
      <c r="AJ3850">
        <v>94.485305017229393</v>
      </c>
      <c r="AK3850">
        <v>69.551190133614597</v>
      </c>
      <c r="AL3850">
        <v>80.125933272971295</v>
      </c>
      <c r="AM3850">
        <v>90.200551711128796</v>
      </c>
      <c r="AN3850">
        <v>0.99999999115979998</v>
      </c>
    </row>
    <row r="3851" spans="1:40" x14ac:dyDescent="0.25">
      <c r="A3851" t="str">
        <f>"20190303161949089"</f>
        <v>20190303161949089</v>
      </c>
      <c r="B3851" t="str">
        <f>"1551601189076452"</f>
        <v>1551601189076452</v>
      </c>
      <c r="C3851" t="s">
        <v>40</v>
      </c>
      <c r="D3851">
        <v>4.4833639999999999</v>
      </c>
      <c r="E3851">
        <v>0.472445</v>
      </c>
      <c r="F3851" t="s">
        <v>49</v>
      </c>
      <c r="G3851">
        <v>-483.47379999999998</v>
      </c>
      <c r="H3851" s="1">
        <v>2.019543E-6</v>
      </c>
      <c r="I3851">
        <v>278.5829</v>
      </c>
      <c r="J3851">
        <v>-419.4504</v>
      </c>
      <c r="K3851">
        <v>1.121386</v>
      </c>
      <c r="L3851">
        <v>283.73630000000003</v>
      </c>
      <c r="M3851">
        <v>-0.99991920000000001</v>
      </c>
      <c r="N3851">
        <v>-1.242438E-2</v>
      </c>
      <c r="O3851">
        <v>-2.6728910000000002E-3</v>
      </c>
      <c r="P3851">
        <v>-0.98727390000000004</v>
      </c>
      <c r="Q3851">
        <v>0.15892400000000001</v>
      </c>
      <c r="R3851">
        <v>-5.7939100000000002E-3</v>
      </c>
      <c r="S3851">
        <v>-3.045868</v>
      </c>
      <c r="T3851">
        <v>-5.3200360000000002E-2</v>
      </c>
      <c r="U3851">
        <v>-0.2445068</v>
      </c>
      <c r="V3851">
        <v>-3.147946E-3</v>
      </c>
      <c r="W3851">
        <v>0.17117829999999901</v>
      </c>
      <c r="X3851">
        <v>0.98523499999999997</v>
      </c>
      <c r="Y3851">
        <v>-7.7332650000000003E-2</v>
      </c>
      <c r="Z3851">
        <v>-1.142035E-3</v>
      </c>
      <c r="AA3851">
        <v>0.99700469999999997</v>
      </c>
      <c r="AB3851">
        <v>27</v>
      </c>
      <c r="AC3851">
        <v>-64.023399999999896</v>
      </c>
      <c r="AD3851">
        <v>-1.1213839804570001</v>
      </c>
      <c r="AE3851">
        <v>-5.1534000000000297</v>
      </c>
      <c r="AF3851">
        <v>-4.9807226372805404</v>
      </c>
      <c r="AG3851">
        <v>-1.1213839804570001</v>
      </c>
      <c r="AH3851">
        <v>64.017433769954195</v>
      </c>
      <c r="AI3851">
        <v>91.000516118897295</v>
      </c>
      <c r="AJ3851">
        <v>94.448798365995899</v>
      </c>
      <c r="AK3851">
        <v>64.220689240396794</v>
      </c>
      <c r="AL3851">
        <v>80.143664660135101</v>
      </c>
      <c r="AM3851">
        <v>90.183066381291596</v>
      </c>
      <c r="AN3851">
        <v>0.99999996258995305</v>
      </c>
    </row>
    <row r="3852" spans="1:40" x14ac:dyDescent="0.25">
      <c r="A3852" t="str">
        <f>"20190303161949106"</f>
        <v>20190303161949106</v>
      </c>
      <c r="B3852" t="str">
        <f>"1551601189096947"</f>
        <v>1551601189096947</v>
      </c>
      <c r="C3852" t="s">
        <v>40</v>
      </c>
      <c r="D3852">
        <v>4.454199</v>
      </c>
      <c r="E3852">
        <v>0.50144330000000004</v>
      </c>
      <c r="F3852" t="s">
        <v>49</v>
      </c>
      <c r="G3852">
        <v>-475.84730000000002</v>
      </c>
      <c r="H3852">
        <v>8.0000479999999999E-2</v>
      </c>
      <c r="I3852">
        <v>279.27640000000002</v>
      </c>
      <c r="J3852">
        <v>-419.67489999999998</v>
      </c>
      <c r="K3852">
        <v>1.121386</v>
      </c>
      <c r="L3852">
        <v>283.73570000000001</v>
      </c>
      <c r="M3852">
        <v>-0.99991929999999996</v>
      </c>
      <c r="N3852">
        <v>-1.2421130000000001E-2</v>
      </c>
      <c r="O3852">
        <v>-2.6728709999999998E-3</v>
      </c>
      <c r="P3852">
        <v>-0.98737490000000006</v>
      </c>
      <c r="Q3852">
        <v>0.1583253</v>
      </c>
      <c r="R3852">
        <v>-4.9165249999999997E-3</v>
      </c>
      <c r="S3852">
        <v>-3.0463559999999998</v>
      </c>
      <c r="T3852">
        <v>-5.6251879999999997E-2</v>
      </c>
      <c r="U3852">
        <v>-0.2409058</v>
      </c>
      <c r="V3852">
        <v>-2.2706050000000002E-3</v>
      </c>
      <c r="W3852">
        <v>0.1705779</v>
      </c>
      <c r="X3852">
        <v>0.98534160000000004</v>
      </c>
      <c r="Y3852">
        <v>-7.6147240000000005E-2</v>
      </c>
      <c r="Z3852">
        <v>-1.159502E-3</v>
      </c>
      <c r="AA3852">
        <v>0.99709590000000003</v>
      </c>
      <c r="AB3852">
        <v>27</v>
      </c>
      <c r="AC3852">
        <v>-56.172400000000003</v>
      </c>
      <c r="AD3852">
        <v>-1.04138552</v>
      </c>
      <c r="AE3852">
        <v>-4.4592999999999803</v>
      </c>
      <c r="AF3852">
        <v>-4.3076596461724499</v>
      </c>
      <c r="AG3852">
        <v>-1.04138552</v>
      </c>
      <c r="AH3852">
        <v>56.164936479234598</v>
      </c>
      <c r="AI3852">
        <v>91.059121604248702</v>
      </c>
      <c r="AJ3852">
        <v>94.385805269074396</v>
      </c>
      <c r="AK3852">
        <v>56.339511048153298</v>
      </c>
      <c r="AL3852">
        <v>80.178579146229197</v>
      </c>
      <c r="AM3852">
        <v>90.132031219593202</v>
      </c>
      <c r="AN3852">
        <v>1.0000000221530101</v>
      </c>
    </row>
    <row r="3853" spans="1:40" x14ac:dyDescent="0.25">
      <c r="A3853" t="str">
        <f>"20190303161949130"</f>
        <v>20190303161949130</v>
      </c>
      <c r="B3853" t="str">
        <f>"1551601189116468"</f>
        <v>1551601189116468</v>
      </c>
      <c r="C3853" t="s">
        <v>40</v>
      </c>
      <c r="D3853">
        <v>4.4944709999999999</v>
      </c>
      <c r="E3853">
        <v>0.50443830000000001</v>
      </c>
      <c r="F3853" t="s">
        <v>56</v>
      </c>
      <c r="G3853">
        <v>-434.44560000000001</v>
      </c>
      <c r="H3853" s="1">
        <v>4.2689080000000001E-6</v>
      </c>
      <c r="I3853">
        <v>283.69560000000001</v>
      </c>
      <c r="J3853">
        <v>-419.95319999999998</v>
      </c>
      <c r="K3853">
        <v>1.1213850000000001</v>
      </c>
      <c r="L3853">
        <v>283.73500000000001</v>
      </c>
      <c r="M3853">
        <v>-0.99991940000000001</v>
      </c>
      <c r="N3853">
        <v>-1.241749E-2</v>
      </c>
      <c r="O3853">
        <v>-2.6730870000000002E-3</v>
      </c>
      <c r="P3853">
        <v>-0.98746489999999998</v>
      </c>
      <c r="Q3853">
        <v>0.1577876</v>
      </c>
      <c r="R3853">
        <v>-4.0408909999999996E-3</v>
      </c>
      <c r="S3853">
        <v>-3.075745</v>
      </c>
      <c r="T3853">
        <v>-0.2335091</v>
      </c>
      <c r="U3853">
        <v>-8.3618159999999993E-3</v>
      </c>
      <c r="V3853">
        <v>-1.394471E-3</v>
      </c>
      <c r="W3853">
        <v>0.17003699999999999</v>
      </c>
      <c r="X3853">
        <v>0.98543670000000005</v>
      </c>
      <c r="Y3853" s="1">
        <v>-5.0541380000000002E-5</v>
      </c>
      <c r="Z3853">
        <v>1.6726259999999999E-4</v>
      </c>
      <c r="AA3853">
        <v>1</v>
      </c>
      <c r="AB3853">
        <v>27</v>
      </c>
      <c r="AC3853">
        <v>-14.4924</v>
      </c>
      <c r="AD3853">
        <v>-1.1213807310920001</v>
      </c>
      <c r="AE3853">
        <v>-3.9400000000000497E-2</v>
      </c>
      <c r="AF3853">
        <v>-6.5351624136541998E-4</v>
      </c>
      <c r="AG3853">
        <v>-1.1213807310920001</v>
      </c>
      <c r="AH3853">
        <v>14.4062010183785</v>
      </c>
      <c r="AI3853">
        <v>94.450936542057207</v>
      </c>
      <c r="AJ3853">
        <v>90.002599139245604</v>
      </c>
      <c r="AK3853">
        <v>14.4497793392521</v>
      </c>
      <c r="AL3853">
        <v>80.210029756146199</v>
      </c>
      <c r="AM3853">
        <v>90.081078013050799</v>
      </c>
      <c r="AN3853">
        <v>1.0000000078126201</v>
      </c>
    </row>
    <row r="3854" spans="1:40" x14ac:dyDescent="0.25">
      <c r="A3854" t="str">
        <f>"20190303161949151"</f>
        <v>20190303161949151</v>
      </c>
      <c r="B3854" t="str">
        <f>"1551601189146742"</f>
        <v>1551601189146742</v>
      </c>
      <c r="C3854" t="s">
        <v>40</v>
      </c>
      <c r="D3854">
        <v>4.5334009999999996</v>
      </c>
      <c r="E3854">
        <v>0.52769960000000005</v>
      </c>
      <c r="F3854" t="s">
        <v>42</v>
      </c>
      <c r="G3854">
        <v>-420.86720000000003</v>
      </c>
      <c r="H3854">
        <v>1.0373619999999999</v>
      </c>
      <c r="I3854">
        <v>283.74029999999999</v>
      </c>
      <c r="J3854">
        <v>-420.21409999999997</v>
      </c>
      <c r="K3854">
        <v>1.121386</v>
      </c>
      <c r="L3854">
        <v>283.73430000000002</v>
      </c>
      <c r="M3854">
        <v>-0.99991949999999996</v>
      </c>
      <c r="N3854">
        <v>-1.2414390000000001E-2</v>
      </c>
      <c r="O3854">
        <v>-2.6730679999999998E-3</v>
      </c>
      <c r="P3854">
        <v>-0.98749819999999999</v>
      </c>
      <c r="Q3854">
        <v>0.15758539999999999</v>
      </c>
      <c r="R3854">
        <v>-3.8138500000000001E-3</v>
      </c>
      <c r="S3854">
        <v>-3.083466</v>
      </c>
      <c r="T3854">
        <v>-0.28361819999999999</v>
      </c>
      <c r="U3854">
        <v>1.748657E-2</v>
      </c>
      <c r="V3854">
        <v>-1.1675539999999999E-3</v>
      </c>
      <c r="W3854">
        <v>0.1698326</v>
      </c>
      <c r="X3854">
        <v>0.98547220000000002</v>
      </c>
      <c r="Y3854">
        <v>8.2959890000000001E-3</v>
      </c>
      <c r="Z3854">
        <v>6.4457269999999996E-4</v>
      </c>
      <c r="AA3854">
        <v>0.9999654</v>
      </c>
      <c r="AB3854">
        <v>27</v>
      </c>
      <c r="AC3854">
        <v>-0.65310000000005097</v>
      </c>
      <c r="AD3854">
        <v>-8.4023999999999793E-2</v>
      </c>
      <c r="AE3854">
        <v>5.9999999999717996E-3</v>
      </c>
      <c r="AF3854">
        <v>7.6197824955585303E-3</v>
      </c>
      <c r="AG3854">
        <v>-8.4023999999999793E-2</v>
      </c>
      <c r="AH3854">
        <v>0.64244878865184396</v>
      </c>
      <c r="AI3854">
        <v>97.450736310802199</v>
      </c>
      <c r="AJ3854">
        <v>89.320473607190493</v>
      </c>
      <c r="AK3854">
        <v>0.64796492165973096</v>
      </c>
      <c r="AL3854">
        <v>80.221913452114094</v>
      </c>
      <c r="AM3854">
        <v>90.067882062278002</v>
      </c>
      <c r="AN3854">
        <v>0.99999996608897002</v>
      </c>
    </row>
    <row r="3855" spans="1:40" x14ac:dyDescent="0.25">
      <c r="A3855" t="str">
        <f>"20190303161949164"</f>
        <v>20190303161949164</v>
      </c>
      <c r="B3855" t="str">
        <f>"1551601189156484"</f>
        <v>1551601189156484</v>
      </c>
      <c r="C3855" t="s">
        <v>40</v>
      </c>
      <c r="D3855">
        <v>4.576149</v>
      </c>
      <c r="E3855">
        <v>0.52849709999999905</v>
      </c>
      <c r="F3855" t="s">
        <v>42</v>
      </c>
      <c r="G3855">
        <v>-421.0498</v>
      </c>
      <c r="H3855">
        <v>0.91778419999999905</v>
      </c>
      <c r="I3855">
        <v>283.78710000000001</v>
      </c>
      <c r="J3855">
        <v>-420.37450000000001</v>
      </c>
      <c r="K3855">
        <v>1.1213850000000001</v>
      </c>
      <c r="L3855">
        <v>283.73390000000001</v>
      </c>
      <c r="M3855">
        <v>-0.99991940000000001</v>
      </c>
      <c r="N3855">
        <v>-1.2412609999999999E-2</v>
      </c>
      <c r="O3855">
        <v>-2.673056E-3</v>
      </c>
      <c r="P3855">
        <v>-0.98755179999999998</v>
      </c>
      <c r="Q3855">
        <v>0.157253</v>
      </c>
      <c r="R3855">
        <v>-3.603939E-3</v>
      </c>
      <c r="S3855">
        <v>-3.1616819999999999</v>
      </c>
      <c r="T3855">
        <v>-0.77025369999999904</v>
      </c>
      <c r="U3855">
        <v>0.19967650000000001</v>
      </c>
      <c r="V3855">
        <v>-9.5756040000000001E-4</v>
      </c>
      <c r="W3855">
        <v>0.16949900000000001</v>
      </c>
      <c r="X3855">
        <v>0.98552989999999996</v>
      </c>
      <c r="Y3855">
        <v>6.3674389999999997E-2</v>
      </c>
      <c r="Z3855">
        <v>8.6472430000000006E-3</v>
      </c>
      <c r="AA3855">
        <v>0.99793330000000002</v>
      </c>
      <c r="AB3855">
        <v>27</v>
      </c>
      <c r="AC3855">
        <v>-0.67529999999999202</v>
      </c>
      <c r="AD3855">
        <v>-0.2036008</v>
      </c>
      <c r="AE3855">
        <v>5.3200000000003897E-2</v>
      </c>
      <c r="AF3855">
        <v>5.0447640990923498E-2</v>
      </c>
      <c r="AG3855">
        <v>-0.2036008</v>
      </c>
      <c r="AH3855">
        <v>0.61921563973586002</v>
      </c>
      <c r="AI3855">
        <v>108.144930038091</v>
      </c>
      <c r="AJ3855">
        <v>85.342386264519703</v>
      </c>
      <c r="AK3855">
        <v>0.65377844774486105</v>
      </c>
      <c r="AL3855">
        <v>80.241308913183403</v>
      </c>
      <c r="AM3855">
        <v>90.055669698386694</v>
      </c>
      <c r="AN3855">
        <v>1.0000000058584599</v>
      </c>
    </row>
    <row r="3856" spans="1:40" x14ac:dyDescent="0.25">
      <c r="A3856" t="str">
        <f>"20190303161949177"</f>
        <v>20190303161949177</v>
      </c>
      <c r="B3856" t="str">
        <f>"1551601189166244"</f>
        <v>1551601189166244</v>
      </c>
      <c r="C3856" t="s">
        <v>40</v>
      </c>
      <c r="D3856">
        <v>4.5557379999999998</v>
      </c>
      <c r="E3856">
        <v>0.52906280000000006</v>
      </c>
      <c r="F3856" t="s">
        <v>42</v>
      </c>
      <c r="G3856">
        <v>-421.06209999999999</v>
      </c>
      <c r="H3856">
        <v>0.94325400000000004</v>
      </c>
      <c r="I3856">
        <v>283.77870000000001</v>
      </c>
      <c r="J3856">
        <v>-420.53410000000002</v>
      </c>
      <c r="K3856">
        <v>1.1213839999999999</v>
      </c>
      <c r="L3856">
        <v>283.73349999999999</v>
      </c>
      <c r="M3856">
        <v>-0.99991949999999996</v>
      </c>
      <c r="N3856">
        <v>-1.241096E-2</v>
      </c>
      <c r="O3856">
        <v>-2.6731659999999998E-3</v>
      </c>
      <c r="P3856">
        <v>-0.98755159999999997</v>
      </c>
      <c r="Q3856">
        <v>0.15726399999999999</v>
      </c>
      <c r="R3856">
        <v>-3.227415E-3</v>
      </c>
      <c r="S3856">
        <v>-3.1692809999999998</v>
      </c>
      <c r="T3856">
        <v>-0.82101669999999904</v>
      </c>
      <c r="U3856">
        <v>0.20632929999999999</v>
      </c>
      <c r="V3856">
        <v>-5.8066949999999997E-4</v>
      </c>
      <c r="W3856">
        <v>0.169508399999999</v>
      </c>
      <c r="X3856">
        <v>0.98552859999999998</v>
      </c>
      <c r="Y3856">
        <v>6.5299880000000005E-2</v>
      </c>
      <c r="Z3856">
        <v>9.37289E-3</v>
      </c>
      <c r="AA3856">
        <v>0.99782170000000003</v>
      </c>
      <c r="AB3856">
        <v>27</v>
      </c>
      <c r="AC3856">
        <v>-0.52799999999996305</v>
      </c>
      <c r="AD3856">
        <v>-0.17812999999999901</v>
      </c>
      <c r="AE3856">
        <v>4.52000000000225E-2</v>
      </c>
      <c r="AF3856">
        <v>4.1879469680790198E-2</v>
      </c>
      <c r="AG3856">
        <v>-0.17812999999999901</v>
      </c>
      <c r="AH3856">
        <v>0.47428806055448303</v>
      </c>
      <c r="AI3856">
        <v>110.511718225026</v>
      </c>
      <c r="AJ3856">
        <v>84.953890124574997</v>
      </c>
      <c r="AK3856">
        <v>0.50836340472665498</v>
      </c>
      <c r="AL3856">
        <v>80.240762644436103</v>
      </c>
      <c r="AM3856">
        <v>90.033758439675907</v>
      </c>
      <c r="AN3856">
        <v>1.0000000281327901</v>
      </c>
    </row>
    <row r="3857" spans="1:40" x14ac:dyDescent="0.25">
      <c r="A3857" t="str">
        <f>"20190303161949193"</f>
        <v>20190303161949193</v>
      </c>
      <c r="B3857" t="str">
        <f>"1551601189186740"</f>
        <v>1551601189186740</v>
      </c>
      <c r="C3857" t="s">
        <v>40</v>
      </c>
      <c r="D3857">
        <v>4.6003579999999999</v>
      </c>
      <c r="E3857">
        <v>0.52954599999999996</v>
      </c>
      <c r="F3857" t="s">
        <v>42</v>
      </c>
      <c r="G3857">
        <v>-421.29219999999998</v>
      </c>
      <c r="H3857">
        <v>0.91745580000000004</v>
      </c>
      <c r="I3857">
        <v>283.78429999999997</v>
      </c>
      <c r="J3857">
        <v>-420.733</v>
      </c>
      <c r="K3857">
        <v>1.121383</v>
      </c>
      <c r="L3857">
        <v>283.733</v>
      </c>
      <c r="M3857">
        <v>-0.99991949999999996</v>
      </c>
      <c r="N3857">
        <v>-1.240898E-2</v>
      </c>
      <c r="O3857">
        <v>-2.6730339999999999E-3</v>
      </c>
      <c r="P3857">
        <v>-0.98755320000000002</v>
      </c>
      <c r="Q3857">
        <v>0.1572549</v>
      </c>
      <c r="R3857">
        <v>-3.1208630000000002E-3</v>
      </c>
      <c r="S3857">
        <v>-3.1745299999999999</v>
      </c>
      <c r="T3857">
        <v>-0.85388899999999901</v>
      </c>
      <c r="U3857">
        <v>0.21136469999999999</v>
      </c>
      <c r="V3857">
        <v>-4.7399459999999998E-4</v>
      </c>
      <c r="W3857">
        <v>0.1694976</v>
      </c>
      <c r="X3857">
        <v>0.98553049999999998</v>
      </c>
      <c r="Y3857">
        <v>6.6547220000000004E-2</v>
      </c>
      <c r="Z3857">
        <v>9.878487E-3</v>
      </c>
      <c r="AA3857">
        <v>0.99773440000000002</v>
      </c>
      <c r="AB3857">
        <v>27</v>
      </c>
      <c r="AC3857">
        <v>-0.55919999999997505</v>
      </c>
      <c r="AD3857">
        <v>-0.2039272</v>
      </c>
      <c r="AE3857">
        <v>5.1299999999969197E-2</v>
      </c>
      <c r="AF3857">
        <v>4.6643398264892999E-2</v>
      </c>
      <c r="AG3857">
        <v>-0.2039272</v>
      </c>
      <c r="AH3857">
        <v>0.49392273024505201</v>
      </c>
      <c r="AI3857">
        <v>112.344815196941</v>
      </c>
      <c r="AJ3857">
        <v>84.605294168444999</v>
      </c>
      <c r="AK3857">
        <v>0.53639684278923905</v>
      </c>
      <c r="AL3857">
        <v>80.241390382772195</v>
      </c>
      <c r="AM3857">
        <v>90.0275566184892</v>
      </c>
      <c r="AN3857">
        <v>1.0000000137534399</v>
      </c>
    </row>
    <row r="3858" spans="1:40" x14ac:dyDescent="0.25">
      <c r="A3858" t="str">
        <f>"20190303161949207"</f>
        <v>20190303161949207</v>
      </c>
      <c r="B3858" t="str">
        <f>"1551601189196500"</f>
        <v>1551601189196500</v>
      </c>
      <c r="C3858" t="s">
        <v>40</v>
      </c>
      <c r="D3858">
        <v>4.5713489999999997</v>
      </c>
      <c r="E3858">
        <v>0.52973190000000003</v>
      </c>
      <c r="F3858" t="s">
        <v>42</v>
      </c>
      <c r="G3858">
        <v>-421.52550000000002</v>
      </c>
      <c r="H3858">
        <v>0.89735409999999904</v>
      </c>
      <c r="I3858">
        <v>283.7867</v>
      </c>
      <c r="J3858">
        <v>-420.8963</v>
      </c>
      <c r="K3858">
        <v>1.1213820000000001</v>
      </c>
      <c r="L3858">
        <v>283.73250000000002</v>
      </c>
      <c r="M3858">
        <v>-0.99991949999999996</v>
      </c>
      <c r="N3858">
        <v>-1.240744E-2</v>
      </c>
      <c r="O3858">
        <v>-2.6730249999999999E-3</v>
      </c>
      <c r="P3858">
        <v>-0.9875699</v>
      </c>
      <c r="Q3858">
        <v>0.15715489999999999</v>
      </c>
      <c r="R3858">
        <v>-2.9105480000000002E-3</v>
      </c>
      <c r="S3858">
        <v>-3.181702</v>
      </c>
      <c r="T3858">
        <v>-0.89943249999999997</v>
      </c>
      <c r="U3858">
        <v>0.21478269999999999</v>
      </c>
      <c r="V3858">
        <v>-2.6346730000000002E-4</v>
      </c>
      <c r="W3858">
        <v>0.16939609999999999</v>
      </c>
      <c r="X3858">
        <v>0.98554799999999998</v>
      </c>
      <c r="Y3858">
        <v>6.7182660000000005E-2</v>
      </c>
      <c r="Z3858">
        <v>1.0436849999999999E-2</v>
      </c>
      <c r="AA3858">
        <v>0.99768610000000002</v>
      </c>
      <c r="AB3858">
        <v>27</v>
      </c>
      <c r="AC3858">
        <v>-0.62920000000002496</v>
      </c>
      <c r="AD3858">
        <v>-0.224027899999999</v>
      </c>
      <c r="AE3858">
        <v>5.4199999999980202E-2</v>
      </c>
      <c r="AF3858">
        <v>4.9635685978132602E-2</v>
      </c>
      <c r="AG3858">
        <v>-0.224027899999999</v>
      </c>
      <c r="AH3858">
        <v>0.55874128334341999</v>
      </c>
      <c r="AI3858">
        <v>111.77069370776699</v>
      </c>
      <c r="AJ3858">
        <v>84.923465315609405</v>
      </c>
      <c r="AK3858">
        <v>0.60402319741313004</v>
      </c>
      <c r="AL3858">
        <v>80.247290943629594</v>
      </c>
      <c r="AM3858">
        <v>90.015316924158</v>
      </c>
      <c r="AN3858">
        <v>0.999999984207114</v>
      </c>
    </row>
    <row r="3859" spans="1:40" x14ac:dyDescent="0.25">
      <c r="A3859" t="str">
        <f>"20190303161949218"</f>
        <v>20190303161949218</v>
      </c>
      <c r="B3859" t="str">
        <f>"1551601189216020"</f>
        <v>1551601189216020</v>
      </c>
      <c r="C3859" t="s">
        <v>40</v>
      </c>
      <c r="D3859">
        <v>4.6301449999999997</v>
      </c>
      <c r="E3859">
        <v>0.52973590000000004</v>
      </c>
      <c r="F3859" t="s">
        <v>42</v>
      </c>
      <c r="G3859">
        <v>-421.75839999999999</v>
      </c>
      <c r="H3859">
        <v>0.87452819999999998</v>
      </c>
      <c r="I3859">
        <v>283.79129999999998</v>
      </c>
      <c r="J3859">
        <v>-421.04419999999999</v>
      </c>
      <c r="K3859">
        <v>1.121383</v>
      </c>
      <c r="L3859">
        <v>283.7321</v>
      </c>
      <c r="M3859">
        <v>-0.99991949999999996</v>
      </c>
      <c r="N3859">
        <v>-1.240612E-2</v>
      </c>
      <c r="O3859">
        <v>-2.673136E-3</v>
      </c>
      <c r="P3859">
        <v>-0.9875739</v>
      </c>
      <c r="Q3859">
        <v>0.1571282</v>
      </c>
      <c r="R3859">
        <v>-2.8705800000000002E-3</v>
      </c>
      <c r="S3859">
        <v>-3.1834720000000001</v>
      </c>
      <c r="T3859">
        <v>-0.91168090000000002</v>
      </c>
      <c r="U3859">
        <v>0.21655269999999999</v>
      </c>
      <c r="V3859">
        <v>-2.2399299999999999E-4</v>
      </c>
      <c r="W3859">
        <v>0.1693683</v>
      </c>
      <c r="X3859">
        <v>0.98555280000000001</v>
      </c>
      <c r="Y3859">
        <v>6.7608230000000005E-2</v>
      </c>
      <c r="Z3859">
        <v>1.062536E-2</v>
      </c>
      <c r="AA3859">
        <v>0.99765539999999997</v>
      </c>
      <c r="AB3859">
        <v>27</v>
      </c>
      <c r="AC3859">
        <v>-0.71420000000000505</v>
      </c>
      <c r="AD3859">
        <v>-0.24685480000000001</v>
      </c>
      <c r="AE3859">
        <v>5.9199999999975703E-2</v>
      </c>
      <c r="AF3859">
        <v>5.4627505711452702E-2</v>
      </c>
      <c r="AG3859">
        <v>-0.24685480000000001</v>
      </c>
      <c r="AH3859">
        <v>0.63830406102776804</v>
      </c>
      <c r="AI3859">
        <v>111.073015035219</v>
      </c>
      <c r="AJ3859">
        <v>85.108416833332797</v>
      </c>
      <c r="AK3859">
        <v>0.68655191427002504</v>
      </c>
      <c r="AL3859">
        <v>80.248907239436505</v>
      </c>
      <c r="AM3859">
        <v>90.013021984534404</v>
      </c>
      <c r="AN3859">
        <v>0.99999999640279702</v>
      </c>
    </row>
    <row r="3860" spans="1:40" x14ac:dyDescent="0.25">
      <c r="A3860" t="str">
        <f>"20190303161949232"</f>
        <v>20190303161949232</v>
      </c>
      <c r="B3860" t="str">
        <f>"1551601189226756"</f>
        <v>1551601189226756</v>
      </c>
      <c r="C3860" t="s">
        <v>40</v>
      </c>
      <c r="D3860">
        <v>4.577115</v>
      </c>
      <c r="E3860">
        <v>0.53007950000000004</v>
      </c>
      <c r="F3860" t="s">
        <v>42</v>
      </c>
      <c r="G3860">
        <v>-421.77330000000001</v>
      </c>
      <c r="H3860">
        <v>0.90914740000000005</v>
      </c>
      <c r="I3860">
        <v>283.78179999999998</v>
      </c>
      <c r="J3860">
        <v>-421.20170000000002</v>
      </c>
      <c r="K3860">
        <v>1.1213850000000001</v>
      </c>
      <c r="L3860">
        <v>283.73169999999999</v>
      </c>
      <c r="M3860">
        <v>-0.99991949999999996</v>
      </c>
      <c r="N3860">
        <v>-1.2404770000000001E-2</v>
      </c>
      <c r="O3860">
        <v>-2.673127E-3</v>
      </c>
      <c r="P3860">
        <v>-0.98759540000000001</v>
      </c>
      <c r="Q3860">
        <v>0.15699549999999901</v>
      </c>
      <c r="R3860">
        <v>-2.8200590000000002E-3</v>
      </c>
      <c r="S3860">
        <v>-3.1859440000000001</v>
      </c>
      <c r="T3860">
        <v>-0.92739740000000004</v>
      </c>
      <c r="U3860">
        <v>0.2162781</v>
      </c>
      <c r="V3860">
        <v>-1.7324279999999999E-4</v>
      </c>
      <c r="W3860">
        <v>0.16923440000000001</v>
      </c>
      <c r="X3860">
        <v>0.9855758</v>
      </c>
      <c r="Y3860">
        <v>6.7386379999999996E-2</v>
      </c>
      <c r="Z3860">
        <v>1.075428E-2</v>
      </c>
      <c r="AA3860">
        <v>0.99766900000000003</v>
      </c>
      <c r="AB3860">
        <v>27</v>
      </c>
      <c r="AC3860">
        <v>-0.57159999999998901</v>
      </c>
      <c r="AD3860">
        <v>-0.2122376</v>
      </c>
      <c r="AE3860">
        <v>5.0099999999986197E-2</v>
      </c>
      <c r="AF3860">
        <v>4.5414475422374402E-2</v>
      </c>
      <c r="AG3860">
        <v>-0.2122376</v>
      </c>
      <c r="AH3860">
        <v>0.50268827313590403</v>
      </c>
      <c r="AI3860">
        <v>112.80639680068001</v>
      </c>
      <c r="AJ3860">
        <v>84.837729197016799</v>
      </c>
      <c r="AK3860">
        <v>0.54754248545661399</v>
      </c>
      <c r="AL3860">
        <v>80.256691401922595</v>
      </c>
      <c r="AM3860">
        <v>90.010071352369593</v>
      </c>
      <c r="AN3860">
        <v>0.99999998485103303</v>
      </c>
    </row>
    <row r="3861" spans="1:40" x14ac:dyDescent="0.25">
      <c r="A3861" t="str">
        <f>"20190303161949247"</f>
        <v>20190303161949247</v>
      </c>
      <c r="B3861" t="str">
        <f>"1551601189236516"</f>
        <v>1551601189236516</v>
      </c>
      <c r="C3861" t="s">
        <v>40</v>
      </c>
      <c r="D3861">
        <v>4.5376649999999996</v>
      </c>
      <c r="E3861">
        <v>0.53036890000000003</v>
      </c>
      <c r="F3861" t="s">
        <v>42</v>
      </c>
      <c r="G3861">
        <v>-422.00560000000002</v>
      </c>
      <c r="H3861">
        <v>0.88684540000000001</v>
      </c>
      <c r="I3861">
        <v>283.78719999999998</v>
      </c>
      <c r="J3861">
        <v>-421.37119999999999</v>
      </c>
      <c r="K3861">
        <v>1.121386</v>
      </c>
      <c r="L3861">
        <v>283.73129999999998</v>
      </c>
      <c r="M3861">
        <v>-0.99991949999999996</v>
      </c>
      <c r="N3861">
        <v>-1.240336E-2</v>
      </c>
      <c r="O3861">
        <v>-2.6731189999999998E-3</v>
      </c>
      <c r="P3861">
        <v>-0.98755579999999998</v>
      </c>
      <c r="Q3861">
        <v>0.157239299999999</v>
      </c>
      <c r="R3861">
        <v>-3.0844010000000001E-3</v>
      </c>
      <c r="S3861">
        <v>-3.1860659999999998</v>
      </c>
      <c r="T3861">
        <v>-0.92955540000000003</v>
      </c>
      <c r="U3861">
        <v>0.21966550000000001</v>
      </c>
      <c r="V3861">
        <v>-4.3781119999999999E-4</v>
      </c>
      <c r="W3861">
        <v>0.16947599999999999</v>
      </c>
      <c r="X3861">
        <v>0.98553420000000003</v>
      </c>
      <c r="Y3861">
        <v>6.8383330000000006E-2</v>
      </c>
      <c r="Z3861">
        <v>1.0925320000000001E-2</v>
      </c>
      <c r="AA3861">
        <v>0.99759929999999997</v>
      </c>
      <c r="AB3861">
        <v>27</v>
      </c>
      <c r="AC3861">
        <v>-0.63440000000002705</v>
      </c>
      <c r="AD3861">
        <v>-0.23454059999999999</v>
      </c>
      <c r="AE3861">
        <v>5.59000000000082E-2</v>
      </c>
      <c r="AF3861">
        <v>5.0717078840555999E-2</v>
      </c>
      <c r="AG3861">
        <v>-0.23454059999999999</v>
      </c>
      <c r="AH3861">
        <v>0.55849983036863704</v>
      </c>
      <c r="AI3861">
        <v>112.695978960711</v>
      </c>
      <c r="AJ3861">
        <v>84.811231680865802</v>
      </c>
      <c r="AK3861">
        <v>0.60786805776934405</v>
      </c>
      <c r="AL3861">
        <v>80.242645834445199</v>
      </c>
      <c r="AM3861">
        <v>90.025452929318305</v>
      </c>
      <c r="AN3861">
        <v>0.99999998281214297</v>
      </c>
    </row>
    <row r="3862" spans="1:40" x14ac:dyDescent="0.25">
      <c r="A3862" t="str">
        <f>"20190303161949259"</f>
        <v>20190303161949259</v>
      </c>
      <c r="B3862" t="str">
        <f>"1551601189256036"</f>
        <v>1551601189256036</v>
      </c>
      <c r="C3862" t="s">
        <v>40</v>
      </c>
      <c r="D3862">
        <v>4.569585</v>
      </c>
      <c r="E3862">
        <v>0.53091820000000001</v>
      </c>
      <c r="F3862" t="s">
        <v>42</v>
      </c>
      <c r="G3862">
        <v>-422.24029999999999</v>
      </c>
      <c r="H3862">
        <v>0.8676739</v>
      </c>
      <c r="I3862">
        <v>283.79180000000002</v>
      </c>
      <c r="J3862">
        <v>-421.54020000000003</v>
      </c>
      <c r="K3862">
        <v>1.1213869999999999</v>
      </c>
      <c r="L3862">
        <v>283.73079999999999</v>
      </c>
      <c r="M3862">
        <v>-0.99991960000000002</v>
      </c>
      <c r="N3862">
        <v>-1.240202E-2</v>
      </c>
      <c r="O3862">
        <v>-2.6733490000000002E-3</v>
      </c>
      <c r="P3862">
        <v>-0.98752030000000002</v>
      </c>
      <c r="Q3862">
        <v>0.1574605</v>
      </c>
      <c r="R3862">
        <v>-3.1551460000000002E-3</v>
      </c>
      <c r="S3862">
        <v>-3.1866150000000002</v>
      </c>
      <c r="T3862">
        <v>-0.93030060000000003</v>
      </c>
      <c r="U3862">
        <v>0.2209778</v>
      </c>
      <c r="V3862">
        <v>-5.0828259999999997E-4</v>
      </c>
      <c r="W3862">
        <v>0.1696954</v>
      </c>
      <c r="X3862">
        <v>0.98549640000000005</v>
      </c>
      <c r="Y3862">
        <v>6.8760600000000005E-2</v>
      </c>
      <c r="Z3862">
        <v>1.098785E-2</v>
      </c>
      <c r="AA3862">
        <v>0.99757269999999998</v>
      </c>
      <c r="AB3862">
        <v>27</v>
      </c>
      <c r="AC3862">
        <v>-0.70009999999996297</v>
      </c>
      <c r="AD3862">
        <v>-0.25371310000000002</v>
      </c>
      <c r="AE3862">
        <v>6.1000000000035401E-2</v>
      </c>
      <c r="AF3862">
        <v>5.5621743804020102E-2</v>
      </c>
      <c r="AG3862">
        <v>-0.25371310000000002</v>
      </c>
      <c r="AH3862">
        <v>0.619224120907922</v>
      </c>
      <c r="AI3862">
        <v>112.199605464256</v>
      </c>
      <c r="AJ3862">
        <v>84.867187564089207</v>
      </c>
      <c r="AK3862">
        <v>0.67149283496519796</v>
      </c>
      <c r="AL3862">
        <v>80.229890264339602</v>
      </c>
      <c r="AM3862">
        <v>90.029551041685806</v>
      </c>
      <c r="AN3862">
        <v>0.99999997077266001</v>
      </c>
    </row>
    <row r="3863" spans="1:40" x14ac:dyDescent="0.25">
      <c r="A3863" t="str">
        <f>"20190303161949273"</f>
        <v>20190303161949273</v>
      </c>
      <c r="B3863" t="str">
        <f>"1551601189265796"</f>
        <v>1551601189265796</v>
      </c>
      <c r="C3863" t="s">
        <v>40</v>
      </c>
      <c r="D3863">
        <v>4.5633609999999996</v>
      </c>
      <c r="E3863">
        <v>0.53111909999999996</v>
      </c>
      <c r="F3863" t="s">
        <v>42</v>
      </c>
      <c r="G3863">
        <v>-422.25909999999999</v>
      </c>
      <c r="H3863">
        <v>0.91183320000000001</v>
      </c>
      <c r="I3863">
        <v>283.78199999999998</v>
      </c>
      <c r="J3863">
        <v>-421.70080000000002</v>
      </c>
      <c r="K3863">
        <v>1.1213820000000001</v>
      </c>
      <c r="L3863">
        <v>283.73039999999997</v>
      </c>
      <c r="M3863">
        <v>-0.99991960000000002</v>
      </c>
      <c r="N3863">
        <v>-1.24008E-2</v>
      </c>
      <c r="O3863">
        <v>-2.673103E-3</v>
      </c>
      <c r="P3863">
        <v>-0.98751619999999996</v>
      </c>
      <c r="Q3863">
        <v>0.15748099999999901</v>
      </c>
      <c r="R3863">
        <v>-3.4015130000000001E-3</v>
      </c>
      <c r="S3863">
        <v>-3.1867369999999999</v>
      </c>
      <c r="T3863">
        <v>-0.92892339999999995</v>
      </c>
      <c r="U3863">
        <v>0.2253723</v>
      </c>
      <c r="V3863">
        <v>-7.5498869999999997E-4</v>
      </c>
      <c r="W3863">
        <v>0.1697147</v>
      </c>
      <c r="X3863">
        <v>0.98549290000000001</v>
      </c>
      <c r="Y3863">
        <v>7.0078950000000001E-2</v>
      </c>
      <c r="Z3863">
        <v>1.11682E-2</v>
      </c>
      <c r="AA3863">
        <v>0.99747889999999995</v>
      </c>
      <c r="AB3863">
        <v>27</v>
      </c>
      <c r="AC3863">
        <v>-0.55829999999997404</v>
      </c>
      <c r="AD3863">
        <v>-0.20954879999999901</v>
      </c>
      <c r="AE3863">
        <v>5.1600000000007598E-2</v>
      </c>
      <c r="AF3863">
        <v>4.6585200322860801E-2</v>
      </c>
      <c r="AG3863">
        <v>-0.20954879999999901</v>
      </c>
      <c r="AH3863">
        <v>0.48975061758767102</v>
      </c>
      <c r="AI3863">
        <v>113.071374298796</v>
      </c>
      <c r="AJ3863">
        <v>84.566359485398294</v>
      </c>
      <c r="AK3863">
        <v>0.53473035064232699</v>
      </c>
      <c r="AL3863">
        <v>80.228768001263205</v>
      </c>
      <c r="AM3863">
        <v>90.043894438638006</v>
      </c>
      <c r="AN3863">
        <v>0.99999995267721697</v>
      </c>
    </row>
    <row r="3864" spans="1:40" x14ac:dyDescent="0.25">
      <c r="A3864" t="str">
        <f>"20190303161949288"</f>
        <v>20190303161949288</v>
      </c>
      <c r="B3864" t="str">
        <f>"1551601189276532"</f>
        <v>1551601189276532</v>
      </c>
      <c r="C3864" t="s">
        <v>40</v>
      </c>
      <c r="D3864">
        <v>4.5980359999999996</v>
      </c>
      <c r="E3864">
        <v>0.53128520000000001</v>
      </c>
      <c r="F3864" t="s">
        <v>42</v>
      </c>
      <c r="G3864">
        <v>-422.49169999999998</v>
      </c>
      <c r="H3864">
        <v>0.89091299999999995</v>
      </c>
      <c r="I3864">
        <v>283.7869</v>
      </c>
      <c r="J3864">
        <v>-421.86649999999997</v>
      </c>
      <c r="K3864">
        <v>1.121383</v>
      </c>
      <c r="L3864">
        <v>283.72989999999999</v>
      </c>
      <c r="M3864">
        <v>-0.99991960000000002</v>
      </c>
      <c r="N3864">
        <v>-1.239959E-2</v>
      </c>
      <c r="O3864">
        <v>-2.6730959999999998E-3</v>
      </c>
      <c r="P3864">
        <v>-0.9875022</v>
      </c>
      <c r="Q3864">
        <v>0.1575684</v>
      </c>
      <c r="R3864">
        <v>-3.4522519999999998E-3</v>
      </c>
      <c r="S3864">
        <v>-3.186798</v>
      </c>
      <c r="T3864">
        <v>-0.92865240000000004</v>
      </c>
      <c r="U3864">
        <v>0.22659299999999999</v>
      </c>
      <c r="V3864">
        <v>-8.0572800000000002E-4</v>
      </c>
      <c r="W3864">
        <v>0.16980120000000001</v>
      </c>
      <c r="X3864">
        <v>0.98547799999999997</v>
      </c>
      <c r="Y3864">
        <v>7.0443969999999995E-2</v>
      </c>
      <c r="Z3864">
        <v>1.1219160000000001E-2</v>
      </c>
      <c r="AA3864">
        <v>0.99745260000000002</v>
      </c>
      <c r="AB3864">
        <v>27</v>
      </c>
      <c r="AC3864">
        <v>-0.62520000000000597</v>
      </c>
      <c r="AD3864">
        <v>-0.23047000000000001</v>
      </c>
      <c r="AE3864">
        <v>5.7000000000016302E-2</v>
      </c>
      <c r="AF3864">
        <v>5.1703078015284697E-2</v>
      </c>
      <c r="AG3864">
        <v>-0.23047000000000001</v>
      </c>
      <c r="AH3864">
        <v>0.55081200151441501</v>
      </c>
      <c r="AI3864">
        <v>112.61599358607199</v>
      </c>
      <c r="AJ3864">
        <v>84.637529016910904</v>
      </c>
      <c r="AK3864">
        <v>0.59931918890401803</v>
      </c>
      <c r="AL3864">
        <v>80.223739317126899</v>
      </c>
      <c r="AM3864">
        <v>90.046845087915599</v>
      </c>
      <c r="AN3864">
        <v>0.99999999260152395</v>
      </c>
    </row>
    <row r="3865" spans="1:40" x14ac:dyDescent="0.25">
      <c r="A3865" t="str">
        <f>"20190303161949301"</f>
        <v>20190303161949301</v>
      </c>
      <c r="B3865" t="str">
        <f>"1551601189296052"</f>
        <v>1551601189296052</v>
      </c>
      <c r="C3865" t="s">
        <v>40</v>
      </c>
      <c r="D3865">
        <v>4.6678579999999998</v>
      </c>
      <c r="E3865">
        <v>0.53119700000000003</v>
      </c>
      <c r="F3865" t="s">
        <v>42</v>
      </c>
      <c r="G3865">
        <v>-422.726</v>
      </c>
      <c r="H3865">
        <v>0.87104550000000003</v>
      </c>
      <c r="I3865">
        <v>283.7919</v>
      </c>
      <c r="J3865">
        <v>-422.03710000000001</v>
      </c>
      <c r="K3865">
        <v>1.1213839999999999</v>
      </c>
      <c r="L3865">
        <v>283.72949999999997</v>
      </c>
      <c r="M3865">
        <v>-0.99991969999999997</v>
      </c>
      <c r="N3865">
        <v>-1.2398380000000001E-2</v>
      </c>
      <c r="O3865">
        <v>-2.6733270000000001E-3</v>
      </c>
      <c r="P3865">
        <v>-0.98748939999999996</v>
      </c>
      <c r="Q3865">
        <v>0.157645799999999</v>
      </c>
      <c r="R3865">
        <v>-3.5735150000000002E-3</v>
      </c>
      <c r="S3865">
        <v>-3.1868590000000001</v>
      </c>
      <c r="T3865">
        <v>-0.9281663</v>
      </c>
      <c r="U3865">
        <v>0.22790530000000001</v>
      </c>
      <c r="V3865">
        <v>-9.26953E-4</v>
      </c>
      <c r="W3865">
        <v>0.16987729999999901</v>
      </c>
      <c r="X3865">
        <v>0.98546480000000003</v>
      </c>
      <c r="Y3865">
        <v>7.0837880000000006E-2</v>
      </c>
      <c r="Z3865">
        <v>1.1272030000000001E-2</v>
      </c>
      <c r="AA3865">
        <v>0.99742410000000004</v>
      </c>
      <c r="AB3865">
        <v>27</v>
      </c>
      <c r="AC3865">
        <v>-0.68889999999998897</v>
      </c>
      <c r="AD3865">
        <v>-0.25033849999999902</v>
      </c>
      <c r="AE3865">
        <v>6.2400000000025102E-2</v>
      </c>
      <c r="AF3865">
        <v>5.6801850744827798E-2</v>
      </c>
      <c r="AG3865">
        <v>-0.25033849999999902</v>
      </c>
      <c r="AH3865">
        <v>0.60896981460844002</v>
      </c>
      <c r="AI3865">
        <v>112.259704625376</v>
      </c>
      <c r="AJ3865">
        <v>84.6711366844183</v>
      </c>
      <c r="AK3865">
        <v>0.66086310983026297</v>
      </c>
      <c r="AL3865">
        <v>80.219315041333701</v>
      </c>
      <c r="AM3865">
        <v>90.053893836739107</v>
      </c>
      <c r="AN3865">
        <v>1.00000001416809</v>
      </c>
    </row>
    <row r="3866" spans="1:40" x14ac:dyDescent="0.25">
      <c r="A3866" t="str">
        <f>"20190303161949319"</f>
        <v>20190303161949319</v>
      </c>
      <c r="B3866" t="str">
        <f>"1551601189316548"</f>
        <v>1551601189316548</v>
      </c>
      <c r="C3866" t="s">
        <v>40</v>
      </c>
      <c r="D3866">
        <v>4.6192769999999896</v>
      </c>
      <c r="E3866">
        <v>0.53160280000000004</v>
      </c>
      <c r="F3866" t="s">
        <v>42</v>
      </c>
      <c r="G3866">
        <v>-422.74439999999998</v>
      </c>
      <c r="H3866">
        <v>0.91405930000000002</v>
      </c>
      <c r="I3866">
        <v>283.78019999999998</v>
      </c>
      <c r="J3866">
        <v>-422.24979999999999</v>
      </c>
      <c r="K3866">
        <v>1.121383</v>
      </c>
      <c r="L3866">
        <v>283.72890000000001</v>
      </c>
      <c r="M3866">
        <v>-0.99991960000000002</v>
      </c>
      <c r="N3866">
        <v>-1.2396920000000001E-2</v>
      </c>
      <c r="O3866">
        <v>-2.673318E-3</v>
      </c>
      <c r="P3866">
        <v>-0.98742940000000001</v>
      </c>
      <c r="Q3866">
        <v>0.15801399999999999</v>
      </c>
      <c r="R3866">
        <v>-3.8637160000000001E-3</v>
      </c>
      <c r="S3866">
        <v>-3.1880190000000002</v>
      </c>
      <c r="T3866">
        <v>-0.93450049999999996</v>
      </c>
      <c r="U3866">
        <v>0.22628780000000001</v>
      </c>
      <c r="V3866">
        <v>-1.2172769999999999E-3</v>
      </c>
      <c r="W3866">
        <v>0.170242899999999</v>
      </c>
      <c r="X3866">
        <v>0.98540139999999998</v>
      </c>
      <c r="Y3866">
        <v>7.0292850000000004E-2</v>
      </c>
      <c r="Z3866">
        <v>1.1257980000000001E-2</v>
      </c>
      <c r="AA3866">
        <v>0.99746290000000004</v>
      </c>
      <c r="AB3866">
        <v>27</v>
      </c>
      <c r="AC3866">
        <v>-0.49459999999999099</v>
      </c>
      <c r="AD3866">
        <v>-0.207323699999999</v>
      </c>
      <c r="AE3866">
        <v>5.1299999999969197E-2</v>
      </c>
      <c r="AF3866">
        <v>4.48291675033929E-2</v>
      </c>
      <c r="AG3866">
        <v>-0.207323699999999</v>
      </c>
      <c r="AH3866">
        <v>0.42123482711576399</v>
      </c>
      <c r="AI3866">
        <v>116.077915059742</v>
      </c>
      <c r="AJ3866">
        <v>83.925263637967404</v>
      </c>
      <c r="AK3866">
        <v>0.47162649460773998</v>
      </c>
      <c r="AL3866">
        <v>80.198058155781098</v>
      </c>
      <c r="AM3866">
        <v>90.070778059703997</v>
      </c>
      <c r="AN3866">
        <v>1.0000000229428301</v>
      </c>
    </row>
    <row r="3867" spans="1:40" x14ac:dyDescent="0.25">
      <c r="A3867" t="str">
        <f>"20190303161949340"</f>
        <v>20190303161949340</v>
      </c>
      <c r="B3867" t="str">
        <f>"1551601189336067"</f>
        <v>1551601189336067</v>
      </c>
      <c r="C3867" t="s">
        <v>40</v>
      </c>
      <c r="D3867">
        <v>4.6024269999999996</v>
      </c>
      <c r="E3867">
        <v>0.53207169999999904</v>
      </c>
      <c r="F3867" t="s">
        <v>42</v>
      </c>
      <c r="G3867">
        <v>-422.98250000000002</v>
      </c>
      <c r="H3867">
        <v>0.90517000000000003</v>
      </c>
      <c r="I3867">
        <v>283.78149999999999</v>
      </c>
      <c r="J3867">
        <v>-422.51569999999998</v>
      </c>
      <c r="K3867">
        <v>1.121386</v>
      </c>
      <c r="L3867">
        <v>283.72820000000002</v>
      </c>
      <c r="M3867">
        <v>-0.99991980000000003</v>
      </c>
      <c r="N3867">
        <v>-1.239519E-2</v>
      </c>
      <c r="O3867">
        <v>-2.673426E-3</v>
      </c>
      <c r="P3867">
        <v>-0.98740669999999997</v>
      </c>
      <c r="Q3867">
        <v>0.15814120000000001</v>
      </c>
      <c r="R3867">
        <v>-4.4343209999999997E-3</v>
      </c>
      <c r="S3867">
        <v>-3.1897280000000001</v>
      </c>
      <c r="T3867">
        <v>-0.94127850000000002</v>
      </c>
      <c r="U3867">
        <v>0.2285461</v>
      </c>
      <c r="V3867">
        <v>-1.7876669999999999E-3</v>
      </c>
      <c r="W3867">
        <v>0.1703683</v>
      </c>
      <c r="X3867">
        <v>0.9853788</v>
      </c>
      <c r="Y3867">
        <v>7.0890380000000003E-2</v>
      </c>
      <c r="Z3867">
        <v>1.1417699999999999E-2</v>
      </c>
      <c r="AA3867">
        <v>0.99741880000000005</v>
      </c>
      <c r="AB3867">
        <v>27</v>
      </c>
      <c r="AC3867">
        <v>-0.46680000000003402</v>
      </c>
      <c r="AD3867">
        <v>-0.21621599999999999</v>
      </c>
      <c r="AE3867">
        <v>5.3299999999978802E-2</v>
      </c>
      <c r="AF3867">
        <v>4.5014592735802501E-2</v>
      </c>
      <c r="AG3867">
        <v>-0.21621599999999999</v>
      </c>
      <c r="AH3867">
        <v>0.385098917786794</v>
      </c>
      <c r="AI3867">
        <v>119.146611114696</v>
      </c>
      <c r="AJ3867">
        <v>83.332895241372597</v>
      </c>
      <c r="AK3867">
        <v>0.44393338317334302</v>
      </c>
      <c r="AL3867">
        <v>80.190766187459801</v>
      </c>
      <c r="AM3867">
        <v>90.103945469401097</v>
      </c>
      <c r="AN3867">
        <v>0.99999996644381595</v>
      </c>
    </row>
    <row r="3868" spans="1:40" x14ac:dyDescent="0.25">
      <c r="A3868" t="str">
        <f>"20190303161949363"</f>
        <v>20190303161949363</v>
      </c>
      <c r="B3868" t="str">
        <f>"1551601189356567"</f>
        <v>1551601189356567</v>
      </c>
      <c r="C3868" t="s">
        <v>40</v>
      </c>
      <c r="D3868">
        <v>4.5868769999999897</v>
      </c>
      <c r="E3868">
        <v>0.53244139999999995</v>
      </c>
      <c r="F3868" t="s">
        <v>42</v>
      </c>
      <c r="G3868">
        <v>-423.22680000000003</v>
      </c>
      <c r="H3868">
        <v>0.9101553</v>
      </c>
      <c r="I3868">
        <v>283.77999999999997</v>
      </c>
      <c r="J3868">
        <v>-422.78149999999999</v>
      </c>
      <c r="K3868">
        <v>1.121375</v>
      </c>
      <c r="L3868">
        <v>283.72750000000002</v>
      </c>
      <c r="M3868">
        <v>-0.99991980000000003</v>
      </c>
      <c r="N3868">
        <v>-1.239354E-2</v>
      </c>
      <c r="O3868">
        <v>-2.6734160000000001E-3</v>
      </c>
      <c r="P3868">
        <v>-0.98741749999999995</v>
      </c>
      <c r="Q3868">
        <v>0.1580695</v>
      </c>
      <c r="R3868">
        <v>-4.5555309999999998E-3</v>
      </c>
      <c r="S3868">
        <v>-3.191071</v>
      </c>
      <c r="T3868">
        <v>-0.94786309999999996</v>
      </c>
      <c r="U3868">
        <v>0.23065189999999999</v>
      </c>
      <c r="V3868">
        <v>-1.908917E-3</v>
      </c>
      <c r="W3868">
        <v>0.17029549999999999</v>
      </c>
      <c r="X3868">
        <v>0.98539120000000002</v>
      </c>
      <c r="Y3868">
        <v>7.1449219999999994E-2</v>
      </c>
      <c r="Z3868">
        <v>1.157155E-2</v>
      </c>
      <c r="AA3868">
        <v>0.99737710000000002</v>
      </c>
      <c r="AB3868">
        <v>27</v>
      </c>
      <c r="AC3868">
        <v>-0.445300000000031</v>
      </c>
      <c r="AD3868">
        <v>-0.21121970000000001</v>
      </c>
      <c r="AE3868">
        <v>5.2499999999952203E-2</v>
      </c>
      <c r="AF3868">
        <v>4.3939870421334702E-2</v>
      </c>
      <c r="AG3868">
        <v>-0.21121970000000001</v>
      </c>
      <c r="AH3868">
        <v>0.36431458106176601</v>
      </c>
      <c r="AI3868">
        <v>119.924791281042</v>
      </c>
      <c r="AJ3868">
        <v>83.122792031538395</v>
      </c>
      <c r="AK3868">
        <v>0.42340239472037</v>
      </c>
      <c r="AL3868">
        <v>80.194999601089194</v>
      </c>
      <c r="AM3868">
        <v>90.110994243425793</v>
      </c>
      <c r="AN3868">
        <v>1.0000000091609</v>
      </c>
    </row>
    <row r="3869" spans="1:40" x14ac:dyDescent="0.25">
      <c r="A3869" t="str">
        <f>"20190303161949377"</f>
        <v>20190303161949377</v>
      </c>
      <c r="B3869" t="str">
        <f>"1551601189366324"</f>
        <v>1551601189366324</v>
      </c>
      <c r="C3869" t="s">
        <v>40</v>
      </c>
      <c r="D3869">
        <v>4.5799820000000002</v>
      </c>
      <c r="E3869">
        <v>0.53262640000000006</v>
      </c>
      <c r="F3869" t="s">
        <v>42</v>
      </c>
      <c r="G3869">
        <v>-423.47120000000001</v>
      </c>
      <c r="H3869">
        <v>0.91528679999999996</v>
      </c>
      <c r="I3869">
        <v>283.77789999999999</v>
      </c>
      <c r="J3869">
        <v>-422.94159999999999</v>
      </c>
      <c r="K3869">
        <v>1.121373</v>
      </c>
      <c r="L3869">
        <v>283.72710000000001</v>
      </c>
      <c r="M3869">
        <v>-0.99991969999999997</v>
      </c>
      <c r="N3869">
        <v>-1.239259E-2</v>
      </c>
      <c r="O3869">
        <v>-2.6734100000000002E-3</v>
      </c>
      <c r="P3869">
        <v>-0.98739589999999999</v>
      </c>
      <c r="Q3869">
        <v>0.15820429999999999</v>
      </c>
      <c r="R3869">
        <v>-4.5567130000000004E-3</v>
      </c>
      <c r="S3869">
        <v>-3.191986</v>
      </c>
      <c r="T3869">
        <v>-0.95394950000000001</v>
      </c>
      <c r="U3869">
        <v>0.23242189999999999</v>
      </c>
      <c r="V3869">
        <v>-1.9098120000000001E-3</v>
      </c>
      <c r="W3869">
        <v>0.17042889999999999</v>
      </c>
      <c r="X3869">
        <v>0.98536809999999997</v>
      </c>
      <c r="Y3869">
        <v>7.1918490000000002E-2</v>
      </c>
      <c r="Z3869">
        <v>1.17085E-2</v>
      </c>
      <c r="AA3869">
        <v>0.99734179999999995</v>
      </c>
      <c r="AB3869">
        <v>27</v>
      </c>
      <c r="AC3869">
        <v>-0.52960000000001595</v>
      </c>
      <c r="AD3869">
        <v>-0.206086199999999</v>
      </c>
      <c r="AE3869">
        <v>5.0799999999980999E-2</v>
      </c>
      <c r="AF3869">
        <v>4.5403199544899901E-2</v>
      </c>
      <c r="AG3869">
        <v>-0.206086199999999</v>
      </c>
      <c r="AH3869">
        <v>0.46038360035040099</v>
      </c>
      <c r="AI3869">
        <v>114.01197142557</v>
      </c>
      <c r="AJ3869">
        <v>84.367682019291706</v>
      </c>
      <c r="AK3869">
        <v>0.50644450024751098</v>
      </c>
      <c r="AL3869">
        <v>80.187242614349799</v>
      </c>
      <c r="AM3869">
        <v>90.111048886447804</v>
      </c>
      <c r="AN3869">
        <v>0.99999997491734705</v>
      </c>
    </row>
    <row r="3870" spans="1:40" x14ac:dyDescent="0.25">
      <c r="A3870" t="str">
        <f>"20190303161949389"</f>
        <v>20190303161949389</v>
      </c>
      <c r="B3870" t="str">
        <f>"1551601189385843"</f>
        <v>1551601189385843</v>
      </c>
      <c r="C3870" t="s">
        <v>40</v>
      </c>
      <c r="D3870">
        <v>4.5667479999999996</v>
      </c>
      <c r="E3870">
        <v>0.53292249999999997</v>
      </c>
      <c r="F3870" t="s">
        <v>42</v>
      </c>
      <c r="G3870">
        <v>-423.70299999999997</v>
      </c>
      <c r="H3870">
        <v>0.89327440000000002</v>
      </c>
      <c r="I3870">
        <v>283.78320000000002</v>
      </c>
      <c r="J3870">
        <v>-423.10039999999998</v>
      </c>
      <c r="K3870">
        <v>1.121375</v>
      </c>
      <c r="L3870">
        <v>283.72669999999999</v>
      </c>
      <c r="M3870">
        <v>-0.99991980000000003</v>
      </c>
      <c r="N3870">
        <v>-1.239167E-2</v>
      </c>
      <c r="O3870">
        <v>-2.6734049999999998E-3</v>
      </c>
      <c r="P3870">
        <v>-0.98741239999999997</v>
      </c>
      <c r="Q3870">
        <v>0.15810560000000001</v>
      </c>
      <c r="R3870">
        <v>-4.4204090000000001E-3</v>
      </c>
      <c r="S3870">
        <v>-3.1926269999999999</v>
      </c>
      <c r="T3870">
        <v>-0.956453</v>
      </c>
      <c r="U3870">
        <v>0.2335815</v>
      </c>
      <c r="V3870">
        <v>-1.7740529999999901E-3</v>
      </c>
      <c r="W3870">
        <v>0.17032929999999999</v>
      </c>
      <c r="X3870">
        <v>0.98538559999999997</v>
      </c>
      <c r="Y3870">
        <v>7.2234320000000005E-2</v>
      </c>
      <c r="Z3870">
        <v>1.1782819999999999E-2</v>
      </c>
      <c r="AA3870">
        <v>0.99731809999999999</v>
      </c>
      <c r="AB3870">
        <v>27</v>
      </c>
      <c r="AC3870">
        <v>-0.60260000000005198</v>
      </c>
      <c r="AD3870">
        <v>-0.22810059999999999</v>
      </c>
      <c r="AE3870">
        <v>5.6500000000028097E-2</v>
      </c>
      <c r="AF3870">
        <v>5.0883684188212298E-2</v>
      </c>
      <c r="AG3870">
        <v>-0.22810059999999999</v>
      </c>
      <c r="AH3870">
        <v>0.52752072255970295</v>
      </c>
      <c r="AI3870">
        <v>113.28721667191699</v>
      </c>
      <c r="AJ3870">
        <v>84.490399135199695</v>
      </c>
      <c r="AK3870">
        <v>0.57697239601807404</v>
      </c>
      <c r="AL3870">
        <v>80.193034192108797</v>
      </c>
      <c r="AM3870">
        <v>90.103153161270896</v>
      </c>
      <c r="AN3870">
        <v>0.99999999919494797</v>
      </c>
    </row>
    <row r="3871" spans="1:40" x14ac:dyDescent="0.25">
      <c r="A3871" t="str">
        <f>"20190303161949402"</f>
        <v>20190303161949402</v>
      </c>
      <c r="B3871" t="str">
        <f>"1551601189396580"</f>
        <v>1551601189396580</v>
      </c>
      <c r="C3871" t="s">
        <v>40</v>
      </c>
      <c r="D3871">
        <v>4.5532969999999997</v>
      </c>
      <c r="E3871">
        <v>0.53304589999999996</v>
      </c>
      <c r="F3871" t="s">
        <v>42</v>
      </c>
      <c r="G3871">
        <v>-423.93549999999999</v>
      </c>
      <c r="H3871">
        <v>0.86995849999999997</v>
      </c>
      <c r="I3871">
        <v>283.78820000000002</v>
      </c>
      <c r="J3871">
        <v>-423.26069999999999</v>
      </c>
      <c r="K3871">
        <v>1.1213789999999999</v>
      </c>
      <c r="L3871">
        <v>283.72629999999998</v>
      </c>
      <c r="M3871">
        <v>-0.99991980000000003</v>
      </c>
      <c r="N3871">
        <v>-1.2390750000000001E-2</v>
      </c>
      <c r="O3871">
        <v>-2.6733989999999999E-3</v>
      </c>
      <c r="P3871">
        <v>-0.98745289999999997</v>
      </c>
      <c r="Q3871">
        <v>0.15784979999999901</v>
      </c>
      <c r="R3871">
        <v>-4.5429939999999999E-3</v>
      </c>
      <c r="S3871">
        <v>-3.1932070000000001</v>
      </c>
      <c r="T3871">
        <v>-0.9613526</v>
      </c>
      <c r="U3871">
        <v>0.235321</v>
      </c>
      <c r="V3871">
        <v>-1.8963039999999999E-3</v>
      </c>
      <c r="W3871">
        <v>0.17007320000000001</v>
      </c>
      <c r="X3871">
        <v>0.98542960000000002</v>
      </c>
      <c r="Y3871">
        <v>7.2707499999999994E-2</v>
      </c>
      <c r="Z3871">
        <v>1.1909019999999999E-2</v>
      </c>
      <c r="AA3871">
        <v>0.99728220000000001</v>
      </c>
      <c r="AB3871">
        <v>27</v>
      </c>
      <c r="AC3871">
        <v>-0.67480000000000395</v>
      </c>
      <c r="AD3871">
        <v>-0.25142049999999999</v>
      </c>
      <c r="AE3871">
        <v>6.1900000000036898E-2</v>
      </c>
      <c r="AF3871">
        <v>5.5995507789924098E-2</v>
      </c>
      <c r="AG3871">
        <v>-0.25142049999999999</v>
      </c>
      <c r="AH3871">
        <v>0.59299902775311897</v>
      </c>
      <c r="AI3871">
        <v>112.88478403638</v>
      </c>
      <c r="AJ3871">
        <v>84.605688875545795</v>
      </c>
      <c r="AK3871">
        <v>0.64652580120908199</v>
      </c>
      <c r="AL3871">
        <v>80.207924845068106</v>
      </c>
      <c r="AM3871">
        <v>90.110256564000196</v>
      </c>
      <c r="AN3871">
        <v>0.99999999294163</v>
      </c>
    </row>
    <row r="3872" spans="1:40" x14ac:dyDescent="0.25">
      <c r="A3872" t="str">
        <f>"20190303161949419"</f>
        <v>20190303161949419</v>
      </c>
      <c r="B3872" t="str">
        <f>"1551601189416100"</f>
        <v>1551601189416100</v>
      </c>
      <c r="C3872" t="s">
        <v>40</v>
      </c>
      <c r="D3872">
        <v>4.5456529999999997</v>
      </c>
      <c r="E3872">
        <v>0.53327259999999999</v>
      </c>
      <c r="F3872" t="s">
        <v>42</v>
      </c>
      <c r="G3872">
        <v>-423.95350000000002</v>
      </c>
      <c r="H3872">
        <v>0.9121591</v>
      </c>
      <c r="I3872">
        <v>283.77749999999997</v>
      </c>
      <c r="J3872">
        <v>-423.46260000000001</v>
      </c>
      <c r="K3872">
        <v>1.1213789999999999</v>
      </c>
      <c r="L3872">
        <v>283.72570000000002</v>
      </c>
      <c r="M3872">
        <v>-0.99991980000000003</v>
      </c>
      <c r="N3872">
        <v>-1.238962E-2</v>
      </c>
      <c r="O3872">
        <v>-2.6733920000000001E-3</v>
      </c>
      <c r="P3872">
        <v>-0.98754600000000003</v>
      </c>
      <c r="Q3872">
        <v>0.15726490000000001</v>
      </c>
      <c r="R3872">
        <v>-4.5870659999999999E-3</v>
      </c>
      <c r="S3872">
        <v>-3.1933590000000001</v>
      </c>
      <c r="T3872">
        <v>-0.96428360000000002</v>
      </c>
      <c r="U3872">
        <v>0.23614499999999999</v>
      </c>
      <c r="V3872">
        <v>-1.940202E-3</v>
      </c>
      <c r="W3872">
        <v>0.16948869999999999</v>
      </c>
      <c r="X3872">
        <v>0.98553020000000002</v>
      </c>
      <c r="Y3872">
        <v>7.292978E-2</v>
      </c>
      <c r="Z3872">
        <v>1.197613E-2</v>
      </c>
      <c r="AA3872">
        <v>0.99726519999999996</v>
      </c>
      <c r="AB3872">
        <v>27</v>
      </c>
      <c r="AC3872">
        <v>-0.49090000000001</v>
      </c>
      <c r="AD3872">
        <v>-0.20921989999999999</v>
      </c>
      <c r="AE3872">
        <v>5.1799999999957401E-2</v>
      </c>
      <c r="AF3872">
        <v>4.5024021087933498E-2</v>
      </c>
      <c r="AG3872">
        <v>-0.20921989999999999</v>
      </c>
      <c r="AH3872">
        <v>0.41602386477462</v>
      </c>
      <c r="AI3872">
        <v>116.56432132706099</v>
      </c>
      <c r="AJ3872">
        <v>83.823226955245502</v>
      </c>
      <c r="AK3872">
        <v>0.467841837689777</v>
      </c>
      <c r="AL3872">
        <v>80.241907463651103</v>
      </c>
      <c r="AM3872">
        <v>90.112797398179495</v>
      </c>
      <c r="AN3872">
        <v>0.999999979461765</v>
      </c>
    </row>
    <row r="3873" spans="1:40" x14ac:dyDescent="0.25">
      <c r="A3873" t="str">
        <f>"20190303161949441"</f>
        <v>20190303161949441</v>
      </c>
      <c r="B3873" t="str">
        <f>"1551601189436599"</f>
        <v>1551601189436599</v>
      </c>
      <c r="C3873" t="s">
        <v>40</v>
      </c>
      <c r="D3873">
        <v>4.5193190000000003</v>
      </c>
      <c r="E3873">
        <v>0.53347999999999995</v>
      </c>
      <c r="F3873" t="s">
        <v>42</v>
      </c>
      <c r="G3873">
        <v>-424.18990000000002</v>
      </c>
      <c r="H3873">
        <v>0.90031499999999998</v>
      </c>
      <c r="I3873">
        <v>283.78019999999998</v>
      </c>
      <c r="J3873">
        <v>-423.73289999999997</v>
      </c>
      <c r="K3873">
        <v>1.121381</v>
      </c>
      <c r="L3873">
        <v>283.72500000000002</v>
      </c>
      <c r="M3873">
        <v>-0.99991969999999997</v>
      </c>
      <c r="N3873">
        <v>-1.238817E-2</v>
      </c>
      <c r="O3873">
        <v>-2.6721829999999999E-3</v>
      </c>
      <c r="P3873">
        <v>-0.98753290000000005</v>
      </c>
      <c r="Q3873">
        <v>0.15733320000000001</v>
      </c>
      <c r="R3873">
        <v>-5.0133230000000001E-3</v>
      </c>
      <c r="S3873">
        <v>-3.1934809999999998</v>
      </c>
      <c r="T3873">
        <v>-0.97046580000000005</v>
      </c>
      <c r="U3873">
        <v>0.23800660000000001</v>
      </c>
      <c r="V3873">
        <v>-2.3673470000000001E-3</v>
      </c>
      <c r="W3873">
        <v>0.1695554</v>
      </c>
      <c r="X3873">
        <v>0.9855178</v>
      </c>
      <c r="Y3873">
        <v>7.3437559999999999E-2</v>
      </c>
      <c r="Z3873">
        <v>1.2124640000000001E-2</v>
      </c>
      <c r="AA3873">
        <v>0.9972261</v>
      </c>
      <c r="AB3873">
        <v>27</v>
      </c>
      <c r="AC3873">
        <v>-0.45700000000004998</v>
      </c>
      <c r="AD3873">
        <v>-0.22106600000000001</v>
      </c>
      <c r="AE3873">
        <v>5.5199999999956603E-2</v>
      </c>
      <c r="AF3873">
        <v>4.5847213215407502E-2</v>
      </c>
      <c r="AG3873">
        <v>-0.22106600000000001</v>
      </c>
      <c r="AH3873">
        <v>0.37123246955623301</v>
      </c>
      <c r="AI3873">
        <v>120.583176202899</v>
      </c>
      <c r="AJ3873">
        <v>82.959620183517799</v>
      </c>
      <c r="AK3873">
        <v>0.43449475229102402</v>
      </c>
      <c r="AL3873">
        <v>80.238029775031606</v>
      </c>
      <c r="AM3873">
        <v>90.137631944195604</v>
      </c>
      <c r="AN3873">
        <v>0.99999998605890905</v>
      </c>
    </row>
    <row r="3874" spans="1:40" x14ac:dyDescent="0.25">
      <c r="A3874" t="str">
        <f>"20190303161949463"</f>
        <v>20190303161949463</v>
      </c>
      <c r="B3874" t="str">
        <f>"1551601189456116"</f>
        <v>1551601189456116</v>
      </c>
      <c r="C3874" t="s">
        <v>40</v>
      </c>
      <c r="D3874">
        <v>4.5239310000000001</v>
      </c>
      <c r="E3874">
        <v>0.53367319999999996</v>
      </c>
      <c r="F3874" t="s">
        <v>42</v>
      </c>
      <c r="G3874">
        <v>-424.43509999999998</v>
      </c>
      <c r="H3874">
        <v>0.90752350000000004</v>
      </c>
      <c r="I3874">
        <v>283.77760000000001</v>
      </c>
      <c r="J3874">
        <v>-423.99689999999998</v>
      </c>
      <c r="K3874">
        <v>1.1213770000000001</v>
      </c>
      <c r="L3874">
        <v>283.72430000000003</v>
      </c>
      <c r="M3874">
        <v>-0.99991980000000003</v>
      </c>
      <c r="N3874">
        <v>-1.238681E-2</v>
      </c>
      <c r="O3874">
        <v>-2.6667750000000001E-3</v>
      </c>
      <c r="P3874">
        <v>-0.9875005</v>
      </c>
      <c r="Q3874">
        <v>0.15753699999999901</v>
      </c>
      <c r="R3874">
        <v>-4.9826439999999996E-3</v>
      </c>
      <c r="S3874">
        <v>-3.1941220000000001</v>
      </c>
      <c r="T3874">
        <v>-0.97282579999999996</v>
      </c>
      <c r="U3874">
        <v>0.23944090000000001</v>
      </c>
      <c r="V3874">
        <v>-2.3409479999999998E-3</v>
      </c>
      <c r="W3874">
        <v>0.16975699999999999</v>
      </c>
      <c r="X3874">
        <v>0.9854832</v>
      </c>
      <c r="Y3874">
        <v>7.3829320000000004E-2</v>
      </c>
      <c r="Z3874">
        <v>1.220862E-2</v>
      </c>
      <c r="AA3874">
        <v>0.99719610000000003</v>
      </c>
      <c r="AB3874">
        <v>27</v>
      </c>
      <c r="AC3874">
        <v>-0.43819999999999398</v>
      </c>
      <c r="AD3874">
        <v>-0.2138535</v>
      </c>
      <c r="AE3874">
        <v>5.3299999999978802E-2</v>
      </c>
      <c r="AF3874">
        <v>4.4114813920781398E-2</v>
      </c>
      <c r="AG3874">
        <v>-0.2138535</v>
      </c>
      <c r="AH3874">
        <v>0.35478815452513202</v>
      </c>
      <c r="AI3874">
        <v>120.886077660307</v>
      </c>
      <c r="AJ3874">
        <v>82.912147785857698</v>
      </c>
      <c r="AK3874">
        <v>0.41659821274324299</v>
      </c>
      <c r="AL3874">
        <v>80.2263094504886</v>
      </c>
      <c r="AM3874">
        <v>90.136101953014602</v>
      </c>
      <c r="AN3874">
        <v>1.0000000282843799</v>
      </c>
    </row>
    <row r="3875" spans="1:40" x14ac:dyDescent="0.25">
      <c r="A3875" t="str">
        <f>"20190303161949487"</f>
        <v>20190303161949487</v>
      </c>
      <c r="B3875" t="str">
        <f>"1551601189476612"</f>
        <v>1551601189476612</v>
      </c>
      <c r="C3875" t="s">
        <v>40</v>
      </c>
      <c r="D3875">
        <v>4.5156419999999997</v>
      </c>
      <c r="E3875">
        <v>0.53384619999999905</v>
      </c>
      <c r="F3875" t="s">
        <v>42</v>
      </c>
      <c r="G3875">
        <v>-424.67930000000001</v>
      </c>
      <c r="H3875">
        <v>0.91302419999999995</v>
      </c>
      <c r="I3875">
        <v>283.77620000000002</v>
      </c>
      <c r="J3875">
        <v>-424.27359999999999</v>
      </c>
      <c r="K3875">
        <v>1.121372</v>
      </c>
      <c r="L3875">
        <v>283.72359999999998</v>
      </c>
      <c r="M3875">
        <v>-0.99991980000000003</v>
      </c>
      <c r="N3875">
        <v>-1.238539E-2</v>
      </c>
      <c r="O3875">
        <v>-2.6514170000000001E-3</v>
      </c>
      <c r="P3875">
        <v>-0.98751319999999998</v>
      </c>
      <c r="Q3875">
        <v>0.1574391</v>
      </c>
      <c r="R3875">
        <v>-5.5427139999999998E-3</v>
      </c>
      <c r="S3875">
        <v>-3.194763</v>
      </c>
      <c r="T3875">
        <v>-0.97533119999999995</v>
      </c>
      <c r="U3875">
        <v>0.24133299999999999</v>
      </c>
      <c r="V3875">
        <v>-2.9138250000000001E-3</v>
      </c>
      <c r="W3875">
        <v>0.16965829999999901</v>
      </c>
      <c r="X3875">
        <v>0.98549869999999995</v>
      </c>
      <c r="Y3875">
        <v>7.4346369999999995E-2</v>
      </c>
      <c r="Z3875">
        <v>1.231109E-2</v>
      </c>
      <c r="AA3875">
        <v>0.9971565</v>
      </c>
      <c r="AB3875">
        <v>27</v>
      </c>
      <c r="AC3875">
        <v>-0.40570000000002399</v>
      </c>
      <c r="AD3875">
        <v>-0.2083478</v>
      </c>
      <c r="AE3875">
        <v>5.2600000000040802E-2</v>
      </c>
      <c r="AF3875">
        <v>4.26208058585167E-2</v>
      </c>
      <c r="AG3875">
        <v>-0.2083478</v>
      </c>
      <c r="AH3875">
        <v>0.32203203806752001</v>
      </c>
      <c r="AI3875">
        <v>122.675523208473</v>
      </c>
      <c r="AJ3875">
        <v>82.460743973594802</v>
      </c>
      <c r="AK3875">
        <v>0.38591446254162298</v>
      </c>
      <c r="AL3875">
        <v>80.232048078635302</v>
      </c>
      <c r="AM3875">
        <v>90.169405995407004</v>
      </c>
      <c r="AN3875">
        <v>1.0000000584183499</v>
      </c>
    </row>
    <row r="3876" spans="1:40" x14ac:dyDescent="0.25">
      <c r="A3876" t="str">
        <f>"20190303161949508"</f>
        <v>20190303161949508</v>
      </c>
      <c r="B3876" t="str">
        <f>"1551601189505891"</f>
        <v>1551601189505891</v>
      </c>
      <c r="C3876" t="s">
        <v>40</v>
      </c>
      <c r="D3876">
        <v>4.4589970000000001</v>
      </c>
      <c r="E3876">
        <v>0.52440790000000004</v>
      </c>
      <c r="F3876" t="s">
        <v>42</v>
      </c>
      <c r="G3876">
        <v>-425.13889999999998</v>
      </c>
      <c r="H3876">
        <v>0.85640139999999998</v>
      </c>
      <c r="I3876">
        <v>283.78919999999999</v>
      </c>
      <c r="J3876">
        <v>-424.54559999999998</v>
      </c>
      <c r="K3876">
        <v>1.121362</v>
      </c>
      <c r="L3876">
        <v>283.72280000000001</v>
      </c>
      <c r="M3876">
        <v>-0.99992000000000003</v>
      </c>
      <c r="N3876">
        <v>-1.2384020000000001E-2</v>
      </c>
      <c r="O3876">
        <v>-2.6214609999999998E-3</v>
      </c>
      <c r="P3876">
        <v>-0.98752530000000005</v>
      </c>
      <c r="Q3876">
        <v>0.15732199999999999</v>
      </c>
      <c r="R3876">
        <v>-6.6287739999999996E-3</v>
      </c>
      <c r="S3876">
        <v>-3.1953130000000001</v>
      </c>
      <c r="T3876">
        <v>-0.9785471</v>
      </c>
      <c r="U3876">
        <v>0.24133299999999999</v>
      </c>
      <c r="V3876">
        <v>-4.0252730000000002E-3</v>
      </c>
      <c r="W3876">
        <v>0.16953989999999999</v>
      </c>
      <c r="X3876">
        <v>0.98551509999999998</v>
      </c>
      <c r="Y3876">
        <v>7.4285980000000001E-2</v>
      </c>
      <c r="Z3876">
        <v>1.232858E-2</v>
      </c>
      <c r="AA3876">
        <v>0.99716079999999996</v>
      </c>
      <c r="AB3876">
        <v>27</v>
      </c>
      <c r="AC3876">
        <v>-0.59329999999999905</v>
      </c>
      <c r="AD3876">
        <v>-0.26496059999999899</v>
      </c>
      <c r="AE3876">
        <v>6.6399999999987303E-2</v>
      </c>
      <c r="AF3876">
        <v>5.67725166579163E-2</v>
      </c>
      <c r="AG3876">
        <v>-0.26496059999999899</v>
      </c>
      <c r="AH3876">
        <v>0.49551960223252001</v>
      </c>
      <c r="AI3876">
        <v>117.978908207847</v>
      </c>
      <c r="AJ3876">
        <v>83.464025003049102</v>
      </c>
      <c r="AK3876">
        <v>0.564771559479325</v>
      </c>
      <c r="AL3876">
        <v>80.238931008351102</v>
      </c>
      <c r="AM3876">
        <v>90.234019622622299</v>
      </c>
      <c r="AN3876">
        <v>0.99999999642137205</v>
      </c>
    </row>
    <row r="3877" spans="1:40" x14ac:dyDescent="0.25">
      <c r="A3877" t="str">
        <f>"20190303161949532"</f>
        <v>20190303161949532</v>
      </c>
      <c r="B3877" t="str">
        <f>"1551601189526388"</f>
        <v>1551601189526388</v>
      </c>
      <c r="C3877" t="s">
        <v>40</v>
      </c>
      <c r="D3877">
        <v>4.4929990000000002</v>
      </c>
      <c r="E3877">
        <v>0.5089439</v>
      </c>
      <c r="F3877" t="s">
        <v>42</v>
      </c>
      <c r="G3877">
        <v>-425.42579999999998</v>
      </c>
      <c r="H3877">
        <v>0.95809999999999995</v>
      </c>
      <c r="I3877">
        <v>283.76979999999998</v>
      </c>
      <c r="J3877">
        <v>-424.81659999999999</v>
      </c>
      <c r="K3877">
        <v>1.121351</v>
      </c>
      <c r="L3877">
        <v>283.72219999999999</v>
      </c>
      <c r="M3877">
        <v>-0.99992000000000003</v>
      </c>
      <c r="N3877">
        <v>-1.238269E-2</v>
      </c>
      <c r="O3877">
        <v>-2.5796840000000001E-3</v>
      </c>
      <c r="P3877">
        <v>-0.98752589999999996</v>
      </c>
      <c r="Q3877">
        <v>0.1572953</v>
      </c>
      <c r="R3877">
        <v>-7.1408210000000003E-3</v>
      </c>
      <c r="S3877">
        <v>-3.1315309999999998</v>
      </c>
      <c r="T3877">
        <v>-0.58090750000000002</v>
      </c>
      <c r="U3877">
        <v>0.16632079999999999</v>
      </c>
      <c r="V3877">
        <v>-4.574173E-3</v>
      </c>
      <c r="W3877">
        <v>0.1695122</v>
      </c>
      <c r="X3877">
        <v>0.98551750000000005</v>
      </c>
      <c r="Y3877">
        <v>5.458292E-2</v>
      </c>
      <c r="Z3877">
        <v>5.800113E-3</v>
      </c>
      <c r="AA3877">
        <v>0.99849239999999995</v>
      </c>
      <c r="AB3877">
        <v>27</v>
      </c>
      <c r="AC3877">
        <v>-0.60919999999998697</v>
      </c>
      <c r="AD3877">
        <v>-0.16325100000000001</v>
      </c>
      <c r="AE3877">
        <v>4.7599999999988499E-2</v>
      </c>
      <c r="AF3877">
        <v>4.58956828829283E-2</v>
      </c>
      <c r="AG3877">
        <v>-0.16325100000000001</v>
      </c>
      <c r="AH3877">
        <v>0.56849837181741003</v>
      </c>
      <c r="AI3877">
        <v>105.97273814901401</v>
      </c>
      <c r="AJ3877">
        <v>85.384440184160397</v>
      </c>
      <c r="AK3877">
        <v>0.59325180275102096</v>
      </c>
      <c r="AL3877">
        <v>80.240541701466498</v>
      </c>
      <c r="AM3877">
        <v>90.2659302607277</v>
      </c>
      <c r="AN3877">
        <v>1.00000002590686</v>
      </c>
    </row>
    <row r="3878" spans="1:40" x14ac:dyDescent="0.25">
      <c r="A3878" t="str">
        <f>"20190303161949552"</f>
        <v>20190303161949552</v>
      </c>
      <c r="B3878" t="str">
        <f>"1551601189545908"</f>
        <v>1551601189545908</v>
      </c>
      <c r="C3878" t="s">
        <v>40</v>
      </c>
      <c r="D3878">
        <v>4.4620340000000001</v>
      </c>
      <c r="E3878">
        <v>0.49860749999999998</v>
      </c>
      <c r="F3878" t="s">
        <v>42</v>
      </c>
      <c r="G3878">
        <v>-425.69380000000001</v>
      </c>
      <c r="H3878">
        <v>1.011231</v>
      </c>
      <c r="I3878">
        <v>283.73469999999998</v>
      </c>
      <c r="J3878">
        <v>-425.07749999999999</v>
      </c>
      <c r="K3878">
        <v>1.1213379999999999</v>
      </c>
      <c r="L3878">
        <v>283.72160000000002</v>
      </c>
      <c r="M3878">
        <v>-0.99992020000000004</v>
      </c>
      <c r="N3878">
        <v>-1.2381440000000001E-2</v>
      </c>
      <c r="O3878">
        <v>-2.52623E-3</v>
      </c>
      <c r="P3878">
        <v>-0.98755440000000005</v>
      </c>
      <c r="Q3878">
        <v>0.15709310000000001</v>
      </c>
      <c r="R3878">
        <v>-7.6322880000000001E-3</v>
      </c>
      <c r="S3878">
        <v>-3.1001889999999999</v>
      </c>
      <c r="T3878">
        <v>-0.3892255</v>
      </c>
      <c r="U3878">
        <v>4.3395999999999997E-2</v>
      </c>
      <c r="V3878">
        <v>-5.1138349999999997E-3</v>
      </c>
      <c r="W3878">
        <v>0.16930919999999999</v>
      </c>
      <c r="X3878">
        <v>0.98554969999999997</v>
      </c>
      <c r="Y3878">
        <v>1.6365279999999999E-2</v>
      </c>
      <c r="Z3878">
        <v>1.4097560000000001E-3</v>
      </c>
      <c r="AA3878">
        <v>0.99986509999999995</v>
      </c>
      <c r="AB3878">
        <v>27</v>
      </c>
      <c r="AC3878">
        <v>-0.61630000000002305</v>
      </c>
      <c r="AD3878">
        <v>-0.110106999999999</v>
      </c>
      <c r="AE3878">
        <v>1.3099999999951701E-2</v>
      </c>
      <c r="AF3878">
        <v>1.42038296476205E-2</v>
      </c>
      <c r="AG3878">
        <v>-0.110106999999999</v>
      </c>
      <c r="AH3878">
        <v>0.59721132215518902</v>
      </c>
      <c r="AI3878">
        <v>100.44334511989901</v>
      </c>
      <c r="AJ3878">
        <v>88.637557485185496</v>
      </c>
      <c r="AK3878">
        <v>0.60744272449014203</v>
      </c>
      <c r="AL3878">
        <v>80.252342916535497</v>
      </c>
      <c r="AM3878">
        <v>90.297294528221599</v>
      </c>
      <c r="AN3878">
        <v>0.99999998384156796</v>
      </c>
    </row>
    <row r="3879" spans="1:40" x14ac:dyDescent="0.25">
      <c r="A3879" t="str">
        <f>"20190303161949576"</f>
        <v>20190303161949576</v>
      </c>
      <c r="B3879" t="str">
        <f>"1551601189566311"</f>
        <v>1551601189566311</v>
      </c>
      <c r="C3879" t="s">
        <v>40</v>
      </c>
      <c r="D3879">
        <v>4.5296029999999998</v>
      </c>
      <c r="E3879">
        <v>0.49436659999999999</v>
      </c>
      <c r="F3879" t="s">
        <v>56</v>
      </c>
      <c r="G3879">
        <v>-438.54579999999999</v>
      </c>
      <c r="H3879" s="1">
        <v>6.1000059999999998E-6</v>
      </c>
      <c r="I3879">
        <v>283.54899999999998</v>
      </c>
      <c r="J3879">
        <v>-425.34769999999997</v>
      </c>
      <c r="K3879">
        <v>1.121321</v>
      </c>
      <c r="L3879">
        <v>283.72089999999997</v>
      </c>
      <c r="M3879">
        <v>-0.99992040000000004</v>
      </c>
      <c r="N3879">
        <v>-1.2380159999999999E-2</v>
      </c>
      <c r="O3879">
        <v>-2.4537000000000001E-3</v>
      </c>
      <c r="P3879">
        <v>-0.98759960000000002</v>
      </c>
      <c r="Q3879">
        <v>0.1568117</v>
      </c>
      <c r="R3879">
        <v>-7.5666630000000004E-3</v>
      </c>
      <c r="S3879">
        <v>-3.0782780000000001</v>
      </c>
      <c r="T3879">
        <v>-0.2562876</v>
      </c>
      <c r="U3879">
        <v>-3.9428709999999999E-2</v>
      </c>
      <c r="V3879">
        <v>-5.1154950000000003E-3</v>
      </c>
      <c r="W3879">
        <v>0.16902719999999999</v>
      </c>
      <c r="X3879">
        <v>0.98559810000000003</v>
      </c>
      <c r="Y3879">
        <v>-1.031904E-2</v>
      </c>
      <c r="Z3879">
        <v>-3.1922089999999998E-4</v>
      </c>
      <c r="AA3879">
        <v>0.99994669999999997</v>
      </c>
      <c r="AB3879">
        <v>27</v>
      </c>
      <c r="AC3879">
        <v>-13.1981</v>
      </c>
      <c r="AD3879">
        <v>-1.1213148999939999</v>
      </c>
      <c r="AE3879">
        <v>-0.17189999999993599</v>
      </c>
      <c r="AF3879">
        <v>-0.138513169885529</v>
      </c>
      <c r="AG3879">
        <v>-1.1213148999939999</v>
      </c>
      <c r="AH3879">
        <v>13.1039107308764</v>
      </c>
      <c r="AI3879">
        <v>94.890671344880403</v>
      </c>
      <c r="AJ3879">
        <v>90.605614968370404</v>
      </c>
      <c r="AK3879">
        <v>13.1525286331548</v>
      </c>
      <c r="AL3879">
        <v>80.268736653228203</v>
      </c>
      <c r="AM3879">
        <v>90.297376427360604</v>
      </c>
      <c r="AN3879">
        <v>0.99999998867627204</v>
      </c>
    </row>
    <row r="3880" spans="1:40" x14ac:dyDescent="0.25">
      <c r="A3880" t="str">
        <f>"20190303161949598"</f>
        <v>20190303161949598</v>
      </c>
      <c r="B3880" t="str">
        <f>"1551601189585830"</f>
        <v>1551601189585830</v>
      </c>
      <c r="C3880" t="s">
        <v>40</v>
      </c>
      <c r="D3880">
        <v>4.5033629999999896</v>
      </c>
      <c r="E3880">
        <v>0.49095699999999998</v>
      </c>
      <c r="F3880" t="s">
        <v>52</v>
      </c>
      <c r="G3880">
        <v>-442.65550000000002</v>
      </c>
      <c r="H3880" s="1">
        <v>-6.6638460000000005E-8</v>
      </c>
      <c r="I3880">
        <v>283.3116</v>
      </c>
      <c r="J3880">
        <v>-425.62360000000001</v>
      </c>
      <c r="K3880">
        <v>1.1213120000000001</v>
      </c>
      <c r="L3880">
        <v>283.72039999999998</v>
      </c>
      <c r="M3880">
        <v>-0.9999207</v>
      </c>
      <c r="N3880">
        <v>-1.237888E-2</v>
      </c>
      <c r="O3880">
        <v>-2.3648390000000001E-3</v>
      </c>
      <c r="P3880">
        <v>-0.98764439999999998</v>
      </c>
      <c r="Q3880">
        <v>0.15651479999999901</v>
      </c>
      <c r="R3880">
        <v>-7.8710550000000001E-3</v>
      </c>
      <c r="S3880">
        <v>-3.068695</v>
      </c>
      <c r="T3880">
        <v>-0.1988115</v>
      </c>
      <c r="U3880">
        <v>-7.2570800000000005E-2</v>
      </c>
      <c r="V3880">
        <v>-5.5030349999999999E-3</v>
      </c>
      <c r="W3880">
        <v>0.16873009999999999</v>
      </c>
      <c r="X3880">
        <v>0.98564689999999999</v>
      </c>
      <c r="Y3880">
        <v>-2.1227949999999999E-2</v>
      </c>
      <c r="Z3880">
        <v>-6.946271E-4</v>
      </c>
      <c r="AA3880">
        <v>0.99977439999999995</v>
      </c>
      <c r="AB3880">
        <v>27</v>
      </c>
      <c r="AC3880">
        <v>-17.0319</v>
      </c>
      <c r="AD3880">
        <v>-1.1213120666384599</v>
      </c>
      <c r="AE3880">
        <v>-0.40879999999998501</v>
      </c>
      <c r="AF3880">
        <v>-0.36692858222366498</v>
      </c>
      <c r="AG3880">
        <v>-1.1213120666384599</v>
      </c>
      <c r="AH3880">
        <v>16.959353261625498</v>
      </c>
      <c r="AI3880">
        <v>93.781872321875397</v>
      </c>
      <c r="AJ3880">
        <v>91.239444649577507</v>
      </c>
      <c r="AK3880">
        <v>17.000342360901101</v>
      </c>
      <c r="AL3880">
        <v>80.286007114601901</v>
      </c>
      <c r="AM3880">
        <v>90.319888799844193</v>
      </c>
      <c r="AN3880">
        <v>0.99999997075991498</v>
      </c>
    </row>
    <row r="3881" spans="1:40" x14ac:dyDescent="0.25">
      <c r="A3881" t="str">
        <f>"20190303161949619"</f>
        <v>20190303161949619</v>
      </c>
      <c r="B3881" t="str">
        <f>"1551601189616086"</f>
        <v>1551601189616086</v>
      </c>
      <c r="C3881" t="s">
        <v>40</v>
      </c>
      <c r="D3881">
        <v>4.526694</v>
      </c>
      <c r="E3881">
        <v>0.48761779999999999</v>
      </c>
      <c r="F3881" t="s">
        <v>52</v>
      </c>
      <c r="G3881">
        <v>-445.4418</v>
      </c>
      <c r="H3881" s="1">
        <v>1.4266999999999901E-6</v>
      </c>
      <c r="I3881">
        <v>283.06869999999998</v>
      </c>
      <c r="J3881">
        <v>-425.88799999999998</v>
      </c>
      <c r="K3881">
        <v>1.121305</v>
      </c>
      <c r="L3881">
        <v>283.71980000000002</v>
      </c>
      <c r="M3881">
        <v>-0.99992080000000005</v>
      </c>
      <c r="N3881">
        <v>-1.237768E-2</v>
      </c>
      <c r="O3881">
        <v>-2.269928E-3</v>
      </c>
      <c r="P3881">
        <v>-0.98773849999999996</v>
      </c>
      <c r="Q3881">
        <v>0.15594330000000001</v>
      </c>
      <c r="R3881">
        <v>-7.3501740000000001E-3</v>
      </c>
      <c r="S3881">
        <v>-3.064209</v>
      </c>
      <c r="T3881">
        <v>-0.17337259999999999</v>
      </c>
      <c r="U3881">
        <v>-0.100769</v>
      </c>
      <c r="V3881">
        <v>-5.0720820000000003E-3</v>
      </c>
      <c r="W3881">
        <v>0.16815910000000001</v>
      </c>
      <c r="X3881">
        <v>0.98574680000000003</v>
      </c>
      <c r="Y3881">
        <v>-3.0541820000000001E-2</v>
      </c>
      <c r="Z3881">
        <v>-9.5214309999999995E-4</v>
      </c>
      <c r="AA3881">
        <v>0.99953309999999995</v>
      </c>
      <c r="AB3881">
        <v>27</v>
      </c>
      <c r="AC3881">
        <v>-19.553799999999899</v>
      </c>
      <c r="AD3881">
        <v>-1.1213035733000001</v>
      </c>
      <c r="AE3881">
        <v>-0.65110000000004198</v>
      </c>
      <c r="AF3881">
        <v>-0.60472283733223597</v>
      </c>
      <c r="AG3881">
        <v>-1.1213035733000001</v>
      </c>
      <c r="AH3881">
        <v>19.491203874247599</v>
      </c>
      <c r="AI3881">
        <v>93.290942487065195</v>
      </c>
      <c r="AJ3881">
        <v>91.777055735082698</v>
      </c>
      <c r="AK3881">
        <v>19.532793959927201</v>
      </c>
      <c r="AL3881">
        <v>80.319197359264905</v>
      </c>
      <c r="AM3881">
        <v>90.2948082888295</v>
      </c>
      <c r="AN3881">
        <v>0.99999998131943202</v>
      </c>
    </row>
    <row r="3882" spans="1:40" x14ac:dyDescent="0.25">
      <c r="A3882" t="str">
        <f>"20190303161949642"</f>
        <v>20190303161949642</v>
      </c>
      <c r="B3882" t="str">
        <f>"1551601189636582"</f>
        <v>1551601189636582</v>
      </c>
      <c r="C3882" t="s">
        <v>40</v>
      </c>
      <c r="D3882">
        <v>4.4242650000000001</v>
      </c>
      <c r="E3882">
        <v>0.48623450000000001</v>
      </c>
      <c r="F3882" t="s">
        <v>52</v>
      </c>
      <c r="G3882">
        <v>-448.22800000000001</v>
      </c>
      <c r="H3882" s="1">
        <v>2.9210430000000002E-6</v>
      </c>
      <c r="I3882">
        <v>282.80250000000001</v>
      </c>
      <c r="J3882">
        <v>-426.1574</v>
      </c>
      <c r="K3882">
        <v>1.1212930000000001</v>
      </c>
      <c r="L3882">
        <v>283.71940000000001</v>
      </c>
      <c r="M3882">
        <v>-0.99992110000000001</v>
      </c>
      <c r="N3882">
        <v>-1.237648E-2</v>
      </c>
      <c r="O3882">
        <v>-2.1669530000000001E-3</v>
      </c>
      <c r="P3882">
        <v>-0.98782210000000004</v>
      </c>
      <c r="Q3882">
        <v>0.15543750000000001</v>
      </c>
      <c r="R3882">
        <v>-6.8496059999999899E-3</v>
      </c>
      <c r="S3882">
        <v>-3.060486</v>
      </c>
      <c r="T3882">
        <v>-0.15361340000000001</v>
      </c>
      <c r="U3882">
        <v>-0.12567139999999999</v>
      </c>
      <c r="V3882">
        <v>-4.6701360000000001E-3</v>
      </c>
      <c r="W3882">
        <v>0.16765279999999999</v>
      </c>
      <c r="X3882">
        <v>0.98583500000000002</v>
      </c>
      <c r="Y3882">
        <v>-3.8803320000000002E-2</v>
      </c>
      <c r="Z3882">
        <v>-1.131366E-3</v>
      </c>
      <c r="AA3882">
        <v>0.99924619999999997</v>
      </c>
      <c r="AB3882">
        <v>27</v>
      </c>
      <c r="AC3882">
        <v>-22.070599999999999</v>
      </c>
      <c r="AD3882">
        <v>-1.1212900789569999</v>
      </c>
      <c r="AE3882">
        <v>-0.91689999999999805</v>
      </c>
      <c r="AF3882">
        <v>-0.86683468579306899</v>
      </c>
      <c r="AG3882">
        <v>-1.1212900789569999</v>
      </c>
      <c r="AH3882">
        <v>22.0158077368847</v>
      </c>
      <c r="AI3882">
        <v>92.913366346904397</v>
      </c>
      <c r="AJ3882">
        <v>92.254758421230605</v>
      </c>
      <c r="AK3882">
        <v>22.0613799233215</v>
      </c>
      <c r="AL3882">
        <v>80.348623768699099</v>
      </c>
      <c r="AM3882">
        <v>90.271421770336502</v>
      </c>
      <c r="AN3882">
        <v>0.99999995937154795</v>
      </c>
    </row>
    <row r="3883" spans="1:40" x14ac:dyDescent="0.25">
      <c r="A3883" t="str">
        <f>"20190303161949664"</f>
        <v>20190303161949664</v>
      </c>
      <c r="B3883" t="str">
        <f>"1551601189656102"</f>
        <v>1551601189656102</v>
      </c>
      <c r="C3883" t="s">
        <v>40</v>
      </c>
      <c r="D3883">
        <v>4.5802630000000004</v>
      </c>
      <c r="E3883">
        <v>0.48525200000000002</v>
      </c>
      <c r="F3883" t="s">
        <v>52</v>
      </c>
      <c r="G3883">
        <v>-449.8048</v>
      </c>
      <c r="H3883" s="1">
        <v>3.7660119999999999E-6</v>
      </c>
      <c r="I3883">
        <v>282.66789999999997</v>
      </c>
      <c r="J3883">
        <v>-426.42439999999999</v>
      </c>
      <c r="K3883">
        <v>1.1212869999999999</v>
      </c>
      <c r="L3883">
        <v>283.71890000000002</v>
      </c>
      <c r="M3883">
        <v>-0.99992139999999996</v>
      </c>
      <c r="N3883">
        <v>-1.2375270000000001E-2</v>
      </c>
      <c r="O3883">
        <v>-2.0611739999999998E-3</v>
      </c>
      <c r="P3883">
        <v>-0.98790319999999998</v>
      </c>
      <c r="Q3883">
        <v>0.1549661</v>
      </c>
      <c r="R3883">
        <v>-5.7664259999999998E-3</v>
      </c>
      <c r="S3883">
        <v>-3.0588679999999999</v>
      </c>
      <c r="T3883">
        <v>-0.14504239999999999</v>
      </c>
      <c r="U3883">
        <v>-0.13601679999999999</v>
      </c>
      <c r="V3883">
        <v>-3.6907810000000002E-3</v>
      </c>
      <c r="W3883">
        <v>0.16718089999999999</v>
      </c>
      <c r="X3883">
        <v>0.9859194</v>
      </c>
      <c r="Y3883">
        <v>-4.230453E-2</v>
      </c>
      <c r="Z3883">
        <v>-1.1918650000000001E-3</v>
      </c>
      <c r="AA3883">
        <v>0.99910399999999999</v>
      </c>
      <c r="AB3883">
        <v>27</v>
      </c>
      <c r="AC3883">
        <v>-23.380400000000002</v>
      </c>
      <c r="AD3883">
        <v>-1.1212832339879999</v>
      </c>
      <c r="AE3883">
        <v>-1.0510000000000399</v>
      </c>
      <c r="AF3883">
        <v>-1.00050649001388</v>
      </c>
      <c r="AG3883">
        <v>-1.1212832339879999</v>
      </c>
      <c r="AH3883">
        <v>23.328968494350001</v>
      </c>
      <c r="AI3883">
        <v>92.7492226591378</v>
      </c>
      <c r="AJ3883">
        <v>92.455731914457004</v>
      </c>
      <c r="AK3883">
        <v>23.377319357397599</v>
      </c>
      <c r="AL3883">
        <v>80.3760497861891</v>
      </c>
      <c r="AM3883">
        <v>90.214485267868199</v>
      </c>
      <c r="AN3883">
        <v>1.00000006924277</v>
      </c>
    </row>
    <row r="3884" spans="1:40" x14ac:dyDescent="0.25">
      <c r="A3884" t="str">
        <f>"20190303161949688"</f>
        <v>20190303161949688</v>
      </c>
      <c r="B3884" t="str">
        <f>"1551601189676599"</f>
        <v>1551601189676599</v>
      </c>
      <c r="C3884" t="s">
        <v>40</v>
      </c>
      <c r="D3884">
        <v>4.5899890000000001</v>
      </c>
      <c r="E3884">
        <v>0.48463659999999997</v>
      </c>
      <c r="F3884" t="s">
        <v>52</v>
      </c>
      <c r="G3884">
        <v>-451.14589999999998</v>
      </c>
      <c r="H3884" s="1">
        <v>-8.3838709999999904E-7</v>
      </c>
      <c r="I3884">
        <v>282.58909999999997</v>
      </c>
      <c r="J3884">
        <v>-426.70100000000002</v>
      </c>
      <c r="K3884">
        <v>1.1212839999999999</v>
      </c>
      <c r="L3884">
        <v>283.71850000000001</v>
      </c>
      <c r="M3884">
        <v>-0.99992159999999997</v>
      </c>
      <c r="N3884">
        <v>-1.2374019999999999E-2</v>
      </c>
      <c r="O3884">
        <v>-1.950542E-3</v>
      </c>
      <c r="P3884">
        <v>-0.98791530000000005</v>
      </c>
      <c r="Q3884">
        <v>0.1549239</v>
      </c>
      <c r="R3884">
        <v>-4.7081900000000001E-3</v>
      </c>
      <c r="S3884">
        <v>-3.0576780000000001</v>
      </c>
      <c r="T3884">
        <v>-0.1386867</v>
      </c>
      <c r="U3884">
        <v>-0.13974</v>
      </c>
      <c r="V3884">
        <v>-2.7411509999999998E-3</v>
      </c>
      <c r="W3884">
        <v>0.16713710000000001</v>
      </c>
      <c r="X3884">
        <v>0.98592979999999997</v>
      </c>
      <c r="Y3884">
        <v>-4.3648979999999997E-2</v>
      </c>
      <c r="Z3884">
        <v>-1.1949879999999999E-3</v>
      </c>
      <c r="AA3884">
        <v>0.9990462</v>
      </c>
      <c r="AB3884">
        <v>27</v>
      </c>
      <c r="AC3884">
        <v>-24.444900000000001</v>
      </c>
      <c r="AD3884">
        <v>-1.1212848383870999</v>
      </c>
      <c r="AE3884">
        <v>-1.1294000000000299</v>
      </c>
      <c r="AF3884">
        <v>-1.07944703020958</v>
      </c>
      <c r="AG3884">
        <v>-1.1212848383870999</v>
      </c>
      <c r="AH3884">
        <v>24.395835960490601</v>
      </c>
      <c r="AI3884">
        <v>92.629015928281405</v>
      </c>
      <c r="AJ3884">
        <v>92.533524342641201</v>
      </c>
      <c r="AK3884">
        <v>24.4454351115089</v>
      </c>
      <c r="AL3884">
        <v>80.378593970357599</v>
      </c>
      <c r="AM3884">
        <v>90.159297323838999</v>
      </c>
      <c r="AN3884">
        <v>0.999999947316626</v>
      </c>
    </row>
    <row r="3885" spans="1:40" x14ac:dyDescent="0.25">
      <c r="A3885" t="str">
        <f>"20190303161949710"</f>
        <v>20190303161949710</v>
      </c>
      <c r="B3885" t="str">
        <f>"1551601189705878"</f>
        <v>1551601189705878</v>
      </c>
      <c r="C3885" t="s">
        <v>40</v>
      </c>
      <c r="D3885">
        <v>4.6132489999999997</v>
      </c>
      <c r="E3885">
        <v>0.48398920000000001</v>
      </c>
      <c r="F3885" t="s">
        <v>52</v>
      </c>
      <c r="G3885">
        <v>-452.61590000000001</v>
      </c>
      <c r="H3885" s="1">
        <v>-5.3258679999999998E-8</v>
      </c>
      <c r="I3885">
        <v>282.52370000000002</v>
      </c>
      <c r="J3885">
        <v>-426.9735</v>
      </c>
      <c r="K3885">
        <v>1.1212770000000001</v>
      </c>
      <c r="L3885">
        <v>283.71809999999999</v>
      </c>
      <c r="M3885">
        <v>-0.99992179999999997</v>
      </c>
      <c r="N3885">
        <v>-1.237281E-2</v>
      </c>
      <c r="O3885">
        <v>-1.8411009999999999E-3</v>
      </c>
      <c r="P3885">
        <v>-0.987904</v>
      </c>
      <c r="Q3885">
        <v>0.1550156</v>
      </c>
      <c r="R3885">
        <v>-4.0118289999999997E-3</v>
      </c>
      <c r="S3885">
        <v>-3.0567929999999999</v>
      </c>
      <c r="T3885">
        <v>-0.132261299999999</v>
      </c>
      <c r="U3885">
        <v>-0.14093020000000001</v>
      </c>
      <c r="V3885">
        <v>-2.1529869999999999E-3</v>
      </c>
      <c r="W3885">
        <v>0.1672273</v>
      </c>
      <c r="X3885">
        <v>0.98591600000000001</v>
      </c>
      <c r="Y3885">
        <v>-4.4163470000000003E-2</v>
      </c>
      <c r="Z3885">
        <v>-1.1711919999999999E-3</v>
      </c>
      <c r="AA3885">
        <v>0.99902360000000001</v>
      </c>
      <c r="AB3885">
        <v>27</v>
      </c>
      <c r="AC3885">
        <v>-25.642399999999999</v>
      </c>
      <c r="AD3885">
        <v>-1.12127705325868</v>
      </c>
      <c r="AE3885">
        <v>-1.1943999999999699</v>
      </c>
      <c r="AF3885">
        <v>-1.1449995116377001</v>
      </c>
      <c r="AG3885">
        <v>-1.12127705325868</v>
      </c>
      <c r="AH3885">
        <v>25.5957203239129</v>
      </c>
      <c r="AI3885">
        <v>92.5058615660801</v>
      </c>
      <c r="AJ3885">
        <v>92.561363019655801</v>
      </c>
      <c r="AK3885">
        <v>25.6458414759934</v>
      </c>
      <c r="AL3885">
        <v>80.373352455406504</v>
      </c>
      <c r="AM3885">
        <v>90.125119049048195</v>
      </c>
      <c r="AN3885">
        <v>0.99999998213715602</v>
      </c>
    </row>
    <row r="3886" spans="1:40" x14ac:dyDescent="0.25">
      <c r="A3886" t="str">
        <f>"20190303161949732"</f>
        <v>20190303161949732</v>
      </c>
      <c r="B3886" t="str">
        <f>"1551601189726374"</f>
        <v>1551601189726374</v>
      </c>
      <c r="C3886" t="s">
        <v>40</v>
      </c>
      <c r="D3886">
        <v>4.6237629999999896</v>
      </c>
      <c r="E3886">
        <v>0.483574</v>
      </c>
      <c r="F3886" t="s">
        <v>52</v>
      </c>
      <c r="G3886">
        <v>-454.40960000000001</v>
      </c>
      <c r="H3886" s="1">
        <v>9.0537589999999998E-7</v>
      </c>
      <c r="I3886">
        <v>282.43</v>
      </c>
      <c r="J3886">
        <v>-427.23860000000002</v>
      </c>
      <c r="K3886">
        <v>1.121278</v>
      </c>
      <c r="L3886">
        <v>283.71780000000001</v>
      </c>
      <c r="M3886">
        <v>-0.99992190000000003</v>
      </c>
      <c r="N3886">
        <v>-1.237164E-2</v>
      </c>
      <c r="O3886">
        <v>-1.7342779999999999E-3</v>
      </c>
      <c r="P3886">
        <v>-0.98790619999999996</v>
      </c>
      <c r="Q3886">
        <v>0.15500349999999999</v>
      </c>
      <c r="R3886">
        <v>-3.9295140000000003E-3</v>
      </c>
      <c r="S3886">
        <v>-3.0557249999999998</v>
      </c>
      <c r="T3886">
        <v>-0.1248832</v>
      </c>
      <c r="U3886">
        <v>-0.14346310000000001</v>
      </c>
      <c r="V3886">
        <v>-2.176028E-3</v>
      </c>
      <c r="W3886">
        <v>0.16721420000000001</v>
      </c>
      <c r="X3886">
        <v>0.98591819999999997</v>
      </c>
      <c r="Y3886">
        <v>-4.5116450000000002E-2</v>
      </c>
      <c r="Z3886">
        <v>-1.15106E-3</v>
      </c>
      <c r="AA3886">
        <v>0.99898109999999996</v>
      </c>
      <c r="AB3886">
        <v>27</v>
      </c>
      <c r="AC3886">
        <v>-27.1709999999999</v>
      </c>
      <c r="AD3886">
        <v>-1.1212770946241</v>
      </c>
      <c r="AE3886">
        <v>-1.2878000000000001</v>
      </c>
      <c r="AF3886">
        <v>-1.23856783244774</v>
      </c>
      <c r="AG3886">
        <v>-1.1212770946241</v>
      </c>
      <c r="AH3886">
        <v>27.1270988014873</v>
      </c>
      <c r="AI3886">
        <v>92.364467738670001</v>
      </c>
      <c r="AJ3886">
        <v>92.614192523183306</v>
      </c>
      <c r="AK3886">
        <v>27.1784988912956</v>
      </c>
      <c r="AL3886">
        <v>80.374114024536894</v>
      </c>
      <c r="AM3886">
        <v>90.126457771096099</v>
      </c>
      <c r="AN3886">
        <v>1.0000000104353599</v>
      </c>
    </row>
    <row r="3887" spans="1:40" x14ac:dyDescent="0.25">
      <c r="A3887" t="str">
        <f>"20190303161949754"</f>
        <v>20190303161949754</v>
      </c>
      <c r="B3887" t="str">
        <f>"1551601189745895"</f>
        <v>1551601189745895</v>
      </c>
      <c r="C3887" t="s">
        <v>40</v>
      </c>
      <c r="D3887">
        <v>4.5846710000000002</v>
      </c>
      <c r="E3887">
        <v>0.4831531</v>
      </c>
      <c r="F3887" t="s">
        <v>52</v>
      </c>
      <c r="G3887">
        <v>-455.49770000000001</v>
      </c>
      <c r="H3887" s="1">
        <v>1.487302E-6</v>
      </c>
      <c r="I3887">
        <v>282.36369999999999</v>
      </c>
      <c r="J3887">
        <v>-427.50650000000002</v>
      </c>
      <c r="K3887">
        <v>1.1212770000000001</v>
      </c>
      <c r="L3887">
        <v>283.7174</v>
      </c>
      <c r="M3887">
        <v>-0.99992230000000004</v>
      </c>
      <c r="N3887">
        <v>-1.237047E-2</v>
      </c>
      <c r="O3887">
        <v>-1.6270970000000001E-3</v>
      </c>
      <c r="P3887">
        <v>-0.98778089999999996</v>
      </c>
      <c r="Q3887">
        <v>0.15578910000000001</v>
      </c>
      <c r="R3887">
        <v>-4.3912090000000001E-3</v>
      </c>
      <c r="S3887">
        <v>-3.055145</v>
      </c>
      <c r="T3887">
        <v>-0.12122330000000001</v>
      </c>
      <c r="U3887">
        <v>-0.14639279999999999</v>
      </c>
      <c r="V3887">
        <v>-2.7435649999999999E-3</v>
      </c>
      <c r="W3887">
        <v>0.16799739999999999</v>
      </c>
      <c r="X3887">
        <v>0.98578359999999998</v>
      </c>
      <c r="Y3887">
        <v>-4.618949E-2</v>
      </c>
      <c r="Z3887">
        <v>-1.1571070000000001E-3</v>
      </c>
      <c r="AA3887">
        <v>0.99893200000000004</v>
      </c>
      <c r="AB3887">
        <v>27</v>
      </c>
      <c r="AC3887">
        <v>-27.9911999999999</v>
      </c>
      <c r="AD3887">
        <v>-1.1212755126980001</v>
      </c>
      <c r="AE3887">
        <v>-1.3536999999999999</v>
      </c>
      <c r="AF3887">
        <v>-1.3060594470781299</v>
      </c>
      <c r="AG3887">
        <v>-1.1212755126980001</v>
      </c>
      <c r="AH3887">
        <v>27.9486224653985</v>
      </c>
      <c r="AI3887">
        <v>92.294925258025899</v>
      </c>
      <c r="AJ3887">
        <v>92.675526994431394</v>
      </c>
      <c r="AK3887">
        <v>28.001581165499498</v>
      </c>
      <c r="AL3887">
        <v>80.328595777427395</v>
      </c>
      <c r="AM3887">
        <v>90.159461254432003</v>
      </c>
      <c r="AN3887">
        <v>0.99999997979231403</v>
      </c>
    </row>
    <row r="3888" spans="1:40" x14ac:dyDescent="0.25">
      <c r="A3888" t="str">
        <f>"20190303161949777"</f>
        <v>20190303161949777</v>
      </c>
      <c r="B3888" t="str">
        <f>"1551601189766391"</f>
        <v>1551601189766391</v>
      </c>
      <c r="C3888" t="s">
        <v>40</v>
      </c>
      <c r="D3888">
        <v>4.6531589999999996</v>
      </c>
      <c r="E3888">
        <v>0.48348570000000002</v>
      </c>
      <c r="F3888" t="s">
        <v>52</v>
      </c>
      <c r="G3888">
        <v>-457.27760000000001</v>
      </c>
      <c r="H3888" s="1">
        <v>2.4398739999999998E-6</v>
      </c>
      <c r="I3888">
        <v>282.24040000000002</v>
      </c>
      <c r="J3888">
        <v>-427.77780000000001</v>
      </c>
      <c r="K3888">
        <v>1.121286</v>
      </c>
      <c r="L3888">
        <v>283.71710000000002</v>
      </c>
      <c r="M3888">
        <v>-0.99992239999999999</v>
      </c>
      <c r="N3888">
        <v>-1.236929E-2</v>
      </c>
      <c r="O3888">
        <v>-1.5184899999999999E-3</v>
      </c>
      <c r="P3888">
        <v>-0.98771690000000001</v>
      </c>
      <c r="Q3888">
        <v>0.15617909999999999</v>
      </c>
      <c r="R3888">
        <v>-4.8621879999999999E-3</v>
      </c>
      <c r="S3888">
        <v>-3.0545650000000002</v>
      </c>
      <c r="T3888">
        <v>-0.11504449999999999</v>
      </c>
      <c r="U3888">
        <v>-0.1515503</v>
      </c>
      <c r="V3888">
        <v>-3.3219830000000001E-3</v>
      </c>
      <c r="W3888">
        <v>0.1683856</v>
      </c>
      <c r="X3888">
        <v>0.98571560000000003</v>
      </c>
      <c r="Y3888">
        <v>-4.7991970000000002E-2</v>
      </c>
      <c r="Z3888">
        <v>-1.161668E-3</v>
      </c>
      <c r="AA3888">
        <v>0.99884709999999999</v>
      </c>
      <c r="AB3888">
        <v>27</v>
      </c>
      <c r="AC3888">
        <v>-29.4998</v>
      </c>
      <c r="AD3888">
        <v>-1.1212835601260001</v>
      </c>
      <c r="AE3888">
        <v>-1.4766999999999899</v>
      </c>
      <c r="AF3888">
        <v>-1.4298391242923001</v>
      </c>
      <c r="AG3888">
        <v>-1.1212835601260001</v>
      </c>
      <c r="AH3888">
        <v>29.459553198752801</v>
      </c>
      <c r="AI3888">
        <v>92.177167785602606</v>
      </c>
      <c r="AJ3888">
        <v>92.778708416337494</v>
      </c>
      <c r="AK3888">
        <v>29.515538135255301</v>
      </c>
      <c r="AL3888">
        <v>80.306032269590801</v>
      </c>
      <c r="AM3888">
        <v>90.193093104061205</v>
      </c>
      <c r="AN3888">
        <v>0.99999999497088599</v>
      </c>
    </row>
    <row r="3889" spans="1:40" x14ac:dyDescent="0.25">
      <c r="A3889" t="str">
        <f>"20190303161949798"</f>
        <v>20190303161949798</v>
      </c>
      <c r="B3889" t="str">
        <f>"1551601189796647"</f>
        <v>1551601189796647</v>
      </c>
      <c r="C3889" t="s">
        <v>40</v>
      </c>
      <c r="D3889">
        <v>4.6017020000000004</v>
      </c>
      <c r="E3889">
        <v>0.48437550000000001</v>
      </c>
      <c r="F3889" t="s">
        <v>52</v>
      </c>
      <c r="G3889">
        <v>-458.19659999999999</v>
      </c>
      <c r="H3889" s="1">
        <v>2.929949E-6</v>
      </c>
      <c r="I3889">
        <v>282.21600000000001</v>
      </c>
      <c r="J3889">
        <v>-428.03989999999999</v>
      </c>
      <c r="K3889">
        <v>1.121289</v>
      </c>
      <c r="L3889">
        <v>283.71679999999998</v>
      </c>
      <c r="M3889">
        <v>-0.99992259999999999</v>
      </c>
      <c r="N3889">
        <v>-1.236814E-2</v>
      </c>
      <c r="O3889">
        <v>-1.4129889999999999E-3</v>
      </c>
      <c r="P3889">
        <v>-0.98763570000000001</v>
      </c>
      <c r="Q3889">
        <v>0.15668579999999999</v>
      </c>
      <c r="R3889">
        <v>-5.0379580000000004E-3</v>
      </c>
      <c r="S3889">
        <v>-3.0543819999999999</v>
      </c>
      <c r="T3889">
        <v>-0.1125892</v>
      </c>
      <c r="U3889">
        <v>-0.15072629999999901</v>
      </c>
      <c r="V3889">
        <v>-3.6018030000000002E-3</v>
      </c>
      <c r="W3889">
        <v>0.1688904</v>
      </c>
      <c r="X3889">
        <v>0.98562819999999995</v>
      </c>
      <c r="Y3889">
        <v>-4.7833269999999997E-2</v>
      </c>
      <c r="Z3889">
        <v>-1.1423259999999999E-3</v>
      </c>
      <c r="AA3889">
        <v>0.99885469999999998</v>
      </c>
      <c r="AB3889">
        <v>27</v>
      </c>
      <c r="AC3889">
        <v>-30.156700000000001</v>
      </c>
      <c r="AD3889">
        <v>-1.1212860700509999</v>
      </c>
      <c r="AE3889">
        <v>-1.5007999999999599</v>
      </c>
      <c r="AF3889">
        <v>-1.45617597046103</v>
      </c>
      <c r="AG3889">
        <v>-1.1212860700509999</v>
      </c>
      <c r="AH3889">
        <v>30.1172564208583</v>
      </c>
      <c r="AI3889">
        <v>92.129690709768596</v>
      </c>
      <c r="AJ3889">
        <v>92.768107839054906</v>
      </c>
      <c r="AK3889">
        <v>30.173280650727602</v>
      </c>
      <c r="AL3889">
        <v>80.276688612078004</v>
      </c>
      <c r="AM3889">
        <v>90.209376306326007</v>
      </c>
      <c r="AN3889">
        <v>0.99999994441612305</v>
      </c>
    </row>
    <row r="3890" spans="1:40" x14ac:dyDescent="0.25">
      <c r="A3890" t="str">
        <f>"20190303161949822"</f>
        <v>20190303161949822</v>
      </c>
      <c r="B3890" t="str">
        <f>"1551601189816167"</f>
        <v>1551601189816167</v>
      </c>
      <c r="C3890" t="s">
        <v>40</v>
      </c>
      <c r="D3890">
        <v>5.4971589999999999</v>
      </c>
      <c r="E3890">
        <v>0.4845604</v>
      </c>
      <c r="F3890" t="s">
        <v>52</v>
      </c>
      <c r="G3890">
        <v>-458.96710000000002</v>
      </c>
      <c r="H3890" s="1">
        <v>3.33821999999999E-6</v>
      </c>
      <c r="I3890">
        <v>282.2568</v>
      </c>
      <c r="J3890">
        <v>-428.3177</v>
      </c>
      <c r="K3890">
        <v>1.121294</v>
      </c>
      <c r="L3890">
        <v>283.71660000000003</v>
      </c>
      <c r="M3890">
        <v>-0.9999228</v>
      </c>
      <c r="N3890">
        <v>-1.236696E-2</v>
      </c>
      <c r="O3890">
        <v>-1.3008169999999999E-3</v>
      </c>
      <c r="P3890">
        <v>-0.98753310000000005</v>
      </c>
      <c r="Q3890">
        <v>0.15732850000000001</v>
      </c>
      <c r="R3890">
        <v>-5.0767520000000003E-3</v>
      </c>
      <c r="S3890">
        <v>-3.0543819999999999</v>
      </c>
      <c r="T3890">
        <v>-0.1107385</v>
      </c>
      <c r="U3890">
        <v>-0.14419560000000001</v>
      </c>
      <c r="V3890">
        <v>-3.7517789999999998E-3</v>
      </c>
      <c r="W3890">
        <v>0.16952999999999999</v>
      </c>
      <c r="X3890">
        <v>0.98551789999999995</v>
      </c>
      <c r="Y3890">
        <v>-4.5817429999999999E-2</v>
      </c>
      <c r="Z3890">
        <v>-1.0823950000000001E-3</v>
      </c>
      <c r="AA3890">
        <v>0.99894919999999998</v>
      </c>
      <c r="AB3890">
        <v>27</v>
      </c>
      <c r="AC3890">
        <v>-30.6494</v>
      </c>
      <c r="AD3890">
        <v>-1.12129066177999</v>
      </c>
      <c r="AE3890">
        <v>-1.45980000000002</v>
      </c>
      <c r="AF3890">
        <v>-1.4180328318262201</v>
      </c>
      <c r="AG3890">
        <v>-1.12129066177999</v>
      </c>
      <c r="AH3890">
        <v>30.610396302063801</v>
      </c>
      <c r="AI3890">
        <v>92.095620603110603</v>
      </c>
      <c r="AJ3890">
        <v>92.652342388274107</v>
      </c>
      <c r="AK3890">
        <v>30.663732186896901</v>
      </c>
      <c r="AL3890">
        <v>80.239506741362902</v>
      </c>
      <c r="AM3890">
        <v>90.218118883409801</v>
      </c>
      <c r="AN3890">
        <v>1.0000000139830301</v>
      </c>
    </row>
    <row r="3891" spans="1:40" x14ac:dyDescent="0.25">
      <c r="A3891" t="str">
        <f>"20190303161949843"</f>
        <v>20190303161949843</v>
      </c>
      <c r="B3891" t="str">
        <f>"1551601189836663"</f>
        <v>1551601189836663</v>
      </c>
      <c r="C3891" t="s">
        <v>40</v>
      </c>
      <c r="D3891">
        <v>4.5862020000000001</v>
      </c>
      <c r="E3891">
        <v>0.48466110000000001</v>
      </c>
      <c r="F3891" t="s">
        <v>52</v>
      </c>
      <c r="G3891">
        <v>-460.15949999999998</v>
      </c>
      <c r="H3891" s="1">
        <v>-1.3473939999999901E-6</v>
      </c>
      <c r="I3891">
        <v>282.2251</v>
      </c>
      <c r="J3891">
        <v>-428.57679999999999</v>
      </c>
      <c r="K3891">
        <v>1.121294</v>
      </c>
      <c r="L3891">
        <v>283.71640000000002</v>
      </c>
      <c r="M3891">
        <v>-0.99992289999999995</v>
      </c>
      <c r="N3891">
        <v>-1.2365889999999999E-2</v>
      </c>
      <c r="O3891">
        <v>-1.196274E-3</v>
      </c>
      <c r="P3891">
        <v>-0.98741060000000003</v>
      </c>
      <c r="Q3891">
        <v>0.15811140000000001</v>
      </c>
      <c r="R3891">
        <v>-4.621132E-3</v>
      </c>
      <c r="S3891">
        <v>-3.0542600000000002</v>
      </c>
      <c r="T3891">
        <v>-0.107554399999999</v>
      </c>
      <c r="U3891">
        <v>-0.14306640000000001</v>
      </c>
      <c r="V3891">
        <v>-3.3993360000000002E-3</v>
      </c>
      <c r="W3891">
        <v>0.1703105</v>
      </c>
      <c r="X3891">
        <v>0.98538460000000005</v>
      </c>
      <c r="Y3891">
        <v>-4.555741E-2</v>
      </c>
      <c r="Z3891">
        <v>-1.056109E-3</v>
      </c>
      <c r="AA3891">
        <v>0.99896119999999999</v>
      </c>
      <c r="AB3891">
        <v>27</v>
      </c>
      <c r="AC3891">
        <v>-31.5826999999999</v>
      </c>
      <c r="AD3891">
        <v>-1.1212953473939999</v>
      </c>
      <c r="AE3891">
        <v>-1.4913000000000201</v>
      </c>
      <c r="AF3891">
        <v>-1.45168870649763</v>
      </c>
      <c r="AG3891">
        <v>-1.1212953473939999</v>
      </c>
      <c r="AH3891">
        <v>31.544787910608701</v>
      </c>
      <c r="AI3891">
        <v>92.033635980874195</v>
      </c>
      <c r="AJ3891">
        <v>92.634888318376596</v>
      </c>
      <c r="AK3891">
        <v>31.598075062920302</v>
      </c>
      <c r="AL3891">
        <v>80.194127490207606</v>
      </c>
      <c r="AM3891">
        <v>90.197655649704103</v>
      </c>
      <c r="AN3891">
        <v>1.00000001590632</v>
      </c>
    </row>
    <row r="3892" spans="1:40" x14ac:dyDescent="0.25">
      <c r="A3892" t="str">
        <f>"20190303161949865"</f>
        <v>20190303161949865</v>
      </c>
      <c r="B3892" t="str">
        <f>"1551601189856182"</f>
        <v>1551601189856182</v>
      </c>
      <c r="C3892" t="s">
        <v>40</v>
      </c>
      <c r="D3892">
        <v>4.5427670000000004</v>
      </c>
      <c r="E3892">
        <v>0.48483349999999997</v>
      </c>
      <c r="F3892" t="s">
        <v>52</v>
      </c>
      <c r="G3892">
        <v>-462.00049999999999</v>
      </c>
      <c r="H3892" s="1">
        <v>-3.6551370000000002E-7</v>
      </c>
      <c r="I3892">
        <v>282.17540000000002</v>
      </c>
      <c r="J3892">
        <v>-428.84649999999999</v>
      </c>
      <c r="K3892">
        <v>1.1212959999999901</v>
      </c>
      <c r="L3892">
        <v>283.71620000000001</v>
      </c>
      <c r="M3892">
        <v>-0.99992309999999995</v>
      </c>
      <c r="N3892">
        <v>-1.2364770000000001E-2</v>
      </c>
      <c r="O3892">
        <v>-1.0870820000000001E-3</v>
      </c>
      <c r="P3892">
        <v>-0.98729630000000002</v>
      </c>
      <c r="Q3892">
        <v>0.1588331</v>
      </c>
      <c r="R3892">
        <v>-4.2831859999999996E-3</v>
      </c>
      <c r="S3892">
        <v>-3.0540159999999998</v>
      </c>
      <c r="T3892">
        <v>-0.10245559999999999</v>
      </c>
      <c r="U3892">
        <v>-0.14080809999999999</v>
      </c>
      <c r="V3892">
        <v>-3.1691699999999998E-3</v>
      </c>
      <c r="W3892">
        <v>0.17102989999999901</v>
      </c>
      <c r="X3892">
        <v>0.98526069999999999</v>
      </c>
      <c r="Y3892">
        <v>-4.4936619999999997E-2</v>
      </c>
      <c r="Z3892">
        <v>-1.008225E-3</v>
      </c>
      <c r="AA3892">
        <v>0.99898929999999997</v>
      </c>
      <c r="AB3892">
        <v>27</v>
      </c>
      <c r="AC3892">
        <v>-33.154000000000003</v>
      </c>
      <c r="AD3892">
        <v>-1.1212963655136901</v>
      </c>
      <c r="AE3892">
        <v>-1.54079999999999</v>
      </c>
      <c r="AF3892">
        <v>-1.50303967615499</v>
      </c>
      <c r="AG3892">
        <v>-1.1212963655136901</v>
      </c>
      <c r="AH3892">
        <v>33.117855304320301</v>
      </c>
      <c r="AI3892">
        <v>91.937173430464199</v>
      </c>
      <c r="AJ3892">
        <v>92.598561251151196</v>
      </c>
      <c r="AK3892">
        <v>33.170902516592903</v>
      </c>
      <c r="AL3892">
        <v>80.152294581357793</v>
      </c>
      <c r="AM3892">
        <v>90.184295830870695</v>
      </c>
      <c r="AN3892">
        <v>0.999999958648493</v>
      </c>
    </row>
    <row r="3893" spans="1:40" x14ac:dyDescent="0.25">
      <c r="A3893" t="str">
        <f>"20190303161949888"</f>
        <v>20190303161949888</v>
      </c>
      <c r="B3893" t="str">
        <f>"1551601189876679"</f>
        <v>1551601189876679</v>
      </c>
      <c r="C3893" t="s">
        <v>40</v>
      </c>
      <c r="D3893">
        <v>4.5604740000000001</v>
      </c>
      <c r="E3893">
        <v>0.48507339999999999</v>
      </c>
      <c r="F3893" t="s">
        <v>52</v>
      </c>
      <c r="G3893">
        <v>-462.86369999999999</v>
      </c>
      <c r="H3893" s="1">
        <v>9.3779229999999996E-8</v>
      </c>
      <c r="I3893">
        <v>282.17680000000001</v>
      </c>
      <c r="J3893">
        <v>-429.12220000000002</v>
      </c>
      <c r="K3893">
        <v>1.1213010000000001</v>
      </c>
      <c r="L3893">
        <v>283.71600000000001</v>
      </c>
      <c r="M3893">
        <v>-0.99992320000000001</v>
      </c>
      <c r="N3893">
        <v>-1.236363E-2</v>
      </c>
      <c r="O3893">
        <v>-9.7645019999999998E-4</v>
      </c>
      <c r="P3893">
        <v>-0.98722980000000005</v>
      </c>
      <c r="Q3893">
        <v>0.15923960000000001</v>
      </c>
      <c r="R3893">
        <v>-4.5625500000000003E-3</v>
      </c>
      <c r="S3893">
        <v>-3.05423</v>
      </c>
      <c r="T3893">
        <v>-0.1006753</v>
      </c>
      <c r="U3893">
        <v>-0.13821410000000001</v>
      </c>
      <c r="V3893">
        <v>-3.5579180000000002E-3</v>
      </c>
      <c r="W3893">
        <v>0.17143429999999901</v>
      </c>
      <c r="X3893">
        <v>0.98518910000000004</v>
      </c>
      <c r="Y3893">
        <v>-4.419878E-2</v>
      </c>
      <c r="Z3893">
        <v>-9.8126779999999992E-4</v>
      </c>
      <c r="AA3893">
        <v>0.99902219999999997</v>
      </c>
      <c r="AB3893">
        <v>27</v>
      </c>
      <c r="AC3893">
        <v>-33.741499999999903</v>
      </c>
      <c r="AD3893">
        <v>-1.1213009062207699</v>
      </c>
      <c r="AE3893">
        <v>-1.5391999999999899</v>
      </c>
      <c r="AF3893">
        <v>-1.5045916778249999</v>
      </c>
      <c r="AG3893">
        <v>-1.1213009062207699</v>
      </c>
      <c r="AH3893">
        <v>33.705840476281999</v>
      </c>
      <c r="AI3893">
        <v>91.903476690719501</v>
      </c>
      <c r="AJ3893">
        <v>92.555923861955606</v>
      </c>
      <c r="AK3893">
        <v>33.758033029959599</v>
      </c>
      <c r="AL3893">
        <v>80.128776943552097</v>
      </c>
      <c r="AM3893">
        <v>90.206917432423197</v>
      </c>
      <c r="AN3893">
        <v>0.99999997037789701</v>
      </c>
    </row>
    <row r="3894" spans="1:40" x14ac:dyDescent="0.25">
      <c r="A3894" t="str">
        <f>"20190303161949911"</f>
        <v>20190303161949911</v>
      </c>
      <c r="B3894" t="str">
        <f>"1551601189905958"</f>
        <v>1551601189905958</v>
      </c>
      <c r="C3894" t="s">
        <v>40</v>
      </c>
      <c r="D3894">
        <v>4.5566950000000004</v>
      </c>
      <c r="E3894">
        <v>0.48538890000000001</v>
      </c>
      <c r="F3894" t="s">
        <v>52</v>
      </c>
      <c r="G3894">
        <v>-463.45510000000002</v>
      </c>
      <c r="H3894" s="1">
        <v>4.0873560000000002E-7</v>
      </c>
      <c r="I3894">
        <v>282.17090000000002</v>
      </c>
      <c r="J3894">
        <v>-429.39609999999999</v>
      </c>
      <c r="K3894">
        <v>1.121302</v>
      </c>
      <c r="L3894">
        <v>283.71589999999998</v>
      </c>
      <c r="M3894">
        <v>-0.99992320000000001</v>
      </c>
      <c r="N3894">
        <v>-1.236248E-2</v>
      </c>
      <c r="O3894">
        <v>-8.6617919999999998E-4</v>
      </c>
      <c r="P3894">
        <v>-0.9871181</v>
      </c>
      <c r="Q3894">
        <v>0.1599256</v>
      </c>
      <c r="R3894">
        <v>-4.6870929999999998E-3</v>
      </c>
      <c r="S3894">
        <v>-3.0542600000000002</v>
      </c>
      <c r="T3894">
        <v>-9.9751000000000006E-2</v>
      </c>
      <c r="U3894">
        <v>-0.1374512</v>
      </c>
      <c r="V3894">
        <v>-3.7909369999999999E-3</v>
      </c>
      <c r="W3894">
        <v>0.1721174</v>
      </c>
      <c r="X3894">
        <v>0.98506919999999998</v>
      </c>
      <c r="Y3894">
        <v>-4.4060050000000003E-2</v>
      </c>
      <c r="Z3894">
        <v>-9.7396530000000002E-4</v>
      </c>
      <c r="AA3894">
        <v>0.99902840000000004</v>
      </c>
      <c r="AB3894">
        <v>27</v>
      </c>
      <c r="AC3894">
        <v>-34.058999999999997</v>
      </c>
      <c r="AD3894">
        <v>-1.1213015912644</v>
      </c>
      <c r="AE3894">
        <v>-1.54499999999995</v>
      </c>
      <c r="AF3894">
        <v>-1.51385849714252</v>
      </c>
      <c r="AG3894">
        <v>-1.1213015912644</v>
      </c>
      <c r="AH3894">
        <v>34.023523891622901</v>
      </c>
      <c r="AI3894">
        <v>91.885729754893404</v>
      </c>
      <c r="AJ3894">
        <v>92.547664697186704</v>
      </c>
      <c r="AK3894">
        <v>34.075640314039198</v>
      </c>
      <c r="AL3894">
        <v>80.089048454822304</v>
      </c>
      <c r="AM3894">
        <v>90.2204957968749</v>
      </c>
      <c r="AN3894">
        <v>1.00000004968736</v>
      </c>
    </row>
    <row r="3895" spans="1:40" x14ac:dyDescent="0.25">
      <c r="A3895" t="str">
        <f>"20190303161949934"</f>
        <v>20190303161949934</v>
      </c>
      <c r="B3895" t="str">
        <f>"1551601189926455"</f>
        <v>1551601189926455</v>
      </c>
      <c r="C3895" t="s">
        <v>40</v>
      </c>
      <c r="D3895">
        <v>4.5171489999999999</v>
      </c>
      <c r="E3895">
        <v>0.48569040000000002</v>
      </c>
      <c r="F3895" t="s">
        <v>52</v>
      </c>
      <c r="G3895">
        <v>-464.43709999999999</v>
      </c>
      <c r="H3895" s="1">
        <v>9.3198509999999998E-7</v>
      </c>
      <c r="I3895">
        <v>282.1558</v>
      </c>
      <c r="J3895">
        <v>-429.66359999999997</v>
      </c>
      <c r="K3895">
        <v>1.1213040000000001</v>
      </c>
      <c r="L3895">
        <v>283.7158</v>
      </c>
      <c r="M3895">
        <v>-0.99992329999999996</v>
      </c>
      <c r="N3895">
        <v>-1.236136E-2</v>
      </c>
      <c r="O3895">
        <v>-7.5853140000000003E-4</v>
      </c>
      <c r="P3895">
        <v>-0.9871434</v>
      </c>
      <c r="Q3895">
        <v>0.15977959999999999</v>
      </c>
      <c r="R3895">
        <v>-4.3249839999999996E-3</v>
      </c>
      <c r="S3895">
        <v>-3.0543520000000002</v>
      </c>
      <c r="T3895">
        <v>-9.7738270000000002E-2</v>
      </c>
      <c r="U3895">
        <v>-0.13598629999999901</v>
      </c>
      <c r="V3895">
        <v>-3.5355030000000002E-3</v>
      </c>
      <c r="W3895">
        <v>0.17197079999999901</v>
      </c>
      <c r="X3895">
        <v>0.98509570000000002</v>
      </c>
      <c r="Y3895">
        <v>-4.3689430000000001E-2</v>
      </c>
      <c r="Z3895">
        <v>-9.5388579999999997E-4</v>
      </c>
      <c r="AA3895">
        <v>0.99904470000000001</v>
      </c>
      <c r="AB3895">
        <v>27</v>
      </c>
      <c r="AC3895">
        <v>-34.773499999999999</v>
      </c>
      <c r="AD3895">
        <v>-1.1213030680148901</v>
      </c>
      <c r="AE3895">
        <v>-1.56</v>
      </c>
      <c r="AF3895">
        <v>-1.5320309398810501</v>
      </c>
      <c r="AG3895">
        <v>-1.1213030680148901</v>
      </c>
      <c r="AH3895">
        <v>34.738624772759103</v>
      </c>
      <c r="AI3895">
        <v>91.846973317540801</v>
      </c>
      <c r="AJ3895">
        <v>92.525202569794402</v>
      </c>
      <c r="AK3895">
        <v>34.790465511022497</v>
      </c>
      <c r="AL3895">
        <v>80.097574628159606</v>
      </c>
      <c r="AM3895">
        <v>90.205633351769805</v>
      </c>
      <c r="AN3895">
        <v>0.99999999699629605</v>
      </c>
    </row>
    <row r="3896" spans="1:40" x14ac:dyDescent="0.25">
      <c r="A3896" t="str">
        <f>"20190303161949955"</f>
        <v>20190303161949955</v>
      </c>
      <c r="B3896" t="str">
        <f>"1551601189945975"</f>
        <v>1551601189945975</v>
      </c>
      <c r="C3896" t="s">
        <v>40</v>
      </c>
      <c r="D3896">
        <v>4.5279429999999996</v>
      </c>
      <c r="E3896">
        <v>0.48595500000000003</v>
      </c>
      <c r="F3896" t="s">
        <v>52</v>
      </c>
      <c r="G3896">
        <v>-464.53320000000002</v>
      </c>
      <c r="H3896" s="1">
        <v>9.809683E-7</v>
      </c>
      <c r="I3896">
        <v>282.20519999999999</v>
      </c>
      <c r="J3896">
        <v>-429.92489999999998</v>
      </c>
      <c r="K3896">
        <v>1.121302</v>
      </c>
      <c r="L3896">
        <v>283.71570000000003</v>
      </c>
      <c r="M3896">
        <v>-0.99992349999999997</v>
      </c>
      <c r="N3896">
        <v>-1.2360350000000001E-2</v>
      </c>
      <c r="O3896">
        <v>-6.5314970000000003E-4</v>
      </c>
      <c r="P3896">
        <v>-0.98712100000000003</v>
      </c>
      <c r="Q3896">
        <v>0.1599149</v>
      </c>
      <c r="R3896">
        <v>-4.4172680000000002E-3</v>
      </c>
      <c r="S3896">
        <v>-3.0544129999999998</v>
      </c>
      <c r="T3896">
        <v>-9.8220829999999995E-2</v>
      </c>
      <c r="U3896">
        <v>-0.1323242</v>
      </c>
      <c r="V3896">
        <v>-3.7317600000000002E-3</v>
      </c>
      <c r="W3896">
        <v>0.1721047</v>
      </c>
      <c r="X3896">
        <v>0.98507160000000005</v>
      </c>
      <c r="Y3896">
        <v>-4.2598799999999999E-2</v>
      </c>
      <c r="Z3896">
        <v>-9.3500389999999999E-4</v>
      </c>
      <c r="AA3896">
        <v>0.99909179999999997</v>
      </c>
      <c r="AB3896">
        <v>27</v>
      </c>
      <c r="AC3896">
        <v>-34.6083</v>
      </c>
      <c r="AD3896">
        <v>-1.1213010190316901</v>
      </c>
      <c r="AE3896">
        <v>-1.5105000000000299</v>
      </c>
      <c r="AF3896">
        <v>-1.48633624467631</v>
      </c>
      <c r="AG3896">
        <v>-1.1213010190316901</v>
      </c>
      <c r="AH3896">
        <v>34.573055379865302</v>
      </c>
      <c r="AI3896">
        <v>91.855898373912595</v>
      </c>
      <c r="AJ3896">
        <v>92.461696978629007</v>
      </c>
      <c r="AK3896">
        <v>34.623152220829802</v>
      </c>
      <c r="AL3896">
        <v>80.089786691366896</v>
      </c>
      <c r="AM3896">
        <v>90.2170533343225</v>
      </c>
      <c r="AN3896">
        <v>1.0000000054606699</v>
      </c>
    </row>
    <row r="3897" spans="1:40" x14ac:dyDescent="0.25">
      <c r="A3897" t="str">
        <f>"20190303161949974"</f>
        <v>20190303161949974</v>
      </c>
      <c r="B3897" t="str">
        <f>"1551601189966471"</f>
        <v>1551601189966471</v>
      </c>
      <c r="C3897" t="s">
        <v>40</v>
      </c>
      <c r="D3897">
        <v>4.4892659999999998</v>
      </c>
      <c r="E3897">
        <v>0.486238</v>
      </c>
      <c r="F3897" t="s">
        <v>52</v>
      </c>
      <c r="G3897">
        <v>-464.91750000000002</v>
      </c>
      <c r="H3897" s="1">
        <v>1.184529E-6</v>
      </c>
      <c r="I3897">
        <v>282.22629999999998</v>
      </c>
      <c r="J3897">
        <v>-430.15219999999999</v>
      </c>
      <c r="K3897">
        <v>1.121299</v>
      </c>
      <c r="L3897">
        <v>283.71570000000003</v>
      </c>
      <c r="M3897">
        <v>-0.99992360000000002</v>
      </c>
      <c r="N3897">
        <v>-1.2359429999999999E-2</v>
      </c>
      <c r="O3897">
        <v>-5.6171309999999996E-4</v>
      </c>
      <c r="P3897">
        <v>-0.98715079999999999</v>
      </c>
      <c r="Q3897">
        <v>0.15973589999999999</v>
      </c>
      <c r="R3897">
        <v>-4.2890480000000002E-3</v>
      </c>
      <c r="S3897">
        <v>-3.0544129999999998</v>
      </c>
      <c r="T3897">
        <v>-9.7875359999999995E-2</v>
      </c>
      <c r="U3897">
        <v>-0.13000490000000001</v>
      </c>
      <c r="V3897">
        <v>-3.6933619999999999E-3</v>
      </c>
      <c r="W3897">
        <v>0.1719253</v>
      </c>
      <c r="X3897">
        <v>0.98510310000000001</v>
      </c>
      <c r="Y3897">
        <v>-4.1933539999999998E-2</v>
      </c>
      <c r="Z3897">
        <v>-9.1968970000000003E-4</v>
      </c>
      <c r="AA3897">
        <v>0.99912000000000001</v>
      </c>
      <c r="AB3897">
        <v>27</v>
      </c>
      <c r="AC3897">
        <v>-34.765300000000003</v>
      </c>
      <c r="AD3897">
        <v>-1.1212978154709901</v>
      </c>
      <c r="AE3897">
        <v>-1.48940000000004</v>
      </c>
      <c r="AF3897">
        <v>-1.46834546049435</v>
      </c>
      <c r="AG3897">
        <v>-1.1212978154709901</v>
      </c>
      <c r="AH3897">
        <v>34.730068409516001</v>
      </c>
      <c r="AI3897">
        <v>91.847564469849402</v>
      </c>
      <c r="AJ3897">
        <v>92.420954750068205</v>
      </c>
      <c r="AK3897">
        <v>34.779174787679999</v>
      </c>
      <c r="AL3897">
        <v>80.1002213678468</v>
      </c>
      <c r="AM3897">
        <v>90.214813112756801</v>
      </c>
      <c r="AN3897">
        <v>1.00000003366628</v>
      </c>
    </row>
    <row r="3898" spans="1:40" x14ac:dyDescent="0.25">
      <c r="A3898" t="str">
        <f>"20190303161949989"</f>
        <v>20190303161949989</v>
      </c>
      <c r="B3898" t="str">
        <f>"1551601189985990"</f>
        <v>1551601189985990</v>
      </c>
      <c r="C3898" t="s">
        <v>40</v>
      </c>
      <c r="D3898">
        <v>4.5080419999999997</v>
      </c>
      <c r="E3898">
        <v>0.4861028</v>
      </c>
      <c r="F3898" t="s">
        <v>52</v>
      </c>
      <c r="G3898">
        <v>-464.89150000000001</v>
      </c>
      <c r="H3898" s="1">
        <v>1.169024E-6</v>
      </c>
      <c r="I3898">
        <v>282.26519999999999</v>
      </c>
      <c r="J3898">
        <v>-430.33440000000002</v>
      </c>
      <c r="K3898">
        <v>1.1212949999999999</v>
      </c>
      <c r="L3898">
        <v>283.71559999999999</v>
      </c>
      <c r="M3898">
        <v>-0.99992360000000002</v>
      </c>
      <c r="N3898">
        <v>-1.2358650000000001E-2</v>
      </c>
      <c r="O3898">
        <v>-4.8839659999999998E-4</v>
      </c>
      <c r="P3898">
        <v>-0.98723190000000005</v>
      </c>
      <c r="Q3898">
        <v>0.159228799999999</v>
      </c>
      <c r="R3898">
        <v>-4.4188229999999997E-3</v>
      </c>
      <c r="S3898">
        <v>-3.054443</v>
      </c>
      <c r="T3898">
        <v>-9.8589540000000003E-2</v>
      </c>
      <c r="U3898">
        <v>-0.12753299999999901</v>
      </c>
      <c r="V3898">
        <v>-3.895697E-3</v>
      </c>
      <c r="W3898">
        <v>0.1714184</v>
      </c>
      <c r="X3898">
        <v>0.98519060000000003</v>
      </c>
      <c r="Y3898">
        <v>-4.1199359999999997E-2</v>
      </c>
      <c r="Z3898">
        <v>-9.0951789999999997E-4</v>
      </c>
      <c r="AA3898">
        <v>0.99915050000000005</v>
      </c>
      <c r="AB3898">
        <v>27</v>
      </c>
      <c r="AC3898">
        <v>-34.557099999999899</v>
      </c>
      <c r="AD3898">
        <v>-1.1212938309759899</v>
      </c>
      <c r="AE3898">
        <v>-1.4503999999999999</v>
      </c>
      <c r="AF3898">
        <v>-1.4320159302703199</v>
      </c>
      <c r="AG3898">
        <v>-1.1212938309759899</v>
      </c>
      <c r="AH3898">
        <v>34.521522416134502</v>
      </c>
      <c r="AI3898">
        <v>91.858773167429703</v>
      </c>
      <c r="AJ3898">
        <v>92.375371952553294</v>
      </c>
      <c r="AK3898">
        <v>34.569400911899102</v>
      </c>
      <c r="AL3898">
        <v>80.129701743828306</v>
      </c>
      <c r="AM3898">
        <v>90.226561066464299</v>
      </c>
      <c r="AN3898">
        <v>0.99999998132101697</v>
      </c>
    </row>
    <row r="3899" spans="1:40" x14ac:dyDescent="0.25">
      <c r="A3899" t="str">
        <f>"20190303161950005"</f>
        <v>20190303161950005</v>
      </c>
      <c r="B3899" t="str">
        <f>"1551601189995751"</f>
        <v>1551601189995751</v>
      </c>
      <c r="C3899" t="s">
        <v>40</v>
      </c>
      <c r="D3899">
        <v>4.4970720000000002</v>
      </c>
      <c r="E3899">
        <v>0.45592500000000002</v>
      </c>
      <c r="F3899" t="s">
        <v>52</v>
      </c>
      <c r="G3899">
        <v>-464.43549999999999</v>
      </c>
      <c r="H3899" s="1">
        <v>9.2585789999999996E-7</v>
      </c>
      <c r="I3899">
        <v>282.2765</v>
      </c>
      <c r="J3899">
        <v>-430.52519999999998</v>
      </c>
      <c r="K3899">
        <v>1.121289</v>
      </c>
      <c r="L3899">
        <v>283.71559999999999</v>
      </c>
      <c r="M3899">
        <v>-0.99992360000000002</v>
      </c>
      <c r="N3899">
        <v>-1.2358060000000001E-2</v>
      </c>
      <c r="O3899">
        <v>-4.1079350000000002E-4</v>
      </c>
      <c r="P3899">
        <v>-0.98727549999999997</v>
      </c>
      <c r="Q3899">
        <v>0.15895519999999999</v>
      </c>
      <c r="R3899">
        <v>-4.5381559999999998E-3</v>
      </c>
      <c r="S3899">
        <v>-3.054443</v>
      </c>
      <c r="T3899">
        <v>-0.1004343</v>
      </c>
      <c r="U3899">
        <v>-0.1289063</v>
      </c>
      <c r="V3899">
        <v>-4.0922600000000003E-3</v>
      </c>
      <c r="W3899">
        <v>0.17114499999999999</v>
      </c>
      <c r="X3899">
        <v>0.98523740000000004</v>
      </c>
      <c r="Y3899">
        <v>-4.1723969999999999E-2</v>
      </c>
      <c r="Z3899">
        <v>-9.3509059999999995E-4</v>
      </c>
      <c r="AA3899">
        <v>0.99912880000000004</v>
      </c>
      <c r="AB3899">
        <v>27</v>
      </c>
      <c r="AC3899">
        <v>-33.910299999999999</v>
      </c>
      <c r="AD3899">
        <v>-1.1212880741421001</v>
      </c>
      <c r="AE3899">
        <v>-1.4390999999999901</v>
      </c>
      <c r="AF3899">
        <v>-1.42361493075542</v>
      </c>
      <c r="AG3899">
        <v>-1.1212880741421001</v>
      </c>
      <c r="AH3899">
        <v>33.873917875250001</v>
      </c>
      <c r="AI3899">
        <v>91.894230987624198</v>
      </c>
      <c r="AJ3899">
        <v>92.406546400736303</v>
      </c>
      <c r="AK3899">
        <v>33.922356619719999</v>
      </c>
      <c r="AL3899">
        <v>80.145602017109297</v>
      </c>
      <c r="AM3899">
        <v>90.237981098071998</v>
      </c>
      <c r="AN3899">
        <v>1.00000004598783</v>
      </c>
    </row>
    <row r="3900" spans="1:40" x14ac:dyDescent="0.25">
      <c r="A3900" t="str">
        <f>"20190303161950023"</f>
        <v>20190303161950023</v>
      </c>
      <c r="B3900" t="str">
        <f>"1551601190016248"</f>
        <v>1551601190016248</v>
      </c>
      <c r="C3900" t="s">
        <v>40</v>
      </c>
      <c r="D3900">
        <v>4.4997439999999997</v>
      </c>
      <c r="E3900">
        <v>0.4517581</v>
      </c>
      <c r="F3900" t="s">
        <v>52</v>
      </c>
      <c r="G3900">
        <v>-469.82929999999999</v>
      </c>
      <c r="H3900">
        <v>8.0000290000000002E-2</v>
      </c>
      <c r="I3900">
        <v>278.94760000000002</v>
      </c>
      <c r="J3900">
        <v>-430.73860000000002</v>
      </c>
      <c r="K3900">
        <v>1.121289</v>
      </c>
      <c r="L3900">
        <v>283.71570000000003</v>
      </c>
      <c r="M3900">
        <v>-0.99992360000000002</v>
      </c>
      <c r="N3900">
        <v>-1.235729E-2</v>
      </c>
      <c r="O3900">
        <v>-3.2460410000000002E-4</v>
      </c>
      <c r="P3900">
        <v>-0.98735329999999999</v>
      </c>
      <c r="Q3900">
        <v>0.1584585</v>
      </c>
      <c r="R3900">
        <v>-4.9359859999999998E-3</v>
      </c>
      <c r="S3900">
        <v>-3.0499879999999999</v>
      </c>
      <c r="T3900">
        <v>-8.0803749999999994E-2</v>
      </c>
      <c r="U3900">
        <v>-0.36999510000000002</v>
      </c>
      <c r="V3900">
        <v>-4.5746720000000001E-3</v>
      </c>
      <c r="W3900">
        <v>0.17064889999999999</v>
      </c>
      <c r="X3900">
        <v>0.98532129999999996</v>
      </c>
      <c r="Y3900">
        <v>-0.1200441</v>
      </c>
      <c r="Z3900">
        <v>-2.324156E-3</v>
      </c>
      <c r="AA3900">
        <v>0.99276580000000003</v>
      </c>
      <c r="AB3900">
        <v>27</v>
      </c>
      <c r="AC3900">
        <v>-39.090699999999899</v>
      </c>
      <c r="AD3900">
        <v>-1.0412887099999999</v>
      </c>
      <c r="AE3900">
        <v>-4.7680999999999996</v>
      </c>
      <c r="AF3900">
        <v>-4.7520872706561104</v>
      </c>
      <c r="AG3900">
        <v>-1.0412887099999999</v>
      </c>
      <c r="AH3900">
        <v>39.064932848849402</v>
      </c>
      <c r="AI3900">
        <v>91.5157083526082</v>
      </c>
      <c r="AJ3900">
        <v>96.935717293352894</v>
      </c>
      <c r="AK3900">
        <v>39.366681268435798</v>
      </c>
      <c r="AL3900">
        <v>80.174450586947302</v>
      </c>
      <c r="AM3900">
        <v>90.266012228655697</v>
      </c>
      <c r="AN3900">
        <v>1.0000000194644001</v>
      </c>
    </row>
    <row r="3901" spans="1:40" x14ac:dyDescent="0.25">
      <c r="A3901" t="str">
        <f>"20190303161950039"</f>
        <v>20190303161950039</v>
      </c>
      <c r="B3901" t="str">
        <f>"1551601190026078"</f>
        <v>1551601190026078</v>
      </c>
      <c r="C3901" t="s">
        <v>40</v>
      </c>
      <c r="D3901">
        <v>4.505477</v>
      </c>
      <c r="E3901">
        <v>0.4513065</v>
      </c>
      <c r="F3901" t="s">
        <v>52</v>
      </c>
      <c r="G3901">
        <v>-467.6354</v>
      </c>
      <c r="H3901">
        <v>8.0000940000000006E-2</v>
      </c>
      <c r="I3901">
        <v>278.82249999999999</v>
      </c>
      <c r="J3901">
        <v>-430.9307</v>
      </c>
      <c r="K3901">
        <v>1.121291</v>
      </c>
      <c r="L3901">
        <v>283.71570000000003</v>
      </c>
      <c r="M3901">
        <v>-0.99992360000000002</v>
      </c>
      <c r="N3901">
        <v>-1.2356610000000001E-2</v>
      </c>
      <c r="O3901">
        <v>-2.4687800000000002E-4</v>
      </c>
      <c r="P3901">
        <v>-0.98736250000000003</v>
      </c>
      <c r="Q3901">
        <v>0.15839139999999999</v>
      </c>
      <c r="R3901">
        <v>-5.2484819999999996E-3</v>
      </c>
      <c r="S3901">
        <v>-3.0502009999999999</v>
      </c>
      <c r="T3901">
        <v>-8.6081740000000004E-2</v>
      </c>
      <c r="U3901">
        <v>-0.4045105</v>
      </c>
      <c r="V3901">
        <v>-4.9642260000000004E-3</v>
      </c>
      <c r="W3901">
        <v>0.1705807</v>
      </c>
      <c r="X3901">
        <v>0.98533119999999996</v>
      </c>
      <c r="Y3901">
        <v>-0.13114779999999901</v>
      </c>
      <c r="Z3901">
        <v>-2.65234E-3</v>
      </c>
      <c r="AA3901">
        <v>0.99135930000000005</v>
      </c>
      <c r="AB3901">
        <v>27</v>
      </c>
      <c r="AC3901">
        <v>-36.704700000000003</v>
      </c>
      <c r="AD3901">
        <v>-1.0412900599999999</v>
      </c>
      <c r="AE3901">
        <v>-4.8932000000000304</v>
      </c>
      <c r="AF3901">
        <v>-4.8802784043653702</v>
      </c>
      <c r="AG3901">
        <v>-1.0412900599999999</v>
      </c>
      <c r="AH3901">
        <v>36.676904048655999</v>
      </c>
      <c r="AI3901">
        <v>91.612040860356799</v>
      </c>
      <c r="AJ3901">
        <v>97.579331585174501</v>
      </c>
      <c r="AK3901">
        <v>37.014817207268301</v>
      </c>
      <c r="AL3901">
        <v>80.178416074635095</v>
      </c>
      <c r="AM3901">
        <v>90.288661103854494</v>
      </c>
      <c r="AN3901">
        <v>0.99999999622285396</v>
      </c>
    </row>
    <row r="3902" spans="1:40" x14ac:dyDescent="0.25">
      <c r="A3902" t="str">
        <f>"20190303161950056"</f>
        <v>20190303161950056</v>
      </c>
      <c r="B3902" t="str">
        <f>"1551601190046573"</f>
        <v>1551601190046573</v>
      </c>
      <c r="C3902" t="s">
        <v>40</v>
      </c>
      <c r="D3902">
        <v>4.449802</v>
      </c>
      <c r="E3902">
        <v>0.45113110000000001</v>
      </c>
      <c r="F3902" t="s">
        <v>52</v>
      </c>
      <c r="G3902">
        <v>-467.01170000000002</v>
      </c>
      <c r="H3902">
        <v>8.0001130000000004E-2</v>
      </c>
      <c r="I3902">
        <v>278.87790000000001</v>
      </c>
      <c r="J3902">
        <v>-431.13319999999999</v>
      </c>
      <c r="K3902">
        <v>1.121292</v>
      </c>
      <c r="L3902">
        <v>283.71570000000003</v>
      </c>
      <c r="M3902">
        <v>-0.99992369999999997</v>
      </c>
      <c r="N3902">
        <v>-1.235589E-2</v>
      </c>
      <c r="O3902">
        <v>-1.6509860000000001E-4</v>
      </c>
      <c r="P3902">
        <v>-0.98740760000000005</v>
      </c>
      <c r="Q3902">
        <v>0.15808729999999999</v>
      </c>
      <c r="R3902">
        <v>-5.8711880000000003E-3</v>
      </c>
      <c r="S3902">
        <v>-3.050354</v>
      </c>
      <c r="T3902">
        <v>-8.8032479999999996E-2</v>
      </c>
      <c r="U3902">
        <v>-0.40899659999999999</v>
      </c>
      <c r="V3902">
        <v>-5.6678800000000001E-3</v>
      </c>
      <c r="W3902">
        <v>0.17027719999999999</v>
      </c>
      <c r="X3902">
        <v>0.98537989999999998</v>
      </c>
      <c r="Y3902">
        <v>-0.13265099999999999</v>
      </c>
      <c r="Z3902">
        <v>-2.72594E-3</v>
      </c>
      <c r="AA3902">
        <v>0.99115909999999996</v>
      </c>
      <c r="AB3902">
        <v>27</v>
      </c>
      <c r="AC3902">
        <v>-35.878500000000003</v>
      </c>
      <c r="AD3902">
        <v>-1.0412908700000001</v>
      </c>
      <c r="AE3902">
        <v>-4.8378000000000103</v>
      </c>
      <c r="AF3902">
        <v>-4.8278820012760297</v>
      </c>
      <c r="AG3902">
        <v>-1.0412908700000001</v>
      </c>
      <c r="AH3902">
        <v>35.849640739728102</v>
      </c>
      <c r="AI3902">
        <v>91.648872417792902</v>
      </c>
      <c r="AJ3902">
        <v>97.669894857628094</v>
      </c>
      <c r="AK3902">
        <v>36.188250475282203</v>
      </c>
      <c r="AL3902">
        <v>80.196063549336898</v>
      </c>
      <c r="AM3902">
        <v>90.329560224875905</v>
      </c>
      <c r="AN3902">
        <v>0.99999999851377197</v>
      </c>
    </row>
    <row r="3903" spans="1:40" x14ac:dyDescent="0.25">
      <c r="A3903" t="str">
        <f>"20190303161950078"</f>
        <v>20190303161950078</v>
      </c>
      <c r="B3903" t="str">
        <f>"1551601190066093"</f>
        <v>1551601190066093</v>
      </c>
      <c r="C3903" t="s">
        <v>40</v>
      </c>
      <c r="D3903">
        <v>4.4686269999999997</v>
      </c>
      <c r="E3903">
        <v>0.4515342</v>
      </c>
      <c r="F3903" t="s">
        <v>52</v>
      </c>
      <c r="G3903">
        <v>-465.9692</v>
      </c>
      <c r="H3903">
        <v>8.0001420000000004E-2</v>
      </c>
      <c r="I3903">
        <v>279.01400000000001</v>
      </c>
      <c r="J3903">
        <v>-431.40879999999999</v>
      </c>
      <c r="K3903">
        <v>1.1212959999999901</v>
      </c>
      <c r="L3903">
        <v>283.7158</v>
      </c>
      <c r="M3903">
        <v>-0.99992380000000003</v>
      </c>
      <c r="N3903">
        <v>-1.235493E-2</v>
      </c>
      <c r="O3903" s="1">
        <v>-5.3874179999999999E-5</v>
      </c>
      <c r="P3903">
        <v>-0.98745910000000003</v>
      </c>
      <c r="Q3903">
        <v>0.15775529999999999</v>
      </c>
      <c r="R3903">
        <v>-6.174573E-3</v>
      </c>
      <c r="S3903">
        <v>-3.050446</v>
      </c>
      <c r="T3903">
        <v>-9.1181520000000002E-2</v>
      </c>
      <c r="U3903">
        <v>-0.41171259999999998</v>
      </c>
      <c r="V3903">
        <v>-6.0807769999999999E-3</v>
      </c>
      <c r="W3903">
        <v>0.16994500000000001</v>
      </c>
      <c r="X3903">
        <v>0.98543480000000006</v>
      </c>
      <c r="Y3903">
        <v>-0.13361870000000001</v>
      </c>
      <c r="Z3903">
        <v>-2.81606E-3</v>
      </c>
      <c r="AA3903">
        <v>0.99102880000000004</v>
      </c>
      <c r="AB3903">
        <v>27</v>
      </c>
      <c r="AC3903">
        <v>-34.560400000000001</v>
      </c>
      <c r="AD3903">
        <v>-1.04129457999999</v>
      </c>
      <c r="AE3903">
        <v>-4.7017999999999898</v>
      </c>
      <c r="AF3903">
        <v>-4.6957526028098604</v>
      </c>
      <c r="AG3903">
        <v>-1.04129457999999</v>
      </c>
      <c r="AH3903">
        <v>34.529876714943903</v>
      </c>
      <c r="AI3903">
        <v>91.711562887724199</v>
      </c>
      <c r="AJ3903">
        <v>97.744204473867299</v>
      </c>
      <c r="AK3903">
        <v>34.8632582077229</v>
      </c>
      <c r="AL3903">
        <v>80.215378861162804</v>
      </c>
      <c r="AM3903">
        <v>90.353547932668604</v>
      </c>
      <c r="AN3903">
        <v>1.0000000119624799</v>
      </c>
    </row>
    <row r="3904" spans="1:40" x14ac:dyDescent="0.25">
      <c r="A3904" t="str">
        <f>"20190303161950093"</f>
        <v>20190303161950093</v>
      </c>
      <c r="B3904" t="str">
        <f>"1551601190086591"</f>
        <v>1551601190086591</v>
      </c>
      <c r="C3904" t="s">
        <v>40</v>
      </c>
      <c r="D3904">
        <v>4.5043030000000002</v>
      </c>
      <c r="E3904">
        <v>0.45166699999999999</v>
      </c>
      <c r="F3904" t="s">
        <v>52</v>
      </c>
      <c r="G3904">
        <v>-467.07960000000003</v>
      </c>
      <c r="H3904">
        <v>8.0001089999999997E-2</v>
      </c>
      <c r="I3904">
        <v>278.93189999999998</v>
      </c>
      <c r="J3904">
        <v>-431.58319999999998</v>
      </c>
      <c r="K3904">
        <v>1.1212949999999999</v>
      </c>
      <c r="L3904">
        <v>283.71589999999998</v>
      </c>
      <c r="M3904">
        <v>-0.99992369999999997</v>
      </c>
      <c r="N3904">
        <v>-1.235434E-2</v>
      </c>
      <c r="O3904" s="1">
        <v>1.6935369999999998E-5</v>
      </c>
      <c r="P3904">
        <v>-0.98747450000000003</v>
      </c>
      <c r="Q3904">
        <v>0.15763959999999999</v>
      </c>
      <c r="R3904">
        <v>-6.6354480000000004E-3</v>
      </c>
      <c r="S3904">
        <v>-3.0498349999999999</v>
      </c>
      <c r="T3904">
        <v>-8.9030390000000001E-2</v>
      </c>
      <c r="U3904">
        <v>-0.40902709999999998</v>
      </c>
      <c r="V3904">
        <v>-6.6118879999999998E-3</v>
      </c>
      <c r="W3904">
        <v>0.1698289</v>
      </c>
      <c r="X3904">
        <v>0.98545139999999998</v>
      </c>
      <c r="Y3904">
        <v>-0.1328617</v>
      </c>
      <c r="Z3904">
        <v>-2.7551199999999998E-3</v>
      </c>
      <c r="AA3904">
        <v>0.99113079999999998</v>
      </c>
      <c r="AB3904">
        <v>27</v>
      </c>
      <c r="AC3904">
        <v>-35.496400000000001</v>
      </c>
      <c r="AD3904">
        <v>-1.04129391</v>
      </c>
      <c r="AE3904">
        <v>-4.78399999999999</v>
      </c>
      <c r="AF3904">
        <v>-4.78056065280576</v>
      </c>
      <c r="AG3904">
        <v>-1.04129391</v>
      </c>
      <c r="AH3904">
        <v>35.466342763724803</v>
      </c>
      <c r="AI3904">
        <v>91.666660552884906</v>
      </c>
      <c r="AJ3904">
        <v>97.676713689051894</v>
      </c>
      <c r="AK3904">
        <v>35.802227894310903</v>
      </c>
      <c r="AL3904">
        <v>80.222129074677397</v>
      </c>
      <c r="AM3904">
        <v>90.384420370673197</v>
      </c>
      <c r="AN3904">
        <v>1.00000001705004</v>
      </c>
    </row>
    <row r="3905" spans="1:40" x14ac:dyDescent="0.25">
      <c r="A3905" t="str">
        <f>"20190303161950108"</f>
        <v>20190303161950108</v>
      </c>
      <c r="B3905" t="str">
        <f>"1551601190096350"</f>
        <v>1551601190096350</v>
      </c>
      <c r="C3905" t="s">
        <v>40</v>
      </c>
      <c r="D3905">
        <v>4.509169</v>
      </c>
      <c r="E3905">
        <v>0.45178629999999997</v>
      </c>
      <c r="F3905" t="s">
        <v>52</v>
      </c>
      <c r="G3905">
        <v>-468.25470000000001</v>
      </c>
      <c r="H3905">
        <v>8.0000760000000004E-2</v>
      </c>
      <c r="I3905">
        <v>278.79689999999999</v>
      </c>
      <c r="J3905">
        <v>-431.7484</v>
      </c>
      <c r="K3905">
        <v>1.1212899999999999</v>
      </c>
      <c r="L3905">
        <v>283.71600000000001</v>
      </c>
      <c r="M3905">
        <v>-0.99992380000000003</v>
      </c>
      <c r="N3905">
        <v>-1.23538E-2</v>
      </c>
      <c r="O3905" s="1">
        <v>8.3869740000000004E-5</v>
      </c>
      <c r="P3905">
        <v>-0.98750470000000001</v>
      </c>
      <c r="Q3905">
        <v>0.15743109999999999</v>
      </c>
      <c r="R3905">
        <v>-7.0735729999999997E-3</v>
      </c>
      <c r="S3905">
        <v>-3.0491329999999999</v>
      </c>
      <c r="T3905">
        <v>-8.6580870000000004E-2</v>
      </c>
      <c r="U3905">
        <v>-0.40899659999999999</v>
      </c>
      <c r="V3905">
        <v>-7.1163499999999996E-3</v>
      </c>
      <c r="W3905">
        <v>0.1696203</v>
      </c>
      <c r="X3905">
        <v>0.98548380000000002</v>
      </c>
      <c r="Y3905">
        <v>-0.13295190000000001</v>
      </c>
      <c r="Z3905">
        <v>-2.7053099999999998E-3</v>
      </c>
      <c r="AA3905">
        <v>0.99111879999999997</v>
      </c>
      <c r="AB3905">
        <v>27</v>
      </c>
      <c r="AC3905">
        <v>-36.506300000000003</v>
      </c>
      <c r="AD3905">
        <v>-1.04128923999999</v>
      </c>
      <c r="AE3905">
        <v>-4.91910000000001</v>
      </c>
      <c r="AF3905">
        <v>-4.9182319086725901</v>
      </c>
      <c r="AG3905">
        <v>-1.04128923999999</v>
      </c>
      <c r="AH3905">
        <v>36.476739291827897</v>
      </c>
      <c r="AI3905">
        <v>91.6205034848807</v>
      </c>
      <c r="AJ3905">
        <v>97.678994459829596</v>
      </c>
      <c r="AK3905">
        <v>36.821539861238897</v>
      </c>
      <c r="AL3905">
        <v>80.234256805326893</v>
      </c>
      <c r="AM3905">
        <v>90.413735602316294</v>
      </c>
      <c r="AN3905">
        <v>1.0000000043359201</v>
      </c>
    </row>
    <row r="3906" spans="1:40" x14ac:dyDescent="0.25">
      <c r="A3906" t="str">
        <f>"20190303161950122"</f>
        <v>20190303161950122</v>
      </c>
      <c r="B3906" t="str">
        <f>"1551601190115870"</f>
        <v>1551601190115870</v>
      </c>
      <c r="C3906" t="s">
        <v>40</v>
      </c>
      <c r="D3906">
        <v>4.4913740000000004</v>
      </c>
      <c r="E3906">
        <v>0.45215430000000001</v>
      </c>
      <c r="F3906" t="s">
        <v>52</v>
      </c>
      <c r="G3906">
        <v>-468.22770000000003</v>
      </c>
      <c r="H3906">
        <v>8.0000769999999999E-2</v>
      </c>
      <c r="I3906">
        <v>278.82069999999999</v>
      </c>
      <c r="J3906">
        <v>-431.94049999999999</v>
      </c>
      <c r="K3906">
        <v>1.1212899999999999</v>
      </c>
      <c r="L3906">
        <v>283.71600000000001</v>
      </c>
      <c r="M3906">
        <v>-0.99992369999999997</v>
      </c>
      <c r="N3906">
        <v>-1.235318E-2</v>
      </c>
      <c r="O3906">
        <v>1.617139E-4</v>
      </c>
      <c r="P3906">
        <v>-0.98752260000000003</v>
      </c>
      <c r="Q3906">
        <v>0.15731059999999999</v>
      </c>
      <c r="R3906">
        <v>-7.2417089999999998E-3</v>
      </c>
      <c r="S3906">
        <v>-3.0489199999999999</v>
      </c>
      <c r="T3906">
        <v>-8.7030529999999995E-2</v>
      </c>
      <c r="U3906">
        <v>-0.40914919999999999</v>
      </c>
      <c r="V3906">
        <v>-7.3613289999999998E-3</v>
      </c>
      <c r="W3906">
        <v>0.1694995</v>
      </c>
      <c r="X3906">
        <v>0.98550280000000001</v>
      </c>
      <c r="Y3906">
        <v>-0.13308619999999999</v>
      </c>
      <c r="Z3906">
        <v>-2.7191590000000001E-3</v>
      </c>
      <c r="AA3906">
        <v>0.99110069999999995</v>
      </c>
      <c r="AB3906">
        <v>27</v>
      </c>
      <c r="AC3906">
        <v>-36.287199999999999</v>
      </c>
      <c r="AD3906">
        <v>-1.0412892299999901</v>
      </c>
      <c r="AE3906">
        <v>-4.8953000000000104</v>
      </c>
      <c r="AF3906">
        <v>-4.8972080134521496</v>
      </c>
      <c r="AG3906">
        <v>-1.0412892299999901</v>
      </c>
      <c r="AH3906">
        <v>36.2570856650472</v>
      </c>
      <c r="AI3906">
        <v>91.6302643847512</v>
      </c>
      <c r="AJ3906">
        <v>97.692329931474305</v>
      </c>
      <c r="AK3906">
        <v>36.601136464734402</v>
      </c>
      <c r="AL3906">
        <v>80.241279976510199</v>
      </c>
      <c r="AM3906">
        <v>90.427969600154597</v>
      </c>
      <c r="AN3906">
        <v>1.0000000192363601</v>
      </c>
    </row>
    <row r="3907" spans="1:40" x14ac:dyDescent="0.25">
      <c r="A3907" t="str">
        <f>"20190303161950146"</f>
        <v>20190303161950146</v>
      </c>
      <c r="B3907" t="str">
        <f>"1551601190136365"</f>
        <v>1551601190136365</v>
      </c>
      <c r="C3907" t="s">
        <v>40</v>
      </c>
      <c r="D3907">
        <v>4.4946590000000004</v>
      </c>
      <c r="E3907">
        <v>0.45249780000000001</v>
      </c>
      <c r="F3907" t="s">
        <v>52</v>
      </c>
      <c r="G3907">
        <v>-468.0324</v>
      </c>
      <c r="H3907">
        <v>8.0000829999999995E-2</v>
      </c>
      <c r="I3907">
        <v>278.90449999999998</v>
      </c>
      <c r="J3907">
        <v>-432.20960000000002</v>
      </c>
      <c r="K3907">
        <v>1.121289</v>
      </c>
      <c r="L3907">
        <v>283.71620000000001</v>
      </c>
      <c r="M3907">
        <v>-0.99992369999999997</v>
      </c>
      <c r="N3907">
        <v>-1.235231E-2</v>
      </c>
      <c r="O3907">
        <v>2.7032E-4</v>
      </c>
      <c r="P3907">
        <v>-0.98753789999999997</v>
      </c>
      <c r="Q3907">
        <v>0.15720120000000001</v>
      </c>
      <c r="R3907">
        <v>-7.5571759999999997E-3</v>
      </c>
      <c r="S3907">
        <v>-3.0489199999999999</v>
      </c>
      <c r="T3907">
        <v>-8.7964529999999999E-2</v>
      </c>
      <c r="U3907">
        <v>-0.40646359999999998</v>
      </c>
      <c r="V3907">
        <v>-7.783941E-3</v>
      </c>
      <c r="W3907">
        <v>0.1693895</v>
      </c>
      <c r="X3907">
        <v>0.98551849999999996</v>
      </c>
      <c r="Y3907">
        <v>-0.13233519999999999</v>
      </c>
      <c r="Z3907">
        <v>-2.7258389999999999E-3</v>
      </c>
      <c r="AA3907">
        <v>0.99120129999999995</v>
      </c>
      <c r="AB3907">
        <v>27</v>
      </c>
      <c r="AC3907">
        <v>-35.822799999999901</v>
      </c>
      <c r="AD3907">
        <v>-1.0412881700000001</v>
      </c>
      <c r="AE3907">
        <v>-4.8117000000000303</v>
      </c>
      <c r="AF3907">
        <v>-4.8173859437244397</v>
      </c>
      <c r="AG3907">
        <v>-1.0412881700000001</v>
      </c>
      <c r="AH3907">
        <v>35.791792132260298</v>
      </c>
      <c r="AI3907">
        <v>91.651548158380294</v>
      </c>
      <c r="AJ3907">
        <v>97.665640870667801</v>
      </c>
      <c r="AK3907">
        <v>36.1295429312731</v>
      </c>
      <c r="AL3907">
        <v>80.247675319607097</v>
      </c>
      <c r="AM3907">
        <v>90.452531021543294</v>
      </c>
      <c r="AN3907">
        <v>1.00000005314499</v>
      </c>
    </row>
    <row r="3908" spans="1:40" x14ac:dyDescent="0.25">
      <c r="A3908" t="str">
        <f>"20190303161950167"</f>
        <v>20190303161950167</v>
      </c>
      <c r="B3908" t="str">
        <f>"1551601190155886"</f>
        <v>1551601190155886</v>
      </c>
      <c r="C3908" t="s">
        <v>40</v>
      </c>
      <c r="D3908">
        <v>4.4566910000000002</v>
      </c>
      <c r="E3908">
        <v>0.45275490000000002</v>
      </c>
      <c r="F3908" t="s">
        <v>52</v>
      </c>
      <c r="G3908">
        <v>-468.70909999999998</v>
      </c>
      <c r="H3908">
        <v>8.0000619999999995E-2</v>
      </c>
      <c r="I3908">
        <v>278.86689999999999</v>
      </c>
      <c r="J3908">
        <v>-432.47289999999998</v>
      </c>
      <c r="K3908">
        <v>1.1212869999999999</v>
      </c>
      <c r="L3908">
        <v>283.71640000000002</v>
      </c>
      <c r="M3908">
        <v>-0.99992369999999997</v>
      </c>
      <c r="N3908">
        <v>-1.235144E-2</v>
      </c>
      <c r="O3908">
        <v>3.768353E-4</v>
      </c>
      <c r="P3908">
        <v>-0.98754339999999996</v>
      </c>
      <c r="Q3908">
        <v>0.1571515</v>
      </c>
      <c r="R3908">
        <v>-7.8574939999999996E-3</v>
      </c>
      <c r="S3908">
        <v>-3.048584</v>
      </c>
      <c r="T3908">
        <v>-8.6972480000000005E-2</v>
      </c>
      <c r="U3908">
        <v>-0.40502929999999998</v>
      </c>
      <c r="V3908">
        <v>-8.1895630000000004E-3</v>
      </c>
      <c r="W3908">
        <v>0.1693392</v>
      </c>
      <c r="X3908">
        <v>0.98552379999999995</v>
      </c>
      <c r="Y3908">
        <v>-0.13199849999999999</v>
      </c>
      <c r="Z3908">
        <v>-2.6993529999999998E-3</v>
      </c>
      <c r="AA3908">
        <v>0.99124619999999997</v>
      </c>
      <c r="AB3908">
        <v>27</v>
      </c>
      <c r="AC3908">
        <v>-36.236199999999997</v>
      </c>
      <c r="AD3908">
        <v>-1.0412863800000001</v>
      </c>
      <c r="AE3908">
        <v>-4.8495000000000301</v>
      </c>
      <c r="AF3908">
        <v>-4.85921382257232</v>
      </c>
      <c r="AG3908">
        <v>-1.0412863800000001</v>
      </c>
      <c r="AH3908">
        <v>36.204999144021698</v>
      </c>
      <c r="AI3908">
        <v>91.632788567728298</v>
      </c>
      <c r="AJ3908">
        <v>97.644208636107805</v>
      </c>
      <c r="AK3908">
        <v>36.5444687923804</v>
      </c>
      <c r="AL3908">
        <v>80.250598989017604</v>
      </c>
      <c r="AM3908">
        <v>90.476108842595096</v>
      </c>
      <c r="AN3908">
        <v>0.999999996982605</v>
      </c>
    </row>
    <row r="3909" spans="1:40" x14ac:dyDescent="0.25">
      <c r="A3909" t="str">
        <f>"20190303161950183"</f>
        <v>20190303161950183</v>
      </c>
      <c r="B3909" t="str">
        <f>"1551601190176382"</f>
        <v>1551601190176382</v>
      </c>
      <c r="C3909" t="s">
        <v>40</v>
      </c>
      <c r="D3909">
        <v>4.5075849999999997</v>
      </c>
      <c r="E3909">
        <v>0.45276880000000003</v>
      </c>
      <c r="F3909" t="s">
        <v>52</v>
      </c>
      <c r="G3909">
        <v>-469.30709999999999</v>
      </c>
      <c r="H3909">
        <v>8.0000450000000001E-2</v>
      </c>
      <c r="I3909">
        <v>278.84109999999998</v>
      </c>
      <c r="J3909">
        <v>-432.66309999999999</v>
      </c>
      <c r="K3909">
        <v>1.1212879999999901</v>
      </c>
      <c r="L3909">
        <v>283.71660000000003</v>
      </c>
      <c r="M3909">
        <v>-0.99992380000000003</v>
      </c>
      <c r="N3909">
        <v>-1.235079E-2</v>
      </c>
      <c r="O3909">
        <v>4.5354770000000002E-4</v>
      </c>
      <c r="P3909">
        <v>-0.98757919999999999</v>
      </c>
      <c r="Q3909">
        <v>0.1569169</v>
      </c>
      <c r="R3909">
        <v>-8.0487059999999992E-3</v>
      </c>
      <c r="S3909">
        <v>-3.0483699999999998</v>
      </c>
      <c r="T3909">
        <v>-8.6176160000000002E-2</v>
      </c>
      <c r="U3909">
        <v>-0.40347290000000002</v>
      </c>
      <c r="V3909">
        <v>-8.4563620000000003E-3</v>
      </c>
      <c r="W3909">
        <v>0.16910430000000001</v>
      </c>
      <c r="X3909">
        <v>0.98556189999999999</v>
      </c>
      <c r="Y3909">
        <v>-0.1315876</v>
      </c>
      <c r="Z3909">
        <v>-2.6751050000000001E-3</v>
      </c>
      <c r="AA3909">
        <v>0.99130090000000004</v>
      </c>
      <c r="AB3909">
        <v>27</v>
      </c>
      <c r="AC3909">
        <v>-36.643999999999998</v>
      </c>
      <c r="AD3909">
        <v>-1.0412875499999901</v>
      </c>
      <c r="AE3909">
        <v>-4.8755000000000397</v>
      </c>
      <c r="AF3909">
        <v>-4.8882420321386801</v>
      </c>
      <c r="AG3909">
        <v>-1.0412875499999901</v>
      </c>
      <c r="AH3909">
        <v>36.612734734938002</v>
      </c>
      <c r="AI3909">
        <v>91.614765552688098</v>
      </c>
      <c r="AJ3909">
        <v>97.604705155015495</v>
      </c>
      <c r="AK3909">
        <v>36.952287272880497</v>
      </c>
      <c r="AL3909">
        <v>80.264254902682893</v>
      </c>
      <c r="AM3909">
        <v>90.491599729143303</v>
      </c>
      <c r="AN3909">
        <v>1.00000001653418</v>
      </c>
    </row>
    <row r="3910" spans="1:40" x14ac:dyDescent="0.25">
      <c r="A3910" t="str">
        <f>"20190303161950201"</f>
        <v>20190303161950201</v>
      </c>
      <c r="B3910" t="str">
        <f>"1551601190195902"</f>
        <v>1551601190195902</v>
      </c>
      <c r="C3910" t="s">
        <v>40</v>
      </c>
      <c r="D3910">
        <v>4.4733320000000001</v>
      </c>
      <c r="E3910">
        <v>0.45264759999999998</v>
      </c>
      <c r="F3910" t="s">
        <v>52</v>
      </c>
      <c r="G3910">
        <v>-468.63510000000002</v>
      </c>
      <c r="H3910">
        <v>8.0000639999999998E-2</v>
      </c>
      <c r="I3910">
        <v>278.9513</v>
      </c>
      <c r="J3910">
        <v>-432.87670000000003</v>
      </c>
      <c r="K3910">
        <v>1.1212899999999999</v>
      </c>
      <c r="L3910">
        <v>283.71679999999998</v>
      </c>
      <c r="M3910">
        <v>-0.99992360000000002</v>
      </c>
      <c r="N3910">
        <v>-1.235006E-2</v>
      </c>
      <c r="O3910">
        <v>5.4068669999999999E-4</v>
      </c>
      <c r="P3910">
        <v>-0.98762260000000002</v>
      </c>
      <c r="Q3910">
        <v>0.15661520000000001</v>
      </c>
      <c r="R3910">
        <v>-8.5733679999999996E-3</v>
      </c>
      <c r="S3910">
        <v>-3.0484619999999998</v>
      </c>
      <c r="T3910">
        <v>-8.8244320000000001E-2</v>
      </c>
      <c r="U3910">
        <v>-0.40383910000000001</v>
      </c>
      <c r="V3910">
        <v>-9.0673030000000005E-3</v>
      </c>
      <c r="W3910">
        <v>0.16880249999999999</v>
      </c>
      <c r="X3910">
        <v>0.98560820000000005</v>
      </c>
      <c r="Y3910">
        <v>-0.13178399999999901</v>
      </c>
      <c r="Z3910">
        <v>-2.725211E-3</v>
      </c>
      <c r="AA3910">
        <v>0.99127469999999995</v>
      </c>
      <c r="AB3910">
        <v>27</v>
      </c>
      <c r="AC3910">
        <v>-35.758399999999902</v>
      </c>
      <c r="AD3910">
        <v>-1.0412893599999999</v>
      </c>
      <c r="AE3910">
        <v>-4.7654999999999701</v>
      </c>
      <c r="AF3910">
        <v>-4.7808515391450701</v>
      </c>
      <c r="AG3910">
        <v>-1.0412893599999999</v>
      </c>
      <c r="AH3910">
        <v>35.726051552391297</v>
      </c>
      <c r="AI3910">
        <v>91.654756378322901</v>
      </c>
      <c r="AJ3910">
        <v>97.622024835074896</v>
      </c>
      <c r="AK3910">
        <v>36.059556077338499</v>
      </c>
      <c r="AL3910">
        <v>80.281798936697598</v>
      </c>
      <c r="AM3910">
        <v>90.5270893016271</v>
      </c>
      <c r="AN3910">
        <v>1.0000000119485899</v>
      </c>
    </row>
    <row r="3911" spans="1:40" x14ac:dyDescent="0.25">
      <c r="A3911" t="str">
        <f>"20190303161950223"</f>
        <v>20190303161950223</v>
      </c>
      <c r="B3911" t="str">
        <f>"1551601190216397"</f>
        <v>1551601190216397</v>
      </c>
      <c r="C3911" t="s">
        <v>40</v>
      </c>
      <c r="D3911">
        <v>4.4980580000000003</v>
      </c>
      <c r="E3911">
        <v>0.45254339999999998</v>
      </c>
      <c r="F3911" t="s">
        <v>52</v>
      </c>
      <c r="G3911">
        <v>-468.46789999999999</v>
      </c>
      <c r="H3911">
        <v>8.0000689999999999E-2</v>
      </c>
      <c r="I3911">
        <v>278.9742</v>
      </c>
      <c r="J3911">
        <v>-433.1404</v>
      </c>
      <c r="K3911">
        <v>1.121291</v>
      </c>
      <c r="L3911">
        <v>283.71699999999998</v>
      </c>
      <c r="M3911">
        <v>-0.99992360000000002</v>
      </c>
      <c r="N3911">
        <v>-1.2355110000000001E-2</v>
      </c>
      <c r="O3911">
        <v>6.4560729999999997E-4</v>
      </c>
      <c r="P3911">
        <v>-0.98759710000000001</v>
      </c>
      <c r="Q3911">
        <v>0.15674009999999999</v>
      </c>
      <c r="R3911">
        <v>-9.2173020000000001E-3</v>
      </c>
      <c r="S3911">
        <v>-3.0482480000000001</v>
      </c>
      <c r="T3911">
        <v>-8.9182499999999998E-2</v>
      </c>
      <c r="U3911">
        <v>-0.40618900000000002</v>
      </c>
      <c r="V3911">
        <v>-9.8152780000000002E-3</v>
      </c>
      <c r="W3911">
        <v>0.1689322</v>
      </c>
      <c r="X3911">
        <v>0.98557879999999998</v>
      </c>
      <c r="Y3911">
        <v>-0.13264589999999901</v>
      </c>
      <c r="Z3911">
        <v>-2.7656339999999999E-3</v>
      </c>
      <c r="AA3911">
        <v>0.99115960000000003</v>
      </c>
      <c r="AB3911">
        <v>27</v>
      </c>
      <c r="AC3911">
        <v>-35.327499999999901</v>
      </c>
      <c r="AD3911">
        <v>-1.0412903099999999</v>
      </c>
      <c r="AE3911">
        <v>-4.7427999999999804</v>
      </c>
      <c r="AF3911">
        <v>-4.7615448703320302</v>
      </c>
      <c r="AG3911">
        <v>-1.0412903099999999</v>
      </c>
      <c r="AH3911">
        <v>35.294309745304702</v>
      </c>
      <c r="AI3911">
        <v>91.674747648866798</v>
      </c>
      <c r="AJ3911">
        <v>97.683366713812006</v>
      </c>
      <c r="AK3911">
        <v>35.629270206662902</v>
      </c>
      <c r="AL3911">
        <v>80.274259274451396</v>
      </c>
      <c r="AM3911">
        <v>90.570583918036604</v>
      </c>
      <c r="AN3911">
        <v>0.999999999444248</v>
      </c>
    </row>
    <row r="3912" spans="1:40" x14ac:dyDescent="0.25">
      <c r="A3912" t="str">
        <f>"20190303161950238"</f>
        <v>20190303161950238</v>
      </c>
      <c r="B3912" t="str">
        <f>"1551601190226158"</f>
        <v>1551601190226158</v>
      </c>
      <c r="C3912" t="s">
        <v>40</v>
      </c>
      <c r="D3912">
        <v>4.4881949999999904</v>
      </c>
      <c r="E3912">
        <v>0.45250230000000002</v>
      </c>
      <c r="F3912" t="s">
        <v>52</v>
      </c>
      <c r="G3912">
        <v>-468.71660000000003</v>
      </c>
      <c r="H3912">
        <v>8.0000619999999995E-2</v>
      </c>
      <c r="I3912">
        <v>278.94510000000002</v>
      </c>
      <c r="J3912">
        <v>-433.3297</v>
      </c>
      <c r="K3912">
        <v>1.1212959999999901</v>
      </c>
      <c r="L3912">
        <v>283.71730000000002</v>
      </c>
      <c r="M3912">
        <v>-0.99992329999999996</v>
      </c>
      <c r="N3912">
        <v>-1.2367110000000001E-2</v>
      </c>
      <c r="O3912">
        <v>7.1968589999999995E-4</v>
      </c>
      <c r="P3912">
        <v>-0.98762879999999997</v>
      </c>
      <c r="Q3912">
        <v>0.15652530000000001</v>
      </c>
      <c r="R3912">
        <v>-9.4520190000000007E-3</v>
      </c>
      <c r="S3912">
        <v>-3.0480649999999998</v>
      </c>
      <c r="T3912">
        <v>-8.9214559999999998E-2</v>
      </c>
      <c r="U3912">
        <v>-0.40884399999999999</v>
      </c>
      <c r="V3912">
        <v>-1.012299E-2</v>
      </c>
      <c r="W3912">
        <v>0.16872970000000001</v>
      </c>
      <c r="X3912">
        <v>0.9856104</v>
      </c>
      <c r="Y3912">
        <v>-0.13357459999999999</v>
      </c>
      <c r="Z3912">
        <v>-2.7877240000000001E-3</v>
      </c>
      <c r="AA3912">
        <v>0.99103490000000005</v>
      </c>
      <c r="AB3912">
        <v>27</v>
      </c>
      <c r="AC3912">
        <v>-35.386899999999997</v>
      </c>
      <c r="AD3912">
        <v>-1.04129537999999</v>
      </c>
      <c r="AE3912">
        <v>-4.77219999999999</v>
      </c>
      <c r="AF3912">
        <v>-4.7935915789850698</v>
      </c>
      <c r="AG3912">
        <v>-1.04129537999999</v>
      </c>
      <c r="AH3912">
        <v>35.353390718395303</v>
      </c>
      <c r="AI3912">
        <v>91.671807472772997</v>
      </c>
      <c r="AJ3912">
        <v>97.721684931866704</v>
      </c>
      <c r="AK3912">
        <v>35.692086680131801</v>
      </c>
      <c r="AL3912">
        <v>80.286030884437906</v>
      </c>
      <c r="AM3912">
        <v>90.588451795605394</v>
      </c>
      <c r="AN3912">
        <v>1.0000000235883899</v>
      </c>
    </row>
    <row r="3913" spans="1:40" x14ac:dyDescent="0.25">
      <c r="A3913" t="str">
        <f>"20190303161950253"</f>
        <v>20190303161950253</v>
      </c>
      <c r="B3913" t="str">
        <f>"1551601190247630"</f>
        <v>1551601190247630</v>
      </c>
      <c r="C3913" t="s">
        <v>40</v>
      </c>
      <c r="D3913">
        <v>4.4452410000000002</v>
      </c>
      <c r="E3913">
        <v>0.45242710000000003</v>
      </c>
      <c r="F3913" t="s">
        <v>52</v>
      </c>
      <c r="G3913">
        <v>-468.37670000000003</v>
      </c>
      <c r="H3913">
        <v>8.0000719999999997E-2</v>
      </c>
      <c r="I3913">
        <v>279.0061</v>
      </c>
      <c r="J3913">
        <v>-433.49770000000001</v>
      </c>
      <c r="K3913">
        <v>1.1212979999999999</v>
      </c>
      <c r="L3913">
        <v>283.71749999999997</v>
      </c>
      <c r="M3913">
        <v>-0.99992309999999995</v>
      </c>
      <c r="N3913">
        <v>-1.2381700000000001E-2</v>
      </c>
      <c r="O3913">
        <v>7.8316129999999999E-4</v>
      </c>
      <c r="P3913">
        <v>-0.98760510000000001</v>
      </c>
      <c r="Q3913">
        <v>0.1566553</v>
      </c>
      <c r="R3913">
        <v>-9.7801199999999998E-3</v>
      </c>
      <c r="S3913">
        <v>-3.0480040000000002</v>
      </c>
      <c r="T3913">
        <v>-9.0560559999999998E-2</v>
      </c>
      <c r="U3913">
        <v>-0.40972900000000001</v>
      </c>
      <c r="V3913">
        <v>-1.051328E-2</v>
      </c>
      <c r="W3913">
        <v>0.168874</v>
      </c>
      <c r="X3913">
        <v>0.98558159999999895</v>
      </c>
      <c r="Y3913">
        <v>-0.1339205</v>
      </c>
      <c r="Z3913">
        <v>-2.8267359999999998E-3</v>
      </c>
      <c r="AA3913">
        <v>0.99098810000000004</v>
      </c>
      <c r="AB3913">
        <v>27</v>
      </c>
      <c r="AC3913">
        <v>-34.878999999999998</v>
      </c>
      <c r="AD3913">
        <v>-1.04129728</v>
      </c>
      <c r="AE3913">
        <v>-4.7113999999999603</v>
      </c>
      <c r="AF3913">
        <v>-4.7345722475429</v>
      </c>
      <c r="AG3913">
        <v>-1.04129728</v>
      </c>
      <c r="AH3913">
        <v>34.844798759108699</v>
      </c>
      <c r="AI3913">
        <v>91.696133528596206</v>
      </c>
      <c r="AJ3913">
        <v>97.7377353755558</v>
      </c>
      <c r="AK3913">
        <v>35.180399016431302</v>
      </c>
      <c r="AL3913">
        <v>80.277642733808705</v>
      </c>
      <c r="AM3913">
        <v>90.611155613405003</v>
      </c>
      <c r="AN3913">
        <v>1.00000002359545</v>
      </c>
    </row>
    <row r="3914" spans="1:40" x14ac:dyDescent="0.25">
      <c r="A3914" t="str">
        <f>"20190303161950267"</f>
        <v>20190303161950267</v>
      </c>
      <c r="B3914" t="str">
        <f>"1551601190256415"</f>
        <v>1551601190256415</v>
      </c>
      <c r="C3914" t="s">
        <v>40</v>
      </c>
      <c r="D3914">
        <v>4.4851279999999996</v>
      </c>
      <c r="E3914">
        <v>0.4523336</v>
      </c>
      <c r="F3914" t="s">
        <v>52</v>
      </c>
      <c r="G3914">
        <v>-468.40249999999997</v>
      </c>
      <c r="H3914">
        <v>8.0000710000000003E-2</v>
      </c>
      <c r="I3914">
        <v>279.0086</v>
      </c>
      <c r="J3914">
        <v>-433.6617</v>
      </c>
      <c r="K3914">
        <v>1.121297</v>
      </c>
      <c r="L3914">
        <v>283.71769999999998</v>
      </c>
      <c r="M3914">
        <v>-0.9999228</v>
      </c>
      <c r="N3914">
        <v>-1.239878E-2</v>
      </c>
      <c r="O3914">
        <v>8.4478369999999904E-4</v>
      </c>
      <c r="P3914">
        <v>-0.98759379999999997</v>
      </c>
      <c r="Q3914">
        <v>0.15672349999999999</v>
      </c>
      <c r="R3914">
        <v>-9.8218860000000002E-3</v>
      </c>
      <c r="S3914">
        <v>-3.0480040000000002</v>
      </c>
      <c r="T3914">
        <v>-9.0929629999999997E-2</v>
      </c>
      <c r="U3914">
        <v>-0.4111938</v>
      </c>
      <c r="V3914">
        <v>-1.0614159999999999E-2</v>
      </c>
      <c r="W3914">
        <v>0.168959</v>
      </c>
      <c r="X3914">
        <v>0.98556589999999999</v>
      </c>
      <c r="Y3914">
        <v>-0.1344484</v>
      </c>
      <c r="Z3914">
        <v>-2.8481909999999999E-3</v>
      </c>
      <c r="AA3914">
        <v>0.99091649999999998</v>
      </c>
      <c r="AB3914">
        <v>27</v>
      </c>
      <c r="AC3914">
        <v>-34.740799999999901</v>
      </c>
      <c r="AD3914">
        <v>-1.04129629</v>
      </c>
      <c r="AE3914">
        <v>-4.7090999999999701</v>
      </c>
      <c r="AF3914">
        <v>-4.73427251124183</v>
      </c>
      <c r="AG3914">
        <v>-1.04129629</v>
      </c>
      <c r="AH3914">
        <v>34.706191689797897</v>
      </c>
      <c r="AI3914">
        <v>91.702780348688194</v>
      </c>
      <c r="AJ3914">
        <v>97.767775411310097</v>
      </c>
      <c r="AK3914">
        <v>35.043078857076303</v>
      </c>
      <c r="AL3914">
        <v>80.272701099759701</v>
      </c>
      <c r="AM3914">
        <v>90.617029323818599</v>
      </c>
      <c r="AN3914">
        <v>0.99999997365815696</v>
      </c>
    </row>
    <row r="3915" spans="1:40" x14ac:dyDescent="0.25">
      <c r="A3915" t="str">
        <f>"20190303161950279"</f>
        <v>20190303161950279</v>
      </c>
      <c r="B3915" t="str">
        <f>"1551601190266174"</f>
        <v>1551601190266174</v>
      </c>
      <c r="C3915" t="s">
        <v>40</v>
      </c>
      <c r="D3915">
        <v>4.435225</v>
      </c>
      <c r="E3915">
        <v>0.4523027</v>
      </c>
      <c r="F3915" t="s">
        <v>52</v>
      </c>
      <c r="G3915">
        <v>-468.31479999999999</v>
      </c>
      <c r="H3915">
        <v>8.0000740000000001E-2</v>
      </c>
      <c r="I3915">
        <v>279.03570000000002</v>
      </c>
      <c r="J3915">
        <v>-433.81900000000002</v>
      </c>
      <c r="K3915">
        <v>1.1213059999999999</v>
      </c>
      <c r="L3915">
        <v>283.71789999999999</v>
      </c>
      <c r="M3915">
        <v>-0.99992250000000005</v>
      </c>
      <c r="N3915">
        <v>-1.241893E-2</v>
      </c>
      <c r="O3915">
        <v>9.0921480000000004E-4</v>
      </c>
      <c r="P3915">
        <v>-0.98760309999999996</v>
      </c>
      <c r="Q3915">
        <v>0.15661800000000001</v>
      </c>
      <c r="R3915">
        <v>-1.0534089999999999E-2</v>
      </c>
      <c r="S3915">
        <v>-3.048187</v>
      </c>
      <c r="T3915">
        <v>-9.1595529999999994E-2</v>
      </c>
      <c r="U3915">
        <v>-0.4118347</v>
      </c>
      <c r="V3915">
        <v>-1.139022E-2</v>
      </c>
      <c r="W3915">
        <v>0.168874</v>
      </c>
      <c r="X3915">
        <v>0.98557189999999995</v>
      </c>
      <c r="Y3915">
        <v>-0.13470770000000001</v>
      </c>
      <c r="Z3915">
        <v>-2.8708200000000001E-3</v>
      </c>
      <c r="AA3915">
        <v>0.99088120000000002</v>
      </c>
      <c r="AB3915">
        <v>27</v>
      </c>
      <c r="AC3915">
        <v>-34.495799999999903</v>
      </c>
      <c r="AD3915">
        <v>-1.0413052599999999</v>
      </c>
      <c r="AE3915">
        <v>-4.6821999999999599</v>
      </c>
      <c r="AF3915">
        <v>-4.7093509440976202</v>
      </c>
      <c r="AG3915">
        <v>-1.0413052599999999</v>
      </c>
      <c r="AH3915">
        <v>34.460695029879403</v>
      </c>
      <c r="AI3915">
        <v>91.714861329804805</v>
      </c>
      <c r="AJ3915">
        <v>97.781758001447102</v>
      </c>
      <c r="AK3915">
        <v>34.796577488332503</v>
      </c>
      <c r="AL3915">
        <v>80.277643165089998</v>
      </c>
      <c r="AM3915">
        <v>90.662135843198897</v>
      </c>
      <c r="AN3915">
        <v>1.00000006752862</v>
      </c>
    </row>
    <row r="3916" spans="1:40" x14ac:dyDescent="0.25">
      <c r="A3916" t="str">
        <f>"20190303161950302"</f>
        <v>20190303161950302</v>
      </c>
      <c r="B3916" t="str">
        <f>"1551601190296430"</f>
        <v>1551601190296430</v>
      </c>
      <c r="C3916" t="s">
        <v>40</v>
      </c>
      <c r="D3916">
        <v>4.4191399999999996</v>
      </c>
      <c r="E3916">
        <v>0.45223740000000001</v>
      </c>
      <c r="F3916" t="s">
        <v>52</v>
      </c>
      <c r="G3916">
        <v>-468.3211</v>
      </c>
      <c r="H3916">
        <v>8.0000740000000001E-2</v>
      </c>
      <c r="I3916">
        <v>279.0299</v>
      </c>
      <c r="J3916">
        <v>-434.08479999999997</v>
      </c>
      <c r="K3916">
        <v>1.121319</v>
      </c>
      <c r="L3916">
        <v>283.7183</v>
      </c>
      <c r="M3916">
        <v>-0.99992190000000003</v>
      </c>
      <c r="N3916">
        <v>-1.245899E-2</v>
      </c>
      <c r="O3916">
        <v>1.027743E-3</v>
      </c>
      <c r="P3916">
        <v>-0.98760599999999998</v>
      </c>
      <c r="Q3916">
        <v>0.15657260000000001</v>
      </c>
      <c r="R3916">
        <v>-1.093481E-2</v>
      </c>
      <c r="S3916">
        <v>-3.0477910000000001</v>
      </c>
      <c r="T3916">
        <v>-9.1985230000000001E-2</v>
      </c>
      <c r="U3916">
        <v>-0.41412349999999998</v>
      </c>
      <c r="V3916">
        <v>-1.190859E-2</v>
      </c>
      <c r="W3916">
        <v>0.16886789999999999</v>
      </c>
      <c r="X3916">
        <v>0.98556670000000002</v>
      </c>
      <c r="Y3916">
        <v>-0.13557159999999999</v>
      </c>
      <c r="Z3916">
        <v>-2.9028589999999998E-3</v>
      </c>
      <c r="AA3916">
        <v>0.99076330000000001</v>
      </c>
      <c r="AB3916">
        <v>27</v>
      </c>
      <c r="AC3916">
        <v>-34.2363</v>
      </c>
      <c r="AD3916">
        <v>-1.0413182599999999</v>
      </c>
      <c r="AE3916">
        <v>-4.6883999999999997</v>
      </c>
      <c r="AF3916">
        <v>-4.7193008659766802</v>
      </c>
      <c r="AG3916">
        <v>-1.0413182599999999</v>
      </c>
      <c r="AH3916">
        <v>34.200406351249804</v>
      </c>
      <c r="AI3916">
        <v>91.727616518526901</v>
      </c>
      <c r="AJ3916">
        <v>97.856606964138294</v>
      </c>
      <c r="AK3916">
        <v>34.540178618137297</v>
      </c>
      <c r="AL3916">
        <v>80.277996619636596</v>
      </c>
      <c r="AM3916">
        <v>90.692270492026694</v>
      </c>
      <c r="AN3916">
        <v>0.99999995115754203</v>
      </c>
    </row>
    <row r="3917" spans="1:40" x14ac:dyDescent="0.25">
      <c r="A3917" t="str">
        <f>"20190303161950324"</f>
        <v>20190303161950324</v>
      </c>
      <c r="B3917" t="str">
        <f>"1551601190315949"</f>
        <v>1551601190315949</v>
      </c>
      <c r="C3917" t="s">
        <v>40</v>
      </c>
      <c r="D3917">
        <v>4.5029029999999999</v>
      </c>
      <c r="E3917">
        <v>0.45213619999999999</v>
      </c>
      <c r="F3917" t="s">
        <v>52</v>
      </c>
      <c r="G3917">
        <v>-468.76100000000002</v>
      </c>
      <c r="H3917">
        <v>8.0000600000000005E-2</v>
      </c>
      <c r="I3917">
        <v>278.9864</v>
      </c>
      <c r="J3917">
        <v>-434.34820000000002</v>
      </c>
      <c r="K3917">
        <v>1.1213340000000001</v>
      </c>
      <c r="L3917">
        <v>283.71870000000001</v>
      </c>
      <c r="M3917">
        <v>-0.99992099999999995</v>
      </c>
      <c r="N3917">
        <v>-1.251757E-2</v>
      </c>
      <c r="O3917">
        <v>1.15405E-3</v>
      </c>
      <c r="P3917">
        <v>-0.98768350000000005</v>
      </c>
      <c r="Q3917">
        <v>0.15608279999999999</v>
      </c>
      <c r="R3917">
        <v>-1.0943609999999999E-2</v>
      </c>
      <c r="S3917">
        <v>-3.0475460000000001</v>
      </c>
      <c r="T3917">
        <v>-9.1517329999999994E-2</v>
      </c>
      <c r="U3917">
        <v>-0.41586299999999998</v>
      </c>
      <c r="V3917">
        <v>-1.204155E-2</v>
      </c>
      <c r="W3917">
        <v>0.1684369</v>
      </c>
      <c r="X3917">
        <v>0.98563889999999998</v>
      </c>
      <c r="Y3917">
        <v>-0.13626269999999999</v>
      </c>
      <c r="Z3917">
        <v>-2.9132720000000002E-3</v>
      </c>
      <c r="AA3917">
        <v>0.99066849999999995</v>
      </c>
      <c r="AB3917">
        <v>27</v>
      </c>
      <c r="AC3917">
        <v>-34.412799999999898</v>
      </c>
      <c r="AD3917">
        <v>-1.0413334000000001</v>
      </c>
      <c r="AE3917">
        <v>-4.7323000000000004</v>
      </c>
      <c r="AF3917">
        <v>-4.7677294036364302</v>
      </c>
      <c r="AG3917">
        <v>-1.0413334000000001</v>
      </c>
      <c r="AH3917">
        <v>34.376422050195401</v>
      </c>
      <c r="AI3917">
        <v>91.718637258236896</v>
      </c>
      <c r="AJ3917">
        <v>97.896086290448594</v>
      </c>
      <c r="AK3917">
        <v>34.721088863821898</v>
      </c>
      <c r="AL3917">
        <v>80.303050598754396</v>
      </c>
      <c r="AM3917">
        <v>90.699947690461798</v>
      </c>
      <c r="AN3917">
        <v>1.0000000147006101</v>
      </c>
    </row>
    <row r="3918" spans="1:40" x14ac:dyDescent="0.25">
      <c r="A3918" t="str">
        <f>"20190303161950341"</f>
        <v>20190303161950341</v>
      </c>
      <c r="B3918" t="str">
        <f>"1551601190336446"</f>
        <v>1551601190336446</v>
      </c>
      <c r="C3918" t="s">
        <v>40</v>
      </c>
      <c r="D3918">
        <v>4.4170569999999998</v>
      </c>
      <c r="E3918">
        <v>0.45206990000000002</v>
      </c>
      <c r="F3918" t="s">
        <v>52</v>
      </c>
      <c r="G3918">
        <v>-467.8818</v>
      </c>
      <c r="H3918">
        <v>8.0000849999999998E-2</v>
      </c>
      <c r="I3918">
        <v>279.1336</v>
      </c>
      <c r="J3918">
        <v>-434.54899999999998</v>
      </c>
      <c r="K3918">
        <v>1.121345</v>
      </c>
      <c r="L3918">
        <v>283.71899999999999</v>
      </c>
      <c r="M3918">
        <v>-0.99992009999999998</v>
      </c>
      <c r="N3918">
        <v>-1.2585010000000001E-2</v>
      </c>
      <c r="O3918">
        <v>1.2552959999999999E-3</v>
      </c>
      <c r="P3918">
        <v>-0.98774039999999996</v>
      </c>
      <c r="Q3918">
        <v>0.15573679999999901</v>
      </c>
      <c r="R3918">
        <v>-1.071864E-2</v>
      </c>
      <c r="S3918">
        <v>-3.0477599999999998</v>
      </c>
      <c r="T3918">
        <v>-9.4643350000000001E-2</v>
      </c>
      <c r="U3918">
        <v>-0.41671750000000002</v>
      </c>
      <c r="V3918">
        <v>-1.191617E-2</v>
      </c>
      <c r="W3918">
        <v>0.16815769999999999</v>
      </c>
      <c r="X3918">
        <v>0.98568809999999996</v>
      </c>
      <c r="Y3918">
        <v>-0.13662089999999999</v>
      </c>
      <c r="Z3918">
        <v>-2.9980079999999999E-3</v>
      </c>
      <c r="AA3918">
        <v>0.99061889999999997</v>
      </c>
      <c r="AB3918">
        <v>27</v>
      </c>
      <c r="AC3918">
        <v>-33.332799999999899</v>
      </c>
      <c r="AD3918">
        <v>-1.04134415</v>
      </c>
      <c r="AE3918">
        <v>-4.5853999999999902</v>
      </c>
      <c r="AF3918">
        <v>-4.6228142068417402</v>
      </c>
      <c r="AG3918">
        <v>-1.04134415</v>
      </c>
      <c r="AH3918">
        <v>33.295125088642997</v>
      </c>
      <c r="AI3918">
        <v>91.774398507040502</v>
      </c>
      <c r="AJ3918">
        <v>97.9046155436437</v>
      </c>
      <c r="AK3918">
        <v>33.630643221593303</v>
      </c>
      <c r="AL3918">
        <v>80.319279098724806</v>
      </c>
      <c r="AM3918">
        <v>90.692625782027093</v>
      </c>
      <c r="AN3918">
        <v>1.00000001882918</v>
      </c>
    </row>
    <row r="3919" spans="1:40" x14ac:dyDescent="0.25">
      <c r="A3919" t="str">
        <f>"20190303161950357"</f>
        <v>20190303161950357</v>
      </c>
      <c r="B3919" t="str">
        <f>"1551601190346206"</f>
        <v>1551601190346206</v>
      </c>
      <c r="C3919" t="s">
        <v>40</v>
      </c>
      <c r="D3919">
        <v>4.439635</v>
      </c>
      <c r="E3919">
        <v>0.45205149999999999</v>
      </c>
      <c r="F3919" t="s">
        <v>52</v>
      </c>
      <c r="G3919">
        <v>-467.15679999999998</v>
      </c>
      <c r="H3919">
        <v>8.0001059999999999E-2</v>
      </c>
      <c r="I3919">
        <v>279.26499999999999</v>
      </c>
      <c r="J3919">
        <v>-434.75470000000001</v>
      </c>
      <c r="K3919">
        <v>1.121359</v>
      </c>
      <c r="L3919">
        <v>283.71940000000001</v>
      </c>
      <c r="M3919">
        <v>-0.99991890000000005</v>
      </c>
      <c r="N3919">
        <v>-1.267164E-2</v>
      </c>
      <c r="O3919">
        <v>1.3610860000000001E-3</v>
      </c>
      <c r="P3919">
        <v>-0.9877184</v>
      </c>
      <c r="Q3919">
        <v>0.15590879999999999</v>
      </c>
      <c r="R3919">
        <v>-1.0245489999999999E-2</v>
      </c>
      <c r="S3919">
        <v>-3.0480649999999998</v>
      </c>
      <c r="T3919">
        <v>-9.7341419999999998E-2</v>
      </c>
      <c r="U3919">
        <v>-0.41635129999999998</v>
      </c>
      <c r="V3919">
        <v>-1.154575E-2</v>
      </c>
      <c r="W3919">
        <v>0.16841519999999999</v>
      </c>
      <c r="X3919">
        <v>0.98564850000000004</v>
      </c>
      <c r="Y3919">
        <v>-0.13659089999999999</v>
      </c>
      <c r="Z3919">
        <v>-3.066268E-3</v>
      </c>
      <c r="AA3919">
        <v>0.99062280000000003</v>
      </c>
      <c r="AB3919">
        <v>27</v>
      </c>
      <c r="AC3919">
        <v>-32.402099999999898</v>
      </c>
      <c r="AD3919">
        <v>-1.0413579399999999</v>
      </c>
      <c r="AE3919">
        <v>-4.4544000000000201</v>
      </c>
      <c r="AF3919">
        <v>-4.4939458018299296</v>
      </c>
      <c r="AG3919">
        <v>-1.0413579399999999</v>
      </c>
      <c r="AH3919">
        <v>32.363199095264598</v>
      </c>
      <c r="AI3919">
        <v>91.8254798798324</v>
      </c>
      <c r="AJ3919">
        <v>97.905524872243404</v>
      </c>
      <c r="AK3919">
        <v>32.690314022791597</v>
      </c>
      <c r="AL3919">
        <v>80.304311545094293</v>
      </c>
      <c r="AM3919">
        <v>90.671124129905394</v>
      </c>
      <c r="AN3919">
        <v>0.99999997474317603</v>
      </c>
    </row>
    <row r="3920" spans="1:40" x14ac:dyDescent="0.25">
      <c r="A3920" t="str">
        <f>"20190303161950380"</f>
        <v>20190303161950380</v>
      </c>
      <c r="B3920" t="str">
        <f>"1551601190376462"</f>
        <v>1551601190376462</v>
      </c>
      <c r="C3920" t="s">
        <v>40</v>
      </c>
      <c r="D3920">
        <v>4.4626390000000002</v>
      </c>
      <c r="E3920">
        <v>0.45196819999999999</v>
      </c>
      <c r="F3920" t="s">
        <v>52</v>
      </c>
      <c r="G3920">
        <v>-467.56970000000001</v>
      </c>
      <c r="H3920">
        <v>8.0000940000000006E-2</v>
      </c>
      <c r="I3920">
        <v>279.24950000000001</v>
      </c>
      <c r="J3920">
        <v>-435.01369999999997</v>
      </c>
      <c r="K3920">
        <v>1.1213740000000001</v>
      </c>
      <c r="L3920">
        <v>283.7199</v>
      </c>
      <c r="M3920">
        <v>-0.99991699999999994</v>
      </c>
      <c r="N3920">
        <v>-1.2802259999999999E-2</v>
      </c>
      <c r="O3920">
        <v>1.4970160000000001E-3</v>
      </c>
      <c r="P3920">
        <v>-0.9878017</v>
      </c>
      <c r="Q3920">
        <v>0.15545049999999999</v>
      </c>
      <c r="R3920">
        <v>-9.1065090000000005E-3</v>
      </c>
      <c r="S3920">
        <v>-3.0483090000000002</v>
      </c>
      <c r="T3920">
        <v>-9.6735600000000005E-2</v>
      </c>
      <c r="U3920">
        <v>-0.41522219999999999</v>
      </c>
      <c r="V3920">
        <v>-1.0539150000000001E-2</v>
      </c>
      <c r="W3920">
        <v>0.16808619999999999</v>
      </c>
      <c r="X3920">
        <v>0.98571600000000004</v>
      </c>
      <c r="Y3920">
        <v>-0.13635559999999999</v>
      </c>
      <c r="Z3920">
        <v>-3.0584729999999999E-3</v>
      </c>
      <c r="AA3920">
        <v>0.99065519999999996</v>
      </c>
      <c r="AB3920">
        <v>27</v>
      </c>
      <c r="AC3920">
        <v>-32.555999999999997</v>
      </c>
      <c r="AD3920">
        <v>-1.04137306</v>
      </c>
      <c r="AE3920">
        <v>-4.4703999999999802</v>
      </c>
      <c r="AF3920">
        <v>-4.5146020832276497</v>
      </c>
      <c r="AG3920">
        <v>-1.04137306</v>
      </c>
      <c r="AH3920">
        <v>32.516616172247197</v>
      </c>
      <c r="AI3920">
        <v>91.816904130492205</v>
      </c>
      <c r="AJ3920">
        <v>97.9044060878105</v>
      </c>
      <c r="AK3920">
        <v>32.8450364151606</v>
      </c>
      <c r="AL3920">
        <v>80.323435091728797</v>
      </c>
      <c r="AM3920">
        <v>90.612575839637799</v>
      </c>
      <c r="AN3920">
        <v>1.00000003848458</v>
      </c>
    </row>
    <row r="3921" spans="1:40" x14ac:dyDescent="0.25">
      <c r="A3921" t="str">
        <f>"20190303161950395"</f>
        <v>20190303161950395</v>
      </c>
      <c r="B3921" t="str">
        <f>"1551601190386223"</f>
        <v>1551601190386223</v>
      </c>
      <c r="C3921" t="s">
        <v>40</v>
      </c>
      <c r="D3921">
        <v>4.4358029999999999</v>
      </c>
      <c r="E3921">
        <v>0.45209470000000002</v>
      </c>
      <c r="F3921" t="s">
        <v>52</v>
      </c>
      <c r="G3921">
        <v>-467.26150000000001</v>
      </c>
      <c r="H3921">
        <v>8.0001030000000001E-2</v>
      </c>
      <c r="I3921">
        <v>279.35149999999999</v>
      </c>
      <c r="J3921">
        <v>-435.20319999999998</v>
      </c>
      <c r="K3921">
        <v>1.121389</v>
      </c>
      <c r="L3921">
        <v>283.72030000000001</v>
      </c>
      <c r="M3921">
        <v>-0.99991540000000001</v>
      </c>
      <c r="N3921">
        <v>-1.2908029999999999E-2</v>
      </c>
      <c r="O3921">
        <v>1.5982590000000001E-3</v>
      </c>
      <c r="P3921">
        <v>-0.98790370000000005</v>
      </c>
      <c r="Q3921">
        <v>0.1548349</v>
      </c>
      <c r="R3921">
        <v>-8.5111089999999993E-3</v>
      </c>
      <c r="S3921">
        <v>-3.0487060000000001</v>
      </c>
      <c r="T3921">
        <v>-9.8451380000000005E-2</v>
      </c>
      <c r="U3921">
        <v>-0.41299439999999998</v>
      </c>
      <c r="V3921">
        <v>-1.004275E-2</v>
      </c>
      <c r="W3921">
        <v>0.16757659999999999</v>
      </c>
      <c r="X3921">
        <v>0.98580789999999996</v>
      </c>
      <c r="Y3921">
        <v>-0.13572509999999999</v>
      </c>
      <c r="Z3921">
        <v>-3.0920890000000001E-3</v>
      </c>
      <c r="AA3921">
        <v>0.99074169999999995</v>
      </c>
      <c r="AB3921">
        <v>27</v>
      </c>
      <c r="AC3921">
        <v>-32.058300000000003</v>
      </c>
      <c r="AD3921">
        <v>-1.0413879699999999</v>
      </c>
      <c r="AE3921">
        <v>-4.3688000000000198</v>
      </c>
      <c r="AF3921">
        <v>-4.4154618113366197</v>
      </c>
      <c r="AG3921">
        <v>-1.0413879699999999</v>
      </c>
      <c r="AH3921">
        <v>32.018105774723502</v>
      </c>
      <c r="AI3921">
        <v>91.845433689865203</v>
      </c>
      <c r="AJ3921">
        <v>97.851858145257907</v>
      </c>
      <c r="AK3921">
        <v>32.3379017456732</v>
      </c>
      <c r="AL3921">
        <v>80.353052704479595</v>
      </c>
      <c r="AM3921">
        <v>90.583670799725397</v>
      </c>
      <c r="AN3921">
        <v>0.99999999469876599</v>
      </c>
    </row>
    <row r="3922" spans="1:40" x14ac:dyDescent="0.25">
      <c r="A3922" t="str">
        <f>"20190303161950413"</f>
        <v>20190303161950413</v>
      </c>
      <c r="B3922" t="str">
        <f>"1551601190406718"</f>
        <v>1551601190406718</v>
      </c>
      <c r="C3922" t="s">
        <v>40</v>
      </c>
      <c r="D3922">
        <v>4.4533399999999999</v>
      </c>
      <c r="E3922">
        <v>0.46288390000000001</v>
      </c>
      <c r="F3922" t="s">
        <v>52</v>
      </c>
      <c r="G3922">
        <v>-466.8562</v>
      </c>
      <c r="H3922">
        <v>8.0001139999999998E-2</v>
      </c>
      <c r="I3922">
        <v>279.459</v>
      </c>
      <c r="J3922">
        <v>-435.40989999999999</v>
      </c>
      <c r="K3922">
        <v>1.1214059999999999</v>
      </c>
      <c r="L3922">
        <v>283.7208</v>
      </c>
      <c r="M3922">
        <v>-0.99991390000000002</v>
      </c>
      <c r="N3922">
        <v>-1.302595E-2</v>
      </c>
      <c r="O3922">
        <v>1.710617E-3</v>
      </c>
      <c r="P3922">
        <v>-0.98797939999999995</v>
      </c>
      <c r="Q3922">
        <v>0.15440589999999901</v>
      </c>
      <c r="R3922">
        <v>-7.5034129999999996E-3</v>
      </c>
      <c r="S3922">
        <v>-3.048889</v>
      </c>
      <c r="T3922">
        <v>-0.1003091</v>
      </c>
      <c r="U3922">
        <v>-0.41046139999999998</v>
      </c>
      <c r="V3922">
        <v>-9.1449329999999992E-3</v>
      </c>
      <c r="W3922">
        <v>0.16726450000000001</v>
      </c>
      <c r="X3922">
        <v>0.98586960000000001</v>
      </c>
      <c r="Y3922">
        <v>-0.1350172</v>
      </c>
      <c r="Z3922">
        <v>-3.127997E-3</v>
      </c>
      <c r="AA3922">
        <v>0.99083829999999995</v>
      </c>
      <c r="AB3922">
        <v>27</v>
      </c>
      <c r="AC3922">
        <v>-31.446300000000001</v>
      </c>
      <c r="AD3922">
        <v>-1.0414048600000001</v>
      </c>
      <c r="AE3922">
        <v>-4.2617999999999903</v>
      </c>
      <c r="AF3922">
        <v>-4.3109482155596801</v>
      </c>
      <c r="AG3922">
        <v>-1.0414048600000001</v>
      </c>
      <c r="AH3922">
        <v>31.405141285440699</v>
      </c>
      <c r="AI3922">
        <v>91.881619197746801</v>
      </c>
      <c r="AJ3922">
        <v>97.816078983596498</v>
      </c>
      <c r="AK3922">
        <v>31.716741600583202</v>
      </c>
      <c r="AL3922">
        <v>80.371190344041295</v>
      </c>
      <c r="AM3922">
        <v>90.531460791070003</v>
      </c>
      <c r="AN3922">
        <v>0.99999995548199105</v>
      </c>
    </row>
    <row r="3923" spans="1:40" x14ac:dyDescent="0.25">
      <c r="A3923" t="str">
        <f>"20190303161950435"</f>
        <v>20190303161950435</v>
      </c>
      <c r="B3923" t="str">
        <f>"1551601190426238"</f>
        <v>1551601190426238</v>
      </c>
      <c r="C3923" t="s">
        <v>40</v>
      </c>
      <c r="D3923">
        <v>4.4059679999999997</v>
      </c>
      <c r="E3923">
        <v>0.46332780000000001</v>
      </c>
      <c r="F3923" t="s">
        <v>52</v>
      </c>
      <c r="G3923">
        <v>-467.3947</v>
      </c>
      <c r="H3923" s="1">
        <v>2.5845349999999999E-6</v>
      </c>
      <c r="I3923">
        <v>280.35520000000002</v>
      </c>
      <c r="J3923">
        <v>-435.67500000000001</v>
      </c>
      <c r="K3923">
        <v>1.1214280000000001</v>
      </c>
      <c r="L3923">
        <v>283.72140000000002</v>
      </c>
      <c r="M3923">
        <v>-0.99991160000000001</v>
      </c>
      <c r="N3923">
        <v>-1.3173529999999999E-2</v>
      </c>
      <c r="O3923">
        <v>1.8575740000000001E-3</v>
      </c>
      <c r="P3923">
        <v>-0.98792009999999997</v>
      </c>
      <c r="Q3923">
        <v>0.15480150000000001</v>
      </c>
      <c r="R3923">
        <v>-7.1100529999999999E-3</v>
      </c>
      <c r="S3923">
        <v>-3.050751</v>
      </c>
      <c r="T3923">
        <v>-0.1069611</v>
      </c>
      <c r="U3923">
        <v>-0.32101439999999998</v>
      </c>
      <c r="V3923">
        <v>-8.8958909999999995E-3</v>
      </c>
      <c r="W3923">
        <v>0.16780510000000001</v>
      </c>
      <c r="X3923">
        <v>0.98578010000000005</v>
      </c>
      <c r="Y3923">
        <v>-0.1064047</v>
      </c>
      <c r="Z3923">
        <v>-2.603251E-3</v>
      </c>
      <c r="AA3923">
        <v>0.99431950000000002</v>
      </c>
      <c r="AB3923">
        <v>27</v>
      </c>
      <c r="AC3923">
        <v>-31.7196999999999</v>
      </c>
      <c r="AD3923">
        <v>-1.1214254154650001</v>
      </c>
      <c r="AE3923">
        <v>-3.3661999999999899</v>
      </c>
      <c r="AF3923">
        <v>-3.4208927612434201</v>
      </c>
      <c r="AG3923">
        <v>-1.1214254154650001</v>
      </c>
      <c r="AH3923">
        <v>31.6742423558124</v>
      </c>
      <c r="AI3923">
        <v>92.015994108185197</v>
      </c>
      <c r="AJ3923">
        <v>96.164185807886795</v>
      </c>
      <c r="AK3923">
        <v>31.878170133511698</v>
      </c>
      <c r="AL3923">
        <v>80.339773077293003</v>
      </c>
      <c r="AM3923">
        <v>90.517035365203</v>
      </c>
      <c r="AN3923">
        <v>1.00000004700935</v>
      </c>
    </row>
    <row r="3924" spans="1:40" x14ac:dyDescent="0.25">
      <c r="A3924" t="str">
        <f>"20190303161950457"</f>
        <v>20190303161950457</v>
      </c>
      <c r="B3924" t="str">
        <f>"1551601190446734"</f>
        <v>1551601190446734</v>
      </c>
      <c r="C3924" t="s">
        <v>40</v>
      </c>
      <c r="D3924">
        <v>4.4318559999999998</v>
      </c>
      <c r="E3924">
        <v>0.4627986</v>
      </c>
      <c r="F3924" t="s">
        <v>49</v>
      </c>
      <c r="G3924">
        <v>-475.46429999999998</v>
      </c>
      <c r="H3924">
        <v>7.4369879999999999E-2</v>
      </c>
      <c r="I3924">
        <v>279.5917</v>
      </c>
      <c r="J3924">
        <v>-435.94099999999997</v>
      </c>
      <c r="K3924">
        <v>1.1214489999999999</v>
      </c>
      <c r="L3924">
        <v>283.72199999999998</v>
      </c>
      <c r="M3924">
        <v>-0.99990939999999995</v>
      </c>
      <c r="N3924">
        <v>-1.331182E-2</v>
      </c>
      <c r="O3924">
        <v>2.0065920000000002E-3</v>
      </c>
      <c r="P3924">
        <v>-0.98778509999999997</v>
      </c>
      <c r="Q3924">
        <v>0.15566849999999999</v>
      </c>
      <c r="R3924">
        <v>-6.9293239999999997E-3</v>
      </c>
      <c r="S3924">
        <v>-3.0470280000000001</v>
      </c>
      <c r="T3924">
        <v>-8.0182669999999998E-2</v>
      </c>
      <c r="U3924">
        <v>-0.31625370000000003</v>
      </c>
      <c r="V3924">
        <v>-8.8609799999999992E-3</v>
      </c>
      <c r="W3924">
        <v>0.16880629999999999</v>
      </c>
      <c r="X3924">
        <v>0.98560939999999997</v>
      </c>
      <c r="Y3924">
        <v>-0.10517749999999999</v>
      </c>
      <c r="Z3924">
        <v>-2.1080880000000001E-3</v>
      </c>
      <c r="AA3924">
        <v>0.99445119999999998</v>
      </c>
      <c r="AB3924">
        <v>27</v>
      </c>
      <c r="AC3924">
        <v>-39.523299999999999</v>
      </c>
      <c r="AD3924">
        <v>-1.04707911999999</v>
      </c>
      <c r="AE3924">
        <v>-4.1302999999999699</v>
      </c>
      <c r="AF3924">
        <v>-4.2066852244215296</v>
      </c>
      <c r="AG3924">
        <v>-1.04707911999999</v>
      </c>
      <c r="AH3924">
        <v>39.487516413426697</v>
      </c>
      <c r="AI3924">
        <v>91.510397141793504</v>
      </c>
      <c r="AJ3924">
        <v>96.080900630937094</v>
      </c>
      <c r="AK3924">
        <v>39.724759631262103</v>
      </c>
      <c r="AL3924">
        <v>80.281577794345495</v>
      </c>
      <c r="AM3924">
        <v>90.515095613496001</v>
      </c>
      <c r="AN3924">
        <v>0.99999998662730505</v>
      </c>
    </row>
    <row r="3925" spans="1:40" x14ac:dyDescent="0.25">
      <c r="A3925" t="str">
        <f>"20190303161950479"</f>
        <v>20190303161950479</v>
      </c>
      <c r="B3925" t="str">
        <f>"1551601190476989"</f>
        <v>1551601190476989</v>
      </c>
      <c r="C3925" t="s">
        <v>40</v>
      </c>
      <c r="D3925">
        <v>4.3960489999999997</v>
      </c>
      <c r="E3925">
        <v>0.46283459999999899</v>
      </c>
      <c r="F3925" t="s">
        <v>49</v>
      </c>
      <c r="G3925">
        <v>-477.3039</v>
      </c>
      <c r="H3925">
        <v>8.0000299999999996E-2</v>
      </c>
      <c r="I3925">
        <v>279.37540000000001</v>
      </c>
      <c r="J3925">
        <v>-436.20409999999998</v>
      </c>
      <c r="K3925">
        <v>1.121462</v>
      </c>
      <c r="L3925">
        <v>283.72280000000001</v>
      </c>
      <c r="M3925">
        <v>-0.99990760000000001</v>
      </c>
      <c r="N3925">
        <v>-1.343188E-2</v>
      </c>
      <c r="O3925">
        <v>2.15416E-3</v>
      </c>
      <c r="P3925">
        <v>-0.98768290000000003</v>
      </c>
      <c r="Q3925">
        <v>0.15630869999999999</v>
      </c>
      <c r="R3925">
        <v>-7.1147659999999998E-3</v>
      </c>
      <c r="S3925">
        <v>-3.046967</v>
      </c>
      <c r="T3925">
        <v>-7.6717380000000002E-2</v>
      </c>
      <c r="U3925">
        <v>-0.32019039999999999</v>
      </c>
      <c r="V3925">
        <v>-9.1915680000000007E-3</v>
      </c>
      <c r="W3925">
        <v>0.16956379999999999</v>
      </c>
      <c r="X3925">
        <v>0.98547629999999997</v>
      </c>
      <c r="Y3925">
        <v>-0.1066003</v>
      </c>
      <c r="Z3925">
        <v>-2.0814309999999999E-3</v>
      </c>
      <c r="AA3925">
        <v>0.99429979999999996</v>
      </c>
      <c r="AB3925">
        <v>27</v>
      </c>
      <c r="AC3925">
        <v>-41.099800000000002</v>
      </c>
      <c r="AD3925">
        <v>-1.0414616999999999</v>
      </c>
      <c r="AE3925">
        <v>-4.3473999999999897</v>
      </c>
      <c r="AF3925">
        <v>-4.4331183941397301</v>
      </c>
      <c r="AG3925">
        <v>-1.0414616999999999</v>
      </c>
      <c r="AH3925">
        <v>41.0642629017037</v>
      </c>
      <c r="AI3925">
        <v>91.444421004943607</v>
      </c>
      <c r="AJ3925">
        <v>96.161539558174994</v>
      </c>
      <c r="AK3925">
        <v>41.315988053406997</v>
      </c>
      <c r="AL3925">
        <v>80.237541088493501</v>
      </c>
      <c r="AM3925">
        <v>90.534384016074995</v>
      </c>
      <c r="AN3925">
        <v>0.99999995252721297</v>
      </c>
    </row>
    <row r="3926" spans="1:40" x14ac:dyDescent="0.25">
      <c r="A3926" t="str">
        <f>"20190303161950503"</f>
        <v>20190303161950503</v>
      </c>
      <c r="B3926" t="str">
        <f>"1551601190496510"</f>
        <v>1551601190496510</v>
      </c>
      <c r="C3926" t="s">
        <v>40</v>
      </c>
      <c r="D3926">
        <v>4.4782630000000001</v>
      </c>
      <c r="E3926">
        <v>0.4635262</v>
      </c>
      <c r="F3926" t="s">
        <v>49</v>
      </c>
      <c r="G3926">
        <v>-481.09309999999999</v>
      </c>
      <c r="H3926" s="1">
        <v>1.7538620000000001E-6</v>
      </c>
      <c r="I3926">
        <v>279.00319999999999</v>
      </c>
      <c r="J3926">
        <v>-436.47160000000002</v>
      </c>
      <c r="K3926">
        <v>1.1214679999999999</v>
      </c>
      <c r="L3926">
        <v>283.7235</v>
      </c>
      <c r="M3926">
        <v>-0.99990590000000001</v>
      </c>
      <c r="N3926">
        <v>-1.3528510000000001E-2</v>
      </c>
      <c r="O3926">
        <v>2.303725E-3</v>
      </c>
      <c r="P3926">
        <v>-0.98765740000000002</v>
      </c>
      <c r="Q3926">
        <v>0.15643319999999999</v>
      </c>
      <c r="R3926">
        <v>-7.8518640000000001E-3</v>
      </c>
      <c r="S3926">
        <v>-3.0471499999999998</v>
      </c>
      <c r="T3926">
        <v>-7.6126810000000003E-2</v>
      </c>
      <c r="U3926">
        <v>-0.32037349999999998</v>
      </c>
      <c r="V3926">
        <v>-1.0076959999999999E-2</v>
      </c>
      <c r="W3926">
        <v>0.1697833</v>
      </c>
      <c r="X3926">
        <v>0.98542989999999997</v>
      </c>
      <c r="Y3926">
        <v>-0.1068023</v>
      </c>
      <c r="Z3926">
        <v>-2.0811860000000001E-3</v>
      </c>
      <c r="AA3926">
        <v>0.99427810000000005</v>
      </c>
      <c r="AB3926">
        <v>26</v>
      </c>
      <c r="AC3926">
        <v>-44.621499999999898</v>
      </c>
      <c r="AD3926">
        <v>-1.1214662461380001</v>
      </c>
      <c r="AE3926">
        <v>-4.7202999999999999</v>
      </c>
      <c r="AF3926">
        <v>-4.8200815748548402</v>
      </c>
      <c r="AG3926">
        <v>-1.1214662461380001</v>
      </c>
      <c r="AH3926">
        <v>44.582656827821303</v>
      </c>
      <c r="AI3926">
        <v>91.432612918661903</v>
      </c>
      <c r="AJ3926">
        <v>96.170600510408207</v>
      </c>
      <c r="AK3926">
        <v>44.856484065926999</v>
      </c>
      <c r="AL3926">
        <v>80.224780105148099</v>
      </c>
      <c r="AM3926">
        <v>90.585883536173597</v>
      </c>
      <c r="AN3926">
        <v>1.00000000094787</v>
      </c>
    </row>
    <row r="3927" spans="1:40" x14ac:dyDescent="0.25">
      <c r="A3927" t="str">
        <f>"20190303161950525"</f>
        <v>20190303161950525</v>
      </c>
      <c r="B3927" t="str">
        <f>"1551601190516029"</f>
        <v>1551601190516029</v>
      </c>
      <c r="C3927" t="s">
        <v>40</v>
      </c>
      <c r="D3927">
        <v>4.4253619999999998</v>
      </c>
      <c r="E3927">
        <v>0.46400200000000003</v>
      </c>
      <c r="F3927" t="s">
        <v>49</v>
      </c>
      <c r="G3927">
        <v>-475.94310000000002</v>
      </c>
      <c r="H3927">
        <v>3.084021E-2</v>
      </c>
      <c r="I3927">
        <v>279.61579999999998</v>
      </c>
      <c r="J3927">
        <v>-436.73360000000002</v>
      </c>
      <c r="K3927">
        <v>1.1214740000000001</v>
      </c>
      <c r="L3927">
        <v>283.7242</v>
      </c>
      <c r="M3927">
        <v>-0.99990460000000003</v>
      </c>
      <c r="N3927">
        <v>-1.3599709999999999E-2</v>
      </c>
      <c r="O3927">
        <v>2.4493990000000001E-3</v>
      </c>
      <c r="P3927">
        <v>-0.98765579999999997</v>
      </c>
      <c r="Q3927">
        <v>0.15641099999999999</v>
      </c>
      <c r="R3927">
        <v>-8.4749349999999994E-3</v>
      </c>
      <c r="S3927">
        <v>-3.048279</v>
      </c>
      <c r="T3927">
        <v>-8.4226369999999995E-2</v>
      </c>
      <c r="U3927">
        <v>-0.31723020000000002</v>
      </c>
      <c r="V3927">
        <v>-1.084326E-2</v>
      </c>
      <c r="W3927">
        <v>0.16983119999999999</v>
      </c>
      <c r="X3927">
        <v>0.98541350000000005</v>
      </c>
      <c r="Y3927">
        <v>-0.1058857</v>
      </c>
      <c r="Z3927">
        <v>-2.2150889999999999E-3</v>
      </c>
      <c r="AA3927">
        <v>0.99437580000000003</v>
      </c>
      <c r="AB3927">
        <v>26</v>
      </c>
      <c r="AC3927">
        <v>-39.209499999999899</v>
      </c>
      <c r="AD3927">
        <v>-1.09063379</v>
      </c>
      <c r="AE3927">
        <v>-4.1084000000000103</v>
      </c>
      <c r="AF3927">
        <v>-4.2012210532512899</v>
      </c>
      <c r="AG3927">
        <v>-1.09063379</v>
      </c>
      <c r="AH3927">
        <v>39.169341920702102</v>
      </c>
      <c r="AI3927">
        <v>91.5858442337246</v>
      </c>
      <c r="AJ3927">
        <v>96.1220197065485</v>
      </c>
      <c r="AK3927">
        <v>39.409099036936098</v>
      </c>
      <c r="AL3927">
        <v>80.221995078644099</v>
      </c>
      <c r="AM3927">
        <v>90.6304439312119</v>
      </c>
      <c r="AN3927">
        <v>0.99999998938155799</v>
      </c>
    </row>
    <row r="3928" spans="1:40" x14ac:dyDescent="0.25">
      <c r="A3928" t="str">
        <f>"20190303161950548"</f>
        <v>20190303161950548</v>
      </c>
      <c r="B3928" t="str">
        <f>"1551601190536526"</f>
        <v>1551601190536526</v>
      </c>
      <c r="C3928" t="s">
        <v>40</v>
      </c>
      <c r="D3928">
        <v>4.4185410000000003</v>
      </c>
      <c r="E3928">
        <v>0.46437810000000002</v>
      </c>
      <c r="F3928" t="s">
        <v>49</v>
      </c>
      <c r="G3928">
        <v>-475.4812</v>
      </c>
      <c r="H3928" s="1">
        <v>3.7549139999999998E-6</v>
      </c>
      <c r="I3928">
        <v>279.71460000000002</v>
      </c>
      <c r="J3928">
        <v>-437.00049999999999</v>
      </c>
      <c r="K3928">
        <v>1.1214660000000001</v>
      </c>
      <c r="L3928">
        <v>283.7251</v>
      </c>
      <c r="M3928">
        <v>-0.9999036</v>
      </c>
      <c r="N3928">
        <v>-1.3649929999999999E-2</v>
      </c>
      <c r="O3928">
        <v>2.5970540000000001E-3</v>
      </c>
      <c r="P3928">
        <v>-0.98763829999999997</v>
      </c>
      <c r="Q3928">
        <v>0.15650430000000001</v>
      </c>
      <c r="R3928">
        <v>-8.7922250000000007E-3</v>
      </c>
      <c r="S3928">
        <v>-3.0487980000000001</v>
      </c>
      <c r="T3928">
        <v>-8.8241219999999995E-2</v>
      </c>
      <c r="U3928">
        <v>-0.31549070000000001</v>
      </c>
      <c r="V3928">
        <v>-1.130628E-2</v>
      </c>
      <c r="W3928">
        <v>0.16997409999999999</v>
      </c>
      <c r="X3928">
        <v>0.98538369999999997</v>
      </c>
      <c r="Y3928">
        <v>-0.1054491</v>
      </c>
      <c r="Z3928">
        <v>-2.2830839999999999E-3</v>
      </c>
      <c r="AA3928">
        <v>0.99442209999999998</v>
      </c>
      <c r="AB3928">
        <v>26</v>
      </c>
      <c r="AC3928">
        <v>-38.480699999999999</v>
      </c>
      <c r="AD3928">
        <v>-1.1214622450859999</v>
      </c>
      <c r="AE3928">
        <v>-4.0104999999999702</v>
      </c>
      <c r="AF3928">
        <v>-4.1069814702662697</v>
      </c>
      <c r="AG3928">
        <v>-1.1214622450859999</v>
      </c>
      <c r="AH3928">
        <v>38.437857607146803</v>
      </c>
      <c r="AI3928">
        <v>91.661733357540399</v>
      </c>
      <c r="AJ3928">
        <v>96.098761303223696</v>
      </c>
      <c r="AK3928">
        <v>38.6729087578315</v>
      </c>
      <c r="AL3928">
        <v>80.213687130689493</v>
      </c>
      <c r="AM3928">
        <v>90.657382195389701</v>
      </c>
      <c r="AN3928">
        <v>1.0000000314319599</v>
      </c>
    </row>
    <row r="3929" spans="1:40" x14ac:dyDescent="0.25">
      <c r="A3929" t="str">
        <f>"20190303161950569"</f>
        <v>20190303161950569</v>
      </c>
      <c r="B3929" t="str">
        <f>"1551601190556046"</f>
        <v>1551601190556046</v>
      </c>
      <c r="C3929" t="s">
        <v>40</v>
      </c>
      <c r="D3929">
        <v>4.3872609999999996</v>
      </c>
      <c r="E3929">
        <v>0.46449849999999998</v>
      </c>
      <c r="F3929" t="s">
        <v>49</v>
      </c>
      <c r="G3929">
        <v>-474.8886</v>
      </c>
      <c r="H3929" s="1">
        <v>4.0269460000000004E-6</v>
      </c>
      <c r="I3929">
        <v>279.82029999999997</v>
      </c>
      <c r="J3929">
        <v>-437.25839999999999</v>
      </c>
      <c r="K3929">
        <v>1.1214599999999999</v>
      </c>
      <c r="L3929">
        <v>283.72590000000002</v>
      </c>
      <c r="M3929">
        <v>-0.99990270000000003</v>
      </c>
      <c r="N3929">
        <v>-1.368365E-2</v>
      </c>
      <c r="O3929">
        <v>2.7397469999999998E-3</v>
      </c>
      <c r="P3929">
        <v>-0.98770899999999995</v>
      </c>
      <c r="Q3929">
        <v>0.15609479999999901</v>
      </c>
      <c r="R3929">
        <v>-8.1001909999999996E-3</v>
      </c>
      <c r="S3929">
        <v>-3.049042</v>
      </c>
      <c r="T3929">
        <v>-9.0249540000000003E-2</v>
      </c>
      <c r="U3929">
        <v>-0.3142395</v>
      </c>
      <c r="V3929">
        <v>-1.0755829999999999E-2</v>
      </c>
      <c r="W3929">
        <v>0.1695982</v>
      </c>
      <c r="X3929">
        <v>0.98545459999999996</v>
      </c>
      <c r="Y3929">
        <v>-0.1051767</v>
      </c>
      <c r="Z3929">
        <v>-2.3173719999999998E-3</v>
      </c>
      <c r="AA3929">
        <v>0.99445090000000003</v>
      </c>
      <c r="AB3929">
        <v>26</v>
      </c>
      <c r="AC3929">
        <v>-37.630200000000002</v>
      </c>
      <c r="AD3929">
        <v>-1.1214559730539999</v>
      </c>
      <c r="AE3929">
        <v>-3.9056000000000402</v>
      </c>
      <c r="AF3929">
        <v>-4.0051728867142602</v>
      </c>
      <c r="AG3929">
        <v>-1.1214559730539999</v>
      </c>
      <c r="AH3929">
        <v>37.586330467023998</v>
      </c>
      <c r="AI3929">
        <v>91.699400594532307</v>
      </c>
      <c r="AJ3929">
        <v>96.082445365850205</v>
      </c>
      <c r="AK3929">
        <v>37.815754803101697</v>
      </c>
      <c r="AL3929">
        <v>80.235541644518705</v>
      </c>
      <c r="AM3929">
        <v>90.625334941301901</v>
      </c>
      <c r="AN3929">
        <v>1.00000000299169</v>
      </c>
    </row>
    <row r="3930" spans="1:40" x14ac:dyDescent="0.25">
      <c r="A3930" t="str">
        <f>"20190303161950592"</f>
        <v>20190303161950592</v>
      </c>
      <c r="B3930" t="str">
        <f>"1551601190586302"</f>
        <v>1551601190586302</v>
      </c>
      <c r="C3930" t="s">
        <v>40</v>
      </c>
      <c r="D3930">
        <v>4.4128959999999999</v>
      </c>
      <c r="E3930">
        <v>0.46471990000000002</v>
      </c>
      <c r="F3930" t="s">
        <v>49</v>
      </c>
      <c r="G3930">
        <v>-474.4726</v>
      </c>
      <c r="H3930" s="1">
        <v>4.2211290000000003E-6</v>
      </c>
      <c r="I3930">
        <v>279.93110000000001</v>
      </c>
      <c r="J3930">
        <v>-437.5222</v>
      </c>
      <c r="K3930">
        <v>1.1214569999999999</v>
      </c>
      <c r="L3930">
        <v>283.72680000000003</v>
      </c>
      <c r="M3930">
        <v>-0.99990199999999996</v>
      </c>
      <c r="N3930">
        <v>-1.370764E-2</v>
      </c>
      <c r="O3930">
        <v>2.8855410000000001E-3</v>
      </c>
      <c r="P3930">
        <v>-0.98778719999999998</v>
      </c>
      <c r="Q3930">
        <v>0.155645899999999</v>
      </c>
      <c r="R3930">
        <v>-7.1357159999999899E-3</v>
      </c>
      <c r="S3930">
        <v>-3.0493160000000001</v>
      </c>
      <c r="T3930">
        <v>-9.1891769999999998E-2</v>
      </c>
      <c r="U3930">
        <v>-0.31094359999999999</v>
      </c>
      <c r="V3930">
        <v>-9.9361099999999997E-3</v>
      </c>
      <c r="W3930">
        <v>0.1691743</v>
      </c>
      <c r="X3930">
        <v>0.98553610000000003</v>
      </c>
      <c r="Y3930">
        <v>-0.1042473</v>
      </c>
      <c r="Z3930">
        <v>-2.3302169999999999E-3</v>
      </c>
      <c r="AA3930">
        <v>0.99454869999999995</v>
      </c>
      <c r="AB3930">
        <v>26</v>
      </c>
      <c r="AC3930">
        <v>-36.950400000000002</v>
      </c>
      <c r="AD3930">
        <v>-1.121452778871</v>
      </c>
      <c r="AE3930">
        <v>-3.7957000000000001</v>
      </c>
      <c r="AF3930">
        <v>-3.8987623056654299</v>
      </c>
      <c r="AG3930">
        <v>-1.121452778871</v>
      </c>
      <c r="AH3930">
        <v>36.905652323390399</v>
      </c>
      <c r="AI3930">
        <v>91.730886670763994</v>
      </c>
      <c r="AJ3930">
        <v>96.030435492920603</v>
      </c>
      <c r="AK3930">
        <v>37.127956815131697</v>
      </c>
      <c r="AL3930">
        <v>80.260185771406498</v>
      </c>
      <c r="AM3930">
        <v>90.577632701777404</v>
      </c>
      <c r="AN3930">
        <v>1.0000000372328099</v>
      </c>
    </row>
    <row r="3931" spans="1:40" x14ac:dyDescent="0.25">
      <c r="A3931" t="str">
        <f>"20190303161950613"</f>
        <v>20190303161950613</v>
      </c>
      <c r="B3931" t="str">
        <f>"1551601190606798"</f>
        <v>1551601190606798</v>
      </c>
      <c r="C3931" t="s">
        <v>40</v>
      </c>
      <c r="D3931">
        <v>4.4117839999999999</v>
      </c>
      <c r="E3931">
        <v>0.46500279999999999</v>
      </c>
      <c r="F3931" t="s">
        <v>49</v>
      </c>
      <c r="G3931">
        <v>-473.36840000000001</v>
      </c>
      <c r="H3931" s="1">
        <v>4.7285419999999996E-6</v>
      </c>
      <c r="I3931">
        <v>280.1343</v>
      </c>
      <c r="J3931">
        <v>-437.78039999999999</v>
      </c>
      <c r="K3931">
        <v>1.121453</v>
      </c>
      <c r="L3931">
        <v>283.72770000000003</v>
      </c>
      <c r="M3931">
        <v>-0.99990129999999999</v>
      </c>
      <c r="N3931">
        <v>-1.372436E-2</v>
      </c>
      <c r="O3931">
        <v>3.0286409999999999E-3</v>
      </c>
      <c r="P3931">
        <v>-0.98782530000000002</v>
      </c>
      <c r="Q3931">
        <v>0.155446</v>
      </c>
      <c r="R3931">
        <v>-6.1591559999999998E-3</v>
      </c>
      <c r="S3931">
        <v>-3.0499269999999998</v>
      </c>
      <c r="T3931">
        <v>-9.5417260000000004E-2</v>
      </c>
      <c r="U3931">
        <v>-0.30566409999999899</v>
      </c>
      <c r="V3931">
        <v>-9.1013139999999992E-3</v>
      </c>
      <c r="W3931">
        <v>0.168991</v>
      </c>
      <c r="X3931">
        <v>0.9855756</v>
      </c>
      <c r="Y3931">
        <v>-0.1026618</v>
      </c>
      <c r="Z3931">
        <v>-2.3610520000000002E-3</v>
      </c>
      <c r="AA3931">
        <v>0.99471350000000003</v>
      </c>
      <c r="AB3931">
        <v>26</v>
      </c>
      <c r="AC3931">
        <v>-35.588000000000001</v>
      </c>
      <c r="AD3931">
        <v>-1.1214482714579901</v>
      </c>
      <c r="AE3931">
        <v>-3.5934000000000301</v>
      </c>
      <c r="AF3931">
        <v>-3.6975423163099501</v>
      </c>
      <c r="AG3931">
        <v>-1.1214482714579901</v>
      </c>
      <c r="AH3931">
        <v>35.5420154156621</v>
      </c>
      <c r="AI3931">
        <v>91.797545029720695</v>
      </c>
      <c r="AJ3931">
        <v>95.939286345629299</v>
      </c>
      <c r="AK3931">
        <v>35.751424100497303</v>
      </c>
      <c r="AL3931">
        <v>80.270841415978296</v>
      </c>
      <c r="AM3931">
        <v>90.529083774051401</v>
      </c>
      <c r="AN3931">
        <v>1.00000002765644</v>
      </c>
    </row>
    <row r="3932" spans="1:40" x14ac:dyDescent="0.25">
      <c r="A3932" t="str">
        <f>"20190303161950637"</f>
        <v>20190303161950637</v>
      </c>
      <c r="B3932" t="str">
        <f>"1551601190626318"</f>
        <v>1551601190626318</v>
      </c>
      <c r="C3932" t="s">
        <v>40</v>
      </c>
      <c r="D3932">
        <v>4.4087730000000001</v>
      </c>
      <c r="E3932">
        <v>0.46510869999999999</v>
      </c>
      <c r="F3932" t="s">
        <v>49</v>
      </c>
      <c r="G3932">
        <v>-473.41820000000001</v>
      </c>
      <c r="H3932" s="1">
        <v>4.713384E-6</v>
      </c>
      <c r="I3932">
        <v>280.21379999999999</v>
      </c>
      <c r="J3932">
        <v>-438.04730000000001</v>
      </c>
      <c r="K3932">
        <v>1.121445</v>
      </c>
      <c r="L3932">
        <v>283.7287</v>
      </c>
      <c r="M3932">
        <v>-0.99990080000000003</v>
      </c>
      <c r="N3932">
        <v>-1.373461E-2</v>
      </c>
      <c r="O3932">
        <v>3.176197E-3</v>
      </c>
      <c r="P3932">
        <v>-0.98786770000000002</v>
      </c>
      <c r="Q3932">
        <v>0.15520329999999999</v>
      </c>
      <c r="R3932">
        <v>-5.4477249999999996E-3</v>
      </c>
      <c r="S3932">
        <v>-3.0502009999999999</v>
      </c>
      <c r="T3932">
        <v>-9.5983509999999994E-2</v>
      </c>
      <c r="U3932">
        <v>-0.30075069999999998</v>
      </c>
      <c r="V3932">
        <v>-8.5362960000000005E-3</v>
      </c>
      <c r="W3932">
        <v>0.16875879999999999</v>
      </c>
      <c r="X3932">
        <v>0.98562039999999995</v>
      </c>
      <c r="Y3932">
        <v>-0.1012132</v>
      </c>
      <c r="Z3932">
        <v>-2.3414360000000001E-3</v>
      </c>
      <c r="AA3932">
        <v>0.99486200000000002</v>
      </c>
      <c r="AB3932">
        <v>26</v>
      </c>
      <c r="AC3932">
        <v>-35.370899999999999</v>
      </c>
      <c r="AD3932">
        <v>-1.121440286616</v>
      </c>
      <c r="AE3932">
        <v>-3.5149000000000101</v>
      </c>
      <c r="AF3932">
        <v>-3.62363087290997</v>
      </c>
      <c r="AG3932">
        <v>-1.121440286616</v>
      </c>
      <c r="AH3932">
        <v>35.324394998233501</v>
      </c>
      <c r="AI3932">
        <v>91.808867002185195</v>
      </c>
      <c r="AJ3932">
        <v>95.857002329981796</v>
      </c>
      <c r="AK3932">
        <v>35.5274712160994</v>
      </c>
      <c r="AL3932">
        <v>80.284338960244597</v>
      </c>
      <c r="AM3932">
        <v>90.496216905656397</v>
      </c>
      <c r="AN3932">
        <v>0.99999998691149905</v>
      </c>
    </row>
    <row r="3933" spans="1:40" x14ac:dyDescent="0.25">
      <c r="A3933" t="str">
        <f>"20190303161950658"</f>
        <v>20190303161950658</v>
      </c>
      <c r="B3933" t="str">
        <f>"1551601190645838"</f>
        <v>1551601190645838</v>
      </c>
      <c r="C3933" t="s">
        <v>40</v>
      </c>
      <c r="D3933">
        <v>4.5633650000000001</v>
      </c>
      <c r="E3933">
        <v>0.46525749999999999</v>
      </c>
      <c r="F3933" t="s">
        <v>49</v>
      </c>
      <c r="G3933">
        <v>-473.00740000000002</v>
      </c>
      <c r="H3933" s="1">
        <v>4.904952E-6</v>
      </c>
      <c r="I3933">
        <v>280.32119999999998</v>
      </c>
      <c r="J3933">
        <v>-438.30619999999999</v>
      </c>
      <c r="K3933">
        <v>1.1214409999999999</v>
      </c>
      <c r="L3933">
        <v>283.72969999999998</v>
      </c>
      <c r="M3933">
        <v>-0.99990020000000002</v>
      </c>
      <c r="N3933">
        <v>-1.3736470000000001E-2</v>
      </c>
      <c r="O3933">
        <v>3.319401E-3</v>
      </c>
      <c r="P3933">
        <v>-0.98784830000000001</v>
      </c>
      <c r="Q3933">
        <v>0.1553254</v>
      </c>
      <c r="R3933">
        <v>-5.4966629999999997E-3</v>
      </c>
      <c r="S3933">
        <v>-3.0505680000000002</v>
      </c>
      <c r="T3933">
        <v>-9.7855090000000006E-2</v>
      </c>
      <c r="U3933">
        <v>-0.29733280000000001</v>
      </c>
      <c r="V3933">
        <v>-8.725979E-3</v>
      </c>
      <c r="W3933">
        <v>0.16888239999999999</v>
      </c>
      <c r="X3933">
        <v>0.98559759999999996</v>
      </c>
      <c r="Y3933">
        <v>-0.1002381</v>
      </c>
      <c r="Z3933">
        <v>-2.3545839999999998E-3</v>
      </c>
      <c r="AA3933">
        <v>0.99496070000000003</v>
      </c>
      <c r="AB3933">
        <v>26</v>
      </c>
      <c r="AC3933">
        <v>-34.7012</v>
      </c>
      <c r="AD3933">
        <v>-1.121436095048</v>
      </c>
      <c r="AE3933">
        <v>-3.4085000000000001</v>
      </c>
      <c r="AF3933">
        <v>-3.5200381376834802</v>
      </c>
      <c r="AG3933">
        <v>-1.121436095048</v>
      </c>
      <c r="AH3933">
        <v>34.653847472542097</v>
      </c>
      <c r="AI3933">
        <v>91.844024509257096</v>
      </c>
      <c r="AJ3933">
        <v>95.800046927317496</v>
      </c>
      <c r="AK3933">
        <v>34.850214232573002</v>
      </c>
      <c r="AL3933">
        <v>80.277154385127204</v>
      </c>
      <c r="AM3933">
        <v>90.507254386966807</v>
      </c>
      <c r="AN3933">
        <v>1.00000001843251</v>
      </c>
    </row>
    <row r="3934" spans="1:40" x14ac:dyDescent="0.25">
      <c r="A3934" t="str">
        <f>"20190303161950680"</f>
        <v>20190303161950680</v>
      </c>
      <c r="B3934" t="str">
        <f>"1551601190676094"</f>
        <v>1551601190676094</v>
      </c>
      <c r="C3934" t="s">
        <v>40</v>
      </c>
      <c r="D3934">
        <v>4.4722900000000001</v>
      </c>
      <c r="E3934">
        <v>0.46547230000000001</v>
      </c>
      <c r="F3934" t="s">
        <v>49</v>
      </c>
      <c r="G3934">
        <v>-473.59589999999997</v>
      </c>
      <c r="H3934" s="1">
        <v>4.6421669999999999E-6</v>
      </c>
      <c r="I3934">
        <v>280.30020000000002</v>
      </c>
      <c r="J3934">
        <v>-438.5675</v>
      </c>
      <c r="K3934">
        <v>1.1214409999999999</v>
      </c>
      <c r="L3934">
        <v>283.73070000000001</v>
      </c>
      <c r="M3934">
        <v>-0.99989969999999995</v>
      </c>
      <c r="N3934">
        <v>-1.373226E-2</v>
      </c>
      <c r="O3934">
        <v>3.4637800000000001E-3</v>
      </c>
      <c r="P3934">
        <v>-0.9878072</v>
      </c>
      <c r="Q3934">
        <v>0.1555772</v>
      </c>
      <c r="R3934">
        <v>-5.7364709999999999E-3</v>
      </c>
      <c r="S3934">
        <v>-3.0504760000000002</v>
      </c>
      <c r="T3934">
        <v>-9.6938010000000005E-2</v>
      </c>
      <c r="U3934">
        <v>-0.29644779999999998</v>
      </c>
      <c r="V3934">
        <v>-9.1090830000000005E-3</v>
      </c>
      <c r="W3934">
        <v>0.16912959999999999</v>
      </c>
      <c r="X3934">
        <v>0.98555170000000003</v>
      </c>
      <c r="Y3934">
        <v>-0.10009999999999999</v>
      </c>
      <c r="Z3934">
        <v>-2.33789E-3</v>
      </c>
      <c r="AA3934">
        <v>0.99497460000000004</v>
      </c>
      <c r="AB3934">
        <v>26</v>
      </c>
      <c r="AC3934">
        <v>-35.028399999999898</v>
      </c>
      <c r="AD3934">
        <v>-1.121436357833</v>
      </c>
      <c r="AE3934">
        <v>-3.4304999999999901</v>
      </c>
      <c r="AF3934">
        <v>-3.5482192833733102</v>
      </c>
      <c r="AG3934">
        <v>-1.121436357833</v>
      </c>
      <c r="AH3934">
        <v>34.980792770415398</v>
      </c>
      <c r="AI3934">
        <v>91.826828005196802</v>
      </c>
      <c r="AJ3934">
        <v>95.791893798149403</v>
      </c>
      <c r="AK3934">
        <v>35.178165705936301</v>
      </c>
      <c r="AL3934">
        <v>80.262783727941795</v>
      </c>
      <c r="AM3934">
        <v>90.529548221836606</v>
      </c>
      <c r="AN3934">
        <v>0.99999997518107497</v>
      </c>
    </row>
    <row r="3935" spans="1:40" x14ac:dyDescent="0.25">
      <c r="A3935" t="str">
        <f>"20190303161950703"</f>
        <v>20190303161950703</v>
      </c>
      <c r="B3935" t="str">
        <f>"1551601190696590"</f>
        <v>1551601190696590</v>
      </c>
      <c r="C3935" t="s">
        <v>40</v>
      </c>
      <c r="D3935">
        <v>4.5155880000000002</v>
      </c>
      <c r="E3935">
        <v>0.46539170000000002</v>
      </c>
      <c r="F3935" t="s">
        <v>49</v>
      </c>
      <c r="G3935">
        <v>-475.41649999999998</v>
      </c>
      <c r="H3935" s="1">
        <v>3.8223790000000001E-6</v>
      </c>
      <c r="I3935">
        <v>280.1583</v>
      </c>
      <c r="J3935">
        <v>-438.82929999999999</v>
      </c>
      <c r="K3935">
        <v>1.12144</v>
      </c>
      <c r="L3935">
        <v>283.73180000000002</v>
      </c>
      <c r="M3935">
        <v>-0.99989939999999999</v>
      </c>
      <c r="N3935">
        <v>-1.372454E-2</v>
      </c>
      <c r="O3935">
        <v>3.608422E-3</v>
      </c>
      <c r="P3935">
        <v>-0.9877842</v>
      </c>
      <c r="Q3935">
        <v>0.15572620000000001</v>
      </c>
      <c r="R3935">
        <v>-5.6699019999999897E-3</v>
      </c>
      <c r="S3935">
        <v>-3.0498959999999999</v>
      </c>
      <c r="T3935">
        <v>-9.2818499999999998E-2</v>
      </c>
      <c r="U3935">
        <v>-0.29568480000000003</v>
      </c>
      <c r="V3935">
        <v>-9.1849879999999998E-3</v>
      </c>
      <c r="W3935">
        <v>0.16927059999999999</v>
      </c>
      <c r="X3935">
        <v>0.98552680000000004</v>
      </c>
      <c r="Y3935">
        <v>-0.10002080000000001</v>
      </c>
      <c r="Z3935">
        <v>-2.266447E-3</v>
      </c>
      <c r="AA3935">
        <v>0.99498279999999995</v>
      </c>
      <c r="AB3935">
        <v>26</v>
      </c>
      <c r="AC3935">
        <v>-36.587200000000003</v>
      </c>
      <c r="AD3935">
        <v>-1.121436177621</v>
      </c>
      <c r="AE3935">
        <v>-3.5735000000000201</v>
      </c>
      <c r="AF3935">
        <v>-3.7020660338093601</v>
      </c>
      <c r="AG3935">
        <v>-1.121436177621</v>
      </c>
      <c r="AH3935">
        <v>36.540061325553999</v>
      </c>
      <c r="AI3935">
        <v>91.748941970512703</v>
      </c>
      <c r="AJ3935">
        <v>95.785196441783498</v>
      </c>
      <c r="AK3935">
        <v>36.744237557669003</v>
      </c>
      <c r="AL3935">
        <v>80.254586951832096</v>
      </c>
      <c r="AM3935">
        <v>90.533974125354902</v>
      </c>
      <c r="AN3935">
        <v>0.99999998677358004</v>
      </c>
    </row>
    <row r="3936" spans="1:40" x14ac:dyDescent="0.25">
      <c r="A3936" t="str">
        <f>"20190303161950726"</f>
        <v>20190303161950726</v>
      </c>
      <c r="B3936" t="str">
        <f>"1551601190716110"</f>
        <v>1551601190716110</v>
      </c>
      <c r="C3936" t="s">
        <v>40</v>
      </c>
      <c r="D3936">
        <v>4.5687540000000002</v>
      </c>
      <c r="E3936">
        <v>0.46541969999999999</v>
      </c>
      <c r="F3936" t="s">
        <v>49</v>
      </c>
      <c r="G3936">
        <v>-475.36349999999999</v>
      </c>
      <c r="H3936" s="1">
        <v>3.8479720000000003E-6</v>
      </c>
      <c r="I3936">
        <v>280.18209999999999</v>
      </c>
      <c r="J3936">
        <v>-439.09140000000002</v>
      </c>
      <c r="K3936">
        <v>1.1214409999999999</v>
      </c>
      <c r="L3936">
        <v>283.73289999999997</v>
      </c>
      <c r="M3936">
        <v>-0.99989890000000003</v>
      </c>
      <c r="N3936">
        <v>-1.371557E-2</v>
      </c>
      <c r="O3936">
        <v>3.7531919999999998E-3</v>
      </c>
      <c r="P3936">
        <v>-0.98780570000000001</v>
      </c>
      <c r="Q3936">
        <v>0.15560079999999901</v>
      </c>
      <c r="R3936">
        <v>-5.3326040000000003E-3</v>
      </c>
      <c r="S3936">
        <v>-3.0501399999999999</v>
      </c>
      <c r="T3936">
        <v>-9.3625780000000006E-2</v>
      </c>
      <c r="U3936">
        <v>-0.29635620000000001</v>
      </c>
      <c r="V3936">
        <v>-8.9911149999999992E-3</v>
      </c>
      <c r="W3936">
        <v>0.16913719999999999</v>
      </c>
      <c r="X3936">
        <v>0.98555150000000002</v>
      </c>
      <c r="Y3936">
        <v>-0.1003729</v>
      </c>
      <c r="Z3936">
        <v>-2.2903060000000002E-3</v>
      </c>
      <c r="AA3936">
        <v>0.99494729999999998</v>
      </c>
      <c r="AB3936">
        <v>26</v>
      </c>
      <c r="AC3936">
        <v>-36.272099999999902</v>
      </c>
      <c r="AD3936">
        <v>-1.121437152028</v>
      </c>
      <c r="AE3936">
        <v>-3.5507999999999802</v>
      </c>
      <c r="AF3936">
        <v>-3.6834364363741998</v>
      </c>
      <c r="AG3936">
        <v>-1.121437152028</v>
      </c>
      <c r="AH3936">
        <v>36.224218972597299</v>
      </c>
      <c r="AI3936">
        <v>91.764117721628693</v>
      </c>
      <c r="AJ3936">
        <v>95.8061281886269</v>
      </c>
      <c r="AK3936">
        <v>36.428277003468502</v>
      </c>
      <c r="AL3936">
        <v>80.262342118230407</v>
      </c>
      <c r="AM3936">
        <v>90.522690748932902</v>
      </c>
      <c r="AN3936">
        <v>0.99999999586251598</v>
      </c>
    </row>
    <row r="3937" spans="1:40" x14ac:dyDescent="0.25">
      <c r="A3937" t="str">
        <f>"20190303161950748"</f>
        <v>20190303161950748</v>
      </c>
      <c r="B3937" t="str">
        <f>"1551601190736606"</f>
        <v>1551601190736606</v>
      </c>
      <c r="C3937" t="s">
        <v>40</v>
      </c>
      <c r="D3937">
        <v>4.6453569999999997</v>
      </c>
      <c r="E3937">
        <v>0.4875273</v>
      </c>
      <c r="F3937" t="s">
        <v>49</v>
      </c>
      <c r="G3937">
        <v>-474.9554</v>
      </c>
      <c r="H3937" s="1">
        <v>4.0365369999999998E-6</v>
      </c>
      <c r="I3937">
        <v>280.2688</v>
      </c>
      <c r="J3937">
        <v>-439.35270000000003</v>
      </c>
      <c r="K3937">
        <v>1.12144</v>
      </c>
      <c r="L3937">
        <v>283.73410000000001</v>
      </c>
      <c r="M3937">
        <v>-0.99989859999999997</v>
      </c>
      <c r="N3937">
        <v>-1.370651E-2</v>
      </c>
      <c r="O3937">
        <v>3.8977819999999998E-3</v>
      </c>
      <c r="P3937">
        <v>-0.98776319999999995</v>
      </c>
      <c r="Q3937">
        <v>0.1558774</v>
      </c>
      <c r="R3937">
        <v>-5.134553E-3</v>
      </c>
      <c r="S3937">
        <v>-3.0504760000000002</v>
      </c>
      <c r="T3937">
        <v>-9.5385910000000004E-2</v>
      </c>
      <c r="U3937">
        <v>-0.2946472</v>
      </c>
      <c r="V3937">
        <v>-8.9357159999999998E-3</v>
      </c>
      <c r="W3937">
        <v>0.16940359999999999</v>
      </c>
      <c r="X3937">
        <v>0.9855062</v>
      </c>
      <c r="Y3937">
        <v>-9.9952089999999993E-2</v>
      </c>
      <c r="Z3937">
        <v>-2.3138429999999999E-3</v>
      </c>
      <c r="AA3937">
        <v>0.99498960000000003</v>
      </c>
      <c r="AB3937">
        <v>26</v>
      </c>
      <c r="AC3937">
        <v>-35.602699999999899</v>
      </c>
      <c r="AD3937">
        <v>-1.121435963463</v>
      </c>
      <c r="AE3937">
        <v>-3.4653000000000098</v>
      </c>
      <c r="AF3937">
        <v>-3.6005194752382401</v>
      </c>
      <c r="AG3937">
        <v>-1.121435963463</v>
      </c>
      <c r="AH3937">
        <v>35.5539769498928</v>
      </c>
      <c r="AI3937">
        <v>91.7974252022874</v>
      </c>
      <c r="AJ3937">
        <v>95.782578550761798</v>
      </c>
      <c r="AK3937">
        <v>35.753414327378998</v>
      </c>
      <c r="AL3937">
        <v>80.246854571759897</v>
      </c>
      <c r="AM3937">
        <v>90.519494229460705</v>
      </c>
      <c r="AN3937">
        <v>0.999999948475915</v>
      </c>
    </row>
    <row r="3938" spans="1:40" x14ac:dyDescent="0.25">
      <c r="A3938" t="str">
        <f>"20190303161950771"</f>
        <v>20190303161950771</v>
      </c>
      <c r="B3938" t="str">
        <f>"1551601190766862"</f>
        <v>1551601190766862</v>
      </c>
      <c r="C3938" t="s">
        <v>40</v>
      </c>
      <c r="D3938">
        <v>4.6265179999999999</v>
      </c>
      <c r="E3938">
        <v>0.53251740000000003</v>
      </c>
      <c r="F3938" t="s">
        <v>52</v>
      </c>
      <c r="G3938">
        <v>-452.83300000000003</v>
      </c>
      <c r="H3938" s="1">
        <v>3.2077539999999997E-8</v>
      </c>
      <c r="I3938">
        <v>283.21449999999999</v>
      </c>
      <c r="J3938">
        <v>-439.6173</v>
      </c>
      <c r="K3938">
        <v>1.1214459999999999</v>
      </c>
      <c r="L3938">
        <v>283.73540000000003</v>
      </c>
      <c r="M3938">
        <v>-0.99989799999999995</v>
      </c>
      <c r="N3938">
        <v>-1.369737E-2</v>
      </c>
      <c r="O3938">
        <v>4.0443390000000001E-3</v>
      </c>
      <c r="P3938">
        <v>-0.98769929999999995</v>
      </c>
      <c r="Q3938">
        <v>0.15626409999999999</v>
      </c>
      <c r="R3938">
        <v>-5.614094E-3</v>
      </c>
      <c r="S3938">
        <v>-3.0769350000000002</v>
      </c>
      <c r="T3938">
        <v>-0.25597209999999998</v>
      </c>
      <c r="U3938">
        <v>-0.1185913</v>
      </c>
      <c r="V3938">
        <v>-9.5600870000000001E-3</v>
      </c>
      <c r="W3938">
        <v>0.1697805</v>
      </c>
      <c r="X3938">
        <v>0.98543550000000002</v>
      </c>
      <c r="Y3938">
        <v>-4.2374759999999997E-2</v>
      </c>
      <c r="Z3938">
        <v>-2.330272E-3</v>
      </c>
      <c r="AA3938">
        <v>0.99909910000000002</v>
      </c>
      <c r="AB3938">
        <v>26</v>
      </c>
      <c r="AC3938">
        <v>-13.2157</v>
      </c>
      <c r="AD3938">
        <v>-1.12144596792246</v>
      </c>
      <c r="AE3938">
        <v>-0.52090000000004</v>
      </c>
      <c r="AF3938">
        <v>-0.570249681987122</v>
      </c>
      <c r="AG3938">
        <v>-1.12144596792246</v>
      </c>
      <c r="AH3938">
        <v>13.119164013768399</v>
      </c>
      <c r="AI3938">
        <v>94.881265686612593</v>
      </c>
      <c r="AJ3938">
        <v>92.488904491594099</v>
      </c>
      <c r="AK3938">
        <v>13.1793509012748</v>
      </c>
      <c r="AL3938">
        <v>80.224942581949804</v>
      </c>
      <c r="AM3938">
        <v>90.555830852045901</v>
      </c>
      <c r="AN3938">
        <v>0.99999996905197297</v>
      </c>
    </row>
    <row r="3939" spans="1:40" x14ac:dyDescent="0.25">
      <c r="A3939" t="str">
        <f>"20190303161950793"</f>
        <v>20190303161950793</v>
      </c>
      <c r="B3939" t="str">
        <f>"1551601190786383"</f>
        <v>1551601190786383</v>
      </c>
      <c r="C3939" t="s">
        <v>40</v>
      </c>
      <c r="D3939">
        <v>4.6110509999999998</v>
      </c>
      <c r="E3939">
        <v>0.5337674</v>
      </c>
      <c r="F3939" t="s">
        <v>42</v>
      </c>
      <c r="G3939">
        <v>-440.45499999999998</v>
      </c>
      <c r="H3939">
        <v>0.9401678</v>
      </c>
      <c r="I3939">
        <v>283.79910000000001</v>
      </c>
      <c r="J3939">
        <v>-439.86869999999999</v>
      </c>
      <c r="K3939">
        <v>1.1214489999999999</v>
      </c>
      <c r="L3939">
        <v>283.73649999999998</v>
      </c>
      <c r="M3939">
        <v>-0.99989760000000005</v>
      </c>
      <c r="N3939">
        <v>-1.3688840000000001E-2</v>
      </c>
      <c r="O3939">
        <v>4.1835010000000001E-3</v>
      </c>
      <c r="P3939">
        <v>-0.9875758</v>
      </c>
      <c r="Q3939">
        <v>0.1570289</v>
      </c>
      <c r="R3939">
        <v>-6.0270080000000004E-3</v>
      </c>
      <c r="S3939">
        <v>-3.1464840000000001</v>
      </c>
      <c r="T3939">
        <v>-0.68094379999999999</v>
      </c>
      <c r="U3939">
        <v>0.23770140000000001</v>
      </c>
      <c r="V3939">
        <v>-1.0109460000000001E-2</v>
      </c>
      <c r="W3939">
        <v>0.1705351</v>
      </c>
      <c r="X3939">
        <v>0.98529979999999995</v>
      </c>
      <c r="Y3939">
        <v>6.9537539999999995E-2</v>
      </c>
      <c r="Z3939">
        <v>7.0733819999999996E-3</v>
      </c>
      <c r="AA3939">
        <v>0.99755419999999995</v>
      </c>
      <c r="AB3939">
        <v>26</v>
      </c>
      <c r="AC3939">
        <v>-0.58629999999999405</v>
      </c>
      <c r="AD3939">
        <v>-0.181281199999999</v>
      </c>
      <c r="AE3939">
        <v>6.26000000000317E-2</v>
      </c>
      <c r="AF3939">
        <v>5.4952132470032597E-2</v>
      </c>
      <c r="AG3939">
        <v>-0.181281199999999</v>
      </c>
      <c r="AH3939">
        <v>0.53590117995517605</v>
      </c>
      <c r="AI3939">
        <v>108.598551089159</v>
      </c>
      <c r="AJ3939">
        <v>84.145265679859804</v>
      </c>
      <c r="AK3939">
        <v>0.56839483197315799</v>
      </c>
      <c r="AL3939">
        <v>80.181068232954402</v>
      </c>
      <c r="AM3939">
        <v>90.587850587812895</v>
      </c>
      <c r="AN3939">
        <v>1.0000000586967599</v>
      </c>
    </row>
    <row r="3940" spans="1:40" x14ac:dyDescent="0.25">
      <c r="A3940" t="str">
        <f>"20190303161950815"</f>
        <v>20190303161950815</v>
      </c>
      <c r="B3940" t="str">
        <f>"1551601190805902"</f>
        <v>1551601190805902</v>
      </c>
      <c r="C3940" t="s">
        <v>40</v>
      </c>
      <c r="D3940">
        <v>4.6024190000000003</v>
      </c>
      <c r="E3940">
        <v>0.53404189999999996</v>
      </c>
      <c r="F3940" t="s">
        <v>42</v>
      </c>
      <c r="G3940">
        <v>-440.68009999999998</v>
      </c>
      <c r="H3940">
        <v>0.92513250000000002</v>
      </c>
      <c r="I3940">
        <v>283.79950000000002</v>
      </c>
      <c r="J3940">
        <v>-440.13470000000001</v>
      </c>
      <c r="K3940">
        <v>1.1214569999999999</v>
      </c>
      <c r="L3940">
        <v>283.73779999999999</v>
      </c>
      <c r="M3940">
        <v>-0.99989720000000004</v>
      </c>
      <c r="N3940">
        <v>-1.3680090000000001E-2</v>
      </c>
      <c r="O3940">
        <v>4.3309480000000003E-3</v>
      </c>
      <c r="P3940">
        <v>-0.98748069999999999</v>
      </c>
      <c r="Q3940">
        <v>0.15760959999999999</v>
      </c>
      <c r="R3940">
        <v>-6.4343400000000002E-3</v>
      </c>
      <c r="S3940">
        <v>-3.1608890000000001</v>
      </c>
      <c r="T3940">
        <v>-0.7648199</v>
      </c>
      <c r="U3940">
        <v>0.2453613</v>
      </c>
      <c r="V3940">
        <v>-1.0662319999999999E-2</v>
      </c>
      <c r="W3940">
        <v>0.17110649999999999</v>
      </c>
      <c r="X3940">
        <v>0.98519489999999998</v>
      </c>
      <c r="Y3940">
        <v>7.1026370000000005E-2</v>
      </c>
      <c r="Z3940">
        <v>7.9792140000000001E-3</v>
      </c>
      <c r="AA3940">
        <v>0.99744250000000001</v>
      </c>
      <c r="AB3940">
        <v>26</v>
      </c>
      <c r="AC3940">
        <v>-0.54539999999997202</v>
      </c>
      <c r="AD3940">
        <v>-0.19632449999999901</v>
      </c>
      <c r="AE3940">
        <v>6.1700000000030203E-2</v>
      </c>
      <c r="AF3940">
        <v>5.2606754817042703E-2</v>
      </c>
      <c r="AG3940">
        <v>-0.19632449999999901</v>
      </c>
      <c r="AH3940">
        <v>0.48377007091402702</v>
      </c>
      <c r="AI3940">
        <v>111.97129428624</v>
      </c>
      <c r="AJ3940">
        <v>83.793853869431103</v>
      </c>
      <c r="AK3940">
        <v>0.52473256184917005</v>
      </c>
      <c r="AL3940">
        <v>80.147841021931498</v>
      </c>
      <c r="AM3940">
        <v>90.620062168597997</v>
      </c>
      <c r="AN3940">
        <v>1.0000000551980099</v>
      </c>
    </row>
    <row r="3941" spans="1:40" x14ac:dyDescent="0.25">
      <c r="A3941" t="str">
        <f>"20190303161950838"</f>
        <v>20190303161950838</v>
      </c>
      <c r="B3941" t="str">
        <f>"1551601190826399"</f>
        <v>1551601190826399</v>
      </c>
      <c r="C3941" t="s">
        <v>40</v>
      </c>
      <c r="D3941">
        <v>4.6149129999999996</v>
      </c>
      <c r="E3941">
        <v>0.5341323</v>
      </c>
      <c r="F3941" t="s">
        <v>42</v>
      </c>
      <c r="G3941">
        <v>-440.9119</v>
      </c>
      <c r="H3941">
        <v>0.92426819999999998</v>
      </c>
      <c r="I3941">
        <v>283.79849999999999</v>
      </c>
      <c r="J3941">
        <v>-440.39080000000001</v>
      </c>
      <c r="K3941">
        <v>1.121461</v>
      </c>
      <c r="L3941">
        <v>283.73899999999998</v>
      </c>
      <c r="M3941">
        <v>-0.99989649999999997</v>
      </c>
      <c r="N3941">
        <v>-1.3672E-2</v>
      </c>
      <c r="O3941">
        <v>4.4732670000000004E-3</v>
      </c>
      <c r="P3941">
        <v>-0.9874638</v>
      </c>
      <c r="Q3941">
        <v>0.15771969999999999</v>
      </c>
      <c r="R3941">
        <v>-6.3111919999999898E-3</v>
      </c>
      <c r="S3941">
        <v>-3.1679379999999999</v>
      </c>
      <c r="T3941">
        <v>-0.80378280000000002</v>
      </c>
      <c r="U3941">
        <v>0.24575810000000001</v>
      </c>
      <c r="V3941">
        <v>-1.067997E-2</v>
      </c>
      <c r="W3941">
        <v>0.1712079</v>
      </c>
      <c r="X3941">
        <v>0.98517699999999997</v>
      </c>
      <c r="Y3941">
        <v>7.0659399999999997E-2</v>
      </c>
      <c r="Z3941">
        <v>8.2478020000000003E-3</v>
      </c>
      <c r="AA3941">
        <v>0.99746639999999998</v>
      </c>
      <c r="AB3941">
        <v>26</v>
      </c>
      <c r="AC3941">
        <v>-0.52109999999998902</v>
      </c>
      <c r="AD3941">
        <v>-0.1971928</v>
      </c>
      <c r="AE3941">
        <v>5.9499999999957198E-2</v>
      </c>
      <c r="AF3941">
        <v>5.0087933595370601E-2</v>
      </c>
      <c r="AG3941">
        <v>-0.1971928</v>
      </c>
      <c r="AH3941">
        <v>0.45679081397806298</v>
      </c>
      <c r="AI3941">
        <v>113.225121353793</v>
      </c>
      <c r="AJ3941">
        <v>83.742414303485205</v>
      </c>
      <c r="AK3941">
        <v>0.50005164653107204</v>
      </c>
      <c r="AL3941">
        <v>80.141943307900405</v>
      </c>
      <c r="AM3941">
        <v>90.621099799521502</v>
      </c>
      <c r="AN3941">
        <v>0.999999964055304</v>
      </c>
    </row>
    <row r="3942" spans="1:40" x14ac:dyDescent="0.25">
      <c r="A3942" t="str">
        <f>"20190303161950860"</f>
        <v>20190303161950860</v>
      </c>
      <c r="B3942" t="str">
        <f>"1551601190856655"</f>
        <v>1551601190856655</v>
      </c>
      <c r="C3942" t="s">
        <v>40</v>
      </c>
      <c r="D3942">
        <v>4.6250070000000001</v>
      </c>
      <c r="E3942">
        <v>0.53408259999999996</v>
      </c>
      <c r="F3942" t="s">
        <v>42</v>
      </c>
      <c r="G3942">
        <v>-441.14510000000001</v>
      </c>
      <c r="H3942">
        <v>0.9268208</v>
      </c>
      <c r="I3942">
        <v>283.79790000000003</v>
      </c>
      <c r="J3942">
        <v>-440.64879999999999</v>
      </c>
      <c r="K3942">
        <v>1.121461</v>
      </c>
      <c r="L3942">
        <v>283.74040000000002</v>
      </c>
      <c r="M3942">
        <v>-0.99989600000000001</v>
      </c>
      <c r="N3942">
        <v>-1.366679E-2</v>
      </c>
      <c r="O3942">
        <v>4.6161049999999997E-3</v>
      </c>
      <c r="P3942">
        <v>-0.98749299999999995</v>
      </c>
      <c r="Q3942">
        <v>0.1575279</v>
      </c>
      <c r="R3942">
        <v>-6.5149099999999996E-3</v>
      </c>
      <c r="S3942">
        <v>-3.1703489999999999</v>
      </c>
      <c r="T3942">
        <v>-0.81808809999999998</v>
      </c>
      <c r="U3942">
        <v>0.2479248</v>
      </c>
      <c r="V3942">
        <v>-1.10247E-2</v>
      </c>
      <c r="W3942">
        <v>0.171012</v>
      </c>
      <c r="X3942">
        <v>0.98520730000000001</v>
      </c>
      <c r="Y3942">
        <v>7.1053969999999994E-2</v>
      </c>
      <c r="Z3942">
        <v>8.3930250000000001E-3</v>
      </c>
      <c r="AA3942">
        <v>0.99743720000000002</v>
      </c>
      <c r="AB3942">
        <v>26</v>
      </c>
      <c r="AC3942">
        <v>-0.496300000000019</v>
      </c>
      <c r="AD3942">
        <v>-0.19464020000000001</v>
      </c>
      <c r="AE3942">
        <v>5.7500000000004499E-2</v>
      </c>
      <c r="AF3942">
        <v>4.7933356976241098E-2</v>
      </c>
      <c r="AG3942">
        <v>-0.19464020000000001</v>
      </c>
      <c r="AH3942">
        <v>0.43112789952250102</v>
      </c>
      <c r="AI3942">
        <v>114.165901009264</v>
      </c>
      <c r="AJ3942">
        <v>83.655836241553999</v>
      </c>
      <c r="AK3942">
        <v>0.47545102788166899</v>
      </c>
      <c r="AL3942">
        <v>80.153336281345304</v>
      </c>
      <c r="AM3942">
        <v>90.641126406841806</v>
      </c>
      <c r="AN3942">
        <v>1.00000003606368</v>
      </c>
    </row>
    <row r="3943" spans="1:40" x14ac:dyDescent="0.25">
      <c r="A3943" t="str">
        <f>"20190303161950882"</f>
        <v>20190303161950882</v>
      </c>
      <c r="B3943" t="str">
        <f>"1551601190876389"</f>
        <v>1551601190876389</v>
      </c>
      <c r="C3943" t="s">
        <v>40</v>
      </c>
      <c r="D3943">
        <v>4.6658600000000003</v>
      </c>
      <c r="E3943">
        <v>0.53403480000000003</v>
      </c>
      <c r="F3943" t="s">
        <v>42</v>
      </c>
      <c r="G3943">
        <v>-441.3784</v>
      </c>
      <c r="H3943">
        <v>0.93004299999999995</v>
      </c>
      <c r="I3943">
        <v>283.79759999999999</v>
      </c>
      <c r="J3943">
        <v>-440.9051</v>
      </c>
      <c r="K3943">
        <v>1.121453</v>
      </c>
      <c r="L3943">
        <v>283.74169999999998</v>
      </c>
      <c r="M3943">
        <v>-0.99989519999999998</v>
      </c>
      <c r="N3943">
        <v>-1.366962E-2</v>
      </c>
      <c r="O3943">
        <v>4.7580540000000003E-3</v>
      </c>
      <c r="P3943">
        <v>-0.98757700000000004</v>
      </c>
      <c r="Q3943">
        <v>0.1570193</v>
      </c>
      <c r="R3943">
        <v>-6.0667000000000004E-3</v>
      </c>
      <c r="S3943">
        <v>-3.1724239999999999</v>
      </c>
      <c r="T3943">
        <v>-0.8322716</v>
      </c>
      <c r="U3943">
        <v>0.24670410000000001</v>
      </c>
      <c r="V3943">
        <v>-1.071747E-2</v>
      </c>
      <c r="W3943">
        <v>0.17050689999999999</v>
      </c>
      <c r="X3943">
        <v>0.98529820000000001</v>
      </c>
      <c r="Y3943">
        <v>7.0432399999999895E-2</v>
      </c>
      <c r="Z3943">
        <v>8.4008650000000004E-3</v>
      </c>
      <c r="AA3943">
        <v>0.99748119999999996</v>
      </c>
      <c r="AB3943">
        <v>26</v>
      </c>
      <c r="AC3943">
        <v>-0.473299999999994</v>
      </c>
      <c r="AD3943">
        <v>-0.19141</v>
      </c>
      <c r="AE3943">
        <v>5.59000000000082E-2</v>
      </c>
      <c r="AF3943">
        <v>4.61957053235698E-2</v>
      </c>
      <c r="AG3943">
        <v>-0.19141</v>
      </c>
      <c r="AH3943">
        <v>0.40778419442554498</v>
      </c>
      <c r="AI3943">
        <v>115.00468332857101</v>
      </c>
      <c r="AJ3943">
        <v>83.536819730613104</v>
      </c>
      <c r="AK3943">
        <v>0.45283526862826501</v>
      </c>
      <c r="AL3943">
        <v>80.182707457437999</v>
      </c>
      <c r="AM3943">
        <v>90.6232037991374</v>
      </c>
      <c r="AN3943">
        <v>1.0000000050170199</v>
      </c>
    </row>
    <row r="3944" spans="1:40" x14ac:dyDescent="0.25">
      <c r="A3944" t="str">
        <f>"20190303161950904"</f>
        <v>20190303161950904</v>
      </c>
      <c r="B3944" t="str">
        <f>"1551601190896886"</f>
        <v>1551601190896886</v>
      </c>
      <c r="C3944" t="s">
        <v>40</v>
      </c>
      <c r="D3944">
        <v>4.689902</v>
      </c>
      <c r="E3944">
        <v>0.53382819999999997</v>
      </c>
      <c r="F3944" t="s">
        <v>42</v>
      </c>
      <c r="G3944">
        <v>-441.6121</v>
      </c>
      <c r="H3944">
        <v>0.9346255</v>
      </c>
      <c r="I3944">
        <v>283.79700000000003</v>
      </c>
      <c r="J3944">
        <v>-441.16210000000001</v>
      </c>
      <c r="K3944">
        <v>1.121462</v>
      </c>
      <c r="L3944">
        <v>283.74310000000003</v>
      </c>
      <c r="M3944">
        <v>-0.99989439999999996</v>
      </c>
      <c r="N3944">
        <v>-1.36805E-2</v>
      </c>
      <c r="O3944">
        <v>4.9005419999999999E-3</v>
      </c>
      <c r="P3944">
        <v>-0.98769980000000002</v>
      </c>
      <c r="Q3944">
        <v>0.1562395</v>
      </c>
      <c r="R3944">
        <v>-6.1821910000000001E-3</v>
      </c>
      <c r="S3944">
        <v>-3.172577</v>
      </c>
      <c r="T3944">
        <v>-0.83844229999999997</v>
      </c>
      <c r="U3944">
        <v>0.24829100000000001</v>
      </c>
      <c r="V3944">
        <v>-1.097453E-2</v>
      </c>
      <c r="W3944">
        <v>0.16973959999999999</v>
      </c>
      <c r="X3944">
        <v>0.98542790000000002</v>
      </c>
      <c r="Y3944">
        <v>7.0742479999999996E-2</v>
      </c>
      <c r="Z3944">
        <v>8.4645019999999901E-3</v>
      </c>
      <c r="AA3944">
        <v>0.99745870000000003</v>
      </c>
      <c r="AB3944">
        <v>26</v>
      </c>
      <c r="AC3944">
        <v>-0.44999999999998802</v>
      </c>
      <c r="AD3944">
        <v>-0.18683649999999999</v>
      </c>
      <c r="AE3944">
        <v>5.3899999999998699E-2</v>
      </c>
      <c r="AF3944">
        <v>4.4184846395439799E-2</v>
      </c>
      <c r="AG3944">
        <v>-0.18683649999999999</v>
      </c>
      <c r="AH3944">
        <v>0.38485417465818</v>
      </c>
      <c r="AI3944">
        <v>115.748256038237</v>
      </c>
      <c r="AJ3944">
        <v>83.450586347909194</v>
      </c>
      <c r="AK3944">
        <v>0.430084775521137</v>
      </c>
      <c r="AL3944">
        <v>80.227321382503604</v>
      </c>
      <c r="AM3944">
        <v>90.638066221687694</v>
      </c>
      <c r="AN3944">
        <v>1.0000000591076399</v>
      </c>
    </row>
    <row r="3945" spans="1:40" x14ac:dyDescent="0.25">
      <c r="A3945" t="str">
        <f>"20190303161950928"</f>
        <v>20190303161950928</v>
      </c>
      <c r="B3945" t="str">
        <f>"1551601190916405"</f>
        <v>1551601190916405</v>
      </c>
      <c r="C3945" t="s">
        <v>40</v>
      </c>
      <c r="D3945">
        <v>4.7157330000000002</v>
      </c>
      <c r="E3945">
        <v>0.53433589999999997</v>
      </c>
      <c r="F3945" t="s">
        <v>42</v>
      </c>
      <c r="G3945">
        <v>-441.84539999999998</v>
      </c>
      <c r="H3945">
        <v>0.93900070000000002</v>
      </c>
      <c r="I3945">
        <v>283.79640000000001</v>
      </c>
      <c r="J3945">
        <v>-441.42360000000002</v>
      </c>
      <c r="K3945">
        <v>1.1214649999999999</v>
      </c>
      <c r="L3945">
        <v>283.74450000000002</v>
      </c>
      <c r="M3945">
        <v>-0.99989349999999999</v>
      </c>
      <c r="N3945">
        <v>-1.369546E-2</v>
      </c>
      <c r="O3945">
        <v>5.0457430000000001E-3</v>
      </c>
      <c r="P3945">
        <v>-0.98771779999999998</v>
      </c>
      <c r="Q3945">
        <v>0.15610779999999999</v>
      </c>
      <c r="R3945">
        <v>-6.6499050000000002E-3</v>
      </c>
      <c r="S3945">
        <v>-3.1729129999999999</v>
      </c>
      <c r="T3945">
        <v>-0.84736</v>
      </c>
      <c r="U3945">
        <v>0.2463989</v>
      </c>
      <c r="V3945">
        <v>-1.158562E-2</v>
      </c>
      <c r="W3945">
        <v>0.1696231</v>
      </c>
      <c r="X3945">
        <v>0.98544089999999995</v>
      </c>
      <c r="Y3945">
        <v>6.9982030000000001E-2</v>
      </c>
      <c r="Z3945">
        <v>8.4048170000000002E-3</v>
      </c>
      <c r="AA3945">
        <v>0.99751279999999998</v>
      </c>
      <c r="AB3945">
        <v>26</v>
      </c>
      <c r="AC3945">
        <v>-0.42179999999996198</v>
      </c>
      <c r="AD3945">
        <v>-0.1824643</v>
      </c>
      <c r="AE3945">
        <v>5.1899999999989101E-2</v>
      </c>
      <c r="AF3945">
        <v>4.2024161266569701E-2</v>
      </c>
      <c r="AG3945">
        <v>-0.1824643</v>
      </c>
      <c r="AH3945">
        <v>0.35636468553520001</v>
      </c>
      <c r="AI3945">
        <v>116.95298433620501</v>
      </c>
      <c r="AJ3945">
        <v>83.274479125238599</v>
      </c>
      <c r="AK3945">
        <v>0.40256060413464601</v>
      </c>
      <c r="AL3945">
        <v>80.234093926354106</v>
      </c>
      <c r="AM3945">
        <v>90.673583314142306</v>
      </c>
      <c r="AN3945">
        <v>0.99999999501860204</v>
      </c>
    </row>
    <row r="3946" spans="1:40" x14ac:dyDescent="0.25">
      <c r="A3946" t="str">
        <f>"20190303161950944"</f>
        <v>20190303161950944</v>
      </c>
      <c r="B3946" t="str">
        <f>"1551601190936901"</f>
        <v>1551601190936901</v>
      </c>
      <c r="C3946" t="s">
        <v>40</v>
      </c>
      <c r="D3946">
        <v>4.6897000000000002</v>
      </c>
      <c r="E3946">
        <v>0.53498290000000004</v>
      </c>
      <c r="F3946" t="s">
        <v>42</v>
      </c>
      <c r="G3946">
        <v>-442.2835</v>
      </c>
      <c r="H3946">
        <v>0.88898659999999996</v>
      </c>
      <c r="I3946">
        <v>283.81259999999997</v>
      </c>
      <c r="J3946">
        <v>-441.62400000000002</v>
      </c>
      <c r="K3946">
        <v>1.1214729999999999</v>
      </c>
      <c r="L3946">
        <v>283.7457</v>
      </c>
      <c r="M3946">
        <v>-0.99989289999999997</v>
      </c>
      <c r="N3946">
        <v>-1.3707459999999999E-2</v>
      </c>
      <c r="O3946">
        <v>5.1569939999999998E-3</v>
      </c>
      <c r="P3946">
        <v>-0.98766889999999996</v>
      </c>
      <c r="Q3946">
        <v>0.15640390000000001</v>
      </c>
      <c r="R3946">
        <v>-6.9543510000000001E-3</v>
      </c>
      <c r="S3946">
        <v>-3.1746219999999998</v>
      </c>
      <c r="T3946">
        <v>-0.8582573</v>
      </c>
      <c r="U3946">
        <v>0.24942020000000001</v>
      </c>
      <c r="V3946">
        <v>-1.200036E-2</v>
      </c>
      <c r="W3946">
        <v>0.1699309</v>
      </c>
      <c r="X3946">
        <v>0.98538289999999995</v>
      </c>
      <c r="Y3946">
        <v>7.0693140000000002E-2</v>
      </c>
      <c r="Z3946">
        <v>8.5698249999999997E-3</v>
      </c>
      <c r="AA3946">
        <v>0.9974613</v>
      </c>
      <c r="AB3946">
        <v>26</v>
      </c>
      <c r="AC3946">
        <v>-0.65949999999997999</v>
      </c>
      <c r="AD3946">
        <v>-0.23248640000000001</v>
      </c>
      <c r="AE3946">
        <v>6.6899999999975507E-2</v>
      </c>
      <c r="AF3946">
        <v>5.6542765083978597E-2</v>
      </c>
      <c r="AG3946">
        <v>-0.23248640000000001</v>
      </c>
      <c r="AH3946">
        <v>0.58756357080783295</v>
      </c>
      <c r="AI3946">
        <v>111.49745728548</v>
      </c>
      <c r="AJ3946">
        <v>84.503205032764399</v>
      </c>
      <c r="AK3946">
        <v>0.63441150699585602</v>
      </c>
      <c r="AL3946">
        <v>80.216198433954503</v>
      </c>
      <c r="AM3946">
        <v>90.697734851967098</v>
      </c>
      <c r="AN3946">
        <v>0.99999998951367397</v>
      </c>
    </row>
    <row r="3947" spans="1:40" x14ac:dyDescent="0.25">
      <c r="A3947" t="str">
        <f>"20190303161950961"</f>
        <v>20190303161950961</v>
      </c>
      <c r="B3947" t="str">
        <f>"1551601190956421"</f>
        <v>1551601190956421</v>
      </c>
      <c r="C3947" t="s">
        <v>40</v>
      </c>
      <c r="D3947">
        <v>4.6828519999999996</v>
      </c>
      <c r="E3947">
        <v>0.53540619999999906</v>
      </c>
      <c r="F3947" t="s">
        <v>42</v>
      </c>
      <c r="G3947">
        <v>-442.3048</v>
      </c>
      <c r="H3947">
        <v>0.93494560000000004</v>
      </c>
      <c r="I3947">
        <v>283.80040000000002</v>
      </c>
      <c r="J3947">
        <v>-441.81220000000002</v>
      </c>
      <c r="K3947">
        <v>1.121478</v>
      </c>
      <c r="L3947">
        <v>283.74669999999998</v>
      </c>
      <c r="M3947">
        <v>-0.99989220000000001</v>
      </c>
      <c r="N3947">
        <v>-1.3718350000000001E-2</v>
      </c>
      <c r="O3947">
        <v>5.2611669999999998E-3</v>
      </c>
      <c r="P3947">
        <v>-0.98767570000000005</v>
      </c>
      <c r="Q3947">
        <v>0.15632770000000001</v>
      </c>
      <c r="R3947">
        <v>-7.6512749999999999E-3</v>
      </c>
      <c r="S3947">
        <v>-3.1770939999999999</v>
      </c>
      <c r="T3947">
        <v>-0.870448</v>
      </c>
      <c r="U3947">
        <v>0.25341799999999998</v>
      </c>
      <c r="V3947">
        <v>-1.2800219999999999E-2</v>
      </c>
      <c r="W3947">
        <v>0.16986509999999999</v>
      </c>
      <c r="X3947">
        <v>0.98538419999999904</v>
      </c>
      <c r="Y3947">
        <v>7.1677450000000004E-2</v>
      </c>
      <c r="Z3947">
        <v>8.7862630000000008E-3</v>
      </c>
      <c r="AA3947">
        <v>0.99738910000000003</v>
      </c>
      <c r="AB3947">
        <v>26</v>
      </c>
      <c r="AC3947">
        <v>-0.492599999999981</v>
      </c>
      <c r="AD3947">
        <v>-0.18653239999999999</v>
      </c>
      <c r="AE3947">
        <v>5.3700000000048903E-2</v>
      </c>
      <c r="AF3947">
        <v>4.4764020219128502E-2</v>
      </c>
      <c r="AG3947">
        <v>-0.18653239999999999</v>
      </c>
      <c r="AH3947">
        <v>0.43170099715686</v>
      </c>
      <c r="AI3947">
        <v>113.25719533882</v>
      </c>
      <c r="AJ3947">
        <v>84.080032164525903</v>
      </c>
      <c r="AK3947">
        <v>0.47240227000107199</v>
      </c>
      <c r="AL3947">
        <v>80.220024314929603</v>
      </c>
      <c r="AM3947">
        <v>90.744234924057196</v>
      </c>
      <c r="AN3947">
        <v>1.00000000971984</v>
      </c>
    </row>
    <row r="3948" spans="1:40" x14ac:dyDescent="0.25">
      <c r="A3948" t="str">
        <f>"20190303161950978"</f>
        <v>20190303161950978</v>
      </c>
      <c r="B3948" t="str">
        <f>"1551601190966183"</f>
        <v>1551601190966183</v>
      </c>
      <c r="C3948" t="s">
        <v>40</v>
      </c>
      <c r="D3948">
        <v>4.699122</v>
      </c>
      <c r="E3948">
        <v>0.5355434</v>
      </c>
      <c r="F3948" t="s">
        <v>42</v>
      </c>
      <c r="G3948">
        <v>-442.52910000000003</v>
      </c>
      <c r="H3948">
        <v>0.92249130000000001</v>
      </c>
      <c r="I3948">
        <v>283.80459999999999</v>
      </c>
      <c r="J3948">
        <v>-442.01069999999999</v>
      </c>
      <c r="K3948">
        <v>1.1214820000000001</v>
      </c>
      <c r="L3948">
        <v>283.74790000000002</v>
      </c>
      <c r="M3948">
        <v>-0.99989119999999998</v>
      </c>
      <c r="N3948">
        <v>-1.3731490000000001E-2</v>
      </c>
      <c r="O3948">
        <v>5.3709839999999997E-3</v>
      </c>
      <c r="P3948">
        <v>-0.98767099999999997</v>
      </c>
      <c r="Q3948">
        <v>0.15632839999999901</v>
      </c>
      <c r="R3948">
        <v>-8.2134089999999996E-3</v>
      </c>
      <c r="S3948">
        <v>-3.1791079999999998</v>
      </c>
      <c r="T3948">
        <v>-0.88249439999999901</v>
      </c>
      <c r="U3948">
        <v>0.25598140000000003</v>
      </c>
      <c r="V3948">
        <v>-1.347021E-2</v>
      </c>
      <c r="W3948">
        <v>0.16987920000000001</v>
      </c>
      <c r="X3948">
        <v>0.98537280000000005</v>
      </c>
      <c r="Y3948">
        <v>7.2233179999999994E-2</v>
      </c>
      <c r="Z3948">
        <v>8.9423679999999992E-3</v>
      </c>
      <c r="AA3948">
        <v>0.99734769999999995</v>
      </c>
      <c r="AB3948">
        <v>26</v>
      </c>
      <c r="AC3948">
        <v>-0.51840000000004205</v>
      </c>
      <c r="AD3948">
        <v>-0.19899069999999899</v>
      </c>
      <c r="AE3948">
        <v>5.66999999999779E-2</v>
      </c>
      <c r="AF3948">
        <v>4.70621940090458E-2</v>
      </c>
      <c r="AG3948">
        <v>-0.19899069999999899</v>
      </c>
      <c r="AH3948">
        <v>0.45277201968793501</v>
      </c>
      <c r="AI3948">
        <v>113.612022638507</v>
      </c>
      <c r="AJ3948">
        <v>84.065850892762896</v>
      </c>
      <c r="AK3948">
        <v>0.49680443899358101</v>
      </c>
      <c r="AL3948">
        <v>80.219204157864297</v>
      </c>
      <c r="AM3948">
        <v>90.783194048076894</v>
      </c>
      <c r="AN3948">
        <v>0.99999997206496105</v>
      </c>
    </row>
    <row r="3949" spans="1:40" x14ac:dyDescent="0.25">
      <c r="A3949" t="str">
        <f>"20190303161950994"</f>
        <v>20190303161950994</v>
      </c>
      <c r="B3949" t="str">
        <f>"1551601190986677"</f>
        <v>1551601190986677</v>
      </c>
      <c r="C3949" t="s">
        <v>40</v>
      </c>
      <c r="D3949">
        <v>4.6863460000000003</v>
      </c>
      <c r="E3949">
        <v>0.5357518</v>
      </c>
      <c r="F3949" t="s">
        <v>42</v>
      </c>
      <c r="G3949">
        <v>-442.75510000000003</v>
      </c>
      <c r="H3949">
        <v>0.91384069999999995</v>
      </c>
      <c r="I3949">
        <v>283.8082</v>
      </c>
      <c r="J3949">
        <v>-442.19319999999999</v>
      </c>
      <c r="K3949">
        <v>1.121486</v>
      </c>
      <c r="L3949">
        <v>283.74900000000002</v>
      </c>
      <c r="M3949">
        <v>-0.99989070000000002</v>
      </c>
      <c r="N3949">
        <v>-1.374534E-2</v>
      </c>
      <c r="O3949">
        <v>5.4716169999999998E-3</v>
      </c>
      <c r="P3949">
        <v>-0.98765590000000003</v>
      </c>
      <c r="Q3949">
        <v>0.15631829999999999</v>
      </c>
      <c r="R3949">
        <v>-1.005003E-2</v>
      </c>
      <c r="S3949">
        <v>-3.1799620000000002</v>
      </c>
      <c r="T3949">
        <v>-0.88698469999999996</v>
      </c>
      <c r="U3949">
        <v>0.25570680000000001</v>
      </c>
      <c r="V3949">
        <v>-1.540648E-2</v>
      </c>
      <c r="W3949">
        <v>0.16988239999999999</v>
      </c>
      <c r="X3949">
        <v>0.98534390000000005</v>
      </c>
      <c r="Y3949">
        <v>7.2013209999999994E-2</v>
      </c>
      <c r="Z3949">
        <v>8.9241430000000007E-3</v>
      </c>
      <c r="AA3949">
        <v>0.99736369999999996</v>
      </c>
      <c r="AB3949">
        <v>26</v>
      </c>
      <c r="AC3949">
        <v>-0.56190000000003604</v>
      </c>
      <c r="AD3949">
        <v>-0.2076453</v>
      </c>
      <c r="AE3949">
        <v>5.9199999999975703E-2</v>
      </c>
      <c r="AF3949">
        <v>4.9446056640746597E-2</v>
      </c>
      <c r="AG3949">
        <v>-0.2076453</v>
      </c>
      <c r="AH3949">
        <v>0.49531718711035899</v>
      </c>
      <c r="AI3949">
        <v>112.643138641311</v>
      </c>
      <c r="AJ3949">
        <v>84.299217875683496</v>
      </c>
      <c r="AK3949">
        <v>0.53935201768078</v>
      </c>
      <c r="AL3949">
        <v>80.219018337147304</v>
      </c>
      <c r="AM3949">
        <v>90.895783043268693</v>
      </c>
      <c r="AN3949">
        <v>0.99999999536147999</v>
      </c>
    </row>
    <row r="3950" spans="1:40" x14ac:dyDescent="0.25">
      <c r="A3950" t="str">
        <f>"20190303161951016"</f>
        <v>20190303161951016</v>
      </c>
      <c r="B3950" t="str">
        <f>"1551601191006198"</f>
        <v>1551601191006198</v>
      </c>
      <c r="C3950" t="s">
        <v>40</v>
      </c>
      <c r="D3950">
        <v>4.8107920000000002</v>
      </c>
      <c r="E3950">
        <v>0.53582700000000005</v>
      </c>
      <c r="F3950" t="s">
        <v>42</v>
      </c>
      <c r="G3950">
        <v>-442.9787</v>
      </c>
      <c r="H3950">
        <v>0.90056669999999905</v>
      </c>
      <c r="I3950">
        <v>283.81180000000001</v>
      </c>
      <c r="J3950">
        <v>-442.45760000000001</v>
      </c>
      <c r="K3950">
        <v>1.121497</v>
      </c>
      <c r="L3950">
        <v>283.75060000000002</v>
      </c>
      <c r="M3950">
        <v>-0.99988940000000004</v>
      </c>
      <c r="N3950">
        <v>-1.3769440000000001E-2</v>
      </c>
      <c r="O3950">
        <v>5.6180120000000004E-3</v>
      </c>
      <c r="P3950">
        <v>-0.98758080000000004</v>
      </c>
      <c r="Q3950">
        <v>0.156658399999999</v>
      </c>
      <c r="R3950">
        <v>-1.193172E-2</v>
      </c>
      <c r="S3950">
        <v>-3.181702</v>
      </c>
      <c r="T3950">
        <v>-0.89484370000000002</v>
      </c>
      <c r="U3950">
        <v>0.2530212</v>
      </c>
      <c r="V3950">
        <v>-1.7432260000000002E-2</v>
      </c>
      <c r="W3950">
        <v>0.17024619999999999</v>
      </c>
      <c r="X3950">
        <v>0.9852474</v>
      </c>
      <c r="Y3950">
        <v>7.099047E-2</v>
      </c>
      <c r="Z3950">
        <v>8.8059060000000005E-3</v>
      </c>
      <c r="AA3950">
        <v>0.99743809999999999</v>
      </c>
      <c r="AB3950">
        <v>26</v>
      </c>
      <c r="AC3950">
        <v>-0.52109999999998902</v>
      </c>
      <c r="AD3950">
        <v>-0.2209303</v>
      </c>
      <c r="AE3950">
        <v>6.1199999999985197E-2</v>
      </c>
      <c r="AF3950">
        <v>4.9495456426417998E-2</v>
      </c>
      <c r="AG3950">
        <v>-0.2209303</v>
      </c>
      <c r="AH3950">
        <v>0.44290644283036801</v>
      </c>
      <c r="AI3950">
        <v>116.369155092868</v>
      </c>
      <c r="AJ3950">
        <v>83.623567056961804</v>
      </c>
      <c r="AK3950">
        <v>0.497419455555971</v>
      </c>
      <c r="AL3950">
        <v>80.197866504475797</v>
      </c>
      <c r="AM3950">
        <v>91.013644613480693</v>
      </c>
      <c r="AN3950">
        <v>1.0000000457549501</v>
      </c>
    </row>
    <row r="3951" spans="1:40" x14ac:dyDescent="0.25">
      <c r="A3951" t="str">
        <f>"20190303161951035"</f>
        <v>20190303161951035</v>
      </c>
      <c r="B3951" t="str">
        <f>"1551601191026693"</f>
        <v>1551601191026693</v>
      </c>
      <c r="C3951" t="s">
        <v>40</v>
      </c>
      <c r="D3951">
        <v>4.6695270000000004</v>
      </c>
      <c r="E3951">
        <v>0.53442670000000003</v>
      </c>
      <c r="F3951" t="s">
        <v>42</v>
      </c>
      <c r="G3951">
        <v>-443.21190000000001</v>
      </c>
      <c r="H3951">
        <v>0.90856130000000002</v>
      </c>
      <c r="I3951">
        <v>283.81</v>
      </c>
      <c r="J3951">
        <v>-442.66149999999999</v>
      </c>
      <c r="K3951">
        <v>1.1215029999999999</v>
      </c>
      <c r="L3951">
        <v>283.75189999999998</v>
      </c>
      <c r="M3951">
        <v>-0.99988849999999996</v>
      </c>
      <c r="N3951">
        <v>-1.3791400000000001E-2</v>
      </c>
      <c r="O3951">
        <v>5.7309809999999996E-3</v>
      </c>
      <c r="P3951">
        <v>-0.98748519999999895</v>
      </c>
      <c r="Q3951">
        <v>0.157146799999999</v>
      </c>
      <c r="R3951">
        <v>-1.334079E-2</v>
      </c>
      <c r="S3951">
        <v>-3.1832579999999999</v>
      </c>
      <c r="T3951">
        <v>-0.89865830000000002</v>
      </c>
      <c r="U3951">
        <v>0.2496033</v>
      </c>
      <c r="V3951">
        <v>-1.8952239999999999E-2</v>
      </c>
      <c r="W3951">
        <v>0.1707545</v>
      </c>
      <c r="X3951">
        <v>0.98513130000000004</v>
      </c>
      <c r="Y3951">
        <v>6.9807300000000003E-2</v>
      </c>
      <c r="Z3951">
        <v>8.6354829999999994E-3</v>
      </c>
      <c r="AA3951">
        <v>0.9975231</v>
      </c>
      <c r="AB3951">
        <v>26</v>
      </c>
      <c r="AC3951">
        <v>-0.55040000000002398</v>
      </c>
      <c r="AD3951">
        <v>-0.21294169999999901</v>
      </c>
      <c r="AE3951">
        <v>5.8100000000024403E-2</v>
      </c>
      <c r="AF3951">
        <v>4.7859703723994902E-2</v>
      </c>
      <c r="AG3951">
        <v>-0.21294169999999901</v>
      </c>
      <c r="AH3951">
        <v>0.479711835731294</v>
      </c>
      <c r="AI3951">
        <v>113.831153783085</v>
      </c>
      <c r="AJ3951">
        <v>84.302590255000695</v>
      </c>
      <c r="AK3951">
        <v>0.527027669273755</v>
      </c>
      <c r="AL3951">
        <v>80.168309658754694</v>
      </c>
      <c r="AM3951">
        <v>91.102136768977701</v>
      </c>
      <c r="AN3951">
        <v>0.99999998245547805</v>
      </c>
    </row>
    <row r="3952" spans="1:40" x14ac:dyDescent="0.25">
      <c r="A3952" t="str">
        <f>"20190303161951051"</f>
        <v>20190303161951051</v>
      </c>
      <c r="B3952" t="str">
        <f>"1551601191046213"</f>
        <v>1551601191046213</v>
      </c>
      <c r="C3952" t="s">
        <v>40</v>
      </c>
      <c r="D3952">
        <v>4.6635980000000004</v>
      </c>
      <c r="E3952">
        <v>0.47023100000000001</v>
      </c>
      <c r="F3952" t="s">
        <v>42</v>
      </c>
      <c r="G3952">
        <v>-443.44009999999997</v>
      </c>
      <c r="H3952">
        <v>0.90626499999999999</v>
      </c>
      <c r="I3952">
        <v>283.80950000000001</v>
      </c>
      <c r="J3952">
        <v>-442.83859999999999</v>
      </c>
      <c r="K3952">
        <v>1.1215010000000001</v>
      </c>
      <c r="L3952">
        <v>283.75299999999999</v>
      </c>
      <c r="M3952">
        <v>-0.99988779999999999</v>
      </c>
      <c r="N3952">
        <v>-1.381172E-2</v>
      </c>
      <c r="O3952">
        <v>5.8295380000000004E-3</v>
      </c>
      <c r="P3952">
        <v>-0.98739279999999996</v>
      </c>
      <c r="Q3952">
        <v>0.15750810000000001</v>
      </c>
      <c r="R3952">
        <v>-1.5714229999999999E-2</v>
      </c>
      <c r="S3952">
        <v>-3.1810909999999999</v>
      </c>
      <c r="T3952">
        <v>-0.87939719999999999</v>
      </c>
      <c r="U3952">
        <v>0.23443600000000001</v>
      </c>
      <c r="V3952">
        <v>-2.142208E-2</v>
      </c>
      <c r="W3952">
        <v>0.17113510000000001</v>
      </c>
      <c r="X3952">
        <v>0.98501470000000002</v>
      </c>
      <c r="Y3952">
        <v>6.5314650000000002E-2</v>
      </c>
      <c r="Z3952">
        <v>7.8100399999999999E-3</v>
      </c>
      <c r="AA3952">
        <v>0.99783409999999995</v>
      </c>
      <c r="AB3952">
        <v>26</v>
      </c>
      <c r="AC3952">
        <v>-0.60149999999998705</v>
      </c>
      <c r="AD3952">
        <v>-0.21523600000000001</v>
      </c>
      <c r="AE3952">
        <v>5.6500000000028097E-2</v>
      </c>
      <c r="AF3952">
        <v>4.7023794129772499E-2</v>
      </c>
      <c r="AG3952">
        <v>-0.21523600000000001</v>
      </c>
      <c r="AH3952">
        <v>0.53403709216373096</v>
      </c>
      <c r="AI3952">
        <v>111.874584843855</v>
      </c>
      <c r="AJ3952">
        <v>84.967889024927302</v>
      </c>
      <c r="AK3952">
        <v>0.577696623425352</v>
      </c>
      <c r="AL3952">
        <v>80.146177715226401</v>
      </c>
      <c r="AM3952">
        <v>91.245871070171205</v>
      </c>
      <c r="AN3952">
        <v>1.00000004358981</v>
      </c>
    </row>
    <row r="3953" spans="1:40" x14ac:dyDescent="0.25">
      <c r="A3953" t="str">
        <f>"20190303161951072"</f>
        <v>20190303161951072</v>
      </c>
      <c r="B3953" t="str">
        <f>"1551601191066709"</f>
        <v>1551601191066709</v>
      </c>
      <c r="C3953" t="s">
        <v>40</v>
      </c>
      <c r="D3953">
        <v>4.6661250000000001</v>
      </c>
      <c r="E3953">
        <v>0.45397280000000001</v>
      </c>
      <c r="F3953" t="s">
        <v>52</v>
      </c>
      <c r="G3953">
        <v>-458.06990000000002</v>
      </c>
      <c r="H3953" s="1">
        <v>2.8568720000000002E-6</v>
      </c>
      <c r="I3953">
        <v>282.34519999999998</v>
      </c>
      <c r="J3953">
        <v>-443.09410000000003</v>
      </c>
      <c r="K3953">
        <v>1.12151</v>
      </c>
      <c r="L3953">
        <v>283.75459999999998</v>
      </c>
      <c r="M3953">
        <v>-0.99988639999999995</v>
      </c>
      <c r="N3953">
        <v>-1.3841020000000001E-2</v>
      </c>
      <c r="O3953">
        <v>5.9721940000000001E-3</v>
      </c>
      <c r="P3953">
        <v>-0.98732710000000001</v>
      </c>
      <c r="Q3953">
        <v>0.15765870000000001</v>
      </c>
      <c r="R3953">
        <v>-1.8136269999999999E-2</v>
      </c>
      <c r="S3953">
        <v>-3.0698850000000002</v>
      </c>
      <c r="T3953">
        <v>-0.22603989999999999</v>
      </c>
      <c r="U3953">
        <v>-0.28375240000000002</v>
      </c>
      <c r="V3953">
        <v>-2.398482E-2</v>
      </c>
      <c r="W3953">
        <v>0.1713141</v>
      </c>
      <c r="X3953">
        <v>0.98492449999999998</v>
      </c>
      <c r="Y3953">
        <v>-9.7661899999999996E-2</v>
      </c>
      <c r="Z3953">
        <v>-4.6172929999999997E-3</v>
      </c>
      <c r="AA3953">
        <v>0.99520889999999995</v>
      </c>
      <c r="AB3953">
        <v>26</v>
      </c>
      <c r="AC3953">
        <v>-14.9757999999999</v>
      </c>
      <c r="AD3953">
        <v>-1.1215071431279999</v>
      </c>
      <c r="AE3953">
        <v>-1.4094</v>
      </c>
      <c r="AF3953">
        <v>-1.4905359631270401</v>
      </c>
      <c r="AG3953">
        <v>-1.1215071431279999</v>
      </c>
      <c r="AH3953">
        <v>14.884373062297801</v>
      </c>
      <c r="AI3953">
        <v>94.2876135594678</v>
      </c>
      <c r="AJ3953">
        <v>95.7185915921972</v>
      </c>
      <c r="AK3953">
        <v>15.000801218172301</v>
      </c>
      <c r="AL3953">
        <v>80.135767921594393</v>
      </c>
      <c r="AM3953">
        <v>91.394987542711306</v>
      </c>
      <c r="AN3953">
        <v>1.0000000315747399</v>
      </c>
    </row>
    <row r="3954" spans="1:40" x14ac:dyDescent="0.25">
      <c r="A3954" t="str">
        <f>"20190303161951095"</f>
        <v>20190303161951095</v>
      </c>
      <c r="B3954" t="str">
        <f>"1551601191086229"</f>
        <v>1551601191086229</v>
      </c>
      <c r="C3954" t="s">
        <v>40</v>
      </c>
      <c r="D3954">
        <v>4.5972200000000001</v>
      </c>
      <c r="E3954">
        <v>0.44903480000000001</v>
      </c>
      <c r="F3954" t="s">
        <v>52</v>
      </c>
      <c r="G3954">
        <v>-469.81229999999999</v>
      </c>
      <c r="H3954" s="1">
        <v>3.8831790000000004E-6</v>
      </c>
      <c r="I3954">
        <v>280.07859999999999</v>
      </c>
      <c r="J3954">
        <v>-443.34359999999998</v>
      </c>
      <c r="K3954">
        <v>1.1215120000000001</v>
      </c>
      <c r="L3954">
        <v>283.75619999999998</v>
      </c>
      <c r="M3954">
        <v>-0.99988509999999997</v>
      </c>
      <c r="N3954">
        <v>-1.386778E-2</v>
      </c>
      <c r="O3954">
        <v>6.1109980000000003E-3</v>
      </c>
      <c r="P3954">
        <v>-0.98732699999999995</v>
      </c>
      <c r="Q3954">
        <v>0.15738859999999999</v>
      </c>
      <c r="R3954">
        <v>-2.0354569999999999E-2</v>
      </c>
      <c r="S3954">
        <v>-3.0512700000000001</v>
      </c>
      <c r="T3954">
        <v>-0.12807789999999999</v>
      </c>
      <c r="U3954">
        <v>-0.4197998</v>
      </c>
      <c r="V3954">
        <v>-2.6340229999999999E-2</v>
      </c>
      <c r="W3954">
        <v>0.17107120000000001</v>
      </c>
      <c r="X3954">
        <v>0.98490650000000002</v>
      </c>
      <c r="Y3954">
        <v>-0.14218349999999999</v>
      </c>
      <c r="Z3954">
        <v>-4.1308450000000002E-3</v>
      </c>
      <c r="AA3954">
        <v>0.98983169999999998</v>
      </c>
      <c r="AB3954">
        <v>26</v>
      </c>
      <c r="AC3954">
        <v>-26.468699999999998</v>
      </c>
      <c r="AD3954">
        <v>-1.1215081168209999</v>
      </c>
      <c r="AE3954">
        <v>-3.67759999999998</v>
      </c>
      <c r="AF3954">
        <v>-3.83254675678308</v>
      </c>
      <c r="AG3954">
        <v>-1.1215081168209999</v>
      </c>
      <c r="AH3954">
        <v>26.399232495322</v>
      </c>
      <c r="AI3954">
        <v>92.407404106727597</v>
      </c>
      <c r="AJ3954">
        <v>98.260288426898299</v>
      </c>
      <c r="AK3954">
        <v>26.699544405122101</v>
      </c>
      <c r="AL3954">
        <v>80.149893166362105</v>
      </c>
      <c r="AM3954">
        <v>91.531946796330203</v>
      </c>
      <c r="AN3954">
        <v>0.99999998846407101</v>
      </c>
    </row>
    <row r="3955" spans="1:40" x14ac:dyDescent="0.25">
      <c r="A3955" t="str">
        <f>"20190303161951117"</f>
        <v>20190303161951117</v>
      </c>
      <c r="B3955" t="str">
        <f>"1551601191106725"</f>
        <v>1551601191106725</v>
      </c>
      <c r="C3955" t="s">
        <v>40</v>
      </c>
      <c r="D3955">
        <v>4.6000160000000001</v>
      </c>
      <c r="E3955">
        <v>0.4485922</v>
      </c>
      <c r="F3955" t="s">
        <v>49</v>
      </c>
      <c r="G3955">
        <v>-474.61489999999998</v>
      </c>
      <c r="H3955">
        <v>8.0000119999999994E-2</v>
      </c>
      <c r="I3955">
        <v>278.97879999999998</v>
      </c>
      <c r="J3955">
        <v>-443.60050000000001</v>
      </c>
      <c r="K3955">
        <v>1.1215139999999999</v>
      </c>
      <c r="L3955">
        <v>283.75790000000001</v>
      </c>
      <c r="M3955">
        <v>-0.999884</v>
      </c>
      <c r="N3955">
        <v>-1.3896779999999999E-2</v>
      </c>
      <c r="O3955">
        <v>6.2534840000000001E-3</v>
      </c>
      <c r="P3955">
        <v>-0.98734120000000003</v>
      </c>
      <c r="Q3955">
        <v>0.15706510000000001</v>
      </c>
      <c r="R3955">
        <v>-2.209624E-2</v>
      </c>
      <c r="S3955">
        <v>-3.0450740000000001</v>
      </c>
      <c r="T3955">
        <v>-0.1014183</v>
      </c>
      <c r="U3955">
        <v>-0.46521000000000001</v>
      </c>
      <c r="V3955">
        <v>-2.8223020000000001E-2</v>
      </c>
      <c r="W3955">
        <v>0.1707766</v>
      </c>
      <c r="X3955">
        <v>0.98490549999999999</v>
      </c>
      <c r="Y3955">
        <v>-0.1570792</v>
      </c>
      <c r="Z3955">
        <v>-3.818896E-3</v>
      </c>
      <c r="AA3955">
        <v>0.98757859999999997</v>
      </c>
      <c r="AB3955">
        <v>26</v>
      </c>
      <c r="AC3955">
        <v>-31.014399999999899</v>
      </c>
      <c r="AD3955">
        <v>-1.0415138799999999</v>
      </c>
      <c r="AE3955">
        <v>-4.7791000000000201</v>
      </c>
      <c r="AF3955">
        <v>-4.9675012508945802</v>
      </c>
      <c r="AG3955">
        <v>-1.0415138799999999</v>
      </c>
      <c r="AH3955">
        <v>30.949811189970301</v>
      </c>
      <c r="AI3955">
        <v>91.903035500972607</v>
      </c>
      <c r="AJ3955">
        <v>99.118309617595401</v>
      </c>
      <c r="AK3955">
        <v>31.363221016577398</v>
      </c>
      <c r="AL3955">
        <v>80.167024868539301</v>
      </c>
      <c r="AM3955">
        <v>91.641393552522501</v>
      </c>
      <c r="AN3955">
        <v>1.0000000149478601</v>
      </c>
    </row>
    <row r="3956" spans="1:40" x14ac:dyDescent="0.25">
      <c r="A3956" t="str">
        <f>"20190303161951134"</f>
        <v>20190303161951134</v>
      </c>
      <c r="B3956" t="str">
        <f>"1551601191126246"</f>
        <v>1551601191126246</v>
      </c>
      <c r="C3956" t="s">
        <v>40</v>
      </c>
      <c r="D3956">
        <v>4.5469269999999904</v>
      </c>
      <c r="E3956">
        <v>0.44890459999999899</v>
      </c>
      <c r="F3956" t="s">
        <v>49</v>
      </c>
      <c r="G3956">
        <v>-482.8657</v>
      </c>
      <c r="H3956" s="1">
        <v>1.671593E-6</v>
      </c>
      <c r="I3956">
        <v>277.64339999999999</v>
      </c>
      <c r="J3956">
        <v>-443.78919999999999</v>
      </c>
      <c r="K3956">
        <v>1.1215189999999999</v>
      </c>
      <c r="L3956">
        <v>283.75920000000002</v>
      </c>
      <c r="M3956">
        <v>-0.99988279999999996</v>
      </c>
      <c r="N3956">
        <v>-1.392665E-2</v>
      </c>
      <c r="O3956">
        <v>6.3581169999999999E-3</v>
      </c>
      <c r="P3956">
        <v>-0.9873421</v>
      </c>
      <c r="Q3956">
        <v>0.15696019999999999</v>
      </c>
      <c r="R3956">
        <v>-2.2781490000000001E-2</v>
      </c>
      <c r="S3956">
        <v>-3.041687</v>
      </c>
      <c r="T3956">
        <v>-8.6878300000000006E-2</v>
      </c>
      <c r="U3956">
        <v>-0.47366330000000001</v>
      </c>
      <c r="V3956">
        <v>-2.9011929999999998E-2</v>
      </c>
      <c r="W3956">
        <v>0.17070099999999999</v>
      </c>
      <c r="X3956">
        <v>0.98489559999999998</v>
      </c>
      <c r="Y3956">
        <v>-0.16005320000000001</v>
      </c>
      <c r="Z3956">
        <v>-3.485681E-3</v>
      </c>
      <c r="AA3956">
        <v>0.98710229999999999</v>
      </c>
      <c r="AB3956">
        <v>26</v>
      </c>
      <c r="AC3956">
        <v>-39.076500000000003</v>
      </c>
      <c r="AD3956">
        <v>-1.1215173284069999</v>
      </c>
      <c r="AE3956">
        <v>-6.1158000000000303</v>
      </c>
      <c r="AF3956">
        <v>-6.3590405715627698</v>
      </c>
      <c r="AG3956">
        <v>-1.1215173284069999</v>
      </c>
      <c r="AH3956">
        <v>39.005459788778403</v>
      </c>
      <c r="AI3956">
        <v>91.625513461455498</v>
      </c>
      <c r="AJ3956">
        <v>99.259441322935501</v>
      </c>
      <c r="AK3956">
        <v>39.536326225924299</v>
      </c>
      <c r="AL3956">
        <v>80.171420168953603</v>
      </c>
      <c r="AM3956">
        <v>91.687265746493907</v>
      </c>
      <c r="AN3956">
        <v>0.99999993319133995</v>
      </c>
    </row>
    <row r="3957" spans="1:40" x14ac:dyDescent="0.25">
      <c r="A3957" t="str">
        <f>"20190303161951151"</f>
        <v>20190303161951151</v>
      </c>
      <c r="B3957" t="str">
        <f>"1551601191146743"</f>
        <v>1551601191146743</v>
      </c>
      <c r="C3957" t="s">
        <v>40</v>
      </c>
      <c r="D3957">
        <v>4.5612180000000002</v>
      </c>
      <c r="E3957">
        <v>0.44961099999999998</v>
      </c>
      <c r="F3957" t="s">
        <v>49</v>
      </c>
      <c r="G3957">
        <v>-483.2047</v>
      </c>
      <c r="H3957" s="1">
        <v>1.69993E-6</v>
      </c>
      <c r="I3957">
        <v>277.6336</v>
      </c>
      <c r="J3957">
        <v>-443.98770000000002</v>
      </c>
      <c r="K3957">
        <v>1.1215280000000001</v>
      </c>
      <c r="L3957">
        <v>283.76060000000001</v>
      </c>
      <c r="M3957">
        <v>-0.99988160000000004</v>
      </c>
      <c r="N3957">
        <v>-1.3970450000000001E-2</v>
      </c>
      <c r="O3957">
        <v>6.4678959999999999E-3</v>
      </c>
      <c r="P3957">
        <v>-0.98734270000000002</v>
      </c>
      <c r="Q3957">
        <v>0.15675149999999999</v>
      </c>
      <c r="R3957">
        <v>-2.4161180000000001E-2</v>
      </c>
      <c r="S3957">
        <v>-3.0413209999999999</v>
      </c>
      <c r="T3957">
        <v>-8.6537119999999995E-2</v>
      </c>
      <c r="U3957">
        <v>-0.47265629999999997</v>
      </c>
      <c r="V3957">
        <v>-3.0499640000000001E-2</v>
      </c>
      <c r="W3957">
        <v>0.17053560000000001</v>
      </c>
      <c r="X3957">
        <v>0.98487939999999996</v>
      </c>
      <c r="Y3957">
        <v>-0.15986110000000001</v>
      </c>
      <c r="Z3957">
        <v>-3.4771419999999999E-3</v>
      </c>
      <c r="AA3957">
        <v>0.98713340000000005</v>
      </c>
      <c r="AB3957">
        <v>25</v>
      </c>
      <c r="AC3957">
        <v>-39.216999999999899</v>
      </c>
      <c r="AD3957">
        <v>-1.12152630007</v>
      </c>
      <c r="AE3957">
        <v>-6.1269999999999998</v>
      </c>
      <c r="AF3957">
        <v>-6.37545813367674</v>
      </c>
      <c r="AG3957">
        <v>-1.12152630007</v>
      </c>
      <c r="AH3957">
        <v>39.145294972294899</v>
      </c>
      <c r="AI3957">
        <v>91.619764715726902</v>
      </c>
      <c r="AJ3957">
        <v>99.250345077018807</v>
      </c>
      <c r="AK3957">
        <v>39.676925361272502</v>
      </c>
      <c r="AL3957">
        <v>80.181038832234506</v>
      </c>
      <c r="AM3957">
        <v>91.773762702434297</v>
      </c>
      <c r="AN3957">
        <v>1.0000000257259201</v>
      </c>
    </row>
    <row r="3958" spans="1:40" x14ac:dyDescent="0.25">
      <c r="A3958" t="str">
        <f>"20190303161951175"</f>
        <v>20190303161951175</v>
      </c>
      <c r="B3958" t="str">
        <f>"1551601191166261"</f>
        <v>1551601191166261</v>
      </c>
      <c r="C3958" t="s">
        <v>40</v>
      </c>
      <c r="D3958">
        <v>4.5961670000000003</v>
      </c>
      <c r="E3958">
        <v>0.44988080000000003</v>
      </c>
      <c r="F3958" t="s">
        <v>49</v>
      </c>
      <c r="G3958">
        <v>-483.20690000000002</v>
      </c>
      <c r="H3958" s="1">
        <v>1.7100430000000001E-6</v>
      </c>
      <c r="I3958">
        <v>277.68990000000002</v>
      </c>
      <c r="J3958">
        <v>-444.25080000000003</v>
      </c>
      <c r="K3958">
        <v>1.121537</v>
      </c>
      <c r="L3958">
        <v>283.76249999999999</v>
      </c>
      <c r="M3958">
        <v>-0.99987950000000003</v>
      </c>
      <c r="N3958">
        <v>-1.4048160000000001E-2</v>
      </c>
      <c r="O3958">
        <v>6.614211E-3</v>
      </c>
      <c r="P3958">
        <v>-0.98736020000000002</v>
      </c>
      <c r="Q3958">
        <v>0.15649569999999999</v>
      </c>
      <c r="R3958">
        <v>-2.508285E-2</v>
      </c>
      <c r="S3958">
        <v>-3.0407410000000001</v>
      </c>
      <c r="T3958">
        <v>-8.6953999999999906E-2</v>
      </c>
      <c r="U3958">
        <v>-0.4706726</v>
      </c>
      <c r="V3958">
        <v>-3.1566200000000003E-2</v>
      </c>
      <c r="W3958">
        <v>0.17035699999999901</v>
      </c>
      <c r="X3958">
        <v>0.98487670000000005</v>
      </c>
      <c r="Y3958">
        <v>-0.1594045</v>
      </c>
      <c r="Z3958">
        <v>-3.487591E-3</v>
      </c>
      <c r="AA3958">
        <v>0.98720719999999995</v>
      </c>
      <c r="AB3958">
        <v>25</v>
      </c>
      <c r="AC3958">
        <v>-38.9560999999999</v>
      </c>
      <c r="AD3958">
        <v>-1.1215352899569999</v>
      </c>
      <c r="AE3958">
        <v>-6.0725999999999596</v>
      </c>
      <c r="AF3958">
        <v>-6.32503829266245</v>
      </c>
      <c r="AG3958">
        <v>-1.1215352899569999</v>
      </c>
      <c r="AH3958">
        <v>38.883614234560703</v>
      </c>
      <c r="AI3958">
        <v>91.630724527692607</v>
      </c>
      <c r="AJ3958">
        <v>99.239147096348702</v>
      </c>
      <c r="AK3958">
        <v>39.410650930331002</v>
      </c>
      <c r="AL3958">
        <v>80.191423798243505</v>
      </c>
      <c r="AM3958">
        <v>91.835753766671601</v>
      </c>
      <c r="AN3958">
        <v>1.00000002331716</v>
      </c>
    </row>
    <row r="3959" spans="1:40" x14ac:dyDescent="0.25">
      <c r="A3959" t="str">
        <f>"20190303161951194"</f>
        <v>20190303161951194</v>
      </c>
      <c r="B3959" t="str">
        <f>"1551601191186758"</f>
        <v>1551601191186758</v>
      </c>
      <c r="C3959" t="s">
        <v>40</v>
      </c>
      <c r="D3959">
        <v>4.6058810000000001</v>
      </c>
      <c r="E3959">
        <v>0.45020529999999997</v>
      </c>
      <c r="F3959" t="s">
        <v>49</v>
      </c>
      <c r="G3959">
        <v>-482.9873</v>
      </c>
      <c r="H3959" s="1">
        <v>1.703321E-6</v>
      </c>
      <c r="I3959">
        <v>277.76229999999998</v>
      </c>
      <c r="J3959">
        <v>-444.48469999999998</v>
      </c>
      <c r="K3959">
        <v>1.121553</v>
      </c>
      <c r="L3959">
        <v>283.76409999999998</v>
      </c>
      <c r="M3959">
        <v>-0.99987749999999997</v>
      </c>
      <c r="N3959">
        <v>-1.412543E-2</v>
      </c>
      <c r="O3959">
        <v>6.7445550000000002E-3</v>
      </c>
      <c r="P3959">
        <v>-0.98736440000000003</v>
      </c>
      <c r="Q3959">
        <v>0.15636349999999999</v>
      </c>
      <c r="R3959">
        <v>-2.5732339999999999E-2</v>
      </c>
      <c r="S3959">
        <v>-3.0404049999999998</v>
      </c>
      <c r="T3959">
        <v>-8.8028670000000003E-2</v>
      </c>
      <c r="U3959">
        <v>-0.47094730000000001</v>
      </c>
      <c r="V3959">
        <v>-3.2344680000000001E-2</v>
      </c>
      <c r="W3959">
        <v>0.17030120000000001</v>
      </c>
      <c r="X3959">
        <v>0.98486110000000004</v>
      </c>
      <c r="Y3959">
        <v>-0.15963440000000001</v>
      </c>
      <c r="Z3959">
        <v>-3.5307239999999998E-3</v>
      </c>
      <c r="AA3959">
        <v>0.98716990000000004</v>
      </c>
      <c r="AB3959">
        <v>25</v>
      </c>
      <c r="AC3959">
        <v>-38.502600000000001</v>
      </c>
      <c r="AD3959">
        <v>-1.121551296679</v>
      </c>
      <c r="AE3959">
        <v>-6.0018000000000002</v>
      </c>
      <c r="AF3959">
        <v>-6.2561897475961104</v>
      </c>
      <c r="AG3959">
        <v>-1.121551296679</v>
      </c>
      <c r="AH3959">
        <v>38.429406289793</v>
      </c>
      <c r="AI3959">
        <v>91.649977205496597</v>
      </c>
      <c r="AJ3959">
        <v>99.246461167089507</v>
      </c>
      <c r="AK3959">
        <v>38.9514705146672</v>
      </c>
      <c r="AL3959">
        <v>80.194668396725405</v>
      </c>
      <c r="AM3959">
        <v>91.881024440537203</v>
      </c>
      <c r="AN3959">
        <v>1.0000000316694699</v>
      </c>
    </row>
    <row r="3960" spans="1:40" x14ac:dyDescent="0.25">
      <c r="A3960" t="str">
        <f>"20190303161951212"</f>
        <v>20190303161951212</v>
      </c>
      <c r="B3960" t="str">
        <f>"1551601191206277"</f>
        <v>1551601191206277</v>
      </c>
      <c r="C3960" t="s">
        <v>40</v>
      </c>
      <c r="D3960">
        <v>4.5828259999999998</v>
      </c>
      <c r="E3960">
        <v>0.45051600000000003</v>
      </c>
      <c r="F3960" t="s">
        <v>49</v>
      </c>
      <c r="G3960">
        <v>-478.95769999999999</v>
      </c>
      <c r="H3960">
        <v>7.9999990000000007E-2</v>
      </c>
      <c r="I3960">
        <v>278.4359</v>
      </c>
      <c r="J3960">
        <v>-444.67079999999999</v>
      </c>
      <c r="K3960">
        <v>1.1215630000000001</v>
      </c>
      <c r="L3960">
        <v>283.76549999999997</v>
      </c>
      <c r="M3960">
        <v>-0.99987599999999999</v>
      </c>
      <c r="N3960">
        <v>-1.418672E-2</v>
      </c>
      <c r="O3960">
        <v>6.8489049999999998E-3</v>
      </c>
      <c r="P3960">
        <v>-0.98731849999999999</v>
      </c>
      <c r="Q3960">
        <v>0.1565781</v>
      </c>
      <c r="R3960">
        <v>-2.618941E-2</v>
      </c>
      <c r="S3960">
        <v>-3.0406490000000002</v>
      </c>
      <c r="T3960">
        <v>-9.186888E-2</v>
      </c>
      <c r="U3960">
        <v>-0.46997070000000002</v>
      </c>
      <c r="V3960">
        <v>-3.2904269999999999E-2</v>
      </c>
      <c r="W3960">
        <v>0.17057549999999999</v>
      </c>
      <c r="X3960">
        <v>0.98479499999999998</v>
      </c>
      <c r="Y3960">
        <v>-0.15940850000000001</v>
      </c>
      <c r="Z3960">
        <v>-3.6403630000000002E-3</v>
      </c>
      <c r="AA3960">
        <v>0.98720600000000003</v>
      </c>
      <c r="AB3960">
        <v>25</v>
      </c>
      <c r="AC3960">
        <v>-34.286900000000003</v>
      </c>
      <c r="AD3960">
        <v>-1.04156301</v>
      </c>
      <c r="AE3960">
        <v>-5.3295999999999699</v>
      </c>
      <c r="AF3960">
        <v>-5.5593171186073302</v>
      </c>
      <c r="AG3960">
        <v>-1.04156301</v>
      </c>
      <c r="AH3960">
        <v>34.218757471893298</v>
      </c>
      <c r="AI3960">
        <v>91.720902043892806</v>
      </c>
      <c r="AJ3960">
        <v>99.227878125612406</v>
      </c>
      <c r="AK3960">
        <v>34.683053833958901</v>
      </c>
      <c r="AL3960">
        <v>80.178717907392596</v>
      </c>
      <c r="AM3960">
        <v>91.913672089943304</v>
      </c>
      <c r="AN3960">
        <v>0.99999994210473897</v>
      </c>
    </row>
    <row r="3961" spans="1:40" x14ac:dyDescent="0.25">
      <c r="A3961" t="str">
        <f>"20190303161951228"</f>
        <v>20190303161951228</v>
      </c>
      <c r="B3961" t="str">
        <f>"1551601191216037"</f>
        <v>1551601191216037</v>
      </c>
      <c r="C3961" t="s">
        <v>40</v>
      </c>
      <c r="D3961">
        <v>4.5630220000000001</v>
      </c>
      <c r="E3961">
        <v>0.4506925</v>
      </c>
      <c r="F3961" t="s">
        <v>49</v>
      </c>
      <c r="G3961">
        <v>-479.10210000000001</v>
      </c>
      <c r="H3961">
        <v>7.9999909999999994E-2</v>
      </c>
      <c r="I3961">
        <v>278.45769999999999</v>
      </c>
      <c r="J3961">
        <v>-444.86649999999997</v>
      </c>
      <c r="K3961">
        <v>1.1215729999999999</v>
      </c>
      <c r="L3961">
        <v>283.767</v>
      </c>
      <c r="M3961">
        <v>-0.99987440000000005</v>
      </c>
      <c r="N3961">
        <v>-1.4248449999999999E-2</v>
      </c>
      <c r="O3961">
        <v>6.9595169999999897E-3</v>
      </c>
      <c r="P3961">
        <v>-0.98734239999999995</v>
      </c>
      <c r="Q3961">
        <v>0.1563803</v>
      </c>
      <c r="R3961">
        <v>-2.6474810000000001E-2</v>
      </c>
      <c r="S3961">
        <v>-3.0407410000000001</v>
      </c>
      <c r="T3961">
        <v>-9.1983800000000004E-2</v>
      </c>
      <c r="U3961">
        <v>-0.46875</v>
      </c>
      <c r="V3961">
        <v>-3.329907E-2</v>
      </c>
      <c r="W3961">
        <v>0.1704388</v>
      </c>
      <c r="X3961">
        <v>0.9848055</v>
      </c>
      <c r="Y3961">
        <v>-0.15912589999999999</v>
      </c>
      <c r="Z3961">
        <v>-3.6435959999999998E-3</v>
      </c>
      <c r="AA3961">
        <v>0.98725160000000001</v>
      </c>
      <c r="AB3961">
        <v>25</v>
      </c>
      <c r="AC3961">
        <v>-34.235599999999998</v>
      </c>
      <c r="AD3961">
        <v>-1.04157309</v>
      </c>
      <c r="AE3961">
        <v>-5.3093000000000004</v>
      </c>
      <c r="AF3961">
        <v>-5.5424491804780898</v>
      </c>
      <c r="AG3961">
        <v>-1.04157309</v>
      </c>
      <c r="AH3961">
        <v>34.166934602318499</v>
      </c>
      <c r="AI3961">
        <v>91.723594698102801</v>
      </c>
      <c r="AJ3961">
        <v>99.214074178145395</v>
      </c>
      <c r="AK3961">
        <v>34.629222306299397</v>
      </c>
      <c r="AL3961">
        <v>80.186667635790798</v>
      </c>
      <c r="AM3961">
        <v>91.9365951618949</v>
      </c>
      <c r="AN3961">
        <v>1.0000000427192699</v>
      </c>
    </row>
    <row r="3962" spans="1:40" x14ac:dyDescent="0.25">
      <c r="A3962" t="str">
        <f>"20190303161951252"</f>
        <v>20190303161951252</v>
      </c>
      <c r="B3962" t="str">
        <f>"1551601191246293"</f>
        <v>1551601191246293</v>
      </c>
      <c r="C3962" t="s">
        <v>40</v>
      </c>
      <c r="D3962">
        <v>4.5622989999999897</v>
      </c>
      <c r="E3962">
        <v>0.45077630000000002</v>
      </c>
      <c r="F3962" t="s">
        <v>49</v>
      </c>
      <c r="G3962">
        <v>-481.84750000000003</v>
      </c>
      <c r="H3962" s="1">
        <v>1.6572420000000001E-6</v>
      </c>
      <c r="I3962">
        <v>278.07470000000001</v>
      </c>
      <c r="J3962">
        <v>-445.12060000000002</v>
      </c>
      <c r="K3962">
        <v>1.121583</v>
      </c>
      <c r="L3962">
        <v>283.76889999999997</v>
      </c>
      <c r="M3962">
        <v>-0.99987230000000005</v>
      </c>
      <c r="N3962">
        <v>-1.432256E-2</v>
      </c>
      <c r="O3962">
        <v>7.1063599999999999E-3</v>
      </c>
      <c r="P3962">
        <v>-0.98728559999999999</v>
      </c>
      <c r="Q3962">
        <v>0.15670880000000001</v>
      </c>
      <c r="R3962">
        <v>-2.6638950000000002E-2</v>
      </c>
      <c r="S3962">
        <v>-3.0405579999999999</v>
      </c>
      <c r="T3962">
        <v>-9.2215060000000001E-2</v>
      </c>
      <c r="U3962">
        <v>-0.46801759999999898</v>
      </c>
      <c r="V3962">
        <v>-3.3607079999999998E-2</v>
      </c>
      <c r="W3962">
        <v>0.17083960000000001</v>
      </c>
      <c r="X3962">
        <v>0.98472550000000003</v>
      </c>
      <c r="Y3962">
        <v>-0.15904699999999999</v>
      </c>
      <c r="Z3962">
        <v>-3.6563170000000001E-3</v>
      </c>
      <c r="AA3962">
        <v>0.98726429999999998</v>
      </c>
      <c r="AB3962">
        <v>25</v>
      </c>
      <c r="AC3962">
        <v>-36.726900000000001</v>
      </c>
      <c r="AD3962">
        <v>-1.1215813427579999</v>
      </c>
      <c r="AE3962">
        <v>-5.6941999999999604</v>
      </c>
      <c r="AF3962">
        <v>-5.9496591281483804</v>
      </c>
      <c r="AG3962">
        <v>-1.1215813427579999</v>
      </c>
      <c r="AH3962">
        <v>36.652124041685902</v>
      </c>
      <c r="AI3962">
        <v>91.730112820598706</v>
      </c>
      <c r="AJ3962">
        <v>99.220274190167601</v>
      </c>
      <c r="AK3962">
        <v>37.148816740465797</v>
      </c>
      <c r="AL3962">
        <v>80.163360827071799</v>
      </c>
      <c r="AM3962">
        <v>91.954653127199506</v>
      </c>
      <c r="AN3962">
        <v>0.999999957552267</v>
      </c>
    </row>
    <row r="3963" spans="1:40" x14ac:dyDescent="0.25">
      <c r="A3963" t="str">
        <f>"20190303161951275"</f>
        <v>20190303161951275</v>
      </c>
      <c r="B3963" t="str">
        <f>"1551601191266790"</f>
        <v>1551601191266790</v>
      </c>
      <c r="C3963" t="s">
        <v>40</v>
      </c>
      <c r="D3963">
        <v>4.6567280000000002</v>
      </c>
      <c r="E3963">
        <v>0.45078699999999999</v>
      </c>
      <c r="F3963" t="s">
        <v>49</v>
      </c>
      <c r="G3963">
        <v>-482.6617</v>
      </c>
      <c r="H3963" s="1">
        <v>1.7153779999999999E-6</v>
      </c>
      <c r="I3963">
        <v>277.9948</v>
      </c>
      <c r="J3963">
        <v>-445.39670000000001</v>
      </c>
      <c r="K3963">
        <v>1.1215889999999999</v>
      </c>
      <c r="L3963">
        <v>283.77100000000002</v>
      </c>
      <c r="M3963">
        <v>-0.99987009999999998</v>
      </c>
      <c r="N3963">
        <v>-1.4395170000000001E-2</v>
      </c>
      <c r="O3963">
        <v>7.2715430000000001E-3</v>
      </c>
      <c r="P3963">
        <v>-0.98724250000000002</v>
      </c>
      <c r="Q3963">
        <v>0.1569586</v>
      </c>
      <c r="R3963">
        <v>-2.6766680000000001E-2</v>
      </c>
      <c r="S3963">
        <v>-3.0404969999999998</v>
      </c>
      <c r="T3963">
        <v>-9.0838070000000007E-2</v>
      </c>
      <c r="U3963">
        <v>-0.46765139999999999</v>
      </c>
      <c r="V3963">
        <v>-3.389582E-2</v>
      </c>
      <c r="W3963">
        <v>0.17116099999999901</v>
      </c>
      <c r="X3963">
        <v>0.98465990000000003</v>
      </c>
      <c r="Y3963">
        <v>-0.1590994</v>
      </c>
      <c r="Z3963">
        <v>-3.626392E-3</v>
      </c>
      <c r="AA3963">
        <v>0.98725589999999996</v>
      </c>
      <c r="AB3963">
        <v>25</v>
      </c>
      <c r="AC3963">
        <v>-37.264999999999901</v>
      </c>
      <c r="AD3963">
        <v>-1.1215872846220001</v>
      </c>
      <c r="AE3963">
        <v>-5.7761999999999496</v>
      </c>
      <c r="AF3963">
        <v>-6.0417047791952898</v>
      </c>
      <c r="AG3963">
        <v>-1.1215872846220001</v>
      </c>
      <c r="AH3963">
        <v>37.189110411633202</v>
      </c>
      <c r="AI3963">
        <v>91.705119644575007</v>
      </c>
      <c r="AJ3963">
        <v>99.227596172963999</v>
      </c>
      <c r="AK3963">
        <v>37.693369282734899</v>
      </c>
      <c r="AL3963">
        <v>80.144671760394402</v>
      </c>
      <c r="AM3963">
        <v>91.971564848972406</v>
      </c>
      <c r="AN3963">
        <v>1.0000000666012301</v>
      </c>
    </row>
    <row r="3964" spans="1:40" x14ac:dyDescent="0.25">
      <c r="A3964" t="str">
        <f>"20190303161951290"</f>
        <v>20190303161951290</v>
      </c>
      <c r="B3964" t="str">
        <f>"1551601191286310"</f>
        <v>1551601191286310</v>
      </c>
      <c r="C3964" t="s">
        <v>40</v>
      </c>
      <c r="D3964">
        <v>4.6347139999999998</v>
      </c>
      <c r="E3964">
        <v>0.45083570000000001</v>
      </c>
      <c r="F3964" t="s">
        <v>49</v>
      </c>
      <c r="G3964">
        <v>-483.0813</v>
      </c>
      <c r="H3964" s="1">
        <v>1.749746E-6</v>
      </c>
      <c r="I3964">
        <v>277.97859999999997</v>
      </c>
      <c r="J3964">
        <v>-445.55459999999999</v>
      </c>
      <c r="K3964">
        <v>1.121591</v>
      </c>
      <c r="L3964">
        <v>283.7722</v>
      </c>
      <c r="M3964">
        <v>-0.9998688</v>
      </c>
      <c r="N3964">
        <v>-1.443302E-2</v>
      </c>
      <c r="O3964">
        <v>7.3690669999999896E-3</v>
      </c>
      <c r="P3964">
        <v>-0.98718490000000003</v>
      </c>
      <c r="Q3964">
        <v>0.15728230000000001</v>
      </c>
      <c r="R3964">
        <v>-2.699791E-2</v>
      </c>
      <c r="S3964">
        <v>-3.0404969999999998</v>
      </c>
      <c r="T3964">
        <v>-9.0492729999999993E-2</v>
      </c>
      <c r="U3964">
        <v>-0.46734619999999999</v>
      </c>
      <c r="V3964">
        <v>-3.4221380000000003E-2</v>
      </c>
      <c r="W3964">
        <v>0.171520799999999</v>
      </c>
      <c r="X3964">
        <v>0.98458590000000001</v>
      </c>
      <c r="Y3964">
        <v>-0.1590994</v>
      </c>
      <c r="Z3964">
        <v>-3.620847E-3</v>
      </c>
      <c r="AA3964">
        <v>0.98725589999999996</v>
      </c>
      <c r="AB3964">
        <v>25</v>
      </c>
      <c r="AC3964">
        <v>-37.526699999999998</v>
      </c>
      <c r="AD3964">
        <v>-1.1215892502539999</v>
      </c>
      <c r="AE3964">
        <v>-5.7936000000000201</v>
      </c>
      <c r="AF3964">
        <v>-6.0647168398932401</v>
      </c>
      <c r="AG3964">
        <v>-1.1215892502539999</v>
      </c>
      <c r="AH3964">
        <v>37.450308242193898</v>
      </c>
      <c r="AI3964">
        <v>91.693375875140504</v>
      </c>
      <c r="AJ3964">
        <v>99.198644059393402</v>
      </c>
      <c r="AK3964">
        <v>37.954767029053301</v>
      </c>
      <c r="AL3964">
        <v>80.123746053139399</v>
      </c>
      <c r="AM3964">
        <v>91.990635506831495</v>
      </c>
      <c r="AN3964">
        <v>0.99999994108027501</v>
      </c>
    </row>
    <row r="3965" spans="1:40" x14ac:dyDescent="0.25">
      <c r="A3965" t="str">
        <f>"20190303161951307"</f>
        <v>20190303161951307</v>
      </c>
      <c r="B3965" t="str">
        <f>"1551601191296069"</f>
        <v>1551601191296069</v>
      </c>
      <c r="C3965" t="s">
        <v>40</v>
      </c>
      <c r="D3965">
        <v>4.6227199999999904</v>
      </c>
      <c r="E3965">
        <v>0.45079629999999998</v>
      </c>
      <c r="F3965" t="s">
        <v>49</v>
      </c>
      <c r="G3965">
        <v>-483.31610000000001</v>
      </c>
      <c r="H3965" s="1">
        <v>1.7744830000000001E-6</v>
      </c>
      <c r="I3965">
        <v>277.96890000000002</v>
      </c>
      <c r="J3965">
        <v>-445.74849999999998</v>
      </c>
      <c r="K3965">
        <v>1.1215930000000001</v>
      </c>
      <c r="L3965">
        <v>283.77379999999999</v>
      </c>
      <c r="M3965">
        <v>-0.99986719999999896</v>
      </c>
      <c r="N3965">
        <v>-1.447566E-2</v>
      </c>
      <c r="O3965">
        <v>7.4927989999999996E-3</v>
      </c>
      <c r="P3965">
        <v>-0.98720229999999998</v>
      </c>
      <c r="Q3965">
        <v>0.15713199999999999</v>
      </c>
      <c r="R3965">
        <v>-2.72231E-2</v>
      </c>
      <c r="S3965">
        <v>-3.0405579999999999</v>
      </c>
      <c r="T3965">
        <v>-9.0310570000000007E-2</v>
      </c>
      <c r="U3965">
        <v>-0.46728520000000001</v>
      </c>
      <c r="V3965">
        <v>-3.4567569999999999E-2</v>
      </c>
      <c r="W3965">
        <v>0.17141319999999999</v>
      </c>
      <c r="X3965">
        <v>0.98459260000000004</v>
      </c>
      <c r="Y3965">
        <v>-0.15919939999999999</v>
      </c>
      <c r="Z3965">
        <v>-3.6228020000000001E-3</v>
      </c>
      <c r="AA3965">
        <v>0.9872398</v>
      </c>
      <c r="AB3965">
        <v>25</v>
      </c>
      <c r="AC3965">
        <v>-37.567599999999999</v>
      </c>
      <c r="AD3965">
        <v>-1.121591225517</v>
      </c>
      <c r="AE3965">
        <v>-5.8048999999999698</v>
      </c>
      <c r="AF3965">
        <v>-6.0809591781683903</v>
      </c>
      <c r="AG3965">
        <v>-1.121591225517</v>
      </c>
      <c r="AH3965">
        <v>37.490408334106903</v>
      </c>
      <c r="AI3965">
        <v>91.691499233792797</v>
      </c>
      <c r="AJ3965">
        <v>99.213161184418794</v>
      </c>
      <c r="AK3965">
        <v>37.996930776863799</v>
      </c>
      <c r="AL3965">
        <v>80.130004294374402</v>
      </c>
      <c r="AM3965">
        <v>92.010743035454198</v>
      </c>
      <c r="AN3965">
        <v>0.99999999500235204</v>
      </c>
    </row>
    <row r="3966" spans="1:40" x14ac:dyDescent="0.25">
      <c r="A3966" t="str">
        <f>"20190303161951322"</f>
        <v>20190303161951322</v>
      </c>
      <c r="B3966" t="str">
        <f>"1551601191316566"</f>
        <v>1551601191316566</v>
      </c>
      <c r="C3966" t="s">
        <v>40</v>
      </c>
      <c r="D3966">
        <v>4.6081960000000004</v>
      </c>
      <c r="E3966">
        <v>0.45075330000000002</v>
      </c>
      <c r="F3966" t="s">
        <v>49</v>
      </c>
      <c r="G3966">
        <v>-483.04840000000002</v>
      </c>
      <c r="H3966" s="1">
        <v>1.75643E-6</v>
      </c>
      <c r="I3966">
        <v>278.03309999999999</v>
      </c>
      <c r="J3966">
        <v>-445.92419999999998</v>
      </c>
      <c r="K3966">
        <v>1.121591</v>
      </c>
      <c r="L3966">
        <v>283.77530000000002</v>
      </c>
      <c r="M3966">
        <v>-0.99986580000000003</v>
      </c>
      <c r="N3966">
        <v>-1.451041E-2</v>
      </c>
      <c r="O3966">
        <v>7.6093150000000002E-3</v>
      </c>
      <c r="P3966">
        <v>-0.9872358</v>
      </c>
      <c r="Q3966">
        <v>0.1569122</v>
      </c>
      <c r="R3966">
        <v>-2.7284320000000001E-2</v>
      </c>
      <c r="S3966">
        <v>-3.040527</v>
      </c>
      <c r="T3966">
        <v>-9.1427209999999995E-2</v>
      </c>
      <c r="U3966">
        <v>-0.4679565</v>
      </c>
      <c r="V3966">
        <v>-3.4742410000000001E-2</v>
      </c>
      <c r="W3966">
        <v>0.17122860000000001</v>
      </c>
      <c r="X3966">
        <v>0.98461860000000001</v>
      </c>
      <c r="Y3966">
        <v>-0.15952639999999901</v>
      </c>
      <c r="Z3966">
        <v>-3.6661929999999999E-3</v>
      </c>
      <c r="AA3966">
        <v>0.98718680000000003</v>
      </c>
      <c r="AB3966">
        <v>25</v>
      </c>
      <c r="AC3966">
        <v>-37.124200000000002</v>
      </c>
      <c r="AD3966">
        <v>-1.1215892435699999</v>
      </c>
      <c r="AE3966">
        <v>-5.74220000000002</v>
      </c>
      <c r="AF3966">
        <v>-6.0191875237211701</v>
      </c>
      <c r="AG3966">
        <v>-1.1215892435699999</v>
      </c>
      <c r="AH3966">
        <v>37.046402029357203</v>
      </c>
      <c r="AI3966">
        <v>91.711682237715493</v>
      </c>
      <c r="AJ3966">
        <v>99.228601225866498</v>
      </c>
      <c r="AK3966">
        <v>37.548961160034501</v>
      </c>
      <c r="AL3966">
        <v>80.140740145498597</v>
      </c>
      <c r="AM3966">
        <v>92.020851480875393</v>
      </c>
      <c r="AN3966">
        <v>1.0000000279882599</v>
      </c>
    </row>
    <row r="3967" spans="1:40" x14ac:dyDescent="0.25">
      <c r="A3967" t="str">
        <f>"20190303161951336"</f>
        <v>20190303161951336</v>
      </c>
      <c r="B3967" t="str">
        <f>"1551601191326326"</f>
        <v>1551601191326326</v>
      </c>
      <c r="C3967" t="s">
        <v>40</v>
      </c>
      <c r="D3967">
        <v>4.5740980000000002</v>
      </c>
      <c r="E3967">
        <v>0.45078410000000002</v>
      </c>
      <c r="F3967" t="s">
        <v>49</v>
      </c>
      <c r="G3967">
        <v>-482.61840000000001</v>
      </c>
      <c r="H3967" s="1">
        <v>1.733647E-6</v>
      </c>
      <c r="I3967">
        <v>278.12029999999999</v>
      </c>
      <c r="J3967">
        <v>-446.06950000000001</v>
      </c>
      <c r="K3967">
        <v>1.1215949999999999</v>
      </c>
      <c r="L3967">
        <v>283.7765</v>
      </c>
      <c r="M3967">
        <v>-0.99986470000000005</v>
      </c>
      <c r="N3967">
        <v>-1.453613E-2</v>
      </c>
      <c r="O3967">
        <v>7.7094299999999998E-3</v>
      </c>
      <c r="P3967">
        <v>-0.98721800000000004</v>
      </c>
      <c r="Q3967">
        <v>0.1569855</v>
      </c>
      <c r="R3967">
        <v>-2.750238E-2</v>
      </c>
      <c r="S3967">
        <v>-3.0406490000000002</v>
      </c>
      <c r="T3967">
        <v>-9.2939969999999997E-2</v>
      </c>
      <c r="U3967">
        <v>-0.4685974</v>
      </c>
      <c r="V3967">
        <v>-3.5057779999999997E-2</v>
      </c>
      <c r="W3967">
        <v>0.17132720000000001</v>
      </c>
      <c r="X3967">
        <v>0.98459019999999997</v>
      </c>
      <c r="Y3967">
        <v>-0.1598193</v>
      </c>
      <c r="Z3967">
        <v>-3.7193209999999998E-3</v>
      </c>
      <c r="AA3967">
        <v>0.98713930000000005</v>
      </c>
      <c r="AB3967">
        <v>25</v>
      </c>
      <c r="AC3967">
        <v>-36.548900000000003</v>
      </c>
      <c r="AD3967">
        <v>-1.1215932663529999</v>
      </c>
      <c r="AE3967">
        <v>-5.6562000000000099</v>
      </c>
      <c r="AF3967">
        <v>-5.9323768378045001</v>
      </c>
      <c r="AG3967">
        <v>-1.1215932663529999</v>
      </c>
      <c r="AH3967">
        <v>36.470661063250603</v>
      </c>
      <c r="AI3967">
        <v>91.738642523646007</v>
      </c>
      <c r="AJ3967">
        <v>99.238907962903198</v>
      </c>
      <c r="AK3967">
        <v>36.967014821207201</v>
      </c>
      <c r="AL3967">
        <v>80.135005366914797</v>
      </c>
      <c r="AM3967">
        <v>92.039238866625098</v>
      </c>
      <c r="AN3967">
        <v>0.99999995966720301</v>
      </c>
    </row>
    <row r="3968" spans="1:40" x14ac:dyDescent="0.25">
      <c r="A3968" t="str">
        <f>"20190303161951363"</f>
        <v>20190303161951363</v>
      </c>
      <c r="B3968" t="str">
        <f>"1551601191356581"</f>
        <v>1551601191356581</v>
      </c>
      <c r="C3968" t="s">
        <v>40</v>
      </c>
      <c r="D3968">
        <v>4.5745480000000001</v>
      </c>
      <c r="E3968">
        <v>0.45065529999999998</v>
      </c>
      <c r="F3968" t="s">
        <v>49</v>
      </c>
      <c r="G3968">
        <v>-482.9</v>
      </c>
      <c r="H3968" s="1">
        <v>1.7544859999999999E-6</v>
      </c>
      <c r="I3968">
        <v>278.09679999999997</v>
      </c>
      <c r="J3968">
        <v>-446.37200000000001</v>
      </c>
      <c r="K3968">
        <v>1.1215930000000001</v>
      </c>
      <c r="L3968">
        <v>283.779</v>
      </c>
      <c r="M3968">
        <v>-0.99986229999999998</v>
      </c>
      <c r="N3968">
        <v>-1.458418E-2</v>
      </c>
      <c r="O3968">
        <v>7.9234449999999994E-3</v>
      </c>
      <c r="P3968">
        <v>-0.98718490000000003</v>
      </c>
      <c r="Q3968">
        <v>0.15710299999999999</v>
      </c>
      <c r="R3968">
        <v>-2.80177E-2</v>
      </c>
      <c r="S3968">
        <v>-3.0404659999999999</v>
      </c>
      <c r="T3968">
        <v>-9.2590930000000002E-2</v>
      </c>
      <c r="U3968">
        <v>-0.46887210000000001</v>
      </c>
      <c r="V3968">
        <v>-3.5782090000000003E-2</v>
      </c>
      <c r="W3968">
        <v>0.17149210000000001</v>
      </c>
      <c r="X3968">
        <v>0.98453550000000001</v>
      </c>
      <c r="Y3968">
        <v>-0.16012699999999999</v>
      </c>
      <c r="Z3968">
        <v>-3.7232630000000001E-3</v>
      </c>
      <c r="AA3968">
        <v>0.98708940000000001</v>
      </c>
      <c r="AB3968">
        <v>25</v>
      </c>
      <c r="AC3968">
        <v>-36.527999999999999</v>
      </c>
      <c r="AD3968">
        <v>-1.121591245514</v>
      </c>
      <c r="AE3968">
        <v>-5.6822000000000203</v>
      </c>
      <c r="AF3968">
        <v>-5.9659881478200401</v>
      </c>
      <c r="AG3968">
        <v>-1.121591245514</v>
      </c>
      <c r="AH3968">
        <v>36.448274336519702</v>
      </c>
      <c r="AI3968">
        <v>91.739424201664704</v>
      </c>
      <c r="AJ3968">
        <v>99.295949634576104</v>
      </c>
      <c r="AK3968">
        <v>36.950340778024497</v>
      </c>
      <c r="AL3968">
        <v>80.125416005897094</v>
      </c>
      <c r="AM3968">
        <v>92.081449343297805</v>
      </c>
      <c r="AN3968">
        <v>1.00000002454371</v>
      </c>
    </row>
    <row r="3969" spans="1:40" x14ac:dyDescent="0.25">
      <c r="A3969" t="str">
        <f>"20190303161951385"</f>
        <v>20190303161951385</v>
      </c>
      <c r="B3969" t="str">
        <f>"1551601191376700"</f>
        <v>1551601191376700</v>
      </c>
      <c r="C3969" t="s">
        <v>40</v>
      </c>
      <c r="D3969">
        <v>4.5777029999999996</v>
      </c>
      <c r="E3969">
        <v>0.45048690000000002</v>
      </c>
      <c r="F3969" t="s">
        <v>49</v>
      </c>
      <c r="G3969">
        <v>-482.99259999999998</v>
      </c>
      <c r="H3969" s="1">
        <v>1.763058E-6</v>
      </c>
      <c r="I3969">
        <v>278.09879999999998</v>
      </c>
      <c r="J3969">
        <v>-446.61149999999998</v>
      </c>
      <c r="K3969">
        <v>1.1215980000000001</v>
      </c>
      <c r="L3969">
        <v>283.78109999999998</v>
      </c>
      <c r="M3969">
        <v>-0.99986039999999998</v>
      </c>
      <c r="N3969">
        <v>-1.4616209999999999E-2</v>
      </c>
      <c r="O3969">
        <v>8.0978400000000002E-3</v>
      </c>
      <c r="P3969">
        <v>-0.9871991</v>
      </c>
      <c r="Q3969">
        <v>0.15689589999999901</v>
      </c>
      <c r="R3969">
        <v>-2.8662710000000001E-2</v>
      </c>
      <c r="S3969">
        <v>-3.040375</v>
      </c>
      <c r="T3969">
        <v>-9.3118549999999994E-2</v>
      </c>
      <c r="U3969">
        <v>-0.47158810000000001</v>
      </c>
      <c r="V3969">
        <v>-3.6598190000000003E-2</v>
      </c>
      <c r="W3969">
        <v>0.17131740000000001</v>
      </c>
      <c r="X3969">
        <v>0.98453590000000002</v>
      </c>
      <c r="Y3969">
        <v>-0.1611629</v>
      </c>
      <c r="Z3969">
        <v>-3.7669119999999999E-3</v>
      </c>
      <c r="AA3969">
        <v>0.98692069999999998</v>
      </c>
      <c r="AB3969">
        <v>25</v>
      </c>
      <c r="AC3969">
        <v>-36.381100000000004</v>
      </c>
      <c r="AD3969">
        <v>-1.1215962369419901</v>
      </c>
      <c r="AE3969">
        <v>-5.6822999999999899</v>
      </c>
      <c r="AF3969">
        <v>-5.9712133574099298</v>
      </c>
      <c r="AG3969">
        <v>-1.1215962369419901</v>
      </c>
      <c r="AH3969">
        <v>36.300208297340902</v>
      </c>
      <c r="AI3969">
        <v>91.746296235676297</v>
      </c>
      <c r="AJ3969">
        <v>99.341231585662001</v>
      </c>
      <c r="AK3969">
        <v>36.8051421612357</v>
      </c>
      <c r="AL3969">
        <v>80.135575780627093</v>
      </c>
      <c r="AM3969">
        <v>92.128877939714101</v>
      </c>
      <c r="AN3969">
        <v>1.00000000872142</v>
      </c>
    </row>
    <row r="3970" spans="1:40" x14ac:dyDescent="0.25">
      <c r="A3970" t="str">
        <f>"20190303161951407"</f>
        <v>20190303161951407</v>
      </c>
      <c r="B3970" t="str">
        <f>"1551601191396220"</f>
        <v>1551601191396220</v>
      </c>
      <c r="C3970" t="s">
        <v>40</v>
      </c>
      <c r="D3970">
        <v>4.5491149999999996</v>
      </c>
      <c r="E3970">
        <v>0.45038080000000003</v>
      </c>
      <c r="F3970" t="s">
        <v>49</v>
      </c>
      <c r="G3970">
        <v>-482.84649999999999</v>
      </c>
      <c r="H3970" s="1">
        <v>1.7544389999999999E-6</v>
      </c>
      <c r="I3970">
        <v>278.12349999999998</v>
      </c>
      <c r="J3970">
        <v>-446.86259999999999</v>
      </c>
      <c r="K3970">
        <v>1.12159599999999</v>
      </c>
      <c r="L3970">
        <v>283.78339999999997</v>
      </c>
      <c r="M3970">
        <v>-0.99985849999999998</v>
      </c>
      <c r="N3970">
        <v>-1.4644239999999999E-2</v>
      </c>
      <c r="O3970">
        <v>8.2843919999999998E-3</v>
      </c>
      <c r="P3970">
        <v>-0.987317</v>
      </c>
      <c r="Q3970">
        <v>0.15601110000000001</v>
      </c>
      <c r="R3970">
        <v>-2.9426029999999999E-2</v>
      </c>
      <c r="S3970">
        <v>-3.0400999999999998</v>
      </c>
      <c r="T3970">
        <v>-9.410143E-2</v>
      </c>
      <c r="U3970">
        <v>-0.47467039999999999</v>
      </c>
      <c r="V3970">
        <v>-3.7546040000000003E-2</v>
      </c>
      <c r="W3970">
        <v>0.1704618</v>
      </c>
      <c r="X3970">
        <v>0.98464870000000004</v>
      </c>
      <c r="Y3970">
        <v>-0.16233449999999999</v>
      </c>
      <c r="Z3970">
        <v>-3.8272570000000001E-3</v>
      </c>
      <c r="AA3970">
        <v>0.98672839999999995</v>
      </c>
      <c r="AB3970">
        <v>25</v>
      </c>
      <c r="AC3970">
        <v>-35.983899999999998</v>
      </c>
      <c r="AD3970">
        <v>-1.12159424556099</v>
      </c>
      <c r="AE3970">
        <v>-5.6598999999999897</v>
      </c>
      <c r="AF3970">
        <v>-5.9521993059018596</v>
      </c>
      <c r="AG3970">
        <v>-1.12159424556099</v>
      </c>
      <c r="AH3970">
        <v>35.901733617905798</v>
      </c>
      <c r="AI3970">
        <v>91.765295478917906</v>
      </c>
      <c r="AJ3970">
        <v>99.413522561860603</v>
      </c>
      <c r="AK3970">
        <v>36.409080282258202</v>
      </c>
      <c r="AL3970">
        <v>80.185329803007306</v>
      </c>
      <c r="AM3970">
        <v>92.183710703922998</v>
      </c>
      <c r="AN3970">
        <v>0.99999999639530501</v>
      </c>
    </row>
    <row r="3971" spans="1:40" x14ac:dyDescent="0.25">
      <c r="A3971" t="str">
        <f>"20190303161951430"</f>
        <v>20190303161951430</v>
      </c>
      <c r="B3971" t="str">
        <f>"1551601191416716"</f>
        <v>1551601191416716</v>
      </c>
      <c r="C3971" t="s">
        <v>40</v>
      </c>
      <c r="D3971">
        <v>4.53308</v>
      </c>
      <c r="E3971">
        <v>0.45034299999999999</v>
      </c>
      <c r="F3971" t="s">
        <v>49</v>
      </c>
      <c r="G3971">
        <v>-481.94650000000001</v>
      </c>
      <c r="H3971" s="1">
        <v>1.700451E-6</v>
      </c>
      <c r="I3971">
        <v>278.27019999999999</v>
      </c>
      <c r="J3971">
        <v>-447.10879999999997</v>
      </c>
      <c r="K3971">
        <v>1.121599</v>
      </c>
      <c r="L3971">
        <v>283.78559999999999</v>
      </c>
      <c r="M3971">
        <v>-0.99985670000000004</v>
      </c>
      <c r="N3971">
        <v>-1.466758E-2</v>
      </c>
      <c r="O3971">
        <v>8.4690440000000002E-3</v>
      </c>
      <c r="P3971">
        <v>-0.98730700000000005</v>
      </c>
      <c r="Q3971">
        <v>0.15589710000000001</v>
      </c>
      <c r="R3971">
        <v>-3.0348130000000001E-2</v>
      </c>
      <c r="S3971">
        <v>-3.0396420000000002</v>
      </c>
      <c r="T3971">
        <v>-9.7174170000000004E-2</v>
      </c>
      <c r="U3971">
        <v>-0.47766110000000001</v>
      </c>
      <c r="V3971">
        <v>-3.8650940000000002E-2</v>
      </c>
      <c r="W3971">
        <v>0.1703711</v>
      </c>
      <c r="X3971">
        <v>0.98462159999999999</v>
      </c>
      <c r="Y3971">
        <v>-0.1634795</v>
      </c>
      <c r="Z3971">
        <v>-3.948923E-3</v>
      </c>
      <c r="AA3971">
        <v>0.98653880000000005</v>
      </c>
      <c r="AB3971">
        <v>25</v>
      </c>
      <c r="AC3971">
        <v>-34.837699999999998</v>
      </c>
      <c r="AD3971">
        <v>-1.121597299549</v>
      </c>
      <c r="AE3971">
        <v>-5.5153999999999996</v>
      </c>
      <c r="AF3971">
        <v>-5.8044066359460702</v>
      </c>
      <c r="AG3971">
        <v>-1.121597299549</v>
      </c>
      <c r="AH3971">
        <v>34.754592387267301</v>
      </c>
      <c r="AI3971">
        <v>91.823168774449002</v>
      </c>
      <c r="AJ3971">
        <v>99.481528649491807</v>
      </c>
      <c r="AK3971">
        <v>35.253805594614498</v>
      </c>
      <c r="AL3971">
        <v>80.190603226375302</v>
      </c>
      <c r="AM3971">
        <v>92.247969483045296</v>
      </c>
      <c r="AN3971">
        <v>0.99999995103232497</v>
      </c>
    </row>
    <row r="3972" spans="1:40" x14ac:dyDescent="0.25">
      <c r="A3972" t="str">
        <f>"20190303161951451"</f>
        <v>20190303161951451</v>
      </c>
      <c r="B3972" t="str">
        <f>"1551601191445996"</f>
        <v>1551601191445996</v>
      </c>
      <c r="C3972" t="s">
        <v>40</v>
      </c>
      <c r="D3972">
        <v>4.4906940000000004</v>
      </c>
      <c r="E3972">
        <v>0.45027129999999999</v>
      </c>
      <c r="F3972" t="s">
        <v>49</v>
      </c>
      <c r="G3972">
        <v>-482.5582</v>
      </c>
      <c r="H3972" s="1">
        <v>1.7371599999999901E-6</v>
      </c>
      <c r="I3972">
        <v>278.17059999999998</v>
      </c>
      <c r="J3972">
        <v>-447.35489999999999</v>
      </c>
      <c r="K3972">
        <v>1.1215999999999999</v>
      </c>
      <c r="L3972">
        <v>283.78800000000001</v>
      </c>
      <c r="M3972">
        <v>-0.99985460000000004</v>
      </c>
      <c r="N3972">
        <v>-1.4687169999999999E-2</v>
      </c>
      <c r="O3972">
        <v>8.6540139999999998E-3</v>
      </c>
      <c r="P3972">
        <v>-0.98736389999999996</v>
      </c>
      <c r="Q3972">
        <v>0.15541479999999999</v>
      </c>
      <c r="R3972">
        <v>-3.0964180000000001E-2</v>
      </c>
      <c r="S3972">
        <v>-3.03891</v>
      </c>
      <c r="T3972">
        <v>-9.6149330000000005E-2</v>
      </c>
      <c r="U3972">
        <v>-0.4813538</v>
      </c>
      <c r="V3972">
        <v>-3.9449930000000001E-2</v>
      </c>
      <c r="W3972">
        <v>0.1699088</v>
      </c>
      <c r="X3972">
        <v>0.98466989999999999</v>
      </c>
      <c r="Y3972">
        <v>-0.16486899999999999</v>
      </c>
      <c r="Z3972">
        <v>-3.9559219999999997E-3</v>
      </c>
      <c r="AA3972">
        <v>0.98630759999999995</v>
      </c>
      <c r="AB3972">
        <v>25</v>
      </c>
      <c r="AC3972">
        <v>-35.203299999999999</v>
      </c>
      <c r="AD3972">
        <v>-1.1215982628400001</v>
      </c>
      <c r="AE3972">
        <v>-5.6174000000000301</v>
      </c>
      <c r="AF3972">
        <v>-5.9160161227531498</v>
      </c>
      <c r="AG3972">
        <v>-1.1215982628400001</v>
      </c>
      <c r="AH3972">
        <v>35.118599522720203</v>
      </c>
      <c r="AI3972">
        <v>91.803859983703802</v>
      </c>
      <c r="AJ3972">
        <v>99.562166244110202</v>
      </c>
      <c r="AK3972">
        <v>35.631071578961603</v>
      </c>
      <c r="AL3972">
        <v>80.217483999447893</v>
      </c>
      <c r="AM3972">
        <v>92.294277793666495</v>
      </c>
      <c r="AN3972">
        <v>1.0000000546302199</v>
      </c>
    </row>
    <row r="3973" spans="1:40" x14ac:dyDescent="0.25">
      <c r="A3973" t="str">
        <f>"20190303161951474"</f>
        <v>20190303161951474</v>
      </c>
      <c r="B3973" t="str">
        <f>"1551601191466492"</f>
        <v>1551601191466492</v>
      </c>
      <c r="C3973" t="s">
        <v>40</v>
      </c>
      <c r="D3973">
        <v>4.4820539999999998</v>
      </c>
      <c r="E3973">
        <v>0.45021290000000003</v>
      </c>
      <c r="F3973" t="s">
        <v>49</v>
      </c>
      <c r="G3973">
        <v>-483.20580000000001</v>
      </c>
      <c r="H3973" s="1">
        <v>1.7937620000000001E-6</v>
      </c>
      <c r="I3973">
        <v>278.0788</v>
      </c>
      <c r="J3973">
        <v>-447.59969999999998</v>
      </c>
      <c r="K3973">
        <v>1.1215919999999999</v>
      </c>
      <c r="L3973">
        <v>283.7903</v>
      </c>
      <c r="M3973">
        <v>-0.99985290000000004</v>
      </c>
      <c r="N3973">
        <v>-1.470339E-2</v>
      </c>
      <c r="O3973">
        <v>8.837157E-3</v>
      </c>
      <c r="P3973">
        <v>-0.98739480000000002</v>
      </c>
      <c r="Q3973">
        <v>0.1549845</v>
      </c>
      <c r="R3973">
        <v>-3.2114129999999998E-2</v>
      </c>
      <c r="S3973">
        <v>-3.0381770000000001</v>
      </c>
      <c r="T3973">
        <v>-9.504986E-2</v>
      </c>
      <c r="U3973">
        <v>-0.48382570000000003</v>
      </c>
      <c r="V3973">
        <v>-4.0781610000000003E-2</v>
      </c>
      <c r="W3973">
        <v>0.169494799999999</v>
      </c>
      <c r="X3973">
        <v>0.98468699999999998</v>
      </c>
      <c r="Y3973">
        <v>-0.16587060000000001</v>
      </c>
      <c r="Z3973">
        <v>-3.9509710000000002E-3</v>
      </c>
      <c r="AA3973">
        <v>0.98613960000000001</v>
      </c>
      <c r="AB3973">
        <v>25</v>
      </c>
      <c r="AC3973">
        <v>-35.606099999999998</v>
      </c>
      <c r="AD3973">
        <v>-1.1215902062380001</v>
      </c>
      <c r="AE3973">
        <v>-5.7115</v>
      </c>
      <c r="AF3973">
        <v>-6.0201440026697197</v>
      </c>
      <c r="AG3973">
        <v>-1.1215902062380001</v>
      </c>
      <c r="AH3973">
        <v>35.519870107599701</v>
      </c>
      <c r="AI3973">
        <v>91.783180967519499</v>
      </c>
      <c r="AJ3973">
        <v>99.619456587735598</v>
      </c>
      <c r="AK3973">
        <v>36.043879797607303</v>
      </c>
      <c r="AL3973">
        <v>80.241553596925598</v>
      </c>
      <c r="AM3973">
        <v>92.371595779981106</v>
      </c>
      <c r="AN3973">
        <v>1.00000005745511</v>
      </c>
    </row>
    <row r="3974" spans="1:40" x14ac:dyDescent="0.25">
      <c r="A3974" t="str">
        <f>"20190303161951496"</f>
        <v>20190303161951496</v>
      </c>
      <c r="B3974" t="str">
        <f>"1551601191486201"</f>
        <v>1551601191486201</v>
      </c>
      <c r="C3974" t="s">
        <v>40</v>
      </c>
      <c r="D3974">
        <v>4.581556</v>
      </c>
      <c r="E3974">
        <v>0.45032709999999998</v>
      </c>
      <c r="F3974" t="s">
        <v>49</v>
      </c>
      <c r="G3974">
        <v>-483.41930000000002</v>
      </c>
      <c r="H3974" s="1">
        <v>1.8180199999999999E-6</v>
      </c>
      <c r="I3974">
        <v>278.0403</v>
      </c>
      <c r="J3974">
        <v>-447.85120000000001</v>
      </c>
      <c r="K3974">
        <v>1.121594</v>
      </c>
      <c r="L3974">
        <v>283.79270000000002</v>
      </c>
      <c r="M3974">
        <v>-0.99985100000000005</v>
      </c>
      <c r="N3974">
        <v>-1.471694E-2</v>
      </c>
      <c r="O3974">
        <v>9.0248450000000001E-3</v>
      </c>
      <c r="P3974">
        <v>-0.98739829999999995</v>
      </c>
      <c r="Q3974">
        <v>0.15452070000000001</v>
      </c>
      <c r="R3974">
        <v>-3.4175759999999999E-2</v>
      </c>
      <c r="S3974">
        <v>-3.0373540000000001</v>
      </c>
      <c r="T3974">
        <v>-9.5106360000000001E-2</v>
      </c>
      <c r="U3974">
        <v>-0.48757929999999999</v>
      </c>
      <c r="V3974">
        <v>-4.3028780000000003E-2</v>
      </c>
      <c r="W3974">
        <v>0.169045</v>
      </c>
      <c r="X3974">
        <v>0.9846686</v>
      </c>
      <c r="Y3974">
        <v>-0.16728419999999999</v>
      </c>
      <c r="Z3974">
        <v>-3.9898570000000003E-3</v>
      </c>
      <c r="AA3974">
        <v>0.98590060000000002</v>
      </c>
      <c r="AB3974">
        <v>25</v>
      </c>
      <c r="AC3974">
        <v>-35.568100000000001</v>
      </c>
      <c r="AD3974">
        <v>-1.1215921819800001</v>
      </c>
      <c r="AE3974">
        <v>-5.7524000000000202</v>
      </c>
      <c r="AF3974">
        <v>-6.0673176481461804</v>
      </c>
      <c r="AG3974">
        <v>-1.1215921819800001</v>
      </c>
      <c r="AH3974">
        <v>35.4803496906814</v>
      </c>
      <c r="AI3974">
        <v>91.784720942625398</v>
      </c>
      <c r="AJ3974">
        <v>99.704001585314202</v>
      </c>
      <c r="AK3974">
        <v>36.012852242487298</v>
      </c>
      <c r="AL3974">
        <v>80.267701713355194</v>
      </c>
      <c r="AM3974">
        <v>92.502161656093307</v>
      </c>
      <c r="AN3974">
        <v>0.99999996987962303</v>
      </c>
    </row>
    <row r="3975" spans="1:40" x14ac:dyDescent="0.25">
      <c r="A3975" t="str">
        <f>"20190303161951519"</f>
        <v>20190303161951519</v>
      </c>
      <c r="B3975" t="str">
        <f>"1551601191506696"</f>
        <v>1551601191506696</v>
      </c>
      <c r="C3975" t="s">
        <v>40</v>
      </c>
      <c r="D3975">
        <v>4.5377799999999997</v>
      </c>
      <c r="E3975">
        <v>0.45044149999999999</v>
      </c>
      <c r="F3975" t="s">
        <v>49</v>
      </c>
      <c r="G3975">
        <v>-482.9676</v>
      </c>
      <c r="H3975" s="1">
        <v>1.759768E-6</v>
      </c>
      <c r="I3975">
        <v>278.09280000000001</v>
      </c>
      <c r="J3975">
        <v>-448.09379999999999</v>
      </c>
      <c r="K3975">
        <v>1.1215889999999999</v>
      </c>
      <c r="L3975">
        <v>283.79509999999999</v>
      </c>
      <c r="M3975">
        <v>-0.99984930000000005</v>
      </c>
      <c r="N3975">
        <v>-1.472746E-2</v>
      </c>
      <c r="O3975">
        <v>9.2046320000000008E-3</v>
      </c>
      <c r="P3975">
        <v>-0.98743060000000005</v>
      </c>
      <c r="Q3975">
        <v>0.15383139999999901</v>
      </c>
      <c r="R3975">
        <v>-3.6288870000000001E-2</v>
      </c>
      <c r="S3975">
        <v>-3.0364070000000001</v>
      </c>
      <c r="T3975">
        <v>-9.6980810000000001E-2</v>
      </c>
      <c r="U3975">
        <v>-0.49285889999999999</v>
      </c>
      <c r="V3975">
        <v>-4.5320119999999998E-2</v>
      </c>
      <c r="W3975">
        <v>0.16836679999999901</v>
      </c>
      <c r="X3975">
        <v>0.98468199999999995</v>
      </c>
      <c r="Y3975">
        <v>-0.1691744</v>
      </c>
      <c r="Z3975">
        <v>-4.0952130000000003E-3</v>
      </c>
      <c r="AA3975">
        <v>0.98557760000000005</v>
      </c>
      <c r="AB3975">
        <v>25</v>
      </c>
      <c r="AC3975">
        <v>-34.873800000000003</v>
      </c>
      <c r="AD3975">
        <v>-1.121587240232</v>
      </c>
      <c r="AE3975">
        <v>-5.7022999999999797</v>
      </c>
      <c r="AF3975">
        <v>-6.01703200032334</v>
      </c>
      <c r="AG3975">
        <v>-1.121587240232</v>
      </c>
      <c r="AH3975">
        <v>34.784786308399802</v>
      </c>
      <c r="AI3975">
        <v>91.819777052252903</v>
      </c>
      <c r="AJ3975">
        <v>99.813844273400505</v>
      </c>
      <c r="AK3975">
        <v>35.319173129497301</v>
      </c>
      <c r="AL3975">
        <v>80.307124756834895</v>
      </c>
      <c r="AM3975">
        <v>92.635186205330598</v>
      </c>
      <c r="AN3975">
        <v>0.99999996687152604</v>
      </c>
    </row>
    <row r="3976" spans="1:40" x14ac:dyDescent="0.25">
      <c r="A3976" t="str">
        <f>"20190303161951541"</f>
        <v>20190303161951541</v>
      </c>
      <c r="B3976" t="str">
        <f>"1551601191535976"</f>
        <v>1551601191535976</v>
      </c>
      <c r="C3976" t="s">
        <v>40</v>
      </c>
      <c r="D3976">
        <v>4.548578</v>
      </c>
      <c r="E3976">
        <v>0.45059450000000001</v>
      </c>
      <c r="F3976" t="s">
        <v>49</v>
      </c>
      <c r="G3976">
        <v>-482.5523</v>
      </c>
      <c r="H3976" s="1">
        <v>1.731729E-6</v>
      </c>
      <c r="I3976">
        <v>278.14269999999999</v>
      </c>
      <c r="J3976">
        <v>-448.33920000000001</v>
      </c>
      <c r="K3976">
        <v>1.121588</v>
      </c>
      <c r="L3976">
        <v>283.79759999999999</v>
      </c>
      <c r="M3976">
        <v>-0.9998475</v>
      </c>
      <c r="N3976">
        <v>-1.473588E-2</v>
      </c>
      <c r="O3976">
        <v>9.3857460000000004E-3</v>
      </c>
      <c r="P3976">
        <v>-0.98751869999999997</v>
      </c>
      <c r="Q3976">
        <v>0.15251679999999901</v>
      </c>
      <c r="R3976">
        <v>-3.931722E-2</v>
      </c>
      <c r="S3976">
        <v>-3.0352779999999999</v>
      </c>
      <c r="T3976">
        <v>-9.8794939999999998E-2</v>
      </c>
      <c r="U3976">
        <v>-0.49789430000000001</v>
      </c>
      <c r="V3976">
        <v>-4.8529259999999998E-2</v>
      </c>
      <c r="W3976">
        <v>0.167062299999999</v>
      </c>
      <c r="X3976">
        <v>0.9847513</v>
      </c>
      <c r="Y3976">
        <v>-0.17099779999999901</v>
      </c>
      <c r="Z3976">
        <v>-4.1986050000000002E-3</v>
      </c>
      <c r="AA3976">
        <v>0.98526250000000004</v>
      </c>
      <c r="AB3976">
        <v>25</v>
      </c>
      <c r="AC3976">
        <v>-34.213099999999997</v>
      </c>
      <c r="AD3976">
        <v>-1.1215862682709901</v>
      </c>
      <c r="AE3976">
        <v>-5.6548999999999898</v>
      </c>
      <c r="AF3976">
        <v>-5.9695563772566702</v>
      </c>
      <c r="AG3976">
        <v>-1.1215862682709901</v>
      </c>
      <c r="AH3976">
        <v>34.122815433748897</v>
      </c>
      <c r="AI3976">
        <v>91.854439285314697</v>
      </c>
      <c r="AJ3976">
        <v>99.923090798149303</v>
      </c>
      <c r="AK3976">
        <v>34.659199243838799</v>
      </c>
      <c r="AL3976">
        <v>80.382941439486601</v>
      </c>
      <c r="AM3976">
        <v>92.821295223774896</v>
      </c>
      <c r="AN3976">
        <v>1.00000001200456</v>
      </c>
    </row>
    <row r="3977" spans="1:40" x14ac:dyDescent="0.25">
      <c r="A3977" t="str">
        <f>"20190303161951564"</f>
        <v>20190303161951564</v>
      </c>
      <c r="B3977" t="str">
        <f>"1551601191556472"</f>
        <v>1551601191556472</v>
      </c>
      <c r="C3977" t="s">
        <v>40</v>
      </c>
      <c r="D3977">
        <v>4.5477850000000002</v>
      </c>
      <c r="E3977">
        <v>0.4507041</v>
      </c>
      <c r="F3977" t="s">
        <v>49</v>
      </c>
      <c r="G3977">
        <v>-481.52659999999997</v>
      </c>
      <c r="H3977" s="1">
        <v>1.662518E-6</v>
      </c>
      <c r="I3977">
        <v>278.26620000000003</v>
      </c>
      <c r="J3977">
        <v>-448.58449999999999</v>
      </c>
      <c r="K3977">
        <v>1.121578</v>
      </c>
      <c r="L3977">
        <v>283.8</v>
      </c>
      <c r="M3977">
        <v>-0.99984550000000005</v>
      </c>
      <c r="N3977">
        <v>-1.474235E-2</v>
      </c>
      <c r="O3977">
        <v>9.5670489999999993E-3</v>
      </c>
      <c r="P3977">
        <v>-0.9874925</v>
      </c>
      <c r="Q3977">
        <v>0.15145310000000001</v>
      </c>
      <c r="R3977">
        <v>-4.3820640000000001E-2</v>
      </c>
      <c r="S3977">
        <v>-3.03363</v>
      </c>
      <c r="T3977">
        <v>-0.10252319999999999</v>
      </c>
      <c r="U3977">
        <v>-0.50561520000000004</v>
      </c>
      <c r="V3977">
        <v>-5.3211439999999999E-2</v>
      </c>
      <c r="W3977">
        <v>0.16600580000000001</v>
      </c>
      <c r="X3977">
        <v>0.98468809999999996</v>
      </c>
      <c r="Y3977">
        <v>-0.17369129999999899</v>
      </c>
      <c r="Z3977">
        <v>-4.3847859999999999E-3</v>
      </c>
      <c r="AA3977">
        <v>0.98479039999999995</v>
      </c>
      <c r="AB3977">
        <v>25</v>
      </c>
      <c r="AC3977">
        <v>-32.942099999999897</v>
      </c>
      <c r="AD3977">
        <v>-1.121576337482</v>
      </c>
      <c r="AE3977">
        <v>-5.5337999999999798</v>
      </c>
      <c r="AF3977">
        <v>-5.8421533318438499</v>
      </c>
      <c r="AG3977">
        <v>-1.121576337482</v>
      </c>
      <c r="AH3977">
        <v>32.850609133585301</v>
      </c>
      <c r="AI3977">
        <v>91.925232501497504</v>
      </c>
      <c r="AJ3977">
        <v>100.084055495941</v>
      </c>
      <c r="AK3977">
        <v>33.384894929910601</v>
      </c>
      <c r="AL3977">
        <v>80.444331768668604</v>
      </c>
      <c r="AM3977">
        <v>93.093191061538604</v>
      </c>
      <c r="AN3977">
        <v>1.00000001863106</v>
      </c>
    </row>
    <row r="3978" spans="1:40" x14ac:dyDescent="0.25">
      <c r="A3978" t="str">
        <f>"20190303161951586"</f>
        <v>20190303161951586</v>
      </c>
      <c r="B3978" t="str">
        <f>"1551601191575992"</f>
        <v>1551601191575992</v>
      </c>
      <c r="C3978" t="s">
        <v>40</v>
      </c>
      <c r="D3978">
        <v>4.5428800000000003</v>
      </c>
      <c r="E3978">
        <v>0.45083250000000002</v>
      </c>
      <c r="F3978" t="s">
        <v>49</v>
      </c>
      <c r="G3978">
        <v>-478.56279999999998</v>
      </c>
      <c r="H3978">
        <v>8.0000150000000006E-2</v>
      </c>
      <c r="I3978">
        <v>278.6782</v>
      </c>
      <c r="J3978">
        <v>-448.82490000000001</v>
      </c>
      <c r="K3978">
        <v>1.121578</v>
      </c>
      <c r="L3978">
        <v>283.80250000000001</v>
      </c>
      <c r="M3978">
        <v>-0.99984379999999995</v>
      </c>
      <c r="N3978">
        <v>-1.4746769999999999E-2</v>
      </c>
      <c r="O3978">
        <v>9.7441409999999996E-3</v>
      </c>
      <c r="P3978">
        <v>-0.98724109999999998</v>
      </c>
      <c r="Q3978">
        <v>0.151145899999999</v>
      </c>
      <c r="R3978">
        <v>-5.0101970000000003E-2</v>
      </c>
      <c r="S3978">
        <v>-3.031158</v>
      </c>
      <c r="T3978">
        <v>-0.1053158</v>
      </c>
      <c r="U3978">
        <v>-0.51788329999999905</v>
      </c>
      <c r="V3978">
        <v>-5.966573E-2</v>
      </c>
      <c r="W3978">
        <v>0.16570019999999999</v>
      </c>
      <c r="X3978">
        <v>0.98436959999999996</v>
      </c>
      <c r="Y3978">
        <v>-0.1778593</v>
      </c>
      <c r="Z3978">
        <v>-4.5816290000000003E-3</v>
      </c>
      <c r="AA3978">
        <v>0.98404530000000001</v>
      </c>
      <c r="AB3978">
        <v>24</v>
      </c>
      <c r="AC3978">
        <v>-29.7378999999999</v>
      </c>
      <c r="AD3978">
        <v>-1.0415778499999999</v>
      </c>
      <c r="AE3978">
        <v>-5.1242999999999999</v>
      </c>
      <c r="AF3978">
        <v>-5.4074161061689603</v>
      </c>
      <c r="AG3978">
        <v>-1.0415778499999999</v>
      </c>
      <c r="AH3978">
        <v>29.651224267174101</v>
      </c>
      <c r="AI3978">
        <v>91.979222346016499</v>
      </c>
      <c r="AJ3978">
        <v>100.33530336687799</v>
      </c>
      <c r="AK3978">
        <v>30.1582515060989</v>
      </c>
      <c r="AL3978">
        <v>80.462087397207299</v>
      </c>
      <c r="AM3978">
        <v>93.468633255890893</v>
      </c>
      <c r="AN3978">
        <v>1.00000003251031</v>
      </c>
    </row>
    <row r="3979" spans="1:40" x14ac:dyDescent="0.25">
      <c r="A3979" t="str">
        <f>"20190303161951608"</f>
        <v>20190303161951608</v>
      </c>
      <c r="B3979" t="str">
        <f>"1551601191596489"</f>
        <v>1551601191596489</v>
      </c>
      <c r="C3979" t="s">
        <v>40</v>
      </c>
      <c r="D3979">
        <v>4.5418079999999996</v>
      </c>
      <c r="E3979">
        <v>0.4509629</v>
      </c>
      <c r="F3979" t="s">
        <v>49</v>
      </c>
      <c r="G3979">
        <v>-478.58670000000001</v>
      </c>
      <c r="H3979">
        <v>8.0000160000000001E-2</v>
      </c>
      <c r="I3979">
        <v>278.53840000000002</v>
      </c>
      <c r="J3979">
        <v>-449.07049999999998</v>
      </c>
      <c r="K3979">
        <v>1.121583</v>
      </c>
      <c r="L3979">
        <v>283.80509999999998</v>
      </c>
      <c r="M3979">
        <v>-0.99984209999999996</v>
      </c>
      <c r="N3979">
        <v>-1.474987E-2</v>
      </c>
      <c r="O3979">
        <v>9.9249379999999995E-3</v>
      </c>
      <c r="P3979">
        <v>-0.98699130000000002</v>
      </c>
      <c r="Q3979">
        <v>0.150834</v>
      </c>
      <c r="R3979">
        <v>-5.5655980000000001E-2</v>
      </c>
      <c r="S3979">
        <v>-3.0278320000000001</v>
      </c>
      <c r="T3979">
        <v>-0.1059655</v>
      </c>
      <c r="U3979">
        <v>-0.53555299999999995</v>
      </c>
      <c r="V3979">
        <v>-6.5395579999999995E-2</v>
      </c>
      <c r="W3979">
        <v>0.16538839999999999</v>
      </c>
      <c r="X3979">
        <v>0.98405799999999999</v>
      </c>
      <c r="Y3979">
        <v>-0.18378050000000001</v>
      </c>
      <c r="Z3979">
        <v>-4.7560559999999998E-3</v>
      </c>
      <c r="AA3979">
        <v>0.98295580000000005</v>
      </c>
      <c r="AB3979">
        <v>24</v>
      </c>
      <c r="AC3979">
        <v>-29.516200000000001</v>
      </c>
      <c r="AD3979">
        <v>-1.04158284</v>
      </c>
      <c r="AE3979">
        <v>-5.2666999999999504</v>
      </c>
      <c r="AF3979">
        <v>-5.5527175032889202</v>
      </c>
      <c r="AG3979">
        <v>-1.04158284</v>
      </c>
      <c r="AH3979">
        <v>29.426954508628398</v>
      </c>
      <c r="AI3979">
        <v>91.992043681519704</v>
      </c>
      <c r="AJ3979">
        <v>100.685780891449</v>
      </c>
      <c r="AK3979">
        <v>29.9643658056833</v>
      </c>
      <c r="AL3979">
        <v>80.480202099774004</v>
      </c>
      <c r="AM3979">
        <v>93.802001045356903</v>
      </c>
      <c r="AN3979">
        <v>1.00000002605104</v>
      </c>
    </row>
    <row r="3980" spans="1:40" x14ac:dyDescent="0.25">
      <c r="A3980" t="str">
        <f>"20190303161951630"</f>
        <v>20190303161951630</v>
      </c>
      <c r="B3980" t="str">
        <f>"1551601191626744"</f>
        <v>1551601191626744</v>
      </c>
      <c r="C3980" t="s">
        <v>40</v>
      </c>
      <c r="D3980">
        <v>4.5641049999999996</v>
      </c>
      <c r="E3980">
        <v>0.45126119999999997</v>
      </c>
      <c r="F3980" t="s">
        <v>49</v>
      </c>
      <c r="G3980">
        <v>-478.68889999999999</v>
      </c>
      <c r="H3980">
        <v>8.0000160000000001E-2</v>
      </c>
      <c r="I3980">
        <v>278.40519999999998</v>
      </c>
      <c r="J3980">
        <v>-449.31220000000002</v>
      </c>
      <c r="K3980">
        <v>1.121588</v>
      </c>
      <c r="L3980">
        <v>283.80770000000001</v>
      </c>
      <c r="M3980">
        <v>-0.99984010000000001</v>
      </c>
      <c r="N3980">
        <v>-1.475197E-2</v>
      </c>
      <c r="O3980">
        <v>1.0103529999999999E-2</v>
      </c>
      <c r="P3980">
        <v>-0.98671609999999998</v>
      </c>
      <c r="Q3980">
        <v>0.15062610000000001</v>
      </c>
      <c r="R3980">
        <v>-6.085314E-2</v>
      </c>
      <c r="S3980">
        <v>-3.0247190000000002</v>
      </c>
      <c r="T3980">
        <v>-0.10636950000000001</v>
      </c>
      <c r="U3980">
        <v>-0.55145259999999996</v>
      </c>
      <c r="V3980">
        <v>-7.0766560000000006E-2</v>
      </c>
      <c r="W3980">
        <v>0.16517960000000001</v>
      </c>
      <c r="X3980">
        <v>0.98372139999999997</v>
      </c>
      <c r="Y3980">
        <v>-0.1891264</v>
      </c>
      <c r="Z3980">
        <v>-4.9089670000000002E-3</v>
      </c>
      <c r="AA3980">
        <v>0.98194049999999999</v>
      </c>
      <c r="AB3980">
        <v>24</v>
      </c>
      <c r="AC3980">
        <v>-29.3766999999999</v>
      </c>
      <c r="AD3980">
        <v>-1.04158784</v>
      </c>
      <c r="AE3980">
        <v>-5.4025000000000301</v>
      </c>
      <c r="AF3980">
        <v>-5.6921431104617204</v>
      </c>
      <c r="AG3980">
        <v>-1.04158784</v>
      </c>
      <c r="AH3980">
        <v>29.284998837007699</v>
      </c>
      <c r="AI3980">
        <v>91.999605467870893</v>
      </c>
      <c r="AJ3980">
        <v>100.999464554778</v>
      </c>
      <c r="AK3980">
        <v>29.851240431545801</v>
      </c>
      <c r="AL3980">
        <v>80.4923320424477</v>
      </c>
      <c r="AM3980">
        <v>94.114633067898794</v>
      </c>
      <c r="AN3980">
        <v>0.99999999954417595</v>
      </c>
    </row>
    <row r="3981" spans="1:40" x14ac:dyDescent="0.25">
      <c r="A3981" t="str">
        <f>"20190303161951653"</f>
        <v>20190303161951653</v>
      </c>
      <c r="B3981" t="str">
        <f>"1551601191646264"</f>
        <v>1551601191646264</v>
      </c>
      <c r="C3981" t="s">
        <v>40</v>
      </c>
      <c r="D3981">
        <v>4.5690119999999999</v>
      </c>
      <c r="E3981">
        <v>0.46241130000000003</v>
      </c>
      <c r="F3981" t="s">
        <v>49</v>
      </c>
      <c r="G3981">
        <v>-478.8252</v>
      </c>
      <c r="H3981">
        <v>8.0000089999999996E-2</v>
      </c>
      <c r="I3981">
        <v>278.29349999999999</v>
      </c>
      <c r="J3981">
        <v>-449.55279999999999</v>
      </c>
      <c r="K3981">
        <v>1.121591</v>
      </c>
      <c r="L3981">
        <v>283.81029999999998</v>
      </c>
      <c r="M3981">
        <v>-0.99983840000000002</v>
      </c>
      <c r="N3981">
        <v>-1.4753179999999999E-2</v>
      </c>
      <c r="O3981">
        <v>1.0280829999999999E-2</v>
      </c>
      <c r="P3981">
        <v>-0.98635720000000005</v>
      </c>
      <c r="Q3981">
        <v>0.1508341</v>
      </c>
      <c r="R3981">
        <v>-6.5946710000000006E-2</v>
      </c>
      <c r="S3981">
        <v>-3.0218509999999998</v>
      </c>
      <c r="T3981">
        <v>-0.1066487</v>
      </c>
      <c r="U3981">
        <v>-0.56460569999999999</v>
      </c>
      <c r="V3981">
        <v>-7.603058E-2</v>
      </c>
      <c r="W3981">
        <v>0.16538369999999999</v>
      </c>
      <c r="X3981">
        <v>0.98329420000000001</v>
      </c>
      <c r="Y3981">
        <v>-0.19359129999999999</v>
      </c>
      <c r="Z3981">
        <v>-5.0361909999999998E-3</v>
      </c>
      <c r="AA3981">
        <v>0.98106930000000003</v>
      </c>
      <c r="AB3981">
        <v>24</v>
      </c>
      <c r="AC3981">
        <v>-29.272400000000001</v>
      </c>
      <c r="AD3981">
        <v>-1.04159091</v>
      </c>
      <c r="AE3981">
        <v>-5.5167999999999804</v>
      </c>
      <c r="AF3981">
        <v>-5.8103813261678798</v>
      </c>
      <c r="AG3981">
        <v>-1.04159091</v>
      </c>
      <c r="AH3981">
        <v>29.178452712262299</v>
      </c>
      <c r="AI3981">
        <v>92.005099095024207</v>
      </c>
      <c r="AJ3981">
        <v>101.26213795663899</v>
      </c>
      <c r="AK3981">
        <v>29.7695741565277</v>
      </c>
      <c r="AL3981">
        <v>80.480474424588607</v>
      </c>
      <c r="AM3981">
        <v>94.421444535426005</v>
      </c>
      <c r="AN3981">
        <v>0.99999995053723201</v>
      </c>
    </row>
    <row r="3982" spans="1:40" x14ac:dyDescent="0.25">
      <c r="A3982" t="str">
        <f>"20190303161951675"</f>
        <v>20190303161951675</v>
      </c>
      <c r="B3982" t="str">
        <f>"1551601191666761"</f>
        <v>1551601191666761</v>
      </c>
      <c r="C3982" t="s">
        <v>40</v>
      </c>
      <c r="D3982">
        <v>4.7156209999999996</v>
      </c>
      <c r="E3982">
        <v>0.46225169999999999</v>
      </c>
      <c r="F3982" t="s">
        <v>49</v>
      </c>
      <c r="G3982">
        <v>-475.84690000000001</v>
      </c>
      <c r="H3982">
        <v>8.0000429999999997E-2</v>
      </c>
      <c r="I3982">
        <v>279.55079999999998</v>
      </c>
      <c r="J3982">
        <v>-449.79219999999998</v>
      </c>
      <c r="K3982">
        <v>1.121591</v>
      </c>
      <c r="L3982">
        <v>283.81290000000001</v>
      </c>
      <c r="M3982">
        <v>-0.99983659999999996</v>
      </c>
      <c r="N3982">
        <v>-1.4753479999999999E-2</v>
      </c>
      <c r="O3982">
        <v>1.045754E-2</v>
      </c>
      <c r="P3982">
        <v>-0.98606280000000002</v>
      </c>
      <c r="Q3982">
        <v>0.15091479999999999</v>
      </c>
      <c r="R3982">
        <v>-7.003732E-2</v>
      </c>
      <c r="S3982">
        <v>-3.0269780000000002</v>
      </c>
      <c r="T3982">
        <v>-0.11990770000000001</v>
      </c>
      <c r="U3982">
        <v>-0.49035640000000003</v>
      </c>
      <c r="V3982">
        <v>-8.0292269999999999E-2</v>
      </c>
      <c r="W3982">
        <v>0.16546040000000001</v>
      </c>
      <c r="X3982">
        <v>0.98294250000000005</v>
      </c>
      <c r="Y3982">
        <v>-0.17004339999999901</v>
      </c>
      <c r="Z3982">
        <v>-4.8663580000000003E-3</v>
      </c>
      <c r="AA3982">
        <v>0.98542459999999998</v>
      </c>
      <c r="AB3982">
        <v>24</v>
      </c>
      <c r="AC3982">
        <v>-26.0547</v>
      </c>
      <c r="AD3982">
        <v>-1.0415905700000001</v>
      </c>
      <c r="AE3982">
        <v>-4.2621000000000304</v>
      </c>
      <c r="AF3982">
        <v>-4.5273177450269797</v>
      </c>
      <c r="AG3982">
        <v>-1.0415905700000001</v>
      </c>
      <c r="AH3982">
        <v>25.968279039070001</v>
      </c>
      <c r="AI3982">
        <v>92.262813962546801</v>
      </c>
      <c r="AJ3982">
        <v>99.889566944930195</v>
      </c>
      <c r="AK3982">
        <v>26.3805426997049</v>
      </c>
      <c r="AL3982">
        <v>80.476018686950596</v>
      </c>
      <c r="AM3982">
        <v>94.669873193579406</v>
      </c>
      <c r="AN3982">
        <v>0.99999997544808095</v>
      </c>
    </row>
    <row r="3983" spans="1:40" x14ac:dyDescent="0.25">
      <c r="A3983" t="str">
        <f>"20190303161951697"</f>
        <v>20190303161951697</v>
      </c>
      <c r="B3983" t="str">
        <f>"1551601191686281"</f>
        <v>1551601191686281</v>
      </c>
      <c r="C3983" t="s">
        <v>40</v>
      </c>
      <c r="D3983">
        <v>4.7194890000000003</v>
      </c>
      <c r="E3983">
        <v>0.46282489999999998</v>
      </c>
      <c r="F3983" t="s">
        <v>49</v>
      </c>
      <c r="G3983">
        <v>-476.88299999999998</v>
      </c>
      <c r="H3983">
        <v>8.0000450000000001E-2</v>
      </c>
      <c r="I3983">
        <v>279.30149999999998</v>
      </c>
      <c r="J3983">
        <v>-450.03739999999999</v>
      </c>
      <c r="K3983">
        <v>1.12159599999999</v>
      </c>
      <c r="L3983">
        <v>283.81569999999999</v>
      </c>
      <c r="M3983">
        <v>-0.99983469999999997</v>
      </c>
      <c r="N3983">
        <v>-1.4752929999999999E-2</v>
      </c>
      <c r="O3983">
        <v>1.0638480000000001E-2</v>
      </c>
      <c r="P3983">
        <v>-0.98583129999999997</v>
      </c>
      <c r="Q3983">
        <v>0.1509267</v>
      </c>
      <c r="R3983">
        <v>-7.3197390000000001E-2</v>
      </c>
      <c r="S3983">
        <v>-3.0244140000000002</v>
      </c>
      <c r="T3983">
        <v>-0.1162832</v>
      </c>
      <c r="U3983">
        <v>-0.5036621</v>
      </c>
      <c r="V3983">
        <v>-8.3628850000000005E-2</v>
      </c>
      <c r="W3983">
        <v>0.1654688</v>
      </c>
      <c r="X3983">
        <v>0.98266290000000001</v>
      </c>
      <c r="Y3983">
        <v>-0.17457790000000001</v>
      </c>
      <c r="Z3983">
        <v>-4.8795849999999997E-3</v>
      </c>
      <c r="AA3983">
        <v>0.98463129999999999</v>
      </c>
      <c r="AB3983">
        <v>24</v>
      </c>
      <c r="AC3983">
        <v>-26.845600000000001</v>
      </c>
      <c r="AD3983">
        <v>-1.04159554999999</v>
      </c>
      <c r="AE3983">
        <v>-4.5142000000000104</v>
      </c>
      <c r="AF3983">
        <v>-4.79255558991564</v>
      </c>
      <c r="AG3983">
        <v>-1.04159554999999</v>
      </c>
      <c r="AH3983">
        <v>26.756878835960201</v>
      </c>
      <c r="AI3983">
        <v>92.194404783424503</v>
      </c>
      <c r="AJ3983">
        <v>100.154844996772</v>
      </c>
      <c r="AK3983">
        <v>27.2026483161928</v>
      </c>
      <c r="AL3983">
        <v>80.475531312219005</v>
      </c>
      <c r="AM3983">
        <v>94.864396630795994</v>
      </c>
      <c r="AN3983">
        <v>1.0000000416810799</v>
      </c>
    </row>
    <row r="3984" spans="1:40" x14ac:dyDescent="0.25">
      <c r="A3984" t="str">
        <f>"20190303161951720"</f>
        <v>20190303161951720</v>
      </c>
      <c r="B3984" t="str">
        <f>"1551601191716537"</f>
        <v>1551601191716537</v>
      </c>
      <c r="C3984" t="s">
        <v>40</v>
      </c>
      <c r="D3984">
        <v>4.6180669999999999</v>
      </c>
      <c r="E3984">
        <v>0.46400669999999999</v>
      </c>
      <c r="F3984" t="s">
        <v>49</v>
      </c>
      <c r="G3984">
        <v>-480.99470000000002</v>
      </c>
      <c r="H3984" s="1">
        <v>1.6747480000000001E-6</v>
      </c>
      <c r="I3984">
        <v>278.6035</v>
      </c>
      <c r="J3984">
        <v>-450.27839999999998</v>
      </c>
      <c r="K3984">
        <v>1.1215999999999999</v>
      </c>
      <c r="L3984">
        <v>283.81849999999997</v>
      </c>
      <c r="M3984">
        <v>-0.99983270000000002</v>
      </c>
      <c r="N3984">
        <v>-1.475166E-2</v>
      </c>
      <c r="O3984">
        <v>1.0816859999999999E-2</v>
      </c>
      <c r="P3984">
        <v>-0.98565820000000004</v>
      </c>
      <c r="Q3984">
        <v>0.1507201</v>
      </c>
      <c r="R3984">
        <v>-7.5903890000000002E-2</v>
      </c>
      <c r="S3984">
        <v>-3.0220950000000002</v>
      </c>
      <c r="T3984">
        <v>-0.10949150000000001</v>
      </c>
      <c r="U3984">
        <v>-0.50881960000000004</v>
      </c>
      <c r="V3984">
        <v>-8.6509059999999999E-2</v>
      </c>
      <c r="W3984">
        <v>0.16525860000000001</v>
      </c>
      <c r="X3984">
        <v>0.98244889999999996</v>
      </c>
      <c r="Y3984">
        <v>-0.17652579999999901</v>
      </c>
      <c r="Z3984">
        <v>-4.7169309999999997E-3</v>
      </c>
      <c r="AA3984">
        <v>0.98428470000000001</v>
      </c>
      <c r="AB3984">
        <v>24</v>
      </c>
      <c r="AC3984">
        <v>-30.7163</v>
      </c>
      <c r="AD3984">
        <v>-1.1215983252520001</v>
      </c>
      <c r="AE3984">
        <v>-5.2149999999999697</v>
      </c>
      <c r="AF3984">
        <v>-5.5398054737292002</v>
      </c>
      <c r="AG3984">
        <v>-1.1215983252520001</v>
      </c>
      <c r="AH3984">
        <v>30.618405949487698</v>
      </c>
      <c r="AI3984">
        <v>92.064404444079699</v>
      </c>
      <c r="AJ3984">
        <v>100.25560948030299</v>
      </c>
      <c r="AK3984">
        <v>31.135738474903601</v>
      </c>
      <c r="AL3984">
        <v>80.487742911620501</v>
      </c>
      <c r="AM3984">
        <v>95.032172962975196</v>
      </c>
      <c r="AN3984">
        <v>1.00000003172362</v>
      </c>
    </row>
    <row r="3985" spans="1:40" x14ac:dyDescent="0.25">
      <c r="A3985" t="str">
        <f>"20190303161951742"</f>
        <v>20190303161951742</v>
      </c>
      <c r="B3985" t="str">
        <f>"1551601191736056"</f>
        <v>1551601191736056</v>
      </c>
      <c r="C3985" t="s">
        <v>40</v>
      </c>
      <c r="D3985">
        <v>4.6444199999999896</v>
      </c>
      <c r="E3985">
        <v>0.46473059999999999</v>
      </c>
      <c r="F3985" t="s">
        <v>49</v>
      </c>
      <c r="G3985">
        <v>-481.96589999999998</v>
      </c>
      <c r="H3985" s="1">
        <v>1.7423020000000001E-6</v>
      </c>
      <c r="I3985">
        <v>278.49799999999999</v>
      </c>
      <c r="J3985">
        <v>-450.51940000000002</v>
      </c>
      <c r="K3985">
        <v>1.121604</v>
      </c>
      <c r="L3985">
        <v>283.82130000000001</v>
      </c>
      <c r="M3985">
        <v>-0.99983080000000002</v>
      </c>
      <c r="N3985">
        <v>-1.4749740000000001E-2</v>
      </c>
      <c r="O3985">
        <v>1.0995080000000001E-2</v>
      </c>
      <c r="P3985">
        <v>-0.98554960000000003</v>
      </c>
      <c r="Q3985">
        <v>0.15014169999999999</v>
      </c>
      <c r="R3985">
        <v>-7.8417479999999998E-2</v>
      </c>
      <c r="S3985">
        <v>-3.020966</v>
      </c>
      <c r="T3985">
        <v>-0.10692889999999999</v>
      </c>
      <c r="U3985">
        <v>-0.50723269999999998</v>
      </c>
      <c r="V3985">
        <v>-8.9197159999999998E-2</v>
      </c>
      <c r="W3985">
        <v>0.1646773</v>
      </c>
      <c r="X3985">
        <v>0.98230609999999996</v>
      </c>
      <c r="Y3985">
        <v>-0.17626530000000001</v>
      </c>
      <c r="Z3985">
        <v>-4.6319279999999996E-3</v>
      </c>
      <c r="AA3985">
        <v>0.98433179999999998</v>
      </c>
      <c r="AB3985">
        <v>24</v>
      </c>
      <c r="AC3985">
        <v>-31.446499999999901</v>
      </c>
      <c r="AD3985">
        <v>-1.121602257698</v>
      </c>
      <c r="AE3985">
        <v>-5.3233000000000104</v>
      </c>
      <c r="AF3985">
        <v>-5.6617706471928901</v>
      </c>
      <c r="AG3985">
        <v>-1.121602257698</v>
      </c>
      <c r="AH3985">
        <v>31.347295172066399</v>
      </c>
      <c r="AI3985">
        <v>92.016561484496407</v>
      </c>
      <c r="AJ3985">
        <v>100.238063821331</v>
      </c>
      <c r="AK3985">
        <v>31.8742302352628</v>
      </c>
      <c r="AL3985">
        <v>80.521511410113803</v>
      </c>
      <c r="AM3985">
        <v>95.188447504524902</v>
      </c>
      <c r="AN3985">
        <v>1.0000000102922799</v>
      </c>
    </row>
    <row r="3986" spans="1:40" x14ac:dyDescent="0.25">
      <c r="A3986" t="str">
        <f>"20190303161951765"</f>
        <v>20190303161951765</v>
      </c>
      <c r="B3986" t="str">
        <f>"1551601191756552"</f>
        <v>1551601191756552</v>
      </c>
      <c r="C3986" t="s">
        <v>40</v>
      </c>
      <c r="D3986">
        <v>4.6877849999999999</v>
      </c>
      <c r="E3986">
        <v>0.46505350000000001</v>
      </c>
      <c r="F3986" t="s">
        <v>49</v>
      </c>
      <c r="G3986">
        <v>-481.8836</v>
      </c>
      <c r="H3986" s="1">
        <v>1.7416219999999999E-6</v>
      </c>
      <c r="I3986">
        <v>278.53559999999999</v>
      </c>
      <c r="J3986">
        <v>-450.75880000000001</v>
      </c>
      <c r="K3986">
        <v>1.121605</v>
      </c>
      <c r="L3986">
        <v>283.82409999999999</v>
      </c>
      <c r="M3986">
        <v>-0.99982890000000002</v>
      </c>
      <c r="N3986">
        <v>-1.474732E-2</v>
      </c>
      <c r="O3986">
        <v>1.1171810000000001E-2</v>
      </c>
      <c r="P3986">
        <v>-0.98548119999999995</v>
      </c>
      <c r="Q3986">
        <v>0.14981729999999999</v>
      </c>
      <c r="R3986">
        <v>-7.9884360000000001E-2</v>
      </c>
      <c r="S3986">
        <v>-3.0199579999999999</v>
      </c>
      <c r="T3986">
        <v>-0.10799549999999999</v>
      </c>
      <c r="U3986">
        <v>-0.50894170000000005</v>
      </c>
      <c r="V3986">
        <v>-9.083774E-2</v>
      </c>
      <c r="W3986">
        <v>0.16434949999999901</v>
      </c>
      <c r="X3986">
        <v>0.98221060000000004</v>
      </c>
      <c r="Y3986">
        <v>-0.17703099999999999</v>
      </c>
      <c r="Z3986">
        <v>-4.6905100000000002E-3</v>
      </c>
      <c r="AA3986">
        <v>0.98419409999999896</v>
      </c>
      <c r="AB3986">
        <v>24</v>
      </c>
      <c r="AC3986">
        <v>-31.1248</v>
      </c>
      <c r="AD3986">
        <v>-1.121603258378</v>
      </c>
      <c r="AE3986">
        <v>-5.2884999999999902</v>
      </c>
      <c r="AF3986">
        <v>-5.6288237214939798</v>
      </c>
      <c r="AG3986">
        <v>-1.121603258378</v>
      </c>
      <c r="AH3986">
        <v>31.024611493510498</v>
      </c>
      <c r="AI3986">
        <v>92.037228389255603</v>
      </c>
      <c r="AJ3986">
        <v>100.283366418032</v>
      </c>
      <c r="AK3986">
        <v>31.551040690920502</v>
      </c>
      <c r="AL3986">
        <v>80.540551903325195</v>
      </c>
      <c r="AM3986">
        <v>95.283852843648106</v>
      </c>
      <c r="AN3986">
        <v>0.99999995795545704</v>
      </c>
    </row>
    <row r="3987" spans="1:40" x14ac:dyDescent="0.25">
      <c r="A3987" t="str">
        <f>"20190303161951787"</f>
        <v>20190303161951787</v>
      </c>
      <c r="B3987" t="str">
        <f>"1551601191776073"</f>
        <v>1551601191776073</v>
      </c>
      <c r="C3987" t="s">
        <v>40</v>
      </c>
      <c r="D3987">
        <v>4.6785189999999997</v>
      </c>
      <c r="E3987">
        <v>0.46540979999999998</v>
      </c>
      <c r="F3987" t="s">
        <v>49</v>
      </c>
      <c r="G3987">
        <v>-481.74880000000002</v>
      </c>
      <c r="H3987" s="1">
        <v>1.7384139999999999E-6</v>
      </c>
      <c r="I3987">
        <v>278.58530000000002</v>
      </c>
      <c r="J3987">
        <v>-450.99759999999998</v>
      </c>
      <c r="K3987">
        <v>1.121605</v>
      </c>
      <c r="L3987">
        <v>283.82690000000002</v>
      </c>
      <c r="M3987">
        <v>-0.99982680000000002</v>
      </c>
      <c r="N3987">
        <v>-1.4744429999999999E-2</v>
      </c>
      <c r="O3987">
        <v>1.1348840000000001E-2</v>
      </c>
      <c r="P3987">
        <v>-0.98558630000000003</v>
      </c>
      <c r="Q3987">
        <v>0.1490302</v>
      </c>
      <c r="R3987">
        <v>-8.0061579999999993E-2</v>
      </c>
      <c r="S3987">
        <v>-3.0194700000000001</v>
      </c>
      <c r="T3987">
        <v>-0.109282</v>
      </c>
      <c r="U3987">
        <v>-0.51043700000000003</v>
      </c>
      <c r="V3987">
        <v>-9.119033E-2</v>
      </c>
      <c r="W3987">
        <v>0.1635607</v>
      </c>
      <c r="X3987">
        <v>0.9823096</v>
      </c>
      <c r="Y3987">
        <v>-0.1777012</v>
      </c>
      <c r="Z3987">
        <v>-4.7537059999999999E-3</v>
      </c>
      <c r="AA3987">
        <v>0.98407299999999998</v>
      </c>
      <c r="AB3987">
        <v>24</v>
      </c>
      <c r="AC3987">
        <v>-30.751200000000001</v>
      </c>
      <c r="AD3987">
        <v>-1.1216032615860001</v>
      </c>
      <c r="AE3987">
        <v>-5.2416</v>
      </c>
      <c r="AF3987">
        <v>-5.5830732401319798</v>
      </c>
      <c r="AG3987">
        <v>-1.1216032615860001</v>
      </c>
      <c r="AH3987">
        <v>30.650103554163199</v>
      </c>
      <c r="AI3987">
        <v>92.061836994673897</v>
      </c>
      <c r="AJ3987">
        <v>100.32353263952299</v>
      </c>
      <c r="AK3987">
        <v>31.174629886527999</v>
      </c>
      <c r="AL3987">
        <v>80.586366856358197</v>
      </c>
      <c r="AM3987">
        <v>95.303714024278307</v>
      </c>
      <c r="AN3987">
        <v>0.99999996456107798</v>
      </c>
    </row>
    <row r="3988" spans="1:40" x14ac:dyDescent="0.25">
      <c r="A3988" t="str">
        <f>"20190303161951810"</f>
        <v>20190303161951810</v>
      </c>
      <c r="B3988" t="str">
        <f>"1551601191806329"</f>
        <v>1551601191806329</v>
      </c>
      <c r="C3988" t="s">
        <v>40</v>
      </c>
      <c r="D3988">
        <v>4.6589559999999999</v>
      </c>
      <c r="E3988">
        <v>0.46604240000000002</v>
      </c>
      <c r="F3988" t="s">
        <v>49</v>
      </c>
      <c r="G3988">
        <v>-481.38549999999998</v>
      </c>
      <c r="H3988" s="1">
        <v>1.7286170000000001E-6</v>
      </c>
      <c r="I3988">
        <v>278.71260000000001</v>
      </c>
      <c r="J3988">
        <v>-451.23790000000002</v>
      </c>
      <c r="K3988">
        <v>1.1216010000000001</v>
      </c>
      <c r="L3988">
        <v>283.83</v>
      </c>
      <c r="M3988">
        <v>-0.99982490000000002</v>
      </c>
      <c r="N3988">
        <v>-1.474109E-2</v>
      </c>
      <c r="O3988">
        <v>1.1526349999999999E-2</v>
      </c>
      <c r="P3988">
        <v>-0.98569229999999997</v>
      </c>
      <c r="Q3988">
        <v>0.14843819999999999</v>
      </c>
      <c r="R3988">
        <v>-7.9855510000000005E-2</v>
      </c>
      <c r="S3988">
        <v>-3.0194700000000001</v>
      </c>
      <c r="T3988">
        <v>-0.1114475</v>
      </c>
      <c r="U3988">
        <v>-0.50817869999999998</v>
      </c>
      <c r="V3988">
        <v>-9.1161010000000001E-2</v>
      </c>
      <c r="W3988">
        <v>0.162967</v>
      </c>
      <c r="X3988">
        <v>0.98241100000000003</v>
      </c>
      <c r="Y3988">
        <v>-0.17715510000000001</v>
      </c>
      <c r="Z3988">
        <v>-4.8147349999999997E-3</v>
      </c>
      <c r="AA3988">
        <v>0.98417120000000002</v>
      </c>
      <c r="AB3988">
        <v>24</v>
      </c>
      <c r="AC3988">
        <v>-30.147599999999901</v>
      </c>
      <c r="AD3988">
        <v>-1.1215992713830001</v>
      </c>
      <c r="AE3988">
        <v>-5.1173999999999698</v>
      </c>
      <c r="AF3988">
        <v>-5.4572476510366998</v>
      </c>
      <c r="AG3988">
        <v>-1.1215992713830001</v>
      </c>
      <c r="AH3988">
        <v>30.046183034115199</v>
      </c>
      <c r="AI3988">
        <v>92.103429847225897</v>
      </c>
      <c r="AJ3988">
        <v>100.29433422440501</v>
      </c>
      <c r="AK3988">
        <v>30.5583483154746</v>
      </c>
      <c r="AL3988">
        <v>80.620846066894501</v>
      </c>
      <c r="AM3988">
        <v>95.301474334006301</v>
      </c>
      <c r="AN3988">
        <v>0.99999997287710896</v>
      </c>
    </row>
    <row r="3989" spans="1:40" x14ac:dyDescent="0.25">
      <c r="A3989" t="str">
        <f>"20190303161951831"</f>
        <v>20190303161951831</v>
      </c>
      <c r="B3989" t="str">
        <f>"1551601191826828"</f>
        <v>1551601191826828</v>
      </c>
      <c r="C3989" t="s">
        <v>40</v>
      </c>
      <c r="D3989">
        <v>4.7059119999999997</v>
      </c>
      <c r="E3989">
        <v>0.46633649999999999</v>
      </c>
      <c r="F3989" t="s">
        <v>49</v>
      </c>
      <c r="G3989">
        <v>-481.36759999999998</v>
      </c>
      <c r="H3989" s="1">
        <v>1.745936E-6</v>
      </c>
      <c r="I3989">
        <v>278.81990000000002</v>
      </c>
      <c r="J3989">
        <v>-451.4717</v>
      </c>
      <c r="K3989">
        <v>1.1216010000000001</v>
      </c>
      <c r="L3989">
        <v>283.83280000000002</v>
      </c>
      <c r="M3989">
        <v>-0.99982309999999996</v>
      </c>
      <c r="N3989">
        <v>-1.473733E-2</v>
      </c>
      <c r="O3989">
        <v>1.1699330000000001E-2</v>
      </c>
      <c r="P3989">
        <v>-0.98577760000000003</v>
      </c>
      <c r="Q3989">
        <v>0.14802209999999999</v>
      </c>
      <c r="R3989">
        <v>-7.9575699999999999E-2</v>
      </c>
      <c r="S3989">
        <v>-3.019806</v>
      </c>
      <c r="T3989">
        <v>-0.11241420000000001</v>
      </c>
      <c r="U3989">
        <v>-0.50213620000000003</v>
      </c>
      <c r="V3989">
        <v>-9.1053079999999995E-2</v>
      </c>
      <c r="W3989">
        <v>0.16254830000000001</v>
      </c>
      <c r="X3989">
        <v>0.98249039999999999</v>
      </c>
      <c r="Y3989">
        <v>-0.17539060000000001</v>
      </c>
      <c r="Z3989">
        <v>-4.8043649999999997E-3</v>
      </c>
      <c r="AA3989">
        <v>0.98448720000000001</v>
      </c>
      <c r="AB3989">
        <v>24</v>
      </c>
      <c r="AC3989">
        <v>-29.895899999999902</v>
      </c>
      <c r="AD3989">
        <v>-1.1215992540639901</v>
      </c>
      <c r="AE3989">
        <v>-5.0129000000000001</v>
      </c>
      <c r="AF3989">
        <v>-5.3550256410014798</v>
      </c>
      <c r="AG3989">
        <v>-1.1215992540639901</v>
      </c>
      <c r="AH3989">
        <v>29.794410399232401</v>
      </c>
      <c r="AI3989">
        <v>92.1218915148837</v>
      </c>
      <c r="AJ3989">
        <v>100.189130711376</v>
      </c>
      <c r="AK3989">
        <v>30.292592750380301</v>
      </c>
      <c r="AL3989">
        <v>80.645160263616205</v>
      </c>
      <c r="AM3989">
        <v>95.294807856477405</v>
      </c>
      <c r="AN3989">
        <v>0.99999999965126796</v>
      </c>
    </row>
    <row r="3990" spans="1:40" x14ac:dyDescent="0.25">
      <c r="A3990" t="str">
        <f>"20190303161951854"</f>
        <v>20190303161951854</v>
      </c>
      <c r="B3990" t="str">
        <f>"1551601191846345"</f>
        <v>1551601191846345</v>
      </c>
      <c r="C3990" t="s">
        <v>40</v>
      </c>
      <c r="D3990">
        <v>4.6624359999999996</v>
      </c>
      <c r="E3990">
        <v>0.46653840000000002</v>
      </c>
      <c r="F3990" t="s">
        <v>49</v>
      </c>
      <c r="G3990">
        <v>-481.23950000000002</v>
      </c>
      <c r="H3990" s="1">
        <v>1.7521839999999999E-6</v>
      </c>
      <c r="I3990">
        <v>278.92</v>
      </c>
      <c r="J3990">
        <v>-451.70760000000001</v>
      </c>
      <c r="K3990">
        <v>1.1216010000000001</v>
      </c>
      <c r="L3990">
        <v>283.83580000000001</v>
      </c>
      <c r="M3990">
        <v>-0.99982110000000002</v>
      </c>
      <c r="N3990">
        <v>-1.473323E-2</v>
      </c>
      <c r="O3990">
        <v>1.187411E-2</v>
      </c>
      <c r="P3990">
        <v>-0.98589320000000003</v>
      </c>
      <c r="Q3990">
        <v>0.14789099999999999</v>
      </c>
      <c r="R3990">
        <v>-7.8379249999999998E-2</v>
      </c>
      <c r="S3990">
        <v>-3.0201419999999999</v>
      </c>
      <c r="T3990">
        <v>-0.11379359999999999</v>
      </c>
      <c r="U3990">
        <v>-0.49844359999999999</v>
      </c>
      <c r="V3990">
        <v>-9.0029979999999996E-2</v>
      </c>
      <c r="W3990">
        <v>0.16241410000000001</v>
      </c>
      <c r="X3990">
        <v>0.98260689999999995</v>
      </c>
      <c r="Y3990">
        <v>-0.17437069999999999</v>
      </c>
      <c r="Z3990">
        <v>-4.8262640000000002E-3</v>
      </c>
      <c r="AA3990">
        <v>0.98466830000000005</v>
      </c>
      <c r="AB3990">
        <v>24</v>
      </c>
      <c r="AC3990">
        <v>-29.5319</v>
      </c>
      <c r="AD3990">
        <v>-1.121599247816</v>
      </c>
      <c r="AE3990">
        <v>-4.9157999999999902</v>
      </c>
      <c r="AF3990">
        <v>-5.2587755355511598</v>
      </c>
      <c r="AG3990">
        <v>-1.121599247816</v>
      </c>
      <c r="AH3990">
        <v>29.4301342903705</v>
      </c>
      <c r="AI3990">
        <v>92.148520830403697</v>
      </c>
      <c r="AJ3990">
        <v>100.131075692632</v>
      </c>
      <c r="AK3990">
        <v>29.917311198623</v>
      </c>
      <c r="AL3990">
        <v>80.652953181277198</v>
      </c>
      <c r="AM3990">
        <v>95.235028990028695</v>
      </c>
      <c r="AN3990">
        <v>1.0000000285526001</v>
      </c>
    </row>
    <row r="3991" spans="1:40" x14ac:dyDescent="0.25">
      <c r="A3991" t="str">
        <f>"20190303161951876"</f>
        <v>20190303161951876</v>
      </c>
      <c r="B3991" t="str">
        <f>"1551601191866841"</f>
        <v>1551601191866841</v>
      </c>
      <c r="C3991" t="s">
        <v>40</v>
      </c>
      <c r="D3991">
        <v>4.6904709999999996</v>
      </c>
      <c r="E3991">
        <v>0.46671210000000002</v>
      </c>
      <c r="F3991" t="s">
        <v>49</v>
      </c>
      <c r="G3991">
        <v>-481.65219999999999</v>
      </c>
      <c r="H3991" s="1">
        <v>1.826294E-6</v>
      </c>
      <c r="I3991">
        <v>278.9504</v>
      </c>
      <c r="J3991">
        <v>-451.94749999999999</v>
      </c>
      <c r="K3991">
        <v>1.121591</v>
      </c>
      <c r="L3991">
        <v>283.83879999999999</v>
      </c>
      <c r="M3991">
        <v>-0.99981900000000001</v>
      </c>
      <c r="N3991">
        <v>-1.472911E-2</v>
      </c>
      <c r="O3991">
        <v>1.20524E-2</v>
      </c>
      <c r="P3991">
        <v>-0.98601159999999999</v>
      </c>
      <c r="Q3991">
        <v>0.1478737</v>
      </c>
      <c r="R3991">
        <v>-7.6906989999999995E-2</v>
      </c>
      <c r="S3991">
        <v>-3.020721</v>
      </c>
      <c r="T3991">
        <v>-0.1131436</v>
      </c>
      <c r="U3991">
        <v>-0.4928284</v>
      </c>
      <c r="V3991">
        <v>-8.8735140000000004E-2</v>
      </c>
      <c r="W3991">
        <v>0.16239439999999999</v>
      </c>
      <c r="X3991">
        <v>0.98272789999999999</v>
      </c>
      <c r="Y3991">
        <v>-0.17273649999999999</v>
      </c>
      <c r="Z3991">
        <v>-4.7659310000000002E-3</v>
      </c>
      <c r="AA3991">
        <v>0.98495659999999896</v>
      </c>
      <c r="AB3991">
        <v>24</v>
      </c>
      <c r="AC3991">
        <v>-29.704699999999999</v>
      </c>
      <c r="AD3991">
        <v>-1.121589173706</v>
      </c>
      <c r="AE3991">
        <v>-4.8883999999999901</v>
      </c>
      <c r="AF3991">
        <v>-5.2388247217287001</v>
      </c>
      <c r="AG3991">
        <v>-1.121589173706</v>
      </c>
      <c r="AH3991">
        <v>29.602528209350702</v>
      </c>
      <c r="AI3991">
        <v>92.1366319239321</v>
      </c>
      <c r="AJ3991">
        <v>100.035849985908</v>
      </c>
      <c r="AK3991">
        <v>30.083432701820701</v>
      </c>
      <c r="AL3991">
        <v>80.654096785777199</v>
      </c>
      <c r="AM3991">
        <v>95.159514616734</v>
      </c>
      <c r="AN3991">
        <v>0.99999999583029398</v>
      </c>
    </row>
    <row r="3992" spans="1:40" x14ac:dyDescent="0.25">
      <c r="A3992" t="str">
        <f>"20190303161951899"</f>
        <v>20190303161951899</v>
      </c>
      <c r="B3992" t="str">
        <f>"1551601191886360"</f>
        <v>1551601191886360</v>
      </c>
      <c r="C3992" t="s">
        <v>40</v>
      </c>
      <c r="D3992">
        <v>4.6938190000000004</v>
      </c>
      <c r="E3992">
        <v>0.46685840000000001</v>
      </c>
      <c r="F3992" t="s">
        <v>49</v>
      </c>
      <c r="G3992">
        <v>-482.12259999999998</v>
      </c>
      <c r="H3992" s="1">
        <v>1.9186740000000001E-6</v>
      </c>
      <c r="I3992">
        <v>278.97570000000002</v>
      </c>
      <c r="J3992">
        <v>-452.18169999999998</v>
      </c>
      <c r="K3992">
        <v>1.12159599999999</v>
      </c>
      <c r="L3992">
        <v>283.84190000000001</v>
      </c>
      <c r="M3992">
        <v>-0.99981690000000001</v>
      </c>
      <c r="N3992">
        <v>-1.472473E-2</v>
      </c>
      <c r="O3992">
        <v>1.2227200000000001E-2</v>
      </c>
      <c r="P3992">
        <v>-0.98618660000000002</v>
      </c>
      <c r="Q3992">
        <v>0.14713699999999999</v>
      </c>
      <c r="R3992">
        <v>-7.6072269999999997E-2</v>
      </c>
      <c r="S3992">
        <v>-3.0213619999999999</v>
      </c>
      <c r="T3992">
        <v>-0.1123022</v>
      </c>
      <c r="U3992">
        <v>-0.4869385</v>
      </c>
      <c r="V3992">
        <v>-8.8074920000000001E-2</v>
      </c>
      <c r="W3992">
        <v>0.16165570000000001</v>
      </c>
      <c r="X3992">
        <v>0.98290909999999998</v>
      </c>
      <c r="Y3992">
        <v>-0.1710081</v>
      </c>
      <c r="Z3992">
        <v>-4.697143E-3</v>
      </c>
      <c r="AA3992">
        <v>0.98525839999999998</v>
      </c>
      <c r="AB3992">
        <v>24</v>
      </c>
      <c r="AC3992">
        <v>-29.940899999999999</v>
      </c>
      <c r="AD3992">
        <v>-1.1215940813259999</v>
      </c>
      <c r="AE3992">
        <v>-4.8661999999999903</v>
      </c>
      <c r="AF3992">
        <v>-5.2248260233966102</v>
      </c>
      <c r="AG3992">
        <v>-1.1215940813259999</v>
      </c>
      <c r="AH3992">
        <v>29.8383610787286</v>
      </c>
      <c r="AI3992">
        <v>92.120444960894702</v>
      </c>
      <c r="AJ3992">
        <v>99.9320450706808</v>
      </c>
      <c r="AK3992">
        <v>30.313108915494201</v>
      </c>
      <c r="AL3992">
        <v>80.696988215766396</v>
      </c>
      <c r="AM3992">
        <v>95.120391852221303</v>
      </c>
      <c r="AN3992">
        <v>1.0000000278691501</v>
      </c>
    </row>
    <row r="3993" spans="1:40" x14ac:dyDescent="0.25">
      <c r="A3993" t="str">
        <f>"20190303161951914"</f>
        <v>20190303161951914</v>
      </c>
      <c r="B3993" t="str">
        <f>"1551601191906858"</f>
        <v>1551601191906858</v>
      </c>
      <c r="C3993" t="s">
        <v>40</v>
      </c>
      <c r="D3993">
        <v>4.6761790000000003</v>
      </c>
      <c r="E3993">
        <v>0.46692250000000002</v>
      </c>
      <c r="F3993" t="s">
        <v>49</v>
      </c>
      <c r="G3993">
        <v>-481.887</v>
      </c>
      <c r="H3993" s="1">
        <v>1.9185229999999999E-6</v>
      </c>
      <c r="I3993">
        <v>279.09350000000001</v>
      </c>
      <c r="J3993">
        <v>-452.34739999999999</v>
      </c>
      <c r="K3993">
        <v>1.12159599999999</v>
      </c>
      <c r="L3993">
        <v>283.84410000000003</v>
      </c>
      <c r="M3993">
        <v>-0.99981540000000002</v>
      </c>
      <c r="N3993">
        <v>-1.4721450000000001E-2</v>
      </c>
      <c r="O3993">
        <v>1.235209E-2</v>
      </c>
      <c r="P3993">
        <v>-0.98620660000000004</v>
      </c>
      <c r="Q3993">
        <v>0.14705199999999999</v>
      </c>
      <c r="R3993">
        <v>-7.5978240000000002E-2</v>
      </c>
      <c r="S3993">
        <v>-3.0217900000000002</v>
      </c>
      <c r="T3993">
        <v>-0.1140949</v>
      </c>
      <c r="U3993">
        <v>-0.48303220000000002</v>
      </c>
      <c r="V3993">
        <v>-8.8103860000000006E-2</v>
      </c>
      <c r="W3993">
        <v>0.16156809999999999</v>
      </c>
      <c r="X3993">
        <v>0.98292089999999999</v>
      </c>
      <c r="Y3993">
        <v>-0.16986399999999999</v>
      </c>
      <c r="Z3993">
        <v>-4.7271140000000001E-3</v>
      </c>
      <c r="AA3993">
        <v>0.9854562</v>
      </c>
      <c r="AB3993">
        <v>24</v>
      </c>
      <c r="AC3993">
        <v>-29.539599999999901</v>
      </c>
      <c r="AD3993">
        <v>-1.12159408147699</v>
      </c>
      <c r="AE3993">
        <v>-4.7506000000000199</v>
      </c>
      <c r="AF3993">
        <v>-5.1079745215854304</v>
      </c>
      <c r="AG3993">
        <v>-1.12159408147699</v>
      </c>
      <c r="AH3993">
        <v>29.4372911772234</v>
      </c>
      <c r="AI3993">
        <v>92.149883567198401</v>
      </c>
      <c r="AJ3993">
        <v>99.8439766626134</v>
      </c>
      <c r="AK3993">
        <v>29.898218824027001</v>
      </c>
      <c r="AL3993">
        <v>80.702074094948301</v>
      </c>
      <c r="AM3993">
        <v>95.122004218761006</v>
      </c>
      <c r="AN3993">
        <v>1.0000000183706499</v>
      </c>
    </row>
    <row r="3994" spans="1:40" x14ac:dyDescent="0.25">
      <c r="A3994" t="str">
        <f>"20190303161951928"</f>
        <v>20190303161951928</v>
      </c>
      <c r="B3994" t="str">
        <f>"1551601191916618"</f>
        <v>1551601191916618</v>
      </c>
      <c r="C3994" t="s">
        <v>40</v>
      </c>
      <c r="D3994">
        <v>4.6802400000000004</v>
      </c>
      <c r="E3994">
        <v>0.46698840000000003</v>
      </c>
      <c r="F3994" t="s">
        <v>49</v>
      </c>
      <c r="G3994">
        <v>-482.14460000000003</v>
      </c>
      <c r="H3994" s="1">
        <v>1.9636210000000001E-6</v>
      </c>
      <c r="I3994">
        <v>279.09179999999998</v>
      </c>
      <c r="J3994">
        <v>-452.49520000000001</v>
      </c>
      <c r="K3994">
        <v>1.12159599999999</v>
      </c>
      <c r="L3994">
        <v>283.846</v>
      </c>
      <c r="M3994">
        <v>-0.99981399999999998</v>
      </c>
      <c r="N3994">
        <v>-1.4718500000000001E-2</v>
      </c>
      <c r="O3994">
        <v>1.246454E-2</v>
      </c>
      <c r="P3994">
        <v>-0.98618360000000005</v>
      </c>
      <c r="Q3994">
        <v>0.14719649999999901</v>
      </c>
      <c r="R3994">
        <v>-7.5994969999999995E-2</v>
      </c>
      <c r="S3994">
        <v>-3.0217589999999999</v>
      </c>
      <c r="T3994">
        <v>-0.113742</v>
      </c>
      <c r="U3994">
        <v>-0.48193359999999902</v>
      </c>
      <c r="V3994">
        <v>-8.8230680000000006E-2</v>
      </c>
      <c r="W3994">
        <v>0.16170880000000001</v>
      </c>
      <c r="X3994">
        <v>0.98288640000000005</v>
      </c>
      <c r="Y3994">
        <v>-0.1696281</v>
      </c>
      <c r="Z3994">
        <v>-4.712122E-3</v>
      </c>
      <c r="AA3994">
        <v>0.98549690000000001</v>
      </c>
      <c r="AB3994">
        <v>24</v>
      </c>
      <c r="AC3994">
        <v>-29.6494</v>
      </c>
      <c r="AD3994">
        <v>-1.12159403637899</v>
      </c>
      <c r="AE3994">
        <v>-4.7542000000000204</v>
      </c>
      <c r="AF3994">
        <v>-5.1162988527294901</v>
      </c>
      <c r="AG3994">
        <v>-1.12159403637899</v>
      </c>
      <c r="AH3994">
        <v>29.546609501147898</v>
      </c>
      <c r="AI3994">
        <v>92.142066377426801</v>
      </c>
      <c r="AJ3994">
        <v>99.8239370613137</v>
      </c>
      <c r="AK3994">
        <v>30.007276120071399</v>
      </c>
      <c r="AL3994">
        <v>80.693905286641495</v>
      </c>
      <c r="AM3994">
        <v>95.129516804710505</v>
      </c>
      <c r="AN3994">
        <v>1.0000000320978299</v>
      </c>
    </row>
    <row r="3995" spans="1:40" x14ac:dyDescent="0.25">
      <c r="A3995" t="str">
        <f>"20190303161951941"</f>
        <v>20190303161951941</v>
      </c>
      <c r="B3995" t="str">
        <f>"1551601191936137"</f>
        <v>1551601191936137</v>
      </c>
      <c r="C3995" t="s">
        <v>40</v>
      </c>
      <c r="D3995">
        <v>4.899375</v>
      </c>
      <c r="E3995">
        <v>0.467032</v>
      </c>
      <c r="F3995" t="s">
        <v>49</v>
      </c>
      <c r="G3995">
        <v>-482.589</v>
      </c>
      <c r="H3995" s="1">
        <v>2.027696E-6</v>
      </c>
      <c r="I3995">
        <v>279.05</v>
      </c>
      <c r="J3995">
        <v>-452.63749999999999</v>
      </c>
      <c r="K3995">
        <v>1.1215980000000001</v>
      </c>
      <c r="L3995">
        <v>283.84789999999998</v>
      </c>
      <c r="M3995">
        <v>-0.99981279999999995</v>
      </c>
      <c r="N3995">
        <v>-1.4715580000000001E-2</v>
      </c>
      <c r="O3995">
        <v>1.257311E-2</v>
      </c>
      <c r="P3995">
        <v>-0.98614230000000003</v>
      </c>
      <c r="Q3995">
        <v>0.14741389999999999</v>
      </c>
      <c r="R3995">
        <v>-7.6110999999999998E-2</v>
      </c>
      <c r="S3995">
        <v>-3.0217589999999999</v>
      </c>
      <c r="T3995">
        <v>-0.112620899999999</v>
      </c>
      <c r="U3995">
        <v>-0.48156739999999998</v>
      </c>
      <c r="V3995">
        <v>-8.8452489999999995E-2</v>
      </c>
      <c r="W3995">
        <v>0.1619234</v>
      </c>
      <c r="X3995">
        <v>0.98283109999999996</v>
      </c>
      <c r="Y3995">
        <v>-0.16962149999999901</v>
      </c>
      <c r="Z3995">
        <v>-4.678354E-3</v>
      </c>
      <c r="AA3995">
        <v>0.98549819999999999</v>
      </c>
      <c r="AB3995">
        <v>24</v>
      </c>
      <c r="AC3995">
        <v>-29.951499999999999</v>
      </c>
      <c r="AD3995">
        <v>-1.1215959723040001</v>
      </c>
      <c r="AE3995">
        <v>-4.7978999999999603</v>
      </c>
      <c r="AF3995">
        <v>-5.1670804712381004</v>
      </c>
      <c r="AG3995">
        <v>-1.1215959723040001</v>
      </c>
      <c r="AH3995">
        <v>29.847992752360099</v>
      </c>
      <c r="AI3995">
        <v>92.120477630667295</v>
      </c>
      <c r="AJ3995">
        <v>99.821316698824205</v>
      </c>
      <c r="AK3995">
        <v>30.312693207075501</v>
      </c>
      <c r="AL3995">
        <v>80.681445108736895</v>
      </c>
      <c r="AM3995">
        <v>95.142631032403202</v>
      </c>
      <c r="AN3995">
        <v>1.0000000007909799</v>
      </c>
    </row>
    <row r="3996" spans="1:40" x14ac:dyDescent="0.25">
      <c r="A3996" t="str">
        <f>"20190303161951955"</f>
        <v>20190303161951955</v>
      </c>
      <c r="B3996" t="str">
        <f>"1551601191946873"</f>
        <v>1551601191946873</v>
      </c>
      <c r="C3996" t="s">
        <v>40</v>
      </c>
      <c r="D3996">
        <v>4.8924409999999998</v>
      </c>
      <c r="E3996">
        <v>0.46702120000000003</v>
      </c>
      <c r="F3996" t="s">
        <v>49</v>
      </c>
      <c r="G3996">
        <v>-483.1087</v>
      </c>
      <c r="H3996" s="1">
        <v>2.099679E-6</v>
      </c>
      <c r="I3996">
        <v>278.99290000000002</v>
      </c>
      <c r="J3996">
        <v>-452.7783</v>
      </c>
      <c r="K3996">
        <v>1.1216010000000001</v>
      </c>
      <c r="L3996">
        <v>283.84980000000002</v>
      </c>
      <c r="M3996">
        <v>-0.99981140000000002</v>
      </c>
      <c r="N3996">
        <v>-1.4712609999999999E-2</v>
      </c>
      <c r="O3996">
        <v>1.26815E-2</v>
      </c>
      <c r="P3996">
        <v>-0.98607809999999996</v>
      </c>
      <c r="Q3996">
        <v>0.1474444</v>
      </c>
      <c r="R3996">
        <v>-7.6879100000000006E-2</v>
      </c>
      <c r="S3996">
        <v>-3.0216669999999999</v>
      </c>
      <c r="T3996">
        <v>-0.11122269999999899</v>
      </c>
      <c r="U3996">
        <v>-0.48144530000000002</v>
      </c>
      <c r="V3996">
        <v>-8.9326550000000005E-2</v>
      </c>
      <c r="W3996">
        <v>0.16195019999999999</v>
      </c>
      <c r="X3996">
        <v>0.98274760000000005</v>
      </c>
      <c r="Y3996">
        <v>-0.1696976</v>
      </c>
      <c r="Z3996">
        <v>-4.6378390000000004E-3</v>
      </c>
      <c r="AA3996">
        <v>0.98548530000000001</v>
      </c>
      <c r="AB3996">
        <v>24</v>
      </c>
      <c r="AC3996">
        <v>-30.330400000000001</v>
      </c>
      <c r="AD3996">
        <v>-1.1215989003210001</v>
      </c>
      <c r="AE3996">
        <v>-4.8568999999999898</v>
      </c>
      <c r="AF3996">
        <v>-5.2342072491789002</v>
      </c>
      <c r="AG3996">
        <v>-1.1215989003210001</v>
      </c>
      <c r="AH3996">
        <v>30.226061120796199</v>
      </c>
      <c r="AI3996">
        <v>92.093964336728206</v>
      </c>
      <c r="AJ3996">
        <v>99.824405203323906</v>
      </c>
      <c r="AK3996">
        <v>30.696411524780299</v>
      </c>
      <c r="AL3996">
        <v>80.679888778088895</v>
      </c>
      <c r="AM3996">
        <v>95.193611226419506</v>
      </c>
      <c r="AN3996">
        <v>0.999999972560351</v>
      </c>
    </row>
    <row r="3997" spans="1:40" x14ac:dyDescent="0.25">
      <c r="A3997" t="str">
        <f>"20190303161951978"</f>
        <v>20190303161951978</v>
      </c>
      <c r="B3997" t="str">
        <f>"1551601191966393"</f>
        <v>1551601191966393</v>
      </c>
      <c r="C3997" t="s">
        <v>40</v>
      </c>
      <c r="D3997">
        <v>4.6698079999999997</v>
      </c>
      <c r="E3997">
        <v>0.46702630000000001</v>
      </c>
      <c r="F3997" t="s">
        <v>49</v>
      </c>
      <c r="G3997">
        <v>-483.28500000000003</v>
      </c>
      <c r="H3997" s="1">
        <v>2.1209779999999999E-6</v>
      </c>
      <c r="I3997">
        <v>278.96469999999999</v>
      </c>
      <c r="J3997">
        <v>-453.0181</v>
      </c>
      <c r="K3997">
        <v>1.12159599999999</v>
      </c>
      <c r="L3997">
        <v>283.85309999999998</v>
      </c>
      <c r="M3997">
        <v>-0.99980899999999995</v>
      </c>
      <c r="N3997">
        <v>-1.470748E-2</v>
      </c>
      <c r="O3997">
        <v>1.286847E-2</v>
      </c>
      <c r="P3997">
        <v>-0.98605620000000005</v>
      </c>
      <c r="Q3997">
        <v>0.14716179999999901</v>
      </c>
      <c r="R3997">
        <v>-7.7694200000000005E-2</v>
      </c>
      <c r="S3997">
        <v>-3.02121</v>
      </c>
      <c r="T3997">
        <v>-0.1110768</v>
      </c>
      <c r="U3997">
        <v>-0.48379519999999998</v>
      </c>
      <c r="V3997">
        <v>-9.0325230000000006E-2</v>
      </c>
      <c r="W3997">
        <v>0.16166229999999901</v>
      </c>
      <c r="X3997">
        <v>0.98270369999999996</v>
      </c>
      <c r="Y3997">
        <v>-0.1706519</v>
      </c>
      <c r="Z3997">
        <v>-4.6617859999999898E-3</v>
      </c>
      <c r="AA3997">
        <v>0.98532030000000004</v>
      </c>
      <c r="AB3997">
        <v>24</v>
      </c>
      <c r="AC3997">
        <v>-30.2669</v>
      </c>
      <c r="AD3997">
        <v>-1.1215938790219999</v>
      </c>
      <c r="AE3997">
        <v>-4.8883999999999901</v>
      </c>
      <c r="AF3997">
        <v>-5.2704725324940798</v>
      </c>
      <c r="AG3997">
        <v>-1.1215938790219999</v>
      </c>
      <c r="AH3997">
        <v>30.161115785302901</v>
      </c>
      <c r="AI3997">
        <v>92.097902243346297</v>
      </c>
      <c r="AJ3997">
        <v>99.912010283596004</v>
      </c>
      <c r="AK3997">
        <v>30.638680764022499</v>
      </c>
      <c r="AL3997">
        <v>80.696604331963798</v>
      </c>
      <c r="AM3997">
        <v>95.251586760124596</v>
      </c>
      <c r="AN3997">
        <v>0.99999995420476495</v>
      </c>
    </row>
    <row r="3998" spans="1:40" x14ac:dyDescent="0.25">
      <c r="A3998" t="str">
        <f>"20190303161952000"</f>
        <v>20190303161952000</v>
      </c>
      <c r="B3998" t="str">
        <f>"1551601191985913"</f>
        <v>1551601191985913</v>
      </c>
      <c r="C3998" t="s">
        <v>40</v>
      </c>
      <c r="D3998">
        <v>4.6987459999999999</v>
      </c>
      <c r="E3998">
        <v>0.46700390000000003</v>
      </c>
      <c r="F3998" t="s">
        <v>49</v>
      </c>
      <c r="G3998">
        <v>-483.28800000000001</v>
      </c>
      <c r="H3998" s="1">
        <v>2.1281710000000001E-6</v>
      </c>
      <c r="I3998">
        <v>278.98349999999999</v>
      </c>
      <c r="J3998">
        <v>-453.24549999999999</v>
      </c>
      <c r="K3998">
        <v>1.121588</v>
      </c>
      <c r="L3998">
        <v>283.8562</v>
      </c>
      <c r="M3998">
        <v>-0.9998068</v>
      </c>
      <c r="N3998">
        <v>-1.470251E-2</v>
      </c>
      <c r="O3998">
        <v>1.304894E-2</v>
      </c>
      <c r="P3998">
        <v>-0.98601729999999999</v>
      </c>
      <c r="Q3998">
        <v>0.14709449999999999</v>
      </c>
      <c r="R3998">
        <v>-7.8313480000000005E-2</v>
      </c>
      <c r="S3998">
        <v>-3.020813</v>
      </c>
      <c r="T3998">
        <v>-0.1119303</v>
      </c>
      <c r="U3998">
        <v>-0.4859619</v>
      </c>
      <c r="V3998">
        <v>-9.1121030000000006E-2</v>
      </c>
      <c r="W3998">
        <v>0.16158929999999999</v>
      </c>
      <c r="X3998">
        <v>0.98264229999999997</v>
      </c>
      <c r="Y3998">
        <v>-0.17153579999999999</v>
      </c>
      <c r="Z3998">
        <v>-4.716133E-3</v>
      </c>
      <c r="AA3998">
        <v>0.9851666</v>
      </c>
      <c r="AB3998">
        <v>24</v>
      </c>
      <c r="AC3998">
        <v>-30.0425</v>
      </c>
      <c r="AD3998">
        <v>-1.1215858718289999</v>
      </c>
      <c r="AE3998">
        <v>-4.8727</v>
      </c>
      <c r="AF3998">
        <v>-5.2572106315802198</v>
      </c>
      <c r="AG3998">
        <v>-1.1215858718289999</v>
      </c>
      <c r="AH3998">
        <v>29.935696985563901</v>
      </c>
      <c r="AI3998">
        <v>92.113357051721906</v>
      </c>
      <c r="AJ3998">
        <v>99.9605305597089</v>
      </c>
      <c r="AK3998">
        <v>30.414505955287002</v>
      </c>
      <c r="AL3998">
        <v>80.700843236829797</v>
      </c>
      <c r="AM3998">
        <v>95.297922284881096</v>
      </c>
      <c r="AN3998">
        <v>1.0000000168660199</v>
      </c>
    </row>
    <row r="3999" spans="1:40" x14ac:dyDescent="0.25">
      <c r="A3999" t="str">
        <f>"20190303161952023"</f>
        <v>20190303161952023</v>
      </c>
      <c r="B3999" t="str">
        <f>"1551601192016169"</f>
        <v>1551601192016169</v>
      </c>
      <c r="C3999" t="s">
        <v>40</v>
      </c>
      <c r="D3999">
        <v>4.6943210000000004</v>
      </c>
      <c r="E3999">
        <v>0.46409329999999999</v>
      </c>
      <c r="F3999" t="s">
        <v>49</v>
      </c>
      <c r="G3999">
        <v>-483.60629999999998</v>
      </c>
      <c r="H3999" s="1">
        <v>2.1726530000000002E-6</v>
      </c>
      <c r="I3999">
        <v>278.94959999999998</v>
      </c>
      <c r="J3999">
        <v>-453.48489999999998</v>
      </c>
      <c r="K3999">
        <v>1.121588</v>
      </c>
      <c r="L3999">
        <v>283.8596</v>
      </c>
      <c r="M3999">
        <v>-0.99980440000000004</v>
      </c>
      <c r="N3999">
        <v>-1.4697190000000001E-2</v>
      </c>
      <c r="O3999">
        <v>1.3241040000000001E-2</v>
      </c>
      <c r="P3999">
        <v>-0.98606400000000005</v>
      </c>
      <c r="Q3999">
        <v>0.14643539999999999</v>
      </c>
      <c r="R3999">
        <v>-7.8962649999999995E-2</v>
      </c>
      <c r="S3999">
        <v>-3.020416</v>
      </c>
      <c r="T3999">
        <v>-0.11158</v>
      </c>
      <c r="U3999">
        <v>-0.48812870000000003</v>
      </c>
      <c r="V3999">
        <v>-9.19595E-2</v>
      </c>
      <c r="W3999">
        <v>0.16092619999999999</v>
      </c>
      <c r="X3999">
        <v>0.98267300000000002</v>
      </c>
      <c r="Y3999">
        <v>-0.17243410000000001</v>
      </c>
      <c r="Z3999">
        <v>-4.7320909999999999E-3</v>
      </c>
      <c r="AA3999">
        <v>0.98500969999999999</v>
      </c>
      <c r="AB3999">
        <v>23</v>
      </c>
      <c r="AC3999">
        <v>-30.121399999999898</v>
      </c>
      <c r="AD3999">
        <v>-1.1215858273469901</v>
      </c>
      <c r="AE3999">
        <v>-4.9100000000000197</v>
      </c>
      <c r="AF3999">
        <v>-5.30129127103213</v>
      </c>
      <c r="AG3999">
        <v>-1.1215858273469901</v>
      </c>
      <c r="AH3999">
        <v>30.013202546347301</v>
      </c>
      <c r="AI3999">
        <v>92.107539207024104</v>
      </c>
      <c r="AJ3999">
        <v>100.01694712304599</v>
      </c>
      <c r="AK3999">
        <v>30.498425713411802</v>
      </c>
      <c r="AL3999">
        <v>80.739339819254795</v>
      </c>
      <c r="AM3999">
        <v>95.346224996007905</v>
      </c>
      <c r="AN3999">
        <v>1.00000000820784</v>
      </c>
    </row>
    <row r="4000" spans="1:40" x14ac:dyDescent="0.25">
      <c r="A4000" t="str">
        <f>"20190303161952044"</f>
        <v>20190303161952044</v>
      </c>
      <c r="B4000" t="str">
        <f>"1551601192036665"</f>
        <v>1551601192036665</v>
      </c>
      <c r="C4000" t="s">
        <v>40</v>
      </c>
      <c r="D4000">
        <v>4.6695690000000001</v>
      </c>
      <c r="E4000">
        <v>0.46640039999999999</v>
      </c>
      <c r="F4000" t="s">
        <v>49</v>
      </c>
      <c r="G4000">
        <v>-473.7876</v>
      </c>
      <c r="H4000" s="1">
        <v>4.5677740000000003E-6</v>
      </c>
      <c r="I4000">
        <v>280.42189999999999</v>
      </c>
      <c r="J4000">
        <v>-453.7079</v>
      </c>
      <c r="K4000">
        <v>1.121594</v>
      </c>
      <c r="L4000">
        <v>283.86270000000002</v>
      </c>
      <c r="M4000">
        <v>-0.99980210000000003</v>
      </c>
      <c r="N4000">
        <v>-1.4692129999999999E-2</v>
      </c>
      <c r="O4000">
        <v>1.3421799999999999E-2</v>
      </c>
      <c r="P4000">
        <v>-0.98607880000000003</v>
      </c>
      <c r="Q4000">
        <v>0.145851799999999</v>
      </c>
      <c r="R4000">
        <v>-7.9852010000000001E-2</v>
      </c>
      <c r="S4000">
        <v>-3.0261840000000002</v>
      </c>
      <c r="T4000">
        <v>-0.16717580000000001</v>
      </c>
      <c r="U4000">
        <v>-0.51239009999999996</v>
      </c>
      <c r="V4000">
        <v>-9.3026999999999999E-2</v>
      </c>
      <c r="W4000">
        <v>0.16033789999999901</v>
      </c>
      <c r="X4000">
        <v>0.98266869999999995</v>
      </c>
      <c r="Y4000">
        <v>-0.17981249999999999</v>
      </c>
      <c r="Z4000">
        <v>-6.7997029999999998E-3</v>
      </c>
      <c r="AA4000">
        <v>0.98367740000000004</v>
      </c>
      <c r="AB4000">
        <v>23</v>
      </c>
      <c r="AC4000">
        <v>-20.079699999999999</v>
      </c>
      <c r="AD4000">
        <v>-1.121589432226</v>
      </c>
      <c r="AE4000">
        <v>-3.4408000000000198</v>
      </c>
      <c r="AF4000">
        <v>-3.6988137026074499</v>
      </c>
      <c r="AG4000">
        <v>-1.121589432226</v>
      </c>
      <c r="AH4000">
        <v>19.9711717429328</v>
      </c>
      <c r="AI4000">
        <v>93.160737846184702</v>
      </c>
      <c r="AJ4000">
        <v>100.492721237357</v>
      </c>
      <c r="AK4000">
        <v>20.341752295384801</v>
      </c>
      <c r="AL4000">
        <v>80.773490498172293</v>
      </c>
      <c r="AM4000">
        <v>95.407943641830997</v>
      </c>
      <c r="AN4000">
        <v>1.00000001943254</v>
      </c>
    </row>
    <row r="4001" spans="1:40" x14ac:dyDescent="0.25">
      <c r="A4001" t="str">
        <f>"20190303161952066"</f>
        <v>20190303161952066</v>
      </c>
      <c r="B4001" t="str">
        <f>"1551601192056185"</f>
        <v>1551601192056185</v>
      </c>
      <c r="C4001" t="s">
        <v>40</v>
      </c>
      <c r="D4001">
        <v>4.6625719999999999</v>
      </c>
      <c r="E4001">
        <v>0.46639629999999999</v>
      </c>
      <c r="F4001" t="s">
        <v>49</v>
      </c>
      <c r="G4001">
        <v>-484.21480000000003</v>
      </c>
      <c r="H4001" s="1">
        <v>2.2414019999999999E-6</v>
      </c>
      <c r="I4001">
        <v>278.83870000000002</v>
      </c>
      <c r="J4001">
        <v>-453.93880000000001</v>
      </c>
      <c r="K4001">
        <v>1.1215930000000001</v>
      </c>
      <c r="L4001">
        <v>283.86599999999999</v>
      </c>
      <c r="M4001">
        <v>-0.99979969999999996</v>
      </c>
      <c r="N4001">
        <v>-1.468683E-2</v>
      </c>
      <c r="O4001">
        <v>1.361018E-2</v>
      </c>
      <c r="P4001">
        <v>-0.9861183</v>
      </c>
      <c r="Q4001">
        <v>0.14514569999999999</v>
      </c>
      <c r="R4001">
        <v>-8.0647670000000005E-2</v>
      </c>
      <c r="S4001">
        <v>-3.0185240000000002</v>
      </c>
      <c r="T4001">
        <v>-0.11097650000000001</v>
      </c>
      <c r="U4001">
        <v>-0.49710080000000001</v>
      </c>
      <c r="V4001">
        <v>-9.4009259999999997E-2</v>
      </c>
      <c r="W4001">
        <v>0.1596272</v>
      </c>
      <c r="X4001">
        <v>0.98269090000000003</v>
      </c>
      <c r="Y4001">
        <v>-0.17574419999999999</v>
      </c>
      <c r="Z4001">
        <v>-4.8063430000000002E-3</v>
      </c>
      <c r="AA4001">
        <v>0.98442410000000002</v>
      </c>
      <c r="AB4001">
        <v>23</v>
      </c>
      <c r="AC4001">
        <v>-30.276</v>
      </c>
      <c r="AD4001">
        <v>-1.1215907585980001</v>
      </c>
      <c r="AE4001">
        <v>-5.0272999999999604</v>
      </c>
      <c r="AF4001">
        <v>-5.4316861600589297</v>
      </c>
      <c r="AG4001">
        <v>-1.1215907585980001</v>
      </c>
      <c r="AH4001">
        <v>30.1644792156218</v>
      </c>
      <c r="AI4001">
        <v>92.095744129561993</v>
      </c>
      <c r="AJ4001">
        <v>100.207800350203</v>
      </c>
      <c r="AK4001">
        <v>30.670131834095901</v>
      </c>
      <c r="AL4001">
        <v>80.814741702280699</v>
      </c>
      <c r="AM4001">
        <v>95.464578833055697</v>
      </c>
      <c r="AN4001">
        <v>0.99999999444419796</v>
      </c>
    </row>
    <row r="4002" spans="1:40" x14ac:dyDescent="0.25">
      <c r="A4002" t="str">
        <f>"20190303161952083"</f>
        <v>20190303161952083</v>
      </c>
      <c r="B4002" t="str">
        <f>"1551601192076681"</f>
        <v>1551601192076681</v>
      </c>
      <c r="C4002" t="s">
        <v>40</v>
      </c>
      <c r="D4002">
        <v>4.6637149999999998</v>
      </c>
      <c r="E4002">
        <v>0.46625430000000001</v>
      </c>
      <c r="F4002" t="s">
        <v>49</v>
      </c>
      <c r="G4002">
        <v>-482.75880000000001</v>
      </c>
      <c r="H4002" s="1">
        <v>2.0756329999999999E-6</v>
      </c>
      <c r="I4002">
        <v>279.10039999999998</v>
      </c>
      <c r="J4002">
        <v>-454.11770000000001</v>
      </c>
      <c r="K4002">
        <v>1.1215930000000001</v>
      </c>
      <c r="L4002">
        <v>283.86860000000001</v>
      </c>
      <c r="M4002">
        <v>-0.99979759999999995</v>
      </c>
      <c r="N4002">
        <v>-1.468268E-2</v>
      </c>
      <c r="O4002">
        <v>1.3756529999999999E-2</v>
      </c>
      <c r="P4002">
        <v>-0.98609210000000003</v>
      </c>
      <c r="Q4002">
        <v>0.1450766</v>
      </c>
      <c r="R4002">
        <v>-8.1087649999999997E-2</v>
      </c>
      <c r="S4002">
        <v>-3.0187680000000001</v>
      </c>
      <c r="T4002">
        <v>-0.1174818</v>
      </c>
      <c r="U4002">
        <v>-0.49917600000000001</v>
      </c>
      <c r="V4002">
        <v>-9.4592830000000003E-2</v>
      </c>
      <c r="W4002">
        <v>0.15955369999999999</v>
      </c>
      <c r="X4002">
        <v>0.98264680000000004</v>
      </c>
      <c r="Y4002">
        <v>-0.17651610000000001</v>
      </c>
      <c r="Z4002">
        <v>-5.0468209999999999E-3</v>
      </c>
      <c r="AA4002">
        <v>0.98428479999999996</v>
      </c>
      <c r="AB4002">
        <v>23</v>
      </c>
      <c r="AC4002">
        <v>-28.641099999999899</v>
      </c>
      <c r="AD4002">
        <v>-1.1215909243669999</v>
      </c>
      <c r="AE4002">
        <v>-4.7682000000000304</v>
      </c>
      <c r="AF4002">
        <v>-5.1541025593888801</v>
      </c>
      <c r="AG4002">
        <v>-1.1215909243669999</v>
      </c>
      <c r="AH4002">
        <v>28.530216524695799</v>
      </c>
      <c r="AI4002">
        <v>92.215449820728594</v>
      </c>
      <c r="AJ4002">
        <v>100.240274425745</v>
      </c>
      <c r="AK4002">
        <v>29.013720794485199</v>
      </c>
      <c r="AL4002">
        <v>80.819007299063301</v>
      </c>
      <c r="AM4002">
        <v>95.498538649553495</v>
      </c>
      <c r="AN4002">
        <v>0.99999996011066805</v>
      </c>
    </row>
    <row r="4003" spans="1:40" x14ac:dyDescent="0.25">
      <c r="A4003" t="str">
        <f>"20190303161952100"</f>
        <v>20190303161952100</v>
      </c>
      <c r="B4003" t="str">
        <f>"1551601192096202"</f>
        <v>1551601192096202</v>
      </c>
      <c r="C4003" t="s">
        <v>40</v>
      </c>
      <c r="D4003">
        <v>4.7207109999999997</v>
      </c>
      <c r="E4003">
        <v>0.46604099999999998</v>
      </c>
      <c r="F4003" t="s">
        <v>49</v>
      </c>
      <c r="G4003">
        <v>-482.471</v>
      </c>
      <c r="H4003" s="1">
        <v>2.0442639999999999E-6</v>
      </c>
      <c r="I4003">
        <v>279.15609999999998</v>
      </c>
      <c r="J4003">
        <v>-454.28570000000002</v>
      </c>
      <c r="K4003">
        <v>1.121594</v>
      </c>
      <c r="L4003">
        <v>283.87110000000001</v>
      </c>
      <c r="M4003">
        <v>-0.99979569999999995</v>
      </c>
      <c r="N4003">
        <v>-1.4678770000000001E-2</v>
      </c>
      <c r="O4003">
        <v>1.3894180000000001E-2</v>
      </c>
      <c r="P4003">
        <v>-0.98607560000000005</v>
      </c>
      <c r="Q4003">
        <v>0.14448540000000001</v>
      </c>
      <c r="R4003">
        <v>-8.2334820000000003E-2</v>
      </c>
      <c r="S4003">
        <v>-3.0185849999999999</v>
      </c>
      <c r="T4003">
        <v>-0.1194085</v>
      </c>
      <c r="U4003">
        <v>-0.50170899999999996</v>
      </c>
      <c r="V4003">
        <v>-9.597543E-2</v>
      </c>
      <c r="W4003">
        <v>0.15895819999999999</v>
      </c>
      <c r="X4003">
        <v>0.98260930000000002</v>
      </c>
      <c r="Y4003">
        <v>-0.17745859999999999</v>
      </c>
      <c r="Z4003">
        <v>-5.1400969999999997E-3</v>
      </c>
      <c r="AA4003">
        <v>0.98411479999999996</v>
      </c>
      <c r="AB4003">
        <v>23</v>
      </c>
      <c r="AC4003">
        <v>-28.185299999999899</v>
      </c>
      <c r="AD4003">
        <v>-1.1215919557359999</v>
      </c>
      <c r="AE4003">
        <v>-4.7150000000000301</v>
      </c>
      <c r="AF4003">
        <v>-5.0983450356988804</v>
      </c>
      <c r="AG4003">
        <v>-1.1215919557359999</v>
      </c>
      <c r="AH4003">
        <v>28.0738152630163</v>
      </c>
      <c r="AI4003">
        <v>92.251057090188795</v>
      </c>
      <c r="AJ4003">
        <v>100.293022102446</v>
      </c>
      <c r="AK4003">
        <v>28.555037980016301</v>
      </c>
      <c r="AL4003">
        <v>80.8535685264563</v>
      </c>
      <c r="AM4003">
        <v>95.5786153413368</v>
      </c>
      <c r="AN4003">
        <v>1.0000000144787</v>
      </c>
    </row>
    <row r="4004" spans="1:40" x14ac:dyDescent="0.25">
      <c r="A4004" t="str">
        <f>"20190303161952115"</f>
        <v>20190303161952115</v>
      </c>
      <c r="B4004" t="str">
        <f>"1551601192105961"</f>
        <v>1551601192105961</v>
      </c>
      <c r="C4004" t="s">
        <v>40</v>
      </c>
      <c r="D4004">
        <v>4.6530480000000001</v>
      </c>
      <c r="E4004">
        <v>0.46607090000000001</v>
      </c>
      <c r="F4004" t="s">
        <v>49</v>
      </c>
      <c r="G4004">
        <v>-482.15260000000001</v>
      </c>
      <c r="H4004" s="1">
        <v>1.998762E-6</v>
      </c>
      <c r="I4004">
        <v>279.18720000000002</v>
      </c>
      <c r="J4004">
        <v>-454.4495</v>
      </c>
      <c r="K4004">
        <v>1.1215949999999999</v>
      </c>
      <c r="L4004">
        <v>283.87349999999998</v>
      </c>
      <c r="M4004">
        <v>-0.99979390000000001</v>
      </c>
      <c r="N4004">
        <v>-1.4674929999999999E-2</v>
      </c>
      <c r="O4004">
        <v>1.40283E-2</v>
      </c>
      <c r="P4004">
        <v>-0.9860951</v>
      </c>
      <c r="Q4004">
        <v>0.14420820000000001</v>
      </c>
      <c r="R4004">
        <v>-8.258559E-2</v>
      </c>
      <c r="S4004">
        <v>-3.0177610000000001</v>
      </c>
      <c r="T4004">
        <v>-0.1214594</v>
      </c>
      <c r="U4004">
        <v>-0.50723269999999998</v>
      </c>
      <c r="V4004">
        <v>-9.6358899999999997E-2</v>
      </c>
      <c r="W4004">
        <v>0.15867709999999999</v>
      </c>
      <c r="X4004">
        <v>0.98261719999999997</v>
      </c>
      <c r="Y4004">
        <v>-0.17937819999999999</v>
      </c>
      <c r="Z4004">
        <v>-5.2656650000000001E-3</v>
      </c>
      <c r="AA4004">
        <v>0.98376609999999998</v>
      </c>
      <c r="AB4004">
        <v>23</v>
      </c>
      <c r="AC4004">
        <v>-27.703099999999999</v>
      </c>
      <c r="AD4004">
        <v>-1.121593001238</v>
      </c>
      <c r="AE4004">
        <v>-4.6862999999999602</v>
      </c>
      <c r="AF4004">
        <v>-5.0664344905241103</v>
      </c>
      <c r="AG4004">
        <v>-1.121593001238</v>
      </c>
      <c r="AH4004">
        <v>27.590658894444601</v>
      </c>
      <c r="AI4004">
        <v>92.2896191048779</v>
      </c>
      <c r="AJ4004">
        <v>100.40522521806599</v>
      </c>
      <c r="AK4004">
        <v>28.074386681400401</v>
      </c>
      <c r="AL4004">
        <v>80.8698813794133</v>
      </c>
      <c r="AM4004">
        <v>95.600718527253406</v>
      </c>
      <c r="AN4004">
        <v>1.00000001070472</v>
      </c>
    </row>
    <row r="4005" spans="1:40" x14ac:dyDescent="0.25">
      <c r="A4005" t="str">
        <f>"20190303161952130"</f>
        <v>20190303161952130</v>
      </c>
      <c r="B4005" t="str">
        <f>"1551601192126458"</f>
        <v>1551601192126458</v>
      </c>
      <c r="C4005" t="s">
        <v>40</v>
      </c>
      <c r="D4005">
        <v>4.5797160000000003</v>
      </c>
      <c r="E4005">
        <v>0.46604329999999999</v>
      </c>
      <c r="F4005" t="s">
        <v>49</v>
      </c>
      <c r="G4005">
        <v>-482.43849999999998</v>
      </c>
      <c r="H4005" s="1">
        <v>2.0414200000000002E-6</v>
      </c>
      <c r="I4005">
        <v>279.16430000000003</v>
      </c>
      <c r="J4005">
        <v>-454.59879999999998</v>
      </c>
      <c r="K4005">
        <v>1.12159599999999</v>
      </c>
      <c r="L4005">
        <v>283.87580000000003</v>
      </c>
      <c r="M4005">
        <v>-0.99979220000000002</v>
      </c>
      <c r="N4005">
        <v>-1.4671429999999999E-2</v>
      </c>
      <c r="O4005">
        <v>1.4150319999999999E-2</v>
      </c>
      <c r="P4005">
        <v>-0.98609009999999997</v>
      </c>
      <c r="Q4005">
        <v>0.14397660000000001</v>
      </c>
      <c r="R4005">
        <v>-8.3048529999999995E-2</v>
      </c>
      <c r="S4005">
        <v>-3.0174560000000001</v>
      </c>
      <c r="T4005">
        <v>-0.12091730000000001</v>
      </c>
      <c r="U4005">
        <v>-0.50769039999999999</v>
      </c>
      <c r="V4005">
        <v>-9.6942189999999998E-2</v>
      </c>
      <c r="W4005">
        <v>0.15844220000000001</v>
      </c>
      <c r="X4005">
        <v>0.98259770000000002</v>
      </c>
      <c r="Y4005">
        <v>-0.17966079999999901</v>
      </c>
      <c r="Z4005">
        <v>-5.2580839999999997E-3</v>
      </c>
      <c r="AA4005">
        <v>0.98371459999999999</v>
      </c>
      <c r="AB4005">
        <v>23</v>
      </c>
      <c r="AC4005">
        <v>-27.839700000000001</v>
      </c>
      <c r="AD4005">
        <v>-1.1215939585800001</v>
      </c>
      <c r="AE4005">
        <v>-4.7115</v>
      </c>
      <c r="AF4005">
        <v>-5.09696877619613</v>
      </c>
      <c r="AG4005">
        <v>-1.1215939585800001</v>
      </c>
      <c r="AH4005">
        <v>27.726486145319999</v>
      </c>
      <c r="AI4005">
        <v>92.278334859566499</v>
      </c>
      <c r="AJ4005">
        <v>100.41640457302999</v>
      </c>
      <c r="AK4005">
        <v>28.213385080136401</v>
      </c>
      <c r="AL4005">
        <v>80.8835123140843</v>
      </c>
      <c r="AM4005">
        <v>95.634514992188699</v>
      </c>
      <c r="AN4005">
        <v>0.99999997949406205</v>
      </c>
    </row>
    <row r="4006" spans="1:40" x14ac:dyDescent="0.25">
      <c r="A4006" t="str">
        <f>"20190303161952144"</f>
        <v>20190303161952144</v>
      </c>
      <c r="B4006" t="str">
        <f>"1551601192136218"</f>
        <v>1551601192136218</v>
      </c>
      <c r="C4006" t="s">
        <v>40</v>
      </c>
      <c r="D4006">
        <v>4.6087730000000002</v>
      </c>
      <c r="E4006">
        <v>0.46592099999999997</v>
      </c>
      <c r="F4006" t="s">
        <v>49</v>
      </c>
      <c r="G4006">
        <v>-482.58800000000002</v>
      </c>
      <c r="H4006" s="1">
        <v>2.062786E-6</v>
      </c>
      <c r="I4006">
        <v>279.14980000000003</v>
      </c>
      <c r="J4006">
        <v>-454.75110000000001</v>
      </c>
      <c r="K4006">
        <v>1.1215949999999999</v>
      </c>
      <c r="L4006">
        <v>283.87810000000002</v>
      </c>
      <c r="M4006">
        <v>-0.99979070000000003</v>
      </c>
      <c r="N4006">
        <v>-1.466785E-2</v>
      </c>
      <c r="O4006">
        <v>1.427467E-2</v>
      </c>
      <c r="P4006">
        <v>-0.98607370000000005</v>
      </c>
      <c r="Q4006">
        <v>0.14357779999999901</v>
      </c>
      <c r="R4006">
        <v>-8.3930179999999993E-2</v>
      </c>
      <c r="S4006">
        <v>-3.0170590000000002</v>
      </c>
      <c r="T4006">
        <v>-0.12090040000000001</v>
      </c>
      <c r="U4006">
        <v>-0.50942989999999999</v>
      </c>
      <c r="V4006">
        <v>-9.7946039999999998E-2</v>
      </c>
      <c r="W4006">
        <v>0.15803919999999999</v>
      </c>
      <c r="X4006">
        <v>0.98256310000000002</v>
      </c>
      <c r="Y4006">
        <v>-0.18035499999999999</v>
      </c>
      <c r="Z4006">
        <v>-5.2797209999999898E-3</v>
      </c>
      <c r="AA4006">
        <v>0.9835874</v>
      </c>
      <c r="AB4006">
        <v>23</v>
      </c>
      <c r="AC4006">
        <v>-27.8369</v>
      </c>
      <c r="AD4006">
        <v>-1.1215929372139899</v>
      </c>
      <c r="AE4006">
        <v>-4.7282999999999902</v>
      </c>
      <c r="AF4006">
        <v>-5.11714909423669</v>
      </c>
      <c r="AG4006">
        <v>-1.1215929372139899</v>
      </c>
      <c r="AH4006">
        <v>27.722817470813901</v>
      </c>
      <c r="AI4006">
        <v>92.278328922816897</v>
      </c>
      <c r="AJ4006">
        <v>100.458091307123</v>
      </c>
      <c r="AK4006">
        <v>28.213432866092699</v>
      </c>
      <c r="AL4006">
        <v>80.906897617138199</v>
      </c>
      <c r="AM4006">
        <v>95.692679071978105</v>
      </c>
      <c r="AN4006">
        <v>1.0000000304849599</v>
      </c>
    </row>
    <row r="4007" spans="1:40" x14ac:dyDescent="0.25">
      <c r="A4007" t="str">
        <f>"20190303161952168"</f>
        <v>20190303161952168</v>
      </c>
      <c r="B4007" t="str">
        <f>"1551601192156713"</f>
        <v>1551601192156713</v>
      </c>
      <c r="C4007" t="s">
        <v>40</v>
      </c>
      <c r="D4007">
        <v>4.6532689999999999</v>
      </c>
      <c r="E4007">
        <v>0.46586759999999999</v>
      </c>
      <c r="F4007" t="s">
        <v>49</v>
      </c>
      <c r="G4007">
        <v>-482.42610000000002</v>
      </c>
      <c r="H4007" s="1">
        <v>2.042555E-6</v>
      </c>
      <c r="I4007">
        <v>279.17380000000003</v>
      </c>
      <c r="J4007">
        <v>-454.9873</v>
      </c>
      <c r="K4007">
        <v>1.121594</v>
      </c>
      <c r="L4007">
        <v>283.88170000000002</v>
      </c>
      <c r="M4007">
        <v>-0.99978789999999995</v>
      </c>
      <c r="N4007">
        <v>-1.46622E-2</v>
      </c>
      <c r="O4007">
        <v>1.4468160000000001E-2</v>
      </c>
      <c r="P4007">
        <v>-0.98609519999999995</v>
      </c>
      <c r="Q4007">
        <v>0.14304040000000001</v>
      </c>
      <c r="R4007">
        <v>-8.4592440000000005E-2</v>
      </c>
      <c r="S4007">
        <v>-3.0165410000000001</v>
      </c>
      <c r="T4007">
        <v>-0.1222521</v>
      </c>
      <c r="U4007">
        <v>-0.51275630000000005</v>
      </c>
      <c r="V4007">
        <v>-9.8799899999999996E-2</v>
      </c>
      <c r="W4007">
        <v>0.15749679999999999</v>
      </c>
      <c r="X4007">
        <v>0.98256469999999996</v>
      </c>
      <c r="Y4007">
        <v>-0.18162200000000001</v>
      </c>
      <c r="Z4007">
        <v>-5.3660019999999999E-3</v>
      </c>
      <c r="AA4007">
        <v>0.98335379999999994</v>
      </c>
      <c r="AB4007">
        <v>23</v>
      </c>
      <c r="AC4007">
        <v>-27.438800000000001</v>
      </c>
      <c r="AD4007">
        <v>-1.121591957445</v>
      </c>
      <c r="AE4007">
        <v>-4.7078999999999898</v>
      </c>
      <c r="AF4007">
        <v>-5.0961672515403498</v>
      </c>
      <c r="AG4007">
        <v>-1.121591957445</v>
      </c>
      <c r="AH4007">
        <v>27.3234573629212</v>
      </c>
      <c r="AI4007">
        <v>92.310791914536907</v>
      </c>
      <c r="AJ4007">
        <v>100.56498934723</v>
      </c>
      <c r="AK4007">
        <v>27.817264628968299</v>
      </c>
      <c r="AL4007">
        <v>80.9383689470787</v>
      </c>
      <c r="AM4007">
        <v>95.741966414683404</v>
      </c>
      <c r="AN4007">
        <v>1.0000000259681601</v>
      </c>
    </row>
    <row r="4008" spans="1:40" x14ac:dyDescent="0.25">
      <c r="A4008" t="str">
        <f>"20190303161952189"</f>
        <v>20190303161952189</v>
      </c>
      <c r="B4008" t="str">
        <f>"1551601192176233"</f>
        <v>1551601192176233</v>
      </c>
      <c r="C4008" t="s">
        <v>40</v>
      </c>
      <c r="D4008">
        <v>4.5970089999999999</v>
      </c>
      <c r="E4008">
        <v>0.46572970000000002</v>
      </c>
      <c r="F4008" t="s">
        <v>49</v>
      </c>
      <c r="G4008">
        <v>-482.25080000000003</v>
      </c>
      <c r="H4008" s="1">
        <v>2.0291519999999999E-6</v>
      </c>
      <c r="I4008">
        <v>279.22379999999998</v>
      </c>
      <c r="J4008">
        <v>-455.21699999999998</v>
      </c>
      <c r="K4008">
        <v>1.121594</v>
      </c>
      <c r="L4008">
        <v>283.8852</v>
      </c>
      <c r="M4008">
        <v>-0.99978520000000004</v>
      </c>
      <c r="N4008">
        <v>-1.46567E-2</v>
      </c>
      <c r="O4008">
        <v>1.465528E-2</v>
      </c>
      <c r="P4008">
        <v>-0.98611890000000002</v>
      </c>
      <c r="Q4008">
        <v>0.14258680000000001</v>
      </c>
      <c r="R4008">
        <v>-8.508077E-2</v>
      </c>
      <c r="S4008">
        <v>-3.0161440000000002</v>
      </c>
      <c r="T4008">
        <v>-0.124081</v>
      </c>
      <c r="U4008">
        <v>-0.51528929999999995</v>
      </c>
      <c r="V4008">
        <v>-9.9473019999999995E-2</v>
      </c>
      <c r="W4008">
        <v>0.15703810000000001</v>
      </c>
      <c r="X4008">
        <v>0.98257019999999995</v>
      </c>
      <c r="Y4008">
        <v>-0.18262320000000001</v>
      </c>
      <c r="Z4008">
        <v>-5.4620220000000004E-3</v>
      </c>
      <c r="AA4008">
        <v>0.98316780000000004</v>
      </c>
      <c r="AB4008">
        <v>23</v>
      </c>
      <c r="AC4008">
        <v>-27.033799999999999</v>
      </c>
      <c r="AD4008">
        <v>-1.121591970848</v>
      </c>
      <c r="AE4008">
        <v>-4.6614000000000102</v>
      </c>
      <c r="AF4008">
        <v>-5.0486903706648301</v>
      </c>
      <c r="AG4008">
        <v>-1.121591970848</v>
      </c>
      <c r="AH4008">
        <v>26.917579297939401</v>
      </c>
      <c r="AI4008">
        <v>92.345152778983305</v>
      </c>
      <c r="AJ4008">
        <v>100.623036269962</v>
      </c>
      <c r="AK4008">
        <v>27.409912773826299</v>
      </c>
      <c r="AL4008">
        <v>80.964981654422701</v>
      </c>
      <c r="AM4008">
        <v>95.780790018549695</v>
      </c>
      <c r="AN4008">
        <v>1.0000000222437799</v>
      </c>
    </row>
    <row r="4009" spans="1:40" x14ac:dyDescent="0.25">
      <c r="A4009" t="str">
        <f>"20190303161952211"</f>
        <v>20190303161952211</v>
      </c>
      <c r="B4009" t="str">
        <f>"1551601192206489"</f>
        <v>1551601192206489</v>
      </c>
      <c r="C4009" t="s">
        <v>40</v>
      </c>
      <c r="D4009">
        <v>4.6028589999999996</v>
      </c>
      <c r="E4009">
        <v>0.46560240000000003</v>
      </c>
      <c r="F4009" t="s">
        <v>49</v>
      </c>
      <c r="G4009">
        <v>-482.27069999999998</v>
      </c>
      <c r="H4009" s="1">
        <v>2.038029E-6</v>
      </c>
      <c r="I4009">
        <v>279.23899999999998</v>
      </c>
      <c r="J4009">
        <v>-455.4443</v>
      </c>
      <c r="K4009">
        <v>1.1215949999999999</v>
      </c>
      <c r="L4009">
        <v>283.88869999999997</v>
      </c>
      <c r="M4009">
        <v>-0.99978259999999997</v>
      </c>
      <c r="N4009">
        <v>-1.4651229999999999E-2</v>
      </c>
      <c r="O4009">
        <v>1.483954E-2</v>
      </c>
      <c r="P4009">
        <v>-0.98608669999999998</v>
      </c>
      <c r="Q4009">
        <v>0.14233670000000001</v>
      </c>
      <c r="R4009">
        <v>-8.5868659999999999E-2</v>
      </c>
      <c r="S4009">
        <v>-3.0156860000000001</v>
      </c>
      <c r="T4009">
        <v>-0.12502439999999901</v>
      </c>
      <c r="U4009">
        <v>-0.51791379999999998</v>
      </c>
      <c r="V4009">
        <v>-0.1004423</v>
      </c>
      <c r="W4009">
        <v>0.1567819</v>
      </c>
      <c r="X4009">
        <v>0.98251250000000001</v>
      </c>
      <c r="Y4009">
        <v>-0.18365629999999999</v>
      </c>
      <c r="Z4009">
        <v>-5.5287130000000002E-3</v>
      </c>
      <c r="AA4009">
        <v>0.98297500000000004</v>
      </c>
      <c r="AB4009">
        <v>23</v>
      </c>
      <c r="AC4009">
        <v>-26.8263999999999</v>
      </c>
      <c r="AD4009">
        <v>-1.1215929619709999</v>
      </c>
      <c r="AE4009">
        <v>-4.64969999999993</v>
      </c>
      <c r="AF4009">
        <v>-5.0387710747985404</v>
      </c>
      <c r="AG4009">
        <v>-1.1215929619709999</v>
      </c>
      <c r="AH4009">
        <v>26.709112332003599</v>
      </c>
      <c r="AI4009">
        <v>92.362969765113405</v>
      </c>
      <c r="AJ4009">
        <v>100.683495361986</v>
      </c>
      <c r="AK4009">
        <v>27.203379684887601</v>
      </c>
      <c r="AL4009">
        <v>80.979844891103696</v>
      </c>
      <c r="AM4009">
        <v>95.837072269617806</v>
      </c>
      <c r="AN4009">
        <v>1.0000000162265701</v>
      </c>
    </row>
    <row r="4010" spans="1:40" x14ac:dyDescent="0.25">
      <c r="A4010" t="str">
        <f>"20190303161952228"</f>
        <v>20190303161952228</v>
      </c>
      <c r="B4010" t="str">
        <f>"1551601192216250"</f>
        <v>1551601192216250</v>
      </c>
      <c r="C4010" t="s">
        <v>40</v>
      </c>
      <c r="D4010">
        <v>4.5229049999999997</v>
      </c>
      <c r="E4010">
        <v>0.46544809999999998</v>
      </c>
      <c r="F4010" t="s">
        <v>49</v>
      </c>
      <c r="G4010">
        <v>-482.48410000000001</v>
      </c>
      <c r="H4010" s="1">
        <v>2.0658690000000002E-6</v>
      </c>
      <c r="I4010">
        <v>279.21069999999997</v>
      </c>
      <c r="J4010">
        <v>-455.61200000000002</v>
      </c>
      <c r="K4010">
        <v>1.121594</v>
      </c>
      <c r="L4010">
        <v>283.89139999999998</v>
      </c>
      <c r="M4010">
        <v>-0.99978060000000002</v>
      </c>
      <c r="N4010">
        <v>-1.4647200000000001E-2</v>
      </c>
      <c r="O4010">
        <v>1.497564E-2</v>
      </c>
      <c r="P4010">
        <v>-0.98608850000000003</v>
      </c>
      <c r="Q4010">
        <v>0.14232139999999999</v>
      </c>
      <c r="R4010">
        <v>-8.5874160000000005E-2</v>
      </c>
      <c r="S4010">
        <v>-3.0149539999999999</v>
      </c>
      <c r="T4010">
        <v>-0.12505830000000001</v>
      </c>
      <c r="U4010">
        <v>-0.52160640000000003</v>
      </c>
      <c r="V4010">
        <v>-0.1005817</v>
      </c>
      <c r="W4010">
        <v>0.15676209999999999</v>
      </c>
      <c r="X4010">
        <v>0.98250139999999997</v>
      </c>
      <c r="Y4010">
        <v>-0.1849972</v>
      </c>
      <c r="Z4010">
        <v>-5.5714700000000002E-3</v>
      </c>
      <c r="AA4010">
        <v>0.98272320000000002</v>
      </c>
      <c r="AB4010">
        <v>23</v>
      </c>
      <c r="AC4010">
        <v>-26.8721</v>
      </c>
      <c r="AD4010">
        <v>-1.1215919341309999</v>
      </c>
      <c r="AE4010">
        <v>-4.6806999999999999</v>
      </c>
      <c r="AF4010">
        <v>-5.0740659419929797</v>
      </c>
      <c r="AG4010">
        <v>-1.1215919341309999</v>
      </c>
      <c r="AH4010">
        <v>26.753747312378099</v>
      </c>
      <c r="AI4010">
        <v>92.3585975473258</v>
      </c>
      <c r="AJ4010">
        <v>100.739061204129</v>
      </c>
      <c r="AK4010">
        <v>27.253754033251699</v>
      </c>
      <c r="AL4010">
        <v>80.980993564181105</v>
      </c>
      <c r="AM4010">
        <v>95.845182844764594</v>
      </c>
      <c r="AN4010">
        <v>1.0000000176866299</v>
      </c>
    </row>
    <row r="4011" spans="1:40" x14ac:dyDescent="0.25">
      <c r="A4011" t="str">
        <f>"20190303161952244"</f>
        <v>20190303161952244</v>
      </c>
      <c r="B4011" t="str">
        <f>"1551601192236466"</f>
        <v>1551601192236466</v>
      </c>
      <c r="C4011" t="s">
        <v>40</v>
      </c>
      <c r="D4011">
        <v>4.6307</v>
      </c>
      <c r="E4011">
        <v>0.46423239999999999</v>
      </c>
      <c r="F4011" t="s">
        <v>49</v>
      </c>
      <c r="G4011">
        <v>-482.53120000000001</v>
      </c>
      <c r="H4011" s="1">
        <v>2.0785760000000001E-6</v>
      </c>
      <c r="I4011">
        <v>279.22300000000001</v>
      </c>
      <c r="J4011">
        <v>-455.78269999999998</v>
      </c>
      <c r="K4011">
        <v>1.1215919999999999</v>
      </c>
      <c r="L4011">
        <v>283.89400000000001</v>
      </c>
      <c r="M4011">
        <v>-0.99977859999999996</v>
      </c>
      <c r="N4011">
        <v>-1.464318E-2</v>
      </c>
      <c r="O4011">
        <v>1.5114000000000001E-2</v>
      </c>
      <c r="P4011">
        <v>-0.98604380000000003</v>
      </c>
      <c r="Q4011">
        <v>0.14218059999999999</v>
      </c>
      <c r="R4011">
        <v>-8.6616799999999994E-2</v>
      </c>
      <c r="S4011">
        <v>-3.014923</v>
      </c>
      <c r="T4011">
        <v>-0.12561729999999999</v>
      </c>
      <c r="U4011">
        <v>-0.52285769999999998</v>
      </c>
      <c r="V4011">
        <v>-0.1014601</v>
      </c>
      <c r="W4011">
        <v>0.15661659999999999</v>
      </c>
      <c r="X4011">
        <v>0.98243429999999998</v>
      </c>
      <c r="Y4011">
        <v>-0.18552850000000001</v>
      </c>
      <c r="Z4011">
        <v>-5.6094760000000004E-3</v>
      </c>
      <c r="AA4011">
        <v>0.98262289999999997</v>
      </c>
      <c r="AB4011">
        <v>23</v>
      </c>
      <c r="AC4011">
        <v>-26.7485</v>
      </c>
      <c r="AD4011">
        <v>-1.1215899214239999</v>
      </c>
      <c r="AE4011">
        <v>-4.6709999999999896</v>
      </c>
      <c r="AF4011">
        <v>-5.0661427796520497</v>
      </c>
      <c r="AG4011">
        <v>-1.1215899214239999</v>
      </c>
      <c r="AH4011">
        <v>26.6294045556252</v>
      </c>
      <c r="AI4011">
        <v>92.369338794061406</v>
      </c>
      <c r="AJ4011">
        <v>100.77158069328399</v>
      </c>
      <c r="AK4011">
        <v>27.1302221443691</v>
      </c>
      <c r="AL4011">
        <v>80.989434496274299</v>
      </c>
      <c r="AM4011">
        <v>95.896271785404195</v>
      </c>
      <c r="AN4011">
        <v>1.00000003255202</v>
      </c>
    </row>
    <row r="4012" spans="1:40" x14ac:dyDescent="0.25">
      <c r="A4012" t="str">
        <f>"20190303161952261"</f>
        <v>20190303161952261</v>
      </c>
      <c r="B4012" t="str">
        <f>"1551601192255986"</f>
        <v>1551601192255986</v>
      </c>
      <c r="C4012" t="s">
        <v>40</v>
      </c>
      <c r="D4012">
        <v>4.553261</v>
      </c>
      <c r="E4012">
        <v>0.43706010000000001</v>
      </c>
      <c r="F4012" t="s">
        <v>49</v>
      </c>
      <c r="G4012">
        <v>-482.74639999999999</v>
      </c>
      <c r="H4012" s="1">
        <v>2.0775820000000002E-6</v>
      </c>
      <c r="I4012">
        <v>279.11219999999997</v>
      </c>
      <c r="J4012">
        <v>-455.95830000000001</v>
      </c>
      <c r="K4012">
        <v>1.1215869999999999</v>
      </c>
      <c r="L4012">
        <v>283.89690000000002</v>
      </c>
      <c r="M4012">
        <v>-0.99977649999999996</v>
      </c>
      <c r="N4012">
        <v>-1.463893E-2</v>
      </c>
      <c r="O4012">
        <v>1.5256230000000001E-2</v>
      </c>
      <c r="P4012">
        <v>-0.98605509999999996</v>
      </c>
      <c r="Q4012">
        <v>0.14212449999999999</v>
      </c>
      <c r="R4012">
        <v>-8.6581060000000001E-2</v>
      </c>
      <c r="S4012">
        <v>-3.0136409999999998</v>
      </c>
      <c r="T4012">
        <v>-0.1253563</v>
      </c>
      <c r="U4012">
        <v>-0.53445430000000005</v>
      </c>
      <c r="V4012">
        <v>-0.10156469999999999</v>
      </c>
      <c r="W4012">
        <v>0.1565559</v>
      </c>
      <c r="X4012">
        <v>0.98243309999999995</v>
      </c>
      <c r="Y4012">
        <v>-0.18940170000000001</v>
      </c>
      <c r="Z4012">
        <v>-5.7131059999999999E-3</v>
      </c>
      <c r="AA4012">
        <v>0.98188299999999995</v>
      </c>
      <c r="AB4012">
        <v>23</v>
      </c>
      <c r="AC4012">
        <v>-26.788099999999901</v>
      </c>
      <c r="AD4012">
        <v>-1.1215849224179999</v>
      </c>
      <c r="AE4012">
        <v>-4.7847000000000399</v>
      </c>
      <c r="AF4012">
        <v>-5.1840655327509904</v>
      </c>
      <c r="AG4012">
        <v>-1.1215849224179999</v>
      </c>
      <c r="AH4012">
        <v>26.666676045374398</v>
      </c>
      <c r="AI4012">
        <v>92.364199437402206</v>
      </c>
      <c r="AJ4012">
        <v>101.00121902453</v>
      </c>
      <c r="AK4012">
        <v>27.1890437399883</v>
      </c>
      <c r="AL4012">
        <v>80.992955192660702</v>
      </c>
      <c r="AM4012">
        <v>95.902314796286305</v>
      </c>
      <c r="AN4012">
        <v>0.999999967043254</v>
      </c>
    </row>
    <row r="4013" spans="1:40" x14ac:dyDescent="0.25">
      <c r="A4013" t="str">
        <f>"20190303161952277"</f>
        <v>20190303161952277</v>
      </c>
      <c r="B4013" t="str">
        <f>"1551601192266723"</f>
        <v>1551601192266723</v>
      </c>
      <c r="C4013" t="s">
        <v>40</v>
      </c>
      <c r="D4013">
        <v>4.5537919999999996</v>
      </c>
      <c r="E4013">
        <v>0.43692389999999998</v>
      </c>
      <c r="F4013" t="s">
        <v>49</v>
      </c>
      <c r="G4013">
        <v>-488.53890000000001</v>
      </c>
      <c r="H4013" s="1">
        <v>1.9057649999999999E-6</v>
      </c>
      <c r="I4013">
        <v>275.71949999999998</v>
      </c>
      <c r="J4013">
        <v>-456.11399999999998</v>
      </c>
      <c r="K4013">
        <v>1.121591</v>
      </c>
      <c r="L4013">
        <v>283.89940000000001</v>
      </c>
      <c r="M4013">
        <v>-0.99977459999999996</v>
      </c>
      <c r="N4013">
        <v>-1.4635169999999999E-2</v>
      </c>
      <c r="O4013">
        <v>1.5382669999999999E-2</v>
      </c>
      <c r="P4013">
        <v>-0.98606009999999999</v>
      </c>
      <c r="Q4013">
        <v>0.14189399999999999</v>
      </c>
      <c r="R4013">
        <v>-8.6898169999999997E-2</v>
      </c>
      <c r="S4013">
        <v>-2.991333</v>
      </c>
      <c r="T4013">
        <v>-0.1029766</v>
      </c>
      <c r="U4013">
        <v>-0.7507935</v>
      </c>
      <c r="V4013">
        <v>-0.1020069</v>
      </c>
      <c r="W4013">
        <v>0.15632179999999901</v>
      </c>
      <c r="X4013">
        <v>0.98242459999999998</v>
      </c>
      <c r="Y4013">
        <v>-0.25812030000000002</v>
      </c>
      <c r="Z4013">
        <v>-6.5923170000000003E-3</v>
      </c>
      <c r="AA4013">
        <v>0.96609029999999996</v>
      </c>
      <c r="AB4013">
        <v>23</v>
      </c>
      <c r="AC4013">
        <v>-32.424899999999901</v>
      </c>
      <c r="AD4013">
        <v>-1.121589094235</v>
      </c>
      <c r="AE4013">
        <v>-8.1799000000000301</v>
      </c>
      <c r="AF4013">
        <v>-8.6680162121680997</v>
      </c>
      <c r="AG4013">
        <v>-1.121589094235</v>
      </c>
      <c r="AH4013">
        <v>32.258932308288898</v>
      </c>
      <c r="AI4013">
        <v>91.923115243785702</v>
      </c>
      <c r="AJ4013">
        <v>105.04019698400801</v>
      </c>
      <c r="AK4013">
        <v>33.422016408671098</v>
      </c>
      <c r="AL4013">
        <v>81.006535671500501</v>
      </c>
      <c r="AM4013">
        <v>95.927881063149997</v>
      </c>
      <c r="AN4013">
        <v>1.000000003744</v>
      </c>
    </row>
    <row r="4014" spans="1:40" x14ac:dyDescent="0.25">
      <c r="A4014" t="str">
        <f>"20190303161952291"</f>
        <v>20190303161952291</v>
      </c>
      <c r="B4014" t="str">
        <f>"1551601192286243"</f>
        <v>1551601192286243</v>
      </c>
      <c r="C4014" t="s">
        <v>40</v>
      </c>
      <c r="D4014">
        <v>4.5921519999999996</v>
      </c>
      <c r="E4014">
        <v>0.43606410000000001</v>
      </c>
      <c r="F4014" t="s">
        <v>49</v>
      </c>
      <c r="G4014">
        <v>-489.63889999999998</v>
      </c>
      <c r="H4014" s="1">
        <v>2.008663E-6</v>
      </c>
      <c r="I4014">
        <v>275.45859999999999</v>
      </c>
      <c r="J4014">
        <v>-456.2509</v>
      </c>
      <c r="K4014">
        <v>1.1215930000000001</v>
      </c>
      <c r="L4014">
        <v>283.90159999999997</v>
      </c>
      <c r="M4014">
        <v>-0.99977309999999997</v>
      </c>
      <c r="N4014">
        <v>-1.463186E-2</v>
      </c>
      <c r="O4014">
        <v>1.549378E-2</v>
      </c>
      <c r="P4014">
        <v>-0.98611420000000005</v>
      </c>
      <c r="Q4014">
        <v>0.14133289999999901</v>
      </c>
      <c r="R4014">
        <v>-8.7202020000000005E-2</v>
      </c>
      <c r="S4014">
        <v>-2.9904480000000002</v>
      </c>
      <c r="T4014">
        <v>-0.10004680000000001</v>
      </c>
      <c r="U4014">
        <v>-0.75292969999999904</v>
      </c>
      <c r="V4014">
        <v>-0.1024214</v>
      </c>
      <c r="W4014">
        <v>0.15575849999999999</v>
      </c>
      <c r="X4014">
        <v>0.98247090000000004</v>
      </c>
      <c r="Y4014">
        <v>-0.25895370000000001</v>
      </c>
      <c r="Z4014">
        <v>-6.4758250000000002E-3</v>
      </c>
      <c r="AA4014">
        <v>0.96586810000000001</v>
      </c>
      <c r="AB4014">
        <v>23</v>
      </c>
      <c r="AC4014">
        <v>-33.387999999999899</v>
      </c>
      <c r="AD4014">
        <v>-1.1215909913369999</v>
      </c>
      <c r="AE4014">
        <v>-8.4429999999999801</v>
      </c>
      <c r="AF4014">
        <v>-8.9498553393433795</v>
      </c>
      <c r="AG4014">
        <v>-1.1215909913369999</v>
      </c>
      <c r="AH4014">
        <v>33.217931103582998</v>
      </c>
      <c r="AI4014">
        <v>91.867297661732394</v>
      </c>
      <c r="AJ4014">
        <v>105.079047846207</v>
      </c>
      <c r="AK4014">
        <v>34.420761521927503</v>
      </c>
      <c r="AL4014">
        <v>81.039210247026503</v>
      </c>
      <c r="AM4014">
        <v>95.951517680764198</v>
      </c>
      <c r="AN4014">
        <v>0.999999961423509</v>
      </c>
    </row>
    <row r="4015" spans="1:40" x14ac:dyDescent="0.25">
      <c r="A4015" t="str">
        <f>"20190303161952308"</f>
        <v>20190303161952308</v>
      </c>
      <c r="B4015" t="str">
        <f>"1551601192296002"</f>
        <v>1551601192296002</v>
      </c>
      <c r="C4015" t="s">
        <v>40</v>
      </c>
      <c r="D4015">
        <v>4.5395750000000001</v>
      </c>
      <c r="E4015">
        <v>0.43620680000000001</v>
      </c>
      <c r="F4015" t="s">
        <v>49</v>
      </c>
      <c r="G4015">
        <v>-486.82619999999997</v>
      </c>
      <c r="H4015" s="1">
        <v>1.755924E-6</v>
      </c>
      <c r="I4015">
        <v>276.1277</v>
      </c>
      <c r="J4015">
        <v>-456.43119999999999</v>
      </c>
      <c r="K4015">
        <v>1.1215949999999999</v>
      </c>
      <c r="L4015">
        <v>283.90460000000002</v>
      </c>
      <c r="M4015">
        <v>-0.99977079999999996</v>
      </c>
      <c r="N4015">
        <v>-1.462749E-2</v>
      </c>
      <c r="O4015">
        <v>1.5640660000000001E-2</v>
      </c>
      <c r="P4015">
        <v>-0.98613410000000001</v>
      </c>
      <c r="Q4015">
        <v>0.14097219999999999</v>
      </c>
      <c r="R4015">
        <v>-8.7560499999999999E-2</v>
      </c>
      <c r="S4015">
        <v>-2.990723</v>
      </c>
      <c r="T4015">
        <v>-0.10970870000000001</v>
      </c>
      <c r="U4015">
        <v>-0.76040649999999999</v>
      </c>
      <c r="V4015">
        <v>-0.1029249</v>
      </c>
      <c r="W4015">
        <v>0.15539339999999999</v>
      </c>
      <c r="X4015">
        <v>0.98247609999999996</v>
      </c>
      <c r="Y4015">
        <v>-0.2613065</v>
      </c>
      <c r="Z4015">
        <v>-6.9979860000000003E-3</v>
      </c>
      <c r="AA4015">
        <v>0.96523049999999999</v>
      </c>
      <c r="AB4015">
        <v>23</v>
      </c>
      <c r="AC4015">
        <v>-30.3949999999999</v>
      </c>
      <c r="AD4015">
        <v>-1.1215932440759999</v>
      </c>
      <c r="AE4015">
        <v>-7.7769000000000101</v>
      </c>
      <c r="AF4015">
        <v>-8.2408654350197601</v>
      </c>
      <c r="AG4015">
        <v>-1.1215932440759999</v>
      </c>
      <c r="AH4015">
        <v>30.230997461204701</v>
      </c>
      <c r="AI4015">
        <v>92.050008114423406</v>
      </c>
      <c r="AJ4015">
        <v>105.24814682957</v>
      </c>
      <c r="AK4015">
        <v>31.354155099804998</v>
      </c>
      <c r="AL4015">
        <v>81.060386820178707</v>
      </c>
      <c r="AM4015">
        <v>95.980532171069001</v>
      </c>
      <c r="AN4015">
        <v>0.999999965437389</v>
      </c>
    </row>
    <row r="4016" spans="1:40" x14ac:dyDescent="0.25">
      <c r="A4016" t="str">
        <f>"20190303161952335"</f>
        <v>20190303161952335</v>
      </c>
      <c r="B4016" t="str">
        <f>"1551601192326259"</f>
        <v>1551601192326259</v>
      </c>
      <c r="C4016" t="s">
        <v>40</v>
      </c>
      <c r="D4016">
        <v>4.5709650000000002</v>
      </c>
      <c r="E4016">
        <v>0.43608429999999998</v>
      </c>
      <c r="F4016" t="s">
        <v>49</v>
      </c>
      <c r="G4016">
        <v>-485.23610000000002</v>
      </c>
      <c r="H4016" s="1">
        <v>1.6949099999999999E-6</v>
      </c>
      <c r="I4016">
        <v>276.58210000000003</v>
      </c>
      <c r="J4016">
        <v>-456.69479999999999</v>
      </c>
      <c r="K4016">
        <v>1.1215919999999999</v>
      </c>
      <c r="L4016">
        <v>283.90899999999999</v>
      </c>
      <c r="M4016">
        <v>-0.99976739999999997</v>
      </c>
      <c r="N4016">
        <v>-1.462111E-2</v>
      </c>
      <c r="O4016">
        <v>1.5855729999999998E-2</v>
      </c>
      <c r="P4016">
        <v>-0.98627330000000002</v>
      </c>
      <c r="Q4016">
        <v>0.1396801</v>
      </c>
      <c r="R4016">
        <v>-8.8061039999999993E-2</v>
      </c>
      <c r="S4016">
        <v>-2.9913639999999999</v>
      </c>
      <c r="T4016">
        <v>-0.1164765</v>
      </c>
      <c r="U4016">
        <v>-0.76043700000000003</v>
      </c>
      <c r="V4016">
        <v>-0.10364</v>
      </c>
      <c r="W4016">
        <v>0.1540965</v>
      </c>
      <c r="X4016">
        <v>0.98260519999999996</v>
      </c>
      <c r="Y4016">
        <v>-0.26144790000000001</v>
      </c>
      <c r="Z4016">
        <v>-7.3306250000000003E-3</v>
      </c>
      <c r="AA4016">
        <v>0.96518979999999999</v>
      </c>
      <c r="AB4016">
        <v>23</v>
      </c>
      <c r="AC4016">
        <v>-28.5413</v>
      </c>
      <c r="AD4016">
        <v>-1.12159030509</v>
      </c>
      <c r="AE4016">
        <v>-7.3268999999999602</v>
      </c>
      <c r="AF4016">
        <v>-7.7673170810911998</v>
      </c>
      <c r="AG4016">
        <v>-1.12159030509</v>
      </c>
      <c r="AH4016">
        <v>28.380408419494501</v>
      </c>
      <c r="AI4016">
        <v>92.182947028742305</v>
      </c>
      <c r="AJ4016">
        <v>105.30622801502101</v>
      </c>
      <c r="AK4016">
        <v>29.4454879651874</v>
      </c>
      <c r="AL4016">
        <v>81.135599835396704</v>
      </c>
      <c r="AM4016">
        <v>96.020993988390003</v>
      </c>
      <c r="AN4016">
        <v>0.99999997998964396</v>
      </c>
    </row>
    <row r="4017" spans="1:40" x14ac:dyDescent="0.25">
      <c r="A4017" t="str">
        <f>"20190303161952359"</f>
        <v>20190303161952359</v>
      </c>
      <c r="B4017" t="str">
        <f>"1551601192346755"</f>
        <v>1551601192346755</v>
      </c>
      <c r="C4017" t="s">
        <v>40</v>
      </c>
      <c r="D4017">
        <v>4.5386680000000004</v>
      </c>
      <c r="E4017">
        <v>0.4360175</v>
      </c>
      <c r="F4017" t="s">
        <v>49</v>
      </c>
      <c r="G4017">
        <v>-484.05450000000002</v>
      </c>
      <c r="H4017" s="1">
        <v>1.651517E-6</v>
      </c>
      <c r="I4017">
        <v>276.9307</v>
      </c>
      <c r="J4017">
        <v>-456.92290000000003</v>
      </c>
      <c r="K4017">
        <v>1.121591</v>
      </c>
      <c r="L4017">
        <v>283.9128</v>
      </c>
      <c r="M4017">
        <v>-0.9997646</v>
      </c>
      <c r="N4017">
        <v>-1.461556E-2</v>
      </c>
      <c r="O4017">
        <v>1.604154E-2</v>
      </c>
      <c r="P4017">
        <v>-0.9862282</v>
      </c>
      <c r="Q4017">
        <v>0.13959279999999999</v>
      </c>
      <c r="R4017">
        <v>-8.8701050000000004E-2</v>
      </c>
      <c r="S4017">
        <v>-2.991028</v>
      </c>
      <c r="T4017">
        <v>-0.1226151</v>
      </c>
      <c r="U4017">
        <v>-0.76287839999999996</v>
      </c>
      <c r="V4017">
        <v>-0.10446279999999999</v>
      </c>
      <c r="W4017">
        <v>0.15400320000000001</v>
      </c>
      <c r="X4017">
        <v>0.98253270000000004</v>
      </c>
      <c r="Y4017">
        <v>-0.26236710000000002</v>
      </c>
      <c r="Z4017">
        <v>-7.6563029999999997E-3</v>
      </c>
      <c r="AA4017">
        <v>0.96493770000000001</v>
      </c>
      <c r="AB4017">
        <v>23</v>
      </c>
      <c r="AC4017">
        <v>-27.131599999999899</v>
      </c>
      <c r="AD4017">
        <v>-1.121589348483</v>
      </c>
      <c r="AE4017">
        <v>-6.9821</v>
      </c>
      <c r="AF4017">
        <v>-7.40461268460583</v>
      </c>
      <c r="AG4017">
        <v>-1.121589348483</v>
      </c>
      <c r="AH4017">
        <v>26.9728615530327</v>
      </c>
      <c r="AI4017">
        <v>92.296252272365507</v>
      </c>
      <c r="AJ4017">
        <v>105.35072464746401</v>
      </c>
      <c r="AK4017">
        <v>27.993240470419401</v>
      </c>
      <c r="AL4017">
        <v>81.141010153037101</v>
      </c>
      <c r="AM4017">
        <v>96.068883928533396</v>
      </c>
      <c r="AN4017">
        <v>0.99999998438168403</v>
      </c>
    </row>
    <row r="4018" spans="1:40" x14ac:dyDescent="0.25">
      <c r="A4018" t="str">
        <f>"20190303161952379"</f>
        <v>20190303161952379</v>
      </c>
      <c r="B4018" t="str">
        <f>"1551601192366275"</f>
        <v>1551601192366275</v>
      </c>
      <c r="C4018" t="s">
        <v>40</v>
      </c>
      <c r="D4018">
        <v>4.5809670000000002</v>
      </c>
      <c r="E4018">
        <v>0.43583290000000002</v>
      </c>
      <c r="F4018" t="s">
        <v>49</v>
      </c>
      <c r="G4018">
        <v>-484.1096</v>
      </c>
      <c r="H4018" s="1">
        <v>1.660883E-6</v>
      </c>
      <c r="I4018">
        <v>276.95620000000002</v>
      </c>
      <c r="J4018">
        <v>-457.15010000000001</v>
      </c>
      <c r="K4018">
        <v>1.1215930000000001</v>
      </c>
      <c r="L4018">
        <v>283.91669999999999</v>
      </c>
      <c r="M4018">
        <v>-0.99976169999999998</v>
      </c>
      <c r="N4018">
        <v>-1.461003E-2</v>
      </c>
      <c r="O4018">
        <v>1.62267E-2</v>
      </c>
      <c r="P4018">
        <v>-0.98609570000000002</v>
      </c>
      <c r="Q4018">
        <v>0.14004259999999999</v>
      </c>
      <c r="R4018">
        <v>-8.9462070000000005E-2</v>
      </c>
      <c r="S4018">
        <v>-2.9905400000000002</v>
      </c>
      <c r="T4018">
        <v>-0.1233749</v>
      </c>
      <c r="U4018">
        <v>-0.76522829999999997</v>
      </c>
      <c r="V4018">
        <v>-0.1054042</v>
      </c>
      <c r="W4018">
        <v>0.1544452</v>
      </c>
      <c r="X4018">
        <v>0.98236279999999998</v>
      </c>
      <c r="Y4018">
        <v>-0.26329089999999999</v>
      </c>
      <c r="Z4018">
        <v>-7.7234879999999997E-3</v>
      </c>
      <c r="AA4018">
        <v>0.96468560000000003</v>
      </c>
      <c r="AB4018">
        <v>23</v>
      </c>
      <c r="AC4018">
        <v>-26.959499999999899</v>
      </c>
      <c r="AD4018">
        <v>-1.121591339117</v>
      </c>
      <c r="AE4018">
        <v>-6.9604999999999597</v>
      </c>
      <c r="AF4018">
        <v>-7.3851104232212901</v>
      </c>
      <c r="AG4018">
        <v>-1.121591339117</v>
      </c>
      <c r="AH4018">
        <v>26.799505978758301</v>
      </c>
      <c r="AI4018">
        <v>92.310475282378405</v>
      </c>
      <c r="AJ4018">
        <v>105.40655075970299</v>
      </c>
      <c r="AK4018">
        <v>27.821059357987401</v>
      </c>
      <c r="AL4018">
        <v>81.115379061878699</v>
      </c>
      <c r="AM4018">
        <v>96.124212935765399</v>
      </c>
      <c r="AN4018">
        <v>1.0000000180022599</v>
      </c>
    </row>
    <row r="4019" spans="1:40" x14ac:dyDescent="0.25">
      <c r="A4019" t="str">
        <f>"20190303161952402"</f>
        <v>20190303161952402</v>
      </c>
      <c r="B4019" t="str">
        <f>"1551601192396530"</f>
        <v>1551601192396530</v>
      </c>
      <c r="C4019" t="s">
        <v>40</v>
      </c>
      <c r="D4019">
        <v>4.5277379999999896</v>
      </c>
      <c r="E4019">
        <v>0.43576500000000001</v>
      </c>
      <c r="F4019" t="s">
        <v>49</v>
      </c>
      <c r="G4019">
        <v>-484.39060000000001</v>
      </c>
      <c r="H4019" s="1">
        <v>1.6781329999999999E-6</v>
      </c>
      <c r="I4019">
        <v>276.9126</v>
      </c>
      <c r="J4019">
        <v>-457.3768</v>
      </c>
      <c r="K4019">
        <v>1.1215980000000001</v>
      </c>
      <c r="L4019">
        <v>283.9205</v>
      </c>
      <c r="M4019">
        <v>-0.99975879999999995</v>
      </c>
      <c r="N4019">
        <v>-1.4604529999999999E-2</v>
      </c>
      <c r="O4019">
        <v>1.641167E-2</v>
      </c>
      <c r="P4019">
        <v>-0.98595200000000005</v>
      </c>
      <c r="Q4019">
        <v>0.14056450000000001</v>
      </c>
      <c r="R4019">
        <v>-9.0225340000000001E-2</v>
      </c>
      <c r="S4019">
        <v>-2.9900509999999998</v>
      </c>
      <c r="T4019">
        <v>-0.1231115</v>
      </c>
      <c r="U4019">
        <v>-0.7687988</v>
      </c>
      <c r="V4019">
        <v>-0.10634680000000001</v>
      </c>
      <c r="W4019">
        <v>0.15495909999999999</v>
      </c>
      <c r="X4019">
        <v>0.98218019999999995</v>
      </c>
      <c r="Y4019">
        <v>-0.26458749999999998</v>
      </c>
      <c r="Z4019">
        <v>-7.7511489999999997E-3</v>
      </c>
      <c r="AA4019">
        <v>0.96433060000000004</v>
      </c>
      <c r="AB4019">
        <v>23</v>
      </c>
      <c r="AC4019">
        <v>-27.0138</v>
      </c>
      <c r="AD4019">
        <v>-1.121596321867</v>
      </c>
      <c r="AE4019">
        <v>-7.0079000000000002</v>
      </c>
      <c r="AF4019">
        <v>-7.4383306601869501</v>
      </c>
      <c r="AG4019">
        <v>-1.121596321867</v>
      </c>
      <c r="AH4019">
        <v>26.8517674583094</v>
      </c>
      <c r="AI4019">
        <v>92.305138843703602</v>
      </c>
      <c r="AJ4019">
        <v>105.48350653837301</v>
      </c>
      <c r="AK4019">
        <v>27.8855546287792</v>
      </c>
      <c r="AL4019">
        <v>81.085575399102595</v>
      </c>
      <c r="AM4019">
        <v>96.179698092534593</v>
      </c>
      <c r="AN4019">
        <v>0.99999995490754301</v>
      </c>
    </row>
    <row r="4020" spans="1:40" x14ac:dyDescent="0.25">
      <c r="A4020" t="str">
        <f>"20190303161952423"</f>
        <v>20190303161952423</v>
      </c>
      <c r="B4020" t="str">
        <f>"1551601192416051"</f>
        <v>1551601192416051</v>
      </c>
      <c r="C4020" t="s">
        <v>40</v>
      </c>
      <c r="D4020">
        <v>4.6635679999999997</v>
      </c>
      <c r="E4020">
        <v>0.43527320000000003</v>
      </c>
      <c r="F4020" t="s">
        <v>49</v>
      </c>
      <c r="G4020">
        <v>-485.858</v>
      </c>
      <c r="H4020" s="1">
        <v>1.7474420000000001E-6</v>
      </c>
      <c r="I4020">
        <v>276.56709999999998</v>
      </c>
      <c r="J4020">
        <v>-457.59609999999998</v>
      </c>
      <c r="K4020">
        <v>1.1215999999999999</v>
      </c>
      <c r="L4020">
        <v>283.92430000000002</v>
      </c>
      <c r="M4020">
        <v>-0.99975590000000003</v>
      </c>
      <c r="N4020">
        <v>-1.459918E-2</v>
      </c>
      <c r="O4020">
        <v>1.6590089999999998E-2</v>
      </c>
      <c r="P4020">
        <v>-0.98596550000000005</v>
      </c>
      <c r="Q4020">
        <v>0.140617299999999</v>
      </c>
      <c r="R4020">
        <v>-8.9996000000000007E-2</v>
      </c>
      <c r="S4020">
        <v>-2.988953</v>
      </c>
      <c r="T4020">
        <v>-0.11770559999999999</v>
      </c>
      <c r="U4020">
        <v>-0.771698</v>
      </c>
      <c r="V4020">
        <v>-0.1062936</v>
      </c>
      <c r="W4020">
        <v>0.1550067</v>
      </c>
      <c r="X4020">
        <v>0.98217849999999995</v>
      </c>
      <c r="Y4020">
        <v>-0.2657429</v>
      </c>
      <c r="Z4020">
        <v>-7.5231209999999998E-3</v>
      </c>
      <c r="AA4020">
        <v>0.96401460000000005</v>
      </c>
      <c r="AB4020">
        <v>23</v>
      </c>
      <c r="AC4020">
        <v>-28.261900000000001</v>
      </c>
      <c r="AD4020">
        <v>-1.1215982525579999</v>
      </c>
      <c r="AE4020">
        <v>-7.3572000000000299</v>
      </c>
      <c r="AF4020">
        <v>-7.8135795216648303</v>
      </c>
      <c r="AG4020">
        <v>-1.1215982525579999</v>
      </c>
      <c r="AH4020">
        <v>28.094500332171801</v>
      </c>
      <c r="AI4020">
        <v>92.202654172201093</v>
      </c>
      <c r="AJ4020">
        <v>105.542193613913</v>
      </c>
      <c r="AK4020">
        <v>29.1823740723047</v>
      </c>
      <c r="AL4020">
        <v>81.082815224233997</v>
      </c>
      <c r="AM4020">
        <v>96.176641207116901</v>
      </c>
      <c r="AN4020">
        <v>1.0000000061540499</v>
      </c>
    </row>
    <row r="4021" spans="1:40" x14ac:dyDescent="0.25">
      <c r="A4021" t="str">
        <f>"20190303161952446"</f>
        <v>20190303161952446</v>
      </c>
      <c r="B4021" t="str">
        <f>"1551601192436549"</f>
        <v>1551601192436549</v>
      </c>
      <c r="C4021" t="s">
        <v>40</v>
      </c>
      <c r="D4021">
        <v>4.6234640000000002</v>
      </c>
      <c r="E4021">
        <v>0.43479709999999999</v>
      </c>
      <c r="F4021" t="s">
        <v>49</v>
      </c>
      <c r="G4021">
        <v>-486.2448</v>
      </c>
      <c r="H4021" s="1">
        <v>1.774566E-6</v>
      </c>
      <c r="I4021">
        <v>276.49950000000001</v>
      </c>
      <c r="J4021">
        <v>-457.82470000000001</v>
      </c>
      <c r="K4021">
        <v>1.121605</v>
      </c>
      <c r="L4021">
        <v>283.92829999999998</v>
      </c>
      <c r="M4021">
        <v>-0.9997528</v>
      </c>
      <c r="N4021">
        <v>-1.459357E-2</v>
      </c>
      <c r="O4021">
        <v>1.677464E-2</v>
      </c>
      <c r="P4021">
        <v>-0.98592199999999997</v>
      </c>
      <c r="Q4021">
        <v>0.1406126</v>
      </c>
      <c r="R4021">
        <v>-9.0474399999999996E-2</v>
      </c>
      <c r="S4021">
        <v>-2.9886780000000002</v>
      </c>
      <c r="T4021">
        <v>-0.117007</v>
      </c>
      <c r="U4021">
        <v>-0.77456669999999905</v>
      </c>
      <c r="V4021">
        <v>-0.1069536</v>
      </c>
      <c r="W4021">
        <v>0.15499540000000001</v>
      </c>
      <c r="X4021">
        <v>0.98210869999999995</v>
      </c>
      <c r="Y4021">
        <v>-0.26681120000000003</v>
      </c>
      <c r="Z4021">
        <v>-7.5211640000000003E-3</v>
      </c>
      <c r="AA4021">
        <v>0.96371949999999995</v>
      </c>
      <c r="AB4021">
        <v>23</v>
      </c>
      <c r="AC4021">
        <v>-28.420099999999898</v>
      </c>
      <c r="AD4021">
        <v>-1.121603225434</v>
      </c>
      <c r="AE4021">
        <v>-7.4287999999999599</v>
      </c>
      <c r="AF4021">
        <v>-7.89303508588588</v>
      </c>
      <c r="AG4021">
        <v>-1.121603225434</v>
      </c>
      <c r="AH4021">
        <v>28.250285916258701</v>
      </c>
      <c r="AI4021">
        <v>92.189805464712194</v>
      </c>
      <c r="AJ4021">
        <v>105.610184933412</v>
      </c>
      <c r="AK4021">
        <v>29.353648001784901</v>
      </c>
      <c r="AL4021">
        <v>81.0834711843044</v>
      </c>
      <c r="AM4021">
        <v>96.215132354073006</v>
      </c>
      <c r="AN4021">
        <v>1.0000000725949001</v>
      </c>
    </row>
    <row r="4022" spans="1:40" x14ac:dyDescent="0.25">
      <c r="A4022" t="str">
        <f>"20190303161952469"</f>
        <v>20190303161952469</v>
      </c>
      <c r="B4022" t="str">
        <f>"1551601192456067"</f>
        <v>1551601192456067</v>
      </c>
      <c r="C4022" t="s">
        <v>40</v>
      </c>
      <c r="D4022">
        <v>4.6525439999999998</v>
      </c>
      <c r="E4022">
        <v>0.43434800000000001</v>
      </c>
      <c r="F4022" t="s">
        <v>49</v>
      </c>
      <c r="G4022">
        <v>-486.14179999999999</v>
      </c>
      <c r="H4022" s="1">
        <v>1.771933E-6</v>
      </c>
      <c r="I4022">
        <v>276.5437</v>
      </c>
      <c r="J4022">
        <v>-458.053</v>
      </c>
      <c r="K4022">
        <v>1.1216109999999999</v>
      </c>
      <c r="L4022">
        <v>283.9323</v>
      </c>
      <c r="M4022">
        <v>-0.99975000000000003</v>
      </c>
      <c r="N4022">
        <v>-1.4587960000000001E-2</v>
      </c>
      <c r="O4022">
        <v>1.695313E-2</v>
      </c>
      <c r="P4022">
        <v>-0.98581149999999995</v>
      </c>
      <c r="Q4022">
        <v>0.14060929999999999</v>
      </c>
      <c r="R4022">
        <v>-9.1679389999999999E-2</v>
      </c>
      <c r="S4022">
        <v>-2.9881899999999999</v>
      </c>
      <c r="T4022">
        <v>-0.11835809999999999</v>
      </c>
      <c r="U4022">
        <v>-0.77926640000000003</v>
      </c>
      <c r="V4022">
        <v>-0.1083329</v>
      </c>
      <c r="W4022">
        <v>0.15498410000000001</v>
      </c>
      <c r="X4022">
        <v>0.98195920000000003</v>
      </c>
      <c r="Y4022">
        <v>-0.2684337</v>
      </c>
      <c r="Z4022">
        <v>-7.6354839999999997E-3</v>
      </c>
      <c r="AA4022">
        <v>0.96326789999999995</v>
      </c>
      <c r="AB4022">
        <v>22</v>
      </c>
      <c r="AC4022">
        <v>-28.0887999999999</v>
      </c>
      <c r="AD4022">
        <v>-1.121609228067</v>
      </c>
      <c r="AE4022">
        <v>-7.3885999999999896</v>
      </c>
      <c r="AF4022">
        <v>-7.85207192773023</v>
      </c>
      <c r="AG4022">
        <v>-1.121609228067</v>
      </c>
      <c r="AH4022">
        <v>27.917855653623601</v>
      </c>
      <c r="AI4022">
        <v>92.214796805906303</v>
      </c>
      <c r="AJ4022">
        <v>105.708970701577</v>
      </c>
      <c r="AK4022">
        <v>29.0227446172015</v>
      </c>
      <c r="AL4022">
        <v>81.084125708845306</v>
      </c>
      <c r="AM4022">
        <v>96.295595536272998</v>
      </c>
      <c r="AN4022">
        <v>0.99999997946992902</v>
      </c>
    </row>
    <row r="4023" spans="1:40" x14ac:dyDescent="0.25">
      <c r="A4023" t="str">
        <f>"20190303161952491"</f>
        <v>20190303161952491</v>
      </c>
      <c r="B4023" t="str">
        <f>"1551601192486322"</f>
        <v>1551601192486322</v>
      </c>
      <c r="C4023" t="s">
        <v>40</v>
      </c>
      <c r="D4023">
        <v>4.6509539999999996</v>
      </c>
      <c r="E4023">
        <v>0.43362289999999998</v>
      </c>
      <c r="F4023" t="s">
        <v>49</v>
      </c>
      <c r="G4023">
        <v>-486.12329999999997</v>
      </c>
      <c r="H4023" s="1">
        <v>1.7682299999999901E-6</v>
      </c>
      <c r="I4023">
        <v>276.54250000000002</v>
      </c>
      <c r="J4023">
        <v>-458.27010000000001</v>
      </c>
      <c r="K4023">
        <v>1.121618</v>
      </c>
      <c r="L4023">
        <v>283.93619999999999</v>
      </c>
      <c r="M4023">
        <v>-0.99974719999999995</v>
      </c>
      <c r="N4023">
        <v>-1.4582619999999999E-2</v>
      </c>
      <c r="O4023">
        <v>1.7114710000000002E-2</v>
      </c>
      <c r="P4023">
        <v>-0.98572539999999997</v>
      </c>
      <c r="Q4023">
        <v>0.140352799999999</v>
      </c>
      <c r="R4023">
        <v>-9.2988639999999997E-2</v>
      </c>
      <c r="S4023">
        <v>-2.9870610000000002</v>
      </c>
      <c r="T4023">
        <v>-0.1193545</v>
      </c>
      <c r="U4023">
        <v>-0.78637699999999999</v>
      </c>
      <c r="V4023">
        <v>-0.109802</v>
      </c>
      <c r="W4023">
        <v>0.1547193</v>
      </c>
      <c r="X4023">
        <v>0.98183779999999998</v>
      </c>
      <c r="Y4023">
        <v>-0.27081640000000001</v>
      </c>
      <c r="Z4023">
        <v>-7.7539649999999998E-3</v>
      </c>
      <c r="AA4023">
        <v>0.96259980000000001</v>
      </c>
      <c r="AB4023">
        <v>22</v>
      </c>
      <c r="AC4023">
        <v>-27.853199999999902</v>
      </c>
      <c r="AD4023">
        <v>-1.12161623177</v>
      </c>
      <c r="AE4023">
        <v>-7.39369999999996</v>
      </c>
      <c r="AF4023">
        <v>-7.8574641836149999</v>
      </c>
      <c r="AG4023">
        <v>-1.12161623177</v>
      </c>
      <c r="AH4023">
        <v>27.680633413349099</v>
      </c>
      <c r="AI4023">
        <v>92.232251670676305</v>
      </c>
      <c r="AJ4023">
        <v>105.84719925982699</v>
      </c>
      <c r="AK4023">
        <v>28.7960975226224</v>
      </c>
      <c r="AL4023">
        <v>81.099483087355395</v>
      </c>
      <c r="AM4023">
        <v>96.381052967435096</v>
      </c>
      <c r="AN4023">
        <v>1.0000000032526599</v>
      </c>
    </row>
    <row r="4024" spans="1:40" x14ac:dyDescent="0.25">
      <c r="A4024" t="str">
        <f>"20190303161952512"</f>
        <v>20190303161952512</v>
      </c>
      <c r="B4024" t="str">
        <f>"1551601192505843"</f>
        <v>1551601192505843</v>
      </c>
      <c r="C4024" t="s">
        <v>40</v>
      </c>
      <c r="D4024">
        <v>4.6631879999999999</v>
      </c>
      <c r="E4024">
        <v>0.4331738</v>
      </c>
      <c r="F4024" t="s">
        <v>49</v>
      </c>
      <c r="G4024">
        <v>-485.75349999999997</v>
      </c>
      <c r="H4024" s="1">
        <v>1.7463220000000001E-6</v>
      </c>
      <c r="I4024">
        <v>276.61340000000001</v>
      </c>
      <c r="J4024">
        <v>-458.48869999999999</v>
      </c>
      <c r="K4024">
        <v>1.121632</v>
      </c>
      <c r="L4024">
        <v>283.94009999999997</v>
      </c>
      <c r="M4024">
        <v>-0.99974479999999999</v>
      </c>
      <c r="N4024">
        <v>-1.457717E-2</v>
      </c>
      <c r="O4024">
        <v>1.7260399999999999E-2</v>
      </c>
      <c r="P4024">
        <v>-0.98570329999999995</v>
      </c>
      <c r="Q4024">
        <v>0.13964099999999999</v>
      </c>
      <c r="R4024">
        <v>-9.4283510000000001E-2</v>
      </c>
      <c r="S4024">
        <v>-2.9857480000000001</v>
      </c>
      <c r="T4024">
        <v>-0.12185</v>
      </c>
      <c r="U4024">
        <v>-0.79553219999999902</v>
      </c>
      <c r="V4024">
        <v>-0.11124439999999999</v>
      </c>
      <c r="W4024">
        <v>0.153999</v>
      </c>
      <c r="X4024">
        <v>0.98178869999999896</v>
      </c>
      <c r="Y4024">
        <v>-0.27380389999999999</v>
      </c>
      <c r="Z4024">
        <v>-7.9654319999999997E-3</v>
      </c>
      <c r="AA4024">
        <v>0.96175259999999996</v>
      </c>
      <c r="AB4024">
        <v>22</v>
      </c>
      <c r="AC4024">
        <v>-27.264799999999902</v>
      </c>
      <c r="AD4024">
        <v>-1.1216302536780001</v>
      </c>
      <c r="AE4024">
        <v>-7.3266999999999598</v>
      </c>
      <c r="AF4024">
        <v>-7.7839735040204303</v>
      </c>
      <c r="AG4024">
        <v>-1.1216302536780001</v>
      </c>
      <c r="AH4024">
        <v>27.091501327004</v>
      </c>
      <c r="AI4024">
        <v>92.278691276980993</v>
      </c>
      <c r="AJ4024">
        <v>106.03050165827899</v>
      </c>
      <c r="AK4024">
        <v>28.209887310805001</v>
      </c>
      <c r="AL4024">
        <v>81.141254107956897</v>
      </c>
      <c r="AM4024">
        <v>96.464492439314299</v>
      </c>
      <c r="AN4024">
        <v>1.00000002999002</v>
      </c>
    </row>
    <row r="4025" spans="1:40" x14ac:dyDescent="0.25">
      <c r="A4025" t="str">
        <f>"20190303161952535"</f>
        <v>20190303161952535</v>
      </c>
      <c r="B4025" t="str">
        <f>"1551601192526340"</f>
        <v>1551601192526340</v>
      </c>
      <c r="C4025" t="s">
        <v>40</v>
      </c>
      <c r="D4025">
        <v>4.6552790000000002</v>
      </c>
      <c r="E4025">
        <v>0.43276229999999899</v>
      </c>
      <c r="F4025" t="s">
        <v>49</v>
      </c>
      <c r="G4025">
        <v>-485.25639999999999</v>
      </c>
      <c r="H4025" s="1">
        <v>1.7238830000000001E-6</v>
      </c>
      <c r="I4025">
        <v>276.7364</v>
      </c>
      <c r="J4025">
        <v>-458.71260000000001</v>
      </c>
      <c r="K4025">
        <v>1.121653</v>
      </c>
      <c r="L4025">
        <v>283.94409999999999</v>
      </c>
      <c r="M4025">
        <v>-0.99974289999999999</v>
      </c>
      <c r="N4025">
        <v>-1.4571499999999999E-2</v>
      </c>
      <c r="O4025">
        <v>1.7377549999999999E-2</v>
      </c>
      <c r="P4025">
        <v>-0.98566419999999999</v>
      </c>
      <c r="Q4025">
        <v>0.13910510000000001</v>
      </c>
      <c r="R4025">
        <v>-9.5479439999999999E-2</v>
      </c>
      <c r="S4025">
        <v>-2.9844059999999999</v>
      </c>
      <c r="T4025">
        <v>-0.1250539</v>
      </c>
      <c r="U4025">
        <v>-0.80316160000000003</v>
      </c>
      <c r="V4025">
        <v>-0.112562</v>
      </c>
      <c r="W4025">
        <v>0.153451</v>
      </c>
      <c r="X4025">
        <v>0.98172429999999999</v>
      </c>
      <c r="Y4025">
        <v>-0.2763005</v>
      </c>
      <c r="Z4025">
        <v>-8.2016869999999992E-3</v>
      </c>
      <c r="AA4025">
        <v>0.96103629999999995</v>
      </c>
      <c r="AB4025">
        <v>22</v>
      </c>
      <c r="AC4025">
        <v>-26.543799999999901</v>
      </c>
      <c r="AD4025">
        <v>-1.1216512761169899</v>
      </c>
      <c r="AE4025">
        <v>-7.2076999999999796</v>
      </c>
      <c r="AF4025">
        <v>-7.6551959398223497</v>
      </c>
      <c r="AG4025">
        <v>-1.1216512761169899</v>
      </c>
      <c r="AH4025">
        <v>26.370671066003901</v>
      </c>
      <c r="AI4025">
        <v>92.339102859377505</v>
      </c>
      <c r="AJ4025">
        <v>106.187592498532</v>
      </c>
      <c r="AK4025">
        <v>27.4822200510378</v>
      </c>
      <c r="AL4025">
        <v>81.173029689533806</v>
      </c>
      <c r="AM4025">
        <v>96.540824874822206</v>
      </c>
      <c r="AN4025">
        <v>1.00000000722774</v>
      </c>
    </row>
    <row r="4026" spans="1:40" x14ac:dyDescent="0.25">
      <c r="A4026" t="str">
        <f>"20190303161952558"</f>
        <v>20190303161952558</v>
      </c>
      <c r="B4026" t="str">
        <f>"1551601192545859"</f>
        <v>1551601192545859</v>
      </c>
      <c r="C4026" t="s">
        <v>40</v>
      </c>
      <c r="D4026">
        <v>4.6477190000000004</v>
      </c>
      <c r="E4026">
        <v>0.4322744</v>
      </c>
      <c r="F4026" t="s">
        <v>49</v>
      </c>
      <c r="G4026">
        <v>-485.09609999999998</v>
      </c>
      <c r="H4026" s="1">
        <v>1.717184E-6</v>
      </c>
      <c r="I4026">
        <v>276.77910000000003</v>
      </c>
      <c r="J4026">
        <v>-458.9384</v>
      </c>
      <c r="K4026">
        <v>1.121677</v>
      </c>
      <c r="L4026">
        <v>283.94810000000001</v>
      </c>
      <c r="M4026">
        <v>-0.99974160000000001</v>
      </c>
      <c r="N4026">
        <v>-1.456578E-2</v>
      </c>
      <c r="O4026">
        <v>1.7454609999999999E-2</v>
      </c>
      <c r="P4026">
        <v>-0.98557220000000001</v>
      </c>
      <c r="Q4026">
        <v>0.13842929999999901</v>
      </c>
      <c r="R4026">
        <v>-9.7392039999999999E-2</v>
      </c>
      <c r="S4026">
        <v>-2.983063</v>
      </c>
      <c r="T4026">
        <v>-0.1268203</v>
      </c>
      <c r="U4026">
        <v>-0.81011959999999905</v>
      </c>
      <c r="V4026">
        <v>-0.11456</v>
      </c>
      <c r="W4026">
        <v>0.15275929999999999</v>
      </c>
      <c r="X4026">
        <v>0.9816011</v>
      </c>
      <c r="Y4026">
        <v>-0.27856069999999999</v>
      </c>
      <c r="Z4026">
        <v>-8.3589849999999993E-3</v>
      </c>
      <c r="AA4026">
        <v>0.96038219999999996</v>
      </c>
      <c r="AB4026">
        <v>22</v>
      </c>
      <c r="AC4026">
        <v>-26.157699999999899</v>
      </c>
      <c r="AD4026">
        <v>-1.1216752828159999</v>
      </c>
      <c r="AE4026">
        <v>-7.1689999999999801</v>
      </c>
      <c r="AF4026">
        <v>-7.6115102683755396</v>
      </c>
      <c r="AG4026">
        <v>-1.1216752828159999</v>
      </c>
      <c r="AH4026">
        <v>25.984127304014802</v>
      </c>
      <c r="AI4026">
        <v>92.372230924036202</v>
      </c>
      <c r="AJ4026">
        <v>106.32684991574</v>
      </c>
      <c r="AK4026">
        <v>27.099227216968998</v>
      </c>
      <c r="AL4026">
        <v>81.213134468124906</v>
      </c>
      <c r="AM4026">
        <v>96.656721081475098</v>
      </c>
      <c r="AN4026">
        <v>1.00000005842884</v>
      </c>
    </row>
    <row r="4027" spans="1:40" x14ac:dyDescent="0.25">
      <c r="A4027" t="str">
        <f>"20190303161952580"</f>
        <v>20190303161952580</v>
      </c>
      <c r="B4027" t="str">
        <f>"1551601192576115"</f>
        <v>1551601192576115</v>
      </c>
      <c r="C4027" t="s">
        <v>40</v>
      </c>
      <c r="D4027">
        <v>4.6850300000000002</v>
      </c>
      <c r="E4027">
        <v>0.43180380000000002</v>
      </c>
      <c r="F4027" t="s">
        <v>49</v>
      </c>
      <c r="G4027">
        <v>-484.78739999999999</v>
      </c>
      <c r="H4027" s="1">
        <v>1.701148E-6</v>
      </c>
      <c r="I4027">
        <v>276.84350000000001</v>
      </c>
      <c r="J4027">
        <v>-459.15820000000002</v>
      </c>
      <c r="K4027">
        <v>1.1217060000000001</v>
      </c>
      <c r="L4027">
        <v>283.952</v>
      </c>
      <c r="M4027">
        <v>-0.9997414</v>
      </c>
      <c r="N4027">
        <v>-1.456037E-2</v>
      </c>
      <c r="O4027">
        <v>1.7479749999999999E-2</v>
      </c>
      <c r="P4027">
        <v>-0.98554549999999996</v>
      </c>
      <c r="Q4027">
        <v>0.1376742</v>
      </c>
      <c r="R4027">
        <v>-9.8724049999999994E-2</v>
      </c>
      <c r="S4027">
        <v>-2.9811100000000001</v>
      </c>
      <c r="T4027">
        <v>-0.1293607</v>
      </c>
      <c r="U4027">
        <v>-0.8193665</v>
      </c>
      <c r="V4027">
        <v>-0.1159298</v>
      </c>
      <c r="W4027">
        <v>0.15198829999999999</v>
      </c>
      <c r="X4027">
        <v>0.98155990000000004</v>
      </c>
      <c r="Y4027">
        <v>-0.28149940000000001</v>
      </c>
      <c r="Z4027">
        <v>-8.5768679999999996E-3</v>
      </c>
      <c r="AA4027">
        <v>0.95952309999999996</v>
      </c>
      <c r="AB4027">
        <v>22</v>
      </c>
      <c r="AC4027">
        <v>-25.629199999999901</v>
      </c>
      <c r="AD4027">
        <v>-1.1217042988519901</v>
      </c>
      <c r="AE4027">
        <v>-7.1084999999999896</v>
      </c>
      <c r="AF4027">
        <v>-7.5420381909054202</v>
      </c>
      <c r="AG4027">
        <v>-1.1217042988519901</v>
      </c>
      <c r="AH4027">
        <v>25.455737699164299</v>
      </c>
      <c r="AI4027">
        <v>92.419280150251097</v>
      </c>
      <c r="AJ4027">
        <v>106.503528321392</v>
      </c>
      <c r="AK4027">
        <v>26.573203465442202</v>
      </c>
      <c r="AL4027">
        <v>81.257830923602498</v>
      </c>
      <c r="AM4027">
        <v>96.735868923262203</v>
      </c>
      <c r="AN4027">
        <v>0.99999999957647001</v>
      </c>
    </row>
    <row r="4028" spans="1:40" x14ac:dyDescent="0.25">
      <c r="A4028" t="str">
        <f>"20190303161952603"</f>
        <v>20190303161952603</v>
      </c>
      <c r="B4028" t="str">
        <f>"1551601192596610"</f>
        <v>1551601192596610</v>
      </c>
      <c r="C4028" t="s">
        <v>40</v>
      </c>
      <c r="D4028">
        <v>4.7509819999999996</v>
      </c>
      <c r="E4028">
        <v>0.43182890000000002</v>
      </c>
      <c r="F4028" t="s">
        <v>49</v>
      </c>
      <c r="G4028">
        <v>-484.65280000000001</v>
      </c>
      <c r="H4028" s="1">
        <v>1.693878E-6</v>
      </c>
      <c r="I4028">
        <v>276.87</v>
      </c>
      <c r="J4028">
        <v>-459.38740000000001</v>
      </c>
      <c r="K4028">
        <v>1.1217539999999999</v>
      </c>
      <c r="L4028">
        <v>283.95589999999999</v>
      </c>
      <c r="M4028">
        <v>-0.99974229999999997</v>
      </c>
      <c r="N4028">
        <v>-1.455502E-2</v>
      </c>
      <c r="O4028">
        <v>1.7429799999999999E-2</v>
      </c>
      <c r="P4028">
        <v>-0.98559149999999995</v>
      </c>
      <c r="Q4028">
        <v>0.1371463</v>
      </c>
      <c r="R4028">
        <v>-9.8997379999999996E-2</v>
      </c>
      <c r="S4028">
        <v>-2.9794010000000002</v>
      </c>
      <c r="T4028">
        <v>-0.13108719999999999</v>
      </c>
      <c r="U4028">
        <v>-0.8276367</v>
      </c>
      <c r="V4028">
        <v>-0.1161727</v>
      </c>
      <c r="W4028">
        <v>0.15144199999999999</v>
      </c>
      <c r="X4028">
        <v>0.98161560000000003</v>
      </c>
      <c r="Y4028">
        <v>-0.28405419999999998</v>
      </c>
      <c r="Z4028">
        <v>-8.7408880000000005E-3</v>
      </c>
      <c r="AA4028">
        <v>0.95876839999999997</v>
      </c>
      <c r="AB4028">
        <v>22</v>
      </c>
      <c r="AC4028">
        <v>-25.2654</v>
      </c>
      <c r="AD4028">
        <v>-1.1217523061220001</v>
      </c>
      <c r="AE4028">
        <v>-7.0858999999999801</v>
      </c>
      <c r="AF4028">
        <v>-7.5115134864411699</v>
      </c>
      <c r="AG4028">
        <v>-1.1217523061220001</v>
      </c>
      <c r="AH4028">
        <v>25.092186167532098</v>
      </c>
      <c r="AI4028">
        <v>92.452332569232297</v>
      </c>
      <c r="AJ4028">
        <v>106.66542205234001</v>
      </c>
      <c r="AK4028">
        <v>26.2163874277019</v>
      </c>
      <c r="AL4028">
        <v>81.289498016239506</v>
      </c>
      <c r="AM4028">
        <v>96.749472582609499</v>
      </c>
      <c r="AN4028">
        <v>0.99999998087632402</v>
      </c>
    </row>
    <row r="4029" spans="1:40" x14ac:dyDescent="0.25">
      <c r="A4029" t="str">
        <f>"20190303161952624"</f>
        <v>20190303161952624</v>
      </c>
      <c r="B4029" t="str">
        <f>"1551601192616130"</f>
        <v>1551601192616130</v>
      </c>
      <c r="C4029" t="s">
        <v>40</v>
      </c>
      <c r="D4029">
        <v>4.8099629999999998</v>
      </c>
      <c r="E4029">
        <v>0.44992120000000002</v>
      </c>
      <c r="F4029" t="s">
        <v>49</v>
      </c>
      <c r="G4029">
        <v>-484.3673</v>
      </c>
      <c r="H4029" s="1">
        <v>1.6944929999999901E-6</v>
      </c>
      <c r="I4029">
        <v>277.0172</v>
      </c>
      <c r="J4029">
        <v>-459.59750000000003</v>
      </c>
      <c r="K4029">
        <v>1.121815</v>
      </c>
      <c r="L4029">
        <v>283.95940000000002</v>
      </c>
      <c r="M4029">
        <v>-0.99974459999999998</v>
      </c>
      <c r="N4029">
        <v>-1.45503E-2</v>
      </c>
      <c r="O4029">
        <v>1.7293920000000001E-2</v>
      </c>
      <c r="P4029">
        <v>-0.98552609999999996</v>
      </c>
      <c r="Q4029">
        <v>0.13683439999999999</v>
      </c>
      <c r="R4029">
        <v>-0.1000731</v>
      </c>
      <c r="S4029">
        <v>-2.9793400000000001</v>
      </c>
      <c r="T4029">
        <v>-0.13379099999999999</v>
      </c>
      <c r="U4029">
        <v>-0.82757569999999903</v>
      </c>
      <c r="V4029">
        <v>-0.117135</v>
      </c>
      <c r="W4029">
        <v>0.15110779999999999</v>
      </c>
      <c r="X4029">
        <v>0.9815528</v>
      </c>
      <c r="Y4029">
        <v>-0.28389809999999999</v>
      </c>
      <c r="Z4029">
        <v>-8.8736639999999999E-3</v>
      </c>
      <c r="AA4029">
        <v>0.95881340000000004</v>
      </c>
      <c r="AB4029">
        <v>22</v>
      </c>
      <c r="AC4029">
        <v>-24.769799999999901</v>
      </c>
      <c r="AD4029">
        <v>-1.1218133055069901</v>
      </c>
      <c r="AE4029">
        <v>-6.9422000000000104</v>
      </c>
      <c r="AF4029">
        <v>-7.3555852903829901</v>
      </c>
      <c r="AG4029">
        <v>-1.1218133055069901</v>
      </c>
      <c r="AH4029">
        <v>24.599242457104101</v>
      </c>
      <c r="AI4029">
        <v>92.501782084392303</v>
      </c>
      <c r="AJ4029">
        <v>106.64754526821</v>
      </c>
      <c r="AK4029">
        <v>25.6999188621268</v>
      </c>
      <c r="AL4029">
        <v>81.308869689266302</v>
      </c>
      <c r="AM4029">
        <v>96.805290024552903</v>
      </c>
      <c r="AN4029">
        <v>1.0000000373168301</v>
      </c>
    </row>
    <row r="4030" spans="1:40" x14ac:dyDescent="0.25">
      <c r="A4030" t="str">
        <f>"20190303161952647"</f>
        <v>20190303161952647</v>
      </c>
      <c r="B4030" t="str">
        <f>"1551601192636627"</f>
        <v>1551601192636627</v>
      </c>
      <c r="C4030" t="s">
        <v>40</v>
      </c>
      <c r="D4030">
        <v>4.7374790000000004</v>
      </c>
      <c r="E4030">
        <v>0.4529396</v>
      </c>
      <c r="F4030" t="s">
        <v>49</v>
      </c>
      <c r="G4030">
        <v>-478.55340000000001</v>
      </c>
      <c r="H4030" s="1">
        <v>2.3848629999999999E-6</v>
      </c>
      <c r="I4030">
        <v>279.62700000000001</v>
      </c>
      <c r="J4030">
        <v>-459.81909999999999</v>
      </c>
      <c r="K4030">
        <v>1.121885</v>
      </c>
      <c r="L4030">
        <v>283.96300000000002</v>
      </c>
      <c r="M4030">
        <v>-0.99974909999999995</v>
      </c>
      <c r="N4030">
        <v>-1.454539E-2</v>
      </c>
      <c r="O4030">
        <v>1.7038339999999999E-2</v>
      </c>
      <c r="P4030">
        <v>-0.98542180000000001</v>
      </c>
      <c r="Q4030">
        <v>0.13637050000000001</v>
      </c>
      <c r="R4030">
        <v>-0.1017214</v>
      </c>
      <c r="S4030">
        <v>-2.9990839999999999</v>
      </c>
      <c r="T4030">
        <v>-0.17748620000000001</v>
      </c>
      <c r="U4030">
        <v>-0.68545529999999999</v>
      </c>
      <c r="V4030">
        <v>-0.11855590000000001</v>
      </c>
      <c r="W4030">
        <v>0.15061669999999999</v>
      </c>
      <c r="X4030">
        <v>0.98145769999999999</v>
      </c>
      <c r="Y4030">
        <v>-0.23887320000000001</v>
      </c>
      <c r="Z4030">
        <v>-9.4843840000000002E-3</v>
      </c>
      <c r="AA4030">
        <v>0.97100439999999999</v>
      </c>
      <c r="AB4030">
        <v>22</v>
      </c>
      <c r="AC4030">
        <v>-18.734300000000001</v>
      </c>
      <c r="AD4030">
        <v>-1.1218826151369901</v>
      </c>
      <c r="AE4030">
        <v>-4.3359999999999497</v>
      </c>
      <c r="AF4030">
        <v>-4.6388162009897203</v>
      </c>
      <c r="AG4030">
        <v>-1.1218826151369901</v>
      </c>
      <c r="AH4030">
        <v>18.594403177888999</v>
      </c>
      <c r="AI4030">
        <v>93.350284529646999</v>
      </c>
      <c r="AJ4030">
        <v>104.00786375638199</v>
      </c>
      <c r="AK4030">
        <v>19.197110873529901</v>
      </c>
      <c r="AL4030">
        <v>81.337333567454806</v>
      </c>
      <c r="AM4030">
        <v>96.887713977296897</v>
      </c>
      <c r="AN4030">
        <v>1.00000005431649</v>
      </c>
    </row>
    <row r="4031" spans="1:40" x14ac:dyDescent="0.25">
      <c r="A4031" t="str">
        <f>"20190303161952669"</f>
        <v>20190303161952669</v>
      </c>
      <c r="B4031" t="str">
        <f>"1551601192656147"</f>
        <v>1551601192656147</v>
      </c>
      <c r="C4031" t="s">
        <v>40</v>
      </c>
      <c r="D4031">
        <v>4.7407389999999996</v>
      </c>
      <c r="E4031">
        <v>0.45387430000000001</v>
      </c>
      <c r="F4031" t="s">
        <v>49</v>
      </c>
      <c r="G4031">
        <v>-479.18389999999999</v>
      </c>
      <c r="H4031" s="1">
        <v>2.1084150000000002E-6</v>
      </c>
      <c r="I4031">
        <v>279.66329999999999</v>
      </c>
      <c r="J4031">
        <v>-460.0419</v>
      </c>
      <c r="K4031">
        <v>1.121958</v>
      </c>
      <c r="L4031">
        <v>283.96629999999999</v>
      </c>
      <c r="M4031">
        <v>-0.99975530000000001</v>
      </c>
      <c r="N4031">
        <v>-1.454067E-2</v>
      </c>
      <c r="O4031">
        <v>1.667445E-2</v>
      </c>
      <c r="P4031">
        <v>-0.98545090000000002</v>
      </c>
      <c r="Q4031">
        <v>0.13449949999999999</v>
      </c>
      <c r="R4031">
        <v>-0.1039065</v>
      </c>
      <c r="S4031">
        <v>-2.9997250000000002</v>
      </c>
      <c r="T4031">
        <v>-0.17378589999999999</v>
      </c>
      <c r="U4031">
        <v>-0.66604609999999997</v>
      </c>
      <c r="V4031">
        <v>-0.1204103</v>
      </c>
      <c r="W4031">
        <v>0.14871899999999999</v>
      </c>
      <c r="X4031">
        <v>0.98152119999999998</v>
      </c>
      <c r="Y4031">
        <v>-0.2325226</v>
      </c>
      <c r="Z4031">
        <v>-9.0764409999999993E-3</v>
      </c>
      <c r="AA4031">
        <v>0.97254870000000004</v>
      </c>
      <c r="AB4031">
        <v>22</v>
      </c>
      <c r="AC4031">
        <v>-19.141999999999999</v>
      </c>
      <c r="AD4031">
        <v>-1.1219558915850001</v>
      </c>
      <c r="AE4031">
        <v>-4.3029999999999902</v>
      </c>
      <c r="AF4031">
        <v>-4.6065535661384303</v>
      </c>
      <c r="AG4031">
        <v>-1.1219558915850001</v>
      </c>
      <c r="AH4031">
        <v>19.005429824551001</v>
      </c>
      <c r="AI4031">
        <v>93.283586701845394</v>
      </c>
      <c r="AJ4031">
        <v>103.624650425292</v>
      </c>
      <c r="AK4031">
        <v>19.587891249348399</v>
      </c>
      <c r="AL4031">
        <v>81.447301307113193</v>
      </c>
      <c r="AM4031">
        <v>96.993941533287199</v>
      </c>
      <c r="AN4031">
        <v>0.99999992367826196</v>
      </c>
    </row>
    <row r="4032" spans="1:40" x14ac:dyDescent="0.25">
      <c r="A4032" t="str">
        <f>"20190303161952691"</f>
        <v>20190303161952691</v>
      </c>
      <c r="B4032" t="str">
        <f>"1551601192686403"</f>
        <v>1551601192686403</v>
      </c>
      <c r="C4032" t="s">
        <v>40</v>
      </c>
      <c r="D4032">
        <v>4.7431989999999997</v>
      </c>
      <c r="E4032">
        <v>0.45463759999999998</v>
      </c>
      <c r="F4032" t="s">
        <v>49</v>
      </c>
      <c r="G4032">
        <v>-478.38839999999999</v>
      </c>
      <c r="H4032" s="1">
        <v>2.482502E-6</v>
      </c>
      <c r="I4032">
        <v>279.90699999999998</v>
      </c>
      <c r="J4032">
        <v>-460.2577</v>
      </c>
      <c r="K4032">
        <v>1.1220139999999901</v>
      </c>
      <c r="L4032">
        <v>283.96940000000001</v>
      </c>
      <c r="M4032">
        <v>-0.99976240000000005</v>
      </c>
      <c r="N4032">
        <v>-1.4536139999999999E-2</v>
      </c>
      <c r="O4032">
        <v>1.623904E-2</v>
      </c>
      <c r="P4032">
        <v>-0.98526910000000001</v>
      </c>
      <c r="Q4032">
        <v>0.1328474</v>
      </c>
      <c r="R4032">
        <v>-0.1076868</v>
      </c>
      <c r="S4032">
        <v>-2.9993590000000001</v>
      </c>
      <c r="T4032">
        <v>-0.18342169999999999</v>
      </c>
      <c r="U4032">
        <v>-0.66363530000000004</v>
      </c>
      <c r="V4032">
        <v>-0.123779399999999</v>
      </c>
      <c r="W4032">
        <v>0.1470397</v>
      </c>
      <c r="X4032">
        <v>0.98135519999999998</v>
      </c>
      <c r="Y4032">
        <v>-0.2313318</v>
      </c>
      <c r="Z4032">
        <v>-9.4337109999999991E-3</v>
      </c>
      <c r="AA4032">
        <v>0.97282919999999995</v>
      </c>
      <c r="AB4032">
        <v>22</v>
      </c>
      <c r="AC4032">
        <v>-18.130699999999901</v>
      </c>
      <c r="AD4032">
        <v>-1.1220115174980001</v>
      </c>
      <c r="AE4032">
        <v>-4.0624000000000198</v>
      </c>
      <c r="AF4032">
        <v>-4.3404923271026998</v>
      </c>
      <c r="AG4032">
        <v>-1.1220115174980001</v>
      </c>
      <c r="AH4032">
        <v>17.9967049372951</v>
      </c>
      <c r="AI4032">
        <v>93.4683147783024</v>
      </c>
      <c r="AJ4032">
        <v>103.559784473794</v>
      </c>
      <c r="AK4032">
        <v>18.54670245858</v>
      </c>
      <c r="AL4032">
        <v>81.544588582347103</v>
      </c>
      <c r="AM4032">
        <v>97.188817037584698</v>
      </c>
      <c r="AN4032">
        <v>1.0000000209037401</v>
      </c>
    </row>
    <row r="4033" spans="1:40" x14ac:dyDescent="0.25">
      <c r="A4033" t="str">
        <f>"20190303161952713"</f>
        <v>20190303161952713</v>
      </c>
      <c r="B4033" t="str">
        <f>"1551601192706899"</f>
        <v>1551601192706899</v>
      </c>
      <c r="C4033" t="s">
        <v>40</v>
      </c>
      <c r="D4033">
        <v>4.7232890000000003</v>
      </c>
      <c r="E4033">
        <v>0.45491229999999999</v>
      </c>
      <c r="F4033" t="s">
        <v>49</v>
      </c>
      <c r="G4033">
        <v>-477.59829999999999</v>
      </c>
      <c r="H4033" s="1">
        <v>2.8508669999999998E-6</v>
      </c>
      <c r="I4033">
        <v>280.11279999999999</v>
      </c>
      <c r="J4033">
        <v>-460.47269999999997</v>
      </c>
      <c r="K4033">
        <v>1.122053</v>
      </c>
      <c r="L4033">
        <v>283.97219999999999</v>
      </c>
      <c r="M4033">
        <v>-0.99977070000000001</v>
      </c>
      <c r="N4033">
        <v>-1.4531469999999999E-2</v>
      </c>
      <c r="O4033">
        <v>1.5732690000000001E-2</v>
      </c>
      <c r="P4033">
        <v>-0.98484059999999995</v>
      </c>
      <c r="Q4033">
        <v>0.13080339999999999</v>
      </c>
      <c r="R4033">
        <v>-0.113926399999999</v>
      </c>
      <c r="S4033">
        <v>-2.9981689999999999</v>
      </c>
      <c r="T4033">
        <v>-0.19399459999999999</v>
      </c>
      <c r="U4033">
        <v>-0.66680909999999904</v>
      </c>
      <c r="V4033">
        <v>-0.12952819999999901</v>
      </c>
      <c r="W4033">
        <v>0.1449664</v>
      </c>
      <c r="X4033">
        <v>0.98092159999999995</v>
      </c>
      <c r="Y4033">
        <v>-0.23184379999999999</v>
      </c>
      <c r="Z4033">
        <v>-9.8891440000000008E-3</v>
      </c>
      <c r="AA4033">
        <v>0.97270270000000003</v>
      </c>
      <c r="AB4033">
        <v>22</v>
      </c>
      <c r="AC4033">
        <v>-17.125599999999999</v>
      </c>
      <c r="AD4033">
        <v>-1.1220501491329999</v>
      </c>
      <c r="AE4033">
        <v>-3.8593999999999902</v>
      </c>
      <c r="AF4033">
        <v>-4.1115855758986903</v>
      </c>
      <c r="AG4033">
        <v>-1.1220501491329999</v>
      </c>
      <c r="AH4033">
        <v>16.9933328402314</v>
      </c>
      <c r="AI4033">
        <v>93.6720389134383</v>
      </c>
      <c r="AJ4033">
        <v>103.601483340389</v>
      </c>
      <c r="AK4033">
        <v>17.519631660054799</v>
      </c>
      <c r="AL4033">
        <v>81.664666494989504</v>
      </c>
      <c r="AM4033">
        <v>97.522242668018507</v>
      </c>
      <c r="AN4033">
        <v>0.99999999853537902</v>
      </c>
    </row>
    <row r="4034" spans="1:40" x14ac:dyDescent="0.25">
      <c r="A4034" t="str">
        <f>"20190303161952737"</f>
        <v>20190303161952737</v>
      </c>
      <c r="B4034" t="str">
        <f>"1551601192726419"</f>
        <v>1551601192726419</v>
      </c>
      <c r="C4034" t="s">
        <v>40</v>
      </c>
      <c r="D4034">
        <v>4.7187979999999996</v>
      </c>
      <c r="E4034">
        <v>0.45520339999999998</v>
      </c>
      <c r="F4034" t="s">
        <v>49</v>
      </c>
      <c r="G4034">
        <v>-477.1789</v>
      </c>
      <c r="H4034" s="1">
        <v>3.0422989999999998E-6</v>
      </c>
      <c r="I4034">
        <v>280.17489999999998</v>
      </c>
      <c r="J4034">
        <v>-460.69690000000003</v>
      </c>
      <c r="K4034">
        <v>1.122082</v>
      </c>
      <c r="L4034">
        <v>283.97500000000002</v>
      </c>
      <c r="M4034">
        <v>-0.99977990000000005</v>
      </c>
      <c r="N4034">
        <v>-1.452643E-2</v>
      </c>
      <c r="O4034">
        <v>1.513889E-2</v>
      </c>
      <c r="P4034">
        <v>-0.98422410000000005</v>
      </c>
      <c r="Q4034">
        <v>0.12957289999999999</v>
      </c>
      <c r="R4034">
        <v>-0.1204726</v>
      </c>
      <c r="S4034">
        <v>-2.9941710000000001</v>
      </c>
      <c r="T4034">
        <v>-0.20109940000000001</v>
      </c>
      <c r="U4034">
        <v>-0.68057250000000002</v>
      </c>
      <c r="V4034">
        <v>-0.13548979999999999</v>
      </c>
      <c r="W4034">
        <v>0.14370659999999999</v>
      </c>
      <c r="X4034">
        <v>0.98030139999999999</v>
      </c>
      <c r="Y4034">
        <v>-0.2357447</v>
      </c>
      <c r="Z4034">
        <v>-1.0331140000000001E-2</v>
      </c>
      <c r="AA4034">
        <v>0.97176010000000002</v>
      </c>
      <c r="AB4034">
        <v>22</v>
      </c>
      <c r="AC4034">
        <v>-16.4819999999999</v>
      </c>
      <c r="AD4034">
        <v>-1.122078957701</v>
      </c>
      <c r="AE4034">
        <v>-3.80010000000004</v>
      </c>
      <c r="AF4034">
        <v>-4.0314681698794796</v>
      </c>
      <c r="AG4034">
        <v>-1.122078957701</v>
      </c>
      <c r="AH4034">
        <v>16.350619307037999</v>
      </c>
      <c r="AI4034">
        <v>93.812017821422799</v>
      </c>
      <c r="AJ4034">
        <v>103.850786798689</v>
      </c>
      <c r="AK4034">
        <v>16.877634565179701</v>
      </c>
      <c r="AL4034">
        <v>81.737611183549603</v>
      </c>
      <c r="AM4034">
        <v>97.869132250554898</v>
      </c>
      <c r="AN4034">
        <v>0.99999995381477802</v>
      </c>
    </row>
    <row r="4035" spans="1:40" x14ac:dyDescent="0.25">
      <c r="A4035" t="str">
        <f>"20190303161952759"</f>
        <v>20190303161952759</v>
      </c>
      <c r="B4035" t="str">
        <f>"1551601192746915"</f>
        <v>1551601192746915</v>
      </c>
      <c r="C4035" t="s">
        <v>40</v>
      </c>
      <c r="D4035">
        <v>4.7667999999999999</v>
      </c>
      <c r="E4035">
        <v>0.45534989999999997</v>
      </c>
      <c r="F4035" t="s">
        <v>49</v>
      </c>
      <c r="G4035">
        <v>-477.11559999999997</v>
      </c>
      <c r="H4035" s="1">
        <v>3.0685610000000001E-6</v>
      </c>
      <c r="I4035">
        <v>280.15449999999998</v>
      </c>
      <c r="J4035">
        <v>-460.91300000000001</v>
      </c>
      <c r="K4035">
        <v>1.1220969999999999</v>
      </c>
      <c r="L4035">
        <v>283.9776</v>
      </c>
      <c r="M4035">
        <v>-0.99978920000000004</v>
      </c>
      <c r="N4035">
        <v>-1.452166E-2</v>
      </c>
      <c r="O4035">
        <v>1.451796E-2</v>
      </c>
      <c r="P4035">
        <v>-0.98349209999999998</v>
      </c>
      <c r="Q4035">
        <v>0.12889589999999901</v>
      </c>
      <c r="R4035">
        <v>-0.12700159999999999</v>
      </c>
      <c r="S4035">
        <v>-2.9898380000000002</v>
      </c>
      <c r="T4035">
        <v>-0.20433000000000001</v>
      </c>
      <c r="U4035">
        <v>-0.69570919999999903</v>
      </c>
      <c r="V4035">
        <v>-0.14140339999999901</v>
      </c>
      <c r="W4035">
        <v>0.1430025</v>
      </c>
      <c r="X4035">
        <v>0.97956900000000002</v>
      </c>
      <c r="Y4035">
        <v>-0.24008460000000001</v>
      </c>
      <c r="Z4035">
        <v>-1.0625900000000001E-2</v>
      </c>
      <c r="AA4035">
        <v>0.97069380000000005</v>
      </c>
      <c r="AB4035">
        <v>22</v>
      </c>
      <c r="AC4035">
        <v>-16.202599999999901</v>
      </c>
      <c r="AD4035">
        <v>-1.1220939314389999</v>
      </c>
      <c r="AE4035">
        <v>-3.8231000000000099</v>
      </c>
      <c r="AF4035">
        <v>-4.03959792096052</v>
      </c>
      <c r="AG4035">
        <v>-1.1220939314389999</v>
      </c>
      <c r="AH4035">
        <v>16.072363139637901</v>
      </c>
      <c r="AI4035">
        <v>93.873541482535799</v>
      </c>
      <c r="AJ4035">
        <v>104.108380719381</v>
      </c>
      <c r="AK4035">
        <v>16.610186725211399</v>
      </c>
      <c r="AL4035">
        <v>81.778374809647701</v>
      </c>
      <c r="AM4035">
        <v>98.214058327097206</v>
      </c>
      <c r="AN4035">
        <v>1.0000000311493999</v>
      </c>
    </row>
    <row r="4036" spans="1:40" x14ac:dyDescent="0.25">
      <c r="A4036" t="str">
        <f>"20190303161952782"</f>
        <v>20190303161952782</v>
      </c>
      <c r="B4036" t="str">
        <f>"1551601192776196"</f>
        <v>1551601192776196</v>
      </c>
      <c r="C4036" t="s">
        <v>40</v>
      </c>
      <c r="D4036">
        <v>4.7599119999999999</v>
      </c>
      <c r="E4036">
        <v>0.45600390000000002</v>
      </c>
      <c r="F4036" t="s">
        <v>49</v>
      </c>
      <c r="G4036">
        <v>-477.01560000000001</v>
      </c>
      <c r="H4036" s="1">
        <v>3.1109149999999999E-6</v>
      </c>
      <c r="I4036">
        <v>280.13150000000002</v>
      </c>
      <c r="J4036">
        <v>-461.12869999999998</v>
      </c>
      <c r="K4036">
        <v>1.1221000000000001</v>
      </c>
      <c r="L4036">
        <v>283.97989999999999</v>
      </c>
      <c r="M4036">
        <v>-0.99979859999999998</v>
      </c>
      <c r="N4036">
        <v>-1.451678E-2</v>
      </c>
      <c r="O4036">
        <v>1.386603E-2</v>
      </c>
      <c r="P4036">
        <v>-0.98260210000000003</v>
      </c>
      <c r="Q4036">
        <v>0.1288822</v>
      </c>
      <c r="R4036">
        <v>-0.13372699999999901</v>
      </c>
      <c r="S4036">
        <v>-2.9855649999999998</v>
      </c>
      <c r="T4036">
        <v>-0.2080468</v>
      </c>
      <c r="U4036">
        <v>-0.71310419999999997</v>
      </c>
      <c r="V4036">
        <v>-0.14747929999999901</v>
      </c>
      <c r="W4036">
        <v>0.14296139999999999</v>
      </c>
      <c r="X4036">
        <v>0.97867859999999995</v>
      </c>
      <c r="Y4036">
        <v>-0.24507609999999999</v>
      </c>
      <c r="Z4036">
        <v>-1.097072E-2</v>
      </c>
      <c r="AA4036">
        <v>0.96944180000000002</v>
      </c>
      <c r="AB4036">
        <v>22</v>
      </c>
      <c r="AC4036">
        <v>-15.886900000000001</v>
      </c>
      <c r="AD4036">
        <v>-1.122096889085</v>
      </c>
      <c r="AE4036">
        <v>-3.8483999999999599</v>
      </c>
      <c r="AF4036">
        <v>-4.04926068400367</v>
      </c>
      <c r="AG4036">
        <v>-1.122096889085</v>
      </c>
      <c r="AH4036">
        <v>15.757751972779401</v>
      </c>
      <c r="AI4036">
        <v>93.945355715510203</v>
      </c>
      <c r="AJ4036">
        <v>104.411452861846</v>
      </c>
      <c r="AK4036">
        <v>16.3083524842685</v>
      </c>
      <c r="AL4036">
        <v>81.7807534739038</v>
      </c>
      <c r="AM4036">
        <v>98.569553018469406</v>
      </c>
      <c r="AN4036">
        <v>0.99999995395820296</v>
      </c>
    </row>
    <row r="4037" spans="1:40" x14ac:dyDescent="0.25">
      <c r="A4037" t="str">
        <f>"20190303161952804"</f>
        <v>20190303161952804</v>
      </c>
      <c r="B4037" t="str">
        <f>"1551601192796691"</f>
        <v>1551601192796691</v>
      </c>
      <c r="C4037" t="s">
        <v>40</v>
      </c>
      <c r="D4037">
        <v>5.1042829999999997</v>
      </c>
      <c r="E4037">
        <v>0.45632460000000002</v>
      </c>
      <c r="F4037" t="s">
        <v>49</v>
      </c>
      <c r="G4037">
        <v>-477.34679999999997</v>
      </c>
      <c r="H4037" s="1">
        <v>2.9546749999999998E-6</v>
      </c>
      <c r="I4037">
        <v>280.02460000000002</v>
      </c>
      <c r="J4037">
        <v>-461.3494</v>
      </c>
      <c r="K4037">
        <v>1.1221049999999999</v>
      </c>
      <c r="L4037">
        <v>283.98219999999998</v>
      </c>
      <c r="M4037">
        <v>-0.99980789999999997</v>
      </c>
      <c r="N4037">
        <v>-1.4511599999999999E-2</v>
      </c>
      <c r="O4037">
        <v>1.3173860000000001E-2</v>
      </c>
      <c r="P4037">
        <v>-0.98172459999999995</v>
      </c>
      <c r="Q4037">
        <v>0.1272993</v>
      </c>
      <c r="R4037">
        <v>-0.14146239999999999</v>
      </c>
      <c r="S4037">
        <v>-2.9812319999999999</v>
      </c>
      <c r="T4037">
        <v>-0.20626510000000001</v>
      </c>
      <c r="U4037">
        <v>-0.72708130000000004</v>
      </c>
      <c r="V4037">
        <v>-0.15452659999999999</v>
      </c>
      <c r="W4037">
        <v>0.14134910000000001</v>
      </c>
      <c r="X4037">
        <v>0.9778251</v>
      </c>
      <c r="Y4037">
        <v>-0.24901619999999999</v>
      </c>
      <c r="Z4037">
        <v>-1.102525E-2</v>
      </c>
      <c r="AA4037">
        <v>0.96843659999999998</v>
      </c>
      <c r="AB4037">
        <v>22</v>
      </c>
      <c r="AC4037">
        <v>-15.997399999999899</v>
      </c>
      <c r="AD4037">
        <v>-1.1221020453249999</v>
      </c>
      <c r="AE4037">
        <v>-3.95759999999995</v>
      </c>
      <c r="AF4037">
        <v>-4.1487913159936101</v>
      </c>
      <c r="AG4037">
        <v>-1.1221020453249999</v>
      </c>
      <c r="AH4037">
        <v>15.870290300790501</v>
      </c>
      <c r="AI4037">
        <v>93.913266131641095</v>
      </c>
      <c r="AJ4037">
        <v>104.65033063204901</v>
      </c>
      <c r="AK4037">
        <v>16.441949294872298</v>
      </c>
      <c r="AL4037">
        <v>81.874079487043105</v>
      </c>
      <c r="AM4037">
        <v>98.980239370736001</v>
      </c>
      <c r="AN4037">
        <v>0.99999998218418895</v>
      </c>
    </row>
    <row r="4038" spans="1:40" x14ac:dyDescent="0.25">
      <c r="A4038" t="str">
        <f>"20190303161952825"</f>
        <v>20190303161952825</v>
      </c>
      <c r="B4038" t="str">
        <f>"1551601192816211"</f>
        <v>1551601192816211</v>
      </c>
      <c r="C4038" t="s">
        <v>40</v>
      </c>
      <c r="D4038">
        <v>4.7519530000000003</v>
      </c>
      <c r="E4038">
        <v>0.4562618</v>
      </c>
      <c r="F4038" t="s">
        <v>49</v>
      </c>
      <c r="G4038">
        <v>-477.36660000000001</v>
      </c>
      <c r="H4038" s="1">
        <v>2.9406089999999999E-6</v>
      </c>
      <c r="I4038">
        <v>279.964</v>
      </c>
      <c r="J4038">
        <v>-461.55869999999999</v>
      </c>
      <c r="K4038">
        <v>1.1221159999999999</v>
      </c>
      <c r="L4038">
        <v>283.98410000000001</v>
      </c>
      <c r="M4038">
        <v>-0.99981699999999996</v>
      </c>
      <c r="N4038">
        <v>-1.450682E-2</v>
      </c>
      <c r="O4038">
        <v>1.2483660000000001E-2</v>
      </c>
      <c r="P4038">
        <v>-0.98087310000000005</v>
      </c>
      <c r="Q4038">
        <v>0.12472610000000001</v>
      </c>
      <c r="R4038">
        <v>-0.14943699999999999</v>
      </c>
      <c r="S4038">
        <v>-2.9752809999999998</v>
      </c>
      <c r="T4038">
        <v>-0.2084367</v>
      </c>
      <c r="U4038">
        <v>-0.74639889999999998</v>
      </c>
      <c r="V4038">
        <v>-0.1618175</v>
      </c>
      <c r="W4038">
        <v>0.13874429999999999</v>
      </c>
      <c r="X4038">
        <v>0.97701850000000001</v>
      </c>
      <c r="Y4038">
        <v>-0.25468360000000001</v>
      </c>
      <c r="Z4038">
        <v>-1.1335309999999999E-2</v>
      </c>
      <c r="AA4038">
        <v>0.96695799999999998</v>
      </c>
      <c r="AB4038">
        <v>22</v>
      </c>
      <c r="AC4038">
        <v>-15.8079</v>
      </c>
      <c r="AD4038">
        <v>-1.12211305939099</v>
      </c>
      <c r="AE4038">
        <v>-4.02010000000001</v>
      </c>
      <c r="AF4038">
        <v>-4.1972833965107901</v>
      </c>
      <c r="AG4038">
        <v>-1.12211305939099</v>
      </c>
      <c r="AH4038">
        <v>15.6822577542091</v>
      </c>
      <c r="AI4038">
        <v>93.954004981528101</v>
      </c>
      <c r="AJ4038">
        <v>104.983756158041</v>
      </c>
      <c r="AK4038">
        <v>16.272969424728</v>
      </c>
      <c r="AL4038">
        <v>82.024809313911206</v>
      </c>
      <c r="AM4038">
        <v>99.404174501292999</v>
      </c>
      <c r="AN4038">
        <v>1.0000000167154901</v>
      </c>
    </row>
    <row r="4039" spans="1:40" x14ac:dyDescent="0.25">
      <c r="A4039" t="str">
        <f>"20190303161952848"</f>
        <v>20190303161952848</v>
      </c>
      <c r="B4039" t="str">
        <f>"1551601192836707"</f>
        <v>1551601192836707</v>
      </c>
      <c r="C4039" t="s">
        <v>40</v>
      </c>
      <c r="D4039">
        <v>4.7607439999999999</v>
      </c>
      <c r="E4039">
        <v>0.45656809999999998</v>
      </c>
      <c r="F4039" t="s">
        <v>49</v>
      </c>
      <c r="G4039">
        <v>-477.1979</v>
      </c>
      <c r="H4039" s="1">
        <v>3.0123439999999999E-6</v>
      </c>
      <c r="I4039">
        <v>279.92880000000002</v>
      </c>
      <c r="J4039">
        <v>-461.78019999999998</v>
      </c>
      <c r="K4039">
        <v>1.1221460000000001</v>
      </c>
      <c r="L4039">
        <v>283.98590000000002</v>
      </c>
      <c r="M4039">
        <v>-0.99982649999999995</v>
      </c>
      <c r="N4039">
        <v>-1.4501969999999999E-2</v>
      </c>
      <c r="O4039">
        <v>1.1695250000000001E-2</v>
      </c>
      <c r="P4039">
        <v>-0.98015140000000001</v>
      </c>
      <c r="Q4039">
        <v>0.1238339</v>
      </c>
      <c r="R4039">
        <v>-0.15481689999999901</v>
      </c>
      <c r="S4039">
        <v>-2.9683229999999998</v>
      </c>
      <c r="T4039">
        <v>-0.21297630000000001</v>
      </c>
      <c r="U4039">
        <v>-0.76968380000000003</v>
      </c>
      <c r="V4039">
        <v>-0.16642680000000001</v>
      </c>
      <c r="W4039">
        <v>0.13781959999999999</v>
      </c>
      <c r="X4039">
        <v>0.97637490000000005</v>
      </c>
      <c r="Y4039">
        <v>-0.26152039999999999</v>
      </c>
      <c r="Z4039">
        <v>-1.1806250000000001E-2</v>
      </c>
      <c r="AA4039">
        <v>0.96512569999999998</v>
      </c>
      <c r="AB4039">
        <v>22</v>
      </c>
      <c r="AC4039">
        <v>-15.4177</v>
      </c>
      <c r="AD4039">
        <v>-1.1221429876559901</v>
      </c>
      <c r="AE4039">
        <v>-4.0570999999999904</v>
      </c>
      <c r="AF4039">
        <v>-4.2162667511868603</v>
      </c>
      <c r="AG4039">
        <v>-1.1221429876559901</v>
      </c>
      <c r="AH4039">
        <v>15.293423785167199</v>
      </c>
      <c r="AI4039">
        <v>94.046094680296207</v>
      </c>
      <c r="AJ4039">
        <v>105.413078491289</v>
      </c>
      <c r="AK4039">
        <v>15.9036134659588</v>
      </c>
      <c r="AL4039">
        <v>82.078304792136095</v>
      </c>
      <c r="AM4039">
        <v>99.673313246639907</v>
      </c>
      <c r="AN4039">
        <v>1.0000000336262</v>
      </c>
    </row>
    <row r="4040" spans="1:40" x14ac:dyDescent="0.25">
      <c r="A4040" t="str">
        <f>"20190303161952870"</f>
        <v>20190303161952870</v>
      </c>
      <c r="B4040" t="str">
        <f>"1551601192866962"</f>
        <v>1551601192866962</v>
      </c>
      <c r="C4040" t="s">
        <v>40</v>
      </c>
      <c r="D4040">
        <v>4.7776579999999997</v>
      </c>
      <c r="E4040">
        <v>0.45686640000000001</v>
      </c>
      <c r="F4040" t="s">
        <v>49</v>
      </c>
      <c r="G4040">
        <v>-477.32659999999998</v>
      </c>
      <c r="H4040" s="1">
        <v>2.9508350000000001E-6</v>
      </c>
      <c r="I4040">
        <v>279.87799999999999</v>
      </c>
      <c r="J4040">
        <v>-461.99380000000002</v>
      </c>
      <c r="K4040">
        <v>1.1221890000000001</v>
      </c>
      <c r="L4040">
        <v>283.98750000000001</v>
      </c>
      <c r="M4040">
        <v>-0.99983580000000005</v>
      </c>
      <c r="N4040">
        <v>-1.4497629999999999E-2</v>
      </c>
      <c r="O4040">
        <v>1.087756E-2</v>
      </c>
      <c r="P4040">
        <v>-0.97900869999999995</v>
      </c>
      <c r="Q4040">
        <v>0.1229755</v>
      </c>
      <c r="R4040">
        <v>-0.16253999999999999</v>
      </c>
      <c r="S4040">
        <v>-2.9641419999999998</v>
      </c>
      <c r="T4040">
        <v>-0.21395230000000001</v>
      </c>
      <c r="U4040">
        <v>-0.78323359999999997</v>
      </c>
      <c r="V4040">
        <v>-0.1733489</v>
      </c>
      <c r="W4040">
        <v>0.1369166</v>
      </c>
      <c r="X4040">
        <v>0.97529690000000002</v>
      </c>
      <c r="Y4040">
        <v>-0.2651714</v>
      </c>
      <c r="Z4040">
        <v>-1.19709E-2</v>
      </c>
      <c r="AA4040">
        <v>0.96412690000000001</v>
      </c>
      <c r="AB4040">
        <v>22</v>
      </c>
      <c r="AC4040">
        <v>-15.332799999999899</v>
      </c>
      <c r="AD4040">
        <v>-1.122186049165</v>
      </c>
      <c r="AE4040">
        <v>-4.1095000000000201</v>
      </c>
      <c r="AF4040">
        <v>-4.25479415870356</v>
      </c>
      <c r="AG4040">
        <v>-1.122186049165</v>
      </c>
      <c r="AH4040">
        <v>15.2111677729549</v>
      </c>
      <c r="AI4040">
        <v>94.063852897148394</v>
      </c>
      <c r="AJ4040">
        <v>105.627111446706</v>
      </c>
      <c r="AK4040">
        <v>15.834841327871301</v>
      </c>
      <c r="AL4040">
        <v>82.130537939530299</v>
      </c>
      <c r="AM4040">
        <v>100.078478651917</v>
      </c>
      <c r="AN4040">
        <v>1.00000001981819</v>
      </c>
    </row>
    <row r="4041" spans="1:40" x14ac:dyDescent="0.25">
      <c r="A4041" t="str">
        <f>"20190303161952888"</f>
        <v>20190303161952888</v>
      </c>
      <c r="B4041" t="str">
        <f>"1551601192876723"</f>
        <v>1551601192876723</v>
      </c>
      <c r="C4041" t="s">
        <v>40</v>
      </c>
      <c r="D4041">
        <v>4.7702780000000002</v>
      </c>
      <c r="E4041">
        <v>0.45705099999999999</v>
      </c>
      <c r="F4041" t="s">
        <v>49</v>
      </c>
      <c r="G4041">
        <v>-477.45769999999999</v>
      </c>
      <c r="H4041" s="1">
        <v>2.8842619999999999E-6</v>
      </c>
      <c r="I4041">
        <v>279.78179999999998</v>
      </c>
      <c r="J4041">
        <v>-462.15379999999999</v>
      </c>
      <c r="K4041">
        <v>1.1222270000000001</v>
      </c>
      <c r="L4041">
        <v>283.98849999999999</v>
      </c>
      <c r="M4041">
        <v>-0.99984289999999998</v>
      </c>
      <c r="N4041">
        <v>-1.449454E-2</v>
      </c>
      <c r="O4041">
        <v>1.0216009999999999E-2</v>
      </c>
      <c r="P4041">
        <v>-0.97842649999999998</v>
      </c>
      <c r="Q4041">
        <v>0.1226397</v>
      </c>
      <c r="R4041">
        <v>-0.1662565</v>
      </c>
      <c r="S4041">
        <v>-2.9577330000000002</v>
      </c>
      <c r="T4041">
        <v>-0.21463699999999999</v>
      </c>
      <c r="U4041">
        <v>-0.80441280000000004</v>
      </c>
      <c r="V4041">
        <v>-0.17642459999999999</v>
      </c>
      <c r="W4041">
        <v>0.13655049999999999</v>
      </c>
      <c r="X4041">
        <v>0.97479649999999995</v>
      </c>
      <c r="Y4041">
        <v>-0.27145979999999997</v>
      </c>
      <c r="Z4041">
        <v>-1.2249599999999999E-2</v>
      </c>
      <c r="AA4041">
        <v>0.9623718</v>
      </c>
      <c r="AB4041">
        <v>22</v>
      </c>
      <c r="AC4041">
        <v>-15.303900000000001</v>
      </c>
      <c r="AD4041">
        <v>-1.122224115738</v>
      </c>
      <c r="AE4041">
        <v>-4.2067000000000103</v>
      </c>
      <c r="AF4041">
        <v>-4.3411383729217103</v>
      </c>
      <c r="AG4041">
        <v>-1.122224115738</v>
      </c>
      <c r="AH4041">
        <v>15.1842084861283</v>
      </c>
      <c r="AI4041">
        <v>94.064617339782103</v>
      </c>
      <c r="AJ4041">
        <v>105.95513939421799</v>
      </c>
      <c r="AK4041">
        <v>15.832405271752201</v>
      </c>
      <c r="AL4041">
        <v>82.151712229978997</v>
      </c>
      <c r="AM4041">
        <v>100.258689578063</v>
      </c>
      <c r="AN4041">
        <v>0.99999994747382803</v>
      </c>
    </row>
    <row r="4042" spans="1:40" x14ac:dyDescent="0.25">
      <c r="A4042" t="str">
        <f>"20190303161952902"</f>
        <v>20190303161952902</v>
      </c>
      <c r="B4042" t="str">
        <f>"1551601192896243"</f>
        <v>1551601192896243</v>
      </c>
      <c r="C4042" t="s">
        <v>40</v>
      </c>
      <c r="D4042">
        <v>5.0236359999999998</v>
      </c>
      <c r="E4042">
        <v>0.45725440000000001</v>
      </c>
      <c r="F4042" t="s">
        <v>49</v>
      </c>
      <c r="G4042">
        <v>-477.61739999999998</v>
      </c>
      <c r="H4042" s="1">
        <v>2.808651E-6</v>
      </c>
      <c r="I4042">
        <v>279.72669999999999</v>
      </c>
      <c r="J4042">
        <v>-462.2953</v>
      </c>
      <c r="K4042">
        <v>1.1222719999999999</v>
      </c>
      <c r="L4042">
        <v>283.98919999999998</v>
      </c>
      <c r="M4042">
        <v>-0.99984930000000005</v>
      </c>
      <c r="N4042">
        <v>-1.4491759999999999E-2</v>
      </c>
      <c r="O4042">
        <v>9.5720979999999994E-3</v>
      </c>
      <c r="P4042">
        <v>-0.97775540000000005</v>
      </c>
      <c r="Q4042">
        <v>0.12268569999999999</v>
      </c>
      <c r="R4042">
        <v>-0.1701269</v>
      </c>
      <c r="S4042">
        <v>-2.9546199999999998</v>
      </c>
      <c r="T4042">
        <v>-0.21442310000000001</v>
      </c>
      <c r="U4042">
        <v>-0.81430049999999998</v>
      </c>
      <c r="V4042">
        <v>-0.17967379999999999</v>
      </c>
      <c r="W4042">
        <v>0.136562299999999</v>
      </c>
      <c r="X4042">
        <v>0.97420130000000005</v>
      </c>
      <c r="Y4042">
        <v>-0.27408559999999998</v>
      </c>
      <c r="Z4042">
        <v>-1.2322039999999999E-2</v>
      </c>
      <c r="AA4042">
        <v>0.96162639999999999</v>
      </c>
      <c r="AB4042">
        <v>22</v>
      </c>
      <c r="AC4042">
        <v>-15.322099999999899</v>
      </c>
      <c r="AD4042">
        <v>-1.1222691913489999</v>
      </c>
      <c r="AE4042">
        <v>-4.2624999999999797</v>
      </c>
      <c r="AF4042">
        <v>-4.3871390325741997</v>
      </c>
      <c r="AG4042">
        <v>-1.1222691913489999</v>
      </c>
      <c r="AH4042">
        <v>15.2048801421923</v>
      </c>
      <c r="AI4042">
        <v>94.056442949328996</v>
      </c>
      <c r="AJ4042">
        <v>106.09469829432901</v>
      </c>
      <c r="AK4042">
        <v>15.864893859317901</v>
      </c>
      <c r="AL4042">
        <v>82.151030592213999</v>
      </c>
      <c r="AM4042">
        <v>100.449742550869</v>
      </c>
      <c r="AN4042">
        <v>1.0000000545547001</v>
      </c>
    </row>
    <row r="4043" spans="1:40" x14ac:dyDescent="0.25">
      <c r="A4043" t="str">
        <f>"20190303161952915"</f>
        <v>20190303161952915</v>
      </c>
      <c r="B4043" t="str">
        <f>"1551601192906978"</f>
        <v>1551601192906978</v>
      </c>
      <c r="C4043" t="s">
        <v>40</v>
      </c>
      <c r="D4043">
        <v>5.0442080000000002</v>
      </c>
      <c r="E4043">
        <v>0.45744509999999999</v>
      </c>
      <c r="F4043" t="s">
        <v>49</v>
      </c>
      <c r="G4043">
        <v>-477.98</v>
      </c>
      <c r="H4043" s="1">
        <v>2.6367749999999998E-6</v>
      </c>
      <c r="I4043">
        <v>279.60570000000001</v>
      </c>
      <c r="J4043">
        <v>-462.41809999999998</v>
      </c>
      <c r="K4043">
        <v>1.1223289999999999</v>
      </c>
      <c r="L4043">
        <v>283.9896</v>
      </c>
      <c r="M4043">
        <v>-0.9998551</v>
      </c>
      <c r="N4043">
        <v>-1.448968E-2</v>
      </c>
      <c r="O4043">
        <v>8.9474940000000003E-3</v>
      </c>
      <c r="P4043">
        <v>-0.97682480000000005</v>
      </c>
      <c r="Q4043">
        <v>0.12280530000000001</v>
      </c>
      <c r="R4043">
        <v>-0.17530709999999999</v>
      </c>
      <c r="S4043">
        <v>-2.9512019999999999</v>
      </c>
      <c r="T4043">
        <v>-0.2111644</v>
      </c>
      <c r="U4043">
        <v>-0.82479859999999905</v>
      </c>
      <c r="V4043">
        <v>-0.184252</v>
      </c>
      <c r="W4043">
        <v>0.1366388</v>
      </c>
      <c r="X4043">
        <v>0.97333499999999995</v>
      </c>
      <c r="Y4043">
        <v>-0.27695959999999997</v>
      </c>
      <c r="Z4043">
        <v>-1.225829E-2</v>
      </c>
      <c r="AA4043">
        <v>0.96080339999999997</v>
      </c>
      <c r="AB4043">
        <v>22</v>
      </c>
      <c r="AC4043">
        <v>-15.5619</v>
      </c>
      <c r="AD4043">
        <v>-1.122326363225</v>
      </c>
      <c r="AE4043">
        <v>-4.3838999999999801</v>
      </c>
      <c r="AF4043">
        <v>-4.5012878677278199</v>
      </c>
      <c r="AG4043">
        <v>-1.122326363225</v>
      </c>
      <c r="AH4043">
        <v>15.4476075489452</v>
      </c>
      <c r="AI4043">
        <v>93.990075838903607</v>
      </c>
      <c r="AJ4043">
        <v>106.24562706544</v>
      </c>
      <c r="AK4043">
        <v>16.1291595540491</v>
      </c>
      <c r="AL4043">
        <v>82.146605493276695</v>
      </c>
      <c r="AM4043">
        <v>100.71923456701199</v>
      </c>
      <c r="AN4043">
        <v>0.99999999169721898</v>
      </c>
    </row>
    <row r="4044" spans="1:40" x14ac:dyDescent="0.25">
      <c r="A4044" t="str">
        <f>"20190303161952938"</f>
        <v>20190303161952938</v>
      </c>
      <c r="B4044" t="str">
        <f>"1551601192926499"</f>
        <v>1551601192926499</v>
      </c>
      <c r="C4044" t="s">
        <v>40</v>
      </c>
      <c r="D4044">
        <v>4.8431610000000003</v>
      </c>
      <c r="E4044">
        <v>0.45788020000000001</v>
      </c>
      <c r="F4044" t="s">
        <v>49</v>
      </c>
      <c r="G4044">
        <v>-478.30590000000001</v>
      </c>
      <c r="H4044" s="1">
        <v>2.4733039999999998E-6</v>
      </c>
      <c r="I4044">
        <v>279.4622</v>
      </c>
      <c r="J4044">
        <v>-462.63749999999999</v>
      </c>
      <c r="K4044">
        <v>1.1224529999999999</v>
      </c>
      <c r="L4044">
        <v>283.99020000000002</v>
      </c>
      <c r="M4044">
        <v>-0.99986569999999997</v>
      </c>
      <c r="N4044">
        <v>-1.448673E-2</v>
      </c>
      <c r="O4044">
        <v>7.679445E-3</v>
      </c>
      <c r="P4044">
        <v>-0.97585900000000003</v>
      </c>
      <c r="Q4044">
        <v>0.1233205</v>
      </c>
      <c r="R4044">
        <v>-0.18025430000000001</v>
      </c>
      <c r="S4044">
        <v>-2.9466549999999998</v>
      </c>
      <c r="T4044">
        <v>-0.20815429999999999</v>
      </c>
      <c r="U4044">
        <v>-0.83969119999999997</v>
      </c>
      <c r="V4044">
        <v>-0.18799469999999999</v>
      </c>
      <c r="W4044">
        <v>0.13708049999999999</v>
      </c>
      <c r="X4044">
        <v>0.97255689999999995</v>
      </c>
      <c r="Y4044">
        <v>-0.2806323</v>
      </c>
      <c r="Z4044">
        <v>-1.220502E-2</v>
      </c>
      <c r="AA4044">
        <v>0.95973779999999997</v>
      </c>
      <c r="AB4044">
        <v>21</v>
      </c>
      <c r="AC4044">
        <v>-15.6684</v>
      </c>
      <c r="AD4044">
        <v>-1.1224505266959901</v>
      </c>
      <c r="AE4044">
        <v>-4.52800000000002</v>
      </c>
      <c r="AF4044">
        <v>-4.6262916188028704</v>
      </c>
      <c r="AG4044">
        <v>-1.1224505266959901</v>
      </c>
      <c r="AH4044">
        <v>15.559465538307199</v>
      </c>
      <c r="AI4044">
        <v>93.955570782975798</v>
      </c>
      <c r="AJ4044">
        <v>106.558778479811</v>
      </c>
      <c r="AK4044">
        <v>16.271430089726501</v>
      </c>
      <c r="AL4044">
        <v>82.121057596171894</v>
      </c>
      <c r="AM4044">
        <v>100.94031318747901</v>
      </c>
      <c r="AN4044">
        <v>0.99999999722297495</v>
      </c>
    </row>
    <row r="4045" spans="1:40" x14ac:dyDescent="0.25">
      <c r="A4045" t="str">
        <f>"20190303161952959"</f>
        <v>20190303161952959</v>
      </c>
      <c r="B4045" t="str">
        <f>"1551601192946994"</f>
        <v>1551601192946994</v>
      </c>
      <c r="C4045" t="s">
        <v>40</v>
      </c>
      <c r="D4045">
        <v>4.8271959999999998</v>
      </c>
      <c r="E4045">
        <v>0.45834960000000002</v>
      </c>
      <c r="F4045" t="s">
        <v>49</v>
      </c>
      <c r="G4045">
        <v>-478.99979999999999</v>
      </c>
      <c r="H4045" s="1">
        <v>2.1376059999999998E-6</v>
      </c>
      <c r="I4045">
        <v>279.2509</v>
      </c>
      <c r="J4045">
        <v>-462.84350000000001</v>
      </c>
      <c r="K4045">
        <v>1.1226039999999999</v>
      </c>
      <c r="L4045">
        <v>283.99020000000002</v>
      </c>
      <c r="M4045">
        <v>-0.99987570000000003</v>
      </c>
      <c r="N4045">
        <v>-1.448553E-2</v>
      </c>
      <c r="O4045">
        <v>6.2571559999999998E-3</v>
      </c>
      <c r="P4045">
        <v>-0.97512390000000004</v>
      </c>
      <c r="Q4045">
        <v>0.1240566</v>
      </c>
      <c r="R4045">
        <v>-0.18369450000000001</v>
      </c>
      <c r="S4045">
        <v>-2.9423219999999999</v>
      </c>
      <c r="T4045">
        <v>-0.20184150000000001</v>
      </c>
      <c r="U4045">
        <v>-0.85223389999999999</v>
      </c>
      <c r="V4045">
        <v>-0.19009529999999999</v>
      </c>
      <c r="W4045">
        <v>0.1377351</v>
      </c>
      <c r="X4045">
        <v>0.97205600000000003</v>
      </c>
      <c r="Y4045">
        <v>-0.2834546</v>
      </c>
      <c r="Z4045">
        <v>-1.194478E-2</v>
      </c>
      <c r="AA4045">
        <v>0.95891119999999996</v>
      </c>
      <c r="AB4045">
        <v>21</v>
      </c>
      <c r="AC4045">
        <v>-16.156299999999899</v>
      </c>
      <c r="AD4045">
        <v>-1.1226018623939999</v>
      </c>
      <c r="AE4045">
        <v>-4.7393000000000098</v>
      </c>
      <c r="AF4045">
        <v>-4.8188880239227903</v>
      </c>
      <c r="AG4045">
        <v>-1.1226018623939999</v>
      </c>
      <c r="AH4045">
        <v>16.0549540789427</v>
      </c>
      <c r="AI4045">
        <v>93.831423547189203</v>
      </c>
      <c r="AJ4045">
        <v>106.70710755611</v>
      </c>
      <c r="AK4045">
        <v>16.800103190323501</v>
      </c>
      <c r="AL4045">
        <v>82.083192825404595</v>
      </c>
      <c r="AM4045">
        <v>101.06511764816401</v>
      </c>
      <c r="AN4045">
        <v>1.00000002399504</v>
      </c>
    </row>
    <row r="4046" spans="1:40" x14ac:dyDescent="0.25">
      <c r="A4046" t="str">
        <f>"20190303161952977"</f>
        <v>20190303161952977</v>
      </c>
      <c r="B4046" t="str">
        <f>"1551601192966515"</f>
        <v>1551601192966515</v>
      </c>
      <c r="C4046" t="s">
        <v>40</v>
      </c>
      <c r="D4046">
        <v>4.844373</v>
      </c>
      <c r="E4046">
        <v>0.45854159999999999</v>
      </c>
      <c r="F4046" t="s">
        <v>49</v>
      </c>
      <c r="G4046">
        <v>-479.6386</v>
      </c>
      <c r="H4046" s="1">
        <v>1.8227069999999999E-6</v>
      </c>
      <c r="I4046">
        <v>279.08269999999999</v>
      </c>
      <c r="J4046">
        <v>-463.0077</v>
      </c>
      <c r="K4046">
        <v>1.122743</v>
      </c>
      <c r="L4046">
        <v>283.98970000000003</v>
      </c>
      <c r="M4046">
        <v>-0.99988299999999997</v>
      </c>
      <c r="N4046">
        <v>-1.4486010000000001E-2</v>
      </c>
      <c r="O4046">
        <v>4.9449960000000001E-3</v>
      </c>
      <c r="P4046">
        <v>-0.97460919999999895</v>
      </c>
      <c r="Q4046">
        <v>0.1244268</v>
      </c>
      <c r="R4046">
        <v>-0.18615870000000001</v>
      </c>
      <c r="S4046">
        <v>-2.9396969999999998</v>
      </c>
      <c r="T4046">
        <v>-0.1964929</v>
      </c>
      <c r="U4046">
        <v>-0.85897829999999997</v>
      </c>
      <c r="V4046">
        <v>-0.191326</v>
      </c>
      <c r="W4046">
        <v>0.13803499999999999</v>
      </c>
      <c r="X4046">
        <v>0.97177199999999997</v>
      </c>
      <c r="Y4046">
        <v>-0.28448790000000002</v>
      </c>
      <c r="Z4046">
        <v>-1.166213E-2</v>
      </c>
      <c r="AA4046">
        <v>0.95860869999999998</v>
      </c>
      <c r="AB4046">
        <v>21</v>
      </c>
      <c r="AC4046">
        <v>-16.630899999999901</v>
      </c>
      <c r="AD4046">
        <v>-1.122741177293</v>
      </c>
      <c r="AE4046">
        <v>-4.9070000000000302</v>
      </c>
      <c r="AF4046">
        <v>-4.96835837308421</v>
      </c>
      <c r="AG4046">
        <v>-1.122741177293</v>
      </c>
      <c r="AH4046">
        <v>16.537096778295901</v>
      </c>
      <c r="AI4046">
        <v>93.720202404268505</v>
      </c>
      <c r="AJ4046">
        <v>106.72222069934099</v>
      </c>
      <c r="AK4046">
        <v>17.3037771174189</v>
      </c>
      <c r="AL4046">
        <v>82.065844396145494</v>
      </c>
      <c r="AM4046">
        <v>101.138142743182</v>
      </c>
      <c r="AN4046">
        <v>1.0000000597424901</v>
      </c>
    </row>
    <row r="4047" spans="1:40" x14ac:dyDescent="0.25">
      <c r="A4047" t="str">
        <f>"20190303161952994"</f>
        <v>20190303161952994</v>
      </c>
      <c r="B4047" t="str">
        <f>"1551601192987011"</f>
        <v>1551601192987011</v>
      </c>
      <c r="C4047" t="s">
        <v>40</v>
      </c>
      <c r="D4047">
        <v>4.8542059999999996</v>
      </c>
      <c r="E4047">
        <v>0.45834140000000001</v>
      </c>
      <c r="F4047" t="s">
        <v>49</v>
      </c>
      <c r="G4047">
        <v>-479.90600000000001</v>
      </c>
      <c r="H4047" s="1">
        <v>1.6805770000000001E-6</v>
      </c>
      <c r="I4047">
        <v>279.01560000000001</v>
      </c>
      <c r="J4047">
        <v>-463.16879999999998</v>
      </c>
      <c r="K4047">
        <v>1.1228880000000001</v>
      </c>
      <c r="L4047">
        <v>283.9889</v>
      </c>
      <c r="M4047">
        <v>-0.99988880000000002</v>
      </c>
      <c r="N4047">
        <v>-1.4487460000000001E-2</v>
      </c>
      <c r="O4047">
        <v>3.505817E-3</v>
      </c>
      <c r="P4047">
        <v>-0.9742632</v>
      </c>
      <c r="Q4047">
        <v>0.1248894</v>
      </c>
      <c r="R4047">
        <v>-0.1876534</v>
      </c>
      <c r="S4047">
        <v>-2.9378660000000001</v>
      </c>
      <c r="T4047">
        <v>-0.1951946</v>
      </c>
      <c r="U4047">
        <v>-0.86477660000000001</v>
      </c>
      <c r="V4047">
        <v>-0.19146679999999999</v>
      </c>
      <c r="W4047">
        <v>0.13843220000000001</v>
      </c>
      <c r="X4047">
        <v>0.97168770000000004</v>
      </c>
      <c r="Y4047">
        <v>-0.28502</v>
      </c>
      <c r="Z4047">
        <v>-1.1550619999999999E-2</v>
      </c>
      <c r="AA4047">
        <v>0.95845199999999997</v>
      </c>
      <c r="AB4047">
        <v>21</v>
      </c>
      <c r="AC4047">
        <v>-16.737200000000001</v>
      </c>
      <c r="AD4047">
        <v>-1.1228863194230001</v>
      </c>
      <c r="AE4047">
        <v>-4.9732999999999903</v>
      </c>
      <c r="AF4047">
        <v>-5.0112276816538204</v>
      </c>
      <c r="AG4047">
        <v>-1.1228863194230001</v>
      </c>
      <c r="AH4047">
        <v>16.6507953218068</v>
      </c>
      <c r="AI4047">
        <v>93.694814711027902</v>
      </c>
      <c r="AJ4047">
        <v>106.74970686488901</v>
      </c>
      <c r="AK4047">
        <v>17.4247600101816</v>
      </c>
      <c r="AL4047">
        <v>82.042865417163995</v>
      </c>
      <c r="AM4047">
        <v>101.147077100148</v>
      </c>
      <c r="AN4047">
        <v>0.99999999791518501</v>
      </c>
    </row>
    <row r="4048" spans="1:40" x14ac:dyDescent="0.25">
      <c r="A4048" t="str">
        <f>"20190303161953017"</f>
        <v>20190303161953017</v>
      </c>
      <c r="B4048" t="str">
        <f>"1551601193006532"</f>
        <v>1551601193006532</v>
      </c>
      <c r="C4048" t="s">
        <v>40</v>
      </c>
      <c r="D4048">
        <v>4.8955719999999996</v>
      </c>
      <c r="E4048">
        <v>0.4452506</v>
      </c>
      <c r="F4048" t="s">
        <v>49</v>
      </c>
      <c r="G4048">
        <v>-480.26569999999998</v>
      </c>
      <c r="H4048" s="1">
        <v>1.6654720000000001E-6</v>
      </c>
      <c r="I4048">
        <v>278.91800000000001</v>
      </c>
      <c r="J4048">
        <v>-463.37979999999999</v>
      </c>
      <c r="K4048">
        <v>1.123062</v>
      </c>
      <c r="L4048">
        <v>283.98719999999997</v>
      </c>
      <c r="M4048">
        <v>-0.99989419999999996</v>
      </c>
      <c r="N4048">
        <v>-1.4490340000000001E-2</v>
      </c>
      <c r="O4048">
        <v>1.3876590000000001E-3</v>
      </c>
      <c r="P4048">
        <v>-0.97390960000000004</v>
      </c>
      <c r="Q4048">
        <v>0.12518409999999999</v>
      </c>
      <c r="R4048">
        <v>-0.18928629999999999</v>
      </c>
      <c r="S4048">
        <v>-2.9362180000000002</v>
      </c>
      <c r="T4048">
        <v>-0.19284399999999999</v>
      </c>
      <c r="U4048">
        <v>-0.87088009999999905</v>
      </c>
      <c r="V4048">
        <v>-0.1910963</v>
      </c>
      <c r="W4048">
        <v>0.13864939999999901</v>
      </c>
      <c r="X4048">
        <v>0.97172970000000003</v>
      </c>
      <c r="Y4048">
        <v>-0.28498590000000001</v>
      </c>
      <c r="Z4048">
        <v>-1.133252E-2</v>
      </c>
      <c r="AA4048">
        <v>0.95846469999999995</v>
      </c>
      <c r="AB4048">
        <v>21</v>
      </c>
      <c r="AC4048">
        <v>-16.8858999999999</v>
      </c>
      <c r="AD4048">
        <v>-1.1230603345279999</v>
      </c>
      <c r="AE4048">
        <v>-5.0691999999999604</v>
      </c>
      <c r="AF4048">
        <v>-5.0720484651293498</v>
      </c>
      <c r="AG4048">
        <v>-1.1230603345279999</v>
      </c>
      <c r="AH4048">
        <v>16.810635732630899</v>
      </c>
      <c r="AI4048">
        <v>93.659582217950401</v>
      </c>
      <c r="AJ4048">
        <v>106.78943641574899</v>
      </c>
      <c r="AK4048">
        <v>17.595011050943398</v>
      </c>
      <c r="AL4048">
        <v>82.030299862990901</v>
      </c>
      <c r="AM4048">
        <v>101.12557660876</v>
      </c>
      <c r="AN4048">
        <v>1.0000000309280599</v>
      </c>
    </row>
    <row r="4049" spans="1:40" x14ac:dyDescent="0.25">
      <c r="A4049" t="str">
        <f>"20190303161953038"</f>
        <v>20190303161953038</v>
      </c>
      <c r="B4049" t="str">
        <f>"1551601193026051"</f>
        <v>1551601193026051</v>
      </c>
      <c r="C4049" t="s">
        <v>40</v>
      </c>
      <c r="D4049">
        <v>4.8529749999999998</v>
      </c>
      <c r="E4049">
        <v>0.44518740000000001</v>
      </c>
      <c r="F4049" t="s">
        <v>49</v>
      </c>
      <c r="G4049">
        <v>-482.72699999999998</v>
      </c>
      <c r="H4049" s="1">
        <v>1.631393E-6</v>
      </c>
      <c r="I4049">
        <v>277.48500000000001</v>
      </c>
      <c r="J4049">
        <v>-463.589</v>
      </c>
      <c r="K4049">
        <v>1.123203</v>
      </c>
      <c r="L4049">
        <v>283.98480000000001</v>
      </c>
      <c r="M4049">
        <v>-0.99989450000000002</v>
      </c>
      <c r="N4049">
        <v>-1.4493209999999999E-2</v>
      </c>
      <c r="O4049">
        <v>-9.5817980000000003E-4</v>
      </c>
      <c r="P4049">
        <v>-0.97361109999999995</v>
      </c>
      <c r="Q4049">
        <v>0.1247491</v>
      </c>
      <c r="R4049">
        <v>-0.19109999999999999</v>
      </c>
      <c r="S4049">
        <v>-2.9119259999999998</v>
      </c>
      <c r="T4049">
        <v>-0.1690313</v>
      </c>
      <c r="U4049">
        <v>-0.97863770000000005</v>
      </c>
      <c r="V4049">
        <v>-0.19067410000000001</v>
      </c>
      <c r="W4049">
        <v>0.13815259999999999</v>
      </c>
      <c r="X4049">
        <v>0.97188339999999995</v>
      </c>
      <c r="Y4049">
        <v>-0.31705119999999998</v>
      </c>
      <c r="Z4049">
        <v>-1.126977E-2</v>
      </c>
      <c r="AA4049">
        <v>0.9483414</v>
      </c>
      <c r="AB4049">
        <v>21</v>
      </c>
      <c r="AC4049">
        <v>-19.137999999999899</v>
      </c>
      <c r="AD4049">
        <v>-1.1232013686069999</v>
      </c>
      <c r="AE4049">
        <v>-6.4997999999999898</v>
      </c>
      <c r="AF4049">
        <v>-6.4615027252381196</v>
      </c>
      <c r="AG4049">
        <v>-1.1232013686069999</v>
      </c>
      <c r="AH4049">
        <v>19.085279778546699</v>
      </c>
      <c r="AI4049">
        <v>93.190572265360501</v>
      </c>
      <c r="AJ4049">
        <v>108.704018399262</v>
      </c>
      <c r="AK4049">
        <v>20.180696296414201</v>
      </c>
      <c r="AL4049">
        <v>82.059041140949205</v>
      </c>
      <c r="AM4049">
        <v>101.099895414464</v>
      </c>
      <c r="AN4049">
        <v>1.0000000482465601</v>
      </c>
    </row>
    <row r="4050" spans="1:40" x14ac:dyDescent="0.25">
      <c r="A4050" t="str">
        <f>"20190303161953061"</f>
        <v>20190303161953061</v>
      </c>
      <c r="B4050" t="str">
        <f>"1551601193046547"</f>
        <v>1551601193046547</v>
      </c>
      <c r="C4050" t="s">
        <v>40</v>
      </c>
      <c r="D4050">
        <v>4.8547710000000004</v>
      </c>
      <c r="E4050">
        <v>0.44629859999999999</v>
      </c>
      <c r="F4050" t="s">
        <v>49</v>
      </c>
      <c r="G4050">
        <v>-481.89510000000001</v>
      </c>
      <c r="H4050" s="1">
        <v>1.6151260000000001E-6</v>
      </c>
      <c r="I4050">
        <v>277.8116</v>
      </c>
      <c r="J4050">
        <v>-463.79700000000003</v>
      </c>
      <c r="K4050">
        <v>1.1233139999999999</v>
      </c>
      <c r="L4050">
        <v>283.98160000000001</v>
      </c>
      <c r="M4050">
        <v>-0.99988880000000002</v>
      </c>
      <c r="N4050">
        <v>-1.449453E-2</v>
      </c>
      <c r="O4050">
        <v>-3.5113010000000001E-3</v>
      </c>
      <c r="P4050">
        <v>-0.97309939999999995</v>
      </c>
      <c r="Q4050">
        <v>0.1230199</v>
      </c>
      <c r="R4050">
        <v>-0.19479160000000001</v>
      </c>
      <c r="S4050">
        <v>-2.9114689999999999</v>
      </c>
      <c r="T4050">
        <v>-0.1786374</v>
      </c>
      <c r="U4050">
        <v>-0.98181149999999995</v>
      </c>
      <c r="V4050">
        <v>-0.19191150000000001</v>
      </c>
      <c r="W4050">
        <v>0.13636719999999999</v>
      </c>
      <c r="X4050">
        <v>0.97189190000000003</v>
      </c>
      <c r="Y4050">
        <v>-0.31554589999999999</v>
      </c>
      <c r="Z4050">
        <v>-1.1602680000000001E-2</v>
      </c>
      <c r="AA4050">
        <v>0.9488394</v>
      </c>
      <c r="AB4050">
        <v>21</v>
      </c>
      <c r="AC4050">
        <v>-18.098099999999999</v>
      </c>
      <c r="AD4050">
        <v>-1.1233123848740001</v>
      </c>
      <c r="AE4050">
        <v>-6.1700000000000097</v>
      </c>
      <c r="AF4050">
        <v>-6.0854048381927699</v>
      </c>
      <c r="AG4050">
        <v>-1.1233123848740001</v>
      </c>
      <c r="AH4050">
        <v>18.0573341096806</v>
      </c>
      <c r="AI4050">
        <v>93.373712327083197</v>
      </c>
      <c r="AJ4050">
        <v>108.624053648165</v>
      </c>
      <c r="AK4050">
        <v>19.088250257877199</v>
      </c>
      <c r="AL4050">
        <v>82.162313745203406</v>
      </c>
      <c r="AM4050">
        <v>101.170028345362</v>
      </c>
      <c r="AN4050">
        <v>0.99999995117684803</v>
      </c>
    </row>
    <row r="4051" spans="1:40" x14ac:dyDescent="0.25">
      <c r="A4051" t="str">
        <f>"20190303161953083"</f>
        <v>20190303161953083</v>
      </c>
      <c r="B4051" t="str">
        <f>"1551601193076804"</f>
        <v>1551601193076804</v>
      </c>
      <c r="C4051" t="s">
        <v>40</v>
      </c>
      <c r="D4051">
        <v>4.8844609999999999</v>
      </c>
      <c r="E4051">
        <v>0.44647369999999997</v>
      </c>
      <c r="F4051" t="s">
        <v>49</v>
      </c>
      <c r="G4051">
        <v>-481.87299999999999</v>
      </c>
      <c r="H4051" s="1">
        <v>1.6258430000000001E-6</v>
      </c>
      <c r="I4051">
        <v>277.88350000000003</v>
      </c>
      <c r="J4051">
        <v>-464.01010000000002</v>
      </c>
      <c r="K4051">
        <v>1.123391</v>
      </c>
      <c r="L4051">
        <v>283.97770000000003</v>
      </c>
      <c r="M4051">
        <v>-0.99987510000000002</v>
      </c>
      <c r="N4051">
        <v>-1.449334E-2</v>
      </c>
      <c r="O4051">
        <v>-6.3160159999999998E-3</v>
      </c>
      <c r="P4051">
        <v>-0.97229160000000003</v>
      </c>
      <c r="Q4051">
        <v>0.12060269999999999</v>
      </c>
      <c r="R4051">
        <v>-0.20026079999999999</v>
      </c>
      <c r="S4051">
        <v>-2.9093019999999998</v>
      </c>
      <c r="T4051">
        <v>-0.18079500000000001</v>
      </c>
      <c r="U4051">
        <v>-0.98147580000000001</v>
      </c>
      <c r="V4051">
        <v>-0.19467139999999999</v>
      </c>
      <c r="W4051">
        <v>0.13389529999999999</v>
      </c>
      <c r="X4051">
        <v>0.97168670000000001</v>
      </c>
      <c r="Y4051">
        <v>-0.31299250000000001</v>
      </c>
      <c r="Z4051">
        <v>-1.1494269999999999E-2</v>
      </c>
      <c r="AA4051">
        <v>0.94968609999999998</v>
      </c>
      <c r="AB4051">
        <v>21</v>
      </c>
      <c r="AC4051">
        <v>-17.8629</v>
      </c>
      <c r="AD4051">
        <v>-1.123389374157</v>
      </c>
      <c r="AE4051">
        <v>-6.0941999999999998</v>
      </c>
      <c r="AF4051">
        <v>-5.9601290247848997</v>
      </c>
      <c r="AG4051">
        <v>-1.123389374157</v>
      </c>
      <c r="AH4051">
        <v>17.837843884883799</v>
      </c>
      <c r="AI4051">
        <v>93.418317942441902</v>
      </c>
      <c r="AJ4051">
        <v>108.475934105484</v>
      </c>
      <c r="AK4051">
        <v>18.840748821093602</v>
      </c>
      <c r="AL4051">
        <v>82.305254499057</v>
      </c>
      <c r="AM4051">
        <v>101.328871549881</v>
      </c>
      <c r="AN4051">
        <v>0.99999997414846897</v>
      </c>
    </row>
    <row r="4052" spans="1:40" x14ac:dyDescent="0.25">
      <c r="A4052" t="str">
        <f>"20190303161953101"</f>
        <v>20190303161953101</v>
      </c>
      <c r="B4052" t="str">
        <f>"1551601193096424"</f>
        <v>1551601193096424</v>
      </c>
      <c r="C4052" t="s">
        <v>40</v>
      </c>
      <c r="D4052">
        <v>4.9137760000000004</v>
      </c>
      <c r="E4052">
        <v>0.44628659999999998</v>
      </c>
      <c r="F4052" t="s">
        <v>49</v>
      </c>
      <c r="G4052">
        <v>-480.82420000000002</v>
      </c>
      <c r="H4052" s="1">
        <v>1.592776E-6</v>
      </c>
      <c r="I4052">
        <v>278.22399999999999</v>
      </c>
      <c r="J4052">
        <v>-464.17410000000001</v>
      </c>
      <c r="K4052">
        <v>1.1234309999999901</v>
      </c>
      <c r="L4052">
        <v>283.97410000000002</v>
      </c>
      <c r="M4052">
        <v>-0.99985829999999998</v>
      </c>
      <c r="N4052">
        <v>-1.449075E-2</v>
      </c>
      <c r="O4052">
        <v>-8.5878869999999902E-3</v>
      </c>
      <c r="P4052">
        <v>-0.97158129999999998</v>
      </c>
      <c r="Q4052">
        <v>0.1190996</v>
      </c>
      <c r="R4052">
        <v>-0.2045614</v>
      </c>
      <c r="S4052">
        <v>-2.904846</v>
      </c>
      <c r="T4052">
        <v>-0.1940799</v>
      </c>
      <c r="U4052">
        <v>-0.99401859999999997</v>
      </c>
      <c r="V4052">
        <v>-0.1967739</v>
      </c>
      <c r="W4052">
        <v>0.1323551</v>
      </c>
      <c r="X4052">
        <v>0.97147419999999995</v>
      </c>
      <c r="Y4052">
        <v>-0.3148572</v>
      </c>
      <c r="Z4052">
        <v>-1.2127789999999999E-2</v>
      </c>
      <c r="AA4052">
        <v>0.94906159999999995</v>
      </c>
      <c r="AB4052">
        <v>21</v>
      </c>
      <c r="AC4052">
        <v>-16.650099999999998</v>
      </c>
      <c r="AD4052">
        <v>-1.1234294072240001</v>
      </c>
      <c r="AE4052">
        <v>-5.75010000000003</v>
      </c>
      <c r="AF4052">
        <v>-5.58417029073492</v>
      </c>
      <c r="AG4052">
        <v>-1.1234294072240001</v>
      </c>
      <c r="AH4052">
        <v>16.6312252227108</v>
      </c>
      <c r="AI4052">
        <v>93.663997913500694</v>
      </c>
      <c r="AJ4052">
        <v>108.560208638625</v>
      </c>
      <c r="AK4052">
        <v>17.579610458638498</v>
      </c>
      <c r="AL4052">
        <v>82.394294040936998</v>
      </c>
      <c r="AM4052">
        <v>101.45045020075</v>
      </c>
      <c r="AN4052">
        <v>0.99999998074142904</v>
      </c>
    </row>
    <row r="4053" spans="1:40" x14ac:dyDescent="0.25">
      <c r="A4053" t="str">
        <f>"20190303161953116"</f>
        <v>20190303161953116</v>
      </c>
      <c r="B4053" t="str">
        <f>"1551601193106184"</f>
        <v>1551601193106184</v>
      </c>
      <c r="C4053" t="s">
        <v>40</v>
      </c>
      <c r="D4053">
        <v>4.8867929999999999</v>
      </c>
      <c r="E4053">
        <v>0.44629859999999999</v>
      </c>
      <c r="F4053" t="s">
        <v>49</v>
      </c>
      <c r="G4053">
        <v>-480.30610000000001</v>
      </c>
      <c r="H4053" s="1">
        <v>1.572346E-6</v>
      </c>
      <c r="I4053">
        <v>278.3689</v>
      </c>
      <c r="J4053">
        <v>-464.3193</v>
      </c>
      <c r="K4053">
        <v>1.1234470000000001</v>
      </c>
      <c r="L4053">
        <v>283.97050000000002</v>
      </c>
      <c r="M4053">
        <v>-0.99983820000000001</v>
      </c>
      <c r="N4053">
        <v>-1.4488020000000001E-2</v>
      </c>
      <c r="O4053">
        <v>-1.065936E-2</v>
      </c>
      <c r="P4053">
        <v>-0.97013899999999997</v>
      </c>
      <c r="Q4053">
        <v>0.1157979</v>
      </c>
      <c r="R4053">
        <v>-0.21312249999999999</v>
      </c>
      <c r="S4053">
        <v>-2.90036</v>
      </c>
      <c r="T4053">
        <v>-0.20198060000000001</v>
      </c>
      <c r="U4053">
        <v>-1.0077510000000001</v>
      </c>
      <c r="V4053">
        <v>-0.20333029999999999</v>
      </c>
      <c r="W4053">
        <v>0.128992</v>
      </c>
      <c r="X4053">
        <v>0.97057599999999999</v>
      </c>
      <c r="Y4053">
        <v>-0.31729390000000002</v>
      </c>
      <c r="Z4053">
        <v>-1.25186E-2</v>
      </c>
      <c r="AA4053">
        <v>0.94824459999999999</v>
      </c>
      <c r="AB4053">
        <v>21</v>
      </c>
      <c r="AC4053">
        <v>-15.986800000000001</v>
      </c>
      <c r="AD4053">
        <v>-1.12344542765399</v>
      </c>
      <c r="AE4053">
        <v>-5.6016000000000101</v>
      </c>
      <c r="AF4053">
        <v>-5.4070725828795103</v>
      </c>
      <c r="AG4053">
        <v>-1.12344542765399</v>
      </c>
      <c r="AH4053">
        <v>15.975342260238101</v>
      </c>
      <c r="AI4053">
        <v>93.810939625059802</v>
      </c>
      <c r="AJ4053">
        <v>108.699091131079</v>
      </c>
      <c r="AK4053">
        <v>16.902961985320601</v>
      </c>
      <c r="AL4053">
        <v>82.588651951655095</v>
      </c>
      <c r="AM4053">
        <v>101.832034693317</v>
      </c>
      <c r="AN4053">
        <v>0.99999995936904396</v>
      </c>
    </row>
    <row r="4054" spans="1:40" x14ac:dyDescent="0.25">
      <c r="A4054" t="str">
        <f>"20190303161953133"</f>
        <v>20190303161953133</v>
      </c>
      <c r="B4054" t="str">
        <f>"1551601193126680"</f>
        <v>1551601193126680</v>
      </c>
      <c r="C4054" t="s">
        <v>40</v>
      </c>
      <c r="D4054">
        <v>4.9173960000000001</v>
      </c>
      <c r="E4054">
        <v>0.44636619999999999</v>
      </c>
      <c r="F4054" t="s">
        <v>49</v>
      </c>
      <c r="G4054">
        <v>-478.41950000000003</v>
      </c>
      <c r="H4054">
        <v>8.0000100000000005E-2</v>
      </c>
      <c r="I4054">
        <v>278.9418</v>
      </c>
      <c r="J4054">
        <v>-464.48099999999999</v>
      </c>
      <c r="K4054">
        <v>1.1234729999999999</v>
      </c>
      <c r="L4054">
        <v>283.96609999999998</v>
      </c>
      <c r="M4054">
        <v>-0.99981039999999999</v>
      </c>
      <c r="N4054">
        <v>-1.4483279999999999E-2</v>
      </c>
      <c r="O4054">
        <v>-1.302146E-2</v>
      </c>
      <c r="P4054">
        <v>-0.96895750000000003</v>
      </c>
      <c r="Q4054">
        <v>0.1144067</v>
      </c>
      <c r="R4054">
        <v>-0.2191642</v>
      </c>
      <c r="S4054">
        <v>-2.8913880000000001</v>
      </c>
      <c r="T4054">
        <v>-0.2139703</v>
      </c>
      <c r="U4054">
        <v>-1.0311889999999999</v>
      </c>
      <c r="V4054">
        <v>-0.20709379999999999</v>
      </c>
      <c r="W4054">
        <v>0.12755250000000001</v>
      </c>
      <c r="X4054">
        <v>0.96997040000000001</v>
      </c>
      <c r="Y4054">
        <v>-0.32269239999999999</v>
      </c>
      <c r="Z4054">
        <v>-1.3228449999999999E-2</v>
      </c>
      <c r="AA4054">
        <v>0.94641140000000001</v>
      </c>
      <c r="AB4054">
        <v>21</v>
      </c>
      <c r="AC4054">
        <v>-13.938499999999999</v>
      </c>
      <c r="AD4054">
        <v>-1.0434729</v>
      </c>
      <c r="AE4054">
        <v>-5.0242999999999798</v>
      </c>
      <c r="AF4054">
        <v>-4.8184559728626599</v>
      </c>
      <c r="AG4054">
        <v>-1.0434729</v>
      </c>
      <c r="AH4054">
        <v>13.933638384480901</v>
      </c>
      <c r="AI4054">
        <v>94.048429710510803</v>
      </c>
      <c r="AJ4054">
        <v>109.076134058829</v>
      </c>
      <c r="AK4054">
        <v>14.7801431753867</v>
      </c>
      <c r="AL4054">
        <v>82.671816775443901</v>
      </c>
      <c r="AM4054">
        <v>102.05199767657901</v>
      </c>
      <c r="AN4054">
        <v>1.0000000295654199</v>
      </c>
    </row>
    <row r="4055" spans="1:40" x14ac:dyDescent="0.25">
      <c r="A4055" t="str">
        <f>"20190303161953150"</f>
        <v>20190303161953150</v>
      </c>
      <c r="B4055" t="str">
        <f>"1551601193136440"</f>
        <v>1551601193136440</v>
      </c>
      <c r="C4055" t="s">
        <v>40</v>
      </c>
      <c r="D4055">
        <v>4.8826599999999996</v>
      </c>
      <c r="E4055">
        <v>0.44640730000000001</v>
      </c>
      <c r="F4055" t="s">
        <v>49</v>
      </c>
      <c r="G4055">
        <v>-478.24110000000002</v>
      </c>
      <c r="H4055">
        <v>8.0000130000000003E-2</v>
      </c>
      <c r="I4055">
        <v>278.96710000000002</v>
      </c>
      <c r="J4055">
        <v>-464.62900000000002</v>
      </c>
      <c r="K4055">
        <v>1.1234869999999999</v>
      </c>
      <c r="L4055">
        <v>283.96170000000001</v>
      </c>
      <c r="M4055">
        <v>-0.99977919999999998</v>
      </c>
      <c r="N4055">
        <v>-1.4476499999999899E-2</v>
      </c>
      <c r="O4055">
        <v>-1.523447E-2</v>
      </c>
      <c r="P4055">
        <v>-0.96705600000000003</v>
      </c>
      <c r="Q4055">
        <v>0.1118938</v>
      </c>
      <c r="R4055">
        <v>-0.228654</v>
      </c>
      <c r="S4055">
        <v>-2.884827</v>
      </c>
      <c r="T4055">
        <v>-0.21876409999999999</v>
      </c>
      <c r="U4055">
        <v>-1.048035</v>
      </c>
      <c r="V4055">
        <v>-0.21445900000000001</v>
      </c>
      <c r="W4055">
        <v>0.12496409999999999</v>
      </c>
      <c r="X4055">
        <v>0.96870599999999996</v>
      </c>
      <c r="Y4055">
        <v>-0.32612160000000001</v>
      </c>
      <c r="Z4055">
        <v>-1.3500450000000001E-2</v>
      </c>
      <c r="AA4055">
        <v>0.94523140000000005</v>
      </c>
      <c r="AB4055">
        <v>21</v>
      </c>
      <c r="AC4055">
        <v>-13.6120999999999</v>
      </c>
      <c r="AD4055">
        <v>-1.04348687</v>
      </c>
      <c r="AE4055">
        <v>-4.9945999999999904</v>
      </c>
      <c r="AF4055">
        <v>-4.7619619230163304</v>
      </c>
      <c r="AG4055">
        <v>-1.04348687</v>
      </c>
      <c r="AH4055">
        <v>13.616096614027599</v>
      </c>
      <c r="AI4055">
        <v>94.137561657719104</v>
      </c>
      <c r="AJ4055">
        <v>109.27628014658799</v>
      </c>
      <c r="AK4055">
        <v>14.4624767314127</v>
      </c>
      <c r="AL4055">
        <v>82.821317405068299</v>
      </c>
      <c r="AM4055">
        <v>102.483201709621</v>
      </c>
      <c r="AN4055">
        <v>1.0000000017029</v>
      </c>
    </row>
    <row r="4056" spans="1:40" x14ac:dyDescent="0.25">
      <c r="A4056" t="str">
        <f>"20190303161953171"</f>
        <v>20190303161953171</v>
      </c>
      <c r="B4056" t="str">
        <f>"1551601193166699"</f>
        <v>1551601193166699</v>
      </c>
      <c r="C4056" t="s">
        <v>40</v>
      </c>
      <c r="D4056">
        <v>4.8991360000000004</v>
      </c>
      <c r="E4056">
        <v>0.44637460000000001</v>
      </c>
      <c r="F4056" t="s">
        <v>49</v>
      </c>
      <c r="G4056">
        <v>-477.86149999999998</v>
      </c>
      <c r="H4056">
        <v>8.0000269999999998E-2</v>
      </c>
      <c r="I4056">
        <v>279.00990000000002</v>
      </c>
      <c r="J4056">
        <v>-464.83870000000002</v>
      </c>
      <c r="K4056">
        <v>1.123526</v>
      </c>
      <c r="L4056">
        <v>283.9547</v>
      </c>
      <c r="M4056">
        <v>-0.99972499999999997</v>
      </c>
      <c r="N4056">
        <v>-1.446266E-2</v>
      </c>
      <c r="O4056">
        <v>-1.8465530000000001E-2</v>
      </c>
      <c r="P4056">
        <v>-0.9650976</v>
      </c>
      <c r="Q4056">
        <v>0.1106414</v>
      </c>
      <c r="R4056">
        <v>-0.23737179999999999</v>
      </c>
      <c r="S4056">
        <v>-2.8740839999999999</v>
      </c>
      <c r="T4056">
        <v>-0.2266454</v>
      </c>
      <c r="U4056">
        <v>-1.075531</v>
      </c>
      <c r="V4056">
        <v>-0.22008440000000001</v>
      </c>
      <c r="W4056">
        <v>0.1236284</v>
      </c>
      <c r="X4056">
        <v>0.96761509999999995</v>
      </c>
      <c r="Y4056">
        <v>-0.33207049999999999</v>
      </c>
      <c r="Z4056">
        <v>-1.398368E-2</v>
      </c>
      <c r="AA4056">
        <v>0.94315090000000001</v>
      </c>
      <c r="AB4056">
        <v>21</v>
      </c>
      <c r="AC4056">
        <v>-13.022799999999901</v>
      </c>
      <c r="AD4056">
        <v>-1.04352573</v>
      </c>
      <c r="AE4056">
        <v>-4.9447999999999803</v>
      </c>
      <c r="AF4056">
        <v>-4.6772109324630504</v>
      </c>
      <c r="AG4056">
        <v>-1.04352573</v>
      </c>
      <c r="AH4056">
        <v>13.0387257669828</v>
      </c>
      <c r="AI4056">
        <v>94.308103466546896</v>
      </c>
      <c r="AJ4056">
        <v>109.73376674302401</v>
      </c>
      <c r="AK4056">
        <v>13.891494436615</v>
      </c>
      <c r="AL4056">
        <v>82.8984458670447</v>
      </c>
      <c r="AM4056">
        <v>102.813943257185</v>
      </c>
      <c r="AN4056">
        <v>1.0000000530789599</v>
      </c>
    </row>
    <row r="4057" spans="1:40" x14ac:dyDescent="0.25">
      <c r="A4057" t="str">
        <f>"20190303161953195"</f>
        <v>20190303161953195</v>
      </c>
      <c r="B4057" t="str">
        <f>"1551601193186215"</f>
        <v>1551601193186215</v>
      </c>
      <c r="C4057" t="s">
        <v>40</v>
      </c>
      <c r="D4057">
        <v>4.8835470000000001</v>
      </c>
      <c r="E4057">
        <v>0.44656109999999999</v>
      </c>
      <c r="F4057" t="s">
        <v>49</v>
      </c>
      <c r="G4057">
        <v>-477.79239999999999</v>
      </c>
      <c r="H4057">
        <v>8.0000329999999995E-2</v>
      </c>
      <c r="I4057">
        <v>278.96589999999998</v>
      </c>
      <c r="J4057">
        <v>-465.04700000000003</v>
      </c>
      <c r="K4057">
        <v>1.1235869999999999</v>
      </c>
      <c r="L4057">
        <v>283.947</v>
      </c>
      <c r="M4057">
        <v>-0.99965800000000005</v>
      </c>
      <c r="N4057">
        <v>-1.444733E-2</v>
      </c>
      <c r="O4057">
        <v>-2.179735E-2</v>
      </c>
      <c r="P4057">
        <v>-0.9635648</v>
      </c>
      <c r="Q4057">
        <v>0.1096471</v>
      </c>
      <c r="R4057">
        <v>-0.24396799999999999</v>
      </c>
      <c r="S4057">
        <v>-2.8637389999999998</v>
      </c>
      <c r="T4057">
        <v>-0.23069580000000001</v>
      </c>
      <c r="U4057">
        <v>-1.102905</v>
      </c>
      <c r="V4057">
        <v>-0.2234959</v>
      </c>
      <c r="W4057">
        <v>0.1225585</v>
      </c>
      <c r="X4057">
        <v>0.96696899999999997</v>
      </c>
      <c r="Y4057">
        <v>-0.33786559999999999</v>
      </c>
      <c r="Z4057">
        <v>-1.4261650000000001E-2</v>
      </c>
      <c r="AA4057">
        <v>0.94108630000000004</v>
      </c>
      <c r="AB4057">
        <v>21</v>
      </c>
      <c r="AC4057">
        <v>-12.7454</v>
      </c>
      <c r="AD4057">
        <v>-1.04358667</v>
      </c>
      <c r="AE4057">
        <v>-4.9811000000000201</v>
      </c>
      <c r="AF4057">
        <v>-4.6748825045850904</v>
      </c>
      <c r="AG4057">
        <v>-1.04358667</v>
      </c>
      <c r="AH4057">
        <v>12.776649064926</v>
      </c>
      <c r="AI4057">
        <v>94.386332264524398</v>
      </c>
      <c r="AJ4057">
        <v>110.09720354506899</v>
      </c>
      <c r="AK4057">
        <v>13.645012308449999</v>
      </c>
      <c r="AL4057">
        <v>82.960216182959797</v>
      </c>
      <c r="AM4057">
        <v>103.01426062366799</v>
      </c>
      <c r="AN4057">
        <v>1.0000000251000201</v>
      </c>
    </row>
    <row r="4058" spans="1:40" x14ac:dyDescent="0.25">
      <c r="A4058" t="str">
        <f>"20190303161953217"</f>
        <v>20190303161953217</v>
      </c>
      <c r="B4058" t="str">
        <f>"1551601193206712"</f>
        <v>1551601193206712</v>
      </c>
      <c r="C4058" t="s">
        <v>40</v>
      </c>
      <c r="D4058">
        <v>4.9487930000000002</v>
      </c>
      <c r="E4058">
        <v>0.446959</v>
      </c>
      <c r="F4058" t="s">
        <v>49</v>
      </c>
      <c r="G4058">
        <v>-477.8467</v>
      </c>
      <c r="H4058">
        <v>8.0000329999999995E-2</v>
      </c>
      <c r="I4058">
        <v>278.91000000000003</v>
      </c>
      <c r="J4058">
        <v>-465.2552</v>
      </c>
      <c r="K4058">
        <v>1.1236729999999999</v>
      </c>
      <c r="L4058">
        <v>283.93849999999998</v>
      </c>
      <c r="M4058">
        <v>-0.99957600000000002</v>
      </c>
      <c r="N4058">
        <v>-1.4433710000000001E-2</v>
      </c>
      <c r="O4058">
        <v>-2.5284750000000002E-2</v>
      </c>
      <c r="P4058">
        <v>-0.96216060000000003</v>
      </c>
      <c r="Q4058">
        <v>0.1089436</v>
      </c>
      <c r="R4058">
        <v>-0.24975620000000001</v>
      </c>
      <c r="S4058">
        <v>-2.8554379999999999</v>
      </c>
      <c r="T4058">
        <v>-0.2328103</v>
      </c>
      <c r="U4058">
        <v>-1.123688</v>
      </c>
      <c r="V4058">
        <v>-0.22595899999999999</v>
      </c>
      <c r="W4058">
        <v>0.1217762</v>
      </c>
      <c r="X4058">
        <v>0.96649529999999995</v>
      </c>
      <c r="Y4058">
        <v>-0.341418</v>
      </c>
      <c r="Z4058">
        <v>-1.432461E-2</v>
      </c>
      <c r="AA4058">
        <v>0.93980240000000004</v>
      </c>
      <c r="AB4058">
        <v>21</v>
      </c>
      <c r="AC4058">
        <v>-12.5914999999999</v>
      </c>
      <c r="AD4058">
        <v>-1.0436726700000001</v>
      </c>
      <c r="AE4058">
        <v>-5.0284999999999496</v>
      </c>
      <c r="AF4058">
        <v>-4.68075115404028</v>
      </c>
      <c r="AG4058">
        <v>-1.0436726700000001</v>
      </c>
      <c r="AH4058">
        <v>12.639737274091299</v>
      </c>
      <c r="AI4058">
        <v>94.427685443965103</v>
      </c>
      <c r="AJ4058">
        <v>110.32061344672999</v>
      </c>
      <c r="AK4058">
        <v>13.518936436207101</v>
      </c>
      <c r="AL4058">
        <v>83.005377043260793</v>
      </c>
      <c r="AM4058">
        <v>103.15894988746</v>
      </c>
      <c r="AN4058">
        <v>1.0000000387447601</v>
      </c>
    </row>
    <row r="4059" spans="1:40" x14ac:dyDescent="0.25">
      <c r="A4059" t="str">
        <f>"20190303161953239"</f>
        <v>20190303161953239</v>
      </c>
      <c r="B4059" t="str">
        <f>"1551601193226231"</f>
        <v>1551601193226231</v>
      </c>
      <c r="C4059" t="s">
        <v>40</v>
      </c>
      <c r="D4059">
        <v>4.9972969999999997</v>
      </c>
      <c r="E4059">
        <v>0.44741199999999998</v>
      </c>
      <c r="F4059" t="s">
        <v>49</v>
      </c>
      <c r="G4059">
        <v>-478.03289999999998</v>
      </c>
      <c r="H4059">
        <v>8.0000299999999996E-2</v>
      </c>
      <c r="I4059">
        <v>278.82080000000002</v>
      </c>
      <c r="J4059">
        <v>-465.46699999999998</v>
      </c>
      <c r="K4059">
        <v>1.1238060000000001</v>
      </c>
      <c r="L4059">
        <v>283.92880000000002</v>
      </c>
      <c r="M4059">
        <v>-0.99947390000000003</v>
      </c>
      <c r="N4059">
        <v>-1.442337E-2</v>
      </c>
      <c r="O4059">
        <v>-2.9050289999999999E-2</v>
      </c>
      <c r="P4059">
        <v>-0.96126180000000006</v>
      </c>
      <c r="Q4059">
        <v>0.10881200000000001</v>
      </c>
      <c r="R4059">
        <v>-0.25324999999999998</v>
      </c>
      <c r="S4059">
        <v>-2.848236</v>
      </c>
      <c r="T4059">
        <v>-0.23264280000000001</v>
      </c>
      <c r="U4059">
        <v>-1.1407780000000001</v>
      </c>
      <c r="V4059">
        <v>-0.22586239999999999</v>
      </c>
      <c r="W4059">
        <v>0.12157129999999999</v>
      </c>
      <c r="X4059">
        <v>0.96654359999999995</v>
      </c>
      <c r="Y4059">
        <v>-0.34355649999999999</v>
      </c>
      <c r="Z4059">
        <v>-1.418905E-2</v>
      </c>
      <c r="AA4059">
        <v>0.93902479999999999</v>
      </c>
      <c r="AB4059">
        <v>21</v>
      </c>
      <c r="AC4059">
        <v>-12.565899999999999</v>
      </c>
      <c r="AD4059">
        <v>-1.0438056999999901</v>
      </c>
      <c r="AE4059">
        <v>-5.1079999999999997</v>
      </c>
      <c r="AF4059">
        <v>-4.7128552164865098</v>
      </c>
      <c r="AG4059">
        <v>-1.0438056999999901</v>
      </c>
      <c r="AH4059">
        <v>12.6341855825509</v>
      </c>
      <c r="AI4059">
        <v>94.426291333554403</v>
      </c>
      <c r="AJ4059">
        <v>110.456725608342</v>
      </c>
      <c r="AK4059">
        <v>13.5249096102434</v>
      </c>
      <c r="AL4059">
        <v>83.017204328227294</v>
      </c>
      <c r="AM4059">
        <v>103.152885459365</v>
      </c>
      <c r="AN4059">
        <v>0.99999996770920396</v>
      </c>
    </row>
    <row r="4060" spans="1:40" x14ac:dyDescent="0.25">
      <c r="A4060" t="str">
        <f>"20190303161953257"</f>
        <v>20190303161953257</v>
      </c>
      <c r="B4060" t="str">
        <f>"1551601193246728"</f>
        <v>1551601193246728</v>
      </c>
      <c r="C4060" t="s">
        <v>40</v>
      </c>
      <c r="D4060">
        <v>4.9783269999999904</v>
      </c>
      <c r="E4060">
        <v>0.4478471</v>
      </c>
      <c r="F4060" t="s">
        <v>49</v>
      </c>
      <c r="G4060">
        <v>-478.55759999999998</v>
      </c>
      <c r="H4060">
        <v>8.0000169999999995E-2</v>
      </c>
      <c r="I4060">
        <v>278.63229999999999</v>
      </c>
      <c r="J4060">
        <v>-465.62009999999998</v>
      </c>
      <c r="K4060">
        <v>1.123923</v>
      </c>
      <c r="L4060">
        <v>283.92110000000002</v>
      </c>
      <c r="M4060">
        <v>-0.99938530000000003</v>
      </c>
      <c r="N4060">
        <v>-1.441915E-2</v>
      </c>
      <c r="O4060">
        <v>-3.195978E-2</v>
      </c>
      <c r="P4060">
        <v>-0.96057740000000003</v>
      </c>
      <c r="Q4060">
        <v>0.10923389999999999</v>
      </c>
      <c r="R4060">
        <v>-0.25565529999999997</v>
      </c>
      <c r="S4060">
        <v>-2.8434750000000002</v>
      </c>
      <c r="T4060">
        <v>-0.2267303</v>
      </c>
      <c r="U4060">
        <v>-1.150482</v>
      </c>
      <c r="V4060">
        <v>-0.2255045</v>
      </c>
      <c r="W4060">
        <v>0.1219296</v>
      </c>
      <c r="X4060">
        <v>0.9665821</v>
      </c>
      <c r="Y4060">
        <v>-0.34417609999999998</v>
      </c>
      <c r="Z4060">
        <v>-1.376232E-2</v>
      </c>
      <c r="AA4060">
        <v>0.93880430000000004</v>
      </c>
      <c r="AB4060">
        <v>21</v>
      </c>
      <c r="AC4060">
        <v>-12.9375</v>
      </c>
      <c r="AD4060">
        <v>-1.0439228300000001</v>
      </c>
      <c r="AE4060">
        <v>-5.2888000000000304</v>
      </c>
      <c r="AF4060">
        <v>-4.8455439141153196</v>
      </c>
      <c r="AG4060">
        <v>-1.0439228300000001</v>
      </c>
      <c r="AH4060">
        <v>13.027262550005</v>
      </c>
      <c r="AI4060">
        <v>94.295219429425899</v>
      </c>
      <c r="AJ4060">
        <v>110.402891583231</v>
      </c>
      <c r="AK4060">
        <v>13.9383872899765</v>
      </c>
      <c r="AL4060">
        <v>82.996521832596699</v>
      </c>
      <c r="AM4060">
        <v>103.13226142028699</v>
      </c>
      <c r="AN4060">
        <v>1.0000000314584001</v>
      </c>
    </row>
    <row r="4061" spans="1:40" x14ac:dyDescent="0.25">
      <c r="A4061" t="str">
        <f>"20190303161953273"</f>
        <v>20190303161953273</v>
      </c>
      <c r="B4061" t="str">
        <f>"1551601193266247"</f>
        <v>1551601193266247</v>
      </c>
      <c r="C4061" t="s">
        <v>40</v>
      </c>
      <c r="D4061">
        <v>4.9600229999999996</v>
      </c>
      <c r="E4061">
        <v>0.4481173</v>
      </c>
      <c r="F4061" t="s">
        <v>49</v>
      </c>
      <c r="G4061">
        <v>-479.04770000000002</v>
      </c>
      <c r="H4061">
        <v>7.9999940000000005E-2</v>
      </c>
      <c r="I4061">
        <v>278.45609999999999</v>
      </c>
      <c r="J4061">
        <v>-465.76760000000002</v>
      </c>
      <c r="K4061">
        <v>1.1240589999999999</v>
      </c>
      <c r="L4061">
        <v>283.91300000000001</v>
      </c>
      <c r="M4061">
        <v>-0.99928620000000001</v>
      </c>
      <c r="N4061">
        <v>-1.441767E-2</v>
      </c>
      <c r="O4061">
        <v>-3.4916540000000003E-2</v>
      </c>
      <c r="P4061">
        <v>-0.96057990000000004</v>
      </c>
      <c r="Q4061">
        <v>0.1110532</v>
      </c>
      <c r="R4061">
        <v>-0.25485940000000001</v>
      </c>
      <c r="S4061">
        <v>-2.840576</v>
      </c>
      <c r="T4061">
        <v>-0.2208397</v>
      </c>
      <c r="U4061">
        <v>-1.1560969999999999</v>
      </c>
      <c r="V4061">
        <v>-0.2218918</v>
      </c>
      <c r="W4061">
        <v>0.123708399999999</v>
      </c>
      <c r="X4061">
        <v>0.96719189999999999</v>
      </c>
      <c r="Y4061">
        <v>-0.34338159999999901</v>
      </c>
      <c r="Z4061">
        <v>-1.3276140000000001E-2</v>
      </c>
      <c r="AA4061">
        <v>0.9391022</v>
      </c>
      <c r="AB4061">
        <v>21</v>
      </c>
      <c r="AC4061">
        <v>-13.280099999999999</v>
      </c>
      <c r="AD4061">
        <v>-1.0440590599999999</v>
      </c>
      <c r="AE4061">
        <v>-5.4569000000000099</v>
      </c>
      <c r="AF4061">
        <v>-4.9635811542338404</v>
      </c>
      <c r="AG4061">
        <v>-1.0440590599999999</v>
      </c>
      <c r="AH4061">
        <v>13.3917410607433</v>
      </c>
      <c r="AI4061">
        <v>94.181060570569002</v>
      </c>
      <c r="AJ4061">
        <v>110.33696995087701</v>
      </c>
      <c r="AK4061">
        <v>14.320123108180001</v>
      </c>
      <c r="AL4061">
        <v>82.893826048163703</v>
      </c>
      <c r="AM4061">
        <v>102.92112173328201</v>
      </c>
      <c r="AN4061">
        <v>0.99999995528170305</v>
      </c>
    </row>
    <row r="4062" spans="1:40" x14ac:dyDescent="0.25">
      <c r="A4062" t="str">
        <f>"20190303161953295"</f>
        <v>20190303161953295</v>
      </c>
      <c r="B4062" t="str">
        <f>"1551601193286744"</f>
        <v>1551601193286744</v>
      </c>
      <c r="C4062" t="s">
        <v>40</v>
      </c>
      <c r="D4062">
        <v>4.9679630000000001</v>
      </c>
      <c r="E4062">
        <v>0.44828679999999899</v>
      </c>
      <c r="F4062" t="s">
        <v>49</v>
      </c>
      <c r="G4062">
        <v>-480.6259</v>
      </c>
      <c r="H4062" s="1">
        <v>1.5151520000000001E-6</v>
      </c>
      <c r="I4062">
        <v>277.88310000000001</v>
      </c>
      <c r="J4062">
        <v>-465.9699</v>
      </c>
      <c r="K4062">
        <v>1.1242620000000001</v>
      </c>
      <c r="L4062">
        <v>283.90100000000001</v>
      </c>
      <c r="M4062">
        <v>-0.99912559999999995</v>
      </c>
      <c r="N4062">
        <v>-1.442011E-2</v>
      </c>
      <c r="O4062">
        <v>-3.9246320000000001E-2</v>
      </c>
      <c r="P4062">
        <v>-0.96050679999999999</v>
      </c>
      <c r="Q4062">
        <v>0.1121911</v>
      </c>
      <c r="R4062">
        <v>-0.25463740000000001</v>
      </c>
      <c r="S4062">
        <v>-2.8419490000000001</v>
      </c>
      <c r="T4062">
        <v>-0.21499840000000001</v>
      </c>
      <c r="U4062">
        <v>-1.153351</v>
      </c>
      <c r="V4062">
        <v>-0.21753829999999999</v>
      </c>
      <c r="W4062">
        <v>0.1247839</v>
      </c>
      <c r="X4062">
        <v>0.96804239999999997</v>
      </c>
      <c r="Y4062">
        <v>-0.33844069999999998</v>
      </c>
      <c r="Z4062">
        <v>-1.2534129999999999E-2</v>
      </c>
      <c r="AA4062">
        <v>0.94090419999999997</v>
      </c>
      <c r="AB4062">
        <v>21</v>
      </c>
      <c r="AC4062">
        <v>-14.656000000000001</v>
      </c>
      <c r="AD4062">
        <v>-1.124260484848</v>
      </c>
      <c r="AE4062">
        <v>-6.0178999999999903</v>
      </c>
      <c r="AF4062">
        <v>-5.4107632767080398</v>
      </c>
      <c r="AG4062">
        <v>-1.124260484848</v>
      </c>
      <c r="AH4062">
        <v>14.806354726646401</v>
      </c>
      <c r="AI4062">
        <v>94.079319815641398</v>
      </c>
      <c r="AJ4062">
        <v>110.07408300286799</v>
      </c>
      <c r="AK4062">
        <v>15.8040647039186</v>
      </c>
      <c r="AL4062">
        <v>82.831723624071699</v>
      </c>
      <c r="AM4062">
        <v>102.665102191589</v>
      </c>
      <c r="AN4062">
        <v>1.00000001093192</v>
      </c>
    </row>
    <row r="4063" spans="1:40" x14ac:dyDescent="0.25">
      <c r="A4063" t="str">
        <f>"20190303161953312"</f>
        <v>20190303161953312</v>
      </c>
      <c r="B4063" t="str">
        <f>"1551601193306264"</f>
        <v>1551601193306264</v>
      </c>
      <c r="C4063" t="s">
        <v>40</v>
      </c>
      <c r="D4063">
        <v>4.9747820000000003</v>
      </c>
      <c r="E4063">
        <v>0.44844099999999998</v>
      </c>
      <c r="F4063" t="s">
        <v>49</v>
      </c>
      <c r="G4063">
        <v>-481.18560000000002</v>
      </c>
      <c r="H4063" s="1">
        <v>1.536562E-6</v>
      </c>
      <c r="I4063">
        <v>277.72280000000001</v>
      </c>
      <c r="J4063">
        <v>-466.12079999999997</v>
      </c>
      <c r="K4063">
        <v>1.1244130000000001</v>
      </c>
      <c r="L4063">
        <v>283.89120000000003</v>
      </c>
      <c r="M4063">
        <v>-0.99898480000000001</v>
      </c>
      <c r="N4063">
        <v>-1.442473E-2</v>
      </c>
      <c r="O4063">
        <v>-4.2675169999999998E-2</v>
      </c>
      <c r="P4063">
        <v>-0.96056940000000002</v>
      </c>
      <c r="Q4063">
        <v>0.11143500000000001</v>
      </c>
      <c r="R4063">
        <v>-0.25473249999999997</v>
      </c>
      <c r="S4063">
        <v>-2.8419490000000001</v>
      </c>
      <c r="T4063">
        <v>-0.20998749999999999</v>
      </c>
      <c r="U4063">
        <v>-1.153961</v>
      </c>
      <c r="V4063">
        <v>-0.21434130000000001</v>
      </c>
      <c r="W4063">
        <v>0.1239871</v>
      </c>
      <c r="X4063">
        <v>0.96885759999999999</v>
      </c>
      <c r="Y4063">
        <v>-0.33543659999999997</v>
      </c>
      <c r="Z4063">
        <v>-1.19913E-2</v>
      </c>
      <c r="AA4063">
        <v>0.9419864</v>
      </c>
      <c r="AB4063">
        <v>21</v>
      </c>
      <c r="AC4063">
        <v>-15.0648</v>
      </c>
      <c r="AD4063">
        <v>-1.12441146343799</v>
      </c>
      <c r="AE4063">
        <v>-6.1684000000000099</v>
      </c>
      <c r="AF4063">
        <v>-5.4936095949398798</v>
      </c>
      <c r="AG4063">
        <v>-1.12441146343799</v>
      </c>
      <c r="AH4063">
        <v>15.2416203348899</v>
      </c>
      <c r="AI4063">
        <v>93.970072042993095</v>
      </c>
      <c r="AJ4063">
        <v>109.82092470148299</v>
      </c>
      <c r="AK4063">
        <v>16.240413724830301</v>
      </c>
      <c r="AL4063">
        <v>82.877734297143505</v>
      </c>
      <c r="AM4063">
        <v>102.474674104507</v>
      </c>
      <c r="AN4063">
        <v>1.0000000214649201</v>
      </c>
    </row>
    <row r="4064" spans="1:40" x14ac:dyDescent="0.25">
      <c r="A4064" t="str">
        <f>"20190303161953328"</f>
        <v>20190303161953328</v>
      </c>
      <c r="B4064" t="str">
        <f>"1551601193316999"</f>
        <v>1551601193316999</v>
      </c>
      <c r="C4064" t="s">
        <v>40</v>
      </c>
      <c r="D4064">
        <v>4.9934859999999999</v>
      </c>
      <c r="E4064">
        <v>0.44852029999999898</v>
      </c>
      <c r="F4064" t="s">
        <v>49</v>
      </c>
      <c r="G4064">
        <v>-481.1157</v>
      </c>
      <c r="H4064" s="1">
        <v>1.544714E-6</v>
      </c>
      <c r="I4064">
        <v>277.80430000000001</v>
      </c>
      <c r="J4064">
        <v>-466.27859999999998</v>
      </c>
      <c r="K4064">
        <v>1.124549</v>
      </c>
      <c r="L4064">
        <v>283.8802</v>
      </c>
      <c r="M4064">
        <v>-0.9988167</v>
      </c>
      <c r="N4064">
        <v>-1.443141E-2</v>
      </c>
      <c r="O4064">
        <v>-4.6444680000000002E-2</v>
      </c>
      <c r="P4064">
        <v>-0.96119690000000002</v>
      </c>
      <c r="Q4064">
        <v>0.1098495</v>
      </c>
      <c r="R4064">
        <v>-0.25304959999999999</v>
      </c>
      <c r="S4064">
        <v>-2.841888</v>
      </c>
      <c r="T4064">
        <v>-0.21310309999999999</v>
      </c>
      <c r="U4064">
        <v>-1.1536249999999999</v>
      </c>
      <c r="V4064">
        <v>-0.20900050000000001</v>
      </c>
      <c r="W4064">
        <v>0.1223886</v>
      </c>
      <c r="X4064">
        <v>0.9702267</v>
      </c>
      <c r="Y4064">
        <v>-0.331785</v>
      </c>
      <c r="Z4064">
        <v>-1.1748079999999999E-2</v>
      </c>
      <c r="AA4064">
        <v>0.94328190000000001</v>
      </c>
      <c r="AB4064">
        <v>21</v>
      </c>
      <c r="AC4064">
        <v>-14.8371</v>
      </c>
      <c r="AD4064">
        <v>-1.124547455286</v>
      </c>
      <c r="AE4064">
        <v>-6.0758999999999901</v>
      </c>
      <c r="AF4064">
        <v>-5.3538272787991499</v>
      </c>
      <c r="AG4064">
        <v>-1.124547455286</v>
      </c>
      <c r="AH4064">
        <v>15.0293698817896</v>
      </c>
      <c r="AI4064">
        <v>94.031810474160494</v>
      </c>
      <c r="AJ4064">
        <v>109.60713633037</v>
      </c>
      <c r="AK4064">
        <v>15.994062415598099</v>
      </c>
      <c r="AL4064">
        <v>82.9700244962998</v>
      </c>
      <c r="AM4064">
        <v>102.15655549426801</v>
      </c>
      <c r="AN4064">
        <v>1.0000000139015499</v>
      </c>
    </row>
    <row r="4065" spans="1:40" x14ac:dyDescent="0.25">
      <c r="A4065" t="str">
        <f>"20190303161953352"</f>
        <v>20190303161953352</v>
      </c>
      <c r="B4065" t="str">
        <f>"1551601193346280"</f>
        <v>1551601193346280</v>
      </c>
      <c r="C4065" t="s">
        <v>40</v>
      </c>
      <c r="D4065">
        <v>4.9920640000000001</v>
      </c>
      <c r="E4065">
        <v>0.44880500000000001</v>
      </c>
      <c r="F4065" t="s">
        <v>49</v>
      </c>
      <c r="G4065">
        <v>-481.01179999999999</v>
      </c>
      <c r="H4065" s="1">
        <v>1.5566620000000001E-6</v>
      </c>
      <c r="I4065">
        <v>277.92450000000002</v>
      </c>
      <c r="J4065">
        <v>-466.48869999999999</v>
      </c>
      <c r="K4065">
        <v>1.1247100000000001</v>
      </c>
      <c r="L4065">
        <v>283.86419999999998</v>
      </c>
      <c r="M4065">
        <v>-0.9985541</v>
      </c>
      <c r="N4065">
        <v>-1.444194E-2</v>
      </c>
      <c r="O4065">
        <v>-5.178224E-2</v>
      </c>
      <c r="P4065">
        <v>-0.96125119999999997</v>
      </c>
      <c r="Q4065">
        <v>0.1069522</v>
      </c>
      <c r="R4065">
        <v>-0.25408269999999999</v>
      </c>
      <c r="S4065">
        <v>-2.8432919999999999</v>
      </c>
      <c r="T4065">
        <v>-0.21702170000000001</v>
      </c>
      <c r="U4065">
        <v>-1.149384</v>
      </c>
      <c r="V4065">
        <v>-0.2048625</v>
      </c>
      <c r="W4065">
        <v>0.119460999999999</v>
      </c>
      <c r="X4065">
        <v>0.97147329999999998</v>
      </c>
      <c r="Y4065">
        <v>-0.32536510000000002</v>
      </c>
      <c r="Z4065">
        <v>-1.1307899999999999E-2</v>
      </c>
      <c r="AA4065">
        <v>0.94552080000000005</v>
      </c>
      <c r="AB4065">
        <v>21</v>
      </c>
      <c r="AC4065">
        <v>-14.523099999999999</v>
      </c>
      <c r="AD4065">
        <v>-1.1247084433379999</v>
      </c>
      <c r="AE4065">
        <v>-5.9396999999999496</v>
      </c>
      <c r="AF4065">
        <v>-5.1531360201288203</v>
      </c>
      <c r="AG4065">
        <v>-1.1247084433379999</v>
      </c>
      <c r="AH4065">
        <v>14.7355042691928</v>
      </c>
      <c r="AI4065">
        <v>94.120918746239496</v>
      </c>
      <c r="AJ4065">
        <v>109.27518289385699</v>
      </c>
      <c r="AK4065">
        <v>15.651034023088201</v>
      </c>
      <c r="AL4065">
        <v>83.139003428212106</v>
      </c>
      <c r="AM4065">
        <v>101.907960183206</v>
      </c>
      <c r="AN4065">
        <v>0.99999997352006897</v>
      </c>
    </row>
    <row r="4066" spans="1:40" x14ac:dyDescent="0.25">
      <c r="A4066" t="str">
        <f>"20190303161953373"</f>
        <v>20190303161953373</v>
      </c>
      <c r="B4066" t="str">
        <f>"1551601193366781"</f>
        <v>1551601193366781</v>
      </c>
      <c r="C4066" t="s">
        <v>40</v>
      </c>
      <c r="D4066">
        <v>4.9386839999999896</v>
      </c>
      <c r="E4066">
        <v>0.44886239999999999</v>
      </c>
      <c r="F4066" t="s">
        <v>49</v>
      </c>
      <c r="G4066">
        <v>-480.88499999999999</v>
      </c>
      <c r="H4066" s="1">
        <v>1.5653179999999999E-6</v>
      </c>
      <c r="I4066">
        <v>278.03739999999999</v>
      </c>
      <c r="J4066">
        <v>-466.68439999999998</v>
      </c>
      <c r="K4066">
        <v>1.124838</v>
      </c>
      <c r="L4066">
        <v>283.84789999999998</v>
      </c>
      <c r="M4066">
        <v>-0.99826780000000004</v>
      </c>
      <c r="N4066">
        <v>-1.445225E-2</v>
      </c>
      <c r="O4066">
        <v>-5.703097E-2</v>
      </c>
      <c r="P4066">
        <v>-0.96048500000000003</v>
      </c>
      <c r="Q4066">
        <v>0.1047215</v>
      </c>
      <c r="R4066">
        <v>-0.2578801</v>
      </c>
      <c r="S4066">
        <v>-2.8416139999999999</v>
      </c>
      <c r="T4066">
        <v>-0.222</v>
      </c>
      <c r="U4066">
        <v>-1.1501159999999999</v>
      </c>
      <c r="V4066">
        <v>-0.2036018</v>
      </c>
      <c r="W4066">
        <v>0.11718969999999999</v>
      </c>
      <c r="X4066">
        <v>0.97201479999999996</v>
      </c>
      <c r="Y4066">
        <v>-0.3207816</v>
      </c>
      <c r="Z4066">
        <v>-1.0976410000000001E-2</v>
      </c>
      <c r="AA4066">
        <v>0.94708959999999998</v>
      </c>
      <c r="AB4066">
        <v>21</v>
      </c>
      <c r="AC4066">
        <v>-14.2006</v>
      </c>
      <c r="AD4066">
        <v>-1.1248364346819999</v>
      </c>
      <c r="AE4066">
        <v>-5.8104999999999896</v>
      </c>
      <c r="AF4066">
        <v>-4.9644011961000496</v>
      </c>
      <c r="AG4066">
        <v>-1.1248364346819999</v>
      </c>
      <c r="AH4066">
        <v>14.431334397364701</v>
      </c>
      <c r="AI4066">
        <v>94.215359143871893</v>
      </c>
      <c r="AJ4066">
        <v>108.98329574208699</v>
      </c>
      <c r="AK4066">
        <v>15.302743176606899</v>
      </c>
      <c r="AL4066">
        <v>83.270059861609198</v>
      </c>
      <c r="AM4066">
        <v>101.83034514977599</v>
      </c>
      <c r="AN4066">
        <v>0.999999945084183</v>
      </c>
    </row>
    <row r="4067" spans="1:40" x14ac:dyDescent="0.25">
      <c r="A4067" t="str">
        <f>"20190303161953397"</f>
        <v>20190303161953397</v>
      </c>
      <c r="B4067" t="str">
        <f>"1551601193386296"</f>
        <v>1551601193386296</v>
      </c>
      <c r="C4067" t="s">
        <v>40</v>
      </c>
      <c r="D4067">
        <v>4.948518</v>
      </c>
      <c r="E4067">
        <v>0.44880029999999999</v>
      </c>
      <c r="F4067" t="s">
        <v>49</v>
      </c>
      <c r="G4067">
        <v>-480.6884</v>
      </c>
      <c r="H4067" s="1">
        <v>1.5633430000000001E-6</v>
      </c>
      <c r="I4067">
        <v>278.12520000000001</v>
      </c>
      <c r="J4067">
        <v>-466.89150000000001</v>
      </c>
      <c r="K4067">
        <v>1.124946</v>
      </c>
      <c r="L4067">
        <v>283.82929999999999</v>
      </c>
      <c r="M4067">
        <v>-0.997919</v>
      </c>
      <c r="N4067">
        <v>-1.446302E-2</v>
      </c>
      <c r="O4067">
        <v>-6.2836619999999996E-2</v>
      </c>
      <c r="P4067">
        <v>-0.95916330000000005</v>
      </c>
      <c r="Q4067">
        <v>0.102809999999999</v>
      </c>
      <c r="R4067">
        <v>-0.26350689999999999</v>
      </c>
      <c r="S4067">
        <v>-2.8370060000000001</v>
      </c>
      <c r="T4067">
        <v>-0.2278762</v>
      </c>
      <c r="U4067">
        <v>-1.159332</v>
      </c>
      <c r="V4067">
        <v>-0.20365050000000001</v>
      </c>
      <c r="W4067">
        <v>0.11523559999999999</v>
      </c>
      <c r="X4067">
        <v>0.97223820000000005</v>
      </c>
      <c r="Y4067">
        <v>-0.31842199999999998</v>
      </c>
      <c r="Z4067">
        <v>-1.0720560000000001E-2</v>
      </c>
      <c r="AA4067">
        <v>0.94788839999999996</v>
      </c>
      <c r="AB4067">
        <v>21</v>
      </c>
      <c r="AC4067">
        <v>-13.7968999999999</v>
      </c>
      <c r="AD4067">
        <v>-1.1249444366570001</v>
      </c>
      <c r="AE4067">
        <v>-5.70409999999998</v>
      </c>
      <c r="AF4067">
        <v>-4.7985396122986899</v>
      </c>
      <c r="AG4067">
        <v>-1.1249444366570001</v>
      </c>
      <c r="AH4067">
        <v>14.0483314752361</v>
      </c>
      <c r="AI4067">
        <v>94.333480189653997</v>
      </c>
      <c r="AJ4067">
        <v>108.85881416481701</v>
      </c>
      <c r="AK4067">
        <v>14.8878171547905</v>
      </c>
      <c r="AL4067">
        <v>83.382785347418206</v>
      </c>
      <c r="AM4067">
        <v>101.830452742178</v>
      </c>
      <c r="AN4067">
        <v>0.99999994359842304</v>
      </c>
    </row>
    <row r="4068" spans="1:40" x14ac:dyDescent="0.25">
      <c r="A4068" t="str">
        <f>"20190303161953418"</f>
        <v>20190303161953418</v>
      </c>
      <c r="B4068" t="str">
        <f>"1551601193406792"</f>
        <v>1551601193406792</v>
      </c>
      <c r="C4068" t="s">
        <v>40</v>
      </c>
      <c r="D4068">
        <v>4.9321109999999999</v>
      </c>
      <c r="E4068">
        <v>0.44858979999999998</v>
      </c>
      <c r="F4068" t="s">
        <v>49</v>
      </c>
      <c r="G4068">
        <v>-480.58879999999999</v>
      </c>
      <c r="H4068" s="1">
        <v>1.557549E-6</v>
      </c>
      <c r="I4068">
        <v>278.14249999999998</v>
      </c>
      <c r="J4068">
        <v>-467.08460000000002</v>
      </c>
      <c r="K4068">
        <v>1.1250100000000001</v>
      </c>
      <c r="L4068">
        <v>283.81060000000002</v>
      </c>
      <c r="M4068">
        <v>-0.99755110000000002</v>
      </c>
      <c r="N4068">
        <v>-1.44721E-2</v>
      </c>
      <c r="O4068">
        <v>-6.8428230000000007E-2</v>
      </c>
      <c r="P4068">
        <v>-0.95761949999999996</v>
      </c>
      <c r="Q4068">
        <v>0.100351</v>
      </c>
      <c r="R4068">
        <v>-0.26999060000000003</v>
      </c>
      <c r="S4068">
        <v>-2.8298649999999999</v>
      </c>
      <c r="T4068">
        <v>-0.2324136</v>
      </c>
      <c r="U4068">
        <v>-1.1748959999999999</v>
      </c>
      <c r="V4068">
        <v>-0.20476449999999999</v>
      </c>
      <c r="W4068">
        <v>0.11273950000000001</v>
      </c>
      <c r="X4068">
        <v>0.97229690000000002</v>
      </c>
      <c r="Y4068">
        <v>-0.3183803</v>
      </c>
      <c r="Z4068">
        <v>-1.05221E-2</v>
      </c>
      <c r="AA4068">
        <v>0.94790469999999905</v>
      </c>
      <c r="AB4068">
        <v>20</v>
      </c>
      <c r="AC4068">
        <v>-13.5041999999999</v>
      </c>
      <c r="AD4068">
        <v>-1.1250084424510001</v>
      </c>
      <c r="AE4068">
        <v>-5.6681000000000301</v>
      </c>
      <c r="AF4068">
        <v>-4.7028958245197101</v>
      </c>
      <c r="AG4068">
        <v>-1.1250084424510001</v>
      </c>
      <c r="AH4068">
        <v>13.779132326457299</v>
      </c>
      <c r="AI4068">
        <v>94.4184212220527</v>
      </c>
      <c r="AJ4068">
        <v>108.845063429514</v>
      </c>
      <c r="AK4068">
        <v>14.6029915018085</v>
      </c>
      <c r="AL4068">
        <v>83.526739885600094</v>
      </c>
      <c r="AM4068">
        <v>101.892631357352</v>
      </c>
      <c r="AN4068">
        <v>0.99999997853505396</v>
      </c>
    </row>
    <row r="4069" spans="1:40" x14ac:dyDescent="0.25">
      <c r="A4069" t="str">
        <f>"20190303161953439"</f>
        <v>20190303161953439</v>
      </c>
      <c r="B4069" t="str">
        <f>"1551601193437048"</f>
        <v>1551601193437048</v>
      </c>
      <c r="C4069" t="s">
        <v>40</v>
      </c>
      <c r="D4069">
        <v>4.9574939999999996</v>
      </c>
      <c r="E4069">
        <v>0.44838479999999997</v>
      </c>
      <c r="F4069" t="s">
        <v>49</v>
      </c>
      <c r="G4069">
        <v>-480.25229999999999</v>
      </c>
      <c r="H4069" s="1">
        <v>1.544139E-6</v>
      </c>
      <c r="I4069">
        <v>278.23579999999998</v>
      </c>
      <c r="J4069">
        <v>-467.28129999999999</v>
      </c>
      <c r="K4069">
        <v>1.1250329999999999</v>
      </c>
      <c r="L4069">
        <v>283.7903</v>
      </c>
      <c r="M4069">
        <v>-0.99713470000000004</v>
      </c>
      <c r="N4069">
        <v>-1.447917E-2</v>
      </c>
      <c r="O4069">
        <v>-7.425023E-2</v>
      </c>
      <c r="P4069">
        <v>-0.95581970000000005</v>
      </c>
      <c r="Q4069">
        <v>9.6822340000000007E-2</v>
      </c>
      <c r="R4069">
        <v>-0.27755049999999998</v>
      </c>
      <c r="S4069">
        <v>-2.8213200000000001</v>
      </c>
      <c r="T4069">
        <v>-0.2410457</v>
      </c>
      <c r="U4069">
        <v>-1.194458</v>
      </c>
      <c r="V4069">
        <v>-0.206732</v>
      </c>
      <c r="W4069">
        <v>0.1091782</v>
      </c>
      <c r="X4069">
        <v>0.97228700000000001</v>
      </c>
      <c r="Y4069">
        <v>-0.31939529999999999</v>
      </c>
      <c r="Z4069">
        <v>-1.0461679999999999E-2</v>
      </c>
      <c r="AA4069">
        <v>0.94756379999999996</v>
      </c>
      <c r="AB4069">
        <v>20</v>
      </c>
      <c r="AC4069">
        <v>-12.971</v>
      </c>
      <c r="AD4069">
        <v>-1.125031455861</v>
      </c>
      <c r="AE4069">
        <v>-5.5545000000000098</v>
      </c>
      <c r="AF4069">
        <v>-4.5470577065612998</v>
      </c>
      <c r="AG4069">
        <v>-1.125031455861</v>
      </c>
      <c r="AH4069">
        <v>13.2633374915732</v>
      </c>
      <c r="AI4069">
        <v>94.587489718080704</v>
      </c>
      <c r="AJ4069">
        <v>108.92320532522599</v>
      </c>
      <c r="AK4069">
        <v>14.066184663185901</v>
      </c>
      <c r="AL4069">
        <v>83.732055450279304</v>
      </c>
      <c r="AM4069">
        <v>102.00372216340899</v>
      </c>
      <c r="AN4069">
        <v>1.00000000477412</v>
      </c>
    </row>
    <row r="4070" spans="1:40" x14ac:dyDescent="0.25">
      <c r="A4070" t="str">
        <f>"20190303161953462"</f>
        <v>20190303161953462</v>
      </c>
      <c r="B4070" t="str">
        <f>"1551601193456568"</f>
        <v>1551601193456568</v>
      </c>
      <c r="C4070" t="s">
        <v>40</v>
      </c>
      <c r="D4070">
        <v>4.9337759999999999</v>
      </c>
      <c r="E4070">
        <v>0.44830759999999997</v>
      </c>
      <c r="F4070" t="s">
        <v>49</v>
      </c>
      <c r="G4070">
        <v>-479.88069999999999</v>
      </c>
      <c r="H4070" s="1">
        <v>1.5728560000000001E-6</v>
      </c>
      <c r="I4070">
        <v>278.334</v>
      </c>
      <c r="J4070">
        <v>-467.48390000000001</v>
      </c>
      <c r="K4070">
        <v>1.1250230000000001</v>
      </c>
      <c r="L4070">
        <v>283.7681</v>
      </c>
      <c r="M4070">
        <v>-0.99666330000000003</v>
      </c>
      <c r="N4070">
        <v>-1.448341E-2</v>
      </c>
      <c r="O4070">
        <v>-8.0327460000000003E-2</v>
      </c>
      <c r="P4070">
        <v>-0.95389440000000003</v>
      </c>
      <c r="Q4070">
        <v>9.365772E-2</v>
      </c>
      <c r="R4070">
        <v>-0.28515600000000002</v>
      </c>
      <c r="S4070">
        <v>-2.8106689999999999</v>
      </c>
      <c r="T4070">
        <v>-0.25097079999999999</v>
      </c>
      <c r="U4070">
        <v>-1.2171940000000001</v>
      </c>
      <c r="V4070">
        <v>-0.20850350000000001</v>
      </c>
      <c r="W4070">
        <v>0.1059958</v>
      </c>
      <c r="X4070">
        <v>0.97226089999999998</v>
      </c>
      <c r="Y4070">
        <v>-0.32131169999999998</v>
      </c>
      <c r="Z4070">
        <v>-1.043591E-2</v>
      </c>
      <c r="AA4070">
        <v>0.94691599999999998</v>
      </c>
      <c r="AB4070">
        <v>20</v>
      </c>
      <c r="AC4070">
        <v>-12.396799999999899</v>
      </c>
      <c r="AD4070">
        <v>-1.12502142714399</v>
      </c>
      <c r="AE4070">
        <v>-5.4340999999999999</v>
      </c>
      <c r="AF4070">
        <v>-4.3902986840859901</v>
      </c>
      <c r="AG4070">
        <v>-1.12502142714399</v>
      </c>
      <c r="AH4070">
        <v>12.705511227650801</v>
      </c>
      <c r="AI4070">
        <v>94.783962582370407</v>
      </c>
      <c r="AJ4070">
        <v>109.062224944712</v>
      </c>
      <c r="AK4070">
        <v>13.4896408885849</v>
      </c>
      <c r="AL4070">
        <v>83.915458353184704</v>
      </c>
      <c r="AM4070">
        <v>102.10387753332</v>
      </c>
      <c r="AN4070">
        <v>1.0000000383993399</v>
      </c>
    </row>
    <row r="4071" spans="1:40" x14ac:dyDescent="0.25">
      <c r="A4071" t="str">
        <f>"20190303161953484"</f>
        <v>20190303161953484</v>
      </c>
      <c r="B4071" t="str">
        <f>"1551601193477072"</f>
        <v>1551601193477072</v>
      </c>
      <c r="C4071" t="s">
        <v>40</v>
      </c>
      <c r="D4071">
        <v>4.9194490000000002</v>
      </c>
      <c r="E4071">
        <v>0.4481155</v>
      </c>
      <c r="F4071" t="s">
        <v>49</v>
      </c>
      <c r="G4071">
        <v>-478.76139999999998</v>
      </c>
      <c r="H4071">
        <v>8.0000009999999996E-2</v>
      </c>
      <c r="I4071">
        <v>278.77679999999998</v>
      </c>
      <c r="J4071">
        <v>-467.6814</v>
      </c>
      <c r="K4071">
        <v>1.125</v>
      </c>
      <c r="L4071">
        <v>283.74509999999998</v>
      </c>
      <c r="M4071">
        <v>-0.99616550000000004</v>
      </c>
      <c r="N4071">
        <v>-1.4483859999999999E-2</v>
      </c>
      <c r="O4071">
        <v>-8.6283380000000007E-2</v>
      </c>
      <c r="P4071">
        <v>-0.95206080000000004</v>
      </c>
      <c r="Q4071">
        <v>9.2154089999999994E-2</v>
      </c>
      <c r="R4071">
        <v>-0.29169889999999998</v>
      </c>
      <c r="S4071">
        <v>-2.7999879999999999</v>
      </c>
      <c r="T4071">
        <v>-0.25945940000000001</v>
      </c>
      <c r="U4071">
        <v>-1.2392270000000001</v>
      </c>
      <c r="V4071">
        <v>-0.2093399</v>
      </c>
      <c r="W4071">
        <v>0.10449360000000001</v>
      </c>
      <c r="X4071">
        <v>0.97224370000000004</v>
      </c>
      <c r="Y4071">
        <v>-0.32315840000000001</v>
      </c>
      <c r="Z4071">
        <v>-1.0343659999999999E-2</v>
      </c>
      <c r="AA4071">
        <v>0.94628829999999997</v>
      </c>
      <c r="AB4071">
        <v>20</v>
      </c>
      <c r="AC4071">
        <v>-11.079999999999901</v>
      </c>
      <c r="AD4071">
        <v>-1.04499999</v>
      </c>
      <c r="AE4071">
        <v>-4.9682999999999904</v>
      </c>
      <c r="AF4071">
        <v>-3.9642877985287299</v>
      </c>
      <c r="AG4071">
        <v>-1.04499999</v>
      </c>
      <c r="AH4071">
        <v>11.383092838286499</v>
      </c>
      <c r="AI4071">
        <v>94.954911947904407</v>
      </c>
      <c r="AJ4071">
        <v>109.20123659897899</v>
      </c>
      <c r="AK4071">
        <v>12.0988596691471</v>
      </c>
      <c r="AL4071">
        <v>84.002008271556605</v>
      </c>
      <c r="AM4071">
        <v>102.151200080872</v>
      </c>
      <c r="AN4071">
        <v>0.999999959181329</v>
      </c>
    </row>
    <row r="4072" spans="1:40" x14ac:dyDescent="0.25">
      <c r="A4072" t="str">
        <f>"20190303161953507"</f>
        <v>20190303161953507</v>
      </c>
      <c r="B4072" t="str">
        <f>"1551601193496584"</f>
        <v>1551601193496584</v>
      </c>
      <c r="C4072" t="s">
        <v>40</v>
      </c>
      <c r="D4072">
        <v>4.8895400000000002</v>
      </c>
      <c r="E4072">
        <v>0.44796039999999998</v>
      </c>
      <c r="F4072" t="s">
        <v>49</v>
      </c>
      <c r="G4072">
        <v>-478.8252</v>
      </c>
      <c r="H4072">
        <v>7.9999990000000007E-2</v>
      </c>
      <c r="I4072">
        <v>278.71269999999998</v>
      </c>
      <c r="J4072">
        <v>-467.88229999999999</v>
      </c>
      <c r="K4072">
        <v>1.1249690000000001</v>
      </c>
      <c r="L4072">
        <v>283.72050000000002</v>
      </c>
      <c r="M4072">
        <v>-0.99562200000000001</v>
      </c>
      <c r="N4072">
        <v>-1.4480929999999999E-2</v>
      </c>
      <c r="O4072">
        <v>-9.2342149999999998E-2</v>
      </c>
      <c r="P4072">
        <v>-0.95044019999999996</v>
      </c>
      <c r="Q4072">
        <v>9.3141509999999997E-2</v>
      </c>
      <c r="R4072">
        <v>-0.2966278</v>
      </c>
      <c r="S4072">
        <v>-2.790314</v>
      </c>
      <c r="T4072">
        <v>-0.26165909999999998</v>
      </c>
      <c r="U4072">
        <v>-1.2600709999999999</v>
      </c>
      <c r="V4072">
        <v>-0.2084676</v>
      </c>
      <c r="W4072">
        <v>0.1055079</v>
      </c>
      <c r="X4072">
        <v>0.97232160000000001</v>
      </c>
      <c r="Y4072">
        <v>-0.32449519999999998</v>
      </c>
      <c r="Z4072">
        <v>-1.0034059999999999E-2</v>
      </c>
      <c r="AA4072">
        <v>0.94583410000000001</v>
      </c>
      <c r="AB4072">
        <v>20</v>
      </c>
      <c r="AC4072">
        <v>-10.9429</v>
      </c>
      <c r="AD4072">
        <v>-1.04496901</v>
      </c>
      <c r="AE4072">
        <v>-5.0078000000000298</v>
      </c>
      <c r="AF4072">
        <v>-3.9460493086039801</v>
      </c>
      <c r="AG4072">
        <v>-1.04496901</v>
      </c>
      <c r="AH4072">
        <v>11.2736129662065</v>
      </c>
      <c r="AI4072">
        <v>94.999907358902604</v>
      </c>
      <c r="AJ4072">
        <v>109.29133555081199</v>
      </c>
      <c r="AK4072">
        <v>11.989896358585201</v>
      </c>
      <c r="AL4072">
        <v>83.943570218947102</v>
      </c>
      <c r="AM4072">
        <v>102.10112170742801</v>
      </c>
      <c r="AN4072">
        <v>0.99999997551936404</v>
      </c>
    </row>
    <row r="4073" spans="1:40" x14ac:dyDescent="0.25">
      <c r="A4073" t="str">
        <f>"20190303161953529"</f>
        <v>20190303161953529</v>
      </c>
      <c r="B4073" t="str">
        <f>"1551601193516104"</f>
        <v>1551601193516104</v>
      </c>
      <c r="C4073" t="s">
        <v>40</v>
      </c>
      <c r="D4073">
        <v>4.9867520000000001</v>
      </c>
      <c r="E4073">
        <v>0.44807150000000001</v>
      </c>
      <c r="F4073" t="s">
        <v>49</v>
      </c>
      <c r="G4073">
        <v>-480.03160000000003</v>
      </c>
      <c r="H4073" s="1">
        <v>1.5089479999999999E-6</v>
      </c>
      <c r="I4073">
        <v>278.1472</v>
      </c>
      <c r="J4073">
        <v>-468.07690000000002</v>
      </c>
      <c r="K4073">
        <v>1.124925</v>
      </c>
      <c r="L4073">
        <v>283.69540000000001</v>
      </c>
      <c r="M4073">
        <v>-0.99506260000000002</v>
      </c>
      <c r="N4073">
        <v>-1.4475989999999999E-2</v>
      </c>
      <c r="O4073">
        <v>-9.8188330000000004E-2</v>
      </c>
      <c r="P4073">
        <v>-0.94919010000000004</v>
      </c>
      <c r="Q4073">
        <v>9.4615829999999998E-2</v>
      </c>
      <c r="R4073">
        <v>-0.30014370000000001</v>
      </c>
      <c r="S4073">
        <v>-2.7832029999999999</v>
      </c>
      <c r="T4073">
        <v>-0.25771250000000001</v>
      </c>
      <c r="U4073">
        <v>-1.276764</v>
      </c>
      <c r="V4073">
        <v>-0.20636470000000001</v>
      </c>
      <c r="W4073">
        <v>0.1070246</v>
      </c>
      <c r="X4073">
        <v>0.97260440000000004</v>
      </c>
      <c r="Y4073">
        <v>-0.32458799999999999</v>
      </c>
      <c r="Z4073">
        <v>-9.5262530000000002E-3</v>
      </c>
      <c r="AA4073">
        <v>0.94580750000000002</v>
      </c>
      <c r="AB4073">
        <v>20</v>
      </c>
      <c r="AC4073">
        <v>-11.954700000000001</v>
      </c>
      <c r="AD4073">
        <v>-1.1249234910519901</v>
      </c>
      <c r="AE4073">
        <v>-5.5481999999999996</v>
      </c>
      <c r="AF4073">
        <v>-4.3160058716618703</v>
      </c>
      <c r="AG4073">
        <v>-1.1249234910519901</v>
      </c>
      <c r="AH4073">
        <v>12.3517591715416</v>
      </c>
      <c r="AI4073">
        <v>94.913996529927502</v>
      </c>
      <c r="AJ4073">
        <v>109.260659905437</v>
      </c>
      <c r="AK4073">
        <v>13.132376562401101</v>
      </c>
      <c r="AL4073">
        <v>83.856174910116906</v>
      </c>
      <c r="AM4073">
        <v>101.97921465170501</v>
      </c>
      <c r="AN4073">
        <v>0.99999998665530498</v>
      </c>
    </row>
    <row r="4074" spans="1:40" x14ac:dyDescent="0.25">
      <c r="A4074" t="str">
        <f>"20190303161953552"</f>
        <v>20190303161953552</v>
      </c>
      <c r="B4074" t="str">
        <f>"1551601193546360"</f>
        <v>1551601193546360</v>
      </c>
      <c r="C4074" t="s">
        <v>40</v>
      </c>
      <c r="D4074">
        <v>4.9218599999999997</v>
      </c>
      <c r="E4074">
        <v>0.44840679999999999</v>
      </c>
      <c r="F4074" t="s">
        <v>49</v>
      </c>
      <c r="G4074">
        <v>-480.38440000000003</v>
      </c>
      <c r="H4074" s="1">
        <v>1.512926E-6</v>
      </c>
      <c r="I4074">
        <v>277.99209999999999</v>
      </c>
      <c r="J4074">
        <v>-468.2808</v>
      </c>
      <c r="K4074">
        <v>1.1248750000000001</v>
      </c>
      <c r="L4074">
        <v>283.66800000000001</v>
      </c>
      <c r="M4074">
        <v>-0.99444259999999995</v>
      </c>
      <c r="N4074">
        <v>-1.4469310000000001E-2</v>
      </c>
      <c r="O4074">
        <v>-0.1042825</v>
      </c>
      <c r="P4074">
        <v>-0.94781919999999997</v>
      </c>
      <c r="Q4074">
        <v>9.6489679999999994E-2</v>
      </c>
      <c r="R4074">
        <v>-0.30385659999999998</v>
      </c>
      <c r="S4074">
        <v>-2.7786870000000001</v>
      </c>
      <c r="T4074">
        <v>-0.25397530000000001</v>
      </c>
      <c r="U4074">
        <v>-1.2876590000000001</v>
      </c>
      <c r="V4074">
        <v>-0.2042303</v>
      </c>
      <c r="W4074">
        <v>0.1089408</v>
      </c>
      <c r="X4074">
        <v>0.97284219999999999</v>
      </c>
      <c r="Y4074">
        <v>-0.32248480000000002</v>
      </c>
      <c r="Z4074">
        <v>-8.9040290000000008E-3</v>
      </c>
      <c r="AA4074">
        <v>0.94653279999999995</v>
      </c>
      <c r="AB4074">
        <v>20</v>
      </c>
      <c r="AC4074">
        <v>-12.1036</v>
      </c>
      <c r="AD4074">
        <v>-1.124873487074</v>
      </c>
      <c r="AE4074">
        <v>-5.6759000000000102</v>
      </c>
      <c r="AF4074">
        <v>-4.3518091721099301</v>
      </c>
      <c r="AG4074">
        <v>-1.124873487074</v>
      </c>
      <c r="AH4074">
        <v>12.5407605597936</v>
      </c>
      <c r="AI4074">
        <v>94.843686738406603</v>
      </c>
      <c r="AJ4074">
        <v>109.137448059778</v>
      </c>
      <c r="AK4074">
        <v>13.321946511319499</v>
      </c>
      <c r="AL4074">
        <v>83.745739244797605</v>
      </c>
      <c r="AM4074">
        <v>101.856024462173</v>
      </c>
      <c r="AN4074">
        <v>1.0000000297217799</v>
      </c>
    </row>
    <row r="4075" spans="1:40" x14ac:dyDescent="0.25">
      <c r="A4075" t="str">
        <f>"20190303161953573"</f>
        <v>20190303161953573</v>
      </c>
      <c r="B4075" t="str">
        <f>"1551601193566856"</f>
        <v>1551601193566856</v>
      </c>
      <c r="C4075" t="s">
        <v>40</v>
      </c>
      <c r="D4075">
        <v>5.0523610000000003</v>
      </c>
      <c r="E4075">
        <v>0.44860489999999997</v>
      </c>
      <c r="F4075" t="s">
        <v>49</v>
      </c>
      <c r="G4075">
        <v>-480.86619999999999</v>
      </c>
      <c r="H4075" s="1">
        <v>1.518426E-6</v>
      </c>
      <c r="I4075">
        <v>277.78059999999999</v>
      </c>
      <c r="J4075">
        <v>-468.47070000000002</v>
      </c>
      <c r="K4075">
        <v>1.1248359999999999</v>
      </c>
      <c r="L4075">
        <v>283.6413</v>
      </c>
      <c r="M4075">
        <v>-0.99383500000000002</v>
      </c>
      <c r="N4075">
        <v>-1.446221E-2</v>
      </c>
      <c r="O4075">
        <v>-0.10992209999999999</v>
      </c>
      <c r="P4075">
        <v>-0.94655140000000004</v>
      </c>
      <c r="Q4075">
        <v>9.7925949999999998E-2</v>
      </c>
      <c r="R4075">
        <v>-0.30732890000000002</v>
      </c>
      <c r="S4075">
        <v>-2.774292</v>
      </c>
      <c r="T4075">
        <v>-0.24796309999999999</v>
      </c>
      <c r="U4075">
        <v>-1.2977909999999999</v>
      </c>
      <c r="V4075">
        <v>-0.20228930000000001</v>
      </c>
      <c r="W4075">
        <v>0.11041189999999999</v>
      </c>
      <c r="X4075">
        <v>0.9730818</v>
      </c>
      <c r="Y4075">
        <v>-0.32059009999999999</v>
      </c>
      <c r="Z4075">
        <v>-8.3018929999999994E-3</v>
      </c>
      <c r="AA4075">
        <v>0.94718159999999896</v>
      </c>
      <c r="AB4075">
        <v>20</v>
      </c>
      <c r="AC4075">
        <v>-12.395499999999901</v>
      </c>
      <c r="AD4075">
        <v>-1.1248344815739999</v>
      </c>
      <c r="AE4075">
        <v>-5.8606999999999996</v>
      </c>
      <c r="AF4075">
        <v>-4.4326633069612003</v>
      </c>
      <c r="AG4075">
        <v>-1.1248344815739999</v>
      </c>
      <c r="AH4075">
        <v>12.8779864270217</v>
      </c>
      <c r="AI4075">
        <v>94.721339588229199</v>
      </c>
      <c r="AJ4075">
        <v>108.993703219191</v>
      </c>
      <c r="AK4075">
        <v>13.6658805431034</v>
      </c>
      <c r="AL4075">
        <v>83.660939466951604</v>
      </c>
      <c r="AM4075">
        <v>101.743678382075</v>
      </c>
      <c r="AN4075">
        <v>0.99999996902366906</v>
      </c>
    </row>
    <row r="4076" spans="1:40" x14ac:dyDescent="0.25">
      <c r="A4076" t="str">
        <f>"20190303161953597"</f>
        <v>20190303161953597</v>
      </c>
      <c r="B4076" t="str">
        <f>"1551601193586376"</f>
        <v>1551601193586376</v>
      </c>
      <c r="C4076" t="s">
        <v>40</v>
      </c>
      <c r="D4076">
        <v>5.0542579999999999</v>
      </c>
      <c r="E4076">
        <v>0.4487911</v>
      </c>
      <c r="F4076" t="s">
        <v>49</v>
      </c>
      <c r="G4076">
        <v>-481.34249999999997</v>
      </c>
      <c r="H4076" s="1">
        <v>1.5223569999999999E-6</v>
      </c>
      <c r="I4076">
        <v>277.56310000000002</v>
      </c>
      <c r="J4076">
        <v>-468.67500000000001</v>
      </c>
      <c r="K4076">
        <v>1.12479</v>
      </c>
      <c r="L4076">
        <v>283.61149999999998</v>
      </c>
      <c r="M4076">
        <v>-0.99314950000000002</v>
      </c>
      <c r="N4076">
        <v>-1.4454059999999999E-2</v>
      </c>
      <c r="O4076">
        <v>-0.1159544</v>
      </c>
      <c r="P4076">
        <v>-0.94489880000000004</v>
      </c>
      <c r="Q4076">
        <v>9.9907170000000003E-2</v>
      </c>
      <c r="R4076">
        <v>-0.311745099999999</v>
      </c>
      <c r="S4076">
        <v>-2.7697750000000001</v>
      </c>
      <c r="T4076">
        <v>-0.24204400000000001</v>
      </c>
      <c r="U4076">
        <v>-1.307922</v>
      </c>
      <c r="V4076">
        <v>-0.20094999999999999</v>
      </c>
      <c r="W4076">
        <v>0.1124168</v>
      </c>
      <c r="X4076">
        <v>0.97312969999999999</v>
      </c>
      <c r="Y4076">
        <v>-0.31832969999999999</v>
      </c>
      <c r="Z4076">
        <v>-7.6827889999999998E-3</v>
      </c>
      <c r="AA4076">
        <v>0.94794889999999998</v>
      </c>
      <c r="AB4076">
        <v>20</v>
      </c>
      <c r="AC4076">
        <v>-12.667499999999899</v>
      </c>
      <c r="AD4076">
        <v>-1.1247884776429999</v>
      </c>
      <c r="AE4076">
        <v>-6.0483999999999503</v>
      </c>
      <c r="AF4076">
        <v>-4.5096325327543898</v>
      </c>
      <c r="AG4076">
        <v>-1.1247884776429999</v>
      </c>
      <c r="AH4076">
        <v>13.1987035981169</v>
      </c>
      <c r="AI4076">
        <v>94.610493173696398</v>
      </c>
      <c r="AJ4076">
        <v>108.86388092498601</v>
      </c>
      <c r="AK4076">
        <v>13.9931308637796</v>
      </c>
      <c r="AL4076">
        <v>83.545347186156405</v>
      </c>
      <c r="AM4076">
        <v>101.667506932686</v>
      </c>
      <c r="AN4076">
        <v>0.99999992622216205</v>
      </c>
    </row>
    <row r="4077" spans="1:40" x14ac:dyDescent="0.25">
      <c r="A4077" t="str">
        <f>"20190303161953620"</f>
        <v>20190303161953620</v>
      </c>
      <c r="B4077" t="str">
        <f>"1551601193606872"</f>
        <v>1551601193606872</v>
      </c>
      <c r="C4077" t="s">
        <v>40</v>
      </c>
      <c r="D4077">
        <v>4.9725250000000001</v>
      </c>
      <c r="E4077">
        <v>0.44897399999999998</v>
      </c>
      <c r="F4077" t="s">
        <v>49</v>
      </c>
      <c r="G4077">
        <v>-481.9237</v>
      </c>
      <c r="H4077" s="1">
        <v>1.5234399999999999E-6</v>
      </c>
      <c r="I4077">
        <v>277.27659999999997</v>
      </c>
      <c r="J4077">
        <v>-468.87040000000002</v>
      </c>
      <c r="K4077">
        <v>1.1247579999999999</v>
      </c>
      <c r="L4077">
        <v>283.58170000000001</v>
      </c>
      <c r="M4077">
        <v>-0.99246230000000002</v>
      </c>
      <c r="N4077">
        <v>-1.444611E-2</v>
      </c>
      <c r="O4077">
        <v>-0.1216954</v>
      </c>
      <c r="P4077">
        <v>-0.9429322</v>
      </c>
      <c r="Q4077">
        <v>0.1008077</v>
      </c>
      <c r="R4077">
        <v>-0.3173588</v>
      </c>
      <c r="S4077">
        <v>-2.763763</v>
      </c>
      <c r="T4077">
        <v>-0.23463819999999999</v>
      </c>
      <c r="U4077">
        <v>-1.3215030000000001</v>
      </c>
      <c r="V4077">
        <v>-0.2011204</v>
      </c>
      <c r="W4077">
        <v>0.1133223</v>
      </c>
      <c r="X4077">
        <v>0.97298960000000001</v>
      </c>
      <c r="Y4077">
        <v>-0.31750460000000003</v>
      </c>
      <c r="Z4077">
        <v>-7.1615350000000001E-3</v>
      </c>
      <c r="AA4077">
        <v>0.94822969999999895</v>
      </c>
      <c r="AB4077">
        <v>20</v>
      </c>
      <c r="AC4077">
        <v>-13.053299999999901</v>
      </c>
      <c r="AD4077">
        <v>-1.12475647656</v>
      </c>
      <c r="AE4077">
        <v>-6.3051000000000403</v>
      </c>
      <c r="AF4077">
        <v>-4.6415922828017004</v>
      </c>
      <c r="AG4077">
        <v>-1.12475647656</v>
      </c>
      <c r="AH4077">
        <v>13.641519684024001</v>
      </c>
      <c r="AI4077">
        <v>94.463244673512193</v>
      </c>
      <c r="AJ4077">
        <v>108.79111739346899</v>
      </c>
      <c r="AK4077">
        <v>14.453391136371501</v>
      </c>
      <c r="AL4077">
        <v>83.493133065040297</v>
      </c>
      <c r="AM4077">
        <v>101.678764262645</v>
      </c>
      <c r="AN4077">
        <v>1.0000000603407999</v>
      </c>
    </row>
    <row r="4078" spans="1:40" x14ac:dyDescent="0.25">
      <c r="A4078" t="str">
        <f>"20190303161953642"</f>
        <v>20190303161953642</v>
      </c>
      <c r="B4078" t="str">
        <f>"1551601193637128"</f>
        <v>1551601193637128</v>
      </c>
      <c r="C4078" t="s">
        <v>40</v>
      </c>
      <c r="D4078">
        <v>5.052289</v>
      </c>
      <c r="E4078">
        <v>0.44903100000000001</v>
      </c>
      <c r="F4078" t="s">
        <v>49</v>
      </c>
      <c r="G4078">
        <v>-482.22070000000002</v>
      </c>
      <c r="H4078" s="1">
        <v>1.520374E-6</v>
      </c>
      <c r="I4078">
        <v>277.1096</v>
      </c>
      <c r="J4078">
        <v>-469.06270000000001</v>
      </c>
      <c r="K4078">
        <v>1.124728</v>
      </c>
      <c r="L4078">
        <v>283.5514</v>
      </c>
      <c r="M4078">
        <v>-0.99175570000000002</v>
      </c>
      <c r="N4078">
        <v>-1.443825E-2</v>
      </c>
      <c r="O4078">
        <v>-0.12732679999999999</v>
      </c>
      <c r="P4078">
        <v>-0.94031149999999997</v>
      </c>
      <c r="Q4078">
        <v>0.1017796</v>
      </c>
      <c r="R4078">
        <v>-0.3247389</v>
      </c>
      <c r="S4078">
        <v>-2.7566220000000001</v>
      </c>
      <c r="T4078">
        <v>-0.2322448</v>
      </c>
      <c r="U4078">
        <v>-1.336395</v>
      </c>
      <c r="V4078">
        <v>-0.2032388</v>
      </c>
      <c r="W4078">
        <v>0.1142764</v>
      </c>
      <c r="X4078">
        <v>0.97243760000000001</v>
      </c>
      <c r="Y4078">
        <v>-0.31726140000000003</v>
      </c>
      <c r="Z4078">
        <v>-6.7607589999999999E-3</v>
      </c>
      <c r="AA4078">
        <v>0.94831399999999999</v>
      </c>
      <c r="AB4078">
        <v>20</v>
      </c>
      <c r="AC4078">
        <v>-13.157999999999999</v>
      </c>
      <c r="AD4078">
        <v>-1.1247264796259999</v>
      </c>
      <c r="AE4078">
        <v>-6.4417999999999997</v>
      </c>
      <c r="AF4078">
        <v>-4.6861972647395698</v>
      </c>
      <c r="AG4078">
        <v>-1.1247264796259999</v>
      </c>
      <c r="AH4078">
        <v>13.7899050111936</v>
      </c>
      <c r="AI4078">
        <v>94.415863865696195</v>
      </c>
      <c r="AJ4078">
        <v>108.76920436717801</v>
      </c>
      <c r="AK4078">
        <v>14.607769668083</v>
      </c>
      <c r="AL4078">
        <v>83.4381092914238</v>
      </c>
      <c r="AM4078">
        <v>101.80485517060499</v>
      </c>
      <c r="AN4078">
        <v>0.99999999565807995</v>
      </c>
    </row>
    <row r="4079" spans="1:40" x14ac:dyDescent="0.25">
      <c r="A4079" t="str">
        <f>"20190303161953663"</f>
        <v>20190303161953663</v>
      </c>
      <c r="B4079" t="str">
        <f>"1551601193656648"</f>
        <v>1551601193656648</v>
      </c>
      <c r="C4079" t="s">
        <v>40</v>
      </c>
      <c r="D4079">
        <v>5.0085899999999999</v>
      </c>
      <c r="E4079">
        <v>0.44908239999999999</v>
      </c>
      <c r="F4079" t="s">
        <v>49</v>
      </c>
      <c r="G4079">
        <v>-482.33949999999999</v>
      </c>
      <c r="H4079" s="1">
        <v>1.5106199999999999E-6</v>
      </c>
      <c r="I4079">
        <v>276.99439999999998</v>
      </c>
      <c r="J4079">
        <v>-469.25400000000002</v>
      </c>
      <c r="K4079">
        <v>1.124701</v>
      </c>
      <c r="L4079">
        <v>283.52010000000001</v>
      </c>
      <c r="M4079">
        <v>-0.99102279999999998</v>
      </c>
      <c r="N4079">
        <v>-1.443031E-2</v>
      </c>
      <c r="O4079">
        <v>-0.132913</v>
      </c>
      <c r="P4079">
        <v>-0.9376118</v>
      </c>
      <c r="Q4079">
        <v>0.10318579999999999</v>
      </c>
      <c r="R4079">
        <v>-0.3320205</v>
      </c>
      <c r="S4079">
        <v>-2.7470699999999999</v>
      </c>
      <c r="T4079">
        <v>-0.23271449999999999</v>
      </c>
      <c r="U4079">
        <v>-1.356689</v>
      </c>
      <c r="V4079">
        <v>-0.20532410000000001</v>
      </c>
      <c r="W4079">
        <v>0.1156657</v>
      </c>
      <c r="X4079">
        <v>0.97183509999999995</v>
      </c>
      <c r="Y4079">
        <v>-0.31886229999999999</v>
      </c>
      <c r="Z4079">
        <v>-6.4869719999999997E-3</v>
      </c>
      <c r="AA4079">
        <v>0.94777880000000003</v>
      </c>
      <c r="AB4079">
        <v>20</v>
      </c>
      <c r="AC4079">
        <v>-13.0854999999999</v>
      </c>
      <c r="AD4079">
        <v>-1.12469948938</v>
      </c>
      <c r="AE4079">
        <v>-6.52570000000002</v>
      </c>
      <c r="AF4079">
        <v>-4.7005670971999596</v>
      </c>
      <c r="AG4079">
        <v>-1.12469948938</v>
      </c>
      <c r="AH4079">
        <v>13.7554395305865</v>
      </c>
      <c r="AI4079">
        <v>94.424226603204104</v>
      </c>
      <c r="AJ4079">
        <v>108.866541304655</v>
      </c>
      <c r="AK4079">
        <v>14.579862710475499</v>
      </c>
      <c r="AL4079">
        <v>83.357976922209701</v>
      </c>
      <c r="AM4079">
        <v>101.92970738083901</v>
      </c>
      <c r="AN4079">
        <v>1.0000000008946499</v>
      </c>
    </row>
    <row r="4080" spans="1:40" x14ac:dyDescent="0.25">
      <c r="A4080" t="str">
        <f>"20190303161953685"</f>
        <v>20190303161953685</v>
      </c>
      <c r="B4080" t="str">
        <f>"1551601193676170"</f>
        <v>1551601193676170</v>
      </c>
      <c r="C4080" t="s">
        <v>40</v>
      </c>
      <c r="D4080">
        <v>5.1901809999999999</v>
      </c>
      <c r="E4080">
        <v>0.44919759999999997</v>
      </c>
      <c r="F4080" t="s">
        <v>49</v>
      </c>
      <c r="G4080">
        <v>-482.52530000000002</v>
      </c>
      <c r="H4080" s="1">
        <v>1.5013900000000001E-6</v>
      </c>
      <c r="I4080">
        <v>276.84840000000003</v>
      </c>
      <c r="J4080">
        <v>-469.4486</v>
      </c>
      <c r="K4080">
        <v>1.1246640000000001</v>
      </c>
      <c r="L4080">
        <v>283.4871</v>
      </c>
      <c r="M4080">
        <v>-0.99024800000000002</v>
      </c>
      <c r="N4080">
        <v>-1.4421679999999999E-2</v>
      </c>
      <c r="O4080">
        <v>-0.13856789999999999</v>
      </c>
      <c r="P4080">
        <v>-0.93488780000000005</v>
      </c>
      <c r="Q4080">
        <v>0.10406650000000001</v>
      </c>
      <c r="R4080">
        <v>-0.33934560000000002</v>
      </c>
      <c r="S4080">
        <v>-2.737762</v>
      </c>
      <c r="T4080">
        <v>-0.23201640000000001</v>
      </c>
      <c r="U4080">
        <v>-1.376312</v>
      </c>
      <c r="V4080">
        <v>-0.2073924</v>
      </c>
      <c r="W4080">
        <v>0.11653330000000001</v>
      </c>
      <c r="X4080">
        <v>0.97129209999999999</v>
      </c>
      <c r="Y4080">
        <v>-0.32017960000000001</v>
      </c>
      <c r="Z4080">
        <v>-6.1835359999999999E-3</v>
      </c>
      <c r="AA4080">
        <v>0.94733670000000003</v>
      </c>
      <c r="AB4080">
        <v>20</v>
      </c>
      <c r="AC4080">
        <v>-13.076700000000001</v>
      </c>
      <c r="AD4080">
        <v>-1.12466249860999</v>
      </c>
      <c r="AE4080">
        <v>-6.6386999999999698</v>
      </c>
      <c r="AF4080">
        <v>-4.7345987461599099</v>
      </c>
      <c r="AG4080">
        <v>-1.12466249860999</v>
      </c>
      <c r="AH4080">
        <v>13.7894309733481</v>
      </c>
      <c r="AI4080">
        <v>94.411029178284906</v>
      </c>
      <c r="AJ4080">
        <v>108.94990007122701</v>
      </c>
      <c r="AK4080">
        <v>14.6229168633228</v>
      </c>
      <c r="AL4080">
        <v>83.307928518560502</v>
      </c>
      <c r="AM4080">
        <v>102.052923488305</v>
      </c>
      <c r="AN4080">
        <v>0.99999998055452899</v>
      </c>
    </row>
    <row r="4081" spans="1:40" x14ac:dyDescent="0.25">
      <c r="A4081" t="str">
        <f>"20190303161953708"</f>
        <v>20190303161953708</v>
      </c>
      <c r="B4081" t="str">
        <f>"1551601193696664"</f>
        <v>1551601193696664</v>
      </c>
      <c r="C4081" t="s">
        <v>40</v>
      </c>
      <c r="D4081">
        <v>5.0414399999999997</v>
      </c>
      <c r="E4081">
        <v>0.4493085</v>
      </c>
      <c r="F4081" t="s">
        <v>49</v>
      </c>
      <c r="G4081">
        <v>-482.74740000000003</v>
      </c>
      <c r="H4081" s="1">
        <v>1.4917949999999999E-6</v>
      </c>
      <c r="I4081">
        <v>276.68200000000002</v>
      </c>
      <c r="J4081">
        <v>-469.64679999999998</v>
      </c>
      <c r="K4081">
        <v>1.124617</v>
      </c>
      <c r="L4081">
        <v>283.45229999999998</v>
      </c>
      <c r="M4081">
        <v>-0.98943159999999997</v>
      </c>
      <c r="N4081">
        <v>-1.4412060000000001E-2</v>
      </c>
      <c r="O4081">
        <v>-0.144282299999999</v>
      </c>
      <c r="P4081">
        <v>-0.93221849999999995</v>
      </c>
      <c r="Q4081">
        <v>0.1041468</v>
      </c>
      <c r="R4081">
        <v>-0.34658640000000002</v>
      </c>
      <c r="S4081">
        <v>-2.7279049999999998</v>
      </c>
      <c r="T4081">
        <v>-0.2306957</v>
      </c>
      <c r="U4081">
        <v>-1.3958740000000001</v>
      </c>
      <c r="V4081">
        <v>-0.20930940000000001</v>
      </c>
      <c r="W4081">
        <v>0.11660860000000001</v>
      </c>
      <c r="X4081">
        <v>0.9708717</v>
      </c>
      <c r="Y4081">
        <v>-0.32149660000000002</v>
      </c>
      <c r="Z4081">
        <v>-5.8740800000000003E-3</v>
      </c>
      <c r="AA4081">
        <v>0.94689250000000003</v>
      </c>
      <c r="AB4081">
        <v>20</v>
      </c>
      <c r="AC4081">
        <v>-13.1006</v>
      </c>
      <c r="AD4081">
        <v>-1.124615508205</v>
      </c>
      <c r="AE4081">
        <v>-6.7702999999999598</v>
      </c>
      <c r="AF4081">
        <v>-4.7812558539535797</v>
      </c>
      <c r="AG4081">
        <v>-1.124615508205</v>
      </c>
      <c r="AH4081">
        <v>13.8598215146726</v>
      </c>
      <c r="AI4081">
        <v>94.386349730708304</v>
      </c>
      <c r="AJ4081">
        <v>109.033021042228</v>
      </c>
      <c r="AK4081">
        <v>14.704414983291301</v>
      </c>
      <c r="AL4081">
        <v>83.303584151402404</v>
      </c>
      <c r="AM4081">
        <v>102.16614039135401</v>
      </c>
      <c r="AN4081">
        <v>0.999999924191602</v>
      </c>
    </row>
    <row r="4082" spans="1:40" x14ac:dyDescent="0.25">
      <c r="A4082" t="str">
        <f>"20190303161953730"</f>
        <v>20190303161953730</v>
      </c>
      <c r="B4082" t="str">
        <f>"1551601193726921"</f>
        <v>1551601193726921</v>
      </c>
      <c r="C4082" t="s">
        <v>40</v>
      </c>
      <c r="D4082">
        <v>5.1888389999999998</v>
      </c>
      <c r="E4082">
        <v>0.44940099999999999</v>
      </c>
      <c r="F4082" t="s">
        <v>49</v>
      </c>
      <c r="G4082">
        <v>-482.82220000000001</v>
      </c>
      <c r="H4082" s="1">
        <v>1.482377E-6</v>
      </c>
      <c r="I4082">
        <v>276.59089999999998</v>
      </c>
      <c r="J4082">
        <v>-469.83550000000002</v>
      </c>
      <c r="K4082">
        <v>1.1245780000000001</v>
      </c>
      <c r="L4082">
        <v>283.41820000000001</v>
      </c>
      <c r="M4082">
        <v>-0.98862799999999995</v>
      </c>
      <c r="N4082">
        <v>-1.440249E-2</v>
      </c>
      <c r="O4082">
        <v>-0.149691299999999</v>
      </c>
      <c r="P4082">
        <v>-0.93001940000000005</v>
      </c>
      <c r="Q4082">
        <v>0.1040172</v>
      </c>
      <c r="R4082">
        <v>-0.3524832</v>
      </c>
      <c r="S4082">
        <v>-2.7178339999999999</v>
      </c>
      <c r="T4082">
        <v>-0.23198630000000001</v>
      </c>
      <c r="U4082">
        <v>-1.415375</v>
      </c>
      <c r="V4082">
        <v>-0.21013319999999999</v>
      </c>
      <c r="W4082">
        <v>0.11648600000000001</v>
      </c>
      <c r="X4082">
        <v>0.97070849999999997</v>
      </c>
      <c r="Y4082">
        <v>-0.32309749999999998</v>
      </c>
      <c r="Z4082">
        <v>-5.6134030000000003E-3</v>
      </c>
      <c r="AA4082">
        <v>0.946349</v>
      </c>
      <c r="AB4082">
        <v>20</v>
      </c>
      <c r="AC4082">
        <v>-12.9866999999999</v>
      </c>
      <c r="AD4082">
        <v>-1.124576517623</v>
      </c>
      <c r="AE4082">
        <v>-6.8273000000000303</v>
      </c>
      <c r="AF4082">
        <v>-4.7780909743228799</v>
      </c>
      <c r="AG4082">
        <v>-1.124576517623</v>
      </c>
      <c r="AH4082">
        <v>13.7814738088603</v>
      </c>
      <c r="AI4082">
        <v>94.408686326417595</v>
      </c>
      <c r="AJ4082">
        <v>109.121631703289</v>
      </c>
      <c r="AK4082">
        <v>14.629553856737999</v>
      </c>
      <c r="AL4082">
        <v>83.310657127949597</v>
      </c>
      <c r="AM4082">
        <v>102.214580967001</v>
      </c>
      <c r="AN4082">
        <v>0.99999997095524396</v>
      </c>
    </row>
    <row r="4083" spans="1:40" x14ac:dyDescent="0.25">
      <c r="A4083" t="str">
        <f>"20190303161953753"</f>
        <v>20190303161953753</v>
      </c>
      <c r="B4083" t="str">
        <f>"1551601193746440"</f>
        <v>1551601193746440</v>
      </c>
      <c r="C4083" t="s">
        <v>40</v>
      </c>
      <c r="D4083">
        <v>5.0372379999999897</v>
      </c>
      <c r="E4083">
        <v>0.44951069999999999</v>
      </c>
      <c r="F4083" t="s">
        <v>49</v>
      </c>
      <c r="G4083">
        <v>-482.81580000000002</v>
      </c>
      <c r="H4083" s="1">
        <v>1.476515E-6</v>
      </c>
      <c r="I4083">
        <v>276.5609</v>
      </c>
      <c r="J4083">
        <v>-470.02780000000001</v>
      </c>
      <c r="K4083">
        <v>1.124533</v>
      </c>
      <c r="L4083">
        <v>283.38240000000002</v>
      </c>
      <c r="M4083">
        <v>-0.98778469999999996</v>
      </c>
      <c r="N4083">
        <v>-1.439241E-2</v>
      </c>
      <c r="O4083">
        <v>-0.155159299999999</v>
      </c>
      <c r="P4083">
        <v>-0.92840699999999998</v>
      </c>
      <c r="Q4083">
        <v>0.1053391</v>
      </c>
      <c r="R4083">
        <v>-0.35632069999999999</v>
      </c>
      <c r="S4083">
        <v>-2.7094420000000001</v>
      </c>
      <c r="T4083">
        <v>-0.2347388</v>
      </c>
      <c r="U4083">
        <v>-1.4313659999999999</v>
      </c>
      <c r="V4083">
        <v>-0.2087869</v>
      </c>
      <c r="W4083">
        <v>0.1178342</v>
      </c>
      <c r="X4083">
        <v>0.97083629999999999</v>
      </c>
      <c r="Y4083">
        <v>-0.32343300000000003</v>
      </c>
      <c r="Z4083">
        <v>-5.2871019999999897E-3</v>
      </c>
      <c r="AA4083">
        <v>0.94623630000000003</v>
      </c>
      <c r="AB4083">
        <v>20</v>
      </c>
      <c r="AC4083">
        <v>-12.788</v>
      </c>
      <c r="AD4083">
        <v>-1.124531523485</v>
      </c>
      <c r="AE4083">
        <v>-6.8215000000000101</v>
      </c>
      <c r="AF4083">
        <v>-4.7260380788685996</v>
      </c>
      <c r="AG4083">
        <v>-1.124531523485</v>
      </c>
      <c r="AH4083">
        <v>13.6096981523556</v>
      </c>
      <c r="AI4083">
        <v>94.463170485438596</v>
      </c>
      <c r="AJ4083">
        <v>109.14982222637001</v>
      </c>
      <c r="AK4083">
        <v>14.450740149503</v>
      </c>
      <c r="AL4083">
        <v>83.232875431485496</v>
      </c>
      <c r="AM4083">
        <v>102.13710085499</v>
      </c>
      <c r="AN4083">
        <v>0.99999999484947</v>
      </c>
    </row>
    <row r="4084" spans="1:40" x14ac:dyDescent="0.25">
      <c r="A4084" t="str">
        <f>"20190303161953774"</f>
        <v>20190303161953774</v>
      </c>
      <c r="B4084" t="str">
        <f>"1551601193766937"</f>
        <v>1551601193766937</v>
      </c>
      <c r="C4084" t="s">
        <v>40</v>
      </c>
      <c r="D4084">
        <v>4.9937820000000004</v>
      </c>
      <c r="E4084">
        <v>0.4496348</v>
      </c>
      <c r="F4084" t="s">
        <v>49</v>
      </c>
      <c r="G4084">
        <v>-483.20589999999999</v>
      </c>
      <c r="H4084" s="1">
        <v>1.473004E-6</v>
      </c>
      <c r="I4084">
        <v>276.34449999999998</v>
      </c>
      <c r="J4084">
        <v>-470.21820000000002</v>
      </c>
      <c r="K4084">
        <v>1.124501</v>
      </c>
      <c r="L4084">
        <v>283.346</v>
      </c>
      <c r="M4084">
        <v>-0.98692670000000005</v>
      </c>
      <c r="N4084">
        <v>-1.438236E-2</v>
      </c>
      <c r="O4084">
        <v>-0.16052649999999999</v>
      </c>
      <c r="P4084">
        <v>-0.92778579999999999</v>
      </c>
      <c r="Q4084">
        <v>0.10722370000000001</v>
      </c>
      <c r="R4084">
        <v>-0.3573749</v>
      </c>
      <c r="S4084">
        <v>-2.7033999999999998</v>
      </c>
      <c r="T4084">
        <v>-0.23068930000000001</v>
      </c>
      <c r="U4084">
        <v>-1.4437869999999999</v>
      </c>
      <c r="V4084">
        <v>-0.20463799999999999</v>
      </c>
      <c r="W4084">
        <v>0.11977110000000001</v>
      </c>
      <c r="X4084">
        <v>0.97148250000000003</v>
      </c>
      <c r="Y4084">
        <v>-0.32258779999999998</v>
      </c>
      <c r="Z4084">
        <v>-4.892169E-3</v>
      </c>
      <c r="AA4084">
        <v>0.94652689999999995</v>
      </c>
      <c r="AB4084">
        <v>20</v>
      </c>
      <c r="AC4084">
        <v>-12.987699999999901</v>
      </c>
      <c r="AD4084">
        <v>-1.1244995269960001</v>
      </c>
      <c r="AE4084">
        <v>-7.0015000000000196</v>
      </c>
      <c r="AF4084">
        <v>-4.7977293864583404</v>
      </c>
      <c r="AG4084">
        <v>-1.1244995269960001</v>
      </c>
      <c r="AH4084">
        <v>13.8627563162829</v>
      </c>
      <c r="AI4084">
        <v>94.383470785674803</v>
      </c>
      <c r="AJ4084">
        <v>109.09010732822</v>
      </c>
      <c r="AK4084">
        <v>14.7125361218432</v>
      </c>
      <c r="AL4084">
        <v>83.121107960921506</v>
      </c>
      <c r="AM4084">
        <v>101.895173274139</v>
      </c>
      <c r="AN4084">
        <v>1.0000000376227201</v>
      </c>
    </row>
    <row r="4085" spans="1:40" x14ac:dyDescent="0.25">
      <c r="A4085" t="str">
        <f>"20190303161953798"</f>
        <v>20190303161953798</v>
      </c>
      <c r="B4085" t="str">
        <f>"1551601193786456"</f>
        <v>1551601193786456</v>
      </c>
      <c r="C4085" t="s">
        <v>40</v>
      </c>
      <c r="D4085">
        <v>4.9549409999999998</v>
      </c>
      <c r="E4085">
        <v>0.44975999999999999</v>
      </c>
      <c r="F4085" t="s">
        <v>49</v>
      </c>
      <c r="G4085">
        <v>-483.76400000000001</v>
      </c>
      <c r="H4085" s="1">
        <v>1.4761120000000001E-6</v>
      </c>
      <c r="I4085">
        <v>276.08109999999999</v>
      </c>
      <c r="J4085">
        <v>-470.41239999999999</v>
      </c>
      <c r="K4085">
        <v>1.124458</v>
      </c>
      <c r="L4085">
        <v>283.30790000000002</v>
      </c>
      <c r="M4085">
        <v>-0.98603010000000002</v>
      </c>
      <c r="N4085">
        <v>-1.437197E-2</v>
      </c>
      <c r="O4085">
        <v>-0.1659465</v>
      </c>
      <c r="P4085">
        <v>-0.92738949999999998</v>
      </c>
      <c r="Q4085">
        <v>0.10714659999999999</v>
      </c>
      <c r="R4085">
        <v>-0.35842540000000001</v>
      </c>
      <c r="S4085">
        <v>-2.7013850000000001</v>
      </c>
      <c r="T4085">
        <v>-0.22425519999999999</v>
      </c>
      <c r="U4085">
        <v>-1.4488219999999901</v>
      </c>
      <c r="V4085">
        <v>-0.20037769999999999</v>
      </c>
      <c r="W4085">
        <v>0.11974650000000001</v>
      </c>
      <c r="X4085">
        <v>0.97237320000000005</v>
      </c>
      <c r="Y4085">
        <v>-0.319106</v>
      </c>
      <c r="Z4085">
        <v>-4.3882749999999996E-3</v>
      </c>
      <c r="AA4085">
        <v>0.94770880000000002</v>
      </c>
      <c r="AB4085">
        <v>20</v>
      </c>
      <c r="AC4085">
        <v>-13.351599999999999</v>
      </c>
      <c r="AD4085">
        <v>-1.124456523888</v>
      </c>
      <c r="AE4085">
        <v>-7.2268000000000203</v>
      </c>
      <c r="AF4085">
        <v>-4.8839063474661</v>
      </c>
      <c r="AG4085">
        <v>-1.124456523888</v>
      </c>
      <c r="AH4085">
        <v>14.287448049545199</v>
      </c>
      <c r="AI4085">
        <v>94.259047110097299</v>
      </c>
      <c r="AJ4085">
        <v>108.872067661391</v>
      </c>
      <c r="AK4085">
        <v>15.1409416963869</v>
      </c>
      <c r="AL4085">
        <v>83.122527695163598</v>
      </c>
      <c r="AM4085">
        <v>101.64399046469801</v>
      </c>
      <c r="AN4085">
        <v>1.0000000434988801</v>
      </c>
    </row>
    <row r="4086" spans="1:40" x14ac:dyDescent="0.25">
      <c r="A4086" t="str">
        <f>"20190303161953820"</f>
        <v>20190303161953820</v>
      </c>
      <c r="B4086" t="str">
        <f>"1551601193806953"</f>
        <v>1551601193806953</v>
      </c>
      <c r="C4086" t="s">
        <v>40</v>
      </c>
      <c r="D4086">
        <v>5.0609859999999998</v>
      </c>
      <c r="E4086">
        <v>0.44997510000000002</v>
      </c>
      <c r="F4086" t="s">
        <v>49</v>
      </c>
      <c r="G4086">
        <v>-483.92520000000002</v>
      </c>
      <c r="H4086" s="1">
        <v>1.4829119999999999E-6</v>
      </c>
      <c r="I4086">
        <v>276.0385</v>
      </c>
      <c r="J4086">
        <v>-470.60669999999999</v>
      </c>
      <c r="K4086">
        <v>1.1244160000000001</v>
      </c>
      <c r="L4086">
        <v>283.26859999999999</v>
      </c>
      <c r="M4086">
        <v>-0.98511059999999995</v>
      </c>
      <c r="N4086">
        <v>-1.4361479999999999E-2</v>
      </c>
      <c r="O4086">
        <v>-0.17132039999999901</v>
      </c>
      <c r="P4086">
        <v>-0.92769889999999999</v>
      </c>
      <c r="Q4086">
        <v>0.106548</v>
      </c>
      <c r="R4086">
        <v>-0.3578018</v>
      </c>
      <c r="S4086">
        <v>-2.6995849999999999</v>
      </c>
      <c r="T4086">
        <v>-0.22464239999999999</v>
      </c>
      <c r="U4086">
        <v>-1.4522710000000001</v>
      </c>
      <c r="V4086">
        <v>-0.19438140000000001</v>
      </c>
      <c r="W4086">
        <v>0.1192158</v>
      </c>
      <c r="X4086">
        <v>0.97365469999999998</v>
      </c>
      <c r="Y4086">
        <v>-0.31516</v>
      </c>
      <c r="Z4086">
        <v>-3.8705950000000001E-3</v>
      </c>
      <c r="AA4086">
        <v>0.9490307</v>
      </c>
      <c r="AB4086">
        <v>20</v>
      </c>
      <c r="AC4086">
        <v>-13.3185</v>
      </c>
      <c r="AD4086">
        <v>-1.124414517088</v>
      </c>
      <c r="AE4086">
        <v>-7.2300999999999904</v>
      </c>
      <c r="AF4086">
        <v>-4.8147111265360003</v>
      </c>
      <c r="AG4086">
        <v>-1.124414517088</v>
      </c>
      <c r="AH4086">
        <v>14.281717600543001</v>
      </c>
      <c r="AI4086">
        <v>94.2666786453496</v>
      </c>
      <c r="AJ4086">
        <v>108.63020121931901</v>
      </c>
      <c r="AK4086">
        <v>15.1133453894195</v>
      </c>
      <c r="AL4086">
        <v>83.153153693301206</v>
      </c>
      <c r="AM4086">
        <v>101.290153162205</v>
      </c>
      <c r="AN4086">
        <v>1.00000000523384</v>
      </c>
    </row>
    <row r="4087" spans="1:40" x14ac:dyDescent="0.25">
      <c r="A4087" t="str">
        <f>"20190303161953842"</f>
        <v>20190303161953842</v>
      </c>
      <c r="B4087" t="str">
        <f>"1551601193836232"</f>
        <v>1551601193836232</v>
      </c>
      <c r="C4087" t="s">
        <v>40</v>
      </c>
      <c r="D4087">
        <v>5.029566</v>
      </c>
      <c r="E4087">
        <v>0.45009919999999998</v>
      </c>
      <c r="F4087" t="s">
        <v>49</v>
      </c>
      <c r="G4087">
        <v>-483.9939</v>
      </c>
      <c r="H4087" s="1">
        <v>1.4962639999999901E-6</v>
      </c>
      <c r="I4087">
        <v>276.0797</v>
      </c>
      <c r="J4087">
        <v>-470.79270000000002</v>
      </c>
      <c r="K4087">
        <v>1.1243890000000001</v>
      </c>
      <c r="L4087">
        <v>283.23</v>
      </c>
      <c r="M4087">
        <v>-0.98420969999999997</v>
      </c>
      <c r="N4087">
        <v>-1.435167E-2</v>
      </c>
      <c r="O4087">
        <v>-0.17642439999999901</v>
      </c>
      <c r="P4087">
        <v>-0.92808500000000005</v>
      </c>
      <c r="Q4087">
        <v>0.1064121</v>
      </c>
      <c r="R4087">
        <v>-0.35684009999999999</v>
      </c>
      <c r="S4087">
        <v>-2.7005620000000001</v>
      </c>
      <c r="T4087">
        <v>-0.2268249</v>
      </c>
      <c r="U4087">
        <v>-1.4501949999999999</v>
      </c>
      <c r="V4087">
        <v>-0.1882983</v>
      </c>
      <c r="W4087">
        <v>0.11914429999999999</v>
      </c>
      <c r="X4087">
        <v>0.97485820000000001</v>
      </c>
      <c r="Y4087">
        <v>-0.3095444</v>
      </c>
      <c r="Z4087">
        <v>-3.278478E-3</v>
      </c>
      <c r="AA4087">
        <v>0.95087929999999998</v>
      </c>
      <c r="AB4087">
        <v>20</v>
      </c>
      <c r="AC4087">
        <v>-13.201199999999901</v>
      </c>
      <c r="AD4087">
        <v>-1.1243875037359901</v>
      </c>
      <c r="AE4087">
        <v>-7.1503000000000103</v>
      </c>
      <c r="AF4087">
        <v>-4.6826007123194504</v>
      </c>
      <c r="AG4087">
        <v>-1.1243875037359901</v>
      </c>
      <c r="AH4087">
        <v>14.1761892929482</v>
      </c>
      <c r="AI4087">
        <v>94.306983278983395</v>
      </c>
      <c r="AJ4087">
        <v>108.27913772423</v>
      </c>
      <c r="AK4087">
        <v>14.971818178133001</v>
      </c>
      <c r="AL4087">
        <v>83.157280140005994</v>
      </c>
      <c r="AM4087">
        <v>100.932310808144</v>
      </c>
      <c r="AN4087">
        <v>1.0000000620563001</v>
      </c>
    </row>
    <row r="4088" spans="1:40" x14ac:dyDescent="0.25">
      <c r="A4088" t="str">
        <f>"20190303161953865"</f>
        <v>20190303161953865</v>
      </c>
      <c r="B4088" t="str">
        <f>"1551601193856729"</f>
        <v>1551601193856729</v>
      </c>
      <c r="C4088" t="s">
        <v>40</v>
      </c>
      <c r="D4088">
        <v>5.0925500000000001</v>
      </c>
      <c r="E4088">
        <v>0.45507720000000002</v>
      </c>
      <c r="F4088" t="s">
        <v>49</v>
      </c>
      <c r="G4088">
        <v>-484.1472</v>
      </c>
      <c r="H4088" s="1">
        <v>1.50816E-6</v>
      </c>
      <c r="I4088">
        <v>276.07</v>
      </c>
      <c r="J4088">
        <v>-470.98439999999999</v>
      </c>
      <c r="K4088">
        <v>1.1243559999999999</v>
      </c>
      <c r="L4088">
        <v>283.1893</v>
      </c>
      <c r="M4088">
        <v>-0.98325879999999999</v>
      </c>
      <c r="N4088">
        <v>-1.434175E-2</v>
      </c>
      <c r="O4088">
        <v>-0.1816499</v>
      </c>
      <c r="P4088">
        <v>-0.92792019999999997</v>
      </c>
      <c r="Q4088">
        <v>0.1078057</v>
      </c>
      <c r="R4088">
        <v>-0.35685060000000002</v>
      </c>
      <c r="S4088">
        <v>-2.7015989999999999</v>
      </c>
      <c r="T4088">
        <v>-0.22746230000000001</v>
      </c>
      <c r="U4088">
        <v>-1.448456</v>
      </c>
      <c r="V4088">
        <v>-0.1831497</v>
      </c>
      <c r="W4088">
        <v>0.1205881</v>
      </c>
      <c r="X4088">
        <v>0.97566120000000001</v>
      </c>
      <c r="Y4088">
        <v>-0.30388690000000002</v>
      </c>
      <c r="Z4088">
        <v>-2.6803310000000002E-3</v>
      </c>
      <c r="AA4088">
        <v>0.95270440000000001</v>
      </c>
      <c r="AB4088">
        <v>20</v>
      </c>
      <c r="AC4088">
        <v>-13.162800000000001</v>
      </c>
      <c r="AD4088">
        <v>-1.1243544918399999</v>
      </c>
      <c r="AE4088">
        <v>-7.1193000000000097</v>
      </c>
      <c r="AF4088">
        <v>-4.5836914482377704</v>
      </c>
      <c r="AG4088">
        <v>-1.1243544918399999</v>
      </c>
      <c r="AH4088">
        <v>14.157203534982401</v>
      </c>
      <c r="AI4088">
        <v>94.320925035061904</v>
      </c>
      <c r="AJ4088">
        <v>107.940447464926</v>
      </c>
      <c r="AK4088">
        <v>14.923163613888599</v>
      </c>
      <c r="AL4088">
        <v>83.073955572036496</v>
      </c>
      <c r="AM4088">
        <v>100.631751188046</v>
      </c>
      <c r="AN4088">
        <v>1.00000003982856</v>
      </c>
    </row>
    <row r="4089" spans="1:40" x14ac:dyDescent="0.25">
      <c r="A4089" t="str">
        <f>"20190303161953879"</f>
        <v>20190303161953879</v>
      </c>
      <c r="B4089" t="str">
        <f>"1551601193866489"</f>
        <v>1551601193866489</v>
      </c>
      <c r="C4089" t="s">
        <v>40</v>
      </c>
      <c r="D4089">
        <v>4.9464540000000001</v>
      </c>
      <c r="E4089">
        <v>0.45490120000000001</v>
      </c>
      <c r="F4089" t="s">
        <v>49</v>
      </c>
      <c r="G4089">
        <v>-481.49579999999997</v>
      </c>
      <c r="H4089" s="1">
        <v>1.5653230000000001E-6</v>
      </c>
      <c r="I4089">
        <v>277.72989999999999</v>
      </c>
      <c r="J4089">
        <v>-471.09809999999999</v>
      </c>
      <c r="K4089">
        <v>1.1243430000000001</v>
      </c>
      <c r="L4089">
        <v>283.16460000000001</v>
      </c>
      <c r="M4089">
        <v>-0.98268440000000001</v>
      </c>
      <c r="N4089">
        <v>-1.4336150000000001E-2</v>
      </c>
      <c r="O4089">
        <v>-0.18473220000000001</v>
      </c>
      <c r="P4089">
        <v>-0.92757730000000005</v>
      </c>
      <c r="Q4089">
        <v>0.1083133</v>
      </c>
      <c r="R4089">
        <v>-0.3575874</v>
      </c>
      <c r="S4089">
        <v>-2.7229920000000001</v>
      </c>
      <c r="T4089">
        <v>-0.29126540000000001</v>
      </c>
      <c r="U4089">
        <v>-1.4142760000000001</v>
      </c>
      <c r="V4089">
        <v>-0.18087</v>
      </c>
      <c r="W4089">
        <v>0.1211183</v>
      </c>
      <c r="X4089">
        <v>0.97602069999999996</v>
      </c>
      <c r="Y4089">
        <v>-0.28815479999999999</v>
      </c>
      <c r="Z4089">
        <v>-9.2772299999999998E-4</v>
      </c>
      <c r="AA4089">
        <v>0.95758339999999997</v>
      </c>
      <c r="AB4089">
        <v>20</v>
      </c>
      <c r="AC4089">
        <v>-10.397699999999899</v>
      </c>
      <c r="AD4089">
        <v>-1.124341434677</v>
      </c>
      <c r="AE4089">
        <v>-5.4347000000000198</v>
      </c>
      <c r="AF4089">
        <v>-3.3890316994131702</v>
      </c>
      <c r="AG4089">
        <v>-1.124341434677</v>
      </c>
      <c r="AH4089">
        <v>11.120643586330599</v>
      </c>
      <c r="AI4089">
        <v>95.524047666966396</v>
      </c>
      <c r="AJ4089">
        <v>106.948673493699</v>
      </c>
      <c r="AK4089">
        <v>11.6798284788585</v>
      </c>
      <c r="AL4089">
        <v>83.043352789682601</v>
      </c>
      <c r="AM4089">
        <v>100.498595653591</v>
      </c>
      <c r="AN4089">
        <v>1.00000000316168</v>
      </c>
    </row>
    <row r="4090" spans="1:40" x14ac:dyDescent="0.25">
      <c r="A4090" t="str">
        <f>"20190303161953892"</f>
        <v>20190303161953892</v>
      </c>
      <c r="B4090" t="str">
        <f>"1551601193886984"</f>
        <v>1551601193886984</v>
      </c>
      <c r="C4090" t="s">
        <v>40</v>
      </c>
      <c r="D4090">
        <v>4.8876400000000002</v>
      </c>
      <c r="E4090">
        <v>0.45177879999999998</v>
      </c>
      <c r="F4090" t="s">
        <v>49</v>
      </c>
      <c r="G4090">
        <v>-481.52789999999999</v>
      </c>
      <c r="H4090" s="1">
        <v>1.5677719999999999E-6</v>
      </c>
      <c r="I4090">
        <v>277.7276</v>
      </c>
      <c r="J4090">
        <v>-471.21589999999998</v>
      </c>
      <c r="K4090">
        <v>1.1243299999999901</v>
      </c>
      <c r="L4090">
        <v>283.1386</v>
      </c>
      <c r="M4090">
        <v>-0.98208010000000001</v>
      </c>
      <c r="N4090">
        <v>-1.4330549999999999E-2</v>
      </c>
      <c r="O4090">
        <v>-0.18791830000000001</v>
      </c>
      <c r="P4090">
        <v>-0.92713049999999997</v>
      </c>
      <c r="Q4090">
        <v>0.1085082</v>
      </c>
      <c r="R4090">
        <v>-0.35868519999999998</v>
      </c>
      <c r="S4090">
        <v>-2.7215579999999999</v>
      </c>
      <c r="T4090">
        <v>-0.29338769999999997</v>
      </c>
      <c r="U4090">
        <v>-1.4187320000000001</v>
      </c>
      <c r="V4090">
        <v>-0.17885709999999999</v>
      </c>
      <c r="W4090">
        <v>0.1213322</v>
      </c>
      <c r="X4090">
        <v>0.97636500000000004</v>
      </c>
      <c r="Y4090">
        <v>-0.2864989</v>
      </c>
      <c r="Z4090">
        <v>-5.3603949999999896E-4</v>
      </c>
      <c r="AA4090">
        <v>0.95808040000000005</v>
      </c>
      <c r="AB4090">
        <v>20</v>
      </c>
      <c r="AC4090">
        <v>-10.311999999999999</v>
      </c>
      <c r="AD4090">
        <v>-1.1243284322279901</v>
      </c>
      <c r="AE4090">
        <v>-5.4109999999999996</v>
      </c>
      <c r="AF4090">
        <v>-3.3453854787445398</v>
      </c>
      <c r="AG4090">
        <v>-1.1243284322279901</v>
      </c>
      <c r="AH4090">
        <v>11.042252817949899</v>
      </c>
      <c r="AI4090">
        <v>95.565706711011899</v>
      </c>
      <c r="AJ4090">
        <v>106.854826153273</v>
      </c>
      <c r="AK4090">
        <v>11.5925435397256</v>
      </c>
      <c r="AL4090">
        <v>83.031006067937994</v>
      </c>
      <c r="AM4090">
        <v>100.380730335572</v>
      </c>
      <c r="AN4090">
        <v>0.99999998910112498</v>
      </c>
    </row>
    <row r="4091" spans="1:40" x14ac:dyDescent="0.25">
      <c r="A4091" t="str">
        <f>"20190303161953906"</f>
        <v>20190303161953906</v>
      </c>
      <c r="B4091" t="str">
        <f>"1551601193896795"</f>
        <v>1551601193896795</v>
      </c>
      <c r="C4091" t="s">
        <v>40</v>
      </c>
      <c r="D4091">
        <v>4.8961680000000003</v>
      </c>
      <c r="E4091">
        <v>0.45155669999999998</v>
      </c>
      <c r="F4091" t="s">
        <v>49</v>
      </c>
      <c r="G4091">
        <v>-479.70190000000002</v>
      </c>
      <c r="H4091" s="1">
        <v>1.71084E-6</v>
      </c>
      <c r="I4091">
        <v>278.62259999999998</v>
      </c>
      <c r="J4091">
        <v>-471.33229999999998</v>
      </c>
      <c r="K4091">
        <v>1.1243209999999999</v>
      </c>
      <c r="L4091">
        <v>283.11259999999999</v>
      </c>
      <c r="M4091">
        <v>-0.98147419999999996</v>
      </c>
      <c r="N4091">
        <v>-1.43252E-2</v>
      </c>
      <c r="O4091">
        <v>-0.19105820000000001</v>
      </c>
      <c r="P4091">
        <v>-0.92652880000000004</v>
      </c>
      <c r="Q4091">
        <v>0.1084749</v>
      </c>
      <c r="R4091">
        <v>-0.36024679999999998</v>
      </c>
      <c r="S4091">
        <v>-2.7182919999999999</v>
      </c>
      <c r="T4091">
        <v>-0.36015580000000003</v>
      </c>
      <c r="U4091">
        <v>-1.446625</v>
      </c>
      <c r="V4091">
        <v>-0.1773721</v>
      </c>
      <c r="W4091">
        <v>0.1213138</v>
      </c>
      <c r="X4091">
        <v>0.97663809999999995</v>
      </c>
      <c r="Y4091">
        <v>-0.29125820000000002</v>
      </c>
      <c r="Z4091">
        <v>4.094085E-4</v>
      </c>
      <c r="AA4091">
        <v>0.95664439999999995</v>
      </c>
      <c r="AB4091">
        <v>20</v>
      </c>
      <c r="AC4091">
        <v>-8.3696000000000392</v>
      </c>
      <c r="AD4091">
        <v>-1.12431928916</v>
      </c>
      <c r="AE4091">
        <v>-4.49</v>
      </c>
      <c r="AF4091">
        <v>-2.7692221085059501</v>
      </c>
      <c r="AG4091">
        <v>-1.12431928916</v>
      </c>
      <c r="AH4091">
        <v>8.9479433315091903</v>
      </c>
      <c r="AI4091">
        <v>96.844705084428995</v>
      </c>
      <c r="AJ4091">
        <v>107.196324211537</v>
      </c>
      <c r="AK4091">
        <v>9.4338949969837493</v>
      </c>
      <c r="AL4091">
        <v>83.032067806068895</v>
      </c>
      <c r="AM4091">
        <v>100.293575511613</v>
      </c>
      <c r="AN4091">
        <v>0.999999939150228</v>
      </c>
    </row>
    <row r="4092" spans="1:40" x14ac:dyDescent="0.25">
      <c r="A4092" t="str">
        <f>"20190303161953919"</f>
        <v>20190303161953919</v>
      </c>
      <c r="B4092" t="str">
        <f>"1551601193906556"</f>
        <v>1551601193906556</v>
      </c>
      <c r="C4092" t="s">
        <v>40</v>
      </c>
      <c r="D4092">
        <v>4.8988709999999998</v>
      </c>
      <c r="E4092">
        <v>0.45102039999999999</v>
      </c>
      <c r="F4092" t="s">
        <v>49</v>
      </c>
      <c r="G4092">
        <v>-479.76949999999999</v>
      </c>
      <c r="H4092" s="1">
        <v>1.6732290000000001E-6</v>
      </c>
      <c r="I4092">
        <v>278.59620000000001</v>
      </c>
      <c r="J4092">
        <v>-471.44490000000002</v>
      </c>
      <c r="K4092">
        <v>1.1243099999999999</v>
      </c>
      <c r="L4092">
        <v>283.08710000000002</v>
      </c>
      <c r="M4092">
        <v>-0.98087990000000003</v>
      </c>
      <c r="N4092">
        <v>-1.432017E-2</v>
      </c>
      <c r="O4092">
        <v>-0.19408690000000001</v>
      </c>
      <c r="P4092">
        <v>-0.92578419999999895</v>
      </c>
      <c r="Q4092">
        <v>0.10837919999999999</v>
      </c>
      <c r="R4092">
        <v>-0.36218489999999998</v>
      </c>
      <c r="S4092">
        <v>-2.715179</v>
      </c>
      <c r="T4092">
        <v>-0.36181859999999999</v>
      </c>
      <c r="U4092">
        <v>-1.45343</v>
      </c>
      <c r="V4092">
        <v>-0.17639270000000001</v>
      </c>
      <c r="W4092">
        <v>0.1212276</v>
      </c>
      <c r="X4092">
        <v>0.97682630000000004</v>
      </c>
      <c r="Y4092">
        <v>-0.29063840000000002</v>
      </c>
      <c r="Z4092">
        <v>8.0007869999999999E-4</v>
      </c>
      <c r="AA4092">
        <v>0.95683260000000003</v>
      </c>
      <c r="AB4092">
        <v>20</v>
      </c>
      <c r="AC4092">
        <v>-8.32459999999997</v>
      </c>
      <c r="AD4092">
        <v>-1.1243083267709999</v>
      </c>
      <c r="AE4092">
        <v>-4.4909000000000097</v>
      </c>
      <c r="AF4092">
        <v>-2.7507584491074901</v>
      </c>
      <c r="AG4092">
        <v>-1.1243083267709999</v>
      </c>
      <c r="AH4092">
        <v>8.9120662730987004</v>
      </c>
      <c r="AI4092">
        <v>96.873516309604</v>
      </c>
      <c r="AJ4092">
        <v>107.15313029009199</v>
      </c>
      <c r="AK4092">
        <v>9.3944487073529892</v>
      </c>
      <c r="AL4092">
        <v>83.037044326835399</v>
      </c>
      <c r="AM4092">
        <v>100.236011799805</v>
      </c>
      <c r="AN4092">
        <v>1.0000000679933601</v>
      </c>
    </row>
    <row r="4093" spans="1:40" x14ac:dyDescent="0.25">
      <c r="A4093" t="str">
        <f>"20190303161953931"</f>
        <v>20190303161953931</v>
      </c>
      <c r="B4093" t="str">
        <f>"1551601193926075"</f>
        <v>1551601193926075</v>
      </c>
      <c r="C4093" t="s">
        <v>40</v>
      </c>
      <c r="D4093">
        <v>4.8861210000000002</v>
      </c>
      <c r="E4093">
        <v>0.45022390000000001</v>
      </c>
      <c r="F4093" t="s">
        <v>49</v>
      </c>
      <c r="G4093">
        <v>-479.84089999999998</v>
      </c>
      <c r="H4093" s="1">
        <v>1.630833E-6</v>
      </c>
      <c r="I4093">
        <v>278.5532</v>
      </c>
      <c r="J4093">
        <v>-471.54899999999998</v>
      </c>
      <c r="K4093">
        <v>1.1243050000000001</v>
      </c>
      <c r="L4093">
        <v>283.06319999999999</v>
      </c>
      <c r="M4093">
        <v>-0.98032319999999995</v>
      </c>
      <c r="N4093">
        <v>-1.4315670000000001E-2</v>
      </c>
      <c r="O4093">
        <v>-0.19688020000000001</v>
      </c>
      <c r="P4093">
        <v>-0.92515740000000002</v>
      </c>
      <c r="Q4093">
        <v>0.10809630000000001</v>
      </c>
      <c r="R4093">
        <v>-0.3638671</v>
      </c>
      <c r="S4093">
        <v>-2.7103579999999998</v>
      </c>
      <c r="T4093">
        <v>-0.36294280000000001</v>
      </c>
      <c r="U4093">
        <v>-1.4636229999999999</v>
      </c>
      <c r="V4093">
        <v>-0.1753728</v>
      </c>
      <c r="W4093">
        <v>0.12095450000000001</v>
      </c>
      <c r="X4093">
        <v>0.97704369999999996</v>
      </c>
      <c r="Y4093">
        <v>-0.29141450000000002</v>
      </c>
      <c r="Z4093">
        <v>1.0635180000000001E-3</v>
      </c>
      <c r="AA4093">
        <v>0.95659629999999995</v>
      </c>
      <c r="AB4093">
        <v>20</v>
      </c>
      <c r="AC4093">
        <v>-8.2918999999999397</v>
      </c>
      <c r="AD4093">
        <v>-1.1243033691669999</v>
      </c>
      <c r="AE4093">
        <v>-4.50999999999999</v>
      </c>
      <c r="AF4093">
        <v>-2.7500158061241402</v>
      </c>
      <c r="AG4093">
        <v>-1.1243033691669999</v>
      </c>
      <c r="AH4093">
        <v>8.8914455821487905</v>
      </c>
      <c r="AI4093">
        <v>96.888057280256106</v>
      </c>
      <c r="AJ4093">
        <v>107.18620125147299</v>
      </c>
      <c r="AK4093">
        <v>9.3746706363565693</v>
      </c>
      <c r="AL4093">
        <v>83.052807331670394</v>
      </c>
      <c r="AM4093">
        <v>100.175850693513</v>
      </c>
      <c r="AN4093">
        <v>1.0000000008798899</v>
      </c>
    </row>
    <row r="4094" spans="1:40" x14ac:dyDescent="0.25">
      <c r="A4094" t="str">
        <f>"20190303161953946"</f>
        <v>20190303161953946</v>
      </c>
      <c r="B4094" t="str">
        <f>"1551601193936811"</f>
        <v>1551601193936811</v>
      </c>
      <c r="C4094" t="s">
        <v>40</v>
      </c>
      <c r="D4094">
        <v>4.9709339999999997</v>
      </c>
      <c r="E4094">
        <v>0.4499898</v>
      </c>
      <c r="F4094" t="s">
        <v>49</v>
      </c>
      <c r="G4094">
        <v>-480.202</v>
      </c>
      <c r="H4094" s="1">
        <v>1.5585429999999999E-6</v>
      </c>
      <c r="I4094">
        <v>278.34300000000002</v>
      </c>
      <c r="J4094">
        <v>-471.66759999999999</v>
      </c>
      <c r="K4094">
        <v>1.1242939999999999</v>
      </c>
      <c r="L4094">
        <v>283.03559999999999</v>
      </c>
      <c r="M4094">
        <v>-0.97967919999999997</v>
      </c>
      <c r="N4094">
        <v>-1.4310679999999999E-2</v>
      </c>
      <c r="O4094">
        <v>-0.2000595</v>
      </c>
      <c r="P4094">
        <v>-0.92390300000000003</v>
      </c>
      <c r="Q4094">
        <v>0.1081616</v>
      </c>
      <c r="R4094">
        <v>-0.36702129999999999</v>
      </c>
      <c r="S4094">
        <v>-2.7036739999999999</v>
      </c>
      <c r="T4094">
        <v>-0.35129359999999998</v>
      </c>
      <c r="U4094">
        <v>-1.4748540000000001</v>
      </c>
      <c r="V4094">
        <v>-0.17553450000000001</v>
      </c>
      <c r="W4094">
        <v>0.1210184</v>
      </c>
      <c r="X4094">
        <v>0.97700670000000001</v>
      </c>
      <c r="Y4094">
        <v>-0.29243350000000001</v>
      </c>
      <c r="Z4094">
        <v>1.1357279999999999E-3</v>
      </c>
      <c r="AA4094">
        <v>0.95628519999999995</v>
      </c>
      <c r="AB4094">
        <v>20</v>
      </c>
      <c r="AC4094">
        <v>-8.5343999999999998</v>
      </c>
      <c r="AD4094">
        <v>-1.1242924414569999</v>
      </c>
      <c r="AE4094">
        <v>-4.6925999999999597</v>
      </c>
      <c r="AF4094">
        <v>-2.8521439223956802</v>
      </c>
      <c r="AG4094">
        <v>-1.1242924414569999</v>
      </c>
      <c r="AH4094">
        <v>9.1784168366142396</v>
      </c>
      <c r="AI4094">
        <v>96.671881059200999</v>
      </c>
      <c r="AJ4094">
        <v>107.262352604414</v>
      </c>
      <c r="AK4094">
        <v>9.6768845231623803</v>
      </c>
      <c r="AL4094">
        <v>83.049118702151006</v>
      </c>
      <c r="AM4094">
        <v>100.185414510667</v>
      </c>
      <c r="AN4094">
        <v>0.99999995283684795</v>
      </c>
    </row>
    <row r="4095" spans="1:40" x14ac:dyDescent="0.25">
      <c r="A4095" t="str">
        <f>"20190303161953962"</f>
        <v>20190303161953962</v>
      </c>
      <c r="B4095" t="str">
        <f>"1551601193956331"</f>
        <v>1551601193956331</v>
      </c>
      <c r="C4095" t="s">
        <v>40</v>
      </c>
      <c r="D4095">
        <v>4.7927939999999998</v>
      </c>
      <c r="E4095">
        <v>0.44960939999999999</v>
      </c>
      <c r="F4095" t="s">
        <v>49</v>
      </c>
      <c r="G4095">
        <v>-480.33210000000003</v>
      </c>
      <c r="H4095" s="1">
        <v>1.55602999999999E-6</v>
      </c>
      <c r="I4095">
        <v>278.26319999999998</v>
      </c>
      <c r="J4095">
        <v>-471.80360000000002</v>
      </c>
      <c r="K4095">
        <v>1.124282</v>
      </c>
      <c r="L4095">
        <v>283.0034</v>
      </c>
      <c r="M4095">
        <v>-0.97892970000000001</v>
      </c>
      <c r="N4095">
        <v>-1.430503E-2</v>
      </c>
      <c r="O4095">
        <v>-0.20369619999999999</v>
      </c>
      <c r="P4095">
        <v>-0.92258450000000003</v>
      </c>
      <c r="Q4095">
        <v>0.1078846</v>
      </c>
      <c r="R4095">
        <v>-0.37040420000000002</v>
      </c>
      <c r="S4095">
        <v>-2.6978149999999999</v>
      </c>
      <c r="T4095">
        <v>-0.35006500000000002</v>
      </c>
      <c r="U4095">
        <v>-1.485962</v>
      </c>
      <c r="V4095">
        <v>-0.1754743</v>
      </c>
      <c r="W4095">
        <v>0.1207429</v>
      </c>
      <c r="X4095">
        <v>0.97705169999999997</v>
      </c>
      <c r="Y4095">
        <v>-0.29280289999999998</v>
      </c>
      <c r="Z4095">
        <v>1.4658869999999999E-3</v>
      </c>
      <c r="AA4095">
        <v>0.95617169999999896</v>
      </c>
      <c r="AB4095">
        <v>19</v>
      </c>
      <c r="AC4095">
        <v>-8.5284999999999993</v>
      </c>
      <c r="AD4095">
        <v>-1.12428044397</v>
      </c>
      <c r="AE4095">
        <v>-4.7402000000000104</v>
      </c>
      <c r="AF4095">
        <v>-2.86535394062156</v>
      </c>
      <c r="AG4095">
        <v>-1.12428044397</v>
      </c>
      <c r="AH4095">
        <v>9.1932589933544602</v>
      </c>
      <c r="AI4095">
        <v>96.659384530352995</v>
      </c>
      <c r="AJ4095">
        <v>107.31120624362001</v>
      </c>
      <c r="AK4095">
        <v>9.6948579484498705</v>
      </c>
      <c r="AL4095">
        <v>83.065020981102904</v>
      </c>
      <c r="AM4095">
        <v>100.181535348099</v>
      </c>
      <c r="AN4095">
        <v>1.0000000511668901</v>
      </c>
    </row>
    <row r="4096" spans="1:40" x14ac:dyDescent="0.25">
      <c r="A4096" t="str">
        <f>"20190303161953976"</f>
        <v>20190303161953976</v>
      </c>
      <c r="B4096" t="str">
        <f>"1551601193967067"</f>
        <v>1551601193967067</v>
      </c>
      <c r="C4096" t="s">
        <v>40</v>
      </c>
      <c r="D4096">
        <v>4.866568</v>
      </c>
      <c r="E4096">
        <v>0.44914500000000002</v>
      </c>
      <c r="F4096" t="s">
        <v>49</v>
      </c>
      <c r="G4096">
        <v>-480.49799999999999</v>
      </c>
      <c r="H4096" s="1">
        <v>1.5524200000000001E-6</v>
      </c>
      <c r="I4096">
        <v>278.15910000000002</v>
      </c>
      <c r="J4096">
        <v>-471.92430000000002</v>
      </c>
      <c r="K4096">
        <v>1.124271</v>
      </c>
      <c r="L4096">
        <v>282.97430000000003</v>
      </c>
      <c r="M4096">
        <v>-0.97825499999999999</v>
      </c>
      <c r="N4096">
        <v>-1.430006E-2</v>
      </c>
      <c r="O4096">
        <v>-0.20691280000000001</v>
      </c>
      <c r="P4096">
        <v>-0.92118429999999996</v>
      </c>
      <c r="Q4096">
        <v>0.1076222</v>
      </c>
      <c r="R4096">
        <v>-0.37394880000000003</v>
      </c>
      <c r="S4096">
        <v>-2.6905209999999999</v>
      </c>
      <c r="T4096">
        <v>-0.347914099999999</v>
      </c>
      <c r="U4096">
        <v>-1.4990840000000001</v>
      </c>
      <c r="V4096">
        <v>-0.17600829999999901</v>
      </c>
      <c r="W4096">
        <v>0.120476399999999</v>
      </c>
      <c r="X4096">
        <v>0.97698850000000004</v>
      </c>
      <c r="Y4096">
        <v>-0.29433550000000003</v>
      </c>
      <c r="Z4096">
        <v>1.6554629999999901E-3</v>
      </c>
      <c r="AA4096">
        <v>0.95570069999999996</v>
      </c>
      <c r="AB4096">
        <v>19</v>
      </c>
      <c r="AC4096">
        <v>-8.5737000000000201</v>
      </c>
      <c r="AD4096">
        <v>-1.1242694475799999</v>
      </c>
      <c r="AE4096">
        <v>-4.8151999999999999</v>
      </c>
      <c r="AF4096">
        <v>-2.89889108464775</v>
      </c>
      <c r="AG4096">
        <v>-1.1242694475799999</v>
      </c>
      <c r="AH4096">
        <v>9.2634587262169603</v>
      </c>
      <c r="AI4096">
        <v>96.606957565074296</v>
      </c>
      <c r="AJ4096">
        <v>107.376900622102</v>
      </c>
      <c r="AK4096">
        <v>9.7713468305928597</v>
      </c>
      <c r="AL4096">
        <v>83.080402283226107</v>
      </c>
      <c r="AM4096">
        <v>100.21251523318</v>
      </c>
      <c r="AN4096">
        <v>1.00000000687905</v>
      </c>
    </row>
    <row r="4097" spans="1:40" x14ac:dyDescent="0.25">
      <c r="A4097" t="str">
        <f>"20190303161953990"</f>
        <v>20190303161953990</v>
      </c>
      <c r="B4097" t="str">
        <f>"1551601193986587"</f>
        <v>1551601193986587</v>
      </c>
      <c r="C4097" t="s">
        <v>40</v>
      </c>
      <c r="D4097">
        <v>4.8798579999999996</v>
      </c>
      <c r="E4097">
        <v>0.4201357</v>
      </c>
      <c r="F4097" t="s">
        <v>49</v>
      </c>
      <c r="G4097">
        <v>-480.61649999999997</v>
      </c>
      <c r="H4097" s="1">
        <v>1.5479879999999999E-6</v>
      </c>
      <c r="I4097">
        <v>278.07420000000002</v>
      </c>
      <c r="J4097">
        <v>-472.03579999999999</v>
      </c>
      <c r="K4097">
        <v>1.124258</v>
      </c>
      <c r="L4097">
        <v>282.94720000000001</v>
      </c>
      <c r="M4097">
        <v>-0.97762289999999996</v>
      </c>
      <c r="N4097">
        <v>-1.4295489999999999E-2</v>
      </c>
      <c r="O4097">
        <v>-0.20987939999999999</v>
      </c>
      <c r="P4097">
        <v>-0.91966300000000001</v>
      </c>
      <c r="Q4097">
        <v>0.10764310000000001</v>
      </c>
      <c r="R4097">
        <v>-0.3776679</v>
      </c>
      <c r="S4097">
        <v>-2.6832280000000002</v>
      </c>
      <c r="T4097">
        <v>-0.347051</v>
      </c>
      <c r="U4097">
        <v>-1.5126040000000001</v>
      </c>
      <c r="V4097">
        <v>-0.17699189999999901</v>
      </c>
      <c r="W4097">
        <v>0.1204887</v>
      </c>
      <c r="X4097">
        <v>0.97680929999999999</v>
      </c>
      <c r="Y4097">
        <v>-0.29620669999999999</v>
      </c>
      <c r="Z4097">
        <v>1.8189090000000001E-3</v>
      </c>
      <c r="AA4097">
        <v>0.95512209999999997</v>
      </c>
      <c r="AB4097">
        <v>19</v>
      </c>
      <c r="AC4097">
        <v>-8.58069999999997</v>
      </c>
      <c r="AD4097">
        <v>-1.124256452012</v>
      </c>
      <c r="AE4097">
        <v>-4.8729999999999896</v>
      </c>
      <c r="AF4097">
        <v>-2.9253743621238102</v>
      </c>
      <c r="AG4097">
        <v>-1.124256452012</v>
      </c>
      <c r="AH4097">
        <v>9.2917814478948806</v>
      </c>
      <c r="AI4097">
        <v>96.583383611981802</v>
      </c>
      <c r="AJ4097">
        <v>107.475806012934</v>
      </c>
      <c r="AK4097">
        <v>9.8060680297408407</v>
      </c>
      <c r="AL4097">
        <v>83.079692562579893</v>
      </c>
      <c r="AM4097">
        <v>100.270219313393</v>
      </c>
      <c r="AN4097">
        <v>1.00000003402989</v>
      </c>
    </row>
    <row r="4098" spans="1:40" x14ac:dyDescent="0.25">
      <c r="A4098" t="str">
        <f>"20190303161954006"</f>
        <v>20190303161954006</v>
      </c>
      <c r="B4098" t="str">
        <f>"1551601193996347"</f>
        <v>1551601193996347</v>
      </c>
      <c r="C4098" t="s">
        <v>40</v>
      </c>
      <c r="D4098">
        <v>4.8939059999999897</v>
      </c>
      <c r="E4098">
        <v>0.41355180000000002</v>
      </c>
      <c r="F4098" t="s">
        <v>49</v>
      </c>
      <c r="G4098">
        <v>-482.10910000000001</v>
      </c>
      <c r="H4098" s="1">
        <v>1.3458549999999999E-6</v>
      </c>
      <c r="I4098">
        <v>276.1748</v>
      </c>
      <c r="J4098">
        <v>-472.161</v>
      </c>
      <c r="K4098">
        <v>1.124241</v>
      </c>
      <c r="L4098">
        <v>282.91629999999998</v>
      </c>
      <c r="M4098">
        <v>-0.97690270000000001</v>
      </c>
      <c r="N4098">
        <v>-1.429034E-2</v>
      </c>
      <c r="O4098">
        <v>-0.21320629999999999</v>
      </c>
      <c r="P4098">
        <v>-0.9182456</v>
      </c>
      <c r="Q4098">
        <v>0.107308399999999</v>
      </c>
      <c r="R4098">
        <v>-0.38119530000000001</v>
      </c>
      <c r="S4098">
        <v>-2.582703</v>
      </c>
      <c r="T4098">
        <v>-0.28824840000000002</v>
      </c>
      <c r="U4098">
        <v>-1.736359</v>
      </c>
      <c r="V4098">
        <v>-0.17740159999999999</v>
      </c>
      <c r="W4098">
        <v>0.1201522</v>
      </c>
      <c r="X4098">
        <v>0.97677639999999999</v>
      </c>
      <c r="Y4098">
        <v>-0.36701820000000002</v>
      </c>
      <c r="Z4098">
        <v>-3.1669689999999999E-3</v>
      </c>
      <c r="AA4098">
        <v>0.93020840000000005</v>
      </c>
      <c r="AB4098">
        <v>19</v>
      </c>
      <c r="AC4098">
        <v>-9.9481000000000002</v>
      </c>
      <c r="AD4098">
        <v>-1.1242396541449999</v>
      </c>
      <c r="AE4098">
        <v>-6.7414999999999701</v>
      </c>
      <c r="AF4098">
        <v>-4.4265065680930897</v>
      </c>
      <c r="AG4098">
        <v>-1.1242396541449999</v>
      </c>
      <c r="AH4098">
        <v>11.059996770958</v>
      </c>
      <c r="AI4098">
        <v>95.391123098059694</v>
      </c>
      <c r="AJ4098">
        <v>111.812608477973</v>
      </c>
      <c r="AK4098">
        <v>11.965843211864501</v>
      </c>
      <c r="AL4098">
        <v>83.099113498323405</v>
      </c>
      <c r="AM4098">
        <v>100.293824380315</v>
      </c>
      <c r="AN4098">
        <v>1.00000000722218</v>
      </c>
    </row>
    <row r="4099" spans="1:40" x14ac:dyDescent="0.25">
      <c r="A4099" t="str">
        <f>"20190303161954021"</f>
        <v>20190303161954021</v>
      </c>
      <c r="B4099" t="str">
        <f>"1551601194016842"</f>
        <v>1551601194016842</v>
      </c>
      <c r="C4099" t="s">
        <v>40</v>
      </c>
      <c r="D4099">
        <v>4.8300510000000001</v>
      </c>
      <c r="E4099">
        <v>0.40353749999999999</v>
      </c>
      <c r="F4099" t="s">
        <v>49</v>
      </c>
      <c r="G4099">
        <v>-481.40089999999998</v>
      </c>
      <c r="H4099" s="1">
        <v>1.328005E-6</v>
      </c>
      <c r="I4099">
        <v>276.43009999999998</v>
      </c>
      <c r="J4099">
        <v>-472.30110000000002</v>
      </c>
      <c r="K4099">
        <v>1.12422</v>
      </c>
      <c r="L4099">
        <v>282.8811</v>
      </c>
      <c r="M4099">
        <v>-0.97608600000000001</v>
      </c>
      <c r="N4099">
        <v>-1.4284710000000001E-2</v>
      </c>
      <c r="O4099">
        <v>-0.21691469999999999</v>
      </c>
      <c r="P4099">
        <v>-0.91662750000000004</v>
      </c>
      <c r="Q4099">
        <v>0.106672699999999</v>
      </c>
      <c r="R4099">
        <v>-0.38524659999999999</v>
      </c>
      <c r="S4099">
        <v>-2.5580440000000002</v>
      </c>
      <c r="T4099">
        <v>-0.3112452</v>
      </c>
      <c r="U4099">
        <v>-1.79568499999999</v>
      </c>
      <c r="V4099">
        <v>-0.17798129999999901</v>
      </c>
      <c r="W4099">
        <v>0.119514</v>
      </c>
      <c r="X4099">
        <v>0.97674919999999998</v>
      </c>
      <c r="Y4099">
        <v>-0.38197300000000001</v>
      </c>
      <c r="Z4099">
        <v>-3.5703979999999998E-3</v>
      </c>
      <c r="AA4099">
        <v>0.92416659999999995</v>
      </c>
      <c r="AB4099">
        <v>19</v>
      </c>
      <c r="AC4099">
        <v>-9.0997999999999593</v>
      </c>
      <c r="AD4099">
        <v>-1.124218671995</v>
      </c>
      <c r="AE4099">
        <v>-6.4510000000000201</v>
      </c>
      <c r="AF4099">
        <v>-4.2798175954395603</v>
      </c>
      <c r="AG4099">
        <v>-1.124218671995</v>
      </c>
      <c r="AH4099">
        <v>10.1791545270803</v>
      </c>
      <c r="AI4099">
        <v>95.813272647895602</v>
      </c>
      <c r="AJ4099">
        <v>112.804281250559</v>
      </c>
      <c r="AK4099">
        <v>11.099364538516401</v>
      </c>
      <c r="AL4099">
        <v>83.135944811615204</v>
      </c>
      <c r="AM4099">
        <v>100.327020559562</v>
      </c>
      <c r="AN4099">
        <v>0.99999996952316395</v>
      </c>
    </row>
    <row r="4100" spans="1:40" x14ac:dyDescent="0.25">
      <c r="A4100" t="str">
        <f>"20190303161954044"</f>
        <v>20190303161954044</v>
      </c>
      <c r="B4100" t="str">
        <f>"1551601194036363"</f>
        <v>1551601194036363</v>
      </c>
      <c r="C4100" t="s">
        <v>40</v>
      </c>
      <c r="D4100">
        <v>4.7639709999999997</v>
      </c>
      <c r="E4100">
        <v>0.39774680000000001</v>
      </c>
      <c r="F4100" t="s">
        <v>49</v>
      </c>
      <c r="G4100">
        <v>-481.64929999999998</v>
      </c>
      <c r="H4100" s="1">
        <v>1.256226E-6</v>
      </c>
      <c r="I4100">
        <v>275.89749999999998</v>
      </c>
      <c r="J4100">
        <v>-472.48200000000003</v>
      </c>
      <c r="K4100">
        <v>1.12419</v>
      </c>
      <c r="L4100">
        <v>282.83499999999998</v>
      </c>
      <c r="M4100">
        <v>-0.9750122</v>
      </c>
      <c r="N4100">
        <v>-1.427758E-2</v>
      </c>
      <c r="O4100">
        <v>-0.22169269999999999</v>
      </c>
      <c r="P4100">
        <v>-0.91481590000000002</v>
      </c>
      <c r="Q4100">
        <v>0.1058332</v>
      </c>
      <c r="R4100">
        <v>-0.38975850000000001</v>
      </c>
      <c r="S4100">
        <v>-2.5176090000000002</v>
      </c>
      <c r="T4100">
        <v>-0.30276730000000002</v>
      </c>
      <c r="U4100">
        <v>-1.880798</v>
      </c>
      <c r="V4100">
        <v>-0.17797779999999999</v>
      </c>
      <c r="W4100">
        <v>0.1186779</v>
      </c>
      <c r="X4100">
        <v>0.97685180000000005</v>
      </c>
      <c r="Y4100">
        <v>-0.40460770000000001</v>
      </c>
      <c r="Z4100">
        <v>-4.6087080000000004E-3</v>
      </c>
      <c r="AA4100">
        <v>0.91447880000000004</v>
      </c>
      <c r="AB4100">
        <v>19</v>
      </c>
      <c r="AC4100">
        <v>-9.1673000000000098</v>
      </c>
      <c r="AD4100">
        <v>-1.1241887437739999</v>
      </c>
      <c r="AE4100">
        <v>-6.9375</v>
      </c>
      <c r="AF4100">
        <v>-4.6874833520806796</v>
      </c>
      <c r="AG4100">
        <v>-1.1241887437739999</v>
      </c>
      <c r="AH4100">
        <v>10.3780533594097</v>
      </c>
      <c r="AI4100">
        <v>95.6380161221865</v>
      </c>
      <c r="AJ4100">
        <v>114.30739477534</v>
      </c>
      <c r="AK4100">
        <v>11.442914490566499</v>
      </c>
      <c r="AL4100">
        <v>83.184193353376301</v>
      </c>
      <c r="AM4100">
        <v>100.325760543353</v>
      </c>
      <c r="AN4100">
        <v>0.99999999020224495</v>
      </c>
    </row>
    <row r="4101" spans="1:40" x14ac:dyDescent="0.25">
      <c r="A4101" t="str">
        <f>"20190303161954066"</f>
        <v>20190303161954066</v>
      </c>
      <c r="B4101" t="str">
        <f>"1551601194056858"</f>
        <v>1551601194056858</v>
      </c>
      <c r="C4101" t="s">
        <v>40</v>
      </c>
      <c r="D4101">
        <v>4.7711319999999997</v>
      </c>
      <c r="E4101">
        <v>0.39482119999999998</v>
      </c>
      <c r="F4101" t="s">
        <v>49</v>
      </c>
      <c r="G4101">
        <v>-482.24790000000002</v>
      </c>
      <c r="H4101" s="1">
        <v>1.193475E-6</v>
      </c>
      <c r="I4101">
        <v>275.23970000000003</v>
      </c>
      <c r="J4101">
        <v>-472.66109999999998</v>
      </c>
      <c r="K4101">
        <v>1.124152</v>
      </c>
      <c r="L4101">
        <v>282.78840000000002</v>
      </c>
      <c r="M4101">
        <v>-0.97392959999999995</v>
      </c>
      <c r="N4101">
        <v>-1.427046E-2</v>
      </c>
      <c r="O4101">
        <v>-0.22640099999999999</v>
      </c>
      <c r="P4101">
        <v>-0.91365090000000004</v>
      </c>
      <c r="Q4101">
        <v>0.1036995</v>
      </c>
      <c r="R4101">
        <v>-0.39305020000000002</v>
      </c>
      <c r="S4101">
        <v>-2.4880680000000002</v>
      </c>
      <c r="T4101">
        <v>-0.2864119</v>
      </c>
      <c r="U4101">
        <v>-1.9350590000000001</v>
      </c>
      <c r="V4101">
        <v>-0.17669889999999999</v>
      </c>
      <c r="W4101">
        <v>0.11656080000000001</v>
      </c>
      <c r="X4101">
        <v>0.97733879999999995</v>
      </c>
      <c r="Y4101">
        <v>-0.41795589999999999</v>
      </c>
      <c r="Z4101">
        <v>-5.0901870000000004E-3</v>
      </c>
      <c r="AA4101">
        <v>0.90845299999999995</v>
      </c>
      <c r="AB4101">
        <v>19</v>
      </c>
      <c r="AC4101">
        <v>-9.5868000000000393</v>
      </c>
      <c r="AD4101">
        <v>-1.1241508065250001</v>
      </c>
      <c r="AE4101">
        <v>-7.5486999999999904</v>
      </c>
      <c r="AF4101">
        <v>-5.1383568265531103</v>
      </c>
      <c r="AG4101">
        <v>-1.1241508065250001</v>
      </c>
      <c r="AH4101">
        <v>10.9540532393574</v>
      </c>
      <c r="AI4101">
        <v>95.308118119079793</v>
      </c>
      <c r="AJ4101">
        <v>115.130461047452</v>
      </c>
      <c r="AK4101">
        <v>12.1514488141732</v>
      </c>
      <c r="AL4101">
        <v>83.306342376620194</v>
      </c>
      <c r="AM4101">
        <v>100.24814112321</v>
      </c>
      <c r="AN4101">
        <v>1.0000000256716399</v>
      </c>
    </row>
    <row r="4102" spans="1:40" x14ac:dyDescent="0.25">
      <c r="A4102" t="str">
        <f>"20190303161954089"</f>
        <v>20190303161954089</v>
      </c>
      <c r="B4102" t="str">
        <f>"1551601194076380"</f>
        <v>1551601194076380</v>
      </c>
      <c r="C4102" t="s">
        <v>40</v>
      </c>
      <c r="D4102">
        <v>4.6690420000000001</v>
      </c>
      <c r="E4102">
        <v>0.39159159999999998</v>
      </c>
      <c r="F4102" t="s">
        <v>42</v>
      </c>
      <c r="G4102">
        <v>-473.44799999999998</v>
      </c>
      <c r="H4102">
        <v>1.031955</v>
      </c>
      <c r="I4102">
        <v>282.16239999999999</v>
      </c>
      <c r="J4102">
        <v>-472.84750000000003</v>
      </c>
      <c r="K4102">
        <v>1.1241190000000001</v>
      </c>
      <c r="L4102">
        <v>282.7389</v>
      </c>
      <c r="M4102">
        <v>-0.97278310000000001</v>
      </c>
      <c r="N4102">
        <v>-1.4263E-2</v>
      </c>
      <c r="O4102">
        <v>-0.23127819999999999</v>
      </c>
      <c r="P4102">
        <v>-0.91336260000000002</v>
      </c>
      <c r="Q4102">
        <v>0.1013105</v>
      </c>
      <c r="R4102">
        <v>-0.3943411</v>
      </c>
      <c r="S4102">
        <v>-2.4708860000000001</v>
      </c>
      <c r="T4102">
        <v>-0.28951470000000001</v>
      </c>
      <c r="U4102">
        <v>-1.965454</v>
      </c>
      <c r="V4102">
        <v>-0.173093</v>
      </c>
      <c r="W4102">
        <v>0.11420959999999999</v>
      </c>
      <c r="X4102">
        <v>0.97826120000000005</v>
      </c>
      <c r="Y4102">
        <v>-0.42330420000000002</v>
      </c>
      <c r="Z4102">
        <v>-4.9908050000000001E-3</v>
      </c>
      <c r="AA4102">
        <v>0.9059739</v>
      </c>
      <c r="AB4102">
        <v>19</v>
      </c>
      <c r="AC4102">
        <v>-0.60050000000001003</v>
      </c>
      <c r="AD4102">
        <v>-9.2164000000000093E-2</v>
      </c>
      <c r="AE4102">
        <v>-0.57650000000001</v>
      </c>
      <c r="AF4102">
        <v>-0.41685995781589802</v>
      </c>
      <c r="AG4102">
        <v>-9.2164000000000093E-2</v>
      </c>
      <c r="AH4102">
        <v>0.70887178464425704</v>
      </c>
      <c r="AI4102">
        <v>96.394623094673406</v>
      </c>
      <c r="AJ4102">
        <v>120.458131655873</v>
      </c>
      <c r="AK4102">
        <v>0.82750567030746502</v>
      </c>
      <c r="AL4102">
        <v>83.4419618844925</v>
      </c>
      <c r="AM4102">
        <v>100.03403026150799</v>
      </c>
      <c r="AN4102">
        <v>0.99999999740330003</v>
      </c>
    </row>
    <row r="4103" spans="1:40" x14ac:dyDescent="0.25">
      <c r="A4103" t="str">
        <f>"20190303161954102"</f>
        <v>20190303161954102</v>
      </c>
      <c r="B4103" t="str">
        <f>"1551601194096875"</f>
        <v>1551601194096875</v>
      </c>
      <c r="C4103" t="s">
        <v>40</v>
      </c>
      <c r="D4103">
        <v>4.6506639999999999</v>
      </c>
      <c r="E4103">
        <v>0.38973269999999999</v>
      </c>
      <c r="F4103" t="s">
        <v>42</v>
      </c>
      <c r="G4103">
        <v>-473.62599999999998</v>
      </c>
      <c r="H4103">
        <v>1.03027</v>
      </c>
      <c r="I4103">
        <v>282.10739999999998</v>
      </c>
      <c r="J4103">
        <v>-472.96109999999999</v>
      </c>
      <c r="K4103">
        <v>1.124104</v>
      </c>
      <c r="L4103">
        <v>282.70830000000001</v>
      </c>
      <c r="M4103">
        <v>-0.97207469999999996</v>
      </c>
      <c r="N4103">
        <v>-1.425854E-2</v>
      </c>
      <c r="O4103">
        <v>-0.23423820000000001</v>
      </c>
      <c r="P4103">
        <v>-0.91295479999999996</v>
      </c>
      <c r="Q4103">
        <v>0.1005593</v>
      </c>
      <c r="R4103">
        <v>-0.3954763</v>
      </c>
      <c r="S4103">
        <v>-2.4567570000000001</v>
      </c>
      <c r="T4103">
        <v>-0.29615330000000001</v>
      </c>
      <c r="U4103">
        <v>-1.9933780000000001</v>
      </c>
      <c r="V4103">
        <v>-0.17130010000000001</v>
      </c>
      <c r="W4103">
        <v>0.1134767</v>
      </c>
      <c r="X4103">
        <v>0.97866200000000003</v>
      </c>
      <c r="Y4103">
        <v>-0.4292473</v>
      </c>
      <c r="Z4103">
        <v>-5.0698459999999898E-3</v>
      </c>
      <c r="AA4103">
        <v>0.90317270000000005</v>
      </c>
      <c r="AB4103">
        <v>19</v>
      </c>
      <c r="AC4103">
        <v>-0.66489999999998795</v>
      </c>
      <c r="AD4103">
        <v>-9.3833999999999904E-2</v>
      </c>
      <c r="AE4103">
        <v>-0.60090000000002397</v>
      </c>
      <c r="AF4103">
        <v>-0.42377261968931901</v>
      </c>
      <c r="AG4103">
        <v>-9.3833999999999904E-2</v>
      </c>
      <c r="AH4103">
        <v>0.77863042716716502</v>
      </c>
      <c r="AI4103">
        <v>96.042258089624497</v>
      </c>
      <c r="AJ4103">
        <v>118.55741340319</v>
      </c>
      <c r="AK4103">
        <v>0.89143333730844398</v>
      </c>
      <c r="AL4103">
        <v>83.484228754209298</v>
      </c>
      <c r="AM4103">
        <v>99.928191078298894</v>
      </c>
      <c r="AN4103">
        <v>0.99999999797344996</v>
      </c>
    </row>
    <row r="4104" spans="1:40" x14ac:dyDescent="0.25">
      <c r="A4104" t="str">
        <f>"20190303161954115"</f>
        <v>20190303161954115</v>
      </c>
      <c r="B4104" t="str">
        <f>"1551601194106635"</f>
        <v>1551601194106635</v>
      </c>
      <c r="C4104" t="s">
        <v>40</v>
      </c>
      <c r="D4104">
        <v>4.665648</v>
      </c>
      <c r="E4104">
        <v>0.38900699999999999</v>
      </c>
      <c r="F4104" t="s">
        <v>49</v>
      </c>
      <c r="G4104">
        <v>-482.20330000000001</v>
      </c>
      <c r="H4104" s="1">
        <v>1.1678770000000001E-6</v>
      </c>
      <c r="I4104">
        <v>275.11689999999999</v>
      </c>
      <c r="J4104">
        <v>-473.06540000000001</v>
      </c>
      <c r="K4104">
        <v>1.1240859999999999</v>
      </c>
      <c r="L4104">
        <v>282.6798</v>
      </c>
      <c r="M4104">
        <v>-0.97141789999999995</v>
      </c>
      <c r="N4104">
        <v>-1.4254350000000001E-2</v>
      </c>
      <c r="O4104">
        <v>-0.23694760000000001</v>
      </c>
      <c r="P4104">
        <v>-0.91273280000000001</v>
      </c>
      <c r="Q4104">
        <v>9.9933939999999999E-2</v>
      </c>
      <c r="R4104">
        <v>-0.39614650000000001</v>
      </c>
      <c r="S4104">
        <v>-2.4478149999999999</v>
      </c>
      <c r="T4104">
        <v>-0.29772280000000001</v>
      </c>
      <c r="U4104">
        <v>-2.0106199999999999</v>
      </c>
      <c r="V4104">
        <v>-0.16926279999999999</v>
      </c>
      <c r="W4104">
        <v>0.11287079999999999</v>
      </c>
      <c r="X4104">
        <v>0.97908649999999997</v>
      </c>
      <c r="Y4104">
        <v>-0.4321353</v>
      </c>
      <c r="Z4104">
        <v>-5.0073419999999997E-3</v>
      </c>
      <c r="AA4104">
        <v>0.90179489999999995</v>
      </c>
      <c r="AB4104">
        <v>19</v>
      </c>
      <c r="AC4104">
        <v>-9.1379000000000001</v>
      </c>
      <c r="AD4104">
        <v>-1.1240848321229999</v>
      </c>
      <c r="AE4104">
        <v>-7.5629000000000097</v>
      </c>
      <c r="AF4104">
        <v>-5.1359351438016798</v>
      </c>
      <c r="AG4104">
        <v>-1.1240848321229999</v>
      </c>
      <c r="AH4104">
        <v>10.574845127527301</v>
      </c>
      <c r="AI4104">
        <v>95.461868447819199</v>
      </c>
      <c r="AJ4104">
        <v>115.904674614778</v>
      </c>
      <c r="AK4104">
        <v>11.809688648831299</v>
      </c>
      <c r="AL4104">
        <v>83.519169047445402</v>
      </c>
      <c r="AM4104">
        <v>99.808250444366195</v>
      </c>
      <c r="AN4104">
        <v>1.0000000437193599</v>
      </c>
    </row>
    <row r="4105" spans="1:40" x14ac:dyDescent="0.25">
      <c r="A4105" t="str">
        <f>"20190303161954128"</f>
        <v>20190303161954128</v>
      </c>
      <c r="B4105" t="str">
        <f>"1551601194116394"</f>
        <v>1551601194116394</v>
      </c>
      <c r="C4105" t="s">
        <v>40</v>
      </c>
      <c r="D4105">
        <v>4.6460369999999998</v>
      </c>
      <c r="E4105">
        <v>0.38834109999999999</v>
      </c>
      <c r="F4105" t="s">
        <v>49</v>
      </c>
      <c r="G4105">
        <v>-482.274</v>
      </c>
      <c r="H4105" s="1">
        <v>1.1667810000000001E-6</v>
      </c>
      <c r="I4105">
        <v>275.07499999999999</v>
      </c>
      <c r="J4105">
        <v>-473.17509999999999</v>
      </c>
      <c r="K4105">
        <v>1.1240650000000001</v>
      </c>
      <c r="L4105">
        <v>282.64960000000002</v>
      </c>
      <c r="M4105">
        <v>-0.97071940000000001</v>
      </c>
      <c r="N4105">
        <v>-1.4249919999999999E-2</v>
      </c>
      <c r="O4105">
        <v>-0.23979349999999999</v>
      </c>
      <c r="P4105">
        <v>-0.91238859999999999</v>
      </c>
      <c r="Q4105">
        <v>9.9069829999999998E-2</v>
      </c>
      <c r="R4105">
        <v>-0.3971556</v>
      </c>
      <c r="S4105">
        <v>-2.4436339999999999</v>
      </c>
      <c r="T4105">
        <v>-0.29829</v>
      </c>
      <c r="U4105">
        <v>-2.0180359999999999</v>
      </c>
      <c r="V4105">
        <v>-0.16744200000000001</v>
      </c>
      <c r="W4105">
        <v>0.1120245</v>
      </c>
      <c r="X4105">
        <v>0.9794967</v>
      </c>
      <c r="Y4105">
        <v>-0.4318861</v>
      </c>
      <c r="Z4105">
        <v>-4.743822E-3</v>
      </c>
      <c r="AA4105">
        <v>0.90191569999999999</v>
      </c>
      <c r="AB4105">
        <v>19</v>
      </c>
      <c r="AC4105">
        <v>-9.0989000000000093</v>
      </c>
      <c r="AD4105">
        <v>-1.1240638332189901</v>
      </c>
      <c r="AE4105">
        <v>-7.5746000000000304</v>
      </c>
      <c r="AF4105">
        <v>-5.1252767905725003</v>
      </c>
      <c r="AG4105">
        <v>-1.1240638332189901</v>
      </c>
      <c r="AH4105">
        <v>10.5547529207835</v>
      </c>
      <c r="AI4105">
        <v>95.472283355951106</v>
      </c>
      <c r="AJ4105">
        <v>115.90072102145599</v>
      </c>
      <c r="AK4105">
        <v>11.7870603162926</v>
      </c>
      <c r="AL4105">
        <v>83.567967996588493</v>
      </c>
      <c r="AM4105">
        <v>99.700770839456496</v>
      </c>
      <c r="AN4105">
        <v>1.00000004863756</v>
      </c>
    </row>
    <row r="4106" spans="1:40" x14ac:dyDescent="0.25">
      <c r="A4106" t="str">
        <f>"20190303161954143"</f>
        <v>20190303161954143</v>
      </c>
      <c r="B4106" t="str">
        <f>"1551601194136891"</f>
        <v>1551601194136891</v>
      </c>
      <c r="C4106" t="s">
        <v>40</v>
      </c>
      <c r="D4106">
        <v>4.6749260000000001</v>
      </c>
      <c r="E4106">
        <v>0.38746249999999999</v>
      </c>
      <c r="F4106" t="s">
        <v>42</v>
      </c>
      <c r="G4106">
        <v>-473.93860000000001</v>
      </c>
      <c r="H4106">
        <v>1.0304150000000001</v>
      </c>
      <c r="I4106">
        <v>282.01580000000001</v>
      </c>
      <c r="J4106">
        <v>-473.29939999999999</v>
      </c>
      <c r="K4106">
        <v>1.1240380000000001</v>
      </c>
      <c r="L4106">
        <v>282.61500000000001</v>
      </c>
      <c r="M4106">
        <v>-0.96992089999999997</v>
      </c>
      <c r="N4106">
        <v>-1.424482E-2</v>
      </c>
      <c r="O4106">
        <v>-0.2430031</v>
      </c>
      <c r="P4106">
        <v>-0.91241439999999996</v>
      </c>
      <c r="Q4106">
        <v>9.7843570000000005E-2</v>
      </c>
      <c r="R4106">
        <v>-0.39740009999999998</v>
      </c>
      <c r="S4106">
        <v>-2.4387509999999999</v>
      </c>
      <c r="T4106">
        <v>-0.29914930000000001</v>
      </c>
      <c r="U4106">
        <v>-2.025757</v>
      </c>
      <c r="V4106">
        <v>-0.16441539999999999</v>
      </c>
      <c r="W4106">
        <v>0.1108276</v>
      </c>
      <c r="X4106">
        <v>0.9801453</v>
      </c>
      <c r="Y4106">
        <v>-0.4314887</v>
      </c>
      <c r="Z4106">
        <v>-4.4362630000000002E-3</v>
      </c>
      <c r="AA4106">
        <v>0.90210749999999995</v>
      </c>
      <c r="AB4106">
        <v>19</v>
      </c>
      <c r="AC4106">
        <v>-0.63920000000001598</v>
      </c>
      <c r="AD4106">
        <v>-9.3622999999999998E-2</v>
      </c>
      <c r="AE4106">
        <v>-0.59919999999999596</v>
      </c>
      <c r="AF4106">
        <v>-0.421083967011534</v>
      </c>
      <c r="AG4106">
        <v>-9.3622999999999998E-2</v>
      </c>
      <c r="AH4106">
        <v>0.7570143985783</v>
      </c>
      <c r="AI4106">
        <v>96.168524964013102</v>
      </c>
      <c r="AJ4106">
        <v>119.084693835675</v>
      </c>
      <c r="AK4106">
        <v>0.87129086593286198</v>
      </c>
      <c r="AL4106">
        <v>83.636974698259905</v>
      </c>
      <c r="AM4106">
        <v>99.522478474632806</v>
      </c>
      <c r="AN4106">
        <v>0.99999999489550395</v>
      </c>
    </row>
    <row r="4107" spans="1:40" x14ac:dyDescent="0.25">
      <c r="A4107" t="str">
        <f>"20190303161954156"</f>
        <v>20190303161954156</v>
      </c>
      <c r="B4107" t="str">
        <f>"1551601194146651"</f>
        <v>1551601194146651</v>
      </c>
      <c r="C4107" t="s">
        <v>40</v>
      </c>
      <c r="D4107">
        <v>4.6744789999999998</v>
      </c>
      <c r="E4107">
        <v>0.38686209999999999</v>
      </c>
      <c r="F4107" t="s">
        <v>49</v>
      </c>
      <c r="G4107">
        <v>-482.37220000000002</v>
      </c>
      <c r="H4107" s="1">
        <v>1.1702790000000001E-6</v>
      </c>
      <c r="I4107">
        <v>275.04539999999997</v>
      </c>
      <c r="J4107">
        <v>-473.39859999999999</v>
      </c>
      <c r="K4107">
        <v>1.12402</v>
      </c>
      <c r="L4107">
        <v>282.58690000000001</v>
      </c>
      <c r="M4107">
        <v>-0.9692788</v>
      </c>
      <c r="N4107">
        <v>-1.424066E-2</v>
      </c>
      <c r="O4107">
        <v>-0.2455524</v>
      </c>
      <c r="P4107">
        <v>-0.91182070000000004</v>
      </c>
      <c r="Q4107">
        <v>9.7108410000000006E-2</v>
      </c>
      <c r="R4107">
        <v>-0.39893980000000001</v>
      </c>
      <c r="S4107">
        <v>-2.4353639999999999</v>
      </c>
      <c r="T4107">
        <v>-0.30171920000000002</v>
      </c>
      <c r="U4107">
        <v>-2.03186</v>
      </c>
      <c r="V4107">
        <v>-0.16346340000000001</v>
      </c>
      <c r="W4107">
        <v>0.1101029</v>
      </c>
      <c r="X4107">
        <v>0.98038619999999999</v>
      </c>
      <c r="Y4107">
        <v>-0.43106119999999998</v>
      </c>
      <c r="Z4107">
        <v>-4.1686470000000002E-3</v>
      </c>
      <c r="AA4107">
        <v>0.90231309999999998</v>
      </c>
      <c r="AB4107">
        <v>19</v>
      </c>
      <c r="AC4107">
        <v>-8.9736000000000296</v>
      </c>
      <c r="AD4107">
        <v>-1.1240188297210001</v>
      </c>
      <c r="AE4107">
        <v>-7.5415000000000401</v>
      </c>
      <c r="AF4107">
        <v>-5.0603138574830302</v>
      </c>
      <c r="AG4107">
        <v>-1.1240188297210001</v>
      </c>
      <c r="AH4107">
        <v>10.4546896625373</v>
      </c>
      <c r="AI4107">
        <v>95.527493107813996</v>
      </c>
      <c r="AJ4107">
        <v>115.82806580178</v>
      </c>
      <c r="AK4107">
        <v>11.6692215081284</v>
      </c>
      <c r="AL4107">
        <v>83.678752769079907</v>
      </c>
      <c r="AM4107">
        <v>99.466058035993299</v>
      </c>
      <c r="AN4107">
        <v>1.0000000164392</v>
      </c>
    </row>
    <row r="4108" spans="1:40" x14ac:dyDescent="0.25">
      <c r="A4108" t="str">
        <f>"20190303161954170"</f>
        <v>20190303161954170</v>
      </c>
      <c r="B4108" t="str">
        <f>"1551601194166171"</f>
        <v>1551601194166171</v>
      </c>
      <c r="C4108" t="s">
        <v>40</v>
      </c>
      <c r="D4108">
        <v>4.8519379999999996</v>
      </c>
      <c r="E4108">
        <v>0.38642799999999999</v>
      </c>
      <c r="F4108" t="s">
        <v>49</v>
      </c>
      <c r="G4108">
        <v>-482.3904</v>
      </c>
      <c r="H4108" s="1">
        <v>1.1709540000000001E-6</v>
      </c>
      <c r="I4108">
        <v>275.0401</v>
      </c>
      <c r="J4108">
        <v>-473.50889999999998</v>
      </c>
      <c r="K4108">
        <v>1.1239980000000001</v>
      </c>
      <c r="L4108">
        <v>282.55549999999999</v>
      </c>
      <c r="M4108">
        <v>-0.96855939999999996</v>
      </c>
      <c r="N4108">
        <v>-1.423599E-2</v>
      </c>
      <c r="O4108">
        <v>-0.24837500000000001</v>
      </c>
      <c r="P4108">
        <v>-0.91092439999999997</v>
      </c>
      <c r="Q4108">
        <v>9.6308030000000003E-2</v>
      </c>
      <c r="R4108">
        <v>-0.40117580000000003</v>
      </c>
      <c r="S4108">
        <v>-2.4300839999999999</v>
      </c>
      <c r="T4108">
        <v>-0.30377330000000002</v>
      </c>
      <c r="U4108">
        <v>-2.0395810000000001</v>
      </c>
      <c r="V4108">
        <v>-0.16298170000000001</v>
      </c>
      <c r="W4108">
        <v>0.10931</v>
      </c>
      <c r="X4108">
        <v>0.98055510000000001</v>
      </c>
      <c r="Y4108">
        <v>-0.43107630000000002</v>
      </c>
      <c r="Z4108">
        <v>-3.903934E-3</v>
      </c>
      <c r="AA4108">
        <v>0.90230699999999997</v>
      </c>
      <c r="AB4108">
        <v>19</v>
      </c>
      <c r="AC4108">
        <v>-8.8815000000000097</v>
      </c>
      <c r="AD4108">
        <v>-1.1239968290459901</v>
      </c>
      <c r="AE4108">
        <v>-7.5153999999999996</v>
      </c>
      <c r="AF4108">
        <v>-5.0267665830101</v>
      </c>
      <c r="AG4108">
        <v>-1.1239968290459901</v>
      </c>
      <c r="AH4108">
        <v>10.3731431225647</v>
      </c>
      <c r="AI4108">
        <v>95.569326007394807</v>
      </c>
      <c r="AJ4108">
        <v>115.85456635011499</v>
      </c>
      <c r="AK4108">
        <v>11.581616873001099</v>
      </c>
      <c r="AL4108">
        <v>83.724458414307094</v>
      </c>
      <c r="AM4108">
        <v>99.437069209939907</v>
      </c>
      <c r="AN4108">
        <v>1.00000000738545</v>
      </c>
    </row>
    <row r="4109" spans="1:40" x14ac:dyDescent="0.25">
      <c r="A4109" t="str">
        <f>"20190303161954182"</f>
        <v>20190303161954182</v>
      </c>
      <c r="B4109" t="str">
        <f>"1551601194176906"</f>
        <v>1551601194176906</v>
      </c>
      <c r="C4109" t="s">
        <v>40</v>
      </c>
      <c r="D4109">
        <v>4.6746780000000001</v>
      </c>
      <c r="E4109">
        <v>0.38613690000000001</v>
      </c>
      <c r="F4109" t="s">
        <v>42</v>
      </c>
      <c r="G4109">
        <v>-474.27210000000002</v>
      </c>
      <c r="H4109">
        <v>1.0288949999999999</v>
      </c>
      <c r="I4109">
        <v>281.91079999999999</v>
      </c>
      <c r="J4109">
        <v>-473.61840000000001</v>
      </c>
      <c r="K4109">
        <v>1.123974</v>
      </c>
      <c r="L4109">
        <v>282.524</v>
      </c>
      <c r="M4109">
        <v>-0.96783920000000001</v>
      </c>
      <c r="N4109">
        <v>-1.4231209999999999E-2</v>
      </c>
      <c r="O4109">
        <v>-0.25116709999999998</v>
      </c>
      <c r="P4109">
        <v>-0.90979209999999999</v>
      </c>
      <c r="Q4109">
        <v>9.5835429999999999E-2</v>
      </c>
      <c r="R4109">
        <v>-0.40384940000000003</v>
      </c>
      <c r="S4109">
        <v>-2.4234619999999998</v>
      </c>
      <c r="T4109">
        <v>-0.30195029999999901</v>
      </c>
      <c r="U4109">
        <v>-2.0476990000000002</v>
      </c>
      <c r="V4109">
        <v>-0.16301309999999999</v>
      </c>
      <c r="W4109">
        <v>0.1088412</v>
      </c>
      <c r="X4109">
        <v>0.98060199999999997</v>
      </c>
      <c r="Y4109">
        <v>-0.43147419999999997</v>
      </c>
      <c r="Z4109">
        <v>-3.6994609999999998E-3</v>
      </c>
      <c r="AA4109">
        <v>0.90211770000000002</v>
      </c>
      <c r="AB4109">
        <v>19</v>
      </c>
      <c r="AC4109">
        <v>-0.65370000000001405</v>
      </c>
      <c r="AD4109">
        <v>-9.50789999999999E-2</v>
      </c>
      <c r="AE4109">
        <v>-0.61320000000000596</v>
      </c>
      <c r="AF4109">
        <v>-0.42455694069244099</v>
      </c>
      <c r="AG4109">
        <v>-9.50789999999999E-2</v>
      </c>
      <c r="AH4109">
        <v>0.77801669000304396</v>
      </c>
      <c r="AI4109">
        <v>96.122943958442306</v>
      </c>
      <c r="AJ4109">
        <v>118.62091330413899</v>
      </c>
      <c r="AK4109">
        <v>0.89140259257779697</v>
      </c>
      <c r="AL4109">
        <v>83.751479728840394</v>
      </c>
      <c r="AM4109">
        <v>99.438411322326701</v>
      </c>
      <c r="AN4109">
        <v>0.99999997999652401</v>
      </c>
    </row>
    <row r="4110" spans="1:40" x14ac:dyDescent="0.25">
      <c r="A4110" t="str">
        <f>"20190303161954199"</f>
        <v>20190303161954199</v>
      </c>
      <c r="B4110" t="str">
        <f>"1551601194186667"</f>
        <v>1551601194186667</v>
      </c>
      <c r="C4110" t="s">
        <v>40</v>
      </c>
      <c r="D4110">
        <v>4.6645399999999997</v>
      </c>
      <c r="E4110">
        <v>0.3858568</v>
      </c>
      <c r="F4110" t="s">
        <v>49</v>
      </c>
      <c r="G4110">
        <v>-482.59449999999998</v>
      </c>
      <c r="H4110" s="1">
        <v>1.1622230000000001E-6</v>
      </c>
      <c r="I4110">
        <v>274.88780000000003</v>
      </c>
      <c r="J4110">
        <v>-473.75170000000003</v>
      </c>
      <c r="K4110">
        <v>1.1239490000000001</v>
      </c>
      <c r="L4110">
        <v>282.48509999999999</v>
      </c>
      <c r="M4110">
        <v>-0.96695719999999996</v>
      </c>
      <c r="N4110">
        <v>-1.422524E-2</v>
      </c>
      <c r="O4110">
        <v>-0.25454149999999998</v>
      </c>
      <c r="P4110">
        <v>-0.90800919999999896</v>
      </c>
      <c r="Q4110">
        <v>9.5877989999999996E-2</v>
      </c>
      <c r="R4110">
        <v>-0.40783190000000002</v>
      </c>
      <c r="S4110">
        <v>-2.4166560000000001</v>
      </c>
      <c r="T4110">
        <v>-0.3026122</v>
      </c>
      <c r="U4110">
        <v>-2.055939</v>
      </c>
      <c r="V4110">
        <v>-0.1638858</v>
      </c>
      <c r="W4110">
        <v>0.10888009999999999</v>
      </c>
      <c r="X4110">
        <v>0.9804522</v>
      </c>
      <c r="Y4110">
        <v>-0.43137379999999997</v>
      </c>
      <c r="Z4110">
        <v>-3.3888569999999999E-3</v>
      </c>
      <c r="AA4110">
        <v>0.90216689999999999</v>
      </c>
      <c r="AB4110">
        <v>19</v>
      </c>
      <c r="AC4110">
        <v>-8.8427999999999507</v>
      </c>
      <c r="AD4110">
        <v>-1.123947837777</v>
      </c>
      <c r="AE4110">
        <v>-7.5972999999999598</v>
      </c>
      <c r="AF4110">
        <v>-5.04899203325889</v>
      </c>
      <c r="AG4110">
        <v>-1.123947837777</v>
      </c>
      <c r="AH4110">
        <v>10.388938050137501</v>
      </c>
      <c r="AI4110">
        <v>95.5576274273688</v>
      </c>
      <c r="AJ4110">
        <v>115.919609769649</v>
      </c>
      <c r="AK4110">
        <v>11.6054130949118</v>
      </c>
      <c r="AL4110">
        <v>83.749237560722605</v>
      </c>
      <c r="AM4110">
        <v>99.489447354935507</v>
      </c>
      <c r="AN4110">
        <v>0.99999997405124397</v>
      </c>
    </row>
    <row r="4111" spans="1:40" x14ac:dyDescent="0.25">
      <c r="A4111" t="str">
        <f>"20190303161954213"</f>
        <v>20190303161954213</v>
      </c>
      <c r="B4111" t="str">
        <f>"1551601194206187"</f>
        <v>1551601194206187</v>
      </c>
      <c r="C4111" t="s">
        <v>40</v>
      </c>
      <c r="D4111">
        <v>4.6753720000000003</v>
      </c>
      <c r="E4111">
        <v>0.38541019999999998</v>
      </c>
      <c r="F4111" t="s">
        <v>49</v>
      </c>
      <c r="G4111">
        <v>-482.72410000000002</v>
      </c>
      <c r="H4111" s="1">
        <v>1.1537479999999999E-6</v>
      </c>
      <c r="I4111">
        <v>274.77429999999998</v>
      </c>
      <c r="J4111">
        <v>-473.86720000000003</v>
      </c>
      <c r="K4111">
        <v>1.1239209999999999</v>
      </c>
      <c r="L4111">
        <v>282.4511</v>
      </c>
      <c r="M4111">
        <v>-0.96618680000000001</v>
      </c>
      <c r="N4111">
        <v>-1.421994E-2</v>
      </c>
      <c r="O4111">
        <v>-0.25745089999999998</v>
      </c>
      <c r="P4111">
        <v>-0.90630040000000001</v>
      </c>
      <c r="Q4111">
        <v>9.6030740000000003E-2</v>
      </c>
      <c r="R4111">
        <v>-0.41157969999999999</v>
      </c>
      <c r="S4111">
        <v>-2.4067989999999999</v>
      </c>
      <c r="T4111">
        <v>-0.30149409999999999</v>
      </c>
      <c r="U4111">
        <v>-2.06839</v>
      </c>
      <c r="V4111">
        <v>-0.16498589999999999</v>
      </c>
      <c r="W4111">
        <v>0.1090275</v>
      </c>
      <c r="X4111">
        <v>0.98025130000000005</v>
      </c>
      <c r="Y4111">
        <v>-0.4331777</v>
      </c>
      <c r="Z4111">
        <v>-3.2565459999999999E-3</v>
      </c>
      <c r="AA4111">
        <v>0.90130270000000001</v>
      </c>
      <c r="AB4111">
        <v>19</v>
      </c>
      <c r="AC4111">
        <v>-8.8568999999999907</v>
      </c>
      <c r="AD4111">
        <v>-1.1239198462519999</v>
      </c>
      <c r="AE4111">
        <v>-7.6768000000000098</v>
      </c>
      <c r="AF4111">
        <v>-5.0907157843914401</v>
      </c>
      <c r="AG4111">
        <v>-1.1239198462519999</v>
      </c>
      <c r="AH4111">
        <v>10.4388974549442</v>
      </c>
      <c r="AI4111">
        <v>95.527443944210802</v>
      </c>
      <c r="AJ4111">
        <v>115.997008385073</v>
      </c>
      <c r="AK4111">
        <v>11.6682973519315</v>
      </c>
      <c r="AL4111">
        <v>83.740741603336403</v>
      </c>
      <c r="AM4111">
        <v>99.553897871338805</v>
      </c>
      <c r="AN4111">
        <v>0.99999997705337396</v>
      </c>
    </row>
    <row r="4112" spans="1:40" x14ac:dyDescent="0.25">
      <c r="A4112" t="str">
        <f>"20190303161954245"</f>
        <v>20190303161954245</v>
      </c>
      <c r="B4112" t="str">
        <f>"1551601194236442"</f>
        <v>1551601194236442</v>
      </c>
      <c r="C4112" t="s">
        <v>40</v>
      </c>
      <c r="D4112">
        <v>4.6818679999999997</v>
      </c>
      <c r="E4112">
        <v>0.3848896</v>
      </c>
      <c r="F4112" t="s">
        <v>42</v>
      </c>
      <c r="G4112">
        <v>-474.6275</v>
      </c>
      <c r="H4112">
        <v>1.029407</v>
      </c>
      <c r="I4112">
        <v>281.79109999999997</v>
      </c>
      <c r="J4112">
        <v>-474.11579999999998</v>
      </c>
      <c r="K4112">
        <v>1.1238669999999999</v>
      </c>
      <c r="L4112">
        <v>282.37670000000003</v>
      </c>
      <c r="M4112">
        <v>-0.96450959999999997</v>
      </c>
      <c r="N4112">
        <v>-1.4208459999999999E-2</v>
      </c>
      <c r="O4112">
        <v>-0.26366590000000001</v>
      </c>
      <c r="P4112">
        <v>-0.90025949999999899</v>
      </c>
      <c r="Q4112">
        <v>9.6455070000000004E-2</v>
      </c>
      <c r="R4112">
        <v>-0.4245352</v>
      </c>
      <c r="S4112">
        <v>-2.3964539999999999</v>
      </c>
      <c r="T4112">
        <v>-0.2978867</v>
      </c>
      <c r="U4112">
        <v>-2.081512</v>
      </c>
      <c r="V4112">
        <v>-0.1727416</v>
      </c>
      <c r="W4112">
        <v>0.1093958</v>
      </c>
      <c r="X4112">
        <v>0.97887329999999995</v>
      </c>
      <c r="Y4112">
        <v>-0.432168</v>
      </c>
      <c r="Z4112">
        <v>-2.6975200000000001E-3</v>
      </c>
      <c r="AA4112">
        <v>0.90178910000000001</v>
      </c>
      <c r="AB4112">
        <v>19</v>
      </c>
      <c r="AC4112">
        <v>-0.51170000000001803</v>
      </c>
      <c r="AD4112">
        <v>-9.4460000000000002E-2</v>
      </c>
      <c r="AE4112">
        <v>-0.58560000000005596</v>
      </c>
      <c r="AF4112">
        <v>-0.42369116555136199</v>
      </c>
      <c r="AG4112">
        <v>-9.4460000000000002E-2</v>
      </c>
      <c r="AH4112">
        <v>0.63858591497788297</v>
      </c>
      <c r="AI4112">
        <v>97.026730320728305</v>
      </c>
      <c r="AJ4112">
        <v>123.563614221653</v>
      </c>
      <c r="AK4112">
        <v>0.77215857579542002</v>
      </c>
      <c r="AL4112">
        <v>83.719512853440605</v>
      </c>
      <c r="AM4112">
        <v>100.007937394926</v>
      </c>
      <c r="AN4112">
        <v>1.0000000194405401</v>
      </c>
    </row>
    <row r="4113" spans="1:40" x14ac:dyDescent="0.25">
      <c r="A4113" t="str">
        <f>"20190303161954267"</f>
        <v>20190303161954267</v>
      </c>
      <c r="B4113" t="str">
        <f>"1551601194256939"</f>
        <v>1551601194256939</v>
      </c>
      <c r="C4113" t="s">
        <v>40</v>
      </c>
      <c r="D4113">
        <v>4.6397349999999999</v>
      </c>
      <c r="E4113">
        <v>0.38428489999999998</v>
      </c>
      <c r="F4113" t="s">
        <v>49</v>
      </c>
      <c r="G4113">
        <v>-483.08749999999998</v>
      </c>
      <c r="H4113" s="1">
        <v>1.0613469999999999E-6</v>
      </c>
      <c r="I4113">
        <v>274.34249999999997</v>
      </c>
      <c r="J4113">
        <v>-474.29349999999999</v>
      </c>
      <c r="K4113">
        <v>1.123848</v>
      </c>
      <c r="L4113">
        <v>282.32240000000002</v>
      </c>
      <c r="M4113">
        <v>-0.96329370000000003</v>
      </c>
      <c r="N4113">
        <v>-1.4200539999999999E-2</v>
      </c>
      <c r="O4113">
        <v>-0.26807379999999997</v>
      </c>
      <c r="P4113">
        <v>-0.89545180000000002</v>
      </c>
      <c r="Q4113">
        <v>9.5136750000000006E-2</v>
      </c>
      <c r="R4113">
        <v>-0.43487360000000003</v>
      </c>
      <c r="S4113">
        <v>-2.3652950000000001</v>
      </c>
      <c r="T4113">
        <v>-0.29629450000000002</v>
      </c>
      <c r="U4113">
        <v>-2.118134</v>
      </c>
      <c r="V4113">
        <v>-0.1794915</v>
      </c>
      <c r="W4113">
        <v>0.10802779999999999</v>
      </c>
      <c r="X4113">
        <v>0.97781019999999996</v>
      </c>
      <c r="Y4113">
        <v>-0.44165110000000002</v>
      </c>
      <c r="Z4113">
        <v>-2.9133509999999998E-3</v>
      </c>
      <c r="AA4113">
        <v>0.89718220000000004</v>
      </c>
      <c r="AB4113">
        <v>19</v>
      </c>
      <c r="AC4113">
        <v>-8.7939999999999792</v>
      </c>
      <c r="AD4113">
        <v>-1.1238469386529999</v>
      </c>
      <c r="AE4113">
        <v>-7.9799000000000397</v>
      </c>
      <c r="AF4113">
        <v>-5.2827670676506404</v>
      </c>
      <c r="AG4113">
        <v>-1.1238469386529999</v>
      </c>
      <c r="AH4113">
        <v>10.5172755842532</v>
      </c>
      <c r="AI4113">
        <v>95.454534083303699</v>
      </c>
      <c r="AJ4113">
        <v>116.670115385236</v>
      </c>
      <c r="AK4113">
        <v>11.823017615976999</v>
      </c>
      <c r="AL4113">
        <v>83.798360644108499</v>
      </c>
      <c r="AM4113">
        <v>100.401686177931</v>
      </c>
      <c r="AN4113">
        <v>0.99999999568456499</v>
      </c>
    </row>
    <row r="4114" spans="1:40" x14ac:dyDescent="0.25">
      <c r="A4114" t="str">
        <f>"20190303161954289"</f>
        <v>20190303161954289</v>
      </c>
      <c r="B4114" t="str">
        <f>"1551601194286219"</f>
        <v>1551601194286219</v>
      </c>
      <c r="C4114" t="s">
        <v>40</v>
      </c>
      <c r="D4114">
        <v>4.6325190000000003</v>
      </c>
      <c r="E4114">
        <v>0.36838080000000001</v>
      </c>
      <c r="F4114" t="s">
        <v>42</v>
      </c>
      <c r="G4114">
        <v>-475.01690000000002</v>
      </c>
      <c r="H4114">
        <v>1.031237</v>
      </c>
      <c r="I4114">
        <v>281.65800000000002</v>
      </c>
      <c r="J4114">
        <v>-474.47</v>
      </c>
      <c r="K4114">
        <v>1.123842</v>
      </c>
      <c r="L4114">
        <v>282.26760000000002</v>
      </c>
      <c r="M4114">
        <v>-0.96206840000000005</v>
      </c>
      <c r="N4114">
        <v>-1.4193249999999999E-2</v>
      </c>
      <c r="O4114">
        <v>-0.27243909999999999</v>
      </c>
      <c r="P4114">
        <v>-0.89123949999999996</v>
      </c>
      <c r="Q4114">
        <v>9.6302029999999997E-2</v>
      </c>
      <c r="R4114">
        <v>-0.4431908</v>
      </c>
      <c r="S4114">
        <v>-2.3388979999999999</v>
      </c>
      <c r="T4114">
        <v>-0.29940329999999998</v>
      </c>
      <c r="U4114">
        <v>-2.1480709999999998</v>
      </c>
      <c r="V4114">
        <v>-0.18420149999999999</v>
      </c>
      <c r="W4114">
        <v>0.1091517</v>
      </c>
      <c r="X4114">
        <v>0.97680900000000004</v>
      </c>
      <c r="Y4114">
        <v>-0.44879950000000002</v>
      </c>
      <c r="Z4114">
        <v>-2.9270089999999999E-3</v>
      </c>
      <c r="AA4114">
        <v>0.89362770000000002</v>
      </c>
      <c r="AB4114">
        <v>19</v>
      </c>
      <c r="AC4114">
        <v>-0.54689999999999295</v>
      </c>
      <c r="AD4114">
        <v>-9.2604999999999799E-2</v>
      </c>
      <c r="AE4114">
        <v>-0.60960000000000003</v>
      </c>
      <c r="AF4114">
        <v>-0.432000462941588</v>
      </c>
      <c r="AG4114">
        <v>-9.2604999999999799E-2</v>
      </c>
      <c r="AH4114">
        <v>0.68356376677382602</v>
      </c>
      <c r="AI4114">
        <v>96.533093673473502</v>
      </c>
      <c r="AJ4114">
        <v>122.29217747046501</v>
      </c>
      <c r="AK4114">
        <v>0.81391615615662005</v>
      </c>
      <c r="AL4114">
        <v>83.7335832290035</v>
      </c>
      <c r="AM4114">
        <v>100.679130230781</v>
      </c>
      <c r="AN4114">
        <v>1.0000000543480601</v>
      </c>
    </row>
    <row r="4115" spans="1:40" x14ac:dyDescent="0.25">
      <c r="A4115" t="str">
        <f>"20190303161954311"</f>
        <v>20190303161954311</v>
      </c>
      <c r="B4115" t="str">
        <f>"1551601194306715"</f>
        <v>1551601194306715</v>
      </c>
      <c r="C4115" t="s">
        <v>40</v>
      </c>
      <c r="D4115">
        <v>4.6105070000000001</v>
      </c>
      <c r="E4115">
        <v>0.37144080000000002</v>
      </c>
      <c r="F4115" t="s">
        <v>42</v>
      </c>
      <c r="G4115">
        <v>-475.15660000000003</v>
      </c>
      <c r="H4115">
        <v>1.0448309999999901</v>
      </c>
      <c r="I4115">
        <v>281.57350000000002</v>
      </c>
      <c r="J4115">
        <v>-474.65230000000003</v>
      </c>
      <c r="K4115">
        <v>1.1238539999999999</v>
      </c>
      <c r="L4115">
        <v>282.21010000000001</v>
      </c>
      <c r="M4115">
        <v>-0.96078050000000004</v>
      </c>
      <c r="N4115">
        <v>-1.418664E-2</v>
      </c>
      <c r="O4115">
        <v>-0.27694679999999999</v>
      </c>
      <c r="P4115">
        <v>-0.88749719999999999</v>
      </c>
      <c r="Q4115">
        <v>0.1008526</v>
      </c>
      <c r="R4115">
        <v>-0.44964150000000003</v>
      </c>
      <c r="S4115">
        <v>-2.2585139999999999</v>
      </c>
      <c r="T4115">
        <v>-0.25995279999999998</v>
      </c>
      <c r="U4115">
        <v>-2.2839049999999999</v>
      </c>
      <c r="V4115">
        <v>-0.18687219999999999</v>
      </c>
      <c r="W4115">
        <v>0.11366809999999999</v>
      </c>
      <c r="X4115">
        <v>0.97578600000000004</v>
      </c>
      <c r="Y4115">
        <v>-0.48727999999999999</v>
      </c>
      <c r="Z4115">
        <v>-5.2953430000000001E-3</v>
      </c>
      <c r="AA4115">
        <v>0.873229699999999</v>
      </c>
      <c r="AB4115">
        <v>19</v>
      </c>
      <c r="AC4115">
        <v>-0.50429999999999997</v>
      </c>
      <c r="AD4115">
        <v>-7.9023000000000204E-2</v>
      </c>
      <c r="AE4115">
        <v>-0.63659999999998695</v>
      </c>
      <c r="AF4115">
        <v>-0.46758914953896702</v>
      </c>
      <c r="AG4115">
        <v>-7.9023000000000204E-2</v>
      </c>
      <c r="AH4115">
        <v>0.65469406663604901</v>
      </c>
      <c r="AI4115">
        <v>95.609764018325805</v>
      </c>
      <c r="AJ4115">
        <v>125.534810964793</v>
      </c>
      <c r="AK4115">
        <v>0.80839876804954502</v>
      </c>
      <c r="AL4115">
        <v>83.473190851844294</v>
      </c>
      <c r="AM4115">
        <v>100.84141343789</v>
      </c>
      <c r="AN4115">
        <v>0.99999998694322401</v>
      </c>
    </row>
    <row r="4116" spans="1:40" x14ac:dyDescent="0.25">
      <c r="A4116" t="str">
        <f>"20190303161954334"</f>
        <v>20190303161954334</v>
      </c>
      <c r="B4116" t="str">
        <f>"1551601194326235"</f>
        <v>1551601194326235</v>
      </c>
      <c r="C4116" t="s">
        <v>40</v>
      </c>
      <c r="D4116">
        <v>4.6430249999999997</v>
      </c>
      <c r="E4116">
        <v>0.37374220000000002</v>
      </c>
      <c r="F4116" t="s">
        <v>42</v>
      </c>
      <c r="G4116">
        <v>-475.31990000000002</v>
      </c>
      <c r="H4116">
        <v>1.054316</v>
      </c>
      <c r="I4116">
        <v>281.53440000000001</v>
      </c>
      <c r="J4116">
        <v>-474.82429999999999</v>
      </c>
      <c r="K4116">
        <v>1.123888</v>
      </c>
      <c r="L4116">
        <v>282.1551</v>
      </c>
      <c r="M4116">
        <v>-0.95953849999999996</v>
      </c>
      <c r="N4116">
        <v>-1.4181600000000001E-2</v>
      </c>
      <c r="O4116">
        <v>-0.28122039999999998</v>
      </c>
      <c r="P4116">
        <v>-0.88454560000000004</v>
      </c>
      <c r="Q4116">
        <v>0.10490670000000001</v>
      </c>
      <c r="R4116">
        <v>-0.45450410000000002</v>
      </c>
      <c r="S4116">
        <v>-2.2520449999999999</v>
      </c>
      <c r="T4116">
        <v>-0.23457359999999999</v>
      </c>
      <c r="U4116">
        <v>-2.2795100000000001</v>
      </c>
      <c r="V4116">
        <v>-0.18804280000000001</v>
      </c>
      <c r="W4116">
        <v>0.11769540000000001</v>
      </c>
      <c r="X4116">
        <v>0.97508340000000004</v>
      </c>
      <c r="Y4116">
        <v>-0.48399389999999998</v>
      </c>
      <c r="Z4116">
        <v>-5.0520529999999999E-3</v>
      </c>
      <c r="AA4116">
        <v>0.87505679999999997</v>
      </c>
      <c r="AB4116">
        <v>19</v>
      </c>
      <c r="AC4116">
        <v>-0.49560000000002402</v>
      </c>
      <c r="AD4116">
        <v>-6.9571999999999898E-2</v>
      </c>
      <c r="AE4116">
        <v>-0.62069999999999903</v>
      </c>
      <c r="AF4116">
        <v>-0.45278473221760901</v>
      </c>
      <c r="AG4116">
        <v>-6.9571999999999898E-2</v>
      </c>
      <c r="AH4116">
        <v>0.645215922549364</v>
      </c>
      <c r="AI4116">
        <v>95.044014393360996</v>
      </c>
      <c r="AJ4116">
        <v>125.059523872466</v>
      </c>
      <c r="AK4116">
        <v>0.79130137345046903</v>
      </c>
      <c r="AL4116">
        <v>83.240883638994703</v>
      </c>
      <c r="AM4116">
        <v>100.915372637084</v>
      </c>
      <c r="AN4116">
        <v>0.99999996938427904</v>
      </c>
    </row>
    <row r="4117" spans="1:40" x14ac:dyDescent="0.25">
      <c r="A4117" t="str">
        <f>"20190303161954356"</f>
        <v>20190303161954356</v>
      </c>
      <c r="B4117" t="str">
        <f>"1551601194346731"</f>
        <v>1551601194346731</v>
      </c>
      <c r="C4117" t="s">
        <v>40</v>
      </c>
      <c r="D4117">
        <v>4.6475910000000002</v>
      </c>
      <c r="E4117">
        <v>0.37578650000000002</v>
      </c>
      <c r="F4117" t="s">
        <v>42</v>
      </c>
      <c r="G4117">
        <v>-475.48070000000001</v>
      </c>
      <c r="H4117">
        <v>1.0584450000000001</v>
      </c>
      <c r="I4117">
        <v>281.49079999999998</v>
      </c>
      <c r="J4117">
        <v>-475</v>
      </c>
      <c r="K4117">
        <v>1.1239300000000001</v>
      </c>
      <c r="L4117">
        <v>282.09780000000001</v>
      </c>
      <c r="M4117">
        <v>-0.95823250000000004</v>
      </c>
      <c r="N4117">
        <v>-1.417795E-2</v>
      </c>
      <c r="O4117">
        <v>-0.28563899999999998</v>
      </c>
      <c r="P4117">
        <v>-0.88200210000000001</v>
      </c>
      <c r="Q4117">
        <v>0.10795250000000001</v>
      </c>
      <c r="R4117">
        <v>-0.45871410000000001</v>
      </c>
      <c r="S4117">
        <v>-2.2484130000000002</v>
      </c>
      <c r="T4117">
        <v>-0.22415199999999999</v>
      </c>
      <c r="U4117">
        <v>-2.2764890000000002</v>
      </c>
      <c r="V4117">
        <v>-0.18832679999999999</v>
      </c>
      <c r="W4117">
        <v>0.1207179</v>
      </c>
      <c r="X4117">
        <v>0.97465900000000005</v>
      </c>
      <c r="Y4117">
        <v>-0.4801685</v>
      </c>
      <c r="Z4117">
        <v>-4.6925049999999996E-3</v>
      </c>
      <c r="AA4117">
        <v>0.87716380000000005</v>
      </c>
      <c r="AB4117">
        <v>19</v>
      </c>
      <c r="AC4117">
        <v>-0.48070000000001201</v>
      </c>
      <c r="AD4117">
        <v>-6.5484999999999793E-2</v>
      </c>
      <c r="AE4117">
        <v>-0.60700000000002696</v>
      </c>
      <c r="AF4117">
        <v>-0.44122904341942498</v>
      </c>
      <c r="AG4117">
        <v>-6.5484999999999793E-2</v>
      </c>
      <c r="AH4117">
        <v>0.62956572437036495</v>
      </c>
      <c r="AI4117">
        <v>94.868670820837394</v>
      </c>
      <c r="AJ4117">
        <v>125.024564830418</v>
      </c>
      <c r="AK4117">
        <v>0.77157265068417502</v>
      </c>
      <c r="AL4117">
        <v>83.066463438735695</v>
      </c>
      <c r="AM4117">
        <v>100.936106387542</v>
      </c>
      <c r="AN4117">
        <v>0.99999998062982398</v>
      </c>
    </row>
    <row r="4118" spans="1:40" x14ac:dyDescent="0.25">
      <c r="A4118" t="str">
        <f>"20190303161954378"</f>
        <v>20190303161954378</v>
      </c>
      <c r="B4118" t="str">
        <f>"1551601194366251"</f>
        <v>1551601194366251</v>
      </c>
      <c r="C4118" t="s">
        <v>40</v>
      </c>
      <c r="D4118">
        <v>4.6503420000000002</v>
      </c>
      <c r="E4118">
        <v>0.37716339999999998</v>
      </c>
      <c r="F4118" t="s">
        <v>42</v>
      </c>
      <c r="G4118">
        <v>-475.64170000000001</v>
      </c>
      <c r="H4118">
        <v>1.061933</v>
      </c>
      <c r="I4118">
        <v>281.44799999999998</v>
      </c>
      <c r="J4118">
        <v>-475.1771</v>
      </c>
      <c r="K4118">
        <v>1.123991</v>
      </c>
      <c r="L4118">
        <v>282.03919999999999</v>
      </c>
      <c r="M4118">
        <v>-0.95687100000000003</v>
      </c>
      <c r="N4118">
        <v>-1.4176050000000001E-2</v>
      </c>
      <c r="O4118">
        <v>-0.29016760000000003</v>
      </c>
      <c r="P4118">
        <v>-0.88028969999999995</v>
      </c>
      <c r="Q4118">
        <v>0.109694899999999</v>
      </c>
      <c r="R4118">
        <v>-0.46158130000000003</v>
      </c>
      <c r="S4118">
        <v>-2.245422</v>
      </c>
      <c r="T4118">
        <v>-0.21692420000000001</v>
      </c>
      <c r="U4118">
        <v>-2.2736510000000001</v>
      </c>
      <c r="V4118">
        <v>-0.18697150000000001</v>
      </c>
      <c r="W4118">
        <v>0.1224464</v>
      </c>
      <c r="X4118">
        <v>0.97470429999999997</v>
      </c>
      <c r="Y4118">
        <v>-0.47611439999999999</v>
      </c>
      <c r="Z4118">
        <v>-4.3147100000000002E-3</v>
      </c>
      <c r="AA4118">
        <v>0.87937279999999995</v>
      </c>
      <c r="AB4118">
        <v>19</v>
      </c>
      <c r="AC4118">
        <v>-0.464600000000018</v>
      </c>
      <c r="AD4118">
        <v>-6.2057999999999898E-2</v>
      </c>
      <c r="AE4118">
        <v>-0.59120000000001405</v>
      </c>
      <c r="AF4118">
        <v>-0.42801792902750602</v>
      </c>
      <c r="AG4118">
        <v>-6.2057999999999898E-2</v>
      </c>
      <c r="AH4118">
        <v>0.61200233148639405</v>
      </c>
      <c r="AI4118">
        <v>94.750129886678806</v>
      </c>
      <c r="AJ4118">
        <v>124.967904135547</v>
      </c>
      <c r="AK4118">
        <v>0.74939802286753898</v>
      </c>
      <c r="AL4118">
        <v>82.966687375676003</v>
      </c>
      <c r="AM4118">
        <v>100.858789416473</v>
      </c>
      <c r="AN4118">
        <v>0.99999996756184895</v>
      </c>
    </row>
    <row r="4119" spans="1:40" x14ac:dyDescent="0.25">
      <c r="A4119" t="str">
        <f>"20190303161954400"</f>
        <v>20190303161954400</v>
      </c>
      <c r="B4119" t="str">
        <f>"1551601194396507"</f>
        <v>1551601194396507</v>
      </c>
      <c r="C4119" t="s">
        <v>40</v>
      </c>
      <c r="D4119">
        <v>4.6295149999999996</v>
      </c>
      <c r="E4119">
        <v>0.38393620000000001</v>
      </c>
      <c r="F4119" t="s">
        <v>42</v>
      </c>
      <c r="G4119">
        <v>-475.80360000000002</v>
      </c>
      <c r="H4119">
        <v>1.06494</v>
      </c>
      <c r="I4119">
        <v>281.4049</v>
      </c>
      <c r="J4119">
        <v>-475.35059999999999</v>
      </c>
      <c r="K4119">
        <v>1.124069</v>
      </c>
      <c r="L4119">
        <v>281.98070000000001</v>
      </c>
      <c r="M4119">
        <v>-0.95548169999999999</v>
      </c>
      <c r="N4119">
        <v>-1.4176380000000001E-2</v>
      </c>
      <c r="O4119">
        <v>-0.29470990000000002</v>
      </c>
      <c r="P4119">
        <v>-0.87837710000000002</v>
      </c>
      <c r="Q4119">
        <v>0.1116394</v>
      </c>
      <c r="R4119">
        <v>-0.46474759999999998</v>
      </c>
      <c r="S4119">
        <v>-2.2428889999999999</v>
      </c>
      <c r="T4119">
        <v>-0.21138570000000001</v>
      </c>
      <c r="U4119">
        <v>-2.2722169999999999</v>
      </c>
      <c r="V4119">
        <v>-0.18595059999999999</v>
      </c>
      <c r="W4119">
        <v>0.1243689</v>
      </c>
      <c r="X4119">
        <v>0.97465619999999997</v>
      </c>
      <c r="Y4119">
        <v>-0.47220109999999899</v>
      </c>
      <c r="Z4119">
        <v>-3.9487239999999998E-3</v>
      </c>
      <c r="AA4119">
        <v>0.88148199999999999</v>
      </c>
      <c r="AB4119">
        <v>19</v>
      </c>
      <c r="AC4119">
        <v>-0.45300000000003099</v>
      </c>
      <c r="AD4119">
        <v>-5.9128999999999897E-2</v>
      </c>
      <c r="AE4119">
        <v>-0.57580000000001497</v>
      </c>
      <c r="AF4119">
        <v>-0.41400790868618298</v>
      </c>
      <c r="AG4119">
        <v>-5.9128999999999897E-2</v>
      </c>
      <c r="AH4119">
        <v>0.598688020310299</v>
      </c>
      <c r="AI4119">
        <v>94.644108788970001</v>
      </c>
      <c r="AJ4119">
        <v>124.664838587025</v>
      </c>
      <c r="AK4119">
        <v>0.73029181342718896</v>
      </c>
      <c r="AL4119">
        <v>82.855687822503697</v>
      </c>
      <c r="AM4119">
        <v>100.801417249338</v>
      </c>
      <c r="AN4119">
        <v>0.99999997856300404</v>
      </c>
    </row>
    <row r="4120" spans="1:40" x14ac:dyDescent="0.25">
      <c r="A4120" t="str">
        <f>"20190303161954423"</f>
        <v>20190303161954423</v>
      </c>
      <c r="B4120" t="str">
        <f>"1551601194416026"</f>
        <v>1551601194416026</v>
      </c>
      <c r="C4120" t="s">
        <v>40</v>
      </c>
      <c r="D4120">
        <v>4.3975269999999904</v>
      </c>
      <c r="E4120">
        <v>0.38143779999999999</v>
      </c>
      <c r="F4120" t="s">
        <v>42</v>
      </c>
      <c r="G4120">
        <v>-476.0258</v>
      </c>
      <c r="H4120">
        <v>1.0533440000000001</v>
      </c>
      <c r="I4120">
        <v>281.31420000000003</v>
      </c>
      <c r="J4120">
        <v>-475.52800000000002</v>
      </c>
      <c r="K4120">
        <v>1.124153</v>
      </c>
      <c r="L4120">
        <v>281.91980000000001</v>
      </c>
      <c r="M4120">
        <v>-0.95399920000000005</v>
      </c>
      <c r="N4120">
        <v>-1.4178980000000001E-2</v>
      </c>
      <c r="O4120">
        <v>-0.29947390000000002</v>
      </c>
      <c r="P4120">
        <v>-0.87592019999999904</v>
      </c>
      <c r="Q4120">
        <v>0.11309329999999999</v>
      </c>
      <c r="R4120">
        <v>-0.46901409999999999</v>
      </c>
      <c r="S4120">
        <v>-2.263458</v>
      </c>
      <c r="T4120">
        <v>-0.23707590000000001</v>
      </c>
      <c r="U4120">
        <v>-2.23407</v>
      </c>
      <c r="V4120">
        <v>-0.18591469999999999</v>
      </c>
      <c r="W4120">
        <v>0.12578909999999999</v>
      </c>
      <c r="X4120">
        <v>0.97448080000000004</v>
      </c>
      <c r="Y4120">
        <v>-0.45615070000000002</v>
      </c>
      <c r="Z4120">
        <v>-2.36097E-3</v>
      </c>
      <c r="AA4120">
        <v>0.88989940000000001</v>
      </c>
      <c r="AB4120">
        <v>19</v>
      </c>
      <c r="AC4120">
        <v>-0.49779999999998298</v>
      </c>
      <c r="AD4120">
        <v>-7.08089999999999E-2</v>
      </c>
      <c r="AE4120">
        <v>-0.60559999999998104</v>
      </c>
      <c r="AF4120">
        <v>-0.425237535555618</v>
      </c>
      <c r="AG4120">
        <v>-7.08089999999999E-2</v>
      </c>
      <c r="AH4120">
        <v>0.65101674893477501</v>
      </c>
      <c r="AI4120">
        <v>95.203110049773898</v>
      </c>
      <c r="AJ4120">
        <v>123.15216203163099</v>
      </c>
      <c r="AK4120">
        <v>0.78080963334222497</v>
      </c>
      <c r="AL4120">
        <v>82.773672427944405</v>
      </c>
      <c r="AM4120">
        <v>100.80127904267501</v>
      </c>
      <c r="AN4120">
        <v>1.00000000146177</v>
      </c>
    </row>
    <row r="4121" spans="1:40" x14ac:dyDescent="0.25">
      <c r="A4121" t="str">
        <f>"20190303161954446"</f>
        <v>20190303161954446</v>
      </c>
      <c r="B4121" t="str">
        <f>"1551601194436523"</f>
        <v>1551601194436523</v>
      </c>
      <c r="C4121" t="s">
        <v>40</v>
      </c>
      <c r="D4121">
        <v>4.4218219999999997</v>
      </c>
      <c r="E4121">
        <v>0.34709519999999999</v>
      </c>
      <c r="F4121" t="s">
        <v>42</v>
      </c>
      <c r="G4121">
        <v>-476.19310000000002</v>
      </c>
      <c r="H4121">
        <v>1.0552999999999999</v>
      </c>
      <c r="I4121">
        <v>281.24959999999999</v>
      </c>
      <c r="J4121">
        <v>-475.69810000000001</v>
      </c>
      <c r="K4121">
        <v>1.1242379999999901</v>
      </c>
      <c r="L4121">
        <v>281.86040000000003</v>
      </c>
      <c r="M4121">
        <v>-0.95251140000000001</v>
      </c>
      <c r="N4121">
        <v>-1.4183029999999999E-2</v>
      </c>
      <c r="O4121">
        <v>-0.30417250000000001</v>
      </c>
      <c r="P4121">
        <v>-0.87346829999999998</v>
      </c>
      <c r="Q4121">
        <v>0.11478729999999999</v>
      </c>
      <c r="R4121">
        <v>-0.47315639999999998</v>
      </c>
      <c r="S4121">
        <v>-2.2439580000000001</v>
      </c>
      <c r="T4121">
        <v>-0.23228589999999999</v>
      </c>
      <c r="U4121">
        <v>-2.2616879999999999</v>
      </c>
      <c r="V4121">
        <v>-0.18582760000000001</v>
      </c>
      <c r="W4121">
        <v>0.12744939999999999</v>
      </c>
      <c r="X4121">
        <v>0.97428170000000003</v>
      </c>
      <c r="Y4121">
        <v>-0.46109509999999998</v>
      </c>
      <c r="Z4121">
        <v>-2.4133420000000002E-3</v>
      </c>
      <c r="AA4121">
        <v>0.88734749999999996</v>
      </c>
      <c r="AB4121">
        <v>19</v>
      </c>
      <c r="AC4121">
        <v>-0.49500000000000399</v>
      </c>
      <c r="AD4121">
        <v>-6.8937999999999902E-2</v>
      </c>
      <c r="AE4121">
        <v>-0.61080000000003998</v>
      </c>
      <c r="AF4121">
        <v>-0.427981292954632</v>
      </c>
      <c r="AG4121">
        <v>-6.8937999999999902E-2</v>
      </c>
      <c r="AH4121">
        <v>0.652332174334328</v>
      </c>
      <c r="AI4121">
        <v>95.049534526210493</v>
      </c>
      <c r="AJ4121">
        <v>123.268030108429</v>
      </c>
      <c r="AK4121">
        <v>0.783235405631583</v>
      </c>
      <c r="AL4121">
        <v>82.6777726461209</v>
      </c>
      <c r="AM4121">
        <v>100.798492087963</v>
      </c>
      <c r="AN4121">
        <v>1.0000000387185</v>
      </c>
    </row>
    <row r="4122" spans="1:40" x14ac:dyDescent="0.25">
      <c r="A4122" t="str">
        <f>"20190303161954467"</f>
        <v>20190303161954467</v>
      </c>
      <c r="B4122" t="str">
        <f>"1551601194456043"</f>
        <v>1551601194456043</v>
      </c>
      <c r="C4122" t="s">
        <v>40</v>
      </c>
      <c r="D4122">
        <v>4.4343469999999998</v>
      </c>
      <c r="E4122">
        <v>0.34410210000000002</v>
      </c>
      <c r="F4122" t="s">
        <v>42</v>
      </c>
      <c r="G4122">
        <v>-476.35469999999998</v>
      </c>
      <c r="H4122">
        <v>1.0239370000000001</v>
      </c>
      <c r="I4122">
        <v>281.07900000000001</v>
      </c>
      <c r="J4122">
        <v>-475.87</v>
      </c>
      <c r="K4122">
        <v>1.124317</v>
      </c>
      <c r="L4122">
        <v>281.79899999999998</v>
      </c>
      <c r="M4122">
        <v>-0.95093450000000002</v>
      </c>
      <c r="N4122">
        <v>-1.4188279999999999E-2</v>
      </c>
      <c r="O4122">
        <v>-0.30906670000000003</v>
      </c>
      <c r="P4122">
        <v>-0.87138859999999996</v>
      </c>
      <c r="Q4122">
        <v>0.11519939999999999</v>
      </c>
      <c r="R4122">
        <v>-0.47687669999999999</v>
      </c>
      <c r="S4122">
        <v>-2.1141359999999998</v>
      </c>
      <c r="T4122">
        <v>-0.32289649999999998</v>
      </c>
      <c r="U4122">
        <v>-2.5158390000000002</v>
      </c>
      <c r="V4122">
        <v>-0.18501310000000001</v>
      </c>
      <c r="W4122">
        <v>0.12784000000000001</v>
      </c>
      <c r="X4122">
        <v>0.97438550000000002</v>
      </c>
      <c r="Y4122">
        <v>-0.527528</v>
      </c>
      <c r="Z4122">
        <v>-4.5284519999999997E-3</v>
      </c>
      <c r="AA4122">
        <v>0.84952559999999999</v>
      </c>
      <c r="AB4122">
        <v>19</v>
      </c>
      <c r="AC4122">
        <v>-0.48469999999997498</v>
      </c>
      <c r="AD4122">
        <v>-0.100379999999999</v>
      </c>
      <c r="AE4122">
        <v>-0.72000000000002695</v>
      </c>
      <c r="AF4122">
        <v>-0.52786170575675795</v>
      </c>
      <c r="AG4122">
        <v>-0.100379999999999</v>
      </c>
      <c r="AH4122">
        <v>0.67449317733635605</v>
      </c>
      <c r="AI4122">
        <v>96.684511522807497</v>
      </c>
      <c r="AJ4122">
        <v>128.04690977697101</v>
      </c>
      <c r="AK4122">
        <v>0.86235443471795703</v>
      </c>
      <c r="AL4122">
        <v>82.655208109256506</v>
      </c>
      <c r="AM4122">
        <v>100.75114832428901</v>
      </c>
      <c r="AN4122">
        <v>1.0000000076909299</v>
      </c>
    </row>
    <row r="4123" spans="1:40" x14ac:dyDescent="0.25">
      <c r="A4123" t="str">
        <f>"20190303161954490"</f>
        <v>20190303161954490</v>
      </c>
      <c r="B4123" t="str">
        <f>"1551601194486299"</f>
        <v>1551601194486299</v>
      </c>
      <c r="C4123" t="s">
        <v>40</v>
      </c>
      <c r="D4123">
        <v>4.397691</v>
      </c>
      <c r="E4123">
        <v>0.34267880000000001</v>
      </c>
      <c r="F4123" t="s">
        <v>42</v>
      </c>
      <c r="G4123">
        <v>-476.50709999999998</v>
      </c>
      <c r="H4123">
        <v>1.0237830000000001</v>
      </c>
      <c r="I4123">
        <v>281.02429999999998</v>
      </c>
      <c r="J4123">
        <v>-476.04270000000002</v>
      </c>
      <c r="K4123">
        <v>1.1243700000000001</v>
      </c>
      <c r="L4123">
        <v>281.7362</v>
      </c>
      <c r="M4123">
        <v>-0.94928539999999995</v>
      </c>
      <c r="N4123">
        <v>-1.419342E-2</v>
      </c>
      <c r="O4123">
        <v>-0.31409530000000002</v>
      </c>
      <c r="P4123">
        <v>-0.86893449999999905</v>
      </c>
      <c r="Q4123">
        <v>0.11481040000000001</v>
      </c>
      <c r="R4123">
        <v>-0.48142689999999999</v>
      </c>
      <c r="S4123">
        <v>-2.0935060000000001</v>
      </c>
      <c r="T4123">
        <v>-0.33037870000000003</v>
      </c>
      <c r="U4123">
        <v>-2.5453800000000002</v>
      </c>
      <c r="V4123">
        <v>-0.1849509</v>
      </c>
      <c r="W4123">
        <v>0.1274305</v>
      </c>
      <c r="X4123">
        <v>0.97445090000000001</v>
      </c>
      <c r="Y4123">
        <v>-0.53193080000000004</v>
      </c>
      <c r="Z4123">
        <v>-4.2759290000000004E-3</v>
      </c>
      <c r="AA4123">
        <v>0.846777</v>
      </c>
      <c r="AB4123">
        <v>19</v>
      </c>
      <c r="AC4123">
        <v>-0.46439999999995502</v>
      </c>
      <c r="AD4123">
        <v>-0.100587</v>
      </c>
      <c r="AE4123">
        <v>-0.71190000000001397</v>
      </c>
      <c r="AF4123">
        <v>-0.52266418513299195</v>
      </c>
      <c r="AG4123">
        <v>-0.100587</v>
      </c>
      <c r="AH4123">
        <v>0.65534182578468003</v>
      </c>
      <c r="AI4123">
        <v>96.842630607096496</v>
      </c>
      <c r="AJ4123">
        <v>128.573914514877</v>
      </c>
      <c r="AK4123">
        <v>0.84425618363890698</v>
      </c>
      <c r="AL4123">
        <v>82.678863874654994</v>
      </c>
      <c r="AM4123">
        <v>100.746913553026</v>
      </c>
      <c r="AN4123">
        <v>0.99999996212593401</v>
      </c>
    </row>
    <row r="4124" spans="1:40" x14ac:dyDescent="0.25">
      <c r="A4124" t="str">
        <f>"20190303161954512"</f>
        <v>20190303161954512</v>
      </c>
      <c r="B4124" t="str">
        <f>"1551601194506628"</f>
        <v>1551601194506628</v>
      </c>
      <c r="C4124" t="s">
        <v>40</v>
      </c>
      <c r="D4124">
        <v>4.4104279999999996</v>
      </c>
      <c r="E4124">
        <v>0.34228839999999999</v>
      </c>
      <c r="F4124" t="s">
        <v>42</v>
      </c>
      <c r="G4124">
        <v>-476.661</v>
      </c>
      <c r="H4124">
        <v>1.024378</v>
      </c>
      <c r="I4124">
        <v>280.97250000000003</v>
      </c>
      <c r="J4124">
        <v>-476.21170000000001</v>
      </c>
      <c r="K4124">
        <v>1.1243989999999999</v>
      </c>
      <c r="L4124">
        <v>281.67360000000002</v>
      </c>
      <c r="M4124">
        <v>-0.94761090000000003</v>
      </c>
      <c r="N4124">
        <v>-1.419749E-2</v>
      </c>
      <c r="O4124">
        <v>-0.31911129999999999</v>
      </c>
      <c r="P4124">
        <v>-0.86613549999999995</v>
      </c>
      <c r="Q4124">
        <v>0.1128242</v>
      </c>
      <c r="R4124">
        <v>-0.48690879999999997</v>
      </c>
      <c r="S4124">
        <v>-2.075958</v>
      </c>
      <c r="T4124">
        <v>-0.33575379999999999</v>
      </c>
      <c r="U4124">
        <v>-2.564575</v>
      </c>
      <c r="V4124">
        <v>-0.1858727</v>
      </c>
      <c r="W4124">
        <v>0.12542539999999999</v>
      </c>
      <c r="X4124">
        <v>0.9745357</v>
      </c>
      <c r="Y4124">
        <v>-0.53402229999999995</v>
      </c>
      <c r="Z4124">
        <v>-3.8699730000000001E-3</v>
      </c>
      <c r="AA4124">
        <v>0.84546149999999998</v>
      </c>
      <c r="AB4124">
        <v>19</v>
      </c>
      <c r="AC4124">
        <v>-0.44929999999999298</v>
      </c>
      <c r="AD4124">
        <v>-0.100020999999999</v>
      </c>
      <c r="AE4124">
        <v>-0.70109999999999595</v>
      </c>
      <c r="AF4124">
        <v>-0.51363533256469296</v>
      </c>
      <c r="AG4124">
        <v>-0.100020999999999</v>
      </c>
      <c r="AH4124">
        <v>0.640317787703514</v>
      </c>
      <c r="AI4124">
        <v>96.947101829785296</v>
      </c>
      <c r="AJ4124">
        <v>128.73508349378901</v>
      </c>
      <c r="AK4124">
        <v>0.82694154844787204</v>
      </c>
      <c r="AL4124">
        <v>82.794677329955206</v>
      </c>
      <c r="AM4124">
        <v>100.79830226284901</v>
      </c>
      <c r="AN4124">
        <v>1.0000000110724601</v>
      </c>
    </row>
    <row r="4125" spans="1:40" x14ac:dyDescent="0.25">
      <c r="A4125" t="str">
        <f>"20190303161954534"</f>
        <v>20190303161954534</v>
      </c>
      <c r="B4125" t="str">
        <f>"1551601194526149"</f>
        <v>1551601194526149</v>
      </c>
      <c r="C4125" t="s">
        <v>40</v>
      </c>
      <c r="D4125">
        <v>4.3740350000000001</v>
      </c>
      <c r="E4125">
        <v>0.342999</v>
      </c>
      <c r="F4125" t="s">
        <v>42</v>
      </c>
      <c r="G4125">
        <v>-476.81389999999999</v>
      </c>
      <c r="H4125">
        <v>1.0226649999999999</v>
      </c>
      <c r="I4125">
        <v>280.91950000000003</v>
      </c>
      <c r="J4125">
        <v>-476.38099999999997</v>
      </c>
      <c r="K4125">
        <v>1.124409</v>
      </c>
      <c r="L4125">
        <v>281.60980000000001</v>
      </c>
      <c r="M4125">
        <v>-0.94587679999999996</v>
      </c>
      <c r="N4125">
        <v>-1.4200549999999999E-2</v>
      </c>
      <c r="O4125">
        <v>-0.32421499999999998</v>
      </c>
      <c r="P4125">
        <v>-0.86255999999999999</v>
      </c>
      <c r="Q4125">
        <v>0.11117779999999999</v>
      </c>
      <c r="R4125">
        <v>-0.49358859999999899</v>
      </c>
      <c r="S4125">
        <v>-2.0592959999999998</v>
      </c>
      <c r="T4125">
        <v>-0.3479196</v>
      </c>
      <c r="U4125">
        <v>-2.5786440000000002</v>
      </c>
      <c r="V4125">
        <v>-0.1880812</v>
      </c>
      <c r="W4125">
        <v>0.1237543</v>
      </c>
      <c r="X4125">
        <v>0.97432560000000001</v>
      </c>
      <c r="Y4125">
        <v>-0.53496140000000003</v>
      </c>
      <c r="Z4125">
        <v>-3.2517840000000002E-3</v>
      </c>
      <c r="AA4125">
        <v>0.84487019999999902</v>
      </c>
      <c r="AB4125">
        <v>18</v>
      </c>
      <c r="AC4125">
        <v>-0.43290000000001699</v>
      </c>
      <c r="AD4125">
        <v>-0.101744</v>
      </c>
      <c r="AE4125">
        <v>-0.69029999999997904</v>
      </c>
      <c r="AF4125">
        <v>-0.50476741135025505</v>
      </c>
      <c r="AG4125">
        <v>-0.101744</v>
      </c>
      <c r="AH4125">
        <v>0.62361608672662605</v>
      </c>
      <c r="AI4125">
        <v>97.227397810121801</v>
      </c>
      <c r="AJ4125">
        <v>128.98740506202299</v>
      </c>
      <c r="AK4125">
        <v>0.80872678001997</v>
      </c>
      <c r="AL4125">
        <v>82.891176266874794</v>
      </c>
      <c r="AM4125">
        <v>100.92583514101101</v>
      </c>
      <c r="AN4125">
        <v>1.0000000196886401</v>
      </c>
    </row>
    <row r="4126" spans="1:40" x14ac:dyDescent="0.25">
      <c r="A4126" t="str">
        <f>"20190303161954557"</f>
        <v>20190303161954557</v>
      </c>
      <c r="B4126" t="str">
        <f>"1551601194546645"</f>
        <v>1551601194546645</v>
      </c>
      <c r="C4126" t="s">
        <v>40</v>
      </c>
      <c r="D4126">
        <v>4.3887309999999999</v>
      </c>
      <c r="E4126">
        <v>0.34385329999999997</v>
      </c>
      <c r="F4126" t="s">
        <v>42</v>
      </c>
      <c r="G4126">
        <v>-476.9676</v>
      </c>
      <c r="H4126">
        <v>1.0188759999999999</v>
      </c>
      <c r="I4126">
        <v>280.86790000000002</v>
      </c>
      <c r="J4126">
        <v>-476.5521</v>
      </c>
      <c r="K4126">
        <v>1.1244149999999999</v>
      </c>
      <c r="L4126">
        <v>281.54430000000002</v>
      </c>
      <c r="M4126">
        <v>-0.94407140000000001</v>
      </c>
      <c r="N4126">
        <v>-1.4202680000000001E-2</v>
      </c>
      <c r="O4126">
        <v>-0.32943529999999999</v>
      </c>
      <c r="P4126">
        <v>-0.85890230000000001</v>
      </c>
      <c r="Q4126">
        <v>0.11047899999999999</v>
      </c>
      <c r="R4126">
        <v>-0.5000812</v>
      </c>
      <c r="S4126">
        <v>-2.0446469999999999</v>
      </c>
      <c r="T4126">
        <v>-0.36788500000000002</v>
      </c>
      <c r="U4126">
        <v>-2.5878299999999999</v>
      </c>
      <c r="V4126">
        <v>-0.19002040000000001</v>
      </c>
      <c r="W4126">
        <v>0.12303550000000001</v>
      </c>
      <c r="X4126">
        <v>0.97404029999999997</v>
      </c>
      <c r="Y4126">
        <v>-0.53454590000000002</v>
      </c>
      <c r="Z4126">
        <v>-2.346056E-3</v>
      </c>
      <c r="AA4126">
        <v>0.845136199999999</v>
      </c>
      <c r="AB4126">
        <v>18</v>
      </c>
      <c r="AC4126">
        <v>-0.41550000000000797</v>
      </c>
      <c r="AD4126">
        <v>-0.10553899999999899</v>
      </c>
      <c r="AE4126">
        <v>-0.676400000000001</v>
      </c>
      <c r="AF4126">
        <v>-0.49302551987068499</v>
      </c>
      <c r="AG4126">
        <v>-0.10553899999999899</v>
      </c>
      <c r="AH4126">
        <v>0.604469278577906</v>
      </c>
      <c r="AI4126">
        <v>97.705330545457599</v>
      </c>
      <c r="AJ4126">
        <v>129.201844601662</v>
      </c>
      <c r="AK4126">
        <v>0.78714404813175898</v>
      </c>
      <c r="AL4126">
        <v>82.932677475699506</v>
      </c>
      <c r="AM4126">
        <v>101.038886390588</v>
      </c>
      <c r="AN4126">
        <v>0.99999999635024905</v>
      </c>
    </row>
    <row r="4127" spans="1:40" x14ac:dyDescent="0.25">
      <c r="A4127" t="str">
        <f>"20190303161954579"</f>
        <v>20190303161954579</v>
      </c>
      <c r="B4127" t="str">
        <f>"1551601194576900"</f>
        <v>1551601194576900</v>
      </c>
      <c r="C4127" t="s">
        <v>40</v>
      </c>
      <c r="D4127">
        <v>4.4195099999999998</v>
      </c>
      <c r="E4127">
        <v>0.34486090000000003</v>
      </c>
      <c r="F4127" t="s">
        <v>42</v>
      </c>
      <c r="G4127">
        <v>-477.12110000000001</v>
      </c>
      <c r="H4127">
        <v>1.0182659999999999</v>
      </c>
      <c r="I4127">
        <v>280.81630000000001</v>
      </c>
      <c r="J4127">
        <v>-476.7201</v>
      </c>
      <c r="K4127">
        <v>1.1244190000000001</v>
      </c>
      <c r="L4127">
        <v>281.47879999999998</v>
      </c>
      <c r="M4127">
        <v>-0.94224839999999999</v>
      </c>
      <c r="N4127">
        <v>-1.4204069999999999E-2</v>
      </c>
      <c r="O4127">
        <v>-0.33461350000000001</v>
      </c>
      <c r="P4127">
        <v>-0.85524429999999996</v>
      </c>
      <c r="Q4127">
        <v>0.11052969999999999</v>
      </c>
      <c r="R4127">
        <v>-0.50630059999999999</v>
      </c>
      <c r="S4127">
        <v>-2.0296020000000001</v>
      </c>
      <c r="T4127">
        <v>-0.3786311</v>
      </c>
      <c r="U4127">
        <v>-2.5967709999999999</v>
      </c>
      <c r="V4127">
        <v>-0.19174759999999999</v>
      </c>
      <c r="W4127">
        <v>0.1230686</v>
      </c>
      <c r="X4127">
        <v>0.97369760000000005</v>
      </c>
      <c r="Y4127">
        <v>-0.53428520000000002</v>
      </c>
      <c r="Z4127">
        <v>-1.5536879999999999E-3</v>
      </c>
      <c r="AA4127">
        <v>0.84530280000000002</v>
      </c>
      <c r="AB4127">
        <v>18</v>
      </c>
      <c r="AC4127">
        <v>-0.40100000000001002</v>
      </c>
      <c r="AD4127">
        <v>-0.106153</v>
      </c>
      <c r="AE4127">
        <v>-0.66249999999996501</v>
      </c>
      <c r="AF4127">
        <v>-0.48106972753760602</v>
      </c>
      <c r="AG4127">
        <v>-0.106153</v>
      </c>
      <c r="AH4127">
        <v>0.58852519141305804</v>
      </c>
      <c r="AI4127">
        <v>97.950055774313199</v>
      </c>
      <c r="AJ4127">
        <v>129.26310302574799</v>
      </c>
      <c r="AK4127">
        <v>0.767501428721721</v>
      </c>
      <c r="AL4127">
        <v>82.930766625373707</v>
      </c>
      <c r="AM4127">
        <v>101.140549165818</v>
      </c>
      <c r="AN4127">
        <v>1.0000000193287399</v>
      </c>
    </row>
    <row r="4128" spans="1:40" x14ac:dyDescent="0.25">
      <c r="A4128" t="str">
        <f>"20190303161954602"</f>
        <v>20190303161954602</v>
      </c>
      <c r="B4128" t="str">
        <f>"1551601194596220"</f>
        <v>1551601194596220</v>
      </c>
      <c r="C4128" t="s">
        <v>40</v>
      </c>
      <c r="D4128">
        <v>4.4630960000000002</v>
      </c>
      <c r="E4128">
        <v>0.34506710000000002</v>
      </c>
      <c r="F4128" t="s">
        <v>42</v>
      </c>
      <c r="G4128">
        <v>-477.27379999999999</v>
      </c>
      <c r="H4128">
        <v>1.0186379999999999</v>
      </c>
      <c r="I4128">
        <v>280.76350000000002</v>
      </c>
      <c r="J4128">
        <v>-476.89</v>
      </c>
      <c r="K4128">
        <v>1.1244339999999999</v>
      </c>
      <c r="L4128">
        <v>281.41140000000001</v>
      </c>
      <c r="M4128">
        <v>-0.94035659999999999</v>
      </c>
      <c r="N4128">
        <v>-1.420486E-2</v>
      </c>
      <c r="O4128">
        <v>-0.33989409999999998</v>
      </c>
      <c r="P4128">
        <v>-0.85168180000000004</v>
      </c>
      <c r="Q4128">
        <v>0.1109168</v>
      </c>
      <c r="R4128">
        <v>-0.51218750000000002</v>
      </c>
      <c r="S4128">
        <v>-2.01532</v>
      </c>
      <c r="T4128">
        <v>-0.38504680000000002</v>
      </c>
      <c r="U4128">
        <v>-2.6051639999999998</v>
      </c>
      <c r="V4128">
        <v>-0.193024</v>
      </c>
      <c r="W4128">
        <v>0.1234415</v>
      </c>
      <c r="X4128">
        <v>0.97339810000000004</v>
      </c>
      <c r="Y4128">
        <v>-0.53373139999999997</v>
      </c>
      <c r="Z4128">
        <v>-7.7429599999999995E-4</v>
      </c>
      <c r="AA4128">
        <v>0.84565380000000001</v>
      </c>
      <c r="AB4128">
        <v>18</v>
      </c>
      <c r="AC4128">
        <v>-0.38380000000000702</v>
      </c>
      <c r="AD4128">
        <v>-0.105796</v>
      </c>
      <c r="AE4128">
        <v>-0.64789999999999204</v>
      </c>
      <c r="AF4128">
        <v>-0.46958538805415201</v>
      </c>
      <c r="AG4128">
        <v>-0.105796</v>
      </c>
      <c r="AH4128">
        <v>0.56993557943292295</v>
      </c>
      <c r="AI4128">
        <v>98.152940327091599</v>
      </c>
      <c r="AJ4128">
        <v>129.486035883103</v>
      </c>
      <c r="AK4128">
        <v>0.74600924591690598</v>
      </c>
      <c r="AL4128">
        <v>82.909236476926196</v>
      </c>
      <c r="AM4128">
        <v>101.216197610366</v>
      </c>
      <c r="AN4128">
        <v>0.99999996479092901</v>
      </c>
    </row>
    <row r="4129" spans="1:40" x14ac:dyDescent="0.25">
      <c r="A4129" t="str">
        <f>"20190303161954624"</f>
        <v>20190303161954624</v>
      </c>
      <c r="B4129" t="str">
        <f>"1551601194616715"</f>
        <v>1551601194616715</v>
      </c>
      <c r="C4129" t="s">
        <v>40</v>
      </c>
      <c r="D4129">
        <v>4.56304</v>
      </c>
      <c r="E4129">
        <v>0.3460278</v>
      </c>
      <c r="F4129" t="s">
        <v>42</v>
      </c>
      <c r="G4129">
        <v>-477.42559999999997</v>
      </c>
      <c r="H4129">
        <v>1.022618</v>
      </c>
      <c r="I4129">
        <v>280.70929999999998</v>
      </c>
      <c r="J4129">
        <v>-477.05759999999998</v>
      </c>
      <c r="K4129">
        <v>1.124439</v>
      </c>
      <c r="L4129">
        <v>281.34379999999999</v>
      </c>
      <c r="M4129">
        <v>-0.93844340000000004</v>
      </c>
      <c r="N4129">
        <v>-1.4205300000000001E-2</v>
      </c>
      <c r="O4129">
        <v>-0.34514159999999999</v>
      </c>
      <c r="P4129">
        <v>-0.84844889999999995</v>
      </c>
      <c r="Q4129">
        <v>0.110875</v>
      </c>
      <c r="R4129">
        <v>-0.5175341</v>
      </c>
      <c r="S4129">
        <v>-1.997314</v>
      </c>
      <c r="T4129">
        <v>-0.37974790000000003</v>
      </c>
      <c r="U4129">
        <v>-2.6182859999999999</v>
      </c>
      <c r="V4129">
        <v>-0.19371169999999999</v>
      </c>
      <c r="W4129">
        <v>0.123388</v>
      </c>
      <c r="X4129">
        <v>0.97326829999999998</v>
      </c>
      <c r="Y4129">
        <v>-0.53479089999999996</v>
      </c>
      <c r="Z4129">
        <v>-3.6343930000000001E-4</v>
      </c>
      <c r="AA4129">
        <v>0.84498439999999997</v>
      </c>
      <c r="AB4129">
        <v>18</v>
      </c>
      <c r="AC4129">
        <v>-0.367999999999995</v>
      </c>
      <c r="AD4129">
        <v>-0.101820999999999</v>
      </c>
      <c r="AE4129">
        <v>-0.63450000000000195</v>
      </c>
      <c r="AF4129">
        <v>-0.459620502736867</v>
      </c>
      <c r="AG4129">
        <v>-0.101820999999999</v>
      </c>
      <c r="AH4129">
        <v>0.55372603316535196</v>
      </c>
      <c r="AI4129">
        <v>98.0533950917402</v>
      </c>
      <c r="AJ4129">
        <v>129.69438215290799</v>
      </c>
      <c r="AK4129">
        <v>0.72679504840231701</v>
      </c>
      <c r="AL4129">
        <v>82.912325684430797</v>
      </c>
      <c r="AM4129">
        <v>101.25660268206801</v>
      </c>
      <c r="AN4129">
        <v>1.0000000025228899</v>
      </c>
    </row>
    <row r="4130" spans="1:40" x14ac:dyDescent="0.25">
      <c r="A4130" t="str">
        <f>"20190303161954647"</f>
        <v>20190303161954647</v>
      </c>
      <c r="B4130" t="str">
        <f>"1551601194636235"</f>
        <v>1551601194636235</v>
      </c>
      <c r="C4130" t="s">
        <v>40</v>
      </c>
      <c r="D4130">
        <v>4.5739320000000001</v>
      </c>
      <c r="E4130">
        <v>0.34696880000000002</v>
      </c>
      <c r="F4130" t="s">
        <v>42</v>
      </c>
      <c r="G4130">
        <v>-477.5779</v>
      </c>
      <c r="H4130">
        <v>1.0249079999999999</v>
      </c>
      <c r="I4130">
        <v>280.65609999999998</v>
      </c>
      <c r="J4130">
        <v>-477.2269</v>
      </c>
      <c r="K4130">
        <v>1.1244620000000001</v>
      </c>
      <c r="L4130">
        <v>281.27429999999998</v>
      </c>
      <c r="M4130">
        <v>-0.93645409999999996</v>
      </c>
      <c r="N4130">
        <v>-1.420592E-2</v>
      </c>
      <c r="O4130">
        <v>-0.35050239999999999</v>
      </c>
      <c r="P4130">
        <v>-0.84531900000000004</v>
      </c>
      <c r="Q4130">
        <v>0.1109338</v>
      </c>
      <c r="R4130">
        <v>-0.52261820000000003</v>
      </c>
      <c r="S4130">
        <v>-1.984802</v>
      </c>
      <c r="T4130">
        <v>-0.37970979999999999</v>
      </c>
      <c r="U4130">
        <v>-2.6242369999999999</v>
      </c>
      <c r="V4130">
        <v>-0.19399839999999999</v>
      </c>
      <c r="W4130">
        <v>0.1234354</v>
      </c>
      <c r="X4130">
        <v>0.97320519999999999</v>
      </c>
      <c r="Y4130">
        <v>-0.53347619999999996</v>
      </c>
      <c r="Z4130">
        <v>3.6000089999999897E-4</v>
      </c>
      <c r="AA4130">
        <v>0.84581499999999998</v>
      </c>
      <c r="AB4130">
        <v>18</v>
      </c>
      <c r="AC4130">
        <v>-0.35099999999999898</v>
      </c>
      <c r="AD4130">
        <v>-9.9554000000000101E-2</v>
      </c>
      <c r="AE4130">
        <v>-0.61820000000000097</v>
      </c>
      <c r="AF4130">
        <v>-0.447166083879877</v>
      </c>
      <c r="AG4130">
        <v>-9.9554000000000101E-2</v>
      </c>
      <c r="AH4130">
        <v>0.534940142309554</v>
      </c>
      <c r="AI4130">
        <v>98.126145111622805</v>
      </c>
      <c r="AJ4130">
        <v>129.89285710707901</v>
      </c>
      <c r="AK4130">
        <v>0.70429359030352601</v>
      </c>
      <c r="AL4130">
        <v>82.909589062780398</v>
      </c>
      <c r="AM4130">
        <v>101.27354870203899</v>
      </c>
      <c r="AN4130">
        <v>1.0000000192413701</v>
      </c>
    </row>
    <row r="4131" spans="1:40" x14ac:dyDescent="0.25">
      <c r="A4131" t="str">
        <f>"20190303161954669"</f>
        <v>20190303161954669</v>
      </c>
      <c r="B4131" t="str">
        <f>"1551601194666491"</f>
        <v>1551601194666491</v>
      </c>
      <c r="C4131" t="s">
        <v>40</v>
      </c>
      <c r="D4131">
        <v>4.5800109999999998</v>
      </c>
      <c r="E4131">
        <v>0.35796460000000002</v>
      </c>
      <c r="F4131" t="s">
        <v>42</v>
      </c>
      <c r="G4131">
        <v>-477.8304</v>
      </c>
      <c r="H4131">
        <v>1.00905</v>
      </c>
      <c r="I4131">
        <v>280.4699</v>
      </c>
      <c r="J4131">
        <v>-477.38819999999998</v>
      </c>
      <c r="K4131">
        <v>1.12449</v>
      </c>
      <c r="L4131">
        <v>281.20690000000002</v>
      </c>
      <c r="M4131">
        <v>-0.9345019</v>
      </c>
      <c r="N4131">
        <v>-1.42071E-2</v>
      </c>
      <c r="O4131">
        <v>-0.35567480000000001</v>
      </c>
      <c r="P4131">
        <v>-0.84216769999999996</v>
      </c>
      <c r="Q4131">
        <v>0.1118089</v>
      </c>
      <c r="R4131">
        <v>-0.52749659999999998</v>
      </c>
      <c r="S4131">
        <v>-1.9727779999999999</v>
      </c>
      <c r="T4131">
        <v>-0.37722489999999997</v>
      </c>
      <c r="U4131">
        <v>-2.6295470000000001</v>
      </c>
      <c r="V4131">
        <v>-0.1942989</v>
      </c>
      <c r="W4131">
        <v>0.12429460000000001</v>
      </c>
      <c r="X4131">
        <v>0.97303589999999995</v>
      </c>
      <c r="Y4131">
        <v>-0.5321456</v>
      </c>
      <c r="Z4131">
        <v>1.0012440000000001E-3</v>
      </c>
      <c r="AA4131">
        <v>0.84665230000000002</v>
      </c>
      <c r="AB4131">
        <v>18</v>
      </c>
      <c r="AC4131">
        <v>-0.44220000000001303</v>
      </c>
      <c r="AD4131">
        <v>-0.11544</v>
      </c>
      <c r="AE4131">
        <v>-0.73700000000002297</v>
      </c>
      <c r="AF4131">
        <v>-0.52208365405808099</v>
      </c>
      <c r="AG4131">
        <v>-0.11544</v>
      </c>
      <c r="AH4131">
        <v>0.66346814086973904</v>
      </c>
      <c r="AI4131">
        <v>97.786134910589794</v>
      </c>
      <c r="AJ4131">
        <v>128.19923786706499</v>
      </c>
      <c r="AK4131">
        <v>0.85210780385100704</v>
      </c>
      <c r="AL4131">
        <v>82.859978604415105</v>
      </c>
      <c r="AM4131">
        <v>101.29247697666899</v>
      </c>
      <c r="AN4131">
        <v>1.00000003640958</v>
      </c>
    </row>
    <row r="4132" spans="1:40" x14ac:dyDescent="0.25">
      <c r="A4132" t="str">
        <f>"20190303161954690"</f>
        <v>20190303161954690</v>
      </c>
      <c r="B4132" t="str">
        <f>"1551601194686011"</f>
        <v>1551601194686011</v>
      </c>
      <c r="C4132" t="s">
        <v>40</v>
      </c>
      <c r="D4132">
        <v>4.5901899999999998</v>
      </c>
      <c r="E4132">
        <v>0.35758319999999999</v>
      </c>
      <c r="F4132" t="s">
        <v>42</v>
      </c>
      <c r="G4132">
        <v>-477.99220000000003</v>
      </c>
      <c r="H4132">
        <v>1.0197799999999999</v>
      </c>
      <c r="I4132">
        <v>280.4323</v>
      </c>
      <c r="J4132">
        <v>-477.55489999999998</v>
      </c>
      <c r="K4132">
        <v>1.1245160000000001</v>
      </c>
      <c r="L4132">
        <v>281.13589999999999</v>
      </c>
      <c r="M4132">
        <v>-0.93242389999999997</v>
      </c>
      <c r="N4132">
        <v>-1.420856E-2</v>
      </c>
      <c r="O4132">
        <v>-0.36108709999999999</v>
      </c>
      <c r="P4132">
        <v>-0.83852909999999903</v>
      </c>
      <c r="Q4132">
        <v>0.1117378</v>
      </c>
      <c r="R4132">
        <v>-0.53327639999999998</v>
      </c>
      <c r="S4132">
        <v>-2.0009769999999998</v>
      </c>
      <c r="T4132">
        <v>-0.34690919999999997</v>
      </c>
      <c r="U4132">
        <v>-2.5661320000000001</v>
      </c>
      <c r="V4132">
        <v>-0.19535569999999999</v>
      </c>
      <c r="W4132">
        <v>0.1242019</v>
      </c>
      <c r="X4132">
        <v>0.97283609999999998</v>
      </c>
      <c r="Y4132">
        <v>-0.51169149999999997</v>
      </c>
      <c r="Z4132">
        <v>2.3284389999999999E-3</v>
      </c>
      <c r="AA4132">
        <v>0.85916610000000004</v>
      </c>
      <c r="AB4132">
        <v>18</v>
      </c>
      <c r="AC4132">
        <v>-0.43730000000004998</v>
      </c>
      <c r="AD4132">
        <v>-0.104736</v>
      </c>
      <c r="AE4132">
        <v>-0.70359999999999401</v>
      </c>
      <c r="AF4132">
        <v>-0.49036233635189802</v>
      </c>
      <c r="AG4132">
        <v>-0.104736</v>
      </c>
      <c r="AH4132">
        <v>0.65146358114702796</v>
      </c>
      <c r="AI4132">
        <v>97.319508441100993</v>
      </c>
      <c r="AJ4132">
        <v>126.969096448266</v>
      </c>
      <c r="AK4132">
        <v>0.82208858900327897</v>
      </c>
      <c r="AL4132">
        <v>82.865331279470595</v>
      </c>
      <c r="AM4132">
        <v>101.35457744275</v>
      </c>
      <c r="AN4132">
        <v>1.0000000194746499</v>
      </c>
    </row>
    <row r="4133" spans="1:40" x14ac:dyDescent="0.25">
      <c r="A4133" t="str">
        <f>"20190303161954713"</f>
        <v>20190303161954713</v>
      </c>
      <c r="B4133" t="str">
        <f>"1551601194706507"</f>
        <v>1551601194706507</v>
      </c>
      <c r="C4133" t="s">
        <v>40</v>
      </c>
      <c r="D4133">
        <v>4.60832</v>
      </c>
      <c r="E4133">
        <v>0.35719390000000001</v>
      </c>
      <c r="F4133" t="s">
        <v>42</v>
      </c>
      <c r="G4133">
        <v>-478.14010000000002</v>
      </c>
      <c r="H4133">
        <v>1.022329</v>
      </c>
      <c r="I4133">
        <v>280.37369999999999</v>
      </c>
      <c r="J4133">
        <v>-477.71480000000003</v>
      </c>
      <c r="K4133">
        <v>1.124539</v>
      </c>
      <c r="L4133">
        <v>281.0668</v>
      </c>
      <c r="M4133">
        <v>-0.93037130000000001</v>
      </c>
      <c r="N4133">
        <v>-1.4210240000000001E-2</v>
      </c>
      <c r="O4133">
        <v>-0.36634319999999998</v>
      </c>
      <c r="P4133">
        <v>-0.83429209999999998</v>
      </c>
      <c r="Q4133">
        <v>0.11047319999999999</v>
      </c>
      <c r="R4133">
        <v>-0.54014090000000003</v>
      </c>
      <c r="S4133">
        <v>-1.981781</v>
      </c>
      <c r="T4133">
        <v>-0.34608610000000001</v>
      </c>
      <c r="U4133">
        <v>-2.5820310000000002</v>
      </c>
      <c r="V4133">
        <v>-0.19779160000000001</v>
      </c>
      <c r="W4133">
        <v>0.1229049</v>
      </c>
      <c r="X4133">
        <v>0.9725085</v>
      </c>
      <c r="Y4133">
        <v>-0.51343539999999999</v>
      </c>
      <c r="Z4133">
        <v>2.7269030000000001E-3</v>
      </c>
      <c r="AA4133">
        <v>0.85812389999999905</v>
      </c>
      <c r="AB4133">
        <v>18</v>
      </c>
      <c r="AC4133">
        <v>-0.42529999999999202</v>
      </c>
      <c r="AD4133">
        <v>-0.102209999999999</v>
      </c>
      <c r="AE4133">
        <v>-0.69310000000001504</v>
      </c>
      <c r="AF4133">
        <v>-0.48147745191100899</v>
      </c>
      <c r="AG4133">
        <v>-0.102209999999999</v>
      </c>
      <c r="AH4133">
        <v>0.63956101795535503</v>
      </c>
      <c r="AI4133">
        <v>97.275979591678393</v>
      </c>
      <c r="AJ4133">
        <v>126.973343939502</v>
      </c>
      <c r="AK4133">
        <v>0.80703513956134998</v>
      </c>
      <c r="AL4133">
        <v>82.940217251760998</v>
      </c>
      <c r="AM4133">
        <v>101.496181758509</v>
      </c>
      <c r="AN4133">
        <v>0.99999995702340905</v>
      </c>
    </row>
    <row r="4134" spans="1:40" x14ac:dyDescent="0.25">
      <c r="A4134" t="str">
        <f>"20190303161954735"</f>
        <v>20190303161954735</v>
      </c>
      <c r="B4134" t="str">
        <f>"1551601194726027"</f>
        <v>1551601194726027</v>
      </c>
      <c r="C4134" t="s">
        <v>40</v>
      </c>
      <c r="D4134">
        <v>4.630001</v>
      </c>
      <c r="E4134">
        <v>0.35720420000000003</v>
      </c>
      <c r="F4134" t="s">
        <v>42</v>
      </c>
      <c r="G4134">
        <v>-478.28500000000003</v>
      </c>
      <c r="H4134">
        <v>1.0235650000000001</v>
      </c>
      <c r="I4134">
        <v>280.3109</v>
      </c>
      <c r="J4134">
        <v>-477.87810000000002</v>
      </c>
      <c r="K4134">
        <v>1.12456</v>
      </c>
      <c r="L4134">
        <v>280.99489999999997</v>
      </c>
      <c r="M4134">
        <v>-0.92820539999999996</v>
      </c>
      <c r="N4134">
        <v>-1.4212310000000001E-2</v>
      </c>
      <c r="O4134">
        <v>-0.37179689999999999</v>
      </c>
      <c r="P4134">
        <v>-0.82994460000000003</v>
      </c>
      <c r="Q4134">
        <v>0.1088688</v>
      </c>
      <c r="R4134">
        <v>-0.54711960000000004</v>
      </c>
      <c r="S4134">
        <v>-1.9595340000000001</v>
      </c>
      <c r="T4134">
        <v>-0.3469797</v>
      </c>
      <c r="U4134">
        <v>-2.5984189999999998</v>
      </c>
      <c r="V4134">
        <v>-0.2001628</v>
      </c>
      <c r="W4134">
        <v>0.121267899999999</v>
      </c>
      <c r="X4134">
        <v>0.97222889999999995</v>
      </c>
      <c r="Y4134">
        <v>-0.51568340000000001</v>
      </c>
      <c r="Z4134">
        <v>3.17367E-3</v>
      </c>
      <c r="AA4134">
        <v>0.85677329999999996</v>
      </c>
      <c r="AB4134">
        <v>18</v>
      </c>
      <c r="AC4134">
        <v>-0.40690000000000698</v>
      </c>
      <c r="AD4134">
        <v>-0.100994999999999</v>
      </c>
      <c r="AE4134">
        <v>-0.68399999999996897</v>
      </c>
      <c r="AF4134">
        <v>-0.47599225808081702</v>
      </c>
      <c r="AG4134">
        <v>-0.100994999999999</v>
      </c>
      <c r="AH4134">
        <v>0.622042907946882</v>
      </c>
      <c r="AI4134">
        <v>97.347226673452894</v>
      </c>
      <c r="AJ4134">
        <v>127.423508560158</v>
      </c>
      <c r="AK4134">
        <v>0.78975059297533201</v>
      </c>
      <c r="AL4134">
        <v>83.034717963448898</v>
      </c>
      <c r="AM4134">
        <v>101.633522423484</v>
      </c>
      <c r="AN4134">
        <v>1.0000000420347199</v>
      </c>
    </row>
    <row r="4135" spans="1:40" x14ac:dyDescent="0.25">
      <c r="A4135" t="str">
        <f>"20190303161954758"</f>
        <v>20190303161954758</v>
      </c>
      <c r="B4135" t="str">
        <f>"1551601194746523"</f>
        <v>1551601194746523</v>
      </c>
      <c r="C4135" t="s">
        <v>40</v>
      </c>
      <c r="D4135">
        <v>4.6414540000000004</v>
      </c>
      <c r="E4135">
        <v>0.35714309999999899</v>
      </c>
      <c r="F4135" t="s">
        <v>42</v>
      </c>
      <c r="G4135">
        <v>-478.43079999999998</v>
      </c>
      <c r="H4135">
        <v>1.0251790000000001</v>
      </c>
      <c r="I4135">
        <v>280.24959999999999</v>
      </c>
      <c r="J4135">
        <v>-478.041</v>
      </c>
      <c r="K4135">
        <v>1.124592</v>
      </c>
      <c r="L4135">
        <v>280.92200000000003</v>
      </c>
      <c r="M4135">
        <v>-0.92596829999999997</v>
      </c>
      <c r="N4135">
        <v>-1.421527E-2</v>
      </c>
      <c r="O4135">
        <v>-0.37733359999999999</v>
      </c>
      <c r="P4135">
        <v>-0.82642070000000001</v>
      </c>
      <c r="Q4135">
        <v>0.107973</v>
      </c>
      <c r="R4135">
        <v>-0.55260350000000003</v>
      </c>
      <c r="S4135">
        <v>-1.9372560000000001</v>
      </c>
      <c r="T4135">
        <v>-0.3483502</v>
      </c>
      <c r="U4135">
        <v>-2.6138919999999999</v>
      </c>
      <c r="V4135">
        <v>-0.20075460000000001</v>
      </c>
      <c r="W4135">
        <v>0.1203543</v>
      </c>
      <c r="X4135">
        <v>0.97222039999999998</v>
      </c>
      <c r="Y4135">
        <v>-0.51770229999999995</v>
      </c>
      <c r="Z4135">
        <v>3.6684700000000001E-3</v>
      </c>
      <c r="AA4135">
        <v>0.85555289999999995</v>
      </c>
      <c r="AB4135">
        <v>18</v>
      </c>
      <c r="AC4135">
        <v>-0.389799999999979</v>
      </c>
      <c r="AD4135">
        <v>-9.9412999999999904E-2</v>
      </c>
      <c r="AE4135">
        <v>-0.67240000000003797</v>
      </c>
      <c r="AF4135">
        <v>-0.467928851164707</v>
      </c>
      <c r="AG4135">
        <v>-9.9412999999999904E-2</v>
      </c>
      <c r="AH4135">
        <v>0.604828246440833</v>
      </c>
      <c r="AI4135">
        <v>97.407006082687005</v>
      </c>
      <c r="AJ4135">
        <v>127.727534399357</v>
      </c>
      <c r="AK4135">
        <v>0.77114042950296302</v>
      </c>
      <c r="AL4135">
        <v>83.087449581522804</v>
      </c>
      <c r="AM4135">
        <v>101.66707562157301</v>
      </c>
      <c r="AN4135">
        <v>1.0000000365629</v>
      </c>
    </row>
    <row r="4136" spans="1:40" x14ac:dyDescent="0.25">
      <c r="A4136" t="str">
        <f>"20190303161954780"</f>
        <v>20190303161954780</v>
      </c>
      <c r="B4136" t="str">
        <f>"1551601194776779"</f>
        <v>1551601194776779</v>
      </c>
      <c r="C4136" t="s">
        <v>40</v>
      </c>
      <c r="D4136">
        <v>4.6660450000000004</v>
      </c>
      <c r="E4136">
        <v>0.35793449999999999</v>
      </c>
      <c r="F4136" t="s">
        <v>42</v>
      </c>
      <c r="G4136">
        <v>-478.57670000000002</v>
      </c>
      <c r="H4136">
        <v>1.0279389999999999</v>
      </c>
      <c r="I4136">
        <v>280.18860000000001</v>
      </c>
      <c r="J4136">
        <v>-478.20330000000001</v>
      </c>
      <c r="K4136">
        <v>1.1246389999999999</v>
      </c>
      <c r="L4136">
        <v>280.84809999999999</v>
      </c>
      <c r="M4136">
        <v>-0.92365889999999995</v>
      </c>
      <c r="N4136">
        <v>-1.42222999999999E-2</v>
      </c>
      <c r="O4136">
        <v>-0.38295200000000001</v>
      </c>
      <c r="P4136">
        <v>-0.82231129999999997</v>
      </c>
      <c r="Q4136">
        <v>0.1070612</v>
      </c>
      <c r="R4136">
        <v>-0.55887619999999905</v>
      </c>
      <c r="S4136">
        <v>-1.9189449999999999</v>
      </c>
      <c r="T4136">
        <v>-0.34623429999999999</v>
      </c>
      <c r="U4136">
        <v>-2.6267399999999999</v>
      </c>
      <c r="V4136">
        <v>-0.20220850000000001</v>
      </c>
      <c r="W4136">
        <v>0.1194156</v>
      </c>
      <c r="X4136">
        <v>0.97203479999999998</v>
      </c>
      <c r="Y4136">
        <v>-0.51841819999999905</v>
      </c>
      <c r="Z4136">
        <v>4.1332110000000003E-3</v>
      </c>
      <c r="AA4136">
        <v>0.85511729999999997</v>
      </c>
      <c r="AB4136">
        <v>18</v>
      </c>
      <c r="AC4136">
        <v>-0.37340000000000301</v>
      </c>
      <c r="AD4136">
        <v>-9.6699999999999994E-2</v>
      </c>
      <c r="AE4136">
        <v>-0.65949999999997999</v>
      </c>
      <c r="AF4136">
        <v>-0.45873746606986998</v>
      </c>
      <c r="AG4136">
        <v>-9.6699999999999994E-2</v>
      </c>
      <c r="AH4136">
        <v>0.58793958677606795</v>
      </c>
      <c r="AI4136">
        <v>97.388409347035605</v>
      </c>
      <c r="AJ4136">
        <v>127.962990337992</v>
      </c>
      <c r="AK4136">
        <v>0.75197334425803897</v>
      </c>
      <c r="AL4136">
        <v>83.141623647062502</v>
      </c>
      <c r="AM4136">
        <v>101.7514108387</v>
      </c>
      <c r="AN4136">
        <v>1.00000000770332</v>
      </c>
    </row>
    <row r="4137" spans="1:40" x14ac:dyDescent="0.25">
      <c r="A4137" t="str">
        <f>"20190303161954791"</f>
        <v>20190303161954791</v>
      </c>
      <c r="B4137" t="str">
        <f>"1551601194786539"</f>
        <v>1551601194786539</v>
      </c>
      <c r="C4137" t="s">
        <v>40</v>
      </c>
      <c r="D4137">
        <v>4.6864790000000003</v>
      </c>
      <c r="E4137">
        <v>0.358296</v>
      </c>
      <c r="F4137" t="s">
        <v>42</v>
      </c>
      <c r="G4137">
        <v>-478.72289999999998</v>
      </c>
      <c r="H4137">
        <v>1.0294080000000001</v>
      </c>
      <c r="I4137">
        <v>280.12849999999997</v>
      </c>
      <c r="J4137">
        <v>-478.28460000000001</v>
      </c>
      <c r="K4137">
        <v>1.124665</v>
      </c>
      <c r="L4137">
        <v>280.81049999999999</v>
      </c>
      <c r="M4137">
        <v>-0.9224675</v>
      </c>
      <c r="N4137">
        <v>-1.422868E-2</v>
      </c>
      <c r="O4137">
        <v>-0.38581260000000001</v>
      </c>
      <c r="P4137">
        <v>-0.82020720000000003</v>
      </c>
      <c r="Q4137">
        <v>0.10610700000000001</v>
      </c>
      <c r="R4137">
        <v>-0.56214059999999999</v>
      </c>
      <c r="S4137">
        <v>-1.9025270000000001</v>
      </c>
      <c r="T4137">
        <v>-0.34870030000000002</v>
      </c>
      <c r="U4137">
        <v>-2.635437</v>
      </c>
      <c r="V4137">
        <v>-0.2030132</v>
      </c>
      <c r="W4137">
        <v>0.11844880000000001</v>
      </c>
      <c r="X4137">
        <v>0.97198530000000005</v>
      </c>
      <c r="Y4137">
        <v>-0.52058279999999901</v>
      </c>
      <c r="Z4137">
        <v>4.3867120000000001E-3</v>
      </c>
      <c r="AA4137">
        <v>0.85379989999999994</v>
      </c>
      <c r="AB4137">
        <v>18</v>
      </c>
      <c r="AC4137">
        <v>-0.43829999999996899</v>
      </c>
      <c r="AD4137">
        <v>-9.5256999999999897E-2</v>
      </c>
      <c r="AE4137">
        <v>-0.68200000000001604</v>
      </c>
      <c r="AF4137">
        <v>-0.45380241095716001</v>
      </c>
      <c r="AG4137">
        <v>-9.5256999999999897E-2</v>
      </c>
      <c r="AH4137">
        <v>0.65841893827745102</v>
      </c>
      <c r="AI4137">
        <v>96.793190728795494</v>
      </c>
      <c r="AJ4137">
        <v>124.57579598299399</v>
      </c>
      <c r="AK4137">
        <v>0.80531113398607401</v>
      </c>
      <c r="AL4137">
        <v>83.197412790656102</v>
      </c>
      <c r="AM4137">
        <v>101.797452149356</v>
      </c>
      <c r="AN4137">
        <v>0.99999995050588297</v>
      </c>
    </row>
    <row r="4138" spans="1:40" x14ac:dyDescent="0.25">
      <c r="A4138" t="str">
        <f>"20190303161954803"</f>
        <v>20190303161954803</v>
      </c>
      <c r="B4138" t="str">
        <f>"1551601194796299"</f>
        <v>1551601194796299</v>
      </c>
      <c r="C4138" t="s">
        <v>40</v>
      </c>
      <c r="D4138">
        <v>4.6910970000000001</v>
      </c>
      <c r="E4138">
        <v>0.358296</v>
      </c>
      <c r="F4138" t="s">
        <v>42</v>
      </c>
      <c r="G4138">
        <v>-478.8433</v>
      </c>
      <c r="H4138">
        <v>1.0211319999999999</v>
      </c>
      <c r="I4138">
        <v>280.03179999999998</v>
      </c>
      <c r="J4138">
        <v>-478.36869999999999</v>
      </c>
      <c r="K4138">
        <v>1.1246910000000001</v>
      </c>
      <c r="L4138">
        <v>280.77140000000003</v>
      </c>
      <c r="M4138">
        <v>-0.92121649999999999</v>
      </c>
      <c r="N4138">
        <v>-1.423658E-2</v>
      </c>
      <c r="O4138">
        <v>-0.38878970000000002</v>
      </c>
      <c r="P4138">
        <v>-0.81799860000000002</v>
      </c>
      <c r="Q4138">
        <v>0.1054389</v>
      </c>
      <c r="R4138">
        <v>-0.56547429999999999</v>
      </c>
      <c r="S4138">
        <v>-1.8937679999999999</v>
      </c>
      <c r="T4138">
        <v>-0.35093099999999999</v>
      </c>
      <c r="U4138">
        <v>-2.6398929999999998</v>
      </c>
      <c r="V4138">
        <v>-0.20380090000000001</v>
      </c>
      <c r="W4138">
        <v>0.1177684</v>
      </c>
      <c r="X4138">
        <v>0.97190319999999997</v>
      </c>
      <c r="Y4138">
        <v>-0.52037449999999996</v>
      </c>
      <c r="Z4138">
        <v>4.8101990000000002E-3</v>
      </c>
      <c r="AA4138">
        <v>0.85392459999999903</v>
      </c>
      <c r="AB4138">
        <v>18</v>
      </c>
      <c r="AC4138">
        <v>-0.47460000000000901</v>
      </c>
      <c r="AD4138">
        <v>-0.103558999999999</v>
      </c>
      <c r="AE4138">
        <v>-0.73960000000005199</v>
      </c>
      <c r="AF4138">
        <v>-0.49005696045653202</v>
      </c>
      <c r="AG4138">
        <v>-0.103558999999999</v>
      </c>
      <c r="AH4138">
        <v>0.71490365113658205</v>
      </c>
      <c r="AI4138">
        <v>96.813438028340101</v>
      </c>
      <c r="AJ4138">
        <v>124.43011991644499</v>
      </c>
      <c r="AK4138">
        <v>0.87290751021016599</v>
      </c>
      <c r="AL4138">
        <v>83.236672075377996</v>
      </c>
      <c r="AM4138">
        <v>101.84290876447901</v>
      </c>
      <c r="AN4138">
        <v>1.0000000165248</v>
      </c>
    </row>
    <row r="4139" spans="1:40" x14ac:dyDescent="0.25">
      <c r="A4139" t="str">
        <f>"20190303161954815"</f>
        <v>20190303161954815</v>
      </c>
      <c r="B4139" t="str">
        <f>"1551601194806059"</f>
        <v>1551601194806059</v>
      </c>
      <c r="C4139" t="s">
        <v>40</v>
      </c>
      <c r="D4139">
        <v>4.8369859999999996</v>
      </c>
      <c r="E4139">
        <v>0.36603809999999998</v>
      </c>
      <c r="F4139" t="s">
        <v>42</v>
      </c>
      <c r="G4139">
        <v>-478.8689</v>
      </c>
      <c r="H4139">
        <v>1.0310490000000001</v>
      </c>
      <c r="I4139">
        <v>280.06819999999999</v>
      </c>
      <c r="J4139">
        <v>-478.45620000000002</v>
      </c>
      <c r="K4139">
        <v>1.1247210000000001</v>
      </c>
      <c r="L4139">
        <v>280.73009999999999</v>
      </c>
      <c r="M4139">
        <v>-0.91987909999999995</v>
      </c>
      <c r="N4139">
        <v>-1.424716E-2</v>
      </c>
      <c r="O4139">
        <v>-0.3919436</v>
      </c>
      <c r="P4139">
        <v>-0.81558769999999903</v>
      </c>
      <c r="Q4139">
        <v>0.10489709999999999</v>
      </c>
      <c r="R4139">
        <v>-0.56904639999999995</v>
      </c>
      <c r="S4139">
        <v>-1.8827210000000001</v>
      </c>
      <c r="T4139">
        <v>-0.3524814</v>
      </c>
      <c r="U4139">
        <v>-2.6475520000000001</v>
      </c>
      <c r="V4139">
        <v>-0.20470050000000001</v>
      </c>
      <c r="W4139">
        <v>0.11721289999999999</v>
      </c>
      <c r="X4139">
        <v>0.97178129999999996</v>
      </c>
      <c r="Y4139">
        <v>-0.5209802</v>
      </c>
      <c r="Z4139">
        <v>5.1650330000000003E-3</v>
      </c>
      <c r="AA4139">
        <v>0.85355309999999995</v>
      </c>
      <c r="AB4139">
        <v>18</v>
      </c>
      <c r="AC4139">
        <v>-0.41269999999997198</v>
      </c>
      <c r="AD4139">
        <v>-9.3671999999999894E-2</v>
      </c>
      <c r="AE4139">
        <v>-0.66190000000000204</v>
      </c>
      <c r="AF4139">
        <v>-0.44080120172213999</v>
      </c>
      <c r="AG4139">
        <v>-9.3671999999999894E-2</v>
      </c>
      <c r="AH4139">
        <v>0.63004028605831297</v>
      </c>
      <c r="AI4139">
        <v>96.945600636935794</v>
      </c>
      <c r="AJ4139">
        <v>124.978163346649</v>
      </c>
      <c r="AK4139">
        <v>0.77461661812804095</v>
      </c>
      <c r="AL4139">
        <v>83.268721927626402</v>
      </c>
      <c r="AM4139">
        <v>101.895148391943</v>
      </c>
      <c r="AN4139">
        <v>1.0000000268281699</v>
      </c>
    </row>
    <row r="4140" spans="1:40" x14ac:dyDescent="0.25">
      <c r="A4140" t="str">
        <f>"20190303161954843"</f>
        <v>20190303161954843</v>
      </c>
      <c r="B4140" t="str">
        <f>"1551601194836316"</f>
        <v>1551601194836316</v>
      </c>
      <c r="C4140" t="s">
        <v>40</v>
      </c>
      <c r="D4140">
        <v>4.728631</v>
      </c>
      <c r="E4140">
        <v>0.36778</v>
      </c>
      <c r="F4140" t="s">
        <v>42</v>
      </c>
      <c r="G4140">
        <v>-478.99979999999999</v>
      </c>
      <c r="H4140">
        <v>1.029274</v>
      </c>
      <c r="I4140">
        <v>279.98689999999999</v>
      </c>
      <c r="J4140">
        <v>-478.65219999999999</v>
      </c>
      <c r="K4140">
        <v>1.124806</v>
      </c>
      <c r="L4140">
        <v>280.63650000000001</v>
      </c>
      <c r="M4140">
        <v>-0.91679140000000003</v>
      </c>
      <c r="N4140">
        <v>-1.4272200000000001E-2</v>
      </c>
      <c r="O4140">
        <v>-0.39911140000000001</v>
      </c>
      <c r="P4140">
        <v>-0.81043989999999999</v>
      </c>
      <c r="Q4140">
        <v>0.1040025</v>
      </c>
      <c r="R4140">
        <v>-0.57651589999999997</v>
      </c>
      <c r="S4140">
        <v>-1.9041140000000001</v>
      </c>
      <c r="T4140">
        <v>-0.33435169999999997</v>
      </c>
      <c r="U4140">
        <v>-2.6045229999999999</v>
      </c>
      <c r="V4140">
        <v>-0.20601510000000001</v>
      </c>
      <c r="W4140">
        <v>0.1162923</v>
      </c>
      <c r="X4140">
        <v>0.97161410000000004</v>
      </c>
      <c r="Y4140">
        <v>-0.50323869999999904</v>
      </c>
      <c r="Z4140">
        <v>6.4438769999999998E-3</v>
      </c>
      <c r="AA4140">
        <v>0.86412339999999999</v>
      </c>
      <c r="AB4140">
        <v>18</v>
      </c>
      <c r="AC4140">
        <v>-0.34759999999999902</v>
      </c>
      <c r="AD4140">
        <v>-9.5531999999999895E-2</v>
      </c>
      <c r="AE4140">
        <v>-0.64960000000002005</v>
      </c>
      <c r="AF4140">
        <v>-0.44930872040728198</v>
      </c>
      <c r="AG4140">
        <v>-9.5531999999999895E-2</v>
      </c>
      <c r="AH4140">
        <v>0.568440932493813</v>
      </c>
      <c r="AI4140">
        <v>97.510912161035606</v>
      </c>
      <c r="AJ4140">
        <v>128.32365115173499</v>
      </c>
      <c r="AK4140">
        <v>0.73084183172042405</v>
      </c>
      <c r="AL4140">
        <v>83.321831726174295</v>
      </c>
      <c r="AM4140">
        <v>101.971343626894</v>
      </c>
      <c r="AN4140">
        <v>1.00000003989305</v>
      </c>
    </row>
    <row r="4141" spans="1:40" x14ac:dyDescent="0.25">
      <c r="A4141" t="str">
        <f>"20190303161954859"</f>
        <v>20190303161954859</v>
      </c>
      <c r="B4141" t="str">
        <f>"1551601194846076"</f>
        <v>1551601194846076</v>
      </c>
      <c r="C4141" t="s">
        <v>40</v>
      </c>
      <c r="D4141">
        <v>4.7661629999999997</v>
      </c>
      <c r="E4141">
        <v>0.3686161</v>
      </c>
      <c r="F4141" t="s">
        <v>42</v>
      </c>
      <c r="G4141">
        <v>-479.15539999999999</v>
      </c>
      <c r="H4141">
        <v>1.038537</v>
      </c>
      <c r="I4141">
        <v>279.94060000000002</v>
      </c>
      <c r="J4141">
        <v>-478.76519999999999</v>
      </c>
      <c r="K4141">
        <v>1.124852</v>
      </c>
      <c r="L4141">
        <v>280.58139999999997</v>
      </c>
      <c r="M4141">
        <v>-0.9149349</v>
      </c>
      <c r="N4141">
        <v>-1.4287029999999999E-2</v>
      </c>
      <c r="O4141">
        <v>-0.40334880000000001</v>
      </c>
      <c r="P4141">
        <v>-0.8072762</v>
      </c>
      <c r="Q4141">
        <v>0.1037981</v>
      </c>
      <c r="R4141">
        <v>-0.58097460000000001</v>
      </c>
      <c r="S4141">
        <v>-1.886719</v>
      </c>
      <c r="T4141">
        <v>-0.32345990000000002</v>
      </c>
      <c r="U4141">
        <v>-2.609772</v>
      </c>
      <c r="V4141">
        <v>-0.20687759999999999</v>
      </c>
      <c r="W4141">
        <v>0.1160706</v>
      </c>
      <c r="X4141">
        <v>0.97145729999999997</v>
      </c>
      <c r="Y4141">
        <v>-0.50390990000000002</v>
      </c>
      <c r="Z4141">
        <v>6.3319650000000002E-3</v>
      </c>
      <c r="AA4141">
        <v>0.86373299999999997</v>
      </c>
      <c r="AB4141">
        <v>18</v>
      </c>
      <c r="AC4141">
        <v>-0.390199999999993</v>
      </c>
      <c r="AD4141">
        <v>-8.6314999999999906E-2</v>
      </c>
      <c r="AE4141">
        <v>-0.64079999999995596</v>
      </c>
      <c r="AF4141">
        <v>-0.42334393681898203</v>
      </c>
      <c r="AG4141">
        <v>-8.6314999999999906E-2</v>
      </c>
      <c r="AH4141">
        <v>0.60749545854605103</v>
      </c>
      <c r="AI4141">
        <v>96.648989773635805</v>
      </c>
      <c r="AJ4141">
        <v>124.871393177154</v>
      </c>
      <c r="AK4141">
        <v>0.74546703496564504</v>
      </c>
      <c r="AL4141">
        <v>83.334620578283094</v>
      </c>
      <c r="AM4141">
        <v>102.021891616674</v>
      </c>
      <c r="AN4141">
        <v>1.0000000056447</v>
      </c>
    </row>
    <row r="4142" spans="1:40" x14ac:dyDescent="0.25">
      <c r="A4142" t="str">
        <f>"20190303161954874"</f>
        <v>20190303161954874</v>
      </c>
      <c r="B4142" t="str">
        <f>"1551601194866573"</f>
        <v>1551601194866573</v>
      </c>
      <c r="C4142" t="s">
        <v>40</v>
      </c>
      <c r="D4142">
        <v>4.8006669999999998</v>
      </c>
      <c r="E4142">
        <v>0.36992449999999999</v>
      </c>
      <c r="F4142" t="s">
        <v>42</v>
      </c>
      <c r="G4142">
        <v>-479.28460000000001</v>
      </c>
      <c r="H4142">
        <v>1.0352209999999999</v>
      </c>
      <c r="I4142">
        <v>279.85789999999997</v>
      </c>
      <c r="J4142">
        <v>-478.86680000000001</v>
      </c>
      <c r="K4142">
        <v>1.1248910000000001</v>
      </c>
      <c r="L4142">
        <v>280.53120000000001</v>
      </c>
      <c r="M4142">
        <v>-0.9132209</v>
      </c>
      <c r="N4142">
        <v>-1.4300220000000001E-2</v>
      </c>
      <c r="O4142">
        <v>-0.40721410000000002</v>
      </c>
      <c r="P4142">
        <v>-0.80476210000000004</v>
      </c>
      <c r="Q4142">
        <v>0.10359069999999999</v>
      </c>
      <c r="R4142">
        <v>-0.58448900000000004</v>
      </c>
      <c r="S4142">
        <v>-1.876404</v>
      </c>
      <c r="T4142">
        <v>-0.32378129999999999</v>
      </c>
      <c r="U4142">
        <v>-2.6142880000000002</v>
      </c>
      <c r="V4142">
        <v>-0.2070042</v>
      </c>
      <c r="W4142">
        <v>0.1158546</v>
      </c>
      <c r="X4142">
        <v>0.97145610000000004</v>
      </c>
      <c r="Y4142">
        <v>-0.50322540000000004</v>
      </c>
      <c r="Z4142">
        <v>6.7806689999999996E-3</v>
      </c>
      <c r="AA4142">
        <v>0.86412860000000002</v>
      </c>
      <c r="AB4142">
        <v>18</v>
      </c>
      <c r="AC4142">
        <v>-0.41779999999999901</v>
      </c>
      <c r="AD4142">
        <v>-8.9670000000000097E-2</v>
      </c>
      <c r="AE4142">
        <v>-0.67330000000003998</v>
      </c>
      <c r="AF4142">
        <v>-0.439159170536498</v>
      </c>
      <c r="AG4142">
        <v>-8.9670000000000097E-2</v>
      </c>
      <c r="AH4142">
        <v>0.64749613898179803</v>
      </c>
      <c r="AI4142">
        <v>96.538279048632006</v>
      </c>
      <c r="AJ4142">
        <v>124.14677435292199</v>
      </c>
      <c r="AK4142">
        <v>0.78749776886200895</v>
      </c>
      <c r="AL4142">
        <v>83.3470804267277</v>
      </c>
      <c r="AM4142">
        <v>102.029048691219</v>
      </c>
      <c r="AN4142">
        <v>0.99999999069300505</v>
      </c>
    </row>
    <row r="4143" spans="1:40" x14ac:dyDescent="0.25">
      <c r="A4143" t="str">
        <f>"20190303161954887"</f>
        <v>20190303161954887</v>
      </c>
      <c r="B4143" t="str">
        <f>"1551601194876331"</f>
        <v>1551601194876331</v>
      </c>
      <c r="C4143" t="s">
        <v>40</v>
      </c>
      <c r="D4143">
        <v>4.7764499999999996</v>
      </c>
      <c r="E4143">
        <v>0.37044450000000001</v>
      </c>
      <c r="F4143" t="s">
        <v>42</v>
      </c>
      <c r="G4143">
        <v>-479.41059999999999</v>
      </c>
      <c r="H4143">
        <v>1.030009</v>
      </c>
      <c r="I4143">
        <v>279.7715</v>
      </c>
      <c r="J4143">
        <v>-478.95870000000002</v>
      </c>
      <c r="K4143">
        <v>1.124932</v>
      </c>
      <c r="L4143">
        <v>280.4855</v>
      </c>
      <c r="M4143">
        <v>-0.91163819999999995</v>
      </c>
      <c r="N4143">
        <v>-1.431195E-2</v>
      </c>
      <c r="O4143">
        <v>-0.41074430000000001</v>
      </c>
      <c r="P4143">
        <v>-0.8023285</v>
      </c>
      <c r="Q4143">
        <v>0.1032218</v>
      </c>
      <c r="R4143">
        <v>-0.58788960000000001</v>
      </c>
      <c r="S4143">
        <v>-1.8712770000000001</v>
      </c>
      <c r="T4143">
        <v>-0.32653779999999999</v>
      </c>
      <c r="U4143">
        <v>-2.6140750000000001</v>
      </c>
      <c r="V4143">
        <v>-0.20734549999999999</v>
      </c>
      <c r="W4143">
        <v>0.1154762</v>
      </c>
      <c r="X4143">
        <v>0.97142839999999997</v>
      </c>
      <c r="Y4143">
        <v>-0.50097460000000005</v>
      </c>
      <c r="Z4143">
        <v>7.4293090000000003E-3</v>
      </c>
      <c r="AA4143">
        <v>0.86543009999999998</v>
      </c>
      <c r="AB4143">
        <v>18</v>
      </c>
      <c r="AC4143">
        <v>-0.451899999999966</v>
      </c>
      <c r="AD4143">
        <v>-9.4922999999999993E-2</v>
      </c>
      <c r="AE4143">
        <v>-0.71399999999999797</v>
      </c>
      <c r="AF4143">
        <v>-0.45954284824088698</v>
      </c>
      <c r="AG4143">
        <v>-9.4922999999999993E-2</v>
      </c>
      <c r="AH4143">
        <v>0.69652329114131994</v>
      </c>
      <c r="AI4143">
        <v>96.4897128596388</v>
      </c>
      <c r="AJ4143">
        <v>123.41549758662001</v>
      </c>
      <c r="AK4143">
        <v>0.83984206872523504</v>
      </c>
      <c r="AL4143">
        <v>83.368907862657295</v>
      </c>
      <c r="AM4143">
        <v>102.04863614967201</v>
      </c>
      <c r="AN4143">
        <v>1.0000000227316199</v>
      </c>
    </row>
    <row r="4144" spans="1:40" x14ac:dyDescent="0.25">
      <c r="A4144" t="str">
        <f>"20190303161954898"</f>
        <v>20190303161954898</v>
      </c>
      <c r="B4144" t="str">
        <f>"1551601194886092"</f>
        <v>1551601194886092</v>
      </c>
      <c r="C4144" t="s">
        <v>40</v>
      </c>
      <c r="D4144">
        <v>4.7959009999999997</v>
      </c>
      <c r="E4144">
        <v>0.37087779999999998</v>
      </c>
      <c r="F4144" t="s">
        <v>42</v>
      </c>
      <c r="G4144">
        <v>-479.53210000000001</v>
      </c>
      <c r="H4144">
        <v>1.023625</v>
      </c>
      <c r="I4144">
        <v>279.67989999999998</v>
      </c>
      <c r="J4144">
        <v>-479.04140000000001</v>
      </c>
      <c r="K4144">
        <v>1.1249659999999999</v>
      </c>
      <c r="L4144">
        <v>280.4436</v>
      </c>
      <c r="M4144">
        <v>-0.91017329999999996</v>
      </c>
      <c r="N4144">
        <v>-1.432245E-2</v>
      </c>
      <c r="O4144">
        <v>-0.41398020000000002</v>
      </c>
      <c r="P4144">
        <v>-0.8005314</v>
      </c>
      <c r="Q4144">
        <v>0.10271329999999999</v>
      </c>
      <c r="R4144">
        <v>-0.59042380000000005</v>
      </c>
      <c r="S4144">
        <v>-1.8630679999999999</v>
      </c>
      <c r="T4144">
        <v>-0.32915129999999998</v>
      </c>
      <c r="U4144">
        <v>-2.6181640000000002</v>
      </c>
      <c r="V4144">
        <v>-0.20694319999999999</v>
      </c>
      <c r="W4144">
        <v>0.114968</v>
      </c>
      <c r="X4144">
        <v>0.97157439999999995</v>
      </c>
      <c r="Y4144">
        <v>-0.50033899999999998</v>
      </c>
      <c r="Z4144">
        <v>7.9357479999999994E-3</v>
      </c>
      <c r="AA4144">
        <v>0.86579329999999999</v>
      </c>
      <c r="AB4144">
        <v>18</v>
      </c>
      <c r="AC4144">
        <v>-0.49070000000000302</v>
      </c>
      <c r="AD4144">
        <v>-0.101340999999999</v>
      </c>
      <c r="AE4144">
        <v>-0.76370000000002802</v>
      </c>
      <c r="AF4144">
        <v>-0.48595314520334798</v>
      </c>
      <c r="AG4144">
        <v>-0.101340999999999</v>
      </c>
      <c r="AH4144">
        <v>0.75346627853805903</v>
      </c>
      <c r="AI4144">
        <v>96.448783055419099</v>
      </c>
      <c r="AJ4144">
        <v>122.82026512770599</v>
      </c>
      <c r="AK4144">
        <v>0.90229257478271296</v>
      </c>
      <c r="AL4144">
        <v>83.398220471766606</v>
      </c>
      <c r="AM4144">
        <v>102.024185540356</v>
      </c>
      <c r="AN4144">
        <v>0.99999997189279899</v>
      </c>
    </row>
    <row r="4145" spans="1:40" x14ac:dyDescent="0.25">
      <c r="A4145" t="str">
        <f>"20190303161954911"</f>
        <v>20190303161954911</v>
      </c>
      <c r="B4145" t="str">
        <f>"1551601194906587"</f>
        <v>1551601194906587</v>
      </c>
      <c r="C4145" t="s">
        <v>40</v>
      </c>
      <c r="D4145">
        <v>4.8034549999999996</v>
      </c>
      <c r="E4145">
        <v>0.37751410000000002</v>
      </c>
      <c r="F4145" t="s">
        <v>42</v>
      </c>
      <c r="G4145">
        <v>-479.55799999999999</v>
      </c>
      <c r="H4145">
        <v>1.0321720000000001</v>
      </c>
      <c r="I4145">
        <v>279.71460000000002</v>
      </c>
      <c r="J4145">
        <v>-479.13060000000002</v>
      </c>
      <c r="K4145">
        <v>1.1250009999999999</v>
      </c>
      <c r="L4145">
        <v>280.39819999999997</v>
      </c>
      <c r="M4145">
        <v>-0.9085647</v>
      </c>
      <c r="N4145">
        <v>-1.4333439999999999E-2</v>
      </c>
      <c r="O4145">
        <v>-0.41749809999999998</v>
      </c>
      <c r="P4145">
        <v>-0.79829059999999996</v>
      </c>
      <c r="Q4145">
        <v>0.1020197</v>
      </c>
      <c r="R4145">
        <v>-0.59356900000000001</v>
      </c>
      <c r="S4145">
        <v>-1.857056</v>
      </c>
      <c r="T4145">
        <v>-0.33354889999999998</v>
      </c>
      <c r="U4145">
        <v>-2.6212770000000001</v>
      </c>
      <c r="V4145">
        <v>-0.2069734</v>
      </c>
      <c r="W4145">
        <v>0.1142707</v>
      </c>
      <c r="X4145">
        <v>0.97165020000000002</v>
      </c>
      <c r="Y4145">
        <v>-0.49879299999999999</v>
      </c>
      <c r="Z4145">
        <v>8.6316090000000002E-3</v>
      </c>
      <c r="AA4145">
        <v>0.86667819999999995</v>
      </c>
      <c r="AB4145">
        <v>18</v>
      </c>
      <c r="AC4145">
        <v>-0.42740000000003397</v>
      </c>
      <c r="AD4145">
        <v>-9.2828999999999995E-2</v>
      </c>
      <c r="AE4145">
        <v>-0.68359999999995502</v>
      </c>
      <c r="AF4145">
        <v>-0.43690923299933698</v>
      </c>
      <c r="AG4145">
        <v>-9.2828999999999995E-2</v>
      </c>
      <c r="AH4145">
        <v>0.66497546509097505</v>
      </c>
      <c r="AI4145">
        <v>96.654529571415196</v>
      </c>
      <c r="AJ4145">
        <v>123.306138810162</v>
      </c>
      <c r="AK4145">
        <v>0.80106133990726802</v>
      </c>
      <c r="AL4145">
        <v>83.438437704708306</v>
      </c>
      <c r="AM4145">
        <v>102.024978344385</v>
      </c>
      <c r="AN4145">
        <v>0.999999946173043</v>
      </c>
    </row>
    <row r="4146" spans="1:40" x14ac:dyDescent="0.25">
      <c r="A4146" t="str">
        <f>"20190303161954922"</f>
        <v>20190303161954922</v>
      </c>
      <c r="B4146" t="str">
        <f>"1551601194917323"</f>
        <v>1551601194917323</v>
      </c>
      <c r="C4146" t="s">
        <v>40</v>
      </c>
      <c r="D4146">
        <v>4.8641199999999998</v>
      </c>
      <c r="E4146">
        <v>0.37887209999999899</v>
      </c>
      <c r="F4146" t="s">
        <v>42</v>
      </c>
      <c r="G4146">
        <v>-479.68669999999997</v>
      </c>
      <c r="H4146">
        <v>1.0221849999999999</v>
      </c>
      <c r="I4146">
        <v>279.63310000000001</v>
      </c>
      <c r="J4146">
        <v>-479.2106</v>
      </c>
      <c r="K4146">
        <v>1.125027</v>
      </c>
      <c r="L4146">
        <v>280.3571</v>
      </c>
      <c r="M4146">
        <v>-0.90709660000000003</v>
      </c>
      <c r="N4146">
        <v>-1.434304E-2</v>
      </c>
      <c r="O4146">
        <v>-0.42067830000000001</v>
      </c>
      <c r="P4146">
        <v>-0.79619649999999997</v>
      </c>
      <c r="Q4146">
        <v>0.10201730000000001</v>
      </c>
      <c r="R4146">
        <v>-0.59637569999999995</v>
      </c>
      <c r="S4146">
        <v>-1.8796079999999999</v>
      </c>
      <c r="T4146">
        <v>-0.34752769999999999</v>
      </c>
      <c r="U4146">
        <v>-2.5860289999999999</v>
      </c>
      <c r="V4146">
        <v>-0.20699709999999999</v>
      </c>
      <c r="W4146">
        <v>0.11426409999999999</v>
      </c>
      <c r="X4146">
        <v>0.97164600000000001</v>
      </c>
      <c r="Y4146">
        <v>-0.48520039999999998</v>
      </c>
      <c r="Z4146">
        <v>1.074669E-2</v>
      </c>
      <c r="AA4146">
        <v>0.87433700000000003</v>
      </c>
      <c r="AB4146">
        <v>18</v>
      </c>
      <c r="AC4146">
        <v>-0.47609999999997399</v>
      </c>
      <c r="AD4146">
        <v>-0.102841999999999</v>
      </c>
      <c r="AE4146">
        <v>-0.72399999999998899</v>
      </c>
      <c r="AF4146">
        <v>-0.45015894869220702</v>
      </c>
      <c r="AG4146">
        <v>-0.102841999999999</v>
      </c>
      <c r="AH4146">
        <v>0.72628497898803401</v>
      </c>
      <c r="AI4146">
        <v>96.862908394805501</v>
      </c>
      <c r="AJ4146">
        <v>121.79106326054</v>
      </c>
      <c r="AK4146">
        <v>0.86064477385000204</v>
      </c>
      <c r="AL4146">
        <v>83.438818814445497</v>
      </c>
      <c r="AM4146">
        <v>102.026365678966</v>
      </c>
      <c r="AN4146">
        <v>1.0000000166366001</v>
      </c>
    </row>
    <row r="4147" spans="1:40" x14ac:dyDescent="0.25">
      <c r="A4147" t="str">
        <f>"20190303161954935"</f>
        <v>20190303161954935</v>
      </c>
      <c r="B4147" t="str">
        <f>"1551601194926107"</f>
        <v>1551601194926107</v>
      </c>
      <c r="C4147" t="s">
        <v>40</v>
      </c>
      <c r="D4147">
        <v>4.8701080000000001</v>
      </c>
      <c r="E4147">
        <v>0.37932460000000001</v>
      </c>
      <c r="F4147" t="s">
        <v>42</v>
      </c>
      <c r="G4147">
        <v>-479.7235</v>
      </c>
      <c r="H4147">
        <v>1.031298</v>
      </c>
      <c r="I4147">
        <v>279.6508</v>
      </c>
      <c r="J4147">
        <v>-479.29329999999999</v>
      </c>
      <c r="K4147">
        <v>1.1250549999999999</v>
      </c>
      <c r="L4147">
        <v>280.31400000000002</v>
      </c>
      <c r="M4147">
        <v>-0.90554049999999997</v>
      </c>
      <c r="N4147">
        <v>-1.435254E-2</v>
      </c>
      <c r="O4147">
        <v>-0.42401719999999998</v>
      </c>
      <c r="P4147">
        <v>-0.79357769999999905</v>
      </c>
      <c r="Q4147">
        <v>0.1014236</v>
      </c>
      <c r="R4147">
        <v>-0.59995690000000002</v>
      </c>
      <c r="S4147">
        <v>-1.8767400000000001</v>
      </c>
      <c r="T4147">
        <v>-0.3429198</v>
      </c>
      <c r="U4147">
        <v>-2.5834959999999998</v>
      </c>
      <c r="V4147">
        <v>-0.2077658</v>
      </c>
      <c r="W4147">
        <v>0.113660999999999</v>
      </c>
      <c r="X4147">
        <v>0.97155270000000005</v>
      </c>
      <c r="Y4147">
        <v>-0.48225620000000002</v>
      </c>
      <c r="Z4147">
        <v>1.105365E-2</v>
      </c>
      <c r="AA4147">
        <v>0.87596049999999903</v>
      </c>
      <c r="AB4147">
        <v>18</v>
      </c>
      <c r="AC4147">
        <v>-0.43020000000001302</v>
      </c>
      <c r="AD4147">
        <v>-9.3756999999999799E-2</v>
      </c>
      <c r="AE4147">
        <v>-0.663200000000017</v>
      </c>
      <c r="AF4147">
        <v>-0.41238440559018003</v>
      </c>
      <c r="AG4147">
        <v>-9.3756999999999799E-2</v>
      </c>
      <c r="AH4147">
        <v>0.66153514623141896</v>
      </c>
      <c r="AI4147">
        <v>96.858108777597707</v>
      </c>
      <c r="AJ4147">
        <v>121.938377804966</v>
      </c>
      <c r="AK4147">
        <v>0.78516241805271803</v>
      </c>
      <c r="AL4147">
        <v>83.4736007169912</v>
      </c>
      <c r="AM4147">
        <v>102.07084435631501</v>
      </c>
      <c r="AN4147">
        <v>1.0000000497239601</v>
      </c>
    </row>
    <row r="4148" spans="1:40" x14ac:dyDescent="0.25">
      <c r="A4148" t="str">
        <f>"20190303161954947"</f>
        <v>20190303161954947</v>
      </c>
      <c r="B4148" t="str">
        <f>"1551601194936843"</f>
        <v>1551601194936843</v>
      </c>
      <c r="C4148" t="s">
        <v>40</v>
      </c>
      <c r="D4148">
        <v>4.8514200000000001</v>
      </c>
      <c r="E4148">
        <v>0.3797664</v>
      </c>
      <c r="F4148" t="s">
        <v>42</v>
      </c>
      <c r="G4148">
        <v>-479.83</v>
      </c>
      <c r="H4148">
        <v>1.0245089999999999</v>
      </c>
      <c r="I4148">
        <v>279.57100000000003</v>
      </c>
      <c r="J4148">
        <v>-479.38040000000001</v>
      </c>
      <c r="K4148">
        <v>1.1250819999999999</v>
      </c>
      <c r="L4148">
        <v>280.26830000000001</v>
      </c>
      <c r="M4148">
        <v>-0.90387819999999997</v>
      </c>
      <c r="N4148">
        <v>-1.436219E-2</v>
      </c>
      <c r="O4148">
        <v>-0.4275487</v>
      </c>
      <c r="P4148">
        <v>-0.79034859999999996</v>
      </c>
      <c r="Q4148">
        <v>0.1011267</v>
      </c>
      <c r="R4148">
        <v>-0.6042535</v>
      </c>
      <c r="S4148">
        <v>-1.8682859999999999</v>
      </c>
      <c r="T4148">
        <v>-0.35006759999999998</v>
      </c>
      <c r="U4148">
        <v>-2.5882869999999998</v>
      </c>
      <c r="V4148">
        <v>-0.2092339</v>
      </c>
      <c r="W4148">
        <v>0.113346</v>
      </c>
      <c r="X4148">
        <v>0.97127439999999998</v>
      </c>
      <c r="Y4148">
        <v>-0.48147030000000002</v>
      </c>
      <c r="Z4148">
        <v>1.1920450000000001E-2</v>
      </c>
      <c r="AA4148">
        <v>0.87638130000000003</v>
      </c>
      <c r="AB4148">
        <v>18</v>
      </c>
      <c r="AC4148">
        <v>-0.44959999999997502</v>
      </c>
      <c r="AD4148">
        <v>-0.100572999999999</v>
      </c>
      <c r="AE4148">
        <v>-0.697300000000041</v>
      </c>
      <c r="AF4148">
        <v>-0.43174940540120599</v>
      </c>
      <c r="AG4148">
        <v>-0.100572999999999</v>
      </c>
      <c r="AH4148">
        <v>0.69438271496020598</v>
      </c>
      <c r="AI4148">
        <v>97.012180215617605</v>
      </c>
      <c r="AJ4148">
        <v>121.872291636423</v>
      </c>
      <c r="AK4148">
        <v>0.82382633620733603</v>
      </c>
      <c r="AL4148">
        <v>83.491766284065406</v>
      </c>
      <c r="AM4148">
        <v>102.156990177059</v>
      </c>
      <c r="AN4148">
        <v>1.0000000503602799</v>
      </c>
    </row>
    <row r="4149" spans="1:40" x14ac:dyDescent="0.25">
      <c r="A4149" t="str">
        <f>"20190303161954960"</f>
        <v>20190303161954960</v>
      </c>
      <c r="B4149" t="str">
        <f>"1551601194946603"</f>
        <v>1551601194946603</v>
      </c>
      <c r="C4149" t="s">
        <v>40</v>
      </c>
      <c r="D4149">
        <v>4.8771000000000004</v>
      </c>
      <c r="E4149">
        <v>0.38032529999999998</v>
      </c>
      <c r="F4149" t="s">
        <v>42</v>
      </c>
      <c r="G4149">
        <v>-479.9477</v>
      </c>
      <c r="H4149">
        <v>1.0171539999999999</v>
      </c>
      <c r="I4149">
        <v>279.476</v>
      </c>
      <c r="J4149">
        <v>-479.46550000000002</v>
      </c>
      <c r="K4149">
        <v>1.1250990000000001</v>
      </c>
      <c r="L4149">
        <v>280.22300000000001</v>
      </c>
      <c r="M4149">
        <v>-0.90221479999999998</v>
      </c>
      <c r="N4149">
        <v>-1.4371099999999999E-2</v>
      </c>
      <c r="O4149">
        <v>-0.43104789999999998</v>
      </c>
      <c r="P4149">
        <v>-0.78771819999999904</v>
      </c>
      <c r="Q4149">
        <v>0.1012058</v>
      </c>
      <c r="R4149">
        <v>-0.60766569999999998</v>
      </c>
      <c r="S4149">
        <v>-1.8578490000000001</v>
      </c>
      <c r="T4149">
        <v>-0.35341470000000003</v>
      </c>
      <c r="U4149">
        <v>-2.5939329999999998</v>
      </c>
      <c r="V4149">
        <v>-0.2096818</v>
      </c>
      <c r="W4149">
        <v>0.11341850000000001</v>
      </c>
      <c r="X4149">
        <v>0.97116930000000001</v>
      </c>
      <c r="Y4149">
        <v>-0.48130509999999899</v>
      </c>
      <c r="Z4149">
        <v>1.25287E-2</v>
      </c>
      <c r="AA4149">
        <v>0.87646360000000001</v>
      </c>
      <c r="AB4149">
        <v>18</v>
      </c>
      <c r="AC4149">
        <v>-0.48219999999997698</v>
      </c>
      <c r="AD4149">
        <v>-0.107944999999999</v>
      </c>
      <c r="AE4149">
        <v>-0.74700000000001399</v>
      </c>
      <c r="AF4149">
        <v>-0.45938008216005199</v>
      </c>
      <c r="AG4149">
        <v>-0.107944999999999</v>
      </c>
      <c r="AH4149">
        <v>0.74612119529999998</v>
      </c>
      <c r="AI4149">
        <v>97.023263194936305</v>
      </c>
      <c r="AJ4149">
        <v>121.620231937254</v>
      </c>
      <c r="AK4149">
        <v>0.88282445649533103</v>
      </c>
      <c r="AL4149">
        <v>83.487585124155601</v>
      </c>
      <c r="AM4149">
        <v>102.183516752462</v>
      </c>
      <c r="AN4149">
        <v>1.0000000113279901</v>
      </c>
    </row>
    <row r="4150" spans="1:40" x14ac:dyDescent="0.25">
      <c r="A4150" t="str">
        <f>"20190303161954972"</f>
        <v>20190303161954972</v>
      </c>
      <c r="B4150" t="str">
        <f>"1551601194966123"</f>
        <v>1551601194966123</v>
      </c>
      <c r="C4150" t="s">
        <v>40</v>
      </c>
      <c r="D4150">
        <v>4.9011239999999896</v>
      </c>
      <c r="E4150">
        <v>0.38111390000000001</v>
      </c>
      <c r="F4150" t="s">
        <v>42</v>
      </c>
      <c r="G4150">
        <v>-479.97410000000002</v>
      </c>
      <c r="H4150">
        <v>1.0284279999999999</v>
      </c>
      <c r="I4150">
        <v>279.50830000000002</v>
      </c>
      <c r="J4150">
        <v>-479.54669999999999</v>
      </c>
      <c r="K4150">
        <v>1.1251139999999999</v>
      </c>
      <c r="L4150">
        <v>280.17950000000002</v>
      </c>
      <c r="M4150">
        <v>-0.90059880000000003</v>
      </c>
      <c r="N4150">
        <v>-1.437914E-2</v>
      </c>
      <c r="O4150">
        <v>-0.43441370000000001</v>
      </c>
      <c r="P4150">
        <v>-0.78548359999999995</v>
      </c>
      <c r="Q4150">
        <v>0.1006659</v>
      </c>
      <c r="R4150">
        <v>-0.61064059999999998</v>
      </c>
      <c r="S4150">
        <v>-1.8493649999999999</v>
      </c>
      <c r="T4150">
        <v>-0.35150599999999999</v>
      </c>
      <c r="U4150">
        <v>-2.5981139999999998</v>
      </c>
      <c r="V4150">
        <v>-0.20969850000000001</v>
      </c>
      <c r="W4150">
        <v>0.1128783</v>
      </c>
      <c r="X4150">
        <v>0.9712286</v>
      </c>
      <c r="Y4150">
        <v>-0.48062280000000002</v>
      </c>
      <c r="Z4150">
        <v>1.2834740000000001E-2</v>
      </c>
      <c r="AA4150">
        <v>0.87683349999999904</v>
      </c>
      <c r="AB4150">
        <v>18</v>
      </c>
      <c r="AC4150">
        <v>-0.42740000000003397</v>
      </c>
      <c r="AD4150">
        <v>-9.66859999999998E-2</v>
      </c>
      <c r="AE4150">
        <v>-0.67119999999999802</v>
      </c>
      <c r="AF4150">
        <v>-0.412762785304155</v>
      </c>
      <c r="AG4150">
        <v>-9.66859999999998E-2</v>
      </c>
      <c r="AH4150">
        <v>0.66672090176193</v>
      </c>
      <c r="AI4150">
        <v>97.029121609037901</v>
      </c>
      <c r="AJ4150">
        <v>121.76139349415899</v>
      </c>
      <c r="AK4150">
        <v>0.79008737515181504</v>
      </c>
      <c r="AL4150">
        <v>83.518736166657106</v>
      </c>
      <c r="AM4150">
        <v>102.183736394411</v>
      </c>
      <c r="AN4150">
        <v>0.999999982485549</v>
      </c>
    </row>
    <row r="4151" spans="1:40" x14ac:dyDescent="0.25">
      <c r="A4151" t="str">
        <f>"20190303161954984"</f>
        <v>20190303161954984</v>
      </c>
      <c r="B4151" t="str">
        <f>"1551601194976859"</f>
        <v>1551601194976859</v>
      </c>
      <c r="C4151" t="s">
        <v>40</v>
      </c>
      <c r="D4151">
        <v>4.9061640000000004</v>
      </c>
      <c r="E4151">
        <v>0.38157459999999999</v>
      </c>
      <c r="F4151" t="s">
        <v>42</v>
      </c>
      <c r="G4151">
        <v>-480.09</v>
      </c>
      <c r="H4151">
        <v>1.0222979999999999</v>
      </c>
      <c r="I4151">
        <v>279.41309999999999</v>
      </c>
      <c r="J4151">
        <v>-479.63200000000001</v>
      </c>
      <c r="K4151">
        <v>1.1251279999999999</v>
      </c>
      <c r="L4151">
        <v>280.13339999999999</v>
      </c>
      <c r="M4151">
        <v>-0.89887619999999901</v>
      </c>
      <c r="N4151">
        <v>-1.4387219999999999E-2</v>
      </c>
      <c r="O4151">
        <v>-0.43796629999999998</v>
      </c>
      <c r="P4151">
        <v>-0.78314989999999995</v>
      </c>
      <c r="Q4151">
        <v>0.1002774</v>
      </c>
      <c r="R4151">
        <v>-0.61369439999999997</v>
      </c>
      <c r="S4151">
        <v>-1.842773</v>
      </c>
      <c r="T4151">
        <v>-0.34872229999999999</v>
      </c>
      <c r="U4151">
        <v>-2.599945</v>
      </c>
      <c r="V4151">
        <v>-0.2096249</v>
      </c>
      <c r="W4151">
        <v>0.1124908</v>
      </c>
      <c r="X4151">
        <v>0.97128950000000003</v>
      </c>
      <c r="Y4151">
        <v>-0.47896539999999999</v>
      </c>
      <c r="Z4151">
        <v>1.317169E-2</v>
      </c>
      <c r="AA4151">
        <v>0.87773500000000004</v>
      </c>
      <c r="AB4151">
        <v>18</v>
      </c>
      <c r="AC4151">
        <v>-0.458000000000026</v>
      </c>
      <c r="AD4151">
        <v>-0.10283</v>
      </c>
      <c r="AE4151">
        <v>-0.72030000000000804</v>
      </c>
      <c r="AF4151">
        <v>-0.44052496693852</v>
      </c>
      <c r="AG4151">
        <v>-0.10283</v>
      </c>
      <c r="AH4151">
        <v>0.71682456234599801</v>
      </c>
      <c r="AI4151">
        <v>96.967999309662801</v>
      </c>
      <c r="AJ4151">
        <v>121.57282954842699</v>
      </c>
      <c r="AK4151">
        <v>0.84762828443765104</v>
      </c>
      <c r="AL4151">
        <v>83.541080943424902</v>
      </c>
      <c r="AM4151">
        <v>102.178846964306</v>
      </c>
      <c r="AN4151">
        <v>1.0000000357974399</v>
      </c>
    </row>
    <row r="4152" spans="1:40" x14ac:dyDescent="0.25">
      <c r="A4152" t="str">
        <f>"20190303161954997"</f>
        <v>20190303161954997</v>
      </c>
      <c r="B4152" t="str">
        <f>"1551601194986619"</f>
        <v>1551601194986619</v>
      </c>
      <c r="C4152" t="s">
        <v>40</v>
      </c>
      <c r="D4152">
        <v>4.8518650000000001</v>
      </c>
      <c r="E4152">
        <v>0.3815171</v>
      </c>
      <c r="F4152" t="s">
        <v>42</v>
      </c>
      <c r="G4152">
        <v>-480.1454</v>
      </c>
      <c r="H4152">
        <v>1.0280009999999999</v>
      </c>
      <c r="I4152">
        <v>279.40440000000001</v>
      </c>
      <c r="J4152">
        <v>-479.71559999999999</v>
      </c>
      <c r="K4152">
        <v>1.1251420000000001</v>
      </c>
      <c r="L4152">
        <v>280.08749999999998</v>
      </c>
      <c r="M4152">
        <v>-0.89714959999999899</v>
      </c>
      <c r="N4152">
        <v>-1.439438E-2</v>
      </c>
      <c r="O4152">
        <v>-0.44149240000000001</v>
      </c>
      <c r="P4152">
        <v>-0.78120080000000003</v>
      </c>
      <c r="Q4152">
        <v>9.9777589999999999E-2</v>
      </c>
      <c r="R4152">
        <v>-0.61625469999999904</v>
      </c>
      <c r="S4152">
        <v>-1.833923</v>
      </c>
      <c r="T4152">
        <v>-0.34697099999999997</v>
      </c>
      <c r="U4152">
        <v>-2.6048580000000001</v>
      </c>
      <c r="V4152">
        <v>-0.20896029999999999</v>
      </c>
      <c r="W4152">
        <v>0.1120004</v>
      </c>
      <c r="X4152">
        <v>0.9714893</v>
      </c>
      <c r="Y4152">
        <v>-0.47831580000000001</v>
      </c>
      <c r="Z4152">
        <v>1.349066E-2</v>
      </c>
      <c r="AA4152">
        <v>0.87808419999999898</v>
      </c>
      <c r="AB4152">
        <v>18</v>
      </c>
      <c r="AC4152">
        <v>-0.42980000000000002</v>
      </c>
      <c r="AD4152">
        <v>-9.7141000000000102E-2</v>
      </c>
      <c r="AE4152">
        <v>-0.68309999999996696</v>
      </c>
      <c r="AF4152">
        <v>-0.41709073639466199</v>
      </c>
      <c r="AG4152">
        <v>-9.7141000000000102E-2</v>
      </c>
      <c r="AH4152">
        <v>0.67743528271231401</v>
      </c>
      <c r="AI4152">
        <v>96.961755397340397</v>
      </c>
      <c r="AJ4152">
        <v>121.620228892407</v>
      </c>
      <c r="AK4152">
        <v>0.80144845032650303</v>
      </c>
      <c r="AL4152">
        <v>83.569357115408806</v>
      </c>
      <c r="AM4152">
        <v>102.13895917329</v>
      </c>
      <c r="AN4152">
        <v>0.99999997829536902</v>
      </c>
    </row>
    <row r="4153" spans="1:40" x14ac:dyDescent="0.25">
      <c r="A4153" t="str">
        <f>"20190303161955011"</f>
        <v>20190303161955011</v>
      </c>
      <c r="B4153" t="str">
        <f>"1551601195006140"</f>
        <v>1551601195006140</v>
      </c>
      <c r="C4153" t="s">
        <v>40</v>
      </c>
      <c r="D4153">
        <v>4.8841530000000004</v>
      </c>
      <c r="E4153">
        <v>0.38199759999999999</v>
      </c>
      <c r="F4153" t="s">
        <v>42</v>
      </c>
      <c r="G4153">
        <v>-480.23140000000001</v>
      </c>
      <c r="H4153">
        <v>1.026799</v>
      </c>
      <c r="I4153">
        <v>279.34910000000002</v>
      </c>
      <c r="J4153">
        <v>-479.81119999999999</v>
      </c>
      <c r="K4153">
        <v>1.1251549999999999</v>
      </c>
      <c r="L4153">
        <v>280.03469999999999</v>
      </c>
      <c r="M4153">
        <v>-0.89514419999999995</v>
      </c>
      <c r="N4153">
        <v>-1.4402079999999999E-2</v>
      </c>
      <c r="O4153">
        <v>-0.4455441</v>
      </c>
      <c r="P4153">
        <v>-0.778541699999999</v>
      </c>
      <c r="Q4153">
        <v>9.9555480000000002E-2</v>
      </c>
      <c r="R4153">
        <v>-0.61964619999999904</v>
      </c>
      <c r="S4153">
        <v>-1.824524</v>
      </c>
      <c r="T4153">
        <v>-0.34778819999999999</v>
      </c>
      <c r="U4153">
        <v>-2.6115110000000001</v>
      </c>
      <c r="V4153">
        <v>-0.20878160000000001</v>
      </c>
      <c r="W4153">
        <v>0.11178100000000001</v>
      </c>
      <c r="X4153">
        <v>0.971553</v>
      </c>
      <c r="Y4153">
        <v>-0.47753669999999998</v>
      </c>
      <c r="Z4153">
        <v>1.403689E-2</v>
      </c>
      <c r="AA4153">
        <v>0.878499699999999</v>
      </c>
      <c r="AB4153">
        <v>18</v>
      </c>
      <c r="AC4153">
        <v>-0.420200000000022</v>
      </c>
      <c r="AD4153">
        <v>-9.8355999999999805E-2</v>
      </c>
      <c r="AE4153">
        <v>-0.68559999999996502</v>
      </c>
      <c r="AF4153">
        <v>-0.42025015809260002</v>
      </c>
      <c r="AG4153">
        <v>-9.8355999999999805E-2</v>
      </c>
      <c r="AH4153">
        <v>0.67162719271354898</v>
      </c>
      <c r="AI4153">
        <v>97.076742944665099</v>
      </c>
      <c r="AJ4153">
        <v>122.035013589838</v>
      </c>
      <c r="AK4153">
        <v>0.79835279426149597</v>
      </c>
      <c r="AL4153">
        <v>83.582007322284099</v>
      </c>
      <c r="AM4153">
        <v>102.128113902358</v>
      </c>
      <c r="AN4153">
        <v>0.99999999013427998</v>
      </c>
    </row>
    <row r="4154" spans="1:40" x14ac:dyDescent="0.25">
      <c r="A4154" t="str">
        <f>"20190303161955025"</f>
        <v>20190303161955025</v>
      </c>
      <c r="B4154" t="str">
        <f>"1551601195016876"</f>
        <v>1551601195016876</v>
      </c>
      <c r="C4154" t="s">
        <v>40</v>
      </c>
      <c r="D4154">
        <v>4.9367330000000003</v>
      </c>
      <c r="E4154">
        <v>0.38239830000000002</v>
      </c>
      <c r="F4154" t="s">
        <v>42</v>
      </c>
      <c r="G4154">
        <v>-480.35079999999999</v>
      </c>
      <c r="H4154">
        <v>1.0214110000000001</v>
      </c>
      <c r="I4154">
        <v>279.25779999999997</v>
      </c>
      <c r="J4154">
        <v>-479.90940000000001</v>
      </c>
      <c r="K4154">
        <v>1.125165</v>
      </c>
      <c r="L4154">
        <v>279.97980000000001</v>
      </c>
      <c r="M4154">
        <v>-0.89304779999999995</v>
      </c>
      <c r="N4154">
        <v>-1.440935E-2</v>
      </c>
      <c r="O4154">
        <v>-0.44973079999999999</v>
      </c>
      <c r="P4154">
        <v>-0.7757868</v>
      </c>
      <c r="Q4154">
        <v>9.9579829999999994E-2</v>
      </c>
      <c r="R4154">
        <v>-0.62308759999999996</v>
      </c>
      <c r="S4154">
        <v>-1.8159479999999999</v>
      </c>
      <c r="T4154">
        <v>-0.34919630000000002</v>
      </c>
      <c r="U4154">
        <v>-2.6159669999999999</v>
      </c>
      <c r="V4154">
        <v>-0.20853859999999999</v>
      </c>
      <c r="W4154">
        <v>0.1118099</v>
      </c>
      <c r="X4154">
        <v>0.97160190000000002</v>
      </c>
      <c r="Y4154">
        <v>-0.47608450000000002</v>
      </c>
      <c r="Z4154">
        <v>1.469708E-2</v>
      </c>
      <c r="AA4154">
        <v>0.87927670000000002</v>
      </c>
      <c r="AB4154">
        <v>18</v>
      </c>
      <c r="AC4154">
        <v>-0.44139999999998702</v>
      </c>
      <c r="AD4154">
        <v>-0.103753999999999</v>
      </c>
      <c r="AE4154">
        <v>-0.72200000000003595</v>
      </c>
      <c r="AF4154">
        <v>-0.43970593190167301</v>
      </c>
      <c r="AG4154">
        <v>-0.103753999999999</v>
      </c>
      <c r="AH4154">
        <v>0.70832392363557795</v>
      </c>
      <c r="AI4154">
        <v>97.093946335667297</v>
      </c>
      <c r="AJ4154">
        <v>121.83075150158599</v>
      </c>
      <c r="AK4154">
        <v>0.84013628647977101</v>
      </c>
      <c r="AL4154">
        <v>83.580341264731004</v>
      </c>
      <c r="AM4154">
        <v>102.113823531104</v>
      </c>
      <c r="AN4154">
        <v>1.00000002675578</v>
      </c>
    </row>
    <row r="4155" spans="1:40" x14ac:dyDescent="0.25">
      <c r="A4155" t="str">
        <f>"20190303161955039"</f>
        <v>20190303161955039</v>
      </c>
      <c r="B4155" t="str">
        <f>"1551601195026636"</f>
        <v>1551601195026636</v>
      </c>
      <c r="C4155" t="s">
        <v>40</v>
      </c>
      <c r="D4155">
        <v>4.9259769999999996</v>
      </c>
      <c r="E4155">
        <v>0.38274789999999997</v>
      </c>
      <c r="F4155" t="s">
        <v>42</v>
      </c>
      <c r="G4155">
        <v>-480.4699</v>
      </c>
      <c r="H4155">
        <v>1.016421</v>
      </c>
      <c r="I4155">
        <v>279.16669999999999</v>
      </c>
      <c r="J4155">
        <v>-480.00119999999998</v>
      </c>
      <c r="K4155">
        <v>1.1251739999999999</v>
      </c>
      <c r="L4155">
        <v>279.92770000000002</v>
      </c>
      <c r="M4155">
        <v>-0.89104810000000001</v>
      </c>
      <c r="N4155">
        <v>-1.441506E-2</v>
      </c>
      <c r="O4155">
        <v>-0.45368029999999998</v>
      </c>
      <c r="P4155">
        <v>-0.77328529999999995</v>
      </c>
      <c r="Q4155">
        <v>0.10040209999999999</v>
      </c>
      <c r="R4155">
        <v>-0.62605900000000003</v>
      </c>
      <c r="S4155">
        <v>-1.8067629999999999</v>
      </c>
      <c r="T4155">
        <v>-0.35055799999999998</v>
      </c>
      <c r="U4155">
        <v>-2.621216</v>
      </c>
      <c r="V4155">
        <v>-0.2080195</v>
      </c>
      <c r="W4155">
        <v>0.1126395</v>
      </c>
      <c r="X4155">
        <v>0.97161730000000002</v>
      </c>
      <c r="Y4155">
        <v>-0.47511759999999997</v>
      </c>
      <c r="Z4155">
        <v>1.529901E-2</v>
      </c>
      <c r="AA4155">
        <v>0.8797893</v>
      </c>
      <c r="AB4155">
        <v>18</v>
      </c>
      <c r="AC4155">
        <v>-0.468700000000012</v>
      </c>
      <c r="AD4155">
        <v>-0.108752999999999</v>
      </c>
      <c r="AE4155">
        <v>-0.76100000000002399</v>
      </c>
      <c r="AF4155">
        <v>-0.45870426385880902</v>
      </c>
      <c r="AG4155">
        <v>-0.108752999999999</v>
      </c>
      <c r="AH4155">
        <v>0.75183231144560003</v>
      </c>
      <c r="AI4155">
        <v>97.039387463014407</v>
      </c>
      <c r="AJ4155">
        <v>121.387998123405</v>
      </c>
      <c r="AK4155">
        <v>0.88740556749711996</v>
      </c>
      <c r="AL4155">
        <v>83.532506160906706</v>
      </c>
      <c r="AM4155">
        <v>102.084370966607</v>
      </c>
      <c r="AN4155">
        <v>0.999999973499894</v>
      </c>
    </row>
    <row r="4156" spans="1:40" x14ac:dyDescent="0.25">
      <c r="A4156" t="str">
        <f>"20190303161955053"</f>
        <v>20190303161955053</v>
      </c>
      <c r="B4156" t="str">
        <f>"1551601195047132"</f>
        <v>1551601195047132</v>
      </c>
      <c r="C4156" t="s">
        <v>40</v>
      </c>
      <c r="D4156">
        <v>4.9403680000000003</v>
      </c>
      <c r="E4156">
        <v>0.38342959999999998</v>
      </c>
      <c r="F4156" t="s">
        <v>42</v>
      </c>
      <c r="G4156">
        <v>-480.50279999999998</v>
      </c>
      <c r="H4156">
        <v>1.027922</v>
      </c>
      <c r="I4156">
        <v>279.19560000000001</v>
      </c>
      <c r="J4156">
        <v>-480.09070000000003</v>
      </c>
      <c r="K4156">
        <v>1.1251739999999999</v>
      </c>
      <c r="L4156">
        <v>279.87639999999999</v>
      </c>
      <c r="M4156">
        <v>-0.88906700000000005</v>
      </c>
      <c r="N4156">
        <v>-1.4419990000000001E-2</v>
      </c>
      <c r="O4156">
        <v>-0.45754980000000001</v>
      </c>
      <c r="P4156">
        <v>-0.77067859999999999</v>
      </c>
      <c r="Q4156">
        <v>0.1011416</v>
      </c>
      <c r="R4156">
        <v>-0.62914590000000004</v>
      </c>
      <c r="S4156">
        <v>-1.7987979999999999</v>
      </c>
      <c r="T4156">
        <v>-0.34878700000000001</v>
      </c>
      <c r="U4156">
        <v>-2.6259769999999998</v>
      </c>
      <c r="V4156">
        <v>-0.2077312</v>
      </c>
      <c r="W4156">
        <v>0.11338529999999999</v>
      </c>
      <c r="X4156">
        <v>0.97159220000000002</v>
      </c>
      <c r="Y4156">
        <v>-0.47388089999999999</v>
      </c>
      <c r="Z4156">
        <v>1.568512E-2</v>
      </c>
      <c r="AA4156">
        <v>0.88044920000000004</v>
      </c>
      <c r="AB4156">
        <v>18</v>
      </c>
      <c r="AC4156">
        <v>-0.412099999999952</v>
      </c>
      <c r="AD4156">
        <v>-9.7251999999999894E-2</v>
      </c>
      <c r="AE4156">
        <v>-0.68079999999997598</v>
      </c>
      <c r="AF4156">
        <v>-0.41063151025578698</v>
      </c>
      <c r="AG4156">
        <v>-9.7251999999999894E-2</v>
      </c>
      <c r="AH4156">
        <v>0.66797931352282103</v>
      </c>
      <c r="AI4156">
        <v>97.070283305184304</v>
      </c>
      <c r="AJ4156">
        <v>121.580575401503</v>
      </c>
      <c r="AK4156">
        <v>0.79010920258744499</v>
      </c>
      <c r="AL4156">
        <v>83.489499230787303</v>
      </c>
      <c r="AM4156">
        <v>102.06841682019299</v>
      </c>
      <c r="AN4156">
        <v>0.99999994040518303</v>
      </c>
    </row>
    <row r="4157" spans="1:40" x14ac:dyDescent="0.25">
      <c r="A4157" t="str">
        <f>"20190303161955068"</f>
        <v>20190303161955068</v>
      </c>
      <c r="B4157" t="str">
        <f>"1551601195056893"</f>
        <v>1551601195056893</v>
      </c>
      <c r="C4157" t="s">
        <v>40</v>
      </c>
      <c r="D4157">
        <v>4.966119</v>
      </c>
      <c r="E4157">
        <v>0.38377919999999999</v>
      </c>
      <c r="F4157" t="s">
        <v>42</v>
      </c>
      <c r="G4157">
        <v>-480.6148</v>
      </c>
      <c r="H4157">
        <v>1.0239830000000001</v>
      </c>
      <c r="I4157">
        <v>279.10750000000002</v>
      </c>
      <c r="J4157">
        <v>-480.19409999999999</v>
      </c>
      <c r="K4157">
        <v>1.12517</v>
      </c>
      <c r="L4157">
        <v>279.81670000000003</v>
      </c>
      <c r="M4157">
        <v>-0.88674679999999995</v>
      </c>
      <c r="N4157">
        <v>-1.442419E-2</v>
      </c>
      <c r="O4157">
        <v>-0.46203040000000001</v>
      </c>
      <c r="P4157">
        <v>-0.76813809999999905</v>
      </c>
      <c r="Q4157">
        <v>0.1018211</v>
      </c>
      <c r="R4157">
        <v>-0.63213609999999998</v>
      </c>
      <c r="S4157">
        <v>-1.7916259999999999</v>
      </c>
      <c r="T4157">
        <v>-0.34590569999999998</v>
      </c>
      <c r="U4157">
        <v>-2.6292719999999998</v>
      </c>
      <c r="V4157">
        <v>-0.206649</v>
      </c>
      <c r="W4157">
        <v>0.11408119999999999</v>
      </c>
      <c r="X4157">
        <v>0.97174159999999998</v>
      </c>
      <c r="Y4157">
        <v>-0.47162999999999999</v>
      </c>
      <c r="Z4157">
        <v>1.6123709999999999E-2</v>
      </c>
      <c r="AA4157">
        <v>0.88164909999999996</v>
      </c>
      <c r="AB4157">
        <v>17</v>
      </c>
      <c r="AC4157">
        <v>-0.42070000000001001</v>
      </c>
      <c r="AD4157">
        <v>-0.101186999999999</v>
      </c>
      <c r="AE4157">
        <v>-0.70920000000000905</v>
      </c>
      <c r="AF4157">
        <v>-0.428103413376484</v>
      </c>
      <c r="AG4157">
        <v>-0.101186999999999</v>
      </c>
      <c r="AH4157">
        <v>0.69040306783664496</v>
      </c>
      <c r="AI4157">
        <v>97.100152860288802</v>
      </c>
      <c r="AJ4157">
        <v>121.802120488516</v>
      </c>
      <c r="AK4157">
        <v>0.81863773281705499</v>
      </c>
      <c r="AL4157">
        <v>83.4493672985068</v>
      </c>
      <c r="AM4157">
        <v>102.005581781391</v>
      </c>
      <c r="AN4157">
        <v>1.0000000332824901</v>
      </c>
    </row>
    <row r="4158" spans="1:40" x14ac:dyDescent="0.25">
      <c r="A4158" t="str">
        <f>"20190303161955083"</f>
        <v>20190303161955083</v>
      </c>
      <c r="B4158" t="str">
        <f>"1551601195076411"</f>
        <v>1551601195076411</v>
      </c>
      <c r="C4158" t="s">
        <v>40</v>
      </c>
      <c r="D4158">
        <v>4.9594750000000003</v>
      </c>
      <c r="E4158">
        <v>0.38449539999999999</v>
      </c>
      <c r="F4158" t="s">
        <v>42</v>
      </c>
      <c r="G4158">
        <v>-480.7346</v>
      </c>
      <c r="H4158">
        <v>1.021444</v>
      </c>
      <c r="I4158">
        <v>279.01799999999997</v>
      </c>
      <c r="J4158">
        <v>-480.29129999999998</v>
      </c>
      <c r="K4158">
        <v>1.1251610000000001</v>
      </c>
      <c r="L4158">
        <v>279.75970000000001</v>
      </c>
      <c r="M4158">
        <v>-0.884530699999999</v>
      </c>
      <c r="N4158">
        <v>-1.4424930000000001E-2</v>
      </c>
      <c r="O4158">
        <v>-0.46625919999999998</v>
      </c>
      <c r="P4158">
        <v>-0.76575700000000002</v>
      </c>
      <c r="Q4158">
        <v>0.101104</v>
      </c>
      <c r="R4158">
        <v>-0.63513339999999996</v>
      </c>
      <c r="S4158">
        <v>-1.7828059999999999</v>
      </c>
      <c r="T4158">
        <v>-0.34217249999999999</v>
      </c>
      <c r="U4158">
        <v>-2.6346129999999999</v>
      </c>
      <c r="V4158">
        <v>-0.20575309999999999</v>
      </c>
      <c r="W4158">
        <v>0.1133801</v>
      </c>
      <c r="X4158">
        <v>0.97201369999999998</v>
      </c>
      <c r="Y4158">
        <v>-0.4703099</v>
      </c>
      <c r="Z4158">
        <v>1.6394120000000002E-2</v>
      </c>
      <c r="AA4158">
        <v>0.8823491</v>
      </c>
      <c r="AB4158">
        <v>17</v>
      </c>
      <c r="AC4158">
        <v>-0.44330000000002201</v>
      </c>
      <c r="AD4158">
        <v>-0.103717</v>
      </c>
      <c r="AE4158">
        <v>-0.741700000000037</v>
      </c>
      <c r="AF4158">
        <v>-0.443027441601344</v>
      </c>
      <c r="AG4158">
        <v>-0.103717</v>
      </c>
      <c r="AH4158">
        <v>0.72753159222237695</v>
      </c>
      <c r="AI4158">
        <v>96.942224899635605</v>
      </c>
      <c r="AJ4158">
        <v>121.339157133437</v>
      </c>
      <c r="AK4158">
        <v>0.85809833223381804</v>
      </c>
      <c r="AL4158">
        <v>83.489799551843205</v>
      </c>
      <c r="AM4158">
        <v>101.95178346186199</v>
      </c>
      <c r="AN4158">
        <v>1.0000000091116501</v>
      </c>
    </row>
    <row r="4159" spans="1:40" x14ac:dyDescent="0.25">
      <c r="A4159" t="str">
        <f>"20190303161955096"</f>
        <v>20190303161955096</v>
      </c>
      <c r="B4159" t="str">
        <f>"1551601195087149"</f>
        <v>1551601195087149</v>
      </c>
      <c r="C4159" t="s">
        <v>40</v>
      </c>
      <c r="D4159">
        <v>4.9425809999999997</v>
      </c>
      <c r="E4159">
        <v>0.38479039999999998</v>
      </c>
      <c r="F4159" t="s">
        <v>42</v>
      </c>
      <c r="G4159">
        <v>-480.80529999999999</v>
      </c>
      <c r="H4159">
        <v>1.0256700000000001</v>
      </c>
      <c r="I4159">
        <v>278.99669999999998</v>
      </c>
      <c r="J4159">
        <v>-480.38</v>
      </c>
      <c r="K4159">
        <v>1.1251409999999999</v>
      </c>
      <c r="L4159">
        <v>279.7072</v>
      </c>
      <c r="M4159">
        <v>-0.88248019999999905</v>
      </c>
      <c r="N4159">
        <v>-1.4421389999999999E-2</v>
      </c>
      <c r="O4159">
        <v>-0.4701285</v>
      </c>
      <c r="P4159">
        <v>-0.76330439999999999</v>
      </c>
      <c r="Q4159">
        <v>9.9881929999999994E-2</v>
      </c>
      <c r="R4159">
        <v>-0.63827129999999999</v>
      </c>
      <c r="S4159">
        <v>-1.776154</v>
      </c>
      <c r="T4159">
        <v>-0.34377279999999999</v>
      </c>
      <c r="U4159">
        <v>-2.636749</v>
      </c>
      <c r="V4159">
        <v>-0.20539640000000001</v>
      </c>
      <c r="W4159">
        <v>0.11216669999999999</v>
      </c>
      <c r="X4159">
        <v>0.97222989999999998</v>
      </c>
      <c r="Y4159">
        <v>-0.46832610000000002</v>
      </c>
      <c r="Z4159">
        <v>1.7087419999999999E-2</v>
      </c>
      <c r="AA4159">
        <v>0.88339049999999997</v>
      </c>
      <c r="AB4159">
        <v>17</v>
      </c>
      <c r="AC4159">
        <v>-0.42529999999999202</v>
      </c>
      <c r="AD4159">
        <v>-9.9470999999999796E-2</v>
      </c>
      <c r="AE4159">
        <v>-0.710500000000024</v>
      </c>
      <c r="AF4159">
        <v>-0.42102554921325303</v>
      </c>
      <c r="AG4159">
        <v>-9.9470999999999796E-2</v>
      </c>
      <c r="AH4159">
        <v>0.69932760773884795</v>
      </c>
      <c r="AI4159">
        <v>96.947702306040895</v>
      </c>
      <c r="AJ4159">
        <v>121.049764548041</v>
      </c>
      <c r="AK4159">
        <v>0.82232359559790202</v>
      </c>
      <c r="AL4159">
        <v>83.559768638039003</v>
      </c>
      <c r="AM4159">
        <v>101.92908054884801</v>
      </c>
      <c r="AN4159">
        <v>1.0000000140879299</v>
      </c>
    </row>
    <row r="4160" spans="1:40" x14ac:dyDescent="0.25">
      <c r="A4160" t="str">
        <f>"20190303161955111"</f>
        <v>20190303161955111</v>
      </c>
      <c r="B4160" t="str">
        <f>"1551601195106667"</f>
        <v>1551601195106667</v>
      </c>
      <c r="C4160" t="s">
        <v>40</v>
      </c>
      <c r="D4160">
        <v>5.0141830000000001</v>
      </c>
      <c r="E4160">
        <v>0.385438</v>
      </c>
      <c r="F4160" t="s">
        <v>42</v>
      </c>
      <c r="G4160">
        <v>-480.88069999999999</v>
      </c>
      <c r="H4160">
        <v>1.0267580000000001</v>
      </c>
      <c r="I4160">
        <v>278.95850000000002</v>
      </c>
      <c r="J4160">
        <v>-480.47460000000001</v>
      </c>
      <c r="K4160">
        <v>1.125108</v>
      </c>
      <c r="L4160">
        <v>279.65050000000002</v>
      </c>
      <c r="M4160">
        <v>-0.88026599999999999</v>
      </c>
      <c r="N4160">
        <v>-1.441536E-2</v>
      </c>
      <c r="O4160">
        <v>-0.4742614</v>
      </c>
      <c r="P4160">
        <v>-0.76032880000000003</v>
      </c>
      <c r="Q4160">
        <v>9.7962889999999997E-2</v>
      </c>
      <c r="R4160">
        <v>-0.64210889999999998</v>
      </c>
      <c r="S4160">
        <v>-1.7667539999999999</v>
      </c>
      <c r="T4160">
        <v>-0.34713759999999999</v>
      </c>
      <c r="U4160">
        <v>-2.641632</v>
      </c>
      <c r="V4160">
        <v>-0.205597</v>
      </c>
      <c r="W4160">
        <v>0.1102498</v>
      </c>
      <c r="X4160">
        <v>0.97240669999999996</v>
      </c>
      <c r="Y4160">
        <v>-0.46711999999999998</v>
      </c>
      <c r="Z4160">
        <v>1.7901420000000001E-2</v>
      </c>
      <c r="AA4160">
        <v>0.88401269999999998</v>
      </c>
      <c r="AB4160">
        <v>17</v>
      </c>
      <c r="AC4160">
        <v>-0.40609999999997998</v>
      </c>
      <c r="AD4160">
        <v>-9.8349999999999896E-2</v>
      </c>
      <c r="AE4160">
        <v>-0.69200000000000705</v>
      </c>
      <c r="AF4160">
        <v>-0.41042327076211799</v>
      </c>
      <c r="AG4160">
        <v>-9.8349999999999896E-2</v>
      </c>
      <c r="AH4160">
        <v>0.67558561598252498</v>
      </c>
      <c r="AI4160">
        <v>97.092159523234997</v>
      </c>
      <c r="AJ4160">
        <v>121.278990989221</v>
      </c>
      <c r="AK4160">
        <v>0.79657762220989003</v>
      </c>
      <c r="AL4160">
        <v>83.6702841536314</v>
      </c>
      <c r="AM4160">
        <v>101.93828814365899</v>
      </c>
      <c r="AN4160">
        <v>0.99999996750696396</v>
      </c>
    </row>
    <row r="4161" spans="1:40" x14ac:dyDescent="0.25">
      <c r="A4161" t="str">
        <f>"20190303161955123"</f>
        <v>20190303161955123</v>
      </c>
      <c r="B4161" t="str">
        <f>"1551601195116427"</f>
        <v>1551601195116427</v>
      </c>
      <c r="C4161" t="s">
        <v>40</v>
      </c>
      <c r="D4161">
        <v>5.0063269999999997</v>
      </c>
      <c r="E4161">
        <v>0.38582689999999997</v>
      </c>
      <c r="F4161" t="s">
        <v>42</v>
      </c>
      <c r="G4161">
        <v>-480.99579999999997</v>
      </c>
      <c r="H4161">
        <v>1.0203660000000001</v>
      </c>
      <c r="I4161">
        <v>278.86579999999998</v>
      </c>
      <c r="J4161">
        <v>-480.55720000000002</v>
      </c>
      <c r="K4161">
        <v>1.1250789999999999</v>
      </c>
      <c r="L4161">
        <v>279.60070000000002</v>
      </c>
      <c r="M4161">
        <v>-0.87831369999999898</v>
      </c>
      <c r="N4161">
        <v>-1.4408249999999999E-2</v>
      </c>
      <c r="O4161">
        <v>-0.47786780000000001</v>
      </c>
      <c r="P4161">
        <v>-0.75737919999999903</v>
      </c>
      <c r="Q4161">
        <v>9.5723180000000005E-2</v>
      </c>
      <c r="R4161">
        <v>-0.64592079999999996</v>
      </c>
      <c r="S4161">
        <v>-1.7568360000000001</v>
      </c>
      <c r="T4161">
        <v>-0.35310130000000001</v>
      </c>
      <c r="U4161">
        <v>-2.6455989999999998</v>
      </c>
      <c r="V4161">
        <v>-0.20633570000000001</v>
      </c>
      <c r="W4161">
        <v>0.1080064</v>
      </c>
      <c r="X4161">
        <v>0.97250210000000004</v>
      </c>
      <c r="Y4161">
        <v>-0.46640169999999997</v>
      </c>
      <c r="Z4161">
        <v>1.8857410000000002E-2</v>
      </c>
      <c r="AA4161">
        <v>0.88437199999999905</v>
      </c>
      <c r="AB4161">
        <v>17</v>
      </c>
      <c r="AC4161">
        <v>-0.43859999999995097</v>
      </c>
      <c r="AD4161">
        <v>-0.104713</v>
      </c>
      <c r="AE4161">
        <v>-0.73490000000003797</v>
      </c>
      <c r="AF4161">
        <v>-0.42949554389060102</v>
      </c>
      <c r="AG4161">
        <v>-0.104713</v>
      </c>
      <c r="AH4161">
        <v>0.72562711319413498</v>
      </c>
      <c r="AI4161">
        <v>97.078974633791603</v>
      </c>
      <c r="AJ4161">
        <v>120.621105992005</v>
      </c>
      <c r="AK4161">
        <v>0.84968579015618295</v>
      </c>
      <c r="AL4161">
        <v>83.799594446550401</v>
      </c>
      <c r="AM4161">
        <v>101.97880341767799</v>
      </c>
      <c r="AN4161">
        <v>1.00000006901992</v>
      </c>
    </row>
    <row r="4162" spans="1:40" x14ac:dyDescent="0.25">
      <c r="A4162" t="str">
        <f>"20190303161955135"</f>
        <v>20190303161955135</v>
      </c>
      <c r="B4162" t="str">
        <f>"1551601195127163"</f>
        <v>1551601195127163</v>
      </c>
      <c r="C4162" t="s">
        <v>40</v>
      </c>
      <c r="D4162">
        <v>5.030106</v>
      </c>
      <c r="E4162">
        <v>0.3861927</v>
      </c>
      <c r="F4162" t="s">
        <v>42</v>
      </c>
      <c r="G4162">
        <v>-481.06920000000002</v>
      </c>
      <c r="H4162">
        <v>1.019442</v>
      </c>
      <c r="I4162">
        <v>278.82319999999999</v>
      </c>
      <c r="J4162">
        <v>-480.63099999999997</v>
      </c>
      <c r="K4162">
        <v>1.1250500000000001</v>
      </c>
      <c r="L4162">
        <v>279.55560000000003</v>
      </c>
      <c r="M4162">
        <v>-0.87654949999999998</v>
      </c>
      <c r="N4162">
        <v>-1.440079E-2</v>
      </c>
      <c r="O4162">
        <v>-0.48109659999999899</v>
      </c>
      <c r="P4162">
        <v>-0.75449350000000004</v>
      </c>
      <c r="Q4162">
        <v>9.3542529999999999E-2</v>
      </c>
      <c r="R4162">
        <v>-0.64960739999999995</v>
      </c>
      <c r="S4162">
        <v>-1.745636</v>
      </c>
      <c r="T4162">
        <v>-0.36017189999999999</v>
      </c>
      <c r="U4162">
        <v>-2.651062</v>
      </c>
      <c r="V4162">
        <v>-0.20734730000000001</v>
      </c>
      <c r="W4162">
        <v>0.10581889999999899</v>
      </c>
      <c r="X4162">
        <v>0.97252729999999998</v>
      </c>
      <c r="Y4162">
        <v>-0.4665784</v>
      </c>
      <c r="Z4162">
        <v>1.9814180000000001E-2</v>
      </c>
      <c r="AA4162">
        <v>0.88425789999999904</v>
      </c>
      <c r="AB4162">
        <v>17</v>
      </c>
      <c r="AC4162">
        <v>-0.43820000000005099</v>
      </c>
      <c r="AD4162">
        <v>-0.10560799999999999</v>
      </c>
      <c r="AE4162">
        <v>-0.73240000000004002</v>
      </c>
      <c r="AF4162">
        <v>-0.42471018385987802</v>
      </c>
      <c r="AG4162">
        <v>-0.10560799999999999</v>
      </c>
      <c r="AH4162">
        <v>0.72542828378350499</v>
      </c>
      <c r="AI4162">
        <v>97.160701109451296</v>
      </c>
      <c r="AJ4162">
        <v>120.34732161847499</v>
      </c>
      <c r="AK4162">
        <v>0.84721779068393799</v>
      </c>
      <c r="AL4162">
        <v>83.925650736905993</v>
      </c>
      <c r="AM4162">
        <v>102.035520491848</v>
      </c>
      <c r="AN4162">
        <v>0.99999994582989304</v>
      </c>
    </row>
    <row r="4163" spans="1:40" x14ac:dyDescent="0.25">
      <c r="A4163" t="str">
        <f>"20190303161955147"</f>
        <v>20190303161955147</v>
      </c>
      <c r="B4163" t="str">
        <f>"1551601195136923"</f>
        <v>1551601195136923</v>
      </c>
      <c r="C4163" t="s">
        <v>40</v>
      </c>
      <c r="D4163">
        <v>5.0196690000000004</v>
      </c>
      <c r="E4163">
        <v>0.38656819999999997</v>
      </c>
      <c r="F4163" t="s">
        <v>42</v>
      </c>
      <c r="G4163">
        <v>-481.12959999999998</v>
      </c>
      <c r="H4163">
        <v>1.0197499999999999</v>
      </c>
      <c r="I4163">
        <v>278.79199999999997</v>
      </c>
      <c r="J4163">
        <v>-480.71199999999999</v>
      </c>
      <c r="K4163">
        <v>1.125024</v>
      </c>
      <c r="L4163">
        <v>279.5059</v>
      </c>
      <c r="M4163">
        <v>-0.87460110000000002</v>
      </c>
      <c r="N4163">
        <v>-1.4392490000000001E-2</v>
      </c>
      <c r="O4163">
        <v>-0.4846299</v>
      </c>
      <c r="P4163">
        <v>-0.75127509999999997</v>
      </c>
      <c r="Q4163">
        <v>9.1529520000000003E-2</v>
      </c>
      <c r="R4163">
        <v>-0.65361199999999997</v>
      </c>
      <c r="S4163">
        <v>-1.7343440000000001</v>
      </c>
      <c r="T4163">
        <v>-0.36626730000000002</v>
      </c>
      <c r="U4163">
        <v>-2.6564640000000002</v>
      </c>
      <c r="V4163">
        <v>-0.20845569999999999</v>
      </c>
      <c r="W4163">
        <v>0.1037974</v>
      </c>
      <c r="X4163">
        <v>0.97250829999999999</v>
      </c>
      <c r="Y4163">
        <v>-0.46646300000000002</v>
      </c>
      <c r="Z4163">
        <v>2.0763549999999999E-2</v>
      </c>
      <c r="AA4163">
        <v>0.884296999999999</v>
      </c>
      <c r="AB4163">
        <v>17</v>
      </c>
      <c r="AC4163">
        <v>-0.41759999999999298</v>
      </c>
      <c r="AD4163">
        <v>-0.10527400000000001</v>
      </c>
      <c r="AE4163">
        <v>-0.71389999999996601</v>
      </c>
      <c r="AF4163">
        <v>-0.41531119442991299</v>
      </c>
      <c r="AG4163">
        <v>-0.10527400000000001</v>
      </c>
      <c r="AH4163">
        <v>0.69994400907369803</v>
      </c>
      <c r="AI4163">
        <v>97.370166422922594</v>
      </c>
      <c r="AJ4163">
        <v>120.68273959955199</v>
      </c>
      <c r="AK4163">
        <v>0.82066291443744599</v>
      </c>
      <c r="AL4163">
        <v>84.0421161583985</v>
      </c>
      <c r="AM4163">
        <v>102.09819671882801</v>
      </c>
      <c r="AN4163">
        <v>1.00000003633906</v>
      </c>
    </row>
    <row r="4164" spans="1:40" x14ac:dyDescent="0.25">
      <c r="A4164" t="str">
        <f>"20190303161955160"</f>
        <v>20190303161955160</v>
      </c>
      <c r="B4164" t="str">
        <f>"1551601195156443"</f>
        <v>1551601195156443</v>
      </c>
      <c r="C4164" t="s">
        <v>40</v>
      </c>
      <c r="D4164">
        <v>5.0088990000000004</v>
      </c>
      <c r="E4164">
        <v>0.38690010000000002</v>
      </c>
      <c r="F4164" t="s">
        <v>42</v>
      </c>
      <c r="G4164">
        <v>-481.23809999999997</v>
      </c>
      <c r="H4164">
        <v>1.0115069999999999</v>
      </c>
      <c r="I4164">
        <v>278.6925</v>
      </c>
      <c r="J4164">
        <v>-480.79520000000002</v>
      </c>
      <c r="K4164">
        <v>1.1249819999999999</v>
      </c>
      <c r="L4164">
        <v>279.45420000000001</v>
      </c>
      <c r="M4164">
        <v>-0.87257770000000001</v>
      </c>
      <c r="N4164">
        <v>-1.438362E-2</v>
      </c>
      <c r="O4164">
        <v>-0.48826399999999998</v>
      </c>
      <c r="P4164">
        <v>-0.74643950000000003</v>
      </c>
      <c r="Q4164">
        <v>8.8052989999999998E-2</v>
      </c>
      <c r="R4164">
        <v>-0.65960229999999997</v>
      </c>
      <c r="S4164">
        <v>-1.7222599999999999</v>
      </c>
      <c r="T4164">
        <v>-0.37159750000000003</v>
      </c>
      <c r="U4164">
        <v>-2.6623230000000002</v>
      </c>
      <c r="V4164">
        <v>-0.21195710000000001</v>
      </c>
      <c r="W4164">
        <v>0.10028819999999999</v>
      </c>
      <c r="X4164">
        <v>0.97211959999999997</v>
      </c>
      <c r="Y4164">
        <v>-0.46649889999999999</v>
      </c>
      <c r="Z4164">
        <v>2.1666979999999999E-2</v>
      </c>
      <c r="AA4164">
        <v>0.88425640000000005</v>
      </c>
      <c r="AB4164">
        <v>17</v>
      </c>
      <c r="AC4164">
        <v>-0.442899999999951</v>
      </c>
      <c r="AD4164">
        <v>-0.11347500000000001</v>
      </c>
      <c r="AE4164">
        <v>-0.76170000000001803</v>
      </c>
      <c r="AF4164">
        <v>-0.44112013130421401</v>
      </c>
      <c r="AG4164">
        <v>-0.11347500000000001</v>
      </c>
      <c r="AH4164">
        <v>0.74607909353795099</v>
      </c>
      <c r="AI4164">
        <v>97.4589176818467</v>
      </c>
      <c r="AJ4164">
        <v>120.59375155458601</v>
      </c>
      <c r="AK4164">
        <v>0.87412674120018696</v>
      </c>
      <c r="AL4164">
        <v>84.244233599795095</v>
      </c>
      <c r="AM4164">
        <v>102.300042189401</v>
      </c>
      <c r="AN4164">
        <v>1.0000000260019</v>
      </c>
    </row>
    <row r="4165" spans="1:40" x14ac:dyDescent="0.25">
      <c r="A4165" t="str">
        <f>"20190303161955172"</f>
        <v>20190303161955172</v>
      </c>
      <c r="B4165" t="str">
        <f>"1551601195167179"</f>
        <v>1551601195167179</v>
      </c>
      <c r="C4165" t="s">
        <v>40</v>
      </c>
      <c r="D4165">
        <v>5.0200129999999996</v>
      </c>
      <c r="E4165">
        <v>0.3972</v>
      </c>
      <c r="F4165" t="s">
        <v>42</v>
      </c>
      <c r="G4165">
        <v>-481.2833</v>
      </c>
      <c r="H4165">
        <v>1.0157039999999999</v>
      </c>
      <c r="I4165">
        <v>278.68779999999998</v>
      </c>
      <c r="J4165">
        <v>-480.87240000000003</v>
      </c>
      <c r="K4165">
        <v>1.1249499999999999</v>
      </c>
      <c r="L4165">
        <v>279.40570000000002</v>
      </c>
      <c r="M4165">
        <v>-0.87068289999999904</v>
      </c>
      <c r="N4165">
        <v>-1.4375489999999999E-2</v>
      </c>
      <c r="O4165">
        <v>-0.49163479999999998</v>
      </c>
      <c r="P4165">
        <v>-0.74264469999999905</v>
      </c>
      <c r="Q4165">
        <v>8.6040859999999997E-2</v>
      </c>
      <c r="R4165">
        <v>-0.6641357</v>
      </c>
      <c r="S4165">
        <v>-1.7021790000000001</v>
      </c>
      <c r="T4165">
        <v>-0.38115670000000001</v>
      </c>
      <c r="U4165">
        <v>-2.6728209999999999</v>
      </c>
      <c r="V4165">
        <v>-0.2139828</v>
      </c>
      <c r="W4165">
        <v>9.8257830000000004E-2</v>
      </c>
      <c r="X4165">
        <v>0.9718831</v>
      </c>
      <c r="Y4165">
        <v>-0.46933940000000002</v>
      </c>
      <c r="Z4165">
        <v>2.2723920000000002E-2</v>
      </c>
      <c r="AA4165">
        <v>0.88272539999999999</v>
      </c>
      <c r="AB4165">
        <v>17</v>
      </c>
      <c r="AC4165">
        <v>-0.41089999999996901</v>
      </c>
      <c r="AD4165">
        <v>-0.109245999999999</v>
      </c>
      <c r="AE4165">
        <v>-0.71790000000004195</v>
      </c>
      <c r="AF4165">
        <v>-0.41584078244367401</v>
      </c>
      <c r="AG4165">
        <v>-0.109245999999999</v>
      </c>
      <c r="AH4165">
        <v>0.69859616007269598</v>
      </c>
      <c r="AI4165">
        <v>97.653266001905195</v>
      </c>
      <c r="AJ4165">
        <v>120.76330905948799</v>
      </c>
      <c r="AK4165">
        <v>0.82030167604832005</v>
      </c>
      <c r="AL4165">
        <v>84.361142605952793</v>
      </c>
      <c r="AM4165">
        <v>102.416894244372</v>
      </c>
      <c r="AN4165">
        <v>0.999999999958879</v>
      </c>
    </row>
    <row r="4166" spans="1:40" x14ac:dyDescent="0.25">
      <c r="A4166" t="str">
        <f>"20190303161955185"</f>
        <v>20190303161955185</v>
      </c>
      <c r="B4166" t="str">
        <f>"1551601195176940"</f>
        <v>1551601195176940</v>
      </c>
      <c r="C4166" t="s">
        <v>40</v>
      </c>
      <c r="D4166">
        <v>5.0070129999999997</v>
      </c>
      <c r="E4166">
        <v>0.39815780000000001</v>
      </c>
      <c r="F4166" t="s">
        <v>42</v>
      </c>
      <c r="G4166">
        <v>-481.40100000000001</v>
      </c>
      <c r="H4166">
        <v>1.0143009999999999</v>
      </c>
      <c r="I4166">
        <v>278.60919999999999</v>
      </c>
      <c r="J4166">
        <v>-480.95359999999999</v>
      </c>
      <c r="K4166">
        <v>1.124919</v>
      </c>
      <c r="L4166">
        <v>279.3546</v>
      </c>
      <c r="M4166">
        <v>-0.86867919999999998</v>
      </c>
      <c r="N4166">
        <v>-1.4367069999999999E-2</v>
      </c>
      <c r="O4166">
        <v>-0.49516670000000002</v>
      </c>
      <c r="P4166">
        <v>-0.73844500000000002</v>
      </c>
      <c r="Q4166">
        <v>8.4974579999999994E-2</v>
      </c>
      <c r="R4166">
        <v>-0.66893809999999998</v>
      </c>
      <c r="S4166">
        <v>-1.7380679999999999</v>
      </c>
      <c r="T4166">
        <v>-0.3639212</v>
      </c>
      <c r="U4166">
        <v>-2.6206969999999998</v>
      </c>
      <c r="V4166">
        <v>-0.21626690000000001</v>
      </c>
      <c r="W4166">
        <v>9.7169679999999994E-2</v>
      </c>
      <c r="X4166">
        <v>0.97148679999999998</v>
      </c>
      <c r="Y4166">
        <v>-0.44946599999999998</v>
      </c>
      <c r="Z4166">
        <v>2.324704E-2</v>
      </c>
      <c r="AA4166">
        <v>0.89299490000000004</v>
      </c>
      <c r="AB4166">
        <v>17</v>
      </c>
      <c r="AC4166">
        <v>-0.44740000000001601</v>
      </c>
      <c r="AD4166">
        <v>-0.11061799999999899</v>
      </c>
      <c r="AE4166">
        <v>-0.74540000000001705</v>
      </c>
      <c r="AF4166">
        <v>-0.41923241089145002</v>
      </c>
      <c r="AG4166">
        <v>-0.11061799999999899</v>
      </c>
      <c r="AH4166">
        <v>0.74574873285698495</v>
      </c>
      <c r="AI4166">
        <v>97.367506651882493</v>
      </c>
      <c r="AJ4166">
        <v>119.34308756316101</v>
      </c>
      <c r="AK4166">
        <v>0.86263162985347097</v>
      </c>
      <c r="AL4166">
        <v>84.423788581354401</v>
      </c>
      <c r="AM4166">
        <v>102.550215772643</v>
      </c>
      <c r="AN4166">
        <v>0.99999996066057495</v>
      </c>
    </row>
    <row r="4167" spans="1:40" x14ac:dyDescent="0.25">
      <c r="A4167" t="str">
        <f>"20190303161955198"</f>
        <v>20190303161955198</v>
      </c>
      <c r="B4167" t="str">
        <f>"1551601195186699"</f>
        <v>1551601195186699</v>
      </c>
      <c r="C4167" t="s">
        <v>40</v>
      </c>
      <c r="D4167">
        <v>4.9835729999999998</v>
      </c>
      <c r="E4167">
        <v>0.39893260000000003</v>
      </c>
      <c r="F4167" t="s">
        <v>42</v>
      </c>
      <c r="G4167">
        <v>-481.49310000000003</v>
      </c>
      <c r="H4167">
        <v>1.0100290000000001</v>
      </c>
      <c r="I4167">
        <v>278.53440000000001</v>
      </c>
      <c r="J4167">
        <v>-481.03980000000001</v>
      </c>
      <c r="K4167">
        <v>1.1248929999999999</v>
      </c>
      <c r="L4167">
        <v>279.2996</v>
      </c>
      <c r="M4167">
        <v>-0.86652859999999998</v>
      </c>
      <c r="N4167">
        <v>-1.43555E-2</v>
      </c>
      <c r="O4167">
        <v>-0.49892120000000001</v>
      </c>
      <c r="P4167">
        <v>-0.73388019999999998</v>
      </c>
      <c r="Q4167">
        <v>8.384498E-2</v>
      </c>
      <c r="R4167">
        <v>-0.67408480000000004</v>
      </c>
      <c r="S4167">
        <v>-1.726532</v>
      </c>
      <c r="T4167">
        <v>-0.3676682</v>
      </c>
      <c r="U4167">
        <v>-2.6255489999999999</v>
      </c>
      <c r="V4167">
        <v>-0.218779</v>
      </c>
      <c r="W4167">
        <v>9.6011650000000004E-2</v>
      </c>
      <c r="X4167">
        <v>0.9710394</v>
      </c>
      <c r="Y4167">
        <v>-0.44910509999999898</v>
      </c>
      <c r="Z4167">
        <v>2.409478E-2</v>
      </c>
      <c r="AA4167">
        <v>0.893154</v>
      </c>
      <c r="AB4167">
        <v>17</v>
      </c>
      <c r="AC4167">
        <v>-0.45330000000001203</v>
      </c>
      <c r="AD4167">
        <v>-0.11486399999999899</v>
      </c>
      <c r="AE4167">
        <v>-0.765199999999992</v>
      </c>
      <c r="AF4167">
        <v>-0.429783077386585</v>
      </c>
      <c r="AG4167">
        <v>-0.11486399999999899</v>
      </c>
      <c r="AH4167">
        <v>0.76194276342142297</v>
      </c>
      <c r="AI4167">
        <v>97.480347324426205</v>
      </c>
      <c r="AJ4167">
        <v>119.42570001521599</v>
      </c>
      <c r="AK4167">
        <v>0.88230607321618104</v>
      </c>
      <c r="AL4167">
        <v>84.490450746751506</v>
      </c>
      <c r="AM4167">
        <v>102.696957612074</v>
      </c>
      <c r="AN4167">
        <v>1.0000000020645401</v>
      </c>
    </row>
    <row r="4168" spans="1:40" x14ac:dyDescent="0.25">
      <c r="A4168" t="str">
        <f>"20190303161955216"</f>
        <v>20190303161955216</v>
      </c>
      <c r="B4168" t="str">
        <f>"1551601195206220"</f>
        <v>1551601195206220</v>
      </c>
      <c r="C4168" t="s">
        <v>40</v>
      </c>
      <c r="D4168">
        <v>5.0144229999999999</v>
      </c>
      <c r="E4168">
        <v>0.39622879999999999</v>
      </c>
      <c r="F4168" t="s">
        <v>42</v>
      </c>
      <c r="G4168">
        <v>-481.57249999999999</v>
      </c>
      <c r="H4168">
        <v>1.011085</v>
      </c>
      <c r="I4168">
        <v>278.48079999999999</v>
      </c>
      <c r="J4168">
        <v>-481.1524</v>
      </c>
      <c r="K4168">
        <v>1.1248629999999999</v>
      </c>
      <c r="L4168">
        <v>279.22699999999998</v>
      </c>
      <c r="M4168">
        <v>-0.86368969999999901</v>
      </c>
      <c r="N4168">
        <v>-1.4337859999999999E-2</v>
      </c>
      <c r="O4168">
        <v>-0.50381989999999999</v>
      </c>
      <c r="P4168">
        <v>-0.72702959999999905</v>
      </c>
      <c r="Q4168">
        <v>8.1671489999999999E-2</v>
      </c>
      <c r="R4168">
        <v>-0.68173139999999999</v>
      </c>
      <c r="S4168">
        <v>-1.71206699999999</v>
      </c>
      <c r="T4168">
        <v>-0.36578579999999999</v>
      </c>
      <c r="U4168">
        <v>-2.6320190000000001</v>
      </c>
      <c r="V4168">
        <v>-0.22330359999999999</v>
      </c>
      <c r="W4168">
        <v>9.3784889999999996E-2</v>
      </c>
      <c r="X4168">
        <v>0.9702267</v>
      </c>
      <c r="Y4168">
        <v>-0.44852429999999899</v>
      </c>
      <c r="Z4168">
        <v>2.4584680000000001E-2</v>
      </c>
      <c r="AA4168">
        <v>0.89343249999999996</v>
      </c>
      <c r="AB4168">
        <v>17</v>
      </c>
      <c r="AC4168">
        <v>-0.42009999999998998</v>
      </c>
      <c r="AD4168">
        <v>-0.113777999999999</v>
      </c>
      <c r="AE4168">
        <v>-0.74620000000004405</v>
      </c>
      <c r="AF4168">
        <v>-0.42536573771972203</v>
      </c>
      <c r="AG4168">
        <v>-0.113777999999999</v>
      </c>
      <c r="AH4168">
        <v>0.72604503159465905</v>
      </c>
      <c r="AI4168">
        <v>97.700423896683702</v>
      </c>
      <c r="AJ4168">
        <v>120.364624806075</v>
      </c>
      <c r="AK4168">
        <v>0.84913063306721703</v>
      </c>
      <c r="AL4168">
        <v>84.618612985116698</v>
      </c>
      <c r="AM4168">
        <v>102.961259106019</v>
      </c>
      <c r="AN4168">
        <v>0.99999997637908</v>
      </c>
    </row>
    <row r="4169" spans="1:40" x14ac:dyDescent="0.25">
      <c r="A4169" t="str">
        <f>"20190303161955229"</f>
        <v>20190303161955229</v>
      </c>
      <c r="B4169" t="str">
        <f>"1551601195216956"</f>
        <v>1551601195216956</v>
      </c>
      <c r="C4169" t="s">
        <v>40</v>
      </c>
      <c r="D4169">
        <v>4.9745530000000002</v>
      </c>
      <c r="E4169">
        <v>0.39366259999999997</v>
      </c>
      <c r="F4169" t="s">
        <v>42</v>
      </c>
      <c r="G4169">
        <v>-481.64519999999999</v>
      </c>
      <c r="H4169">
        <v>1.0204200000000001</v>
      </c>
      <c r="I4169">
        <v>278.44060000000002</v>
      </c>
      <c r="J4169">
        <v>-481.2373</v>
      </c>
      <c r="K4169">
        <v>1.124846</v>
      </c>
      <c r="L4169">
        <v>279.17169999999999</v>
      </c>
      <c r="M4169">
        <v>-0.86152619999999902</v>
      </c>
      <c r="N4169">
        <v>-1.432198E-2</v>
      </c>
      <c r="O4169">
        <v>-0.50751109999999999</v>
      </c>
      <c r="P4169">
        <v>-0.72258990000000001</v>
      </c>
      <c r="Q4169">
        <v>8.1205040000000006E-2</v>
      </c>
      <c r="R4169">
        <v>-0.68649079999999996</v>
      </c>
      <c r="S4169">
        <v>-1.6681820000000001</v>
      </c>
      <c r="T4169">
        <v>-0.35362120000000002</v>
      </c>
      <c r="U4169">
        <v>-2.6639400000000002</v>
      </c>
      <c r="V4169">
        <v>-0.22549130000000001</v>
      </c>
      <c r="W4169">
        <v>9.3286400000000005E-2</v>
      </c>
      <c r="X4169">
        <v>0.96976870000000004</v>
      </c>
      <c r="Y4169">
        <v>-0.46003840000000001</v>
      </c>
      <c r="Z4169">
        <v>2.3095089999999999E-2</v>
      </c>
      <c r="AA4169">
        <v>0.88759859999999902</v>
      </c>
      <c r="AB4169">
        <v>17</v>
      </c>
      <c r="AC4169">
        <v>-0.407899999999983</v>
      </c>
      <c r="AD4169">
        <v>-0.10442599999999901</v>
      </c>
      <c r="AE4169">
        <v>-0.731099999999969</v>
      </c>
      <c r="AF4169">
        <v>-0.41641263971208597</v>
      </c>
      <c r="AG4169">
        <v>-0.10442599999999901</v>
      </c>
      <c r="AH4169">
        <v>0.711462707237144</v>
      </c>
      <c r="AI4169">
        <v>97.219455553753505</v>
      </c>
      <c r="AJ4169">
        <v>120.340049729668</v>
      </c>
      <c r="AK4169">
        <v>0.83095334392322795</v>
      </c>
      <c r="AL4169">
        <v>84.647300280073793</v>
      </c>
      <c r="AM4169">
        <v>103.08985815345299</v>
      </c>
      <c r="AN4169">
        <v>1.0000000051501701</v>
      </c>
    </row>
    <row r="4170" spans="1:40" x14ac:dyDescent="0.25">
      <c r="A4170" t="str">
        <f>"20190303161955243"</f>
        <v>20190303161955243</v>
      </c>
      <c r="B4170" t="str">
        <f>"1551601195236476"</f>
        <v>1551601195236476</v>
      </c>
      <c r="C4170" t="s">
        <v>40</v>
      </c>
      <c r="D4170">
        <v>5.0156179999999999</v>
      </c>
      <c r="E4170">
        <v>0.39049210000000001</v>
      </c>
      <c r="F4170" t="s">
        <v>42</v>
      </c>
      <c r="G4170">
        <v>-481.7319</v>
      </c>
      <c r="H4170">
        <v>1.0211250000000001</v>
      </c>
      <c r="I4170">
        <v>278.35860000000002</v>
      </c>
      <c r="J4170">
        <v>-481.32339999999999</v>
      </c>
      <c r="K4170">
        <v>1.1248359999999999</v>
      </c>
      <c r="L4170">
        <v>279.11509999999998</v>
      </c>
      <c r="M4170">
        <v>-0.85931019999999902</v>
      </c>
      <c r="N4170">
        <v>-1.4303089999999999E-2</v>
      </c>
      <c r="O4170">
        <v>-0.51125500000000001</v>
      </c>
      <c r="P4170">
        <v>-0.71814940000000005</v>
      </c>
      <c r="Q4170">
        <v>8.0728579999999994E-2</v>
      </c>
      <c r="R4170">
        <v>-0.691191</v>
      </c>
      <c r="S4170">
        <v>-1.6354059999999999</v>
      </c>
      <c r="T4170">
        <v>-0.34299489999999999</v>
      </c>
      <c r="U4170">
        <v>-2.689209</v>
      </c>
      <c r="V4170">
        <v>-0.2275673</v>
      </c>
      <c r="W4170">
        <v>9.2774609999999993E-2</v>
      </c>
      <c r="X4170">
        <v>0.96933279999999999</v>
      </c>
      <c r="Y4170">
        <v>-0.46777020000000002</v>
      </c>
      <c r="Z4170">
        <v>2.199928E-2</v>
      </c>
      <c r="AA4170">
        <v>0.88357629999999998</v>
      </c>
      <c r="AB4170">
        <v>17</v>
      </c>
      <c r="AC4170">
        <v>-0.40850000000000303</v>
      </c>
      <c r="AD4170">
        <v>-0.103711</v>
      </c>
      <c r="AE4170">
        <v>-0.75649999999995898</v>
      </c>
      <c r="AF4170">
        <v>-0.43493658642439598</v>
      </c>
      <c r="AG4170">
        <v>-0.103711</v>
      </c>
      <c r="AH4170">
        <v>0.72728489798503504</v>
      </c>
      <c r="AI4170">
        <v>96.977448756430803</v>
      </c>
      <c r="AJ4170">
        <v>120.88059686478201</v>
      </c>
      <c r="AK4170">
        <v>0.85373832558261697</v>
      </c>
      <c r="AL4170">
        <v>84.676751599080703</v>
      </c>
      <c r="AM4170">
        <v>103.211896289904</v>
      </c>
      <c r="AN4170">
        <v>1.0000000407228899</v>
      </c>
    </row>
    <row r="4171" spans="1:40" x14ac:dyDescent="0.25">
      <c r="A4171" t="str">
        <f>"20190303161955256"</f>
        <v>20190303161955256</v>
      </c>
      <c r="B4171" t="str">
        <f>"1551601195246235"</f>
        <v>1551601195246235</v>
      </c>
      <c r="C4171" t="s">
        <v>40</v>
      </c>
      <c r="D4171">
        <v>4.9713399999999996</v>
      </c>
      <c r="E4171">
        <v>0.38957009999999997</v>
      </c>
      <c r="F4171" t="s">
        <v>42</v>
      </c>
      <c r="G4171">
        <v>-481.7756</v>
      </c>
      <c r="H4171">
        <v>1.0316799999999999</v>
      </c>
      <c r="I4171">
        <v>278.34679999999997</v>
      </c>
      <c r="J4171">
        <v>-481.4058</v>
      </c>
      <c r="K4171">
        <v>1.1248260000000001</v>
      </c>
      <c r="L4171">
        <v>279.06040000000002</v>
      </c>
      <c r="M4171">
        <v>-0.85716970000000003</v>
      </c>
      <c r="N4171">
        <v>-1.4282400000000001E-2</v>
      </c>
      <c r="O4171">
        <v>-0.51483630000000002</v>
      </c>
      <c r="P4171">
        <v>-0.71374530000000003</v>
      </c>
      <c r="Q4171">
        <v>8.0774079999999998E-2</v>
      </c>
      <c r="R4171">
        <v>-0.69573229999999997</v>
      </c>
      <c r="S4171">
        <v>-1.59903</v>
      </c>
      <c r="T4171">
        <v>-0.32942840000000001</v>
      </c>
      <c r="U4171">
        <v>-2.717438</v>
      </c>
      <c r="V4171">
        <v>-0.2296744</v>
      </c>
      <c r="W4171">
        <v>9.2780299999999996E-2</v>
      </c>
      <c r="X4171">
        <v>0.96883509999999995</v>
      </c>
      <c r="Y4171">
        <v>-0.47687790000000002</v>
      </c>
      <c r="Z4171">
        <v>2.0514879999999999E-2</v>
      </c>
      <c r="AA4171">
        <v>0.87873009999999996</v>
      </c>
      <c r="AB4171">
        <v>17</v>
      </c>
      <c r="AC4171">
        <v>-0.36979999999999702</v>
      </c>
      <c r="AD4171">
        <v>-9.3146000000000104E-2</v>
      </c>
      <c r="AE4171">
        <v>-0.71360000000004198</v>
      </c>
      <c r="AF4171">
        <v>-0.41574878620488598</v>
      </c>
      <c r="AG4171">
        <v>-9.3146000000000104E-2</v>
      </c>
      <c r="AH4171">
        <v>0.67536732722675497</v>
      </c>
      <c r="AI4171">
        <v>96.698652453001003</v>
      </c>
      <c r="AJ4171">
        <v>121.616000714506</v>
      </c>
      <c r="AK4171">
        <v>0.79852630340662301</v>
      </c>
      <c r="AL4171">
        <v>84.676423863233694</v>
      </c>
      <c r="AM4171">
        <v>103.33648367295601</v>
      </c>
      <c r="AN4171">
        <v>0.99999998253772904</v>
      </c>
    </row>
    <row r="4172" spans="1:40" x14ac:dyDescent="0.25">
      <c r="A4172" t="str">
        <f>"20190303161955273"</f>
        <v>20190303161955273</v>
      </c>
      <c r="B4172" t="str">
        <f>"1551601195266732"</f>
        <v>1551601195266732</v>
      </c>
      <c r="C4172" t="s">
        <v>40</v>
      </c>
      <c r="D4172">
        <v>4.9307439999999998</v>
      </c>
      <c r="E4172">
        <v>0.38869959999999998</v>
      </c>
      <c r="F4172" t="s">
        <v>42</v>
      </c>
      <c r="G4172">
        <v>-481.85750000000002</v>
      </c>
      <c r="H4172">
        <v>1.032621</v>
      </c>
      <c r="I4172">
        <v>278.27769999999998</v>
      </c>
      <c r="J4172">
        <v>-481.50990000000002</v>
      </c>
      <c r="K4172">
        <v>1.124816</v>
      </c>
      <c r="L4172">
        <v>278.99059999999997</v>
      </c>
      <c r="M4172">
        <v>-0.85442899999999999</v>
      </c>
      <c r="N4172">
        <v>-1.42556E-2</v>
      </c>
      <c r="O4172">
        <v>-0.51937279999999997</v>
      </c>
      <c r="P4172">
        <v>-0.70755579999999996</v>
      </c>
      <c r="Q4172">
        <v>8.2321920000000007E-2</v>
      </c>
      <c r="R4172">
        <v>-0.70184639999999998</v>
      </c>
      <c r="S4172">
        <v>-1.5764469999999999</v>
      </c>
      <c r="T4172">
        <v>-0.3217854</v>
      </c>
      <c r="U4172">
        <v>-2.7320859999999998</v>
      </c>
      <c r="V4172">
        <v>-0.23297899999999999</v>
      </c>
      <c r="W4172">
        <v>9.4265779999999993E-2</v>
      </c>
      <c r="X4172">
        <v>0.96790220000000005</v>
      </c>
      <c r="Y4172">
        <v>-0.4797302</v>
      </c>
      <c r="Z4172">
        <v>2.011365E-2</v>
      </c>
      <c r="AA4172">
        <v>0.87718549999999995</v>
      </c>
      <c r="AB4172">
        <v>17</v>
      </c>
      <c r="AC4172">
        <v>-0.34759999999999902</v>
      </c>
      <c r="AD4172">
        <v>-9.2194999999999999E-2</v>
      </c>
      <c r="AE4172">
        <v>-0.71289999999998999</v>
      </c>
      <c r="AF4172">
        <v>-0.42291738191474798</v>
      </c>
      <c r="AG4172">
        <v>-9.2194999999999999E-2</v>
      </c>
      <c r="AH4172">
        <v>0.65843122409893695</v>
      </c>
      <c r="AI4172">
        <v>96.719211932827207</v>
      </c>
      <c r="AJ4172">
        <v>122.71306482294</v>
      </c>
      <c r="AK4172">
        <v>0.78796618380426098</v>
      </c>
      <c r="AL4172">
        <v>84.590937321026203</v>
      </c>
      <c r="AM4172">
        <v>103.533926388873</v>
      </c>
      <c r="AN4172">
        <v>0.99999996024242299</v>
      </c>
    </row>
    <row r="4173" spans="1:40" x14ac:dyDescent="0.25">
      <c r="A4173" t="str">
        <f>"20190303161955287"</f>
        <v>20190303161955287</v>
      </c>
      <c r="B4173" t="str">
        <f>"1551601195276491"</f>
        <v>1551601195276491</v>
      </c>
      <c r="C4173" t="s">
        <v>40</v>
      </c>
      <c r="D4173">
        <v>4.9908130000000002</v>
      </c>
      <c r="E4173">
        <v>0.38856740000000001</v>
      </c>
      <c r="F4173" t="s">
        <v>42</v>
      </c>
      <c r="G4173">
        <v>-481.96620000000001</v>
      </c>
      <c r="H4173">
        <v>1.034618</v>
      </c>
      <c r="I4173">
        <v>278.17910000000001</v>
      </c>
      <c r="J4173">
        <v>-481.59379999999999</v>
      </c>
      <c r="K4173">
        <v>1.124817</v>
      </c>
      <c r="L4173">
        <v>278.93369999999999</v>
      </c>
      <c r="M4173">
        <v>-0.85218780000000005</v>
      </c>
      <c r="N4173">
        <v>-1.423402E-2</v>
      </c>
      <c r="O4173">
        <v>-0.52304240000000002</v>
      </c>
      <c r="P4173">
        <v>-0.70382500000000003</v>
      </c>
      <c r="Q4173">
        <v>8.3229819999999996E-2</v>
      </c>
      <c r="R4173">
        <v>-0.70548080000000002</v>
      </c>
      <c r="S4173">
        <v>-1.5469360000000001</v>
      </c>
      <c r="T4173">
        <v>-0.30578610000000001</v>
      </c>
      <c r="U4173">
        <v>-2.7507630000000001</v>
      </c>
      <c r="V4173">
        <v>-0.2338654</v>
      </c>
      <c r="W4173">
        <v>9.5141600000000007E-2</v>
      </c>
      <c r="X4173">
        <v>0.96760270000000004</v>
      </c>
      <c r="Y4173">
        <v>-0.4856721</v>
      </c>
      <c r="Z4173">
        <v>1.862378E-2</v>
      </c>
      <c r="AA4173">
        <v>0.87394259999999901</v>
      </c>
      <c r="AB4173">
        <v>17</v>
      </c>
      <c r="AC4173">
        <v>-0.37240000000002699</v>
      </c>
      <c r="AD4173">
        <v>-9.0198999999999904E-2</v>
      </c>
      <c r="AE4173">
        <v>-0.75459999999998195</v>
      </c>
      <c r="AF4173">
        <v>-0.44323274985371403</v>
      </c>
      <c r="AG4173">
        <v>-9.0198999999999904E-2</v>
      </c>
      <c r="AH4173">
        <v>0.704025659824841</v>
      </c>
      <c r="AI4173">
        <v>96.187916946875205</v>
      </c>
      <c r="AJ4173">
        <v>122.19324734843499</v>
      </c>
      <c r="AK4173">
        <v>0.836805389463815</v>
      </c>
      <c r="AL4173">
        <v>84.540530010317099</v>
      </c>
      <c r="AM4173">
        <v>103.587562227852</v>
      </c>
      <c r="AN4173">
        <v>0.99999996720750395</v>
      </c>
    </row>
    <row r="4174" spans="1:40" x14ac:dyDescent="0.25">
      <c r="A4174" t="str">
        <f>"20190303161955299"</f>
        <v>20190303161955299</v>
      </c>
      <c r="B4174" t="str">
        <f>"1551601195286252"</f>
        <v>1551601195286252</v>
      </c>
      <c r="C4174" t="s">
        <v>40</v>
      </c>
      <c r="D4174">
        <v>4.9863869999999997</v>
      </c>
      <c r="E4174">
        <v>0.38854300000000003</v>
      </c>
      <c r="F4174" t="s">
        <v>42</v>
      </c>
      <c r="G4174">
        <v>-482.06990000000002</v>
      </c>
      <c r="H4174">
        <v>1.0324150000000001</v>
      </c>
      <c r="I4174">
        <v>278.07600000000002</v>
      </c>
      <c r="J4174">
        <v>-481.67649999999998</v>
      </c>
      <c r="K4174">
        <v>1.124825</v>
      </c>
      <c r="L4174">
        <v>278.87709999999998</v>
      </c>
      <c r="M4174">
        <v>-0.84994910000000001</v>
      </c>
      <c r="N4174">
        <v>-1.4214330000000001E-2</v>
      </c>
      <c r="O4174">
        <v>-0.52667310000000001</v>
      </c>
      <c r="P4174">
        <v>-0.70089849999999998</v>
      </c>
      <c r="Q4174">
        <v>8.4636870000000003E-2</v>
      </c>
      <c r="R4174">
        <v>-0.70822189999999996</v>
      </c>
      <c r="S4174">
        <v>-1.5313110000000001</v>
      </c>
      <c r="T4174">
        <v>-0.29723919999999998</v>
      </c>
      <c r="U4174">
        <v>-2.759827</v>
      </c>
      <c r="V4174">
        <v>-0.23361399999999999</v>
      </c>
      <c r="W4174">
        <v>9.6527569999999993E-2</v>
      </c>
      <c r="X4174">
        <v>0.9675262</v>
      </c>
      <c r="Y4174">
        <v>-0.48697240000000003</v>
      </c>
      <c r="Z4174">
        <v>1.8102360000000001E-2</v>
      </c>
      <c r="AA4174">
        <v>0.873229699999999</v>
      </c>
      <c r="AB4174">
        <v>17</v>
      </c>
      <c r="AC4174">
        <v>-0.39340000000004199</v>
      </c>
      <c r="AD4174">
        <v>-9.2410000000000103E-2</v>
      </c>
      <c r="AE4174">
        <v>-0.80110000000001902</v>
      </c>
      <c r="AF4174">
        <v>-0.46872364608865402</v>
      </c>
      <c r="AG4174">
        <v>-9.2410000000000103E-2</v>
      </c>
      <c r="AH4174">
        <v>0.74834115526241496</v>
      </c>
      <c r="AI4174">
        <v>95.974413340474499</v>
      </c>
      <c r="AJ4174">
        <v>122.060980423525</v>
      </c>
      <c r="AK4174">
        <v>0.88783779439834998</v>
      </c>
      <c r="AL4174">
        <v>84.4607528148982</v>
      </c>
      <c r="AM4174">
        <v>103.574530089091</v>
      </c>
      <c r="AN4174">
        <v>1.0000000102262701</v>
      </c>
    </row>
    <row r="4175" spans="1:40" x14ac:dyDescent="0.25">
      <c r="A4175" t="str">
        <f>"20190303161955312"</f>
        <v>20190303161955312</v>
      </c>
      <c r="B4175" t="str">
        <f>"1551601195306748"</f>
        <v>1551601195306748</v>
      </c>
      <c r="C4175" t="s">
        <v>40</v>
      </c>
      <c r="D4175">
        <v>4.9242179999999998</v>
      </c>
      <c r="E4175">
        <v>0.38900020000000002</v>
      </c>
      <c r="F4175" t="s">
        <v>42</v>
      </c>
      <c r="G4175">
        <v>-482.09980000000002</v>
      </c>
      <c r="H4175">
        <v>1.044913</v>
      </c>
      <c r="I4175">
        <v>278.10680000000002</v>
      </c>
      <c r="J4175">
        <v>-481.7552</v>
      </c>
      <c r="K4175">
        <v>1.1248450000000001</v>
      </c>
      <c r="L4175">
        <v>278.82279999999997</v>
      </c>
      <c r="M4175">
        <v>-0.84778869999999895</v>
      </c>
      <c r="N4175">
        <v>-1.4197100000000001E-2</v>
      </c>
      <c r="O4175">
        <v>-0.53014439999999996</v>
      </c>
      <c r="P4175">
        <v>-0.69861269999999998</v>
      </c>
      <c r="Q4175">
        <v>8.5982639999999999E-2</v>
      </c>
      <c r="R4175">
        <v>-0.71031519999999904</v>
      </c>
      <c r="S4175">
        <v>-1.5194399999999999</v>
      </c>
      <c r="T4175">
        <v>-0.28692250000000002</v>
      </c>
      <c r="U4175">
        <v>-2.7665099999999998</v>
      </c>
      <c r="V4175">
        <v>-0.2326501</v>
      </c>
      <c r="W4175">
        <v>9.7861119999999996E-2</v>
      </c>
      <c r="X4175">
        <v>0.9676245</v>
      </c>
      <c r="Y4175">
        <v>-0.48720599999999997</v>
      </c>
      <c r="Z4175">
        <v>1.7433230000000001E-2</v>
      </c>
      <c r="AA4175">
        <v>0.87311299999999903</v>
      </c>
      <c r="AB4175">
        <v>17</v>
      </c>
      <c r="AC4175">
        <v>-0.34460000000001401</v>
      </c>
      <c r="AD4175">
        <v>-7.99320000000001E-2</v>
      </c>
      <c r="AE4175">
        <v>-0.71599999999995101</v>
      </c>
      <c r="AF4175">
        <v>-0.42012049382011701</v>
      </c>
      <c r="AG4175">
        <v>-7.99320000000001E-2</v>
      </c>
      <c r="AH4175">
        <v>0.66506920696251304</v>
      </c>
      <c r="AI4175">
        <v>95.801946691763405</v>
      </c>
      <c r="AJ4175">
        <v>122.280372784306</v>
      </c>
      <c r="AK4175">
        <v>0.79070057796956505</v>
      </c>
      <c r="AL4175">
        <v>84.3839826056129</v>
      </c>
      <c r="AM4175">
        <v>103.519258204864</v>
      </c>
      <c r="AN4175">
        <v>1.0000000204189501</v>
      </c>
    </row>
    <row r="4176" spans="1:40" x14ac:dyDescent="0.25">
      <c r="A4176" t="str">
        <f>"20190303161955324"</f>
        <v>20190303161955324</v>
      </c>
      <c r="B4176" t="str">
        <f>"1551601195316508"</f>
        <v>1551601195316508</v>
      </c>
      <c r="C4176" t="s">
        <v>40</v>
      </c>
      <c r="D4176">
        <v>4.9112130000000001</v>
      </c>
      <c r="E4176">
        <v>0.38923590000000002</v>
      </c>
      <c r="F4176" t="s">
        <v>42</v>
      </c>
      <c r="G4176">
        <v>-482.20269999999999</v>
      </c>
      <c r="H4176">
        <v>1.043849</v>
      </c>
      <c r="I4176">
        <v>278.00310000000002</v>
      </c>
      <c r="J4176">
        <v>-481.82889999999998</v>
      </c>
      <c r="K4176">
        <v>1.1248629999999999</v>
      </c>
      <c r="L4176">
        <v>278.7715</v>
      </c>
      <c r="M4176">
        <v>-0.84574139999999998</v>
      </c>
      <c r="N4176">
        <v>-1.4181839999999999E-2</v>
      </c>
      <c r="O4176">
        <v>-0.53340449999999995</v>
      </c>
      <c r="P4176">
        <v>-0.69726929999999998</v>
      </c>
      <c r="Q4176">
        <v>8.6921979999999996E-2</v>
      </c>
      <c r="R4176">
        <v>-0.71151940000000002</v>
      </c>
      <c r="S4176">
        <v>-1.511871</v>
      </c>
      <c r="T4176">
        <v>-0.2736478</v>
      </c>
      <c r="U4176">
        <v>-2.769714</v>
      </c>
      <c r="V4176">
        <v>-0.23066339999999999</v>
      </c>
      <c r="W4176">
        <v>9.8801150000000004E-2</v>
      </c>
      <c r="X4176">
        <v>0.96800450000000005</v>
      </c>
      <c r="Y4176">
        <v>-0.48615229999999998</v>
      </c>
      <c r="Z4176">
        <v>1.6501640000000001E-2</v>
      </c>
      <c r="AA4176">
        <v>0.87371829999999995</v>
      </c>
      <c r="AB4176">
        <v>17</v>
      </c>
      <c r="AC4176">
        <v>-0.37380000000001701</v>
      </c>
      <c r="AD4176">
        <v>-8.1013999999999906E-2</v>
      </c>
      <c r="AE4176">
        <v>-0.76839999999998498</v>
      </c>
      <c r="AF4176">
        <v>-0.44651280720861403</v>
      </c>
      <c r="AG4176">
        <v>-8.1013999999999906E-2</v>
      </c>
      <c r="AH4176">
        <v>0.71961077372864701</v>
      </c>
      <c r="AI4176">
        <v>95.464356130560304</v>
      </c>
      <c r="AJ4176">
        <v>121.819275146846</v>
      </c>
      <c r="AK4176">
        <v>0.85075062201779195</v>
      </c>
      <c r="AL4176">
        <v>84.329860400666007</v>
      </c>
      <c r="AM4176">
        <v>103.402923673391</v>
      </c>
      <c r="AN4176">
        <v>0.99999999168056597</v>
      </c>
    </row>
    <row r="4177" spans="1:40" x14ac:dyDescent="0.25">
      <c r="A4177" t="str">
        <f>"20190303161955336"</f>
        <v>20190303161955336</v>
      </c>
      <c r="B4177" t="str">
        <f>"1551601195326268"</f>
        <v>1551601195326268</v>
      </c>
      <c r="C4177" t="s">
        <v>40</v>
      </c>
      <c r="D4177">
        <v>4.9007480000000001</v>
      </c>
      <c r="E4177">
        <v>0.38946239999999999</v>
      </c>
      <c r="F4177" t="s">
        <v>42</v>
      </c>
      <c r="G4177">
        <v>-482.24630000000002</v>
      </c>
      <c r="H4177">
        <v>1.050657</v>
      </c>
      <c r="I4177">
        <v>278.00450000000001</v>
      </c>
      <c r="J4177">
        <v>-481.89789999999999</v>
      </c>
      <c r="K4177">
        <v>1.124887</v>
      </c>
      <c r="L4177">
        <v>278.72289999999998</v>
      </c>
      <c r="M4177">
        <v>-0.8437846</v>
      </c>
      <c r="N4177">
        <v>-1.417001E-2</v>
      </c>
      <c r="O4177">
        <v>-0.53649530000000001</v>
      </c>
      <c r="P4177">
        <v>-0.69606979999999996</v>
      </c>
      <c r="Q4177">
        <v>8.778967E-2</v>
      </c>
      <c r="R4177">
        <v>-0.71258710000000003</v>
      </c>
      <c r="S4177">
        <v>-1.507843</v>
      </c>
      <c r="T4177">
        <v>-0.26811099999999999</v>
      </c>
      <c r="U4177">
        <v>-2.771423</v>
      </c>
      <c r="V4177">
        <v>-0.22867170000000001</v>
      </c>
      <c r="W4177">
        <v>9.9668530000000005E-2</v>
      </c>
      <c r="X4177">
        <v>0.96838809999999997</v>
      </c>
      <c r="Y4177">
        <v>-0.48418810000000001</v>
      </c>
      <c r="Z4177">
        <v>1.6334930000000001E-2</v>
      </c>
      <c r="AA4177">
        <v>0.87481149999999996</v>
      </c>
      <c r="AB4177">
        <v>17</v>
      </c>
      <c r="AC4177">
        <v>-0.34840000000002602</v>
      </c>
      <c r="AD4177">
        <v>-7.4230000000000004E-2</v>
      </c>
      <c r="AE4177">
        <v>-0.71839999999997395</v>
      </c>
      <c r="AF4177">
        <v>-0.415708703710788</v>
      </c>
      <c r="AG4177">
        <v>-7.4230000000000004E-2</v>
      </c>
      <c r="AH4177">
        <v>0.67363822555027397</v>
      </c>
      <c r="AI4177">
        <v>95.357201236207302</v>
      </c>
      <c r="AJ4177">
        <v>121.679139173</v>
      </c>
      <c r="AK4177">
        <v>0.79505489003176799</v>
      </c>
      <c r="AL4177">
        <v>84.279916926642798</v>
      </c>
      <c r="AM4177">
        <v>103.286240048156</v>
      </c>
      <c r="AN4177">
        <v>1.00000003723742</v>
      </c>
    </row>
    <row r="4178" spans="1:40" x14ac:dyDescent="0.25">
      <c r="A4178" t="str">
        <f>"20190303161955347"</f>
        <v>20190303161955347</v>
      </c>
      <c r="B4178" t="str">
        <f>"1551601195337004"</f>
        <v>1551601195337004</v>
      </c>
      <c r="C4178" t="s">
        <v>40</v>
      </c>
      <c r="D4178">
        <v>4.8716210000000002</v>
      </c>
      <c r="E4178">
        <v>0.38980819999999999</v>
      </c>
      <c r="F4178" t="s">
        <v>42</v>
      </c>
      <c r="G4178">
        <v>-482.33069999999998</v>
      </c>
      <c r="H4178">
        <v>1.0488550000000001</v>
      </c>
      <c r="I4178">
        <v>277.92520000000002</v>
      </c>
      <c r="J4178">
        <v>-481.96960000000001</v>
      </c>
      <c r="K4178">
        <v>1.1249070000000001</v>
      </c>
      <c r="L4178">
        <v>278.67219999999998</v>
      </c>
      <c r="M4178">
        <v>-0.84172899999999995</v>
      </c>
      <c r="N4178">
        <v>-1.4158280000000001E-2</v>
      </c>
      <c r="O4178">
        <v>-0.53971480000000005</v>
      </c>
      <c r="P4178">
        <v>-0.69461419999999996</v>
      </c>
      <c r="Q4178">
        <v>8.8346910000000001E-2</v>
      </c>
      <c r="R4178">
        <v>-0.71393689999999999</v>
      </c>
      <c r="S4178">
        <v>-1.5045170000000001</v>
      </c>
      <c r="T4178">
        <v>-0.26427149999999999</v>
      </c>
      <c r="U4178">
        <v>-2.7729189999999999</v>
      </c>
      <c r="V4178">
        <v>-0.22689699999999999</v>
      </c>
      <c r="W4178">
        <v>0.1002227</v>
      </c>
      <c r="X4178">
        <v>0.96874830000000001</v>
      </c>
      <c r="Y4178">
        <v>-0.4818769</v>
      </c>
      <c r="Z4178">
        <v>1.63517E-2</v>
      </c>
      <c r="AA4178">
        <v>0.87608639999999904</v>
      </c>
      <c r="AB4178">
        <v>17</v>
      </c>
      <c r="AC4178">
        <v>-0.36109999999996401</v>
      </c>
      <c r="AD4178">
        <v>-7.6051999999999995E-2</v>
      </c>
      <c r="AE4178">
        <v>-0.74699999999995703</v>
      </c>
      <c r="AF4178">
        <v>-0.430308569972493</v>
      </c>
      <c r="AG4178">
        <v>-7.6051999999999995E-2</v>
      </c>
      <c r="AH4178">
        <v>0.70129387770561402</v>
      </c>
      <c r="AI4178">
        <v>95.280968035855594</v>
      </c>
      <c r="AJ4178">
        <v>121.532960583845</v>
      </c>
      <c r="AK4178">
        <v>0.82629442392112795</v>
      </c>
      <c r="AL4178">
        <v>84.248005635568703</v>
      </c>
      <c r="AM4178">
        <v>103.18201109080999</v>
      </c>
      <c r="AN4178">
        <v>1.00000005347858</v>
      </c>
    </row>
    <row r="4179" spans="1:40" x14ac:dyDescent="0.25">
      <c r="A4179" t="str">
        <f>"20190303161955359"</f>
        <v>20190303161955359</v>
      </c>
      <c r="B4179" t="str">
        <f>"1551601195356524"</f>
        <v>1551601195356524</v>
      </c>
      <c r="C4179" t="s">
        <v>40</v>
      </c>
      <c r="D4179">
        <v>4.8349529999999996</v>
      </c>
      <c r="E4179">
        <v>0.39042179999999999</v>
      </c>
      <c r="F4179" t="s">
        <v>42</v>
      </c>
      <c r="G4179">
        <v>-482.43079999999998</v>
      </c>
      <c r="H4179">
        <v>1.045174</v>
      </c>
      <c r="I4179">
        <v>277.81950000000001</v>
      </c>
      <c r="J4179">
        <v>-482.04300000000001</v>
      </c>
      <c r="K4179">
        <v>1.1249420000000001</v>
      </c>
      <c r="L4179">
        <v>278.61970000000002</v>
      </c>
      <c r="M4179">
        <v>-0.83958239999999995</v>
      </c>
      <c r="N4179">
        <v>-1.4148300000000001E-2</v>
      </c>
      <c r="O4179">
        <v>-0.54304819999999998</v>
      </c>
      <c r="P4179">
        <v>-0.69320890000000002</v>
      </c>
      <c r="Q4179">
        <v>8.8180359999999999E-2</v>
      </c>
      <c r="R4179">
        <v>-0.71532229999999997</v>
      </c>
      <c r="S4179">
        <v>-1.50058</v>
      </c>
      <c r="T4179">
        <v>-0.25942130000000002</v>
      </c>
      <c r="U4179">
        <v>-2.7741699999999998</v>
      </c>
      <c r="V4179">
        <v>-0.22498109999999999</v>
      </c>
      <c r="W4179">
        <v>0.1000524</v>
      </c>
      <c r="X4179">
        <v>0.96921259999999998</v>
      </c>
      <c r="Y4179">
        <v>-0.47955370000000003</v>
      </c>
      <c r="Z4179">
        <v>1.6264560000000001E-2</v>
      </c>
      <c r="AA4179">
        <v>0.87736179999999997</v>
      </c>
      <c r="AB4179">
        <v>17</v>
      </c>
      <c r="AC4179">
        <v>-0.38779999999997</v>
      </c>
      <c r="AD4179">
        <v>-7.9768000000000006E-2</v>
      </c>
      <c r="AE4179">
        <v>-0.80020000000001701</v>
      </c>
      <c r="AF4179">
        <v>-0.457603493172547</v>
      </c>
      <c r="AG4179">
        <v>-7.9768000000000006E-2</v>
      </c>
      <c r="AH4179">
        <v>0.75414457077973396</v>
      </c>
      <c r="AI4179">
        <v>95.167069128811505</v>
      </c>
      <c r="AJ4179">
        <v>121.248741369868</v>
      </c>
      <c r="AK4179">
        <v>0.88571887437508401</v>
      </c>
      <c r="AL4179">
        <v>84.257812212157205</v>
      </c>
      <c r="AM4179">
        <v>103.068494329036</v>
      </c>
      <c r="AN4179">
        <v>1.0000000210508599</v>
      </c>
    </row>
    <row r="4180" spans="1:40" x14ac:dyDescent="0.25">
      <c r="A4180" t="str">
        <f>"20190303161955374"</f>
        <v>20190303161955374</v>
      </c>
      <c r="B4180" t="str">
        <f>"1551601195366284"</f>
        <v>1551601195366284</v>
      </c>
      <c r="C4180" t="s">
        <v>40</v>
      </c>
      <c r="D4180">
        <v>4.83927</v>
      </c>
      <c r="E4180">
        <v>0.39078740000000001</v>
      </c>
      <c r="F4180" t="s">
        <v>42</v>
      </c>
      <c r="G4180">
        <v>-482.4615</v>
      </c>
      <c r="H4180">
        <v>1.053075</v>
      </c>
      <c r="I4180">
        <v>277.84460000000001</v>
      </c>
      <c r="J4180">
        <v>-482.12529999999998</v>
      </c>
      <c r="K4180">
        <v>1.1249880000000001</v>
      </c>
      <c r="L4180">
        <v>278.56020000000001</v>
      </c>
      <c r="M4180">
        <v>-0.83712640000000005</v>
      </c>
      <c r="N4180">
        <v>-1.413886E-2</v>
      </c>
      <c r="O4180">
        <v>-0.54682679999999995</v>
      </c>
      <c r="P4180">
        <v>-0.69234580000000001</v>
      </c>
      <c r="Q4180">
        <v>8.8656960000000007E-2</v>
      </c>
      <c r="R4180">
        <v>-0.71609889999999998</v>
      </c>
      <c r="S4180">
        <v>-1.497925</v>
      </c>
      <c r="T4180">
        <v>-0.25722660000000003</v>
      </c>
      <c r="U4180">
        <v>-2.773987</v>
      </c>
      <c r="V4180">
        <v>-0.22173979999999999</v>
      </c>
      <c r="W4180">
        <v>0.1005363</v>
      </c>
      <c r="X4180">
        <v>0.96990929999999997</v>
      </c>
      <c r="Y4180">
        <v>-0.47624430000000001</v>
      </c>
      <c r="Z4180">
        <v>1.6530920000000001E-2</v>
      </c>
      <c r="AA4180">
        <v>0.87915769999999904</v>
      </c>
      <c r="AB4180">
        <v>17</v>
      </c>
      <c r="AC4180">
        <v>-0.33620000000001898</v>
      </c>
      <c r="AD4180">
        <v>-7.1912999999999894E-2</v>
      </c>
      <c r="AE4180">
        <v>-0.71559999999999402</v>
      </c>
      <c r="AF4180">
        <v>-0.411838889503026</v>
      </c>
      <c r="AG4180">
        <v>-7.1912999999999894E-2</v>
      </c>
      <c r="AH4180">
        <v>0.66729792259311105</v>
      </c>
      <c r="AI4180">
        <v>95.239809178014696</v>
      </c>
      <c r="AJ4180">
        <v>121.68180349650601</v>
      </c>
      <c r="AK4180">
        <v>0.78744477137966096</v>
      </c>
      <c r="AL4180">
        <v>84.229946553411395</v>
      </c>
      <c r="AM4180">
        <v>102.877597780702</v>
      </c>
      <c r="AN4180">
        <v>1.0000000683740999</v>
      </c>
    </row>
    <row r="4181" spans="1:40" x14ac:dyDescent="0.25">
      <c r="A4181" t="str">
        <f>"20190303161955385"</f>
        <v>20190303161955385</v>
      </c>
      <c r="B4181" t="str">
        <f>"1551601195377019"</f>
        <v>1551601195377019</v>
      </c>
      <c r="C4181" t="s">
        <v>40</v>
      </c>
      <c r="D4181">
        <v>4.8145819999999997</v>
      </c>
      <c r="E4181">
        <v>0.39110089999999997</v>
      </c>
      <c r="F4181" t="s">
        <v>42</v>
      </c>
      <c r="G4181">
        <v>-482.56420000000003</v>
      </c>
      <c r="H4181">
        <v>1.050181</v>
      </c>
      <c r="I4181">
        <v>277.7473</v>
      </c>
      <c r="J4181">
        <v>-482.19540000000001</v>
      </c>
      <c r="K4181">
        <v>1.1250260000000001</v>
      </c>
      <c r="L4181">
        <v>278.50920000000002</v>
      </c>
      <c r="M4181">
        <v>-0.83500589999999997</v>
      </c>
      <c r="N4181">
        <v>-1.4131629999999999E-2</v>
      </c>
      <c r="O4181">
        <v>-0.55005990000000005</v>
      </c>
      <c r="P4181">
        <v>-0.69038140000000003</v>
      </c>
      <c r="Q4181">
        <v>8.9337799999999995E-2</v>
      </c>
      <c r="R4181">
        <v>-0.71790869999999996</v>
      </c>
      <c r="S4181">
        <v>-1.4972529999999999</v>
      </c>
      <c r="T4181">
        <v>-0.25521359999999998</v>
      </c>
      <c r="U4181">
        <v>-2.7734380000000001</v>
      </c>
      <c r="V4181">
        <v>-0.2205888</v>
      </c>
      <c r="W4181">
        <v>0.10120469999999999</v>
      </c>
      <c r="X4181">
        <v>0.97010209999999997</v>
      </c>
      <c r="Y4181">
        <v>-0.47295399999999999</v>
      </c>
      <c r="Z4181">
        <v>1.6754850000000002E-2</v>
      </c>
      <c r="AA4181">
        <v>0.88092780000000004</v>
      </c>
      <c r="AB4181">
        <v>17</v>
      </c>
      <c r="AC4181">
        <v>-0.368800000000021</v>
      </c>
      <c r="AD4181">
        <v>-7.4844999999999995E-2</v>
      </c>
      <c r="AE4181">
        <v>-0.761900000000025</v>
      </c>
      <c r="AF4181">
        <v>-0.43001017953572002</v>
      </c>
      <c r="AG4181">
        <v>-7.4844999999999995E-2</v>
      </c>
      <c r="AH4181">
        <v>0.72147264558403001</v>
      </c>
      <c r="AI4181">
        <v>95.092281011867499</v>
      </c>
      <c r="AJ4181">
        <v>120.79567359228</v>
      </c>
      <c r="AK4181">
        <v>0.84322790920092405</v>
      </c>
      <c r="AL4181">
        <v>84.191453019849504</v>
      </c>
      <c r="AM4181">
        <v>102.810502560372</v>
      </c>
      <c r="AN4181">
        <v>0.99999994720596797</v>
      </c>
    </row>
    <row r="4182" spans="1:40" x14ac:dyDescent="0.25">
      <c r="A4182" t="str">
        <f>"20190303161955407"</f>
        <v>20190303161955407</v>
      </c>
      <c r="B4182" t="str">
        <f>"1551601195396540"</f>
        <v>1551601195396540</v>
      </c>
      <c r="C4182" t="s">
        <v>40</v>
      </c>
      <c r="D4182">
        <v>4.7963190000000004</v>
      </c>
      <c r="E4182">
        <v>0.39149230000000002</v>
      </c>
      <c r="F4182" t="s">
        <v>42</v>
      </c>
      <c r="G4182">
        <v>-482.66230000000002</v>
      </c>
      <c r="H4182">
        <v>1.0459270000000001</v>
      </c>
      <c r="I4182">
        <v>277.64049999999997</v>
      </c>
      <c r="J4182">
        <v>-482.32589999999999</v>
      </c>
      <c r="K4182">
        <v>1.1251059999999999</v>
      </c>
      <c r="L4182">
        <v>278.4128</v>
      </c>
      <c r="M4182">
        <v>-0.83093680000000003</v>
      </c>
      <c r="N4182">
        <v>-1.4122880000000001E-2</v>
      </c>
      <c r="O4182">
        <v>-0.55618769999999995</v>
      </c>
      <c r="P4182">
        <v>-0.68658509999999995</v>
      </c>
      <c r="Q4182">
        <v>9.1586440000000005E-2</v>
      </c>
      <c r="R4182">
        <v>-0.72125779999999995</v>
      </c>
      <c r="S4182">
        <v>-1.49173</v>
      </c>
      <c r="T4182">
        <v>-0.25274999999999997</v>
      </c>
      <c r="U4182">
        <v>-2.7758479999999999</v>
      </c>
      <c r="V4182">
        <v>-0.21836710000000001</v>
      </c>
      <c r="W4182">
        <v>0.1034312</v>
      </c>
      <c r="X4182">
        <v>0.97036990000000001</v>
      </c>
      <c r="Y4182">
        <v>-0.46817589999999998</v>
      </c>
      <c r="Z4182">
        <v>1.722665E-2</v>
      </c>
      <c r="AA4182">
        <v>0.88346740000000001</v>
      </c>
      <c r="AB4182">
        <v>17</v>
      </c>
      <c r="AC4182">
        <v>-0.33640000000002601</v>
      </c>
      <c r="AD4182">
        <v>-7.9178999999999805E-2</v>
      </c>
      <c r="AE4182">
        <v>-0.77230000000002896</v>
      </c>
      <c r="AF4182">
        <v>-0.45069443844548301</v>
      </c>
      <c r="AG4182">
        <v>-7.9178999999999805E-2</v>
      </c>
      <c r="AH4182">
        <v>0.70293127282691603</v>
      </c>
      <c r="AI4182">
        <v>95.416834132409605</v>
      </c>
      <c r="AJ4182">
        <v>122.666543222268</v>
      </c>
      <c r="AK4182">
        <v>0.83875333990676704</v>
      </c>
      <c r="AL4182">
        <v>84.063211039891101</v>
      </c>
      <c r="AM4182">
        <v>102.682287117652</v>
      </c>
      <c r="AN4182">
        <v>0.99999997316092903</v>
      </c>
    </row>
    <row r="4183" spans="1:40" x14ac:dyDescent="0.25">
      <c r="A4183" t="str">
        <f>"20190303161955418"</f>
        <v>20190303161955418</v>
      </c>
      <c r="B4183" t="str">
        <f>"1551601195406299"</f>
        <v>1551601195406299</v>
      </c>
      <c r="C4183" t="s">
        <v>40</v>
      </c>
      <c r="D4183">
        <v>4.8085979999999999</v>
      </c>
      <c r="E4183">
        <v>0.39177339999999999</v>
      </c>
      <c r="F4183" t="s">
        <v>42</v>
      </c>
      <c r="G4183">
        <v>-482.78230000000002</v>
      </c>
      <c r="H4183">
        <v>1.0488690000000001</v>
      </c>
      <c r="I4183">
        <v>277.55549999999999</v>
      </c>
      <c r="J4183">
        <v>-482.39120000000003</v>
      </c>
      <c r="K4183">
        <v>1.125146</v>
      </c>
      <c r="L4183">
        <v>278.36380000000003</v>
      </c>
      <c r="M4183">
        <v>-0.82884210000000003</v>
      </c>
      <c r="N4183">
        <v>-1.412002E-2</v>
      </c>
      <c r="O4183">
        <v>-0.55930449999999998</v>
      </c>
      <c r="P4183">
        <v>-0.68423519999999904</v>
      </c>
      <c r="Q4183">
        <v>9.3254589999999998E-2</v>
      </c>
      <c r="R4183">
        <v>-0.72327450000000004</v>
      </c>
      <c r="S4183">
        <v>-1.480621</v>
      </c>
      <c r="T4183">
        <v>-0.24730189999999999</v>
      </c>
      <c r="U4183">
        <v>-2.781342</v>
      </c>
      <c r="V4183">
        <v>-0.21772440000000001</v>
      </c>
      <c r="W4183">
        <v>0.10508489999999999</v>
      </c>
      <c r="X4183">
        <v>0.97033670000000005</v>
      </c>
      <c r="Y4183">
        <v>-0.4683446</v>
      </c>
      <c r="Z4183">
        <v>1.6871299999999999E-2</v>
      </c>
      <c r="AA4183">
        <v>0.88338479999999997</v>
      </c>
      <c r="AB4183">
        <v>17</v>
      </c>
      <c r="AC4183">
        <v>-0.39109999999999401</v>
      </c>
      <c r="AD4183">
        <v>-7.62769999999999E-2</v>
      </c>
      <c r="AE4183">
        <v>-0.80830000000003099</v>
      </c>
      <c r="AF4183">
        <v>-0.44802119383459599</v>
      </c>
      <c r="AG4183">
        <v>-7.62769999999999E-2</v>
      </c>
      <c r="AH4183">
        <v>0.77076163401057896</v>
      </c>
      <c r="AI4183">
        <v>94.890259277470903</v>
      </c>
      <c r="AJ4183">
        <v>120.168184298925</v>
      </c>
      <c r="AK4183">
        <v>0.89477073449942102</v>
      </c>
      <c r="AL4183">
        <v>83.967942154759697</v>
      </c>
      <c r="AM4183">
        <v>102.64658146282</v>
      </c>
      <c r="AN4183">
        <v>1.00000003096512</v>
      </c>
    </row>
    <row r="4184" spans="1:40" x14ac:dyDescent="0.25">
      <c r="A4184" t="str">
        <f>"20190303161955429"</f>
        <v>20190303161955429</v>
      </c>
      <c r="B4184" t="str">
        <f>"1551601195417036"</f>
        <v>1551601195417036</v>
      </c>
      <c r="C4184" t="s">
        <v>40</v>
      </c>
      <c r="D4184">
        <v>4.7795880000000004</v>
      </c>
      <c r="E4184">
        <v>0.39200790000000002</v>
      </c>
      <c r="F4184" t="s">
        <v>42</v>
      </c>
      <c r="G4184">
        <v>-482.81689999999998</v>
      </c>
      <c r="H4184">
        <v>1.0553650000000001</v>
      </c>
      <c r="I4184">
        <v>277.55959999999999</v>
      </c>
      <c r="J4184">
        <v>-482.45679999999999</v>
      </c>
      <c r="K4184">
        <v>1.125192</v>
      </c>
      <c r="L4184">
        <v>278.31420000000003</v>
      </c>
      <c r="M4184">
        <v>-0.82670909999999997</v>
      </c>
      <c r="N4184">
        <v>-1.4117350000000001E-2</v>
      </c>
      <c r="O4184">
        <v>-0.56245249999999902</v>
      </c>
      <c r="P4184">
        <v>-0.68163219999999902</v>
      </c>
      <c r="Q4184">
        <v>9.5082470000000002E-2</v>
      </c>
      <c r="R4184">
        <v>-0.72549079999999999</v>
      </c>
      <c r="S4184">
        <v>-1.4738770000000001</v>
      </c>
      <c r="T4184">
        <v>-0.2415824</v>
      </c>
      <c r="U4184">
        <v>-2.7845759999999999</v>
      </c>
      <c r="V4184">
        <v>-0.2173476</v>
      </c>
      <c r="W4184">
        <v>0.1068962</v>
      </c>
      <c r="X4184">
        <v>0.97022330000000001</v>
      </c>
      <c r="Y4184">
        <v>-0.46709869999999998</v>
      </c>
      <c r="Z4184">
        <v>1.6538509999999999E-2</v>
      </c>
      <c r="AA4184">
        <v>0.88405049999999996</v>
      </c>
      <c r="AB4184">
        <v>17</v>
      </c>
      <c r="AC4184">
        <v>-0.36009999999998799</v>
      </c>
      <c r="AD4184">
        <v>-6.9827E-2</v>
      </c>
      <c r="AE4184">
        <v>-0.75460000000003902</v>
      </c>
      <c r="AF4184">
        <v>-0.41841926334347901</v>
      </c>
      <c r="AG4184">
        <v>-6.9827E-2</v>
      </c>
      <c r="AH4184">
        <v>0.71719449829995496</v>
      </c>
      <c r="AI4184">
        <v>94.807023906377793</v>
      </c>
      <c r="AJ4184">
        <v>120.25976343022199</v>
      </c>
      <c r="AK4184">
        <v>0.83325772619137695</v>
      </c>
      <c r="AL4184">
        <v>83.863574306070504</v>
      </c>
      <c r="AM4184">
        <v>102.62682549072601</v>
      </c>
      <c r="AN4184">
        <v>1.00000001433154</v>
      </c>
    </row>
    <row r="4185" spans="1:40" x14ac:dyDescent="0.25">
      <c r="A4185" t="str">
        <f>"20190303161955443"</f>
        <v>20190303161955443</v>
      </c>
      <c r="B4185" t="str">
        <f>"1551601195436556"</f>
        <v>1551601195436556</v>
      </c>
      <c r="C4185" t="s">
        <v>40</v>
      </c>
      <c r="D4185">
        <v>4.8010849999999996</v>
      </c>
      <c r="E4185">
        <v>0.39242100000000002</v>
      </c>
      <c r="F4185" t="s">
        <v>42</v>
      </c>
      <c r="G4185">
        <v>-482.9008</v>
      </c>
      <c r="H4185">
        <v>1.053628</v>
      </c>
      <c r="I4185">
        <v>277.46899999999999</v>
      </c>
      <c r="J4185">
        <v>-482.54360000000003</v>
      </c>
      <c r="K4185">
        <v>1.125235</v>
      </c>
      <c r="L4185">
        <v>278.24799999999999</v>
      </c>
      <c r="M4185">
        <v>-0.82383629999999997</v>
      </c>
      <c r="N4185">
        <v>-1.4114649999999999E-2</v>
      </c>
      <c r="O4185">
        <v>-0.56665209999999999</v>
      </c>
      <c r="P4185">
        <v>-0.67782010000000004</v>
      </c>
      <c r="Q4185">
        <v>9.6644389999999997E-2</v>
      </c>
      <c r="R4185">
        <v>-0.72884839999999995</v>
      </c>
      <c r="S4185">
        <v>-1.4656070000000001</v>
      </c>
      <c r="T4185">
        <v>-0.2361819</v>
      </c>
      <c r="U4185">
        <v>-2.7890929999999998</v>
      </c>
      <c r="V4185">
        <v>-0.21735009999999999</v>
      </c>
      <c r="W4185">
        <v>0.1084345</v>
      </c>
      <c r="X4185">
        <v>0.97005200000000003</v>
      </c>
      <c r="Y4185">
        <v>-0.46526319999999999</v>
      </c>
      <c r="Z4185">
        <v>1.632838E-2</v>
      </c>
      <c r="AA4185">
        <v>0.88502169999999902</v>
      </c>
      <c r="AB4185">
        <v>17</v>
      </c>
      <c r="AC4185">
        <v>-0.35719999999997698</v>
      </c>
      <c r="AD4185">
        <v>-7.1606999999999907E-2</v>
      </c>
      <c r="AE4185">
        <v>-0.77899999999999603</v>
      </c>
      <c r="AF4185">
        <v>-0.43635760142374502</v>
      </c>
      <c r="AG4185">
        <v>-7.1606999999999907E-2</v>
      </c>
      <c r="AH4185">
        <v>0.73066829986426696</v>
      </c>
      <c r="AI4185">
        <v>94.809521815284</v>
      </c>
      <c r="AJ4185">
        <v>120.84579298538701</v>
      </c>
      <c r="AK4185">
        <v>0.85405601876915704</v>
      </c>
      <c r="AL4185">
        <v>83.774920752745103</v>
      </c>
      <c r="AM4185">
        <v>102.629124330157</v>
      </c>
      <c r="AN4185">
        <v>0.99999999473212997</v>
      </c>
    </row>
    <row r="4186" spans="1:40" x14ac:dyDescent="0.25">
      <c r="A4186" t="str">
        <f>"20190303161955462"</f>
        <v>20190303161955462</v>
      </c>
      <c r="B4186" t="str">
        <f>"1551601195457052"</f>
        <v>1551601195457052</v>
      </c>
      <c r="C4186" t="s">
        <v>40</v>
      </c>
      <c r="D4186">
        <v>4.707694</v>
      </c>
      <c r="E4186">
        <v>0.39281519999999998</v>
      </c>
      <c r="F4186" t="s">
        <v>42</v>
      </c>
      <c r="G4186">
        <v>-482.97550000000001</v>
      </c>
      <c r="H4186">
        <v>1.0560430000000001</v>
      </c>
      <c r="I4186">
        <v>277.41840000000002</v>
      </c>
      <c r="J4186">
        <v>-482.65300000000002</v>
      </c>
      <c r="K4186">
        <v>1.1252740000000001</v>
      </c>
      <c r="L4186">
        <v>278.1635</v>
      </c>
      <c r="M4186">
        <v>-0.82012299999999905</v>
      </c>
      <c r="N4186">
        <v>-1.4112E-2</v>
      </c>
      <c r="O4186">
        <v>-0.57201299999999999</v>
      </c>
      <c r="P4186">
        <v>-0.67240519999999904</v>
      </c>
      <c r="Q4186">
        <v>9.859677E-2</v>
      </c>
      <c r="R4186">
        <v>-0.73358699999999999</v>
      </c>
      <c r="S4186">
        <v>-1.4546809999999999</v>
      </c>
      <c r="T4186">
        <v>-0.2330612</v>
      </c>
      <c r="U4186">
        <v>-2.7941280000000002</v>
      </c>
      <c r="V4186">
        <v>-0.21801960000000001</v>
      </c>
      <c r="W4186">
        <v>0.1103555</v>
      </c>
      <c r="X4186">
        <v>0.96968509999999997</v>
      </c>
      <c r="Y4186">
        <v>-0.4628834</v>
      </c>
      <c r="Z4186">
        <v>1.6480930000000001E-2</v>
      </c>
      <c r="AA4186">
        <v>0.886266</v>
      </c>
      <c r="AB4186">
        <v>17</v>
      </c>
      <c r="AC4186">
        <v>-0.32249999999999002</v>
      </c>
      <c r="AD4186">
        <v>-6.9230999999999807E-2</v>
      </c>
      <c r="AE4186">
        <v>-0.745099999999979</v>
      </c>
      <c r="AF4186">
        <v>-0.42356225008679199</v>
      </c>
      <c r="AG4186">
        <v>-6.9230999999999807E-2</v>
      </c>
      <c r="AH4186">
        <v>0.68577909128336001</v>
      </c>
      <c r="AI4186">
        <v>94.9091119469022</v>
      </c>
      <c r="AJ4186">
        <v>121.70099491858799</v>
      </c>
      <c r="AK4186">
        <v>0.80900610201717105</v>
      </c>
      <c r="AL4186">
        <v>83.664191255173407</v>
      </c>
      <c r="AM4186">
        <v>102.67141024771</v>
      </c>
      <c r="AN4186">
        <v>1.0000000377631999</v>
      </c>
    </row>
    <row r="4187" spans="1:40" x14ac:dyDescent="0.25">
      <c r="A4187" t="str">
        <f>"20190303161955476"</f>
        <v>20190303161955476</v>
      </c>
      <c r="B4187" t="str">
        <f>"1551601195466812"</f>
        <v>1551601195466812</v>
      </c>
      <c r="C4187" t="s">
        <v>40</v>
      </c>
      <c r="D4187">
        <v>4.7784069999999996</v>
      </c>
      <c r="E4187">
        <v>0.3932039</v>
      </c>
      <c r="F4187" t="s">
        <v>42</v>
      </c>
      <c r="G4187">
        <v>-483.07929999999999</v>
      </c>
      <c r="H4187">
        <v>1.0570200000000001</v>
      </c>
      <c r="I4187">
        <v>277.33280000000002</v>
      </c>
      <c r="J4187">
        <v>-482.73160000000001</v>
      </c>
      <c r="K4187">
        <v>1.1252899999999999</v>
      </c>
      <c r="L4187">
        <v>278.10180000000003</v>
      </c>
      <c r="M4187">
        <v>-0.81739269999999997</v>
      </c>
      <c r="N4187">
        <v>-1.4109999999999999E-2</v>
      </c>
      <c r="O4187">
        <v>-0.57590810000000003</v>
      </c>
      <c r="P4187">
        <v>-0.66848209999999997</v>
      </c>
      <c r="Q4187">
        <v>9.8971459999999997E-2</v>
      </c>
      <c r="R4187">
        <v>-0.73711389999999999</v>
      </c>
      <c r="S4187">
        <v>-1.4380189999999999</v>
      </c>
      <c r="T4187">
        <v>-0.2302159</v>
      </c>
      <c r="U4187">
        <v>-2.802368</v>
      </c>
      <c r="V4187">
        <v>-0.2185472</v>
      </c>
      <c r="W4187">
        <v>0.1107133</v>
      </c>
      <c r="X4187">
        <v>0.96952550000000004</v>
      </c>
      <c r="Y4187">
        <v>-0.46390300000000001</v>
      </c>
      <c r="Z4187">
        <v>1.6396049999999999E-2</v>
      </c>
      <c r="AA4187">
        <v>0.88573429999999997</v>
      </c>
      <c r="AB4187">
        <v>17</v>
      </c>
      <c r="AC4187">
        <v>-0.34769999999997397</v>
      </c>
      <c r="AD4187">
        <v>-6.8269999999999803E-2</v>
      </c>
      <c r="AE4187">
        <v>-0.76900000000000501</v>
      </c>
      <c r="AF4187">
        <v>-0.425589442178616</v>
      </c>
      <c r="AG4187">
        <v>-6.8269999999999803E-2</v>
      </c>
      <c r="AH4187">
        <v>0.72242579937527895</v>
      </c>
      <c r="AI4187">
        <v>94.654896556588199</v>
      </c>
      <c r="AJ4187">
        <v>120.502833551872</v>
      </c>
      <c r="AK4187">
        <v>0.84124087026066297</v>
      </c>
      <c r="AL4187">
        <v>83.643564217254195</v>
      </c>
      <c r="AM4187">
        <v>102.703103994885</v>
      </c>
      <c r="AN4187">
        <v>1.0000000042874899</v>
      </c>
    </row>
    <row r="4188" spans="1:40" x14ac:dyDescent="0.25">
      <c r="A4188" t="str">
        <f>"20190303161955489"</f>
        <v>20190303161955489</v>
      </c>
      <c r="B4188" t="str">
        <f>"1551601195476572"</f>
        <v>1551601195476572</v>
      </c>
      <c r="C4188" t="s">
        <v>40</v>
      </c>
      <c r="D4188">
        <v>4.7228070000000004</v>
      </c>
      <c r="E4188">
        <v>0.39357569999999997</v>
      </c>
      <c r="F4188" t="s">
        <v>42</v>
      </c>
      <c r="G4188">
        <v>-483.1456</v>
      </c>
      <c r="H4188">
        <v>1.0588390000000001</v>
      </c>
      <c r="I4188">
        <v>277.28649999999999</v>
      </c>
      <c r="J4188">
        <v>-482.80770000000001</v>
      </c>
      <c r="K4188">
        <v>1.1252930000000001</v>
      </c>
      <c r="L4188">
        <v>278.04169999999999</v>
      </c>
      <c r="M4188">
        <v>-0.81471289999999996</v>
      </c>
      <c r="N4188">
        <v>-1.41078E-2</v>
      </c>
      <c r="O4188">
        <v>-0.57969309999999996</v>
      </c>
      <c r="P4188">
        <v>-0.66456749999999998</v>
      </c>
      <c r="Q4188">
        <v>9.9183060000000003E-2</v>
      </c>
      <c r="R4188">
        <v>-0.74061690000000002</v>
      </c>
      <c r="S4188">
        <v>-1.4255679999999999</v>
      </c>
      <c r="T4188">
        <v>-0.22879289999999999</v>
      </c>
      <c r="U4188">
        <v>-2.8077700000000001</v>
      </c>
      <c r="V4188">
        <v>-0.21916920000000001</v>
      </c>
      <c r="W4188">
        <v>0.1109105</v>
      </c>
      <c r="X4188">
        <v>0.96936259999999996</v>
      </c>
      <c r="Y4188">
        <v>-0.46361200000000002</v>
      </c>
      <c r="Z4188">
        <v>1.6527E-2</v>
      </c>
      <c r="AA4188">
        <v>0.88588419999999901</v>
      </c>
      <c r="AB4188">
        <v>17</v>
      </c>
      <c r="AC4188">
        <v>-0.33789999999998999</v>
      </c>
      <c r="AD4188">
        <v>-6.6454000000000193E-2</v>
      </c>
      <c r="AE4188">
        <v>-0.75520000000000198</v>
      </c>
      <c r="AF4188">
        <v>-0.41674590474010398</v>
      </c>
      <c r="AG4188">
        <v>-6.6454000000000193E-2</v>
      </c>
      <c r="AH4188">
        <v>0.70857517350990595</v>
      </c>
      <c r="AI4188">
        <v>94.621739291751496</v>
      </c>
      <c r="AJ4188">
        <v>120.461758871545</v>
      </c>
      <c r="AK4188">
        <v>0.82472544507141299</v>
      </c>
      <c r="AL4188">
        <v>83.632195854258896</v>
      </c>
      <c r="AM4188">
        <v>102.74015063307699</v>
      </c>
      <c r="AN4188">
        <v>1.00000006375882</v>
      </c>
    </row>
    <row r="4189" spans="1:40" x14ac:dyDescent="0.25">
      <c r="A4189" t="str">
        <f>"20190303161955499"</f>
        <v>20190303161955499</v>
      </c>
      <c r="B4189" t="str">
        <f>"1551601195497067"</f>
        <v>1551601195497067</v>
      </c>
      <c r="C4189" t="s">
        <v>40</v>
      </c>
      <c r="D4189">
        <v>4.6779890000000002</v>
      </c>
      <c r="E4189">
        <v>0.3941926</v>
      </c>
      <c r="F4189" t="s">
        <v>42</v>
      </c>
      <c r="G4189">
        <v>-483.23540000000003</v>
      </c>
      <c r="H4189">
        <v>1.0563560000000001</v>
      </c>
      <c r="I4189">
        <v>277.1909</v>
      </c>
      <c r="J4189">
        <v>-482.8725</v>
      </c>
      <c r="K4189">
        <v>1.125292</v>
      </c>
      <c r="L4189">
        <v>277.98989999999998</v>
      </c>
      <c r="M4189">
        <v>-0.81239740000000005</v>
      </c>
      <c r="N4189">
        <v>-1.4105599999999999E-2</v>
      </c>
      <c r="O4189">
        <v>-0.58293359999999905</v>
      </c>
      <c r="P4189">
        <v>-0.66124439999999995</v>
      </c>
      <c r="Q4189">
        <v>9.8758789999999999E-2</v>
      </c>
      <c r="R4189">
        <v>-0.74364140000000001</v>
      </c>
      <c r="S4189">
        <v>-1.4135740000000001</v>
      </c>
      <c r="T4189">
        <v>-0.22783729999999999</v>
      </c>
      <c r="U4189">
        <v>-2.8127749999999998</v>
      </c>
      <c r="V4189">
        <v>-0.219692</v>
      </c>
      <c r="W4189">
        <v>0.1104778</v>
      </c>
      <c r="X4189">
        <v>0.96929359999999998</v>
      </c>
      <c r="Y4189">
        <v>-0.46373560000000003</v>
      </c>
      <c r="Z4189">
        <v>1.6654619999999998E-2</v>
      </c>
      <c r="AA4189">
        <v>0.88581710000000002</v>
      </c>
      <c r="AB4189">
        <v>17</v>
      </c>
      <c r="AC4189">
        <v>-0.36290000000002398</v>
      </c>
      <c r="AD4189">
        <v>-6.8936000000000094E-2</v>
      </c>
      <c r="AE4189">
        <v>-0.79899999999997795</v>
      </c>
      <c r="AF4189">
        <v>-0.43491861022857398</v>
      </c>
      <c r="AG4189">
        <v>-6.8936000000000094E-2</v>
      </c>
      <c r="AH4189">
        <v>0.75599346896108199</v>
      </c>
      <c r="AI4189">
        <v>94.519242812284105</v>
      </c>
      <c r="AJ4189">
        <v>119.91156555749799</v>
      </c>
      <c r="AK4189">
        <v>0.87488999007359003</v>
      </c>
      <c r="AL4189">
        <v>83.657140637597493</v>
      </c>
      <c r="AM4189">
        <v>102.770424565486</v>
      </c>
      <c r="AN4189">
        <v>1.0000000010788901</v>
      </c>
    </row>
    <row r="4190" spans="1:40" x14ac:dyDescent="0.25">
      <c r="A4190" t="str">
        <f>"20190303161955511"</f>
        <v>20190303161955511</v>
      </c>
      <c r="B4190" t="str">
        <f>"1551601195506828"</f>
        <v>1551601195506828</v>
      </c>
      <c r="C4190" t="s">
        <v>40</v>
      </c>
      <c r="D4190">
        <v>4.6241209999999997</v>
      </c>
      <c r="E4190">
        <v>0.39452969999999998</v>
      </c>
      <c r="F4190" t="s">
        <v>42</v>
      </c>
      <c r="G4190">
        <v>-483.29</v>
      </c>
      <c r="H4190">
        <v>1.0573410000000001</v>
      </c>
      <c r="I4190">
        <v>277.15359999999998</v>
      </c>
      <c r="J4190">
        <v>-482.93529999999998</v>
      </c>
      <c r="K4190">
        <v>1.1252850000000001</v>
      </c>
      <c r="L4190">
        <v>277.9393</v>
      </c>
      <c r="M4190">
        <v>-0.81012709999999999</v>
      </c>
      <c r="N4190">
        <v>-1.4103009999999999E-2</v>
      </c>
      <c r="O4190">
        <v>-0.58608479999999996</v>
      </c>
      <c r="P4190">
        <v>-0.65804490000000004</v>
      </c>
      <c r="Q4190">
        <v>9.8323199999999999E-2</v>
      </c>
      <c r="R4190">
        <v>-0.74653210000000003</v>
      </c>
      <c r="S4190">
        <v>-1.4050290000000001</v>
      </c>
      <c r="T4190">
        <v>-0.2286714</v>
      </c>
      <c r="U4190">
        <v>-2.8152469999999998</v>
      </c>
      <c r="V4190">
        <v>-0.2201312</v>
      </c>
      <c r="W4190">
        <v>0.1100375</v>
      </c>
      <c r="X4190">
        <v>0.96924399999999999</v>
      </c>
      <c r="Y4190">
        <v>-0.4627616</v>
      </c>
      <c r="Z4190">
        <v>1.7045439999999999E-2</v>
      </c>
      <c r="AA4190">
        <v>0.88631890000000002</v>
      </c>
      <c r="AB4190">
        <v>17</v>
      </c>
      <c r="AC4190">
        <v>-0.35470000000003599</v>
      </c>
      <c r="AD4190">
        <v>-6.7944000000000004E-2</v>
      </c>
      <c r="AE4190">
        <v>-0.78570000000001905</v>
      </c>
      <c r="AF4190">
        <v>-0.426028669449174</v>
      </c>
      <c r="AG4190">
        <v>-6.7944000000000004E-2</v>
      </c>
      <c r="AH4190">
        <v>0.74329583805395305</v>
      </c>
      <c r="AI4190">
        <v>94.534411294134301</v>
      </c>
      <c r="AJ4190">
        <v>119.81968092115</v>
      </c>
      <c r="AK4190">
        <v>0.859421617831994</v>
      </c>
      <c r="AL4190">
        <v>83.682522488387605</v>
      </c>
      <c r="AM4190">
        <v>102.79574836082899</v>
      </c>
      <c r="AN4190">
        <v>0.99999996407784397</v>
      </c>
    </row>
    <row r="4191" spans="1:40" x14ac:dyDescent="0.25">
      <c r="A4191" t="str">
        <f>"20190303161955522"</f>
        <v>20190303161955522</v>
      </c>
      <c r="B4191" t="str">
        <f>"1551601195516588"</f>
        <v>1551601195516588</v>
      </c>
      <c r="C4191" t="s">
        <v>40</v>
      </c>
      <c r="D4191">
        <v>5.8711330000000004</v>
      </c>
      <c r="E4191">
        <v>0.39452969999999998</v>
      </c>
      <c r="F4191" t="s">
        <v>42</v>
      </c>
      <c r="G4191">
        <v>-483.35</v>
      </c>
      <c r="H4191">
        <v>1.0570580000000001</v>
      </c>
      <c r="I4191">
        <v>277.10120000000001</v>
      </c>
      <c r="J4191">
        <v>-482.99950000000001</v>
      </c>
      <c r="K4191">
        <v>1.12527</v>
      </c>
      <c r="L4191">
        <v>277.88729999999998</v>
      </c>
      <c r="M4191">
        <v>-0.80778870000000003</v>
      </c>
      <c r="N4191">
        <v>-1.4100110000000001E-2</v>
      </c>
      <c r="O4191">
        <v>-0.58930360000000004</v>
      </c>
      <c r="P4191">
        <v>-0.65494759999999996</v>
      </c>
      <c r="Q4191">
        <v>9.8245550000000001E-2</v>
      </c>
      <c r="R4191">
        <v>-0.7492605</v>
      </c>
      <c r="S4191">
        <v>-1.3947449999999999</v>
      </c>
      <c r="T4191">
        <v>-0.2294669</v>
      </c>
      <c r="U4191">
        <v>-2.8193049999999999</v>
      </c>
      <c r="V4191">
        <v>-0.2202944</v>
      </c>
      <c r="W4191">
        <v>0.1099593</v>
      </c>
      <c r="X4191">
        <v>0.96921579999999996</v>
      </c>
      <c r="Y4191">
        <v>-0.46234249999999999</v>
      </c>
      <c r="Z4191">
        <v>1.7410129999999999E-2</v>
      </c>
      <c r="AA4191">
        <v>0.8865305</v>
      </c>
      <c r="AB4191">
        <v>17</v>
      </c>
      <c r="AC4191">
        <v>-0.35050000000001003</v>
      </c>
      <c r="AD4191">
        <v>-6.8211999999999898E-2</v>
      </c>
      <c r="AE4191">
        <v>-0.78609999999997604</v>
      </c>
      <c r="AF4191">
        <v>-0.42581984325165601</v>
      </c>
      <c r="AG4191">
        <v>-6.8211999999999898E-2</v>
      </c>
      <c r="AH4191">
        <v>0.741796542735496</v>
      </c>
      <c r="AI4191">
        <v>94.559665116385503</v>
      </c>
      <c r="AJ4191">
        <v>119.85748710361401</v>
      </c>
      <c r="AK4191">
        <v>0.85804284663715902</v>
      </c>
      <c r="AL4191">
        <v>83.687030402392097</v>
      </c>
      <c r="AM4191">
        <v>102.805282477964</v>
      </c>
      <c r="AN4191">
        <v>0.99999996864874396</v>
      </c>
    </row>
    <row r="4192" spans="1:40" x14ac:dyDescent="0.25">
      <c r="A4192" t="str">
        <f>"20190303161955533"</f>
        <v>20190303161955533</v>
      </c>
      <c r="B4192" t="str">
        <f>"1551601195526347"</f>
        <v>1551601195526347</v>
      </c>
      <c r="C4192" t="s">
        <v>40</v>
      </c>
      <c r="D4192">
        <v>4.6831139999999998</v>
      </c>
      <c r="E4192">
        <v>0.406916</v>
      </c>
      <c r="F4192" t="s">
        <v>42</v>
      </c>
      <c r="G4192">
        <v>-483.41379999999998</v>
      </c>
      <c r="H4192">
        <v>1.0562370000000001</v>
      </c>
      <c r="I4192">
        <v>277.04109999999997</v>
      </c>
      <c r="J4192">
        <v>-483.06009999999998</v>
      </c>
      <c r="K4192">
        <v>1.1252580000000001</v>
      </c>
      <c r="L4192">
        <v>277.83760000000001</v>
      </c>
      <c r="M4192">
        <v>-0.80555429999999995</v>
      </c>
      <c r="N4192">
        <v>-1.4096600000000001E-2</v>
      </c>
      <c r="O4192">
        <v>-0.59235459999999995</v>
      </c>
      <c r="P4192">
        <v>-0.65179100000000001</v>
      </c>
      <c r="Q4192">
        <v>9.8002690000000003E-2</v>
      </c>
      <c r="R4192">
        <v>-0.75204040000000005</v>
      </c>
      <c r="S4192">
        <v>-1.382935</v>
      </c>
      <c r="T4192">
        <v>-0.23043920000000001</v>
      </c>
      <c r="U4192">
        <v>-2.8253170000000001</v>
      </c>
      <c r="V4192">
        <v>-0.22072520000000001</v>
      </c>
      <c r="W4192">
        <v>0.1097148</v>
      </c>
      <c r="X4192">
        <v>0.96914549999999999</v>
      </c>
      <c r="Y4192">
        <v>-0.46272600000000003</v>
      </c>
      <c r="Z4192">
        <v>1.7743459999999999E-2</v>
      </c>
      <c r="AA4192">
        <v>0.88632379999999999</v>
      </c>
      <c r="AB4192">
        <v>17</v>
      </c>
      <c r="AC4192">
        <v>-0.35370000000000301</v>
      </c>
      <c r="AD4192">
        <v>-6.9020999999999999E-2</v>
      </c>
      <c r="AE4192">
        <v>-0.79650000000003696</v>
      </c>
      <c r="AF4192">
        <v>-0.42945734954967701</v>
      </c>
      <c r="AG4192">
        <v>-6.9020999999999999E-2</v>
      </c>
      <c r="AH4192">
        <v>0.75209269757265995</v>
      </c>
      <c r="AI4192">
        <v>94.556527880458503</v>
      </c>
      <c r="AJ4192">
        <v>119.72708042244</v>
      </c>
      <c r="AK4192">
        <v>0.86881582586032302</v>
      </c>
      <c r="AL4192">
        <v>83.701124540431294</v>
      </c>
      <c r="AM4192">
        <v>102.83039595101</v>
      </c>
      <c r="AN4192">
        <v>0.99999997571216404</v>
      </c>
    </row>
    <row r="4193" spans="1:40" x14ac:dyDescent="0.25">
      <c r="A4193" t="str">
        <f>"20190303161955551"</f>
        <v>20190303161955551</v>
      </c>
      <c r="B4193" t="str">
        <f>"1551601195546844"</f>
        <v>1551601195546844</v>
      </c>
      <c r="C4193" t="s">
        <v>40</v>
      </c>
      <c r="D4193">
        <v>4.670509</v>
      </c>
      <c r="E4193">
        <v>0.40697909999999998</v>
      </c>
      <c r="F4193" t="s">
        <v>41</v>
      </c>
      <c r="G4193">
        <v>-491.58620000000002</v>
      </c>
      <c r="H4193" s="1">
        <v>-1.2396449999999999E-6</v>
      </c>
      <c r="I4193">
        <v>261.495</v>
      </c>
      <c r="J4193">
        <v>-483.16469999999998</v>
      </c>
      <c r="K4193">
        <v>1.125229</v>
      </c>
      <c r="L4193">
        <v>277.75099999999998</v>
      </c>
      <c r="M4193">
        <v>-0.80165509999999995</v>
      </c>
      <c r="N4193">
        <v>-1.408978E-2</v>
      </c>
      <c r="O4193">
        <v>-0.59762109999999902</v>
      </c>
      <c r="P4193">
        <v>-0.64603920000000004</v>
      </c>
      <c r="Q4193">
        <v>9.7328620000000005E-2</v>
      </c>
      <c r="R4193">
        <v>-0.75707389999999997</v>
      </c>
      <c r="S4193">
        <v>-1.442078</v>
      </c>
      <c r="T4193">
        <v>-0.1903222</v>
      </c>
      <c r="U4193">
        <v>-2.7641300000000002</v>
      </c>
      <c r="V4193">
        <v>-0.22181980000000001</v>
      </c>
      <c r="W4193">
        <v>0.10903599999999999</v>
      </c>
      <c r="X4193">
        <v>0.96897219999999995</v>
      </c>
      <c r="Y4193">
        <v>-0.43404229999999999</v>
      </c>
      <c r="Z4193">
        <v>1.4284160000000001E-2</v>
      </c>
      <c r="AA4193">
        <v>0.9007792</v>
      </c>
      <c r="AB4193">
        <v>17</v>
      </c>
      <c r="AC4193">
        <v>-8.4215000000000302</v>
      </c>
      <c r="AD4193">
        <v>-1.125230239645</v>
      </c>
      <c r="AE4193">
        <v>-16.255999999999901</v>
      </c>
      <c r="AF4193">
        <v>-7.9695267261464302</v>
      </c>
      <c r="AG4193">
        <v>-1.125230239645</v>
      </c>
      <c r="AH4193">
        <v>16.405725601305999</v>
      </c>
      <c r="AI4193">
        <v>93.530310272897907</v>
      </c>
      <c r="AJ4193">
        <v>115.909422526966</v>
      </c>
      <c r="AK4193">
        <v>18.2736786618437</v>
      </c>
      <c r="AL4193">
        <v>83.740251804196305</v>
      </c>
      <c r="AM4193">
        <v>102.89413098427799</v>
      </c>
      <c r="AN4193">
        <v>0.99999999867043898</v>
      </c>
    </row>
    <row r="4194" spans="1:40" x14ac:dyDescent="0.25">
      <c r="A4194" t="str">
        <f>"20190303161955563"</f>
        <v>20190303161955563</v>
      </c>
      <c r="B4194" t="str">
        <f>"1551601195556604"</f>
        <v>1551601195556604</v>
      </c>
      <c r="C4194" t="s">
        <v>40</v>
      </c>
      <c r="D4194">
        <v>4.6479189999999999</v>
      </c>
      <c r="E4194">
        <v>0.4076554</v>
      </c>
      <c r="F4194" t="s">
        <v>42</v>
      </c>
      <c r="G4194">
        <v>-483.62689999999998</v>
      </c>
      <c r="H4194">
        <v>1.0596779999999999</v>
      </c>
      <c r="I4194">
        <v>276.84949999999998</v>
      </c>
      <c r="J4194">
        <v>-483.23340000000002</v>
      </c>
      <c r="K4194">
        <v>1.1252040000000001</v>
      </c>
      <c r="L4194">
        <v>277.69369999999998</v>
      </c>
      <c r="M4194">
        <v>-0.799072</v>
      </c>
      <c r="N4194">
        <v>-1.408482E-2</v>
      </c>
      <c r="O4194">
        <v>-0.60107029999999995</v>
      </c>
      <c r="P4194">
        <v>-0.64212579999999997</v>
      </c>
      <c r="Q4194">
        <v>9.7032800000000002E-2</v>
      </c>
      <c r="R4194">
        <v>-0.76043359999999904</v>
      </c>
      <c r="S4194">
        <v>-1.4222410000000001</v>
      </c>
      <c r="T4194">
        <v>-0.20173179999999999</v>
      </c>
      <c r="U4194">
        <v>-2.7749630000000001</v>
      </c>
      <c r="V4194">
        <v>-0.22266469999999999</v>
      </c>
      <c r="W4194">
        <v>0.1087364</v>
      </c>
      <c r="X4194">
        <v>0.96881200000000001</v>
      </c>
      <c r="Y4194">
        <v>-0.4366737</v>
      </c>
      <c r="Z4194">
        <v>1.5919949999999999E-2</v>
      </c>
      <c r="AA4194">
        <v>0.89947909999999998</v>
      </c>
      <c r="AB4194">
        <v>17</v>
      </c>
      <c r="AC4194">
        <v>-0.39349999999995999</v>
      </c>
      <c r="AD4194">
        <v>-6.5525999999999904E-2</v>
      </c>
      <c r="AE4194">
        <v>-0.84419999999999995</v>
      </c>
      <c r="AF4194">
        <v>-0.43594125386461202</v>
      </c>
      <c r="AG4194">
        <v>-6.5525999999999904E-2</v>
      </c>
      <c r="AH4194">
        <v>0.81789188428564397</v>
      </c>
      <c r="AI4194">
        <v>94.0440797442225</v>
      </c>
      <c r="AJ4194">
        <v>118.057881931811</v>
      </c>
      <c r="AK4194">
        <v>0.92913162031940999</v>
      </c>
      <c r="AL4194">
        <v>83.757519878654506</v>
      </c>
      <c r="AM4194">
        <v>102.943661447241</v>
      </c>
      <c r="AN4194">
        <v>0.99999993232752205</v>
      </c>
    </row>
    <row r="4195" spans="1:40" x14ac:dyDescent="0.25">
      <c r="A4195" t="str">
        <f>"20190303161955575"</f>
        <v>20190303161955575</v>
      </c>
      <c r="B4195" t="str">
        <f>"1551601195566364"</f>
        <v>1551601195566364</v>
      </c>
      <c r="C4195" t="s">
        <v>40</v>
      </c>
      <c r="D4195">
        <v>4.6956449999999998</v>
      </c>
      <c r="E4195">
        <v>0.4078736</v>
      </c>
      <c r="F4195" t="s">
        <v>41</v>
      </c>
      <c r="G4195">
        <v>-491.27929999999998</v>
      </c>
      <c r="H4195" s="1">
        <v>-1.314841E-6</v>
      </c>
      <c r="I4195">
        <v>261.86059999999998</v>
      </c>
      <c r="J4195">
        <v>-483.29489999999998</v>
      </c>
      <c r="K4195">
        <v>1.125184</v>
      </c>
      <c r="L4195">
        <v>277.64170000000001</v>
      </c>
      <c r="M4195">
        <v>-0.79673619999999901</v>
      </c>
      <c r="N4195">
        <v>-1.407948E-2</v>
      </c>
      <c r="O4195">
        <v>-0.60416320000000001</v>
      </c>
      <c r="P4195">
        <v>-0.6384611</v>
      </c>
      <c r="Q4195">
        <v>9.6668630000000005E-2</v>
      </c>
      <c r="R4195">
        <v>-0.7635594</v>
      </c>
      <c r="S4195">
        <v>-1.4117740000000001</v>
      </c>
      <c r="T4195">
        <v>-0.1974332</v>
      </c>
      <c r="U4195">
        <v>-2.7781370000000001</v>
      </c>
      <c r="V4195">
        <v>-0.22359860000000001</v>
      </c>
      <c r="W4195">
        <v>0.1083672</v>
      </c>
      <c r="X4195">
        <v>0.96863840000000001</v>
      </c>
      <c r="Y4195">
        <v>-0.4363012</v>
      </c>
      <c r="Z4195">
        <v>1.557411E-2</v>
      </c>
      <c r="AA4195">
        <v>0.89966590000000002</v>
      </c>
      <c r="AB4195">
        <v>17</v>
      </c>
      <c r="AC4195">
        <v>-7.9843999999999902</v>
      </c>
      <c r="AD4195">
        <v>-1.125185314841</v>
      </c>
      <c r="AE4195">
        <v>-15.7811</v>
      </c>
      <c r="AF4195">
        <v>-7.7190183403802104</v>
      </c>
      <c r="AG4195">
        <v>-1.125185314841</v>
      </c>
      <c r="AH4195">
        <v>15.8333105485427</v>
      </c>
      <c r="AI4195">
        <v>93.654956968042299</v>
      </c>
      <c r="AJ4195">
        <v>115.99005063413701</v>
      </c>
      <c r="AK4195">
        <v>17.650580983595201</v>
      </c>
      <c r="AL4195">
        <v>83.778800066931595</v>
      </c>
      <c r="AM4195">
        <v>102.998360452235</v>
      </c>
      <c r="AN4195">
        <v>1.0000000669561699</v>
      </c>
    </row>
    <row r="4196" spans="1:40" x14ac:dyDescent="0.25">
      <c r="A4196" t="str">
        <f>"20190303161955587"</f>
        <v>20190303161955587</v>
      </c>
      <c r="B4196" t="str">
        <f>"1551601195577100"</f>
        <v>1551601195577100</v>
      </c>
      <c r="C4196" t="s">
        <v>40</v>
      </c>
      <c r="D4196">
        <v>4.6845600000000003</v>
      </c>
      <c r="E4196">
        <v>0.40831020000000001</v>
      </c>
      <c r="F4196" t="s">
        <v>41</v>
      </c>
      <c r="G4196">
        <v>-491.05099999999999</v>
      </c>
      <c r="H4196" s="1">
        <v>-1.41026E-6</v>
      </c>
      <c r="I4196">
        <v>262.22460000000001</v>
      </c>
      <c r="J4196">
        <v>-483.36320000000001</v>
      </c>
      <c r="K4196">
        <v>1.1251639999999901</v>
      </c>
      <c r="L4196">
        <v>277.58370000000002</v>
      </c>
      <c r="M4196">
        <v>-0.7941298</v>
      </c>
      <c r="N4196">
        <v>-1.4073570000000001E-2</v>
      </c>
      <c r="O4196">
        <v>-0.60758540000000005</v>
      </c>
      <c r="P4196">
        <v>-0.63426000000000005</v>
      </c>
      <c r="Q4196">
        <v>9.6555349999999998E-2</v>
      </c>
      <c r="R4196">
        <v>-0.767067099999999</v>
      </c>
      <c r="S4196">
        <v>-1.4004209999999999</v>
      </c>
      <c r="T4196">
        <v>-0.20316020000000001</v>
      </c>
      <c r="U4196">
        <v>-2.7836609999999999</v>
      </c>
      <c r="V4196">
        <v>-0.2247547</v>
      </c>
      <c r="W4196">
        <v>0.1082458</v>
      </c>
      <c r="X4196">
        <v>0.96838429999999998</v>
      </c>
      <c r="Y4196">
        <v>-0.43607380000000001</v>
      </c>
      <c r="Z4196">
        <v>1.6582299999999901E-2</v>
      </c>
      <c r="AA4196">
        <v>0.89975819999999995</v>
      </c>
      <c r="AB4196">
        <v>17</v>
      </c>
      <c r="AC4196">
        <v>-7.6877999999999798</v>
      </c>
      <c r="AD4196">
        <v>-1.12516541025999</v>
      </c>
      <c r="AE4196">
        <v>-15.3591</v>
      </c>
      <c r="AF4196">
        <v>-7.4947053896623697</v>
      </c>
      <c r="AG4196">
        <v>-1.12516541025999</v>
      </c>
      <c r="AH4196">
        <v>15.372632322275001</v>
      </c>
      <c r="AI4196">
        <v>93.764083368284005</v>
      </c>
      <c r="AJ4196">
        <v>115.99088121811501</v>
      </c>
      <c r="AK4196">
        <v>17.139265754230301</v>
      </c>
      <c r="AL4196">
        <v>83.785796455443403</v>
      </c>
      <c r="AM4196">
        <v>103.066578289498</v>
      </c>
      <c r="AN4196">
        <v>0.99999999043810905</v>
      </c>
    </row>
    <row r="4197" spans="1:40" x14ac:dyDescent="0.25">
      <c r="A4197" t="str">
        <f>"20190303161955598"</f>
        <v>20190303161955598</v>
      </c>
      <c r="B4197" t="str">
        <f>"1551601195586860"</f>
        <v>1551601195586860</v>
      </c>
      <c r="C4197" t="s">
        <v>40</v>
      </c>
      <c r="D4197">
        <v>4.6756729999999997</v>
      </c>
      <c r="E4197">
        <v>0.40901199999999999</v>
      </c>
      <c r="F4197" t="s">
        <v>42</v>
      </c>
      <c r="G4197">
        <v>-483.80919999999998</v>
      </c>
      <c r="H4197">
        <v>1.0594079999999999</v>
      </c>
      <c r="I4197">
        <v>276.68819999999999</v>
      </c>
      <c r="J4197">
        <v>-483.42829999999998</v>
      </c>
      <c r="K4197">
        <v>1.1251439999999999</v>
      </c>
      <c r="L4197">
        <v>277.52780000000001</v>
      </c>
      <c r="M4197">
        <v>-0.79162140000000003</v>
      </c>
      <c r="N4197">
        <v>-1.4067649999999999E-2</v>
      </c>
      <c r="O4197">
        <v>-0.61085009999999995</v>
      </c>
      <c r="P4197">
        <v>-0.63036009999999998</v>
      </c>
      <c r="Q4197">
        <v>9.6593429999999994E-2</v>
      </c>
      <c r="R4197">
        <v>-0.77027019999999902</v>
      </c>
      <c r="S4197">
        <v>-1.3884890000000001</v>
      </c>
      <c r="T4197">
        <v>-0.20472299999999999</v>
      </c>
      <c r="U4197">
        <v>-2.7886959999999998</v>
      </c>
      <c r="V4197">
        <v>-0.22567319999999999</v>
      </c>
      <c r="W4197">
        <v>0.1082785</v>
      </c>
      <c r="X4197">
        <v>0.968167</v>
      </c>
      <c r="Y4197">
        <v>-0.43610310000000002</v>
      </c>
      <c r="Z4197">
        <v>1.7020110000000001E-2</v>
      </c>
      <c r="AA4197">
        <v>0.89973570000000003</v>
      </c>
      <c r="AB4197">
        <v>17</v>
      </c>
      <c r="AC4197">
        <v>-0.38089999999999602</v>
      </c>
      <c r="AD4197">
        <v>-6.5736000000000197E-2</v>
      </c>
      <c r="AE4197">
        <v>-0.839600000000018</v>
      </c>
      <c r="AF4197">
        <v>-0.42983010154740398</v>
      </c>
      <c r="AG4197">
        <v>-6.5736000000000197E-2</v>
      </c>
      <c r="AH4197">
        <v>0.81035922285653095</v>
      </c>
      <c r="AI4197">
        <v>94.0989589620917</v>
      </c>
      <c r="AJ4197">
        <v>117.942338244494</v>
      </c>
      <c r="AK4197">
        <v>0.91965059014872197</v>
      </c>
      <c r="AL4197">
        <v>83.783911761791799</v>
      </c>
      <c r="AM4197">
        <v>103.120976524024</v>
      </c>
      <c r="AN4197">
        <v>0.99999998332474405</v>
      </c>
    </row>
    <row r="4198" spans="1:40" x14ac:dyDescent="0.25">
      <c r="A4198" t="str">
        <f>"20190303161955610"</f>
        <v>20190303161955610</v>
      </c>
      <c r="B4198" t="str">
        <f>"1551601195596619"</f>
        <v>1551601195596619</v>
      </c>
      <c r="C4198" t="s">
        <v>40</v>
      </c>
      <c r="D4198">
        <v>4.6935659999999997</v>
      </c>
      <c r="E4198">
        <v>0.40852050000000001</v>
      </c>
      <c r="F4198" t="s">
        <v>41</v>
      </c>
      <c r="G4198">
        <v>-491.00630000000001</v>
      </c>
      <c r="H4198" s="1">
        <v>-1.381107E-6</v>
      </c>
      <c r="I4198">
        <v>262.18439999999998</v>
      </c>
      <c r="J4198">
        <v>-483.48790000000002</v>
      </c>
      <c r="K4198">
        <v>1.125124</v>
      </c>
      <c r="L4198">
        <v>277.47640000000001</v>
      </c>
      <c r="M4198">
        <v>-0.78931470000000004</v>
      </c>
      <c r="N4198">
        <v>-1.406229E-2</v>
      </c>
      <c r="O4198">
        <v>-0.61382799999999904</v>
      </c>
      <c r="P4198">
        <v>-0.6266081</v>
      </c>
      <c r="Q4198">
        <v>9.6905000000000005E-2</v>
      </c>
      <c r="R4198">
        <v>-0.77328640000000004</v>
      </c>
      <c r="S4198">
        <v>-1.3789670000000001</v>
      </c>
      <c r="T4198">
        <v>-0.20474390000000001</v>
      </c>
      <c r="U4198">
        <v>-2.7920530000000001</v>
      </c>
      <c r="V4198">
        <v>-0.22670100000000001</v>
      </c>
      <c r="W4198">
        <v>0.1085819</v>
      </c>
      <c r="X4198">
        <v>0.96789289999999994</v>
      </c>
      <c r="Y4198">
        <v>-0.4356122</v>
      </c>
      <c r="Z4198">
        <v>1.7252159999999999E-2</v>
      </c>
      <c r="AA4198">
        <v>0.89996909999999897</v>
      </c>
      <c r="AB4198">
        <v>17</v>
      </c>
      <c r="AC4198">
        <v>-7.5183999999999802</v>
      </c>
      <c r="AD4198">
        <v>-1.1251253811069899</v>
      </c>
      <c r="AE4198">
        <v>-15.292</v>
      </c>
      <c r="AF4198">
        <v>-7.4235683649830797</v>
      </c>
      <c r="AG4198">
        <v>-1.1251253811069899</v>
      </c>
      <c r="AH4198">
        <v>15.2560441108368</v>
      </c>
      <c r="AI4198">
        <v>93.794025975844605</v>
      </c>
      <c r="AJ4198">
        <v>115.947485489702</v>
      </c>
      <c r="AK4198">
        <v>17.003592452907998</v>
      </c>
      <c r="AL4198">
        <v>83.766425345968003</v>
      </c>
      <c r="AM4198">
        <v>103.182255143956</v>
      </c>
      <c r="AN4198">
        <v>1.0000000191395</v>
      </c>
    </row>
    <row r="4199" spans="1:40" x14ac:dyDescent="0.25">
      <c r="A4199" t="str">
        <f>"20190303161955621"</f>
        <v>20190303161955621</v>
      </c>
      <c r="B4199" t="str">
        <f>"1551601195617115"</f>
        <v>1551601195617115</v>
      </c>
      <c r="C4199" t="s">
        <v>40</v>
      </c>
      <c r="D4199">
        <v>4.4976500000000001</v>
      </c>
      <c r="E4199">
        <v>0.3683613</v>
      </c>
      <c r="F4199" t="s">
        <v>42</v>
      </c>
      <c r="G4199">
        <v>-483.92750000000001</v>
      </c>
      <c r="H4199">
        <v>1.059061</v>
      </c>
      <c r="I4199">
        <v>276.57330000000002</v>
      </c>
      <c r="J4199">
        <v>-483.5498</v>
      </c>
      <c r="K4199">
        <v>1.1251089999999999</v>
      </c>
      <c r="L4199">
        <v>277.42250000000001</v>
      </c>
      <c r="M4199">
        <v>-0.78689679999999995</v>
      </c>
      <c r="N4199">
        <v>-1.405668E-2</v>
      </c>
      <c r="O4199">
        <v>-0.61692449999999999</v>
      </c>
      <c r="P4199">
        <v>-0.62274309999999999</v>
      </c>
      <c r="Q4199">
        <v>9.7594310000000004E-2</v>
      </c>
      <c r="R4199">
        <v>-0.7763158</v>
      </c>
      <c r="S4199">
        <v>-1.3627929999999999</v>
      </c>
      <c r="T4199">
        <v>-0.2048295</v>
      </c>
      <c r="U4199">
        <v>-2.8009029999999999</v>
      </c>
      <c r="V4199">
        <v>-0.22766040000000001</v>
      </c>
      <c r="W4199">
        <v>0.1092631</v>
      </c>
      <c r="X4199">
        <v>0.96759099999999998</v>
      </c>
      <c r="Y4199">
        <v>-0.43739709999999898</v>
      </c>
      <c r="Z4199">
        <v>1.739943E-2</v>
      </c>
      <c r="AA4199">
        <v>0.89910009999999996</v>
      </c>
      <c r="AB4199">
        <v>17</v>
      </c>
      <c r="AC4199">
        <v>-0.37770000000000398</v>
      </c>
      <c r="AD4199">
        <v>-6.6047999999999801E-2</v>
      </c>
      <c r="AE4199">
        <v>-0.84919999999999596</v>
      </c>
      <c r="AF4199">
        <v>-0.43307626757872297</v>
      </c>
      <c r="AG4199">
        <v>-6.6047999999999801E-2</v>
      </c>
      <c r="AH4199">
        <v>0.81705804533128601</v>
      </c>
      <c r="AI4199">
        <v>94.085329659621706</v>
      </c>
      <c r="AJ4199">
        <v>117.92553336712299</v>
      </c>
      <c r="AK4199">
        <v>0.92709289787189098</v>
      </c>
      <c r="AL4199">
        <v>83.727161814181798</v>
      </c>
      <c r="AM4199">
        <v>103.240067085581</v>
      </c>
      <c r="AN4199">
        <v>1.0000000130153801</v>
      </c>
    </row>
    <row r="4200" spans="1:40" x14ac:dyDescent="0.25">
      <c r="A4200" t="str">
        <f>"20190303161955631"</f>
        <v>20190303161955631</v>
      </c>
      <c r="B4200" t="str">
        <f>"1551601195626876"</f>
        <v>1551601195626876</v>
      </c>
      <c r="C4200" t="s">
        <v>40</v>
      </c>
      <c r="D4200">
        <v>4.482342</v>
      </c>
      <c r="E4200">
        <v>0.35962100000000002</v>
      </c>
      <c r="F4200" t="s">
        <v>42</v>
      </c>
      <c r="G4200">
        <v>-483.85340000000002</v>
      </c>
      <c r="H4200">
        <v>1.058708</v>
      </c>
      <c r="I4200">
        <v>276.59440000000001</v>
      </c>
      <c r="J4200">
        <v>-483.6053</v>
      </c>
      <c r="K4200">
        <v>1.125102</v>
      </c>
      <c r="L4200">
        <v>277.37380000000002</v>
      </c>
      <c r="M4200">
        <v>-0.78472019999999998</v>
      </c>
      <c r="N4200">
        <v>-1.4051620000000001E-2</v>
      </c>
      <c r="O4200">
        <v>-0.61969079999999999</v>
      </c>
      <c r="P4200">
        <v>-0.61921389999999998</v>
      </c>
      <c r="Q4200">
        <v>9.8115880000000003E-2</v>
      </c>
      <c r="R4200">
        <v>-0.77906819999999999</v>
      </c>
      <c r="S4200">
        <v>-1.102875</v>
      </c>
      <c r="T4200">
        <v>-0.24131929999999999</v>
      </c>
      <c r="U4200">
        <v>-3.01004</v>
      </c>
      <c r="V4200">
        <v>-0.2285954</v>
      </c>
      <c r="W4200">
        <v>0.1097759</v>
      </c>
      <c r="X4200">
        <v>0.96731250000000002</v>
      </c>
      <c r="Y4200">
        <v>-0.5231228</v>
      </c>
      <c r="Z4200">
        <v>1.809962E-2</v>
      </c>
      <c r="AA4200">
        <v>0.85206510000000002</v>
      </c>
      <c r="AB4200">
        <v>17</v>
      </c>
      <c r="AC4200">
        <v>-0.248100000000022</v>
      </c>
      <c r="AD4200">
        <v>-6.6393999999999995E-2</v>
      </c>
      <c r="AE4200">
        <v>-0.77940000000000897</v>
      </c>
      <c r="AF4200">
        <v>-0.45491343470792001</v>
      </c>
      <c r="AG4200">
        <v>-6.6393999999999995E-2</v>
      </c>
      <c r="AH4200">
        <v>0.67330660729172298</v>
      </c>
      <c r="AI4200">
        <v>94.671120539271499</v>
      </c>
      <c r="AJ4200">
        <v>124.044566594299</v>
      </c>
      <c r="AK4200">
        <v>0.81528901853051305</v>
      </c>
      <c r="AL4200">
        <v>83.697602893909206</v>
      </c>
      <c r="AM4200">
        <v>103.29620858755</v>
      </c>
      <c r="AN4200">
        <v>1.0000000388890999</v>
      </c>
    </row>
    <row r="4201" spans="1:40" x14ac:dyDescent="0.25">
      <c r="A4201" t="str">
        <f>"20190303161955643"</f>
        <v>20190303161955643</v>
      </c>
      <c r="B4201" t="str">
        <f>"1551601195636636"</f>
        <v>1551601195636636</v>
      </c>
      <c r="C4201" t="s">
        <v>40</v>
      </c>
      <c r="D4201">
        <v>4.397303</v>
      </c>
      <c r="E4201">
        <v>0.35427969999999998</v>
      </c>
      <c r="F4201" t="s">
        <v>42</v>
      </c>
      <c r="G4201">
        <v>-483.91460000000001</v>
      </c>
      <c r="H4201">
        <v>1.0468150000000001</v>
      </c>
      <c r="I4201">
        <v>276.46159999999998</v>
      </c>
      <c r="J4201">
        <v>-483.67149999999998</v>
      </c>
      <c r="K4201">
        <v>1.1250849999999999</v>
      </c>
      <c r="L4201">
        <v>277.31529999999998</v>
      </c>
      <c r="M4201">
        <v>-0.78210269999999904</v>
      </c>
      <c r="N4201">
        <v>-1.404557E-2</v>
      </c>
      <c r="O4201">
        <v>-0.62299130000000003</v>
      </c>
      <c r="P4201">
        <v>-0.61542450000000004</v>
      </c>
      <c r="Q4201">
        <v>9.8408120000000002E-2</v>
      </c>
      <c r="R4201">
        <v>-0.78202869999999902</v>
      </c>
      <c r="S4201">
        <v>-1.037445</v>
      </c>
      <c r="T4201">
        <v>-0.2625633</v>
      </c>
      <c r="U4201">
        <v>-3.0592649999999999</v>
      </c>
      <c r="V4201">
        <v>-0.22918669999999999</v>
      </c>
      <c r="W4201">
        <v>0.1100641</v>
      </c>
      <c r="X4201">
        <v>0.96713979999999999</v>
      </c>
      <c r="Y4201">
        <v>-0.54001189999999999</v>
      </c>
      <c r="Z4201">
        <v>1.9970120000000001E-2</v>
      </c>
      <c r="AA4201">
        <v>0.84142050000000002</v>
      </c>
      <c r="AB4201">
        <v>17</v>
      </c>
      <c r="AC4201">
        <v>-0.24310000000002599</v>
      </c>
      <c r="AD4201">
        <v>-7.8270000000000006E-2</v>
      </c>
      <c r="AE4201">
        <v>-0.85370000000000301</v>
      </c>
      <c r="AF4201">
        <v>-0.51229950183258699</v>
      </c>
      <c r="AG4201">
        <v>-7.8270000000000006E-2</v>
      </c>
      <c r="AH4201">
        <v>0.71647719220767403</v>
      </c>
      <c r="AI4201">
        <v>95.078161487258399</v>
      </c>
      <c r="AJ4201">
        <v>125.565736850951</v>
      </c>
      <c r="AK4201">
        <v>0.884260447736813</v>
      </c>
      <c r="AL4201">
        <v>83.680989468921496</v>
      </c>
      <c r="AM4201">
        <v>103.331670576538</v>
      </c>
      <c r="AN4201">
        <v>1.0000000211548601</v>
      </c>
    </row>
    <row r="4202" spans="1:40" x14ac:dyDescent="0.25">
      <c r="A4202" t="str">
        <f>"20190303161955656"</f>
        <v>20190303161955656</v>
      </c>
      <c r="B4202" t="str">
        <f>"1551601195646396"</f>
        <v>1551601195646396</v>
      </c>
      <c r="C4202" t="s">
        <v>40</v>
      </c>
      <c r="D4202">
        <v>4.3886799999999999</v>
      </c>
      <c r="E4202">
        <v>0.35129349999999998</v>
      </c>
      <c r="F4202" t="s">
        <v>42</v>
      </c>
      <c r="G4202">
        <v>-483.93900000000002</v>
      </c>
      <c r="H4202">
        <v>1.0466310000000001</v>
      </c>
      <c r="I4202">
        <v>276.48160000000001</v>
      </c>
      <c r="J4202">
        <v>-483.73630000000003</v>
      </c>
      <c r="K4202">
        <v>1.1250690000000001</v>
      </c>
      <c r="L4202">
        <v>277.25749999999999</v>
      </c>
      <c r="M4202">
        <v>-0.77952299999999997</v>
      </c>
      <c r="N4202">
        <v>-1.404152E-2</v>
      </c>
      <c r="O4202">
        <v>-0.62621599999999999</v>
      </c>
      <c r="P4202">
        <v>-0.61173509999999998</v>
      </c>
      <c r="Q4202">
        <v>9.840256E-2</v>
      </c>
      <c r="R4202">
        <v>-0.78491840000000002</v>
      </c>
      <c r="S4202">
        <v>-0.99212650000000002</v>
      </c>
      <c r="T4202">
        <v>-0.29099360000000002</v>
      </c>
      <c r="U4202">
        <v>-3.0920100000000001</v>
      </c>
      <c r="V4202">
        <v>-0.22974359999999999</v>
      </c>
      <c r="W4202">
        <v>0.1100555</v>
      </c>
      <c r="X4202">
        <v>0.96700870000000005</v>
      </c>
      <c r="Y4202">
        <v>-0.55024319999999904</v>
      </c>
      <c r="Z4202">
        <v>2.3019649999999999E-2</v>
      </c>
      <c r="AA4202">
        <v>0.83468709999999902</v>
      </c>
      <c r="AB4202">
        <v>17</v>
      </c>
      <c r="AC4202">
        <v>-0.202699999999993</v>
      </c>
      <c r="AD4202">
        <v>-7.8438000000000202E-2</v>
      </c>
      <c r="AE4202">
        <v>-0.77589999999997805</v>
      </c>
      <c r="AF4202">
        <v>-0.47341599071702101</v>
      </c>
      <c r="AG4202">
        <v>-7.8438000000000202E-2</v>
      </c>
      <c r="AH4202">
        <v>0.63785164025964003</v>
      </c>
      <c r="AI4202">
        <v>95.639447994726396</v>
      </c>
      <c r="AJ4202">
        <v>126.58294962434201</v>
      </c>
      <c r="AK4202">
        <v>0.79820419385799601</v>
      </c>
      <c r="AL4202">
        <v>83.681485599884297</v>
      </c>
      <c r="AM4202">
        <v>103.36465111983399</v>
      </c>
      <c r="AN4202">
        <v>1.0000000803484399</v>
      </c>
    </row>
    <row r="4203" spans="1:40" x14ac:dyDescent="0.25">
      <c r="A4203" t="str">
        <f>"20190303161955668"</f>
        <v>20190303161955668</v>
      </c>
      <c r="B4203" t="str">
        <f>"1551601195657131"</f>
        <v>1551601195657131</v>
      </c>
      <c r="C4203" t="s">
        <v>40</v>
      </c>
      <c r="D4203">
        <v>4.3599769999999998</v>
      </c>
      <c r="E4203">
        <v>0.34906569999999998</v>
      </c>
      <c r="F4203" t="s">
        <v>42</v>
      </c>
      <c r="G4203">
        <v>-484.01319999999998</v>
      </c>
      <c r="H4203">
        <v>1.03664</v>
      </c>
      <c r="I4203">
        <v>276.36009999999999</v>
      </c>
      <c r="J4203">
        <v>-483.80759999999998</v>
      </c>
      <c r="K4203">
        <v>1.125057</v>
      </c>
      <c r="L4203">
        <v>277.19349999999997</v>
      </c>
      <c r="M4203">
        <v>-0.77666290000000004</v>
      </c>
      <c r="N4203">
        <v>-1.4038419999999999E-2</v>
      </c>
      <c r="O4203">
        <v>-0.62976019999999999</v>
      </c>
      <c r="P4203">
        <v>-0.60779530000000004</v>
      </c>
      <c r="Q4203">
        <v>9.7978990000000002E-2</v>
      </c>
      <c r="R4203">
        <v>-0.78802620000000001</v>
      </c>
      <c r="S4203">
        <v>-0.96038820000000003</v>
      </c>
      <c r="T4203">
        <v>-0.30666450000000001</v>
      </c>
      <c r="U4203">
        <v>-3.1120909999999999</v>
      </c>
      <c r="V4203">
        <v>-0.23021820000000001</v>
      </c>
      <c r="W4203">
        <v>0.1096323</v>
      </c>
      <c r="X4203">
        <v>0.96694380000000002</v>
      </c>
      <c r="Y4203">
        <v>-0.55569250000000003</v>
      </c>
      <c r="Z4203">
        <v>2.48705E-2</v>
      </c>
      <c r="AA4203">
        <v>0.83101579999999997</v>
      </c>
      <c r="AB4203">
        <v>17</v>
      </c>
      <c r="AC4203">
        <v>-0.205600000000003</v>
      </c>
      <c r="AD4203">
        <v>-8.8416999999999898E-2</v>
      </c>
      <c r="AE4203">
        <v>-0.83339999999998304</v>
      </c>
      <c r="AF4203">
        <v>-0.51240661233486096</v>
      </c>
      <c r="AG4203">
        <v>-8.8416999999999898E-2</v>
      </c>
      <c r="AH4203">
        <v>0.67740431481410301</v>
      </c>
      <c r="AI4203">
        <v>95.942891343146499</v>
      </c>
      <c r="AJ4203">
        <v>127.1048288954</v>
      </c>
      <c r="AK4203">
        <v>0.85396411398972305</v>
      </c>
      <c r="AL4203">
        <v>83.705880198403094</v>
      </c>
      <c r="AM4203">
        <v>103.392132460596</v>
      </c>
      <c r="AN4203">
        <v>0.99999998658648404</v>
      </c>
    </row>
    <row r="4204" spans="1:40" x14ac:dyDescent="0.25">
      <c r="A4204" t="str">
        <f>"20190303161955681"</f>
        <v>20190303161955681</v>
      </c>
      <c r="B4204" t="str">
        <f>"1551601195676652"</f>
        <v>1551601195676652</v>
      </c>
      <c r="C4204" t="s">
        <v>40</v>
      </c>
      <c r="D4204">
        <v>4.5015489999999998</v>
      </c>
      <c r="E4204">
        <v>0.347705599999999</v>
      </c>
      <c r="F4204" t="s">
        <v>42</v>
      </c>
      <c r="G4204">
        <v>-484.09120000000001</v>
      </c>
      <c r="H4204">
        <v>1.0267520000000001</v>
      </c>
      <c r="I4204">
        <v>276.24239999999998</v>
      </c>
      <c r="J4204">
        <v>-483.87790000000001</v>
      </c>
      <c r="K4204">
        <v>1.125041</v>
      </c>
      <c r="L4204">
        <v>277.12970000000001</v>
      </c>
      <c r="M4204">
        <v>-0.77381750000000005</v>
      </c>
      <c r="N4204">
        <v>-1.403802E-2</v>
      </c>
      <c r="O4204">
        <v>-0.63325319999999996</v>
      </c>
      <c r="P4204">
        <v>-0.60413090000000003</v>
      </c>
      <c r="Q4204">
        <v>9.7812940000000001E-2</v>
      </c>
      <c r="R4204">
        <v>-0.79085950000000005</v>
      </c>
      <c r="S4204">
        <v>-0.93249510000000002</v>
      </c>
      <c r="T4204">
        <v>-0.32326559999999999</v>
      </c>
      <c r="U4204">
        <v>-3.1279910000000002</v>
      </c>
      <c r="V4204">
        <v>-0.2303606</v>
      </c>
      <c r="W4204">
        <v>0.1094721</v>
      </c>
      <c r="X4204">
        <v>0.96692809999999996</v>
      </c>
      <c r="Y4204">
        <v>-0.55986519999999995</v>
      </c>
      <c r="Z4204">
        <v>2.6932330000000001E-2</v>
      </c>
      <c r="AA4204">
        <v>0.82814589999999999</v>
      </c>
      <c r="AB4204">
        <v>17</v>
      </c>
      <c r="AC4204">
        <v>-0.21330000000000299</v>
      </c>
      <c r="AD4204">
        <v>-9.8288999999999793E-2</v>
      </c>
      <c r="AE4204">
        <v>-0.88730000000003795</v>
      </c>
      <c r="AF4204">
        <v>-0.54526441313722296</v>
      </c>
      <c r="AG4204">
        <v>-9.8288999999999793E-2</v>
      </c>
      <c r="AH4204">
        <v>0.71867553296258802</v>
      </c>
      <c r="AI4204">
        <v>96.218088441727801</v>
      </c>
      <c r="AJ4204">
        <v>127.187858067256</v>
      </c>
      <c r="AK4204">
        <v>0.90745166782255704</v>
      </c>
      <c r="AL4204">
        <v>83.715114955227904</v>
      </c>
      <c r="AM4204">
        <v>103.40032711756101</v>
      </c>
      <c r="AN4204">
        <v>1.0000000486401801</v>
      </c>
    </row>
    <row r="4205" spans="1:40" x14ac:dyDescent="0.25">
      <c r="A4205" t="str">
        <f>"20190303161955696"</f>
        <v>20190303161955696</v>
      </c>
      <c r="B4205" t="str">
        <f>"1551601195686411"</f>
        <v>1551601195686411</v>
      </c>
      <c r="C4205" t="s">
        <v>40</v>
      </c>
      <c r="D4205">
        <v>4.5232020000000004</v>
      </c>
      <c r="E4205">
        <v>0.34747250000000002</v>
      </c>
      <c r="F4205" t="s">
        <v>42</v>
      </c>
      <c r="G4205">
        <v>-484.1268</v>
      </c>
      <c r="H4205">
        <v>1.0375669999999999</v>
      </c>
      <c r="I4205">
        <v>276.2706</v>
      </c>
      <c r="J4205">
        <v>-483.95389999999998</v>
      </c>
      <c r="K4205">
        <v>1.125027</v>
      </c>
      <c r="L4205">
        <v>277.06</v>
      </c>
      <c r="M4205">
        <v>-0.77070859999999997</v>
      </c>
      <c r="N4205">
        <v>-1.403945E-2</v>
      </c>
      <c r="O4205">
        <v>-0.63703319999999997</v>
      </c>
      <c r="P4205">
        <v>-0.60030340000000004</v>
      </c>
      <c r="Q4205">
        <v>9.7412369999999998E-2</v>
      </c>
      <c r="R4205">
        <v>-0.79381789999999997</v>
      </c>
      <c r="S4205">
        <v>-0.90887450000000003</v>
      </c>
      <c r="T4205">
        <v>-0.31953759999999998</v>
      </c>
      <c r="U4205">
        <v>-3.1385800000000001</v>
      </c>
      <c r="V4205">
        <v>-0.23033000000000001</v>
      </c>
      <c r="W4205">
        <v>0.1090815</v>
      </c>
      <c r="X4205">
        <v>0.96697949999999999</v>
      </c>
      <c r="Y4205">
        <v>-0.56232199999999999</v>
      </c>
      <c r="Z4205">
        <v>2.6722889999999999E-2</v>
      </c>
      <c r="AA4205">
        <v>0.82648650000000001</v>
      </c>
      <c r="AB4205">
        <v>17</v>
      </c>
      <c r="AC4205">
        <v>-0.17290000000002601</v>
      </c>
      <c r="AD4205">
        <v>-8.7460000000000093E-2</v>
      </c>
      <c r="AE4205">
        <v>-0.78939999999999999</v>
      </c>
      <c r="AF4205">
        <v>-0.49253426250774002</v>
      </c>
      <c r="AG4205">
        <v>-8.7460000000000093E-2</v>
      </c>
      <c r="AH4205">
        <v>0.62882662228074504</v>
      </c>
      <c r="AI4205">
        <v>96.248714871418997</v>
      </c>
      <c r="AJ4205">
        <v>128.070150902173</v>
      </c>
      <c r="AK4205">
        <v>0.803531064883651</v>
      </c>
      <c r="AL4205">
        <v>83.737629324626994</v>
      </c>
      <c r="AM4205">
        <v>103.397924749756</v>
      </c>
      <c r="AN4205">
        <v>1.0000000179812401</v>
      </c>
    </row>
    <row r="4206" spans="1:40" x14ac:dyDescent="0.25">
      <c r="A4206" t="str">
        <f>"20190303161955708"</f>
        <v>20190303161955708</v>
      </c>
      <c r="B4206" t="str">
        <f>"1551601195697148"</f>
        <v>1551601195697148</v>
      </c>
      <c r="C4206" t="s">
        <v>40</v>
      </c>
      <c r="D4206">
        <v>4.4979300000000002</v>
      </c>
      <c r="E4206">
        <v>0.34741640000000001</v>
      </c>
      <c r="F4206" t="s">
        <v>42</v>
      </c>
      <c r="G4206">
        <v>-484.21030000000002</v>
      </c>
      <c r="H4206">
        <v>1.0327299999999999</v>
      </c>
      <c r="I4206">
        <v>276.15750000000003</v>
      </c>
      <c r="J4206">
        <v>-484.02170000000001</v>
      </c>
      <c r="K4206">
        <v>1.1250199999999999</v>
      </c>
      <c r="L4206">
        <v>276.99740000000003</v>
      </c>
      <c r="M4206">
        <v>-0.76791419999999999</v>
      </c>
      <c r="N4206">
        <v>-1.404149E-2</v>
      </c>
      <c r="O4206">
        <v>-0.64039889999999999</v>
      </c>
      <c r="P4206">
        <v>-0.59674659999999902</v>
      </c>
      <c r="Q4206">
        <v>9.7045820000000005E-2</v>
      </c>
      <c r="R4206">
        <v>-0.79653999999999903</v>
      </c>
      <c r="S4206">
        <v>-0.89257809999999904</v>
      </c>
      <c r="T4206">
        <v>-0.32143660000000002</v>
      </c>
      <c r="U4206">
        <v>-3.1436769999999998</v>
      </c>
      <c r="V4206">
        <v>-0.23045350000000001</v>
      </c>
      <c r="W4206">
        <v>0.1087222</v>
      </c>
      <c r="X4206">
        <v>0.96699049999999998</v>
      </c>
      <c r="Y4206">
        <v>-0.56302140000000001</v>
      </c>
      <c r="Z4206">
        <v>2.7285810000000001E-2</v>
      </c>
      <c r="AA4206">
        <v>0.8259917</v>
      </c>
      <c r="AB4206">
        <v>17</v>
      </c>
      <c r="AC4206">
        <v>-0.18860000000000801</v>
      </c>
      <c r="AD4206">
        <v>-9.2290000000000205E-2</v>
      </c>
      <c r="AE4206">
        <v>-0.83989999999999998</v>
      </c>
      <c r="AF4206">
        <v>-0.51828611490237197</v>
      </c>
      <c r="AG4206">
        <v>-9.2290000000000205E-2</v>
      </c>
      <c r="AH4206">
        <v>0.67500804325483399</v>
      </c>
      <c r="AI4206">
        <v>96.189239131858699</v>
      </c>
      <c r="AJ4206">
        <v>127.51785186693201</v>
      </c>
      <c r="AK4206">
        <v>0.85602207883869097</v>
      </c>
      <c r="AL4206">
        <v>83.758338628310895</v>
      </c>
      <c r="AM4206">
        <v>103.40470233804101</v>
      </c>
      <c r="AN4206">
        <v>0.99999997976266897</v>
      </c>
    </row>
    <row r="4207" spans="1:40" x14ac:dyDescent="0.25">
      <c r="A4207" t="str">
        <f>"20190303161955719"</f>
        <v>20190303161955719</v>
      </c>
      <c r="B4207" t="str">
        <f>"1551601195716668"</f>
        <v>1551601195716668</v>
      </c>
      <c r="C4207" t="s">
        <v>40</v>
      </c>
      <c r="D4207">
        <v>4.5318230000000002</v>
      </c>
      <c r="E4207">
        <v>0.34780470000000002</v>
      </c>
      <c r="F4207" t="s">
        <v>42</v>
      </c>
      <c r="G4207">
        <v>-484.28859999999997</v>
      </c>
      <c r="H4207">
        <v>1.0275240000000001</v>
      </c>
      <c r="I4207">
        <v>276.04079999999999</v>
      </c>
      <c r="J4207">
        <v>-484.08049999999997</v>
      </c>
      <c r="K4207">
        <v>1.1250119999999999</v>
      </c>
      <c r="L4207">
        <v>276.94260000000003</v>
      </c>
      <c r="M4207">
        <v>-0.76546819999999904</v>
      </c>
      <c r="N4207">
        <v>-1.404365E-2</v>
      </c>
      <c r="O4207">
        <v>-0.64332069999999997</v>
      </c>
      <c r="P4207">
        <v>-0.59376509999999905</v>
      </c>
      <c r="Q4207">
        <v>9.7097260000000005E-2</v>
      </c>
      <c r="R4207">
        <v>-0.79875859999999999</v>
      </c>
      <c r="S4207">
        <v>-0.87774660000000004</v>
      </c>
      <c r="T4207">
        <v>-0.32077050000000001</v>
      </c>
      <c r="U4207">
        <v>-3.1477970000000002</v>
      </c>
      <c r="V4207">
        <v>-0.23037589999999999</v>
      </c>
      <c r="W4207">
        <v>0.1087815</v>
      </c>
      <c r="X4207">
        <v>0.96700229999999998</v>
      </c>
      <c r="Y4207">
        <v>-0.56376839999999995</v>
      </c>
      <c r="Z4207">
        <v>2.7489619999999999E-2</v>
      </c>
      <c r="AA4207">
        <v>0.82547530000000002</v>
      </c>
      <c r="AB4207">
        <v>16</v>
      </c>
      <c r="AC4207">
        <v>-0.20810000000000101</v>
      </c>
      <c r="AD4207">
        <v>-9.7488000000000199E-2</v>
      </c>
      <c r="AE4207">
        <v>-0.90180000000003602</v>
      </c>
      <c r="AF4207">
        <v>-0.55037227433265501</v>
      </c>
      <c r="AG4207">
        <v>-9.7488000000000199E-2</v>
      </c>
      <c r="AH4207">
        <v>0.73139806367621496</v>
      </c>
      <c r="AI4207">
        <v>96.079332007853097</v>
      </c>
      <c r="AJ4207">
        <v>126.961222434462</v>
      </c>
      <c r="AK4207">
        <v>0.92051978688533198</v>
      </c>
      <c r="AL4207">
        <v>83.7549205872361</v>
      </c>
      <c r="AM4207">
        <v>103.40019382111301</v>
      </c>
      <c r="AN4207">
        <v>0.99999995912417405</v>
      </c>
    </row>
    <row r="4208" spans="1:40" x14ac:dyDescent="0.25">
      <c r="A4208" t="str">
        <f>"20190303161955730"</f>
        <v>20190303161955730</v>
      </c>
      <c r="B4208" t="str">
        <f>"1551601195726428"</f>
        <v>1551601195726428</v>
      </c>
      <c r="C4208" t="s">
        <v>40</v>
      </c>
      <c r="D4208">
        <v>4.6733929999999999</v>
      </c>
      <c r="E4208">
        <v>0.34925499999999998</v>
      </c>
      <c r="F4208" t="s">
        <v>42</v>
      </c>
      <c r="G4208">
        <v>-484.32209999999998</v>
      </c>
      <c r="H4208">
        <v>1.0367759999999999</v>
      </c>
      <c r="I4208">
        <v>276.06670000000003</v>
      </c>
      <c r="J4208">
        <v>-484.1379</v>
      </c>
      <c r="K4208">
        <v>1.1250039999999999</v>
      </c>
      <c r="L4208">
        <v>276.88869999999997</v>
      </c>
      <c r="M4208">
        <v>-0.7630595</v>
      </c>
      <c r="N4208">
        <v>-1.404568E-2</v>
      </c>
      <c r="O4208">
        <v>-0.64617579999999997</v>
      </c>
      <c r="P4208">
        <v>-0.59095690000000001</v>
      </c>
      <c r="Q4208">
        <v>9.7103729999999999E-2</v>
      </c>
      <c r="R4208">
        <v>-0.80083760000000004</v>
      </c>
      <c r="S4208">
        <v>-0.867981</v>
      </c>
      <c r="T4208">
        <v>-0.31715549999999998</v>
      </c>
      <c r="U4208">
        <v>-3.1491389999999999</v>
      </c>
      <c r="V4208">
        <v>-0.23015559999999999</v>
      </c>
      <c r="W4208">
        <v>0.10879709999999999</v>
      </c>
      <c r="X4208">
        <v>0.9670531</v>
      </c>
      <c r="Y4208">
        <v>-0.56317019999999995</v>
      </c>
      <c r="Z4208">
        <v>2.7409139999999999E-2</v>
      </c>
      <c r="AA4208">
        <v>0.82588619999999902</v>
      </c>
      <c r="AB4208">
        <v>16</v>
      </c>
      <c r="AC4208">
        <v>-0.18419999999997499</v>
      </c>
      <c r="AD4208">
        <v>-8.8228000000000195E-2</v>
      </c>
      <c r="AE4208">
        <v>-0.821999999999945</v>
      </c>
      <c r="AF4208">
        <v>-0.50274449398177201</v>
      </c>
      <c r="AG4208">
        <v>-8.8228000000000195E-2</v>
      </c>
      <c r="AH4208">
        <v>0.66448907128369905</v>
      </c>
      <c r="AI4208">
        <v>96.044229906360798</v>
      </c>
      <c r="AJ4208">
        <v>127.110714053927</v>
      </c>
      <c r="AK4208">
        <v>0.83790329517699202</v>
      </c>
      <c r="AL4208">
        <v>83.754022029494493</v>
      </c>
      <c r="AM4208">
        <v>103.38716331096199</v>
      </c>
      <c r="AN4208">
        <v>1.00000005369968</v>
      </c>
    </row>
    <row r="4209" spans="1:40" x14ac:dyDescent="0.25">
      <c r="A4209" t="str">
        <f>"20190303161955742"</f>
        <v>20190303161955742</v>
      </c>
      <c r="B4209" t="str">
        <f>"1551601195737163"</f>
        <v>1551601195737163</v>
      </c>
      <c r="C4209" t="s">
        <v>40</v>
      </c>
      <c r="D4209">
        <v>4.6769299999999996</v>
      </c>
      <c r="E4209">
        <v>0.35068939999999998</v>
      </c>
      <c r="F4209" t="s">
        <v>42</v>
      </c>
      <c r="G4209">
        <v>-484.3974</v>
      </c>
      <c r="H4209">
        <v>1.0300819999999999</v>
      </c>
      <c r="I4209">
        <v>275.94810000000001</v>
      </c>
      <c r="J4209">
        <v>-484.19929999999999</v>
      </c>
      <c r="K4209">
        <v>1.124995</v>
      </c>
      <c r="L4209">
        <v>276.83069999999998</v>
      </c>
      <c r="M4209">
        <v>-0.76046539999999996</v>
      </c>
      <c r="N4209">
        <v>-1.4047749999999999E-2</v>
      </c>
      <c r="O4209">
        <v>-0.64922639999999998</v>
      </c>
      <c r="P4209">
        <v>-0.58792259999999996</v>
      </c>
      <c r="Q4209">
        <v>9.6891110000000003E-2</v>
      </c>
      <c r="R4209">
        <v>-0.80309359999999996</v>
      </c>
      <c r="S4209">
        <v>-0.866394</v>
      </c>
      <c r="T4209">
        <v>-0.31723079999999998</v>
      </c>
      <c r="U4209">
        <v>-3.1451720000000001</v>
      </c>
      <c r="V4209">
        <v>-0.22995640000000001</v>
      </c>
      <c r="W4209">
        <v>0.1085938</v>
      </c>
      <c r="X4209">
        <v>0.96712330000000002</v>
      </c>
      <c r="Y4209">
        <v>-0.55999569999999999</v>
      </c>
      <c r="Z4209">
        <v>2.7986750000000001E-2</v>
      </c>
      <c r="AA4209">
        <v>0.828022699999999</v>
      </c>
      <c r="AB4209">
        <v>16</v>
      </c>
      <c r="AC4209">
        <v>-0.19810000000000999</v>
      </c>
      <c r="AD4209">
        <v>-9.4912999999999997E-2</v>
      </c>
      <c r="AE4209">
        <v>-0.88259999999996797</v>
      </c>
      <c r="AF4209">
        <v>-0.53671943451941695</v>
      </c>
      <c r="AG4209">
        <v>-9.4912999999999997E-2</v>
      </c>
      <c r="AH4209">
        <v>0.71584558288363098</v>
      </c>
      <c r="AI4209">
        <v>96.055440225490202</v>
      </c>
      <c r="AJ4209">
        <v>126.861457234253</v>
      </c>
      <c r="AK4209">
        <v>0.89972836317071203</v>
      </c>
      <c r="AL4209">
        <v>83.765739465590897</v>
      </c>
      <c r="AM4209">
        <v>103.37505727310599</v>
      </c>
      <c r="AN4209">
        <v>1.0000000183511399</v>
      </c>
    </row>
    <row r="4210" spans="1:40" x14ac:dyDescent="0.25">
      <c r="A4210" t="str">
        <f>"20190303161955753"</f>
        <v>20190303161955753</v>
      </c>
      <c r="B4210" t="str">
        <f>"1551601195746924"</f>
        <v>1551601195746924</v>
      </c>
      <c r="C4210" t="s">
        <v>40</v>
      </c>
      <c r="D4210">
        <v>4.699128</v>
      </c>
      <c r="E4210">
        <v>0.35194189999999997</v>
      </c>
      <c r="F4210" t="s">
        <v>42</v>
      </c>
      <c r="G4210">
        <v>-484.43430000000001</v>
      </c>
      <c r="H4210">
        <v>1.038934</v>
      </c>
      <c r="I4210">
        <v>275.97620000000001</v>
      </c>
      <c r="J4210">
        <v>-484.25689999999997</v>
      </c>
      <c r="K4210">
        <v>1.1249880000000001</v>
      </c>
      <c r="L4210">
        <v>276.7756</v>
      </c>
      <c r="M4210">
        <v>-0.7580017</v>
      </c>
      <c r="N4210">
        <v>-1.404945E-2</v>
      </c>
      <c r="O4210">
        <v>-0.65210119999999905</v>
      </c>
      <c r="P4210">
        <v>-0.58489199999999997</v>
      </c>
      <c r="Q4210">
        <v>9.6490350000000003E-2</v>
      </c>
      <c r="R4210">
        <v>-0.80535119999999905</v>
      </c>
      <c r="S4210">
        <v>-0.86306759999999905</v>
      </c>
      <c r="T4210">
        <v>-0.31626310000000002</v>
      </c>
      <c r="U4210">
        <v>-3.1419069999999998</v>
      </c>
      <c r="V4210">
        <v>-0.22997049999999999</v>
      </c>
      <c r="W4210">
        <v>0.1081994</v>
      </c>
      <c r="X4210">
        <v>0.96716420000000003</v>
      </c>
      <c r="Y4210">
        <v>-0.55746850000000003</v>
      </c>
      <c r="Z4210">
        <v>2.8373289999999999E-2</v>
      </c>
      <c r="AA4210">
        <v>0.82971299999999903</v>
      </c>
      <c r="AB4210">
        <v>16</v>
      </c>
      <c r="AC4210">
        <v>-0.177400000000034</v>
      </c>
      <c r="AD4210">
        <v>-8.6053999999999797E-2</v>
      </c>
      <c r="AE4210">
        <v>-0.79939999999999101</v>
      </c>
      <c r="AF4210">
        <v>-0.48495623719025299</v>
      </c>
      <c r="AG4210">
        <v>-8.6053999999999797E-2</v>
      </c>
      <c r="AH4210">
        <v>0.648659987939464</v>
      </c>
      <c r="AI4210">
        <v>96.065051266610695</v>
      </c>
      <c r="AJ4210">
        <v>126.782811497035</v>
      </c>
      <c r="AK4210">
        <v>0.81446155394797803</v>
      </c>
      <c r="AL4210">
        <v>83.788471153671196</v>
      </c>
      <c r="AM4210">
        <v>103.375302586636</v>
      </c>
      <c r="AN4210">
        <v>1.0000000653961201</v>
      </c>
    </row>
    <row r="4211" spans="1:40" x14ac:dyDescent="0.25">
      <c r="A4211" t="str">
        <f>"20190303161955764"</f>
        <v>20190303161955764</v>
      </c>
      <c r="B4211" t="str">
        <f>"1551601195756684"</f>
        <v>1551601195756684</v>
      </c>
      <c r="C4211" t="s">
        <v>40</v>
      </c>
      <c r="D4211">
        <v>4.7014279999999999</v>
      </c>
      <c r="E4211">
        <v>0.3531531</v>
      </c>
      <c r="F4211" t="s">
        <v>42</v>
      </c>
      <c r="G4211">
        <v>-484.50839999999999</v>
      </c>
      <c r="H4211">
        <v>1.0323439999999999</v>
      </c>
      <c r="I4211">
        <v>275.85700000000003</v>
      </c>
      <c r="J4211">
        <v>-484.31650000000002</v>
      </c>
      <c r="K4211">
        <v>1.124979</v>
      </c>
      <c r="L4211">
        <v>276.71850000000001</v>
      </c>
      <c r="M4211">
        <v>-0.75544049999999996</v>
      </c>
      <c r="N4211">
        <v>-1.405116E-2</v>
      </c>
      <c r="O4211">
        <v>-0.65506699999999995</v>
      </c>
      <c r="P4211">
        <v>-0.5817388</v>
      </c>
      <c r="Q4211">
        <v>9.5941189999999996E-2</v>
      </c>
      <c r="R4211">
        <v>-0.80769769999999996</v>
      </c>
      <c r="S4211">
        <v>-0.85919190000000001</v>
      </c>
      <c r="T4211">
        <v>-0.31654949999999998</v>
      </c>
      <c r="U4211">
        <v>-3.139008</v>
      </c>
      <c r="V4211">
        <v>-0.23000490000000001</v>
      </c>
      <c r="W4211">
        <v>0.1076561</v>
      </c>
      <c r="X4211">
        <v>0.96721659999999998</v>
      </c>
      <c r="Y4211">
        <v>-0.55498440000000004</v>
      </c>
      <c r="Z4211">
        <v>2.892525E-2</v>
      </c>
      <c r="AA4211">
        <v>0.83135769999999998</v>
      </c>
      <c r="AB4211">
        <v>16</v>
      </c>
      <c r="AC4211">
        <v>-0.19189999999997501</v>
      </c>
      <c r="AD4211">
        <v>-9.2634999999999995E-2</v>
      </c>
      <c r="AE4211">
        <v>-0.86149999999997795</v>
      </c>
      <c r="AF4211">
        <v>-0.51943444653914395</v>
      </c>
      <c r="AG4211">
        <v>-9.2634999999999995E-2</v>
      </c>
      <c r="AH4211">
        <v>0.70164998650031096</v>
      </c>
      <c r="AI4211">
        <v>96.057069793458197</v>
      </c>
      <c r="AJ4211">
        <v>126.51270244977501</v>
      </c>
      <c r="AK4211">
        <v>0.87789867925194798</v>
      </c>
      <c r="AL4211">
        <v>83.819782570859402</v>
      </c>
      <c r="AM4211">
        <v>103.37653273196</v>
      </c>
      <c r="AN4211">
        <v>1.0000000206033799</v>
      </c>
    </row>
    <row r="4212" spans="1:40" x14ac:dyDescent="0.25">
      <c r="A4212" t="str">
        <f>"20190303161955776"</f>
        <v>20190303161955776</v>
      </c>
      <c r="B4212" t="str">
        <f>"1551601195766444"</f>
        <v>1551601195766444</v>
      </c>
      <c r="C4212" t="s">
        <v>40</v>
      </c>
      <c r="D4212">
        <v>4.7032410000000002</v>
      </c>
      <c r="E4212">
        <v>0.3531531</v>
      </c>
      <c r="F4212" t="s">
        <v>42</v>
      </c>
      <c r="G4212">
        <v>-484.54399999999998</v>
      </c>
      <c r="H4212">
        <v>1.0405260000000001</v>
      </c>
      <c r="I4212">
        <v>275.88369999999998</v>
      </c>
      <c r="J4212">
        <v>-484.37389999999999</v>
      </c>
      <c r="K4212">
        <v>1.124973</v>
      </c>
      <c r="L4212">
        <v>276.66289999999998</v>
      </c>
      <c r="M4212">
        <v>-0.75294740000000004</v>
      </c>
      <c r="N4212">
        <v>-1.405261E-2</v>
      </c>
      <c r="O4212">
        <v>-0.65793069999999998</v>
      </c>
      <c r="P4212">
        <v>-0.57858920000000003</v>
      </c>
      <c r="Q4212">
        <v>9.5523830000000004E-2</v>
      </c>
      <c r="R4212">
        <v>-0.81000629999999996</v>
      </c>
      <c r="S4212">
        <v>-0.85452269999999897</v>
      </c>
      <c r="T4212">
        <v>-0.31729839999999998</v>
      </c>
      <c r="U4212">
        <v>-3.1365050000000001</v>
      </c>
      <c r="V4212">
        <v>-0.23013059999999999</v>
      </c>
      <c r="W4212">
        <v>0.1072423</v>
      </c>
      <c r="X4212">
        <v>0.9672326</v>
      </c>
      <c r="Y4212">
        <v>-0.5528187</v>
      </c>
      <c r="Z4212">
        <v>2.9508599999999999E-2</v>
      </c>
      <c r="AA4212">
        <v>0.83277900000000005</v>
      </c>
      <c r="AB4212">
        <v>16</v>
      </c>
      <c r="AC4212">
        <v>-0.17010000000004699</v>
      </c>
      <c r="AD4212">
        <v>-8.4446999999999897E-2</v>
      </c>
      <c r="AE4212">
        <v>-0.779200000000003</v>
      </c>
      <c r="AF4212">
        <v>-0.46956508270331498</v>
      </c>
      <c r="AG4212">
        <v>-8.4446999999999897E-2</v>
      </c>
      <c r="AH4212">
        <v>0.63369472689569795</v>
      </c>
      <c r="AI4212">
        <v>96.111378663247095</v>
      </c>
      <c r="AJ4212">
        <v>126.538287594211</v>
      </c>
      <c r="AK4212">
        <v>0.79321602959003801</v>
      </c>
      <c r="AL4212">
        <v>83.843629208458196</v>
      </c>
      <c r="AM4212">
        <v>103.383366751339</v>
      </c>
      <c r="AN4212">
        <v>0.99999995323420299</v>
      </c>
    </row>
    <row r="4213" spans="1:40" x14ac:dyDescent="0.25">
      <c r="A4213" t="str">
        <f>"20190303161955785"</f>
        <v>20190303161955785</v>
      </c>
      <c r="B4213" t="str">
        <f>"1551601195777180"</f>
        <v>1551601195777180</v>
      </c>
      <c r="C4213" t="s">
        <v>40</v>
      </c>
      <c r="D4213">
        <v>4.6963530000000002</v>
      </c>
      <c r="E4213">
        <v>0.37191249999999998</v>
      </c>
      <c r="F4213" t="s">
        <v>42</v>
      </c>
      <c r="G4213">
        <v>-484.61520000000002</v>
      </c>
      <c r="H4213">
        <v>1.0336799999999999</v>
      </c>
      <c r="I4213">
        <v>275.76260000000002</v>
      </c>
      <c r="J4213">
        <v>-484.42770000000002</v>
      </c>
      <c r="K4213">
        <v>1.124965</v>
      </c>
      <c r="L4213">
        <v>276.6105</v>
      </c>
      <c r="M4213">
        <v>-0.75059469999999995</v>
      </c>
      <c r="N4213">
        <v>-1.4054000000000001E-2</v>
      </c>
      <c r="O4213">
        <v>-0.66061349999999996</v>
      </c>
      <c r="P4213">
        <v>-0.57571819999999996</v>
      </c>
      <c r="Q4213">
        <v>9.5522869999999996E-2</v>
      </c>
      <c r="R4213">
        <v>-0.81204929999999997</v>
      </c>
      <c r="S4213">
        <v>-0.84140009999999998</v>
      </c>
      <c r="T4213">
        <v>-0.3183841</v>
      </c>
      <c r="U4213">
        <v>-3.1402589999999999</v>
      </c>
      <c r="V4213">
        <v>-0.23010140000000001</v>
      </c>
      <c r="W4213">
        <v>0.10724649999999999</v>
      </c>
      <c r="X4213">
        <v>0.96723910000000002</v>
      </c>
      <c r="Y4213">
        <v>-0.55334240000000001</v>
      </c>
      <c r="Z4213">
        <v>2.9921940000000001E-2</v>
      </c>
      <c r="AA4213">
        <v>0.8324163</v>
      </c>
      <c r="AB4213">
        <v>16</v>
      </c>
      <c r="AC4213">
        <v>-0.1875</v>
      </c>
      <c r="AD4213">
        <v>-9.1285000000000005E-2</v>
      </c>
      <c r="AE4213">
        <v>-0.847899999999981</v>
      </c>
      <c r="AF4213">
        <v>-0.50701216036873398</v>
      </c>
      <c r="AG4213">
        <v>-9.1285000000000005E-2</v>
      </c>
      <c r="AH4213">
        <v>0.69327891770508698</v>
      </c>
      <c r="AI4213">
        <v>96.066745091690393</v>
      </c>
      <c r="AJ4213">
        <v>126.178935547945</v>
      </c>
      <c r="AK4213">
        <v>0.86373024708013302</v>
      </c>
      <c r="AL4213">
        <v>83.843387281957604</v>
      </c>
      <c r="AM4213">
        <v>103.38164300424501</v>
      </c>
      <c r="AN4213">
        <v>0.99999997130650897</v>
      </c>
    </row>
    <row r="4214" spans="1:40" x14ac:dyDescent="0.25">
      <c r="A4214" t="str">
        <f>"20190303161955796"</f>
        <v>20190303161955796</v>
      </c>
      <c r="B4214" t="str">
        <f>"1551601195786940"</f>
        <v>1551601195786940</v>
      </c>
      <c r="C4214" t="s">
        <v>40</v>
      </c>
      <c r="D4214">
        <v>4.7371210000000001</v>
      </c>
      <c r="E4214">
        <v>0.37165789999999999</v>
      </c>
      <c r="F4214" t="s">
        <v>42</v>
      </c>
      <c r="G4214">
        <v>-484.72129999999999</v>
      </c>
      <c r="H4214">
        <v>1.0304629999999999</v>
      </c>
      <c r="I4214">
        <v>275.66770000000002</v>
      </c>
      <c r="J4214">
        <v>-484.48450000000003</v>
      </c>
      <c r="K4214">
        <v>1.1249559999999901</v>
      </c>
      <c r="L4214">
        <v>276.55459999999999</v>
      </c>
      <c r="M4214">
        <v>-0.748089</v>
      </c>
      <c r="N4214">
        <v>-1.405533E-2</v>
      </c>
      <c r="O4214">
        <v>-0.66344979999999998</v>
      </c>
      <c r="P4214">
        <v>-0.57280529999999996</v>
      </c>
      <c r="Q4214">
        <v>9.5348630000000004E-2</v>
      </c>
      <c r="R4214">
        <v>-0.81412739999999995</v>
      </c>
      <c r="S4214">
        <v>-0.95150760000000001</v>
      </c>
      <c r="T4214">
        <v>-0.30628810000000001</v>
      </c>
      <c r="U4214">
        <v>-3.0558169999999998</v>
      </c>
      <c r="V4214">
        <v>-0.22991780000000001</v>
      </c>
      <c r="W4214">
        <v>0.1070792</v>
      </c>
      <c r="X4214">
        <v>0.96730130000000003</v>
      </c>
      <c r="Y4214">
        <v>-0.51647600000000005</v>
      </c>
      <c r="Z4214">
        <v>3.1208340000000001E-2</v>
      </c>
      <c r="AA4214">
        <v>0.85573279999999996</v>
      </c>
      <c r="AB4214">
        <v>16</v>
      </c>
      <c r="AC4214">
        <v>-0.23679999999995899</v>
      </c>
      <c r="AD4214">
        <v>-9.4492999999999897E-2</v>
      </c>
      <c r="AE4214">
        <v>-0.88689999999996805</v>
      </c>
      <c r="AF4214">
        <v>-0.50111531869096904</v>
      </c>
      <c r="AG4214">
        <v>-9.4492999999999897E-2</v>
      </c>
      <c r="AH4214">
        <v>0.75760894245756605</v>
      </c>
      <c r="AI4214">
        <v>95.938993523740393</v>
      </c>
      <c r="AJ4214">
        <v>123.482373937304</v>
      </c>
      <c r="AK4214">
        <v>0.91324520221429295</v>
      </c>
      <c r="AL4214">
        <v>83.853028422263293</v>
      </c>
      <c r="AM4214">
        <v>103.370520361011</v>
      </c>
      <c r="AN4214">
        <v>0.999999977405584</v>
      </c>
    </row>
    <row r="4215" spans="1:40" x14ac:dyDescent="0.25">
      <c r="A4215" t="str">
        <f>"20190303161955809"</f>
        <v>20190303161955809</v>
      </c>
      <c r="B4215" t="str">
        <f>"1551601195796700"</f>
        <v>1551601195796700</v>
      </c>
      <c r="C4215" t="s">
        <v>40</v>
      </c>
      <c r="D4215">
        <v>4.7304820000000003</v>
      </c>
      <c r="E4215">
        <v>0.37160579999999999</v>
      </c>
      <c r="F4215" t="s">
        <v>42</v>
      </c>
      <c r="G4215">
        <v>-484.75020000000001</v>
      </c>
      <c r="H4215">
        <v>1.0374030000000001</v>
      </c>
      <c r="I4215">
        <v>275.68880000000001</v>
      </c>
      <c r="J4215">
        <v>-484.54320000000001</v>
      </c>
      <c r="K4215">
        <v>1.124949</v>
      </c>
      <c r="L4215">
        <v>276.49650000000003</v>
      </c>
      <c r="M4215">
        <v>-0.74547859999999999</v>
      </c>
      <c r="N4215">
        <v>-1.4056590000000001E-2</v>
      </c>
      <c r="O4215">
        <v>-0.66638149999999996</v>
      </c>
      <c r="P4215">
        <v>-0.56977829999999996</v>
      </c>
      <c r="Q4215">
        <v>9.5408450000000006E-2</v>
      </c>
      <c r="R4215">
        <v>-0.81624149999999995</v>
      </c>
      <c r="S4215">
        <v>-0.93914790000000004</v>
      </c>
      <c r="T4215">
        <v>-0.3094499</v>
      </c>
      <c r="U4215">
        <v>-3.060425</v>
      </c>
      <c r="V4215">
        <v>-0.2297054</v>
      </c>
      <c r="W4215">
        <v>0.10714600000000001</v>
      </c>
      <c r="X4215">
        <v>0.96734439999999999</v>
      </c>
      <c r="Y4215">
        <v>-0.51663570000000003</v>
      </c>
      <c r="Z4215">
        <v>3.1955949999999997E-2</v>
      </c>
      <c r="AA4215">
        <v>0.85560879999999995</v>
      </c>
      <c r="AB4215">
        <v>16</v>
      </c>
      <c r="AC4215">
        <v>-0.206999999999993</v>
      </c>
      <c r="AD4215">
        <v>-8.7545999999999902E-2</v>
      </c>
      <c r="AE4215">
        <v>-0.80770000000001096</v>
      </c>
      <c r="AF4215">
        <v>-0.45916598994206698</v>
      </c>
      <c r="AG4215">
        <v>-8.7545999999999902E-2</v>
      </c>
      <c r="AH4215">
        <v>0.68506647967781298</v>
      </c>
      <c r="AI4215">
        <v>96.059452329358194</v>
      </c>
      <c r="AJ4215">
        <v>123.83198065675001</v>
      </c>
      <c r="AK4215">
        <v>0.82934539850030498</v>
      </c>
      <c r="AL4215">
        <v>83.849179132086206</v>
      </c>
      <c r="AM4215">
        <v>103.358037682869</v>
      </c>
      <c r="AN4215">
        <v>1.00000001215826</v>
      </c>
    </row>
    <row r="4216" spans="1:40" x14ac:dyDescent="0.25">
      <c r="A4216" t="str">
        <f>"20190303161955822"</f>
        <v>20190303161955822</v>
      </c>
      <c r="B4216" t="str">
        <f>"1551601195817196"</f>
        <v>1551601195817196</v>
      </c>
      <c r="C4216" t="s">
        <v>40</v>
      </c>
      <c r="D4216">
        <v>4.7524379999999997</v>
      </c>
      <c r="E4216">
        <v>0.37317070000000002</v>
      </c>
      <c r="F4216" t="s">
        <v>42</v>
      </c>
      <c r="G4216">
        <v>-484.82339999999999</v>
      </c>
      <c r="H4216">
        <v>1.0334239999999999</v>
      </c>
      <c r="I4216">
        <v>275.56990000000002</v>
      </c>
      <c r="J4216">
        <v>-484.60939999999999</v>
      </c>
      <c r="K4216">
        <v>1.124943</v>
      </c>
      <c r="L4216">
        <v>276.43040000000002</v>
      </c>
      <c r="M4216">
        <v>-0.74250260000000001</v>
      </c>
      <c r="N4216">
        <v>-1.4057699999999999E-2</v>
      </c>
      <c r="O4216">
        <v>-0.66969559999999995</v>
      </c>
      <c r="P4216">
        <v>-0.56671510000000003</v>
      </c>
      <c r="Q4216">
        <v>9.5123059999999995E-2</v>
      </c>
      <c r="R4216">
        <v>-0.81840409999999997</v>
      </c>
      <c r="S4216">
        <v>-0.92596440000000002</v>
      </c>
      <c r="T4216">
        <v>-0.30255779999999999</v>
      </c>
      <c r="U4216">
        <v>-3.064362</v>
      </c>
      <c r="V4216">
        <v>-0.22904140000000001</v>
      </c>
      <c r="W4216">
        <v>0.10687339999999999</v>
      </c>
      <c r="X4216">
        <v>0.96753199999999995</v>
      </c>
      <c r="Y4216">
        <v>-0.51651759999999902</v>
      </c>
      <c r="Z4216">
        <v>3.1337410000000003E-2</v>
      </c>
      <c r="AA4216">
        <v>0.85570290000000004</v>
      </c>
      <c r="AB4216">
        <v>16</v>
      </c>
      <c r="AC4216">
        <v>-0.213999999999998</v>
      </c>
      <c r="AD4216">
        <v>-9.15190000000001E-2</v>
      </c>
      <c r="AE4216">
        <v>-0.86050000000000104</v>
      </c>
      <c r="AF4216">
        <v>-0.49043320273951002</v>
      </c>
      <c r="AG4216">
        <v>-9.15190000000001E-2</v>
      </c>
      <c r="AH4216">
        <v>0.72749157285358801</v>
      </c>
      <c r="AI4216">
        <v>95.955057862253199</v>
      </c>
      <c r="AJ4216">
        <v>123.985595612054</v>
      </c>
      <c r="AK4216">
        <v>0.88212495842897498</v>
      </c>
      <c r="AL4216">
        <v>83.864888265447604</v>
      </c>
      <c r="AM4216">
        <v>103.31831170875201</v>
      </c>
      <c r="AN4216">
        <v>1.00000002878275</v>
      </c>
    </row>
    <row r="4217" spans="1:40" x14ac:dyDescent="0.25">
      <c r="A4217" t="str">
        <f>"20190303161955833"</f>
        <v>20190303161955833</v>
      </c>
      <c r="B4217" t="str">
        <f>"1551601195826956"</f>
        <v>1551601195826956</v>
      </c>
      <c r="C4217" t="s">
        <v>40</v>
      </c>
      <c r="D4217">
        <v>4.7511020000000004</v>
      </c>
      <c r="E4217">
        <v>0.3737067</v>
      </c>
      <c r="F4217" t="s">
        <v>42</v>
      </c>
      <c r="G4217">
        <v>-484.86110000000002</v>
      </c>
      <c r="H4217">
        <v>1.043866</v>
      </c>
      <c r="I4217">
        <v>275.59690000000001</v>
      </c>
      <c r="J4217">
        <v>-484.66629999999998</v>
      </c>
      <c r="K4217">
        <v>1.1249389999999999</v>
      </c>
      <c r="L4217">
        <v>276.37299999999999</v>
      </c>
      <c r="M4217">
        <v>-0.7399249</v>
      </c>
      <c r="N4217">
        <v>-1.405846E-2</v>
      </c>
      <c r="O4217">
        <v>-0.67254259999999999</v>
      </c>
      <c r="P4217">
        <v>-0.56406769999999995</v>
      </c>
      <c r="Q4217">
        <v>9.5032359999999996E-2</v>
      </c>
      <c r="R4217">
        <v>-0.82024169999999996</v>
      </c>
      <c r="S4217">
        <v>-0.92318730000000004</v>
      </c>
      <c r="T4217">
        <v>-0.2976512</v>
      </c>
      <c r="U4217">
        <v>-3.0610050000000002</v>
      </c>
      <c r="V4217">
        <v>-0.2284561</v>
      </c>
      <c r="W4217">
        <v>0.10679379999999999</v>
      </c>
      <c r="X4217">
        <v>0.96767910000000001</v>
      </c>
      <c r="Y4217">
        <v>-0.51370000000000005</v>
      </c>
      <c r="Z4217">
        <v>3.1126930000000001E-2</v>
      </c>
      <c r="AA4217">
        <v>0.85740509999999903</v>
      </c>
      <c r="AB4217">
        <v>16</v>
      </c>
      <c r="AC4217">
        <v>-0.19480000000004299</v>
      </c>
      <c r="AD4217">
        <v>-8.1072999999999895E-2</v>
      </c>
      <c r="AE4217">
        <v>-0.77609999999998502</v>
      </c>
      <c r="AF4217">
        <v>-0.43878384084051397</v>
      </c>
      <c r="AG4217">
        <v>-8.1072999999999895E-2</v>
      </c>
      <c r="AH4217">
        <v>0.65939443031662603</v>
      </c>
      <c r="AI4217">
        <v>95.844402793992103</v>
      </c>
      <c r="AJ4217">
        <v>123.641166499777</v>
      </c>
      <c r="AK4217">
        <v>0.79618157793580102</v>
      </c>
      <c r="AL4217">
        <v>83.8694749176084</v>
      </c>
      <c r="AM4217">
        <v>103.283538012855</v>
      </c>
      <c r="AN4217">
        <v>0.999999972961229</v>
      </c>
    </row>
    <row r="4218" spans="1:40" x14ac:dyDescent="0.25">
      <c r="A4218" t="str">
        <f>"20190303161955844"</f>
        <v>20190303161955844</v>
      </c>
      <c r="B4218" t="str">
        <f>"1551601195836715"</f>
        <v>1551601195836715</v>
      </c>
      <c r="C4218" t="s">
        <v>40</v>
      </c>
      <c r="D4218">
        <v>4.6794229999999999</v>
      </c>
      <c r="E4218">
        <v>0.3737471</v>
      </c>
      <c r="F4218" t="s">
        <v>42</v>
      </c>
      <c r="G4218">
        <v>-484.9341</v>
      </c>
      <c r="H4218">
        <v>1.0380659999999999</v>
      </c>
      <c r="I4218">
        <v>275.47809999999998</v>
      </c>
      <c r="J4218">
        <v>-484.72489999999999</v>
      </c>
      <c r="K4218">
        <v>1.124933</v>
      </c>
      <c r="L4218">
        <v>276.31369999999998</v>
      </c>
      <c r="M4218">
        <v>-0.73724869999999898</v>
      </c>
      <c r="N4218">
        <v>-1.4059210000000001E-2</v>
      </c>
      <c r="O4218">
        <v>-0.67547539999999995</v>
      </c>
      <c r="P4218">
        <v>-0.56157800000000002</v>
      </c>
      <c r="Q4218">
        <v>9.4956899999999997E-2</v>
      </c>
      <c r="R4218">
        <v>-0.8219573</v>
      </c>
      <c r="S4218">
        <v>-0.91638180000000002</v>
      </c>
      <c r="T4218">
        <v>-0.29719400000000001</v>
      </c>
      <c r="U4218">
        <v>-3.0616150000000002</v>
      </c>
      <c r="V4218">
        <v>-0.22755030000000001</v>
      </c>
      <c r="W4218">
        <v>0.1067331</v>
      </c>
      <c r="X4218">
        <v>0.96789930000000002</v>
      </c>
      <c r="Y4218">
        <v>-0.51209939999999998</v>
      </c>
      <c r="Z4218">
        <v>3.1466859999999999E-2</v>
      </c>
      <c r="AA4218">
        <v>0.85834959999999905</v>
      </c>
      <c r="AB4218">
        <v>16</v>
      </c>
      <c r="AC4218">
        <v>-0.20920000000000899</v>
      </c>
      <c r="AD4218">
        <v>-8.6867E-2</v>
      </c>
      <c r="AE4218">
        <v>-0.83559999999999901</v>
      </c>
      <c r="AF4218">
        <v>-0.47000259820189699</v>
      </c>
      <c r="AG4218">
        <v>-8.6867E-2</v>
      </c>
      <c r="AH4218">
        <v>0.71149486498561998</v>
      </c>
      <c r="AI4218">
        <v>95.816699110654596</v>
      </c>
      <c r="AJ4218">
        <v>123.448139356963</v>
      </c>
      <c r="AK4218">
        <v>0.85713083068248097</v>
      </c>
      <c r="AL4218">
        <v>83.872973386939606</v>
      </c>
      <c r="AM4218">
        <v>103.229822298839</v>
      </c>
      <c r="AN4218">
        <v>1.0000000743030899</v>
      </c>
    </row>
    <row r="4219" spans="1:40" x14ac:dyDescent="0.25">
      <c r="A4219" t="str">
        <f>"20190303161955865"</f>
        <v>20190303161955865</v>
      </c>
      <c r="B4219" t="str">
        <f>"1551601195856236"</f>
        <v>1551601195856236</v>
      </c>
      <c r="C4219" t="s">
        <v>40</v>
      </c>
      <c r="D4219">
        <v>4.6989549999999998</v>
      </c>
      <c r="E4219">
        <v>0.37405119999999997</v>
      </c>
      <c r="F4219" t="s">
        <v>42</v>
      </c>
      <c r="G4219">
        <v>-484.96559999999999</v>
      </c>
      <c r="H4219">
        <v>1.0478909999999999</v>
      </c>
      <c r="I4219">
        <v>275.50040000000001</v>
      </c>
      <c r="J4219">
        <v>-484.82400000000001</v>
      </c>
      <c r="K4219">
        <v>1.1249180000000001</v>
      </c>
      <c r="L4219">
        <v>276.21199999999999</v>
      </c>
      <c r="M4219">
        <v>-0.73266469999999995</v>
      </c>
      <c r="N4219">
        <v>-1.4059540000000001E-2</v>
      </c>
      <c r="O4219">
        <v>-0.68044450000000001</v>
      </c>
      <c r="P4219">
        <v>-0.55741130000000005</v>
      </c>
      <c r="Q4219">
        <v>9.4805840000000002E-2</v>
      </c>
      <c r="R4219">
        <v>-0.82480589999999998</v>
      </c>
      <c r="S4219">
        <v>-0.90652469999999996</v>
      </c>
      <c r="T4219">
        <v>-0.29023539999999998</v>
      </c>
      <c r="U4219">
        <v>-3.0639949999999998</v>
      </c>
      <c r="V4219">
        <v>-0.2259099</v>
      </c>
      <c r="W4219">
        <v>0.1066074</v>
      </c>
      <c r="X4219">
        <v>0.96829719999999997</v>
      </c>
      <c r="Y4219">
        <v>-0.50903829999999906</v>
      </c>
      <c r="Z4219">
        <v>3.1111759999999999E-2</v>
      </c>
      <c r="AA4219">
        <v>0.86018139999999998</v>
      </c>
      <c r="AB4219">
        <v>16</v>
      </c>
      <c r="AC4219">
        <v>-0.14159999999998199</v>
      </c>
      <c r="AD4219">
        <v>-7.7027000000000095E-2</v>
      </c>
      <c r="AE4219">
        <v>-0.71159999999997503</v>
      </c>
      <c r="AF4219">
        <v>-0.420318020667307</v>
      </c>
      <c r="AG4219">
        <v>-7.7027000000000095E-2</v>
      </c>
      <c r="AH4219">
        <v>0.58145438608369704</v>
      </c>
      <c r="AI4219">
        <v>96.127797650592498</v>
      </c>
      <c r="AJ4219">
        <v>125.86217259308</v>
      </c>
      <c r="AK4219">
        <v>0.72158824846490699</v>
      </c>
      <c r="AL4219">
        <v>83.880215993571696</v>
      </c>
      <c r="AM4219">
        <v>103.13255690987</v>
      </c>
      <c r="AN4219">
        <v>0.99999994409030302</v>
      </c>
    </row>
    <row r="4220" spans="1:40" x14ac:dyDescent="0.25">
      <c r="A4220" t="str">
        <f>"20190303161955877"</f>
        <v>20190303161955877</v>
      </c>
      <c r="B4220" t="str">
        <f>"1551601195866972"</f>
        <v>1551601195866972</v>
      </c>
      <c r="C4220" t="s">
        <v>40</v>
      </c>
      <c r="D4220">
        <v>4.7131299999999996</v>
      </c>
      <c r="E4220">
        <v>0.37399199999999999</v>
      </c>
      <c r="F4220" t="s">
        <v>42</v>
      </c>
      <c r="G4220">
        <v>-485.06110000000001</v>
      </c>
      <c r="H4220">
        <v>1.050281</v>
      </c>
      <c r="I4220">
        <v>275.39760000000001</v>
      </c>
      <c r="J4220">
        <v>-484.88600000000002</v>
      </c>
      <c r="K4220">
        <v>1.1249100000000001</v>
      </c>
      <c r="L4220">
        <v>276.14760000000001</v>
      </c>
      <c r="M4220">
        <v>-0.72976359999999996</v>
      </c>
      <c r="N4220">
        <v>-1.405934E-2</v>
      </c>
      <c r="O4220">
        <v>-0.68355500000000002</v>
      </c>
      <c r="P4220">
        <v>-0.55489669999999902</v>
      </c>
      <c r="Q4220">
        <v>9.4303429999999994E-2</v>
      </c>
      <c r="R4220">
        <v>-0.8265574</v>
      </c>
      <c r="S4220">
        <v>-0.89190669999999905</v>
      </c>
      <c r="T4220">
        <v>-0.28094089999999999</v>
      </c>
      <c r="U4220">
        <v>-3.0668030000000002</v>
      </c>
      <c r="V4220">
        <v>-0.22477459999999999</v>
      </c>
      <c r="W4220">
        <v>0.10612240000000001</v>
      </c>
      <c r="X4220">
        <v>0.96861470000000005</v>
      </c>
      <c r="Y4220">
        <v>-0.5093839</v>
      </c>
      <c r="Z4220">
        <v>3.0038369999999998E-2</v>
      </c>
      <c r="AA4220">
        <v>0.86001499999999997</v>
      </c>
      <c r="AB4220">
        <v>16</v>
      </c>
      <c r="AC4220">
        <v>-0.175100000000043</v>
      </c>
      <c r="AD4220">
        <v>-7.4629000000000001E-2</v>
      </c>
      <c r="AE4220">
        <v>-0.75</v>
      </c>
      <c r="AF4220">
        <v>-0.42369618285336802</v>
      </c>
      <c r="AG4220">
        <v>-7.4629000000000001E-2</v>
      </c>
      <c r="AH4220">
        <v>0.63455300999925401</v>
      </c>
      <c r="AI4220">
        <v>95.586295487039905</v>
      </c>
      <c r="AJ4220">
        <v>123.731357376055</v>
      </c>
      <c r="AK4220">
        <v>0.76664559315542102</v>
      </c>
      <c r="AL4220">
        <v>83.908163395272197</v>
      </c>
      <c r="AM4220">
        <v>103.06469380072301</v>
      </c>
      <c r="AN4220">
        <v>1.0000000108214999</v>
      </c>
    </row>
    <row r="4221" spans="1:40" x14ac:dyDescent="0.25">
      <c r="A4221" t="str">
        <f>"20190303161955890"</f>
        <v>20190303161955890</v>
      </c>
      <c r="B4221" t="str">
        <f>"1551601195876732"</f>
        <v>1551601195876732</v>
      </c>
      <c r="C4221" t="s">
        <v>40</v>
      </c>
      <c r="D4221">
        <v>4.7089629999999998</v>
      </c>
      <c r="E4221">
        <v>0.37416389999999999</v>
      </c>
      <c r="F4221" t="s">
        <v>42</v>
      </c>
      <c r="G4221">
        <v>-485.13499999999999</v>
      </c>
      <c r="H4221">
        <v>1.0458480000000001</v>
      </c>
      <c r="I4221">
        <v>275.27999999999997</v>
      </c>
      <c r="J4221">
        <v>-484.94850000000002</v>
      </c>
      <c r="K4221">
        <v>1.124898</v>
      </c>
      <c r="L4221">
        <v>276.08229999999998</v>
      </c>
      <c r="M4221">
        <v>-0.72681189999999996</v>
      </c>
      <c r="N4221">
        <v>-1.405901E-2</v>
      </c>
      <c r="O4221">
        <v>-0.68669269999999905</v>
      </c>
      <c r="P4221">
        <v>-0.55230349999999995</v>
      </c>
      <c r="Q4221">
        <v>9.4188709999999995E-2</v>
      </c>
      <c r="R4221">
        <v>-0.82830509999999902</v>
      </c>
      <c r="S4221">
        <v>-0.88101200000000002</v>
      </c>
      <c r="T4221">
        <v>-0.2797134</v>
      </c>
      <c r="U4221">
        <v>-3.0700069999999999</v>
      </c>
      <c r="V4221">
        <v>-0.22364200000000001</v>
      </c>
      <c r="W4221">
        <v>0.1060242</v>
      </c>
      <c r="X4221">
        <v>0.96888759999999996</v>
      </c>
      <c r="Y4221">
        <v>-0.50874319999999995</v>
      </c>
      <c r="Z4221">
        <v>3.0194510000000001E-2</v>
      </c>
      <c r="AA4221">
        <v>0.86038859999999995</v>
      </c>
      <c r="AB4221">
        <v>16</v>
      </c>
      <c r="AC4221">
        <v>-0.186499999999966</v>
      </c>
      <c r="AD4221">
        <v>-7.9049999999999995E-2</v>
      </c>
      <c r="AE4221">
        <v>-0.80230000000000201</v>
      </c>
      <c r="AF4221">
        <v>-0.45094462039418298</v>
      </c>
      <c r="AG4221">
        <v>-7.9049999999999995E-2</v>
      </c>
      <c r="AH4221">
        <v>0.68028615395452996</v>
      </c>
      <c r="AI4221">
        <v>95.532088721064497</v>
      </c>
      <c r="AJ4221">
        <v>123.53939904869</v>
      </c>
      <c r="AK4221">
        <v>0.81999341730571296</v>
      </c>
      <c r="AL4221">
        <v>83.913821870231004</v>
      </c>
      <c r="AM4221">
        <v>102.997567425496</v>
      </c>
      <c r="AN4221">
        <v>1.0000000282916901</v>
      </c>
    </row>
    <row r="4222" spans="1:40" x14ac:dyDescent="0.25">
      <c r="A4222" t="str">
        <f>"20190303161955901"</f>
        <v>20190303161955901</v>
      </c>
      <c r="B4222" t="str">
        <f>"1551601195896252"</f>
        <v>1551601195896252</v>
      </c>
      <c r="C4222" t="s">
        <v>40</v>
      </c>
      <c r="D4222">
        <v>4.716107</v>
      </c>
      <c r="E4222">
        <v>0.37451400000000001</v>
      </c>
      <c r="F4222" t="s">
        <v>42</v>
      </c>
      <c r="G4222">
        <v>-485.20960000000002</v>
      </c>
      <c r="H4222">
        <v>1.0423389999999999</v>
      </c>
      <c r="I4222">
        <v>275.16340000000002</v>
      </c>
      <c r="J4222">
        <v>-485.0016</v>
      </c>
      <c r="K4222">
        <v>1.1248940000000001</v>
      </c>
      <c r="L4222">
        <v>276.02620000000002</v>
      </c>
      <c r="M4222">
        <v>-0.72427940000000002</v>
      </c>
      <c r="N4222">
        <v>-1.405854E-2</v>
      </c>
      <c r="O4222">
        <v>-0.68936339999999996</v>
      </c>
      <c r="P4222">
        <v>-0.55015990000000004</v>
      </c>
      <c r="Q4222">
        <v>9.3858090000000005E-2</v>
      </c>
      <c r="R4222">
        <v>-0.82976799999999995</v>
      </c>
      <c r="S4222">
        <v>-0.87213130000000005</v>
      </c>
      <c r="T4222">
        <v>-0.27588309999999999</v>
      </c>
      <c r="U4222">
        <v>-3.0716860000000001</v>
      </c>
      <c r="V4222">
        <v>-0.22260199999999999</v>
      </c>
      <c r="W4222">
        <v>0.1057094</v>
      </c>
      <c r="X4222">
        <v>0.96916150000000001</v>
      </c>
      <c r="Y4222">
        <v>-0.50801070000000004</v>
      </c>
      <c r="Z4222">
        <v>2.9919620000000001E-2</v>
      </c>
      <c r="AA4222">
        <v>0.86083099999999901</v>
      </c>
      <c r="AB4222">
        <v>16</v>
      </c>
      <c r="AC4222">
        <v>-0.208000000000026</v>
      </c>
      <c r="AD4222">
        <v>-8.2555000000000101E-2</v>
      </c>
      <c r="AE4222">
        <v>-0.86279999999999202</v>
      </c>
      <c r="AF4222">
        <v>-0.47743728449310502</v>
      </c>
      <c r="AG4222">
        <v>-8.2555000000000101E-2</v>
      </c>
      <c r="AH4222">
        <v>0.73911143242026001</v>
      </c>
      <c r="AI4222">
        <v>95.359952613357393</v>
      </c>
      <c r="AJ4222">
        <v>122.860890239013</v>
      </c>
      <c r="AK4222">
        <v>0.88376886015715606</v>
      </c>
      <c r="AL4222">
        <v>83.931960770836895</v>
      </c>
      <c r="AM4222">
        <v>102.935629854231</v>
      </c>
      <c r="AN4222">
        <v>1.0000000703673</v>
      </c>
    </row>
    <row r="4223" spans="1:40" x14ac:dyDescent="0.25">
      <c r="A4223" t="str">
        <f>"20190303161955911"</f>
        <v>20190303161955911</v>
      </c>
      <c r="B4223" t="str">
        <f>"1551601195906988"</f>
        <v>1551601195906988</v>
      </c>
      <c r="C4223" t="s">
        <v>40</v>
      </c>
      <c r="D4223">
        <v>4.6957839999999997</v>
      </c>
      <c r="E4223">
        <v>0.37457829999999998</v>
      </c>
      <c r="F4223" t="s">
        <v>42</v>
      </c>
      <c r="G4223">
        <v>-485.23919999999998</v>
      </c>
      <c r="H4223">
        <v>1.0511809999999999</v>
      </c>
      <c r="I4223">
        <v>275.18340000000001</v>
      </c>
      <c r="J4223">
        <v>-485.05259999999998</v>
      </c>
      <c r="K4223">
        <v>1.1248860000000001</v>
      </c>
      <c r="L4223">
        <v>275.97199999999998</v>
      </c>
      <c r="M4223">
        <v>-0.72183280000000005</v>
      </c>
      <c r="N4223">
        <v>-1.4057999999999999E-2</v>
      </c>
      <c r="O4223">
        <v>-0.69192469999999995</v>
      </c>
      <c r="P4223">
        <v>-0.54802659999999903</v>
      </c>
      <c r="Q4223">
        <v>9.3877240000000001E-2</v>
      </c>
      <c r="R4223">
        <v>-0.83117649999999998</v>
      </c>
      <c r="S4223">
        <v>-0.86547850000000004</v>
      </c>
      <c r="T4223">
        <v>-0.26862960000000002</v>
      </c>
      <c r="U4223">
        <v>-3.0719599999999998</v>
      </c>
      <c r="V4223">
        <v>-0.2216542</v>
      </c>
      <c r="W4223">
        <v>0.10574160000000001</v>
      </c>
      <c r="X4223">
        <v>0.96937510000000005</v>
      </c>
      <c r="Y4223">
        <v>-0.50672259999999902</v>
      </c>
      <c r="Z4223">
        <v>2.913176E-2</v>
      </c>
      <c r="AA4223">
        <v>0.86161679999999996</v>
      </c>
      <c r="AB4223">
        <v>16</v>
      </c>
      <c r="AC4223">
        <v>-0.18659999999999799</v>
      </c>
      <c r="AD4223">
        <v>-7.3705000000000104E-2</v>
      </c>
      <c r="AE4223">
        <v>-0.78859999999997399</v>
      </c>
      <c r="AF4223">
        <v>-0.43655641349086299</v>
      </c>
      <c r="AG4223">
        <v>-7.3705000000000104E-2</v>
      </c>
      <c r="AH4223">
        <v>0.674830724183069</v>
      </c>
      <c r="AI4223">
        <v>95.239594932657397</v>
      </c>
      <c r="AJ4223">
        <v>122.89933198840799</v>
      </c>
      <c r="AK4223">
        <v>0.807100015788905</v>
      </c>
      <c r="AL4223">
        <v>83.930104882165793</v>
      </c>
      <c r="AM4223">
        <v>102.879649562559</v>
      </c>
      <c r="AN4223">
        <v>0.99999997742410396</v>
      </c>
    </row>
    <row r="4224" spans="1:40" x14ac:dyDescent="0.25">
      <c r="A4224" t="str">
        <f>"20190303161955920"</f>
        <v>20190303161955920</v>
      </c>
      <c r="B4224" t="str">
        <f>"1551601195916748"</f>
        <v>1551601195916748</v>
      </c>
      <c r="C4224" t="s">
        <v>40</v>
      </c>
      <c r="D4224">
        <v>4.7074189999999998</v>
      </c>
      <c r="E4224">
        <v>0.37481189999999998</v>
      </c>
      <c r="F4224" t="s">
        <v>42</v>
      </c>
      <c r="G4224">
        <v>-485.3066</v>
      </c>
      <c r="H4224">
        <v>1.0465390000000001</v>
      </c>
      <c r="I4224">
        <v>275.06229999999999</v>
      </c>
      <c r="J4224">
        <v>-485.10129999999998</v>
      </c>
      <c r="K4224">
        <v>1.1248769999999999</v>
      </c>
      <c r="L4224">
        <v>275.92</v>
      </c>
      <c r="M4224">
        <v>-0.71948250000000002</v>
      </c>
      <c r="N4224">
        <v>-1.4057450000000001E-2</v>
      </c>
      <c r="O4224">
        <v>-0.6943684</v>
      </c>
      <c r="P4224">
        <v>-0.5461665</v>
      </c>
      <c r="Q4224">
        <v>9.3916890000000003E-2</v>
      </c>
      <c r="R4224">
        <v>-0.83239529999999995</v>
      </c>
      <c r="S4224">
        <v>-0.85778809999999905</v>
      </c>
      <c r="T4224">
        <v>-0.26467940000000001</v>
      </c>
      <c r="U4224">
        <v>-3.0737000000000001</v>
      </c>
      <c r="V4224">
        <v>-0.22052859999999999</v>
      </c>
      <c r="W4224">
        <v>0.10579669999999999</v>
      </c>
      <c r="X4224">
        <v>0.96962579999999998</v>
      </c>
      <c r="Y4224">
        <v>-0.50593619999999995</v>
      </c>
      <c r="Z4224">
        <v>2.8791799999999999E-2</v>
      </c>
      <c r="AA4224">
        <v>0.86209020000000003</v>
      </c>
      <c r="AB4224">
        <v>16</v>
      </c>
      <c r="AC4224">
        <v>-0.20530000000002199</v>
      </c>
      <c r="AD4224">
        <v>-7.8338000000000199E-2</v>
      </c>
      <c r="AE4224">
        <v>-0.857700000000022</v>
      </c>
      <c r="AF4224">
        <v>-0.47087792647761201</v>
      </c>
      <c r="AG4224">
        <v>-7.8338000000000199E-2</v>
      </c>
      <c r="AH4224">
        <v>0.73752384382702996</v>
      </c>
      <c r="AI4224">
        <v>95.115861032242407</v>
      </c>
      <c r="AJ4224">
        <v>122.55651780077</v>
      </c>
      <c r="AK4224">
        <v>0.878523923465521</v>
      </c>
      <c r="AL4224">
        <v>83.926930205248098</v>
      </c>
      <c r="AM4224">
        <v>102.813205309976</v>
      </c>
      <c r="AN4224">
        <v>0.99999999858724498</v>
      </c>
    </row>
    <row r="4225" spans="1:40" x14ac:dyDescent="0.25">
      <c r="A4225" t="str">
        <f>"20190303161955931"</f>
        <v>20190303161955931</v>
      </c>
      <c r="B4225" t="str">
        <f>"1551601195926508"</f>
        <v>1551601195926508</v>
      </c>
      <c r="C4225" t="s">
        <v>40</v>
      </c>
      <c r="D4225">
        <v>4.7118250000000002</v>
      </c>
      <c r="E4225">
        <v>0.37481189999999998</v>
      </c>
      <c r="F4225" t="s">
        <v>42</v>
      </c>
      <c r="G4225">
        <v>-485.334</v>
      </c>
      <c r="H4225">
        <v>1.0531489999999999</v>
      </c>
      <c r="I4225">
        <v>275.0806</v>
      </c>
      <c r="J4225">
        <v>-485.15</v>
      </c>
      <c r="K4225">
        <v>1.1248720000000001</v>
      </c>
      <c r="L4225">
        <v>275.86739999999998</v>
      </c>
      <c r="M4225">
        <v>-0.71710560000000001</v>
      </c>
      <c r="N4225">
        <v>-1.405672E-2</v>
      </c>
      <c r="O4225">
        <v>-0.69682310000000003</v>
      </c>
      <c r="P4225">
        <v>-0.54399699999999995</v>
      </c>
      <c r="Q4225">
        <v>9.3914629999999999E-2</v>
      </c>
      <c r="R4225">
        <v>-0.83381550000000004</v>
      </c>
      <c r="S4225">
        <v>-0.85186770000000001</v>
      </c>
      <c r="T4225">
        <v>-0.26269690000000001</v>
      </c>
      <c r="U4225">
        <v>-3.074738</v>
      </c>
      <c r="V4225">
        <v>-0.21973770000000001</v>
      </c>
      <c r="W4225">
        <v>0.1058057</v>
      </c>
      <c r="X4225">
        <v>0.96980429999999995</v>
      </c>
      <c r="Y4225">
        <v>-0.50461389999999995</v>
      </c>
      <c r="Z4225">
        <v>2.8777779999999999E-2</v>
      </c>
      <c r="AA4225">
        <v>0.8628654</v>
      </c>
      <c r="AB4225">
        <v>16</v>
      </c>
      <c r="AC4225">
        <v>-0.184000000000025</v>
      </c>
      <c r="AD4225">
        <v>-7.1722999999999898E-2</v>
      </c>
      <c r="AE4225">
        <v>-0.78679999999997097</v>
      </c>
      <c r="AF4225">
        <v>-0.432637525041843</v>
      </c>
      <c r="AG4225">
        <v>-7.1722999999999898E-2</v>
      </c>
      <c r="AH4225">
        <v>0.67495700650837198</v>
      </c>
      <c r="AI4225">
        <v>95.1122025022418</v>
      </c>
      <c r="AJ4225">
        <v>122.659274828804</v>
      </c>
      <c r="AK4225">
        <v>0.804913894424785</v>
      </c>
      <c r="AL4225">
        <v>83.926411285380198</v>
      </c>
      <c r="AM4225">
        <v>102.766488125347</v>
      </c>
      <c r="AN4225">
        <v>0.99999994162613304</v>
      </c>
    </row>
    <row r="4226" spans="1:40" x14ac:dyDescent="0.25">
      <c r="A4226" t="str">
        <f>"20190303161955942"</f>
        <v>20190303161955942</v>
      </c>
      <c r="B4226" t="str">
        <f>"1551601195937244"</f>
        <v>1551601195937244</v>
      </c>
      <c r="C4226" t="s">
        <v>40</v>
      </c>
      <c r="D4226">
        <v>4.8341459999999996</v>
      </c>
      <c r="E4226">
        <v>0.39555400000000002</v>
      </c>
      <c r="F4226" t="s">
        <v>42</v>
      </c>
      <c r="G4226">
        <v>-485.39949999999999</v>
      </c>
      <c r="H4226">
        <v>1.0473239999999999</v>
      </c>
      <c r="I4226">
        <v>274.95850000000002</v>
      </c>
      <c r="J4226">
        <v>-485.20440000000002</v>
      </c>
      <c r="K4226">
        <v>1.1248640000000001</v>
      </c>
      <c r="L4226">
        <v>275.80849999999998</v>
      </c>
      <c r="M4226">
        <v>-0.71444289999999999</v>
      </c>
      <c r="N4226">
        <v>-1.405582E-2</v>
      </c>
      <c r="O4226">
        <v>-0.69955269999999903</v>
      </c>
      <c r="P4226">
        <v>-0.54133920000000002</v>
      </c>
      <c r="Q4226">
        <v>9.3967899999999993E-2</v>
      </c>
      <c r="R4226">
        <v>-0.83553690000000003</v>
      </c>
      <c r="S4226">
        <v>-0.84402469999999996</v>
      </c>
      <c r="T4226">
        <v>-0.2624629</v>
      </c>
      <c r="U4226">
        <v>-3.0769039999999999</v>
      </c>
      <c r="V4226">
        <v>-0.2191207</v>
      </c>
      <c r="W4226">
        <v>0.1058687</v>
      </c>
      <c r="X4226">
        <v>0.9699371</v>
      </c>
      <c r="Y4226">
        <v>-0.5035288</v>
      </c>
      <c r="Z4226">
        <v>2.9042990000000001E-2</v>
      </c>
      <c r="AA4226">
        <v>0.86349019999999999</v>
      </c>
      <c r="AB4226">
        <v>16</v>
      </c>
      <c r="AC4226">
        <v>-0.19509999999996799</v>
      </c>
      <c r="AD4226">
        <v>-7.7539999999999901E-2</v>
      </c>
      <c r="AE4226">
        <v>-0.84999999999996501</v>
      </c>
      <c r="AF4226">
        <v>-0.46714728077736201</v>
      </c>
      <c r="AG4226">
        <v>-7.7539999999999901E-2</v>
      </c>
      <c r="AH4226">
        <v>0.72832247425013796</v>
      </c>
      <c r="AI4226">
        <v>95.120845946445399</v>
      </c>
      <c r="AJ4226">
        <v>122.676181911714</v>
      </c>
      <c r="AK4226">
        <v>0.86873048757110305</v>
      </c>
      <c r="AL4226">
        <v>83.922781743351607</v>
      </c>
      <c r="AM4226">
        <v>102.730124806856</v>
      </c>
      <c r="AN4226">
        <v>1.0000000203822901</v>
      </c>
    </row>
    <row r="4227" spans="1:40" x14ac:dyDescent="0.25">
      <c r="A4227" t="str">
        <f>"20190303161955953"</f>
        <v>20190303161955953</v>
      </c>
      <c r="B4227" t="str">
        <f>"1551601195947004"</f>
        <v>1551601195947004</v>
      </c>
      <c r="C4227" t="s">
        <v>40</v>
      </c>
      <c r="D4227">
        <v>4.7018959999999996</v>
      </c>
      <c r="E4227">
        <v>0.40329739999999997</v>
      </c>
      <c r="F4227" t="s">
        <v>41</v>
      </c>
      <c r="G4227">
        <v>-489.58550000000002</v>
      </c>
      <c r="H4227" s="1">
        <v>-1.231669E-6</v>
      </c>
      <c r="I4227">
        <v>262.33240000000001</v>
      </c>
      <c r="J4227">
        <v>-485.25749999999999</v>
      </c>
      <c r="K4227">
        <v>1.1248579999999999</v>
      </c>
      <c r="L4227">
        <v>275.75040000000001</v>
      </c>
      <c r="M4227">
        <v>-0.71181430000000001</v>
      </c>
      <c r="N4227">
        <v>-1.405464E-2</v>
      </c>
      <c r="O4227">
        <v>-0.70222719999999905</v>
      </c>
      <c r="P4227">
        <v>-0.53886099999999904</v>
      </c>
      <c r="Q4227">
        <v>9.3880409999999997E-2</v>
      </c>
      <c r="R4227">
        <v>-0.83714719999999998</v>
      </c>
      <c r="S4227">
        <v>-0.97171019999999997</v>
      </c>
      <c r="T4227">
        <v>-0.2494912</v>
      </c>
      <c r="U4227">
        <v>-2.988953</v>
      </c>
      <c r="V4227">
        <v>-0.21836069999999999</v>
      </c>
      <c r="W4227">
        <v>0.105791899999999</v>
      </c>
      <c r="X4227">
        <v>0.97011689999999995</v>
      </c>
      <c r="Y4227">
        <v>-0.45955279999999998</v>
      </c>
      <c r="Z4227">
        <v>2.9608909999999999E-2</v>
      </c>
      <c r="AA4227">
        <v>0.88765680000000002</v>
      </c>
      <c r="AB4227">
        <v>16</v>
      </c>
      <c r="AC4227">
        <v>-4.3280000000000296</v>
      </c>
      <c r="AD4227">
        <v>-1.12485923166899</v>
      </c>
      <c r="AE4227">
        <v>-13.417999999999999</v>
      </c>
      <c r="AF4227">
        <v>-6.4713340334488496</v>
      </c>
      <c r="AG4227">
        <v>-1.12485923166899</v>
      </c>
      <c r="AH4227">
        <v>12.4253566122421</v>
      </c>
      <c r="AI4227">
        <v>94.590561040361294</v>
      </c>
      <c r="AJ4227">
        <v>117.511255882379</v>
      </c>
      <c r="AK4227">
        <v>14.0546419166385</v>
      </c>
      <c r="AL4227">
        <v>83.9272071547298</v>
      </c>
      <c r="AM4227">
        <v>102.685127793763</v>
      </c>
      <c r="AN4227">
        <v>1.0000000605378501</v>
      </c>
    </row>
    <row r="4228" spans="1:40" x14ac:dyDescent="0.25">
      <c r="A4228" t="str">
        <f>"20190303161955965"</f>
        <v>20190303161955965</v>
      </c>
      <c r="B4228" t="str">
        <f>"1551601195956765"</f>
        <v>1551601195956765</v>
      </c>
      <c r="C4228" t="s">
        <v>40</v>
      </c>
      <c r="D4228">
        <v>4.6463000000000001</v>
      </c>
      <c r="E4228">
        <v>0.40887800000000002</v>
      </c>
      <c r="F4228" t="s">
        <v>42</v>
      </c>
      <c r="G4228">
        <v>-485.58170000000001</v>
      </c>
      <c r="H4228">
        <v>1.0490809999999999</v>
      </c>
      <c r="I4228">
        <v>274.80439999999999</v>
      </c>
      <c r="J4228">
        <v>-485.3109</v>
      </c>
      <c r="K4228">
        <v>1.1248479999999901</v>
      </c>
      <c r="L4228">
        <v>275.69170000000003</v>
      </c>
      <c r="M4228">
        <v>-0.70915309999999998</v>
      </c>
      <c r="N4228">
        <v>-1.4053410000000001E-2</v>
      </c>
      <c r="O4228">
        <v>-0.70491459999999995</v>
      </c>
      <c r="P4228">
        <v>-0.53612990000000005</v>
      </c>
      <c r="Q4228">
        <v>9.3465279999999998E-2</v>
      </c>
      <c r="R4228">
        <v>-0.83894559999999996</v>
      </c>
      <c r="S4228">
        <v>-1.0138240000000001</v>
      </c>
      <c r="T4228">
        <v>-0.2369349</v>
      </c>
      <c r="U4228">
        <v>-2.9575809999999998</v>
      </c>
      <c r="V4228">
        <v>-0.2178802</v>
      </c>
      <c r="W4228">
        <v>0.1053851</v>
      </c>
      <c r="X4228">
        <v>0.9702691</v>
      </c>
      <c r="Y4228">
        <v>-0.44202550000000002</v>
      </c>
      <c r="Z4228">
        <v>2.8599900000000001E-2</v>
      </c>
      <c r="AA4228">
        <v>0.89654639999999997</v>
      </c>
      <c r="AB4228">
        <v>16</v>
      </c>
      <c r="AC4228">
        <v>-0.27080000000000798</v>
      </c>
      <c r="AD4228">
        <v>-7.5766999999999904E-2</v>
      </c>
      <c r="AE4228">
        <v>-0.88730000000003795</v>
      </c>
      <c r="AF4228">
        <v>-0.43547916562736899</v>
      </c>
      <c r="AG4228">
        <v>-7.5766999999999904E-2</v>
      </c>
      <c r="AH4228">
        <v>0.81217264845457604</v>
      </c>
      <c r="AI4228">
        <v>94.700077689842601</v>
      </c>
      <c r="AJ4228">
        <v>118.19978150831599</v>
      </c>
      <c r="AK4228">
        <v>0.92466596827299197</v>
      </c>
      <c r="AL4228">
        <v>83.950645514017907</v>
      </c>
      <c r="AM4228">
        <v>102.656193082691</v>
      </c>
      <c r="AN4228">
        <v>0.999999963634429</v>
      </c>
    </row>
    <row r="4229" spans="1:40" x14ac:dyDescent="0.25">
      <c r="A4229" t="str">
        <f>"20190303161955976"</f>
        <v>20190303161955976</v>
      </c>
      <c r="B4229" t="str">
        <f>"1551601195966524"</f>
        <v>1551601195966524</v>
      </c>
      <c r="C4229" t="s">
        <v>40</v>
      </c>
      <c r="D4229">
        <v>4.612025</v>
      </c>
      <c r="E4229">
        <v>0.41189249999999999</v>
      </c>
      <c r="F4229" t="s">
        <v>42</v>
      </c>
      <c r="G4229">
        <v>-485.65559999999999</v>
      </c>
      <c r="H4229">
        <v>1.04837</v>
      </c>
      <c r="I4229">
        <v>274.72000000000003</v>
      </c>
      <c r="J4229">
        <v>-485.36590000000001</v>
      </c>
      <c r="K4229">
        <v>1.1248400000000001</v>
      </c>
      <c r="L4229">
        <v>275.63049999999998</v>
      </c>
      <c r="M4229">
        <v>-0.70638730000000005</v>
      </c>
      <c r="N4229">
        <v>-1.4051900000000001E-2</v>
      </c>
      <c r="O4229">
        <v>-0.70768619999999904</v>
      </c>
      <c r="P4229">
        <v>-0.53340609999999999</v>
      </c>
      <c r="Q4229">
        <v>9.3258160000000007E-2</v>
      </c>
      <c r="R4229">
        <v>-0.84070290000000003</v>
      </c>
      <c r="S4229">
        <v>-1.041077</v>
      </c>
      <c r="T4229">
        <v>-0.23104949999999999</v>
      </c>
      <c r="U4229">
        <v>-2.93634</v>
      </c>
      <c r="V4229">
        <v>-0.2172393</v>
      </c>
      <c r="W4229">
        <v>0.1051873</v>
      </c>
      <c r="X4229">
        <v>0.97043429999999997</v>
      </c>
      <c r="Y4229">
        <v>-0.42909720000000001</v>
      </c>
      <c r="Z4229">
        <v>2.8424789999999998E-2</v>
      </c>
      <c r="AA4229">
        <v>0.90281100000000003</v>
      </c>
      <c r="AB4229">
        <v>16</v>
      </c>
      <c r="AC4229">
        <v>-0.28969999999998203</v>
      </c>
      <c r="AD4229">
        <v>-7.6469999999999996E-2</v>
      </c>
      <c r="AE4229">
        <v>-0.91049999999995601</v>
      </c>
      <c r="AF4229">
        <v>-0.435403255141249</v>
      </c>
      <c r="AG4229">
        <v>-7.6469999999999996E-2</v>
      </c>
      <c r="AH4229">
        <v>0.84366844210180503</v>
      </c>
      <c r="AI4229">
        <v>94.605002290683501</v>
      </c>
      <c r="AJ4229">
        <v>117.297506383659</v>
      </c>
      <c r="AK4229">
        <v>0.95247052221372297</v>
      </c>
      <c r="AL4229">
        <v>83.962042218772694</v>
      </c>
      <c r="AM4229">
        <v>102.618079164515</v>
      </c>
      <c r="AN4229">
        <v>1.00000000608113</v>
      </c>
    </row>
    <row r="4230" spans="1:40" x14ac:dyDescent="0.25">
      <c r="A4230" t="str">
        <f>"20190303161955988"</f>
        <v>20190303161955988</v>
      </c>
      <c r="B4230" t="str">
        <f>"1551601195976284"</f>
        <v>1551601195976284</v>
      </c>
      <c r="C4230" t="s">
        <v>40</v>
      </c>
      <c r="D4230">
        <v>4.5790800000000003</v>
      </c>
      <c r="E4230">
        <v>0.4144736</v>
      </c>
      <c r="F4230" t="s">
        <v>41</v>
      </c>
      <c r="G4230">
        <v>-490.58749999999998</v>
      </c>
      <c r="H4230" s="1">
        <v>-8.0072190000000005E-7</v>
      </c>
      <c r="I4230">
        <v>261.09120000000001</v>
      </c>
      <c r="J4230">
        <v>-485.41910000000001</v>
      </c>
      <c r="K4230">
        <v>1.1248320000000001</v>
      </c>
      <c r="L4230">
        <v>275.5711</v>
      </c>
      <c r="M4230">
        <v>-0.70369559999999998</v>
      </c>
      <c r="N4230">
        <v>-1.4050419999999999E-2</v>
      </c>
      <c r="O4230">
        <v>-0.71036279999999996</v>
      </c>
      <c r="P4230">
        <v>-0.53057710000000002</v>
      </c>
      <c r="Q4230">
        <v>9.3163419999999997E-2</v>
      </c>
      <c r="R4230">
        <v>-0.84250159999999996</v>
      </c>
      <c r="S4230">
        <v>-1.051086</v>
      </c>
      <c r="T4230">
        <v>-0.22642580000000001</v>
      </c>
      <c r="U4230">
        <v>-2.9266969999999999</v>
      </c>
      <c r="V4230">
        <v>-0.2168216</v>
      </c>
      <c r="W4230">
        <v>0.1050996</v>
      </c>
      <c r="X4230">
        <v>0.97053719999999999</v>
      </c>
      <c r="Y4230">
        <v>-0.42199690000000001</v>
      </c>
      <c r="Z4230">
        <v>2.8149939999999998E-2</v>
      </c>
      <c r="AA4230">
        <v>0.90616019999999997</v>
      </c>
      <c r="AB4230">
        <v>16</v>
      </c>
      <c r="AC4230">
        <v>-5.1683999999999601</v>
      </c>
      <c r="AD4230">
        <v>-1.1248328007219</v>
      </c>
      <c r="AE4230">
        <v>-14.479899999999899</v>
      </c>
      <c r="AF4230">
        <v>-6.4839395872253798</v>
      </c>
      <c r="AG4230">
        <v>-1.1248328007219</v>
      </c>
      <c r="AH4230">
        <v>13.850200917271801</v>
      </c>
      <c r="AI4230">
        <v>94.206708498658699</v>
      </c>
      <c r="AJ4230">
        <v>115.086535331939</v>
      </c>
      <c r="AK4230">
        <v>15.3341053488348</v>
      </c>
      <c r="AL4230">
        <v>83.967094995266606</v>
      </c>
      <c r="AM4230">
        <v>102.593299568635</v>
      </c>
      <c r="AN4230">
        <v>0.99999999436527998</v>
      </c>
    </row>
    <row r="4231" spans="1:40" x14ac:dyDescent="0.25">
      <c r="A4231" t="str">
        <f>"20190303161956000"</f>
        <v>20190303161956000</v>
      </c>
      <c r="B4231" t="str">
        <f>"1551601195996780"</f>
        <v>1551601195996780</v>
      </c>
      <c r="C4231" t="s">
        <v>40</v>
      </c>
      <c r="D4231">
        <v>4.5951490000000002</v>
      </c>
      <c r="E4231">
        <v>0.4179908</v>
      </c>
      <c r="F4231" t="s">
        <v>41</v>
      </c>
      <c r="G4231">
        <v>-490.76929999999999</v>
      </c>
      <c r="H4231" s="1">
        <v>-7.273549E-7</v>
      </c>
      <c r="I4231">
        <v>260.80739999999997</v>
      </c>
      <c r="J4231">
        <v>-485.47820000000002</v>
      </c>
      <c r="K4231">
        <v>1.1248229999999999</v>
      </c>
      <c r="L4231">
        <v>275.50439999999998</v>
      </c>
      <c r="M4231">
        <v>-0.70067469999999998</v>
      </c>
      <c r="N4231">
        <v>-1.404862E-2</v>
      </c>
      <c r="O4231">
        <v>-0.7133427</v>
      </c>
      <c r="P4231">
        <v>-0.5272173</v>
      </c>
      <c r="Q4231">
        <v>9.2984209999999998E-2</v>
      </c>
      <c r="R4231">
        <v>-0.84462769999999998</v>
      </c>
      <c r="S4231">
        <v>-1.0578920000000001</v>
      </c>
      <c r="T4231">
        <v>-0.22241140000000001</v>
      </c>
      <c r="U4231">
        <v>-2.9191889999999998</v>
      </c>
      <c r="V4231">
        <v>-0.21657850000000001</v>
      </c>
      <c r="W4231">
        <v>0.10492509999999999</v>
      </c>
      <c r="X4231">
        <v>0.97061039999999998</v>
      </c>
      <c r="Y4231">
        <v>-0.41554390000000002</v>
      </c>
      <c r="Z4231">
        <v>2.795096E-2</v>
      </c>
      <c r="AA4231">
        <v>0.90914360000000005</v>
      </c>
      <c r="AB4231">
        <v>16</v>
      </c>
      <c r="AC4231">
        <v>-5.2910999999999699</v>
      </c>
      <c r="AD4231">
        <v>-1.1248237273549</v>
      </c>
      <c r="AE4231">
        <v>-14.696999999999999</v>
      </c>
      <c r="AF4231">
        <v>-6.4904360721115903</v>
      </c>
      <c r="AG4231">
        <v>-1.1248237273549</v>
      </c>
      <c r="AH4231">
        <v>14.119521166311699</v>
      </c>
      <c r="AI4231">
        <v>94.140032915541198</v>
      </c>
      <c r="AJ4231">
        <v>114.68721064671701</v>
      </c>
      <c r="AK4231">
        <v>15.580496358900501</v>
      </c>
      <c r="AL4231">
        <v>83.977148947868599</v>
      </c>
      <c r="AM4231">
        <v>102.57871110396</v>
      </c>
      <c r="AN4231">
        <v>1.0000000359301999</v>
      </c>
    </row>
    <row r="4232" spans="1:40" x14ac:dyDescent="0.25">
      <c r="A4232" t="str">
        <f>"20190303161956013"</f>
        <v>20190303161956013</v>
      </c>
      <c r="B4232" t="str">
        <f>"1551601196006540"</f>
        <v>1551601196006540</v>
      </c>
      <c r="C4232" t="s">
        <v>40</v>
      </c>
      <c r="D4232">
        <v>4.5592879999999996</v>
      </c>
      <c r="E4232">
        <v>0.41907749999999999</v>
      </c>
      <c r="F4232" t="s">
        <v>41</v>
      </c>
      <c r="G4232">
        <v>-491.01569999999998</v>
      </c>
      <c r="H4232" s="1">
        <v>-6.4042390000000003E-7</v>
      </c>
      <c r="I4232">
        <v>260.452</v>
      </c>
      <c r="J4232">
        <v>-485.53309999999999</v>
      </c>
      <c r="K4232">
        <v>1.124816</v>
      </c>
      <c r="L4232">
        <v>275.44200000000001</v>
      </c>
      <c r="M4232">
        <v>-0.69784679999999999</v>
      </c>
      <c r="N4232">
        <v>-1.404678E-2</v>
      </c>
      <c r="O4232">
        <v>-0.71610959999999901</v>
      </c>
      <c r="P4232">
        <v>-0.5238254</v>
      </c>
      <c r="Q4232">
        <v>9.2909309999999995E-2</v>
      </c>
      <c r="R4232">
        <v>-0.84674389999999999</v>
      </c>
      <c r="S4232">
        <v>-1.0697939999999999</v>
      </c>
      <c r="T4232">
        <v>-0.21730659999999999</v>
      </c>
      <c r="U4232">
        <v>-2.9079899999999999</v>
      </c>
      <c r="V4232">
        <v>-0.2166343</v>
      </c>
      <c r="W4232">
        <v>0.1048521</v>
      </c>
      <c r="X4232">
        <v>0.97060579999999996</v>
      </c>
      <c r="Y4232">
        <v>-0.40754230000000002</v>
      </c>
      <c r="Z4232">
        <v>2.7591859999999999E-2</v>
      </c>
      <c r="AA4232">
        <v>0.91276939999999995</v>
      </c>
      <c r="AB4232">
        <v>16</v>
      </c>
      <c r="AC4232">
        <v>-5.4825999999999899</v>
      </c>
      <c r="AD4232">
        <v>-1.1248166404238999</v>
      </c>
      <c r="AE4232">
        <v>-14.99</v>
      </c>
      <c r="AF4232">
        <v>-6.5029288449673404</v>
      </c>
      <c r="AG4232">
        <v>-1.1248166404238999</v>
      </c>
      <c r="AH4232">
        <v>14.4899696518944</v>
      </c>
      <c r="AI4232">
        <v>94.051040320381702</v>
      </c>
      <c r="AJ4232">
        <v>114.16998500549499</v>
      </c>
      <c r="AK4232">
        <v>15.922076389406699</v>
      </c>
      <c r="AL4232">
        <v>83.981354527259995</v>
      </c>
      <c r="AM4232">
        <v>102.58190648261601</v>
      </c>
      <c r="AN4232">
        <v>1.00000000090226</v>
      </c>
    </row>
    <row r="4233" spans="1:40" x14ac:dyDescent="0.25">
      <c r="A4233" t="str">
        <f>"20190303161956026"</f>
        <v>20190303161956026</v>
      </c>
      <c r="B4233" t="str">
        <f>"1551601196016300"</f>
        <v>1551601196016300</v>
      </c>
      <c r="C4233" t="s">
        <v>40</v>
      </c>
      <c r="D4233">
        <v>4.5694530000000002</v>
      </c>
      <c r="E4233">
        <v>0.42010110000000001</v>
      </c>
      <c r="F4233" t="s">
        <v>41</v>
      </c>
      <c r="G4233">
        <v>-491.02539999999999</v>
      </c>
      <c r="H4233" s="1">
        <v>-6.4676199999999905E-7</v>
      </c>
      <c r="I4233">
        <v>260.46080000000001</v>
      </c>
      <c r="J4233">
        <v>-485.59190000000001</v>
      </c>
      <c r="K4233">
        <v>1.124806</v>
      </c>
      <c r="L4233">
        <v>275.37459999999999</v>
      </c>
      <c r="M4233">
        <v>-0.69478909999999905</v>
      </c>
      <c r="N4233">
        <v>-1.404474E-2</v>
      </c>
      <c r="O4233">
        <v>-0.71907679999999996</v>
      </c>
      <c r="P4233">
        <v>-0.51997179999999998</v>
      </c>
      <c r="Q4233">
        <v>9.3255270000000001E-2</v>
      </c>
      <c r="R4233">
        <v>-0.849078</v>
      </c>
      <c r="S4233">
        <v>-1.0659479999999999</v>
      </c>
      <c r="T4233">
        <v>-0.218303</v>
      </c>
      <c r="U4233">
        <v>-2.9075319999999998</v>
      </c>
      <c r="V4233">
        <v>-0.21688460000000001</v>
      </c>
      <c r="W4233">
        <v>0.10519679999999999</v>
      </c>
      <c r="X4233">
        <v>0.97051259999999995</v>
      </c>
      <c r="Y4233">
        <v>-0.40467500000000001</v>
      </c>
      <c r="Z4233">
        <v>2.8115919999999999E-2</v>
      </c>
      <c r="AA4233">
        <v>0.91402819999999996</v>
      </c>
      <c r="AB4233">
        <v>16</v>
      </c>
      <c r="AC4233">
        <v>-5.43349999999998</v>
      </c>
      <c r="AD4233">
        <v>-1.1248066467619999</v>
      </c>
      <c r="AE4233">
        <v>-14.913799999999901</v>
      </c>
      <c r="AF4233">
        <v>-6.4232211759807498</v>
      </c>
      <c r="AG4233">
        <v>-1.1248066467619999</v>
      </c>
      <c r="AH4233">
        <v>14.4282755669247</v>
      </c>
      <c r="AI4233">
        <v>94.073717947324297</v>
      </c>
      <c r="AJ4233">
        <v>113.997809374442</v>
      </c>
      <c r="AK4233">
        <v>15.8334486484557</v>
      </c>
      <c r="AL4233">
        <v>83.961494845009597</v>
      </c>
      <c r="AM4233">
        <v>102.597151040147</v>
      </c>
      <c r="AN4233">
        <v>1.0000000016030799</v>
      </c>
    </row>
    <row r="4234" spans="1:40" x14ac:dyDescent="0.25">
      <c r="A4234" t="str">
        <f>"20190303161956036"</f>
        <v>20190303161956036</v>
      </c>
      <c r="B4234" t="str">
        <f>"1551601196027036"</f>
        <v>1551601196027036</v>
      </c>
      <c r="C4234" t="s">
        <v>40</v>
      </c>
      <c r="D4234">
        <v>4.5476999999999999</v>
      </c>
      <c r="E4234">
        <v>0.420927</v>
      </c>
      <c r="F4234" t="s">
        <v>41</v>
      </c>
      <c r="G4234">
        <v>-491.06799999999998</v>
      </c>
      <c r="H4234" s="1">
        <v>-6.0583559999999995E-7</v>
      </c>
      <c r="I4234">
        <v>260.33890000000002</v>
      </c>
      <c r="J4234">
        <v>-485.64690000000002</v>
      </c>
      <c r="K4234">
        <v>1.124803</v>
      </c>
      <c r="L4234">
        <v>275.3109</v>
      </c>
      <c r="M4234">
        <v>-0.69190299999999905</v>
      </c>
      <c r="N4234">
        <v>-1.404273E-2</v>
      </c>
      <c r="O4234">
        <v>-0.72185410000000005</v>
      </c>
      <c r="P4234">
        <v>-0.51613039999999999</v>
      </c>
      <c r="Q4234">
        <v>9.3285359999999998E-2</v>
      </c>
      <c r="R4234">
        <v>-0.85141520000000004</v>
      </c>
      <c r="S4234">
        <v>-1.0592649999999999</v>
      </c>
      <c r="T4234">
        <v>-0.21757670000000001</v>
      </c>
      <c r="U4234">
        <v>-2.908417</v>
      </c>
      <c r="V4234">
        <v>-0.2173783</v>
      </c>
      <c r="W4234">
        <v>0.10522289999999999</v>
      </c>
      <c r="X4234">
        <v>0.97039929999999996</v>
      </c>
      <c r="Y4234">
        <v>-0.40295979999999998</v>
      </c>
      <c r="Z4234">
        <v>2.8267199999999999E-2</v>
      </c>
      <c r="AA4234">
        <v>0.91478099999999996</v>
      </c>
      <c r="AB4234">
        <v>16</v>
      </c>
      <c r="AC4234">
        <v>-5.4211000000000196</v>
      </c>
      <c r="AD4234">
        <v>-1.1248036058355999</v>
      </c>
      <c r="AE4234">
        <v>-14.9719999999999</v>
      </c>
      <c r="AF4234">
        <v>-6.4145551901243598</v>
      </c>
      <c r="AG4234">
        <v>-1.1248036058355999</v>
      </c>
      <c r="AH4234">
        <v>14.4876167392149</v>
      </c>
      <c r="AI4234">
        <v>94.060710071736594</v>
      </c>
      <c r="AJ4234">
        <v>113.88190601599101</v>
      </c>
      <c r="AK4234">
        <v>15.884040424943301</v>
      </c>
      <c r="AL4234">
        <v>83.959991025465101</v>
      </c>
      <c r="AM4234">
        <v>102.626334829279</v>
      </c>
      <c r="AN4234">
        <v>0.99999999271789497</v>
      </c>
    </row>
    <row r="4235" spans="1:40" x14ac:dyDescent="0.25">
      <c r="A4235" t="str">
        <f>"20190303161956050"</f>
        <v>20190303161956050</v>
      </c>
      <c r="B4235" t="str">
        <f>"1551601196036797"</f>
        <v>1551601196036797</v>
      </c>
      <c r="C4235" t="s">
        <v>40</v>
      </c>
      <c r="D4235">
        <v>4.6129810000000004</v>
      </c>
      <c r="E4235">
        <v>0.42140270000000002</v>
      </c>
      <c r="F4235" t="s">
        <v>41</v>
      </c>
      <c r="G4235">
        <v>-491.11279999999999</v>
      </c>
      <c r="H4235" s="1">
        <v>-5.5444839999999996E-7</v>
      </c>
      <c r="I4235">
        <v>260.19139999999999</v>
      </c>
      <c r="J4235">
        <v>-485.7022</v>
      </c>
      <c r="K4235">
        <v>1.1247959999999999</v>
      </c>
      <c r="L4235">
        <v>275.24630000000002</v>
      </c>
      <c r="M4235">
        <v>-0.68897569999999997</v>
      </c>
      <c r="N4235">
        <v>-1.404072E-2</v>
      </c>
      <c r="O4235">
        <v>-0.72464849999999903</v>
      </c>
      <c r="P4235">
        <v>-0.51212159999999995</v>
      </c>
      <c r="Q4235">
        <v>9.364596E-2</v>
      </c>
      <c r="R4235">
        <v>-0.85379249999999995</v>
      </c>
      <c r="S4235">
        <v>-1.0518799999999999</v>
      </c>
      <c r="T4235">
        <v>-0.2164606</v>
      </c>
      <c r="U4235">
        <v>-2.909637</v>
      </c>
      <c r="V4235">
        <v>-0.21798770000000001</v>
      </c>
      <c r="W4235">
        <v>0.10557850000000001</v>
      </c>
      <c r="X4235">
        <v>0.97022399999999998</v>
      </c>
      <c r="Y4235">
        <v>-0.4014354</v>
      </c>
      <c r="Z4235">
        <v>2.8337620000000001E-2</v>
      </c>
      <c r="AA4235">
        <v>0.91544879999999995</v>
      </c>
      <c r="AB4235">
        <v>16</v>
      </c>
      <c r="AC4235">
        <v>-5.4105999999999801</v>
      </c>
      <c r="AD4235">
        <v>-1.12479655444839</v>
      </c>
      <c r="AE4235">
        <v>-15.0549</v>
      </c>
      <c r="AF4235">
        <v>-6.4205725920350902</v>
      </c>
      <c r="AG4235">
        <v>-1.12479655444839</v>
      </c>
      <c r="AH4235">
        <v>14.566714097239201</v>
      </c>
      <c r="AI4235">
        <v>94.041671933696605</v>
      </c>
      <c r="AJ4235">
        <v>113.786452572133</v>
      </c>
      <c r="AK4235">
        <v>15.958636510967899</v>
      </c>
      <c r="AL4235">
        <v>83.939502770279006</v>
      </c>
      <c r="AM4235">
        <v>102.662805845045</v>
      </c>
      <c r="AN4235">
        <v>1.0000000335947601</v>
      </c>
    </row>
    <row r="4236" spans="1:40" x14ac:dyDescent="0.25">
      <c r="A4236" t="str">
        <f>"20190303161956063"</f>
        <v>20190303161956063</v>
      </c>
      <c r="B4236" t="str">
        <f>"1551601196057292"</f>
        <v>1551601196057292</v>
      </c>
      <c r="C4236" t="s">
        <v>40</v>
      </c>
      <c r="D4236">
        <v>4.5796049999999999</v>
      </c>
      <c r="E4236">
        <v>0.42260439999999999</v>
      </c>
      <c r="F4236" t="s">
        <v>41</v>
      </c>
      <c r="G4236">
        <v>-491.07440000000003</v>
      </c>
      <c r="H4236" s="1">
        <v>-5.613619E-7</v>
      </c>
      <c r="I4236">
        <v>260.23129999999998</v>
      </c>
      <c r="J4236">
        <v>-485.76280000000003</v>
      </c>
      <c r="K4236">
        <v>1.1247879999999999</v>
      </c>
      <c r="L4236">
        <v>275.17520000000002</v>
      </c>
      <c r="M4236">
        <v>-0.68574369999999996</v>
      </c>
      <c r="N4236">
        <v>-1.403853E-2</v>
      </c>
      <c r="O4236">
        <v>-0.72770780000000002</v>
      </c>
      <c r="P4236">
        <v>-0.5077855</v>
      </c>
      <c r="Q4236">
        <v>9.3718529999999994E-2</v>
      </c>
      <c r="R4236">
        <v>-0.85637070000000004</v>
      </c>
      <c r="S4236">
        <v>-1.042084</v>
      </c>
      <c r="T4236">
        <v>-0.21818650000000001</v>
      </c>
      <c r="U4236">
        <v>-2.912598</v>
      </c>
      <c r="V4236">
        <v>-0.2185829</v>
      </c>
      <c r="W4236">
        <v>0.1056468</v>
      </c>
      <c r="X4236">
        <v>0.97008260000000002</v>
      </c>
      <c r="Y4236">
        <v>-0.40038899999999999</v>
      </c>
      <c r="Z4236">
        <v>2.893269E-2</v>
      </c>
      <c r="AA4236">
        <v>0.91588840000000005</v>
      </c>
      <c r="AB4236">
        <v>16</v>
      </c>
      <c r="AC4236">
        <v>-5.3115999999999897</v>
      </c>
      <c r="AD4236">
        <v>-1.1247885613619</v>
      </c>
      <c r="AE4236">
        <v>-14.943899999999999</v>
      </c>
      <c r="AF4236">
        <v>-6.35107675343286</v>
      </c>
      <c r="AG4236">
        <v>-1.1247885613619</v>
      </c>
      <c r="AH4236">
        <v>14.445958955901199</v>
      </c>
      <c r="AI4236">
        <v>94.0770016500568</v>
      </c>
      <c r="AJ4236">
        <v>113.73239529905899</v>
      </c>
      <c r="AK4236">
        <v>15.8204631851077</v>
      </c>
      <c r="AL4236">
        <v>83.935567198563106</v>
      </c>
      <c r="AM4236">
        <v>102.698052051427</v>
      </c>
      <c r="AN4236">
        <v>0.99999999067270495</v>
      </c>
    </row>
    <row r="4237" spans="1:40" x14ac:dyDescent="0.25">
      <c r="A4237" t="str">
        <f>"20190303161956075"</f>
        <v>20190303161956075</v>
      </c>
      <c r="B4237" t="str">
        <f>"1551601196067052"</f>
        <v>1551601196067052</v>
      </c>
      <c r="C4237" t="s">
        <v>40</v>
      </c>
      <c r="D4237">
        <v>4.5937400000000004</v>
      </c>
      <c r="E4237">
        <v>0.42304809999999998</v>
      </c>
      <c r="F4237" t="s">
        <v>41</v>
      </c>
      <c r="G4237">
        <v>-491.00749999999999</v>
      </c>
      <c r="H4237" s="1">
        <v>-6.2558159999999995E-7</v>
      </c>
      <c r="I4237">
        <v>260.42250000000001</v>
      </c>
      <c r="J4237">
        <v>-485.81880000000001</v>
      </c>
      <c r="K4237">
        <v>1.1247819999999999</v>
      </c>
      <c r="L4237">
        <v>275.10860000000002</v>
      </c>
      <c r="M4237">
        <v>-0.68272580000000005</v>
      </c>
      <c r="N4237">
        <v>-1.403629E-2</v>
      </c>
      <c r="O4237">
        <v>-0.73053970000000001</v>
      </c>
      <c r="P4237">
        <v>-0.50348009999999999</v>
      </c>
      <c r="Q4237">
        <v>9.3985159999999998E-2</v>
      </c>
      <c r="R4237">
        <v>-0.85887990000000003</v>
      </c>
      <c r="S4237">
        <v>-1.035706</v>
      </c>
      <c r="T4237">
        <v>-0.22212090000000001</v>
      </c>
      <c r="U4237">
        <v>-2.9133300000000002</v>
      </c>
      <c r="V4237">
        <v>-0.21941910000000001</v>
      </c>
      <c r="W4237">
        <v>0.1059052</v>
      </c>
      <c r="X4237">
        <v>0.96986559999999999</v>
      </c>
      <c r="Y4237">
        <v>-0.39845649999999999</v>
      </c>
      <c r="Z4237">
        <v>2.9975559999999998E-2</v>
      </c>
      <c r="AA4237">
        <v>0.91669730000000005</v>
      </c>
      <c r="AB4237">
        <v>16</v>
      </c>
      <c r="AC4237">
        <v>-5.1886999999999803</v>
      </c>
      <c r="AD4237">
        <v>-1.1247826255816</v>
      </c>
      <c r="AE4237">
        <v>-14.6861</v>
      </c>
      <c r="AF4237">
        <v>-6.20428885815606</v>
      </c>
      <c r="AG4237">
        <v>-1.1247826255816</v>
      </c>
      <c r="AH4237">
        <v>14.198602902472199</v>
      </c>
      <c r="AI4237">
        <v>94.151833494527494</v>
      </c>
      <c r="AJ4237">
        <v>113.603631655573</v>
      </c>
      <c r="AK4237">
        <v>15.535722080815599</v>
      </c>
      <c r="AL4237">
        <v>83.920678301052604</v>
      </c>
      <c r="AM4237">
        <v>102.747803758388</v>
      </c>
      <c r="AN4237">
        <v>0.999999967447604</v>
      </c>
    </row>
    <row r="4238" spans="1:40" x14ac:dyDescent="0.25">
      <c r="A4238" t="str">
        <f>"20190303161956090"</f>
        <v>20190303161956090</v>
      </c>
      <c r="B4238" t="str">
        <f>"1551601196077788"</f>
        <v>1551601196077788</v>
      </c>
      <c r="C4238" t="s">
        <v>40</v>
      </c>
      <c r="D4238">
        <v>4.6014889999999999</v>
      </c>
      <c r="E4238">
        <v>0.42354979999999998</v>
      </c>
      <c r="F4238" t="s">
        <v>41</v>
      </c>
      <c r="G4238">
        <v>-491.00470000000001</v>
      </c>
      <c r="H4238" s="1">
        <v>-5.8758999999999898E-7</v>
      </c>
      <c r="I4238">
        <v>260.3356</v>
      </c>
      <c r="J4238">
        <v>-485.88310000000001</v>
      </c>
      <c r="K4238">
        <v>1.124771</v>
      </c>
      <c r="L4238">
        <v>275.0317</v>
      </c>
      <c r="M4238">
        <v>-0.6792281</v>
      </c>
      <c r="N4238">
        <v>-1.403367E-2</v>
      </c>
      <c r="O4238">
        <v>-0.73379300000000003</v>
      </c>
      <c r="P4238">
        <v>-0.49829580000000001</v>
      </c>
      <c r="Q4238">
        <v>9.4678890000000002E-2</v>
      </c>
      <c r="R4238">
        <v>-0.86182209999999904</v>
      </c>
      <c r="S4238">
        <v>-1.023987</v>
      </c>
      <c r="T4238">
        <v>-0.22209309999999999</v>
      </c>
      <c r="U4238">
        <v>-2.916992</v>
      </c>
      <c r="V4238">
        <v>-0.22058340000000001</v>
      </c>
      <c r="W4238">
        <v>0.1065875</v>
      </c>
      <c r="X4238">
        <v>0.96952669999999996</v>
      </c>
      <c r="Y4238">
        <v>-0.3977174</v>
      </c>
      <c r="Z4238">
        <v>3.0252999999999999E-2</v>
      </c>
      <c r="AA4238">
        <v>0.91700910000000002</v>
      </c>
      <c r="AB4238">
        <v>16</v>
      </c>
      <c r="AC4238">
        <v>-5.1215999999999999</v>
      </c>
      <c r="AD4238">
        <v>-1.12477158759</v>
      </c>
      <c r="AE4238">
        <v>-14.696099999999999</v>
      </c>
      <c r="AF4238">
        <v>-6.1920800697987701</v>
      </c>
      <c r="AG4238">
        <v>-1.12477158759</v>
      </c>
      <c r="AH4238">
        <v>14.189917225366599</v>
      </c>
      <c r="AI4238">
        <v>94.155225594605596</v>
      </c>
      <c r="AJ4238">
        <v>113.57510030616901</v>
      </c>
      <c r="AK4238">
        <v>15.522909443071701</v>
      </c>
      <c r="AL4238">
        <v>83.881362914031797</v>
      </c>
      <c r="AM4238">
        <v>102.817550918699</v>
      </c>
      <c r="AN4238">
        <v>0.99999997676234897</v>
      </c>
    </row>
    <row r="4239" spans="1:40" x14ac:dyDescent="0.25">
      <c r="A4239" t="str">
        <f>"20190303161956104"</f>
        <v>20190303161956104</v>
      </c>
      <c r="B4239" t="str">
        <f>"1551601196096332"</f>
        <v>1551601196096332</v>
      </c>
      <c r="C4239" t="s">
        <v>40</v>
      </c>
      <c r="D4239">
        <v>4.5507330000000001</v>
      </c>
      <c r="E4239">
        <v>0.42455039999999999</v>
      </c>
      <c r="F4239" t="s">
        <v>41</v>
      </c>
      <c r="G4239">
        <v>-491.15679999999998</v>
      </c>
      <c r="H4239" s="1">
        <v>-3.8862780000000002E-7</v>
      </c>
      <c r="I4239">
        <v>259.77749999999997</v>
      </c>
      <c r="J4239">
        <v>-485.9477</v>
      </c>
      <c r="K4239">
        <v>1.1247640000000001</v>
      </c>
      <c r="L4239">
        <v>274.9538</v>
      </c>
      <c r="M4239">
        <v>-0.67568739999999905</v>
      </c>
      <c r="N4239">
        <v>-1.403099E-2</v>
      </c>
      <c r="O4239">
        <v>-0.73705489999999996</v>
      </c>
      <c r="P4239">
        <v>-0.49372159999999898</v>
      </c>
      <c r="Q4239">
        <v>9.4704269999999993E-2</v>
      </c>
      <c r="R4239">
        <v>-0.86444809999999905</v>
      </c>
      <c r="S4239">
        <v>-1.0097659999999999</v>
      </c>
      <c r="T4239">
        <v>-0.21536230000000001</v>
      </c>
      <c r="U4239">
        <v>-2.9207459999999998</v>
      </c>
      <c r="V4239">
        <v>-0.22104979999999999</v>
      </c>
      <c r="W4239">
        <v>0.1066093</v>
      </c>
      <c r="X4239">
        <v>0.96941809999999995</v>
      </c>
      <c r="Y4239">
        <v>-0.39764949999999999</v>
      </c>
      <c r="Z4239">
        <v>2.9230450000000002E-2</v>
      </c>
      <c r="AA4239">
        <v>0.91707169999999905</v>
      </c>
      <c r="AB4239">
        <v>16</v>
      </c>
      <c r="AC4239">
        <v>-5.2090999999999701</v>
      </c>
      <c r="AD4239">
        <v>-1.12476438862779</v>
      </c>
      <c r="AE4239">
        <v>-15.176299999999999</v>
      </c>
      <c r="AF4239">
        <v>-6.3843012243193904</v>
      </c>
      <c r="AG4239">
        <v>-1.12476438862779</v>
      </c>
      <c r="AH4239">
        <v>14.6350210298907</v>
      </c>
      <c r="AI4239">
        <v>94.029449352802104</v>
      </c>
      <c r="AJ4239">
        <v>113.568490915173</v>
      </c>
      <c r="AK4239">
        <v>16.0065061021484</v>
      </c>
      <c r="AL4239">
        <v>83.880106880387999</v>
      </c>
      <c r="AM4239">
        <v>102.845145444915</v>
      </c>
      <c r="AN4239">
        <v>1.0000000047670601</v>
      </c>
    </row>
    <row r="4240" spans="1:40" x14ac:dyDescent="0.25">
      <c r="A4240" t="str">
        <f>"20190303161956115"</f>
        <v>20190303161956115</v>
      </c>
      <c r="B4240" t="str">
        <f>"1551601196107068"</f>
        <v>1551601196107068</v>
      </c>
      <c r="C4240" t="s">
        <v>40</v>
      </c>
      <c r="D4240">
        <v>4.5986479999999998</v>
      </c>
      <c r="E4240">
        <v>0.42504740000000002</v>
      </c>
      <c r="F4240" t="s">
        <v>41</v>
      </c>
      <c r="G4240">
        <v>-491.18259999999998</v>
      </c>
      <c r="H4240" s="1">
        <v>-3.436897E-7</v>
      </c>
      <c r="I4240">
        <v>259.6567</v>
      </c>
      <c r="J4240">
        <v>-485.9975</v>
      </c>
      <c r="K4240">
        <v>1.1247579999999999</v>
      </c>
      <c r="L4240">
        <v>274.89280000000002</v>
      </c>
      <c r="M4240">
        <v>-0.67291690000000004</v>
      </c>
      <c r="N4240">
        <v>-1.402889E-2</v>
      </c>
      <c r="O4240">
        <v>-0.7395853</v>
      </c>
      <c r="P4240">
        <v>-0.48990830000000002</v>
      </c>
      <c r="Q4240">
        <v>9.5108159999999997E-2</v>
      </c>
      <c r="R4240">
        <v>-0.86657039999999996</v>
      </c>
      <c r="S4240">
        <v>-1.0002139999999999</v>
      </c>
      <c r="T4240">
        <v>-0.21490090000000001</v>
      </c>
      <c r="U4240">
        <v>-2.9226990000000002</v>
      </c>
      <c r="V4240">
        <v>-0.22165589999999999</v>
      </c>
      <c r="W4240">
        <v>0.10700759999999999</v>
      </c>
      <c r="X4240">
        <v>0.96923579999999998</v>
      </c>
      <c r="Y4240">
        <v>-0.39707900000000002</v>
      </c>
      <c r="Z4240">
        <v>2.9366710000000001E-2</v>
      </c>
      <c r="AA4240">
        <v>0.91731450000000003</v>
      </c>
      <c r="AB4240">
        <v>16</v>
      </c>
      <c r="AC4240">
        <v>-5.1850999999999701</v>
      </c>
      <c r="AD4240">
        <v>-1.1247583436897</v>
      </c>
      <c r="AE4240">
        <v>-15.2361</v>
      </c>
      <c r="AF4240">
        <v>-6.3872403763002303</v>
      </c>
      <c r="AG4240">
        <v>-1.1247583436897</v>
      </c>
      <c r="AH4240">
        <v>14.6872536250659</v>
      </c>
      <c r="AI4240">
        <v>94.017125090807298</v>
      </c>
      <c r="AJ4240">
        <v>113.503414373903</v>
      </c>
      <c r="AK4240">
        <v>16.0554458051887</v>
      </c>
      <c r="AL4240">
        <v>83.857154647974696</v>
      </c>
      <c r="AM4240">
        <v>102.88153440036299</v>
      </c>
      <c r="AN4240">
        <v>1.0000000002320999</v>
      </c>
    </row>
    <row r="4241" spans="1:40" x14ac:dyDescent="0.25">
      <c r="A4241" t="str">
        <f>"20190303161956128"</f>
        <v>20190303161956128</v>
      </c>
      <c r="B4241" t="str">
        <f>"1551601196116828"</f>
        <v>1551601196116828</v>
      </c>
      <c r="C4241" t="s">
        <v>40</v>
      </c>
      <c r="D4241">
        <v>4.6192580000000003</v>
      </c>
      <c r="E4241">
        <v>0.42562820000000001</v>
      </c>
      <c r="F4241" t="s">
        <v>41</v>
      </c>
      <c r="G4241">
        <v>-491.25069999999999</v>
      </c>
      <c r="H4241" s="1">
        <v>-4.4463600000000001E-6</v>
      </c>
      <c r="I4241">
        <v>259.40069999999997</v>
      </c>
      <c r="J4241">
        <v>-486.05399999999997</v>
      </c>
      <c r="K4241">
        <v>1.124752</v>
      </c>
      <c r="L4241">
        <v>274.82350000000002</v>
      </c>
      <c r="M4241">
        <v>-0.66976259999999999</v>
      </c>
      <c r="N4241">
        <v>-1.4026479999999999E-2</v>
      </c>
      <c r="O4241">
        <v>-0.74244319999999997</v>
      </c>
      <c r="P4241">
        <v>-0.48606389999999999</v>
      </c>
      <c r="Q4241">
        <v>9.5558290000000004E-2</v>
      </c>
      <c r="R4241">
        <v>-0.86868380000000001</v>
      </c>
      <c r="S4241">
        <v>-0.9916992</v>
      </c>
      <c r="T4241">
        <v>-0.21233389999999999</v>
      </c>
      <c r="U4241">
        <v>-2.9246219999999998</v>
      </c>
      <c r="V4241">
        <v>-0.2217934</v>
      </c>
      <c r="W4241">
        <v>0.1074575</v>
      </c>
      <c r="X4241">
        <v>0.96915450000000003</v>
      </c>
      <c r="Y4241">
        <v>-0.39575280000000002</v>
      </c>
      <c r="Z4241">
        <v>2.913634E-2</v>
      </c>
      <c r="AA4241">
        <v>0.91789480000000001</v>
      </c>
      <c r="AB4241">
        <v>16</v>
      </c>
      <c r="AC4241">
        <v>-5.1966999999999599</v>
      </c>
      <c r="AD4241">
        <v>-1.1247564463599999</v>
      </c>
      <c r="AE4241">
        <v>-15.422800000000001</v>
      </c>
      <c r="AF4241">
        <v>-6.4412299329425</v>
      </c>
      <c r="AG4241">
        <v>-1.1247564463599999</v>
      </c>
      <c r="AH4241">
        <v>14.861590283714101</v>
      </c>
      <c r="AI4241">
        <v>93.972270073913194</v>
      </c>
      <c r="AJ4241">
        <v>113.432611923913</v>
      </c>
      <c r="AK4241">
        <v>16.2364215846242</v>
      </c>
      <c r="AL4241">
        <v>83.831227381926595</v>
      </c>
      <c r="AM4241">
        <v>102.890303546072</v>
      </c>
      <c r="AN4241">
        <v>0.99999993573002799</v>
      </c>
    </row>
    <row r="4242" spans="1:40" x14ac:dyDescent="0.25">
      <c r="A4242" t="str">
        <f>"20190303161956140"</f>
        <v>20190303161956140</v>
      </c>
      <c r="B4242" t="str">
        <f>"1551601196126589"</f>
        <v>1551601196126589</v>
      </c>
      <c r="C4242" t="s">
        <v>40</v>
      </c>
      <c r="D4242">
        <v>4.6468170000000004</v>
      </c>
      <c r="E4242">
        <v>0.42609190000000002</v>
      </c>
      <c r="F4242" t="s">
        <v>41</v>
      </c>
      <c r="G4242">
        <v>-491.34019999999998</v>
      </c>
      <c r="H4242" s="1">
        <v>-4.3547230000000004E-6</v>
      </c>
      <c r="I4242">
        <v>259.0847</v>
      </c>
      <c r="J4242">
        <v>-486.10539999999997</v>
      </c>
      <c r="K4242">
        <v>1.124754</v>
      </c>
      <c r="L4242">
        <v>274.75970000000001</v>
      </c>
      <c r="M4242">
        <v>-0.66685909999999904</v>
      </c>
      <c r="N4242">
        <v>-1.402406E-2</v>
      </c>
      <c r="O4242">
        <v>-0.74505200000000005</v>
      </c>
      <c r="P4242">
        <v>-0.48225630000000003</v>
      </c>
      <c r="Q4242">
        <v>9.5848420000000004E-2</v>
      </c>
      <c r="R4242">
        <v>-0.87077099999999996</v>
      </c>
      <c r="S4242">
        <v>-0.9829407</v>
      </c>
      <c r="T4242">
        <v>-0.20914340000000001</v>
      </c>
      <c r="U4242">
        <v>-2.9265439999999998</v>
      </c>
      <c r="V4242">
        <v>-0.2222325</v>
      </c>
      <c r="W4242">
        <v>0.1077434</v>
      </c>
      <c r="X4242">
        <v>0.96902219999999994</v>
      </c>
      <c r="Y4242">
        <v>-0.39481939999999999</v>
      </c>
      <c r="Z4242">
        <v>2.8747439999999999E-2</v>
      </c>
      <c r="AA4242">
        <v>0.91830889999999998</v>
      </c>
      <c r="AB4242">
        <v>16</v>
      </c>
      <c r="AC4242">
        <v>-5.2347999999999999</v>
      </c>
      <c r="AD4242">
        <v>-1.124758354723</v>
      </c>
      <c r="AE4242">
        <v>-15.675000000000001</v>
      </c>
      <c r="AF4242">
        <v>-6.5232452889100498</v>
      </c>
      <c r="AG4242">
        <v>-1.124758354723</v>
      </c>
      <c r="AH4242">
        <v>15.101103814719099</v>
      </c>
      <c r="AI4242">
        <v>93.911521206060897</v>
      </c>
      <c r="AJ4242">
        <v>113.362964582598</v>
      </c>
      <c r="AK4242">
        <v>16.4882123615245</v>
      </c>
      <c r="AL4242">
        <v>83.814751097188804</v>
      </c>
      <c r="AM4242">
        <v>102.91667264077201</v>
      </c>
      <c r="AN4242">
        <v>0.99999997419632403</v>
      </c>
    </row>
    <row r="4243" spans="1:40" x14ac:dyDescent="0.25">
      <c r="A4243" t="str">
        <f>"20190303161956151"</f>
        <v>20190303161956151</v>
      </c>
      <c r="B4243" t="str">
        <f>"1551601196147084"</f>
        <v>1551601196147084</v>
      </c>
      <c r="C4243" t="s">
        <v>40</v>
      </c>
      <c r="D4243">
        <v>4.6935190000000002</v>
      </c>
      <c r="E4243">
        <v>0.4270137</v>
      </c>
      <c r="F4243" t="s">
        <v>41</v>
      </c>
      <c r="G4243">
        <v>-491.42649999999998</v>
      </c>
      <c r="H4243" s="1">
        <v>-4.251964E-6</v>
      </c>
      <c r="I4243">
        <v>258.73779999999999</v>
      </c>
      <c r="J4243">
        <v>-486.15440000000001</v>
      </c>
      <c r="K4243">
        <v>1.1247480000000001</v>
      </c>
      <c r="L4243">
        <v>274.69839999999999</v>
      </c>
      <c r="M4243">
        <v>-0.66406989999999999</v>
      </c>
      <c r="N4243">
        <v>-1.4021769999999999E-2</v>
      </c>
      <c r="O4243">
        <v>-0.74753910000000001</v>
      </c>
      <c r="P4243">
        <v>-0.4792015</v>
      </c>
      <c r="Q4243">
        <v>9.6211249999999998E-2</v>
      </c>
      <c r="R4243">
        <v>-0.87241599999999997</v>
      </c>
      <c r="S4243">
        <v>-0.97280880000000003</v>
      </c>
      <c r="T4243">
        <v>-0.2056296</v>
      </c>
      <c r="U4243">
        <v>-2.929138</v>
      </c>
      <c r="V4243">
        <v>-0.2219815</v>
      </c>
      <c r="W4243">
        <v>0.10810980000000001</v>
      </c>
      <c r="X4243">
        <v>0.96903899999999998</v>
      </c>
      <c r="Y4243">
        <v>-0.3944897</v>
      </c>
      <c r="Z4243">
        <v>2.825718E-2</v>
      </c>
      <c r="AA4243">
        <v>0.9184658</v>
      </c>
      <c r="AB4243">
        <v>16</v>
      </c>
      <c r="AC4243">
        <v>-5.27209999999996</v>
      </c>
      <c r="AD4243">
        <v>-1.1247522519640001</v>
      </c>
      <c r="AE4243">
        <v>-15.960599999999999</v>
      </c>
      <c r="AF4243">
        <v>-6.6288263706566903</v>
      </c>
      <c r="AG4243">
        <v>-1.1247522519640001</v>
      </c>
      <c r="AH4243">
        <v>15.364934389032801</v>
      </c>
      <c r="AI4243">
        <v>93.845300373146003</v>
      </c>
      <c r="AJ4243">
        <v>113.336604994296</v>
      </c>
      <c r="AK4243">
        <v>16.771631270091</v>
      </c>
      <c r="AL4243">
        <v>83.793635046793298</v>
      </c>
      <c r="AM4243">
        <v>102.902356225101</v>
      </c>
      <c r="AN4243">
        <v>1.0000000493596399</v>
      </c>
    </row>
    <row r="4244" spans="1:40" x14ac:dyDescent="0.25">
      <c r="A4244" t="str">
        <f>"20190303161956161"</f>
        <v>20190303161956161</v>
      </c>
      <c r="B4244" t="str">
        <f>"1551601196156844"</f>
        <v>1551601196156844</v>
      </c>
      <c r="C4244" t="s">
        <v>40</v>
      </c>
      <c r="D4244">
        <v>4.6383029999999996</v>
      </c>
      <c r="E4244">
        <v>0.42755159999999998</v>
      </c>
      <c r="F4244" t="s">
        <v>41</v>
      </c>
      <c r="G4244">
        <v>-491.5428</v>
      </c>
      <c r="H4244" s="1">
        <v>-4.1605290000000004E-6</v>
      </c>
      <c r="I4244">
        <v>258.4085</v>
      </c>
      <c r="J4244">
        <v>-486.20330000000001</v>
      </c>
      <c r="K4244">
        <v>1.124743</v>
      </c>
      <c r="L4244">
        <v>274.637</v>
      </c>
      <c r="M4244">
        <v>-0.66127029999999998</v>
      </c>
      <c r="N4244">
        <v>-1.4019520000000001E-2</v>
      </c>
      <c r="O4244">
        <v>-0.75001689999999999</v>
      </c>
      <c r="P4244">
        <v>-0.4759737</v>
      </c>
      <c r="Q4244">
        <v>9.6330399999999997E-2</v>
      </c>
      <c r="R4244">
        <v>-0.8741679</v>
      </c>
      <c r="S4244">
        <v>-0.96881099999999998</v>
      </c>
      <c r="T4244">
        <v>-0.20222850000000001</v>
      </c>
      <c r="U4244">
        <v>-2.9288940000000001</v>
      </c>
      <c r="V4244">
        <v>-0.22192999999999999</v>
      </c>
      <c r="W4244">
        <v>0.1082307</v>
      </c>
      <c r="X4244">
        <v>0.96903720000000004</v>
      </c>
      <c r="Y4244">
        <v>-0.39216309999999999</v>
      </c>
      <c r="Z4244">
        <v>2.7850360000000001E-2</v>
      </c>
      <c r="AA4244">
        <v>0.91947400000000001</v>
      </c>
      <c r="AB4244">
        <v>16</v>
      </c>
      <c r="AC4244">
        <v>-5.3394999999999797</v>
      </c>
      <c r="AD4244">
        <v>-1.124747160529</v>
      </c>
      <c r="AE4244">
        <v>-16.228499999999901</v>
      </c>
      <c r="AF4244">
        <v>-6.6983376953263596</v>
      </c>
      <c r="AG4244">
        <v>-1.124747160529</v>
      </c>
      <c r="AH4244">
        <v>15.636271515964101</v>
      </c>
      <c r="AI4244">
        <v>93.7829103742895</v>
      </c>
      <c r="AJ4244">
        <v>113.189545762566</v>
      </c>
      <c r="AK4244">
        <v>17.047749733519002</v>
      </c>
      <c r="AL4244">
        <v>83.786666495813705</v>
      </c>
      <c r="AM4244">
        <v>102.89948616151899</v>
      </c>
      <c r="AN4244">
        <v>0.99999995215316395</v>
      </c>
    </row>
    <row r="4245" spans="1:40" x14ac:dyDescent="0.25">
      <c r="A4245" t="str">
        <f>"20190303161956178"</f>
        <v>20190303161956178</v>
      </c>
      <c r="B4245" t="str">
        <f>"1551601196166604"</f>
        <v>1551601196166604</v>
      </c>
      <c r="C4245" t="s">
        <v>40</v>
      </c>
      <c r="D4245">
        <v>4.6683669999999999</v>
      </c>
      <c r="E4245">
        <v>0.42770940000000002</v>
      </c>
      <c r="F4245" t="s">
        <v>41</v>
      </c>
      <c r="G4245">
        <v>-491.6198</v>
      </c>
      <c r="H4245" s="1">
        <v>-4.0791420000000004E-6</v>
      </c>
      <c r="I4245">
        <v>258.12920000000003</v>
      </c>
      <c r="J4245">
        <v>-486.2681</v>
      </c>
      <c r="K4245">
        <v>1.1247370000000001</v>
      </c>
      <c r="L4245">
        <v>274.55459999999999</v>
      </c>
      <c r="M4245">
        <v>-0.65751579999999998</v>
      </c>
      <c r="N4245">
        <v>-1.401645E-2</v>
      </c>
      <c r="O4245">
        <v>-0.7533107</v>
      </c>
      <c r="P4245">
        <v>-0.47215590000000002</v>
      </c>
      <c r="Q4245">
        <v>9.6351389999999995E-2</v>
      </c>
      <c r="R4245">
        <v>-0.87623410000000002</v>
      </c>
      <c r="S4245">
        <v>-0.96148679999999997</v>
      </c>
      <c r="T4245">
        <v>-0.1996541</v>
      </c>
      <c r="U4245">
        <v>-2.9302980000000001</v>
      </c>
      <c r="V4245">
        <v>-0.22131239999999999</v>
      </c>
      <c r="W4245">
        <v>0.1082596</v>
      </c>
      <c r="X4245">
        <v>0.96917529999999996</v>
      </c>
      <c r="Y4245">
        <v>-0.38977610000000001</v>
      </c>
      <c r="Z4245">
        <v>2.7651140000000001E-2</v>
      </c>
      <c r="AA4245">
        <v>0.92049440000000005</v>
      </c>
      <c r="AB4245">
        <v>16</v>
      </c>
      <c r="AC4245">
        <v>-5.3516999999999904</v>
      </c>
      <c r="AD4245">
        <v>-1.1247410791419901</v>
      </c>
      <c r="AE4245">
        <v>-16.4253999999999</v>
      </c>
      <c r="AF4245">
        <v>-6.7405576810498697</v>
      </c>
      <c r="AG4245">
        <v>-1.1247410791419901</v>
      </c>
      <c r="AH4245">
        <v>15.826725878714001</v>
      </c>
      <c r="AI4245">
        <v>93.740847820384502</v>
      </c>
      <c r="AJ4245">
        <v>113.069017391397</v>
      </c>
      <c r="AK4245">
        <v>17.239066459255401</v>
      </c>
      <c r="AL4245">
        <v>83.785001413668795</v>
      </c>
      <c r="AM4245">
        <v>102.863012537617</v>
      </c>
      <c r="AN4245">
        <v>1.0000000407580001</v>
      </c>
    </row>
    <row r="4246" spans="1:40" x14ac:dyDescent="0.25">
      <c r="A4246" t="str">
        <f>"20190303161956190"</f>
        <v>20190303161956190</v>
      </c>
      <c r="B4246" t="str">
        <f>"1551601196176364"</f>
        <v>1551601196176364</v>
      </c>
      <c r="C4246" t="s">
        <v>40</v>
      </c>
      <c r="D4246">
        <v>4.6244319999999997</v>
      </c>
      <c r="E4246">
        <v>0.42770940000000002</v>
      </c>
      <c r="F4246" t="s">
        <v>41</v>
      </c>
      <c r="G4246">
        <v>-491.67669999999998</v>
      </c>
      <c r="H4246" s="1">
        <v>-3.9837840000000003E-6</v>
      </c>
      <c r="I4246">
        <v>257.83550000000002</v>
      </c>
      <c r="J4246">
        <v>-486.31760000000003</v>
      </c>
      <c r="K4246">
        <v>1.1247320000000001</v>
      </c>
      <c r="L4246">
        <v>274.49119999999999</v>
      </c>
      <c r="M4246">
        <v>-0.65462749999999903</v>
      </c>
      <c r="N4246">
        <v>-1.40141E-2</v>
      </c>
      <c r="O4246">
        <v>-0.75582179999999999</v>
      </c>
      <c r="P4246">
        <v>-0.46922970000000003</v>
      </c>
      <c r="Q4246">
        <v>9.6250130000000003E-2</v>
      </c>
      <c r="R4246">
        <v>-0.87781509999999996</v>
      </c>
      <c r="S4246">
        <v>-0.94912719999999995</v>
      </c>
      <c r="T4246">
        <v>-0.19737579999999999</v>
      </c>
      <c r="U4246">
        <v>-2.9339599999999999</v>
      </c>
      <c r="V4246">
        <v>-0.22084010000000001</v>
      </c>
      <c r="W4246">
        <v>0.10816480000000001</v>
      </c>
      <c r="X4246">
        <v>0.96929359999999998</v>
      </c>
      <c r="Y4246">
        <v>-0.390098</v>
      </c>
      <c r="Z4246">
        <v>2.7363189999999999E-2</v>
      </c>
      <c r="AA4246">
        <v>0.92036660000000003</v>
      </c>
      <c r="AB4246">
        <v>16</v>
      </c>
      <c r="AC4246">
        <v>-5.35909999999995</v>
      </c>
      <c r="AD4246">
        <v>-1.1247359837840001</v>
      </c>
      <c r="AE4246">
        <v>-16.6556999999999</v>
      </c>
      <c r="AF4246">
        <v>-6.8252232622003701</v>
      </c>
      <c r="AG4246">
        <v>-1.1247359837840001</v>
      </c>
      <c r="AH4246">
        <v>16.032284839116301</v>
      </c>
      <c r="AI4246">
        <v>93.693239795005198</v>
      </c>
      <c r="AJ4246">
        <v>113.06030041654699</v>
      </c>
      <c r="AK4246">
        <v>17.460895188238698</v>
      </c>
      <c r="AL4246">
        <v>83.790465060057301</v>
      </c>
      <c r="AM4246">
        <v>102.834957283468</v>
      </c>
      <c r="AN4246">
        <v>1.000000028364</v>
      </c>
    </row>
    <row r="4247" spans="1:40" x14ac:dyDescent="0.25">
      <c r="A4247" t="str">
        <f>"20190303161956199"</f>
        <v>20190303161956199</v>
      </c>
      <c r="B4247" t="str">
        <f>"1551601196187100"</f>
        <v>1551601196187100</v>
      </c>
      <c r="C4247" t="s">
        <v>40</v>
      </c>
      <c r="D4247">
        <v>4.5905589999999998</v>
      </c>
      <c r="E4247">
        <v>0.3957541</v>
      </c>
      <c r="F4247" t="s">
        <v>41</v>
      </c>
      <c r="G4247">
        <v>-491.66910000000001</v>
      </c>
      <c r="H4247" s="1">
        <v>-3.9457880000000001E-6</v>
      </c>
      <c r="I4247">
        <v>257.7516</v>
      </c>
      <c r="J4247">
        <v>-486.36259999999999</v>
      </c>
      <c r="K4247">
        <v>1.124727</v>
      </c>
      <c r="L4247">
        <v>274.43299999999999</v>
      </c>
      <c r="M4247">
        <v>-0.65197740000000004</v>
      </c>
      <c r="N4247">
        <v>-1.401195E-2</v>
      </c>
      <c r="O4247">
        <v>-0.75810919999999904</v>
      </c>
      <c r="P4247">
        <v>-0.46667799999999998</v>
      </c>
      <c r="Q4247">
        <v>9.6360899999999999E-2</v>
      </c>
      <c r="R4247">
        <v>-0.87916260000000002</v>
      </c>
      <c r="S4247">
        <v>-0.93902589999999997</v>
      </c>
      <c r="T4247">
        <v>-0.19735659999999999</v>
      </c>
      <c r="U4247">
        <v>-2.9372859999999998</v>
      </c>
      <c r="V4247">
        <v>-0.2202529</v>
      </c>
      <c r="W4247">
        <v>0.1082828</v>
      </c>
      <c r="X4247">
        <v>0.969414</v>
      </c>
      <c r="Y4247">
        <v>-0.39005020000000001</v>
      </c>
      <c r="Z4247">
        <v>2.7517639999999999E-2</v>
      </c>
      <c r="AA4247">
        <v>0.92038229999999999</v>
      </c>
      <c r="AB4247">
        <v>16</v>
      </c>
      <c r="AC4247">
        <v>-5.3065000000000202</v>
      </c>
      <c r="AD4247">
        <v>-1.1247309457879999</v>
      </c>
      <c r="AE4247">
        <v>-16.681399999999901</v>
      </c>
      <c r="AF4247">
        <v>-6.82548323458336</v>
      </c>
      <c r="AG4247">
        <v>-1.1247309457879999</v>
      </c>
      <c r="AH4247">
        <v>16.041395471789802</v>
      </c>
      <c r="AI4247">
        <v>93.691430760087798</v>
      </c>
      <c r="AJ4247">
        <v>113.04935788321799</v>
      </c>
      <c r="AK4247">
        <v>17.469362030948599</v>
      </c>
      <c r="AL4247">
        <v>83.783664062229207</v>
      </c>
      <c r="AM4247">
        <v>102.80041830937</v>
      </c>
      <c r="AN4247">
        <v>1.00000000406512</v>
      </c>
    </row>
    <row r="4248" spans="1:40" x14ac:dyDescent="0.25">
      <c r="A4248" t="str">
        <f>"20190303161956211"</f>
        <v>20190303161956211</v>
      </c>
      <c r="B4248" t="str">
        <f>"1551601196206620"</f>
        <v>1551601196206620</v>
      </c>
      <c r="C4248" t="s">
        <v>40</v>
      </c>
      <c r="D4248">
        <v>4.6057459999999999</v>
      </c>
      <c r="E4248">
        <v>0.37723390000000001</v>
      </c>
      <c r="F4248" t="s">
        <v>41</v>
      </c>
      <c r="G4248">
        <v>-491.72179999999997</v>
      </c>
      <c r="H4248" s="1">
        <v>-1.083191E-6</v>
      </c>
      <c r="I4248">
        <v>251.0462</v>
      </c>
      <c r="J4248">
        <v>-486.4092</v>
      </c>
      <c r="K4248">
        <v>1.1247229999999999</v>
      </c>
      <c r="L4248">
        <v>274.37240000000003</v>
      </c>
      <c r="M4248">
        <v>-0.64920929999999999</v>
      </c>
      <c r="N4248">
        <v>-1.400968E-2</v>
      </c>
      <c r="O4248">
        <v>-0.76048079999999996</v>
      </c>
      <c r="P4248">
        <v>-0.4639588</v>
      </c>
      <c r="Q4248">
        <v>9.6344170000000007E-2</v>
      </c>
      <c r="R4248">
        <v>-0.88060210000000005</v>
      </c>
      <c r="S4248">
        <v>-0.70043949999999999</v>
      </c>
      <c r="T4248">
        <v>-0.14700079999999999</v>
      </c>
      <c r="U4248">
        <v>-3.0566409999999999</v>
      </c>
      <c r="V4248">
        <v>-0.2197132</v>
      </c>
      <c r="W4248">
        <v>0.10827290000000001</v>
      </c>
      <c r="X4248">
        <v>0.9695376</v>
      </c>
      <c r="Y4248">
        <v>-0.46275319999999998</v>
      </c>
      <c r="Z4248">
        <v>1.528184E-2</v>
      </c>
      <c r="AA4248">
        <v>0.88635549999999996</v>
      </c>
      <c r="AB4248">
        <v>16</v>
      </c>
      <c r="AC4248">
        <v>-5.3125999999999696</v>
      </c>
      <c r="AD4248">
        <v>-1.1247240831909999</v>
      </c>
      <c r="AE4248">
        <v>-23.3262</v>
      </c>
      <c r="AF4248">
        <v>-11.080055598803501</v>
      </c>
      <c r="AG4248">
        <v>-1.1247240831909999</v>
      </c>
      <c r="AH4248">
        <v>21.143463478754899</v>
      </c>
      <c r="AI4248">
        <v>92.697622141490797</v>
      </c>
      <c r="AJ4248">
        <v>117.65641096325299</v>
      </c>
      <c r="AK4248">
        <v>23.897252649903699</v>
      </c>
      <c r="AL4248">
        <v>83.784234834830798</v>
      </c>
      <c r="AM4248">
        <v>102.768507672251</v>
      </c>
      <c r="AN4248">
        <v>1.0000000344711999</v>
      </c>
    </row>
    <row r="4249" spans="1:40" x14ac:dyDescent="0.25">
      <c r="A4249" t="str">
        <f>"20190303161956223"</f>
        <v>20190303161956223</v>
      </c>
      <c r="B4249" t="str">
        <f>"1551601196216380"</f>
        <v>1551601196216380</v>
      </c>
      <c r="C4249" t="s">
        <v>40</v>
      </c>
      <c r="D4249">
        <v>4.6147330000000002</v>
      </c>
      <c r="E4249">
        <v>0.3693689</v>
      </c>
      <c r="F4249" t="s">
        <v>42</v>
      </c>
      <c r="G4249">
        <v>-486.57670000000002</v>
      </c>
      <c r="H4249">
        <v>1.06508799999999</v>
      </c>
      <c r="I4249">
        <v>273.44409999999999</v>
      </c>
      <c r="J4249">
        <v>-486.46100000000001</v>
      </c>
      <c r="K4249">
        <v>1.1247180000000001</v>
      </c>
      <c r="L4249">
        <v>274.30459999999999</v>
      </c>
      <c r="M4249">
        <v>-0.64611289999999999</v>
      </c>
      <c r="N4249">
        <v>-1.4007149999999999E-2</v>
      </c>
      <c r="O4249">
        <v>-0.76311340000000005</v>
      </c>
      <c r="P4249">
        <v>-0.4609473</v>
      </c>
      <c r="Q4249">
        <v>9.6619209999999997E-2</v>
      </c>
      <c r="R4249">
        <v>-0.88215219999999905</v>
      </c>
      <c r="S4249">
        <v>-0.56466669999999997</v>
      </c>
      <c r="T4249">
        <v>-0.20111010000000001</v>
      </c>
      <c r="U4249">
        <v>-3.1312869999999999</v>
      </c>
      <c r="V4249">
        <v>-0.2190647</v>
      </c>
      <c r="W4249">
        <v>0.10855629999999999</v>
      </c>
      <c r="X4249">
        <v>0.96965259999999998</v>
      </c>
      <c r="Y4249">
        <v>-0.50013759999999996</v>
      </c>
      <c r="Z4249">
        <v>2.4129279999999999E-2</v>
      </c>
      <c r="AA4249">
        <v>0.86560969999999904</v>
      </c>
      <c r="AB4249">
        <v>16</v>
      </c>
      <c r="AC4249">
        <v>-0.11570000000000299</v>
      </c>
      <c r="AD4249">
        <v>-5.9630000000000197E-2</v>
      </c>
      <c r="AE4249">
        <v>-0.86050000000000104</v>
      </c>
      <c r="AF4249">
        <v>-0.46553793929180798</v>
      </c>
      <c r="AG4249">
        <v>-5.9630000000000197E-2</v>
      </c>
      <c r="AH4249">
        <v>0.72805198557252804</v>
      </c>
      <c r="AI4249">
        <v>93.947314293643899</v>
      </c>
      <c r="AJ4249">
        <v>122.59604928378199</v>
      </c>
      <c r="AK4249">
        <v>0.86622225988262602</v>
      </c>
      <c r="AL4249">
        <v>83.767900650296895</v>
      </c>
      <c r="AM4249">
        <v>102.730589858005</v>
      </c>
      <c r="AN4249">
        <v>0.99999998887126895</v>
      </c>
    </row>
    <row r="4250" spans="1:40" x14ac:dyDescent="0.25">
      <c r="A4250" t="str">
        <f>"20190303161956234"</f>
        <v>20190303161956234</v>
      </c>
      <c r="B4250" t="str">
        <f>"1551601196226140"</f>
        <v>1551601196226140</v>
      </c>
      <c r="C4250" t="s">
        <v>40</v>
      </c>
      <c r="D4250">
        <v>4.6772099999999996</v>
      </c>
      <c r="E4250">
        <v>0.36388510000000002</v>
      </c>
      <c r="F4250" t="s">
        <v>42</v>
      </c>
      <c r="G4250">
        <v>-486.59559999999999</v>
      </c>
      <c r="H4250">
        <v>1.067755</v>
      </c>
      <c r="I4250">
        <v>273.45299999999997</v>
      </c>
      <c r="J4250">
        <v>-486.50569999999999</v>
      </c>
      <c r="K4250">
        <v>1.124709</v>
      </c>
      <c r="L4250">
        <v>274.24520000000001</v>
      </c>
      <c r="M4250">
        <v>-0.64340649999999999</v>
      </c>
      <c r="N4250">
        <v>-1.4004859999999999E-2</v>
      </c>
      <c r="O4250">
        <v>-0.76539679999999999</v>
      </c>
      <c r="P4250">
        <v>-0.45862409999999998</v>
      </c>
      <c r="Q4250">
        <v>9.6662570000000003E-2</v>
      </c>
      <c r="R4250">
        <v>-0.88335750000000002</v>
      </c>
      <c r="S4250">
        <v>-0.4992065</v>
      </c>
      <c r="T4250">
        <v>-0.21153379999999999</v>
      </c>
      <c r="U4250">
        <v>-3.1630250000000002</v>
      </c>
      <c r="V4250">
        <v>-0.21817700000000001</v>
      </c>
      <c r="W4250">
        <v>0.10860939999999999</v>
      </c>
      <c r="X4250">
        <v>0.96984680000000001</v>
      </c>
      <c r="Y4250">
        <v>-0.51588940000000005</v>
      </c>
      <c r="Z4250">
        <v>2.5478959999999998E-2</v>
      </c>
      <c r="AA4250">
        <v>0.85627619999999904</v>
      </c>
      <c r="AB4250">
        <v>16</v>
      </c>
      <c r="AC4250">
        <v>-8.9899999999999994E-2</v>
      </c>
      <c r="AD4250">
        <v>-5.6953999999999901E-2</v>
      </c>
      <c r="AE4250">
        <v>-0.79220000000003599</v>
      </c>
      <c r="AF4250">
        <v>-0.43870195455718802</v>
      </c>
      <c r="AG4250">
        <v>-5.6953999999999901E-2</v>
      </c>
      <c r="AH4250">
        <v>0.66088217660109505</v>
      </c>
      <c r="AI4250">
        <v>94.106760462741207</v>
      </c>
      <c r="AJ4250">
        <v>123.576710383357</v>
      </c>
      <c r="AK4250">
        <v>0.79527882808314299</v>
      </c>
      <c r="AL4250">
        <v>83.764840282898405</v>
      </c>
      <c r="AM4250">
        <v>102.678216913124</v>
      </c>
      <c r="AN4250">
        <v>1.0000000102838</v>
      </c>
    </row>
    <row r="4251" spans="1:40" x14ac:dyDescent="0.25">
      <c r="A4251" t="str">
        <f>"20190303161956246"</f>
        <v>20190303161956246</v>
      </c>
      <c r="B4251" t="str">
        <f>"1551601196236877"</f>
        <v>1551601196236877</v>
      </c>
      <c r="C4251" t="s">
        <v>40</v>
      </c>
      <c r="D4251">
        <v>4.6422530000000002</v>
      </c>
      <c r="E4251">
        <v>0.36061369999999998</v>
      </c>
      <c r="F4251" t="s">
        <v>42</v>
      </c>
      <c r="G4251">
        <v>-486.63659999999999</v>
      </c>
      <c r="H4251">
        <v>1.0612330000000001</v>
      </c>
      <c r="I4251">
        <v>273.32409999999999</v>
      </c>
      <c r="J4251">
        <v>-486.55509999999998</v>
      </c>
      <c r="K4251">
        <v>1.124701</v>
      </c>
      <c r="L4251">
        <v>274.17970000000003</v>
      </c>
      <c r="M4251">
        <v>-0.64041059999999905</v>
      </c>
      <c r="N4251">
        <v>-1.400236E-2</v>
      </c>
      <c r="O4251">
        <v>-0.76790539999999996</v>
      </c>
      <c r="P4251">
        <v>-0.4557312</v>
      </c>
      <c r="Q4251">
        <v>9.6663589999999994E-2</v>
      </c>
      <c r="R4251">
        <v>-0.88485340000000001</v>
      </c>
      <c r="S4251">
        <v>-0.45223999999999998</v>
      </c>
      <c r="T4251">
        <v>-0.21947040000000001</v>
      </c>
      <c r="U4251">
        <v>-3.1853030000000002</v>
      </c>
      <c r="V4251">
        <v>-0.217558</v>
      </c>
      <c r="W4251">
        <v>0.1086184</v>
      </c>
      <c r="X4251">
        <v>0.96998479999999998</v>
      </c>
      <c r="Y4251">
        <v>-0.52575459999999996</v>
      </c>
      <c r="Z4251">
        <v>2.6617740000000001E-2</v>
      </c>
      <c r="AA4251">
        <v>0.85021970000000002</v>
      </c>
      <c r="AB4251">
        <v>16</v>
      </c>
      <c r="AC4251">
        <v>-8.1500000000005401E-2</v>
      </c>
      <c r="AD4251">
        <v>-6.3467999999999802E-2</v>
      </c>
      <c r="AE4251">
        <v>-0.855600000000038</v>
      </c>
      <c r="AF4251">
        <v>-0.482765902073649</v>
      </c>
      <c r="AG4251">
        <v>-6.3467999999999802E-2</v>
      </c>
      <c r="AH4251">
        <v>0.70543585282487398</v>
      </c>
      <c r="AI4251">
        <v>94.246302684402906</v>
      </c>
      <c r="AJ4251">
        <v>124.38583593536001</v>
      </c>
      <c r="AK4251">
        <v>0.85716442161334605</v>
      </c>
      <c r="AL4251">
        <v>83.7643213387461</v>
      </c>
      <c r="AM4251">
        <v>102.64166393826601</v>
      </c>
      <c r="AN4251">
        <v>0.99999997620679903</v>
      </c>
    </row>
    <row r="4252" spans="1:40" x14ac:dyDescent="0.25">
      <c r="A4252" t="str">
        <f>"20190303161956259"</f>
        <v>20190303161956259</v>
      </c>
      <c r="B4252" t="str">
        <f>"1551601196246636"</f>
        <v>1551601196246636</v>
      </c>
      <c r="C4252" t="s">
        <v>40</v>
      </c>
      <c r="D4252">
        <v>4.6578609999999996</v>
      </c>
      <c r="E4252">
        <v>0.35863440000000002</v>
      </c>
      <c r="F4252" t="s">
        <v>42</v>
      </c>
      <c r="G4252">
        <v>-486.68380000000002</v>
      </c>
      <c r="H4252">
        <v>1.055404</v>
      </c>
      <c r="I4252">
        <v>273.1979</v>
      </c>
      <c r="J4252">
        <v>-486.61020000000002</v>
      </c>
      <c r="K4252">
        <v>1.1246929999999999</v>
      </c>
      <c r="L4252">
        <v>274.1053</v>
      </c>
      <c r="M4252">
        <v>-0.63701569999999996</v>
      </c>
      <c r="N4252">
        <v>-1.399951E-2</v>
      </c>
      <c r="O4252">
        <v>-0.77072359999999995</v>
      </c>
      <c r="P4252">
        <v>-0.45222600000000002</v>
      </c>
      <c r="Q4252">
        <v>9.6671480000000004E-2</v>
      </c>
      <c r="R4252">
        <v>-0.88664880000000001</v>
      </c>
      <c r="S4252">
        <v>-0.41894530000000002</v>
      </c>
      <c r="T4252">
        <v>-0.22574420000000001</v>
      </c>
      <c r="U4252">
        <v>-3.199341</v>
      </c>
      <c r="V4252">
        <v>-0.21711259999999999</v>
      </c>
      <c r="W4252">
        <v>0.108632199999999</v>
      </c>
      <c r="X4252">
        <v>0.97008309999999998</v>
      </c>
      <c r="Y4252">
        <v>-0.53118030000000005</v>
      </c>
      <c r="Z4252">
        <v>2.7692100000000001E-2</v>
      </c>
      <c r="AA4252">
        <v>0.84680619999999995</v>
      </c>
      <c r="AB4252">
        <v>16</v>
      </c>
      <c r="AC4252">
        <v>-7.3599999999999E-2</v>
      </c>
      <c r="AD4252">
        <v>-6.9288999999999906E-2</v>
      </c>
      <c r="AE4252">
        <v>-0.90739999999999499</v>
      </c>
      <c r="AF4252">
        <v>-0.51835125026659801</v>
      </c>
      <c r="AG4252">
        <v>-6.9288999999999906E-2</v>
      </c>
      <c r="AH4252">
        <v>0.74201385607746295</v>
      </c>
      <c r="AI4252">
        <v>94.377503835641306</v>
      </c>
      <c r="AJ4252">
        <v>124.93713120264999</v>
      </c>
      <c r="AK4252">
        <v>0.90778496726090996</v>
      </c>
      <c r="AL4252">
        <v>83.763526277455398</v>
      </c>
      <c r="AM4252">
        <v>102.615374849688</v>
      </c>
      <c r="AN4252">
        <v>1.0000000284306001</v>
      </c>
    </row>
    <row r="4253" spans="1:40" x14ac:dyDescent="0.25">
      <c r="A4253" t="str">
        <f>"20190303161956279"</f>
        <v>20190303161956279</v>
      </c>
      <c r="B4253" t="str">
        <f>"1551601196276892"</f>
        <v>1551601196276892</v>
      </c>
      <c r="C4253" t="s">
        <v>40</v>
      </c>
      <c r="D4253">
        <v>4.6556490000000004</v>
      </c>
      <c r="E4253">
        <v>0.35609269999999998</v>
      </c>
      <c r="F4253" t="s">
        <v>42</v>
      </c>
      <c r="G4253">
        <v>-486.71929999999998</v>
      </c>
      <c r="H4253">
        <v>1.060343</v>
      </c>
      <c r="I4253">
        <v>273.21620000000001</v>
      </c>
      <c r="J4253">
        <v>-486.69029999999998</v>
      </c>
      <c r="K4253">
        <v>1.1246780000000001</v>
      </c>
      <c r="L4253">
        <v>273.99650000000003</v>
      </c>
      <c r="M4253">
        <v>-0.63203940000000003</v>
      </c>
      <c r="N4253">
        <v>-1.399532E-2</v>
      </c>
      <c r="O4253">
        <v>-0.77481009999999995</v>
      </c>
      <c r="P4253">
        <v>-0.44758239999999999</v>
      </c>
      <c r="Q4253">
        <v>9.6689490000000003E-2</v>
      </c>
      <c r="R4253">
        <v>-0.88900009999999996</v>
      </c>
      <c r="S4253">
        <v>-0.39288329999999999</v>
      </c>
      <c r="T4253">
        <v>-0.23213449999999999</v>
      </c>
      <c r="U4253">
        <v>-3.208405</v>
      </c>
      <c r="V4253">
        <v>-0.21593399999999999</v>
      </c>
      <c r="W4253">
        <v>0.10866489999999999</v>
      </c>
      <c r="X4253">
        <v>0.9703425</v>
      </c>
      <c r="Y4253">
        <v>-0.53279200000000004</v>
      </c>
      <c r="Z4253">
        <v>2.9081929999999999E-2</v>
      </c>
      <c r="AA4253">
        <v>0.84574640000000001</v>
      </c>
      <c r="AB4253">
        <v>16</v>
      </c>
      <c r="AC4253">
        <v>-2.89999999999963E-2</v>
      </c>
      <c r="AD4253">
        <v>-6.4335000000000003E-2</v>
      </c>
      <c r="AE4253">
        <v>-0.78030000000001098</v>
      </c>
      <c r="AF4253">
        <v>-0.467582699611374</v>
      </c>
      <c r="AG4253">
        <v>-6.4335000000000003E-2</v>
      </c>
      <c r="AH4253">
        <v>0.61877383616526305</v>
      </c>
      <c r="AI4253">
        <v>94.741914012544996</v>
      </c>
      <c r="AJ4253">
        <v>127.07688632598401</v>
      </c>
      <c r="AK4253">
        <v>0.77823751742224301</v>
      </c>
      <c r="AL4253">
        <v>83.761641746552002</v>
      </c>
      <c r="AM4253">
        <v>102.545818364198</v>
      </c>
      <c r="AN4253">
        <v>1.0000000600771199</v>
      </c>
    </row>
    <row r="4254" spans="1:40" x14ac:dyDescent="0.25">
      <c r="A4254" t="str">
        <f>"20190303161956294"</f>
        <v>20190303161956294</v>
      </c>
      <c r="B4254" t="str">
        <f>"1551601196286653"</f>
        <v>1551601196286653</v>
      </c>
      <c r="C4254" t="s">
        <v>40</v>
      </c>
      <c r="D4254">
        <v>4.6104450000000003</v>
      </c>
      <c r="E4254">
        <v>0.35560150000000001</v>
      </c>
      <c r="F4254" t="s">
        <v>42</v>
      </c>
      <c r="G4254">
        <v>-486.78980000000001</v>
      </c>
      <c r="H4254">
        <v>1.0574250000000001</v>
      </c>
      <c r="I4254">
        <v>273.10230000000001</v>
      </c>
      <c r="J4254">
        <v>-486.74959999999999</v>
      </c>
      <c r="K4254">
        <v>1.1246719999999999</v>
      </c>
      <c r="L4254">
        <v>273.91500000000002</v>
      </c>
      <c r="M4254">
        <v>-0.62831250000000005</v>
      </c>
      <c r="N4254">
        <v>-1.399212E-2</v>
      </c>
      <c r="O4254">
        <v>-0.77783539999999995</v>
      </c>
      <c r="P4254">
        <v>-0.443633</v>
      </c>
      <c r="Q4254">
        <v>9.671275E-2</v>
      </c>
      <c r="R4254">
        <v>-0.89097519999999997</v>
      </c>
      <c r="S4254">
        <v>-0.35855100000000001</v>
      </c>
      <c r="T4254">
        <v>-0.24225959999999999</v>
      </c>
      <c r="U4254">
        <v>-3.2203979999999999</v>
      </c>
      <c r="V4254">
        <v>-0.21557699999999999</v>
      </c>
      <c r="W4254">
        <v>0.10869280000000001</v>
      </c>
      <c r="X4254">
        <v>0.97041869999999997</v>
      </c>
      <c r="Y4254">
        <v>-0.53797069999999902</v>
      </c>
      <c r="Z4254">
        <v>3.0916309999999999E-2</v>
      </c>
      <c r="AA4254">
        <v>0.84239640000000005</v>
      </c>
      <c r="AB4254">
        <v>16</v>
      </c>
      <c r="AC4254">
        <v>-4.0200000000027103E-2</v>
      </c>
      <c r="AD4254">
        <v>-6.7246999999999807E-2</v>
      </c>
      <c r="AE4254">
        <v>-0.81270000000000597</v>
      </c>
      <c r="AF4254">
        <v>-0.47615528311331601</v>
      </c>
      <c r="AG4254">
        <v>-6.7246999999999807E-2</v>
      </c>
      <c r="AH4254">
        <v>0.65300917405728098</v>
      </c>
      <c r="AI4254">
        <v>94.756543678236696</v>
      </c>
      <c r="AJ4254">
        <v>126.09844209173799</v>
      </c>
      <c r="AK4254">
        <v>0.81096670341555699</v>
      </c>
      <c r="AL4254">
        <v>83.760033359064494</v>
      </c>
      <c r="AM4254">
        <v>102.52477915342</v>
      </c>
      <c r="AN4254">
        <v>1.00000001050526</v>
      </c>
    </row>
    <row r="4255" spans="1:40" x14ac:dyDescent="0.25">
      <c r="A4255" t="str">
        <f>"20190303161956306"</f>
        <v>20190303161956306</v>
      </c>
      <c r="B4255" t="str">
        <f>"1551601196296412"</f>
        <v>1551601196296412</v>
      </c>
      <c r="C4255" t="s">
        <v>40</v>
      </c>
      <c r="D4255">
        <v>4.6176050000000002</v>
      </c>
      <c r="E4255">
        <v>0.35545100000000002</v>
      </c>
      <c r="F4255" t="s">
        <v>42</v>
      </c>
      <c r="G4255">
        <v>-486.84809999999999</v>
      </c>
      <c r="H4255">
        <v>1.0541849999999999</v>
      </c>
      <c r="I4255">
        <v>272.98250000000002</v>
      </c>
      <c r="J4255">
        <v>-486.79910000000001</v>
      </c>
      <c r="K4255">
        <v>1.1246719999999999</v>
      </c>
      <c r="L4255">
        <v>273.84629999999999</v>
      </c>
      <c r="M4255">
        <v>-0.62517019999999901</v>
      </c>
      <c r="N4255">
        <v>-1.3989420000000001E-2</v>
      </c>
      <c r="O4255">
        <v>-0.78036300000000003</v>
      </c>
      <c r="P4255">
        <v>-0.44022689999999998</v>
      </c>
      <c r="Q4255">
        <v>9.7170699999999999E-2</v>
      </c>
      <c r="R4255">
        <v>-0.89261299999999899</v>
      </c>
      <c r="S4255">
        <v>-0.34002690000000002</v>
      </c>
      <c r="T4255">
        <v>-0.24365220000000001</v>
      </c>
      <c r="U4255">
        <v>-3.2242130000000002</v>
      </c>
      <c r="V4255">
        <v>-0.2153398</v>
      </c>
      <c r="W4255">
        <v>0.109154</v>
      </c>
      <c r="X4255">
        <v>0.97041960000000005</v>
      </c>
      <c r="Y4255">
        <v>-0.53946099999999997</v>
      </c>
      <c r="Z4255">
        <v>3.1330620000000003E-2</v>
      </c>
      <c r="AA4255">
        <v>0.84142749999999999</v>
      </c>
      <c r="AB4255">
        <v>16</v>
      </c>
      <c r="AC4255">
        <v>-4.8999999999978103E-2</v>
      </c>
      <c r="AD4255">
        <v>-7.0486999999999897E-2</v>
      </c>
      <c r="AE4255">
        <v>-0.86379999999996904</v>
      </c>
      <c r="AF4255">
        <v>-0.49852447174091202</v>
      </c>
      <c r="AG4255">
        <v>-7.0486999999999897E-2</v>
      </c>
      <c r="AH4255">
        <v>0.70013285894116695</v>
      </c>
      <c r="AI4255">
        <v>94.688382710534597</v>
      </c>
      <c r="AJ4255">
        <v>125.45248848380101</v>
      </c>
      <c r="AK4255">
        <v>0.86236946041861195</v>
      </c>
      <c r="AL4255">
        <v>83.733450394069195</v>
      </c>
      <c r="AM4255">
        <v>102.51142101888399</v>
      </c>
      <c r="AN4255">
        <v>1.0000000126221</v>
      </c>
    </row>
    <row r="4256" spans="1:40" x14ac:dyDescent="0.25">
      <c r="A4256" t="str">
        <f>"20190303161956316"</f>
        <v>20190303161956316</v>
      </c>
      <c r="B4256" t="str">
        <f>"1551601196306173"</f>
        <v>1551601196306173</v>
      </c>
      <c r="C4256" t="s">
        <v>40</v>
      </c>
      <c r="D4256">
        <v>4.6291169999999999</v>
      </c>
      <c r="E4256">
        <v>0.35542240000000003</v>
      </c>
      <c r="F4256" t="s">
        <v>42</v>
      </c>
      <c r="G4256">
        <v>-486.89920000000001</v>
      </c>
      <c r="H4256">
        <v>1.0503340000000001</v>
      </c>
      <c r="I4256">
        <v>272.8596</v>
      </c>
      <c r="J4256">
        <v>-486.84219999999999</v>
      </c>
      <c r="K4256">
        <v>1.124668</v>
      </c>
      <c r="L4256">
        <v>273.78590000000003</v>
      </c>
      <c r="M4256">
        <v>-0.62240490000000004</v>
      </c>
      <c r="N4256">
        <v>-1.3986999999999999E-2</v>
      </c>
      <c r="O4256">
        <v>-0.78257069999999995</v>
      </c>
      <c r="P4256">
        <v>-0.43716309999999903</v>
      </c>
      <c r="Q4256">
        <v>9.7583669999999997E-2</v>
      </c>
      <c r="R4256">
        <v>-0.8940728</v>
      </c>
      <c r="S4256">
        <v>-0.3273315</v>
      </c>
      <c r="T4256">
        <v>-0.24302460000000001</v>
      </c>
      <c r="U4256">
        <v>-3.2259829999999998</v>
      </c>
      <c r="V4256">
        <v>-0.2152068</v>
      </c>
      <c r="W4256">
        <v>0.10956829999999999</v>
      </c>
      <c r="X4256">
        <v>0.9704024</v>
      </c>
      <c r="Y4256">
        <v>-0.53980839999999997</v>
      </c>
      <c r="Z4256">
        <v>3.1405370000000002E-2</v>
      </c>
      <c r="AA4256">
        <v>0.84120189999999995</v>
      </c>
      <c r="AB4256">
        <v>16</v>
      </c>
      <c r="AC4256">
        <v>-5.7000000000016302E-2</v>
      </c>
      <c r="AD4256">
        <v>-7.43339999999999E-2</v>
      </c>
      <c r="AE4256">
        <v>-0.92630000000002599</v>
      </c>
      <c r="AF4256">
        <v>-0.52858790922189702</v>
      </c>
      <c r="AG4256">
        <v>-7.43339999999999E-2</v>
      </c>
      <c r="AH4256">
        <v>0.75559901401420504</v>
      </c>
      <c r="AI4256">
        <v>94.608685166746397</v>
      </c>
      <c r="AJ4256">
        <v>124.975151260659</v>
      </c>
      <c r="AK4256">
        <v>0.92512733788966395</v>
      </c>
      <c r="AL4256">
        <v>83.709569428186001</v>
      </c>
      <c r="AM4256">
        <v>102.50415136320601</v>
      </c>
      <c r="AN4256">
        <v>0.99999999852844401</v>
      </c>
    </row>
    <row r="4257" spans="1:40" x14ac:dyDescent="0.25">
      <c r="A4257" t="str">
        <f>"20190303161956327"</f>
        <v>20190303161956327</v>
      </c>
      <c r="B4257" t="str">
        <f>"1551601196316909"</f>
        <v>1551601196316909</v>
      </c>
      <c r="C4257" t="s">
        <v>40</v>
      </c>
      <c r="D4257">
        <v>4.6204710000000002</v>
      </c>
      <c r="E4257">
        <v>0.35556900000000002</v>
      </c>
      <c r="F4257" t="s">
        <v>42</v>
      </c>
      <c r="G4257">
        <v>-486.93130000000002</v>
      </c>
      <c r="H4257">
        <v>1.0565329999999999</v>
      </c>
      <c r="I4257">
        <v>272.87540000000001</v>
      </c>
      <c r="J4257">
        <v>-486.8843</v>
      </c>
      <c r="K4257">
        <v>1.124665</v>
      </c>
      <c r="L4257">
        <v>273.72660000000002</v>
      </c>
      <c r="M4257">
        <v>-0.6196895</v>
      </c>
      <c r="N4257">
        <v>-1.398465E-2</v>
      </c>
      <c r="O4257">
        <v>-0.7847227</v>
      </c>
      <c r="P4257">
        <v>-0.43377510000000002</v>
      </c>
      <c r="Q4257">
        <v>9.7832139999999998E-2</v>
      </c>
      <c r="R4257">
        <v>-0.89569460000000001</v>
      </c>
      <c r="S4257">
        <v>-0.31579590000000002</v>
      </c>
      <c r="T4257">
        <v>-0.24151069999999999</v>
      </c>
      <c r="U4257">
        <v>-3.2273860000000001</v>
      </c>
      <c r="V4257">
        <v>-0.2155022</v>
      </c>
      <c r="W4257">
        <v>0.1098143</v>
      </c>
      <c r="X4257">
        <v>0.97030899999999998</v>
      </c>
      <c r="Y4257">
        <v>-0.53991040000000001</v>
      </c>
      <c r="Z4257">
        <v>3.1321969999999998E-2</v>
      </c>
      <c r="AA4257">
        <v>0.84113959999999999</v>
      </c>
      <c r="AB4257">
        <v>16</v>
      </c>
      <c r="AC4257">
        <v>-4.7000000000025403E-2</v>
      </c>
      <c r="AD4257">
        <v>-6.8131999999999998E-2</v>
      </c>
      <c r="AE4257">
        <v>-0.85120000000000495</v>
      </c>
      <c r="AF4257">
        <v>-0.48753161848752602</v>
      </c>
      <c r="AG4257">
        <v>-6.8131999999999998E-2</v>
      </c>
      <c r="AH4257">
        <v>0.69272477903505003</v>
      </c>
      <c r="AI4257">
        <v>94.598459579260407</v>
      </c>
      <c r="AJ4257">
        <v>125.137435965227</v>
      </c>
      <c r="AK4257">
        <v>0.84982155064356002</v>
      </c>
      <c r="AL4257">
        <v>83.695388899001998</v>
      </c>
      <c r="AM4257">
        <v>102.521941308203</v>
      </c>
      <c r="AN4257">
        <v>0.99999996708516403</v>
      </c>
    </row>
    <row r="4258" spans="1:40" x14ac:dyDescent="0.25">
      <c r="A4258" t="str">
        <f>"20190303161956338"</f>
        <v>20190303161956338</v>
      </c>
      <c r="B4258" t="str">
        <f>"1551601196326669"</f>
        <v>1551601196326669</v>
      </c>
      <c r="C4258" t="s">
        <v>40</v>
      </c>
      <c r="D4258">
        <v>4.621804</v>
      </c>
      <c r="E4258">
        <v>0.3556433</v>
      </c>
      <c r="F4258" t="s">
        <v>42</v>
      </c>
      <c r="G4258">
        <v>-486.97649999999999</v>
      </c>
      <c r="H4258">
        <v>1.051876</v>
      </c>
      <c r="I4258">
        <v>272.74979999999999</v>
      </c>
      <c r="J4258">
        <v>-486.92919999999998</v>
      </c>
      <c r="K4258">
        <v>1.1246579999999999</v>
      </c>
      <c r="L4258">
        <v>273.66269999999997</v>
      </c>
      <c r="M4258">
        <v>-0.61676140000000002</v>
      </c>
      <c r="N4258">
        <v>-1.3982059999999999E-2</v>
      </c>
      <c r="O4258">
        <v>-0.78702589999999994</v>
      </c>
      <c r="P4258">
        <v>-0.4302029</v>
      </c>
      <c r="Q4258">
        <v>9.8201869999999997E-2</v>
      </c>
      <c r="R4258">
        <v>-0.89737479999999903</v>
      </c>
      <c r="S4258">
        <v>-0.30459589999999998</v>
      </c>
      <c r="T4258">
        <v>-0.24054420000000001</v>
      </c>
      <c r="U4258">
        <v>-3.2281490000000002</v>
      </c>
      <c r="V4258">
        <v>-0.2157298</v>
      </c>
      <c r="W4258">
        <v>0.1101816</v>
      </c>
      <c r="X4258">
        <v>0.97021679999999999</v>
      </c>
      <c r="Y4258">
        <v>-0.53968950000000004</v>
      </c>
      <c r="Z4258">
        <v>3.1371459999999997E-2</v>
      </c>
      <c r="AA4258">
        <v>0.84127940000000001</v>
      </c>
      <c r="AB4258">
        <v>16</v>
      </c>
      <c r="AC4258">
        <v>-4.7300000000007003E-2</v>
      </c>
      <c r="AD4258">
        <v>-7.2781999999999902E-2</v>
      </c>
      <c r="AE4258">
        <v>-0.91289999999997895</v>
      </c>
      <c r="AF4258">
        <v>-0.52255399600756702</v>
      </c>
      <c r="AG4258">
        <v>-7.2781999999999902E-2</v>
      </c>
      <c r="AH4258">
        <v>0.74301176198858598</v>
      </c>
      <c r="AI4258">
        <v>94.580984848891603</v>
      </c>
      <c r="AJ4258">
        <v>125.118401605489</v>
      </c>
      <c r="AK4258">
        <v>0.91127733249591003</v>
      </c>
      <c r="AL4258">
        <v>83.674215790961298</v>
      </c>
      <c r="AM4258">
        <v>102.535901987965</v>
      </c>
      <c r="AN4258">
        <v>0.99999998529441902</v>
      </c>
    </row>
    <row r="4259" spans="1:40" x14ac:dyDescent="0.25">
      <c r="A4259" t="str">
        <f>"20190303161956350"</f>
        <v>20190303161956350</v>
      </c>
      <c r="B4259" t="str">
        <f>"1551601196346188"</f>
        <v>1551601196346188</v>
      </c>
      <c r="C4259" t="s">
        <v>40</v>
      </c>
      <c r="D4259">
        <v>4.5081220000000002</v>
      </c>
      <c r="E4259">
        <v>0.35509629999999998</v>
      </c>
      <c r="F4259" t="s">
        <v>42</v>
      </c>
      <c r="G4259">
        <v>-487.01049999999998</v>
      </c>
      <c r="H4259">
        <v>1.057931</v>
      </c>
      <c r="I4259">
        <v>272.7663</v>
      </c>
      <c r="J4259">
        <v>-486.97280000000001</v>
      </c>
      <c r="K4259">
        <v>1.124652</v>
      </c>
      <c r="L4259">
        <v>273.60019999999997</v>
      </c>
      <c r="M4259">
        <v>-0.6138998</v>
      </c>
      <c r="N4259">
        <v>-1.3979510000000001E-2</v>
      </c>
      <c r="O4259">
        <v>-0.78926039999999997</v>
      </c>
      <c r="P4259">
        <v>-0.4264886</v>
      </c>
      <c r="Q4259">
        <v>9.8920359999999999E-2</v>
      </c>
      <c r="R4259">
        <v>-0.89906759999999997</v>
      </c>
      <c r="S4259">
        <v>-0.29263309999999998</v>
      </c>
      <c r="T4259">
        <v>-0.2403518</v>
      </c>
      <c r="U4259">
        <v>-3.229095</v>
      </c>
      <c r="V4259">
        <v>-0.21617420000000001</v>
      </c>
      <c r="W4259">
        <v>0.1108953</v>
      </c>
      <c r="X4259">
        <v>0.97003660000000003</v>
      </c>
      <c r="Y4259">
        <v>-0.53974840000000002</v>
      </c>
      <c r="Z4259">
        <v>3.154597E-2</v>
      </c>
      <c r="AA4259">
        <v>0.84123510000000001</v>
      </c>
      <c r="AB4259">
        <v>16</v>
      </c>
      <c r="AC4259">
        <v>-3.7699999999972499E-2</v>
      </c>
      <c r="AD4259">
        <v>-6.6721000000000003E-2</v>
      </c>
      <c r="AE4259">
        <v>-0.833899999999971</v>
      </c>
      <c r="AF4259">
        <v>-0.47916175283302198</v>
      </c>
      <c r="AG4259">
        <v>-6.6721000000000003E-2</v>
      </c>
      <c r="AH4259">
        <v>0.67704928260480601</v>
      </c>
      <c r="AI4259">
        <v>94.598958399303399</v>
      </c>
      <c r="AJ4259">
        <v>125.287830647417</v>
      </c>
      <c r="AK4259">
        <v>0.832131845499676</v>
      </c>
      <c r="AL4259">
        <v>83.6330719323891</v>
      </c>
      <c r="AM4259">
        <v>102.56316637146</v>
      </c>
      <c r="AN4259">
        <v>1.0000000288236399</v>
      </c>
    </row>
    <row r="4260" spans="1:40" x14ac:dyDescent="0.25">
      <c r="A4260" t="str">
        <f>"20190303161956360"</f>
        <v>20190303161956360</v>
      </c>
      <c r="B4260" t="str">
        <f>"1551601196356925"</f>
        <v>1551601196356925</v>
      </c>
      <c r="C4260" t="s">
        <v>40</v>
      </c>
      <c r="D4260">
        <v>4.451689</v>
      </c>
      <c r="E4260">
        <v>0.35490389999999999</v>
      </c>
      <c r="F4260" t="s">
        <v>42</v>
      </c>
      <c r="G4260">
        <v>-487.05459999999999</v>
      </c>
      <c r="H4260">
        <v>1.0541210000000001</v>
      </c>
      <c r="I4260">
        <v>272.6404</v>
      </c>
      <c r="J4260">
        <v>-487.0154</v>
      </c>
      <c r="K4260">
        <v>1.1246449999999999</v>
      </c>
      <c r="L4260">
        <v>273.53879999999998</v>
      </c>
      <c r="M4260">
        <v>-0.6110892</v>
      </c>
      <c r="N4260">
        <v>-1.397698E-2</v>
      </c>
      <c r="O4260">
        <v>-0.79143850000000004</v>
      </c>
      <c r="P4260">
        <v>-0.42271950000000003</v>
      </c>
      <c r="Q4260">
        <v>9.9362809999999996E-2</v>
      </c>
      <c r="R4260">
        <v>-0.90079699999999996</v>
      </c>
      <c r="S4260">
        <v>-0.275360099999999</v>
      </c>
      <c r="T4260">
        <v>-0.23754169999999999</v>
      </c>
      <c r="U4260">
        <v>-3.2322690000000001</v>
      </c>
      <c r="V4260">
        <v>-0.21676019999999999</v>
      </c>
      <c r="W4260">
        <v>0.11133129999999999</v>
      </c>
      <c r="X4260">
        <v>0.96985580000000005</v>
      </c>
      <c r="Y4260">
        <v>-0.54129430000000001</v>
      </c>
      <c r="Z4260">
        <v>3.1147879999999999E-2</v>
      </c>
      <c r="AA4260">
        <v>0.84025609999999995</v>
      </c>
      <c r="AB4260">
        <v>16</v>
      </c>
      <c r="AC4260">
        <v>-3.9199999999993899E-2</v>
      </c>
      <c r="AD4260">
        <v>-7.0524000000000198E-2</v>
      </c>
      <c r="AE4260">
        <v>-0.89839999999997999</v>
      </c>
      <c r="AF4260">
        <v>-0.51486203795613605</v>
      </c>
      <c r="AG4260">
        <v>-7.0524000000000198E-2</v>
      </c>
      <c r="AH4260">
        <v>0.73056145290138996</v>
      </c>
      <c r="AI4260">
        <v>94.511706115199402</v>
      </c>
      <c r="AJ4260">
        <v>125.174207170763</v>
      </c>
      <c r="AK4260">
        <v>0.89653588281213603</v>
      </c>
      <c r="AL4260">
        <v>83.607934864401898</v>
      </c>
      <c r="AM4260">
        <v>102.598410162538</v>
      </c>
      <c r="AN4260">
        <v>0.999999957728684</v>
      </c>
    </row>
    <row r="4261" spans="1:40" x14ac:dyDescent="0.25">
      <c r="A4261" t="str">
        <f>"20190303161956371"</f>
        <v>20190303161956371</v>
      </c>
      <c r="B4261" t="str">
        <f>"1551601196366684"</f>
        <v>1551601196366684</v>
      </c>
      <c r="C4261" t="s">
        <v>40</v>
      </c>
      <c r="D4261">
        <v>4.4674290000000001</v>
      </c>
      <c r="E4261">
        <v>0.3548887</v>
      </c>
      <c r="F4261" t="s">
        <v>42</v>
      </c>
      <c r="G4261">
        <v>-487.08679999999998</v>
      </c>
      <c r="H4261">
        <v>1.0603129999999901</v>
      </c>
      <c r="I4261">
        <v>272.65570000000002</v>
      </c>
      <c r="J4261">
        <v>-487.05650000000003</v>
      </c>
      <c r="K4261">
        <v>1.124644</v>
      </c>
      <c r="L4261">
        <v>273.47890000000001</v>
      </c>
      <c r="M4261">
        <v>-0.60834519999999903</v>
      </c>
      <c r="N4261">
        <v>-1.3974489999999999E-2</v>
      </c>
      <c r="O4261">
        <v>-0.79354950000000002</v>
      </c>
      <c r="P4261">
        <v>-0.41935519999999998</v>
      </c>
      <c r="Q4261">
        <v>9.9248100000000006E-2</v>
      </c>
      <c r="R4261">
        <v>-0.90238079999999998</v>
      </c>
      <c r="S4261">
        <v>-0.26135249999999999</v>
      </c>
      <c r="T4261">
        <v>-0.2355766</v>
      </c>
      <c r="U4261">
        <v>-3.233765</v>
      </c>
      <c r="V4261">
        <v>-0.21702669999999999</v>
      </c>
      <c r="W4261">
        <v>0.1112147</v>
      </c>
      <c r="X4261">
        <v>0.9698097</v>
      </c>
      <c r="Y4261">
        <v>-0.54203500000000004</v>
      </c>
      <c r="Z4261">
        <v>3.0945190000000001E-2</v>
      </c>
      <c r="AA4261">
        <v>0.83978589999999997</v>
      </c>
      <c r="AB4261">
        <v>16</v>
      </c>
      <c r="AC4261">
        <v>-3.02999999999542E-2</v>
      </c>
      <c r="AD4261">
        <v>-6.4331000000000096E-2</v>
      </c>
      <c r="AE4261">
        <v>-0.82319999999998505</v>
      </c>
      <c r="AF4261">
        <v>-0.47390156756548701</v>
      </c>
      <c r="AG4261">
        <v>-6.4331000000000096E-2</v>
      </c>
      <c r="AH4261">
        <v>0.66767640880989598</v>
      </c>
      <c r="AI4261">
        <v>94.492549703006205</v>
      </c>
      <c r="AJ4261">
        <v>125.36626813124001</v>
      </c>
      <c r="AK4261">
        <v>0.82128737977842103</v>
      </c>
      <c r="AL4261">
        <v>83.614658058793907</v>
      </c>
      <c r="AM4261">
        <v>102.613984579757</v>
      </c>
      <c r="AN4261">
        <v>1.00000007611153</v>
      </c>
    </row>
    <row r="4262" spans="1:40" x14ac:dyDescent="0.25">
      <c r="A4262" t="str">
        <f>"20190303161956383"</f>
        <v>20190303161956383</v>
      </c>
      <c r="B4262" t="str">
        <f>"1551601196376444"</f>
        <v>1551601196376444</v>
      </c>
      <c r="C4262" t="s">
        <v>40</v>
      </c>
      <c r="D4262">
        <v>4.4914880000000004</v>
      </c>
      <c r="E4262">
        <v>0.35477890000000001</v>
      </c>
      <c r="F4262" t="s">
        <v>42</v>
      </c>
      <c r="G4262">
        <v>-487.12990000000002</v>
      </c>
      <c r="H4262">
        <v>1.055444</v>
      </c>
      <c r="I4262">
        <v>272.5299</v>
      </c>
      <c r="J4262">
        <v>-487.10230000000001</v>
      </c>
      <c r="K4262">
        <v>1.124638</v>
      </c>
      <c r="L4262">
        <v>273.4119</v>
      </c>
      <c r="M4262">
        <v>-0.60527059999999999</v>
      </c>
      <c r="N4262">
        <v>-1.397173E-2</v>
      </c>
      <c r="O4262">
        <v>-0.79589730000000003</v>
      </c>
      <c r="P4262">
        <v>-0.41562060000000001</v>
      </c>
      <c r="Q4262">
        <v>9.9224629999999994E-2</v>
      </c>
      <c r="R4262">
        <v>-0.90410979999999996</v>
      </c>
      <c r="S4262">
        <v>-0.24923709999999999</v>
      </c>
      <c r="T4262">
        <v>-0.23575409999999999</v>
      </c>
      <c r="U4262">
        <v>-3.2346499999999998</v>
      </c>
      <c r="V4262">
        <v>-0.21728439999999999</v>
      </c>
      <c r="W4262">
        <v>0.1111896</v>
      </c>
      <c r="X4262">
        <v>0.96975480000000003</v>
      </c>
      <c r="Y4262">
        <v>-0.54193009999999997</v>
      </c>
      <c r="Z4262">
        <v>3.120148E-2</v>
      </c>
      <c r="AA4262">
        <v>0.83984409999999898</v>
      </c>
      <c r="AB4262">
        <v>16</v>
      </c>
      <c r="AC4262">
        <v>-2.7600000000006699E-2</v>
      </c>
      <c r="AD4262">
        <v>-6.9193999999999894E-2</v>
      </c>
      <c r="AE4262">
        <v>-0.882000000000005</v>
      </c>
      <c r="AF4262">
        <v>-0.50880339953055898</v>
      </c>
      <c r="AG4262">
        <v>-6.9193999999999894E-2</v>
      </c>
      <c r="AH4262">
        <v>0.714364639045867</v>
      </c>
      <c r="AI4262">
        <v>94.511006105260805</v>
      </c>
      <c r="AJ4262">
        <v>125.460220471878</v>
      </c>
      <c r="AK4262">
        <v>0.87976448355738102</v>
      </c>
      <c r="AL4262">
        <v>83.616104701293494</v>
      </c>
      <c r="AM4262">
        <v>102.629174439976</v>
      </c>
      <c r="AN4262">
        <v>1.0000000048772799</v>
      </c>
    </row>
    <row r="4263" spans="1:40" x14ac:dyDescent="0.25">
      <c r="A4263" t="str">
        <f>"20190303161956394"</f>
        <v>20190303161956394</v>
      </c>
      <c r="B4263" t="str">
        <f>"1551601196387181"</f>
        <v>1551601196387181</v>
      </c>
      <c r="C4263" t="s">
        <v>40</v>
      </c>
      <c r="D4263">
        <v>4.4441680000000003</v>
      </c>
      <c r="E4263">
        <v>0.35489999999999999</v>
      </c>
      <c r="F4263" t="s">
        <v>42</v>
      </c>
      <c r="G4263">
        <v>-487.16550000000001</v>
      </c>
      <c r="H4263">
        <v>1.0612729999999999</v>
      </c>
      <c r="I4263">
        <v>272.54649999999998</v>
      </c>
      <c r="J4263">
        <v>-487.14640000000003</v>
      </c>
      <c r="K4263">
        <v>1.1246320000000001</v>
      </c>
      <c r="L4263">
        <v>273.3467</v>
      </c>
      <c r="M4263">
        <v>-0.60228029999999999</v>
      </c>
      <c r="N4263">
        <v>-1.396913E-2</v>
      </c>
      <c r="O4263">
        <v>-0.7981627</v>
      </c>
      <c r="P4263">
        <v>-0.41193010000000002</v>
      </c>
      <c r="Q4263">
        <v>9.9267449999999993E-2</v>
      </c>
      <c r="R4263">
        <v>-0.90579270000000001</v>
      </c>
      <c r="S4263">
        <v>-0.23513790000000001</v>
      </c>
      <c r="T4263">
        <v>-0.23684540000000001</v>
      </c>
      <c r="U4263">
        <v>-3.2361149999999999</v>
      </c>
      <c r="V4263">
        <v>-0.21759690000000001</v>
      </c>
      <c r="W4263">
        <v>0.11122940000000001</v>
      </c>
      <c r="X4263">
        <v>0.96968010000000004</v>
      </c>
      <c r="Y4263">
        <v>-0.54244380000000003</v>
      </c>
      <c r="Z4263">
        <v>3.1597350000000003E-2</v>
      </c>
      <c r="AA4263">
        <v>0.83949769999999901</v>
      </c>
      <c r="AB4263">
        <v>16</v>
      </c>
      <c r="AC4263">
        <v>-1.9099999999980299E-2</v>
      </c>
      <c r="AD4263">
        <v>-6.3359000000000096E-2</v>
      </c>
      <c r="AE4263">
        <v>-0.80020000000001701</v>
      </c>
      <c r="AF4263">
        <v>-0.46383894582587798</v>
      </c>
      <c r="AG4263">
        <v>-6.3359000000000096E-2</v>
      </c>
      <c r="AH4263">
        <v>0.64620769872777195</v>
      </c>
      <c r="AI4263">
        <v>94.554130374147704</v>
      </c>
      <c r="AJ4263">
        <v>125.670261983937</v>
      </c>
      <c r="AK4263">
        <v>0.79796323251194101</v>
      </c>
      <c r="AL4263">
        <v>83.613809701086794</v>
      </c>
      <c r="AM4263">
        <v>102.647696887574</v>
      </c>
      <c r="AN4263">
        <v>0.99999994332498798</v>
      </c>
    </row>
    <row r="4264" spans="1:40" x14ac:dyDescent="0.25">
      <c r="A4264" t="str">
        <f>"20190303161956406"</f>
        <v>20190303161956406</v>
      </c>
      <c r="B4264" t="str">
        <f>"1551601196396940"</f>
        <v>1551601196396940</v>
      </c>
      <c r="C4264" t="s">
        <v>40</v>
      </c>
      <c r="D4264">
        <v>4.4238720000000002</v>
      </c>
      <c r="E4264">
        <v>0.355018099999999</v>
      </c>
      <c r="F4264" t="s">
        <v>42</v>
      </c>
      <c r="G4264">
        <v>-487.21010000000001</v>
      </c>
      <c r="H4264">
        <v>1.057069</v>
      </c>
      <c r="I4264">
        <v>272.42160000000001</v>
      </c>
      <c r="J4264">
        <v>-487.18880000000001</v>
      </c>
      <c r="K4264">
        <v>1.124628</v>
      </c>
      <c r="L4264">
        <v>273.28359999999998</v>
      </c>
      <c r="M4264">
        <v>-0.59938449999999999</v>
      </c>
      <c r="N4264">
        <v>-1.3966660000000001E-2</v>
      </c>
      <c r="O4264">
        <v>-0.80033959999999904</v>
      </c>
      <c r="P4264">
        <v>-0.40850550000000002</v>
      </c>
      <c r="Q4264">
        <v>9.9383929999999995E-2</v>
      </c>
      <c r="R4264">
        <v>-0.90732950000000001</v>
      </c>
      <c r="S4264">
        <v>-0.22311400000000001</v>
      </c>
      <c r="T4264">
        <v>-0.2363992</v>
      </c>
      <c r="U4264">
        <v>-3.23645</v>
      </c>
      <c r="V4264">
        <v>-0.2177383</v>
      </c>
      <c r="W4264">
        <v>0.1113455</v>
      </c>
      <c r="X4264">
        <v>0.96963509999999997</v>
      </c>
      <c r="Y4264">
        <v>-0.54251229999999995</v>
      </c>
      <c r="Z4264">
        <v>3.1721480000000003E-2</v>
      </c>
      <c r="AA4264">
        <v>0.83944869999999905</v>
      </c>
      <c r="AB4264">
        <v>16</v>
      </c>
      <c r="AC4264">
        <v>-2.1299999999996499E-2</v>
      </c>
      <c r="AD4264">
        <v>-6.7558999999999897E-2</v>
      </c>
      <c r="AE4264">
        <v>-0.86199999999996602</v>
      </c>
      <c r="AF4264">
        <v>-0.49662217480516901</v>
      </c>
      <c r="AG4264">
        <v>-6.7558999999999897E-2</v>
      </c>
      <c r="AH4264">
        <v>0.69844043616300999</v>
      </c>
      <c r="AI4264">
        <v>94.507406539004705</v>
      </c>
      <c r="AJ4264">
        <v>125.41451739019899</v>
      </c>
      <c r="AK4264">
        <v>0.85966089003559498</v>
      </c>
      <c r="AL4264">
        <v>83.607116493030503</v>
      </c>
      <c r="AM4264">
        <v>102.656219454259</v>
      </c>
      <c r="AN4264">
        <v>1.0000000074045701</v>
      </c>
    </row>
    <row r="4265" spans="1:40" x14ac:dyDescent="0.25">
      <c r="A4265" t="str">
        <f>"20190303161956418"</f>
        <v>20190303161956418</v>
      </c>
      <c r="B4265" t="str">
        <f>"1551601196406701"</f>
        <v>1551601196406701</v>
      </c>
      <c r="C4265" t="s">
        <v>40</v>
      </c>
      <c r="D4265">
        <v>4.4620430000000004</v>
      </c>
      <c r="E4265">
        <v>0.35518719999999998</v>
      </c>
      <c r="F4265" t="s">
        <v>42</v>
      </c>
      <c r="G4265">
        <v>-487.25349999999997</v>
      </c>
      <c r="H4265">
        <v>1.0525370000000001</v>
      </c>
      <c r="I4265">
        <v>272.29669999999999</v>
      </c>
      <c r="J4265">
        <v>-487.23410000000001</v>
      </c>
      <c r="K4265">
        <v>1.1246240000000001</v>
      </c>
      <c r="L4265">
        <v>273.21539999999999</v>
      </c>
      <c r="M4265">
        <v>-0.59625430000000001</v>
      </c>
      <c r="N4265">
        <v>-1.3963980000000001E-2</v>
      </c>
      <c r="O4265">
        <v>-0.80267440000000001</v>
      </c>
      <c r="P4265">
        <v>-0.40485359999999998</v>
      </c>
      <c r="Q4265">
        <v>9.9253389999999997E-2</v>
      </c>
      <c r="R4265">
        <v>-0.90897890000000003</v>
      </c>
      <c r="S4265">
        <v>-0.2114868</v>
      </c>
      <c r="T4265">
        <v>-0.2364039</v>
      </c>
      <c r="U4265">
        <v>-3.2371219999999998</v>
      </c>
      <c r="V4265">
        <v>-0.21785669999999999</v>
      </c>
      <c r="W4265">
        <v>0.1112147</v>
      </c>
      <c r="X4265">
        <v>0.96962349999999997</v>
      </c>
      <c r="Y4265">
        <v>-0.54224759999999905</v>
      </c>
      <c r="Z4265">
        <v>3.195245E-2</v>
      </c>
      <c r="AA4265">
        <v>0.839611</v>
      </c>
      <c r="AB4265">
        <v>15</v>
      </c>
      <c r="AC4265">
        <v>-1.9399999999961798E-2</v>
      </c>
      <c r="AD4265">
        <v>-7.2086999999999998E-2</v>
      </c>
      <c r="AE4265">
        <v>-0.91870000000000096</v>
      </c>
      <c r="AF4265">
        <v>-0.52900313748519301</v>
      </c>
      <c r="AG4265">
        <v>-7.2086999999999998E-2</v>
      </c>
      <c r="AH4265">
        <v>0.74447553349690698</v>
      </c>
      <c r="AI4265">
        <v>94.513091343980804</v>
      </c>
      <c r="AJ4265">
        <v>125.396518251647</v>
      </c>
      <c r="AK4265">
        <v>0.91612481410214097</v>
      </c>
      <c r="AL4265">
        <v>83.614657516218699</v>
      </c>
      <c r="AM4265">
        <v>102.66302629104899</v>
      </c>
      <c r="AN4265">
        <v>0.999999991491615</v>
      </c>
    </row>
    <row r="4266" spans="1:40" x14ac:dyDescent="0.25">
      <c r="A4266" t="str">
        <f>"20190303161956431"</f>
        <v>20190303161956431</v>
      </c>
      <c r="B4266" t="str">
        <f>"1551601196426221"</f>
        <v>1551601196426221</v>
      </c>
      <c r="C4266" t="s">
        <v>40</v>
      </c>
      <c r="D4266">
        <v>4.4415800000000001</v>
      </c>
      <c r="E4266">
        <v>0.35566110000000001</v>
      </c>
      <c r="F4266" t="s">
        <v>42</v>
      </c>
      <c r="G4266">
        <v>-487.29</v>
      </c>
      <c r="H4266">
        <v>1.0587230000000001</v>
      </c>
      <c r="I4266">
        <v>272.31319999999999</v>
      </c>
      <c r="J4266">
        <v>-487.27780000000001</v>
      </c>
      <c r="K4266">
        <v>1.124617</v>
      </c>
      <c r="L4266">
        <v>273.14929999999998</v>
      </c>
      <c r="M4266">
        <v>-0.59321990000000002</v>
      </c>
      <c r="N4266">
        <v>-1.3961360000000001E-2</v>
      </c>
      <c r="O4266">
        <v>-0.80491969999999902</v>
      </c>
      <c r="P4266">
        <v>-0.4014086</v>
      </c>
      <c r="Q4266">
        <v>9.9494910000000006E-2</v>
      </c>
      <c r="R4266">
        <v>-0.9104795</v>
      </c>
      <c r="S4266">
        <v>-0.19973750000000001</v>
      </c>
      <c r="T4266">
        <v>-0.23641039999999999</v>
      </c>
      <c r="U4266">
        <v>-3.2372740000000002</v>
      </c>
      <c r="V4266">
        <v>-0.21785299999999999</v>
      </c>
      <c r="W4266">
        <v>0.1114573</v>
      </c>
      <c r="X4266">
        <v>0.96959640000000002</v>
      </c>
      <c r="Y4266">
        <v>-0.54211529999999997</v>
      </c>
      <c r="Z4266">
        <v>3.2178310000000002E-2</v>
      </c>
      <c r="AA4266">
        <v>0.83968779999999998</v>
      </c>
      <c r="AB4266">
        <v>15</v>
      </c>
      <c r="AC4266">
        <v>-1.2200000000007E-2</v>
      </c>
      <c r="AD4266">
        <v>-6.5894000000000105E-2</v>
      </c>
      <c r="AE4266">
        <v>-0.83609999999998696</v>
      </c>
      <c r="AF4266">
        <v>-0.48321768599676501</v>
      </c>
      <c r="AG4266">
        <v>-6.5894000000000105E-2</v>
      </c>
      <c r="AH4266">
        <v>0.676098295410966</v>
      </c>
      <c r="AI4266">
        <v>94.533618022374696</v>
      </c>
      <c r="AJ4266">
        <v>125.553966402697</v>
      </c>
      <c r="AK4266">
        <v>0.83363676523632502</v>
      </c>
      <c r="AL4266">
        <v>83.600670135682293</v>
      </c>
      <c r="AM4266">
        <v>102.663160671569</v>
      </c>
      <c r="AN4266">
        <v>0.99999991911262098</v>
      </c>
    </row>
    <row r="4267" spans="1:40" x14ac:dyDescent="0.25">
      <c r="A4267" t="str">
        <f>"20190303161956441"</f>
        <v>20190303161956441</v>
      </c>
      <c r="B4267" t="str">
        <f>"1551601196436956"</f>
        <v>1551601196436956</v>
      </c>
      <c r="C4267" t="s">
        <v>40</v>
      </c>
      <c r="D4267">
        <v>4.4424650000000003</v>
      </c>
      <c r="E4267">
        <v>0.35594150000000002</v>
      </c>
      <c r="F4267" t="s">
        <v>42</v>
      </c>
      <c r="G4267">
        <v>-487.33460000000002</v>
      </c>
      <c r="H4267">
        <v>1.0549010000000001</v>
      </c>
      <c r="I4267">
        <v>272.1891</v>
      </c>
      <c r="J4267">
        <v>-487.32139999999998</v>
      </c>
      <c r="K4267">
        <v>1.1246119999999999</v>
      </c>
      <c r="L4267">
        <v>273.08280000000002</v>
      </c>
      <c r="M4267">
        <v>-0.59016639999999998</v>
      </c>
      <c r="N4267">
        <v>-1.3958689999999999E-2</v>
      </c>
      <c r="O4267">
        <v>-0.80716119999999902</v>
      </c>
      <c r="P4267">
        <v>-0.39793659999999997</v>
      </c>
      <c r="Q4267">
        <v>9.9675940000000005E-2</v>
      </c>
      <c r="R4267">
        <v>-0.91198239999999997</v>
      </c>
      <c r="S4267">
        <v>-0.19168089999999999</v>
      </c>
      <c r="T4267">
        <v>-0.23498369999999999</v>
      </c>
      <c r="U4267">
        <v>-3.2361149999999999</v>
      </c>
      <c r="V4267">
        <v>-0.217862</v>
      </c>
      <c r="W4267">
        <v>0.1116383</v>
      </c>
      <c r="X4267">
        <v>0.96957360000000004</v>
      </c>
      <c r="Y4267">
        <v>-0.54100230000000005</v>
      </c>
      <c r="Z4267">
        <v>3.2173239999999999E-2</v>
      </c>
      <c r="AA4267">
        <v>0.84040550000000003</v>
      </c>
      <c r="AB4267">
        <v>15</v>
      </c>
      <c r="AC4267">
        <v>-1.32000000000402E-2</v>
      </c>
      <c r="AD4267">
        <v>-6.9710999999999995E-2</v>
      </c>
      <c r="AE4267">
        <v>-0.89370000000002303</v>
      </c>
      <c r="AF4267">
        <v>-0.51370252676476902</v>
      </c>
      <c r="AG4267">
        <v>-6.9710999999999995E-2</v>
      </c>
      <c r="AH4267">
        <v>0.72481195333025294</v>
      </c>
      <c r="AI4267">
        <v>94.486727321648104</v>
      </c>
      <c r="AJ4267">
        <v>125.32668935130501</v>
      </c>
      <c r="AK4267">
        <v>0.89112416487037605</v>
      </c>
      <c r="AL4267">
        <v>83.590234755809902</v>
      </c>
      <c r="AM4267">
        <v>102.663955132014</v>
      </c>
      <c r="AN4267">
        <v>0.99999996344392394</v>
      </c>
    </row>
    <row r="4268" spans="1:40" x14ac:dyDescent="0.25">
      <c r="A4268" t="str">
        <f>"20190303161956457"</f>
        <v>20190303161956457</v>
      </c>
      <c r="B4268" t="str">
        <f>"1551601196446717"</f>
        <v>1551601196446717</v>
      </c>
      <c r="C4268" t="s">
        <v>40</v>
      </c>
      <c r="D4268">
        <v>4.4007449999999997</v>
      </c>
      <c r="E4268">
        <v>0.35620210000000002</v>
      </c>
      <c r="F4268" t="s">
        <v>42</v>
      </c>
      <c r="G4268">
        <v>-487.37049999999999</v>
      </c>
      <c r="H4268">
        <v>1.0610900000000001</v>
      </c>
      <c r="I4268">
        <v>272.20510000000002</v>
      </c>
      <c r="J4268">
        <v>-487.3775</v>
      </c>
      <c r="K4268">
        <v>1.1246039999999999</v>
      </c>
      <c r="L4268">
        <v>272.99619999999999</v>
      </c>
      <c r="M4268">
        <v>-0.58618719999999902</v>
      </c>
      <c r="N4268">
        <v>-1.3955270000000001E-2</v>
      </c>
      <c r="O4268">
        <v>-0.81005539999999998</v>
      </c>
      <c r="P4268">
        <v>-0.3933798</v>
      </c>
      <c r="Q4268">
        <v>9.9882869999999999E-2</v>
      </c>
      <c r="R4268">
        <v>-0.91393400000000002</v>
      </c>
      <c r="S4268">
        <v>-0.18130489999999999</v>
      </c>
      <c r="T4268">
        <v>-0.234211</v>
      </c>
      <c r="U4268">
        <v>-3.2360229999999999</v>
      </c>
      <c r="V4268">
        <v>-0.21791559999999999</v>
      </c>
      <c r="W4268">
        <v>0.111845899999999</v>
      </c>
      <c r="X4268">
        <v>0.96953769999999995</v>
      </c>
      <c r="Y4268">
        <v>-0.53955350000000002</v>
      </c>
      <c r="Z4268">
        <v>3.2351980000000002E-2</v>
      </c>
      <c r="AA4268">
        <v>0.84132949999999995</v>
      </c>
      <c r="AB4268">
        <v>15</v>
      </c>
      <c r="AC4268">
        <v>7.0000000000049996E-3</v>
      </c>
      <c r="AD4268">
        <v>-6.3514000000000195E-2</v>
      </c>
      <c r="AE4268">
        <v>-0.79109999999997105</v>
      </c>
      <c r="AF4268">
        <v>-0.46644245709783</v>
      </c>
      <c r="AG4268">
        <v>-6.3514000000000195E-2</v>
      </c>
      <c r="AH4268">
        <v>0.63271551605130205</v>
      </c>
      <c r="AI4268">
        <v>94.619462306909</v>
      </c>
      <c r="AJ4268">
        <v>126.397908326905</v>
      </c>
      <c r="AK4268">
        <v>0.78862634893308503</v>
      </c>
      <c r="AL4268">
        <v>83.578265636879607</v>
      </c>
      <c r="AM4268">
        <v>102.66742418473601</v>
      </c>
      <c r="AN4268">
        <v>1.0000000328957199</v>
      </c>
    </row>
    <row r="4269" spans="1:40" x14ac:dyDescent="0.25">
      <c r="A4269" t="str">
        <f>"20190303161956480"</f>
        <v>20190303161956480</v>
      </c>
      <c r="B4269" t="str">
        <f>"1551601196476974"</f>
        <v>1551601196476974</v>
      </c>
      <c r="C4269" t="s">
        <v>40</v>
      </c>
      <c r="D4269">
        <v>4.4006850000000002</v>
      </c>
      <c r="E4269">
        <v>0.3571453</v>
      </c>
      <c r="F4269" t="s">
        <v>42</v>
      </c>
      <c r="G4269">
        <v>-487.4248</v>
      </c>
      <c r="H4269">
        <v>1.0586819999999999</v>
      </c>
      <c r="I4269">
        <v>272.08539999999999</v>
      </c>
      <c r="J4269">
        <v>-487.46019999999999</v>
      </c>
      <c r="K4269">
        <v>1.1245849999999999</v>
      </c>
      <c r="L4269">
        <v>272.86709999999999</v>
      </c>
      <c r="M4269">
        <v>-0.58025289999999996</v>
      </c>
      <c r="N4269">
        <v>-1.395036E-2</v>
      </c>
      <c r="O4269">
        <v>-0.81431709999999902</v>
      </c>
      <c r="P4269">
        <v>-0.3869821</v>
      </c>
      <c r="Q4269">
        <v>9.9055589999999999E-2</v>
      </c>
      <c r="R4269">
        <v>-0.9167516</v>
      </c>
      <c r="S4269">
        <v>-0.16705320000000001</v>
      </c>
      <c r="T4269">
        <v>-0.23414769999999999</v>
      </c>
      <c r="U4269">
        <v>-3.2361759999999999</v>
      </c>
      <c r="V4269">
        <v>-0.2176505</v>
      </c>
      <c r="W4269">
        <v>0.1110237</v>
      </c>
      <c r="X4269">
        <v>0.96969170000000005</v>
      </c>
      <c r="Y4269">
        <v>-0.53710340000000001</v>
      </c>
      <c r="Z4269">
        <v>3.2829030000000002E-2</v>
      </c>
      <c r="AA4269">
        <v>0.842877399999999</v>
      </c>
      <c r="AB4269">
        <v>15</v>
      </c>
      <c r="AC4269">
        <v>3.5399999999981398E-2</v>
      </c>
      <c r="AD4269">
        <v>-6.5903000000000003E-2</v>
      </c>
      <c r="AE4269">
        <v>-0.78169999999999995</v>
      </c>
      <c r="AF4269">
        <v>-0.479059324563961</v>
      </c>
      <c r="AG4269">
        <v>-6.5903000000000003E-2</v>
      </c>
      <c r="AH4269">
        <v>0.61173144240314703</v>
      </c>
      <c r="AI4269">
        <v>94.848129987215103</v>
      </c>
      <c r="AJ4269">
        <v>128.065217552051</v>
      </c>
      <c r="AK4269">
        <v>0.77977971215293496</v>
      </c>
      <c r="AL4269">
        <v>83.625669243634306</v>
      </c>
      <c r="AM4269">
        <v>102.650565632305</v>
      </c>
      <c r="AN4269">
        <v>0.99999999758041502</v>
      </c>
    </row>
    <row r="4270" spans="1:40" x14ac:dyDescent="0.25">
      <c r="A4270" t="str">
        <f>"20190303161956493"</f>
        <v>20190303161956493</v>
      </c>
      <c r="B4270" t="str">
        <f>"1551601196486735"</f>
        <v>1551601196486735</v>
      </c>
      <c r="C4270" t="s">
        <v>40</v>
      </c>
      <c r="D4270">
        <v>4.3949669999999896</v>
      </c>
      <c r="E4270">
        <v>0.35735260000000002</v>
      </c>
      <c r="F4270" t="s">
        <v>42</v>
      </c>
      <c r="G4270">
        <v>-487.50229999999999</v>
      </c>
      <c r="H4270">
        <v>1.059723</v>
      </c>
      <c r="I4270">
        <v>271.976</v>
      </c>
      <c r="J4270">
        <v>-487.5077</v>
      </c>
      <c r="K4270">
        <v>1.1245769999999999</v>
      </c>
      <c r="L4270">
        <v>272.7919</v>
      </c>
      <c r="M4270">
        <v>-0.57679720000000001</v>
      </c>
      <c r="N4270">
        <v>-1.394747E-2</v>
      </c>
      <c r="O4270">
        <v>-0.8167683</v>
      </c>
      <c r="P4270">
        <v>-0.38316869999999997</v>
      </c>
      <c r="Q4270">
        <v>9.8684389999999997E-2</v>
      </c>
      <c r="R4270">
        <v>-0.91839159999999997</v>
      </c>
      <c r="S4270">
        <v>-0.1517029</v>
      </c>
      <c r="T4270">
        <v>-0.2353007</v>
      </c>
      <c r="U4270">
        <v>-3.2338559999999998</v>
      </c>
      <c r="V4270">
        <v>-0.2175906</v>
      </c>
      <c r="W4270">
        <v>0.11065460000000001</v>
      </c>
      <c r="X4270">
        <v>0.96974729999999998</v>
      </c>
      <c r="Y4270">
        <v>-0.53748799999999997</v>
      </c>
      <c r="Z4270">
        <v>3.3322610000000003E-2</v>
      </c>
      <c r="AA4270">
        <v>0.84261269999999999</v>
      </c>
      <c r="AB4270">
        <v>15</v>
      </c>
      <c r="AC4270">
        <v>5.4000000000087303E-3</v>
      </c>
      <c r="AD4270">
        <v>-6.4853999999999898E-2</v>
      </c>
      <c r="AE4270">
        <v>-0.81589999999999896</v>
      </c>
      <c r="AF4270">
        <v>-0.47208296758086699</v>
      </c>
      <c r="AG4270">
        <v>-6.4853999999999898E-2</v>
      </c>
      <c r="AH4270">
        <v>0.65918632743054995</v>
      </c>
      <c r="AI4270">
        <v>94.573245756233604</v>
      </c>
      <c r="AJ4270">
        <v>125.608728499682</v>
      </c>
      <c r="AK4270">
        <v>0.81338489281971205</v>
      </c>
      <c r="AL4270">
        <v>83.646948039431294</v>
      </c>
      <c r="AM4270">
        <v>102.646494258006</v>
      </c>
      <c r="AN4270">
        <v>0.99999996778340405</v>
      </c>
    </row>
    <row r="4271" spans="1:40" x14ac:dyDescent="0.25">
      <c r="A4271" t="str">
        <f>"20190303161956505"</f>
        <v>20190303161956505</v>
      </c>
      <c r="B4271" t="str">
        <f>"1551601196496493"</f>
        <v>1551601196496493</v>
      </c>
      <c r="C4271" t="s">
        <v>40</v>
      </c>
      <c r="D4271">
        <v>4.3547779999999996</v>
      </c>
      <c r="E4271">
        <v>0.3575796</v>
      </c>
      <c r="F4271" t="s">
        <v>42</v>
      </c>
      <c r="G4271">
        <v>-487.54809999999998</v>
      </c>
      <c r="H4271">
        <v>1.056835</v>
      </c>
      <c r="I4271">
        <v>271.85329999999999</v>
      </c>
      <c r="J4271">
        <v>-487.55180000000001</v>
      </c>
      <c r="K4271">
        <v>1.124566</v>
      </c>
      <c r="L4271">
        <v>272.72160000000002</v>
      </c>
      <c r="M4271">
        <v>-0.57355999999999996</v>
      </c>
      <c r="N4271">
        <v>-1.394476E-2</v>
      </c>
      <c r="O4271">
        <v>-0.81904500000000002</v>
      </c>
      <c r="P4271">
        <v>-0.37965110000000002</v>
      </c>
      <c r="Q4271">
        <v>9.8528500000000005E-2</v>
      </c>
      <c r="R4271">
        <v>-0.91986820000000002</v>
      </c>
      <c r="S4271">
        <v>-0.13922119999999999</v>
      </c>
      <c r="T4271">
        <v>-0.23337959999999999</v>
      </c>
      <c r="U4271">
        <v>-3.2335820000000002</v>
      </c>
      <c r="V4271">
        <v>-0.21747040000000001</v>
      </c>
      <c r="W4271">
        <v>0.110501</v>
      </c>
      <c r="X4271">
        <v>0.96979179999999998</v>
      </c>
      <c r="Y4271">
        <v>-0.53739869999999901</v>
      </c>
      <c r="Z4271">
        <v>3.3170400000000003E-2</v>
      </c>
      <c r="AA4271">
        <v>0.84267569999999903</v>
      </c>
      <c r="AB4271">
        <v>15</v>
      </c>
      <c r="AC4271">
        <v>3.70000000003756E-3</v>
      </c>
      <c r="AD4271">
        <v>-6.7730999999999902E-2</v>
      </c>
      <c r="AE4271">
        <v>-0.86830000000003305</v>
      </c>
      <c r="AF4271">
        <v>-0.49807074784527</v>
      </c>
      <c r="AG4271">
        <v>-6.7730999999999902E-2</v>
      </c>
      <c r="AH4271">
        <v>0.70483487245071097</v>
      </c>
      <c r="AI4271">
        <v>94.487264217784301</v>
      </c>
      <c r="AJ4271">
        <v>125.246893995319</v>
      </c>
      <c r="AK4271">
        <v>0.86571020303722701</v>
      </c>
      <c r="AL4271">
        <v>83.655803120031507</v>
      </c>
      <c r="AM4271">
        <v>102.639171330601</v>
      </c>
      <c r="AN4271">
        <v>0.99999999061219902</v>
      </c>
    </row>
    <row r="4272" spans="1:40" x14ac:dyDescent="0.25">
      <c r="A4272" t="str">
        <f>"20190303161956516"</f>
        <v>20190303161956516</v>
      </c>
      <c r="B4272" t="str">
        <f>"1551601196506253"</f>
        <v>1551601196506253</v>
      </c>
      <c r="C4272" t="s">
        <v>40</v>
      </c>
      <c r="D4272">
        <v>4.3702350000000001</v>
      </c>
      <c r="E4272">
        <v>0.35777690000000001</v>
      </c>
      <c r="F4272" t="s">
        <v>42</v>
      </c>
      <c r="G4272">
        <v>-487.59140000000002</v>
      </c>
      <c r="H4272">
        <v>1.0536909999999999</v>
      </c>
      <c r="I4272">
        <v>271.73</v>
      </c>
      <c r="J4272">
        <v>-487.59269999999998</v>
      </c>
      <c r="K4272">
        <v>1.124557</v>
      </c>
      <c r="L4272">
        <v>272.65570000000002</v>
      </c>
      <c r="M4272">
        <v>-0.57052959999999997</v>
      </c>
      <c r="N4272">
        <v>-1.39422E-2</v>
      </c>
      <c r="O4272">
        <v>-0.82115869999999902</v>
      </c>
      <c r="P4272">
        <v>-0.37656640000000002</v>
      </c>
      <c r="Q4272">
        <v>9.823026E-2</v>
      </c>
      <c r="R4272">
        <v>-0.92116699999999996</v>
      </c>
      <c r="S4272">
        <v>-0.1285095</v>
      </c>
      <c r="T4272">
        <v>-0.23106119999999999</v>
      </c>
      <c r="U4272">
        <v>-3.2330320000000001</v>
      </c>
      <c r="V4272">
        <v>-0.2171506</v>
      </c>
      <c r="W4272">
        <v>0.11020770000000001</v>
      </c>
      <c r="X4272">
        <v>0.96989689999999995</v>
      </c>
      <c r="Y4272">
        <v>-0.5370703</v>
      </c>
      <c r="Z4272">
        <v>3.2929319999999998E-2</v>
      </c>
      <c r="AA4272">
        <v>0.84289449999999999</v>
      </c>
      <c r="AB4272">
        <v>15</v>
      </c>
      <c r="AC4272">
        <v>1.29999999995789E-3</v>
      </c>
      <c r="AD4272">
        <v>-7.0866000000000096E-2</v>
      </c>
      <c r="AE4272">
        <v>-0.92570000000000596</v>
      </c>
      <c r="AF4272">
        <v>-0.52617454972164701</v>
      </c>
      <c r="AG4272">
        <v>-7.0866000000000096E-2</v>
      </c>
      <c r="AH4272">
        <v>0.75505374144848703</v>
      </c>
      <c r="AI4272">
        <v>94.403230732163294</v>
      </c>
      <c r="AJ4272">
        <v>124.871496254364</v>
      </c>
      <c r="AK4272">
        <v>0.92303185167476098</v>
      </c>
      <c r="AL4272">
        <v>83.672711672829493</v>
      </c>
      <c r="AM4272">
        <v>102.619856877765</v>
      </c>
      <c r="AN4272">
        <v>1.00000005842462</v>
      </c>
    </row>
    <row r="4273" spans="1:40" x14ac:dyDescent="0.25">
      <c r="A4273" t="str">
        <f>"20190303161956528"</f>
        <v>20190303161956528</v>
      </c>
      <c r="B4273" t="str">
        <f>"1551601196516988"</f>
        <v>1551601196516988</v>
      </c>
      <c r="C4273" t="s">
        <v>40</v>
      </c>
      <c r="D4273">
        <v>4.310956</v>
      </c>
      <c r="E4273">
        <v>0.3580353</v>
      </c>
      <c r="F4273" t="s">
        <v>42</v>
      </c>
      <c r="G4273">
        <v>-487.62619999999998</v>
      </c>
      <c r="H4273">
        <v>1.0599369999999999</v>
      </c>
      <c r="I4273">
        <v>271.74439999999998</v>
      </c>
      <c r="J4273">
        <v>-487.63330000000002</v>
      </c>
      <c r="K4273">
        <v>1.1245499999999999</v>
      </c>
      <c r="L4273">
        <v>272.58969999999999</v>
      </c>
      <c r="M4273">
        <v>-0.56748949999999998</v>
      </c>
      <c r="N4273">
        <v>-1.393965E-2</v>
      </c>
      <c r="O4273">
        <v>-0.82326270000000001</v>
      </c>
      <c r="P4273">
        <v>-0.37323430000000002</v>
      </c>
      <c r="Q4273">
        <v>9.7674330000000004E-2</v>
      </c>
      <c r="R4273">
        <v>-0.92258110000000004</v>
      </c>
      <c r="S4273">
        <v>-0.1185913</v>
      </c>
      <c r="T4273">
        <v>-0.22921530000000001</v>
      </c>
      <c r="U4273">
        <v>-3.2326969999999999</v>
      </c>
      <c r="V4273">
        <v>-0.21709790000000001</v>
      </c>
      <c r="W4273">
        <v>0.1096536</v>
      </c>
      <c r="X4273">
        <v>0.96997140000000004</v>
      </c>
      <c r="Y4273">
        <v>-0.53653619999999902</v>
      </c>
      <c r="Z4273">
        <v>3.2781169999999998E-2</v>
      </c>
      <c r="AA4273">
        <v>0.8432404</v>
      </c>
      <c r="AB4273">
        <v>15</v>
      </c>
      <c r="AC4273">
        <v>7.1000000000367401E-3</v>
      </c>
      <c r="AD4273">
        <v>-6.4612999999999796E-2</v>
      </c>
      <c r="AE4273">
        <v>-0.84530000000000804</v>
      </c>
      <c r="AF4273">
        <v>-0.48277067691445003</v>
      </c>
      <c r="AG4273">
        <v>-6.4612999999999796E-2</v>
      </c>
      <c r="AH4273">
        <v>0.68792288863657702</v>
      </c>
      <c r="AI4273">
        <v>94.396355188672104</v>
      </c>
      <c r="AJ4273">
        <v>125.06041877187501</v>
      </c>
      <c r="AK4273">
        <v>0.84289991515453799</v>
      </c>
      <c r="AL4273">
        <v>83.704652249967793</v>
      </c>
      <c r="AM4273">
        <v>102.615954208057</v>
      </c>
      <c r="AN4273">
        <v>0.99999996349766396</v>
      </c>
    </row>
    <row r="4274" spans="1:40" x14ac:dyDescent="0.25">
      <c r="A4274" t="str">
        <f>"20190303161956540"</f>
        <v>20190303161956540</v>
      </c>
      <c r="B4274" t="str">
        <f>"1551601196536508"</f>
        <v>1551601196536508</v>
      </c>
      <c r="C4274" t="s">
        <v>40</v>
      </c>
      <c r="D4274">
        <v>4.3266359999999997</v>
      </c>
      <c r="E4274">
        <v>0.35858980000000001</v>
      </c>
      <c r="F4274" t="s">
        <v>42</v>
      </c>
      <c r="G4274">
        <v>-487.666</v>
      </c>
      <c r="H4274">
        <v>1.0560449999999999</v>
      </c>
      <c r="I4274">
        <v>271.61989999999997</v>
      </c>
      <c r="J4274">
        <v>-487.67439999999999</v>
      </c>
      <c r="K4274">
        <v>1.1245449999999999</v>
      </c>
      <c r="L4274">
        <v>272.5224</v>
      </c>
      <c r="M4274">
        <v>-0.56439349999999999</v>
      </c>
      <c r="N4274">
        <v>-1.393699E-2</v>
      </c>
      <c r="O4274">
        <v>-0.82538840000000002</v>
      </c>
      <c r="P4274">
        <v>-0.36971999999999999</v>
      </c>
      <c r="Q4274">
        <v>9.7531919999999994E-2</v>
      </c>
      <c r="R4274">
        <v>-0.92401029999999995</v>
      </c>
      <c r="S4274">
        <v>-0.1086121</v>
      </c>
      <c r="T4274">
        <v>-0.2282622</v>
      </c>
      <c r="U4274">
        <v>-3.2319640000000001</v>
      </c>
      <c r="V4274">
        <v>-0.21715219999999999</v>
      </c>
      <c r="W4274">
        <v>0.10951139999999999</v>
      </c>
      <c r="X4274">
        <v>0.96997540000000004</v>
      </c>
      <c r="Y4274">
        <v>-0.5359642</v>
      </c>
      <c r="Z4274">
        <v>3.2819880000000003E-2</v>
      </c>
      <c r="AA4274">
        <v>0.84360249999999903</v>
      </c>
      <c r="AB4274">
        <v>15</v>
      </c>
      <c r="AC4274">
        <v>8.3999999999946305E-3</v>
      </c>
      <c r="AD4274">
        <v>-6.8500000000000005E-2</v>
      </c>
      <c r="AE4274">
        <v>-0.90250000000003106</v>
      </c>
      <c r="AF4274">
        <v>-0.51339116150557995</v>
      </c>
      <c r="AG4274">
        <v>-6.8500000000000005E-2</v>
      </c>
      <c r="AH4274">
        <v>0.73600427580581096</v>
      </c>
      <c r="AI4274">
        <v>94.365161194116098</v>
      </c>
      <c r="AJ4274">
        <v>124.89724907991599</v>
      </c>
      <c r="AK4274">
        <v>0.89998057129944997</v>
      </c>
      <c r="AL4274">
        <v>83.712849623973398</v>
      </c>
      <c r="AM4274">
        <v>102.61895826355401</v>
      </c>
      <c r="AN4274">
        <v>1.00000005064997</v>
      </c>
    </row>
    <row r="4275" spans="1:40" x14ac:dyDescent="0.25">
      <c r="A4275" t="str">
        <f>"20190303161956552"</f>
        <v>20190303161956552</v>
      </c>
      <c r="B4275" t="str">
        <f>"1551601196546269"</f>
        <v>1551601196546269</v>
      </c>
      <c r="C4275" t="s">
        <v>40</v>
      </c>
      <c r="D4275">
        <v>4.3561839999999998</v>
      </c>
      <c r="E4275">
        <v>0.35858980000000001</v>
      </c>
      <c r="F4275" t="s">
        <v>42</v>
      </c>
      <c r="G4275">
        <v>-487.702</v>
      </c>
      <c r="H4275">
        <v>1.062937</v>
      </c>
      <c r="I4275">
        <v>271.6345</v>
      </c>
      <c r="J4275">
        <v>-487.71249999999998</v>
      </c>
      <c r="K4275">
        <v>1.12453799999999</v>
      </c>
      <c r="L4275">
        <v>272.45949999999999</v>
      </c>
      <c r="M4275">
        <v>-0.56149769999999999</v>
      </c>
      <c r="N4275">
        <v>-1.3934500000000001E-2</v>
      </c>
      <c r="O4275">
        <v>-0.82736119999999902</v>
      </c>
      <c r="P4275">
        <v>-0.3664135</v>
      </c>
      <c r="Q4275">
        <v>9.697567E-2</v>
      </c>
      <c r="R4275">
        <v>-0.92538489999999995</v>
      </c>
      <c r="S4275">
        <v>-0.10018920000000001</v>
      </c>
      <c r="T4275">
        <v>-0.22409879999999999</v>
      </c>
      <c r="U4275">
        <v>-3.2303470000000001</v>
      </c>
      <c r="V4275">
        <v>-0.2172492</v>
      </c>
      <c r="W4275">
        <v>0.10895589999999999</v>
      </c>
      <c r="X4275">
        <v>0.9700162</v>
      </c>
      <c r="Y4275">
        <v>-0.5351996</v>
      </c>
      <c r="Z4275">
        <v>3.2203700000000002E-2</v>
      </c>
      <c r="AA4275">
        <v>0.84411159999999996</v>
      </c>
      <c r="AB4275">
        <v>15</v>
      </c>
      <c r="AC4275">
        <v>1.0499999999979E-2</v>
      </c>
      <c r="AD4275">
        <v>-6.1600999999999802E-2</v>
      </c>
      <c r="AE4275">
        <v>-0.82499999999998797</v>
      </c>
      <c r="AF4275">
        <v>-0.46935227356840498</v>
      </c>
      <c r="AG4275">
        <v>-6.1600999999999802E-2</v>
      </c>
      <c r="AH4275">
        <v>0.67299132061301803</v>
      </c>
      <c r="AI4275">
        <v>94.293598865671498</v>
      </c>
      <c r="AJ4275">
        <v>124.892384286718</v>
      </c>
      <c r="AK4275">
        <v>0.82280225906671201</v>
      </c>
      <c r="AL4275">
        <v>83.744868809387995</v>
      </c>
      <c r="AM4275">
        <v>102.623900426937</v>
      </c>
      <c r="AN4275">
        <v>1.0000000156539399</v>
      </c>
    </row>
    <row r="4276" spans="1:40" x14ac:dyDescent="0.25">
      <c r="A4276" t="str">
        <f>"20190303161956562"</f>
        <v>20190303161956562</v>
      </c>
      <c r="B4276" t="str">
        <f>"1551601196557005"</f>
        <v>1551601196557005</v>
      </c>
      <c r="C4276" t="s">
        <v>40</v>
      </c>
      <c r="D4276">
        <v>4.2998859999999999</v>
      </c>
      <c r="E4276">
        <v>0.3722647</v>
      </c>
      <c r="F4276" t="s">
        <v>42</v>
      </c>
      <c r="G4276">
        <v>-487.73849999999999</v>
      </c>
      <c r="H4276">
        <v>1.0579719999999999</v>
      </c>
      <c r="I4276">
        <v>271.50889999999998</v>
      </c>
      <c r="J4276">
        <v>-487.7527</v>
      </c>
      <c r="K4276">
        <v>1.1245320000000001</v>
      </c>
      <c r="L4276">
        <v>272.39269999999999</v>
      </c>
      <c r="M4276">
        <v>-0.55841929999999995</v>
      </c>
      <c r="N4276">
        <v>-1.3931890000000001E-2</v>
      </c>
      <c r="O4276">
        <v>-0.82944209999999996</v>
      </c>
      <c r="P4276">
        <v>-0.36309350000000001</v>
      </c>
      <c r="Q4276">
        <v>9.6575060000000004E-2</v>
      </c>
      <c r="R4276">
        <v>-0.92673450000000002</v>
      </c>
      <c r="S4276">
        <v>-8.8592530000000003E-2</v>
      </c>
      <c r="T4276">
        <v>-0.22622690000000001</v>
      </c>
      <c r="U4276">
        <v>-3.2305299999999999</v>
      </c>
      <c r="V4276">
        <v>-0.21714079999999999</v>
      </c>
      <c r="W4276">
        <v>0.1085578</v>
      </c>
      <c r="X4276">
        <v>0.97008510000000003</v>
      </c>
      <c r="Y4276">
        <v>-0.53508669999999903</v>
      </c>
      <c r="Z4276">
        <v>3.2838310000000002E-2</v>
      </c>
      <c r="AA4276">
        <v>0.84415859999999998</v>
      </c>
      <c r="AB4276">
        <v>15</v>
      </c>
      <c r="AC4276">
        <v>1.42000000000166E-2</v>
      </c>
      <c r="AD4276">
        <v>-6.6559999999999897E-2</v>
      </c>
      <c r="AE4276">
        <v>-0.88380000000000702</v>
      </c>
      <c r="AF4276">
        <v>-0.50250862055886703</v>
      </c>
      <c r="AG4276">
        <v>-6.6559999999999897E-2</v>
      </c>
      <c r="AH4276">
        <v>0.72111267888738495</v>
      </c>
      <c r="AI4276">
        <v>94.330652997326794</v>
      </c>
      <c r="AJ4276">
        <v>124.87077906736199</v>
      </c>
      <c r="AK4276">
        <v>0.88144690310200602</v>
      </c>
      <c r="AL4276">
        <v>83.767814341061893</v>
      </c>
      <c r="AM4276">
        <v>102.616935781246</v>
      </c>
      <c r="AN4276">
        <v>1.00000001210374</v>
      </c>
    </row>
    <row r="4277" spans="1:40" x14ac:dyDescent="0.25">
      <c r="A4277" t="str">
        <f>"20190303161956574"</f>
        <v>20190303161956574</v>
      </c>
      <c r="B4277" t="str">
        <f>"1551601196566765"</f>
        <v>1551601196566765</v>
      </c>
      <c r="C4277" t="s">
        <v>40</v>
      </c>
      <c r="D4277">
        <v>4.3196309999999896</v>
      </c>
      <c r="E4277">
        <v>0.37302819999999998</v>
      </c>
      <c r="F4277" t="s">
        <v>41</v>
      </c>
      <c r="G4277">
        <v>-489.18340000000001</v>
      </c>
      <c r="H4277" s="1">
        <v>-2.828719E-6</v>
      </c>
      <c r="I4277">
        <v>245.88890000000001</v>
      </c>
      <c r="J4277">
        <v>-487.79079999999999</v>
      </c>
      <c r="K4277">
        <v>1.124525</v>
      </c>
      <c r="L4277">
        <v>272.32850000000002</v>
      </c>
      <c r="M4277">
        <v>-0.55546189999999995</v>
      </c>
      <c r="N4277">
        <v>-1.392943E-2</v>
      </c>
      <c r="O4277">
        <v>-0.83142549999999904</v>
      </c>
      <c r="P4277">
        <v>-0.35996089999999997</v>
      </c>
      <c r="Q4277">
        <v>9.6480150000000001E-2</v>
      </c>
      <c r="R4277">
        <v>-0.9279657</v>
      </c>
      <c r="S4277">
        <v>-0.171875</v>
      </c>
      <c r="T4277">
        <v>-0.13509170000000001</v>
      </c>
      <c r="U4277">
        <v>-3.183929</v>
      </c>
      <c r="V4277">
        <v>-0.21696579999999999</v>
      </c>
      <c r="W4277">
        <v>0.1084648</v>
      </c>
      <c r="X4277">
        <v>0.97013459999999996</v>
      </c>
      <c r="Y4277">
        <v>-0.50964120000000002</v>
      </c>
      <c r="Z4277">
        <v>1.5063409999999999E-2</v>
      </c>
      <c r="AA4277">
        <v>0.8602552</v>
      </c>
      <c r="AB4277">
        <v>15</v>
      </c>
      <c r="AC4277">
        <v>-1.3926000000000101</v>
      </c>
      <c r="AD4277">
        <v>-1.1245278287189999</v>
      </c>
      <c r="AE4277">
        <v>-26.439599999999999</v>
      </c>
      <c r="AF4277">
        <v>-13.5052947719628</v>
      </c>
      <c r="AG4277">
        <v>-1.1245278287189999</v>
      </c>
      <c r="AH4277">
        <v>22.717317130657602</v>
      </c>
      <c r="AI4277">
        <v>92.436448485306002</v>
      </c>
      <c r="AJ4277">
        <v>120.731203309626</v>
      </c>
      <c r="AK4277">
        <v>26.452486600129699</v>
      </c>
      <c r="AL4277">
        <v>83.7731741524846</v>
      </c>
      <c r="AM4277">
        <v>102.60646989434299</v>
      </c>
      <c r="AN4277">
        <v>0.99999995666291897</v>
      </c>
    </row>
    <row r="4278" spans="1:40" x14ac:dyDescent="0.25">
      <c r="A4278" t="str">
        <f>"20190303161956585"</f>
        <v>20190303161956585</v>
      </c>
      <c r="B4278" t="str">
        <f>"1551601196576525"</f>
        <v>1551601196576525</v>
      </c>
      <c r="C4278" t="s">
        <v>40</v>
      </c>
      <c r="D4278">
        <v>4.273155</v>
      </c>
      <c r="E4278">
        <v>0.37394119999999997</v>
      </c>
      <c r="F4278" t="s">
        <v>41</v>
      </c>
      <c r="G4278">
        <v>-489.22609999999997</v>
      </c>
      <c r="H4278" s="1">
        <v>-2.3537410000000001E-6</v>
      </c>
      <c r="I4278">
        <v>244.79939999999999</v>
      </c>
      <c r="J4278">
        <v>-487.83</v>
      </c>
      <c r="K4278">
        <v>1.12452</v>
      </c>
      <c r="L4278">
        <v>272.26240000000001</v>
      </c>
      <c r="M4278">
        <v>-0.55241169999999995</v>
      </c>
      <c r="N4278">
        <v>-1.3926930000000001E-2</v>
      </c>
      <c r="O4278">
        <v>-0.83345509999999901</v>
      </c>
      <c r="P4278">
        <v>-0.35668359999999999</v>
      </c>
      <c r="Q4278">
        <v>9.6250299999999997E-2</v>
      </c>
      <c r="R4278">
        <v>-0.92925360000000001</v>
      </c>
      <c r="S4278">
        <v>-0.1658936</v>
      </c>
      <c r="T4278">
        <v>-0.1299806</v>
      </c>
      <c r="U4278">
        <v>-3.182007</v>
      </c>
      <c r="V4278">
        <v>-0.21684490000000001</v>
      </c>
      <c r="W4278">
        <v>0.1082378</v>
      </c>
      <c r="X4278">
        <v>0.97018700000000002</v>
      </c>
      <c r="Y4278">
        <v>-0.50808199999999903</v>
      </c>
      <c r="Z4278">
        <v>1.412772E-2</v>
      </c>
      <c r="AA4278">
        <v>0.86119279999999998</v>
      </c>
      <c r="AB4278">
        <v>15</v>
      </c>
      <c r="AC4278">
        <v>-1.3960999999999899</v>
      </c>
      <c r="AD4278">
        <v>-1.1245223537410001</v>
      </c>
      <c r="AE4278">
        <v>-27.463000000000001</v>
      </c>
      <c r="AF4278">
        <v>-13.985266288233101</v>
      </c>
      <c r="AG4278">
        <v>-1.1245223537410001</v>
      </c>
      <c r="AH4278">
        <v>23.623188186428699</v>
      </c>
      <c r="AI4278">
        <v>92.345661025460601</v>
      </c>
      <c r="AJ4278">
        <v>120.62614133938401</v>
      </c>
      <c r="AK4278">
        <v>27.475575403770499</v>
      </c>
      <c r="AL4278">
        <v>83.786257424942093</v>
      </c>
      <c r="AM4278">
        <v>102.59901074677499</v>
      </c>
      <c r="AN4278">
        <v>0.99999997348692404</v>
      </c>
    </row>
    <row r="4279" spans="1:40" x14ac:dyDescent="0.25">
      <c r="A4279" t="str">
        <f>"20190303161956597"</f>
        <v>20190303161956597</v>
      </c>
      <c r="B4279" t="str">
        <f>"1551601196586285"</f>
        <v>1551601196586285</v>
      </c>
      <c r="C4279" t="s">
        <v>40</v>
      </c>
      <c r="D4279">
        <v>4.3128710000000003</v>
      </c>
      <c r="E4279">
        <v>0.37471549999999998</v>
      </c>
      <c r="F4279" t="s">
        <v>41</v>
      </c>
      <c r="G4279">
        <v>-489.30680000000001</v>
      </c>
      <c r="H4279" s="1">
        <v>-1.610851E-6</v>
      </c>
      <c r="I4279">
        <v>243.1011</v>
      </c>
      <c r="J4279">
        <v>-487.8682</v>
      </c>
      <c r="K4279">
        <v>1.1245130000000001</v>
      </c>
      <c r="L4279">
        <v>272.19690000000003</v>
      </c>
      <c r="M4279">
        <v>-0.54939559999999998</v>
      </c>
      <c r="N4279">
        <v>-1.392445E-2</v>
      </c>
      <c r="O4279">
        <v>-0.83544640000000003</v>
      </c>
      <c r="P4279">
        <v>-0.35354910000000001</v>
      </c>
      <c r="Q4279">
        <v>9.6324320000000005E-2</v>
      </c>
      <c r="R4279">
        <v>-0.93044369999999998</v>
      </c>
      <c r="S4279">
        <v>-0.16101070000000001</v>
      </c>
      <c r="T4279">
        <v>-0.122599</v>
      </c>
      <c r="U4279">
        <v>-3.1792600000000002</v>
      </c>
      <c r="V4279">
        <v>-0.21660299999999999</v>
      </c>
      <c r="W4279">
        <v>0.10831499999999999</v>
      </c>
      <c r="X4279">
        <v>0.97023239999999999</v>
      </c>
      <c r="Y4279">
        <v>-0.50626130000000003</v>
      </c>
      <c r="Z4279">
        <v>1.2700309999999999E-2</v>
      </c>
      <c r="AA4279">
        <v>0.86228660000000001</v>
      </c>
      <c r="AB4279">
        <v>15</v>
      </c>
      <c r="AC4279">
        <v>-1.4386000000000001</v>
      </c>
      <c r="AD4279">
        <v>-1.12451461085099</v>
      </c>
      <c r="AE4279">
        <v>-29.095800000000001</v>
      </c>
      <c r="AF4279">
        <v>-14.762666383935899</v>
      </c>
      <c r="AG4279">
        <v>-1.12451461085099</v>
      </c>
      <c r="AH4279">
        <v>25.063427622096199</v>
      </c>
      <c r="AI4279">
        <v>92.213898288671601</v>
      </c>
      <c r="AJ4279">
        <v>120.498607033307</v>
      </c>
      <c r="AK4279">
        <v>29.109727859282099</v>
      </c>
      <c r="AL4279">
        <v>83.781807912880296</v>
      </c>
      <c r="AM4279">
        <v>102.584833830058</v>
      </c>
      <c r="AN4279">
        <v>0.99999995442187894</v>
      </c>
    </row>
    <row r="4280" spans="1:40" x14ac:dyDescent="0.25">
      <c r="A4280" t="str">
        <f>"20190303161956608"</f>
        <v>20190303161956608</v>
      </c>
      <c r="B4280" t="str">
        <f>"1551601196597021"</f>
        <v>1551601196597021</v>
      </c>
      <c r="C4280" t="s">
        <v>40</v>
      </c>
      <c r="D4280">
        <v>4.2961</v>
      </c>
      <c r="E4280">
        <v>0.37511319999999998</v>
      </c>
      <c r="F4280" t="s">
        <v>41</v>
      </c>
      <c r="G4280">
        <v>-489.32619999999997</v>
      </c>
      <c r="H4280" s="1">
        <v>-1.3652300000000001E-6</v>
      </c>
      <c r="I4280">
        <v>242.53649999999999</v>
      </c>
      <c r="J4280">
        <v>-487.90780000000001</v>
      </c>
      <c r="K4280">
        <v>1.1245069999999999</v>
      </c>
      <c r="L4280">
        <v>272.12889999999999</v>
      </c>
      <c r="M4280">
        <v>-0.54625669999999904</v>
      </c>
      <c r="N4280">
        <v>-1.3921869999999999E-2</v>
      </c>
      <c r="O4280">
        <v>-0.83750230000000003</v>
      </c>
      <c r="P4280">
        <v>-0.34999970000000002</v>
      </c>
      <c r="Q4280">
        <v>9.6439800000000006E-2</v>
      </c>
      <c r="R4280">
        <v>-0.9317723</v>
      </c>
      <c r="S4280">
        <v>-0.15618899999999999</v>
      </c>
      <c r="T4280">
        <v>-0.1204659</v>
      </c>
      <c r="U4280">
        <v>-3.1774290000000001</v>
      </c>
      <c r="V4280">
        <v>-0.21665300000000001</v>
      </c>
      <c r="W4280">
        <v>0.1084307</v>
      </c>
      <c r="X4280">
        <v>0.97020830000000002</v>
      </c>
      <c r="Y4280">
        <v>-0.50430909999999995</v>
      </c>
      <c r="Z4280">
        <v>1.238825E-2</v>
      </c>
      <c r="AA4280">
        <v>0.86343429999999999</v>
      </c>
      <c r="AB4280">
        <v>15</v>
      </c>
      <c r="AC4280">
        <v>-1.4183999999999599</v>
      </c>
      <c r="AD4280">
        <v>-1.1245083652300001</v>
      </c>
      <c r="AE4280">
        <v>-29.592400000000001</v>
      </c>
      <c r="AF4280">
        <v>-14.957034524864699</v>
      </c>
      <c r="AG4280">
        <v>-1.1245083652300001</v>
      </c>
      <c r="AH4280">
        <v>25.524214605908998</v>
      </c>
      <c r="AI4280">
        <v>92.176822568616899</v>
      </c>
      <c r="AJ4280">
        <v>120.37004328812699</v>
      </c>
      <c r="AK4280">
        <v>29.605116653882</v>
      </c>
      <c r="AL4280">
        <v>83.775139440081603</v>
      </c>
      <c r="AM4280">
        <v>102.587949019916</v>
      </c>
      <c r="AN4280">
        <v>0.99999994225018796</v>
      </c>
    </row>
    <row r="4281" spans="1:40" x14ac:dyDescent="0.25">
      <c r="A4281" t="str">
        <f>"20190303161956620"</f>
        <v>20190303161956620</v>
      </c>
      <c r="B4281" t="str">
        <f>"1551601196616540"</f>
        <v>1551601196616540</v>
      </c>
      <c r="C4281" t="s">
        <v>40</v>
      </c>
      <c r="D4281">
        <v>4.3896980000000001</v>
      </c>
      <c r="E4281">
        <v>0.3756623</v>
      </c>
      <c r="F4281" t="s">
        <v>41</v>
      </c>
      <c r="G4281">
        <v>-489.27010000000001</v>
      </c>
      <c r="H4281" s="1">
        <v>-1.45269E-6</v>
      </c>
      <c r="I4281">
        <v>242.71719999999999</v>
      </c>
      <c r="J4281">
        <v>-487.947</v>
      </c>
      <c r="K4281">
        <v>1.124498</v>
      </c>
      <c r="L4281">
        <v>272.06079999999997</v>
      </c>
      <c r="M4281">
        <v>-0.54311580000000004</v>
      </c>
      <c r="N4281">
        <v>-1.391921E-2</v>
      </c>
      <c r="O4281">
        <v>-0.83954240000000002</v>
      </c>
      <c r="P4281">
        <v>-0.34655449999999999</v>
      </c>
      <c r="Q4281">
        <v>9.6404110000000001E-2</v>
      </c>
      <c r="R4281">
        <v>-0.93306290000000003</v>
      </c>
      <c r="S4281">
        <v>-0.1471558</v>
      </c>
      <c r="T4281">
        <v>-0.12146650000000001</v>
      </c>
      <c r="U4281">
        <v>-3.176971</v>
      </c>
      <c r="V4281">
        <v>-0.21660380000000001</v>
      </c>
      <c r="W4281">
        <v>0.1083961</v>
      </c>
      <c r="X4281">
        <v>0.97022319999999995</v>
      </c>
      <c r="Y4281">
        <v>-0.5035174</v>
      </c>
      <c r="Z4281">
        <v>1.2722529999999999E-2</v>
      </c>
      <c r="AA4281">
        <v>0.86389139999999998</v>
      </c>
      <c r="AB4281">
        <v>15</v>
      </c>
      <c r="AC4281">
        <v>-1.3231000000000599</v>
      </c>
      <c r="AD4281">
        <v>-1.1244994526899901</v>
      </c>
      <c r="AE4281">
        <v>-29.343599999999899</v>
      </c>
      <c r="AF4281">
        <v>-14.805911749942799</v>
      </c>
      <c r="AG4281">
        <v>-1.1244994526899901</v>
      </c>
      <c r="AH4281">
        <v>25.319142612166299</v>
      </c>
      <c r="AI4281">
        <v>92.195587903071299</v>
      </c>
      <c r="AJ4281">
        <v>120.31787701584599</v>
      </c>
      <c r="AK4281">
        <v>29.351976158027501</v>
      </c>
      <c r="AL4281">
        <v>83.777133921709407</v>
      </c>
      <c r="AM4281">
        <v>102.584994363078</v>
      </c>
      <c r="AN4281">
        <v>0.99999998924394495</v>
      </c>
    </row>
    <row r="4282" spans="1:40" x14ac:dyDescent="0.25">
      <c r="A4282" t="str">
        <f>"20190303161956631"</f>
        <v>20190303161956631</v>
      </c>
      <c r="B4282" t="str">
        <f>"1551601196626301"</f>
        <v>1551601196626301</v>
      </c>
      <c r="C4282" t="s">
        <v>40</v>
      </c>
      <c r="D4282">
        <v>4.4141969999999997</v>
      </c>
      <c r="E4282">
        <v>0.3928584</v>
      </c>
      <c r="F4282" t="s">
        <v>41</v>
      </c>
      <c r="G4282">
        <v>-489.23790000000002</v>
      </c>
      <c r="H4282" s="1">
        <v>-1.474345E-6</v>
      </c>
      <c r="I4282">
        <v>242.7544</v>
      </c>
      <c r="J4282">
        <v>-487.98230000000001</v>
      </c>
      <c r="K4282">
        <v>1.124492</v>
      </c>
      <c r="L4282">
        <v>271.9991</v>
      </c>
      <c r="M4282">
        <v>-0.54026419999999997</v>
      </c>
      <c r="N4282">
        <v>-1.391681E-2</v>
      </c>
      <c r="O4282">
        <v>-0.84138049999999998</v>
      </c>
      <c r="P4282">
        <v>-0.34331840000000002</v>
      </c>
      <c r="Q4282">
        <v>9.6295859999999997E-2</v>
      </c>
      <c r="R4282">
        <v>-0.93426960000000003</v>
      </c>
      <c r="S4282">
        <v>-0.13989260000000001</v>
      </c>
      <c r="T4282">
        <v>-0.1218596</v>
      </c>
      <c r="U4282">
        <v>-3.1758730000000002</v>
      </c>
      <c r="V4282">
        <v>-0.2166786</v>
      </c>
      <c r="W4282">
        <v>0.108288</v>
      </c>
      <c r="X4282">
        <v>0.97021860000000004</v>
      </c>
      <c r="Y4282">
        <v>-0.50254359999999998</v>
      </c>
      <c r="Z4282">
        <v>1.2924410000000001E-2</v>
      </c>
      <c r="AA4282">
        <v>0.86445530000000004</v>
      </c>
      <c r="AB4282">
        <v>15</v>
      </c>
      <c r="AC4282">
        <v>-1.25560000000001</v>
      </c>
      <c r="AD4282">
        <v>-1.1244934743449999</v>
      </c>
      <c r="AE4282">
        <v>-29.244699999999899</v>
      </c>
      <c r="AF4282">
        <v>-14.7231253484956</v>
      </c>
      <c r="AG4282">
        <v>-1.1244934743449999</v>
      </c>
      <c r="AH4282">
        <v>25.249459510301801</v>
      </c>
      <c r="AI4282">
        <v>92.203224767072399</v>
      </c>
      <c r="AJ4282">
        <v>120.246741614594</v>
      </c>
      <c r="AK4282">
        <v>29.250130105073598</v>
      </c>
      <c r="AL4282">
        <v>83.7833644564395</v>
      </c>
      <c r="AM4282">
        <v>102.589259626092</v>
      </c>
      <c r="AN4282">
        <v>1.00000001921395</v>
      </c>
    </row>
    <row r="4283" spans="1:40" x14ac:dyDescent="0.25">
      <c r="A4283" t="str">
        <f>"20190303161956641"</f>
        <v>20190303161956641</v>
      </c>
      <c r="B4283" t="str">
        <f>"1551601196637036"</f>
        <v>1551601196637036</v>
      </c>
      <c r="C4283" t="s">
        <v>40</v>
      </c>
      <c r="D4283">
        <v>4.3879320000000002</v>
      </c>
      <c r="E4283">
        <v>0.39727109999999999</v>
      </c>
      <c r="F4283" t="s">
        <v>41</v>
      </c>
      <c r="G4283">
        <v>-490.50670000000002</v>
      </c>
      <c r="H4283" s="1">
        <v>-8.409557E-7</v>
      </c>
      <c r="I4283">
        <v>241.23509999999999</v>
      </c>
      <c r="J4283">
        <v>-488.02</v>
      </c>
      <c r="K4283">
        <v>1.12449</v>
      </c>
      <c r="L4283">
        <v>271.93259999999998</v>
      </c>
      <c r="M4283">
        <v>-0.53719550000000005</v>
      </c>
      <c r="N4283">
        <v>-1.3914259999999999E-2</v>
      </c>
      <c r="O4283">
        <v>-0.84334290000000001</v>
      </c>
      <c r="P4283">
        <v>-0.33977950000000001</v>
      </c>
      <c r="Q4283">
        <v>9.6081260000000002E-2</v>
      </c>
      <c r="R4283">
        <v>-0.93558459999999999</v>
      </c>
      <c r="S4283">
        <v>-0.25671389999999999</v>
      </c>
      <c r="T4283">
        <v>-0.1143531</v>
      </c>
      <c r="U4283">
        <v>-3.128479</v>
      </c>
      <c r="V4283">
        <v>-0.21682570000000001</v>
      </c>
      <c r="W4283">
        <v>0.1080733</v>
      </c>
      <c r="X4283">
        <v>0.97020969999999995</v>
      </c>
      <c r="Y4283">
        <v>-0.4662811</v>
      </c>
      <c r="Z4283">
        <v>1.228773E-2</v>
      </c>
      <c r="AA4283">
        <v>0.88455130000000004</v>
      </c>
      <c r="AB4283">
        <v>15</v>
      </c>
      <c r="AC4283">
        <v>-2.4867000000000399</v>
      </c>
      <c r="AD4283">
        <v>-1.1244908409557</v>
      </c>
      <c r="AE4283">
        <v>-30.697499999999899</v>
      </c>
      <c r="AF4283">
        <v>-14.375648332131499</v>
      </c>
      <c r="AG4283">
        <v>-1.1244908409557</v>
      </c>
      <c r="AH4283">
        <v>27.190752232280801</v>
      </c>
      <c r="AI4283">
        <v>92.093825344496096</v>
      </c>
      <c r="AJ4283">
        <v>117.865239706927</v>
      </c>
      <c r="AK4283">
        <v>30.7776014591422</v>
      </c>
      <c r="AL4283">
        <v>83.795738623054007</v>
      </c>
      <c r="AM4283">
        <v>102.597645462336</v>
      </c>
      <c r="AN4283">
        <v>1.0000000421637301</v>
      </c>
    </row>
    <row r="4284" spans="1:40" x14ac:dyDescent="0.25">
      <c r="A4284" t="str">
        <f>"20190303161956659"</f>
        <v>20190303161956659</v>
      </c>
      <c r="B4284" t="str">
        <f>"1551601196646797"</f>
        <v>1551601196646797</v>
      </c>
      <c r="C4284" t="s">
        <v>40</v>
      </c>
      <c r="D4284">
        <v>4.3706820000000004</v>
      </c>
      <c r="E4284">
        <v>0.39999839999999998</v>
      </c>
      <c r="F4284" t="s">
        <v>41</v>
      </c>
      <c r="G4284">
        <v>-490.4171</v>
      </c>
      <c r="H4284" s="1">
        <v>-2.5114019999999998E-6</v>
      </c>
      <c r="I4284">
        <v>245.18450000000001</v>
      </c>
      <c r="J4284">
        <v>-488.07130000000001</v>
      </c>
      <c r="K4284">
        <v>1.124482</v>
      </c>
      <c r="L4284">
        <v>271.84120000000001</v>
      </c>
      <c r="M4284">
        <v>-0.53297329999999998</v>
      </c>
      <c r="N4284">
        <v>-1.391074E-2</v>
      </c>
      <c r="O4284">
        <v>-0.84601789999999999</v>
      </c>
      <c r="P4284">
        <v>-0.33525480000000002</v>
      </c>
      <c r="Q4284">
        <v>9.5941719999999994E-2</v>
      </c>
      <c r="R4284">
        <v>-0.93722969999999906</v>
      </c>
      <c r="S4284">
        <v>-0.27948000000000001</v>
      </c>
      <c r="T4284">
        <v>-0.13110339999999901</v>
      </c>
      <c r="U4284">
        <v>-3.1185299999999998</v>
      </c>
      <c r="V4284">
        <v>-0.21666840000000001</v>
      </c>
      <c r="W4284">
        <v>0.1079363</v>
      </c>
      <c r="X4284">
        <v>0.97026000000000001</v>
      </c>
      <c r="Y4284">
        <v>-0.45517049999999998</v>
      </c>
      <c r="Z4284">
        <v>1.6482239999999999E-2</v>
      </c>
      <c r="AA4284">
        <v>0.89025180000000004</v>
      </c>
      <c r="AB4284">
        <v>15</v>
      </c>
      <c r="AC4284">
        <v>-2.3457999999999899</v>
      </c>
      <c r="AD4284">
        <v>-1.1244845114019999</v>
      </c>
      <c r="AE4284">
        <v>-26.656700000000001</v>
      </c>
      <c r="AF4284">
        <v>-12.202354268089699</v>
      </c>
      <c r="AG4284">
        <v>-1.1244845114019999</v>
      </c>
      <c r="AH4284">
        <v>23.762633159935</v>
      </c>
      <c r="AI4284">
        <v>92.410485213658603</v>
      </c>
      <c r="AJ4284">
        <v>117.180960396237</v>
      </c>
      <c r="AK4284">
        <v>26.736204850239901</v>
      </c>
      <c r="AL4284">
        <v>83.803633783087804</v>
      </c>
      <c r="AM4284">
        <v>102.588165858164</v>
      </c>
      <c r="AN4284">
        <v>0.99999995400812303</v>
      </c>
    </row>
    <row r="4285" spans="1:40" x14ac:dyDescent="0.25">
      <c r="A4285" t="str">
        <f>"20190303161956672"</f>
        <v>20190303161956672</v>
      </c>
      <c r="B4285" t="str">
        <f>"1551601196666317"</f>
        <v>1551601196666317</v>
      </c>
      <c r="C4285" t="s">
        <v>40</v>
      </c>
      <c r="D4285">
        <v>4.4053709999999997</v>
      </c>
      <c r="E4285">
        <v>0.40386749999999999</v>
      </c>
      <c r="F4285" t="s">
        <v>41</v>
      </c>
      <c r="G4285">
        <v>-490.33969999999999</v>
      </c>
      <c r="H4285" s="1">
        <v>-3.3024809999999998E-6</v>
      </c>
      <c r="I4285">
        <v>247.07660000000001</v>
      </c>
      <c r="J4285">
        <v>-488.11340000000001</v>
      </c>
      <c r="K4285">
        <v>1.124476</v>
      </c>
      <c r="L4285">
        <v>271.76519999999999</v>
      </c>
      <c r="M4285">
        <v>-0.52946459999999995</v>
      </c>
      <c r="N4285">
        <v>-1.3907900000000001E-2</v>
      </c>
      <c r="O4285">
        <v>-0.84821800000000003</v>
      </c>
      <c r="P4285">
        <v>-0.33168579999999998</v>
      </c>
      <c r="Q4285">
        <v>9.5688099999999998E-2</v>
      </c>
      <c r="R4285">
        <v>-0.93852480000000005</v>
      </c>
      <c r="S4285">
        <v>-0.28518680000000002</v>
      </c>
      <c r="T4285">
        <v>-0.14137179999999999</v>
      </c>
      <c r="U4285">
        <v>-3.1134339999999998</v>
      </c>
      <c r="V4285">
        <v>-0.2163513</v>
      </c>
      <c r="W4285">
        <v>0.1076874</v>
      </c>
      <c r="X4285">
        <v>0.97035839999999995</v>
      </c>
      <c r="Y4285">
        <v>-0.44971919999999999</v>
      </c>
      <c r="Z4285">
        <v>1.9101400000000001E-2</v>
      </c>
      <c r="AA4285">
        <v>0.89296569999999997</v>
      </c>
      <c r="AB4285">
        <v>15</v>
      </c>
      <c r="AC4285">
        <v>-2.2262999999999802</v>
      </c>
      <c r="AD4285">
        <v>-1.124479302481</v>
      </c>
      <c r="AE4285">
        <v>-24.688599999999902</v>
      </c>
      <c r="AF4285">
        <v>-11.161466405978899</v>
      </c>
      <c r="AG4285">
        <v>-1.124479302481</v>
      </c>
      <c r="AH4285">
        <v>22.076773458666398</v>
      </c>
      <c r="AI4285">
        <v>92.602632983508599</v>
      </c>
      <c r="AJ4285">
        <v>116.820023526931</v>
      </c>
      <c r="AK4285">
        <v>24.763414796404501</v>
      </c>
      <c r="AL4285">
        <v>83.817978243429096</v>
      </c>
      <c r="AM4285">
        <v>102.569094464673</v>
      </c>
      <c r="AN4285">
        <v>0.99999994279050297</v>
      </c>
    </row>
    <row r="4286" spans="1:40" x14ac:dyDescent="0.25">
      <c r="A4286" t="str">
        <f>"20190303161956684"</f>
        <v>20190303161956684</v>
      </c>
      <c r="B4286" t="str">
        <f>"1551601196677052"</f>
        <v>1551601196677052</v>
      </c>
      <c r="C4286" t="s">
        <v>40</v>
      </c>
      <c r="D4286">
        <v>4.412458</v>
      </c>
      <c r="E4286">
        <v>0.4050937</v>
      </c>
      <c r="F4286" t="s">
        <v>41</v>
      </c>
      <c r="G4286">
        <v>-490.44290000000001</v>
      </c>
      <c r="H4286" s="1">
        <v>-3.6721879999999998E-6</v>
      </c>
      <c r="I4286">
        <v>247.87440000000001</v>
      </c>
      <c r="J4286">
        <v>-488.15539999999999</v>
      </c>
      <c r="K4286">
        <v>1.1244670000000001</v>
      </c>
      <c r="L4286">
        <v>271.68889999999999</v>
      </c>
      <c r="M4286">
        <v>-0.52593659999999998</v>
      </c>
      <c r="N4286">
        <v>-1.390512E-2</v>
      </c>
      <c r="O4286">
        <v>-0.85041019999999901</v>
      </c>
      <c r="P4286">
        <v>-0.3281058</v>
      </c>
      <c r="Q4286">
        <v>9.5695299999999997E-2</v>
      </c>
      <c r="R4286">
        <v>-0.93978139999999999</v>
      </c>
      <c r="S4286">
        <v>-0.30270390000000003</v>
      </c>
      <c r="T4286">
        <v>-0.14611759999999999</v>
      </c>
      <c r="U4286">
        <v>-3.1044309999999999</v>
      </c>
      <c r="V4286">
        <v>-0.2160165</v>
      </c>
      <c r="W4286">
        <v>0.1076983</v>
      </c>
      <c r="X4286">
        <v>0.97043179999999996</v>
      </c>
      <c r="Y4286">
        <v>-0.44075989999999998</v>
      </c>
      <c r="Z4286">
        <v>2.0568929999999999E-2</v>
      </c>
      <c r="AA4286">
        <v>0.8973894</v>
      </c>
      <c r="AB4286">
        <v>15</v>
      </c>
      <c r="AC4286">
        <v>-2.2875000000000201</v>
      </c>
      <c r="AD4286">
        <v>-1.124470672188</v>
      </c>
      <c r="AE4286">
        <v>-23.814499999999899</v>
      </c>
      <c r="AF4286">
        <v>-10.557303246708299</v>
      </c>
      <c r="AG4286">
        <v>-1.124470672188</v>
      </c>
      <c r="AH4286">
        <v>21.409948655262401</v>
      </c>
      <c r="AI4286">
        <v>92.696947011740804</v>
      </c>
      <c r="AJ4286">
        <v>116.24803030443999</v>
      </c>
      <c r="AK4286">
        <v>23.8978448307906</v>
      </c>
      <c r="AL4286">
        <v>83.817350205595304</v>
      </c>
      <c r="AM4286">
        <v>102.549341481483</v>
      </c>
      <c r="AN4286">
        <v>0.99999996527318902</v>
      </c>
    </row>
    <row r="4287" spans="1:40" x14ac:dyDescent="0.25">
      <c r="A4287" t="str">
        <f>"20190303161956699"</f>
        <v>20190303161956699</v>
      </c>
      <c r="B4287" t="str">
        <f>"1551601196686813"</f>
        <v>1551601196686813</v>
      </c>
      <c r="C4287" t="s">
        <v>40</v>
      </c>
      <c r="D4287">
        <v>4.4055499999999999</v>
      </c>
      <c r="E4287">
        <v>0.40619620000000001</v>
      </c>
      <c r="F4287" t="s">
        <v>41</v>
      </c>
      <c r="G4287">
        <v>-490.40359999999998</v>
      </c>
      <c r="H4287" s="1">
        <v>-3.8933219999999998E-6</v>
      </c>
      <c r="I4287">
        <v>248.41419999999999</v>
      </c>
      <c r="J4287">
        <v>-488.19959999999998</v>
      </c>
      <c r="K4287">
        <v>1.12446</v>
      </c>
      <c r="L4287">
        <v>271.60750000000002</v>
      </c>
      <c r="M4287">
        <v>-0.52217849999999999</v>
      </c>
      <c r="N4287">
        <v>-1.3901989999999999E-2</v>
      </c>
      <c r="O4287">
        <v>-0.85272320000000001</v>
      </c>
      <c r="P4287">
        <v>-0.32456689999999999</v>
      </c>
      <c r="Q4287">
        <v>9.5579150000000002E-2</v>
      </c>
      <c r="R4287">
        <v>-0.94102160000000001</v>
      </c>
      <c r="S4287">
        <v>-0.29971310000000001</v>
      </c>
      <c r="T4287">
        <v>-0.14990809999999999</v>
      </c>
      <c r="U4287">
        <v>-3.1028440000000002</v>
      </c>
      <c r="V4287">
        <v>-0.21538879999999999</v>
      </c>
      <c r="W4287">
        <v>0.1075893</v>
      </c>
      <c r="X4287">
        <v>0.97058339999999999</v>
      </c>
      <c r="Y4287">
        <v>-0.43760789999999999</v>
      </c>
      <c r="Z4287">
        <v>2.1668710000000001E-2</v>
      </c>
      <c r="AA4287">
        <v>0.89890479999999995</v>
      </c>
      <c r="AB4287">
        <v>15</v>
      </c>
      <c r="AC4287">
        <v>-2.2040000000000002</v>
      </c>
      <c r="AD4287">
        <v>-1.1244638933219999</v>
      </c>
      <c r="AE4287">
        <v>-23.193300000000001</v>
      </c>
      <c r="AF4287">
        <v>-10.2088454771126</v>
      </c>
      <c r="AG4287">
        <v>-1.1244638933219999</v>
      </c>
      <c r="AH4287">
        <v>20.881719896284402</v>
      </c>
      <c r="AI4287">
        <v>92.769654315205202</v>
      </c>
      <c r="AJ4287">
        <v>116.053505583518</v>
      </c>
      <c r="AK4287">
        <v>23.270822307125901</v>
      </c>
      <c r="AL4287">
        <v>83.823631940868296</v>
      </c>
      <c r="AM4287">
        <v>102.51213285132</v>
      </c>
      <c r="AN4287">
        <v>0.99999996449774398</v>
      </c>
    </row>
    <row r="4288" spans="1:40" x14ac:dyDescent="0.25">
      <c r="A4288" t="str">
        <f>"20190303161956714"</f>
        <v>20190303161956714</v>
      </c>
      <c r="B4288" t="str">
        <f>"1551601196706333"</f>
        <v>1551601196706333</v>
      </c>
      <c r="C4288" t="s">
        <v>40</v>
      </c>
      <c r="D4288">
        <v>4.4250550000000004</v>
      </c>
      <c r="E4288">
        <v>0.40808899999999998</v>
      </c>
      <c r="F4288" t="s">
        <v>41</v>
      </c>
      <c r="G4288">
        <v>-490.41109999999998</v>
      </c>
      <c r="H4288" s="1">
        <v>-3.9313830000000003E-6</v>
      </c>
      <c r="I4288">
        <v>248.4983</v>
      </c>
      <c r="J4288">
        <v>-488.24700000000001</v>
      </c>
      <c r="K4288">
        <v>1.1244479999999999</v>
      </c>
      <c r="L4288">
        <v>271.51929999999999</v>
      </c>
      <c r="M4288">
        <v>-0.51809780000000005</v>
      </c>
      <c r="N4288">
        <v>-1.389864E-2</v>
      </c>
      <c r="O4288">
        <v>-0.85520849999999904</v>
      </c>
      <c r="P4288">
        <v>-0.32081870000000001</v>
      </c>
      <c r="Q4288">
        <v>9.4994629999999997E-2</v>
      </c>
      <c r="R4288">
        <v>-0.9423648</v>
      </c>
      <c r="S4288">
        <v>-0.29675289999999999</v>
      </c>
      <c r="T4288">
        <v>-0.15088799999999999</v>
      </c>
      <c r="U4288">
        <v>-3.1009519999999999</v>
      </c>
      <c r="V4288">
        <v>-0.2146371</v>
      </c>
      <c r="W4288">
        <v>0.1070142</v>
      </c>
      <c r="X4288">
        <v>0.9708135</v>
      </c>
      <c r="Y4288">
        <v>-0.43410840000000001</v>
      </c>
      <c r="Z4288">
        <v>2.213654E-2</v>
      </c>
      <c r="AA4288">
        <v>0.90058859999999996</v>
      </c>
      <c r="AB4288">
        <v>15</v>
      </c>
      <c r="AC4288">
        <v>-2.1641000000000101</v>
      </c>
      <c r="AD4288">
        <v>-1.1244519313829999</v>
      </c>
      <c r="AE4288">
        <v>-23.020999999999901</v>
      </c>
      <c r="AF4288">
        <v>-10.0535700419126</v>
      </c>
      <c r="AG4288">
        <v>-1.1244519313829999</v>
      </c>
      <c r="AH4288">
        <v>20.761879905328101</v>
      </c>
      <c r="AI4288">
        <v>92.790686574589301</v>
      </c>
      <c r="AJ4288">
        <v>115.837758514114</v>
      </c>
      <c r="AK4288">
        <v>23.095331128539801</v>
      </c>
      <c r="AL4288">
        <v>83.856774234845801</v>
      </c>
      <c r="AM4288">
        <v>102.466970940653</v>
      </c>
      <c r="AN4288">
        <v>0.99999998774014998</v>
      </c>
    </row>
    <row r="4289" spans="1:40" x14ac:dyDescent="0.25">
      <c r="A4289" t="str">
        <f>"20190303161956725"</f>
        <v>20190303161956725</v>
      </c>
      <c r="B4289" t="str">
        <f>"1551601196717069"</f>
        <v>1551601196717069</v>
      </c>
      <c r="C4289" t="s">
        <v>40</v>
      </c>
      <c r="D4289">
        <v>4.469411</v>
      </c>
      <c r="E4289">
        <v>0.40898279999999998</v>
      </c>
      <c r="F4289" t="s">
        <v>41</v>
      </c>
      <c r="G4289">
        <v>-490.45729999999998</v>
      </c>
      <c r="H4289" s="1">
        <v>-3.98205999999999E-6</v>
      </c>
      <c r="I4289">
        <v>248.58779999999999</v>
      </c>
      <c r="J4289">
        <v>-488.28280000000001</v>
      </c>
      <c r="K4289">
        <v>1.124439</v>
      </c>
      <c r="L4289">
        <v>271.45240000000001</v>
      </c>
      <c r="M4289">
        <v>-0.51499910000000004</v>
      </c>
      <c r="N4289">
        <v>-1.389614E-2</v>
      </c>
      <c r="O4289">
        <v>-0.85707809999999995</v>
      </c>
      <c r="P4289">
        <v>-0.31773499999999999</v>
      </c>
      <c r="Q4289">
        <v>9.4775620000000005E-2</v>
      </c>
      <c r="R4289">
        <v>-0.94343120000000003</v>
      </c>
      <c r="S4289">
        <v>-0.29852289999999998</v>
      </c>
      <c r="T4289">
        <v>-0.1518687</v>
      </c>
      <c r="U4289">
        <v>-3.097137</v>
      </c>
      <c r="V4289">
        <v>-0.214306</v>
      </c>
      <c r="W4289">
        <v>0.1067994</v>
      </c>
      <c r="X4289">
        <v>0.9709103</v>
      </c>
      <c r="Y4289">
        <v>-0.43023129999999998</v>
      </c>
      <c r="Z4289">
        <v>2.2594639999999999E-2</v>
      </c>
      <c r="AA4289">
        <v>0.90243589999999996</v>
      </c>
      <c r="AB4289">
        <v>15</v>
      </c>
      <c r="AC4289">
        <v>-2.1744999999999601</v>
      </c>
      <c r="AD4289">
        <v>-1.1244429820599999</v>
      </c>
      <c r="AE4289">
        <v>-22.864599999999999</v>
      </c>
      <c r="AF4289">
        <v>-9.8887872353618693</v>
      </c>
      <c r="AG4289">
        <v>-1.1244429820599999</v>
      </c>
      <c r="AH4289">
        <v>20.669073246563801</v>
      </c>
      <c r="AI4289">
        <v>92.8095235526078</v>
      </c>
      <c r="AJ4289">
        <v>115.568037343239</v>
      </c>
      <c r="AK4289">
        <v>22.940424448514001</v>
      </c>
      <c r="AL4289">
        <v>83.869152333214302</v>
      </c>
      <c r="AM4289">
        <v>102.44713688163399</v>
      </c>
      <c r="AN4289">
        <v>0.99999999206122503</v>
      </c>
    </row>
    <row r="4290" spans="1:40" x14ac:dyDescent="0.25">
      <c r="A4290" t="str">
        <f>"20190303161956737"</f>
        <v>20190303161956737</v>
      </c>
      <c r="B4290" t="str">
        <f>"1551601196726829"</f>
        <v>1551601196726829</v>
      </c>
      <c r="C4290" t="s">
        <v>40</v>
      </c>
      <c r="D4290">
        <v>4.3687849999999999</v>
      </c>
      <c r="E4290">
        <v>0.40982429999999997</v>
      </c>
      <c r="F4290" t="s">
        <v>41</v>
      </c>
      <c r="G4290">
        <v>-490.44130000000001</v>
      </c>
      <c r="H4290" s="1">
        <v>-4.0720820000000003E-6</v>
      </c>
      <c r="I4290">
        <v>248.8075</v>
      </c>
      <c r="J4290">
        <v>-488.31950000000001</v>
      </c>
      <c r="K4290">
        <v>1.1244270000000001</v>
      </c>
      <c r="L4290">
        <v>271.3827</v>
      </c>
      <c r="M4290">
        <v>-0.51177790000000001</v>
      </c>
      <c r="N4290">
        <v>-1.3893559999999999E-2</v>
      </c>
      <c r="O4290">
        <v>-0.85900529999999997</v>
      </c>
      <c r="P4290">
        <v>-0.31435790000000002</v>
      </c>
      <c r="Q4290">
        <v>9.4531889999999993E-2</v>
      </c>
      <c r="R4290">
        <v>-0.94458589999999998</v>
      </c>
      <c r="S4290">
        <v>-0.29510500000000001</v>
      </c>
      <c r="T4290">
        <v>-0.1537297</v>
      </c>
      <c r="U4290">
        <v>-3.095917</v>
      </c>
      <c r="V4290">
        <v>-0.21414349999999999</v>
      </c>
      <c r="W4290">
        <v>0.1065586</v>
      </c>
      <c r="X4290">
        <v>0.97097259999999996</v>
      </c>
      <c r="Y4290">
        <v>-0.42779509999999998</v>
      </c>
      <c r="Z4290">
        <v>2.3217450000000001E-2</v>
      </c>
      <c r="AA4290">
        <v>0.90357750000000003</v>
      </c>
      <c r="AB4290">
        <v>15</v>
      </c>
      <c r="AC4290">
        <v>-2.1217999999999999</v>
      </c>
      <c r="AD4290">
        <v>-1.1244310720819899</v>
      </c>
      <c r="AE4290">
        <v>-22.575199999999899</v>
      </c>
      <c r="AF4290">
        <v>-9.7079183985785296</v>
      </c>
      <c r="AG4290">
        <v>-1.1244310720819899</v>
      </c>
      <c r="AH4290">
        <v>20.429846237356301</v>
      </c>
      <c r="AI4290">
        <v>92.845924483421896</v>
      </c>
      <c r="AJ4290">
        <v>115.416278771899</v>
      </c>
      <c r="AK4290">
        <v>22.647000731914702</v>
      </c>
      <c r="AL4290">
        <v>83.883028277850201</v>
      </c>
      <c r="AM4290">
        <v>102.43721932157</v>
      </c>
      <c r="AN4290">
        <v>0.99999998188848405</v>
      </c>
    </row>
    <row r="4291" spans="1:40" x14ac:dyDescent="0.25">
      <c r="A4291" t="str">
        <f>"20190303161956748"</f>
        <v>20190303161956748</v>
      </c>
      <c r="B4291" t="str">
        <f>"1551601196736589"</f>
        <v>1551601196736589</v>
      </c>
      <c r="C4291" t="s">
        <v>40</v>
      </c>
      <c r="D4291">
        <v>4.5881470000000002</v>
      </c>
      <c r="E4291">
        <v>0.41073090000000001</v>
      </c>
      <c r="F4291" t="s">
        <v>41</v>
      </c>
      <c r="G4291">
        <v>-490.46969999999999</v>
      </c>
      <c r="H4291" s="1">
        <v>-3.9102820000000004E-6</v>
      </c>
      <c r="I4291">
        <v>248.4128</v>
      </c>
      <c r="J4291">
        <v>-488.35210000000001</v>
      </c>
      <c r="K4291">
        <v>1.12442</v>
      </c>
      <c r="L4291">
        <v>271.32049999999998</v>
      </c>
      <c r="M4291">
        <v>-0.50889779999999996</v>
      </c>
      <c r="N4291">
        <v>-1.3891270000000001E-2</v>
      </c>
      <c r="O4291">
        <v>-0.86071509999999996</v>
      </c>
      <c r="P4291">
        <v>-0.31173579999999901</v>
      </c>
      <c r="Q4291">
        <v>9.4416949999999999E-2</v>
      </c>
      <c r="R4291">
        <v>-0.94546600000000003</v>
      </c>
      <c r="S4291">
        <v>-0.2897034</v>
      </c>
      <c r="T4291">
        <v>-0.1514952</v>
      </c>
      <c r="U4291">
        <v>-3.094757</v>
      </c>
      <c r="V4291">
        <v>-0.2135881</v>
      </c>
      <c r="W4291">
        <v>0.10644960000000001</v>
      </c>
      <c r="X4291">
        <v>0.9711069</v>
      </c>
      <c r="Y4291">
        <v>-0.4263015</v>
      </c>
      <c r="Z4291">
        <v>2.283338E-2</v>
      </c>
      <c r="AA4291">
        <v>0.90429289999999996</v>
      </c>
      <c r="AB4291">
        <v>15</v>
      </c>
      <c r="AC4291">
        <v>-2.1175999999999799</v>
      </c>
      <c r="AD4291">
        <v>-1.1244239102819999</v>
      </c>
      <c r="AE4291">
        <v>-22.907699999999899</v>
      </c>
      <c r="AF4291">
        <v>-9.8125334537976006</v>
      </c>
      <c r="AG4291">
        <v>-1.1244239102819999</v>
      </c>
      <c r="AH4291">
        <v>20.747084382613199</v>
      </c>
      <c r="AI4291">
        <v>92.804869472458194</v>
      </c>
      <c r="AJ4291">
        <v>115.31225928609101</v>
      </c>
      <c r="AK4291">
        <v>22.978068941736201</v>
      </c>
      <c r="AL4291">
        <v>83.889309368928707</v>
      </c>
      <c r="AM4291">
        <v>102.40429974820201</v>
      </c>
      <c r="AN4291">
        <v>1.00000000251468</v>
      </c>
    </row>
    <row r="4292" spans="1:40" x14ac:dyDescent="0.25">
      <c r="A4292" t="str">
        <f>"20190303161956760"</f>
        <v>20190303161956760</v>
      </c>
      <c r="B4292" t="str">
        <f>"1551601196756109"</f>
        <v>1551601196756109</v>
      </c>
      <c r="C4292" t="s">
        <v>40</v>
      </c>
      <c r="D4292">
        <v>4.470847</v>
      </c>
      <c r="E4292">
        <v>0.41185290000000002</v>
      </c>
      <c r="F4292" t="s">
        <v>41</v>
      </c>
      <c r="G4292">
        <v>-490.49720000000002</v>
      </c>
      <c r="H4292" s="1">
        <v>-3.8664120000000003E-6</v>
      </c>
      <c r="I4292">
        <v>248.29339999999999</v>
      </c>
      <c r="J4292">
        <v>-488.38839999999999</v>
      </c>
      <c r="K4292">
        <v>1.124414</v>
      </c>
      <c r="L4292">
        <v>271.25040000000001</v>
      </c>
      <c r="M4292">
        <v>-0.50565269999999995</v>
      </c>
      <c r="N4292">
        <v>-1.3888609999999999E-2</v>
      </c>
      <c r="O4292">
        <v>-0.86262549999999905</v>
      </c>
      <c r="P4292">
        <v>-0.30828709999999998</v>
      </c>
      <c r="Q4292">
        <v>9.4494079999999994E-2</v>
      </c>
      <c r="R4292">
        <v>-0.94658869999999895</v>
      </c>
      <c r="S4292">
        <v>-0.28814699999999999</v>
      </c>
      <c r="T4292">
        <v>-0.1510367</v>
      </c>
      <c r="U4292">
        <v>-3.0930789999999999</v>
      </c>
      <c r="V4292">
        <v>-0.21346580000000001</v>
      </c>
      <c r="W4292">
        <v>0.1065287</v>
      </c>
      <c r="X4292">
        <v>0.97112509999999996</v>
      </c>
      <c r="Y4292">
        <v>-0.42330139999999999</v>
      </c>
      <c r="Z4292">
        <v>2.291377E-2</v>
      </c>
      <c r="AA4292">
        <v>0.90569909999999998</v>
      </c>
      <c r="AB4292">
        <v>15</v>
      </c>
      <c r="AC4292">
        <v>-2.1088000000000302</v>
      </c>
      <c r="AD4292">
        <v>-1.1244178664119999</v>
      </c>
      <c r="AE4292">
        <v>-22.957000000000001</v>
      </c>
      <c r="AF4292">
        <v>-9.7668727780572304</v>
      </c>
      <c r="AG4292">
        <v>-1.1244178664119999</v>
      </c>
      <c r="AH4292">
        <v>20.822090337004798</v>
      </c>
      <c r="AI4292">
        <v>92.798961229752905</v>
      </c>
      <c r="AJ4292">
        <v>115.129537462272</v>
      </c>
      <c r="AK4292">
        <v>23.026410171875501</v>
      </c>
      <c r="AL4292">
        <v>83.884751252517603</v>
      </c>
      <c r="AM4292">
        <v>102.39719160411801</v>
      </c>
      <c r="AN4292">
        <v>0.99999998577166904</v>
      </c>
    </row>
    <row r="4293" spans="1:40" x14ac:dyDescent="0.25">
      <c r="A4293" t="str">
        <f>"20190303161956770"</f>
        <v>20190303161956770</v>
      </c>
      <c r="B4293" t="str">
        <f>"1551601196766845"</f>
        <v>1551601196766845</v>
      </c>
      <c r="C4293" t="s">
        <v>40</v>
      </c>
      <c r="D4293">
        <v>4.4961190000000002</v>
      </c>
      <c r="E4293">
        <v>0.41251890000000002</v>
      </c>
      <c r="F4293" t="s">
        <v>41</v>
      </c>
      <c r="G4293">
        <v>-490.47570000000002</v>
      </c>
      <c r="H4293" s="1">
        <v>-4.0037960000000004E-6</v>
      </c>
      <c r="I4293">
        <v>248.62700000000001</v>
      </c>
      <c r="J4293">
        <v>-488.42009999999999</v>
      </c>
      <c r="K4293">
        <v>1.124414</v>
      </c>
      <c r="L4293">
        <v>271.18880000000001</v>
      </c>
      <c r="M4293">
        <v>-0.50279870000000004</v>
      </c>
      <c r="N4293">
        <v>-1.3886269999999999E-2</v>
      </c>
      <c r="O4293">
        <v>-0.86429219999999896</v>
      </c>
      <c r="P4293">
        <v>-0.30550929999999998</v>
      </c>
      <c r="Q4293">
        <v>9.4401109999999996E-2</v>
      </c>
      <c r="R4293">
        <v>-0.94749859999999997</v>
      </c>
      <c r="S4293">
        <v>-0.2852478</v>
      </c>
      <c r="T4293">
        <v>-0.15366260000000001</v>
      </c>
      <c r="U4293">
        <v>-3.0917050000000001</v>
      </c>
      <c r="V4293">
        <v>-0.21310670000000001</v>
      </c>
      <c r="W4293">
        <v>0.1064401</v>
      </c>
      <c r="X4293">
        <v>0.97121369999999896</v>
      </c>
      <c r="Y4293">
        <v>-0.4211105</v>
      </c>
      <c r="Z4293">
        <v>2.3707949999999998E-2</v>
      </c>
      <c r="AA4293">
        <v>0.90669940000000004</v>
      </c>
      <c r="AB4293">
        <v>15</v>
      </c>
      <c r="AC4293">
        <v>-2.0556000000000201</v>
      </c>
      <c r="AD4293">
        <v>-1.1244180037960001</v>
      </c>
      <c r="AE4293">
        <v>-22.561800000000002</v>
      </c>
      <c r="AF4293">
        <v>-9.54481369738577</v>
      </c>
      <c r="AG4293">
        <v>-1.1244180037960001</v>
      </c>
      <c r="AH4293">
        <v>20.485056089147601</v>
      </c>
      <c r="AI4293">
        <v>92.848341717581903</v>
      </c>
      <c r="AJ4293">
        <v>114.982710001402</v>
      </c>
      <c r="AK4293">
        <v>22.627534274431799</v>
      </c>
      <c r="AL4293">
        <v>83.889856808908405</v>
      </c>
      <c r="AM4293">
        <v>102.375885560822</v>
      </c>
      <c r="AN4293">
        <v>1.00000000577029</v>
      </c>
    </row>
    <row r="4294" spans="1:40" x14ac:dyDescent="0.25">
      <c r="A4294" t="str">
        <f>"20190303161956782"</f>
        <v>20190303161956782</v>
      </c>
      <c r="B4294" t="str">
        <f>"1551601196776605"</f>
        <v>1551601196776605</v>
      </c>
      <c r="C4294" t="s">
        <v>40</v>
      </c>
      <c r="D4294">
        <v>4.4624300000000003</v>
      </c>
      <c r="E4294">
        <v>0.413128</v>
      </c>
      <c r="F4294" t="s">
        <v>41</v>
      </c>
      <c r="G4294">
        <v>-490.46370000000002</v>
      </c>
      <c r="H4294" s="1">
        <v>-4.0528469999999998E-6</v>
      </c>
      <c r="I4294">
        <v>248.74879999999999</v>
      </c>
      <c r="J4294">
        <v>-488.45440000000002</v>
      </c>
      <c r="K4294">
        <v>1.1244080000000001</v>
      </c>
      <c r="L4294">
        <v>271.1216</v>
      </c>
      <c r="M4294">
        <v>-0.49968479999999998</v>
      </c>
      <c r="N4294">
        <v>-1.388373E-2</v>
      </c>
      <c r="O4294">
        <v>-0.86609599999999898</v>
      </c>
      <c r="P4294">
        <v>-0.30230069999999998</v>
      </c>
      <c r="Q4294">
        <v>9.461609E-2</v>
      </c>
      <c r="R4294">
        <v>-0.94850500000000004</v>
      </c>
      <c r="S4294">
        <v>-0.28149410000000002</v>
      </c>
      <c r="T4294">
        <v>-0.1548802</v>
      </c>
      <c r="U4294">
        <v>-3.0909420000000001</v>
      </c>
      <c r="V4294">
        <v>-0.2128873</v>
      </c>
      <c r="W4294">
        <v>0.10665719999999999</v>
      </c>
      <c r="X4294">
        <v>0.97123800000000005</v>
      </c>
      <c r="Y4294">
        <v>-0.41891780000000001</v>
      </c>
      <c r="Z4294">
        <v>2.416739E-2</v>
      </c>
      <c r="AA4294">
        <v>0.90770249999999997</v>
      </c>
      <c r="AB4294">
        <v>15</v>
      </c>
      <c r="AC4294">
        <v>-2.0092999999999899</v>
      </c>
      <c r="AD4294">
        <v>-1.1244120528470001</v>
      </c>
      <c r="AE4294">
        <v>-22.372800000000002</v>
      </c>
      <c r="AF4294">
        <v>-9.4164172528817005</v>
      </c>
      <c r="AG4294">
        <v>-1.1244120528470001</v>
      </c>
      <c r="AH4294">
        <v>20.3320294016427</v>
      </c>
      <c r="AI4294">
        <v>92.872804126281395</v>
      </c>
      <c r="AJ4294">
        <v>114.850373086765</v>
      </c>
      <c r="AK4294">
        <v>22.434897725067</v>
      </c>
      <c r="AL4294">
        <v>83.877346687088902</v>
      </c>
      <c r="AM4294">
        <v>102.363236423909</v>
      </c>
      <c r="AN4294">
        <v>1.0000000067285599</v>
      </c>
    </row>
    <row r="4295" spans="1:40" x14ac:dyDescent="0.25">
      <c r="A4295" t="str">
        <f>"20190303161956793"</f>
        <v>20190303161956793</v>
      </c>
      <c r="B4295" t="str">
        <f>"1551601196786367"</f>
        <v>1551601196786367</v>
      </c>
      <c r="C4295" t="s">
        <v>40</v>
      </c>
      <c r="D4295">
        <v>4.4887969999999999</v>
      </c>
      <c r="E4295">
        <v>0.4137036</v>
      </c>
      <c r="F4295" t="s">
        <v>41</v>
      </c>
      <c r="G4295">
        <v>-490.4846</v>
      </c>
      <c r="H4295" s="1">
        <v>-3.8685399999999997E-6</v>
      </c>
      <c r="I4295">
        <v>248.30619999999999</v>
      </c>
      <c r="J4295">
        <v>-488.4864</v>
      </c>
      <c r="K4295">
        <v>1.1244019999999999</v>
      </c>
      <c r="L4295">
        <v>271.0582</v>
      </c>
      <c r="M4295">
        <v>-0.496751</v>
      </c>
      <c r="N4295">
        <v>-1.3881330000000001E-2</v>
      </c>
      <c r="O4295">
        <v>-0.86778230000000001</v>
      </c>
      <c r="P4295">
        <v>-0.29912149999999998</v>
      </c>
      <c r="Q4295">
        <v>9.4831869999999999E-2</v>
      </c>
      <c r="R4295">
        <v>-0.94949119999999998</v>
      </c>
      <c r="S4295">
        <v>-0.27499390000000001</v>
      </c>
      <c r="T4295">
        <v>-0.152304299999999</v>
      </c>
      <c r="U4295">
        <v>-3.0903930000000002</v>
      </c>
      <c r="V4295">
        <v>-0.21284339999999999</v>
      </c>
      <c r="W4295">
        <v>0.10687389999999999</v>
      </c>
      <c r="X4295">
        <v>0.97122379999999997</v>
      </c>
      <c r="Y4295">
        <v>-0.41772730000000002</v>
      </c>
      <c r="Z4295">
        <v>2.3678310000000001E-2</v>
      </c>
      <c r="AA4295">
        <v>0.90826390000000001</v>
      </c>
      <c r="AB4295">
        <v>15</v>
      </c>
      <c r="AC4295">
        <v>-1.99819999999999</v>
      </c>
      <c r="AD4295">
        <v>-1.12440586854</v>
      </c>
      <c r="AE4295">
        <v>-22.751999999999999</v>
      </c>
      <c r="AF4295">
        <v>-9.5458605435116901</v>
      </c>
      <c r="AG4295">
        <v>-1.12440586854</v>
      </c>
      <c r="AH4295">
        <v>20.688243994486498</v>
      </c>
      <c r="AI4295">
        <v>92.825249335431906</v>
      </c>
      <c r="AJ4295">
        <v>114.76929600889299</v>
      </c>
      <c r="AK4295">
        <v>22.812084114538699</v>
      </c>
      <c r="AL4295">
        <v>83.864859315645603</v>
      </c>
      <c r="AM4295">
        <v>102.360940518172</v>
      </c>
      <c r="AN4295">
        <v>1.0000000065556001</v>
      </c>
    </row>
    <row r="4296" spans="1:40" x14ac:dyDescent="0.25">
      <c r="A4296" t="str">
        <f>"20190303161956803"</f>
        <v>20190303161956803</v>
      </c>
      <c r="B4296" t="str">
        <f>"1551601196797101"</f>
        <v>1551601196797101</v>
      </c>
      <c r="C4296" t="s">
        <v>40</v>
      </c>
      <c r="D4296">
        <v>4.5090700000000004</v>
      </c>
      <c r="E4296">
        <v>0.41419810000000001</v>
      </c>
      <c r="F4296" t="s">
        <v>41</v>
      </c>
      <c r="G4296">
        <v>-490.47739999999999</v>
      </c>
      <c r="H4296" s="1">
        <v>-3.8216099999999998E-6</v>
      </c>
      <c r="I4296">
        <v>248.2013</v>
      </c>
      <c r="J4296">
        <v>-488.52010000000001</v>
      </c>
      <c r="K4296">
        <v>1.1243939999999999</v>
      </c>
      <c r="L4296">
        <v>270.99119999999999</v>
      </c>
      <c r="M4296">
        <v>-0.49364400000000003</v>
      </c>
      <c r="N4296">
        <v>-1.387883E-2</v>
      </c>
      <c r="O4296">
        <v>-0.86955339999999903</v>
      </c>
      <c r="P4296">
        <v>-0.29590050000000001</v>
      </c>
      <c r="Q4296">
        <v>9.473239E-2</v>
      </c>
      <c r="R4296">
        <v>-0.95050990000000002</v>
      </c>
      <c r="S4296">
        <v>-0.26916499999999999</v>
      </c>
      <c r="T4296">
        <v>-0.15200529999999901</v>
      </c>
      <c r="U4296">
        <v>-3.089966</v>
      </c>
      <c r="V4296">
        <v>-0.21266499999999999</v>
      </c>
      <c r="W4296">
        <v>0.1067767</v>
      </c>
      <c r="X4296">
        <v>0.97127350000000001</v>
      </c>
      <c r="Y4296">
        <v>-0.41616799999999998</v>
      </c>
      <c r="Z4296">
        <v>2.3751709999999999E-2</v>
      </c>
      <c r="AA4296">
        <v>0.90897740000000005</v>
      </c>
      <c r="AB4296">
        <v>15</v>
      </c>
      <c r="AC4296">
        <v>-1.9572999999999701</v>
      </c>
      <c r="AD4296">
        <v>-1.1243978216099999</v>
      </c>
      <c r="AE4296">
        <v>-22.7898999999999</v>
      </c>
      <c r="AF4296">
        <v>-9.5260212027911404</v>
      </c>
      <c r="AG4296">
        <v>-1.1243978216099999</v>
      </c>
      <c r="AH4296">
        <v>20.735141181569301</v>
      </c>
      <c r="AI4296">
        <v>92.820989028428102</v>
      </c>
      <c r="AJ4296">
        <v>114.674728592859</v>
      </c>
      <c r="AK4296">
        <v>22.8463439140025</v>
      </c>
      <c r="AL4296">
        <v>83.870460099913302</v>
      </c>
      <c r="AM4296">
        <v>102.35028540299101</v>
      </c>
      <c r="AN4296">
        <v>0.99999993884506799</v>
      </c>
    </row>
    <row r="4297" spans="1:40" x14ac:dyDescent="0.25">
      <c r="A4297" t="str">
        <f>"20190303161956816"</f>
        <v>20190303161956816</v>
      </c>
      <c r="B4297" t="str">
        <f>"1551601196806861"</f>
        <v>1551601196806861</v>
      </c>
      <c r="C4297" t="s">
        <v>40</v>
      </c>
      <c r="D4297">
        <v>4.5775709999999998</v>
      </c>
      <c r="E4297">
        <v>0.41469869999999998</v>
      </c>
      <c r="F4297" t="s">
        <v>41</v>
      </c>
      <c r="G4297">
        <v>-490.46339999999998</v>
      </c>
      <c r="H4297" s="1">
        <v>-3.774689E-6</v>
      </c>
      <c r="I4297">
        <v>248.10059999999999</v>
      </c>
      <c r="J4297">
        <v>-488.55430000000001</v>
      </c>
      <c r="K4297">
        <v>1.124387</v>
      </c>
      <c r="L4297">
        <v>270.9221</v>
      </c>
      <c r="M4297">
        <v>-0.49044219999999999</v>
      </c>
      <c r="N4297">
        <v>-1.3876289999999999E-2</v>
      </c>
      <c r="O4297">
        <v>-0.8713632</v>
      </c>
      <c r="P4297">
        <v>-0.29260940000000002</v>
      </c>
      <c r="Q4297">
        <v>9.4694410000000007E-2</v>
      </c>
      <c r="R4297">
        <v>-0.95153180000000004</v>
      </c>
      <c r="S4297">
        <v>-0.26229859999999999</v>
      </c>
      <c r="T4297">
        <v>-0.15176389999999901</v>
      </c>
      <c r="U4297">
        <v>-3.0896300000000001</v>
      </c>
      <c r="V4297">
        <v>-0.21245320000000001</v>
      </c>
      <c r="W4297">
        <v>0.10674160000000001</v>
      </c>
      <c r="X4297">
        <v>0.97132379999999996</v>
      </c>
      <c r="Y4297">
        <v>-0.41482150000000001</v>
      </c>
      <c r="Z4297">
        <v>2.3837130000000002E-2</v>
      </c>
      <c r="AA4297">
        <v>0.90959049999999997</v>
      </c>
      <c r="AB4297">
        <v>15</v>
      </c>
      <c r="AC4297">
        <v>-1.9090999999999601</v>
      </c>
      <c r="AD4297">
        <v>-1.1243907746890001</v>
      </c>
      <c r="AE4297">
        <v>-22.8215</v>
      </c>
      <c r="AF4297">
        <v>-9.5071076380923607</v>
      </c>
      <c r="AG4297">
        <v>-1.1243907746890001</v>
      </c>
      <c r="AH4297">
        <v>20.7740471158099</v>
      </c>
      <c r="AI4297">
        <v>92.817583429879704</v>
      </c>
      <c r="AJ4297">
        <v>114.59089323540699</v>
      </c>
      <c r="AK4297">
        <v>22.873792510783399</v>
      </c>
      <c r="AL4297">
        <v>83.872483289273504</v>
      </c>
      <c r="AM4297">
        <v>102.337742910467</v>
      </c>
      <c r="AN4297">
        <v>1.0000000279036101</v>
      </c>
    </row>
    <row r="4298" spans="1:40" x14ac:dyDescent="0.25">
      <c r="A4298" t="str">
        <f>"20190303161956830"</f>
        <v>20190303161956830</v>
      </c>
      <c r="B4298" t="str">
        <f>"1551601196816621"</f>
        <v>1551601196816621</v>
      </c>
      <c r="C4298" t="s">
        <v>40</v>
      </c>
      <c r="D4298">
        <v>4.5321069999999999</v>
      </c>
      <c r="E4298">
        <v>0.41523159999999998</v>
      </c>
      <c r="F4298" t="s">
        <v>41</v>
      </c>
      <c r="G4298">
        <v>-490.4316</v>
      </c>
      <c r="H4298" s="1">
        <v>-3.8027980000000002E-6</v>
      </c>
      <c r="I4298">
        <v>248.1859</v>
      </c>
      <c r="J4298">
        <v>-488.59469999999999</v>
      </c>
      <c r="K4298">
        <v>1.124379</v>
      </c>
      <c r="L4298">
        <v>270.83999999999997</v>
      </c>
      <c r="M4298">
        <v>-0.4866316</v>
      </c>
      <c r="N4298">
        <v>-1.387324E-2</v>
      </c>
      <c r="O4298">
        <v>-0.87349730000000003</v>
      </c>
      <c r="P4298">
        <v>-0.2886416</v>
      </c>
      <c r="Q4298">
        <v>9.4777990000000006E-2</v>
      </c>
      <c r="R4298">
        <v>-0.95273490000000005</v>
      </c>
      <c r="S4298">
        <v>-0.2550964</v>
      </c>
      <c r="T4298">
        <v>-0.15279189999999901</v>
      </c>
      <c r="U4298">
        <v>-3.0895999999999999</v>
      </c>
      <c r="V4298">
        <v>-0.21225250000000001</v>
      </c>
      <c r="W4298">
        <v>0.1068279</v>
      </c>
      <c r="X4298">
        <v>0.97135819999999995</v>
      </c>
      <c r="Y4298">
        <v>-0.4129524</v>
      </c>
      <c r="Z4298">
        <v>2.4261370000000001E-2</v>
      </c>
      <c r="AA4298">
        <v>0.91042940000000006</v>
      </c>
      <c r="AB4298">
        <v>15</v>
      </c>
      <c r="AC4298">
        <v>-1.83690000000001</v>
      </c>
      <c r="AD4298">
        <v>-1.1243828027980001</v>
      </c>
      <c r="AE4298">
        <v>-22.6540999999999</v>
      </c>
      <c r="AF4298">
        <v>-9.3975800989223597</v>
      </c>
      <c r="AG4298">
        <v>-1.1243828027980001</v>
      </c>
      <c r="AH4298">
        <v>20.633679145190801</v>
      </c>
      <c r="AI4298">
        <v>92.839049184186393</v>
      </c>
      <c r="AJ4298">
        <v>114.48682550517999</v>
      </c>
      <c r="AK4298">
        <v>22.700825171556399</v>
      </c>
      <c r="AL4298">
        <v>83.867510292734593</v>
      </c>
      <c r="AM4298">
        <v>102.32602099869</v>
      </c>
      <c r="AN4298">
        <v>1.00000003834094</v>
      </c>
    </row>
    <row r="4299" spans="1:40" x14ac:dyDescent="0.25">
      <c r="A4299" t="str">
        <f>"20190303161956841"</f>
        <v>20190303161956841</v>
      </c>
      <c r="B4299" t="str">
        <f>"1551601196836141"</f>
        <v>1551601196836141</v>
      </c>
      <c r="C4299" t="s">
        <v>40</v>
      </c>
      <c r="D4299">
        <v>4.5540149999999997</v>
      </c>
      <c r="E4299">
        <v>0.4162478</v>
      </c>
      <c r="F4299" t="s">
        <v>41</v>
      </c>
      <c r="G4299">
        <v>-490.41719999999998</v>
      </c>
      <c r="H4299" s="1">
        <v>-3.7116920000000002E-6</v>
      </c>
      <c r="I4299">
        <v>247.98240000000001</v>
      </c>
      <c r="J4299">
        <v>-488.62959999999998</v>
      </c>
      <c r="K4299">
        <v>1.1243799999999999</v>
      </c>
      <c r="L4299">
        <v>270.76830000000001</v>
      </c>
      <c r="M4299">
        <v>-0.48330669999999998</v>
      </c>
      <c r="N4299">
        <v>-1.3870499999999999E-2</v>
      </c>
      <c r="O4299">
        <v>-0.87534159999999905</v>
      </c>
      <c r="P4299">
        <v>-0.2850007</v>
      </c>
      <c r="Q4299">
        <v>9.5172729999999997E-2</v>
      </c>
      <c r="R4299">
        <v>-0.9537911</v>
      </c>
      <c r="S4299">
        <v>-0.24630740000000001</v>
      </c>
      <c r="T4299">
        <v>-0.1519636</v>
      </c>
      <c r="U4299">
        <v>-3.089264</v>
      </c>
      <c r="V4299">
        <v>-0.2122513</v>
      </c>
      <c r="W4299">
        <v>0.10722279999999999</v>
      </c>
      <c r="X4299">
        <v>0.97131489999999998</v>
      </c>
      <c r="Y4299">
        <v>-0.41205599999999998</v>
      </c>
      <c r="Z4299">
        <v>2.41975E-2</v>
      </c>
      <c r="AA4299">
        <v>0.91083720000000001</v>
      </c>
      <c r="AB4299">
        <v>15</v>
      </c>
      <c r="AC4299">
        <v>-1.7875999999999901</v>
      </c>
      <c r="AD4299">
        <v>-1.1243837116919999</v>
      </c>
      <c r="AE4299">
        <v>-22.785900000000002</v>
      </c>
      <c r="AF4299">
        <v>-9.4259116981578401</v>
      </c>
      <c r="AG4299">
        <v>-1.1243837116919999</v>
      </c>
      <c r="AH4299">
        <v>20.761156349333199</v>
      </c>
      <c r="AI4299">
        <v>92.823167838272198</v>
      </c>
      <c r="AJ4299">
        <v>114.418841954863</v>
      </c>
      <c r="AK4299">
        <v>22.828439785365202</v>
      </c>
      <c r="AL4299">
        <v>83.844753177248705</v>
      </c>
      <c r="AM4299">
        <v>102.326486119484</v>
      </c>
      <c r="AN4299">
        <v>0.99999998907676901</v>
      </c>
    </row>
    <row r="4300" spans="1:40" x14ac:dyDescent="0.25">
      <c r="A4300" t="str">
        <f>"20190303161956853"</f>
        <v>20190303161956853</v>
      </c>
      <c r="B4300" t="str">
        <f>"1551601196846877"</f>
        <v>1551601196846877</v>
      </c>
      <c r="C4300" t="s">
        <v>40</v>
      </c>
      <c r="D4300">
        <v>4.5972119999999999</v>
      </c>
      <c r="E4300">
        <v>0.41680420000000001</v>
      </c>
      <c r="F4300" t="s">
        <v>41</v>
      </c>
      <c r="G4300">
        <v>-490.43459999999999</v>
      </c>
      <c r="H4300" s="1">
        <v>-3.6422679999999998E-6</v>
      </c>
      <c r="I4300">
        <v>247.8098</v>
      </c>
      <c r="J4300">
        <v>-488.66059999999999</v>
      </c>
      <c r="K4300">
        <v>1.124377</v>
      </c>
      <c r="L4300">
        <v>270.70400000000001</v>
      </c>
      <c r="M4300">
        <v>-0.4803231</v>
      </c>
      <c r="N4300">
        <v>-1.3868129999999999E-2</v>
      </c>
      <c r="O4300">
        <v>-0.87698220000000005</v>
      </c>
      <c r="P4300">
        <v>-0.28217700000000001</v>
      </c>
      <c r="Q4300">
        <v>9.5782539999999999E-2</v>
      </c>
      <c r="R4300">
        <v>-0.95456909999999895</v>
      </c>
      <c r="S4300">
        <v>-0.24276729999999999</v>
      </c>
      <c r="T4300">
        <v>-0.15122969999999999</v>
      </c>
      <c r="U4300">
        <v>-3.0879210000000001</v>
      </c>
      <c r="V4300">
        <v>-0.2117907</v>
      </c>
      <c r="W4300">
        <v>0.10783669999999999</v>
      </c>
      <c r="X4300">
        <v>0.97134750000000003</v>
      </c>
      <c r="Y4300">
        <v>-0.40996120000000003</v>
      </c>
      <c r="Z4300">
        <v>2.417099E-2</v>
      </c>
      <c r="AA4300">
        <v>0.91178269999999995</v>
      </c>
      <c r="AB4300">
        <v>15</v>
      </c>
      <c r="AC4300">
        <v>-1.774</v>
      </c>
      <c r="AD4300">
        <v>-1.1243806422680001</v>
      </c>
      <c r="AE4300">
        <v>-22.894200000000001</v>
      </c>
      <c r="AF4300">
        <v>-9.4191695025186899</v>
      </c>
      <c r="AG4300">
        <v>-1.1243806422680001</v>
      </c>
      <c r="AH4300">
        <v>20.8818417826011</v>
      </c>
      <c r="AI4300">
        <v>92.809973638990996</v>
      </c>
      <c r="AJ4300">
        <v>114.278700877414</v>
      </c>
      <c r="AK4300">
        <v>22.935481293826602</v>
      </c>
      <c r="AL4300">
        <v>83.809374295777403</v>
      </c>
      <c r="AM4300">
        <v>102.300151745203</v>
      </c>
      <c r="AN4300">
        <v>1.0000000101148101</v>
      </c>
    </row>
    <row r="4301" spans="1:40" x14ac:dyDescent="0.25">
      <c r="A4301" t="str">
        <f>"20190303161956867"</f>
        <v>20190303161956867</v>
      </c>
      <c r="B4301" t="str">
        <f>"1551601196856637"</f>
        <v>1551601196856637</v>
      </c>
      <c r="C4301" t="s">
        <v>40</v>
      </c>
      <c r="D4301">
        <v>4.6213350000000002</v>
      </c>
      <c r="E4301">
        <v>0.4172498</v>
      </c>
      <c r="F4301" t="s">
        <v>41</v>
      </c>
      <c r="G4301">
        <v>-490.44139999999999</v>
      </c>
      <c r="H4301" s="1">
        <v>-3.5458910000000002E-6</v>
      </c>
      <c r="I4301">
        <v>247.58090000000001</v>
      </c>
      <c r="J4301">
        <v>-488.69490000000002</v>
      </c>
      <c r="K4301">
        <v>1.1243730000000001</v>
      </c>
      <c r="L4301">
        <v>270.63229999999999</v>
      </c>
      <c r="M4301">
        <v>-0.47699069999999999</v>
      </c>
      <c r="N4301">
        <v>-1.3865529999999999E-2</v>
      </c>
      <c r="O4301">
        <v>-0.878799</v>
      </c>
      <c r="P4301">
        <v>-0.2786322</v>
      </c>
      <c r="Q4301">
        <v>9.6493560000000006E-2</v>
      </c>
      <c r="R4301">
        <v>-0.95553790000000005</v>
      </c>
      <c r="S4301">
        <v>-0.237793</v>
      </c>
      <c r="T4301">
        <v>-0.15013609999999999</v>
      </c>
      <c r="U4301">
        <v>-3.0875849999999998</v>
      </c>
      <c r="V4301">
        <v>-0.21167739999999999</v>
      </c>
      <c r="W4301">
        <v>0.1085483</v>
      </c>
      <c r="X4301">
        <v>0.97129290000000001</v>
      </c>
      <c r="Y4301">
        <v>-0.40795320000000002</v>
      </c>
      <c r="Z4301">
        <v>2.4051119999999999E-2</v>
      </c>
      <c r="AA4301">
        <v>0.912686</v>
      </c>
      <c r="AB4301">
        <v>15</v>
      </c>
      <c r="AC4301">
        <v>-1.74649999999996</v>
      </c>
      <c r="AD4301">
        <v>-1.124376545891</v>
      </c>
      <c r="AE4301">
        <v>-23.051399999999902</v>
      </c>
      <c r="AF4301">
        <v>-9.4390610711745797</v>
      </c>
      <c r="AG4301">
        <v>-1.124376545891</v>
      </c>
      <c r="AH4301">
        <v>21.042859331044401</v>
      </c>
      <c r="AI4301">
        <v>92.791107647887102</v>
      </c>
      <c r="AJ4301">
        <v>114.159268838324</v>
      </c>
      <c r="AK4301">
        <v>23.090301543038301</v>
      </c>
      <c r="AL4301">
        <v>83.768361662889006</v>
      </c>
      <c r="AM4301">
        <v>102.294441850973</v>
      </c>
      <c r="AN4301">
        <v>0.99999997634702897</v>
      </c>
    </row>
    <row r="4302" spans="1:40" x14ac:dyDescent="0.25">
      <c r="A4302" t="str">
        <f>"20190303161956880"</f>
        <v>20190303161956880</v>
      </c>
      <c r="B4302" t="str">
        <f>"1551601196876156"</f>
        <v>1551601196876156</v>
      </c>
      <c r="C4302" t="s">
        <v>40</v>
      </c>
      <c r="D4302">
        <v>4.6528960000000001</v>
      </c>
      <c r="E4302">
        <v>0.4301972</v>
      </c>
      <c r="F4302" t="s">
        <v>41</v>
      </c>
      <c r="G4302">
        <v>-490.42899999999997</v>
      </c>
      <c r="H4302" s="1">
        <v>-3.422752E-6</v>
      </c>
      <c r="I4302">
        <v>247.3015</v>
      </c>
      <c r="J4302">
        <v>-488.73570000000001</v>
      </c>
      <c r="K4302">
        <v>1.1243639999999999</v>
      </c>
      <c r="L4302">
        <v>270.54579999999999</v>
      </c>
      <c r="M4302">
        <v>-0.47298180000000001</v>
      </c>
      <c r="N4302">
        <v>-1.3862279999999999E-2</v>
      </c>
      <c r="O4302">
        <v>-0.88096319999999995</v>
      </c>
      <c r="P4302">
        <v>-0.27455230000000003</v>
      </c>
      <c r="Q4302">
        <v>9.7187540000000003E-2</v>
      </c>
      <c r="R4302">
        <v>-0.95664800000000005</v>
      </c>
      <c r="S4302">
        <v>-0.22949220000000001</v>
      </c>
      <c r="T4302">
        <v>-0.1488043</v>
      </c>
      <c r="U4302">
        <v>-3.0876769999999998</v>
      </c>
      <c r="V4302">
        <v>-0.21136559999999999</v>
      </c>
      <c r="W4302">
        <v>0.10924499999999999</v>
      </c>
      <c r="X4302">
        <v>0.97128270000000005</v>
      </c>
      <c r="Y4302">
        <v>-0.40623730000000002</v>
      </c>
      <c r="Z4302">
        <v>2.388287E-2</v>
      </c>
      <c r="AA4302">
        <v>0.91345540000000003</v>
      </c>
      <c r="AB4302">
        <v>15</v>
      </c>
      <c r="AC4302">
        <v>-1.69330000000002</v>
      </c>
      <c r="AD4302">
        <v>-1.124367422752</v>
      </c>
      <c r="AE4302">
        <v>-23.2442999999999</v>
      </c>
      <c r="AF4302">
        <v>-9.4812411529500995</v>
      </c>
      <c r="AG4302">
        <v>-1.124367422752</v>
      </c>
      <c r="AH4302">
        <v>21.2309022242918</v>
      </c>
      <c r="AI4302">
        <v>92.768449266771</v>
      </c>
      <c r="AJ4302">
        <v>114.06445933905501</v>
      </c>
      <c r="AK4302">
        <v>23.278946392806901</v>
      </c>
      <c r="AL4302">
        <v>83.728204937353397</v>
      </c>
      <c r="AM4302">
        <v>102.27700682606699</v>
      </c>
      <c r="AN4302">
        <v>0.99999998510382404</v>
      </c>
    </row>
    <row r="4303" spans="1:40" x14ac:dyDescent="0.25">
      <c r="A4303" t="str">
        <f>"20190303161956894"</f>
        <v>20190303161956894</v>
      </c>
      <c r="B4303" t="str">
        <f>"1551601196886892"</f>
        <v>1551601196886892</v>
      </c>
      <c r="C4303" t="s">
        <v>40</v>
      </c>
      <c r="D4303">
        <v>4.6372799999999996</v>
      </c>
      <c r="E4303">
        <v>0.43120799999999998</v>
      </c>
      <c r="F4303" t="s">
        <v>41</v>
      </c>
      <c r="G4303">
        <v>-491.17290000000003</v>
      </c>
      <c r="H4303" s="1">
        <v>-3.4490599999999999E-6</v>
      </c>
      <c r="I4303">
        <v>246.9015</v>
      </c>
      <c r="J4303">
        <v>-488.774</v>
      </c>
      <c r="K4303">
        <v>1.1243590000000001</v>
      </c>
      <c r="L4303">
        <v>270.46370000000002</v>
      </c>
      <c r="M4303">
        <v>-0.4691671</v>
      </c>
      <c r="N4303">
        <v>-1.3859359999999999E-2</v>
      </c>
      <c r="O4303">
        <v>-0.88300069999999997</v>
      </c>
      <c r="P4303">
        <v>-0.27097179999999998</v>
      </c>
      <c r="Q4303">
        <v>9.7950179999999998E-2</v>
      </c>
      <c r="R4303">
        <v>-0.95759099999999997</v>
      </c>
      <c r="S4303">
        <v>-0.31542969999999998</v>
      </c>
      <c r="T4303">
        <v>-0.14552190000000001</v>
      </c>
      <c r="U4303">
        <v>-3.060181</v>
      </c>
      <c r="V4303">
        <v>-0.21076410000000001</v>
      </c>
      <c r="W4303">
        <v>0.11001329999999999</v>
      </c>
      <c r="X4303">
        <v>0.97132669999999999</v>
      </c>
      <c r="Y4303">
        <v>-0.37603940000000002</v>
      </c>
      <c r="Z4303">
        <v>2.3903130000000002E-2</v>
      </c>
      <c r="AA4303">
        <v>0.92629530000000004</v>
      </c>
      <c r="AB4303">
        <v>15</v>
      </c>
      <c r="AC4303">
        <v>-2.3989000000000198</v>
      </c>
      <c r="AD4303">
        <v>-1.1243624490599999</v>
      </c>
      <c r="AE4303">
        <v>-23.562200000000001</v>
      </c>
      <c r="AF4303">
        <v>-8.9171398108234108</v>
      </c>
      <c r="AG4303">
        <v>-1.1243624490599999</v>
      </c>
      <c r="AH4303">
        <v>21.883709640827</v>
      </c>
      <c r="AI4303">
        <v>92.724106803935797</v>
      </c>
      <c r="AJ4303">
        <v>112.16983612199201</v>
      </c>
      <c r="AK4303">
        <v>23.657479176079899</v>
      </c>
      <c r="AL4303">
        <v>83.683917712431395</v>
      </c>
      <c r="AM4303">
        <v>102.24258656554299</v>
      </c>
      <c r="AN4303">
        <v>0.99999999507929405</v>
      </c>
    </row>
    <row r="4304" spans="1:40" x14ac:dyDescent="0.25">
      <c r="A4304" t="str">
        <f>"20190303161956908"</f>
        <v>20190303161956908</v>
      </c>
      <c r="B4304" t="str">
        <f>"1551601196896653"</f>
        <v>1551601196896653</v>
      </c>
      <c r="C4304" t="s">
        <v>40</v>
      </c>
      <c r="D4304">
        <v>4.6506999999999996</v>
      </c>
      <c r="E4304">
        <v>0.4320447</v>
      </c>
      <c r="F4304" t="s">
        <v>41</v>
      </c>
      <c r="G4304">
        <v>-491.101</v>
      </c>
      <c r="H4304" s="1">
        <v>-3.771409E-6</v>
      </c>
      <c r="I4304">
        <v>247.69749999999999</v>
      </c>
      <c r="J4304">
        <v>-488.81029999999998</v>
      </c>
      <c r="K4304">
        <v>1.124363</v>
      </c>
      <c r="L4304">
        <v>270.3854</v>
      </c>
      <c r="M4304">
        <v>-0.46552719999999997</v>
      </c>
      <c r="N4304">
        <v>-1.385664E-2</v>
      </c>
      <c r="O4304">
        <v>-0.88492510000000002</v>
      </c>
      <c r="P4304">
        <v>-0.26718890000000001</v>
      </c>
      <c r="Q4304">
        <v>9.8253950000000007E-2</v>
      </c>
      <c r="R4304">
        <v>-0.95862190000000003</v>
      </c>
      <c r="S4304">
        <v>-0.31274410000000002</v>
      </c>
      <c r="T4304">
        <v>-0.15111769999999999</v>
      </c>
      <c r="U4304">
        <v>-3.0598450000000001</v>
      </c>
      <c r="V4304">
        <v>-0.21058460000000001</v>
      </c>
      <c r="W4304">
        <v>0.110319</v>
      </c>
      <c r="X4304">
        <v>0.9713309</v>
      </c>
      <c r="Y4304">
        <v>-0.37301620000000002</v>
      </c>
      <c r="Z4304">
        <v>2.5511519999999999E-2</v>
      </c>
      <c r="AA4304">
        <v>0.92747400000000002</v>
      </c>
      <c r="AB4304">
        <v>15</v>
      </c>
      <c r="AC4304">
        <v>-2.29070000000001</v>
      </c>
      <c r="AD4304">
        <v>-1.124366771409</v>
      </c>
      <c r="AE4304">
        <v>-22.687899999999999</v>
      </c>
      <c r="AF4304">
        <v>-8.5148546537752292</v>
      </c>
      <c r="AG4304">
        <v>-1.124366771409</v>
      </c>
      <c r="AH4304">
        <v>21.0942208357366</v>
      </c>
      <c r="AI4304">
        <v>92.829666240872399</v>
      </c>
      <c r="AJ4304">
        <v>111.981869096417</v>
      </c>
      <c r="AK4304">
        <v>22.775713009220802</v>
      </c>
      <c r="AL4304">
        <v>83.666294753921704</v>
      </c>
      <c r="AM4304">
        <v>102.232422793136</v>
      </c>
      <c r="AN4304">
        <v>0.99999993640648299</v>
      </c>
    </row>
    <row r="4305" spans="1:40" x14ac:dyDescent="0.25">
      <c r="A4305" t="str">
        <f>"20190303161956920"</f>
        <v>20190303161956920</v>
      </c>
      <c r="B4305" t="str">
        <f>"1551601196916173"</f>
        <v>1551601196916173</v>
      </c>
      <c r="C4305" t="s">
        <v>40</v>
      </c>
      <c r="D4305">
        <v>4.7034399999999996</v>
      </c>
      <c r="E4305">
        <v>0.43327379999999999</v>
      </c>
      <c r="F4305" t="s">
        <v>41</v>
      </c>
      <c r="G4305">
        <v>-491.1465</v>
      </c>
      <c r="H4305" s="1">
        <v>-3.5213629999999999E-6</v>
      </c>
      <c r="I4305">
        <v>247.0864</v>
      </c>
      <c r="J4305">
        <v>-488.84410000000003</v>
      </c>
      <c r="K4305">
        <v>1.124355</v>
      </c>
      <c r="L4305">
        <v>270.31139999999999</v>
      </c>
      <c r="M4305">
        <v>-0.4620881</v>
      </c>
      <c r="N4305">
        <v>-1.385395E-2</v>
      </c>
      <c r="O4305">
        <v>-0.88672580000000001</v>
      </c>
      <c r="P4305">
        <v>-0.26381830000000001</v>
      </c>
      <c r="Q4305">
        <v>9.8663189999999998E-2</v>
      </c>
      <c r="R4305">
        <v>-0.95951350000000002</v>
      </c>
      <c r="S4305">
        <v>-0.30673220000000001</v>
      </c>
      <c r="T4305">
        <v>-0.1476287</v>
      </c>
      <c r="U4305">
        <v>-3.0591430000000002</v>
      </c>
      <c r="V4305">
        <v>-0.21020849999999999</v>
      </c>
      <c r="W4305">
        <v>0.11073180000000001</v>
      </c>
      <c r="X4305">
        <v>0.97136549999999999</v>
      </c>
      <c r="Y4305">
        <v>-0.37119940000000001</v>
      </c>
      <c r="Z4305">
        <v>2.476244E-2</v>
      </c>
      <c r="AA4305">
        <v>0.92822300000000002</v>
      </c>
      <c r="AB4305">
        <v>15</v>
      </c>
      <c r="AC4305">
        <v>-2.3023999999999698</v>
      </c>
      <c r="AD4305">
        <v>-1.1243585213630001</v>
      </c>
      <c r="AE4305">
        <v>-23.224999999999898</v>
      </c>
      <c r="AF4305">
        <v>-8.6711082731057907</v>
      </c>
      <c r="AG4305">
        <v>-1.1243585213630001</v>
      </c>
      <c r="AH4305">
        <v>21.610043099379102</v>
      </c>
      <c r="AI4305">
        <v>92.764506826205903</v>
      </c>
      <c r="AJ4305">
        <v>111.863303224465</v>
      </c>
      <c r="AK4305">
        <v>23.3119339293313</v>
      </c>
      <c r="AL4305">
        <v>83.642497914308294</v>
      </c>
      <c r="AM4305">
        <v>102.210810150116</v>
      </c>
      <c r="AN4305">
        <v>1.00000003979686</v>
      </c>
    </row>
    <row r="4306" spans="1:40" x14ac:dyDescent="0.25">
      <c r="A4306" t="str">
        <f>"20190303161956939"</f>
        <v>20190303161956939</v>
      </c>
      <c r="B4306" t="str">
        <f>"1551601196926908"</f>
        <v>1551601196926908</v>
      </c>
      <c r="C4306" t="s">
        <v>40</v>
      </c>
      <c r="D4306">
        <v>4.7002769999999998</v>
      </c>
      <c r="E4306">
        <v>0.4336528</v>
      </c>
      <c r="F4306" t="s">
        <v>41</v>
      </c>
      <c r="G4306">
        <v>-491.18810000000002</v>
      </c>
      <c r="H4306" s="1">
        <v>-3.4349719999999998E-6</v>
      </c>
      <c r="I4306">
        <v>246.85919999999999</v>
      </c>
      <c r="J4306">
        <v>-488.89359999999999</v>
      </c>
      <c r="K4306">
        <v>1.1243449999999999</v>
      </c>
      <c r="L4306">
        <v>270.20179999999999</v>
      </c>
      <c r="M4306">
        <v>-0.45699430000000002</v>
      </c>
      <c r="N4306">
        <v>-1.384997E-2</v>
      </c>
      <c r="O4306">
        <v>-0.88936199999999999</v>
      </c>
      <c r="P4306">
        <v>-0.25871880000000003</v>
      </c>
      <c r="Q4306">
        <v>9.9529679999999995E-2</v>
      </c>
      <c r="R4306">
        <v>-0.96081159999999999</v>
      </c>
      <c r="S4306">
        <v>-0.30560300000000001</v>
      </c>
      <c r="T4306">
        <v>-0.1465931</v>
      </c>
      <c r="U4306">
        <v>-3.0576780000000001</v>
      </c>
      <c r="V4306">
        <v>-0.2097572</v>
      </c>
      <c r="W4306">
        <v>0.1116023</v>
      </c>
      <c r="X4306">
        <v>0.97136339999999999</v>
      </c>
      <c r="Y4306">
        <v>-0.36616749999999998</v>
      </c>
      <c r="Z4306">
        <v>2.474589E-2</v>
      </c>
      <c r="AA4306">
        <v>0.93021989999999999</v>
      </c>
      <c r="AB4306">
        <v>15</v>
      </c>
      <c r="AC4306">
        <v>-2.2945000000000202</v>
      </c>
      <c r="AD4306">
        <v>-1.1243484349719901</v>
      </c>
      <c r="AE4306">
        <v>-23.342600000000001</v>
      </c>
      <c r="AF4306">
        <v>-8.6078401449342294</v>
      </c>
      <c r="AG4306">
        <v>-1.1243484349719901</v>
      </c>
      <c r="AH4306">
        <v>21.760679269666699</v>
      </c>
      <c r="AI4306">
        <v>92.750738020680103</v>
      </c>
      <c r="AJ4306">
        <v>111.582192890138</v>
      </c>
      <c r="AK4306">
        <v>23.428321187000702</v>
      </c>
      <c r="AL4306">
        <v>83.592310645818401</v>
      </c>
      <c r="AM4306">
        <v>102.185404303447</v>
      </c>
      <c r="AN4306">
        <v>1.00000000558834</v>
      </c>
    </row>
    <row r="4307" spans="1:40" x14ac:dyDescent="0.25">
      <c r="A4307" t="str">
        <f>"20190303161956950"</f>
        <v>20190303161956950</v>
      </c>
      <c r="B4307" t="str">
        <f>"1551601196946429"</f>
        <v>1551601196946429</v>
      </c>
      <c r="C4307" t="s">
        <v>40</v>
      </c>
      <c r="D4307">
        <v>4.6948420000000004</v>
      </c>
      <c r="E4307">
        <v>0.43437480000000001</v>
      </c>
      <c r="F4307" t="s">
        <v>41</v>
      </c>
      <c r="G4307">
        <v>-491.1035</v>
      </c>
      <c r="H4307" s="1">
        <v>-3.506639E-6</v>
      </c>
      <c r="I4307">
        <v>247.0788</v>
      </c>
      <c r="J4307">
        <v>-488.92270000000002</v>
      </c>
      <c r="K4307">
        <v>1.1243430000000001</v>
      </c>
      <c r="L4307">
        <v>270.13650000000001</v>
      </c>
      <c r="M4307">
        <v>-0.4539552</v>
      </c>
      <c r="N4307">
        <v>-1.384765E-2</v>
      </c>
      <c r="O4307">
        <v>-0.89091710000000002</v>
      </c>
      <c r="P4307">
        <v>-0.25592350000000003</v>
      </c>
      <c r="Q4307">
        <v>9.9939180000000002E-2</v>
      </c>
      <c r="R4307">
        <v>-0.96151750000000002</v>
      </c>
      <c r="S4307">
        <v>-0.29235840000000002</v>
      </c>
      <c r="T4307">
        <v>-0.14874509999999999</v>
      </c>
      <c r="U4307">
        <v>-3.0590519999999999</v>
      </c>
      <c r="V4307">
        <v>-0.20924709999999999</v>
      </c>
      <c r="W4307">
        <v>0.1120165</v>
      </c>
      <c r="X4307">
        <v>0.97142569999999995</v>
      </c>
      <c r="Y4307">
        <v>-0.36701990000000001</v>
      </c>
      <c r="Z4307">
        <v>2.5384009999999999E-2</v>
      </c>
      <c r="AA4307">
        <v>0.92986670000000005</v>
      </c>
      <c r="AB4307">
        <v>15</v>
      </c>
      <c r="AC4307">
        <v>-2.1807999999999699</v>
      </c>
      <c r="AD4307">
        <v>-1.1243465066389999</v>
      </c>
      <c r="AE4307">
        <v>-23.057700000000001</v>
      </c>
      <c r="AF4307">
        <v>-8.5050230574727994</v>
      </c>
      <c r="AG4307">
        <v>-1.1243465066389999</v>
      </c>
      <c r="AH4307">
        <v>21.483914918262698</v>
      </c>
      <c r="AI4307">
        <v>92.785818748856997</v>
      </c>
      <c r="AJ4307">
        <v>111.59755474486801</v>
      </c>
      <c r="AK4307">
        <v>23.133485956299101</v>
      </c>
      <c r="AL4307">
        <v>83.568428744461002</v>
      </c>
      <c r="AM4307">
        <v>102.155897058588</v>
      </c>
      <c r="AN4307">
        <v>0.99999996787557399</v>
      </c>
    </row>
    <row r="4308" spans="1:40" x14ac:dyDescent="0.25">
      <c r="A4308" t="str">
        <f>"20190303161956961"</f>
        <v>20190303161956961</v>
      </c>
      <c r="B4308" t="str">
        <f>"1551601196956189"</f>
        <v>1551601196956189</v>
      </c>
      <c r="C4308" t="s">
        <v>40</v>
      </c>
      <c r="D4308">
        <v>4.7075740000000001</v>
      </c>
      <c r="E4308">
        <v>0.43484420000000001</v>
      </c>
      <c r="F4308" t="s">
        <v>41</v>
      </c>
      <c r="G4308">
        <v>-491.05419999999998</v>
      </c>
      <c r="H4308" s="1">
        <v>-3.726154E-6</v>
      </c>
      <c r="I4308">
        <v>247.62100000000001</v>
      </c>
      <c r="J4308">
        <v>-488.95150000000001</v>
      </c>
      <c r="K4308">
        <v>1.124341</v>
      </c>
      <c r="L4308">
        <v>270.07139999999998</v>
      </c>
      <c r="M4308">
        <v>-0.45092680000000002</v>
      </c>
      <c r="N4308">
        <v>-1.3845400000000001E-2</v>
      </c>
      <c r="O4308">
        <v>-0.89245370000000002</v>
      </c>
      <c r="P4308">
        <v>-0.25284069999999997</v>
      </c>
      <c r="Q4308">
        <v>0.10029970000000001</v>
      </c>
      <c r="R4308">
        <v>-0.96229520000000002</v>
      </c>
      <c r="S4308">
        <v>-0.28958129999999999</v>
      </c>
      <c r="T4308">
        <v>-0.1527512</v>
      </c>
      <c r="U4308">
        <v>-3.0588989999999998</v>
      </c>
      <c r="V4308">
        <v>-0.20904439999999999</v>
      </c>
      <c r="W4308">
        <v>0.1123794</v>
      </c>
      <c r="X4308">
        <v>0.97142740000000005</v>
      </c>
      <c r="Y4308">
        <v>-0.36469210000000002</v>
      </c>
      <c r="Z4308">
        <v>2.6566490000000002E-2</v>
      </c>
      <c r="AA4308">
        <v>0.9307491</v>
      </c>
      <c r="AB4308">
        <v>15</v>
      </c>
      <c r="AC4308">
        <v>-2.1026999999999698</v>
      </c>
      <c r="AD4308">
        <v>-1.1243447261540001</v>
      </c>
      <c r="AE4308">
        <v>-22.450399999999998</v>
      </c>
      <c r="AF4308">
        <v>-8.2272584091645697</v>
      </c>
      <c r="AG4308">
        <v>-1.1243447261540001</v>
      </c>
      <c r="AH4308">
        <v>20.934066076556199</v>
      </c>
      <c r="AI4308">
        <v>92.861663841317295</v>
      </c>
      <c r="AJ4308">
        <v>111.45523081074801</v>
      </c>
      <c r="AK4308">
        <v>22.520813806166601</v>
      </c>
      <c r="AL4308">
        <v>83.547503816676596</v>
      </c>
      <c r="AM4308">
        <v>102.14445058655301</v>
      </c>
      <c r="AN4308">
        <v>0.99999994209323795</v>
      </c>
    </row>
    <row r="4309" spans="1:40" x14ac:dyDescent="0.25">
      <c r="A4309" t="str">
        <f>"20190303161956971"</f>
        <v>20190303161956971</v>
      </c>
      <c r="B4309" t="str">
        <f>"1551601196966925"</f>
        <v>1551601196966925</v>
      </c>
      <c r="C4309" t="s">
        <v>40</v>
      </c>
      <c r="D4309">
        <v>4.7687749999999998</v>
      </c>
      <c r="E4309">
        <v>0.43496190000000001</v>
      </c>
      <c r="F4309" t="s">
        <v>41</v>
      </c>
      <c r="G4309">
        <v>-491.03469999999999</v>
      </c>
      <c r="H4309" s="1">
        <v>-3.7116050000000001E-6</v>
      </c>
      <c r="I4309">
        <v>247.5992</v>
      </c>
      <c r="J4309">
        <v>-488.9803</v>
      </c>
      <c r="K4309">
        <v>1.124339</v>
      </c>
      <c r="L4309">
        <v>270.00540000000001</v>
      </c>
      <c r="M4309">
        <v>-0.44786029999999999</v>
      </c>
      <c r="N4309">
        <v>-1.3843080000000001E-2</v>
      </c>
      <c r="O4309">
        <v>-0.89399640000000002</v>
      </c>
      <c r="P4309">
        <v>-0.24976229999999999</v>
      </c>
      <c r="Q4309">
        <v>0.1007498</v>
      </c>
      <c r="R4309">
        <v>-0.96305189999999996</v>
      </c>
      <c r="S4309">
        <v>-0.28356930000000002</v>
      </c>
      <c r="T4309">
        <v>-0.15304989999999999</v>
      </c>
      <c r="U4309">
        <v>-3.0589900000000001</v>
      </c>
      <c r="V4309">
        <v>-0.20879549999999999</v>
      </c>
      <c r="W4309">
        <v>0.1128319</v>
      </c>
      <c r="X4309">
        <v>0.97142850000000003</v>
      </c>
      <c r="Y4309">
        <v>-0.36331239999999998</v>
      </c>
      <c r="Z4309">
        <v>2.6767249999999999E-2</v>
      </c>
      <c r="AA4309">
        <v>0.93128279999999997</v>
      </c>
      <c r="AB4309">
        <v>15</v>
      </c>
      <c r="AC4309">
        <v>-2.0543999999999798</v>
      </c>
      <c r="AD4309">
        <v>-1.124342711605</v>
      </c>
      <c r="AE4309">
        <v>-22.406199999999998</v>
      </c>
      <c r="AF4309">
        <v>-8.1785844658627607</v>
      </c>
      <c r="AG4309">
        <v>-1.124342711605</v>
      </c>
      <c r="AH4309">
        <v>20.900963119073399</v>
      </c>
      <c r="AI4309">
        <v>92.867843449327694</v>
      </c>
      <c r="AJ4309">
        <v>111.370495615818</v>
      </c>
      <c r="AK4309">
        <v>22.472286258929199</v>
      </c>
      <c r="AL4309">
        <v>83.521411667446003</v>
      </c>
      <c r="AM4309">
        <v>102.130405873884</v>
      </c>
      <c r="AN4309">
        <v>0.99999996454505402</v>
      </c>
    </row>
    <row r="4310" spans="1:40" x14ac:dyDescent="0.25">
      <c r="A4310" t="str">
        <f>"20190303161956983"</f>
        <v>20190303161956983</v>
      </c>
      <c r="B4310" t="str">
        <f>"1551601196976685"</f>
        <v>1551601196976685</v>
      </c>
      <c r="C4310" t="s">
        <v>40</v>
      </c>
      <c r="D4310">
        <v>4.7686250000000001</v>
      </c>
      <c r="E4310">
        <v>0.4353902</v>
      </c>
      <c r="F4310" t="s">
        <v>41</v>
      </c>
      <c r="G4310">
        <v>-491.06450000000001</v>
      </c>
      <c r="H4310" s="1">
        <v>-3.3910740000000002E-6</v>
      </c>
      <c r="I4310">
        <v>246.83349999999999</v>
      </c>
      <c r="J4310">
        <v>-489.01010000000002</v>
      </c>
      <c r="K4310">
        <v>1.124333</v>
      </c>
      <c r="L4310">
        <v>269.93680000000001</v>
      </c>
      <c r="M4310">
        <v>-0.44466549999999999</v>
      </c>
      <c r="N4310">
        <v>-1.3840649999999999E-2</v>
      </c>
      <c r="O4310">
        <v>-0.89558989999999905</v>
      </c>
      <c r="P4310">
        <v>-0.246448</v>
      </c>
      <c r="Q4310">
        <v>0.1012725</v>
      </c>
      <c r="R4310">
        <v>-0.9638504</v>
      </c>
      <c r="S4310">
        <v>-0.275177</v>
      </c>
      <c r="T4310">
        <v>-0.14844250000000001</v>
      </c>
      <c r="U4310">
        <v>-3.0592959999999998</v>
      </c>
      <c r="V4310">
        <v>-0.20864630000000001</v>
      </c>
      <c r="W4310">
        <v>0.1133559</v>
      </c>
      <c r="X4310">
        <v>0.97139960000000003</v>
      </c>
      <c r="Y4310">
        <v>-0.36253079999999999</v>
      </c>
      <c r="Z4310">
        <v>2.5668320000000001E-2</v>
      </c>
      <c r="AA4310">
        <v>0.93161819999999895</v>
      </c>
      <c r="AB4310">
        <v>15</v>
      </c>
      <c r="AC4310">
        <v>-2.0543999999999798</v>
      </c>
      <c r="AD4310">
        <v>-1.1243363910740001</v>
      </c>
      <c r="AE4310">
        <v>-23.103300000000001</v>
      </c>
      <c r="AF4310">
        <v>-8.4143756382652697</v>
      </c>
      <c r="AG4310">
        <v>-1.1243363910740001</v>
      </c>
      <c r="AH4310">
        <v>21.556018454767301</v>
      </c>
      <c r="AI4310">
        <v>92.781714081926594</v>
      </c>
      <c r="AJ4310">
        <v>111.323150329735</v>
      </c>
      <c r="AK4310">
        <v>23.1673861565002</v>
      </c>
      <c r="AL4310">
        <v>83.491195117285798</v>
      </c>
      <c r="AM4310">
        <v>102.122344210203</v>
      </c>
      <c r="AN4310">
        <v>1.0000000107243301</v>
      </c>
    </row>
    <row r="4311" spans="1:40" x14ac:dyDescent="0.25">
      <c r="A4311" t="str">
        <f>"20190303161956996"</f>
        <v>20190303161956996</v>
      </c>
      <c r="B4311" t="str">
        <f>"1551601196986445"</f>
        <v>1551601196986445</v>
      </c>
      <c r="C4311" t="s">
        <v>40</v>
      </c>
      <c r="D4311">
        <v>4.7526099999999998</v>
      </c>
      <c r="E4311">
        <v>0.43578339999999999</v>
      </c>
      <c r="F4311" t="s">
        <v>41</v>
      </c>
      <c r="G4311">
        <v>-491.0797</v>
      </c>
      <c r="H4311" s="1">
        <v>-3.1550529999999998E-6</v>
      </c>
      <c r="I4311">
        <v>246.274</v>
      </c>
      <c r="J4311">
        <v>-489.0412</v>
      </c>
      <c r="K4311">
        <v>1.124328</v>
      </c>
      <c r="L4311">
        <v>269.86419999999998</v>
      </c>
      <c r="M4311">
        <v>-0.44128610000000001</v>
      </c>
      <c r="N4311">
        <v>-1.383817E-2</v>
      </c>
      <c r="O4311">
        <v>-0.8972599</v>
      </c>
      <c r="P4311">
        <v>-0.2427687</v>
      </c>
      <c r="Q4311">
        <v>0.1012274</v>
      </c>
      <c r="R4311">
        <v>-0.96478869999999906</v>
      </c>
      <c r="S4311">
        <v>-0.26757809999999999</v>
      </c>
      <c r="T4311">
        <v>-0.14536789999999999</v>
      </c>
      <c r="U4311">
        <v>-3.059418</v>
      </c>
      <c r="V4311">
        <v>-0.20869099999999999</v>
      </c>
      <c r="W4311">
        <v>0.11331090000000001</v>
      </c>
      <c r="X4311">
        <v>0.97139529999999996</v>
      </c>
      <c r="Y4311">
        <v>-0.361319</v>
      </c>
      <c r="Z4311">
        <v>2.4979419999999999E-2</v>
      </c>
      <c r="AA4311">
        <v>0.93210760000000004</v>
      </c>
      <c r="AB4311">
        <v>15</v>
      </c>
      <c r="AC4311">
        <v>-2.0384999999999902</v>
      </c>
      <c r="AD4311">
        <v>-1.124331155053</v>
      </c>
      <c r="AE4311">
        <v>-23.5901999999999</v>
      </c>
      <c r="AF4311">
        <v>-8.5624776559481095</v>
      </c>
      <c r="AG4311">
        <v>-1.124331155053</v>
      </c>
      <c r="AH4311">
        <v>22.018566681378498</v>
      </c>
      <c r="AI4311">
        <v>92.724710413643095</v>
      </c>
      <c r="AJ4311">
        <v>111.249831305771</v>
      </c>
      <c r="AK4311">
        <v>23.651583939709901</v>
      </c>
      <c r="AL4311">
        <v>83.493790476906597</v>
      </c>
      <c r="AM4311">
        <v>102.12491652686199</v>
      </c>
      <c r="AN4311">
        <v>1.0000000612009401</v>
      </c>
    </row>
    <row r="4312" spans="1:40" x14ac:dyDescent="0.25">
      <c r="A4312" t="str">
        <f>"20190303161957009"</f>
        <v>20190303161957009</v>
      </c>
      <c r="B4312" t="str">
        <f>"1551601196996205"</f>
        <v>1551601196996205</v>
      </c>
      <c r="C4312" t="s">
        <v>40</v>
      </c>
      <c r="D4312">
        <v>4.7342930000000001</v>
      </c>
      <c r="E4312">
        <v>0.43629609999999902</v>
      </c>
      <c r="F4312" t="s">
        <v>41</v>
      </c>
      <c r="G4312">
        <v>-491.06630000000001</v>
      </c>
      <c r="H4312" s="1">
        <v>-3.004775E-6</v>
      </c>
      <c r="I4312">
        <v>245.93199999999999</v>
      </c>
      <c r="J4312">
        <v>-489.07380000000001</v>
      </c>
      <c r="K4312">
        <v>1.1243209999999999</v>
      </c>
      <c r="L4312">
        <v>269.78750000000002</v>
      </c>
      <c r="M4312">
        <v>-0.43771280000000001</v>
      </c>
      <c r="N4312">
        <v>-1.383556E-2</v>
      </c>
      <c r="O4312">
        <v>-0.89900829999999998</v>
      </c>
      <c r="P4312">
        <v>-0.23930879999999999</v>
      </c>
      <c r="Q4312">
        <v>0.1011423</v>
      </c>
      <c r="R4312">
        <v>-0.96566110000000005</v>
      </c>
      <c r="S4312">
        <v>-0.25888060000000002</v>
      </c>
      <c r="T4312">
        <v>-0.1437339</v>
      </c>
      <c r="U4312">
        <v>-3.0594790000000001</v>
      </c>
      <c r="V4312">
        <v>-0.20830889999999999</v>
      </c>
      <c r="W4312">
        <v>0.113230399999999</v>
      </c>
      <c r="X4312">
        <v>0.97148659999999998</v>
      </c>
      <c r="Y4312">
        <v>-0.36024289999999998</v>
      </c>
      <c r="Z4312">
        <v>2.4671869999999999E-2</v>
      </c>
      <c r="AA4312">
        <v>0.93253229999999998</v>
      </c>
      <c r="AB4312">
        <v>15</v>
      </c>
      <c r="AC4312">
        <v>-1.9924999999999999</v>
      </c>
      <c r="AD4312">
        <v>-1.1243240047749901</v>
      </c>
      <c r="AE4312">
        <v>-23.855499999999999</v>
      </c>
      <c r="AF4312">
        <v>-8.6323702421063402</v>
      </c>
      <c r="AG4312">
        <v>-1.1243240047749901</v>
      </c>
      <c r="AH4312">
        <v>22.2714447782819</v>
      </c>
      <c r="AI4312">
        <v>92.694961115558201</v>
      </c>
      <c r="AJ4312">
        <v>111.186237510363</v>
      </c>
      <c r="AK4312">
        <v>23.912322617775501</v>
      </c>
      <c r="AL4312">
        <v>83.4984320522871</v>
      </c>
      <c r="AM4312">
        <v>102.10226777071099</v>
      </c>
      <c r="AN4312">
        <v>0.99999996764146404</v>
      </c>
    </row>
    <row r="4313" spans="1:40" x14ac:dyDescent="0.25">
      <c r="A4313" t="str">
        <f>"20190303161957022"</f>
        <v>20190303161957022</v>
      </c>
      <c r="B4313" t="str">
        <f>"1551601197016702"</f>
        <v>1551601197016702</v>
      </c>
      <c r="C4313" t="s">
        <v>40</v>
      </c>
      <c r="D4313">
        <v>4.7505059999999997</v>
      </c>
      <c r="E4313">
        <v>0.43696430000000003</v>
      </c>
      <c r="F4313" t="s">
        <v>41</v>
      </c>
      <c r="G4313">
        <v>-491.01089999999999</v>
      </c>
      <c r="H4313" s="1">
        <v>-3.1315329999999999E-6</v>
      </c>
      <c r="I4313">
        <v>246.26179999999999</v>
      </c>
      <c r="J4313">
        <v>-489.10820000000001</v>
      </c>
      <c r="K4313">
        <v>1.1243110000000001</v>
      </c>
      <c r="L4313">
        <v>269.7056</v>
      </c>
      <c r="M4313">
        <v>-0.43389749999999999</v>
      </c>
      <c r="N4313">
        <v>-1.383275E-2</v>
      </c>
      <c r="O4313">
        <v>-0.90085610000000005</v>
      </c>
      <c r="P4313">
        <v>-0.23542440000000001</v>
      </c>
      <c r="Q4313">
        <v>0.1012537</v>
      </c>
      <c r="R4313">
        <v>-0.96660429999999997</v>
      </c>
      <c r="S4313">
        <v>-0.2519226</v>
      </c>
      <c r="T4313">
        <v>-0.14622249999999901</v>
      </c>
      <c r="U4313">
        <v>-3.0596009999999998</v>
      </c>
      <c r="V4313">
        <v>-0.20808940000000001</v>
      </c>
      <c r="W4313">
        <v>0.1133441</v>
      </c>
      <c r="X4313">
        <v>0.97152039999999995</v>
      </c>
      <c r="Y4313">
        <v>-0.35839690000000002</v>
      </c>
      <c r="Z4313">
        <v>2.5474650000000001E-2</v>
      </c>
      <c r="AA4313">
        <v>0.93322169999999904</v>
      </c>
      <c r="AB4313">
        <v>15</v>
      </c>
      <c r="AC4313">
        <v>-1.9026999999999801</v>
      </c>
      <c r="AD4313">
        <v>-1.1243141315330001</v>
      </c>
      <c r="AE4313">
        <v>-23.4438</v>
      </c>
      <c r="AF4313">
        <v>-8.4396723767682005</v>
      </c>
      <c r="AG4313">
        <v>-1.1243141315330001</v>
      </c>
      <c r="AH4313">
        <v>21.897132916628401</v>
      </c>
      <c r="AI4313">
        <v>92.742937283735998</v>
      </c>
      <c r="AJ4313">
        <v>111.077841306512</v>
      </c>
      <c r="AK4313">
        <v>23.494181876839999</v>
      </c>
      <c r="AL4313">
        <v>83.491875428231907</v>
      </c>
      <c r="AM4313">
        <v>102.08948244562001</v>
      </c>
      <c r="AN4313">
        <v>0.99999998550666402</v>
      </c>
    </row>
    <row r="4314" spans="1:40" x14ac:dyDescent="0.25">
      <c r="A4314" t="str">
        <f>"20190303161957034"</f>
        <v>20190303161957034</v>
      </c>
      <c r="B4314" t="str">
        <f>"1551601197026461"</f>
        <v>1551601197026461</v>
      </c>
      <c r="C4314" t="s">
        <v>40</v>
      </c>
      <c r="D4314">
        <v>4.7630809999999997</v>
      </c>
      <c r="E4314">
        <v>0.43735930000000001</v>
      </c>
      <c r="F4314" t="s">
        <v>41</v>
      </c>
      <c r="G4314">
        <v>-491.05239999999998</v>
      </c>
      <c r="H4314" s="1">
        <v>-2.7486529999999998E-6</v>
      </c>
      <c r="I4314">
        <v>245.34360000000001</v>
      </c>
      <c r="J4314">
        <v>-489.13639999999998</v>
      </c>
      <c r="K4314">
        <v>1.1243050000000001</v>
      </c>
      <c r="L4314">
        <v>269.63749999999999</v>
      </c>
      <c r="M4314">
        <v>-0.43073099999999998</v>
      </c>
      <c r="N4314">
        <v>-1.383038E-2</v>
      </c>
      <c r="O4314">
        <v>-0.90237440000000002</v>
      </c>
      <c r="P4314">
        <v>-0.2323501</v>
      </c>
      <c r="Q4314">
        <v>0.1009197</v>
      </c>
      <c r="R4314">
        <v>-0.96738230000000003</v>
      </c>
      <c r="S4314">
        <v>-0.2441101</v>
      </c>
      <c r="T4314">
        <v>-0.14117060000000001</v>
      </c>
      <c r="U4314">
        <v>-3.058929</v>
      </c>
      <c r="V4314">
        <v>-0.20777709999999999</v>
      </c>
      <c r="W4314">
        <v>0.1130143</v>
      </c>
      <c r="X4314">
        <v>0.97162570000000004</v>
      </c>
      <c r="Y4314">
        <v>-0.35747250000000003</v>
      </c>
      <c r="Z4314">
        <v>2.4243049999999999E-2</v>
      </c>
      <c r="AA4314">
        <v>0.93360889999999996</v>
      </c>
      <c r="AB4314">
        <v>15</v>
      </c>
      <c r="AC4314">
        <v>-1.9159999999999899</v>
      </c>
      <c r="AD4314">
        <v>-1.124307748653</v>
      </c>
      <c r="AE4314">
        <v>-24.293899999999901</v>
      </c>
      <c r="AF4314">
        <v>-8.7174663790658702</v>
      </c>
      <c r="AG4314">
        <v>-1.124307748653</v>
      </c>
      <c r="AH4314">
        <v>22.701328735189701</v>
      </c>
      <c r="AI4314">
        <v>92.647148912838006</v>
      </c>
      <c r="AJ4314">
        <v>111.007132879339</v>
      </c>
      <c r="AK4314">
        <v>24.343553855732999</v>
      </c>
      <c r="AL4314">
        <v>83.510894054892702</v>
      </c>
      <c r="AM4314">
        <v>102.070601258382</v>
      </c>
      <c r="AN4314">
        <v>1.0000000280946899</v>
      </c>
    </row>
    <row r="4315" spans="1:40" x14ac:dyDescent="0.25">
      <c r="A4315" t="str">
        <f>"20190303161957050"</f>
        <v>20190303161957050</v>
      </c>
      <c r="B4315" t="str">
        <f>"1551601197036223"</f>
        <v>1551601197036223</v>
      </c>
      <c r="C4315" t="s">
        <v>40</v>
      </c>
      <c r="D4315">
        <v>4.7443499999999998</v>
      </c>
      <c r="E4315">
        <v>0.43772149999999999</v>
      </c>
      <c r="F4315" t="s">
        <v>41</v>
      </c>
      <c r="G4315">
        <v>-491.02699999999999</v>
      </c>
      <c r="H4315" s="1">
        <v>-2.725417E-6</v>
      </c>
      <c r="I4315">
        <v>245.30510000000001</v>
      </c>
      <c r="J4315">
        <v>-489.17590000000001</v>
      </c>
      <c r="K4315">
        <v>1.124298</v>
      </c>
      <c r="L4315">
        <v>269.54129999999998</v>
      </c>
      <c r="M4315">
        <v>-0.4262454</v>
      </c>
      <c r="N4315">
        <v>-1.3827020000000001E-2</v>
      </c>
      <c r="O4315">
        <v>-0.90450209999999998</v>
      </c>
      <c r="P4315">
        <v>-0.22811909999999999</v>
      </c>
      <c r="Q4315">
        <v>0.1009326</v>
      </c>
      <c r="R4315">
        <v>-0.96838769999999996</v>
      </c>
      <c r="S4315">
        <v>-0.23767089999999999</v>
      </c>
      <c r="T4315">
        <v>-0.14133570000000001</v>
      </c>
      <c r="U4315">
        <v>-3.0588069999999998</v>
      </c>
      <c r="V4315">
        <v>-0.20719699999999999</v>
      </c>
      <c r="W4315">
        <v>0.1130333</v>
      </c>
      <c r="X4315">
        <v>0.97174729999999998</v>
      </c>
      <c r="Y4315">
        <v>-0.3547864</v>
      </c>
      <c r="Z4315">
        <v>2.4454259999999998E-2</v>
      </c>
      <c r="AA4315">
        <v>0.93462750000000006</v>
      </c>
      <c r="AB4315">
        <v>15</v>
      </c>
      <c r="AC4315">
        <v>-1.85109999999997</v>
      </c>
      <c r="AD4315">
        <v>-1.1243007254170001</v>
      </c>
      <c r="AE4315">
        <v>-24.236199999999901</v>
      </c>
      <c r="AF4315">
        <v>-8.6385887382184201</v>
      </c>
      <c r="AG4315">
        <v>-1.1243007254170001</v>
      </c>
      <c r="AH4315">
        <v>22.6643934886728</v>
      </c>
      <c r="AI4315">
        <v>92.653963577342296</v>
      </c>
      <c r="AJ4315">
        <v>110.864466922707</v>
      </c>
      <c r="AK4315">
        <v>24.280939020528901</v>
      </c>
      <c r="AL4315">
        <v>83.509798031898299</v>
      </c>
      <c r="AM4315">
        <v>102.03642283331899</v>
      </c>
      <c r="AN4315">
        <v>0.99999996938758895</v>
      </c>
    </row>
    <row r="4316" spans="1:40" x14ac:dyDescent="0.25">
      <c r="A4316" t="str">
        <f>"20190303161957063"</f>
        <v>20190303161957063</v>
      </c>
      <c r="B4316" t="str">
        <f>"1551601197056718"</f>
        <v>1551601197056718</v>
      </c>
      <c r="C4316" t="s">
        <v>40</v>
      </c>
      <c r="D4316">
        <v>4.7728760000000001</v>
      </c>
      <c r="E4316">
        <v>0.4384189</v>
      </c>
      <c r="F4316" t="s">
        <v>41</v>
      </c>
      <c r="G4316">
        <v>-491.00040000000001</v>
      </c>
      <c r="H4316" s="1">
        <v>-2.5616810000000001E-6</v>
      </c>
      <c r="I4316">
        <v>244.94</v>
      </c>
      <c r="J4316">
        <v>-489.20650000000001</v>
      </c>
      <c r="K4316">
        <v>1.1242909999999999</v>
      </c>
      <c r="L4316">
        <v>269.46589999999998</v>
      </c>
      <c r="M4316">
        <v>-0.42273060000000001</v>
      </c>
      <c r="N4316">
        <v>-1.3824380000000001E-2</v>
      </c>
      <c r="O4316">
        <v>-0.90615000000000001</v>
      </c>
      <c r="P4316">
        <v>-0.22473219999999999</v>
      </c>
      <c r="Q4316">
        <v>0.1011093</v>
      </c>
      <c r="R4316">
        <v>-0.96916080000000004</v>
      </c>
      <c r="S4316">
        <v>-0.22686770000000001</v>
      </c>
      <c r="T4316">
        <v>-0.13979949999999999</v>
      </c>
      <c r="U4316">
        <v>-3.059021</v>
      </c>
      <c r="V4316">
        <v>-0.20681279999999999</v>
      </c>
      <c r="W4316">
        <v>0.1132138</v>
      </c>
      <c r="X4316">
        <v>0.97180820000000001</v>
      </c>
      <c r="Y4316">
        <v>-0.3544448</v>
      </c>
      <c r="Z4316">
        <v>2.4146649999999999E-2</v>
      </c>
      <c r="AA4316">
        <v>0.93476510000000002</v>
      </c>
      <c r="AB4316">
        <v>15</v>
      </c>
      <c r="AC4316">
        <v>-1.7939000000000001</v>
      </c>
      <c r="AD4316">
        <v>-1.1242935616809999</v>
      </c>
      <c r="AE4316">
        <v>-24.525899999999901</v>
      </c>
      <c r="AF4316">
        <v>-8.7249040416687897</v>
      </c>
      <c r="AG4316">
        <v>-1.1242935616809999</v>
      </c>
      <c r="AH4316">
        <v>22.936733197442301</v>
      </c>
      <c r="AI4316">
        <v>92.623143348712702</v>
      </c>
      <c r="AJ4316">
        <v>110.826314528317</v>
      </c>
      <c r="AK4316">
        <v>24.565864860000701</v>
      </c>
      <c r="AL4316">
        <v>83.499389778219694</v>
      </c>
      <c r="AM4316">
        <v>102.014022085875</v>
      </c>
      <c r="AN4316">
        <v>1.0000000381707499</v>
      </c>
    </row>
    <row r="4317" spans="1:40" x14ac:dyDescent="0.25">
      <c r="A4317" t="str">
        <f>"20190303161957080"</f>
        <v>20190303161957080</v>
      </c>
      <c r="B4317" t="str">
        <f>"1551601197066477"</f>
        <v>1551601197066477</v>
      </c>
      <c r="C4317" t="s">
        <v>40</v>
      </c>
      <c r="D4317">
        <v>4.7772949999999996</v>
      </c>
      <c r="E4317">
        <v>0.43873479999999998</v>
      </c>
      <c r="F4317" t="s">
        <v>41</v>
      </c>
      <c r="G4317">
        <v>-491.03460000000001</v>
      </c>
      <c r="H4317" s="1">
        <v>-2.257509E-6</v>
      </c>
      <c r="I4317">
        <v>244.2097</v>
      </c>
      <c r="J4317">
        <v>-489.24630000000002</v>
      </c>
      <c r="K4317">
        <v>1.124282</v>
      </c>
      <c r="L4317">
        <v>269.36630000000002</v>
      </c>
      <c r="M4317">
        <v>-0.41808250000000002</v>
      </c>
      <c r="N4317">
        <v>-1.382099E-2</v>
      </c>
      <c r="O4317">
        <v>-0.90830379999999999</v>
      </c>
      <c r="P4317">
        <v>-0.21992600000000001</v>
      </c>
      <c r="Q4317">
        <v>0.1009847</v>
      </c>
      <c r="R4317">
        <v>-0.9702752</v>
      </c>
      <c r="S4317">
        <v>-0.2213745</v>
      </c>
      <c r="T4317">
        <v>-0.1361425</v>
      </c>
      <c r="U4317">
        <v>-3.058319</v>
      </c>
      <c r="V4317">
        <v>-0.20665210000000001</v>
      </c>
      <c r="W4317">
        <v>0.1130915</v>
      </c>
      <c r="X4317">
        <v>0.97185659999999896</v>
      </c>
      <c r="Y4317">
        <v>-0.35131069999999998</v>
      </c>
      <c r="Z4317">
        <v>2.3334669999999998E-2</v>
      </c>
      <c r="AA4317">
        <v>0.93596809999999997</v>
      </c>
      <c r="AB4317">
        <v>15</v>
      </c>
      <c r="AC4317">
        <v>-1.78829999999999</v>
      </c>
      <c r="AD4317">
        <v>-1.124284257509</v>
      </c>
      <c r="AE4317">
        <v>-25.156600000000001</v>
      </c>
      <c r="AF4317">
        <v>-8.8764250307886492</v>
      </c>
      <c r="AG4317">
        <v>-1.124284257509</v>
      </c>
      <c r="AH4317">
        <v>23.552942594936798</v>
      </c>
      <c r="AI4317">
        <v>92.557560355772594</v>
      </c>
      <c r="AJ4317">
        <v>110.64997979950201</v>
      </c>
      <c r="AK4317">
        <v>25.195159084619402</v>
      </c>
      <c r="AL4317">
        <v>83.506442190973004</v>
      </c>
      <c r="AM4317">
        <v>102.004377224583</v>
      </c>
      <c r="AN4317">
        <v>1.0000000143851</v>
      </c>
    </row>
    <row r="4318" spans="1:40" x14ac:dyDescent="0.25">
      <c r="A4318" t="str">
        <f>"20190303161957095"</f>
        <v>20190303161957095</v>
      </c>
      <c r="B4318" t="str">
        <f>"1551601197086973"</f>
        <v>1551601197086973</v>
      </c>
      <c r="C4318" t="s">
        <v>40</v>
      </c>
      <c r="D4318">
        <v>4.7930960000000002</v>
      </c>
      <c r="E4318">
        <v>0.44792589999999999</v>
      </c>
      <c r="F4318" t="s">
        <v>41</v>
      </c>
      <c r="G4318">
        <v>-490.98259999999999</v>
      </c>
      <c r="H4318" s="1">
        <v>-2.108315E-6</v>
      </c>
      <c r="I4318">
        <v>243.89420000000001</v>
      </c>
      <c r="J4318">
        <v>-489.28160000000003</v>
      </c>
      <c r="K4318">
        <v>1.1242760000000001</v>
      </c>
      <c r="L4318">
        <v>269.2765</v>
      </c>
      <c r="M4318">
        <v>-0.41389399999999998</v>
      </c>
      <c r="N4318">
        <v>-1.3817869999999999E-2</v>
      </c>
      <c r="O4318">
        <v>-0.91022029999999998</v>
      </c>
      <c r="P4318">
        <v>-0.21595710000000001</v>
      </c>
      <c r="Q4318">
        <v>0.10076590000000001</v>
      </c>
      <c r="R4318">
        <v>-0.97118939999999998</v>
      </c>
      <c r="S4318">
        <v>-0.20849609999999999</v>
      </c>
      <c r="T4318">
        <v>-0.13500390000000001</v>
      </c>
      <c r="U4318">
        <v>-3.0586850000000001</v>
      </c>
      <c r="V4318">
        <v>-0.2061538</v>
      </c>
      <c r="W4318">
        <v>0.1128783</v>
      </c>
      <c r="X4318">
        <v>0.97198720000000005</v>
      </c>
      <c r="Y4318">
        <v>-0.35092839999999997</v>
      </c>
      <c r="Z4318">
        <v>2.31425E-2</v>
      </c>
      <c r="AA4318">
        <v>0.93611630000000001</v>
      </c>
      <c r="AB4318">
        <v>15</v>
      </c>
      <c r="AC4318">
        <v>-1.7009999999999601</v>
      </c>
      <c r="AD4318">
        <v>-1.124278108315</v>
      </c>
      <c r="AE4318">
        <v>-25.382299999999901</v>
      </c>
      <c r="AF4318">
        <v>-8.9406887621117708</v>
      </c>
      <c r="AG4318">
        <v>-1.124278108315</v>
      </c>
      <c r="AH4318">
        <v>23.763375673440901</v>
      </c>
      <c r="AI4318">
        <v>92.535456644637307</v>
      </c>
      <c r="AJ4318">
        <v>110.618215086717</v>
      </c>
      <c r="AK4318">
        <v>25.4145222304664</v>
      </c>
      <c r="AL4318">
        <v>83.518736335430603</v>
      </c>
      <c r="AM4318">
        <v>101.974705120313</v>
      </c>
      <c r="AN4318">
        <v>1.0000000084145799</v>
      </c>
    </row>
    <row r="4319" spans="1:40" x14ac:dyDescent="0.25">
      <c r="A4319" t="str">
        <f>"20190303161957109"</f>
        <v>20190303161957109</v>
      </c>
      <c r="B4319" t="str">
        <f>"1551601197096733"</f>
        <v>1551601197096733</v>
      </c>
      <c r="C4319" t="s">
        <v>40</v>
      </c>
      <c r="D4319">
        <v>4.7731450000000004</v>
      </c>
      <c r="E4319">
        <v>0.4488974</v>
      </c>
      <c r="F4319" t="s">
        <v>41</v>
      </c>
      <c r="G4319">
        <v>-491.76229999999998</v>
      </c>
      <c r="H4319" s="1">
        <v>-1.0552150000000001E-6</v>
      </c>
      <c r="I4319">
        <v>240.95580000000001</v>
      </c>
      <c r="J4319">
        <v>-489.3125</v>
      </c>
      <c r="K4319">
        <v>1.1242700000000001</v>
      </c>
      <c r="L4319">
        <v>269.19729999999998</v>
      </c>
      <c r="M4319">
        <v>-0.41020129999999999</v>
      </c>
      <c r="N4319">
        <v>-1.381511E-2</v>
      </c>
      <c r="O4319">
        <v>-0.91189050000000005</v>
      </c>
      <c r="P4319">
        <v>-0.21210029999999999</v>
      </c>
      <c r="Q4319">
        <v>0.1005345</v>
      </c>
      <c r="R4319">
        <v>-0.97206309999999996</v>
      </c>
      <c r="S4319">
        <v>-0.26647949999999998</v>
      </c>
      <c r="T4319">
        <v>-0.1207722</v>
      </c>
      <c r="U4319">
        <v>-3.0422669999999998</v>
      </c>
      <c r="V4319">
        <v>-0.20607900000000001</v>
      </c>
      <c r="W4319">
        <v>0.1126486</v>
      </c>
      <c r="X4319">
        <v>0.9720297</v>
      </c>
      <c r="Y4319">
        <v>-0.32898159999999999</v>
      </c>
      <c r="Z4319">
        <v>1.974449E-2</v>
      </c>
      <c r="AA4319">
        <v>0.94412989999999997</v>
      </c>
      <c r="AB4319">
        <v>15</v>
      </c>
      <c r="AC4319">
        <v>-2.4497999999999802</v>
      </c>
      <c r="AD4319">
        <v>-1.1242710552149999</v>
      </c>
      <c r="AE4319">
        <v>-28.241499999999899</v>
      </c>
      <c r="AF4319">
        <v>-9.3369555382502298</v>
      </c>
      <c r="AG4319">
        <v>-1.1242710552149999</v>
      </c>
      <c r="AH4319">
        <v>26.718590621006101</v>
      </c>
      <c r="AI4319">
        <v>92.274743214008694</v>
      </c>
      <c r="AJ4319">
        <v>109.26224302817501</v>
      </c>
      <c r="AK4319">
        <v>28.3253562890526</v>
      </c>
      <c r="AL4319">
        <v>83.531981598500394</v>
      </c>
      <c r="AM4319">
        <v>101.96997733544799</v>
      </c>
      <c r="AN4319">
        <v>0.99999999950252505</v>
      </c>
    </row>
    <row r="4320" spans="1:40" x14ac:dyDescent="0.25">
      <c r="A4320" t="str">
        <f>"20190303161957127"</f>
        <v>20190303161957127</v>
      </c>
      <c r="B4320" t="str">
        <f>"1551601197116253"</f>
        <v>1551601197116253</v>
      </c>
      <c r="C4320" t="s">
        <v>40</v>
      </c>
      <c r="D4320">
        <v>4.7553989999999997</v>
      </c>
      <c r="E4320">
        <v>0.45003460000000001</v>
      </c>
      <c r="F4320" t="s">
        <v>41</v>
      </c>
      <c r="G4320">
        <v>-491.7192</v>
      </c>
      <c r="H4320" s="1">
        <v>-1.1581139999999999E-6</v>
      </c>
      <c r="I4320">
        <v>241.22239999999999</v>
      </c>
      <c r="J4320">
        <v>-489.3562</v>
      </c>
      <c r="K4320">
        <v>1.1242639999999999</v>
      </c>
      <c r="L4320">
        <v>269.08339999999998</v>
      </c>
      <c r="M4320">
        <v>-0.40488170000000001</v>
      </c>
      <c r="N4320">
        <v>-1.381127E-2</v>
      </c>
      <c r="O4320">
        <v>-0.91426490000000005</v>
      </c>
      <c r="P4320">
        <v>-0.2064867</v>
      </c>
      <c r="Q4320">
        <v>0.1005549</v>
      </c>
      <c r="R4320">
        <v>-0.97326869999999999</v>
      </c>
      <c r="S4320">
        <v>-0.26168819999999998</v>
      </c>
      <c r="T4320">
        <v>-0.1222434</v>
      </c>
      <c r="U4320">
        <v>-3.0417480000000001</v>
      </c>
      <c r="V4320">
        <v>-0.20602239999999999</v>
      </c>
      <c r="W4320">
        <v>0.1126708</v>
      </c>
      <c r="X4320">
        <v>0.97203910000000004</v>
      </c>
      <c r="Y4320">
        <v>-0.32494089999999998</v>
      </c>
      <c r="Z4320">
        <v>2.032227E-2</v>
      </c>
      <c r="AA4320">
        <v>0.94551600000000002</v>
      </c>
      <c r="AB4320">
        <v>15</v>
      </c>
      <c r="AC4320">
        <v>-2.3629999999999902</v>
      </c>
      <c r="AD4320">
        <v>-1.124265158114</v>
      </c>
      <c r="AE4320">
        <v>-27.860999999999901</v>
      </c>
      <c r="AF4320">
        <v>-9.10614792649835</v>
      </c>
      <c r="AG4320">
        <v>-1.124265158114</v>
      </c>
      <c r="AH4320">
        <v>26.388924435788201</v>
      </c>
      <c r="AI4320">
        <v>92.306243576740101</v>
      </c>
      <c r="AJ4320">
        <v>109.038254642181</v>
      </c>
      <c r="AK4320">
        <v>27.9385260005383</v>
      </c>
      <c r="AL4320">
        <v>83.530701324621901</v>
      </c>
      <c r="AM4320">
        <v>101.96667216021</v>
      </c>
      <c r="AN4320">
        <v>0.999999975201604</v>
      </c>
    </row>
    <row r="4321" spans="1:40" x14ac:dyDescent="0.25">
      <c r="A4321" t="str">
        <f>"20190303161957139"</f>
        <v>20190303161957139</v>
      </c>
      <c r="B4321" t="str">
        <f>"1551601197126989"</f>
        <v>1551601197126989</v>
      </c>
      <c r="C4321" t="s">
        <v>40</v>
      </c>
      <c r="D4321">
        <v>4.7962490000000004</v>
      </c>
      <c r="E4321">
        <v>0.45041540000000002</v>
      </c>
      <c r="F4321" t="s">
        <v>41</v>
      </c>
      <c r="G4321">
        <v>-491.76620000000003</v>
      </c>
      <c r="H4321" s="1">
        <v>-6.9585869999999998E-7</v>
      </c>
      <c r="I4321">
        <v>240.1157</v>
      </c>
      <c r="J4321">
        <v>-489.38339999999999</v>
      </c>
      <c r="K4321">
        <v>1.124258</v>
      </c>
      <c r="L4321">
        <v>269.01130000000001</v>
      </c>
      <c r="M4321">
        <v>-0.40151480000000001</v>
      </c>
      <c r="N4321">
        <v>-1.38088E-2</v>
      </c>
      <c r="O4321">
        <v>-0.91574880000000003</v>
      </c>
      <c r="P4321">
        <v>-0.20301449999999999</v>
      </c>
      <c r="Q4321">
        <v>0.1006531</v>
      </c>
      <c r="R4321">
        <v>-0.97398910000000005</v>
      </c>
      <c r="S4321">
        <v>-0.25299070000000001</v>
      </c>
      <c r="T4321">
        <v>-0.1180214</v>
      </c>
      <c r="U4321">
        <v>-3.040924</v>
      </c>
      <c r="V4321">
        <v>-0.20590700000000001</v>
      </c>
      <c r="W4321">
        <v>0.1127703</v>
      </c>
      <c r="X4321">
        <v>0.97205200000000003</v>
      </c>
      <c r="Y4321">
        <v>-0.32412629999999998</v>
      </c>
      <c r="Z4321">
        <v>1.9248040000000001E-2</v>
      </c>
      <c r="AA4321">
        <v>0.94581800000000005</v>
      </c>
      <c r="AB4321">
        <v>14</v>
      </c>
      <c r="AC4321">
        <v>-2.3828000000000298</v>
      </c>
      <c r="AD4321">
        <v>-1.1242586958587</v>
      </c>
      <c r="AE4321">
        <v>-28.895600000000002</v>
      </c>
      <c r="AF4321">
        <v>-9.4067161138664392</v>
      </c>
      <c r="AG4321">
        <v>-1.1242586958587</v>
      </c>
      <c r="AH4321">
        <v>27.379278695563201</v>
      </c>
      <c r="AI4321">
        <v>92.223923712028906</v>
      </c>
      <c r="AJ4321">
        <v>108.961216370272</v>
      </c>
      <c r="AK4321">
        <v>28.9719721032485</v>
      </c>
      <c r="AL4321">
        <v>83.524963741672806</v>
      </c>
      <c r="AM4321">
        <v>101.960008155716</v>
      </c>
      <c r="AN4321">
        <v>0.99999996195754404</v>
      </c>
    </row>
    <row r="4322" spans="1:40" x14ac:dyDescent="0.25">
      <c r="A4322" t="str">
        <f>"20190303161957151"</f>
        <v>20190303161957151</v>
      </c>
      <c r="B4322" t="str">
        <f>"1551601197146509"</f>
        <v>1551601197146509</v>
      </c>
      <c r="C4322" t="s">
        <v>40</v>
      </c>
      <c r="D4322">
        <v>4.788964</v>
      </c>
      <c r="E4322">
        <v>0.45159680000000002</v>
      </c>
      <c r="F4322" t="s">
        <v>41</v>
      </c>
      <c r="G4322">
        <v>-491.6755</v>
      </c>
      <c r="H4322" s="1">
        <v>-8.7307059999999897E-7</v>
      </c>
      <c r="I4322">
        <v>240.58510000000001</v>
      </c>
      <c r="J4322">
        <v>-489.4092</v>
      </c>
      <c r="K4322">
        <v>1.1242559999999999</v>
      </c>
      <c r="L4322">
        <v>268.94220000000001</v>
      </c>
      <c r="M4322">
        <v>-0.39828710000000001</v>
      </c>
      <c r="N4322">
        <v>-1.380636E-2</v>
      </c>
      <c r="O4322">
        <v>-0.91715709999999995</v>
      </c>
      <c r="P4322">
        <v>-0.19966210000000001</v>
      </c>
      <c r="Q4322">
        <v>0.1006778</v>
      </c>
      <c r="R4322">
        <v>-0.97467919999999997</v>
      </c>
      <c r="S4322">
        <v>-0.24523929999999999</v>
      </c>
      <c r="T4322">
        <v>-0.1202893</v>
      </c>
      <c r="U4322">
        <v>-3.0414430000000001</v>
      </c>
      <c r="V4322">
        <v>-0.20582529999999999</v>
      </c>
      <c r="W4322">
        <v>0.1127964</v>
      </c>
      <c r="X4322">
        <v>0.97206630000000005</v>
      </c>
      <c r="Y4322">
        <v>-0.32320179999999998</v>
      </c>
      <c r="Z4322">
        <v>1.99569E-2</v>
      </c>
      <c r="AA4322">
        <v>0.94611959999999995</v>
      </c>
      <c r="AB4322">
        <v>14</v>
      </c>
      <c r="AC4322">
        <v>-2.2663000000000002</v>
      </c>
      <c r="AD4322">
        <v>-1.1242568730706</v>
      </c>
      <c r="AE4322">
        <v>-28.357099999999999</v>
      </c>
      <c r="AF4322">
        <v>-9.2022181259232294</v>
      </c>
      <c r="AG4322">
        <v>-1.1242568730706</v>
      </c>
      <c r="AH4322">
        <v>26.8711447593763</v>
      </c>
      <c r="AI4322">
        <v>92.2667046605698</v>
      </c>
      <c r="AJ4322">
        <v>108.904139368336</v>
      </c>
      <c r="AK4322">
        <v>28.425396965268099</v>
      </c>
      <c r="AL4322">
        <v>83.523458880609198</v>
      </c>
      <c r="AM4322">
        <v>101.95522841224</v>
      </c>
      <c r="AN4322">
        <v>0.99999998678436997</v>
      </c>
    </row>
    <row r="4323" spans="1:40" x14ac:dyDescent="0.25">
      <c r="A4323" t="str">
        <f>"20190303161957162"</f>
        <v>20190303161957162</v>
      </c>
      <c r="B4323" t="str">
        <f>"1551601197156269"</f>
        <v>1551601197156269</v>
      </c>
      <c r="C4323" t="s">
        <v>40</v>
      </c>
      <c r="D4323">
        <v>4.7836290000000004</v>
      </c>
      <c r="E4323">
        <v>0.45213740000000002</v>
      </c>
      <c r="F4323" t="s">
        <v>41</v>
      </c>
      <c r="G4323">
        <v>-491.60180000000003</v>
      </c>
      <c r="H4323" s="1">
        <v>-1.3047559999999901E-6</v>
      </c>
      <c r="I4323">
        <v>241.637</v>
      </c>
      <c r="J4323">
        <v>-489.43400000000003</v>
      </c>
      <c r="K4323">
        <v>1.12425</v>
      </c>
      <c r="L4323">
        <v>268.87529999999998</v>
      </c>
      <c r="M4323">
        <v>-0.39516079999999998</v>
      </c>
      <c r="N4323">
        <v>-1.380397E-2</v>
      </c>
      <c r="O4323">
        <v>-0.91850830000000006</v>
      </c>
      <c r="P4323">
        <v>-0.19658510000000001</v>
      </c>
      <c r="Q4323">
        <v>0.1008411</v>
      </c>
      <c r="R4323">
        <v>-0.97528749999999997</v>
      </c>
      <c r="S4323">
        <v>-0.2441711</v>
      </c>
      <c r="T4323">
        <v>-0.12520000000000001</v>
      </c>
      <c r="U4323">
        <v>-3.0407709999999999</v>
      </c>
      <c r="V4323">
        <v>-0.20557429999999999</v>
      </c>
      <c r="W4323">
        <v>0.1129617</v>
      </c>
      <c r="X4323">
        <v>0.97210030000000003</v>
      </c>
      <c r="Y4323">
        <v>-0.32029020000000002</v>
      </c>
      <c r="Z4323">
        <v>2.1434600000000002E-2</v>
      </c>
      <c r="AA4323">
        <v>0.94707699999999995</v>
      </c>
      <c r="AB4323">
        <v>14</v>
      </c>
      <c r="AC4323">
        <v>-2.1678000000000002</v>
      </c>
      <c r="AD4323">
        <v>-1.1242513047560001</v>
      </c>
      <c r="AE4323">
        <v>-27.238299999999899</v>
      </c>
      <c r="AF4323">
        <v>-8.7583747461947006</v>
      </c>
      <c r="AG4323">
        <v>-1.1242513047560001</v>
      </c>
      <c r="AH4323">
        <v>25.8339648169467</v>
      </c>
      <c r="AI4323">
        <v>92.360064246630103</v>
      </c>
      <c r="AJ4323">
        <v>108.727973094859</v>
      </c>
      <c r="AK4323">
        <v>27.301406691858698</v>
      </c>
      <c r="AL4323">
        <v>83.513927482323197</v>
      </c>
      <c r="AM4323">
        <v>101.94066233778101</v>
      </c>
      <c r="AN4323">
        <v>1.00000006587373</v>
      </c>
    </row>
    <row r="4324" spans="1:40" x14ac:dyDescent="0.25">
      <c r="A4324" t="str">
        <f>"20190303161957174"</f>
        <v>20190303161957174</v>
      </c>
      <c r="B4324" t="str">
        <f>"1551601197167005"</f>
        <v>1551601197167005</v>
      </c>
      <c r="C4324" t="s">
        <v>40</v>
      </c>
      <c r="D4324">
        <v>7.65205</v>
      </c>
      <c r="E4324">
        <v>0.45278639999999998</v>
      </c>
      <c r="F4324" t="s">
        <v>41</v>
      </c>
      <c r="G4324">
        <v>-491.48059999999998</v>
      </c>
      <c r="H4324" s="1">
        <v>-1.8116510000000001E-6</v>
      </c>
      <c r="I4324">
        <v>242.8938</v>
      </c>
      <c r="J4324">
        <v>-489.45960000000002</v>
      </c>
      <c r="K4324">
        <v>1.124241</v>
      </c>
      <c r="L4324">
        <v>268.80529999999999</v>
      </c>
      <c r="M4324">
        <v>-0.39189000000000002</v>
      </c>
      <c r="N4324">
        <v>-1.3801570000000001E-2</v>
      </c>
      <c r="O4324">
        <v>-0.91990879999999997</v>
      </c>
      <c r="P4324">
        <v>-0.19333549999999999</v>
      </c>
      <c r="Q4324">
        <v>0.1005735</v>
      </c>
      <c r="R4324">
        <v>-0.97596470000000002</v>
      </c>
      <c r="S4324">
        <v>-0.239563</v>
      </c>
      <c r="T4324">
        <v>-0.13160060000000001</v>
      </c>
      <c r="U4324">
        <v>-3.04129</v>
      </c>
      <c r="V4324">
        <v>-0.20536080000000001</v>
      </c>
      <c r="W4324">
        <v>0.1126973</v>
      </c>
      <c r="X4324">
        <v>0.97217600000000004</v>
      </c>
      <c r="Y4324">
        <v>-0.31835649999999999</v>
      </c>
      <c r="Z4324">
        <v>2.3317560000000001E-2</v>
      </c>
      <c r="AA4324">
        <v>0.94768419999999998</v>
      </c>
      <c r="AB4324">
        <v>14</v>
      </c>
      <c r="AC4324">
        <v>-2.0209999999999502</v>
      </c>
      <c r="AD4324">
        <v>-1.1242428116509999</v>
      </c>
      <c r="AE4324">
        <v>-25.911499999999901</v>
      </c>
      <c r="AF4324">
        <v>-8.2806163236349697</v>
      </c>
      <c r="AG4324">
        <v>-1.1242428116509999</v>
      </c>
      <c r="AH4324">
        <v>24.584566295401999</v>
      </c>
      <c r="AI4324">
        <v>92.481494935191805</v>
      </c>
      <c r="AJ4324">
        <v>108.61464390635</v>
      </c>
      <c r="AK4324">
        <v>25.966005247858501</v>
      </c>
      <c r="AL4324">
        <v>83.529173137546707</v>
      </c>
      <c r="AM4324">
        <v>101.927714508297</v>
      </c>
      <c r="AN4324">
        <v>0.99999995728996405</v>
      </c>
    </row>
    <row r="4325" spans="1:40" x14ac:dyDescent="0.25">
      <c r="A4325" t="str">
        <f>"20190303161957187"</f>
        <v>20190303161957187</v>
      </c>
      <c r="B4325" t="str">
        <f>"1551601197176765"</f>
        <v>1551601197176765</v>
      </c>
      <c r="C4325" t="s">
        <v>40</v>
      </c>
      <c r="D4325">
        <v>4.7771990000000004</v>
      </c>
      <c r="E4325">
        <v>0.45315060000000001</v>
      </c>
      <c r="F4325" t="s">
        <v>41</v>
      </c>
      <c r="G4325">
        <v>-491.51319999999998</v>
      </c>
      <c r="H4325" s="1">
        <v>-1.5110649999999999E-6</v>
      </c>
      <c r="I4325">
        <v>242.1729</v>
      </c>
      <c r="J4325">
        <v>-489.48610000000002</v>
      </c>
      <c r="K4325">
        <v>1.124233</v>
      </c>
      <c r="L4325">
        <v>268.73219999999998</v>
      </c>
      <c r="M4325">
        <v>-0.38847189999999998</v>
      </c>
      <c r="N4325">
        <v>-1.37991E-2</v>
      </c>
      <c r="O4325">
        <v>-0.92135730000000005</v>
      </c>
      <c r="P4325">
        <v>-0.19019839999999999</v>
      </c>
      <c r="Q4325">
        <v>0.10063859999999999</v>
      </c>
      <c r="R4325">
        <v>-0.97657389999999999</v>
      </c>
      <c r="S4325">
        <v>-0.2344666</v>
      </c>
      <c r="T4325">
        <v>-0.1283561</v>
      </c>
      <c r="U4325">
        <v>-3.0406490000000002</v>
      </c>
      <c r="V4325">
        <v>-0.2048701</v>
      </c>
      <c r="W4325">
        <v>0.11276700000000001</v>
      </c>
      <c r="X4325">
        <v>0.97227149999999996</v>
      </c>
      <c r="Y4325">
        <v>-0.31640190000000001</v>
      </c>
      <c r="Z4325">
        <v>2.251879E-2</v>
      </c>
      <c r="AA4325">
        <v>0.94835789999999998</v>
      </c>
      <c r="AB4325">
        <v>14</v>
      </c>
      <c r="AC4325">
        <v>-2.0270999999999599</v>
      </c>
      <c r="AD4325">
        <v>-1.1242345110650001</v>
      </c>
      <c r="AE4325">
        <v>-26.559299999999901</v>
      </c>
      <c r="AF4325">
        <v>-8.4356353836330502</v>
      </c>
      <c r="AG4325">
        <v>-1.1242345110650001</v>
      </c>
      <c r="AH4325">
        <v>25.2155614372084</v>
      </c>
      <c r="AI4325">
        <v>92.421118258978197</v>
      </c>
      <c r="AJ4325">
        <v>108.497193353464</v>
      </c>
      <c r="AK4325">
        <v>26.612936443675299</v>
      </c>
      <c r="AL4325">
        <v>83.525154356558005</v>
      </c>
      <c r="AM4325">
        <v>101.898891762735</v>
      </c>
      <c r="AN4325">
        <v>1.00000001193763</v>
      </c>
    </row>
    <row r="4326" spans="1:40" x14ac:dyDescent="0.25">
      <c r="A4326" t="str">
        <f>"20190303161957199"</f>
        <v>20190303161957199</v>
      </c>
      <c r="B4326" t="str">
        <f>"1551601197186526"</f>
        <v>1551601197186526</v>
      </c>
      <c r="C4326" t="s">
        <v>40</v>
      </c>
      <c r="D4326">
        <v>4.8086320000000002</v>
      </c>
      <c r="E4326">
        <v>0.45353460000000001</v>
      </c>
      <c r="F4326" t="s">
        <v>41</v>
      </c>
      <c r="G4326">
        <v>-491.49669999999998</v>
      </c>
      <c r="H4326" s="1">
        <v>-1.3349959999999901E-6</v>
      </c>
      <c r="I4326">
        <v>241.77269999999999</v>
      </c>
      <c r="J4326">
        <v>-489.5129</v>
      </c>
      <c r="K4326">
        <v>1.1242259999999999</v>
      </c>
      <c r="L4326">
        <v>268.65699999999998</v>
      </c>
      <c r="M4326">
        <v>-0.38495859999999998</v>
      </c>
      <c r="N4326">
        <v>-1.379644E-2</v>
      </c>
      <c r="O4326">
        <v>-0.92283079999999995</v>
      </c>
      <c r="P4326">
        <v>-0.1868689</v>
      </c>
      <c r="Q4326">
        <v>0.1004636</v>
      </c>
      <c r="R4326">
        <v>-0.97723450000000001</v>
      </c>
      <c r="S4326">
        <v>-0.22677610000000001</v>
      </c>
      <c r="T4326">
        <v>-0.12680819999999901</v>
      </c>
      <c r="U4326">
        <v>-3.0408940000000002</v>
      </c>
      <c r="V4326">
        <v>-0.2044832</v>
      </c>
      <c r="W4326">
        <v>0.1125969</v>
      </c>
      <c r="X4326">
        <v>0.97237269999999998</v>
      </c>
      <c r="Y4326">
        <v>-0.315179299999999</v>
      </c>
      <c r="Z4326">
        <v>2.217709E-2</v>
      </c>
      <c r="AA4326">
        <v>0.94877299999999998</v>
      </c>
      <c r="AB4326">
        <v>14</v>
      </c>
      <c r="AC4326">
        <v>-1.98379999999997</v>
      </c>
      <c r="AD4326">
        <v>-1.1242273349959999</v>
      </c>
      <c r="AE4326">
        <v>-26.8843</v>
      </c>
      <c r="AF4326">
        <v>-8.5046495597665501</v>
      </c>
      <c r="AG4326">
        <v>-1.1242273349959999</v>
      </c>
      <c r="AH4326">
        <v>25.531368741947901</v>
      </c>
      <c r="AI4326">
        <v>92.392219858528904</v>
      </c>
      <c r="AJ4326">
        <v>108.423220143161</v>
      </c>
      <c r="AK4326">
        <v>26.934062840063799</v>
      </c>
      <c r="AL4326">
        <v>83.534963113000899</v>
      </c>
      <c r="AM4326">
        <v>101.87585833895299</v>
      </c>
      <c r="AN4326">
        <v>1.0000000543385601</v>
      </c>
    </row>
    <row r="4327" spans="1:40" x14ac:dyDescent="0.25">
      <c r="A4327" t="str">
        <f>"20190303161957211"</f>
        <v>20190303161957211</v>
      </c>
      <c r="B4327" t="str">
        <f>"1551601197206046"</f>
        <v>1551601197206046</v>
      </c>
      <c r="C4327" t="s">
        <v>40</v>
      </c>
      <c r="D4327">
        <v>4.7951969999999999</v>
      </c>
      <c r="E4327">
        <v>0.45458270000000001</v>
      </c>
      <c r="F4327" t="s">
        <v>41</v>
      </c>
      <c r="G4327">
        <v>-491.41879999999998</v>
      </c>
      <c r="H4327" s="1">
        <v>-1.5282719999999999E-6</v>
      </c>
      <c r="I4327">
        <v>242.27160000000001</v>
      </c>
      <c r="J4327">
        <v>-489.53879999999998</v>
      </c>
      <c r="K4327">
        <v>1.1242219999999901</v>
      </c>
      <c r="L4327">
        <v>268.5838</v>
      </c>
      <c r="M4327">
        <v>-0.38153569999999998</v>
      </c>
      <c r="N4327">
        <v>-1.37939E-2</v>
      </c>
      <c r="O4327">
        <v>-0.92425139999999995</v>
      </c>
      <c r="P4327">
        <v>-0.18331</v>
      </c>
      <c r="Q4327">
        <v>0.1004705</v>
      </c>
      <c r="R4327">
        <v>-0.97790779999999999</v>
      </c>
      <c r="S4327">
        <v>-0.21966550000000001</v>
      </c>
      <c r="T4327">
        <v>-0.12957930000000001</v>
      </c>
      <c r="U4327">
        <v>-3.0411990000000002</v>
      </c>
      <c r="V4327">
        <v>-0.20441719999999999</v>
      </c>
      <c r="W4327">
        <v>0.1126045</v>
      </c>
      <c r="X4327">
        <v>0.97238559999999996</v>
      </c>
      <c r="Y4327">
        <v>-0.31387490000000001</v>
      </c>
      <c r="Z4327">
        <v>2.3049750000000001E-2</v>
      </c>
      <c r="AA4327">
        <v>0.94918449999999999</v>
      </c>
      <c r="AB4327">
        <v>14</v>
      </c>
      <c r="AC4327">
        <v>-1.8799999999999899</v>
      </c>
      <c r="AD4327">
        <v>-1.1242235282719999</v>
      </c>
      <c r="AE4327">
        <v>-26.312199999999901</v>
      </c>
      <c r="AF4327">
        <v>-8.2871874389774298</v>
      </c>
      <c r="AG4327">
        <v>-1.1242235282719999</v>
      </c>
      <c r="AH4327">
        <v>24.9933572392592</v>
      </c>
      <c r="AI4327">
        <v>92.444763256657197</v>
      </c>
      <c r="AJ4327">
        <v>108.344261479767</v>
      </c>
      <c r="AK4327">
        <v>26.3554408098118</v>
      </c>
      <c r="AL4327">
        <v>83.534524266050695</v>
      </c>
      <c r="AM4327">
        <v>101.871980993528</v>
      </c>
      <c r="AN4327">
        <v>0.99999996008172398</v>
      </c>
    </row>
    <row r="4328" spans="1:40" x14ac:dyDescent="0.25">
      <c r="A4328" t="str">
        <f>"20190303161957223"</f>
        <v>20190303161957223</v>
      </c>
      <c r="B4328" t="str">
        <f>"1551601197216781"</f>
        <v>1551601197216781</v>
      </c>
      <c r="C4328" t="s">
        <v>40</v>
      </c>
      <c r="D4328">
        <v>4.7767280000000003</v>
      </c>
      <c r="E4328">
        <v>0.45510669999999998</v>
      </c>
      <c r="F4328" t="s">
        <v>41</v>
      </c>
      <c r="G4328">
        <v>-491.42720000000003</v>
      </c>
      <c r="H4328" s="1">
        <v>-1.464074E-6</v>
      </c>
      <c r="I4328">
        <v>242.11670000000001</v>
      </c>
      <c r="J4328">
        <v>-489.5643</v>
      </c>
      <c r="K4328">
        <v>1.1242160000000001</v>
      </c>
      <c r="L4328">
        <v>268.5111</v>
      </c>
      <c r="M4328">
        <v>-0.37813479999999999</v>
      </c>
      <c r="N4328">
        <v>-1.379144E-2</v>
      </c>
      <c r="O4328">
        <v>-0.92564789999999997</v>
      </c>
      <c r="P4328">
        <v>-0.17998639999999999</v>
      </c>
      <c r="Q4328">
        <v>0.1002765</v>
      </c>
      <c r="R4328">
        <v>-0.97854450000000004</v>
      </c>
      <c r="S4328">
        <v>-0.2169189</v>
      </c>
      <c r="T4328">
        <v>-0.1291438</v>
      </c>
      <c r="U4328">
        <v>-3.040375</v>
      </c>
      <c r="V4328">
        <v>-0.20415040000000001</v>
      </c>
      <c r="W4328">
        <v>0.1124136</v>
      </c>
      <c r="X4328">
        <v>0.97246379999999999</v>
      </c>
      <c r="Y4328">
        <v>-0.31121919999999997</v>
      </c>
      <c r="Z4328">
        <v>2.3042380000000001E-2</v>
      </c>
      <c r="AA4328">
        <v>0.95005879999999998</v>
      </c>
      <c r="AB4328">
        <v>14</v>
      </c>
      <c r="AC4328">
        <v>-1.86290000000002</v>
      </c>
      <c r="AD4328">
        <v>-1.1242174640739999</v>
      </c>
      <c r="AE4328">
        <v>-26.394399999999901</v>
      </c>
      <c r="AF4328">
        <v>-8.2421577785548905</v>
      </c>
      <c r="AG4328">
        <v>-1.1242174640739999</v>
      </c>
      <c r="AH4328">
        <v>25.093439006260599</v>
      </c>
      <c r="AI4328">
        <v>92.437268354990195</v>
      </c>
      <c r="AJ4328">
        <v>108.183214796694</v>
      </c>
      <c r="AK4328">
        <v>26.436295332630099</v>
      </c>
      <c r="AL4328">
        <v>83.545532328247205</v>
      </c>
      <c r="AM4328">
        <v>101.85599839716799</v>
      </c>
      <c r="AN4328">
        <v>1.0000000227977699</v>
      </c>
    </row>
    <row r="4329" spans="1:40" x14ac:dyDescent="0.25">
      <c r="A4329" t="str">
        <f>"20190303161957241"</f>
        <v>20190303161957241</v>
      </c>
      <c r="B4329" t="str">
        <f>"1551601197226541"</f>
        <v>1551601197226541</v>
      </c>
      <c r="C4329" t="s">
        <v>40</v>
      </c>
      <c r="D4329">
        <v>4.8032000000000004</v>
      </c>
      <c r="E4329">
        <v>0.45554529999999899</v>
      </c>
      <c r="F4329" t="s">
        <v>41</v>
      </c>
      <c r="G4329">
        <v>-491.36340000000001</v>
      </c>
      <c r="H4329" s="1">
        <v>-1.6483430000000001E-6</v>
      </c>
      <c r="I4329">
        <v>242.58580000000001</v>
      </c>
      <c r="J4329">
        <v>-489.59829999999999</v>
      </c>
      <c r="K4329">
        <v>1.124207</v>
      </c>
      <c r="L4329">
        <v>268.41210000000001</v>
      </c>
      <c r="M4329">
        <v>-0.37350070000000002</v>
      </c>
      <c r="N4329">
        <v>-1.378803E-2</v>
      </c>
      <c r="O4329">
        <v>-0.92752769999999995</v>
      </c>
      <c r="P4329">
        <v>-0.1753962</v>
      </c>
      <c r="Q4329">
        <v>0.1003518</v>
      </c>
      <c r="R4329">
        <v>-0.97937039999999997</v>
      </c>
      <c r="S4329">
        <v>-0.21099850000000001</v>
      </c>
      <c r="T4329">
        <v>-0.13184599999999999</v>
      </c>
      <c r="U4329">
        <v>-3.0404659999999999</v>
      </c>
      <c r="V4329">
        <v>-0.2038411</v>
      </c>
      <c r="W4329">
        <v>0.1124927</v>
      </c>
      <c r="X4329">
        <v>0.97251949999999998</v>
      </c>
      <c r="Y4329">
        <v>-0.30830839999999998</v>
      </c>
      <c r="Z4329">
        <v>2.3946180000000001E-2</v>
      </c>
      <c r="AA4329">
        <v>0.95098499999999997</v>
      </c>
      <c r="AB4329">
        <v>14</v>
      </c>
      <c r="AC4329">
        <v>-1.7651000000000101</v>
      </c>
      <c r="AD4329">
        <v>-1.124208648343</v>
      </c>
      <c r="AE4329">
        <v>-25.8263</v>
      </c>
      <c r="AF4329">
        <v>-7.9946432818761002</v>
      </c>
      <c r="AG4329">
        <v>-1.124208648343</v>
      </c>
      <c r="AH4329">
        <v>24.569869175170801</v>
      </c>
      <c r="AI4329">
        <v>92.491379574113196</v>
      </c>
      <c r="AJ4329">
        <v>108.024061081013</v>
      </c>
      <c r="AK4329">
        <v>25.862262808471801</v>
      </c>
      <c r="AL4329">
        <v>83.540971087305707</v>
      </c>
      <c r="AM4329">
        <v>101.837884210326</v>
      </c>
      <c r="AN4329">
        <v>0.99999998974137505</v>
      </c>
    </row>
    <row r="4330" spans="1:40" x14ac:dyDescent="0.25">
      <c r="A4330" t="str">
        <f>"20190303161957252"</f>
        <v>20190303161957252</v>
      </c>
      <c r="B4330" t="str">
        <f>"1551601197247038"</f>
        <v>1551601197247038</v>
      </c>
      <c r="C4330" t="s">
        <v>40</v>
      </c>
      <c r="D4330">
        <v>4.7748460000000001</v>
      </c>
      <c r="E4330">
        <v>0.45658409999999999</v>
      </c>
      <c r="F4330" t="s">
        <v>41</v>
      </c>
      <c r="G4330">
        <v>-491.30360000000002</v>
      </c>
      <c r="H4330" s="1">
        <v>-1.5791489999999999E-6</v>
      </c>
      <c r="I4330">
        <v>242.4616</v>
      </c>
      <c r="J4330">
        <v>-489.62220000000002</v>
      </c>
      <c r="K4330">
        <v>1.1242019999999999</v>
      </c>
      <c r="L4330">
        <v>268.34160000000003</v>
      </c>
      <c r="M4330">
        <v>-0.37020019999999998</v>
      </c>
      <c r="N4330">
        <v>-1.378558E-2</v>
      </c>
      <c r="O4330">
        <v>-0.92884979999999995</v>
      </c>
      <c r="P4330">
        <v>-0.17238110000000001</v>
      </c>
      <c r="Q4330">
        <v>0.1000156</v>
      </c>
      <c r="R4330">
        <v>-0.97993980000000003</v>
      </c>
      <c r="S4330">
        <v>-0.19982910000000001</v>
      </c>
      <c r="T4330">
        <v>-0.131735299999999</v>
      </c>
      <c r="U4330">
        <v>-3.0408940000000002</v>
      </c>
      <c r="V4330">
        <v>-0.20338500000000001</v>
      </c>
      <c r="W4330">
        <v>0.112161</v>
      </c>
      <c r="X4330">
        <v>0.97265330000000005</v>
      </c>
      <c r="Y4330">
        <v>-0.30841249999999998</v>
      </c>
      <c r="Z4330">
        <v>2.3988550000000001E-2</v>
      </c>
      <c r="AA4330">
        <v>0.95095019999999997</v>
      </c>
      <c r="AB4330">
        <v>14</v>
      </c>
      <c r="AC4330">
        <v>-1.68139999999999</v>
      </c>
      <c r="AD4330">
        <v>-1.1242035791489999</v>
      </c>
      <c r="AE4330">
        <v>-25.88</v>
      </c>
      <c r="AF4330">
        <v>-8.0047334014348106</v>
      </c>
      <c r="AG4330">
        <v>-1.1242035791489999</v>
      </c>
      <c r="AH4330">
        <v>24.617172629440201</v>
      </c>
      <c r="AI4330">
        <v>92.486744380424597</v>
      </c>
      <c r="AJ4330">
        <v>108.012902250686</v>
      </c>
      <c r="AK4330">
        <v>25.91032185796</v>
      </c>
      <c r="AL4330">
        <v>83.560097174941802</v>
      </c>
      <c r="AM4330">
        <v>101.81056232958299</v>
      </c>
      <c r="AN4330">
        <v>0.99999999507344495</v>
      </c>
    </row>
    <row r="4331" spans="1:40" x14ac:dyDescent="0.25">
      <c r="A4331" t="str">
        <f>"20190303161957275"</f>
        <v>20190303161957275</v>
      </c>
      <c r="B4331" t="str">
        <f>"1551601197266557"</f>
        <v>1551601197266557</v>
      </c>
      <c r="C4331" t="s">
        <v>40</v>
      </c>
      <c r="D4331">
        <v>4.7501639999999998</v>
      </c>
      <c r="E4331">
        <v>0.45741860000000001</v>
      </c>
      <c r="F4331" t="s">
        <v>41</v>
      </c>
      <c r="G4331">
        <v>-491.33420000000001</v>
      </c>
      <c r="H4331" s="1">
        <v>-1.473003E-6</v>
      </c>
      <c r="I4331">
        <v>242.1952</v>
      </c>
      <c r="J4331">
        <v>-489.66699999999997</v>
      </c>
      <c r="K4331">
        <v>1.124187</v>
      </c>
      <c r="L4331">
        <v>268.20749999999998</v>
      </c>
      <c r="M4331">
        <v>-0.36392200000000002</v>
      </c>
      <c r="N4331">
        <v>-1.378096E-2</v>
      </c>
      <c r="O4331">
        <v>-0.93132760000000003</v>
      </c>
      <c r="P4331">
        <v>-0.16652400000000001</v>
      </c>
      <c r="Q4331">
        <v>9.9555669999999999E-2</v>
      </c>
      <c r="R4331">
        <v>-0.9809987</v>
      </c>
      <c r="S4331">
        <v>-0.19903560000000001</v>
      </c>
      <c r="T4331">
        <v>-0.13069810000000001</v>
      </c>
      <c r="U4331">
        <v>-3.0397340000000002</v>
      </c>
      <c r="V4331">
        <v>-0.20263980000000001</v>
      </c>
      <c r="W4331">
        <v>0.1117099</v>
      </c>
      <c r="X4331">
        <v>0.97286079999999997</v>
      </c>
      <c r="Y4331">
        <v>-0.3022125</v>
      </c>
      <c r="Z4331">
        <v>2.3909280000000002E-2</v>
      </c>
      <c r="AA4331">
        <v>0.95294069999999997</v>
      </c>
      <c r="AB4331">
        <v>14</v>
      </c>
      <c r="AC4331">
        <v>-1.66720000000003</v>
      </c>
      <c r="AD4331">
        <v>-1.1241884730030001</v>
      </c>
      <c r="AE4331">
        <v>-26.0122999999999</v>
      </c>
      <c r="AF4331">
        <v>-7.8997949626433703</v>
      </c>
      <c r="AG4331">
        <v>-1.1241884730030001</v>
      </c>
      <c r="AH4331">
        <v>24.788948792350201</v>
      </c>
      <c r="AI4331">
        <v>92.474171743649606</v>
      </c>
      <c r="AJ4331">
        <v>107.67615081634101</v>
      </c>
      <c r="AK4331">
        <v>26.041554147254701</v>
      </c>
      <c r="AL4331">
        <v>83.586107198238196</v>
      </c>
      <c r="AM4331">
        <v>101.766057483371</v>
      </c>
      <c r="AN4331">
        <v>1.00000006323934</v>
      </c>
    </row>
    <row r="4332" spans="1:40" x14ac:dyDescent="0.25">
      <c r="A4332" t="str">
        <f>"20190303161957289"</f>
        <v>20190303161957289</v>
      </c>
      <c r="B4332" t="str">
        <f>"1551601197276317"</f>
        <v>1551601197276317</v>
      </c>
      <c r="C4332" t="s">
        <v>40</v>
      </c>
      <c r="D4332">
        <v>4.7838919999999998</v>
      </c>
      <c r="E4332">
        <v>0.45780120000000002</v>
      </c>
      <c r="F4332" t="s">
        <v>41</v>
      </c>
      <c r="G4332">
        <v>-491.26209999999998</v>
      </c>
      <c r="H4332" s="1">
        <v>-1.5181060000000001E-6</v>
      </c>
      <c r="I4332">
        <v>242.3451</v>
      </c>
      <c r="J4332">
        <v>-489.69589999999999</v>
      </c>
      <c r="K4332">
        <v>1.124182</v>
      </c>
      <c r="L4332">
        <v>268.11930000000001</v>
      </c>
      <c r="M4332">
        <v>-0.359794</v>
      </c>
      <c r="N4332">
        <v>-1.3777960000000001E-2</v>
      </c>
      <c r="O4332">
        <v>-0.93293009999999998</v>
      </c>
      <c r="P4332">
        <v>-0.1630895</v>
      </c>
      <c r="Q4332">
        <v>9.9331299999999997E-2</v>
      </c>
      <c r="R4332">
        <v>-0.98159830000000003</v>
      </c>
      <c r="S4332">
        <v>-0.18746950000000001</v>
      </c>
      <c r="T4332">
        <v>-0.13212750000000001</v>
      </c>
      <c r="U4332">
        <v>-3.0396420000000002</v>
      </c>
      <c r="V4332">
        <v>-0.20174</v>
      </c>
      <c r="W4332">
        <v>0.1114943</v>
      </c>
      <c r="X4332">
        <v>0.97307250000000001</v>
      </c>
      <c r="Y4332">
        <v>-0.30160049999999999</v>
      </c>
      <c r="Z4332">
        <v>2.4422889999999999E-2</v>
      </c>
      <c r="AA4332">
        <v>0.95312149999999995</v>
      </c>
      <c r="AB4332">
        <v>14</v>
      </c>
      <c r="AC4332">
        <v>-1.5661999999999801</v>
      </c>
      <c r="AD4332">
        <v>-1.124183518106</v>
      </c>
      <c r="AE4332">
        <v>-25.7742</v>
      </c>
      <c r="AF4332">
        <v>-7.7982077060578101</v>
      </c>
      <c r="AG4332">
        <v>-1.124183518106</v>
      </c>
      <c r="AH4332">
        <v>24.564810513533601</v>
      </c>
      <c r="AI4332">
        <v>92.497591973978999</v>
      </c>
      <c r="AJ4332">
        <v>107.61227094688</v>
      </c>
      <c r="AK4332">
        <v>25.797398077616499</v>
      </c>
      <c r="AL4332">
        <v>83.598537726551001</v>
      </c>
      <c r="AM4332">
        <v>101.71278040279</v>
      </c>
      <c r="AN4332">
        <v>1.0000000483943601</v>
      </c>
    </row>
    <row r="4333" spans="1:40" x14ac:dyDescent="0.25">
      <c r="A4333" t="str">
        <f>"20190303161957302"</f>
        <v>20190303161957302</v>
      </c>
      <c r="B4333" t="str">
        <f>"1551601197296813"</f>
        <v>1551601197296813</v>
      </c>
      <c r="C4333" t="s">
        <v>40</v>
      </c>
      <c r="D4333">
        <v>4.7560089999999997</v>
      </c>
      <c r="E4333">
        <v>0.4585071</v>
      </c>
      <c r="F4333" t="s">
        <v>41</v>
      </c>
      <c r="G4333">
        <v>-491.19959999999998</v>
      </c>
      <c r="H4333" s="1">
        <v>-1.6615239999999999E-6</v>
      </c>
      <c r="I4333">
        <v>242.71809999999999</v>
      </c>
      <c r="J4333">
        <v>-489.72179999999997</v>
      </c>
      <c r="K4333">
        <v>1.1241749999999999</v>
      </c>
      <c r="L4333">
        <v>268.03919999999999</v>
      </c>
      <c r="M4333">
        <v>-0.35603849999999998</v>
      </c>
      <c r="N4333">
        <v>-1.377517E-2</v>
      </c>
      <c r="O4333">
        <v>-0.93436969999999997</v>
      </c>
      <c r="P4333">
        <v>-0.1597846</v>
      </c>
      <c r="Q4333">
        <v>9.9280869999999993E-2</v>
      </c>
      <c r="R4333">
        <v>-0.98214659999999998</v>
      </c>
      <c r="S4333">
        <v>-0.17996219999999999</v>
      </c>
      <c r="T4333">
        <v>-0.13453909999999999</v>
      </c>
      <c r="U4333">
        <v>-3.0399479999999999</v>
      </c>
      <c r="V4333">
        <v>-0.20109969999999999</v>
      </c>
      <c r="W4333">
        <v>0.1114502</v>
      </c>
      <c r="X4333">
        <v>0.97321000000000002</v>
      </c>
      <c r="Y4333">
        <v>-0.3001163</v>
      </c>
      <c r="Z4333">
        <v>2.5214549999999999E-2</v>
      </c>
      <c r="AA4333">
        <v>0.95356929999999995</v>
      </c>
      <c r="AB4333">
        <v>14</v>
      </c>
      <c r="AC4333">
        <v>-1.4778</v>
      </c>
      <c r="AD4333">
        <v>-1.1241766615240001</v>
      </c>
      <c r="AE4333">
        <v>-25.321100000000001</v>
      </c>
      <c r="AF4333">
        <v>-7.6202306383123402</v>
      </c>
      <c r="AG4333">
        <v>-1.1241766615240001</v>
      </c>
      <c r="AH4333">
        <v>24.140297531288301</v>
      </c>
      <c r="AI4333">
        <v>92.542747772570905</v>
      </c>
      <c r="AJ4333">
        <v>107.519047680678</v>
      </c>
      <c r="AK4333">
        <v>25.339409090318501</v>
      </c>
      <c r="AL4333">
        <v>83.601079814814298</v>
      </c>
      <c r="AM4333">
        <v>101.675023274157</v>
      </c>
      <c r="AN4333">
        <v>0.99999997026006404</v>
      </c>
    </row>
    <row r="4334" spans="1:40" x14ac:dyDescent="0.25">
      <c r="A4334" t="str">
        <f>"20190303161957320"</f>
        <v>20190303161957320</v>
      </c>
      <c r="B4334" t="str">
        <f>"1551601197306573"</f>
        <v>1551601197306573</v>
      </c>
      <c r="C4334" t="s">
        <v>40</v>
      </c>
      <c r="D4334">
        <v>4.9188000000000001</v>
      </c>
      <c r="E4334">
        <v>0.4585071</v>
      </c>
      <c r="F4334" t="s">
        <v>41</v>
      </c>
      <c r="G4334">
        <v>-491.18770000000001</v>
      </c>
      <c r="H4334" s="1">
        <v>-1.570651E-6</v>
      </c>
      <c r="I4334">
        <v>242.5137</v>
      </c>
      <c r="J4334">
        <v>-489.75319999999999</v>
      </c>
      <c r="K4334">
        <v>1.1241730000000001</v>
      </c>
      <c r="L4334">
        <v>267.94040000000001</v>
      </c>
      <c r="M4334">
        <v>-0.35141139999999998</v>
      </c>
      <c r="N4334">
        <v>-1.377171E-2</v>
      </c>
      <c r="O4334">
        <v>-0.9361199</v>
      </c>
      <c r="P4334">
        <v>-0.156304</v>
      </c>
      <c r="Q4334">
        <v>9.9242720000000006E-2</v>
      </c>
      <c r="R4334">
        <v>-0.98271030000000004</v>
      </c>
      <c r="S4334">
        <v>-0.17456050000000001</v>
      </c>
      <c r="T4334">
        <v>-0.1338713</v>
      </c>
      <c r="U4334">
        <v>-3.0396730000000001</v>
      </c>
      <c r="V4334">
        <v>-0.19972970000000001</v>
      </c>
      <c r="W4334">
        <v>0.1114251</v>
      </c>
      <c r="X4334">
        <v>0.973495</v>
      </c>
      <c r="Y4334">
        <v>-0.29708129999999999</v>
      </c>
      <c r="Z4334">
        <v>2.5159709999999998E-2</v>
      </c>
      <c r="AA4334">
        <v>0.9545207</v>
      </c>
      <c r="AB4334">
        <v>14</v>
      </c>
      <c r="AC4334">
        <v>-1.4345000000000101</v>
      </c>
      <c r="AD4334">
        <v>-1.12417457065099</v>
      </c>
      <c r="AE4334">
        <v>-25.4267</v>
      </c>
      <c r="AF4334">
        <v>-7.5783213608659397</v>
      </c>
      <c r="AG4334">
        <v>-1.12417457065099</v>
      </c>
      <c r="AH4334">
        <v>24.261569196818201</v>
      </c>
      <c r="AI4334">
        <v>92.532437913705294</v>
      </c>
      <c r="AJ4334">
        <v>107.34666840145999</v>
      </c>
      <c r="AK4334">
        <v>25.442453950156899</v>
      </c>
      <c r="AL4334">
        <v>83.602527211025304</v>
      </c>
      <c r="AM4334">
        <v>101.594345210033</v>
      </c>
      <c r="AN4334">
        <v>1.00000001049854</v>
      </c>
    </row>
    <row r="4335" spans="1:40" x14ac:dyDescent="0.25">
      <c r="A4335" t="str">
        <f>"20190303161957337"</f>
        <v>20190303161957337</v>
      </c>
      <c r="B4335" t="str">
        <f>"1551601197326093"</f>
        <v>1551601197326093</v>
      </c>
      <c r="C4335" t="s">
        <v>40</v>
      </c>
      <c r="D4335">
        <v>4.7515970000000003</v>
      </c>
      <c r="E4335">
        <v>0.46984340000000002</v>
      </c>
      <c r="F4335" t="s">
        <v>41</v>
      </c>
      <c r="G4335">
        <v>-491.12759999999997</v>
      </c>
      <c r="H4335" s="1">
        <v>-1.5243379999999999E-6</v>
      </c>
      <c r="I4335">
        <v>242.44300000000001</v>
      </c>
      <c r="J4335">
        <v>-489.78579999999999</v>
      </c>
      <c r="K4335">
        <v>1.1241650000000001</v>
      </c>
      <c r="L4335">
        <v>267.83609999999999</v>
      </c>
      <c r="M4335">
        <v>-0.346518099999999</v>
      </c>
      <c r="N4335">
        <v>-1.376804E-2</v>
      </c>
      <c r="O4335">
        <v>-0.93794230000000001</v>
      </c>
      <c r="P4335">
        <v>-0.15170529999999999</v>
      </c>
      <c r="Q4335">
        <v>9.9297099999999999E-2</v>
      </c>
      <c r="R4335">
        <v>-0.98342529999999995</v>
      </c>
      <c r="S4335">
        <v>-0.16387939999999901</v>
      </c>
      <c r="T4335">
        <v>-0.1340441</v>
      </c>
      <c r="U4335">
        <v>-3.0402529999999999</v>
      </c>
      <c r="V4335">
        <v>-0.19919500000000001</v>
      </c>
      <c r="W4335">
        <v>0.1114848</v>
      </c>
      <c r="X4335">
        <v>0.97359770000000001</v>
      </c>
      <c r="Y4335">
        <v>-0.29544910000000002</v>
      </c>
      <c r="Z4335">
        <v>2.5328989999999999E-2</v>
      </c>
      <c r="AA4335">
        <v>0.95502260000000005</v>
      </c>
      <c r="AB4335">
        <v>14</v>
      </c>
      <c r="AC4335">
        <v>-1.3417999999999699</v>
      </c>
      <c r="AD4335">
        <v>-1.1241665243379999</v>
      </c>
      <c r="AE4335">
        <v>-25.3931</v>
      </c>
      <c r="AF4335">
        <v>-7.5266419149766897</v>
      </c>
      <c r="AG4335">
        <v>-1.1241665243379999</v>
      </c>
      <c r="AH4335">
        <v>24.2371513597869</v>
      </c>
      <c r="AI4335">
        <v>92.536274512917103</v>
      </c>
      <c r="AJ4335">
        <v>107.25173860194199</v>
      </c>
      <c r="AK4335">
        <v>25.4038106379327</v>
      </c>
      <c r="AL4335">
        <v>83.599085108284399</v>
      </c>
      <c r="AM4335">
        <v>101.562955975591</v>
      </c>
      <c r="AN4335">
        <v>0.99999999505066495</v>
      </c>
    </row>
    <row r="4336" spans="1:40" x14ac:dyDescent="0.25">
      <c r="A4336" t="str">
        <f>"20190303161957351"</f>
        <v>20190303161957351</v>
      </c>
      <c r="B4336" t="str">
        <f>"1551601197336830"</f>
        <v>1551601197336830</v>
      </c>
      <c r="C4336" t="s">
        <v>40</v>
      </c>
      <c r="D4336">
        <v>4.7508809999999997</v>
      </c>
      <c r="E4336">
        <v>0.47060469999999999</v>
      </c>
      <c r="F4336" t="s">
        <v>41</v>
      </c>
      <c r="G4336">
        <v>-492.6891</v>
      </c>
      <c r="H4336" s="1">
        <v>-1.237216E-6</v>
      </c>
      <c r="I4336">
        <v>230.80520000000001</v>
      </c>
      <c r="J4336">
        <v>-489.8116</v>
      </c>
      <c r="K4336">
        <v>1.1241540000000001</v>
      </c>
      <c r="L4336">
        <v>267.75209999999998</v>
      </c>
      <c r="M4336">
        <v>-0.34258100000000002</v>
      </c>
      <c r="N4336">
        <v>-1.37639999999999E-2</v>
      </c>
      <c r="O4336">
        <v>-0.93938759999999999</v>
      </c>
      <c r="P4336">
        <v>-0.14849409999999999</v>
      </c>
      <c r="Q4336">
        <v>9.9037319999999998E-2</v>
      </c>
      <c r="R4336">
        <v>-0.98394190000000004</v>
      </c>
      <c r="S4336">
        <v>-0.23702999999999999</v>
      </c>
      <c r="T4336">
        <v>-9.177768E-2</v>
      </c>
      <c r="U4336">
        <v>-3.0232239999999999</v>
      </c>
      <c r="V4336">
        <v>-0.19829379999999999</v>
      </c>
      <c r="W4336">
        <v>0.1112322</v>
      </c>
      <c r="X4336">
        <v>0.97381059999999997</v>
      </c>
      <c r="Y4336">
        <v>-0.26805420000000002</v>
      </c>
      <c r="Z4336">
        <v>1.3433830000000001E-2</v>
      </c>
      <c r="AA4336">
        <v>0.96331020000000001</v>
      </c>
      <c r="AB4336">
        <v>14</v>
      </c>
      <c r="AC4336">
        <v>-2.8774999999999902</v>
      </c>
      <c r="AD4336">
        <v>-1.124155237216</v>
      </c>
      <c r="AE4336">
        <v>-36.9468999999999</v>
      </c>
      <c r="AF4336">
        <v>-9.9460078454925593</v>
      </c>
      <c r="AG4336">
        <v>-1.124155237216</v>
      </c>
      <c r="AH4336">
        <v>35.663796602024703</v>
      </c>
      <c r="AI4336">
        <v>91.739096996450201</v>
      </c>
      <c r="AJ4336">
        <v>105.582854712648</v>
      </c>
      <c r="AK4336">
        <v>37.041776214573602</v>
      </c>
      <c r="AL4336">
        <v>83.613649013318906</v>
      </c>
      <c r="AM4336">
        <v>101.509592717839</v>
      </c>
      <c r="AN4336">
        <v>1.0000000590538101</v>
      </c>
    </row>
    <row r="4337" spans="1:40" x14ac:dyDescent="0.25">
      <c r="A4337" t="str">
        <f>"20190303161957364"</f>
        <v>20190303161957364</v>
      </c>
      <c r="B4337" t="str">
        <f>"1551601197356350"</f>
        <v>1551601197356350</v>
      </c>
      <c r="C4337" t="s">
        <v>40</v>
      </c>
      <c r="D4337">
        <v>4.9214469999999997</v>
      </c>
      <c r="E4337">
        <v>0.47126440000000003</v>
      </c>
      <c r="F4337" t="s">
        <v>41</v>
      </c>
      <c r="G4337">
        <v>-492.45679999999999</v>
      </c>
      <c r="H4337" s="1">
        <v>-2.3374030000000001E-6</v>
      </c>
      <c r="I4337">
        <v>233.51390000000001</v>
      </c>
      <c r="J4337">
        <v>-489.83440000000002</v>
      </c>
      <c r="K4337">
        <v>1.1241479999999999</v>
      </c>
      <c r="L4337">
        <v>267.67700000000002</v>
      </c>
      <c r="M4337">
        <v>-0.33905380000000002</v>
      </c>
      <c r="N4337">
        <v>-1.3759209999999999E-2</v>
      </c>
      <c r="O4337">
        <v>-0.94066640000000001</v>
      </c>
      <c r="P4337">
        <v>-0.14544279999999901</v>
      </c>
      <c r="Q4337">
        <v>9.8771339999999999E-2</v>
      </c>
      <c r="R4337">
        <v>-0.98442399999999997</v>
      </c>
      <c r="S4337">
        <v>-0.23361209999999999</v>
      </c>
      <c r="T4337">
        <v>-9.9277500000000005E-2</v>
      </c>
      <c r="U4337">
        <v>-3.023682</v>
      </c>
      <c r="V4337">
        <v>-0.1976639</v>
      </c>
      <c r="W4337">
        <v>0.1109702</v>
      </c>
      <c r="X4337">
        <v>0.97396839999999996</v>
      </c>
      <c r="Y4337">
        <v>-0.26553070000000001</v>
      </c>
      <c r="Z4337">
        <v>1.570978E-2</v>
      </c>
      <c r="AA4337">
        <v>0.96397440000000001</v>
      </c>
      <c r="AB4337">
        <v>14</v>
      </c>
      <c r="AC4337">
        <v>-2.6223999999999701</v>
      </c>
      <c r="AD4337">
        <v>-1.124150337403</v>
      </c>
      <c r="AE4337">
        <v>-34.1631</v>
      </c>
      <c r="AF4337">
        <v>-9.1073846437766193</v>
      </c>
      <c r="AG4337">
        <v>-1.124150337403</v>
      </c>
      <c r="AH4337">
        <v>32.992826119923997</v>
      </c>
      <c r="AI4337">
        <v>91.8811575073765</v>
      </c>
      <c r="AJ4337">
        <v>105.43170712092</v>
      </c>
      <c r="AK4337">
        <v>34.2452149126024</v>
      </c>
      <c r="AL4337">
        <v>83.628753152611495</v>
      </c>
      <c r="AM4337">
        <v>101.47219282051</v>
      </c>
      <c r="AN4337">
        <v>0.99999992342490196</v>
      </c>
    </row>
    <row r="4338" spans="1:40" x14ac:dyDescent="0.25">
      <c r="A4338" t="str">
        <f>"20190303161957374"</f>
        <v>20190303161957374</v>
      </c>
      <c r="B4338" t="str">
        <f>"1551601197366111"</f>
        <v>1551601197366111</v>
      </c>
      <c r="C4338" t="s">
        <v>40</v>
      </c>
      <c r="D4338">
        <v>4.7712409999999998</v>
      </c>
      <c r="E4338">
        <v>0.47154649999999998</v>
      </c>
      <c r="F4338" t="s">
        <v>41</v>
      </c>
      <c r="G4338">
        <v>-492.35939999999999</v>
      </c>
      <c r="H4338" s="1">
        <v>-2.7097660000000002E-6</v>
      </c>
      <c r="I4338">
        <v>234.44220000000001</v>
      </c>
      <c r="J4338">
        <v>-489.85390000000001</v>
      </c>
      <c r="K4338">
        <v>1.124139</v>
      </c>
      <c r="L4338">
        <v>267.61149999999998</v>
      </c>
      <c r="M4338">
        <v>-0.33598</v>
      </c>
      <c r="N4338">
        <v>-1.37526E-2</v>
      </c>
      <c r="O4338">
        <v>-0.94176890000000002</v>
      </c>
      <c r="P4338">
        <v>-0.14264070000000001</v>
      </c>
      <c r="Q4338">
        <v>9.8612060000000001E-2</v>
      </c>
      <c r="R4338">
        <v>-0.98485020000000001</v>
      </c>
      <c r="S4338">
        <v>-0.2297363</v>
      </c>
      <c r="T4338">
        <v>-0.1022768</v>
      </c>
      <c r="U4338">
        <v>-3.0237430000000001</v>
      </c>
      <c r="V4338">
        <v>-0.1972574</v>
      </c>
      <c r="W4338">
        <v>0.11081050000000001</v>
      </c>
      <c r="X4338">
        <v>0.97406910000000002</v>
      </c>
      <c r="Y4338">
        <v>-0.2636114</v>
      </c>
      <c r="Z4338">
        <v>1.666051E-2</v>
      </c>
      <c r="AA4338">
        <v>0.96448500000000004</v>
      </c>
      <c r="AB4338">
        <v>14</v>
      </c>
      <c r="AC4338">
        <v>-2.5054999999999801</v>
      </c>
      <c r="AD4338">
        <v>-1.124141709766</v>
      </c>
      <c r="AE4338">
        <v>-33.1692999999999</v>
      </c>
      <c r="AF4338">
        <v>-8.7754264405846794</v>
      </c>
      <c r="AG4338">
        <v>-1.124141709766</v>
      </c>
      <c r="AH4338">
        <v>32.046042150567601</v>
      </c>
      <c r="AI4338">
        <v>91.937768985056394</v>
      </c>
      <c r="AJ4338">
        <v>105.31434003398</v>
      </c>
      <c r="AK4338">
        <v>33.244858569614998</v>
      </c>
      <c r="AL4338">
        <v>83.637960753559796</v>
      </c>
      <c r="AM4338">
        <v>101.44807130650899</v>
      </c>
      <c r="AN4338">
        <v>1.0000000301698999</v>
      </c>
    </row>
    <row r="4339" spans="1:40" x14ac:dyDescent="0.25">
      <c r="A4339" t="str">
        <f>"20190303161957387"</f>
        <v>20190303161957387</v>
      </c>
      <c r="B4339" t="str">
        <f>"1551601197376846"</f>
        <v>1551601197376846</v>
      </c>
      <c r="C4339" t="s">
        <v>40</v>
      </c>
      <c r="D4339">
        <v>4.7312450000000004</v>
      </c>
      <c r="E4339">
        <v>0.47178239999999999</v>
      </c>
      <c r="F4339" t="s">
        <v>41</v>
      </c>
      <c r="G4339">
        <v>-492.2441</v>
      </c>
      <c r="H4339" s="1">
        <v>-3.0075009999999998E-6</v>
      </c>
      <c r="I4339">
        <v>235.20779999999999</v>
      </c>
      <c r="J4339">
        <v>-489.87540000000001</v>
      </c>
      <c r="K4339">
        <v>1.1241319999999999</v>
      </c>
      <c r="L4339">
        <v>267.53859999999997</v>
      </c>
      <c r="M4339">
        <v>-0.33255879999999999</v>
      </c>
      <c r="N4339">
        <v>-1.374467E-2</v>
      </c>
      <c r="O4339">
        <v>-0.9429824</v>
      </c>
      <c r="P4339">
        <v>-0.13963800000000001</v>
      </c>
      <c r="Q4339">
        <v>9.8419229999999996E-2</v>
      </c>
      <c r="R4339">
        <v>-0.98529929999999999</v>
      </c>
      <c r="S4339">
        <v>-0.22308349999999999</v>
      </c>
      <c r="T4339">
        <v>-0.1049182</v>
      </c>
      <c r="U4339">
        <v>-3.024292</v>
      </c>
      <c r="V4339">
        <v>-0.19669349999999999</v>
      </c>
      <c r="W4339">
        <v>0.1106176</v>
      </c>
      <c r="X4339">
        <v>0.97420499999999999</v>
      </c>
      <c r="Y4339">
        <v>-0.26223229999999997</v>
      </c>
      <c r="Z4339">
        <v>1.7507109999999999E-2</v>
      </c>
      <c r="AA4339">
        <v>0.96484599999999998</v>
      </c>
      <c r="AB4339">
        <v>14</v>
      </c>
      <c r="AC4339">
        <v>-2.3686999999999898</v>
      </c>
      <c r="AD4339">
        <v>-1.1241350075009999</v>
      </c>
      <c r="AE4339">
        <v>-32.330799999999897</v>
      </c>
      <c r="AF4339">
        <v>-8.5088223196706299</v>
      </c>
      <c r="AG4339">
        <v>-1.1241350075009999</v>
      </c>
      <c r="AH4339">
        <v>31.240494608686198</v>
      </c>
      <c r="AI4339">
        <v>91.988427247797702</v>
      </c>
      <c r="AJ4339">
        <v>105.235805777191</v>
      </c>
      <c r="AK4339">
        <v>32.398028337819603</v>
      </c>
      <c r="AL4339">
        <v>83.649081182783505</v>
      </c>
      <c r="AM4339">
        <v>101.414654464157</v>
      </c>
      <c r="AN4339">
        <v>0.999999984198504</v>
      </c>
    </row>
    <row r="4340" spans="1:40" x14ac:dyDescent="0.25">
      <c r="A4340" t="str">
        <f>"20190303161957400"</f>
        <v>20190303161957400</v>
      </c>
      <c r="B4340" t="str">
        <f>"1551601197386606"</f>
        <v>1551601197386606</v>
      </c>
      <c r="C4340" t="s">
        <v>40</v>
      </c>
      <c r="D4340">
        <v>4.7444269999999999</v>
      </c>
      <c r="E4340">
        <v>0.47207339999999998</v>
      </c>
      <c r="F4340" t="s">
        <v>41</v>
      </c>
      <c r="G4340">
        <v>-492.17759999999998</v>
      </c>
      <c r="H4340" s="1">
        <v>-3.0222160000000001E-6</v>
      </c>
      <c r="I4340">
        <v>235.2834</v>
      </c>
      <c r="J4340">
        <v>-489.899</v>
      </c>
      <c r="K4340">
        <v>1.124125</v>
      </c>
      <c r="L4340">
        <v>267.45800000000003</v>
      </c>
      <c r="M4340">
        <v>-0.32877050000000002</v>
      </c>
      <c r="N4340">
        <v>-1.373422E-2</v>
      </c>
      <c r="O4340">
        <v>-0.94430990000000004</v>
      </c>
      <c r="P4340">
        <v>-0.13618720000000001</v>
      </c>
      <c r="Q4340">
        <v>9.8261660000000001E-2</v>
      </c>
      <c r="R4340">
        <v>-0.98579819999999996</v>
      </c>
      <c r="S4340">
        <v>-0.2158813</v>
      </c>
      <c r="T4340">
        <v>-0.10541300000000001</v>
      </c>
      <c r="U4340">
        <v>-3.0246580000000001</v>
      </c>
      <c r="V4340">
        <v>-0.1961958</v>
      </c>
      <c r="W4340">
        <v>0.110457</v>
      </c>
      <c r="X4340">
        <v>0.97432359999999896</v>
      </c>
      <c r="Y4340">
        <v>-0.26065250000000001</v>
      </c>
      <c r="Z4340">
        <v>1.773112E-2</v>
      </c>
      <c r="AA4340">
        <v>0.96526990000000001</v>
      </c>
      <c r="AB4340">
        <v>14</v>
      </c>
      <c r="AC4340">
        <v>-2.27859999999998</v>
      </c>
      <c r="AD4340">
        <v>-1.1241280222159999</v>
      </c>
      <c r="AE4340">
        <v>-32.174599999999899</v>
      </c>
      <c r="AF4340">
        <v>-8.4169270486320205</v>
      </c>
      <c r="AG4340">
        <v>-1.1241280222159999</v>
      </c>
      <c r="AH4340">
        <v>31.097098122521</v>
      </c>
      <c r="AI4340">
        <v>91.998434362101406</v>
      </c>
      <c r="AJ4340">
        <v>105.145135178166</v>
      </c>
      <c r="AK4340">
        <v>32.235660942410099</v>
      </c>
      <c r="AL4340">
        <v>83.658339779954602</v>
      </c>
      <c r="AM4340">
        <v>101.385177170609</v>
      </c>
      <c r="AN4340">
        <v>1.00000000915179</v>
      </c>
    </row>
    <row r="4341" spans="1:40" x14ac:dyDescent="0.25">
      <c r="A4341" t="str">
        <f>"20190303161957412"</f>
        <v>20190303161957412</v>
      </c>
      <c r="B4341" t="str">
        <f>"1551601197407101"</f>
        <v>1551601197407101</v>
      </c>
      <c r="C4341" t="s">
        <v>40</v>
      </c>
      <c r="D4341">
        <v>4.7441199999999997</v>
      </c>
      <c r="E4341">
        <v>0.47293540000000001</v>
      </c>
      <c r="F4341" t="s">
        <v>41</v>
      </c>
      <c r="G4341">
        <v>-492.11009999999999</v>
      </c>
      <c r="H4341" s="1">
        <v>-2.9709760000000002E-6</v>
      </c>
      <c r="I4341">
        <v>235.20570000000001</v>
      </c>
      <c r="J4341">
        <v>-489.91980000000001</v>
      </c>
      <c r="K4341">
        <v>1.124115</v>
      </c>
      <c r="L4341">
        <v>267.3852</v>
      </c>
      <c r="M4341">
        <v>-0.32534940000000001</v>
      </c>
      <c r="N4341">
        <v>-1.372465E-2</v>
      </c>
      <c r="O4341">
        <v>-0.94549439999999996</v>
      </c>
      <c r="P4341">
        <v>-0.13308729999999999</v>
      </c>
      <c r="Q4341">
        <v>9.8096710000000004E-2</v>
      </c>
      <c r="R4341">
        <v>-0.98623780000000005</v>
      </c>
      <c r="S4341">
        <v>-0.20739750000000001</v>
      </c>
      <c r="T4341">
        <v>-0.105437</v>
      </c>
      <c r="U4341">
        <v>-3.0250849999999998</v>
      </c>
      <c r="V4341">
        <v>-0.19573399999999999</v>
      </c>
      <c r="W4341">
        <v>0.1102892</v>
      </c>
      <c r="X4341">
        <v>0.97443550000000001</v>
      </c>
      <c r="Y4341">
        <v>-0.25986110000000001</v>
      </c>
      <c r="Z4341">
        <v>1.78029E-2</v>
      </c>
      <c r="AA4341">
        <v>0.9654819</v>
      </c>
      <c r="AB4341">
        <v>14</v>
      </c>
      <c r="AC4341">
        <v>-2.1902999999999802</v>
      </c>
      <c r="AD4341">
        <v>-1.1241179709760001</v>
      </c>
      <c r="AE4341">
        <v>-32.179499999999898</v>
      </c>
      <c r="AF4341">
        <v>-8.3892644937487795</v>
      </c>
      <c r="AG4341">
        <v>-1.1241179709760001</v>
      </c>
      <c r="AH4341">
        <v>31.103298706702599</v>
      </c>
      <c r="AI4341">
        <v>91.998492722311099</v>
      </c>
      <c r="AJ4341">
        <v>105.094763432831</v>
      </c>
      <c r="AK4341">
        <v>32.234431752353103</v>
      </c>
      <c r="AL4341">
        <v>83.668013214503503</v>
      </c>
      <c r="AM4341">
        <v>101.357806025459</v>
      </c>
      <c r="AN4341">
        <v>1.00000002502644</v>
      </c>
    </row>
    <row r="4342" spans="1:40" x14ac:dyDescent="0.25">
      <c r="A4342" t="str">
        <f>"20190303161957425"</f>
        <v>20190303161957425</v>
      </c>
      <c r="B4342" t="str">
        <f>"1551601197416861"</f>
        <v>1551601197416861</v>
      </c>
      <c r="C4342" t="s">
        <v>40</v>
      </c>
      <c r="D4342">
        <v>4.8681400000000004</v>
      </c>
      <c r="E4342">
        <v>0.47329749999999998</v>
      </c>
      <c r="F4342" t="s">
        <v>41</v>
      </c>
      <c r="G4342">
        <v>-492.16300000000001</v>
      </c>
      <c r="H4342" s="1">
        <v>-2.5705059999999999E-6</v>
      </c>
      <c r="I4342">
        <v>234.23949999999999</v>
      </c>
      <c r="J4342">
        <v>-489.94170000000003</v>
      </c>
      <c r="K4342">
        <v>1.124107</v>
      </c>
      <c r="L4342">
        <v>267.3082</v>
      </c>
      <c r="M4342">
        <v>-0.32173059999999998</v>
      </c>
      <c r="N4342">
        <v>-1.3714540000000001E-2</v>
      </c>
      <c r="O4342">
        <v>-0.94673200000000002</v>
      </c>
      <c r="P4342">
        <v>-0.129858</v>
      </c>
      <c r="Q4342">
        <v>9.7922850000000006E-2</v>
      </c>
      <c r="R4342">
        <v>-0.98668549999999999</v>
      </c>
      <c r="S4342">
        <v>-0.20468140000000001</v>
      </c>
      <c r="T4342">
        <v>-0.10257239999999999</v>
      </c>
      <c r="U4342">
        <v>-3.0244450000000001</v>
      </c>
      <c r="V4342">
        <v>-0.19519829999999999</v>
      </c>
      <c r="W4342">
        <v>0.1101129</v>
      </c>
      <c r="X4342">
        <v>0.97456290000000001</v>
      </c>
      <c r="Y4342">
        <v>-0.25701760000000001</v>
      </c>
      <c r="Z4342">
        <v>1.7040110000000001E-2</v>
      </c>
      <c r="AA4342">
        <v>0.96625649999999996</v>
      </c>
      <c r="AB4342">
        <v>14</v>
      </c>
      <c r="AC4342">
        <v>-2.2212999999999798</v>
      </c>
      <c r="AD4342">
        <v>-1.124109570506</v>
      </c>
      <c r="AE4342">
        <v>-33.0687</v>
      </c>
      <c r="AF4342">
        <v>-8.52722991817358</v>
      </c>
      <c r="AG4342">
        <v>-1.124109570506</v>
      </c>
      <c r="AH4342">
        <v>31.988068912847499</v>
      </c>
      <c r="AI4342">
        <v>91.944773542933206</v>
      </c>
      <c r="AJ4342">
        <v>104.92653111309799</v>
      </c>
      <c r="AK4342">
        <v>33.1242181066509</v>
      </c>
      <c r="AL4342">
        <v>83.678176433929195</v>
      </c>
      <c r="AM4342">
        <v>101.326083330711</v>
      </c>
      <c r="AN4342">
        <v>1.0000000365628501</v>
      </c>
    </row>
    <row r="4343" spans="1:40" x14ac:dyDescent="0.25">
      <c r="A4343" t="str">
        <f>"20190303161957441"</f>
        <v>20190303161957441</v>
      </c>
      <c r="B4343" t="str">
        <f>"1551601197437357"</f>
        <v>1551601197437357</v>
      </c>
      <c r="C4343" t="s">
        <v>40</v>
      </c>
      <c r="D4343">
        <v>4.8624869999999998</v>
      </c>
      <c r="E4343">
        <v>0.47405510000000001</v>
      </c>
      <c r="F4343" t="s">
        <v>41</v>
      </c>
      <c r="G4343">
        <v>-492.13839999999999</v>
      </c>
      <c r="H4343" s="1">
        <v>-2.2763219999999999E-6</v>
      </c>
      <c r="I4343">
        <v>233.56899999999999</v>
      </c>
      <c r="J4343">
        <v>-489.96800000000002</v>
      </c>
      <c r="K4343">
        <v>1.1241030000000001</v>
      </c>
      <c r="L4343">
        <v>267.2133</v>
      </c>
      <c r="M4343">
        <v>-0.31727149999999998</v>
      </c>
      <c r="N4343">
        <v>-1.370294E-2</v>
      </c>
      <c r="O4343">
        <v>-0.94823599999999997</v>
      </c>
      <c r="P4343">
        <v>-0.12595680000000001</v>
      </c>
      <c r="Q4343">
        <v>9.7432969999999994E-2</v>
      </c>
      <c r="R4343">
        <v>-0.98723959999999999</v>
      </c>
      <c r="S4343">
        <v>-0.19692989999999999</v>
      </c>
      <c r="T4343">
        <v>-0.1007724</v>
      </c>
      <c r="U4343">
        <v>-3.024597</v>
      </c>
      <c r="V4343">
        <v>-0.1944737</v>
      </c>
      <c r="W4343">
        <v>0.10962139999999999</v>
      </c>
      <c r="X4343">
        <v>0.97476309999999999</v>
      </c>
      <c r="Y4343">
        <v>-0.25493909999999997</v>
      </c>
      <c r="Z4343">
        <v>1.659157E-2</v>
      </c>
      <c r="AA4343">
        <v>0.96681479999999997</v>
      </c>
      <c r="AB4343">
        <v>14</v>
      </c>
      <c r="AC4343">
        <v>-2.1703999999999701</v>
      </c>
      <c r="AD4343">
        <v>-1.1241052763220001</v>
      </c>
      <c r="AE4343">
        <v>-33.644299999999902</v>
      </c>
      <c r="AF4343">
        <v>-8.60756405055829</v>
      </c>
      <c r="AG4343">
        <v>-1.1241052763220001</v>
      </c>
      <c r="AH4343">
        <v>32.558199926523898</v>
      </c>
      <c r="AI4343">
        <v>91.911778822628804</v>
      </c>
      <c r="AJ4343">
        <v>104.808745218987</v>
      </c>
      <c r="AK4343">
        <v>33.695550952792303</v>
      </c>
      <c r="AL4343">
        <v>83.706508507075398</v>
      </c>
      <c r="AM4343">
        <v>101.282862104118</v>
      </c>
      <c r="AN4343">
        <v>0.99999998622562902</v>
      </c>
    </row>
    <row r="4344" spans="1:40" x14ac:dyDescent="0.25">
      <c r="A4344" t="str">
        <f>"20190303161957455"</f>
        <v>20190303161957455</v>
      </c>
      <c r="B4344" t="str">
        <f>"1551601197447119"</f>
        <v>1551601197447119</v>
      </c>
      <c r="C4344" t="s">
        <v>40</v>
      </c>
      <c r="D4344">
        <v>4.914587</v>
      </c>
      <c r="E4344">
        <v>0.47405510000000001</v>
      </c>
      <c r="F4344" t="s">
        <v>41</v>
      </c>
      <c r="G4344">
        <v>-492.1429</v>
      </c>
      <c r="H4344" s="1">
        <v>-1.9243689999999999E-6</v>
      </c>
      <c r="I4344">
        <v>232.7457</v>
      </c>
      <c r="J4344">
        <v>-489.99</v>
      </c>
      <c r="K4344">
        <v>1.1240939999999999</v>
      </c>
      <c r="L4344">
        <v>267.13290000000001</v>
      </c>
      <c r="M4344">
        <v>-0.31349359999999998</v>
      </c>
      <c r="N4344">
        <v>-1.3691979999999999E-2</v>
      </c>
      <c r="O4344">
        <v>-0.94949170000000005</v>
      </c>
      <c r="P4344">
        <v>-0.122445899999999</v>
      </c>
      <c r="Q4344">
        <v>9.6925020000000001E-2</v>
      </c>
      <c r="R4344">
        <v>-0.98773120000000003</v>
      </c>
      <c r="S4344">
        <v>-0.19082640000000001</v>
      </c>
      <c r="T4344">
        <v>-9.8627569999999998E-2</v>
      </c>
      <c r="U4344">
        <v>-3.0241389999999999</v>
      </c>
      <c r="V4344">
        <v>-0.19406909999999999</v>
      </c>
      <c r="W4344">
        <v>0.1091095</v>
      </c>
      <c r="X4344">
        <v>0.97490120000000002</v>
      </c>
      <c r="Y4344">
        <v>-0.25302409999999997</v>
      </c>
      <c r="Z4344">
        <v>1.6030340000000001E-2</v>
      </c>
      <c r="AA4344">
        <v>0.96732720000000005</v>
      </c>
      <c r="AB4344">
        <v>14</v>
      </c>
      <c r="AC4344">
        <v>-2.1528999999999798</v>
      </c>
      <c r="AD4344">
        <v>-1.1240959243690001</v>
      </c>
      <c r="AE4344">
        <v>-34.3872</v>
      </c>
      <c r="AF4344">
        <v>-8.7275347847296096</v>
      </c>
      <c r="AG4344">
        <v>-1.1240959243690001</v>
      </c>
      <c r="AH4344">
        <v>33.292964494093503</v>
      </c>
      <c r="AI4344">
        <v>91.870627779777394</v>
      </c>
      <c r="AJ4344">
        <v>104.68919390593901</v>
      </c>
      <c r="AK4344">
        <v>34.436244566892299</v>
      </c>
      <c r="AL4344">
        <v>83.736015448691901</v>
      </c>
      <c r="AM4344">
        <v>101.258434309883</v>
      </c>
      <c r="AN4344">
        <v>1.0000000241632401</v>
      </c>
    </row>
    <row r="4345" spans="1:40" x14ac:dyDescent="0.25">
      <c r="A4345" t="str">
        <f>"20190303161957468"</f>
        <v>20190303161957468</v>
      </c>
      <c r="B4345" t="str">
        <f>"1551601197456878"</f>
        <v>1551601197456878</v>
      </c>
      <c r="C4345" t="s">
        <v>40</v>
      </c>
      <c r="D4345">
        <v>4.9016140000000004</v>
      </c>
      <c r="E4345">
        <v>0.47558699999999998</v>
      </c>
      <c r="F4345" t="s">
        <v>41</v>
      </c>
      <c r="G4345">
        <v>-492.01400000000001</v>
      </c>
      <c r="H4345" s="1">
        <v>-2.0774810000000001E-6</v>
      </c>
      <c r="I4345">
        <v>233.18260000000001</v>
      </c>
      <c r="J4345">
        <v>-490.01130000000001</v>
      </c>
      <c r="K4345">
        <v>1.1240829999999999</v>
      </c>
      <c r="L4345">
        <v>267.05399999999997</v>
      </c>
      <c r="M4345">
        <v>-0.30977959999999999</v>
      </c>
      <c r="N4345">
        <v>-1.368013E-2</v>
      </c>
      <c r="O4345">
        <v>-0.95071019999999995</v>
      </c>
      <c r="P4345">
        <v>-0.1188472</v>
      </c>
      <c r="Q4345">
        <v>9.6389900000000001E-2</v>
      </c>
      <c r="R4345">
        <v>-0.98822330000000003</v>
      </c>
      <c r="S4345">
        <v>-0.1803284</v>
      </c>
      <c r="T4345">
        <v>-0.1001495</v>
      </c>
      <c r="U4345">
        <v>-3.02475</v>
      </c>
      <c r="V4345">
        <v>-0.1938204</v>
      </c>
      <c r="W4345">
        <v>0.1085687</v>
      </c>
      <c r="X4345">
        <v>0.97501110000000002</v>
      </c>
      <c r="Y4345">
        <v>-0.25259900000000002</v>
      </c>
      <c r="Z4345">
        <v>1.6547679999999999E-2</v>
      </c>
      <c r="AA4345">
        <v>0.96742950000000005</v>
      </c>
      <c r="AB4345">
        <v>14</v>
      </c>
      <c r="AC4345">
        <v>-2.0026999999999999</v>
      </c>
      <c r="AD4345">
        <v>-1.1240850774809901</v>
      </c>
      <c r="AE4345">
        <v>-33.871400000000001</v>
      </c>
      <c r="AF4345">
        <v>-8.5800664748747302</v>
      </c>
      <c r="AG4345">
        <v>-1.1240850774809901</v>
      </c>
      <c r="AH4345">
        <v>32.789358400910501</v>
      </c>
      <c r="AI4345">
        <v>91.899538445185499</v>
      </c>
      <c r="AJ4345">
        <v>104.66392772864999</v>
      </c>
      <c r="AK4345">
        <v>33.911990981333503</v>
      </c>
      <c r="AL4345">
        <v>83.7671865137455</v>
      </c>
      <c r="AM4345">
        <v>101.243139294619</v>
      </c>
      <c r="AN4345">
        <v>1.0000000775995199</v>
      </c>
    </row>
    <row r="4346" spans="1:40" x14ac:dyDescent="0.25">
      <c r="A4346" t="str">
        <f>"20190303161957483"</f>
        <v>20190303161957483</v>
      </c>
      <c r="B4346" t="str">
        <f>"1551601197477373"</f>
        <v>1551601197477373</v>
      </c>
      <c r="C4346" t="s">
        <v>40</v>
      </c>
      <c r="D4346">
        <v>4.8206639999999998</v>
      </c>
      <c r="E4346">
        <v>0.53209510000000004</v>
      </c>
      <c r="F4346" t="s">
        <v>41</v>
      </c>
      <c r="G4346">
        <v>-491.87900000000002</v>
      </c>
      <c r="H4346" s="1">
        <v>-3.2483549999999999E-6</v>
      </c>
      <c r="I4346">
        <v>235.9957</v>
      </c>
      <c r="J4346">
        <v>-490.03469999999999</v>
      </c>
      <c r="K4346">
        <v>1.1240749999999999</v>
      </c>
      <c r="L4346">
        <v>266.9658</v>
      </c>
      <c r="M4346">
        <v>-0.30563089999999998</v>
      </c>
      <c r="N4346">
        <v>-1.3664610000000001E-2</v>
      </c>
      <c r="O4346">
        <v>-0.95205220000000002</v>
      </c>
      <c r="P4346">
        <v>-0.1149444</v>
      </c>
      <c r="Q4346">
        <v>9.5697130000000005E-2</v>
      </c>
      <c r="R4346">
        <v>-0.98875179999999996</v>
      </c>
      <c r="S4346">
        <v>-0.18188480000000001</v>
      </c>
      <c r="T4346">
        <v>-0.1094675</v>
      </c>
      <c r="U4346">
        <v>-3.0245669999999998</v>
      </c>
      <c r="V4346">
        <v>-0.1934321</v>
      </c>
      <c r="W4346">
        <v>0.10786759999999999</v>
      </c>
      <c r="X4346">
        <v>0.97516599999999998</v>
      </c>
      <c r="Y4346">
        <v>-0.2478765</v>
      </c>
      <c r="Z4346">
        <v>1.9456109999999999E-2</v>
      </c>
      <c r="AA4346">
        <v>0.96859629999999997</v>
      </c>
      <c r="AB4346">
        <v>14</v>
      </c>
      <c r="AC4346">
        <v>-1.84430000000003</v>
      </c>
      <c r="AD4346">
        <v>-1.124078248355</v>
      </c>
      <c r="AE4346">
        <v>-30.970099999999999</v>
      </c>
      <c r="AF4346">
        <v>-7.7001600298201698</v>
      </c>
      <c r="AG4346">
        <v>-1.124078248355</v>
      </c>
      <c r="AH4346">
        <v>30.0122297664421</v>
      </c>
      <c r="AI4346">
        <v>92.077720681765001</v>
      </c>
      <c r="AJ4346">
        <v>104.389842981618</v>
      </c>
      <c r="AK4346">
        <v>31.004676291601299</v>
      </c>
      <c r="AL4346">
        <v>83.807593791083605</v>
      </c>
      <c r="AM4346">
        <v>101.21944968332301</v>
      </c>
      <c r="AN4346">
        <v>1.00000006199808</v>
      </c>
    </row>
    <row r="4347" spans="1:40" x14ac:dyDescent="0.25">
      <c r="A4347" t="str">
        <f>"20190303161957497"</f>
        <v>20190303161957497</v>
      </c>
      <c r="B4347" t="str">
        <f>"1551601197487133"</f>
        <v>1551601197487133</v>
      </c>
      <c r="C4347" t="s">
        <v>40</v>
      </c>
      <c r="D4347">
        <v>4.7452269999999999</v>
      </c>
      <c r="E4347">
        <v>0.54037959999999996</v>
      </c>
      <c r="F4347" t="s">
        <v>41</v>
      </c>
      <c r="G4347">
        <v>-491.49369999999999</v>
      </c>
      <c r="H4347" s="1">
        <v>-5.9509819999999996E-7</v>
      </c>
      <c r="I4347">
        <v>260.04989999999998</v>
      </c>
      <c r="J4347">
        <v>-490.05650000000003</v>
      </c>
      <c r="K4347">
        <v>1.1240619999999999</v>
      </c>
      <c r="L4347">
        <v>266.88200000000001</v>
      </c>
      <c r="M4347">
        <v>-0.30168139999999999</v>
      </c>
      <c r="N4347">
        <v>-1.36483E-2</v>
      </c>
      <c r="O4347">
        <v>-0.95331100000000002</v>
      </c>
      <c r="P4347">
        <v>-0.1110048</v>
      </c>
      <c r="Q4347">
        <v>9.5060699999999998E-2</v>
      </c>
      <c r="R4347">
        <v>-0.98926309999999995</v>
      </c>
      <c r="S4347">
        <v>-0.63452149999999996</v>
      </c>
      <c r="T4347">
        <v>-0.4888517</v>
      </c>
      <c r="U4347">
        <v>-3.0076900000000002</v>
      </c>
      <c r="V4347">
        <v>-0.19328670000000001</v>
      </c>
      <c r="W4347">
        <v>0.10722</v>
      </c>
      <c r="X4347">
        <v>0.97526619999999997</v>
      </c>
      <c r="Y4347">
        <v>-0.1002458</v>
      </c>
      <c r="Z4347">
        <v>0.13435449999999999</v>
      </c>
      <c r="AA4347">
        <v>0.98584970000000005</v>
      </c>
      <c r="AB4347">
        <v>14</v>
      </c>
      <c r="AC4347">
        <v>-1.4371999999999601</v>
      </c>
      <c r="AD4347">
        <v>-1.1240625950981999</v>
      </c>
      <c r="AE4347">
        <v>-6.83210000000002</v>
      </c>
      <c r="AF4347">
        <v>-0.67362177511695398</v>
      </c>
      <c r="AG4347">
        <v>-1.1240625950981999</v>
      </c>
      <c r="AH4347">
        <v>6.7718020935456202</v>
      </c>
      <c r="AI4347">
        <v>99.379225888011206</v>
      </c>
      <c r="AJ4347">
        <v>95.680782003125401</v>
      </c>
      <c r="AK4347">
        <v>6.8974333347818204</v>
      </c>
      <c r="AL4347">
        <v>83.844914719476293</v>
      </c>
      <c r="AM4347">
        <v>101.210107211134</v>
      </c>
      <c r="AN4347">
        <v>1.0000000188296601</v>
      </c>
    </row>
    <row r="4348" spans="1:40" x14ac:dyDescent="0.25">
      <c r="A4348" t="str">
        <f>"20190303161957512"</f>
        <v>20190303161957512</v>
      </c>
      <c r="B4348" t="str">
        <f>"1551601197496894"</f>
        <v>1551601197496894</v>
      </c>
      <c r="C4348" t="s">
        <v>40</v>
      </c>
      <c r="D4348">
        <v>4.7523920000000004</v>
      </c>
      <c r="E4348">
        <v>0.54344910000000002</v>
      </c>
      <c r="F4348" t="s">
        <v>42</v>
      </c>
      <c r="G4348">
        <v>-490.22500000000002</v>
      </c>
      <c r="H4348">
        <v>0.98299250000000005</v>
      </c>
      <c r="I4348">
        <v>266.15129999999999</v>
      </c>
      <c r="J4348">
        <v>-490.0779</v>
      </c>
      <c r="K4348">
        <v>1.124055</v>
      </c>
      <c r="L4348">
        <v>266.79809999999998</v>
      </c>
      <c r="M4348">
        <v>-0.29773309999999997</v>
      </c>
      <c r="N4348">
        <v>-1.363087E-2</v>
      </c>
      <c r="O4348">
        <v>-0.95455190000000001</v>
      </c>
      <c r="P4348">
        <v>-0.1072786</v>
      </c>
      <c r="Q4348">
        <v>9.5217839999999998E-2</v>
      </c>
      <c r="R4348">
        <v>-0.98965899999999996</v>
      </c>
      <c r="S4348">
        <v>-0.69262699999999999</v>
      </c>
      <c r="T4348">
        <v>-0.58383980000000002</v>
      </c>
      <c r="U4348">
        <v>-3.0109560000000002</v>
      </c>
      <c r="V4348">
        <v>-0.19291759999999999</v>
      </c>
      <c r="W4348">
        <v>0.107366</v>
      </c>
      <c r="X4348">
        <v>0.97532319999999995</v>
      </c>
      <c r="Y4348">
        <v>-7.9169199999999995E-2</v>
      </c>
      <c r="Z4348">
        <v>0.16221769999999999</v>
      </c>
      <c r="AA4348">
        <v>0.9835739</v>
      </c>
      <c r="AB4348">
        <v>14</v>
      </c>
      <c r="AC4348">
        <v>-0.14710000000002299</v>
      </c>
      <c r="AD4348">
        <v>-0.14106250000000001</v>
      </c>
      <c r="AE4348">
        <v>-0.64679999999998405</v>
      </c>
      <c r="AF4348">
        <v>-4.9906968707647902E-2</v>
      </c>
      <c r="AG4348">
        <v>-0.14106250000000001</v>
      </c>
      <c r="AH4348">
        <v>0.63265028584208605</v>
      </c>
      <c r="AI4348">
        <v>102.531972776964</v>
      </c>
      <c r="AJ4348">
        <v>94.510468710975204</v>
      </c>
      <c r="AK4348">
        <v>0.650104390546556</v>
      </c>
      <c r="AL4348">
        <v>83.836500859137203</v>
      </c>
      <c r="AM4348">
        <v>101.188603613935</v>
      </c>
      <c r="AN4348">
        <v>1.0000000014019901</v>
      </c>
    </row>
    <row r="4349" spans="1:40" x14ac:dyDescent="0.25">
      <c r="A4349" t="str">
        <f>"20190303161957527"</f>
        <v>20190303161957527</v>
      </c>
      <c r="B4349" t="str">
        <f>"1551601197517389"</f>
        <v>1551601197517389</v>
      </c>
      <c r="C4349" t="s">
        <v>40</v>
      </c>
      <c r="D4349">
        <v>4.7807979999999999</v>
      </c>
      <c r="E4349">
        <v>0.54599799999999998</v>
      </c>
      <c r="F4349" t="s">
        <v>42</v>
      </c>
      <c r="G4349">
        <v>-490.25479999999999</v>
      </c>
      <c r="H4349">
        <v>0.95385180000000003</v>
      </c>
      <c r="I4349">
        <v>266.04689999999999</v>
      </c>
      <c r="J4349">
        <v>-490.10079999999999</v>
      </c>
      <c r="K4349">
        <v>1.1240479999999999</v>
      </c>
      <c r="L4349">
        <v>266.70749999999998</v>
      </c>
      <c r="M4349">
        <v>-0.29346489999999997</v>
      </c>
      <c r="N4349">
        <v>-1.3610580000000001E-2</v>
      </c>
      <c r="O4349">
        <v>-0.95587310000000003</v>
      </c>
      <c r="P4349">
        <v>-0.1030596</v>
      </c>
      <c r="Q4349">
        <v>9.5395889999999997E-2</v>
      </c>
      <c r="R4349">
        <v>-0.99009009999999997</v>
      </c>
      <c r="S4349">
        <v>-0.71072389999999996</v>
      </c>
      <c r="T4349">
        <v>-0.68503829999999999</v>
      </c>
      <c r="U4349">
        <v>-3.020203</v>
      </c>
      <c r="V4349">
        <v>-0.19271050000000001</v>
      </c>
      <c r="W4349">
        <v>0.1075276</v>
      </c>
      <c r="X4349">
        <v>0.9753463</v>
      </c>
      <c r="Y4349">
        <v>-7.1018289999999998E-2</v>
      </c>
      <c r="Z4349">
        <v>0.19116069999999999</v>
      </c>
      <c r="AA4349">
        <v>0.97898620000000003</v>
      </c>
      <c r="AB4349">
        <v>14</v>
      </c>
      <c r="AC4349">
        <v>-0.153999999999996</v>
      </c>
      <c r="AD4349">
        <v>-0.17019619999999899</v>
      </c>
      <c r="AE4349">
        <v>-0.66059999999998797</v>
      </c>
      <c r="AF4349">
        <v>-4.3899047207651802E-2</v>
      </c>
      <c r="AG4349">
        <v>-0.17019619999999899</v>
      </c>
      <c r="AH4349">
        <v>0.636626280390021</v>
      </c>
      <c r="AI4349">
        <v>104.93360149002901</v>
      </c>
      <c r="AJ4349">
        <v>93.944629665728499</v>
      </c>
      <c r="AK4349">
        <v>0.66044446679748403</v>
      </c>
      <c r="AL4349">
        <v>83.827187710756107</v>
      </c>
      <c r="AM4349">
        <v>101.176636986012</v>
      </c>
      <c r="AN4349">
        <v>0.99999996324784901</v>
      </c>
    </row>
    <row r="4350" spans="1:40" x14ac:dyDescent="0.25">
      <c r="A4350" t="str">
        <f>"20190303161957541"</f>
        <v>20190303161957541</v>
      </c>
      <c r="B4350" t="str">
        <f>"1551601197536910"</f>
        <v>1551601197536910</v>
      </c>
      <c r="C4350" t="s">
        <v>40</v>
      </c>
      <c r="D4350">
        <v>4.6968550000000002</v>
      </c>
      <c r="E4350">
        <v>0.54755659999999995</v>
      </c>
      <c r="F4350" t="s">
        <v>42</v>
      </c>
      <c r="G4350">
        <v>-490.28339999999997</v>
      </c>
      <c r="H4350">
        <v>0.9218712</v>
      </c>
      <c r="I4350">
        <v>265.9434</v>
      </c>
      <c r="J4350">
        <v>-490.12290000000002</v>
      </c>
      <c r="K4350">
        <v>1.124044</v>
      </c>
      <c r="L4350">
        <v>266.61790000000002</v>
      </c>
      <c r="M4350">
        <v>-0.28924349999999999</v>
      </c>
      <c r="N4350">
        <v>-1.358849E-2</v>
      </c>
      <c r="O4350">
        <v>-0.95715899999999998</v>
      </c>
      <c r="P4350">
        <v>-9.9707329999999997E-2</v>
      </c>
      <c r="Q4350">
        <v>9.5708180000000004E-2</v>
      </c>
      <c r="R4350">
        <v>-0.99040309999999998</v>
      </c>
      <c r="S4350">
        <v>-0.72323609999999905</v>
      </c>
      <c r="T4350">
        <v>-0.80419659999999904</v>
      </c>
      <c r="U4350">
        <v>-3.0322269999999998</v>
      </c>
      <c r="V4350">
        <v>-0.1916977</v>
      </c>
      <c r="W4350">
        <v>0.1078291</v>
      </c>
      <c r="X4350">
        <v>0.97551259999999995</v>
      </c>
      <c r="Y4350">
        <v>-6.5352599999999997E-2</v>
      </c>
      <c r="Z4350">
        <v>0.22428419999999999</v>
      </c>
      <c r="AA4350">
        <v>0.97233000000000003</v>
      </c>
      <c r="AB4350">
        <v>14</v>
      </c>
      <c r="AC4350">
        <v>-0.16049999999995601</v>
      </c>
      <c r="AD4350">
        <v>-0.20217280000000001</v>
      </c>
      <c r="AE4350">
        <v>-0.67450000000002297</v>
      </c>
      <c r="AF4350">
        <v>-3.8224410374727097E-2</v>
      </c>
      <c r="AG4350">
        <v>-0.20217280000000001</v>
      </c>
      <c r="AH4350">
        <v>0.63785571482673498</v>
      </c>
      <c r="AI4350">
        <v>107.556816722451</v>
      </c>
      <c r="AJ4350">
        <v>93.429429724371303</v>
      </c>
      <c r="AK4350">
        <v>0.67022000831477802</v>
      </c>
      <c r="AL4350">
        <v>83.809812097323899</v>
      </c>
      <c r="AM4350">
        <v>101.1175167608</v>
      </c>
      <c r="AN4350">
        <v>0.99999997787542905</v>
      </c>
    </row>
    <row r="4351" spans="1:40" x14ac:dyDescent="0.25">
      <c r="A4351" t="str">
        <f>"20190303161957555"</f>
        <v>20190303161957555</v>
      </c>
      <c r="B4351" t="str">
        <f>"1551601197546669"</f>
        <v>1551601197546669</v>
      </c>
      <c r="C4351" t="s">
        <v>40</v>
      </c>
      <c r="D4351">
        <v>4.6658710000000001</v>
      </c>
      <c r="E4351">
        <v>0.54807499999999998</v>
      </c>
      <c r="F4351" t="s">
        <v>42</v>
      </c>
      <c r="G4351">
        <v>-490.28539999999998</v>
      </c>
      <c r="H4351">
        <v>0.9335968</v>
      </c>
      <c r="I4351">
        <v>265.93849999999998</v>
      </c>
      <c r="J4351">
        <v>-490.14120000000003</v>
      </c>
      <c r="K4351">
        <v>1.124037</v>
      </c>
      <c r="L4351">
        <v>266.54180000000002</v>
      </c>
      <c r="M4351">
        <v>-0.2856591</v>
      </c>
      <c r="N4351">
        <v>-1.3567549999999999E-2</v>
      </c>
      <c r="O4351">
        <v>-0.95823530000000001</v>
      </c>
      <c r="P4351">
        <v>-9.6750569999999994E-2</v>
      </c>
      <c r="Q4351">
        <v>9.5550060000000006E-2</v>
      </c>
      <c r="R4351">
        <v>-0.99071169999999997</v>
      </c>
      <c r="S4351">
        <v>-0.72549439999999998</v>
      </c>
      <c r="T4351">
        <v>-0.85395689999999902</v>
      </c>
      <c r="U4351">
        <v>-3.0385439999999999</v>
      </c>
      <c r="V4351">
        <v>-0.19095970000000001</v>
      </c>
      <c r="W4351">
        <v>0.107659</v>
      </c>
      <c r="X4351">
        <v>0.97567610000000005</v>
      </c>
      <c r="Y4351">
        <v>-6.2174010000000002E-2</v>
      </c>
      <c r="Z4351">
        <v>0.2379801</v>
      </c>
      <c r="AA4351">
        <v>0.96927799999999997</v>
      </c>
      <c r="AB4351">
        <v>14</v>
      </c>
      <c r="AC4351">
        <v>-0.144199999999955</v>
      </c>
      <c r="AD4351">
        <v>-0.1904402</v>
      </c>
      <c r="AE4351">
        <v>-0.60330000000004702</v>
      </c>
      <c r="AF4351">
        <v>-3.1220900941575001E-2</v>
      </c>
      <c r="AG4351">
        <v>-0.1904402</v>
      </c>
      <c r="AH4351">
        <v>0.56600169776992104</v>
      </c>
      <c r="AI4351">
        <v>108.57003494168799</v>
      </c>
      <c r="AJ4351">
        <v>93.157260653740195</v>
      </c>
      <c r="AK4351">
        <v>0.59799676948130498</v>
      </c>
      <c r="AL4351">
        <v>83.819615063931394</v>
      </c>
      <c r="AM4351">
        <v>101.07396653837</v>
      </c>
      <c r="AN4351">
        <v>0.99999995970814903</v>
      </c>
    </row>
    <row r="4352" spans="1:40" x14ac:dyDescent="0.25">
      <c r="A4352" t="str">
        <f>"20190303161957567"</f>
        <v>20190303161957567</v>
      </c>
      <c r="B4352" t="str">
        <f>"1551601197556430"</f>
        <v>1551601197556430</v>
      </c>
      <c r="C4352" t="s">
        <v>40</v>
      </c>
      <c r="D4352">
        <v>4.7048449999999997</v>
      </c>
      <c r="E4352">
        <v>0.54849230000000004</v>
      </c>
      <c r="F4352" t="s">
        <v>42</v>
      </c>
      <c r="G4352">
        <v>-490.3109</v>
      </c>
      <c r="H4352">
        <v>0.91923189999999999</v>
      </c>
      <c r="I4352">
        <v>265.82549999999998</v>
      </c>
      <c r="J4352">
        <v>-490.15879999999999</v>
      </c>
      <c r="K4352">
        <v>1.1240330000000001</v>
      </c>
      <c r="L4352">
        <v>266.46839999999997</v>
      </c>
      <c r="M4352">
        <v>-0.28220250000000002</v>
      </c>
      <c r="N4352">
        <v>-1.3545959999999999E-2</v>
      </c>
      <c r="O4352">
        <v>-0.95925930000000004</v>
      </c>
      <c r="P4352">
        <v>-9.3632510000000002E-2</v>
      </c>
      <c r="Q4352">
        <v>9.5029890000000006E-2</v>
      </c>
      <c r="R4352">
        <v>-0.99106130000000003</v>
      </c>
      <c r="S4352">
        <v>-0.72033689999999995</v>
      </c>
      <c r="T4352">
        <v>-0.87059739999999997</v>
      </c>
      <c r="U4352">
        <v>-3.0417480000000001</v>
      </c>
      <c r="V4352">
        <v>-0.1905213</v>
      </c>
      <c r="W4352">
        <v>0.1071247</v>
      </c>
      <c r="X4352">
        <v>0.97582069999999999</v>
      </c>
      <c r="Y4352">
        <v>-6.0640050000000001E-2</v>
      </c>
      <c r="Z4352">
        <v>0.24276400000000001</v>
      </c>
      <c r="AA4352">
        <v>0.96818820000000005</v>
      </c>
      <c r="AB4352">
        <v>14</v>
      </c>
      <c r="AC4352">
        <v>-0.152100000000018</v>
      </c>
      <c r="AD4352">
        <v>-0.20480110000000001</v>
      </c>
      <c r="AE4352">
        <v>-0.64289999999999703</v>
      </c>
      <c r="AF4352">
        <v>-3.2413001776241998E-2</v>
      </c>
      <c r="AG4352">
        <v>-0.20480110000000001</v>
      </c>
      <c r="AH4352">
        <v>0.601852961284146</v>
      </c>
      <c r="AI4352">
        <v>108.767343162578</v>
      </c>
      <c r="AJ4352">
        <v>93.082706192081801</v>
      </c>
      <c r="AK4352">
        <v>0.63656977642034895</v>
      </c>
      <c r="AL4352">
        <v>83.850406847971598</v>
      </c>
      <c r="AM4352">
        <v>101.047572547784</v>
      </c>
      <c r="AN4352">
        <v>1.0000000528261299</v>
      </c>
    </row>
    <row r="4353" spans="1:40" x14ac:dyDescent="0.25">
      <c r="A4353" t="str">
        <f>"20190303161957579"</f>
        <v>20190303161957579</v>
      </c>
      <c r="B4353" t="str">
        <f>"1551601197567166"</f>
        <v>1551601197567166</v>
      </c>
      <c r="C4353" t="s">
        <v>40</v>
      </c>
      <c r="D4353">
        <v>4.682696</v>
      </c>
      <c r="E4353">
        <v>0.54887600000000003</v>
      </c>
      <c r="F4353" t="s">
        <v>42</v>
      </c>
      <c r="G4353">
        <v>-490.33629999999999</v>
      </c>
      <c r="H4353">
        <v>0.90473029999999999</v>
      </c>
      <c r="I4353">
        <v>265.71260000000001</v>
      </c>
      <c r="J4353">
        <v>-490.17750000000001</v>
      </c>
      <c r="K4353">
        <v>1.1240190000000001</v>
      </c>
      <c r="L4353">
        <v>266.38869999999997</v>
      </c>
      <c r="M4353">
        <v>-0.27845300000000001</v>
      </c>
      <c r="N4353">
        <v>-1.3518179999999999E-2</v>
      </c>
      <c r="O4353">
        <v>-0.96035490000000001</v>
      </c>
      <c r="P4353">
        <v>-9.0005779999999994E-2</v>
      </c>
      <c r="Q4353">
        <v>9.4288129999999998E-2</v>
      </c>
      <c r="R4353">
        <v>-0.99146840000000003</v>
      </c>
      <c r="S4353">
        <v>-0.71408079999999996</v>
      </c>
      <c r="T4353">
        <v>-0.88462510000000005</v>
      </c>
      <c r="U4353">
        <v>-3.0443730000000002</v>
      </c>
      <c r="V4353">
        <v>-0.19029219999999999</v>
      </c>
      <c r="W4353">
        <v>0.10636230000000001</v>
      </c>
      <c r="X4353">
        <v>0.97594879999999995</v>
      </c>
      <c r="Y4353">
        <v>-5.9055059999999999E-2</v>
      </c>
      <c r="Z4353">
        <v>0.2469124</v>
      </c>
      <c r="AA4353">
        <v>0.9672366</v>
      </c>
      <c r="AB4353">
        <v>14</v>
      </c>
      <c r="AC4353">
        <v>-0.15879999999998501</v>
      </c>
      <c r="AD4353">
        <v>-0.2192887</v>
      </c>
      <c r="AE4353">
        <v>-0.67609999999996195</v>
      </c>
      <c r="AF4353">
        <v>-3.2518886280225097E-2</v>
      </c>
      <c r="AG4353">
        <v>-0.2192887</v>
      </c>
      <c r="AH4353">
        <v>0.63069779573467999</v>
      </c>
      <c r="AI4353">
        <v>109.14858379600901</v>
      </c>
      <c r="AJ4353">
        <v>92.951566516527294</v>
      </c>
      <c r="AK4353">
        <v>0.66852428636301597</v>
      </c>
      <c r="AL4353">
        <v>83.894340203398997</v>
      </c>
      <c r="AM4353">
        <v>101.033201376988</v>
      </c>
      <c r="AN4353">
        <v>1.00000006023178</v>
      </c>
    </row>
    <row r="4354" spans="1:40" x14ac:dyDescent="0.25">
      <c r="A4354" t="str">
        <f>"20190303161957597"</f>
        <v>20190303161957597</v>
      </c>
      <c r="B4354" t="str">
        <f>"1551601197586685"</f>
        <v>1551601197586685</v>
      </c>
      <c r="C4354" t="s">
        <v>40</v>
      </c>
      <c r="D4354">
        <v>4.6898819999999999</v>
      </c>
      <c r="E4354">
        <v>0.54946539999999999</v>
      </c>
      <c r="F4354" t="s">
        <v>42</v>
      </c>
      <c r="G4354">
        <v>-490.33629999999999</v>
      </c>
      <c r="H4354">
        <v>0.92306849999999996</v>
      </c>
      <c r="I4354">
        <v>265.70400000000001</v>
      </c>
      <c r="J4354">
        <v>-490.2013</v>
      </c>
      <c r="K4354">
        <v>1.123991</v>
      </c>
      <c r="L4354">
        <v>266.28519999999997</v>
      </c>
      <c r="M4354">
        <v>-0.27358919999999998</v>
      </c>
      <c r="N4354">
        <v>-1.3478179999999999E-2</v>
      </c>
      <c r="O4354">
        <v>-0.9617523</v>
      </c>
      <c r="P4354">
        <v>-8.5251930000000004E-2</v>
      </c>
      <c r="Q4354">
        <v>9.2365439999999993E-2</v>
      </c>
      <c r="R4354">
        <v>-0.99206899999999998</v>
      </c>
      <c r="S4354">
        <v>-0.70568850000000005</v>
      </c>
      <c r="T4354">
        <v>-0.89567540000000001</v>
      </c>
      <c r="U4354">
        <v>-3.046967</v>
      </c>
      <c r="V4354">
        <v>-0.19006609999999999</v>
      </c>
      <c r="W4354">
        <v>0.10441060000000001</v>
      </c>
      <c r="X4354">
        <v>0.9762035</v>
      </c>
      <c r="Y4354">
        <v>-5.6914640000000002E-2</v>
      </c>
      <c r="Z4354">
        <v>0.25040059999999997</v>
      </c>
      <c r="AA4354">
        <v>0.96646790000000005</v>
      </c>
      <c r="AB4354">
        <v>14</v>
      </c>
      <c r="AC4354">
        <v>-0.13499999999998999</v>
      </c>
      <c r="AD4354">
        <v>-0.2009225</v>
      </c>
      <c r="AE4354">
        <v>-0.58119999999996697</v>
      </c>
      <c r="AF4354">
        <v>-2.6204710058395201E-2</v>
      </c>
      <c r="AG4354">
        <v>-0.2009225</v>
      </c>
      <c r="AH4354">
        <v>0.53526407652390096</v>
      </c>
      <c r="AI4354">
        <v>110.55211515514701</v>
      </c>
      <c r="AJ4354">
        <v>92.802768893349693</v>
      </c>
      <c r="AK4354">
        <v>0.57233221947788204</v>
      </c>
      <c r="AL4354">
        <v>84.006790130595306</v>
      </c>
      <c r="AM4354">
        <v>101.01760819827599</v>
      </c>
      <c r="AN4354">
        <v>0.99999998458690897</v>
      </c>
    </row>
    <row r="4355" spans="1:40" x14ac:dyDescent="0.25">
      <c r="A4355" t="str">
        <f>"20190303161957609"</f>
        <v>20190303161957609</v>
      </c>
      <c r="B4355" t="str">
        <f>"1551601197597422"</f>
        <v>1551601197597422</v>
      </c>
      <c r="C4355" t="s">
        <v>40</v>
      </c>
      <c r="D4355">
        <v>4.6639150000000003</v>
      </c>
      <c r="E4355">
        <v>0.54964639999999998</v>
      </c>
      <c r="F4355" t="s">
        <v>42</v>
      </c>
      <c r="G4355">
        <v>-490.3605</v>
      </c>
      <c r="H4355">
        <v>0.91471000000000002</v>
      </c>
      <c r="I4355">
        <v>265.5881</v>
      </c>
      <c r="J4355">
        <v>-490.21699999999998</v>
      </c>
      <c r="K4355">
        <v>1.1239709999999901</v>
      </c>
      <c r="L4355">
        <v>266.21570000000003</v>
      </c>
      <c r="M4355">
        <v>-0.270335099999999</v>
      </c>
      <c r="N4355">
        <v>-1.344999E-2</v>
      </c>
      <c r="O4355">
        <v>-0.96267239999999998</v>
      </c>
      <c r="P4355">
        <v>-8.1805269999999999E-2</v>
      </c>
      <c r="Q4355">
        <v>9.162766E-2</v>
      </c>
      <c r="R4355">
        <v>-0.99242759999999997</v>
      </c>
      <c r="S4355">
        <v>-0.69662480000000004</v>
      </c>
      <c r="T4355">
        <v>-0.91544080000000005</v>
      </c>
      <c r="U4355">
        <v>-3.0493160000000001</v>
      </c>
      <c r="V4355">
        <v>-0.19016640000000001</v>
      </c>
      <c r="W4355">
        <v>0.1036504</v>
      </c>
      <c r="X4355">
        <v>0.97626500000000005</v>
      </c>
      <c r="Y4355">
        <v>-5.6764380000000003E-2</v>
      </c>
      <c r="Z4355">
        <v>0.2560635</v>
      </c>
      <c r="AA4355">
        <v>0.96499190000000001</v>
      </c>
      <c r="AB4355">
        <v>14</v>
      </c>
      <c r="AC4355">
        <v>-0.143500000000017</v>
      </c>
      <c r="AD4355">
        <v>-0.209260999999999</v>
      </c>
      <c r="AE4355">
        <v>-0.62760000000002902</v>
      </c>
      <c r="AF4355">
        <v>-2.8509565329865798E-2</v>
      </c>
      <c r="AG4355">
        <v>-0.209260999999999</v>
      </c>
      <c r="AH4355">
        <v>0.58157918608282899</v>
      </c>
      <c r="AI4355">
        <v>109.76760488177899</v>
      </c>
      <c r="AJ4355">
        <v>92.806447078212898</v>
      </c>
      <c r="AK4355">
        <v>0.61873848362702</v>
      </c>
      <c r="AL4355">
        <v>84.050584142622895</v>
      </c>
      <c r="AM4355">
        <v>101.02260252908199</v>
      </c>
      <c r="AN4355">
        <v>1.0000000076670601</v>
      </c>
    </row>
    <row r="4356" spans="1:40" x14ac:dyDescent="0.25">
      <c r="A4356" t="str">
        <f>"20190303161957620"</f>
        <v>20190303161957620</v>
      </c>
      <c r="B4356" t="str">
        <f>"1551601197616942"</f>
        <v>1551601197616942</v>
      </c>
      <c r="C4356" t="s">
        <v>40</v>
      </c>
      <c r="D4356">
        <v>4.666169</v>
      </c>
      <c r="E4356">
        <v>0.54994679999999996</v>
      </c>
      <c r="F4356" t="s">
        <v>42</v>
      </c>
      <c r="G4356">
        <v>-490.38400000000001</v>
      </c>
      <c r="H4356">
        <v>0.89998609999999901</v>
      </c>
      <c r="I4356">
        <v>265.47500000000002</v>
      </c>
      <c r="J4356">
        <v>-490.23320000000001</v>
      </c>
      <c r="K4356">
        <v>1.1239479999999999</v>
      </c>
      <c r="L4356">
        <v>266.1429</v>
      </c>
      <c r="M4356">
        <v>-0.26693260000000002</v>
      </c>
      <c r="N4356">
        <v>-1.341971E-2</v>
      </c>
      <c r="O4356">
        <v>-0.96362179999999997</v>
      </c>
      <c r="P4356">
        <v>-7.8488660000000002E-2</v>
      </c>
      <c r="Q4356">
        <v>9.0929430000000006E-2</v>
      </c>
      <c r="R4356">
        <v>-0.99275930000000001</v>
      </c>
      <c r="S4356">
        <v>-0.68740840000000003</v>
      </c>
      <c r="T4356">
        <v>-0.92354440000000004</v>
      </c>
      <c r="U4356">
        <v>-3.0515750000000001</v>
      </c>
      <c r="V4356">
        <v>-0.18998889999999999</v>
      </c>
      <c r="W4356">
        <v>0.1029318</v>
      </c>
      <c r="X4356">
        <v>0.97637560000000001</v>
      </c>
      <c r="Y4356">
        <v>-5.63086E-2</v>
      </c>
      <c r="Z4356">
        <v>0.25857590000000003</v>
      </c>
      <c r="AA4356">
        <v>0.96434839999999999</v>
      </c>
      <c r="AB4356">
        <v>14</v>
      </c>
      <c r="AC4356">
        <v>-0.15080000000000299</v>
      </c>
      <c r="AD4356">
        <v>-0.22396189999999999</v>
      </c>
      <c r="AE4356">
        <v>-0.66789999999997396</v>
      </c>
      <c r="AF4356">
        <v>-2.9786327534139002E-2</v>
      </c>
      <c r="AG4356">
        <v>-0.22396189999999999</v>
      </c>
      <c r="AH4356">
        <v>0.61781923170014796</v>
      </c>
      <c r="AI4356">
        <v>109.904478767312</v>
      </c>
      <c r="AJ4356">
        <v>92.760209314075098</v>
      </c>
      <c r="AK4356">
        <v>0.65783490407407097</v>
      </c>
      <c r="AL4356">
        <v>84.091978403051101</v>
      </c>
      <c r="AM4356">
        <v>101.01134877717</v>
      </c>
      <c r="AN4356">
        <v>1.0000000249248999</v>
      </c>
    </row>
    <row r="4357" spans="1:40" x14ac:dyDescent="0.25">
      <c r="A4357" t="str">
        <f>"20190303161957634"</f>
        <v>20190303161957634</v>
      </c>
      <c r="B4357" t="str">
        <f>"1551601197626701"</f>
        <v>1551601197626701</v>
      </c>
      <c r="C4357" t="s">
        <v>40</v>
      </c>
      <c r="D4357">
        <v>4.6863159999999997</v>
      </c>
      <c r="E4357">
        <v>0.55006149999999998</v>
      </c>
      <c r="F4357" t="s">
        <v>42</v>
      </c>
      <c r="G4357">
        <v>-490.38389999999998</v>
      </c>
      <c r="H4357">
        <v>0.91742049999999997</v>
      </c>
      <c r="I4357">
        <v>265.46690000000001</v>
      </c>
      <c r="J4357">
        <v>-490.24950000000001</v>
      </c>
      <c r="K4357">
        <v>1.1239220000000001</v>
      </c>
      <c r="L4357">
        <v>266.06779999999998</v>
      </c>
      <c r="M4357">
        <v>-0.26344240000000002</v>
      </c>
      <c r="N4357">
        <v>-1.3387649999999999E-2</v>
      </c>
      <c r="O4357">
        <v>-0.9645823</v>
      </c>
      <c r="P4357">
        <v>-7.5066699999999903E-2</v>
      </c>
      <c r="Q4357">
        <v>9.0391310000000002E-2</v>
      </c>
      <c r="R4357">
        <v>-0.99307330000000005</v>
      </c>
      <c r="S4357">
        <v>-0.68032840000000006</v>
      </c>
      <c r="T4357">
        <v>-0.93375850000000005</v>
      </c>
      <c r="U4357">
        <v>-3.0536500000000002</v>
      </c>
      <c r="V4357">
        <v>-0.1898244</v>
      </c>
      <c r="W4357">
        <v>0.10237309999999999</v>
      </c>
      <c r="X4357">
        <v>0.97646630000000001</v>
      </c>
      <c r="Y4357">
        <v>-5.5144690000000003E-2</v>
      </c>
      <c r="Z4357">
        <v>0.26166899999999998</v>
      </c>
      <c r="AA4357">
        <v>0.96358100000000002</v>
      </c>
      <c r="AB4357">
        <v>14</v>
      </c>
      <c r="AC4357">
        <v>-0.13439999999997099</v>
      </c>
      <c r="AD4357">
        <v>-0.20650149999999901</v>
      </c>
      <c r="AE4357">
        <v>-0.60089999999996702</v>
      </c>
      <c r="AF4357">
        <v>-2.5767174217644601E-2</v>
      </c>
      <c r="AG4357">
        <v>-0.20650149999999901</v>
      </c>
      <c r="AH4357">
        <v>0.55289443914888803</v>
      </c>
      <c r="AI4357">
        <v>110.459880437217</v>
      </c>
      <c r="AJ4357">
        <v>92.668290305637996</v>
      </c>
      <c r="AK4357">
        <v>0.59076143883227195</v>
      </c>
      <c r="AL4357">
        <v>84.124159380605803</v>
      </c>
      <c r="AM4357">
        <v>101.001050444993</v>
      </c>
      <c r="AN4357">
        <v>0.99999999473733003</v>
      </c>
    </row>
    <row r="4358" spans="1:40" x14ac:dyDescent="0.25">
      <c r="A4358" t="str">
        <f>"20190303161957649"</f>
        <v>20190303161957649</v>
      </c>
      <c r="B4358" t="str">
        <f>"1551601197636463"</f>
        <v>1551601197636463</v>
      </c>
      <c r="C4358" t="s">
        <v>40</v>
      </c>
      <c r="D4358">
        <v>4.6818330000000001</v>
      </c>
      <c r="E4358">
        <v>0.55022340000000003</v>
      </c>
      <c r="F4358" t="s">
        <v>42</v>
      </c>
      <c r="G4358">
        <v>-490.40640000000002</v>
      </c>
      <c r="H4358">
        <v>0.90429850000000001</v>
      </c>
      <c r="I4358">
        <v>265.3528</v>
      </c>
      <c r="J4358">
        <v>-490.26760000000002</v>
      </c>
      <c r="K4358">
        <v>1.123891</v>
      </c>
      <c r="L4358">
        <v>265.98379999999997</v>
      </c>
      <c r="M4358">
        <v>-0.259546</v>
      </c>
      <c r="N4358">
        <v>-1.3351099999999999E-2</v>
      </c>
      <c r="O4358">
        <v>-0.96563829999999995</v>
      </c>
      <c r="P4358">
        <v>-7.1359519999999996E-2</v>
      </c>
      <c r="Q4358">
        <v>8.9915659999999994E-2</v>
      </c>
      <c r="R4358">
        <v>-0.99338939999999998</v>
      </c>
      <c r="S4358">
        <v>-0.670440699999999</v>
      </c>
      <c r="T4358">
        <v>-0.9387605</v>
      </c>
      <c r="U4358">
        <v>-3.0557249999999998</v>
      </c>
      <c r="V4358">
        <v>-0.18952859999999999</v>
      </c>
      <c r="W4358">
        <v>0.10187549999999999</v>
      </c>
      <c r="X4358">
        <v>0.97657579999999999</v>
      </c>
      <c r="Y4358">
        <v>-5.4321990000000001E-2</v>
      </c>
      <c r="Z4358">
        <v>0.26341310000000001</v>
      </c>
      <c r="AA4358">
        <v>0.96315249999999997</v>
      </c>
      <c r="AB4358">
        <v>14</v>
      </c>
      <c r="AC4358">
        <v>-0.138800000000003</v>
      </c>
      <c r="AD4358">
        <v>-0.2195925</v>
      </c>
      <c r="AE4358">
        <v>-0.63099999999997103</v>
      </c>
      <c r="AF4358">
        <v>-2.6665232960638701E-2</v>
      </c>
      <c r="AG4358">
        <v>-0.2195925</v>
      </c>
      <c r="AH4358">
        <v>0.57856488407007001</v>
      </c>
      <c r="AI4358">
        <v>110.76394310804601</v>
      </c>
      <c r="AJ4358">
        <v>92.638813659265196</v>
      </c>
      <c r="AK4358">
        <v>0.61941038559593797</v>
      </c>
      <c r="AL4358">
        <v>84.152819640176105</v>
      </c>
      <c r="AM4358">
        <v>100.983123297305</v>
      </c>
      <c r="AN4358">
        <v>1.0000000004319201</v>
      </c>
    </row>
    <row r="4359" spans="1:40" x14ac:dyDescent="0.25">
      <c r="A4359" t="str">
        <f>"20190303161957661"</f>
        <v>20190303161957661</v>
      </c>
      <c r="B4359" t="str">
        <f>"1551601197647197"</f>
        <v>1551601197647197</v>
      </c>
      <c r="C4359" t="s">
        <v>40</v>
      </c>
      <c r="D4359">
        <v>4.7477970000000003</v>
      </c>
      <c r="E4359">
        <v>0.55064389999999996</v>
      </c>
      <c r="F4359" t="s">
        <v>42</v>
      </c>
      <c r="G4359">
        <v>-490.42880000000002</v>
      </c>
      <c r="H4359">
        <v>0.89423929999999996</v>
      </c>
      <c r="I4359">
        <v>265.23750000000001</v>
      </c>
      <c r="J4359">
        <v>-490.28550000000001</v>
      </c>
      <c r="K4359">
        <v>1.123853</v>
      </c>
      <c r="L4359">
        <v>265.89920000000001</v>
      </c>
      <c r="M4359">
        <v>-0.25565080000000001</v>
      </c>
      <c r="N4359">
        <v>-1.3313159999999999E-2</v>
      </c>
      <c r="O4359">
        <v>-0.96667769999999997</v>
      </c>
      <c r="P4359">
        <v>-6.7732360000000005E-2</v>
      </c>
      <c r="Q4359">
        <v>8.968429E-2</v>
      </c>
      <c r="R4359">
        <v>-0.99366449999999995</v>
      </c>
      <c r="S4359">
        <v>-0.65969849999999997</v>
      </c>
      <c r="T4359">
        <v>-0.94193400000000005</v>
      </c>
      <c r="U4359">
        <v>-3.0578310000000002</v>
      </c>
      <c r="V4359">
        <v>-0.1891526</v>
      </c>
      <c r="W4359">
        <v>0.10162359999999999</v>
      </c>
      <c r="X4359">
        <v>0.97667490000000001</v>
      </c>
      <c r="Y4359">
        <v>-5.3731260000000003E-2</v>
      </c>
      <c r="Z4359">
        <v>0.26465870000000002</v>
      </c>
      <c r="AA4359">
        <v>0.96284409999999998</v>
      </c>
      <c r="AB4359">
        <v>14</v>
      </c>
      <c r="AC4359">
        <v>-0.14330000000001</v>
      </c>
      <c r="AD4359">
        <v>-0.2296137</v>
      </c>
      <c r="AE4359">
        <v>-0.66169999999999596</v>
      </c>
      <c r="AF4359">
        <v>-2.74810922449026E-2</v>
      </c>
      <c r="AG4359">
        <v>-0.2296137</v>
      </c>
      <c r="AH4359">
        <v>0.60657749509648495</v>
      </c>
      <c r="AI4359">
        <v>110.714205428005</v>
      </c>
      <c r="AJ4359">
        <v>92.594020803883595</v>
      </c>
      <c r="AK4359">
        <v>0.64916401565104398</v>
      </c>
      <c r="AL4359">
        <v>84.167327513983494</v>
      </c>
      <c r="AM4359">
        <v>100.960777221066</v>
      </c>
      <c r="AN4359">
        <v>0.99999996122686396</v>
      </c>
    </row>
    <row r="4360" spans="1:40" x14ac:dyDescent="0.25">
      <c r="A4360" t="str">
        <f>"20190303161957675"</f>
        <v>20190303161957675</v>
      </c>
      <c r="B4360" t="str">
        <f>"1551601197666717"</f>
        <v>1551601197666717</v>
      </c>
      <c r="C4360" t="s">
        <v>40</v>
      </c>
      <c r="D4360">
        <v>4.6629110000000003</v>
      </c>
      <c r="E4360">
        <v>0.55197089999999904</v>
      </c>
      <c r="F4360" t="s">
        <v>42</v>
      </c>
      <c r="G4360">
        <v>-490.42869999999999</v>
      </c>
      <c r="H4360">
        <v>0.91696979999999995</v>
      </c>
      <c r="I4360">
        <v>265.22699999999998</v>
      </c>
      <c r="J4360">
        <v>-490.30180000000001</v>
      </c>
      <c r="K4360">
        <v>1.1238109999999999</v>
      </c>
      <c r="L4360">
        <v>265.8202</v>
      </c>
      <c r="M4360">
        <v>-0.25203769999999998</v>
      </c>
      <c r="N4360">
        <v>-1.3275530000000001E-2</v>
      </c>
      <c r="O4360">
        <v>-0.9676264</v>
      </c>
      <c r="P4360">
        <v>-6.3730549999999997E-2</v>
      </c>
      <c r="Q4360">
        <v>8.8729619999999995E-2</v>
      </c>
      <c r="R4360">
        <v>-0.99401490000000003</v>
      </c>
      <c r="S4360">
        <v>-0.65100100000000005</v>
      </c>
      <c r="T4360">
        <v>-0.94263600000000003</v>
      </c>
      <c r="U4360">
        <v>-3.0598450000000001</v>
      </c>
      <c r="V4360">
        <v>-0.1894459</v>
      </c>
      <c r="W4360">
        <v>0.100644</v>
      </c>
      <c r="X4360">
        <v>0.97671960000000002</v>
      </c>
      <c r="Y4360">
        <v>-5.277283E-2</v>
      </c>
      <c r="Z4360">
        <v>0.26519090000000001</v>
      </c>
      <c r="AA4360">
        <v>0.96275069999999996</v>
      </c>
      <c r="AB4360">
        <v>14</v>
      </c>
      <c r="AC4360">
        <v>-0.126899999999977</v>
      </c>
      <c r="AD4360">
        <v>-0.2068412</v>
      </c>
      <c r="AE4360">
        <v>-0.59319999999996698</v>
      </c>
      <c r="AF4360">
        <v>-2.3936426987455201E-2</v>
      </c>
      <c r="AG4360">
        <v>-0.2068412</v>
      </c>
      <c r="AH4360">
        <v>0.54291275226317603</v>
      </c>
      <c r="AI4360">
        <v>110.837549932358</v>
      </c>
      <c r="AJ4360">
        <v>92.524473123451202</v>
      </c>
      <c r="AK4360">
        <v>0.58147269164109705</v>
      </c>
      <c r="AL4360">
        <v>84.223744352138397</v>
      </c>
      <c r="AM4360">
        <v>100.97687025955</v>
      </c>
      <c r="AN4360">
        <v>1.0000000703934799</v>
      </c>
    </row>
    <row r="4361" spans="1:40" x14ac:dyDescent="0.25">
      <c r="A4361" t="str">
        <f>"20190303161957690"</f>
        <v>20190303161957690</v>
      </c>
      <c r="B4361" t="str">
        <f>"1551601197676477"</f>
        <v>1551601197676477</v>
      </c>
      <c r="C4361" t="s">
        <v>40</v>
      </c>
      <c r="D4361">
        <v>4.6440010000000003</v>
      </c>
      <c r="E4361">
        <v>0.55261859999999996</v>
      </c>
      <c r="F4361" t="s">
        <v>42</v>
      </c>
      <c r="G4361">
        <v>-490.45190000000002</v>
      </c>
      <c r="H4361">
        <v>0.90538700000000005</v>
      </c>
      <c r="I4361">
        <v>265.11270000000002</v>
      </c>
      <c r="J4361">
        <v>-490.3184</v>
      </c>
      <c r="K4361">
        <v>1.123775</v>
      </c>
      <c r="L4361">
        <v>265.73869999999999</v>
      </c>
      <c r="M4361">
        <v>-0.24833440000000001</v>
      </c>
      <c r="N4361">
        <v>-1.3234839999999999E-2</v>
      </c>
      <c r="O4361">
        <v>-0.96858390000000005</v>
      </c>
      <c r="P4361">
        <v>-5.9427729999999998E-2</v>
      </c>
      <c r="Q4361">
        <v>8.8028969999999998E-2</v>
      </c>
      <c r="R4361">
        <v>-0.99434359999999999</v>
      </c>
      <c r="S4361">
        <v>-0.64828490000000005</v>
      </c>
      <c r="T4361">
        <v>-0.94657400000000003</v>
      </c>
      <c r="U4361">
        <v>-3.0609739999999999</v>
      </c>
      <c r="V4361">
        <v>-0.18994150000000001</v>
      </c>
      <c r="W4361">
        <v>9.9914749999999997E-2</v>
      </c>
      <c r="X4361">
        <v>0.97669819999999996</v>
      </c>
      <c r="Y4361">
        <v>-4.9925890000000001E-2</v>
      </c>
      <c r="Z4361">
        <v>0.266648</v>
      </c>
      <c r="AA4361">
        <v>0.96250000000000002</v>
      </c>
      <c r="AB4361">
        <v>14</v>
      </c>
      <c r="AC4361">
        <v>-0.13350000000002599</v>
      </c>
      <c r="AD4361">
        <v>-0.218387999999999</v>
      </c>
      <c r="AE4361">
        <v>-0.62599999999997602</v>
      </c>
      <c r="AF4361">
        <v>-2.34265689864568E-2</v>
      </c>
      <c r="AG4361">
        <v>-0.218387999999999</v>
      </c>
      <c r="AH4361">
        <v>0.57285560394726398</v>
      </c>
      <c r="AI4361">
        <v>110.852266757354</v>
      </c>
      <c r="AJ4361">
        <v>92.341769965436399</v>
      </c>
      <c r="AK4361">
        <v>0.613519083364374</v>
      </c>
      <c r="AL4361">
        <v>84.265738874669594</v>
      </c>
      <c r="AM4361">
        <v>101.005121361058</v>
      </c>
      <c r="AN4361">
        <v>1.00000005228652</v>
      </c>
    </row>
    <row r="4362" spans="1:40" x14ac:dyDescent="0.25">
      <c r="A4362" t="str">
        <f>"20190303161957704"</f>
        <v>20190303161957704</v>
      </c>
      <c r="B4362" t="str">
        <f>"1551601197696974"</f>
        <v>1551601197696974</v>
      </c>
      <c r="C4362" t="s">
        <v>40</v>
      </c>
      <c r="D4362">
        <v>4.6431930000000001</v>
      </c>
      <c r="E4362">
        <v>0.55390980000000001</v>
      </c>
      <c r="F4362" t="s">
        <v>42</v>
      </c>
      <c r="G4362">
        <v>-490.47379999999998</v>
      </c>
      <c r="H4362">
        <v>0.89445949999999996</v>
      </c>
      <c r="I4362">
        <v>264.99779999999998</v>
      </c>
      <c r="J4362">
        <v>-490.33730000000003</v>
      </c>
      <c r="K4362">
        <v>1.123729</v>
      </c>
      <c r="L4362">
        <v>265.6447</v>
      </c>
      <c r="M4362">
        <v>-0.24409990000000001</v>
      </c>
      <c r="N4362">
        <v>-1.318422E-2</v>
      </c>
      <c r="O4362">
        <v>-0.96966059999999998</v>
      </c>
      <c r="P4362">
        <v>-5.4552179999999999E-2</v>
      </c>
      <c r="Q4362">
        <v>8.770799E-2</v>
      </c>
      <c r="R4362">
        <v>-0.99465170000000003</v>
      </c>
      <c r="S4362">
        <v>-0.64117429999999997</v>
      </c>
      <c r="T4362">
        <v>-0.94952619999999999</v>
      </c>
      <c r="U4362">
        <v>-3.062805</v>
      </c>
      <c r="V4362">
        <v>-0.19045819999999999</v>
      </c>
      <c r="W4362">
        <v>9.9557960000000001E-2</v>
      </c>
      <c r="X4362">
        <v>0.976634</v>
      </c>
      <c r="Y4362">
        <v>-4.7884009999999998E-2</v>
      </c>
      <c r="Z4362">
        <v>0.26786729999999997</v>
      </c>
      <c r="AA4362">
        <v>0.96226509999999998</v>
      </c>
      <c r="AB4362">
        <v>14</v>
      </c>
      <c r="AC4362">
        <v>-0.13649999999995499</v>
      </c>
      <c r="AD4362">
        <v>-0.22926949999999999</v>
      </c>
      <c r="AE4362">
        <v>-0.64690000000001602</v>
      </c>
      <c r="AF4362">
        <v>-2.2808905895883899E-2</v>
      </c>
      <c r="AG4362">
        <v>-0.22926949999999999</v>
      </c>
      <c r="AH4362">
        <v>0.58973263136668397</v>
      </c>
      <c r="AI4362">
        <v>111.23005807704099</v>
      </c>
      <c r="AJ4362">
        <v>92.214907100072296</v>
      </c>
      <c r="AK4362">
        <v>0.63314242182710401</v>
      </c>
      <c r="AL4362">
        <v>84.286283813346699</v>
      </c>
      <c r="AM4362">
        <v>101.035032460986</v>
      </c>
      <c r="AN4362">
        <v>1.0000000416513</v>
      </c>
    </row>
    <row r="4363" spans="1:40" x14ac:dyDescent="0.25">
      <c r="A4363" t="str">
        <f>"20190303161957722"</f>
        <v>20190303161957722</v>
      </c>
      <c r="B4363" t="str">
        <f>"1551601197716494"</f>
        <v>1551601197716494</v>
      </c>
      <c r="C4363" t="s">
        <v>40</v>
      </c>
      <c r="D4363">
        <v>4.5922190000000001</v>
      </c>
      <c r="E4363">
        <v>0.55490329999999999</v>
      </c>
      <c r="F4363" t="s">
        <v>42</v>
      </c>
      <c r="G4363">
        <v>-490.47449999999998</v>
      </c>
      <c r="H4363">
        <v>0.91986639999999997</v>
      </c>
      <c r="I4363">
        <v>264.98630000000003</v>
      </c>
      <c r="J4363">
        <v>-490.35719999999998</v>
      </c>
      <c r="K4363">
        <v>1.123675</v>
      </c>
      <c r="L4363">
        <v>265.54309999999998</v>
      </c>
      <c r="M4363">
        <v>-0.23957690000000001</v>
      </c>
      <c r="N4363">
        <v>-1.3125360000000001E-2</v>
      </c>
      <c r="O4363">
        <v>-0.97078869999999895</v>
      </c>
      <c r="P4363">
        <v>-4.9299629999999997E-2</v>
      </c>
      <c r="Q4363">
        <v>8.6737729999999999E-2</v>
      </c>
      <c r="R4363">
        <v>-0.99501039999999996</v>
      </c>
      <c r="S4363">
        <v>-0.63708500000000001</v>
      </c>
      <c r="T4363">
        <v>-0.95082750000000005</v>
      </c>
      <c r="U4363">
        <v>-3.0650019999999998</v>
      </c>
      <c r="V4363">
        <v>-0.1910676</v>
      </c>
      <c r="W4363">
        <v>9.8546339999999996E-2</v>
      </c>
      <c r="X4363">
        <v>0.97661750000000003</v>
      </c>
      <c r="Y4363">
        <v>-4.4636969999999998E-2</v>
      </c>
      <c r="Z4363">
        <v>0.26862269999999999</v>
      </c>
      <c r="AA4363">
        <v>0.96221069999999997</v>
      </c>
      <c r="AB4363">
        <v>14</v>
      </c>
      <c r="AC4363">
        <v>-0.1173</v>
      </c>
      <c r="AD4363">
        <v>-0.20380859999999901</v>
      </c>
      <c r="AE4363">
        <v>-0.556799999999952</v>
      </c>
      <c r="AF4363">
        <v>-1.73046037542696E-2</v>
      </c>
      <c r="AG4363">
        <v>-0.20380859999999901</v>
      </c>
      <c r="AH4363">
        <v>0.50402579633403799</v>
      </c>
      <c r="AI4363">
        <v>112.00478316462301</v>
      </c>
      <c r="AJ4363">
        <v>91.9663506867265</v>
      </c>
      <c r="AK4363">
        <v>0.54394797372102899</v>
      </c>
      <c r="AL4363">
        <v>84.344531441856802</v>
      </c>
      <c r="AM4363">
        <v>101.069652394158</v>
      </c>
      <c r="AN4363">
        <v>0.99999997510170202</v>
      </c>
    </row>
    <row r="4364" spans="1:40" x14ac:dyDescent="0.25">
      <c r="A4364" t="str">
        <f>"20190303161957743"</f>
        <v>20190303161957743</v>
      </c>
      <c r="B4364" t="str">
        <f>"1551601197736989"</f>
        <v>1551601197736989</v>
      </c>
      <c r="C4364" t="s">
        <v>40</v>
      </c>
      <c r="D4364">
        <v>4.5618730000000003</v>
      </c>
      <c r="E4364">
        <v>0.55586139999999995</v>
      </c>
      <c r="F4364" t="s">
        <v>42</v>
      </c>
      <c r="G4364">
        <v>-490.49529999999999</v>
      </c>
      <c r="H4364">
        <v>0.91378360000000003</v>
      </c>
      <c r="I4364">
        <v>264.86900000000003</v>
      </c>
      <c r="J4364">
        <v>-490.38200000000001</v>
      </c>
      <c r="K4364">
        <v>1.1236079999999999</v>
      </c>
      <c r="L4364">
        <v>265.41379999999998</v>
      </c>
      <c r="M4364">
        <v>-0.2338982</v>
      </c>
      <c r="N4364">
        <v>-1.304727E-2</v>
      </c>
      <c r="O4364">
        <v>-0.97217359999999997</v>
      </c>
      <c r="P4364">
        <v>-4.3297710000000003E-2</v>
      </c>
      <c r="Q4364">
        <v>8.6718920000000005E-2</v>
      </c>
      <c r="R4364">
        <v>-0.99529160000000005</v>
      </c>
      <c r="S4364">
        <v>-0.62799069999999901</v>
      </c>
      <c r="T4364">
        <v>-0.95538259999999997</v>
      </c>
      <c r="U4364">
        <v>-3.0672000000000001</v>
      </c>
      <c r="V4364">
        <v>-0.19123519999999999</v>
      </c>
      <c r="W4364">
        <v>9.8475170000000001E-2</v>
      </c>
      <c r="X4364">
        <v>0.97659189999999996</v>
      </c>
      <c r="Y4364">
        <v>-4.1768569999999998E-2</v>
      </c>
      <c r="Z4364">
        <v>0.27042359999999999</v>
      </c>
      <c r="AA4364">
        <v>0.961835</v>
      </c>
      <c r="AB4364">
        <v>14</v>
      </c>
      <c r="AC4364">
        <v>-0.113300000000037</v>
      </c>
      <c r="AD4364">
        <v>-0.20982439999999999</v>
      </c>
      <c r="AE4364">
        <v>-0.54479999999995199</v>
      </c>
      <c r="AF4364">
        <v>-1.5130615652256599E-2</v>
      </c>
      <c r="AG4364">
        <v>-0.20982439999999999</v>
      </c>
      <c r="AH4364">
        <v>0.48695163472899999</v>
      </c>
      <c r="AI4364">
        <v>113.300861227637</v>
      </c>
      <c r="AJ4364">
        <v>91.779728254341904</v>
      </c>
      <c r="AK4364">
        <v>0.53044991180187895</v>
      </c>
      <c r="AL4364">
        <v>84.348629254806298</v>
      </c>
      <c r="AM4364">
        <v>101.079405530909</v>
      </c>
      <c r="AN4364">
        <v>0.99999999998558897</v>
      </c>
    </row>
    <row r="4365" spans="1:40" x14ac:dyDescent="0.25">
      <c r="A4365" t="str">
        <f>"20190303161957756"</f>
        <v>20190303161957756</v>
      </c>
      <c r="B4365" t="str">
        <f>"1551601197746750"</f>
        <v>1551601197746750</v>
      </c>
      <c r="C4365" t="s">
        <v>40</v>
      </c>
      <c r="D4365">
        <v>4.5707139999999997</v>
      </c>
      <c r="E4365">
        <v>0.55636059999999998</v>
      </c>
      <c r="F4365" t="s">
        <v>42</v>
      </c>
      <c r="G4365">
        <v>-490.51569999999998</v>
      </c>
      <c r="H4365">
        <v>0.91640540000000004</v>
      </c>
      <c r="I4365">
        <v>264.7475</v>
      </c>
      <c r="J4365">
        <v>-490.39620000000002</v>
      </c>
      <c r="K4365">
        <v>1.1235710000000001</v>
      </c>
      <c r="L4365">
        <v>265.33800000000002</v>
      </c>
      <c r="M4365">
        <v>-0.2306271</v>
      </c>
      <c r="N4365">
        <v>-1.30007E-2</v>
      </c>
      <c r="O4365">
        <v>-0.97295549999999997</v>
      </c>
      <c r="P4365">
        <v>-3.993708E-2</v>
      </c>
      <c r="Q4365">
        <v>8.6937319999999998E-2</v>
      </c>
      <c r="R4365">
        <v>-0.99541299999999999</v>
      </c>
      <c r="S4365">
        <v>-0.61569209999999996</v>
      </c>
      <c r="T4365">
        <v>-0.95559720000000004</v>
      </c>
      <c r="U4365">
        <v>-3.0706790000000002</v>
      </c>
      <c r="V4365">
        <v>-0.19123670000000001</v>
      </c>
      <c r="W4365">
        <v>9.8662589999999994E-2</v>
      </c>
      <c r="X4365">
        <v>0.97657269999999896</v>
      </c>
      <c r="Y4365">
        <v>-4.2327299999999998E-2</v>
      </c>
      <c r="Z4365">
        <v>0.27065600000000001</v>
      </c>
      <c r="AA4365">
        <v>0.96174510000000002</v>
      </c>
      <c r="AB4365">
        <v>14</v>
      </c>
      <c r="AC4365">
        <v>-0.119499999999959</v>
      </c>
      <c r="AD4365">
        <v>-0.20716559999999901</v>
      </c>
      <c r="AE4365">
        <v>-0.59049999999996305</v>
      </c>
      <c r="AF4365">
        <v>-1.7812636947486402E-2</v>
      </c>
      <c r="AG4365">
        <v>-0.20716559999999901</v>
      </c>
      <c r="AH4365">
        <v>0.53847209283019204</v>
      </c>
      <c r="AI4365">
        <v>111.032662389921</v>
      </c>
      <c r="AJ4365">
        <v>91.894651376636205</v>
      </c>
      <c r="AK4365">
        <v>0.57722358806212104</v>
      </c>
      <c r="AL4365">
        <v>84.337838388725999</v>
      </c>
      <c r="AM4365">
        <v>101.079702724098</v>
      </c>
      <c r="AN4365">
        <v>1.00000001023884</v>
      </c>
    </row>
    <row r="4366" spans="1:40" x14ac:dyDescent="0.25">
      <c r="A4366" t="str">
        <f>"20190303161957769"</f>
        <v>20190303161957769</v>
      </c>
      <c r="B4366" t="str">
        <f>"1551601197756511"</f>
        <v>1551601197756511</v>
      </c>
      <c r="C4366" t="s">
        <v>40</v>
      </c>
      <c r="D4366">
        <v>4.5538540000000003</v>
      </c>
      <c r="E4366">
        <v>0.55681159999999996</v>
      </c>
      <c r="F4366" t="s">
        <v>42</v>
      </c>
      <c r="G4366">
        <v>-490.53620000000001</v>
      </c>
      <c r="H4366">
        <v>0.90478360000000002</v>
      </c>
      <c r="I4366">
        <v>264.63279999999997</v>
      </c>
      <c r="J4366">
        <v>-490.40940000000001</v>
      </c>
      <c r="K4366">
        <v>1.123543</v>
      </c>
      <c r="L4366">
        <v>265.26639999999998</v>
      </c>
      <c r="M4366">
        <v>-0.22755120000000001</v>
      </c>
      <c r="N4366">
        <v>-1.2956560000000001E-2</v>
      </c>
      <c r="O4366">
        <v>-0.97367999999999999</v>
      </c>
      <c r="P4366">
        <v>-3.7119590000000001E-2</v>
      </c>
      <c r="Q4366">
        <v>8.7477239999999998E-2</v>
      </c>
      <c r="R4366">
        <v>-0.99547490000000005</v>
      </c>
      <c r="S4366">
        <v>-0.60943599999999998</v>
      </c>
      <c r="T4366">
        <v>-0.95400980000000002</v>
      </c>
      <c r="U4366">
        <v>-3.0727540000000002</v>
      </c>
      <c r="V4366">
        <v>-0.19089909999999999</v>
      </c>
      <c r="W4366">
        <v>9.9174579999999998E-2</v>
      </c>
      <c r="X4366">
        <v>0.97658690000000004</v>
      </c>
      <c r="Y4366">
        <v>-4.1162909999999997E-2</v>
      </c>
      <c r="Z4366">
        <v>0.27045259999999999</v>
      </c>
      <c r="AA4366">
        <v>0.96185290000000001</v>
      </c>
      <c r="AB4366">
        <v>14</v>
      </c>
      <c r="AC4366">
        <v>-0.12680000000000199</v>
      </c>
      <c r="AD4366">
        <v>-0.21875939999999999</v>
      </c>
      <c r="AE4366">
        <v>-0.63360000000000105</v>
      </c>
      <c r="AF4366">
        <v>-1.85853573606399E-2</v>
      </c>
      <c r="AG4366">
        <v>-0.21875939999999999</v>
      </c>
      <c r="AH4366">
        <v>0.57941997456155803</v>
      </c>
      <c r="AI4366">
        <v>110.674243308957</v>
      </c>
      <c r="AJ4366">
        <v>91.837177889127304</v>
      </c>
      <c r="AK4366">
        <v>0.61961972008442301</v>
      </c>
      <c r="AL4366">
        <v>84.308358988508104</v>
      </c>
      <c r="AM4366">
        <v>101.060469033731</v>
      </c>
      <c r="AN4366">
        <v>1.00000001847529</v>
      </c>
    </row>
    <row r="4367" spans="1:40" x14ac:dyDescent="0.25">
      <c r="A4367" t="str">
        <f>"20190303161957781"</f>
        <v>20190303161957781</v>
      </c>
      <c r="B4367" t="str">
        <f>"1551601197777005"</f>
        <v>1551601197777005</v>
      </c>
      <c r="C4367" t="s">
        <v>40</v>
      </c>
      <c r="D4367">
        <v>4.5254960000000004</v>
      </c>
      <c r="E4367">
        <v>0.55760469999999995</v>
      </c>
      <c r="F4367" t="s">
        <v>42</v>
      </c>
      <c r="G4367">
        <v>-490.5564</v>
      </c>
      <c r="H4367">
        <v>0.89221260000000002</v>
      </c>
      <c r="I4367">
        <v>264.51819999999998</v>
      </c>
      <c r="J4367">
        <v>-490.42430000000002</v>
      </c>
      <c r="K4367">
        <v>1.1235090000000001</v>
      </c>
      <c r="L4367">
        <v>265.18459999999999</v>
      </c>
      <c r="M4367">
        <v>-0.22407460000000001</v>
      </c>
      <c r="N4367">
        <v>-1.29055E-2</v>
      </c>
      <c r="O4367">
        <v>-0.97448659999999998</v>
      </c>
      <c r="P4367">
        <v>-3.4131790000000002E-2</v>
      </c>
      <c r="Q4367">
        <v>8.78636E-2</v>
      </c>
      <c r="R4367">
        <v>-0.99554759999999998</v>
      </c>
      <c r="S4367">
        <v>-0.60345459999999995</v>
      </c>
      <c r="T4367">
        <v>-0.9519128</v>
      </c>
      <c r="U4367">
        <v>-3.0747680000000002</v>
      </c>
      <c r="V4367">
        <v>-0.19033030000000001</v>
      </c>
      <c r="W4367">
        <v>9.9529489999999998E-2</v>
      </c>
      <c r="X4367">
        <v>0.97666180000000002</v>
      </c>
      <c r="Y4367">
        <v>-3.9497989999999997E-2</v>
      </c>
      <c r="Z4367">
        <v>0.2701558</v>
      </c>
      <c r="AA4367">
        <v>0.96200609999999998</v>
      </c>
      <c r="AB4367">
        <v>14</v>
      </c>
      <c r="AC4367">
        <v>-0.13209999999997901</v>
      </c>
      <c r="AD4367">
        <v>-0.23129640000000001</v>
      </c>
      <c r="AE4367">
        <v>-0.66640000000000998</v>
      </c>
      <c r="AF4367">
        <v>-1.84560652360709E-2</v>
      </c>
      <c r="AG4367">
        <v>-0.23129640000000001</v>
      </c>
      <c r="AH4367">
        <v>0.60851979518958799</v>
      </c>
      <c r="AI4367">
        <v>110.80288852947</v>
      </c>
      <c r="AJ4367">
        <v>91.737216421904094</v>
      </c>
      <c r="AK4367">
        <v>0.65125647185616198</v>
      </c>
      <c r="AL4367">
        <v>84.287922968052399</v>
      </c>
      <c r="AM4367">
        <v>101.027497530812</v>
      </c>
      <c r="AN4367">
        <v>1.00000000702849</v>
      </c>
    </row>
    <row r="4368" spans="1:40" x14ac:dyDescent="0.25">
      <c r="A4368" t="str">
        <f>"20190303161957796"</f>
        <v>20190303161957796</v>
      </c>
      <c r="B4368" t="str">
        <f>"1551601197786765"</f>
        <v>1551601197786765</v>
      </c>
      <c r="C4368" t="s">
        <v>40</v>
      </c>
      <c r="D4368">
        <v>4.4908460000000003</v>
      </c>
      <c r="E4368">
        <v>0.55792310000000001</v>
      </c>
      <c r="F4368" t="s">
        <v>42</v>
      </c>
      <c r="G4368">
        <v>-490.55619999999999</v>
      </c>
      <c r="H4368">
        <v>0.9147575</v>
      </c>
      <c r="I4368">
        <v>264.50790000000001</v>
      </c>
      <c r="J4368">
        <v>-490.4402</v>
      </c>
      <c r="K4368">
        <v>1.1234759999999999</v>
      </c>
      <c r="L4368">
        <v>265.09519999999998</v>
      </c>
      <c r="M4368">
        <v>-0.2203165</v>
      </c>
      <c r="N4368">
        <v>-1.2849889999999999E-2</v>
      </c>
      <c r="O4368">
        <v>-0.97534379999999998</v>
      </c>
      <c r="P4368">
        <v>-3.0869529999999999E-2</v>
      </c>
      <c r="Q4368">
        <v>8.8116710000000001E-2</v>
      </c>
      <c r="R4368">
        <v>-0.99563179999999996</v>
      </c>
      <c r="S4368">
        <v>-0.59948729999999995</v>
      </c>
      <c r="T4368">
        <v>-0.95042590000000005</v>
      </c>
      <c r="U4368">
        <v>-3.0767820000000001</v>
      </c>
      <c r="V4368">
        <v>-0.1897537</v>
      </c>
      <c r="W4368">
        <v>9.9744890000000003E-2</v>
      </c>
      <c r="X4368">
        <v>0.97675199999999995</v>
      </c>
      <c r="Y4368">
        <v>-3.6951459999999998E-2</v>
      </c>
      <c r="Z4368">
        <v>0.27003929999999998</v>
      </c>
      <c r="AA4368">
        <v>0.96214</v>
      </c>
      <c r="AB4368">
        <v>14</v>
      </c>
      <c r="AC4368">
        <v>-0.115999999999985</v>
      </c>
      <c r="AD4368">
        <v>-0.208718499999999</v>
      </c>
      <c r="AE4368">
        <v>-0.58729999999996996</v>
      </c>
      <c r="AF4368">
        <v>-1.44917607310441E-2</v>
      </c>
      <c r="AG4368">
        <v>-0.208718499999999</v>
      </c>
      <c r="AH4368">
        <v>0.53356656762985999</v>
      </c>
      <c r="AI4368">
        <v>111.35708471578199</v>
      </c>
      <c r="AJ4368">
        <v>91.555780853421794</v>
      </c>
      <c r="AK4368">
        <v>0.57312014923892396</v>
      </c>
      <c r="AL4368">
        <v>84.275519636708395</v>
      </c>
      <c r="AM4368">
        <v>100.993914762773</v>
      </c>
      <c r="AN4368">
        <v>0.99999998962440095</v>
      </c>
    </row>
    <row r="4369" spans="1:40" x14ac:dyDescent="0.25">
      <c r="A4369" t="str">
        <f>"20190303161957811"</f>
        <v>20190303161957811</v>
      </c>
      <c r="B4369" t="str">
        <f>"1551601197796526"</f>
        <v>1551601197796526</v>
      </c>
      <c r="C4369" t="s">
        <v>40</v>
      </c>
      <c r="D4369">
        <v>4.4869029999999999</v>
      </c>
      <c r="E4369">
        <v>0.55826089999999995</v>
      </c>
      <c r="F4369" t="s">
        <v>42</v>
      </c>
      <c r="G4369">
        <v>-490.57499999999999</v>
      </c>
      <c r="H4369">
        <v>0.90619119999999997</v>
      </c>
      <c r="I4369">
        <v>264.3913</v>
      </c>
      <c r="J4369">
        <v>-490.45510000000002</v>
      </c>
      <c r="K4369">
        <v>1.1234580000000001</v>
      </c>
      <c r="L4369">
        <v>265.00990000000002</v>
      </c>
      <c r="M4369">
        <v>-0.21675449999999999</v>
      </c>
      <c r="N4369">
        <v>-1.2796750000000001E-2</v>
      </c>
      <c r="O4369">
        <v>-0.97614259999999997</v>
      </c>
      <c r="P4369">
        <v>-3.006932E-2</v>
      </c>
      <c r="Q4369">
        <v>8.9221880000000003E-2</v>
      </c>
      <c r="R4369">
        <v>-0.99555800000000005</v>
      </c>
      <c r="S4369">
        <v>-0.58975219999999995</v>
      </c>
      <c r="T4369">
        <v>-0.95039629999999997</v>
      </c>
      <c r="U4369">
        <v>-3.0789490000000002</v>
      </c>
      <c r="V4369">
        <v>-0.1869468</v>
      </c>
      <c r="W4369">
        <v>0.1008285</v>
      </c>
      <c r="X4369">
        <v>0.97718190000000005</v>
      </c>
      <c r="Y4369">
        <v>-3.637199E-2</v>
      </c>
      <c r="Z4369">
        <v>0.27031040000000001</v>
      </c>
      <c r="AA4369">
        <v>0.962086</v>
      </c>
      <c r="AB4369">
        <v>14</v>
      </c>
      <c r="AC4369">
        <v>-0.119899999999972</v>
      </c>
      <c r="AD4369">
        <v>-0.21726680000000001</v>
      </c>
      <c r="AE4369">
        <v>-0.61860000000001403</v>
      </c>
      <c r="AF4369">
        <v>-1.52349251605958E-2</v>
      </c>
      <c r="AG4369">
        <v>-0.21726680000000001</v>
      </c>
      <c r="AH4369">
        <v>0.56295192567841001</v>
      </c>
      <c r="AI4369">
        <v>111.096652480597</v>
      </c>
      <c r="AJ4369">
        <v>91.5501925981753</v>
      </c>
      <c r="AK4369">
        <v>0.60361563594055401</v>
      </c>
      <c r="AL4369">
        <v>84.213118703027902</v>
      </c>
      <c r="AM4369">
        <v>100.830512475736</v>
      </c>
      <c r="AN4369">
        <v>0.99999997906504901</v>
      </c>
    </row>
    <row r="4370" spans="1:40" x14ac:dyDescent="0.25">
      <c r="A4370" t="str">
        <f>"20190303161957825"</f>
        <v>20190303161957825</v>
      </c>
      <c r="B4370" t="str">
        <f>"1551601197817022"</f>
        <v>1551601197817022</v>
      </c>
      <c r="C4370" t="s">
        <v>40</v>
      </c>
      <c r="D4370">
        <v>4.4721859999999998</v>
      </c>
      <c r="E4370">
        <v>0.55884669999999903</v>
      </c>
      <c r="F4370" t="s">
        <v>42</v>
      </c>
      <c r="G4370">
        <v>-490.59570000000002</v>
      </c>
      <c r="H4370">
        <v>0.89772929999999995</v>
      </c>
      <c r="I4370">
        <v>264.27519999999998</v>
      </c>
      <c r="J4370">
        <v>-490.47039999999998</v>
      </c>
      <c r="K4370">
        <v>1.1234360000000001</v>
      </c>
      <c r="L4370">
        <v>264.9212</v>
      </c>
      <c r="M4370">
        <v>-0.2130831</v>
      </c>
      <c r="N4370">
        <v>-1.274145E-2</v>
      </c>
      <c r="O4370">
        <v>-0.97695109999999996</v>
      </c>
      <c r="P4370">
        <v>-2.761139E-2</v>
      </c>
      <c r="Q4370">
        <v>9.0169299999999994E-2</v>
      </c>
      <c r="R4370">
        <v>-0.99554379999999998</v>
      </c>
      <c r="S4370">
        <v>-0.58795169999999997</v>
      </c>
      <c r="T4370">
        <v>-0.94751600000000002</v>
      </c>
      <c r="U4370">
        <v>-3.0805359999999999</v>
      </c>
      <c r="V4370">
        <v>-0.1856652</v>
      </c>
      <c r="W4370">
        <v>0.1017388</v>
      </c>
      <c r="X4370">
        <v>0.97733190000000003</v>
      </c>
      <c r="Y4370">
        <v>-3.3221830000000001E-2</v>
      </c>
      <c r="Z4370">
        <v>0.26981169999999999</v>
      </c>
      <c r="AA4370">
        <v>0.96233979999999997</v>
      </c>
      <c r="AB4370">
        <v>14</v>
      </c>
      <c r="AC4370">
        <v>-0.12530000000003799</v>
      </c>
      <c r="AD4370">
        <v>-0.22570670000000001</v>
      </c>
      <c r="AE4370">
        <v>-0.64600000000001501</v>
      </c>
      <c r="AF4370">
        <v>-1.3636622826588E-2</v>
      </c>
      <c r="AG4370">
        <v>-0.22570670000000001</v>
      </c>
      <c r="AH4370">
        <v>0.58861377414820104</v>
      </c>
      <c r="AI4370">
        <v>110.97441619183</v>
      </c>
      <c r="AJ4370">
        <v>91.327154118605407</v>
      </c>
      <c r="AK4370">
        <v>0.63055185910755496</v>
      </c>
      <c r="AL4370">
        <v>84.160692857395404</v>
      </c>
      <c r="AM4370">
        <v>100.756390646905</v>
      </c>
      <c r="AN4370">
        <v>0.99999999633704495</v>
      </c>
    </row>
    <row r="4371" spans="1:40" x14ac:dyDescent="0.25">
      <c r="A4371" t="str">
        <f>"20190303161957838"</f>
        <v>20190303161957838</v>
      </c>
      <c r="B4371" t="str">
        <f>"1551601197826781"</f>
        <v>1551601197826781</v>
      </c>
      <c r="C4371" t="s">
        <v>40</v>
      </c>
      <c r="D4371">
        <v>4.472785</v>
      </c>
      <c r="E4371">
        <v>0.55913930000000001</v>
      </c>
      <c r="F4371" t="s">
        <v>42</v>
      </c>
      <c r="G4371">
        <v>-490.61520000000002</v>
      </c>
      <c r="H4371">
        <v>0.88998349999999904</v>
      </c>
      <c r="I4371">
        <v>264.1583</v>
      </c>
      <c r="J4371">
        <v>-490.48390000000001</v>
      </c>
      <c r="K4371">
        <v>1.1234230000000001</v>
      </c>
      <c r="L4371">
        <v>264.8408</v>
      </c>
      <c r="M4371">
        <v>-0.2097897</v>
      </c>
      <c r="N4371">
        <v>-1.269204E-2</v>
      </c>
      <c r="O4371">
        <v>-0.97766410000000004</v>
      </c>
      <c r="P4371">
        <v>-2.546294E-2</v>
      </c>
      <c r="Q4371">
        <v>9.1218460000000001E-2</v>
      </c>
      <c r="R4371">
        <v>-0.99550530000000004</v>
      </c>
      <c r="S4371">
        <v>-0.58407589999999998</v>
      </c>
      <c r="T4371">
        <v>-0.94447199999999998</v>
      </c>
      <c r="U4371">
        <v>-3.0827640000000001</v>
      </c>
      <c r="V4371">
        <v>-0.1844606</v>
      </c>
      <c r="W4371">
        <v>0.102752</v>
      </c>
      <c r="X4371">
        <v>0.97745400000000005</v>
      </c>
      <c r="Y4371">
        <v>-3.1114059999999999E-2</v>
      </c>
      <c r="Z4371">
        <v>0.26917609999999997</v>
      </c>
      <c r="AA4371">
        <v>0.96258829999999995</v>
      </c>
      <c r="AB4371">
        <v>14</v>
      </c>
      <c r="AC4371">
        <v>-0.13130000000000999</v>
      </c>
      <c r="AD4371">
        <v>-0.23343949999999999</v>
      </c>
      <c r="AE4371">
        <v>-0.68250000000000399</v>
      </c>
      <c r="AF4371">
        <v>-1.3313435581478499E-2</v>
      </c>
      <c r="AG4371">
        <v>-0.23343949999999999</v>
      </c>
      <c r="AH4371">
        <v>0.62441484852068896</v>
      </c>
      <c r="AI4371">
        <v>110.49414794382</v>
      </c>
      <c r="AJ4371">
        <v>91.221444543812396</v>
      </c>
      <c r="AK4371">
        <v>0.66675719027270197</v>
      </c>
      <c r="AL4371">
        <v>84.102334975962705</v>
      </c>
      <c r="AM4371">
        <v>100.68691141032301</v>
      </c>
      <c r="AN4371">
        <v>1.0000000042861801</v>
      </c>
    </row>
    <row r="4372" spans="1:40" x14ac:dyDescent="0.25">
      <c r="A4372" t="str">
        <f>"20190303161957856"</f>
        <v>20190303161957856</v>
      </c>
      <c r="B4372" t="str">
        <f>"1551601197847278"</f>
        <v>1551601197847278</v>
      </c>
      <c r="C4372" t="s">
        <v>40</v>
      </c>
      <c r="D4372">
        <v>4.4662369999999996</v>
      </c>
      <c r="E4372">
        <v>0.559720199999999</v>
      </c>
      <c r="F4372" t="s">
        <v>42</v>
      </c>
      <c r="G4372">
        <v>-490.61430000000001</v>
      </c>
      <c r="H4372">
        <v>0.91232690000000005</v>
      </c>
      <c r="I4372">
        <v>264.14800000000002</v>
      </c>
      <c r="J4372">
        <v>-490.50029999999998</v>
      </c>
      <c r="K4372">
        <v>1.1234189999999999</v>
      </c>
      <c r="L4372">
        <v>264.74110000000002</v>
      </c>
      <c r="M4372">
        <v>-0.20572770000000001</v>
      </c>
      <c r="N4372">
        <v>-1.2631140000000001E-2</v>
      </c>
      <c r="O4372">
        <v>-0.97852779999999995</v>
      </c>
      <c r="P4372">
        <v>-2.3366120000000001E-2</v>
      </c>
      <c r="Q4372">
        <v>9.3993419999999994E-2</v>
      </c>
      <c r="R4372">
        <v>-0.99529869999999998</v>
      </c>
      <c r="S4372">
        <v>-0.57949830000000002</v>
      </c>
      <c r="T4372">
        <v>-0.94108020000000003</v>
      </c>
      <c r="U4372">
        <v>-3.084991</v>
      </c>
      <c r="V4372">
        <v>-0.1824143</v>
      </c>
      <c r="W4372">
        <v>0.1054832</v>
      </c>
      <c r="X4372">
        <v>0.9775471</v>
      </c>
      <c r="Y4372">
        <v>-2.8433389999999999E-2</v>
      </c>
      <c r="Z4372">
        <v>0.26852330000000002</v>
      </c>
      <c r="AA4372">
        <v>0.96285350000000003</v>
      </c>
      <c r="AB4372">
        <v>14</v>
      </c>
      <c r="AC4372">
        <v>-0.11400000000003201</v>
      </c>
      <c r="AD4372">
        <v>-0.21109209999999901</v>
      </c>
      <c r="AE4372">
        <v>-0.59310000000004903</v>
      </c>
      <c r="AF4372">
        <v>-9.3264375189908398E-3</v>
      </c>
      <c r="AG4372">
        <v>-0.21109209999999901</v>
      </c>
      <c r="AH4372">
        <v>0.53812773947428805</v>
      </c>
      <c r="AI4372">
        <v>111.415730271556</v>
      </c>
      <c r="AJ4372">
        <v>90.992909257777399</v>
      </c>
      <c r="AK4372">
        <v>0.57812483177157603</v>
      </c>
      <c r="AL4372">
        <v>83.944993560722295</v>
      </c>
      <c r="AM4372">
        <v>100.57005945928501</v>
      </c>
      <c r="AN4372">
        <v>1.0000000075225699</v>
      </c>
    </row>
    <row r="4373" spans="1:40" x14ac:dyDescent="0.25">
      <c r="A4373" t="str">
        <f>"20190303161957868"</f>
        <v>20190303161957868</v>
      </c>
      <c r="B4373" t="str">
        <f>"1551601197857038"</f>
        <v>1551601197857038</v>
      </c>
      <c r="C4373" t="s">
        <v>40</v>
      </c>
      <c r="D4373">
        <v>4.467854</v>
      </c>
      <c r="E4373">
        <v>0.55994259999999996</v>
      </c>
      <c r="F4373" t="s">
        <v>42</v>
      </c>
      <c r="G4373">
        <v>-490.63319999999999</v>
      </c>
      <c r="H4373">
        <v>0.90886440000000002</v>
      </c>
      <c r="I4373">
        <v>264.0292</v>
      </c>
      <c r="J4373">
        <v>-490.51249999999999</v>
      </c>
      <c r="K4373">
        <v>1.1234189999999999</v>
      </c>
      <c r="L4373">
        <v>264.66520000000003</v>
      </c>
      <c r="M4373">
        <v>-0.20265240000000001</v>
      </c>
      <c r="N4373">
        <v>-1.2584680000000001E-2</v>
      </c>
      <c r="O4373">
        <v>-0.97916999999999998</v>
      </c>
      <c r="P4373">
        <v>-2.086385E-2</v>
      </c>
      <c r="Q4373">
        <v>9.5159930000000004E-2</v>
      </c>
      <c r="R4373">
        <v>-0.99524349999999995</v>
      </c>
      <c r="S4373">
        <v>-0.57595830000000003</v>
      </c>
      <c r="T4373">
        <v>-0.93164590000000003</v>
      </c>
      <c r="U4373">
        <v>-3.0886230000000001</v>
      </c>
      <c r="V4373">
        <v>-0.18178179999999999</v>
      </c>
      <c r="W4373">
        <v>0.10660890000000001</v>
      </c>
      <c r="X4373">
        <v>0.97754280000000005</v>
      </c>
      <c r="Y4373">
        <v>-2.6430950000000002E-2</v>
      </c>
      <c r="Z4373">
        <v>0.26597459999999901</v>
      </c>
      <c r="AA4373">
        <v>0.96361759999999996</v>
      </c>
      <c r="AB4373">
        <v>14</v>
      </c>
      <c r="AC4373">
        <v>-0.120699999999999</v>
      </c>
      <c r="AD4373">
        <v>-0.21455460000000001</v>
      </c>
      <c r="AE4373">
        <v>-0.63600000000002399</v>
      </c>
      <c r="AF4373">
        <v>-9.64271419011134E-3</v>
      </c>
      <c r="AG4373">
        <v>-0.21455460000000001</v>
      </c>
      <c r="AH4373">
        <v>0.58319972460429004</v>
      </c>
      <c r="AI4373">
        <v>110.19563532679101</v>
      </c>
      <c r="AJ4373">
        <v>90.947250941886097</v>
      </c>
      <c r="AK4373">
        <v>0.62148899998039497</v>
      </c>
      <c r="AL4373">
        <v>83.880129919825393</v>
      </c>
      <c r="AM4373">
        <v>100.53427607918201</v>
      </c>
      <c r="AN4373">
        <v>1.00000000310114</v>
      </c>
    </row>
    <row r="4374" spans="1:40" x14ac:dyDescent="0.25">
      <c r="A4374" t="str">
        <f>"20190303161957882"</f>
        <v>20190303161957882</v>
      </c>
      <c r="B4374" t="str">
        <f>"1551601197876558"</f>
        <v>1551601197876558</v>
      </c>
      <c r="C4374" t="s">
        <v>40</v>
      </c>
      <c r="D4374">
        <v>4.4580039999999999</v>
      </c>
      <c r="E4374">
        <v>0.56033440000000001</v>
      </c>
      <c r="F4374" t="s">
        <v>42</v>
      </c>
      <c r="G4374">
        <v>-490.65100000000001</v>
      </c>
      <c r="H4374">
        <v>0.89767619999999904</v>
      </c>
      <c r="I4374">
        <v>263.91340000000002</v>
      </c>
      <c r="J4374">
        <v>-490.52640000000002</v>
      </c>
      <c r="K4374">
        <v>1.1234139999999999</v>
      </c>
      <c r="L4374">
        <v>264.57780000000002</v>
      </c>
      <c r="M4374">
        <v>-0.19912940000000001</v>
      </c>
      <c r="N4374">
        <v>-1.2530029999999999E-2</v>
      </c>
      <c r="O4374">
        <v>-0.97989329999999997</v>
      </c>
      <c r="P4374">
        <v>-1.7837309999999999E-2</v>
      </c>
      <c r="Q4374">
        <v>9.6513299999999996E-2</v>
      </c>
      <c r="R4374">
        <v>-0.9951719</v>
      </c>
      <c r="S4374">
        <v>-0.56893919999999998</v>
      </c>
      <c r="T4374">
        <v>-0.92838259999999995</v>
      </c>
      <c r="U4374">
        <v>-3.0911870000000001</v>
      </c>
      <c r="V4374">
        <v>-0.1812173</v>
      </c>
      <c r="W4374">
        <v>0.1079121</v>
      </c>
      <c r="X4374">
        <v>0.97750459999999995</v>
      </c>
      <c r="Y4374">
        <v>-2.505603E-2</v>
      </c>
      <c r="Z4374">
        <v>0.26526889999999997</v>
      </c>
      <c r="AA4374">
        <v>0.96384890000000001</v>
      </c>
      <c r="AB4374">
        <v>14</v>
      </c>
      <c r="AC4374">
        <v>-0.124599999999986</v>
      </c>
      <c r="AD4374">
        <v>-0.22573779999999899</v>
      </c>
      <c r="AE4374">
        <v>-0.66439999999999999</v>
      </c>
      <c r="AF4374">
        <v>-9.1835535782808907E-3</v>
      </c>
      <c r="AG4374">
        <v>-0.22573779999999899</v>
      </c>
      <c r="AH4374">
        <v>0.608093368634265</v>
      </c>
      <c r="AI4374">
        <v>110.363915835489</v>
      </c>
      <c r="AJ4374">
        <v>90.865227102492497</v>
      </c>
      <c r="AK4374">
        <v>0.64870597113186301</v>
      </c>
      <c r="AL4374">
        <v>83.805028693011593</v>
      </c>
      <c r="AM4374">
        <v>100.502693453091</v>
      </c>
      <c r="AN4374">
        <v>0.99999998708342897</v>
      </c>
    </row>
    <row r="4375" spans="1:40" x14ac:dyDescent="0.25">
      <c r="A4375" t="str">
        <f>"20190303161957896"</f>
        <v>20190303161957896</v>
      </c>
      <c r="B4375" t="str">
        <f>"1551601197887294"</f>
        <v>1551601197887294</v>
      </c>
      <c r="C4375" t="s">
        <v>40</v>
      </c>
      <c r="D4375">
        <v>4.4949110000000001</v>
      </c>
      <c r="E4375">
        <v>0.56049510000000002</v>
      </c>
      <c r="F4375" t="s">
        <v>42</v>
      </c>
      <c r="G4375">
        <v>-490.649</v>
      </c>
      <c r="H4375">
        <v>0.92157129999999998</v>
      </c>
      <c r="I4375">
        <v>263.90199999999999</v>
      </c>
      <c r="J4375">
        <v>-490.53910000000002</v>
      </c>
      <c r="K4375">
        <v>1.123408</v>
      </c>
      <c r="L4375">
        <v>264.49549999999999</v>
      </c>
      <c r="M4375">
        <v>-0.19583229999999999</v>
      </c>
      <c r="N4375">
        <v>-1.247815E-2</v>
      </c>
      <c r="O4375">
        <v>-0.98055800000000004</v>
      </c>
      <c r="P4375">
        <v>-1.505486E-2</v>
      </c>
      <c r="Q4375">
        <v>9.7567630000000002E-2</v>
      </c>
      <c r="R4375">
        <v>-0.99511499999999997</v>
      </c>
      <c r="S4375">
        <v>-0.56127930000000004</v>
      </c>
      <c r="T4375">
        <v>-0.92452000000000001</v>
      </c>
      <c r="U4375">
        <v>-3.094147</v>
      </c>
      <c r="V4375">
        <v>-0.18064540000000001</v>
      </c>
      <c r="W4375">
        <v>0.1089194</v>
      </c>
      <c r="X4375">
        <v>0.9774988</v>
      </c>
      <c r="Y4375">
        <v>-2.411688E-2</v>
      </c>
      <c r="Z4375">
        <v>0.2643394</v>
      </c>
      <c r="AA4375">
        <v>0.96412810000000004</v>
      </c>
      <c r="AB4375">
        <v>14</v>
      </c>
      <c r="AC4375">
        <v>-0.109899999999981</v>
      </c>
      <c r="AD4375">
        <v>-0.20183670000000001</v>
      </c>
      <c r="AE4375">
        <v>-0.59350000000000502</v>
      </c>
      <c r="AF4375">
        <v>-7.6125720315588204E-3</v>
      </c>
      <c r="AG4375">
        <v>-0.20183670000000001</v>
      </c>
      <c r="AH4375">
        <v>0.54283111452674204</v>
      </c>
      <c r="AI4375">
        <v>110.394415288589</v>
      </c>
      <c r="AJ4375">
        <v>90.803453683707701</v>
      </c>
      <c r="AK4375">
        <v>0.57919048992379896</v>
      </c>
      <c r="AL4375">
        <v>83.746972842367498</v>
      </c>
      <c r="AM4375">
        <v>100.470343080787</v>
      </c>
      <c r="AN4375">
        <v>1.0000000501194699</v>
      </c>
    </row>
    <row r="4376" spans="1:40" x14ac:dyDescent="0.25">
      <c r="A4376" t="str">
        <f>"20190303161957911"</f>
        <v>20190303161957911</v>
      </c>
      <c r="B4376" t="str">
        <f>"1551601197906813"</f>
        <v>1551601197906813</v>
      </c>
      <c r="C4376" t="s">
        <v>40</v>
      </c>
      <c r="D4376">
        <v>4.4733589999999896</v>
      </c>
      <c r="E4376">
        <v>0.5608765</v>
      </c>
      <c r="F4376" t="s">
        <v>42</v>
      </c>
      <c r="G4376">
        <v>-490.6662</v>
      </c>
      <c r="H4376">
        <v>0.91223989999999999</v>
      </c>
      <c r="I4376">
        <v>263.78539999999998</v>
      </c>
      <c r="J4376">
        <v>-490.55349999999999</v>
      </c>
      <c r="K4376">
        <v>1.1234139999999999</v>
      </c>
      <c r="L4376">
        <v>264.40050000000002</v>
      </c>
      <c r="M4376">
        <v>-0.19203770000000001</v>
      </c>
      <c r="N4376">
        <v>-1.241539E-2</v>
      </c>
      <c r="O4376">
        <v>-0.98130910000000005</v>
      </c>
      <c r="P4376">
        <v>-1.198403E-2</v>
      </c>
      <c r="Q4376">
        <v>9.9195549999999993E-2</v>
      </c>
      <c r="R4376">
        <v>-0.99499599999999999</v>
      </c>
      <c r="S4376">
        <v>-0.55361939999999998</v>
      </c>
      <c r="T4376">
        <v>-0.92176389999999997</v>
      </c>
      <c r="U4376">
        <v>-3.0967709999999999</v>
      </c>
      <c r="V4376">
        <v>-0.17985509999999999</v>
      </c>
      <c r="W4376">
        <v>0.11049009999999999</v>
      </c>
      <c r="X4376">
        <v>0.97746820000000001</v>
      </c>
      <c r="Y4376">
        <v>-2.267303E-2</v>
      </c>
      <c r="Z4376">
        <v>0.26378699999999999</v>
      </c>
      <c r="AA4376">
        <v>0.96431449999999996</v>
      </c>
      <c r="AB4376">
        <v>14</v>
      </c>
      <c r="AC4376">
        <v>-0.11270000000001799</v>
      </c>
      <c r="AD4376">
        <v>-0.211174099999999</v>
      </c>
      <c r="AE4376">
        <v>-0.61510000000003995</v>
      </c>
      <c r="AF4376">
        <v>-6.75868599650038E-3</v>
      </c>
      <c r="AG4376">
        <v>-0.211174099999999</v>
      </c>
      <c r="AH4376">
        <v>0.56128604914295999</v>
      </c>
      <c r="AI4376">
        <v>110.616566232002</v>
      </c>
      <c r="AJ4376">
        <v>90.689889707015098</v>
      </c>
      <c r="AK4376">
        <v>0.59973511595513795</v>
      </c>
      <c r="AL4376">
        <v>83.656431555429194</v>
      </c>
      <c r="AM4376">
        <v>100.425862456044</v>
      </c>
      <c r="AN4376">
        <v>1.0000000006026299</v>
      </c>
    </row>
    <row r="4377" spans="1:40" x14ac:dyDescent="0.25">
      <c r="A4377" t="str">
        <f>"20190303161957934"</f>
        <v>20190303161957934</v>
      </c>
      <c r="B4377" t="str">
        <f>"1551601197927310"</f>
        <v>1551601197927310</v>
      </c>
      <c r="C4377" t="s">
        <v>40</v>
      </c>
      <c r="D4377">
        <v>4.5020769999999999</v>
      </c>
      <c r="E4377">
        <v>0.56105569999999905</v>
      </c>
      <c r="F4377" t="s">
        <v>42</v>
      </c>
      <c r="G4377">
        <v>-490.68290000000002</v>
      </c>
      <c r="H4377">
        <v>0.90678389999999998</v>
      </c>
      <c r="I4377">
        <v>263.66680000000002</v>
      </c>
      <c r="J4377">
        <v>-490.57310000000001</v>
      </c>
      <c r="K4377">
        <v>1.1234010000000001</v>
      </c>
      <c r="L4377">
        <v>264.26639999999998</v>
      </c>
      <c r="M4377">
        <v>-0.18671460000000001</v>
      </c>
      <c r="N4377">
        <v>-1.2316580000000001E-2</v>
      </c>
      <c r="O4377">
        <v>-0.98233709999999996</v>
      </c>
      <c r="P4377">
        <v>-8.0250730000000006E-3</v>
      </c>
      <c r="Q4377">
        <v>0.10048020000000001</v>
      </c>
      <c r="R4377">
        <v>-0.99490699999999999</v>
      </c>
      <c r="S4377">
        <v>-0.54641719999999905</v>
      </c>
      <c r="T4377">
        <v>-0.91543339999999995</v>
      </c>
      <c r="U4377">
        <v>-3.0997919999999999</v>
      </c>
      <c r="V4377">
        <v>-0.17842279999999999</v>
      </c>
      <c r="W4377">
        <v>0.1116886</v>
      </c>
      <c r="X4377">
        <v>0.97759450000000003</v>
      </c>
      <c r="Y4377">
        <v>-1.9517159999999999E-2</v>
      </c>
      <c r="Z4377">
        <v>0.26235910000000001</v>
      </c>
      <c r="AA4377">
        <v>0.96477290000000004</v>
      </c>
      <c r="AB4377">
        <v>14</v>
      </c>
      <c r="AC4377">
        <v>-0.109800000000006</v>
      </c>
      <c r="AD4377">
        <v>-0.21661710000000001</v>
      </c>
      <c r="AE4377">
        <v>-0.59959999999995195</v>
      </c>
      <c r="AF4377">
        <v>-3.6347688588300999E-3</v>
      </c>
      <c r="AG4377">
        <v>-0.21661710000000001</v>
      </c>
      <c r="AH4377">
        <v>0.54121202878917096</v>
      </c>
      <c r="AI4377">
        <v>111.813035830282</v>
      </c>
      <c r="AJ4377">
        <v>90.384791492102494</v>
      </c>
      <c r="AK4377">
        <v>0.58296366924805698</v>
      </c>
      <c r="AL4377">
        <v>83.587335022365806</v>
      </c>
      <c r="AM4377">
        <v>100.343326645595</v>
      </c>
      <c r="AN4377">
        <v>1.0000000226800201</v>
      </c>
    </row>
    <row r="4378" spans="1:40" x14ac:dyDescent="0.25">
      <c r="A4378" t="str">
        <f>"20190303161957947"</f>
        <v>20190303161957947</v>
      </c>
      <c r="B4378" t="str">
        <f>"1551601197937070"</f>
        <v>1551601197937070</v>
      </c>
      <c r="C4378" t="s">
        <v>40</v>
      </c>
      <c r="D4378">
        <v>4.5067519999999996</v>
      </c>
      <c r="E4378">
        <v>0.56113559999999996</v>
      </c>
      <c r="F4378" t="s">
        <v>42</v>
      </c>
      <c r="G4378">
        <v>-490.6979</v>
      </c>
      <c r="H4378">
        <v>0.91122139999999996</v>
      </c>
      <c r="I4378">
        <v>263.54320000000001</v>
      </c>
      <c r="J4378">
        <v>-490.5847</v>
      </c>
      <c r="K4378">
        <v>1.123391</v>
      </c>
      <c r="L4378">
        <v>264.18560000000002</v>
      </c>
      <c r="M4378">
        <v>-0.1835223</v>
      </c>
      <c r="N4378">
        <v>-1.2250860000000001E-2</v>
      </c>
      <c r="O4378">
        <v>-0.98293909999999995</v>
      </c>
      <c r="P4378">
        <v>-5.5127930000000002E-3</v>
      </c>
      <c r="Q4378">
        <v>0.10110280000000001</v>
      </c>
      <c r="R4378">
        <v>-0.99486079999999999</v>
      </c>
      <c r="S4378">
        <v>-0.53472900000000001</v>
      </c>
      <c r="T4378">
        <v>-0.91147880000000003</v>
      </c>
      <c r="U4378">
        <v>-3.1030880000000001</v>
      </c>
      <c r="V4378">
        <v>-0.177704799999999</v>
      </c>
      <c r="W4378">
        <v>0.1122524</v>
      </c>
      <c r="X4378">
        <v>0.97766070000000005</v>
      </c>
      <c r="Y4378">
        <v>-1.9919869999999999E-2</v>
      </c>
      <c r="Z4378">
        <v>0.26137680000000002</v>
      </c>
      <c r="AA4378">
        <v>0.96503130000000004</v>
      </c>
      <c r="AB4378">
        <v>14</v>
      </c>
      <c r="AC4378">
        <v>-0.113200000000006</v>
      </c>
      <c r="AD4378">
        <v>-0.21216960000000001</v>
      </c>
      <c r="AE4378">
        <v>-0.64240000000000896</v>
      </c>
      <c r="AF4378">
        <v>-5.99252402551764E-3</v>
      </c>
      <c r="AG4378">
        <v>-0.21216960000000001</v>
      </c>
      <c r="AH4378">
        <v>0.58985835024635802</v>
      </c>
      <c r="AI4378">
        <v>109.782506018552</v>
      </c>
      <c r="AJ4378">
        <v>90.582062665653893</v>
      </c>
      <c r="AK4378">
        <v>0.62688493590427896</v>
      </c>
      <c r="AL4378">
        <v>83.554827225723898</v>
      </c>
      <c r="AM4378">
        <v>100.30191403613701</v>
      </c>
      <c r="AN4378">
        <v>1.00000002078664</v>
      </c>
    </row>
    <row r="4379" spans="1:40" x14ac:dyDescent="0.25">
      <c r="A4379" t="str">
        <f>"20190303161957960"</f>
        <v>20190303161957960</v>
      </c>
      <c r="B4379" t="str">
        <f>"1551601197946831"</f>
        <v>1551601197946831</v>
      </c>
      <c r="C4379" t="s">
        <v>40</v>
      </c>
      <c r="D4379">
        <v>4.5020020000000001</v>
      </c>
      <c r="E4379">
        <v>0.56118730000000006</v>
      </c>
      <c r="F4379" t="s">
        <v>42</v>
      </c>
      <c r="G4379">
        <v>-490.71339999999998</v>
      </c>
      <c r="H4379">
        <v>0.90097110000000002</v>
      </c>
      <c r="I4379">
        <v>263.42630000000003</v>
      </c>
      <c r="J4379">
        <v>-490.59589999999997</v>
      </c>
      <c r="K4379">
        <v>1.1233759999999999</v>
      </c>
      <c r="L4379">
        <v>264.10469999999998</v>
      </c>
      <c r="M4379">
        <v>-0.1803389</v>
      </c>
      <c r="N4379">
        <v>-1.2177500000000001E-2</v>
      </c>
      <c r="O4379">
        <v>-0.9835294</v>
      </c>
      <c r="P4379">
        <v>-3.2576020000000001E-3</v>
      </c>
      <c r="Q4379">
        <v>0.10166119999999999</v>
      </c>
      <c r="R4379">
        <v>-0.99481419999999998</v>
      </c>
      <c r="S4379">
        <v>-0.52636719999999904</v>
      </c>
      <c r="T4379">
        <v>-0.9097269</v>
      </c>
      <c r="U4379">
        <v>-3.1050420000000001</v>
      </c>
      <c r="V4379">
        <v>-0.17674509999999999</v>
      </c>
      <c r="W4379">
        <v>0.1127471</v>
      </c>
      <c r="X4379">
        <v>0.97777769999999997</v>
      </c>
      <c r="Y4379">
        <v>-1.929351E-2</v>
      </c>
      <c r="Z4379">
        <v>0.26109520000000003</v>
      </c>
      <c r="AA4379">
        <v>0.96512030000000004</v>
      </c>
      <c r="AB4379">
        <v>14</v>
      </c>
      <c r="AC4379">
        <v>-0.117500000000006</v>
      </c>
      <c r="AD4379">
        <v>-0.22240489999999999</v>
      </c>
      <c r="AE4379">
        <v>-0.67839999999995304</v>
      </c>
      <c r="AF4379">
        <v>-6.1372971191818101E-3</v>
      </c>
      <c r="AG4379">
        <v>-0.22240489999999999</v>
      </c>
      <c r="AH4379">
        <v>0.62341546235229295</v>
      </c>
      <c r="AI4379">
        <v>109.63309707054999</v>
      </c>
      <c r="AJ4379">
        <v>90.564037763672999</v>
      </c>
      <c r="AK4379">
        <v>0.66192782435841302</v>
      </c>
      <c r="AL4379">
        <v>83.526301684067107</v>
      </c>
      <c r="AM4379">
        <v>100.24625999915899</v>
      </c>
      <c r="AN4379">
        <v>0.99999998477485397</v>
      </c>
    </row>
    <row r="4380" spans="1:40" x14ac:dyDescent="0.25">
      <c r="A4380" t="str">
        <f>"20190303161957977"</f>
        <v>20190303161957977</v>
      </c>
      <c r="B4380" t="str">
        <f>"1551601197966349"</f>
        <v>1551601197966349</v>
      </c>
      <c r="C4380" t="s">
        <v>40</v>
      </c>
      <c r="D4380">
        <v>4.5047980000000001</v>
      </c>
      <c r="E4380">
        <v>0.56128350000000005</v>
      </c>
      <c r="F4380" t="s">
        <v>42</v>
      </c>
      <c r="G4380">
        <v>-490.71109999999999</v>
      </c>
      <c r="H4380">
        <v>0.92210349999999996</v>
      </c>
      <c r="I4380">
        <v>263.4162</v>
      </c>
      <c r="J4380">
        <v>-490.60969999999998</v>
      </c>
      <c r="K4380">
        <v>1.1233629999999999</v>
      </c>
      <c r="L4380">
        <v>264.00330000000002</v>
      </c>
      <c r="M4380">
        <v>-0.17637359999999999</v>
      </c>
      <c r="N4380">
        <v>-1.2077060000000001E-2</v>
      </c>
      <c r="O4380">
        <v>-0.98424940000000005</v>
      </c>
      <c r="P4380">
        <v>-3.5531460000000001E-4</v>
      </c>
      <c r="Q4380">
        <v>0.10281179999999999</v>
      </c>
      <c r="R4380">
        <v>-0.9947011</v>
      </c>
      <c r="S4380">
        <v>-0.51940920000000002</v>
      </c>
      <c r="T4380">
        <v>-0.90845540000000002</v>
      </c>
      <c r="U4380">
        <v>-3.1067809999999998</v>
      </c>
      <c r="V4380">
        <v>-0.1756363</v>
      </c>
      <c r="W4380">
        <v>0.1138093</v>
      </c>
      <c r="X4380">
        <v>0.97785449999999996</v>
      </c>
      <c r="Y4380">
        <v>-1.7450730000000001E-2</v>
      </c>
      <c r="Z4380">
        <v>0.26103500000000002</v>
      </c>
      <c r="AA4380">
        <v>0.96517160000000002</v>
      </c>
      <c r="AB4380">
        <v>14</v>
      </c>
      <c r="AC4380">
        <v>-0.10140000000001199</v>
      </c>
      <c r="AD4380">
        <v>-0.20125949999999901</v>
      </c>
      <c r="AE4380">
        <v>-0.58710000000002005</v>
      </c>
      <c r="AF4380">
        <v>-3.3626162741041202E-3</v>
      </c>
      <c r="AG4380">
        <v>-0.20125949999999901</v>
      </c>
      <c r="AH4380">
        <v>0.53475915653162798</v>
      </c>
      <c r="AI4380">
        <v>110.623726141655</v>
      </c>
      <c r="AJ4380">
        <v>90.360276545092503</v>
      </c>
      <c r="AK4380">
        <v>0.57138782715671799</v>
      </c>
      <c r="AL4380">
        <v>83.4650482256814</v>
      </c>
      <c r="AM4380">
        <v>100.18254688446601</v>
      </c>
      <c r="AN4380">
        <v>1.00000004490721</v>
      </c>
    </row>
    <row r="4381" spans="1:40" x14ac:dyDescent="0.25">
      <c r="A4381" t="str">
        <f>"20190303161957991"</f>
        <v>20190303161957991</v>
      </c>
      <c r="B4381" t="str">
        <f>"1551601197977086"</f>
        <v>1551601197977086</v>
      </c>
      <c r="C4381" t="s">
        <v>40</v>
      </c>
      <c r="D4381">
        <v>4.5163250000000001</v>
      </c>
      <c r="E4381">
        <v>0.56131739999999997</v>
      </c>
      <c r="F4381" t="s">
        <v>42</v>
      </c>
      <c r="G4381">
        <v>-490.72649999999999</v>
      </c>
      <c r="H4381">
        <v>0.91788479999999995</v>
      </c>
      <c r="I4381">
        <v>263.29640000000001</v>
      </c>
      <c r="J4381">
        <v>-490.62079999999997</v>
      </c>
      <c r="K4381">
        <v>1.1233379999999999</v>
      </c>
      <c r="L4381">
        <v>263.9203</v>
      </c>
      <c r="M4381">
        <v>-0.1731473</v>
      </c>
      <c r="N4381">
        <v>-1.1987869999999999E-2</v>
      </c>
      <c r="O4381">
        <v>-0.984823</v>
      </c>
      <c r="P4381">
        <v>2.1808940000000001E-3</v>
      </c>
      <c r="Q4381">
        <v>0.10327740000000001</v>
      </c>
      <c r="R4381">
        <v>-0.99465040000000005</v>
      </c>
      <c r="S4381">
        <v>-0.51202389999999998</v>
      </c>
      <c r="T4381">
        <v>-0.90486929999999999</v>
      </c>
      <c r="U4381">
        <v>-3.1093139999999999</v>
      </c>
      <c r="V4381">
        <v>-0.17491499999999999</v>
      </c>
      <c r="W4381">
        <v>0.1141959</v>
      </c>
      <c r="X4381">
        <v>0.97793869999999905</v>
      </c>
      <c r="Y4381">
        <v>-1.6493730000000002E-2</v>
      </c>
      <c r="Z4381">
        <v>0.26019690000000001</v>
      </c>
      <c r="AA4381">
        <v>0.96541469999999896</v>
      </c>
      <c r="AB4381">
        <v>14</v>
      </c>
      <c r="AC4381">
        <v>-0.10570000000001301</v>
      </c>
      <c r="AD4381">
        <v>-0.2054532</v>
      </c>
      <c r="AE4381">
        <v>-0.62389999999999102</v>
      </c>
      <c r="AF4381">
        <v>-3.5562106872917098E-3</v>
      </c>
      <c r="AG4381">
        <v>-0.2054532</v>
      </c>
      <c r="AH4381">
        <v>0.57243450850472</v>
      </c>
      <c r="AI4381">
        <v>109.743283221582</v>
      </c>
      <c r="AJ4381">
        <v>90.355941577948002</v>
      </c>
      <c r="AK4381">
        <v>0.60819810140424901</v>
      </c>
      <c r="AL4381">
        <v>83.442752226549899</v>
      </c>
      <c r="AM4381">
        <v>100.140744035941</v>
      </c>
      <c r="AN4381">
        <v>1.0000000308797401</v>
      </c>
    </row>
    <row r="4382" spans="1:40" x14ac:dyDescent="0.25">
      <c r="A4382" t="str">
        <f>"20190303161958004"</f>
        <v>20190303161958004</v>
      </c>
      <c r="B4382" t="str">
        <f>"1551601197996606"</f>
        <v>1551601197996606</v>
      </c>
      <c r="C4382" t="s">
        <v>40</v>
      </c>
      <c r="D4382">
        <v>4.5334940000000001</v>
      </c>
      <c r="E4382">
        <v>0.56136180000000002</v>
      </c>
      <c r="F4382" t="s">
        <v>42</v>
      </c>
      <c r="G4382">
        <v>-490.74110000000002</v>
      </c>
      <c r="H4382">
        <v>0.90795919999999997</v>
      </c>
      <c r="I4382">
        <v>263.17869999999999</v>
      </c>
      <c r="J4382">
        <v>-490.63170000000002</v>
      </c>
      <c r="K4382">
        <v>1.123313</v>
      </c>
      <c r="L4382">
        <v>263.83670000000001</v>
      </c>
      <c r="M4382">
        <v>-0.16991909999999999</v>
      </c>
      <c r="N4382">
        <v>-1.189232E-2</v>
      </c>
      <c r="O4382">
        <v>-0.98538630000000005</v>
      </c>
      <c r="P4382">
        <v>5.0476779999999999E-3</v>
      </c>
      <c r="Q4382">
        <v>0.10344009999999999</v>
      </c>
      <c r="R4382">
        <v>-0.99462309999999998</v>
      </c>
      <c r="S4382">
        <v>-0.5046387</v>
      </c>
      <c r="T4382">
        <v>-0.90358470000000002</v>
      </c>
      <c r="U4382">
        <v>-3.111084</v>
      </c>
      <c r="V4382">
        <v>-0.1745217</v>
      </c>
      <c r="W4382">
        <v>0.1142726</v>
      </c>
      <c r="X4382">
        <v>0.97799999999999998</v>
      </c>
      <c r="Y4382">
        <v>-1.5529319999999999E-2</v>
      </c>
      <c r="Z4382">
        <v>0.26006030000000002</v>
      </c>
      <c r="AA4382">
        <v>0.96546750000000003</v>
      </c>
      <c r="AB4382">
        <v>14</v>
      </c>
      <c r="AC4382">
        <v>-0.109399999999993</v>
      </c>
      <c r="AD4382">
        <v>-0.21535380000000001</v>
      </c>
      <c r="AE4382">
        <v>-0.65800000000001502</v>
      </c>
      <c r="AF4382">
        <v>-3.6276624461834901E-3</v>
      </c>
      <c r="AG4382">
        <v>-0.21535380000000001</v>
      </c>
      <c r="AH4382">
        <v>0.60405695794971104</v>
      </c>
      <c r="AI4382">
        <v>109.621454933753</v>
      </c>
      <c r="AJ4382">
        <v>90.344085514144894</v>
      </c>
      <c r="AK4382">
        <v>0.64130743606847596</v>
      </c>
      <c r="AL4382">
        <v>83.438328647338494</v>
      </c>
      <c r="AM4382">
        <v>100.117792903424</v>
      </c>
      <c r="AN4382">
        <v>1.0000000254408199</v>
      </c>
    </row>
    <row r="4383" spans="1:40" x14ac:dyDescent="0.25">
      <c r="A4383" t="str">
        <f>"20190303161958018"</f>
        <v>20190303161958018</v>
      </c>
      <c r="B4383" t="str">
        <f>"1551601198007342"</f>
        <v>1551601198007342</v>
      </c>
      <c r="C4383" t="s">
        <v>40</v>
      </c>
      <c r="D4383">
        <v>4.5398339999999999</v>
      </c>
      <c r="E4383">
        <v>0.56136750000000002</v>
      </c>
      <c r="F4383" t="s">
        <v>42</v>
      </c>
      <c r="G4383">
        <v>-490.73840000000001</v>
      </c>
      <c r="H4383">
        <v>0.9292456</v>
      </c>
      <c r="I4383">
        <v>263.16840000000002</v>
      </c>
      <c r="J4383">
        <v>-490.642</v>
      </c>
      <c r="K4383">
        <v>1.1232770000000001</v>
      </c>
      <c r="L4383">
        <v>263.75490000000002</v>
      </c>
      <c r="M4383">
        <v>-0.16681109999999999</v>
      </c>
      <c r="N4383">
        <v>-1.178979E-2</v>
      </c>
      <c r="O4383">
        <v>-0.98591850000000003</v>
      </c>
      <c r="P4383">
        <v>7.3992729999999996E-3</v>
      </c>
      <c r="Q4383">
        <v>0.1031434</v>
      </c>
      <c r="R4383">
        <v>-0.99463950000000001</v>
      </c>
      <c r="S4383">
        <v>-0.49685669999999998</v>
      </c>
      <c r="T4383">
        <v>-0.90384129999999996</v>
      </c>
      <c r="U4383">
        <v>-3.1127009999999999</v>
      </c>
      <c r="V4383">
        <v>-0.17374779999999901</v>
      </c>
      <c r="W4383">
        <v>0.1138898</v>
      </c>
      <c r="X4383">
        <v>0.97818240000000001</v>
      </c>
      <c r="Y4383">
        <v>-1.4819270000000001E-2</v>
      </c>
      <c r="Z4383">
        <v>0.26035999999999998</v>
      </c>
      <c r="AA4383">
        <v>0.96539790000000003</v>
      </c>
      <c r="AB4383">
        <v>14</v>
      </c>
      <c r="AC4383">
        <v>-9.6400000000016903E-2</v>
      </c>
      <c r="AD4383">
        <v>-0.19403139999999999</v>
      </c>
      <c r="AE4383">
        <v>-0.58650000000000002</v>
      </c>
      <c r="AF4383">
        <v>-2.5234400332451502E-3</v>
      </c>
      <c r="AG4383">
        <v>-0.19403139999999999</v>
      </c>
      <c r="AH4383">
        <v>0.53712243305547602</v>
      </c>
      <c r="AI4383">
        <v>109.861666882012</v>
      </c>
      <c r="AJ4383">
        <v>90.269177735167602</v>
      </c>
      <c r="AK4383">
        <v>0.57109986869810803</v>
      </c>
      <c r="AL4383">
        <v>83.460405409630894</v>
      </c>
      <c r="AM4383">
        <v>100.072007442098</v>
      </c>
      <c r="AN4383">
        <v>0.99999999610932</v>
      </c>
    </row>
    <row r="4384" spans="1:40" x14ac:dyDescent="0.25">
      <c r="A4384" t="str">
        <f>"20190303161958035"</f>
        <v>20190303161958035</v>
      </c>
      <c r="B4384" t="str">
        <f>"1551601198026863"</f>
        <v>1551601198026863</v>
      </c>
      <c r="C4384" t="s">
        <v>40</v>
      </c>
      <c r="D4384">
        <v>4.5386749999999996</v>
      </c>
      <c r="E4384">
        <v>0.56137859999999995</v>
      </c>
      <c r="F4384" t="s">
        <v>42</v>
      </c>
      <c r="G4384">
        <v>-490.7527</v>
      </c>
      <c r="H4384">
        <v>0.91860520000000001</v>
      </c>
      <c r="I4384">
        <v>263.05079999999998</v>
      </c>
      <c r="J4384">
        <v>-490.6549</v>
      </c>
      <c r="K4384">
        <v>1.12323</v>
      </c>
      <c r="L4384">
        <v>263.6515</v>
      </c>
      <c r="M4384">
        <v>-0.16291749999999999</v>
      </c>
      <c r="N4384">
        <v>-1.1654380000000001E-2</v>
      </c>
      <c r="O4384">
        <v>-0.98657090000000003</v>
      </c>
      <c r="P4384">
        <v>9.7442689999999998E-3</v>
      </c>
      <c r="Q4384">
        <v>0.1020165</v>
      </c>
      <c r="R4384">
        <v>-0.99473509999999998</v>
      </c>
      <c r="S4384">
        <v>-0.48889159999999998</v>
      </c>
      <c r="T4384">
        <v>-0.9054238</v>
      </c>
      <c r="U4384">
        <v>-3.1137079999999999</v>
      </c>
      <c r="V4384">
        <v>-0.17219400000000001</v>
      </c>
      <c r="W4384">
        <v>0.1126542</v>
      </c>
      <c r="X4384">
        <v>0.97860009999999997</v>
      </c>
      <c r="Y4384">
        <v>-1.3361929999999999E-2</v>
      </c>
      <c r="Z4384">
        <v>0.26115939999999999</v>
      </c>
      <c r="AA4384">
        <v>0.96520320000000004</v>
      </c>
      <c r="AB4384">
        <v>14</v>
      </c>
      <c r="AC4384">
        <v>-9.7800000000006507E-2</v>
      </c>
      <c r="AD4384">
        <v>-0.204624799999999</v>
      </c>
      <c r="AE4384">
        <v>-0.600700000000017</v>
      </c>
      <c r="AF4384">
        <v>-1.2380502552617799E-3</v>
      </c>
      <c r="AG4384">
        <v>-0.204624799999999</v>
      </c>
      <c r="AH4384">
        <v>0.54679684649845495</v>
      </c>
      <c r="AI4384">
        <v>110.517034392852</v>
      </c>
      <c r="AJ4384">
        <v>90.129728131552</v>
      </c>
      <c r="AK4384">
        <v>0.58383185326267495</v>
      </c>
      <c r="AL4384">
        <v>83.531658359034395</v>
      </c>
      <c r="AM4384">
        <v>99.979579404469206</v>
      </c>
      <c r="AN4384">
        <v>0.99999994906682299</v>
      </c>
    </row>
    <row r="4385" spans="1:40" x14ac:dyDescent="0.25">
      <c r="A4385" t="str">
        <f>"20190303161958049"</f>
        <v>20190303161958049</v>
      </c>
      <c r="B4385" t="str">
        <f>"1551601198036622"</f>
        <v>1551601198036622</v>
      </c>
      <c r="C4385" t="s">
        <v>40</v>
      </c>
      <c r="D4385">
        <v>4.5696779999999997</v>
      </c>
      <c r="E4385">
        <v>0.56138549999999998</v>
      </c>
      <c r="F4385" t="s">
        <v>42</v>
      </c>
      <c r="G4385">
        <v>-490.76670000000001</v>
      </c>
      <c r="H4385">
        <v>0.91268919999999998</v>
      </c>
      <c r="I4385">
        <v>262.93060000000003</v>
      </c>
      <c r="J4385">
        <v>-490.66550000000001</v>
      </c>
      <c r="K4385">
        <v>1.1231799999999901</v>
      </c>
      <c r="L4385">
        <v>263.56360000000001</v>
      </c>
      <c r="M4385">
        <v>-0.15965689999999999</v>
      </c>
      <c r="N4385">
        <v>-1.1535989999999999E-2</v>
      </c>
      <c r="O4385">
        <v>-0.98710520000000002</v>
      </c>
      <c r="P4385">
        <v>1.233529E-2</v>
      </c>
      <c r="Q4385">
        <v>0.1012434</v>
      </c>
      <c r="R4385">
        <v>-0.99478569999999999</v>
      </c>
      <c r="S4385">
        <v>-0.48187259999999998</v>
      </c>
      <c r="T4385">
        <v>-0.91032559999999996</v>
      </c>
      <c r="U4385">
        <v>-3.113953</v>
      </c>
      <c r="V4385">
        <v>-0.1715091</v>
      </c>
      <c r="W4385">
        <v>0.1117838</v>
      </c>
      <c r="X4385">
        <v>0.97882020000000003</v>
      </c>
      <c r="Y4385">
        <v>-1.2264479999999999E-2</v>
      </c>
      <c r="Z4385">
        <v>0.26287509999999997</v>
      </c>
      <c r="AA4385">
        <v>0.9647519</v>
      </c>
      <c r="AB4385">
        <v>14</v>
      </c>
      <c r="AC4385">
        <v>-0.10120000000000499</v>
      </c>
      <c r="AD4385">
        <v>-0.21049079999999901</v>
      </c>
      <c r="AE4385">
        <v>-0.63299999999998102</v>
      </c>
      <c r="AF4385">
        <v>-1.0541870438005099E-3</v>
      </c>
      <c r="AG4385">
        <v>-0.21049079999999901</v>
      </c>
      <c r="AH4385">
        <v>0.57864788626969799</v>
      </c>
      <c r="AI4385">
        <v>109.989493587464</v>
      </c>
      <c r="AJ4385">
        <v>90.104381961876101</v>
      </c>
      <c r="AK4385">
        <v>0.61574415505090496</v>
      </c>
      <c r="AL4385">
        <v>83.581845859701204</v>
      </c>
      <c r="AM4385">
        <v>99.938488314627705</v>
      </c>
      <c r="AN4385">
        <v>0.99999998662664502</v>
      </c>
    </row>
    <row r="4386" spans="1:40" x14ac:dyDescent="0.25">
      <c r="A4386" t="str">
        <f>"20190303161958062"</f>
        <v>20190303161958062</v>
      </c>
      <c r="B4386" t="str">
        <f>"1551601198057118"</f>
        <v>1551601198057118</v>
      </c>
      <c r="C4386" t="s">
        <v>40</v>
      </c>
      <c r="D4386">
        <v>4.5969810000000004</v>
      </c>
      <c r="E4386">
        <v>0.56140089999999998</v>
      </c>
      <c r="F4386" t="s">
        <v>42</v>
      </c>
      <c r="G4386">
        <v>-490.78039999999999</v>
      </c>
      <c r="H4386">
        <v>0.90302720000000003</v>
      </c>
      <c r="I4386">
        <v>262.81169999999997</v>
      </c>
      <c r="J4386">
        <v>-490.67599999999999</v>
      </c>
      <c r="K4386">
        <v>1.123124</v>
      </c>
      <c r="L4386">
        <v>263.4751</v>
      </c>
      <c r="M4386">
        <v>-0.1564237</v>
      </c>
      <c r="N4386">
        <v>-1.141608E-2</v>
      </c>
      <c r="O4386">
        <v>-0.9876241</v>
      </c>
      <c r="P4386">
        <v>1.521229E-2</v>
      </c>
      <c r="Q4386">
        <v>0.1010475</v>
      </c>
      <c r="R4386">
        <v>-0.99476549999999997</v>
      </c>
      <c r="S4386">
        <v>-0.47436519999999999</v>
      </c>
      <c r="T4386">
        <v>-0.91306390000000004</v>
      </c>
      <c r="U4386">
        <v>-3.1145320000000001</v>
      </c>
      <c r="V4386">
        <v>-0.171126</v>
      </c>
      <c r="W4386">
        <v>0.11148810000000001</v>
      </c>
      <c r="X4386">
        <v>0.97892100000000004</v>
      </c>
      <c r="Y4386">
        <v>-1.1332739999999999E-2</v>
      </c>
      <c r="Z4386">
        <v>0.26395859999999999</v>
      </c>
      <c r="AA4386">
        <v>0.96446739999999997</v>
      </c>
      <c r="AB4386">
        <v>14</v>
      </c>
      <c r="AC4386">
        <v>-0.10439999999999799</v>
      </c>
      <c r="AD4386">
        <v>-0.22009680000000001</v>
      </c>
      <c r="AE4386">
        <v>-0.66340000000002397</v>
      </c>
      <c r="AF4386">
        <v>-5.9920778038034805E-4</v>
      </c>
      <c r="AG4386">
        <v>-0.22009680000000001</v>
      </c>
      <c r="AH4386">
        <v>0.60642681398021403</v>
      </c>
      <c r="AI4386">
        <v>109.947871727219</v>
      </c>
      <c r="AJ4386">
        <v>90.056613699959399</v>
      </c>
      <c r="AK4386">
        <v>0.64513288641519195</v>
      </c>
      <c r="AL4386">
        <v>83.598894969707104</v>
      </c>
      <c r="AM4386">
        <v>99.915729021515503</v>
      </c>
      <c r="AN4386">
        <v>1.0000000142793</v>
      </c>
    </row>
    <row r="4387" spans="1:40" x14ac:dyDescent="0.25">
      <c r="A4387" t="str">
        <f>"20190303161958082"</f>
        <v>20190303161958082</v>
      </c>
      <c r="B4387" t="str">
        <f>"1551601198077614"</f>
        <v>1551601198077614</v>
      </c>
      <c r="C4387" t="s">
        <v>40</v>
      </c>
      <c r="D4387">
        <v>4.6043339999999997</v>
      </c>
      <c r="E4387">
        <v>0.56138920000000003</v>
      </c>
      <c r="F4387" t="s">
        <v>42</v>
      </c>
      <c r="G4387">
        <v>-490.77699999999999</v>
      </c>
      <c r="H4387">
        <v>0.92550330000000003</v>
      </c>
      <c r="I4387">
        <v>262.80079999999998</v>
      </c>
      <c r="J4387">
        <v>-490.68889999999999</v>
      </c>
      <c r="K4387">
        <v>1.1230599999999999</v>
      </c>
      <c r="L4387">
        <v>263.36360000000002</v>
      </c>
      <c r="M4387">
        <v>-0.15243619999999999</v>
      </c>
      <c r="N4387">
        <v>-1.1271359999999999E-2</v>
      </c>
      <c r="O4387">
        <v>-0.98824909999999999</v>
      </c>
      <c r="P4387">
        <v>1.8617939999999999E-2</v>
      </c>
      <c r="Q4387">
        <v>0.10149610000000001</v>
      </c>
      <c r="R4387">
        <v>-0.99466169999999998</v>
      </c>
      <c r="S4387">
        <v>-0.46542359999999999</v>
      </c>
      <c r="T4387">
        <v>-0.91450600000000004</v>
      </c>
      <c r="U4387">
        <v>-3.1158450000000002</v>
      </c>
      <c r="V4387">
        <v>-0.1705063</v>
      </c>
      <c r="W4387">
        <v>0.111818899999999</v>
      </c>
      <c r="X4387">
        <v>0.97899139999999996</v>
      </c>
      <c r="Y4387">
        <v>-1.0091859999999999E-2</v>
      </c>
      <c r="Z4387">
        <v>0.2646966</v>
      </c>
      <c r="AA4387">
        <v>0.96427890000000005</v>
      </c>
      <c r="AB4387">
        <v>14</v>
      </c>
      <c r="AC4387">
        <v>-8.8099999999997097E-2</v>
      </c>
      <c r="AD4387">
        <v>-0.197556699999999</v>
      </c>
      <c r="AE4387">
        <v>-0.56280000000003805</v>
      </c>
      <c r="AF4387">
        <v>1.13698649049247E-3</v>
      </c>
      <c r="AG4387">
        <v>-0.197556699999999</v>
      </c>
      <c r="AH4387">
        <v>0.50849507715326703</v>
      </c>
      <c r="AI4387">
        <v>111.23172290391901</v>
      </c>
      <c r="AJ4387">
        <v>89.871887808496297</v>
      </c>
      <c r="AK4387">
        <v>0.54552468866429604</v>
      </c>
      <c r="AL4387">
        <v>83.579822260011696</v>
      </c>
      <c r="AM4387">
        <v>99.879833510396494</v>
      </c>
      <c r="AN4387">
        <v>1.0000000130054201</v>
      </c>
    </row>
    <row r="4388" spans="1:40" x14ac:dyDescent="0.25">
      <c r="A4388" t="str">
        <f>"20190303161958096"</f>
        <v>20190303161958096</v>
      </c>
      <c r="B4388" t="str">
        <f>"1551601198086398"</f>
        <v>1551601198086398</v>
      </c>
      <c r="C4388" t="s">
        <v>40</v>
      </c>
      <c r="D4388">
        <v>4.606687</v>
      </c>
      <c r="E4388">
        <v>0.5613977</v>
      </c>
      <c r="F4388" t="s">
        <v>42</v>
      </c>
      <c r="G4388">
        <v>-490.78899999999999</v>
      </c>
      <c r="H4388">
        <v>0.92219209999999996</v>
      </c>
      <c r="I4388">
        <v>262.67840000000001</v>
      </c>
      <c r="J4388">
        <v>-490.69889999999998</v>
      </c>
      <c r="K4388">
        <v>1.1230070000000001</v>
      </c>
      <c r="L4388">
        <v>263.27480000000003</v>
      </c>
      <c r="M4388">
        <v>-0.14934059999999999</v>
      </c>
      <c r="N4388">
        <v>-1.116311E-2</v>
      </c>
      <c r="O4388">
        <v>-0.98872300000000002</v>
      </c>
      <c r="P4388">
        <v>2.1475939999999999E-2</v>
      </c>
      <c r="Q4388">
        <v>0.1021842</v>
      </c>
      <c r="R4388">
        <v>-0.99453380000000002</v>
      </c>
      <c r="S4388">
        <v>-0.45556639999999998</v>
      </c>
      <c r="T4388">
        <v>-0.9141532</v>
      </c>
      <c r="U4388">
        <v>-3.1178889999999999</v>
      </c>
      <c r="V4388">
        <v>-0.170232299999999</v>
      </c>
      <c r="W4388">
        <v>0.1124206</v>
      </c>
      <c r="X4388">
        <v>0.97897020000000001</v>
      </c>
      <c r="Y4388">
        <v>-1.0036659999999999E-2</v>
      </c>
      <c r="Z4388">
        <v>0.26478190000000001</v>
      </c>
      <c r="AA4388">
        <v>0.96425609999999995</v>
      </c>
      <c r="AB4388">
        <v>14</v>
      </c>
      <c r="AC4388">
        <v>-9.0100000000006703E-2</v>
      </c>
      <c r="AD4388">
        <v>-0.20081489999999899</v>
      </c>
      <c r="AE4388">
        <v>-0.59640000000001603</v>
      </c>
      <c r="AF4388" s="1">
        <v>1.54922865002182E-5</v>
      </c>
      <c r="AG4388">
        <v>-0.20081489999999899</v>
      </c>
      <c r="AH4388">
        <v>0.54298075053061001</v>
      </c>
      <c r="AI4388">
        <v>110.29630766399001</v>
      </c>
      <c r="AJ4388">
        <v>89.998365241069095</v>
      </c>
      <c r="AK4388">
        <v>0.57892548721645198</v>
      </c>
      <c r="AL4388">
        <v>83.545128809957205</v>
      </c>
      <c r="AM4388">
        <v>99.864478362841794</v>
      </c>
      <c r="AN4388">
        <v>1.0000000398778399</v>
      </c>
    </row>
    <row r="4389" spans="1:40" x14ac:dyDescent="0.25">
      <c r="A4389" t="str">
        <f>"20190303161958114"</f>
        <v>20190303161958114</v>
      </c>
      <c r="B4389" t="str">
        <f>"1551601198106895"</f>
        <v>1551601198106895</v>
      </c>
      <c r="C4389" t="s">
        <v>40</v>
      </c>
      <c r="D4389">
        <v>4.6552600000000002</v>
      </c>
      <c r="E4389">
        <v>0.56140849999999998</v>
      </c>
      <c r="F4389" t="s">
        <v>42</v>
      </c>
      <c r="G4389">
        <v>-490.80169999999998</v>
      </c>
      <c r="H4389">
        <v>0.91358510000000004</v>
      </c>
      <c r="I4389">
        <v>262.55810000000002</v>
      </c>
      <c r="J4389">
        <v>-490.71120000000002</v>
      </c>
      <c r="K4389">
        <v>1.122935</v>
      </c>
      <c r="L4389">
        <v>263.16329999999999</v>
      </c>
      <c r="M4389">
        <v>-0.14555270000000001</v>
      </c>
      <c r="N4389">
        <v>-1.103547E-2</v>
      </c>
      <c r="O4389">
        <v>-0.98928899999999997</v>
      </c>
      <c r="P4389">
        <v>2.4836850000000001E-2</v>
      </c>
      <c r="Q4389">
        <v>0.1035638</v>
      </c>
      <c r="R4389">
        <v>-0.99431290000000006</v>
      </c>
      <c r="S4389">
        <v>-0.4464417</v>
      </c>
      <c r="T4389">
        <v>-0.91255779999999997</v>
      </c>
      <c r="U4389">
        <v>-3.119904</v>
      </c>
      <c r="V4389">
        <v>-0.1697573</v>
      </c>
      <c r="W4389">
        <v>0.1137027</v>
      </c>
      <c r="X4389">
        <v>0.97890449999999996</v>
      </c>
      <c r="Y4389">
        <v>-9.0484039999999995E-3</v>
      </c>
      <c r="Z4389">
        <v>0.2645749</v>
      </c>
      <c r="AA4389">
        <v>0.96432269999999998</v>
      </c>
      <c r="AB4389">
        <v>14</v>
      </c>
      <c r="AC4389">
        <v>-9.0499999999963096E-2</v>
      </c>
      <c r="AD4389">
        <v>-0.20934990000000001</v>
      </c>
      <c r="AE4389">
        <v>-0.60519999999996799</v>
      </c>
      <c r="AF4389">
        <v>1.2911311252785901E-3</v>
      </c>
      <c r="AG4389">
        <v>-0.20934990000000001</v>
      </c>
      <c r="AH4389">
        <v>0.547810408759138</v>
      </c>
      <c r="AI4389">
        <v>110.91468234489</v>
      </c>
      <c r="AJ4389">
        <v>89.864960164838493</v>
      </c>
      <c r="AK4389">
        <v>0.58645144009921801</v>
      </c>
      <c r="AL4389">
        <v>83.471195124499303</v>
      </c>
      <c r="AM4389">
        <v>99.8381393118418</v>
      </c>
      <c r="AN4389">
        <v>0.99999993250541197</v>
      </c>
    </row>
    <row r="4390" spans="1:40" x14ac:dyDescent="0.25">
      <c r="A4390" t="str">
        <f>"20190303161958137"</f>
        <v>20190303161958137</v>
      </c>
      <c r="B4390" t="str">
        <f>"1551601198126414"</f>
        <v>1551601198126414</v>
      </c>
      <c r="C4390" t="s">
        <v>40</v>
      </c>
      <c r="D4390">
        <v>4.6724050000000004</v>
      </c>
      <c r="E4390">
        <v>0.56139329999999998</v>
      </c>
      <c r="F4390" t="s">
        <v>42</v>
      </c>
      <c r="G4390">
        <v>-490.81299999999999</v>
      </c>
      <c r="H4390">
        <v>0.91084690000000001</v>
      </c>
      <c r="I4390">
        <v>262.43459999999999</v>
      </c>
      <c r="J4390">
        <v>-490.72609999999997</v>
      </c>
      <c r="K4390">
        <v>1.1228400000000001</v>
      </c>
      <c r="L4390">
        <v>263.02460000000002</v>
      </c>
      <c r="M4390">
        <v>-0.1410141</v>
      </c>
      <c r="N4390">
        <v>-1.0890250000000001E-2</v>
      </c>
      <c r="O4390">
        <v>-0.98994769999999999</v>
      </c>
      <c r="P4390">
        <v>2.8252159999999998E-2</v>
      </c>
      <c r="Q4390">
        <v>0.104351</v>
      </c>
      <c r="R4390">
        <v>-0.99413929999999995</v>
      </c>
      <c r="S4390">
        <v>-0.43649290000000002</v>
      </c>
      <c r="T4390">
        <v>-0.9089758</v>
      </c>
      <c r="U4390">
        <v>-3.1227719999999999</v>
      </c>
      <c r="V4390">
        <v>-0.16859560000000001</v>
      </c>
      <c r="W4390">
        <v>0.11438909999999999</v>
      </c>
      <c r="X4390">
        <v>0.97902540000000005</v>
      </c>
      <c r="Y4390">
        <v>-7.5673779999999996E-3</v>
      </c>
      <c r="Z4390">
        <v>0.26380120000000001</v>
      </c>
      <c r="AA4390">
        <v>0.96454740000000005</v>
      </c>
      <c r="AB4390">
        <v>14</v>
      </c>
      <c r="AC4390">
        <v>-8.6900000000071004E-2</v>
      </c>
      <c r="AD4390">
        <v>-0.21199309999999999</v>
      </c>
      <c r="AE4390">
        <v>-0.59000000000003106</v>
      </c>
      <c r="AF4390">
        <v>2.5110064298748801E-3</v>
      </c>
      <c r="AG4390">
        <v>-0.21199309999999999</v>
      </c>
      <c r="AH4390">
        <v>0.52945526385444996</v>
      </c>
      <c r="AI4390">
        <v>111.820868116215</v>
      </c>
      <c r="AJ4390">
        <v>89.728269786072303</v>
      </c>
      <c r="AK4390">
        <v>0.57032469350720405</v>
      </c>
      <c r="AL4390">
        <v>83.431609714905306</v>
      </c>
      <c r="AM4390">
        <v>99.770932869297297</v>
      </c>
      <c r="AN4390">
        <v>1.0000000381916601</v>
      </c>
    </row>
    <row r="4391" spans="1:40" x14ac:dyDescent="0.25">
      <c r="A4391" t="str">
        <f>"20190303161958151"</f>
        <v>20190303161958151</v>
      </c>
      <c r="B4391" t="str">
        <f>"1551601198137151"</f>
        <v>1551601198137151</v>
      </c>
      <c r="C4391" t="s">
        <v>40</v>
      </c>
      <c r="D4391">
        <v>4.6840929999999998</v>
      </c>
      <c r="E4391">
        <v>0.56137169999999903</v>
      </c>
      <c r="F4391" t="s">
        <v>42</v>
      </c>
      <c r="G4391">
        <v>-490.82409999999999</v>
      </c>
      <c r="H4391">
        <v>0.91471709999999995</v>
      </c>
      <c r="I4391">
        <v>262.30770000000001</v>
      </c>
      <c r="J4391">
        <v>-490.73570000000001</v>
      </c>
      <c r="K4391">
        <v>1.1227739999999999</v>
      </c>
      <c r="L4391">
        <v>262.93290000000002</v>
      </c>
      <c r="M4391">
        <v>-0.13811590000000001</v>
      </c>
      <c r="N4391">
        <v>-1.0800840000000001E-2</v>
      </c>
      <c r="O4391">
        <v>-0.9903573</v>
      </c>
      <c r="P4391">
        <v>3.013041E-2</v>
      </c>
      <c r="Q4391">
        <v>0.1042448</v>
      </c>
      <c r="R4391">
        <v>-0.99409539999999996</v>
      </c>
      <c r="S4391">
        <v>-0.4263306</v>
      </c>
      <c r="T4391">
        <v>-0.90788199999999997</v>
      </c>
      <c r="U4391">
        <v>-3.1250610000000001</v>
      </c>
      <c r="V4391">
        <v>-0.16756279999999901</v>
      </c>
      <c r="W4391">
        <v>0.1142252</v>
      </c>
      <c r="X4391">
        <v>0.97922180000000003</v>
      </c>
      <c r="Y4391">
        <v>-7.80534099999999E-3</v>
      </c>
      <c r="Z4391">
        <v>0.26361309999999999</v>
      </c>
      <c r="AA4391">
        <v>0.96459689999999998</v>
      </c>
      <c r="AB4391">
        <v>14</v>
      </c>
      <c r="AC4391">
        <v>-8.8399999999978704E-2</v>
      </c>
      <c r="AD4391">
        <v>-0.20805689999999899</v>
      </c>
      <c r="AE4391">
        <v>-0.62520000000000597</v>
      </c>
      <c r="AF4391">
        <v>1.0803008244833199E-3</v>
      </c>
      <c r="AG4391">
        <v>-0.20805689999999899</v>
      </c>
      <c r="AH4391">
        <v>0.56957594685144497</v>
      </c>
      <c r="AI4391">
        <v>110.066399524763</v>
      </c>
      <c r="AJ4391">
        <v>89.891328620936704</v>
      </c>
      <c r="AK4391">
        <v>0.60638733489346697</v>
      </c>
      <c r="AL4391">
        <v>83.441062271572306</v>
      </c>
      <c r="AM4391">
        <v>99.710309654872106</v>
      </c>
      <c r="AN4391">
        <v>1.0000000109270599</v>
      </c>
    </row>
    <row r="4392" spans="1:40" x14ac:dyDescent="0.25">
      <c r="A4392" t="str">
        <f>"20190303161958168"</f>
        <v>20190303161958168</v>
      </c>
      <c r="B4392" t="str">
        <f>"1551601198156670"</f>
        <v>1551601198156670</v>
      </c>
      <c r="C4392" t="s">
        <v>40</v>
      </c>
      <c r="D4392">
        <v>4.6932499999999999</v>
      </c>
      <c r="E4392">
        <v>0.56132720000000003</v>
      </c>
      <c r="F4392" t="s">
        <v>42</v>
      </c>
      <c r="G4392">
        <v>-490.83600000000001</v>
      </c>
      <c r="H4392">
        <v>0.90567220000000004</v>
      </c>
      <c r="I4392">
        <v>262.18630000000002</v>
      </c>
      <c r="J4392">
        <v>-490.74700000000001</v>
      </c>
      <c r="K4392">
        <v>1.122698</v>
      </c>
      <c r="L4392">
        <v>262.82400000000001</v>
      </c>
      <c r="M4392">
        <v>-0.13478399999999999</v>
      </c>
      <c r="N4392">
        <v>-1.069997E-2</v>
      </c>
      <c r="O4392">
        <v>-0.99081739999999996</v>
      </c>
      <c r="P4392">
        <v>3.0673639999999999E-2</v>
      </c>
      <c r="Q4392">
        <v>0.1043586</v>
      </c>
      <c r="R4392">
        <v>-0.99406700000000003</v>
      </c>
      <c r="S4392">
        <v>-0.41983029999999999</v>
      </c>
      <c r="T4392">
        <v>-0.90916450000000004</v>
      </c>
      <c r="U4392">
        <v>-3.1258539999999999</v>
      </c>
      <c r="V4392">
        <v>-0.16477900000000001</v>
      </c>
      <c r="W4392">
        <v>0.114283</v>
      </c>
      <c r="X4392">
        <v>0.97968730000000004</v>
      </c>
      <c r="Y4392">
        <v>-6.4663589999999996E-3</v>
      </c>
      <c r="Z4392">
        <v>0.26422299999999999</v>
      </c>
      <c r="AA4392">
        <v>0.96443990000000002</v>
      </c>
      <c r="AB4392">
        <v>14</v>
      </c>
      <c r="AC4392">
        <v>-8.9000000000055396E-2</v>
      </c>
      <c r="AD4392">
        <v>-0.21702579999999999</v>
      </c>
      <c r="AE4392">
        <v>-0.63769999999999505</v>
      </c>
      <c r="AF4392">
        <v>2.0035035118554198E-3</v>
      </c>
      <c r="AG4392">
        <v>-0.21702579999999999</v>
      </c>
      <c r="AH4392">
        <v>0.578189379769524</v>
      </c>
      <c r="AI4392">
        <v>110.573721073168</v>
      </c>
      <c r="AJ4392">
        <v>89.801463257462103</v>
      </c>
      <c r="AK4392">
        <v>0.61758171181652499</v>
      </c>
      <c r="AL4392">
        <v>83.437728439201393</v>
      </c>
      <c r="AM4392">
        <v>99.547529536226193</v>
      </c>
      <c r="AN4392">
        <v>0.99999996435564398</v>
      </c>
    </row>
    <row r="4393" spans="1:40" x14ac:dyDescent="0.25">
      <c r="A4393" t="str">
        <f>"20190303161958181"</f>
        <v>20190303161958181</v>
      </c>
      <c r="B4393" t="str">
        <f>"1551601198177166"</f>
        <v>1551601198177166</v>
      </c>
      <c r="C4393" t="s">
        <v>40</v>
      </c>
      <c r="D4393">
        <v>4.7301630000000001</v>
      </c>
      <c r="E4393">
        <v>0.56125009999999997</v>
      </c>
      <c r="F4393" t="s">
        <v>42</v>
      </c>
      <c r="G4393">
        <v>-490.84899999999999</v>
      </c>
      <c r="H4393">
        <v>0.90121090000000004</v>
      </c>
      <c r="I4393">
        <v>262.06270000000001</v>
      </c>
      <c r="J4393">
        <v>-490.75560000000002</v>
      </c>
      <c r="K4393">
        <v>1.1226389999999999</v>
      </c>
      <c r="L4393">
        <v>262.73919999999998</v>
      </c>
      <c r="M4393">
        <v>-0.13228010000000001</v>
      </c>
      <c r="N4393">
        <v>-1.0625010000000001E-2</v>
      </c>
      <c r="O4393">
        <v>-0.99115549999999997</v>
      </c>
      <c r="P4393">
        <v>3.162885E-2</v>
      </c>
      <c r="Q4393">
        <v>0.1048695</v>
      </c>
      <c r="R4393">
        <v>-0.99398280000000006</v>
      </c>
      <c r="S4393">
        <v>-0.41744999999999999</v>
      </c>
      <c r="T4393">
        <v>-0.91059990000000002</v>
      </c>
      <c r="U4393">
        <v>-3.1263730000000001</v>
      </c>
      <c r="V4393">
        <v>-0.16322229999999999</v>
      </c>
      <c r="W4393">
        <v>0.11474959999999999</v>
      </c>
      <c r="X4393">
        <v>0.97989340000000003</v>
      </c>
      <c r="Y4393">
        <v>-4.704438E-3</v>
      </c>
      <c r="Z4393">
        <v>0.26480320000000002</v>
      </c>
      <c r="AA4393">
        <v>0.96429100000000001</v>
      </c>
      <c r="AB4393">
        <v>14</v>
      </c>
      <c r="AC4393">
        <v>-9.3399999999974101E-2</v>
      </c>
      <c r="AD4393">
        <v>-0.22142809999999899</v>
      </c>
      <c r="AE4393">
        <v>-0.67649999999997501</v>
      </c>
      <c r="AF4393">
        <v>2.7929819827889699E-3</v>
      </c>
      <c r="AG4393">
        <v>-0.22142809999999899</v>
      </c>
      <c r="AH4393">
        <v>0.617945165208725</v>
      </c>
      <c r="AI4393">
        <v>109.71392372197801</v>
      </c>
      <c r="AJ4393">
        <v>89.741036908781595</v>
      </c>
      <c r="AK4393">
        <v>0.65642549571356901</v>
      </c>
      <c r="AL4393">
        <v>83.410817640012894</v>
      </c>
      <c r="AM4393">
        <v>99.457016079882095</v>
      </c>
      <c r="AN4393">
        <v>1.0000000326405001</v>
      </c>
    </row>
    <row r="4394" spans="1:40" x14ac:dyDescent="0.25">
      <c r="A4394" t="str">
        <f>"20190303161958193"</f>
        <v>20190303161958193</v>
      </c>
      <c r="B4394" t="str">
        <f>"1551601198187901"</f>
        <v>1551601198187901</v>
      </c>
      <c r="C4394" t="s">
        <v>40</v>
      </c>
      <c r="D4394">
        <v>4.7324840000000004</v>
      </c>
      <c r="E4394">
        <v>0.56121129999999997</v>
      </c>
      <c r="F4394" t="s">
        <v>42</v>
      </c>
      <c r="G4394">
        <v>-490.8467</v>
      </c>
      <c r="H4394">
        <v>0.9229214</v>
      </c>
      <c r="I4394">
        <v>262.05259999999998</v>
      </c>
      <c r="J4394">
        <v>-490.76319999999998</v>
      </c>
      <c r="K4394">
        <v>1.1225879999999999</v>
      </c>
      <c r="L4394">
        <v>262.66219999999998</v>
      </c>
      <c r="M4394">
        <v>-0.13007919999999901</v>
      </c>
      <c r="N4394">
        <v>-1.056053E-2</v>
      </c>
      <c r="O4394">
        <v>-0.99144739999999998</v>
      </c>
      <c r="P4394">
        <v>3.2262779999999998E-2</v>
      </c>
      <c r="Q4394">
        <v>0.10521999999999999</v>
      </c>
      <c r="R4394">
        <v>-0.99392539999999996</v>
      </c>
      <c r="S4394">
        <v>-0.4134216</v>
      </c>
      <c r="T4394">
        <v>-0.91082180000000001</v>
      </c>
      <c r="U4394">
        <v>-3.1274109999999999</v>
      </c>
      <c r="V4394">
        <v>-0.16165280000000001</v>
      </c>
      <c r="W4394">
        <v>0.1150622</v>
      </c>
      <c r="X4394">
        <v>0.98011680000000001</v>
      </c>
      <c r="Y4394">
        <v>-3.7530879999999999E-3</v>
      </c>
      <c r="Z4394">
        <v>0.26498119999999997</v>
      </c>
      <c r="AA4394">
        <v>0.9642463</v>
      </c>
      <c r="AB4394">
        <v>14</v>
      </c>
      <c r="AC4394">
        <v>-8.3500000000015007E-2</v>
      </c>
      <c r="AD4394">
        <v>-0.199666599999999</v>
      </c>
      <c r="AE4394">
        <v>-0.60960000000000003</v>
      </c>
      <c r="AF4394">
        <v>3.15729389592099E-3</v>
      </c>
      <c r="AG4394">
        <v>-0.199666599999999</v>
      </c>
      <c r="AH4394">
        <v>0.55666296189575004</v>
      </c>
      <c r="AI4394">
        <v>109.73185090494501</v>
      </c>
      <c r="AJ4394">
        <v>89.675031953772105</v>
      </c>
      <c r="AK4394">
        <v>0.59139696719450197</v>
      </c>
      <c r="AL4394">
        <v>83.392786938157798</v>
      </c>
      <c r="AM4394">
        <v>99.365602215354002</v>
      </c>
      <c r="AN4394">
        <v>0.99999993962945799</v>
      </c>
    </row>
    <row r="4395" spans="1:40" x14ac:dyDescent="0.25">
      <c r="A4395" t="str">
        <f>"20190303161958207"</f>
        <v>20190303161958207</v>
      </c>
      <c r="B4395" t="str">
        <f>"1551601198196686"</f>
        <v>1551601198196686</v>
      </c>
      <c r="C4395" t="s">
        <v>40</v>
      </c>
      <c r="D4395">
        <v>4.7201649999999997</v>
      </c>
      <c r="E4395">
        <v>0.56119459999999999</v>
      </c>
      <c r="F4395" t="s">
        <v>42</v>
      </c>
      <c r="G4395">
        <v>-490.85969999999998</v>
      </c>
      <c r="H4395">
        <v>0.91033209999999998</v>
      </c>
      <c r="I4395">
        <v>261.9323</v>
      </c>
      <c r="J4395">
        <v>-490.77179999999998</v>
      </c>
      <c r="K4395">
        <v>1.1225290000000001</v>
      </c>
      <c r="L4395">
        <v>262.57530000000003</v>
      </c>
      <c r="M4395">
        <v>-0.1276458</v>
      </c>
      <c r="N4395">
        <v>-1.049046E-2</v>
      </c>
      <c r="O4395">
        <v>-0.99176450000000005</v>
      </c>
      <c r="P4395">
        <v>3.3438780000000001E-2</v>
      </c>
      <c r="Q4395">
        <v>0.1053912</v>
      </c>
      <c r="R4395">
        <v>-0.9938688</v>
      </c>
      <c r="S4395">
        <v>-0.41217039999999999</v>
      </c>
      <c r="T4395">
        <v>-0.9104061</v>
      </c>
      <c r="U4395">
        <v>-3.128082</v>
      </c>
      <c r="V4395">
        <v>-0.1603889</v>
      </c>
      <c r="W4395">
        <v>0.1151906</v>
      </c>
      <c r="X4395">
        <v>0.9803094</v>
      </c>
      <c r="Y4395">
        <v>-1.7076319999999999E-3</v>
      </c>
      <c r="Z4395">
        <v>0.26501200000000003</v>
      </c>
      <c r="AA4395">
        <v>0.96424359999999998</v>
      </c>
      <c r="AB4395">
        <v>14</v>
      </c>
      <c r="AC4395">
        <v>-8.78999999999905E-2</v>
      </c>
      <c r="AD4395">
        <v>-0.21219689999999999</v>
      </c>
      <c r="AE4395">
        <v>-0.64300000000002899</v>
      </c>
      <c r="AF4395">
        <v>4.6075414191250998E-3</v>
      </c>
      <c r="AG4395">
        <v>-0.21219689999999999</v>
      </c>
      <c r="AH4395">
        <v>0.586281374084202</v>
      </c>
      <c r="AI4395">
        <v>109.896496440169</v>
      </c>
      <c r="AJ4395">
        <v>89.549726028915401</v>
      </c>
      <c r="AK4395">
        <v>0.62351792548859397</v>
      </c>
      <c r="AL4395">
        <v>83.385381294716396</v>
      </c>
      <c r="AM4395">
        <v>99.291864730261295</v>
      </c>
      <c r="AN4395">
        <v>0.99999999664996497</v>
      </c>
    </row>
    <row r="4396" spans="1:40" x14ac:dyDescent="0.25">
      <c r="A4396" t="str">
        <f>"20190303161958224"</f>
        <v>20190303161958224</v>
      </c>
      <c r="B4396" t="str">
        <f>"1551601198217184"</f>
        <v>1551601198217184</v>
      </c>
      <c r="C4396" t="s">
        <v>40</v>
      </c>
      <c r="D4396">
        <v>4.7536719999999999</v>
      </c>
      <c r="E4396">
        <v>0.56113930000000001</v>
      </c>
      <c r="F4396" t="s">
        <v>42</v>
      </c>
      <c r="G4396">
        <v>-490.87200000000001</v>
      </c>
      <c r="H4396">
        <v>0.90007519999999996</v>
      </c>
      <c r="I4396">
        <v>261.81020000000001</v>
      </c>
      <c r="J4396">
        <v>-490.78199999999998</v>
      </c>
      <c r="K4396">
        <v>1.1224529999999999</v>
      </c>
      <c r="L4396">
        <v>262.47030000000001</v>
      </c>
      <c r="M4396">
        <v>-0.1248311</v>
      </c>
      <c r="N4396">
        <v>-1.0412019999999999E-2</v>
      </c>
      <c r="O4396">
        <v>-0.99212359999999999</v>
      </c>
      <c r="P4396">
        <v>3.2686340000000001E-2</v>
      </c>
      <c r="Q4396">
        <v>0.1053369</v>
      </c>
      <c r="R4396">
        <v>-0.99389950000000005</v>
      </c>
      <c r="S4396">
        <v>-0.40905760000000002</v>
      </c>
      <c r="T4396">
        <v>-0.91020639999999997</v>
      </c>
      <c r="U4396">
        <v>-3.1287539999999998</v>
      </c>
      <c r="V4396">
        <v>-0.15684149999999999</v>
      </c>
      <c r="W4396">
        <v>0.1151015</v>
      </c>
      <c r="X4396">
        <v>0.98089369999999998</v>
      </c>
      <c r="Y4396">
        <v>1.5466939999999999E-4</v>
      </c>
      <c r="Z4396">
        <v>0.26513690000000001</v>
      </c>
      <c r="AA4396">
        <v>0.96421069999999998</v>
      </c>
      <c r="AB4396">
        <v>14</v>
      </c>
      <c r="AC4396">
        <v>-8.9999999999974906E-2</v>
      </c>
      <c r="AD4396">
        <v>-0.22237779999999999</v>
      </c>
      <c r="AE4396">
        <v>-0.66009999999999902</v>
      </c>
      <c r="AF4396">
        <v>6.1997130885879104E-3</v>
      </c>
      <c r="AG4396">
        <v>-0.22237779999999999</v>
      </c>
      <c r="AH4396">
        <v>0.59938761336747903</v>
      </c>
      <c r="AI4396">
        <v>110.354274084124</v>
      </c>
      <c r="AJ4396">
        <v>89.407387274484506</v>
      </c>
      <c r="AK4396">
        <v>0.63934015471701999</v>
      </c>
      <c r="AL4396">
        <v>83.390520760412798</v>
      </c>
      <c r="AM4396">
        <v>99.084496472875301</v>
      </c>
      <c r="AN4396">
        <v>1.00000003106209</v>
      </c>
    </row>
    <row r="4397" spans="1:40" x14ac:dyDescent="0.25">
      <c r="A4397" t="str">
        <f>"20190303161958236"</f>
        <v>20190303161958236</v>
      </c>
      <c r="B4397" t="str">
        <f>"1551601198226942"</f>
        <v>1551601198226942</v>
      </c>
      <c r="C4397" t="s">
        <v>40</v>
      </c>
      <c r="D4397">
        <v>4.7482490000000004</v>
      </c>
      <c r="E4397">
        <v>0.56110260000000001</v>
      </c>
      <c r="F4397" t="s">
        <v>42</v>
      </c>
      <c r="G4397">
        <v>-490.87029999999999</v>
      </c>
      <c r="H4397">
        <v>0.92654449999999999</v>
      </c>
      <c r="I4397">
        <v>261.79820000000001</v>
      </c>
      <c r="J4397">
        <v>-490.78899999999999</v>
      </c>
      <c r="K4397">
        <v>1.122404</v>
      </c>
      <c r="L4397">
        <v>262.3963</v>
      </c>
      <c r="M4397">
        <v>-0.1229444</v>
      </c>
      <c r="N4397">
        <v>-1.036188E-2</v>
      </c>
      <c r="O4397">
        <v>-0.9923594</v>
      </c>
      <c r="P4397">
        <v>3.2652819999999999E-2</v>
      </c>
      <c r="Q4397">
        <v>0.10506889999999899</v>
      </c>
      <c r="R4397">
        <v>-0.99392910000000001</v>
      </c>
      <c r="S4397">
        <v>-0.40988160000000001</v>
      </c>
      <c r="T4397">
        <v>-0.91232899999999995</v>
      </c>
      <c r="U4397">
        <v>-3.128571</v>
      </c>
      <c r="V4397">
        <v>-0.1549307</v>
      </c>
      <c r="W4397">
        <v>0.1148102</v>
      </c>
      <c r="X4397">
        <v>0.98123150000000003</v>
      </c>
      <c r="Y4397">
        <v>2.283986E-3</v>
      </c>
      <c r="Z4397">
        <v>0.26588390000000001</v>
      </c>
      <c r="AA4397">
        <v>0.96400240000000004</v>
      </c>
      <c r="AB4397">
        <v>14</v>
      </c>
      <c r="AC4397">
        <v>-8.1299999999998804E-2</v>
      </c>
      <c r="AD4397">
        <v>-0.19585949999999999</v>
      </c>
      <c r="AE4397">
        <v>-0.59809999999998797</v>
      </c>
      <c r="AF4397">
        <v>6.4654095526303296E-3</v>
      </c>
      <c r="AG4397">
        <v>-0.19585949999999999</v>
      </c>
      <c r="AH4397">
        <v>0.54606260995898304</v>
      </c>
      <c r="AI4397">
        <v>109.73041081762599</v>
      </c>
      <c r="AJ4397">
        <v>89.321646703897102</v>
      </c>
      <c r="AK4397">
        <v>0.58016128727807204</v>
      </c>
      <c r="AL4397">
        <v>83.407322730765799</v>
      </c>
      <c r="AM4397">
        <v>98.972593031772504</v>
      </c>
      <c r="AN4397">
        <v>1.00000008020938</v>
      </c>
    </row>
    <row r="4398" spans="1:40" x14ac:dyDescent="0.25">
      <c r="A4398" t="str">
        <f>"20190303161958248"</f>
        <v>20190303161958248</v>
      </c>
      <c r="B4398" t="str">
        <f>"1551601198236703"</f>
        <v>1551601198236703</v>
      </c>
      <c r="C4398" t="s">
        <v>40</v>
      </c>
      <c r="D4398">
        <v>4.7856339999999999</v>
      </c>
      <c r="E4398">
        <v>0.56107419999999997</v>
      </c>
      <c r="F4398" t="s">
        <v>42</v>
      </c>
      <c r="G4398">
        <v>-490.88299999999998</v>
      </c>
      <c r="H4398">
        <v>0.91245779999999999</v>
      </c>
      <c r="I4398">
        <v>261.67779999999999</v>
      </c>
      <c r="J4398">
        <v>-490.79669999999999</v>
      </c>
      <c r="K4398">
        <v>1.1223479999999999</v>
      </c>
      <c r="L4398">
        <v>262.31549999999999</v>
      </c>
      <c r="M4398">
        <v>-0.12092269999999899</v>
      </c>
      <c r="N4398">
        <v>-1.030914E-2</v>
      </c>
      <c r="O4398">
        <v>-0.99260859999999995</v>
      </c>
      <c r="P4398">
        <v>3.2608869999999998E-2</v>
      </c>
      <c r="Q4398">
        <v>0.104588</v>
      </c>
      <c r="R4398">
        <v>-0.99398120000000001</v>
      </c>
      <c r="S4398">
        <v>-0.40856930000000002</v>
      </c>
      <c r="T4398">
        <v>-0.91441760000000005</v>
      </c>
      <c r="U4398">
        <v>-3.1284179999999999</v>
      </c>
      <c r="V4398">
        <v>-0.15287590000000001</v>
      </c>
      <c r="W4398">
        <v>0.1143067</v>
      </c>
      <c r="X4398">
        <v>0.98161240000000005</v>
      </c>
      <c r="Y4398">
        <v>3.9011380000000002E-3</v>
      </c>
      <c r="Z4398">
        <v>0.26663710000000002</v>
      </c>
      <c r="AA4398">
        <v>0.96378909999999995</v>
      </c>
      <c r="AB4398">
        <v>14</v>
      </c>
      <c r="AC4398">
        <v>-8.63000000000511E-2</v>
      </c>
      <c r="AD4398">
        <v>-0.209890199999999</v>
      </c>
      <c r="AE4398">
        <v>-0.63769999999999505</v>
      </c>
      <c r="AF4398">
        <v>7.7280415912802198E-3</v>
      </c>
      <c r="AG4398">
        <v>-0.209890199999999</v>
      </c>
      <c r="AH4398">
        <v>0.58158572512857898</v>
      </c>
      <c r="AI4398">
        <v>109.842541934953</v>
      </c>
      <c r="AJ4398">
        <v>89.238705335702605</v>
      </c>
      <c r="AK4398">
        <v>0.61834907160617003</v>
      </c>
      <c r="AL4398">
        <v>83.436361695821503</v>
      </c>
      <c r="AM4398">
        <v>98.852108824416902</v>
      </c>
      <c r="AN4398">
        <v>0.99999998314972904</v>
      </c>
    </row>
    <row r="4399" spans="1:40" x14ac:dyDescent="0.25">
      <c r="A4399" t="str">
        <f>"20190303161958261"</f>
        <v>20190303161958261</v>
      </c>
      <c r="B4399" t="str">
        <f>"1551601198246462"</f>
        <v>1551601198246462</v>
      </c>
      <c r="C4399" t="s">
        <v>40</v>
      </c>
      <c r="D4399">
        <v>4.8090669999999998</v>
      </c>
      <c r="E4399">
        <v>0.56103340000000002</v>
      </c>
      <c r="F4399" t="s">
        <v>42</v>
      </c>
      <c r="G4399">
        <v>-490.89569999999998</v>
      </c>
      <c r="H4399">
        <v>0.89975620000000001</v>
      </c>
      <c r="I4399">
        <v>261.55599999999998</v>
      </c>
      <c r="J4399">
        <v>-490.80410000000001</v>
      </c>
      <c r="K4399">
        <v>1.122288</v>
      </c>
      <c r="L4399">
        <v>262.23590000000002</v>
      </c>
      <c r="M4399">
        <v>-0.11901639999999999</v>
      </c>
      <c r="N4399">
        <v>-1.02611E-2</v>
      </c>
      <c r="O4399">
        <v>-0.99283949999999999</v>
      </c>
      <c r="P4399">
        <v>3.2887159999999999E-2</v>
      </c>
      <c r="Q4399">
        <v>0.1045268</v>
      </c>
      <c r="R4399">
        <v>-0.99397840000000004</v>
      </c>
      <c r="S4399">
        <v>-0.40695189999999998</v>
      </c>
      <c r="T4399">
        <v>-0.91716359999999997</v>
      </c>
      <c r="U4399">
        <v>-3.1280209999999999</v>
      </c>
      <c r="V4399">
        <v>-0.15124960000000001</v>
      </c>
      <c r="W4399">
        <v>0.1142248</v>
      </c>
      <c r="X4399">
        <v>0.98187389999999997</v>
      </c>
      <c r="Y4399">
        <v>5.3120169999999996E-3</v>
      </c>
      <c r="Z4399">
        <v>0.26758359999999998</v>
      </c>
      <c r="AA4399">
        <v>0.96352000000000004</v>
      </c>
      <c r="AB4399">
        <v>14</v>
      </c>
      <c r="AC4399">
        <v>-9.1599999999971204E-2</v>
      </c>
      <c r="AD4399">
        <v>-0.222531799999999</v>
      </c>
      <c r="AE4399">
        <v>-0.67990000000003104</v>
      </c>
      <c r="AF4399">
        <v>9.0709626849452604E-3</v>
      </c>
      <c r="AG4399">
        <v>-0.222531799999999</v>
      </c>
      <c r="AH4399">
        <v>0.620665478942932</v>
      </c>
      <c r="AI4399">
        <v>109.722712867664</v>
      </c>
      <c r="AJ4399">
        <v>89.162687636835102</v>
      </c>
      <c r="AK4399">
        <v>0.65941513565183696</v>
      </c>
      <c r="AL4399">
        <v>83.441085604654205</v>
      </c>
      <c r="AM4399">
        <v>98.757111148576598</v>
      </c>
      <c r="AN4399">
        <v>1.0000000509682001</v>
      </c>
    </row>
    <row r="4400" spans="1:40" x14ac:dyDescent="0.25">
      <c r="A4400" t="str">
        <f>"20190303161958280"</f>
        <v>20190303161958280</v>
      </c>
      <c r="B4400" t="str">
        <f>"1551601198266958"</f>
        <v>1551601198266958</v>
      </c>
      <c r="C4400" t="s">
        <v>40</v>
      </c>
      <c r="D4400">
        <v>4.8396350000000004</v>
      </c>
      <c r="E4400">
        <v>0.56099840000000001</v>
      </c>
      <c r="F4400" t="s">
        <v>42</v>
      </c>
      <c r="G4400">
        <v>-490.89339999999999</v>
      </c>
      <c r="H4400">
        <v>0.91997850000000003</v>
      </c>
      <c r="I4400">
        <v>261.54669999999999</v>
      </c>
      <c r="J4400">
        <v>-490.81540000000001</v>
      </c>
      <c r="K4400">
        <v>1.122204</v>
      </c>
      <c r="L4400">
        <v>262.11320000000001</v>
      </c>
      <c r="M4400">
        <v>-0.1162102</v>
      </c>
      <c r="N4400">
        <v>-1.01907E-2</v>
      </c>
      <c r="O4400">
        <v>-0.99317230000000001</v>
      </c>
      <c r="P4400">
        <v>3.3402139999999997E-2</v>
      </c>
      <c r="Q4400">
        <v>0.1047117</v>
      </c>
      <c r="R4400">
        <v>-0.99394150000000003</v>
      </c>
      <c r="S4400">
        <v>-0.4043274</v>
      </c>
      <c r="T4400">
        <v>-0.91882189999999997</v>
      </c>
      <c r="U4400">
        <v>-3.1282040000000002</v>
      </c>
      <c r="V4400">
        <v>-0.14895610000000001</v>
      </c>
      <c r="W4400">
        <v>0.1143792</v>
      </c>
      <c r="X4400">
        <v>0.98220640000000003</v>
      </c>
      <c r="Y4400">
        <v>7.3106209999999998E-3</v>
      </c>
      <c r="Z4400">
        <v>0.26824589999999998</v>
      </c>
      <c r="AA4400">
        <v>0.96332280000000003</v>
      </c>
      <c r="AB4400">
        <v>14</v>
      </c>
      <c r="AC4400">
        <v>-7.7999999999974506E-2</v>
      </c>
      <c r="AD4400">
        <v>-0.202225499999999</v>
      </c>
      <c r="AE4400">
        <v>-0.56650000000001899</v>
      </c>
      <c r="AF4400">
        <v>1.03416474127421E-2</v>
      </c>
      <c r="AG4400">
        <v>-0.202225499999999</v>
      </c>
      <c r="AH4400">
        <v>0.50817433084707497</v>
      </c>
      <c r="AI4400">
        <v>111.695766818943</v>
      </c>
      <c r="AJ4400">
        <v>88.834158012589697</v>
      </c>
      <c r="AK4400">
        <v>0.54703130902474995</v>
      </c>
      <c r="AL4400">
        <v>83.432180218773198</v>
      </c>
      <c r="AM4400">
        <v>98.623457461058905</v>
      </c>
      <c r="AN4400">
        <v>0.99999996666040403</v>
      </c>
    </row>
    <row r="4401" spans="1:40" x14ac:dyDescent="0.25">
      <c r="A4401" t="str">
        <f>"20190303161958295"</f>
        <v>20190303161958295</v>
      </c>
      <c r="B4401" t="str">
        <f>"1551601198286478"</f>
        <v>1551601198286478</v>
      </c>
      <c r="C4401" t="s">
        <v>40</v>
      </c>
      <c r="D4401">
        <v>4.8340779999999999</v>
      </c>
      <c r="E4401">
        <v>0.55783909999999903</v>
      </c>
      <c r="F4401" t="s">
        <v>42</v>
      </c>
      <c r="G4401">
        <v>-490.9042</v>
      </c>
      <c r="H4401">
        <v>0.91829749999999999</v>
      </c>
      <c r="I4401">
        <v>261.41950000000003</v>
      </c>
      <c r="J4401">
        <v>-490.82369999999997</v>
      </c>
      <c r="K4401">
        <v>1.122144</v>
      </c>
      <c r="L4401">
        <v>262.02300000000002</v>
      </c>
      <c r="M4401">
        <v>-0.1142533</v>
      </c>
      <c r="N4401">
        <v>-1.014082E-2</v>
      </c>
      <c r="O4401">
        <v>-0.99340019999999996</v>
      </c>
      <c r="P4401">
        <v>3.4981440000000003E-2</v>
      </c>
      <c r="Q4401">
        <v>0.10510559999999999</v>
      </c>
      <c r="R4401">
        <v>-0.99384600000000001</v>
      </c>
      <c r="S4401">
        <v>-0.40011600000000003</v>
      </c>
      <c r="T4401">
        <v>-0.91990709999999998</v>
      </c>
      <c r="U4401">
        <v>-3.1286320000000001</v>
      </c>
      <c r="V4401">
        <v>-0.14856159999999999</v>
      </c>
      <c r="W4401">
        <v>0.1147458</v>
      </c>
      <c r="X4401">
        <v>0.98222350000000003</v>
      </c>
      <c r="Y4401">
        <v>7.9734139999999998E-3</v>
      </c>
      <c r="Z4401">
        <v>0.26867449999999998</v>
      </c>
      <c r="AA4401">
        <v>0.96319809999999995</v>
      </c>
      <c r="AB4401">
        <v>14</v>
      </c>
      <c r="AC4401">
        <v>-8.0500000000029104E-2</v>
      </c>
      <c r="AD4401">
        <v>-0.20384650000000001</v>
      </c>
      <c r="AE4401">
        <v>-0.60349999999993997</v>
      </c>
      <c r="AF4401">
        <v>9.9068839750079199E-3</v>
      </c>
      <c r="AG4401">
        <v>-0.20384650000000001</v>
      </c>
      <c r="AH4401">
        <v>0.54738544079868701</v>
      </c>
      <c r="AI4401">
        <v>110.422277363557</v>
      </c>
      <c r="AJ4401">
        <v>88.963142543807905</v>
      </c>
      <c r="AK4401">
        <v>0.58419377154392604</v>
      </c>
      <c r="AL4401">
        <v>83.411037097188398</v>
      </c>
      <c r="AM4401">
        <v>98.600813332396697</v>
      </c>
      <c r="AN4401">
        <v>1.0000000757822201</v>
      </c>
    </row>
    <row r="4402" spans="1:40" x14ac:dyDescent="0.25">
      <c r="A4402" t="str">
        <f>"20190303161958309"</f>
        <v>20190303161958309</v>
      </c>
      <c r="B4402" t="str">
        <f>"1551601198298191"</f>
        <v>1551601198298191</v>
      </c>
      <c r="C4402" t="s">
        <v>40</v>
      </c>
      <c r="D4402">
        <v>4.8487819999999999</v>
      </c>
      <c r="E4402">
        <v>0.55768070000000003</v>
      </c>
      <c r="F4402" t="s">
        <v>42</v>
      </c>
      <c r="G4402">
        <v>-490.90940000000001</v>
      </c>
      <c r="H4402">
        <v>0.89721700000000004</v>
      </c>
      <c r="I4402">
        <v>261.29939999999999</v>
      </c>
      <c r="J4402">
        <v>-490.83249999999998</v>
      </c>
      <c r="K4402">
        <v>1.1220779999999999</v>
      </c>
      <c r="L4402">
        <v>261.92570000000001</v>
      </c>
      <c r="M4402">
        <v>-0.1122233</v>
      </c>
      <c r="N4402">
        <v>-1.0088700000000001E-2</v>
      </c>
      <c r="O4402">
        <v>-0.99363179999999995</v>
      </c>
      <c r="P4402">
        <v>3.7274479999999999E-2</v>
      </c>
      <c r="Q4402">
        <v>0.1057299</v>
      </c>
      <c r="R4402">
        <v>-0.99369620000000003</v>
      </c>
      <c r="S4402">
        <v>-0.37023929999999999</v>
      </c>
      <c r="T4402">
        <v>-0.97492849999999998</v>
      </c>
      <c r="U4402">
        <v>-3.1347049999999999</v>
      </c>
      <c r="V4402">
        <v>-0.14879809999999999</v>
      </c>
      <c r="W4402">
        <v>0.11533839999999999</v>
      </c>
      <c r="X4402">
        <v>0.98211820000000005</v>
      </c>
      <c r="Y4402">
        <v>2.386547E-4</v>
      </c>
      <c r="Z4402">
        <v>0.28373619999999999</v>
      </c>
      <c r="AA4402">
        <v>0.95890240000000004</v>
      </c>
      <c r="AB4402">
        <v>14</v>
      </c>
      <c r="AC4402">
        <v>-7.69000000000232E-2</v>
      </c>
      <c r="AD4402">
        <v>-0.22486100000000001</v>
      </c>
      <c r="AE4402">
        <v>-0.62630000000001396</v>
      </c>
      <c r="AF4402">
        <v>5.4349654719991099E-3</v>
      </c>
      <c r="AG4402">
        <v>-0.22486100000000001</v>
      </c>
      <c r="AH4402">
        <v>0.55987581125378305</v>
      </c>
      <c r="AI4402">
        <v>111.880771698258</v>
      </c>
      <c r="AJ4402">
        <v>89.443821654599105</v>
      </c>
      <c r="AK4402">
        <v>0.60336799069702396</v>
      </c>
      <c r="AL4402">
        <v>83.376856112278901</v>
      </c>
      <c r="AM4402">
        <v>98.615209745755195</v>
      </c>
      <c r="AN4402">
        <v>0.99999998992470496</v>
      </c>
    </row>
    <row r="4403" spans="1:40" x14ac:dyDescent="0.25">
      <c r="A4403" t="str">
        <f>"20190303161958326"</f>
        <v>20190303161958326</v>
      </c>
      <c r="B4403" t="str">
        <f>"1551601198316735"</f>
        <v>1551601198316735</v>
      </c>
      <c r="C4403" t="s">
        <v>40</v>
      </c>
      <c r="D4403">
        <v>4.8710559999999896</v>
      </c>
      <c r="E4403">
        <v>0.55742740000000002</v>
      </c>
      <c r="F4403" t="s">
        <v>42</v>
      </c>
      <c r="G4403">
        <v>-490.91910000000001</v>
      </c>
      <c r="H4403">
        <v>0.88871060000000002</v>
      </c>
      <c r="I4403">
        <v>261.1739</v>
      </c>
      <c r="J4403">
        <v>-490.84199999999998</v>
      </c>
      <c r="K4403">
        <v>1.1220139999999901</v>
      </c>
      <c r="L4403">
        <v>261.81950000000001</v>
      </c>
      <c r="M4403">
        <v>-0.110114</v>
      </c>
      <c r="N4403">
        <v>-1.003476E-2</v>
      </c>
      <c r="O4403">
        <v>-0.99386850000000004</v>
      </c>
      <c r="P4403">
        <v>3.9266660000000002E-2</v>
      </c>
      <c r="Q4403">
        <v>0.1069427</v>
      </c>
      <c r="R4403">
        <v>-0.99348970000000003</v>
      </c>
      <c r="S4403">
        <v>-0.36083979999999999</v>
      </c>
      <c r="T4403">
        <v>-0.97382190000000002</v>
      </c>
      <c r="U4403">
        <v>-3.1362000000000001</v>
      </c>
      <c r="V4403">
        <v>-0.14865339999999999</v>
      </c>
      <c r="W4403">
        <v>0.1165191</v>
      </c>
      <c r="X4403">
        <v>0.98200080000000001</v>
      </c>
      <c r="Y4403">
        <v>-5.1670379999999895E-4</v>
      </c>
      <c r="Z4403">
        <v>0.28349999999999997</v>
      </c>
      <c r="AA4403">
        <v>0.95897209999999999</v>
      </c>
      <c r="AB4403">
        <v>15</v>
      </c>
      <c r="AC4403">
        <v>-7.7100000000029895E-2</v>
      </c>
      <c r="AD4403">
        <v>-0.23330339999999899</v>
      </c>
      <c r="AE4403">
        <v>-0.64560000000000095</v>
      </c>
      <c r="AF4403">
        <v>4.9062369862054398E-3</v>
      </c>
      <c r="AG4403">
        <v>-0.23330339999999899</v>
      </c>
      <c r="AH4403">
        <v>0.57600078307206404</v>
      </c>
      <c r="AI4403">
        <v>112.049196801646</v>
      </c>
      <c r="AJ4403">
        <v>89.511980047857094</v>
      </c>
      <c r="AK4403">
        <v>0.62147522051370296</v>
      </c>
      <c r="AL4403">
        <v>83.308748183485093</v>
      </c>
      <c r="AM4403">
        <v>98.6079709046261</v>
      </c>
      <c r="AN4403">
        <v>1.0000000525985</v>
      </c>
    </row>
    <row r="4404" spans="1:40" x14ac:dyDescent="0.25">
      <c r="A4404" t="str">
        <f>"20190303161958342"</f>
        <v>20190303161958342</v>
      </c>
      <c r="B4404" t="str">
        <f>"1551601198337230"</f>
        <v>1551601198337230</v>
      </c>
      <c r="C4404" t="s">
        <v>40</v>
      </c>
      <c r="D4404">
        <v>4.9053589999999998</v>
      </c>
      <c r="E4404">
        <v>0.55735679999999999</v>
      </c>
      <c r="F4404" t="s">
        <v>42</v>
      </c>
      <c r="G4404">
        <v>-490.92930000000001</v>
      </c>
      <c r="H4404">
        <v>0.88282839999999996</v>
      </c>
      <c r="I4404">
        <v>261.0471</v>
      </c>
      <c r="J4404">
        <v>-490.85109999999997</v>
      </c>
      <c r="K4404">
        <v>1.121961</v>
      </c>
      <c r="L4404">
        <v>261.7165</v>
      </c>
      <c r="M4404">
        <v>-0.1081797</v>
      </c>
      <c r="N4404">
        <v>-9.9872769999999993E-3</v>
      </c>
      <c r="O4404">
        <v>-0.9940814</v>
      </c>
      <c r="P4404">
        <v>4.1038579999999998E-2</v>
      </c>
      <c r="Q4404">
        <v>0.106863899999999</v>
      </c>
      <c r="R4404">
        <v>-0.99342680000000005</v>
      </c>
      <c r="S4404">
        <v>-0.35214230000000002</v>
      </c>
      <c r="T4404">
        <v>-0.97263840000000001</v>
      </c>
      <c r="U4404">
        <v>-3.1382750000000001</v>
      </c>
      <c r="V4404">
        <v>-0.1484801</v>
      </c>
      <c r="W4404">
        <v>0.1164121</v>
      </c>
      <c r="X4404">
        <v>0.98203960000000001</v>
      </c>
      <c r="Y4404">
        <v>-1.2532649999999999E-3</v>
      </c>
      <c r="Z4404">
        <v>0.2831727</v>
      </c>
      <c r="AA4404">
        <v>0.95906809999999998</v>
      </c>
      <c r="AB4404">
        <v>15</v>
      </c>
      <c r="AC4404">
        <v>-7.8200000000038003E-2</v>
      </c>
      <c r="AD4404">
        <v>-0.2391326</v>
      </c>
      <c r="AE4404">
        <v>-0.669399999999996</v>
      </c>
      <c r="AF4404">
        <v>4.7268383901077002E-3</v>
      </c>
      <c r="AG4404">
        <v>-0.2391326</v>
      </c>
      <c r="AH4404">
        <v>0.59857209157868896</v>
      </c>
      <c r="AI4404">
        <v>111.776345036498</v>
      </c>
      <c r="AJ4404">
        <v>89.547552810140502</v>
      </c>
      <c r="AK4404">
        <v>0.64458924300736897</v>
      </c>
      <c r="AL4404">
        <v>83.314920125965898</v>
      </c>
      <c r="AM4404">
        <v>98.597751175799601</v>
      </c>
      <c r="AN4404">
        <v>0.99999994654528801</v>
      </c>
    </row>
    <row r="4405" spans="1:40" x14ac:dyDescent="0.25">
      <c r="A4405" t="str">
        <f>"20190303161958357"</f>
        <v>20190303161958357</v>
      </c>
      <c r="B4405" t="str">
        <f>"1551601198346990"</f>
        <v>1551601198346990</v>
      </c>
      <c r="C4405" t="s">
        <v>40</v>
      </c>
      <c r="D4405">
        <v>4.8708239999999998</v>
      </c>
      <c r="E4405">
        <v>0.55744249999999995</v>
      </c>
      <c r="F4405" t="s">
        <v>42</v>
      </c>
      <c r="G4405">
        <v>-490.92660000000001</v>
      </c>
      <c r="H4405">
        <v>0.91109759999999995</v>
      </c>
      <c r="I4405">
        <v>261.03480000000002</v>
      </c>
      <c r="J4405">
        <v>-490.86</v>
      </c>
      <c r="K4405">
        <v>1.1219159999999999</v>
      </c>
      <c r="L4405">
        <v>261.61529999999999</v>
      </c>
      <c r="M4405">
        <v>-0.10636610000000001</v>
      </c>
      <c r="N4405">
        <v>-9.9450170000000004E-3</v>
      </c>
      <c r="O4405">
        <v>-0.99427730000000003</v>
      </c>
      <c r="P4405">
        <v>4.262821E-2</v>
      </c>
      <c r="Q4405">
        <v>0.10609109999999999</v>
      </c>
      <c r="R4405">
        <v>-0.9934423</v>
      </c>
      <c r="S4405">
        <v>-0.34494019999999997</v>
      </c>
      <c r="T4405">
        <v>-0.97188379999999996</v>
      </c>
      <c r="U4405">
        <v>-3.1386409999999998</v>
      </c>
      <c r="V4405">
        <v>-0.1482561</v>
      </c>
      <c r="W4405">
        <v>0.1156136</v>
      </c>
      <c r="X4405">
        <v>0.98216780000000004</v>
      </c>
      <c r="Y4405">
        <v>-1.610991E-3</v>
      </c>
      <c r="Z4405">
        <v>0.28308909999999998</v>
      </c>
      <c r="AA4405">
        <v>0.95909230000000001</v>
      </c>
      <c r="AB4405">
        <v>15</v>
      </c>
      <c r="AC4405">
        <v>-6.6599999999993997E-2</v>
      </c>
      <c r="AD4405">
        <v>-0.21081839999999899</v>
      </c>
      <c r="AE4405">
        <v>-0.58049999999997204</v>
      </c>
      <c r="AF4405">
        <v>3.9582909427779899E-3</v>
      </c>
      <c r="AG4405">
        <v>-0.21081839999999899</v>
      </c>
      <c r="AH4405">
        <v>0.51699068664306203</v>
      </c>
      <c r="AI4405">
        <v>112.184059415805</v>
      </c>
      <c r="AJ4405">
        <v>89.561328783020102</v>
      </c>
      <c r="AK4405">
        <v>0.55833631076745505</v>
      </c>
      <c r="AL4405">
        <v>83.360982064814095</v>
      </c>
      <c r="AM4405">
        <v>98.583869965488901</v>
      </c>
      <c r="AN4405">
        <v>0.99999998152450398</v>
      </c>
    </row>
    <row r="4406" spans="1:40" x14ac:dyDescent="0.25">
      <c r="A4406" t="str">
        <f>"20190303161958370"</f>
        <v>20190303161958370</v>
      </c>
      <c r="B4406" t="str">
        <f>"1551601198356751"</f>
        <v>1551601198356751</v>
      </c>
      <c r="C4406" t="s">
        <v>40</v>
      </c>
      <c r="D4406">
        <v>4.8650510000000002</v>
      </c>
      <c r="E4406">
        <v>0.55773629999999996</v>
      </c>
      <c r="F4406" t="s">
        <v>42</v>
      </c>
      <c r="G4406">
        <v>-490.93610000000001</v>
      </c>
      <c r="H4406">
        <v>0.90261130000000001</v>
      </c>
      <c r="I4406">
        <v>260.90859999999998</v>
      </c>
      <c r="J4406">
        <v>-490.86709999999999</v>
      </c>
      <c r="K4406">
        <v>1.1218840000000001</v>
      </c>
      <c r="L4406">
        <v>261.53399999999999</v>
      </c>
      <c r="M4406">
        <v>-0.1049609</v>
      </c>
      <c r="N4406">
        <v>-9.9136580000000005E-3</v>
      </c>
      <c r="O4406">
        <v>-0.99442699999999995</v>
      </c>
      <c r="P4406">
        <v>4.429375E-2</v>
      </c>
      <c r="Q4406">
        <v>0.1050552</v>
      </c>
      <c r="R4406">
        <v>-0.99347940000000001</v>
      </c>
      <c r="S4406">
        <v>-0.33670040000000001</v>
      </c>
      <c r="T4406">
        <v>-0.9744178</v>
      </c>
      <c r="U4406">
        <v>-3.1383359999999998</v>
      </c>
      <c r="V4406">
        <v>-0.14851700000000001</v>
      </c>
      <c r="W4406">
        <v>0.1145573</v>
      </c>
      <c r="X4406">
        <v>0.98225220000000002</v>
      </c>
      <c r="Y4406">
        <v>-2.7009289999999999E-3</v>
      </c>
      <c r="Z4406">
        <v>0.2839428</v>
      </c>
      <c r="AA4406">
        <v>0.95883739999999995</v>
      </c>
      <c r="AB4406">
        <v>15</v>
      </c>
      <c r="AC4406">
        <v>-6.9000000000016798E-2</v>
      </c>
      <c r="AD4406">
        <v>-0.21927269999999999</v>
      </c>
      <c r="AE4406">
        <v>-0.62540000000001295</v>
      </c>
      <c r="AF4406">
        <v>2.6510866216219002E-3</v>
      </c>
      <c r="AG4406">
        <v>-0.21927269999999999</v>
      </c>
      <c r="AH4406">
        <v>0.56104830709069298</v>
      </c>
      <c r="AI4406">
        <v>111.346672047498</v>
      </c>
      <c r="AJ4406">
        <v>89.729265836590798</v>
      </c>
      <c r="AK4406">
        <v>0.60238089952694995</v>
      </c>
      <c r="AL4406">
        <v>83.421908736074698</v>
      </c>
      <c r="AM4406">
        <v>98.598022386859697</v>
      </c>
      <c r="AN4406">
        <v>1.00000002933856</v>
      </c>
    </row>
    <row r="4407" spans="1:40" x14ac:dyDescent="0.25">
      <c r="A4407" t="str">
        <f>"20190303161958383"</f>
        <v>20190303161958383</v>
      </c>
      <c r="B4407" t="str">
        <f>"1551601198377246"</f>
        <v>1551601198377246</v>
      </c>
      <c r="C4407" t="s">
        <v>40</v>
      </c>
      <c r="D4407">
        <v>4.8941220000000003</v>
      </c>
      <c r="E4407">
        <v>0.55819680000000005</v>
      </c>
      <c r="F4407" t="s">
        <v>42</v>
      </c>
      <c r="G4407">
        <v>-490.94639999999998</v>
      </c>
      <c r="H4407">
        <v>0.88917950000000001</v>
      </c>
      <c r="I4407">
        <v>260.7842</v>
      </c>
      <c r="J4407">
        <v>-490.87439999999998</v>
      </c>
      <c r="K4407">
        <v>1.1218539999999999</v>
      </c>
      <c r="L4407">
        <v>261.44810000000001</v>
      </c>
      <c r="M4407">
        <v>-0.103530399999999</v>
      </c>
      <c r="N4407">
        <v>-9.8831830000000002E-3</v>
      </c>
      <c r="O4407">
        <v>-0.9945773</v>
      </c>
      <c r="P4407">
        <v>4.6851879999999999E-2</v>
      </c>
      <c r="Q4407">
        <v>0.1039472</v>
      </c>
      <c r="R4407">
        <v>-0.9934788</v>
      </c>
      <c r="S4407">
        <v>-0.33013920000000002</v>
      </c>
      <c r="T4407">
        <v>-0.97430919999999999</v>
      </c>
      <c r="U4407">
        <v>-3.1374209999999998</v>
      </c>
      <c r="V4407">
        <v>-0.14963760000000001</v>
      </c>
      <c r="W4407">
        <v>0.1134265</v>
      </c>
      <c r="X4407">
        <v>0.98221329999999996</v>
      </c>
      <c r="Y4407">
        <v>-3.2192879999999998E-3</v>
      </c>
      <c r="Z4407">
        <v>0.28411180000000003</v>
      </c>
      <c r="AA4407">
        <v>0.95878580000000002</v>
      </c>
      <c r="AB4407">
        <v>15</v>
      </c>
      <c r="AC4407">
        <v>-7.2000000000002701E-2</v>
      </c>
      <c r="AD4407">
        <v>-0.23267450000000001</v>
      </c>
      <c r="AE4407">
        <v>-0.66390000000001204</v>
      </c>
      <c r="AF4407">
        <v>2.5645411446541598E-3</v>
      </c>
      <c r="AG4407">
        <v>-0.23267450000000001</v>
      </c>
      <c r="AH4407">
        <v>0.59549434287627101</v>
      </c>
      <c r="AI4407">
        <v>111.34164781253099</v>
      </c>
      <c r="AJ4407">
        <v>89.753252944635904</v>
      </c>
      <c r="AK4407">
        <v>0.63934146762053101</v>
      </c>
      <c r="AL4407">
        <v>83.487123539691297</v>
      </c>
      <c r="AM4407">
        <v>98.662254216236093</v>
      </c>
      <c r="AN4407">
        <v>0.99999997446644895</v>
      </c>
    </row>
    <row r="4408" spans="1:40" x14ac:dyDescent="0.25">
      <c r="A4408" t="str">
        <f>"20190303161958396"</f>
        <v>20190303161958396</v>
      </c>
      <c r="B4408" t="str">
        <f>"1551601198387006"</f>
        <v>1551601198387006</v>
      </c>
      <c r="C4408" t="s">
        <v>40</v>
      </c>
      <c r="D4408">
        <v>4.8940890000000001</v>
      </c>
      <c r="E4408">
        <v>0.55838259999999995</v>
      </c>
      <c r="F4408" t="s">
        <v>42</v>
      </c>
      <c r="G4408">
        <v>-490.94439999999997</v>
      </c>
      <c r="H4408">
        <v>0.91314779999999995</v>
      </c>
      <c r="I4408">
        <v>260.77379999999999</v>
      </c>
      <c r="J4408">
        <v>-490.88159999999999</v>
      </c>
      <c r="K4408">
        <v>1.121829</v>
      </c>
      <c r="L4408">
        <v>261.36329999999998</v>
      </c>
      <c r="M4408">
        <v>-0.10218670000000001</v>
      </c>
      <c r="N4408">
        <v>-9.8560520000000006E-3</v>
      </c>
      <c r="O4408">
        <v>-0.99471639999999995</v>
      </c>
      <c r="P4408">
        <v>4.9092900000000002E-2</v>
      </c>
      <c r="Q4408">
        <v>0.1035084</v>
      </c>
      <c r="R4408">
        <v>-0.99341639999999998</v>
      </c>
      <c r="S4408">
        <v>-0.32369999999999999</v>
      </c>
      <c r="T4408">
        <v>-0.97144350000000002</v>
      </c>
      <c r="U4408">
        <v>-3.1365970000000001</v>
      </c>
      <c r="V4408">
        <v>-0.15052550000000001</v>
      </c>
      <c r="W4408">
        <v>0.112966899999999</v>
      </c>
      <c r="X4408">
        <v>0.98213059999999996</v>
      </c>
      <c r="Y4408">
        <v>-3.769068E-3</v>
      </c>
      <c r="Z4408">
        <v>0.2835028</v>
      </c>
      <c r="AA4408">
        <v>0.95896400000000004</v>
      </c>
      <c r="AB4408">
        <v>15</v>
      </c>
      <c r="AC4408">
        <v>-6.2799999999981496E-2</v>
      </c>
      <c r="AD4408">
        <v>-0.20868120000000001</v>
      </c>
      <c r="AE4408">
        <v>-0.58949999999998604</v>
      </c>
      <c r="AF4408">
        <v>1.9834713390019798E-3</v>
      </c>
      <c r="AG4408">
        <v>-0.20868120000000001</v>
      </c>
      <c r="AH4408">
        <v>0.52747345771377596</v>
      </c>
      <c r="AI4408">
        <v>111.58480574036</v>
      </c>
      <c r="AJ4408">
        <v>89.784550294983603</v>
      </c>
      <c r="AK4408">
        <v>0.56725657861722401</v>
      </c>
      <c r="AL4408">
        <v>83.513627072362894</v>
      </c>
      <c r="AM4408">
        <v>98.713589105499196</v>
      </c>
      <c r="AN4408">
        <v>0.99999998105110899</v>
      </c>
    </row>
    <row r="4409" spans="1:40" x14ac:dyDescent="0.25">
      <c r="A4409" t="str">
        <f>"20190303161958413"</f>
        <v>20190303161958413</v>
      </c>
      <c r="B4409" t="str">
        <f>"1551601198406526"</f>
        <v>1551601198406526</v>
      </c>
      <c r="C4409" t="s">
        <v>40</v>
      </c>
      <c r="D4409">
        <v>5.2995229999999998</v>
      </c>
      <c r="E4409">
        <v>0.55827609999999905</v>
      </c>
      <c r="F4409" t="s">
        <v>42</v>
      </c>
      <c r="G4409">
        <v>-490.95429999999999</v>
      </c>
      <c r="H4409">
        <v>0.90080439999999995</v>
      </c>
      <c r="I4409">
        <v>260.64859999999999</v>
      </c>
      <c r="J4409">
        <v>-490.89109999999999</v>
      </c>
      <c r="K4409">
        <v>1.1218049999999999</v>
      </c>
      <c r="L4409">
        <v>261.25080000000003</v>
      </c>
      <c r="M4409">
        <v>-0.10046620000000001</v>
      </c>
      <c r="N4409">
        <v>-9.8227729999999999E-3</v>
      </c>
      <c r="O4409">
        <v>-0.994892</v>
      </c>
      <c r="P4409">
        <v>5.4302610000000001E-2</v>
      </c>
      <c r="Q4409">
        <v>0.1037174</v>
      </c>
      <c r="R4409">
        <v>-0.99312319999999998</v>
      </c>
      <c r="S4409">
        <v>-0.31784059999999997</v>
      </c>
      <c r="T4409">
        <v>-0.9702828</v>
      </c>
      <c r="U4409">
        <v>-3.1367189999999998</v>
      </c>
      <c r="V4409">
        <v>-0.15397159999999999</v>
      </c>
      <c r="W4409">
        <v>0.1131422</v>
      </c>
      <c r="X4409">
        <v>0.98157609999999995</v>
      </c>
      <c r="Y4409">
        <v>-3.809148E-3</v>
      </c>
      <c r="Z4409">
        <v>0.2833022</v>
      </c>
      <c r="AA4409">
        <v>0.95902310000000002</v>
      </c>
      <c r="AB4409">
        <v>15</v>
      </c>
      <c r="AC4409">
        <v>-6.3199999999994802E-2</v>
      </c>
      <c r="AD4409">
        <v>-0.22100059999999999</v>
      </c>
      <c r="AE4409">
        <v>-0.60220000000003804</v>
      </c>
      <c r="AF4409">
        <v>2.0971718297314299E-3</v>
      </c>
      <c r="AG4409">
        <v>-0.22100059999999999</v>
      </c>
      <c r="AH4409">
        <v>0.53432353392593201</v>
      </c>
      <c r="AI4409">
        <v>112.470232997343</v>
      </c>
      <c r="AJ4409">
        <v>89.775120371609901</v>
      </c>
      <c r="AK4409">
        <v>0.57822772524079102</v>
      </c>
      <c r="AL4409">
        <v>83.503518602942293</v>
      </c>
      <c r="AM4409">
        <v>98.914863062022803</v>
      </c>
      <c r="AN4409">
        <v>1.0000000255593</v>
      </c>
    </row>
    <row r="4410" spans="1:40" x14ac:dyDescent="0.25">
      <c r="A4410" t="str">
        <f>"20190303161958427"</f>
        <v>20190303161958427</v>
      </c>
      <c r="B4410" t="str">
        <f>"1551601198416286"</f>
        <v>1551601198416286</v>
      </c>
      <c r="C4410" t="s">
        <v>40</v>
      </c>
      <c r="D4410">
        <v>5.0521370000000001</v>
      </c>
      <c r="E4410">
        <v>0.54743940000000002</v>
      </c>
      <c r="F4410" t="s">
        <v>42</v>
      </c>
      <c r="G4410">
        <v>-490.96170000000001</v>
      </c>
      <c r="H4410">
        <v>0.89635480000000001</v>
      </c>
      <c r="I4410">
        <v>260.51920000000001</v>
      </c>
      <c r="J4410">
        <v>-490.89830000000001</v>
      </c>
      <c r="K4410">
        <v>1.121788</v>
      </c>
      <c r="L4410">
        <v>261.1653</v>
      </c>
      <c r="M4410">
        <v>-9.9201830000000005E-2</v>
      </c>
      <c r="N4410">
        <v>-9.7994829999999995E-3</v>
      </c>
      <c r="O4410">
        <v>-0.99501910000000005</v>
      </c>
      <c r="P4410">
        <v>5.7404810000000001E-2</v>
      </c>
      <c r="Q4410">
        <v>0.1044625</v>
      </c>
      <c r="R4410">
        <v>-0.99287060000000005</v>
      </c>
      <c r="S4410">
        <v>-0.30096440000000002</v>
      </c>
      <c r="T4410">
        <v>-0.96758449999999996</v>
      </c>
      <c r="U4410">
        <v>-3.138245</v>
      </c>
      <c r="V4410">
        <v>-0.155781</v>
      </c>
      <c r="W4410">
        <v>0.1138652</v>
      </c>
      <c r="X4410">
        <v>0.98120689999999999</v>
      </c>
      <c r="Y4410">
        <v>-7.6650599999999996E-3</v>
      </c>
      <c r="Z4410">
        <v>0.28256589999999998</v>
      </c>
      <c r="AA4410">
        <v>0.95921730000000005</v>
      </c>
      <c r="AB4410">
        <v>15</v>
      </c>
      <c r="AC4410">
        <v>-6.34000000000014E-2</v>
      </c>
      <c r="AD4410">
        <v>-0.225433199999999</v>
      </c>
      <c r="AE4410">
        <v>-0.64609999999998902</v>
      </c>
      <c r="AF4410">
        <v>-9.0144398998268799E-4</v>
      </c>
      <c r="AG4410">
        <v>-0.225433199999999</v>
      </c>
      <c r="AH4410">
        <v>0.57934509324391503</v>
      </c>
      <c r="AI4410">
        <v>111.261849113542</v>
      </c>
      <c r="AJ4410">
        <v>90.089150482181196</v>
      </c>
      <c r="AK4410">
        <v>0.621660419625785</v>
      </c>
      <c r="AL4410">
        <v>83.461824088905601</v>
      </c>
      <c r="AM4410">
        <v>99.021251763490397</v>
      </c>
      <c r="AN4410">
        <v>0.99999999216982505</v>
      </c>
    </row>
    <row r="4411" spans="1:40" x14ac:dyDescent="0.25">
      <c r="A4411" t="str">
        <f>"20190303161958440"</f>
        <v>20190303161958440</v>
      </c>
      <c r="B4411" t="str">
        <f>"1551601198427022"</f>
        <v>1551601198427022</v>
      </c>
      <c r="C4411" t="s">
        <v>40</v>
      </c>
      <c r="D4411">
        <v>4.96929</v>
      </c>
      <c r="E4411">
        <v>0.53891429999999996</v>
      </c>
      <c r="F4411" t="s">
        <v>42</v>
      </c>
      <c r="G4411">
        <v>-490.95179999999999</v>
      </c>
      <c r="H4411">
        <v>0.95883700000000005</v>
      </c>
      <c r="I4411">
        <v>260.3571</v>
      </c>
      <c r="J4411">
        <v>-490.90609999999998</v>
      </c>
      <c r="K4411">
        <v>1.1217760000000001</v>
      </c>
      <c r="L4411">
        <v>261.07159999999999</v>
      </c>
      <c r="M4411">
        <v>-9.7874069999999994E-2</v>
      </c>
      <c r="N4411">
        <v>-9.7769999999999992E-3</v>
      </c>
      <c r="O4411">
        <v>-0.99515070000000005</v>
      </c>
      <c r="P4411">
        <v>6.003936E-2</v>
      </c>
      <c r="Q4411">
        <v>0.1051387</v>
      </c>
      <c r="R4411">
        <v>-0.99264319999999895</v>
      </c>
      <c r="S4411">
        <v>-0.20483399999999999</v>
      </c>
      <c r="T4411">
        <v>-0.62505409999999995</v>
      </c>
      <c r="U4411">
        <v>-3.0991520000000001</v>
      </c>
      <c r="V4411">
        <v>-0.15706589999999901</v>
      </c>
      <c r="W4411">
        <v>0.11452080000000001</v>
      </c>
      <c r="X4411">
        <v>0.98092570000000001</v>
      </c>
      <c r="Y4411">
        <v>-3.3161860000000001E-2</v>
      </c>
      <c r="Z4411">
        <v>0.18647440000000001</v>
      </c>
      <c r="AA4411">
        <v>0.9819</v>
      </c>
      <c r="AB4411">
        <v>15</v>
      </c>
      <c r="AC4411">
        <v>-4.5700000000010697E-2</v>
      </c>
      <c r="AD4411">
        <v>-0.162939</v>
      </c>
      <c r="AE4411">
        <v>-0.71449999999998604</v>
      </c>
      <c r="AF4411">
        <v>-2.32496343406964E-2</v>
      </c>
      <c r="AG4411">
        <v>-0.162939</v>
      </c>
      <c r="AH4411">
        <v>0.68030701554221495</v>
      </c>
      <c r="AI4411">
        <v>103.46150566017</v>
      </c>
      <c r="AJ4411">
        <v>91.957333449267693</v>
      </c>
      <c r="AK4411">
        <v>0.699933781592182</v>
      </c>
      <c r="AL4411">
        <v>83.424013492896606</v>
      </c>
      <c r="AM4411">
        <v>99.096985050001607</v>
      </c>
      <c r="AN4411">
        <v>0.99999996974796901</v>
      </c>
    </row>
    <row r="4412" spans="1:40" x14ac:dyDescent="0.25">
      <c r="A4412" t="str">
        <f>"20190303161958454"</f>
        <v>20190303161958454</v>
      </c>
      <c r="B4412" t="str">
        <f>"1551601198446543"</f>
        <v>1551601198446543</v>
      </c>
      <c r="C4412" t="s">
        <v>40</v>
      </c>
      <c r="D4412">
        <v>5.0780589999999997</v>
      </c>
      <c r="E4412">
        <v>0.52751539999999997</v>
      </c>
      <c r="F4412" t="s">
        <v>42</v>
      </c>
      <c r="G4412">
        <v>-490.93669999999997</v>
      </c>
      <c r="H4412">
        <v>1.000202</v>
      </c>
      <c r="I4412">
        <v>260.33550000000002</v>
      </c>
      <c r="J4412">
        <v>-490.91300000000001</v>
      </c>
      <c r="K4412">
        <v>1.1217680000000001</v>
      </c>
      <c r="L4412">
        <v>260.98719999999997</v>
      </c>
      <c r="M4412">
        <v>-9.6710790000000005E-2</v>
      </c>
      <c r="N4412">
        <v>-9.7586749999999996E-3</v>
      </c>
      <c r="O4412">
        <v>-0.9952647</v>
      </c>
      <c r="P4412">
        <v>6.2133819999999999E-2</v>
      </c>
      <c r="Q4412">
        <v>0.1055666</v>
      </c>
      <c r="R4412">
        <v>-0.9924693</v>
      </c>
      <c r="S4412">
        <v>-0.12805179999999999</v>
      </c>
      <c r="T4412">
        <v>-0.50952459999999999</v>
      </c>
      <c r="U4412">
        <v>-3.0839539999999999</v>
      </c>
      <c r="V4412">
        <v>-0.1579835</v>
      </c>
      <c r="W4412">
        <v>0.11493150000000001</v>
      </c>
      <c r="X4412">
        <v>0.9807304</v>
      </c>
      <c r="Y4412">
        <v>-5.5777159999999999E-2</v>
      </c>
      <c r="Z4412">
        <v>0.15205829999999901</v>
      </c>
      <c r="AA4412">
        <v>0.98679640000000002</v>
      </c>
      <c r="AB4412">
        <v>15</v>
      </c>
      <c r="AC4412">
        <v>-2.3699999999962501E-2</v>
      </c>
      <c r="AD4412">
        <v>-0.12156599999999999</v>
      </c>
      <c r="AE4412">
        <v>-0.65169999999994799</v>
      </c>
      <c r="AF4412">
        <v>-3.8115994979018498E-2</v>
      </c>
      <c r="AG4412">
        <v>-0.12156599999999999</v>
      </c>
      <c r="AH4412">
        <v>0.62907662239829698</v>
      </c>
      <c r="AI4412">
        <v>100.91777446357401</v>
      </c>
      <c r="AJ4412">
        <v>93.467334420084597</v>
      </c>
      <c r="AK4412">
        <v>0.64184773761172498</v>
      </c>
      <c r="AL4412">
        <v>83.400326417770103</v>
      </c>
      <c r="AM4412">
        <v>99.151025675062598</v>
      </c>
      <c r="AN4412">
        <v>1.00000007672432</v>
      </c>
    </row>
    <row r="4413" spans="1:40" x14ac:dyDescent="0.25">
      <c r="A4413" t="str">
        <f>"20190303161958468"</f>
        <v>20190303161958468</v>
      </c>
      <c r="B4413" t="str">
        <f>"1551601198456302"</f>
        <v>1551601198456302</v>
      </c>
      <c r="C4413" t="s">
        <v>40</v>
      </c>
      <c r="D4413">
        <v>5.2337059999999997</v>
      </c>
      <c r="E4413">
        <v>0.52294719999999995</v>
      </c>
      <c r="F4413" t="s">
        <v>41</v>
      </c>
      <c r="G4413">
        <v>-491.01029999999997</v>
      </c>
      <c r="H4413" s="1">
        <v>-9.9462649999999996E-7</v>
      </c>
      <c r="I4413">
        <v>251.28100000000001</v>
      </c>
      <c r="J4413">
        <v>-490.92129999999997</v>
      </c>
      <c r="K4413">
        <v>1.121745</v>
      </c>
      <c r="L4413">
        <v>260.88470000000001</v>
      </c>
      <c r="M4413">
        <v>-9.5330609999999996E-2</v>
      </c>
      <c r="N4413">
        <v>-9.7383729999999998E-3</v>
      </c>
      <c r="O4413">
        <v>-0.99539820000000001</v>
      </c>
      <c r="P4413">
        <v>6.3514329999999994E-2</v>
      </c>
      <c r="Q4413">
        <v>0.1056213</v>
      </c>
      <c r="R4413">
        <v>-0.99237600000000004</v>
      </c>
      <c r="S4413">
        <v>-3.0700680000000001E-2</v>
      </c>
      <c r="T4413">
        <v>-0.35391830000000002</v>
      </c>
      <c r="U4413">
        <v>-3.0623170000000002</v>
      </c>
      <c r="V4413">
        <v>-0.1579846</v>
      </c>
      <c r="W4413">
        <v>0.1149703</v>
      </c>
      <c r="X4413">
        <v>0.98072559999999998</v>
      </c>
      <c r="Y4413">
        <v>-8.5352780000000003E-2</v>
      </c>
      <c r="Z4413">
        <v>0.10413840000000001</v>
      </c>
      <c r="AA4413">
        <v>0.99089360000000004</v>
      </c>
      <c r="AB4413">
        <v>15</v>
      </c>
      <c r="AC4413">
        <v>-8.8999999999998594E-2</v>
      </c>
      <c r="AD4413">
        <v>-1.1217459946265</v>
      </c>
      <c r="AE4413">
        <v>-9.6037000000000301</v>
      </c>
      <c r="AF4413">
        <v>-0.81584553799235704</v>
      </c>
      <c r="AG4413">
        <v>-1.1217459946265</v>
      </c>
      <c r="AH4413">
        <v>9.4396673123382104</v>
      </c>
      <c r="AI4413">
        <v>96.751924563691503</v>
      </c>
      <c r="AJ4413">
        <v>94.939648232741206</v>
      </c>
      <c r="AK4413">
        <v>9.5410291366261397</v>
      </c>
      <c r="AL4413">
        <v>83.398088018802497</v>
      </c>
      <c r="AM4413">
        <v>99.151132344011998</v>
      </c>
      <c r="AN4413">
        <v>1.0000000031073</v>
      </c>
    </row>
    <row r="4414" spans="1:40" x14ac:dyDescent="0.25">
      <c r="A4414" t="str">
        <f>"20190303161958492"</f>
        <v>20190303161958492</v>
      </c>
      <c r="B4414" t="str">
        <f>"1551601198486559"</f>
        <v>1551601198486559</v>
      </c>
      <c r="C4414" t="s">
        <v>40</v>
      </c>
      <c r="D4414">
        <v>4.8947029999999998</v>
      </c>
      <c r="E4414">
        <v>0.5168024</v>
      </c>
      <c r="F4414" t="s">
        <v>41</v>
      </c>
      <c r="G4414">
        <v>-490.87909999999999</v>
      </c>
      <c r="H4414" s="1">
        <v>-3.526429E-7</v>
      </c>
      <c r="I4414">
        <v>249.86590000000001</v>
      </c>
      <c r="J4414">
        <v>-490.93340000000001</v>
      </c>
      <c r="K4414">
        <v>1.1217250000000001</v>
      </c>
      <c r="L4414">
        <v>260.73520000000002</v>
      </c>
      <c r="M4414">
        <v>-9.3399389999999999E-2</v>
      </c>
      <c r="N4414">
        <v>-9.7132699999999995E-3</v>
      </c>
      <c r="O4414">
        <v>-0.99558159999999896</v>
      </c>
      <c r="P4414">
        <v>6.4286040000000003E-2</v>
      </c>
      <c r="Q4414">
        <v>0.10464909999999999</v>
      </c>
      <c r="R4414">
        <v>-0.99242940000000002</v>
      </c>
      <c r="S4414">
        <v>1.171875E-2</v>
      </c>
      <c r="T4414">
        <v>-0.31104520000000002</v>
      </c>
      <c r="U4414">
        <v>-3.0553590000000002</v>
      </c>
      <c r="V4414">
        <v>-0.15684879999999901</v>
      </c>
      <c r="W4414">
        <v>0.11398129999999999</v>
      </c>
      <c r="X4414">
        <v>0.98102330000000004</v>
      </c>
      <c r="Y4414">
        <v>-9.7152119999999995E-2</v>
      </c>
      <c r="Z4414">
        <v>9.0706869999999995E-2</v>
      </c>
      <c r="AA4414">
        <v>0.99112750000000005</v>
      </c>
      <c r="AB4414">
        <v>15</v>
      </c>
      <c r="AC4414">
        <v>5.4300000000011998E-2</v>
      </c>
      <c r="AD4414">
        <v>-1.1217253526428901</v>
      </c>
      <c r="AE4414">
        <v>-10.869300000000001</v>
      </c>
      <c r="AF4414">
        <v>-1.0580279947793101</v>
      </c>
      <c r="AG4414">
        <v>-1.1217253526428901</v>
      </c>
      <c r="AH4414">
        <v>10.7027244828876</v>
      </c>
      <c r="AI4414">
        <v>95.954367465258798</v>
      </c>
      <c r="AJ4414">
        <v>95.645685570530105</v>
      </c>
      <c r="AK4414">
        <v>10.813232743315</v>
      </c>
      <c r="AL4414">
        <v>83.455128502043706</v>
      </c>
      <c r="AM4414">
        <v>99.0837320800903</v>
      </c>
      <c r="AN4414">
        <v>0.99999999897700997</v>
      </c>
    </row>
    <row r="4415" spans="1:40" x14ac:dyDescent="0.25">
      <c r="A4415" t="str">
        <f>"20190303161958506"</f>
        <v>20190303161958506</v>
      </c>
      <c r="B4415" t="str">
        <f>"1551601198496319"</f>
        <v>1551601198496319</v>
      </c>
      <c r="C4415" t="s">
        <v>40</v>
      </c>
      <c r="D4415">
        <v>4.9268029999999996</v>
      </c>
      <c r="E4415">
        <v>0.51618180000000002</v>
      </c>
      <c r="F4415" t="s">
        <v>41</v>
      </c>
      <c r="G4415">
        <v>-490.65769999999998</v>
      </c>
      <c r="H4415" s="1">
        <v>-3.5703450000000001E-6</v>
      </c>
      <c r="I4415">
        <v>247.50380000000001</v>
      </c>
      <c r="J4415">
        <v>-490.94069999999999</v>
      </c>
      <c r="K4415">
        <v>1.1217159999999999</v>
      </c>
      <c r="L4415">
        <v>260.64389999999997</v>
      </c>
      <c r="M4415">
        <v>-9.2251749999999993E-2</v>
      </c>
      <c r="N4415">
        <v>-9.6996300000000008E-3</v>
      </c>
      <c r="O4415">
        <v>-0.99568849999999998</v>
      </c>
      <c r="P4415">
        <v>6.4913940000000003E-2</v>
      </c>
      <c r="Q4415">
        <v>0.10427450000000001</v>
      </c>
      <c r="R4415">
        <v>-0.99242779999999997</v>
      </c>
      <c r="S4415">
        <v>6.3476560000000001E-2</v>
      </c>
      <c r="T4415">
        <v>-0.25823380000000001</v>
      </c>
      <c r="U4415">
        <v>-3.0460210000000001</v>
      </c>
      <c r="V4415">
        <v>-0.15634020000000001</v>
      </c>
      <c r="W4415">
        <v>0.11359660000000001</v>
      </c>
      <c r="X4415">
        <v>0.9811491</v>
      </c>
      <c r="Y4415">
        <v>-0.11287170000000001</v>
      </c>
      <c r="Z4415">
        <v>7.397724E-2</v>
      </c>
      <c r="AA4415">
        <v>0.99085179999999995</v>
      </c>
      <c r="AB4415">
        <v>15</v>
      </c>
      <c r="AC4415">
        <v>0.28300000000001502</v>
      </c>
      <c r="AD4415">
        <v>-1.121719570345</v>
      </c>
      <c r="AE4415">
        <v>-13.140099999999901</v>
      </c>
      <c r="AF4415">
        <v>-1.4832433640848</v>
      </c>
      <c r="AG4415">
        <v>-1.121719570345</v>
      </c>
      <c r="AH4415">
        <v>12.9635268078402</v>
      </c>
      <c r="AI4415">
        <v>94.913523310374799</v>
      </c>
      <c r="AJ4415">
        <v>96.527207221194601</v>
      </c>
      <c r="AK4415">
        <v>13.0962320141783</v>
      </c>
      <c r="AL4415">
        <v>83.477314300063298</v>
      </c>
      <c r="AM4415">
        <v>99.053624064646598</v>
      </c>
      <c r="AN4415">
        <v>1.0000000010492001</v>
      </c>
    </row>
    <row r="4416" spans="1:40" x14ac:dyDescent="0.25">
      <c r="A4416" t="str">
        <f>"20190303161958519"</f>
        <v>20190303161958519</v>
      </c>
      <c r="B4416" t="str">
        <f>"1551601198507054"</f>
        <v>1551601198507054</v>
      </c>
      <c r="C4416" t="s">
        <v>40</v>
      </c>
      <c r="D4416">
        <v>4.9280369999999998</v>
      </c>
      <c r="E4416">
        <v>0.51597349999999997</v>
      </c>
      <c r="F4416" t="s">
        <v>41</v>
      </c>
      <c r="G4416">
        <v>-490.62430000000001</v>
      </c>
      <c r="H4416" s="1">
        <v>-3.3035330000000001E-6</v>
      </c>
      <c r="I4416">
        <v>246.9025</v>
      </c>
      <c r="J4416">
        <v>-490.9479</v>
      </c>
      <c r="K4416">
        <v>1.121712</v>
      </c>
      <c r="L4416">
        <v>260.55149999999998</v>
      </c>
      <c r="M4416">
        <v>-9.1125810000000002E-2</v>
      </c>
      <c r="N4416">
        <v>-9.6879549999999998E-3</v>
      </c>
      <c r="O4416">
        <v>-0.99579229999999996</v>
      </c>
      <c r="P4416">
        <v>6.5508460000000004E-2</v>
      </c>
      <c r="Q4416">
        <v>0.1038553</v>
      </c>
      <c r="R4416">
        <v>-0.9924326</v>
      </c>
      <c r="S4416">
        <v>7.0098880000000002E-2</v>
      </c>
      <c r="T4416">
        <v>-0.2485174</v>
      </c>
      <c r="U4416">
        <v>-3.044403</v>
      </c>
      <c r="V4416">
        <v>-0.15582099999999999</v>
      </c>
      <c r="W4416">
        <v>0.1131683</v>
      </c>
      <c r="X4416">
        <v>0.98128119999999996</v>
      </c>
      <c r="Y4416">
        <v>-0.11391999999999999</v>
      </c>
      <c r="Z4416">
        <v>7.0907529999999996E-2</v>
      </c>
      <c r="AA4416">
        <v>0.99095630000000001</v>
      </c>
      <c r="AB4416">
        <v>15</v>
      </c>
      <c r="AC4416">
        <v>0.323599999999998</v>
      </c>
      <c r="AD4416">
        <v>-1.1217153035330001</v>
      </c>
      <c r="AE4416">
        <v>-13.6489999999999</v>
      </c>
      <c r="AF4416">
        <v>-1.55558740910291</v>
      </c>
      <c r="AG4416">
        <v>-1.1217153035330001</v>
      </c>
      <c r="AH4416">
        <v>13.4717789585731</v>
      </c>
      <c r="AI4416">
        <v>94.7284266017666</v>
      </c>
      <c r="AJ4416">
        <v>96.586777095897901</v>
      </c>
      <c r="AK4416">
        <v>13.607605436600201</v>
      </c>
      <c r="AL4416">
        <v>83.502013485514894</v>
      </c>
      <c r="AM4416">
        <v>99.022858051325798</v>
      </c>
      <c r="AN4416">
        <v>1.00000002081966</v>
      </c>
    </row>
    <row r="4417" spans="1:40" x14ac:dyDescent="0.25">
      <c r="A4417" t="str">
        <f>"20190303161958539"</f>
        <v>20190303161958539</v>
      </c>
      <c r="B4417" t="str">
        <f>"1551601198526574"</f>
        <v>1551601198526574</v>
      </c>
      <c r="C4417" t="s">
        <v>40</v>
      </c>
      <c r="D4417">
        <v>4.9509819999999998</v>
      </c>
      <c r="E4417">
        <v>0.51557619999999904</v>
      </c>
      <c r="F4417" t="s">
        <v>41</v>
      </c>
      <c r="G4417">
        <v>-490.60840000000002</v>
      </c>
      <c r="H4417" s="1">
        <v>-3.1063339999999999E-6</v>
      </c>
      <c r="I4417">
        <v>246.45269999999999</v>
      </c>
      <c r="J4417">
        <v>-490.95740000000001</v>
      </c>
      <c r="K4417">
        <v>1.121715</v>
      </c>
      <c r="L4417">
        <v>260.4282</v>
      </c>
      <c r="M4417">
        <v>-8.9658429999999997E-2</v>
      </c>
      <c r="N4417">
        <v>-9.6739559999999992E-3</v>
      </c>
      <c r="O4417">
        <v>-0.99592559999999997</v>
      </c>
      <c r="P4417">
        <v>6.60192E-2</v>
      </c>
      <c r="Q4417">
        <v>0.10391400000000001</v>
      </c>
      <c r="R4417">
        <v>-0.99239279999999996</v>
      </c>
      <c r="S4417">
        <v>7.3272710000000005E-2</v>
      </c>
      <c r="T4417">
        <v>-0.24213370000000001</v>
      </c>
      <c r="U4417">
        <v>-3.0433650000000001</v>
      </c>
      <c r="V4417">
        <v>-0.15487870000000001</v>
      </c>
      <c r="W4417">
        <v>0.1132162</v>
      </c>
      <c r="X4417">
        <v>0.98142479999999999</v>
      </c>
      <c r="Y4417">
        <v>-0.11350159999999999</v>
      </c>
      <c r="Z4417">
        <v>6.8906449999999994E-2</v>
      </c>
      <c r="AA4417">
        <v>0.99114539999999995</v>
      </c>
      <c r="AB4417">
        <v>15</v>
      </c>
      <c r="AC4417">
        <v>0.34899999999998899</v>
      </c>
      <c r="AD4417">
        <v>-1.121718106334</v>
      </c>
      <c r="AE4417">
        <v>-13.9755</v>
      </c>
      <c r="AF4417">
        <v>-1.59043482881374</v>
      </c>
      <c r="AG4417">
        <v>-1.121718106334</v>
      </c>
      <c r="AH4417">
        <v>13.799076448090601</v>
      </c>
      <c r="AI4417">
        <v>94.6168878871825</v>
      </c>
      <c r="AJ4417">
        <v>96.574706973362694</v>
      </c>
      <c r="AK4417">
        <v>13.935646568244699</v>
      </c>
      <c r="AL4417">
        <v>83.499250991258904</v>
      </c>
      <c r="AM4417">
        <v>98.967892565561897</v>
      </c>
      <c r="AN4417">
        <v>0.999999978855584</v>
      </c>
    </row>
    <row r="4418" spans="1:40" x14ac:dyDescent="0.25">
      <c r="A4418" t="str">
        <f>"20190303161958559"</f>
        <v>20190303161958559</v>
      </c>
      <c r="B4418" t="str">
        <f>"1551601198547070"</f>
        <v>1551601198547070</v>
      </c>
      <c r="C4418" t="s">
        <v>40</v>
      </c>
      <c r="D4418">
        <v>4.9029239999999996</v>
      </c>
      <c r="E4418">
        <v>0.51553890000000002</v>
      </c>
      <c r="F4418" t="s">
        <v>41</v>
      </c>
      <c r="G4418">
        <v>-490.57769999999999</v>
      </c>
      <c r="H4418" s="1">
        <v>-2.686744E-6</v>
      </c>
      <c r="I4418">
        <v>245.49369999999999</v>
      </c>
      <c r="J4418">
        <v>-490.96800000000002</v>
      </c>
      <c r="K4418">
        <v>1.1217090000000001</v>
      </c>
      <c r="L4418">
        <v>260.28910000000002</v>
      </c>
      <c r="M4418">
        <v>-8.8057570000000002E-2</v>
      </c>
      <c r="N4418">
        <v>-9.6603460000000002E-3</v>
      </c>
      <c r="O4418">
        <v>-0.99606870000000003</v>
      </c>
      <c r="P4418">
        <v>6.6112669999999998E-2</v>
      </c>
      <c r="Q4418">
        <v>0.1037512</v>
      </c>
      <c r="R4418">
        <v>-0.9924037</v>
      </c>
      <c r="S4418">
        <v>7.7331540000000004E-2</v>
      </c>
      <c r="T4418">
        <v>-0.22846659999999999</v>
      </c>
      <c r="U4418">
        <v>-3.0418090000000002</v>
      </c>
      <c r="V4418">
        <v>-0.1533919</v>
      </c>
      <c r="W4418">
        <v>0.1130461</v>
      </c>
      <c r="X4418">
        <v>0.98167789999999999</v>
      </c>
      <c r="Y4418">
        <v>-0.11324869999999999</v>
      </c>
      <c r="Z4418">
        <v>6.4561199999999999E-2</v>
      </c>
      <c r="AA4418">
        <v>0.99146690000000004</v>
      </c>
      <c r="AB4418">
        <v>15</v>
      </c>
      <c r="AC4418">
        <v>0.39030000000002402</v>
      </c>
      <c r="AD4418">
        <v>-1.121711686744</v>
      </c>
      <c r="AE4418">
        <v>-14.795400000000001</v>
      </c>
      <c r="AF4418">
        <v>-1.6820298451014499</v>
      </c>
      <c r="AG4418">
        <v>-1.121711686744</v>
      </c>
      <c r="AH4418">
        <v>14.6195763733819</v>
      </c>
      <c r="AI4418">
        <v>94.358876157086897</v>
      </c>
      <c r="AJ4418">
        <v>96.563207829480405</v>
      </c>
      <c r="AK4418">
        <v>14.758708440955701</v>
      </c>
      <c r="AL4418">
        <v>83.509060098370099</v>
      </c>
      <c r="AM4418">
        <v>98.880928531369307</v>
      </c>
      <c r="AN4418">
        <v>0.99999999752961499</v>
      </c>
    </row>
    <row r="4419" spans="1:40" x14ac:dyDescent="0.25">
      <c r="A4419" t="str">
        <f>"20190303161958582"</f>
        <v>20190303161958582</v>
      </c>
      <c r="B4419" t="str">
        <f>"1551601198576350"</f>
        <v>1551601198576350</v>
      </c>
      <c r="C4419" t="s">
        <v>40</v>
      </c>
      <c r="D4419">
        <v>4.8419540000000003</v>
      </c>
      <c r="E4419">
        <v>0.51605990000000002</v>
      </c>
      <c r="F4419" t="s">
        <v>41</v>
      </c>
      <c r="G4419">
        <v>-490.56209999999999</v>
      </c>
      <c r="H4419" s="1">
        <v>-2.281319E-6</v>
      </c>
      <c r="I4419">
        <v>244.5583</v>
      </c>
      <c r="J4419">
        <v>-490.97910000000002</v>
      </c>
      <c r="K4419">
        <v>1.1216930000000001</v>
      </c>
      <c r="L4419">
        <v>260.14170000000001</v>
      </c>
      <c r="M4419">
        <v>-8.6431289999999994E-2</v>
      </c>
      <c r="N4419">
        <v>-9.6481220000000003E-3</v>
      </c>
      <c r="O4419">
        <v>-0.99621110000000002</v>
      </c>
      <c r="P4419">
        <v>6.6916100000000006E-2</v>
      </c>
      <c r="Q4419">
        <v>0.1037628</v>
      </c>
      <c r="R4419">
        <v>-0.99234869999999997</v>
      </c>
      <c r="S4419">
        <v>7.846069E-2</v>
      </c>
      <c r="T4419">
        <v>-0.2168012</v>
      </c>
      <c r="U4419">
        <v>-3.0404049999999998</v>
      </c>
      <c r="V4419">
        <v>-0.1525792</v>
      </c>
      <c r="W4419">
        <v>0.11305220000000001</v>
      </c>
      <c r="X4419">
        <v>0.9818038</v>
      </c>
      <c r="Y4419">
        <v>-0.1120149</v>
      </c>
      <c r="Z4419">
        <v>6.085368E-2</v>
      </c>
      <c r="AA4419">
        <v>0.99184139999999998</v>
      </c>
      <c r="AB4419">
        <v>15</v>
      </c>
      <c r="AC4419">
        <v>0.41700000000003001</v>
      </c>
      <c r="AD4419">
        <v>-1.121695281319</v>
      </c>
      <c r="AE4419">
        <v>-15.583399999999999</v>
      </c>
      <c r="AF4419">
        <v>-1.7533177289319899</v>
      </c>
      <c r="AG4419">
        <v>-1.121695281319</v>
      </c>
      <c r="AH4419">
        <v>15.4092546735897</v>
      </c>
      <c r="AI4419">
        <v>94.136823789808403</v>
      </c>
      <c r="AJ4419">
        <v>96.4913919679922</v>
      </c>
      <c r="AK4419">
        <v>15.549194608025999</v>
      </c>
      <c r="AL4419">
        <v>83.508708074552004</v>
      </c>
      <c r="AM4419">
        <v>98.833504820595607</v>
      </c>
      <c r="AN4419">
        <v>0.999999956945959</v>
      </c>
    </row>
    <row r="4420" spans="1:40" x14ac:dyDescent="0.25">
      <c r="A4420" t="str">
        <f>"20190303161958594"</f>
        <v>20190303161958594</v>
      </c>
      <c r="B4420" t="str">
        <f>"1551601198587086"</f>
        <v>1551601198587086</v>
      </c>
      <c r="C4420" t="s">
        <v>40</v>
      </c>
      <c r="D4420">
        <v>4.8327039999999997</v>
      </c>
      <c r="E4420">
        <v>0.51615359999999999</v>
      </c>
      <c r="F4420" t="s">
        <v>41</v>
      </c>
      <c r="G4420">
        <v>-490.55950000000001</v>
      </c>
      <c r="H4420" s="1">
        <v>-1.762467E-6</v>
      </c>
      <c r="I4420">
        <v>243.35050000000001</v>
      </c>
      <c r="J4420">
        <v>-490.98570000000001</v>
      </c>
      <c r="K4420">
        <v>1.1216790000000001</v>
      </c>
      <c r="L4420">
        <v>260.05270000000002</v>
      </c>
      <c r="M4420">
        <v>-8.5490399999999994E-2</v>
      </c>
      <c r="N4420">
        <v>-9.6417310000000006E-3</v>
      </c>
      <c r="O4420">
        <v>-0.99629250000000003</v>
      </c>
      <c r="P4420">
        <v>6.7698019999999998E-2</v>
      </c>
      <c r="Q4420">
        <v>0.1040896</v>
      </c>
      <c r="R4420">
        <v>-0.99226139999999996</v>
      </c>
      <c r="S4420">
        <v>7.5958250000000005E-2</v>
      </c>
      <c r="T4420">
        <v>-0.2030265</v>
      </c>
      <c r="U4420">
        <v>-3.039215</v>
      </c>
      <c r="V4420">
        <v>-0.152419</v>
      </c>
      <c r="W4420">
        <v>0.1133787</v>
      </c>
      <c r="X4420">
        <v>0.98179110000000003</v>
      </c>
      <c r="Y4420">
        <v>-0.1102799</v>
      </c>
      <c r="Z4420">
        <v>5.6440549999999999E-2</v>
      </c>
      <c r="AA4420">
        <v>0.99229679999999998</v>
      </c>
      <c r="AB4420">
        <v>15</v>
      </c>
      <c r="AC4420">
        <v>0.42619999999999397</v>
      </c>
      <c r="AD4420">
        <v>-1.121680762467</v>
      </c>
      <c r="AE4420">
        <v>-16.702200000000001</v>
      </c>
      <c r="AF4420">
        <v>-1.8442709119968199</v>
      </c>
      <c r="AG4420">
        <v>-1.121680762467</v>
      </c>
      <c r="AH4420">
        <v>16.530105004422701</v>
      </c>
      <c r="AI4420">
        <v>93.858094392601799</v>
      </c>
      <c r="AJ4420">
        <v>96.366186489339796</v>
      </c>
      <c r="AK4420">
        <v>16.670449135730099</v>
      </c>
      <c r="AL4420">
        <v>83.489880374766003</v>
      </c>
      <c r="AM4420">
        <v>98.8244885117834</v>
      </c>
      <c r="AN4420">
        <v>1.0000000226069401</v>
      </c>
    </row>
    <row r="4421" spans="1:40" x14ac:dyDescent="0.25">
      <c r="A4421" t="str">
        <f>"20190303161958614"</f>
        <v>20190303161958614</v>
      </c>
      <c r="B4421" t="str">
        <f>"1551601198606606"</f>
        <v>1551601198606606</v>
      </c>
      <c r="C4421" t="s">
        <v>40</v>
      </c>
      <c r="D4421">
        <v>4.7973429999999997</v>
      </c>
      <c r="E4421">
        <v>0.51622690000000004</v>
      </c>
      <c r="F4421" t="s">
        <v>41</v>
      </c>
      <c r="G4421">
        <v>-490.54469999999998</v>
      </c>
      <c r="H4421" s="1">
        <v>-1.5180450000000001E-6</v>
      </c>
      <c r="I4421">
        <v>242.78989999999999</v>
      </c>
      <c r="J4421">
        <v>-490.99579999999997</v>
      </c>
      <c r="K4421">
        <v>1.1216619999999999</v>
      </c>
      <c r="L4421">
        <v>259.91669999999999</v>
      </c>
      <c r="M4421">
        <v>-8.4105780000000005E-2</v>
      </c>
      <c r="N4421">
        <v>-9.6329280000000007E-3</v>
      </c>
      <c r="O4421">
        <v>-0.99641040000000003</v>
      </c>
      <c r="P4421">
        <v>6.9060709999999997E-2</v>
      </c>
      <c r="Q4421">
        <v>0.1055639</v>
      </c>
      <c r="R4421">
        <v>-0.99201170000000005</v>
      </c>
      <c r="S4421">
        <v>7.7636720000000006E-2</v>
      </c>
      <c r="T4421">
        <v>-0.19745589999999999</v>
      </c>
      <c r="U4421">
        <v>-3.0388790000000001</v>
      </c>
      <c r="V4421">
        <v>-0.15238409999999999</v>
      </c>
      <c r="W4421">
        <v>0.11485190000000001</v>
      </c>
      <c r="X4421">
        <v>0.98162530000000003</v>
      </c>
      <c r="Y4421">
        <v>-0.10945299999999999</v>
      </c>
      <c r="Z4421">
        <v>5.4664020000000001E-2</v>
      </c>
      <c r="AA4421">
        <v>0.99248769999999997</v>
      </c>
      <c r="AB4421">
        <v>15</v>
      </c>
      <c r="AC4421">
        <v>0.451099999999996</v>
      </c>
      <c r="AD4421">
        <v>-1.1216635180450001</v>
      </c>
      <c r="AE4421">
        <v>-17.126799999999999</v>
      </c>
      <c r="AF4421">
        <v>-1.8819645906889999</v>
      </c>
      <c r="AG4421">
        <v>-1.1216635180450001</v>
      </c>
      <c r="AH4421">
        <v>16.955494873868599</v>
      </c>
      <c r="AI4421">
        <v>93.761761445054901</v>
      </c>
      <c r="AJ4421">
        <v>96.333584856368404</v>
      </c>
      <c r="AK4421">
        <v>17.096453614305702</v>
      </c>
      <c r="AL4421">
        <v>83.404917395066605</v>
      </c>
      <c r="AM4421">
        <v>98.823966426672499</v>
      </c>
      <c r="AN4421">
        <v>1.0000000512332501</v>
      </c>
    </row>
    <row r="4422" spans="1:40" x14ac:dyDescent="0.25">
      <c r="A4422" t="str">
        <f>"20190303161958628"</f>
        <v>20190303161958628</v>
      </c>
      <c r="B4422" t="str">
        <f>"1551601198616366"</f>
        <v>1551601198616366</v>
      </c>
      <c r="C4422" t="s">
        <v>40</v>
      </c>
      <c r="D4422">
        <v>4.7777260000000004</v>
      </c>
      <c r="E4422">
        <v>0.51638700000000004</v>
      </c>
      <c r="F4422" t="s">
        <v>41</v>
      </c>
      <c r="G4422">
        <v>-490.49970000000002</v>
      </c>
      <c r="H4422" s="1">
        <v>-9.2150030000000002E-7</v>
      </c>
      <c r="I4422">
        <v>241.4272</v>
      </c>
      <c r="J4422">
        <v>-491.00209999999998</v>
      </c>
      <c r="K4422">
        <v>1.1216440000000001</v>
      </c>
      <c r="L4422">
        <v>259.83</v>
      </c>
      <c r="M4422">
        <v>-8.3258230000000003E-2</v>
      </c>
      <c r="N4422">
        <v>-9.6278809999999996E-3</v>
      </c>
      <c r="O4422">
        <v>-0.99648170000000003</v>
      </c>
      <c r="P4422">
        <v>7.0000930000000003E-2</v>
      </c>
      <c r="Q4422">
        <v>0.1060579</v>
      </c>
      <c r="R4422">
        <v>-0.99189309999999997</v>
      </c>
      <c r="S4422">
        <v>8.151245E-2</v>
      </c>
      <c r="T4422">
        <v>-0.18430579999999999</v>
      </c>
      <c r="U4422">
        <v>-3.0380859999999998</v>
      </c>
      <c r="V4422">
        <v>-0.15247079999999999</v>
      </c>
      <c r="W4422">
        <v>0.1153479</v>
      </c>
      <c r="X4422">
        <v>0.98155360000000003</v>
      </c>
      <c r="Y4422">
        <v>-0.1098876</v>
      </c>
      <c r="Z4422">
        <v>5.042054E-2</v>
      </c>
      <c r="AA4422">
        <v>0.99266430000000005</v>
      </c>
      <c r="AB4422">
        <v>15</v>
      </c>
      <c r="AC4422">
        <v>0.50239999999996598</v>
      </c>
      <c r="AD4422">
        <v>-1.1216449215002999</v>
      </c>
      <c r="AE4422">
        <v>-18.4027999999999</v>
      </c>
      <c r="AF4422">
        <v>-2.02539231615508</v>
      </c>
      <c r="AG4422">
        <v>-1.1216449215002999</v>
      </c>
      <c r="AH4422">
        <v>18.2293995049722</v>
      </c>
      <c r="AI4422">
        <v>93.499459701031995</v>
      </c>
      <c r="AJ4422">
        <v>96.339892085898995</v>
      </c>
      <c r="AK4422">
        <v>18.375834883785501</v>
      </c>
      <c r="AL4422">
        <v>83.376308054290504</v>
      </c>
      <c r="AM4422">
        <v>98.829542576843807</v>
      </c>
      <c r="AN4422">
        <v>0.99999997628000403</v>
      </c>
    </row>
    <row r="4423" spans="1:40" x14ac:dyDescent="0.25">
      <c r="A4423" t="str">
        <f>"20190303161958640"</f>
        <v>20190303161958640</v>
      </c>
      <c r="B4423" t="str">
        <f>"1551601198627103"</f>
        <v>1551601198627103</v>
      </c>
      <c r="C4423" t="s">
        <v>40</v>
      </c>
      <c r="D4423">
        <v>4.7314040000000004</v>
      </c>
      <c r="E4423">
        <v>0.51653959999999999</v>
      </c>
      <c r="F4423" t="s">
        <v>41</v>
      </c>
      <c r="G4423">
        <v>-490.4819</v>
      </c>
      <c r="H4423" s="1">
        <v>-6.6581459999999996E-7</v>
      </c>
      <c r="I4423">
        <v>240.84219999999999</v>
      </c>
      <c r="J4423">
        <v>-491.0086</v>
      </c>
      <c r="K4423">
        <v>1.121621</v>
      </c>
      <c r="L4423">
        <v>259.73970000000003</v>
      </c>
      <c r="M4423">
        <v>-8.2411410000000004E-2</v>
      </c>
      <c r="N4423">
        <v>-9.6232929999999998E-3</v>
      </c>
      <c r="O4423">
        <v>-0.99655210000000005</v>
      </c>
      <c r="P4423">
        <v>7.0965360000000005E-2</v>
      </c>
      <c r="Q4423">
        <v>0.10656649999999999</v>
      </c>
      <c r="R4423">
        <v>-0.99176989999999998</v>
      </c>
      <c r="S4423">
        <v>8.3221439999999994E-2</v>
      </c>
      <c r="T4423">
        <v>-0.17945120000000001</v>
      </c>
      <c r="U4423">
        <v>-3.0378419999999999</v>
      </c>
      <c r="V4423">
        <v>-0.15258050000000001</v>
      </c>
      <c r="W4423">
        <v>0.1158594</v>
      </c>
      <c r="X4423">
        <v>0.98147629999999997</v>
      </c>
      <c r="Y4423">
        <v>-0.1096063</v>
      </c>
      <c r="Z4423">
        <v>4.8859560000000003E-2</v>
      </c>
      <c r="AA4423">
        <v>0.99277349999999998</v>
      </c>
      <c r="AB4423">
        <v>15</v>
      </c>
      <c r="AC4423">
        <v>0.52670000000000505</v>
      </c>
      <c r="AD4423">
        <v>-1.1216216658146001</v>
      </c>
      <c r="AE4423">
        <v>-18.897500000000001</v>
      </c>
      <c r="AF4423">
        <v>-2.0750454543421002</v>
      </c>
      <c r="AG4423">
        <v>-1.1216216658146001</v>
      </c>
      <c r="AH4423">
        <v>18.7238953767814</v>
      </c>
      <c r="AI4423">
        <v>93.407294819610698</v>
      </c>
      <c r="AJ4423">
        <v>96.323906747471</v>
      </c>
      <c r="AK4423">
        <v>18.8718866804426</v>
      </c>
      <c r="AL4423">
        <v>83.346803394130603</v>
      </c>
      <c r="AM4423">
        <v>98.836479983258002</v>
      </c>
      <c r="AN4423">
        <v>0.99999996850514905</v>
      </c>
    </row>
    <row r="4424" spans="1:40" x14ac:dyDescent="0.25">
      <c r="A4424" t="str">
        <f>"20190303161958654"</f>
        <v>20190303161958654</v>
      </c>
      <c r="B4424" t="str">
        <f>"1551601198646623"</f>
        <v>1551601198646623</v>
      </c>
      <c r="C4424" t="s">
        <v>40</v>
      </c>
      <c r="D4424">
        <v>4.7180660000000003</v>
      </c>
      <c r="E4424">
        <v>0.51690599999999998</v>
      </c>
      <c r="F4424" t="s">
        <v>41</v>
      </c>
      <c r="G4424">
        <v>-490.46260000000001</v>
      </c>
      <c r="H4424" s="1">
        <v>-4.1936890000000001E-7</v>
      </c>
      <c r="I4424">
        <v>240.27979999999999</v>
      </c>
      <c r="J4424">
        <v>-491.01499999999999</v>
      </c>
      <c r="K4424">
        <v>1.12159599999999</v>
      </c>
      <c r="L4424">
        <v>259.65170000000001</v>
      </c>
      <c r="M4424">
        <v>-8.1621730000000003E-2</v>
      </c>
      <c r="N4424">
        <v>-9.6177390000000001E-3</v>
      </c>
      <c r="O4424">
        <v>-0.99661730000000004</v>
      </c>
      <c r="P4424">
        <v>7.2255249999999993E-2</v>
      </c>
      <c r="Q4424">
        <v>0.1069428</v>
      </c>
      <c r="R4424">
        <v>-0.99163659999999998</v>
      </c>
      <c r="S4424">
        <v>8.5235599999999995E-2</v>
      </c>
      <c r="T4424">
        <v>-0.17508170000000001</v>
      </c>
      <c r="U4424">
        <v>-3.0376280000000002</v>
      </c>
      <c r="V4424">
        <v>-0.15307119999999999</v>
      </c>
      <c r="W4424">
        <v>0.1162373</v>
      </c>
      <c r="X4424">
        <v>0.98135519999999998</v>
      </c>
      <c r="Y4424">
        <v>-0.1094811</v>
      </c>
      <c r="Z4424">
        <v>4.7454530000000002E-2</v>
      </c>
      <c r="AA4424">
        <v>0.99285540000000005</v>
      </c>
      <c r="AB4424">
        <v>15</v>
      </c>
      <c r="AC4424">
        <v>0.55239999999997702</v>
      </c>
      <c r="AD4424">
        <v>-1.1215964193689001</v>
      </c>
      <c r="AE4424">
        <v>-19.3719</v>
      </c>
      <c r="AF4424">
        <v>-2.1246807439809698</v>
      </c>
      <c r="AG4424">
        <v>-1.1215964193689001</v>
      </c>
      <c r="AH4424">
        <v>19.197864842432999</v>
      </c>
      <c r="AI4424">
        <v>93.323344228112205</v>
      </c>
      <c r="AJ4424">
        <v>96.3153813382187</v>
      </c>
      <c r="AK4424">
        <v>19.3476164242552</v>
      </c>
      <c r="AL4424">
        <v>83.325004011269201</v>
      </c>
      <c r="AM4424">
        <v>98.8655240575373</v>
      </c>
      <c r="AN4424">
        <v>0.99999996537388403</v>
      </c>
    </row>
    <row r="4425" spans="1:40" x14ac:dyDescent="0.25">
      <c r="A4425" t="str">
        <f>"20190303161958671"</f>
        <v>20190303161958671</v>
      </c>
      <c r="B4425" t="str">
        <f>"1551601198667118"</f>
        <v>1551601198667118</v>
      </c>
      <c r="C4425" t="s">
        <v>40</v>
      </c>
      <c r="D4425">
        <v>4.6567480000000003</v>
      </c>
      <c r="E4425">
        <v>0.51669370000000003</v>
      </c>
      <c r="F4425" t="s">
        <v>41</v>
      </c>
      <c r="G4425">
        <v>-490.44970000000001</v>
      </c>
      <c r="H4425" s="1">
        <v>-4.3755440000000002E-6</v>
      </c>
      <c r="I4425">
        <v>239.61009999999999</v>
      </c>
      <c r="J4425">
        <v>-491.02319999999997</v>
      </c>
      <c r="K4425">
        <v>1.1215649999999999</v>
      </c>
      <c r="L4425">
        <v>259.5367</v>
      </c>
      <c r="M4425">
        <v>-8.0636949999999999E-2</v>
      </c>
      <c r="N4425">
        <v>-9.6087389999999998E-3</v>
      </c>
      <c r="O4425">
        <v>-0.99669719999999995</v>
      </c>
      <c r="P4425">
        <v>7.4604240000000002E-2</v>
      </c>
      <c r="Q4425">
        <v>0.1077264</v>
      </c>
      <c r="R4425">
        <v>-0.99137759999999997</v>
      </c>
      <c r="S4425">
        <v>8.5662840000000004E-2</v>
      </c>
      <c r="T4425">
        <v>-0.169983</v>
      </c>
      <c r="U4425">
        <v>-3.0373839999999999</v>
      </c>
      <c r="V4425">
        <v>-0.15441240000000001</v>
      </c>
      <c r="W4425">
        <v>0.1170192</v>
      </c>
      <c r="X4425">
        <v>0.98105220000000004</v>
      </c>
      <c r="Y4425">
        <v>-0.10864409999999999</v>
      </c>
      <c r="Z4425">
        <v>4.5819659999999998E-2</v>
      </c>
      <c r="AA4425">
        <v>0.99302420000000002</v>
      </c>
      <c r="AB4425">
        <v>15</v>
      </c>
      <c r="AC4425">
        <v>0.57349999999996704</v>
      </c>
      <c r="AD4425">
        <v>-1.1215693755439999</v>
      </c>
      <c r="AE4425">
        <v>-19.926600000000001</v>
      </c>
      <c r="AF4425">
        <v>-2.1716526011700998</v>
      </c>
      <c r="AG4425">
        <v>-1.1215693755439999</v>
      </c>
      <c r="AH4425">
        <v>19.752930775477701</v>
      </c>
      <c r="AI4425">
        <v>93.230336828464203</v>
      </c>
      <c r="AJ4425">
        <v>96.273945932472103</v>
      </c>
      <c r="AK4425">
        <v>19.903574229397599</v>
      </c>
      <c r="AL4425">
        <v>83.279897185936306</v>
      </c>
      <c r="AM4425">
        <v>98.944670402966906</v>
      </c>
      <c r="AN4425">
        <v>1.00000005078361</v>
      </c>
    </row>
    <row r="4426" spans="1:40" x14ac:dyDescent="0.25">
      <c r="A4426" t="str">
        <f>"20190303161958692"</f>
        <v>20190303161958692</v>
      </c>
      <c r="B4426" t="str">
        <f>"1551601198686639"</f>
        <v>1551601198686639</v>
      </c>
      <c r="C4426" t="s">
        <v>40</v>
      </c>
      <c r="D4426">
        <v>4.6260269999999997</v>
      </c>
      <c r="E4426">
        <v>0.50127579999999905</v>
      </c>
      <c r="F4426" t="s">
        <v>41</v>
      </c>
      <c r="G4426">
        <v>-490.37479999999999</v>
      </c>
      <c r="H4426" s="1">
        <v>-4.0449099999999999E-6</v>
      </c>
      <c r="I4426">
        <v>238.78540000000001</v>
      </c>
      <c r="J4426">
        <v>-491.03370000000001</v>
      </c>
      <c r="K4426">
        <v>1.121515</v>
      </c>
      <c r="L4426">
        <v>259.38979999999998</v>
      </c>
      <c r="M4426">
        <v>-7.9481700000000002E-2</v>
      </c>
      <c r="N4426">
        <v>-9.5937569999999996E-3</v>
      </c>
      <c r="O4426">
        <v>-0.99679030000000002</v>
      </c>
      <c r="P4426">
        <v>7.6925969999999996E-2</v>
      </c>
      <c r="Q4426">
        <v>0.1080353</v>
      </c>
      <c r="R4426">
        <v>-0.99116649999999995</v>
      </c>
      <c r="S4426">
        <v>9.4879149999999995E-2</v>
      </c>
      <c r="T4426">
        <v>-0.16413220000000001</v>
      </c>
      <c r="U4426">
        <v>-3.0367739999999999</v>
      </c>
      <c r="V4426">
        <v>-0.15555929999999901</v>
      </c>
      <c r="W4426">
        <v>0.117327</v>
      </c>
      <c r="X4426">
        <v>0.98083419999999999</v>
      </c>
      <c r="Y4426">
        <v>-0.1105116</v>
      </c>
      <c r="Z4426">
        <v>4.3940849999999997E-2</v>
      </c>
      <c r="AA4426">
        <v>0.99290299999999998</v>
      </c>
      <c r="AB4426">
        <v>15</v>
      </c>
      <c r="AC4426">
        <v>0.65890000000001603</v>
      </c>
      <c r="AD4426">
        <v>-1.1215190449099901</v>
      </c>
      <c r="AE4426">
        <v>-20.604399999999899</v>
      </c>
      <c r="AF4426">
        <v>-2.2877919364723098</v>
      </c>
      <c r="AG4426">
        <v>-1.1215190449099901</v>
      </c>
      <c r="AH4426">
        <v>20.426379292483599</v>
      </c>
      <c r="AI4426">
        <v>93.123204385624007</v>
      </c>
      <c r="AJ4426">
        <v>96.390599075929202</v>
      </c>
      <c r="AK4426">
        <v>20.584673131072201</v>
      </c>
      <c r="AL4426">
        <v>83.262139041056699</v>
      </c>
      <c r="AM4426">
        <v>99.011990799228698</v>
      </c>
      <c r="AN4426">
        <v>1.00000002431756</v>
      </c>
    </row>
    <row r="4427" spans="1:40" x14ac:dyDescent="0.25">
      <c r="A4427" t="str">
        <f>"20190303161958709"</f>
        <v>20190303161958709</v>
      </c>
      <c r="B4427" t="str">
        <f>"1551601198696398"</f>
        <v>1551601198696398</v>
      </c>
      <c r="C4427" t="s">
        <v>40</v>
      </c>
      <c r="D4427">
        <v>4.5617020000000004</v>
      </c>
      <c r="E4427">
        <v>0.50107709999999905</v>
      </c>
      <c r="F4427" t="s">
        <v>44</v>
      </c>
      <c r="G4427">
        <v>-478.37290000000002</v>
      </c>
      <c r="H4427">
        <v>-0.05</v>
      </c>
      <c r="I4427">
        <v>89.006360000000001</v>
      </c>
      <c r="J4427">
        <v>-491.04109999999997</v>
      </c>
      <c r="K4427">
        <v>1.121475</v>
      </c>
      <c r="L4427">
        <v>259.28469999999999</v>
      </c>
      <c r="M4427">
        <v>-7.8718360000000001E-2</v>
      </c>
      <c r="N4427">
        <v>-9.5819500000000005E-3</v>
      </c>
      <c r="O4427">
        <v>-0.99685109999999999</v>
      </c>
      <c r="P4427">
        <v>7.8293169999999995E-2</v>
      </c>
      <c r="Q4427">
        <v>0.10830819999999999</v>
      </c>
      <c r="R4427">
        <v>-0.99102990000000002</v>
      </c>
      <c r="S4427">
        <v>0.2237854</v>
      </c>
      <c r="T4427">
        <v>-2.0707010000000001E-2</v>
      </c>
      <c r="U4427">
        <v>-3.0115970000000001</v>
      </c>
      <c r="V4427">
        <v>-0.15615000000000001</v>
      </c>
      <c r="W4427">
        <v>0.1175993</v>
      </c>
      <c r="X4427">
        <v>0.98070769999999996</v>
      </c>
      <c r="Y4427">
        <v>-0.1523668</v>
      </c>
      <c r="Z4427">
        <v>-2.8160519999999999E-3</v>
      </c>
      <c r="AA4427">
        <v>0.98831999999999998</v>
      </c>
      <c r="AB4427">
        <v>15</v>
      </c>
      <c r="AC4427">
        <v>12.668199999999899</v>
      </c>
      <c r="AD4427">
        <v>-1.171475</v>
      </c>
      <c r="AE4427">
        <v>-170.27833999999999</v>
      </c>
      <c r="AF4427">
        <v>-26.032303928976599</v>
      </c>
      <c r="AG4427">
        <v>-1.171475</v>
      </c>
      <c r="AH4427">
        <v>168.744691777176</v>
      </c>
      <c r="AI4427">
        <v>90.393107472477595</v>
      </c>
      <c r="AJ4427">
        <v>98.769903860226705</v>
      </c>
      <c r="AK4427">
        <v>170.74490974696801</v>
      </c>
      <c r="AL4427">
        <v>83.246428512636101</v>
      </c>
      <c r="AM4427">
        <v>99.046794446030106</v>
      </c>
      <c r="AN4427">
        <v>1.0000000053498801</v>
      </c>
    </row>
    <row r="4428" spans="1:40" x14ac:dyDescent="0.25">
      <c r="A4428" t="str">
        <f>"20190303161958722"</f>
        <v>20190303161958722</v>
      </c>
      <c r="B4428" t="str">
        <f>"1551601198716894"</f>
        <v>1551601198716894</v>
      </c>
      <c r="C4428" t="s">
        <v>40</v>
      </c>
      <c r="D4428">
        <v>4.5457429999999999</v>
      </c>
      <c r="E4428">
        <v>0.50167019999999996</v>
      </c>
      <c r="F4428" t="s">
        <v>62</v>
      </c>
      <c r="G4428">
        <v>-481.17009999999999</v>
      </c>
      <c r="H4428">
        <v>6.1104909999999998E-2</v>
      </c>
      <c r="I4428">
        <v>129.6052</v>
      </c>
      <c r="J4428">
        <v>-491.04829999999998</v>
      </c>
      <c r="K4428">
        <v>1.1214379999999999</v>
      </c>
      <c r="L4428">
        <v>259.18299999999999</v>
      </c>
      <c r="M4428">
        <v>-7.8036159999999993E-2</v>
      </c>
      <c r="N4428">
        <v>-9.5707050000000005E-3</v>
      </c>
      <c r="O4428">
        <v>-0.99690489999999998</v>
      </c>
      <c r="P4428">
        <v>7.9213720000000001E-2</v>
      </c>
      <c r="Q4428">
        <v>0.108118699999999</v>
      </c>
      <c r="R4428">
        <v>-0.99097740000000001</v>
      </c>
      <c r="S4428">
        <v>0.22924800000000001</v>
      </c>
      <c r="T4428">
        <v>-2.4626370000000002E-2</v>
      </c>
      <c r="U4428">
        <v>-3.0117189999999998</v>
      </c>
      <c r="V4428">
        <v>-0.15638170000000001</v>
      </c>
      <c r="W4428">
        <v>0.1174118</v>
      </c>
      <c r="X4428">
        <v>0.98069320000000004</v>
      </c>
      <c r="Y4428">
        <v>-0.1534692</v>
      </c>
      <c r="Z4428">
        <v>-1.5202060000000001E-3</v>
      </c>
      <c r="AA4428">
        <v>0.98815229999999998</v>
      </c>
      <c r="AB4428">
        <v>15</v>
      </c>
      <c r="AC4428">
        <v>9.8781999999999908</v>
      </c>
      <c r="AD4428">
        <v>-1.0603330900000001</v>
      </c>
      <c r="AE4428">
        <v>-129.5778</v>
      </c>
      <c r="AF4428">
        <v>-19.9589591572025</v>
      </c>
      <c r="AG4428">
        <v>-1.0603330900000001</v>
      </c>
      <c r="AH4428">
        <v>128.403180059714</v>
      </c>
      <c r="AI4428">
        <v>90.467514733490503</v>
      </c>
      <c r="AJ4428">
        <v>98.835336451868699</v>
      </c>
      <c r="AK4428">
        <v>129.949455583115</v>
      </c>
      <c r="AL4428">
        <v>83.257246106005695</v>
      </c>
      <c r="AM4428">
        <v>99.060127591024298</v>
      </c>
      <c r="AN4428">
        <v>0.99999995970018396</v>
      </c>
    </row>
    <row r="4429" spans="1:40" x14ac:dyDescent="0.25">
      <c r="A4429" t="str">
        <f>"20190303161958740"</f>
        <v>20190303161958740</v>
      </c>
      <c r="B4429" t="str">
        <f>"1551601198726654"</f>
        <v>1551601198726654</v>
      </c>
      <c r="C4429" t="s">
        <v>40</v>
      </c>
      <c r="D4429">
        <v>4.513255</v>
      </c>
      <c r="E4429">
        <v>0.50218560000000001</v>
      </c>
      <c r="F4429" t="s">
        <v>41</v>
      </c>
      <c r="G4429">
        <v>-483.85449999999997</v>
      </c>
      <c r="H4429" s="1">
        <v>-3.2287469999999999E-6</v>
      </c>
      <c r="I4429">
        <v>163.79419999999999</v>
      </c>
      <c r="J4429">
        <v>-491.05630000000002</v>
      </c>
      <c r="K4429">
        <v>1.121389</v>
      </c>
      <c r="L4429">
        <v>259.07</v>
      </c>
      <c r="M4429">
        <v>-7.7350749999999996E-2</v>
      </c>
      <c r="N4429">
        <v>-9.5593929999999994E-3</v>
      </c>
      <c r="O4429">
        <v>-0.99695840000000002</v>
      </c>
      <c r="P4429">
        <v>8.0739740000000004E-2</v>
      </c>
      <c r="Q4429">
        <v>0.108032</v>
      </c>
      <c r="R4429">
        <v>-0.99086370000000001</v>
      </c>
      <c r="S4429">
        <v>0.22723389999999999</v>
      </c>
      <c r="T4429">
        <v>-3.5423160000000002E-2</v>
      </c>
      <c r="U4429">
        <v>-3.0130620000000001</v>
      </c>
      <c r="V4429">
        <v>-0.15720809999999999</v>
      </c>
      <c r="W4429">
        <v>0.117327</v>
      </c>
      <c r="X4429">
        <v>0.98057130000000003</v>
      </c>
      <c r="Y4429">
        <v>-0.15209700000000001</v>
      </c>
      <c r="Z4429">
        <v>2.0307680000000001E-3</v>
      </c>
      <c r="AA4429">
        <v>0.98836349999999995</v>
      </c>
      <c r="AB4429">
        <v>15</v>
      </c>
      <c r="AC4429">
        <v>7.2018000000000404</v>
      </c>
      <c r="AD4429">
        <v>-1.121392228747</v>
      </c>
      <c r="AE4429">
        <v>-95.275800000000004</v>
      </c>
      <c r="AF4429">
        <v>-14.548206319158499</v>
      </c>
      <c r="AG4429">
        <v>-1.121392228747</v>
      </c>
      <c r="AH4429">
        <v>94.420226436232795</v>
      </c>
      <c r="AI4429">
        <v>90.672512346161199</v>
      </c>
      <c r="AJ4429">
        <v>98.759213559460505</v>
      </c>
      <c r="AK4429">
        <v>95.541022539561396</v>
      </c>
      <c r="AL4429">
        <v>83.262139167581793</v>
      </c>
      <c r="AM4429">
        <v>99.108318753027604</v>
      </c>
      <c r="AN4429">
        <v>1.00000004300914</v>
      </c>
    </row>
    <row r="4430" spans="1:40" x14ac:dyDescent="0.25">
      <c r="A4430" t="str">
        <f>"20190303161958754"</f>
        <v>20190303161958754</v>
      </c>
      <c r="B4430" t="str">
        <f>"1551601198747152"</f>
        <v>1551601198747152</v>
      </c>
      <c r="C4430" t="s">
        <v>40</v>
      </c>
      <c r="D4430">
        <v>4.408404</v>
      </c>
      <c r="E4430">
        <v>0.50292519999999996</v>
      </c>
      <c r="F4430" t="s">
        <v>41</v>
      </c>
      <c r="G4430">
        <v>-484.57889999999998</v>
      </c>
      <c r="H4430" s="1">
        <v>-2.7121179999999999E-6</v>
      </c>
      <c r="I4430">
        <v>173.37909999999999</v>
      </c>
      <c r="J4430">
        <v>-491.06360000000001</v>
      </c>
      <c r="K4430">
        <v>1.1213470000000001</v>
      </c>
      <c r="L4430">
        <v>258.96769999999998</v>
      </c>
      <c r="M4430">
        <v>-7.6790670000000005E-2</v>
      </c>
      <c r="N4430">
        <v>-9.5500710000000003E-3</v>
      </c>
      <c r="O4430">
        <v>-0.99700160000000004</v>
      </c>
      <c r="P4430">
        <v>8.1472909999999996E-2</v>
      </c>
      <c r="Q4430">
        <v>0.1078892</v>
      </c>
      <c r="R4430">
        <v>-0.99081900000000001</v>
      </c>
      <c r="S4430">
        <v>0.22778319999999999</v>
      </c>
      <c r="T4430">
        <v>-3.943431E-2</v>
      </c>
      <c r="U4430">
        <v>-3.0133670000000001</v>
      </c>
      <c r="V4430">
        <v>-0.15737300000000001</v>
      </c>
      <c r="W4430">
        <v>0.11718969999999999</v>
      </c>
      <c r="X4430">
        <v>0.98056129999999997</v>
      </c>
      <c r="Y4430">
        <v>-0.15171219999999999</v>
      </c>
      <c r="Z4430">
        <v>3.3555439999999998E-3</v>
      </c>
      <c r="AA4430">
        <v>0.98841900000000005</v>
      </c>
      <c r="AB4430">
        <v>15</v>
      </c>
      <c r="AC4430">
        <v>6.4847000000000303</v>
      </c>
      <c r="AD4430">
        <v>-1.1213497121179901</v>
      </c>
      <c r="AE4430">
        <v>-85.5885999999999</v>
      </c>
      <c r="AF4430">
        <v>-13.0360305887717</v>
      </c>
      <c r="AG4430">
        <v>-1.1213497121179901</v>
      </c>
      <c r="AH4430">
        <v>84.823389957389196</v>
      </c>
      <c r="AI4430">
        <v>90.748607585232605</v>
      </c>
      <c r="AJ4430">
        <v>98.737107720810002</v>
      </c>
      <c r="AK4430">
        <v>85.826586804740003</v>
      </c>
      <c r="AL4430">
        <v>83.270060739886006</v>
      </c>
      <c r="AM4430">
        <v>99.117803750010907</v>
      </c>
      <c r="AN4430">
        <v>1.00000007498638</v>
      </c>
    </row>
    <row r="4431" spans="1:40" x14ac:dyDescent="0.25">
      <c r="A4431" t="str">
        <f>"20190303161958774"</f>
        <v>20190303161958774</v>
      </c>
      <c r="B4431" t="str">
        <f>"1551601198766672"</f>
        <v>1551601198766672</v>
      </c>
      <c r="C4431" t="s">
        <v>40</v>
      </c>
      <c r="D4431">
        <v>4.4111330000000004</v>
      </c>
      <c r="E4431">
        <v>0.50359469999999995</v>
      </c>
      <c r="F4431" t="s">
        <v>41</v>
      </c>
      <c r="G4431">
        <v>-485.0444</v>
      </c>
      <c r="H4431" s="1">
        <v>-4.5070560000000001E-6</v>
      </c>
      <c r="I4431">
        <v>178.0898</v>
      </c>
      <c r="J4431">
        <v>-491.07319999999999</v>
      </c>
      <c r="K4431">
        <v>1.121283</v>
      </c>
      <c r="L4431">
        <v>258.83240000000001</v>
      </c>
      <c r="M4431">
        <v>-7.6136659999999995E-2</v>
      </c>
      <c r="N4431">
        <v>-9.5389710000000003E-3</v>
      </c>
      <c r="O4431">
        <v>-0.9970521</v>
      </c>
      <c r="P4431">
        <v>8.2470479999999999E-2</v>
      </c>
      <c r="Q4431">
        <v>0.1068035</v>
      </c>
      <c r="R4431">
        <v>-0.99085429999999997</v>
      </c>
      <c r="S4431">
        <v>0.22430420000000001</v>
      </c>
      <c r="T4431">
        <v>-4.1786909999999997E-2</v>
      </c>
      <c r="U4431">
        <v>-3.0139010000000002</v>
      </c>
      <c r="V4431">
        <v>-0.15771089999999999</v>
      </c>
      <c r="W4431">
        <v>0.1161137</v>
      </c>
      <c r="X4431">
        <v>0.98063489999999998</v>
      </c>
      <c r="Y4431">
        <v>-0.149915299999999</v>
      </c>
      <c r="Z4431">
        <v>4.1399459999999898E-3</v>
      </c>
      <c r="AA4431">
        <v>0.98869019999999996</v>
      </c>
      <c r="AB4431">
        <v>15</v>
      </c>
      <c r="AC4431">
        <v>6.0287999999999897</v>
      </c>
      <c r="AD4431">
        <v>-1.121287507056</v>
      </c>
      <c r="AE4431">
        <v>-80.742599999999996</v>
      </c>
      <c r="AF4431">
        <v>-12.1567172200202</v>
      </c>
      <c r="AG4431">
        <v>-1.121287507056</v>
      </c>
      <c r="AH4431">
        <v>80.033831986760802</v>
      </c>
      <c r="AI4431">
        <v>90.793569798798103</v>
      </c>
      <c r="AJ4431">
        <v>98.6369071103029</v>
      </c>
      <c r="AK4431">
        <v>80.959603023520799</v>
      </c>
      <c r="AL4431">
        <v>83.332134034942598</v>
      </c>
      <c r="AM4431">
        <v>99.136376758373402</v>
      </c>
      <c r="AN4431">
        <v>0.99999996320225404</v>
      </c>
    </row>
    <row r="4432" spans="1:40" x14ac:dyDescent="0.25">
      <c r="A4432" t="str">
        <f>"20190303161958788"</f>
        <v>20190303161958788</v>
      </c>
      <c r="B4432" t="str">
        <f>"1551601198776430"</f>
        <v>1551601198776430</v>
      </c>
      <c r="C4432" t="s">
        <v>40</v>
      </c>
      <c r="D4432">
        <v>4.3656319999999997</v>
      </c>
      <c r="E4432">
        <v>0.50390789999999996</v>
      </c>
      <c r="F4432" t="s">
        <v>41</v>
      </c>
      <c r="G4432">
        <v>-485.77269999999999</v>
      </c>
      <c r="H4432" s="1">
        <v>-3.7768290000000002E-6</v>
      </c>
      <c r="I4432">
        <v>186.68879999999999</v>
      </c>
      <c r="J4432">
        <v>-491.0797</v>
      </c>
      <c r="K4432">
        <v>1.1212420000000001</v>
      </c>
      <c r="L4432">
        <v>258.74099999999999</v>
      </c>
      <c r="M4432">
        <v>-7.5742749999999998E-2</v>
      </c>
      <c r="N4432">
        <v>-9.532113E-3</v>
      </c>
      <c r="O4432">
        <v>-0.99708180000000002</v>
      </c>
      <c r="P4432">
        <v>8.328054E-2</v>
      </c>
      <c r="Q4432">
        <v>0.10583380000000001</v>
      </c>
      <c r="R4432">
        <v>-0.99089020000000005</v>
      </c>
      <c r="S4432">
        <v>0.2214661</v>
      </c>
      <c r="T4432">
        <v>-4.6850200000000002E-2</v>
      </c>
      <c r="U4432">
        <v>-3.0143430000000002</v>
      </c>
      <c r="V4432">
        <v>-0.15812390000000001</v>
      </c>
      <c r="W4432">
        <v>0.1151513</v>
      </c>
      <c r="X4432">
        <v>0.9806819</v>
      </c>
      <c r="Y4432">
        <v>-0.14858629999999901</v>
      </c>
      <c r="Z4432">
        <v>5.8083369999999898E-3</v>
      </c>
      <c r="AA4432">
        <v>0.98888240000000005</v>
      </c>
      <c r="AB4432">
        <v>15</v>
      </c>
      <c r="AC4432">
        <v>5.3070000000000102</v>
      </c>
      <c r="AD4432">
        <v>-1.1212457768290001</v>
      </c>
      <c r="AE4432">
        <v>-72.052199999999999</v>
      </c>
      <c r="AF4432">
        <v>-10.7468451221389</v>
      </c>
      <c r="AG4432">
        <v>-1.1212457768290001</v>
      </c>
      <c r="AH4432">
        <v>71.426014992380303</v>
      </c>
      <c r="AI4432">
        <v>90.889346633644493</v>
      </c>
      <c r="AJ4432">
        <v>98.556608135714001</v>
      </c>
      <c r="AK4432">
        <v>72.238684164809001</v>
      </c>
      <c r="AL4432">
        <v>83.387648054196006</v>
      </c>
      <c r="AM4432">
        <v>99.159465702563097</v>
      </c>
      <c r="AN4432">
        <v>0.99999998931525402</v>
      </c>
    </row>
    <row r="4433" spans="1:40" x14ac:dyDescent="0.25">
      <c r="A4433" t="str">
        <f>"20190303161958805"</f>
        <v>20190303161958805</v>
      </c>
      <c r="B4433" t="str">
        <f>"1551601198796930"</f>
        <v>1551601198796930</v>
      </c>
      <c r="C4433" t="s">
        <v>40</v>
      </c>
      <c r="D4433">
        <v>4.306813</v>
      </c>
      <c r="E4433">
        <v>0.50439840000000002</v>
      </c>
      <c r="F4433" t="s">
        <v>41</v>
      </c>
      <c r="G4433">
        <v>-486.1961</v>
      </c>
      <c r="H4433" s="1">
        <v>-1.8986750000000001E-6</v>
      </c>
      <c r="I4433">
        <v>192.2533</v>
      </c>
      <c r="J4433">
        <v>-491.08839999999998</v>
      </c>
      <c r="K4433">
        <v>1.1211979999999999</v>
      </c>
      <c r="L4433">
        <v>258.6191</v>
      </c>
      <c r="M4433">
        <v>-7.5282279999999993E-2</v>
      </c>
      <c r="N4433">
        <v>-9.5238379999999997E-3</v>
      </c>
      <c r="O4433">
        <v>-0.99711700000000003</v>
      </c>
      <c r="P4433">
        <v>8.4341940000000004E-2</v>
      </c>
      <c r="Q4433">
        <v>0.1041763</v>
      </c>
      <c r="R4433">
        <v>-0.99097639999999998</v>
      </c>
      <c r="S4433">
        <v>0.22140499999999999</v>
      </c>
      <c r="T4433">
        <v>-5.083418E-2</v>
      </c>
      <c r="U4433">
        <v>-3.0143740000000001</v>
      </c>
      <c r="V4433">
        <v>-0.15872329999999901</v>
      </c>
      <c r="W4433">
        <v>0.1135023</v>
      </c>
      <c r="X4433">
        <v>0.98077729999999996</v>
      </c>
      <c r="Y4433">
        <v>-0.1481075</v>
      </c>
      <c r="Z4433">
        <v>7.1246460000000001E-3</v>
      </c>
      <c r="AA4433">
        <v>0.98894559999999998</v>
      </c>
      <c r="AB4433">
        <v>15</v>
      </c>
      <c r="AC4433">
        <v>4.8922999999999703</v>
      </c>
      <c r="AD4433">
        <v>-1.12119989867499</v>
      </c>
      <c r="AE4433">
        <v>-66.365799999999993</v>
      </c>
      <c r="AF4433">
        <v>-9.8720075357506207</v>
      </c>
      <c r="AG4433">
        <v>-1.12119989867499</v>
      </c>
      <c r="AH4433">
        <v>65.790458030581604</v>
      </c>
      <c r="AI4433">
        <v>90.965531996264104</v>
      </c>
      <c r="AJ4433">
        <v>98.533694505800597</v>
      </c>
      <c r="AK4433">
        <v>66.5364410670756</v>
      </c>
      <c r="AL4433">
        <v>83.4827523600446</v>
      </c>
      <c r="AM4433">
        <v>99.192715664992704</v>
      </c>
      <c r="AN4433">
        <v>0.99999998513173405</v>
      </c>
    </row>
    <row r="4434" spans="1:40" x14ac:dyDescent="0.25">
      <c r="A4434" t="str">
        <f>"20190303161958818"</f>
        <v>20190303161958818</v>
      </c>
      <c r="B4434" t="str">
        <f>"1551601198806687"</f>
        <v>1551601198806687</v>
      </c>
      <c r="C4434" t="s">
        <v>40</v>
      </c>
      <c r="D4434">
        <v>4.3333449999999996</v>
      </c>
      <c r="E4434">
        <v>0.50486409999999904</v>
      </c>
      <c r="F4434" t="s">
        <v>41</v>
      </c>
      <c r="G4434">
        <v>-486.50479999999999</v>
      </c>
      <c r="H4434" s="1">
        <v>-3.2932609999999999E-6</v>
      </c>
      <c r="I4434">
        <v>195.86420000000001</v>
      </c>
      <c r="J4434">
        <v>-491.0951</v>
      </c>
      <c r="K4434">
        <v>1.1211690000000001</v>
      </c>
      <c r="L4434">
        <v>258.52420000000001</v>
      </c>
      <c r="M4434">
        <v>-7.4978630000000004E-2</v>
      </c>
      <c r="N4434">
        <v>-9.5183809999999994E-3</v>
      </c>
      <c r="O4434">
        <v>-0.99713989999999997</v>
      </c>
      <c r="P4434">
        <v>8.5103540000000005E-2</v>
      </c>
      <c r="Q4434">
        <v>0.1040198</v>
      </c>
      <c r="R4434">
        <v>-0.99092760000000002</v>
      </c>
      <c r="S4434">
        <v>0.22015380000000001</v>
      </c>
      <c r="T4434">
        <v>-5.3852320000000002E-2</v>
      </c>
      <c r="U4434">
        <v>-3.0141749999999998</v>
      </c>
      <c r="V4434">
        <v>-0.1591727</v>
      </c>
      <c r="W4434">
        <v>0.1133498</v>
      </c>
      <c r="X4434">
        <v>0.98072210000000004</v>
      </c>
      <c r="Y4434">
        <v>-0.14740149999999999</v>
      </c>
      <c r="Z4434">
        <v>8.1231540000000005E-3</v>
      </c>
      <c r="AA4434">
        <v>0.98904340000000002</v>
      </c>
      <c r="AB4434">
        <v>15</v>
      </c>
      <c r="AC4434">
        <v>4.5903000000000098</v>
      </c>
      <c r="AD4434">
        <v>-1.121172293261</v>
      </c>
      <c r="AE4434">
        <v>-62.66</v>
      </c>
      <c r="AF4434">
        <v>-9.2727977895978597</v>
      </c>
      <c r="AG4434">
        <v>-1.121172293261</v>
      </c>
      <c r="AH4434">
        <v>62.119633136451199</v>
      </c>
      <c r="AI4434">
        <v>91.022667658467398</v>
      </c>
      <c r="AJ4434">
        <v>98.490036276462604</v>
      </c>
      <c r="AK4434">
        <v>62.817916450366504</v>
      </c>
      <c r="AL4434">
        <v>83.491546697793694</v>
      </c>
      <c r="AM4434">
        <v>99.218807107347601</v>
      </c>
      <c r="AN4434">
        <v>0.99999998150686897</v>
      </c>
    </row>
    <row r="4435" spans="1:40" x14ac:dyDescent="0.25">
      <c r="A4435" t="str">
        <f>"20190303161958837"</f>
        <v>20190303161958837</v>
      </c>
      <c r="B4435" t="str">
        <f>"1551601198826208"</f>
        <v>1551601198826208</v>
      </c>
      <c r="C4435" t="s">
        <v>40</v>
      </c>
      <c r="D4435">
        <v>4.2921959999999997</v>
      </c>
      <c r="E4435">
        <v>0.50546930000000001</v>
      </c>
      <c r="F4435" t="s">
        <v>41</v>
      </c>
      <c r="G4435">
        <v>-486.50060000000002</v>
      </c>
      <c r="H4435" s="1">
        <v>-3.0304470000000001E-6</v>
      </c>
      <c r="I4435">
        <v>195.2499</v>
      </c>
      <c r="J4435">
        <v>-491.1046</v>
      </c>
      <c r="K4435">
        <v>1.1211409999999999</v>
      </c>
      <c r="L4435">
        <v>258.39150000000001</v>
      </c>
      <c r="M4435">
        <v>-7.4602009999999996E-2</v>
      </c>
      <c r="N4435">
        <v>-9.5114299999999995E-3</v>
      </c>
      <c r="O4435">
        <v>-0.9971681</v>
      </c>
      <c r="P4435">
        <v>8.6491769999999996E-2</v>
      </c>
      <c r="Q4435">
        <v>0.1046274</v>
      </c>
      <c r="R4435">
        <v>-0.99074359999999995</v>
      </c>
      <c r="S4435">
        <v>0.21887210000000001</v>
      </c>
      <c r="T4435">
        <v>-5.3409930000000001E-2</v>
      </c>
      <c r="U4435">
        <v>-3.0142359999999999</v>
      </c>
      <c r="V4435">
        <v>-0.1601649</v>
      </c>
      <c r="W4435">
        <v>0.11395950000000001</v>
      </c>
      <c r="X4435">
        <v>0.98048990000000003</v>
      </c>
      <c r="Y4435">
        <v>-0.146608399999999</v>
      </c>
      <c r="Z4435">
        <v>7.9870110000000005E-3</v>
      </c>
      <c r="AA4435">
        <v>0.9891624</v>
      </c>
      <c r="AB4435">
        <v>15</v>
      </c>
      <c r="AC4435">
        <v>4.6039999999999797</v>
      </c>
      <c r="AD4435">
        <v>-1.121144030447</v>
      </c>
      <c r="AE4435">
        <v>-63.141599999999997</v>
      </c>
      <c r="AF4435">
        <v>-9.2989560531293094</v>
      </c>
      <c r="AG4435">
        <v>-1.121144030447</v>
      </c>
      <c r="AH4435">
        <v>62.602517018886303</v>
      </c>
      <c r="AI4435">
        <v>91.014863826062196</v>
      </c>
      <c r="AJ4435">
        <v>98.448917507279702</v>
      </c>
      <c r="AK4435">
        <v>63.299310302048198</v>
      </c>
      <c r="AL4435">
        <v>83.456385771212297</v>
      </c>
      <c r="AM4435">
        <v>99.277435035000295</v>
      </c>
      <c r="AN4435">
        <v>1.0000000034171299</v>
      </c>
    </row>
    <row r="4436" spans="1:40" x14ac:dyDescent="0.25">
      <c r="A4436" t="str">
        <f>"20190303161958851"</f>
        <v>20190303161958851</v>
      </c>
      <c r="B4436" t="str">
        <f>"1551601198846703"</f>
        <v>1551601198846703</v>
      </c>
      <c r="C4436" t="s">
        <v>40</v>
      </c>
      <c r="D4436">
        <v>4.2658699999999996</v>
      </c>
      <c r="E4436">
        <v>0.50617400000000001</v>
      </c>
      <c r="F4436" t="s">
        <v>41</v>
      </c>
      <c r="G4436">
        <v>-486.06349999999998</v>
      </c>
      <c r="H4436" s="1">
        <v>-4.5951869999999999E-6</v>
      </c>
      <c r="I4436">
        <v>188.7166</v>
      </c>
      <c r="J4436">
        <v>-491.11079999999998</v>
      </c>
      <c r="K4436">
        <v>1.1211279999999999</v>
      </c>
      <c r="L4436">
        <v>258.30500000000001</v>
      </c>
      <c r="M4436">
        <v>-7.4394379999999996E-2</v>
      </c>
      <c r="N4436">
        <v>-9.5075290000000007E-3</v>
      </c>
      <c r="O4436">
        <v>-0.99718390000000001</v>
      </c>
      <c r="P4436">
        <v>8.7669399999999995E-2</v>
      </c>
      <c r="Q4436">
        <v>0.1052541</v>
      </c>
      <c r="R4436">
        <v>-0.99057379999999995</v>
      </c>
      <c r="S4436">
        <v>0.21807860000000001</v>
      </c>
      <c r="T4436">
        <v>-4.8500420000000002E-2</v>
      </c>
      <c r="U4436">
        <v>-3.0141140000000002</v>
      </c>
      <c r="V4436">
        <v>-0.1611177</v>
      </c>
      <c r="W4436">
        <v>0.1145867</v>
      </c>
      <c r="X4436">
        <v>0.98026069999999998</v>
      </c>
      <c r="Y4436">
        <v>-0.14614829999999901</v>
      </c>
      <c r="Z4436">
        <v>6.3822649999999998E-3</v>
      </c>
      <c r="AA4436">
        <v>0.98924210000000001</v>
      </c>
      <c r="AB4436">
        <v>16</v>
      </c>
      <c r="AC4436">
        <v>5.0472999999999999</v>
      </c>
      <c r="AD4436">
        <v>-1.1211325951869999</v>
      </c>
      <c r="AE4436">
        <v>-69.588399999999993</v>
      </c>
      <c r="AF4436">
        <v>-10.207894647462</v>
      </c>
      <c r="AG4436">
        <v>-1.1211325951869999</v>
      </c>
      <c r="AH4436">
        <v>69.002221960061107</v>
      </c>
      <c r="AI4436">
        <v>90.920827187686498</v>
      </c>
      <c r="AJ4436">
        <v>98.4150598382125</v>
      </c>
      <c r="AK4436">
        <v>69.762200989183398</v>
      </c>
      <c r="AL4436">
        <v>83.4202130951915</v>
      </c>
      <c r="AM4436">
        <v>99.333800741279205</v>
      </c>
      <c r="AN4436">
        <v>1.0000000325173299</v>
      </c>
    </row>
    <row r="4437" spans="1:40" x14ac:dyDescent="0.25">
      <c r="A4437" t="str">
        <f>"20190303161958864"</f>
        <v>20190303161958864</v>
      </c>
      <c r="B4437" t="str">
        <f>"1551601198856462"</f>
        <v>1551601198856462</v>
      </c>
      <c r="C4437" t="s">
        <v>40</v>
      </c>
      <c r="D4437">
        <v>4.2418300000000002</v>
      </c>
      <c r="E4437">
        <v>0.50655779999999995</v>
      </c>
      <c r="F4437" t="s">
        <v>41</v>
      </c>
      <c r="G4437">
        <v>-485.39319999999998</v>
      </c>
      <c r="H4437" s="1">
        <v>-4.544867E-6</v>
      </c>
      <c r="I4437">
        <v>178.32210000000001</v>
      </c>
      <c r="J4437">
        <v>-491.11770000000001</v>
      </c>
      <c r="K4437">
        <v>1.1211120000000001</v>
      </c>
      <c r="L4437">
        <v>258.20960000000002</v>
      </c>
      <c r="M4437">
        <v>-7.4196730000000002E-2</v>
      </c>
      <c r="N4437">
        <v>-9.5038129999999998E-3</v>
      </c>
      <c r="O4437">
        <v>-0.99719840000000004</v>
      </c>
      <c r="P4437">
        <v>8.8832519999999998E-2</v>
      </c>
      <c r="Q4437">
        <v>0.106010199999999</v>
      </c>
      <c r="R4437">
        <v>-0.99038950000000003</v>
      </c>
      <c r="S4437">
        <v>0.21545410000000001</v>
      </c>
      <c r="T4437">
        <v>-4.2247180000000002E-2</v>
      </c>
      <c r="U4437">
        <v>-3.0139619999999998</v>
      </c>
      <c r="V4437">
        <v>-0.16206379999999901</v>
      </c>
      <c r="W4437">
        <v>0.1153436</v>
      </c>
      <c r="X4437">
        <v>0.98001590000000005</v>
      </c>
      <c r="Y4437">
        <v>-0.14510109999999901</v>
      </c>
      <c r="Z4437">
        <v>4.3371750000000004E-3</v>
      </c>
      <c r="AA4437">
        <v>0.98940729999999999</v>
      </c>
      <c r="AB4437">
        <v>16</v>
      </c>
      <c r="AC4437">
        <v>5.7245000000000301</v>
      </c>
      <c r="AD4437">
        <v>-1.121116544867</v>
      </c>
      <c r="AE4437">
        <v>-79.887500000000003</v>
      </c>
      <c r="AF4437">
        <v>-11.634098732782</v>
      </c>
      <c r="AG4437">
        <v>-1.121116544867</v>
      </c>
      <c r="AH4437">
        <v>79.226998158423797</v>
      </c>
      <c r="AI4437">
        <v>90.802119616082607</v>
      </c>
      <c r="AJ4437">
        <v>98.353901120980098</v>
      </c>
      <c r="AK4437">
        <v>80.08449533353</v>
      </c>
      <c r="AL4437">
        <v>83.376556191487495</v>
      </c>
      <c r="AM4437">
        <v>99.389940106285806</v>
      </c>
      <c r="AN4437">
        <v>0.99999999279210405</v>
      </c>
    </row>
    <row r="4438" spans="1:40" x14ac:dyDescent="0.25">
      <c r="A4438" t="str">
        <f>"20190303161958877"</f>
        <v>20190303161958877</v>
      </c>
      <c r="B4438" t="str">
        <f>"1551601198867199"</f>
        <v>1551601198867199</v>
      </c>
      <c r="C4438" t="s">
        <v>40</v>
      </c>
      <c r="D4438">
        <v>4.2179140000000004</v>
      </c>
      <c r="E4438">
        <v>0.50685249999999904</v>
      </c>
      <c r="F4438" t="s">
        <v>41</v>
      </c>
      <c r="G4438">
        <v>-484.8295</v>
      </c>
      <c r="H4438" s="1">
        <v>-1.6091570000000001E-6</v>
      </c>
      <c r="I4438">
        <v>170.334</v>
      </c>
      <c r="J4438">
        <v>-491.12450000000001</v>
      </c>
      <c r="K4438">
        <v>1.121095</v>
      </c>
      <c r="L4438">
        <v>258.11649999999997</v>
      </c>
      <c r="M4438">
        <v>-7.4057880000000006E-2</v>
      </c>
      <c r="N4438">
        <v>-9.5007970000000001E-3</v>
      </c>
      <c r="O4438">
        <v>-0.99720880000000001</v>
      </c>
      <c r="P4438">
        <v>9.0413610000000005E-2</v>
      </c>
      <c r="Q4438">
        <v>0.10668999999999999</v>
      </c>
      <c r="R4438">
        <v>-0.99017350000000004</v>
      </c>
      <c r="S4438">
        <v>0.21566769999999999</v>
      </c>
      <c r="T4438">
        <v>-3.8451430000000002E-2</v>
      </c>
      <c r="U4438">
        <v>-3.013916</v>
      </c>
      <c r="V4438">
        <v>-0.163483399999999</v>
      </c>
      <c r="W4438">
        <v>0.11602560000000001</v>
      </c>
      <c r="X4438">
        <v>0.9796996</v>
      </c>
      <c r="Y4438">
        <v>-0.14503540000000001</v>
      </c>
      <c r="Z4438">
        <v>3.09495E-3</v>
      </c>
      <c r="AA4438">
        <v>0.98942160000000001</v>
      </c>
      <c r="AB4438">
        <v>16</v>
      </c>
      <c r="AC4438">
        <v>6.2950000000000097</v>
      </c>
      <c r="AD4438">
        <v>-1.121096609157</v>
      </c>
      <c r="AE4438">
        <v>-87.782499999999899</v>
      </c>
      <c r="AF4438">
        <v>-12.7769172368009</v>
      </c>
      <c r="AG4438">
        <v>-1.121096609157</v>
      </c>
      <c r="AH4438">
        <v>87.061079787034402</v>
      </c>
      <c r="AI4438">
        <v>90.729946239462606</v>
      </c>
      <c r="AJ4438">
        <v>98.349019029978706</v>
      </c>
      <c r="AK4438">
        <v>88.000784572454194</v>
      </c>
      <c r="AL4438">
        <v>83.337216617306197</v>
      </c>
      <c r="AM4438">
        <v>99.473709894852007</v>
      </c>
      <c r="AN4438">
        <v>1.00000003408553</v>
      </c>
    </row>
    <row r="4439" spans="1:40" x14ac:dyDescent="0.25">
      <c r="A4439" t="str">
        <f>"20190303161958894"</f>
        <v>20190303161958894</v>
      </c>
      <c r="B4439" t="str">
        <f>"1551601198886719"</f>
        <v>1551601198886719</v>
      </c>
      <c r="C4439" t="s">
        <v>40</v>
      </c>
      <c r="D4439">
        <v>4.2010149999999999</v>
      </c>
      <c r="E4439">
        <v>0.50743760000000004</v>
      </c>
      <c r="F4439" t="s">
        <v>41</v>
      </c>
      <c r="G4439">
        <v>-484.1968</v>
      </c>
      <c r="H4439" s="1">
        <v>-2.4493439999999999E-6</v>
      </c>
      <c r="I4439">
        <v>162.0018</v>
      </c>
      <c r="J4439">
        <v>-491.1327</v>
      </c>
      <c r="K4439">
        <v>1.1210659999999999</v>
      </c>
      <c r="L4439">
        <v>258.00259999999997</v>
      </c>
      <c r="M4439">
        <v>-7.3930250000000003E-2</v>
      </c>
      <c r="N4439">
        <v>-9.4976000000000001E-3</v>
      </c>
      <c r="O4439">
        <v>-0.99721839999999995</v>
      </c>
      <c r="P4439">
        <v>9.334489E-2</v>
      </c>
      <c r="Q4439">
        <v>0.1071295</v>
      </c>
      <c r="R4439">
        <v>-0.98985389999999995</v>
      </c>
      <c r="S4439">
        <v>0.2172241</v>
      </c>
      <c r="T4439">
        <v>-3.515339E-2</v>
      </c>
      <c r="U4439">
        <v>-3.0137939999999999</v>
      </c>
      <c r="V4439">
        <v>-0.16624939999999999</v>
      </c>
      <c r="W4439">
        <v>0.1164684</v>
      </c>
      <c r="X4439">
        <v>0.97918139999999998</v>
      </c>
      <c r="Y4439">
        <v>-0.14542089999999999</v>
      </c>
      <c r="Z4439">
        <v>2.0156779999999999E-3</v>
      </c>
      <c r="AA4439">
        <v>0.98936780000000002</v>
      </c>
      <c r="AB4439">
        <v>16</v>
      </c>
      <c r="AC4439">
        <v>6.9359000000000002</v>
      </c>
      <c r="AD4439">
        <v>-1.121068449344</v>
      </c>
      <c r="AE4439">
        <v>-96.000799999999899</v>
      </c>
      <c r="AF4439">
        <v>-14.0126984100085</v>
      </c>
      <c r="AG4439">
        <v>-1.121068449344</v>
      </c>
      <c r="AH4439">
        <v>95.212349593861006</v>
      </c>
      <c r="AI4439">
        <v>90.667403772966196</v>
      </c>
      <c r="AJ4439">
        <v>98.372296013858403</v>
      </c>
      <c r="AK4439">
        <v>96.244501278678698</v>
      </c>
      <c r="AL4439">
        <v>83.311672523179695</v>
      </c>
      <c r="AM4439">
        <v>99.636020322867907</v>
      </c>
      <c r="AN4439">
        <v>0.99999998265243895</v>
      </c>
    </row>
    <row r="4440" spans="1:40" x14ac:dyDescent="0.25">
      <c r="A4440" t="str">
        <f>"20190303161958907"</f>
        <v>20190303161958907</v>
      </c>
      <c r="B4440" t="str">
        <f>"1551601198896479"</f>
        <v>1551601198896479</v>
      </c>
      <c r="C4440" t="s">
        <v>40</v>
      </c>
      <c r="D4440">
        <v>4.1847390000000004</v>
      </c>
      <c r="E4440">
        <v>0.50770700000000002</v>
      </c>
      <c r="F4440" t="s">
        <v>62</v>
      </c>
      <c r="G4440">
        <v>-483.22120000000001</v>
      </c>
      <c r="H4440" s="1">
        <v>-6.7052020000000002E-6</v>
      </c>
      <c r="I4440">
        <v>149.80449999999999</v>
      </c>
      <c r="J4440">
        <v>-491.13920000000002</v>
      </c>
      <c r="K4440">
        <v>1.1210450000000001</v>
      </c>
      <c r="L4440">
        <v>257.91300000000001</v>
      </c>
      <c r="M4440">
        <v>-7.3860809999999999E-2</v>
      </c>
      <c r="N4440">
        <v>-9.4954459999999994E-3</v>
      </c>
      <c r="O4440">
        <v>-0.99722359999999999</v>
      </c>
      <c r="P4440">
        <v>9.4345789999999999E-2</v>
      </c>
      <c r="Q4440">
        <v>0.10730729999999999</v>
      </c>
      <c r="R4440">
        <v>-0.9897397</v>
      </c>
      <c r="S4440">
        <v>0.2203369</v>
      </c>
      <c r="T4440">
        <v>-3.1222219999999998E-2</v>
      </c>
      <c r="U4440">
        <v>-3.0133510000000001</v>
      </c>
      <c r="V4440">
        <v>-0.16716410000000001</v>
      </c>
      <c r="W4440">
        <v>0.1166517</v>
      </c>
      <c r="X4440">
        <v>0.97900379999999998</v>
      </c>
      <c r="Y4440">
        <v>-0.14637999999999901</v>
      </c>
      <c r="Z4440">
        <v>7.2769399999999998E-4</v>
      </c>
      <c r="AA4440">
        <v>0.9892282</v>
      </c>
      <c r="AB4440">
        <v>16</v>
      </c>
      <c r="AC4440">
        <v>7.9180000000000001</v>
      </c>
      <c r="AD4440">
        <v>-1.1210517052019999</v>
      </c>
      <c r="AE4440">
        <v>-108.10850000000001</v>
      </c>
      <c r="AF4440">
        <v>-15.8800114595254</v>
      </c>
      <c r="AG4440">
        <v>-1.1210517052019999</v>
      </c>
      <c r="AH4440">
        <v>107.216857917224</v>
      </c>
      <c r="AI4440">
        <v>90.592594575048096</v>
      </c>
      <c r="AJ4440">
        <v>98.424894351078706</v>
      </c>
      <c r="AK4440">
        <v>108.39227898020501</v>
      </c>
      <c r="AL4440">
        <v>83.301097894091697</v>
      </c>
      <c r="AM4440">
        <v>99.689759537031705</v>
      </c>
      <c r="AN4440">
        <v>0.99999994792806801</v>
      </c>
    </row>
    <row r="4441" spans="1:40" x14ac:dyDescent="0.25">
      <c r="A4441" t="str">
        <f>"20190303161958929"</f>
        <v>20190303161958929</v>
      </c>
      <c r="B4441" t="str">
        <f>"1551601198916976"</f>
        <v>1551601198916976</v>
      </c>
      <c r="C4441" t="s">
        <v>40</v>
      </c>
      <c r="D4441">
        <v>4.2032059999999998</v>
      </c>
      <c r="E4441">
        <v>0.51515699999999998</v>
      </c>
      <c r="F4441" t="s">
        <v>62</v>
      </c>
      <c r="G4441">
        <v>-482.81729999999999</v>
      </c>
      <c r="H4441" s="1">
        <v>-9.2364709999999994E-6</v>
      </c>
      <c r="I4441">
        <v>144.4025</v>
      </c>
      <c r="J4441">
        <v>-491.1506</v>
      </c>
      <c r="K4441">
        <v>1.1209990000000001</v>
      </c>
      <c r="L4441">
        <v>257.75819999999999</v>
      </c>
      <c r="M4441">
        <v>-7.3820479999999994E-2</v>
      </c>
      <c r="N4441">
        <v>-9.4940430000000006E-3</v>
      </c>
      <c r="O4441">
        <v>-0.99722650000000002</v>
      </c>
      <c r="P4441">
        <v>9.5782279999999997E-2</v>
      </c>
      <c r="Q4441">
        <v>0.1068902</v>
      </c>
      <c r="R4441">
        <v>-0.98964660000000004</v>
      </c>
      <c r="S4441">
        <v>0.22091669999999999</v>
      </c>
      <c r="T4441">
        <v>-2.975976E-2</v>
      </c>
      <c r="U4441">
        <v>-3.0132750000000001</v>
      </c>
      <c r="V4441">
        <v>-0.1685384</v>
      </c>
      <c r="W4441">
        <v>0.1162492</v>
      </c>
      <c r="X4441">
        <v>0.97881609999999997</v>
      </c>
      <c r="Y4441">
        <v>-0.14653139999999901</v>
      </c>
      <c r="Z4441">
        <v>2.4912330000000001E-4</v>
      </c>
      <c r="AA4441">
        <v>0.98920600000000003</v>
      </c>
      <c r="AB4441">
        <v>16</v>
      </c>
      <c r="AC4441">
        <v>8.3332999999999995</v>
      </c>
      <c r="AD4441">
        <v>-1.1210082364709999</v>
      </c>
      <c r="AE4441">
        <v>-113.355699999999</v>
      </c>
      <c r="AF4441">
        <v>-16.677286806092301</v>
      </c>
      <c r="AG4441">
        <v>-1.1210082364709999</v>
      </c>
      <c r="AH4441">
        <v>112.420255131815</v>
      </c>
      <c r="AI4441">
        <v>90.565126719644596</v>
      </c>
      <c r="AJ4441">
        <v>98.438156886627098</v>
      </c>
      <c r="AK4441">
        <v>113.656070311186</v>
      </c>
      <c r="AL4441">
        <v>83.324317858415796</v>
      </c>
      <c r="AM4441">
        <v>99.7697300945986</v>
      </c>
      <c r="AN4441">
        <v>1.0000000131972</v>
      </c>
    </row>
    <row r="4442" spans="1:40" x14ac:dyDescent="0.25">
      <c r="A4442" t="str">
        <f>"20190303161958945"</f>
        <v>20190303161958945</v>
      </c>
      <c r="B4442" t="str">
        <f>"1551601198937472"</f>
        <v>1551601198937472</v>
      </c>
      <c r="C4442" t="s">
        <v>40</v>
      </c>
      <c r="D4442">
        <v>4.1435700000000004</v>
      </c>
      <c r="E4442">
        <v>0.51595400000000002</v>
      </c>
      <c r="F4442" t="s">
        <v>63</v>
      </c>
      <c r="G4442">
        <v>-480.608</v>
      </c>
      <c r="H4442">
        <v>0.4982531</v>
      </c>
      <c r="I4442">
        <v>65.675449999999998</v>
      </c>
      <c r="J4442">
        <v>-491.15899999999999</v>
      </c>
      <c r="K4442">
        <v>1.120967</v>
      </c>
      <c r="L4442">
        <v>257.6447</v>
      </c>
      <c r="M4442">
        <v>-7.3825340000000003E-2</v>
      </c>
      <c r="N4442">
        <v>-9.4981170000000004E-3</v>
      </c>
      <c r="O4442">
        <v>-0.99722619999999895</v>
      </c>
      <c r="P4442">
        <v>9.5975469999999993E-2</v>
      </c>
      <c r="Q4442">
        <v>0.1065987</v>
      </c>
      <c r="R4442">
        <v>-0.98965970000000003</v>
      </c>
      <c r="S4442">
        <v>0.16555790000000001</v>
      </c>
      <c r="T4442">
        <v>-9.7793340000000006E-3</v>
      </c>
      <c r="U4442">
        <v>-3.0164490000000002</v>
      </c>
      <c r="V4442">
        <v>-0.1687292</v>
      </c>
      <c r="W4442">
        <v>0.1159726</v>
      </c>
      <c r="X4442">
        <v>0.97881600000000002</v>
      </c>
      <c r="Y4442">
        <v>-0.1283619</v>
      </c>
      <c r="Z4442">
        <v>-6.3046079999999997E-3</v>
      </c>
      <c r="AA4442">
        <v>0.99170740000000002</v>
      </c>
      <c r="AB4442">
        <v>16</v>
      </c>
      <c r="AC4442">
        <v>10.550999999999901</v>
      </c>
      <c r="AD4442">
        <v>-0.62271390000000004</v>
      </c>
      <c r="AE4442">
        <v>-191.96924999999999</v>
      </c>
      <c r="AF4442">
        <v>-24.694777630364101</v>
      </c>
      <c r="AG4442">
        <v>-0.62271390000000004</v>
      </c>
      <c r="AH4442">
        <v>190.66438831452101</v>
      </c>
      <c r="AI4442">
        <v>90.185578469643801</v>
      </c>
      <c r="AJ4442">
        <v>97.379843701704402</v>
      </c>
      <c r="AK4442">
        <v>192.257974571056</v>
      </c>
      <c r="AL4442">
        <v>83.340273532984796</v>
      </c>
      <c r="AM4442">
        <v>99.780577757649795</v>
      </c>
      <c r="AN4442">
        <v>0.99999997436969901</v>
      </c>
    </row>
    <row r="4443" spans="1:40" x14ac:dyDescent="0.25">
      <c r="A4443" t="str">
        <f>"20190303161958960"</f>
        <v>20190303161958960</v>
      </c>
      <c r="B4443" t="str">
        <f>"1551601198947230"</f>
        <v>1551601198947230</v>
      </c>
      <c r="C4443" t="s">
        <v>40</v>
      </c>
      <c r="D4443">
        <v>4.2066160000000004</v>
      </c>
      <c r="E4443">
        <v>0.51595400000000002</v>
      </c>
      <c r="F4443" t="s">
        <v>63</v>
      </c>
      <c r="G4443">
        <v>-480.98590000000002</v>
      </c>
      <c r="H4443">
        <v>0.74278949999999999</v>
      </c>
      <c r="I4443">
        <v>65.675449999999998</v>
      </c>
      <c r="J4443">
        <v>-491.16730000000001</v>
      </c>
      <c r="K4443">
        <v>1.120949</v>
      </c>
      <c r="L4443">
        <v>257.53379999999999</v>
      </c>
      <c r="M4443">
        <v>-7.3861350000000006E-2</v>
      </c>
      <c r="N4443">
        <v>-9.5100050000000002E-3</v>
      </c>
      <c r="O4443">
        <v>-0.99722339999999998</v>
      </c>
      <c r="P4443">
        <v>9.6611760000000005E-2</v>
      </c>
      <c r="Q4443">
        <v>0.106114899999999</v>
      </c>
      <c r="R4443">
        <v>-0.98964969999999997</v>
      </c>
      <c r="S4443">
        <v>0.1598511</v>
      </c>
      <c r="T4443">
        <v>-5.942106E-3</v>
      </c>
      <c r="U4443">
        <v>-3.016464</v>
      </c>
      <c r="V4443">
        <v>-0.16939419999999999</v>
      </c>
      <c r="W4443">
        <v>0.1155065</v>
      </c>
      <c r="X4443">
        <v>0.97875630000000002</v>
      </c>
      <c r="Y4443">
        <v>-0.12652679999999999</v>
      </c>
      <c r="Z4443">
        <v>-7.5761930000000002E-3</v>
      </c>
      <c r="AA4443">
        <v>0.99193419999999999</v>
      </c>
      <c r="AB4443">
        <v>16</v>
      </c>
      <c r="AC4443">
        <v>10.181399999999901</v>
      </c>
      <c r="AD4443">
        <v>-0.37815949999999998</v>
      </c>
      <c r="AE4443">
        <v>-191.85835</v>
      </c>
      <c r="AF4443">
        <v>-24.325047379865101</v>
      </c>
      <c r="AG4443">
        <v>-0.37815949999999998</v>
      </c>
      <c r="AH4443">
        <v>190.58146140980401</v>
      </c>
      <c r="AI4443">
        <v>90.112773590372797</v>
      </c>
      <c r="AJ4443">
        <v>97.273673521029593</v>
      </c>
      <c r="AK4443">
        <v>192.12793749930501</v>
      </c>
      <c r="AL4443">
        <v>83.367160091651996</v>
      </c>
      <c r="AM4443">
        <v>99.818963661825194</v>
      </c>
      <c r="AN4443">
        <v>1.0000000206627899</v>
      </c>
    </row>
    <row r="4444" spans="1:40" x14ac:dyDescent="0.25">
      <c r="A4444" t="str">
        <f>"20190303161958974"</f>
        <v>20190303161958974</v>
      </c>
      <c r="B4444" t="str">
        <f>"1551601198966751"</f>
        <v>1551601198966751</v>
      </c>
      <c r="C4444" t="s">
        <v>40</v>
      </c>
      <c r="D4444">
        <v>4.1919740000000001</v>
      </c>
      <c r="E4444">
        <v>0.48599900000000001</v>
      </c>
      <c r="F4444" t="s">
        <v>63</v>
      </c>
      <c r="G4444">
        <v>-480.89510000000001</v>
      </c>
      <c r="H4444">
        <v>0.65118319999999996</v>
      </c>
      <c r="I4444">
        <v>65.675449999999998</v>
      </c>
      <c r="J4444">
        <v>-491.17469999999997</v>
      </c>
      <c r="K4444">
        <v>1.1209439999999999</v>
      </c>
      <c r="L4444">
        <v>257.43520000000001</v>
      </c>
      <c r="M4444">
        <v>-7.3910530000000002E-2</v>
      </c>
      <c r="N4444">
        <v>-9.5237329999999995E-3</v>
      </c>
      <c r="O4444">
        <v>-0.99721959999999998</v>
      </c>
      <c r="P4444">
        <v>9.6203949999999996E-2</v>
      </c>
      <c r="Q4444">
        <v>0.1063313</v>
      </c>
      <c r="R4444">
        <v>-0.98966600000000005</v>
      </c>
      <c r="S4444">
        <v>0.161499</v>
      </c>
      <c r="T4444">
        <v>-7.3853729999999998E-3</v>
      </c>
      <c r="U4444">
        <v>-3.0164029999999999</v>
      </c>
      <c r="V4444">
        <v>-0.16903580000000001</v>
      </c>
      <c r="W4444">
        <v>0.1157391</v>
      </c>
      <c r="X4444">
        <v>0.97879079999999996</v>
      </c>
      <c r="Y4444">
        <v>-0.12711700000000001</v>
      </c>
      <c r="Z4444">
        <v>-7.1160149999999998E-3</v>
      </c>
      <c r="AA4444">
        <v>0.99186220000000003</v>
      </c>
      <c r="AB4444">
        <v>16</v>
      </c>
      <c r="AC4444">
        <v>10.279599999999901</v>
      </c>
      <c r="AD4444">
        <v>-0.46976079999999998</v>
      </c>
      <c r="AE4444">
        <v>-191.75975</v>
      </c>
      <c r="AF4444">
        <v>-24.4250400534618</v>
      </c>
      <c r="AG4444">
        <v>-0.46976079999999998</v>
      </c>
      <c r="AH4444">
        <v>190.474271144825</v>
      </c>
      <c r="AI4444">
        <v>90.140158863756099</v>
      </c>
      <c r="AJ4444">
        <v>97.307316684331695</v>
      </c>
      <c r="AK4444">
        <v>192.03450529781</v>
      </c>
      <c r="AL4444">
        <v>83.353743207914505</v>
      </c>
      <c r="AM4444">
        <v>99.7982533797706</v>
      </c>
      <c r="AN4444">
        <v>1.00000003555754</v>
      </c>
    </row>
    <row r="4445" spans="1:40" x14ac:dyDescent="0.25">
      <c r="A4445" t="str">
        <f>"20190303161958989"</f>
        <v>20190303161958989</v>
      </c>
      <c r="B4445" t="str">
        <f>"1551601198976511"</f>
        <v>1551601198976511</v>
      </c>
      <c r="C4445" t="s">
        <v>40</v>
      </c>
      <c r="D4445">
        <v>4.2153960000000001</v>
      </c>
      <c r="E4445">
        <v>0.48130640000000002</v>
      </c>
      <c r="F4445" t="s">
        <v>64</v>
      </c>
      <c r="G4445">
        <v>-472.87060000000002</v>
      </c>
      <c r="H4445">
        <v>0.2189468</v>
      </c>
      <c r="I4445">
        <v>119.8177</v>
      </c>
      <c r="J4445">
        <v>-491.18180000000001</v>
      </c>
      <c r="K4445">
        <v>1.1209480000000001</v>
      </c>
      <c r="L4445">
        <v>257.339</v>
      </c>
      <c r="M4445">
        <v>-7.3969980000000005E-2</v>
      </c>
      <c r="N4445">
        <v>-9.5386870000000006E-3</v>
      </c>
      <c r="O4445">
        <v>-0.99721499999999996</v>
      </c>
      <c r="P4445">
        <v>9.5819730000000006E-2</v>
      </c>
      <c r="Q4445">
        <v>0.10691290000000001</v>
      </c>
      <c r="R4445">
        <v>-0.98964070000000004</v>
      </c>
      <c r="S4445">
        <v>0.39831539999999999</v>
      </c>
      <c r="T4445">
        <v>-1.9627929999999998E-2</v>
      </c>
      <c r="U4445">
        <v>-2.99472</v>
      </c>
      <c r="V4445">
        <v>-0.16870889999999999</v>
      </c>
      <c r="W4445">
        <v>0.1163344</v>
      </c>
      <c r="X4445">
        <v>0.9787766</v>
      </c>
      <c r="Y4445">
        <v>-0.2047949</v>
      </c>
      <c r="Z4445">
        <v>-3.1563799999999999E-3</v>
      </c>
      <c r="AA4445">
        <v>0.9787998</v>
      </c>
      <c r="AB4445">
        <v>16</v>
      </c>
      <c r="AC4445">
        <v>18.3111999999999</v>
      </c>
      <c r="AD4445">
        <v>-0.90200119999999895</v>
      </c>
      <c r="AE4445">
        <v>-137.5213</v>
      </c>
      <c r="AF4445">
        <v>-28.432738546816701</v>
      </c>
      <c r="AG4445">
        <v>-0.90200119999999895</v>
      </c>
      <c r="AH4445">
        <v>135.78424160667001</v>
      </c>
      <c r="AI4445">
        <v>90.372525374013705</v>
      </c>
      <c r="AJ4445">
        <v>101.826654996553</v>
      </c>
      <c r="AK4445">
        <v>138.73209612823899</v>
      </c>
      <c r="AL4445">
        <v>83.319402883330795</v>
      </c>
      <c r="AM4445">
        <v>99.779809830251594</v>
      </c>
      <c r="AN4445">
        <v>1.00000000913506</v>
      </c>
    </row>
    <row r="4446" spans="1:40" x14ac:dyDescent="0.25">
      <c r="A4446" t="str">
        <f>"20190303161959006"</f>
        <v>20190303161959006</v>
      </c>
      <c r="B4446" t="str">
        <f>"1551601198997006"</f>
        <v>1551601198997006</v>
      </c>
      <c r="C4446" t="s">
        <v>40</v>
      </c>
      <c r="D4446">
        <v>4.1865439999999996</v>
      </c>
      <c r="E4446">
        <v>0.47742329999999999</v>
      </c>
      <c r="F4446" t="s">
        <v>64</v>
      </c>
      <c r="G4446">
        <v>-471.19639999999998</v>
      </c>
      <c r="H4446">
        <v>0.51236380000000004</v>
      </c>
      <c r="I4446">
        <v>119.8177</v>
      </c>
      <c r="J4446">
        <v>-491.19150000000002</v>
      </c>
      <c r="K4446">
        <v>1.120968</v>
      </c>
      <c r="L4446">
        <v>257.21140000000003</v>
      </c>
      <c r="M4446">
        <v>-7.4066640000000003E-2</v>
      </c>
      <c r="N4446">
        <v>-9.5593269999999994E-3</v>
      </c>
      <c r="O4446">
        <v>-0.99720759999999997</v>
      </c>
      <c r="P4446">
        <v>9.3748520000000002E-2</v>
      </c>
      <c r="Q4446">
        <v>0.10800650000000001</v>
      </c>
      <c r="R4446">
        <v>-0.9897203</v>
      </c>
      <c r="S4446">
        <v>0.4346313</v>
      </c>
      <c r="T4446">
        <v>-1.3234620000000001E-2</v>
      </c>
      <c r="U4446">
        <v>-2.9907530000000002</v>
      </c>
      <c r="V4446">
        <v>-0.16674649999999999</v>
      </c>
      <c r="W4446">
        <v>0.11744540000000001</v>
      </c>
      <c r="X4446">
        <v>0.97898019999999997</v>
      </c>
      <c r="Y4446">
        <v>-0.21670300000000001</v>
      </c>
      <c r="Z4446">
        <v>-5.2792759999999899E-3</v>
      </c>
      <c r="AA4446">
        <v>0.97622330000000002</v>
      </c>
      <c r="AB4446">
        <v>16</v>
      </c>
      <c r="AC4446">
        <v>19.995100000000001</v>
      </c>
      <c r="AD4446">
        <v>-0.60860419999999904</v>
      </c>
      <c r="AE4446">
        <v>-137.3937</v>
      </c>
      <c r="AF4446">
        <v>-30.1163491110301</v>
      </c>
      <c r="AG4446">
        <v>-0.60860419999999904</v>
      </c>
      <c r="AH4446">
        <v>135.53264390223001</v>
      </c>
      <c r="AI4446">
        <v>90.251157007631804</v>
      </c>
      <c r="AJ4446">
        <v>102.527995477483</v>
      </c>
      <c r="AK4446">
        <v>138.83970053978899</v>
      </c>
      <c r="AL4446">
        <v>83.255307995422896</v>
      </c>
      <c r="AM4446">
        <v>99.666238980403193</v>
      </c>
      <c r="AN4446">
        <v>1.0000000246177201</v>
      </c>
    </row>
    <row r="4447" spans="1:40" x14ac:dyDescent="0.25">
      <c r="A4447" t="str">
        <f>"20190303161959021"</f>
        <v>20190303161959021</v>
      </c>
      <c r="B4447" t="str">
        <f>"1551601199006768"</f>
        <v>1551601199006768</v>
      </c>
      <c r="C4447" t="s">
        <v>40</v>
      </c>
      <c r="D4447">
        <v>4.1608000000000001</v>
      </c>
      <c r="E4447">
        <v>0.47703250000000003</v>
      </c>
      <c r="F4447" t="s">
        <v>64</v>
      </c>
      <c r="G4447">
        <v>-469.97629999999998</v>
      </c>
      <c r="H4447">
        <v>0.79751419999999995</v>
      </c>
      <c r="I4447">
        <v>119.395</v>
      </c>
      <c r="J4447">
        <v>-491.19920000000002</v>
      </c>
      <c r="K4447">
        <v>1.120987</v>
      </c>
      <c r="L4447">
        <v>257.10789999999997</v>
      </c>
      <c r="M4447">
        <v>-7.4153810000000001E-2</v>
      </c>
      <c r="N4447">
        <v>-9.5751080000000006E-3</v>
      </c>
      <c r="O4447">
        <v>-0.997201</v>
      </c>
      <c r="P4447">
        <v>9.2194410000000004E-2</v>
      </c>
      <c r="Q4447">
        <v>0.10852199999999999</v>
      </c>
      <c r="R4447">
        <v>-0.98980979999999996</v>
      </c>
      <c r="S4447">
        <v>0.46002199999999999</v>
      </c>
      <c r="T4447">
        <v>-7.0130829999999998E-3</v>
      </c>
      <c r="U4447">
        <v>-2.988388</v>
      </c>
      <c r="V4447">
        <v>-0.165293</v>
      </c>
      <c r="W4447">
        <v>0.11797150000000001</v>
      </c>
      <c r="X4447">
        <v>0.97916340000000002</v>
      </c>
      <c r="Y4447">
        <v>-0.2250026</v>
      </c>
      <c r="Z4447">
        <v>-7.33628199999999E-3</v>
      </c>
      <c r="AA4447">
        <v>0.97433049999999999</v>
      </c>
      <c r="AB4447">
        <v>16</v>
      </c>
      <c r="AC4447">
        <v>21.222899999999999</v>
      </c>
      <c r="AD4447">
        <v>-0.3234728</v>
      </c>
      <c r="AE4447">
        <v>-137.71289999999999</v>
      </c>
      <c r="AF4447">
        <v>-31.376697836964201</v>
      </c>
      <c r="AG4447">
        <v>-0.3234728</v>
      </c>
      <c r="AH4447">
        <v>135.75915393097699</v>
      </c>
      <c r="AI4447">
        <v>90.133011876008794</v>
      </c>
      <c r="AJ4447">
        <v>103.01371364987099</v>
      </c>
      <c r="AK4447">
        <v>139.338256332779</v>
      </c>
      <c r="AL4447">
        <v>83.224953550884607</v>
      </c>
      <c r="AM4447">
        <v>99.581789710750897</v>
      </c>
      <c r="AN4447">
        <v>1.0000000072804001</v>
      </c>
    </row>
    <row r="4448" spans="1:40" x14ac:dyDescent="0.25">
      <c r="A4448" t="str">
        <f>"20190303161959035"</f>
        <v>20190303161959035</v>
      </c>
      <c r="B4448" t="str">
        <f>"1551601199027264"</f>
        <v>1551601199027264</v>
      </c>
      <c r="C4448" t="s">
        <v>40</v>
      </c>
      <c r="D4448">
        <v>4.1475549999999997</v>
      </c>
      <c r="E4448">
        <v>0.4764912</v>
      </c>
      <c r="F4448" t="s">
        <v>64</v>
      </c>
      <c r="G4448">
        <v>-470.0652</v>
      </c>
      <c r="H4448">
        <v>0.93237639999999999</v>
      </c>
      <c r="I4448">
        <v>119.395</v>
      </c>
      <c r="J4448">
        <v>-491.20659999999998</v>
      </c>
      <c r="K4448">
        <v>1.121005</v>
      </c>
      <c r="L4448">
        <v>257.0102</v>
      </c>
      <c r="M4448">
        <v>-7.4235330000000002E-2</v>
      </c>
      <c r="N4448">
        <v>-9.5891910000000004E-3</v>
      </c>
      <c r="O4448">
        <v>-0.99719480000000005</v>
      </c>
      <c r="P4448">
        <v>9.0338390000000005E-2</v>
      </c>
      <c r="Q4448">
        <v>0.1084799</v>
      </c>
      <c r="R4448">
        <v>-0.98998560000000002</v>
      </c>
      <c r="S4448">
        <v>0.45864870000000002</v>
      </c>
      <c r="T4448">
        <v>-4.0925739999999999E-3</v>
      </c>
      <c r="U4448">
        <v>-2.9886469999999998</v>
      </c>
      <c r="V4448">
        <v>-0.1635402</v>
      </c>
      <c r="W4448">
        <v>0.1179388</v>
      </c>
      <c r="X4448">
        <v>0.97946160000000004</v>
      </c>
      <c r="Y4448">
        <v>-0.224632</v>
      </c>
      <c r="Z4448">
        <v>-8.305415E-3</v>
      </c>
      <c r="AA4448">
        <v>0.9744083</v>
      </c>
      <c r="AB4448">
        <v>16</v>
      </c>
      <c r="AC4448">
        <v>21.141399999999901</v>
      </c>
      <c r="AD4448">
        <v>-0.18862859999999901</v>
      </c>
      <c r="AE4448">
        <v>-137.61519999999999</v>
      </c>
      <c r="AF4448">
        <v>-31.2993807570302</v>
      </c>
      <c r="AG4448">
        <v>-0.18862859999999901</v>
      </c>
      <c r="AH4448">
        <v>135.66569082831799</v>
      </c>
      <c r="AI4448">
        <v>90.077624514988003</v>
      </c>
      <c r="AJ4448">
        <v>102.991374307505</v>
      </c>
      <c r="AK4448">
        <v>139.22954601824699</v>
      </c>
      <c r="AL4448">
        <v>83.226840188461097</v>
      </c>
      <c r="AM4448">
        <v>99.4792027273445</v>
      </c>
      <c r="AN4448">
        <v>0.99999999171802001</v>
      </c>
    </row>
    <row r="4449" spans="1:40" x14ac:dyDescent="0.25">
      <c r="A4449" t="str">
        <f>"20190303161959052"</f>
        <v>20190303161959052</v>
      </c>
      <c r="B4449" t="str">
        <f>"1551601199046783"</f>
        <v>1551601199046783</v>
      </c>
      <c r="C4449" t="s">
        <v>40</v>
      </c>
      <c r="D4449">
        <v>4.1674860000000002</v>
      </c>
      <c r="E4449">
        <v>0.47638259999999999</v>
      </c>
      <c r="F4449" t="s">
        <v>64</v>
      </c>
      <c r="G4449">
        <v>-470.125</v>
      </c>
      <c r="H4449">
        <v>0.7856284</v>
      </c>
      <c r="I4449">
        <v>119.395</v>
      </c>
      <c r="J4449">
        <v>-491.21559999999999</v>
      </c>
      <c r="K4449">
        <v>1.1210249999999999</v>
      </c>
      <c r="L4449">
        <v>256.89019999999999</v>
      </c>
      <c r="M4449">
        <v>-7.4330549999999995E-2</v>
      </c>
      <c r="N4449">
        <v>-9.6056979999999993E-3</v>
      </c>
      <c r="O4449">
        <v>-0.99718759999999995</v>
      </c>
      <c r="P4449">
        <v>8.7389330000000001E-2</v>
      </c>
      <c r="Q4449">
        <v>0.1077973</v>
      </c>
      <c r="R4449">
        <v>-0.99032489999999995</v>
      </c>
      <c r="S4449">
        <v>0.45794679999999999</v>
      </c>
      <c r="T4449">
        <v>-7.2847600000000004E-3</v>
      </c>
      <c r="U4449">
        <v>-2.9893800000000001</v>
      </c>
      <c r="V4449">
        <v>-0.1607239</v>
      </c>
      <c r="W4449">
        <v>0.11726880000000001</v>
      </c>
      <c r="X4449">
        <v>0.98000810000000005</v>
      </c>
      <c r="Y4449">
        <v>-0.22446569999999999</v>
      </c>
      <c r="Z4449">
        <v>-7.278624E-3</v>
      </c>
      <c r="AA4449">
        <v>0.97445479999999995</v>
      </c>
      <c r="AB4449">
        <v>16</v>
      </c>
      <c r="AC4449">
        <v>21.090599999999899</v>
      </c>
      <c r="AD4449">
        <v>-0.33539659999999899</v>
      </c>
      <c r="AE4449">
        <v>-137.49520000000001</v>
      </c>
      <c r="AF4449">
        <v>-31.252632416591801</v>
      </c>
      <c r="AG4449">
        <v>-0.33539659999999899</v>
      </c>
      <c r="AH4449">
        <v>135.546270397369</v>
      </c>
      <c r="AI4449">
        <v>90.138148243022997</v>
      </c>
      <c r="AJ4449">
        <v>102.98366957400501</v>
      </c>
      <c r="AK4449">
        <v>139.10295087625701</v>
      </c>
      <c r="AL4449">
        <v>83.265496736562895</v>
      </c>
      <c r="AM4449">
        <v>99.313745318967705</v>
      </c>
      <c r="AN4449">
        <v>1.00000000977513</v>
      </c>
    </row>
    <row r="4450" spans="1:40" x14ac:dyDescent="0.25">
      <c r="A4450" t="str">
        <f>"20190303161959067"</f>
        <v>20190303161959067</v>
      </c>
      <c r="B4450" t="str">
        <f>"1551601199056543"</f>
        <v>1551601199056543</v>
      </c>
      <c r="C4450" t="s">
        <v>40</v>
      </c>
      <c r="D4450">
        <v>4.1380919999999897</v>
      </c>
      <c r="E4450">
        <v>0.47610459999999899</v>
      </c>
      <c r="F4450" t="s">
        <v>64</v>
      </c>
      <c r="G4450">
        <v>-470.50970000000001</v>
      </c>
      <c r="H4450">
        <v>0.64066219999999996</v>
      </c>
      <c r="I4450">
        <v>119.395</v>
      </c>
      <c r="J4450">
        <v>-491.22359999999998</v>
      </c>
      <c r="K4450">
        <v>1.1210420000000001</v>
      </c>
      <c r="L4450">
        <v>256.78429999999997</v>
      </c>
      <c r="M4450">
        <v>-7.4407260000000003E-2</v>
      </c>
      <c r="N4450">
        <v>-9.6197039999999998E-3</v>
      </c>
      <c r="O4450">
        <v>-0.99718169999999995</v>
      </c>
      <c r="P4450">
        <v>8.6321670000000003E-2</v>
      </c>
      <c r="Q4450">
        <v>0.1072641</v>
      </c>
      <c r="R4450">
        <v>-0.99047660000000004</v>
      </c>
      <c r="S4450">
        <v>0.45037840000000001</v>
      </c>
      <c r="T4450">
        <v>-1.0447980000000001E-2</v>
      </c>
      <c r="U4450">
        <v>-2.990707</v>
      </c>
      <c r="V4450">
        <v>-0.15975149999999999</v>
      </c>
      <c r="W4450">
        <v>0.1167441</v>
      </c>
      <c r="X4450">
        <v>0.98022969999999998</v>
      </c>
      <c r="Y4450">
        <v>-0.22206490000000001</v>
      </c>
      <c r="Z4450">
        <v>-6.2575869999999898E-3</v>
      </c>
      <c r="AA4450">
        <v>0.97501179999999998</v>
      </c>
      <c r="AB4450">
        <v>16</v>
      </c>
      <c r="AC4450">
        <v>20.713899999999899</v>
      </c>
      <c r="AD4450">
        <v>-0.48037980000000002</v>
      </c>
      <c r="AE4450">
        <v>-137.38929999999999</v>
      </c>
      <c r="AF4450">
        <v>-30.879338107099102</v>
      </c>
      <c r="AG4450">
        <v>-0.48037980000000002</v>
      </c>
      <c r="AH4450">
        <v>135.465458197055</v>
      </c>
      <c r="AI4450">
        <v>90.1980966887769</v>
      </c>
      <c r="AJ4450">
        <v>102.841154329945</v>
      </c>
      <c r="AK4450">
        <v>138.94119134088001</v>
      </c>
      <c r="AL4450">
        <v>83.2957676643084</v>
      </c>
      <c r="AM4450">
        <v>99.256317845070996</v>
      </c>
      <c r="AN4450">
        <v>0.99999999569957498</v>
      </c>
    </row>
    <row r="4451" spans="1:40" x14ac:dyDescent="0.25">
      <c r="A4451" t="str">
        <f>"20190303161959079"</f>
        <v>20190303161959079</v>
      </c>
      <c r="B4451" t="str">
        <f>"1551601199066303"</f>
        <v>1551601199066303</v>
      </c>
      <c r="C4451" t="s">
        <v>40</v>
      </c>
      <c r="D4451">
        <v>4.1107110000000002</v>
      </c>
      <c r="E4451">
        <v>0.47605530000000001</v>
      </c>
      <c r="F4451" t="s">
        <v>64</v>
      </c>
      <c r="G4451">
        <v>-470.59809999999999</v>
      </c>
      <c r="H4451">
        <v>0.54281159999999995</v>
      </c>
      <c r="I4451">
        <v>119.395</v>
      </c>
      <c r="J4451">
        <v>-491.23090000000002</v>
      </c>
      <c r="K4451">
        <v>1.1210560000000001</v>
      </c>
      <c r="L4451">
        <v>256.68860000000001</v>
      </c>
      <c r="M4451">
        <v>-7.4464989999999995E-2</v>
      </c>
      <c r="N4451">
        <v>-9.6316820000000008E-3</v>
      </c>
      <c r="O4451">
        <v>-0.99717710000000004</v>
      </c>
      <c r="P4451">
        <v>8.6188879999999995E-2</v>
      </c>
      <c r="Q4451">
        <v>0.10652250000000001</v>
      </c>
      <c r="R4451">
        <v>-0.99056789999999995</v>
      </c>
      <c r="S4451">
        <v>0.44903559999999998</v>
      </c>
      <c r="T4451">
        <v>-1.258802E-2</v>
      </c>
      <c r="U4451">
        <v>-2.991104</v>
      </c>
      <c r="V4451">
        <v>-0.15968779999999999</v>
      </c>
      <c r="W4451">
        <v>0.1160086</v>
      </c>
      <c r="X4451">
        <v>0.98032739999999996</v>
      </c>
      <c r="Y4451">
        <v>-0.22167419999999999</v>
      </c>
      <c r="Z4451">
        <v>-5.5700699999999999E-3</v>
      </c>
      <c r="AA4451">
        <v>0.97510490000000005</v>
      </c>
      <c r="AB4451">
        <v>16</v>
      </c>
      <c r="AC4451">
        <v>20.6328</v>
      </c>
      <c r="AD4451">
        <v>-0.57824439999999999</v>
      </c>
      <c r="AE4451">
        <v>-137.2936</v>
      </c>
      <c r="AF4451">
        <v>-30.7990170295699</v>
      </c>
      <c r="AG4451">
        <v>-0.57824439999999999</v>
      </c>
      <c r="AH4451">
        <v>135.373545683934</v>
      </c>
      <c r="AI4451">
        <v>90.238637744937805</v>
      </c>
      <c r="AJ4451">
        <v>102.817265509412</v>
      </c>
      <c r="AK4451">
        <v>138.83411211807399</v>
      </c>
      <c r="AL4451">
        <v>83.338197039321699</v>
      </c>
      <c r="AM4451">
        <v>99.251784607467997</v>
      </c>
      <c r="AN4451">
        <v>0.99999999996677902</v>
      </c>
    </row>
    <row r="4452" spans="1:40" x14ac:dyDescent="0.25">
      <c r="A4452" t="str">
        <f>"20190303161959095"</f>
        <v>20190303161959095</v>
      </c>
      <c r="B4452" t="str">
        <f>"1551601199086802"</f>
        <v>1551601199086802</v>
      </c>
      <c r="C4452" t="s">
        <v>40</v>
      </c>
      <c r="D4452">
        <v>4.1374000000000004</v>
      </c>
      <c r="E4452">
        <v>0.4757499</v>
      </c>
      <c r="F4452" t="s">
        <v>64</v>
      </c>
      <c r="G4452">
        <v>-470.61919999999998</v>
      </c>
      <c r="H4452">
        <v>0.28889019999999999</v>
      </c>
      <c r="I4452">
        <v>119.395</v>
      </c>
      <c r="J4452">
        <v>-491.23910000000001</v>
      </c>
      <c r="K4452">
        <v>1.1210690000000001</v>
      </c>
      <c r="L4452">
        <v>256.57859999999999</v>
      </c>
      <c r="M4452">
        <v>-7.4521359999999995E-2</v>
      </c>
      <c r="N4452">
        <v>-9.6447789999999992E-3</v>
      </c>
      <c r="O4452">
        <v>-0.99717279999999997</v>
      </c>
      <c r="P4452">
        <v>8.6834510000000004E-2</v>
      </c>
      <c r="Q4452">
        <v>0.1063094</v>
      </c>
      <c r="R4452">
        <v>-0.99053440000000004</v>
      </c>
      <c r="S4452">
        <v>0.44909670000000002</v>
      </c>
      <c r="T4452">
        <v>-1.813114E-2</v>
      </c>
      <c r="U4452">
        <v>-2.9914399999999999</v>
      </c>
      <c r="V4452">
        <v>-0.16038859999999999</v>
      </c>
      <c r="W4452">
        <v>0.11580260000000001</v>
      </c>
      <c r="X4452">
        <v>0.98023740000000004</v>
      </c>
      <c r="Y4452">
        <v>-0.22173190000000001</v>
      </c>
      <c r="Z4452">
        <v>-3.771833E-3</v>
      </c>
      <c r="AA4452">
        <v>0.97510030000000003</v>
      </c>
      <c r="AB4452">
        <v>16</v>
      </c>
      <c r="AC4452">
        <v>20.619900000000001</v>
      </c>
      <c r="AD4452">
        <v>-0.8321788</v>
      </c>
      <c r="AE4452">
        <v>-137.18360000000001</v>
      </c>
      <c r="AF4452">
        <v>-30.785035235238499</v>
      </c>
      <c r="AG4452">
        <v>-0.8321788</v>
      </c>
      <c r="AH4452">
        <v>135.26055235057601</v>
      </c>
      <c r="AI4452">
        <v>90.343713153570107</v>
      </c>
      <c r="AJ4452">
        <v>102.82198783992</v>
      </c>
      <c r="AK4452">
        <v>138.72212490505299</v>
      </c>
      <c r="AL4452">
        <v>83.350080411404406</v>
      </c>
      <c r="AM4452">
        <v>99.292518249316402</v>
      </c>
      <c r="AN4452">
        <v>1.00000005276773</v>
      </c>
    </row>
    <row r="4453" spans="1:40" x14ac:dyDescent="0.25">
      <c r="A4453" t="str">
        <f>"20190303161959108"</f>
        <v>20190303161959108</v>
      </c>
      <c r="B4453" t="str">
        <f>"1551601199096559"</f>
        <v>1551601199096559</v>
      </c>
      <c r="C4453" t="s">
        <v>40</v>
      </c>
      <c r="D4453">
        <v>4.1751019999999999</v>
      </c>
      <c r="E4453">
        <v>0.47555750000000002</v>
      </c>
      <c r="F4453" t="s">
        <v>64</v>
      </c>
      <c r="G4453">
        <v>-470.48579999999998</v>
      </c>
      <c r="H4453">
        <v>0.27034150000000001</v>
      </c>
      <c r="I4453">
        <v>119.395</v>
      </c>
      <c r="J4453">
        <v>-491.24579999999997</v>
      </c>
      <c r="K4453">
        <v>1.121078</v>
      </c>
      <c r="L4453">
        <v>256.49020000000002</v>
      </c>
      <c r="M4453">
        <v>-7.4560710000000002E-2</v>
      </c>
      <c r="N4453">
        <v>-9.654826E-3</v>
      </c>
      <c r="O4453">
        <v>-0.99717</v>
      </c>
      <c r="P4453">
        <v>8.763319E-2</v>
      </c>
      <c r="Q4453">
        <v>0.10647230000000001</v>
      </c>
      <c r="R4453">
        <v>-0.99044670000000001</v>
      </c>
      <c r="S4453">
        <v>0.4524841</v>
      </c>
      <c r="T4453">
        <v>-1.8547890000000001E-2</v>
      </c>
      <c r="U4453">
        <v>-2.991028</v>
      </c>
      <c r="V4453">
        <v>-0.16122020000000001</v>
      </c>
      <c r="W4453">
        <v>0.1159688</v>
      </c>
      <c r="X4453">
        <v>0.98008130000000004</v>
      </c>
      <c r="Y4453">
        <v>-0.2228696</v>
      </c>
      <c r="Z4453">
        <v>-3.6466530000000001E-3</v>
      </c>
      <c r="AA4453">
        <v>0.97484139999999997</v>
      </c>
      <c r="AB4453">
        <v>16</v>
      </c>
      <c r="AC4453">
        <v>20.759999999999899</v>
      </c>
      <c r="AD4453">
        <v>-0.85073650000000001</v>
      </c>
      <c r="AE4453">
        <v>-137.09520000000001</v>
      </c>
      <c r="AF4453">
        <v>-30.923433816441602</v>
      </c>
      <c r="AG4453">
        <v>-0.85073650000000001</v>
      </c>
      <c r="AH4453">
        <v>135.160516722106</v>
      </c>
      <c r="AI4453">
        <v>90.351546939159505</v>
      </c>
      <c r="AJ4453">
        <v>102.886926271086</v>
      </c>
      <c r="AK4453">
        <v>138.655500403622</v>
      </c>
      <c r="AL4453">
        <v>83.340493141829398</v>
      </c>
      <c r="AM4453">
        <v>99.341313581138706</v>
      </c>
      <c r="AN4453">
        <v>1.00000003503558</v>
      </c>
    </row>
    <row r="4454" spans="1:40" x14ac:dyDescent="0.25">
      <c r="A4454" t="str">
        <f>"20190303161959120"</f>
        <v>20190303161959120</v>
      </c>
      <c r="B4454" t="str">
        <f>"1551601199106318"</f>
        <v>1551601199106318</v>
      </c>
      <c r="C4454" t="s">
        <v>40</v>
      </c>
      <c r="D4454">
        <v>4.1564430000000003</v>
      </c>
      <c r="E4454">
        <v>0.4753655</v>
      </c>
      <c r="F4454" t="s">
        <v>64</v>
      </c>
      <c r="G4454">
        <v>-470.34570000000002</v>
      </c>
      <c r="H4454">
        <v>0.29352410000000001</v>
      </c>
      <c r="I4454">
        <v>119.395</v>
      </c>
      <c r="J4454">
        <v>-491.25310000000002</v>
      </c>
      <c r="K4454">
        <v>1.121089</v>
      </c>
      <c r="L4454">
        <v>256.39359999999999</v>
      </c>
      <c r="M4454">
        <v>-7.4595579999999995E-2</v>
      </c>
      <c r="N4454">
        <v>-9.6649449999999994E-3</v>
      </c>
      <c r="O4454">
        <v>-0.99716709999999997</v>
      </c>
      <c r="P4454">
        <v>8.8802110000000004E-2</v>
      </c>
      <c r="Q4454">
        <v>0.1068354</v>
      </c>
      <c r="R4454">
        <v>-0.99030320000000005</v>
      </c>
      <c r="S4454">
        <v>0.45590209999999998</v>
      </c>
      <c r="T4454">
        <v>-1.8051270000000001E-2</v>
      </c>
      <c r="U4454">
        <v>-2.9905400000000002</v>
      </c>
      <c r="V4454">
        <v>-0.16241220000000001</v>
      </c>
      <c r="W4454">
        <v>0.1163363</v>
      </c>
      <c r="X4454">
        <v>0.97984090000000001</v>
      </c>
      <c r="Y4454">
        <v>-0.2240161</v>
      </c>
      <c r="Z4454">
        <v>-3.8199639999999999E-3</v>
      </c>
      <c r="AA4454">
        <v>0.97457800000000006</v>
      </c>
      <c r="AB4454">
        <v>16</v>
      </c>
      <c r="AC4454">
        <v>20.907399999999999</v>
      </c>
      <c r="AD4454">
        <v>-0.82756489999999905</v>
      </c>
      <c r="AE4454">
        <v>-136.99860000000001</v>
      </c>
      <c r="AF4454">
        <v>-31.068002594371102</v>
      </c>
      <c r="AG4454">
        <v>-0.82756489999999905</v>
      </c>
      <c r="AH4454">
        <v>135.05237997699399</v>
      </c>
      <c r="AI4454">
        <v>90.342152363074305</v>
      </c>
      <c r="AJ4454">
        <v>102.95516403908699</v>
      </c>
      <c r="AK4454">
        <v>138.58228958390799</v>
      </c>
      <c r="AL4454">
        <v>83.319293372586998</v>
      </c>
      <c r="AM4454">
        <v>99.411416202367704</v>
      </c>
      <c r="AN4454">
        <v>1.00000002335966</v>
      </c>
    </row>
    <row r="4455" spans="1:40" x14ac:dyDescent="0.25">
      <c r="A4455" t="str">
        <f>"20190303161959135"</f>
        <v>20190303161959135</v>
      </c>
      <c r="B4455" t="str">
        <f>"1551601199126815"</f>
        <v>1551601199126815</v>
      </c>
      <c r="C4455" t="s">
        <v>40</v>
      </c>
      <c r="D4455">
        <v>4.1466430000000001</v>
      </c>
      <c r="E4455">
        <v>0.47512579999999999</v>
      </c>
      <c r="F4455" t="s">
        <v>64</v>
      </c>
      <c r="G4455">
        <v>-470.1268</v>
      </c>
      <c r="H4455">
        <v>0.33057500000000001</v>
      </c>
      <c r="I4455">
        <v>119.395</v>
      </c>
      <c r="J4455">
        <v>-491.26089999999999</v>
      </c>
      <c r="K4455">
        <v>1.1210979999999999</v>
      </c>
      <c r="L4455">
        <v>256.28960000000001</v>
      </c>
      <c r="M4455">
        <v>-7.4626819999999996E-2</v>
      </c>
      <c r="N4455">
        <v>-9.6750310000000006E-3</v>
      </c>
      <c r="O4455">
        <v>-0.99716499999999997</v>
      </c>
      <c r="P4455">
        <v>9.0234610000000007E-2</v>
      </c>
      <c r="Q4455">
        <v>0.1074637</v>
      </c>
      <c r="R4455">
        <v>-0.99010620000000005</v>
      </c>
      <c r="S4455">
        <v>0.46105960000000001</v>
      </c>
      <c r="T4455">
        <v>-1.7251610000000001E-2</v>
      </c>
      <c r="U4455">
        <v>-2.989868</v>
      </c>
      <c r="V4455">
        <v>-0.1638589</v>
      </c>
      <c r="W4455">
        <v>0.11696810000000001</v>
      </c>
      <c r="X4455">
        <v>0.97952470000000003</v>
      </c>
      <c r="Y4455">
        <v>-0.22572139999999999</v>
      </c>
      <c r="Z4455">
        <v>-4.0927419999999999E-3</v>
      </c>
      <c r="AA4455">
        <v>0.97418329999999997</v>
      </c>
      <c r="AB4455">
        <v>16</v>
      </c>
      <c r="AC4455">
        <v>21.134099999999901</v>
      </c>
      <c r="AD4455">
        <v>-0.79052299999999898</v>
      </c>
      <c r="AE4455">
        <v>-136.8946</v>
      </c>
      <c r="AF4455">
        <v>-31.2906263165961</v>
      </c>
      <c r="AG4455">
        <v>-0.79052299999999898</v>
      </c>
      <c r="AH4455">
        <v>134.931199522268</v>
      </c>
      <c r="AI4455">
        <v>90.326998307744802</v>
      </c>
      <c r="AJ4455">
        <v>103.05614672265401</v>
      </c>
      <c r="AK4455">
        <v>138.51410334841901</v>
      </c>
      <c r="AL4455">
        <v>83.282844610676705</v>
      </c>
      <c r="AM4455">
        <v>99.496738517536897</v>
      </c>
      <c r="AN4455">
        <v>0.99999995671845399</v>
      </c>
    </row>
    <row r="4456" spans="1:40" x14ac:dyDescent="0.25">
      <c r="A4456" t="str">
        <f>"20190303161959152"</f>
        <v>20190303161959152</v>
      </c>
      <c r="B4456" t="str">
        <f>"1551601199146334"</f>
        <v>1551601199146334</v>
      </c>
      <c r="C4456" t="s">
        <v>40</v>
      </c>
      <c r="D4456">
        <v>4.1665449999999904</v>
      </c>
      <c r="E4456">
        <v>0.47507480000000002</v>
      </c>
      <c r="F4456" t="s">
        <v>64</v>
      </c>
      <c r="G4456">
        <v>-469.87580000000003</v>
      </c>
      <c r="H4456">
        <v>0.3947389</v>
      </c>
      <c r="I4456">
        <v>119.395</v>
      </c>
      <c r="J4456">
        <v>-491.26960000000003</v>
      </c>
      <c r="K4456">
        <v>1.121116</v>
      </c>
      <c r="L4456">
        <v>256.17410000000001</v>
      </c>
      <c r="M4456">
        <v>-7.4656550000000002E-2</v>
      </c>
      <c r="N4456">
        <v>-9.6854660000000002E-3</v>
      </c>
      <c r="O4456">
        <v>-0.9971624</v>
      </c>
      <c r="P4456">
        <v>9.3588690000000002E-2</v>
      </c>
      <c r="Q4456">
        <v>0.1082862</v>
      </c>
      <c r="R4456">
        <v>-0.98970480000000005</v>
      </c>
      <c r="S4456">
        <v>0.46694950000000002</v>
      </c>
      <c r="T4456">
        <v>-1.5859720000000001E-2</v>
      </c>
      <c r="U4456">
        <v>-2.9891510000000001</v>
      </c>
      <c r="V4456">
        <v>-0.16720489999999999</v>
      </c>
      <c r="W4456">
        <v>0.11779249999999999</v>
      </c>
      <c r="X4456">
        <v>0.97886030000000002</v>
      </c>
      <c r="Y4456">
        <v>-0.22765959999999999</v>
      </c>
      <c r="Z4456">
        <v>-4.5596100000000004E-3</v>
      </c>
      <c r="AA4456">
        <v>0.97373010000000004</v>
      </c>
      <c r="AB4456">
        <v>16</v>
      </c>
      <c r="AC4456">
        <v>21.393799999999999</v>
      </c>
      <c r="AD4456">
        <v>-0.7263771</v>
      </c>
      <c r="AE4456">
        <v>-136.7791</v>
      </c>
      <c r="AF4456">
        <v>-31.5451558311591</v>
      </c>
      <c r="AG4456">
        <v>-0.7263771</v>
      </c>
      <c r="AH4456">
        <v>134.79638279652701</v>
      </c>
      <c r="AI4456">
        <v>90.300624621872004</v>
      </c>
      <c r="AJ4456">
        <v>103.171371169311</v>
      </c>
      <c r="AK4456">
        <v>138.440201152452</v>
      </c>
      <c r="AL4456">
        <v>83.235281587427906</v>
      </c>
      <c r="AM4456">
        <v>99.693473572630893</v>
      </c>
      <c r="AN4456">
        <v>1.0000000192781699</v>
      </c>
    </row>
    <row r="4457" spans="1:40" x14ac:dyDescent="0.25">
      <c r="A4457" t="str">
        <f>"20190303161959165"</f>
        <v>20190303161959165</v>
      </c>
      <c r="B4457" t="str">
        <f>"1551601199157071"</f>
        <v>1551601199157071</v>
      </c>
      <c r="C4457" t="s">
        <v>40</v>
      </c>
      <c r="D4457">
        <v>4.1297940000000004</v>
      </c>
      <c r="E4457">
        <v>0.4750528</v>
      </c>
      <c r="F4457" t="s">
        <v>64</v>
      </c>
      <c r="G4457">
        <v>-469.44240000000002</v>
      </c>
      <c r="H4457">
        <v>0.51754140000000004</v>
      </c>
      <c r="I4457">
        <v>119.395</v>
      </c>
      <c r="J4457">
        <v>-491.27690000000001</v>
      </c>
      <c r="K4457">
        <v>1.1211230000000001</v>
      </c>
      <c r="L4457">
        <v>256.0763</v>
      </c>
      <c r="M4457">
        <v>-7.4678869999999994E-2</v>
      </c>
      <c r="N4457">
        <v>-9.6938010000000002E-3</v>
      </c>
      <c r="O4457">
        <v>-0.99716050000000001</v>
      </c>
      <c r="P4457">
        <v>9.4794879999999998E-2</v>
      </c>
      <c r="Q4457">
        <v>0.1088788</v>
      </c>
      <c r="R4457">
        <v>-0.98952510000000005</v>
      </c>
      <c r="S4457">
        <v>0.47674559999999999</v>
      </c>
      <c r="T4457">
        <v>-1.3182640000000001E-2</v>
      </c>
      <c r="U4457">
        <v>-2.9875340000000001</v>
      </c>
      <c r="V4457">
        <v>-0.1684176</v>
      </c>
      <c r="W4457">
        <v>0.1183886</v>
      </c>
      <c r="X4457">
        <v>0.97858040000000002</v>
      </c>
      <c r="Y4457">
        <v>-0.23087569999999999</v>
      </c>
      <c r="Z4457">
        <v>-5.4444289999999998E-3</v>
      </c>
      <c r="AA4457">
        <v>0.97296800000000006</v>
      </c>
      <c r="AB4457">
        <v>16</v>
      </c>
      <c r="AC4457">
        <v>21.834499999999899</v>
      </c>
      <c r="AD4457">
        <v>-0.60358159999999905</v>
      </c>
      <c r="AE4457">
        <v>-136.68129999999999</v>
      </c>
      <c r="AF4457">
        <v>-31.9806010511419</v>
      </c>
      <c r="AG4457">
        <v>-0.60358159999999905</v>
      </c>
      <c r="AH4457">
        <v>134.666386732674</v>
      </c>
      <c r="AI4457">
        <v>90.249852164210196</v>
      </c>
      <c r="AJ4457">
        <v>103.359144797524</v>
      </c>
      <c r="AK4457">
        <v>138.413001087233</v>
      </c>
      <c r="AL4457">
        <v>83.2008865982326</v>
      </c>
      <c r="AM4457">
        <v>99.765168643458594</v>
      </c>
      <c r="AN4457">
        <v>0.99999997393193896</v>
      </c>
    </row>
    <row r="4458" spans="1:40" x14ac:dyDescent="0.25">
      <c r="A4458" t="str">
        <f>"20190303161959179"</f>
        <v>20190303161959179</v>
      </c>
      <c r="B4458" t="str">
        <f>"1551601199166831"</f>
        <v>1551601199166831</v>
      </c>
      <c r="C4458" t="s">
        <v>40</v>
      </c>
      <c r="D4458">
        <v>4.1394169999999999</v>
      </c>
      <c r="E4458">
        <v>0.47498829999999997</v>
      </c>
      <c r="F4458" t="s">
        <v>64</v>
      </c>
      <c r="G4458">
        <v>-469.29910000000001</v>
      </c>
      <c r="H4458">
        <v>0.62569549999999996</v>
      </c>
      <c r="I4458">
        <v>119.395</v>
      </c>
      <c r="J4458">
        <v>-491.28460000000001</v>
      </c>
      <c r="K4458">
        <v>1.12113</v>
      </c>
      <c r="L4458">
        <v>255.97370000000001</v>
      </c>
      <c r="M4458">
        <v>-7.4699600000000005E-2</v>
      </c>
      <c r="N4458">
        <v>-9.7020479999999996E-3</v>
      </c>
      <c r="O4458">
        <v>-0.99715909999999996</v>
      </c>
      <c r="P4458">
        <v>9.5744239999999994E-2</v>
      </c>
      <c r="Q4458">
        <v>0.1096559</v>
      </c>
      <c r="R4458">
        <v>-0.98934809999999995</v>
      </c>
      <c r="S4458">
        <v>0.48028559999999998</v>
      </c>
      <c r="T4458">
        <v>-1.082611E-2</v>
      </c>
      <c r="U4458">
        <v>-2.9869379999999999</v>
      </c>
      <c r="V4458">
        <v>-0.16937260000000001</v>
      </c>
      <c r="W4458">
        <v>0.11917030000000001</v>
      </c>
      <c r="X4458">
        <v>0.97832070000000004</v>
      </c>
      <c r="Y4458">
        <v>-0.23205029999999999</v>
      </c>
      <c r="Z4458">
        <v>-6.223246E-3</v>
      </c>
      <c r="AA4458">
        <v>0.97268390000000005</v>
      </c>
      <c r="AB4458">
        <v>16</v>
      </c>
      <c r="AC4458">
        <v>21.985499999999998</v>
      </c>
      <c r="AD4458">
        <v>-0.4954345</v>
      </c>
      <c r="AE4458">
        <v>-136.5787</v>
      </c>
      <c r="AF4458">
        <v>-32.126508758368303</v>
      </c>
      <c r="AG4458">
        <v>-0.4954345</v>
      </c>
      <c r="AH4458">
        <v>134.55296368975101</v>
      </c>
      <c r="AI4458">
        <v>90.205198645054594</v>
      </c>
      <c r="AJ4458">
        <v>103.428796148784</v>
      </c>
      <c r="AK4458">
        <v>138.336033115167</v>
      </c>
      <c r="AL4458">
        <v>83.155779436885098</v>
      </c>
      <c r="AM4458">
        <v>99.822022233208301</v>
      </c>
      <c r="AN4458">
        <v>1.0000000150406601</v>
      </c>
    </row>
    <row r="4459" spans="1:40" x14ac:dyDescent="0.25">
      <c r="A4459" t="str">
        <f>"20190303161959195"</f>
        <v>20190303161959195</v>
      </c>
      <c r="B4459" t="str">
        <f>"1551601199186350"</f>
        <v>1551601199186350</v>
      </c>
      <c r="C4459" t="s">
        <v>40</v>
      </c>
      <c r="D4459">
        <v>4.1658520000000001</v>
      </c>
      <c r="E4459">
        <v>0.47500510000000001</v>
      </c>
      <c r="F4459" t="s">
        <v>64</v>
      </c>
      <c r="G4459">
        <v>-469.16410000000002</v>
      </c>
      <c r="H4459">
        <v>0.76354949999999999</v>
      </c>
      <c r="I4459">
        <v>119.395</v>
      </c>
      <c r="J4459">
        <v>-491.29320000000001</v>
      </c>
      <c r="K4459">
        <v>1.121135</v>
      </c>
      <c r="L4459">
        <v>255.86009999999999</v>
      </c>
      <c r="M4459">
        <v>-7.4721969999999999E-2</v>
      </c>
      <c r="N4459">
        <v>-9.7107679999999998E-3</v>
      </c>
      <c r="O4459">
        <v>-0.99715739999999997</v>
      </c>
      <c r="P4459">
        <v>9.6509510000000007E-2</v>
      </c>
      <c r="Q4459">
        <v>0.1104618</v>
      </c>
      <c r="R4459">
        <v>-0.98918410000000001</v>
      </c>
      <c r="S4459">
        <v>0.48367310000000002</v>
      </c>
      <c r="T4459">
        <v>-7.8181029999999999E-3</v>
      </c>
      <c r="U4459">
        <v>-2.9863590000000002</v>
      </c>
      <c r="V4459">
        <v>-0.17014599999999999</v>
      </c>
      <c r="W4459">
        <v>0.1199813</v>
      </c>
      <c r="X4459">
        <v>0.97808729999999999</v>
      </c>
      <c r="Y4459">
        <v>-0.23317679999999999</v>
      </c>
      <c r="Z4459">
        <v>-7.2152880000000003E-3</v>
      </c>
      <c r="AA4459">
        <v>0.97240760000000004</v>
      </c>
      <c r="AB4459">
        <v>16</v>
      </c>
      <c r="AC4459">
        <v>22.129099999999902</v>
      </c>
      <c r="AD4459">
        <v>-0.3575855</v>
      </c>
      <c r="AE4459">
        <v>-136.46510000000001</v>
      </c>
      <c r="AF4459">
        <v>-32.264433460242401</v>
      </c>
      <c r="AG4459">
        <v>-0.3575855</v>
      </c>
      <c r="AH4459">
        <v>134.42905633119699</v>
      </c>
      <c r="AI4459">
        <v>90.148199460427605</v>
      </c>
      <c r="AJ4459">
        <v>103.496321639526</v>
      </c>
      <c r="AK4459">
        <v>138.24721595748801</v>
      </c>
      <c r="AL4459">
        <v>83.108976441700605</v>
      </c>
      <c r="AM4459">
        <v>99.868300837897905</v>
      </c>
      <c r="AN4459">
        <v>0.99999997004348895</v>
      </c>
    </row>
    <row r="4460" spans="1:40" x14ac:dyDescent="0.25">
      <c r="A4460" t="str">
        <f>"20190303161959207"</f>
        <v>20190303161959207</v>
      </c>
      <c r="B4460" t="str">
        <f>"1551601199197087"</f>
        <v>1551601199197087</v>
      </c>
      <c r="C4460" t="s">
        <v>40</v>
      </c>
      <c r="D4460">
        <v>4.1505769999999904</v>
      </c>
      <c r="E4460">
        <v>0.47492859999999998</v>
      </c>
      <c r="F4460" t="s">
        <v>64</v>
      </c>
      <c r="G4460">
        <v>-469.04820000000001</v>
      </c>
      <c r="H4460">
        <v>0.88256259999999997</v>
      </c>
      <c r="I4460">
        <v>119.395</v>
      </c>
      <c r="J4460">
        <v>-491.3</v>
      </c>
      <c r="K4460">
        <v>1.121135</v>
      </c>
      <c r="L4460">
        <v>255.7696</v>
      </c>
      <c r="M4460">
        <v>-7.4739630000000001E-2</v>
      </c>
      <c r="N4460">
        <v>-9.7174229999999993E-3</v>
      </c>
      <c r="O4460">
        <v>-0.99715600000000004</v>
      </c>
      <c r="P4460">
        <v>9.6232730000000002E-2</v>
      </c>
      <c r="Q4460">
        <v>0.1103717</v>
      </c>
      <c r="R4460">
        <v>-0.98922069999999995</v>
      </c>
      <c r="S4460">
        <v>0.48672490000000002</v>
      </c>
      <c r="T4460">
        <v>-5.2194600000000004E-3</v>
      </c>
      <c r="U4460">
        <v>-2.9859010000000001</v>
      </c>
      <c r="V4460">
        <v>-0.16989029999999899</v>
      </c>
      <c r="W4460">
        <v>0.119897</v>
      </c>
      <c r="X4460">
        <v>0.97814210000000001</v>
      </c>
      <c r="Y4460">
        <v>-0.23418559999999999</v>
      </c>
      <c r="Z4460">
        <v>-8.0714299999999992E-3</v>
      </c>
      <c r="AA4460">
        <v>0.97215839999999998</v>
      </c>
      <c r="AB4460">
        <v>16</v>
      </c>
      <c r="AC4460">
        <v>22.251799999999999</v>
      </c>
      <c r="AD4460">
        <v>-0.23857239999999999</v>
      </c>
      <c r="AE4460">
        <v>-136.37459999999999</v>
      </c>
      <c r="AF4460">
        <v>-32.3825268835052</v>
      </c>
      <c r="AG4460">
        <v>-0.23857239999999999</v>
      </c>
      <c r="AH4460">
        <v>134.32956579981899</v>
      </c>
      <c r="AI4460">
        <v>90.098924674137194</v>
      </c>
      <c r="AJ4460">
        <v>103.553565188226</v>
      </c>
      <c r="AK4460">
        <v>138.177846314519</v>
      </c>
      <c r="AL4460">
        <v>83.113841708340004</v>
      </c>
      <c r="AM4460">
        <v>99.853220171597798</v>
      </c>
      <c r="AN4460">
        <v>0.99999998621774999</v>
      </c>
    </row>
    <row r="4461" spans="1:40" x14ac:dyDescent="0.25">
      <c r="A4461" t="str">
        <f>"20190303161959220"</f>
        <v>20190303161959220</v>
      </c>
      <c r="B4461" t="str">
        <f>"1551601199206847"</f>
        <v>1551601199206847</v>
      </c>
      <c r="C4461" t="s">
        <v>40</v>
      </c>
      <c r="D4461">
        <v>4.2002540000000002</v>
      </c>
      <c r="E4461">
        <v>0.47492499999999999</v>
      </c>
      <c r="F4461" t="s">
        <v>64</v>
      </c>
      <c r="G4461">
        <v>-469.03300000000002</v>
      </c>
      <c r="H4461">
        <v>0.88502039999999904</v>
      </c>
      <c r="I4461">
        <v>119.395</v>
      </c>
      <c r="J4461">
        <v>-491.30700000000002</v>
      </c>
      <c r="K4461">
        <v>1.1211329999999999</v>
      </c>
      <c r="L4461">
        <v>255.67699999999999</v>
      </c>
      <c r="M4461">
        <v>-7.4757980000000002E-2</v>
      </c>
      <c r="N4461">
        <v>-9.7238080000000005E-3</v>
      </c>
      <c r="O4461">
        <v>-0.99715430000000005</v>
      </c>
      <c r="P4461">
        <v>9.5733609999999997E-2</v>
      </c>
      <c r="Q4461">
        <v>0.1100304</v>
      </c>
      <c r="R4461">
        <v>-0.98930720000000005</v>
      </c>
      <c r="S4461">
        <v>0.48751830000000002</v>
      </c>
      <c r="T4461">
        <v>-5.1689149999999996E-3</v>
      </c>
      <c r="U4461">
        <v>-2.9858250000000002</v>
      </c>
      <c r="V4461">
        <v>-0.16941719999999999</v>
      </c>
      <c r="W4461">
        <v>0.1195638</v>
      </c>
      <c r="X4461">
        <v>0.97826489999999999</v>
      </c>
      <c r="Y4461">
        <v>-0.234459</v>
      </c>
      <c r="Z4461">
        <v>-8.0945310000000003E-3</v>
      </c>
      <c r="AA4461">
        <v>0.97209230000000002</v>
      </c>
      <c r="AB4461">
        <v>16</v>
      </c>
      <c r="AC4461">
        <v>22.273999999999901</v>
      </c>
      <c r="AD4461">
        <v>-0.23611260000000001</v>
      </c>
      <c r="AE4461">
        <v>-136.28200000000001</v>
      </c>
      <c r="AF4461">
        <v>-32.400218887500699</v>
      </c>
      <c r="AG4461">
        <v>-0.23611260000000001</v>
      </c>
      <c r="AH4461">
        <v>134.23497650840201</v>
      </c>
      <c r="AI4461">
        <v>90.097966965370006</v>
      </c>
      <c r="AJ4461">
        <v>103.569899095027</v>
      </c>
      <c r="AK4461">
        <v>138.090038928697</v>
      </c>
      <c r="AL4461">
        <v>83.133070754998997</v>
      </c>
      <c r="AM4461">
        <v>99.825107691120607</v>
      </c>
      <c r="AN4461">
        <v>0.99999995224914295</v>
      </c>
    </row>
    <row r="4462" spans="1:40" x14ac:dyDescent="0.25">
      <c r="A4462" t="str">
        <f>"20190303161959233"</f>
        <v>20190303161959233</v>
      </c>
      <c r="B4462" t="str">
        <f>"1551601199226368"</f>
        <v>1551601199226368</v>
      </c>
      <c r="C4462" t="s">
        <v>40</v>
      </c>
      <c r="D4462">
        <v>4.1796819999999997</v>
      </c>
      <c r="E4462">
        <v>0.47487469999999998</v>
      </c>
      <c r="F4462" t="s">
        <v>64</v>
      </c>
      <c r="G4462">
        <v>-469.11399999999998</v>
      </c>
      <c r="H4462">
        <v>0.84061280000000005</v>
      </c>
      <c r="I4462">
        <v>119.395</v>
      </c>
      <c r="J4462">
        <v>-491.3134</v>
      </c>
      <c r="K4462">
        <v>1.1211310000000001</v>
      </c>
      <c r="L4462">
        <v>255.5917</v>
      </c>
      <c r="M4462">
        <v>-7.4775990000000001E-2</v>
      </c>
      <c r="N4462">
        <v>-9.7294119999999998E-3</v>
      </c>
      <c r="O4462">
        <v>-0.99715319999999996</v>
      </c>
      <c r="P4462">
        <v>9.4877980000000001E-2</v>
      </c>
      <c r="Q4462">
        <v>0.1098893</v>
      </c>
      <c r="R4462">
        <v>-0.98940550000000005</v>
      </c>
      <c r="S4462">
        <v>0.48626710000000001</v>
      </c>
      <c r="T4462">
        <v>-6.1458349999999997E-3</v>
      </c>
      <c r="U4462">
        <v>-2.9860690000000001</v>
      </c>
      <c r="V4462">
        <v>-0.16858909999999999</v>
      </c>
      <c r="W4462">
        <v>0.1194293</v>
      </c>
      <c r="X4462">
        <v>0.97842439999999997</v>
      </c>
      <c r="Y4462">
        <v>-0.2340672</v>
      </c>
      <c r="Z4462">
        <v>-7.7809019999999897E-3</v>
      </c>
      <c r="AA4462">
        <v>0.97218930000000003</v>
      </c>
      <c r="AB4462">
        <v>16</v>
      </c>
      <c r="AC4462">
        <v>22.199399999999901</v>
      </c>
      <c r="AD4462">
        <v>-0.280518199999999</v>
      </c>
      <c r="AE4462">
        <v>-136.19669999999999</v>
      </c>
      <c r="AF4462">
        <v>-32.321832187343702</v>
      </c>
      <c r="AG4462">
        <v>-0.280518199999999</v>
      </c>
      <c r="AH4462">
        <v>134.15474734558401</v>
      </c>
      <c r="AI4462">
        <v>90.116472809104195</v>
      </c>
      <c r="AJ4462">
        <v>103.546076954242</v>
      </c>
      <c r="AK4462">
        <v>137.99375261860499</v>
      </c>
      <c r="AL4462">
        <v>83.140832807563697</v>
      </c>
      <c r="AM4462">
        <v>99.776449240138206</v>
      </c>
      <c r="AN4462">
        <v>0.99999997442632904</v>
      </c>
    </row>
    <row r="4463" spans="1:40" x14ac:dyDescent="0.25">
      <c r="A4463" t="str">
        <f>"20190303161959251"</f>
        <v>20190303161959251</v>
      </c>
      <c r="B4463" t="str">
        <f>"1551601199246863"</f>
        <v>1551601199246863</v>
      </c>
      <c r="C4463" t="s">
        <v>40</v>
      </c>
      <c r="D4463">
        <v>4.1855479999999998</v>
      </c>
      <c r="E4463">
        <v>0.47492430000000002</v>
      </c>
      <c r="F4463" t="s">
        <v>64</v>
      </c>
      <c r="G4463">
        <v>-469.22390000000001</v>
      </c>
      <c r="H4463">
        <v>0.78743699999999905</v>
      </c>
      <c r="I4463">
        <v>119.395</v>
      </c>
      <c r="J4463">
        <v>-491.32389999999998</v>
      </c>
      <c r="K4463">
        <v>1.121129</v>
      </c>
      <c r="L4463">
        <v>255.45169999999999</v>
      </c>
      <c r="M4463">
        <v>-7.4807620000000005E-2</v>
      </c>
      <c r="N4463">
        <v>-9.738076E-3</v>
      </c>
      <c r="O4463">
        <v>-0.9971508</v>
      </c>
      <c r="P4463">
        <v>9.3230859999999999E-2</v>
      </c>
      <c r="Q4463">
        <v>0.10947170000000001</v>
      </c>
      <c r="R4463">
        <v>-0.98960840000000005</v>
      </c>
      <c r="S4463">
        <v>0.484375</v>
      </c>
      <c r="T4463">
        <v>-7.3165890000000001E-3</v>
      </c>
      <c r="U4463">
        <v>-2.9865110000000001</v>
      </c>
      <c r="V4463">
        <v>-0.16699310000000001</v>
      </c>
      <c r="W4463">
        <v>0.11902310000000001</v>
      </c>
      <c r="X4463">
        <v>0.97874749999999999</v>
      </c>
      <c r="Y4463">
        <v>-0.23347509999999999</v>
      </c>
      <c r="Z4463">
        <v>-7.4070269999999896E-3</v>
      </c>
      <c r="AA4463">
        <v>0.97233460000000005</v>
      </c>
      <c r="AB4463">
        <v>16</v>
      </c>
      <c r="AC4463">
        <v>22.099999999999898</v>
      </c>
      <c r="AD4463">
        <v>-0.33369199999999999</v>
      </c>
      <c r="AE4463">
        <v>-136.05669999999901</v>
      </c>
      <c r="AF4463">
        <v>-32.216437645492398</v>
      </c>
      <c r="AG4463">
        <v>-0.33369199999999999</v>
      </c>
      <c r="AH4463">
        <v>134.02131942933499</v>
      </c>
      <c r="AI4463">
        <v>90.138705985513695</v>
      </c>
      <c r="AJ4463">
        <v>103.516476898782</v>
      </c>
      <c r="AK4463">
        <v>137.83948732673301</v>
      </c>
      <c r="AL4463">
        <v>83.164273257641597</v>
      </c>
      <c r="AM4463">
        <v>99.682521950152307</v>
      </c>
      <c r="AN4463">
        <v>0.99999993126873199</v>
      </c>
    </row>
    <row r="4464" spans="1:40" x14ac:dyDescent="0.25">
      <c r="A4464" t="str">
        <f>"20190303161959263"</f>
        <v>20190303161959263</v>
      </c>
      <c r="B4464" t="str">
        <f>"1551601199256623"</f>
        <v>1551601199256623</v>
      </c>
      <c r="C4464" t="s">
        <v>40</v>
      </c>
      <c r="D4464">
        <v>4.2075399999999998</v>
      </c>
      <c r="E4464">
        <v>0.47490719999999997</v>
      </c>
      <c r="F4464" t="s">
        <v>64</v>
      </c>
      <c r="G4464">
        <v>-469.51749999999998</v>
      </c>
      <c r="H4464">
        <v>0.66008</v>
      </c>
      <c r="I4464">
        <v>119.395</v>
      </c>
      <c r="J4464">
        <v>-491.3306</v>
      </c>
      <c r="K4464">
        <v>1.121129</v>
      </c>
      <c r="L4464">
        <v>255.36420000000001</v>
      </c>
      <c r="M4464">
        <v>-7.4828539999999999E-2</v>
      </c>
      <c r="N4464">
        <v>-9.7431659999999993E-3</v>
      </c>
      <c r="O4464">
        <v>-0.9971489</v>
      </c>
      <c r="P4464">
        <v>9.2195849999999996E-2</v>
      </c>
      <c r="Q4464">
        <v>0.10986899999999999</v>
      </c>
      <c r="R4464">
        <v>-0.98966120000000002</v>
      </c>
      <c r="S4464">
        <v>0.47882079999999999</v>
      </c>
      <c r="T4464">
        <v>-1.012301E-2</v>
      </c>
      <c r="U4464">
        <v>-2.9875180000000001</v>
      </c>
      <c r="V4464">
        <v>-0.16598570000000001</v>
      </c>
      <c r="W4464">
        <v>0.1194264</v>
      </c>
      <c r="X4464">
        <v>0.97886980000000001</v>
      </c>
      <c r="Y4464">
        <v>-0.23168140000000001</v>
      </c>
      <c r="Z4464">
        <v>-6.4946400000000003E-3</v>
      </c>
      <c r="AA4464">
        <v>0.97277000000000002</v>
      </c>
      <c r="AB4464">
        <v>16</v>
      </c>
      <c r="AC4464">
        <v>21.813099999999999</v>
      </c>
      <c r="AD4464">
        <v>-0.46104899999999999</v>
      </c>
      <c r="AE4464">
        <v>-135.9692</v>
      </c>
      <c r="AF4464">
        <v>-31.926440260389299</v>
      </c>
      <c r="AG4464">
        <v>-0.46104899999999999</v>
      </c>
      <c r="AH4464">
        <v>133.95414128475801</v>
      </c>
      <c r="AI4464">
        <v>90.191829088026296</v>
      </c>
      <c r="AJ4464">
        <v>103.405691686624</v>
      </c>
      <c r="AK4464">
        <v>137.707015511983</v>
      </c>
      <c r="AL4464">
        <v>83.141000349611105</v>
      </c>
      <c r="AM4464">
        <v>99.624027212623005</v>
      </c>
      <c r="AN4464">
        <v>1.0000000014867401</v>
      </c>
    </row>
    <row r="4465" spans="1:40" x14ac:dyDescent="0.25">
      <c r="A4465" t="str">
        <f>"20190303161959276"</f>
        <v>20190303161959276</v>
      </c>
      <c r="B4465" t="str">
        <f>"1551601199266383"</f>
        <v>1551601199266383</v>
      </c>
      <c r="C4465" t="s">
        <v>40</v>
      </c>
      <c r="D4465">
        <v>4.2133539999999998</v>
      </c>
      <c r="E4465">
        <v>0.4748716</v>
      </c>
      <c r="F4465" t="s">
        <v>64</v>
      </c>
      <c r="G4465">
        <v>-469.69450000000001</v>
      </c>
      <c r="H4465">
        <v>0.71401719999999902</v>
      </c>
      <c r="I4465">
        <v>119.395</v>
      </c>
      <c r="J4465">
        <v>-491.33710000000002</v>
      </c>
      <c r="K4465">
        <v>1.1211260000000001</v>
      </c>
      <c r="L4465">
        <v>255.27799999999999</v>
      </c>
      <c r="M4465">
        <v>-7.4851529999999999E-2</v>
      </c>
      <c r="N4465">
        <v>-9.7478440000000003E-3</v>
      </c>
      <c r="O4465">
        <v>-0.99714729999999996</v>
      </c>
      <c r="P4465">
        <v>9.1004979999999999E-2</v>
      </c>
      <c r="Q4465">
        <v>0.10996400000000001</v>
      </c>
      <c r="R4465">
        <v>-0.9897608</v>
      </c>
      <c r="S4465">
        <v>0.47546389999999999</v>
      </c>
      <c r="T4465">
        <v>-8.9459420000000001E-3</v>
      </c>
      <c r="U4465">
        <v>-2.988022</v>
      </c>
      <c r="V4465">
        <v>-0.16482829999999901</v>
      </c>
      <c r="W4465">
        <v>0.1195278</v>
      </c>
      <c r="X4465">
        <v>0.97905299999999995</v>
      </c>
      <c r="Y4465">
        <v>-0.2306125</v>
      </c>
      <c r="Z4465">
        <v>-6.8833180000000002E-3</v>
      </c>
      <c r="AA4465">
        <v>0.97302129999999998</v>
      </c>
      <c r="AB4465">
        <v>16</v>
      </c>
      <c r="AC4465">
        <v>21.642600000000002</v>
      </c>
      <c r="AD4465">
        <v>-0.40710879999999999</v>
      </c>
      <c r="AE4465">
        <v>-135.88299999999899</v>
      </c>
      <c r="AF4465">
        <v>-31.753133188028102</v>
      </c>
      <c r="AG4465">
        <v>-0.40710879999999999</v>
      </c>
      <c r="AH4465">
        <v>133.880539607912</v>
      </c>
      <c r="AI4465">
        <v>90.169523777478005</v>
      </c>
      <c r="AJ4465">
        <v>103.34259686060599</v>
      </c>
      <c r="AK4465">
        <v>137.59515285989301</v>
      </c>
      <c r="AL4465">
        <v>83.135148770144795</v>
      </c>
      <c r="AM4465">
        <v>99.556406743711904</v>
      </c>
      <c r="AN4465">
        <v>1.0000000201313599</v>
      </c>
    </row>
    <row r="4466" spans="1:40" x14ac:dyDescent="0.25">
      <c r="A4466" t="str">
        <f>"20190303161959289"</f>
        <v>20190303161959289</v>
      </c>
      <c r="B4466" t="str">
        <f>"1551601199277119"</f>
        <v>1551601199277119</v>
      </c>
      <c r="C4466" t="s">
        <v>40</v>
      </c>
      <c r="D4466">
        <v>4.1989530000000004</v>
      </c>
      <c r="E4466">
        <v>0.47483379999999997</v>
      </c>
      <c r="F4466" t="s">
        <v>64</v>
      </c>
      <c r="G4466">
        <v>-469.86599999999999</v>
      </c>
      <c r="H4466">
        <v>0.73554529999999996</v>
      </c>
      <c r="I4466">
        <v>119.395</v>
      </c>
      <c r="J4466">
        <v>-491.3449</v>
      </c>
      <c r="K4466">
        <v>1.121122</v>
      </c>
      <c r="L4466">
        <v>255.17429999999999</v>
      </c>
      <c r="M4466">
        <v>-7.4880310000000005E-2</v>
      </c>
      <c r="N4466">
        <v>-9.7533029999999996E-3</v>
      </c>
      <c r="O4466">
        <v>-0.99714510000000001</v>
      </c>
      <c r="P4466">
        <v>9.0087600000000004E-2</v>
      </c>
      <c r="Q4466">
        <v>0.1103527</v>
      </c>
      <c r="R4466">
        <v>-0.98980170000000001</v>
      </c>
      <c r="S4466">
        <v>0.47222900000000001</v>
      </c>
      <c r="T4466">
        <v>-8.4798340000000003E-3</v>
      </c>
      <c r="U4466">
        <v>-2.9886020000000002</v>
      </c>
      <c r="V4466">
        <v>-0.16394410000000001</v>
      </c>
      <c r="W4466">
        <v>0.1199226</v>
      </c>
      <c r="X4466">
        <v>0.97915319999999995</v>
      </c>
      <c r="Y4466">
        <v>-0.2295838</v>
      </c>
      <c r="Z4466">
        <v>-7.0406610000000001E-3</v>
      </c>
      <c r="AA4466">
        <v>0.9732634</v>
      </c>
      <c r="AB4466">
        <v>16</v>
      </c>
      <c r="AC4466">
        <v>21.478899999999999</v>
      </c>
      <c r="AD4466">
        <v>-0.385576699999999</v>
      </c>
      <c r="AE4466">
        <v>-135.77929999999901</v>
      </c>
      <c r="AF4466">
        <v>-31.586021358058598</v>
      </c>
      <c r="AG4466">
        <v>-0.385576699999999</v>
      </c>
      <c r="AH4466">
        <v>133.78859208913801</v>
      </c>
      <c r="AI4466">
        <v>90.1607071159209</v>
      </c>
      <c r="AJ4466">
        <v>103.283669114953</v>
      </c>
      <c r="AK4466">
        <v>137.46713348221499</v>
      </c>
      <c r="AL4466">
        <v>83.112364672784196</v>
      </c>
      <c r="AM4466">
        <v>99.505125649462798</v>
      </c>
      <c r="AN4466">
        <v>1.0000000434928999</v>
      </c>
    </row>
    <row r="4467" spans="1:40" x14ac:dyDescent="0.25">
      <c r="A4467" t="str">
        <f>"20190303161959302"</f>
        <v>20190303161959302</v>
      </c>
      <c r="B4467" t="str">
        <f>"1551601199286879"</f>
        <v>1551601199286879</v>
      </c>
      <c r="C4467" t="s">
        <v>40</v>
      </c>
      <c r="D4467">
        <v>4.1915100000000001</v>
      </c>
      <c r="E4467">
        <v>0.47476299999999999</v>
      </c>
      <c r="F4467" t="s">
        <v>64</v>
      </c>
      <c r="G4467">
        <v>-469.99239999999998</v>
      </c>
      <c r="H4467">
        <v>0.79117510000000002</v>
      </c>
      <c r="I4467">
        <v>119.395</v>
      </c>
      <c r="J4467">
        <v>-491.3519</v>
      </c>
      <c r="K4467">
        <v>1.1211199999999999</v>
      </c>
      <c r="L4467">
        <v>255.08150000000001</v>
      </c>
      <c r="M4467">
        <v>-7.4907409999999994E-2</v>
      </c>
      <c r="N4467">
        <v>-9.7579639999999992E-3</v>
      </c>
      <c r="O4467">
        <v>-0.997143</v>
      </c>
      <c r="P4467">
        <v>8.9219939999999998E-2</v>
      </c>
      <c r="Q4467">
        <v>0.1101303</v>
      </c>
      <c r="R4467">
        <v>-0.98990460000000002</v>
      </c>
      <c r="S4467">
        <v>0.4700317</v>
      </c>
      <c r="T4467">
        <v>-7.2624680000000002E-3</v>
      </c>
      <c r="U4467">
        <v>-2.9889220000000001</v>
      </c>
      <c r="V4467">
        <v>-0.16311349999999999</v>
      </c>
      <c r="W4467">
        <v>0.1197067</v>
      </c>
      <c r="X4467">
        <v>0.97931829999999997</v>
      </c>
      <c r="Y4467">
        <v>-0.22889599999999999</v>
      </c>
      <c r="Z4467">
        <v>-7.4427249999999999E-3</v>
      </c>
      <c r="AA4467">
        <v>0.97342240000000002</v>
      </c>
      <c r="AB4467">
        <v>16</v>
      </c>
      <c r="AC4467">
        <v>21.359500000000001</v>
      </c>
      <c r="AD4467">
        <v>-0.32994489999999999</v>
      </c>
      <c r="AE4467">
        <v>-135.6865</v>
      </c>
      <c r="AF4467">
        <v>-31.463708774101001</v>
      </c>
      <c r="AG4467">
        <v>-0.32994489999999999</v>
      </c>
      <c r="AH4467">
        <v>133.70441962511501</v>
      </c>
      <c r="AI4467">
        <v>90.1376301776817</v>
      </c>
      <c r="AJ4467">
        <v>103.242081285908</v>
      </c>
      <c r="AK4467">
        <v>137.35700077079201</v>
      </c>
      <c r="AL4467">
        <v>83.124824428682899</v>
      </c>
      <c r="AM4467">
        <v>99.456275766683305</v>
      </c>
      <c r="AN4467">
        <v>1.00000002031101</v>
      </c>
    </row>
    <row r="4468" spans="1:40" x14ac:dyDescent="0.25">
      <c r="A4468" t="str">
        <f>"20190303161959319"</f>
        <v>20190303161959319</v>
      </c>
      <c r="B4468" t="str">
        <f>"1551601199306399"</f>
        <v>1551601199306399</v>
      </c>
      <c r="C4468" t="s">
        <v>40</v>
      </c>
      <c r="D4468">
        <v>4.1992440000000002</v>
      </c>
      <c r="E4468">
        <v>0.47472130000000001</v>
      </c>
      <c r="F4468" t="s">
        <v>64</v>
      </c>
      <c r="G4468">
        <v>-470.11090000000002</v>
      </c>
      <c r="H4468">
        <v>0.76870209999999894</v>
      </c>
      <c r="I4468">
        <v>119.395</v>
      </c>
      <c r="J4468">
        <v>-491.36070000000001</v>
      </c>
      <c r="K4468">
        <v>1.121119</v>
      </c>
      <c r="L4468">
        <v>254.965</v>
      </c>
      <c r="M4468">
        <v>-7.494381E-2</v>
      </c>
      <c r="N4468">
        <v>-9.7635110000000008E-3</v>
      </c>
      <c r="O4468">
        <v>-0.99714009999999997</v>
      </c>
      <c r="P4468">
        <v>8.8438210000000003E-2</v>
      </c>
      <c r="Q4468">
        <v>0.10971</v>
      </c>
      <c r="R4468">
        <v>-0.9900217</v>
      </c>
      <c r="S4468">
        <v>0.4679565</v>
      </c>
      <c r="T4468">
        <v>-7.7635050000000004E-3</v>
      </c>
      <c r="U4468">
        <v>-2.9893040000000002</v>
      </c>
      <c r="V4468">
        <v>-0.1623782</v>
      </c>
      <c r="W4468">
        <v>0.119293899999999</v>
      </c>
      <c r="X4468">
        <v>0.97949079999999999</v>
      </c>
      <c r="Y4468">
        <v>-0.22825300000000001</v>
      </c>
      <c r="Z4468">
        <v>-7.2843889999999996E-3</v>
      </c>
      <c r="AA4468">
        <v>0.97357459999999996</v>
      </c>
      <c r="AB4468">
        <v>16</v>
      </c>
      <c r="AC4468">
        <v>21.2498</v>
      </c>
      <c r="AD4468">
        <v>-0.35241689999999998</v>
      </c>
      <c r="AE4468">
        <v>-135.57</v>
      </c>
      <c r="AF4468">
        <v>-31.350443165321899</v>
      </c>
      <c r="AG4468">
        <v>-0.35241689999999998</v>
      </c>
      <c r="AH4468">
        <v>133.59521032017699</v>
      </c>
      <c r="AI4468">
        <v>90.147145547933704</v>
      </c>
      <c r="AJ4468">
        <v>103.206491620175</v>
      </c>
      <c r="AK4468">
        <v>137.22483268281201</v>
      </c>
      <c r="AL4468">
        <v>83.148646493080506</v>
      </c>
      <c r="AM4468">
        <v>99.412784276744603</v>
      </c>
      <c r="AN4468">
        <v>0.99999997084854397</v>
      </c>
    </row>
    <row r="4469" spans="1:40" x14ac:dyDescent="0.25">
      <c r="A4469" t="str">
        <f>"20190303161959333"</f>
        <v>20190303161959333</v>
      </c>
      <c r="B4469" t="str">
        <f>"1551601199317135"</f>
        <v>1551601199317135</v>
      </c>
      <c r="C4469" t="s">
        <v>40</v>
      </c>
      <c r="D4469">
        <v>4.2281339999999998</v>
      </c>
      <c r="E4469">
        <v>0.47466320000000001</v>
      </c>
      <c r="F4469" t="s">
        <v>64</v>
      </c>
      <c r="G4469">
        <v>-470.23309999999998</v>
      </c>
      <c r="H4469">
        <v>0.64470249999999996</v>
      </c>
      <c r="I4469">
        <v>119.395</v>
      </c>
      <c r="J4469">
        <v>-491.36849999999998</v>
      </c>
      <c r="K4469">
        <v>1.1211139999999999</v>
      </c>
      <c r="L4469">
        <v>254.8623</v>
      </c>
      <c r="M4469">
        <v>-7.4978340000000004E-2</v>
      </c>
      <c r="N4469">
        <v>-9.7681939999999991E-3</v>
      </c>
      <c r="O4469">
        <v>-0.99713750000000001</v>
      </c>
      <c r="P4469">
        <v>8.8397199999999995E-2</v>
      </c>
      <c r="Q4469">
        <v>0.109443899999999</v>
      </c>
      <c r="R4469">
        <v>-0.99005480000000001</v>
      </c>
      <c r="S4469">
        <v>0.46594239999999998</v>
      </c>
      <c r="T4469">
        <v>-1.0506150000000001E-2</v>
      </c>
      <c r="U4469">
        <v>-2.9898380000000002</v>
      </c>
      <c r="V4469">
        <v>-0.162373499999999</v>
      </c>
      <c r="W4469">
        <v>0.119033</v>
      </c>
      <c r="X4469">
        <v>0.97952340000000004</v>
      </c>
      <c r="Y4469">
        <v>-0.22761980000000001</v>
      </c>
      <c r="Z4469">
        <v>-6.3930389999999997E-3</v>
      </c>
      <c r="AA4469">
        <v>0.97372910000000001</v>
      </c>
      <c r="AB4469">
        <v>16</v>
      </c>
      <c r="AC4469">
        <v>21.135400000000001</v>
      </c>
      <c r="AD4469">
        <v>-0.47641149999999999</v>
      </c>
      <c r="AE4469">
        <v>-135.46729999999999</v>
      </c>
      <c r="AF4469">
        <v>-31.233120567017998</v>
      </c>
      <c r="AG4469">
        <v>-0.47641149999999999</v>
      </c>
      <c r="AH4469">
        <v>133.49956087748899</v>
      </c>
      <c r="AI4469">
        <v>90.199090918459603</v>
      </c>
      <c r="AJ4469">
        <v>103.167891328198</v>
      </c>
      <c r="AK4469">
        <v>137.10531551604299</v>
      </c>
      <c r="AL4469">
        <v>83.163702782684297</v>
      </c>
      <c r="AM4469">
        <v>99.412209044361504</v>
      </c>
      <c r="AN4469">
        <v>1.0000000498693999</v>
      </c>
    </row>
    <row r="4470" spans="1:40" x14ac:dyDescent="0.25">
      <c r="A4470" t="str">
        <f>"20190303161959352"</f>
        <v>20190303161959352</v>
      </c>
      <c r="B4470" t="str">
        <f>"1551601199346971"</f>
        <v>1551601199346971</v>
      </c>
      <c r="C4470" t="s">
        <v>40</v>
      </c>
      <c r="D4470">
        <v>4.258445</v>
      </c>
      <c r="E4470">
        <v>0.4743675</v>
      </c>
      <c r="F4470" t="s">
        <v>64</v>
      </c>
      <c r="G4470">
        <v>-470.26929999999999</v>
      </c>
      <c r="H4470">
        <v>0.59425799999999995</v>
      </c>
      <c r="I4470">
        <v>119.395</v>
      </c>
      <c r="J4470">
        <v>-491.37959999999998</v>
      </c>
      <c r="K4470">
        <v>1.121108</v>
      </c>
      <c r="L4470">
        <v>254.71459999999999</v>
      </c>
      <c r="M4470">
        <v>-7.5032570000000007E-2</v>
      </c>
      <c r="N4470">
        <v>-9.7745790000000003E-3</v>
      </c>
      <c r="O4470">
        <v>-0.99713339999999995</v>
      </c>
      <c r="P4470">
        <v>8.8236609999999993E-2</v>
      </c>
      <c r="Q4470">
        <v>0.10901130000000001</v>
      </c>
      <c r="R4470">
        <v>-0.99011669999999996</v>
      </c>
      <c r="S4470">
        <v>0.46566770000000002</v>
      </c>
      <c r="T4470">
        <v>-1.162732E-2</v>
      </c>
      <c r="U4470">
        <v>-2.9898380000000002</v>
      </c>
      <c r="V4470">
        <v>-0.1622702</v>
      </c>
      <c r="W4470">
        <v>0.1186088</v>
      </c>
      <c r="X4470">
        <v>0.97959189999999996</v>
      </c>
      <c r="Y4470">
        <v>-0.22758529999999999</v>
      </c>
      <c r="Z4470">
        <v>-6.0331889999999996E-3</v>
      </c>
      <c r="AA4470">
        <v>0.97373940000000003</v>
      </c>
      <c r="AB4470">
        <v>16</v>
      </c>
      <c r="AC4470">
        <v>21.110299999999899</v>
      </c>
      <c r="AD4470">
        <v>-0.52685000000000004</v>
      </c>
      <c r="AE4470">
        <v>-135.31959999999901</v>
      </c>
      <c r="AF4470">
        <v>-31.2041845612607</v>
      </c>
      <c r="AG4470">
        <v>-0.52685000000000004</v>
      </c>
      <c r="AH4470">
        <v>133.35210027065199</v>
      </c>
      <c r="AI4470">
        <v>90.220410237006604</v>
      </c>
      <c r="AJ4470">
        <v>103.170157615772</v>
      </c>
      <c r="AK4470">
        <v>136.95532611640101</v>
      </c>
      <c r="AL4470">
        <v>83.188180570121304</v>
      </c>
      <c r="AM4470">
        <v>99.405682157713201</v>
      </c>
      <c r="AN4470">
        <v>0.99999997789554396</v>
      </c>
    </row>
    <row r="4471" spans="1:40" x14ac:dyDescent="0.25">
      <c r="A4471" t="str">
        <f>"20190303161959376"</f>
        <v>20190303161959376</v>
      </c>
      <c r="B4471" t="str">
        <f>"1551601199366492"</f>
        <v>1551601199366492</v>
      </c>
      <c r="C4471" t="s">
        <v>40</v>
      </c>
      <c r="D4471">
        <v>4.229527</v>
      </c>
      <c r="E4471">
        <v>0.47425509999999899</v>
      </c>
      <c r="F4471" t="s">
        <v>64</v>
      </c>
      <c r="G4471">
        <v>-470.21260000000001</v>
      </c>
      <c r="H4471">
        <v>0.53486899999999904</v>
      </c>
      <c r="I4471">
        <v>119.395</v>
      </c>
      <c r="J4471">
        <v>-491.3922</v>
      </c>
      <c r="K4471">
        <v>1.1211009999999999</v>
      </c>
      <c r="L4471">
        <v>254.54839999999999</v>
      </c>
      <c r="M4471">
        <v>-7.5100159999999999E-2</v>
      </c>
      <c r="N4471">
        <v>-9.7813150000000005E-3</v>
      </c>
      <c r="O4471">
        <v>-0.99712800000000001</v>
      </c>
      <c r="P4471">
        <v>8.8642600000000002E-2</v>
      </c>
      <c r="Q4471">
        <v>0.1085832</v>
      </c>
      <c r="R4471">
        <v>-0.99012730000000004</v>
      </c>
      <c r="S4471">
        <v>0.46765139999999999</v>
      </c>
      <c r="T4471">
        <v>-1.295149E-2</v>
      </c>
      <c r="U4471">
        <v>-2.9897</v>
      </c>
      <c r="V4471">
        <v>-0.16274029999999901</v>
      </c>
      <c r="W4471">
        <v>0.1181898</v>
      </c>
      <c r="X4471">
        <v>0.97956460000000001</v>
      </c>
      <c r="Y4471">
        <v>-0.22828860000000001</v>
      </c>
      <c r="Z4471">
        <v>-5.6080909999999999E-3</v>
      </c>
      <c r="AA4471">
        <v>0.97357729999999998</v>
      </c>
      <c r="AB4471">
        <v>16</v>
      </c>
      <c r="AC4471">
        <v>21.179599999999901</v>
      </c>
      <c r="AD4471">
        <v>-0.58623199999999998</v>
      </c>
      <c r="AE4471">
        <v>-135.15339999999901</v>
      </c>
      <c r="AF4471">
        <v>-31.269736535431001</v>
      </c>
      <c r="AG4471">
        <v>-0.58623199999999998</v>
      </c>
      <c r="AH4471">
        <v>133.178576534445</v>
      </c>
      <c r="AI4471">
        <v>90.245528752495403</v>
      </c>
      <c r="AJ4471">
        <v>103.213449380474</v>
      </c>
      <c r="AK4471">
        <v>136.80158383108801</v>
      </c>
      <c r="AL4471">
        <v>83.212357847766796</v>
      </c>
      <c r="AM4471">
        <v>99.432699781599595</v>
      </c>
      <c r="AN4471">
        <v>1.00000001982064</v>
      </c>
    </row>
    <row r="4472" spans="1:40" x14ac:dyDescent="0.25">
      <c r="A4472" t="str">
        <f>"20190303161959388"</f>
        <v>20190303161959388</v>
      </c>
      <c r="B4472" t="str">
        <f>"1551601199377229"</f>
        <v>1551601199377229</v>
      </c>
      <c r="C4472" t="s">
        <v>40</v>
      </c>
      <c r="D4472">
        <v>4.2746370000000002</v>
      </c>
      <c r="E4472">
        <v>0.4742306</v>
      </c>
      <c r="F4472" t="s">
        <v>64</v>
      </c>
      <c r="G4472">
        <v>-470.16989999999998</v>
      </c>
      <c r="H4472">
        <v>0.45058209999999999</v>
      </c>
      <c r="I4472">
        <v>119.395</v>
      </c>
      <c r="J4472">
        <v>-491.39949999999999</v>
      </c>
      <c r="K4472">
        <v>1.1210990000000001</v>
      </c>
      <c r="L4472">
        <v>254.4521</v>
      </c>
      <c r="M4472">
        <v>-7.5142500000000001E-2</v>
      </c>
      <c r="N4472">
        <v>-9.7850550000000008E-3</v>
      </c>
      <c r="O4472">
        <v>-0.99712500000000004</v>
      </c>
      <c r="P4472">
        <v>8.8865780000000005E-2</v>
      </c>
      <c r="Q4472">
        <v>0.1084508</v>
      </c>
      <c r="R4472">
        <v>-0.9901221</v>
      </c>
      <c r="S4472">
        <v>0.46942139999999999</v>
      </c>
      <c r="T4472">
        <v>-1.483083E-2</v>
      </c>
      <c r="U4472">
        <v>-2.9895170000000002</v>
      </c>
      <c r="V4472">
        <v>-0.16300339999999999</v>
      </c>
      <c r="W4472">
        <v>0.1180619</v>
      </c>
      <c r="X4472">
        <v>0.97953619999999997</v>
      </c>
      <c r="Y4472">
        <v>-0.2289013</v>
      </c>
      <c r="Z4472">
        <v>-4.9985259999999997E-3</v>
      </c>
      <c r="AA4472">
        <v>0.97343679999999999</v>
      </c>
      <c r="AB4472">
        <v>16</v>
      </c>
      <c r="AC4472">
        <v>21.229600000000001</v>
      </c>
      <c r="AD4472">
        <v>-0.67051689999999997</v>
      </c>
      <c r="AE4472">
        <v>-135.05709999999999</v>
      </c>
      <c r="AF4472">
        <v>-31.317832700954298</v>
      </c>
      <c r="AG4472">
        <v>-0.67051689999999997</v>
      </c>
      <c r="AH4472">
        <v>133.07670862363801</v>
      </c>
      <c r="AI4472">
        <v>90.281009955692198</v>
      </c>
      <c r="AJ4472">
        <v>103.24283138605701</v>
      </c>
      <c r="AK4472">
        <v>136.713812821159</v>
      </c>
      <c r="AL4472">
        <v>83.219737129173396</v>
      </c>
      <c r="AM4472">
        <v>99.447943769469404</v>
      </c>
      <c r="AN4472">
        <v>0.99999994387680302</v>
      </c>
    </row>
    <row r="4473" spans="1:40" x14ac:dyDescent="0.25">
      <c r="A4473" t="str">
        <f>"20190303161959408"</f>
        <v>20190303161959408</v>
      </c>
      <c r="B4473" t="str">
        <f>"1551601199396748"</f>
        <v>1551601199396748</v>
      </c>
      <c r="C4473" t="s">
        <v>40</v>
      </c>
      <c r="D4473">
        <v>4.318111</v>
      </c>
      <c r="E4473">
        <v>0.4910465</v>
      </c>
      <c r="F4473" t="s">
        <v>64</v>
      </c>
      <c r="G4473">
        <v>-470.1628</v>
      </c>
      <c r="H4473">
        <v>0.41846460000000002</v>
      </c>
      <c r="I4473">
        <v>119.395</v>
      </c>
      <c r="J4473">
        <v>-491.41039999999998</v>
      </c>
      <c r="K4473">
        <v>1.121097</v>
      </c>
      <c r="L4473">
        <v>254.30850000000001</v>
      </c>
      <c r="M4473">
        <v>-7.521166E-2</v>
      </c>
      <c r="N4473">
        <v>-9.7903859999999999E-3</v>
      </c>
      <c r="O4473">
        <v>-0.9971198</v>
      </c>
      <c r="P4473">
        <v>8.941019E-2</v>
      </c>
      <c r="Q4473">
        <v>0.1095445</v>
      </c>
      <c r="R4473">
        <v>-0.98995299999999997</v>
      </c>
      <c r="S4473">
        <v>0.47006229999999899</v>
      </c>
      <c r="T4473">
        <v>-1.5551809999999999E-2</v>
      </c>
      <c r="U4473">
        <v>-2.9894259999999999</v>
      </c>
      <c r="V4473">
        <v>-0.1635993</v>
      </c>
      <c r="W4473">
        <v>0.1191613</v>
      </c>
      <c r="X4473">
        <v>0.97930379999999995</v>
      </c>
      <c r="Y4473">
        <v>-0.22917699999999999</v>
      </c>
      <c r="Z4473">
        <v>-4.7686689999999997E-3</v>
      </c>
      <c r="AA4473">
        <v>0.97337309999999999</v>
      </c>
      <c r="AB4473">
        <v>16</v>
      </c>
      <c r="AC4473">
        <v>21.247599999999899</v>
      </c>
      <c r="AD4473">
        <v>-0.70263240000000005</v>
      </c>
      <c r="AE4473">
        <v>-134.9135</v>
      </c>
      <c r="AF4473">
        <v>-31.3341349462134</v>
      </c>
      <c r="AG4473">
        <v>-0.70263240000000005</v>
      </c>
      <c r="AH4473">
        <v>132.92967174337599</v>
      </c>
      <c r="AI4473">
        <v>90.294769677899097</v>
      </c>
      <c r="AJ4473">
        <v>103.26361960909399</v>
      </c>
      <c r="AK4473">
        <v>136.57459256728001</v>
      </c>
      <c r="AL4473">
        <v>83.156298968123195</v>
      </c>
      <c r="AM4473">
        <v>99.484066328268398</v>
      </c>
      <c r="AN4473">
        <v>1.0000000395363</v>
      </c>
    </row>
    <row r="4474" spans="1:40" x14ac:dyDescent="0.25">
      <c r="A4474" t="str">
        <f>"20190303161959420"</f>
        <v>20190303161959420</v>
      </c>
      <c r="B4474" t="str">
        <f>"1551601199407227"</f>
        <v>1551601199407227</v>
      </c>
      <c r="C4474" t="s">
        <v>40</v>
      </c>
      <c r="D4474">
        <v>4.2931290000000004</v>
      </c>
      <c r="E4474">
        <v>0.49529410000000001</v>
      </c>
      <c r="F4474" t="s">
        <v>44</v>
      </c>
      <c r="G4474">
        <v>-472.43740000000003</v>
      </c>
      <c r="H4474">
        <v>-0.05</v>
      </c>
      <c r="I4474">
        <v>85.699019999999905</v>
      </c>
      <c r="J4474">
        <v>-491.41750000000002</v>
      </c>
      <c r="K4474">
        <v>1.1211</v>
      </c>
      <c r="L4474">
        <v>254.214</v>
      </c>
      <c r="M4474">
        <v>-7.5261079999999994E-2</v>
      </c>
      <c r="N4474">
        <v>-9.7937560000000007E-3</v>
      </c>
      <c r="O4474">
        <v>-0.997116</v>
      </c>
      <c r="P4474">
        <v>8.9519810000000005E-2</v>
      </c>
      <c r="Q4474">
        <v>0.1099628</v>
      </c>
      <c r="R4474">
        <v>-0.98989640000000001</v>
      </c>
      <c r="S4474">
        <v>0.33782960000000001</v>
      </c>
      <c r="T4474">
        <v>-2.0852450000000002E-2</v>
      </c>
      <c r="U4474">
        <v>-3.002243</v>
      </c>
      <c r="V4474">
        <v>-0.16375149999999999</v>
      </c>
      <c r="W4474">
        <v>0.1195836</v>
      </c>
      <c r="X4474">
        <v>0.97922679999999995</v>
      </c>
      <c r="Y4474">
        <v>-0.1862798</v>
      </c>
      <c r="Z4474">
        <v>-3.0018179999999998E-3</v>
      </c>
      <c r="AA4474">
        <v>0.98249209999999998</v>
      </c>
      <c r="AB4474">
        <v>17</v>
      </c>
      <c r="AC4474">
        <v>18.9801</v>
      </c>
      <c r="AD4474">
        <v>-1.1711</v>
      </c>
      <c r="AE4474">
        <v>-168.51498000000001</v>
      </c>
      <c r="AF4474">
        <v>-31.607982003660599</v>
      </c>
      <c r="AG4474">
        <v>-1.1711</v>
      </c>
      <c r="AH4474">
        <v>166.600526409297</v>
      </c>
      <c r="AI4474">
        <v>90.395689507123194</v>
      </c>
      <c r="AJ4474">
        <v>100.742658426774</v>
      </c>
      <c r="AK4474">
        <v>169.576447071546</v>
      </c>
      <c r="AL4474">
        <v>83.131928143403499</v>
      </c>
      <c r="AM4474">
        <v>99.493461915263893</v>
      </c>
      <c r="AN4474">
        <v>0.99999995848972401</v>
      </c>
    </row>
    <row r="4475" spans="1:40" x14ac:dyDescent="0.25">
      <c r="A4475" t="str">
        <f>"20190303161959434"</f>
        <v>20190303161959434</v>
      </c>
      <c r="B4475" t="str">
        <f>"1551601199426362"</f>
        <v>1551601199426362</v>
      </c>
      <c r="C4475" t="s">
        <v>40</v>
      </c>
      <c r="D4475">
        <v>4.3085889999999996</v>
      </c>
      <c r="E4475">
        <v>0.49940370000000001</v>
      </c>
      <c r="F4475" t="s">
        <v>63</v>
      </c>
      <c r="G4475">
        <v>-472.18040000000002</v>
      </c>
      <c r="H4475">
        <v>0.19226989999999999</v>
      </c>
      <c r="I4475">
        <v>64.450009999999907</v>
      </c>
      <c r="J4475">
        <v>-491.42489999999998</v>
      </c>
      <c r="K4475">
        <v>1.1210979999999999</v>
      </c>
      <c r="L4475">
        <v>254.1172</v>
      </c>
      <c r="M4475">
        <v>-7.5315480000000004E-2</v>
      </c>
      <c r="N4475">
        <v>-9.7971169999999993E-3</v>
      </c>
      <c r="O4475">
        <v>-0.99711139999999998</v>
      </c>
      <c r="P4475">
        <v>8.9712979999999998E-2</v>
      </c>
      <c r="Q4475">
        <v>0.110655</v>
      </c>
      <c r="R4475">
        <v>-0.98980140000000005</v>
      </c>
      <c r="S4475">
        <v>0.30459589999999998</v>
      </c>
      <c r="T4475">
        <v>-1.470661E-2</v>
      </c>
      <c r="U4475">
        <v>-3.0046840000000001</v>
      </c>
      <c r="V4475">
        <v>-0.16398979999999999</v>
      </c>
      <c r="W4475">
        <v>0.1202795</v>
      </c>
      <c r="X4475">
        <v>0.97910169999999996</v>
      </c>
      <c r="Y4475">
        <v>-0.17549149999999999</v>
      </c>
      <c r="Z4475">
        <v>-5.011382E-3</v>
      </c>
      <c r="AA4475">
        <v>0.98446820000000002</v>
      </c>
      <c r="AB4475">
        <v>17</v>
      </c>
      <c r="AC4475">
        <v>19.244499999999899</v>
      </c>
      <c r="AD4475">
        <v>-0.92882810000000005</v>
      </c>
      <c r="AE4475">
        <v>-189.66718999999901</v>
      </c>
      <c r="AF4475">
        <v>-33.474605313363398</v>
      </c>
      <c r="AG4475">
        <v>-0.92882810000000005</v>
      </c>
      <c r="AH4475">
        <v>187.67450322304501</v>
      </c>
      <c r="AI4475">
        <v>90.2791570023427</v>
      </c>
      <c r="AJ4475">
        <v>100.11322184577099</v>
      </c>
      <c r="AK4475">
        <v>190.638744966866</v>
      </c>
      <c r="AL4475">
        <v>83.091766245062004</v>
      </c>
      <c r="AM4475">
        <v>99.5082178387688</v>
      </c>
      <c r="AN4475">
        <v>0.99999997578358901</v>
      </c>
    </row>
    <row r="4476" spans="1:40" x14ac:dyDescent="0.25">
      <c r="A4476" t="str">
        <f>"20190303161959453"</f>
        <v>20190303161959453</v>
      </c>
      <c r="B4476" t="str">
        <f>"1551601199446859"</f>
        <v>1551601199446859</v>
      </c>
      <c r="C4476" t="s">
        <v>40</v>
      </c>
      <c r="D4476">
        <v>4.2147459999999999</v>
      </c>
      <c r="E4476">
        <v>0.50042900000000001</v>
      </c>
      <c r="F4476" t="s">
        <v>63</v>
      </c>
      <c r="G4476">
        <v>-474.27690000000001</v>
      </c>
      <c r="H4476">
        <v>5.2161930000000002E-2</v>
      </c>
      <c r="I4476">
        <v>64.450009999999907</v>
      </c>
      <c r="J4476">
        <v>-491.43560000000002</v>
      </c>
      <c r="K4476">
        <v>1.121094</v>
      </c>
      <c r="L4476">
        <v>253.97630000000001</v>
      </c>
      <c r="M4476">
        <v>-7.5400120000000001E-2</v>
      </c>
      <c r="N4476">
        <v>-9.8019019999999995E-3</v>
      </c>
      <c r="O4476">
        <v>-0.99710549999999998</v>
      </c>
      <c r="P4476">
        <v>9.0831969999999998E-2</v>
      </c>
      <c r="Q4476">
        <v>0.110628</v>
      </c>
      <c r="R4476">
        <v>-0.98970270000000005</v>
      </c>
      <c r="S4476">
        <v>0.27197270000000001</v>
      </c>
      <c r="T4476">
        <v>-1.6953349999999999E-2</v>
      </c>
      <c r="U4476">
        <v>-3.0081790000000002</v>
      </c>
      <c r="V4476">
        <v>-0.1651801</v>
      </c>
      <c r="W4476">
        <v>0.1202573</v>
      </c>
      <c r="X4476">
        <v>0.97890440000000001</v>
      </c>
      <c r="Y4476">
        <v>-0.16487170000000001</v>
      </c>
      <c r="Z4476">
        <v>-4.273794E-3</v>
      </c>
      <c r="AA4476">
        <v>0.98630580000000001</v>
      </c>
      <c r="AB4476">
        <v>17</v>
      </c>
      <c r="AC4476">
        <v>17.1587</v>
      </c>
      <c r="AD4476">
        <v>-1.06893207</v>
      </c>
      <c r="AE4476">
        <v>-189.52628999999999</v>
      </c>
      <c r="AF4476">
        <v>-31.399846991648399</v>
      </c>
      <c r="AG4476">
        <v>-1.06893207</v>
      </c>
      <c r="AH4476">
        <v>187.68697363525999</v>
      </c>
      <c r="AI4476">
        <v>90.321839847807794</v>
      </c>
      <c r="AJ4476">
        <v>99.497570615231993</v>
      </c>
      <c r="AK4476">
        <v>190.29843162578001</v>
      </c>
      <c r="AL4476">
        <v>83.093048054378897</v>
      </c>
      <c r="AM4476">
        <v>99.577852823409401</v>
      </c>
      <c r="AN4476">
        <v>1.0000000539893199</v>
      </c>
    </row>
    <row r="4477" spans="1:40" x14ac:dyDescent="0.25">
      <c r="A4477" t="str">
        <f>"20190303161959466"</f>
        <v>20190303161959466</v>
      </c>
      <c r="B4477" t="str">
        <f>"1551601199456620"</f>
        <v>1551601199456620</v>
      </c>
      <c r="C4477" t="s">
        <v>40</v>
      </c>
      <c r="D4477">
        <v>4.3294940000000004</v>
      </c>
      <c r="E4477">
        <v>0.50084529999999905</v>
      </c>
      <c r="F4477" t="s">
        <v>44</v>
      </c>
      <c r="G4477">
        <v>-475.2242</v>
      </c>
      <c r="H4477">
        <v>-0.05</v>
      </c>
      <c r="I4477">
        <v>71.810519999999997</v>
      </c>
      <c r="J4477">
        <v>-491.44299999999998</v>
      </c>
      <c r="K4477">
        <v>1.121089</v>
      </c>
      <c r="L4477">
        <v>253.87979999999999</v>
      </c>
      <c r="M4477">
        <v>-7.5461159999999999E-2</v>
      </c>
      <c r="N4477">
        <v>-9.8051200000000005E-3</v>
      </c>
      <c r="O4477">
        <v>-0.99710069999999995</v>
      </c>
      <c r="P4477">
        <v>9.1172459999999997E-2</v>
      </c>
      <c r="Q4477">
        <v>0.11046159999999999</v>
      </c>
      <c r="R4477">
        <v>-0.98969030000000002</v>
      </c>
      <c r="S4477">
        <v>0.26776119999999998</v>
      </c>
      <c r="T4477">
        <v>-1.934278E-2</v>
      </c>
      <c r="U4477">
        <v>-3.008804</v>
      </c>
      <c r="V4477">
        <v>-0.16557740000000001</v>
      </c>
      <c r="W4477">
        <v>0.1200949</v>
      </c>
      <c r="X4477">
        <v>0.97885719999999998</v>
      </c>
      <c r="Y4477">
        <v>-0.16354369999999999</v>
      </c>
      <c r="Z4477">
        <v>-3.4929330000000001E-3</v>
      </c>
      <c r="AA4477">
        <v>0.98652989999999996</v>
      </c>
      <c r="AB4477">
        <v>17</v>
      </c>
      <c r="AC4477">
        <v>16.218800000000002</v>
      </c>
      <c r="AD4477">
        <v>-1.171089</v>
      </c>
      <c r="AE4477">
        <v>-182.06927999999999</v>
      </c>
      <c r="AF4477">
        <v>-29.911141108613201</v>
      </c>
      <c r="AG4477">
        <v>-1.171089</v>
      </c>
      <c r="AH4477">
        <v>180.31875415695501</v>
      </c>
      <c r="AI4477">
        <v>90.367089034857898</v>
      </c>
      <c r="AJ4477">
        <v>99.418420736482901</v>
      </c>
      <c r="AK4477">
        <v>182.786489961873</v>
      </c>
      <c r="AL4477">
        <v>83.102420714178606</v>
      </c>
      <c r="AM4477">
        <v>99.600916015157907</v>
      </c>
      <c r="AN4477">
        <v>1.0000000391943</v>
      </c>
    </row>
    <row r="4478" spans="1:40" x14ac:dyDescent="0.25">
      <c r="A4478" t="str">
        <f>"20190303161959478"</f>
        <v>20190303161959478</v>
      </c>
      <c r="B4478" t="str">
        <f>"1551601199466378"</f>
        <v>1551601199466378</v>
      </c>
      <c r="C4478" t="s">
        <v>40</v>
      </c>
      <c r="D4478">
        <v>4.2728169999999999</v>
      </c>
      <c r="E4478">
        <v>0.50083480000000002</v>
      </c>
      <c r="F4478" t="s">
        <v>63</v>
      </c>
      <c r="G4478">
        <v>-474.7269</v>
      </c>
      <c r="H4478">
        <v>4.3186189999999999E-2</v>
      </c>
      <c r="I4478">
        <v>64.450009999999907</v>
      </c>
      <c r="J4478">
        <v>-491.4502</v>
      </c>
      <c r="K4478">
        <v>1.121089</v>
      </c>
      <c r="L4478">
        <v>253.78559999999999</v>
      </c>
      <c r="M4478">
        <v>-7.5525170000000003E-2</v>
      </c>
      <c r="N4478">
        <v>-9.8081230000000002E-3</v>
      </c>
      <c r="O4478">
        <v>-0.99709570000000003</v>
      </c>
      <c r="P4478">
        <v>9.1878349999999998E-2</v>
      </c>
      <c r="Q4478">
        <v>0.110378</v>
      </c>
      <c r="R4478">
        <v>-0.98963389999999996</v>
      </c>
      <c r="S4478">
        <v>0.26550289999999999</v>
      </c>
      <c r="T4478">
        <v>-1.7120119999999999E-2</v>
      </c>
      <c r="U4478">
        <v>-3.0087280000000001</v>
      </c>
      <c r="V4478">
        <v>-0.166339299999999</v>
      </c>
      <c r="W4478">
        <v>0.12001439999999999</v>
      </c>
      <c r="X4478">
        <v>0.97873779999999999</v>
      </c>
      <c r="Y4478">
        <v>-0.16287489999999999</v>
      </c>
      <c r="Z4478">
        <v>-4.2242069999999998E-3</v>
      </c>
      <c r="AA4478">
        <v>0.98663769999999995</v>
      </c>
      <c r="AB4478">
        <v>17</v>
      </c>
      <c r="AC4478">
        <v>16.723299999999899</v>
      </c>
      <c r="AD4478">
        <v>-1.0779028100000001</v>
      </c>
      <c r="AE4478">
        <v>-189.33559</v>
      </c>
      <c r="AF4478">
        <v>-30.974825619642399</v>
      </c>
      <c r="AG4478">
        <v>-1.0779028100000001</v>
      </c>
      <c r="AH4478">
        <v>187.52565409705599</v>
      </c>
      <c r="AI4478">
        <v>90.324931477018794</v>
      </c>
      <c r="AJ4478">
        <v>99.379227839974604</v>
      </c>
      <c r="AK4478">
        <v>190.06965207829401</v>
      </c>
      <c r="AL4478">
        <v>83.107066009297696</v>
      </c>
      <c r="AM4478">
        <v>99.645420902497904</v>
      </c>
      <c r="AN4478">
        <v>0.99999995004034303</v>
      </c>
    </row>
    <row r="4479" spans="1:40" x14ac:dyDescent="0.25">
      <c r="A4479" t="str">
        <f>"20190303161959496"</f>
        <v>20190303161959496</v>
      </c>
      <c r="B4479" t="str">
        <f>"1551601199486875"</f>
        <v>1551601199486875</v>
      </c>
      <c r="C4479" t="s">
        <v>40</v>
      </c>
      <c r="D4479">
        <v>4.3768409999999998</v>
      </c>
      <c r="E4479">
        <v>0.50117440000000002</v>
      </c>
      <c r="F4479" t="s">
        <v>63</v>
      </c>
      <c r="G4479">
        <v>-474.63060000000002</v>
      </c>
      <c r="H4479">
        <v>-2.5428320000000001E-2</v>
      </c>
      <c r="I4479">
        <v>64.450009999999907</v>
      </c>
      <c r="J4479">
        <v>-491.46019999999999</v>
      </c>
      <c r="K4479">
        <v>1.1210869999999999</v>
      </c>
      <c r="L4479">
        <v>253.65520000000001</v>
      </c>
      <c r="M4479">
        <v>-7.5616009999999997E-2</v>
      </c>
      <c r="N4479">
        <v>-9.8121839999999998E-3</v>
      </c>
      <c r="O4479">
        <v>-0.997089</v>
      </c>
      <c r="P4479">
        <v>9.3091279999999998E-2</v>
      </c>
      <c r="Q4479">
        <v>0.1105985</v>
      </c>
      <c r="R4479">
        <v>-0.9894963</v>
      </c>
      <c r="S4479">
        <v>0.26727289999999998</v>
      </c>
      <c r="T4479">
        <v>-1.8218519999999998E-2</v>
      </c>
      <c r="U4479">
        <v>-3.0086520000000001</v>
      </c>
      <c r="V4479">
        <v>-0.1676269</v>
      </c>
      <c r="W4479">
        <v>0.12023789999999999</v>
      </c>
      <c r="X4479">
        <v>0.97849070000000005</v>
      </c>
      <c r="Y4479">
        <v>-0.16354260000000001</v>
      </c>
      <c r="Z4479">
        <v>-3.8685859999999998E-3</v>
      </c>
      <c r="AA4479">
        <v>0.98652870000000004</v>
      </c>
      <c r="AB4479">
        <v>17</v>
      </c>
      <c r="AC4479">
        <v>16.8295999999999</v>
      </c>
      <c r="AD4479">
        <v>-1.14651532</v>
      </c>
      <c r="AE4479">
        <v>-189.20518999999999</v>
      </c>
      <c r="AF4479">
        <v>-31.087906357433202</v>
      </c>
      <c r="AG4479">
        <v>-1.14651532</v>
      </c>
      <c r="AH4479">
        <v>187.38397099620801</v>
      </c>
      <c r="AI4479">
        <v>90.345834812032095</v>
      </c>
      <c r="AJ4479">
        <v>99.419846823229406</v>
      </c>
      <c r="AK4479">
        <v>189.94874310027799</v>
      </c>
      <c r="AL4479">
        <v>83.094167273382197</v>
      </c>
      <c r="AM4479">
        <v>99.721073055906899</v>
      </c>
      <c r="AN4479">
        <v>0.99999999009325502</v>
      </c>
    </row>
    <row r="4480" spans="1:40" x14ac:dyDescent="0.25">
      <c r="A4480" t="str">
        <f>"20190303161959521"</f>
        <v>20190303161959521</v>
      </c>
      <c r="B4480" t="str">
        <f>"1551601199506395"</f>
        <v>1551601199506395</v>
      </c>
      <c r="C4480" t="s">
        <v>40</v>
      </c>
      <c r="D4480">
        <v>4.4077199999999896</v>
      </c>
      <c r="E4480">
        <v>0.50164370000000003</v>
      </c>
      <c r="F4480" t="s">
        <v>44</v>
      </c>
      <c r="G4480">
        <v>-475.88780000000003</v>
      </c>
      <c r="H4480">
        <v>-0.05</v>
      </c>
      <c r="I4480">
        <v>78.884640000000005</v>
      </c>
      <c r="J4480">
        <v>-491.47390000000001</v>
      </c>
      <c r="K4480">
        <v>1.121086</v>
      </c>
      <c r="L4480">
        <v>253.47569999999999</v>
      </c>
      <c r="M4480">
        <v>-7.5745080000000006E-2</v>
      </c>
      <c r="N4480">
        <v>-9.8175869999999991E-3</v>
      </c>
      <c r="O4480">
        <v>-0.99707900000000005</v>
      </c>
      <c r="P4480">
        <v>9.3986620000000007E-2</v>
      </c>
      <c r="Q4480">
        <v>0.1115246</v>
      </c>
      <c r="R4480">
        <v>-0.9893073</v>
      </c>
      <c r="S4480">
        <v>0.26809690000000003</v>
      </c>
      <c r="T4480">
        <v>-2.016163E-2</v>
      </c>
      <c r="U4480">
        <v>-3.0088810000000001</v>
      </c>
      <c r="V4480">
        <v>-0.1686317</v>
      </c>
      <c r="W4480">
        <v>0.1211675</v>
      </c>
      <c r="X4480">
        <v>0.97820339999999995</v>
      </c>
      <c r="Y4480">
        <v>-0.16393139999999901</v>
      </c>
      <c r="Z4480">
        <v>-3.2376290000000001E-3</v>
      </c>
      <c r="AA4480">
        <v>0.98646639999999997</v>
      </c>
      <c r="AB4480">
        <v>17</v>
      </c>
      <c r="AC4480">
        <v>15.586099999999901</v>
      </c>
      <c r="AD4480">
        <v>-1.1710860000000001</v>
      </c>
      <c r="AE4480">
        <v>-174.591059999999</v>
      </c>
      <c r="AF4480">
        <v>-28.7650858331201</v>
      </c>
      <c r="AG4480">
        <v>-1.1710860000000001</v>
      </c>
      <c r="AH4480">
        <v>172.901104336972</v>
      </c>
      <c r="AI4480">
        <v>90.382805921856502</v>
      </c>
      <c r="AJ4480">
        <v>99.445631221440294</v>
      </c>
      <c r="AK4480">
        <v>175.28146931820999</v>
      </c>
      <c r="AL4480">
        <v>83.040513267256699</v>
      </c>
      <c r="AM4480">
        <v>99.781038534076401</v>
      </c>
      <c r="AN4480">
        <v>1.0000000525363399</v>
      </c>
    </row>
    <row r="4481" spans="1:40" x14ac:dyDescent="0.25">
      <c r="A4481" t="str">
        <f>"20190303161959535"</f>
        <v>20190303161959535</v>
      </c>
      <c r="B4481" t="str">
        <f>"1551601199526891"</f>
        <v>1551601199526891</v>
      </c>
      <c r="C4481" t="s">
        <v>40</v>
      </c>
      <c r="D4481">
        <v>4.3835309999999996</v>
      </c>
      <c r="E4481">
        <v>0.50183670000000002</v>
      </c>
      <c r="F4481" t="s">
        <v>44</v>
      </c>
      <c r="G4481">
        <v>-475.64690000000002</v>
      </c>
      <c r="H4481">
        <v>-0.05</v>
      </c>
      <c r="I4481">
        <v>74.844480000000004</v>
      </c>
      <c r="J4481">
        <v>-491.48250000000002</v>
      </c>
      <c r="K4481">
        <v>1.1210880000000001</v>
      </c>
      <c r="L4481">
        <v>253.36449999999999</v>
      </c>
      <c r="M4481">
        <v>-7.5826370000000004E-2</v>
      </c>
      <c r="N4481">
        <v>-9.8208329999999993E-3</v>
      </c>
      <c r="O4481">
        <v>-0.99707279999999998</v>
      </c>
      <c r="P4481">
        <v>9.4488450000000002E-2</v>
      </c>
      <c r="Q4481">
        <v>0.1116458</v>
      </c>
      <c r="R4481">
        <v>-0.98924599999999996</v>
      </c>
      <c r="S4481">
        <v>0.26663209999999998</v>
      </c>
      <c r="T4481">
        <v>-1.9728780000000001E-2</v>
      </c>
      <c r="U4481">
        <v>-3.0093230000000002</v>
      </c>
      <c r="V4481">
        <v>-0.16920750000000001</v>
      </c>
      <c r="W4481">
        <v>0.1212906</v>
      </c>
      <c r="X4481">
        <v>0.97808870000000003</v>
      </c>
      <c r="Y4481">
        <v>-0.16352269999999999</v>
      </c>
      <c r="Z4481">
        <v>-3.3833579999999999E-3</v>
      </c>
      <c r="AA4481">
        <v>0.98653380000000002</v>
      </c>
      <c r="AB4481">
        <v>17</v>
      </c>
      <c r="AC4481">
        <v>15.835599999999999</v>
      </c>
      <c r="AD4481">
        <v>-1.1710879999999999</v>
      </c>
      <c r="AE4481">
        <v>-178.52001999999999</v>
      </c>
      <c r="AF4481">
        <v>-29.325929550377499</v>
      </c>
      <c r="AG4481">
        <v>-1.1710879999999999</v>
      </c>
      <c r="AH4481">
        <v>176.79765526052799</v>
      </c>
      <c r="AI4481">
        <v>90.3743998354052</v>
      </c>
      <c r="AJ4481">
        <v>99.418062985505401</v>
      </c>
      <c r="AK4481">
        <v>179.21716574234199</v>
      </c>
      <c r="AL4481">
        <v>83.033407707802894</v>
      </c>
      <c r="AM4481">
        <v>99.814916457466097</v>
      </c>
      <c r="AN4481">
        <v>1.00000004638614</v>
      </c>
    </row>
    <row r="4482" spans="1:40" x14ac:dyDescent="0.25">
      <c r="A4482" t="str">
        <f>"20190303161959549"</f>
        <v>20190303161959549</v>
      </c>
      <c r="B4482" t="str">
        <f>"1551601199536651"</f>
        <v>1551601199536651</v>
      </c>
      <c r="C4482" t="s">
        <v>40</v>
      </c>
      <c r="D4482">
        <v>4.4513290000000003</v>
      </c>
      <c r="E4482">
        <v>0.50196549999999995</v>
      </c>
      <c r="F4482" t="s">
        <v>44</v>
      </c>
      <c r="G4482">
        <v>-476.64780000000002</v>
      </c>
      <c r="H4482">
        <v>-0.05</v>
      </c>
      <c r="I4482">
        <v>85.788579999999996</v>
      </c>
      <c r="J4482">
        <v>-491.49040000000002</v>
      </c>
      <c r="K4482">
        <v>1.121084</v>
      </c>
      <c r="L4482">
        <v>253.26079999999999</v>
      </c>
      <c r="M4482">
        <v>-7.5902380000000005E-2</v>
      </c>
      <c r="N4482">
        <v>-9.8238219999999994E-3</v>
      </c>
      <c r="O4482">
        <v>-0.99706709999999998</v>
      </c>
      <c r="P4482">
        <v>9.4379779999999996E-2</v>
      </c>
      <c r="Q4482">
        <v>0.1118193</v>
      </c>
      <c r="R4482">
        <v>-0.98923689999999997</v>
      </c>
      <c r="S4482">
        <v>0.2664185</v>
      </c>
      <c r="T4482">
        <v>-2.1031859999999999E-2</v>
      </c>
      <c r="U4482">
        <v>-3.0095369999999999</v>
      </c>
      <c r="V4482">
        <v>-0.16917309999999999</v>
      </c>
      <c r="W4482">
        <v>0.1214667</v>
      </c>
      <c r="X4482">
        <v>0.97807279999999996</v>
      </c>
      <c r="Y4482">
        <v>-0.163522</v>
      </c>
      <c r="Z4482">
        <v>-2.9595189999999999E-3</v>
      </c>
      <c r="AA4482">
        <v>0.9865353</v>
      </c>
      <c r="AB4482">
        <v>17</v>
      </c>
      <c r="AC4482">
        <v>14.842599999999999</v>
      </c>
      <c r="AD4482">
        <v>-1.171084</v>
      </c>
      <c r="AE4482">
        <v>-167.47221999999999</v>
      </c>
      <c r="AF4482">
        <v>-27.510594466099501</v>
      </c>
      <c r="AG4482">
        <v>-1.171084</v>
      </c>
      <c r="AH4482">
        <v>165.854369139738</v>
      </c>
      <c r="AI4482">
        <v>90.399101138869597</v>
      </c>
      <c r="AJ4482">
        <v>99.418015541917697</v>
      </c>
      <c r="AK4482">
        <v>168.124584782695</v>
      </c>
      <c r="AL4482">
        <v>83.023242786815899</v>
      </c>
      <c r="AM4482">
        <v>99.813116296583303</v>
      </c>
      <c r="AN4482">
        <v>1.0000000495361601</v>
      </c>
    </row>
    <row r="4483" spans="1:40" x14ac:dyDescent="0.25">
      <c r="A4483" t="str">
        <f>"20190303161959566"</f>
        <v>20190303161959566</v>
      </c>
      <c r="B4483" t="str">
        <f>"1551601199557146"</f>
        <v>1551601199557146</v>
      </c>
      <c r="C4483" t="s">
        <v>40</v>
      </c>
      <c r="D4483">
        <v>4.4449009999999998</v>
      </c>
      <c r="E4483">
        <v>0.50224519999999995</v>
      </c>
      <c r="F4483" t="s">
        <v>44</v>
      </c>
      <c r="G4483">
        <v>-477.08179999999999</v>
      </c>
      <c r="H4483">
        <v>-0.05</v>
      </c>
      <c r="I4483">
        <v>89.75076</v>
      </c>
      <c r="J4483">
        <v>-491.50009999999997</v>
      </c>
      <c r="K4483">
        <v>1.1210850000000001</v>
      </c>
      <c r="L4483">
        <v>253.1354</v>
      </c>
      <c r="M4483">
        <v>-7.5994290000000006E-2</v>
      </c>
      <c r="N4483">
        <v>-9.8274160000000003E-3</v>
      </c>
      <c r="O4483">
        <v>-0.99705969999999999</v>
      </c>
      <c r="P4483">
        <v>9.5178890000000002E-2</v>
      </c>
      <c r="Q4483">
        <v>0.1116827</v>
      </c>
      <c r="R4483">
        <v>-0.98917540000000004</v>
      </c>
      <c r="S4483">
        <v>0.26522829999999997</v>
      </c>
      <c r="T4483">
        <v>-2.1556849999999999E-2</v>
      </c>
      <c r="U4483">
        <v>-3.009827</v>
      </c>
      <c r="V4483">
        <v>-0.17005590000000001</v>
      </c>
      <c r="W4483">
        <v>0.1213318</v>
      </c>
      <c r="X4483">
        <v>0.97793640000000004</v>
      </c>
      <c r="Y4483">
        <v>-0.16321739999999901</v>
      </c>
      <c r="Z4483">
        <v>-2.7912990000000001E-3</v>
      </c>
      <c r="AA4483">
        <v>0.98658619999999997</v>
      </c>
      <c r="AB4483">
        <v>17</v>
      </c>
      <c r="AC4483">
        <v>14.418299999999901</v>
      </c>
      <c r="AD4483">
        <v>-1.1710849999999999</v>
      </c>
      <c r="AE4483">
        <v>-163.38463999999999</v>
      </c>
      <c r="AF4483">
        <v>-26.792136907258801</v>
      </c>
      <c r="AG4483">
        <v>-1.1710849999999999</v>
      </c>
      <c r="AH4483">
        <v>161.808116892616</v>
      </c>
      <c r="AI4483">
        <v>90.409100556908001</v>
      </c>
      <c r="AJ4483">
        <v>99.401715273645806</v>
      </c>
      <c r="AK4483">
        <v>164.01541614271801</v>
      </c>
      <c r="AL4483">
        <v>83.031029293605997</v>
      </c>
      <c r="AM4483">
        <v>99.864669817938903</v>
      </c>
      <c r="AN4483">
        <v>1.0000000086305001</v>
      </c>
    </row>
    <row r="4484" spans="1:40" x14ac:dyDescent="0.25">
      <c r="A4484" t="str">
        <f>"20190303161959586"</f>
        <v>20190303161959586</v>
      </c>
      <c r="B4484" t="str">
        <f>"1551601199576667"</f>
        <v>1551601199576667</v>
      </c>
      <c r="C4484" t="s">
        <v>40</v>
      </c>
      <c r="D4484">
        <v>4.4896560000000001</v>
      </c>
      <c r="E4484">
        <v>0.5023611</v>
      </c>
      <c r="F4484" t="s">
        <v>62</v>
      </c>
      <c r="G4484">
        <v>-480.31799999999998</v>
      </c>
      <c r="H4484">
        <v>7.9986570000000007E-2</v>
      </c>
      <c r="I4484">
        <v>126.38979999999999</v>
      </c>
      <c r="J4484">
        <v>-491.51150000000001</v>
      </c>
      <c r="K4484">
        <v>1.121092</v>
      </c>
      <c r="L4484">
        <v>252.98679999999999</v>
      </c>
      <c r="M4484">
        <v>-7.6102089999999997E-2</v>
      </c>
      <c r="N4484">
        <v>-9.8315260000000002E-3</v>
      </c>
      <c r="O4484">
        <v>-0.99705180000000004</v>
      </c>
      <c r="P4484">
        <v>9.5566369999999998E-2</v>
      </c>
      <c r="Q4484">
        <v>0.1114424</v>
      </c>
      <c r="R4484">
        <v>-0.98916550000000003</v>
      </c>
      <c r="S4484">
        <v>0.26556400000000002</v>
      </c>
      <c r="T4484">
        <v>-2.472508E-2</v>
      </c>
      <c r="U4484">
        <v>-3.0100859999999998</v>
      </c>
      <c r="V4484">
        <v>-0.1705477</v>
      </c>
      <c r="W4484">
        <v>0.1210941</v>
      </c>
      <c r="X4484">
        <v>0.97788019999999998</v>
      </c>
      <c r="Y4484">
        <v>-0.16342509999999999</v>
      </c>
      <c r="Z4484">
        <v>-1.7575620000000001E-3</v>
      </c>
      <c r="AA4484">
        <v>0.98655409999999999</v>
      </c>
      <c r="AB4484">
        <v>17</v>
      </c>
      <c r="AC4484">
        <v>11.193499999999901</v>
      </c>
      <c r="AD4484">
        <v>-1.04110543</v>
      </c>
      <c r="AE4484">
        <v>-126.59699999999999</v>
      </c>
      <c r="AF4484">
        <v>-20.794400278542</v>
      </c>
      <c r="AG4484">
        <v>-1.04110543</v>
      </c>
      <c r="AH4484">
        <v>125.369534518804</v>
      </c>
      <c r="AI4484">
        <v>90.469377581607503</v>
      </c>
      <c r="AJ4484">
        <v>99.417617886243605</v>
      </c>
      <c r="AK4484">
        <v>127.08662860003101</v>
      </c>
      <c r="AL4484">
        <v>83.044749552917693</v>
      </c>
      <c r="AM4484">
        <v>99.893192834875407</v>
      </c>
      <c r="AN4484">
        <v>0.99999999229106995</v>
      </c>
    </row>
    <row r="4485" spans="1:40" x14ac:dyDescent="0.25">
      <c r="A4485" t="str">
        <f>"20190303161959599"</f>
        <v>20190303161959599</v>
      </c>
      <c r="B4485" t="str">
        <f>"1551601199586427"</f>
        <v>1551601199586427</v>
      </c>
      <c r="C4485" t="s">
        <v>40</v>
      </c>
      <c r="D4485">
        <v>4.4444140000000001</v>
      </c>
      <c r="E4485">
        <v>0.5023782</v>
      </c>
      <c r="F4485" t="s">
        <v>62</v>
      </c>
      <c r="G4485">
        <v>-480.57240000000002</v>
      </c>
      <c r="H4485">
        <v>7.9986570000000007E-2</v>
      </c>
      <c r="I4485">
        <v>128.76779999999999</v>
      </c>
      <c r="J4485">
        <v>-491.51929999999999</v>
      </c>
      <c r="K4485">
        <v>1.121092</v>
      </c>
      <c r="L4485">
        <v>252.8862</v>
      </c>
      <c r="M4485">
        <v>-7.6174320000000004E-2</v>
      </c>
      <c r="N4485">
        <v>-9.834242E-3</v>
      </c>
      <c r="O4485">
        <v>-0.99704610000000005</v>
      </c>
      <c r="P4485">
        <v>9.5627429999999999E-2</v>
      </c>
      <c r="Q4485">
        <v>0.1116259</v>
      </c>
      <c r="R4485">
        <v>-0.98913870000000004</v>
      </c>
      <c r="S4485">
        <v>0.26507570000000003</v>
      </c>
      <c r="T4485">
        <v>-2.522802E-2</v>
      </c>
      <c r="U4485">
        <v>-3.0100709999999999</v>
      </c>
      <c r="V4485">
        <v>-0.17067760000000001</v>
      </c>
      <c r="W4485">
        <v>0.1212797</v>
      </c>
      <c r="X4485">
        <v>0.97783450000000005</v>
      </c>
      <c r="Y4485">
        <v>-0.16333819999999999</v>
      </c>
      <c r="Z4485">
        <v>-1.595263E-3</v>
      </c>
      <c r="AA4485">
        <v>0.98656889999999997</v>
      </c>
      <c r="AB4485">
        <v>17</v>
      </c>
      <c r="AC4485">
        <v>10.9468999999999</v>
      </c>
      <c r="AD4485">
        <v>-1.04110543</v>
      </c>
      <c r="AE4485">
        <v>-124.11839999999999</v>
      </c>
      <c r="AF4485">
        <v>-20.368759984572801</v>
      </c>
      <c r="AG4485">
        <v>-1.04110543</v>
      </c>
      <c r="AH4485">
        <v>122.91524673866201</v>
      </c>
      <c r="AI4485">
        <v>90.478761025020702</v>
      </c>
      <c r="AJ4485">
        <v>99.409197665974105</v>
      </c>
      <c r="AK4485">
        <v>124.595859339914</v>
      </c>
      <c r="AL4485">
        <v>83.034036265306199</v>
      </c>
      <c r="AM4485">
        <v>99.901032627885996</v>
      </c>
      <c r="AN4485">
        <v>0.99999995908204897</v>
      </c>
    </row>
    <row r="4486" spans="1:40" x14ac:dyDescent="0.25">
      <c r="A4486" t="str">
        <f>"20190303161959612"</f>
        <v>20190303161959612</v>
      </c>
      <c r="B4486" t="str">
        <f>"1551601199606923"</f>
        <v>1551601199606923</v>
      </c>
      <c r="C4486" t="s">
        <v>40</v>
      </c>
      <c r="D4486">
        <v>4.494014</v>
      </c>
      <c r="E4486">
        <v>0.50241409999999997</v>
      </c>
      <c r="F4486" t="s">
        <v>62</v>
      </c>
      <c r="G4486">
        <v>-480.6404</v>
      </c>
      <c r="H4486">
        <v>6.3714560000000003E-2</v>
      </c>
      <c r="I4486">
        <v>129.60249999999999</v>
      </c>
      <c r="J4486">
        <v>-491.52710000000002</v>
      </c>
      <c r="K4486">
        <v>1.1210910000000001</v>
      </c>
      <c r="L4486">
        <v>252.78550000000001</v>
      </c>
      <c r="M4486">
        <v>-7.62462E-2</v>
      </c>
      <c r="N4486">
        <v>-9.8369430000000008E-3</v>
      </c>
      <c r="O4486">
        <v>-0.99704060000000005</v>
      </c>
      <c r="P4486">
        <v>9.5483849999999995E-2</v>
      </c>
      <c r="Q4486">
        <v>0.11153100000000001</v>
      </c>
      <c r="R4486">
        <v>-0.98916340000000003</v>
      </c>
      <c r="S4486">
        <v>0.265625</v>
      </c>
      <c r="T4486">
        <v>-2.5817389999999999E-2</v>
      </c>
      <c r="U4486">
        <v>-3.0101469999999999</v>
      </c>
      <c r="V4486">
        <v>-0.17060729999999999</v>
      </c>
      <c r="W4486">
        <v>0.1211874</v>
      </c>
      <c r="X4486">
        <v>0.97785820000000001</v>
      </c>
      <c r="Y4486">
        <v>-0.1635856</v>
      </c>
      <c r="Z4486">
        <v>-1.4053570000000001E-3</v>
      </c>
      <c r="AA4486">
        <v>0.98652819999999997</v>
      </c>
      <c r="AB4486">
        <v>17</v>
      </c>
      <c r="AC4486">
        <v>10.886699999999999</v>
      </c>
      <c r="AD4486">
        <v>-1.0573764400000001</v>
      </c>
      <c r="AE4486">
        <v>-123.18300000000001</v>
      </c>
      <c r="AF4486">
        <v>-20.246214918765101</v>
      </c>
      <c r="AG4486">
        <v>-1.0573764400000001</v>
      </c>
      <c r="AH4486">
        <v>121.985354295831</v>
      </c>
      <c r="AI4486">
        <v>90.489929019082496</v>
      </c>
      <c r="AJ4486">
        <v>99.423620299402501</v>
      </c>
      <c r="AK4486">
        <v>123.65861848715601</v>
      </c>
      <c r="AL4486">
        <v>83.039363885636504</v>
      </c>
      <c r="AM4486">
        <v>99.896800040874098</v>
      </c>
      <c r="AN4486">
        <v>0.99999994801964298</v>
      </c>
    </row>
    <row r="4487" spans="1:40" x14ac:dyDescent="0.25">
      <c r="A4487" t="str">
        <f>"20190303161959625"</f>
        <v>20190303161959625</v>
      </c>
      <c r="B4487" t="str">
        <f>"1551601199616683"</f>
        <v>1551601199616683</v>
      </c>
      <c r="C4487" t="s">
        <v>40</v>
      </c>
      <c r="D4487">
        <v>4.4933610000000002</v>
      </c>
      <c r="E4487">
        <v>0.50240370000000001</v>
      </c>
      <c r="F4487" t="s">
        <v>62</v>
      </c>
      <c r="G4487">
        <v>-480.69029999999998</v>
      </c>
      <c r="H4487">
        <v>2.280958E-3</v>
      </c>
      <c r="I4487">
        <v>129.6163</v>
      </c>
      <c r="J4487">
        <v>-491.53469999999999</v>
      </c>
      <c r="K4487">
        <v>1.1210929999999999</v>
      </c>
      <c r="L4487">
        <v>252.68719999999999</v>
      </c>
      <c r="M4487">
        <v>-7.6315889999999997E-2</v>
      </c>
      <c r="N4487">
        <v>-9.8395559999999993E-3</v>
      </c>
      <c r="O4487">
        <v>-0.99703509999999995</v>
      </c>
      <c r="P4487">
        <v>9.5385070000000002E-2</v>
      </c>
      <c r="Q4487">
        <v>0.1116311</v>
      </c>
      <c r="R4487">
        <v>-0.98916139999999997</v>
      </c>
      <c r="S4487">
        <v>0.26486209999999999</v>
      </c>
      <c r="T4487">
        <v>-2.7344819999999999E-2</v>
      </c>
      <c r="U4487">
        <v>-3.0103759999999999</v>
      </c>
      <c r="V4487">
        <v>-0.1705776</v>
      </c>
      <c r="W4487">
        <v>0.1212896</v>
      </c>
      <c r="X4487">
        <v>0.97785069999999996</v>
      </c>
      <c r="Y4487">
        <v>-0.16339960000000001</v>
      </c>
      <c r="Z4487">
        <v>-9.0764640000000005E-4</v>
      </c>
      <c r="AA4487">
        <v>0.98655959999999998</v>
      </c>
      <c r="AB4487">
        <v>17</v>
      </c>
      <c r="AC4487">
        <v>10.8444</v>
      </c>
      <c r="AD4487">
        <v>-1.1188120420000001</v>
      </c>
      <c r="AE4487">
        <v>-123.07089999999999</v>
      </c>
      <c r="AF4487">
        <v>-20.2038347956656</v>
      </c>
      <c r="AG4487">
        <v>-1.1188120420000001</v>
      </c>
      <c r="AH4487">
        <v>121.87431774112601</v>
      </c>
      <c r="AI4487">
        <v>90.518882054749298</v>
      </c>
      <c r="AJ4487">
        <v>99.412661873364499</v>
      </c>
      <c r="AK4487">
        <v>123.542689001417</v>
      </c>
      <c r="AL4487">
        <v>83.033464671547407</v>
      </c>
      <c r="AM4487">
        <v>99.895185617437093</v>
      </c>
      <c r="AN4487">
        <v>0.99999993809020304</v>
      </c>
    </row>
    <row r="4488" spans="1:40" x14ac:dyDescent="0.25">
      <c r="A4488" t="str">
        <f>"20190303161959638"</f>
        <v>20190303161959638</v>
      </c>
      <c r="B4488" t="str">
        <f>"1551601199626444"</f>
        <v>1551601199626444</v>
      </c>
      <c r="C4488" t="s">
        <v>40</v>
      </c>
      <c r="D4488">
        <v>4.5588620000000004</v>
      </c>
      <c r="E4488">
        <v>0.50251970000000001</v>
      </c>
      <c r="F4488" t="s">
        <v>62</v>
      </c>
      <c r="G4488">
        <v>-480.73840000000001</v>
      </c>
      <c r="H4488" s="1">
        <v>-1.187698E-5</v>
      </c>
      <c r="I4488">
        <v>129.94829999999999</v>
      </c>
      <c r="J4488">
        <v>-491.54219999999998</v>
      </c>
      <c r="K4488">
        <v>1.121097</v>
      </c>
      <c r="L4488">
        <v>252.58959999999999</v>
      </c>
      <c r="M4488">
        <v>-7.6383789999999993E-2</v>
      </c>
      <c r="N4488">
        <v>-9.8421059999999998E-3</v>
      </c>
      <c r="O4488">
        <v>-0.99702990000000002</v>
      </c>
      <c r="P4488">
        <v>9.5219300000000007E-2</v>
      </c>
      <c r="Q4488">
        <v>0.1115691</v>
      </c>
      <c r="R4488">
        <v>-0.98918439999999996</v>
      </c>
      <c r="S4488">
        <v>0.26480100000000001</v>
      </c>
      <c r="T4488">
        <v>-2.7497529999999999E-2</v>
      </c>
      <c r="U4488">
        <v>-3.010437</v>
      </c>
      <c r="V4488">
        <v>-0.17048099999999999</v>
      </c>
      <c r="W4488">
        <v>0.1212295</v>
      </c>
      <c r="X4488">
        <v>0.9778751</v>
      </c>
      <c r="Y4488">
        <v>-0.16344510000000001</v>
      </c>
      <c r="Z4488">
        <v>-8.6044279999999995E-4</v>
      </c>
      <c r="AA4488">
        <v>0.98655210000000004</v>
      </c>
      <c r="AB4488">
        <v>17</v>
      </c>
      <c r="AC4488">
        <v>10.803799999999899</v>
      </c>
      <c r="AD4488">
        <v>-1.1211088769799999</v>
      </c>
      <c r="AE4488">
        <v>-122.6413</v>
      </c>
      <c r="AF4488">
        <v>-20.138824787053</v>
      </c>
      <c r="AG4488">
        <v>-1.1211088769799999</v>
      </c>
      <c r="AH4488">
        <v>121.44762179116699</v>
      </c>
      <c r="AI4488">
        <v>90.521769941657695</v>
      </c>
      <c r="AJ4488">
        <v>99.415290944887701</v>
      </c>
      <c r="AK4488">
        <v>123.111144855565</v>
      </c>
      <c r="AL4488">
        <v>83.036934439929396</v>
      </c>
      <c r="AM4488">
        <v>99.889450639504702</v>
      </c>
      <c r="AN4488">
        <v>1.0000000371156199</v>
      </c>
    </row>
    <row r="4489" spans="1:40" x14ac:dyDescent="0.25">
      <c r="A4489" t="str">
        <f>"20190303161959654"</f>
        <v>20190303161959654</v>
      </c>
      <c r="B4489" t="str">
        <f>"1551601199646940"</f>
        <v>1551601199646940</v>
      </c>
      <c r="C4489" t="s">
        <v>40</v>
      </c>
      <c r="D4489">
        <v>4.5284440000000004</v>
      </c>
      <c r="E4489">
        <v>0.50257079999999998</v>
      </c>
      <c r="F4489" t="s">
        <v>62</v>
      </c>
      <c r="G4489">
        <v>-481.0172</v>
      </c>
      <c r="H4489" s="1">
        <v>-1.154948E-5</v>
      </c>
      <c r="I4489">
        <v>132.20439999999999</v>
      </c>
      <c r="J4489">
        <v>-491.55160000000001</v>
      </c>
      <c r="K4489">
        <v>1.121097</v>
      </c>
      <c r="L4489">
        <v>252.4683</v>
      </c>
      <c r="M4489">
        <v>-7.6467419999999994E-2</v>
      </c>
      <c r="N4489">
        <v>-9.8452060000000004E-3</v>
      </c>
      <c r="O4489">
        <v>-0.99702369999999996</v>
      </c>
      <c r="P4489">
        <v>9.5051179999999999E-2</v>
      </c>
      <c r="Q4489">
        <v>0.111460199999999</v>
      </c>
      <c r="R4489">
        <v>-0.98921300000000001</v>
      </c>
      <c r="S4489">
        <v>0.26321409999999901</v>
      </c>
      <c r="T4489">
        <v>-2.8037070000000001E-2</v>
      </c>
      <c r="U4489">
        <v>-3.0106350000000002</v>
      </c>
      <c r="V4489">
        <v>-0.1703974</v>
      </c>
      <c r="W4489">
        <v>0.121124</v>
      </c>
      <c r="X4489">
        <v>0.97790270000000001</v>
      </c>
      <c r="Y4489">
        <v>-0.16300599999999901</v>
      </c>
      <c r="Z4489">
        <v>-6.8665389999999897E-4</v>
      </c>
      <c r="AA4489">
        <v>0.98662479999999997</v>
      </c>
      <c r="AB4489">
        <v>17</v>
      </c>
      <c r="AC4489">
        <v>10.5344</v>
      </c>
      <c r="AD4489">
        <v>-1.1211085494799999</v>
      </c>
      <c r="AE4489">
        <v>-120.26390000000001</v>
      </c>
      <c r="AF4489">
        <v>-19.698568144200099</v>
      </c>
      <c r="AG4489">
        <v>-1.1211085494799999</v>
      </c>
      <c r="AH4489">
        <v>119.09589495872601</v>
      </c>
      <c r="AI4489">
        <v>90.532108540532604</v>
      </c>
      <c r="AJ4489">
        <v>99.391744720658494</v>
      </c>
      <c r="AK4489">
        <v>120.719189308624</v>
      </c>
      <c r="AL4489">
        <v>83.043023717336595</v>
      </c>
      <c r="AM4489">
        <v>99.884423275873402</v>
      </c>
      <c r="AN4489">
        <v>0.99999999398502404</v>
      </c>
    </row>
    <row r="4490" spans="1:40" x14ac:dyDescent="0.25">
      <c r="A4490" t="str">
        <f>"20190303161959667"</f>
        <v>20190303161959667</v>
      </c>
      <c r="B4490" t="str">
        <f>"1551601199656699"</f>
        <v>1551601199656699</v>
      </c>
      <c r="C4490" t="s">
        <v>40</v>
      </c>
      <c r="D4490">
        <v>4.5018979999999997</v>
      </c>
      <c r="E4490">
        <v>0.50258119999999995</v>
      </c>
      <c r="F4490" t="s">
        <v>62</v>
      </c>
      <c r="G4490">
        <v>-481.33960000000002</v>
      </c>
      <c r="H4490" s="1">
        <v>-1.1065400000000001E-5</v>
      </c>
      <c r="I4490">
        <v>135.376</v>
      </c>
      <c r="J4490">
        <v>-491.55880000000002</v>
      </c>
      <c r="K4490">
        <v>1.1210990000000001</v>
      </c>
      <c r="L4490">
        <v>252.3751</v>
      </c>
      <c r="M4490">
        <v>-7.6531089999999996E-2</v>
      </c>
      <c r="N4490">
        <v>-9.8478509999999995E-3</v>
      </c>
      <c r="O4490">
        <v>-0.99701850000000003</v>
      </c>
      <c r="P4490">
        <v>9.5122579999999998E-2</v>
      </c>
      <c r="Q4490">
        <v>0.11140170000000001</v>
      </c>
      <c r="R4490">
        <v>-0.98921239999999999</v>
      </c>
      <c r="S4490">
        <v>0.26257320000000001</v>
      </c>
      <c r="T4490">
        <v>-2.882612E-2</v>
      </c>
      <c r="U4490">
        <v>-3.0106959999999998</v>
      </c>
      <c r="V4490">
        <v>-0.1705315</v>
      </c>
      <c r="W4490">
        <v>0.1210681</v>
      </c>
      <c r="X4490">
        <v>0.97788629999999999</v>
      </c>
      <c r="Y4490">
        <v>-0.1628587</v>
      </c>
      <c r="Z4490">
        <v>-4.3065099999999999E-4</v>
      </c>
      <c r="AA4490">
        <v>0.98664929999999995</v>
      </c>
      <c r="AB4490">
        <v>17</v>
      </c>
      <c r="AC4490">
        <v>10.219200000000001</v>
      </c>
      <c r="AD4490">
        <v>-1.1211100653999999</v>
      </c>
      <c r="AE4490">
        <v>-116.9991</v>
      </c>
      <c r="AF4490">
        <v>-19.141985299502799</v>
      </c>
      <c r="AG4490">
        <v>-1.1211100653999999</v>
      </c>
      <c r="AH4490">
        <v>115.863248773028</v>
      </c>
      <c r="AI4490">
        <v>90.546971136051297</v>
      </c>
      <c r="AJ4490">
        <v>99.381202847256304</v>
      </c>
      <c r="AK4490">
        <v>117.439196630536</v>
      </c>
      <c r="AL4490">
        <v>83.046250663671401</v>
      </c>
      <c r="AM4490">
        <v>99.892211175808399</v>
      </c>
      <c r="AN4490">
        <v>1.0000000465287699</v>
      </c>
    </row>
    <row r="4491" spans="1:40" x14ac:dyDescent="0.25">
      <c r="A4491" t="str">
        <f>"20190303161959679"</f>
        <v>20190303161959679</v>
      </c>
      <c r="B4491" t="str">
        <f>"1551601199666459"</f>
        <v>1551601199666459</v>
      </c>
      <c r="C4491" t="s">
        <v>40</v>
      </c>
      <c r="D4491">
        <v>4.5888499999999999</v>
      </c>
      <c r="E4491">
        <v>0.50272950000000005</v>
      </c>
      <c r="F4491" t="s">
        <v>62</v>
      </c>
      <c r="G4491">
        <v>-481.49430000000001</v>
      </c>
      <c r="H4491" s="1">
        <v>-1.08420899999999E-5</v>
      </c>
      <c r="I4491">
        <v>136.84989999999999</v>
      </c>
      <c r="J4491">
        <v>-491.56630000000001</v>
      </c>
      <c r="K4491">
        <v>1.1210979999999999</v>
      </c>
      <c r="L4491">
        <v>252.27869999999999</v>
      </c>
      <c r="M4491">
        <v>-7.6596739999999996E-2</v>
      </c>
      <c r="N4491">
        <v>-9.8525120000000008E-3</v>
      </c>
      <c r="O4491">
        <v>-0.99701340000000005</v>
      </c>
      <c r="P4491">
        <v>9.4847769999999998E-2</v>
      </c>
      <c r="Q4491">
        <v>0.1119087</v>
      </c>
      <c r="R4491">
        <v>-0.98918170000000005</v>
      </c>
      <c r="S4491">
        <v>0.26229859999999999</v>
      </c>
      <c r="T4491">
        <v>-2.921808E-2</v>
      </c>
      <c r="U4491">
        <v>-3.0107879999999998</v>
      </c>
      <c r="V4491">
        <v>-0.17031930000000001</v>
      </c>
      <c r="W4491">
        <v>0.1215793</v>
      </c>
      <c r="X4491">
        <v>0.97785979999999995</v>
      </c>
      <c r="Y4491">
        <v>-0.16283159999999999</v>
      </c>
      <c r="Z4491">
        <v>-3.0713179999999999E-4</v>
      </c>
      <c r="AA4491">
        <v>0.98665380000000003</v>
      </c>
      <c r="AB4491">
        <v>17</v>
      </c>
      <c r="AC4491">
        <v>10.071999999999999</v>
      </c>
      <c r="AD4491">
        <v>-1.1211088420899999</v>
      </c>
      <c r="AE4491">
        <v>-115.4288</v>
      </c>
      <c r="AF4491">
        <v>-18.882538930631199</v>
      </c>
      <c r="AG4491">
        <v>-1.1211088420899999</v>
      </c>
      <c r="AH4491">
        <v>114.307433528488</v>
      </c>
      <c r="AI4491">
        <v>90.554416659955706</v>
      </c>
      <c r="AJ4491">
        <v>99.380028307770601</v>
      </c>
      <c r="AK4491">
        <v>115.86197185173501</v>
      </c>
      <c r="AL4491">
        <v>83.016742688017501</v>
      </c>
      <c r="AM4491">
        <v>99.880407047261897</v>
      </c>
      <c r="AN4491">
        <v>0.99999998929850897</v>
      </c>
    </row>
    <row r="4492" spans="1:40" x14ac:dyDescent="0.25">
      <c r="A4492" t="str">
        <f>"20190303161959691"</f>
        <v>20190303161959691</v>
      </c>
      <c r="B4492" t="str">
        <f>"1551601199686955"</f>
        <v>1551601199686955</v>
      </c>
      <c r="C4492" t="s">
        <v>40</v>
      </c>
      <c r="D4492">
        <v>4.4386749999999999</v>
      </c>
      <c r="E4492">
        <v>0.50267059999999997</v>
      </c>
      <c r="F4492" t="s">
        <v>62</v>
      </c>
      <c r="G4492">
        <v>-481.26069999999999</v>
      </c>
      <c r="H4492" s="1">
        <v>-1.1461820000000001E-5</v>
      </c>
      <c r="I4492">
        <v>133.11600000000001</v>
      </c>
      <c r="J4492">
        <v>-491.57369999999997</v>
      </c>
      <c r="K4492">
        <v>1.1210990000000001</v>
      </c>
      <c r="L4492">
        <v>252.18350000000001</v>
      </c>
      <c r="M4492">
        <v>-7.6661460000000001E-2</v>
      </c>
      <c r="N4492">
        <v>-9.8587810000000005E-3</v>
      </c>
      <c r="O4492">
        <v>-0.99700840000000002</v>
      </c>
      <c r="P4492">
        <v>9.4401579999999999E-2</v>
      </c>
      <c r="Q4492">
        <v>0.11210870000000001</v>
      </c>
      <c r="R4492">
        <v>-0.98920180000000002</v>
      </c>
      <c r="S4492">
        <v>0.26040649999999999</v>
      </c>
      <c r="T4492">
        <v>-2.8328780000000001E-2</v>
      </c>
      <c r="U4492">
        <v>-3.011063</v>
      </c>
      <c r="V4492">
        <v>-0.16994010000000001</v>
      </c>
      <c r="W4492">
        <v>0.121785199999999</v>
      </c>
      <c r="X4492">
        <v>0.97790010000000005</v>
      </c>
      <c r="Y4492">
        <v>-0.16227279999999999</v>
      </c>
      <c r="Z4492">
        <v>-6.0496050000000004E-4</v>
      </c>
      <c r="AA4492">
        <v>0.98674580000000001</v>
      </c>
      <c r="AB4492">
        <v>17</v>
      </c>
      <c r="AC4492">
        <v>10.312999999999899</v>
      </c>
      <c r="AD4492">
        <v>-1.1211104618200001</v>
      </c>
      <c r="AE4492">
        <v>-119.0675</v>
      </c>
      <c r="AF4492">
        <v>-19.409272158276</v>
      </c>
      <c r="AG4492">
        <v>-1.1211104618200001</v>
      </c>
      <c r="AH4492">
        <v>117.916047397996</v>
      </c>
      <c r="AI4492">
        <v>90.537502259249393</v>
      </c>
      <c r="AJ4492">
        <v>99.347210319151898</v>
      </c>
      <c r="AK4492">
        <v>119.50803725418599</v>
      </c>
      <c r="AL4492">
        <v>83.004856813588802</v>
      </c>
      <c r="AM4492">
        <v>99.858443033337394</v>
      </c>
      <c r="AN4492">
        <v>0.99999993905352802</v>
      </c>
    </row>
    <row r="4493" spans="1:40" x14ac:dyDescent="0.25">
      <c r="A4493" t="str">
        <f>"20190303161959705"</f>
        <v>20190303161959705</v>
      </c>
      <c r="B4493" t="str">
        <f>"1551601199696715"</f>
        <v>1551601199696715</v>
      </c>
      <c r="C4493" t="s">
        <v>40</v>
      </c>
      <c r="D4493">
        <v>4.5529400000000004</v>
      </c>
      <c r="E4493">
        <v>0.50272680000000003</v>
      </c>
      <c r="F4493" t="s">
        <v>62</v>
      </c>
      <c r="G4493">
        <v>-481.5813</v>
      </c>
      <c r="H4493" s="1">
        <v>-1.099908E-5</v>
      </c>
      <c r="I4493">
        <v>136.1703</v>
      </c>
      <c r="J4493">
        <v>-491.58150000000001</v>
      </c>
      <c r="K4493">
        <v>1.1211009999999999</v>
      </c>
      <c r="L4493">
        <v>252.08260000000001</v>
      </c>
      <c r="M4493">
        <v>-7.6730090000000001E-2</v>
      </c>
      <c r="N4493">
        <v>-9.8668769999999996E-3</v>
      </c>
      <c r="O4493">
        <v>-0.99700319999999998</v>
      </c>
      <c r="P4493">
        <v>9.4217060000000005E-2</v>
      </c>
      <c r="Q4493">
        <v>0.1120675</v>
      </c>
      <c r="R4493">
        <v>-0.98922429999999995</v>
      </c>
      <c r="S4493">
        <v>0.25936890000000001</v>
      </c>
      <c r="T4493">
        <v>-2.910018E-2</v>
      </c>
      <c r="U4493">
        <v>-3.011307</v>
      </c>
      <c r="V4493">
        <v>-0.16982510000000001</v>
      </c>
      <c r="W4493">
        <v>0.1217521</v>
      </c>
      <c r="X4493">
        <v>0.97792429999999997</v>
      </c>
      <c r="Y4493">
        <v>-0.1619961</v>
      </c>
      <c r="Z4493">
        <v>-3.605994E-4</v>
      </c>
      <c r="AA4493">
        <v>0.98679130000000004</v>
      </c>
      <c r="AB4493">
        <v>17</v>
      </c>
      <c r="AC4493">
        <v>10.0002</v>
      </c>
      <c r="AD4493">
        <v>-1.12111199908</v>
      </c>
      <c r="AE4493">
        <v>-115.9123</v>
      </c>
      <c r="AF4493">
        <v>-18.863357042859999</v>
      </c>
      <c r="AG4493">
        <v>-1.12111199908</v>
      </c>
      <c r="AH4493">
        <v>114.792532937765</v>
      </c>
      <c r="AI4493">
        <v>90.552152078222903</v>
      </c>
      <c r="AJ4493">
        <v>99.331767376713501</v>
      </c>
      <c r="AK4493">
        <v>116.337477836288</v>
      </c>
      <c r="AL4493">
        <v>83.006768214339601</v>
      </c>
      <c r="AM4493">
        <v>99.851663478747895</v>
      </c>
      <c r="AN4493">
        <v>1.00000003748745</v>
      </c>
    </row>
    <row r="4494" spans="1:40" x14ac:dyDescent="0.25">
      <c r="A4494" t="str">
        <f>"20190303161959721"</f>
        <v>20190303161959721</v>
      </c>
      <c r="B4494" t="str">
        <f>"1551601199706475"</f>
        <v>1551601199706475</v>
      </c>
      <c r="C4494" t="s">
        <v>40</v>
      </c>
      <c r="D4494">
        <v>4.5423150000000003</v>
      </c>
      <c r="E4494">
        <v>0.50277490000000002</v>
      </c>
      <c r="F4494" t="s">
        <v>62</v>
      </c>
      <c r="G4494">
        <v>-481.99770000000001</v>
      </c>
      <c r="H4494" s="1">
        <v>-9.1318620000000008E-6</v>
      </c>
      <c r="I4494">
        <v>140.3725</v>
      </c>
      <c r="J4494">
        <v>-491.5908</v>
      </c>
      <c r="K4494">
        <v>1.121102</v>
      </c>
      <c r="L4494">
        <v>251.9633</v>
      </c>
      <c r="M4494">
        <v>-7.6810749999999997E-2</v>
      </c>
      <c r="N4494">
        <v>-9.8786529999999994E-3</v>
      </c>
      <c r="O4494">
        <v>-0.99699680000000002</v>
      </c>
      <c r="P4494">
        <v>9.3611689999999997E-2</v>
      </c>
      <c r="Q4494">
        <v>0.1118431</v>
      </c>
      <c r="R4494">
        <v>-0.98930709999999999</v>
      </c>
      <c r="S4494">
        <v>0.25836179999999997</v>
      </c>
      <c r="T4494">
        <v>-3.0223130000000001E-2</v>
      </c>
      <c r="U4494">
        <v>-3.0115050000000001</v>
      </c>
      <c r="V4494">
        <v>-0.16930680000000001</v>
      </c>
      <c r="W4494">
        <v>0.1215405</v>
      </c>
      <c r="X4494">
        <v>0.97804049999999998</v>
      </c>
      <c r="Y4494">
        <v>-0.16174259999999999</v>
      </c>
      <c r="Z4494" s="1">
        <v>-4.6337519999999999E-6</v>
      </c>
      <c r="AA4494">
        <v>0.98683299999999996</v>
      </c>
      <c r="AB4494">
        <v>17</v>
      </c>
      <c r="AC4494">
        <v>9.5930999999999909</v>
      </c>
      <c r="AD4494">
        <v>-1.121111131862</v>
      </c>
      <c r="AE4494">
        <v>-111.5908</v>
      </c>
      <c r="AF4494">
        <v>-18.1347301303039</v>
      </c>
      <c r="AG4494">
        <v>-1.121111131862</v>
      </c>
      <c r="AH4494">
        <v>110.51313212808699</v>
      </c>
      <c r="AI4494">
        <v>90.573552308176005</v>
      </c>
      <c r="AJ4494">
        <v>99.318938599102296</v>
      </c>
      <c r="AK4494">
        <v>111.996775399245</v>
      </c>
      <c r="AL4494">
        <v>83.018982818059598</v>
      </c>
      <c r="AM4494">
        <v>99.821038811298493</v>
      </c>
      <c r="AN4494">
        <v>1.0000000526533599</v>
      </c>
    </row>
    <row r="4495" spans="1:40" x14ac:dyDescent="0.25">
      <c r="A4495" t="str">
        <f>"20190303161959734"</f>
        <v>20190303161959734</v>
      </c>
      <c r="B4495" t="str">
        <f>"1551601199727478"</f>
        <v>1551601199727478</v>
      </c>
      <c r="C4495" t="s">
        <v>40</v>
      </c>
      <c r="D4495">
        <v>4.4980070000000003</v>
      </c>
      <c r="E4495">
        <v>0.50295380000000001</v>
      </c>
      <c r="F4495" t="s">
        <v>62</v>
      </c>
      <c r="G4495">
        <v>-482.47289999999998</v>
      </c>
      <c r="H4495" s="1">
        <v>-9.3912810000000007E-6</v>
      </c>
      <c r="I4495">
        <v>144.6987</v>
      </c>
      <c r="J4495">
        <v>-491.59829999999999</v>
      </c>
      <c r="K4495">
        <v>1.1211009999999999</v>
      </c>
      <c r="L4495">
        <v>251.8673</v>
      </c>
      <c r="M4495">
        <v>-7.6875810000000003E-2</v>
      </c>
      <c r="N4495">
        <v>-9.8882759999999997E-3</v>
      </c>
      <c r="O4495">
        <v>-0.99699179999999998</v>
      </c>
      <c r="P4495">
        <v>9.3377470000000004E-2</v>
      </c>
      <c r="Q4495">
        <v>0.1117576</v>
      </c>
      <c r="R4495">
        <v>-0.98933910000000003</v>
      </c>
      <c r="S4495">
        <v>0.25601200000000002</v>
      </c>
      <c r="T4495">
        <v>-3.1478289999999999E-2</v>
      </c>
      <c r="U4495">
        <v>-3.011749</v>
      </c>
      <c r="V4495">
        <v>-0.1691395</v>
      </c>
      <c r="W4495">
        <v>0.1214643</v>
      </c>
      <c r="X4495">
        <v>0.97807880000000003</v>
      </c>
      <c r="Y4495">
        <v>-0.1610354</v>
      </c>
      <c r="Z4495">
        <v>3.974119E-4</v>
      </c>
      <c r="AA4495">
        <v>0.98694850000000001</v>
      </c>
      <c r="AB4495">
        <v>17</v>
      </c>
      <c r="AC4495">
        <v>9.1254000000000097</v>
      </c>
      <c r="AD4495">
        <v>-1.1211103912809901</v>
      </c>
      <c r="AE4495">
        <v>-107.1686</v>
      </c>
      <c r="AF4495">
        <v>-17.335583296669</v>
      </c>
      <c r="AG4495">
        <v>-1.1211103912809901</v>
      </c>
      <c r="AH4495">
        <v>106.138333958488</v>
      </c>
      <c r="AI4495">
        <v>90.597263749377802</v>
      </c>
      <c r="AJ4495">
        <v>99.276217030911695</v>
      </c>
      <c r="AK4495">
        <v>107.550570766634</v>
      </c>
      <c r="AL4495">
        <v>83.023380574240605</v>
      </c>
      <c r="AM4495">
        <v>99.811146146504996</v>
      </c>
      <c r="AN4495">
        <v>0.99999994282208804</v>
      </c>
    </row>
    <row r="4496" spans="1:40" x14ac:dyDescent="0.25">
      <c r="A4496" t="str">
        <f>"20190303161959748"</f>
        <v>20190303161959748</v>
      </c>
      <c r="B4496" t="str">
        <f>"1551601199737238"</f>
        <v>1551601199737238</v>
      </c>
      <c r="C4496" t="s">
        <v>40</v>
      </c>
      <c r="D4496">
        <v>4.5179839999999896</v>
      </c>
      <c r="E4496">
        <v>0.50295409999999996</v>
      </c>
      <c r="F4496" t="s">
        <v>62</v>
      </c>
      <c r="G4496">
        <v>-483.32780000000002</v>
      </c>
      <c r="H4496" s="1">
        <v>-5.2282750000000004E-6</v>
      </c>
      <c r="I4496">
        <v>153.47479999999999</v>
      </c>
      <c r="J4496">
        <v>-491.60730000000001</v>
      </c>
      <c r="K4496">
        <v>1.121102</v>
      </c>
      <c r="L4496">
        <v>251.7518</v>
      </c>
      <c r="M4496">
        <v>-7.6954090000000003E-2</v>
      </c>
      <c r="N4496">
        <v>-9.8997330000000008E-3</v>
      </c>
      <c r="O4496">
        <v>-0.99698540000000002</v>
      </c>
      <c r="P4496">
        <v>9.3313090000000001E-2</v>
      </c>
      <c r="Q4496">
        <v>0.11165</v>
      </c>
      <c r="R4496">
        <v>-0.98935680000000004</v>
      </c>
      <c r="S4496">
        <v>0.25320429999999999</v>
      </c>
      <c r="T4496">
        <v>-3.4322980000000003E-2</v>
      </c>
      <c r="U4496">
        <v>-3.0123139999999999</v>
      </c>
      <c r="V4496">
        <v>-0.1691541</v>
      </c>
      <c r="W4496">
        <v>0.1213682</v>
      </c>
      <c r="X4496">
        <v>0.97808830000000002</v>
      </c>
      <c r="Y4496">
        <v>-0.16018309999999999</v>
      </c>
      <c r="Z4496">
        <v>1.3176469999999999E-3</v>
      </c>
      <c r="AA4496">
        <v>0.98708640000000003</v>
      </c>
      <c r="AB4496">
        <v>17</v>
      </c>
      <c r="AC4496">
        <v>8.2794999999999792</v>
      </c>
      <c r="AD4496">
        <v>-1.1211072282750001</v>
      </c>
      <c r="AE4496">
        <v>-98.277000000000001</v>
      </c>
      <c r="AF4496">
        <v>-15.8160905504787</v>
      </c>
      <c r="AG4496">
        <v>-1.1211072282750001</v>
      </c>
      <c r="AH4496">
        <v>97.335794306417199</v>
      </c>
      <c r="AI4496">
        <v>90.651357687924801</v>
      </c>
      <c r="AJ4496">
        <v>99.229326496316901</v>
      </c>
      <c r="AK4496">
        <v>98.618773339458002</v>
      </c>
      <c r="AL4496">
        <v>83.0289283918504</v>
      </c>
      <c r="AM4496">
        <v>99.811883127617307</v>
      </c>
      <c r="AN4496">
        <v>1.0000000360574599</v>
      </c>
    </row>
    <row r="4497" spans="1:40" x14ac:dyDescent="0.25">
      <c r="A4497" t="str">
        <f>"20190303161959766"</f>
        <v>20190303161959766</v>
      </c>
      <c r="B4497" t="str">
        <f>"1551601199756759"</f>
        <v>1551601199756759</v>
      </c>
      <c r="C4497" t="s">
        <v>40</v>
      </c>
      <c r="D4497">
        <v>4.5358650000000003</v>
      </c>
      <c r="E4497">
        <v>0.50293980000000005</v>
      </c>
      <c r="F4497" t="s">
        <v>62</v>
      </c>
      <c r="G4497">
        <v>-483.5949</v>
      </c>
      <c r="H4497" s="1">
        <v>-3.6917070000000001E-6</v>
      </c>
      <c r="I4497">
        <v>156.25399999999999</v>
      </c>
      <c r="J4497">
        <v>-491.61759999999998</v>
      </c>
      <c r="K4497">
        <v>1.1210990000000001</v>
      </c>
      <c r="L4497">
        <v>251.61940000000001</v>
      </c>
      <c r="M4497">
        <v>-7.7044039999999994E-2</v>
      </c>
      <c r="N4497">
        <v>-9.9121709999999991E-3</v>
      </c>
      <c r="O4497">
        <v>-0.99697849999999999</v>
      </c>
      <c r="P4497">
        <v>9.3555260000000001E-2</v>
      </c>
      <c r="Q4497">
        <v>0.111721</v>
      </c>
      <c r="R4497">
        <v>-0.98932609999999999</v>
      </c>
      <c r="S4497">
        <v>0.25274659999999999</v>
      </c>
      <c r="T4497">
        <v>-3.536475E-2</v>
      </c>
      <c r="U4497">
        <v>-3.0124360000000001</v>
      </c>
      <c r="V4497">
        <v>-0.1694812</v>
      </c>
      <c r="W4497">
        <v>0.12145060000000001</v>
      </c>
      <c r="X4497">
        <v>0.97802140000000004</v>
      </c>
      <c r="Y4497">
        <v>-0.1601196</v>
      </c>
      <c r="Z4497">
        <v>1.646151E-3</v>
      </c>
      <c r="AA4497">
        <v>0.98709630000000004</v>
      </c>
      <c r="AB4497">
        <v>17</v>
      </c>
      <c r="AC4497">
        <v>8.0226999999999808</v>
      </c>
      <c r="AD4497">
        <v>-1.1211026917069999</v>
      </c>
      <c r="AE4497">
        <v>-95.365399999999994</v>
      </c>
      <c r="AF4497">
        <v>-15.344442061994201</v>
      </c>
      <c r="AG4497">
        <v>-1.1211026917069999</v>
      </c>
      <c r="AH4497">
        <v>94.4508237397052</v>
      </c>
      <c r="AI4497">
        <v>90.671251921334203</v>
      </c>
      <c r="AJ4497">
        <v>99.227630450502204</v>
      </c>
      <c r="AK4497">
        <v>95.695699373316202</v>
      </c>
      <c r="AL4497">
        <v>83.024171726738402</v>
      </c>
      <c r="AM4497">
        <v>99.831146245443705</v>
      </c>
      <c r="AN4497">
        <v>0.99999999212587998</v>
      </c>
    </row>
    <row r="4498" spans="1:40" x14ac:dyDescent="0.25">
      <c r="A4498" t="str">
        <f>"20190303161959787"</f>
        <v>20190303161959787</v>
      </c>
      <c r="B4498" t="str">
        <f>"1551601199777254"</f>
        <v>1551601199777254</v>
      </c>
      <c r="C4498" t="s">
        <v>40</v>
      </c>
      <c r="D4498">
        <v>4.5587879999999998</v>
      </c>
      <c r="E4498">
        <v>0.50299359999999904</v>
      </c>
      <c r="F4498" t="s">
        <v>62</v>
      </c>
      <c r="G4498">
        <v>-483.52199999999999</v>
      </c>
      <c r="H4498" s="1">
        <v>-4.1885889999999999E-6</v>
      </c>
      <c r="I4498">
        <v>155.375</v>
      </c>
      <c r="J4498">
        <v>-491.63029999999998</v>
      </c>
      <c r="K4498">
        <v>1.1210990000000001</v>
      </c>
      <c r="L4498">
        <v>251.45679999999999</v>
      </c>
      <c r="M4498">
        <v>-7.7154390000000003E-2</v>
      </c>
      <c r="N4498">
        <v>-9.9261550000000007E-3</v>
      </c>
      <c r="O4498">
        <v>-0.99696989999999996</v>
      </c>
      <c r="P4498">
        <v>9.4041970000000003E-2</v>
      </c>
      <c r="Q4498">
        <v>0.111999</v>
      </c>
      <c r="R4498">
        <v>-0.98924860000000003</v>
      </c>
      <c r="S4498">
        <v>0.25338749999999999</v>
      </c>
      <c r="T4498">
        <v>-3.5089849999999999E-2</v>
      </c>
      <c r="U4498">
        <v>-3.0123899999999999</v>
      </c>
      <c r="V4498">
        <v>-0.1700692</v>
      </c>
      <c r="W4498">
        <v>0.12174160000000001</v>
      </c>
      <c r="X4498">
        <v>0.97788319999999995</v>
      </c>
      <c r="Y4498">
        <v>-0.16043859999999999</v>
      </c>
      <c r="Z4498">
        <v>1.541529E-3</v>
      </c>
      <c r="AA4498">
        <v>0.98704460000000005</v>
      </c>
      <c r="AB4498">
        <v>17</v>
      </c>
      <c r="AC4498">
        <v>8.1082999999999803</v>
      </c>
      <c r="AD4498">
        <v>-1.1211031885889999</v>
      </c>
      <c r="AE4498">
        <v>-96.081800000000001</v>
      </c>
      <c r="AF4498">
        <v>-15.4955300494538</v>
      </c>
      <c r="AG4498">
        <v>-1.1211031885889999</v>
      </c>
      <c r="AH4498">
        <v>95.156881692995697</v>
      </c>
      <c r="AI4498">
        <v>90.666231660020898</v>
      </c>
      <c r="AJ4498">
        <v>99.248972208270899</v>
      </c>
      <c r="AK4498">
        <v>96.416805886773602</v>
      </c>
      <c r="AL4498">
        <v>83.007374426551394</v>
      </c>
      <c r="AM4498">
        <v>99.865952336291102</v>
      </c>
      <c r="AN4498">
        <v>1.0000000514007099</v>
      </c>
    </row>
    <row r="4499" spans="1:40" x14ac:dyDescent="0.25">
      <c r="A4499" t="str">
        <f>"20190303161959800"</f>
        <v>20190303161959800</v>
      </c>
      <c r="B4499" t="str">
        <f>"1551601199787014"</f>
        <v>1551601199787014</v>
      </c>
      <c r="C4499" t="s">
        <v>40</v>
      </c>
      <c r="D4499">
        <v>4.5552769999999896</v>
      </c>
      <c r="E4499">
        <v>0.50299359999999904</v>
      </c>
      <c r="F4499" t="s">
        <v>62</v>
      </c>
      <c r="G4499">
        <v>-483.46980000000002</v>
      </c>
      <c r="H4499" s="1">
        <v>-4.5325369999999998E-6</v>
      </c>
      <c r="I4499">
        <v>154.76730000000001</v>
      </c>
      <c r="J4499">
        <v>-491.63799999999998</v>
      </c>
      <c r="K4499">
        <v>1.1211009999999999</v>
      </c>
      <c r="L4499">
        <v>251.35810000000001</v>
      </c>
      <c r="M4499">
        <v>-7.7221799999999993E-2</v>
      </c>
      <c r="N4499">
        <v>-9.9342230000000007E-3</v>
      </c>
      <c r="O4499">
        <v>-0.99696450000000003</v>
      </c>
      <c r="P4499">
        <v>9.4599279999999994E-2</v>
      </c>
      <c r="Q4499">
        <v>0.111857</v>
      </c>
      <c r="R4499">
        <v>-0.98921119999999996</v>
      </c>
      <c r="S4499">
        <v>0.25424190000000002</v>
      </c>
      <c r="T4499">
        <v>-3.4928319999999999E-2</v>
      </c>
      <c r="U4499">
        <v>-3.0123899999999999</v>
      </c>
      <c r="V4499">
        <v>-0.17068800000000001</v>
      </c>
      <c r="W4499">
        <v>0.1216068</v>
      </c>
      <c r="X4499">
        <v>0.97779210000000005</v>
      </c>
      <c r="Y4499">
        <v>-0.16078339999999999</v>
      </c>
      <c r="Z4499">
        <v>1.47981E-3</v>
      </c>
      <c r="AA4499">
        <v>0.98698859999999999</v>
      </c>
      <c r="AB4499">
        <v>17</v>
      </c>
      <c r="AC4499">
        <v>8.1682000000000095</v>
      </c>
      <c r="AD4499">
        <v>-1.1211055325370001</v>
      </c>
      <c r="AE4499">
        <v>-96.590800000000002</v>
      </c>
      <c r="AF4499">
        <v>-15.6010031658285</v>
      </c>
      <c r="AG4499">
        <v>-1.1211055325370001</v>
      </c>
      <c r="AH4499">
        <v>95.658755925112004</v>
      </c>
      <c r="AI4499">
        <v>90.662711854657204</v>
      </c>
      <c r="AJ4499">
        <v>99.262827709999996</v>
      </c>
      <c r="AK4499">
        <v>96.929075939758206</v>
      </c>
      <c r="AL4499">
        <v>83.015155343527098</v>
      </c>
      <c r="AM4499">
        <v>99.902044859126605</v>
      </c>
      <c r="AN4499">
        <v>0.99999999898632497</v>
      </c>
    </row>
    <row r="4500" spans="1:40" x14ac:dyDescent="0.25">
      <c r="A4500" t="str">
        <f>"20190303161959814"</f>
        <v>20190303161959814</v>
      </c>
      <c r="B4500" t="str">
        <f>"1551601199806534"</f>
        <v>1551601199806534</v>
      </c>
      <c r="C4500" t="s">
        <v>40</v>
      </c>
      <c r="D4500">
        <v>4.5890870000000001</v>
      </c>
      <c r="E4500">
        <v>0.5165516</v>
      </c>
      <c r="F4500" t="s">
        <v>62</v>
      </c>
      <c r="G4500">
        <v>-483.52170000000001</v>
      </c>
      <c r="H4500" s="1">
        <v>-3.9525940000000003E-6</v>
      </c>
      <c r="I4500">
        <v>155.8066</v>
      </c>
      <c r="J4500">
        <v>-491.64589999999998</v>
      </c>
      <c r="K4500">
        <v>1.1211</v>
      </c>
      <c r="L4500">
        <v>251.25700000000001</v>
      </c>
      <c r="M4500">
        <v>-7.7290919999999999E-2</v>
      </c>
      <c r="N4500">
        <v>-9.9422209999999994E-3</v>
      </c>
      <c r="O4500">
        <v>-0.99695900000000004</v>
      </c>
      <c r="P4500">
        <v>9.4779660000000002E-2</v>
      </c>
      <c r="Q4500">
        <v>0.1119786</v>
      </c>
      <c r="R4500">
        <v>-0.98917999999999995</v>
      </c>
      <c r="S4500">
        <v>0.25585940000000001</v>
      </c>
      <c r="T4500">
        <v>-3.5342220000000001E-2</v>
      </c>
      <c r="U4500">
        <v>-3.0122070000000001</v>
      </c>
      <c r="V4500">
        <v>-0.17093329999999901</v>
      </c>
      <c r="W4500">
        <v>0.1217355</v>
      </c>
      <c r="X4500">
        <v>0.97773330000000003</v>
      </c>
      <c r="Y4500">
        <v>-0.16138279999999999</v>
      </c>
      <c r="Z4500">
        <v>1.606948E-3</v>
      </c>
      <c r="AA4500">
        <v>0.98689059999999995</v>
      </c>
      <c r="AB4500">
        <v>17</v>
      </c>
      <c r="AC4500">
        <v>8.1241999999999699</v>
      </c>
      <c r="AD4500">
        <v>-1.1211039525939901</v>
      </c>
      <c r="AE4500">
        <v>-95.450400000000002</v>
      </c>
      <c r="AF4500">
        <v>-15.4755890927695</v>
      </c>
      <c r="AG4500">
        <v>-1.1211039525939901</v>
      </c>
      <c r="AH4500">
        <v>94.523935573091194</v>
      </c>
      <c r="AI4500">
        <v>90.670599101507406</v>
      </c>
      <c r="AJ4500">
        <v>99.298052534649301</v>
      </c>
      <c r="AK4500">
        <v>95.788961410314201</v>
      </c>
      <c r="AL4500">
        <v>83.007726648670399</v>
      </c>
      <c r="AM4500">
        <v>99.91657757566</v>
      </c>
      <c r="AN4500">
        <v>1.00000006546901</v>
      </c>
    </row>
    <row r="4501" spans="1:40" x14ac:dyDescent="0.25">
      <c r="A4501" t="str">
        <f>"20190303161959828"</f>
        <v>20190303161959828</v>
      </c>
      <c r="B4501" t="str">
        <f>"1551601199817270"</f>
        <v>1551601199817270</v>
      </c>
      <c r="C4501" t="s">
        <v>40</v>
      </c>
      <c r="D4501">
        <v>4.551266</v>
      </c>
      <c r="E4501">
        <v>0.51745220000000003</v>
      </c>
      <c r="F4501" t="s">
        <v>41</v>
      </c>
      <c r="G4501">
        <v>-490.61259999999999</v>
      </c>
      <c r="H4501" s="1">
        <v>-3.3664360000000001E-7</v>
      </c>
      <c r="I4501">
        <v>229.9939</v>
      </c>
      <c r="J4501">
        <v>-491.6549</v>
      </c>
      <c r="K4501">
        <v>1.121102</v>
      </c>
      <c r="L4501">
        <v>251.14179999999999</v>
      </c>
      <c r="M4501">
        <v>-7.7369869999999993E-2</v>
      </c>
      <c r="N4501">
        <v>-9.9510250000000005E-3</v>
      </c>
      <c r="O4501">
        <v>-0.99695299999999998</v>
      </c>
      <c r="P4501">
        <v>9.5106940000000001E-2</v>
      </c>
      <c r="Q4501">
        <v>0.1117349</v>
      </c>
      <c r="R4501">
        <v>-0.98917670000000002</v>
      </c>
      <c r="S4501">
        <v>0.14758299999999999</v>
      </c>
      <c r="T4501">
        <v>-0.16011829999999999</v>
      </c>
      <c r="U4501">
        <v>-3.0368499999999998</v>
      </c>
      <c r="V4501">
        <v>-0.1713364</v>
      </c>
      <c r="W4501">
        <v>0.12150030000000001</v>
      </c>
      <c r="X4501">
        <v>0.97769189999999995</v>
      </c>
      <c r="Y4501">
        <v>-0.12559409999999999</v>
      </c>
      <c r="Z4501">
        <v>4.221747E-2</v>
      </c>
      <c r="AA4501">
        <v>0.99118300000000004</v>
      </c>
      <c r="AB4501">
        <v>17</v>
      </c>
      <c r="AC4501">
        <v>1.04230000000001</v>
      </c>
      <c r="AD4501">
        <v>-1.1211023366435999</v>
      </c>
      <c r="AE4501">
        <v>-21.1479</v>
      </c>
      <c r="AF4501">
        <v>-2.66798658380206</v>
      </c>
      <c r="AG4501">
        <v>-1.1211023366435999</v>
      </c>
      <c r="AH4501">
        <v>20.9451355203554</v>
      </c>
      <c r="AI4501">
        <v>93.039359118629804</v>
      </c>
      <c r="AJ4501">
        <v>97.259229969761805</v>
      </c>
      <c r="AK4501">
        <v>21.144117972302102</v>
      </c>
      <c r="AL4501">
        <v>83.021302712517993</v>
      </c>
      <c r="AM4501">
        <v>99.939909800903905</v>
      </c>
      <c r="AN4501">
        <v>0.99999996809532898</v>
      </c>
    </row>
    <row r="4502" spans="1:40" x14ac:dyDescent="0.25">
      <c r="A4502" t="str">
        <f>"20190303161959844"</f>
        <v>20190303161959844</v>
      </c>
      <c r="B4502" t="str">
        <f>"1551601199837297"</f>
        <v>1551601199837297</v>
      </c>
      <c r="C4502" t="s">
        <v>40</v>
      </c>
      <c r="D4502">
        <v>4.4962049999999998</v>
      </c>
      <c r="E4502">
        <v>0.51839139999999995</v>
      </c>
      <c r="F4502" t="s">
        <v>41</v>
      </c>
      <c r="G4502">
        <v>-490.73160000000001</v>
      </c>
      <c r="H4502" s="1">
        <v>-9.4406980000000002E-7</v>
      </c>
      <c r="I4502">
        <v>231.33600000000001</v>
      </c>
      <c r="J4502">
        <v>-491.66419999999999</v>
      </c>
      <c r="K4502">
        <v>1.1211059999999999</v>
      </c>
      <c r="L4502">
        <v>251.02330000000001</v>
      </c>
      <c r="M4502">
        <v>-7.7451420000000007E-2</v>
      </c>
      <c r="N4502">
        <v>-9.9596189999999994E-3</v>
      </c>
      <c r="O4502">
        <v>-0.99694660000000002</v>
      </c>
      <c r="P4502">
        <v>9.5112829999999995E-2</v>
      </c>
      <c r="Q4502">
        <v>0.111455</v>
      </c>
      <c r="R4502">
        <v>-0.98920790000000003</v>
      </c>
      <c r="S4502">
        <v>0.1416626</v>
      </c>
      <c r="T4502">
        <v>-0.1720015</v>
      </c>
      <c r="U4502">
        <v>-3.0386350000000002</v>
      </c>
      <c r="V4502">
        <v>-0.1714251</v>
      </c>
      <c r="W4502">
        <v>0.12122860000000001</v>
      </c>
      <c r="X4502">
        <v>0.97771010000000003</v>
      </c>
      <c r="Y4502">
        <v>-0.12371020000000001</v>
      </c>
      <c r="Z4502">
        <v>4.6047780000000003E-2</v>
      </c>
      <c r="AA4502">
        <v>0.99124939999999995</v>
      </c>
      <c r="AB4502">
        <v>17</v>
      </c>
      <c r="AC4502">
        <v>0.932599999999979</v>
      </c>
      <c r="AD4502">
        <v>-1.1211069440697901</v>
      </c>
      <c r="AE4502">
        <v>-19.6873</v>
      </c>
      <c r="AF4502">
        <v>-2.4467663100466299</v>
      </c>
      <c r="AG4502">
        <v>-1.1211069440697901</v>
      </c>
      <c r="AH4502">
        <v>19.492851120377601</v>
      </c>
      <c r="AI4502">
        <v>93.266095925463901</v>
      </c>
      <c r="AJ4502">
        <v>97.154418308421199</v>
      </c>
      <c r="AK4502">
        <v>19.677774034611499</v>
      </c>
      <c r="AL4502">
        <v>83.0369860526243</v>
      </c>
      <c r="AM4502">
        <v>99.944771507018402</v>
      </c>
      <c r="AN4502">
        <v>0.99999998900498999</v>
      </c>
    </row>
    <row r="4503" spans="1:40" x14ac:dyDescent="0.25">
      <c r="A4503" t="str">
        <f>"20190303161959857"</f>
        <v>20190303161959857</v>
      </c>
      <c r="B4503" t="str">
        <f>"1551601199847057"</f>
        <v>1551601199847057</v>
      </c>
      <c r="C4503" t="s">
        <v>40</v>
      </c>
      <c r="D4503">
        <v>4.5359769999999999</v>
      </c>
      <c r="E4503">
        <v>0.51882399999999995</v>
      </c>
      <c r="F4503" t="s">
        <v>41</v>
      </c>
      <c r="G4503">
        <v>-490.85309999999998</v>
      </c>
      <c r="H4503" s="1">
        <v>-1.4755849999999999E-6</v>
      </c>
      <c r="I4503">
        <v>232.49959999999999</v>
      </c>
      <c r="J4503">
        <v>-491.67200000000003</v>
      </c>
      <c r="K4503">
        <v>1.121105</v>
      </c>
      <c r="L4503">
        <v>250.9239</v>
      </c>
      <c r="M4503">
        <v>-7.7519909999999997E-2</v>
      </c>
      <c r="N4503">
        <v>-9.9662320000000002E-3</v>
      </c>
      <c r="O4503">
        <v>-0.99694110000000002</v>
      </c>
      <c r="P4503">
        <v>9.5329759999999999E-2</v>
      </c>
      <c r="Q4503">
        <v>0.1112412</v>
      </c>
      <c r="R4503">
        <v>-0.98921049999999999</v>
      </c>
      <c r="S4503">
        <v>0.13314819999999999</v>
      </c>
      <c r="T4503">
        <v>-0.18402969999999999</v>
      </c>
      <c r="U4503">
        <v>-3.0406650000000002</v>
      </c>
      <c r="V4503">
        <v>-0.17170920000000001</v>
      </c>
      <c r="W4503">
        <v>0.1210213</v>
      </c>
      <c r="X4503">
        <v>0.9776859</v>
      </c>
      <c r="Y4503">
        <v>-0.1209674</v>
      </c>
      <c r="Z4503">
        <v>4.9921210000000001E-2</v>
      </c>
      <c r="AA4503">
        <v>0.99140039999999996</v>
      </c>
      <c r="AB4503">
        <v>17</v>
      </c>
      <c r="AC4503">
        <v>0.81889999999998497</v>
      </c>
      <c r="AD4503">
        <v>-1.121106475585</v>
      </c>
      <c r="AE4503">
        <v>-18.424299999999999</v>
      </c>
      <c r="AF4503">
        <v>-2.23649178084978</v>
      </c>
      <c r="AG4503">
        <v>-1.121106475585</v>
      </c>
      <c r="AH4503">
        <v>18.237972426176999</v>
      </c>
      <c r="AI4503">
        <v>93.491514118438303</v>
      </c>
      <c r="AJ4503">
        <v>96.991180417527403</v>
      </c>
      <c r="AK4503">
        <v>18.408759149747201</v>
      </c>
      <c r="AL4503">
        <v>83.048951376276506</v>
      </c>
      <c r="AM4503">
        <v>99.961164608358104</v>
      </c>
      <c r="AN4503">
        <v>0.99999996173856898</v>
      </c>
    </row>
    <row r="4504" spans="1:40" x14ac:dyDescent="0.25">
      <c r="A4504" t="str">
        <f>"20190303161959870"</f>
        <v>20190303161959870</v>
      </c>
      <c r="B4504" t="str">
        <f>"1551601199866578"</f>
        <v>1551601199866578</v>
      </c>
      <c r="C4504" t="s">
        <v>40</v>
      </c>
      <c r="D4504">
        <v>4.5812169999999997</v>
      </c>
      <c r="E4504">
        <v>0.51946009999999998</v>
      </c>
      <c r="F4504" t="s">
        <v>41</v>
      </c>
      <c r="G4504">
        <v>-490.91070000000002</v>
      </c>
      <c r="H4504" s="1">
        <v>-1.753255E-6</v>
      </c>
      <c r="I4504">
        <v>233.1112</v>
      </c>
      <c r="J4504">
        <v>-491.68029999999999</v>
      </c>
      <c r="K4504">
        <v>1.1211040000000001</v>
      </c>
      <c r="L4504">
        <v>250.81880000000001</v>
      </c>
      <c r="M4504">
        <v>-7.7592129999999995E-2</v>
      </c>
      <c r="N4504">
        <v>-9.9728999999999998E-3</v>
      </c>
      <c r="O4504">
        <v>-0.99693540000000003</v>
      </c>
      <c r="P4504">
        <v>9.4958650000000006E-2</v>
      </c>
      <c r="Q4504">
        <v>0.11093749999999999</v>
      </c>
      <c r="R4504">
        <v>-0.98928050000000001</v>
      </c>
      <c r="S4504">
        <v>0.13000490000000001</v>
      </c>
      <c r="T4504">
        <v>-0.19144249999999999</v>
      </c>
      <c r="U4504">
        <v>-3.0417329999999998</v>
      </c>
      <c r="V4504">
        <v>-0.17141519999999999</v>
      </c>
      <c r="W4504">
        <v>0.1207254</v>
      </c>
      <c r="X4504">
        <v>0.97777409999999998</v>
      </c>
      <c r="Y4504">
        <v>-0.11999509999999999</v>
      </c>
      <c r="Z4504">
        <v>5.2302120000000001E-2</v>
      </c>
      <c r="AA4504">
        <v>0.99139580000000005</v>
      </c>
      <c r="AB4504">
        <v>17</v>
      </c>
      <c r="AC4504">
        <v>0.76959999999996798</v>
      </c>
      <c r="AD4504">
        <v>-1.1211057532549999</v>
      </c>
      <c r="AE4504">
        <v>-17.707599999999999</v>
      </c>
      <c r="AF4504">
        <v>-2.1327851802608602</v>
      </c>
      <c r="AG4504">
        <v>-1.1211057532549999</v>
      </c>
      <c r="AH4504">
        <v>17.5243789849841</v>
      </c>
      <c r="AI4504">
        <v>93.633716188356004</v>
      </c>
      <c r="AJ4504">
        <v>96.938994062823795</v>
      </c>
      <c r="AK4504">
        <v>17.689248416608098</v>
      </c>
      <c r="AL4504">
        <v>83.066030632365297</v>
      </c>
      <c r="AM4504">
        <v>99.943570744658302</v>
      </c>
      <c r="AN4504">
        <v>0.99999999181350496</v>
      </c>
    </row>
    <row r="4505" spans="1:40" x14ac:dyDescent="0.25">
      <c r="A4505" t="str">
        <f>"20190303161959882"</f>
        <v>20190303161959882</v>
      </c>
      <c r="B4505" t="str">
        <f>"1551601199877313"</f>
        <v>1551601199877313</v>
      </c>
      <c r="C4505" t="s">
        <v>40</v>
      </c>
      <c r="D4505">
        <v>4.5458220000000003</v>
      </c>
      <c r="E4505">
        <v>0.51952829999999905</v>
      </c>
      <c r="F4505" t="s">
        <v>41</v>
      </c>
      <c r="G4505">
        <v>-490.9803</v>
      </c>
      <c r="H4505" s="1">
        <v>-1.966517E-6</v>
      </c>
      <c r="I4505">
        <v>233.5651</v>
      </c>
      <c r="J4505">
        <v>-491.68790000000001</v>
      </c>
      <c r="K4505">
        <v>1.1210979999999999</v>
      </c>
      <c r="L4505">
        <v>250.72200000000001</v>
      </c>
      <c r="M4505">
        <v>-7.7658500000000005E-2</v>
      </c>
      <c r="N4505">
        <v>-9.9786979999999994E-3</v>
      </c>
      <c r="O4505">
        <v>-0.99693010000000004</v>
      </c>
      <c r="P4505">
        <v>9.4693979999999997E-2</v>
      </c>
      <c r="Q4505">
        <v>0.110428</v>
      </c>
      <c r="R4505">
        <v>-0.98936310000000005</v>
      </c>
      <c r="S4505">
        <v>0.1234436</v>
      </c>
      <c r="T4505">
        <v>-0.19771620000000001</v>
      </c>
      <c r="U4505">
        <v>-3.0428310000000001</v>
      </c>
      <c r="V4505">
        <v>-0.17122290000000001</v>
      </c>
      <c r="W4505">
        <v>0.1202222</v>
      </c>
      <c r="X4505">
        <v>0.97786980000000001</v>
      </c>
      <c r="Y4505">
        <v>-0.1179067</v>
      </c>
      <c r="Z4505">
        <v>5.4318100000000001E-2</v>
      </c>
      <c r="AA4505">
        <v>0.99153800000000003</v>
      </c>
      <c r="AB4505">
        <v>17</v>
      </c>
      <c r="AC4505">
        <v>0.707600000000013</v>
      </c>
      <c r="AD4505">
        <v>-1.1210999665169901</v>
      </c>
      <c r="AE4505">
        <v>-17.1569</v>
      </c>
      <c r="AF4505">
        <v>-2.0292583953770098</v>
      </c>
      <c r="AG4505">
        <v>-1.1210999665169901</v>
      </c>
      <c r="AH4505">
        <v>16.977758305544398</v>
      </c>
      <c r="AI4505">
        <v>93.751329379324403</v>
      </c>
      <c r="AJ4505">
        <v>96.815915581118702</v>
      </c>
      <c r="AK4505">
        <v>17.135315341469902</v>
      </c>
      <c r="AL4505">
        <v>83.095073474776996</v>
      </c>
      <c r="AM4505">
        <v>99.931685239478099</v>
      </c>
      <c r="AN4505">
        <v>1.00000000230464</v>
      </c>
    </row>
    <row r="4506" spans="1:40" x14ac:dyDescent="0.25">
      <c r="A4506" t="str">
        <f>"20190303161959898"</f>
        <v>20190303161959898</v>
      </c>
      <c r="B4506" t="str">
        <f>"1551601199887073"</f>
        <v>1551601199887073</v>
      </c>
      <c r="C4506" t="s">
        <v>40</v>
      </c>
      <c r="D4506">
        <v>4.5474709999999998</v>
      </c>
      <c r="E4506">
        <v>0.51957180000000003</v>
      </c>
      <c r="F4506" t="s">
        <v>41</v>
      </c>
      <c r="G4506">
        <v>-491.00900000000001</v>
      </c>
      <c r="H4506" s="1">
        <v>-2.0812620000000001E-6</v>
      </c>
      <c r="I4506">
        <v>233.81479999999999</v>
      </c>
      <c r="J4506">
        <v>-491.69709999999998</v>
      </c>
      <c r="K4506">
        <v>1.121097</v>
      </c>
      <c r="L4506">
        <v>250.60499999999999</v>
      </c>
      <c r="M4506">
        <v>-7.7739119999999995E-2</v>
      </c>
      <c r="N4506">
        <v>-9.9853210000000001E-3</v>
      </c>
      <c r="O4506">
        <v>-0.99692369999999997</v>
      </c>
      <c r="P4506">
        <v>9.3960680000000005E-2</v>
      </c>
      <c r="Q4506">
        <v>0.1094368</v>
      </c>
      <c r="R4506">
        <v>-0.98954279999999994</v>
      </c>
      <c r="S4506">
        <v>0.12219240000000001</v>
      </c>
      <c r="T4506">
        <v>-0.20178470000000001</v>
      </c>
      <c r="U4506">
        <v>-3.043091</v>
      </c>
      <c r="V4506">
        <v>-0.1705853</v>
      </c>
      <c r="W4506">
        <v>0.119239899999999</v>
      </c>
      <c r="X4506">
        <v>0.97810149999999996</v>
      </c>
      <c r="Y4506">
        <v>-0.117573</v>
      </c>
      <c r="Z4506">
        <v>5.5625389999999997E-2</v>
      </c>
      <c r="AA4506">
        <v>0.99150510000000003</v>
      </c>
      <c r="AB4506">
        <v>17</v>
      </c>
      <c r="AC4506">
        <v>0.68809999999996296</v>
      </c>
      <c r="AD4506">
        <v>-1.1210990812620001</v>
      </c>
      <c r="AE4506">
        <v>-16.790199999999999</v>
      </c>
      <c r="AF4506">
        <v>-1.98251394313848</v>
      </c>
      <c r="AG4506">
        <v>-1.1210990812620001</v>
      </c>
      <c r="AH4506">
        <v>16.611950315113901</v>
      </c>
      <c r="AI4506">
        <v>93.833771704296595</v>
      </c>
      <c r="AJ4506">
        <v>96.805641024191502</v>
      </c>
      <c r="AK4506">
        <v>16.7673527414604</v>
      </c>
      <c r="AL4506">
        <v>83.151763055356696</v>
      </c>
      <c r="AM4506">
        <v>99.893136216286905</v>
      </c>
      <c r="AN4506">
        <v>1.0000000213151701</v>
      </c>
    </row>
    <row r="4507" spans="1:40" x14ac:dyDescent="0.25">
      <c r="A4507" t="str">
        <f>"20190303161959921"</f>
        <v>20190303161959921</v>
      </c>
      <c r="B4507" t="str">
        <f>"1551601199917329"</f>
        <v>1551601199917329</v>
      </c>
      <c r="C4507" t="s">
        <v>40</v>
      </c>
      <c r="D4507">
        <v>4.5655029999999996</v>
      </c>
      <c r="E4507">
        <v>0.51972629999999997</v>
      </c>
      <c r="F4507" t="s">
        <v>41</v>
      </c>
      <c r="G4507">
        <v>-491.05070000000001</v>
      </c>
      <c r="H4507" s="1">
        <v>-2.2252790000000002E-6</v>
      </c>
      <c r="I4507">
        <v>234.12459999999999</v>
      </c>
      <c r="J4507">
        <v>-491.71109999999999</v>
      </c>
      <c r="K4507">
        <v>1.121092</v>
      </c>
      <c r="L4507">
        <v>250.42750000000001</v>
      </c>
      <c r="M4507">
        <v>-7.7861089999999994E-2</v>
      </c>
      <c r="N4507">
        <v>-9.9949570000000005E-3</v>
      </c>
      <c r="O4507">
        <v>-0.99691439999999998</v>
      </c>
      <c r="P4507">
        <v>9.3312110000000004E-2</v>
      </c>
      <c r="Q4507">
        <v>0.1092272</v>
      </c>
      <c r="R4507">
        <v>-0.98962779999999995</v>
      </c>
      <c r="S4507">
        <v>0.11935419999999999</v>
      </c>
      <c r="T4507">
        <v>-0.20702209999999999</v>
      </c>
      <c r="U4507">
        <v>-3.0432739999999998</v>
      </c>
      <c r="V4507">
        <v>-0.17006470000000001</v>
      </c>
      <c r="W4507">
        <v>0.1190406</v>
      </c>
      <c r="X4507">
        <v>0.97821639999999999</v>
      </c>
      <c r="Y4507">
        <v>-0.1167643</v>
      </c>
      <c r="Z4507">
        <v>5.7311769999999998E-2</v>
      </c>
      <c r="AA4507">
        <v>0.99150470000000002</v>
      </c>
      <c r="AB4507">
        <v>17</v>
      </c>
      <c r="AC4507">
        <v>0.660399999999981</v>
      </c>
      <c r="AD4507">
        <v>-1.1210942252789999</v>
      </c>
      <c r="AE4507">
        <v>-16.302900000000001</v>
      </c>
      <c r="AF4507">
        <v>-1.91876093462622</v>
      </c>
      <c r="AG4507">
        <v>-1.1210942252789999</v>
      </c>
      <c r="AH4507">
        <v>16.125849381343802</v>
      </c>
      <c r="AI4507">
        <v>93.949124995927406</v>
      </c>
      <c r="AJ4507">
        <v>96.785530581278195</v>
      </c>
      <c r="AK4507">
        <v>16.278252794940499</v>
      </c>
      <c r="AL4507">
        <v>83.163263845989704</v>
      </c>
      <c r="AM4507">
        <v>99.862401958718706</v>
      </c>
      <c r="AN4507">
        <v>0.99999999593170397</v>
      </c>
    </row>
    <row r="4508" spans="1:40" x14ac:dyDescent="0.25">
      <c r="A4508" t="str">
        <f>"20190303161959946"</f>
        <v>20190303161959946</v>
      </c>
      <c r="B4508" t="str">
        <f>"1551601199936849"</f>
        <v>1551601199936849</v>
      </c>
      <c r="C4508" t="s">
        <v>40</v>
      </c>
      <c r="D4508">
        <v>4.5307839999999997</v>
      </c>
      <c r="E4508">
        <v>0.51972059999999998</v>
      </c>
      <c r="F4508" t="s">
        <v>41</v>
      </c>
      <c r="G4508">
        <v>-491.09859999999998</v>
      </c>
      <c r="H4508" s="1">
        <v>-2.3133559999999998E-6</v>
      </c>
      <c r="I4508">
        <v>234.30019999999999</v>
      </c>
      <c r="J4508">
        <v>-491.72550000000001</v>
      </c>
      <c r="K4508">
        <v>1.1210910000000001</v>
      </c>
      <c r="L4508">
        <v>250.24369999999999</v>
      </c>
      <c r="M4508">
        <v>-7.7986730000000004E-2</v>
      </c>
      <c r="N4508">
        <v>-1.000436E-2</v>
      </c>
      <c r="O4508">
        <v>-0.99690409999999996</v>
      </c>
      <c r="P4508">
        <v>9.2497330000000003E-2</v>
      </c>
      <c r="Q4508">
        <v>0.109066</v>
      </c>
      <c r="R4508">
        <v>-0.98972179999999998</v>
      </c>
      <c r="S4508">
        <v>0.1156006</v>
      </c>
      <c r="T4508">
        <v>-0.21159800000000001</v>
      </c>
      <c r="U4508">
        <v>-3.0438999999999998</v>
      </c>
      <c r="V4508">
        <v>-0.16938349999999999</v>
      </c>
      <c r="W4508">
        <v>0.1188905</v>
      </c>
      <c r="X4508">
        <v>0.97835280000000002</v>
      </c>
      <c r="Y4508">
        <v>-0.11565690000000001</v>
      </c>
      <c r="Z4508">
        <v>5.877537E-2</v>
      </c>
      <c r="AA4508">
        <v>0.99154880000000001</v>
      </c>
      <c r="AB4508">
        <v>17</v>
      </c>
      <c r="AC4508">
        <v>0.62690000000003399</v>
      </c>
      <c r="AD4508">
        <v>-1.1210933133559999</v>
      </c>
      <c r="AE4508">
        <v>-15.9435</v>
      </c>
      <c r="AF4508">
        <v>-1.8592555337216199</v>
      </c>
      <c r="AG4508">
        <v>-1.1210933133559999</v>
      </c>
      <c r="AH4508">
        <v>15.768200815332101</v>
      </c>
      <c r="AI4508">
        <v>94.038906671086906</v>
      </c>
      <c r="AJ4508">
        <v>96.724792777629204</v>
      </c>
      <c r="AK4508">
        <v>15.9169669946748</v>
      </c>
      <c r="AL4508">
        <v>83.171925215446905</v>
      </c>
      <c r="AM4508">
        <v>99.822326012838602</v>
      </c>
      <c r="AN4508">
        <v>0.99999996116516898</v>
      </c>
    </row>
    <row r="4509" spans="1:40" x14ac:dyDescent="0.25">
      <c r="A4509" t="str">
        <f>"20190303161959961"</f>
        <v>20190303161959961</v>
      </c>
      <c r="B4509" t="str">
        <f>"1551601199957347"</f>
        <v>1551601199957347</v>
      </c>
      <c r="C4509" t="s">
        <v>40</v>
      </c>
      <c r="D4509">
        <v>4.5638690000000004</v>
      </c>
      <c r="E4509">
        <v>0.51981290000000002</v>
      </c>
      <c r="F4509" t="s">
        <v>41</v>
      </c>
      <c r="G4509">
        <v>-491.12779999999998</v>
      </c>
      <c r="H4509" s="1">
        <v>-2.2995830000000001E-6</v>
      </c>
      <c r="I4509">
        <v>234.25</v>
      </c>
      <c r="J4509">
        <v>-491.73570000000001</v>
      </c>
      <c r="K4509">
        <v>1.1210899999999999</v>
      </c>
      <c r="L4509">
        <v>250.11580000000001</v>
      </c>
      <c r="M4509">
        <v>-7.8072039999999995E-2</v>
      </c>
      <c r="N4509">
        <v>-1.0010410000000001E-2</v>
      </c>
      <c r="O4509">
        <v>-0.99689749999999999</v>
      </c>
      <c r="P4509">
        <v>9.1816259999999997E-2</v>
      </c>
      <c r="Q4509">
        <v>0.1091005</v>
      </c>
      <c r="R4509">
        <v>-0.98978129999999998</v>
      </c>
      <c r="S4509">
        <v>0.1137695</v>
      </c>
      <c r="T4509">
        <v>-0.21337339999999999</v>
      </c>
      <c r="U4509">
        <v>-3.044006</v>
      </c>
      <c r="V4509">
        <v>-0.1687929</v>
      </c>
      <c r="W4509">
        <v>0.1189312</v>
      </c>
      <c r="X4509">
        <v>0.97844989999999998</v>
      </c>
      <c r="Y4509">
        <v>-0.1151435</v>
      </c>
      <c r="Z4509">
        <v>5.9343899999999998E-2</v>
      </c>
      <c r="AA4509">
        <v>0.99157459999999997</v>
      </c>
      <c r="AB4509">
        <v>17</v>
      </c>
      <c r="AC4509">
        <v>0.60790000000002897</v>
      </c>
      <c r="AD4509">
        <v>-1.1210922995829999</v>
      </c>
      <c r="AE4509">
        <v>-15.8658</v>
      </c>
      <c r="AF4509">
        <v>-1.8356299185034299</v>
      </c>
      <c r="AG4509">
        <v>-1.1210922995829999</v>
      </c>
      <c r="AH4509">
        <v>15.6916727400687</v>
      </c>
      <c r="AI4509">
        <v>94.058971129228098</v>
      </c>
      <c r="AJ4509">
        <v>96.672200995734102</v>
      </c>
      <c r="AK4509">
        <v>15.838402019247599</v>
      </c>
      <c r="AL4509">
        <v>83.169576469192705</v>
      </c>
      <c r="AM4509">
        <v>99.7877889385651</v>
      </c>
      <c r="AN4509">
        <v>0.99999994011692805</v>
      </c>
    </row>
    <row r="4510" spans="1:40" x14ac:dyDescent="0.25">
      <c r="A4510" t="str">
        <f>"20190303161959977"</f>
        <v>20190303161959977</v>
      </c>
      <c r="B4510" t="str">
        <f>"1551601199967105"</f>
        <v>1551601199967105</v>
      </c>
      <c r="C4510" t="s">
        <v>40</v>
      </c>
      <c r="D4510">
        <v>4.5911629999999999</v>
      </c>
      <c r="E4510">
        <v>0.51983299999999999</v>
      </c>
      <c r="F4510" t="s">
        <v>41</v>
      </c>
      <c r="G4510">
        <v>-491.15249999999997</v>
      </c>
      <c r="H4510" s="1">
        <v>-2.2645800000000002E-6</v>
      </c>
      <c r="I4510">
        <v>234.15309999999999</v>
      </c>
      <c r="J4510">
        <v>-491.74549999999999</v>
      </c>
      <c r="K4510">
        <v>1.1210869999999999</v>
      </c>
      <c r="L4510">
        <v>249.99160000000001</v>
      </c>
      <c r="M4510">
        <v>-7.8153769999999997E-2</v>
      </c>
      <c r="N4510">
        <v>-1.0015960000000001E-2</v>
      </c>
      <c r="O4510">
        <v>-0.99689099999999997</v>
      </c>
      <c r="P4510">
        <v>9.1009649999999997E-2</v>
      </c>
      <c r="Q4510">
        <v>0.10836750000000001</v>
      </c>
      <c r="R4510">
        <v>-0.98993629999999999</v>
      </c>
      <c r="S4510">
        <v>0.1112061</v>
      </c>
      <c r="T4510">
        <v>-0.21380099999999999</v>
      </c>
      <c r="U4510">
        <v>-3.0442200000000001</v>
      </c>
      <c r="V4510">
        <v>-0.1680816</v>
      </c>
      <c r="W4510">
        <v>0.1182049</v>
      </c>
      <c r="X4510">
        <v>0.97866039999999999</v>
      </c>
      <c r="Y4510">
        <v>-0.1143884</v>
      </c>
      <c r="Z4510">
        <v>5.9475649999999998E-2</v>
      </c>
      <c r="AA4510">
        <v>0.99165420000000004</v>
      </c>
      <c r="AB4510">
        <v>17</v>
      </c>
      <c r="AC4510">
        <v>0.59300000000001696</v>
      </c>
      <c r="AD4510">
        <v>-1.1210892645799999</v>
      </c>
      <c r="AE4510">
        <v>-15.8385</v>
      </c>
      <c r="AF4510">
        <v>-1.8199809543780601</v>
      </c>
      <c r="AG4510">
        <v>-1.1210892645799999</v>
      </c>
      <c r="AH4510">
        <v>15.6653266084296</v>
      </c>
      <c r="AI4510">
        <v>94.0661376108974</v>
      </c>
      <c r="AJ4510">
        <v>96.6268537619504</v>
      </c>
      <c r="AK4510">
        <v>15.810491123372101</v>
      </c>
      <c r="AL4510">
        <v>83.211486442799</v>
      </c>
      <c r="AM4510">
        <v>99.745279314274597</v>
      </c>
      <c r="AN4510">
        <v>1.00000000058536</v>
      </c>
    </row>
    <row r="4511" spans="1:40" x14ac:dyDescent="0.25">
      <c r="A4511" t="str">
        <f>"20190303162000001"</f>
        <v>20190303162000001</v>
      </c>
      <c r="B4511" t="str">
        <f>"1551601199986626"</f>
        <v>1551601199986626</v>
      </c>
      <c r="C4511" t="s">
        <v>40</v>
      </c>
      <c r="D4511">
        <v>4.6139559999999999</v>
      </c>
      <c r="E4511">
        <v>0.51980409999999999</v>
      </c>
      <c r="F4511" t="s">
        <v>41</v>
      </c>
      <c r="G4511">
        <v>-491.1832</v>
      </c>
      <c r="H4511" s="1">
        <v>-2.2913220000000002E-6</v>
      </c>
      <c r="I4511">
        <v>234.19640000000001</v>
      </c>
      <c r="J4511">
        <v>-491.7595</v>
      </c>
      <c r="K4511">
        <v>1.121092</v>
      </c>
      <c r="L4511">
        <v>249.8141</v>
      </c>
      <c r="M4511">
        <v>-7.8265290000000001E-2</v>
      </c>
      <c r="N4511">
        <v>-1.002343E-2</v>
      </c>
      <c r="O4511">
        <v>-0.99688239999999995</v>
      </c>
      <c r="P4511">
        <v>9.0306919999999999E-2</v>
      </c>
      <c r="Q4511">
        <v>0.10757369999999999</v>
      </c>
      <c r="R4511">
        <v>-0.99008770000000001</v>
      </c>
      <c r="S4511">
        <v>0.1083679</v>
      </c>
      <c r="T4511">
        <v>-0.2160648</v>
      </c>
      <c r="U4511">
        <v>-3.0441739999999999</v>
      </c>
      <c r="V4511">
        <v>-0.16750370000000001</v>
      </c>
      <c r="W4511">
        <v>0.11741889999999899</v>
      </c>
      <c r="X4511">
        <v>0.97885409999999995</v>
      </c>
      <c r="Y4511">
        <v>-0.113575</v>
      </c>
      <c r="Z4511">
        <v>6.0205689999999999E-2</v>
      </c>
      <c r="AA4511">
        <v>0.99170360000000002</v>
      </c>
      <c r="AB4511">
        <v>17</v>
      </c>
      <c r="AC4511">
        <v>0.57630000000000303</v>
      </c>
      <c r="AD4511">
        <v>-1.1210942913219999</v>
      </c>
      <c r="AE4511">
        <v>-15.6176999999999</v>
      </c>
      <c r="AF4511">
        <v>-1.78771764687088</v>
      </c>
      <c r="AG4511">
        <v>-1.1210942913219999</v>
      </c>
      <c r="AH4511">
        <v>15.4452033432355</v>
      </c>
      <c r="AI4511">
        <v>94.124111306772704</v>
      </c>
      <c r="AJ4511">
        <v>96.602367112885204</v>
      </c>
      <c r="AK4511">
        <v>15.5886847780325</v>
      </c>
      <c r="AL4511">
        <v>83.256836869722207</v>
      </c>
      <c r="AM4511">
        <v>99.710526903726304</v>
      </c>
      <c r="AN4511">
        <v>1.00000001833885</v>
      </c>
    </row>
    <row r="4512" spans="1:40" x14ac:dyDescent="0.25">
      <c r="A4512" t="str">
        <f>"20190303162000014"</f>
        <v>20190303162000014</v>
      </c>
      <c r="B4512" t="str">
        <f>"1551601200007122"</f>
        <v>1551601200007122</v>
      </c>
      <c r="C4512" t="s">
        <v>40</v>
      </c>
      <c r="D4512">
        <v>4.5828530000000001</v>
      </c>
      <c r="E4512">
        <v>0.51978859999999905</v>
      </c>
      <c r="F4512" t="s">
        <v>41</v>
      </c>
      <c r="G4512">
        <v>-491.2133</v>
      </c>
      <c r="H4512" s="1">
        <v>-2.3051479999999998E-6</v>
      </c>
      <c r="I4512">
        <v>234.21</v>
      </c>
      <c r="J4512">
        <v>-491.76839999999999</v>
      </c>
      <c r="K4512">
        <v>1.121095</v>
      </c>
      <c r="L4512">
        <v>249.70259999999999</v>
      </c>
      <c r="M4512">
        <v>-7.8330010000000005E-2</v>
      </c>
      <c r="N4512">
        <v>-1.002777E-2</v>
      </c>
      <c r="O4512">
        <v>-0.99687720000000002</v>
      </c>
      <c r="P4512">
        <v>8.9928899999999895E-2</v>
      </c>
      <c r="Q4512">
        <v>0.1075747</v>
      </c>
      <c r="R4512">
        <v>-0.9901219</v>
      </c>
      <c r="S4512">
        <v>0.10656740000000001</v>
      </c>
      <c r="T4512">
        <v>-0.21870729999999999</v>
      </c>
      <c r="U4512">
        <v>-3.0441129999999998</v>
      </c>
      <c r="V4512">
        <v>-0.16719410000000001</v>
      </c>
      <c r="W4512">
        <v>0.11742320000000001</v>
      </c>
      <c r="X4512">
        <v>0.97890650000000001</v>
      </c>
      <c r="Y4512">
        <v>-0.11305220000000001</v>
      </c>
      <c r="Z4512">
        <v>6.1060339999999998E-2</v>
      </c>
      <c r="AA4512">
        <v>0.99171109999999896</v>
      </c>
      <c r="AB4512">
        <v>17</v>
      </c>
      <c r="AC4512">
        <v>0.55509999999998105</v>
      </c>
      <c r="AD4512">
        <v>-1.121097305148</v>
      </c>
      <c r="AE4512">
        <v>-15.4925999999999</v>
      </c>
      <c r="AF4512">
        <v>-1.7577977854486</v>
      </c>
      <c r="AG4512">
        <v>-1.121097305148</v>
      </c>
      <c r="AH4512">
        <v>15.3213838129702</v>
      </c>
      <c r="AI4512">
        <v>94.157814372235904</v>
      </c>
      <c r="AJ4512">
        <v>96.544837268199998</v>
      </c>
      <c r="AK4512">
        <v>15.4625843301333</v>
      </c>
      <c r="AL4512">
        <v>83.256588693712303</v>
      </c>
      <c r="AM4512">
        <v>99.692410553830896</v>
      </c>
      <c r="AN4512">
        <v>1.0000000053576401</v>
      </c>
    </row>
    <row r="4513" spans="1:40" x14ac:dyDescent="0.25">
      <c r="A4513" t="str">
        <f>"20190303162000029"</f>
        <v>20190303162000029</v>
      </c>
      <c r="B4513" t="str">
        <f>"1551601200016882"</f>
        <v>1551601200016882</v>
      </c>
      <c r="C4513" t="s">
        <v>40</v>
      </c>
      <c r="D4513">
        <v>4.5852360000000001</v>
      </c>
      <c r="E4513">
        <v>0.519764</v>
      </c>
      <c r="F4513" t="s">
        <v>41</v>
      </c>
      <c r="G4513">
        <v>-491.22160000000002</v>
      </c>
      <c r="H4513" s="1">
        <v>-2.2013999999999998E-6</v>
      </c>
      <c r="I4513">
        <v>233.96299999999999</v>
      </c>
      <c r="J4513">
        <v>-491.77749999999997</v>
      </c>
      <c r="K4513">
        <v>1.121097</v>
      </c>
      <c r="L4513">
        <v>249.58789999999999</v>
      </c>
      <c r="M4513">
        <v>-7.8392539999999997E-2</v>
      </c>
      <c r="N4513">
        <v>-1.0032040000000001E-2</v>
      </c>
      <c r="O4513">
        <v>-0.99687219999999999</v>
      </c>
      <c r="P4513">
        <v>8.9551930000000002E-2</v>
      </c>
      <c r="Q4513">
        <v>0.10762629999999999</v>
      </c>
      <c r="R4513">
        <v>-0.99015030000000004</v>
      </c>
      <c r="S4513">
        <v>0.1057434</v>
      </c>
      <c r="T4513">
        <v>-0.21680759999999999</v>
      </c>
      <c r="U4513">
        <v>-3.0438689999999999</v>
      </c>
      <c r="V4513">
        <v>-0.16688359999999999</v>
      </c>
      <c r="W4513">
        <v>0.1174776</v>
      </c>
      <c r="X4513">
        <v>0.97895290000000001</v>
      </c>
      <c r="Y4513">
        <v>-0.1128509</v>
      </c>
      <c r="Z4513">
        <v>6.0447720000000003E-2</v>
      </c>
      <c r="AA4513">
        <v>0.99177150000000003</v>
      </c>
      <c r="AB4513">
        <v>17</v>
      </c>
      <c r="AC4513">
        <v>0.55589999999995099</v>
      </c>
      <c r="AD4513">
        <v>-1.1210992014000001</v>
      </c>
      <c r="AE4513">
        <v>-15.624899999999901</v>
      </c>
      <c r="AF4513">
        <v>-1.7700253057920801</v>
      </c>
      <c r="AG4513">
        <v>-1.1210992014000001</v>
      </c>
      <c r="AH4513">
        <v>15.453771820144899</v>
      </c>
      <c r="AI4513">
        <v>94.122414910958597</v>
      </c>
      <c r="AJ4513">
        <v>96.534001047706994</v>
      </c>
      <c r="AK4513">
        <v>15.5951568274137</v>
      </c>
      <c r="AL4513">
        <v>83.253449714708694</v>
      </c>
      <c r="AM4513">
        <v>99.674301172562906</v>
      </c>
      <c r="AN4513">
        <v>0.99999995143456299</v>
      </c>
    </row>
    <row r="4514" spans="1:40" x14ac:dyDescent="0.25">
      <c r="A4514" t="str">
        <f>"20190303162000046"</f>
        <v>20190303162000046</v>
      </c>
      <c r="B4514" t="str">
        <f>"1551601200037378"</f>
        <v>1551601200037378</v>
      </c>
      <c r="C4514" t="s">
        <v>40</v>
      </c>
      <c r="D4514">
        <v>4.627542</v>
      </c>
      <c r="E4514">
        <v>0.51974860000000001</v>
      </c>
      <c r="F4514" t="s">
        <v>41</v>
      </c>
      <c r="G4514">
        <v>-491.23289999999997</v>
      </c>
      <c r="H4514" s="1">
        <v>-2.149111E-6</v>
      </c>
      <c r="I4514">
        <v>233.83410000000001</v>
      </c>
      <c r="J4514">
        <v>-491.78769999999997</v>
      </c>
      <c r="K4514">
        <v>1.1210979999999999</v>
      </c>
      <c r="L4514">
        <v>249.45949999999999</v>
      </c>
      <c r="M4514">
        <v>-7.8456419999999999E-2</v>
      </c>
      <c r="N4514">
        <v>-1.0036649999999999E-2</v>
      </c>
      <c r="O4514">
        <v>-0.99686719999999895</v>
      </c>
      <c r="P4514">
        <v>8.8788679999999995E-2</v>
      </c>
      <c r="Q4514">
        <v>0.10721269999999999</v>
      </c>
      <c r="R4514">
        <v>-0.99026380000000003</v>
      </c>
      <c r="S4514">
        <v>0.1052246</v>
      </c>
      <c r="T4514">
        <v>-0.2166131</v>
      </c>
      <c r="U4514">
        <v>-3.0438689999999999</v>
      </c>
      <c r="V4514">
        <v>-0.16619610000000001</v>
      </c>
      <c r="W4514">
        <v>0.1170675</v>
      </c>
      <c r="X4514">
        <v>0.97911899999999996</v>
      </c>
      <c r="Y4514">
        <v>-0.112745899999999</v>
      </c>
      <c r="Z4514">
        <v>6.0380299999999998E-2</v>
      </c>
      <c r="AA4514">
        <v>0.99178759999999999</v>
      </c>
      <c r="AB4514">
        <v>17</v>
      </c>
      <c r="AC4514">
        <v>0.55479999999999996</v>
      </c>
      <c r="AD4514">
        <v>-1.121100149111</v>
      </c>
      <c r="AE4514">
        <v>-15.6253999999999</v>
      </c>
      <c r="AF4514">
        <v>-1.7699641063537701</v>
      </c>
      <c r="AG4514">
        <v>-1.121100149111</v>
      </c>
      <c r="AH4514">
        <v>15.45424466555</v>
      </c>
      <c r="AI4514">
        <v>94.122296153791794</v>
      </c>
      <c r="AJ4514">
        <v>96.5335789031259</v>
      </c>
      <c r="AK4514">
        <v>15.5956185085683</v>
      </c>
      <c r="AL4514">
        <v>83.277110167325205</v>
      </c>
      <c r="AM4514">
        <v>99.633591299838201</v>
      </c>
      <c r="AN4514">
        <v>0.999999979686229</v>
      </c>
    </row>
    <row r="4515" spans="1:40" x14ac:dyDescent="0.25">
      <c r="A4515" t="str">
        <f>"20190303162000060"</f>
        <v>20190303162000060</v>
      </c>
      <c r="B4515" t="str">
        <f>"1551601200047138"</f>
        <v>1551601200047138</v>
      </c>
      <c r="C4515" t="s">
        <v>40</v>
      </c>
      <c r="D4515">
        <v>4.6244129999999997</v>
      </c>
      <c r="E4515">
        <v>0.51974779999999998</v>
      </c>
      <c r="F4515" t="s">
        <v>41</v>
      </c>
      <c r="G4515">
        <v>-491.25450000000001</v>
      </c>
      <c r="H4515" s="1">
        <v>-2.1541709999999999E-6</v>
      </c>
      <c r="I4515">
        <v>233.83250000000001</v>
      </c>
      <c r="J4515">
        <v>-491.79689999999999</v>
      </c>
      <c r="K4515">
        <v>1.121105</v>
      </c>
      <c r="L4515">
        <v>249.34270000000001</v>
      </c>
      <c r="M4515">
        <v>-7.8506210000000007E-2</v>
      </c>
      <c r="N4515">
        <v>-1.004066E-2</v>
      </c>
      <c r="O4515">
        <v>-0.9968629</v>
      </c>
      <c r="P4515">
        <v>8.8460419999999998E-2</v>
      </c>
      <c r="Q4515">
        <v>0.10674</v>
      </c>
      <c r="R4515">
        <v>-0.99034409999999895</v>
      </c>
      <c r="S4515">
        <v>0.10385129999999999</v>
      </c>
      <c r="T4515">
        <v>-0.21836710000000001</v>
      </c>
      <c r="U4515">
        <v>-3.0438230000000002</v>
      </c>
      <c r="V4515">
        <v>-0.16592609999999999</v>
      </c>
      <c r="W4515">
        <v>0.1165968</v>
      </c>
      <c r="X4515">
        <v>0.97922100000000001</v>
      </c>
      <c r="Y4515">
        <v>-0.1123478</v>
      </c>
      <c r="Z4515">
        <v>6.0946889999999997E-2</v>
      </c>
      <c r="AA4515">
        <v>0.99179810000000002</v>
      </c>
      <c r="AB4515">
        <v>18</v>
      </c>
      <c r="AC4515">
        <v>0.542399999999986</v>
      </c>
      <c r="AD4515">
        <v>-1.121107154171</v>
      </c>
      <c r="AE4515">
        <v>-15.5101999999999</v>
      </c>
      <c r="AF4515">
        <v>-1.7493059805751401</v>
      </c>
      <c r="AG4515">
        <v>-1.121107154171</v>
      </c>
      <c r="AH4515">
        <v>15.339693875756801</v>
      </c>
      <c r="AI4515">
        <v>94.153227830859706</v>
      </c>
      <c r="AJ4515">
        <v>96.505783881403502</v>
      </c>
      <c r="AK4515">
        <v>15.4797661761003</v>
      </c>
      <c r="AL4515">
        <v>83.304265567538394</v>
      </c>
      <c r="AM4515">
        <v>99.617250133427007</v>
      </c>
      <c r="AN4515">
        <v>1.00000002563622</v>
      </c>
    </row>
    <row r="4516" spans="1:40" x14ac:dyDescent="0.25">
      <c r="A4516" t="str">
        <f>"20190303162000075"</f>
        <v>20190303162000075</v>
      </c>
      <c r="B4516" t="str">
        <f>"1551601200066658"</f>
        <v>1551601200066658</v>
      </c>
      <c r="C4516" t="s">
        <v>40</v>
      </c>
      <c r="D4516">
        <v>4.5439930000000004</v>
      </c>
      <c r="E4516">
        <v>0.51981980000000005</v>
      </c>
      <c r="F4516" t="s">
        <v>41</v>
      </c>
      <c r="G4516">
        <v>-491.27539999999999</v>
      </c>
      <c r="H4516" s="1">
        <v>-2.167233E-6</v>
      </c>
      <c r="I4516">
        <v>233.84989999999999</v>
      </c>
      <c r="J4516">
        <v>-491.80560000000003</v>
      </c>
      <c r="K4516">
        <v>1.1211100000000001</v>
      </c>
      <c r="L4516">
        <v>249.23240000000001</v>
      </c>
      <c r="M4516">
        <v>-7.854651E-2</v>
      </c>
      <c r="N4516">
        <v>-1.0044290000000001E-2</v>
      </c>
      <c r="O4516">
        <v>-0.99685979999999996</v>
      </c>
      <c r="P4516">
        <v>8.8120539999999997E-2</v>
      </c>
      <c r="Q4516">
        <v>0.1064533</v>
      </c>
      <c r="R4516">
        <v>-0.99040530000000004</v>
      </c>
      <c r="S4516">
        <v>0.1024475</v>
      </c>
      <c r="T4516">
        <v>-0.2202607</v>
      </c>
      <c r="U4516">
        <v>-3.0438230000000002</v>
      </c>
      <c r="V4516">
        <v>-0.1656338</v>
      </c>
      <c r="W4516">
        <v>0.1163112</v>
      </c>
      <c r="X4516">
        <v>0.97930439999999996</v>
      </c>
      <c r="Y4516">
        <v>-0.1119296</v>
      </c>
      <c r="Z4516">
        <v>6.1558080000000001E-2</v>
      </c>
      <c r="AA4516">
        <v>0.99180760000000001</v>
      </c>
      <c r="AB4516">
        <v>18</v>
      </c>
      <c r="AC4516">
        <v>0.53020000000003598</v>
      </c>
      <c r="AD4516">
        <v>-1.121112167233</v>
      </c>
      <c r="AE4516">
        <v>-15.3825</v>
      </c>
      <c r="AF4516">
        <v>-1.7276981055567899</v>
      </c>
      <c r="AG4516">
        <v>-1.121112167233</v>
      </c>
      <c r="AH4516">
        <v>15.2126117880058</v>
      </c>
      <c r="AI4516">
        <v>94.188037815370507</v>
      </c>
      <c r="AJ4516">
        <v>96.479326419915296</v>
      </c>
      <c r="AK4516">
        <v>15.3513970259399</v>
      </c>
      <c r="AL4516">
        <v>83.320741031338898</v>
      </c>
      <c r="AM4516">
        <v>99.5998213402722</v>
      </c>
      <c r="AN4516">
        <v>0.99999997940361895</v>
      </c>
    </row>
    <row r="4517" spans="1:40" x14ac:dyDescent="0.25">
      <c r="A4517" t="str">
        <f>"20190303162000091"</f>
        <v>20190303162000091</v>
      </c>
      <c r="B4517" t="str">
        <f>"1551601200077394"</f>
        <v>1551601200077394</v>
      </c>
      <c r="C4517" t="s">
        <v>40</v>
      </c>
      <c r="D4517">
        <v>4.5307139999999997</v>
      </c>
      <c r="E4517">
        <v>0.51985309999999996</v>
      </c>
      <c r="F4517" t="s">
        <v>41</v>
      </c>
      <c r="G4517">
        <v>-491.28919999999999</v>
      </c>
      <c r="H4517" s="1">
        <v>-2.078066E-6</v>
      </c>
      <c r="I4517">
        <v>233.6335</v>
      </c>
      <c r="J4517">
        <v>-491.81509999999997</v>
      </c>
      <c r="K4517">
        <v>1.1211169999999999</v>
      </c>
      <c r="L4517">
        <v>249.11269999999999</v>
      </c>
      <c r="M4517">
        <v>-7.8582230000000003E-2</v>
      </c>
      <c r="N4517">
        <v>-1.0048100000000001E-2</v>
      </c>
      <c r="O4517">
        <v>-0.9968572</v>
      </c>
      <c r="P4517">
        <v>8.7686089999999994E-2</v>
      </c>
      <c r="Q4517">
        <v>0.1060454</v>
      </c>
      <c r="R4517">
        <v>-0.99048760000000002</v>
      </c>
      <c r="S4517">
        <v>0.100769</v>
      </c>
      <c r="T4517">
        <v>-0.218749</v>
      </c>
      <c r="U4517">
        <v>-3.0436100000000001</v>
      </c>
      <c r="V4517">
        <v>-0.1652448</v>
      </c>
      <c r="W4517">
        <v>0.11590490000000001</v>
      </c>
      <c r="X4517">
        <v>0.97941829999999996</v>
      </c>
      <c r="Y4517">
        <v>-0.1114226</v>
      </c>
      <c r="Z4517">
        <v>6.1072710000000002E-2</v>
      </c>
      <c r="AA4517">
        <v>0.99189470000000002</v>
      </c>
      <c r="AB4517">
        <v>18</v>
      </c>
      <c r="AC4517">
        <v>0.52589999999997805</v>
      </c>
      <c r="AD4517">
        <v>-1.1211190780660001</v>
      </c>
      <c r="AE4517">
        <v>-15.479199999999899</v>
      </c>
      <c r="AF4517">
        <v>-1.7316514643940599</v>
      </c>
      <c r="AG4517">
        <v>-1.1211190780660001</v>
      </c>
      <c r="AH4517">
        <v>15.309780892226399</v>
      </c>
      <c r="AI4517">
        <v>94.161790823373593</v>
      </c>
      <c r="AJ4517">
        <v>96.453158129695098</v>
      </c>
      <c r="AK4517">
        <v>15.4481363196122</v>
      </c>
      <c r="AL4517">
        <v>83.344178951486498</v>
      </c>
      <c r="AM4517">
        <v>99.576600579321394</v>
      </c>
      <c r="AN4517">
        <v>0.99999999807297002</v>
      </c>
    </row>
    <row r="4518" spans="1:40" x14ac:dyDescent="0.25">
      <c r="A4518" t="str">
        <f>"20190303162000112"</f>
        <v>20190303162000112</v>
      </c>
      <c r="B4518" t="str">
        <f>"1551601200096914"</f>
        <v>1551601200096914</v>
      </c>
      <c r="C4518" t="s">
        <v>40</v>
      </c>
      <c r="D4518">
        <v>4.6106569999999998</v>
      </c>
      <c r="E4518">
        <v>0.51983119999999905</v>
      </c>
      <c r="F4518" t="s">
        <v>41</v>
      </c>
      <c r="G4518">
        <v>-491.30599999999998</v>
      </c>
      <c r="H4518" s="1">
        <v>-2.0158039999999999E-6</v>
      </c>
      <c r="I4518">
        <v>233.47800000000001</v>
      </c>
      <c r="J4518">
        <v>-491.82870000000003</v>
      </c>
      <c r="K4518">
        <v>1.1211310000000001</v>
      </c>
      <c r="L4518">
        <v>248.9409</v>
      </c>
      <c r="M4518">
        <v>-7.8613760000000005E-2</v>
      </c>
      <c r="N4518">
        <v>-1.0053390000000001E-2</v>
      </c>
      <c r="O4518">
        <v>-0.99685460000000004</v>
      </c>
      <c r="P4518">
        <v>8.7228719999999996E-2</v>
      </c>
      <c r="Q4518">
        <v>0.1069316</v>
      </c>
      <c r="R4518">
        <v>-0.99043289999999995</v>
      </c>
      <c r="S4518">
        <v>9.9090579999999998E-2</v>
      </c>
      <c r="T4518">
        <v>-0.2182325</v>
      </c>
      <c r="U4518">
        <v>-3.043396</v>
      </c>
      <c r="V4518">
        <v>-0.1648193</v>
      </c>
      <c r="W4518">
        <v>0.11679050000000001</v>
      </c>
      <c r="X4518">
        <v>0.97938480000000006</v>
      </c>
      <c r="Y4518">
        <v>-0.1109105</v>
      </c>
      <c r="Z4518">
        <v>6.0907830000000003E-2</v>
      </c>
      <c r="AA4518">
        <v>0.99196229999999996</v>
      </c>
      <c r="AB4518">
        <v>18</v>
      </c>
      <c r="AC4518">
        <v>0.52270000000004302</v>
      </c>
      <c r="AD4518">
        <v>-1.1211330158039901</v>
      </c>
      <c r="AE4518">
        <v>-15.462899999999999</v>
      </c>
      <c r="AF4518">
        <v>-1.7276682592550701</v>
      </c>
      <c r="AG4518">
        <v>-1.1211330158039901</v>
      </c>
      <c r="AH4518">
        <v>15.293640449334299</v>
      </c>
      <c r="AI4518">
        <v>94.166284575079203</v>
      </c>
      <c r="AJ4518">
        <v>96.445176921974607</v>
      </c>
      <c r="AK4518">
        <v>15.431695144950201</v>
      </c>
      <c r="AL4518">
        <v>83.2930908880423</v>
      </c>
      <c r="AM4518">
        <v>99.552716851611095</v>
      </c>
      <c r="AN4518">
        <v>1.00000000450689</v>
      </c>
    </row>
    <row r="4519" spans="1:40" x14ac:dyDescent="0.25">
      <c r="A4519" t="str">
        <f>"20190303162000127"</f>
        <v>20190303162000127</v>
      </c>
      <c r="B4519" t="str">
        <f>"1551601200117410"</f>
        <v>1551601200117410</v>
      </c>
      <c r="C4519" t="s">
        <v>40</v>
      </c>
      <c r="D4519">
        <v>4.5900970000000001</v>
      </c>
      <c r="E4519">
        <v>0.51982839999999997</v>
      </c>
      <c r="F4519" t="s">
        <v>41</v>
      </c>
      <c r="G4519">
        <v>-491.3168</v>
      </c>
      <c r="H4519" s="1">
        <v>-1.821821E-6</v>
      </c>
      <c r="I4519">
        <v>233.01910000000001</v>
      </c>
      <c r="J4519">
        <v>-491.83800000000002</v>
      </c>
      <c r="K4519">
        <v>1.1211390000000001</v>
      </c>
      <c r="L4519">
        <v>248.8236</v>
      </c>
      <c r="M4519">
        <v>-7.8624899999999998E-2</v>
      </c>
      <c r="N4519">
        <v>-1.0056880000000001E-2</v>
      </c>
      <c r="O4519">
        <v>-0.99685360000000001</v>
      </c>
      <c r="P4519">
        <v>8.6834339999999996E-2</v>
      </c>
      <c r="Q4519">
        <v>0.107076</v>
      </c>
      <c r="R4519">
        <v>-0.99045170000000005</v>
      </c>
      <c r="S4519">
        <v>9.783936E-2</v>
      </c>
      <c r="T4519">
        <v>-0.21430830000000001</v>
      </c>
      <c r="U4519">
        <v>-3.0435029999999998</v>
      </c>
      <c r="V4519">
        <v>-0.164441</v>
      </c>
      <c r="W4519">
        <v>0.11693539999999999</v>
      </c>
      <c r="X4519">
        <v>0.9794311</v>
      </c>
      <c r="Y4519">
        <v>-0.1105165</v>
      </c>
      <c r="Z4519">
        <v>5.9633619999999998E-2</v>
      </c>
      <c r="AA4519">
        <v>0.99208359999999995</v>
      </c>
      <c r="AB4519">
        <v>18</v>
      </c>
      <c r="AC4519">
        <v>0.52120000000002098</v>
      </c>
      <c r="AD4519">
        <v>-1.1211408218209999</v>
      </c>
      <c r="AE4519">
        <v>-15.8044999999999</v>
      </c>
      <c r="AF4519">
        <v>-1.75346214285993</v>
      </c>
      <c r="AG4519">
        <v>-1.1211408218209999</v>
      </c>
      <c r="AH4519">
        <v>15.6359891170022</v>
      </c>
      <c r="AI4519">
        <v>94.075775075783</v>
      </c>
      <c r="AJ4519">
        <v>96.398570388359104</v>
      </c>
      <c r="AK4519">
        <v>15.7738943161101</v>
      </c>
      <c r="AL4519">
        <v>83.284731454178797</v>
      </c>
      <c r="AM4519">
        <v>99.530751480399701</v>
      </c>
      <c r="AN4519">
        <v>1.0000000049506801</v>
      </c>
    </row>
    <row r="4520" spans="1:40" x14ac:dyDescent="0.25">
      <c r="A4520" t="str">
        <f>"20190303162000146"</f>
        <v>20190303162000146</v>
      </c>
      <c r="B4520" t="str">
        <f>"1551601200136930"</f>
        <v>1551601200136930</v>
      </c>
      <c r="C4520" t="s">
        <v>40</v>
      </c>
      <c r="D4520">
        <v>4.5086729999999999</v>
      </c>
      <c r="E4520">
        <v>0.51966859999999904</v>
      </c>
      <c r="F4520" t="s">
        <v>41</v>
      </c>
      <c r="G4520">
        <v>-491.32440000000003</v>
      </c>
      <c r="H4520" s="1">
        <v>-1.6894939999999999E-6</v>
      </c>
      <c r="I4520">
        <v>232.70590000000001</v>
      </c>
      <c r="J4520">
        <v>-491.84989999999999</v>
      </c>
      <c r="K4520">
        <v>1.121151</v>
      </c>
      <c r="L4520">
        <v>248.67269999999999</v>
      </c>
      <c r="M4520">
        <v>-7.8627749999999996E-2</v>
      </c>
      <c r="N4520">
        <v>-1.006145E-2</v>
      </c>
      <c r="O4520">
        <v>-0.9968534</v>
      </c>
      <c r="P4520">
        <v>8.6848110000000006E-2</v>
      </c>
      <c r="Q4520">
        <v>0.1070291</v>
      </c>
      <c r="R4520">
        <v>-0.99045559999999999</v>
      </c>
      <c r="S4520">
        <v>9.6984860000000006E-2</v>
      </c>
      <c r="T4520">
        <v>-0.2116923</v>
      </c>
      <c r="U4520">
        <v>-3.04332</v>
      </c>
      <c r="V4520">
        <v>-0.1644611</v>
      </c>
      <c r="W4520">
        <v>0.11688949999999999</v>
      </c>
      <c r="X4520">
        <v>0.9794332</v>
      </c>
      <c r="Y4520">
        <v>-0.1102451</v>
      </c>
      <c r="Z4520">
        <v>5.8787609999999997E-2</v>
      </c>
      <c r="AA4520">
        <v>0.9921643</v>
      </c>
      <c r="AB4520">
        <v>18</v>
      </c>
      <c r="AC4520">
        <v>0.525499999999965</v>
      </c>
      <c r="AD4520">
        <v>-1.1211526894939901</v>
      </c>
      <c r="AE4520">
        <v>-15.9667999999999</v>
      </c>
      <c r="AF4520">
        <v>-1.77064906439381</v>
      </c>
      <c r="AG4520">
        <v>-1.1211526894939901</v>
      </c>
      <c r="AH4520">
        <v>15.798232151932201</v>
      </c>
      <c r="AI4520">
        <v>94.034127962182694</v>
      </c>
      <c r="AJ4520">
        <v>96.394961995974001</v>
      </c>
      <c r="AK4520">
        <v>15.936634543991399</v>
      </c>
      <c r="AL4520">
        <v>83.287379463053099</v>
      </c>
      <c r="AM4520">
        <v>99.531875008730196</v>
      </c>
      <c r="AN4520">
        <v>1.00000000094285</v>
      </c>
    </row>
    <row r="4521" spans="1:40" x14ac:dyDescent="0.25">
      <c r="A4521" t="str">
        <f>"20190303162000176"</f>
        <v>20190303162000176</v>
      </c>
      <c r="B4521" t="str">
        <f>"1551601200167186"</f>
        <v>1551601200167186</v>
      </c>
      <c r="C4521" t="s">
        <v>40</v>
      </c>
      <c r="D4521">
        <v>4.5886750000000003</v>
      </c>
      <c r="E4521">
        <v>0.51963950000000003</v>
      </c>
      <c r="F4521" t="s">
        <v>41</v>
      </c>
      <c r="G4521">
        <v>-491.32209999999998</v>
      </c>
      <c r="H4521" s="1">
        <v>-1.5153670000000001E-6</v>
      </c>
      <c r="I4521">
        <v>232.3015</v>
      </c>
      <c r="J4521">
        <v>-491.86840000000001</v>
      </c>
      <c r="K4521">
        <v>1.1211610000000001</v>
      </c>
      <c r="L4521">
        <v>248.4376</v>
      </c>
      <c r="M4521">
        <v>-7.8613089999999997E-2</v>
      </c>
      <c r="N4521">
        <v>-1.007576E-2</v>
      </c>
      <c r="O4521">
        <v>-0.99685440000000003</v>
      </c>
      <c r="P4521">
        <v>8.7585460000000004E-2</v>
      </c>
      <c r="Q4521">
        <v>0.10655729999999999</v>
      </c>
      <c r="R4521">
        <v>-0.99044160000000003</v>
      </c>
      <c r="S4521">
        <v>9.8114010000000001E-2</v>
      </c>
      <c r="T4521">
        <v>-0.2083836</v>
      </c>
      <c r="U4521">
        <v>-3.0428310000000001</v>
      </c>
      <c r="V4521">
        <v>-0.165182299999999</v>
      </c>
      <c r="W4521">
        <v>0.1164277</v>
      </c>
      <c r="X4521">
        <v>0.97936679999999998</v>
      </c>
      <c r="Y4521">
        <v>-0.1106058</v>
      </c>
      <c r="Z4521">
        <v>5.7710690000000002E-2</v>
      </c>
      <c r="AA4521">
        <v>0.99218740000000005</v>
      </c>
      <c r="AB4521">
        <v>18</v>
      </c>
      <c r="AC4521">
        <v>0.54630000000002998</v>
      </c>
      <c r="AD4521">
        <v>-1.121162515367</v>
      </c>
      <c r="AE4521">
        <v>-16.136099999999999</v>
      </c>
      <c r="AF4521">
        <v>-1.8044805575366101</v>
      </c>
      <c r="AG4521">
        <v>-1.121162515367</v>
      </c>
      <c r="AH4521">
        <v>15.9662166560377</v>
      </c>
      <c r="AI4521">
        <v>93.991441167790697</v>
      </c>
      <c r="AJ4521">
        <v>96.448131176950398</v>
      </c>
      <c r="AK4521">
        <v>16.106931109802598</v>
      </c>
      <c r="AL4521">
        <v>83.314020317923095</v>
      </c>
      <c r="AM4521">
        <v>99.573539581817798</v>
      </c>
      <c r="AN4521">
        <v>0.999999965251409</v>
      </c>
    </row>
    <row r="4522" spans="1:40" x14ac:dyDescent="0.25">
      <c r="A4522" t="str">
        <f>"20190303162000191"</f>
        <v>20190303162000191</v>
      </c>
      <c r="B4522" t="str">
        <f>"1551601200176946"</f>
        <v>1551601200176946</v>
      </c>
      <c r="C4522" t="s">
        <v>40</v>
      </c>
      <c r="D4522">
        <v>4.8916979999999999</v>
      </c>
      <c r="E4522">
        <v>0.51973549999999902</v>
      </c>
      <c r="F4522" t="s">
        <v>41</v>
      </c>
      <c r="G4522">
        <v>-491.32600000000002</v>
      </c>
      <c r="H4522" s="1">
        <v>-1.3685760000000001E-6</v>
      </c>
      <c r="I4522">
        <v>231.95689999999999</v>
      </c>
      <c r="J4522">
        <v>-491.8777</v>
      </c>
      <c r="K4522">
        <v>1.1211629999999999</v>
      </c>
      <c r="L4522">
        <v>248.31970000000001</v>
      </c>
      <c r="M4522">
        <v>-7.8594709999999998E-2</v>
      </c>
      <c r="N4522">
        <v>-1.008592E-2</v>
      </c>
      <c r="O4522">
        <v>-0.99685559999999995</v>
      </c>
      <c r="P4522">
        <v>8.9155890000000002E-2</v>
      </c>
      <c r="Q4522">
        <v>0.1061964</v>
      </c>
      <c r="R4522">
        <v>-0.99034009999999995</v>
      </c>
      <c r="S4522">
        <v>0.1001282</v>
      </c>
      <c r="T4522">
        <v>-0.2069666</v>
      </c>
      <c r="U4522">
        <v>-3.0423429999999998</v>
      </c>
      <c r="V4522">
        <v>-0.1667227</v>
      </c>
      <c r="W4522">
        <v>0.1160725</v>
      </c>
      <c r="X4522">
        <v>0.97914800000000002</v>
      </c>
      <c r="Y4522">
        <v>-0.1112496</v>
      </c>
      <c r="Z4522">
        <v>5.7248960000000002E-2</v>
      </c>
      <c r="AA4522">
        <v>0.99214210000000003</v>
      </c>
      <c r="AB4522">
        <v>18</v>
      </c>
      <c r="AC4522">
        <v>0.55170000000003905</v>
      </c>
      <c r="AD4522">
        <v>-1.121164368576</v>
      </c>
      <c r="AE4522">
        <v>-16.3628</v>
      </c>
      <c r="AF4522">
        <v>-1.82751798832404</v>
      </c>
      <c r="AG4522">
        <v>-1.121164368576</v>
      </c>
      <c r="AH4522">
        <v>16.192878993379601</v>
      </c>
      <c r="AI4522">
        <v>93.935823363981001</v>
      </c>
      <c r="AJ4522">
        <v>96.439118495917796</v>
      </c>
      <c r="AK4522">
        <v>16.334202203757801</v>
      </c>
      <c r="AL4522">
        <v>83.334511238509805</v>
      </c>
      <c r="AM4522">
        <v>99.663260255622106</v>
      </c>
      <c r="AN4522">
        <v>1.00000004492776</v>
      </c>
    </row>
    <row r="4523" spans="1:40" x14ac:dyDescent="0.25">
      <c r="A4523" t="str">
        <f>"20190303162000213"</f>
        <v>20190303162000213</v>
      </c>
      <c r="B4523" t="str">
        <f>"1551601200207202"</f>
        <v>1551601200207202</v>
      </c>
      <c r="C4523" t="s">
        <v>40</v>
      </c>
      <c r="D4523">
        <v>4.5933789999999997</v>
      </c>
      <c r="E4523">
        <v>0.48456640000000001</v>
      </c>
      <c r="F4523" t="s">
        <v>41</v>
      </c>
      <c r="G4523">
        <v>-491.31869999999998</v>
      </c>
      <c r="H4523" s="1">
        <v>-1.3322079999999999E-6</v>
      </c>
      <c r="I4523">
        <v>231.8766</v>
      </c>
      <c r="J4523">
        <v>-491.89120000000003</v>
      </c>
      <c r="K4523">
        <v>1.121176</v>
      </c>
      <c r="L4523">
        <v>248.148</v>
      </c>
      <c r="M4523">
        <v>-7.8545530000000002E-2</v>
      </c>
      <c r="N4523">
        <v>-1.0102699999999999E-2</v>
      </c>
      <c r="O4523">
        <v>-0.99685970000000002</v>
      </c>
      <c r="P4523">
        <v>9.0499670000000004E-2</v>
      </c>
      <c r="Q4523">
        <v>0.1060247</v>
      </c>
      <c r="R4523">
        <v>-0.99023709999999998</v>
      </c>
      <c r="S4523">
        <v>0.1034241</v>
      </c>
      <c r="T4523">
        <v>-0.2074299</v>
      </c>
      <c r="U4523">
        <v>-3.0421909999999999</v>
      </c>
      <c r="V4523">
        <v>-0.16800880000000001</v>
      </c>
      <c r="W4523">
        <v>0.115912</v>
      </c>
      <c r="X4523">
        <v>0.97894709999999996</v>
      </c>
      <c r="Y4523">
        <v>-0.112275</v>
      </c>
      <c r="Z4523">
        <v>5.7380500000000001E-2</v>
      </c>
      <c r="AA4523">
        <v>0.99201910000000004</v>
      </c>
      <c r="AB4523">
        <v>18</v>
      </c>
      <c r="AC4523">
        <v>0.57250000000004697</v>
      </c>
      <c r="AD4523">
        <v>-1.1211773322080001</v>
      </c>
      <c r="AE4523">
        <v>-16.2714</v>
      </c>
      <c r="AF4523">
        <v>-1.8401157691682499</v>
      </c>
      <c r="AG4523">
        <v>-1.1211773322080001</v>
      </c>
      <c r="AH4523">
        <v>16.099809973233999</v>
      </c>
      <c r="AI4523">
        <v>93.957914050744193</v>
      </c>
      <c r="AJ4523">
        <v>96.520284728010495</v>
      </c>
      <c r="AK4523">
        <v>16.243366209885298</v>
      </c>
      <c r="AL4523">
        <v>83.343769314327005</v>
      </c>
      <c r="AM4523">
        <v>99.738341083981396</v>
      </c>
      <c r="AN4523">
        <v>0.99999998660992395</v>
      </c>
    </row>
    <row r="4524" spans="1:40" x14ac:dyDescent="0.25">
      <c r="A4524" t="str">
        <f>"20190303162000227"</f>
        <v>20190303162000227</v>
      </c>
      <c r="B4524" t="str">
        <f>"1551601200216962"</f>
        <v>1551601200216962</v>
      </c>
      <c r="C4524" t="s">
        <v>40</v>
      </c>
      <c r="D4524">
        <v>4.6620850000000003</v>
      </c>
      <c r="E4524">
        <v>0.48229179999999999</v>
      </c>
      <c r="F4524" t="s">
        <v>49</v>
      </c>
      <c r="G4524">
        <v>-488.86930000000001</v>
      </c>
      <c r="H4524" s="1">
        <v>4.8625130000000002E-6</v>
      </c>
      <c r="I4524">
        <v>224.70660000000001</v>
      </c>
      <c r="J4524">
        <v>-491.90010000000001</v>
      </c>
      <c r="K4524">
        <v>1.121186</v>
      </c>
      <c r="L4524">
        <v>248.03319999999999</v>
      </c>
      <c r="M4524">
        <v>-7.8498230000000002E-2</v>
      </c>
      <c r="N4524">
        <v>-1.011396E-2</v>
      </c>
      <c r="O4524">
        <v>-0.99686319999999995</v>
      </c>
      <c r="P4524">
        <v>9.1940339999999995E-2</v>
      </c>
      <c r="Q4524">
        <v>0.1059462</v>
      </c>
      <c r="R4524">
        <v>-0.99011289999999996</v>
      </c>
      <c r="S4524">
        <v>0.38796999999999998</v>
      </c>
      <c r="T4524">
        <v>-0.14394189999999901</v>
      </c>
      <c r="U4524">
        <v>-3.0095369999999999</v>
      </c>
      <c r="V4524">
        <v>-0.169391299999999</v>
      </c>
      <c r="W4524">
        <v>0.1158376</v>
      </c>
      <c r="X4524">
        <v>0.97871759999999997</v>
      </c>
      <c r="Y4524">
        <v>-0.20517199999999999</v>
      </c>
      <c r="Z4524">
        <v>3.6694900000000003E-2</v>
      </c>
      <c r="AA4524">
        <v>0.97803779999999996</v>
      </c>
      <c r="AB4524">
        <v>18</v>
      </c>
      <c r="AC4524">
        <v>3.0308000000000002</v>
      </c>
      <c r="AD4524">
        <v>-1.121181137487</v>
      </c>
      <c r="AE4524">
        <v>-23.3265999999999</v>
      </c>
      <c r="AF4524">
        <v>-4.8416373356560598</v>
      </c>
      <c r="AG4524">
        <v>-1.121181137487</v>
      </c>
      <c r="AH4524">
        <v>22.964516354300699</v>
      </c>
      <c r="AI4524">
        <v>92.735062603635797</v>
      </c>
      <c r="AJ4524">
        <v>101.905386117304</v>
      </c>
      <c r="AK4524">
        <v>23.496116926420498</v>
      </c>
      <c r="AL4524">
        <v>83.348060794310697</v>
      </c>
      <c r="AM4524">
        <v>99.819179527839395</v>
      </c>
      <c r="AN4524">
        <v>0.99999995131960295</v>
      </c>
    </row>
    <row r="4525" spans="1:40" x14ac:dyDescent="0.25">
      <c r="A4525" t="str">
        <f>"20190303162000246"</f>
        <v>20190303162000246</v>
      </c>
      <c r="B4525" t="str">
        <f>"1551601200237457"</f>
        <v>1551601200237457</v>
      </c>
      <c r="C4525" t="s">
        <v>40</v>
      </c>
      <c r="D4525">
        <v>4.5991489999999997</v>
      </c>
      <c r="E4525">
        <v>0.48071649999999999</v>
      </c>
      <c r="F4525" t="s">
        <v>49</v>
      </c>
      <c r="G4525">
        <v>-488.81290000000001</v>
      </c>
      <c r="H4525" s="1">
        <v>5.0169509999999997E-6</v>
      </c>
      <c r="I4525">
        <v>225.3835</v>
      </c>
      <c r="J4525">
        <v>-491.9119</v>
      </c>
      <c r="K4525">
        <v>1.1212029999999999</v>
      </c>
      <c r="L4525">
        <v>247.88339999999999</v>
      </c>
      <c r="M4525">
        <v>-7.8413750000000004E-2</v>
      </c>
      <c r="N4525">
        <v>-1.012769E-2</v>
      </c>
      <c r="O4525">
        <v>-0.99686969999999997</v>
      </c>
      <c r="P4525">
        <v>9.4365790000000005E-2</v>
      </c>
      <c r="Q4525">
        <v>0.1057377</v>
      </c>
      <c r="R4525">
        <v>-0.98990670000000003</v>
      </c>
      <c r="S4525">
        <v>0.40997309999999998</v>
      </c>
      <c r="T4525">
        <v>-0.1488891</v>
      </c>
      <c r="U4525">
        <v>-3.0078130000000001</v>
      </c>
      <c r="V4525">
        <v>-0.17171529999999999</v>
      </c>
      <c r="W4525">
        <v>0.1156316</v>
      </c>
      <c r="X4525">
        <v>0.97833689999999995</v>
      </c>
      <c r="Y4525">
        <v>-0.2121739</v>
      </c>
      <c r="Z4525">
        <v>3.8253420000000003E-2</v>
      </c>
      <c r="AA4525">
        <v>0.97648290000000004</v>
      </c>
      <c r="AB4525">
        <v>18</v>
      </c>
      <c r="AC4525">
        <v>3.0989999999999802</v>
      </c>
      <c r="AD4525">
        <v>-1.121197983049</v>
      </c>
      <c r="AE4525">
        <v>-22.4999</v>
      </c>
      <c r="AF4525">
        <v>-4.8420487938397301</v>
      </c>
      <c r="AG4525">
        <v>-1.121197983049</v>
      </c>
      <c r="AH4525">
        <v>22.133658873755301</v>
      </c>
      <c r="AI4525">
        <v>92.832999155863206</v>
      </c>
      <c r="AJ4525">
        <v>102.33985536519999</v>
      </c>
      <c r="AK4525">
        <v>22.684827012320099</v>
      </c>
      <c r="AL4525">
        <v>83.359943570509401</v>
      </c>
      <c r="AM4525">
        <v>99.955015496318495</v>
      </c>
      <c r="AN4525">
        <v>0.99999995053712798</v>
      </c>
    </row>
    <row r="4526" spans="1:40" x14ac:dyDescent="0.25">
      <c r="A4526" t="str">
        <f>"20190303162000261"</f>
        <v>20190303162000261</v>
      </c>
      <c r="B4526" t="str">
        <f>"1551601200247218"</f>
        <v>1551601200247218</v>
      </c>
      <c r="C4526" t="s">
        <v>40</v>
      </c>
      <c r="D4526">
        <v>4.6276570000000001</v>
      </c>
      <c r="E4526">
        <v>0.48037770000000002</v>
      </c>
      <c r="F4526" t="s">
        <v>49</v>
      </c>
      <c r="G4526">
        <v>-488.85039999999998</v>
      </c>
      <c r="H4526" s="1">
        <v>5.3637860000000002E-6</v>
      </c>
      <c r="I4526">
        <v>226.4709</v>
      </c>
      <c r="J4526">
        <v>-491.92140000000001</v>
      </c>
      <c r="K4526">
        <v>1.121219</v>
      </c>
      <c r="L4526">
        <v>247.76169999999999</v>
      </c>
      <c r="M4526">
        <v>-7.8326969999999996E-2</v>
      </c>
      <c r="N4526">
        <v>-1.0138060000000001E-2</v>
      </c>
      <c r="O4526">
        <v>-0.99687619999999999</v>
      </c>
      <c r="P4526">
        <v>9.5766069999999995E-2</v>
      </c>
      <c r="Q4526">
        <v>0.1054848</v>
      </c>
      <c r="R4526">
        <v>-0.98979890000000004</v>
      </c>
      <c r="S4526">
        <v>0.4298401</v>
      </c>
      <c r="T4526">
        <v>-0.15742110000000001</v>
      </c>
      <c r="U4526">
        <v>-3.0064090000000001</v>
      </c>
      <c r="V4526">
        <v>-0.17302229999999999</v>
      </c>
      <c r="W4526">
        <v>0.1153796</v>
      </c>
      <c r="X4526">
        <v>0.97813640000000002</v>
      </c>
      <c r="Y4526">
        <v>-0.21845410000000001</v>
      </c>
      <c r="Z4526">
        <v>4.0974320000000002E-2</v>
      </c>
      <c r="AA4526">
        <v>0.97498660000000004</v>
      </c>
      <c r="AB4526">
        <v>18</v>
      </c>
      <c r="AC4526">
        <v>3.0710000000000202</v>
      </c>
      <c r="AD4526">
        <v>-1.1212136362139999</v>
      </c>
      <c r="AE4526">
        <v>-21.290799999999901</v>
      </c>
      <c r="AF4526">
        <v>-4.7164800820735699</v>
      </c>
      <c r="AG4526">
        <v>-1.1212136362139999</v>
      </c>
      <c r="AH4526">
        <v>20.927971475925801</v>
      </c>
      <c r="AI4526">
        <v>92.991788271803401</v>
      </c>
      <c r="AJ4526">
        <v>102.700411705734</v>
      </c>
      <c r="AK4526">
        <v>21.482138964260301</v>
      </c>
      <c r="AL4526">
        <v>83.374479679091905</v>
      </c>
      <c r="AM4526">
        <v>100.031268822789</v>
      </c>
      <c r="AN4526">
        <v>0.99999999269920403</v>
      </c>
    </row>
    <row r="4527" spans="1:40" x14ac:dyDescent="0.25">
      <c r="A4527" t="str">
        <f>"20190303162000275"</f>
        <v>20190303162000275</v>
      </c>
      <c r="B4527" t="str">
        <f>"1551601200266737"</f>
        <v>1551601200266737</v>
      </c>
      <c r="C4527" t="s">
        <v>40</v>
      </c>
      <c r="D4527">
        <v>4.6310209999999996</v>
      </c>
      <c r="E4527">
        <v>0.4801262</v>
      </c>
      <c r="F4527" t="s">
        <v>49</v>
      </c>
      <c r="G4527">
        <v>-488.8503</v>
      </c>
      <c r="H4527" s="1">
        <v>5.4033359999999997E-6</v>
      </c>
      <c r="I4527">
        <v>226.5986</v>
      </c>
      <c r="J4527">
        <v>-491.92970000000003</v>
      </c>
      <c r="K4527">
        <v>1.121232</v>
      </c>
      <c r="L4527">
        <v>247.65430000000001</v>
      </c>
      <c r="M4527">
        <v>-7.8236379999999994E-2</v>
      </c>
      <c r="N4527">
        <v>-1.0146799999999999E-2</v>
      </c>
      <c r="O4527">
        <v>-0.99688330000000003</v>
      </c>
      <c r="P4527">
        <v>9.7238409999999997E-2</v>
      </c>
      <c r="Q4527">
        <v>0.1050813</v>
      </c>
      <c r="R4527">
        <v>-0.98969850000000004</v>
      </c>
      <c r="S4527">
        <v>0.43615720000000002</v>
      </c>
      <c r="T4527">
        <v>-0.1592392</v>
      </c>
      <c r="U4527">
        <v>-3.0056609999999999</v>
      </c>
      <c r="V4527">
        <v>-0.17439789999999999</v>
      </c>
      <c r="W4527">
        <v>0.1149756</v>
      </c>
      <c r="X4527">
        <v>0.97793969999999997</v>
      </c>
      <c r="Y4527">
        <v>-0.2204016</v>
      </c>
      <c r="Z4527">
        <v>4.1548300000000003E-2</v>
      </c>
      <c r="AA4527">
        <v>0.9745239</v>
      </c>
      <c r="AB4527">
        <v>18</v>
      </c>
      <c r="AC4527">
        <v>3.0794000000000201</v>
      </c>
      <c r="AD4527">
        <v>-1.121226596664</v>
      </c>
      <c r="AE4527">
        <v>-21.055700000000002</v>
      </c>
      <c r="AF4527">
        <v>-4.7043062944997596</v>
      </c>
      <c r="AG4527">
        <v>-1.121226596664</v>
      </c>
      <c r="AH4527">
        <v>20.692772718381399</v>
      </c>
      <c r="AI4527">
        <v>93.024482748047006</v>
      </c>
      <c r="AJ4527">
        <v>102.807961009241</v>
      </c>
      <c r="AK4527">
        <v>21.250376221802</v>
      </c>
      <c r="AL4527">
        <v>83.397782545294902</v>
      </c>
      <c r="AM4527">
        <v>100.11137436636101</v>
      </c>
      <c r="AN4527">
        <v>1.00000003647792</v>
      </c>
    </row>
    <row r="4528" spans="1:40" x14ac:dyDescent="0.25">
      <c r="A4528" t="str">
        <f>"20190303162000294"</f>
        <v>20190303162000294</v>
      </c>
      <c r="B4528" t="str">
        <f>"1551601200287234"</f>
        <v>1551601200287234</v>
      </c>
      <c r="C4528" t="s">
        <v>40</v>
      </c>
      <c r="D4528">
        <v>4.65299</v>
      </c>
      <c r="E4528">
        <v>0.48017840000000001</v>
      </c>
      <c r="F4528" t="s">
        <v>49</v>
      </c>
      <c r="G4528">
        <v>-488.85550000000001</v>
      </c>
      <c r="H4528" s="1">
        <v>5.4569680000000004E-6</v>
      </c>
      <c r="I4528">
        <v>226.76730000000001</v>
      </c>
      <c r="J4528">
        <v>-491.93970000000002</v>
      </c>
      <c r="K4528">
        <v>1.1212519999999999</v>
      </c>
      <c r="L4528">
        <v>247.5247</v>
      </c>
      <c r="M4528">
        <v>-7.8109529999999996E-2</v>
      </c>
      <c r="N4528">
        <v>-1.015695E-2</v>
      </c>
      <c r="O4528">
        <v>-0.99689329999999998</v>
      </c>
      <c r="P4528">
        <v>0.10017909999999999</v>
      </c>
      <c r="Q4528">
        <v>0.1050512</v>
      </c>
      <c r="R4528">
        <v>-0.98940839999999997</v>
      </c>
      <c r="S4528">
        <v>0.44226070000000001</v>
      </c>
      <c r="T4528">
        <v>-0.16130359999999999</v>
      </c>
      <c r="U4528">
        <v>-3.004883</v>
      </c>
      <c r="V4528">
        <v>-0.17718789999999901</v>
      </c>
      <c r="W4528">
        <v>0.114941</v>
      </c>
      <c r="X4528">
        <v>0.97744209999999998</v>
      </c>
      <c r="Y4528">
        <v>-0.22224550000000001</v>
      </c>
      <c r="Z4528">
        <v>4.220202E-2</v>
      </c>
      <c r="AA4528">
        <v>0.97407699999999997</v>
      </c>
      <c r="AB4528">
        <v>18</v>
      </c>
      <c r="AC4528">
        <v>3.0842000000000001</v>
      </c>
      <c r="AD4528">
        <v>-1.121246543032</v>
      </c>
      <c r="AE4528">
        <v>-20.757399999999901</v>
      </c>
      <c r="AF4528">
        <v>-4.6828416272324596</v>
      </c>
      <c r="AG4528">
        <v>-1.121246543032</v>
      </c>
      <c r="AH4528">
        <v>20.394834573328399</v>
      </c>
      <c r="AI4528">
        <v>93.067128190378696</v>
      </c>
      <c r="AJ4528">
        <v>102.931496428393</v>
      </c>
      <c r="AK4528">
        <v>20.955559567557099</v>
      </c>
      <c r="AL4528">
        <v>83.399778114625903</v>
      </c>
      <c r="AM4528">
        <v>100.274835705385</v>
      </c>
      <c r="AN4528">
        <v>1.0000000221198999</v>
      </c>
    </row>
    <row r="4529" spans="1:40" x14ac:dyDescent="0.25">
      <c r="A4529" t="str">
        <f>"20190303162000308"</f>
        <v>20190303162000308</v>
      </c>
      <c r="B4529" t="str">
        <f>"1551601200296993"</f>
        <v>1551601200296993</v>
      </c>
      <c r="C4529" t="s">
        <v>40</v>
      </c>
      <c r="D4529">
        <v>4.6262970000000001</v>
      </c>
      <c r="E4529">
        <v>0.48024230000000001</v>
      </c>
      <c r="F4529" t="s">
        <v>49</v>
      </c>
      <c r="G4529">
        <v>-488.834</v>
      </c>
      <c r="H4529" s="1">
        <v>5.4606679999999899E-6</v>
      </c>
      <c r="I4529">
        <v>226.79769999999999</v>
      </c>
      <c r="J4529">
        <v>-491.95010000000002</v>
      </c>
      <c r="K4529">
        <v>1.1212819999999999</v>
      </c>
      <c r="L4529">
        <v>247.38919999999999</v>
      </c>
      <c r="M4529">
        <v>-7.7950969999999994E-2</v>
      </c>
      <c r="N4529">
        <v>-1.016706E-2</v>
      </c>
      <c r="O4529">
        <v>-0.99690559999999995</v>
      </c>
      <c r="P4529">
        <v>0.1019452</v>
      </c>
      <c r="Q4529">
        <v>0.104995699999999</v>
      </c>
      <c r="R4529">
        <v>-0.98923380000000005</v>
      </c>
      <c r="S4529">
        <v>0.45007320000000001</v>
      </c>
      <c r="T4529">
        <v>-0.162492</v>
      </c>
      <c r="U4529">
        <v>-3.003784</v>
      </c>
      <c r="V4529">
        <v>-0.17878520000000001</v>
      </c>
      <c r="W4529">
        <v>0.1148827</v>
      </c>
      <c r="X4529">
        <v>0.97715799999999997</v>
      </c>
      <c r="Y4529">
        <v>-0.22461619999999999</v>
      </c>
      <c r="Z4529">
        <v>4.2571560000000001E-2</v>
      </c>
      <c r="AA4529">
        <v>0.97351690000000002</v>
      </c>
      <c r="AB4529">
        <v>18</v>
      </c>
      <c r="AC4529">
        <v>3.1161000000000101</v>
      </c>
      <c r="AD4529">
        <v>-1.1212765393320001</v>
      </c>
      <c r="AE4529">
        <v>-20.5915</v>
      </c>
      <c r="AF4529">
        <v>-4.6982082027548202</v>
      </c>
      <c r="AG4529">
        <v>-1.1212765393320001</v>
      </c>
      <c r="AH4529">
        <v>20.227287521373199</v>
      </c>
      <c r="AI4529">
        <v>93.090766715373107</v>
      </c>
      <c r="AJ4529">
        <v>103.076273300209</v>
      </c>
      <c r="AK4529">
        <v>20.7959991793226</v>
      </c>
      <c r="AL4529">
        <v>83.403140386381693</v>
      </c>
      <c r="AM4529">
        <v>100.368409665779</v>
      </c>
      <c r="AN4529">
        <v>0.99999996973116401</v>
      </c>
    </row>
    <row r="4530" spans="1:40" x14ac:dyDescent="0.25">
      <c r="A4530" t="str">
        <f>"20190303162000324"</f>
        <v>20190303162000324</v>
      </c>
      <c r="B4530" t="str">
        <f>"1551601200317490"</f>
        <v>1551601200317490</v>
      </c>
      <c r="C4530" t="s">
        <v>40</v>
      </c>
      <c r="D4530">
        <v>4.653575</v>
      </c>
      <c r="E4530">
        <v>0.48032439999999998</v>
      </c>
      <c r="F4530" t="s">
        <v>49</v>
      </c>
      <c r="G4530">
        <v>-488.8349</v>
      </c>
      <c r="H4530" s="1">
        <v>5.4635710000000003E-6</v>
      </c>
      <c r="I4530">
        <v>226.80629999999999</v>
      </c>
      <c r="J4530">
        <v>-491.96</v>
      </c>
      <c r="K4530">
        <v>1.121305</v>
      </c>
      <c r="L4530">
        <v>247.26079999999999</v>
      </c>
      <c r="M4530">
        <v>-7.7774510000000005E-2</v>
      </c>
      <c r="N4530">
        <v>-1.0176080000000001E-2</v>
      </c>
      <c r="O4530">
        <v>-0.99691920000000001</v>
      </c>
      <c r="P4530">
        <v>0.1044118</v>
      </c>
      <c r="Q4530">
        <v>0.1057848</v>
      </c>
      <c r="R4530">
        <v>-0.9888922</v>
      </c>
      <c r="S4530">
        <v>0.45452880000000001</v>
      </c>
      <c r="T4530">
        <v>-0.1636012</v>
      </c>
      <c r="U4530">
        <v>-3.003174</v>
      </c>
      <c r="V4530">
        <v>-0.18105080000000001</v>
      </c>
      <c r="W4530">
        <v>0.1156657</v>
      </c>
      <c r="X4530">
        <v>0.97664839999999997</v>
      </c>
      <c r="Y4530">
        <v>-0.22588169999999999</v>
      </c>
      <c r="Z4530">
        <v>4.2919510000000001E-2</v>
      </c>
      <c r="AA4530">
        <v>0.97320879999999998</v>
      </c>
      <c r="AB4530">
        <v>18</v>
      </c>
      <c r="AC4530">
        <v>3.12509999999997</v>
      </c>
      <c r="AD4530">
        <v>-1.1212995364289999</v>
      </c>
      <c r="AE4530">
        <v>-20.454499999999999</v>
      </c>
      <c r="AF4530">
        <v>-4.6927730645201597</v>
      </c>
      <c r="AG4530">
        <v>-1.1212995364289999</v>
      </c>
      <c r="AH4530">
        <v>20.090473099888701</v>
      </c>
      <c r="AI4530">
        <v>93.110937453899695</v>
      </c>
      <c r="AJ4530">
        <v>103.14753394356001</v>
      </c>
      <c r="AK4530">
        <v>20.661716798534201</v>
      </c>
      <c r="AL4530">
        <v>83.357977061554394</v>
      </c>
      <c r="AM4530">
        <v>100.502252704528</v>
      </c>
      <c r="AN4530">
        <v>1.0000000217798399</v>
      </c>
    </row>
    <row r="4531" spans="1:40" x14ac:dyDescent="0.25">
      <c r="A4531" t="str">
        <f>"20190303162000337"</f>
        <v>20190303162000337</v>
      </c>
      <c r="B4531" t="str">
        <f>"1551601200327250"</f>
        <v>1551601200327250</v>
      </c>
      <c r="C4531" t="s">
        <v>40</v>
      </c>
      <c r="D4531">
        <v>4.8570760000000002</v>
      </c>
      <c r="E4531">
        <v>0.48043390000000002</v>
      </c>
      <c r="F4531" t="s">
        <v>49</v>
      </c>
      <c r="G4531">
        <v>-488.68209999999999</v>
      </c>
      <c r="H4531" s="1">
        <v>5.1427149999999899E-6</v>
      </c>
      <c r="I4531">
        <v>225.90180000000001</v>
      </c>
      <c r="J4531">
        <v>-491.96800000000002</v>
      </c>
      <c r="K4531">
        <v>1.121319</v>
      </c>
      <c r="L4531">
        <v>247.155</v>
      </c>
      <c r="M4531">
        <v>-7.760338E-2</v>
      </c>
      <c r="N4531">
        <v>-1.018288E-2</v>
      </c>
      <c r="O4531">
        <v>-0.99693259999999995</v>
      </c>
      <c r="P4531">
        <v>0.10574</v>
      </c>
      <c r="Q4531">
        <v>0.1062169</v>
      </c>
      <c r="R4531">
        <v>-0.98870469999999999</v>
      </c>
      <c r="S4531">
        <v>0.46069339999999998</v>
      </c>
      <c r="T4531">
        <v>-0.1575935</v>
      </c>
      <c r="U4531">
        <v>-3.0019070000000001</v>
      </c>
      <c r="V4531">
        <v>-0.18219740000000001</v>
      </c>
      <c r="W4531">
        <v>0.1160943</v>
      </c>
      <c r="X4531">
        <v>0.97638429999999998</v>
      </c>
      <c r="Y4531">
        <v>-0.2277421</v>
      </c>
      <c r="Z4531">
        <v>4.09681E-2</v>
      </c>
      <c r="AA4531">
        <v>0.97285929999999998</v>
      </c>
      <c r="AB4531">
        <v>18</v>
      </c>
      <c r="AC4531">
        <v>3.2859000000000198</v>
      </c>
      <c r="AD4531">
        <v>-1.1213138572850001</v>
      </c>
      <c r="AE4531">
        <v>-21.2532</v>
      </c>
      <c r="AF4531">
        <v>-4.9120409946023598</v>
      </c>
      <c r="AG4531">
        <v>-1.1213138572850001</v>
      </c>
      <c r="AH4531">
        <v>20.877332933703801</v>
      </c>
      <c r="AI4531">
        <v>92.992814759241199</v>
      </c>
      <c r="AJ4531">
        <v>103.23981093932299</v>
      </c>
      <c r="AK4531">
        <v>21.4766971837828</v>
      </c>
      <c r="AL4531">
        <v>83.333253657027399</v>
      </c>
      <c r="AM4531">
        <v>100.570064180214</v>
      </c>
      <c r="AN4531">
        <v>1.0000000401728599</v>
      </c>
    </row>
    <row r="4532" spans="1:40" x14ac:dyDescent="0.25">
      <c r="A4532" t="str">
        <f>"20190303162000352"</f>
        <v>20190303162000352</v>
      </c>
      <c r="B4532" t="str">
        <f>"1551601200346770"</f>
        <v>1551601200346770</v>
      </c>
      <c r="C4532" t="s">
        <v>40</v>
      </c>
      <c r="D4532">
        <v>4.7915539999999996</v>
      </c>
      <c r="E4532">
        <v>0.48052519999999999</v>
      </c>
      <c r="F4532" t="s">
        <v>49</v>
      </c>
      <c r="G4532">
        <v>-488.60730000000001</v>
      </c>
      <c r="H4532" s="1">
        <v>4.9619839999999997E-6</v>
      </c>
      <c r="I4532">
        <v>225.3827</v>
      </c>
      <c r="J4532">
        <v>-491.9769</v>
      </c>
      <c r="K4532">
        <v>1.1213379999999999</v>
      </c>
      <c r="L4532">
        <v>247.0378</v>
      </c>
      <c r="M4532">
        <v>-7.7395329999999998E-2</v>
      </c>
      <c r="N4532">
        <v>-1.019014E-2</v>
      </c>
      <c r="O4532">
        <v>-0.99694859999999996</v>
      </c>
      <c r="P4532">
        <v>0.1071589</v>
      </c>
      <c r="Q4532">
        <v>0.1058313</v>
      </c>
      <c r="R4532">
        <v>-0.98859350000000001</v>
      </c>
      <c r="S4532">
        <v>0.46328740000000002</v>
      </c>
      <c r="T4532">
        <v>-0.15457560000000001</v>
      </c>
      <c r="U4532">
        <v>-3.0013580000000002</v>
      </c>
      <c r="V4532">
        <v>-0.1834045</v>
      </c>
      <c r="W4532">
        <v>0.115705</v>
      </c>
      <c r="X4532">
        <v>0.97620450000000003</v>
      </c>
      <c r="Y4532">
        <v>-0.22839390000000001</v>
      </c>
      <c r="Z4532">
        <v>3.9985380000000001E-2</v>
      </c>
      <c r="AA4532">
        <v>0.97274729999999998</v>
      </c>
      <c r="AB4532">
        <v>18</v>
      </c>
      <c r="AC4532">
        <v>3.3695999999999899</v>
      </c>
      <c r="AD4532">
        <v>-1.121333038016</v>
      </c>
      <c r="AE4532">
        <v>-21.655100000000001</v>
      </c>
      <c r="AF4532">
        <v>-5.0224336853124703</v>
      </c>
      <c r="AG4532">
        <v>-1.121333038016</v>
      </c>
      <c r="AH4532">
        <v>21.273640624084699</v>
      </c>
      <c r="AI4532">
        <v>92.936682472724996</v>
      </c>
      <c r="AJ4532">
        <v>103.283567377556</v>
      </c>
      <c r="AK4532">
        <v>21.887211181605899</v>
      </c>
      <c r="AL4532">
        <v>83.355710250170603</v>
      </c>
      <c r="AM4532">
        <v>100.64041458291101</v>
      </c>
      <c r="AN4532">
        <v>1.0000000417327399</v>
      </c>
    </row>
    <row r="4533" spans="1:40" x14ac:dyDescent="0.25">
      <c r="A4533" t="str">
        <f>"20190303162000369"</f>
        <v>20190303162000369</v>
      </c>
      <c r="B4533" t="str">
        <f>"1551601200357506"</f>
        <v>1551601200357506</v>
      </c>
      <c r="C4533" t="s">
        <v>40</v>
      </c>
      <c r="D4533">
        <v>4.7936360000000002</v>
      </c>
      <c r="E4533">
        <v>0.48055589999999998</v>
      </c>
      <c r="F4533" t="s">
        <v>49</v>
      </c>
      <c r="G4533">
        <v>-488.54730000000001</v>
      </c>
      <c r="H4533" s="1">
        <v>4.8537020000000003E-6</v>
      </c>
      <c r="I4533">
        <v>224.9896</v>
      </c>
      <c r="J4533">
        <v>-491.98660000000001</v>
      </c>
      <c r="K4533">
        <v>1.121359</v>
      </c>
      <c r="L4533">
        <v>246.90870000000001</v>
      </c>
      <c r="M4533">
        <v>-7.7138380000000006E-2</v>
      </c>
      <c r="N4533">
        <v>-1.019776E-2</v>
      </c>
      <c r="O4533">
        <v>-0.99696839999999998</v>
      </c>
      <c r="P4533">
        <v>0.1091218</v>
      </c>
      <c r="Q4533">
        <v>0.1053666</v>
      </c>
      <c r="R4533">
        <v>-0.98842870000000005</v>
      </c>
      <c r="S4533">
        <v>0.46670529999999999</v>
      </c>
      <c r="T4533">
        <v>-0.15259389999999901</v>
      </c>
      <c r="U4533">
        <v>-3.000381</v>
      </c>
      <c r="V4533">
        <v>-0.18510270000000001</v>
      </c>
      <c r="W4533">
        <v>0.1152347</v>
      </c>
      <c r="X4533">
        <v>0.97593949999999996</v>
      </c>
      <c r="Y4533">
        <v>-0.22927719999999999</v>
      </c>
      <c r="Z4533">
        <v>3.9342790000000002E-2</v>
      </c>
      <c r="AA4533">
        <v>0.97256580000000004</v>
      </c>
      <c r="AB4533">
        <v>18</v>
      </c>
      <c r="AC4533">
        <v>3.4392999999999998</v>
      </c>
      <c r="AD4533">
        <v>-1.1213541462979999</v>
      </c>
      <c r="AE4533">
        <v>-21.9191</v>
      </c>
      <c r="AF4533">
        <v>-5.1068979996861303</v>
      </c>
      <c r="AG4533">
        <v>-1.1213541462979999</v>
      </c>
      <c r="AH4533">
        <v>21.533463606248201</v>
      </c>
      <c r="AI4533">
        <v>92.900667005980594</v>
      </c>
      <c r="AJ4533">
        <v>103.34183146783499</v>
      </c>
      <c r="AK4533">
        <v>22.159149288323999</v>
      </c>
      <c r="AL4533">
        <v>83.382837479105604</v>
      </c>
      <c r="AM4533">
        <v>100.739504933905</v>
      </c>
      <c r="AN4533">
        <v>0.99999997664581397</v>
      </c>
    </row>
    <row r="4534" spans="1:40" x14ac:dyDescent="0.25">
      <c r="A4534" t="str">
        <f>"20190303162000384"</f>
        <v>20190303162000384</v>
      </c>
      <c r="B4534" t="str">
        <f>"1551601200377027"</f>
        <v>1551601200377027</v>
      </c>
      <c r="C4534" t="s">
        <v>40</v>
      </c>
      <c r="D4534">
        <v>4.6567800000000004</v>
      </c>
      <c r="E4534">
        <v>0.48071029999999998</v>
      </c>
      <c r="F4534" t="s">
        <v>49</v>
      </c>
      <c r="G4534">
        <v>-488.5283</v>
      </c>
      <c r="H4534" s="1">
        <v>4.8379809999999998E-6</v>
      </c>
      <c r="I4534">
        <v>224.9376</v>
      </c>
      <c r="J4534">
        <v>-491.99599999999998</v>
      </c>
      <c r="K4534">
        <v>1.121381</v>
      </c>
      <c r="L4534">
        <v>246.7825</v>
      </c>
      <c r="M4534">
        <v>-7.6857770000000006E-2</v>
      </c>
      <c r="N4534">
        <v>-1.020479E-2</v>
      </c>
      <c r="O4534">
        <v>-0.99699009999999999</v>
      </c>
      <c r="P4534">
        <v>0.11031829999999999</v>
      </c>
      <c r="Q4534">
        <v>0.10497919999999999</v>
      </c>
      <c r="R4534">
        <v>-0.98833709999999997</v>
      </c>
      <c r="S4534">
        <v>0.4721069</v>
      </c>
      <c r="T4534">
        <v>-0.15307899999999999</v>
      </c>
      <c r="U4534">
        <v>-2.9993289999999999</v>
      </c>
      <c r="V4534">
        <v>-0.18601960000000001</v>
      </c>
      <c r="W4534">
        <v>0.114842</v>
      </c>
      <c r="X4534">
        <v>0.97581150000000005</v>
      </c>
      <c r="Y4534">
        <v>-0.23076269999999999</v>
      </c>
      <c r="Z4534">
        <v>3.9495669999999997E-2</v>
      </c>
      <c r="AA4534">
        <v>0.97220810000000002</v>
      </c>
      <c r="AB4534">
        <v>18</v>
      </c>
      <c r="AC4534">
        <v>3.4676999999999798</v>
      </c>
      <c r="AD4534">
        <v>-1.1213761620189999</v>
      </c>
      <c r="AE4534">
        <v>-21.844899999999999</v>
      </c>
      <c r="AF4534">
        <v>-5.1233102431791897</v>
      </c>
      <c r="AG4534">
        <v>-1.1213761620189999</v>
      </c>
      <c r="AH4534">
        <v>21.458587695977201</v>
      </c>
      <c r="AI4534">
        <v>92.909786172304507</v>
      </c>
      <c r="AJ4534">
        <v>103.428177958874</v>
      </c>
      <c r="AK4534">
        <v>22.090196428519</v>
      </c>
      <c r="AL4534">
        <v>83.405488261112495</v>
      </c>
      <c r="AM4534">
        <v>100.792838764823</v>
      </c>
      <c r="AN4534">
        <v>1.0000000300402001</v>
      </c>
    </row>
    <row r="4535" spans="1:40" x14ac:dyDescent="0.25">
      <c r="A4535" t="str">
        <f>"20190303162000398"</f>
        <v>20190303162000398</v>
      </c>
      <c r="B4535" t="str">
        <f>"1551601200386786"</f>
        <v>1551601200386786</v>
      </c>
      <c r="C4535" t="s">
        <v>40</v>
      </c>
      <c r="D4535">
        <v>4.8034499999999998</v>
      </c>
      <c r="E4535">
        <v>0.48049239999999999</v>
      </c>
      <c r="F4535" t="s">
        <v>49</v>
      </c>
      <c r="G4535">
        <v>-488.51190000000003</v>
      </c>
      <c r="H4535" s="1">
        <v>4.7882880000000001E-6</v>
      </c>
      <c r="I4535">
        <v>224.72919999999999</v>
      </c>
      <c r="J4535">
        <v>-492.0043</v>
      </c>
      <c r="K4535">
        <v>1.1214</v>
      </c>
      <c r="L4535">
        <v>246.67160000000001</v>
      </c>
      <c r="M4535">
        <v>-7.6580990000000002E-2</v>
      </c>
      <c r="N4535">
        <v>-1.021068E-2</v>
      </c>
      <c r="O4535">
        <v>-0.99701110000000004</v>
      </c>
      <c r="P4535">
        <v>0.11106770000000001</v>
      </c>
      <c r="Q4535">
        <v>0.104907399999999</v>
      </c>
      <c r="R4535">
        <v>-0.98826000000000003</v>
      </c>
      <c r="S4535">
        <v>0.47375489999999998</v>
      </c>
      <c r="T4535">
        <v>-0.15248039999999999</v>
      </c>
      <c r="U4535">
        <v>-2.9987180000000002</v>
      </c>
      <c r="V4535">
        <v>-0.1864953</v>
      </c>
      <c r="W4535">
        <v>0.1147657</v>
      </c>
      <c r="X4535">
        <v>0.97572959999999997</v>
      </c>
      <c r="Y4535">
        <v>-0.23104559999999999</v>
      </c>
      <c r="Z4535">
        <v>3.9303339999999999E-2</v>
      </c>
      <c r="AA4535">
        <v>0.97214869999999998</v>
      </c>
      <c r="AB4535">
        <v>18</v>
      </c>
      <c r="AC4535">
        <v>3.4923999999999702</v>
      </c>
      <c r="AD4535">
        <v>-1.1213952117120001</v>
      </c>
      <c r="AE4535">
        <v>-21.942399999999999</v>
      </c>
      <c r="AF4535">
        <v>-5.1494838971900503</v>
      </c>
      <c r="AG4535">
        <v>-1.1213952117120001</v>
      </c>
      <c r="AH4535">
        <v>21.5555819714234</v>
      </c>
      <c r="AI4535">
        <v>92.896672983592396</v>
      </c>
      <c r="AJ4535">
        <v>103.43576191900399</v>
      </c>
      <c r="AK4535">
        <v>22.1904895339202</v>
      </c>
      <c r="AL4535">
        <v>83.409888546301801</v>
      </c>
      <c r="AM4535">
        <v>100.82067487579501</v>
      </c>
      <c r="AN4535">
        <v>0.99999995756736904</v>
      </c>
    </row>
    <row r="4536" spans="1:40" x14ac:dyDescent="0.25">
      <c r="A4536" t="str">
        <f>"20190303162000414"</f>
        <v>20190303162000414</v>
      </c>
      <c r="B4536" t="str">
        <f>"1551601200407283"</f>
        <v>1551601200407283</v>
      </c>
      <c r="C4536" t="s">
        <v>40</v>
      </c>
      <c r="D4536">
        <v>4.7426130000000004</v>
      </c>
      <c r="E4536">
        <v>0.44774789999999998</v>
      </c>
      <c r="F4536" t="s">
        <v>49</v>
      </c>
      <c r="G4536">
        <v>-488.4984</v>
      </c>
      <c r="H4536" s="1">
        <v>4.7733490000000004E-6</v>
      </c>
      <c r="I4536">
        <v>224.67519999999999</v>
      </c>
      <c r="J4536">
        <v>-492.01339999999999</v>
      </c>
      <c r="K4536">
        <v>1.1214230000000001</v>
      </c>
      <c r="L4536">
        <v>246.54830000000001</v>
      </c>
      <c r="M4536">
        <v>-7.6248300000000005E-2</v>
      </c>
      <c r="N4536">
        <v>-1.021704E-2</v>
      </c>
      <c r="O4536">
        <v>-0.99703660000000005</v>
      </c>
      <c r="P4536">
        <v>0.1120459</v>
      </c>
      <c r="Q4536">
        <v>0.1045639</v>
      </c>
      <c r="R4536">
        <v>-0.98818660000000003</v>
      </c>
      <c r="S4536">
        <v>0.4778442</v>
      </c>
      <c r="T4536">
        <v>-0.1528465</v>
      </c>
      <c r="U4536">
        <v>-2.9981230000000001</v>
      </c>
      <c r="V4536">
        <v>-0.1871459</v>
      </c>
      <c r="W4536">
        <v>0.11441610000000001</v>
      </c>
      <c r="X4536">
        <v>0.97564609999999996</v>
      </c>
      <c r="Y4536">
        <v>-0.23204279999999999</v>
      </c>
      <c r="Z4536">
        <v>3.9415810000000003E-2</v>
      </c>
      <c r="AA4536">
        <v>0.97190670000000001</v>
      </c>
      <c r="AB4536">
        <v>18</v>
      </c>
      <c r="AC4536">
        <v>3.5149999999999801</v>
      </c>
      <c r="AD4536">
        <v>-1.121418226651</v>
      </c>
      <c r="AE4536">
        <v>-21.873100000000001</v>
      </c>
      <c r="AF4536">
        <v>-5.1594195478369098</v>
      </c>
      <c r="AG4536">
        <v>-1.121418226651</v>
      </c>
      <c r="AH4536">
        <v>21.486335077878799</v>
      </c>
      <c r="AI4536">
        <v>92.905242345129494</v>
      </c>
      <c r="AJ4536">
        <v>103.502538625509</v>
      </c>
      <c r="AK4536">
        <v>22.125545959106901</v>
      </c>
      <c r="AL4536">
        <v>83.430052069112193</v>
      </c>
      <c r="AM4536">
        <v>100.85843485714901</v>
      </c>
      <c r="AN4536">
        <v>0.99999997213561398</v>
      </c>
    </row>
    <row r="4537" spans="1:40" x14ac:dyDescent="0.25">
      <c r="A4537" t="str">
        <f>"20190303162000437"</f>
        <v>20190303162000437</v>
      </c>
      <c r="B4537" t="str">
        <f>"1551601200426802"</f>
        <v>1551601200426802</v>
      </c>
      <c r="C4537" t="s">
        <v>40</v>
      </c>
      <c r="D4537">
        <v>4.6585859999999997</v>
      </c>
      <c r="E4537">
        <v>0.4366313</v>
      </c>
      <c r="F4537" t="s">
        <v>49</v>
      </c>
      <c r="G4537">
        <v>-487.14569999999998</v>
      </c>
      <c r="H4537" s="1">
        <v>5.0791670000000002E-6</v>
      </c>
      <c r="I4537">
        <v>227.0163</v>
      </c>
      <c r="J4537">
        <v>-492.02710000000002</v>
      </c>
      <c r="K4537">
        <v>1.1214679999999999</v>
      </c>
      <c r="L4537">
        <v>246.3603</v>
      </c>
      <c r="M4537">
        <v>-7.5679250000000003E-2</v>
      </c>
      <c r="N4537">
        <v>-1.0226259999999999E-2</v>
      </c>
      <c r="O4537">
        <v>-0.99707970000000001</v>
      </c>
      <c r="P4537">
        <v>0.113494899999999</v>
      </c>
      <c r="Q4537">
        <v>0.10436579999999999</v>
      </c>
      <c r="R4537">
        <v>-0.98804170000000002</v>
      </c>
      <c r="S4537">
        <v>0.74017330000000003</v>
      </c>
      <c r="T4537">
        <v>-0.17052010000000001</v>
      </c>
      <c r="U4537">
        <v>-2.969986</v>
      </c>
      <c r="V4537">
        <v>-0.1880339</v>
      </c>
      <c r="W4537">
        <v>0.1142053</v>
      </c>
      <c r="X4537">
        <v>0.97550009999999998</v>
      </c>
      <c r="Y4537">
        <v>-0.31421729999999998</v>
      </c>
      <c r="Z4537">
        <v>4.4477750000000003E-2</v>
      </c>
      <c r="AA4537">
        <v>0.94830859999999995</v>
      </c>
      <c r="AB4537">
        <v>18</v>
      </c>
      <c r="AC4537">
        <v>4.8814000000000402</v>
      </c>
      <c r="AD4537">
        <v>-1.121462920833</v>
      </c>
      <c r="AE4537">
        <v>-19.343999999999902</v>
      </c>
      <c r="AF4537">
        <v>-6.3114724742116897</v>
      </c>
      <c r="AG4537">
        <v>-1.121462920833</v>
      </c>
      <c r="AH4537">
        <v>18.859486504332001</v>
      </c>
      <c r="AI4537">
        <v>93.227501259060801</v>
      </c>
      <c r="AJ4537">
        <v>108.50321449290399</v>
      </c>
      <c r="AK4537">
        <v>19.919151464924798</v>
      </c>
      <c r="AL4537">
        <v>83.442210038356706</v>
      </c>
      <c r="AM4537">
        <v>100.910317885737</v>
      </c>
      <c r="AN4537">
        <v>1.00000002159865</v>
      </c>
    </row>
    <row r="4538" spans="1:40" x14ac:dyDescent="0.25">
      <c r="A4538" t="str">
        <f>"20190303162000450"</f>
        <v>20190303162000450</v>
      </c>
      <c r="B4538" t="str">
        <f>"1551601200447298"</f>
        <v>1551601200447298</v>
      </c>
      <c r="C4538" t="s">
        <v>40</v>
      </c>
      <c r="D4538">
        <v>4.6364789999999996</v>
      </c>
      <c r="E4538">
        <v>0.4305872</v>
      </c>
      <c r="F4538" t="s">
        <v>49</v>
      </c>
      <c r="G4538">
        <v>-486.76139999999998</v>
      </c>
      <c r="H4538" s="1">
        <v>5.171364E-6</v>
      </c>
      <c r="I4538">
        <v>227.64400000000001</v>
      </c>
      <c r="J4538">
        <v>-492.03449999999998</v>
      </c>
      <c r="K4538">
        <v>1.121491</v>
      </c>
      <c r="L4538">
        <v>246.2577</v>
      </c>
      <c r="M4538">
        <v>-7.5337340000000003E-2</v>
      </c>
      <c r="N4538">
        <v>-1.023104E-2</v>
      </c>
      <c r="O4538">
        <v>-0.99710569999999998</v>
      </c>
      <c r="P4538">
        <v>0.11423179999999999</v>
      </c>
      <c r="Q4538">
        <v>0.1040581</v>
      </c>
      <c r="R4538">
        <v>-0.98798969999999997</v>
      </c>
      <c r="S4538">
        <v>0.83261109999999905</v>
      </c>
      <c r="T4538">
        <v>-0.17732410000000001</v>
      </c>
      <c r="U4538">
        <v>-2.9593959999999999</v>
      </c>
      <c r="V4538">
        <v>-0.18843650000000001</v>
      </c>
      <c r="W4538">
        <v>0.1138908</v>
      </c>
      <c r="X4538">
        <v>0.97545919999999997</v>
      </c>
      <c r="Y4538">
        <v>-0.34217409999999998</v>
      </c>
      <c r="Z4538">
        <v>4.6331509999999999E-2</v>
      </c>
      <c r="AA4538">
        <v>0.93849360000000004</v>
      </c>
      <c r="AB4538">
        <v>18</v>
      </c>
      <c r="AC4538">
        <v>5.2731000000000003</v>
      </c>
      <c r="AD4538">
        <v>-1.1214858286360001</v>
      </c>
      <c r="AE4538">
        <v>-18.613699999999898</v>
      </c>
      <c r="AF4538">
        <v>-6.6381855281908502</v>
      </c>
      <c r="AG4538">
        <v>-1.1214858286360001</v>
      </c>
      <c r="AH4538">
        <v>18.1026811903278</v>
      </c>
      <c r="AI4538">
        <v>93.328807769973693</v>
      </c>
      <c r="AJ4538">
        <v>110.137798153372</v>
      </c>
      <c r="AK4538">
        <v>19.313992436810199</v>
      </c>
      <c r="AL4538">
        <v>83.460348025973104</v>
      </c>
      <c r="AM4538">
        <v>100.933563006741</v>
      </c>
      <c r="AN4538">
        <v>1.00000003986076</v>
      </c>
    </row>
    <row r="4539" spans="1:40" x14ac:dyDescent="0.25">
      <c r="A4539" t="str">
        <f>"20190303162000461"</f>
        <v>20190303162000461</v>
      </c>
      <c r="B4539" t="str">
        <f>"1551601200457058"</f>
        <v>1551601200457058</v>
      </c>
      <c r="C4539" t="s">
        <v>40</v>
      </c>
      <c r="D4539">
        <v>4.6046440000000004</v>
      </c>
      <c r="E4539">
        <v>0.42897229999999997</v>
      </c>
      <c r="F4539" t="s">
        <v>49</v>
      </c>
      <c r="G4539">
        <v>-486.41460000000001</v>
      </c>
      <c r="H4539" s="1">
        <v>5.0166320000000004E-6</v>
      </c>
      <c r="I4539">
        <v>227.44239999999999</v>
      </c>
      <c r="J4539">
        <v>-492.04199999999997</v>
      </c>
      <c r="K4539">
        <v>1.121515</v>
      </c>
      <c r="L4539">
        <v>246.15309999999999</v>
      </c>
      <c r="M4539">
        <v>-7.4965630000000005E-2</v>
      </c>
      <c r="N4539">
        <v>-1.023572E-2</v>
      </c>
      <c r="O4539">
        <v>-0.99713370000000001</v>
      </c>
      <c r="P4539">
        <v>0.11536680000000001</v>
      </c>
      <c r="Q4539">
        <v>0.1034964</v>
      </c>
      <c r="R4539">
        <v>-0.98791649999999998</v>
      </c>
      <c r="S4539">
        <v>0.882019</v>
      </c>
      <c r="T4539">
        <v>-0.17601259999999999</v>
      </c>
      <c r="U4539">
        <v>-2.9529879999999999</v>
      </c>
      <c r="V4539">
        <v>-0.18920480000000001</v>
      </c>
      <c r="W4539">
        <v>0.1133208</v>
      </c>
      <c r="X4539">
        <v>0.97537680000000004</v>
      </c>
      <c r="Y4539">
        <v>-0.35679719999999998</v>
      </c>
      <c r="Z4539">
        <v>4.5735650000000003E-2</v>
      </c>
      <c r="AA4539">
        <v>0.93306160000000005</v>
      </c>
      <c r="AB4539">
        <v>18</v>
      </c>
      <c r="AC4539">
        <v>5.6273999999999598</v>
      </c>
      <c r="AD4539">
        <v>-1.121509983368</v>
      </c>
      <c r="AE4539">
        <v>-18.710699999999999</v>
      </c>
      <c r="AF4539">
        <v>-6.9912620031375399</v>
      </c>
      <c r="AG4539">
        <v>-1.121509983368</v>
      </c>
      <c r="AH4539">
        <v>18.176275452208401</v>
      </c>
      <c r="AI4539">
        <v>93.295951803962893</v>
      </c>
      <c r="AJ4539">
        <v>111.038573256189</v>
      </c>
      <c r="AK4539">
        <v>19.5067300784591</v>
      </c>
      <c r="AL4539">
        <v>83.493219047538005</v>
      </c>
      <c r="AM4539">
        <v>100.97796578249</v>
      </c>
      <c r="AN4539">
        <v>0.99999998101695897</v>
      </c>
    </row>
    <row r="4540" spans="1:40" x14ac:dyDescent="0.25">
      <c r="A4540" t="str">
        <f>"20190303162000480"</f>
        <v>20190303162000480</v>
      </c>
      <c r="B4540" t="str">
        <f>"1551601200477554"</f>
        <v>1551601200477554</v>
      </c>
      <c r="C4540" t="s">
        <v>40</v>
      </c>
      <c r="D4540">
        <v>4.581728</v>
      </c>
      <c r="E4540">
        <v>0.42747930000000001</v>
      </c>
      <c r="F4540" t="s">
        <v>49</v>
      </c>
      <c r="G4540">
        <v>-486.46210000000002</v>
      </c>
      <c r="H4540" s="1">
        <v>5.1458020000000004E-6</v>
      </c>
      <c r="I4540">
        <v>227.8185</v>
      </c>
      <c r="J4540">
        <v>-492.0521</v>
      </c>
      <c r="K4540">
        <v>1.121551</v>
      </c>
      <c r="L4540">
        <v>246.00989999999999</v>
      </c>
      <c r="M4540">
        <v>-7.4409390000000006E-2</v>
      </c>
      <c r="N4540">
        <v>-1.024195E-2</v>
      </c>
      <c r="O4540">
        <v>-0.99717540000000005</v>
      </c>
      <c r="P4540">
        <v>0.1171006</v>
      </c>
      <c r="Q4540">
        <v>0.10276100000000001</v>
      </c>
      <c r="R4540">
        <v>-0.98778980000000005</v>
      </c>
      <c r="S4540">
        <v>0.89801030000000004</v>
      </c>
      <c r="T4540">
        <v>-0.18049229999999999</v>
      </c>
      <c r="U4540">
        <v>-2.9507140000000001</v>
      </c>
      <c r="V4540">
        <v>-0.1903888</v>
      </c>
      <c r="W4540">
        <v>0.1125723</v>
      </c>
      <c r="X4540">
        <v>0.97523309999999996</v>
      </c>
      <c r="Y4540">
        <v>-0.3610815</v>
      </c>
      <c r="Z4540">
        <v>4.710396E-2</v>
      </c>
      <c r="AA4540">
        <v>0.9313439</v>
      </c>
      <c r="AB4540">
        <v>18</v>
      </c>
      <c r="AC4540">
        <v>5.5899999999999697</v>
      </c>
      <c r="AD4540">
        <v>-1.1215458541979999</v>
      </c>
      <c r="AE4540">
        <v>-18.191399999999899</v>
      </c>
      <c r="AF4540">
        <v>-6.9042044562401204</v>
      </c>
      <c r="AG4540">
        <v>-1.1215458541979999</v>
      </c>
      <c r="AH4540">
        <v>17.663646570560299</v>
      </c>
      <c r="AI4540">
        <v>93.3843912775354</v>
      </c>
      <c r="AJ4540">
        <v>111.349079351066</v>
      </c>
      <c r="AK4540">
        <v>18.998166081132801</v>
      </c>
      <c r="AL4540">
        <v>83.536381310880898</v>
      </c>
      <c r="AM4540">
        <v>101.046566552765</v>
      </c>
      <c r="AN4540">
        <v>1.0000000086141601</v>
      </c>
    </row>
    <row r="4541" spans="1:40" x14ac:dyDescent="0.25">
      <c r="A4541" t="str">
        <f>"20190303162000493"</f>
        <v>20190303162000493</v>
      </c>
      <c r="B4541" t="str">
        <f>"1551601200487314"</f>
        <v>1551601200487314</v>
      </c>
      <c r="C4541" t="s">
        <v>40</v>
      </c>
      <c r="D4541">
        <v>4.5647570000000002</v>
      </c>
      <c r="E4541">
        <v>0.42705349999999997</v>
      </c>
      <c r="F4541" t="s">
        <v>49</v>
      </c>
      <c r="G4541">
        <v>-486.48079999999999</v>
      </c>
      <c r="H4541" s="1">
        <v>5.2195809999999997E-6</v>
      </c>
      <c r="I4541">
        <v>228.04060000000001</v>
      </c>
      <c r="J4541">
        <v>-492.05930000000001</v>
      </c>
      <c r="K4541">
        <v>1.1215759999999999</v>
      </c>
      <c r="L4541">
        <v>245.9075</v>
      </c>
      <c r="M4541">
        <v>-7.3976990000000006E-2</v>
      </c>
      <c r="N4541">
        <v>-1.024621E-2</v>
      </c>
      <c r="O4541">
        <v>-0.99720750000000002</v>
      </c>
      <c r="P4541">
        <v>0.1179577</v>
      </c>
      <c r="Q4541">
        <v>0.1026485</v>
      </c>
      <c r="R4541">
        <v>-0.98769899999999999</v>
      </c>
      <c r="S4541">
        <v>0.91397090000000003</v>
      </c>
      <c r="T4541">
        <v>-0.18398919999999999</v>
      </c>
      <c r="U4541">
        <v>-2.9478610000000001</v>
      </c>
      <c r="V4541">
        <v>-0.19082060000000001</v>
      </c>
      <c r="W4541">
        <v>0.11245049999999999</v>
      </c>
      <c r="X4541">
        <v>0.97516270000000005</v>
      </c>
      <c r="Y4541">
        <v>-0.36551250000000002</v>
      </c>
      <c r="Z4541">
        <v>4.8166790000000001E-2</v>
      </c>
      <c r="AA4541">
        <v>0.92955940000000004</v>
      </c>
      <c r="AB4541">
        <v>18</v>
      </c>
      <c r="AC4541">
        <v>5.5785000000000098</v>
      </c>
      <c r="AD4541">
        <v>-1.121570780419</v>
      </c>
      <c r="AE4541">
        <v>-17.866899999999902</v>
      </c>
      <c r="AF4541">
        <v>-6.8603893251728998</v>
      </c>
      <c r="AG4541">
        <v>-1.121570780419</v>
      </c>
      <c r="AH4541">
        <v>17.342966277522201</v>
      </c>
      <c r="AI4541">
        <v>93.4413965683502</v>
      </c>
      <c r="AJ4541">
        <v>111.58235704138001</v>
      </c>
      <c r="AK4541">
        <v>18.6842538521534</v>
      </c>
      <c r="AL4541">
        <v>83.543404176419301</v>
      </c>
      <c r="AM4541">
        <v>101.071781276376</v>
      </c>
      <c r="AN4541">
        <v>0.99999995390294805</v>
      </c>
    </row>
    <row r="4542" spans="1:40" x14ac:dyDescent="0.25">
      <c r="A4542" t="str">
        <f>"20190303162000504"</f>
        <v>20190303162000504</v>
      </c>
      <c r="B4542" t="str">
        <f>"1551601200497075"</f>
        <v>1551601200497075</v>
      </c>
      <c r="C4542" t="s">
        <v>40</v>
      </c>
      <c r="D4542">
        <v>4.5288729999999999</v>
      </c>
      <c r="E4542">
        <v>0.42688799999999999</v>
      </c>
      <c r="F4542" t="s">
        <v>49</v>
      </c>
      <c r="G4542">
        <v>-486.41919999999999</v>
      </c>
      <c r="H4542" s="1">
        <v>5.1420619999999997E-6</v>
      </c>
      <c r="I4542">
        <v>227.8433</v>
      </c>
      <c r="J4542">
        <v>-492.0659</v>
      </c>
      <c r="K4542">
        <v>1.121594</v>
      </c>
      <c r="L4542">
        <v>245.81209999999999</v>
      </c>
      <c r="M4542">
        <v>-7.3558709999999999E-2</v>
      </c>
      <c r="N4542">
        <v>-1.025008E-2</v>
      </c>
      <c r="O4542">
        <v>-0.99723830000000002</v>
      </c>
      <c r="P4542">
        <v>0.1186793</v>
      </c>
      <c r="Q4542">
        <v>0.10288170000000001</v>
      </c>
      <c r="R4542">
        <v>-0.98758849999999998</v>
      </c>
      <c r="S4542">
        <v>0.91998290000000005</v>
      </c>
      <c r="T4542">
        <v>-0.18294440000000001</v>
      </c>
      <c r="U4542">
        <v>-2.9465330000000001</v>
      </c>
      <c r="V4542">
        <v>-0.1911301</v>
      </c>
      <c r="W4542">
        <v>0.1126746</v>
      </c>
      <c r="X4542">
        <v>0.97507630000000001</v>
      </c>
      <c r="Y4542">
        <v>-0.36697429999999998</v>
      </c>
      <c r="Z4542">
        <v>4.7824720000000001E-2</v>
      </c>
      <c r="AA4542">
        <v>0.92900090000000002</v>
      </c>
      <c r="AB4542">
        <v>18</v>
      </c>
      <c r="AC4542">
        <v>5.6467000000000098</v>
      </c>
      <c r="AD4542">
        <v>-1.121588857938</v>
      </c>
      <c r="AE4542">
        <v>-17.968799999999899</v>
      </c>
      <c r="AF4542">
        <v>-6.9286634324219802</v>
      </c>
      <c r="AG4542">
        <v>-1.121588857938</v>
      </c>
      <c r="AH4542">
        <v>17.442878579693101</v>
      </c>
      <c r="AI4542">
        <v>93.419859307206096</v>
      </c>
      <c r="AJ4542">
        <v>111.663974781367</v>
      </c>
      <c r="AK4542">
        <v>18.802083705588299</v>
      </c>
      <c r="AL4542">
        <v>83.530482598511099</v>
      </c>
      <c r="AM4542">
        <v>101.090252546779</v>
      </c>
      <c r="AN4542">
        <v>1.00000003571642</v>
      </c>
    </row>
    <row r="4543" spans="1:40" x14ac:dyDescent="0.25">
      <c r="A4543" t="str">
        <f>"20190303162000516"</f>
        <v>20190303162000516</v>
      </c>
      <c r="B4543" t="str">
        <f>"1551601200506834"</f>
        <v>1551601200506834</v>
      </c>
      <c r="C4543" t="s">
        <v>40</v>
      </c>
      <c r="D4543">
        <v>4.5382300000000004</v>
      </c>
      <c r="E4543">
        <v>0.42671949999999997</v>
      </c>
      <c r="F4543" t="s">
        <v>49</v>
      </c>
      <c r="G4543">
        <v>-486.35820000000001</v>
      </c>
      <c r="H4543" s="1">
        <v>5.0505479999999998E-6</v>
      </c>
      <c r="I4543">
        <v>227.6003</v>
      </c>
      <c r="J4543">
        <v>-492.07220000000001</v>
      </c>
      <c r="K4543">
        <v>1.121621</v>
      </c>
      <c r="L4543">
        <v>245.72030000000001</v>
      </c>
      <c r="M4543">
        <v>-7.3110120000000001E-2</v>
      </c>
      <c r="N4543">
        <v>-1.025379E-2</v>
      </c>
      <c r="O4543">
        <v>-0.99727129999999997</v>
      </c>
      <c r="P4543">
        <v>0.1198063</v>
      </c>
      <c r="Q4543">
        <v>0.1030644</v>
      </c>
      <c r="R4543">
        <v>-0.98743340000000002</v>
      </c>
      <c r="S4543">
        <v>0.92318730000000004</v>
      </c>
      <c r="T4543">
        <v>-0.18141060000000001</v>
      </c>
      <c r="U4543">
        <v>-2.9456630000000001</v>
      </c>
      <c r="V4543">
        <v>-0.19181110000000001</v>
      </c>
      <c r="W4543">
        <v>0.11284569999999999</v>
      </c>
      <c r="X4543">
        <v>0.97492270000000003</v>
      </c>
      <c r="Y4543">
        <v>-0.3675621</v>
      </c>
      <c r="Z4543">
        <v>4.7338100000000001E-2</v>
      </c>
      <c r="AA4543">
        <v>0.92879339999999999</v>
      </c>
      <c r="AB4543">
        <v>18</v>
      </c>
      <c r="AC4543">
        <v>5.7139999999999898</v>
      </c>
      <c r="AD4543">
        <v>-1.1216159494519999</v>
      </c>
      <c r="AE4543">
        <v>-18.12</v>
      </c>
      <c r="AF4543">
        <v>-6.9991399961871297</v>
      </c>
      <c r="AG4543">
        <v>-1.1216159494519999</v>
      </c>
      <c r="AH4543">
        <v>17.5924211617357</v>
      </c>
      <c r="AI4543">
        <v>93.390207937816001</v>
      </c>
      <c r="AJ4543">
        <v>111.695122662911</v>
      </c>
      <c r="AK4543">
        <v>18.966793755302401</v>
      </c>
      <c r="AL4543">
        <v>83.520615877256105</v>
      </c>
      <c r="AM4543">
        <v>101.130492199637</v>
      </c>
      <c r="AN4543">
        <v>0.99999996053349405</v>
      </c>
    </row>
    <row r="4544" spans="1:40" x14ac:dyDescent="0.25">
      <c r="A4544" t="str">
        <f>"20190303162000528"</f>
        <v>20190303162000528</v>
      </c>
      <c r="B4544" t="str">
        <f>"1551601200516594"</f>
        <v>1551601200516594</v>
      </c>
      <c r="C4544" t="s">
        <v>40</v>
      </c>
      <c r="D4544">
        <v>4.5500740000000004</v>
      </c>
      <c r="E4544">
        <v>0.42645139999999998</v>
      </c>
      <c r="F4544" t="s">
        <v>49</v>
      </c>
      <c r="G4544">
        <v>-486.2226</v>
      </c>
      <c r="H4544" s="1">
        <v>4.8782960000000003E-6</v>
      </c>
      <c r="I4544">
        <v>227.16079999999999</v>
      </c>
      <c r="J4544">
        <v>-492.07870000000003</v>
      </c>
      <c r="K4544">
        <v>1.121651</v>
      </c>
      <c r="L4544">
        <v>245.6232</v>
      </c>
      <c r="M4544">
        <v>-7.2619870000000003E-2</v>
      </c>
      <c r="N4544">
        <v>-1.025769E-2</v>
      </c>
      <c r="O4544">
        <v>-0.99730719999999995</v>
      </c>
      <c r="P4544">
        <v>0.121007</v>
      </c>
      <c r="Q4544">
        <v>0.10313310000000001</v>
      </c>
      <c r="R4544">
        <v>-0.98727980000000004</v>
      </c>
      <c r="S4544">
        <v>0.927948</v>
      </c>
      <c r="T4544">
        <v>-0.17792529999999901</v>
      </c>
      <c r="U4544">
        <v>-2.944153</v>
      </c>
      <c r="V4544">
        <v>-0.1925267</v>
      </c>
      <c r="W4544">
        <v>0.1129011</v>
      </c>
      <c r="X4544">
        <v>0.97477530000000001</v>
      </c>
      <c r="Y4544">
        <v>-0.36862489999999998</v>
      </c>
      <c r="Z4544">
        <v>4.6234230000000001E-2</v>
      </c>
      <c r="AA4544">
        <v>0.92842780000000003</v>
      </c>
      <c r="AB4544">
        <v>18</v>
      </c>
      <c r="AC4544">
        <v>5.8561000000000201</v>
      </c>
      <c r="AD4544">
        <v>-1.1216461217039999</v>
      </c>
      <c r="AE4544">
        <v>-18.462399999999999</v>
      </c>
      <c r="AF4544">
        <v>-7.1574410697699502</v>
      </c>
      <c r="AG4544">
        <v>-1.1216461217039999</v>
      </c>
      <c r="AH4544">
        <v>17.928234130047301</v>
      </c>
      <c r="AI4544">
        <v>93.325367071606195</v>
      </c>
      <c r="AJ4544">
        <v>111.76323497128099</v>
      </c>
      <c r="AK4544">
        <v>19.3367171906545</v>
      </c>
      <c r="AL4544">
        <v>83.517421773550694</v>
      </c>
      <c r="AM4544">
        <v>101.172621538352</v>
      </c>
      <c r="AN4544">
        <v>1.0000000370420901</v>
      </c>
    </row>
    <row r="4545" spans="1:40" x14ac:dyDescent="0.25">
      <c r="A4545" t="str">
        <f>"20190303162000540"</f>
        <v>20190303162000540</v>
      </c>
      <c r="B4545" t="str">
        <f>"1551601200537090"</f>
        <v>1551601200537090</v>
      </c>
      <c r="C4545" t="s">
        <v>40</v>
      </c>
      <c r="D4545">
        <v>4.5259869999999998</v>
      </c>
      <c r="E4545">
        <v>0.4260563</v>
      </c>
      <c r="F4545" t="s">
        <v>49</v>
      </c>
      <c r="G4545">
        <v>-486.15050000000002</v>
      </c>
      <c r="H4545" s="1">
        <v>4.788847E-6</v>
      </c>
      <c r="I4545">
        <v>226.93389999999999</v>
      </c>
      <c r="J4545">
        <v>-492.08580000000001</v>
      </c>
      <c r="K4545">
        <v>1.1216889999999999</v>
      </c>
      <c r="L4545">
        <v>245.5181</v>
      </c>
      <c r="M4545">
        <v>-7.2043960000000004E-2</v>
      </c>
      <c r="N4545">
        <v>-1.026197E-2</v>
      </c>
      <c r="O4545">
        <v>-0.99734869999999998</v>
      </c>
      <c r="P4545">
        <v>0.1221376</v>
      </c>
      <c r="Q4545">
        <v>0.103032399999999</v>
      </c>
      <c r="R4545">
        <v>-0.987151</v>
      </c>
      <c r="S4545">
        <v>0.93341059999999998</v>
      </c>
      <c r="T4545">
        <v>-0.17660499999999901</v>
      </c>
      <c r="U4545">
        <v>-2.9426570000000001</v>
      </c>
      <c r="V4545">
        <v>-0.1930917</v>
      </c>
      <c r="W4545">
        <v>0.1127845</v>
      </c>
      <c r="X4545">
        <v>0.97467700000000002</v>
      </c>
      <c r="Y4545">
        <v>-0.36979620000000002</v>
      </c>
      <c r="Z4545">
        <v>4.5813279999999998E-2</v>
      </c>
      <c r="AA4545">
        <v>0.92798270000000005</v>
      </c>
      <c r="AB4545">
        <v>18</v>
      </c>
      <c r="AC4545">
        <v>5.9352999999999803</v>
      </c>
      <c r="AD4545">
        <v>-1.1216842111530001</v>
      </c>
      <c r="AE4545">
        <v>-18.584199999999999</v>
      </c>
      <c r="AF4545">
        <v>-7.2349081505614299</v>
      </c>
      <c r="AG4545">
        <v>-1.1216842111530001</v>
      </c>
      <c r="AH4545">
        <v>18.048613569292201</v>
      </c>
      <c r="AI4545">
        <v>93.301497429009203</v>
      </c>
      <c r="AJ4545">
        <v>111.84371319162101</v>
      </c>
      <c r="AK4545">
        <v>19.477025522144</v>
      </c>
      <c r="AL4545">
        <v>83.524145172848606</v>
      </c>
      <c r="AM4545">
        <v>101.20568240205699</v>
      </c>
      <c r="AN4545">
        <v>1.00000000118907</v>
      </c>
    </row>
    <row r="4546" spans="1:40" x14ac:dyDescent="0.25">
      <c r="A4546" t="str">
        <f>"20190303162000559"</f>
        <v>20190303162000559</v>
      </c>
      <c r="B4546" t="str">
        <f>"1551601200546851"</f>
        <v>1551601200546851</v>
      </c>
      <c r="C4546" t="s">
        <v>40</v>
      </c>
      <c r="D4546">
        <v>4.5331599999999996</v>
      </c>
      <c r="E4546">
        <v>0.42589129999999997</v>
      </c>
      <c r="F4546" t="s">
        <v>49</v>
      </c>
      <c r="G4546">
        <v>-486.08330000000001</v>
      </c>
      <c r="H4546" s="1">
        <v>4.710167E-6</v>
      </c>
      <c r="I4546">
        <v>226.73759999999999</v>
      </c>
      <c r="J4546">
        <v>-492.0951</v>
      </c>
      <c r="K4546">
        <v>1.121745</v>
      </c>
      <c r="L4546">
        <v>245.37649999999999</v>
      </c>
      <c r="M4546">
        <v>-7.1202269999999998E-2</v>
      </c>
      <c r="N4546">
        <v>-1.0267790000000001E-2</v>
      </c>
      <c r="O4546">
        <v>-0.9974092</v>
      </c>
      <c r="P4546">
        <v>0.12518290000000001</v>
      </c>
      <c r="Q4546">
        <v>0.1030002</v>
      </c>
      <c r="R4546">
        <v>-0.98677280000000001</v>
      </c>
      <c r="S4546">
        <v>0.94000240000000002</v>
      </c>
      <c r="T4546">
        <v>-0.1756587</v>
      </c>
      <c r="U4546">
        <v>-2.941071</v>
      </c>
      <c r="V4546">
        <v>-0.19529450000000001</v>
      </c>
      <c r="W4546">
        <v>0.1127244</v>
      </c>
      <c r="X4546">
        <v>0.97424500000000003</v>
      </c>
      <c r="Y4546">
        <v>-0.37104900000000002</v>
      </c>
      <c r="Z4546">
        <v>4.5508710000000001E-2</v>
      </c>
      <c r="AA4546">
        <v>0.92749749999999997</v>
      </c>
      <c r="AB4546">
        <v>18</v>
      </c>
      <c r="AC4546">
        <v>6.0117999999999903</v>
      </c>
      <c r="AD4546">
        <v>-1.121740289833</v>
      </c>
      <c r="AE4546">
        <v>-18.6389</v>
      </c>
      <c r="AF4546">
        <v>-7.2997933832265796</v>
      </c>
      <c r="AG4546">
        <v>-1.121740289833</v>
      </c>
      <c r="AH4546">
        <v>18.1041176728524</v>
      </c>
      <c r="AI4546">
        <v>93.288886222665596</v>
      </c>
      <c r="AJ4546">
        <v>111.95987240238</v>
      </c>
      <c r="AK4546">
        <v>19.552604978061702</v>
      </c>
      <c r="AL4546">
        <v>83.5276109112135</v>
      </c>
      <c r="AM4546">
        <v>101.335122615031</v>
      </c>
      <c r="AN4546">
        <v>1.0000000260552999</v>
      </c>
    </row>
    <row r="4547" spans="1:40" x14ac:dyDescent="0.25">
      <c r="A4547" t="str">
        <f>"20190303162000574"</f>
        <v>20190303162000574</v>
      </c>
      <c r="B4547" t="str">
        <f>"1551601200567347"</f>
        <v>1551601200567347</v>
      </c>
      <c r="C4547" t="s">
        <v>40</v>
      </c>
      <c r="D4547">
        <v>4.4643980000000001</v>
      </c>
      <c r="E4547">
        <v>0.42542930000000001</v>
      </c>
      <c r="F4547" t="s">
        <v>49</v>
      </c>
      <c r="G4547">
        <v>-486.05950000000001</v>
      </c>
      <c r="H4547" s="1">
        <v>4.7001540000000003E-6</v>
      </c>
      <c r="I4547">
        <v>226.72569999999999</v>
      </c>
      <c r="J4547">
        <v>-492.10289999999998</v>
      </c>
      <c r="K4547">
        <v>1.121804</v>
      </c>
      <c r="L4547">
        <v>245.2542</v>
      </c>
      <c r="M4547">
        <v>-7.0410299999999995E-2</v>
      </c>
      <c r="N4547">
        <v>-1.027291E-2</v>
      </c>
      <c r="O4547">
        <v>-0.9974653</v>
      </c>
      <c r="P4547">
        <v>0.1272076</v>
      </c>
      <c r="Q4547">
        <v>0.1028096</v>
      </c>
      <c r="R4547">
        <v>-0.98653349999999995</v>
      </c>
      <c r="S4547">
        <v>0.95077509999999998</v>
      </c>
      <c r="T4547">
        <v>-0.17670749999999999</v>
      </c>
      <c r="U4547">
        <v>-2.9380489999999999</v>
      </c>
      <c r="V4547">
        <v>-0.1965373</v>
      </c>
      <c r="W4547">
        <v>0.11250880000000001</v>
      </c>
      <c r="X4547">
        <v>0.97401990000000005</v>
      </c>
      <c r="Y4547">
        <v>-0.3736622</v>
      </c>
      <c r="Z4547">
        <v>4.5834569999999998E-2</v>
      </c>
      <c r="AA4547">
        <v>0.92643169999999997</v>
      </c>
      <c r="AB4547">
        <v>18</v>
      </c>
      <c r="AC4547">
        <v>6.0433999999999601</v>
      </c>
      <c r="AD4547">
        <v>-1.121799299846</v>
      </c>
      <c r="AE4547">
        <v>-18.528500000000001</v>
      </c>
      <c r="AF4547">
        <v>-7.30884992969583</v>
      </c>
      <c r="AG4547">
        <v>-1.121799299846</v>
      </c>
      <c r="AH4547">
        <v>17.997341313447901</v>
      </c>
      <c r="AI4547">
        <v>93.305207318664301</v>
      </c>
      <c r="AJ4547">
        <v>112.10242530649499</v>
      </c>
      <c r="AK4547">
        <v>19.457184156930001</v>
      </c>
      <c r="AL4547">
        <v>83.540042493237195</v>
      </c>
      <c r="AM4547">
        <v>101.407938140902</v>
      </c>
      <c r="AN4547">
        <v>0.99999995298236899</v>
      </c>
    </row>
    <row r="4548" spans="1:40" x14ac:dyDescent="0.25">
      <c r="A4548" t="str">
        <f>"20190303162000591"</f>
        <v>20190303162000591</v>
      </c>
      <c r="B4548" t="str">
        <f>"1551601200586866"</f>
        <v>1551601200586866</v>
      </c>
      <c r="C4548" t="s">
        <v>40</v>
      </c>
      <c r="D4548">
        <v>4.5317080000000001</v>
      </c>
      <c r="E4548">
        <v>0.39109759999999999</v>
      </c>
      <c r="F4548" t="s">
        <v>49</v>
      </c>
      <c r="G4548">
        <v>-485.89400000000001</v>
      </c>
      <c r="H4548" s="1">
        <v>4.5508749999999999E-6</v>
      </c>
      <c r="I4548">
        <v>226.2808</v>
      </c>
      <c r="J4548">
        <v>-492.11200000000002</v>
      </c>
      <c r="K4548">
        <v>1.1218729999999999</v>
      </c>
      <c r="L4548">
        <v>245.10839999999999</v>
      </c>
      <c r="M4548">
        <v>-6.9384580000000001E-2</v>
      </c>
      <c r="N4548">
        <v>-1.0279119999999999E-2</v>
      </c>
      <c r="O4548">
        <v>-0.99753729999999996</v>
      </c>
      <c r="P4548">
        <v>0.1305327</v>
      </c>
      <c r="Q4548">
        <v>0.10289329999999999</v>
      </c>
      <c r="R4548">
        <v>-0.98609080000000005</v>
      </c>
      <c r="S4548">
        <v>0.96051030000000004</v>
      </c>
      <c r="T4548">
        <v>-0.17354169999999999</v>
      </c>
      <c r="U4548">
        <v>-2.935165</v>
      </c>
      <c r="V4548">
        <v>-0.1988393</v>
      </c>
      <c r="W4548">
        <v>0.11255660000000001</v>
      </c>
      <c r="X4548">
        <v>0.9735471</v>
      </c>
      <c r="Y4548">
        <v>-0.37576789999999999</v>
      </c>
      <c r="Z4548">
        <v>4.4830210000000002E-2</v>
      </c>
      <c r="AA4548">
        <v>0.92562880000000003</v>
      </c>
      <c r="AB4548">
        <v>18</v>
      </c>
      <c r="AC4548">
        <v>6.21799999999996</v>
      </c>
      <c r="AD4548">
        <v>-1.1218684491249999</v>
      </c>
      <c r="AE4548">
        <v>-18.827599999999901</v>
      </c>
      <c r="AF4548">
        <v>-7.4854630830701803</v>
      </c>
      <c r="AG4548">
        <v>-1.1218684491249999</v>
      </c>
      <c r="AH4548">
        <v>18.2922045350366</v>
      </c>
      <c r="AI4548">
        <v>93.248719128516797</v>
      </c>
      <c r="AJ4548">
        <v>112.255163899064</v>
      </c>
      <c r="AK4548">
        <v>19.796350500452402</v>
      </c>
      <c r="AL4548">
        <v>83.537286589209003</v>
      </c>
      <c r="AM4548">
        <v>101.543446626172</v>
      </c>
      <c r="AN4548">
        <v>1.0000000056732301</v>
      </c>
    </row>
    <row r="4549" spans="1:40" x14ac:dyDescent="0.25">
      <c r="A4549" t="str">
        <f>"20190303162000604"</f>
        <v>20190303162000604</v>
      </c>
      <c r="B4549" t="str">
        <f>"1551601200596626"</f>
        <v>1551601200596626</v>
      </c>
      <c r="C4549" t="s">
        <v>40</v>
      </c>
      <c r="D4549">
        <v>4.5801160000000003</v>
      </c>
      <c r="E4549">
        <v>0.38491449999999999</v>
      </c>
      <c r="F4549" t="s">
        <v>42</v>
      </c>
      <c r="G4549">
        <v>-491.72579999999999</v>
      </c>
      <c r="H4549">
        <v>1.0675250000000001</v>
      </c>
      <c r="I4549">
        <v>244.20750000000001</v>
      </c>
      <c r="J4549">
        <v>-492.11849999999998</v>
      </c>
      <c r="K4549">
        <v>1.121923</v>
      </c>
      <c r="L4549">
        <v>245.0027</v>
      </c>
      <c r="M4549">
        <v>-6.8592860000000005E-2</v>
      </c>
      <c r="N4549">
        <v>-1.028366E-2</v>
      </c>
      <c r="O4549">
        <v>-0.99759189999999998</v>
      </c>
      <c r="P4549">
        <v>0.13238510000000001</v>
      </c>
      <c r="Q4549">
        <v>0.1030692</v>
      </c>
      <c r="R4549">
        <v>-0.98582539999999996</v>
      </c>
      <c r="S4549">
        <v>1.241943</v>
      </c>
      <c r="T4549">
        <v>-0.17470359999999999</v>
      </c>
      <c r="U4549">
        <v>-2.8961489999999999</v>
      </c>
      <c r="V4549">
        <v>-0.19991039999999999</v>
      </c>
      <c r="W4549">
        <v>0.1127073</v>
      </c>
      <c r="X4549">
        <v>0.97331029999999996</v>
      </c>
      <c r="Y4549">
        <v>-0.45569929999999997</v>
      </c>
      <c r="Z4549">
        <v>4.3893710000000002E-2</v>
      </c>
      <c r="AA4549">
        <v>0.88905089999999998</v>
      </c>
      <c r="AB4549">
        <v>18</v>
      </c>
      <c r="AC4549">
        <v>0.39269999999999</v>
      </c>
      <c r="AD4549">
        <v>-5.4397999999999898E-2</v>
      </c>
      <c r="AE4549">
        <v>-0.79519999999999402</v>
      </c>
      <c r="AF4549">
        <v>-0.444650067864795</v>
      </c>
      <c r="AG4549">
        <v>-5.4397999999999898E-2</v>
      </c>
      <c r="AH4549">
        <v>0.76351659693767504</v>
      </c>
      <c r="AI4549">
        <v>93.523089138375795</v>
      </c>
      <c r="AJ4549">
        <v>120.215289026843</v>
      </c>
      <c r="AK4549">
        <v>0.88522902068078102</v>
      </c>
      <c r="AL4549">
        <v>83.528596925105305</v>
      </c>
      <c r="AM4549">
        <v>101.60669286459</v>
      </c>
      <c r="AN4549">
        <v>1.0000000217937599</v>
      </c>
    </row>
    <row r="4550" spans="1:40" x14ac:dyDescent="0.25">
      <c r="A4550" t="str">
        <f>"20190303162000619"</f>
        <v>20190303162000619</v>
      </c>
      <c r="B4550" t="str">
        <f>"1551601200606386"</f>
        <v>1551601200606386</v>
      </c>
      <c r="C4550" t="s">
        <v>40</v>
      </c>
      <c r="D4550">
        <v>4.5403279999999997</v>
      </c>
      <c r="E4550">
        <v>0.3805711</v>
      </c>
      <c r="F4550" t="s">
        <v>42</v>
      </c>
      <c r="G4550">
        <v>-491.7364</v>
      </c>
      <c r="H4550">
        <v>1.05881</v>
      </c>
      <c r="I4550">
        <v>244.14940000000001</v>
      </c>
      <c r="J4550">
        <v>-492.12520000000001</v>
      </c>
      <c r="K4550">
        <v>1.1219790000000001</v>
      </c>
      <c r="L4550">
        <v>244.89089999999999</v>
      </c>
      <c r="M4550">
        <v>-6.7671380000000003E-2</v>
      </c>
      <c r="N4550">
        <v>-1.0288739999999999E-2</v>
      </c>
      <c r="O4550">
        <v>-0.99765490000000001</v>
      </c>
      <c r="P4550">
        <v>0.13401959999999999</v>
      </c>
      <c r="Q4550">
        <v>0.1027059</v>
      </c>
      <c r="R4550">
        <v>-0.98564220000000002</v>
      </c>
      <c r="S4550">
        <v>1.29541</v>
      </c>
      <c r="T4550">
        <v>-0.21386230000000001</v>
      </c>
      <c r="U4550">
        <v>-2.8915410000000001</v>
      </c>
      <c r="V4550">
        <v>-0.2006433</v>
      </c>
      <c r="W4550">
        <v>0.1123188</v>
      </c>
      <c r="X4550">
        <v>0.97320439999999997</v>
      </c>
      <c r="Y4550">
        <v>-0.46884740000000003</v>
      </c>
      <c r="Z4550">
        <v>5.5637779999999998E-2</v>
      </c>
      <c r="AA4550">
        <v>0.88152520000000001</v>
      </c>
      <c r="AB4550">
        <v>18</v>
      </c>
      <c r="AC4550">
        <v>0.38880000000000298</v>
      </c>
      <c r="AD4550">
        <v>-6.3169000000000003E-2</v>
      </c>
      <c r="AE4550">
        <v>-0.74149999999997296</v>
      </c>
      <c r="AF4550">
        <v>-0.43560993751106403</v>
      </c>
      <c r="AG4550">
        <v>-6.3169000000000003E-2</v>
      </c>
      <c r="AH4550">
        <v>0.70944954545843397</v>
      </c>
      <c r="AI4550">
        <v>94.339155552636996</v>
      </c>
      <c r="AJ4550">
        <v>121.550389303956</v>
      </c>
      <c r="AK4550">
        <v>0.83490418478444095</v>
      </c>
      <c r="AL4550">
        <v>83.550998603585199</v>
      </c>
      <c r="AM4550">
        <v>101.64931675369</v>
      </c>
      <c r="AN4550">
        <v>1.0000000254238399</v>
      </c>
    </row>
    <row r="4551" spans="1:40" x14ac:dyDescent="0.25">
      <c r="A4551" t="str">
        <f>"20190303162000631"</f>
        <v>20190303162000631</v>
      </c>
      <c r="B4551" t="str">
        <f>"1551601200626882"</f>
        <v>1551601200626882</v>
      </c>
      <c r="C4551" t="s">
        <v>40</v>
      </c>
      <c r="D4551">
        <v>4.5379550000000002</v>
      </c>
      <c r="E4551">
        <v>0.37650470000000003</v>
      </c>
      <c r="F4551" t="s">
        <v>42</v>
      </c>
      <c r="G4551">
        <v>-491.75240000000002</v>
      </c>
      <c r="H4551">
        <v>1.0569139999999999</v>
      </c>
      <c r="I4551">
        <v>244.08359999999999</v>
      </c>
      <c r="J4551">
        <v>-492.13139999999999</v>
      </c>
      <c r="K4551">
        <v>1.1220330000000001</v>
      </c>
      <c r="L4551">
        <v>244.78370000000001</v>
      </c>
      <c r="M4551">
        <v>-6.6742170000000003E-2</v>
      </c>
      <c r="N4551">
        <v>-1.0293689999999999E-2</v>
      </c>
      <c r="O4551">
        <v>-0.99771730000000003</v>
      </c>
      <c r="P4551">
        <v>0.13568169999999999</v>
      </c>
      <c r="Q4551">
        <v>0.1018223</v>
      </c>
      <c r="R4551">
        <v>-0.98550649999999995</v>
      </c>
      <c r="S4551">
        <v>1.3345340000000001</v>
      </c>
      <c r="T4551">
        <v>-0.23259879999999999</v>
      </c>
      <c r="U4551">
        <v>-2.8864899999999998</v>
      </c>
      <c r="V4551">
        <v>-0.20139850000000001</v>
      </c>
      <c r="W4551">
        <v>0.11141139999999999</v>
      </c>
      <c r="X4551">
        <v>0.97315269999999998</v>
      </c>
      <c r="Y4551">
        <v>-0.47831259999999998</v>
      </c>
      <c r="Z4551">
        <v>6.1124629999999999E-2</v>
      </c>
      <c r="AA4551">
        <v>0.8760599</v>
      </c>
      <c r="AB4551">
        <v>18</v>
      </c>
      <c r="AC4551">
        <v>0.37899999999996198</v>
      </c>
      <c r="AD4551">
        <v>-6.5119000000000093E-2</v>
      </c>
      <c r="AE4551">
        <v>-0.70010000000002004</v>
      </c>
      <c r="AF4551">
        <v>-0.42205959518785302</v>
      </c>
      <c r="AG4551">
        <v>-6.5119000000000093E-2</v>
      </c>
      <c r="AH4551">
        <v>0.66876760021633097</v>
      </c>
      <c r="AI4551">
        <v>94.707367566510399</v>
      </c>
      <c r="AJ4551">
        <v>122.256045581387</v>
      </c>
      <c r="AK4551">
        <v>0.79348906051075696</v>
      </c>
      <c r="AL4551">
        <v>83.603317120978502</v>
      </c>
      <c r="AM4551">
        <v>101.692562612207</v>
      </c>
      <c r="AN4551">
        <v>1.00000001668474</v>
      </c>
    </row>
    <row r="4552" spans="1:40" x14ac:dyDescent="0.25">
      <c r="A4552" t="str">
        <f>"20190303162000647"</f>
        <v>20190303162000647</v>
      </c>
      <c r="B4552" t="str">
        <f>"1551601200636642"</f>
        <v>1551601200636642</v>
      </c>
      <c r="C4552" t="s">
        <v>40</v>
      </c>
      <c r="D4552">
        <v>4.4919699999999896</v>
      </c>
      <c r="E4552">
        <v>0.37567669999999997</v>
      </c>
      <c r="F4552" t="s">
        <v>42</v>
      </c>
      <c r="G4552">
        <v>-491.72390000000001</v>
      </c>
      <c r="H4552">
        <v>1.0462049999999901</v>
      </c>
      <c r="I4552">
        <v>243.92689999999999</v>
      </c>
      <c r="J4552">
        <v>-492.13839999999999</v>
      </c>
      <c r="K4552">
        <v>1.1220870000000001</v>
      </c>
      <c r="L4552">
        <v>244.66050000000001</v>
      </c>
      <c r="M4552">
        <v>-6.5612290000000004E-2</v>
      </c>
      <c r="N4552">
        <v>-1.029946E-2</v>
      </c>
      <c r="O4552">
        <v>-0.99779229999999997</v>
      </c>
      <c r="P4552">
        <v>0.13767160000000001</v>
      </c>
      <c r="Q4552">
        <v>0.10044939999999999</v>
      </c>
      <c r="R4552">
        <v>-0.98537160000000001</v>
      </c>
      <c r="S4552">
        <v>1.370636</v>
      </c>
      <c r="T4552">
        <v>-0.25504700000000002</v>
      </c>
      <c r="U4552">
        <v>-2.8817750000000002</v>
      </c>
      <c r="V4552">
        <v>-0.20228589999999999</v>
      </c>
      <c r="W4552">
        <v>0.11001</v>
      </c>
      <c r="X4552">
        <v>0.97312810000000005</v>
      </c>
      <c r="Y4552">
        <v>-0.4866297</v>
      </c>
      <c r="Z4552">
        <v>6.7717730000000004E-2</v>
      </c>
      <c r="AA4552">
        <v>0.87097979999999997</v>
      </c>
      <c r="AB4552">
        <v>18</v>
      </c>
      <c r="AC4552">
        <v>0.414499999999975</v>
      </c>
      <c r="AD4552">
        <v>-7.5882000000000199E-2</v>
      </c>
      <c r="AE4552">
        <v>-0.73360000000002401</v>
      </c>
      <c r="AF4552">
        <v>-0.45802775457345801</v>
      </c>
      <c r="AG4552">
        <v>-7.5882000000000199E-2</v>
      </c>
      <c r="AH4552">
        <v>0.69915107669452303</v>
      </c>
      <c r="AI4552">
        <v>95.187494433394903</v>
      </c>
      <c r="AJ4552">
        <v>123.229604189727</v>
      </c>
      <c r="AK4552">
        <v>0.83926141930075304</v>
      </c>
      <c r="AL4552">
        <v>83.684108242122704</v>
      </c>
      <c r="AM4552">
        <v>101.742943259123</v>
      </c>
      <c r="AN4552">
        <v>1.0000000422241999</v>
      </c>
    </row>
    <row r="4553" spans="1:40" x14ac:dyDescent="0.25">
      <c r="A4553" t="str">
        <f>"20190303162000661"</f>
        <v>20190303162000661</v>
      </c>
      <c r="B4553" t="str">
        <f>"1551601200646403"</f>
        <v>1551601200646403</v>
      </c>
      <c r="C4553" t="s">
        <v>40</v>
      </c>
      <c r="D4553">
        <v>4.5030080000000003</v>
      </c>
      <c r="E4553">
        <v>0.37527549999999998</v>
      </c>
      <c r="F4553" t="s">
        <v>42</v>
      </c>
      <c r="G4553">
        <v>-491.7097</v>
      </c>
      <c r="H4553">
        <v>1.041002</v>
      </c>
      <c r="I4553">
        <v>243.7679</v>
      </c>
      <c r="J4553">
        <v>-492.1447</v>
      </c>
      <c r="K4553">
        <v>1.1221410000000001</v>
      </c>
      <c r="L4553">
        <v>244.54560000000001</v>
      </c>
      <c r="M4553">
        <v>-6.4478199999999999E-2</v>
      </c>
      <c r="N4553">
        <v>-1.030497E-2</v>
      </c>
      <c r="O4553">
        <v>-0.99786609999999998</v>
      </c>
      <c r="P4553">
        <v>0.13975879999999999</v>
      </c>
      <c r="Q4553">
        <v>9.9906490000000001E-2</v>
      </c>
      <c r="R4553">
        <v>-0.98513260000000002</v>
      </c>
      <c r="S4553">
        <v>1.3827510000000001</v>
      </c>
      <c r="T4553">
        <v>-0.26139780000000001</v>
      </c>
      <c r="U4553">
        <v>-2.8779910000000002</v>
      </c>
      <c r="V4553">
        <v>-0.2032601</v>
      </c>
      <c r="W4553">
        <v>0.1094403</v>
      </c>
      <c r="X4553">
        <v>0.97298929999999995</v>
      </c>
      <c r="Y4553">
        <v>-0.48900009999999999</v>
      </c>
      <c r="Z4553">
        <v>6.9625270000000003E-2</v>
      </c>
      <c r="AA4553">
        <v>0.86950059999999996</v>
      </c>
      <c r="AB4553">
        <v>18</v>
      </c>
      <c r="AC4553">
        <v>0.435000000000002</v>
      </c>
      <c r="AD4553">
        <v>-8.1139000000000003E-2</v>
      </c>
      <c r="AE4553">
        <v>-0.77770000000000905</v>
      </c>
      <c r="AF4553">
        <v>-0.48026015153347701</v>
      </c>
      <c r="AG4553">
        <v>-8.1139000000000003E-2</v>
      </c>
      <c r="AH4553">
        <v>0.74188096491828903</v>
      </c>
      <c r="AI4553">
        <v>95.245665681689104</v>
      </c>
      <c r="AJ4553">
        <v>122.917191936783</v>
      </c>
      <c r="AK4553">
        <v>0.88747998094607705</v>
      </c>
      <c r="AL4553">
        <v>83.716947747775805</v>
      </c>
      <c r="AM4553">
        <v>101.799551141191</v>
      </c>
      <c r="AN4553">
        <v>1.0000000127152899</v>
      </c>
    </row>
    <row r="4554" spans="1:40" x14ac:dyDescent="0.25">
      <c r="A4554" t="str">
        <f>"20190303162000673"</f>
        <v>20190303162000673</v>
      </c>
      <c r="B4554" t="str">
        <f>"1551601200666898"</f>
        <v>1551601200666898</v>
      </c>
      <c r="C4554" t="s">
        <v>40</v>
      </c>
      <c r="D4554">
        <v>4.4973780000000003</v>
      </c>
      <c r="E4554">
        <v>0.37504599999999999</v>
      </c>
      <c r="F4554" t="s">
        <v>42</v>
      </c>
      <c r="G4554">
        <v>-491.76459999999997</v>
      </c>
      <c r="H4554">
        <v>1.0487200000000001</v>
      </c>
      <c r="I4554">
        <v>243.75980000000001</v>
      </c>
      <c r="J4554">
        <v>-492.15019999999998</v>
      </c>
      <c r="K4554">
        <v>1.122193</v>
      </c>
      <c r="L4554">
        <v>244.44130000000001</v>
      </c>
      <c r="M4554">
        <v>-6.3399220000000006E-2</v>
      </c>
      <c r="N4554">
        <v>-1.030999E-2</v>
      </c>
      <c r="O4554">
        <v>-0.99793520000000002</v>
      </c>
      <c r="P4554">
        <v>0.14054269999999999</v>
      </c>
      <c r="Q4554">
        <v>0.1002231</v>
      </c>
      <c r="R4554">
        <v>-0.98498920000000001</v>
      </c>
      <c r="S4554">
        <v>1.3915709999999999</v>
      </c>
      <c r="T4554">
        <v>-0.26859440000000001</v>
      </c>
      <c r="U4554">
        <v>-2.875076</v>
      </c>
      <c r="V4554">
        <v>-0.2029936</v>
      </c>
      <c r="W4554">
        <v>0.1097389</v>
      </c>
      <c r="X4554">
        <v>0.97301130000000002</v>
      </c>
      <c r="Y4554">
        <v>-0.49049019999999999</v>
      </c>
      <c r="Z4554">
        <v>7.1805919999999995E-2</v>
      </c>
      <c r="AA4554">
        <v>0.86848329999999996</v>
      </c>
      <c r="AB4554">
        <v>18</v>
      </c>
      <c r="AC4554">
        <v>0.38560000000000999</v>
      </c>
      <c r="AD4554">
        <v>-7.34729999999999E-2</v>
      </c>
      <c r="AE4554">
        <v>-0.681499999999999</v>
      </c>
      <c r="AF4554">
        <v>-0.42429732783646201</v>
      </c>
      <c r="AG4554">
        <v>-7.34729999999999E-2</v>
      </c>
      <c r="AH4554">
        <v>0.64995827214671398</v>
      </c>
      <c r="AI4554">
        <v>95.407408097911102</v>
      </c>
      <c r="AJ4554">
        <v>123.136784682628</v>
      </c>
      <c r="AK4554">
        <v>0.77966163152363999</v>
      </c>
      <c r="AL4554">
        <v>83.699735533468797</v>
      </c>
      <c r="AM4554">
        <v>101.78425432719899</v>
      </c>
      <c r="AN4554">
        <v>1.00000000887093</v>
      </c>
    </row>
    <row r="4555" spans="1:40" x14ac:dyDescent="0.25">
      <c r="A4555" t="str">
        <f>"20190303162000687"</f>
        <v>20190303162000687</v>
      </c>
      <c r="B4555" t="str">
        <f>"1551601200676658"</f>
        <v>1551601200676658</v>
      </c>
      <c r="C4555" t="s">
        <v>40</v>
      </c>
      <c r="D4555">
        <v>4.524807</v>
      </c>
      <c r="E4555">
        <v>0.37500909999999998</v>
      </c>
      <c r="F4555" t="s">
        <v>42</v>
      </c>
      <c r="G4555">
        <v>-491.74259999999998</v>
      </c>
      <c r="H4555">
        <v>1.0433539999999999</v>
      </c>
      <c r="I4555">
        <v>243.60169999999999</v>
      </c>
      <c r="J4555">
        <v>-492.1558</v>
      </c>
      <c r="K4555">
        <v>1.122242</v>
      </c>
      <c r="L4555">
        <v>244.33170000000001</v>
      </c>
      <c r="M4555">
        <v>-6.222892E-2</v>
      </c>
      <c r="N4555">
        <v>-1.031519E-2</v>
      </c>
      <c r="O4555">
        <v>-0.99800869999999997</v>
      </c>
      <c r="P4555">
        <v>0.1426743</v>
      </c>
      <c r="Q4555">
        <v>0.1002358</v>
      </c>
      <c r="R4555">
        <v>-0.98468140000000004</v>
      </c>
      <c r="S4555">
        <v>1.395721</v>
      </c>
      <c r="T4555">
        <v>-0.26987159999999999</v>
      </c>
      <c r="U4555">
        <v>-2.8740540000000001</v>
      </c>
      <c r="V4555">
        <v>-0.20397219999999999</v>
      </c>
      <c r="W4555">
        <v>0.10972899999999999</v>
      </c>
      <c r="X4555">
        <v>0.9728078</v>
      </c>
      <c r="Y4555">
        <v>-0.49059219999999998</v>
      </c>
      <c r="Z4555">
        <v>7.2200440000000005E-2</v>
      </c>
      <c r="AA4555">
        <v>0.86839299999999997</v>
      </c>
      <c r="AB4555">
        <v>18</v>
      </c>
      <c r="AC4555">
        <v>0.413200000000017</v>
      </c>
      <c r="AD4555">
        <v>-7.8887999999999806E-2</v>
      </c>
      <c r="AE4555">
        <v>-0.73000000000001797</v>
      </c>
      <c r="AF4555">
        <v>-0.45381483644148801</v>
      </c>
      <c r="AG4555">
        <v>-7.8887999999999806E-2</v>
      </c>
      <c r="AH4555">
        <v>0.696708620686185</v>
      </c>
      <c r="AI4555">
        <v>95.419837555056205</v>
      </c>
      <c r="AJ4555">
        <v>123.07899930274</v>
      </c>
      <c r="AK4555">
        <v>0.83520903039709804</v>
      </c>
      <c r="AL4555">
        <v>83.700306555281102</v>
      </c>
      <c r="AM4555">
        <v>101.841871376146</v>
      </c>
      <c r="AN4555">
        <v>1.0000000637773301</v>
      </c>
    </row>
    <row r="4556" spans="1:40" x14ac:dyDescent="0.25">
      <c r="A4556" t="str">
        <f>"20190303162000703"</f>
        <v>20190303162000703</v>
      </c>
      <c r="B4556" t="str">
        <f>"1551601200697154"</f>
        <v>1551601200697154</v>
      </c>
      <c r="C4556" t="s">
        <v>40</v>
      </c>
      <c r="D4556">
        <v>4.4919060000000002</v>
      </c>
      <c r="E4556">
        <v>0.37511159999999999</v>
      </c>
      <c r="F4556" t="s">
        <v>42</v>
      </c>
      <c r="G4556">
        <v>-491.72269999999997</v>
      </c>
      <c r="H4556">
        <v>1.03826</v>
      </c>
      <c r="I4556">
        <v>243.44319999999999</v>
      </c>
      <c r="J4556">
        <v>-492.16239999999999</v>
      </c>
      <c r="K4556">
        <v>1.1223069999999999</v>
      </c>
      <c r="L4556">
        <v>244.19839999999999</v>
      </c>
      <c r="M4556">
        <v>-6.0734719999999999E-2</v>
      </c>
      <c r="N4556">
        <v>-1.032132E-2</v>
      </c>
      <c r="O4556">
        <v>-0.9981006</v>
      </c>
      <c r="P4556">
        <v>0.14603550000000001</v>
      </c>
      <c r="Q4556">
        <v>0.10126640000000001</v>
      </c>
      <c r="R4556">
        <v>-0.98408280000000004</v>
      </c>
      <c r="S4556">
        <v>1.401276</v>
      </c>
      <c r="T4556">
        <v>-0.2713602</v>
      </c>
      <c r="U4556">
        <v>-2.8712620000000002</v>
      </c>
      <c r="V4556">
        <v>-0.2058488</v>
      </c>
      <c r="W4556">
        <v>0.11073040000000001</v>
      </c>
      <c r="X4556">
        <v>0.97229889999999997</v>
      </c>
      <c r="Y4556">
        <v>-0.49096139999999999</v>
      </c>
      <c r="Z4556">
        <v>7.2691950000000005E-2</v>
      </c>
      <c r="AA4556">
        <v>0.86814329999999995</v>
      </c>
      <c r="AB4556">
        <v>18</v>
      </c>
      <c r="AC4556">
        <v>0.43970000000001602</v>
      </c>
      <c r="AD4556">
        <v>-8.40469999999999E-2</v>
      </c>
      <c r="AE4556">
        <v>-0.75520000000000198</v>
      </c>
      <c r="AF4556">
        <v>-0.48031458612260702</v>
      </c>
      <c r="AG4556">
        <v>-8.40469999999999E-2</v>
      </c>
      <c r="AH4556">
        <v>0.72043519176175597</v>
      </c>
      <c r="AI4556">
        <v>95.544141106004204</v>
      </c>
      <c r="AJ4556">
        <v>123.691414148904</v>
      </c>
      <c r="AK4556">
        <v>0.86993842620034301</v>
      </c>
      <c r="AL4556">
        <v>83.642578692696603</v>
      </c>
      <c r="AM4556">
        <v>101.953776075522</v>
      </c>
      <c r="AN4556">
        <v>1.0000000504433999</v>
      </c>
    </row>
    <row r="4557" spans="1:40" x14ac:dyDescent="0.25">
      <c r="A4557" t="str">
        <f>"20190303162000717"</f>
        <v>20190303162000717</v>
      </c>
      <c r="B4557" t="str">
        <f>"1551601200706914"</f>
        <v>1551601200706914</v>
      </c>
      <c r="C4557" t="s">
        <v>40</v>
      </c>
      <c r="D4557">
        <v>4.4824330000000003</v>
      </c>
      <c r="E4557">
        <v>0.37517040000000001</v>
      </c>
      <c r="F4557" t="s">
        <v>42</v>
      </c>
      <c r="G4557">
        <v>-491.78649999999999</v>
      </c>
      <c r="H4557">
        <v>1.049428</v>
      </c>
      <c r="I4557">
        <v>243.4325</v>
      </c>
      <c r="J4557">
        <v>-492.16759999999999</v>
      </c>
      <c r="K4557">
        <v>1.122344</v>
      </c>
      <c r="L4557">
        <v>244.08920000000001</v>
      </c>
      <c r="M4557">
        <v>-5.9457370000000002E-2</v>
      </c>
      <c r="N4557">
        <v>-1.032608E-2</v>
      </c>
      <c r="O4557">
        <v>-0.9981776</v>
      </c>
      <c r="P4557">
        <v>0.1485175</v>
      </c>
      <c r="Q4557">
        <v>0.1018363</v>
      </c>
      <c r="R4557">
        <v>-0.98365250000000004</v>
      </c>
      <c r="S4557">
        <v>1.4092709999999999</v>
      </c>
      <c r="T4557">
        <v>-0.27280280000000001</v>
      </c>
      <c r="U4557">
        <v>-2.8674469999999999</v>
      </c>
      <c r="V4557">
        <v>-0.2070649</v>
      </c>
      <c r="W4557">
        <v>0.11128200000000001</v>
      </c>
      <c r="X4557">
        <v>0.9719776</v>
      </c>
      <c r="Y4557">
        <v>-0.49223709999999998</v>
      </c>
      <c r="Z4557">
        <v>7.315721E-2</v>
      </c>
      <c r="AA4557">
        <v>0.86738150000000003</v>
      </c>
      <c r="AB4557">
        <v>18</v>
      </c>
      <c r="AC4557">
        <v>0.38110000000000299</v>
      </c>
      <c r="AD4557">
        <v>-7.2915999999999898E-2</v>
      </c>
      <c r="AE4557">
        <v>-0.65669999999999995</v>
      </c>
      <c r="AF4557">
        <v>-0.415640160267023</v>
      </c>
      <c r="AG4557">
        <v>-7.2915999999999898E-2</v>
      </c>
      <c r="AH4557">
        <v>0.62709423935171704</v>
      </c>
      <c r="AI4557">
        <v>95.5358129226084</v>
      </c>
      <c r="AJ4557">
        <v>123.536550500614</v>
      </c>
      <c r="AK4557">
        <v>0.75585757316501401</v>
      </c>
      <c r="AL4557">
        <v>83.610777515726198</v>
      </c>
      <c r="AM4557">
        <v>102.026205352017</v>
      </c>
      <c r="AN4557">
        <v>1.00000000561888</v>
      </c>
    </row>
    <row r="4558" spans="1:40" x14ac:dyDescent="0.25">
      <c r="A4558" t="str">
        <f>"20190303162000731"</f>
        <v>20190303162000731</v>
      </c>
      <c r="B4558" t="str">
        <f>"1551601200726435"</f>
        <v>1551601200726435</v>
      </c>
      <c r="C4558" t="s">
        <v>40</v>
      </c>
      <c r="D4558">
        <v>4.5017680000000002</v>
      </c>
      <c r="E4558">
        <v>0.37529760000000001</v>
      </c>
      <c r="F4558" t="s">
        <v>42</v>
      </c>
      <c r="G4558">
        <v>-491.7654</v>
      </c>
      <c r="H4558">
        <v>1.044656</v>
      </c>
      <c r="I4558">
        <v>243.2749</v>
      </c>
      <c r="J4558">
        <v>-492.17290000000003</v>
      </c>
      <c r="K4558">
        <v>1.1223749999999999</v>
      </c>
      <c r="L4558">
        <v>243.97550000000001</v>
      </c>
      <c r="M4558">
        <v>-5.8098820000000002E-2</v>
      </c>
      <c r="N4558">
        <v>-1.0330829999999999E-2</v>
      </c>
      <c r="O4558">
        <v>-0.99825759999999997</v>
      </c>
      <c r="P4558">
        <v>0.1510444</v>
      </c>
      <c r="Q4558">
        <v>0.10257429999999999</v>
      </c>
      <c r="R4558">
        <v>-0.98319129999999999</v>
      </c>
      <c r="S4558">
        <v>1.4153439999999999</v>
      </c>
      <c r="T4558">
        <v>-0.27327760000000001</v>
      </c>
      <c r="U4558">
        <v>-2.8644259999999999</v>
      </c>
      <c r="V4558">
        <v>-0.2082463</v>
      </c>
      <c r="W4558">
        <v>0.1120037</v>
      </c>
      <c r="X4558">
        <v>0.97164229999999996</v>
      </c>
      <c r="Y4558">
        <v>-0.49288850000000001</v>
      </c>
      <c r="Z4558">
        <v>7.3335570000000003E-2</v>
      </c>
      <c r="AA4558">
        <v>0.86699649999999995</v>
      </c>
      <c r="AB4558">
        <v>18</v>
      </c>
      <c r="AC4558">
        <v>0.40750000000002701</v>
      </c>
      <c r="AD4558">
        <v>-7.7718999999999802E-2</v>
      </c>
      <c r="AE4558">
        <v>-0.70060000000000799</v>
      </c>
      <c r="AF4558">
        <v>-0.44344030285029401</v>
      </c>
      <c r="AG4558">
        <v>-7.7718999999999802E-2</v>
      </c>
      <c r="AH4558">
        <v>0.66958302290693905</v>
      </c>
      <c r="AI4558">
        <v>95.527467730429805</v>
      </c>
      <c r="AJ4558">
        <v>123.515049476329</v>
      </c>
      <c r="AK4558">
        <v>0.80685870492804102</v>
      </c>
      <c r="AL4558">
        <v>83.569167335633395</v>
      </c>
      <c r="AM4558">
        <v>102.096856377992</v>
      </c>
      <c r="AN4558">
        <v>1.0000000547133301</v>
      </c>
    </row>
    <row r="4559" spans="1:40" x14ac:dyDescent="0.25">
      <c r="A4559" t="str">
        <f>"20190303162000747"</f>
        <v>20190303162000747</v>
      </c>
      <c r="B4559" t="str">
        <f>"1551601200737170"</f>
        <v>1551601200737170</v>
      </c>
      <c r="C4559" t="s">
        <v>40</v>
      </c>
      <c r="D4559">
        <v>4.495711</v>
      </c>
      <c r="E4559">
        <v>0.37542690000000001</v>
      </c>
      <c r="F4559" t="s">
        <v>42</v>
      </c>
      <c r="G4559">
        <v>-491.74619999999999</v>
      </c>
      <c r="H4559">
        <v>1.039704</v>
      </c>
      <c r="I4559">
        <v>243.11590000000001</v>
      </c>
      <c r="J4559">
        <v>-492.17899999999997</v>
      </c>
      <c r="K4559">
        <v>1.122403</v>
      </c>
      <c r="L4559">
        <v>243.8372</v>
      </c>
      <c r="M4559">
        <v>-5.6404349999999999E-2</v>
      </c>
      <c r="N4559">
        <v>-1.03363E-2</v>
      </c>
      <c r="O4559">
        <v>-0.99835479999999999</v>
      </c>
      <c r="P4559">
        <v>0.15510109999999999</v>
      </c>
      <c r="Q4559">
        <v>0.1028797</v>
      </c>
      <c r="R4559">
        <v>-0.98252740000000005</v>
      </c>
      <c r="S4559">
        <v>1.421265</v>
      </c>
      <c r="T4559">
        <v>-0.2751981</v>
      </c>
      <c r="U4559">
        <v>-2.8616489999999999</v>
      </c>
      <c r="V4559">
        <v>-0.2106161</v>
      </c>
      <c r="W4559">
        <v>0.1122885</v>
      </c>
      <c r="X4559">
        <v>0.97109840000000003</v>
      </c>
      <c r="Y4559">
        <v>-0.49316480000000001</v>
      </c>
      <c r="Z4559">
        <v>7.3960680000000001E-2</v>
      </c>
      <c r="AA4559">
        <v>0.86678619999999995</v>
      </c>
      <c r="AB4559">
        <v>18</v>
      </c>
      <c r="AC4559">
        <v>0.43280000000004198</v>
      </c>
      <c r="AD4559">
        <v>-8.26989999999998E-2</v>
      </c>
      <c r="AE4559">
        <v>-0.72129999999998495</v>
      </c>
      <c r="AF4559">
        <v>-0.468271507398276</v>
      </c>
      <c r="AG4559">
        <v>-8.26989999999998E-2</v>
      </c>
      <c r="AH4559">
        <v>0.68907826793738602</v>
      </c>
      <c r="AI4559">
        <v>95.668776386333604</v>
      </c>
      <c r="AJ4559">
        <v>124.198543884841</v>
      </c>
      <c r="AK4559">
        <v>0.83722529141542401</v>
      </c>
      <c r="AL4559">
        <v>83.552745395732998</v>
      </c>
      <c r="AM4559">
        <v>102.237038306155</v>
      </c>
      <c r="AN4559">
        <v>0.99999997564700904</v>
      </c>
    </row>
    <row r="4560" spans="1:40" x14ac:dyDescent="0.25">
      <c r="A4560" t="str">
        <f>"20190303162000764"</f>
        <v>20190303162000764</v>
      </c>
      <c r="B4560" t="str">
        <f>"1551601200756691"</f>
        <v>1551601200756691</v>
      </c>
      <c r="C4560" t="s">
        <v>40</v>
      </c>
      <c r="D4560">
        <v>4.5285489999999999</v>
      </c>
      <c r="E4560">
        <v>0.3756372</v>
      </c>
      <c r="F4560" t="s">
        <v>42</v>
      </c>
      <c r="G4560">
        <v>-491.73719999999997</v>
      </c>
      <c r="H4560">
        <v>1.037059</v>
      </c>
      <c r="I4560">
        <v>242.95519999999999</v>
      </c>
      <c r="J4560">
        <v>-492.18470000000002</v>
      </c>
      <c r="K4560">
        <v>1.1224160000000001</v>
      </c>
      <c r="L4560">
        <v>243.7021</v>
      </c>
      <c r="M4560">
        <v>-5.4711370000000002E-2</v>
      </c>
      <c r="N4560">
        <v>-1.034125E-2</v>
      </c>
      <c r="O4560">
        <v>-0.99844880000000003</v>
      </c>
      <c r="P4560">
        <v>0.15802639999999901</v>
      </c>
      <c r="Q4560">
        <v>0.102741</v>
      </c>
      <c r="R4560">
        <v>-0.98207560000000005</v>
      </c>
      <c r="S4560">
        <v>1.430542</v>
      </c>
      <c r="T4560">
        <v>-0.27637099999999998</v>
      </c>
      <c r="U4560">
        <v>-2.8564759999999998</v>
      </c>
      <c r="V4560">
        <v>-0.211867</v>
      </c>
      <c r="W4560">
        <v>0.11213969999999999</v>
      </c>
      <c r="X4560">
        <v>0.97084349999999997</v>
      </c>
      <c r="Y4560">
        <v>-0.49455379999999899</v>
      </c>
      <c r="Z4560">
        <v>7.4371670000000001E-2</v>
      </c>
      <c r="AA4560">
        <v>0.86595919999999904</v>
      </c>
      <c r="AB4560">
        <v>18</v>
      </c>
      <c r="AC4560">
        <v>0.44750000000004703</v>
      </c>
      <c r="AD4560">
        <v>-8.5357000000000099E-2</v>
      </c>
      <c r="AE4560">
        <v>-0.74690000000001</v>
      </c>
      <c r="AF4560">
        <v>-0.48305341987421901</v>
      </c>
      <c r="AG4560">
        <v>-8.5357000000000099E-2</v>
      </c>
      <c r="AH4560">
        <v>0.71443055533352495</v>
      </c>
      <c r="AI4560">
        <v>95.652436263159302</v>
      </c>
      <c r="AJ4560">
        <v>124.06410740488</v>
      </c>
      <c r="AK4560">
        <v>0.86662416438462397</v>
      </c>
      <c r="AL4560">
        <v>83.561325482680203</v>
      </c>
      <c r="AM4560">
        <v>102.31064099158201</v>
      </c>
      <c r="AN4560">
        <v>1.00000001974866</v>
      </c>
    </row>
    <row r="4561" spans="1:40" x14ac:dyDescent="0.25">
      <c r="A4561" t="str">
        <f>"20190303162000779"</f>
        <v>20190303162000779</v>
      </c>
      <c r="B4561" t="str">
        <f>"1551601200766450"</f>
        <v>1551601200766450</v>
      </c>
      <c r="C4561" t="s">
        <v>40</v>
      </c>
      <c r="D4561">
        <v>4.4635369999999996</v>
      </c>
      <c r="E4561">
        <v>0.37570750000000003</v>
      </c>
      <c r="F4561" t="s">
        <v>42</v>
      </c>
      <c r="G4561">
        <v>-491.80279999999999</v>
      </c>
      <c r="H4561">
        <v>1.0485719999999901</v>
      </c>
      <c r="I4561">
        <v>242.94380000000001</v>
      </c>
      <c r="J4561">
        <v>-492.1893</v>
      </c>
      <c r="K4561">
        <v>1.1224149999999999</v>
      </c>
      <c r="L4561">
        <v>243.58600000000001</v>
      </c>
      <c r="M4561">
        <v>-5.3237029999999998E-2</v>
      </c>
      <c r="N4561">
        <v>-1.0345129999999999E-2</v>
      </c>
      <c r="O4561">
        <v>-0.99852839999999998</v>
      </c>
      <c r="P4561">
        <v>0.1611696</v>
      </c>
      <c r="Q4561">
        <v>0.1020269</v>
      </c>
      <c r="R4561">
        <v>-0.98163909999999999</v>
      </c>
      <c r="S4561">
        <v>1.4366760000000001</v>
      </c>
      <c r="T4561">
        <v>-0.27780529999999998</v>
      </c>
      <c r="U4561">
        <v>-2.8526919999999998</v>
      </c>
      <c r="V4561">
        <v>-0.2135465</v>
      </c>
      <c r="W4561">
        <v>0.1114185</v>
      </c>
      <c r="X4561">
        <v>0.97055849999999999</v>
      </c>
      <c r="Y4561">
        <v>-0.49519990000000003</v>
      </c>
      <c r="Z4561">
        <v>7.4863570000000004E-2</v>
      </c>
      <c r="AA4561">
        <v>0.86554750000000003</v>
      </c>
      <c r="AB4561">
        <v>18</v>
      </c>
      <c r="AC4561">
        <v>0.386500000000012</v>
      </c>
      <c r="AD4561">
        <v>-7.3843000000000103E-2</v>
      </c>
      <c r="AE4561">
        <v>-0.64219999999997401</v>
      </c>
      <c r="AF4561">
        <v>-0.416103844136749</v>
      </c>
      <c r="AG4561">
        <v>-7.3843000000000103E-2</v>
      </c>
      <c r="AH4561">
        <v>0.61474535032017696</v>
      </c>
      <c r="AI4561">
        <v>95.680785799897393</v>
      </c>
      <c r="AJ4561">
        <v>124.09296650621501</v>
      </c>
      <c r="AK4561">
        <v>0.74599399695617996</v>
      </c>
      <c r="AL4561">
        <v>83.602907638582494</v>
      </c>
      <c r="AM4561">
        <v>102.408749090287</v>
      </c>
      <c r="AN4561">
        <v>0.99999999586337496</v>
      </c>
    </row>
    <row r="4562" spans="1:40" x14ac:dyDescent="0.25">
      <c r="A4562" t="str">
        <f>"20190303162000794"</f>
        <v>20190303162000794</v>
      </c>
      <c r="B4562" t="str">
        <f>"1551601200786946"</f>
        <v>1551601200786946</v>
      </c>
      <c r="C4562" t="s">
        <v>40</v>
      </c>
      <c r="D4562">
        <v>4.4935650000000003</v>
      </c>
      <c r="E4562">
        <v>0.37585679999999999</v>
      </c>
      <c r="F4562" t="s">
        <v>42</v>
      </c>
      <c r="G4562">
        <v>-491.7833</v>
      </c>
      <c r="H4562">
        <v>1.0434490000000001</v>
      </c>
      <c r="I4562">
        <v>242.78540000000001</v>
      </c>
      <c r="J4562">
        <v>-492.1943</v>
      </c>
      <c r="K4562">
        <v>1.122414</v>
      </c>
      <c r="L4562">
        <v>243.4537</v>
      </c>
      <c r="M4562">
        <v>-5.1544680000000002E-2</v>
      </c>
      <c r="N4562">
        <v>-1.0349219999999999E-2</v>
      </c>
      <c r="O4562">
        <v>-0.99861699999999998</v>
      </c>
      <c r="P4562">
        <v>0.16591889999999901</v>
      </c>
      <c r="Q4562">
        <v>0.10043240000000001</v>
      </c>
      <c r="R4562">
        <v>-0.98101170000000004</v>
      </c>
      <c r="S4562">
        <v>1.4449160000000001</v>
      </c>
      <c r="T4562">
        <v>-0.28088990000000003</v>
      </c>
      <c r="U4562">
        <v>-2.848068</v>
      </c>
      <c r="V4562">
        <v>-0.21660560000000001</v>
      </c>
      <c r="W4562">
        <v>0.1098129</v>
      </c>
      <c r="X4562">
        <v>0.97006349999999997</v>
      </c>
      <c r="Y4562">
        <v>-0.49624970000000002</v>
      </c>
      <c r="Z4562">
        <v>7.5858720000000004E-2</v>
      </c>
      <c r="AA4562">
        <v>0.8648593</v>
      </c>
      <c r="AB4562">
        <v>18</v>
      </c>
      <c r="AC4562">
        <v>0.41100000000000098</v>
      </c>
      <c r="AD4562">
        <v>-7.8964999999999896E-2</v>
      </c>
      <c r="AE4562">
        <v>-0.66829999999998702</v>
      </c>
      <c r="AF4562">
        <v>-0.44044108941985699</v>
      </c>
      <c r="AG4562">
        <v>-7.8964999999999896E-2</v>
      </c>
      <c r="AH4562">
        <v>0.63974491993013005</v>
      </c>
      <c r="AI4562">
        <v>95.805166105321007</v>
      </c>
      <c r="AJ4562">
        <v>124.545996274064</v>
      </c>
      <c r="AK4562">
        <v>0.780703136314156</v>
      </c>
      <c r="AL4562">
        <v>83.695469977236797</v>
      </c>
      <c r="AM4562">
        <v>102.587101462275</v>
      </c>
      <c r="AN4562">
        <v>1.000000026495</v>
      </c>
    </row>
    <row r="4563" spans="1:40" x14ac:dyDescent="0.25">
      <c r="A4563" t="str">
        <f>"20190303162000817"</f>
        <v>20190303162000817</v>
      </c>
      <c r="B4563" t="str">
        <f>"1551601200806466"</f>
        <v>1551601200806466</v>
      </c>
      <c r="C4563" t="s">
        <v>40</v>
      </c>
      <c r="D4563">
        <v>4.5096489999999996</v>
      </c>
      <c r="E4563">
        <v>0.3761041</v>
      </c>
      <c r="F4563" t="s">
        <v>42</v>
      </c>
      <c r="G4563">
        <v>-491.76949999999999</v>
      </c>
      <c r="H4563">
        <v>1.038675</v>
      </c>
      <c r="I4563">
        <v>242.6249</v>
      </c>
      <c r="J4563">
        <v>-492.20089999999999</v>
      </c>
      <c r="K4563">
        <v>1.122409</v>
      </c>
      <c r="L4563">
        <v>243.2731</v>
      </c>
      <c r="M4563">
        <v>-4.9220779999999999E-2</v>
      </c>
      <c r="N4563">
        <v>-1.035431E-2</v>
      </c>
      <c r="O4563">
        <v>-0.99873449999999997</v>
      </c>
      <c r="P4563">
        <v>0.17168369999999999</v>
      </c>
      <c r="Q4563">
        <v>9.9607650000000006E-2</v>
      </c>
      <c r="R4563">
        <v>-0.98010390000000003</v>
      </c>
      <c r="S4563">
        <v>1.4559329999999999</v>
      </c>
      <c r="T4563">
        <v>-0.2870684</v>
      </c>
      <c r="U4563">
        <v>-2.8412169999999999</v>
      </c>
      <c r="V4563">
        <v>-0.22005449999999999</v>
      </c>
      <c r="W4563">
        <v>0.1089777</v>
      </c>
      <c r="X4563">
        <v>0.96938120000000005</v>
      </c>
      <c r="Y4563">
        <v>-0.49765670000000001</v>
      </c>
      <c r="Z4563">
        <v>7.7835390000000004E-2</v>
      </c>
      <c r="AA4563">
        <v>0.863874699999999</v>
      </c>
      <c r="AB4563">
        <v>18</v>
      </c>
      <c r="AC4563">
        <v>0.43139999999999601</v>
      </c>
      <c r="AD4563">
        <v>-8.3733999999999906E-2</v>
      </c>
      <c r="AE4563">
        <v>-0.648200000000002</v>
      </c>
      <c r="AF4563">
        <v>-0.45749285227178199</v>
      </c>
      <c r="AG4563">
        <v>-8.3733999999999906E-2</v>
      </c>
      <c r="AH4563">
        <v>0.61902042203214203</v>
      </c>
      <c r="AI4563">
        <v>96.208419082034197</v>
      </c>
      <c r="AJ4563">
        <v>126.466601674956</v>
      </c>
      <c r="AK4563">
        <v>0.77427215856481801</v>
      </c>
      <c r="AL4563">
        <v>83.743612284521603</v>
      </c>
      <c r="AM4563">
        <v>102.789685783485</v>
      </c>
      <c r="AN4563">
        <v>1.0000000164904801</v>
      </c>
    </row>
    <row r="4564" spans="1:40" x14ac:dyDescent="0.25">
      <c r="A4564" t="str">
        <f>"20190303162000837"</f>
        <v>20190303162000837</v>
      </c>
      <c r="B4564" t="str">
        <f>"1551601200826962"</f>
        <v>1551601200826962</v>
      </c>
      <c r="C4564" t="s">
        <v>40</v>
      </c>
      <c r="D4564">
        <v>4.5026549999999999</v>
      </c>
      <c r="E4564">
        <v>0.3763726</v>
      </c>
      <c r="F4564" t="s">
        <v>42</v>
      </c>
      <c r="G4564">
        <v>-491.77929999999998</v>
      </c>
      <c r="H4564">
        <v>1.0387690000000001</v>
      </c>
      <c r="I4564">
        <v>242.46029999999999</v>
      </c>
      <c r="J4564">
        <v>-492.20679999999999</v>
      </c>
      <c r="K4564">
        <v>1.122393</v>
      </c>
      <c r="L4564">
        <v>243.1009</v>
      </c>
      <c r="M4564">
        <v>-4.6996469999999999E-2</v>
      </c>
      <c r="N4564">
        <v>-1.035881E-2</v>
      </c>
      <c r="O4564">
        <v>-0.99884130000000004</v>
      </c>
      <c r="P4564">
        <v>0.17750659999999999</v>
      </c>
      <c r="Q4564">
        <v>9.9429840000000005E-2</v>
      </c>
      <c r="R4564">
        <v>-0.97908390000000001</v>
      </c>
      <c r="S4564">
        <v>1.469757</v>
      </c>
      <c r="T4564">
        <v>-0.29150619999999999</v>
      </c>
      <c r="U4564">
        <v>-2.833008</v>
      </c>
      <c r="V4564">
        <v>-0.22365889999999999</v>
      </c>
      <c r="W4564">
        <v>0.1087886</v>
      </c>
      <c r="X4564">
        <v>0.96857720000000003</v>
      </c>
      <c r="Y4564">
        <v>-0.50001139999999999</v>
      </c>
      <c r="Z4564">
        <v>7.9274129999999998E-2</v>
      </c>
      <c r="AA4564">
        <v>0.8623828</v>
      </c>
      <c r="AB4564">
        <v>18</v>
      </c>
      <c r="AC4564">
        <v>0.42750000000000898</v>
      </c>
      <c r="AD4564">
        <v>-8.3623999999999907E-2</v>
      </c>
      <c r="AE4564">
        <v>-0.64060000000000605</v>
      </c>
      <c r="AF4564">
        <v>-0.451808294917521</v>
      </c>
      <c r="AG4564">
        <v>-8.3623999999999907E-2</v>
      </c>
      <c r="AH4564">
        <v>0.61257770023744396</v>
      </c>
      <c r="AI4564">
        <v>96.269498569681801</v>
      </c>
      <c r="AJ4564">
        <v>126.410727728604</v>
      </c>
      <c r="AK4564">
        <v>0.76575136144865796</v>
      </c>
      <c r="AL4564">
        <v>83.754511788524397</v>
      </c>
      <c r="AM4564">
        <v>103.00254036172799</v>
      </c>
      <c r="AN4564">
        <v>1.0000000276995</v>
      </c>
    </row>
    <row r="4565" spans="1:40" x14ac:dyDescent="0.25">
      <c r="A4565" t="str">
        <f>"20190303162000850"</f>
        <v>20190303162000850</v>
      </c>
      <c r="B4565" t="str">
        <f>"1551601200846483"</f>
        <v>1551601200846483</v>
      </c>
      <c r="C4565" t="s">
        <v>40</v>
      </c>
      <c r="D4565">
        <v>4.3399729999999996</v>
      </c>
      <c r="E4565">
        <v>0.37581710000000002</v>
      </c>
      <c r="F4565" t="s">
        <v>42</v>
      </c>
      <c r="G4565">
        <v>-491.78390000000002</v>
      </c>
      <c r="H4565">
        <v>1.0395179999999999</v>
      </c>
      <c r="I4565">
        <v>242.2962</v>
      </c>
      <c r="J4565">
        <v>-492.21010000000001</v>
      </c>
      <c r="K4565">
        <v>1.1223890000000001</v>
      </c>
      <c r="L4565">
        <v>242.9991</v>
      </c>
      <c r="M4565">
        <v>-4.5678459999999997E-2</v>
      </c>
      <c r="N4565">
        <v>-1.036138E-2</v>
      </c>
      <c r="O4565">
        <v>-0.99890279999999998</v>
      </c>
      <c r="P4565">
        <v>0.1809096</v>
      </c>
      <c r="Q4565">
        <v>9.8746020000000004E-2</v>
      </c>
      <c r="R4565">
        <v>-0.97853049999999997</v>
      </c>
      <c r="S4565">
        <v>1.4843139999999999</v>
      </c>
      <c r="T4565">
        <v>-0.29090830000000001</v>
      </c>
      <c r="U4565">
        <v>-2.8245089999999999</v>
      </c>
      <c r="V4565">
        <v>-0.22575010000000001</v>
      </c>
      <c r="W4565">
        <v>0.1080979</v>
      </c>
      <c r="X4565">
        <v>0.96816930000000001</v>
      </c>
      <c r="Y4565">
        <v>-0.50341990000000003</v>
      </c>
      <c r="Z4565">
        <v>7.914206E-2</v>
      </c>
      <c r="AA4565">
        <v>0.8604098</v>
      </c>
      <c r="AB4565">
        <v>19</v>
      </c>
      <c r="AC4565">
        <v>0.42619999999999397</v>
      </c>
      <c r="AD4565">
        <v>-8.2870999999999903E-2</v>
      </c>
      <c r="AE4565">
        <v>-0.70289999999999897</v>
      </c>
      <c r="AF4565">
        <v>-0.45325751888435301</v>
      </c>
      <c r="AG4565">
        <v>-8.2870999999999903E-2</v>
      </c>
      <c r="AH4565">
        <v>0.67582827714880001</v>
      </c>
      <c r="AI4565">
        <v>95.814876160558995</v>
      </c>
      <c r="AJ4565">
        <v>123.848558158616</v>
      </c>
      <c r="AK4565">
        <v>0.81795711456048503</v>
      </c>
      <c r="AL4565">
        <v>83.794320756166996</v>
      </c>
      <c r="AM4565">
        <v>103.125262741363</v>
      </c>
      <c r="AN4565">
        <v>1.00000002854845</v>
      </c>
    </row>
    <row r="4566" spans="1:40" x14ac:dyDescent="0.25">
      <c r="A4566" t="str">
        <f>"20190303162000862"</f>
        <v>20190303162000862</v>
      </c>
      <c r="B4566" t="str">
        <f>"1551601200857219"</f>
        <v>1551601200857219</v>
      </c>
      <c r="C4566" t="s">
        <v>40</v>
      </c>
      <c r="D4566">
        <v>4.349361</v>
      </c>
      <c r="E4566">
        <v>0.37554480000000001</v>
      </c>
      <c r="F4566" t="s">
        <v>42</v>
      </c>
      <c r="G4566">
        <v>-491.7525</v>
      </c>
      <c r="H4566">
        <v>1.034203</v>
      </c>
      <c r="I4566">
        <v>242.13800000000001</v>
      </c>
      <c r="J4566">
        <v>-492.2133</v>
      </c>
      <c r="K4566">
        <v>1.122387</v>
      </c>
      <c r="L4566">
        <v>242.8964</v>
      </c>
      <c r="M4566">
        <v>-4.4344309999999998E-2</v>
      </c>
      <c r="N4566">
        <v>-1.036394E-2</v>
      </c>
      <c r="O4566">
        <v>-0.99896260000000003</v>
      </c>
      <c r="P4566">
        <v>0.18461420000000001</v>
      </c>
      <c r="Q4566">
        <v>9.7876480000000002E-2</v>
      </c>
      <c r="R4566">
        <v>-0.9779253</v>
      </c>
      <c r="S4566">
        <v>1.49859599999999</v>
      </c>
      <c r="T4566">
        <v>-0.28851450000000001</v>
      </c>
      <c r="U4566">
        <v>-2.817841</v>
      </c>
      <c r="V4566">
        <v>-0.2281271</v>
      </c>
      <c r="W4566">
        <v>0.1072195</v>
      </c>
      <c r="X4566">
        <v>0.96770970000000001</v>
      </c>
      <c r="Y4566">
        <v>-0.50653579999999998</v>
      </c>
      <c r="Z4566">
        <v>7.8418509999999997E-2</v>
      </c>
      <c r="AA4566">
        <v>0.8586454</v>
      </c>
      <c r="AB4566">
        <v>19</v>
      </c>
      <c r="AC4566">
        <v>0.46080000000000598</v>
      </c>
      <c r="AD4566">
        <v>-8.8183999999999998E-2</v>
      </c>
      <c r="AE4566">
        <v>-0.75839999999999397</v>
      </c>
      <c r="AF4566">
        <v>-0.48914898275546598</v>
      </c>
      <c r="AG4566">
        <v>-8.8183999999999998E-2</v>
      </c>
      <c r="AH4566">
        <v>0.73001028131445</v>
      </c>
      <c r="AI4566">
        <v>95.730613284897004</v>
      </c>
      <c r="AJ4566">
        <v>123.824365384697</v>
      </c>
      <c r="AK4566">
        <v>0.88315239682147195</v>
      </c>
      <c r="AL4566">
        <v>83.844943597571898</v>
      </c>
      <c r="AM4566">
        <v>103.264680491809</v>
      </c>
      <c r="AN4566">
        <v>1.00000002920437</v>
      </c>
    </row>
    <row r="4567" spans="1:40" x14ac:dyDescent="0.25">
      <c r="A4567" t="str">
        <f>"20190303162000874"</f>
        <v>20190303162000874</v>
      </c>
      <c r="B4567" t="str">
        <f>"1551601200866979"</f>
        <v>1551601200866979</v>
      </c>
      <c r="C4567" t="s">
        <v>40</v>
      </c>
      <c r="D4567">
        <v>4.3267410000000002</v>
      </c>
      <c r="E4567">
        <v>0.37535020000000002</v>
      </c>
      <c r="F4567" t="s">
        <v>42</v>
      </c>
      <c r="G4567">
        <v>-491.80149999999998</v>
      </c>
      <c r="H4567">
        <v>1.043452</v>
      </c>
      <c r="I4567">
        <v>242.12970000000001</v>
      </c>
      <c r="J4567">
        <v>-492.21640000000002</v>
      </c>
      <c r="K4567">
        <v>1.12239</v>
      </c>
      <c r="L4567">
        <v>242.78989999999999</v>
      </c>
      <c r="M4567">
        <v>-4.2948600000000003E-2</v>
      </c>
      <c r="N4567">
        <v>-1.0366739999999999E-2</v>
      </c>
      <c r="O4567">
        <v>-0.99902369999999996</v>
      </c>
      <c r="P4567">
        <v>0.1880918</v>
      </c>
      <c r="Q4567">
        <v>9.6990699999999999E-2</v>
      </c>
      <c r="R4567">
        <v>-0.97735099999999997</v>
      </c>
      <c r="S4567">
        <v>1.511261</v>
      </c>
      <c r="T4567">
        <v>-0.289358</v>
      </c>
      <c r="U4567">
        <v>-2.8113860000000002</v>
      </c>
      <c r="V4567">
        <v>-0.23022119999999999</v>
      </c>
      <c r="W4567">
        <v>0.1063229</v>
      </c>
      <c r="X4567">
        <v>0.96731259999999997</v>
      </c>
      <c r="Y4567">
        <v>-0.50914090000000001</v>
      </c>
      <c r="Z4567">
        <v>7.8701989999999999E-2</v>
      </c>
      <c r="AA4567">
        <v>0.85707739999999999</v>
      </c>
      <c r="AB4567">
        <v>19</v>
      </c>
      <c r="AC4567">
        <v>0.41490000000004501</v>
      </c>
      <c r="AD4567">
        <v>-7.8937999999999897E-2</v>
      </c>
      <c r="AE4567">
        <v>-0.66019999999997403</v>
      </c>
      <c r="AF4567">
        <v>-0.43838052301663499</v>
      </c>
      <c r="AG4567">
        <v>-7.8937999999999897E-2</v>
      </c>
      <c r="AH4567">
        <v>0.63525990737157301</v>
      </c>
      <c r="AI4567">
        <v>95.839500140012802</v>
      </c>
      <c r="AJ4567">
        <v>124.6088030575</v>
      </c>
      <c r="AK4567">
        <v>0.77586328738900801</v>
      </c>
      <c r="AL4567">
        <v>83.896610241730698</v>
      </c>
      <c r="AM4567">
        <v>103.387378558227</v>
      </c>
      <c r="AN4567">
        <v>1.0000000130563</v>
      </c>
    </row>
    <row r="4568" spans="1:40" x14ac:dyDescent="0.25">
      <c r="A4568" t="str">
        <f>"20190303162000888"</f>
        <v>20190303162000888</v>
      </c>
      <c r="B4568" t="str">
        <f>"1551601200876738"</f>
        <v>1551601200876738</v>
      </c>
      <c r="C4568" t="s">
        <v>40</v>
      </c>
      <c r="D4568">
        <v>4.353961</v>
      </c>
      <c r="E4568">
        <v>0.37520910000000002</v>
      </c>
      <c r="F4568" t="s">
        <v>42</v>
      </c>
      <c r="G4568">
        <v>-491.77179999999998</v>
      </c>
      <c r="H4568">
        <v>1.037612</v>
      </c>
      <c r="I4568">
        <v>241.9709</v>
      </c>
      <c r="J4568">
        <v>-492.21940000000001</v>
      </c>
      <c r="K4568">
        <v>1.1223959999999999</v>
      </c>
      <c r="L4568">
        <v>242.68190000000001</v>
      </c>
      <c r="M4568">
        <v>-4.1522789999999997E-2</v>
      </c>
      <c r="N4568">
        <v>-1.0369669999999999E-2</v>
      </c>
      <c r="O4568">
        <v>-0.99908410000000003</v>
      </c>
      <c r="P4568">
        <v>0.1916378</v>
      </c>
      <c r="Q4568">
        <v>9.6525669999999994E-2</v>
      </c>
      <c r="R4568">
        <v>-0.97670789999999996</v>
      </c>
      <c r="S4568">
        <v>1.5227360000000001</v>
      </c>
      <c r="T4568">
        <v>-0.29038920000000001</v>
      </c>
      <c r="U4568">
        <v>-2.8052980000000001</v>
      </c>
      <c r="V4568">
        <v>-0.2323567</v>
      </c>
      <c r="W4568">
        <v>0.1058441</v>
      </c>
      <c r="X4568">
        <v>0.9668544</v>
      </c>
      <c r="Y4568">
        <v>-0.51138499999999998</v>
      </c>
      <c r="Z4568">
        <v>7.9050110000000007E-2</v>
      </c>
      <c r="AA4568">
        <v>0.85570820000000003</v>
      </c>
      <c r="AB4568">
        <v>19</v>
      </c>
      <c r="AC4568">
        <v>0.44760000000002198</v>
      </c>
      <c r="AD4568">
        <v>-8.4783999999999901E-2</v>
      </c>
      <c r="AE4568">
        <v>-0.71100000000001196</v>
      </c>
      <c r="AF4568">
        <v>-0.47193219974112699</v>
      </c>
      <c r="AG4568">
        <v>-8.4783999999999901E-2</v>
      </c>
      <c r="AH4568">
        <v>0.68482608896290698</v>
      </c>
      <c r="AI4568">
        <v>95.820735075423102</v>
      </c>
      <c r="AJ4568">
        <v>124.571778583279</v>
      </c>
      <c r="AK4568">
        <v>0.83599946168208195</v>
      </c>
      <c r="AL4568">
        <v>83.924199182191799</v>
      </c>
      <c r="AM4568">
        <v>103.513194200021</v>
      </c>
      <c r="AN4568">
        <v>1.0000000201695201</v>
      </c>
    </row>
    <row r="4569" spans="1:40" x14ac:dyDescent="0.25">
      <c r="A4569" t="str">
        <f>"20190303162000906"</f>
        <v>20190303162000906</v>
      </c>
      <c r="B4569" t="str">
        <f>"1551601200897234"</f>
        <v>1551601200897234</v>
      </c>
      <c r="C4569" t="s">
        <v>40</v>
      </c>
      <c r="D4569">
        <v>4.4171449999999997</v>
      </c>
      <c r="E4569">
        <v>0.37496299999999999</v>
      </c>
      <c r="F4569" t="s">
        <v>42</v>
      </c>
      <c r="G4569">
        <v>-491.74299999999999</v>
      </c>
      <c r="H4569">
        <v>1.0323279999999999</v>
      </c>
      <c r="I4569">
        <v>241.81190000000001</v>
      </c>
      <c r="J4569">
        <v>-492.22329999999999</v>
      </c>
      <c r="K4569">
        <v>1.1224190000000001</v>
      </c>
      <c r="L4569">
        <v>242.53659999999999</v>
      </c>
      <c r="M4569">
        <v>-3.9572490000000002E-2</v>
      </c>
      <c r="N4569">
        <v>-1.03738999999999E-2</v>
      </c>
      <c r="O4569">
        <v>-0.99916309999999997</v>
      </c>
      <c r="P4569">
        <v>0.19697219999999999</v>
      </c>
      <c r="Q4569">
        <v>9.6434690000000003E-2</v>
      </c>
      <c r="R4569">
        <v>-0.9756551</v>
      </c>
      <c r="S4569">
        <v>1.5340879999999999</v>
      </c>
      <c r="T4569">
        <v>-0.28971710000000001</v>
      </c>
      <c r="U4569">
        <v>-2.7991489999999999</v>
      </c>
      <c r="V4569">
        <v>-0.2357611</v>
      </c>
      <c r="W4569">
        <v>0.1057246</v>
      </c>
      <c r="X4569">
        <v>0.96604299999999999</v>
      </c>
      <c r="Y4569">
        <v>-0.51317539999999995</v>
      </c>
      <c r="Z4569">
        <v>7.8895190000000004E-2</v>
      </c>
      <c r="AA4569">
        <v>0.85465000000000002</v>
      </c>
      <c r="AB4569">
        <v>19</v>
      </c>
      <c r="AC4569">
        <v>0.480299999999942</v>
      </c>
      <c r="AD4569">
        <v>-9.0090999999999893E-2</v>
      </c>
      <c r="AE4569">
        <v>-0.72469999999998402</v>
      </c>
      <c r="AF4569">
        <v>-0.50320025125448098</v>
      </c>
      <c r="AG4569">
        <v>-9.0090999999999893E-2</v>
      </c>
      <c r="AH4569">
        <v>0.69763362220686997</v>
      </c>
      <c r="AI4569">
        <v>95.979103815748104</v>
      </c>
      <c r="AJ4569">
        <v>125.80275601909401</v>
      </c>
      <c r="AK4569">
        <v>0.86488123576422404</v>
      </c>
      <c r="AL4569">
        <v>83.931084737105195</v>
      </c>
      <c r="AM4569">
        <v>103.714845810591</v>
      </c>
      <c r="AN4569">
        <v>1.00000003258368</v>
      </c>
    </row>
    <row r="4570" spans="1:40" x14ac:dyDescent="0.25">
      <c r="A4570" t="str">
        <f>"20190303162000918"</f>
        <v>20190303162000918</v>
      </c>
      <c r="B4570" t="str">
        <f>"1551601200906994"</f>
        <v>1551601200906994</v>
      </c>
      <c r="C4570" t="s">
        <v>40</v>
      </c>
      <c r="D4570">
        <v>4.3560679999999996</v>
      </c>
      <c r="E4570">
        <v>0.37490760000000001</v>
      </c>
      <c r="F4570" t="s">
        <v>42</v>
      </c>
      <c r="G4570">
        <v>-491.73009999999999</v>
      </c>
      <c r="H4570">
        <v>1.0324180000000001</v>
      </c>
      <c r="I4570">
        <v>241.6499</v>
      </c>
      <c r="J4570">
        <v>-492.22579999999999</v>
      </c>
      <c r="K4570">
        <v>1.1224510000000001</v>
      </c>
      <c r="L4570">
        <v>242.42609999999999</v>
      </c>
      <c r="M4570">
        <v>-3.8052219999999998E-2</v>
      </c>
      <c r="N4570">
        <v>-1.0377569999999999E-2</v>
      </c>
      <c r="O4570">
        <v>-0.99922200000000005</v>
      </c>
      <c r="P4570">
        <v>0.19964950000000001</v>
      </c>
      <c r="Q4570">
        <v>9.6255530000000006E-2</v>
      </c>
      <c r="R4570">
        <v>-0.9751282</v>
      </c>
      <c r="S4570">
        <v>1.552155</v>
      </c>
      <c r="T4570">
        <v>-0.28311619999999998</v>
      </c>
      <c r="U4570">
        <v>-2.7894899999999998</v>
      </c>
      <c r="V4570">
        <v>-0.23695169999999999</v>
      </c>
      <c r="W4570">
        <v>0.10552590000000001</v>
      </c>
      <c r="X4570">
        <v>0.96577329999999995</v>
      </c>
      <c r="Y4570">
        <v>-0.51742860000000002</v>
      </c>
      <c r="Z4570">
        <v>7.6898889999999998E-2</v>
      </c>
      <c r="AA4570">
        <v>0.85226420000000003</v>
      </c>
      <c r="AB4570">
        <v>19</v>
      </c>
      <c r="AC4570">
        <v>0.49569999999999897</v>
      </c>
      <c r="AD4570">
        <v>-9.0033000000000002E-2</v>
      </c>
      <c r="AE4570">
        <v>-0.77619999999998801</v>
      </c>
      <c r="AF4570">
        <v>-0.51991010715276798</v>
      </c>
      <c r="AG4570">
        <v>-9.0033000000000002E-2</v>
      </c>
      <c r="AH4570">
        <v>0.74961056380795199</v>
      </c>
      <c r="AI4570">
        <v>95.636383219409595</v>
      </c>
      <c r="AJ4570">
        <v>124.744156064373</v>
      </c>
      <c r="AK4570">
        <v>0.91669430999711099</v>
      </c>
      <c r="AL4570">
        <v>83.942532921768802</v>
      </c>
      <c r="AM4570">
        <v>103.785173526284</v>
      </c>
      <c r="AN4570">
        <v>0.99999994534829295</v>
      </c>
    </row>
    <row r="4571" spans="1:40" x14ac:dyDescent="0.25">
      <c r="A4571" t="str">
        <f>"20190303162000932"</f>
        <v>20190303162000932</v>
      </c>
      <c r="B4571" t="str">
        <f>"1551601200927491"</f>
        <v>1551601200927491</v>
      </c>
      <c r="C4571" t="s">
        <v>40</v>
      </c>
      <c r="D4571">
        <v>4.3528719999999996</v>
      </c>
      <c r="E4571">
        <v>0.37484770000000001</v>
      </c>
      <c r="F4571" t="s">
        <v>42</v>
      </c>
      <c r="G4571">
        <v>-491.78550000000001</v>
      </c>
      <c r="H4571">
        <v>1.043207</v>
      </c>
      <c r="I4571">
        <v>241.64009999999999</v>
      </c>
      <c r="J4571">
        <v>-492.22820000000002</v>
      </c>
      <c r="K4571">
        <v>1.122484</v>
      </c>
      <c r="L4571">
        <v>242.31989999999999</v>
      </c>
      <c r="M4571">
        <v>-3.6567280000000001E-2</v>
      </c>
      <c r="N4571">
        <v>-1.0381319999999999E-2</v>
      </c>
      <c r="O4571">
        <v>-0.99927750000000004</v>
      </c>
      <c r="P4571">
        <v>0.2019251</v>
      </c>
      <c r="Q4571">
        <v>9.6404260000000006E-2</v>
      </c>
      <c r="R4571">
        <v>-0.97464499999999998</v>
      </c>
      <c r="S4571">
        <v>1.5606690000000001</v>
      </c>
      <c r="T4571">
        <v>-0.28072709999999901</v>
      </c>
      <c r="U4571">
        <v>-2.7846829999999998</v>
      </c>
      <c r="V4571">
        <v>-0.2377795</v>
      </c>
      <c r="W4571">
        <v>0.10565529999999999</v>
      </c>
      <c r="X4571">
        <v>0.96555570000000002</v>
      </c>
      <c r="Y4571">
        <v>-0.51879579999999903</v>
      </c>
      <c r="Z4571">
        <v>7.6206159999999995E-2</v>
      </c>
      <c r="AA4571">
        <v>0.85149490000000005</v>
      </c>
      <c r="AB4571">
        <v>19</v>
      </c>
      <c r="AC4571">
        <v>0.44270000000000198</v>
      </c>
      <c r="AD4571">
        <v>-7.9277E-2</v>
      </c>
      <c r="AE4571">
        <v>-0.67979999999999996</v>
      </c>
      <c r="AF4571">
        <v>-0.46284358684467702</v>
      </c>
      <c r="AG4571">
        <v>-7.9277E-2</v>
      </c>
      <c r="AH4571">
        <v>0.656882980693</v>
      </c>
      <c r="AI4571">
        <v>95.634362815170903</v>
      </c>
      <c r="AJ4571">
        <v>125.168748240732</v>
      </c>
      <c r="AK4571">
        <v>0.807467819133597</v>
      </c>
      <c r="AL4571">
        <v>83.935077326201693</v>
      </c>
      <c r="AM4571">
        <v>103.83448361606401</v>
      </c>
      <c r="AN4571">
        <v>0.99999997142041397</v>
      </c>
    </row>
    <row r="4572" spans="1:40" x14ac:dyDescent="0.25">
      <c r="A4572" t="str">
        <f>"20190303162000950"</f>
        <v>20190303162000950</v>
      </c>
      <c r="B4572" t="str">
        <f>"1551601200946541"</f>
        <v>1551601200946541</v>
      </c>
      <c r="C4572" t="s">
        <v>40</v>
      </c>
      <c r="D4572">
        <v>4.3688690000000001</v>
      </c>
      <c r="E4572">
        <v>0.37494650000000002</v>
      </c>
      <c r="F4572" t="s">
        <v>42</v>
      </c>
      <c r="G4572">
        <v>-491.7552</v>
      </c>
      <c r="H4572">
        <v>1.039601</v>
      </c>
      <c r="I4572">
        <v>241.48089999999999</v>
      </c>
      <c r="J4572">
        <v>-492.23129999999998</v>
      </c>
      <c r="K4572">
        <v>1.1225449999999999</v>
      </c>
      <c r="L4572">
        <v>242.1669</v>
      </c>
      <c r="M4572">
        <v>-3.4371249999999999E-2</v>
      </c>
      <c r="N4572">
        <v>-1.0387260000000001E-2</v>
      </c>
      <c r="O4572">
        <v>-0.99935529999999995</v>
      </c>
      <c r="P4572">
        <v>0.20534330000000001</v>
      </c>
      <c r="Q4572">
        <v>9.6139459999999996E-2</v>
      </c>
      <c r="R4572">
        <v>-0.97395659999999895</v>
      </c>
      <c r="S4572">
        <v>1.56814599999999</v>
      </c>
      <c r="T4572">
        <v>-0.27463480000000001</v>
      </c>
      <c r="U4572">
        <v>-2.780319</v>
      </c>
      <c r="V4572">
        <v>-0.23905989999999999</v>
      </c>
      <c r="W4572">
        <v>0.1053576</v>
      </c>
      <c r="X4572">
        <v>0.96527209999999997</v>
      </c>
      <c r="Y4572">
        <v>-0.51930050000000005</v>
      </c>
      <c r="Z4572">
        <v>7.4399640000000003E-2</v>
      </c>
      <c r="AA4572">
        <v>0.85134699999999996</v>
      </c>
      <c r="AB4572">
        <v>19</v>
      </c>
      <c r="AC4572">
        <v>0.47609999999997399</v>
      </c>
      <c r="AD4572">
        <v>-8.2944000000000101E-2</v>
      </c>
      <c r="AE4572">
        <v>-0.68600000000000705</v>
      </c>
      <c r="AF4572">
        <v>-0.49451934421646299</v>
      </c>
      <c r="AG4572">
        <v>-8.2944000000000101E-2</v>
      </c>
      <c r="AH4572">
        <v>0.66269103437104504</v>
      </c>
      <c r="AI4572">
        <v>95.7282460863522</v>
      </c>
      <c r="AJ4572">
        <v>126.731371476947</v>
      </c>
      <c r="AK4572">
        <v>0.831016543743894</v>
      </c>
      <c r="AL4572">
        <v>83.952230452674598</v>
      </c>
      <c r="AM4572">
        <v>103.910022840428</v>
      </c>
      <c r="AN4572">
        <v>1.0000000433520799</v>
      </c>
    </row>
    <row r="4573" spans="1:40" x14ac:dyDescent="0.25">
      <c r="A4573" t="str">
        <f>"20190303162000967"</f>
        <v>20190303162000967</v>
      </c>
      <c r="B4573" t="str">
        <f>"1551601200957277"</f>
        <v>1551601200957277</v>
      </c>
      <c r="C4573" t="s">
        <v>40</v>
      </c>
      <c r="D4573">
        <v>4.3636889999999999</v>
      </c>
      <c r="E4573">
        <v>0.37499779999999999</v>
      </c>
      <c r="F4573" t="s">
        <v>42</v>
      </c>
      <c r="G4573">
        <v>-491.7484</v>
      </c>
      <c r="H4573">
        <v>1.040033</v>
      </c>
      <c r="I4573">
        <v>241.3175</v>
      </c>
      <c r="J4573">
        <v>-492.2337</v>
      </c>
      <c r="K4573">
        <v>1.1226069999999999</v>
      </c>
      <c r="L4573">
        <v>242.0283</v>
      </c>
      <c r="M4573">
        <v>-3.2309780000000003E-2</v>
      </c>
      <c r="N4573">
        <v>-1.039326E-2</v>
      </c>
      <c r="O4573">
        <v>-0.99942399999999998</v>
      </c>
      <c r="P4573">
        <v>0.20786060000000001</v>
      </c>
      <c r="Q4573">
        <v>9.6159850000000005E-2</v>
      </c>
      <c r="R4573">
        <v>-0.97342070000000003</v>
      </c>
      <c r="S4573">
        <v>1.577393</v>
      </c>
      <c r="T4573">
        <v>-0.26948119999999998</v>
      </c>
      <c r="U4573">
        <v>-2.7742309999999999</v>
      </c>
      <c r="V4573">
        <v>-0.23958080000000001</v>
      </c>
      <c r="W4573">
        <v>0.1053457</v>
      </c>
      <c r="X4573">
        <v>0.96514420000000001</v>
      </c>
      <c r="Y4573">
        <v>-0.52054480000000003</v>
      </c>
      <c r="Z4573">
        <v>7.288799E-2</v>
      </c>
      <c r="AA4573">
        <v>0.85071770000000002</v>
      </c>
      <c r="AB4573">
        <v>19</v>
      </c>
      <c r="AC4573">
        <v>0.48529999999999501</v>
      </c>
      <c r="AD4573">
        <v>-8.2573999999999897E-2</v>
      </c>
      <c r="AE4573">
        <v>-0.71080000000000598</v>
      </c>
      <c r="AF4573">
        <v>-0.50338012485785699</v>
      </c>
      <c r="AG4573">
        <v>-8.2573999999999897E-2</v>
      </c>
      <c r="AH4573">
        <v>0.68841139720173805</v>
      </c>
      <c r="AI4573">
        <v>95.530404957265802</v>
      </c>
      <c r="AJ4573">
        <v>126.17501496277499</v>
      </c>
      <c r="AK4573">
        <v>0.85680818587077101</v>
      </c>
      <c r="AL4573">
        <v>83.952915834026797</v>
      </c>
      <c r="AM4573">
        <v>103.94092660705</v>
      </c>
      <c r="AN4573">
        <v>1.00000000151538</v>
      </c>
    </row>
    <row r="4574" spans="1:40" x14ac:dyDescent="0.25">
      <c r="A4574" t="str">
        <f>"20190303162000983"</f>
        <v>20190303162000983</v>
      </c>
      <c r="B4574" t="str">
        <f>"1551601200976797"</f>
        <v>1551601200976797</v>
      </c>
      <c r="C4574" t="s">
        <v>40</v>
      </c>
      <c r="D4574">
        <v>4.3806909999999997</v>
      </c>
      <c r="E4574">
        <v>0.37510450000000001</v>
      </c>
      <c r="F4574" t="s">
        <v>42</v>
      </c>
      <c r="G4574">
        <v>-491.73439999999999</v>
      </c>
      <c r="H4574">
        <v>1.0386420000000001</v>
      </c>
      <c r="I4574">
        <v>241.1551</v>
      </c>
      <c r="J4574">
        <v>-492.23570000000001</v>
      </c>
      <c r="K4574">
        <v>1.122673</v>
      </c>
      <c r="L4574">
        <v>241.8886</v>
      </c>
      <c r="M4574">
        <v>-3.0146829999999999E-2</v>
      </c>
      <c r="N4574">
        <v>-1.0400009999999999E-2</v>
      </c>
      <c r="O4574">
        <v>-0.99949129999999997</v>
      </c>
      <c r="P4574">
        <v>0.21033170000000001</v>
      </c>
      <c r="Q4574">
        <v>9.6186350000000004E-2</v>
      </c>
      <c r="R4574">
        <v>-0.97288660000000005</v>
      </c>
      <c r="S4574">
        <v>1.5847169999999999</v>
      </c>
      <c r="T4574">
        <v>-0.26630019999999999</v>
      </c>
      <c r="U4574">
        <v>-2.7698209999999999</v>
      </c>
      <c r="V4574">
        <v>-0.23996020000000001</v>
      </c>
      <c r="W4574">
        <v>0.1053381</v>
      </c>
      <c r="X4574">
        <v>0.96505079999999999</v>
      </c>
      <c r="Y4574">
        <v>-0.52101319999999995</v>
      </c>
      <c r="Z4574">
        <v>7.1969640000000001E-2</v>
      </c>
      <c r="AA4574">
        <v>0.85050899999999996</v>
      </c>
      <c r="AB4574">
        <v>19</v>
      </c>
      <c r="AC4574">
        <v>0.50130000000001396</v>
      </c>
      <c r="AD4574">
        <v>-8.4030999999999897E-2</v>
      </c>
      <c r="AE4574">
        <v>-0.73349999999999205</v>
      </c>
      <c r="AF4574">
        <v>-0.51854715405687901</v>
      </c>
      <c r="AG4574">
        <v>-8.4030999999999897E-2</v>
      </c>
      <c r="AH4574">
        <v>0.71168647745839098</v>
      </c>
      <c r="AI4574">
        <v>95.4511640559071</v>
      </c>
      <c r="AJ4574">
        <v>126.07773231912</v>
      </c>
      <c r="AK4574">
        <v>0.88456203973413905</v>
      </c>
      <c r="AL4574">
        <v>83.953353889600194</v>
      </c>
      <c r="AM4574">
        <v>103.96343884492001</v>
      </c>
      <c r="AN4574">
        <v>1.00000002973814</v>
      </c>
    </row>
    <row r="4575" spans="1:40" x14ac:dyDescent="0.25">
      <c r="A4575" t="str">
        <f>"20190303162001009"</f>
        <v>20190303162001009</v>
      </c>
      <c r="B4575" t="str">
        <f>"1551601200997293"</f>
        <v>1551601200997293</v>
      </c>
      <c r="C4575" t="s">
        <v>40</v>
      </c>
      <c r="D4575">
        <v>4.5044899999999997</v>
      </c>
      <c r="E4575">
        <v>0.37517230000000001</v>
      </c>
      <c r="F4575" t="s">
        <v>42</v>
      </c>
      <c r="G4575">
        <v>-491.80669999999998</v>
      </c>
      <c r="H4575">
        <v>1.051823</v>
      </c>
      <c r="I4575">
        <v>241.14179999999999</v>
      </c>
      <c r="J4575">
        <v>-492.23779999999999</v>
      </c>
      <c r="K4575">
        <v>1.1227720000000001</v>
      </c>
      <c r="L4575">
        <v>241.6979</v>
      </c>
      <c r="M4575">
        <v>-2.7046770000000001E-2</v>
      </c>
      <c r="N4575">
        <v>-1.0410310000000001E-2</v>
      </c>
      <c r="O4575">
        <v>-0.99958020000000003</v>
      </c>
      <c r="P4575">
        <v>0.21333289999999999</v>
      </c>
      <c r="Q4575">
        <v>9.5856239999999995E-2</v>
      </c>
      <c r="R4575">
        <v>-0.97226599999999996</v>
      </c>
      <c r="S4575">
        <v>1.5903320000000001</v>
      </c>
      <c r="T4575">
        <v>-0.26234790000000002</v>
      </c>
      <c r="U4575">
        <v>-2.7657319999999999</v>
      </c>
      <c r="V4575">
        <v>-0.23996980000000001</v>
      </c>
      <c r="W4575">
        <v>0.1049607</v>
      </c>
      <c r="X4575">
        <v>0.96508950000000004</v>
      </c>
      <c r="Y4575">
        <v>-0.52025319999999997</v>
      </c>
      <c r="Z4575">
        <v>7.0850479999999993E-2</v>
      </c>
      <c r="AA4575">
        <v>0.85106800000000005</v>
      </c>
      <c r="AB4575">
        <v>19</v>
      </c>
      <c r="AC4575">
        <v>0.43110000000001403</v>
      </c>
      <c r="AD4575">
        <v>-7.0948999999999901E-2</v>
      </c>
      <c r="AE4575">
        <v>-0.55610000000001403</v>
      </c>
      <c r="AF4575">
        <v>-0.44149499305634499</v>
      </c>
      <c r="AG4575">
        <v>-7.0948999999999901E-2</v>
      </c>
      <c r="AH4575">
        <v>0.53875834423094004</v>
      </c>
      <c r="AI4575">
        <v>95.815980668991202</v>
      </c>
      <c r="AJ4575">
        <v>129.33350713749499</v>
      </c>
      <c r="AK4575">
        <v>0.70015151429764599</v>
      </c>
      <c r="AL4575">
        <v>83.975097664815905</v>
      </c>
      <c r="AM4575">
        <v>103.963437571939</v>
      </c>
      <c r="AN4575">
        <v>0.99999999823339003</v>
      </c>
    </row>
    <row r="4576" spans="1:40" x14ac:dyDescent="0.25">
      <c r="A4576" t="str">
        <f>"20190303162001029"</f>
        <v>20190303162001029</v>
      </c>
      <c r="B4576" t="str">
        <f>"1551601201016814"</f>
        <v>1551601201016814</v>
      </c>
      <c r="C4576" t="s">
        <v>40</v>
      </c>
      <c r="D4576">
        <v>4.6101510000000001</v>
      </c>
      <c r="E4576">
        <v>0.40479520000000002</v>
      </c>
      <c r="F4576" t="s">
        <v>42</v>
      </c>
      <c r="G4576">
        <v>-491.733</v>
      </c>
      <c r="H4576">
        <v>1.039655</v>
      </c>
      <c r="I4576">
        <v>240.82499999999999</v>
      </c>
      <c r="J4576">
        <v>-492.23910000000001</v>
      </c>
      <c r="K4576">
        <v>1.122873</v>
      </c>
      <c r="L4576">
        <v>241.51400000000001</v>
      </c>
      <c r="M4576">
        <v>-2.3876560000000002E-2</v>
      </c>
      <c r="N4576">
        <v>-1.042154E-2</v>
      </c>
      <c r="O4576">
        <v>-0.99966060000000001</v>
      </c>
      <c r="P4576">
        <v>0.21662880000000001</v>
      </c>
      <c r="Q4576">
        <v>9.5526369999999999E-2</v>
      </c>
      <c r="R4576">
        <v>-0.97156909999999996</v>
      </c>
      <c r="S4576">
        <v>1.597626</v>
      </c>
      <c r="T4576">
        <v>-0.26286589999999999</v>
      </c>
      <c r="U4576">
        <v>-2.7609409999999999</v>
      </c>
      <c r="V4576">
        <v>-0.2402077</v>
      </c>
      <c r="W4576">
        <v>0.1045808</v>
      </c>
      <c r="X4576">
        <v>0.96507160000000003</v>
      </c>
      <c r="Y4576">
        <v>-0.51986290000000002</v>
      </c>
      <c r="Z4576">
        <v>7.1100360000000001E-2</v>
      </c>
      <c r="AA4576">
        <v>0.85128570000000003</v>
      </c>
      <c r="AB4576">
        <v>19</v>
      </c>
      <c r="AC4576">
        <v>0.50610000000000299</v>
      </c>
      <c r="AD4576">
        <v>-8.3218E-2</v>
      </c>
      <c r="AE4576">
        <v>-0.68900000000002104</v>
      </c>
      <c r="AF4576">
        <v>-0.517503945085101</v>
      </c>
      <c r="AG4576">
        <v>-8.3218E-2</v>
      </c>
      <c r="AH4576">
        <v>0.67036692017067301</v>
      </c>
      <c r="AI4576">
        <v>95.612121916169698</v>
      </c>
      <c r="AJ4576">
        <v>127.667106072682</v>
      </c>
      <c r="AK4576">
        <v>0.85095674176879099</v>
      </c>
      <c r="AL4576">
        <v>83.996985029185197</v>
      </c>
      <c r="AM4576">
        <v>103.97698722972601</v>
      </c>
      <c r="AN4576">
        <v>1.00000003799724</v>
      </c>
    </row>
    <row r="4577" spans="1:40" x14ac:dyDescent="0.25">
      <c r="A4577" t="str">
        <f>"20190303162001044"</f>
        <v>20190303162001044</v>
      </c>
      <c r="B4577" t="str">
        <f>"1551601201037309"</f>
        <v>1551601201037309</v>
      </c>
      <c r="C4577" t="s">
        <v>40</v>
      </c>
      <c r="D4577">
        <v>4.5325059999999997</v>
      </c>
      <c r="E4577">
        <v>0.46914040000000001</v>
      </c>
      <c r="F4577" t="s">
        <v>42</v>
      </c>
      <c r="G4577">
        <v>-491.81049999999999</v>
      </c>
      <c r="H4577">
        <v>1.068489</v>
      </c>
      <c r="I4577">
        <v>240.64340000000001</v>
      </c>
      <c r="J4577">
        <v>-492.2396</v>
      </c>
      <c r="K4577">
        <v>1.1229389999999999</v>
      </c>
      <c r="L4577">
        <v>241.3843</v>
      </c>
      <c r="M4577">
        <v>-2.155514E-2</v>
      </c>
      <c r="N4577">
        <v>-1.042964E-2</v>
      </c>
      <c r="O4577">
        <v>-0.99971350000000003</v>
      </c>
      <c r="P4577">
        <v>0.2192376</v>
      </c>
      <c r="Q4577">
        <v>9.5377770000000001E-2</v>
      </c>
      <c r="R4577">
        <v>-0.97099869999999999</v>
      </c>
      <c r="S4577">
        <v>1.3777159999999999</v>
      </c>
      <c r="T4577">
        <v>-0.1747667</v>
      </c>
      <c r="U4577">
        <v>-2.7977599999999998</v>
      </c>
      <c r="V4577">
        <v>-0.24057690000000001</v>
      </c>
      <c r="W4577">
        <v>0.1043973</v>
      </c>
      <c r="X4577">
        <v>0.96499950000000001</v>
      </c>
      <c r="Y4577">
        <v>-0.4604085</v>
      </c>
      <c r="Z4577">
        <v>4.5177920000000003E-2</v>
      </c>
      <c r="AA4577">
        <v>0.88655680000000003</v>
      </c>
      <c r="AB4577">
        <v>19</v>
      </c>
      <c r="AC4577">
        <v>0.42910000000000498</v>
      </c>
      <c r="AD4577">
        <v>-5.4449999999999797E-2</v>
      </c>
      <c r="AE4577">
        <v>-0.74089999999998202</v>
      </c>
      <c r="AF4577">
        <v>-0.44317895780642802</v>
      </c>
      <c r="AG4577">
        <v>-5.4449999999999797E-2</v>
      </c>
      <c r="AH4577">
        <v>0.728531540900064</v>
      </c>
      <c r="AI4577">
        <v>93.653546172634705</v>
      </c>
      <c r="AJ4577">
        <v>121.312908226049</v>
      </c>
      <c r="AK4577">
        <v>0.85447679736117699</v>
      </c>
      <c r="AL4577">
        <v>84.0075566733247</v>
      </c>
      <c r="AM4577">
        <v>103.998630574496</v>
      </c>
      <c r="AN4577">
        <v>1.00000003803057</v>
      </c>
    </row>
    <row r="4578" spans="1:40" x14ac:dyDescent="0.25">
      <c r="A4578" t="str">
        <f>"20190303162001058"</f>
        <v>20190303162001058</v>
      </c>
      <c r="B4578" t="str">
        <f>"1551601201047070"</f>
        <v>1551601201047070</v>
      </c>
      <c r="C4578" t="s">
        <v>40</v>
      </c>
      <c r="D4578">
        <v>4.5567469999999997</v>
      </c>
      <c r="E4578">
        <v>0.47688900000000001</v>
      </c>
      <c r="F4578" t="s">
        <v>49</v>
      </c>
      <c r="G4578">
        <v>-479.94380000000001</v>
      </c>
      <c r="H4578">
        <v>6.400902E-2</v>
      </c>
      <c r="I4578">
        <v>201.2286</v>
      </c>
      <c r="J4578">
        <v>-492.2396</v>
      </c>
      <c r="K4578">
        <v>1.1229979999999999</v>
      </c>
      <c r="L4578">
        <v>241.26840000000001</v>
      </c>
      <c r="M4578">
        <v>-1.9397319999999999E-2</v>
      </c>
      <c r="N4578">
        <v>-1.0437159999999999E-2</v>
      </c>
      <c r="O4578">
        <v>-0.99975749999999997</v>
      </c>
      <c r="P4578">
        <v>0.2220481</v>
      </c>
      <c r="Q4578">
        <v>9.5542479999999999E-2</v>
      </c>
      <c r="R4578">
        <v>-0.97034359999999997</v>
      </c>
      <c r="S4578">
        <v>0.88702389999999998</v>
      </c>
      <c r="T4578">
        <v>-7.6391340000000002E-2</v>
      </c>
      <c r="U4578">
        <v>-2.8968349999999998</v>
      </c>
      <c r="V4578">
        <v>-0.24130370000000001</v>
      </c>
      <c r="W4578">
        <v>0.1045296</v>
      </c>
      <c r="X4578">
        <v>0.96480359999999998</v>
      </c>
      <c r="Y4578">
        <v>-0.311191</v>
      </c>
      <c r="Z4578">
        <v>1.4658839999999999E-2</v>
      </c>
      <c r="AA4578">
        <v>0.95023440000000003</v>
      </c>
      <c r="AB4578">
        <v>19</v>
      </c>
      <c r="AC4578">
        <v>12.2957999999999</v>
      </c>
      <c r="AD4578">
        <v>-1.0589889800000001</v>
      </c>
      <c r="AE4578">
        <v>-40.0398</v>
      </c>
      <c r="AF4578">
        <v>-13.061843770405799</v>
      </c>
      <c r="AG4578">
        <v>-1.0589889800000001</v>
      </c>
      <c r="AH4578">
        <v>39.768325995373097</v>
      </c>
      <c r="AI4578">
        <v>91.449232587587105</v>
      </c>
      <c r="AJ4578">
        <v>108.1826842485</v>
      </c>
      <c r="AK4578">
        <v>41.871863737079003</v>
      </c>
      <c r="AL4578">
        <v>83.999934208613993</v>
      </c>
      <c r="AM4578">
        <v>104.041989089304</v>
      </c>
      <c r="AN4578">
        <v>0.99999994974140305</v>
      </c>
    </row>
    <row r="4579" spans="1:40" x14ac:dyDescent="0.25">
      <c r="A4579" t="str">
        <f>"20190303162001075"</f>
        <v>20190303162001075</v>
      </c>
      <c r="B4579" t="str">
        <f>"1551601201066590"</f>
        <v>1551601201066590</v>
      </c>
      <c r="C4579" t="s">
        <v>40</v>
      </c>
      <c r="D4579">
        <v>4.5112410000000001</v>
      </c>
      <c r="E4579">
        <v>0.48426940000000002</v>
      </c>
      <c r="F4579" t="s">
        <v>41</v>
      </c>
      <c r="G4579">
        <v>-479.96420000000001</v>
      </c>
      <c r="H4579" s="1">
        <v>-5.6871600000000001E-6</v>
      </c>
      <c r="I4579">
        <v>198.51329999999999</v>
      </c>
      <c r="J4579">
        <v>-492.23930000000001</v>
      </c>
      <c r="K4579">
        <v>1.1230709999999999</v>
      </c>
      <c r="L4579">
        <v>241.1319</v>
      </c>
      <c r="M4579">
        <v>-1.677294E-2</v>
      </c>
      <c r="N4579">
        <v>-1.0446230000000001E-2</v>
      </c>
      <c r="O4579">
        <v>-0.99980500000000005</v>
      </c>
      <c r="P4579">
        <v>0.2261485</v>
      </c>
      <c r="Q4579">
        <v>9.5336740000000003E-2</v>
      </c>
      <c r="R4579">
        <v>-0.96941639999999996</v>
      </c>
      <c r="S4579">
        <v>0.83496090000000001</v>
      </c>
      <c r="T4579">
        <v>-7.6385969999999997E-2</v>
      </c>
      <c r="U4579">
        <v>-2.9081730000000001</v>
      </c>
      <c r="V4579">
        <v>-0.2428698</v>
      </c>
      <c r="W4579">
        <v>0.1042792</v>
      </c>
      <c r="X4579">
        <v>0.96443769999999995</v>
      </c>
      <c r="Y4579">
        <v>-0.2919602</v>
      </c>
      <c r="Z4579">
        <v>1.4702460000000001E-2</v>
      </c>
      <c r="AA4579">
        <v>0.95631750000000004</v>
      </c>
      <c r="AB4579">
        <v>19</v>
      </c>
      <c r="AC4579">
        <v>12.2751</v>
      </c>
      <c r="AD4579">
        <v>-1.12307668716</v>
      </c>
      <c r="AE4579">
        <v>-42.618600000000001</v>
      </c>
      <c r="AF4579">
        <v>-12.9799280217613</v>
      </c>
      <c r="AG4579">
        <v>-1.12307668716</v>
      </c>
      <c r="AH4579">
        <v>42.3795285047417</v>
      </c>
      <c r="AI4579">
        <v>91.451485762450801</v>
      </c>
      <c r="AJ4579">
        <v>107.028687380273</v>
      </c>
      <c r="AK4579">
        <v>44.3369402302365</v>
      </c>
      <c r="AL4579">
        <v>84.014360117350705</v>
      </c>
      <c r="AM4579">
        <v>104.13463048644</v>
      </c>
      <c r="AN4579">
        <v>0.99999998424298397</v>
      </c>
    </row>
    <row r="4580" spans="1:40" x14ac:dyDescent="0.25">
      <c r="A4580" t="str">
        <f>"20190303162001095"</f>
        <v>20190303162001095</v>
      </c>
      <c r="B4580" t="str">
        <f>"1551601201087085"</f>
        <v>1551601201087085</v>
      </c>
      <c r="C4580" t="s">
        <v>40</v>
      </c>
      <c r="D4580">
        <v>4.605772</v>
      </c>
      <c r="E4580">
        <v>0.4882879</v>
      </c>
      <c r="F4580" t="s">
        <v>49</v>
      </c>
      <c r="G4580">
        <v>-482.30900000000003</v>
      </c>
      <c r="H4580" s="1">
        <v>7.9695829999999998E-7</v>
      </c>
      <c r="I4580">
        <v>204.37880000000001</v>
      </c>
      <c r="J4580">
        <v>-492.23809999999997</v>
      </c>
      <c r="K4580">
        <v>1.123162</v>
      </c>
      <c r="L4580">
        <v>240.9572</v>
      </c>
      <c r="M4580">
        <v>-1.3262609999999999E-2</v>
      </c>
      <c r="N4580">
        <v>-1.045855E-2</v>
      </c>
      <c r="O4580">
        <v>-0.99985729999999995</v>
      </c>
      <c r="P4580">
        <v>0.23159569999999999</v>
      </c>
      <c r="Q4580">
        <v>9.4106700000000001E-2</v>
      </c>
      <c r="R4580">
        <v>-0.96824969999999999</v>
      </c>
      <c r="S4580">
        <v>0.78878780000000004</v>
      </c>
      <c r="T4580">
        <v>-8.9208599999999999E-2</v>
      </c>
      <c r="U4580">
        <v>-2.919403</v>
      </c>
      <c r="V4580">
        <v>-0.2449286</v>
      </c>
      <c r="W4580">
        <v>0.1029878</v>
      </c>
      <c r="X4580">
        <v>0.96405580000000002</v>
      </c>
      <c r="Y4580">
        <v>-0.27351320000000001</v>
      </c>
      <c r="Z4580">
        <v>1.8955530000000002E-2</v>
      </c>
      <c r="AA4580">
        <v>0.96168140000000002</v>
      </c>
      <c r="AB4580">
        <v>19</v>
      </c>
      <c r="AC4580">
        <v>9.9290999999999396</v>
      </c>
      <c r="AD4580">
        <v>-1.1231612030417</v>
      </c>
      <c r="AE4580">
        <v>-36.578399999999903</v>
      </c>
      <c r="AF4580">
        <v>-10.404241959452699</v>
      </c>
      <c r="AG4580">
        <v>-1.1231612030417</v>
      </c>
      <c r="AH4580">
        <v>36.4115154836133</v>
      </c>
      <c r="AI4580">
        <v>91.698852915617096</v>
      </c>
      <c r="AJ4580">
        <v>105.94678060349101</v>
      </c>
      <c r="AK4580">
        <v>37.885461613292598</v>
      </c>
      <c r="AL4580">
        <v>84.088752820239506</v>
      </c>
      <c r="AM4580">
        <v>104.255003313271</v>
      </c>
      <c r="AN4580">
        <v>1.0000000457802101</v>
      </c>
    </row>
    <row r="4581" spans="1:40" x14ac:dyDescent="0.25">
      <c r="A4581" t="str">
        <f>"20190303162001110"</f>
        <v>20190303162001110</v>
      </c>
      <c r="B4581" t="str">
        <f>"1551601201096845"</f>
        <v>1551601201096845</v>
      </c>
      <c r="C4581" t="s">
        <v>40</v>
      </c>
      <c r="D4581">
        <v>4.5377010000000002</v>
      </c>
      <c r="E4581">
        <v>0.48956840000000001</v>
      </c>
      <c r="F4581" t="s">
        <v>49</v>
      </c>
      <c r="G4581">
        <v>-483.49149999999997</v>
      </c>
      <c r="H4581" s="1">
        <v>1.412621E-6</v>
      </c>
      <c r="I4581">
        <v>207.87889999999999</v>
      </c>
      <c r="J4581">
        <v>-492.23689999999999</v>
      </c>
      <c r="K4581">
        <v>1.12322099999999</v>
      </c>
      <c r="L4581">
        <v>240.83670000000001</v>
      </c>
      <c r="M4581">
        <v>-1.0746479999999999E-2</v>
      </c>
      <c r="N4581">
        <v>-1.046764E-2</v>
      </c>
      <c r="O4581">
        <v>-0.99988750000000004</v>
      </c>
      <c r="P4581">
        <v>0.23502700000000001</v>
      </c>
      <c r="Q4581">
        <v>9.3370729999999999E-2</v>
      </c>
      <c r="R4581">
        <v>-0.96749379999999996</v>
      </c>
      <c r="S4581">
        <v>0.772949199999999</v>
      </c>
      <c r="T4581">
        <v>-9.9254729999999999E-2</v>
      </c>
      <c r="U4581">
        <v>-2.9231569999999998</v>
      </c>
      <c r="V4581">
        <v>-0.24593619999999999</v>
      </c>
      <c r="W4581">
        <v>0.10221180000000001</v>
      </c>
      <c r="X4581">
        <v>0.96388180000000001</v>
      </c>
      <c r="Y4581">
        <v>-0.26588919999999999</v>
      </c>
      <c r="Z4581">
        <v>2.2280870000000001E-2</v>
      </c>
      <c r="AA4581">
        <v>0.96374610000000005</v>
      </c>
      <c r="AB4581">
        <v>19</v>
      </c>
      <c r="AC4581">
        <v>8.7454000000000107</v>
      </c>
      <c r="AD4581">
        <v>-1.1232195873790001</v>
      </c>
      <c r="AE4581">
        <v>-32.957799999999999</v>
      </c>
      <c r="AF4581">
        <v>-9.0892321187424105</v>
      </c>
      <c r="AG4581">
        <v>-1.1232195873790001</v>
      </c>
      <c r="AH4581">
        <v>32.826290042620002</v>
      </c>
      <c r="AI4581">
        <v>91.888719074366904</v>
      </c>
      <c r="AJ4581">
        <v>105.476814203537</v>
      </c>
      <c r="AK4581">
        <v>34.079921958714401</v>
      </c>
      <c r="AL4581">
        <v>84.133449928865005</v>
      </c>
      <c r="AM4581">
        <v>104.313719349167</v>
      </c>
      <c r="AN4581">
        <v>0.99999999545045903</v>
      </c>
    </row>
    <row r="4582" spans="1:40" x14ac:dyDescent="0.25">
      <c r="A4582" t="str">
        <f>"20190303162001130"</f>
        <v>20190303162001130</v>
      </c>
      <c r="B4582" t="str">
        <f>"1551601201116365"</f>
        <v>1551601201116365</v>
      </c>
      <c r="C4582" t="s">
        <v>40</v>
      </c>
      <c r="D4582">
        <v>4.4999440000000002</v>
      </c>
      <c r="E4582">
        <v>0.49085129999999999</v>
      </c>
      <c r="F4582" t="s">
        <v>49</v>
      </c>
      <c r="G4582">
        <v>-483.93099999999998</v>
      </c>
      <c r="H4582" s="1">
        <v>1.9758260000000001E-6</v>
      </c>
      <c r="I4582">
        <v>209.4453</v>
      </c>
      <c r="J4582">
        <v>-492.23469999999998</v>
      </c>
      <c r="K4582">
        <v>1.1233070000000001</v>
      </c>
      <c r="L4582">
        <v>240.6755</v>
      </c>
      <c r="M4582">
        <v>-7.2524240000000004E-3</v>
      </c>
      <c r="N4582">
        <v>-1.0480649999999999E-2</v>
      </c>
      <c r="O4582">
        <v>-0.99991890000000005</v>
      </c>
      <c r="P4582">
        <v>0.24050679999999999</v>
      </c>
      <c r="Q4582">
        <v>9.1403890000000002E-2</v>
      </c>
      <c r="R4582">
        <v>-0.96633440000000004</v>
      </c>
      <c r="S4582">
        <v>0.77340699999999996</v>
      </c>
      <c r="T4582">
        <v>-0.10458820000000001</v>
      </c>
      <c r="U4582">
        <v>-2.9230040000000002</v>
      </c>
      <c r="V4582">
        <v>-0.24804789999999999</v>
      </c>
      <c r="W4582">
        <v>0.1001842</v>
      </c>
      <c r="X4582">
        <v>0.96355349999999995</v>
      </c>
      <c r="Y4582">
        <v>-0.26266050000000002</v>
      </c>
      <c r="Z4582">
        <v>2.4049600000000001E-2</v>
      </c>
      <c r="AA4582">
        <v>0.96458860000000002</v>
      </c>
      <c r="AB4582">
        <v>19</v>
      </c>
      <c r="AC4582">
        <v>8.3036999999999903</v>
      </c>
      <c r="AD4582">
        <v>-1.1233050241739999</v>
      </c>
      <c r="AE4582">
        <v>-31.2302</v>
      </c>
      <c r="AF4582">
        <v>-8.5196941953728</v>
      </c>
      <c r="AG4582">
        <v>-1.1233050241739999</v>
      </c>
      <c r="AH4582">
        <v>31.131536660393099</v>
      </c>
      <c r="AI4582">
        <v>91.993249704891795</v>
      </c>
      <c r="AJ4582">
        <v>105.305255756026</v>
      </c>
      <c r="AK4582">
        <v>32.295813632689303</v>
      </c>
      <c r="AL4582">
        <v>84.2502223209341</v>
      </c>
      <c r="AM4582">
        <v>104.436221735654</v>
      </c>
      <c r="AN4582">
        <v>0.99999999099314996</v>
      </c>
    </row>
    <row r="4583" spans="1:40" x14ac:dyDescent="0.25">
      <c r="A4583" t="str">
        <f>"20190303162001142"</f>
        <v>20190303162001142</v>
      </c>
      <c r="B4583" t="str">
        <f>"1551601201136861"</f>
        <v>1551601201136861</v>
      </c>
      <c r="C4583" t="s">
        <v>40</v>
      </c>
      <c r="D4583">
        <v>4.5399570000000002</v>
      </c>
      <c r="E4583">
        <v>0.49206339999999998</v>
      </c>
      <c r="F4583" t="s">
        <v>49</v>
      </c>
      <c r="G4583">
        <v>-484.63240000000002</v>
      </c>
      <c r="H4583" s="1">
        <v>2.266007E-6</v>
      </c>
      <c r="I4583">
        <v>212.1962</v>
      </c>
      <c r="J4583">
        <v>-492.23270000000002</v>
      </c>
      <c r="K4583">
        <v>1.123373</v>
      </c>
      <c r="L4583">
        <v>240.5652</v>
      </c>
      <c r="M4583">
        <v>-4.7852650000000004E-3</v>
      </c>
      <c r="N4583">
        <v>-1.048992E-2</v>
      </c>
      <c r="O4583">
        <v>-0.99993379999999998</v>
      </c>
      <c r="P4583">
        <v>0.24371300000000001</v>
      </c>
      <c r="Q4583">
        <v>9.0735570000000002E-2</v>
      </c>
      <c r="R4583">
        <v>-0.96559379999999995</v>
      </c>
      <c r="S4583">
        <v>0.779815699999999</v>
      </c>
      <c r="T4583">
        <v>-0.1152248</v>
      </c>
      <c r="U4583">
        <v>-2.9213100000000001</v>
      </c>
      <c r="V4583">
        <v>-0.24888250000000001</v>
      </c>
      <c r="W4583">
        <v>9.9478239999999996E-2</v>
      </c>
      <c r="X4583">
        <v>0.96341149999999998</v>
      </c>
      <c r="Y4583">
        <v>-0.2623664</v>
      </c>
      <c r="Z4583">
        <v>2.7565289999999999E-2</v>
      </c>
      <c r="AA4583">
        <v>0.9645745</v>
      </c>
      <c r="AB4583">
        <v>19</v>
      </c>
      <c r="AC4583">
        <v>7.6002999999999998</v>
      </c>
      <c r="AD4583">
        <v>-1.1233707339929999</v>
      </c>
      <c r="AE4583">
        <v>-28.369</v>
      </c>
      <c r="AF4583">
        <v>-7.7246721263409102</v>
      </c>
      <c r="AG4583">
        <v>-1.1233707339929999</v>
      </c>
      <c r="AH4583">
        <v>28.290913136798402</v>
      </c>
      <c r="AI4583">
        <v>92.193676255068397</v>
      </c>
      <c r="AJ4583">
        <v>105.272023293294</v>
      </c>
      <c r="AK4583">
        <v>29.348054234980101</v>
      </c>
      <c r="AL4583">
        <v>84.290874375475994</v>
      </c>
      <c r="AM4583">
        <v>104.484800229383</v>
      </c>
      <c r="AN4583">
        <v>1.00000006868599</v>
      </c>
    </row>
    <row r="4584" spans="1:40" x14ac:dyDescent="0.25">
      <c r="A4584" t="str">
        <f>"20190303162001163"</f>
        <v>20190303162001163</v>
      </c>
      <c r="B4584" t="str">
        <f>"1551601201157357"</f>
        <v>1551601201157357</v>
      </c>
      <c r="C4584" t="s">
        <v>40</v>
      </c>
      <c r="D4584">
        <v>4.5457450000000001</v>
      </c>
      <c r="E4584">
        <v>0.49281249999999999</v>
      </c>
      <c r="F4584" t="s">
        <v>49</v>
      </c>
      <c r="G4584">
        <v>-484.8571</v>
      </c>
      <c r="H4584" s="1">
        <v>2.3394940000000001E-6</v>
      </c>
      <c r="I4584">
        <v>212.96559999999999</v>
      </c>
      <c r="J4584">
        <v>-492.22899999999998</v>
      </c>
      <c r="K4584">
        <v>1.12347</v>
      </c>
      <c r="L4584">
        <v>240.39439999999999</v>
      </c>
      <c r="M4584">
        <v>-8.4133850000000002E-4</v>
      </c>
      <c r="N4584">
        <v>-1.050446E-2</v>
      </c>
      <c r="O4584">
        <v>-0.99994459999999996</v>
      </c>
      <c r="P4584">
        <v>0.24837190000000001</v>
      </c>
      <c r="Q4584">
        <v>9.0084800000000007E-2</v>
      </c>
      <c r="R4584">
        <v>-0.96446699999999996</v>
      </c>
      <c r="S4584">
        <v>0.78060909999999994</v>
      </c>
      <c r="T4584">
        <v>-0.1188934</v>
      </c>
      <c r="U4584">
        <v>-2.921036</v>
      </c>
      <c r="V4584">
        <v>-0.24975539999999999</v>
      </c>
      <c r="W4584">
        <v>9.8774109999999998E-2</v>
      </c>
      <c r="X4584">
        <v>0.96325799999999995</v>
      </c>
      <c r="Y4584">
        <v>-0.2588163</v>
      </c>
      <c r="Z4584">
        <v>2.8788379999999999E-2</v>
      </c>
      <c r="AA4584">
        <v>0.96549739999999995</v>
      </c>
      <c r="AB4584">
        <v>19</v>
      </c>
      <c r="AC4584">
        <v>7.3719000000000303</v>
      </c>
      <c r="AD4584">
        <v>-1.1234676605060001</v>
      </c>
      <c r="AE4584">
        <v>-27.428799999999899</v>
      </c>
      <c r="AF4584">
        <v>-7.3834230798042899</v>
      </c>
      <c r="AG4584">
        <v>-1.1234676605060001</v>
      </c>
      <c r="AH4584">
        <v>27.379747913106701</v>
      </c>
      <c r="AI4584">
        <v>92.268733162019899</v>
      </c>
      <c r="AJ4584">
        <v>105.091807301725</v>
      </c>
      <c r="AK4584">
        <v>28.3800583463963</v>
      </c>
      <c r="AL4584">
        <v>84.3314175096925</v>
      </c>
      <c r="AM4584">
        <v>104.535672573757</v>
      </c>
      <c r="AN4584">
        <v>1.00000002959972</v>
      </c>
    </row>
    <row r="4585" spans="1:40" x14ac:dyDescent="0.25">
      <c r="A4585" t="str">
        <f>"20190303162001186"</f>
        <v>20190303162001186</v>
      </c>
      <c r="B4585" t="str">
        <f>"1551601201176877"</f>
        <v>1551601201176877</v>
      </c>
      <c r="C4585" t="s">
        <v>40</v>
      </c>
      <c r="D4585">
        <v>4.5904160000000003</v>
      </c>
      <c r="E4585">
        <v>0.4935544</v>
      </c>
      <c r="F4585" t="s">
        <v>49</v>
      </c>
      <c r="G4585">
        <v>-484.96289999999999</v>
      </c>
      <c r="H4585" s="1">
        <v>2.3819099999999999E-6</v>
      </c>
      <c r="I4585">
        <v>213.50649999999999</v>
      </c>
      <c r="J4585">
        <v>-492.22390000000001</v>
      </c>
      <c r="K4585">
        <v>1.123586</v>
      </c>
      <c r="L4585">
        <v>240.20359999999999</v>
      </c>
      <c r="M4585">
        <v>3.7549200000000001E-3</v>
      </c>
      <c r="N4585">
        <v>-1.0521279999999999E-2</v>
      </c>
      <c r="O4585">
        <v>-0.99993770000000004</v>
      </c>
      <c r="P4585">
        <v>0.25231290000000001</v>
      </c>
      <c r="Q4585">
        <v>8.9619790000000005E-2</v>
      </c>
      <c r="R4585">
        <v>-0.96348659999999997</v>
      </c>
      <c r="S4585">
        <v>0.78875729999999999</v>
      </c>
      <c r="T4585">
        <v>-0.12195590000000001</v>
      </c>
      <c r="U4585">
        <v>-2.9187620000000001</v>
      </c>
      <c r="V4585">
        <v>-0.24928990000000001</v>
      </c>
      <c r="W4585">
        <v>9.826116E-2</v>
      </c>
      <c r="X4585">
        <v>0.96343100000000004</v>
      </c>
      <c r="Y4585">
        <v>-0.25706859999999998</v>
      </c>
      <c r="Z4585">
        <v>2.9813760000000002E-2</v>
      </c>
      <c r="AA4585">
        <v>0.96593309999999999</v>
      </c>
      <c r="AB4585">
        <v>19</v>
      </c>
      <c r="AC4585">
        <v>7.2610000000000197</v>
      </c>
      <c r="AD4585">
        <v>-1.1235836180900001</v>
      </c>
      <c r="AE4585">
        <v>-26.697099999999999</v>
      </c>
      <c r="AF4585">
        <v>-7.1489073661269504</v>
      </c>
      <c r="AG4585">
        <v>-1.1235836180900001</v>
      </c>
      <c r="AH4585">
        <v>26.680175133718301</v>
      </c>
      <c r="AI4585">
        <v>92.329398861628803</v>
      </c>
      <c r="AJ4585">
        <v>104.999951882625</v>
      </c>
      <c r="AK4585">
        <v>27.644186763986799</v>
      </c>
      <c r="AL4585">
        <v>84.360950887894305</v>
      </c>
      <c r="AM4585">
        <v>104.507229661875</v>
      </c>
      <c r="AN4585">
        <v>1.0000000007837699</v>
      </c>
    </row>
    <row r="4586" spans="1:40" x14ac:dyDescent="0.25">
      <c r="A4586" t="str">
        <f>"20190303162001208"</f>
        <v>20190303162001208</v>
      </c>
      <c r="B4586" t="str">
        <f>"1551601201196398"</f>
        <v>1551601201196398</v>
      </c>
      <c r="C4586" t="s">
        <v>40</v>
      </c>
      <c r="D4586">
        <v>4.5736429999999997</v>
      </c>
      <c r="E4586">
        <v>0.49429210000000001</v>
      </c>
      <c r="F4586" t="s">
        <v>49</v>
      </c>
      <c r="G4586">
        <v>-484.96510000000001</v>
      </c>
      <c r="H4586" s="1">
        <v>2.385221E-6</v>
      </c>
      <c r="I4586">
        <v>213.57329999999999</v>
      </c>
      <c r="J4586">
        <v>-492.2176</v>
      </c>
      <c r="K4586">
        <v>1.1237029999999999</v>
      </c>
      <c r="L4586">
        <v>240.01410000000001</v>
      </c>
      <c r="M4586">
        <v>8.5456219999999992E-3</v>
      </c>
      <c r="N4586">
        <v>-1.0539140000000001E-2</v>
      </c>
      <c r="O4586">
        <v>-0.99990800000000002</v>
      </c>
      <c r="P4586">
        <v>0.25480570000000002</v>
      </c>
      <c r="Q4586">
        <v>9.036168E-2</v>
      </c>
      <c r="R4586">
        <v>-0.96276099999999998</v>
      </c>
      <c r="S4586">
        <v>0.79507450000000002</v>
      </c>
      <c r="T4586">
        <v>-0.1230695</v>
      </c>
      <c r="U4586">
        <v>-2.9169010000000002</v>
      </c>
      <c r="V4586">
        <v>-0.24719730000000001</v>
      </c>
      <c r="W4586">
        <v>9.896961E-2</v>
      </c>
      <c r="X4586">
        <v>0.96389760000000002</v>
      </c>
      <c r="Y4586">
        <v>-0.2545386</v>
      </c>
      <c r="Z4586">
        <v>3.0196190000000001E-2</v>
      </c>
      <c r="AA4586">
        <v>0.96659110000000004</v>
      </c>
      <c r="AB4586">
        <v>19</v>
      </c>
      <c r="AC4586">
        <v>7.2524999999999897</v>
      </c>
      <c r="AD4586">
        <v>-1.1237006147790001</v>
      </c>
      <c r="AE4586">
        <v>-26.440799999999999</v>
      </c>
      <c r="AF4586">
        <v>-7.0144868486539798</v>
      </c>
      <c r="AG4586">
        <v>-1.1237006147790001</v>
      </c>
      <c r="AH4586">
        <v>26.4573728458424</v>
      </c>
      <c r="AI4586">
        <v>92.350887411516993</v>
      </c>
      <c r="AJ4586">
        <v>104.848870057836</v>
      </c>
      <c r="AK4586">
        <v>27.394494095082599</v>
      </c>
      <c r="AL4586">
        <v>84.320161067122399</v>
      </c>
      <c r="AM4586">
        <v>104.38385251608101</v>
      </c>
      <c r="AN4586">
        <v>1.0000000360582999</v>
      </c>
    </row>
    <row r="4587" spans="1:40" x14ac:dyDescent="0.25">
      <c r="A4587" t="str">
        <f>"20190303162001228"</f>
        <v>20190303162001228</v>
      </c>
      <c r="B4587" t="str">
        <f>"1551601201216894"</f>
        <v>1551601201216894</v>
      </c>
      <c r="C4587" t="s">
        <v>40</v>
      </c>
      <c r="D4587">
        <v>4.5175599999999996</v>
      </c>
      <c r="E4587">
        <v>0.49492340000000001</v>
      </c>
      <c r="F4587" t="s">
        <v>49</v>
      </c>
      <c r="G4587">
        <v>-484.84780000000001</v>
      </c>
      <c r="H4587" s="1">
        <v>2.3422950000000001E-6</v>
      </c>
      <c r="I4587">
        <v>213.06729999999999</v>
      </c>
      <c r="J4587">
        <v>-492.21089999999998</v>
      </c>
      <c r="K4587">
        <v>1.123807</v>
      </c>
      <c r="L4587">
        <v>239.84100000000001</v>
      </c>
      <c r="M4587">
        <v>1.306684E-2</v>
      </c>
      <c r="N4587">
        <v>-1.0555699999999999E-2</v>
      </c>
      <c r="O4587">
        <v>-0.99985900000000005</v>
      </c>
      <c r="P4587">
        <v>0.25657970000000002</v>
      </c>
      <c r="Q4587">
        <v>9.1790449999999996E-2</v>
      </c>
      <c r="R4587">
        <v>-0.96215439999999997</v>
      </c>
      <c r="S4587">
        <v>0.79760739999999997</v>
      </c>
      <c r="T4587">
        <v>-0.1216148</v>
      </c>
      <c r="U4587">
        <v>-2.9163670000000002</v>
      </c>
      <c r="V4587">
        <v>-0.24464569999999999</v>
      </c>
      <c r="W4587">
        <v>0.1003811</v>
      </c>
      <c r="X4587">
        <v>0.96440250000000005</v>
      </c>
      <c r="Y4587">
        <v>-0.25099559999999999</v>
      </c>
      <c r="Z4587">
        <v>2.9723960000000001E-2</v>
      </c>
      <c r="AA4587">
        <v>0.96753169999999999</v>
      </c>
      <c r="AB4587">
        <v>19</v>
      </c>
      <c r="AC4587">
        <v>7.36309999999997</v>
      </c>
      <c r="AD4587">
        <v>-1.123804657705</v>
      </c>
      <c r="AE4587">
        <v>-26.773699999999899</v>
      </c>
      <c r="AF4587">
        <v>-7.0011366657901197</v>
      </c>
      <c r="AG4587">
        <v>-1.123804657705</v>
      </c>
      <c r="AH4587">
        <v>26.8236958161038</v>
      </c>
      <c r="AI4587">
        <v>92.321380276588897</v>
      </c>
      <c r="AJ4587">
        <v>104.628175032017</v>
      </c>
      <c r="AK4587">
        <v>27.7450808028489</v>
      </c>
      <c r="AL4587">
        <v>84.238883865494898</v>
      </c>
      <c r="AM4587">
        <v>104.234297457156</v>
      </c>
      <c r="AN4587">
        <v>1.0000000328859699</v>
      </c>
    </row>
    <row r="4588" spans="1:40" x14ac:dyDescent="0.25">
      <c r="A4588" t="str">
        <f>"20190303162001242"</f>
        <v>20190303162001242</v>
      </c>
      <c r="B4588" t="str">
        <f>"1551601201237390"</f>
        <v>1551601201237390</v>
      </c>
      <c r="C4588" t="s">
        <v>40</v>
      </c>
      <c r="D4588">
        <v>4.5520459999999998</v>
      </c>
      <c r="E4588">
        <v>0.49538009999999899</v>
      </c>
      <c r="F4588" t="s">
        <v>49</v>
      </c>
      <c r="G4588">
        <v>-484.61219999999997</v>
      </c>
      <c r="H4588" s="1">
        <v>2.2578269999999999E-6</v>
      </c>
      <c r="I4588">
        <v>212.09100000000001</v>
      </c>
      <c r="J4588">
        <v>-492.20600000000002</v>
      </c>
      <c r="K4588">
        <v>1.12388</v>
      </c>
      <c r="L4588">
        <v>239.72810000000001</v>
      </c>
      <c r="M4588">
        <v>1.6087489999999999E-2</v>
      </c>
      <c r="N4588">
        <v>-1.0566310000000001E-2</v>
      </c>
      <c r="O4588">
        <v>-0.99981489999999995</v>
      </c>
      <c r="P4588">
        <v>0.25824809999999998</v>
      </c>
      <c r="Q4588">
        <v>9.3148839999999997E-2</v>
      </c>
      <c r="R4588">
        <v>-0.96157760000000003</v>
      </c>
      <c r="S4588">
        <v>0.79855350000000003</v>
      </c>
      <c r="T4588">
        <v>-0.11810229999999999</v>
      </c>
      <c r="U4588">
        <v>-2.91629</v>
      </c>
      <c r="V4588">
        <v>-0.24342739999999999</v>
      </c>
      <c r="W4588">
        <v>0.1017275</v>
      </c>
      <c r="X4588">
        <v>0.96456960000000003</v>
      </c>
      <c r="Y4588">
        <v>-0.24837989999999999</v>
      </c>
      <c r="Z4588">
        <v>2.8566569999999999E-2</v>
      </c>
      <c r="AA4588">
        <v>0.96824140000000003</v>
      </c>
      <c r="AB4588">
        <v>19</v>
      </c>
      <c r="AC4588">
        <v>7.5937999999999803</v>
      </c>
      <c r="AD4588">
        <v>-1.123877742173</v>
      </c>
      <c r="AE4588">
        <v>-27.6371</v>
      </c>
      <c r="AF4588">
        <v>-7.13720665554413</v>
      </c>
      <c r="AG4588">
        <v>-1.123877742173</v>
      </c>
      <c r="AH4588">
        <v>27.713083339162299</v>
      </c>
      <c r="AI4588">
        <v>92.248995748722095</v>
      </c>
      <c r="AJ4588">
        <v>104.44207403626</v>
      </c>
      <c r="AK4588">
        <v>28.639444969947501</v>
      </c>
      <c r="AL4588">
        <v>84.161343394803396</v>
      </c>
      <c r="AM4588">
        <v>104.16391780233801</v>
      </c>
      <c r="AN4588">
        <v>0.99999994828558303</v>
      </c>
    </row>
    <row r="4589" spans="1:40" x14ac:dyDescent="0.25">
      <c r="A4589" t="str">
        <f>"20190303162001255"</f>
        <v>20190303162001255</v>
      </c>
      <c r="B4589" t="str">
        <f>"1551601201247150"</f>
        <v>1551601201247150</v>
      </c>
      <c r="C4589" t="s">
        <v>40</v>
      </c>
      <c r="D4589">
        <v>4.494027</v>
      </c>
      <c r="E4589">
        <v>0.4954345</v>
      </c>
      <c r="F4589" t="s">
        <v>49</v>
      </c>
      <c r="G4589">
        <v>-484.32010000000002</v>
      </c>
      <c r="H4589" s="1">
        <v>2.1580069999999999E-6</v>
      </c>
      <c r="I4589">
        <v>210.99289999999999</v>
      </c>
      <c r="J4589">
        <v>-492.20080000000002</v>
      </c>
      <c r="K4589">
        <v>1.123942</v>
      </c>
      <c r="L4589">
        <v>239.6174</v>
      </c>
      <c r="M4589">
        <v>1.911873E-2</v>
      </c>
      <c r="N4589">
        <v>-1.057656E-2</v>
      </c>
      <c r="O4589">
        <v>-0.99976129999999996</v>
      </c>
      <c r="P4589">
        <v>0.26001839999999998</v>
      </c>
      <c r="Q4589">
        <v>9.4481709999999997E-2</v>
      </c>
      <c r="R4589">
        <v>-0.9609702</v>
      </c>
      <c r="S4589">
        <v>0.80026249999999999</v>
      </c>
      <c r="T4589">
        <v>-0.1140511</v>
      </c>
      <c r="U4589">
        <v>-2.9160460000000001</v>
      </c>
      <c r="V4589">
        <v>-0.2423022</v>
      </c>
      <c r="W4589">
        <v>0.103049</v>
      </c>
      <c r="X4589">
        <v>0.96471269999999998</v>
      </c>
      <c r="Y4589">
        <v>-0.246003</v>
      </c>
      <c r="Z4589">
        <v>2.7229610000000001E-2</v>
      </c>
      <c r="AA4589">
        <v>0.96888649999999998</v>
      </c>
      <c r="AB4589">
        <v>19</v>
      </c>
      <c r="AC4589">
        <v>7.8806999999999903</v>
      </c>
      <c r="AD4589">
        <v>-1.123939841993</v>
      </c>
      <c r="AE4589">
        <v>-28.624500000000001</v>
      </c>
      <c r="AF4589">
        <v>-7.3214722381293997</v>
      </c>
      <c r="AG4589">
        <v>-1.123939841993</v>
      </c>
      <c r="AH4589">
        <v>28.7287733153251</v>
      </c>
      <c r="AI4589">
        <v>92.171083768094107</v>
      </c>
      <c r="AJ4589">
        <v>104.297377716605</v>
      </c>
      <c r="AK4589">
        <v>29.668326759449201</v>
      </c>
      <c r="AL4589">
        <v>84.085227427364799</v>
      </c>
      <c r="AM4589">
        <v>104.099056889192</v>
      </c>
      <c r="AN4589">
        <v>1.0000000230335599</v>
      </c>
    </row>
    <row r="4590" spans="1:40" x14ac:dyDescent="0.25">
      <c r="A4590" t="str">
        <f>"20190303162001269"</f>
        <v>20190303162001269</v>
      </c>
      <c r="B4590" t="str">
        <f>"1551601201256910"</f>
        <v>1551601201256910</v>
      </c>
      <c r="C4590" t="s">
        <v>40</v>
      </c>
      <c r="D4590">
        <v>4.6645719999999997</v>
      </c>
      <c r="E4590">
        <v>0.49585040000000002</v>
      </c>
      <c r="F4590" t="s">
        <v>49</v>
      </c>
      <c r="G4590">
        <v>-484.03719999999998</v>
      </c>
      <c r="H4590" s="1">
        <v>2.0685249999999998E-6</v>
      </c>
      <c r="I4590">
        <v>210.09360000000001</v>
      </c>
      <c r="J4590">
        <v>-492.19490000000002</v>
      </c>
      <c r="K4590">
        <v>1.124009</v>
      </c>
      <c r="L4590">
        <v>239.49969999999999</v>
      </c>
      <c r="M4590">
        <v>2.239683E-2</v>
      </c>
      <c r="N4590">
        <v>-1.058742E-2</v>
      </c>
      <c r="O4590">
        <v>-0.99969319999999895</v>
      </c>
      <c r="P4590">
        <v>0.26192320000000002</v>
      </c>
      <c r="Q4590">
        <v>9.6300609999999995E-2</v>
      </c>
      <c r="R4590">
        <v>-0.96027249999999997</v>
      </c>
      <c r="S4590">
        <v>0.80593870000000001</v>
      </c>
      <c r="T4590">
        <v>-0.11096010000000001</v>
      </c>
      <c r="U4590">
        <v>-2.9147189999999998</v>
      </c>
      <c r="V4590">
        <v>-0.2410805</v>
      </c>
      <c r="W4590">
        <v>0.1048559</v>
      </c>
      <c r="X4590">
        <v>0.96482409999999996</v>
      </c>
      <c r="Y4590">
        <v>-0.2446998</v>
      </c>
      <c r="Z4590">
        <v>2.6210199999999999E-2</v>
      </c>
      <c r="AA4590">
        <v>0.96924460000000001</v>
      </c>
      <c r="AB4590">
        <v>19</v>
      </c>
      <c r="AC4590">
        <v>8.1577000000000304</v>
      </c>
      <c r="AD4590">
        <v>-1.1240069314749901</v>
      </c>
      <c r="AE4590">
        <v>-29.406099999999899</v>
      </c>
      <c r="AF4590">
        <v>-7.4868562680948303</v>
      </c>
      <c r="AG4590">
        <v>-1.1240069314749901</v>
      </c>
      <c r="AH4590">
        <v>29.541362852201999</v>
      </c>
      <c r="AI4590">
        <v>92.112255915446298</v>
      </c>
      <c r="AJ4590">
        <v>104.221401789928</v>
      </c>
      <c r="AK4590">
        <v>30.4960411779394</v>
      </c>
      <c r="AL4590">
        <v>83.981135926861597</v>
      </c>
      <c r="AM4590">
        <v>104.02922747611601</v>
      </c>
      <c r="AN4590">
        <v>1.00000005559293</v>
      </c>
    </row>
    <row r="4591" spans="1:40" x14ac:dyDescent="0.25">
      <c r="A4591" t="str">
        <f>"20190303162001285"</f>
        <v>20190303162001285</v>
      </c>
      <c r="B4591" t="str">
        <f>"1551601201276443"</f>
        <v>1551601201276443</v>
      </c>
      <c r="C4591" t="s">
        <v>40</v>
      </c>
      <c r="D4591">
        <v>4.5537559999999999</v>
      </c>
      <c r="E4591">
        <v>0.49614330000000001</v>
      </c>
      <c r="F4591" t="s">
        <v>49</v>
      </c>
      <c r="G4591">
        <v>-483.55250000000001</v>
      </c>
      <c r="H4591" s="1">
        <v>1.5757640000000001E-6</v>
      </c>
      <c r="I4591">
        <v>208.3706</v>
      </c>
      <c r="J4591">
        <v>-492.18759999999997</v>
      </c>
      <c r="K4591">
        <v>1.1240950000000001</v>
      </c>
      <c r="L4591">
        <v>239.36449999999999</v>
      </c>
      <c r="M4591">
        <v>2.6246889999999998E-2</v>
      </c>
      <c r="N4591">
        <v>-1.060009E-2</v>
      </c>
      <c r="O4591">
        <v>-0.99959949999999997</v>
      </c>
      <c r="P4591">
        <v>0.26292579999999999</v>
      </c>
      <c r="Q4591">
        <v>9.9569950000000004E-2</v>
      </c>
      <c r="R4591">
        <v>-0.95966459999999998</v>
      </c>
      <c r="S4591">
        <v>0.80902099999999999</v>
      </c>
      <c r="T4591">
        <v>-0.1052191</v>
      </c>
      <c r="U4591">
        <v>-2.9140169999999999</v>
      </c>
      <c r="V4591">
        <v>-0.23841660000000001</v>
      </c>
      <c r="W4591">
        <v>0.1081221</v>
      </c>
      <c r="X4591">
        <v>0.96512540000000002</v>
      </c>
      <c r="Y4591">
        <v>-0.2419925</v>
      </c>
      <c r="Z4591">
        <v>2.4313410000000001E-2</v>
      </c>
      <c r="AA4591">
        <v>0.96997339999999999</v>
      </c>
      <c r="AB4591">
        <v>19</v>
      </c>
      <c r="AC4591">
        <v>8.6350999999999605</v>
      </c>
      <c r="AD4591">
        <v>-1.1240934242359999</v>
      </c>
      <c r="AE4591">
        <v>-30.9939</v>
      </c>
      <c r="AF4591">
        <v>-7.8090537680186998</v>
      </c>
      <c r="AG4591">
        <v>-1.1240934242359999</v>
      </c>
      <c r="AH4591">
        <v>31.1718288849248</v>
      </c>
      <c r="AI4591">
        <v>92.0034035008931</v>
      </c>
      <c r="AJ4591">
        <v>104.064086166647</v>
      </c>
      <c r="AK4591">
        <v>32.154748060111601</v>
      </c>
      <c r="AL4591">
        <v>83.792925538585095</v>
      </c>
      <c r="AM4591">
        <v>103.87606690547899</v>
      </c>
      <c r="AN4591">
        <v>0.99999995069456304</v>
      </c>
    </row>
    <row r="4592" spans="1:40" x14ac:dyDescent="0.25">
      <c r="A4592" t="str">
        <f>"20190303162001307"</f>
        <v>20190303162001307</v>
      </c>
      <c r="B4592" t="str">
        <f>"1551601201296930"</f>
        <v>1551601201296930</v>
      </c>
      <c r="C4592" t="s">
        <v>40</v>
      </c>
      <c r="D4592">
        <v>4.5367949999999997</v>
      </c>
      <c r="E4592">
        <v>0.4964015</v>
      </c>
      <c r="F4592" t="s">
        <v>49</v>
      </c>
      <c r="G4592">
        <v>-482.40379999999999</v>
      </c>
      <c r="H4592" s="1">
        <v>7.5499680000000001E-7</v>
      </c>
      <c r="I4592">
        <v>204.21619999999999</v>
      </c>
      <c r="J4592">
        <v>-492.17660000000001</v>
      </c>
      <c r="K4592">
        <v>1.12419</v>
      </c>
      <c r="L4592">
        <v>239.18279999999999</v>
      </c>
      <c r="M4592">
        <v>3.1576090000000001E-2</v>
      </c>
      <c r="N4592">
        <v>-1.0617959999999999E-2</v>
      </c>
      <c r="O4592">
        <v>-0.99944500000000003</v>
      </c>
      <c r="P4592">
        <v>0.26515739999999999</v>
      </c>
      <c r="Q4592">
        <v>0.1013757</v>
      </c>
      <c r="R4592">
        <v>-0.95886119999999997</v>
      </c>
      <c r="S4592">
        <v>0.81100459999999996</v>
      </c>
      <c r="T4592">
        <v>-9.3179819999999997E-2</v>
      </c>
      <c r="U4592">
        <v>-2.9135589999999998</v>
      </c>
      <c r="V4592">
        <v>-0.2355537</v>
      </c>
      <c r="W4592">
        <v>0.1099209</v>
      </c>
      <c r="X4592">
        <v>0.96562510000000001</v>
      </c>
      <c r="Y4592">
        <v>-0.23749880000000001</v>
      </c>
      <c r="Z4592">
        <v>2.032846E-2</v>
      </c>
      <c r="AA4592">
        <v>0.97117509999999996</v>
      </c>
      <c r="AB4592">
        <v>19</v>
      </c>
      <c r="AC4592">
        <v>9.7728000000000108</v>
      </c>
      <c r="AD4592">
        <v>-1.1241892450032001</v>
      </c>
      <c r="AE4592">
        <v>-34.9666</v>
      </c>
      <c r="AF4592">
        <v>-8.6554571006833996</v>
      </c>
      <c r="AG4592">
        <v>-1.1241892450032001</v>
      </c>
      <c r="AH4592">
        <v>35.2239950210638</v>
      </c>
      <c r="AI4592">
        <v>91.775225000842894</v>
      </c>
      <c r="AJ4592">
        <v>103.80554411797701</v>
      </c>
      <c r="AK4592">
        <v>36.2892623833039</v>
      </c>
      <c r="AL4592">
        <v>83.689244125285001</v>
      </c>
      <c r="AM4592">
        <v>103.708942567474</v>
      </c>
      <c r="AN4592">
        <v>0.99999999179525501</v>
      </c>
    </row>
    <row r="4593" spans="1:40" x14ac:dyDescent="0.25">
      <c r="A4593" t="str">
        <f>"20190303162001330"</f>
        <v>20190303162001330</v>
      </c>
      <c r="B4593" t="str">
        <f>"1551601201316446"</f>
        <v>1551601201316446</v>
      </c>
      <c r="C4593" t="s">
        <v>40</v>
      </c>
      <c r="D4593">
        <v>4.5328710000000001</v>
      </c>
      <c r="E4593">
        <v>0.49664429999999998</v>
      </c>
      <c r="F4593" t="s">
        <v>49</v>
      </c>
      <c r="G4593">
        <v>-481.58229999999998</v>
      </c>
      <c r="H4593" s="1">
        <v>2.358387E-7</v>
      </c>
      <c r="I4593">
        <v>201.39750000000001</v>
      </c>
      <c r="J4593">
        <v>-492.16370000000001</v>
      </c>
      <c r="K4593">
        <v>1.1242650000000001</v>
      </c>
      <c r="L4593">
        <v>238.99039999999999</v>
      </c>
      <c r="M4593">
        <v>3.7357260000000003E-2</v>
      </c>
      <c r="N4593">
        <v>-1.063654E-2</v>
      </c>
      <c r="O4593">
        <v>-0.99924559999999996</v>
      </c>
      <c r="P4593">
        <v>0.26840209999999998</v>
      </c>
      <c r="Q4593">
        <v>0.10042719999999999</v>
      </c>
      <c r="R4593">
        <v>-0.95805810000000002</v>
      </c>
      <c r="S4593">
        <v>0.81649780000000005</v>
      </c>
      <c r="T4593">
        <v>-8.6640720000000004E-2</v>
      </c>
      <c r="U4593">
        <v>-2.9120940000000002</v>
      </c>
      <c r="V4593">
        <v>-0.2332446</v>
      </c>
      <c r="W4593">
        <v>0.1089692</v>
      </c>
      <c r="X4593">
        <v>0.96629330000000002</v>
      </c>
      <c r="Y4593">
        <v>-0.2337178</v>
      </c>
      <c r="Z4593">
        <v>1.8163169999999999E-2</v>
      </c>
      <c r="AA4593">
        <v>0.97213479999999997</v>
      </c>
      <c r="AB4593">
        <v>19</v>
      </c>
      <c r="AC4593">
        <v>10.5814</v>
      </c>
      <c r="AD4593">
        <v>-1.1242647641612999</v>
      </c>
      <c r="AE4593">
        <v>-37.592899999999901</v>
      </c>
      <c r="AF4593">
        <v>-9.1619734213272803</v>
      </c>
      <c r="AG4593">
        <v>-1.1242647641612999</v>
      </c>
      <c r="AH4593">
        <v>37.930536456500398</v>
      </c>
      <c r="AI4593">
        <v>91.650321612833906</v>
      </c>
      <c r="AJ4593">
        <v>103.579464633554</v>
      </c>
      <c r="AK4593">
        <v>39.0375629888822</v>
      </c>
      <c r="AL4593">
        <v>83.744102337638793</v>
      </c>
      <c r="AM4593">
        <v>103.570512247341</v>
      </c>
      <c r="AN4593">
        <v>1.0000000358013399</v>
      </c>
    </row>
    <row r="4594" spans="1:40" x14ac:dyDescent="0.25">
      <c r="A4594" t="str">
        <f>"20190303162001352"</f>
        <v>20190303162001352</v>
      </c>
      <c r="B4594" t="str">
        <f>"1551601201347276"</f>
        <v>1551601201347276</v>
      </c>
      <c r="C4594" t="s">
        <v>40</v>
      </c>
      <c r="D4594">
        <v>4.4699809999999998</v>
      </c>
      <c r="E4594">
        <v>0.49695109999999998</v>
      </c>
      <c r="F4594" t="s">
        <v>49</v>
      </c>
      <c r="G4594">
        <v>-481.76710000000003</v>
      </c>
      <c r="H4594" s="1">
        <v>3.5353600000000002E-7</v>
      </c>
      <c r="I4594">
        <v>202.28649999999999</v>
      </c>
      <c r="J4594">
        <v>-492.1497</v>
      </c>
      <c r="K4594">
        <v>1.1243030000000001</v>
      </c>
      <c r="L4594">
        <v>238.7996</v>
      </c>
      <c r="M4594">
        <v>4.3183329999999999E-2</v>
      </c>
      <c r="N4594">
        <v>-1.065266E-2</v>
      </c>
      <c r="O4594">
        <v>-0.99901030000000002</v>
      </c>
      <c r="P4594">
        <v>0.27270420000000001</v>
      </c>
      <c r="Q4594">
        <v>9.9229609999999996E-2</v>
      </c>
      <c r="R4594">
        <v>-0.95696720000000002</v>
      </c>
      <c r="S4594">
        <v>0.82421880000000003</v>
      </c>
      <c r="T4594">
        <v>-8.9128849999999996E-2</v>
      </c>
      <c r="U4594">
        <v>-2.9097900000000001</v>
      </c>
      <c r="V4594">
        <v>-0.23194970000000001</v>
      </c>
      <c r="W4594">
        <v>0.1077704</v>
      </c>
      <c r="X4594">
        <v>0.96673929999999997</v>
      </c>
      <c r="Y4594">
        <v>-0.23063210000000001</v>
      </c>
      <c r="Z4594">
        <v>1.8993759999999998E-2</v>
      </c>
      <c r="AA4594">
        <v>0.97285560000000004</v>
      </c>
      <c r="AB4594">
        <v>19</v>
      </c>
      <c r="AC4594">
        <v>10.382599999999901</v>
      </c>
      <c r="AD4594">
        <v>-1.124302646464</v>
      </c>
      <c r="AE4594">
        <v>-36.513100000000001</v>
      </c>
      <c r="AF4594">
        <v>-8.7883576252303897</v>
      </c>
      <c r="AG4594">
        <v>-1.124302646464</v>
      </c>
      <c r="AH4594">
        <v>36.895051624333298</v>
      </c>
      <c r="AI4594">
        <v>91.697957355944396</v>
      </c>
      <c r="AJ4594">
        <v>103.398113838589</v>
      </c>
      <c r="AK4594">
        <v>37.943960264474399</v>
      </c>
      <c r="AL4594">
        <v>83.813195200408103</v>
      </c>
      <c r="AM4594">
        <v>103.491937574323</v>
      </c>
      <c r="AN4594">
        <v>0.99999999830537001</v>
      </c>
    </row>
    <row r="4595" spans="1:40" x14ac:dyDescent="0.25">
      <c r="A4595" t="str">
        <f>"20190303162001363"</f>
        <v>20190303162001363</v>
      </c>
      <c r="B4595" t="str">
        <f>"1551601201357036"</f>
        <v>1551601201357036</v>
      </c>
      <c r="C4595" t="s">
        <v>40</v>
      </c>
      <c r="D4595">
        <v>4.457084</v>
      </c>
      <c r="E4595">
        <v>0.49705700000000003</v>
      </c>
      <c r="F4595" t="s">
        <v>49</v>
      </c>
      <c r="G4595">
        <v>-482.04239999999999</v>
      </c>
      <c r="H4595" s="1">
        <v>5.2349410000000003E-7</v>
      </c>
      <c r="I4595">
        <v>203.5701</v>
      </c>
      <c r="J4595">
        <v>-492.14179999999999</v>
      </c>
      <c r="K4595">
        <v>1.1243160000000001</v>
      </c>
      <c r="L4595">
        <v>238.69759999999999</v>
      </c>
      <c r="M4595">
        <v>4.6321929999999997E-2</v>
      </c>
      <c r="N4595">
        <v>-1.066018E-2</v>
      </c>
      <c r="O4595">
        <v>-0.99886989999999998</v>
      </c>
      <c r="P4595">
        <v>0.27541389999999999</v>
      </c>
      <c r="Q4595">
        <v>9.8380259999999997E-2</v>
      </c>
      <c r="R4595">
        <v>-0.95627859999999998</v>
      </c>
      <c r="S4595">
        <v>0.83398439999999996</v>
      </c>
      <c r="T4595">
        <v>-9.2769619999999997E-2</v>
      </c>
      <c r="U4595">
        <v>-2.9068909999999999</v>
      </c>
      <c r="V4595">
        <v>-0.23164560000000001</v>
      </c>
      <c r="W4595">
        <v>0.1069208</v>
      </c>
      <c r="X4595">
        <v>0.9669065</v>
      </c>
      <c r="Y4595">
        <v>-0.23084360000000001</v>
      </c>
      <c r="Z4595">
        <v>2.0207470000000002E-2</v>
      </c>
      <c r="AA4595">
        <v>0.97278100000000001</v>
      </c>
      <c r="AB4595">
        <v>19</v>
      </c>
      <c r="AC4595">
        <v>10.099399999999999</v>
      </c>
      <c r="AD4595">
        <v>-1.12431547650589</v>
      </c>
      <c r="AE4595">
        <v>-35.127499999999998</v>
      </c>
      <c r="AF4595">
        <v>-8.4532933710405</v>
      </c>
      <c r="AG4595">
        <v>-1.12431547650589</v>
      </c>
      <c r="AH4595">
        <v>35.524025405046103</v>
      </c>
      <c r="AI4595">
        <v>91.763563268791003</v>
      </c>
      <c r="AJ4595">
        <v>103.385158984455</v>
      </c>
      <c r="AK4595">
        <v>36.533253825603197</v>
      </c>
      <c r="AL4595">
        <v>83.862156374432701</v>
      </c>
      <c r="AM4595">
        <v>103.472649139262</v>
      </c>
      <c r="AN4595">
        <v>0.99999996060712404</v>
      </c>
    </row>
    <row r="4596" spans="1:40" x14ac:dyDescent="0.25">
      <c r="A4596" t="str">
        <f>"20190303162001387"</f>
        <v>20190303162001387</v>
      </c>
      <c r="B4596" t="str">
        <f>"1551601201376558"</f>
        <v>1551601201376558</v>
      </c>
      <c r="C4596" t="s">
        <v>40</v>
      </c>
      <c r="D4596">
        <v>4.4679399999999996</v>
      </c>
      <c r="E4596">
        <v>0.49726700000000001</v>
      </c>
      <c r="F4596" t="s">
        <v>49</v>
      </c>
      <c r="G4596">
        <v>-482.26749999999998</v>
      </c>
      <c r="H4596" s="1">
        <v>8.586321E-7</v>
      </c>
      <c r="I4596">
        <v>204.58969999999999</v>
      </c>
      <c r="J4596">
        <v>-492.12619999999998</v>
      </c>
      <c r="K4596">
        <v>1.1243030000000001</v>
      </c>
      <c r="L4596">
        <v>238.50880000000001</v>
      </c>
      <c r="M4596">
        <v>5.2180520000000001E-2</v>
      </c>
      <c r="N4596">
        <v>-1.0670829999999999E-2</v>
      </c>
      <c r="O4596">
        <v>-0.99858080000000005</v>
      </c>
      <c r="P4596">
        <v>0.28134130000000002</v>
      </c>
      <c r="Q4596">
        <v>9.5996590000000007E-2</v>
      </c>
      <c r="R4596">
        <v>-0.95479429999999998</v>
      </c>
      <c r="S4596">
        <v>0.84094239999999998</v>
      </c>
      <c r="T4596">
        <v>-9.5752359999999995E-2</v>
      </c>
      <c r="U4596">
        <v>-2.9047999999999998</v>
      </c>
      <c r="V4596">
        <v>-0.23194429999999999</v>
      </c>
      <c r="W4596">
        <v>0.10454189999999999</v>
      </c>
      <c r="X4596">
        <v>0.96709500000000004</v>
      </c>
      <c r="Y4596">
        <v>-0.22746540000000001</v>
      </c>
      <c r="Z4596">
        <v>2.1206240000000001E-2</v>
      </c>
      <c r="AA4596">
        <v>0.97355519999999995</v>
      </c>
      <c r="AB4596">
        <v>19</v>
      </c>
      <c r="AC4596">
        <v>9.8587000000000007</v>
      </c>
      <c r="AD4596">
        <v>-1.1243021413679</v>
      </c>
      <c r="AE4596">
        <v>-33.9191</v>
      </c>
      <c r="AF4596">
        <v>-8.0670780315933701</v>
      </c>
      <c r="AG4596">
        <v>-1.1243021413679</v>
      </c>
      <c r="AH4596">
        <v>34.352544136003203</v>
      </c>
      <c r="AI4596">
        <v>91.824918913877298</v>
      </c>
      <c r="AJ4596">
        <v>103.215431111256</v>
      </c>
      <c r="AK4596">
        <v>35.304944298057599</v>
      </c>
      <c r="AL4596">
        <v>83.999225608227107</v>
      </c>
      <c r="AM4596">
        <v>103.486854006587</v>
      </c>
      <c r="AN4596">
        <v>0.99999995309154899</v>
      </c>
    </row>
    <row r="4597" spans="1:40" x14ac:dyDescent="0.25">
      <c r="A4597" t="str">
        <f>"20190303162001411"</f>
        <v>20190303162001411</v>
      </c>
      <c r="B4597" t="str">
        <f>"1551601201397052"</f>
        <v>1551601201397052</v>
      </c>
      <c r="C4597" t="s">
        <v>40</v>
      </c>
      <c r="D4597">
        <v>4.3523420000000002</v>
      </c>
      <c r="E4597">
        <v>0.4974095</v>
      </c>
      <c r="F4597" t="s">
        <v>49</v>
      </c>
      <c r="G4597">
        <v>-482.88529999999997</v>
      </c>
      <c r="H4597" s="1">
        <v>1.2607689999999901E-6</v>
      </c>
      <c r="I4597">
        <v>207.17750000000001</v>
      </c>
      <c r="J4597">
        <v>-492.10770000000002</v>
      </c>
      <c r="K4597">
        <v>1.1242589999999999</v>
      </c>
      <c r="L4597">
        <v>238.30340000000001</v>
      </c>
      <c r="M4597">
        <v>5.8581069999999999E-2</v>
      </c>
      <c r="N4597">
        <v>-1.0679569999999999E-2</v>
      </c>
      <c r="O4597">
        <v>-0.99822549999999999</v>
      </c>
      <c r="P4597">
        <v>0.28808210000000001</v>
      </c>
      <c r="Q4597">
        <v>9.1702939999999997E-2</v>
      </c>
      <c r="R4597">
        <v>-0.95320490000000002</v>
      </c>
      <c r="S4597">
        <v>0.85546880000000003</v>
      </c>
      <c r="T4597">
        <v>-0.1040813</v>
      </c>
      <c r="U4597">
        <v>-2.9004669999999999</v>
      </c>
      <c r="V4597">
        <v>-0.23251849999999999</v>
      </c>
      <c r="W4597">
        <v>0.1002639</v>
      </c>
      <c r="X4597">
        <v>0.96741010000000005</v>
      </c>
      <c r="Y4597">
        <v>-0.22608210000000001</v>
      </c>
      <c r="Z4597">
        <v>2.3984800000000001E-2</v>
      </c>
      <c r="AA4597">
        <v>0.97381289999999998</v>
      </c>
      <c r="AB4597">
        <v>19</v>
      </c>
      <c r="AC4597">
        <v>9.2224000000000501</v>
      </c>
      <c r="AD4597">
        <v>-1.124257739231</v>
      </c>
      <c r="AE4597">
        <v>-31.125900000000001</v>
      </c>
      <c r="AF4597">
        <v>-7.3742233611994097</v>
      </c>
      <c r="AG4597">
        <v>-1.124257739231</v>
      </c>
      <c r="AH4597">
        <v>31.574859808760301</v>
      </c>
      <c r="AI4597">
        <v>91.985823819066098</v>
      </c>
      <c r="AJ4597">
        <v>103.145648330805</v>
      </c>
      <c r="AK4597">
        <v>32.44402714812</v>
      </c>
      <c r="AL4597">
        <v>84.245632801973599</v>
      </c>
      <c r="AM4597">
        <v>103.514776128639</v>
      </c>
      <c r="AN4597">
        <v>1.0000000020337301</v>
      </c>
    </row>
    <row r="4598" spans="1:40" x14ac:dyDescent="0.25">
      <c r="A4598" t="str">
        <f>"20190303162001431"</f>
        <v>20190303162001431</v>
      </c>
      <c r="B4598" t="str">
        <f>"1551601201416573"</f>
        <v>1551601201416573</v>
      </c>
      <c r="C4598" t="s">
        <v>40</v>
      </c>
      <c r="D4598">
        <v>4.4332279999999997</v>
      </c>
      <c r="E4598">
        <v>0.49761879999999997</v>
      </c>
      <c r="F4598" t="s">
        <v>49</v>
      </c>
      <c r="G4598">
        <v>-483.7971</v>
      </c>
      <c r="H4598" s="1">
        <v>2.0542959999999999E-6</v>
      </c>
      <c r="I4598">
        <v>210.7424</v>
      </c>
      <c r="J4598">
        <v>-492.09230000000002</v>
      </c>
      <c r="K4598">
        <v>1.124215</v>
      </c>
      <c r="L4598">
        <v>238.14099999999999</v>
      </c>
      <c r="M4598">
        <v>6.3642820000000003E-2</v>
      </c>
      <c r="N4598">
        <v>-1.0685190000000001E-2</v>
      </c>
      <c r="O4598">
        <v>-0.99791569999999996</v>
      </c>
      <c r="P4598">
        <v>0.29358129999999999</v>
      </c>
      <c r="Q4598">
        <v>8.7546479999999996E-2</v>
      </c>
      <c r="R4598">
        <v>-0.95191689999999995</v>
      </c>
      <c r="S4598">
        <v>0.87289430000000001</v>
      </c>
      <c r="T4598">
        <v>-0.11808539999999999</v>
      </c>
      <c r="U4598">
        <v>-2.8948520000000002</v>
      </c>
      <c r="V4598">
        <v>-0.23313680000000001</v>
      </c>
      <c r="W4598">
        <v>9.6124130000000002E-2</v>
      </c>
      <c r="X4598">
        <v>0.96768149999999997</v>
      </c>
      <c r="Y4598">
        <v>-0.22699540000000001</v>
      </c>
      <c r="Z4598">
        <v>2.8652270000000001E-2</v>
      </c>
      <c r="AA4598">
        <v>0.97347430000000001</v>
      </c>
      <c r="AB4598">
        <v>19</v>
      </c>
      <c r="AC4598">
        <v>8.2952000000000208</v>
      </c>
      <c r="AD4598">
        <v>-1.124212945704</v>
      </c>
      <c r="AE4598">
        <v>-27.398599999999899</v>
      </c>
      <c r="AF4598">
        <v>-6.5244957979704301</v>
      </c>
      <c r="AG4598">
        <v>-1.124212945704</v>
      </c>
      <c r="AH4598">
        <v>27.828092021974001</v>
      </c>
      <c r="AI4598">
        <v>92.252391570808498</v>
      </c>
      <c r="AJ4598">
        <v>103.195073661</v>
      </c>
      <c r="AK4598">
        <v>28.6048178765129</v>
      </c>
      <c r="AL4598">
        <v>84.483976440068901</v>
      </c>
      <c r="AM4598">
        <v>103.54573049904199</v>
      </c>
      <c r="AN4598">
        <v>1.0000000506623701</v>
      </c>
    </row>
    <row r="4599" spans="1:40" x14ac:dyDescent="0.25">
      <c r="A4599" t="str">
        <f>"20190303162001445"</f>
        <v>20190303162001445</v>
      </c>
      <c r="B4599" t="str">
        <f>"1551601201436588"</f>
        <v>1551601201436588</v>
      </c>
      <c r="C4599" t="s">
        <v>40</v>
      </c>
      <c r="D4599">
        <v>4.4232430000000003</v>
      </c>
      <c r="E4599">
        <v>0.49790010000000001</v>
      </c>
      <c r="F4599" t="s">
        <v>49</v>
      </c>
      <c r="G4599">
        <v>-484.56119999999999</v>
      </c>
      <c r="H4599" s="1">
        <v>2.3149329999999999E-6</v>
      </c>
      <c r="I4599">
        <v>213.6046</v>
      </c>
      <c r="J4599">
        <v>-492.08010000000002</v>
      </c>
      <c r="K4599">
        <v>1.1241969999999999</v>
      </c>
      <c r="L4599">
        <v>238.01730000000001</v>
      </c>
      <c r="M4599">
        <v>6.7490259999999996E-2</v>
      </c>
      <c r="N4599">
        <v>-1.068889E-2</v>
      </c>
      <c r="O4599">
        <v>-0.99766279999999996</v>
      </c>
      <c r="P4599">
        <v>0.29768109999999998</v>
      </c>
      <c r="Q4599">
        <v>8.6021420000000001E-2</v>
      </c>
      <c r="R4599">
        <v>-0.95078200000000002</v>
      </c>
      <c r="S4599">
        <v>0.88708500000000001</v>
      </c>
      <c r="T4599">
        <v>-0.13242019999999999</v>
      </c>
      <c r="U4599">
        <v>-2.8901210000000002</v>
      </c>
      <c r="V4599">
        <v>-0.23355100000000001</v>
      </c>
      <c r="W4599">
        <v>9.4611379999999995E-2</v>
      </c>
      <c r="X4599">
        <v>0.9677306</v>
      </c>
      <c r="Y4599">
        <v>-0.22800529999999999</v>
      </c>
      <c r="Z4599">
        <v>3.3427730000000003E-2</v>
      </c>
      <c r="AA4599">
        <v>0.97308589999999995</v>
      </c>
      <c r="AB4599">
        <v>19</v>
      </c>
      <c r="AC4599">
        <v>7.5189000000000297</v>
      </c>
      <c r="AD4599">
        <v>-1.1241946850669999</v>
      </c>
      <c r="AE4599">
        <v>-24.412700000000001</v>
      </c>
      <c r="AF4599">
        <v>-5.8427246402337101</v>
      </c>
      <c r="AG4599">
        <v>-1.1241946850669999</v>
      </c>
      <c r="AH4599">
        <v>24.816447054095001</v>
      </c>
      <c r="AI4599">
        <v>92.524808392125195</v>
      </c>
      <c r="AJ4599">
        <v>103.24830912996499</v>
      </c>
      <c r="AK4599">
        <v>25.5197431276302</v>
      </c>
      <c r="AL4599">
        <v>84.571046938797593</v>
      </c>
      <c r="AM4599">
        <v>103.56824434268</v>
      </c>
      <c r="AN4599">
        <v>0.99999994850143004</v>
      </c>
    </row>
    <row r="4600" spans="1:40" x14ac:dyDescent="0.25">
      <c r="A4600" t="str">
        <f>"20190303162001463"</f>
        <v>20190303162001463</v>
      </c>
      <c r="B4600" t="str">
        <f>"1551601201457082"</f>
        <v>1551601201457082</v>
      </c>
      <c r="C4600" t="s">
        <v>40</v>
      </c>
      <c r="D4600">
        <v>4.4141019999999997</v>
      </c>
      <c r="E4600">
        <v>0.49817899999999998</v>
      </c>
      <c r="F4600" t="s">
        <v>49</v>
      </c>
      <c r="G4600">
        <v>-484.7321</v>
      </c>
      <c r="H4600" s="1">
        <v>2.3789729999999999E-6</v>
      </c>
      <c r="I4600">
        <v>214.3759</v>
      </c>
      <c r="J4600">
        <v>-492.06360000000001</v>
      </c>
      <c r="K4600">
        <v>1.1241639999999999</v>
      </c>
      <c r="L4600">
        <v>237.858</v>
      </c>
      <c r="M4600">
        <v>7.2425569999999995E-2</v>
      </c>
      <c r="N4600">
        <v>-1.0692729999999999E-2</v>
      </c>
      <c r="O4600">
        <v>-0.99731669999999994</v>
      </c>
      <c r="P4600">
        <v>0.30345429999999901</v>
      </c>
      <c r="Q4600">
        <v>8.5553320000000002E-2</v>
      </c>
      <c r="R4600">
        <v>-0.9489976</v>
      </c>
      <c r="S4600">
        <v>0.89724729999999997</v>
      </c>
      <c r="T4600">
        <v>-0.13727329999999999</v>
      </c>
      <c r="U4600">
        <v>-2.8868100000000001</v>
      </c>
      <c r="V4600">
        <v>-0.23463310000000001</v>
      </c>
      <c r="W4600">
        <v>9.4150910000000004E-2</v>
      </c>
      <c r="X4600">
        <v>0.96751379999999998</v>
      </c>
      <c r="Y4600">
        <v>-0.2266098</v>
      </c>
      <c r="Z4600">
        <v>3.505349E-2</v>
      </c>
      <c r="AA4600">
        <v>0.97335459999999996</v>
      </c>
      <c r="AB4600">
        <v>19</v>
      </c>
      <c r="AC4600">
        <v>7.3315000000000001</v>
      </c>
      <c r="AD4600">
        <v>-1.124161621027</v>
      </c>
      <c r="AE4600">
        <v>-23.482099999999999</v>
      </c>
      <c r="AF4600">
        <v>-5.5997487860628601</v>
      </c>
      <c r="AG4600">
        <v>-1.124161621027</v>
      </c>
      <c r="AH4600">
        <v>23.901530131055001</v>
      </c>
      <c r="AI4600">
        <v>92.621917329486195</v>
      </c>
      <c r="AJ4600">
        <v>103.18567432909499</v>
      </c>
      <c r="AK4600">
        <v>24.5744596771309</v>
      </c>
      <c r="AL4600">
        <v>84.597548609912096</v>
      </c>
      <c r="AM4600">
        <v>103.631709873452</v>
      </c>
      <c r="AN4600">
        <v>1.0000000193299301</v>
      </c>
    </row>
    <row r="4601" spans="1:40" x14ac:dyDescent="0.25">
      <c r="A4601" t="str">
        <f>"20190303162001477"</f>
        <v>20190303162001477</v>
      </c>
      <c r="B4601" t="str">
        <f>"1551601201466842"</f>
        <v>1551601201466842</v>
      </c>
      <c r="C4601" t="s">
        <v>40</v>
      </c>
      <c r="D4601">
        <v>4.4279769999999896</v>
      </c>
      <c r="E4601">
        <v>0.49832330000000002</v>
      </c>
      <c r="F4601" t="s">
        <v>49</v>
      </c>
      <c r="G4601">
        <v>-484.66410000000002</v>
      </c>
      <c r="H4601" s="1">
        <v>2.3724189999999998E-6</v>
      </c>
      <c r="I4601">
        <v>214.50210000000001</v>
      </c>
      <c r="J4601">
        <v>-492.0514</v>
      </c>
      <c r="K4601">
        <v>1.1241490000000001</v>
      </c>
      <c r="L4601">
        <v>237.7456</v>
      </c>
      <c r="M4601">
        <v>7.5884110000000005E-2</v>
      </c>
      <c r="N4601">
        <v>-1.069471E-2</v>
      </c>
      <c r="O4601">
        <v>-0.99705940000000004</v>
      </c>
      <c r="P4601">
        <v>0.30731209999999998</v>
      </c>
      <c r="Q4601">
        <v>8.5562460000000007E-2</v>
      </c>
      <c r="R4601">
        <v>-0.94775489999999996</v>
      </c>
      <c r="S4601">
        <v>0.91299439999999998</v>
      </c>
      <c r="T4601">
        <v>-0.13870550000000001</v>
      </c>
      <c r="U4601">
        <v>-2.8817750000000002</v>
      </c>
      <c r="V4601">
        <v>-0.2352099</v>
      </c>
      <c r="W4601">
        <v>9.4164680000000001E-2</v>
      </c>
      <c r="X4601">
        <v>0.96737240000000002</v>
      </c>
      <c r="Y4601">
        <v>-0.2285481</v>
      </c>
      <c r="Z4601">
        <v>3.554583E-2</v>
      </c>
      <c r="AA4601">
        <v>0.97288350000000001</v>
      </c>
      <c r="AB4601">
        <v>19</v>
      </c>
      <c r="AC4601">
        <v>7.3872999999999802</v>
      </c>
      <c r="AD4601">
        <v>-1.1241466275809999</v>
      </c>
      <c r="AE4601">
        <v>-23.243499999999901</v>
      </c>
      <c r="AF4601">
        <v>-5.59020810931551</v>
      </c>
      <c r="AG4601">
        <v>-1.1241466275809999</v>
      </c>
      <c r="AH4601">
        <v>23.686761849733202</v>
      </c>
      <c r="AI4601">
        <v>92.644608250224707</v>
      </c>
      <c r="AJ4601">
        <v>103.279139467546</v>
      </c>
      <c r="AK4601">
        <v>24.363432009299</v>
      </c>
      <c r="AL4601">
        <v>84.596756141546194</v>
      </c>
      <c r="AM4601">
        <v>103.665888394204</v>
      </c>
      <c r="AN4601">
        <v>1.0000000221496299</v>
      </c>
    </row>
    <row r="4602" spans="1:40" x14ac:dyDescent="0.25">
      <c r="A4602" t="str">
        <f>"20190303162001497"</f>
        <v>20190303162001497</v>
      </c>
      <c r="B4602" t="str">
        <f>"1551601201486362"</f>
        <v>1551601201486362</v>
      </c>
      <c r="C4602" t="s">
        <v>40</v>
      </c>
      <c r="D4602">
        <v>4.4992000000000001</v>
      </c>
      <c r="E4602">
        <v>0.51610400000000001</v>
      </c>
      <c r="F4602" t="s">
        <v>49</v>
      </c>
      <c r="G4602">
        <v>-484.5523</v>
      </c>
      <c r="H4602" s="1">
        <v>2.347164E-6</v>
      </c>
      <c r="I4602">
        <v>214.37780000000001</v>
      </c>
      <c r="J4602">
        <v>-492.03280000000001</v>
      </c>
      <c r="K4602">
        <v>1.1241380000000001</v>
      </c>
      <c r="L4602">
        <v>237.5796</v>
      </c>
      <c r="M4602">
        <v>8.0975729999999996E-2</v>
      </c>
      <c r="N4602">
        <v>-1.0697180000000001E-2</v>
      </c>
      <c r="O4602">
        <v>-0.99665870000000001</v>
      </c>
      <c r="P4602">
        <v>0.31319750000000002</v>
      </c>
      <c r="Q4602">
        <v>8.7513320000000006E-2</v>
      </c>
      <c r="R4602">
        <v>-0.94564740000000003</v>
      </c>
      <c r="S4602">
        <v>0.92370609999999997</v>
      </c>
      <c r="T4602">
        <v>-0.13846810000000001</v>
      </c>
      <c r="U4602">
        <v>-2.8783569999999998</v>
      </c>
      <c r="V4602">
        <v>-0.23630809999999999</v>
      </c>
      <c r="W4602">
        <v>9.6115099999999995E-2</v>
      </c>
      <c r="X4602">
        <v>0.96691280000000002</v>
      </c>
      <c r="Y4602">
        <v>-0.22719549999999999</v>
      </c>
      <c r="Z4602">
        <v>3.5480699999999997E-2</v>
      </c>
      <c r="AA4602">
        <v>0.97320260000000003</v>
      </c>
      <c r="AB4602">
        <v>19</v>
      </c>
      <c r="AC4602">
        <v>7.4805000000000001</v>
      </c>
      <c r="AD4602">
        <v>-1.12413565283599</v>
      </c>
      <c r="AE4602">
        <v>-23.201799999999899</v>
      </c>
      <c r="AF4602">
        <v>-5.5652077694714004</v>
      </c>
      <c r="AG4602">
        <v>-1.12413565283599</v>
      </c>
      <c r="AH4602">
        <v>23.6810165011096</v>
      </c>
      <c r="AI4602">
        <v>92.645811716417896</v>
      </c>
      <c r="AJ4602">
        <v>103.224938436362</v>
      </c>
      <c r="AK4602">
        <v>24.352120256954802</v>
      </c>
      <c r="AL4602">
        <v>84.484495929042097</v>
      </c>
      <c r="AM4602">
        <v>103.733564086426</v>
      </c>
      <c r="AN4602">
        <v>0.99999999668872996</v>
      </c>
    </row>
    <row r="4603" spans="1:40" x14ac:dyDescent="0.25">
      <c r="A4603" t="str">
        <f>"20190303162001510"</f>
        <v>20190303162001510</v>
      </c>
      <c r="B4603" t="str">
        <f>"1551601201497099"</f>
        <v>1551601201497099</v>
      </c>
      <c r="C4603" t="s">
        <v>40</v>
      </c>
      <c r="D4603">
        <v>4.4386760000000001</v>
      </c>
      <c r="E4603">
        <v>0.52415429999999996</v>
      </c>
      <c r="F4603" t="s">
        <v>49</v>
      </c>
      <c r="G4603">
        <v>-483.14389999999997</v>
      </c>
      <c r="H4603" s="1">
        <v>1.065828E-6</v>
      </c>
      <c r="I4603">
        <v>205.53190000000001</v>
      </c>
      <c r="J4603">
        <v>-492.01940000000002</v>
      </c>
      <c r="K4603">
        <v>1.1241350000000001</v>
      </c>
      <c r="L4603">
        <v>237.46420000000001</v>
      </c>
      <c r="M4603">
        <v>8.4501480000000004E-2</v>
      </c>
      <c r="N4603">
        <v>-1.0698620000000001E-2</v>
      </c>
      <c r="O4603">
        <v>-0.99636590000000003</v>
      </c>
      <c r="P4603">
        <v>0.31661309999999998</v>
      </c>
      <c r="Q4603">
        <v>8.858924E-2</v>
      </c>
      <c r="R4603">
        <v>-0.94440880000000005</v>
      </c>
      <c r="S4603">
        <v>0.80828859999999902</v>
      </c>
      <c r="T4603">
        <v>-0.1022209</v>
      </c>
      <c r="U4603">
        <v>-2.9141849999999998</v>
      </c>
      <c r="V4603">
        <v>-0.23639560000000001</v>
      </c>
      <c r="W4603">
        <v>9.7196270000000001E-2</v>
      </c>
      <c r="X4603">
        <v>0.96678330000000001</v>
      </c>
      <c r="Y4603">
        <v>-0.18476909999999999</v>
      </c>
      <c r="Z4603">
        <v>2.3355049999999999E-2</v>
      </c>
      <c r="AA4603">
        <v>0.98250440000000006</v>
      </c>
      <c r="AB4603">
        <v>19</v>
      </c>
      <c r="AC4603">
        <v>8.8755000000000397</v>
      </c>
      <c r="AD4603">
        <v>-1.124133934172</v>
      </c>
      <c r="AE4603">
        <v>-31.932300000000001</v>
      </c>
      <c r="AF4603">
        <v>-6.1382092087896902</v>
      </c>
      <c r="AG4603">
        <v>-1.124133934172</v>
      </c>
      <c r="AH4603">
        <v>32.530688152143597</v>
      </c>
      <c r="AI4603">
        <v>91.944839527631501</v>
      </c>
      <c r="AJ4603">
        <v>100.685496635875</v>
      </c>
      <c r="AK4603">
        <v>33.123812598263001</v>
      </c>
      <c r="AL4603">
        <v>84.422257903582903</v>
      </c>
      <c r="AM4603">
        <v>103.74022719920799</v>
      </c>
      <c r="AN4603">
        <v>0.99999997188008105</v>
      </c>
    </row>
    <row r="4604" spans="1:40" x14ac:dyDescent="0.25">
      <c r="A4604" t="str">
        <f>"20190303162001532"</f>
        <v>20190303162001532</v>
      </c>
      <c r="B4604" t="str">
        <f>"1551601201526379"</f>
        <v>1551601201526379</v>
      </c>
      <c r="C4604" t="s">
        <v>40</v>
      </c>
      <c r="D4604">
        <v>4.3891169999999997</v>
      </c>
      <c r="E4604">
        <v>0.534721</v>
      </c>
      <c r="F4604" t="s">
        <v>41</v>
      </c>
      <c r="G4604">
        <v>-479.93200000000002</v>
      </c>
      <c r="H4604">
        <v>7.5727589999999997E-2</v>
      </c>
      <c r="I4604">
        <v>190.7955</v>
      </c>
      <c r="J4604">
        <v>-491.99790000000002</v>
      </c>
      <c r="K4604">
        <v>1.1241300000000001</v>
      </c>
      <c r="L4604">
        <v>237.28630000000001</v>
      </c>
      <c r="M4604">
        <v>8.9915670000000003E-2</v>
      </c>
      <c r="N4604">
        <v>-1.070072E-2</v>
      </c>
      <c r="O4604">
        <v>-0.995892</v>
      </c>
      <c r="P4604">
        <v>0.32124330000000001</v>
      </c>
      <c r="Q4604">
        <v>9.0308899999999998E-2</v>
      </c>
      <c r="R4604">
        <v>-0.94268110000000005</v>
      </c>
      <c r="S4604">
        <v>0.75848389999999999</v>
      </c>
      <c r="T4604">
        <v>-6.5787789999999999E-2</v>
      </c>
      <c r="U4604">
        <v>-2.9284669999999999</v>
      </c>
      <c r="V4604">
        <v>-0.23590939999999999</v>
      </c>
      <c r="W4604">
        <v>9.8926910000000007E-2</v>
      </c>
      <c r="X4604">
        <v>0.96672650000000004</v>
      </c>
      <c r="Y4604">
        <v>-0.16262260000000001</v>
      </c>
      <c r="Z4604">
        <v>1.1236869999999999E-2</v>
      </c>
      <c r="AA4604">
        <v>0.98662439999999996</v>
      </c>
      <c r="AB4604">
        <v>19</v>
      </c>
      <c r="AC4604">
        <v>12.065899999999999</v>
      </c>
      <c r="AD4604">
        <v>-1.04840240999999</v>
      </c>
      <c r="AE4604">
        <v>-46.4908</v>
      </c>
      <c r="AF4604">
        <v>-7.8327978175439901</v>
      </c>
      <c r="AG4604">
        <v>-1.04840240999999</v>
      </c>
      <c r="AH4604">
        <v>47.364870744289099</v>
      </c>
      <c r="AI4604">
        <v>91.251026565528704</v>
      </c>
      <c r="AJ4604">
        <v>99.390102862548403</v>
      </c>
      <c r="AK4604">
        <v>48.019609014308202</v>
      </c>
      <c r="AL4604">
        <v>84.322619184326996</v>
      </c>
      <c r="AM4604">
        <v>103.713810594474</v>
      </c>
      <c r="AN4604">
        <v>0.99999995216637705</v>
      </c>
    </row>
    <row r="4605" spans="1:40" x14ac:dyDescent="0.25">
      <c r="A4605" t="str">
        <f>"20190303162001553"</f>
        <v>20190303162001553</v>
      </c>
      <c r="B4605" t="str">
        <f>"1551601201546874"</f>
        <v>1551601201546874</v>
      </c>
      <c r="C4605" t="s">
        <v>40</v>
      </c>
      <c r="D4605">
        <v>4.5107869999999997</v>
      </c>
      <c r="E4605">
        <v>0.53576590000000002</v>
      </c>
      <c r="F4605" t="s">
        <v>44</v>
      </c>
      <c r="G4605">
        <v>-461.90609999999998</v>
      </c>
      <c r="H4605">
        <v>-0.05</v>
      </c>
      <c r="I4605">
        <v>109.4736</v>
      </c>
      <c r="J4605">
        <v>-491.97379999999998</v>
      </c>
      <c r="K4605">
        <v>1.124136</v>
      </c>
      <c r="L4605">
        <v>237.09460000000001</v>
      </c>
      <c r="M4605">
        <v>9.5731189999999994E-2</v>
      </c>
      <c r="N4605">
        <v>-1.0703270000000001E-2</v>
      </c>
      <c r="O4605">
        <v>-0.99534990000000001</v>
      </c>
      <c r="P4605">
        <v>0.32547599999999999</v>
      </c>
      <c r="Q4605">
        <v>9.1656730000000006E-2</v>
      </c>
      <c r="R4605">
        <v>-0.94109770000000004</v>
      </c>
      <c r="S4605">
        <v>0.69418329999999995</v>
      </c>
      <c r="T4605">
        <v>-2.708578E-2</v>
      </c>
      <c r="U4605">
        <v>-2.9484859999999999</v>
      </c>
      <c r="V4605">
        <v>-0.2346268</v>
      </c>
      <c r="W4605">
        <v>0.10029100000000001</v>
      </c>
      <c r="X4605">
        <v>0.96689809999999998</v>
      </c>
      <c r="Y4605">
        <v>-0.1349156</v>
      </c>
      <c r="Z4605">
        <v>-1.62629299999999E-3</v>
      </c>
      <c r="AA4605">
        <v>0.99085579999999995</v>
      </c>
      <c r="AB4605">
        <v>19</v>
      </c>
      <c r="AC4605">
        <v>30.067699999999999</v>
      </c>
      <c r="AD4605">
        <v>-1.1741360000000001</v>
      </c>
      <c r="AE4605">
        <v>-127.621</v>
      </c>
      <c r="AF4605">
        <v>-17.710162390982301</v>
      </c>
      <c r="AG4605">
        <v>-1.1741360000000001</v>
      </c>
      <c r="AH4605">
        <v>129.90296191120299</v>
      </c>
      <c r="AI4605">
        <v>90.513111004814803</v>
      </c>
      <c r="AJ4605">
        <v>97.763486839550396</v>
      </c>
      <c r="AK4605">
        <v>131.10990794201899</v>
      </c>
      <c r="AL4605">
        <v>84.244072080714204</v>
      </c>
      <c r="AM4605">
        <v>103.639713517606</v>
      </c>
      <c r="AN4605">
        <v>0.99999997787142403</v>
      </c>
    </row>
    <row r="4606" spans="1:40" x14ac:dyDescent="0.25">
      <c r="A4606" t="str">
        <f>"20190303162001577"</f>
        <v>20190303162001577</v>
      </c>
      <c r="B4606" t="str">
        <f>"1551601201566394"</f>
        <v>1551601201566394</v>
      </c>
      <c r="C4606" t="s">
        <v>40</v>
      </c>
      <c r="D4606">
        <v>4.4977130000000001</v>
      </c>
      <c r="E4606">
        <v>0.53657359999999998</v>
      </c>
      <c r="F4606" t="s">
        <v>44</v>
      </c>
      <c r="G4606">
        <v>-470.82209999999998</v>
      </c>
      <c r="H4606">
        <v>-0.05</v>
      </c>
      <c r="I4606">
        <v>147.84700000000001</v>
      </c>
      <c r="J4606">
        <v>-491.94839999999999</v>
      </c>
      <c r="K4606">
        <v>1.124139</v>
      </c>
      <c r="L4606">
        <v>236.90289999999999</v>
      </c>
      <c r="M4606">
        <v>0.1015427</v>
      </c>
      <c r="N4606">
        <v>-1.070605E-2</v>
      </c>
      <c r="O4606">
        <v>-0.99477369999999998</v>
      </c>
      <c r="P4606">
        <v>0.32931319999999997</v>
      </c>
      <c r="Q4606">
        <v>9.264058E-2</v>
      </c>
      <c r="R4606">
        <v>-0.93966530000000004</v>
      </c>
      <c r="S4606">
        <v>0.69909670000000002</v>
      </c>
      <c r="T4606">
        <v>-3.8807149999999999E-2</v>
      </c>
      <c r="U4606">
        <v>-2.949783</v>
      </c>
      <c r="V4606">
        <v>-0.2329397</v>
      </c>
      <c r="W4606">
        <v>0.10129290000000001</v>
      </c>
      <c r="X4606">
        <v>0.96720150000000005</v>
      </c>
      <c r="Y4606">
        <v>-0.13059089999999901</v>
      </c>
      <c r="Z4606">
        <v>2.2401019999999999E-3</v>
      </c>
      <c r="AA4606">
        <v>0.99143380000000003</v>
      </c>
      <c r="AB4606">
        <v>19</v>
      </c>
      <c r="AC4606">
        <v>21.126300000000001</v>
      </c>
      <c r="AD4606">
        <v>-1.174139</v>
      </c>
      <c r="AE4606">
        <v>-89.055899999999895</v>
      </c>
      <c r="AF4606">
        <v>-11.971625680961701</v>
      </c>
      <c r="AG4606">
        <v>-1.174139</v>
      </c>
      <c r="AH4606">
        <v>90.725947395054803</v>
      </c>
      <c r="AI4606">
        <v>90.735086460289295</v>
      </c>
      <c r="AJ4606">
        <v>97.516963712964298</v>
      </c>
      <c r="AK4606">
        <v>91.519921080421796</v>
      </c>
      <c r="AL4606">
        <v>84.186373436130296</v>
      </c>
      <c r="AM4606">
        <v>103.541169727553</v>
      </c>
      <c r="AN4606">
        <v>0.99999994851437302</v>
      </c>
    </row>
    <row r="4607" spans="1:40" x14ac:dyDescent="0.25">
      <c r="A4607" t="str">
        <f>"20190303162001591"</f>
        <v>20190303162001591</v>
      </c>
      <c r="B4607" t="str">
        <f>"1551601201586891"</f>
        <v>1551601201586891</v>
      </c>
      <c r="C4607" t="s">
        <v>40</v>
      </c>
      <c r="D4607">
        <v>4.5451739999999896</v>
      </c>
      <c r="E4607">
        <v>0.53726209999999996</v>
      </c>
      <c r="F4607" t="s">
        <v>41</v>
      </c>
      <c r="G4607">
        <v>-476.5564</v>
      </c>
      <c r="H4607">
        <v>7.9986360000000006E-2</v>
      </c>
      <c r="I4607">
        <v>172.51410000000001</v>
      </c>
      <c r="J4607">
        <v>-491.93049999999999</v>
      </c>
      <c r="K4607">
        <v>1.124142</v>
      </c>
      <c r="L4607">
        <v>236.7724</v>
      </c>
      <c r="M4607">
        <v>0.1054963</v>
      </c>
      <c r="N4607">
        <v>-1.070812E-2</v>
      </c>
      <c r="O4607">
        <v>-0.99436219999999997</v>
      </c>
      <c r="P4607">
        <v>0.3319995</v>
      </c>
      <c r="Q4607">
        <v>9.3493149999999997E-2</v>
      </c>
      <c r="R4607">
        <v>-0.938635</v>
      </c>
      <c r="S4607">
        <v>0.70523069999999999</v>
      </c>
      <c r="T4607">
        <v>-4.7841189999999999E-2</v>
      </c>
      <c r="U4607">
        <v>-2.95018</v>
      </c>
      <c r="V4607">
        <v>-0.23187579999999999</v>
      </c>
      <c r="W4607">
        <v>0.10215630000000001</v>
      </c>
      <c r="X4607">
        <v>0.96736639999999996</v>
      </c>
      <c r="Y4607">
        <v>-0.12856609999999999</v>
      </c>
      <c r="Z4607">
        <v>5.2144359999999898E-3</v>
      </c>
      <c r="AA4607">
        <v>0.99168719999999999</v>
      </c>
      <c r="AB4607">
        <v>19</v>
      </c>
      <c r="AC4607">
        <v>15.3741</v>
      </c>
      <c r="AD4607">
        <v>-1.0441556400000001</v>
      </c>
      <c r="AE4607">
        <v>-64.258299999999906</v>
      </c>
      <c r="AF4607">
        <v>-8.5067729710758506</v>
      </c>
      <c r="AG4607">
        <v>-1.0441556400000001</v>
      </c>
      <c r="AH4607">
        <v>65.505321752573195</v>
      </c>
      <c r="AI4607">
        <v>90.905614881074399</v>
      </c>
      <c r="AJ4607">
        <v>97.399240553292699</v>
      </c>
      <c r="AK4607">
        <v>66.063625583902905</v>
      </c>
      <c r="AL4607">
        <v>84.136646745757801</v>
      </c>
      <c r="AM4607">
        <v>103.479371709028</v>
      </c>
      <c r="AN4607">
        <v>1.0000000240521401</v>
      </c>
    </row>
    <row r="4608" spans="1:40" x14ac:dyDescent="0.25">
      <c r="A4608" t="str">
        <f>"20190303162001610"</f>
        <v>20190303162001610</v>
      </c>
      <c r="B4608" t="str">
        <f>"1551601201596839"</f>
        <v>1551601201596839</v>
      </c>
      <c r="C4608" t="s">
        <v>40</v>
      </c>
      <c r="D4608">
        <v>4.5641619999999996</v>
      </c>
      <c r="E4608">
        <v>0.53752769999999905</v>
      </c>
      <c r="F4608" t="s">
        <v>41</v>
      </c>
      <c r="G4608">
        <v>-477.77569999999997</v>
      </c>
      <c r="H4608">
        <v>7.9986390000000004E-2</v>
      </c>
      <c r="I4608">
        <v>177.81720000000001</v>
      </c>
      <c r="J4608">
        <v>-491.90839999999997</v>
      </c>
      <c r="K4608">
        <v>1.124155</v>
      </c>
      <c r="L4608">
        <v>236.6165</v>
      </c>
      <c r="M4608">
        <v>0.1102235</v>
      </c>
      <c r="N4608">
        <v>-1.071077E-2</v>
      </c>
      <c r="O4608">
        <v>-0.99384919999999999</v>
      </c>
      <c r="P4608">
        <v>0.33509919999999999</v>
      </c>
      <c r="Q4608">
        <v>9.4582579999999999E-2</v>
      </c>
      <c r="R4608">
        <v>-0.93742349999999997</v>
      </c>
      <c r="S4608">
        <v>0.70846560000000003</v>
      </c>
      <c r="T4608">
        <v>-5.226111E-2</v>
      </c>
      <c r="U4608">
        <v>-2.9507750000000001</v>
      </c>
      <c r="V4608">
        <v>-0.23049159999999999</v>
      </c>
      <c r="W4608">
        <v>0.10325860000000001</v>
      </c>
      <c r="X4608">
        <v>0.96758010000000005</v>
      </c>
      <c r="Y4608">
        <v>-0.12483</v>
      </c>
      <c r="Z4608">
        <v>6.6621129999999999E-3</v>
      </c>
      <c r="AA4608">
        <v>0.99215580000000003</v>
      </c>
      <c r="AB4608">
        <v>19</v>
      </c>
      <c r="AC4608">
        <v>14.1327</v>
      </c>
      <c r="AD4608">
        <v>-1.0441686100000001</v>
      </c>
      <c r="AE4608">
        <v>-58.799299999999903</v>
      </c>
      <c r="AF4608">
        <v>-7.5628865200024302</v>
      </c>
      <c r="AG4608">
        <v>-1.0441686100000001</v>
      </c>
      <c r="AH4608">
        <v>59.980947273682197</v>
      </c>
      <c r="AI4608">
        <v>90.989490585844806</v>
      </c>
      <c r="AJ4608">
        <v>97.186395184612905</v>
      </c>
      <c r="AK4608">
        <v>60.464878867395299</v>
      </c>
      <c r="AL4608">
        <v>84.073153586667601</v>
      </c>
      <c r="AM4608">
        <v>103.39896365025901</v>
      </c>
      <c r="AN4608">
        <v>0.99999998303026405</v>
      </c>
    </row>
    <row r="4609" spans="1:40" x14ac:dyDescent="0.25">
      <c r="A4609" t="str">
        <f>"20190303162001632"</f>
        <v>20190303162001632</v>
      </c>
      <c r="B4609" t="str">
        <f>"1551601201627096"</f>
        <v>1551601201627096</v>
      </c>
      <c r="C4609" t="s">
        <v>40</v>
      </c>
      <c r="D4609">
        <v>4.4930309999999896</v>
      </c>
      <c r="E4609">
        <v>0.53911589999999998</v>
      </c>
      <c r="F4609" t="s">
        <v>41</v>
      </c>
      <c r="G4609">
        <v>-477.73719999999997</v>
      </c>
      <c r="H4609">
        <v>7.998653E-2</v>
      </c>
      <c r="I4609">
        <v>178.29419999999999</v>
      </c>
      <c r="J4609">
        <v>-491.88069999999999</v>
      </c>
      <c r="K4609">
        <v>1.124166</v>
      </c>
      <c r="L4609">
        <v>236.42760000000001</v>
      </c>
      <c r="M4609">
        <v>0.1159531</v>
      </c>
      <c r="N4609">
        <v>-1.071414E-2</v>
      </c>
      <c r="O4609">
        <v>-0.99319710000000005</v>
      </c>
      <c r="P4609">
        <v>0.33966489999999999</v>
      </c>
      <c r="Q4609">
        <v>9.5531840000000007E-2</v>
      </c>
      <c r="R4609">
        <v>-0.93568240000000003</v>
      </c>
      <c r="S4609">
        <v>0.71664430000000001</v>
      </c>
      <c r="T4609">
        <v>-5.2804110000000001E-2</v>
      </c>
      <c r="U4609">
        <v>-2.9493870000000002</v>
      </c>
      <c r="V4609">
        <v>-0.22964680000000001</v>
      </c>
      <c r="W4609">
        <v>0.10421569999999999</v>
      </c>
      <c r="X4609">
        <v>0.96767840000000005</v>
      </c>
      <c r="Y4609">
        <v>-0.1218132</v>
      </c>
      <c r="Z4609">
        <v>6.8352939999999996E-3</v>
      </c>
      <c r="AA4609">
        <v>0.99252949999999995</v>
      </c>
      <c r="AB4609">
        <v>19</v>
      </c>
      <c r="AC4609">
        <v>14.1435</v>
      </c>
      <c r="AD4609">
        <v>-1.04417947</v>
      </c>
      <c r="AE4609">
        <v>-58.133400000000002</v>
      </c>
      <c r="AF4609">
        <v>-7.3047282158819904</v>
      </c>
      <c r="AG4609">
        <v>-1.04417947</v>
      </c>
      <c r="AH4609">
        <v>59.363221845511198</v>
      </c>
      <c r="AI4609">
        <v>91.000167826139204</v>
      </c>
      <c r="AJ4609">
        <v>97.015061823755104</v>
      </c>
      <c r="AK4609">
        <v>59.820075835398697</v>
      </c>
      <c r="AL4609">
        <v>84.018018578396394</v>
      </c>
      <c r="AM4609">
        <v>103.350307618876</v>
      </c>
      <c r="AN4609">
        <v>1.0000000253516399</v>
      </c>
    </row>
    <row r="4610" spans="1:40" x14ac:dyDescent="0.25">
      <c r="A4610" t="str">
        <f>"20190303162001654"</f>
        <v>20190303162001654</v>
      </c>
      <c r="B4610" t="str">
        <f>"1551601201646616"</f>
        <v>1551601201646616</v>
      </c>
      <c r="C4610" t="s">
        <v>40</v>
      </c>
      <c r="D4610">
        <v>4.5369429999999999</v>
      </c>
      <c r="E4610">
        <v>0.54011049999999905</v>
      </c>
      <c r="F4610" t="s">
        <v>41</v>
      </c>
      <c r="G4610">
        <v>-476.62169999999998</v>
      </c>
      <c r="H4610">
        <v>7.9986769999999999E-2</v>
      </c>
      <c r="I4610">
        <v>173.9196</v>
      </c>
      <c r="J4610">
        <v>-491.8526</v>
      </c>
      <c r="K4610">
        <v>1.1241719999999999</v>
      </c>
      <c r="L4610">
        <v>236.24350000000001</v>
      </c>
      <c r="M4610">
        <v>0.12154280000000001</v>
      </c>
      <c r="N4610">
        <v>-1.0717569999999999E-2</v>
      </c>
      <c r="O4610">
        <v>-0.99252850000000004</v>
      </c>
      <c r="P4610">
        <v>0.34434720000000002</v>
      </c>
      <c r="Q4610">
        <v>9.587714E-2</v>
      </c>
      <c r="R4610">
        <v>-0.9339343</v>
      </c>
      <c r="S4610">
        <v>0.72009279999999998</v>
      </c>
      <c r="T4610">
        <v>-4.9276349999999997E-2</v>
      </c>
      <c r="U4610">
        <v>-2.9498440000000001</v>
      </c>
      <c r="V4610">
        <v>-0.2290536</v>
      </c>
      <c r="W4610">
        <v>0.1045661</v>
      </c>
      <c r="X4610">
        <v>0.96778120000000001</v>
      </c>
      <c r="Y4610">
        <v>-0.11728710000000001</v>
      </c>
      <c r="Z4610">
        <v>5.660872E-3</v>
      </c>
      <c r="AA4610">
        <v>0.99308189999999996</v>
      </c>
      <c r="AB4610">
        <v>19</v>
      </c>
      <c r="AC4610">
        <v>15.2309</v>
      </c>
      <c r="AD4610">
        <v>-1.0441852300000001</v>
      </c>
      <c r="AE4610">
        <v>-62.323900000000002</v>
      </c>
      <c r="AF4610">
        <v>-7.5405155796301004</v>
      </c>
      <c r="AG4610">
        <v>-1.0441852300000001</v>
      </c>
      <c r="AH4610">
        <v>63.696229647766799</v>
      </c>
      <c r="AI4610">
        <v>90.932665749875994</v>
      </c>
      <c r="AJ4610">
        <v>96.751392719888898</v>
      </c>
      <c r="AK4610">
        <v>64.149507943103004</v>
      </c>
      <c r="AL4610">
        <v>83.997831908491193</v>
      </c>
      <c r="AM4610">
        <v>103.315688420938</v>
      </c>
      <c r="AN4610">
        <v>1.0000000360078001</v>
      </c>
    </row>
    <row r="4611" spans="1:40" x14ac:dyDescent="0.25">
      <c r="A4611" t="str">
        <f>"20190303162001678"</f>
        <v>20190303162001678</v>
      </c>
      <c r="B4611" t="str">
        <f>"1551601201667111"</f>
        <v>1551601201667111</v>
      </c>
      <c r="C4611" t="s">
        <v>40</v>
      </c>
      <c r="D4611">
        <v>4.6128359999999997</v>
      </c>
      <c r="E4611">
        <v>0.54046859999999997</v>
      </c>
      <c r="F4611" t="s">
        <v>41</v>
      </c>
      <c r="G4611">
        <v>-476.23430000000002</v>
      </c>
      <c r="H4611">
        <v>7.9986479999999999E-2</v>
      </c>
      <c r="I4611">
        <v>172.91650000000001</v>
      </c>
      <c r="J4611">
        <v>-491.82170000000002</v>
      </c>
      <c r="K4611">
        <v>1.1241779999999999</v>
      </c>
      <c r="L4611">
        <v>236.0489</v>
      </c>
      <c r="M4611">
        <v>0.12745619999999999</v>
      </c>
      <c r="N4611">
        <v>-1.072128E-2</v>
      </c>
      <c r="O4611">
        <v>-0.99178619999999995</v>
      </c>
      <c r="P4611">
        <v>0.34936600000000001</v>
      </c>
      <c r="Q4611">
        <v>9.6375009999999997E-2</v>
      </c>
      <c r="R4611">
        <v>-0.93201679999999998</v>
      </c>
      <c r="S4611">
        <v>0.72732540000000001</v>
      </c>
      <c r="T4611">
        <v>-4.8626299999999997E-2</v>
      </c>
      <c r="U4611">
        <v>-2.9490509999999999</v>
      </c>
      <c r="V4611">
        <v>-0.22850290000000001</v>
      </c>
      <c r="W4611">
        <v>0.1050683</v>
      </c>
      <c r="X4611">
        <v>0.96785690000000002</v>
      </c>
      <c r="Y4611">
        <v>-0.1137271</v>
      </c>
      <c r="Z4611">
        <v>5.4374779999999999E-3</v>
      </c>
      <c r="AA4611">
        <v>0.99349710000000002</v>
      </c>
      <c r="AB4611">
        <v>19</v>
      </c>
      <c r="AC4611">
        <v>15.587400000000001</v>
      </c>
      <c r="AD4611">
        <v>-1.04419152</v>
      </c>
      <c r="AE4611">
        <v>-63.132399999999897</v>
      </c>
      <c r="AF4611">
        <v>-7.4112679203653498</v>
      </c>
      <c r="AG4611">
        <v>-1.04419152</v>
      </c>
      <c r="AH4611">
        <v>64.5876168285468</v>
      </c>
      <c r="AI4611">
        <v>90.920186116800394</v>
      </c>
      <c r="AJ4611">
        <v>96.545917952297401</v>
      </c>
      <c r="AK4611">
        <v>65.019823713303396</v>
      </c>
      <c r="AL4611">
        <v>83.968898074681206</v>
      </c>
      <c r="AM4611">
        <v>103.283808498547</v>
      </c>
      <c r="AN4611">
        <v>0.99999995092545302</v>
      </c>
    </row>
    <row r="4612" spans="1:40" x14ac:dyDescent="0.25">
      <c r="A4612" t="str">
        <f>"20190303162001693"</f>
        <v>20190303162001693</v>
      </c>
      <c r="B4612" t="str">
        <f>"1551601201686632"</f>
        <v>1551601201686632</v>
      </c>
      <c r="C4612" t="s">
        <v>40</v>
      </c>
      <c r="D4612">
        <v>4.6173479999999998</v>
      </c>
      <c r="E4612">
        <v>0.54079259999999996</v>
      </c>
      <c r="F4612" t="s">
        <v>41</v>
      </c>
      <c r="G4612">
        <v>-477.37990000000002</v>
      </c>
      <c r="H4612">
        <v>7.9986630000000003E-2</v>
      </c>
      <c r="I4612">
        <v>178.58949999999999</v>
      </c>
      <c r="J4612">
        <v>-491.7998</v>
      </c>
      <c r="K4612">
        <v>1.124188</v>
      </c>
      <c r="L4612">
        <v>235.9152</v>
      </c>
      <c r="M4612">
        <v>0.13152369999999999</v>
      </c>
      <c r="N4612">
        <v>-1.072391E-2</v>
      </c>
      <c r="O4612">
        <v>-0.9912552</v>
      </c>
      <c r="P4612">
        <v>0.35268690000000003</v>
      </c>
      <c r="Q4612">
        <v>9.6470799999999995E-2</v>
      </c>
      <c r="R4612">
        <v>-0.93075540000000001</v>
      </c>
      <c r="S4612">
        <v>0.74063109999999999</v>
      </c>
      <c r="T4612">
        <v>-5.355E-2</v>
      </c>
      <c r="U4612">
        <v>-2.9467319999999999</v>
      </c>
      <c r="V4612">
        <v>-0.2279863</v>
      </c>
      <c r="W4612">
        <v>0.1051684</v>
      </c>
      <c r="X4612">
        <v>0.96796789999999999</v>
      </c>
      <c r="Y4612">
        <v>-0.11405369999999999</v>
      </c>
      <c r="Z4612">
        <v>7.0519290000000002E-3</v>
      </c>
      <c r="AA4612">
        <v>0.99344960000000004</v>
      </c>
      <c r="AB4612">
        <v>19</v>
      </c>
      <c r="AC4612">
        <v>14.419899999999901</v>
      </c>
      <c r="AD4612">
        <v>-1.0442013699999999</v>
      </c>
      <c r="AE4612">
        <v>-57.325699999999998</v>
      </c>
      <c r="AF4612">
        <v>-6.7523927986788799</v>
      </c>
      <c r="AG4612">
        <v>-1.0442013699999999</v>
      </c>
      <c r="AH4612">
        <v>58.706003911897398</v>
      </c>
      <c r="AI4612">
        <v>91.012337250889601</v>
      </c>
      <c r="AJ4612">
        <v>96.561354547566793</v>
      </c>
      <c r="AK4612">
        <v>59.102284730054897</v>
      </c>
      <c r="AL4612">
        <v>83.963131114333606</v>
      </c>
      <c r="AM4612">
        <v>103.253371332887</v>
      </c>
      <c r="AN4612">
        <v>1.00000000038833</v>
      </c>
    </row>
    <row r="4613" spans="1:40" x14ac:dyDescent="0.25">
      <c r="A4613" t="str">
        <f>"20190303162001710"</f>
        <v>20190303162001710</v>
      </c>
      <c r="B4613" t="str">
        <f>"1551601201696392"</f>
        <v>1551601201696392</v>
      </c>
      <c r="C4613" t="s">
        <v>40</v>
      </c>
      <c r="D4613">
        <v>4.6227650000000002</v>
      </c>
      <c r="E4613">
        <v>0.54095109999999902</v>
      </c>
      <c r="F4613" t="s">
        <v>41</v>
      </c>
      <c r="G4613">
        <v>-478.30720000000002</v>
      </c>
      <c r="H4613">
        <v>7.9986390000000004E-2</v>
      </c>
      <c r="I4613">
        <v>182.87739999999999</v>
      </c>
      <c r="J4613">
        <v>-491.7756</v>
      </c>
      <c r="K4613">
        <v>1.1242049999999999</v>
      </c>
      <c r="L4613">
        <v>235.7714</v>
      </c>
      <c r="M4613">
        <v>0.13589799999999999</v>
      </c>
      <c r="N4613">
        <v>-1.072676E-2</v>
      </c>
      <c r="O4613">
        <v>-0.99066489999999996</v>
      </c>
      <c r="P4613">
        <v>0.35618460000000002</v>
      </c>
      <c r="Q4613">
        <v>9.7300250000000005E-2</v>
      </c>
      <c r="R4613">
        <v>-0.92933600000000005</v>
      </c>
      <c r="S4613">
        <v>0.74926759999999903</v>
      </c>
      <c r="T4613">
        <v>-5.7986379999999997E-2</v>
      </c>
      <c r="U4613">
        <v>-2.9452820000000002</v>
      </c>
      <c r="V4613">
        <v>-0.22737199999999999</v>
      </c>
      <c r="W4613">
        <v>0.106002399999999</v>
      </c>
      <c r="X4613">
        <v>0.96802140000000003</v>
      </c>
      <c r="Y4613">
        <v>-0.1125183</v>
      </c>
      <c r="Z4613">
        <v>8.501939E-3</v>
      </c>
      <c r="AA4613">
        <v>0.99361330000000003</v>
      </c>
      <c r="AB4613">
        <v>20</v>
      </c>
      <c r="AC4613">
        <v>13.4683999999999</v>
      </c>
      <c r="AD4613">
        <v>-1.0442186099999999</v>
      </c>
      <c r="AE4613">
        <v>-52.893999999999998</v>
      </c>
      <c r="AF4613">
        <v>-6.1525837155815299</v>
      </c>
      <c r="AG4613">
        <v>-1.0442186099999999</v>
      </c>
      <c r="AH4613">
        <v>54.213828123970799</v>
      </c>
      <c r="AI4613">
        <v>91.096407775987899</v>
      </c>
      <c r="AJ4613">
        <v>96.474644574907103</v>
      </c>
      <c r="AK4613">
        <v>54.5718227544046</v>
      </c>
      <c r="AL4613">
        <v>83.915077720332405</v>
      </c>
      <c r="AM4613">
        <v>103.218211126212</v>
      </c>
      <c r="AN4613">
        <v>0.99999998302385995</v>
      </c>
    </row>
    <row r="4614" spans="1:40" x14ac:dyDescent="0.25">
      <c r="A4614" t="str">
        <f>"20190303162001734"</f>
        <v>20190303162001734</v>
      </c>
      <c r="B4614" t="str">
        <f>"1551601201726647"</f>
        <v>1551601201726647</v>
      </c>
      <c r="C4614" t="s">
        <v>40</v>
      </c>
      <c r="D4614">
        <v>4.6214409999999999</v>
      </c>
      <c r="E4614">
        <v>0.54167379999999998</v>
      </c>
      <c r="F4614" t="s">
        <v>41</v>
      </c>
      <c r="G4614">
        <v>-478.11290000000002</v>
      </c>
      <c r="H4614">
        <v>7.9986370000000001E-2</v>
      </c>
      <c r="I4614">
        <v>182.80940000000001</v>
      </c>
      <c r="J4614">
        <v>-491.73970000000003</v>
      </c>
      <c r="K4614">
        <v>1.124214</v>
      </c>
      <c r="L4614">
        <v>235.56489999999999</v>
      </c>
      <c r="M4614">
        <v>0.14218520000000001</v>
      </c>
      <c r="N4614">
        <v>-1.073082E-2</v>
      </c>
      <c r="O4614">
        <v>-0.98978200000000005</v>
      </c>
      <c r="P4614">
        <v>0.36132900000000001</v>
      </c>
      <c r="Q4614">
        <v>9.7697370000000006E-2</v>
      </c>
      <c r="R4614">
        <v>-0.92730619999999997</v>
      </c>
      <c r="S4614">
        <v>0.7592468</v>
      </c>
      <c r="T4614">
        <v>-5.8028099999999902E-2</v>
      </c>
      <c r="U4614">
        <v>-2.943146</v>
      </c>
      <c r="V4614">
        <v>-0.22660050000000001</v>
      </c>
      <c r="W4614">
        <v>0.106406399999999</v>
      </c>
      <c r="X4614">
        <v>0.96815799999999996</v>
      </c>
      <c r="Y4614">
        <v>-0.109543</v>
      </c>
      <c r="Z4614">
        <v>8.5059279999999994E-3</v>
      </c>
      <c r="AA4614">
        <v>0.99394570000000004</v>
      </c>
      <c r="AB4614">
        <v>20</v>
      </c>
      <c r="AC4614">
        <v>13.626799999999999</v>
      </c>
      <c r="AD4614">
        <v>-1.04422763</v>
      </c>
      <c r="AE4614">
        <v>-52.755499999999898</v>
      </c>
      <c r="AF4614">
        <v>-5.9846560954905996</v>
      </c>
      <c r="AG4614">
        <v>-1.04422763</v>
      </c>
      <c r="AH4614">
        <v>54.1372028102058</v>
      </c>
      <c r="AI4614">
        <v>91.098325959181494</v>
      </c>
      <c r="AJ4614">
        <v>96.308211238962997</v>
      </c>
      <c r="AK4614">
        <v>54.476997421277801</v>
      </c>
      <c r="AL4614">
        <v>83.891798735459403</v>
      </c>
      <c r="AM4614">
        <v>103.17313299417999</v>
      </c>
      <c r="AN4614">
        <v>1.0000000107625999</v>
      </c>
    </row>
    <row r="4615" spans="1:40" x14ac:dyDescent="0.25">
      <c r="A4615" t="str">
        <f>"20190303162001755"</f>
        <v>20190303162001755</v>
      </c>
      <c r="B4615" t="str">
        <f>"1551601201747144"</f>
        <v>1551601201747144</v>
      </c>
      <c r="C4615" t="s">
        <v>40</v>
      </c>
      <c r="D4615">
        <v>4.6244740000000002</v>
      </c>
      <c r="E4615">
        <v>0.54220630000000003</v>
      </c>
      <c r="F4615" t="s">
        <v>41</v>
      </c>
      <c r="G4615">
        <v>-478.96359999999999</v>
      </c>
      <c r="H4615">
        <v>7.9986039999999994E-2</v>
      </c>
      <c r="I4615">
        <v>186.79470000000001</v>
      </c>
      <c r="J4615">
        <v>-491.70670000000001</v>
      </c>
      <c r="K4615">
        <v>1.124223</v>
      </c>
      <c r="L4615">
        <v>235.38149999999999</v>
      </c>
      <c r="M4615">
        <v>0.1477716</v>
      </c>
      <c r="N4615">
        <v>-1.073442E-2</v>
      </c>
      <c r="O4615">
        <v>-0.98896320000000004</v>
      </c>
      <c r="P4615">
        <v>0.36523539999999999</v>
      </c>
      <c r="Q4615">
        <v>9.7759940000000004E-2</v>
      </c>
      <c r="R4615">
        <v>-0.92576800000000004</v>
      </c>
      <c r="S4615">
        <v>0.77059940000000005</v>
      </c>
      <c r="T4615">
        <v>-6.2983269999999994E-2</v>
      </c>
      <c r="U4615">
        <v>-2.941605</v>
      </c>
      <c r="V4615">
        <v>-0.22521759999999999</v>
      </c>
      <c r="W4615">
        <v>0.1064813</v>
      </c>
      <c r="X4615">
        <v>0.96847240000000001</v>
      </c>
      <c r="Y4615">
        <v>-0.1076449</v>
      </c>
      <c r="Z4615">
        <v>1.0115870000000001E-2</v>
      </c>
      <c r="AA4615">
        <v>0.99413790000000002</v>
      </c>
      <c r="AB4615">
        <v>20</v>
      </c>
      <c r="AC4615">
        <v>12.7431</v>
      </c>
      <c r="AD4615">
        <v>-1.0442369600000001</v>
      </c>
      <c r="AE4615">
        <v>-48.586799999999897</v>
      </c>
      <c r="AF4615">
        <v>-5.4206778057698699</v>
      </c>
      <c r="AG4615">
        <v>-1.0442369600000001</v>
      </c>
      <c r="AH4615">
        <v>49.914932989123997</v>
      </c>
      <c r="AI4615">
        <v>91.191468678992095</v>
      </c>
      <c r="AJ4615">
        <v>96.197936171705194</v>
      </c>
      <c r="AK4615">
        <v>50.219266362735098</v>
      </c>
      <c r="AL4615">
        <v>83.887482769427095</v>
      </c>
      <c r="AM4615">
        <v>103.09141377749199</v>
      </c>
      <c r="AN4615">
        <v>1.0000000120806001</v>
      </c>
    </row>
    <row r="4616" spans="1:40" x14ac:dyDescent="0.25">
      <c r="A4616" t="str">
        <f>"20190303162001777"</f>
        <v>20190303162001777</v>
      </c>
      <c r="B4616" t="str">
        <f>"1551601201766663"</f>
        <v>1551601201766663</v>
      </c>
      <c r="C4616" t="s">
        <v>40</v>
      </c>
      <c r="D4616">
        <v>4.8491109999999997</v>
      </c>
      <c r="E4616">
        <v>0.54198500000000005</v>
      </c>
      <c r="F4616" t="s">
        <v>41</v>
      </c>
      <c r="G4616">
        <v>-479.19970000000001</v>
      </c>
      <c r="H4616">
        <v>7.9986429999999997E-2</v>
      </c>
      <c r="I4616">
        <v>188.1781</v>
      </c>
      <c r="J4616">
        <v>-491.67270000000002</v>
      </c>
      <c r="K4616">
        <v>1.1242350000000001</v>
      </c>
      <c r="L4616">
        <v>235.19839999999999</v>
      </c>
      <c r="M4616">
        <v>0.1533484</v>
      </c>
      <c r="N4616">
        <v>-1.0738009999999999E-2</v>
      </c>
      <c r="O4616">
        <v>-0.98811389999999999</v>
      </c>
      <c r="P4616">
        <v>0.36897920000000001</v>
      </c>
      <c r="Q4616">
        <v>9.7717170000000006E-2</v>
      </c>
      <c r="R4616">
        <v>-0.92428679999999996</v>
      </c>
      <c r="S4616">
        <v>0.7790222</v>
      </c>
      <c r="T4616">
        <v>-6.5042020000000006E-2</v>
      </c>
      <c r="U4616">
        <v>-2.94014</v>
      </c>
      <c r="V4616">
        <v>-0.2236728</v>
      </c>
      <c r="W4616">
        <v>0.1064529</v>
      </c>
      <c r="X4616">
        <v>0.96883339999999996</v>
      </c>
      <c r="Y4616">
        <v>-0.1048186</v>
      </c>
      <c r="Z4616">
        <v>1.077552E-2</v>
      </c>
      <c r="AA4616">
        <v>0.99443300000000001</v>
      </c>
      <c r="AB4616">
        <v>20</v>
      </c>
      <c r="AC4616">
        <v>12.473000000000001</v>
      </c>
      <c r="AD4616">
        <v>-1.0442485699999999</v>
      </c>
      <c r="AE4616">
        <v>-47.020299999999899</v>
      </c>
      <c r="AF4616">
        <v>-5.1121958256311304</v>
      </c>
      <c r="AG4616">
        <v>-1.0442485699999999</v>
      </c>
      <c r="AH4616">
        <v>48.354631538965201</v>
      </c>
      <c r="AI4616">
        <v>91.230291497240501</v>
      </c>
      <c r="AJ4616">
        <v>96.035061949202102</v>
      </c>
      <c r="AK4616">
        <v>48.635330702120598</v>
      </c>
      <c r="AL4616">
        <v>83.889118885128795</v>
      </c>
      <c r="AM4616">
        <v>102.999999182507</v>
      </c>
      <c r="AN4616">
        <v>0.99999994916690305</v>
      </c>
    </row>
    <row r="4617" spans="1:40" x14ac:dyDescent="0.25">
      <c r="A4617" t="str">
        <f>"20190303162001799"</f>
        <v>20190303162001799</v>
      </c>
      <c r="B4617" t="str">
        <f>"1551601201787159"</f>
        <v>1551601201787159</v>
      </c>
      <c r="C4617" t="s">
        <v>40</v>
      </c>
      <c r="D4617">
        <v>4.6109549999999997</v>
      </c>
      <c r="E4617">
        <v>0.48947580000000002</v>
      </c>
      <c r="F4617" t="s">
        <v>41</v>
      </c>
      <c r="G4617">
        <v>-478.99189999999999</v>
      </c>
      <c r="H4617">
        <v>7.9986450000000001E-2</v>
      </c>
      <c r="I4617">
        <v>188.20760000000001</v>
      </c>
      <c r="J4617">
        <v>-491.6354</v>
      </c>
      <c r="K4617">
        <v>1.124247</v>
      </c>
      <c r="L4617">
        <v>235.0033</v>
      </c>
      <c r="M4617">
        <v>0.1592906</v>
      </c>
      <c r="N4617">
        <v>-1.0741830000000001E-2</v>
      </c>
      <c r="O4617">
        <v>-0.98717339999999998</v>
      </c>
      <c r="P4617">
        <v>0.3732356</v>
      </c>
      <c r="Q4617">
        <v>9.7643939999999999E-2</v>
      </c>
      <c r="R4617">
        <v>-0.92258390000000001</v>
      </c>
      <c r="S4617">
        <v>0.79238889999999995</v>
      </c>
      <c r="T4617">
        <v>-6.5252180000000007E-2</v>
      </c>
      <c r="U4617">
        <v>-2.9363250000000001</v>
      </c>
      <c r="V4617">
        <v>-0.22230800000000001</v>
      </c>
      <c r="W4617">
        <v>0.10639220000000001</v>
      </c>
      <c r="X4617">
        <v>0.96915419999999997</v>
      </c>
      <c r="Y4617">
        <v>-0.10337929999999999</v>
      </c>
      <c r="Z4617">
        <v>1.0838459999999999E-2</v>
      </c>
      <c r="AA4617">
        <v>0.99458299999999999</v>
      </c>
      <c r="AB4617">
        <v>20</v>
      </c>
      <c r="AC4617">
        <v>12.6435</v>
      </c>
      <c r="AD4617">
        <v>-1.04426055</v>
      </c>
      <c r="AE4617">
        <v>-46.795699999999897</v>
      </c>
      <c r="AF4617">
        <v>-5.0251691505517604</v>
      </c>
      <c r="AG4617">
        <v>-1.04426055</v>
      </c>
      <c r="AH4617">
        <v>48.189873032342199</v>
      </c>
      <c r="AI4617">
        <v>91.234695805469002</v>
      </c>
      <c r="AJ4617">
        <v>95.953203514045796</v>
      </c>
      <c r="AK4617">
        <v>48.462425320666803</v>
      </c>
      <c r="AL4617">
        <v>83.892616946389694</v>
      </c>
      <c r="AM4617">
        <v>102.919212834239</v>
      </c>
      <c r="AN4617">
        <v>1.0000000052312299</v>
      </c>
    </row>
    <row r="4618" spans="1:40" x14ac:dyDescent="0.25">
      <c r="A4618" t="str">
        <f>"20190303162001824"</f>
        <v>20190303162001824</v>
      </c>
      <c r="B4618" t="str">
        <f>"1551601201806681"</f>
        <v>1551601201806681</v>
      </c>
      <c r="C4618" t="s">
        <v>40</v>
      </c>
      <c r="D4618">
        <v>4.5866480000000003</v>
      </c>
      <c r="E4618">
        <v>0.47409089999999998</v>
      </c>
      <c r="F4618" t="s">
        <v>44</v>
      </c>
      <c r="G4618">
        <v>-470.80869999999999</v>
      </c>
      <c r="H4618">
        <v>-0.05</v>
      </c>
      <c r="I4618">
        <v>186.6113</v>
      </c>
      <c r="J4618">
        <v>-491.59530000000001</v>
      </c>
      <c r="K4618">
        <v>1.124255</v>
      </c>
      <c r="L4618">
        <v>234.8006</v>
      </c>
      <c r="M4618">
        <v>0.165464</v>
      </c>
      <c r="N4618">
        <v>-1.074581E-2</v>
      </c>
      <c r="O4618">
        <v>-0.98615739999999996</v>
      </c>
      <c r="P4618">
        <v>0.37771919999999998</v>
      </c>
      <c r="Q4618">
        <v>9.7312410000000002E-2</v>
      </c>
      <c r="R4618">
        <v>-0.92079250000000001</v>
      </c>
      <c r="S4618">
        <v>1.19455</v>
      </c>
      <c r="T4618">
        <v>-6.7350859999999999E-2</v>
      </c>
      <c r="U4618">
        <v>-2.775604</v>
      </c>
      <c r="V4618">
        <v>-0.22095110000000001</v>
      </c>
      <c r="W4618">
        <v>0.106074</v>
      </c>
      <c r="X4618">
        <v>0.96949929999999995</v>
      </c>
      <c r="Y4618">
        <v>-0.23780419999999999</v>
      </c>
      <c r="Z4618">
        <v>1.203916E-2</v>
      </c>
      <c r="AA4618">
        <v>0.9712385</v>
      </c>
      <c r="AB4618">
        <v>20</v>
      </c>
      <c r="AC4618">
        <v>20.7866</v>
      </c>
      <c r="AD4618">
        <v>-1.1742549999999901</v>
      </c>
      <c r="AE4618">
        <v>-48.189300000000003</v>
      </c>
      <c r="AF4618">
        <v>-12.5197191691067</v>
      </c>
      <c r="AG4618">
        <v>-1.1742549999999901</v>
      </c>
      <c r="AH4618">
        <v>50.939104093950398</v>
      </c>
      <c r="AI4618">
        <v>91.282404238857296</v>
      </c>
      <c r="AJ4618">
        <v>103.808353597353</v>
      </c>
      <c r="AK4618">
        <v>52.468224372210599</v>
      </c>
      <c r="AL4618">
        <v>83.910952108984105</v>
      </c>
      <c r="AM4618">
        <v>102.838560411359</v>
      </c>
      <c r="AN4618">
        <v>0.99999998738384899</v>
      </c>
    </row>
    <row r="4619" spans="1:40" x14ac:dyDescent="0.25">
      <c r="A4619" t="str">
        <f>"20190303162001845"</f>
        <v>20190303162001845</v>
      </c>
      <c r="B4619" t="str">
        <f>"1551601201836936"</f>
        <v>1551601201836936</v>
      </c>
      <c r="C4619" t="s">
        <v>40</v>
      </c>
      <c r="D4619">
        <v>4.5965480000000003</v>
      </c>
      <c r="E4619">
        <v>0.46228429999999998</v>
      </c>
      <c r="F4619" t="s">
        <v>49</v>
      </c>
      <c r="G4619">
        <v>-475.60109999999997</v>
      </c>
      <c r="H4619">
        <v>7.999887E-2</v>
      </c>
      <c r="I4619">
        <v>201.83459999999999</v>
      </c>
      <c r="J4619">
        <v>-491.55770000000001</v>
      </c>
      <c r="K4619">
        <v>1.1242650000000001</v>
      </c>
      <c r="L4619">
        <v>234.6164</v>
      </c>
      <c r="M4619">
        <v>0.171074799999999</v>
      </c>
      <c r="N4619">
        <v>-1.0749409999999999E-2</v>
      </c>
      <c r="O4619">
        <v>-0.98519950000000001</v>
      </c>
      <c r="P4619">
        <v>0.38206770000000001</v>
      </c>
      <c r="Q4619">
        <v>9.7426090000000007E-2</v>
      </c>
      <c r="R4619">
        <v>-0.91898449999999998</v>
      </c>
      <c r="S4619">
        <v>1.3220209999999999</v>
      </c>
      <c r="T4619">
        <v>-8.6314559999999999E-2</v>
      </c>
      <c r="U4619">
        <v>-2.7248540000000001</v>
      </c>
      <c r="V4619">
        <v>-0.2200194</v>
      </c>
      <c r="W4619">
        <v>0.1061964</v>
      </c>
      <c r="X4619">
        <v>0.96969780000000005</v>
      </c>
      <c r="Y4619">
        <v>-0.2760184</v>
      </c>
      <c r="Z4619">
        <v>1.8424869999999999E-2</v>
      </c>
      <c r="AA4619">
        <v>0.96097569999999999</v>
      </c>
      <c r="AB4619">
        <v>20</v>
      </c>
      <c r="AC4619">
        <v>15.9566</v>
      </c>
      <c r="AD4619">
        <v>-1.04426613</v>
      </c>
      <c r="AE4619">
        <v>-32.781799999999997</v>
      </c>
      <c r="AF4619">
        <v>-10.1045882252774</v>
      </c>
      <c r="AG4619">
        <v>-1.04426613</v>
      </c>
      <c r="AH4619">
        <v>34.999692698681002</v>
      </c>
      <c r="AI4619">
        <v>91.641973574396701</v>
      </c>
      <c r="AJ4619">
        <v>106.103696211882</v>
      </c>
      <c r="AK4619">
        <v>36.444089835730402</v>
      </c>
      <c r="AL4619">
        <v>83.903899453492102</v>
      </c>
      <c r="AM4619">
        <v>102.783674937193</v>
      </c>
      <c r="AN4619">
        <v>1.00000001753708</v>
      </c>
    </row>
    <row r="4620" spans="1:40" x14ac:dyDescent="0.25">
      <c r="A4620" t="str">
        <f>"20190303162001869"</f>
        <v>20190303162001869</v>
      </c>
      <c r="B4620" t="str">
        <f>"1551601201856456"</f>
        <v>1551601201856456</v>
      </c>
      <c r="C4620" t="s">
        <v>40</v>
      </c>
      <c r="D4620">
        <v>4.5732670000000004</v>
      </c>
      <c r="E4620">
        <v>0.45927760000000001</v>
      </c>
      <c r="F4620" t="s">
        <v>49</v>
      </c>
      <c r="G4620">
        <v>-478.24599999999998</v>
      </c>
      <c r="H4620" s="1">
        <v>2.0707159999999999E-6</v>
      </c>
      <c r="I4620">
        <v>209.476</v>
      </c>
      <c r="J4620">
        <v>-491.5163</v>
      </c>
      <c r="K4620">
        <v>1.1242730000000001</v>
      </c>
      <c r="L4620">
        <v>234.41990000000001</v>
      </c>
      <c r="M4620">
        <v>0.177057299999999</v>
      </c>
      <c r="N4620">
        <v>-1.075312E-2</v>
      </c>
      <c r="O4620">
        <v>-0.98414170000000001</v>
      </c>
      <c r="P4620">
        <v>0.387486</v>
      </c>
      <c r="Q4620">
        <v>9.7336110000000003E-2</v>
      </c>
      <c r="R4620">
        <v>-0.9167227</v>
      </c>
      <c r="S4620">
        <v>1.42218</v>
      </c>
      <c r="T4620">
        <v>-0.12011280000000001</v>
      </c>
      <c r="U4620">
        <v>-2.6859130000000002</v>
      </c>
      <c r="V4620">
        <v>-0.2198513</v>
      </c>
      <c r="W4620">
        <v>0.1061082</v>
      </c>
      <c r="X4620">
        <v>0.96974559999999999</v>
      </c>
      <c r="Y4620">
        <v>-0.30378280000000002</v>
      </c>
      <c r="Z4620">
        <v>2.967405E-2</v>
      </c>
      <c r="AA4620">
        <v>0.95227910000000004</v>
      </c>
      <c r="AB4620">
        <v>20</v>
      </c>
      <c r="AC4620">
        <v>13.270300000000001</v>
      </c>
      <c r="AD4620">
        <v>-1.1242709292840001</v>
      </c>
      <c r="AE4620">
        <v>-24.943899999999999</v>
      </c>
      <c r="AF4620">
        <v>-8.6301920287254195</v>
      </c>
      <c r="AG4620">
        <v>-1.1242709292840001</v>
      </c>
      <c r="AH4620">
        <v>26.8569695970555</v>
      </c>
      <c r="AI4620">
        <v>92.282275837572897</v>
      </c>
      <c r="AJ4620">
        <v>107.81423783568</v>
      </c>
      <c r="AK4620">
        <v>28.231914839632701</v>
      </c>
      <c r="AL4620">
        <v>83.908981771950707</v>
      </c>
      <c r="AM4620">
        <v>102.77361948687199</v>
      </c>
      <c r="AN4620">
        <v>1.0000000364691399</v>
      </c>
    </row>
    <row r="4621" spans="1:40" x14ac:dyDescent="0.25">
      <c r="A4621" t="str">
        <f>"20190303162001888"</f>
        <v>20190303162001888</v>
      </c>
      <c r="B4621" t="str">
        <f>"1551601201876951"</f>
        <v>1551601201876951</v>
      </c>
      <c r="C4621" t="s">
        <v>40</v>
      </c>
      <c r="D4621">
        <v>4.5054879999999997</v>
      </c>
      <c r="E4621">
        <v>0.45800249999999998</v>
      </c>
      <c r="F4621" t="s">
        <v>49</v>
      </c>
      <c r="G4621">
        <v>-478.93079999999998</v>
      </c>
      <c r="H4621" s="1">
        <v>1.858597E-6</v>
      </c>
      <c r="I4621">
        <v>211.4265</v>
      </c>
      <c r="J4621">
        <v>-491.47879999999998</v>
      </c>
      <c r="K4621">
        <v>1.1242780000000001</v>
      </c>
      <c r="L4621">
        <v>234.2466</v>
      </c>
      <c r="M4621">
        <v>0.18232989999999999</v>
      </c>
      <c r="N4621">
        <v>-1.075633E-2</v>
      </c>
      <c r="O4621">
        <v>-0.98317860000000001</v>
      </c>
      <c r="P4621">
        <v>0.39222780000000002</v>
      </c>
      <c r="Q4621">
        <v>9.6854750000000003E-2</v>
      </c>
      <c r="R4621">
        <v>-0.91475499999999998</v>
      </c>
      <c r="S4621">
        <v>1.4608460000000001</v>
      </c>
      <c r="T4621">
        <v>-0.1304978</v>
      </c>
      <c r="U4621">
        <v>-2.6689150000000001</v>
      </c>
      <c r="V4621">
        <v>-0.21966330000000001</v>
      </c>
      <c r="W4621">
        <v>0.1056293</v>
      </c>
      <c r="X4621">
        <v>0.96984049999999999</v>
      </c>
      <c r="Y4621">
        <v>-0.31179059999999997</v>
      </c>
      <c r="Z4621">
        <v>3.3128240000000003E-2</v>
      </c>
      <c r="AA4621">
        <v>0.94957320000000001</v>
      </c>
      <c r="AB4621">
        <v>20</v>
      </c>
      <c r="AC4621">
        <v>12.548</v>
      </c>
      <c r="AD4621">
        <v>-1.124276141403</v>
      </c>
      <c r="AE4621">
        <v>-22.8201</v>
      </c>
      <c r="AF4621">
        <v>-8.16140071824689</v>
      </c>
      <c r="AG4621">
        <v>-1.124276141403</v>
      </c>
      <c r="AH4621">
        <v>24.679543398441801</v>
      </c>
      <c r="AI4621">
        <v>92.476576971277893</v>
      </c>
      <c r="AJ4621">
        <v>108.29879062886999</v>
      </c>
      <c r="AK4621">
        <v>26.018307417691499</v>
      </c>
      <c r="AL4621">
        <v>83.936575907584896</v>
      </c>
      <c r="AM4621">
        <v>102.76184640136699</v>
      </c>
      <c r="AN4621">
        <v>1.0000000549128101</v>
      </c>
    </row>
    <row r="4622" spans="1:40" x14ac:dyDescent="0.25">
      <c r="A4622" t="str">
        <f>"20190303162001913"</f>
        <v>20190303162001913</v>
      </c>
      <c r="B4622" t="str">
        <f>"1551601201907207"</f>
        <v>1551601201907207</v>
      </c>
      <c r="C4622" t="s">
        <v>40</v>
      </c>
      <c r="D4622">
        <v>4.480429</v>
      </c>
      <c r="E4622">
        <v>0.45660580000000001</v>
      </c>
      <c r="F4622" t="s">
        <v>49</v>
      </c>
      <c r="G4622">
        <v>-479.4873</v>
      </c>
      <c r="H4622" s="1">
        <v>1.6702820000000001E-6</v>
      </c>
      <c r="I4622">
        <v>212.76480000000001</v>
      </c>
      <c r="J4622">
        <v>-491.43389999999999</v>
      </c>
      <c r="K4622">
        <v>1.1242829999999999</v>
      </c>
      <c r="L4622">
        <v>234.04519999999999</v>
      </c>
      <c r="M4622">
        <v>0.18845590000000001</v>
      </c>
      <c r="N4622">
        <v>-1.0759980000000001E-2</v>
      </c>
      <c r="O4622">
        <v>-0.98202279999999997</v>
      </c>
      <c r="P4622">
        <v>0.3986691</v>
      </c>
      <c r="Q4622">
        <v>9.587598E-2</v>
      </c>
      <c r="R4622">
        <v>-0.91206969999999998</v>
      </c>
      <c r="S4622">
        <v>1.483765</v>
      </c>
      <c r="T4622">
        <v>-0.13911219999999999</v>
      </c>
      <c r="U4622">
        <v>-2.6580509999999999</v>
      </c>
      <c r="V4622">
        <v>-0.2204313</v>
      </c>
      <c r="W4622">
        <v>0.1046448</v>
      </c>
      <c r="X4622">
        <v>0.96977290000000005</v>
      </c>
      <c r="Y4622">
        <v>-0.31371169999999998</v>
      </c>
      <c r="Z4622">
        <v>3.5986190000000001E-2</v>
      </c>
      <c r="AA4622">
        <v>0.94883609999999896</v>
      </c>
      <c r="AB4622">
        <v>20</v>
      </c>
      <c r="AC4622">
        <v>11.946599999999901</v>
      </c>
      <c r="AD4622">
        <v>-1.1242813297180001</v>
      </c>
      <c r="AE4622">
        <v>-21.280399999999901</v>
      </c>
      <c r="AF4622">
        <v>-7.7055093504922496</v>
      </c>
      <c r="AG4622">
        <v>-1.1242813297180001</v>
      </c>
      <c r="AH4622">
        <v>23.101554267142799</v>
      </c>
      <c r="AI4622">
        <v>92.643268432530107</v>
      </c>
      <c r="AJ4622">
        <v>108.446089359436</v>
      </c>
      <c r="AK4622">
        <v>24.378693410776201</v>
      </c>
      <c r="AL4622">
        <v>83.993297547855306</v>
      </c>
      <c r="AM4622">
        <v>102.805859773915</v>
      </c>
      <c r="AN4622">
        <v>0.99999998488056896</v>
      </c>
    </row>
    <row r="4623" spans="1:40" x14ac:dyDescent="0.25">
      <c r="A4623" t="str">
        <f>"20190303162001933"</f>
        <v>20190303162001933</v>
      </c>
      <c r="B4623" t="str">
        <f>"1551601201926728"</f>
        <v>1551601201926728</v>
      </c>
      <c r="C4623" t="s">
        <v>40</v>
      </c>
      <c r="D4623">
        <v>4.5378339999999904</v>
      </c>
      <c r="E4623">
        <v>0.45607160000000002</v>
      </c>
      <c r="F4623" t="s">
        <v>49</v>
      </c>
      <c r="G4623">
        <v>-479.88889999999998</v>
      </c>
      <c r="H4623" s="1">
        <v>1.5407699999999999E-6</v>
      </c>
      <c r="I4623">
        <v>213.87639999999999</v>
      </c>
      <c r="J4623">
        <v>-491.39240000000001</v>
      </c>
      <c r="K4623">
        <v>1.124285</v>
      </c>
      <c r="L4623">
        <v>233.86359999999999</v>
      </c>
      <c r="M4623">
        <v>0.19396869999999999</v>
      </c>
      <c r="N4623">
        <v>-1.076296E-2</v>
      </c>
      <c r="O4623">
        <v>-0.98094879999999995</v>
      </c>
      <c r="P4623">
        <v>0.40541500000000003</v>
      </c>
      <c r="Q4623">
        <v>9.6063510000000005E-2</v>
      </c>
      <c r="R4623">
        <v>-0.90907130000000003</v>
      </c>
      <c r="S4623">
        <v>1.5130920000000001</v>
      </c>
      <c r="T4623">
        <v>-0.147348799999999</v>
      </c>
      <c r="U4623">
        <v>-2.6433260000000001</v>
      </c>
      <c r="V4623">
        <v>-0.2221757</v>
      </c>
      <c r="W4623">
        <v>0.10481790000000001</v>
      </c>
      <c r="X4623">
        <v>0.96935610000000005</v>
      </c>
      <c r="Y4623">
        <v>-0.31853150000000002</v>
      </c>
      <c r="Z4623">
        <v>3.8731160000000001E-2</v>
      </c>
      <c r="AA4623">
        <v>0.94712070000000004</v>
      </c>
      <c r="AB4623">
        <v>20</v>
      </c>
      <c r="AC4623">
        <v>11.503500000000001</v>
      </c>
      <c r="AD4623">
        <v>-1.1242834592299999</v>
      </c>
      <c r="AE4623">
        <v>-19.987200000000001</v>
      </c>
      <c r="AF4623">
        <v>-7.3903163716233298</v>
      </c>
      <c r="AG4623">
        <v>-1.1242834592299999</v>
      </c>
      <c r="AH4623">
        <v>21.787217761153801</v>
      </c>
      <c r="AI4623">
        <v>92.797707474846803</v>
      </c>
      <c r="AJ4623">
        <v>108.737153467737</v>
      </c>
      <c r="AK4623">
        <v>23.033967247118301</v>
      </c>
      <c r="AL4623">
        <v>83.983325143872605</v>
      </c>
      <c r="AM4623">
        <v>102.909182893885</v>
      </c>
      <c r="AN4623">
        <v>1.00000004121905</v>
      </c>
    </row>
    <row r="4624" spans="1:40" x14ac:dyDescent="0.25">
      <c r="A4624" t="str">
        <f>"20190303162001956"</f>
        <v>20190303162001956</v>
      </c>
      <c r="B4624" t="str">
        <f>"1551601201947223"</f>
        <v>1551601201947223</v>
      </c>
      <c r="C4624" t="s">
        <v>40</v>
      </c>
      <c r="D4624">
        <v>4.5525969999999996</v>
      </c>
      <c r="E4624">
        <v>0.45553909999999997</v>
      </c>
      <c r="F4624" t="s">
        <v>49</v>
      </c>
      <c r="G4624">
        <v>-479.99349999999998</v>
      </c>
      <c r="H4624" s="1">
        <v>1.536583E-6</v>
      </c>
      <c r="I4624">
        <v>214.334</v>
      </c>
      <c r="J4624">
        <v>-491.34649999999999</v>
      </c>
      <c r="K4624">
        <v>1.1242840000000001</v>
      </c>
      <c r="L4624">
        <v>233.66810000000001</v>
      </c>
      <c r="M4624">
        <v>0.19988700000000001</v>
      </c>
      <c r="N4624">
        <v>-1.0765759999999999E-2</v>
      </c>
      <c r="O4624">
        <v>-0.97975999999999996</v>
      </c>
      <c r="P4624">
        <v>0.41283310000000001</v>
      </c>
      <c r="Q4624">
        <v>9.6893770000000004E-2</v>
      </c>
      <c r="R4624">
        <v>-0.90563850000000001</v>
      </c>
      <c r="S4624">
        <v>1.535736</v>
      </c>
      <c r="T4624">
        <v>-0.15147079999999999</v>
      </c>
      <c r="U4624">
        <v>-2.6311490000000002</v>
      </c>
      <c r="V4624">
        <v>-0.22427320000000001</v>
      </c>
      <c r="W4624">
        <v>0.10563019999999999</v>
      </c>
      <c r="X4624">
        <v>0.96878470000000005</v>
      </c>
      <c r="Y4624">
        <v>-0.32076840000000001</v>
      </c>
      <c r="Z4624">
        <v>4.0108890000000001E-2</v>
      </c>
      <c r="AA4624">
        <v>0.94630809999999999</v>
      </c>
      <c r="AB4624">
        <v>20</v>
      </c>
      <c r="AC4624">
        <v>11.353</v>
      </c>
      <c r="AD4624">
        <v>-1.1242824634170001</v>
      </c>
      <c r="AE4624">
        <v>-19.334099999999999</v>
      </c>
      <c r="AF4624">
        <v>-7.2407927202301403</v>
      </c>
      <c r="AG4624">
        <v>-1.1242824634170001</v>
      </c>
      <c r="AH4624">
        <v>21.160114212920501</v>
      </c>
      <c r="AI4624">
        <v>92.877860127327594</v>
      </c>
      <c r="AJ4624">
        <v>108.890465724202</v>
      </c>
      <c r="AK4624">
        <v>22.392934684375899</v>
      </c>
      <c r="AL4624">
        <v>83.936523724200697</v>
      </c>
      <c r="AM4624">
        <v>103.034337680242</v>
      </c>
      <c r="AN4624">
        <v>1.0000000011721799</v>
      </c>
    </row>
    <row r="4625" spans="1:40" x14ac:dyDescent="0.25">
      <c r="A4625" t="str">
        <f>"20190303162001979"</f>
        <v>20190303162001979</v>
      </c>
      <c r="B4625" t="str">
        <f>"1551601201966744"</f>
        <v>1551601201966744</v>
      </c>
      <c r="C4625" t="s">
        <v>40</v>
      </c>
      <c r="D4625">
        <v>4.5007449999999896</v>
      </c>
      <c r="E4625">
        <v>0.4554088</v>
      </c>
      <c r="F4625" t="s">
        <v>49</v>
      </c>
      <c r="G4625">
        <v>-479.685</v>
      </c>
      <c r="H4625" s="1">
        <v>1.6417319999999999E-6</v>
      </c>
      <c r="I4625">
        <v>214.1173</v>
      </c>
      <c r="J4625">
        <v>-491.30180000000001</v>
      </c>
      <c r="K4625">
        <v>1.124282</v>
      </c>
      <c r="L4625">
        <v>233.48230000000001</v>
      </c>
      <c r="M4625">
        <v>0.2054947</v>
      </c>
      <c r="N4625">
        <v>-1.076801E-2</v>
      </c>
      <c r="O4625">
        <v>-0.9785992</v>
      </c>
      <c r="P4625">
        <v>0.41864000000000001</v>
      </c>
      <c r="Q4625">
        <v>9.8704959999999994E-2</v>
      </c>
      <c r="R4625">
        <v>-0.90277260000000004</v>
      </c>
      <c r="S4625">
        <v>1.561005</v>
      </c>
      <c r="T4625">
        <v>-0.15049609999999999</v>
      </c>
      <c r="U4625">
        <v>-2.6170650000000002</v>
      </c>
      <c r="V4625">
        <v>-0.224999</v>
      </c>
      <c r="W4625">
        <v>0.10743759999999999</v>
      </c>
      <c r="X4625">
        <v>0.96841759999999999</v>
      </c>
      <c r="Y4625">
        <v>-0.32433020000000001</v>
      </c>
      <c r="Z4625">
        <v>3.980682E-2</v>
      </c>
      <c r="AA4625">
        <v>0.945106</v>
      </c>
      <c r="AB4625">
        <v>20</v>
      </c>
      <c r="AC4625">
        <v>11.6168</v>
      </c>
      <c r="AD4625">
        <v>-1.1242803582680001</v>
      </c>
      <c r="AE4625">
        <v>-19.364999999999998</v>
      </c>
      <c r="AF4625">
        <v>-7.3709430441525496</v>
      </c>
      <c r="AG4625">
        <v>-1.1242803582680001</v>
      </c>
      <c r="AH4625">
        <v>21.286235492253301</v>
      </c>
      <c r="AI4625">
        <v>92.857241773229802</v>
      </c>
      <c r="AJ4625">
        <v>109.09981523013001</v>
      </c>
      <c r="AK4625">
        <v>22.554348341634601</v>
      </c>
      <c r="AL4625">
        <v>83.832374716288598</v>
      </c>
      <c r="AM4625">
        <v>103.079858743199</v>
      </c>
      <c r="AN4625">
        <v>1.0000000179422599</v>
      </c>
    </row>
    <row r="4626" spans="1:40" x14ac:dyDescent="0.25">
      <c r="A4626" t="str">
        <f>"20190303162002003"</f>
        <v>20190303162002003</v>
      </c>
      <c r="B4626" t="str">
        <f>"1551601201996999"</f>
        <v>1551601201996999</v>
      </c>
      <c r="C4626" t="s">
        <v>40</v>
      </c>
      <c r="D4626">
        <v>4.475848</v>
      </c>
      <c r="E4626">
        <v>0.45546910000000002</v>
      </c>
      <c r="F4626" t="s">
        <v>49</v>
      </c>
      <c r="G4626">
        <v>-479.08710000000002</v>
      </c>
      <c r="H4626" s="1">
        <v>1.87235E-6</v>
      </c>
      <c r="I4626">
        <v>213.32759999999999</v>
      </c>
      <c r="J4626">
        <v>-491.25080000000003</v>
      </c>
      <c r="K4626">
        <v>1.124282</v>
      </c>
      <c r="L4626">
        <v>233.27549999999999</v>
      </c>
      <c r="M4626">
        <v>0.21171209999999999</v>
      </c>
      <c r="N4626">
        <v>-1.077036E-2</v>
      </c>
      <c r="O4626">
        <v>-0.97727269999999999</v>
      </c>
      <c r="P4626">
        <v>0.42397889999999999</v>
      </c>
      <c r="Q4626">
        <v>0.1003737</v>
      </c>
      <c r="R4626">
        <v>-0.90009309999999998</v>
      </c>
      <c r="S4626">
        <v>1.5796509999999999</v>
      </c>
      <c r="T4626">
        <v>-0.1453962</v>
      </c>
      <c r="U4626">
        <v>-2.6064759999999998</v>
      </c>
      <c r="V4626">
        <v>-0.22462660000000001</v>
      </c>
      <c r="W4626">
        <v>0.1091147</v>
      </c>
      <c r="X4626">
        <v>0.96831650000000002</v>
      </c>
      <c r="Y4626">
        <v>-0.325001599999999</v>
      </c>
      <c r="Z4626">
        <v>3.8122179999999999E-2</v>
      </c>
      <c r="AA4626">
        <v>0.94494480000000003</v>
      </c>
      <c r="AB4626">
        <v>20</v>
      </c>
      <c r="AC4626">
        <v>12.1637</v>
      </c>
      <c r="AD4626">
        <v>-1.1242801276500001</v>
      </c>
      <c r="AE4626">
        <v>-19.947900000000001</v>
      </c>
      <c r="AF4626">
        <v>-7.6467783219502099</v>
      </c>
      <c r="AG4626">
        <v>-1.1242801276500001</v>
      </c>
      <c r="AH4626">
        <v>22.020032593168299</v>
      </c>
      <c r="AI4626">
        <v>92.761333641939601</v>
      </c>
      <c r="AJ4626">
        <v>109.150305445111</v>
      </c>
      <c r="AK4626">
        <v>23.3370747934412</v>
      </c>
      <c r="AL4626">
        <v>83.735715479059493</v>
      </c>
      <c r="AM4626">
        <v>103.06026932150201</v>
      </c>
      <c r="AN4626">
        <v>0.99999998567794901</v>
      </c>
    </row>
    <row r="4627" spans="1:40" x14ac:dyDescent="0.25">
      <c r="A4627" t="str">
        <f>"20190303162002026"</f>
        <v>20190303162002026</v>
      </c>
      <c r="B4627" t="str">
        <f>"1551601202016520"</f>
        <v>1551601202016520</v>
      </c>
      <c r="C4627" t="s">
        <v>40</v>
      </c>
      <c r="D4627">
        <v>4.500839</v>
      </c>
      <c r="E4627">
        <v>0.4549221</v>
      </c>
      <c r="F4627" t="s">
        <v>49</v>
      </c>
      <c r="G4627">
        <v>-478.86079999999998</v>
      </c>
      <c r="H4627" s="1">
        <v>1.9629969999999998E-6</v>
      </c>
      <c r="I4627">
        <v>213.10550000000001</v>
      </c>
      <c r="J4627">
        <v>-491.20209999999997</v>
      </c>
      <c r="K4627">
        <v>1.124277</v>
      </c>
      <c r="L4627">
        <v>233.0831</v>
      </c>
      <c r="M4627">
        <v>0.21747810000000001</v>
      </c>
      <c r="N4627">
        <v>-1.077262E-2</v>
      </c>
      <c r="O4627">
        <v>-0.97600569999999998</v>
      </c>
      <c r="P4627">
        <v>0.4285755</v>
      </c>
      <c r="Q4627">
        <v>0.1009076</v>
      </c>
      <c r="R4627">
        <v>-0.89785329999999997</v>
      </c>
      <c r="S4627">
        <v>1.595612</v>
      </c>
      <c r="T4627">
        <v>-0.14478750000000001</v>
      </c>
      <c r="U4627">
        <v>-2.5975489999999999</v>
      </c>
      <c r="V4627">
        <v>-0.2238752</v>
      </c>
      <c r="W4627">
        <v>0.1096612</v>
      </c>
      <c r="X4627">
        <v>0.96842879999999998</v>
      </c>
      <c r="Y4627">
        <v>-0.3250884</v>
      </c>
      <c r="Z4627">
        <v>3.7917729999999997E-2</v>
      </c>
      <c r="AA4627">
        <v>0.94492319999999996</v>
      </c>
      <c r="AB4627">
        <v>20</v>
      </c>
      <c r="AC4627">
        <v>12.341299999999899</v>
      </c>
      <c r="AD4627">
        <v>-1.1242750370029999</v>
      </c>
      <c r="AE4627">
        <v>-19.977599999999899</v>
      </c>
      <c r="AF4627">
        <v>-7.6833235242510298</v>
      </c>
      <c r="AG4627">
        <v>-1.1242750370029999</v>
      </c>
      <c r="AH4627">
        <v>22.132767657302001</v>
      </c>
      <c r="AI4627">
        <v>92.747377735426397</v>
      </c>
      <c r="AJ4627">
        <v>109.144290309398</v>
      </c>
      <c r="AK4627">
        <v>23.455422803890201</v>
      </c>
      <c r="AL4627">
        <v>83.704214468687894</v>
      </c>
      <c r="AM4627">
        <v>103.01661361409801</v>
      </c>
      <c r="AN4627">
        <v>1.0000000123149599</v>
      </c>
    </row>
    <row r="4628" spans="1:40" x14ac:dyDescent="0.25">
      <c r="A4628" t="str">
        <f>"20190303162002049"</f>
        <v>20190303162002049</v>
      </c>
      <c r="B4628" t="str">
        <f>"1551601202037015"</f>
        <v>1551601202037015</v>
      </c>
      <c r="C4628" t="s">
        <v>40</v>
      </c>
      <c r="D4628">
        <v>4.3770759999999997</v>
      </c>
      <c r="E4628">
        <v>0.4056129</v>
      </c>
      <c r="F4628" t="s">
        <v>49</v>
      </c>
      <c r="G4628">
        <v>-478.74489999999997</v>
      </c>
      <c r="H4628" s="1">
        <v>2.0139950000000002E-6</v>
      </c>
      <c r="I4628">
        <v>213.09630000000001</v>
      </c>
      <c r="J4628">
        <v>-491.14960000000002</v>
      </c>
      <c r="K4628">
        <v>1.124266</v>
      </c>
      <c r="L4628">
        <v>232.88120000000001</v>
      </c>
      <c r="M4628">
        <v>0.2235087</v>
      </c>
      <c r="N4628">
        <v>-1.077492E-2</v>
      </c>
      <c r="O4628">
        <v>-0.97464240000000002</v>
      </c>
      <c r="P4628">
        <v>0.43275190000000002</v>
      </c>
      <c r="Q4628">
        <v>0.10105980000000001</v>
      </c>
      <c r="R4628">
        <v>-0.89583089999999999</v>
      </c>
      <c r="S4628">
        <v>1.6128849999999999</v>
      </c>
      <c r="T4628">
        <v>-0.14556479999999999</v>
      </c>
      <c r="U4628">
        <v>-2.5877840000000001</v>
      </c>
      <c r="V4628">
        <v>-0.22239900000000001</v>
      </c>
      <c r="W4628">
        <v>0.10983229999999999</v>
      </c>
      <c r="X4628">
        <v>0.96874950000000004</v>
      </c>
      <c r="Y4628">
        <v>-0.32538080000000003</v>
      </c>
      <c r="Z4628">
        <v>3.8171289999999997E-2</v>
      </c>
      <c r="AA4628">
        <v>0.94481230000000005</v>
      </c>
      <c r="AB4628">
        <v>20</v>
      </c>
      <c r="AC4628">
        <v>12.4047</v>
      </c>
      <c r="AD4628">
        <v>-1.1242639860050001</v>
      </c>
      <c r="AE4628">
        <v>-19.7849</v>
      </c>
      <c r="AF4628">
        <v>-7.6507609427003302</v>
      </c>
      <c r="AG4628">
        <v>-1.1242639860050001</v>
      </c>
      <c r="AH4628">
        <v>22.0060339471658</v>
      </c>
      <c r="AI4628">
        <v>92.762704157852397</v>
      </c>
      <c r="AJ4628">
        <v>109.170851128066</v>
      </c>
      <c r="AK4628">
        <v>23.325171866384899</v>
      </c>
      <c r="AL4628">
        <v>83.6943516433723</v>
      </c>
      <c r="AM4628">
        <v>102.929541466975</v>
      </c>
      <c r="AN4628">
        <v>1.00000002153726</v>
      </c>
    </row>
    <row r="4629" spans="1:40" x14ac:dyDescent="0.25">
      <c r="A4629" t="str">
        <f>"20190303162002070"</f>
        <v>20190303162002070</v>
      </c>
      <c r="B4629" t="str">
        <f>"1551601202057512"</f>
        <v>1551601202057512</v>
      </c>
      <c r="C4629" t="s">
        <v>40</v>
      </c>
      <c r="D4629">
        <v>4.4733049999999999</v>
      </c>
      <c r="E4629">
        <v>0.39164929999999998</v>
      </c>
      <c r="F4629" t="s">
        <v>42</v>
      </c>
      <c r="G4629">
        <v>-490.53460000000001</v>
      </c>
      <c r="H4629">
        <v>1.0624640000000001</v>
      </c>
      <c r="I4629">
        <v>232.1302</v>
      </c>
      <c r="J4629">
        <v>-491.10419999999999</v>
      </c>
      <c r="K4629">
        <v>1.124266</v>
      </c>
      <c r="L4629">
        <v>232.71019999999999</v>
      </c>
      <c r="M4629">
        <v>0.22860130000000001</v>
      </c>
      <c r="N4629">
        <v>-1.077701E-2</v>
      </c>
      <c r="O4629">
        <v>-0.97346049999999995</v>
      </c>
      <c r="P4629">
        <v>0.435562</v>
      </c>
      <c r="Q4629">
        <v>0.10123</v>
      </c>
      <c r="R4629">
        <v>-0.89444859999999904</v>
      </c>
      <c r="S4629">
        <v>1.979004</v>
      </c>
      <c r="T4629">
        <v>-0.19874169999999999</v>
      </c>
      <c r="U4629">
        <v>-2.4152979999999999</v>
      </c>
      <c r="V4629">
        <v>-0.2203783</v>
      </c>
      <c r="W4629">
        <v>0.1100247</v>
      </c>
      <c r="X4629">
        <v>0.96918930000000003</v>
      </c>
      <c r="Y4629">
        <v>-0.4390327</v>
      </c>
      <c r="Z4629">
        <v>5.5298409999999999E-2</v>
      </c>
      <c r="AA4629">
        <v>0.89676769999999995</v>
      </c>
      <c r="AB4629">
        <v>20</v>
      </c>
      <c r="AC4629">
        <v>0.56959999999997901</v>
      </c>
      <c r="AD4629">
        <v>-6.18020000000001E-2</v>
      </c>
      <c r="AE4629">
        <v>-0.57999999999998397</v>
      </c>
      <c r="AF4629">
        <v>-0.41949428495918301</v>
      </c>
      <c r="AG4629">
        <v>-6.18020000000001E-2</v>
      </c>
      <c r="AH4629">
        <v>0.69086572527380696</v>
      </c>
      <c r="AI4629">
        <v>94.372544542258495</v>
      </c>
      <c r="AJ4629">
        <v>121.266161212737</v>
      </c>
      <c r="AK4629">
        <v>0.81061112296558102</v>
      </c>
      <c r="AL4629">
        <v>83.683260357145301</v>
      </c>
      <c r="AM4629">
        <v>102.810337246191</v>
      </c>
      <c r="AN4629">
        <v>0.99999996447773398</v>
      </c>
    </row>
    <row r="4630" spans="1:40" x14ac:dyDescent="0.25">
      <c r="A4630" t="str">
        <f>"20190303162002090"</f>
        <v>20190303162002090</v>
      </c>
      <c r="B4630" t="str">
        <f>"1551601202086792"</f>
        <v>1551601202086792</v>
      </c>
      <c r="C4630" t="s">
        <v>40</v>
      </c>
      <c r="D4630">
        <v>4.3957680000000003</v>
      </c>
      <c r="E4630">
        <v>0.38586369999999998</v>
      </c>
      <c r="F4630" t="s">
        <v>42</v>
      </c>
      <c r="G4630">
        <v>-490.45699999999999</v>
      </c>
      <c r="H4630">
        <v>1.0583640000000001</v>
      </c>
      <c r="I4630">
        <v>231.9777</v>
      </c>
      <c r="J4630">
        <v>-491.05470000000003</v>
      </c>
      <c r="K4630">
        <v>1.124268</v>
      </c>
      <c r="L4630">
        <v>232.52760000000001</v>
      </c>
      <c r="M4630">
        <v>0.23402800000000001</v>
      </c>
      <c r="N4630">
        <v>-1.077936E-2</v>
      </c>
      <c r="O4630">
        <v>-0.97217019999999998</v>
      </c>
      <c r="P4630">
        <v>0.43907439999999998</v>
      </c>
      <c r="Q4630">
        <v>0.1015847</v>
      </c>
      <c r="R4630">
        <v>-0.89268919999999996</v>
      </c>
      <c r="S4630">
        <v>2.0872799999999998</v>
      </c>
      <c r="T4630">
        <v>-0.21245459999999999</v>
      </c>
      <c r="U4630">
        <v>-2.3616329999999999</v>
      </c>
      <c r="V4630">
        <v>-0.21879170000000001</v>
      </c>
      <c r="W4630">
        <v>0.1103958</v>
      </c>
      <c r="X4630">
        <v>0.9695066</v>
      </c>
      <c r="Y4630">
        <v>-0.46713559999999998</v>
      </c>
      <c r="Z4630">
        <v>5.9463679999999998E-2</v>
      </c>
      <c r="AA4630">
        <v>0.88218390000000002</v>
      </c>
      <c r="AB4630">
        <v>20</v>
      </c>
      <c r="AC4630">
        <v>0.59770000000003098</v>
      </c>
      <c r="AD4630">
        <v>-6.5904000000000101E-2</v>
      </c>
      <c r="AE4630">
        <v>-0.54990000000000705</v>
      </c>
      <c r="AF4630">
        <v>-0.44944104757326298</v>
      </c>
      <c r="AG4630">
        <v>-6.5904000000000101E-2</v>
      </c>
      <c r="AH4630">
        <v>0.67010179729983199</v>
      </c>
      <c r="AI4630">
        <v>94.669492373802299</v>
      </c>
      <c r="AJ4630">
        <v>123.84997974647101</v>
      </c>
      <c r="AK4630">
        <v>0.80955358760505602</v>
      </c>
      <c r="AL4630">
        <v>83.661868080347105</v>
      </c>
      <c r="AM4630">
        <v>102.717093548338</v>
      </c>
      <c r="AN4630">
        <v>1.0000000440450401</v>
      </c>
    </row>
    <row r="4631" spans="1:40" x14ac:dyDescent="0.25">
      <c r="A4631" t="str">
        <f>"20190303162002113"</f>
        <v>20190303162002113</v>
      </c>
      <c r="B4631" t="str">
        <f>"1551601202107288"</f>
        <v>1551601202107288</v>
      </c>
      <c r="C4631" t="s">
        <v>40</v>
      </c>
      <c r="D4631">
        <v>4.3937660000000003</v>
      </c>
      <c r="E4631">
        <v>0.38498399999999999</v>
      </c>
      <c r="F4631" t="s">
        <v>42</v>
      </c>
      <c r="G4631">
        <v>-490.4006</v>
      </c>
      <c r="H4631">
        <v>1.0591330000000001</v>
      </c>
      <c r="I4631">
        <v>231.81370000000001</v>
      </c>
      <c r="J4631">
        <v>-491.00229999999999</v>
      </c>
      <c r="K4631">
        <v>1.124277</v>
      </c>
      <c r="L4631">
        <v>232.33920000000001</v>
      </c>
      <c r="M4631">
        <v>0.2396181</v>
      </c>
      <c r="N4631">
        <v>-1.0781900000000001E-2</v>
      </c>
      <c r="O4631">
        <v>-0.97080750000000005</v>
      </c>
      <c r="P4631">
        <v>0.44372790000000001</v>
      </c>
      <c r="Q4631">
        <v>0.10128819999999999</v>
      </c>
      <c r="R4631">
        <v>-0.89041949999999903</v>
      </c>
      <c r="S4631">
        <v>2.1379700000000001</v>
      </c>
      <c r="T4631">
        <v>-0.21286759999999999</v>
      </c>
      <c r="U4631">
        <v>-2.3332519999999999</v>
      </c>
      <c r="V4631">
        <v>-0.21826290000000001</v>
      </c>
      <c r="W4631">
        <v>0.1101062</v>
      </c>
      <c r="X4631">
        <v>0.96965869999999998</v>
      </c>
      <c r="Y4631">
        <v>-0.47784130000000002</v>
      </c>
      <c r="Z4631">
        <v>5.9467779999999998E-2</v>
      </c>
      <c r="AA4631">
        <v>0.87643099999999996</v>
      </c>
      <c r="AB4631">
        <v>20</v>
      </c>
      <c r="AC4631">
        <v>0.60169999999999302</v>
      </c>
      <c r="AD4631">
        <v>-6.5143999999999799E-2</v>
      </c>
      <c r="AE4631">
        <v>-0.52549999999999297</v>
      </c>
      <c r="AF4631">
        <v>-0.45521512499532901</v>
      </c>
      <c r="AG4631">
        <v>-6.5143999999999799E-2</v>
      </c>
      <c r="AH4631">
        <v>0.65005289159507695</v>
      </c>
      <c r="AI4631">
        <v>94.692742048954102</v>
      </c>
      <c r="AJ4631">
        <v>125.002554308104</v>
      </c>
      <c r="AK4631">
        <v>0.79626208790299302</v>
      </c>
      <c r="AL4631">
        <v>83.678562632882404</v>
      </c>
      <c r="AM4631">
        <v>102.68542782226</v>
      </c>
      <c r="AN4631">
        <v>1.00000003164026</v>
      </c>
    </row>
    <row r="4632" spans="1:40" x14ac:dyDescent="0.25">
      <c r="A4632" t="str">
        <f>"20190303162002134"</f>
        <v>20190303162002134</v>
      </c>
      <c r="B4632" t="str">
        <f>"1551601202126808"</f>
        <v>1551601202126808</v>
      </c>
      <c r="C4632" t="s">
        <v>40</v>
      </c>
      <c r="D4632">
        <v>4.3990780000000003</v>
      </c>
      <c r="E4632">
        <v>0.38505270000000003</v>
      </c>
      <c r="F4632" t="s">
        <v>42</v>
      </c>
      <c r="G4632">
        <v>-490.35570000000001</v>
      </c>
      <c r="H4632">
        <v>1.0598590000000001</v>
      </c>
      <c r="I4632">
        <v>231.6439</v>
      </c>
      <c r="J4632">
        <v>-490.94940000000003</v>
      </c>
      <c r="K4632">
        <v>1.1242749999999999</v>
      </c>
      <c r="L4632">
        <v>232.1524</v>
      </c>
      <c r="M4632">
        <v>0.24514530000000001</v>
      </c>
      <c r="N4632">
        <v>-1.078439E-2</v>
      </c>
      <c r="O4632">
        <v>-0.96942640000000002</v>
      </c>
      <c r="P4632">
        <v>0.44942019999999999</v>
      </c>
      <c r="Q4632">
        <v>0.1019388</v>
      </c>
      <c r="R4632">
        <v>-0.88748490000000002</v>
      </c>
      <c r="S4632">
        <v>2.1562190000000001</v>
      </c>
      <c r="T4632">
        <v>-0.21487800000000001</v>
      </c>
      <c r="U4632">
        <v>-2.3190919999999999</v>
      </c>
      <c r="V4632">
        <v>-0.21897159999999999</v>
      </c>
      <c r="W4632">
        <v>0.11075119999999999</v>
      </c>
      <c r="X4632">
        <v>0.96942539999999999</v>
      </c>
      <c r="Y4632">
        <v>-0.479182</v>
      </c>
      <c r="Z4632">
        <v>6.0121550000000003E-2</v>
      </c>
      <c r="AA4632">
        <v>0.87565400000000004</v>
      </c>
      <c r="AB4632">
        <v>20</v>
      </c>
      <c r="AC4632">
        <v>0.593700000000012</v>
      </c>
      <c r="AD4632">
        <v>-6.4415999999999807E-2</v>
      </c>
      <c r="AE4632">
        <v>-0.50849999999999795</v>
      </c>
      <c r="AF4632">
        <v>-0.44787691446702899</v>
      </c>
      <c r="AG4632">
        <v>-6.4415999999999807E-2</v>
      </c>
      <c r="AH4632">
        <v>0.63422641057747398</v>
      </c>
      <c r="AI4632">
        <v>94.742671046452301</v>
      </c>
      <c r="AJ4632">
        <v>125.228907946669</v>
      </c>
      <c r="AK4632">
        <v>0.779093249516701</v>
      </c>
      <c r="AL4632">
        <v>83.641379230486095</v>
      </c>
      <c r="AM4632">
        <v>102.728240951994</v>
      </c>
      <c r="AN4632">
        <v>0.99999999803657902</v>
      </c>
    </row>
    <row r="4633" spans="1:40" x14ac:dyDescent="0.25">
      <c r="A4633" t="str">
        <f>"20190303162002158"</f>
        <v>20190303162002158</v>
      </c>
      <c r="B4633" t="str">
        <f>"1551601202147306"</f>
        <v>1551601202147306</v>
      </c>
      <c r="C4633" t="s">
        <v>40</v>
      </c>
      <c r="D4633">
        <v>4.38666</v>
      </c>
      <c r="E4633">
        <v>0.38495439999999997</v>
      </c>
      <c r="F4633" t="s">
        <v>42</v>
      </c>
      <c r="G4633">
        <v>-490.31060000000002</v>
      </c>
      <c r="H4633">
        <v>1.062441</v>
      </c>
      <c r="I4633">
        <v>231.4736</v>
      </c>
      <c r="J4633">
        <v>-490.89350000000002</v>
      </c>
      <c r="K4633">
        <v>1.1242730000000001</v>
      </c>
      <c r="L4633">
        <v>231.95959999999999</v>
      </c>
      <c r="M4633">
        <v>0.25083820000000001</v>
      </c>
      <c r="N4633">
        <v>-1.078691E-2</v>
      </c>
      <c r="O4633">
        <v>-0.96796910000000003</v>
      </c>
      <c r="P4633">
        <v>0.45541809999999999</v>
      </c>
      <c r="Q4633">
        <v>0.101522</v>
      </c>
      <c r="R4633">
        <v>-0.88447049999999905</v>
      </c>
      <c r="S4633">
        <v>2.1703190000000001</v>
      </c>
      <c r="T4633">
        <v>-0.21003150000000001</v>
      </c>
      <c r="U4633">
        <v>-2.3054049999999999</v>
      </c>
      <c r="V4633">
        <v>-0.2198232</v>
      </c>
      <c r="W4633">
        <v>0.110328</v>
      </c>
      <c r="X4633">
        <v>0.9692809</v>
      </c>
      <c r="Y4633">
        <v>-0.47952640000000002</v>
      </c>
      <c r="Z4633">
        <v>5.8591850000000001E-2</v>
      </c>
      <c r="AA4633">
        <v>0.87556919999999905</v>
      </c>
      <c r="AB4633">
        <v>20</v>
      </c>
      <c r="AC4633">
        <v>0.58289999999999498</v>
      </c>
      <c r="AD4633">
        <v>-6.1831999999999797E-2</v>
      </c>
      <c r="AE4633">
        <v>-0.48599999999999</v>
      </c>
      <c r="AF4633">
        <v>-0.43943060651848198</v>
      </c>
      <c r="AG4633">
        <v>-6.1831999999999797E-2</v>
      </c>
      <c r="AH4633">
        <v>0.61261588685800505</v>
      </c>
      <c r="AI4633">
        <v>94.688554326755806</v>
      </c>
      <c r="AJ4633">
        <v>125.65195012289701</v>
      </c>
      <c r="AK4633">
        <v>0.75645269448923302</v>
      </c>
      <c r="AL4633">
        <v>83.6657762336947</v>
      </c>
      <c r="AM4633">
        <v>102.777962686527</v>
      </c>
      <c r="AN4633">
        <v>0.99999998497352405</v>
      </c>
    </row>
    <row r="4634" spans="1:40" x14ac:dyDescent="0.25">
      <c r="A4634" t="str">
        <f>"20190303162002179"</f>
        <v>20190303162002179</v>
      </c>
      <c r="B4634" t="str">
        <f>"1551601202166824"</f>
        <v>1551601202166824</v>
      </c>
      <c r="C4634" t="s">
        <v>40</v>
      </c>
      <c r="D4634">
        <v>4.4441040000000003</v>
      </c>
      <c r="E4634">
        <v>0.38489709999999999</v>
      </c>
      <c r="F4634" t="s">
        <v>42</v>
      </c>
      <c r="G4634">
        <v>-490.26639999999998</v>
      </c>
      <c r="H4634">
        <v>1.0640889999999901</v>
      </c>
      <c r="I4634">
        <v>231.30250000000001</v>
      </c>
      <c r="J4634">
        <v>-490.8381</v>
      </c>
      <c r="K4634">
        <v>1.124271</v>
      </c>
      <c r="L4634">
        <v>231.77199999999999</v>
      </c>
      <c r="M4634">
        <v>0.25636930000000002</v>
      </c>
      <c r="N4634">
        <v>-1.0789399999999999E-2</v>
      </c>
      <c r="O4634">
        <v>-0.96651869999999995</v>
      </c>
      <c r="P4634">
        <v>0.46093849999999997</v>
      </c>
      <c r="Q4634">
        <v>0.10087930000000001</v>
      </c>
      <c r="R4634">
        <v>-0.88167980000000001</v>
      </c>
      <c r="S4634">
        <v>2.1862490000000001</v>
      </c>
      <c r="T4634">
        <v>-0.20975969999999999</v>
      </c>
      <c r="U4634">
        <v>-2.290222</v>
      </c>
      <c r="V4634">
        <v>-0.22031690000000001</v>
      </c>
      <c r="W4634">
        <v>0.109684</v>
      </c>
      <c r="X4634">
        <v>0.96924189999999999</v>
      </c>
      <c r="Y4634">
        <v>-0.48059839999999998</v>
      </c>
      <c r="Z4634">
        <v>5.8544310000000002E-2</v>
      </c>
      <c r="AA4634">
        <v>0.8749844</v>
      </c>
      <c r="AB4634">
        <v>20</v>
      </c>
      <c r="AC4634">
        <v>0.57170000000002097</v>
      </c>
      <c r="AD4634">
        <v>-6.0182000000000097E-2</v>
      </c>
      <c r="AE4634">
        <v>-0.46950000000001002</v>
      </c>
      <c r="AF4634">
        <v>-0.42937686518914298</v>
      </c>
      <c r="AG4634">
        <v>-6.0182000000000097E-2</v>
      </c>
      <c r="AH4634">
        <v>0.596434557504256</v>
      </c>
      <c r="AI4634">
        <v>94.681496656399801</v>
      </c>
      <c r="AJ4634">
        <v>125.75034314819899</v>
      </c>
      <c r="AK4634">
        <v>0.73737408882395195</v>
      </c>
      <c r="AL4634">
        <v>83.702900046356405</v>
      </c>
      <c r="AM4634">
        <v>102.806213746678</v>
      </c>
      <c r="AN4634">
        <v>0.99999998849860905</v>
      </c>
    </row>
    <row r="4635" spans="1:40" x14ac:dyDescent="0.25">
      <c r="A4635" t="str">
        <f>"20190303162002204"</f>
        <v>20190303162002204</v>
      </c>
      <c r="B4635" t="str">
        <f>"1551601202197080"</f>
        <v>1551601202197080</v>
      </c>
      <c r="C4635" t="s">
        <v>40</v>
      </c>
      <c r="D4635">
        <v>4.4665269999999904</v>
      </c>
      <c r="E4635">
        <v>0.3849823</v>
      </c>
      <c r="F4635" t="s">
        <v>42</v>
      </c>
      <c r="G4635">
        <v>-490.21980000000002</v>
      </c>
      <c r="H4635">
        <v>1.064926</v>
      </c>
      <c r="I4635">
        <v>231.13210000000001</v>
      </c>
      <c r="J4635">
        <v>-490.77609999999999</v>
      </c>
      <c r="K4635">
        <v>1.1242620000000001</v>
      </c>
      <c r="L4635">
        <v>231.5669</v>
      </c>
      <c r="M4635">
        <v>0.2624107</v>
      </c>
      <c r="N4635">
        <v>-1.0792309999999999E-2</v>
      </c>
      <c r="O4635">
        <v>-0.96489610000000003</v>
      </c>
      <c r="P4635">
        <v>0.4670994</v>
      </c>
      <c r="Q4635">
        <v>9.9529409999999999E-2</v>
      </c>
      <c r="R4635">
        <v>-0.87858519999999896</v>
      </c>
      <c r="S4635">
        <v>2.200958</v>
      </c>
      <c r="T4635">
        <v>-0.2110928</v>
      </c>
      <c r="U4635">
        <v>-2.2760929999999999</v>
      </c>
      <c r="V4635">
        <v>-0.22098950000000001</v>
      </c>
      <c r="W4635">
        <v>0.1083307</v>
      </c>
      <c r="X4635">
        <v>0.96924100000000002</v>
      </c>
      <c r="Y4635">
        <v>-0.48073199999999999</v>
      </c>
      <c r="Z4635">
        <v>5.9004979999999999E-2</v>
      </c>
      <c r="AA4635">
        <v>0.87488009999999905</v>
      </c>
      <c r="AB4635">
        <v>20</v>
      </c>
      <c r="AC4635">
        <v>0.55629999999996405</v>
      </c>
      <c r="AD4635">
        <v>-5.9336E-2</v>
      </c>
      <c r="AE4635">
        <v>-0.43479999999999502</v>
      </c>
      <c r="AF4635">
        <v>-0.41973572672049902</v>
      </c>
      <c r="AG4635">
        <v>-5.9336E-2</v>
      </c>
      <c r="AH4635">
        <v>0.56158260913055302</v>
      </c>
      <c r="AI4635">
        <v>94.837511363589201</v>
      </c>
      <c r="AJ4635">
        <v>126.775020004244</v>
      </c>
      <c r="AK4635">
        <v>0.70361485775917598</v>
      </c>
      <c r="AL4635">
        <v>83.780903378399302</v>
      </c>
      <c r="AM4635">
        <v>102.844026251171</v>
      </c>
      <c r="AN4635">
        <v>1.00000000787687</v>
      </c>
    </row>
    <row r="4636" spans="1:40" x14ac:dyDescent="0.25">
      <c r="A4636" t="str">
        <f>"20190303162002227"</f>
        <v>20190303162002227</v>
      </c>
      <c r="B4636" t="str">
        <f>"1551601202217577"</f>
        <v>1551601202217577</v>
      </c>
      <c r="C4636" t="s">
        <v>40</v>
      </c>
      <c r="D4636">
        <v>4.5203189999999998</v>
      </c>
      <c r="E4636">
        <v>0.38511990000000001</v>
      </c>
      <c r="F4636" t="s">
        <v>42</v>
      </c>
      <c r="G4636">
        <v>-490.16910000000001</v>
      </c>
      <c r="H4636">
        <v>1.0649230000000001</v>
      </c>
      <c r="I4636">
        <v>230.94730000000001</v>
      </c>
      <c r="J4636">
        <v>-490.71640000000002</v>
      </c>
      <c r="K4636">
        <v>1.12426</v>
      </c>
      <c r="L4636">
        <v>231.3734</v>
      </c>
      <c r="M4636">
        <v>0.26810309999999998</v>
      </c>
      <c r="N4636">
        <v>-1.079535E-2</v>
      </c>
      <c r="O4636">
        <v>-0.96333000000000002</v>
      </c>
      <c r="P4636">
        <v>0.47233890000000001</v>
      </c>
      <c r="Q4636">
        <v>9.8804039999999996E-2</v>
      </c>
      <c r="R4636">
        <v>-0.87586200000000003</v>
      </c>
      <c r="S4636">
        <v>2.2158199999999999</v>
      </c>
      <c r="T4636">
        <v>-0.2165504</v>
      </c>
      <c r="U4636">
        <v>-2.2610320000000002</v>
      </c>
      <c r="V4636">
        <v>-0.22102959999999999</v>
      </c>
      <c r="W4636">
        <v>0.1076063</v>
      </c>
      <c r="X4636">
        <v>0.96931250000000002</v>
      </c>
      <c r="Y4636">
        <v>-0.48132239999999998</v>
      </c>
      <c r="Z4636">
        <v>6.0813909999999999E-2</v>
      </c>
      <c r="AA4636">
        <v>0.87443139999999997</v>
      </c>
      <c r="AB4636">
        <v>20</v>
      </c>
      <c r="AC4636">
        <v>0.547300000000007</v>
      </c>
      <c r="AD4636">
        <v>-5.9336999999999897E-2</v>
      </c>
      <c r="AE4636">
        <v>-0.42609999999999099</v>
      </c>
      <c r="AF4636">
        <v>-0.41001508028244898</v>
      </c>
      <c r="AG4636">
        <v>-5.9336999999999897E-2</v>
      </c>
      <c r="AH4636">
        <v>0.553191584478956</v>
      </c>
      <c r="AI4636">
        <v>94.925228922117</v>
      </c>
      <c r="AJ4636">
        <v>126.54513905498</v>
      </c>
      <c r="AK4636">
        <v>0.69112529599658101</v>
      </c>
      <c r="AL4636">
        <v>83.822652204803902</v>
      </c>
      <c r="AM4636">
        <v>102.845363412791</v>
      </c>
      <c r="AN4636">
        <v>0.99999996126604895</v>
      </c>
    </row>
    <row r="4637" spans="1:40" x14ac:dyDescent="0.25">
      <c r="A4637" t="str">
        <f>"20190303162002249"</f>
        <v>20190303162002249</v>
      </c>
      <c r="B4637" t="str">
        <f>"1551601202237096"</f>
        <v>1551601202237096</v>
      </c>
      <c r="C4637" t="s">
        <v>40</v>
      </c>
      <c r="D4637">
        <v>4.5114910000000004</v>
      </c>
      <c r="E4637">
        <v>0.38483849999999997</v>
      </c>
      <c r="F4637" t="s">
        <v>42</v>
      </c>
      <c r="G4637">
        <v>-490.00659999999999</v>
      </c>
      <c r="H4637">
        <v>1.053895</v>
      </c>
      <c r="I4637">
        <v>230.65700000000001</v>
      </c>
      <c r="J4637">
        <v>-490.6585</v>
      </c>
      <c r="K4637">
        <v>1.124274</v>
      </c>
      <c r="L4637">
        <v>231.18989999999999</v>
      </c>
      <c r="M4637">
        <v>0.27350039999999998</v>
      </c>
      <c r="N4637">
        <v>-1.0798510000000001E-2</v>
      </c>
      <c r="O4637">
        <v>-0.96181139999999998</v>
      </c>
      <c r="P4637">
        <v>0.47719250000000002</v>
      </c>
      <c r="Q4637">
        <v>9.9486050000000006E-2</v>
      </c>
      <c r="R4637">
        <v>-0.87314959999999997</v>
      </c>
      <c r="S4637">
        <v>2.227417</v>
      </c>
      <c r="T4637">
        <v>-0.22088369999999999</v>
      </c>
      <c r="U4637">
        <v>-2.248901</v>
      </c>
      <c r="V4637">
        <v>-0.22100249999999999</v>
      </c>
      <c r="W4637">
        <v>0.1082866</v>
      </c>
      <c r="X4637">
        <v>0.96924290000000002</v>
      </c>
      <c r="Y4637">
        <v>-0.48097820000000002</v>
      </c>
      <c r="Z4637">
        <v>6.2244630000000002E-2</v>
      </c>
      <c r="AA4637">
        <v>0.87452019999999997</v>
      </c>
      <c r="AB4637">
        <v>20</v>
      </c>
      <c r="AC4637">
        <v>0.65190000000001103</v>
      </c>
      <c r="AD4637">
        <v>-7.03789999999999E-2</v>
      </c>
      <c r="AE4637">
        <v>-0.53289999999998305</v>
      </c>
      <c r="AF4637">
        <v>-0.47794527074557802</v>
      </c>
      <c r="AG4637">
        <v>-7.03789999999999E-2</v>
      </c>
      <c r="AH4637">
        <v>0.68609094917924796</v>
      </c>
      <c r="AI4637">
        <v>94.811243217000396</v>
      </c>
      <c r="AJ4637">
        <v>124.861874113971</v>
      </c>
      <c r="AK4637">
        <v>0.83911005000223104</v>
      </c>
      <c r="AL4637">
        <v>83.783444687906197</v>
      </c>
      <c r="AM4637">
        <v>102.84473241209901</v>
      </c>
      <c r="AN4637">
        <v>0.99999994597310804</v>
      </c>
    </row>
    <row r="4638" spans="1:40" x14ac:dyDescent="0.25">
      <c r="A4638" t="str">
        <f>"20190303162002269"</f>
        <v>20190303162002269</v>
      </c>
      <c r="B4638" t="str">
        <f>"1551601202256897"</f>
        <v>1551601202256897</v>
      </c>
      <c r="C4638" t="s">
        <v>40</v>
      </c>
      <c r="D4638">
        <v>4.4967439999999996</v>
      </c>
      <c r="E4638">
        <v>0.38486039999999999</v>
      </c>
      <c r="F4638" t="s">
        <v>42</v>
      </c>
      <c r="G4638">
        <v>-489.9547</v>
      </c>
      <c r="H4638">
        <v>1.0546310000000001</v>
      </c>
      <c r="I4638">
        <v>230.4879</v>
      </c>
      <c r="J4638">
        <v>-490.601</v>
      </c>
      <c r="K4638">
        <v>1.124277</v>
      </c>
      <c r="L4638">
        <v>231.0112</v>
      </c>
      <c r="M4638">
        <v>0.2787579</v>
      </c>
      <c r="N4638">
        <v>-1.0801939999999999E-2</v>
      </c>
      <c r="O4638">
        <v>-0.96030070000000001</v>
      </c>
      <c r="P4638">
        <v>0.48173250000000001</v>
      </c>
      <c r="Q4638">
        <v>9.9823149999999999E-2</v>
      </c>
      <c r="R4638">
        <v>-0.87061429999999995</v>
      </c>
      <c r="S4638">
        <v>2.2416990000000001</v>
      </c>
      <c r="T4638">
        <v>-0.2218195</v>
      </c>
      <c r="U4638">
        <v>-2.2359309999999999</v>
      </c>
      <c r="V4638">
        <v>-0.22076280000000001</v>
      </c>
      <c r="W4638">
        <v>0.1086241</v>
      </c>
      <c r="X4638">
        <v>0.9692598</v>
      </c>
      <c r="Y4638">
        <v>-0.48149429999999999</v>
      </c>
      <c r="Z4638">
        <v>6.2551399999999993E-2</v>
      </c>
      <c r="AA4638">
        <v>0.8742143</v>
      </c>
      <c r="AB4638">
        <v>20</v>
      </c>
      <c r="AC4638">
        <v>0.64629999999999599</v>
      </c>
      <c r="AD4638">
        <v>-6.9646000000000097E-2</v>
      </c>
      <c r="AE4638">
        <v>-0.52330000000000598</v>
      </c>
      <c r="AF4638">
        <v>-0.47148895168107802</v>
      </c>
      <c r="AG4638">
        <v>-6.9646000000000097E-2</v>
      </c>
      <c r="AH4638">
        <v>0.67797104538262898</v>
      </c>
      <c r="AI4638">
        <v>94.820777747122605</v>
      </c>
      <c r="AJ4638">
        <v>124.81633988028</v>
      </c>
      <c r="AK4638">
        <v>0.82873224581316796</v>
      </c>
      <c r="AL4638">
        <v>83.763992860438094</v>
      </c>
      <c r="AM4638">
        <v>102.83104604084799</v>
      </c>
      <c r="AN4638">
        <v>0.99999998443034399</v>
      </c>
    </row>
    <row r="4639" spans="1:40" x14ac:dyDescent="0.25">
      <c r="A4639" t="str">
        <f>"20190303162002293"</f>
        <v>20190303162002293</v>
      </c>
      <c r="B4639" t="str">
        <f>"1551601202287152"</f>
        <v>1551601202287152</v>
      </c>
      <c r="C4639" t="s">
        <v>40</v>
      </c>
      <c r="D4639">
        <v>4.5558740000000002</v>
      </c>
      <c r="E4639">
        <v>0.38494299999999998</v>
      </c>
      <c r="F4639" t="s">
        <v>42</v>
      </c>
      <c r="G4639">
        <v>-489.90069999999997</v>
      </c>
      <c r="H4639">
        <v>1.0554190000000001</v>
      </c>
      <c r="I4639">
        <v>230.31960000000001</v>
      </c>
      <c r="J4639">
        <v>-490.53579999999999</v>
      </c>
      <c r="K4639">
        <v>1.1242840000000001</v>
      </c>
      <c r="L4639">
        <v>230.81209999999999</v>
      </c>
      <c r="M4639">
        <v>0.28462290000000001</v>
      </c>
      <c r="N4639">
        <v>-1.0806090000000001E-2</v>
      </c>
      <c r="O4639">
        <v>-0.95857879999999995</v>
      </c>
      <c r="P4639">
        <v>0.48747629999999997</v>
      </c>
      <c r="Q4639">
        <v>9.8220119999999994E-2</v>
      </c>
      <c r="R4639">
        <v>-0.86759439999999999</v>
      </c>
      <c r="S4639">
        <v>2.2531430000000001</v>
      </c>
      <c r="T4639">
        <v>-0.22149430000000001</v>
      </c>
      <c r="U4639">
        <v>-2.224564</v>
      </c>
      <c r="V4639">
        <v>-0.2211844</v>
      </c>
      <c r="W4639">
        <v>0.1070147</v>
      </c>
      <c r="X4639">
        <v>0.96934279999999995</v>
      </c>
      <c r="Y4639">
        <v>-0.48059859999999999</v>
      </c>
      <c r="Z4639">
        <v>6.2447320000000001E-2</v>
      </c>
      <c r="AA4639">
        <v>0.8747144</v>
      </c>
      <c r="AB4639">
        <v>20</v>
      </c>
      <c r="AC4639">
        <v>0.63510000000002198</v>
      </c>
      <c r="AD4639">
        <v>-6.8864999999999899E-2</v>
      </c>
      <c r="AE4639">
        <v>-0.49249999999997801</v>
      </c>
      <c r="AF4639">
        <v>-0.46522811604754299</v>
      </c>
      <c r="AG4639">
        <v>-6.8864999999999899E-2</v>
      </c>
      <c r="AH4639">
        <v>0.64814329355841305</v>
      </c>
      <c r="AI4639">
        <v>94.933301996805696</v>
      </c>
      <c r="AJ4639">
        <v>125.670251892701</v>
      </c>
      <c r="AK4639">
        <v>0.80079293027029996</v>
      </c>
      <c r="AL4639">
        <v>83.856745955705193</v>
      </c>
      <c r="AM4639">
        <v>102.85367258414</v>
      </c>
      <c r="AN4639">
        <v>1.0000000743656401</v>
      </c>
    </row>
    <row r="4640" spans="1:40" x14ac:dyDescent="0.25">
      <c r="A4640" t="str">
        <f>"20190303162002314"</f>
        <v>20190303162002314</v>
      </c>
      <c r="B4640" t="str">
        <f>"1551601202306673"</f>
        <v>1551601202306673</v>
      </c>
      <c r="C4640" t="s">
        <v>40</v>
      </c>
      <c r="D4640">
        <v>4.5534129999999999</v>
      </c>
      <c r="E4640">
        <v>0.38508110000000001</v>
      </c>
      <c r="F4640" t="s">
        <v>42</v>
      </c>
      <c r="G4640">
        <v>-489.8537</v>
      </c>
      <c r="H4640">
        <v>1.056092</v>
      </c>
      <c r="I4640">
        <v>230.14699999999999</v>
      </c>
      <c r="J4640">
        <v>-490.4744</v>
      </c>
      <c r="K4640">
        <v>1.1242939999999999</v>
      </c>
      <c r="L4640">
        <v>230.6284</v>
      </c>
      <c r="M4640">
        <v>0.29004970000000002</v>
      </c>
      <c r="N4640">
        <v>-1.08104E-2</v>
      </c>
      <c r="O4640">
        <v>-0.95695070000000004</v>
      </c>
      <c r="P4640">
        <v>0.49299769999999998</v>
      </c>
      <c r="Q4640">
        <v>9.7309469999999995E-2</v>
      </c>
      <c r="R4640">
        <v>-0.86457189999999995</v>
      </c>
      <c r="S4640">
        <v>2.2670590000000002</v>
      </c>
      <c r="T4640">
        <v>-0.22655729999999999</v>
      </c>
      <c r="U4640">
        <v>-2.2096710000000002</v>
      </c>
      <c r="V4640">
        <v>-0.2218405</v>
      </c>
      <c r="W4640">
        <v>0.10609250000000001</v>
      </c>
      <c r="X4640">
        <v>0.96929419999999999</v>
      </c>
      <c r="Y4640">
        <v>-0.48118129999999998</v>
      </c>
      <c r="Z4640">
        <v>6.4118620000000001E-2</v>
      </c>
      <c r="AA4640">
        <v>0.87427310000000003</v>
      </c>
      <c r="AB4640">
        <v>20</v>
      </c>
      <c r="AC4640">
        <v>0.62069999999999903</v>
      </c>
      <c r="AD4640">
        <v>-6.8202000000000096E-2</v>
      </c>
      <c r="AE4640">
        <v>-0.48139999999997901</v>
      </c>
      <c r="AF4640">
        <v>-0.45097605655210998</v>
      </c>
      <c r="AG4640">
        <v>-6.8202000000000096E-2</v>
      </c>
      <c r="AH4640">
        <v>0.635952964392139</v>
      </c>
      <c r="AI4640">
        <v>94.999535141189796</v>
      </c>
      <c r="AJ4640">
        <v>125.341760978431</v>
      </c>
      <c r="AK4640">
        <v>0.78260276597162703</v>
      </c>
      <c r="AL4640">
        <v>83.909886419610004</v>
      </c>
      <c r="AM4640">
        <v>102.89115334227201</v>
      </c>
      <c r="AN4640">
        <v>1.0000000360750601</v>
      </c>
    </row>
    <row r="4641" spans="1:40" x14ac:dyDescent="0.25">
      <c r="A4641" t="str">
        <f>"20190303162002336"</f>
        <v>20190303162002336</v>
      </c>
      <c r="B4641" t="str">
        <f>"1551601202327169"</f>
        <v>1551601202327169</v>
      </c>
      <c r="C4641" t="s">
        <v>40</v>
      </c>
      <c r="D4641">
        <v>4.5995520000000001</v>
      </c>
      <c r="E4641">
        <v>0.3851542</v>
      </c>
      <c r="F4641" t="s">
        <v>42</v>
      </c>
      <c r="G4641">
        <v>-489.79899999999998</v>
      </c>
      <c r="H4641">
        <v>1.0565249999999999</v>
      </c>
      <c r="I4641">
        <v>229.97819999999999</v>
      </c>
      <c r="J4641">
        <v>-490.41059999999999</v>
      </c>
      <c r="K4641">
        <v>1.124328</v>
      </c>
      <c r="L4641">
        <v>230.44130000000001</v>
      </c>
      <c r="M4641">
        <v>0.2956068</v>
      </c>
      <c r="N4641">
        <v>-1.081565E-2</v>
      </c>
      <c r="O4641">
        <v>-0.95524869999999995</v>
      </c>
      <c r="P4641">
        <v>0.49851269999999998</v>
      </c>
      <c r="Q4641">
        <v>9.732565E-2</v>
      </c>
      <c r="R4641">
        <v>-0.86140219999999901</v>
      </c>
      <c r="S4641">
        <v>2.2803339999999999</v>
      </c>
      <c r="T4641">
        <v>-0.22879669999999999</v>
      </c>
      <c r="U4641">
        <v>-2.1954039999999999</v>
      </c>
      <c r="V4641">
        <v>-0.22240889999999999</v>
      </c>
      <c r="W4641">
        <v>0.10609440000000001</v>
      </c>
      <c r="X4641">
        <v>0.96916369999999996</v>
      </c>
      <c r="Y4641">
        <v>-0.48143340000000001</v>
      </c>
      <c r="Z4641">
        <v>6.4866099999999996E-2</v>
      </c>
      <c r="AA4641">
        <v>0.874079099999999</v>
      </c>
      <c r="AB4641">
        <v>20</v>
      </c>
      <c r="AC4641">
        <v>0.61159999999995296</v>
      </c>
      <c r="AD4641">
        <v>-6.7803000000000002E-2</v>
      </c>
      <c r="AE4641">
        <v>-0.46310000000002499</v>
      </c>
      <c r="AF4641">
        <v>-0.44389315336373703</v>
      </c>
      <c r="AG4641">
        <v>-6.7803000000000002E-2</v>
      </c>
      <c r="AH4641">
        <v>0.61837461860683796</v>
      </c>
      <c r="AI4641">
        <v>95.090108512238103</v>
      </c>
      <c r="AJ4641">
        <v>125.67224364437899</v>
      </c>
      <c r="AK4641">
        <v>0.76421564191617797</v>
      </c>
      <c r="AL4641">
        <v>83.909776773948906</v>
      </c>
      <c r="AM4641">
        <v>102.924757233157</v>
      </c>
      <c r="AN4641">
        <v>1.0000000089541199</v>
      </c>
    </row>
    <row r="4642" spans="1:40" x14ac:dyDescent="0.25">
      <c r="A4642" t="str">
        <f>"20190303162002359"</f>
        <v>20190303162002359</v>
      </c>
      <c r="B4642" t="str">
        <f>"1551601202346688"</f>
        <v>1551601202346688</v>
      </c>
      <c r="C4642" t="s">
        <v>40</v>
      </c>
      <c r="D4642">
        <v>4.4223169999999996</v>
      </c>
      <c r="E4642">
        <v>0.38543490000000002</v>
      </c>
      <c r="F4642" t="s">
        <v>42</v>
      </c>
      <c r="G4642">
        <v>-489.74509999999998</v>
      </c>
      <c r="H4642">
        <v>1.05796</v>
      </c>
      <c r="I4642">
        <v>229.80840000000001</v>
      </c>
      <c r="J4642">
        <v>-490.34480000000002</v>
      </c>
      <c r="K4642">
        <v>1.1243719999999999</v>
      </c>
      <c r="L4642">
        <v>230.25229999999999</v>
      </c>
      <c r="M4642">
        <v>0.3012687</v>
      </c>
      <c r="N4642">
        <v>-1.082207E-2</v>
      </c>
      <c r="O4642">
        <v>-0.9534781</v>
      </c>
      <c r="P4642">
        <v>0.50413669999999999</v>
      </c>
      <c r="Q4642">
        <v>9.8127019999999995E-2</v>
      </c>
      <c r="R4642">
        <v>-0.85803130000000005</v>
      </c>
      <c r="S4642">
        <v>2.2941280000000002</v>
      </c>
      <c r="T4642">
        <v>-0.2286773</v>
      </c>
      <c r="U4642">
        <v>-2.1809229999999999</v>
      </c>
      <c r="V4642">
        <v>-0.22304309999999999</v>
      </c>
      <c r="W4642">
        <v>0.10687389999999999</v>
      </c>
      <c r="X4642">
        <v>0.96893229999999997</v>
      </c>
      <c r="Y4642">
        <v>-0.48176069999999999</v>
      </c>
      <c r="Z4642">
        <v>6.4840179999999997E-2</v>
      </c>
      <c r="AA4642">
        <v>0.87390069999999997</v>
      </c>
      <c r="AB4642">
        <v>20</v>
      </c>
      <c r="AC4642">
        <v>0.59970000000004098</v>
      </c>
      <c r="AD4642">
        <v>-6.6411999999999902E-2</v>
      </c>
      <c r="AE4642">
        <v>-0.44389999999998497</v>
      </c>
      <c r="AF4642">
        <v>-0.43464953444160498</v>
      </c>
      <c r="AG4642">
        <v>-6.6411999999999902E-2</v>
      </c>
      <c r="AH4642">
        <v>0.59920756897055805</v>
      </c>
      <c r="AI4642">
        <v>95.126602860815296</v>
      </c>
      <c r="AJ4642">
        <v>125.956151621823</v>
      </c>
      <c r="AK4642">
        <v>0.74322303667601097</v>
      </c>
      <c r="AL4642">
        <v>83.864859450616194</v>
      </c>
      <c r="AM4642">
        <v>102.963360191257</v>
      </c>
      <c r="AN4642">
        <v>1.00000002847105</v>
      </c>
    </row>
    <row r="4643" spans="1:40" x14ac:dyDescent="0.25">
      <c r="A4643" t="str">
        <f>"20190303162002381"</f>
        <v>20190303162002381</v>
      </c>
      <c r="B4643" t="str">
        <f>"1551601202376945"</f>
        <v>1551601202376945</v>
      </c>
      <c r="C4643" t="s">
        <v>40</v>
      </c>
      <c r="D4643">
        <v>4.5927559999999996</v>
      </c>
      <c r="E4643">
        <v>0.38581280000000001</v>
      </c>
      <c r="F4643" t="s">
        <v>42</v>
      </c>
      <c r="G4643">
        <v>-489.69119999999998</v>
      </c>
      <c r="H4643">
        <v>1.060584</v>
      </c>
      <c r="I4643">
        <v>229.63820000000001</v>
      </c>
      <c r="J4643">
        <v>-490.27800000000002</v>
      </c>
      <c r="K4643">
        <v>1.124428</v>
      </c>
      <c r="L4643">
        <v>230.0635</v>
      </c>
      <c r="M4643">
        <v>0.30698340000000002</v>
      </c>
      <c r="N4643">
        <v>-1.0829989999999999E-2</v>
      </c>
      <c r="O4643">
        <v>-0.95165339999999998</v>
      </c>
      <c r="P4643">
        <v>0.50965450000000001</v>
      </c>
      <c r="Q4643">
        <v>9.8640729999999996E-2</v>
      </c>
      <c r="R4643">
        <v>-0.85470599999999997</v>
      </c>
      <c r="S4643">
        <v>2.306915</v>
      </c>
      <c r="T4643">
        <v>-0.22508549999999999</v>
      </c>
      <c r="U4643">
        <v>-2.1667019999999999</v>
      </c>
      <c r="V4643">
        <v>-0.22350900000000001</v>
      </c>
      <c r="W4643">
        <v>0.10736270000000001</v>
      </c>
      <c r="X4643">
        <v>0.96877089999999999</v>
      </c>
      <c r="Y4643">
        <v>-0.48184310000000002</v>
      </c>
      <c r="Z4643">
        <v>6.3693710000000001E-2</v>
      </c>
      <c r="AA4643">
        <v>0.87393949999999998</v>
      </c>
      <c r="AB4643">
        <v>20</v>
      </c>
      <c r="AC4643">
        <v>0.58680000000003896</v>
      </c>
      <c r="AD4643">
        <v>-6.3843999999999998E-2</v>
      </c>
      <c r="AE4643">
        <v>-0.42529999999999202</v>
      </c>
      <c r="AF4643">
        <v>-0.424599993584799</v>
      </c>
      <c r="AG4643">
        <v>-6.3843999999999998E-2</v>
      </c>
      <c r="AH4643">
        <v>0.58040588381577596</v>
      </c>
      <c r="AI4643">
        <v>95.073349314744803</v>
      </c>
      <c r="AJ4643">
        <v>126.187597992094</v>
      </c>
      <c r="AK4643">
        <v>0.72196412712556801</v>
      </c>
      <c r="AL4643">
        <v>83.836691270559797</v>
      </c>
      <c r="AM4643">
        <v>102.99161173877199</v>
      </c>
      <c r="AN4643">
        <v>1.0000000395595401</v>
      </c>
    </row>
    <row r="4644" spans="1:40" x14ac:dyDescent="0.25">
      <c r="A4644" t="str">
        <f>"20190303162002405"</f>
        <v>20190303162002405</v>
      </c>
      <c r="B4644" t="str">
        <f>"1551601202397442"</f>
        <v>1551601202397442</v>
      </c>
      <c r="C4644" t="s">
        <v>40</v>
      </c>
      <c r="D4644">
        <v>4.5789099999999996</v>
      </c>
      <c r="E4644">
        <v>0.38609270000000001</v>
      </c>
      <c r="F4644" t="s">
        <v>42</v>
      </c>
      <c r="G4644">
        <v>-489.63690000000003</v>
      </c>
      <c r="H4644">
        <v>1.062589</v>
      </c>
      <c r="I4644">
        <v>229.46780000000001</v>
      </c>
      <c r="J4644">
        <v>-490.20589999999999</v>
      </c>
      <c r="K4644">
        <v>1.124498</v>
      </c>
      <c r="L4644">
        <v>229.86420000000001</v>
      </c>
      <c r="M4644">
        <v>0.31310270000000001</v>
      </c>
      <c r="N4644">
        <v>-1.0839980000000001E-2</v>
      </c>
      <c r="O4644">
        <v>-0.94965759999999999</v>
      </c>
      <c r="P4644">
        <v>0.51549659999999997</v>
      </c>
      <c r="Q4644">
        <v>9.8261550000000003E-2</v>
      </c>
      <c r="R4644">
        <v>-0.85123909999999903</v>
      </c>
      <c r="S4644">
        <v>2.318451</v>
      </c>
      <c r="T4644">
        <v>-0.22354869999999999</v>
      </c>
      <c r="U4644">
        <v>-2.1532589999999998</v>
      </c>
      <c r="V4644">
        <v>-0.2239102</v>
      </c>
      <c r="W4644">
        <v>0.10695209999999999</v>
      </c>
      <c r="X4644">
        <v>0.96872369999999997</v>
      </c>
      <c r="Y4644">
        <v>-0.4811182</v>
      </c>
      <c r="Z4644">
        <v>6.3202599999999998E-2</v>
      </c>
      <c r="AA4644">
        <v>0.8743744</v>
      </c>
      <c r="AB4644">
        <v>20</v>
      </c>
      <c r="AC4644">
        <v>0.56899999999995998</v>
      </c>
      <c r="AD4644">
        <v>-6.1908999999999902E-2</v>
      </c>
      <c r="AE4644">
        <v>-0.39639999999999898</v>
      </c>
      <c r="AF4644">
        <v>-0.41297424172399</v>
      </c>
      <c r="AG4644">
        <v>-6.1908999999999902E-2</v>
      </c>
      <c r="AH4644">
        <v>0.55024672948770403</v>
      </c>
      <c r="AI4644">
        <v>95.141989899930607</v>
      </c>
      <c r="AJ4644">
        <v>126.88916516342699</v>
      </c>
      <c r="AK4644">
        <v>0.69076183444108996</v>
      </c>
      <c r="AL4644">
        <v>83.860353336600696</v>
      </c>
      <c r="AM4644">
        <v>103.01475109064</v>
      </c>
      <c r="AN4644">
        <v>1.00000006815006</v>
      </c>
    </row>
    <row r="4645" spans="1:40" x14ac:dyDescent="0.25">
      <c r="A4645" t="str">
        <f>"20190303162002428"</f>
        <v>20190303162002428</v>
      </c>
      <c r="B4645" t="str">
        <f>"1551601202416961"</f>
        <v>1551601202416961</v>
      </c>
      <c r="C4645" t="s">
        <v>40</v>
      </c>
      <c r="D4645">
        <v>4.6366100000000001</v>
      </c>
      <c r="E4645">
        <v>0.38649450000000002</v>
      </c>
      <c r="F4645" t="s">
        <v>42</v>
      </c>
      <c r="G4645">
        <v>-489.56319999999999</v>
      </c>
      <c r="H4645">
        <v>1.062506</v>
      </c>
      <c r="I4645">
        <v>229.27459999999999</v>
      </c>
      <c r="J4645">
        <v>-490.13600000000002</v>
      </c>
      <c r="K4645">
        <v>1.1245769999999999</v>
      </c>
      <c r="L4645">
        <v>229.67519999999999</v>
      </c>
      <c r="M4645">
        <v>0.3190212</v>
      </c>
      <c r="N4645">
        <v>-1.0851939999999999E-2</v>
      </c>
      <c r="O4645">
        <v>-0.94768560000000002</v>
      </c>
      <c r="P4645">
        <v>0.52133390000000002</v>
      </c>
      <c r="Q4645">
        <v>9.7573140000000003E-2</v>
      </c>
      <c r="R4645">
        <v>-0.84775630000000002</v>
      </c>
      <c r="S4645">
        <v>2.331604</v>
      </c>
      <c r="T4645">
        <v>-0.22484599999999999</v>
      </c>
      <c r="U4645">
        <v>-2.1382140000000001</v>
      </c>
      <c r="V4645">
        <v>-0.22451389999999999</v>
      </c>
      <c r="W4645">
        <v>0.10622620000000001</v>
      </c>
      <c r="X4645">
        <v>0.96866379999999996</v>
      </c>
      <c r="Y4645">
        <v>-0.48115150000000001</v>
      </c>
      <c r="Z4645">
        <v>6.3630919999999994E-2</v>
      </c>
      <c r="AA4645">
        <v>0.87432509999999997</v>
      </c>
      <c r="AB4645">
        <v>20</v>
      </c>
      <c r="AC4645">
        <v>0.572799999999972</v>
      </c>
      <c r="AD4645">
        <v>-6.2070999999999897E-2</v>
      </c>
      <c r="AE4645">
        <v>-0.40059999999999701</v>
      </c>
      <c r="AF4645">
        <v>-0.41181136855522299</v>
      </c>
      <c r="AG4645">
        <v>-6.2070999999999897E-2</v>
      </c>
      <c r="AH4645">
        <v>0.55801091050134999</v>
      </c>
      <c r="AI4645">
        <v>95.1144518247512</v>
      </c>
      <c r="AJ4645">
        <v>126.42728016778401</v>
      </c>
      <c r="AK4645">
        <v>0.69628843775469296</v>
      </c>
      <c r="AL4645">
        <v>83.902182385315299</v>
      </c>
      <c r="AM4645">
        <v>103.049421083807</v>
      </c>
      <c r="AN4645">
        <v>1.00000002714504</v>
      </c>
    </row>
    <row r="4646" spans="1:40" x14ac:dyDescent="0.25">
      <c r="A4646" t="str">
        <f>"20190303162002448"</f>
        <v>20190303162002448</v>
      </c>
      <c r="B4646" t="str">
        <f>"1551601202437460"</f>
        <v>1551601202437460</v>
      </c>
      <c r="C4646" t="s">
        <v>40</v>
      </c>
      <c r="D4646">
        <v>4.6300330000000001</v>
      </c>
      <c r="E4646">
        <v>0.38689210000000002</v>
      </c>
      <c r="F4646" t="s">
        <v>42</v>
      </c>
      <c r="G4646">
        <v>-489.39319999999998</v>
      </c>
      <c r="H4646">
        <v>1.052683</v>
      </c>
      <c r="I4646">
        <v>229.00219999999999</v>
      </c>
      <c r="J4646">
        <v>-490.07139999999998</v>
      </c>
      <c r="K4646">
        <v>1.1246529999999999</v>
      </c>
      <c r="L4646">
        <v>229.50409999999999</v>
      </c>
      <c r="M4646">
        <v>0.32448490000000002</v>
      </c>
      <c r="N4646">
        <v>-1.086441E-2</v>
      </c>
      <c r="O4646">
        <v>-0.94582860000000002</v>
      </c>
      <c r="P4646">
        <v>0.52651829999999999</v>
      </c>
      <c r="Q4646">
        <v>9.6501980000000001E-2</v>
      </c>
      <c r="R4646">
        <v>-0.84466949999999996</v>
      </c>
      <c r="S4646">
        <v>2.3432620000000002</v>
      </c>
      <c r="T4646">
        <v>-0.226856</v>
      </c>
      <c r="U4646">
        <v>-2.123856</v>
      </c>
      <c r="V4646">
        <v>-0.22483049999999999</v>
      </c>
      <c r="W4646">
        <v>0.1051209</v>
      </c>
      <c r="X4646">
        <v>0.96871090000000004</v>
      </c>
      <c r="Y4646">
        <v>-0.48116530000000002</v>
      </c>
      <c r="Z4646">
        <v>6.4298159999999993E-2</v>
      </c>
      <c r="AA4646">
        <v>0.87426870000000001</v>
      </c>
      <c r="AB4646">
        <v>20</v>
      </c>
      <c r="AC4646">
        <v>0.67820000000000302</v>
      </c>
      <c r="AD4646">
        <v>-7.1970000000000006E-2</v>
      </c>
      <c r="AE4646">
        <v>-0.50190000000000601</v>
      </c>
      <c r="AF4646">
        <v>-0.475172692255385</v>
      </c>
      <c r="AG4646">
        <v>-7.1970000000000006E-2</v>
      </c>
      <c r="AH4646">
        <v>0.689798796781114</v>
      </c>
      <c r="AI4646">
        <v>94.910892934635598</v>
      </c>
      <c r="AJ4646">
        <v>124.56128344406901</v>
      </c>
      <c r="AK4646">
        <v>0.84070871793142699</v>
      </c>
      <c r="AL4646">
        <v>83.965867725703006</v>
      </c>
      <c r="AM4646">
        <v>103.066578210964</v>
      </c>
      <c r="AN4646">
        <v>0.99999998256293399</v>
      </c>
    </row>
    <row r="4647" spans="1:40" x14ac:dyDescent="0.25">
      <c r="A4647" t="str">
        <f>"20190303162002471"</f>
        <v>20190303162002471</v>
      </c>
      <c r="B4647" t="str">
        <f>"1551601202466737"</f>
        <v>1551601202466737</v>
      </c>
      <c r="C4647" t="s">
        <v>40</v>
      </c>
      <c r="D4647">
        <v>4.6500329999999996</v>
      </c>
      <c r="E4647">
        <v>0.38731880000000002</v>
      </c>
      <c r="F4647" t="s">
        <v>42</v>
      </c>
      <c r="G4647">
        <v>-489.32799999999997</v>
      </c>
      <c r="H4647">
        <v>1.052387</v>
      </c>
      <c r="I4647">
        <v>228.83699999999999</v>
      </c>
      <c r="J4647">
        <v>-489.99610000000001</v>
      </c>
      <c r="K4647">
        <v>1.124741</v>
      </c>
      <c r="L4647">
        <v>229.30879999999999</v>
      </c>
      <c r="M4647">
        <v>0.33083469999999998</v>
      </c>
      <c r="N4647">
        <v>-1.087959E-2</v>
      </c>
      <c r="O4647">
        <v>-0.94362619999999997</v>
      </c>
      <c r="P4647">
        <v>0.53270399999999996</v>
      </c>
      <c r="Q4647">
        <v>9.5285159999999994E-2</v>
      </c>
      <c r="R4647">
        <v>-0.84092060000000002</v>
      </c>
      <c r="S4647">
        <v>2.3536990000000002</v>
      </c>
      <c r="T4647">
        <v>-0.22868040000000001</v>
      </c>
      <c r="U4647">
        <v>-2.110687</v>
      </c>
      <c r="V4647">
        <v>-0.22539719999999999</v>
      </c>
      <c r="W4647">
        <v>0.1038652</v>
      </c>
      <c r="X4647">
        <v>0.96871470000000004</v>
      </c>
      <c r="Y4647">
        <v>-0.4798827</v>
      </c>
      <c r="Z4647">
        <v>6.4879220000000001E-2</v>
      </c>
      <c r="AA4647">
        <v>0.87493050000000006</v>
      </c>
      <c r="AB4647">
        <v>20</v>
      </c>
      <c r="AC4647">
        <v>0.66809999999998104</v>
      </c>
      <c r="AD4647">
        <v>-7.2353999999999793E-2</v>
      </c>
      <c r="AE4647">
        <v>-0.47179999999997302</v>
      </c>
      <c r="AF4647">
        <v>-0.47069328226181201</v>
      </c>
      <c r="AG4647">
        <v>-7.2353999999999793E-2</v>
      </c>
      <c r="AH4647">
        <v>0.66109917423466902</v>
      </c>
      <c r="AI4647">
        <v>95.094788298604101</v>
      </c>
      <c r="AJ4647">
        <v>125.45032949208</v>
      </c>
      <c r="AK4647">
        <v>0.81476339231470096</v>
      </c>
      <c r="AL4647">
        <v>84.038210318510394</v>
      </c>
      <c r="AM4647">
        <v>103.09832953671901</v>
      </c>
      <c r="AN4647">
        <v>1.00000002376748</v>
      </c>
    </row>
    <row r="4648" spans="1:40" x14ac:dyDescent="0.25">
      <c r="A4648" t="str">
        <f>"20190303162002494"</f>
        <v>20190303162002494</v>
      </c>
      <c r="B4648" t="str">
        <f>"1551601202487233"</f>
        <v>1551601202487233</v>
      </c>
      <c r="C4648" t="s">
        <v>40</v>
      </c>
      <c r="D4648">
        <v>4.6672479999999998</v>
      </c>
      <c r="E4648">
        <v>0.38763769999999997</v>
      </c>
      <c r="F4648" t="s">
        <v>42</v>
      </c>
      <c r="G4648">
        <v>-489.2706</v>
      </c>
      <c r="H4648">
        <v>1.053274</v>
      </c>
      <c r="I4648">
        <v>228.66669999999999</v>
      </c>
      <c r="J4648">
        <v>-489.92059999999998</v>
      </c>
      <c r="K4648">
        <v>1.1248149999999999</v>
      </c>
      <c r="L4648">
        <v>229.1172</v>
      </c>
      <c r="M4648">
        <v>0.33718569999999998</v>
      </c>
      <c r="N4648">
        <v>-1.0894869999999999E-2</v>
      </c>
      <c r="O4648">
        <v>-0.94137539999999997</v>
      </c>
      <c r="P4648">
        <v>0.53870569999999995</v>
      </c>
      <c r="Q4648">
        <v>9.4044210000000003E-2</v>
      </c>
      <c r="R4648">
        <v>-0.837229</v>
      </c>
      <c r="S4648">
        <v>2.3663639999999999</v>
      </c>
      <c r="T4648">
        <v>-0.23313999999999999</v>
      </c>
      <c r="U4648">
        <v>-2.09491</v>
      </c>
      <c r="V4648">
        <v>-0.22576199999999999</v>
      </c>
      <c r="W4648">
        <v>0.1025908</v>
      </c>
      <c r="X4648">
        <v>0.9687656</v>
      </c>
      <c r="Y4648">
        <v>-0.47949039999999998</v>
      </c>
      <c r="Z4648">
        <v>6.6321790000000005E-2</v>
      </c>
      <c r="AA4648">
        <v>0.87503739999999997</v>
      </c>
      <c r="AB4648">
        <v>20</v>
      </c>
      <c r="AC4648">
        <v>0.64999999999997704</v>
      </c>
      <c r="AD4648">
        <v>-7.1540999999999799E-2</v>
      </c>
      <c r="AE4648">
        <v>-0.45050000000000501</v>
      </c>
      <c r="AF4648">
        <v>-0.456285208680063</v>
      </c>
      <c r="AG4648">
        <v>-7.1540999999999799E-2</v>
      </c>
      <c r="AH4648">
        <v>0.63807689029038805</v>
      </c>
      <c r="AI4648">
        <v>95.210997792471105</v>
      </c>
      <c r="AJ4648">
        <v>125.568346725704</v>
      </c>
      <c r="AK4648">
        <v>0.78769056377733804</v>
      </c>
      <c r="AL4648">
        <v>84.1116205147393</v>
      </c>
      <c r="AM4648">
        <v>103.118130798465</v>
      </c>
      <c r="AN4648">
        <v>1.0000000703159899</v>
      </c>
    </row>
    <row r="4649" spans="1:40" x14ac:dyDescent="0.25">
      <c r="A4649" t="str">
        <f>"20190303162002515"</f>
        <v>20190303162002515</v>
      </c>
      <c r="B4649" t="str">
        <f>"1551601202506753"</f>
        <v>1551601202506753</v>
      </c>
      <c r="C4649" t="s">
        <v>40</v>
      </c>
      <c r="D4649">
        <v>4.6785069999999997</v>
      </c>
      <c r="E4649">
        <v>0.38791490000000001</v>
      </c>
      <c r="F4649" t="s">
        <v>42</v>
      </c>
      <c r="G4649">
        <v>-489.2115</v>
      </c>
      <c r="H4649">
        <v>1.053836</v>
      </c>
      <c r="I4649">
        <v>228.49690000000001</v>
      </c>
      <c r="J4649">
        <v>-489.84809999999999</v>
      </c>
      <c r="K4649">
        <v>1.124881</v>
      </c>
      <c r="L4649">
        <v>228.93700000000001</v>
      </c>
      <c r="M4649">
        <v>0.34328399999999998</v>
      </c>
      <c r="N4649">
        <v>-1.0909840000000001E-2</v>
      </c>
      <c r="O4649">
        <v>-0.93916849999999996</v>
      </c>
      <c r="P4649">
        <v>0.54443140000000001</v>
      </c>
      <c r="Q4649">
        <v>9.1872949999999995E-2</v>
      </c>
      <c r="R4649">
        <v>-0.83375900000000003</v>
      </c>
      <c r="S4649">
        <v>2.378571</v>
      </c>
      <c r="T4649">
        <v>-0.23797289999999999</v>
      </c>
      <c r="U4649">
        <v>-2.0795750000000002</v>
      </c>
      <c r="V4649">
        <v>-0.22603609999999999</v>
      </c>
      <c r="W4649">
        <v>0.1003906</v>
      </c>
      <c r="X4649">
        <v>0.96893209999999996</v>
      </c>
      <c r="Y4649">
        <v>-0.47913820000000001</v>
      </c>
      <c r="Z4649">
        <v>6.7879759999999997E-2</v>
      </c>
      <c r="AA4649">
        <v>0.87511079999999997</v>
      </c>
      <c r="AB4649">
        <v>20</v>
      </c>
      <c r="AC4649">
        <v>0.63659999999998695</v>
      </c>
      <c r="AD4649">
        <v>-7.1044999999999997E-2</v>
      </c>
      <c r="AE4649">
        <v>-0.44010000000000099</v>
      </c>
      <c r="AF4649">
        <v>-0.44308793433459198</v>
      </c>
      <c r="AG4649">
        <v>-7.1044999999999997E-2</v>
      </c>
      <c r="AH4649">
        <v>0.62661954503682105</v>
      </c>
      <c r="AI4649">
        <v>95.288959524031796</v>
      </c>
      <c r="AJ4649">
        <v>125.264450933761</v>
      </c>
      <c r="AK4649">
        <v>0.77073105802221897</v>
      </c>
      <c r="AL4649">
        <v>84.2383366178383</v>
      </c>
      <c r="AM4649">
        <v>103.131327273967</v>
      </c>
      <c r="AN4649">
        <v>1.0000000027409801</v>
      </c>
    </row>
    <row r="4650" spans="1:40" x14ac:dyDescent="0.25">
      <c r="A4650" t="str">
        <f>"20190303162002537"</f>
        <v>20190303162002537</v>
      </c>
      <c r="B4650" t="str">
        <f>"1551601202527249"</f>
        <v>1551601202527249</v>
      </c>
      <c r="C4650" t="s">
        <v>40</v>
      </c>
      <c r="D4650">
        <v>4.6404649999999998</v>
      </c>
      <c r="E4650">
        <v>0.38810889999999998</v>
      </c>
      <c r="F4650" t="s">
        <v>42</v>
      </c>
      <c r="G4650">
        <v>-489.14609999999999</v>
      </c>
      <c r="H4650">
        <v>1.052805</v>
      </c>
      <c r="I4650">
        <v>228.33070000000001</v>
      </c>
      <c r="J4650">
        <v>-489.7706</v>
      </c>
      <c r="K4650">
        <v>1.1249640000000001</v>
      </c>
      <c r="L4650">
        <v>228.7484</v>
      </c>
      <c r="M4650">
        <v>0.34980820000000001</v>
      </c>
      <c r="N4650">
        <v>-1.092709E-2</v>
      </c>
      <c r="O4650">
        <v>-0.93675770000000003</v>
      </c>
      <c r="P4650">
        <v>0.55014849999999904</v>
      </c>
      <c r="Q4650">
        <v>8.996063E-2</v>
      </c>
      <c r="R4650">
        <v>-0.83020759999999905</v>
      </c>
      <c r="S4650">
        <v>2.39093</v>
      </c>
      <c r="T4650">
        <v>-0.24535209999999999</v>
      </c>
      <c r="U4650">
        <v>-2.064041</v>
      </c>
      <c r="V4650">
        <v>-0.22588610000000001</v>
      </c>
      <c r="W4650">
        <v>9.8450019999999999E-2</v>
      </c>
      <c r="X4650">
        <v>0.96916619999999998</v>
      </c>
      <c r="Y4650">
        <v>-0.47839680000000001</v>
      </c>
      <c r="Z4650">
        <v>7.0241410000000004E-2</v>
      </c>
      <c r="AA4650">
        <v>0.87532999999999905</v>
      </c>
      <c r="AB4650">
        <v>20</v>
      </c>
      <c r="AC4650">
        <v>0.62450000000001105</v>
      </c>
      <c r="AD4650">
        <v>-7.2158999999999807E-2</v>
      </c>
      <c r="AE4650">
        <v>-0.41769999999999602</v>
      </c>
      <c r="AF4650">
        <v>-0.43490473756992798</v>
      </c>
      <c r="AG4650">
        <v>-7.2158999999999807E-2</v>
      </c>
      <c r="AH4650">
        <v>0.604201875713405</v>
      </c>
      <c r="AI4650">
        <v>95.536361873413</v>
      </c>
      <c r="AJ4650">
        <v>125.746353882771</v>
      </c>
      <c r="AK4650">
        <v>0.74793646699259397</v>
      </c>
      <c r="AL4650">
        <v>84.350077449633204</v>
      </c>
      <c r="AM4650">
        <v>103.119854696638</v>
      </c>
      <c r="AN4650">
        <v>1.0000000299168199</v>
      </c>
    </row>
    <row r="4651" spans="1:40" x14ac:dyDescent="0.25">
      <c r="A4651" t="str">
        <f>"20190303162002560"</f>
        <v>20190303162002560</v>
      </c>
      <c r="B4651" t="str">
        <f>"1551601202557505"</f>
        <v>1551601202557505</v>
      </c>
      <c r="C4651" t="s">
        <v>40</v>
      </c>
      <c r="D4651">
        <v>4.6690079999999998</v>
      </c>
      <c r="E4651">
        <v>0.39962750000000002</v>
      </c>
      <c r="F4651" t="s">
        <v>42</v>
      </c>
      <c r="G4651">
        <v>-489.08319999999998</v>
      </c>
      <c r="H4651">
        <v>1.0532319999999999</v>
      </c>
      <c r="I4651">
        <v>228.16239999999999</v>
      </c>
      <c r="J4651">
        <v>-489.69450000000001</v>
      </c>
      <c r="K4651">
        <v>1.1250519999999999</v>
      </c>
      <c r="L4651">
        <v>228.5668</v>
      </c>
      <c r="M4651">
        <v>0.35623480000000002</v>
      </c>
      <c r="N4651">
        <v>-1.09432E-2</v>
      </c>
      <c r="O4651">
        <v>-0.93433239999999995</v>
      </c>
      <c r="P4651">
        <v>0.55568619999999902</v>
      </c>
      <c r="Q4651">
        <v>8.8444620000000002E-2</v>
      </c>
      <c r="R4651">
        <v>-0.82667459999999904</v>
      </c>
      <c r="S4651">
        <v>2.403168</v>
      </c>
      <c r="T4651">
        <v>-0.25070609999999999</v>
      </c>
      <c r="U4651">
        <v>-2.048187</v>
      </c>
      <c r="V4651">
        <v>-0.2256571</v>
      </c>
      <c r="W4651">
        <v>9.6902970000000005E-2</v>
      </c>
      <c r="X4651">
        <v>0.9693754</v>
      </c>
      <c r="Y4651">
        <v>-0.47781170000000001</v>
      </c>
      <c r="Z4651">
        <v>7.1951669999999995E-2</v>
      </c>
      <c r="AA4651">
        <v>0.87551069999999998</v>
      </c>
      <c r="AB4651">
        <v>20</v>
      </c>
      <c r="AC4651">
        <v>0.61130000000002804</v>
      </c>
      <c r="AD4651">
        <v>-7.1819999999999995E-2</v>
      </c>
      <c r="AE4651">
        <v>-0.40440000000000897</v>
      </c>
      <c r="AF4651">
        <v>-0.42305966437929798</v>
      </c>
      <c r="AG4651">
        <v>-7.1819999999999995E-2</v>
      </c>
      <c r="AH4651">
        <v>0.58998139026442997</v>
      </c>
      <c r="AI4651">
        <v>95.649737108402405</v>
      </c>
      <c r="AJ4651">
        <v>125.64328163458001</v>
      </c>
      <c r="AK4651">
        <v>0.72953110480847505</v>
      </c>
      <c r="AL4651">
        <v>84.439142555947299</v>
      </c>
      <c r="AM4651">
        <v>103.10428241197199</v>
      </c>
      <c r="AN4651">
        <v>0.99999998925019495</v>
      </c>
    </row>
    <row r="4652" spans="1:40" x14ac:dyDescent="0.25">
      <c r="A4652" t="str">
        <f>"20190303162002582"</f>
        <v>20190303162002582</v>
      </c>
      <c r="B4652" t="str">
        <f>"1551601202577025"</f>
        <v>1551601202577025</v>
      </c>
      <c r="C4652" t="s">
        <v>40</v>
      </c>
      <c r="D4652">
        <v>4.7190750000000001</v>
      </c>
      <c r="E4652">
        <v>0.40000920000000001</v>
      </c>
      <c r="F4652" t="s">
        <v>42</v>
      </c>
      <c r="G4652">
        <v>-488.98910000000001</v>
      </c>
      <c r="H4652">
        <v>1.0541780000000001</v>
      </c>
      <c r="I4652">
        <v>227.93969999999999</v>
      </c>
      <c r="J4652">
        <v>-489.61279999999999</v>
      </c>
      <c r="K4652">
        <v>1.125159</v>
      </c>
      <c r="L4652">
        <v>228.37629999999999</v>
      </c>
      <c r="M4652">
        <v>0.36312509999999998</v>
      </c>
      <c r="N4652">
        <v>-1.09566E-2</v>
      </c>
      <c r="O4652">
        <v>-0.93167610000000001</v>
      </c>
      <c r="P4652">
        <v>0.56191679999999999</v>
      </c>
      <c r="Q4652">
        <v>8.6865310000000001E-2</v>
      </c>
      <c r="R4652">
        <v>-0.82262029999999997</v>
      </c>
      <c r="S4652">
        <v>2.3402400000000001</v>
      </c>
      <c r="T4652">
        <v>-0.2351675</v>
      </c>
      <c r="U4652">
        <v>-2.0810390000000001</v>
      </c>
      <c r="V4652">
        <v>-0.22577169999999999</v>
      </c>
      <c r="W4652">
        <v>9.5277829999999994E-2</v>
      </c>
      <c r="X4652">
        <v>0.96950979999999998</v>
      </c>
      <c r="Y4652">
        <v>-0.45301380000000002</v>
      </c>
      <c r="Z4652">
        <v>6.7075399999999993E-2</v>
      </c>
      <c r="AA4652">
        <v>0.88897660000000001</v>
      </c>
      <c r="AB4652">
        <v>20</v>
      </c>
      <c r="AC4652">
        <v>0.62369999999998504</v>
      </c>
      <c r="AD4652">
        <v>-7.0980999999999905E-2</v>
      </c>
      <c r="AE4652">
        <v>-0.43659999999999799</v>
      </c>
      <c r="AF4652">
        <v>-0.41892977201338699</v>
      </c>
      <c r="AG4652">
        <v>-7.0980999999999905E-2</v>
      </c>
      <c r="AH4652">
        <v>0.62783148210761197</v>
      </c>
      <c r="AI4652">
        <v>95.372493535012396</v>
      </c>
      <c r="AJ4652">
        <v>123.71378189844199</v>
      </c>
      <c r="AK4652">
        <v>0.75809816393764495</v>
      </c>
      <c r="AL4652">
        <v>84.532689104797001</v>
      </c>
      <c r="AM4652">
        <v>103.10895286709</v>
      </c>
      <c r="AN4652">
        <v>0.99999998885321895</v>
      </c>
    </row>
    <row r="4653" spans="1:40" x14ac:dyDescent="0.25">
      <c r="A4653" t="str">
        <f>"20190303162002607"</f>
        <v>20190303162002607</v>
      </c>
      <c r="B4653" t="str">
        <f>"1551601202597521"</f>
        <v>1551601202597521</v>
      </c>
      <c r="C4653" t="s">
        <v>40</v>
      </c>
      <c r="D4653">
        <v>4.8418669999999997</v>
      </c>
      <c r="E4653">
        <v>0.40021109999999999</v>
      </c>
      <c r="F4653" t="s">
        <v>49</v>
      </c>
      <c r="G4653">
        <v>-478.72890000000001</v>
      </c>
      <c r="H4653" s="1">
        <v>2.271616E-6</v>
      </c>
      <c r="I4653">
        <v>218.827</v>
      </c>
      <c r="J4653">
        <v>-489.5265</v>
      </c>
      <c r="K4653">
        <v>1.12527</v>
      </c>
      <c r="L4653">
        <v>228.1799</v>
      </c>
      <c r="M4653">
        <v>0.37040149999999999</v>
      </c>
      <c r="N4653">
        <v>-1.096341E-2</v>
      </c>
      <c r="O4653">
        <v>-0.92880720000000005</v>
      </c>
      <c r="P4653">
        <v>0.56875929999999997</v>
      </c>
      <c r="Q4653">
        <v>8.5787000000000002E-2</v>
      </c>
      <c r="R4653">
        <v>-0.81801809999999997</v>
      </c>
      <c r="S4653">
        <v>2.3535460000000001</v>
      </c>
      <c r="T4653">
        <v>-0.2433041</v>
      </c>
      <c r="U4653">
        <v>-2.0649410000000001</v>
      </c>
      <c r="V4653">
        <v>-0.2262498</v>
      </c>
      <c r="W4653">
        <v>9.4138559999999996E-2</v>
      </c>
      <c r="X4653">
        <v>0.96950970000000003</v>
      </c>
      <c r="Y4653">
        <v>-0.45182480000000003</v>
      </c>
      <c r="Z4653">
        <v>6.9655949999999994E-2</v>
      </c>
      <c r="AA4653">
        <v>0.88938309999999998</v>
      </c>
      <c r="AB4653">
        <v>20</v>
      </c>
      <c r="AC4653">
        <v>10.7975999999999</v>
      </c>
      <c r="AD4653">
        <v>-1.125267728384</v>
      </c>
      <c r="AE4653">
        <v>-9.3529</v>
      </c>
      <c r="AF4653">
        <v>-6.5244695752564601</v>
      </c>
      <c r="AG4653">
        <v>-1.125267728384</v>
      </c>
      <c r="AH4653">
        <v>12.6090096127067</v>
      </c>
      <c r="AI4653">
        <v>94.531832322896406</v>
      </c>
      <c r="AJ4653">
        <v>117.359081294652</v>
      </c>
      <c r="AK4653">
        <v>14.2415608032378</v>
      </c>
      <c r="AL4653">
        <v>84.598259532710799</v>
      </c>
      <c r="AM4653">
        <v>103.135752442784</v>
      </c>
      <c r="AN4653">
        <v>1.0000000494365</v>
      </c>
    </row>
    <row r="4654" spans="1:40" x14ac:dyDescent="0.25">
      <c r="A4654" t="str">
        <f>"20190303162002629"</f>
        <v>20190303162002629</v>
      </c>
      <c r="B4654" t="str">
        <f>"1551601202617041"</f>
        <v>1551601202617041</v>
      </c>
      <c r="C4654" t="s">
        <v>40</v>
      </c>
      <c r="D4654">
        <v>4.6976310000000003</v>
      </c>
      <c r="E4654">
        <v>0.40101959999999998</v>
      </c>
      <c r="F4654" t="s">
        <v>42</v>
      </c>
      <c r="G4654">
        <v>-488.76949999999999</v>
      </c>
      <c r="H4654">
        <v>1.0463530000000001</v>
      </c>
      <c r="I4654">
        <v>227.52590000000001</v>
      </c>
      <c r="J4654">
        <v>-489.44200000000001</v>
      </c>
      <c r="K4654">
        <v>1.125367</v>
      </c>
      <c r="L4654">
        <v>227.99189999999999</v>
      </c>
      <c r="M4654">
        <v>0.37752799999999997</v>
      </c>
      <c r="N4654">
        <v>-1.096371E-2</v>
      </c>
      <c r="O4654">
        <v>-0.92593340000000002</v>
      </c>
      <c r="P4654">
        <v>0.57568599999999903</v>
      </c>
      <c r="Q4654">
        <v>8.5373660000000004E-2</v>
      </c>
      <c r="R4654">
        <v>-0.81320170000000003</v>
      </c>
      <c r="S4654">
        <v>2.3688349999999998</v>
      </c>
      <c r="T4654">
        <v>-0.2469162</v>
      </c>
      <c r="U4654">
        <v>-2.0461879999999999</v>
      </c>
      <c r="V4654">
        <v>-0.22703719999999999</v>
      </c>
      <c r="W4654">
        <v>9.3658610000000003E-2</v>
      </c>
      <c r="X4654">
        <v>0.96937200000000001</v>
      </c>
      <c r="Y4654">
        <v>-0.45177669999999998</v>
      </c>
      <c r="Z4654">
        <v>7.0798360000000005E-2</v>
      </c>
      <c r="AA4654">
        <v>0.88931740000000004</v>
      </c>
      <c r="AB4654">
        <v>20</v>
      </c>
      <c r="AC4654">
        <v>0.67249999999995602</v>
      </c>
      <c r="AD4654">
        <v>-7.9013999999999904E-2</v>
      </c>
      <c r="AE4654">
        <v>-0.46599999999997899</v>
      </c>
      <c r="AF4654">
        <v>-0.44266052705359199</v>
      </c>
      <c r="AG4654">
        <v>-7.9013999999999904E-2</v>
      </c>
      <c r="AH4654">
        <v>0.67908027249978198</v>
      </c>
      <c r="AI4654">
        <v>95.567262283966599</v>
      </c>
      <c r="AJ4654">
        <v>123.098440768795</v>
      </c>
      <c r="AK4654">
        <v>0.81445783862993404</v>
      </c>
      <c r="AL4654">
        <v>84.625880141121897</v>
      </c>
      <c r="AM4654">
        <v>103.18168156801499</v>
      </c>
      <c r="AN4654">
        <v>0.99999994989748398</v>
      </c>
    </row>
    <row r="4655" spans="1:40" x14ac:dyDescent="0.25">
      <c r="A4655" t="str">
        <f>"20190303162002649"</f>
        <v>20190303162002649</v>
      </c>
      <c r="B4655" t="str">
        <f>"1551601202637536"</f>
        <v>1551601202637536</v>
      </c>
      <c r="C4655" t="s">
        <v>40</v>
      </c>
      <c r="D4655">
        <v>4.7487919999999999</v>
      </c>
      <c r="E4655">
        <v>0.40072940000000001</v>
      </c>
      <c r="F4655" t="s">
        <v>42</v>
      </c>
      <c r="G4655">
        <v>-488.70030000000003</v>
      </c>
      <c r="H4655">
        <v>1.0486059999999999</v>
      </c>
      <c r="I4655">
        <v>227.3595</v>
      </c>
      <c r="J4655">
        <v>-489.36849999999998</v>
      </c>
      <c r="K4655">
        <v>1.125434</v>
      </c>
      <c r="L4655">
        <v>227.83189999999999</v>
      </c>
      <c r="M4655">
        <v>0.38368679999999999</v>
      </c>
      <c r="N4655">
        <v>-1.096136E-2</v>
      </c>
      <c r="O4655">
        <v>-0.92339839999999995</v>
      </c>
      <c r="P4655">
        <v>0.58149090000000003</v>
      </c>
      <c r="Q4655">
        <v>8.491406E-2</v>
      </c>
      <c r="R4655">
        <v>-0.80910959999999998</v>
      </c>
      <c r="S4655">
        <v>2.3804630000000002</v>
      </c>
      <c r="T4655">
        <v>-0.24636569999999999</v>
      </c>
      <c r="U4655">
        <v>-2.0297999999999998</v>
      </c>
      <c r="V4655">
        <v>-0.2275122</v>
      </c>
      <c r="W4655">
        <v>9.3150150000000001E-2</v>
      </c>
      <c r="X4655">
        <v>0.96930970000000005</v>
      </c>
      <c r="Y4655">
        <v>-0.45153399999999999</v>
      </c>
      <c r="Z4655">
        <v>7.0625889999999997E-2</v>
      </c>
      <c r="AA4655">
        <v>0.88945439999999998</v>
      </c>
      <c r="AB4655">
        <v>21</v>
      </c>
      <c r="AC4655">
        <v>0.66819999999995605</v>
      </c>
      <c r="AD4655">
        <v>-7.6828000000000105E-2</v>
      </c>
      <c r="AE4655">
        <v>-0.47239999999999299</v>
      </c>
      <c r="AF4655">
        <v>-0.43197966775586</v>
      </c>
      <c r="AG4655">
        <v>-7.6828000000000105E-2</v>
      </c>
      <c r="AH4655">
        <v>0.68658266069664198</v>
      </c>
      <c r="AI4655">
        <v>95.410469023753294</v>
      </c>
      <c r="AJ4655">
        <v>122.17701816354599</v>
      </c>
      <c r="AK4655">
        <v>0.81480348852207496</v>
      </c>
      <c r="AL4655">
        <v>84.655141066715899</v>
      </c>
      <c r="AM4655">
        <v>103.20911325048201</v>
      </c>
      <c r="AN4655">
        <v>1.0000000230539701</v>
      </c>
    </row>
    <row r="4656" spans="1:40" x14ac:dyDescent="0.25">
      <c r="A4656" t="str">
        <f>"20190303162002672"</f>
        <v>20190303162002672</v>
      </c>
      <c r="B4656" t="str">
        <f>"1551601202666817"</f>
        <v>1551601202666817</v>
      </c>
      <c r="C4656" t="s">
        <v>40</v>
      </c>
      <c r="D4656">
        <v>4.7386650000000001</v>
      </c>
      <c r="E4656">
        <v>0.3628748</v>
      </c>
      <c r="F4656" t="s">
        <v>42</v>
      </c>
      <c r="G4656">
        <v>-488.61770000000001</v>
      </c>
      <c r="H4656">
        <v>1.048624</v>
      </c>
      <c r="I4656">
        <v>227.20189999999999</v>
      </c>
      <c r="J4656">
        <v>-489.27910000000003</v>
      </c>
      <c r="K4656">
        <v>1.125502</v>
      </c>
      <c r="L4656">
        <v>227.6412</v>
      </c>
      <c r="M4656">
        <v>0.39113799999999999</v>
      </c>
      <c r="N4656">
        <v>-1.095746E-2</v>
      </c>
      <c r="O4656">
        <v>-0.9202671</v>
      </c>
      <c r="P4656">
        <v>0.58917310000000001</v>
      </c>
      <c r="Q4656">
        <v>8.5655590000000004E-2</v>
      </c>
      <c r="R4656">
        <v>-0.80345440000000001</v>
      </c>
      <c r="S4656">
        <v>2.3970030000000002</v>
      </c>
      <c r="T4656">
        <v>-0.2451441</v>
      </c>
      <c r="U4656">
        <v>-2.0108030000000001</v>
      </c>
      <c r="V4656">
        <v>-0.228967</v>
      </c>
      <c r="W4656">
        <v>9.3829990000000002E-2</v>
      </c>
      <c r="X4656">
        <v>0.96890149999999997</v>
      </c>
      <c r="Y4656">
        <v>-0.45151259999999999</v>
      </c>
      <c r="Z4656">
        <v>7.017495E-2</v>
      </c>
      <c r="AA4656">
        <v>0.88950090000000004</v>
      </c>
      <c r="AB4656">
        <v>21</v>
      </c>
      <c r="AC4656">
        <v>0.66140000000001398</v>
      </c>
      <c r="AD4656">
        <v>-7.6878000000000002E-2</v>
      </c>
      <c r="AE4656">
        <v>-0.43930000000000202</v>
      </c>
      <c r="AF4656">
        <v>-0.43280635281021901</v>
      </c>
      <c r="AG4656">
        <v>-7.6878000000000002E-2</v>
      </c>
      <c r="AH4656">
        <v>0.65685373254521295</v>
      </c>
      <c r="AI4656">
        <v>95.581876134272406</v>
      </c>
      <c r="AJ4656">
        <v>123.381217391013</v>
      </c>
      <c r="AK4656">
        <v>0.79037231218930104</v>
      </c>
      <c r="AL4656">
        <v>84.616017818989704</v>
      </c>
      <c r="AM4656">
        <v>103.295989451154</v>
      </c>
      <c r="AN4656">
        <v>1.00000003540732</v>
      </c>
    </row>
    <row r="4657" spans="1:40" x14ac:dyDescent="0.25">
      <c r="A4657" t="str">
        <f>"20190303162002695"</f>
        <v>20190303162002695</v>
      </c>
      <c r="B4657" t="str">
        <f>"1551601202687313"</f>
        <v>1551601202687313</v>
      </c>
      <c r="C4657" t="s">
        <v>40</v>
      </c>
      <c r="D4657">
        <v>4.7729860000000004</v>
      </c>
      <c r="E4657">
        <v>0.36273610000000001</v>
      </c>
      <c r="F4657" t="s">
        <v>42</v>
      </c>
      <c r="G4657">
        <v>-488.47129999999999</v>
      </c>
      <c r="H4657">
        <v>1.021463</v>
      </c>
      <c r="I4657">
        <v>227.08940000000001</v>
      </c>
      <c r="J4657">
        <v>-489.1909</v>
      </c>
      <c r="K4657">
        <v>1.1255520000000001</v>
      </c>
      <c r="L4657">
        <v>227.4573</v>
      </c>
      <c r="M4657">
        <v>0.39841900000000002</v>
      </c>
      <c r="N4657">
        <v>-1.0953559999999999E-2</v>
      </c>
      <c r="O4657">
        <v>-0.91713829999999996</v>
      </c>
      <c r="P4657">
        <v>0.59719619999999995</v>
      </c>
      <c r="Q4657">
        <v>8.6324070000000003E-2</v>
      </c>
      <c r="R4657">
        <v>-0.79743640000000005</v>
      </c>
      <c r="S4657">
        <v>2.6619869999999999</v>
      </c>
      <c r="T4657">
        <v>-0.34283540000000001</v>
      </c>
      <c r="U4657">
        <v>-1.8183750000000001</v>
      </c>
      <c r="V4657">
        <v>-0.23104830000000001</v>
      </c>
      <c r="W4657">
        <v>9.4439060000000005E-2</v>
      </c>
      <c r="X4657">
        <v>0.96834799999999999</v>
      </c>
      <c r="Y4657">
        <v>-0.52796690000000002</v>
      </c>
      <c r="Z4657">
        <v>0.1003677</v>
      </c>
      <c r="AA4657">
        <v>0.84331329999999904</v>
      </c>
      <c r="AB4657">
        <v>21</v>
      </c>
      <c r="AC4657">
        <v>0.71960000000001401</v>
      </c>
      <c r="AD4657">
        <v>-0.104089</v>
      </c>
      <c r="AE4657">
        <v>-0.36789999999999101</v>
      </c>
      <c r="AF4657">
        <v>-0.505047617260026</v>
      </c>
      <c r="AG4657">
        <v>-0.104089</v>
      </c>
      <c r="AH4657">
        <v>0.61397060579118801</v>
      </c>
      <c r="AI4657">
        <v>97.459233928913505</v>
      </c>
      <c r="AJ4657">
        <v>129.440457945216</v>
      </c>
      <c r="AK4657">
        <v>0.801790197244035</v>
      </c>
      <c r="AL4657">
        <v>84.580964568324703</v>
      </c>
      <c r="AM4657">
        <v>103.419889979464</v>
      </c>
      <c r="AN4657">
        <v>0.99999995104528505</v>
      </c>
    </row>
    <row r="4658" spans="1:40" x14ac:dyDescent="0.25">
      <c r="A4658" t="str">
        <f>"20190303162002716"</f>
        <v>20190303162002716</v>
      </c>
      <c r="B4658" t="str">
        <f>"1551601202706833"</f>
        <v>1551601202706833</v>
      </c>
      <c r="C4658" t="s">
        <v>40</v>
      </c>
      <c r="D4658">
        <v>4.7515450000000001</v>
      </c>
      <c r="E4658">
        <v>0.3635002</v>
      </c>
      <c r="F4658" t="s">
        <v>42</v>
      </c>
      <c r="G4658">
        <v>-488.39670000000001</v>
      </c>
      <c r="H4658">
        <v>1.0213749999999999</v>
      </c>
      <c r="I4658">
        <v>226.92599999999999</v>
      </c>
      <c r="J4658">
        <v>-489.10379999999998</v>
      </c>
      <c r="K4658">
        <v>1.1255790000000001</v>
      </c>
      <c r="L4658">
        <v>227.2791</v>
      </c>
      <c r="M4658">
        <v>0.40553319999999998</v>
      </c>
      <c r="N4658">
        <v>-1.0949769999999999E-2</v>
      </c>
      <c r="O4658">
        <v>-0.91401489999999996</v>
      </c>
      <c r="P4658">
        <v>0.60539509999999996</v>
      </c>
      <c r="Q4658">
        <v>8.6258719999999997E-2</v>
      </c>
      <c r="R4658">
        <v>-0.79123739999999998</v>
      </c>
      <c r="S4658">
        <v>2.6805110000000001</v>
      </c>
      <c r="T4658">
        <v>-0.35151399999999999</v>
      </c>
      <c r="U4658">
        <v>-1.7926329999999999</v>
      </c>
      <c r="V4658">
        <v>-0.23352429999999999</v>
      </c>
      <c r="W4658">
        <v>9.4317999999999999E-2</v>
      </c>
      <c r="X4658">
        <v>0.96776569999999995</v>
      </c>
      <c r="Y4658">
        <v>-0.52942159999999905</v>
      </c>
      <c r="Z4658">
        <v>0.1030625</v>
      </c>
      <c r="AA4658">
        <v>0.84207529999999997</v>
      </c>
      <c r="AB4658">
        <v>21</v>
      </c>
      <c r="AC4658">
        <v>0.70709999999996798</v>
      </c>
      <c r="AD4658">
        <v>-0.104204</v>
      </c>
      <c r="AE4658">
        <v>-0.35310000000001202</v>
      </c>
      <c r="AF4658">
        <v>-0.49453979353146998</v>
      </c>
      <c r="AG4658">
        <v>-0.104204</v>
      </c>
      <c r="AH4658">
        <v>0.59911340384758105</v>
      </c>
      <c r="AI4658">
        <v>97.639791175717406</v>
      </c>
      <c r="AJ4658">
        <v>129.538062217533</v>
      </c>
      <c r="AK4658">
        <v>0.78381436046552799</v>
      </c>
      <c r="AL4658">
        <v>84.587931981571202</v>
      </c>
      <c r="AM4658">
        <v>103.56627666186699</v>
      </c>
      <c r="AN4658">
        <v>0.99999996695548898</v>
      </c>
    </row>
    <row r="4659" spans="1:40" x14ac:dyDescent="0.25">
      <c r="A4659" t="str">
        <f>"20190303162002739"</f>
        <v>20190303162002739</v>
      </c>
      <c r="B4659" t="str">
        <f>"1551601202727329"</f>
        <v>1551601202727329</v>
      </c>
      <c r="C4659" t="s">
        <v>40</v>
      </c>
      <c r="D4659">
        <v>4.7355369999999999</v>
      </c>
      <c r="E4659">
        <v>0.36419499999999999</v>
      </c>
      <c r="F4659" t="s">
        <v>42</v>
      </c>
      <c r="G4659">
        <v>-488.31979999999999</v>
      </c>
      <c r="H4659">
        <v>1.021164</v>
      </c>
      <c r="I4659">
        <v>226.76349999999999</v>
      </c>
      <c r="J4659">
        <v>-489.01420000000002</v>
      </c>
      <c r="K4659">
        <v>1.125594</v>
      </c>
      <c r="L4659">
        <v>227.09960000000001</v>
      </c>
      <c r="M4659">
        <v>0.412742</v>
      </c>
      <c r="N4659">
        <v>-1.0945730000000001E-2</v>
      </c>
      <c r="O4659">
        <v>-0.91078250000000005</v>
      </c>
      <c r="P4659">
        <v>0.61321169999999903</v>
      </c>
      <c r="Q4659">
        <v>8.4684949999999995E-2</v>
      </c>
      <c r="R4659">
        <v>-0.78536649999999997</v>
      </c>
      <c r="S4659">
        <v>2.6926570000000001</v>
      </c>
      <c r="T4659">
        <v>-0.35857689999999998</v>
      </c>
      <c r="U4659">
        <v>-1.770432</v>
      </c>
      <c r="V4659">
        <v>-0.23539309999999999</v>
      </c>
      <c r="W4659">
        <v>9.2706230000000001E-2</v>
      </c>
      <c r="X4659">
        <v>0.96746869999999996</v>
      </c>
      <c r="Y4659">
        <v>-0.52910610000000002</v>
      </c>
      <c r="Z4659">
        <v>0.1052873</v>
      </c>
      <c r="AA4659">
        <v>0.84199829999999998</v>
      </c>
      <c r="AB4659">
        <v>21</v>
      </c>
      <c r="AC4659">
        <v>0.69440000000002999</v>
      </c>
      <c r="AD4659">
        <v>-0.10443</v>
      </c>
      <c r="AE4659">
        <v>-0.336100000000016</v>
      </c>
      <c r="AF4659">
        <v>-0.48486947153715299</v>
      </c>
      <c r="AG4659">
        <v>-0.10443</v>
      </c>
      <c r="AH4659">
        <v>0.58209114546430596</v>
      </c>
      <c r="AI4659">
        <v>97.848571563153797</v>
      </c>
      <c r="AJ4659">
        <v>129.79357432022601</v>
      </c>
      <c r="AK4659">
        <v>0.76474448736598699</v>
      </c>
      <c r="AL4659">
        <v>84.680686337256503</v>
      </c>
      <c r="AM4659">
        <v>103.67482271504799</v>
      </c>
      <c r="AN4659">
        <v>1.0000000210440501</v>
      </c>
    </row>
    <row r="4660" spans="1:40" x14ac:dyDescent="0.25">
      <c r="A4660" t="str">
        <f>"20190303162002761"</f>
        <v>20190303162002761</v>
      </c>
      <c r="B4660" t="str">
        <f>"1551601202756786"</f>
        <v>1551601202756786</v>
      </c>
      <c r="C4660" t="s">
        <v>40</v>
      </c>
      <c r="D4660">
        <v>4.7605399999999998</v>
      </c>
      <c r="E4660">
        <v>0.36593100000000001</v>
      </c>
      <c r="F4660" t="s">
        <v>42</v>
      </c>
      <c r="G4660">
        <v>-488.24239999999998</v>
      </c>
      <c r="H4660">
        <v>1.0226569999999999</v>
      </c>
      <c r="I4660">
        <v>226.6009</v>
      </c>
      <c r="J4660">
        <v>-488.92140000000001</v>
      </c>
      <c r="K4660">
        <v>1.1255869999999999</v>
      </c>
      <c r="L4660">
        <v>226.91730000000001</v>
      </c>
      <c r="M4660">
        <v>0.4200759</v>
      </c>
      <c r="N4660">
        <v>-1.094121E-2</v>
      </c>
      <c r="O4660">
        <v>-0.90742330000000004</v>
      </c>
      <c r="P4660">
        <v>0.62105949999999999</v>
      </c>
      <c r="Q4660">
        <v>8.259118E-2</v>
      </c>
      <c r="R4660">
        <v>-0.77940019999999999</v>
      </c>
      <c r="S4660">
        <v>2.704742</v>
      </c>
      <c r="T4660">
        <v>-0.36062939999999999</v>
      </c>
      <c r="U4660">
        <v>-1.746872</v>
      </c>
      <c r="V4660">
        <v>-0.2371799</v>
      </c>
      <c r="W4660">
        <v>9.0580900000000006E-2</v>
      </c>
      <c r="X4660">
        <v>0.96723360000000003</v>
      </c>
      <c r="Y4660">
        <v>-0.52909240000000002</v>
      </c>
      <c r="Z4660">
        <v>0.1059553</v>
      </c>
      <c r="AA4660">
        <v>0.84192319999999998</v>
      </c>
      <c r="AB4660">
        <v>21</v>
      </c>
      <c r="AC4660">
        <v>0.67900000000003002</v>
      </c>
      <c r="AD4660">
        <v>-0.10292999999999999</v>
      </c>
      <c r="AE4660">
        <v>-0.316400000000015</v>
      </c>
      <c r="AF4660">
        <v>-0.47430231719722998</v>
      </c>
      <c r="AG4660">
        <v>-0.10292999999999999</v>
      </c>
      <c r="AH4660">
        <v>0.56176812477314797</v>
      </c>
      <c r="AI4660">
        <v>97.969566235381905</v>
      </c>
      <c r="AJ4660">
        <v>130.174491188036</v>
      </c>
      <c r="AK4660">
        <v>0.74238850948125601</v>
      </c>
      <c r="AL4660">
        <v>84.802973394907497</v>
      </c>
      <c r="AM4660">
        <v>103.777905098372</v>
      </c>
      <c r="AN4660">
        <v>1.0000000206888899</v>
      </c>
    </row>
    <row r="4661" spans="1:40" x14ac:dyDescent="0.25">
      <c r="A4661" t="str">
        <f>"20190303162002783"</f>
        <v>20190303162002783</v>
      </c>
      <c r="B4661" t="str">
        <f>"1551601202777283"</f>
        <v>1551601202777283</v>
      </c>
      <c r="C4661" t="s">
        <v>40</v>
      </c>
      <c r="D4661">
        <v>4.7575900000000004</v>
      </c>
      <c r="E4661">
        <v>0.36712650000000002</v>
      </c>
      <c r="F4661" t="s">
        <v>42</v>
      </c>
      <c r="G4661">
        <v>-488.16669999999999</v>
      </c>
      <c r="H4661">
        <v>1.0243799999999901</v>
      </c>
      <c r="I4661">
        <v>226.43629999999999</v>
      </c>
      <c r="J4661">
        <v>-488.827</v>
      </c>
      <c r="K4661">
        <v>1.1255710000000001</v>
      </c>
      <c r="L4661">
        <v>226.7355</v>
      </c>
      <c r="M4661">
        <v>0.42739070000000001</v>
      </c>
      <c r="N4661">
        <v>-1.0936329999999999E-2</v>
      </c>
      <c r="O4661">
        <v>-0.90400100000000005</v>
      </c>
      <c r="P4661">
        <v>0.62889949999999994</v>
      </c>
      <c r="Q4661">
        <v>8.0733460000000007E-2</v>
      </c>
      <c r="R4661">
        <v>-0.77328390000000002</v>
      </c>
      <c r="S4661">
        <v>2.7108759999999998</v>
      </c>
      <c r="T4661">
        <v>-0.36352279999999998</v>
      </c>
      <c r="U4661">
        <v>-1.727554</v>
      </c>
      <c r="V4661">
        <v>-0.23903369999999999</v>
      </c>
      <c r="W4661">
        <v>8.8695469999999998E-2</v>
      </c>
      <c r="X4661">
        <v>0.96695189999999998</v>
      </c>
      <c r="Y4661">
        <v>-0.52727740000000001</v>
      </c>
      <c r="Z4661">
        <v>0.106909199999999</v>
      </c>
      <c r="AA4661">
        <v>0.84294069999999899</v>
      </c>
      <c r="AB4661">
        <v>21</v>
      </c>
      <c r="AC4661">
        <v>0.66030000000000599</v>
      </c>
      <c r="AD4661">
        <v>-0.101191</v>
      </c>
      <c r="AE4661">
        <v>-0.29920000000001301</v>
      </c>
      <c r="AF4661">
        <v>-0.46009958772330101</v>
      </c>
      <c r="AG4661">
        <v>-0.101191</v>
      </c>
      <c r="AH4661">
        <v>0.54215240913735097</v>
      </c>
      <c r="AI4661">
        <v>98.099267140772497</v>
      </c>
      <c r="AJ4661">
        <v>130.31972092761501</v>
      </c>
      <c r="AK4661">
        <v>0.71823428199827999</v>
      </c>
      <c r="AL4661">
        <v>84.911437048948699</v>
      </c>
      <c r="AM4661">
        <v>103.885331197871</v>
      </c>
      <c r="AN4661">
        <v>0.99999998652390998</v>
      </c>
    </row>
    <row r="4662" spans="1:40" x14ac:dyDescent="0.25">
      <c r="A4662" t="str">
        <f>"20190303162002806"</f>
        <v>20190303162002806</v>
      </c>
      <c r="B4662" t="str">
        <f>"1551601202796804"</f>
        <v>1551601202796804</v>
      </c>
      <c r="C4662" t="s">
        <v>40</v>
      </c>
      <c r="D4662">
        <v>4.6199269999999997</v>
      </c>
      <c r="E4662">
        <v>0.36768220000000001</v>
      </c>
      <c r="F4662" t="s">
        <v>42</v>
      </c>
      <c r="G4662">
        <v>-488.08909999999997</v>
      </c>
      <c r="H4662">
        <v>1.0263709999999999</v>
      </c>
      <c r="I4662">
        <v>226.2724</v>
      </c>
      <c r="J4662">
        <v>-488.72989999999999</v>
      </c>
      <c r="K4662">
        <v>1.125551</v>
      </c>
      <c r="L4662">
        <v>226.5522</v>
      </c>
      <c r="M4662">
        <v>0.43476130000000002</v>
      </c>
      <c r="N4662">
        <v>-1.093119E-2</v>
      </c>
      <c r="O4662">
        <v>-0.90047949999999999</v>
      </c>
      <c r="P4662">
        <v>0.6368222</v>
      </c>
      <c r="Q4662">
        <v>7.9247719999999994E-2</v>
      </c>
      <c r="R4662">
        <v>-0.76692720000000003</v>
      </c>
      <c r="S4662">
        <v>2.720215</v>
      </c>
      <c r="T4662">
        <v>-0.36544219999999999</v>
      </c>
      <c r="U4662">
        <v>-1.705444</v>
      </c>
      <c r="V4662">
        <v>-0.24099970000000001</v>
      </c>
      <c r="W4662">
        <v>8.7182159999999995E-2</v>
      </c>
      <c r="X4662">
        <v>0.9666015</v>
      </c>
      <c r="Y4662">
        <v>-0.52649809999999997</v>
      </c>
      <c r="Z4662">
        <v>0.107534</v>
      </c>
      <c r="AA4662">
        <v>0.84334819999999999</v>
      </c>
      <c r="AB4662">
        <v>21</v>
      </c>
      <c r="AC4662">
        <v>0.64080000000001203</v>
      </c>
      <c r="AD4662">
        <v>-9.9180000000000004E-2</v>
      </c>
      <c r="AE4662">
        <v>-0.279799999999994</v>
      </c>
      <c r="AF4662">
        <v>-0.446426344575652</v>
      </c>
      <c r="AG4662">
        <v>-9.9180000000000004E-2</v>
      </c>
      <c r="AH4662">
        <v>0.520116375726975</v>
      </c>
      <c r="AI4662">
        <v>98.233382814365598</v>
      </c>
      <c r="AJ4662">
        <v>130.64015589259699</v>
      </c>
      <c r="AK4662">
        <v>0.69257071684452798</v>
      </c>
      <c r="AL4662">
        <v>84.998480730353705</v>
      </c>
      <c r="AM4662">
        <v>103.999937410947</v>
      </c>
      <c r="AN4662">
        <v>1.0000000221123</v>
      </c>
    </row>
    <row r="4663" spans="1:40" x14ac:dyDescent="0.25">
      <c r="A4663" t="str">
        <f>"20190303162002829"</f>
        <v>20190303162002829</v>
      </c>
      <c r="B4663" t="str">
        <f>"1551601202817298"</f>
        <v>1551601202817298</v>
      </c>
      <c r="C4663" t="s">
        <v>40</v>
      </c>
      <c r="D4663">
        <v>4.6027490000000002</v>
      </c>
      <c r="E4663">
        <v>0.36398360000000002</v>
      </c>
      <c r="F4663" t="s">
        <v>42</v>
      </c>
      <c r="G4663">
        <v>-487.84769999999997</v>
      </c>
      <c r="H4663">
        <v>1.0075190000000001</v>
      </c>
      <c r="I4663">
        <v>226.0104</v>
      </c>
      <c r="J4663">
        <v>-488.6268</v>
      </c>
      <c r="K4663">
        <v>1.1255360000000001</v>
      </c>
      <c r="L4663">
        <v>226.36170000000001</v>
      </c>
      <c r="M4663">
        <v>0.44241249999999999</v>
      </c>
      <c r="N4663">
        <v>-1.092654E-2</v>
      </c>
      <c r="O4663">
        <v>-0.89674509999999996</v>
      </c>
      <c r="P4663">
        <v>0.64420690000000003</v>
      </c>
      <c r="Q4663">
        <v>7.7831299999999895E-2</v>
      </c>
      <c r="R4663">
        <v>-0.76088120000000004</v>
      </c>
      <c r="S4663">
        <v>2.7346499999999998</v>
      </c>
      <c r="T4663">
        <v>-0.36577959999999998</v>
      </c>
      <c r="U4663">
        <v>-1.6788019999999999</v>
      </c>
      <c r="V4663">
        <v>-0.24203359999999999</v>
      </c>
      <c r="W4663">
        <v>8.5752239999999993E-2</v>
      </c>
      <c r="X4663">
        <v>0.96647110000000003</v>
      </c>
      <c r="Y4663">
        <v>-0.52721049999999903</v>
      </c>
      <c r="Z4663">
        <v>0.107624</v>
      </c>
      <c r="AA4663">
        <v>0.84289159999999996</v>
      </c>
      <c r="AB4663">
        <v>21</v>
      </c>
      <c r="AC4663">
        <v>0.77910000000002799</v>
      </c>
      <c r="AD4663">
        <v>-0.118017</v>
      </c>
      <c r="AE4663">
        <v>-0.35130000000000899</v>
      </c>
      <c r="AF4663">
        <v>-0.53310142810397898</v>
      </c>
      <c r="AG4663">
        <v>-0.118017</v>
      </c>
      <c r="AH4663">
        <v>0.64740430044859598</v>
      </c>
      <c r="AI4663">
        <v>98.010236356696893</v>
      </c>
      <c r="AJ4663">
        <v>129.46955639376301</v>
      </c>
      <c r="AK4663">
        <v>0.84691054614689898</v>
      </c>
      <c r="AL4663">
        <v>85.080717247802596</v>
      </c>
      <c r="AM4663">
        <v>104.05944258359899</v>
      </c>
      <c r="AN4663">
        <v>1.0000000486645899</v>
      </c>
    </row>
    <row r="4664" spans="1:40" x14ac:dyDescent="0.25">
      <c r="A4664" t="str">
        <f>"20190303162002853"</f>
        <v>20190303162002853</v>
      </c>
      <c r="B4664" t="str">
        <f>"1551601202847279"</f>
        <v>1551601202847279</v>
      </c>
      <c r="C4664" t="s">
        <v>40</v>
      </c>
      <c r="D4664">
        <v>4.6299270000000003</v>
      </c>
      <c r="E4664">
        <v>0.36617820000000001</v>
      </c>
      <c r="F4664" t="s">
        <v>42</v>
      </c>
      <c r="G4664">
        <v>-487.75959999999998</v>
      </c>
      <c r="H4664">
        <v>1.0348660000000001</v>
      </c>
      <c r="I4664">
        <v>225.85339999999999</v>
      </c>
      <c r="J4664">
        <v>-488.5283</v>
      </c>
      <c r="K4664">
        <v>1.1255219999999999</v>
      </c>
      <c r="L4664">
        <v>226.18299999999999</v>
      </c>
      <c r="M4664">
        <v>0.44957659999999999</v>
      </c>
      <c r="N4664">
        <v>-1.092281E-2</v>
      </c>
      <c r="O4664">
        <v>-0.89317519999999995</v>
      </c>
      <c r="P4664">
        <v>0.6516014</v>
      </c>
      <c r="Q4664">
        <v>7.6165849999999993E-2</v>
      </c>
      <c r="R4664">
        <v>-0.75472830000000002</v>
      </c>
      <c r="S4664">
        <v>2.7720340000000001</v>
      </c>
      <c r="T4664">
        <v>-0.2899352</v>
      </c>
      <c r="U4664">
        <v>-1.6255040000000001</v>
      </c>
      <c r="V4664">
        <v>-0.2436344</v>
      </c>
      <c r="W4664">
        <v>8.4065119999999993E-2</v>
      </c>
      <c r="X4664">
        <v>0.96621699999999999</v>
      </c>
      <c r="Y4664">
        <v>-0.53960489999999905</v>
      </c>
      <c r="Z4664">
        <v>8.3888270000000001E-2</v>
      </c>
      <c r="AA4664">
        <v>0.83772869999999999</v>
      </c>
      <c r="AB4664">
        <v>21</v>
      </c>
      <c r="AC4664">
        <v>0.76870000000002303</v>
      </c>
      <c r="AD4664">
        <v>-9.0655999999999806E-2</v>
      </c>
      <c r="AE4664">
        <v>-0.329599999999999</v>
      </c>
      <c r="AF4664">
        <v>-0.53218298930069097</v>
      </c>
      <c r="AG4664">
        <v>-9.0655999999999806E-2</v>
      </c>
      <c r="AH4664">
        <v>0.63258619127106797</v>
      </c>
      <c r="AI4664">
        <v>96.2582774194846</v>
      </c>
      <c r="AJ4664">
        <v>130.07327746631699</v>
      </c>
      <c r="AK4664">
        <v>0.83162643886775001</v>
      </c>
      <c r="AL4664">
        <v>85.177732117075607</v>
      </c>
      <c r="AM4664">
        <v>104.152279571797</v>
      </c>
      <c r="AN4664">
        <v>0.999999978176486</v>
      </c>
    </row>
    <row r="4665" spans="1:40" x14ac:dyDescent="0.25">
      <c r="A4665" t="str">
        <f>"20190303162002873"</f>
        <v>20190303162002873</v>
      </c>
      <c r="B4665" t="str">
        <f>"1551601202866799"</f>
        <v>1551601202866799</v>
      </c>
      <c r="C4665" t="s">
        <v>40</v>
      </c>
      <c r="D4665">
        <v>4.6776299999999997</v>
      </c>
      <c r="E4665">
        <v>0.36751800000000001</v>
      </c>
      <c r="F4665" t="s">
        <v>42</v>
      </c>
      <c r="G4665">
        <v>-487.67869999999999</v>
      </c>
      <c r="H4665">
        <v>1.0369299999999999</v>
      </c>
      <c r="I4665">
        <v>225.6901</v>
      </c>
      <c r="J4665">
        <v>-488.43310000000002</v>
      </c>
      <c r="K4665">
        <v>1.1255139999999999</v>
      </c>
      <c r="L4665">
        <v>226.01339999999999</v>
      </c>
      <c r="M4665">
        <v>0.45636070000000001</v>
      </c>
      <c r="N4665">
        <v>-1.0920060000000001E-2</v>
      </c>
      <c r="O4665">
        <v>-0.88972779999999996</v>
      </c>
      <c r="P4665">
        <v>0.65856649999999906</v>
      </c>
      <c r="Q4665">
        <v>7.4231560000000002E-2</v>
      </c>
      <c r="R4665">
        <v>-0.74885210000000002</v>
      </c>
      <c r="S4665">
        <v>2.774384</v>
      </c>
      <c r="T4665">
        <v>-0.28922740000000002</v>
      </c>
      <c r="U4665">
        <v>-1.6088709999999999</v>
      </c>
      <c r="V4665">
        <v>-0.2451255</v>
      </c>
      <c r="W4665">
        <v>8.2109710000000002E-2</v>
      </c>
      <c r="X4665">
        <v>0.96600799999999998</v>
      </c>
      <c r="Y4665">
        <v>-0.5372749</v>
      </c>
      <c r="Z4665">
        <v>8.3707820000000002E-2</v>
      </c>
      <c r="AA4665">
        <v>0.83924290000000001</v>
      </c>
      <c r="AB4665">
        <v>21</v>
      </c>
      <c r="AC4665">
        <v>0.75440000000003204</v>
      </c>
      <c r="AD4665">
        <v>-8.8583999999999996E-2</v>
      </c>
      <c r="AE4665">
        <v>-0.32329999999998899</v>
      </c>
      <c r="AF4665">
        <v>-0.51767025347865703</v>
      </c>
      <c r="AG4665">
        <v>-8.8583999999999996E-2</v>
      </c>
      <c r="AH4665">
        <v>0.62468835372451303</v>
      </c>
      <c r="AI4665">
        <v>96.231262258645501</v>
      </c>
      <c r="AJ4665">
        <v>129.64805399433499</v>
      </c>
      <c r="AK4665">
        <v>0.81612814904995201</v>
      </c>
      <c r="AL4665">
        <v>85.290157651193894</v>
      </c>
      <c r="AM4665">
        <v>104.238338808469</v>
      </c>
      <c r="AN4665">
        <v>0.99999998564526604</v>
      </c>
    </row>
    <row r="4666" spans="1:40" x14ac:dyDescent="0.25">
      <c r="A4666" t="str">
        <f>"20190303162002896"</f>
        <v>20190303162002896</v>
      </c>
      <c r="B4666" t="str">
        <f>"1551601202887295"</f>
        <v>1551601202887295</v>
      </c>
      <c r="C4666" t="s">
        <v>40</v>
      </c>
      <c r="D4666">
        <v>4.7125899999999996</v>
      </c>
      <c r="E4666">
        <v>0.36863240000000003</v>
      </c>
      <c r="F4666" t="s">
        <v>42</v>
      </c>
      <c r="G4666">
        <v>-487.59050000000002</v>
      </c>
      <c r="H4666">
        <v>1.0387729999999999</v>
      </c>
      <c r="I4666">
        <v>225.53210000000001</v>
      </c>
      <c r="J4666">
        <v>-488.33229999999998</v>
      </c>
      <c r="K4666">
        <v>1.1255029999999999</v>
      </c>
      <c r="L4666">
        <v>225.83699999999999</v>
      </c>
      <c r="M4666">
        <v>0.46341559999999998</v>
      </c>
      <c r="N4666">
        <v>-1.0917909999999999E-2</v>
      </c>
      <c r="O4666">
        <v>-0.88607409999999998</v>
      </c>
      <c r="P4666">
        <v>0.6654928</v>
      </c>
      <c r="Q4666">
        <v>7.2746519999999995E-2</v>
      </c>
      <c r="R4666">
        <v>-0.74285100000000004</v>
      </c>
      <c r="S4666">
        <v>2.7810359999999998</v>
      </c>
      <c r="T4666">
        <v>-0.286307599999999</v>
      </c>
      <c r="U4666">
        <v>-1.588776</v>
      </c>
      <c r="V4666">
        <v>-0.24633859999999999</v>
      </c>
      <c r="W4666">
        <v>8.0605529999999995E-2</v>
      </c>
      <c r="X4666">
        <v>0.96582610000000002</v>
      </c>
      <c r="Y4666">
        <v>-0.53608369999999905</v>
      </c>
      <c r="Z4666">
        <v>8.2792679999999994E-2</v>
      </c>
      <c r="AA4666">
        <v>0.84009500000000004</v>
      </c>
      <c r="AB4666">
        <v>21</v>
      </c>
      <c r="AC4666">
        <v>0.74179999999995505</v>
      </c>
      <c r="AD4666">
        <v>-8.6730000000000196E-2</v>
      </c>
      <c r="AE4666">
        <v>-0.304900000000003</v>
      </c>
      <c r="AF4666">
        <v>-0.510060210049745</v>
      </c>
      <c r="AG4666">
        <v>-8.6730000000000196E-2</v>
      </c>
      <c r="AH4666">
        <v>0.60686529486671004</v>
      </c>
      <c r="AI4666">
        <v>96.243582664067503</v>
      </c>
      <c r="AJ4666">
        <v>130.046494341021</v>
      </c>
      <c r="AK4666">
        <v>0.79747664347593905</v>
      </c>
      <c r="AL4666">
        <v>85.376627572183594</v>
      </c>
      <c r="AM4666">
        <v>104.308500875622</v>
      </c>
      <c r="AN4666">
        <v>1.0000000063788701</v>
      </c>
    </row>
    <row r="4667" spans="1:40" x14ac:dyDescent="0.25">
      <c r="A4667" t="str">
        <f>"20190303162002917"</f>
        <v>20190303162002917</v>
      </c>
      <c r="B4667" t="str">
        <f>"1551601202906814"</f>
        <v>1551601202906814</v>
      </c>
      <c r="C4667" t="s">
        <v>40</v>
      </c>
      <c r="D4667">
        <v>4.6757169999999997</v>
      </c>
      <c r="E4667">
        <v>0.36923070000000002</v>
      </c>
      <c r="F4667" t="s">
        <v>42</v>
      </c>
      <c r="G4667">
        <v>-487.50459999999998</v>
      </c>
      <c r="H4667">
        <v>1.0408309999999901</v>
      </c>
      <c r="I4667">
        <v>225.3715</v>
      </c>
      <c r="J4667">
        <v>-488.23039999999997</v>
      </c>
      <c r="K4667">
        <v>1.12551</v>
      </c>
      <c r="L4667">
        <v>225.6619</v>
      </c>
      <c r="M4667">
        <v>0.47041260000000001</v>
      </c>
      <c r="N4667">
        <v>-1.091658E-2</v>
      </c>
      <c r="O4667">
        <v>-0.88237919999999903</v>
      </c>
      <c r="P4667">
        <v>0.67303669999999904</v>
      </c>
      <c r="Q4667">
        <v>7.1715310000000004E-2</v>
      </c>
      <c r="R4667">
        <v>-0.73612429999999995</v>
      </c>
      <c r="S4667">
        <v>2.7886959999999998</v>
      </c>
      <c r="T4667">
        <v>-0.28525479999999998</v>
      </c>
      <c r="U4667">
        <v>-1.568085</v>
      </c>
      <c r="V4667">
        <v>-0.24849209999999999</v>
      </c>
      <c r="W4667">
        <v>7.9541319999999999E-2</v>
      </c>
      <c r="X4667">
        <v>0.96536250000000001</v>
      </c>
      <c r="Y4667">
        <v>-0.53515290000000004</v>
      </c>
      <c r="Z4667">
        <v>8.2448969999999996E-2</v>
      </c>
      <c r="AA4667">
        <v>0.84072209999999903</v>
      </c>
      <c r="AB4667">
        <v>21</v>
      </c>
      <c r="AC4667">
        <v>0.72579999999999201</v>
      </c>
      <c r="AD4667">
        <v>-8.4679000000000101E-2</v>
      </c>
      <c r="AE4667">
        <v>-0.29040000000000499</v>
      </c>
      <c r="AF4667">
        <v>-0.49800958653798799</v>
      </c>
      <c r="AG4667">
        <v>-8.4679000000000101E-2</v>
      </c>
      <c r="AH4667">
        <v>0.59077212161617298</v>
      </c>
      <c r="AI4667">
        <v>96.254207681902002</v>
      </c>
      <c r="AJ4667">
        <v>130.130247378961</v>
      </c>
      <c r="AK4667">
        <v>0.77730031583913095</v>
      </c>
      <c r="AL4667">
        <v>85.437798485094305</v>
      </c>
      <c r="AM4667">
        <v>104.435025454033</v>
      </c>
      <c r="AN4667">
        <v>0.99999995087799998</v>
      </c>
    </row>
    <row r="4668" spans="1:40" x14ac:dyDescent="0.25">
      <c r="A4668" t="str">
        <f>"20190303162002939"</f>
        <v>20190303162002939</v>
      </c>
      <c r="B4668" t="str">
        <f>"1551601202937070"</f>
        <v>1551601202937070</v>
      </c>
      <c r="C4668" t="s">
        <v>40</v>
      </c>
      <c r="D4668">
        <v>4.5160559999999998</v>
      </c>
      <c r="E4668">
        <v>0.31040459999999997</v>
      </c>
      <c r="F4668" t="s">
        <v>42</v>
      </c>
      <c r="G4668">
        <v>-487.41559999999998</v>
      </c>
      <c r="H4668">
        <v>1.0423910000000001</v>
      </c>
      <c r="I4668">
        <v>225.21289999999999</v>
      </c>
      <c r="J4668">
        <v>-488.12599999999998</v>
      </c>
      <c r="K4668">
        <v>1.125518</v>
      </c>
      <c r="L4668">
        <v>225.48570000000001</v>
      </c>
      <c r="M4668">
        <v>0.47745300000000002</v>
      </c>
      <c r="N4668">
        <v>-1.0916169999999999E-2</v>
      </c>
      <c r="O4668">
        <v>-0.87858959999999997</v>
      </c>
      <c r="P4668">
        <v>0.68060989999999999</v>
      </c>
      <c r="Q4668">
        <v>7.2505630000000001E-2</v>
      </c>
      <c r="R4668">
        <v>-0.72904979999999997</v>
      </c>
      <c r="S4668">
        <v>2.8005070000000001</v>
      </c>
      <c r="T4668">
        <v>-0.28561350000000002</v>
      </c>
      <c r="U4668">
        <v>-1.5427550000000001</v>
      </c>
      <c r="V4668">
        <v>-0.25080079999999999</v>
      </c>
      <c r="W4668">
        <v>8.0294210000000005E-2</v>
      </c>
      <c r="X4668">
        <v>0.96470299999999998</v>
      </c>
      <c r="Y4668">
        <v>-0.53572439999999999</v>
      </c>
      <c r="Z4668">
        <v>8.2546140000000004E-2</v>
      </c>
      <c r="AA4668">
        <v>0.8403484</v>
      </c>
      <c r="AB4668">
        <v>21</v>
      </c>
      <c r="AC4668">
        <v>0.71039999999999204</v>
      </c>
      <c r="AD4668">
        <v>-8.3126999999999895E-2</v>
      </c>
      <c r="AE4668">
        <v>-0.27280000000001697</v>
      </c>
      <c r="AF4668">
        <v>-0.48810581749117998</v>
      </c>
      <c r="AG4668">
        <v>-8.3126999999999895E-2</v>
      </c>
      <c r="AH4668">
        <v>0.57206993081885604</v>
      </c>
      <c r="AI4668">
        <v>96.307895411626205</v>
      </c>
      <c r="AJ4668">
        <v>130.471723752939</v>
      </c>
      <c r="AK4668">
        <v>0.75658535073369204</v>
      </c>
      <c r="AL4668">
        <v>85.394523053496698</v>
      </c>
      <c r="AM4668">
        <v>104.572993411818</v>
      </c>
      <c r="AN4668">
        <v>1.0000000398245801</v>
      </c>
    </row>
    <row r="4669" spans="1:40" x14ac:dyDescent="0.25">
      <c r="A4669" t="str">
        <f>"20190303162002962"</f>
        <v>20190303162002962</v>
      </c>
      <c r="B4669" t="str">
        <f>"1551601202957567"</f>
        <v>1551601202957567</v>
      </c>
      <c r="C4669" t="s">
        <v>40</v>
      </c>
      <c r="D4669">
        <v>4.6665349999999997</v>
      </c>
      <c r="E4669">
        <v>0.26735890000000001</v>
      </c>
      <c r="F4669" t="s">
        <v>49</v>
      </c>
      <c r="G4669">
        <v>-479.85390000000001</v>
      </c>
      <c r="H4669">
        <v>6.1432519999999997E-2</v>
      </c>
      <c r="I4669">
        <v>222.33500000000001</v>
      </c>
      <c r="J4669">
        <v>-488.0188</v>
      </c>
      <c r="K4669">
        <v>1.125548</v>
      </c>
      <c r="L4669">
        <v>225.30799999999999</v>
      </c>
      <c r="M4669">
        <v>0.48457329999999998</v>
      </c>
      <c r="N4669">
        <v>-1.091745E-2</v>
      </c>
      <c r="O4669">
        <v>-0.87468279999999998</v>
      </c>
      <c r="P4669">
        <v>0.68805169999999904</v>
      </c>
      <c r="Q4669">
        <v>7.5876659999999999E-2</v>
      </c>
      <c r="R4669">
        <v>-0.72168409999999905</v>
      </c>
      <c r="S4669">
        <v>3.1613769999999999</v>
      </c>
      <c r="T4669">
        <v>-0.40666790000000003</v>
      </c>
      <c r="U4669">
        <v>-1.2041170000000001</v>
      </c>
      <c r="V4669">
        <v>-0.25306970000000001</v>
      </c>
      <c r="W4669">
        <v>8.3621790000000001E-2</v>
      </c>
      <c r="X4669">
        <v>0.9638274</v>
      </c>
      <c r="Y4669">
        <v>-0.63758519999999996</v>
      </c>
      <c r="Z4669">
        <v>0.1178932</v>
      </c>
      <c r="AA4669">
        <v>0.76130569999999997</v>
      </c>
      <c r="AB4669">
        <v>21</v>
      </c>
      <c r="AC4669">
        <v>8.1648999999999798</v>
      </c>
      <c r="AD4669">
        <v>-1.0641154799999999</v>
      </c>
      <c r="AE4669">
        <v>-2.9729999999999799</v>
      </c>
      <c r="AF4669">
        <v>-5.6171588197540903</v>
      </c>
      <c r="AG4669">
        <v>-1.0641154799999999</v>
      </c>
      <c r="AH4669">
        <v>6.46042643254731</v>
      </c>
      <c r="AI4669">
        <v>97.085466535643405</v>
      </c>
      <c r="AJ4669">
        <v>131.00604004804899</v>
      </c>
      <c r="AK4669">
        <v>8.6268142817307005</v>
      </c>
      <c r="AL4669">
        <v>85.203223236686696</v>
      </c>
      <c r="AM4669">
        <v>104.711919163696</v>
      </c>
      <c r="AN4669">
        <v>1.00000006690582</v>
      </c>
    </row>
    <row r="4670" spans="1:40" x14ac:dyDescent="0.25">
      <c r="A4670" t="str">
        <f>"20190303162002997"</f>
        <v>20190303162002997</v>
      </c>
      <c r="B4670" t="str">
        <f>"1551601202986847"</f>
        <v>1551601202986847</v>
      </c>
      <c r="C4670" t="s">
        <v>40</v>
      </c>
      <c r="D4670">
        <v>4.4988020000000004</v>
      </c>
      <c r="E4670">
        <v>0.2736616</v>
      </c>
      <c r="F4670" t="s">
        <v>49</v>
      </c>
      <c r="G4670">
        <v>-479.93400000000003</v>
      </c>
      <c r="H4670">
        <v>5.5161209999999997E-3</v>
      </c>
      <c r="I4670">
        <v>223.08879999999999</v>
      </c>
      <c r="J4670">
        <v>-487.85430000000002</v>
      </c>
      <c r="K4670">
        <v>1.12564</v>
      </c>
      <c r="L4670">
        <v>225.04179999999999</v>
      </c>
      <c r="M4670">
        <v>0.49535289999999998</v>
      </c>
      <c r="N4670">
        <v>-1.092572E-2</v>
      </c>
      <c r="O4670">
        <v>-0.86862309999999998</v>
      </c>
      <c r="P4670">
        <v>0.69570369999999904</v>
      </c>
      <c r="Q4670">
        <v>7.9889890000000005E-2</v>
      </c>
      <c r="R4670">
        <v>-0.71387279999999997</v>
      </c>
      <c r="S4670">
        <v>3.4261170000000001</v>
      </c>
      <c r="T4670">
        <v>-0.47463749999999999</v>
      </c>
      <c r="U4670">
        <v>-0.94041439999999998</v>
      </c>
      <c r="V4670">
        <v>-0.25169589999999997</v>
      </c>
      <c r="W4670">
        <v>8.761679E-2</v>
      </c>
      <c r="X4670">
        <v>0.96383220000000003</v>
      </c>
      <c r="Y4670">
        <v>-0.69667049999999997</v>
      </c>
      <c r="Z4670">
        <v>0.1348355</v>
      </c>
      <c r="AA4670">
        <v>0.70460590000000001</v>
      </c>
      <c r="AB4670">
        <v>21</v>
      </c>
      <c r="AC4670">
        <v>7.9202999999999903</v>
      </c>
      <c r="AD4670">
        <v>-1.1201238790000001</v>
      </c>
      <c r="AE4670">
        <v>-1.9530000000000001</v>
      </c>
      <c r="AF4670">
        <v>-5.8032668464272401</v>
      </c>
      <c r="AG4670">
        <v>-1.1201238790000001</v>
      </c>
      <c r="AH4670">
        <v>5.5160969751060804</v>
      </c>
      <c r="AI4670">
        <v>97.964019904230895</v>
      </c>
      <c r="AJ4670">
        <v>136.45327010051099</v>
      </c>
      <c r="AK4670">
        <v>8.0845475713809805</v>
      </c>
      <c r="AL4670">
        <v>84.973482590462496</v>
      </c>
      <c r="AM4670">
        <v>104.635422779471</v>
      </c>
      <c r="AN4670">
        <v>1.0000000188617699</v>
      </c>
    </row>
    <row r="4671" spans="1:40" x14ac:dyDescent="0.25">
      <c r="A4671" t="str">
        <f>"20190303162003021"</f>
        <v>20190303162003021</v>
      </c>
      <c r="B4671" t="str">
        <f>"1551601203017102"</f>
        <v>1551601203017102</v>
      </c>
      <c r="C4671" t="s">
        <v>40</v>
      </c>
      <c r="D4671">
        <v>4.4768420000000004</v>
      </c>
      <c r="E4671">
        <v>0.27625690000000003</v>
      </c>
      <c r="F4671" t="s">
        <v>49</v>
      </c>
      <c r="G4671">
        <v>-479.91629999999998</v>
      </c>
      <c r="H4671">
        <v>5.0110090000000003E-2</v>
      </c>
      <c r="I4671">
        <v>222.85640000000001</v>
      </c>
      <c r="J4671">
        <v>-487.73140000000001</v>
      </c>
      <c r="K4671">
        <v>1.1257280000000001</v>
      </c>
      <c r="L4671">
        <v>224.84780000000001</v>
      </c>
      <c r="M4671">
        <v>0.50331780000000004</v>
      </c>
      <c r="N4671">
        <v>-1.093713E-2</v>
      </c>
      <c r="O4671">
        <v>-0.86403240000000003</v>
      </c>
      <c r="P4671">
        <v>0.70058069999999995</v>
      </c>
      <c r="Q4671">
        <v>8.0107650000000002E-2</v>
      </c>
      <c r="R4671">
        <v>-0.70906259999999999</v>
      </c>
      <c r="S4671">
        <v>3.4035639999999998</v>
      </c>
      <c r="T4671">
        <v>-0.46115489999999998</v>
      </c>
      <c r="U4671">
        <v>-0.93705749999999999</v>
      </c>
      <c r="V4671">
        <v>-0.24947069999999999</v>
      </c>
      <c r="W4671">
        <v>8.7828639999999999E-2</v>
      </c>
      <c r="X4671">
        <v>0.96439129999999995</v>
      </c>
      <c r="Y4671">
        <v>-0.69005349999999999</v>
      </c>
      <c r="Z4671">
        <v>0.1312412</v>
      </c>
      <c r="AA4671">
        <v>0.71175980000000005</v>
      </c>
      <c r="AB4671">
        <v>21</v>
      </c>
      <c r="AC4671">
        <v>7.8151000000000197</v>
      </c>
      <c r="AD4671">
        <v>-1.0756179100000001</v>
      </c>
      <c r="AE4671">
        <v>-1.9913999999999901</v>
      </c>
      <c r="AF4671">
        <v>-5.6500328278218799</v>
      </c>
      <c r="AG4671">
        <v>-1.0756179100000001</v>
      </c>
      <c r="AH4671">
        <v>5.5556269058632797</v>
      </c>
      <c r="AI4671">
        <v>97.730300569107399</v>
      </c>
      <c r="AJ4671">
        <v>135.48269651662901</v>
      </c>
      <c r="AK4671">
        <v>7.9965502037397096</v>
      </c>
      <c r="AL4671">
        <v>84.961297611419397</v>
      </c>
      <c r="AM4671">
        <v>104.503460972913</v>
      </c>
      <c r="AN4671">
        <v>1.0000000398392099</v>
      </c>
    </row>
    <row r="4672" spans="1:40" x14ac:dyDescent="0.25">
      <c r="A4672" t="str">
        <f>"20190303162003042"</f>
        <v>20190303162003042</v>
      </c>
      <c r="B4672" t="str">
        <f>"1551601203036623"</f>
        <v>1551601203036623</v>
      </c>
      <c r="C4672" t="s">
        <v>40</v>
      </c>
      <c r="D4672">
        <v>4.4706210000000004</v>
      </c>
      <c r="E4672">
        <v>0.2804529</v>
      </c>
      <c r="F4672" t="s">
        <v>49</v>
      </c>
      <c r="G4672">
        <v>-479.86750000000001</v>
      </c>
      <c r="H4672">
        <v>8.0000509999999997E-2</v>
      </c>
      <c r="I4672">
        <v>222.7063</v>
      </c>
      <c r="J4672">
        <v>-487.62720000000002</v>
      </c>
      <c r="K4672">
        <v>1.1258079999999999</v>
      </c>
      <c r="L4672">
        <v>224.68639999999999</v>
      </c>
      <c r="M4672">
        <v>0.51004309999999997</v>
      </c>
      <c r="N4672">
        <v>-1.095022E-2</v>
      </c>
      <c r="O4672">
        <v>-0.86007929999999999</v>
      </c>
      <c r="P4672">
        <v>0.70530709999999996</v>
      </c>
      <c r="Q4672">
        <v>7.8961610000000002E-2</v>
      </c>
      <c r="R4672">
        <v>-0.70449119999999998</v>
      </c>
      <c r="S4672">
        <v>3.3974299999999999</v>
      </c>
      <c r="T4672">
        <v>-0.4517815</v>
      </c>
      <c r="U4672">
        <v>-0.92517090000000002</v>
      </c>
      <c r="V4672">
        <v>-0.2483349</v>
      </c>
      <c r="W4672">
        <v>8.6660100000000004E-2</v>
      </c>
      <c r="X4672">
        <v>0.96479000000000004</v>
      </c>
      <c r="Y4672">
        <v>-0.68680410000000003</v>
      </c>
      <c r="Z4672">
        <v>0.12852359999999999</v>
      </c>
      <c r="AA4672">
        <v>0.71538930000000001</v>
      </c>
      <c r="AB4672">
        <v>21</v>
      </c>
      <c r="AC4672">
        <v>7.7596999999999996</v>
      </c>
      <c r="AD4672">
        <v>-1.0458074899999901</v>
      </c>
      <c r="AE4672">
        <v>-1.98009999999999</v>
      </c>
      <c r="AF4672">
        <v>-5.5693816426274303</v>
      </c>
      <c r="AG4672">
        <v>-1.0458074899999901</v>
      </c>
      <c r="AH4672">
        <v>5.5662385162292596</v>
      </c>
      <c r="AI4672">
        <v>97.565551245215502</v>
      </c>
      <c r="AJ4672">
        <v>135.016172235559</v>
      </c>
      <c r="AK4672">
        <v>7.9432195240298897</v>
      </c>
      <c r="AL4672">
        <v>85.028505944471206</v>
      </c>
      <c r="AM4672">
        <v>104.434477740994</v>
      </c>
      <c r="AN4672">
        <v>0.99999996979500905</v>
      </c>
    </row>
    <row r="4673" spans="1:40" x14ac:dyDescent="0.25">
      <c r="A4673" t="str">
        <f>"20190303162003065"</f>
        <v>20190303162003065</v>
      </c>
      <c r="B4673" t="str">
        <f>"1551601203056650"</f>
        <v>1551601203056650</v>
      </c>
      <c r="C4673" t="s">
        <v>40</v>
      </c>
      <c r="D4673">
        <v>4.4747389999999996</v>
      </c>
      <c r="E4673">
        <v>0.28347549999999999</v>
      </c>
      <c r="F4673" t="s">
        <v>49</v>
      </c>
      <c r="G4673">
        <v>-479.7484</v>
      </c>
      <c r="H4673">
        <v>8.0000500000000002E-2</v>
      </c>
      <c r="I4673">
        <v>222.53210000000001</v>
      </c>
      <c r="J4673">
        <v>-487.51209999999998</v>
      </c>
      <c r="K4673">
        <v>1.1259300000000001</v>
      </c>
      <c r="L4673">
        <v>224.51179999999999</v>
      </c>
      <c r="M4673">
        <v>0.51746709999999996</v>
      </c>
      <c r="N4673">
        <v>-1.096862E-2</v>
      </c>
      <c r="O4673">
        <v>-0.85563289999999903</v>
      </c>
      <c r="P4673">
        <v>0.71136889999999997</v>
      </c>
      <c r="Q4673">
        <v>7.8881880000000001E-2</v>
      </c>
      <c r="R4673">
        <v>-0.69837819999999995</v>
      </c>
      <c r="S4673">
        <v>3.3804319999999999</v>
      </c>
      <c r="T4673">
        <v>-0.44870850000000001</v>
      </c>
      <c r="U4673">
        <v>-0.92433169999999998</v>
      </c>
      <c r="V4673">
        <v>-0.2483428</v>
      </c>
      <c r="W4673">
        <v>8.6526119999999998E-2</v>
      </c>
      <c r="X4673">
        <v>0.96479999999999999</v>
      </c>
      <c r="Y4673">
        <v>-0.67987719999999996</v>
      </c>
      <c r="Z4673">
        <v>0.12772919999999999</v>
      </c>
      <c r="AA4673">
        <v>0.72211650000000005</v>
      </c>
      <c r="AB4673">
        <v>21</v>
      </c>
      <c r="AC4673">
        <v>7.7636999999999698</v>
      </c>
      <c r="AD4673">
        <v>-1.0459295</v>
      </c>
      <c r="AE4673">
        <v>-1.97969999999998</v>
      </c>
      <c r="AF4673">
        <v>-5.5246367729421699</v>
      </c>
      <c r="AG4673">
        <v>-1.0459295</v>
      </c>
      <c r="AH4673">
        <v>5.6159937401200999</v>
      </c>
      <c r="AI4673">
        <v>97.562809122064195</v>
      </c>
      <c r="AJ4673">
        <v>134.53016561157699</v>
      </c>
      <c r="AK4673">
        <v>7.9470098578637298</v>
      </c>
      <c r="AL4673">
        <v>85.036211416905502</v>
      </c>
      <c r="AM4673">
        <v>104.434774379218</v>
      </c>
      <c r="AN4673">
        <v>0.99999997787704598</v>
      </c>
    </row>
    <row r="4674" spans="1:40" x14ac:dyDescent="0.25">
      <c r="A4674" t="str">
        <f>"20190303162003085"</f>
        <v>20190303162003085</v>
      </c>
      <c r="B4674" t="str">
        <f>"1551601203077146"</f>
        <v>1551601203077146</v>
      </c>
      <c r="C4674" t="s">
        <v>40</v>
      </c>
      <c r="D4674">
        <v>4.5127430000000004</v>
      </c>
      <c r="E4674">
        <v>0.28626249999999998</v>
      </c>
      <c r="F4674" t="s">
        <v>49</v>
      </c>
      <c r="G4674">
        <v>-479.58440000000002</v>
      </c>
      <c r="H4674">
        <v>8.0000550000000004E-2</v>
      </c>
      <c r="I4674">
        <v>222.36879999999999</v>
      </c>
      <c r="J4674">
        <v>-487.40309999999999</v>
      </c>
      <c r="K4674">
        <v>1.126069</v>
      </c>
      <c r="L4674">
        <v>224.34970000000001</v>
      </c>
      <c r="M4674">
        <v>0.52453479999999997</v>
      </c>
      <c r="N4674">
        <v>-1.0991269999999999E-2</v>
      </c>
      <c r="O4674">
        <v>-0.85131809999999997</v>
      </c>
      <c r="P4674">
        <v>0.71754739999999995</v>
      </c>
      <c r="Q4674">
        <v>8.0179E-2</v>
      </c>
      <c r="R4674">
        <v>-0.69187949999999998</v>
      </c>
      <c r="S4674">
        <v>3.3717649999999999</v>
      </c>
      <c r="T4674">
        <v>-0.44484970000000001</v>
      </c>
      <c r="U4674">
        <v>-0.91145319999999996</v>
      </c>
      <c r="V4674">
        <v>-0.2490511</v>
      </c>
      <c r="W4674">
        <v>8.7752170000000004E-2</v>
      </c>
      <c r="X4674">
        <v>0.96450670000000005</v>
      </c>
      <c r="Y4674">
        <v>-0.67606790000000005</v>
      </c>
      <c r="Z4674">
        <v>0.12668109999999999</v>
      </c>
      <c r="AA4674">
        <v>0.72586790000000001</v>
      </c>
      <c r="AB4674">
        <v>21</v>
      </c>
      <c r="AC4674">
        <v>7.8186999999999696</v>
      </c>
      <c r="AD4674">
        <v>-1.0460684499999999</v>
      </c>
      <c r="AE4674">
        <v>-1.9809000000000201</v>
      </c>
      <c r="AF4674">
        <v>-5.52456437934761</v>
      </c>
      <c r="AG4674">
        <v>-1.0460684499999999</v>
      </c>
      <c r="AH4674">
        <v>5.6921620533867099</v>
      </c>
      <c r="AI4674">
        <v>97.5124971512966</v>
      </c>
      <c r="AJ4674">
        <v>134.14396371210699</v>
      </c>
      <c r="AK4674">
        <v>8.0009861658208994</v>
      </c>
      <c r="AL4674">
        <v>84.965695972596905</v>
      </c>
      <c r="AM4674">
        <v>104.478433369447</v>
      </c>
      <c r="AN4674">
        <v>1.0000000340479001</v>
      </c>
    </row>
    <row r="4675" spans="1:40" x14ac:dyDescent="0.25">
      <c r="A4675" t="str">
        <f>"20190303162003108"</f>
        <v>20190303162003108</v>
      </c>
      <c r="B4675" t="str">
        <f>"1551601203096666"</f>
        <v>1551601203096666</v>
      </c>
      <c r="C4675" t="s">
        <v>40</v>
      </c>
      <c r="D4675">
        <v>4.4758500000000003</v>
      </c>
      <c r="E4675">
        <v>0.2887284</v>
      </c>
      <c r="F4675" t="s">
        <v>49</v>
      </c>
      <c r="G4675">
        <v>-479.3227</v>
      </c>
      <c r="H4675">
        <v>8.0000589999999996E-2</v>
      </c>
      <c r="I4675">
        <v>222.1951</v>
      </c>
      <c r="J4675">
        <v>-487.2869</v>
      </c>
      <c r="K4675">
        <v>1.126236</v>
      </c>
      <c r="L4675">
        <v>224.1807</v>
      </c>
      <c r="M4675">
        <v>0.53210139999999995</v>
      </c>
      <c r="N4675">
        <v>-1.102038E-2</v>
      </c>
      <c r="O4675">
        <v>-0.8466089</v>
      </c>
      <c r="P4675">
        <v>0.72399769999999997</v>
      </c>
      <c r="Q4675">
        <v>8.1009449999999997E-2</v>
      </c>
      <c r="R4675">
        <v>-0.68502909999999995</v>
      </c>
      <c r="S4675">
        <v>3.364471</v>
      </c>
      <c r="T4675">
        <v>-0.43555830000000001</v>
      </c>
      <c r="U4675">
        <v>-0.89712519999999996</v>
      </c>
      <c r="V4675">
        <v>-0.24958659999999999</v>
      </c>
      <c r="W4675">
        <v>8.8509279999999996E-2</v>
      </c>
      <c r="X4675">
        <v>0.96429900000000002</v>
      </c>
      <c r="Y4675">
        <v>-0.67238529999999996</v>
      </c>
      <c r="Z4675">
        <v>0.1239572</v>
      </c>
      <c r="AA4675">
        <v>0.72974839999999996</v>
      </c>
      <c r="AB4675">
        <v>21</v>
      </c>
      <c r="AC4675">
        <v>7.9641999999999999</v>
      </c>
      <c r="AD4675">
        <v>-1.04623541</v>
      </c>
      <c r="AE4675">
        <v>-1.9856</v>
      </c>
      <c r="AF4675">
        <v>-5.59545553997072</v>
      </c>
      <c r="AG4675">
        <v>-1.04623541</v>
      </c>
      <c r="AH4675">
        <v>5.8245145926218997</v>
      </c>
      <c r="AI4675">
        <v>97.380794365090296</v>
      </c>
      <c r="AJ4675">
        <v>133.850928921541</v>
      </c>
      <c r="AK4675">
        <v>8.1442434561223909</v>
      </c>
      <c r="AL4675">
        <v>84.922146949561693</v>
      </c>
      <c r="AM4675">
        <v>104.511244903643</v>
      </c>
      <c r="AN4675">
        <v>0.999999962473338</v>
      </c>
    </row>
    <row r="4676" spans="1:40" x14ac:dyDescent="0.25">
      <c r="A4676" t="str">
        <f>"20190303162003130"</f>
        <v>20190303162003130</v>
      </c>
      <c r="B4676" t="str">
        <f>"1551601203126922"</f>
        <v>1551601203126922</v>
      </c>
      <c r="C4676" t="s">
        <v>40</v>
      </c>
      <c r="D4676">
        <v>4.4911240000000001</v>
      </c>
      <c r="E4676">
        <v>0.31055070000000001</v>
      </c>
      <c r="F4676" t="s">
        <v>49</v>
      </c>
      <c r="G4676">
        <v>-479.0727</v>
      </c>
      <c r="H4676">
        <v>8.0000550000000004E-2</v>
      </c>
      <c r="I4676">
        <v>222.0291</v>
      </c>
      <c r="J4676">
        <v>-487.16730000000001</v>
      </c>
      <c r="K4676">
        <v>1.126385</v>
      </c>
      <c r="L4676">
        <v>224.01050000000001</v>
      </c>
      <c r="M4676">
        <v>0.53988999999999998</v>
      </c>
      <c r="N4676">
        <v>-1.1051450000000001E-2</v>
      </c>
      <c r="O4676">
        <v>-0.841663099999999</v>
      </c>
      <c r="P4676">
        <v>0.7306338</v>
      </c>
      <c r="Q4676">
        <v>8.0712240000000005E-2</v>
      </c>
      <c r="R4676">
        <v>-0.67798230000000004</v>
      </c>
      <c r="S4676">
        <v>3.3590390000000001</v>
      </c>
      <c r="T4676">
        <v>-0.42783569999999999</v>
      </c>
      <c r="U4676">
        <v>-0.87985230000000003</v>
      </c>
      <c r="V4676">
        <v>-0.25008760000000002</v>
      </c>
      <c r="W4676">
        <v>8.8146890000000006E-2</v>
      </c>
      <c r="X4676">
        <v>0.96420240000000002</v>
      </c>
      <c r="Y4676">
        <v>-0.6691049</v>
      </c>
      <c r="Z4676">
        <v>0.1216619</v>
      </c>
      <c r="AA4676">
        <v>0.73314179999999995</v>
      </c>
      <c r="AB4676">
        <v>21</v>
      </c>
      <c r="AC4676">
        <v>8.0946000000000105</v>
      </c>
      <c r="AD4676">
        <v>-1.0463844499999999</v>
      </c>
      <c r="AE4676">
        <v>-1.9814000000000001</v>
      </c>
      <c r="AF4676">
        <v>-5.65439172113427</v>
      </c>
      <c r="AG4676">
        <v>-1.0463844499999999</v>
      </c>
      <c r="AH4676">
        <v>5.9445124527864897</v>
      </c>
      <c r="AI4676">
        <v>97.268380971799004</v>
      </c>
      <c r="AJ4676">
        <v>133.567172560069</v>
      </c>
      <c r="AK4676">
        <v>8.2706888742454403</v>
      </c>
      <c r="AL4676">
        <v>84.942991905245904</v>
      </c>
      <c r="AM4676">
        <v>104.540535213041</v>
      </c>
      <c r="AN4676">
        <v>0.99999997502809501</v>
      </c>
    </row>
    <row r="4677" spans="1:40" x14ac:dyDescent="0.25">
      <c r="A4677" t="str">
        <f>"20190303162003153"</f>
        <v>20190303162003153</v>
      </c>
      <c r="B4677" t="str">
        <f>"1551601203146714"</f>
        <v>1551601203146714</v>
      </c>
      <c r="C4677" t="s">
        <v>40</v>
      </c>
      <c r="D4677">
        <v>4.4646660000000002</v>
      </c>
      <c r="E4677">
        <v>0.31146940000000001</v>
      </c>
      <c r="F4677" t="s">
        <v>49</v>
      </c>
      <c r="G4677">
        <v>-477.98590000000002</v>
      </c>
      <c r="H4677">
        <v>8.0000329999999995E-2</v>
      </c>
      <c r="I4677">
        <v>221.2621</v>
      </c>
      <c r="J4677">
        <v>-487.04509999999999</v>
      </c>
      <c r="K4677">
        <v>1.126522</v>
      </c>
      <c r="L4677">
        <v>223.84020000000001</v>
      </c>
      <c r="M4677">
        <v>0.54785220000000001</v>
      </c>
      <c r="N4677">
        <v>-1.108168E-2</v>
      </c>
      <c r="O4677">
        <v>-0.83650199999999997</v>
      </c>
      <c r="P4677">
        <v>0.73791799999999996</v>
      </c>
      <c r="Q4677">
        <v>8.1207059999999998E-2</v>
      </c>
      <c r="R4677">
        <v>-0.669987</v>
      </c>
      <c r="S4677">
        <v>3.2453609999999999</v>
      </c>
      <c r="T4677">
        <v>-0.36986770000000002</v>
      </c>
      <c r="U4677">
        <v>-0.97148129999999999</v>
      </c>
      <c r="V4677">
        <v>-0.25142639999999999</v>
      </c>
      <c r="W4677">
        <v>8.8571040000000004E-2</v>
      </c>
      <c r="X4677">
        <v>0.96381530000000004</v>
      </c>
      <c r="Y4677">
        <v>-0.63802019999999904</v>
      </c>
      <c r="Z4677">
        <v>0.10541490000000001</v>
      </c>
      <c r="AA4677">
        <v>0.7627699</v>
      </c>
      <c r="AB4677">
        <v>21</v>
      </c>
      <c r="AC4677">
        <v>9.0591999999999704</v>
      </c>
      <c r="AD4677">
        <v>-1.04652167</v>
      </c>
      <c r="AE4677">
        <v>-2.5781000000000001</v>
      </c>
      <c r="AF4677">
        <v>-6.0908065951300996</v>
      </c>
      <c r="AG4677">
        <v>-1.04652167</v>
      </c>
      <c r="AH4677">
        <v>7.0332970951857696</v>
      </c>
      <c r="AI4677">
        <v>96.417673701167601</v>
      </c>
      <c r="AJ4677">
        <v>130.89242935330799</v>
      </c>
      <c r="AK4677">
        <v>9.3627133147506107</v>
      </c>
      <c r="AL4677">
        <v>84.918594591524695</v>
      </c>
      <c r="AM4677">
        <v>104.620669259816</v>
      </c>
      <c r="AN4677">
        <v>0.99999999812886498</v>
      </c>
    </row>
    <row r="4678" spans="1:40" x14ac:dyDescent="0.25">
      <c r="A4678" t="str">
        <f>"20190303162003175"</f>
        <v>20190303162003175</v>
      </c>
      <c r="B4678" t="str">
        <f>"1551601203167211"</f>
        <v>1551601203167211</v>
      </c>
      <c r="C4678" t="s">
        <v>40</v>
      </c>
      <c r="D4678">
        <v>4.478942</v>
      </c>
      <c r="E4678">
        <v>0.31358930000000002</v>
      </c>
      <c r="F4678" t="s">
        <v>49</v>
      </c>
      <c r="G4678">
        <v>-477.80169999999998</v>
      </c>
      <c r="H4678">
        <v>8.0000340000000003E-2</v>
      </c>
      <c r="I4678">
        <v>221.15809999999999</v>
      </c>
      <c r="J4678">
        <v>-486.9212</v>
      </c>
      <c r="K4678">
        <v>1.1266389999999999</v>
      </c>
      <c r="L4678">
        <v>223.6713</v>
      </c>
      <c r="M4678">
        <v>0.5559172</v>
      </c>
      <c r="N4678">
        <v>-1.111058E-2</v>
      </c>
      <c r="O4678">
        <v>-0.83116369999999895</v>
      </c>
      <c r="P4678">
        <v>0.7449846</v>
      </c>
      <c r="Q4678">
        <v>8.1818299999999997E-2</v>
      </c>
      <c r="R4678">
        <v>-0.66204510000000005</v>
      </c>
      <c r="S4678">
        <v>3.2497560000000001</v>
      </c>
      <c r="T4678">
        <v>-0.36793169999999997</v>
      </c>
      <c r="U4678">
        <v>-0.94296259999999998</v>
      </c>
      <c r="V4678">
        <v>-0.25240499999999999</v>
      </c>
      <c r="W4678">
        <v>8.9125309999999999E-2</v>
      </c>
      <c r="X4678">
        <v>0.96350840000000004</v>
      </c>
      <c r="Y4678">
        <v>-0.63711519999999899</v>
      </c>
      <c r="Z4678">
        <v>0.1047266</v>
      </c>
      <c r="AA4678">
        <v>0.76362069999999904</v>
      </c>
      <c r="AB4678">
        <v>21</v>
      </c>
      <c r="AC4678">
        <v>9.1195000000000093</v>
      </c>
      <c r="AD4678">
        <v>-1.0466386599999999</v>
      </c>
      <c r="AE4678">
        <v>-2.5132000000000101</v>
      </c>
      <c r="AF4678">
        <v>-6.1082676202210298</v>
      </c>
      <c r="AG4678">
        <v>-1.0466386599999999</v>
      </c>
      <c r="AH4678">
        <v>7.0724254492104999</v>
      </c>
      <c r="AI4678">
        <v>96.390446921729506</v>
      </c>
      <c r="AJ4678">
        <v>130.81630806208699</v>
      </c>
      <c r="AK4678">
        <v>9.4034880517543904</v>
      </c>
      <c r="AL4678">
        <v>84.886711282834895</v>
      </c>
      <c r="AM4678">
        <v>104.67959633077299</v>
      </c>
      <c r="AN4678">
        <v>1.00000002088907</v>
      </c>
    </row>
    <row r="4679" spans="1:40" x14ac:dyDescent="0.25">
      <c r="A4679" t="str">
        <f>"20190303162003197"</f>
        <v>20190303162003197</v>
      </c>
      <c r="B4679" t="str">
        <f>"1551601203186730"</f>
        <v>1551601203186730</v>
      </c>
      <c r="C4679" t="s">
        <v>40</v>
      </c>
      <c r="D4679">
        <v>4.4734489999999996</v>
      </c>
      <c r="E4679">
        <v>0.31515130000000002</v>
      </c>
      <c r="F4679" t="s">
        <v>49</v>
      </c>
      <c r="G4679">
        <v>-477.66800000000001</v>
      </c>
      <c r="H4679">
        <v>8.0000340000000003E-2</v>
      </c>
      <c r="I4679">
        <v>221.04429999999999</v>
      </c>
      <c r="J4679">
        <v>-486.80040000000002</v>
      </c>
      <c r="K4679">
        <v>1.1267370000000001</v>
      </c>
      <c r="L4679">
        <v>223.5102</v>
      </c>
      <c r="M4679">
        <v>0.56375940000000002</v>
      </c>
      <c r="N4679">
        <v>-1.113835E-2</v>
      </c>
      <c r="O4679">
        <v>-0.82586399999999904</v>
      </c>
      <c r="P4679">
        <v>0.75137600000000004</v>
      </c>
      <c r="Q4679">
        <v>8.1802079999999999E-2</v>
      </c>
      <c r="R4679">
        <v>-0.65478440000000004</v>
      </c>
      <c r="S4679">
        <v>3.2478639999999999</v>
      </c>
      <c r="T4679">
        <v>-0.36736999999999997</v>
      </c>
      <c r="U4679">
        <v>-0.92208860000000004</v>
      </c>
      <c r="V4679">
        <v>-0.25265850000000001</v>
      </c>
      <c r="W4679">
        <v>8.9072109999999996E-2</v>
      </c>
      <c r="X4679">
        <v>0.96344689999999999</v>
      </c>
      <c r="Y4679">
        <v>-0.63427639999999996</v>
      </c>
      <c r="Z4679">
        <v>0.10447339999999999</v>
      </c>
      <c r="AA4679">
        <v>0.76601490000000005</v>
      </c>
      <c r="AB4679">
        <v>21</v>
      </c>
      <c r="AC4679">
        <v>9.1324000000000094</v>
      </c>
      <c r="AD4679">
        <v>-1.0467366600000001</v>
      </c>
      <c r="AE4679">
        <v>-2.4659</v>
      </c>
      <c r="AF4679">
        <v>-6.0779064118512602</v>
      </c>
      <c r="AG4679">
        <v>-1.0467366600000001</v>
      </c>
      <c r="AH4679">
        <v>7.0985020404205201</v>
      </c>
      <c r="AI4679">
        <v>96.391056929792001</v>
      </c>
      <c r="AJ4679">
        <v>130.57092510852601</v>
      </c>
      <c r="AK4679">
        <v>9.4034746346478197</v>
      </c>
      <c r="AL4679">
        <v>84.889771706881803</v>
      </c>
      <c r="AM4679">
        <v>104.694599287834</v>
      </c>
      <c r="AN4679">
        <v>1.0000000437608501</v>
      </c>
    </row>
    <row r="4680" spans="1:40" x14ac:dyDescent="0.25">
      <c r="A4680" t="str">
        <f>"20190303162003220"</f>
        <v>20190303162003220</v>
      </c>
      <c r="B4680" t="str">
        <f>"1551601203216987"</f>
        <v>1551601203216987</v>
      </c>
      <c r="C4680" t="s">
        <v>40</v>
      </c>
      <c r="D4680">
        <v>4.478675</v>
      </c>
      <c r="E4680">
        <v>0.31714340000000002</v>
      </c>
      <c r="F4680" t="s">
        <v>49</v>
      </c>
      <c r="G4680">
        <v>-477.63760000000002</v>
      </c>
      <c r="H4680">
        <v>8.0000349999999998E-2</v>
      </c>
      <c r="I4680">
        <v>220.9665</v>
      </c>
      <c r="J4680">
        <v>-486.66739999999999</v>
      </c>
      <c r="K4680">
        <v>1.126835</v>
      </c>
      <c r="L4680">
        <v>223.33670000000001</v>
      </c>
      <c r="M4680">
        <v>0.57235719999999901</v>
      </c>
      <c r="N4680">
        <v>-1.1168920000000001E-2</v>
      </c>
      <c r="O4680">
        <v>-0.81992849999999995</v>
      </c>
      <c r="P4680">
        <v>0.75804490000000002</v>
      </c>
      <c r="Q4680">
        <v>8.2249600000000006E-2</v>
      </c>
      <c r="R4680">
        <v>-0.6469956</v>
      </c>
      <c r="S4680">
        <v>3.2473749999999999</v>
      </c>
      <c r="T4680">
        <v>-0.37097229999999998</v>
      </c>
      <c r="U4680">
        <v>-0.90151979999999998</v>
      </c>
      <c r="V4680">
        <v>-0.25252259999999999</v>
      </c>
      <c r="W4680">
        <v>8.9491959999999995E-2</v>
      </c>
      <c r="X4680">
        <v>0.96344359999999996</v>
      </c>
      <c r="Y4680">
        <v>-0.63057200000000002</v>
      </c>
      <c r="Z4680">
        <v>0.10534259999999999</v>
      </c>
      <c r="AA4680">
        <v>0.76894859999999998</v>
      </c>
      <c r="AB4680">
        <v>21</v>
      </c>
      <c r="AC4680">
        <v>9.0297999999999607</v>
      </c>
      <c r="AD4680">
        <v>-1.0468346500000001</v>
      </c>
      <c r="AE4680">
        <v>-2.3702000000000099</v>
      </c>
      <c r="AF4680">
        <v>-5.9724697181864004</v>
      </c>
      <c r="AG4680">
        <v>-1.0468346500000001</v>
      </c>
      <c r="AH4680">
        <v>7.0237931953417601</v>
      </c>
      <c r="AI4680">
        <v>96.477761081464493</v>
      </c>
      <c r="AJ4680">
        <v>130.37516910380501</v>
      </c>
      <c r="AK4680">
        <v>9.2790046971657105</v>
      </c>
      <c r="AL4680">
        <v>84.865619510610401</v>
      </c>
      <c r="AM4680">
        <v>104.687085287584</v>
      </c>
      <c r="AN4680">
        <v>1.00000002239818</v>
      </c>
    </row>
    <row r="4681" spans="1:40" x14ac:dyDescent="0.25">
      <c r="A4681" t="str">
        <f>"20190303162003244"</f>
        <v>20190303162003244</v>
      </c>
      <c r="B4681" t="str">
        <f>"1551601203237482"</f>
        <v>1551601203237482</v>
      </c>
      <c r="C4681" t="s">
        <v>40</v>
      </c>
      <c r="D4681">
        <v>4.4998060000000004</v>
      </c>
      <c r="E4681">
        <v>0.3186406</v>
      </c>
      <c r="F4681" t="s">
        <v>49</v>
      </c>
      <c r="G4681">
        <v>-477.5994</v>
      </c>
      <c r="H4681">
        <v>8.0000340000000003E-2</v>
      </c>
      <c r="I4681">
        <v>220.86959999999999</v>
      </c>
      <c r="J4681">
        <v>-486.53539999999998</v>
      </c>
      <c r="K4681">
        <v>1.1269260000000001</v>
      </c>
      <c r="L4681">
        <v>223.16810000000001</v>
      </c>
      <c r="M4681">
        <v>0.58082869999999998</v>
      </c>
      <c r="N4681">
        <v>-1.119795E-2</v>
      </c>
      <c r="O4681">
        <v>-0.81394880000000003</v>
      </c>
      <c r="P4681">
        <v>0.76480719999999902</v>
      </c>
      <c r="Q4681">
        <v>8.3696359999999997E-2</v>
      </c>
      <c r="R4681">
        <v>-0.63879940000000002</v>
      </c>
      <c r="S4681">
        <v>3.2447509999999999</v>
      </c>
      <c r="T4681">
        <v>-0.3745792</v>
      </c>
      <c r="U4681">
        <v>-0.88276669999999902</v>
      </c>
      <c r="V4681">
        <v>-0.25281290000000001</v>
      </c>
      <c r="W4681">
        <v>9.0908069999999994E-2</v>
      </c>
      <c r="X4681">
        <v>0.96323479999999995</v>
      </c>
      <c r="Y4681">
        <v>-0.62639519999999904</v>
      </c>
      <c r="Z4681">
        <v>0.1062182</v>
      </c>
      <c r="AA4681">
        <v>0.77223489999999995</v>
      </c>
      <c r="AB4681">
        <v>21</v>
      </c>
      <c r="AC4681">
        <v>8.9359999999999697</v>
      </c>
      <c r="AD4681">
        <v>-1.0469256600000001</v>
      </c>
      <c r="AE4681">
        <v>-2.29850000000001</v>
      </c>
      <c r="AF4681">
        <v>-5.86329832823073</v>
      </c>
      <c r="AG4681">
        <v>-1.0469256600000001</v>
      </c>
      <c r="AH4681">
        <v>6.9718320252591797</v>
      </c>
      <c r="AI4681">
        <v>96.555989599212893</v>
      </c>
      <c r="AJ4681">
        <v>130.063775760277</v>
      </c>
      <c r="AK4681">
        <v>9.1695562821670507</v>
      </c>
      <c r="AL4681">
        <v>84.784149956098602</v>
      </c>
      <c r="AM4681">
        <v>104.70628746977999</v>
      </c>
      <c r="AN4681">
        <v>0.99999995976428602</v>
      </c>
    </row>
    <row r="4682" spans="1:40" x14ac:dyDescent="0.25">
      <c r="A4682" t="str">
        <f>"20190303162003266"</f>
        <v>20190303162003266</v>
      </c>
      <c r="B4682" t="str">
        <f>"1551601203256535"</f>
        <v>1551601203256535</v>
      </c>
      <c r="C4682" t="s">
        <v>40</v>
      </c>
      <c r="D4682">
        <v>4.4647209999999999</v>
      </c>
      <c r="E4682">
        <v>0.3196852</v>
      </c>
      <c r="F4682" t="s">
        <v>42</v>
      </c>
      <c r="G4682">
        <v>-485.64690000000002</v>
      </c>
      <c r="H4682">
        <v>1.025844</v>
      </c>
      <c r="I4682">
        <v>222.93289999999999</v>
      </c>
      <c r="J4682">
        <v>-486.40769999999998</v>
      </c>
      <c r="K4682">
        <v>1.126989</v>
      </c>
      <c r="L4682">
        <v>223.0087</v>
      </c>
      <c r="M4682">
        <v>0.58893240000000002</v>
      </c>
      <c r="N4682">
        <v>-1.122308E-2</v>
      </c>
      <c r="O4682">
        <v>-0.8081045</v>
      </c>
      <c r="P4682">
        <v>0.77097329999999997</v>
      </c>
      <c r="Q4682">
        <v>8.4109489999999995E-2</v>
      </c>
      <c r="R4682">
        <v>-0.63128890000000004</v>
      </c>
      <c r="S4682">
        <v>3.2456360000000002</v>
      </c>
      <c r="T4682">
        <v>-0.36917749999999999</v>
      </c>
      <c r="U4682">
        <v>-0.85877990000000004</v>
      </c>
      <c r="V4682">
        <v>-0.25259429999999999</v>
      </c>
      <c r="W4682">
        <v>9.1306970000000001E-2</v>
      </c>
      <c r="X4682">
        <v>0.96325450000000001</v>
      </c>
      <c r="Y4682">
        <v>-0.62421359999999904</v>
      </c>
      <c r="Z4682">
        <v>0.1044229</v>
      </c>
      <c r="AA4682">
        <v>0.77424369999999998</v>
      </c>
      <c r="AB4682">
        <v>21</v>
      </c>
      <c r="AC4682">
        <v>0.76079999999995995</v>
      </c>
      <c r="AD4682">
        <v>-0.101145</v>
      </c>
      <c r="AE4682">
        <v>-7.5800000000015105E-2</v>
      </c>
      <c r="AF4682">
        <v>-0.56039334367706295</v>
      </c>
      <c r="AG4682">
        <v>-0.101145</v>
      </c>
      <c r="AH4682">
        <v>0.50058546685510996</v>
      </c>
      <c r="AI4682">
        <v>97.666265104101299</v>
      </c>
      <c r="AJ4682">
        <v>138.22637564270599</v>
      </c>
      <c r="AK4682">
        <v>0.75819312862166499</v>
      </c>
      <c r="AL4682">
        <v>84.761199626063799</v>
      </c>
      <c r="AM4682">
        <v>104.69383436593399</v>
      </c>
      <c r="AN4682">
        <v>1.00000003746665</v>
      </c>
    </row>
    <row r="4683" spans="1:40" x14ac:dyDescent="0.25">
      <c r="A4683" t="str">
        <f>"20190303162003288"</f>
        <v>20190303162003288</v>
      </c>
      <c r="B4683" t="str">
        <f>"1551601203277029"</f>
        <v>1551601203277029</v>
      </c>
      <c r="C4683" t="s">
        <v>40</v>
      </c>
      <c r="D4683">
        <v>4.4550869999999998</v>
      </c>
      <c r="E4683">
        <v>0.32028810000000002</v>
      </c>
      <c r="F4683" t="s">
        <v>49</v>
      </c>
      <c r="G4683">
        <v>-477.09930000000003</v>
      </c>
      <c r="H4683">
        <v>8.0000379999999996E-2</v>
      </c>
      <c r="I4683">
        <v>220.62190000000001</v>
      </c>
      <c r="J4683">
        <v>-486.27499999999998</v>
      </c>
      <c r="K4683">
        <v>1.1270230000000001</v>
      </c>
      <c r="L4683">
        <v>222.84690000000001</v>
      </c>
      <c r="M4683">
        <v>0.59722749999999902</v>
      </c>
      <c r="N4683">
        <v>-1.1248910000000001E-2</v>
      </c>
      <c r="O4683">
        <v>-0.80199309999999902</v>
      </c>
      <c r="P4683">
        <v>0.77740600000000004</v>
      </c>
      <c r="Q4683">
        <v>8.0002489999999996E-2</v>
      </c>
      <c r="R4683">
        <v>-0.62389059999999996</v>
      </c>
      <c r="S4683">
        <v>3.2489620000000001</v>
      </c>
      <c r="T4683">
        <v>-0.36543690000000001</v>
      </c>
      <c r="U4683">
        <v>-0.83306880000000005</v>
      </c>
      <c r="V4683">
        <v>-0.25217499999999998</v>
      </c>
      <c r="W4683">
        <v>8.720638E-2</v>
      </c>
      <c r="X4683">
        <v>0.96374420000000005</v>
      </c>
      <c r="Y4683">
        <v>-0.62227489999999996</v>
      </c>
      <c r="Z4683">
        <v>0.10305300000000001</v>
      </c>
      <c r="AA4683">
        <v>0.77598590000000001</v>
      </c>
      <c r="AB4683">
        <v>21</v>
      </c>
      <c r="AC4683">
        <v>9.1756999999999493</v>
      </c>
      <c r="AD4683">
        <v>-1.0470226199999999</v>
      </c>
      <c r="AE4683">
        <v>-2.2249999999999899</v>
      </c>
      <c r="AF4683">
        <v>-5.9571395933843299</v>
      </c>
      <c r="AG4683">
        <v>-1.0470226199999999</v>
      </c>
      <c r="AH4683">
        <v>7.1766190792483497</v>
      </c>
      <c r="AI4683">
        <v>96.405103872049196</v>
      </c>
      <c r="AJ4683">
        <v>129.695252928874</v>
      </c>
      <c r="AK4683">
        <v>9.3855010473863594</v>
      </c>
      <c r="AL4683">
        <v>84.997087776627893</v>
      </c>
      <c r="AM4683">
        <v>104.66336290987</v>
      </c>
      <c r="AN4683">
        <v>1.00000003318567</v>
      </c>
    </row>
    <row r="4684" spans="1:40" x14ac:dyDescent="0.25">
      <c r="A4684" t="str">
        <f>"20190303162003309"</f>
        <v>20190303162003309</v>
      </c>
      <c r="B4684" t="str">
        <f>"1551601203296549"</f>
        <v>1551601203296549</v>
      </c>
      <c r="C4684" t="s">
        <v>40</v>
      </c>
      <c r="D4684">
        <v>4.4794830000000001</v>
      </c>
      <c r="E4684">
        <v>0.33333289999999999</v>
      </c>
      <c r="F4684" t="s">
        <v>49</v>
      </c>
      <c r="G4684">
        <v>-477.17989999999998</v>
      </c>
      <c r="H4684">
        <v>8.0000379999999996E-2</v>
      </c>
      <c r="I4684">
        <v>220.6018</v>
      </c>
      <c r="J4684">
        <v>-486.149</v>
      </c>
      <c r="K4684">
        <v>1.1270180000000001</v>
      </c>
      <c r="L4684">
        <v>222.69640000000001</v>
      </c>
      <c r="M4684">
        <v>0.60497999999999996</v>
      </c>
      <c r="N4684">
        <v>-1.127366E-2</v>
      </c>
      <c r="O4684">
        <v>-0.79616119999999901</v>
      </c>
      <c r="P4684">
        <v>0.78405709999999995</v>
      </c>
      <c r="Q4684">
        <v>7.3072910000000005E-2</v>
      </c>
      <c r="R4684">
        <v>-0.6163729</v>
      </c>
      <c r="S4684">
        <v>3.253082</v>
      </c>
      <c r="T4684">
        <v>-0.3744904</v>
      </c>
      <c r="U4684">
        <v>-0.80302430000000002</v>
      </c>
      <c r="V4684">
        <v>-0.25255319999999998</v>
      </c>
      <c r="W4684">
        <v>8.0283289999999993E-2</v>
      </c>
      <c r="X4684">
        <v>0.96424659999999995</v>
      </c>
      <c r="Y4684">
        <v>-0.62136480000000005</v>
      </c>
      <c r="Z4684">
        <v>0.1055526</v>
      </c>
      <c r="AA4684">
        <v>0.77637900000000004</v>
      </c>
      <c r="AB4684">
        <v>21</v>
      </c>
      <c r="AC4684">
        <v>8.9691000000000205</v>
      </c>
      <c r="AD4684">
        <v>-1.0470176200000001</v>
      </c>
      <c r="AE4684">
        <v>-2.09460000000001</v>
      </c>
      <c r="AF4684">
        <v>-5.7990910209411899</v>
      </c>
      <c r="AG4684">
        <v>-1.0470176200000001</v>
      </c>
      <c r="AH4684">
        <v>7.0037085696606596</v>
      </c>
      <c r="AI4684">
        <v>96.568470986160605</v>
      </c>
      <c r="AJ4684">
        <v>129.624855255293</v>
      </c>
      <c r="AK4684">
        <v>9.1530124163845308</v>
      </c>
      <c r="AL4684">
        <v>85.395150637775501</v>
      </c>
      <c r="AM4684">
        <v>104.677083973759</v>
      </c>
      <c r="AN4684">
        <v>1.0000000155475099</v>
      </c>
    </row>
    <row r="4685" spans="1:40" x14ac:dyDescent="0.25">
      <c r="A4685" t="str">
        <f>"20190303162003332"</f>
        <v>20190303162003332</v>
      </c>
      <c r="B4685" t="str">
        <f>"1551601203326806"</f>
        <v>1551601203326806</v>
      </c>
      <c r="C4685" t="s">
        <v>40</v>
      </c>
      <c r="D4685">
        <v>4.512251</v>
      </c>
      <c r="E4685">
        <v>0.33588119999999999</v>
      </c>
      <c r="F4685" t="s">
        <v>49</v>
      </c>
      <c r="G4685">
        <v>-476.53820000000002</v>
      </c>
      <c r="H4685">
        <v>8.0000299999999996E-2</v>
      </c>
      <c r="I4685">
        <v>220.148</v>
      </c>
      <c r="J4685">
        <v>-486.00979999999998</v>
      </c>
      <c r="K4685">
        <v>1.1269940000000001</v>
      </c>
      <c r="L4685">
        <v>222.5335</v>
      </c>
      <c r="M4685">
        <v>0.6133982</v>
      </c>
      <c r="N4685">
        <v>-1.130105E-2</v>
      </c>
      <c r="O4685">
        <v>-0.78969319999999998</v>
      </c>
      <c r="P4685">
        <v>0.79258329999999999</v>
      </c>
      <c r="Q4685">
        <v>6.7763539999999997E-2</v>
      </c>
      <c r="R4685">
        <v>-0.60598699999999905</v>
      </c>
      <c r="S4685">
        <v>3.1930239999999999</v>
      </c>
      <c r="T4685">
        <v>-0.34785100000000002</v>
      </c>
      <c r="U4685">
        <v>-0.84664919999999999</v>
      </c>
      <c r="V4685">
        <v>-0.25532159999999998</v>
      </c>
      <c r="W4685">
        <v>7.4949790000000002E-2</v>
      </c>
      <c r="X4685">
        <v>0.96394679999999999</v>
      </c>
      <c r="Y4685">
        <v>-0.60039219999999904</v>
      </c>
      <c r="Z4685">
        <v>9.7770419999999997E-2</v>
      </c>
      <c r="AA4685">
        <v>0.79370669999999899</v>
      </c>
      <c r="AB4685">
        <v>21</v>
      </c>
      <c r="AC4685">
        <v>9.4715999999999596</v>
      </c>
      <c r="AD4685">
        <v>-1.0469937</v>
      </c>
      <c r="AE4685">
        <v>-2.3855</v>
      </c>
      <c r="AF4685">
        <v>-5.9484304121235203</v>
      </c>
      <c r="AG4685">
        <v>-1.0469937</v>
      </c>
      <c r="AH4685">
        <v>7.6067612677723497</v>
      </c>
      <c r="AI4685">
        <v>96.188093574030603</v>
      </c>
      <c r="AJ4685">
        <v>128.025141541707</v>
      </c>
      <c r="AK4685">
        <v>9.7130240996610997</v>
      </c>
      <c r="AL4685">
        <v>85.701662687295098</v>
      </c>
      <c r="AM4685">
        <v>104.83532328565499</v>
      </c>
      <c r="AN4685">
        <v>1.0000000118389201</v>
      </c>
    </row>
    <row r="4686" spans="1:40" x14ac:dyDescent="0.25">
      <c r="A4686" t="str">
        <f>"20190303162003356"</f>
        <v>20190303162003356</v>
      </c>
      <c r="B4686" t="str">
        <f>"1551601203347302"</f>
        <v>1551601203347302</v>
      </c>
      <c r="C4686" t="s">
        <v>40</v>
      </c>
      <c r="D4686">
        <v>4.5054040000000004</v>
      </c>
      <c r="E4686">
        <v>0.33706449999999999</v>
      </c>
      <c r="F4686" t="s">
        <v>49</v>
      </c>
      <c r="G4686">
        <v>-476.45049999999998</v>
      </c>
      <c r="H4686">
        <v>8.0000180000000004E-2</v>
      </c>
      <c r="I4686">
        <v>220.08529999999999</v>
      </c>
      <c r="J4686">
        <v>-485.8657</v>
      </c>
      <c r="K4686">
        <v>1.12696</v>
      </c>
      <c r="L4686">
        <v>222.36859999999999</v>
      </c>
      <c r="M4686">
        <v>0.62193849999999995</v>
      </c>
      <c r="N4686">
        <v>-1.133146E-2</v>
      </c>
      <c r="O4686">
        <v>-0.78298409999999996</v>
      </c>
      <c r="P4686">
        <v>0.80214589999999997</v>
      </c>
      <c r="Q4686">
        <v>6.2890489999999993E-2</v>
      </c>
      <c r="R4686">
        <v>-0.59380690000000003</v>
      </c>
      <c r="S4686">
        <v>3.190277</v>
      </c>
      <c r="T4686">
        <v>-0.34941689999999997</v>
      </c>
      <c r="U4686">
        <v>-0.81706239999999997</v>
      </c>
      <c r="V4686">
        <v>-0.25982</v>
      </c>
      <c r="W4686">
        <v>7.0032750000000005E-2</v>
      </c>
      <c r="X4686">
        <v>0.96311420000000003</v>
      </c>
      <c r="Y4686">
        <v>-0.59839169999999997</v>
      </c>
      <c r="Z4686">
        <v>9.8142090000000001E-2</v>
      </c>
      <c r="AA4686">
        <v>0.79517009999999999</v>
      </c>
      <c r="AB4686">
        <v>21</v>
      </c>
      <c r="AC4686">
        <v>9.41520000000002</v>
      </c>
      <c r="AD4686">
        <v>-1.0469598200000001</v>
      </c>
      <c r="AE4686">
        <v>-2.2832999999999899</v>
      </c>
      <c r="AF4686">
        <v>-5.8835516127344798</v>
      </c>
      <c r="AG4686">
        <v>-1.0469598200000001</v>
      </c>
      <c r="AH4686">
        <v>7.55571532616311</v>
      </c>
      <c r="AI4686">
        <v>96.239282790123696</v>
      </c>
      <c r="AJ4686">
        <v>127.907495857461</v>
      </c>
      <c r="AK4686">
        <v>9.63333475668842</v>
      </c>
      <c r="AL4686">
        <v>85.984131689975001</v>
      </c>
      <c r="AM4686">
        <v>105.097329620331</v>
      </c>
      <c r="AN4686">
        <v>0.99999999035710097</v>
      </c>
    </row>
    <row r="4687" spans="1:40" x14ac:dyDescent="0.25">
      <c r="A4687" t="str">
        <f>"20190303162003377"</f>
        <v>20190303162003377</v>
      </c>
      <c r="B4687" t="str">
        <f>"1551601203366822"</f>
        <v>1551601203366822</v>
      </c>
      <c r="C4687" t="s">
        <v>40</v>
      </c>
      <c r="D4687">
        <v>4.5124909999999998</v>
      </c>
      <c r="E4687">
        <v>0.34482249999999998</v>
      </c>
      <c r="F4687" t="s">
        <v>42</v>
      </c>
      <c r="G4687">
        <v>-484.90589999999997</v>
      </c>
      <c r="H4687">
        <v>1.0186299999999999</v>
      </c>
      <c r="I4687">
        <v>222.13589999999999</v>
      </c>
      <c r="J4687">
        <v>-485.73140000000001</v>
      </c>
      <c r="K4687">
        <v>1.12693</v>
      </c>
      <c r="L4687">
        <v>222.21780000000001</v>
      </c>
      <c r="M4687">
        <v>0.62974200000000002</v>
      </c>
      <c r="N4687">
        <v>-1.1361049999999999E-2</v>
      </c>
      <c r="O4687">
        <v>-0.77672159999999901</v>
      </c>
      <c r="P4687">
        <v>0.81150489999999997</v>
      </c>
      <c r="Q4687">
        <v>6.0400120000000002E-2</v>
      </c>
      <c r="R4687">
        <v>-0.58121610000000001</v>
      </c>
      <c r="S4687">
        <v>3.1949459999999998</v>
      </c>
      <c r="T4687">
        <v>-0.36062719999999998</v>
      </c>
      <c r="U4687">
        <v>-0.77442929999999999</v>
      </c>
      <c r="V4687">
        <v>-0.26532349999999999</v>
      </c>
      <c r="W4687">
        <v>6.7480570000000004E-2</v>
      </c>
      <c r="X4687">
        <v>0.96179510000000001</v>
      </c>
      <c r="Y4687">
        <v>-0.60025530000000005</v>
      </c>
      <c r="Z4687">
        <v>0.101452</v>
      </c>
      <c r="AA4687">
        <v>0.79334799999999905</v>
      </c>
      <c r="AB4687">
        <v>21</v>
      </c>
      <c r="AC4687">
        <v>0.82550000000003299</v>
      </c>
      <c r="AD4687">
        <v>-0.10829999999999999</v>
      </c>
      <c r="AE4687">
        <v>-8.1900000000018694E-2</v>
      </c>
      <c r="AF4687">
        <v>-0.57976427626579896</v>
      </c>
      <c r="AG4687">
        <v>-0.10829999999999999</v>
      </c>
      <c r="AH4687">
        <v>0.57372453119019295</v>
      </c>
      <c r="AI4687">
        <v>97.563344081140798</v>
      </c>
      <c r="AJ4687">
        <v>135.30000181838099</v>
      </c>
      <c r="AK4687">
        <v>0.82280942126558898</v>
      </c>
      <c r="AL4687">
        <v>86.130707792430499</v>
      </c>
      <c r="AM4687">
        <v>105.422200833535</v>
      </c>
      <c r="AN4687">
        <v>1.0000000006818901</v>
      </c>
    </row>
    <row r="4688" spans="1:40" x14ac:dyDescent="0.25">
      <c r="A4688" t="str">
        <f>"20190303162003400"</f>
        <v>20190303162003400</v>
      </c>
      <c r="B4688" t="str">
        <f>"1551601203397078"</f>
        <v>1551601203397078</v>
      </c>
      <c r="C4688" t="s">
        <v>40</v>
      </c>
      <c r="D4688">
        <v>4.3849220000000004</v>
      </c>
      <c r="E4688">
        <v>0.34464450000000002</v>
      </c>
      <c r="F4688" t="s">
        <v>42</v>
      </c>
      <c r="G4688">
        <v>-484.7928</v>
      </c>
      <c r="H4688">
        <v>1.0196019999999999</v>
      </c>
      <c r="I4688">
        <v>221.98820000000001</v>
      </c>
      <c r="J4688">
        <v>-485.5872</v>
      </c>
      <c r="K4688">
        <v>1.126925</v>
      </c>
      <c r="L4688">
        <v>222.05930000000001</v>
      </c>
      <c r="M4688">
        <v>0.63795329999999995</v>
      </c>
      <c r="N4688">
        <v>-1.1392299999999999E-2</v>
      </c>
      <c r="O4688">
        <v>-0.76999079999999998</v>
      </c>
      <c r="P4688">
        <v>0.82004390000000005</v>
      </c>
      <c r="Q4688">
        <v>6.124686E-2</v>
      </c>
      <c r="R4688">
        <v>-0.56901409999999997</v>
      </c>
      <c r="S4688">
        <v>3.1690369999999999</v>
      </c>
      <c r="T4688">
        <v>-0.362236</v>
      </c>
      <c r="U4688">
        <v>-0.77458190000000005</v>
      </c>
      <c r="V4688">
        <v>-0.26946039999999999</v>
      </c>
      <c r="W4688">
        <v>6.828505E-2</v>
      </c>
      <c r="X4688">
        <v>0.96058739999999998</v>
      </c>
      <c r="Y4688">
        <v>-0.59014060000000002</v>
      </c>
      <c r="Z4688">
        <v>0.101864</v>
      </c>
      <c r="AA4688">
        <v>0.80084820000000001</v>
      </c>
      <c r="AB4688">
        <v>21</v>
      </c>
      <c r="AC4688">
        <v>0.794399999999996</v>
      </c>
      <c r="AD4688">
        <v>-0.107322999999999</v>
      </c>
      <c r="AE4688">
        <v>-7.1100000000001204E-2</v>
      </c>
      <c r="AF4688">
        <v>-0.55628638222359394</v>
      </c>
      <c r="AG4688">
        <v>-0.107322999999999</v>
      </c>
      <c r="AH4688">
        <v>0.55158542655132703</v>
      </c>
      <c r="AI4688">
        <v>97.800848546803905</v>
      </c>
      <c r="AJ4688">
        <v>135.24311775158799</v>
      </c>
      <c r="AK4688">
        <v>0.79070806759525702</v>
      </c>
      <c r="AL4688">
        <v>86.084507730750204</v>
      </c>
      <c r="AM4688">
        <v>105.66967269588601</v>
      </c>
      <c r="AN4688">
        <v>0.99999995413021003</v>
      </c>
    </row>
    <row r="4689" spans="1:40" x14ac:dyDescent="0.25">
      <c r="A4689" t="str">
        <f>"20190303162003421"</f>
        <v>20190303162003421</v>
      </c>
      <c r="B4689" t="str">
        <f>"1551601203416598"</f>
        <v>1551601203416598</v>
      </c>
      <c r="C4689" t="s">
        <v>40</v>
      </c>
      <c r="D4689">
        <v>4.3934430000000004</v>
      </c>
      <c r="E4689">
        <v>0.3452055</v>
      </c>
      <c r="F4689" t="s">
        <v>42</v>
      </c>
      <c r="G4689">
        <v>-484.67020000000002</v>
      </c>
      <c r="H4689">
        <v>1.032532</v>
      </c>
      <c r="I4689">
        <v>221.851</v>
      </c>
      <c r="J4689">
        <v>-485.45409999999998</v>
      </c>
      <c r="K4689">
        <v>1.126952</v>
      </c>
      <c r="L4689">
        <v>221.9161</v>
      </c>
      <c r="M4689">
        <v>0.64539869999999899</v>
      </c>
      <c r="N4689">
        <v>-1.142087E-2</v>
      </c>
      <c r="O4689">
        <v>-0.76376080000000002</v>
      </c>
      <c r="P4689">
        <v>0.82630959999999998</v>
      </c>
      <c r="Q4689">
        <v>6.2591460000000002E-2</v>
      </c>
      <c r="R4689">
        <v>-0.5597278</v>
      </c>
      <c r="S4689">
        <v>3.1809690000000002</v>
      </c>
      <c r="T4689">
        <v>-0.32751409999999997</v>
      </c>
      <c r="U4689">
        <v>-0.7232056</v>
      </c>
      <c r="V4689">
        <v>-0.2709163</v>
      </c>
      <c r="W4689">
        <v>6.9619860000000006E-2</v>
      </c>
      <c r="X4689">
        <v>0.96008199999999999</v>
      </c>
      <c r="Y4689">
        <v>-0.59646949999999999</v>
      </c>
      <c r="Z4689">
        <v>9.1576550000000007E-2</v>
      </c>
      <c r="AA4689">
        <v>0.79739450000000001</v>
      </c>
      <c r="AB4689">
        <v>21</v>
      </c>
      <c r="AC4689">
        <v>0.78389999999995996</v>
      </c>
      <c r="AD4689">
        <v>-9.4419999999999907E-2</v>
      </c>
      <c r="AE4689">
        <v>-6.5100000000001004E-2</v>
      </c>
      <c r="AF4689">
        <v>-0.54882501352246704</v>
      </c>
      <c r="AG4689">
        <v>-9.4419999999999907E-2</v>
      </c>
      <c r="AH4689">
        <v>0.54779206207581299</v>
      </c>
      <c r="AI4689">
        <v>96.942464954734007</v>
      </c>
      <c r="AJ4689">
        <v>135.05396937741301</v>
      </c>
      <c r="AK4689">
        <v>0.78115310608177602</v>
      </c>
      <c r="AL4689">
        <v>86.007846493570597</v>
      </c>
      <c r="AM4689">
        <v>105.75802492902601</v>
      </c>
      <c r="AN4689">
        <v>1.0000000066180501</v>
      </c>
    </row>
    <row r="4690" spans="1:40" x14ac:dyDescent="0.25">
      <c r="A4690" t="str">
        <f>"20190303162003444"</f>
        <v>20190303162003444</v>
      </c>
      <c r="B4690" t="str">
        <f>"1551601203437094"</f>
        <v>1551601203437094</v>
      </c>
      <c r="C4690" t="s">
        <v>40</v>
      </c>
      <c r="D4690">
        <v>4.4796199999999997</v>
      </c>
      <c r="E4690">
        <v>0.34690539999999997</v>
      </c>
      <c r="F4690" t="s">
        <v>42</v>
      </c>
      <c r="G4690">
        <v>-484.54300000000001</v>
      </c>
      <c r="H4690">
        <v>1.0400590000000001</v>
      </c>
      <c r="I4690">
        <v>221.7191</v>
      </c>
      <c r="J4690">
        <v>-485.30029999999999</v>
      </c>
      <c r="K4690">
        <v>1.127008</v>
      </c>
      <c r="L4690">
        <v>221.75380000000001</v>
      </c>
      <c r="M4690">
        <v>0.65390150000000002</v>
      </c>
      <c r="N4690">
        <v>-1.145583E-2</v>
      </c>
      <c r="O4690">
        <v>-0.75649319999999998</v>
      </c>
      <c r="P4690">
        <v>0.83202670000000001</v>
      </c>
      <c r="Q4690">
        <v>6.2381260000000001E-2</v>
      </c>
      <c r="R4690">
        <v>-0.55121739999999997</v>
      </c>
      <c r="S4690">
        <v>3.1875309999999999</v>
      </c>
      <c r="T4690">
        <v>-0.30388009999999999</v>
      </c>
      <c r="U4690">
        <v>-0.68823239999999997</v>
      </c>
      <c r="V4690">
        <v>-0.27004879999999998</v>
      </c>
      <c r="W4690">
        <v>6.9422929999999994E-2</v>
      </c>
      <c r="X4690">
        <v>0.96034059999999999</v>
      </c>
      <c r="Y4690">
        <v>-0.59698379999999995</v>
      </c>
      <c r="Z4690">
        <v>8.4292140000000002E-2</v>
      </c>
      <c r="AA4690">
        <v>0.79781279999999999</v>
      </c>
      <c r="AB4690">
        <v>21</v>
      </c>
      <c r="AC4690">
        <v>0.75729999999998598</v>
      </c>
      <c r="AD4690">
        <v>-8.6948999999999901E-2</v>
      </c>
      <c r="AE4690">
        <v>-3.4700000000014997E-2</v>
      </c>
      <c r="AF4690">
        <v>-0.54309366511824797</v>
      </c>
      <c r="AG4690">
        <v>-8.6948999999999901E-2</v>
      </c>
      <c r="AH4690">
        <v>0.51471312403428704</v>
      </c>
      <c r="AI4690">
        <v>96.628208899336101</v>
      </c>
      <c r="AJ4690">
        <v>136.53685459609801</v>
      </c>
      <c r="AK4690">
        <v>0.75328643804711304</v>
      </c>
      <c r="AL4690">
        <v>86.019157022903698</v>
      </c>
      <c r="AM4690">
        <v>105.706039580653</v>
      </c>
      <c r="AN4690">
        <v>0.99999998279979196</v>
      </c>
    </row>
    <row r="4691" spans="1:40" x14ac:dyDescent="0.25">
      <c r="A4691" t="str">
        <f>"20190303162003469"</f>
        <v>20190303162003469</v>
      </c>
      <c r="B4691" t="str">
        <f>"1551601203457590"</f>
        <v>1551601203457590</v>
      </c>
      <c r="C4691" t="s">
        <v>40</v>
      </c>
      <c r="D4691">
        <v>4.7892659999999996</v>
      </c>
      <c r="E4691">
        <v>0.37789349999999999</v>
      </c>
      <c r="F4691" t="s">
        <v>42</v>
      </c>
      <c r="G4691">
        <v>-484.4271</v>
      </c>
      <c r="H4691">
        <v>1.0483610000000001</v>
      </c>
      <c r="I4691">
        <v>221.57159999999999</v>
      </c>
      <c r="J4691">
        <v>-485.14679999999998</v>
      </c>
      <c r="K4691">
        <v>1.1271169999999999</v>
      </c>
      <c r="L4691">
        <v>221.5959</v>
      </c>
      <c r="M4691">
        <v>0.6623173</v>
      </c>
      <c r="N4691">
        <v>-1.149673E-2</v>
      </c>
      <c r="O4691">
        <v>-0.74913529999999995</v>
      </c>
      <c r="P4691">
        <v>0.83699500000000004</v>
      </c>
      <c r="Q4691">
        <v>6.1539459999999997E-2</v>
      </c>
      <c r="R4691">
        <v>-0.54373909999999903</v>
      </c>
      <c r="S4691">
        <v>3.1870729999999998</v>
      </c>
      <c r="T4691">
        <v>-0.28696880000000002</v>
      </c>
      <c r="U4691">
        <v>-0.66429139999999998</v>
      </c>
      <c r="V4691">
        <v>-0.26796950000000003</v>
      </c>
      <c r="W4691">
        <v>6.8587609999999993E-2</v>
      </c>
      <c r="X4691">
        <v>0.96098289999999997</v>
      </c>
      <c r="Y4691">
        <v>-0.59426389999999996</v>
      </c>
      <c r="Z4691">
        <v>7.8991259999999994E-2</v>
      </c>
      <c r="AA4691">
        <v>0.80038169999999897</v>
      </c>
      <c r="AB4691">
        <v>21</v>
      </c>
      <c r="AC4691">
        <v>0.71969999999998802</v>
      </c>
      <c r="AD4691">
        <v>-7.8755999999999798E-2</v>
      </c>
      <c r="AE4691">
        <v>-2.4300000000010799E-2</v>
      </c>
      <c r="AF4691">
        <v>-0.51691012523198299</v>
      </c>
      <c r="AG4691">
        <v>-7.8755999999999798E-2</v>
      </c>
      <c r="AH4691">
        <v>0.48905680220423098</v>
      </c>
      <c r="AI4691">
        <v>96.3154936318208</v>
      </c>
      <c r="AJ4691">
        <v>136.586006639147</v>
      </c>
      <c r="AK4691">
        <v>0.71594353191126203</v>
      </c>
      <c r="AL4691">
        <v>86.067131853985799</v>
      </c>
      <c r="AM4691">
        <v>105.581096139849</v>
      </c>
      <c r="AN4691">
        <v>1.00000002363408</v>
      </c>
    </row>
    <row r="4692" spans="1:40" x14ac:dyDescent="0.25">
      <c r="A4692" t="str">
        <f>"20190303162003489"</f>
        <v>20190303162003489</v>
      </c>
      <c r="B4692" t="str">
        <f>"1551601203477110"</f>
        <v>1551601203477110</v>
      </c>
      <c r="C4692" t="s">
        <v>40</v>
      </c>
      <c r="D4692">
        <v>4.6183839999999998</v>
      </c>
      <c r="E4692">
        <v>0.43737710000000002</v>
      </c>
      <c r="F4692" t="s">
        <v>42</v>
      </c>
      <c r="G4692">
        <v>-484.15699999999998</v>
      </c>
      <c r="H4692">
        <v>1.072373</v>
      </c>
      <c r="I4692">
        <v>221.32550000000001</v>
      </c>
      <c r="J4692">
        <v>-485.00259999999997</v>
      </c>
      <c r="K4692">
        <v>1.1272679999999999</v>
      </c>
      <c r="L4692">
        <v>221.45099999999999</v>
      </c>
      <c r="M4692">
        <v>0.67020000000000002</v>
      </c>
      <c r="N4692">
        <v>-1.1541279999999999E-2</v>
      </c>
      <c r="O4692">
        <v>-0.7420909</v>
      </c>
      <c r="P4692">
        <v>0.84071879999999999</v>
      </c>
      <c r="Q4692">
        <v>6.0211470000000003E-2</v>
      </c>
      <c r="R4692">
        <v>-0.53811379999999998</v>
      </c>
      <c r="S4692">
        <v>3.054443</v>
      </c>
      <c r="T4692">
        <v>-0.168942799999999</v>
      </c>
      <c r="U4692">
        <v>-0.83464050000000001</v>
      </c>
      <c r="V4692">
        <v>-0.26432539999999999</v>
      </c>
      <c r="W4692">
        <v>6.7278859999999996E-2</v>
      </c>
      <c r="X4692">
        <v>0.96208400000000005</v>
      </c>
      <c r="Y4692">
        <v>-0.53793469999999999</v>
      </c>
      <c r="Z4692">
        <v>4.368934E-2</v>
      </c>
      <c r="AA4692">
        <v>0.84185359999999998</v>
      </c>
      <c r="AB4692">
        <v>21</v>
      </c>
      <c r="AC4692">
        <v>0.84559999999999003</v>
      </c>
      <c r="AD4692">
        <v>-5.4894999999999902E-2</v>
      </c>
      <c r="AE4692">
        <v>-0.12549999999998801</v>
      </c>
      <c r="AF4692">
        <v>-0.54120641838566297</v>
      </c>
      <c r="AG4692">
        <v>-5.4894999999999902E-2</v>
      </c>
      <c r="AH4692">
        <v>0.65718747353934803</v>
      </c>
      <c r="AI4692">
        <v>93.689313841781498</v>
      </c>
      <c r="AJ4692">
        <v>129.47210683703099</v>
      </c>
      <c r="AK4692">
        <v>0.85311970068910503</v>
      </c>
      <c r="AL4692">
        <v>86.142291217303907</v>
      </c>
      <c r="AM4692">
        <v>105.36253601112401</v>
      </c>
      <c r="AN4692">
        <v>0.99999999257202898</v>
      </c>
    </row>
    <row r="4693" spans="1:40" x14ac:dyDescent="0.25">
      <c r="A4693" t="str">
        <f>"20190303162003511"</f>
        <v>20190303162003511</v>
      </c>
      <c r="B4693" t="str">
        <f>"1551601203496630"</f>
        <v>1551601203496630</v>
      </c>
      <c r="C4693" t="s">
        <v>40</v>
      </c>
      <c r="D4693">
        <v>4.7578849999999999</v>
      </c>
      <c r="E4693">
        <v>0.4446678</v>
      </c>
      <c r="F4693" t="s">
        <v>52</v>
      </c>
      <c r="G4693">
        <v>-465.9341</v>
      </c>
      <c r="H4693" s="1">
        <v>1.68285999999999E-6</v>
      </c>
      <c r="I4693">
        <v>213.20179999999999</v>
      </c>
      <c r="J4693">
        <v>-484.85939999999999</v>
      </c>
      <c r="K4693">
        <v>1.12744</v>
      </c>
      <c r="L4693">
        <v>221.31049999999999</v>
      </c>
      <c r="M4693">
        <v>0.6779963</v>
      </c>
      <c r="N4693">
        <v>-1.1588940000000001E-2</v>
      </c>
      <c r="O4693">
        <v>-0.73497380000000001</v>
      </c>
      <c r="P4693">
        <v>0.84481700000000004</v>
      </c>
      <c r="Q4693">
        <v>5.9802840000000003E-2</v>
      </c>
      <c r="R4693">
        <v>-0.53170289999999998</v>
      </c>
      <c r="S4693">
        <v>2.8038639999999999</v>
      </c>
      <c r="T4693">
        <v>-0.16575519999999999</v>
      </c>
      <c r="U4693">
        <v>-1.212982</v>
      </c>
      <c r="V4693">
        <v>-0.26152520000000001</v>
      </c>
      <c r="W4693">
        <v>6.6870180000000001E-2</v>
      </c>
      <c r="X4693">
        <v>0.96287750000000005</v>
      </c>
      <c r="Y4693">
        <v>-0.40428310000000001</v>
      </c>
      <c r="Z4693">
        <v>4.0748149999999997E-2</v>
      </c>
      <c r="AA4693">
        <v>0.91372569999999997</v>
      </c>
      <c r="AB4693">
        <v>21</v>
      </c>
      <c r="AC4693">
        <v>18.9253</v>
      </c>
      <c r="AD4693">
        <v>-1.12743831714</v>
      </c>
      <c r="AE4693">
        <v>-8.10869999999999</v>
      </c>
      <c r="AF4693">
        <v>-8.38734750440425</v>
      </c>
      <c r="AG4693">
        <v>-1.12743831714</v>
      </c>
      <c r="AH4693">
        <v>18.736049532508801</v>
      </c>
      <c r="AI4693">
        <v>93.143682407523599</v>
      </c>
      <c r="AJ4693">
        <v>114.116070635989</v>
      </c>
      <c r="AK4693">
        <v>20.558654318880301</v>
      </c>
      <c r="AL4693">
        <v>86.165759989049505</v>
      </c>
      <c r="AM4693">
        <v>105.19541012452</v>
      </c>
      <c r="AN4693">
        <v>1.0000000656072501</v>
      </c>
    </row>
    <row r="4694" spans="1:40" x14ac:dyDescent="0.25">
      <c r="A4694" t="str">
        <f>"20190303162003533"</f>
        <v>20190303162003533</v>
      </c>
      <c r="B4694" t="str">
        <f>"1551601203527862"</f>
        <v>1551601203527862</v>
      </c>
      <c r="C4694" t="s">
        <v>40</v>
      </c>
      <c r="D4694">
        <v>4.7080549999999999</v>
      </c>
      <c r="E4694">
        <v>0.44876480000000002</v>
      </c>
      <c r="F4694" t="s">
        <v>52</v>
      </c>
      <c r="G4694">
        <v>-467.75979999999998</v>
      </c>
      <c r="H4694" s="1">
        <v>2.6335989999999998E-6</v>
      </c>
      <c r="I4694">
        <v>213.67760000000001</v>
      </c>
      <c r="J4694">
        <v>-484.70890000000003</v>
      </c>
      <c r="K4694">
        <v>1.127637</v>
      </c>
      <c r="L4694">
        <v>221.16640000000001</v>
      </c>
      <c r="M4694">
        <v>0.68619569999999996</v>
      </c>
      <c r="N4694">
        <v>-1.1641449999999999E-2</v>
      </c>
      <c r="O4694">
        <v>-0.72732379999999996</v>
      </c>
      <c r="P4694">
        <v>0.84997459999999903</v>
      </c>
      <c r="Q4694">
        <v>6.2851879999999999E-2</v>
      </c>
      <c r="R4694">
        <v>-0.52306149999999996</v>
      </c>
      <c r="S4694">
        <v>2.7823790000000002</v>
      </c>
      <c r="T4694">
        <v>-0.18345149999999999</v>
      </c>
      <c r="U4694">
        <v>-1.2420040000000001</v>
      </c>
      <c r="V4694">
        <v>-0.26046209999999997</v>
      </c>
      <c r="W4694">
        <v>6.9878170000000003E-2</v>
      </c>
      <c r="X4694">
        <v>0.96295200000000003</v>
      </c>
      <c r="Y4694">
        <v>-0.38313839999999999</v>
      </c>
      <c r="Z4694">
        <v>4.5089450000000003E-2</v>
      </c>
      <c r="AA4694">
        <v>0.92258980000000002</v>
      </c>
      <c r="AB4694">
        <v>21</v>
      </c>
      <c r="AC4694">
        <v>16.949100000000001</v>
      </c>
      <c r="AD4694">
        <v>-1.127634366401</v>
      </c>
      <c r="AE4694">
        <v>-7.4887999999999897</v>
      </c>
      <c r="AF4694">
        <v>-7.1626629061146296</v>
      </c>
      <c r="AG4694">
        <v>-1.127634366401</v>
      </c>
      <c r="AH4694">
        <v>17.015325899121901</v>
      </c>
      <c r="AI4694">
        <v>93.495312075047494</v>
      </c>
      <c r="AJ4694">
        <v>112.82883497842499</v>
      </c>
      <c r="AK4694">
        <v>18.495853984724501</v>
      </c>
      <c r="AL4694">
        <v>85.993010298837504</v>
      </c>
      <c r="AM4694">
        <v>105.135362959899</v>
      </c>
      <c r="AN4694">
        <v>1.00000000924147</v>
      </c>
    </row>
    <row r="4695" spans="1:40" x14ac:dyDescent="0.25">
      <c r="A4695" t="str">
        <f>"20190303162003555"</f>
        <v>20190303162003555</v>
      </c>
      <c r="B4695" t="str">
        <f>"1551601203547382"</f>
        <v>1551601203547382</v>
      </c>
      <c r="C4695" t="s">
        <v>40</v>
      </c>
      <c r="D4695">
        <v>4.7301739999999999</v>
      </c>
      <c r="E4695">
        <v>0.44977919999999999</v>
      </c>
      <c r="F4695" t="s">
        <v>52</v>
      </c>
      <c r="G4695">
        <v>-468.61939999999998</v>
      </c>
      <c r="H4695" s="1">
        <v>3.0784E-6</v>
      </c>
      <c r="I4695">
        <v>213.96780000000001</v>
      </c>
      <c r="J4695">
        <v>-484.55689999999998</v>
      </c>
      <c r="K4695">
        <v>1.127856</v>
      </c>
      <c r="L4695">
        <v>221.02440000000001</v>
      </c>
      <c r="M4695">
        <v>0.69450100000000003</v>
      </c>
      <c r="N4695">
        <v>-1.169776E-2</v>
      </c>
      <c r="O4695">
        <v>-0.71939659999999905</v>
      </c>
      <c r="P4695">
        <v>0.85531539999999995</v>
      </c>
      <c r="Q4695">
        <v>6.6878350000000003E-2</v>
      </c>
      <c r="R4695">
        <v>-0.51377340000000005</v>
      </c>
      <c r="S4695">
        <v>2.7788390000000001</v>
      </c>
      <c r="T4695">
        <v>-0.19475590000000001</v>
      </c>
      <c r="U4695">
        <v>-1.243271</v>
      </c>
      <c r="V4695">
        <v>-0.25977220000000001</v>
      </c>
      <c r="W4695">
        <v>7.3851829999999993E-2</v>
      </c>
      <c r="X4695">
        <v>0.96284179999999997</v>
      </c>
      <c r="Y4695">
        <v>-0.37155759999999899</v>
      </c>
      <c r="Z4695">
        <v>4.7670120000000003E-2</v>
      </c>
      <c r="AA4695">
        <v>0.92718529999999999</v>
      </c>
      <c r="AB4695">
        <v>21</v>
      </c>
      <c r="AC4695">
        <v>15.9375</v>
      </c>
      <c r="AD4695">
        <v>-1.1278529215999999</v>
      </c>
      <c r="AE4695">
        <v>-7.0566000000000004</v>
      </c>
      <c r="AF4695">
        <v>-6.5376428730397196</v>
      </c>
      <c r="AG4695">
        <v>-1.1278529215999999</v>
      </c>
      <c r="AH4695">
        <v>16.078884323939398</v>
      </c>
      <c r="AI4695">
        <v>93.7178006710392</v>
      </c>
      <c r="AJ4695">
        <v>112.126562687876</v>
      </c>
      <c r="AK4695">
        <v>17.393773243629301</v>
      </c>
      <c r="AL4695">
        <v>85.764745997668797</v>
      </c>
      <c r="AM4695">
        <v>105.098754388998</v>
      </c>
      <c r="AN4695">
        <v>1.00000001025721</v>
      </c>
    </row>
    <row r="4696" spans="1:40" x14ac:dyDescent="0.25">
      <c r="A4696" t="str">
        <f>"20190303162003578"</f>
        <v>20190303162003578</v>
      </c>
      <c r="B4696" t="str">
        <f>"1551601203566902"</f>
        <v>1551601203566902</v>
      </c>
      <c r="C4696" t="s">
        <v>40</v>
      </c>
      <c r="D4696">
        <v>4.7445870000000001</v>
      </c>
      <c r="E4696">
        <v>0.45074189999999997</v>
      </c>
      <c r="F4696" t="s">
        <v>52</v>
      </c>
      <c r="G4696">
        <v>-467.94150000000002</v>
      </c>
      <c r="H4696" s="1">
        <v>2.727312E-6</v>
      </c>
      <c r="I4696">
        <v>213.74639999999999</v>
      </c>
      <c r="J4696">
        <v>-484.40100000000001</v>
      </c>
      <c r="K4696">
        <v>1.1280749999999999</v>
      </c>
      <c r="L4696">
        <v>220.88249999999999</v>
      </c>
      <c r="M4696">
        <v>0.70305419999999996</v>
      </c>
      <c r="N4696">
        <v>-1.176052E-2</v>
      </c>
      <c r="O4696">
        <v>-0.71103919999999998</v>
      </c>
      <c r="P4696">
        <v>0.86146800000000001</v>
      </c>
      <c r="Q4696">
        <v>7.0852949999999998E-2</v>
      </c>
      <c r="R4696">
        <v>-0.50284499999999999</v>
      </c>
      <c r="S4696">
        <v>2.7885439999999999</v>
      </c>
      <c r="T4696">
        <v>-0.1892866</v>
      </c>
      <c r="U4696">
        <v>-1.2214659999999999</v>
      </c>
      <c r="V4696">
        <v>-0.26039220000000002</v>
      </c>
      <c r="W4696">
        <v>7.7746369999999995E-2</v>
      </c>
      <c r="X4696">
        <v>0.96236759999999999</v>
      </c>
      <c r="Y4696">
        <v>-0.36782939999999997</v>
      </c>
      <c r="Z4696">
        <v>4.5698629999999997E-2</v>
      </c>
      <c r="AA4696">
        <v>0.92876970000000003</v>
      </c>
      <c r="AB4696">
        <v>21</v>
      </c>
      <c r="AC4696">
        <v>16.459499999999899</v>
      </c>
      <c r="AD4696">
        <v>-1.1280722726879999</v>
      </c>
      <c r="AE4696">
        <v>-7.1360999999999901</v>
      </c>
      <c r="AF4696">
        <v>-6.6604110275180402</v>
      </c>
      <c r="AG4696">
        <v>-1.1280722726879999</v>
      </c>
      <c r="AH4696">
        <v>16.581553305093699</v>
      </c>
      <c r="AI4696">
        <v>93.612252063244796</v>
      </c>
      <c r="AJ4696">
        <v>111.88414122724301</v>
      </c>
      <c r="AK4696">
        <v>17.904790758832</v>
      </c>
      <c r="AL4696">
        <v>85.540961286124102</v>
      </c>
      <c r="AM4696">
        <v>105.140254309756</v>
      </c>
      <c r="AN4696">
        <v>0.99999999669938799</v>
      </c>
    </row>
    <row r="4697" spans="1:40" x14ac:dyDescent="0.25">
      <c r="A4697" t="str">
        <f>"20190303162003601"</f>
        <v>20190303162003601</v>
      </c>
      <c r="B4697" t="str">
        <f>"1551601203587397"</f>
        <v>1551601203587397</v>
      </c>
      <c r="C4697" t="s">
        <v>40</v>
      </c>
      <c r="D4697">
        <v>4.7641499999999999</v>
      </c>
      <c r="E4697">
        <v>0.45140449999999999</v>
      </c>
      <c r="F4697" t="s">
        <v>52</v>
      </c>
      <c r="G4697">
        <v>-466.89060000000001</v>
      </c>
      <c r="H4697" s="1">
        <v>2.182499E-6</v>
      </c>
      <c r="I4697">
        <v>213.41650000000001</v>
      </c>
      <c r="J4697">
        <v>-484.24279999999999</v>
      </c>
      <c r="K4697">
        <v>1.128293</v>
      </c>
      <c r="L4697">
        <v>220.7424</v>
      </c>
      <c r="M4697">
        <v>0.71176249999999996</v>
      </c>
      <c r="N4697">
        <v>-1.182856E-2</v>
      </c>
      <c r="O4697">
        <v>-0.70232090000000003</v>
      </c>
      <c r="P4697">
        <v>0.86746489999999998</v>
      </c>
      <c r="Q4697">
        <v>7.2770399999999999E-2</v>
      </c>
      <c r="R4697">
        <v>-0.49214750000000002</v>
      </c>
      <c r="S4697">
        <v>2.8002929999999999</v>
      </c>
      <c r="T4697">
        <v>-0.18040339999999999</v>
      </c>
      <c r="U4697">
        <v>-1.1939850000000001</v>
      </c>
      <c r="V4697">
        <v>-0.26040170000000001</v>
      </c>
      <c r="W4697">
        <v>7.9599310000000006E-2</v>
      </c>
      <c r="X4697">
        <v>0.96221350000000005</v>
      </c>
      <c r="Y4697">
        <v>-0.36564249999999998</v>
      </c>
      <c r="Z4697">
        <v>4.2847389999999999E-2</v>
      </c>
      <c r="AA4697">
        <v>0.92976859999999995</v>
      </c>
      <c r="AB4697">
        <v>21</v>
      </c>
      <c r="AC4697">
        <v>17.3521999999999</v>
      </c>
      <c r="AD4697">
        <v>-1.128290817501</v>
      </c>
      <c r="AE4697">
        <v>-7.3258999999999901</v>
      </c>
      <c r="AF4697">
        <v>-6.9480659140663796</v>
      </c>
      <c r="AG4697">
        <v>-1.128290817501</v>
      </c>
      <c r="AH4697">
        <v>17.4344370294809</v>
      </c>
      <c r="AI4697">
        <v>93.440368099363397</v>
      </c>
      <c r="AJ4697">
        <v>111.728537463473</v>
      </c>
      <c r="AK4697">
        <v>18.8018151956135</v>
      </c>
      <c r="AL4697">
        <v>85.434465364626405</v>
      </c>
      <c r="AM4697">
        <v>105.14309479506301</v>
      </c>
      <c r="AN4697">
        <v>0.99999995754880699</v>
      </c>
    </row>
    <row r="4698" spans="1:40" x14ac:dyDescent="0.25">
      <c r="A4698" t="str">
        <f>"20190303162003623"</f>
        <v>20190303162003623</v>
      </c>
      <c r="B4698" t="str">
        <f>"1551601203617654"</f>
        <v>1551601203617654</v>
      </c>
      <c r="C4698" t="s">
        <v>40</v>
      </c>
      <c r="D4698">
        <v>4.8652559999999996</v>
      </c>
      <c r="E4698">
        <v>0.45269720000000002</v>
      </c>
      <c r="F4698" t="s">
        <v>52</v>
      </c>
      <c r="G4698">
        <v>-466.54860000000002</v>
      </c>
      <c r="H4698" s="1">
        <v>2.0005479999999998E-6</v>
      </c>
      <c r="I4698">
        <v>213.41560000000001</v>
      </c>
      <c r="J4698">
        <v>-484.08580000000001</v>
      </c>
      <c r="K4698">
        <v>1.1284970000000001</v>
      </c>
      <c r="L4698">
        <v>220.60730000000001</v>
      </c>
      <c r="M4698">
        <v>0.72039909999999996</v>
      </c>
      <c r="N4698">
        <v>-1.1896739999999999E-2</v>
      </c>
      <c r="O4698">
        <v>-0.69345780000000001</v>
      </c>
      <c r="P4698">
        <v>0.87310540000000003</v>
      </c>
      <c r="Q4698">
        <v>7.2850860000000003E-2</v>
      </c>
      <c r="R4698">
        <v>-0.48205769999999998</v>
      </c>
      <c r="S4698">
        <v>2.8126530000000001</v>
      </c>
      <c r="T4698">
        <v>-0.17935229999999999</v>
      </c>
      <c r="U4698">
        <v>-1.1646729999999901</v>
      </c>
      <c r="V4698">
        <v>-0.2596832</v>
      </c>
      <c r="W4698">
        <v>7.9638769999999998E-2</v>
      </c>
      <c r="X4698">
        <v>0.96240440000000005</v>
      </c>
      <c r="Y4698">
        <v>-0.36386849999999998</v>
      </c>
      <c r="Z4698">
        <v>4.2169650000000003E-2</v>
      </c>
      <c r="AA4698">
        <v>0.93049530000000003</v>
      </c>
      <c r="AB4698">
        <v>21</v>
      </c>
      <c r="AC4698">
        <v>17.537199999999899</v>
      </c>
      <c r="AD4698">
        <v>-1.1284949994519999</v>
      </c>
      <c r="AE4698">
        <v>-7.1916999999999902</v>
      </c>
      <c r="AF4698">
        <v>-6.9562500635779001</v>
      </c>
      <c r="AG4698">
        <v>-1.1284949994519999</v>
      </c>
      <c r="AH4698">
        <v>17.559925810949</v>
      </c>
      <c r="AI4698">
        <v>93.419244292952996</v>
      </c>
      <c r="AJ4698">
        <v>111.610671625032</v>
      </c>
      <c r="AK4698">
        <v>18.921255518512702</v>
      </c>
      <c r="AL4698">
        <v>85.432197300379798</v>
      </c>
      <c r="AM4698">
        <v>105.100364238065</v>
      </c>
      <c r="AN4698">
        <v>0.99999996359435595</v>
      </c>
    </row>
    <row r="4699" spans="1:40" x14ac:dyDescent="0.25">
      <c r="A4699" t="str">
        <f>"20190303162003647"</f>
        <v>20190303162003647</v>
      </c>
      <c r="B4699" t="str">
        <f>"1551601203637174"</f>
        <v>1551601203637174</v>
      </c>
      <c r="C4699" t="s">
        <v>40</v>
      </c>
      <c r="D4699">
        <v>4.9809679999999998</v>
      </c>
      <c r="E4699">
        <v>0.45356879999999999</v>
      </c>
      <c r="F4699" t="s">
        <v>52</v>
      </c>
      <c r="G4699">
        <v>-466.78989999999999</v>
      </c>
      <c r="H4699" s="1">
        <v>2.1204379999999998E-6</v>
      </c>
      <c r="I4699">
        <v>213.6096</v>
      </c>
      <c r="J4699">
        <v>-483.90859999999998</v>
      </c>
      <c r="K4699">
        <v>1.12869</v>
      </c>
      <c r="L4699">
        <v>220.45920000000001</v>
      </c>
      <c r="M4699">
        <v>0.73011819999999905</v>
      </c>
      <c r="N4699">
        <v>-1.19696E-2</v>
      </c>
      <c r="O4699">
        <v>-0.68321599999999905</v>
      </c>
      <c r="P4699">
        <v>0.8798975</v>
      </c>
      <c r="Q4699">
        <v>7.3097350000000005E-2</v>
      </c>
      <c r="R4699">
        <v>-0.46950779999999998</v>
      </c>
      <c r="S4699">
        <v>2.821167</v>
      </c>
      <c r="T4699">
        <v>-0.18406990000000001</v>
      </c>
      <c r="U4699">
        <v>-1.1414029999999999</v>
      </c>
      <c r="V4699">
        <v>-0.25990269999999999</v>
      </c>
      <c r="W4699">
        <v>7.9830789999999999E-2</v>
      </c>
      <c r="X4699">
        <v>0.96232930000000005</v>
      </c>
      <c r="Y4699">
        <v>-0.35822749999999998</v>
      </c>
      <c r="Z4699">
        <v>4.289668E-2</v>
      </c>
      <c r="AA4699">
        <v>0.93264840000000004</v>
      </c>
      <c r="AB4699">
        <v>21</v>
      </c>
      <c r="AC4699">
        <v>17.118699999999901</v>
      </c>
      <c r="AD4699">
        <v>-1.1286878795619999</v>
      </c>
      <c r="AE4699">
        <v>-6.8495999999999997</v>
      </c>
      <c r="AF4699">
        <v>-6.6702369314590397</v>
      </c>
      <c r="AG4699">
        <v>-1.1286878795619999</v>
      </c>
      <c r="AH4699">
        <v>17.115525889401599</v>
      </c>
      <c r="AI4699">
        <v>93.516064905036998</v>
      </c>
      <c r="AJ4699">
        <v>111.291782416765</v>
      </c>
      <c r="AK4699">
        <v>18.404000204359001</v>
      </c>
      <c r="AL4699">
        <v>85.421160505664304</v>
      </c>
      <c r="AM4699">
        <v>105.113669830199</v>
      </c>
      <c r="AN4699">
        <v>1.0000000250689001</v>
      </c>
    </row>
    <row r="4700" spans="1:40" x14ac:dyDescent="0.25">
      <c r="A4700" t="str">
        <f>"20190303162003668"</f>
        <v>20190303162003668</v>
      </c>
      <c r="B4700" t="str">
        <f>"1551601203656693"</f>
        <v>1551601203656693</v>
      </c>
      <c r="C4700" t="s">
        <v>40</v>
      </c>
      <c r="D4700">
        <v>4.7920590000000001</v>
      </c>
      <c r="E4700">
        <v>0.45468429999999999</v>
      </c>
      <c r="F4700" t="s">
        <v>52</v>
      </c>
      <c r="G4700">
        <v>-466.7097</v>
      </c>
      <c r="H4700" s="1">
        <v>2.0722179999999999E-6</v>
      </c>
      <c r="I4700">
        <v>213.73750000000001</v>
      </c>
      <c r="J4700">
        <v>-483.75529999999998</v>
      </c>
      <c r="K4700">
        <v>1.128819</v>
      </c>
      <c r="L4700">
        <v>220.33500000000001</v>
      </c>
      <c r="M4700">
        <v>0.73845509999999903</v>
      </c>
      <c r="N4700">
        <v>-1.2026449999999999E-2</v>
      </c>
      <c r="O4700">
        <v>-0.67419549999999995</v>
      </c>
      <c r="P4700">
        <v>0.88629690000000005</v>
      </c>
      <c r="Q4700">
        <v>7.1809910000000005E-2</v>
      </c>
      <c r="R4700">
        <v>-0.45751639999999999</v>
      </c>
      <c r="S4700">
        <v>2.8339539999999999</v>
      </c>
      <c r="T4700">
        <v>-0.1859807</v>
      </c>
      <c r="U4700">
        <v>-1.1075740000000001</v>
      </c>
      <c r="V4700">
        <v>-0.2612235</v>
      </c>
      <c r="W4700">
        <v>7.8486529999999999E-2</v>
      </c>
      <c r="X4700">
        <v>0.9620822</v>
      </c>
      <c r="Y4700">
        <v>-0.35782330000000001</v>
      </c>
      <c r="Z4700">
        <v>4.3047000000000002E-2</v>
      </c>
      <c r="AA4700">
        <v>0.93279659999999998</v>
      </c>
      <c r="AB4700">
        <v>21</v>
      </c>
      <c r="AC4700">
        <v>17.045599999999901</v>
      </c>
      <c r="AD4700">
        <v>-1.1288169277819999</v>
      </c>
      <c r="AE4700">
        <v>-6.5974999999999904</v>
      </c>
      <c r="AF4700">
        <v>-6.5954316903980903</v>
      </c>
      <c r="AG4700">
        <v>-1.1288169277819999</v>
      </c>
      <c r="AH4700">
        <v>16.971912608358</v>
      </c>
      <c r="AI4700">
        <v>93.547473037573099</v>
      </c>
      <c r="AJ4700">
        <v>111.23655593615401</v>
      </c>
      <c r="AK4700">
        <v>18.243348498148499</v>
      </c>
      <c r="AL4700">
        <v>85.498423296596798</v>
      </c>
      <c r="AM4700">
        <v>105.19065743234199</v>
      </c>
      <c r="AN4700">
        <v>1.0000000059502601</v>
      </c>
    </row>
    <row r="4701" spans="1:40" x14ac:dyDescent="0.25">
      <c r="A4701" t="str">
        <f>"20190303162003689"</f>
        <v>20190303162003689</v>
      </c>
      <c r="B4701" t="str">
        <f>"1551601203677190"</f>
        <v>1551601203677190</v>
      </c>
      <c r="C4701" t="s">
        <v>40</v>
      </c>
      <c r="D4701">
        <v>4.8549360000000004</v>
      </c>
      <c r="E4701">
        <v>0.45537660000000002</v>
      </c>
      <c r="F4701" t="s">
        <v>52</v>
      </c>
      <c r="G4701">
        <v>-467.06569999999999</v>
      </c>
      <c r="H4701" s="1">
        <v>2.2496999999999998E-6</v>
      </c>
      <c r="I4701">
        <v>214.0102</v>
      </c>
      <c r="J4701">
        <v>-483.5942</v>
      </c>
      <c r="K4701">
        <v>1.128898</v>
      </c>
      <c r="L4701">
        <v>220.208</v>
      </c>
      <c r="M4701">
        <v>0.74710859999999901</v>
      </c>
      <c r="N4701">
        <v>-1.207769E-2</v>
      </c>
      <c r="O4701">
        <v>-0.66459259999999998</v>
      </c>
      <c r="P4701">
        <v>0.89285979999999998</v>
      </c>
      <c r="Q4701">
        <v>6.899624E-2</v>
      </c>
      <c r="R4701">
        <v>-0.44501849999999998</v>
      </c>
      <c r="S4701">
        <v>2.844055</v>
      </c>
      <c r="T4701">
        <v>-0.1923599</v>
      </c>
      <c r="U4701">
        <v>-1.0777890000000001</v>
      </c>
      <c r="V4701">
        <v>-0.26241809999999899</v>
      </c>
      <c r="W4701">
        <v>7.5636389999999998E-2</v>
      </c>
      <c r="X4701">
        <v>0.96198539999999999</v>
      </c>
      <c r="Y4701">
        <v>-0.35530070000000002</v>
      </c>
      <c r="Z4701">
        <v>4.4287029999999998E-2</v>
      </c>
      <c r="AA4701">
        <v>0.93370229999999999</v>
      </c>
      <c r="AB4701">
        <v>21</v>
      </c>
      <c r="AC4701">
        <v>16.528500000000001</v>
      </c>
      <c r="AD4701">
        <v>-1.1288957502999999</v>
      </c>
      <c r="AE4701">
        <v>-6.1978</v>
      </c>
      <c r="AF4701">
        <v>-6.3288672136105699</v>
      </c>
      <c r="AG4701">
        <v>-1.1288957502999999</v>
      </c>
      <c r="AH4701">
        <v>16.401713846525901</v>
      </c>
      <c r="AI4701">
        <v>93.674105704237206</v>
      </c>
      <c r="AJ4701">
        <v>111.09991658714399</v>
      </c>
      <c r="AK4701">
        <v>17.6166166707992</v>
      </c>
      <c r="AL4701">
        <v>85.662211439430607</v>
      </c>
      <c r="AM4701">
        <v>105.25835866726</v>
      </c>
      <c r="AN4701">
        <v>1.0000000162564999</v>
      </c>
    </row>
    <row r="4702" spans="1:40" x14ac:dyDescent="0.25">
      <c r="A4702" t="str">
        <f>"20190303162003712"</f>
        <v>20190303162003712</v>
      </c>
      <c r="B4702" t="str">
        <f>"1551601203706470"</f>
        <v>1551601203706470</v>
      </c>
      <c r="C4702" t="s">
        <v>40</v>
      </c>
      <c r="D4702">
        <v>4.9732450000000004</v>
      </c>
      <c r="E4702">
        <v>0.45618730000000002</v>
      </c>
      <c r="F4702" t="s">
        <v>52</v>
      </c>
      <c r="G4702">
        <v>-467.75920000000002</v>
      </c>
      <c r="H4702" s="1">
        <v>2.6006480000000002E-6</v>
      </c>
      <c r="I4702">
        <v>214.42509999999999</v>
      </c>
      <c r="J4702">
        <v>-483.43</v>
      </c>
      <c r="K4702">
        <v>1.1289439999999999</v>
      </c>
      <c r="L4702">
        <v>220.0821</v>
      </c>
      <c r="M4702">
        <v>0.75579589999999996</v>
      </c>
      <c r="N4702">
        <v>-1.212096E-2</v>
      </c>
      <c r="O4702">
        <v>-0.65469529999999998</v>
      </c>
      <c r="P4702">
        <v>0.89856709999999995</v>
      </c>
      <c r="Q4702">
        <v>6.5820489999999995E-2</v>
      </c>
      <c r="R4702">
        <v>-0.43387239999999999</v>
      </c>
      <c r="S4702">
        <v>2.855896</v>
      </c>
      <c r="T4702">
        <v>-0.2036</v>
      </c>
      <c r="U4702">
        <v>-1.042969</v>
      </c>
      <c r="V4702">
        <v>-0.26182729999999999</v>
      </c>
      <c r="W4702">
        <v>7.2479370000000001E-2</v>
      </c>
      <c r="X4702">
        <v>0.9623893</v>
      </c>
      <c r="Y4702">
        <v>-0.35410550000000002</v>
      </c>
      <c r="Z4702">
        <v>4.6780380000000003E-2</v>
      </c>
      <c r="AA4702">
        <v>0.93403480000000005</v>
      </c>
      <c r="AB4702">
        <v>22</v>
      </c>
      <c r="AC4702">
        <v>15.6707999999999</v>
      </c>
      <c r="AD4702">
        <v>-1.1289413993520001</v>
      </c>
      <c r="AE4702">
        <v>-5.6570000000000098</v>
      </c>
      <c r="AF4702">
        <v>-5.95714776799253</v>
      </c>
      <c r="AG4702">
        <v>-1.1289413993520001</v>
      </c>
      <c r="AH4702">
        <v>15.4776110519763</v>
      </c>
      <c r="AI4702">
        <v>93.894246415041295</v>
      </c>
      <c r="AJ4702">
        <v>111.051119885734</v>
      </c>
      <c r="AK4702">
        <v>16.6228325531218</v>
      </c>
      <c r="AL4702">
        <v>85.843593366956696</v>
      </c>
      <c r="AM4702">
        <v>105.21950913606101</v>
      </c>
      <c r="AN4702">
        <v>0.99999997942768803</v>
      </c>
    </row>
    <row r="4703" spans="1:40" x14ac:dyDescent="0.25">
      <c r="A4703" t="str">
        <f>"20190303162003735"</f>
        <v>20190303162003735</v>
      </c>
      <c r="B4703" t="str">
        <f>"1551601203726966"</f>
        <v>1551601203726966</v>
      </c>
      <c r="C4703" t="s">
        <v>40</v>
      </c>
      <c r="D4703">
        <v>4.9767109999999999</v>
      </c>
      <c r="E4703">
        <v>0.4569858</v>
      </c>
      <c r="F4703" t="s">
        <v>52</v>
      </c>
      <c r="G4703">
        <v>-468.68630000000002</v>
      </c>
      <c r="H4703" s="1">
        <v>3.0745329999999998E-6</v>
      </c>
      <c r="I4703">
        <v>214.87</v>
      </c>
      <c r="J4703">
        <v>-483.25540000000001</v>
      </c>
      <c r="K4703">
        <v>1.128959</v>
      </c>
      <c r="L4703">
        <v>219.9521</v>
      </c>
      <c r="M4703">
        <v>0.76484739999999996</v>
      </c>
      <c r="N4703">
        <v>-1.215777E-2</v>
      </c>
      <c r="O4703">
        <v>-0.64409680000000002</v>
      </c>
      <c r="P4703">
        <v>0.90435690000000002</v>
      </c>
      <c r="Q4703">
        <v>6.3886009999999993E-2</v>
      </c>
      <c r="R4703">
        <v>-0.42196830000000002</v>
      </c>
      <c r="S4703">
        <v>2.8656009999999998</v>
      </c>
      <c r="T4703">
        <v>-0.21942210000000001</v>
      </c>
      <c r="U4703">
        <v>-1.013031</v>
      </c>
      <c r="V4703">
        <v>-0.2611792</v>
      </c>
      <c r="W4703">
        <v>7.0577860000000006E-2</v>
      </c>
      <c r="X4703">
        <v>0.96270670000000003</v>
      </c>
      <c r="Y4703">
        <v>-0.3504739</v>
      </c>
      <c r="Z4703">
        <v>5.0265709999999998E-2</v>
      </c>
      <c r="AA4703">
        <v>0.93522269999999996</v>
      </c>
      <c r="AB4703">
        <v>22</v>
      </c>
      <c r="AC4703">
        <v>14.569099999999899</v>
      </c>
      <c r="AD4703">
        <v>-1.1289559254670001</v>
      </c>
      <c r="AE4703">
        <v>-5.0820999999999898</v>
      </c>
      <c r="AF4703">
        <v>-5.4680141207733497</v>
      </c>
      <c r="AG4703">
        <v>-1.1289559254670001</v>
      </c>
      <c r="AH4703">
        <v>14.3407976628308</v>
      </c>
      <c r="AI4703">
        <v>94.206971337912293</v>
      </c>
      <c r="AJ4703">
        <v>110.87138844826799</v>
      </c>
      <c r="AK4703">
        <v>15.3893533818961</v>
      </c>
      <c r="AL4703">
        <v>85.952821748192704</v>
      </c>
      <c r="AM4703">
        <v>105.17880253636901</v>
      </c>
      <c r="AN4703">
        <v>0.99999999952985397</v>
      </c>
    </row>
    <row r="4704" spans="1:40" x14ac:dyDescent="0.25">
      <c r="A4704" t="str">
        <f>"20190303162003756"</f>
        <v>20190303162003756</v>
      </c>
      <c r="B4704" t="str">
        <f>"1551601203746486"</f>
        <v>1551601203746486</v>
      </c>
      <c r="C4704" t="s">
        <v>40</v>
      </c>
      <c r="D4704">
        <v>4.9760390000000001</v>
      </c>
      <c r="E4704">
        <v>0.45773330000000001</v>
      </c>
      <c r="F4704" t="s">
        <v>52</v>
      </c>
      <c r="G4704">
        <v>-468.98329999999999</v>
      </c>
      <c r="H4704" s="1">
        <v>3.2232490000000002E-6</v>
      </c>
      <c r="I4704">
        <v>215.08349999999999</v>
      </c>
      <c r="J4704">
        <v>-483.09289999999999</v>
      </c>
      <c r="K4704">
        <v>1.12896</v>
      </c>
      <c r="L4704">
        <v>219.83449999999999</v>
      </c>
      <c r="M4704">
        <v>0.77308509999999997</v>
      </c>
      <c r="N4704">
        <v>-1.2184769999999999E-2</v>
      </c>
      <c r="O4704">
        <v>-0.63418540000000001</v>
      </c>
      <c r="P4704">
        <v>0.91000930000000002</v>
      </c>
      <c r="Q4704">
        <v>6.3867359999999998E-2</v>
      </c>
      <c r="R4704">
        <v>-0.40963899999999998</v>
      </c>
      <c r="S4704">
        <v>2.8756409999999999</v>
      </c>
      <c r="T4704">
        <v>-0.22746910000000001</v>
      </c>
      <c r="U4704">
        <v>-0.98097230000000002</v>
      </c>
      <c r="V4704">
        <v>-0.2618569</v>
      </c>
      <c r="W4704">
        <v>7.0567400000000002E-2</v>
      </c>
      <c r="X4704">
        <v>0.96252329999999997</v>
      </c>
      <c r="Y4704">
        <v>-0.34860609999999997</v>
      </c>
      <c r="Z4704">
        <v>5.1775389999999998E-2</v>
      </c>
      <c r="AA4704">
        <v>0.93583819999999995</v>
      </c>
      <c r="AB4704">
        <v>22</v>
      </c>
      <c r="AC4704">
        <v>14.1096</v>
      </c>
      <c r="AD4704">
        <v>-1.128956776751</v>
      </c>
      <c r="AE4704">
        <v>-4.7510000000000003</v>
      </c>
      <c r="AF4704">
        <v>-5.2454042104763499</v>
      </c>
      <c r="AG4704">
        <v>-1.128956776751</v>
      </c>
      <c r="AH4704">
        <v>13.842372636750699</v>
      </c>
      <c r="AI4704">
        <v>94.361275607509896</v>
      </c>
      <c r="AJ4704">
        <v>110.75361356031399</v>
      </c>
      <c r="AK4704">
        <v>14.8458778436885</v>
      </c>
      <c r="AL4704">
        <v>85.953422353372801</v>
      </c>
      <c r="AM4704">
        <v>105.219129146527</v>
      </c>
      <c r="AN4704">
        <v>0.99999994853162799</v>
      </c>
    </row>
    <row r="4705" spans="1:40" x14ac:dyDescent="0.25">
      <c r="A4705" t="str">
        <f>"20190303162003781"</f>
        <v>20190303162003781</v>
      </c>
      <c r="B4705" t="str">
        <f>"1551601203766985"</f>
        <v>1551601203766985</v>
      </c>
      <c r="C4705" t="s">
        <v>40</v>
      </c>
      <c r="D4705">
        <v>4.882619</v>
      </c>
      <c r="E4705">
        <v>0.45841880000000002</v>
      </c>
      <c r="F4705" t="s">
        <v>52</v>
      </c>
      <c r="G4705">
        <v>-468.90620000000001</v>
      </c>
      <c r="H4705" s="1">
        <v>3.1782229999999999E-6</v>
      </c>
      <c r="I4705">
        <v>215.17500000000001</v>
      </c>
      <c r="J4705">
        <v>-482.90629999999999</v>
      </c>
      <c r="K4705">
        <v>1.128943</v>
      </c>
      <c r="L4705">
        <v>219.70320000000001</v>
      </c>
      <c r="M4705">
        <v>0.78230310000000003</v>
      </c>
      <c r="N4705">
        <v>-1.220887E-2</v>
      </c>
      <c r="O4705">
        <v>-0.62277830000000001</v>
      </c>
      <c r="P4705">
        <v>0.91636689999999998</v>
      </c>
      <c r="Q4705">
        <v>6.5561410000000001E-2</v>
      </c>
      <c r="R4705">
        <v>-0.39493430000000002</v>
      </c>
      <c r="S4705">
        <v>2.886047</v>
      </c>
      <c r="T4705">
        <v>-0.2296668</v>
      </c>
      <c r="U4705">
        <v>-0.94789120000000004</v>
      </c>
      <c r="V4705">
        <v>-0.26319419999999999</v>
      </c>
      <c r="W4705">
        <v>7.225964E-2</v>
      </c>
      <c r="X4705">
        <v>0.96203289999999997</v>
      </c>
      <c r="Y4705">
        <v>-0.34552650000000001</v>
      </c>
      <c r="Z4705">
        <v>5.1640659999999998E-2</v>
      </c>
      <c r="AA4705">
        <v>0.93698700000000001</v>
      </c>
      <c r="AB4705">
        <v>22</v>
      </c>
      <c r="AC4705">
        <v>14.0000999999999</v>
      </c>
      <c r="AD4705">
        <v>-1.1289398217769999</v>
      </c>
      <c r="AE4705">
        <v>-4.5281999999999902</v>
      </c>
      <c r="AF4705">
        <v>-5.1466229890434896</v>
      </c>
      <c r="AG4705">
        <v>-1.1289398217769999</v>
      </c>
      <c r="AH4705">
        <v>13.692807936148499</v>
      </c>
      <c r="AI4705">
        <v>94.413123477347099</v>
      </c>
      <c r="AJ4705">
        <v>110.599394497226</v>
      </c>
      <c r="AK4705">
        <v>14.671578731983701</v>
      </c>
      <c r="AL4705">
        <v>85.856216034430503</v>
      </c>
      <c r="AM4705">
        <v>105.300652736251</v>
      </c>
      <c r="AN4705">
        <v>0.99999997158448894</v>
      </c>
    </row>
    <row r="4706" spans="1:40" x14ac:dyDescent="0.25">
      <c r="A4706" t="str">
        <f>"20190303162003801"</f>
        <v>20190303162003801</v>
      </c>
      <c r="B4706" t="str">
        <f>"1551601203786502"</f>
        <v>1551601203786502</v>
      </c>
      <c r="C4706" t="s">
        <v>40</v>
      </c>
      <c r="D4706">
        <v>5.0252860000000004</v>
      </c>
      <c r="E4706">
        <v>0.45922639999999998</v>
      </c>
      <c r="F4706" t="s">
        <v>52</v>
      </c>
      <c r="G4706">
        <v>-468.50200000000001</v>
      </c>
      <c r="H4706" s="1">
        <v>2.9623399999999998E-6</v>
      </c>
      <c r="I4706">
        <v>215.1925</v>
      </c>
      <c r="J4706">
        <v>-482.74579999999997</v>
      </c>
      <c r="K4706">
        <v>1.128941</v>
      </c>
      <c r="L4706">
        <v>219.5934</v>
      </c>
      <c r="M4706">
        <v>0.79002260000000002</v>
      </c>
      <c r="N4706">
        <v>-1.2224280000000001E-2</v>
      </c>
      <c r="O4706">
        <v>-0.61295599999999995</v>
      </c>
      <c r="P4706">
        <v>0.92182269999999999</v>
      </c>
      <c r="Q4706">
        <v>6.7283029999999994E-2</v>
      </c>
      <c r="R4706">
        <v>-0.38172719999999999</v>
      </c>
      <c r="S4706">
        <v>2.8988649999999998</v>
      </c>
      <c r="T4706">
        <v>-0.2271976</v>
      </c>
      <c r="U4706">
        <v>-0.90776060000000003</v>
      </c>
      <c r="V4706">
        <v>-0.26495380000000002</v>
      </c>
      <c r="W4706">
        <v>7.3963100000000004E-2</v>
      </c>
      <c r="X4706">
        <v>0.96142030000000001</v>
      </c>
      <c r="Y4706">
        <v>-0.34686129999999998</v>
      </c>
      <c r="Z4706">
        <v>5.057503E-2</v>
      </c>
      <c r="AA4706">
        <v>0.93655189999999999</v>
      </c>
      <c r="AB4706">
        <v>22</v>
      </c>
      <c r="AC4706">
        <v>14.2438</v>
      </c>
      <c r="AD4706">
        <v>-1.12893803766</v>
      </c>
      <c r="AE4706">
        <v>-4.4009</v>
      </c>
      <c r="AF4706">
        <v>-5.2244450215155904</v>
      </c>
      <c r="AG4706">
        <v>-1.12893803766</v>
      </c>
      <c r="AH4706">
        <v>13.8719750031276</v>
      </c>
      <c r="AI4706">
        <v>94.355258259618097</v>
      </c>
      <c r="AJ4706">
        <v>110.637311702517</v>
      </c>
      <c r="AK4706">
        <v>14.8661029649034</v>
      </c>
      <c r="AL4706">
        <v>85.758353274427606</v>
      </c>
      <c r="AM4706">
        <v>105.407451602253</v>
      </c>
      <c r="AN4706">
        <v>1.0000000247740599</v>
      </c>
    </row>
    <row r="4707" spans="1:40" x14ac:dyDescent="0.25">
      <c r="A4707" t="str">
        <f>"20190303162003825"</f>
        <v>20190303162003825</v>
      </c>
      <c r="B4707" t="str">
        <f>"1551601203816758"</f>
        <v>1551601203816758</v>
      </c>
      <c r="C4707" t="s">
        <v>40</v>
      </c>
      <c r="D4707">
        <v>4.9738040000000003</v>
      </c>
      <c r="E4707">
        <v>0.47352529999999998</v>
      </c>
      <c r="F4707" t="s">
        <v>52</v>
      </c>
      <c r="G4707">
        <v>-468.01350000000002</v>
      </c>
      <c r="H4707" s="1">
        <v>2.7031999999999998E-6</v>
      </c>
      <c r="I4707">
        <v>215.1748</v>
      </c>
      <c r="J4707">
        <v>-482.5591</v>
      </c>
      <c r="K4707">
        <v>1.1289370000000001</v>
      </c>
      <c r="L4707">
        <v>219.4692</v>
      </c>
      <c r="M4707">
        <v>0.79875229999999997</v>
      </c>
      <c r="N4707">
        <v>-1.223777E-2</v>
      </c>
      <c r="O4707">
        <v>-0.60153579999999995</v>
      </c>
      <c r="P4707">
        <v>0.92762109999999998</v>
      </c>
      <c r="Q4707">
        <v>6.9507109999999997E-2</v>
      </c>
      <c r="R4707">
        <v>-0.36699870000000001</v>
      </c>
      <c r="S4707">
        <v>2.909332</v>
      </c>
      <c r="T4707">
        <v>-0.22294320000000001</v>
      </c>
      <c r="U4707">
        <v>-0.87258910000000001</v>
      </c>
      <c r="V4707">
        <v>-0.26638650000000003</v>
      </c>
      <c r="W4707">
        <v>7.6175090000000001E-2</v>
      </c>
      <c r="X4707">
        <v>0.96085149999999997</v>
      </c>
      <c r="Y4707">
        <v>-0.34479989999999999</v>
      </c>
      <c r="Z4707">
        <v>4.8882080000000001E-2</v>
      </c>
      <c r="AA4707">
        <v>0.93740259999999997</v>
      </c>
      <c r="AB4707">
        <v>22</v>
      </c>
      <c r="AC4707">
        <v>14.545599999999901</v>
      </c>
      <c r="AD4707">
        <v>-1.1289342968</v>
      </c>
      <c r="AE4707">
        <v>-4.2943999999999898</v>
      </c>
      <c r="AF4707">
        <v>-5.2906201048221302</v>
      </c>
      <c r="AG4707">
        <v>-1.1289342968</v>
      </c>
      <c r="AH4707">
        <v>14.1243666874821</v>
      </c>
      <c r="AI4707">
        <v>94.280579823119396</v>
      </c>
      <c r="AJ4707">
        <v>110.534641922839</v>
      </c>
      <c r="AK4707">
        <v>15.124909522456401</v>
      </c>
      <c r="AL4707">
        <v>85.631256864756693</v>
      </c>
      <c r="AM4707">
        <v>105.495503495308</v>
      </c>
      <c r="AN4707">
        <v>1.0000000083855001</v>
      </c>
    </row>
    <row r="4708" spans="1:40" x14ac:dyDescent="0.25">
      <c r="A4708" t="str">
        <f>"20190303162003847"</f>
        <v>20190303162003847</v>
      </c>
      <c r="B4708" t="str">
        <f>"1551601203837254"</f>
        <v>1551601203837254</v>
      </c>
      <c r="C4708" t="s">
        <v>40</v>
      </c>
      <c r="D4708">
        <v>5.0283290000000003</v>
      </c>
      <c r="E4708">
        <v>0.44886569999999998</v>
      </c>
      <c r="F4708" t="s">
        <v>52</v>
      </c>
      <c r="G4708">
        <v>-468.34039999999999</v>
      </c>
      <c r="H4708" s="1">
        <v>2.8907370000000001E-6</v>
      </c>
      <c r="I4708">
        <v>214.864</v>
      </c>
      <c r="J4708">
        <v>-482.38069999999999</v>
      </c>
      <c r="K4708">
        <v>1.128943</v>
      </c>
      <c r="L4708">
        <v>219.3544</v>
      </c>
      <c r="M4708">
        <v>0.80684109999999998</v>
      </c>
      <c r="N4708">
        <v>-1.224737E-2</v>
      </c>
      <c r="O4708">
        <v>-0.59064159999999999</v>
      </c>
      <c r="P4708">
        <v>0.93230840000000004</v>
      </c>
      <c r="Q4708">
        <v>7.2180610000000006E-2</v>
      </c>
      <c r="R4708">
        <v>-0.3543885</v>
      </c>
      <c r="S4708">
        <v>2.881958</v>
      </c>
      <c r="T4708">
        <v>-0.22882179999999999</v>
      </c>
      <c r="U4708">
        <v>-0.93342590000000003</v>
      </c>
      <c r="V4708">
        <v>-0.26630500000000001</v>
      </c>
      <c r="W4708">
        <v>7.8863970000000005E-2</v>
      </c>
      <c r="X4708">
        <v>0.96065710000000004</v>
      </c>
      <c r="Y4708">
        <v>-0.3113765</v>
      </c>
      <c r="Z4708">
        <v>4.8607890000000001E-2</v>
      </c>
      <c r="AA4708">
        <v>0.94904259999999996</v>
      </c>
      <c r="AB4708">
        <v>22</v>
      </c>
      <c r="AC4708">
        <v>14.0403</v>
      </c>
      <c r="AD4708">
        <v>-1.128940109263</v>
      </c>
      <c r="AE4708">
        <v>-4.4903999999999904</v>
      </c>
      <c r="AF4708">
        <v>-4.6428640436864299</v>
      </c>
      <c r="AG4708">
        <v>-1.128940109263</v>
      </c>
      <c r="AH4708">
        <v>13.900027711389001</v>
      </c>
      <c r="AI4708">
        <v>94.405071047650196</v>
      </c>
      <c r="AJ4708">
        <v>108.47026423947899</v>
      </c>
      <c r="AK4708">
        <v>14.698348977889999</v>
      </c>
      <c r="AL4708">
        <v>85.476730178743296</v>
      </c>
      <c r="AM4708">
        <v>105.49397459959199</v>
      </c>
      <c r="AN4708">
        <v>0.99999997128478502</v>
      </c>
    </row>
    <row r="4709" spans="1:40" x14ac:dyDescent="0.25">
      <c r="A4709" t="str">
        <f>"20190303162003870"</f>
        <v>20190303162003870</v>
      </c>
      <c r="B4709" t="str">
        <f>"1551601203867510"</f>
        <v>1551601203867510</v>
      </c>
      <c r="C4709" t="s">
        <v>40</v>
      </c>
      <c r="D4709">
        <v>4.9620410000000001</v>
      </c>
      <c r="E4709">
        <v>0.42058459999999998</v>
      </c>
      <c r="F4709" t="s">
        <v>52</v>
      </c>
      <c r="G4709">
        <v>-468.1465</v>
      </c>
      <c r="H4709" s="1">
        <v>2.7404320000000001E-6</v>
      </c>
      <c r="I4709">
        <v>215.94159999999999</v>
      </c>
      <c r="J4709">
        <v>-482.20249999999999</v>
      </c>
      <c r="K4709">
        <v>1.1289469999999999</v>
      </c>
      <c r="L4709">
        <v>219.2431</v>
      </c>
      <c r="M4709">
        <v>0.81469179999999997</v>
      </c>
      <c r="N4709">
        <v>-1.2254889999999999E-2</v>
      </c>
      <c r="O4709">
        <v>-0.57976479999999997</v>
      </c>
      <c r="P4709">
        <v>0.936589</v>
      </c>
      <c r="Q4709">
        <v>7.4091240000000003E-2</v>
      </c>
      <c r="R4709">
        <v>-0.34250750000000002</v>
      </c>
      <c r="S4709">
        <v>2.9657589999999998</v>
      </c>
      <c r="T4709">
        <v>-0.2352197</v>
      </c>
      <c r="U4709">
        <v>-0.71109009999999995</v>
      </c>
      <c r="V4709">
        <v>-0.26557930000000002</v>
      </c>
      <c r="W4709">
        <v>8.0799449999999995E-2</v>
      </c>
      <c r="X4709">
        <v>0.96069720000000003</v>
      </c>
      <c r="Y4709">
        <v>-0.37162640000000002</v>
      </c>
      <c r="Z4709">
        <v>5.1559979999999998E-2</v>
      </c>
      <c r="AA4709">
        <v>0.92694949999999998</v>
      </c>
      <c r="AB4709">
        <v>22</v>
      </c>
      <c r="AC4709">
        <v>14.0559999999999</v>
      </c>
      <c r="AD4709">
        <v>-1.1289442595679999</v>
      </c>
      <c r="AE4709">
        <v>-3.3014999999999999</v>
      </c>
      <c r="AF4709">
        <v>-5.4267018314025499</v>
      </c>
      <c r="AG4709">
        <v>-1.1289442595679999</v>
      </c>
      <c r="AH4709">
        <v>13.285183545851201</v>
      </c>
      <c r="AI4709">
        <v>94.498065761925702</v>
      </c>
      <c r="AJ4709">
        <v>112.218922113582</v>
      </c>
      <c r="AK4709">
        <v>14.395127986757</v>
      </c>
      <c r="AL4709">
        <v>85.365480445542502</v>
      </c>
      <c r="AM4709">
        <v>105.453158895013</v>
      </c>
      <c r="AN4709">
        <v>1.00000001289831</v>
      </c>
    </row>
    <row r="4710" spans="1:40" x14ac:dyDescent="0.25">
      <c r="A4710" t="str">
        <f>"20190303162003890"</f>
        <v>20190303162003890</v>
      </c>
      <c r="B4710" t="str">
        <f>"1551601203887030"</f>
        <v>1551601203887030</v>
      </c>
      <c r="C4710" t="s">
        <v>40</v>
      </c>
      <c r="D4710">
        <v>4.8929049999999998</v>
      </c>
      <c r="E4710">
        <v>0.413018</v>
      </c>
      <c r="F4710" t="s">
        <v>42</v>
      </c>
      <c r="G4710">
        <v>-481.23669999999998</v>
      </c>
      <c r="H4710">
        <v>1.07117</v>
      </c>
      <c r="I4710">
        <v>219.09790000000001</v>
      </c>
      <c r="J4710">
        <v>-482.03100000000001</v>
      </c>
      <c r="K4710">
        <v>1.128949</v>
      </c>
      <c r="L4710">
        <v>219.13890000000001</v>
      </c>
      <c r="M4710">
        <v>0.82203950000000003</v>
      </c>
      <c r="N4710">
        <v>-1.226094E-2</v>
      </c>
      <c r="O4710">
        <v>-0.56929849999999904</v>
      </c>
      <c r="P4710">
        <v>0.94068640000000003</v>
      </c>
      <c r="Q4710">
        <v>7.4909069999999994E-2</v>
      </c>
      <c r="R4710">
        <v>-0.3309047</v>
      </c>
      <c r="S4710">
        <v>3.0498050000000001</v>
      </c>
      <c r="T4710">
        <v>-0.18243970000000001</v>
      </c>
      <c r="U4710">
        <v>-0.45869450000000001</v>
      </c>
      <c r="V4710">
        <v>-0.2651461</v>
      </c>
      <c r="W4710">
        <v>8.1633529999999996E-2</v>
      </c>
      <c r="X4710">
        <v>0.96074630000000005</v>
      </c>
      <c r="Y4710">
        <v>-0.4393261</v>
      </c>
      <c r="Z4710">
        <v>4.024954E-2</v>
      </c>
      <c r="AA4710">
        <v>0.89742549999999899</v>
      </c>
      <c r="AB4710">
        <v>22</v>
      </c>
      <c r="AC4710">
        <v>0.79430000000002099</v>
      </c>
      <c r="AD4710">
        <v>-5.7778999999999803E-2</v>
      </c>
      <c r="AE4710">
        <v>-4.0999999999996803E-2</v>
      </c>
      <c r="AF4710">
        <v>-0.41632454019118698</v>
      </c>
      <c r="AG4710">
        <v>-5.7778999999999803E-2</v>
      </c>
      <c r="AH4710">
        <v>0.67278750429523204</v>
      </c>
      <c r="AI4710">
        <v>94.176821434459896</v>
      </c>
      <c r="AJ4710">
        <v>121.749445760352</v>
      </c>
      <c r="AK4710">
        <v>0.79328907816899297</v>
      </c>
      <c r="AL4710">
        <v>85.317532585037199</v>
      </c>
      <c r="AM4710">
        <v>105.428403450602</v>
      </c>
      <c r="AN4710">
        <v>0.99999997026457998</v>
      </c>
    </row>
    <row r="4711" spans="1:40" x14ac:dyDescent="0.25">
      <c r="A4711" t="str">
        <f>"20190303162003913"</f>
        <v>20190303162003913</v>
      </c>
      <c r="B4711" t="str">
        <f>"1551601203906550"</f>
        <v>1551601203906550</v>
      </c>
      <c r="C4711" t="s">
        <v>40</v>
      </c>
      <c r="D4711">
        <v>4.8707240000000001</v>
      </c>
      <c r="E4711">
        <v>0.41112939999999998</v>
      </c>
      <c r="F4711" t="s">
        <v>42</v>
      </c>
      <c r="G4711">
        <v>-481.0675</v>
      </c>
      <c r="H4711">
        <v>1.07925</v>
      </c>
      <c r="I4711">
        <v>219.02500000000001</v>
      </c>
      <c r="J4711">
        <v>-481.84859999999998</v>
      </c>
      <c r="K4711">
        <v>1.128946</v>
      </c>
      <c r="L4711">
        <v>219.03139999999999</v>
      </c>
      <c r="M4711">
        <v>0.82963569999999998</v>
      </c>
      <c r="N4711">
        <v>-1.226621E-2</v>
      </c>
      <c r="O4711">
        <v>-0.55817039999999996</v>
      </c>
      <c r="P4711">
        <v>0.94515769999999999</v>
      </c>
      <c r="Q4711">
        <v>7.4818309999999999E-2</v>
      </c>
      <c r="R4711">
        <v>-0.31792979999999998</v>
      </c>
      <c r="S4711">
        <v>3.0740050000000001</v>
      </c>
      <c r="T4711">
        <v>-0.1585635</v>
      </c>
      <c r="U4711">
        <v>-0.36322019999999999</v>
      </c>
      <c r="V4711">
        <v>-0.26542300000000002</v>
      </c>
      <c r="W4711">
        <v>8.1541810000000006E-2</v>
      </c>
      <c r="X4711">
        <v>0.96067769999999997</v>
      </c>
      <c r="Y4711">
        <v>-0.4559299</v>
      </c>
      <c r="Z4711">
        <v>3.4433060000000001E-2</v>
      </c>
      <c r="AA4711">
        <v>0.88934939999999996</v>
      </c>
      <c r="AB4711">
        <v>22</v>
      </c>
      <c r="AC4711">
        <v>0.78109999999998003</v>
      </c>
      <c r="AD4711">
        <v>-4.96959999999999E-2</v>
      </c>
      <c r="AE4711">
        <v>-6.39999999998508E-3</v>
      </c>
      <c r="AF4711">
        <v>-0.42897329993961097</v>
      </c>
      <c r="AG4711">
        <v>-4.96959999999999E-2</v>
      </c>
      <c r="AH4711">
        <v>0.649022743247886</v>
      </c>
      <c r="AI4711">
        <v>93.655000997203004</v>
      </c>
      <c r="AJ4711">
        <v>123.46281531619501</v>
      </c>
      <c r="AK4711">
        <v>0.77956289401823897</v>
      </c>
      <c r="AL4711">
        <v>85.322805657055397</v>
      </c>
      <c r="AM4711">
        <v>105.44479716395099</v>
      </c>
      <c r="AN4711">
        <v>1.00000003949218</v>
      </c>
    </row>
    <row r="4712" spans="1:40" x14ac:dyDescent="0.25">
      <c r="A4712" t="str">
        <f>"20190303162003935"</f>
        <v>20190303162003935</v>
      </c>
      <c r="B4712" t="str">
        <f>"1551601203927046"</f>
        <v>1551601203927046</v>
      </c>
      <c r="C4712" t="s">
        <v>40</v>
      </c>
      <c r="D4712">
        <v>4.8608580000000003</v>
      </c>
      <c r="E4712">
        <v>0.41058050000000001</v>
      </c>
      <c r="F4712" t="s">
        <v>42</v>
      </c>
      <c r="G4712">
        <v>-480.8974</v>
      </c>
      <c r="H4712">
        <v>1.0810979999999999</v>
      </c>
      <c r="I4712">
        <v>218.93690000000001</v>
      </c>
      <c r="J4712">
        <v>-481.66219999999998</v>
      </c>
      <c r="K4712">
        <v>1.1289389999999999</v>
      </c>
      <c r="L4712">
        <v>218.92490000000001</v>
      </c>
      <c r="M4712">
        <v>0.83716999999999997</v>
      </c>
      <c r="N4712">
        <v>-1.227052E-2</v>
      </c>
      <c r="O4712">
        <v>-0.5468054</v>
      </c>
      <c r="P4712">
        <v>0.94951110000000005</v>
      </c>
      <c r="Q4712">
        <v>7.4252070000000003E-2</v>
      </c>
      <c r="R4712">
        <v>-0.30482029999999999</v>
      </c>
      <c r="S4712">
        <v>3.0831909999999998</v>
      </c>
      <c r="T4712">
        <v>-0.15509970000000001</v>
      </c>
      <c r="U4712">
        <v>-0.30656430000000001</v>
      </c>
      <c r="V4712">
        <v>-0.26563039999999999</v>
      </c>
      <c r="W4712">
        <v>8.0976720000000002E-2</v>
      </c>
      <c r="X4712">
        <v>0.96066810000000002</v>
      </c>
      <c r="Y4712">
        <v>-0.46030260000000001</v>
      </c>
      <c r="Z4712">
        <v>3.3367969999999997E-2</v>
      </c>
      <c r="AA4712">
        <v>0.8871348</v>
      </c>
      <c r="AB4712">
        <v>22</v>
      </c>
      <c r="AC4712">
        <v>0.76479999999997905</v>
      </c>
      <c r="AD4712">
        <v>-4.7841000000000002E-2</v>
      </c>
      <c r="AE4712">
        <v>1.2000000000000399E-2</v>
      </c>
      <c r="AF4712">
        <v>-0.42660610515529801</v>
      </c>
      <c r="AG4712">
        <v>-4.7841000000000002E-2</v>
      </c>
      <c r="AH4712">
        <v>0.63128398514307205</v>
      </c>
      <c r="AI4712">
        <v>93.592918828911493</v>
      </c>
      <c r="AJ4712">
        <v>124.04985489284999</v>
      </c>
      <c r="AK4712">
        <v>0.76341404240090605</v>
      </c>
      <c r="AL4712">
        <v>85.355290024630904</v>
      </c>
      <c r="AM4712">
        <v>105.456435881345</v>
      </c>
      <c r="AN4712">
        <v>0.99999996847186301</v>
      </c>
    </row>
    <row r="4713" spans="1:40" x14ac:dyDescent="0.25">
      <c r="A4713" t="str">
        <f>"20190303162003958"</f>
        <v>20190303162003958</v>
      </c>
      <c r="B4713" t="str">
        <f>"1551601203946566"</f>
        <v>1551601203946566</v>
      </c>
      <c r="C4713" t="s">
        <v>40</v>
      </c>
      <c r="D4713">
        <v>4.8818809999999999</v>
      </c>
      <c r="E4713">
        <v>0.41054269999999998</v>
      </c>
      <c r="F4713" t="s">
        <v>42</v>
      </c>
      <c r="G4713">
        <v>-480.71780000000001</v>
      </c>
      <c r="H4713">
        <v>1.080892</v>
      </c>
      <c r="I4713">
        <v>218.84530000000001</v>
      </c>
      <c r="J4713">
        <v>-481.47519999999997</v>
      </c>
      <c r="K4713">
        <v>1.1289340000000001</v>
      </c>
      <c r="L4713">
        <v>218.8212</v>
      </c>
      <c r="M4713">
        <v>0.84451399999999999</v>
      </c>
      <c r="N4713">
        <v>-1.2273579999999999E-2</v>
      </c>
      <c r="O4713">
        <v>-0.53539320000000001</v>
      </c>
      <c r="P4713">
        <v>0.95355140000000005</v>
      </c>
      <c r="Q4713">
        <v>7.4140910000000004E-2</v>
      </c>
      <c r="R4713">
        <v>-0.29196440000000001</v>
      </c>
      <c r="S4713">
        <v>3.0884399999999999</v>
      </c>
      <c r="T4713">
        <v>-0.15709020000000001</v>
      </c>
      <c r="U4713">
        <v>-0.25978089999999998</v>
      </c>
      <c r="V4713">
        <v>-0.26557269999999999</v>
      </c>
      <c r="W4713">
        <v>8.0872159999999998E-2</v>
      </c>
      <c r="X4713">
        <v>0.96069289999999996</v>
      </c>
      <c r="Y4713">
        <v>-0.46170830000000002</v>
      </c>
      <c r="Z4713">
        <v>3.3556490000000001E-2</v>
      </c>
      <c r="AA4713">
        <v>0.88639690000000004</v>
      </c>
      <c r="AB4713">
        <v>22</v>
      </c>
      <c r="AC4713">
        <v>0.75739999999996099</v>
      </c>
      <c r="AD4713">
        <v>-4.8042000000000099E-2</v>
      </c>
      <c r="AE4713">
        <v>2.4100000000004201E-2</v>
      </c>
      <c r="AF4713">
        <v>-0.42418664825580799</v>
      </c>
      <c r="AG4713">
        <v>-4.8042000000000099E-2</v>
      </c>
      <c r="AH4713">
        <v>0.62426987085769003</v>
      </c>
      <c r="AI4713">
        <v>93.642128118857599</v>
      </c>
      <c r="AJ4713">
        <v>124.19581100612299</v>
      </c>
      <c r="AK4713">
        <v>0.75627720974730805</v>
      </c>
      <c r="AL4713">
        <v>85.361300762351206</v>
      </c>
      <c r="AM4713">
        <v>105.45285907744</v>
      </c>
      <c r="AN4713">
        <v>1.0000000066793799</v>
      </c>
    </row>
    <row r="4714" spans="1:40" x14ac:dyDescent="0.25">
      <c r="A4714" t="str">
        <f>"20190303162003979"</f>
        <v>20190303162003979</v>
      </c>
      <c r="B4714" t="str">
        <f>"1551601203967062"</f>
        <v>1551601203967062</v>
      </c>
      <c r="C4714" t="s">
        <v>40</v>
      </c>
      <c r="D4714">
        <v>4.8289229999999996</v>
      </c>
      <c r="E4714">
        <v>0.41123739999999998</v>
      </c>
      <c r="F4714" t="s">
        <v>42</v>
      </c>
      <c r="G4714">
        <v>-480.51409999999998</v>
      </c>
      <c r="H4714">
        <v>1.080622</v>
      </c>
      <c r="I4714">
        <v>218.75360000000001</v>
      </c>
      <c r="J4714">
        <v>-481.29680000000002</v>
      </c>
      <c r="K4714">
        <v>1.1289279999999999</v>
      </c>
      <c r="L4714">
        <v>218.7253</v>
      </c>
      <c r="M4714">
        <v>0.85130869999999903</v>
      </c>
      <c r="N4714">
        <v>-1.227555E-2</v>
      </c>
      <c r="O4714">
        <v>-0.52452159999999903</v>
      </c>
      <c r="P4714">
        <v>0.95683790000000002</v>
      </c>
      <c r="Q4714">
        <v>7.3996580000000006E-2</v>
      </c>
      <c r="R4714">
        <v>-0.28104440000000003</v>
      </c>
      <c r="S4714">
        <v>3.091675</v>
      </c>
      <c r="T4714">
        <v>-0.15539620000000001</v>
      </c>
      <c r="U4714">
        <v>-0.2173157</v>
      </c>
      <c r="V4714">
        <v>-0.26423849999999999</v>
      </c>
      <c r="W4714">
        <v>8.0764269999999999E-2</v>
      </c>
      <c r="X4714">
        <v>0.96106979999999997</v>
      </c>
      <c r="Y4714">
        <v>-0.46254770000000001</v>
      </c>
      <c r="Z4714">
        <v>3.2870770000000001E-2</v>
      </c>
      <c r="AA4714">
        <v>0.88598480000000002</v>
      </c>
      <c r="AB4714">
        <v>22</v>
      </c>
      <c r="AC4714">
        <v>0.78270000000003304</v>
      </c>
      <c r="AD4714">
        <v>-4.8306000000000099E-2</v>
      </c>
      <c r="AE4714">
        <v>2.8300000000001501E-2</v>
      </c>
      <c r="AF4714">
        <v>-0.433020597778558</v>
      </c>
      <c r="AG4714">
        <v>-4.8306000000000099E-2</v>
      </c>
      <c r="AH4714">
        <v>0.64905538898845905</v>
      </c>
      <c r="AI4714">
        <v>93.542742989561305</v>
      </c>
      <c r="AJ4714">
        <v>123.709436579594</v>
      </c>
      <c r="AK4714">
        <v>0.78173729968030803</v>
      </c>
      <c r="AL4714">
        <v>85.367502689740306</v>
      </c>
      <c r="AM4714">
        <v>105.37316429981</v>
      </c>
      <c r="AN4714">
        <v>1.00000000633146</v>
      </c>
    </row>
    <row r="4715" spans="1:40" x14ac:dyDescent="0.25">
      <c r="A4715" t="str">
        <f>"20190303162004004"</f>
        <v>20190303162004004</v>
      </c>
      <c r="B4715" t="str">
        <f>"1551601203997319"</f>
        <v>1551601203997319</v>
      </c>
      <c r="C4715" t="s">
        <v>40</v>
      </c>
      <c r="D4715">
        <v>4.79366</v>
      </c>
      <c r="E4715">
        <v>0.4128656</v>
      </c>
      <c r="F4715" t="s">
        <v>52</v>
      </c>
      <c r="G4715">
        <v>-458.18669999999997</v>
      </c>
      <c r="H4715" s="1">
        <v>2.701012E-6</v>
      </c>
      <c r="I4715">
        <v>217.3331</v>
      </c>
      <c r="J4715">
        <v>-481.09789999999998</v>
      </c>
      <c r="K4715">
        <v>1.1289169999999999</v>
      </c>
      <c r="L4715">
        <v>218.62180000000001</v>
      </c>
      <c r="M4715">
        <v>0.85865749999999996</v>
      </c>
      <c r="N4715">
        <v>-1.2276789999999999E-2</v>
      </c>
      <c r="O4715">
        <v>-0.51240269999999999</v>
      </c>
      <c r="P4715">
        <v>0.96010490000000004</v>
      </c>
      <c r="Q4715">
        <v>7.3454160000000004E-2</v>
      </c>
      <c r="R4715">
        <v>-0.26982080000000003</v>
      </c>
      <c r="S4715">
        <v>3.0922550000000002</v>
      </c>
      <c r="T4715">
        <v>-0.15105629999999901</v>
      </c>
      <c r="U4715">
        <v>-0.1862946</v>
      </c>
      <c r="V4715">
        <v>-0.26187680000000002</v>
      </c>
      <c r="W4715">
        <v>8.0282809999999996E-2</v>
      </c>
      <c r="X4715">
        <v>0.96175630000000001</v>
      </c>
      <c r="Y4715">
        <v>-0.45891340000000003</v>
      </c>
      <c r="Z4715">
        <v>3.1416350000000003E-2</v>
      </c>
      <c r="AA4715">
        <v>0.88792539999999998</v>
      </c>
      <c r="AB4715">
        <v>22</v>
      </c>
      <c r="AC4715">
        <v>22.911200000000001</v>
      </c>
      <c r="AD4715">
        <v>-1.1289142989880001</v>
      </c>
      <c r="AE4715">
        <v>-1.2887</v>
      </c>
      <c r="AF4715">
        <v>-10.608336016740401</v>
      </c>
      <c r="AG4715">
        <v>-1.1289142989880001</v>
      </c>
      <c r="AH4715">
        <v>20.285644398145799</v>
      </c>
      <c r="AI4715">
        <v>92.8232411339701</v>
      </c>
      <c r="AJ4715">
        <v>117.607225112045</v>
      </c>
      <c r="AK4715">
        <v>22.9198300427066</v>
      </c>
      <c r="AL4715">
        <v>85.395178084493594</v>
      </c>
      <c r="AM4715">
        <v>105.231806554177</v>
      </c>
      <c r="AN4715">
        <v>0.99999998427471204</v>
      </c>
    </row>
    <row r="4716" spans="1:40" x14ac:dyDescent="0.25">
      <c r="A4716" t="str">
        <f>"20190303162004027"</f>
        <v>20190303162004027</v>
      </c>
      <c r="B4716" t="str">
        <f>"1551601204016839"</f>
        <v>1551601204016839</v>
      </c>
      <c r="C4716" t="s">
        <v>40</v>
      </c>
      <c r="D4716">
        <v>4.8365080000000003</v>
      </c>
      <c r="E4716">
        <v>0.41411759999999997</v>
      </c>
      <c r="F4716" t="s">
        <v>52</v>
      </c>
      <c r="G4716">
        <v>-457.0872</v>
      </c>
      <c r="H4716" s="1">
        <v>2.114444E-6</v>
      </c>
      <c r="I4716">
        <v>217.36660000000001</v>
      </c>
      <c r="J4716">
        <v>-480.90100000000001</v>
      </c>
      <c r="K4716">
        <v>1.1289020000000001</v>
      </c>
      <c r="L4716">
        <v>218.52279999999999</v>
      </c>
      <c r="M4716">
        <v>0.86569390000000002</v>
      </c>
      <c r="N4716">
        <v>-1.227689E-2</v>
      </c>
      <c r="O4716">
        <v>-0.50042299999999995</v>
      </c>
      <c r="P4716">
        <v>0.96311809999999998</v>
      </c>
      <c r="Q4716">
        <v>7.3331209999999994E-2</v>
      </c>
      <c r="R4716">
        <v>-0.25889440000000002</v>
      </c>
      <c r="S4716">
        <v>3.0903320000000001</v>
      </c>
      <c r="T4716">
        <v>-0.1452986</v>
      </c>
      <c r="U4716">
        <v>-0.16154479999999999</v>
      </c>
      <c r="V4716">
        <v>-0.25943880000000002</v>
      </c>
      <c r="W4716">
        <v>8.0222450000000001E-2</v>
      </c>
      <c r="X4716">
        <v>0.96242190000000005</v>
      </c>
      <c r="Y4716">
        <v>-0.45370640000000001</v>
      </c>
      <c r="Z4716">
        <v>2.9641580000000001E-2</v>
      </c>
      <c r="AA4716">
        <v>0.89065810000000001</v>
      </c>
      <c r="AB4716">
        <v>22</v>
      </c>
      <c r="AC4716">
        <v>23.813800000000001</v>
      </c>
      <c r="AD4716">
        <v>-1.128899885556</v>
      </c>
      <c r="AE4716">
        <v>-1.1561999999999799</v>
      </c>
      <c r="AF4716">
        <v>-10.8924609860464</v>
      </c>
      <c r="AG4716">
        <v>-1.128899885556</v>
      </c>
      <c r="AH4716">
        <v>21.148235829850201</v>
      </c>
      <c r="AI4716">
        <v>92.716970841239004</v>
      </c>
      <c r="AJ4716">
        <v>117.25086465014</v>
      </c>
      <c r="AK4716">
        <v>23.815289206707298</v>
      </c>
      <c r="AL4716">
        <v>85.398647827325206</v>
      </c>
      <c r="AM4716">
        <v>105.086538895643</v>
      </c>
      <c r="AN4716">
        <v>1.0000000230145201</v>
      </c>
    </row>
    <row r="4717" spans="1:40" x14ac:dyDescent="0.25">
      <c r="A4717" t="str">
        <f>"20190303162004050"</f>
        <v>20190303162004050</v>
      </c>
      <c r="B4717" t="str">
        <f>"1551601204037336"</f>
        <v>1551601204037336</v>
      </c>
      <c r="C4717" t="s">
        <v>40</v>
      </c>
      <c r="D4717">
        <v>4.7955290000000002</v>
      </c>
      <c r="E4717">
        <v>0.41547410000000001</v>
      </c>
      <c r="F4717" t="s">
        <v>42</v>
      </c>
      <c r="G4717">
        <v>-479.8725</v>
      </c>
      <c r="H4717">
        <v>1.0811710000000001</v>
      </c>
      <c r="I4717">
        <v>218.4777</v>
      </c>
      <c r="J4717">
        <v>-480.70389999999998</v>
      </c>
      <c r="K4717">
        <v>1.128887</v>
      </c>
      <c r="L4717">
        <v>218.4272</v>
      </c>
      <c r="M4717">
        <v>0.87250179999999999</v>
      </c>
      <c r="N4717">
        <v>-1.2275589999999999E-2</v>
      </c>
      <c r="O4717">
        <v>-0.48845670000000002</v>
      </c>
      <c r="P4717">
        <v>0.96550409999999998</v>
      </c>
      <c r="Q4717">
        <v>7.3641090000000006E-2</v>
      </c>
      <c r="R4717">
        <v>-0.24975739999999999</v>
      </c>
      <c r="S4717">
        <v>3.0892940000000002</v>
      </c>
      <c r="T4717">
        <v>-0.1433952</v>
      </c>
      <c r="U4717">
        <v>-0.13581849999999901</v>
      </c>
      <c r="V4717">
        <v>-0.25529210000000002</v>
      </c>
      <c r="W4717">
        <v>8.0633570000000002E-2</v>
      </c>
      <c r="X4717">
        <v>0.96349580000000001</v>
      </c>
      <c r="Y4717">
        <v>-0.44885209999999998</v>
      </c>
      <c r="Z4717">
        <v>2.877209E-2</v>
      </c>
      <c r="AA4717">
        <v>0.89314280000000001</v>
      </c>
      <c r="AB4717">
        <v>22</v>
      </c>
      <c r="AC4717">
        <v>0.83139999999997305</v>
      </c>
      <c r="AD4717">
        <v>-4.7716000000000001E-2</v>
      </c>
      <c r="AE4717">
        <v>5.0499999999999497E-2</v>
      </c>
      <c r="AF4717">
        <v>-0.44872554049411301</v>
      </c>
      <c r="AG4717">
        <v>-4.7716000000000001E-2</v>
      </c>
      <c r="AH4717">
        <v>0.69849143466745001</v>
      </c>
      <c r="AI4717">
        <v>93.289442942017004</v>
      </c>
      <c r="AJ4717">
        <v>122.717539436085</v>
      </c>
      <c r="AK4717">
        <v>0.83157784461319495</v>
      </c>
      <c r="AL4717">
        <v>85.375015688922701</v>
      </c>
      <c r="AM4717">
        <v>104.840321899778</v>
      </c>
      <c r="AN4717">
        <v>0.999999992775497</v>
      </c>
    </row>
    <row r="4718" spans="1:40" x14ac:dyDescent="0.25">
      <c r="A4718" t="str">
        <f>"20190303162004084"</f>
        <v>20190303162004084</v>
      </c>
      <c r="B4718" t="str">
        <f>"1551601204077350"</f>
        <v>1551601204077350</v>
      </c>
      <c r="C4718" t="s">
        <v>40</v>
      </c>
      <c r="D4718">
        <v>4.7513610000000002</v>
      </c>
      <c r="E4718">
        <v>0.418541</v>
      </c>
      <c r="F4718" t="s">
        <v>42</v>
      </c>
      <c r="G4718">
        <v>-479.64830000000001</v>
      </c>
      <c r="H4718">
        <v>1.0806150000000001</v>
      </c>
      <c r="I4718">
        <v>218.3871</v>
      </c>
      <c r="J4718">
        <v>-480.41129999999998</v>
      </c>
      <c r="K4718">
        <v>1.128868</v>
      </c>
      <c r="L4718">
        <v>218.29089999999999</v>
      </c>
      <c r="M4718">
        <v>0.88219049999999999</v>
      </c>
      <c r="N4718">
        <v>-1.227169E-2</v>
      </c>
      <c r="O4718">
        <v>-0.47073290000000001</v>
      </c>
      <c r="P4718">
        <v>0.9689257</v>
      </c>
      <c r="Q4718">
        <v>7.5018630000000003E-2</v>
      </c>
      <c r="R4718">
        <v>-0.23570169999999999</v>
      </c>
      <c r="S4718">
        <v>3.087799</v>
      </c>
      <c r="T4718">
        <v>-0.14117399999999999</v>
      </c>
      <c r="U4718">
        <v>-0.1166534</v>
      </c>
      <c r="V4718">
        <v>-0.24979219999999999</v>
      </c>
      <c r="W4718">
        <v>8.2144419999999996E-2</v>
      </c>
      <c r="X4718">
        <v>0.96480889999999997</v>
      </c>
      <c r="Y4718">
        <v>-0.43632749999999998</v>
      </c>
      <c r="Z4718">
        <v>2.7462469999999999E-2</v>
      </c>
      <c r="AA4718">
        <v>0.89936879999999997</v>
      </c>
      <c r="AB4718">
        <v>22</v>
      </c>
      <c r="AC4718">
        <v>0.76299999999997603</v>
      </c>
      <c r="AD4718">
        <v>-4.8253000000000101E-2</v>
      </c>
      <c r="AE4718">
        <v>9.6200000000010194E-2</v>
      </c>
      <c r="AF4718">
        <v>-0.44232795330632801</v>
      </c>
      <c r="AG4718">
        <v>-4.8253000000000101E-2</v>
      </c>
      <c r="AH4718">
        <v>0.62541192286498504</v>
      </c>
      <c r="AI4718">
        <v>93.604380702931294</v>
      </c>
      <c r="AJ4718">
        <v>125.270187850103</v>
      </c>
      <c r="AK4718">
        <v>0.76754312162043603</v>
      </c>
      <c r="AL4718">
        <v>85.288162388888594</v>
      </c>
      <c r="AM4718">
        <v>104.515342531348</v>
      </c>
      <c r="AN4718">
        <v>1.0000000312185899</v>
      </c>
    </row>
    <row r="4719" spans="1:40" x14ac:dyDescent="0.25">
      <c r="A4719" t="str">
        <f>"20190303162004104"</f>
        <v>20190303162004104</v>
      </c>
      <c r="B4719" t="str">
        <f>"1551601204096870"</f>
        <v>1551601204096870</v>
      </c>
      <c r="C4719" t="s">
        <v>40</v>
      </c>
      <c r="D4719">
        <v>4.7062819999999999</v>
      </c>
      <c r="E4719">
        <v>0.41924939999999999</v>
      </c>
      <c r="F4719" t="s">
        <v>52</v>
      </c>
      <c r="G4719">
        <v>-453.45839999999998</v>
      </c>
      <c r="H4719" s="1">
        <v>1.789669E-7</v>
      </c>
      <c r="I4719">
        <v>217.46770000000001</v>
      </c>
      <c r="J4719">
        <v>-480.2303</v>
      </c>
      <c r="K4719">
        <v>1.128852</v>
      </c>
      <c r="L4719">
        <v>218.21019999999999</v>
      </c>
      <c r="M4719">
        <v>0.88793339999999998</v>
      </c>
      <c r="N4719">
        <v>-1.2267800000000001E-2</v>
      </c>
      <c r="O4719">
        <v>-0.4598083</v>
      </c>
      <c r="P4719">
        <v>0.97093669999999999</v>
      </c>
      <c r="Q4719">
        <v>7.5549519999999995E-2</v>
      </c>
      <c r="R4719">
        <v>-0.22709889999999999</v>
      </c>
      <c r="S4719">
        <v>3.083313</v>
      </c>
      <c r="T4719">
        <v>-0.12913839999999999</v>
      </c>
      <c r="U4719">
        <v>-9.4177250000000004E-2</v>
      </c>
      <c r="V4719">
        <v>-0.246423</v>
      </c>
      <c r="W4719">
        <v>8.2757919999999999E-2</v>
      </c>
      <c r="X4719">
        <v>0.96562250000000005</v>
      </c>
      <c r="Y4719">
        <v>-0.43186010000000002</v>
      </c>
      <c r="Z4719">
        <v>2.451447E-2</v>
      </c>
      <c r="AA4719">
        <v>0.90160739999999995</v>
      </c>
      <c r="AB4719">
        <v>22</v>
      </c>
      <c r="AC4719">
        <v>26.771899999999999</v>
      </c>
      <c r="AD4719">
        <v>-1.1288518210331</v>
      </c>
      <c r="AE4719">
        <v>-0.74249999999997796</v>
      </c>
      <c r="AF4719">
        <v>-11.6308656854326</v>
      </c>
      <c r="AG4719">
        <v>-1.1288518210331</v>
      </c>
      <c r="AH4719">
        <v>24.072122092149701</v>
      </c>
      <c r="AI4719">
        <v>92.417833448614104</v>
      </c>
      <c r="AJ4719">
        <v>115.788321134226</v>
      </c>
      <c r="AK4719">
        <v>26.758520232736799</v>
      </c>
      <c r="AL4719">
        <v>85.252891140166298</v>
      </c>
      <c r="AM4719">
        <v>104.31609570685799</v>
      </c>
      <c r="AN4719">
        <v>0.99999999037898801</v>
      </c>
    </row>
    <row r="4720" spans="1:40" x14ac:dyDescent="0.25">
      <c r="A4720" t="str">
        <f>"20190303162004127"</f>
        <v>20190303162004127</v>
      </c>
      <c r="B4720" t="str">
        <f>"1551601204117366"</f>
        <v>1551601204117366</v>
      </c>
      <c r="C4720" t="s">
        <v>40</v>
      </c>
      <c r="D4720">
        <v>4.6589739999999997</v>
      </c>
      <c r="E4720">
        <v>0.4394383</v>
      </c>
      <c r="F4720" t="s">
        <v>52</v>
      </c>
      <c r="G4720">
        <v>-452.45</v>
      </c>
      <c r="H4720" s="1">
        <v>-3.6182660000000001E-7</v>
      </c>
      <c r="I4720">
        <v>217.56360000000001</v>
      </c>
      <c r="J4720">
        <v>-480.0367</v>
      </c>
      <c r="K4720">
        <v>1.128814</v>
      </c>
      <c r="L4720">
        <v>218.1267</v>
      </c>
      <c r="M4720">
        <v>0.89385579999999998</v>
      </c>
      <c r="N4720">
        <v>-1.226087E-2</v>
      </c>
      <c r="O4720">
        <v>-0.44818720000000001</v>
      </c>
      <c r="P4720">
        <v>0.97318689999999997</v>
      </c>
      <c r="Q4720">
        <v>7.5325110000000001E-2</v>
      </c>
      <c r="R4720">
        <v>-0.21733350000000001</v>
      </c>
      <c r="S4720">
        <v>3.082703</v>
      </c>
      <c r="T4720">
        <v>-0.12526580000000001</v>
      </c>
      <c r="U4720">
        <v>-7.1746829999999998E-2</v>
      </c>
      <c r="V4720">
        <v>-0.2435213</v>
      </c>
      <c r="W4720">
        <v>8.2611550000000006E-2</v>
      </c>
      <c r="X4720">
        <v>0.96637090000000003</v>
      </c>
      <c r="Y4720">
        <v>-0.4266896</v>
      </c>
      <c r="Z4720">
        <v>2.329678E-2</v>
      </c>
      <c r="AA4720">
        <v>0.90409799999999996</v>
      </c>
      <c r="AB4720">
        <v>22</v>
      </c>
      <c r="AC4720">
        <v>27.5867</v>
      </c>
      <c r="AD4720">
        <v>-1.1288143618266</v>
      </c>
      <c r="AE4720">
        <v>-0.56309999999999105</v>
      </c>
      <c r="AF4720">
        <v>-11.841746593507301</v>
      </c>
      <c r="AG4720">
        <v>-1.1288143618266</v>
      </c>
      <c r="AH4720">
        <v>24.871149469723299</v>
      </c>
      <c r="AI4720">
        <v>92.346595750280002</v>
      </c>
      <c r="AJ4720">
        <v>115.460231612348</v>
      </c>
      <c r="AK4720">
        <v>27.569462457465999</v>
      </c>
      <c r="AL4720">
        <v>85.261306404173297</v>
      </c>
      <c r="AM4720">
        <v>104.143811193776</v>
      </c>
      <c r="AN4720">
        <v>1.0000000040569501</v>
      </c>
    </row>
    <row r="4721" spans="1:40" x14ac:dyDescent="0.25">
      <c r="A4721" t="str">
        <f>"20190303162004148"</f>
        <v>20190303162004148</v>
      </c>
      <c r="B4721" t="str">
        <f>"1551601204136886"</f>
        <v>1551601204136886</v>
      </c>
      <c r="C4721" t="s">
        <v>40</v>
      </c>
      <c r="D4721">
        <v>4.6724920000000001</v>
      </c>
      <c r="E4721">
        <v>0.4360155</v>
      </c>
      <c r="F4721" t="s">
        <v>56</v>
      </c>
      <c r="G4721">
        <v>-434.40129999999999</v>
      </c>
      <c r="H4721" s="1">
        <v>4.1177079999999998E-6</v>
      </c>
      <c r="I4721">
        <v>215.2004</v>
      </c>
      <c r="J4721">
        <v>-479.8383</v>
      </c>
      <c r="K4721">
        <v>1.128755</v>
      </c>
      <c r="L4721">
        <v>218.04419999999999</v>
      </c>
      <c r="M4721">
        <v>0.89969059999999901</v>
      </c>
      <c r="N4721">
        <v>-1.2249889999999999E-2</v>
      </c>
      <c r="O4721">
        <v>-0.43635649999999998</v>
      </c>
      <c r="P4721">
        <v>0.97529969999999999</v>
      </c>
      <c r="Q4721">
        <v>7.4439870000000005E-2</v>
      </c>
      <c r="R4721">
        <v>-0.2079656</v>
      </c>
      <c r="S4721">
        <v>3.0449519999999999</v>
      </c>
      <c r="T4721">
        <v>-7.5317980000000007E-2</v>
      </c>
      <c r="U4721">
        <v>-0.19525149999999999</v>
      </c>
      <c r="V4721">
        <v>-0.24006330000000001</v>
      </c>
      <c r="W4721">
        <v>8.1820779999999996E-2</v>
      </c>
      <c r="X4721">
        <v>0.96730289999999997</v>
      </c>
      <c r="Y4721">
        <v>-0.37772270000000002</v>
      </c>
      <c r="Z4721">
        <v>1.194226E-2</v>
      </c>
      <c r="AA4721">
        <v>0.92584169999999999</v>
      </c>
      <c r="AB4721">
        <v>22</v>
      </c>
      <c r="AC4721">
        <v>45.436999999999998</v>
      </c>
      <c r="AD4721">
        <v>-1.128750882292</v>
      </c>
      <c r="AE4721">
        <v>-2.8437999999999799</v>
      </c>
      <c r="AF4721">
        <v>-17.258874531152699</v>
      </c>
      <c r="AG4721">
        <v>-1.128750882292</v>
      </c>
      <c r="AH4721">
        <v>42.0974299445787</v>
      </c>
      <c r="AI4721">
        <v>91.421150084496304</v>
      </c>
      <c r="AJ4721">
        <v>112.292380388626</v>
      </c>
      <c r="AK4721">
        <v>45.511937297538303</v>
      </c>
      <c r="AL4721">
        <v>85.306767910917401</v>
      </c>
      <c r="AM4721">
        <v>103.93794932348401</v>
      </c>
      <c r="AN4721">
        <v>0.99999996419755299</v>
      </c>
    </row>
    <row r="4722" spans="1:40" x14ac:dyDescent="0.25">
      <c r="A4722" t="str">
        <f>"20190303162004170"</f>
        <v>20190303162004170</v>
      </c>
      <c r="B4722" t="str">
        <f>"1551601204157382"</f>
        <v>1551601204157382</v>
      </c>
      <c r="C4722" t="s">
        <v>40</v>
      </c>
      <c r="D4722">
        <v>4.65402</v>
      </c>
      <c r="E4722">
        <v>0.43399660000000001</v>
      </c>
      <c r="F4722" t="s">
        <v>56</v>
      </c>
      <c r="G4722">
        <v>-436.97579999999999</v>
      </c>
      <c r="H4722" s="1">
        <v>5.1815210000000002E-6</v>
      </c>
      <c r="I4722">
        <v>216.09139999999999</v>
      </c>
      <c r="J4722">
        <v>-479.65010000000001</v>
      </c>
      <c r="K4722">
        <v>1.1287069999999999</v>
      </c>
      <c r="L4722">
        <v>217.96860000000001</v>
      </c>
      <c r="M4722">
        <v>0.90501569999999998</v>
      </c>
      <c r="N4722">
        <v>-1.223745E-2</v>
      </c>
      <c r="O4722">
        <v>-0.42520200000000002</v>
      </c>
      <c r="P4722">
        <v>0.97675400000000001</v>
      </c>
      <c r="Q4722">
        <v>7.4803610000000006E-2</v>
      </c>
      <c r="R4722">
        <v>-0.20088819999999999</v>
      </c>
      <c r="S4722">
        <v>3.0524290000000001</v>
      </c>
      <c r="T4722">
        <v>-8.0383419999999997E-2</v>
      </c>
      <c r="U4722">
        <v>-0.13906859999999999</v>
      </c>
      <c r="V4722">
        <v>-0.2350978</v>
      </c>
      <c r="W4722">
        <v>8.2308839999999994E-2</v>
      </c>
      <c r="X4722">
        <v>0.96848040000000002</v>
      </c>
      <c r="Y4722">
        <v>-0.38337510000000002</v>
      </c>
      <c r="Z4722">
        <v>1.293352E-2</v>
      </c>
      <c r="AA4722">
        <v>0.92350220000000005</v>
      </c>
      <c r="AB4722">
        <v>22</v>
      </c>
      <c r="AC4722">
        <v>42.674300000000002</v>
      </c>
      <c r="AD4722">
        <v>-1.1287018184790001</v>
      </c>
      <c r="AE4722">
        <v>-1.87720000000001</v>
      </c>
      <c r="AF4722">
        <v>-16.4360587271916</v>
      </c>
      <c r="AG4722">
        <v>-1.1287018184790001</v>
      </c>
      <c r="AH4722">
        <v>39.394548661780703</v>
      </c>
      <c r="AI4722">
        <v>91.514668544360802</v>
      </c>
      <c r="AJ4722">
        <v>112.64670634581999</v>
      </c>
      <c r="AK4722">
        <v>42.700684520791199</v>
      </c>
      <c r="AL4722">
        <v>85.278709673635106</v>
      </c>
      <c r="AM4722">
        <v>103.64457640953999</v>
      </c>
      <c r="AN4722">
        <v>1.00000000294557</v>
      </c>
    </row>
    <row r="4723" spans="1:40" x14ac:dyDescent="0.25">
      <c r="A4723" t="str">
        <f>"20190303162004192"</f>
        <v>20190303162004192</v>
      </c>
      <c r="B4723" t="str">
        <f>"1551601204187638"</f>
        <v>1551601204187638</v>
      </c>
      <c r="C4723" t="s">
        <v>40</v>
      </c>
      <c r="D4723">
        <v>4.5928000000000004</v>
      </c>
      <c r="E4723">
        <v>0.43372460000000002</v>
      </c>
      <c r="F4723" t="s">
        <v>56</v>
      </c>
      <c r="G4723">
        <v>-439.80759999999998</v>
      </c>
      <c r="H4723" s="1">
        <v>6.3879619999999999E-6</v>
      </c>
      <c r="I4723">
        <v>216.65600000000001</v>
      </c>
      <c r="J4723">
        <v>-479.44979999999998</v>
      </c>
      <c r="K4723">
        <v>1.1286560000000001</v>
      </c>
      <c r="L4723">
        <v>217.89089999999999</v>
      </c>
      <c r="M4723">
        <v>0.91046760000000004</v>
      </c>
      <c r="N4723">
        <v>-1.222322E-2</v>
      </c>
      <c r="O4723">
        <v>-0.41339969999999998</v>
      </c>
      <c r="P4723">
        <v>0.97792040000000002</v>
      </c>
      <c r="Q4723">
        <v>7.587518E-2</v>
      </c>
      <c r="R4723">
        <v>-0.19471749999999999</v>
      </c>
      <c r="S4723">
        <v>3.057312</v>
      </c>
      <c r="T4723">
        <v>-8.6610789999999993E-2</v>
      </c>
      <c r="U4723">
        <v>-0.1007233</v>
      </c>
      <c r="V4723">
        <v>-0.22858439999999999</v>
      </c>
      <c r="W4723">
        <v>8.3537210000000001E-2</v>
      </c>
      <c r="X4723">
        <v>0.9699333</v>
      </c>
      <c r="Y4723">
        <v>-0.3829632</v>
      </c>
      <c r="Z4723">
        <v>1.399744E-2</v>
      </c>
      <c r="AA4723">
        <v>0.92365750000000002</v>
      </c>
      <c r="AB4723">
        <v>22</v>
      </c>
      <c r="AC4723">
        <v>39.642200000000003</v>
      </c>
      <c r="AD4723">
        <v>-1.1286496120379901</v>
      </c>
      <c r="AE4723">
        <v>-1.2349000000000101</v>
      </c>
      <c r="AF4723">
        <v>-15.2525261595024</v>
      </c>
      <c r="AG4723">
        <v>-1.1286496120379901</v>
      </c>
      <c r="AH4723">
        <v>36.576561293948899</v>
      </c>
      <c r="AI4723">
        <v>91.631351613043705</v>
      </c>
      <c r="AJ4723">
        <v>112.636269954754</v>
      </c>
      <c r="AK4723">
        <v>39.6454062948415</v>
      </c>
      <c r="AL4723">
        <v>85.208085766876906</v>
      </c>
      <c r="AM4723">
        <v>103.26093716119</v>
      </c>
      <c r="AN4723">
        <v>0.99999994991341501</v>
      </c>
    </row>
    <row r="4724" spans="1:40" x14ac:dyDescent="0.25">
      <c r="A4724" t="str">
        <f>"20190303162004215"</f>
        <v>20190303162004215</v>
      </c>
      <c r="B4724" t="str">
        <f>"1551601204207158"</f>
        <v>1551601204207158</v>
      </c>
      <c r="C4724" t="s">
        <v>40</v>
      </c>
      <c r="D4724">
        <v>4.6310840000000004</v>
      </c>
      <c r="E4724">
        <v>0.43431740000000002</v>
      </c>
      <c r="F4724" t="s">
        <v>52</v>
      </c>
      <c r="G4724">
        <v>-440.52870000000001</v>
      </c>
      <c r="H4724" s="1">
        <v>-1.354648E-6</v>
      </c>
      <c r="I4724">
        <v>216.8862</v>
      </c>
      <c r="J4724">
        <v>-479.24220000000003</v>
      </c>
      <c r="K4724">
        <v>1.1286039999999999</v>
      </c>
      <c r="L4724">
        <v>217.8134</v>
      </c>
      <c r="M4724">
        <v>0.91587669999999999</v>
      </c>
      <c r="N4724">
        <v>-1.2207330000000001E-2</v>
      </c>
      <c r="O4724">
        <v>-0.40127380000000001</v>
      </c>
      <c r="P4724">
        <v>0.97914299999999999</v>
      </c>
      <c r="Q4724">
        <v>7.7898190000000006E-2</v>
      </c>
      <c r="R4724">
        <v>-0.18764520000000001</v>
      </c>
      <c r="S4724">
        <v>3.0588989999999998</v>
      </c>
      <c r="T4724">
        <v>-8.8703749999999998E-2</v>
      </c>
      <c r="U4724">
        <v>-7.8964229999999996E-2</v>
      </c>
      <c r="V4724">
        <v>-0.22266540000000001</v>
      </c>
      <c r="W4724">
        <v>8.5702849999999997E-2</v>
      </c>
      <c r="X4724">
        <v>0.97112050000000005</v>
      </c>
      <c r="Y4724">
        <v>-0.3772624</v>
      </c>
      <c r="Z4724">
        <v>1.4122610000000001E-2</v>
      </c>
      <c r="AA4724">
        <v>0.92599869999999995</v>
      </c>
      <c r="AB4724">
        <v>22</v>
      </c>
      <c r="AC4724">
        <v>38.713500000000003</v>
      </c>
      <c r="AD4724">
        <v>-1.1286053546479999</v>
      </c>
      <c r="AE4724">
        <v>-0.92719999999999902</v>
      </c>
      <c r="AF4724">
        <v>-14.6741439379176</v>
      </c>
      <c r="AG4724">
        <v>-1.1286053546479999</v>
      </c>
      <c r="AH4724">
        <v>35.801117632964598</v>
      </c>
      <c r="AI4724">
        <v>91.670795834173404</v>
      </c>
      <c r="AJ4724">
        <v>112.28771798373</v>
      </c>
      <c r="AK4724">
        <v>38.708193888718597</v>
      </c>
      <c r="AL4724">
        <v>85.083557017648801</v>
      </c>
      <c r="AM4724">
        <v>102.91396433720899</v>
      </c>
      <c r="AN4724">
        <v>0.999999942187764</v>
      </c>
    </row>
    <row r="4725" spans="1:40" x14ac:dyDescent="0.25">
      <c r="A4725" t="str">
        <f>"20190303162004238"</f>
        <v>20190303162004238</v>
      </c>
      <c r="B4725" t="str">
        <f>"1551601204226678"</f>
        <v>1551601204226678</v>
      </c>
      <c r="C4725" t="s">
        <v>40</v>
      </c>
      <c r="D4725">
        <v>4.5780779999999996</v>
      </c>
      <c r="E4725">
        <v>0.43514170000000002</v>
      </c>
      <c r="F4725" t="s">
        <v>56</v>
      </c>
      <c r="G4725">
        <v>-438.58850000000001</v>
      </c>
      <c r="H4725" s="1">
        <v>5.8171020000000002E-6</v>
      </c>
      <c r="I4725">
        <v>217.0016</v>
      </c>
      <c r="J4725">
        <v>-479.03739999999999</v>
      </c>
      <c r="K4725">
        <v>1.1285289999999999</v>
      </c>
      <c r="L4725">
        <v>217.7396</v>
      </c>
      <c r="M4725">
        <v>0.92097649999999998</v>
      </c>
      <c r="N4725">
        <v>-1.218867E-2</v>
      </c>
      <c r="O4725">
        <v>-0.38942789999999999</v>
      </c>
      <c r="P4725">
        <v>0.98062470000000002</v>
      </c>
      <c r="Q4725">
        <v>7.8219910000000004E-2</v>
      </c>
      <c r="R4725">
        <v>-0.17960299999999901</v>
      </c>
      <c r="S4725">
        <v>3.0589900000000001</v>
      </c>
      <c r="T4725">
        <v>-8.4921360000000001E-2</v>
      </c>
      <c r="U4725">
        <v>-6.1080929999999999E-2</v>
      </c>
      <c r="V4725">
        <v>-0.21808379999999999</v>
      </c>
      <c r="W4725">
        <v>8.6140869999999994E-2</v>
      </c>
      <c r="X4725">
        <v>0.97212100000000001</v>
      </c>
      <c r="Y4725">
        <v>-0.37074810000000002</v>
      </c>
      <c r="Z4725">
        <v>1.3132410000000001E-2</v>
      </c>
      <c r="AA4725">
        <v>0.92864060000000004</v>
      </c>
      <c r="AB4725">
        <v>22</v>
      </c>
      <c r="AC4725">
        <v>40.448899999999902</v>
      </c>
      <c r="AD4725">
        <v>-1.128523182898</v>
      </c>
      <c r="AE4725">
        <v>-0.73799999999999899</v>
      </c>
      <c r="AF4725">
        <v>-15.0616462725375</v>
      </c>
      <c r="AG4725">
        <v>-1.128523182898</v>
      </c>
      <c r="AH4725">
        <v>37.513475013802299</v>
      </c>
      <c r="AI4725">
        <v>91.599113010248104</v>
      </c>
      <c r="AJ4725">
        <v>111.875442170268</v>
      </c>
      <c r="AK4725">
        <v>40.439925329116903</v>
      </c>
      <c r="AL4725">
        <v>85.058367529038804</v>
      </c>
      <c r="AM4725">
        <v>102.64428292553001</v>
      </c>
      <c r="AN4725">
        <v>1.00000001597389</v>
      </c>
    </row>
    <row r="4726" spans="1:40" x14ac:dyDescent="0.25">
      <c r="A4726" t="str">
        <f>"20190303162004260"</f>
        <v>20190303162004260</v>
      </c>
      <c r="B4726" t="str">
        <f>"1551601204256934"</f>
        <v>1551601204256934</v>
      </c>
      <c r="C4726" t="s">
        <v>40</v>
      </c>
      <c r="D4726">
        <v>4.5297919999999996</v>
      </c>
      <c r="E4726">
        <v>0.43645089999999997</v>
      </c>
      <c r="F4726" t="s">
        <v>56</v>
      </c>
      <c r="G4726">
        <v>-439.43610000000001</v>
      </c>
      <c r="H4726" s="1">
        <v>6.1762320000000003E-6</v>
      </c>
      <c r="I4726">
        <v>217.19309999999999</v>
      </c>
      <c r="J4726">
        <v>-478.83030000000002</v>
      </c>
      <c r="K4726">
        <v>1.1284259999999999</v>
      </c>
      <c r="L4726">
        <v>217.6679</v>
      </c>
      <c r="M4726">
        <v>0.92588440000000005</v>
      </c>
      <c r="N4726">
        <v>-1.2165250000000001E-2</v>
      </c>
      <c r="O4726">
        <v>-0.37761119999999998</v>
      </c>
      <c r="P4726">
        <v>0.98222180000000003</v>
      </c>
      <c r="Q4726">
        <v>7.6692460000000004E-2</v>
      </c>
      <c r="R4726">
        <v>-0.1713442</v>
      </c>
      <c r="S4726">
        <v>3.0585019999999998</v>
      </c>
      <c r="T4726">
        <v>-8.7158559999999996E-2</v>
      </c>
      <c r="U4726">
        <v>-4.2205810000000003E-2</v>
      </c>
      <c r="V4726">
        <v>-0.21381849999999999</v>
      </c>
      <c r="W4726">
        <v>8.4727940000000002E-2</v>
      </c>
      <c r="X4726">
        <v>0.9731921</v>
      </c>
      <c r="Y4726">
        <v>-0.3645737</v>
      </c>
      <c r="Z4726">
        <v>1.327163E-2</v>
      </c>
      <c r="AA4726">
        <v>0.93107989999999996</v>
      </c>
      <c r="AB4726">
        <v>22</v>
      </c>
      <c r="AC4726">
        <v>39.394199999999998</v>
      </c>
      <c r="AD4726">
        <v>-1.1284198237680001</v>
      </c>
      <c r="AE4726">
        <v>-0.47480000000001599</v>
      </c>
      <c r="AF4726">
        <v>-14.4253143920523</v>
      </c>
      <c r="AG4726">
        <v>-1.1284198237680001</v>
      </c>
      <c r="AH4726">
        <v>36.626427633416498</v>
      </c>
      <c r="AI4726">
        <v>91.641975745883698</v>
      </c>
      <c r="AJ4726">
        <v>111.496994775076</v>
      </c>
      <c r="AK4726">
        <v>39.380937365610301</v>
      </c>
      <c r="AL4726">
        <v>85.139619549596304</v>
      </c>
      <c r="AM4726">
        <v>102.391482581598</v>
      </c>
      <c r="AN4726">
        <v>1.00000001913065</v>
      </c>
    </row>
    <row r="4727" spans="1:40" x14ac:dyDescent="0.25">
      <c r="A4727" t="str">
        <f>"20190303162004284"</f>
        <v>20190303162004284</v>
      </c>
      <c r="B4727" t="str">
        <f>"1551601204277430"</f>
        <v>1551601204277430</v>
      </c>
      <c r="C4727" t="s">
        <v>40</v>
      </c>
      <c r="D4727">
        <v>4.5731570000000001</v>
      </c>
      <c r="E4727">
        <v>0.43753449999999999</v>
      </c>
      <c r="F4727" t="s">
        <v>56</v>
      </c>
      <c r="G4727">
        <v>-439.95170000000002</v>
      </c>
      <c r="H4727" s="1">
        <v>6.3921810000000001E-6</v>
      </c>
      <c r="I4727">
        <v>217.33860000000001</v>
      </c>
      <c r="J4727">
        <v>-478.61829999999998</v>
      </c>
      <c r="K4727">
        <v>1.128296</v>
      </c>
      <c r="L4727">
        <v>217.59729999999999</v>
      </c>
      <c r="M4727">
        <v>0.93065359999999997</v>
      </c>
      <c r="N4727">
        <v>-1.213615E-2</v>
      </c>
      <c r="O4727">
        <v>-0.36570059999999999</v>
      </c>
      <c r="P4727">
        <v>0.98386560000000001</v>
      </c>
      <c r="Q4727">
        <v>7.4985239999999995E-2</v>
      </c>
      <c r="R4727">
        <v>-0.1624372</v>
      </c>
      <c r="S4727">
        <v>3.056702</v>
      </c>
      <c r="T4727">
        <v>-8.8718409999999998E-2</v>
      </c>
      <c r="U4727">
        <v>-2.5894170000000001E-2</v>
      </c>
      <c r="V4727">
        <v>-0.21013850000000001</v>
      </c>
      <c r="W4727">
        <v>8.3128560000000004E-2</v>
      </c>
      <c r="X4727">
        <v>0.97413110000000003</v>
      </c>
      <c r="Y4727">
        <v>-0.35757260000000002</v>
      </c>
      <c r="Z4727">
        <v>1.325666E-2</v>
      </c>
      <c r="AA4727">
        <v>0.93379129999999999</v>
      </c>
      <c r="AB4727">
        <v>22</v>
      </c>
      <c r="AC4727">
        <v>38.666599999999903</v>
      </c>
      <c r="AD4727">
        <v>-1.1282896078189999</v>
      </c>
      <c r="AE4727">
        <v>-0.258699999999976</v>
      </c>
      <c r="AF4727">
        <v>-13.888834715263901</v>
      </c>
      <c r="AG4727">
        <v>-1.1282896078189999</v>
      </c>
      <c r="AH4727">
        <v>36.051772836425201</v>
      </c>
      <c r="AI4727">
        <v>91.672798798076002</v>
      </c>
      <c r="AJ4727">
        <v>111.06902611209701</v>
      </c>
      <c r="AK4727">
        <v>38.651042571142099</v>
      </c>
      <c r="AL4727">
        <v>85.231581523784399</v>
      </c>
      <c r="AM4727">
        <v>102.173245002755</v>
      </c>
      <c r="AN4727">
        <v>0.99999997332856605</v>
      </c>
    </row>
    <row r="4728" spans="1:40" x14ac:dyDescent="0.25">
      <c r="A4728" t="str">
        <f>"20190303162004303"</f>
        <v>20190303162004303</v>
      </c>
      <c r="B4728" t="str">
        <f>"1551601204296951"</f>
        <v>1551601204296951</v>
      </c>
      <c r="C4728" t="s">
        <v>40</v>
      </c>
      <c r="D4728">
        <v>4.5528760000000004</v>
      </c>
      <c r="E4728">
        <v>0.4385561</v>
      </c>
      <c r="F4728" t="s">
        <v>52</v>
      </c>
      <c r="G4728">
        <v>-441.1499</v>
      </c>
      <c r="H4728" s="1">
        <v>-1.051998E-6</v>
      </c>
      <c r="I4728">
        <v>217.5247</v>
      </c>
      <c r="J4728">
        <v>-478.43849999999998</v>
      </c>
      <c r="K4728">
        <v>1.1281730000000001</v>
      </c>
      <c r="L4728">
        <v>217.53960000000001</v>
      </c>
      <c r="M4728">
        <v>0.93449260000000001</v>
      </c>
      <c r="N4728">
        <v>-1.21075E-2</v>
      </c>
      <c r="O4728">
        <v>-0.3557765</v>
      </c>
      <c r="P4728">
        <v>0.98505189999999998</v>
      </c>
      <c r="Q4728">
        <v>7.3855660000000004E-2</v>
      </c>
      <c r="R4728">
        <v>-0.15562200000000001</v>
      </c>
      <c r="S4728">
        <v>3.0552060000000001</v>
      </c>
      <c r="T4728">
        <v>-9.2002269999999997E-2</v>
      </c>
      <c r="U4728">
        <v>-5.9204100000000001E-3</v>
      </c>
      <c r="V4728">
        <v>-0.2064986</v>
      </c>
      <c r="W4728">
        <v>8.2103540000000003E-2</v>
      </c>
      <c r="X4728">
        <v>0.97499610000000003</v>
      </c>
      <c r="Y4728">
        <v>-0.35371609999999998</v>
      </c>
      <c r="Z4728">
        <v>1.361533E-2</v>
      </c>
      <c r="AA4728">
        <v>0.93525369999999997</v>
      </c>
      <c r="AB4728">
        <v>22</v>
      </c>
      <c r="AC4728">
        <v>37.288599999999903</v>
      </c>
      <c r="AD4728">
        <v>-1.1281740519979999</v>
      </c>
      <c r="AE4728">
        <v>-1.4900000000011401E-2</v>
      </c>
      <c r="AF4728">
        <v>-13.241334773803301</v>
      </c>
      <c r="AG4728">
        <v>-1.1281740519979999</v>
      </c>
      <c r="AH4728">
        <v>34.821902632470902</v>
      </c>
      <c r="AI4728">
        <v>91.734551837384799</v>
      </c>
      <c r="AJ4728">
        <v>110.819746842274</v>
      </c>
      <c r="AK4728">
        <v>37.271579336390097</v>
      </c>
      <c r="AL4728">
        <v>85.290512568698006</v>
      </c>
      <c r="AM4728">
        <v>101.958206148096</v>
      </c>
      <c r="AN4728">
        <v>1.00000002904885</v>
      </c>
    </row>
    <row r="4729" spans="1:40" x14ac:dyDescent="0.25">
      <c r="A4729" t="str">
        <f>"20190303162004328"</f>
        <v>20190303162004328</v>
      </c>
      <c r="B4729" t="str">
        <f>"1551601204316470"</f>
        <v>1551601204316470</v>
      </c>
      <c r="C4729" t="s">
        <v>40</v>
      </c>
      <c r="D4729">
        <v>4.5850249999999999</v>
      </c>
      <c r="E4729">
        <v>0.45210610000000001</v>
      </c>
      <c r="F4729" t="s">
        <v>52</v>
      </c>
      <c r="G4729">
        <v>-441.77940000000001</v>
      </c>
      <c r="H4729" s="1">
        <v>-7.2137929999999997E-7</v>
      </c>
      <c r="I4729">
        <v>217.62459999999999</v>
      </c>
      <c r="J4729">
        <v>-478.2242</v>
      </c>
      <c r="K4729">
        <v>1.128015</v>
      </c>
      <c r="L4729">
        <v>217.47329999999999</v>
      </c>
      <c r="M4729">
        <v>0.93883539999999999</v>
      </c>
      <c r="N4729">
        <v>-1.2070539999999999E-2</v>
      </c>
      <c r="O4729">
        <v>-0.34415440000000003</v>
      </c>
      <c r="P4729">
        <v>0.98632969999999998</v>
      </c>
      <c r="Q4729">
        <v>7.2110369999999993E-2</v>
      </c>
      <c r="R4729">
        <v>-0.1481692</v>
      </c>
      <c r="S4729">
        <v>3.0537109999999998</v>
      </c>
      <c r="T4729">
        <v>-9.3976970000000007E-2</v>
      </c>
      <c r="U4729">
        <v>7.0800780000000001E-3</v>
      </c>
      <c r="V4729">
        <v>-0.20175129999999999</v>
      </c>
      <c r="W4729">
        <v>8.0490999999999993E-2</v>
      </c>
      <c r="X4729">
        <v>0.97612379999999999</v>
      </c>
      <c r="Y4729">
        <v>-0.3460743</v>
      </c>
      <c r="Z4729">
        <v>1.3617519999999999E-2</v>
      </c>
      <c r="AA4729">
        <v>0.93810830000000001</v>
      </c>
      <c r="AB4729">
        <v>22</v>
      </c>
      <c r="AC4729">
        <v>36.444800000000001</v>
      </c>
      <c r="AD4729">
        <v>-1.1280157213793001</v>
      </c>
      <c r="AE4729">
        <v>0.151299999999992</v>
      </c>
      <c r="AF4729">
        <v>-12.6734683497108</v>
      </c>
      <c r="AG4729">
        <v>-1.1280157213793001</v>
      </c>
      <c r="AH4729">
        <v>34.133390571921801</v>
      </c>
      <c r="AI4729">
        <v>91.774497633764597</v>
      </c>
      <c r="AJ4729">
        <v>110.36957850343499</v>
      </c>
      <c r="AK4729">
        <v>36.427703350803803</v>
      </c>
      <c r="AL4729">
        <v>85.383211161142896</v>
      </c>
      <c r="AM4729">
        <v>101.677810094229</v>
      </c>
      <c r="AN4729">
        <v>1.00000003052956</v>
      </c>
    </row>
    <row r="4730" spans="1:40" x14ac:dyDescent="0.25">
      <c r="A4730" t="str">
        <f>"20190303162004349"</f>
        <v>20190303162004349</v>
      </c>
      <c r="B4730" t="str">
        <f>"1551601204336966"</f>
        <v>1551601204336966</v>
      </c>
      <c r="C4730" t="s">
        <v>40</v>
      </c>
      <c r="D4730">
        <v>4.5430440000000001</v>
      </c>
      <c r="E4730">
        <v>0.45386840000000001</v>
      </c>
      <c r="F4730" t="s">
        <v>52</v>
      </c>
      <c r="G4730">
        <v>-440.24349999999998</v>
      </c>
      <c r="H4730" s="1">
        <v>-1.4903970000000001E-6</v>
      </c>
      <c r="I4730">
        <v>216.5189</v>
      </c>
      <c r="J4730">
        <v>-478.01799999999997</v>
      </c>
      <c r="K4730">
        <v>1.1278649999999999</v>
      </c>
      <c r="L4730">
        <v>217.4119</v>
      </c>
      <c r="M4730">
        <v>0.94278340000000005</v>
      </c>
      <c r="N4730">
        <v>-1.203398E-2</v>
      </c>
      <c r="O4730">
        <v>-0.3331887</v>
      </c>
      <c r="P4730">
        <v>0.98722410000000005</v>
      </c>
      <c r="Q4730">
        <v>7.0930179999999995E-2</v>
      </c>
      <c r="R4730">
        <v>-0.14268020000000001</v>
      </c>
      <c r="S4730">
        <v>3.0367739999999999</v>
      </c>
      <c r="T4730">
        <v>-9.0191129999999994E-2</v>
      </c>
      <c r="U4730">
        <v>-7.6309199999999994E-2</v>
      </c>
      <c r="V4730">
        <v>-0.19577620000000001</v>
      </c>
      <c r="W4730">
        <v>7.9459089999999996E-2</v>
      </c>
      <c r="X4730">
        <v>0.97742410000000002</v>
      </c>
      <c r="Y4730">
        <v>-0.30918570000000001</v>
      </c>
      <c r="Z4730">
        <v>1.211521E-2</v>
      </c>
      <c r="AA4730">
        <v>0.95092449999999995</v>
      </c>
      <c r="AB4730">
        <v>22</v>
      </c>
      <c r="AC4730">
        <v>37.774500000000003</v>
      </c>
      <c r="AD4730">
        <v>-1.1278664903969999</v>
      </c>
      <c r="AE4730">
        <v>-0.89300000000000002</v>
      </c>
      <c r="AF4730">
        <v>-11.734525646512701</v>
      </c>
      <c r="AG4730">
        <v>-1.1278664903969999</v>
      </c>
      <c r="AH4730">
        <v>35.881338292830399</v>
      </c>
      <c r="AI4730">
        <v>91.711267479017494</v>
      </c>
      <c r="AJ4730">
        <v>108.109660478262</v>
      </c>
      <c r="AK4730">
        <v>37.768261975544597</v>
      </c>
      <c r="AL4730">
        <v>85.442524961453302</v>
      </c>
      <c r="AM4730">
        <v>101.326355042451</v>
      </c>
      <c r="AN4730">
        <v>0.999999969365438</v>
      </c>
    </row>
    <row r="4731" spans="1:40" x14ac:dyDescent="0.25">
      <c r="A4731" t="str">
        <f>"20190303162004371"</f>
        <v>20190303162004371</v>
      </c>
      <c r="B4731" t="str">
        <f>"1551601204367222"</f>
        <v>1551601204367222</v>
      </c>
      <c r="C4731" t="s">
        <v>40</v>
      </c>
      <c r="D4731">
        <v>4.598738</v>
      </c>
      <c r="E4731">
        <v>0.4552138</v>
      </c>
      <c r="F4731" t="s">
        <v>52</v>
      </c>
      <c r="G4731">
        <v>-440.65370000000001</v>
      </c>
      <c r="H4731" s="1">
        <v>-1.2718109999999999E-6</v>
      </c>
      <c r="I4731">
        <v>216.5128</v>
      </c>
      <c r="J4731">
        <v>-477.81810000000002</v>
      </c>
      <c r="K4731">
        <v>1.127764</v>
      </c>
      <c r="L4731">
        <v>217.35470000000001</v>
      </c>
      <c r="M4731">
        <v>0.94641920000000002</v>
      </c>
      <c r="N4731">
        <v>-1.2000719999999999E-2</v>
      </c>
      <c r="O4731">
        <v>-0.3227177</v>
      </c>
      <c r="P4731">
        <v>0.98774130000000004</v>
      </c>
      <c r="Q4731">
        <v>7.1690959999999998E-2</v>
      </c>
      <c r="R4731">
        <v>-0.1386636</v>
      </c>
      <c r="S4731">
        <v>3.0348820000000001</v>
      </c>
      <c r="T4731">
        <v>-9.1609839999999998E-2</v>
      </c>
      <c r="U4731">
        <v>-7.3028560000000006E-2</v>
      </c>
      <c r="V4731">
        <v>-0.18887889999999999</v>
      </c>
      <c r="W4731">
        <v>8.0368850000000006E-2</v>
      </c>
      <c r="X4731">
        <v>0.97870610000000002</v>
      </c>
      <c r="Y4731">
        <v>-0.29964069999999998</v>
      </c>
      <c r="Z4731">
        <v>1.198522E-2</v>
      </c>
      <c r="AA4731">
        <v>0.95397690000000002</v>
      </c>
      <c r="AB4731">
        <v>22</v>
      </c>
      <c r="AC4731">
        <v>37.164400000000001</v>
      </c>
      <c r="AD4731">
        <v>-1.1277652718110001</v>
      </c>
      <c r="AE4731">
        <v>-0.84190000000000897</v>
      </c>
      <c r="AF4731">
        <v>-11.187329101088199</v>
      </c>
      <c r="AG4731">
        <v>-1.1277652718110001</v>
      </c>
      <c r="AH4731">
        <v>35.414755243347699</v>
      </c>
      <c r="AI4731">
        <v>91.739277643076903</v>
      </c>
      <c r="AJ4731">
        <v>107.531044073077</v>
      </c>
      <c r="AK4731">
        <v>37.156871179777497</v>
      </c>
      <c r="AL4731">
        <v>85.390232495640404</v>
      </c>
      <c r="AM4731">
        <v>100.92313167780399</v>
      </c>
      <c r="AN4731">
        <v>1.00000001054637</v>
      </c>
    </row>
    <row r="4732" spans="1:40" x14ac:dyDescent="0.25">
      <c r="A4732" t="str">
        <f>"20190303162004394"</f>
        <v>20190303162004394</v>
      </c>
      <c r="B4732" t="str">
        <f>"1551601204387718"</f>
        <v>1551601204387718</v>
      </c>
      <c r="C4732" t="s">
        <v>40</v>
      </c>
      <c r="D4732">
        <v>4.6413970000000004</v>
      </c>
      <c r="E4732">
        <v>0.45641709999999902</v>
      </c>
      <c r="F4732" t="s">
        <v>56</v>
      </c>
      <c r="G4732">
        <v>-437.47489999999999</v>
      </c>
      <c r="H4732" s="1">
        <v>5.3741809999999998E-6</v>
      </c>
      <c r="I4732">
        <v>216.41890000000001</v>
      </c>
      <c r="J4732">
        <v>-477.59429999999998</v>
      </c>
      <c r="K4732">
        <v>1.127677</v>
      </c>
      <c r="L4732">
        <v>217.29310000000001</v>
      </c>
      <c r="M4732">
        <v>0.95027269999999997</v>
      </c>
      <c r="N4732">
        <v>-1.1966849999999999E-2</v>
      </c>
      <c r="O4732">
        <v>-0.31118889999999999</v>
      </c>
      <c r="P4732">
        <v>0.98817860000000002</v>
      </c>
      <c r="Q4732">
        <v>7.4357099999999995E-2</v>
      </c>
      <c r="R4732">
        <v>-0.13406770000000001</v>
      </c>
      <c r="S4732">
        <v>3.0334780000000001</v>
      </c>
      <c r="T4732">
        <v>-8.4798100000000001E-2</v>
      </c>
      <c r="U4732">
        <v>-7.0358279999999995E-2</v>
      </c>
      <c r="V4732">
        <v>-0.1814837</v>
      </c>
      <c r="W4732">
        <v>8.3181309999999994E-2</v>
      </c>
      <c r="X4732">
        <v>0.97986969999999995</v>
      </c>
      <c r="Y4732">
        <v>-0.28889510000000002</v>
      </c>
      <c r="Z4732">
        <v>1.056958E-2</v>
      </c>
      <c r="AA4732">
        <v>0.9573024</v>
      </c>
      <c r="AB4732">
        <v>22</v>
      </c>
      <c r="AC4732">
        <v>40.119399999999899</v>
      </c>
      <c r="AD4732">
        <v>-1.127671625819</v>
      </c>
      <c r="AE4732">
        <v>-0.87420000000000098</v>
      </c>
      <c r="AF4732">
        <v>-11.645622152090599</v>
      </c>
      <c r="AG4732">
        <v>-1.127671625819</v>
      </c>
      <c r="AH4732">
        <v>38.368863541920497</v>
      </c>
      <c r="AI4732">
        <v>91.610928025603997</v>
      </c>
      <c r="AJ4732">
        <v>106.883962761493</v>
      </c>
      <c r="AK4732">
        <v>40.113113168930902</v>
      </c>
      <c r="AL4732">
        <v>85.228549016603793</v>
      </c>
      <c r="AM4732">
        <v>100.49296657401401</v>
      </c>
      <c r="AN4732">
        <v>1.0000000463385399</v>
      </c>
    </row>
    <row r="4733" spans="1:40" x14ac:dyDescent="0.25">
      <c r="A4733" t="str">
        <f>"20190303162004416"</f>
        <v>20190303162004416</v>
      </c>
      <c r="B4733" t="str">
        <f>"1551601204407238"</f>
        <v>1551601204407238</v>
      </c>
      <c r="C4733" t="s">
        <v>40</v>
      </c>
      <c r="D4733">
        <v>4.6232600000000001</v>
      </c>
      <c r="E4733">
        <v>0.45616950000000001</v>
      </c>
      <c r="F4733" t="s">
        <v>56</v>
      </c>
      <c r="G4733">
        <v>-429.60019999999997</v>
      </c>
      <c r="H4733" s="1">
        <v>2.1176799999999999E-6</v>
      </c>
      <c r="I4733">
        <v>216.2636</v>
      </c>
      <c r="J4733">
        <v>-477.39010000000002</v>
      </c>
      <c r="K4733">
        <v>1.1276200000000001</v>
      </c>
      <c r="L4733">
        <v>217.23929999999999</v>
      </c>
      <c r="M4733">
        <v>0.95359689999999997</v>
      </c>
      <c r="N4733">
        <v>-1.1937720000000001E-2</v>
      </c>
      <c r="O4733">
        <v>-0.30084919999999998</v>
      </c>
      <c r="P4733">
        <v>0.98825200000000002</v>
      </c>
      <c r="Q4733">
        <v>7.7651250000000005E-2</v>
      </c>
      <c r="R4733">
        <v>-0.13163620000000001</v>
      </c>
      <c r="S4733">
        <v>3.03241</v>
      </c>
      <c r="T4733">
        <v>-7.1249839999999995E-2</v>
      </c>
      <c r="U4733">
        <v>-6.5048220000000004E-2</v>
      </c>
      <c r="V4733">
        <v>-0.1731973</v>
      </c>
      <c r="W4733">
        <v>8.6628739999999996E-2</v>
      </c>
      <c r="X4733">
        <v>0.98106990000000005</v>
      </c>
      <c r="Y4733">
        <v>-0.28021550000000001</v>
      </c>
      <c r="Z4733">
        <v>8.3054159999999995E-3</v>
      </c>
      <c r="AA4733">
        <v>0.95990120000000001</v>
      </c>
      <c r="AB4733">
        <v>22</v>
      </c>
      <c r="AC4733">
        <v>47.789900000000003</v>
      </c>
      <c r="AD4733">
        <v>-1.12761788232</v>
      </c>
      <c r="AE4733">
        <v>-0.97569999999998902</v>
      </c>
      <c r="AF4733">
        <v>-13.440608524706599</v>
      </c>
      <c r="AG4733">
        <v>-1.12761788232</v>
      </c>
      <c r="AH4733">
        <v>45.843599903012702</v>
      </c>
      <c r="AI4733">
        <v>91.352131585959199</v>
      </c>
      <c r="AJ4733">
        <v>106.340291251761</v>
      </c>
      <c r="AK4733">
        <v>47.7865789910771</v>
      </c>
      <c r="AL4733">
        <v>85.030309653463803</v>
      </c>
      <c r="AM4733">
        <v>100.011792461518</v>
      </c>
      <c r="AN4733">
        <v>0.99999999600364298</v>
      </c>
    </row>
    <row r="4734" spans="1:40" x14ac:dyDescent="0.25">
      <c r="A4734" t="str">
        <f>"20190303162004440"</f>
        <v>20190303162004440</v>
      </c>
      <c r="B4734" t="str">
        <f>"1551601204426759"</f>
        <v>1551601204426759</v>
      </c>
      <c r="C4734" t="s">
        <v>40</v>
      </c>
      <c r="D4734">
        <v>4.6764760000000001</v>
      </c>
      <c r="E4734">
        <v>0.45626359999999999</v>
      </c>
      <c r="F4734" t="s">
        <v>56</v>
      </c>
      <c r="G4734">
        <v>-424.17230000000001</v>
      </c>
      <c r="H4734" s="1">
        <v>3.0794059999999999E-6</v>
      </c>
      <c r="I4734">
        <v>216.27610000000001</v>
      </c>
      <c r="J4734">
        <v>-477.1764</v>
      </c>
      <c r="K4734">
        <v>1.1275539999999999</v>
      </c>
      <c r="L4734">
        <v>217.18520000000001</v>
      </c>
      <c r="M4734">
        <v>0.95688640000000003</v>
      </c>
      <c r="N4734">
        <v>-1.190682E-2</v>
      </c>
      <c r="O4734">
        <v>-0.29021829999999998</v>
      </c>
      <c r="P4734">
        <v>0.98805270000000001</v>
      </c>
      <c r="Q4734">
        <v>8.1581479999999998E-2</v>
      </c>
      <c r="R4734">
        <v>-0.13075300000000001</v>
      </c>
      <c r="S4734">
        <v>3.0333860000000001</v>
      </c>
      <c r="T4734">
        <v>-6.42736E-2</v>
      </c>
      <c r="U4734">
        <v>-5.4901119999999998E-2</v>
      </c>
      <c r="V4734">
        <v>-0.16308919999999999</v>
      </c>
      <c r="W4734">
        <v>9.0740929999999997E-2</v>
      </c>
      <c r="X4734">
        <v>0.98242960000000001</v>
      </c>
      <c r="Y4734">
        <v>-0.27276840000000002</v>
      </c>
      <c r="Z4734">
        <v>7.0946200000000003E-3</v>
      </c>
      <c r="AA4734">
        <v>0.96205350000000001</v>
      </c>
      <c r="AB4734">
        <v>22</v>
      </c>
      <c r="AC4734">
        <v>53.004100000000001</v>
      </c>
      <c r="AD4734">
        <v>-1.127550920594</v>
      </c>
      <c r="AE4734">
        <v>-0.90909999999999502</v>
      </c>
      <c r="AF4734">
        <v>-14.5073199612608</v>
      </c>
      <c r="AG4734">
        <v>-1.127550920594</v>
      </c>
      <c r="AH4734">
        <v>50.963297867007</v>
      </c>
      <c r="AI4734">
        <v>91.219035506094897</v>
      </c>
      <c r="AJ4734">
        <v>105.88964508446</v>
      </c>
      <c r="AK4734">
        <v>52.999919179355402</v>
      </c>
      <c r="AL4734">
        <v>84.793766125239898</v>
      </c>
      <c r="AM4734">
        <v>99.425487456237093</v>
      </c>
      <c r="AN4734">
        <v>0.99999996124503099</v>
      </c>
    </row>
    <row r="4735" spans="1:40" x14ac:dyDescent="0.25">
      <c r="A4735" t="str">
        <f>"20190303162004463"</f>
        <v>20190303162004463</v>
      </c>
      <c r="B4735" t="str">
        <f>"1551601204457015"</f>
        <v>1551601204457015</v>
      </c>
      <c r="C4735" t="s">
        <v>40</v>
      </c>
      <c r="D4735">
        <v>4.7052069999999997</v>
      </c>
      <c r="E4735">
        <v>0.45679999999999998</v>
      </c>
      <c r="F4735" t="s">
        <v>56</v>
      </c>
      <c r="G4735">
        <v>-413.12479999999999</v>
      </c>
      <c r="H4735" s="1">
        <v>2.6319749999999999E-6</v>
      </c>
      <c r="I4735">
        <v>216.08109999999999</v>
      </c>
      <c r="J4735">
        <v>-476.95179999999999</v>
      </c>
      <c r="K4735">
        <v>1.1274599999999999</v>
      </c>
      <c r="L4735">
        <v>217.13079999999999</v>
      </c>
      <c r="M4735">
        <v>0.96014180000000005</v>
      </c>
      <c r="N4735">
        <v>-1.187204E-2</v>
      </c>
      <c r="O4735">
        <v>-0.2792616</v>
      </c>
      <c r="P4735">
        <v>0.98768370000000005</v>
      </c>
      <c r="Q4735">
        <v>8.5477830000000005E-2</v>
      </c>
      <c r="R4735">
        <v>-0.13105240000000001</v>
      </c>
      <c r="S4735">
        <v>3.0337519999999998</v>
      </c>
      <c r="T4735">
        <v>-5.3405519999999998E-2</v>
      </c>
      <c r="U4735">
        <v>-5.2291869999999997E-2</v>
      </c>
      <c r="V4735">
        <v>-0.15148229999999999</v>
      </c>
      <c r="W4735">
        <v>9.4844449999999997E-2</v>
      </c>
      <c r="X4735">
        <v>0.98389919999999997</v>
      </c>
      <c r="Y4735">
        <v>-0.26262020000000003</v>
      </c>
      <c r="Z4735">
        <v>5.3821340000000002E-3</v>
      </c>
      <c r="AA4735">
        <v>0.96488430000000003</v>
      </c>
      <c r="AB4735">
        <v>22</v>
      </c>
      <c r="AC4735">
        <v>63.826999999999998</v>
      </c>
      <c r="AD4735">
        <v>-1.127457368025</v>
      </c>
      <c r="AE4735">
        <v>-1.0497000000000001</v>
      </c>
      <c r="AF4735">
        <v>-16.8125077919692</v>
      </c>
      <c r="AG4735">
        <v>-1.127457368025</v>
      </c>
      <c r="AH4735">
        <v>61.561239832315799</v>
      </c>
      <c r="AI4735">
        <v>91.012161650482696</v>
      </c>
      <c r="AJ4735">
        <v>105.275109410791</v>
      </c>
      <c r="AK4735">
        <v>63.825683138244898</v>
      </c>
      <c r="AL4735">
        <v>84.557632950664299</v>
      </c>
      <c r="AM4735">
        <v>98.752601316001304</v>
      </c>
      <c r="AN4735">
        <v>0.99999999633486603</v>
      </c>
    </row>
    <row r="4736" spans="1:40" x14ac:dyDescent="0.25">
      <c r="A4736" t="str">
        <f>"20190303162004485"</f>
        <v>20190303162004485</v>
      </c>
      <c r="B4736" t="str">
        <f>"1551601204477511"</f>
        <v>1551601204477511</v>
      </c>
      <c r="C4736" t="s">
        <v>40</v>
      </c>
      <c r="D4736">
        <v>4.8601460000000003</v>
      </c>
      <c r="E4736">
        <v>0.4572061</v>
      </c>
      <c r="F4736" t="s">
        <v>56</v>
      </c>
      <c r="G4736">
        <v>-401.24180000000001</v>
      </c>
      <c r="H4736" s="1">
        <v>7.62803E-6</v>
      </c>
      <c r="I4736">
        <v>215.69820000000001</v>
      </c>
      <c r="J4736">
        <v>-476.74380000000002</v>
      </c>
      <c r="K4736">
        <v>1.127335</v>
      </c>
      <c r="L4736">
        <v>217.08250000000001</v>
      </c>
      <c r="M4736">
        <v>0.96296749999999998</v>
      </c>
      <c r="N4736">
        <v>-1.183645E-2</v>
      </c>
      <c r="O4736">
        <v>-0.26935750000000003</v>
      </c>
      <c r="P4736">
        <v>0.98718510000000004</v>
      </c>
      <c r="Q4736">
        <v>8.9078829999999998E-2</v>
      </c>
      <c r="R4736">
        <v>-0.1324031</v>
      </c>
      <c r="S4736">
        <v>3.0336910000000001</v>
      </c>
      <c r="T4736">
        <v>-4.5176859999999999E-2</v>
      </c>
      <c r="U4736">
        <v>-5.7403559999999999E-2</v>
      </c>
      <c r="V4736">
        <v>-0.1399164</v>
      </c>
      <c r="W4736">
        <v>9.8652149999999994E-2</v>
      </c>
      <c r="X4736">
        <v>0.98523660000000002</v>
      </c>
      <c r="Y4736">
        <v>-0.25105860000000002</v>
      </c>
      <c r="Z4736">
        <v>4.1054569999999999E-3</v>
      </c>
      <c r="AA4736">
        <v>0.96796320000000002</v>
      </c>
      <c r="AB4736">
        <v>22</v>
      </c>
      <c r="AC4736">
        <v>75.501999999999995</v>
      </c>
      <c r="AD4736">
        <v>-1.1273273719700001</v>
      </c>
      <c r="AE4736">
        <v>-1.3842999999999901</v>
      </c>
      <c r="AF4736">
        <v>-19.0010910874838</v>
      </c>
      <c r="AG4736">
        <v>-1.1273273719700001</v>
      </c>
      <c r="AH4736">
        <v>73.067680566730601</v>
      </c>
      <c r="AI4736">
        <v>90.855471899014304</v>
      </c>
      <c r="AJ4736">
        <v>104.576782596027</v>
      </c>
      <c r="AK4736">
        <v>75.506279691958298</v>
      </c>
      <c r="AL4736">
        <v>84.338439441409804</v>
      </c>
      <c r="AM4736">
        <v>98.082697955449405</v>
      </c>
      <c r="AN4736">
        <v>1.00000000183407</v>
      </c>
    </row>
    <row r="4737" spans="1:40" x14ac:dyDescent="0.25">
      <c r="A4737" t="str">
        <f>"20190303162004505"</f>
        <v>20190303162004505</v>
      </c>
      <c r="B4737" t="str">
        <f>"1551601204497031"</f>
        <v>1551601204497031</v>
      </c>
      <c r="C4737" t="s">
        <v>40</v>
      </c>
      <c r="D4737">
        <v>4.7636620000000001</v>
      </c>
      <c r="E4737">
        <v>0.45688630000000002</v>
      </c>
      <c r="F4737" t="s">
        <v>52</v>
      </c>
      <c r="G4737">
        <v>-384.93029999999999</v>
      </c>
      <c r="H4737" s="1">
        <v>1.0640380000000001E-6</v>
      </c>
      <c r="I4737">
        <v>215.13829999999999</v>
      </c>
      <c r="J4737">
        <v>-476.54689999999999</v>
      </c>
      <c r="K4737">
        <v>1.1271519999999999</v>
      </c>
      <c r="L4737">
        <v>217.03870000000001</v>
      </c>
      <c r="M4737">
        <v>0.96546469999999995</v>
      </c>
      <c r="N4737">
        <v>-1.179736E-2</v>
      </c>
      <c r="O4737">
        <v>-0.26026690000000002</v>
      </c>
      <c r="P4737">
        <v>0.98684039999999995</v>
      </c>
      <c r="Q4737">
        <v>9.0777189999999994E-2</v>
      </c>
      <c r="R4737">
        <v>-0.1338125</v>
      </c>
      <c r="S4737">
        <v>3.0336910000000001</v>
      </c>
      <c r="T4737">
        <v>-3.7249209999999998E-2</v>
      </c>
      <c r="U4737">
        <v>-6.4239500000000005E-2</v>
      </c>
      <c r="V4737">
        <v>-0.12914229999999999</v>
      </c>
      <c r="W4737">
        <v>0.1005467</v>
      </c>
      <c r="X4737">
        <v>0.98651540000000004</v>
      </c>
      <c r="Y4737">
        <v>-0.23975089999999999</v>
      </c>
      <c r="Z4737">
        <v>2.9519390000000002E-3</v>
      </c>
      <c r="AA4737">
        <v>0.97082999999999997</v>
      </c>
      <c r="AB4737">
        <v>22</v>
      </c>
      <c r="AC4737">
        <v>91.616600000000005</v>
      </c>
      <c r="AD4737">
        <v>-1.127150935962</v>
      </c>
      <c r="AE4737">
        <v>-1.9004000000000101</v>
      </c>
      <c r="AF4737">
        <v>-22.0082000370526</v>
      </c>
      <c r="AG4737">
        <v>-1.127150935962</v>
      </c>
      <c r="AH4737">
        <v>88.939933016169206</v>
      </c>
      <c r="AI4737">
        <v>90.7048243841367</v>
      </c>
      <c r="AJ4737">
        <v>103.898659569253</v>
      </c>
      <c r="AK4737">
        <v>91.629378602193</v>
      </c>
      <c r="AL4737">
        <v>84.2293472668524</v>
      </c>
      <c r="AM4737">
        <v>97.458039990394198</v>
      </c>
      <c r="AN4737">
        <v>1.00000000348367</v>
      </c>
    </row>
    <row r="4738" spans="1:40" x14ac:dyDescent="0.25">
      <c r="A4738" t="str">
        <f>"20190303162004528"</f>
        <v>20190303162004528</v>
      </c>
      <c r="B4738" t="str">
        <f>"1551601204517527"</f>
        <v>1551601204517527</v>
      </c>
      <c r="C4738" t="s">
        <v>40</v>
      </c>
      <c r="D4738">
        <v>4.8260889999999996</v>
      </c>
      <c r="E4738">
        <v>0.45760840000000003</v>
      </c>
      <c r="F4738" t="s">
        <v>52</v>
      </c>
      <c r="G4738">
        <v>-444.86410000000001</v>
      </c>
      <c r="H4738" s="1">
        <v>9.7623049999999996E-7</v>
      </c>
      <c r="I4738">
        <v>216.34200000000001</v>
      </c>
      <c r="J4738">
        <v>-476.32859999999999</v>
      </c>
      <c r="K4738">
        <v>1.1268910000000001</v>
      </c>
      <c r="L4738">
        <v>216.99199999999999</v>
      </c>
      <c r="M4738">
        <v>0.96802279999999996</v>
      </c>
      <c r="N4738">
        <v>-1.174737E-2</v>
      </c>
      <c r="O4738">
        <v>-0.2505869</v>
      </c>
      <c r="P4738">
        <v>0.98687820000000004</v>
      </c>
      <c r="Q4738">
        <v>9.1514419999999999E-2</v>
      </c>
      <c r="R4738">
        <v>-0.133029799999999</v>
      </c>
      <c r="S4738">
        <v>3.0408940000000002</v>
      </c>
      <c r="T4738">
        <v>-0.1081834</v>
      </c>
      <c r="U4738">
        <v>-6.6864010000000001E-2</v>
      </c>
      <c r="V4738">
        <v>-0.1199612</v>
      </c>
      <c r="W4738">
        <v>0.10145609999999999</v>
      </c>
      <c r="X4738">
        <v>0.98758080000000004</v>
      </c>
      <c r="Y4738">
        <v>-0.22900219999999999</v>
      </c>
      <c r="Z4738">
        <v>1.128149E-2</v>
      </c>
      <c r="AA4738">
        <v>0.97336049999999996</v>
      </c>
      <c r="AB4738">
        <v>22</v>
      </c>
      <c r="AC4738">
        <v>31.464499999999902</v>
      </c>
      <c r="AD4738">
        <v>-1.1268900237694901</v>
      </c>
      <c r="AE4738">
        <v>-0.65000000000000502</v>
      </c>
      <c r="AF4738">
        <v>-7.2465864486841296</v>
      </c>
      <c r="AG4738">
        <v>-1.1268900237694901</v>
      </c>
      <c r="AH4738">
        <v>30.5841357407243</v>
      </c>
      <c r="AI4738">
        <v>92.053341431412406</v>
      </c>
      <c r="AJ4738">
        <v>103.329809058799</v>
      </c>
      <c r="AK4738">
        <v>31.451108967586102</v>
      </c>
      <c r="AL4738">
        <v>84.176974253555301</v>
      </c>
      <c r="AM4738">
        <v>96.925774385726697</v>
      </c>
      <c r="AN4738">
        <v>0.99999993313064195</v>
      </c>
    </row>
    <row r="4739" spans="1:40" x14ac:dyDescent="0.25">
      <c r="A4739" t="str">
        <f>"20190303162004551"</f>
        <v>20190303162004551</v>
      </c>
      <c r="B4739" t="str">
        <f>"1551601204537047"</f>
        <v>1551601204537047</v>
      </c>
      <c r="C4739" t="s">
        <v>40</v>
      </c>
      <c r="D4739">
        <v>4.813059</v>
      </c>
      <c r="E4739">
        <v>0.46952369999999999</v>
      </c>
      <c r="F4739" t="s">
        <v>52</v>
      </c>
      <c r="G4739">
        <v>-443.6182</v>
      </c>
      <c r="H4739" s="1">
        <v>3.18663E-7</v>
      </c>
      <c r="I4739">
        <v>216.21719999999999</v>
      </c>
      <c r="J4739">
        <v>-476.11059999999998</v>
      </c>
      <c r="K4739">
        <v>1.1266149999999999</v>
      </c>
      <c r="L4739">
        <v>216.94710000000001</v>
      </c>
      <c r="M4739">
        <v>0.97038849999999999</v>
      </c>
      <c r="N4739">
        <v>-1.1695270000000001E-2</v>
      </c>
      <c r="O4739">
        <v>-0.24126619999999999</v>
      </c>
      <c r="P4739">
        <v>0.98712800000000001</v>
      </c>
      <c r="Q4739">
        <v>9.1687069999999996E-2</v>
      </c>
      <c r="R4739">
        <v>-0.13104109999999999</v>
      </c>
      <c r="S4739">
        <v>3.0398559999999999</v>
      </c>
      <c r="T4739">
        <v>-0.104724499999999</v>
      </c>
      <c r="U4739">
        <v>-7.2006230000000004E-2</v>
      </c>
      <c r="V4739">
        <v>-0.1123743</v>
      </c>
      <c r="W4739">
        <v>0.10176499999999999</v>
      </c>
      <c r="X4739">
        <v>0.98844120000000002</v>
      </c>
      <c r="Y4739">
        <v>-0.21800149999999999</v>
      </c>
      <c r="Z4739">
        <v>1.0424910000000001E-2</v>
      </c>
      <c r="AA4739">
        <v>0.97589269999999995</v>
      </c>
      <c r="AB4739">
        <v>22</v>
      </c>
      <c r="AC4739">
        <v>32.492399999999897</v>
      </c>
      <c r="AD4739">
        <v>-1.1266146813369999</v>
      </c>
      <c r="AE4739">
        <v>-0.72990000000001398</v>
      </c>
      <c r="AF4739">
        <v>-7.1229599407696398</v>
      </c>
      <c r="AG4739">
        <v>-1.1266146813369999</v>
      </c>
      <c r="AH4739">
        <v>31.6704641640967</v>
      </c>
      <c r="AI4739">
        <v>91.987714307141999</v>
      </c>
      <c r="AJ4739">
        <v>102.675399217356</v>
      </c>
      <c r="AK4739">
        <v>32.481134822036999</v>
      </c>
      <c r="AL4739">
        <v>84.159184203431394</v>
      </c>
      <c r="AM4739">
        <v>96.486017214819398</v>
      </c>
      <c r="AN4739">
        <v>1.00000005219146</v>
      </c>
    </row>
    <row r="4740" spans="1:40" x14ac:dyDescent="0.25">
      <c r="A4740" t="str">
        <f>"20190303162004574"</f>
        <v>20190303162004574</v>
      </c>
      <c r="B4740" t="str">
        <f>"1551601204567303"</f>
        <v>1551601204567303</v>
      </c>
      <c r="C4740" t="s">
        <v>40</v>
      </c>
      <c r="D4740">
        <v>4.7070150000000002</v>
      </c>
      <c r="E4740">
        <v>0.4780375</v>
      </c>
      <c r="F4740" t="s">
        <v>56</v>
      </c>
      <c r="G4740">
        <v>-283.58780000000002</v>
      </c>
      <c r="H4740">
        <v>7.9999390000000004E-2</v>
      </c>
      <c r="I4740">
        <v>206.7577</v>
      </c>
      <c r="J4740">
        <v>-475.8956</v>
      </c>
      <c r="K4740">
        <v>1.126328</v>
      </c>
      <c r="L4740">
        <v>216.90440000000001</v>
      </c>
      <c r="M4740">
        <v>0.97252819999999995</v>
      </c>
      <c r="N4740">
        <v>-1.1643509999999999E-2</v>
      </c>
      <c r="O4740">
        <v>-0.2324937</v>
      </c>
      <c r="P4740">
        <v>0.98756829999999995</v>
      </c>
      <c r="Q4740">
        <v>9.0422379999999997E-2</v>
      </c>
      <c r="R4740">
        <v>-0.1285801</v>
      </c>
      <c r="S4740">
        <v>3.0194399999999999</v>
      </c>
      <c r="T4740">
        <v>-1.6414640000000001E-2</v>
      </c>
      <c r="U4740">
        <v>-0.15980529999999901</v>
      </c>
      <c r="V4740">
        <v>-0.1058462</v>
      </c>
      <c r="W4740">
        <v>0.1006146</v>
      </c>
      <c r="X4740">
        <v>0.98927920000000003</v>
      </c>
      <c r="Y4740">
        <v>-0.1807686</v>
      </c>
      <c r="Z4740" s="1">
        <v>6.8273400000000003E-5</v>
      </c>
      <c r="AA4740">
        <v>0.9835256</v>
      </c>
      <c r="AB4740">
        <v>22</v>
      </c>
      <c r="AC4740">
        <v>192.30779999999999</v>
      </c>
      <c r="AD4740">
        <v>-1.04632861</v>
      </c>
      <c r="AE4740">
        <v>-10.146699999999999</v>
      </c>
      <c r="AF4740">
        <v>-34.843733643305001</v>
      </c>
      <c r="AG4740">
        <v>-1.04632861</v>
      </c>
      <c r="AH4740">
        <v>189.391050943175</v>
      </c>
      <c r="AI4740">
        <v>90.311314035281399</v>
      </c>
      <c r="AJ4740">
        <v>100.424573746028</v>
      </c>
      <c r="AK4740">
        <v>192.572455857856</v>
      </c>
      <c r="AL4740">
        <v>84.225437182943594</v>
      </c>
      <c r="AM4740">
        <v>96.107029044032998</v>
      </c>
      <c r="AN4740">
        <v>1.00000002567011</v>
      </c>
    </row>
    <row r="4741" spans="1:40" x14ac:dyDescent="0.25">
      <c r="A4741" t="str">
        <f>"20190303162004595"</f>
        <v>20190303162004595</v>
      </c>
      <c r="B4741" t="str">
        <f>"1551601204586823"</f>
        <v>1551601204586823</v>
      </c>
      <c r="C4741" t="s">
        <v>40</v>
      </c>
      <c r="D4741">
        <v>5.0210330000000001</v>
      </c>
      <c r="E4741">
        <v>0.4797613</v>
      </c>
      <c r="F4741" t="s">
        <v>52</v>
      </c>
      <c r="G4741">
        <v>-387.55950000000001</v>
      </c>
      <c r="H4741" s="1">
        <v>2.6699059999999998E-6</v>
      </c>
      <c r="I4741">
        <v>210.40880000000001</v>
      </c>
      <c r="J4741">
        <v>-475.68200000000002</v>
      </c>
      <c r="K4741">
        <v>1.126015</v>
      </c>
      <c r="L4741">
        <v>216.86340000000001</v>
      </c>
      <c r="M4741">
        <v>0.97445360000000003</v>
      </c>
      <c r="N4741">
        <v>-1.158913E-2</v>
      </c>
      <c r="O4741">
        <v>-0.22428989999999999</v>
      </c>
      <c r="P4741">
        <v>0.98801329999999998</v>
      </c>
      <c r="Q4741">
        <v>8.8055519999999998E-2</v>
      </c>
      <c r="R4741">
        <v>-0.1267913</v>
      </c>
      <c r="S4741">
        <v>3.0124209999999998</v>
      </c>
      <c r="T4741">
        <v>-3.840971E-2</v>
      </c>
      <c r="U4741">
        <v>-0.22151180000000001</v>
      </c>
      <c r="V4741">
        <v>-9.9237140000000001E-2</v>
      </c>
      <c r="W4741">
        <v>9.8360320000000001E-2</v>
      </c>
      <c r="X4741">
        <v>0.99019049999999997</v>
      </c>
      <c r="Y4741">
        <v>-0.1522114</v>
      </c>
      <c r="Z4741">
        <v>2.0658360000000001E-3</v>
      </c>
      <c r="AA4741">
        <v>0.98834580000000005</v>
      </c>
      <c r="AB4741">
        <v>22</v>
      </c>
      <c r="AC4741">
        <v>88.122499999999903</v>
      </c>
      <c r="AD4741">
        <v>-1.1260123300939999</v>
      </c>
      <c r="AE4741">
        <v>-6.4545999999999903</v>
      </c>
      <c r="AF4741">
        <v>-13.4739947466175</v>
      </c>
      <c r="AG4741">
        <v>-1.1260123300939999</v>
      </c>
      <c r="AH4741">
        <v>87.310670270226296</v>
      </c>
      <c r="AI4741">
        <v>90.730237461841398</v>
      </c>
      <c r="AJ4741">
        <v>98.772817980658303</v>
      </c>
      <c r="AK4741">
        <v>88.351398298134399</v>
      </c>
      <c r="AL4741">
        <v>84.355241745992302</v>
      </c>
      <c r="AM4741">
        <v>95.723087346841893</v>
      </c>
      <c r="AN4741">
        <v>0.99999999439806597</v>
      </c>
    </row>
    <row r="4742" spans="1:40" x14ac:dyDescent="0.25">
      <c r="A4742" t="str">
        <f>"20190303162004616"</f>
        <v>20190303162004616</v>
      </c>
      <c r="B4742" t="str">
        <f>"1551601204607319"</f>
        <v>1551601204607319</v>
      </c>
      <c r="C4742" t="s">
        <v>40</v>
      </c>
      <c r="D4742">
        <v>4.8177979999999998</v>
      </c>
      <c r="E4742">
        <v>0.48033920000000002</v>
      </c>
      <c r="F4742" t="s">
        <v>52</v>
      </c>
      <c r="G4742">
        <v>-398.0025</v>
      </c>
      <c r="H4742" s="1">
        <v>2.7217609999999999E-6</v>
      </c>
      <c r="I4742">
        <v>210.90479999999999</v>
      </c>
      <c r="J4742">
        <v>-475.48129999999998</v>
      </c>
      <c r="K4742">
        <v>1.1256759999999999</v>
      </c>
      <c r="L4742">
        <v>216.82589999999999</v>
      </c>
      <c r="M4742">
        <v>0.97607449999999996</v>
      </c>
      <c r="N4742">
        <v>-1.1532540000000001E-2</v>
      </c>
      <c r="O4742">
        <v>-0.21713089999999999</v>
      </c>
      <c r="P4742">
        <v>0.9884522</v>
      </c>
      <c r="Q4742">
        <v>8.4826520000000002E-2</v>
      </c>
      <c r="R4742">
        <v>-0.1255667</v>
      </c>
      <c r="S4742">
        <v>3.0106809999999999</v>
      </c>
      <c r="T4742">
        <v>-4.3641689999999997E-2</v>
      </c>
      <c r="U4742">
        <v>-0.2309418</v>
      </c>
      <c r="V4742">
        <v>-9.3132740000000006E-2</v>
      </c>
      <c r="W4742">
        <v>9.5232259999999999E-2</v>
      </c>
      <c r="X4742">
        <v>0.99108890000000005</v>
      </c>
      <c r="Y4742">
        <v>-0.14182420000000001</v>
      </c>
      <c r="Z4742">
        <v>2.441857E-3</v>
      </c>
      <c r="AA4742">
        <v>0.98988880000000001</v>
      </c>
      <c r="AB4742">
        <v>22</v>
      </c>
      <c r="AC4742">
        <v>77.478799999999893</v>
      </c>
      <c r="AD4742">
        <v>-1.125673278239</v>
      </c>
      <c r="AE4742">
        <v>-5.9210999999999903</v>
      </c>
      <c r="AF4742">
        <v>-11.0420226250928</v>
      </c>
      <c r="AG4742">
        <v>-1.125673278239</v>
      </c>
      <c r="AH4742">
        <v>76.899701741175093</v>
      </c>
      <c r="AI4742">
        <v>90.830134221006702</v>
      </c>
      <c r="AJ4742">
        <v>98.171243904295906</v>
      </c>
      <c r="AK4742">
        <v>77.696573488565704</v>
      </c>
      <c r="AL4742">
        <v>84.535312330593001</v>
      </c>
      <c r="AM4742">
        <v>95.3683266883627</v>
      </c>
      <c r="AN4742">
        <v>1.0000000491539101</v>
      </c>
    </row>
    <row r="4743" spans="1:40" x14ac:dyDescent="0.25">
      <c r="A4743" t="str">
        <f>"20190303162004639"</f>
        <v>20190303162004639</v>
      </c>
      <c r="B4743" t="str">
        <f>"1551601204626839"</f>
        <v>1551601204626839</v>
      </c>
      <c r="C4743" t="s">
        <v>40</v>
      </c>
      <c r="D4743">
        <v>4.7826040000000001</v>
      </c>
      <c r="E4743">
        <v>0.48084759999999999</v>
      </c>
      <c r="F4743" t="s">
        <v>56</v>
      </c>
      <c r="G4743">
        <v>-410.19380000000001</v>
      </c>
      <c r="H4743" s="1">
        <v>2.487628E-6</v>
      </c>
      <c r="I4743">
        <v>211.7852</v>
      </c>
      <c r="J4743">
        <v>-475.25740000000002</v>
      </c>
      <c r="K4743">
        <v>1.1252310000000001</v>
      </c>
      <c r="L4743">
        <v>216.7852</v>
      </c>
      <c r="M4743">
        <v>0.97767110000000002</v>
      </c>
      <c r="N4743">
        <v>-1.146429E-2</v>
      </c>
      <c r="O4743">
        <v>-0.2098286</v>
      </c>
      <c r="P4743">
        <v>0.98916020000000004</v>
      </c>
      <c r="Q4743">
        <v>8.4335229999999997E-2</v>
      </c>
      <c r="R4743">
        <v>-0.12020839999999899</v>
      </c>
      <c r="S4743">
        <v>3.0099490000000002</v>
      </c>
      <c r="T4743">
        <v>-5.1896930000000001E-2</v>
      </c>
      <c r="U4743">
        <v>-0.2323914</v>
      </c>
      <c r="V4743">
        <v>-9.0994099999999994E-2</v>
      </c>
      <c r="W4743">
        <v>9.4795550000000006E-2</v>
      </c>
      <c r="X4743">
        <v>0.99132940000000003</v>
      </c>
      <c r="Y4743">
        <v>-0.13391900000000001</v>
      </c>
      <c r="Z4743">
        <v>3.0857860000000001E-3</v>
      </c>
      <c r="AA4743">
        <v>0.99098750000000002</v>
      </c>
      <c r="AB4743">
        <v>22</v>
      </c>
      <c r="AC4743">
        <v>65.063599999999994</v>
      </c>
      <c r="AD4743">
        <v>-1.1252285123719901</v>
      </c>
      <c r="AE4743">
        <v>-5</v>
      </c>
      <c r="AF4743">
        <v>-8.7618182639497295</v>
      </c>
      <c r="AG4743">
        <v>-1.1252285123719901</v>
      </c>
      <c r="AH4743">
        <v>64.6449645078375</v>
      </c>
      <c r="AI4743">
        <v>90.988172372073393</v>
      </c>
      <c r="AJ4743">
        <v>97.718692080568999</v>
      </c>
      <c r="AK4743">
        <v>65.245743422196597</v>
      </c>
      <c r="AL4743">
        <v>84.5604476927695</v>
      </c>
      <c r="AM4743">
        <v>95.244482115684406</v>
      </c>
      <c r="AN4743">
        <v>1.00000005091948</v>
      </c>
    </row>
    <row r="4744" spans="1:40" x14ac:dyDescent="0.25">
      <c r="A4744" t="str">
        <f>"20190303162004664"</f>
        <v>20190303162004664</v>
      </c>
      <c r="B4744" t="str">
        <f>"1551601204657716"</f>
        <v>1551601204657716</v>
      </c>
      <c r="C4744" t="s">
        <v>40</v>
      </c>
      <c r="D4744">
        <v>4.9591079999999996</v>
      </c>
      <c r="E4744">
        <v>0.48141830000000002</v>
      </c>
      <c r="F4744" t="s">
        <v>56</v>
      </c>
      <c r="G4744">
        <v>-407.8014</v>
      </c>
      <c r="H4744" s="1">
        <v>5.5102030000000001E-6</v>
      </c>
      <c r="I4744">
        <v>211.86959999999999</v>
      </c>
      <c r="J4744">
        <v>-475.01920000000001</v>
      </c>
      <c r="K4744">
        <v>1.1247069999999999</v>
      </c>
      <c r="L4744">
        <v>216.74270000000001</v>
      </c>
      <c r="M4744">
        <v>0.97914299999999999</v>
      </c>
      <c r="N4744">
        <v>-1.139123E-2</v>
      </c>
      <c r="O4744">
        <v>-0.20285329999999999</v>
      </c>
      <c r="P4744">
        <v>0.98948060000000004</v>
      </c>
      <c r="Q4744">
        <v>8.4705639999999999E-2</v>
      </c>
      <c r="R4744">
        <v>-0.1172745</v>
      </c>
      <c r="S4744">
        <v>3.0104980000000001</v>
      </c>
      <c r="T4744">
        <v>-5.0217749999999999E-2</v>
      </c>
      <c r="U4744">
        <v>-0.2193756</v>
      </c>
      <c r="V4744">
        <v>-8.6738019999999999E-2</v>
      </c>
      <c r="W4744">
        <v>9.5248879999999994E-2</v>
      </c>
      <c r="X4744">
        <v>0.99166739999999998</v>
      </c>
      <c r="Y4744">
        <v>-0.13113069999999999</v>
      </c>
      <c r="Z4744">
        <v>2.8711079999999998E-3</v>
      </c>
      <c r="AA4744">
        <v>0.99136089999999999</v>
      </c>
      <c r="AB4744">
        <v>22</v>
      </c>
      <c r="AC4744">
        <v>67.217799999999997</v>
      </c>
      <c r="AD4744">
        <v>-1.12470148979699</v>
      </c>
      <c r="AE4744">
        <v>-4.8731000000000204</v>
      </c>
      <c r="AF4744">
        <v>-8.8619968058392207</v>
      </c>
      <c r="AG4744">
        <v>-1.12470148979699</v>
      </c>
      <c r="AH4744">
        <v>66.790088356487203</v>
      </c>
      <c r="AI4744">
        <v>90.956352300322607</v>
      </c>
      <c r="AJ4744">
        <v>97.558103525946507</v>
      </c>
      <c r="AK4744">
        <v>67.384833927933798</v>
      </c>
      <c r="AL4744">
        <v>84.534355636342099</v>
      </c>
      <c r="AM4744">
        <v>94.998759454863304</v>
      </c>
      <c r="AN4744">
        <v>1.0000000327387599</v>
      </c>
    </row>
    <row r="4745" spans="1:40" x14ac:dyDescent="0.25">
      <c r="A4745" t="str">
        <f>"20190303162004686"</f>
        <v>20190303162004686</v>
      </c>
      <c r="B4745" t="str">
        <f>"1551601204677237"</f>
        <v>1551601204677237</v>
      </c>
      <c r="C4745" t="s">
        <v>40</v>
      </c>
      <c r="D4745">
        <v>4.9595690000000001</v>
      </c>
      <c r="E4745">
        <v>0.48177249999999999</v>
      </c>
      <c r="F4745" t="s">
        <v>52</v>
      </c>
      <c r="G4745">
        <v>-398.07330000000002</v>
      </c>
      <c r="H4745" s="1">
        <v>2.759445E-6</v>
      </c>
      <c r="I4745">
        <v>211.25829999999999</v>
      </c>
      <c r="J4745">
        <v>-474.80399999999997</v>
      </c>
      <c r="K4745">
        <v>1.124209</v>
      </c>
      <c r="L4745">
        <v>216.70490000000001</v>
      </c>
      <c r="M4745">
        <v>0.98027039999999999</v>
      </c>
      <c r="N4745">
        <v>-1.132872E-2</v>
      </c>
      <c r="O4745">
        <v>-0.19733629999999999</v>
      </c>
      <c r="P4745">
        <v>0.9897726</v>
      </c>
      <c r="Q4745">
        <v>8.5078829999999994E-2</v>
      </c>
      <c r="R4745">
        <v>-0.1145072</v>
      </c>
      <c r="S4745">
        <v>3.0102229999999999</v>
      </c>
      <c r="T4745">
        <v>-4.3999910000000003E-2</v>
      </c>
      <c r="U4745">
        <v>-0.21455379999999999</v>
      </c>
      <c r="V4745">
        <v>-8.3805660000000004E-2</v>
      </c>
      <c r="W4745">
        <v>9.5687460000000002E-2</v>
      </c>
      <c r="X4745">
        <v>0.99187729999999996</v>
      </c>
      <c r="Y4745">
        <v>-0.1271283</v>
      </c>
      <c r="Z4745">
        <v>2.2624519999999999E-3</v>
      </c>
      <c r="AA4745">
        <v>0.99188370000000003</v>
      </c>
      <c r="AB4745">
        <v>22</v>
      </c>
      <c r="AC4745">
        <v>76.730699999999999</v>
      </c>
      <c r="AD4745">
        <v>-1.124206240555</v>
      </c>
      <c r="AE4745">
        <v>-5.4466000000000099</v>
      </c>
      <c r="AF4745">
        <v>-9.8011473282438004</v>
      </c>
      <c r="AG4745">
        <v>-1.124206240555</v>
      </c>
      <c r="AH4745">
        <v>76.280249182463805</v>
      </c>
      <c r="AI4745">
        <v>90.837471246671697</v>
      </c>
      <c r="AJ4745">
        <v>97.321741680793707</v>
      </c>
      <c r="AK4745">
        <v>76.915555929603897</v>
      </c>
      <c r="AL4745">
        <v>84.5091115275915</v>
      </c>
      <c r="AM4745">
        <v>94.829562098334307</v>
      </c>
      <c r="AN4745">
        <v>1.0000000284522801</v>
      </c>
    </row>
    <row r="4746" spans="1:40" x14ac:dyDescent="0.25">
      <c r="A4746" t="str">
        <f>"20190303162004707"</f>
        <v>20190303162004707</v>
      </c>
      <c r="B4746" t="str">
        <f>"1551601204696757"</f>
        <v>1551601204696757</v>
      </c>
      <c r="C4746" t="s">
        <v>40</v>
      </c>
      <c r="D4746">
        <v>4.6754389999999999</v>
      </c>
      <c r="E4746">
        <v>0.48216959999999998</v>
      </c>
      <c r="F4746" t="s">
        <v>52</v>
      </c>
      <c r="G4746">
        <v>-390.22379999999998</v>
      </c>
      <c r="H4746" s="1">
        <v>-1.417708E-6</v>
      </c>
      <c r="I4746">
        <v>210.82140000000001</v>
      </c>
      <c r="J4746">
        <v>-474.59100000000001</v>
      </c>
      <c r="K4746">
        <v>1.123734</v>
      </c>
      <c r="L4746">
        <v>216.6678</v>
      </c>
      <c r="M4746">
        <v>0.98120750000000001</v>
      </c>
      <c r="N4746">
        <v>-1.1271720000000001E-2</v>
      </c>
      <c r="O4746">
        <v>-0.19262580000000001</v>
      </c>
      <c r="P4746">
        <v>0.99010920000000002</v>
      </c>
      <c r="Q4746">
        <v>8.5050780000000006E-2</v>
      </c>
      <c r="R4746">
        <v>-0.11158170000000001</v>
      </c>
      <c r="S4746">
        <v>3.0102229999999999</v>
      </c>
      <c r="T4746">
        <v>-4.0010810000000001E-2</v>
      </c>
      <c r="U4746">
        <v>-0.20939640000000001</v>
      </c>
      <c r="V4746">
        <v>-8.1860000000000002E-2</v>
      </c>
      <c r="W4746">
        <v>9.5712619999999998E-2</v>
      </c>
      <c r="X4746">
        <v>0.99203730000000001</v>
      </c>
      <c r="Y4746">
        <v>-0.124059</v>
      </c>
      <c r="Z4746">
        <v>1.8817479999999999E-3</v>
      </c>
      <c r="AA4746">
        <v>0.99227299999999996</v>
      </c>
      <c r="AB4746">
        <v>22</v>
      </c>
      <c r="AC4746">
        <v>84.367199999999997</v>
      </c>
      <c r="AD4746">
        <v>-1.1237354177079999</v>
      </c>
      <c r="AE4746">
        <v>-5.8463999999999796</v>
      </c>
      <c r="AF4746">
        <v>-10.5135800577231</v>
      </c>
      <c r="AG4746">
        <v>-1.1237354177079999</v>
      </c>
      <c r="AH4746">
        <v>83.8984181574166</v>
      </c>
      <c r="AI4746">
        <v>90.761419348412204</v>
      </c>
      <c r="AJ4746">
        <v>97.142685168131294</v>
      </c>
      <c r="AK4746">
        <v>84.562064285564205</v>
      </c>
      <c r="AL4746">
        <v>84.507663078970097</v>
      </c>
      <c r="AM4746">
        <v>94.717192010401902</v>
      </c>
      <c r="AN4746">
        <v>0.999999984909277</v>
      </c>
    </row>
    <row r="4747" spans="1:40" x14ac:dyDescent="0.25">
      <c r="A4747" t="str">
        <f>"20190303162004729"</f>
        <v>20190303162004729</v>
      </c>
      <c r="B4747" t="str">
        <f>"1551601204717253"</f>
        <v>1551601204717253</v>
      </c>
      <c r="C4747" t="s">
        <v>40</v>
      </c>
      <c r="D4747">
        <v>4.8267089999999904</v>
      </c>
      <c r="E4747">
        <v>0.48249419999999998</v>
      </c>
      <c r="F4747" t="s">
        <v>52</v>
      </c>
      <c r="G4747">
        <v>-385.38900000000001</v>
      </c>
      <c r="H4747" s="1">
        <v>1.5050199999999999E-6</v>
      </c>
      <c r="I4747">
        <v>210.6343</v>
      </c>
      <c r="J4747">
        <v>-474.37079999999997</v>
      </c>
      <c r="K4747">
        <v>1.123327</v>
      </c>
      <c r="L4747">
        <v>216.62989999999999</v>
      </c>
      <c r="M4747">
        <v>0.98203050000000003</v>
      </c>
      <c r="N4747">
        <v>-1.121781E-2</v>
      </c>
      <c r="O4747">
        <v>-0.18838959999999999</v>
      </c>
      <c r="P4747">
        <v>0.99039999999999995</v>
      </c>
      <c r="Q4747">
        <v>8.4632150000000003E-2</v>
      </c>
      <c r="R4747">
        <v>-0.1092964</v>
      </c>
      <c r="S4747">
        <v>3.010284</v>
      </c>
      <c r="T4747">
        <v>-3.7922379999999999E-2</v>
      </c>
      <c r="U4747">
        <v>-0.2036133</v>
      </c>
      <c r="V4747">
        <v>-7.9774719999999993E-2</v>
      </c>
      <c r="W4747">
        <v>9.5335740000000002E-2</v>
      </c>
      <c r="X4747">
        <v>0.99224349999999994</v>
      </c>
      <c r="Y4747">
        <v>-0.1216772</v>
      </c>
      <c r="Z4747">
        <v>1.680955E-3</v>
      </c>
      <c r="AA4747">
        <v>0.99256829999999996</v>
      </c>
      <c r="AB4747">
        <v>22</v>
      </c>
      <c r="AC4747">
        <v>88.981799999999893</v>
      </c>
      <c r="AD4747">
        <v>-1.12332549498</v>
      </c>
      <c r="AE4747">
        <v>-5.9955999999999898</v>
      </c>
      <c r="AF4747">
        <v>-10.874340676843</v>
      </c>
      <c r="AG4747">
        <v>-1.12332549498</v>
      </c>
      <c r="AH4747">
        <v>88.503861755100999</v>
      </c>
      <c r="AI4747">
        <v>90.721754251697604</v>
      </c>
      <c r="AJ4747">
        <v>97.004740390645694</v>
      </c>
      <c r="AK4747">
        <v>89.176491806359707</v>
      </c>
      <c r="AL4747">
        <v>84.529356193656497</v>
      </c>
      <c r="AM4747">
        <v>94.596598012317301</v>
      </c>
      <c r="AN4747">
        <v>1.00000003628233</v>
      </c>
    </row>
    <row r="4748" spans="1:40" x14ac:dyDescent="0.25">
      <c r="A4748" t="str">
        <f>"20190303162004752"</f>
        <v>20190303162004752</v>
      </c>
      <c r="B4748" t="str">
        <f>"1551601204736773"</f>
        <v>1551601204736773</v>
      </c>
      <c r="C4748" t="s">
        <v>40</v>
      </c>
      <c r="D4748">
        <v>5.022723</v>
      </c>
      <c r="E4748">
        <v>0.48284749999999999</v>
      </c>
      <c r="F4748" t="s">
        <v>52</v>
      </c>
      <c r="G4748">
        <v>-383.4676</v>
      </c>
      <c r="H4748" s="1">
        <v>4.8306409999999998E-7</v>
      </c>
      <c r="I4748">
        <v>210.62270000000001</v>
      </c>
      <c r="J4748">
        <v>-474.1558</v>
      </c>
      <c r="K4748">
        <v>1.1230009999999999</v>
      </c>
      <c r="L4748">
        <v>216.59299999999999</v>
      </c>
      <c r="M4748">
        <v>0.98270769999999996</v>
      </c>
      <c r="N4748">
        <v>-1.1169689999999999E-2</v>
      </c>
      <c r="O4748">
        <v>-0.1848264</v>
      </c>
      <c r="P4748">
        <v>0.9906412</v>
      </c>
      <c r="Q4748">
        <v>8.4888370000000005E-2</v>
      </c>
      <c r="R4748">
        <v>-0.10688159999999999</v>
      </c>
      <c r="S4748">
        <v>3.010284</v>
      </c>
      <c r="T4748">
        <v>-3.7199259999999998E-2</v>
      </c>
      <c r="U4748">
        <v>-0.19892879999999999</v>
      </c>
      <c r="V4748">
        <v>-7.8513059999999996E-2</v>
      </c>
      <c r="W4748">
        <v>9.5614840000000006E-2</v>
      </c>
      <c r="X4748">
        <v>0.99231729999999996</v>
      </c>
      <c r="Y4748">
        <v>-0.11961529999999999</v>
      </c>
      <c r="Z4748">
        <v>1.6006950000000001E-3</v>
      </c>
      <c r="AA4748">
        <v>0.99281900000000001</v>
      </c>
      <c r="AB4748">
        <v>22</v>
      </c>
      <c r="AC4748">
        <v>90.688199999999995</v>
      </c>
      <c r="AD4748">
        <v>-1.1230005169359001</v>
      </c>
      <c r="AE4748">
        <v>-5.9702999999999804</v>
      </c>
      <c r="AF4748">
        <v>-10.893530293185099</v>
      </c>
      <c r="AG4748">
        <v>-1.1230005169359001</v>
      </c>
      <c r="AH4748">
        <v>90.215316971605404</v>
      </c>
      <c r="AI4748">
        <v>90.708038567639605</v>
      </c>
      <c r="AJ4748">
        <v>96.8851507316555</v>
      </c>
      <c r="AK4748">
        <v>90.877574509318904</v>
      </c>
      <c r="AL4748">
        <v>84.5132916919558</v>
      </c>
      <c r="AM4748">
        <v>94.523870635327796</v>
      </c>
      <c r="AN4748">
        <v>1.0000000610490301</v>
      </c>
    </row>
    <row r="4749" spans="1:40" x14ac:dyDescent="0.25">
      <c r="A4749" t="str">
        <f>"20190303162004773"</f>
        <v>20190303162004773</v>
      </c>
      <c r="B4749" t="str">
        <f>"1551601204766766"</f>
        <v>1551601204766766</v>
      </c>
      <c r="C4749" t="s">
        <v>40</v>
      </c>
      <c r="D4749">
        <v>4.8819499999999998</v>
      </c>
      <c r="E4749">
        <v>0.46088950000000001</v>
      </c>
      <c r="F4749" t="s">
        <v>52</v>
      </c>
      <c r="G4749">
        <v>-378.70690000000002</v>
      </c>
      <c r="H4749" s="1">
        <v>3.0965860000000002E-6</v>
      </c>
      <c r="I4749">
        <v>210.4503</v>
      </c>
      <c r="J4749">
        <v>-473.94</v>
      </c>
      <c r="K4749">
        <v>1.1227069999999999</v>
      </c>
      <c r="L4749">
        <v>216.55629999999999</v>
      </c>
      <c r="M4749">
        <v>0.98326769999999997</v>
      </c>
      <c r="N4749">
        <v>-1.1125660000000001E-2</v>
      </c>
      <c r="O4749">
        <v>-0.18182699999999999</v>
      </c>
      <c r="P4749">
        <v>0.99086050000000003</v>
      </c>
      <c r="Q4749">
        <v>8.5073549999999998E-2</v>
      </c>
      <c r="R4749">
        <v>-0.10468089999999999</v>
      </c>
      <c r="S4749">
        <v>3.010437</v>
      </c>
      <c r="T4749">
        <v>-3.5419109999999997E-2</v>
      </c>
      <c r="U4749">
        <v>-0.19374079999999999</v>
      </c>
      <c r="V4749">
        <v>-7.7617690000000003E-2</v>
      </c>
      <c r="W4749">
        <v>9.5816090000000007E-2</v>
      </c>
      <c r="X4749">
        <v>0.99236829999999998</v>
      </c>
      <c r="Y4749">
        <v>-0.1182942</v>
      </c>
      <c r="Z4749">
        <v>1.446464E-3</v>
      </c>
      <c r="AA4749">
        <v>0.99297760000000002</v>
      </c>
      <c r="AB4749">
        <v>23</v>
      </c>
      <c r="AC4749">
        <v>95.233099999999894</v>
      </c>
      <c r="AD4749">
        <v>-1.1227039034139901</v>
      </c>
      <c r="AE4749">
        <v>-6.1059999999999901</v>
      </c>
      <c r="AF4749">
        <v>-11.311249684093401</v>
      </c>
      <c r="AG4749">
        <v>-1.1227039034139901</v>
      </c>
      <c r="AH4749">
        <v>94.742608141095104</v>
      </c>
      <c r="AI4749">
        <v>90.674138556434997</v>
      </c>
      <c r="AJ4749">
        <v>96.808274728832004</v>
      </c>
      <c r="AK4749">
        <v>95.422044784461406</v>
      </c>
      <c r="AL4749">
        <v>84.501707593145099</v>
      </c>
      <c r="AM4749">
        <v>94.472261604995396</v>
      </c>
      <c r="AN4749">
        <v>1.0000000358743499</v>
      </c>
    </row>
    <row r="4750" spans="1:40" x14ac:dyDescent="0.25">
      <c r="A4750" t="str">
        <f>"20190303162004796"</f>
        <v>20190303162004796</v>
      </c>
      <c r="B4750" t="str">
        <f>"1551601204787261"</f>
        <v>1551601204787261</v>
      </c>
      <c r="C4750" t="s">
        <v>40</v>
      </c>
      <c r="D4750">
        <v>4.8979160000000004</v>
      </c>
      <c r="E4750">
        <v>0.45319789999999999</v>
      </c>
      <c r="F4750" t="s">
        <v>56</v>
      </c>
      <c r="G4750">
        <v>-436.5985</v>
      </c>
      <c r="H4750" s="1">
        <v>4.988678E-6</v>
      </c>
      <c r="I4750">
        <v>216.38310000000001</v>
      </c>
      <c r="J4750">
        <v>-473.71609999999998</v>
      </c>
      <c r="K4750">
        <v>1.1223989999999999</v>
      </c>
      <c r="L4750">
        <v>216.51830000000001</v>
      </c>
      <c r="M4750">
        <v>0.98373180000000005</v>
      </c>
      <c r="N4750">
        <v>-1.108541E-2</v>
      </c>
      <c r="O4750">
        <v>-0.17930160000000001</v>
      </c>
      <c r="P4750">
        <v>0.99121859999999995</v>
      </c>
      <c r="Q4750">
        <v>8.4632230000000003E-2</v>
      </c>
      <c r="R4750">
        <v>-0.10160429999999999</v>
      </c>
      <c r="S4750">
        <v>3.0340579999999999</v>
      </c>
      <c r="T4750">
        <v>-9.1221330000000003E-2</v>
      </c>
      <c r="U4750">
        <v>-1.4068600000000001E-2</v>
      </c>
      <c r="V4750">
        <v>-7.8084600000000004E-2</v>
      </c>
      <c r="W4750">
        <v>9.539127E-2</v>
      </c>
      <c r="X4750">
        <v>0.99237260000000005</v>
      </c>
      <c r="Y4750">
        <v>-0.1746096</v>
      </c>
      <c r="Z4750">
        <v>6.9637170000000003E-3</v>
      </c>
      <c r="AA4750">
        <v>0.98461310000000002</v>
      </c>
      <c r="AB4750">
        <v>23</v>
      </c>
      <c r="AC4750">
        <v>37.117599999999896</v>
      </c>
      <c r="AD4750">
        <v>-1.1223940113219999</v>
      </c>
      <c r="AE4750">
        <v>-0.13519999999999699</v>
      </c>
      <c r="AF4750">
        <v>-6.5166859406065099</v>
      </c>
      <c r="AG4750">
        <v>-1.1223940113219999</v>
      </c>
      <c r="AH4750">
        <v>36.5068654915518</v>
      </c>
      <c r="AI4750">
        <v>91.733602693548605</v>
      </c>
      <c r="AJ4750">
        <v>100.121025612865</v>
      </c>
      <c r="AK4750">
        <v>37.1009190180433</v>
      </c>
      <c r="AL4750">
        <v>84.526160002973896</v>
      </c>
      <c r="AM4750">
        <v>94.499035002333898</v>
      </c>
      <c r="AN4750">
        <v>1.00000003819006</v>
      </c>
    </row>
    <row r="4751" spans="1:40" x14ac:dyDescent="0.25">
      <c r="A4751" t="str">
        <f>"20190303162004819"</f>
        <v>20190303162004819</v>
      </c>
      <c r="B4751" t="str">
        <f>"1551601204806781"</f>
        <v>1551601204806781</v>
      </c>
      <c r="C4751" t="s">
        <v>40</v>
      </c>
      <c r="D4751">
        <v>4.8622719999999999</v>
      </c>
      <c r="E4751">
        <v>0.4518742</v>
      </c>
      <c r="F4751" t="s">
        <v>52</v>
      </c>
      <c r="G4751">
        <v>-440.62830000000002</v>
      </c>
      <c r="H4751" s="1">
        <v>-1.3120920000000001E-6</v>
      </c>
      <c r="I4751">
        <v>217.1251</v>
      </c>
      <c r="J4751">
        <v>-473.48489999999998</v>
      </c>
      <c r="K4751">
        <v>1.1220570000000001</v>
      </c>
      <c r="L4751">
        <v>216.47900000000001</v>
      </c>
      <c r="M4751">
        <v>0.98409999999999997</v>
      </c>
      <c r="N4751">
        <v>-1.105066E-2</v>
      </c>
      <c r="O4751">
        <v>-0.17727019999999999</v>
      </c>
      <c r="P4751">
        <v>0.99157609999999996</v>
      </c>
      <c r="Q4751">
        <v>8.3838750000000004E-2</v>
      </c>
      <c r="R4751">
        <v>-9.8731579999999999E-2</v>
      </c>
      <c r="S4751">
        <v>3.041077</v>
      </c>
      <c r="T4751">
        <v>-0.10315920000000001</v>
      </c>
      <c r="U4751">
        <v>5.577087E-2</v>
      </c>
      <c r="V4751">
        <v>-7.8841820000000007E-2</v>
      </c>
      <c r="W4751">
        <v>9.4626080000000001E-2</v>
      </c>
      <c r="X4751">
        <v>0.99238590000000004</v>
      </c>
      <c r="Y4751">
        <v>-0.19510279999999999</v>
      </c>
      <c r="Z4751">
        <v>8.4105109999999903E-3</v>
      </c>
      <c r="AA4751">
        <v>0.98074669999999997</v>
      </c>
      <c r="AB4751">
        <v>23</v>
      </c>
      <c r="AC4751">
        <v>32.856599999999901</v>
      </c>
      <c r="AD4751">
        <v>-1.12205831209199</v>
      </c>
      <c r="AE4751">
        <v>0.64609999999998902</v>
      </c>
      <c r="AF4751">
        <v>-6.4531956595511701</v>
      </c>
      <c r="AG4751">
        <v>-1.12205831209199</v>
      </c>
      <c r="AH4751">
        <v>32.184099198487203</v>
      </c>
      <c r="AI4751">
        <v>91.957800405145804</v>
      </c>
      <c r="AJ4751">
        <v>101.33796152923099</v>
      </c>
      <c r="AK4751">
        <v>32.843857725520699</v>
      </c>
      <c r="AL4751">
        <v>84.570200909014005</v>
      </c>
      <c r="AM4751">
        <v>94.542421738598904</v>
      </c>
      <c r="AN4751">
        <v>0.99999995105794304</v>
      </c>
    </row>
    <row r="4752" spans="1:40" x14ac:dyDescent="0.25">
      <c r="A4752" t="str">
        <f>"20190303162004839"</f>
        <v>20190303162004839</v>
      </c>
      <c r="B4752" t="str">
        <f>"1551601204827277"</f>
        <v>1551601204827277</v>
      </c>
      <c r="C4752" t="s">
        <v>40</v>
      </c>
      <c r="D4752">
        <v>4.8768890000000003</v>
      </c>
      <c r="E4752">
        <v>0.45224249999999999</v>
      </c>
      <c r="F4752" t="s">
        <v>56</v>
      </c>
      <c r="G4752">
        <v>-437.0992</v>
      </c>
      <c r="H4752" s="1">
        <v>5.1243549999999998E-6</v>
      </c>
      <c r="I4752">
        <v>217.37139999999999</v>
      </c>
      <c r="J4752">
        <v>-473.28500000000003</v>
      </c>
      <c r="K4752">
        <v>1.121745</v>
      </c>
      <c r="L4752">
        <v>216.44479999999999</v>
      </c>
      <c r="M4752">
        <v>0.98433320000000002</v>
      </c>
      <c r="N4752">
        <v>-1.102649E-2</v>
      </c>
      <c r="O4752">
        <v>-0.1759743</v>
      </c>
      <c r="P4752">
        <v>0.99188109999999996</v>
      </c>
      <c r="Q4752">
        <v>8.2604620000000004E-2</v>
      </c>
      <c r="R4752">
        <v>-9.66886E-2</v>
      </c>
      <c r="S4752">
        <v>3.0408330000000001</v>
      </c>
      <c r="T4752">
        <v>-9.3772530000000007E-2</v>
      </c>
      <c r="U4752">
        <v>7.4584960000000006E-2</v>
      </c>
      <c r="V4752">
        <v>-7.9524199999999906E-2</v>
      </c>
      <c r="W4752">
        <v>9.3428360000000002E-2</v>
      </c>
      <c r="X4752">
        <v>0.99244500000000002</v>
      </c>
      <c r="Y4752">
        <v>-0.1999071</v>
      </c>
      <c r="Z4752">
        <v>7.643553E-3</v>
      </c>
      <c r="AA4752">
        <v>0.97978500000000002</v>
      </c>
      <c r="AB4752">
        <v>23</v>
      </c>
      <c r="AC4752">
        <v>36.1858</v>
      </c>
      <c r="AD4752">
        <v>-1.1217398756450001</v>
      </c>
      <c r="AE4752">
        <v>0.92660000000000697</v>
      </c>
      <c r="AF4752">
        <v>-7.2733103338646998</v>
      </c>
      <c r="AG4752">
        <v>-1.1217398756450001</v>
      </c>
      <c r="AH4752">
        <v>35.423956383043702</v>
      </c>
      <c r="AI4752">
        <v>91.776691035811496</v>
      </c>
      <c r="AJ4752">
        <v>101.602819049212</v>
      </c>
      <c r="AK4752">
        <v>36.1803265517201</v>
      </c>
      <c r="AL4752">
        <v>84.639130958812999</v>
      </c>
      <c r="AM4752">
        <v>94.581298298384496</v>
      </c>
      <c r="AN4752">
        <v>1.0000000174314601</v>
      </c>
    </row>
    <row r="4753" spans="1:40" x14ac:dyDescent="0.25">
      <c r="A4753" t="str">
        <f>"20190303162004865"</f>
        <v>20190303162004865</v>
      </c>
      <c r="B4753" t="str">
        <f>"1551601204857427"</f>
        <v>1551601204857427</v>
      </c>
      <c r="C4753" t="s">
        <v>40</v>
      </c>
      <c r="D4753">
        <v>4.822095</v>
      </c>
      <c r="E4753">
        <v>0.45258660000000001</v>
      </c>
      <c r="F4753" t="s">
        <v>56</v>
      </c>
      <c r="G4753">
        <v>-437.48169999999999</v>
      </c>
      <c r="H4753" s="1">
        <v>5.2947429999999996E-6</v>
      </c>
      <c r="I4753">
        <v>217.36259999999999</v>
      </c>
      <c r="J4753">
        <v>-473.03359999999998</v>
      </c>
      <c r="K4753">
        <v>1.1213329999999999</v>
      </c>
      <c r="L4753">
        <v>216.4015</v>
      </c>
      <c r="M4753">
        <v>0.98452680000000004</v>
      </c>
      <c r="N4753">
        <v>-1.1005879999999999E-2</v>
      </c>
      <c r="O4753">
        <v>-0.17488890000000001</v>
      </c>
      <c r="P4753">
        <v>0.99212400000000001</v>
      </c>
      <c r="Q4753">
        <v>8.2311209999999996E-2</v>
      </c>
      <c r="R4753">
        <v>-9.4421099999999994E-2</v>
      </c>
      <c r="S4753">
        <v>3.0400999999999998</v>
      </c>
      <c r="T4753">
        <v>-9.5248219999999995E-2</v>
      </c>
      <c r="U4753">
        <v>7.7926640000000005E-2</v>
      </c>
      <c r="V4753">
        <v>-8.0611559999999999E-2</v>
      </c>
      <c r="W4753">
        <v>9.3190980000000007E-2</v>
      </c>
      <c r="X4753">
        <v>0.99237949999999997</v>
      </c>
      <c r="Y4753">
        <v>-0.19990379999999999</v>
      </c>
      <c r="Z4753">
        <v>7.7592030000000001E-3</v>
      </c>
      <c r="AA4753">
        <v>0.97978480000000001</v>
      </c>
      <c r="AB4753">
        <v>23</v>
      </c>
      <c r="AC4753">
        <v>35.551899999999897</v>
      </c>
      <c r="AD4753">
        <v>-1.1213277052570001</v>
      </c>
      <c r="AE4753">
        <v>0.96109999999998696</v>
      </c>
      <c r="AF4753">
        <v>-7.1571794936572104</v>
      </c>
      <c r="AG4753">
        <v>-1.1213277052570001</v>
      </c>
      <c r="AH4753">
        <v>34.801222416897197</v>
      </c>
      <c r="AI4753">
        <v>91.807678152051196</v>
      </c>
      <c r="AJ4753">
        <v>101.621348592503</v>
      </c>
      <c r="AK4753">
        <v>35.547259751454099</v>
      </c>
      <c r="AL4753">
        <v>84.652790945583305</v>
      </c>
      <c r="AM4753">
        <v>94.643972901744306</v>
      </c>
      <c r="AN4753">
        <v>0.99999992718961905</v>
      </c>
    </row>
    <row r="4754" spans="1:40" x14ac:dyDescent="0.25">
      <c r="A4754" t="str">
        <f>"20190303162004887"</f>
        <v>20190303162004887</v>
      </c>
      <c r="B4754" t="str">
        <f>"1551601204876947"</f>
        <v>1551601204876947</v>
      </c>
      <c r="C4754" t="s">
        <v>40</v>
      </c>
      <c r="D4754">
        <v>4.8590169999999997</v>
      </c>
      <c r="E4754">
        <v>0.4526423</v>
      </c>
      <c r="F4754" t="s">
        <v>56</v>
      </c>
      <c r="G4754">
        <v>-437.97460000000001</v>
      </c>
      <c r="H4754" s="1">
        <v>5.5144089999999997E-6</v>
      </c>
      <c r="I4754">
        <v>217.34989999999999</v>
      </c>
      <c r="J4754">
        <v>-472.81569999999999</v>
      </c>
      <c r="K4754">
        <v>1.1210100000000001</v>
      </c>
      <c r="L4754">
        <v>216.36349999999999</v>
      </c>
      <c r="M4754">
        <v>0.98459660000000004</v>
      </c>
      <c r="N4754">
        <v>-1.1003290000000001E-2</v>
      </c>
      <c r="O4754">
        <v>-0.17449479999999901</v>
      </c>
      <c r="P4754">
        <v>0.99246570000000001</v>
      </c>
      <c r="Q4754">
        <v>8.1037789999999998E-2</v>
      </c>
      <c r="R4754">
        <v>-9.1895099999999993E-2</v>
      </c>
      <c r="S4754">
        <v>3.0397340000000002</v>
      </c>
      <c r="T4754">
        <v>-9.7222810000000007E-2</v>
      </c>
      <c r="U4754">
        <v>8.2229609999999995E-2</v>
      </c>
      <c r="V4754">
        <v>-8.2688639999999994E-2</v>
      </c>
      <c r="W4754">
        <v>9.1977420000000004E-2</v>
      </c>
      <c r="X4754">
        <v>0.99232189999999998</v>
      </c>
      <c r="Y4754">
        <v>-0.20089270000000001</v>
      </c>
      <c r="Z4754">
        <v>7.9517479999999998E-3</v>
      </c>
      <c r="AA4754">
        <v>0.97958100000000004</v>
      </c>
      <c r="AB4754">
        <v>23</v>
      </c>
      <c r="AC4754">
        <v>34.841099999999898</v>
      </c>
      <c r="AD4754">
        <v>-1.121004485591</v>
      </c>
      <c r="AE4754">
        <v>0.98640000000000305</v>
      </c>
      <c r="AF4754">
        <v>-7.04393767017479</v>
      </c>
      <c r="AG4754">
        <v>-1.121004485591</v>
      </c>
      <c r="AH4754">
        <v>34.099102163755298</v>
      </c>
      <c r="AI4754">
        <v>91.844009500701503</v>
      </c>
      <c r="AJ4754">
        <v>101.671564815819</v>
      </c>
      <c r="AK4754">
        <v>34.8370847995673</v>
      </c>
      <c r="AL4754">
        <v>84.722623171100906</v>
      </c>
      <c r="AM4754">
        <v>94.763363491654104</v>
      </c>
      <c r="AN4754">
        <v>1.00000000509725</v>
      </c>
    </row>
    <row r="4755" spans="1:40" x14ac:dyDescent="0.25">
      <c r="A4755" t="str">
        <f>"20190303162004908"</f>
        <v>20190303162004908</v>
      </c>
      <c r="B4755" t="str">
        <f>"1551601204897443"</f>
        <v>1551601204897443</v>
      </c>
      <c r="C4755" t="s">
        <v>40</v>
      </c>
      <c r="D4755">
        <v>4.8739569999999999</v>
      </c>
      <c r="E4755">
        <v>0.45312340000000001</v>
      </c>
      <c r="F4755" t="s">
        <v>52</v>
      </c>
      <c r="G4755">
        <v>-439.9726</v>
      </c>
      <c r="H4755" s="1">
        <v>-1.669826E-6</v>
      </c>
      <c r="I4755">
        <v>217.32669999999999</v>
      </c>
      <c r="J4755">
        <v>-472.60629999999998</v>
      </c>
      <c r="K4755">
        <v>1.1207530000000001</v>
      </c>
      <c r="L4755">
        <v>216.32650000000001</v>
      </c>
      <c r="M4755">
        <v>0.98459269999999999</v>
      </c>
      <c r="N4755">
        <v>-1.101471E-2</v>
      </c>
      <c r="O4755">
        <v>-0.17451639999999999</v>
      </c>
      <c r="P4755">
        <v>0.99284119999999998</v>
      </c>
      <c r="Q4755">
        <v>7.9642279999999996E-2</v>
      </c>
      <c r="R4755">
        <v>-8.901481E-2</v>
      </c>
      <c r="S4755">
        <v>3.03952</v>
      </c>
      <c r="T4755">
        <v>-0.10374609999999999</v>
      </c>
      <c r="U4755">
        <v>8.9141849999999995E-2</v>
      </c>
      <c r="V4755">
        <v>-8.5553439999999994E-2</v>
      </c>
      <c r="W4755">
        <v>9.0647850000000002E-2</v>
      </c>
      <c r="X4755">
        <v>0.99220140000000001</v>
      </c>
      <c r="Y4755">
        <v>-0.20311499999999999</v>
      </c>
      <c r="Z4755">
        <v>8.5906909999999993E-3</v>
      </c>
      <c r="AA4755">
        <v>0.97911720000000002</v>
      </c>
      <c r="AB4755">
        <v>23</v>
      </c>
      <c r="AC4755">
        <v>32.633699999999898</v>
      </c>
      <c r="AD4755">
        <v>-1.120754669826</v>
      </c>
      <c r="AE4755">
        <v>1.00019999999997</v>
      </c>
      <c r="AF4755">
        <v>-6.6724478432890502</v>
      </c>
      <c r="AG4755">
        <v>-1.120754669826</v>
      </c>
      <c r="AH4755">
        <v>31.9206745995821</v>
      </c>
      <c r="AI4755">
        <v>91.968355513444493</v>
      </c>
      <c r="AJ4755">
        <v>101.80665832815799</v>
      </c>
      <c r="AK4755">
        <v>32.629850109121797</v>
      </c>
      <c r="AL4755">
        <v>84.7991215979999</v>
      </c>
      <c r="AM4755">
        <v>94.928189659609004</v>
      </c>
      <c r="AN4755">
        <v>1.0000000209837001</v>
      </c>
    </row>
    <row r="4756" spans="1:40" x14ac:dyDescent="0.25">
      <c r="A4756" t="str">
        <f>"20190303162004930"</f>
        <v>20190303162004930</v>
      </c>
      <c r="B4756" t="str">
        <f>"1551601204916963"</f>
        <v>1551601204916963</v>
      </c>
      <c r="C4756" t="s">
        <v>40</v>
      </c>
      <c r="D4756">
        <v>4.8220900000000002</v>
      </c>
      <c r="E4756">
        <v>0.45377659999999997</v>
      </c>
      <c r="F4756" t="s">
        <v>52</v>
      </c>
      <c r="G4756">
        <v>-441.04079999999999</v>
      </c>
      <c r="H4756" s="1">
        <v>-1.1005150000000001E-6</v>
      </c>
      <c r="I4756">
        <v>217.30690000000001</v>
      </c>
      <c r="J4756">
        <v>-472.38549999999998</v>
      </c>
      <c r="K4756">
        <v>1.1205540000000001</v>
      </c>
      <c r="L4756">
        <v>216.28700000000001</v>
      </c>
      <c r="M4756">
        <v>0.98452680000000004</v>
      </c>
      <c r="N4756">
        <v>-1.103633E-2</v>
      </c>
      <c r="O4756">
        <v>-0.1748866</v>
      </c>
      <c r="P4756">
        <v>0.99302460000000004</v>
      </c>
      <c r="Q4756">
        <v>7.9189480000000007E-2</v>
      </c>
      <c r="R4756">
        <v>-8.7357539999999997E-2</v>
      </c>
      <c r="S4756">
        <v>3.0387569999999999</v>
      </c>
      <c r="T4756">
        <v>-0.10789310000000001</v>
      </c>
      <c r="U4756">
        <v>9.4375609999999999E-2</v>
      </c>
      <c r="V4756">
        <v>-8.7546310000000002E-2</v>
      </c>
      <c r="W4756">
        <v>9.0260359999999998E-2</v>
      </c>
      <c r="X4756">
        <v>0.99206289999999997</v>
      </c>
      <c r="Y4756">
        <v>-0.20515610000000001</v>
      </c>
      <c r="Z4756">
        <v>9.023596E-3</v>
      </c>
      <c r="AA4756">
        <v>0.97868759999999999</v>
      </c>
      <c r="AB4756">
        <v>23</v>
      </c>
      <c r="AC4756">
        <v>31.3446999999999</v>
      </c>
      <c r="AD4756">
        <v>-1.1205551005149901</v>
      </c>
      <c r="AE4756">
        <v>1.0199</v>
      </c>
      <c r="AF4756">
        <v>-6.4780111755721199</v>
      </c>
      <c r="AG4756">
        <v>-1.1205551005149901</v>
      </c>
      <c r="AH4756">
        <v>30.644074448370901</v>
      </c>
      <c r="AI4756">
        <v>92.048947651046703</v>
      </c>
      <c r="AJ4756">
        <v>101.936321917227</v>
      </c>
      <c r="AK4756">
        <v>31.341339654223901</v>
      </c>
      <c r="AL4756">
        <v>84.821414642072696</v>
      </c>
      <c r="AM4756">
        <v>95.043101413307895</v>
      </c>
      <c r="AN4756">
        <v>1.00000004326917</v>
      </c>
    </row>
    <row r="4757" spans="1:40" x14ac:dyDescent="0.25">
      <c r="A4757" t="str">
        <f>"20190303162004952"</f>
        <v>20190303162004952</v>
      </c>
      <c r="B4757" t="str">
        <f>"1551601204947219"</f>
        <v>1551601204947219</v>
      </c>
      <c r="C4757" t="s">
        <v>40</v>
      </c>
      <c r="D4757">
        <v>4.8564059999999998</v>
      </c>
      <c r="E4757">
        <v>0.45459179999999999</v>
      </c>
      <c r="F4757" t="s">
        <v>52</v>
      </c>
      <c r="G4757">
        <v>-441.28899999999999</v>
      </c>
      <c r="H4757" s="1">
        <v>-9.662151000000001E-7</v>
      </c>
      <c r="I4757">
        <v>217.25579999999999</v>
      </c>
      <c r="J4757">
        <v>-472.16359999999997</v>
      </c>
      <c r="K4757">
        <v>1.120425</v>
      </c>
      <c r="L4757">
        <v>216.24690000000001</v>
      </c>
      <c r="M4757">
        <v>0.98440760000000005</v>
      </c>
      <c r="N4757">
        <v>-1.1061700000000001E-2</v>
      </c>
      <c r="O4757">
        <v>-0.17555470000000001</v>
      </c>
      <c r="P4757">
        <v>0.99301019999999895</v>
      </c>
      <c r="Q4757">
        <v>8.0015249999999996E-2</v>
      </c>
      <c r="R4757">
        <v>-8.6766410000000002E-2</v>
      </c>
      <c r="S4757">
        <v>3.0380549999999999</v>
      </c>
      <c r="T4757">
        <v>-0.1094757</v>
      </c>
      <c r="U4757">
        <v>9.4650269999999995E-2</v>
      </c>
      <c r="V4757">
        <v>-8.8765699999999906E-2</v>
      </c>
      <c r="W4757">
        <v>9.1142650000000006E-2</v>
      </c>
      <c r="X4757">
        <v>0.99187380000000003</v>
      </c>
      <c r="Y4757">
        <v>-0.20590810000000001</v>
      </c>
      <c r="Z4757">
        <v>9.2021789999999996E-3</v>
      </c>
      <c r="AA4757">
        <v>0.97852810000000001</v>
      </c>
      <c r="AB4757">
        <v>23</v>
      </c>
      <c r="AC4757">
        <v>30.874599999999901</v>
      </c>
      <c r="AD4757">
        <v>-1.1204259662150999</v>
      </c>
      <c r="AE4757">
        <v>1.0088999999999799</v>
      </c>
      <c r="AF4757">
        <v>-6.4053155649103797</v>
      </c>
      <c r="AG4757">
        <v>-1.1204259662150999</v>
      </c>
      <c r="AH4757">
        <v>30.178220190702898</v>
      </c>
      <c r="AI4757">
        <v>92.079949671058998</v>
      </c>
      <c r="AJ4757">
        <v>101.983172334098</v>
      </c>
      <c r="AK4757">
        <v>30.870834062435101</v>
      </c>
      <c r="AL4757">
        <v>84.7706536071409</v>
      </c>
      <c r="AM4757">
        <v>95.113944149707393</v>
      </c>
      <c r="AN4757">
        <v>0.99999998363597598</v>
      </c>
    </row>
    <row r="4758" spans="1:40" x14ac:dyDescent="0.25">
      <c r="A4758" t="str">
        <f>"20190303162004975"</f>
        <v>20190303162004975</v>
      </c>
      <c r="B4758" t="str">
        <f>"1551601204966739"</f>
        <v>1551601204966739</v>
      </c>
      <c r="C4758" t="s">
        <v>40</v>
      </c>
      <c r="D4758">
        <v>4.8350179999999998</v>
      </c>
      <c r="E4758">
        <v>0.46506059999999999</v>
      </c>
      <c r="F4758" t="s">
        <v>52</v>
      </c>
      <c r="G4758">
        <v>-440.31229999999999</v>
      </c>
      <c r="H4758" s="1">
        <v>-1.483466E-6</v>
      </c>
      <c r="I4758">
        <v>217.1979</v>
      </c>
      <c r="J4758">
        <v>-471.93490000000003</v>
      </c>
      <c r="K4758">
        <v>1.1203449999999999</v>
      </c>
      <c r="L4758">
        <v>216.20519999999999</v>
      </c>
      <c r="M4758">
        <v>0.98423950000000004</v>
      </c>
      <c r="N4758">
        <v>-1.108804E-2</v>
      </c>
      <c r="O4758">
        <v>-0.1764927</v>
      </c>
      <c r="P4758">
        <v>0.99275979999999997</v>
      </c>
      <c r="Q4758">
        <v>8.2558409999999999E-2</v>
      </c>
      <c r="R4758">
        <v>-8.7246130000000005E-2</v>
      </c>
      <c r="S4758">
        <v>3.0376889999999999</v>
      </c>
      <c r="T4758">
        <v>-0.1068561</v>
      </c>
      <c r="U4758">
        <v>9.0698239999999999E-2</v>
      </c>
      <c r="V4758">
        <v>-8.9167930000000006E-2</v>
      </c>
      <c r="W4758">
        <v>9.3731729999999999E-2</v>
      </c>
      <c r="X4758">
        <v>0.99159640000000004</v>
      </c>
      <c r="Y4758">
        <v>-0.2055834</v>
      </c>
      <c r="Z4758">
        <v>8.9765260000000003E-3</v>
      </c>
      <c r="AA4758">
        <v>0.97859839999999998</v>
      </c>
      <c r="AB4758">
        <v>23</v>
      </c>
      <c r="AC4758">
        <v>31.622599999999998</v>
      </c>
      <c r="AD4758">
        <v>-1.120346483466</v>
      </c>
      <c r="AE4758">
        <v>0.99270000000001302</v>
      </c>
      <c r="AF4758">
        <v>-6.5504018497048904</v>
      </c>
      <c r="AG4758">
        <v>-1.120346483466</v>
      </c>
      <c r="AH4758">
        <v>30.9121477916202</v>
      </c>
      <c r="AI4758">
        <v>92.030607037678706</v>
      </c>
      <c r="AJ4758">
        <v>101.964211958768</v>
      </c>
      <c r="AK4758">
        <v>31.61840953822</v>
      </c>
      <c r="AL4758">
        <v>84.621672371746598</v>
      </c>
      <c r="AM4758">
        <v>95.138422988553003</v>
      </c>
      <c r="AN4758">
        <v>0.99999998872111795</v>
      </c>
    </row>
    <row r="4759" spans="1:40" x14ac:dyDescent="0.25">
      <c r="A4759" t="str">
        <f>"20190303162004999"</f>
        <v>20190303162004999</v>
      </c>
      <c r="B4759" t="str">
        <f>"1551601204987236"</f>
        <v>1551601204987236</v>
      </c>
      <c r="C4759" t="s">
        <v>40</v>
      </c>
      <c r="D4759">
        <v>4.8476499999999998</v>
      </c>
      <c r="E4759">
        <v>0.4649297</v>
      </c>
      <c r="F4759" t="s">
        <v>56</v>
      </c>
      <c r="G4759">
        <v>-421.92739999999998</v>
      </c>
      <c r="H4759" s="1">
        <v>3.4729490000000001E-6</v>
      </c>
      <c r="I4759">
        <v>216.32939999999999</v>
      </c>
      <c r="J4759">
        <v>-471.7167</v>
      </c>
      <c r="K4759">
        <v>1.1203019999999999</v>
      </c>
      <c r="L4759">
        <v>216.16489999999999</v>
      </c>
      <c r="M4759">
        <v>0.98405120000000001</v>
      </c>
      <c r="N4759">
        <v>-1.11127E-2</v>
      </c>
      <c r="O4759">
        <v>-0.1775388</v>
      </c>
      <c r="P4759">
        <v>0.99234610000000001</v>
      </c>
      <c r="Q4759">
        <v>8.5764770000000004E-2</v>
      </c>
      <c r="R4759">
        <v>-8.8848040000000003E-2</v>
      </c>
      <c r="S4759">
        <v>3.0281980000000002</v>
      </c>
      <c r="T4759">
        <v>-6.784213E-2</v>
      </c>
      <c r="U4759">
        <v>7.5225830000000002E-3</v>
      </c>
      <c r="V4759">
        <v>-8.8551160000000004E-2</v>
      </c>
      <c r="W4759">
        <v>9.6973199999999996E-2</v>
      </c>
      <c r="X4759">
        <v>0.99133990000000005</v>
      </c>
      <c r="Y4759">
        <v>-0.17991559999999901</v>
      </c>
      <c r="Z4759">
        <v>4.9956189999999998E-3</v>
      </c>
      <c r="AA4759">
        <v>0.98366929999999997</v>
      </c>
      <c r="AB4759">
        <v>23</v>
      </c>
      <c r="AC4759">
        <v>49.789299999999997</v>
      </c>
      <c r="AD4759">
        <v>-1.120298527051</v>
      </c>
      <c r="AE4759">
        <v>0.164500000000003</v>
      </c>
      <c r="AF4759">
        <v>-8.9974083738498098</v>
      </c>
      <c r="AG4759">
        <v>-1.120298527051</v>
      </c>
      <c r="AH4759">
        <v>48.944252621501398</v>
      </c>
      <c r="AI4759">
        <v>91.289628065446294</v>
      </c>
      <c r="AJ4759">
        <v>100.416371542579</v>
      </c>
      <c r="AK4759">
        <v>49.776985554700701</v>
      </c>
      <c r="AL4759">
        <v>84.435099432645202</v>
      </c>
      <c r="AM4759">
        <v>95.104382489997406</v>
      </c>
      <c r="AN4759">
        <v>0.99999995339379599</v>
      </c>
    </row>
    <row r="4760" spans="1:40" x14ac:dyDescent="0.25">
      <c r="A4760" t="str">
        <f>"20190303162005020"</f>
        <v>20190303162005020</v>
      </c>
      <c r="B4760" t="str">
        <f>"1551601205006755"</f>
        <v>1551601205006755</v>
      </c>
      <c r="C4760" t="s">
        <v>40</v>
      </c>
      <c r="D4760">
        <v>4.8250010000000003</v>
      </c>
      <c r="E4760">
        <v>0.4653236</v>
      </c>
      <c r="F4760" t="s">
        <v>56</v>
      </c>
      <c r="G4760">
        <v>-418.3288</v>
      </c>
      <c r="H4760" s="1">
        <v>3.5423739999999999E-6</v>
      </c>
      <c r="I4760">
        <v>216.22649999999999</v>
      </c>
      <c r="J4760">
        <v>-471.48410000000001</v>
      </c>
      <c r="K4760">
        <v>1.1202700000000001</v>
      </c>
      <c r="L4760">
        <v>216.1216</v>
      </c>
      <c r="M4760">
        <v>0.98383609999999999</v>
      </c>
      <c r="N4760">
        <v>-1.1137950000000001E-2</v>
      </c>
      <c r="O4760">
        <v>-0.17872499999999999</v>
      </c>
      <c r="P4760">
        <v>0.99172570000000004</v>
      </c>
      <c r="Q4760">
        <v>8.9790850000000005E-2</v>
      </c>
      <c r="R4760">
        <v>-9.1749140000000007E-2</v>
      </c>
      <c r="S4760">
        <v>3.0289609999999998</v>
      </c>
      <c r="T4760">
        <v>-6.3560130000000006E-2</v>
      </c>
      <c r="U4760">
        <v>3.4942630000000001E-3</v>
      </c>
      <c r="V4760">
        <v>-8.6762560000000002E-2</v>
      </c>
      <c r="W4760">
        <v>0.1010282</v>
      </c>
      <c r="X4760">
        <v>0.99109309999999995</v>
      </c>
      <c r="Y4760">
        <v>-0.1798023</v>
      </c>
      <c r="Z4760">
        <v>4.6240409999999997E-3</v>
      </c>
      <c r="AA4760">
        <v>0.98369189999999995</v>
      </c>
      <c r="AB4760">
        <v>23</v>
      </c>
      <c r="AC4760">
        <v>53.155299999999997</v>
      </c>
      <c r="AD4760">
        <v>-1.120266457626</v>
      </c>
      <c r="AE4760">
        <v>0.104899999999986</v>
      </c>
      <c r="AF4760">
        <v>-9.5997165050467803</v>
      </c>
      <c r="AG4760">
        <v>-1.120266457626</v>
      </c>
      <c r="AH4760">
        <v>52.257382660743097</v>
      </c>
      <c r="AI4760">
        <v>91.207883526654498</v>
      </c>
      <c r="AJ4760">
        <v>100.409219240402</v>
      </c>
      <c r="AK4760">
        <v>53.143612941393897</v>
      </c>
      <c r="AL4760">
        <v>84.201618049572801</v>
      </c>
      <c r="AM4760">
        <v>95.003049241065</v>
      </c>
      <c r="AN4760">
        <v>0.99999998594030104</v>
      </c>
    </row>
    <row r="4761" spans="1:40" x14ac:dyDescent="0.25">
      <c r="A4761" t="str">
        <f>"20190303162005043"</f>
        <v>20190303162005043</v>
      </c>
      <c r="B4761" t="str">
        <f>"1551601205037518"</f>
        <v>1551601205037518</v>
      </c>
      <c r="C4761" t="s">
        <v>40</v>
      </c>
      <c r="D4761">
        <v>4.731255</v>
      </c>
      <c r="E4761">
        <v>0.46608440000000001</v>
      </c>
      <c r="F4761" t="s">
        <v>56</v>
      </c>
      <c r="G4761">
        <v>-401.9477</v>
      </c>
      <c r="H4761" s="1">
        <v>7.263125E-6</v>
      </c>
      <c r="I4761">
        <v>215.94919999999999</v>
      </c>
      <c r="J4761">
        <v>-471.26</v>
      </c>
      <c r="K4761">
        <v>1.120285</v>
      </c>
      <c r="L4761">
        <v>216.0795</v>
      </c>
      <c r="M4761">
        <v>0.98362380000000005</v>
      </c>
      <c r="N4761">
        <v>-1.116031E-2</v>
      </c>
      <c r="O4761">
        <v>-0.17988789999999999</v>
      </c>
      <c r="P4761">
        <v>0.99119029999999997</v>
      </c>
      <c r="Q4761">
        <v>9.2291529999999997E-2</v>
      </c>
      <c r="R4761">
        <v>-9.4997120000000004E-2</v>
      </c>
      <c r="S4761">
        <v>3.0287480000000002</v>
      </c>
      <c r="T4761">
        <v>-4.8794509999999999E-2</v>
      </c>
      <c r="U4761">
        <v>-7.5073240000000001E-3</v>
      </c>
      <c r="V4761">
        <v>-8.4636829999999996E-2</v>
      </c>
      <c r="W4761">
        <v>0.103547</v>
      </c>
      <c r="X4761">
        <v>0.99101700000000004</v>
      </c>
      <c r="Y4761">
        <v>-0.1774194</v>
      </c>
      <c r="Z4761">
        <v>3.2890419999999998E-3</v>
      </c>
      <c r="AA4761">
        <v>0.98412980000000005</v>
      </c>
      <c r="AB4761">
        <v>23</v>
      </c>
      <c r="AC4761">
        <v>69.312299999999993</v>
      </c>
      <c r="AD4761">
        <v>-1.1202777368750001</v>
      </c>
      <c r="AE4761">
        <v>-0.130300000000005</v>
      </c>
      <c r="AF4761">
        <v>-12.3378235003063</v>
      </c>
      <c r="AG4761">
        <v>-1.1202777368750001</v>
      </c>
      <c r="AH4761">
        <v>68.187102588830797</v>
      </c>
      <c r="AI4761">
        <v>90.926217249095501</v>
      </c>
      <c r="AJ4761">
        <v>100.256172951669</v>
      </c>
      <c r="AK4761">
        <v>69.303375606042394</v>
      </c>
      <c r="AL4761">
        <v>84.056540735227799</v>
      </c>
      <c r="AM4761">
        <v>94.881444399352404</v>
      </c>
      <c r="AN4761">
        <v>1.00000003424522</v>
      </c>
    </row>
    <row r="4762" spans="1:40" x14ac:dyDescent="0.25">
      <c r="A4762" t="str">
        <f>"20190303162005067"</f>
        <v>20190303162005067</v>
      </c>
      <c r="B4762" t="str">
        <f>"1551601205047278"</f>
        <v>1551601205047278</v>
      </c>
      <c r="C4762" t="s">
        <v>40</v>
      </c>
      <c r="D4762">
        <v>4.9566980000000003</v>
      </c>
      <c r="E4762">
        <v>0.46611649999999999</v>
      </c>
      <c r="F4762" t="s">
        <v>52</v>
      </c>
      <c r="G4762">
        <v>-397.00979999999998</v>
      </c>
      <c r="H4762" s="1">
        <v>2.193469E-6</v>
      </c>
      <c r="I4762">
        <v>215.51910000000001</v>
      </c>
      <c r="J4762">
        <v>-471.0204</v>
      </c>
      <c r="K4762">
        <v>1.1203270000000001</v>
      </c>
      <c r="L4762">
        <v>216.0341</v>
      </c>
      <c r="M4762">
        <v>0.98339829999999995</v>
      </c>
      <c r="N4762">
        <v>-1.118104E-2</v>
      </c>
      <c r="O4762">
        <v>-0.18111650000000001</v>
      </c>
      <c r="P4762">
        <v>0.99069149999999995</v>
      </c>
      <c r="Q4762">
        <v>9.3746979999999994E-2</v>
      </c>
      <c r="R4762">
        <v>-9.8702390000000001E-2</v>
      </c>
      <c r="S4762">
        <v>3.0287169999999999</v>
      </c>
      <c r="T4762">
        <v>-4.5697090000000003E-2</v>
      </c>
      <c r="U4762">
        <v>-2.285767E-2</v>
      </c>
      <c r="V4762">
        <v>-8.2146759999999999E-2</v>
      </c>
      <c r="W4762">
        <v>0.1050114</v>
      </c>
      <c r="X4762">
        <v>0.99107239999999996</v>
      </c>
      <c r="Y4762">
        <v>-0.17366519999999999</v>
      </c>
      <c r="Z4762">
        <v>2.967805E-3</v>
      </c>
      <c r="AA4762">
        <v>0.98480029999999996</v>
      </c>
      <c r="AB4762">
        <v>23</v>
      </c>
      <c r="AC4762">
        <v>74.010599999999997</v>
      </c>
      <c r="AD4762">
        <v>-1.1203248065310001</v>
      </c>
      <c r="AE4762">
        <v>-0.51499999999998602</v>
      </c>
      <c r="AF4762">
        <v>-12.8959394904125</v>
      </c>
      <c r="AG4762">
        <v>-1.1203248065310001</v>
      </c>
      <c r="AH4762">
        <v>72.863018666318297</v>
      </c>
      <c r="AI4762">
        <v>90.867418063493304</v>
      </c>
      <c r="AJ4762">
        <v>100.036772828827</v>
      </c>
      <c r="AK4762">
        <v>74.0039179515569</v>
      </c>
      <c r="AL4762">
        <v>83.972176595634494</v>
      </c>
      <c r="AM4762">
        <v>94.738229288852196</v>
      </c>
      <c r="AN4762">
        <v>0.99999999317510802</v>
      </c>
    </row>
    <row r="4763" spans="1:40" x14ac:dyDescent="0.25">
      <c r="A4763" t="str">
        <f>"20190303162005089"</f>
        <v>20190303162005089</v>
      </c>
      <c r="B4763" t="str">
        <f>"1551601205076559"</f>
        <v>1551601205076559</v>
      </c>
      <c r="C4763" t="s">
        <v>40</v>
      </c>
      <c r="D4763">
        <v>5.0147550000000001</v>
      </c>
      <c r="E4763">
        <v>0.46639540000000002</v>
      </c>
      <c r="F4763" t="s">
        <v>52</v>
      </c>
      <c r="G4763">
        <v>-392.32709999999997</v>
      </c>
      <c r="H4763" s="1">
        <v>-2.9842489999999998E-7</v>
      </c>
      <c r="I4763">
        <v>215.1651</v>
      </c>
      <c r="J4763">
        <v>-470.7987</v>
      </c>
      <c r="K4763">
        <v>1.120387</v>
      </c>
      <c r="L4763">
        <v>215.99189999999999</v>
      </c>
      <c r="M4763">
        <v>0.98319590000000001</v>
      </c>
      <c r="N4763">
        <v>-1.1193470000000001E-2</v>
      </c>
      <c r="O4763">
        <v>-0.18220990000000001</v>
      </c>
      <c r="P4763">
        <v>0.9903824</v>
      </c>
      <c r="Q4763">
        <v>9.5029669999999997E-2</v>
      </c>
      <c r="R4763">
        <v>-0.1005585</v>
      </c>
      <c r="S4763">
        <v>3.0289000000000001</v>
      </c>
      <c r="T4763">
        <v>-4.3121340000000001E-2</v>
      </c>
      <c r="U4763">
        <v>-3.3447270000000001E-2</v>
      </c>
      <c r="V4763">
        <v>-8.1380399999999894E-2</v>
      </c>
      <c r="W4763">
        <v>0.1062926</v>
      </c>
      <c r="X4763">
        <v>0.99099899999999996</v>
      </c>
      <c r="Y4763">
        <v>-0.17132149999999999</v>
      </c>
      <c r="Z4763">
        <v>2.7119900000000001E-3</v>
      </c>
      <c r="AA4763">
        <v>0.98521139999999996</v>
      </c>
      <c r="AB4763">
        <v>23</v>
      </c>
      <c r="AC4763">
        <v>78.471599999999995</v>
      </c>
      <c r="AD4763">
        <v>-1.1203872984248999</v>
      </c>
      <c r="AE4763">
        <v>-0.82679999999999099</v>
      </c>
      <c r="AF4763">
        <v>-13.4834931521331</v>
      </c>
      <c r="AG4763">
        <v>-1.1203872984248999</v>
      </c>
      <c r="AH4763">
        <v>77.292698550288193</v>
      </c>
      <c r="AI4763">
        <v>90.818112808494405</v>
      </c>
      <c r="AJ4763">
        <v>99.895509467384102</v>
      </c>
      <c r="AK4763">
        <v>78.467962280588296</v>
      </c>
      <c r="AL4763">
        <v>83.898355824700005</v>
      </c>
      <c r="AM4763">
        <v>94.694570205377502</v>
      </c>
      <c r="AN4763">
        <v>0.99999995215995796</v>
      </c>
    </row>
    <row r="4764" spans="1:40" x14ac:dyDescent="0.25">
      <c r="A4764" t="str">
        <f>"20190303162005109"</f>
        <v>20190303162005109</v>
      </c>
      <c r="B4764" t="str">
        <f>"1551601205097054"</f>
        <v>1551601205097054</v>
      </c>
      <c r="C4764" t="s">
        <v>40</v>
      </c>
      <c r="D4764">
        <v>5.0959240000000001</v>
      </c>
      <c r="E4764">
        <v>0.46649180000000001</v>
      </c>
      <c r="F4764" t="s">
        <v>52</v>
      </c>
      <c r="G4764">
        <v>-396.17860000000002</v>
      </c>
      <c r="H4764" s="1">
        <v>1.7511569999999999E-6</v>
      </c>
      <c r="I4764">
        <v>214.96430000000001</v>
      </c>
      <c r="J4764">
        <v>-470.58620000000002</v>
      </c>
      <c r="K4764">
        <v>1.1204540000000001</v>
      </c>
      <c r="L4764">
        <v>215.9513</v>
      </c>
      <c r="M4764">
        <v>0.98301050000000001</v>
      </c>
      <c r="N4764">
        <v>-1.1199509999999999E-2</v>
      </c>
      <c r="O4764">
        <v>-0.1832078</v>
      </c>
      <c r="P4764">
        <v>0.99024679999999998</v>
      </c>
      <c r="Q4764">
        <v>9.5624479999999998E-2</v>
      </c>
      <c r="R4764">
        <v>-0.101329</v>
      </c>
      <c r="S4764">
        <v>3.029236</v>
      </c>
      <c r="T4764">
        <v>-4.5482519999999999E-2</v>
      </c>
      <c r="U4764">
        <v>-4.1717530000000003E-2</v>
      </c>
      <c r="V4764">
        <v>-8.1621429999999995E-2</v>
      </c>
      <c r="W4764">
        <v>0.10687960000000001</v>
      </c>
      <c r="X4764">
        <v>0.99091609999999997</v>
      </c>
      <c r="Y4764">
        <v>-0.16963029999999901</v>
      </c>
      <c r="Z4764">
        <v>2.9000889999999998E-3</v>
      </c>
      <c r="AA4764">
        <v>0.98550349999999998</v>
      </c>
      <c r="AB4764">
        <v>23</v>
      </c>
      <c r="AC4764">
        <v>74.407600000000002</v>
      </c>
      <c r="AD4764">
        <v>-1.120452248843</v>
      </c>
      <c r="AE4764">
        <v>-0.98699999999999399</v>
      </c>
      <c r="AF4764">
        <v>-12.6597442894076</v>
      </c>
      <c r="AG4764">
        <v>-1.120452248843</v>
      </c>
      <c r="AH4764">
        <v>73.312250056856001</v>
      </c>
      <c r="AI4764">
        <v>90.862831716766095</v>
      </c>
      <c r="AJ4764">
        <v>99.797358945828705</v>
      </c>
      <c r="AK4764">
        <v>74.405715822872807</v>
      </c>
      <c r="AL4764">
        <v>83.864530881776403</v>
      </c>
      <c r="AM4764">
        <v>94.708804153604106</v>
      </c>
      <c r="AN4764">
        <v>1.0000000119853001</v>
      </c>
    </row>
    <row r="4765" spans="1:40" x14ac:dyDescent="0.25">
      <c r="A4765" t="str">
        <f>"20190303162005131"</f>
        <v>20190303162005131</v>
      </c>
      <c r="B4765" t="str">
        <f>"1551601205117550"</f>
        <v>1551601205117550</v>
      </c>
      <c r="C4765" t="s">
        <v>40</v>
      </c>
      <c r="D4765">
        <v>5.0294869999999996</v>
      </c>
      <c r="E4765">
        <v>0.46667069999999999</v>
      </c>
      <c r="F4765" t="s">
        <v>52</v>
      </c>
      <c r="G4765">
        <v>-391.90750000000003</v>
      </c>
      <c r="H4765" s="1">
        <v>-5.2169890000000005E-7</v>
      </c>
      <c r="I4765">
        <v>214.7492</v>
      </c>
      <c r="J4765">
        <v>-470.37490000000003</v>
      </c>
      <c r="K4765">
        <v>1.120522</v>
      </c>
      <c r="L4765">
        <v>215.91079999999999</v>
      </c>
      <c r="M4765">
        <v>0.9828384</v>
      </c>
      <c r="N4765">
        <v>-1.120201E-2</v>
      </c>
      <c r="O4765">
        <v>-0.1841286</v>
      </c>
      <c r="P4765">
        <v>0.99025249999999998</v>
      </c>
      <c r="Q4765">
        <v>9.5509899999999995E-2</v>
      </c>
      <c r="R4765">
        <v>-0.1013814</v>
      </c>
      <c r="S4765">
        <v>3.0289000000000001</v>
      </c>
      <c r="T4765">
        <v>-4.3134209999999999E-2</v>
      </c>
      <c r="U4765">
        <v>-4.627991E-2</v>
      </c>
      <c r="V4765">
        <v>-8.2519330000000002E-2</v>
      </c>
      <c r="W4765">
        <v>0.1067539</v>
      </c>
      <c r="X4765">
        <v>0.99085529999999999</v>
      </c>
      <c r="Y4765">
        <v>-0.1690711</v>
      </c>
      <c r="Z4765">
        <v>2.688359E-3</v>
      </c>
      <c r="AA4765">
        <v>0.98560020000000004</v>
      </c>
      <c r="AB4765">
        <v>23</v>
      </c>
      <c r="AC4765">
        <v>78.467399999999998</v>
      </c>
      <c r="AD4765">
        <v>-1.1205225216988901</v>
      </c>
      <c r="AE4765">
        <v>-1.16159999999999</v>
      </c>
      <c r="AF4765">
        <v>-13.304548915203201</v>
      </c>
      <c r="AG4765">
        <v>-1.1205225216988901</v>
      </c>
      <c r="AH4765">
        <v>77.323740091744497</v>
      </c>
      <c r="AI4765">
        <v>90.818211139347696</v>
      </c>
      <c r="AJ4765">
        <v>99.762882988871894</v>
      </c>
      <c r="AK4765">
        <v>78.468002232338804</v>
      </c>
      <c r="AL4765">
        <v>83.871774515803494</v>
      </c>
      <c r="AM4765">
        <v>94.760658695763496</v>
      </c>
      <c r="AN4765">
        <v>1.00000003026347</v>
      </c>
    </row>
    <row r="4766" spans="1:40" x14ac:dyDescent="0.25">
      <c r="A4766" t="str">
        <f>"20190303162005154"</f>
        <v>20190303162005154</v>
      </c>
      <c r="B4766" t="str">
        <f>"1551601205146830"</f>
        <v>1551601205146830</v>
      </c>
      <c r="C4766" t="s">
        <v>40</v>
      </c>
      <c r="D4766">
        <v>5.0257129999999997</v>
      </c>
      <c r="E4766">
        <v>0.47635149999999998</v>
      </c>
      <c r="F4766" t="s">
        <v>52</v>
      </c>
      <c r="G4766">
        <v>-396.76260000000002</v>
      </c>
      <c r="H4766" s="1">
        <v>2.061928E-6</v>
      </c>
      <c r="I4766">
        <v>214.7278</v>
      </c>
      <c r="J4766">
        <v>-470.14280000000002</v>
      </c>
      <c r="K4766">
        <v>1.1205959999999999</v>
      </c>
      <c r="L4766">
        <v>215.86609999999999</v>
      </c>
      <c r="M4766">
        <v>0.98267009999999999</v>
      </c>
      <c r="N4766">
        <v>-1.1202810000000001E-2</v>
      </c>
      <c r="O4766">
        <v>-0.18502479999999999</v>
      </c>
      <c r="P4766">
        <v>0.99044509999999997</v>
      </c>
      <c r="Q4766">
        <v>9.4664300000000007E-2</v>
      </c>
      <c r="R4766">
        <v>-0.1002871</v>
      </c>
      <c r="S4766">
        <v>3.0289920000000001</v>
      </c>
      <c r="T4766">
        <v>-4.6107049999999997E-2</v>
      </c>
      <c r="U4766">
        <v>-4.8675540000000003E-2</v>
      </c>
      <c r="V4766">
        <v>-8.4558629999999996E-2</v>
      </c>
      <c r="W4766">
        <v>0.1058939</v>
      </c>
      <c r="X4766">
        <v>0.99077559999999998</v>
      </c>
      <c r="Y4766">
        <v>-0.1691869</v>
      </c>
      <c r="Z4766">
        <v>2.955671E-3</v>
      </c>
      <c r="AA4766">
        <v>0.9855796</v>
      </c>
      <c r="AB4766">
        <v>23</v>
      </c>
      <c r="AC4766">
        <v>73.380200000000002</v>
      </c>
      <c r="AD4766">
        <v>-1.120593938072</v>
      </c>
      <c r="AE4766">
        <v>-1.1382999999999801</v>
      </c>
      <c r="AF4766">
        <v>-12.4564598291064</v>
      </c>
      <c r="AG4766">
        <v>-1.120593938072</v>
      </c>
      <c r="AH4766">
        <v>72.3068150588404</v>
      </c>
      <c r="AI4766">
        <v>90.874998368120401</v>
      </c>
      <c r="AJ4766">
        <v>99.774532762713704</v>
      </c>
      <c r="AK4766">
        <v>73.380478508943597</v>
      </c>
      <c r="AL4766">
        <v>83.921329510279904</v>
      </c>
      <c r="AM4766">
        <v>94.8781384885759</v>
      </c>
      <c r="AN4766">
        <v>0.99999998476002305</v>
      </c>
    </row>
    <row r="4767" spans="1:40" x14ac:dyDescent="0.25">
      <c r="A4767" t="str">
        <f>"20190303162005187"</f>
        <v>20190303162005187</v>
      </c>
      <c r="B4767" t="str">
        <f>"1551601205177087"</f>
        <v>1551601205177087</v>
      </c>
      <c r="C4767" t="s">
        <v>40</v>
      </c>
      <c r="D4767">
        <v>5.0247929999999998</v>
      </c>
      <c r="E4767">
        <v>0.47698469999999998</v>
      </c>
      <c r="F4767" t="s">
        <v>56</v>
      </c>
      <c r="G4767">
        <v>-405.7672</v>
      </c>
      <c r="H4767" s="1">
        <v>6.1262279999999998E-6</v>
      </c>
      <c r="I4767">
        <v>213.25399999999999</v>
      </c>
      <c r="J4767">
        <v>-469.81619999999998</v>
      </c>
      <c r="K4767">
        <v>1.120754</v>
      </c>
      <c r="L4767">
        <v>215.8032</v>
      </c>
      <c r="M4767">
        <v>0.98248190000000002</v>
      </c>
      <c r="N4767">
        <v>-1.120235E-2</v>
      </c>
      <c r="O4767">
        <v>-0.18602179999999999</v>
      </c>
      <c r="P4767">
        <v>0.9907397</v>
      </c>
      <c r="Q4767">
        <v>9.5662280000000002E-2</v>
      </c>
      <c r="R4767">
        <v>-9.6352640000000003E-2</v>
      </c>
      <c r="S4767">
        <v>3.0215450000000001</v>
      </c>
      <c r="T4767">
        <v>-5.2596209999999997E-2</v>
      </c>
      <c r="U4767">
        <v>-0.1226044</v>
      </c>
      <c r="V4767">
        <v>-8.9524439999999997E-2</v>
      </c>
      <c r="W4767">
        <v>0.1068597</v>
      </c>
      <c r="X4767">
        <v>0.99023550000000005</v>
      </c>
      <c r="Y4767">
        <v>-0.14600550000000001</v>
      </c>
      <c r="Z4767">
        <v>3.2134569999999999E-3</v>
      </c>
      <c r="AA4767">
        <v>0.98927860000000001</v>
      </c>
      <c r="AB4767">
        <v>23</v>
      </c>
      <c r="AC4767">
        <v>64.048999999999893</v>
      </c>
      <c r="AD4767">
        <v>-1.120747873772</v>
      </c>
      <c r="AE4767">
        <v>-2.5491999999999799</v>
      </c>
      <c r="AF4767">
        <v>-9.4076805739137903</v>
      </c>
      <c r="AG4767">
        <v>-1.120747873772</v>
      </c>
      <c r="AH4767">
        <v>63.385782063218002</v>
      </c>
      <c r="AI4767">
        <v>91.001989016103295</v>
      </c>
      <c r="AJ4767">
        <v>98.442176965865201</v>
      </c>
      <c r="AK4767">
        <v>64.089920403626095</v>
      </c>
      <c r="AL4767">
        <v>83.865677457626902</v>
      </c>
      <c r="AM4767">
        <v>95.165908306568795</v>
      </c>
      <c r="AN4767">
        <v>0.99999998315082606</v>
      </c>
    </row>
    <row r="4768" spans="1:40" x14ac:dyDescent="0.25">
      <c r="A4768" t="str">
        <f>"20190303162005210"</f>
        <v>20190303162005210</v>
      </c>
      <c r="B4768" t="str">
        <f>"1551601205197583"</f>
        <v>1551601205197583</v>
      </c>
      <c r="C4768" t="s">
        <v>40</v>
      </c>
      <c r="D4768">
        <v>5.0918809999999999</v>
      </c>
      <c r="E4768">
        <v>0.47687950000000001</v>
      </c>
      <c r="F4768" t="s">
        <v>56</v>
      </c>
      <c r="G4768">
        <v>-400.99149999999997</v>
      </c>
      <c r="H4768" s="1">
        <v>8.2664969999999997E-6</v>
      </c>
      <c r="I4768">
        <v>213.14529999999999</v>
      </c>
      <c r="J4768">
        <v>-469.5847</v>
      </c>
      <c r="K4768">
        <v>1.1209180000000001</v>
      </c>
      <c r="L4768">
        <v>215.7587</v>
      </c>
      <c r="M4768">
        <v>0.98239719999999997</v>
      </c>
      <c r="N4768">
        <v>-1.120148E-2</v>
      </c>
      <c r="O4768">
        <v>-0.18646760000000001</v>
      </c>
      <c r="P4768">
        <v>0.9907629</v>
      </c>
      <c r="Q4768">
        <v>9.781078E-2</v>
      </c>
      <c r="R4768">
        <v>-9.3923960000000001E-2</v>
      </c>
      <c r="S4768">
        <v>3.0214539999999999</v>
      </c>
      <c r="T4768">
        <v>-4.920161E-2</v>
      </c>
      <c r="U4768">
        <v>-0.116684</v>
      </c>
      <c r="V4768">
        <v>-9.2400040000000003E-2</v>
      </c>
      <c r="W4768">
        <v>0.1089725</v>
      </c>
      <c r="X4768">
        <v>0.98974099999999998</v>
      </c>
      <c r="Y4768">
        <v>-0.14839240000000001</v>
      </c>
      <c r="Z4768">
        <v>2.9591130000000002E-3</v>
      </c>
      <c r="AA4768">
        <v>0.98892409999999997</v>
      </c>
      <c r="AB4768">
        <v>23</v>
      </c>
      <c r="AC4768">
        <v>68.593199999999996</v>
      </c>
      <c r="AD4768">
        <v>-1.120909733503</v>
      </c>
      <c r="AE4768">
        <v>-2.6134000000000102</v>
      </c>
      <c r="AF4768">
        <v>-10.2209290202827</v>
      </c>
      <c r="AG4768">
        <v>-1.120909733503</v>
      </c>
      <c r="AH4768">
        <v>67.8592490619329</v>
      </c>
      <c r="AI4768">
        <v>90.935781375601707</v>
      </c>
      <c r="AJ4768">
        <v>98.565478486949502</v>
      </c>
      <c r="AK4768">
        <v>68.6338219241633</v>
      </c>
      <c r="AL4768">
        <v>83.743911967529598</v>
      </c>
      <c r="AM4768">
        <v>95.333548475447799</v>
      </c>
      <c r="AN4768">
        <v>1.00000001011462</v>
      </c>
    </row>
    <row r="4769" spans="1:40" x14ac:dyDescent="0.25">
      <c r="A4769" t="str">
        <f>"20190303162005231"</f>
        <v>20190303162005231</v>
      </c>
      <c r="B4769" t="str">
        <f>"1551601205226862"</f>
        <v>1551601205226862</v>
      </c>
      <c r="C4769" t="s">
        <v>40</v>
      </c>
      <c r="D4769">
        <v>5.0816720000000002</v>
      </c>
      <c r="E4769">
        <v>0.47746420000000001</v>
      </c>
      <c r="F4769" t="s">
        <v>52</v>
      </c>
      <c r="G4769">
        <v>-382.14269999999999</v>
      </c>
      <c r="H4769" s="1">
        <v>-3.1040189999999998E-7</v>
      </c>
      <c r="I4769">
        <v>212.64519999999999</v>
      </c>
      <c r="J4769">
        <v>-469.37040000000002</v>
      </c>
      <c r="K4769">
        <v>1.1210709999999999</v>
      </c>
      <c r="L4769">
        <v>215.7176</v>
      </c>
      <c r="M4769">
        <v>0.98235139999999999</v>
      </c>
      <c r="N4769">
        <v>-1.1199850000000001E-2</v>
      </c>
      <c r="O4769">
        <v>-0.18670970000000001</v>
      </c>
      <c r="P4769">
        <v>0.99069220000000002</v>
      </c>
      <c r="Q4769">
        <v>0.10083019999999999</v>
      </c>
      <c r="R4769">
        <v>-9.1445159999999998E-2</v>
      </c>
      <c r="S4769">
        <v>3.0216059999999998</v>
      </c>
      <c r="T4769">
        <v>-3.8733959999999998E-2</v>
      </c>
      <c r="U4769">
        <v>-0.1075897</v>
      </c>
      <c r="V4769">
        <v>-9.5102909999999999E-2</v>
      </c>
      <c r="W4769">
        <v>0.111952</v>
      </c>
      <c r="X4769">
        <v>0.98915229999999998</v>
      </c>
      <c r="Y4769">
        <v>-0.15162129999999999</v>
      </c>
      <c r="Z4769">
        <v>2.0993489999999999E-3</v>
      </c>
      <c r="AA4769">
        <v>0.98843639999999999</v>
      </c>
      <c r="AB4769">
        <v>23</v>
      </c>
      <c r="AC4769">
        <v>87.227699999999999</v>
      </c>
      <c r="AD4769">
        <v>-1.1210713104018999</v>
      </c>
      <c r="AE4769">
        <v>-3.0724000000000098</v>
      </c>
      <c r="AF4769">
        <v>-13.2667233328509</v>
      </c>
      <c r="AG4769">
        <v>-1.1210713104018999</v>
      </c>
      <c r="AH4769">
        <v>86.253071604322798</v>
      </c>
      <c r="AI4769">
        <v>90.736003649483294</v>
      </c>
      <c r="AJ4769">
        <v>98.744228487937804</v>
      </c>
      <c r="AK4769">
        <v>87.274596017706401</v>
      </c>
      <c r="AL4769">
        <v>83.572148200934393</v>
      </c>
      <c r="AM4769">
        <v>95.491871832535494</v>
      </c>
      <c r="AN4769">
        <v>1.0000000431948699</v>
      </c>
    </row>
    <row r="4770" spans="1:40" x14ac:dyDescent="0.25">
      <c r="A4770" t="str">
        <f>"20190303162005254"</f>
        <v>20190303162005254</v>
      </c>
      <c r="B4770" t="str">
        <f>"1551601205247359"</f>
        <v>1551601205247359</v>
      </c>
      <c r="C4770" t="s">
        <v>40</v>
      </c>
      <c r="D4770">
        <v>5.0182260000000003</v>
      </c>
      <c r="E4770">
        <v>0.47788979999999998</v>
      </c>
      <c r="F4770" t="s">
        <v>52</v>
      </c>
      <c r="G4770">
        <v>-365.94549999999998</v>
      </c>
      <c r="H4770" s="1">
        <v>1.627099E-6</v>
      </c>
      <c r="I4770">
        <v>212.15649999999999</v>
      </c>
      <c r="J4770">
        <v>-469.14449999999999</v>
      </c>
      <c r="K4770">
        <v>1.1212549999999999</v>
      </c>
      <c r="L4770">
        <v>215.67449999999999</v>
      </c>
      <c r="M4770">
        <v>0.98234900000000003</v>
      </c>
      <c r="N4770">
        <v>-1.1194269999999999E-2</v>
      </c>
      <c r="O4770">
        <v>-0.186722</v>
      </c>
      <c r="P4770">
        <v>0.99061350000000004</v>
      </c>
      <c r="Q4770">
        <v>0.10306899999999999</v>
      </c>
      <c r="R4770">
        <v>-8.9787229999999996E-2</v>
      </c>
      <c r="S4770">
        <v>3.0219119999999999</v>
      </c>
      <c r="T4770">
        <v>-3.2755850000000003E-2</v>
      </c>
      <c r="U4770">
        <v>-0.10404969999999999</v>
      </c>
      <c r="V4770">
        <v>-9.6777450000000001E-2</v>
      </c>
      <c r="W4770">
        <v>0.1141409</v>
      </c>
      <c r="X4770">
        <v>0.98873960000000005</v>
      </c>
      <c r="Y4770">
        <v>-0.15279899999999999</v>
      </c>
      <c r="Z4770">
        <v>1.5955139999999999E-3</v>
      </c>
      <c r="AA4770">
        <v>0.98825600000000002</v>
      </c>
      <c r="AB4770">
        <v>23</v>
      </c>
      <c r="AC4770">
        <v>103.199</v>
      </c>
      <c r="AD4770">
        <v>-1.1212533729009999</v>
      </c>
      <c r="AE4770">
        <v>-3.5179999999999998</v>
      </c>
      <c r="AF4770">
        <v>-15.812746516908501</v>
      </c>
      <c r="AG4770">
        <v>-1.1212533729009999</v>
      </c>
      <c r="AH4770">
        <v>102.028687137411</v>
      </c>
      <c r="AI4770">
        <v>90.622204058542707</v>
      </c>
      <c r="AJ4770">
        <v>98.809800725919999</v>
      </c>
      <c r="AK4770">
        <v>103.252860301872</v>
      </c>
      <c r="AL4770">
        <v>83.445924085778998</v>
      </c>
      <c r="AM4770">
        <v>95.590281727888296</v>
      </c>
      <c r="AN4770">
        <v>1.00000000824473</v>
      </c>
    </row>
    <row r="4771" spans="1:40" x14ac:dyDescent="0.25">
      <c r="A4771" t="str">
        <f>"20190303162005277"</f>
        <v>20190303162005277</v>
      </c>
      <c r="B4771" t="str">
        <f>"1551601205266879"</f>
        <v>1551601205266879</v>
      </c>
      <c r="C4771" t="s">
        <v>40</v>
      </c>
      <c r="D4771">
        <v>5.0861470000000004</v>
      </c>
      <c r="E4771">
        <v>0.47823949999999998</v>
      </c>
      <c r="F4771" t="s">
        <v>52</v>
      </c>
      <c r="G4771">
        <v>-348.16379999999998</v>
      </c>
      <c r="H4771" s="1">
        <v>2.8076049999999999E-6</v>
      </c>
      <c r="I4771">
        <v>211.5916</v>
      </c>
      <c r="J4771">
        <v>-468.91050000000001</v>
      </c>
      <c r="K4771">
        <v>1.1214839999999999</v>
      </c>
      <c r="L4771">
        <v>215.6302</v>
      </c>
      <c r="M4771">
        <v>0.98241319999999999</v>
      </c>
      <c r="N4771">
        <v>-1.118516E-2</v>
      </c>
      <c r="O4771">
        <v>-0.18638450000000001</v>
      </c>
      <c r="P4771">
        <v>0.99073500000000003</v>
      </c>
      <c r="Q4771">
        <v>0.103098</v>
      </c>
      <c r="R4771">
        <v>-8.840315E-2</v>
      </c>
      <c r="S4771">
        <v>3.0220639999999999</v>
      </c>
      <c r="T4771">
        <v>-2.8008580000000002E-2</v>
      </c>
      <c r="U4771">
        <v>-0.1019897</v>
      </c>
      <c r="V4771">
        <v>-9.7881940000000001E-2</v>
      </c>
      <c r="W4771">
        <v>0.11410579999999999</v>
      </c>
      <c r="X4771">
        <v>0.98863489999999998</v>
      </c>
      <c r="Y4771">
        <v>-0.153137299999999</v>
      </c>
      <c r="Z4771">
        <v>1.188992E-3</v>
      </c>
      <c r="AA4771">
        <v>0.98820419999999998</v>
      </c>
      <c r="AB4771">
        <v>23</v>
      </c>
      <c r="AC4771">
        <v>120.7467</v>
      </c>
      <c r="AD4771">
        <v>-1.1214811923950001</v>
      </c>
      <c r="AE4771">
        <v>-4.0385999999999997</v>
      </c>
      <c r="AF4771">
        <v>-18.5373018816959</v>
      </c>
      <c r="AG4771">
        <v>-1.1214811923950001</v>
      </c>
      <c r="AH4771">
        <v>119.373067208465</v>
      </c>
      <c r="AI4771">
        <v>90.531889621638001</v>
      </c>
      <c r="AJ4771">
        <v>98.826891798624402</v>
      </c>
      <c r="AK4771">
        <v>120.809016451069</v>
      </c>
      <c r="AL4771">
        <v>83.447948251049297</v>
      </c>
      <c r="AM4771">
        <v>95.654265660099398</v>
      </c>
      <c r="AN4771">
        <v>0.99999998663490597</v>
      </c>
    </row>
    <row r="4772" spans="1:40" x14ac:dyDescent="0.25">
      <c r="A4772" t="str">
        <f>"20190303162005302"</f>
        <v>20190303162005302</v>
      </c>
      <c r="B4772" t="str">
        <f>"1551601205287375"</f>
        <v>1551601205287375</v>
      </c>
      <c r="C4772" t="s">
        <v>40</v>
      </c>
      <c r="D4772">
        <v>5.1450570000000004</v>
      </c>
      <c r="E4772">
        <v>0.47845019999999999</v>
      </c>
      <c r="F4772" t="s">
        <v>52</v>
      </c>
      <c r="G4772">
        <v>-356.93770000000001</v>
      </c>
      <c r="H4772" s="1">
        <v>2.2736620000000002E-6</v>
      </c>
      <c r="I4772">
        <v>211.90459999999999</v>
      </c>
      <c r="J4772">
        <v>-468.66969999999998</v>
      </c>
      <c r="K4772">
        <v>1.121775</v>
      </c>
      <c r="L4772">
        <v>215.58519999999999</v>
      </c>
      <c r="M4772">
        <v>0.98256370000000004</v>
      </c>
      <c r="N4772">
        <v>-1.117687E-2</v>
      </c>
      <c r="O4772">
        <v>-0.1855899</v>
      </c>
      <c r="P4772">
        <v>0.99088580000000004</v>
      </c>
      <c r="Q4772">
        <v>0.1030761</v>
      </c>
      <c r="R4772">
        <v>-8.6722439999999998E-2</v>
      </c>
      <c r="S4772">
        <v>3.0222169999999999</v>
      </c>
      <c r="T4772">
        <v>-3.0269500000000001E-2</v>
      </c>
      <c r="U4772">
        <v>-0.1005554</v>
      </c>
      <c r="V4772">
        <v>-9.8841470000000001E-2</v>
      </c>
      <c r="W4772">
        <v>0.11400490000000001</v>
      </c>
      <c r="X4772">
        <v>0.98855110000000002</v>
      </c>
      <c r="Y4772">
        <v>-0.15280679999999999</v>
      </c>
      <c r="Z4772">
        <v>1.383429E-3</v>
      </c>
      <c r="AA4772">
        <v>0.98825510000000005</v>
      </c>
      <c r="AB4772">
        <v>23</v>
      </c>
      <c r="AC4772">
        <v>111.731999999999</v>
      </c>
      <c r="AD4772">
        <v>-1.121772726338</v>
      </c>
      <c r="AE4772">
        <v>-3.6805999999999899</v>
      </c>
      <c r="AF4772">
        <v>-17.119252816122099</v>
      </c>
      <c r="AG4772">
        <v>-1.121772726338</v>
      </c>
      <c r="AH4772">
        <v>110.462669962943</v>
      </c>
      <c r="AI4772">
        <v>90.574967873664704</v>
      </c>
      <c r="AJ4772">
        <v>98.809486421987103</v>
      </c>
      <c r="AK4772">
        <v>111.786978876674</v>
      </c>
      <c r="AL4772">
        <v>83.453767557421202</v>
      </c>
      <c r="AM4772">
        <v>95.709810398273504</v>
      </c>
      <c r="AN4772">
        <v>1.00000001536349</v>
      </c>
    </row>
    <row r="4773" spans="1:40" x14ac:dyDescent="0.25">
      <c r="A4773" t="str">
        <f>"20190303162005320"</f>
        <v>20190303162005320</v>
      </c>
      <c r="B4773" t="str">
        <f>"1551601205306894"</f>
        <v>1551601205306894</v>
      </c>
      <c r="C4773" t="s">
        <v>40</v>
      </c>
      <c r="D4773">
        <v>5.1396100000000002</v>
      </c>
      <c r="E4773">
        <v>0.47875299999999998</v>
      </c>
      <c r="F4773" t="s">
        <v>52</v>
      </c>
      <c r="G4773">
        <v>-358.56060000000002</v>
      </c>
      <c r="H4773" s="1">
        <v>3.1298800000000002E-6</v>
      </c>
      <c r="I4773">
        <v>212.0735</v>
      </c>
      <c r="J4773">
        <v>-468.47379999999998</v>
      </c>
      <c r="K4773">
        <v>1.1220619999999999</v>
      </c>
      <c r="L4773">
        <v>215.54910000000001</v>
      </c>
      <c r="M4773">
        <v>0.98276240000000004</v>
      </c>
      <c r="N4773">
        <v>-1.1174099999999999E-2</v>
      </c>
      <c r="O4773">
        <v>-0.1845357</v>
      </c>
      <c r="P4773">
        <v>0.99081450000000004</v>
      </c>
      <c r="Q4773">
        <v>0.105249</v>
      </c>
      <c r="R4773">
        <v>-8.4908460000000005E-2</v>
      </c>
      <c r="S4773">
        <v>3.0223390000000001</v>
      </c>
      <c r="T4773">
        <v>-3.0791039999999999E-2</v>
      </c>
      <c r="U4773">
        <v>-9.638977E-2</v>
      </c>
      <c r="V4773">
        <v>-9.9632540000000006E-2</v>
      </c>
      <c r="W4773">
        <v>0.11610139999999999</v>
      </c>
      <c r="X4773">
        <v>0.98822759999999998</v>
      </c>
      <c r="Y4773">
        <v>-0.1531081</v>
      </c>
      <c r="Z4773">
        <v>1.43337E-3</v>
      </c>
      <c r="AA4773">
        <v>0.98820839999999999</v>
      </c>
      <c r="AB4773">
        <v>23</v>
      </c>
      <c r="AC4773">
        <v>109.91319999999899</v>
      </c>
      <c r="AD4773">
        <v>-1.1220588701200001</v>
      </c>
      <c r="AE4773">
        <v>-3.4756000000000098</v>
      </c>
      <c r="AF4773">
        <v>-16.866515578513201</v>
      </c>
      <c r="AG4773">
        <v>-1.1220588701200001</v>
      </c>
      <c r="AH4773">
        <v>108.655392608016</v>
      </c>
      <c r="AI4773">
        <v>90.584657524535501</v>
      </c>
      <c r="AJ4773">
        <v>98.823569975109905</v>
      </c>
      <c r="AK4773">
        <v>109.96241497289201</v>
      </c>
      <c r="AL4773">
        <v>83.332843709558006</v>
      </c>
      <c r="AM4773">
        <v>95.757074194674104</v>
      </c>
      <c r="AN4773">
        <v>0.99999998375528498</v>
      </c>
    </row>
    <row r="4774" spans="1:40" x14ac:dyDescent="0.25">
      <c r="A4774" t="str">
        <f>"20190303162005343"</f>
        <v>20190303162005343</v>
      </c>
      <c r="B4774" t="str">
        <f>"1551601205337151"</f>
        <v>1551601205337151</v>
      </c>
      <c r="C4774" t="s">
        <v>40</v>
      </c>
      <c r="D4774">
        <v>5.1392369999999996</v>
      </c>
      <c r="E4774">
        <v>0.47935689999999997</v>
      </c>
      <c r="F4774" t="s">
        <v>52</v>
      </c>
      <c r="G4774">
        <v>-334.4579</v>
      </c>
      <c r="H4774" s="1">
        <v>9.7418520000000002E-7</v>
      </c>
      <c r="I4774">
        <v>211.44309999999999</v>
      </c>
      <c r="J4774">
        <v>-468.2466</v>
      </c>
      <c r="K4774">
        <v>1.1224419999999999</v>
      </c>
      <c r="L4774">
        <v>215.50819999999999</v>
      </c>
      <c r="M4774">
        <v>0.98307719999999998</v>
      </c>
      <c r="N4774">
        <v>-1.117607E-2</v>
      </c>
      <c r="O4774">
        <v>-0.1828514</v>
      </c>
      <c r="P4774">
        <v>0.99067289999999997</v>
      </c>
      <c r="Q4774">
        <v>0.1084094</v>
      </c>
      <c r="R4774">
        <v>-8.2553429999999997E-2</v>
      </c>
      <c r="S4774">
        <v>3.0225219999999999</v>
      </c>
      <c r="T4774">
        <v>-2.530634E-2</v>
      </c>
      <c r="U4774">
        <v>-9.2605590000000002E-2</v>
      </c>
      <c r="V4774">
        <v>-0.1003394</v>
      </c>
      <c r="W4774">
        <v>0.11916839999999999</v>
      </c>
      <c r="X4774">
        <v>0.98779090000000003</v>
      </c>
      <c r="Y4774">
        <v>-0.15265619999999999</v>
      </c>
      <c r="Z4774">
        <v>9.619149E-4</v>
      </c>
      <c r="AA4774">
        <v>0.98827889999999996</v>
      </c>
      <c r="AB4774">
        <v>23</v>
      </c>
      <c r="AC4774">
        <v>133.78870000000001</v>
      </c>
      <c r="AD4774">
        <v>-1.1224410258148001</v>
      </c>
      <c r="AE4774">
        <v>-4.0651000000000002</v>
      </c>
      <c r="AF4774">
        <v>-20.466979769175701</v>
      </c>
      <c r="AG4774">
        <v>-1.1224410258148001</v>
      </c>
      <c r="AH4774">
        <v>132.26686865152001</v>
      </c>
      <c r="AI4774">
        <v>90.4804926039252</v>
      </c>
      <c r="AJ4774">
        <v>98.7961869220929</v>
      </c>
      <c r="AK4774">
        <v>133.84573836176801</v>
      </c>
      <c r="AL4774">
        <v>83.155888855977494</v>
      </c>
      <c r="AM4774">
        <v>95.800187123620503</v>
      </c>
      <c r="AN4774">
        <v>0.99999998243686405</v>
      </c>
    </row>
    <row r="4775" spans="1:40" x14ac:dyDescent="0.25">
      <c r="A4775" t="str">
        <f>"20190303162005365"</f>
        <v>20190303162005365</v>
      </c>
      <c r="B4775" t="str">
        <f>"1551601205357647"</f>
        <v>1551601205357647</v>
      </c>
      <c r="C4775" t="s">
        <v>40</v>
      </c>
      <c r="D4775">
        <v>5.1432390000000003</v>
      </c>
      <c r="E4775">
        <v>0.47968100000000002</v>
      </c>
      <c r="F4775" t="s">
        <v>52</v>
      </c>
      <c r="G4775">
        <v>-272.81450000000001</v>
      </c>
      <c r="H4775" s="1">
        <v>1.7745169999999999E-7</v>
      </c>
      <c r="I4775">
        <v>209.66380000000001</v>
      </c>
      <c r="J4775">
        <v>-468.02679999999998</v>
      </c>
      <c r="K4775">
        <v>1.122814</v>
      </c>
      <c r="L4775">
        <v>215.46960000000001</v>
      </c>
      <c r="M4775">
        <v>0.98347189999999995</v>
      </c>
      <c r="N4775">
        <v>-1.118312E-2</v>
      </c>
      <c r="O4775">
        <v>-0.1807155</v>
      </c>
      <c r="P4775">
        <v>0.99081129999999995</v>
      </c>
      <c r="Q4775">
        <v>0.1085829</v>
      </c>
      <c r="R4775">
        <v>-8.0641199999999996E-2</v>
      </c>
      <c r="S4775">
        <v>3.0226440000000001</v>
      </c>
      <c r="T4775">
        <v>-1.7360210000000001E-2</v>
      </c>
      <c r="U4775">
        <v>-9.0393070000000006E-2</v>
      </c>
      <c r="V4775">
        <v>-0.10020220000000001</v>
      </c>
      <c r="W4775">
        <v>0.1192612</v>
      </c>
      <c r="X4775">
        <v>0.98779360000000005</v>
      </c>
      <c r="Y4775">
        <v>-0.15123629999999999</v>
      </c>
      <c r="Z4775">
        <v>2.8241399999999998E-4</v>
      </c>
      <c r="AA4775">
        <v>0.98849759999999998</v>
      </c>
      <c r="AB4775">
        <v>23</v>
      </c>
      <c r="AC4775">
        <v>195.2123</v>
      </c>
      <c r="AD4775">
        <v>-1.1228138225483</v>
      </c>
      <c r="AE4775">
        <v>-5.8057999999999996</v>
      </c>
      <c r="AF4775">
        <v>-29.5689170287724</v>
      </c>
      <c r="AG4775">
        <v>-1.1228138225483</v>
      </c>
      <c r="AH4775">
        <v>193.04068802696099</v>
      </c>
      <c r="AI4775">
        <v>90.329413039903997</v>
      </c>
      <c r="AJ4775">
        <v>98.708567107484697</v>
      </c>
      <c r="AK4775">
        <v>195.295388576015</v>
      </c>
      <c r="AL4775">
        <v>83.150533430887194</v>
      </c>
      <c r="AM4775">
        <v>95.792294422883302</v>
      </c>
      <c r="AN4775">
        <v>0.99999995545561904</v>
      </c>
    </row>
    <row r="4776" spans="1:40" x14ac:dyDescent="0.25">
      <c r="A4776" t="str">
        <f>"20190303162005388"</f>
        <v>20190303162005388</v>
      </c>
      <c r="B4776" t="str">
        <f>"1551601205377166"</f>
        <v>1551601205377166</v>
      </c>
      <c r="C4776" t="s">
        <v>40</v>
      </c>
      <c r="D4776">
        <v>5.1400889999999997</v>
      </c>
      <c r="E4776">
        <v>0.4836124</v>
      </c>
      <c r="F4776" t="s">
        <v>56</v>
      </c>
      <c r="G4776">
        <v>-284.6345</v>
      </c>
      <c r="H4776" s="1">
        <v>5.5665610000000002E-6</v>
      </c>
      <c r="I4776">
        <v>210.16319999999999</v>
      </c>
      <c r="J4776">
        <v>-467.7955</v>
      </c>
      <c r="K4776">
        <v>1.123165</v>
      </c>
      <c r="L4776">
        <v>215.43020000000001</v>
      </c>
      <c r="M4776">
        <v>0.98398410000000003</v>
      </c>
      <c r="N4776">
        <v>-1.11942E-2</v>
      </c>
      <c r="O4776">
        <v>-0.1779047</v>
      </c>
      <c r="P4776">
        <v>0.99123589999999995</v>
      </c>
      <c r="Q4776">
        <v>0.10659830000000001</v>
      </c>
      <c r="R4776">
        <v>-7.8030059999999998E-2</v>
      </c>
      <c r="S4776">
        <v>3.0227970000000002</v>
      </c>
      <c r="T4776">
        <v>-1.850688E-2</v>
      </c>
      <c r="U4776">
        <v>-8.7463379999999993E-2</v>
      </c>
      <c r="V4776">
        <v>-0.1001147</v>
      </c>
      <c r="W4776">
        <v>0.1172044</v>
      </c>
      <c r="X4776">
        <v>0.9880487</v>
      </c>
      <c r="Y4776">
        <v>-0.14937020000000001</v>
      </c>
      <c r="Z4776">
        <v>3.7686209999999998E-4</v>
      </c>
      <c r="AA4776">
        <v>0.98878129999999997</v>
      </c>
      <c r="AB4776">
        <v>23</v>
      </c>
      <c r="AC4776">
        <v>183.16099999999901</v>
      </c>
      <c r="AD4776">
        <v>-1.123159433439</v>
      </c>
      <c r="AE4776">
        <v>-5.2670000000000199</v>
      </c>
      <c r="AF4776">
        <v>-27.403244602664302</v>
      </c>
      <c r="AG4776">
        <v>-1.123159433439</v>
      </c>
      <c r="AH4776">
        <v>181.16907176226599</v>
      </c>
      <c r="AI4776">
        <v>90.351206402867902</v>
      </c>
      <c r="AJ4776">
        <v>98.601236285074506</v>
      </c>
      <c r="AK4776">
        <v>183.23327171959599</v>
      </c>
      <c r="AL4776">
        <v>83.269212336921697</v>
      </c>
      <c r="AM4776">
        <v>95.785786687998694</v>
      </c>
      <c r="AN4776">
        <v>1.00000002905356</v>
      </c>
    </row>
    <row r="4777" spans="1:40" x14ac:dyDescent="0.25">
      <c r="A4777" t="str">
        <f>"20190303162005410"</f>
        <v>20190303162005410</v>
      </c>
      <c r="B4777" t="str">
        <f>"1551601205396686"</f>
        <v>1551601205396686</v>
      </c>
      <c r="C4777" t="s">
        <v>40</v>
      </c>
      <c r="D4777">
        <v>5.0810919999999999</v>
      </c>
      <c r="E4777">
        <v>0.48364620000000003</v>
      </c>
      <c r="F4777" t="s">
        <v>56</v>
      </c>
      <c r="G4777">
        <v>-416.09739999999999</v>
      </c>
      <c r="H4777" s="1">
        <v>3.3820509999999999E-6</v>
      </c>
      <c r="I4777">
        <v>213.53270000000001</v>
      </c>
      <c r="J4777">
        <v>-467.58179999999999</v>
      </c>
      <c r="K4777">
        <v>1.123416</v>
      </c>
      <c r="L4777">
        <v>215.39500000000001</v>
      </c>
      <c r="M4777">
        <v>0.98451789999999995</v>
      </c>
      <c r="N4777">
        <v>-1.120433E-2</v>
      </c>
      <c r="O4777">
        <v>-0.17492650000000001</v>
      </c>
      <c r="P4777">
        <v>0.99166580000000004</v>
      </c>
      <c r="Q4777">
        <v>0.1050466</v>
      </c>
      <c r="R4777">
        <v>-7.4594199999999999E-2</v>
      </c>
      <c r="S4777">
        <v>3.0248719999999998</v>
      </c>
      <c r="T4777">
        <v>-6.5716510000000006E-2</v>
      </c>
      <c r="U4777">
        <v>-0.11102289999999999</v>
      </c>
      <c r="V4777">
        <v>-0.1006478</v>
      </c>
      <c r="W4777">
        <v>0.11559609999999999</v>
      </c>
      <c r="X4777">
        <v>0.98818399999999995</v>
      </c>
      <c r="Y4777">
        <v>-0.13864799999999999</v>
      </c>
      <c r="Z4777">
        <v>4.0949659999999898E-3</v>
      </c>
      <c r="AA4777">
        <v>0.99033329999999997</v>
      </c>
      <c r="AB4777">
        <v>23</v>
      </c>
      <c r="AC4777">
        <v>51.484400000000001</v>
      </c>
      <c r="AD4777">
        <v>-1.123412617949</v>
      </c>
      <c r="AE4777">
        <v>-1.8623000000000001</v>
      </c>
      <c r="AF4777">
        <v>-7.1695581452524397</v>
      </c>
      <c r="AG4777">
        <v>-1.123412617949</v>
      </c>
      <c r="AH4777">
        <v>50.9920261222316</v>
      </c>
      <c r="AI4777">
        <v>91.249798252995006</v>
      </c>
      <c r="AJ4777">
        <v>98.003411580440698</v>
      </c>
      <c r="AK4777">
        <v>51.505837998800402</v>
      </c>
      <c r="AL4777">
        <v>83.361991818358206</v>
      </c>
      <c r="AM4777">
        <v>95.815593798457598</v>
      </c>
      <c r="AN4777">
        <v>1.0000000279180199</v>
      </c>
    </row>
    <row r="4778" spans="1:40" x14ac:dyDescent="0.25">
      <c r="A4778" t="str">
        <f>"20190303162005432"</f>
        <v>20190303162005432</v>
      </c>
      <c r="B4778" t="str">
        <f>"1551601205426943"</f>
        <v>1551601205426943</v>
      </c>
      <c r="C4778" t="s">
        <v>40</v>
      </c>
      <c r="D4778">
        <v>5.0746900000000004</v>
      </c>
      <c r="E4778">
        <v>0.4839406</v>
      </c>
      <c r="F4778" t="s">
        <v>56</v>
      </c>
      <c r="G4778">
        <v>-419.89569999999998</v>
      </c>
      <c r="H4778" s="1">
        <v>4.0329729999999996E-6</v>
      </c>
      <c r="I4778">
        <v>213.79400000000001</v>
      </c>
      <c r="J4778">
        <v>-467.35300000000001</v>
      </c>
      <c r="K4778">
        <v>1.123632</v>
      </c>
      <c r="L4778">
        <v>215.35839999999999</v>
      </c>
      <c r="M4778">
        <v>0.9851451</v>
      </c>
      <c r="N4778">
        <v>-1.12135E-2</v>
      </c>
      <c r="O4778">
        <v>-0.17135819999999999</v>
      </c>
      <c r="P4778">
        <v>0.99210770000000004</v>
      </c>
      <c r="Q4778">
        <v>0.1041483</v>
      </c>
      <c r="R4778">
        <v>-6.9824189999999994E-2</v>
      </c>
      <c r="S4778">
        <v>3.0251160000000001</v>
      </c>
      <c r="T4778">
        <v>-7.1267129999999998E-2</v>
      </c>
      <c r="U4778">
        <v>-0.1015625</v>
      </c>
      <c r="V4778">
        <v>-0.101895</v>
      </c>
      <c r="W4778">
        <v>0.114644</v>
      </c>
      <c r="X4778">
        <v>0.98816700000000002</v>
      </c>
      <c r="Y4778">
        <v>-0.13814570000000001</v>
      </c>
      <c r="Z4778">
        <v>4.4893809999999998E-3</v>
      </c>
      <c r="AA4778">
        <v>0.99040170000000005</v>
      </c>
      <c r="AB4778">
        <v>23</v>
      </c>
      <c r="AC4778">
        <v>47.457299999999996</v>
      </c>
      <c r="AD4778">
        <v>-1.123627967027</v>
      </c>
      <c r="AE4778">
        <v>-1.56439999999997</v>
      </c>
      <c r="AF4778">
        <v>-6.5877611637001001</v>
      </c>
      <c r="AG4778">
        <v>-1.123627967027</v>
      </c>
      <c r="AH4778">
        <v>46.997033026212797</v>
      </c>
      <c r="AI4778">
        <v>91.356339161591805</v>
      </c>
      <c r="AJ4778">
        <v>97.979386852631393</v>
      </c>
      <c r="AK4778">
        <v>47.469803562108602</v>
      </c>
      <c r="AL4778">
        <v>83.416907582509694</v>
      </c>
      <c r="AM4778">
        <v>95.887256522914797</v>
      </c>
      <c r="AN4778">
        <v>0.999999928824997</v>
      </c>
    </row>
    <row r="4779" spans="1:40" x14ac:dyDescent="0.25">
      <c r="A4779" t="str">
        <f>"20190303162005455"</f>
        <v>20190303162005455</v>
      </c>
      <c r="B4779" t="str">
        <f>"1551601205447439"</f>
        <v>1551601205447439</v>
      </c>
      <c r="C4779" t="s">
        <v>40</v>
      </c>
      <c r="D4779">
        <v>5.1405019999999997</v>
      </c>
      <c r="E4779">
        <v>0.48409239999999998</v>
      </c>
      <c r="F4779" t="s">
        <v>56</v>
      </c>
      <c r="G4779">
        <v>-422.85599999999999</v>
      </c>
      <c r="H4779" s="1">
        <v>3.5097620000000001E-6</v>
      </c>
      <c r="I4779">
        <v>214.02430000000001</v>
      </c>
      <c r="J4779">
        <v>-467.12619999999998</v>
      </c>
      <c r="K4779">
        <v>1.1238109999999999</v>
      </c>
      <c r="L4779">
        <v>215.32339999999999</v>
      </c>
      <c r="M4779">
        <v>0.98581169999999996</v>
      </c>
      <c r="N4779">
        <v>-1.122196E-2</v>
      </c>
      <c r="O4779">
        <v>-0.16748080000000001</v>
      </c>
      <c r="P4779">
        <v>0.99268659999999997</v>
      </c>
      <c r="Q4779">
        <v>0.10192080000000001</v>
      </c>
      <c r="R4779">
        <v>-6.4699329999999999E-2</v>
      </c>
      <c r="S4779">
        <v>3.0255130000000001</v>
      </c>
      <c r="T4779">
        <v>-7.6399560000000005E-2</v>
      </c>
      <c r="U4779">
        <v>-9.0713500000000002E-2</v>
      </c>
      <c r="V4779">
        <v>-0.103188</v>
      </c>
      <c r="W4779">
        <v>0.1123733</v>
      </c>
      <c r="X4779">
        <v>0.98829370000000005</v>
      </c>
      <c r="Y4779">
        <v>-0.13779079999999999</v>
      </c>
      <c r="Z4779">
        <v>4.8356609999999998E-3</v>
      </c>
      <c r="AA4779">
        <v>0.99044949999999998</v>
      </c>
      <c r="AB4779">
        <v>23</v>
      </c>
      <c r="AC4779">
        <v>44.270199999999903</v>
      </c>
      <c r="AD4779">
        <v>-1.123807490238</v>
      </c>
      <c r="AE4779">
        <v>-1.2990999999999799</v>
      </c>
      <c r="AF4779">
        <v>-6.1301784438626497</v>
      </c>
      <c r="AG4779">
        <v>-1.123807490238</v>
      </c>
      <c r="AH4779">
        <v>43.834184512831797</v>
      </c>
      <c r="AI4779">
        <v>91.454462045565805</v>
      </c>
      <c r="AJ4779">
        <v>97.961139706709403</v>
      </c>
      <c r="AK4779">
        <v>44.275024143795797</v>
      </c>
      <c r="AL4779">
        <v>83.547855792458407</v>
      </c>
      <c r="AM4779">
        <v>95.960669636286099</v>
      </c>
      <c r="AN4779">
        <v>0.99999997967828902</v>
      </c>
    </row>
    <row r="4780" spans="1:40" x14ac:dyDescent="0.25">
      <c r="A4780" t="str">
        <f>"20190303162005478"</f>
        <v>20190303162005478</v>
      </c>
      <c r="B4780" t="str">
        <f>"1551601205466958"</f>
        <v>1551601205466958</v>
      </c>
      <c r="C4780" t="s">
        <v>40</v>
      </c>
      <c r="D4780">
        <v>5.13795</v>
      </c>
      <c r="E4780">
        <v>0.47779240000000001</v>
      </c>
      <c r="F4780" t="s">
        <v>56</v>
      </c>
      <c r="G4780">
        <v>-426.54289999999997</v>
      </c>
      <c r="H4780" s="1">
        <v>2.8316929999999999E-6</v>
      </c>
      <c r="I4780">
        <v>214.29949999999999</v>
      </c>
      <c r="J4780">
        <v>-466.88619999999997</v>
      </c>
      <c r="K4780">
        <v>1.1239629999999901</v>
      </c>
      <c r="L4780">
        <v>215.2876</v>
      </c>
      <c r="M4780">
        <v>0.98655340000000002</v>
      </c>
      <c r="N4780">
        <v>-1.1232499999999999E-2</v>
      </c>
      <c r="O4780">
        <v>-0.16305349999999999</v>
      </c>
      <c r="P4780">
        <v>0.99333260000000001</v>
      </c>
      <c r="Q4780">
        <v>9.8792580000000005E-2</v>
      </c>
      <c r="R4780">
        <v>-5.9419819999999998E-2</v>
      </c>
      <c r="S4780">
        <v>3.025757</v>
      </c>
      <c r="T4780">
        <v>-8.3787559999999997E-2</v>
      </c>
      <c r="U4780">
        <v>-7.633972E-2</v>
      </c>
      <c r="V4780">
        <v>-0.10408489999999999</v>
      </c>
      <c r="W4780">
        <v>0.1092095</v>
      </c>
      <c r="X4780">
        <v>0.9885543</v>
      </c>
      <c r="Y4780">
        <v>-0.13803180000000001</v>
      </c>
      <c r="Z4780">
        <v>5.3439660000000003E-3</v>
      </c>
      <c r="AA4780">
        <v>0.9904134</v>
      </c>
      <c r="AB4780">
        <v>23</v>
      </c>
      <c r="AC4780">
        <v>40.343299999999999</v>
      </c>
      <c r="AD4780">
        <v>-1.12396016830699</v>
      </c>
      <c r="AE4780">
        <v>-0.98810000000000198</v>
      </c>
      <c r="AF4780">
        <v>-5.5993123053414902</v>
      </c>
      <c r="AG4780">
        <v>-1.12396016830699</v>
      </c>
      <c r="AH4780">
        <v>39.933472952848803</v>
      </c>
      <c r="AI4780">
        <v>91.596600405822898</v>
      </c>
      <c r="AJ4780">
        <v>97.981748667829194</v>
      </c>
      <c r="AK4780">
        <v>40.339779955133601</v>
      </c>
      <c r="AL4780">
        <v>83.730251228279698</v>
      </c>
      <c r="AM4780">
        <v>96.010528056125594</v>
      </c>
      <c r="AN4780">
        <v>0.99999999267337403</v>
      </c>
    </row>
    <row r="4781" spans="1:40" x14ac:dyDescent="0.25">
      <c r="A4781" t="str">
        <f>"20190303162005502"</f>
        <v>20190303162005502</v>
      </c>
      <c r="B4781" t="str">
        <f>"1551601205487455"</f>
        <v>1551601205487455</v>
      </c>
      <c r="C4781" t="s">
        <v>40</v>
      </c>
      <c r="D4781">
        <v>5.142989</v>
      </c>
      <c r="E4781">
        <v>0.47732160000000001</v>
      </c>
      <c r="F4781" t="s">
        <v>52</v>
      </c>
      <c r="G4781">
        <v>-444.49299999999999</v>
      </c>
      <c r="H4781" s="1">
        <v>8.2843859999999897E-7</v>
      </c>
      <c r="I4781">
        <v>215.20439999999999</v>
      </c>
      <c r="J4781">
        <v>-466.65589999999997</v>
      </c>
      <c r="K4781">
        <v>1.1241129999999999</v>
      </c>
      <c r="L4781">
        <v>215.25470000000001</v>
      </c>
      <c r="M4781">
        <v>0.98729040000000001</v>
      </c>
      <c r="N4781">
        <v>-1.124493E-2</v>
      </c>
      <c r="O4781">
        <v>-0.15852849999999999</v>
      </c>
      <c r="P4781">
        <v>0.99378679999999997</v>
      </c>
      <c r="Q4781">
        <v>9.7083349999999999E-2</v>
      </c>
      <c r="R4781">
        <v>-5.4431760000000003E-2</v>
      </c>
      <c r="S4781">
        <v>3.0346069999999998</v>
      </c>
      <c r="T4781">
        <v>-0.1523129</v>
      </c>
      <c r="U4781">
        <v>-1.127625E-2</v>
      </c>
      <c r="V4781">
        <v>-0.1045729</v>
      </c>
      <c r="W4781">
        <v>0.1074712</v>
      </c>
      <c r="X4781">
        <v>0.9886933</v>
      </c>
      <c r="Y4781">
        <v>-0.15451189999999901</v>
      </c>
      <c r="Z4781">
        <v>1.0882910000000001E-2</v>
      </c>
      <c r="AA4781">
        <v>0.987931</v>
      </c>
      <c r="AB4781">
        <v>23</v>
      </c>
      <c r="AC4781">
        <v>22.162899999999901</v>
      </c>
      <c r="AD4781">
        <v>-1.12411217156139</v>
      </c>
      <c r="AE4781">
        <v>-5.03000000000213E-2</v>
      </c>
      <c r="AF4781">
        <v>-3.4551210116204998</v>
      </c>
      <c r="AG4781">
        <v>-1.12411217156139</v>
      </c>
      <c r="AH4781">
        <v>21.8344055986048</v>
      </c>
      <c r="AI4781">
        <v>92.911028601275603</v>
      </c>
      <c r="AJ4781">
        <v>98.9920408771697</v>
      </c>
      <c r="AK4781">
        <v>22.134650600892201</v>
      </c>
      <c r="AL4781">
        <v>83.830438229893005</v>
      </c>
      <c r="AM4781">
        <v>96.037657889193994</v>
      </c>
      <c r="AN4781">
        <v>0.99999999585436905</v>
      </c>
    </row>
    <row r="4782" spans="1:40" x14ac:dyDescent="0.25">
      <c r="A4782" t="str">
        <f>"20190303162005521"</f>
        <v>20190303162005521</v>
      </c>
      <c r="B4782" t="str">
        <f>"1551601205506975"</f>
        <v>1551601205506975</v>
      </c>
      <c r="C4782" t="s">
        <v>40</v>
      </c>
      <c r="D4782">
        <v>5.1435050000000002</v>
      </c>
      <c r="E4782">
        <v>0.4774832</v>
      </c>
      <c r="F4782" t="s">
        <v>52</v>
      </c>
      <c r="G4782">
        <v>-445.36750000000001</v>
      </c>
      <c r="H4782" s="1">
        <v>1.2890850000000001E-6</v>
      </c>
      <c r="I4782">
        <v>215.31319999999999</v>
      </c>
      <c r="J4782">
        <v>-466.44869999999997</v>
      </c>
      <c r="K4782">
        <v>1.1242529999999999</v>
      </c>
      <c r="L4782">
        <v>215.22620000000001</v>
      </c>
      <c r="M4782">
        <v>0.98796949999999994</v>
      </c>
      <c r="N4782">
        <v>-1.1257659999999999E-2</v>
      </c>
      <c r="O4782">
        <v>-0.15423899999999999</v>
      </c>
      <c r="P4782">
        <v>0.9941352</v>
      </c>
      <c r="Q4782">
        <v>9.6126970000000006E-2</v>
      </c>
      <c r="R4782">
        <v>-4.9545609999999997E-2</v>
      </c>
      <c r="S4782">
        <v>3.0348820000000001</v>
      </c>
      <c r="T4782">
        <v>-0.16025439999999999</v>
      </c>
      <c r="U4782">
        <v>8.3465580000000004E-3</v>
      </c>
      <c r="V4782">
        <v>-0.10518520000000001</v>
      </c>
      <c r="W4782">
        <v>0.1064865</v>
      </c>
      <c r="X4782">
        <v>0.98873489999999997</v>
      </c>
      <c r="Y4782">
        <v>-0.1565694</v>
      </c>
      <c r="Z4782">
        <v>1.1387039999999999E-2</v>
      </c>
      <c r="AA4782">
        <v>0.98760130000000002</v>
      </c>
      <c r="AB4782">
        <v>23</v>
      </c>
      <c r="AC4782">
        <v>21.0811999999999</v>
      </c>
      <c r="AD4782">
        <v>-1.1242517109150001</v>
      </c>
      <c r="AE4782">
        <v>8.6999999999989003E-2</v>
      </c>
      <c r="AF4782">
        <v>-3.3282423238790502</v>
      </c>
      <c r="AG4782">
        <v>-1.1242517109150001</v>
      </c>
      <c r="AH4782">
        <v>20.756450198575799</v>
      </c>
      <c r="AI4782">
        <v>93.061307801575296</v>
      </c>
      <c r="AJ4782">
        <v>99.109682242496703</v>
      </c>
      <c r="AK4782">
        <v>21.0516356543123</v>
      </c>
      <c r="AL4782">
        <v>83.887183064227798</v>
      </c>
      <c r="AM4782">
        <v>96.072492859816606</v>
      </c>
      <c r="AN4782">
        <v>1.00000000172965</v>
      </c>
    </row>
    <row r="4783" spans="1:40" x14ac:dyDescent="0.25">
      <c r="A4783" t="str">
        <f>"20190303162005546"</f>
        <v>20190303162005546</v>
      </c>
      <c r="B4783" t="str">
        <f>"1551601205537232"</f>
        <v>1551601205537232</v>
      </c>
      <c r="C4783" t="s">
        <v>40</v>
      </c>
      <c r="D4783">
        <v>5.1425799999999997</v>
      </c>
      <c r="E4783">
        <v>0.47815259999999998</v>
      </c>
      <c r="F4783" t="s">
        <v>52</v>
      </c>
      <c r="G4783">
        <v>-445.32350000000002</v>
      </c>
      <c r="H4783" s="1">
        <v>1.262531E-6</v>
      </c>
      <c r="I4783">
        <v>215.38460000000001</v>
      </c>
      <c r="J4783">
        <v>-466.20179999999999</v>
      </c>
      <c r="K4783">
        <v>1.1244179999999999</v>
      </c>
      <c r="L4783">
        <v>215.19380000000001</v>
      </c>
      <c r="M4783">
        <v>0.98879479999999997</v>
      </c>
      <c r="N4783">
        <v>-1.127478E-2</v>
      </c>
      <c r="O4783">
        <v>-0.14885519999999999</v>
      </c>
      <c r="P4783">
        <v>0.99460660000000001</v>
      </c>
      <c r="Q4783">
        <v>9.3892409999999996E-2</v>
      </c>
      <c r="R4783">
        <v>-4.4071109999999997E-2</v>
      </c>
      <c r="S4783">
        <v>3.034424</v>
      </c>
      <c r="T4783">
        <v>-0.161487299999999</v>
      </c>
      <c r="U4783">
        <v>2.275085E-2</v>
      </c>
      <c r="V4783">
        <v>-0.1053053</v>
      </c>
      <c r="W4783">
        <v>0.1042247</v>
      </c>
      <c r="X4783">
        <v>0.98896309999999998</v>
      </c>
      <c r="Y4783">
        <v>-0.1558775</v>
      </c>
      <c r="Z4783">
        <v>1.1237499999999999E-2</v>
      </c>
      <c r="AA4783">
        <v>0.98771249999999999</v>
      </c>
      <c r="AB4783">
        <v>23</v>
      </c>
      <c r="AC4783">
        <v>20.8782999999999</v>
      </c>
      <c r="AD4783">
        <v>-1.1244167374689999</v>
      </c>
      <c r="AE4783">
        <v>0.190799999999995</v>
      </c>
      <c r="AF4783">
        <v>-3.2871813873385398</v>
      </c>
      <c r="AG4783">
        <v>-1.1244167374689999</v>
      </c>
      <c r="AH4783">
        <v>20.557640573731302</v>
      </c>
      <c r="AI4783">
        <v>93.0915240633786</v>
      </c>
      <c r="AJ4783">
        <v>99.084730110582996</v>
      </c>
      <c r="AK4783">
        <v>20.849135723849301</v>
      </c>
      <c r="AL4783">
        <v>84.0174999630255</v>
      </c>
      <c r="AM4783">
        <v>96.077982217568803</v>
      </c>
      <c r="AN4783">
        <v>1.00000000372989</v>
      </c>
    </row>
    <row r="4784" spans="1:40" x14ac:dyDescent="0.25">
      <c r="A4784" t="str">
        <f>"20190303162005565"</f>
        <v>20190303162005565</v>
      </c>
      <c r="B4784" t="str">
        <f>"1551601205556751"</f>
        <v>1551601205556751</v>
      </c>
      <c r="C4784" t="s">
        <v>40</v>
      </c>
      <c r="D4784">
        <v>5.0792289999999998</v>
      </c>
      <c r="E4784">
        <v>0.47863990000000001</v>
      </c>
      <c r="F4784" t="s">
        <v>52</v>
      </c>
      <c r="G4784">
        <v>-445.36079999999998</v>
      </c>
      <c r="H4784" s="1">
        <v>1.2805160000000001E-6</v>
      </c>
      <c r="I4784">
        <v>215.4273</v>
      </c>
      <c r="J4784">
        <v>-466.00380000000001</v>
      </c>
      <c r="K4784">
        <v>1.1245459999999901</v>
      </c>
      <c r="L4784">
        <v>215.16909999999999</v>
      </c>
      <c r="M4784">
        <v>0.98946800000000001</v>
      </c>
      <c r="N4784">
        <v>-1.1290329999999999E-2</v>
      </c>
      <c r="O4784">
        <v>-0.144312</v>
      </c>
      <c r="P4784">
        <v>0.99506280000000003</v>
      </c>
      <c r="Q4784">
        <v>9.1217500000000007E-2</v>
      </c>
      <c r="R4784">
        <v>-3.9113229999999999E-2</v>
      </c>
      <c r="S4784">
        <v>3.0332949999999999</v>
      </c>
      <c r="T4784">
        <v>-0.163652399999999</v>
      </c>
      <c r="U4784">
        <v>3.3981320000000002E-2</v>
      </c>
      <c r="V4784">
        <v>-0.1057443</v>
      </c>
      <c r="W4784">
        <v>0.1015254</v>
      </c>
      <c r="X4784">
        <v>0.98919699999999999</v>
      </c>
      <c r="Y4784">
        <v>-0.1549943</v>
      </c>
      <c r="Z4784">
        <v>1.118251E-2</v>
      </c>
      <c r="AA4784">
        <v>0.98785210000000001</v>
      </c>
      <c r="AB4784">
        <v>23</v>
      </c>
      <c r="AC4784">
        <v>20.643000000000001</v>
      </c>
      <c r="AD4784">
        <v>-1.1245447194839999</v>
      </c>
      <c r="AE4784">
        <v>0.25820000000001597</v>
      </c>
      <c r="AF4784">
        <v>-3.2251493541224199</v>
      </c>
      <c r="AG4784">
        <v>-1.1245447194839999</v>
      </c>
      <c r="AH4784">
        <v>20.329302463514701</v>
      </c>
      <c r="AI4784">
        <v>93.127143111279594</v>
      </c>
      <c r="AJ4784">
        <v>99.014582742621698</v>
      </c>
      <c r="AK4784">
        <v>20.6142360478283</v>
      </c>
      <c r="AL4784">
        <v>84.172983346407193</v>
      </c>
      <c r="AM4784">
        <v>96.101697235803002</v>
      </c>
      <c r="AN4784">
        <v>0.99999998431832404</v>
      </c>
    </row>
    <row r="4785" spans="1:40" x14ac:dyDescent="0.25">
      <c r="A4785" t="str">
        <f>"20190303162005588"</f>
        <v>20190303162005588</v>
      </c>
      <c r="B4785" t="str">
        <f>"1551601205577247"</f>
        <v>1551601205577247</v>
      </c>
      <c r="C4785" t="s">
        <v>40</v>
      </c>
      <c r="D4785">
        <v>5.1385540000000001</v>
      </c>
      <c r="E4785">
        <v>0.47905419999999999</v>
      </c>
      <c r="F4785" t="s">
        <v>52</v>
      </c>
      <c r="G4785">
        <v>-445.98140000000001</v>
      </c>
      <c r="H4785" s="1">
        <v>1.6091899999999999E-6</v>
      </c>
      <c r="I4785">
        <v>215.4631</v>
      </c>
      <c r="J4785">
        <v>-465.77510000000001</v>
      </c>
      <c r="K4785">
        <v>1.1246769999999999</v>
      </c>
      <c r="L4785">
        <v>215.1421</v>
      </c>
      <c r="M4785">
        <v>0.99024860000000003</v>
      </c>
      <c r="N4785">
        <v>-1.1309019999999999E-2</v>
      </c>
      <c r="O4785">
        <v>-0.138851799999999</v>
      </c>
      <c r="P4785">
        <v>0.99557070000000003</v>
      </c>
      <c r="Q4785">
        <v>8.7807919999999998E-2</v>
      </c>
      <c r="R4785">
        <v>-3.3601659999999998E-2</v>
      </c>
      <c r="S4785">
        <v>3.0322879999999999</v>
      </c>
      <c r="T4785">
        <v>-0.17030629999999999</v>
      </c>
      <c r="U4785">
        <v>4.4525149999999999E-2</v>
      </c>
      <c r="V4785">
        <v>-0.1058177</v>
      </c>
      <c r="W4785">
        <v>9.8098389999999994E-2</v>
      </c>
      <c r="X4785">
        <v>0.9895349</v>
      </c>
      <c r="Y4785">
        <v>-0.1529575</v>
      </c>
      <c r="Z4785">
        <v>1.135984E-2</v>
      </c>
      <c r="AA4785">
        <v>0.98816749999999998</v>
      </c>
      <c r="AB4785">
        <v>23</v>
      </c>
      <c r="AC4785">
        <v>19.793700000000001</v>
      </c>
      <c r="AD4785">
        <v>-1.12467539081</v>
      </c>
      <c r="AE4785">
        <v>0.32099999999999701</v>
      </c>
      <c r="AF4785">
        <v>-3.0565911603638098</v>
      </c>
      <c r="AG4785">
        <v>-1.12467539081</v>
      </c>
      <c r="AH4785">
        <v>19.4944416977714</v>
      </c>
      <c r="AI4785">
        <v>93.262087612325899</v>
      </c>
      <c r="AJ4785">
        <v>98.911024381839695</v>
      </c>
      <c r="AK4785">
        <v>19.7646376481866</v>
      </c>
      <c r="AL4785">
        <v>84.370322187711494</v>
      </c>
      <c r="AM4785">
        <v>96.103831345769507</v>
      </c>
      <c r="AN4785">
        <v>0.99999999903594605</v>
      </c>
    </row>
    <row r="4786" spans="1:40" x14ac:dyDescent="0.25">
      <c r="A4786" t="str">
        <f>"20190303162005611"</f>
        <v>20190303162005611</v>
      </c>
      <c r="B4786" t="str">
        <f>"1551601205596767"</f>
        <v>1551601205596767</v>
      </c>
      <c r="C4786" t="s">
        <v>40</v>
      </c>
      <c r="D4786">
        <v>5.1421099999999997</v>
      </c>
      <c r="E4786">
        <v>0.47934130000000003</v>
      </c>
      <c r="F4786" t="s">
        <v>52</v>
      </c>
      <c r="G4786">
        <v>-446.68049999999999</v>
      </c>
      <c r="H4786" s="1">
        <v>1.9791330000000001E-6</v>
      </c>
      <c r="I4786">
        <v>215.5112</v>
      </c>
      <c r="J4786">
        <v>-465.54880000000003</v>
      </c>
      <c r="K4786">
        <v>1.1247990000000001</v>
      </c>
      <c r="L4786">
        <v>215.11689999999999</v>
      </c>
      <c r="M4786">
        <v>0.99102009999999996</v>
      </c>
      <c r="N4786">
        <v>-1.13271E-2</v>
      </c>
      <c r="O4786">
        <v>-0.1332323</v>
      </c>
      <c r="P4786">
        <v>0.99608719999999995</v>
      </c>
      <c r="Q4786">
        <v>8.3964079999999996E-2</v>
      </c>
      <c r="R4786">
        <v>-2.757834E-2</v>
      </c>
      <c r="S4786">
        <v>3.0310969999999999</v>
      </c>
      <c r="T4786">
        <v>-0.17853239999999901</v>
      </c>
      <c r="U4786">
        <v>5.859375E-2</v>
      </c>
      <c r="V4786">
        <v>-0.1062326</v>
      </c>
      <c r="W4786">
        <v>9.4238269999999999E-2</v>
      </c>
      <c r="X4786">
        <v>0.98986549999999995</v>
      </c>
      <c r="Y4786">
        <v>-0.1519074</v>
      </c>
      <c r="Z4786">
        <v>1.1644689999999999E-2</v>
      </c>
      <c r="AA4786">
        <v>0.98832609999999999</v>
      </c>
      <c r="AB4786">
        <v>23</v>
      </c>
      <c r="AC4786">
        <v>18.868300000000001</v>
      </c>
      <c r="AD4786">
        <v>-1.124797020867</v>
      </c>
      <c r="AE4786">
        <v>0.39430000000001503</v>
      </c>
      <c r="AF4786">
        <v>-2.8945307525956201</v>
      </c>
      <c r="AG4786">
        <v>-1.124797020867</v>
      </c>
      <c r="AH4786">
        <v>18.5815228416316</v>
      </c>
      <c r="AI4786">
        <v>93.422883150284093</v>
      </c>
      <c r="AJ4786">
        <v>98.8540723715182</v>
      </c>
      <c r="AK4786">
        <v>18.839226834717799</v>
      </c>
      <c r="AL4786">
        <v>84.592520588092896</v>
      </c>
      <c r="AM4786">
        <v>96.125551146923101</v>
      </c>
      <c r="AN4786">
        <v>0.99999996246279999</v>
      </c>
    </row>
    <row r="4787" spans="1:40" x14ac:dyDescent="0.25">
      <c r="A4787" t="str">
        <f>"20190303162005632"</f>
        <v>20190303162005632</v>
      </c>
      <c r="B4787" t="str">
        <f>"1551601205627022"</f>
        <v>1551601205627022</v>
      </c>
      <c r="C4787" t="s">
        <v>40</v>
      </c>
      <c r="D4787">
        <v>5.1999879999999896</v>
      </c>
      <c r="E4787">
        <v>0.479634</v>
      </c>
      <c r="F4787" t="s">
        <v>52</v>
      </c>
      <c r="G4787">
        <v>-447.28769999999997</v>
      </c>
      <c r="H4787" s="1">
        <v>2.299823E-6</v>
      </c>
      <c r="I4787">
        <v>215.56639999999999</v>
      </c>
      <c r="J4787">
        <v>-465.3272</v>
      </c>
      <c r="K4787">
        <v>1.1249129999999901</v>
      </c>
      <c r="L4787">
        <v>215.09370000000001</v>
      </c>
      <c r="M4787">
        <v>0.99177340000000003</v>
      </c>
      <c r="N4787">
        <v>-1.134509E-2</v>
      </c>
      <c r="O4787">
        <v>-0.12750300000000001</v>
      </c>
      <c r="P4787">
        <v>0.99653820000000004</v>
      </c>
      <c r="Q4787">
        <v>8.0531110000000003E-2</v>
      </c>
      <c r="R4787">
        <v>-2.0655659999999999E-2</v>
      </c>
      <c r="S4787">
        <v>3.029541</v>
      </c>
      <c r="T4787">
        <v>-0.18660550000000001</v>
      </c>
      <c r="U4787">
        <v>7.4569700000000003E-2</v>
      </c>
      <c r="V4787">
        <v>-0.10742500000000001</v>
      </c>
      <c r="W4787">
        <v>9.0781769999999998E-2</v>
      </c>
      <c r="X4787">
        <v>0.99005989999999999</v>
      </c>
      <c r="Y4787">
        <v>-0.15137890000000001</v>
      </c>
      <c r="Z4787">
        <v>1.1901129999999999E-2</v>
      </c>
      <c r="AA4787">
        <v>0.98840419999999996</v>
      </c>
      <c r="AB4787">
        <v>23</v>
      </c>
      <c r="AC4787">
        <v>18.0395</v>
      </c>
      <c r="AD4787">
        <v>-1.12491070017699</v>
      </c>
      <c r="AE4787">
        <v>0.47269999999997397</v>
      </c>
      <c r="AF4787">
        <v>-2.75836093464634</v>
      </c>
      <c r="AG4787">
        <v>-1.12491070017699</v>
      </c>
      <c r="AH4787">
        <v>17.762946774416701</v>
      </c>
      <c r="AI4787">
        <v>93.580844987802493</v>
      </c>
      <c r="AJ4787">
        <v>98.826809968227593</v>
      </c>
      <c r="AK4787">
        <v>18.011003782130398</v>
      </c>
      <c r="AL4787">
        <v>84.791416842419395</v>
      </c>
      <c r="AM4787">
        <v>96.192568762847003</v>
      </c>
      <c r="AN4787">
        <v>1.00000003298867</v>
      </c>
    </row>
    <row r="4788" spans="1:40" x14ac:dyDescent="0.25">
      <c r="A4788" t="str">
        <f>"20190303162005656"</f>
        <v>20190303162005656</v>
      </c>
      <c r="B4788" t="str">
        <f>"1551601205647518"</f>
        <v>1551601205647518</v>
      </c>
      <c r="C4788" t="s">
        <v>40</v>
      </c>
      <c r="D4788">
        <v>5.1440320000000002</v>
      </c>
      <c r="E4788">
        <v>0.4844638</v>
      </c>
      <c r="F4788" t="s">
        <v>52</v>
      </c>
      <c r="G4788">
        <v>-447.75569999999999</v>
      </c>
      <c r="H4788" s="1">
        <v>2.5458759999999998E-6</v>
      </c>
      <c r="I4788">
        <v>215.6354</v>
      </c>
      <c r="J4788">
        <v>-465.08819999999997</v>
      </c>
      <c r="K4788">
        <v>1.125065</v>
      </c>
      <c r="L4788">
        <v>215.07040000000001</v>
      </c>
      <c r="M4788">
        <v>0.99258060000000004</v>
      </c>
      <c r="N4788">
        <v>-1.1367E-2</v>
      </c>
      <c r="O4788">
        <v>-0.12105630000000001</v>
      </c>
      <c r="P4788">
        <v>0.9967762</v>
      </c>
      <c r="Q4788">
        <v>7.8999070000000005E-2</v>
      </c>
      <c r="R4788">
        <v>-1.4014230000000001E-2</v>
      </c>
      <c r="S4788">
        <v>3.0280459999999998</v>
      </c>
      <c r="T4788">
        <v>-0.193853</v>
      </c>
      <c r="U4788">
        <v>9.3353270000000002E-2</v>
      </c>
      <c r="V4788">
        <v>-0.1076228</v>
      </c>
      <c r="W4788">
        <v>8.9233590000000002E-2</v>
      </c>
      <c r="X4788">
        <v>0.99017909999999998</v>
      </c>
      <c r="Y4788">
        <v>-0.15106410000000001</v>
      </c>
      <c r="Z4788">
        <v>1.2042219999999999E-2</v>
      </c>
      <c r="AA4788">
        <v>0.98845059999999996</v>
      </c>
      <c r="AB4788">
        <v>23</v>
      </c>
      <c r="AC4788">
        <v>17.3324999999999</v>
      </c>
      <c r="AD4788">
        <v>-1.125062454124</v>
      </c>
      <c r="AE4788">
        <v>0.56499999999999695</v>
      </c>
      <c r="AF4788">
        <v>-2.6480426753725701</v>
      </c>
      <c r="AG4788">
        <v>-1.125062454124</v>
      </c>
      <c r="AH4788">
        <v>17.0647887020043</v>
      </c>
      <c r="AI4788">
        <v>93.727504616627499</v>
      </c>
      <c r="AJ4788">
        <v>98.8205704373228</v>
      </c>
      <c r="AK4788">
        <v>17.305632290682901</v>
      </c>
      <c r="AL4788">
        <v>84.880482244094694</v>
      </c>
      <c r="AM4788">
        <v>96.203141197689206</v>
      </c>
      <c r="AN4788">
        <v>0.99999997537046803</v>
      </c>
    </row>
    <row r="4789" spans="1:40" x14ac:dyDescent="0.25">
      <c r="A4789" t="str">
        <f>"20190303162005678"</f>
        <v>20190303162005678</v>
      </c>
      <c r="B4789" t="str">
        <f>"1551601205667039"</f>
        <v>1551601205667039</v>
      </c>
      <c r="C4789" t="s">
        <v>40</v>
      </c>
      <c r="D4789">
        <v>5.3255049999999997</v>
      </c>
      <c r="E4789">
        <v>0.48529119999999998</v>
      </c>
      <c r="F4789" t="s">
        <v>52</v>
      </c>
      <c r="G4789">
        <v>-443.10070000000002</v>
      </c>
      <c r="H4789" s="1">
        <v>6.9145169999999996E-8</v>
      </c>
      <c r="I4789">
        <v>215.62520000000001</v>
      </c>
      <c r="J4789">
        <v>-464.8605</v>
      </c>
      <c r="K4789">
        <v>1.1252359999999999</v>
      </c>
      <c r="L4789">
        <v>215.04990000000001</v>
      </c>
      <c r="M4789">
        <v>0.99334230000000001</v>
      </c>
      <c r="N4789">
        <v>-1.1391760000000001E-2</v>
      </c>
      <c r="O4789">
        <v>-0.1146365</v>
      </c>
      <c r="P4789">
        <v>0.99663950000000001</v>
      </c>
      <c r="Q4789">
        <v>8.1171499999999994E-2</v>
      </c>
      <c r="R4789">
        <v>-1.1005849999999999E-2</v>
      </c>
      <c r="S4789">
        <v>3.0230410000000001</v>
      </c>
      <c r="T4789">
        <v>-0.15468380000000001</v>
      </c>
      <c r="U4789">
        <v>7.6278689999999996E-2</v>
      </c>
      <c r="V4789">
        <v>-0.104242</v>
      </c>
      <c r="W4789">
        <v>9.1424249999999999E-2</v>
      </c>
      <c r="X4789">
        <v>0.99034089999999997</v>
      </c>
      <c r="Y4789">
        <v>-0.13935259999999999</v>
      </c>
      <c r="Z4789">
        <v>8.9034819999999903E-3</v>
      </c>
      <c r="AA4789">
        <v>0.99020280000000005</v>
      </c>
      <c r="AB4789">
        <v>23</v>
      </c>
      <c r="AC4789">
        <v>21.759799999999899</v>
      </c>
      <c r="AD4789">
        <v>-1.1252359308548301</v>
      </c>
      <c r="AE4789">
        <v>0.57529999999999804</v>
      </c>
      <c r="AF4789">
        <v>-3.05796416491975</v>
      </c>
      <c r="AG4789">
        <v>-1.1252359308548301</v>
      </c>
      <c r="AH4789">
        <v>21.492941255957099</v>
      </c>
      <c r="AI4789">
        <v>92.967085867588096</v>
      </c>
      <c r="AJ4789">
        <v>98.097558637272101</v>
      </c>
      <c r="AK4789">
        <v>21.738533174205699</v>
      </c>
      <c r="AL4789">
        <v>84.754451257525304</v>
      </c>
      <c r="AM4789">
        <v>96.008753584504205</v>
      </c>
      <c r="AN4789">
        <v>0.99999994313243401</v>
      </c>
    </row>
    <row r="4790" spans="1:40" x14ac:dyDescent="0.25">
      <c r="A4790" t="str">
        <f>"20190303162005702"</f>
        <v>20190303162005702</v>
      </c>
      <c r="B4790" t="str">
        <f>"1551601205687534"</f>
        <v>1551601205687534</v>
      </c>
      <c r="C4790" t="s">
        <v>40</v>
      </c>
      <c r="D4790">
        <v>5.2577850000000002</v>
      </c>
      <c r="E4790">
        <v>0.48598710000000001</v>
      </c>
      <c r="F4790" t="s">
        <v>52</v>
      </c>
      <c r="G4790">
        <v>-440.84440000000001</v>
      </c>
      <c r="H4790" s="1">
        <v>-1.134296E-6</v>
      </c>
      <c r="I4790">
        <v>215.6876</v>
      </c>
      <c r="J4790">
        <v>-464.62430000000001</v>
      </c>
      <c r="K4790">
        <v>1.1254409999999999</v>
      </c>
      <c r="L4790">
        <v>215.03039999999999</v>
      </c>
      <c r="M4790">
        <v>0.99412080000000003</v>
      </c>
      <c r="N4790">
        <v>-1.1421789999999999E-2</v>
      </c>
      <c r="O4790">
        <v>-0.1076737</v>
      </c>
      <c r="P4790">
        <v>0.9965446</v>
      </c>
      <c r="Q4790">
        <v>8.2680210000000004E-2</v>
      </c>
      <c r="R4790">
        <v>-7.9293550000000008E-3</v>
      </c>
      <c r="S4790">
        <v>3.0225219999999999</v>
      </c>
      <c r="T4790">
        <v>-0.141615299999999</v>
      </c>
      <c r="U4790">
        <v>8.0261230000000003E-2</v>
      </c>
      <c r="V4790">
        <v>-0.1004019</v>
      </c>
      <c r="W4790">
        <v>9.2956929999999993E-2</v>
      </c>
      <c r="X4790">
        <v>0.990595</v>
      </c>
      <c r="Y4790">
        <v>-0.13378370000000001</v>
      </c>
      <c r="Z4790">
        <v>7.7017159999999999E-3</v>
      </c>
      <c r="AA4790">
        <v>0.99098059999999999</v>
      </c>
      <c r="AB4790">
        <v>23</v>
      </c>
      <c r="AC4790">
        <v>23.779900000000001</v>
      </c>
      <c r="AD4790">
        <v>-1.1254421342959999</v>
      </c>
      <c r="AE4790">
        <v>0.65720000000001699</v>
      </c>
      <c r="AF4790">
        <v>-3.2068377873921698</v>
      </c>
      <c r="AG4790">
        <v>-1.1254421342959999</v>
      </c>
      <c r="AH4790">
        <v>23.518226691554599</v>
      </c>
      <c r="AI4790">
        <v>92.714662127936407</v>
      </c>
      <c r="AJ4790">
        <v>97.764704110211696</v>
      </c>
      <c r="AK4790">
        <v>23.762521232134599</v>
      </c>
      <c r="AL4790">
        <v>84.666259841127896</v>
      </c>
      <c r="AM4790">
        <v>95.787458121906596</v>
      </c>
      <c r="AN4790">
        <v>0.99999999319181698</v>
      </c>
    </row>
    <row r="4791" spans="1:40" x14ac:dyDescent="0.25">
      <c r="A4791" t="str">
        <f>"20190303162005723"</f>
        <v>20190303162005723</v>
      </c>
      <c r="B4791" t="str">
        <f>"1551601205716815"</f>
        <v>1551601205716815</v>
      </c>
      <c r="C4791" t="s">
        <v>40</v>
      </c>
      <c r="D4791">
        <v>5.1925460000000001</v>
      </c>
      <c r="E4791">
        <v>0.4866568</v>
      </c>
      <c r="F4791" t="s">
        <v>56</v>
      </c>
      <c r="G4791">
        <v>-439.26569999999998</v>
      </c>
      <c r="H4791" s="1">
        <v>6.2274340000000004E-6</v>
      </c>
      <c r="I4791">
        <v>215.74279999999999</v>
      </c>
      <c r="J4791">
        <v>-464.40100000000001</v>
      </c>
      <c r="K4791">
        <v>1.12565</v>
      </c>
      <c r="L4791">
        <v>215.01400000000001</v>
      </c>
      <c r="M4791">
        <v>0.994842</v>
      </c>
      <c r="N4791">
        <v>-1.1453659999999999E-2</v>
      </c>
      <c r="O4791">
        <v>-0.10078810000000001</v>
      </c>
      <c r="P4791">
        <v>0.99659200000000003</v>
      </c>
      <c r="Q4791">
        <v>8.2226809999999997E-2</v>
      </c>
      <c r="R4791">
        <v>-6.5839840000000002E-3</v>
      </c>
      <c r="S4791">
        <v>3.022186</v>
      </c>
      <c r="T4791">
        <v>-0.13412689999999999</v>
      </c>
      <c r="U4791">
        <v>8.4899899999999903E-2</v>
      </c>
      <c r="V4791">
        <v>-9.4918950000000002E-2</v>
      </c>
      <c r="W4791">
        <v>9.2552389999999998E-2</v>
      </c>
      <c r="X4791">
        <v>0.99117330000000003</v>
      </c>
      <c r="Y4791">
        <v>-0.1284797</v>
      </c>
      <c r="Z4791">
        <v>6.896452E-3</v>
      </c>
      <c r="AA4791">
        <v>0.99168809999999996</v>
      </c>
      <c r="AB4791">
        <v>23</v>
      </c>
      <c r="AC4791">
        <v>25.135300000000001</v>
      </c>
      <c r="AD4791">
        <v>-1.125643772566</v>
      </c>
      <c r="AE4791">
        <v>0.72879999999997802</v>
      </c>
      <c r="AF4791">
        <v>-3.2520769464189301</v>
      </c>
      <c r="AG4791">
        <v>-1.125643772566</v>
      </c>
      <c r="AH4791">
        <v>24.883968736921201</v>
      </c>
      <c r="AI4791">
        <v>92.568239067658894</v>
      </c>
      <c r="AJ4791">
        <v>97.445765547738404</v>
      </c>
      <c r="AK4791">
        <v>25.120807679456</v>
      </c>
      <c r="AL4791">
        <v>84.689538834039595</v>
      </c>
      <c r="AM4791">
        <v>95.4702049991417</v>
      </c>
      <c r="AN4791">
        <v>1.0000000312983499</v>
      </c>
    </row>
    <row r="4792" spans="1:40" x14ac:dyDescent="0.25">
      <c r="A4792" t="str">
        <f>"20190303162005746"</f>
        <v>20190303162005746</v>
      </c>
      <c r="B4792" t="str">
        <f>"1551601205737311"</f>
        <v>1551601205737311</v>
      </c>
      <c r="C4792" t="s">
        <v>40</v>
      </c>
      <c r="D4792">
        <v>5.2505550000000003</v>
      </c>
      <c r="E4792">
        <v>0.48716599999999999</v>
      </c>
      <c r="F4792" t="s">
        <v>56</v>
      </c>
      <c r="G4792">
        <v>-438.10829999999999</v>
      </c>
      <c r="H4792" s="1">
        <v>5.7139139999999996E-6</v>
      </c>
      <c r="I4792">
        <v>215.74610000000001</v>
      </c>
      <c r="J4792">
        <v>-464.17829999999998</v>
      </c>
      <c r="K4792">
        <v>1.125848</v>
      </c>
      <c r="L4792">
        <v>214.99950000000001</v>
      </c>
      <c r="M4792">
        <v>0.99554169999999997</v>
      </c>
      <c r="N4792">
        <v>-1.1487880000000001E-2</v>
      </c>
      <c r="O4792">
        <v>-9.3621280000000001E-2</v>
      </c>
      <c r="P4792">
        <v>0.99675369999999996</v>
      </c>
      <c r="Q4792">
        <v>8.0390039999999996E-2</v>
      </c>
      <c r="R4792">
        <v>-4.4798989999999999E-3</v>
      </c>
      <c r="S4792">
        <v>3.0214840000000001</v>
      </c>
      <c r="T4792">
        <v>-0.1293559</v>
      </c>
      <c r="U4792">
        <v>8.4136959999999997E-2</v>
      </c>
      <c r="V4792">
        <v>-8.9908100000000005E-2</v>
      </c>
      <c r="W4792">
        <v>9.0767039999999993E-2</v>
      </c>
      <c r="X4792">
        <v>0.99180539999999995</v>
      </c>
      <c r="Y4792">
        <v>-0.121118</v>
      </c>
      <c r="Z4792">
        <v>6.2138139999999998E-3</v>
      </c>
      <c r="AA4792">
        <v>0.99261869999999996</v>
      </c>
      <c r="AB4792">
        <v>23</v>
      </c>
      <c r="AC4792">
        <v>26.07</v>
      </c>
      <c r="AD4792">
        <v>-1.125842286086</v>
      </c>
      <c r="AE4792">
        <v>0.74660000000000004</v>
      </c>
      <c r="AF4792">
        <v>-3.1782654862715098</v>
      </c>
      <c r="AG4792">
        <v>-1.125842286086</v>
      </c>
      <c r="AH4792">
        <v>25.8374334379616</v>
      </c>
      <c r="AI4792">
        <v>92.476390447672898</v>
      </c>
      <c r="AJ4792">
        <v>97.012730635424006</v>
      </c>
      <c r="AK4792">
        <v>26.056512794605801</v>
      </c>
      <c r="AL4792">
        <v>84.792264327552104</v>
      </c>
      <c r="AM4792">
        <v>95.179759315825905</v>
      </c>
      <c r="AN4792">
        <v>1.0000000367325601</v>
      </c>
    </row>
    <row r="4793" spans="1:40" x14ac:dyDescent="0.25">
      <c r="A4793" t="str">
        <f>"20190303162005767"</f>
        <v>20190303162005767</v>
      </c>
      <c r="B4793" t="str">
        <f>"1551601205756831"</f>
        <v>1551601205756831</v>
      </c>
      <c r="C4793" t="s">
        <v>40</v>
      </c>
      <c r="D4793">
        <v>5.1923069999999996</v>
      </c>
      <c r="E4793">
        <v>0.48758560000000001</v>
      </c>
      <c r="F4793" t="s">
        <v>56</v>
      </c>
      <c r="G4793">
        <v>-438.72750000000002</v>
      </c>
      <c r="H4793" s="1">
        <v>5.9902660000000004E-6</v>
      </c>
      <c r="I4793">
        <v>215.7261</v>
      </c>
      <c r="J4793">
        <v>-463.95929999999998</v>
      </c>
      <c r="K4793">
        <v>1.126028</v>
      </c>
      <c r="L4793">
        <v>214.9872</v>
      </c>
      <c r="M4793">
        <v>0.99620319999999996</v>
      </c>
      <c r="N4793">
        <v>-1.1521679999999999E-2</v>
      </c>
      <c r="O4793">
        <v>-8.6293460000000002E-2</v>
      </c>
      <c r="P4793">
        <v>0.99688880000000002</v>
      </c>
      <c r="Q4793">
        <v>7.8808359999999994E-2</v>
      </c>
      <c r="R4793">
        <v>-1.5225460000000001E-3</v>
      </c>
      <c r="S4793">
        <v>3.0208740000000001</v>
      </c>
      <c r="T4793">
        <v>-0.13363149999999999</v>
      </c>
      <c r="U4793">
        <v>8.6242680000000002E-2</v>
      </c>
      <c r="V4793">
        <v>-8.5581439999999995E-2</v>
      </c>
      <c r="W4793">
        <v>8.9235490000000001E-2</v>
      </c>
      <c r="X4793">
        <v>0.99232699999999996</v>
      </c>
      <c r="Y4793">
        <v>-0.11450780000000001</v>
      </c>
      <c r="Z4793">
        <v>6.0090619999999999E-3</v>
      </c>
      <c r="AA4793">
        <v>0.99340419999999996</v>
      </c>
      <c r="AB4793">
        <v>23</v>
      </c>
      <c r="AC4793">
        <v>25.2317999999999</v>
      </c>
      <c r="AD4793">
        <v>-1.1260220097339999</v>
      </c>
      <c r="AE4793">
        <v>0.738900000000001</v>
      </c>
      <c r="AF4793">
        <v>-2.9078408526645698</v>
      </c>
      <c r="AG4793">
        <v>-1.1260220097339999</v>
      </c>
      <c r="AH4793">
        <v>25.024105656090601</v>
      </c>
      <c r="AI4793">
        <v>92.559231116851393</v>
      </c>
      <c r="AJ4793">
        <v>96.628134505161995</v>
      </c>
      <c r="AK4793">
        <v>25.217639220950399</v>
      </c>
      <c r="AL4793">
        <v>84.880373150736403</v>
      </c>
      <c r="AM4793">
        <v>94.929173718807107</v>
      </c>
      <c r="AN4793">
        <v>1.0000000152385</v>
      </c>
    </row>
    <row r="4794" spans="1:40" x14ac:dyDescent="0.25">
      <c r="A4794" t="str">
        <f>"20190303162005789"</f>
        <v>20190303162005789</v>
      </c>
      <c r="B4794" t="str">
        <f>"1551601205777327"</f>
        <v>1551601205777327</v>
      </c>
      <c r="C4794" t="s">
        <v>40</v>
      </c>
      <c r="D4794">
        <v>5.1909020000000003</v>
      </c>
      <c r="E4794">
        <v>0.48790169999999999</v>
      </c>
      <c r="F4794" t="s">
        <v>56</v>
      </c>
      <c r="G4794">
        <v>-439.05040000000002</v>
      </c>
      <c r="H4794" s="1">
        <v>6.1318920000000003E-6</v>
      </c>
      <c r="I4794">
        <v>215.74369999999999</v>
      </c>
      <c r="J4794">
        <v>-463.73559999999998</v>
      </c>
      <c r="K4794">
        <v>1.126182</v>
      </c>
      <c r="L4794">
        <v>214.97659999999999</v>
      </c>
      <c r="M4794">
        <v>0.99683980000000005</v>
      </c>
      <c r="N4794">
        <v>-1.155317E-2</v>
      </c>
      <c r="O4794">
        <v>-7.8593449999999995E-2</v>
      </c>
      <c r="P4794">
        <v>0.99683790000000005</v>
      </c>
      <c r="Q4794">
        <v>7.9458730000000005E-2</v>
      </c>
      <c r="R4794">
        <v>9.0452250000000001E-4</v>
      </c>
      <c r="S4794">
        <v>3.0202939999999998</v>
      </c>
      <c r="T4794">
        <v>-0.13653399999999999</v>
      </c>
      <c r="U4794">
        <v>9.1720579999999996E-2</v>
      </c>
      <c r="V4794">
        <v>-8.036016E-2</v>
      </c>
      <c r="W4794">
        <v>8.9955469999999996E-2</v>
      </c>
      <c r="X4794">
        <v>0.99269850000000004</v>
      </c>
      <c r="Y4794">
        <v>-0.1086391</v>
      </c>
      <c r="Z4794">
        <v>5.7224800000000003E-3</v>
      </c>
      <c r="AA4794">
        <v>0.99406479999999997</v>
      </c>
      <c r="AB4794">
        <v>23</v>
      </c>
      <c r="AC4794">
        <v>24.685199999999899</v>
      </c>
      <c r="AD4794">
        <v>-1.1261758681080001</v>
      </c>
      <c r="AE4794">
        <v>0.767099999999999</v>
      </c>
      <c r="AF4794">
        <v>-2.6993386098266101</v>
      </c>
      <c r="AG4794">
        <v>-1.1261758681080001</v>
      </c>
      <c r="AH4794">
        <v>24.497601063699801</v>
      </c>
      <c r="AI4794">
        <v>92.616270908981093</v>
      </c>
      <c r="AJ4794">
        <v>96.287934038193995</v>
      </c>
      <c r="AK4794">
        <v>24.671586063579198</v>
      </c>
      <c r="AL4794">
        <v>84.838954820544302</v>
      </c>
      <c r="AM4794">
        <v>94.628071758918097</v>
      </c>
      <c r="AN4794">
        <v>1.0000000269001901</v>
      </c>
    </row>
    <row r="4795" spans="1:40" x14ac:dyDescent="0.25">
      <c r="A4795" t="str">
        <f>"20190303162005811"</f>
        <v>20190303162005811</v>
      </c>
      <c r="B4795" t="str">
        <f>"1551601205796847"</f>
        <v>1551601205796847</v>
      </c>
      <c r="C4795" t="s">
        <v>40</v>
      </c>
      <c r="D4795">
        <v>5.1925970000000001</v>
      </c>
      <c r="E4795">
        <v>0.48793379999999997</v>
      </c>
      <c r="F4795" t="s">
        <v>56</v>
      </c>
      <c r="G4795">
        <v>-438.23439999999999</v>
      </c>
      <c r="H4795" s="1">
        <v>5.7653919999999997E-6</v>
      </c>
      <c r="I4795">
        <v>215.79689999999999</v>
      </c>
      <c r="J4795">
        <v>-463.50850000000003</v>
      </c>
      <c r="K4795">
        <v>1.1262779999999999</v>
      </c>
      <c r="L4795">
        <v>214.96789999999999</v>
      </c>
      <c r="M4795">
        <v>0.99743709999999997</v>
      </c>
      <c r="N4795">
        <v>-1.157943E-2</v>
      </c>
      <c r="O4795">
        <v>-7.0606059999999998E-2</v>
      </c>
      <c r="P4795">
        <v>0.99662910000000005</v>
      </c>
      <c r="Q4795">
        <v>8.1949859999999999E-2</v>
      </c>
      <c r="R4795">
        <v>3.8624150000000001E-3</v>
      </c>
      <c r="S4795">
        <v>3.0200499999999999</v>
      </c>
      <c r="T4795">
        <v>-0.1333705</v>
      </c>
      <c r="U4795">
        <v>9.713745E-2</v>
      </c>
      <c r="V4795">
        <v>-7.5387739999999995E-2</v>
      </c>
      <c r="W4795">
        <v>9.2517749999999996E-2</v>
      </c>
      <c r="X4795">
        <v>0.99285299999999999</v>
      </c>
      <c r="Y4795">
        <v>-0.10247820000000001</v>
      </c>
      <c r="Z4795">
        <v>5.1522950000000003E-3</v>
      </c>
      <c r="AA4795">
        <v>0.99472190000000005</v>
      </c>
      <c r="AB4795">
        <v>23</v>
      </c>
      <c r="AC4795">
        <v>25.274100000000001</v>
      </c>
      <c r="AD4795">
        <v>-1.1262722346080001</v>
      </c>
      <c r="AE4795">
        <v>0.82900000000000695</v>
      </c>
      <c r="AF4795">
        <v>-2.6063847829820399</v>
      </c>
      <c r="AG4795">
        <v>-1.1262722346080001</v>
      </c>
      <c r="AH4795">
        <v>25.102682739839899</v>
      </c>
      <c r="AI4795">
        <v>92.555226482750996</v>
      </c>
      <c r="AJ4795">
        <v>95.927719431713797</v>
      </c>
      <c r="AK4795">
        <v>25.2627475053777</v>
      </c>
      <c r="AL4795">
        <v>84.691531745867593</v>
      </c>
      <c r="AM4795">
        <v>94.342160284598606</v>
      </c>
      <c r="AN4795">
        <v>0.99999996250818401</v>
      </c>
    </row>
    <row r="4796" spans="1:40" x14ac:dyDescent="0.25">
      <c r="A4796" t="str">
        <f>"20190303162005833"</f>
        <v>20190303162005833</v>
      </c>
      <c r="B4796" t="str">
        <f>"1551601205827103"</f>
        <v>1551601205827103</v>
      </c>
      <c r="C4796" t="s">
        <v>40</v>
      </c>
      <c r="D4796">
        <v>5.1904599999999999</v>
      </c>
      <c r="E4796">
        <v>0.48819479999999998</v>
      </c>
      <c r="F4796" t="s">
        <v>56</v>
      </c>
      <c r="G4796">
        <v>-436.1395</v>
      </c>
      <c r="H4796" s="1">
        <v>4.8248599999999999E-6</v>
      </c>
      <c r="I4796">
        <v>215.929</v>
      </c>
      <c r="J4796">
        <v>-463.2756</v>
      </c>
      <c r="K4796">
        <v>1.1263049999999999</v>
      </c>
      <c r="L4796">
        <v>214.96090000000001</v>
      </c>
      <c r="M4796">
        <v>0.99799020000000005</v>
      </c>
      <c r="N4796">
        <v>-1.160008E-2</v>
      </c>
      <c r="O4796">
        <v>-6.2297409999999998E-2</v>
      </c>
      <c r="P4796">
        <v>0.99662459999999997</v>
      </c>
      <c r="Q4796">
        <v>8.1604880000000005E-2</v>
      </c>
      <c r="R4796">
        <v>8.945527E-3</v>
      </c>
      <c r="S4796">
        <v>3.0200200000000001</v>
      </c>
      <c r="T4796">
        <v>-0.12427820000000001</v>
      </c>
      <c r="U4796">
        <v>0.10604860000000001</v>
      </c>
      <c r="V4796">
        <v>-7.2188920000000004E-2</v>
      </c>
      <c r="W4796">
        <v>9.222764E-2</v>
      </c>
      <c r="X4796">
        <v>0.99311769999999999</v>
      </c>
      <c r="Y4796">
        <v>-9.7156160000000005E-2</v>
      </c>
      <c r="Z4796">
        <v>4.4004250000000003E-3</v>
      </c>
      <c r="AA4796">
        <v>0.99525940000000002</v>
      </c>
      <c r="AB4796">
        <v>23</v>
      </c>
      <c r="AC4796">
        <v>27.136099999999999</v>
      </c>
      <c r="AD4796">
        <v>-1.1263001751399999</v>
      </c>
      <c r="AE4796">
        <v>0.96809999999999197</v>
      </c>
      <c r="AF4796">
        <v>-2.6522785507236901</v>
      </c>
      <c r="AG4796">
        <v>-1.1263001751399999</v>
      </c>
      <c r="AH4796">
        <v>26.9766563509897</v>
      </c>
      <c r="AI4796">
        <v>92.379304264701602</v>
      </c>
      <c r="AJ4796">
        <v>95.615134029264496</v>
      </c>
      <c r="AK4796">
        <v>27.130114660180599</v>
      </c>
      <c r="AL4796">
        <v>84.708225247812706</v>
      </c>
      <c r="AM4796">
        <v>94.157471720355602</v>
      </c>
      <c r="AN4796">
        <v>0.99999997190201195</v>
      </c>
    </row>
    <row r="4797" spans="1:40" x14ac:dyDescent="0.25">
      <c r="A4797" t="str">
        <f>"20190303162005855"</f>
        <v>20190303162005855</v>
      </c>
      <c r="B4797" t="str">
        <f>"1551601205846623"</f>
        <v>1551601205846623</v>
      </c>
      <c r="C4797" t="s">
        <v>40</v>
      </c>
      <c r="D4797">
        <v>5.1883920000000003</v>
      </c>
      <c r="E4797">
        <v>0.48826950000000002</v>
      </c>
      <c r="F4797" t="s">
        <v>56</v>
      </c>
      <c r="G4797">
        <v>-436.03399999999999</v>
      </c>
      <c r="H4797" s="1">
        <v>4.7691069999999998E-6</v>
      </c>
      <c r="I4797">
        <v>216.0316</v>
      </c>
      <c r="J4797">
        <v>-463.0548</v>
      </c>
      <c r="K4797">
        <v>1.126287</v>
      </c>
      <c r="L4797">
        <v>214.95609999999999</v>
      </c>
      <c r="M4797">
        <v>0.99845300000000003</v>
      </c>
      <c r="N4797">
        <v>-1.1614019999999999E-2</v>
      </c>
      <c r="O4797">
        <v>-5.4375390000000003E-2</v>
      </c>
      <c r="P4797">
        <v>0.99683759999999999</v>
      </c>
      <c r="Q4797">
        <v>7.8271359999999998E-2</v>
      </c>
      <c r="R4797">
        <v>1.3727420000000001E-2</v>
      </c>
      <c r="S4797">
        <v>3.0193479999999999</v>
      </c>
      <c r="T4797">
        <v>-0.1248345</v>
      </c>
      <c r="U4797">
        <v>0.1186676</v>
      </c>
      <c r="V4797">
        <v>-6.9042549999999994E-2</v>
      </c>
      <c r="W4797">
        <v>8.8953370000000004E-2</v>
      </c>
      <c r="X4797">
        <v>0.99363999999999997</v>
      </c>
      <c r="Y4797">
        <v>-9.3424950000000007E-2</v>
      </c>
      <c r="Z4797">
        <v>4.0877149999999996E-3</v>
      </c>
      <c r="AA4797">
        <v>0.99561789999999994</v>
      </c>
      <c r="AB4797">
        <v>23</v>
      </c>
      <c r="AC4797">
        <v>27.020800000000001</v>
      </c>
      <c r="AD4797">
        <v>-1.1262822308930001</v>
      </c>
      <c r="AE4797">
        <v>1.0754999999999999</v>
      </c>
      <c r="AF4797">
        <v>-2.5388702811991899</v>
      </c>
      <c r="AG4797">
        <v>-1.1262822308930001</v>
      </c>
      <c r="AH4797">
        <v>26.875714563057301</v>
      </c>
      <c r="AI4797">
        <v>92.389069667668494</v>
      </c>
      <c r="AJ4797">
        <v>95.396550028765006</v>
      </c>
      <c r="AK4797">
        <v>27.0188528113855</v>
      </c>
      <c r="AL4797">
        <v>84.896601961781101</v>
      </c>
      <c r="AM4797">
        <v>93.974778293971198</v>
      </c>
      <c r="AN4797">
        <v>1.00000001267242</v>
      </c>
    </row>
    <row r="4798" spans="1:40" x14ac:dyDescent="0.25">
      <c r="A4798" t="str">
        <f>"20190303162005877"</f>
        <v>20190303162005877</v>
      </c>
      <c r="B4798" t="str">
        <f>"1551601205867119"</f>
        <v>1551601205867119</v>
      </c>
      <c r="C4798" t="s">
        <v>40</v>
      </c>
      <c r="D4798">
        <v>5.2478379999999998</v>
      </c>
      <c r="E4798">
        <v>0.48844209999999899</v>
      </c>
      <c r="F4798" t="s">
        <v>56</v>
      </c>
      <c r="G4798">
        <v>-437.96879999999999</v>
      </c>
      <c r="H4798" s="1">
        <v>5.625363E-6</v>
      </c>
      <c r="I4798">
        <v>216.05160000000001</v>
      </c>
      <c r="J4798">
        <v>-462.82679999999999</v>
      </c>
      <c r="K4798">
        <v>1.126231</v>
      </c>
      <c r="L4798">
        <v>214.9529</v>
      </c>
      <c r="M4798">
        <v>0.99886339999999996</v>
      </c>
      <c r="N4798">
        <v>-1.1622479999999999E-2</v>
      </c>
      <c r="O4798">
        <v>-4.6226080000000003E-2</v>
      </c>
      <c r="P4798">
        <v>0.99708269999999999</v>
      </c>
      <c r="Q4798">
        <v>7.4099810000000002E-2</v>
      </c>
      <c r="R4798">
        <v>1.8307549999999999E-2</v>
      </c>
      <c r="S4798">
        <v>3.0183110000000002</v>
      </c>
      <c r="T4798">
        <v>-0.13551279999999999</v>
      </c>
      <c r="U4798">
        <v>0.13180539999999999</v>
      </c>
      <c r="V4798">
        <v>-6.5450010000000003E-2</v>
      </c>
      <c r="W4798">
        <v>8.484862E-2</v>
      </c>
      <c r="X4798">
        <v>0.99424199999999996</v>
      </c>
      <c r="Y4798">
        <v>-8.9626520000000001E-2</v>
      </c>
      <c r="Z4798">
        <v>4.067958E-3</v>
      </c>
      <c r="AA4798">
        <v>0.99596709999999999</v>
      </c>
      <c r="AB4798">
        <v>23</v>
      </c>
      <c r="AC4798">
        <v>24.858000000000001</v>
      </c>
      <c r="AD4798">
        <v>-1.1262253746369999</v>
      </c>
      <c r="AE4798">
        <v>1.0987</v>
      </c>
      <c r="AF4798">
        <v>-2.24209753208337</v>
      </c>
      <c r="AG4798">
        <v>-1.1262253746369999</v>
      </c>
      <c r="AH4798">
        <v>24.729967880940499</v>
      </c>
      <c r="AI4798">
        <v>92.596864256571195</v>
      </c>
      <c r="AJ4798">
        <v>95.180454436135406</v>
      </c>
      <c r="AK4798">
        <v>24.856924514714201</v>
      </c>
      <c r="AL4798">
        <v>85.132680370561502</v>
      </c>
      <c r="AM4798">
        <v>93.766292853226901</v>
      </c>
      <c r="AN4798">
        <v>1.0000000733444401</v>
      </c>
    </row>
    <row r="4799" spans="1:40" x14ac:dyDescent="0.25">
      <c r="A4799" t="str">
        <f>"20190303162005902"</f>
        <v>20190303162005902</v>
      </c>
      <c r="B4799" t="str">
        <f>"1551601205886639"</f>
        <v>1551601205886639</v>
      </c>
      <c r="C4799" t="s">
        <v>40</v>
      </c>
      <c r="D4799">
        <v>5.2507210000000004</v>
      </c>
      <c r="E4799">
        <v>0.4886646</v>
      </c>
      <c r="F4799" t="s">
        <v>56</v>
      </c>
      <c r="G4799">
        <v>-439.8091</v>
      </c>
      <c r="H4799" s="1">
        <v>6.4410139999999998E-6</v>
      </c>
      <c r="I4799">
        <v>216.0566</v>
      </c>
      <c r="J4799">
        <v>-462.58339999999998</v>
      </c>
      <c r="K4799">
        <v>1.126131</v>
      </c>
      <c r="L4799">
        <v>214.95140000000001</v>
      </c>
      <c r="M4799">
        <v>0.9992238</v>
      </c>
      <c r="N4799">
        <v>-1.162463E-2</v>
      </c>
      <c r="O4799">
        <v>-3.7638989999999997E-2</v>
      </c>
      <c r="P4799">
        <v>0.99719550000000001</v>
      </c>
      <c r="Q4799">
        <v>7.1368929999999997E-2</v>
      </c>
      <c r="R4799">
        <v>2.253573E-2</v>
      </c>
      <c r="S4799">
        <v>3.017029</v>
      </c>
      <c r="T4799">
        <v>-0.1476191</v>
      </c>
      <c r="U4799">
        <v>0.14466860000000001</v>
      </c>
      <c r="V4799">
        <v>-6.1072469999999997E-2</v>
      </c>
      <c r="W4799">
        <v>8.2192409999999994E-2</v>
      </c>
      <c r="X4799">
        <v>0.9947435</v>
      </c>
      <c r="Y4799">
        <v>-8.5307800000000003E-2</v>
      </c>
      <c r="Z4799">
        <v>3.983533E-3</v>
      </c>
      <c r="AA4799">
        <v>0.99634670000000003</v>
      </c>
      <c r="AB4799">
        <v>23</v>
      </c>
      <c r="AC4799">
        <v>22.774299999999901</v>
      </c>
      <c r="AD4799">
        <v>-1.1261245589860001</v>
      </c>
      <c r="AE4799">
        <v>1.10519999999999</v>
      </c>
      <c r="AF4799">
        <v>-1.95690288398527</v>
      </c>
      <c r="AG4799">
        <v>-1.1261245589860001</v>
      </c>
      <c r="AH4799">
        <v>22.661281421280702</v>
      </c>
      <c r="AI4799">
        <v>92.8343719955175</v>
      </c>
      <c r="AJ4799">
        <v>94.935502646695795</v>
      </c>
      <c r="AK4799">
        <v>22.773478018831099</v>
      </c>
      <c r="AL4799">
        <v>85.285403452029698</v>
      </c>
      <c r="AM4799">
        <v>93.513275639158294</v>
      </c>
      <c r="AN4799">
        <v>1.0000000348228699</v>
      </c>
    </row>
    <row r="4800" spans="1:40" x14ac:dyDescent="0.25">
      <c r="A4800" t="str">
        <f>"20190303162005924"</f>
        <v>20190303162005924</v>
      </c>
      <c r="B4800" t="str">
        <f>"1551601205916895"</f>
        <v>1551601205916895</v>
      </c>
      <c r="C4800" t="s">
        <v>40</v>
      </c>
      <c r="D4800">
        <v>5.2519530000000003</v>
      </c>
      <c r="E4800">
        <v>0.48897089999999999</v>
      </c>
      <c r="F4800" t="s">
        <v>52</v>
      </c>
      <c r="G4800">
        <v>-440.76549999999997</v>
      </c>
      <c r="H4800" s="1">
        <v>-1.1935019999999999E-6</v>
      </c>
      <c r="I4800">
        <v>216.0823</v>
      </c>
      <c r="J4800">
        <v>-462.35610000000003</v>
      </c>
      <c r="K4800">
        <v>1.125999</v>
      </c>
      <c r="L4800">
        <v>214.95169999999999</v>
      </c>
      <c r="M4800">
        <v>0.99948870000000001</v>
      </c>
      <c r="N4800">
        <v>-1.1619910000000001E-2</v>
      </c>
      <c r="O4800">
        <v>-2.9789469999999998E-2</v>
      </c>
      <c r="P4800">
        <v>0.9972029</v>
      </c>
      <c r="Q4800">
        <v>6.9209220000000002E-2</v>
      </c>
      <c r="R4800">
        <v>2.82238E-2</v>
      </c>
      <c r="S4800">
        <v>3.0160830000000001</v>
      </c>
      <c r="T4800">
        <v>-0.15567520000000001</v>
      </c>
      <c r="U4800">
        <v>0.1563416</v>
      </c>
      <c r="V4800">
        <v>-5.8886349999999997E-2</v>
      </c>
      <c r="W4800">
        <v>8.0074619999999999E-2</v>
      </c>
      <c r="X4800">
        <v>0.99504800000000004</v>
      </c>
      <c r="Y4800">
        <v>-8.1338850000000004E-2</v>
      </c>
      <c r="Z4800">
        <v>3.7595800000000002E-3</v>
      </c>
      <c r="AA4800">
        <v>0.99667939999999999</v>
      </c>
      <c r="AB4800">
        <v>23</v>
      </c>
      <c r="AC4800">
        <v>21.590599999999998</v>
      </c>
      <c r="AD4800">
        <v>-1.1260001935020001</v>
      </c>
      <c r="AE4800">
        <v>1.13060000000001</v>
      </c>
      <c r="AF4800">
        <v>-1.76851711674861</v>
      </c>
      <c r="AG4800">
        <v>-1.1260001935020001</v>
      </c>
      <c r="AH4800">
        <v>21.489046952834801</v>
      </c>
      <c r="AI4800">
        <v>92.9893985582695</v>
      </c>
      <c r="AJ4800">
        <v>94.704756075064694</v>
      </c>
      <c r="AK4800">
        <v>21.591078439233598</v>
      </c>
      <c r="AL4800">
        <v>85.407145252377703</v>
      </c>
      <c r="AM4800">
        <v>93.386780178099798</v>
      </c>
      <c r="AN4800">
        <v>1.0000000346442299</v>
      </c>
    </row>
    <row r="4801" spans="1:40" x14ac:dyDescent="0.25">
      <c r="A4801" t="str">
        <f>"20190303162005946"</f>
        <v>20190303162005946</v>
      </c>
      <c r="B4801" t="str">
        <f>"1551601205937391"</f>
        <v>1551601205937391</v>
      </c>
      <c r="C4801" t="s">
        <v>40</v>
      </c>
      <c r="D4801">
        <v>5.1939260000000003</v>
      </c>
      <c r="E4801">
        <v>0.48911290000000002</v>
      </c>
      <c r="F4801" t="s">
        <v>52</v>
      </c>
      <c r="G4801">
        <v>-441.24430000000001</v>
      </c>
      <c r="H4801" s="1">
        <v>-9.416732E-7</v>
      </c>
      <c r="I4801">
        <v>216.15</v>
      </c>
      <c r="J4801">
        <v>-462.13679999999999</v>
      </c>
      <c r="K4801">
        <v>1.1258349999999999</v>
      </c>
      <c r="L4801">
        <v>214.95339999999999</v>
      </c>
      <c r="M4801">
        <v>0.99968080000000004</v>
      </c>
      <c r="N4801">
        <v>-1.160918E-2</v>
      </c>
      <c r="O4801">
        <v>-2.2439500000000001E-2</v>
      </c>
      <c r="P4801">
        <v>0.99714290000000005</v>
      </c>
      <c r="Q4801">
        <v>6.7245280000000004E-2</v>
      </c>
      <c r="R4801">
        <v>3.4410709999999997E-2</v>
      </c>
      <c r="S4801">
        <v>3.0147710000000001</v>
      </c>
      <c r="T4801">
        <v>-0.16079280000000001</v>
      </c>
      <c r="U4801">
        <v>0.17112729999999901</v>
      </c>
      <c r="V4801">
        <v>-5.7693840000000003E-2</v>
      </c>
      <c r="W4801">
        <v>7.8138089999999993E-2</v>
      </c>
      <c r="X4801">
        <v>0.99527169999999998</v>
      </c>
      <c r="Y4801">
        <v>-7.8906710000000005E-2</v>
      </c>
      <c r="Z4801">
        <v>3.4948449999999999E-3</v>
      </c>
      <c r="AA4801">
        <v>0.99687590000000004</v>
      </c>
      <c r="AB4801">
        <v>23</v>
      </c>
      <c r="AC4801">
        <v>20.892499999999899</v>
      </c>
      <c r="AD4801">
        <v>-1.1258359416732</v>
      </c>
      <c r="AE4801">
        <v>1.1966000000000101</v>
      </c>
      <c r="AF4801">
        <v>-1.6603419392199199</v>
      </c>
      <c r="AG4801">
        <v>-1.1258359416732</v>
      </c>
      <c r="AH4801">
        <v>20.800183237740399</v>
      </c>
      <c r="AI4801">
        <v>93.0883780787658</v>
      </c>
      <c r="AJ4801">
        <v>94.563868652286502</v>
      </c>
      <c r="AK4801">
        <v>20.8966950651598</v>
      </c>
      <c r="AL4801">
        <v>85.518448681483207</v>
      </c>
      <c r="AM4801">
        <v>93.317605018243896</v>
      </c>
      <c r="AN4801">
        <v>0.99999994855184005</v>
      </c>
    </row>
    <row r="4802" spans="1:40" x14ac:dyDescent="0.25">
      <c r="A4802" t="str">
        <f>"20190303162005969"</f>
        <v>20190303162005969</v>
      </c>
      <c r="B4802" t="str">
        <f>"1551601205956911"</f>
        <v>1551601205956911</v>
      </c>
      <c r="C4802" t="s">
        <v>40</v>
      </c>
      <c r="D4802">
        <v>4.9565260000000002</v>
      </c>
      <c r="E4802">
        <v>0.4893267</v>
      </c>
      <c r="F4802" t="s">
        <v>52</v>
      </c>
      <c r="G4802">
        <v>-441.6497</v>
      </c>
      <c r="H4802" s="1">
        <v>-7.2937629999999996E-7</v>
      </c>
      <c r="I4802">
        <v>216.22919999999999</v>
      </c>
      <c r="J4802">
        <v>-461.89409999999998</v>
      </c>
      <c r="K4802">
        <v>1.1256349999999999</v>
      </c>
      <c r="L4802">
        <v>214.9571</v>
      </c>
      <c r="M4802">
        <v>0.99982610000000005</v>
      </c>
      <c r="N4802">
        <v>-1.159172E-2</v>
      </c>
      <c r="O4802">
        <v>-1.461281E-2</v>
      </c>
      <c r="P4802">
        <v>0.99689510000000003</v>
      </c>
      <c r="Q4802">
        <v>6.7394570000000001E-2</v>
      </c>
      <c r="R4802">
        <v>4.0722790000000002E-2</v>
      </c>
      <c r="S4802">
        <v>3.0132750000000001</v>
      </c>
      <c r="T4802">
        <v>-0.16558989999999901</v>
      </c>
      <c r="U4802">
        <v>0.18763730000000001</v>
      </c>
      <c r="V4802">
        <v>-5.6166729999999998E-2</v>
      </c>
      <c r="W4802">
        <v>7.8313969999999997E-2</v>
      </c>
      <c r="X4802">
        <v>0.99534529999999999</v>
      </c>
      <c r="Y4802">
        <v>-7.6575569999999996E-2</v>
      </c>
      <c r="Z4802">
        <v>3.1777009999999998E-3</v>
      </c>
      <c r="AA4802">
        <v>0.99705869999999996</v>
      </c>
      <c r="AB4802">
        <v>23</v>
      </c>
      <c r="AC4802">
        <v>20.244399999999899</v>
      </c>
      <c r="AD4802">
        <v>-1.1256357293763</v>
      </c>
      <c r="AE4802">
        <v>1.27209999999999</v>
      </c>
      <c r="AF4802">
        <v>-1.5629983940268899</v>
      </c>
      <c r="AG4802">
        <v>-1.1256357293763</v>
      </c>
      <c r="AH4802">
        <v>20.161561245658</v>
      </c>
      <c r="AI4802">
        <v>93.186010955679393</v>
      </c>
      <c r="AJ4802">
        <v>94.432913297730806</v>
      </c>
      <c r="AK4802">
        <v>20.253359514841001</v>
      </c>
      <c r="AL4802">
        <v>85.508340858686594</v>
      </c>
      <c r="AM4802">
        <v>93.229740772962501</v>
      </c>
      <c r="AN4802">
        <v>1.00000002284407</v>
      </c>
    </row>
    <row r="4803" spans="1:40" x14ac:dyDescent="0.25">
      <c r="A4803" t="str">
        <f>"20190303162005990"</f>
        <v>20190303162005990</v>
      </c>
      <c r="B4803" t="str">
        <f>"1551601205976690"</f>
        <v>1551601205976690</v>
      </c>
      <c r="C4803" t="s">
        <v>40</v>
      </c>
      <c r="D4803">
        <v>5.1334400000000002</v>
      </c>
      <c r="E4803">
        <v>0.48941770000000001</v>
      </c>
      <c r="F4803" t="s">
        <v>52</v>
      </c>
      <c r="G4803">
        <v>-441.24540000000002</v>
      </c>
      <c r="H4803" s="1">
        <v>-9.5032530000000001E-7</v>
      </c>
      <c r="I4803">
        <v>216.36170000000001</v>
      </c>
      <c r="J4803">
        <v>-461.68049999999999</v>
      </c>
      <c r="K4803">
        <v>1.125483</v>
      </c>
      <c r="L4803">
        <v>214.9615</v>
      </c>
      <c r="M4803">
        <v>0.9999015</v>
      </c>
      <c r="N4803">
        <v>-1.1575E-2</v>
      </c>
      <c r="O4803">
        <v>-7.9381480000000008E-3</v>
      </c>
      <c r="P4803">
        <v>0.99653069999999999</v>
      </c>
      <c r="Q4803">
        <v>6.9677680000000006E-2</v>
      </c>
      <c r="R4803">
        <v>4.5517019999999998E-2</v>
      </c>
      <c r="S4803">
        <v>3.012054</v>
      </c>
      <c r="T4803">
        <v>-0.16419829999999999</v>
      </c>
      <c r="U4803">
        <v>0.20489499999999999</v>
      </c>
      <c r="V4803">
        <v>-5.429991E-2</v>
      </c>
      <c r="W4803">
        <v>8.0622170000000007E-2</v>
      </c>
      <c r="X4803">
        <v>0.99526460000000005</v>
      </c>
      <c r="Y4803">
        <v>-7.5643440000000006E-2</v>
      </c>
      <c r="Z4803">
        <v>2.8368220000000001E-3</v>
      </c>
      <c r="AA4803">
        <v>0.99713090000000004</v>
      </c>
      <c r="AB4803">
        <v>23</v>
      </c>
      <c r="AC4803">
        <v>20.435099999999899</v>
      </c>
      <c r="AD4803">
        <v>-1.1254839503253</v>
      </c>
      <c r="AE4803">
        <v>1.4002000000000101</v>
      </c>
      <c r="AF4803">
        <v>-1.55768065447302</v>
      </c>
      <c r="AG4803">
        <v>-1.1254839503253</v>
      </c>
      <c r="AH4803">
        <v>20.361863916000601</v>
      </c>
      <c r="AI4803">
        <v>93.154555530734797</v>
      </c>
      <c r="AJ4803">
        <v>94.374601232501902</v>
      </c>
      <c r="AK4803">
        <v>20.452349138362699</v>
      </c>
      <c r="AL4803">
        <v>85.375671117082703</v>
      </c>
      <c r="AM4803">
        <v>93.122862281249098</v>
      </c>
      <c r="AN4803">
        <v>1.00000001926733</v>
      </c>
    </row>
    <row r="4804" spans="1:40" x14ac:dyDescent="0.25">
      <c r="A4804" t="str">
        <f>"20190303162006013"</f>
        <v>20190303162006013</v>
      </c>
      <c r="B4804" t="str">
        <f>"1551601206007657"</f>
        <v>1551601206007657</v>
      </c>
      <c r="C4804" t="s">
        <v>40</v>
      </c>
      <c r="D4804">
        <v>4.9478629999999999</v>
      </c>
      <c r="E4804">
        <v>0.4936353</v>
      </c>
      <c r="F4804" t="s">
        <v>52</v>
      </c>
      <c r="G4804">
        <v>-440.03489999999999</v>
      </c>
      <c r="H4804" s="1">
        <v>-1.6022380000000001E-6</v>
      </c>
      <c r="I4804">
        <v>216.53880000000001</v>
      </c>
      <c r="J4804">
        <v>-461.4359</v>
      </c>
      <c r="K4804">
        <v>1.125316</v>
      </c>
      <c r="L4804">
        <v>214.96799999999999</v>
      </c>
      <c r="M4804">
        <v>0.99993310000000002</v>
      </c>
      <c r="N4804">
        <v>-1.15555E-2</v>
      </c>
      <c r="O4804">
        <v>-5.7446139999999999E-4</v>
      </c>
      <c r="P4804">
        <v>0.99622319999999998</v>
      </c>
      <c r="Q4804">
        <v>7.1111839999999996E-2</v>
      </c>
      <c r="R4804">
        <v>4.982777E-2</v>
      </c>
      <c r="S4804">
        <v>3.0113829999999999</v>
      </c>
      <c r="T4804">
        <v>-0.15658039999999901</v>
      </c>
      <c r="U4804">
        <v>0.21943660000000001</v>
      </c>
      <c r="V4804">
        <v>-5.1253800000000002E-2</v>
      </c>
      <c r="W4804">
        <v>8.2091659999999997E-2</v>
      </c>
      <c r="X4804">
        <v>0.99530600000000002</v>
      </c>
      <c r="Y4804">
        <v>-7.3128639999999995E-2</v>
      </c>
      <c r="Z4804">
        <v>2.3440359999999999E-3</v>
      </c>
      <c r="AA4804">
        <v>0.99731979999999998</v>
      </c>
      <c r="AB4804">
        <v>23</v>
      </c>
      <c r="AC4804">
        <v>21.401</v>
      </c>
      <c r="AD4804">
        <v>-1.125317602238</v>
      </c>
      <c r="AE4804">
        <v>1.57080000000001</v>
      </c>
      <c r="AF4804">
        <v>-1.5787528794453101</v>
      </c>
      <c r="AG4804">
        <v>-1.125317602238</v>
      </c>
      <c r="AH4804">
        <v>21.341403025168798</v>
      </c>
      <c r="AI4804">
        <v>93.010161911061701</v>
      </c>
      <c r="AJ4804">
        <v>94.2308095281128</v>
      </c>
      <c r="AK4804">
        <v>21.4292856493852</v>
      </c>
      <c r="AL4804">
        <v>85.291195473023606</v>
      </c>
      <c r="AM4804">
        <v>92.947872087036501</v>
      </c>
      <c r="AN4804">
        <v>1.0000000131459901</v>
      </c>
    </row>
    <row r="4805" spans="1:40" x14ac:dyDescent="0.25">
      <c r="A4805" t="str">
        <f>"20190303162006035"</f>
        <v>20190303162006035</v>
      </c>
      <c r="B4805" t="str">
        <f>"1551601206027177"</f>
        <v>1551601206027177</v>
      </c>
      <c r="C4805" t="s">
        <v>40</v>
      </c>
      <c r="D4805">
        <v>4.9193569999999998</v>
      </c>
      <c r="E4805">
        <v>0.4938825</v>
      </c>
      <c r="F4805" t="s">
        <v>56</v>
      </c>
      <c r="G4805">
        <v>-433.27390000000003</v>
      </c>
      <c r="H4805" s="1">
        <v>3.4749949999999998E-6</v>
      </c>
      <c r="I4805">
        <v>216.83369999999999</v>
      </c>
      <c r="J4805">
        <v>-461.20639999999997</v>
      </c>
      <c r="K4805">
        <v>1.125154</v>
      </c>
      <c r="L4805">
        <v>214.97540000000001</v>
      </c>
      <c r="M4805">
        <v>0.9999152</v>
      </c>
      <c r="N4805">
        <v>-1.1536660000000001E-2</v>
      </c>
      <c r="O4805">
        <v>6.0527339999999997E-3</v>
      </c>
      <c r="P4805">
        <v>0.99600149999999998</v>
      </c>
      <c r="Q4805">
        <v>7.1871290000000004E-2</v>
      </c>
      <c r="R4805">
        <v>5.3063119999999998E-2</v>
      </c>
      <c r="S4805">
        <v>3.0099490000000002</v>
      </c>
      <c r="T4805">
        <v>-0.1202732</v>
      </c>
      <c r="U4805">
        <v>0.19940189999999999</v>
      </c>
      <c r="V4805">
        <v>-4.7863610000000001E-2</v>
      </c>
      <c r="W4805">
        <v>8.2886689999999999E-2</v>
      </c>
      <c r="X4805">
        <v>0.99540890000000004</v>
      </c>
      <c r="Y4805">
        <v>-6.0002519999999997E-2</v>
      </c>
      <c r="Z4805">
        <v>1.371955E-3</v>
      </c>
      <c r="AA4805">
        <v>0.99819729999999995</v>
      </c>
      <c r="AB4805">
        <v>23</v>
      </c>
      <c r="AC4805">
        <v>27.932499999999902</v>
      </c>
      <c r="AD4805">
        <v>-1.125150525005</v>
      </c>
      <c r="AE4805">
        <v>1.8582999999999801</v>
      </c>
      <c r="AF4805">
        <v>-1.6864623882229699</v>
      </c>
      <c r="AG4805">
        <v>-1.125150525005</v>
      </c>
      <c r="AH4805">
        <v>27.8981697306793</v>
      </c>
      <c r="AI4805">
        <v>92.305319002816006</v>
      </c>
      <c r="AJ4805">
        <v>93.459357174308096</v>
      </c>
      <c r="AK4805">
        <v>27.9717356167364</v>
      </c>
      <c r="AL4805">
        <v>85.245487788793596</v>
      </c>
      <c r="AM4805">
        <v>92.752911102113401</v>
      </c>
      <c r="AN4805">
        <v>1.00000000337029</v>
      </c>
    </row>
    <row r="4806" spans="1:40" x14ac:dyDescent="0.25">
      <c r="A4806" t="str">
        <f>"20190303162006059"</f>
        <v>20190303162006059</v>
      </c>
      <c r="B4806" t="str">
        <f>"1551601206046698"</f>
        <v>1551601206046698</v>
      </c>
      <c r="C4806" t="s">
        <v>40</v>
      </c>
      <c r="D4806">
        <v>4.906949</v>
      </c>
      <c r="E4806">
        <v>0.49819259999999899</v>
      </c>
      <c r="F4806" t="s">
        <v>56</v>
      </c>
      <c r="G4806">
        <v>-432.32499999999999</v>
      </c>
      <c r="H4806" s="1">
        <v>3.0424529999999999E-6</v>
      </c>
      <c r="I4806">
        <v>216.9676</v>
      </c>
      <c r="J4806">
        <v>-460.96699999999998</v>
      </c>
      <c r="K4806">
        <v>1.1250100000000001</v>
      </c>
      <c r="L4806">
        <v>214.9845</v>
      </c>
      <c r="M4806">
        <v>0.9998534</v>
      </c>
      <c r="N4806">
        <v>-1.151582E-2</v>
      </c>
      <c r="O4806">
        <v>1.2676430000000001E-2</v>
      </c>
      <c r="P4806">
        <v>0.99573370000000005</v>
      </c>
      <c r="Q4806">
        <v>7.4578340000000007E-2</v>
      </c>
      <c r="R4806">
        <v>5.4339489999999997E-2</v>
      </c>
      <c r="S4806">
        <v>3.0093990000000002</v>
      </c>
      <c r="T4806">
        <v>-0.11723889999999999</v>
      </c>
      <c r="U4806">
        <v>0.2075806</v>
      </c>
      <c r="V4806">
        <v>-4.2535049999999998E-2</v>
      </c>
      <c r="W4806">
        <v>8.5643469999999999E-2</v>
      </c>
      <c r="X4806">
        <v>0.99541749999999996</v>
      </c>
      <c r="Y4806">
        <v>-5.6110960000000001E-2</v>
      </c>
      <c r="Z4806">
        <v>1.067683E-3</v>
      </c>
      <c r="AA4806">
        <v>0.99842399999999998</v>
      </c>
      <c r="AB4806">
        <v>23</v>
      </c>
      <c r="AC4806">
        <v>28.641999999999999</v>
      </c>
      <c r="AD4806">
        <v>-1.1250069575470001</v>
      </c>
      <c r="AE4806">
        <v>1.9831000000000001</v>
      </c>
      <c r="AF4806">
        <v>-1.6173549597225501</v>
      </c>
      <c r="AG4806">
        <v>-1.1250069575470001</v>
      </c>
      <c r="AH4806">
        <v>28.620893577723098</v>
      </c>
      <c r="AI4806">
        <v>92.247395588783306</v>
      </c>
      <c r="AJ4806">
        <v>93.234321176576799</v>
      </c>
      <c r="AK4806">
        <v>28.688621906735399</v>
      </c>
      <c r="AL4806">
        <v>85.086972164180196</v>
      </c>
      <c r="AM4806">
        <v>92.446809665445898</v>
      </c>
      <c r="AN4806">
        <v>1.00000001686919</v>
      </c>
    </row>
    <row r="4807" spans="1:40" x14ac:dyDescent="0.25">
      <c r="A4807" t="str">
        <f>"20190303162006080"</f>
        <v>20190303162006080</v>
      </c>
      <c r="B4807" t="str">
        <f>"1551601206067193"</f>
        <v>1551601206067193</v>
      </c>
      <c r="C4807" t="s">
        <v>40</v>
      </c>
      <c r="D4807">
        <v>4.9277579999999999</v>
      </c>
      <c r="E4807">
        <v>0.49934990000000001</v>
      </c>
      <c r="F4807" t="s">
        <v>56</v>
      </c>
      <c r="G4807">
        <v>-422.82299999999998</v>
      </c>
      <c r="H4807" s="1">
        <v>3.2344119999999998E-6</v>
      </c>
      <c r="I4807">
        <v>217.24080000000001</v>
      </c>
      <c r="J4807">
        <v>-460.74959999999999</v>
      </c>
      <c r="K4807">
        <v>1.1248860000000001</v>
      </c>
      <c r="L4807">
        <v>214.99379999999999</v>
      </c>
      <c r="M4807">
        <v>0.99976390000000004</v>
      </c>
      <c r="N4807">
        <v>-1.1495770000000001E-2</v>
      </c>
      <c r="O4807">
        <v>1.8440930000000001E-2</v>
      </c>
      <c r="P4807">
        <v>0.99541869999999999</v>
      </c>
      <c r="Q4807">
        <v>7.9530130000000004E-2</v>
      </c>
      <c r="R4807">
        <v>5.307129E-2</v>
      </c>
      <c r="S4807">
        <v>3.009827</v>
      </c>
      <c r="T4807">
        <v>-8.8770630000000003E-2</v>
      </c>
      <c r="U4807">
        <v>0.17803959999999999</v>
      </c>
      <c r="V4807">
        <v>-3.5541799999999998E-2</v>
      </c>
      <c r="W4807">
        <v>9.0653549999999999E-2</v>
      </c>
      <c r="X4807">
        <v>0.99524809999999997</v>
      </c>
      <c r="Y4807">
        <v>-4.0608030000000003E-2</v>
      </c>
      <c r="Z4807">
        <v>5.0050289999999998E-4</v>
      </c>
      <c r="AA4807">
        <v>0.99917500000000004</v>
      </c>
      <c r="AB4807">
        <v>23</v>
      </c>
      <c r="AC4807">
        <v>37.926599999999901</v>
      </c>
      <c r="AD4807">
        <v>-1.124882765588</v>
      </c>
      <c r="AE4807">
        <v>2.2470000000000101</v>
      </c>
      <c r="AF4807">
        <v>-1.54581481105451</v>
      </c>
      <c r="AG4807">
        <v>-1.124882765588</v>
      </c>
      <c r="AH4807">
        <v>37.928341045264197</v>
      </c>
      <c r="AI4807">
        <v>91.697378023392403</v>
      </c>
      <c r="AJ4807">
        <v>92.333866218633901</v>
      </c>
      <c r="AK4807">
        <v>37.976492190725899</v>
      </c>
      <c r="AL4807">
        <v>84.798793725135596</v>
      </c>
      <c r="AM4807">
        <v>92.045248937453195</v>
      </c>
      <c r="AN4807">
        <v>1.00000003311422</v>
      </c>
    </row>
    <row r="4808" spans="1:40" x14ac:dyDescent="0.25">
      <c r="A4808" t="str">
        <f>"20190303162006102"</f>
        <v>20190303162006102</v>
      </c>
      <c r="B4808" t="str">
        <f>"1551601206086713"</f>
        <v>1551601206086713</v>
      </c>
      <c r="C4808" t="s">
        <v>40</v>
      </c>
      <c r="D4808">
        <v>4.8112729999999999</v>
      </c>
      <c r="E4808">
        <v>0.50002639999999998</v>
      </c>
      <c r="F4808" t="s">
        <v>56</v>
      </c>
      <c r="G4808">
        <v>-415.95650000000001</v>
      </c>
      <c r="H4808" s="1">
        <v>3.0131800000000001E-6</v>
      </c>
      <c r="I4808">
        <v>217.46629999999999</v>
      </c>
      <c r="J4808">
        <v>-460.5206</v>
      </c>
      <c r="K4808">
        <v>1.1247419999999999</v>
      </c>
      <c r="L4808">
        <v>215.00470000000001</v>
      </c>
      <c r="M4808">
        <v>0.99963979999999997</v>
      </c>
      <c r="N4808">
        <v>-1.147434E-2</v>
      </c>
      <c r="O4808">
        <v>2.4262410000000002E-2</v>
      </c>
      <c r="P4808">
        <v>0.9953265</v>
      </c>
      <c r="Q4808">
        <v>8.3059300000000003E-2</v>
      </c>
      <c r="R4808">
        <v>4.9259530000000003E-2</v>
      </c>
      <c r="S4808">
        <v>3.0109859999999999</v>
      </c>
      <c r="T4808">
        <v>-7.561445E-2</v>
      </c>
      <c r="U4808">
        <v>0.1661987</v>
      </c>
      <c r="V4808">
        <v>-2.5926250000000001E-2</v>
      </c>
      <c r="W4808">
        <v>9.4260090000000005E-2</v>
      </c>
      <c r="X4808">
        <v>0.99520989999999998</v>
      </c>
      <c r="Y4808">
        <v>-3.0858300000000002E-2</v>
      </c>
      <c r="Z4808">
        <v>2.3397810000000001E-4</v>
      </c>
      <c r="AA4808">
        <v>0.99952379999999996</v>
      </c>
      <c r="AB4808">
        <v>23</v>
      </c>
      <c r="AC4808">
        <v>44.564100000000003</v>
      </c>
      <c r="AD4808">
        <v>-1.12473898682</v>
      </c>
      <c r="AE4808">
        <v>2.46159999999997</v>
      </c>
      <c r="AF4808">
        <v>-1.3786961035188501</v>
      </c>
      <c r="AG4808">
        <v>-1.12473898682</v>
      </c>
      <c r="AH4808">
        <v>44.582395773523899</v>
      </c>
      <c r="AI4808">
        <v>91.444479516245295</v>
      </c>
      <c r="AJ4808">
        <v>91.771288859916794</v>
      </c>
      <c r="AK4808">
        <v>44.617887149006201</v>
      </c>
      <c r="AL4808">
        <v>84.591264682504402</v>
      </c>
      <c r="AM4808">
        <v>91.492276956107304</v>
      </c>
      <c r="AN4808">
        <v>0.99999994003193804</v>
      </c>
    </row>
    <row r="4809" spans="1:40" x14ac:dyDescent="0.25">
      <c r="A4809" t="str">
        <f>"20190303162006126"</f>
        <v>20190303162006126</v>
      </c>
      <c r="B4809" t="str">
        <f>"1551601206116969"</f>
        <v>1551601206116969</v>
      </c>
      <c r="C4809" t="s">
        <v>40</v>
      </c>
      <c r="D4809">
        <v>4.8262289999999997</v>
      </c>
      <c r="E4809">
        <v>0.49759920000000002</v>
      </c>
      <c r="F4809" t="s">
        <v>56</v>
      </c>
      <c r="G4809">
        <v>-410.61329999999998</v>
      </c>
      <c r="H4809" s="1">
        <v>2.063384E-6</v>
      </c>
      <c r="I4809">
        <v>217.48920000000001</v>
      </c>
      <c r="J4809">
        <v>-460.28030000000001</v>
      </c>
      <c r="K4809">
        <v>1.124573</v>
      </c>
      <c r="L4809">
        <v>215.0172</v>
      </c>
      <c r="M4809">
        <v>0.99948219999999999</v>
      </c>
      <c r="N4809">
        <v>-1.1451909999999999E-2</v>
      </c>
      <c r="O4809">
        <v>3.0073800000000001E-2</v>
      </c>
      <c r="P4809">
        <v>0.99531360000000002</v>
      </c>
      <c r="Q4809">
        <v>8.6547750000000007E-2</v>
      </c>
      <c r="R4809">
        <v>4.3134840000000001E-2</v>
      </c>
      <c r="S4809">
        <v>3.0123289999999998</v>
      </c>
      <c r="T4809">
        <v>-6.7887539999999996E-2</v>
      </c>
      <c r="U4809">
        <v>0.1499634</v>
      </c>
      <c r="V4809">
        <v>-1.3999050000000001E-2</v>
      </c>
      <c r="W4809">
        <v>9.7836450000000005E-2</v>
      </c>
      <c r="X4809">
        <v>0.99510399999999999</v>
      </c>
      <c r="Y4809">
        <v>-1.965488E-2</v>
      </c>
      <c r="Z4809" s="1">
        <v>1.180408E-6</v>
      </c>
      <c r="AA4809">
        <v>0.9998068</v>
      </c>
      <c r="AB4809">
        <v>23</v>
      </c>
      <c r="AC4809">
        <v>49.667000000000002</v>
      </c>
      <c r="AD4809">
        <v>-1.1245709366159999</v>
      </c>
      <c r="AE4809">
        <v>2.472</v>
      </c>
      <c r="AF4809">
        <v>-0.976609085975364</v>
      </c>
      <c r="AG4809">
        <v>-1.1245709366159999</v>
      </c>
      <c r="AH4809">
        <v>49.693465637253098</v>
      </c>
      <c r="AI4809">
        <v>91.296141027226199</v>
      </c>
      <c r="AJ4809">
        <v>91.125869889630494</v>
      </c>
      <c r="AK4809">
        <v>49.715781721090799</v>
      </c>
      <c r="AL4809">
        <v>84.385402554144903</v>
      </c>
      <c r="AM4809">
        <v>90.805979652126595</v>
      </c>
      <c r="AN4809">
        <v>0.99999995758275095</v>
      </c>
    </row>
    <row r="4810" spans="1:40" x14ac:dyDescent="0.25">
      <c r="A4810" t="str">
        <f>"20190303162006147"</f>
        <v>20190303162006147</v>
      </c>
      <c r="B4810" t="str">
        <f>"1551601206137465"</f>
        <v>1551601206137465</v>
      </c>
      <c r="C4810" t="s">
        <v>40</v>
      </c>
      <c r="D4810">
        <v>4.583215</v>
      </c>
      <c r="E4810">
        <v>0.4978245</v>
      </c>
      <c r="F4810" t="s">
        <v>65</v>
      </c>
      <c r="G4810">
        <v>-157.25</v>
      </c>
      <c r="H4810">
        <v>0.74340059999999997</v>
      </c>
      <c r="I4810">
        <v>230.34049999999999</v>
      </c>
      <c r="J4810">
        <v>-460.06139999999999</v>
      </c>
      <c r="K4810">
        <v>1.12439</v>
      </c>
      <c r="L4810">
        <v>215.02959999999999</v>
      </c>
      <c r="M4810">
        <v>0.9993206</v>
      </c>
      <c r="N4810">
        <v>-1.143044E-2</v>
      </c>
      <c r="O4810">
        <v>3.5038739999999999E-2</v>
      </c>
      <c r="P4810">
        <v>0.99535709999999999</v>
      </c>
      <c r="Q4810">
        <v>8.9874129999999997E-2</v>
      </c>
      <c r="R4810">
        <v>3.4450990000000001E-2</v>
      </c>
      <c r="S4810">
        <v>3.0079039999999999</v>
      </c>
      <c r="T4810">
        <v>-3.7829880000000001E-3</v>
      </c>
      <c r="U4810">
        <v>0.1520996</v>
      </c>
      <c r="V4810">
        <v>-3.4944899999999999E-4</v>
      </c>
      <c r="W4810">
        <v>0.1012526</v>
      </c>
      <c r="X4810">
        <v>0.99486070000000004</v>
      </c>
      <c r="Y4810">
        <v>-1.5476470000000001E-2</v>
      </c>
      <c r="Z4810">
        <v>4.5463129999999999E-4</v>
      </c>
      <c r="AA4810">
        <v>0.99988010000000005</v>
      </c>
      <c r="AB4810">
        <v>23</v>
      </c>
      <c r="AC4810">
        <v>302.81139999999999</v>
      </c>
      <c r="AD4810">
        <v>-0.38098939999999998</v>
      </c>
      <c r="AE4810">
        <v>15.3109</v>
      </c>
      <c r="AF4810">
        <v>-4.6906668244413403</v>
      </c>
      <c r="AG4810">
        <v>-0.38098939999999998</v>
      </c>
      <c r="AH4810">
        <v>303.16146682643199</v>
      </c>
      <c r="AI4810">
        <v>90.071996157511194</v>
      </c>
      <c r="AJ4810">
        <v>90.886438410199801</v>
      </c>
      <c r="AK4810">
        <v>303.19799220399602</v>
      </c>
      <c r="AL4810">
        <v>84.188694757704894</v>
      </c>
      <c r="AM4810">
        <v>90.020125382409404</v>
      </c>
      <c r="AN4810">
        <v>1.00000001176292</v>
      </c>
    </row>
    <row r="4811" spans="1:40" x14ac:dyDescent="0.25">
      <c r="A4811" t="str">
        <f>"20190303162006169"</f>
        <v>20190303162006169</v>
      </c>
      <c r="B4811" t="str">
        <f>"1551601206156985"</f>
        <v>1551601206156985</v>
      </c>
      <c r="C4811" t="s">
        <v>40</v>
      </c>
      <c r="D4811">
        <v>4.8346879999999999</v>
      </c>
      <c r="E4811">
        <v>0.49500709999999998</v>
      </c>
      <c r="F4811" t="s">
        <v>65</v>
      </c>
      <c r="G4811">
        <v>-157.25</v>
      </c>
      <c r="H4811">
        <v>2.0407410000000001</v>
      </c>
      <c r="I4811">
        <v>227.6865</v>
      </c>
      <c r="J4811">
        <v>-459.83179999999999</v>
      </c>
      <c r="K4811">
        <v>1.1242000000000001</v>
      </c>
      <c r="L4811">
        <v>215.04339999999999</v>
      </c>
      <c r="M4811">
        <v>0.99913620000000003</v>
      </c>
      <c r="N4811">
        <v>-1.1407810000000001E-2</v>
      </c>
      <c r="O4811">
        <v>3.995833E-2</v>
      </c>
      <c r="P4811">
        <v>0.99541740000000001</v>
      </c>
      <c r="Q4811">
        <v>9.2530440000000005E-2</v>
      </c>
      <c r="R4811">
        <v>2.413535E-2</v>
      </c>
      <c r="S4811">
        <v>3.0088200000000001</v>
      </c>
      <c r="T4811">
        <v>9.1056820000000004E-3</v>
      </c>
      <c r="U4811">
        <v>0.12576289999999901</v>
      </c>
      <c r="V4811">
        <v>1.489509E-2</v>
      </c>
      <c r="W4811">
        <v>0.1039947</v>
      </c>
      <c r="X4811">
        <v>0.99446630000000003</v>
      </c>
      <c r="Y4811">
        <v>-1.806389E-3</v>
      </c>
      <c r="Z4811">
        <v>5.8423489999999997E-4</v>
      </c>
      <c r="AA4811">
        <v>0.99999819999999995</v>
      </c>
      <c r="AB4811">
        <v>23</v>
      </c>
      <c r="AC4811">
        <v>302.58179999999999</v>
      </c>
      <c r="AD4811">
        <v>0.91654099999999905</v>
      </c>
      <c r="AE4811">
        <v>12.6431</v>
      </c>
      <c r="AF4811">
        <v>-0.54154576589607295</v>
      </c>
      <c r="AG4811">
        <v>0.91654099999999905</v>
      </c>
      <c r="AH4811">
        <v>302.84256689789498</v>
      </c>
      <c r="AI4811">
        <v>89.826597405722396</v>
      </c>
      <c r="AJ4811">
        <v>90.102456712224907</v>
      </c>
      <c r="AK4811">
        <v>302.84443802805299</v>
      </c>
      <c r="AL4811">
        <v>84.030749922594694</v>
      </c>
      <c r="AM4811">
        <v>89.141889491918505</v>
      </c>
      <c r="AN4811">
        <v>0.99999999158494401</v>
      </c>
    </row>
    <row r="4812" spans="1:40" x14ac:dyDescent="0.25">
      <c r="A4812" t="str">
        <f>"20190303162006191"</f>
        <v>20190303162006191</v>
      </c>
      <c r="B4812" t="str">
        <f>"1551601206177486"</f>
        <v>1551601206177486</v>
      </c>
      <c r="C4812" t="s">
        <v>40</v>
      </c>
      <c r="D4812">
        <v>4.8009950000000003</v>
      </c>
      <c r="E4812">
        <v>0.4945716</v>
      </c>
      <c r="F4812" t="s">
        <v>44</v>
      </c>
      <c r="G4812">
        <v>-138.53880000000001</v>
      </c>
      <c r="H4812">
        <v>-0.05</v>
      </c>
      <c r="I4812">
        <v>227.68559999999999</v>
      </c>
      <c r="J4812">
        <v>-459.60489999999999</v>
      </c>
      <c r="K4812">
        <v>1.1239749999999999</v>
      </c>
      <c r="L4812">
        <v>215.05770000000001</v>
      </c>
      <c r="M4812">
        <v>0.99894660000000002</v>
      </c>
      <c r="N4812">
        <v>-1.138513E-2</v>
      </c>
      <c r="O4812">
        <v>4.4451829999999998E-2</v>
      </c>
      <c r="P4812">
        <v>0.99537370000000003</v>
      </c>
      <c r="Q4812">
        <v>9.4970700000000005E-2</v>
      </c>
      <c r="R4812">
        <v>1.4563420000000001E-2</v>
      </c>
      <c r="S4812">
        <v>3.0119630000000002</v>
      </c>
      <c r="T4812">
        <v>-1.100755E-2</v>
      </c>
      <c r="U4812">
        <v>0.118515</v>
      </c>
      <c r="V4812">
        <v>2.8975500000000001E-2</v>
      </c>
      <c r="W4812">
        <v>0.1064932</v>
      </c>
      <c r="X4812">
        <v>0.99389119999999997</v>
      </c>
      <c r="Y4812">
        <v>5.1400639999999997E-3</v>
      </c>
      <c r="Z4812">
        <v>3.0517339999999997E-4</v>
      </c>
      <c r="AA4812">
        <v>0.99998679999999995</v>
      </c>
      <c r="AB4812">
        <v>23</v>
      </c>
      <c r="AC4812">
        <v>321.06610000000001</v>
      </c>
      <c r="AD4812">
        <v>-1.173975</v>
      </c>
      <c r="AE4812">
        <v>12.627899999999901</v>
      </c>
      <c r="AF4812">
        <v>1.6574633121665701</v>
      </c>
      <c r="AG4812">
        <v>-1.173975</v>
      </c>
      <c r="AH4812">
        <v>321.30577471247102</v>
      </c>
      <c r="AI4812">
        <v>90.209341455395602</v>
      </c>
      <c r="AJ4812">
        <v>89.704441010353605</v>
      </c>
      <c r="AK4812">
        <v>321.31219439279403</v>
      </c>
      <c r="AL4812">
        <v>83.886797279363705</v>
      </c>
      <c r="AM4812">
        <v>88.330095131114007</v>
      </c>
      <c r="AN4812">
        <v>1.0000000493419601</v>
      </c>
    </row>
    <row r="4813" spans="1:40" x14ac:dyDescent="0.25">
      <c r="A4813" t="str">
        <f>"20190303162006214"</f>
        <v>20190303162006214</v>
      </c>
      <c r="B4813" t="str">
        <f>"1551601206207737"</f>
        <v>1551601206207737</v>
      </c>
      <c r="C4813" t="s">
        <v>40</v>
      </c>
      <c r="D4813">
        <v>4.8045960000000001</v>
      </c>
      <c r="E4813">
        <v>0.4927608</v>
      </c>
      <c r="F4813" t="s">
        <v>56</v>
      </c>
      <c r="G4813">
        <v>-298.87459999999999</v>
      </c>
      <c r="H4813" s="1">
        <v>2.4329859999999999E-6</v>
      </c>
      <c r="I4813">
        <v>220.018</v>
      </c>
      <c r="J4813">
        <v>-459.36180000000002</v>
      </c>
      <c r="K4813">
        <v>1.1236710000000001</v>
      </c>
      <c r="L4813">
        <v>215.0736</v>
      </c>
      <c r="M4813">
        <v>0.99874810000000003</v>
      </c>
      <c r="N4813">
        <v>-1.135745E-2</v>
      </c>
      <c r="O4813">
        <v>4.8717389999999999E-2</v>
      </c>
      <c r="P4813">
        <v>0.99506349999999999</v>
      </c>
      <c r="Q4813">
        <v>9.9239629999999995E-2</v>
      </c>
      <c r="R4813">
        <v>1.125946E-4</v>
      </c>
      <c r="S4813">
        <v>3.0145870000000001</v>
      </c>
      <c r="T4813">
        <v>-2.1080729999999999E-2</v>
      </c>
      <c r="U4813">
        <v>9.3032840000000006E-2</v>
      </c>
      <c r="V4813">
        <v>4.7700810000000003E-2</v>
      </c>
      <c r="W4813">
        <v>0.11081100000000001</v>
      </c>
      <c r="X4813">
        <v>0.99269609999999997</v>
      </c>
      <c r="Y4813">
        <v>1.7886160000000002E-2</v>
      </c>
      <c r="Z4813" s="1">
        <v>4.8914559999999998E-5</v>
      </c>
      <c r="AA4813">
        <v>0.99983999999999995</v>
      </c>
      <c r="AB4813">
        <v>23</v>
      </c>
      <c r="AC4813">
        <v>160.4872</v>
      </c>
      <c r="AD4813">
        <v>-1.1236685670140001</v>
      </c>
      <c r="AE4813">
        <v>4.9443999999999999</v>
      </c>
      <c r="AF4813">
        <v>2.8803519183524302</v>
      </c>
      <c r="AG4813">
        <v>-1.1236685670140001</v>
      </c>
      <c r="AH4813">
        <v>160.52964508598799</v>
      </c>
      <c r="AI4813">
        <v>90.400985465058298</v>
      </c>
      <c r="AJ4813">
        <v>88.972063375586799</v>
      </c>
      <c r="AK4813">
        <v>160.55941582372299</v>
      </c>
      <c r="AL4813">
        <v>83.637931709704205</v>
      </c>
      <c r="AM4813">
        <v>87.248952136685304</v>
      </c>
      <c r="AN4813">
        <v>0.99999999597543299</v>
      </c>
    </row>
    <row r="4814" spans="1:40" x14ac:dyDescent="0.25">
      <c r="A4814" t="str">
        <f>"20190303162006247"</f>
        <v>20190303162006247</v>
      </c>
      <c r="B4814" t="str">
        <f>"1551601206237017"</f>
        <v>1551601206237017</v>
      </c>
      <c r="C4814" t="s">
        <v>40</v>
      </c>
      <c r="D4814">
        <v>4.9500979999999997</v>
      </c>
      <c r="E4814">
        <v>0.49127789999999999</v>
      </c>
      <c r="F4814" t="s">
        <v>52</v>
      </c>
      <c r="G4814">
        <v>-230.16829999999999</v>
      </c>
      <c r="H4814">
        <v>7.9999840000000003E-2</v>
      </c>
      <c r="I4814">
        <v>219.83320000000001</v>
      </c>
      <c r="J4814">
        <v>-459.01960000000003</v>
      </c>
      <c r="K4814">
        <v>1.1230519999999999</v>
      </c>
      <c r="L4814">
        <v>215.09649999999999</v>
      </c>
      <c r="M4814">
        <v>0.99850090000000002</v>
      </c>
      <c r="N4814">
        <v>-1.130858E-2</v>
      </c>
      <c r="O4814">
        <v>5.3553919999999998E-2</v>
      </c>
      <c r="P4814">
        <v>0.9945157</v>
      </c>
      <c r="Q4814">
        <v>0.1042505</v>
      </c>
      <c r="R4814">
        <v>-8.410977E-3</v>
      </c>
      <c r="S4814">
        <v>3.016235</v>
      </c>
      <c r="T4814">
        <v>-1.3734939999999999E-2</v>
      </c>
      <c r="U4814">
        <v>6.2637330000000005E-2</v>
      </c>
      <c r="V4814">
        <v>6.114232E-2</v>
      </c>
      <c r="W4814">
        <v>0.11574520000000001</v>
      </c>
      <c r="X4814">
        <v>0.99139529999999998</v>
      </c>
      <c r="Y4814">
        <v>3.2810939999999997E-2</v>
      </c>
      <c r="Z4814">
        <v>1.019128E-4</v>
      </c>
      <c r="AA4814">
        <v>0.99946159999999995</v>
      </c>
      <c r="AB4814">
        <v>23</v>
      </c>
      <c r="AC4814">
        <v>228.85130000000001</v>
      </c>
      <c r="AD4814">
        <v>-1.04305216</v>
      </c>
      <c r="AE4814">
        <v>4.7367000000000097</v>
      </c>
      <c r="AF4814">
        <v>7.5266101799013603</v>
      </c>
      <c r="AG4814">
        <v>-1.04305216</v>
      </c>
      <c r="AH4814">
        <v>228.77178176063001</v>
      </c>
      <c r="AI4814">
        <v>90.261088824003807</v>
      </c>
      <c r="AJ4814">
        <v>88.115643894865897</v>
      </c>
      <c r="AK4814">
        <v>228.897937842484</v>
      </c>
      <c r="AL4814">
        <v>83.353391019605894</v>
      </c>
      <c r="AM4814">
        <v>86.470867416747495</v>
      </c>
      <c r="AN4814">
        <v>0.99999998774005605</v>
      </c>
    </row>
    <row r="4815" spans="1:40" x14ac:dyDescent="0.25">
      <c r="A4815" t="str">
        <f>"20190303162006269"</f>
        <v>20190303162006269</v>
      </c>
      <c r="B4815" t="str">
        <f>"1551601206257513"</f>
        <v>1551601206257513</v>
      </c>
      <c r="C4815" t="s">
        <v>40</v>
      </c>
      <c r="D4815">
        <v>4.95336</v>
      </c>
      <c r="E4815">
        <v>0.49018499999999998</v>
      </c>
      <c r="F4815" t="s">
        <v>65</v>
      </c>
      <c r="G4815">
        <v>-157.8382</v>
      </c>
      <c r="H4815">
        <v>0.31755450000000002</v>
      </c>
      <c r="I4815">
        <v>219.73660000000001</v>
      </c>
      <c r="J4815">
        <v>-458.79689999999999</v>
      </c>
      <c r="K4815">
        <v>1.1225309999999999</v>
      </c>
      <c r="L4815">
        <v>215.1113</v>
      </c>
      <c r="M4815">
        <v>0.99837900000000002</v>
      </c>
      <c r="N4815">
        <v>-1.127681E-2</v>
      </c>
      <c r="O4815">
        <v>5.5787429999999999E-2</v>
      </c>
      <c r="P4815">
        <v>0.99437920000000002</v>
      </c>
      <c r="Q4815">
        <v>0.105257</v>
      </c>
      <c r="R4815">
        <v>-1.1448949999999999E-2</v>
      </c>
      <c r="S4815">
        <v>3.0178219999999998</v>
      </c>
      <c r="T4815">
        <v>-8.0704690000000003E-3</v>
      </c>
      <c r="U4815">
        <v>4.6493529999999998E-2</v>
      </c>
      <c r="V4815">
        <v>6.6530030000000004E-2</v>
      </c>
      <c r="W4815">
        <v>0.1166555</v>
      </c>
      <c r="X4815">
        <v>0.99094159999999998</v>
      </c>
      <c r="Y4815">
        <v>4.0401039999999999E-2</v>
      </c>
      <c r="Z4815">
        <v>1.984574E-4</v>
      </c>
      <c r="AA4815">
        <v>0.9991835</v>
      </c>
      <c r="AB4815">
        <v>23</v>
      </c>
      <c r="AC4815">
        <v>300.95870000000002</v>
      </c>
      <c r="AD4815">
        <v>-0.80497649999999998</v>
      </c>
      <c r="AE4815">
        <v>4.62530000000001</v>
      </c>
      <c r="AF4815">
        <v>12.172596769266599</v>
      </c>
      <c r="AG4815">
        <v>-0.80497649999999998</v>
      </c>
      <c r="AH4815">
        <v>300.74584690938798</v>
      </c>
      <c r="AI4815">
        <v>90.153232088351999</v>
      </c>
      <c r="AJ4815">
        <v>87.682235836170605</v>
      </c>
      <c r="AK4815">
        <v>300.99316359764401</v>
      </c>
      <c r="AL4815">
        <v>83.300879041298103</v>
      </c>
      <c r="AM4815">
        <v>86.159028989966998</v>
      </c>
      <c r="AN4815">
        <v>1.0000000025913001</v>
      </c>
    </row>
    <row r="4816" spans="1:40" x14ac:dyDescent="0.25">
      <c r="A4816" t="str">
        <f>"20190303162006291"</f>
        <v>20190303162006291</v>
      </c>
      <c r="B4816" t="str">
        <f>"1551601206277033"</f>
        <v>1551601206277033</v>
      </c>
      <c r="C4816" t="s">
        <v>40</v>
      </c>
      <c r="D4816">
        <v>4.8962059999999896</v>
      </c>
      <c r="E4816">
        <v>0.48900169999999998</v>
      </c>
      <c r="F4816" t="s">
        <v>65</v>
      </c>
      <c r="G4816">
        <v>-157.8382</v>
      </c>
      <c r="H4816">
        <v>5.914879E-2</v>
      </c>
      <c r="I4816">
        <v>219.4761</v>
      </c>
      <c r="J4816">
        <v>-458.55739999999997</v>
      </c>
      <c r="K4816">
        <v>1.121991</v>
      </c>
      <c r="L4816">
        <v>215.12690000000001</v>
      </c>
      <c r="M4816">
        <v>0.99828349999999999</v>
      </c>
      <c r="N4816">
        <v>-1.124912E-2</v>
      </c>
      <c r="O4816">
        <v>5.7478109999999999E-2</v>
      </c>
      <c r="P4816">
        <v>0.99441299999999999</v>
      </c>
      <c r="Q4816">
        <v>0.10476389999999999</v>
      </c>
      <c r="R4816">
        <v>-1.295615E-2</v>
      </c>
      <c r="S4816">
        <v>3.0185550000000001</v>
      </c>
      <c r="T4816">
        <v>-1.0664939999999999E-2</v>
      </c>
      <c r="U4816">
        <v>4.3777469999999999E-2</v>
      </c>
      <c r="V4816">
        <v>6.9871440000000007E-2</v>
      </c>
      <c r="W4816">
        <v>0.11605169999999999</v>
      </c>
      <c r="X4816">
        <v>0.99078250000000001</v>
      </c>
      <c r="Y4816">
        <v>4.2995569999999997E-2</v>
      </c>
      <c r="Z4816">
        <v>1.2613770000000001E-4</v>
      </c>
      <c r="AA4816">
        <v>0.99907520000000005</v>
      </c>
      <c r="AB4816">
        <v>23</v>
      </c>
      <c r="AC4816">
        <v>300.7192</v>
      </c>
      <c r="AD4816">
        <v>-1.0628422099999999</v>
      </c>
      <c r="AE4816">
        <v>4.34919999999999</v>
      </c>
      <c r="AF4816">
        <v>12.9436925688145</v>
      </c>
      <c r="AG4816">
        <v>-1.0628422099999999</v>
      </c>
      <c r="AH4816">
        <v>300.46822525378599</v>
      </c>
      <c r="AI4816">
        <v>90.202482954448001</v>
      </c>
      <c r="AJ4816">
        <v>87.533314172958995</v>
      </c>
      <c r="AK4816">
        <v>300.74877090029702</v>
      </c>
      <c r="AL4816">
        <v>83.335710723318897</v>
      </c>
      <c r="AM4816">
        <v>85.966095705346405</v>
      </c>
      <c r="AN4816">
        <v>0.99999998875340601</v>
      </c>
    </row>
    <row r="4817" spans="1:40" x14ac:dyDescent="0.25">
      <c r="A4817" t="str">
        <f>"20190303162006316"</f>
        <v>20190303162006316</v>
      </c>
      <c r="B4817" t="str">
        <f>"1551601206307289"</f>
        <v>1551601206307289</v>
      </c>
      <c r="C4817" t="s">
        <v>40</v>
      </c>
      <c r="D4817">
        <v>5.0123600000000001</v>
      </c>
      <c r="E4817">
        <v>0.48802410000000002</v>
      </c>
      <c r="F4817" t="s">
        <v>52</v>
      </c>
      <c r="G4817">
        <v>-271.37060000000002</v>
      </c>
      <c r="H4817" s="1">
        <v>-9.5975790000000007E-7</v>
      </c>
      <c r="I4817">
        <v>218.101</v>
      </c>
      <c r="J4817">
        <v>-458.30220000000003</v>
      </c>
      <c r="K4817">
        <v>1.121435</v>
      </c>
      <c r="L4817">
        <v>215.1429</v>
      </c>
      <c r="M4817">
        <v>0.9982297</v>
      </c>
      <c r="N4817">
        <v>-1.122486E-2</v>
      </c>
      <c r="O4817">
        <v>5.8409549999999998E-2</v>
      </c>
      <c r="P4817">
        <v>0.99464050000000004</v>
      </c>
      <c r="Q4817">
        <v>0.1023824</v>
      </c>
      <c r="R4817">
        <v>-1.4425749999999999E-2</v>
      </c>
      <c r="S4817">
        <v>3.0193479999999999</v>
      </c>
      <c r="T4817">
        <v>-1.809788E-2</v>
      </c>
      <c r="U4817">
        <v>4.7973630000000003E-2</v>
      </c>
      <c r="V4817">
        <v>7.2434460000000006E-2</v>
      </c>
      <c r="W4817">
        <v>0.1135549</v>
      </c>
      <c r="X4817">
        <v>0.99088779999999999</v>
      </c>
      <c r="Y4817">
        <v>4.2543249999999998E-2</v>
      </c>
      <c r="Z4817" s="1">
        <v>-6.020204E-5</v>
      </c>
      <c r="AA4817">
        <v>0.99909460000000005</v>
      </c>
      <c r="AB4817">
        <v>24</v>
      </c>
      <c r="AC4817">
        <v>186.9316</v>
      </c>
      <c r="AD4817">
        <v>-1.1214359597579</v>
      </c>
      <c r="AE4817">
        <v>2.9581</v>
      </c>
      <c r="AF4817">
        <v>7.9659417913539103</v>
      </c>
      <c r="AG4817">
        <v>-1.1214359597579</v>
      </c>
      <c r="AH4817">
        <v>186.77848405013901</v>
      </c>
      <c r="AI4817">
        <v>90.3436927998888</v>
      </c>
      <c r="AJ4817">
        <v>87.557864244192999</v>
      </c>
      <c r="AK4817">
        <v>186.951640675612</v>
      </c>
      <c r="AL4817">
        <v>83.479719410316505</v>
      </c>
      <c r="AM4817">
        <v>85.819082628627001</v>
      </c>
      <c r="AN4817">
        <v>1.0000000492491601</v>
      </c>
    </row>
    <row r="4818" spans="1:40" x14ac:dyDescent="0.25">
      <c r="A4818" t="str">
        <f>"20190303162006338"</f>
        <v>20190303162006338</v>
      </c>
      <c r="B4818" t="str">
        <f>"1551601206326809"</f>
        <v>1551601206326809</v>
      </c>
      <c r="C4818" t="s">
        <v>40</v>
      </c>
      <c r="D4818">
        <v>4.9508549999999998</v>
      </c>
      <c r="E4818">
        <v>0.48060190000000003</v>
      </c>
      <c r="F4818" t="s">
        <v>52</v>
      </c>
      <c r="G4818">
        <v>-346.38580000000002</v>
      </c>
      <c r="H4818" s="1">
        <v>1.8614319999999999E-6</v>
      </c>
      <c r="I4818">
        <v>217.07329999999999</v>
      </c>
      <c r="J4818">
        <v>-458.06729999999999</v>
      </c>
      <c r="K4818">
        <v>1.120967</v>
      </c>
      <c r="L4818">
        <v>215.15690000000001</v>
      </c>
      <c r="M4818">
        <v>0.99822610000000001</v>
      </c>
      <c r="N4818">
        <v>-1.120587E-2</v>
      </c>
      <c r="O4818">
        <v>5.8472719999999999E-2</v>
      </c>
      <c r="P4818">
        <v>0.99495440000000002</v>
      </c>
      <c r="Q4818">
        <v>9.9502930000000003E-2</v>
      </c>
      <c r="R4818">
        <v>-1.2851029999999999E-2</v>
      </c>
      <c r="S4818">
        <v>3.020111</v>
      </c>
      <c r="T4818">
        <v>-3.026235E-2</v>
      </c>
      <c r="U4818">
        <v>5.2093510000000003E-2</v>
      </c>
      <c r="V4818">
        <v>7.1070099999999997E-2</v>
      </c>
      <c r="W4818">
        <v>0.1105802</v>
      </c>
      <c r="X4818">
        <v>0.99132290000000001</v>
      </c>
      <c r="Y4818">
        <v>4.1246480000000002E-2</v>
      </c>
      <c r="Z4818">
        <v>-3.6772330000000002E-4</v>
      </c>
      <c r="AA4818">
        <v>0.99914890000000001</v>
      </c>
      <c r="AB4818">
        <v>24</v>
      </c>
      <c r="AC4818">
        <v>111.68149999999901</v>
      </c>
      <c r="AD4818">
        <v>-1.120965138568</v>
      </c>
      <c r="AE4818">
        <v>1.9163999999999799</v>
      </c>
      <c r="AF4818">
        <v>4.6171455470014697</v>
      </c>
      <c r="AG4818">
        <v>-1.120965138568</v>
      </c>
      <c r="AH4818">
        <v>111.591214941575</v>
      </c>
      <c r="AI4818">
        <v>90.575040888747196</v>
      </c>
      <c r="AJ4818">
        <v>87.6307082220616</v>
      </c>
      <c r="AK4818">
        <v>111.69231776617799</v>
      </c>
      <c r="AL4818">
        <v>83.651237474441501</v>
      </c>
      <c r="AM4818">
        <v>85.899356499237996</v>
      </c>
      <c r="AN4818">
        <v>1.00000001590522</v>
      </c>
    </row>
    <row r="4819" spans="1:40" x14ac:dyDescent="0.25">
      <c r="A4819" t="str">
        <f>"20190303162006359"</f>
        <v>20190303162006359</v>
      </c>
      <c r="B4819" t="str">
        <f>"1551601206347305"</f>
        <v>1551601206347305</v>
      </c>
      <c r="C4819" t="s">
        <v>40</v>
      </c>
      <c r="D4819">
        <v>4.9587820000000002</v>
      </c>
      <c r="E4819">
        <v>0.48012009999999999</v>
      </c>
      <c r="F4819" t="s">
        <v>56</v>
      </c>
      <c r="G4819">
        <v>-417.9932</v>
      </c>
      <c r="H4819" s="1">
        <v>3.4399010000000001E-6</v>
      </c>
      <c r="I4819">
        <v>216.71770000000001</v>
      </c>
      <c r="J4819">
        <v>-457.851</v>
      </c>
      <c r="K4819">
        <v>1.12059</v>
      </c>
      <c r="L4819">
        <v>215.16919999999999</v>
      </c>
      <c r="M4819">
        <v>0.99825850000000005</v>
      </c>
      <c r="N4819">
        <v>-1.119174E-2</v>
      </c>
      <c r="O4819">
        <v>5.79198E-2</v>
      </c>
      <c r="P4819">
        <v>0.99502769999999996</v>
      </c>
      <c r="Q4819">
        <v>9.9167290000000005E-2</v>
      </c>
      <c r="R4819">
        <v>-9.2695E-3</v>
      </c>
      <c r="S4819">
        <v>3.0252080000000001</v>
      </c>
      <c r="T4819">
        <v>-8.4622030000000001E-2</v>
      </c>
      <c r="U4819">
        <v>0.1178284</v>
      </c>
      <c r="V4819">
        <v>6.7050209999999999E-2</v>
      </c>
      <c r="W4819">
        <v>0.11017449999999999</v>
      </c>
      <c r="X4819">
        <v>0.99164810000000003</v>
      </c>
      <c r="Y4819">
        <v>1.9007039999999999E-2</v>
      </c>
      <c r="Z4819">
        <v>-1.34182299999999E-3</v>
      </c>
      <c r="AA4819">
        <v>0.9998184</v>
      </c>
      <c r="AB4819">
        <v>24</v>
      </c>
      <c r="AC4819">
        <v>39.857799999999997</v>
      </c>
      <c r="AD4819">
        <v>-1.1205865600989999</v>
      </c>
      <c r="AE4819">
        <v>1.54850000000001</v>
      </c>
      <c r="AF4819">
        <v>0.76219873655029902</v>
      </c>
      <c r="AG4819">
        <v>-1.1205865600989999</v>
      </c>
      <c r="AH4819">
        <v>39.849123801574002</v>
      </c>
      <c r="AI4819">
        <v>91.610480392623003</v>
      </c>
      <c r="AJ4819">
        <v>88.904230704262602</v>
      </c>
      <c r="AK4819">
        <v>39.872162330451097</v>
      </c>
      <c r="AL4819">
        <v>83.674625510756798</v>
      </c>
      <c r="AM4819">
        <v>86.131837898788007</v>
      </c>
      <c r="AN4819">
        <v>1.00000005267245</v>
      </c>
    </row>
    <row r="4820" spans="1:40" x14ac:dyDescent="0.25">
      <c r="A4820" t="str">
        <f>"20190303162006381"</f>
        <v>20190303162006381</v>
      </c>
      <c r="B4820" t="str">
        <f>"1551601206366676"</f>
        <v>1551601206366676</v>
      </c>
      <c r="C4820" t="s">
        <v>40</v>
      </c>
      <c r="D4820">
        <v>4.8984480000000001</v>
      </c>
      <c r="E4820">
        <v>0.4798732</v>
      </c>
      <c r="F4820" t="s">
        <v>56</v>
      </c>
      <c r="G4820">
        <v>-418.2944</v>
      </c>
      <c r="H4820" s="1">
        <v>3.4747049999999999E-6</v>
      </c>
      <c r="I4820">
        <v>216.9308</v>
      </c>
      <c r="J4820">
        <v>-457.61959999999999</v>
      </c>
      <c r="K4820">
        <v>1.120255</v>
      </c>
      <c r="L4820">
        <v>215.18170000000001</v>
      </c>
      <c r="M4820">
        <v>0.99832109999999996</v>
      </c>
      <c r="N4820">
        <v>-1.1179339999999999E-2</v>
      </c>
      <c r="O4820">
        <v>5.6834349999999999E-2</v>
      </c>
      <c r="P4820">
        <v>0.99503390000000003</v>
      </c>
      <c r="Q4820">
        <v>9.9342440000000004E-2</v>
      </c>
      <c r="R4820">
        <v>-6.2291530000000003E-3</v>
      </c>
      <c r="S4820">
        <v>3.0247799999999998</v>
      </c>
      <c r="T4820">
        <v>-8.5687990000000006E-2</v>
      </c>
      <c r="U4820">
        <v>0.13470460000000001</v>
      </c>
      <c r="V4820">
        <v>6.3024159999999996E-2</v>
      </c>
      <c r="W4820">
        <v>0.1102958</v>
      </c>
      <c r="X4820">
        <v>0.99189859999999996</v>
      </c>
      <c r="Y4820">
        <v>1.234876E-2</v>
      </c>
      <c r="Z4820">
        <v>-1.2161780000000001E-3</v>
      </c>
      <c r="AA4820">
        <v>0.99992300000000001</v>
      </c>
      <c r="AB4820">
        <v>24</v>
      </c>
      <c r="AC4820">
        <v>39.325200000000002</v>
      </c>
      <c r="AD4820">
        <v>-1.1202515252949901</v>
      </c>
      <c r="AE4820">
        <v>1.7490999999999901</v>
      </c>
      <c r="AF4820">
        <v>0.488493630992058</v>
      </c>
      <c r="AG4820">
        <v>-1.1202515252949901</v>
      </c>
      <c r="AH4820">
        <v>39.329190161437602</v>
      </c>
      <c r="AI4820">
        <v>91.631444415539406</v>
      </c>
      <c r="AJ4820">
        <v>89.288386460439995</v>
      </c>
      <c r="AK4820">
        <v>39.348173887258902</v>
      </c>
      <c r="AL4820">
        <v>83.667632712141796</v>
      </c>
      <c r="AM4820">
        <v>86.364375700740894</v>
      </c>
      <c r="AN4820">
        <v>1.0000000204616499</v>
      </c>
    </row>
    <row r="4821" spans="1:40" x14ac:dyDescent="0.25">
      <c r="A4821" t="str">
        <f>"20190303162006403"</f>
        <v>20190303162006403</v>
      </c>
      <c r="B4821" t="str">
        <f>"1551601206396932"</f>
        <v>1551601206396932</v>
      </c>
      <c r="C4821" t="s">
        <v>40</v>
      </c>
      <c r="D4821">
        <v>5.0092230000000004</v>
      </c>
      <c r="E4821">
        <v>0.48063800000000001</v>
      </c>
      <c r="F4821" t="s">
        <v>56</v>
      </c>
      <c r="G4821">
        <v>-416.82580000000002</v>
      </c>
      <c r="H4821" s="1">
        <v>3.1923509999999998E-6</v>
      </c>
      <c r="I4821">
        <v>217.1807</v>
      </c>
      <c r="J4821">
        <v>-457.37880000000001</v>
      </c>
      <c r="K4821">
        <v>1.1200030000000001</v>
      </c>
      <c r="L4821">
        <v>215.19390000000001</v>
      </c>
      <c r="M4821">
        <v>0.99840530000000005</v>
      </c>
      <c r="N4821">
        <v>-1.116663E-2</v>
      </c>
      <c r="O4821">
        <v>5.533631E-2</v>
      </c>
      <c r="P4821">
        <v>0.99527390000000004</v>
      </c>
      <c r="Q4821">
        <v>9.6872570000000005E-2</v>
      </c>
      <c r="R4821">
        <v>-6.7616359999999997E-3</v>
      </c>
      <c r="S4821">
        <v>3.0242</v>
      </c>
      <c r="T4821">
        <v>-8.3048579999999997E-2</v>
      </c>
      <c r="U4821">
        <v>0.1481934</v>
      </c>
      <c r="V4821">
        <v>6.2136150000000001E-2</v>
      </c>
      <c r="W4821">
        <v>0.107783199999999</v>
      </c>
      <c r="X4821">
        <v>0.99223079999999997</v>
      </c>
      <c r="Y4821">
        <v>6.3939969999999898E-3</v>
      </c>
      <c r="Z4821">
        <v>-1.0228259999999999E-3</v>
      </c>
      <c r="AA4821">
        <v>0.99997899999999995</v>
      </c>
      <c r="AB4821">
        <v>24</v>
      </c>
      <c r="AC4821">
        <v>40.552999999999997</v>
      </c>
      <c r="AD4821">
        <v>-1.1199998076490001</v>
      </c>
      <c r="AE4821">
        <v>1.9867999999999799</v>
      </c>
      <c r="AF4821">
        <v>0.26023994845656001</v>
      </c>
      <c r="AG4821">
        <v>-1.1199998076490001</v>
      </c>
      <c r="AH4821">
        <v>40.569933693879598</v>
      </c>
      <c r="AI4821">
        <v>91.581310153675602</v>
      </c>
      <c r="AJ4821">
        <v>89.632475460404706</v>
      </c>
      <c r="AK4821">
        <v>40.586224809973302</v>
      </c>
      <c r="AL4821">
        <v>83.812457775909493</v>
      </c>
      <c r="AM4821">
        <v>86.416664090479003</v>
      </c>
      <c r="AN4821">
        <v>1.00000003990385</v>
      </c>
    </row>
    <row r="4822" spans="1:40" x14ac:dyDescent="0.25">
      <c r="A4822" t="str">
        <f>"20190303162006426"</f>
        <v>20190303162006426</v>
      </c>
      <c r="B4822" t="str">
        <f>"1551601206417428"</f>
        <v>1551601206417428</v>
      </c>
      <c r="C4822" t="s">
        <v>40</v>
      </c>
      <c r="D4822">
        <v>5.0081989999999896</v>
      </c>
      <c r="E4822">
        <v>0.4960696</v>
      </c>
      <c r="F4822" t="s">
        <v>56</v>
      </c>
      <c r="G4822">
        <v>-425.6422</v>
      </c>
      <c r="H4822" s="1">
        <v>2.7819899999999999E-6</v>
      </c>
      <c r="I4822">
        <v>216.69569999999999</v>
      </c>
      <c r="J4822">
        <v>-457.14510000000001</v>
      </c>
      <c r="K4822">
        <v>1.119845</v>
      </c>
      <c r="L4822">
        <v>215.20509999999999</v>
      </c>
      <c r="M4822">
        <v>0.99849679999999996</v>
      </c>
      <c r="N4822">
        <v>-1.115273E-2</v>
      </c>
      <c r="O4822">
        <v>5.3666190000000003E-2</v>
      </c>
      <c r="P4822">
        <v>0.99579660000000003</v>
      </c>
      <c r="Q4822">
        <v>9.1141539999999993E-2</v>
      </c>
      <c r="R4822">
        <v>-9.0986560000000001E-3</v>
      </c>
      <c r="S4822">
        <v>3.025604</v>
      </c>
      <c r="T4822">
        <v>-0.1067748</v>
      </c>
      <c r="U4822">
        <v>0.1431732</v>
      </c>
      <c r="V4822">
        <v>6.2848870000000001E-2</v>
      </c>
      <c r="W4822">
        <v>0.1020244</v>
      </c>
      <c r="X4822">
        <v>0.99279459999999997</v>
      </c>
      <c r="Y4822">
        <v>6.3892319999999999E-3</v>
      </c>
      <c r="Z4822">
        <v>-1.4407910000000001E-3</v>
      </c>
      <c r="AA4822">
        <v>0.99997849999999999</v>
      </c>
      <c r="AB4822">
        <v>24</v>
      </c>
      <c r="AC4822">
        <v>31.5029</v>
      </c>
      <c r="AD4822">
        <v>-1.1198422180100001</v>
      </c>
      <c r="AE4822">
        <v>1.4905999999999999</v>
      </c>
      <c r="AF4822">
        <v>0.202039109533273</v>
      </c>
      <c r="AG4822">
        <v>-1.1198422180100001</v>
      </c>
      <c r="AH4822">
        <v>31.4977843518211</v>
      </c>
      <c r="AI4822">
        <v>92.036140073580896</v>
      </c>
      <c r="AJ4822">
        <v>89.632487498643002</v>
      </c>
      <c r="AK4822">
        <v>31.518332529955401</v>
      </c>
      <c r="AL4822">
        <v>84.144243835532194</v>
      </c>
      <c r="AM4822">
        <v>86.377723851039207</v>
      </c>
      <c r="AN4822">
        <v>1.0000000382223899</v>
      </c>
    </row>
    <row r="4823" spans="1:40" x14ac:dyDescent="0.25">
      <c r="A4823" t="str">
        <f>"20190303162006447"</f>
        <v>20190303162006447</v>
      </c>
      <c r="B4823" t="str">
        <f>"1551601206436948"</f>
        <v>1551601206436948</v>
      </c>
      <c r="C4823" t="s">
        <v>40</v>
      </c>
      <c r="D4823">
        <v>4.9038870000000001</v>
      </c>
      <c r="E4823">
        <v>0.50188889999999997</v>
      </c>
      <c r="F4823" t="s">
        <v>42</v>
      </c>
      <c r="G4823">
        <v>-456.24419999999998</v>
      </c>
      <c r="H4823">
        <v>0.97322629999999999</v>
      </c>
      <c r="I4823">
        <v>215.21199999999999</v>
      </c>
      <c r="J4823">
        <v>-456.91210000000001</v>
      </c>
      <c r="K4823">
        <v>1.119794</v>
      </c>
      <c r="L4823">
        <v>215.2158</v>
      </c>
      <c r="M4823">
        <v>0.99858840000000004</v>
      </c>
      <c r="N4823">
        <v>-1.11387E-2</v>
      </c>
      <c r="O4823">
        <v>5.1932329999999999E-2</v>
      </c>
      <c r="P4823">
        <v>0.99626029999999999</v>
      </c>
      <c r="Q4823">
        <v>8.5575719999999994E-2</v>
      </c>
      <c r="R4823">
        <v>-1.192728E-2</v>
      </c>
      <c r="S4823">
        <v>3.058411</v>
      </c>
      <c r="T4823">
        <v>-0.49763109999999999</v>
      </c>
      <c r="U4823">
        <v>2.4246219999999999E-2</v>
      </c>
      <c r="V4823">
        <v>6.3958310000000004E-2</v>
      </c>
      <c r="W4823">
        <v>9.644308E-2</v>
      </c>
      <c r="X4823">
        <v>0.99328150000000004</v>
      </c>
      <c r="Y4823">
        <v>4.2823E-2</v>
      </c>
      <c r="Z4823">
        <v>-1.1517289999999999E-2</v>
      </c>
      <c r="AA4823">
        <v>0.99901629999999997</v>
      </c>
      <c r="AB4823">
        <v>24</v>
      </c>
      <c r="AC4823">
        <v>0.66790000000003102</v>
      </c>
      <c r="AD4823">
        <v>-0.146567699999999</v>
      </c>
      <c r="AE4823">
        <v>-3.7999999999840301E-3</v>
      </c>
      <c r="AF4823">
        <v>3.67146433727105E-2</v>
      </c>
      <c r="AG4823">
        <v>-0.146567699999999</v>
      </c>
      <c r="AH4823">
        <v>0.63616678703768104</v>
      </c>
      <c r="AI4823">
        <v>102.953265760899</v>
      </c>
      <c r="AJ4823">
        <v>86.696993108957699</v>
      </c>
      <c r="AK4823">
        <v>0.65386408117522499</v>
      </c>
      <c r="AL4823">
        <v>84.465616568149599</v>
      </c>
      <c r="AM4823">
        <v>86.315758260763104</v>
      </c>
      <c r="AN4823">
        <v>1.00000003567009</v>
      </c>
    </row>
    <row r="4824" spans="1:40" x14ac:dyDescent="0.25">
      <c r="A4824" t="str">
        <f>"20190303162006469"</f>
        <v>20190303162006469</v>
      </c>
      <c r="B4824" t="str">
        <f>"1551601206457443"</f>
        <v>1551601206457443</v>
      </c>
      <c r="C4824" t="s">
        <v>40</v>
      </c>
      <c r="D4824">
        <v>4.8472289999999996</v>
      </c>
      <c r="E4824">
        <v>0.50607239999999998</v>
      </c>
      <c r="F4824" t="s">
        <v>42</v>
      </c>
      <c r="G4824">
        <v>-456.05529999999999</v>
      </c>
      <c r="H4824">
        <v>0.92503060000000004</v>
      </c>
      <c r="I4824">
        <v>215.20840000000001</v>
      </c>
      <c r="J4824">
        <v>-456.68110000000001</v>
      </c>
      <c r="K4824">
        <v>1.119821</v>
      </c>
      <c r="L4824">
        <v>215.226</v>
      </c>
      <c r="M4824">
        <v>0.99867570000000006</v>
      </c>
      <c r="N4824">
        <v>-1.1126550000000001E-2</v>
      </c>
      <c r="O4824">
        <v>5.0229780000000002E-2</v>
      </c>
      <c r="P4824">
        <v>0.99647300000000005</v>
      </c>
      <c r="Q4824">
        <v>8.2324610000000006E-2</v>
      </c>
      <c r="R4824">
        <v>-1.6269470000000001E-2</v>
      </c>
      <c r="S4824">
        <v>3.0708920000000002</v>
      </c>
      <c r="T4824">
        <v>-0.69793050000000001</v>
      </c>
      <c r="U4824">
        <v>-2.5207520000000001E-2</v>
      </c>
      <c r="V4824">
        <v>6.6589380000000004E-2</v>
      </c>
      <c r="W4824">
        <v>9.3181020000000003E-2</v>
      </c>
      <c r="X4824">
        <v>0.99341990000000002</v>
      </c>
      <c r="Y4824">
        <v>5.5777460000000001E-2</v>
      </c>
      <c r="Z4824">
        <v>-1.7289450000000001E-2</v>
      </c>
      <c r="AA4824">
        <v>0.99829349999999994</v>
      </c>
      <c r="AB4824">
        <v>24</v>
      </c>
      <c r="AC4824">
        <v>0.625800000000026</v>
      </c>
      <c r="AD4824">
        <v>-0.194790399999999</v>
      </c>
      <c r="AE4824">
        <v>-1.75999999999874E-2</v>
      </c>
      <c r="AF4824">
        <v>4.4687338000877E-2</v>
      </c>
      <c r="AG4824">
        <v>-0.194790399999999</v>
      </c>
      <c r="AH4824">
        <v>0.56903729832512295</v>
      </c>
      <c r="AI4824">
        <v>108.842976522719</v>
      </c>
      <c r="AJ4824">
        <v>85.509693689470097</v>
      </c>
      <c r="AK4824">
        <v>0.60311168534104798</v>
      </c>
      <c r="AL4824">
        <v>84.653364350499103</v>
      </c>
      <c r="AM4824">
        <v>86.165174813322196</v>
      </c>
      <c r="AN4824">
        <v>0.99999997286651698</v>
      </c>
    </row>
    <row r="4825" spans="1:40" x14ac:dyDescent="0.25">
      <c r="A4825" t="str">
        <f>"20190303162006493"</f>
        <v>20190303162006493</v>
      </c>
      <c r="B4825" t="str">
        <f>"1551601206487365"</f>
        <v>1551601206487365</v>
      </c>
      <c r="C4825" t="s">
        <v>40</v>
      </c>
      <c r="D4825">
        <v>5.0526710000000001</v>
      </c>
      <c r="E4825">
        <v>0.50902329999999996</v>
      </c>
      <c r="F4825" t="s">
        <v>42</v>
      </c>
      <c r="G4825">
        <v>-455.85329999999999</v>
      </c>
      <c r="H4825">
        <v>0.90316750000000001</v>
      </c>
      <c r="I4825">
        <v>215.20609999999999</v>
      </c>
      <c r="J4825">
        <v>-456.43419999999998</v>
      </c>
      <c r="K4825">
        <v>1.1198980000000001</v>
      </c>
      <c r="L4825">
        <v>215.23650000000001</v>
      </c>
      <c r="M4825">
        <v>0.99876149999999997</v>
      </c>
      <c r="N4825">
        <v>-1.11167E-2</v>
      </c>
      <c r="O4825">
        <v>4.8496480000000002E-2</v>
      </c>
      <c r="P4825">
        <v>0.99647189999999997</v>
      </c>
      <c r="Q4825">
        <v>8.0908800000000003E-2</v>
      </c>
      <c r="R4825">
        <v>-2.2320590000000001E-2</v>
      </c>
      <c r="S4825">
        <v>3.0759280000000002</v>
      </c>
      <c r="T4825">
        <v>-0.80497859999999999</v>
      </c>
      <c r="U4825">
        <v>-7.2814939999999995E-2</v>
      </c>
      <c r="V4825">
        <v>7.0883150000000006E-2</v>
      </c>
      <c r="W4825">
        <v>9.1755199999999995E-2</v>
      </c>
      <c r="X4825">
        <v>0.99325560000000002</v>
      </c>
      <c r="Y4825">
        <v>6.8229819999999997E-2</v>
      </c>
      <c r="Z4825">
        <v>-2.1112059999999998E-2</v>
      </c>
      <c r="AA4825">
        <v>0.99744619999999995</v>
      </c>
      <c r="AB4825">
        <v>24</v>
      </c>
      <c r="AC4825">
        <v>0.58089999999998498</v>
      </c>
      <c r="AD4825">
        <v>-0.21673049999999999</v>
      </c>
      <c r="AE4825">
        <v>-3.0400000000014402E-2</v>
      </c>
      <c r="AF4825">
        <v>5.1401988425123099E-2</v>
      </c>
      <c r="AG4825">
        <v>-0.21673049999999999</v>
      </c>
      <c r="AH4825">
        <v>0.50819481930857302</v>
      </c>
      <c r="AI4825">
        <v>112.991821566504</v>
      </c>
      <c r="AJ4825">
        <v>84.224390551212295</v>
      </c>
      <c r="AK4825">
        <v>0.55486597338130195</v>
      </c>
      <c r="AL4825">
        <v>84.735409810164498</v>
      </c>
      <c r="AM4825">
        <v>85.9180378780502</v>
      </c>
      <c r="AN4825">
        <v>1.00000006230615</v>
      </c>
    </row>
    <row r="4826" spans="1:40" x14ac:dyDescent="0.25">
      <c r="A4826" t="str">
        <f>"20190303162006516"</f>
        <v>20190303162006516</v>
      </c>
      <c r="B4826" t="str">
        <f>"1551601206506884"</f>
        <v>1551601206506884</v>
      </c>
      <c r="C4826" t="s">
        <v>40</v>
      </c>
      <c r="D4826">
        <v>4.9041949999999996</v>
      </c>
      <c r="E4826">
        <v>0.50936939999999997</v>
      </c>
      <c r="F4826" t="s">
        <v>42</v>
      </c>
      <c r="G4826">
        <v>-455.64100000000002</v>
      </c>
      <c r="H4826">
        <v>0.90349190000000001</v>
      </c>
      <c r="I4826">
        <v>215.2047</v>
      </c>
      <c r="J4826">
        <v>-456.18009999999998</v>
      </c>
      <c r="K4826">
        <v>1.1200000000000001</v>
      </c>
      <c r="L4826">
        <v>215.24690000000001</v>
      </c>
      <c r="M4826">
        <v>0.99884090000000003</v>
      </c>
      <c r="N4826">
        <v>-1.110892E-2</v>
      </c>
      <c r="O4826">
        <v>4.6837629999999998E-2</v>
      </c>
      <c r="P4826">
        <v>0.99636480000000005</v>
      </c>
      <c r="Q4826">
        <v>8.0798720000000004E-2</v>
      </c>
      <c r="R4826">
        <v>-2.6998899999999999E-2</v>
      </c>
      <c r="S4826">
        <v>3.0760190000000001</v>
      </c>
      <c r="T4826">
        <v>-0.83912790000000004</v>
      </c>
      <c r="U4826">
        <v>-0.12159730000000001</v>
      </c>
      <c r="V4826">
        <v>7.3878029999999997E-2</v>
      </c>
      <c r="W4826">
        <v>9.1644580000000003E-2</v>
      </c>
      <c r="X4826">
        <v>0.99304749999999997</v>
      </c>
      <c r="Y4826">
        <v>8.1584309999999993E-2</v>
      </c>
      <c r="Z4826">
        <v>-2.3417449999999999E-2</v>
      </c>
      <c r="AA4826">
        <v>0.99639129999999998</v>
      </c>
      <c r="AB4826">
        <v>24</v>
      </c>
      <c r="AC4826">
        <v>0.53910000000001901</v>
      </c>
      <c r="AD4826">
        <v>-0.21650810000000001</v>
      </c>
      <c r="AE4826">
        <v>-4.2200000000008203E-2</v>
      </c>
      <c r="AF4826">
        <v>5.8092653818235397E-2</v>
      </c>
      <c r="AG4826">
        <v>-0.21650810000000001</v>
      </c>
      <c r="AH4826">
        <v>0.462404262269828</v>
      </c>
      <c r="AI4826">
        <v>114.91819833505799</v>
      </c>
      <c r="AJ4826">
        <v>82.839347037450693</v>
      </c>
      <c r="AK4826">
        <v>0.51387568103439096</v>
      </c>
      <c r="AL4826">
        <v>84.741774435641801</v>
      </c>
      <c r="AM4826">
        <v>85.745303285345301</v>
      </c>
      <c r="AN4826">
        <v>1.00000001480815</v>
      </c>
    </row>
    <row r="4827" spans="1:40" x14ac:dyDescent="0.25">
      <c r="A4827" t="str">
        <f>"20190303162006539"</f>
        <v>20190303162006539</v>
      </c>
      <c r="B4827" t="str">
        <f>"1551601206527381"</f>
        <v>1551601206527381</v>
      </c>
      <c r="C4827" t="s">
        <v>40</v>
      </c>
      <c r="D4827">
        <v>4.9219999999999997</v>
      </c>
      <c r="E4827">
        <v>0.50931539999999997</v>
      </c>
      <c r="F4827" t="s">
        <v>42</v>
      </c>
      <c r="G4827">
        <v>-455.42399999999998</v>
      </c>
      <c r="H4827">
        <v>0.91501460000000001</v>
      </c>
      <c r="I4827">
        <v>215.21100000000001</v>
      </c>
      <c r="J4827">
        <v>-455.94690000000003</v>
      </c>
      <c r="K4827">
        <v>1.12008</v>
      </c>
      <c r="L4827">
        <v>215.25630000000001</v>
      </c>
      <c r="M4827">
        <v>0.99890619999999997</v>
      </c>
      <c r="N4827">
        <v>-1.1103099999999999E-2</v>
      </c>
      <c r="O4827">
        <v>4.542409E-2</v>
      </c>
      <c r="P4827">
        <v>0.99635260000000003</v>
      </c>
      <c r="Q4827">
        <v>8.0450300000000002E-2</v>
      </c>
      <c r="R4827">
        <v>-2.8454070000000001E-2</v>
      </c>
      <c r="S4827">
        <v>3.074646</v>
      </c>
      <c r="T4827">
        <v>-0.83340759999999903</v>
      </c>
      <c r="U4827">
        <v>-0.14534</v>
      </c>
      <c r="V4827">
        <v>7.390708E-2</v>
      </c>
      <c r="W4827">
        <v>9.1303170000000003E-2</v>
      </c>
      <c r="X4827">
        <v>0.99307679999999998</v>
      </c>
      <c r="Y4827">
        <v>8.7745519999999994E-2</v>
      </c>
      <c r="Z4827">
        <v>-2.3763949999999999E-2</v>
      </c>
      <c r="AA4827">
        <v>0.99585939999999995</v>
      </c>
      <c r="AB4827">
        <v>24</v>
      </c>
      <c r="AC4827">
        <v>0.52289999999999204</v>
      </c>
      <c r="AD4827">
        <v>-0.20506539999999901</v>
      </c>
      <c r="AE4827">
        <v>-4.5300000000025799E-2</v>
      </c>
      <c r="AF4827">
        <v>5.9868027295380197E-2</v>
      </c>
      <c r="AG4827">
        <v>-0.20506539999999901</v>
      </c>
      <c r="AH4827">
        <v>0.45139618541334198</v>
      </c>
      <c r="AI4827">
        <v>114.244313502023</v>
      </c>
      <c r="AJ4827">
        <v>82.445035335175703</v>
      </c>
      <c r="AK4827">
        <v>0.49939414811861399</v>
      </c>
      <c r="AL4827">
        <v>84.761418213605893</v>
      </c>
      <c r="AM4827">
        <v>85.743761538435606</v>
      </c>
      <c r="AN4827">
        <v>1.0000000280121999</v>
      </c>
    </row>
    <row r="4828" spans="1:40" x14ac:dyDescent="0.25">
      <c r="A4828" t="str">
        <f>"20190303162006559"</f>
        <v>20190303162006559</v>
      </c>
      <c r="B4828" t="str">
        <f>"1551601206546900"</f>
        <v>1551601206546900</v>
      </c>
      <c r="C4828" t="s">
        <v>40</v>
      </c>
      <c r="D4828">
        <v>5.0025279999999999</v>
      </c>
      <c r="E4828">
        <v>0.50973179999999996</v>
      </c>
      <c r="F4828" t="s">
        <v>42</v>
      </c>
      <c r="G4828">
        <v>-455.20859999999999</v>
      </c>
      <c r="H4828">
        <v>0.92200260000000001</v>
      </c>
      <c r="I4828">
        <v>215.22</v>
      </c>
      <c r="J4828">
        <v>-455.72739999999999</v>
      </c>
      <c r="K4828">
        <v>1.1201239999999999</v>
      </c>
      <c r="L4828">
        <v>215.26480000000001</v>
      </c>
      <c r="M4828">
        <v>0.99896289999999999</v>
      </c>
      <c r="N4828">
        <v>-1.10986E-2</v>
      </c>
      <c r="O4828">
        <v>4.4158299999999998E-2</v>
      </c>
      <c r="P4828">
        <v>0.99639180000000005</v>
      </c>
      <c r="Q4828">
        <v>8.0400920000000001E-2</v>
      </c>
      <c r="R4828">
        <v>-2.7193160000000001E-2</v>
      </c>
      <c r="S4828">
        <v>3.0731510000000002</v>
      </c>
      <c r="T4828">
        <v>-0.82434609999999997</v>
      </c>
      <c r="U4828">
        <v>-0.15119929999999901</v>
      </c>
      <c r="V4828">
        <v>7.1379970000000001E-2</v>
      </c>
      <c r="W4828">
        <v>9.1265189999999996E-2</v>
      </c>
      <c r="X4828">
        <v>0.99326510000000001</v>
      </c>
      <c r="Y4828">
        <v>8.8511850000000003E-2</v>
      </c>
      <c r="Z4828">
        <v>-2.3309980000000001E-2</v>
      </c>
      <c r="AA4828">
        <v>0.99580230000000003</v>
      </c>
      <c r="AB4828">
        <v>24</v>
      </c>
      <c r="AC4828">
        <v>0.51879999999999804</v>
      </c>
      <c r="AD4828">
        <v>-0.198121399999999</v>
      </c>
      <c r="AE4828">
        <v>-4.4800000000009201E-2</v>
      </c>
      <c r="AF4828">
        <v>5.9110443710050503E-2</v>
      </c>
      <c r="AG4828">
        <v>-0.198121399999999</v>
      </c>
      <c r="AH4828">
        <v>0.451026670716758</v>
      </c>
      <c r="AI4828">
        <v>113.53519903938501</v>
      </c>
      <c r="AJ4828">
        <v>82.5335106435721</v>
      </c>
      <c r="AK4828">
        <v>0.49615641827089302</v>
      </c>
      <c r="AL4828">
        <v>84.763603267681006</v>
      </c>
      <c r="AM4828">
        <v>85.889564313124794</v>
      </c>
      <c r="AN4828">
        <v>0.99999999695047304</v>
      </c>
    </row>
    <row r="4829" spans="1:40" x14ac:dyDescent="0.25">
      <c r="A4829" t="str">
        <f>"20190303162006582"</f>
        <v>20190303162006582</v>
      </c>
      <c r="B4829" t="str">
        <f>"1551601206576594"</f>
        <v>1551601206576594</v>
      </c>
      <c r="C4829" t="s">
        <v>40</v>
      </c>
      <c r="D4829">
        <v>4.9504710000000003</v>
      </c>
      <c r="E4829">
        <v>0.51251579999999997</v>
      </c>
      <c r="F4829" t="s">
        <v>42</v>
      </c>
      <c r="G4829">
        <v>-454.99549999999999</v>
      </c>
      <c r="H4829">
        <v>0.9236143</v>
      </c>
      <c r="I4829">
        <v>215.2287</v>
      </c>
      <c r="J4829">
        <v>-455.48669999999998</v>
      </c>
      <c r="K4829">
        <v>1.1201410000000001</v>
      </c>
      <c r="L4829">
        <v>215.2739</v>
      </c>
      <c r="M4829">
        <v>0.99902279999999999</v>
      </c>
      <c r="N4829">
        <v>-1.1094919999999999E-2</v>
      </c>
      <c r="O4829">
        <v>4.2782220000000003E-2</v>
      </c>
      <c r="P4829">
        <v>0.99639029999999995</v>
      </c>
      <c r="Q4829">
        <v>8.1104679999999998E-2</v>
      </c>
      <c r="R4829">
        <v>-2.5070950000000002E-2</v>
      </c>
      <c r="S4829">
        <v>3.073334</v>
      </c>
      <c r="T4829">
        <v>-0.82504549999999999</v>
      </c>
      <c r="U4829">
        <v>-0.15093989999999999</v>
      </c>
      <c r="V4829">
        <v>6.7889969999999994E-2</v>
      </c>
      <c r="W4829">
        <v>9.1976939999999993E-2</v>
      </c>
      <c r="X4829">
        <v>0.99344410000000005</v>
      </c>
      <c r="Y4829">
        <v>8.7141449999999995E-2</v>
      </c>
      <c r="Z4829">
        <v>-2.2791700000000002E-2</v>
      </c>
      <c r="AA4829">
        <v>0.99593520000000002</v>
      </c>
      <c r="AB4829">
        <v>24</v>
      </c>
      <c r="AC4829">
        <v>0.49119999999999198</v>
      </c>
      <c r="AD4829">
        <v>-0.1965267</v>
      </c>
      <c r="AE4829">
        <v>-4.5199999999994099E-2</v>
      </c>
      <c r="AF4829">
        <v>5.7109436600403497E-2</v>
      </c>
      <c r="AG4829">
        <v>-0.1965267</v>
      </c>
      <c r="AH4829">
        <v>0.42185452862369299</v>
      </c>
      <c r="AI4829">
        <v>114.780528566136</v>
      </c>
      <c r="AJ4829">
        <v>82.290334593555698</v>
      </c>
      <c r="AK4829">
        <v>0.46887682271789</v>
      </c>
      <c r="AL4829">
        <v>84.722650724388302</v>
      </c>
      <c r="AM4829">
        <v>86.090599941163205</v>
      </c>
      <c r="AN4829">
        <v>0.99999999267158701</v>
      </c>
    </row>
    <row r="4830" spans="1:40" x14ac:dyDescent="0.25">
      <c r="A4830" t="str">
        <f>"20190303162006604"</f>
        <v>20190303162006604</v>
      </c>
      <c r="B4830" t="str">
        <f>"1551601206597090"</f>
        <v>1551601206597090</v>
      </c>
      <c r="C4830" t="s">
        <v>40</v>
      </c>
      <c r="D4830">
        <v>4.9715680000000004</v>
      </c>
      <c r="E4830">
        <v>0.51414819999999894</v>
      </c>
      <c r="F4830" t="s">
        <v>42</v>
      </c>
      <c r="G4830">
        <v>-454.78179999999998</v>
      </c>
      <c r="H4830">
        <v>0.92619910000000005</v>
      </c>
      <c r="I4830">
        <v>215.2353</v>
      </c>
      <c r="J4830">
        <v>-455.24360000000001</v>
      </c>
      <c r="K4830">
        <v>1.1201030000000001</v>
      </c>
      <c r="L4830">
        <v>215.28270000000001</v>
      </c>
      <c r="M4830">
        <v>0.99908359999999996</v>
      </c>
      <c r="N4830">
        <v>-1.1092869999999999E-2</v>
      </c>
      <c r="O4830">
        <v>4.133974E-2</v>
      </c>
      <c r="P4830">
        <v>0.9962858</v>
      </c>
      <c r="Q4830">
        <v>8.3357500000000001E-2</v>
      </c>
      <c r="R4830">
        <v>-2.159167E-2</v>
      </c>
      <c r="S4830">
        <v>3.0755309999999998</v>
      </c>
      <c r="T4830">
        <v>-0.84593629999999997</v>
      </c>
      <c r="U4830">
        <v>-0.16691589999999901</v>
      </c>
      <c r="V4830">
        <v>6.298716E-2</v>
      </c>
      <c r="W4830">
        <v>9.4234449999999997E-2</v>
      </c>
      <c r="X4830">
        <v>0.99355550000000004</v>
      </c>
      <c r="Y4830">
        <v>9.0523080000000006E-2</v>
      </c>
      <c r="Z4830">
        <v>-2.343187E-2</v>
      </c>
      <c r="AA4830">
        <v>0.99561860000000002</v>
      </c>
      <c r="AB4830">
        <v>24</v>
      </c>
      <c r="AC4830">
        <v>0.46180000000003901</v>
      </c>
      <c r="AD4830">
        <v>-0.19390389999999999</v>
      </c>
      <c r="AE4830">
        <v>-4.7400000000010302E-2</v>
      </c>
      <c r="AF4830">
        <v>5.6579990109913901E-2</v>
      </c>
      <c r="AG4830">
        <v>-0.19390389999999999</v>
      </c>
      <c r="AH4830">
        <v>0.39119489008842501</v>
      </c>
      <c r="AI4830">
        <v>116.131014369746</v>
      </c>
      <c r="AJ4830">
        <v>81.770165416989897</v>
      </c>
      <c r="AK4830">
        <v>0.44026521523661499</v>
      </c>
      <c r="AL4830">
        <v>84.592740763219695</v>
      </c>
      <c r="AM4830">
        <v>86.372547566898106</v>
      </c>
      <c r="AN4830">
        <v>1.00000002273595</v>
      </c>
    </row>
    <row r="4831" spans="1:40" x14ac:dyDescent="0.25">
      <c r="A4831" t="str">
        <f>"20190303162006627"</f>
        <v>20190303162006627</v>
      </c>
      <c r="B4831" t="str">
        <f>"1551601206616610"</f>
        <v>1551601206616610</v>
      </c>
      <c r="C4831" t="s">
        <v>40</v>
      </c>
      <c r="D4831">
        <v>4.9619559999999998</v>
      </c>
      <c r="E4831">
        <v>0.51558979999999999</v>
      </c>
      <c r="F4831" t="s">
        <v>42</v>
      </c>
      <c r="G4831">
        <v>-454.56619999999998</v>
      </c>
      <c r="H4831">
        <v>0.9324964</v>
      </c>
      <c r="I4831">
        <v>215.24520000000001</v>
      </c>
      <c r="J4831">
        <v>-455.00790000000001</v>
      </c>
      <c r="K4831">
        <v>1.120028</v>
      </c>
      <c r="L4831">
        <v>215.29069999999999</v>
      </c>
      <c r="M4831">
        <v>0.99914530000000001</v>
      </c>
      <c r="N4831">
        <v>-1.1093E-2</v>
      </c>
      <c r="O4831">
        <v>3.9821250000000002E-2</v>
      </c>
      <c r="P4831">
        <v>0.99632299999999996</v>
      </c>
      <c r="Q4831">
        <v>8.352482E-2</v>
      </c>
      <c r="R4831">
        <v>-1.9083050000000001E-2</v>
      </c>
      <c r="S4831">
        <v>3.0788570000000002</v>
      </c>
      <c r="T4831">
        <v>-0.85255599999999998</v>
      </c>
      <c r="U4831">
        <v>-0.16896059999999999</v>
      </c>
      <c r="V4831">
        <v>5.8987820000000003E-2</v>
      </c>
      <c r="W4831">
        <v>9.440345E-2</v>
      </c>
      <c r="X4831">
        <v>0.99378489999999997</v>
      </c>
      <c r="Y4831">
        <v>8.9633640000000001E-2</v>
      </c>
      <c r="Z4831">
        <v>-2.3061870000000002E-2</v>
      </c>
      <c r="AA4831">
        <v>0.99570780000000003</v>
      </c>
      <c r="AB4831">
        <v>24</v>
      </c>
      <c r="AC4831">
        <v>0.44170000000002502</v>
      </c>
      <c r="AD4831">
        <v>-0.18753159999999999</v>
      </c>
      <c r="AE4831">
        <v>-4.5499999999975602E-2</v>
      </c>
      <c r="AF4831">
        <v>5.3509757865674398E-2</v>
      </c>
      <c r="AG4831">
        <v>-0.18753159999999999</v>
      </c>
      <c r="AH4831">
        <v>0.37300630880541003</v>
      </c>
      <c r="AI4831">
        <v>116.457805641205</v>
      </c>
      <c r="AJ4831">
        <v>81.836310116584201</v>
      </c>
      <c r="AK4831">
        <v>0.42090984972323903</v>
      </c>
      <c r="AL4831">
        <v>84.583014298163604</v>
      </c>
      <c r="AM4831">
        <v>86.603095607166196</v>
      </c>
      <c r="AN4831">
        <v>1.0000000008741301</v>
      </c>
    </row>
    <row r="4832" spans="1:40" x14ac:dyDescent="0.25">
      <c r="A4832" t="str">
        <f>"20190303162006649"</f>
        <v>20190303162006649</v>
      </c>
      <c r="B4832" t="str">
        <f>"1551601206637106"</f>
        <v>1551601206637106</v>
      </c>
      <c r="C4832" t="s">
        <v>40</v>
      </c>
      <c r="D4832">
        <v>4.9726119999999998</v>
      </c>
      <c r="E4832">
        <v>0.51663000000000003</v>
      </c>
      <c r="F4832" t="s">
        <v>42</v>
      </c>
      <c r="G4832">
        <v>-454.1617</v>
      </c>
      <c r="H4832">
        <v>0.88327529999999999</v>
      </c>
      <c r="I4832">
        <v>215.24379999999999</v>
      </c>
      <c r="J4832">
        <v>-454.77300000000002</v>
      </c>
      <c r="K4832">
        <v>1.1199319999999999</v>
      </c>
      <c r="L4832">
        <v>215.29820000000001</v>
      </c>
      <c r="M4832">
        <v>0.99921009999999999</v>
      </c>
      <c r="N4832">
        <v>-1.1094929999999999E-2</v>
      </c>
      <c r="O4832">
        <v>3.8161870000000001E-2</v>
      </c>
      <c r="P4832">
        <v>0.99640669999999998</v>
      </c>
      <c r="Q4832">
        <v>8.31895E-2</v>
      </c>
      <c r="R4832">
        <v>-1.5926039999999999E-2</v>
      </c>
      <c r="S4832">
        <v>3.0800480000000001</v>
      </c>
      <c r="T4832">
        <v>-0.86174949999999995</v>
      </c>
      <c r="U4832">
        <v>-0.17053219999999999</v>
      </c>
      <c r="V4832">
        <v>5.420585E-2</v>
      </c>
      <c r="W4832">
        <v>9.4072580000000003E-2</v>
      </c>
      <c r="X4832">
        <v>0.99408859999999999</v>
      </c>
      <c r="Y4832">
        <v>8.8470980000000005E-2</v>
      </c>
      <c r="Z4832">
        <v>-2.2688960000000001E-2</v>
      </c>
      <c r="AA4832">
        <v>0.99582029999999999</v>
      </c>
      <c r="AB4832">
        <v>24</v>
      </c>
      <c r="AC4832">
        <v>0.61130000000002804</v>
      </c>
      <c r="AD4832">
        <v>-0.236656699999999</v>
      </c>
      <c r="AE4832">
        <v>-5.4400000000015297E-2</v>
      </c>
      <c r="AF4832">
        <v>6.7633269249213701E-2</v>
      </c>
      <c r="AG4832">
        <v>-0.236656699999999</v>
      </c>
      <c r="AH4832">
        <v>0.52997297995660497</v>
      </c>
      <c r="AI4832">
        <v>113.891065364235</v>
      </c>
      <c r="AJ4832">
        <v>82.727426395212206</v>
      </c>
      <c r="AK4832">
        <v>0.58433895321834495</v>
      </c>
      <c r="AL4832">
        <v>84.602056678788202</v>
      </c>
      <c r="AM4832">
        <v>86.878855908341805</v>
      </c>
      <c r="AN4832">
        <v>1.0000000345660101</v>
      </c>
    </row>
    <row r="4833" spans="1:40" x14ac:dyDescent="0.25">
      <c r="A4833" t="str">
        <f>"20190303162006671"</f>
        <v>20190303162006671</v>
      </c>
      <c r="B4833" t="str">
        <f>"1551601206656626"</f>
        <v>1551601206656626</v>
      </c>
      <c r="C4833" t="s">
        <v>40</v>
      </c>
      <c r="D4833">
        <v>4.9749569999999999</v>
      </c>
      <c r="E4833">
        <v>0.51747100000000001</v>
      </c>
      <c r="F4833" t="s">
        <v>42</v>
      </c>
      <c r="G4833">
        <v>-453.94760000000002</v>
      </c>
      <c r="H4833">
        <v>0.88637089999999996</v>
      </c>
      <c r="I4833">
        <v>215.25280000000001</v>
      </c>
      <c r="J4833">
        <v>-454.5401</v>
      </c>
      <c r="K4833">
        <v>1.1198520000000001</v>
      </c>
      <c r="L4833">
        <v>215.30500000000001</v>
      </c>
      <c r="M4833">
        <v>0.99927659999999996</v>
      </c>
      <c r="N4833">
        <v>-1.109806E-2</v>
      </c>
      <c r="O4833">
        <v>3.6377399999999997E-2</v>
      </c>
      <c r="P4833">
        <v>0.99628309999999998</v>
      </c>
      <c r="Q4833">
        <v>8.5229780000000005E-2</v>
      </c>
      <c r="R4833">
        <v>-1.248641E-2</v>
      </c>
      <c r="S4833">
        <v>3.0808719999999998</v>
      </c>
      <c r="T4833">
        <v>-0.87143969999999904</v>
      </c>
      <c r="U4833">
        <v>-0.16854859999999999</v>
      </c>
      <c r="V4833">
        <v>4.9015740000000002E-2</v>
      </c>
      <c r="W4833">
        <v>9.6119850000000007E-2</v>
      </c>
      <c r="X4833">
        <v>0.9941622</v>
      </c>
      <c r="Y4833">
        <v>8.6094489999999996E-2</v>
      </c>
      <c r="Z4833">
        <v>-2.2110339999999999E-2</v>
      </c>
      <c r="AA4833">
        <v>0.99604159999999997</v>
      </c>
      <c r="AB4833">
        <v>24</v>
      </c>
      <c r="AC4833">
        <v>0.59249999999997205</v>
      </c>
      <c r="AD4833">
        <v>-0.2334811</v>
      </c>
      <c r="AE4833">
        <v>-5.2199999999999101E-2</v>
      </c>
      <c r="AF4833">
        <v>6.3877607181815205E-2</v>
      </c>
      <c r="AG4833">
        <v>-0.2334811</v>
      </c>
      <c r="AH4833">
        <v>0.51140707450275602</v>
      </c>
      <c r="AI4833">
        <v>114.371773531399</v>
      </c>
      <c r="AJ4833">
        <v>82.880309256889404</v>
      </c>
      <c r="AK4833">
        <v>0.56580117409559305</v>
      </c>
      <c r="AL4833">
        <v>84.484222659924598</v>
      </c>
      <c r="AM4833">
        <v>87.177399465375103</v>
      </c>
      <c r="AN4833">
        <v>1.0000000241203</v>
      </c>
    </row>
    <row r="4834" spans="1:40" x14ac:dyDescent="0.25">
      <c r="A4834" t="str">
        <f>"20190303162006694"</f>
        <v>20190303162006694</v>
      </c>
      <c r="B4834" t="str">
        <f>"1551601206686883"</f>
        <v>1551601206686883</v>
      </c>
      <c r="C4834" t="s">
        <v>40</v>
      </c>
      <c r="D4834">
        <v>5.0017909999999999</v>
      </c>
      <c r="E4834">
        <v>0.51866759999999901</v>
      </c>
      <c r="F4834" t="s">
        <v>42</v>
      </c>
      <c r="G4834">
        <v>-453.73250000000002</v>
      </c>
      <c r="H4834">
        <v>0.89124159999999997</v>
      </c>
      <c r="I4834">
        <v>215.2619</v>
      </c>
      <c r="J4834">
        <v>-454.29259999999999</v>
      </c>
      <c r="K4834">
        <v>1.119758</v>
      </c>
      <c r="L4834">
        <v>215.3117</v>
      </c>
      <c r="M4834">
        <v>0.99934959999999995</v>
      </c>
      <c r="N4834">
        <v>-1.1101990000000001E-2</v>
      </c>
      <c r="O4834">
        <v>3.4313339999999998E-2</v>
      </c>
      <c r="P4834">
        <v>0.99616720000000003</v>
      </c>
      <c r="Q4834">
        <v>8.7070330000000001E-2</v>
      </c>
      <c r="R4834">
        <v>-8.3689669999999997E-3</v>
      </c>
      <c r="S4834">
        <v>3.083771</v>
      </c>
      <c r="T4834">
        <v>-0.87283559999999905</v>
      </c>
      <c r="U4834">
        <v>-0.1643829</v>
      </c>
      <c r="V4834">
        <v>4.287055E-2</v>
      </c>
      <c r="W4834">
        <v>9.7974060000000002E-2</v>
      </c>
      <c r="X4834">
        <v>0.99426510000000001</v>
      </c>
      <c r="Y4834">
        <v>8.284503E-2</v>
      </c>
      <c r="Z4834">
        <v>-2.1105860000000001E-2</v>
      </c>
      <c r="AA4834">
        <v>0.99633890000000003</v>
      </c>
      <c r="AB4834">
        <v>24</v>
      </c>
      <c r="AC4834">
        <v>0.56009999999997695</v>
      </c>
      <c r="AD4834">
        <v>-0.22851640000000001</v>
      </c>
      <c r="AE4834">
        <v>-4.9800000000004702E-2</v>
      </c>
      <c r="AF4834">
        <v>5.9211806457567497E-2</v>
      </c>
      <c r="AG4834">
        <v>-0.22851640000000001</v>
      </c>
      <c r="AH4834">
        <v>0.47896002166996898</v>
      </c>
      <c r="AI4834">
        <v>115.33778450678901</v>
      </c>
      <c r="AJ4834">
        <v>82.952522363469896</v>
      </c>
      <c r="AK4834">
        <v>0.533974236692207</v>
      </c>
      <c r="AL4834">
        <v>84.377479947474399</v>
      </c>
      <c r="AM4834">
        <v>87.531059807264995</v>
      </c>
      <c r="AN4834">
        <v>0.99999994478409604</v>
      </c>
    </row>
    <row r="4835" spans="1:40" x14ac:dyDescent="0.25">
      <c r="A4835" t="str">
        <f>"20190303162006717"</f>
        <v>20190303162006717</v>
      </c>
      <c r="B4835" t="str">
        <f>"1551601206707379"</f>
        <v>1551601206707379</v>
      </c>
      <c r="C4835" t="s">
        <v>40</v>
      </c>
      <c r="D4835">
        <v>4.9965060000000001</v>
      </c>
      <c r="E4835">
        <v>0.51945870000000005</v>
      </c>
      <c r="F4835" t="s">
        <v>42</v>
      </c>
      <c r="G4835">
        <v>-453.51600000000002</v>
      </c>
      <c r="H4835">
        <v>0.89886739999999998</v>
      </c>
      <c r="I4835">
        <v>215.27070000000001</v>
      </c>
      <c r="J4835">
        <v>-454.05009999999999</v>
      </c>
      <c r="K4835">
        <v>1.1196680000000001</v>
      </c>
      <c r="L4835">
        <v>215.3176</v>
      </c>
      <c r="M4835">
        <v>0.99942229999999999</v>
      </c>
      <c r="N4835">
        <v>-1.1106329999999999E-2</v>
      </c>
      <c r="O4835">
        <v>3.2118689999999998E-2</v>
      </c>
      <c r="P4835">
        <v>0.99617699999999998</v>
      </c>
      <c r="Q4835">
        <v>8.7242020000000003E-2</v>
      </c>
      <c r="R4835">
        <v>-4.490623E-3</v>
      </c>
      <c r="S4835">
        <v>3.0868530000000001</v>
      </c>
      <c r="T4835">
        <v>-0.87749580000000005</v>
      </c>
      <c r="U4835">
        <v>-0.16101070000000001</v>
      </c>
      <c r="V4835">
        <v>3.6831839999999998E-2</v>
      </c>
      <c r="W4835">
        <v>9.8164349999999997E-2</v>
      </c>
      <c r="X4835">
        <v>0.99448840000000005</v>
      </c>
      <c r="Y4835">
        <v>7.9689090000000004E-2</v>
      </c>
      <c r="Z4835">
        <v>-2.014927E-2</v>
      </c>
      <c r="AA4835">
        <v>0.9966161</v>
      </c>
      <c r="AB4835">
        <v>24</v>
      </c>
      <c r="AC4835">
        <v>0.534100000000023</v>
      </c>
      <c r="AD4835">
        <v>-0.22080059999999899</v>
      </c>
      <c r="AE4835">
        <v>-4.6899999999993697E-2</v>
      </c>
      <c r="AF4835">
        <v>5.4746569987630597E-2</v>
      </c>
      <c r="AG4835">
        <v>-0.22080059999999899</v>
      </c>
      <c r="AH4835">
        <v>0.45512917757365901</v>
      </c>
      <c r="AI4835">
        <v>115.718543239662</v>
      </c>
      <c r="AJ4835">
        <v>83.140961259252805</v>
      </c>
      <c r="AK4835">
        <v>0.50881495670297106</v>
      </c>
      <c r="AL4835">
        <v>84.366524639545204</v>
      </c>
      <c r="AM4835">
        <v>87.878964802893904</v>
      </c>
      <c r="AN4835">
        <v>1.0000000008916301</v>
      </c>
    </row>
    <row r="4836" spans="1:40" x14ac:dyDescent="0.25">
      <c r="A4836" t="str">
        <f>"20190303162006740"</f>
        <v>20190303162006740</v>
      </c>
      <c r="B4836" t="str">
        <f>"1551601206726898"</f>
        <v>1551601206726898</v>
      </c>
      <c r="C4836" t="s">
        <v>40</v>
      </c>
      <c r="D4836">
        <v>5.0343999999999998</v>
      </c>
      <c r="E4836">
        <v>0.52026549999999905</v>
      </c>
      <c r="F4836" t="s">
        <v>42</v>
      </c>
      <c r="G4836">
        <v>-453.29950000000002</v>
      </c>
      <c r="H4836">
        <v>0.9052327</v>
      </c>
      <c r="I4836">
        <v>215.27889999999999</v>
      </c>
      <c r="J4836">
        <v>-453.8057</v>
      </c>
      <c r="K4836">
        <v>1.1195759999999999</v>
      </c>
      <c r="L4836">
        <v>215.3228</v>
      </c>
      <c r="M4836">
        <v>0.99949569999999999</v>
      </c>
      <c r="N4836">
        <v>-1.1111350000000001E-2</v>
      </c>
      <c r="O4836">
        <v>2.9746140000000001E-2</v>
      </c>
      <c r="P4836">
        <v>0.99619360000000001</v>
      </c>
      <c r="Q4836">
        <v>8.7124289999999993E-2</v>
      </c>
      <c r="R4836">
        <v>-2.7688299999999999E-3</v>
      </c>
      <c r="S4836">
        <v>3.0880429999999999</v>
      </c>
      <c r="T4836">
        <v>-0.88215969999999999</v>
      </c>
      <c r="U4836">
        <v>-0.15885929999999901</v>
      </c>
      <c r="V4836">
        <v>3.2769220000000002E-2</v>
      </c>
      <c r="W4836">
        <v>9.8059939999999998E-2</v>
      </c>
      <c r="X4836">
        <v>0.99464079999999999</v>
      </c>
      <c r="Y4836">
        <v>7.6776120000000003E-2</v>
      </c>
      <c r="Z4836">
        <v>-1.9182370000000001E-2</v>
      </c>
      <c r="AA4836">
        <v>0.99686379999999997</v>
      </c>
      <c r="AB4836">
        <v>24</v>
      </c>
      <c r="AC4836">
        <v>0.506199999999978</v>
      </c>
      <c r="AD4836">
        <v>-0.21434329999999999</v>
      </c>
      <c r="AE4836">
        <v>-4.3900000000007801E-2</v>
      </c>
      <c r="AF4836">
        <v>5.00348215235632E-2</v>
      </c>
      <c r="AG4836">
        <v>-0.21434329999999999</v>
      </c>
      <c r="AH4836">
        <v>0.428427294607723</v>
      </c>
      <c r="AI4836">
        <v>116.423942136112</v>
      </c>
      <c r="AJ4836">
        <v>83.338762079346296</v>
      </c>
      <c r="AK4836">
        <v>0.48166012953604198</v>
      </c>
      <c r="AL4836">
        <v>84.372535591536007</v>
      </c>
      <c r="AM4836">
        <v>88.113028203409897</v>
      </c>
      <c r="AN4836">
        <v>0.99999994731842401</v>
      </c>
    </row>
    <row r="4837" spans="1:40" x14ac:dyDescent="0.25">
      <c r="A4837" t="str">
        <f>"20190303162006761"</f>
        <v>20190303162006761</v>
      </c>
      <c r="B4837" t="str">
        <f>"1551601206747394"</f>
        <v>1551601206747394</v>
      </c>
      <c r="C4837" t="s">
        <v>40</v>
      </c>
      <c r="D4837">
        <v>5.0345300000000002</v>
      </c>
      <c r="E4837">
        <v>0.52101520000000001</v>
      </c>
      <c r="F4837" t="s">
        <v>42</v>
      </c>
      <c r="G4837">
        <v>-453.08249999999998</v>
      </c>
      <c r="H4837">
        <v>0.91200210000000004</v>
      </c>
      <c r="I4837">
        <v>215.28440000000001</v>
      </c>
      <c r="J4837">
        <v>-453.57810000000001</v>
      </c>
      <c r="K4837">
        <v>1.1195109999999999</v>
      </c>
      <c r="L4837">
        <v>215.327</v>
      </c>
      <c r="M4837">
        <v>0.99956259999999997</v>
      </c>
      <c r="N4837">
        <v>-1.111647E-2</v>
      </c>
      <c r="O4837">
        <v>2.7409699999999999E-2</v>
      </c>
      <c r="P4837">
        <v>0.99589519999999998</v>
      </c>
      <c r="Q4837">
        <v>9.0481729999999996E-2</v>
      </c>
      <c r="R4837">
        <v>2.510604E-3</v>
      </c>
      <c r="S4837">
        <v>3.0885310000000001</v>
      </c>
      <c r="T4837">
        <v>-0.88651179999999996</v>
      </c>
      <c r="U4837">
        <v>-0.16387939999999901</v>
      </c>
      <c r="V4837">
        <v>2.5188439999999999E-2</v>
      </c>
      <c r="W4837">
        <v>0.1014452</v>
      </c>
      <c r="X4837">
        <v>0.99452220000000002</v>
      </c>
      <c r="Y4837">
        <v>7.6128509999999996E-2</v>
      </c>
      <c r="Z4837">
        <v>-1.8543179999999999E-2</v>
      </c>
      <c r="AA4837">
        <v>0.99692559999999997</v>
      </c>
      <c r="AB4837">
        <v>24</v>
      </c>
      <c r="AC4837">
        <v>0.49560000000002402</v>
      </c>
      <c r="AD4837">
        <v>-0.2075089</v>
      </c>
      <c r="AE4837">
        <v>-4.2599999999992998E-2</v>
      </c>
      <c r="AF4837">
        <v>4.78431334821878E-2</v>
      </c>
      <c r="AG4837">
        <v>-0.2075089</v>
      </c>
      <c r="AH4837">
        <v>0.420983940724309</v>
      </c>
      <c r="AI4837">
        <v>116.093831980414</v>
      </c>
      <c r="AJ4837">
        <v>83.516382223910995</v>
      </c>
      <c r="AK4837">
        <v>0.47178002008178899</v>
      </c>
      <c r="AL4837">
        <v>84.177602384991602</v>
      </c>
      <c r="AM4837">
        <v>88.549169805131598</v>
      </c>
      <c r="AN4837">
        <v>0.99999999620275604</v>
      </c>
    </row>
    <row r="4838" spans="1:40" x14ac:dyDescent="0.25">
      <c r="A4838" t="str">
        <f>"20190303162006783"</f>
        <v>20190303162006783</v>
      </c>
      <c r="B4838" t="str">
        <f>"1551601206777650"</f>
        <v>1551601206777650</v>
      </c>
      <c r="C4838" t="s">
        <v>40</v>
      </c>
      <c r="D4838">
        <v>4.8418049999999999</v>
      </c>
      <c r="E4838">
        <v>0.52142429999999995</v>
      </c>
      <c r="F4838" t="s">
        <v>42</v>
      </c>
      <c r="G4838">
        <v>-452.86619999999999</v>
      </c>
      <c r="H4838">
        <v>0.9169233</v>
      </c>
      <c r="I4838">
        <v>215.2902</v>
      </c>
      <c r="J4838">
        <v>-453.34249999999997</v>
      </c>
      <c r="K4838">
        <v>1.1194679999999999</v>
      </c>
      <c r="L4838">
        <v>215.33080000000001</v>
      </c>
      <c r="M4838">
        <v>0.99962819999999997</v>
      </c>
      <c r="N4838">
        <v>-1.1127919999999999E-2</v>
      </c>
      <c r="O4838">
        <v>2.4891920000000001E-2</v>
      </c>
      <c r="P4838">
        <v>0.99540770000000001</v>
      </c>
      <c r="Q4838">
        <v>9.5400219999999994E-2</v>
      </c>
      <c r="R4838">
        <v>7.9080499999999998E-3</v>
      </c>
      <c r="S4838">
        <v>3.0927730000000002</v>
      </c>
      <c r="T4838">
        <v>-0.87984399999999996</v>
      </c>
      <c r="U4838">
        <v>-0.1590271</v>
      </c>
      <c r="V4838">
        <v>1.7311679999999999E-2</v>
      </c>
      <c r="W4838">
        <v>0.1063998</v>
      </c>
      <c r="X4838">
        <v>0.99417270000000002</v>
      </c>
      <c r="Y4838">
        <v>7.2306919999999997E-2</v>
      </c>
      <c r="Z4838">
        <v>-1.715761E-2</v>
      </c>
      <c r="AA4838">
        <v>0.99723479999999998</v>
      </c>
      <c r="AB4838">
        <v>24</v>
      </c>
      <c r="AC4838">
        <v>0.47629999999998002</v>
      </c>
      <c r="AD4838">
        <v>-0.20254469999999999</v>
      </c>
      <c r="AE4838">
        <v>-4.0600000000011897E-2</v>
      </c>
      <c r="AF4838">
        <v>4.4461933730368698E-2</v>
      </c>
      <c r="AG4838">
        <v>-0.20254469999999999</v>
      </c>
      <c r="AH4838">
        <v>0.40282300538553201</v>
      </c>
      <c r="AI4838">
        <v>116.554874570276</v>
      </c>
      <c r="AJ4838">
        <v>83.701424918767799</v>
      </c>
      <c r="AK4838">
        <v>0.45306466725729799</v>
      </c>
      <c r="AL4838">
        <v>83.892178885977401</v>
      </c>
      <c r="AM4838">
        <v>89.002400723755301</v>
      </c>
      <c r="AN4838">
        <v>0.99999998456487604</v>
      </c>
    </row>
    <row r="4839" spans="1:40" x14ac:dyDescent="0.25">
      <c r="A4839" t="str">
        <f>"20190303162006805"</f>
        <v>20190303162006805</v>
      </c>
      <c r="B4839" t="str">
        <f>"1551601206797171"</f>
        <v>1551601206797171</v>
      </c>
      <c r="C4839" t="s">
        <v>40</v>
      </c>
      <c r="D4839">
        <v>5.2576340000000004</v>
      </c>
      <c r="E4839">
        <v>0.49626940000000003</v>
      </c>
      <c r="F4839" t="s">
        <v>42</v>
      </c>
      <c r="G4839">
        <v>-452.64789999999999</v>
      </c>
      <c r="H4839">
        <v>0.92563439999999997</v>
      </c>
      <c r="I4839">
        <v>215.29730000000001</v>
      </c>
      <c r="J4839">
        <v>-453.09840000000003</v>
      </c>
      <c r="K4839">
        <v>1.119437</v>
      </c>
      <c r="L4839">
        <v>215.3339</v>
      </c>
      <c r="M4839">
        <v>0.99969149999999996</v>
      </c>
      <c r="N4839">
        <v>-1.114921E-2</v>
      </c>
      <c r="O4839">
        <v>2.2203319999999999E-2</v>
      </c>
      <c r="P4839">
        <v>0.99476229999999999</v>
      </c>
      <c r="Q4839">
        <v>0.1012841</v>
      </c>
      <c r="R4839">
        <v>1.377515E-2</v>
      </c>
      <c r="S4839">
        <v>3.0978089999999998</v>
      </c>
      <c r="T4839">
        <v>-0.86432249999999999</v>
      </c>
      <c r="U4839">
        <v>-0.14833070000000001</v>
      </c>
      <c r="V4839">
        <v>8.7956800000000002E-3</v>
      </c>
      <c r="W4839">
        <v>0.1123325</v>
      </c>
      <c r="X4839">
        <v>0.99363170000000001</v>
      </c>
      <c r="Y4839">
        <v>6.6572069999999997E-2</v>
      </c>
      <c r="Z4839">
        <v>-1.531981E-2</v>
      </c>
      <c r="AA4839">
        <v>0.997664</v>
      </c>
      <c r="AB4839">
        <v>24</v>
      </c>
      <c r="AC4839">
        <v>0.45050000000003299</v>
      </c>
      <c r="AD4839">
        <v>-0.19380259999999999</v>
      </c>
      <c r="AE4839">
        <v>-3.6599999999992798E-2</v>
      </c>
      <c r="AF4839">
        <v>3.9358063902487202E-2</v>
      </c>
      <c r="AG4839">
        <v>-0.19380259999999999</v>
      </c>
      <c r="AH4839">
        <v>0.37975656626070903</v>
      </c>
      <c r="AI4839">
        <v>116.91302506069999</v>
      </c>
      <c r="AJ4839">
        <v>84.082976489023295</v>
      </c>
      <c r="AK4839">
        <v>0.42816300001172097</v>
      </c>
      <c r="AL4839">
        <v>83.550208195343501</v>
      </c>
      <c r="AM4839">
        <v>89.492827997085001</v>
      </c>
      <c r="AN4839">
        <v>0.99999995489390003</v>
      </c>
    </row>
    <row r="4840" spans="1:40" x14ac:dyDescent="0.25">
      <c r="A4840" t="str">
        <f>"20190303162006828"</f>
        <v>20190303162006828</v>
      </c>
      <c r="B4840" t="str">
        <f>"1551601206817667"</f>
        <v>1551601206817667</v>
      </c>
      <c r="C4840" t="s">
        <v>40</v>
      </c>
      <c r="D4840">
        <v>5.179729</v>
      </c>
      <c r="E4840">
        <v>0.48991410000000002</v>
      </c>
      <c r="F4840" t="s">
        <v>56</v>
      </c>
      <c r="G4840">
        <v>-438.27159999999998</v>
      </c>
      <c r="H4840" s="1">
        <v>5.7927420000000003E-6</v>
      </c>
      <c r="I4840">
        <v>215.673</v>
      </c>
      <c r="J4840">
        <v>-452.8553</v>
      </c>
      <c r="K4840">
        <v>1.1194269999999999</v>
      </c>
      <c r="L4840">
        <v>215.33619999999999</v>
      </c>
      <c r="M4840">
        <v>0.99974790000000002</v>
      </c>
      <c r="N4840">
        <v>-1.117579E-2</v>
      </c>
      <c r="O4840">
        <v>1.9473239999999999E-2</v>
      </c>
      <c r="P4840">
        <v>0.99411210000000005</v>
      </c>
      <c r="Q4840">
        <v>0.10672769999999999</v>
      </c>
      <c r="R4840">
        <v>1.8711220000000001E-2</v>
      </c>
      <c r="S4840">
        <v>3.0382389999999999</v>
      </c>
      <c r="T4840">
        <v>-0.22938939999999999</v>
      </c>
      <c r="U4840">
        <v>6.9488530000000007E-2</v>
      </c>
      <c r="V4840">
        <v>1.1645029999999999E-3</v>
      </c>
      <c r="W4840">
        <v>0.117829</v>
      </c>
      <c r="X4840">
        <v>0.99303319999999995</v>
      </c>
      <c r="Y4840">
        <v>-3.4206610000000002E-3</v>
      </c>
      <c r="Z4840">
        <v>-1.1023680000000001E-3</v>
      </c>
      <c r="AA4840">
        <v>0.99999360000000004</v>
      </c>
      <c r="AB4840">
        <v>24</v>
      </c>
      <c r="AC4840">
        <v>14.5837</v>
      </c>
      <c r="AD4840">
        <v>-1.1194212072580001</v>
      </c>
      <c r="AE4840">
        <v>0.33680000000000998</v>
      </c>
      <c r="AF4840">
        <v>-5.2417822904639602E-2</v>
      </c>
      <c r="AG4840">
        <v>-1.1194212072580001</v>
      </c>
      <c r="AH4840">
        <v>14.502094661397701</v>
      </c>
      <c r="AI4840">
        <v>94.413897682509997</v>
      </c>
      <c r="AJ4840">
        <v>90.207094700100598</v>
      </c>
      <c r="AK4840">
        <v>14.5453291827843</v>
      </c>
      <c r="AL4840">
        <v>83.233175377777101</v>
      </c>
      <c r="AM4840">
        <v>89.932810829943804</v>
      </c>
      <c r="AN4840">
        <v>0.99999998280523805</v>
      </c>
    </row>
    <row r="4841" spans="1:40" x14ac:dyDescent="0.25">
      <c r="A4841" t="str">
        <f>"20190303162006849"</f>
        <v>20190303162006849</v>
      </c>
      <c r="B4841" t="str">
        <f>"1551601206837186"</f>
        <v>1551601206837186</v>
      </c>
      <c r="C4841" t="s">
        <v>40</v>
      </c>
      <c r="D4841">
        <v>5.216621</v>
      </c>
      <c r="E4841">
        <v>0.48915740000000002</v>
      </c>
      <c r="F4841" t="s">
        <v>56</v>
      </c>
      <c r="G4841">
        <v>-409.19709999999998</v>
      </c>
      <c r="H4841" s="1">
        <v>3.7759070000000001E-6</v>
      </c>
      <c r="I4841">
        <v>217.26740000000001</v>
      </c>
      <c r="J4841">
        <v>-452.62270000000001</v>
      </c>
      <c r="K4841">
        <v>1.1194409999999999</v>
      </c>
      <c r="L4841">
        <v>215.33779999999999</v>
      </c>
      <c r="M4841">
        <v>0.99979560000000001</v>
      </c>
      <c r="N4841">
        <v>-1.120113E-2</v>
      </c>
      <c r="O4841">
        <v>1.683894E-2</v>
      </c>
      <c r="P4841">
        <v>0.99340799999999996</v>
      </c>
      <c r="Q4841">
        <v>0.1124531</v>
      </c>
      <c r="R4841">
        <v>2.2250929999999999E-2</v>
      </c>
      <c r="S4841">
        <v>3.0235289999999999</v>
      </c>
      <c r="T4841">
        <v>-7.7525259999999999E-2</v>
      </c>
      <c r="U4841">
        <v>0.13374330000000001</v>
      </c>
      <c r="V4841">
        <v>-4.9776689999999997E-3</v>
      </c>
      <c r="W4841">
        <v>0.1235991</v>
      </c>
      <c r="X4841">
        <v>0.99231979999999997</v>
      </c>
      <c r="Y4841">
        <v>-2.7349999999999999E-2</v>
      </c>
      <c r="Z4841">
        <v>2.6080979999999998E-4</v>
      </c>
      <c r="AA4841">
        <v>0.99962589999999996</v>
      </c>
      <c r="AB4841">
        <v>24</v>
      </c>
      <c r="AC4841">
        <v>43.425600000000003</v>
      </c>
      <c r="AD4841">
        <v>-1.1194372240929999</v>
      </c>
      <c r="AE4841">
        <v>1.92960000000002</v>
      </c>
      <c r="AF4841">
        <v>-1.1972454960860399</v>
      </c>
      <c r="AG4841">
        <v>-1.1194372240929999</v>
      </c>
      <c r="AH4841">
        <v>43.423137915480702</v>
      </c>
      <c r="AI4841">
        <v>91.476182499070802</v>
      </c>
      <c r="AJ4841">
        <v>91.579336336072998</v>
      </c>
      <c r="AK4841">
        <v>43.454061293548101</v>
      </c>
      <c r="AL4841">
        <v>82.900137586932004</v>
      </c>
      <c r="AM4841">
        <v>90.287404356405006</v>
      </c>
      <c r="AN4841">
        <v>1.00000005009076</v>
      </c>
    </row>
    <row r="4842" spans="1:40" x14ac:dyDescent="0.25">
      <c r="A4842" t="str">
        <f>"20190303162006872"</f>
        <v>20190303162006872</v>
      </c>
      <c r="B4842" t="str">
        <f>"1551601206867443"</f>
        <v>1551601206867443</v>
      </c>
      <c r="C4842" t="s">
        <v>40</v>
      </c>
      <c r="D4842">
        <v>5.2571969999999997</v>
      </c>
      <c r="E4842">
        <v>0.48969109999999999</v>
      </c>
      <c r="F4842" t="s">
        <v>65</v>
      </c>
      <c r="G4842">
        <v>-157.25</v>
      </c>
      <c r="H4842">
        <v>0.54557089999999997</v>
      </c>
      <c r="I4842">
        <v>230.0035</v>
      </c>
      <c r="J4842">
        <v>-452.38560000000001</v>
      </c>
      <c r="K4842">
        <v>1.1194759999999999</v>
      </c>
      <c r="L4842">
        <v>215.33869999999999</v>
      </c>
      <c r="M4842">
        <v>0.99983690000000003</v>
      </c>
      <c r="N4842">
        <v>-1.1225209999999999E-2</v>
      </c>
      <c r="O4842">
        <v>1.415424E-2</v>
      </c>
      <c r="P4842">
        <v>0.99278569999999999</v>
      </c>
      <c r="Q4842">
        <v>0.1174157</v>
      </c>
      <c r="R4842">
        <v>2.4303249999999998E-2</v>
      </c>
      <c r="S4842">
        <v>3.017242</v>
      </c>
      <c r="T4842">
        <v>-5.8615209999999997E-3</v>
      </c>
      <c r="U4842">
        <v>0.14981079999999999</v>
      </c>
      <c r="V4842">
        <v>-9.6870489999999997E-3</v>
      </c>
      <c r="W4842">
        <v>0.12859899999999999</v>
      </c>
      <c r="X4842">
        <v>0.99164929999999996</v>
      </c>
      <c r="Y4842">
        <v>-3.5447949999999999E-2</v>
      </c>
      <c r="Z4842">
        <v>3.6482929999999999E-4</v>
      </c>
      <c r="AA4842">
        <v>0.99937149999999997</v>
      </c>
      <c r="AB4842">
        <v>24</v>
      </c>
      <c r="AC4842">
        <v>295.13560000000001</v>
      </c>
      <c r="AD4842">
        <v>-0.57390509999999995</v>
      </c>
      <c r="AE4842">
        <v>14.6648</v>
      </c>
      <c r="AF4842">
        <v>-10.4856082349174</v>
      </c>
      <c r="AG4842">
        <v>-0.57390509999999995</v>
      </c>
      <c r="AH4842">
        <v>295.31249894974502</v>
      </c>
      <c r="AI4842">
        <v>90.111277343493995</v>
      </c>
      <c r="AJ4842">
        <v>92.033536729077397</v>
      </c>
      <c r="AK4842">
        <v>295.49915293121097</v>
      </c>
      <c r="AL4842">
        <v>82.611358152282804</v>
      </c>
      <c r="AM4842">
        <v>90.559683115770198</v>
      </c>
      <c r="AN4842">
        <v>0.99999993795490705</v>
      </c>
    </row>
    <row r="4843" spans="1:40" x14ac:dyDescent="0.25">
      <c r="A4843" t="str">
        <f>"20190303162006894"</f>
        <v>20190303162006894</v>
      </c>
      <c r="B4843" t="str">
        <f>"1551601206886963"</f>
        <v>1551601206886963</v>
      </c>
      <c r="C4843" t="s">
        <v>40</v>
      </c>
      <c r="D4843">
        <v>5.2432080000000001</v>
      </c>
      <c r="E4843">
        <v>0.49017440000000001</v>
      </c>
      <c r="F4843" t="s">
        <v>65</v>
      </c>
      <c r="G4843">
        <v>-157.25</v>
      </c>
      <c r="H4843">
        <v>4.0547950000000004</v>
      </c>
      <c r="I4843">
        <v>230.2226</v>
      </c>
      <c r="J4843">
        <v>-452.14139999999998</v>
      </c>
      <c r="K4843">
        <v>1.119521</v>
      </c>
      <c r="L4843">
        <v>215.3391</v>
      </c>
      <c r="M4843">
        <v>0.99987139999999997</v>
      </c>
      <c r="N4843">
        <v>-1.124767E-2</v>
      </c>
      <c r="O4843">
        <v>1.1432319999999999E-2</v>
      </c>
      <c r="P4843">
        <v>0.99232520000000002</v>
      </c>
      <c r="Q4843">
        <v>0.1209991</v>
      </c>
      <c r="R4843">
        <v>2.5497479999999999E-2</v>
      </c>
      <c r="S4843">
        <v>3.0144959999999998</v>
      </c>
      <c r="T4843">
        <v>2.9981730000000002E-2</v>
      </c>
      <c r="U4843">
        <v>0.1520233</v>
      </c>
      <c r="V4843">
        <v>-1.358387E-2</v>
      </c>
      <c r="W4843">
        <v>0.13221469999999999</v>
      </c>
      <c r="X4843">
        <v>0.99112800000000001</v>
      </c>
      <c r="Y4843">
        <v>-3.8947750000000003E-2</v>
      </c>
      <c r="Z4843">
        <v>2.6775749999999999E-4</v>
      </c>
      <c r="AA4843">
        <v>0.99924120000000005</v>
      </c>
      <c r="AB4843">
        <v>24</v>
      </c>
      <c r="AC4843">
        <v>294.89139999999998</v>
      </c>
      <c r="AD4843">
        <v>2.9352740000000002</v>
      </c>
      <c r="AE4843">
        <v>14.8834999999999</v>
      </c>
      <c r="AF4843">
        <v>-11.509883675783501</v>
      </c>
      <c r="AG4843">
        <v>2.9352740000000002</v>
      </c>
      <c r="AH4843">
        <v>295.01313501456201</v>
      </c>
      <c r="AI4843">
        <v>89.430379857530397</v>
      </c>
      <c r="AJ4843">
        <v>92.234251225013693</v>
      </c>
      <c r="AK4843">
        <v>295.25216864030898</v>
      </c>
      <c r="AL4843">
        <v>82.402409688429302</v>
      </c>
      <c r="AM4843">
        <v>90.785216131667895</v>
      </c>
      <c r="AN4843">
        <v>0.999999980402133</v>
      </c>
    </row>
    <row r="4844" spans="1:40" x14ac:dyDescent="0.25">
      <c r="A4844" t="str">
        <f>"20190303162006918"</f>
        <v>20190303162006918</v>
      </c>
      <c r="B4844" t="str">
        <f>"1551601206907459"</f>
        <v>1551601206907459</v>
      </c>
      <c r="C4844" t="s">
        <v>40</v>
      </c>
      <c r="D4844">
        <v>5.1804920000000001</v>
      </c>
      <c r="E4844">
        <v>0.49058930000000001</v>
      </c>
      <c r="F4844" t="s">
        <v>65</v>
      </c>
      <c r="G4844">
        <v>-157.25</v>
      </c>
      <c r="H4844">
        <v>5.5833320000000004</v>
      </c>
      <c r="I4844">
        <v>230.1711</v>
      </c>
      <c r="J4844">
        <v>-451.89429999999999</v>
      </c>
      <c r="K4844">
        <v>1.1195820000000001</v>
      </c>
      <c r="L4844">
        <v>215.33879999999999</v>
      </c>
      <c r="M4844">
        <v>0.99989810000000001</v>
      </c>
      <c r="N4844">
        <v>-1.126778E-2</v>
      </c>
      <c r="O4844">
        <v>8.7603679999999993E-3</v>
      </c>
      <c r="P4844">
        <v>0.99210580000000004</v>
      </c>
      <c r="Q4844">
        <v>0.1226348</v>
      </c>
      <c r="R4844">
        <v>2.6215990000000002E-2</v>
      </c>
      <c r="S4844">
        <v>3.0137330000000002</v>
      </c>
      <c r="T4844">
        <v>4.5619850000000003E-2</v>
      </c>
      <c r="U4844">
        <v>0.15158079999999999</v>
      </c>
      <c r="V4844">
        <v>-1.6967599999999999E-2</v>
      </c>
      <c r="W4844">
        <v>0.13387969999999999</v>
      </c>
      <c r="X4844">
        <v>0.99085230000000002</v>
      </c>
      <c r="Y4844">
        <v>-4.1483260000000001E-2</v>
      </c>
      <c r="Z4844">
        <v>1.5127000000000001E-4</v>
      </c>
      <c r="AA4844">
        <v>0.99913920000000001</v>
      </c>
      <c r="AB4844">
        <v>24</v>
      </c>
      <c r="AC4844">
        <v>294.64429999999999</v>
      </c>
      <c r="AD4844">
        <v>4.4637500000000001</v>
      </c>
      <c r="AE4844">
        <v>14.8323</v>
      </c>
      <c r="AF4844">
        <v>-12.2475704463117</v>
      </c>
      <c r="AG4844">
        <v>4.4637500000000001</v>
      </c>
      <c r="AH4844">
        <v>294.695471997845</v>
      </c>
      <c r="AI4844">
        <v>89.132955999435794</v>
      </c>
      <c r="AJ4844">
        <v>92.379848214060502</v>
      </c>
      <c r="AK4844">
        <v>294.98364236332202</v>
      </c>
      <c r="AL4844">
        <v>82.306156455605205</v>
      </c>
      <c r="AM4844">
        <v>90.981051220924101</v>
      </c>
      <c r="AN4844">
        <v>0.99999997696856902</v>
      </c>
    </row>
    <row r="4845" spans="1:40" x14ac:dyDescent="0.25">
      <c r="A4845" t="str">
        <f>"20190303162006940"</f>
        <v>20190303162006940</v>
      </c>
      <c r="B4845" t="str">
        <f>"1551601206926979"</f>
        <v>1551601206926979</v>
      </c>
      <c r="C4845" t="s">
        <v>40</v>
      </c>
      <c r="D4845">
        <v>5.2391129999999997</v>
      </c>
      <c r="E4845">
        <v>0.4910274</v>
      </c>
      <c r="F4845" t="s">
        <v>65</v>
      </c>
      <c r="G4845">
        <v>-157.25</v>
      </c>
      <c r="H4845">
        <v>6.1546029999999998</v>
      </c>
      <c r="I4845">
        <v>229.9623</v>
      </c>
      <c r="J4845">
        <v>-451.65300000000002</v>
      </c>
      <c r="K4845">
        <v>1.119675</v>
      </c>
      <c r="L4845">
        <v>215.3381</v>
      </c>
      <c r="M4845">
        <v>0.99991669999999999</v>
      </c>
      <c r="N4845">
        <v>-1.128445E-2</v>
      </c>
      <c r="O4845">
        <v>6.2709849999999998E-3</v>
      </c>
      <c r="P4845">
        <v>0.99179090000000003</v>
      </c>
      <c r="Q4845">
        <v>0.125057</v>
      </c>
      <c r="R4845">
        <v>2.6676890000000002E-2</v>
      </c>
      <c r="S4845">
        <v>3.0135800000000001</v>
      </c>
      <c r="T4845">
        <v>5.1498059999999998E-2</v>
      </c>
      <c r="U4845">
        <v>0.1495667</v>
      </c>
      <c r="V4845">
        <v>-1.9917569999999999E-2</v>
      </c>
      <c r="W4845">
        <v>0.13632230000000001</v>
      </c>
      <c r="X4845">
        <v>0.99046429999999996</v>
      </c>
      <c r="Y4845">
        <v>-4.3305610000000001E-2</v>
      </c>
      <c r="Z4845" s="1">
        <v>5.2543300000000002E-5</v>
      </c>
      <c r="AA4845">
        <v>0.99906189999999995</v>
      </c>
      <c r="AB4845">
        <v>24</v>
      </c>
      <c r="AC4845">
        <v>294.40300000000002</v>
      </c>
      <c r="AD4845">
        <v>5.0349279999999998</v>
      </c>
      <c r="AE4845">
        <v>14.6242</v>
      </c>
      <c r="AF4845">
        <v>-12.7738711652999</v>
      </c>
      <c r="AG4845">
        <v>5.0349279999999998</v>
      </c>
      <c r="AH4845">
        <v>294.403028229374</v>
      </c>
      <c r="AI4845">
        <v>89.0211346666472</v>
      </c>
      <c r="AJ4845">
        <v>92.484451810919794</v>
      </c>
      <c r="AK4845">
        <v>294.72303153153501</v>
      </c>
      <c r="AL4845">
        <v>82.164910995491496</v>
      </c>
      <c r="AM4845">
        <v>91.152024267198897</v>
      </c>
      <c r="AN4845">
        <v>1.00000000432324</v>
      </c>
    </row>
    <row r="4846" spans="1:40" x14ac:dyDescent="0.25">
      <c r="A4846" t="str">
        <f>"20190303162006962"</f>
        <v>20190303162006962</v>
      </c>
      <c r="B4846" t="str">
        <f>"1551601206947474"</f>
        <v>1551601206947474</v>
      </c>
      <c r="C4846" t="s">
        <v>40</v>
      </c>
      <c r="D4846">
        <v>5.239547</v>
      </c>
      <c r="E4846">
        <v>0.49150070000000001</v>
      </c>
      <c r="F4846" t="s">
        <v>65</v>
      </c>
      <c r="G4846">
        <v>-168.52969999999999</v>
      </c>
      <c r="H4846">
        <v>6.6740899999999996</v>
      </c>
      <c r="I4846">
        <v>229.1309</v>
      </c>
      <c r="J4846">
        <v>-451.42720000000003</v>
      </c>
      <c r="K4846">
        <v>1.1197900000000001</v>
      </c>
      <c r="L4846">
        <v>215.33699999999999</v>
      </c>
      <c r="M4846">
        <v>0.99992789999999998</v>
      </c>
      <c r="N4846">
        <v>-1.129752E-2</v>
      </c>
      <c r="O4846">
        <v>4.0760789999999998E-3</v>
      </c>
      <c r="P4846">
        <v>0.99130739999999995</v>
      </c>
      <c r="Q4846">
        <v>0.12910949999999999</v>
      </c>
      <c r="R4846">
        <v>2.5308830000000001E-2</v>
      </c>
      <c r="S4846">
        <v>3.013458</v>
      </c>
      <c r="T4846">
        <v>5.9119699999999997E-2</v>
      </c>
      <c r="U4846">
        <v>0.14680480000000001</v>
      </c>
      <c r="V4846">
        <v>-2.0745889999999999E-2</v>
      </c>
      <c r="W4846">
        <v>0.14038</v>
      </c>
      <c r="X4846">
        <v>0.98988030000000005</v>
      </c>
      <c r="Y4846">
        <v>-4.4585090000000001E-2</v>
      </c>
      <c r="Z4846" s="1">
        <v>-5.9100800000000002E-5</v>
      </c>
      <c r="AA4846">
        <v>0.99900560000000005</v>
      </c>
      <c r="AB4846">
        <v>24</v>
      </c>
      <c r="AC4846">
        <v>282.89749999999998</v>
      </c>
      <c r="AD4846">
        <v>5.5542999999999996</v>
      </c>
      <c r="AE4846">
        <v>13.793899999999899</v>
      </c>
      <c r="AF4846">
        <v>-12.635740016300099</v>
      </c>
      <c r="AG4846">
        <v>5.5542999999999996</v>
      </c>
      <c r="AH4846">
        <v>282.84260699938199</v>
      </c>
      <c r="AI4846">
        <v>88.876123775367006</v>
      </c>
      <c r="AJ4846">
        <v>92.5579368232208</v>
      </c>
      <c r="AK4846">
        <v>283.17918798608201</v>
      </c>
      <c r="AL4846">
        <v>81.930163976463504</v>
      </c>
      <c r="AM4846">
        <v>91.200627946474398</v>
      </c>
      <c r="AN4846">
        <v>0.99999997233999005</v>
      </c>
    </row>
    <row r="4847" spans="1:40" x14ac:dyDescent="0.25">
      <c r="A4847" t="str">
        <f>"20190303162006984"</f>
        <v>20190303162006984</v>
      </c>
      <c r="B4847" t="str">
        <f>"1551601206977732"</f>
        <v>1551601206977732</v>
      </c>
      <c r="C4847" t="s">
        <v>40</v>
      </c>
      <c r="D4847">
        <v>5.2427049999999999</v>
      </c>
      <c r="E4847">
        <v>0.49190450000000002</v>
      </c>
      <c r="F4847" t="s">
        <v>65</v>
      </c>
      <c r="G4847">
        <v>-169.1439</v>
      </c>
      <c r="H4847">
        <v>7.6269169999999997</v>
      </c>
      <c r="I4847">
        <v>228.40010000000001</v>
      </c>
      <c r="J4847">
        <v>-451.18169999999998</v>
      </c>
      <c r="K4847">
        <v>1.119929</v>
      </c>
      <c r="L4847">
        <v>215.33539999999999</v>
      </c>
      <c r="M4847">
        <v>0.99993449999999995</v>
      </c>
      <c r="N4847">
        <v>-1.1309420000000001E-2</v>
      </c>
      <c r="O4847">
        <v>1.8591860000000001E-3</v>
      </c>
      <c r="P4847">
        <v>0.99104769999999998</v>
      </c>
      <c r="Q4847">
        <v>0.13143940000000001</v>
      </c>
      <c r="R4847">
        <v>2.341946E-2</v>
      </c>
      <c r="S4847">
        <v>3.0137330000000002</v>
      </c>
      <c r="T4847">
        <v>6.9472430000000002E-2</v>
      </c>
      <c r="U4847">
        <v>0.13946529999999999</v>
      </c>
      <c r="V4847">
        <v>-2.1089960000000001E-2</v>
      </c>
      <c r="W4847">
        <v>0.1427127</v>
      </c>
      <c r="X4847">
        <v>0.98953939999999996</v>
      </c>
      <c r="Y4847">
        <v>-4.4364849999999997E-2</v>
      </c>
      <c r="Z4847">
        <v>-1.9613709999999999E-4</v>
      </c>
      <c r="AA4847">
        <v>0.9990154</v>
      </c>
      <c r="AB4847">
        <v>24</v>
      </c>
      <c r="AC4847">
        <v>282.03779999999898</v>
      </c>
      <c r="AD4847">
        <v>6.5069879999999998</v>
      </c>
      <c r="AE4847">
        <v>13.0647</v>
      </c>
      <c r="AF4847">
        <v>-12.533626052947801</v>
      </c>
      <c r="AG4847">
        <v>6.5069879999999998</v>
      </c>
      <c r="AH4847">
        <v>281.91186719816602</v>
      </c>
      <c r="AI4847">
        <v>88.679058674089205</v>
      </c>
      <c r="AJ4847">
        <v>92.545658278846602</v>
      </c>
      <c r="AK4847">
        <v>282.26536015250502</v>
      </c>
      <c r="AL4847">
        <v>81.795150631381006</v>
      </c>
      <c r="AM4847">
        <v>91.220954704066997</v>
      </c>
      <c r="AN4847">
        <v>0.99999996265322499</v>
      </c>
    </row>
    <row r="4848" spans="1:40" x14ac:dyDescent="0.25">
      <c r="A4848" t="str">
        <f>"20190303162007008"</f>
        <v>20190303162007008</v>
      </c>
      <c r="B4848" t="str">
        <f>"1551601206997251"</f>
        <v>1551601206997251</v>
      </c>
      <c r="C4848" t="s">
        <v>40</v>
      </c>
      <c r="D4848">
        <v>5.2385020000000004</v>
      </c>
      <c r="E4848">
        <v>0.49216159999999998</v>
      </c>
      <c r="F4848" t="s">
        <v>65</v>
      </c>
      <c r="G4848">
        <v>-169.1439</v>
      </c>
      <c r="H4848">
        <v>7.9060059999999996</v>
      </c>
      <c r="I4848">
        <v>227.5147</v>
      </c>
      <c r="J4848">
        <v>-450.92739999999998</v>
      </c>
      <c r="K4848">
        <v>1.1200730000000001</v>
      </c>
      <c r="L4848">
        <v>215.33340000000001</v>
      </c>
      <c r="M4848">
        <v>0.99993589999999999</v>
      </c>
      <c r="N4848">
        <v>-1.131949E-2</v>
      </c>
      <c r="O4848">
        <v>-2.1938249999999999E-4</v>
      </c>
      <c r="P4848">
        <v>0.99109069999999999</v>
      </c>
      <c r="Q4848">
        <v>0.13131519999999999</v>
      </c>
      <c r="R4848">
        <v>2.2266459999999998E-2</v>
      </c>
      <c r="S4848">
        <v>3.0144350000000002</v>
      </c>
      <c r="T4848">
        <v>7.2530510000000006E-2</v>
      </c>
      <c r="U4848">
        <v>0.130172699999999</v>
      </c>
      <c r="V4848">
        <v>-2.2045829999999999E-2</v>
      </c>
      <c r="W4848">
        <v>0.14259379999999999</v>
      </c>
      <c r="X4848">
        <v>0.98953570000000002</v>
      </c>
      <c r="Y4848">
        <v>-4.3355350000000001E-2</v>
      </c>
      <c r="Z4848">
        <v>-2.8350560000000002E-4</v>
      </c>
      <c r="AA4848">
        <v>0.99905969999999999</v>
      </c>
      <c r="AB4848">
        <v>24</v>
      </c>
      <c r="AC4848">
        <v>281.7835</v>
      </c>
      <c r="AD4848">
        <v>6.785933</v>
      </c>
      <c r="AE4848">
        <v>12.181299999999901</v>
      </c>
      <c r="AF4848">
        <v>-12.236039023981601</v>
      </c>
      <c r="AG4848">
        <v>6.785933</v>
      </c>
      <c r="AH4848">
        <v>281.61780203699999</v>
      </c>
      <c r="AI4848">
        <v>88.620954261283401</v>
      </c>
      <c r="AJ4848">
        <v>92.487885070752597</v>
      </c>
      <c r="AK4848">
        <v>281.96516799390002</v>
      </c>
      <c r="AL4848">
        <v>81.802033437788396</v>
      </c>
      <c r="AM4848">
        <v>91.276279461958396</v>
      </c>
      <c r="AN4848">
        <v>0.99999995599665803</v>
      </c>
    </row>
    <row r="4849" spans="1:40" x14ac:dyDescent="0.25">
      <c r="A4849" t="str">
        <f>"20190303162007029"</f>
        <v>20190303162007029</v>
      </c>
      <c r="B4849" t="str">
        <f>"1551601207016771"</f>
        <v>1551601207016771</v>
      </c>
      <c r="C4849" t="s">
        <v>40</v>
      </c>
      <c r="D4849">
        <v>5.0843829999999999</v>
      </c>
      <c r="E4849">
        <v>0.49233510000000003</v>
      </c>
      <c r="F4849" t="s">
        <v>65</v>
      </c>
      <c r="G4849">
        <v>-169.1439</v>
      </c>
      <c r="H4849">
        <v>7.4992739999999998</v>
      </c>
      <c r="I4849">
        <v>226.93860000000001</v>
      </c>
      <c r="J4849">
        <v>-450.69819999999999</v>
      </c>
      <c r="K4849">
        <v>1.1201920000000001</v>
      </c>
      <c r="L4849">
        <v>215.3314</v>
      </c>
      <c r="M4849">
        <v>0.99993399999999999</v>
      </c>
      <c r="N4849">
        <v>-1.132706E-2</v>
      </c>
      <c r="O4849">
        <v>-1.9277350000000001E-3</v>
      </c>
      <c r="P4849">
        <v>0.99107299999999998</v>
      </c>
      <c r="Q4849">
        <v>0.13161709999999999</v>
      </c>
      <c r="R4849">
        <v>2.1245969999999999E-2</v>
      </c>
      <c r="S4849">
        <v>3.0151059999999998</v>
      </c>
      <c r="T4849">
        <v>6.8258520000000003E-2</v>
      </c>
      <c r="U4849">
        <v>0.12417599999999999</v>
      </c>
      <c r="V4849">
        <v>-2.2759660000000001E-2</v>
      </c>
      <c r="W4849">
        <v>0.1428982</v>
      </c>
      <c r="X4849">
        <v>0.98947569999999996</v>
      </c>
      <c r="Y4849">
        <v>-4.3069290000000003E-2</v>
      </c>
      <c r="Z4849">
        <v>-3.0864059999999999E-4</v>
      </c>
      <c r="AA4849">
        <v>0.99907199999999996</v>
      </c>
      <c r="AB4849">
        <v>24</v>
      </c>
      <c r="AC4849">
        <v>281.55430000000001</v>
      </c>
      <c r="AD4849">
        <v>6.3790820000000004</v>
      </c>
      <c r="AE4849">
        <v>11.607200000000001</v>
      </c>
      <c r="AF4849">
        <v>-12.1437522147554</v>
      </c>
      <c r="AG4849">
        <v>6.3790820000000004</v>
      </c>
      <c r="AH4849">
        <v>281.38720184965399</v>
      </c>
      <c r="AI4849">
        <v>88.702527474465398</v>
      </c>
      <c r="AJ4849">
        <v>92.471165209569406</v>
      </c>
      <c r="AK4849">
        <v>281.72135305971102</v>
      </c>
      <c r="AL4849">
        <v>81.784412754562595</v>
      </c>
      <c r="AM4849">
        <v>91.317670110548704</v>
      </c>
      <c r="AN4849">
        <v>1.0000000292885201</v>
      </c>
    </row>
    <row r="4850" spans="1:40" x14ac:dyDescent="0.25">
      <c r="A4850" t="str">
        <f>"20190303162007051"</f>
        <v>20190303162007051</v>
      </c>
      <c r="B4850" t="str">
        <f>"1551601207037267"</f>
        <v>1551601207037267</v>
      </c>
      <c r="C4850" t="s">
        <v>40</v>
      </c>
      <c r="D4850">
        <v>5.2382780000000002</v>
      </c>
      <c r="E4850">
        <v>0.49249490000000001</v>
      </c>
      <c r="F4850" t="s">
        <v>65</v>
      </c>
      <c r="G4850">
        <v>-169.1439</v>
      </c>
      <c r="H4850">
        <v>7.2688559999999898</v>
      </c>
      <c r="I4850">
        <v>226.44329999999999</v>
      </c>
      <c r="J4850">
        <v>-450.45589999999999</v>
      </c>
      <c r="K4850">
        <v>1.120282</v>
      </c>
      <c r="L4850">
        <v>215.32900000000001</v>
      </c>
      <c r="M4850">
        <v>0.99992939999999997</v>
      </c>
      <c r="N4850">
        <v>-1.1333910000000001E-2</v>
      </c>
      <c r="O4850">
        <v>-3.5924519999999999E-3</v>
      </c>
      <c r="P4850">
        <v>0.99104369999999997</v>
      </c>
      <c r="Q4850">
        <v>0.1321494</v>
      </c>
      <c r="R4850">
        <v>1.9205E-2</v>
      </c>
      <c r="S4850">
        <v>3.0156860000000001</v>
      </c>
      <c r="T4850">
        <v>6.5858009999999995E-2</v>
      </c>
      <c r="U4850">
        <v>0.1190186</v>
      </c>
      <c r="V4850">
        <v>-2.2401689999999998E-2</v>
      </c>
      <c r="W4850">
        <v>0.1434301</v>
      </c>
      <c r="X4850">
        <v>0.98940689999999998</v>
      </c>
      <c r="Y4850">
        <v>-4.3018540000000001E-2</v>
      </c>
      <c r="Z4850">
        <v>-3.446996E-4</v>
      </c>
      <c r="AA4850">
        <v>0.99907420000000002</v>
      </c>
      <c r="AB4850">
        <v>24</v>
      </c>
      <c r="AC4850">
        <v>281.31200000000001</v>
      </c>
      <c r="AD4850">
        <v>6.148574</v>
      </c>
      <c r="AE4850">
        <v>11.114299999999901</v>
      </c>
      <c r="AF4850">
        <v>-12.119112455168599</v>
      </c>
      <c r="AG4850">
        <v>6.148574</v>
      </c>
      <c r="AH4850">
        <v>281.136159643182</v>
      </c>
      <c r="AI4850">
        <v>88.748277425205202</v>
      </c>
      <c r="AJ4850">
        <v>92.468356841993796</v>
      </c>
      <c r="AK4850">
        <v>281.46441712559601</v>
      </c>
      <c r="AL4850">
        <v>81.753619867389901</v>
      </c>
      <c r="AM4850">
        <v>91.297042733893306</v>
      </c>
      <c r="AN4850">
        <v>1.00000002153423</v>
      </c>
    </row>
    <row r="4851" spans="1:40" x14ac:dyDescent="0.25">
      <c r="A4851" t="str">
        <f>"20190303162007075"</f>
        <v>20190303162007075</v>
      </c>
      <c r="B4851" t="str">
        <f>"1551601207067523"</f>
        <v>1551601207067523</v>
      </c>
      <c r="C4851" t="s">
        <v>40</v>
      </c>
      <c r="D4851">
        <v>5.0377660000000004</v>
      </c>
      <c r="E4851">
        <v>0.49280639999999998</v>
      </c>
      <c r="F4851" t="s">
        <v>65</v>
      </c>
      <c r="G4851">
        <v>-169.1439</v>
      </c>
      <c r="H4851">
        <v>7.0746469999999997</v>
      </c>
      <c r="I4851">
        <v>225.70840000000001</v>
      </c>
      <c r="J4851">
        <v>-450.20389999999998</v>
      </c>
      <c r="K4851">
        <v>1.120358</v>
      </c>
      <c r="L4851">
        <v>215.3262</v>
      </c>
      <c r="M4851">
        <v>0.99992230000000004</v>
      </c>
      <c r="N4851">
        <v>-1.133997E-2</v>
      </c>
      <c r="O4851">
        <v>-5.1855460000000001E-3</v>
      </c>
      <c r="P4851">
        <v>0.9909751</v>
      </c>
      <c r="Q4851">
        <v>0.1329351</v>
      </c>
      <c r="R4851">
        <v>1.7230949999999998E-2</v>
      </c>
      <c r="S4851">
        <v>3.0164789999999999</v>
      </c>
      <c r="T4851">
        <v>6.384861E-2</v>
      </c>
      <c r="U4851">
        <v>0.1112976</v>
      </c>
      <c r="V4851">
        <v>-2.203163E-2</v>
      </c>
      <c r="W4851">
        <v>0.14421529999999999</v>
      </c>
      <c r="X4851">
        <v>0.98930099999999999</v>
      </c>
      <c r="Y4851">
        <v>-4.2046199999999999E-2</v>
      </c>
      <c r="Z4851">
        <v>-3.747717E-4</v>
      </c>
      <c r="AA4851">
        <v>0.99911559999999999</v>
      </c>
      <c r="AB4851">
        <v>24</v>
      </c>
      <c r="AC4851">
        <v>281.05999999999898</v>
      </c>
      <c r="AD4851">
        <v>5.9542889999999904</v>
      </c>
      <c r="AE4851">
        <v>10.382199999999999</v>
      </c>
      <c r="AF4851">
        <v>-11.8342995001774</v>
      </c>
      <c r="AG4851">
        <v>5.9542889999999904</v>
      </c>
      <c r="AH4851">
        <v>280.87649164591198</v>
      </c>
      <c r="AI4851">
        <v>88.786647253761998</v>
      </c>
      <c r="AJ4851">
        <v>92.412642664458403</v>
      </c>
      <c r="AK4851">
        <v>281.188740459982</v>
      </c>
      <c r="AL4851">
        <v>81.708158042940198</v>
      </c>
      <c r="AM4851">
        <v>91.275760153044601</v>
      </c>
      <c r="AN4851">
        <v>0.999999957037772</v>
      </c>
    </row>
    <row r="4852" spans="1:40" x14ac:dyDescent="0.25">
      <c r="A4852" t="str">
        <f>"20190303162007095"</f>
        <v>20190303162007095</v>
      </c>
      <c r="B4852" t="str">
        <f>"1551601207087044"</f>
        <v>1551601207087044</v>
      </c>
      <c r="C4852" t="s">
        <v>40</v>
      </c>
      <c r="D4852">
        <v>5.1146089999999997</v>
      </c>
      <c r="E4852">
        <v>0.4999188</v>
      </c>
      <c r="F4852" t="s">
        <v>65</v>
      </c>
      <c r="G4852">
        <v>-169.1439</v>
      </c>
      <c r="H4852">
        <v>6.7010729999999903</v>
      </c>
      <c r="I4852">
        <v>224.88130000000001</v>
      </c>
      <c r="J4852">
        <v>-449.98320000000001</v>
      </c>
      <c r="K4852">
        <v>1.120412</v>
      </c>
      <c r="L4852">
        <v>215.3235</v>
      </c>
      <c r="M4852">
        <v>0.99991459999999999</v>
      </c>
      <c r="N4852">
        <v>-1.1344659999999999E-2</v>
      </c>
      <c r="O4852">
        <v>-6.4760199999999999E-3</v>
      </c>
      <c r="P4852">
        <v>0.9909886</v>
      </c>
      <c r="Q4852">
        <v>0.1329969</v>
      </c>
      <c r="R4852">
        <v>1.592124E-2</v>
      </c>
      <c r="S4852">
        <v>3.017487</v>
      </c>
      <c r="T4852">
        <v>5.9915660000000003E-2</v>
      </c>
      <c r="U4852">
        <v>0.1025848</v>
      </c>
      <c r="V4852">
        <v>-2.2019629999999998E-2</v>
      </c>
      <c r="W4852">
        <v>0.1442785</v>
      </c>
      <c r="X4852">
        <v>0.98929210000000001</v>
      </c>
      <c r="Y4852">
        <v>-4.044259E-2</v>
      </c>
      <c r="Z4852">
        <v>-3.7385279999999999E-4</v>
      </c>
      <c r="AA4852">
        <v>0.99918180000000001</v>
      </c>
      <c r="AB4852">
        <v>24</v>
      </c>
      <c r="AC4852">
        <v>280.83929999999998</v>
      </c>
      <c r="AD4852">
        <v>5.5806609999999903</v>
      </c>
      <c r="AE4852">
        <v>9.5578000000000092</v>
      </c>
      <c r="AF4852">
        <v>-11.3719523980117</v>
      </c>
      <c r="AG4852">
        <v>5.5806609999999903</v>
      </c>
      <c r="AH4852">
        <v>280.66081297696098</v>
      </c>
      <c r="AI4852">
        <v>88.861814223538701</v>
      </c>
      <c r="AJ4852">
        <v>92.320269269847003</v>
      </c>
      <c r="AK4852">
        <v>280.94653765339098</v>
      </c>
      <c r="AL4852">
        <v>81.704499074511801</v>
      </c>
      <c r="AM4852">
        <v>91.275076979489597</v>
      </c>
      <c r="AN4852">
        <v>1.0000000043949899</v>
      </c>
    </row>
    <row r="4853" spans="1:40" x14ac:dyDescent="0.25">
      <c r="A4853" t="str">
        <f>"20190303162007119"</f>
        <v>20190303162007119</v>
      </c>
      <c r="B4853" t="str">
        <f>"1551601207107539"</f>
        <v>1551601207107539</v>
      </c>
      <c r="C4853" t="s">
        <v>40</v>
      </c>
      <c r="D4853">
        <v>5.1143289999999997</v>
      </c>
      <c r="E4853">
        <v>0.49958720000000001</v>
      </c>
      <c r="F4853" t="s">
        <v>52</v>
      </c>
      <c r="G4853">
        <v>-392.01029999999997</v>
      </c>
      <c r="H4853" s="1">
        <v>-4.6697730000000002E-7</v>
      </c>
      <c r="I4853">
        <v>216.05959999999999</v>
      </c>
      <c r="J4853">
        <v>-449.73649999999998</v>
      </c>
      <c r="K4853">
        <v>1.120468</v>
      </c>
      <c r="L4853">
        <v>215.3203</v>
      </c>
      <c r="M4853">
        <v>0.99990489999999999</v>
      </c>
      <c r="N4853">
        <v>-1.134931E-2</v>
      </c>
      <c r="O4853">
        <v>-7.8257829999999994E-3</v>
      </c>
      <c r="P4853">
        <v>0.99104519999999996</v>
      </c>
      <c r="Q4853">
        <v>0.13270460000000001</v>
      </c>
      <c r="R4853">
        <v>1.4791500000000001E-2</v>
      </c>
      <c r="S4853">
        <v>3.0345460000000002</v>
      </c>
      <c r="T4853">
        <v>-5.8647159999999997E-2</v>
      </c>
      <c r="U4853">
        <v>3.8528439999999997E-2</v>
      </c>
      <c r="V4853">
        <v>-2.2247490000000002E-2</v>
      </c>
      <c r="W4853">
        <v>0.1439888</v>
      </c>
      <c r="X4853">
        <v>0.98932920000000002</v>
      </c>
      <c r="Y4853">
        <v>-2.051453E-2</v>
      </c>
      <c r="Z4853">
        <v>3.77062E-4</v>
      </c>
      <c r="AA4853">
        <v>0.9997895</v>
      </c>
      <c r="AB4853">
        <v>24</v>
      </c>
      <c r="AC4853">
        <v>57.726199999999999</v>
      </c>
      <c r="AD4853">
        <v>-1.1204684669773</v>
      </c>
      <c r="AE4853">
        <v>0.73929999999998497</v>
      </c>
      <c r="AF4853">
        <v>-1.1906107129518799</v>
      </c>
      <c r="AG4853">
        <v>-1.1204684669773</v>
      </c>
      <c r="AH4853">
        <v>57.696912360337201</v>
      </c>
      <c r="AI4853">
        <v>91.112301921610793</v>
      </c>
      <c r="AJ4853">
        <v>91.182165313097201</v>
      </c>
      <c r="AK4853">
        <v>57.720071893334698</v>
      </c>
      <c r="AL4853">
        <v>81.721272736436404</v>
      </c>
      <c r="AM4853">
        <v>91.288218808622901</v>
      </c>
      <c r="AN4853">
        <v>0.99999999565469</v>
      </c>
    </row>
    <row r="4854" spans="1:40" x14ac:dyDescent="0.25">
      <c r="A4854" t="str">
        <f>"20190303162007141"</f>
        <v>20190303162007141</v>
      </c>
      <c r="B4854" t="str">
        <f>"1551601207127059"</f>
        <v>1551601207127059</v>
      </c>
      <c r="C4854" t="s">
        <v>40</v>
      </c>
      <c r="D4854">
        <v>5.1163850000000002</v>
      </c>
      <c r="E4854">
        <v>0.49958130000000001</v>
      </c>
      <c r="F4854" t="s">
        <v>52</v>
      </c>
      <c r="G4854">
        <v>-394.32260000000002</v>
      </c>
      <c r="H4854" s="1">
        <v>7.6346660000000005E-7</v>
      </c>
      <c r="I4854">
        <v>215.99180000000001</v>
      </c>
      <c r="J4854">
        <v>-449.49549999999999</v>
      </c>
      <c r="K4854">
        <v>1.120514</v>
      </c>
      <c r="L4854">
        <v>215.3169</v>
      </c>
      <c r="M4854">
        <v>0.99989439999999996</v>
      </c>
      <c r="N4854">
        <v>-1.135335E-2</v>
      </c>
      <c r="O4854">
        <v>-9.0794940000000005E-3</v>
      </c>
      <c r="P4854">
        <v>0.99112449999999996</v>
      </c>
      <c r="Q4854">
        <v>0.13225789999999901</v>
      </c>
      <c r="R4854">
        <v>1.34304E-2</v>
      </c>
      <c r="S4854">
        <v>3.0347900000000001</v>
      </c>
      <c r="T4854">
        <v>-6.1363340000000002E-2</v>
      </c>
      <c r="U4854">
        <v>3.6773680000000003E-2</v>
      </c>
      <c r="V4854">
        <v>-2.214561E-2</v>
      </c>
      <c r="W4854">
        <v>0.14354420000000001</v>
      </c>
      <c r="X4854">
        <v>0.9893961</v>
      </c>
      <c r="Y4854">
        <v>-2.118828E-2</v>
      </c>
      <c r="Z4854">
        <v>4.1497479999999998E-4</v>
      </c>
      <c r="AA4854">
        <v>0.99977539999999998</v>
      </c>
      <c r="AB4854">
        <v>24</v>
      </c>
      <c r="AC4854">
        <v>55.172899999999899</v>
      </c>
      <c r="AD4854">
        <v>-1.1205132365334001</v>
      </c>
      <c r="AE4854">
        <v>0.67490000000000705</v>
      </c>
      <c r="AF4854">
        <v>-1.1753617258374101</v>
      </c>
      <c r="AG4854">
        <v>-1.1205132365334001</v>
      </c>
      <c r="AH4854">
        <v>55.141756971600202</v>
      </c>
      <c r="AI4854">
        <v>91.163859746575099</v>
      </c>
      <c r="AJ4854">
        <v>91.221090401073894</v>
      </c>
      <c r="AK4854">
        <v>55.165663115880598</v>
      </c>
      <c r="AL4854">
        <v>81.747013918077798</v>
      </c>
      <c r="AM4854">
        <v>91.282234844915195</v>
      </c>
      <c r="AN4854">
        <v>1.0000000040455601</v>
      </c>
    </row>
    <row r="4855" spans="1:40" x14ac:dyDescent="0.25">
      <c r="A4855" t="str">
        <f>"20190303162007164"</f>
        <v>20190303162007164</v>
      </c>
      <c r="B4855" t="str">
        <f>"1551601207157315"</f>
        <v>1551601207157315</v>
      </c>
      <c r="C4855" t="s">
        <v>40</v>
      </c>
      <c r="D4855">
        <v>4.8299580000000004</v>
      </c>
      <c r="E4855">
        <v>0.4994788</v>
      </c>
      <c r="F4855" t="s">
        <v>52</v>
      </c>
      <c r="G4855">
        <v>-395.07760000000002</v>
      </c>
      <c r="H4855" s="1">
        <v>1.1652620000000001E-6</v>
      </c>
      <c r="I4855">
        <v>215.89150000000001</v>
      </c>
      <c r="J4855">
        <v>-449.24959999999999</v>
      </c>
      <c r="K4855">
        <v>1.1205499999999999</v>
      </c>
      <c r="L4855">
        <v>215.31319999999999</v>
      </c>
      <c r="M4855">
        <v>0.99988220000000005</v>
      </c>
      <c r="N4855">
        <v>-1.135719E-2</v>
      </c>
      <c r="O4855">
        <v>-1.031906E-2</v>
      </c>
      <c r="P4855">
        <v>0.99122509999999997</v>
      </c>
      <c r="Q4855">
        <v>0.13160079999999999</v>
      </c>
      <c r="R4855">
        <v>1.241773E-2</v>
      </c>
      <c r="S4855">
        <v>3.0347900000000001</v>
      </c>
      <c r="T4855">
        <v>-6.2489030000000001E-2</v>
      </c>
      <c r="U4855">
        <v>3.2043460000000003E-2</v>
      </c>
      <c r="V4855">
        <v>-2.2375619999999999E-2</v>
      </c>
      <c r="W4855">
        <v>0.14289060000000001</v>
      </c>
      <c r="X4855">
        <v>0.98948550000000002</v>
      </c>
      <c r="Y4855">
        <v>-2.0869410000000001E-2</v>
      </c>
      <c r="Z4855">
        <v>4.2862640000000001E-4</v>
      </c>
      <c r="AA4855">
        <v>0.99978210000000001</v>
      </c>
      <c r="AB4855">
        <v>24</v>
      </c>
      <c r="AC4855">
        <v>54.171999999999898</v>
      </c>
      <c r="AD4855">
        <v>-1.1205488347379999</v>
      </c>
      <c r="AE4855">
        <v>0.57830000000001203</v>
      </c>
      <c r="AF4855">
        <v>-1.13682305499397</v>
      </c>
      <c r="AG4855">
        <v>-1.1205488347379999</v>
      </c>
      <c r="AH4855">
        <v>54.139985218745203</v>
      </c>
      <c r="AI4855">
        <v>91.185434579773698</v>
      </c>
      <c r="AJ4855">
        <v>91.202911165717694</v>
      </c>
      <c r="AK4855">
        <v>54.163511664545403</v>
      </c>
      <c r="AL4855">
        <v>81.784852254469399</v>
      </c>
      <c r="AM4855">
        <v>91.295430937274801</v>
      </c>
      <c r="AN4855">
        <v>0.99999997332449597</v>
      </c>
    </row>
    <row r="4856" spans="1:40" x14ac:dyDescent="0.25">
      <c r="A4856" t="str">
        <f>"20190303162007185"</f>
        <v>20190303162007185</v>
      </c>
      <c r="B4856" t="str">
        <f>"1551601207176835"</f>
        <v>1551601207176835</v>
      </c>
      <c r="C4856" t="s">
        <v>40</v>
      </c>
      <c r="D4856">
        <v>4.7959480000000001</v>
      </c>
      <c r="E4856">
        <v>0.50003199999999903</v>
      </c>
      <c r="F4856" t="s">
        <v>52</v>
      </c>
      <c r="G4856">
        <v>-393.52519999999998</v>
      </c>
      <c r="H4856" s="1">
        <v>3.3917349999999998E-7</v>
      </c>
      <c r="I4856">
        <v>215.8518</v>
      </c>
      <c r="J4856">
        <v>-449.01799999999997</v>
      </c>
      <c r="K4856">
        <v>1.120573</v>
      </c>
      <c r="L4856">
        <v>215.30950000000001</v>
      </c>
      <c r="M4856">
        <v>0.99986980000000003</v>
      </c>
      <c r="N4856">
        <v>-1.13607E-2</v>
      </c>
      <c r="O4856">
        <v>-1.1465879999999999E-2</v>
      </c>
      <c r="P4856">
        <v>0.99128360000000004</v>
      </c>
      <c r="Q4856">
        <v>0.131193899999999</v>
      </c>
      <c r="R4856">
        <v>1.2051320000000001E-2</v>
      </c>
      <c r="S4856">
        <v>3.0343019999999998</v>
      </c>
      <c r="T4856">
        <v>-6.1016199999999902E-2</v>
      </c>
      <c r="U4856">
        <v>2.9327389999999998E-2</v>
      </c>
      <c r="V4856">
        <v>-2.3154069999999999E-2</v>
      </c>
      <c r="W4856">
        <v>0.14248810000000001</v>
      </c>
      <c r="X4856">
        <v>0.98952569999999995</v>
      </c>
      <c r="Y4856">
        <v>-2.112317E-2</v>
      </c>
      <c r="Z4856">
        <v>4.326469E-4</v>
      </c>
      <c r="AA4856">
        <v>0.99977680000000002</v>
      </c>
      <c r="AB4856">
        <v>24</v>
      </c>
      <c r="AC4856">
        <v>55.492800000000003</v>
      </c>
      <c r="AD4856">
        <v>-1.1205726608265001</v>
      </c>
      <c r="AE4856">
        <v>0.54229999999998302</v>
      </c>
      <c r="AF4856">
        <v>-1.17809881181253</v>
      </c>
      <c r="AG4856">
        <v>-1.1205726608265001</v>
      </c>
      <c r="AH4856">
        <v>55.460320889998499</v>
      </c>
      <c r="AI4856">
        <v>91.157239512971998</v>
      </c>
      <c r="AJ4856">
        <v>91.216904964231006</v>
      </c>
      <c r="AK4856">
        <v>55.484149025827101</v>
      </c>
      <c r="AL4856">
        <v>81.808152775169603</v>
      </c>
      <c r="AM4856">
        <v>91.340428500087597</v>
      </c>
      <c r="AN4856">
        <v>1.0000000402798299</v>
      </c>
    </row>
    <row r="4857" spans="1:40" x14ac:dyDescent="0.25">
      <c r="A4857" t="str">
        <f>"20190303162007208"</f>
        <v>20190303162007208</v>
      </c>
      <c r="B4857" t="str">
        <f>"1551601207197344"</f>
        <v>1551601207197344</v>
      </c>
      <c r="C4857" t="s">
        <v>40</v>
      </c>
      <c r="D4857">
        <v>4.7804520000000004</v>
      </c>
      <c r="E4857">
        <v>0.50027690000000002</v>
      </c>
      <c r="F4857" t="s">
        <v>52</v>
      </c>
      <c r="G4857">
        <v>-396.53460000000001</v>
      </c>
      <c r="H4857" s="1">
        <v>1.9405790000000002E-6</v>
      </c>
      <c r="I4857">
        <v>215.70769999999999</v>
      </c>
      <c r="J4857">
        <v>-448.77800000000002</v>
      </c>
      <c r="K4857">
        <v>1.120574</v>
      </c>
      <c r="L4857">
        <v>215.30539999999999</v>
      </c>
      <c r="M4857">
        <v>0.99985559999999996</v>
      </c>
      <c r="N4857">
        <v>-1.13642E-2</v>
      </c>
      <c r="O4857">
        <v>-1.2642840000000001E-2</v>
      </c>
      <c r="P4857">
        <v>0.99133970000000005</v>
      </c>
      <c r="Q4857">
        <v>0.13078199999999901</v>
      </c>
      <c r="R4857">
        <v>1.191381E-2</v>
      </c>
      <c r="S4857">
        <v>3.034729</v>
      </c>
      <c r="T4857">
        <v>-6.4794299999999999E-2</v>
      </c>
      <c r="U4857">
        <v>2.3025509999999999E-2</v>
      </c>
      <c r="V4857">
        <v>-2.4186929999999999E-2</v>
      </c>
      <c r="W4857">
        <v>0.14208119999999999</v>
      </c>
      <c r="X4857">
        <v>0.98955950000000004</v>
      </c>
      <c r="Y4857">
        <v>-2.022212E-2</v>
      </c>
      <c r="Z4857">
        <v>4.5701029999999998E-4</v>
      </c>
      <c r="AA4857">
        <v>0.9997954</v>
      </c>
      <c r="AB4857">
        <v>24</v>
      </c>
      <c r="AC4857">
        <v>52.243400000000001</v>
      </c>
      <c r="AD4857">
        <v>-1.120572059421</v>
      </c>
      <c r="AE4857">
        <v>0.40229999999999599</v>
      </c>
      <c r="AF4857">
        <v>-1.06232666830788</v>
      </c>
      <c r="AG4857">
        <v>-1.120572059421</v>
      </c>
      <c r="AH4857">
        <v>52.210118936176698</v>
      </c>
      <c r="AI4857">
        <v>91.229281123468297</v>
      </c>
      <c r="AJ4857">
        <v>91.165644479193702</v>
      </c>
      <c r="AK4857">
        <v>52.232946872833701</v>
      </c>
      <c r="AL4857">
        <v>81.831706057016603</v>
      </c>
      <c r="AM4857">
        <v>91.400151419472493</v>
      </c>
      <c r="AN4857">
        <v>1.00000003950825</v>
      </c>
    </row>
    <row r="4858" spans="1:40" x14ac:dyDescent="0.25">
      <c r="A4858" t="str">
        <f>"20190303162007229"</f>
        <v>20190303162007229</v>
      </c>
      <c r="B4858" t="str">
        <f>"1551601207216854"</f>
        <v>1551601207216854</v>
      </c>
      <c r="C4858" t="s">
        <v>40</v>
      </c>
      <c r="D4858">
        <v>4.7020200000000001</v>
      </c>
      <c r="E4858">
        <v>0.50039239999999996</v>
      </c>
      <c r="F4858" t="s">
        <v>52</v>
      </c>
      <c r="G4858">
        <v>-399.46559999999999</v>
      </c>
      <c r="H4858" s="1">
        <v>3.5003519999999999E-6</v>
      </c>
      <c r="I4858">
        <v>215.63659999999999</v>
      </c>
      <c r="J4858">
        <v>-448.541</v>
      </c>
      <c r="K4858">
        <v>1.1205689999999999</v>
      </c>
      <c r="L4858">
        <v>215.30109999999999</v>
      </c>
      <c r="M4858">
        <v>0.99984030000000002</v>
      </c>
      <c r="N4858">
        <v>-1.136766E-2</v>
      </c>
      <c r="O4858">
        <v>-1.3800649999999999E-2</v>
      </c>
      <c r="P4858">
        <v>0.99132070000000005</v>
      </c>
      <c r="Q4858">
        <v>0.13090599999999999</v>
      </c>
      <c r="R4858">
        <v>1.212646E-2</v>
      </c>
      <c r="S4858">
        <v>3.0350649999999999</v>
      </c>
      <c r="T4858">
        <v>-6.896853E-2</v>
      </c>
      <c r="U4858">
        <v>2.0385739999999999E-2</v>
      </c>
      <c r="V4858">
        <v>-2.5545379999999999E-2</v>
      </c>
      <c r="W4858">
        <v>0.142210999999999</v>
      </c>
      <c r="X4858">
        <v>0.98950669999999996</v>
      </c>
      <c r="Y4858">
        <v>-2.0508350000000002E-2</v>
      </c>
      <c r="Z4858">
        <v>5.0625659999999995E-4</v>
      </c>
      <c r="AA4858">
        <v>0.9997895</v>
      </c>
      <c r="AB4858">
        <v>24</v>
      </c>
      <c r="AC4858">
        <v>49.075400000000002</v>
      </c>
      <c r="AD4858">
        <v>-1.1205654996479999</v>
      </c>
      <c r="AE4858">
        <v>0.33549999999999602</v>
      </c>
      <c r="AF4858">
        <v>-1.0122563877125299</v>
      </c>
      <c r="AG4858">
        <v>-1.1205654996479999</v>
      </c>
      <c r="AH4858">
        <v>49.0405282484423</v>
      </c>
      <c r="AI4858">
        <v>91.308689770128296</v>
      </c>
      <c r="AJ4858">
        <v>91.182486936794206</v>
      </c>
      <c r="AK4858">
        <v>49.063772183962101</v>
      </c>
      <c r="AL4858">
        <v>81.8241926300323</v>
      </c>
      <c r="AM4858">
        <v>91.478835289457606</v>
      </c>
      <c r="AN4858">
        <v>1.00000002215261</v>
      </c>
    </row>
    <row r="4859" spans="1:40" x14ac:dyDescent="0.25">
      <c r="A4859" t="str">
        <f>"20190303162007251"</f>
        <v>20190303162007251</v>
      </c>
      <c r="B4859" t="str">
        <f>"1551601207237347"</f>
        <v>1551601207237347</v>
      </c>
      <c r="C4859" t="s">
        <v>40</v>
      </c>
      <c r="D4859">
        <v>4.6588339999999997</v>
      </c>
      <c r="E4859">
        <v>0.50056440000000002</v>
      </c>
      <c r="F4859" t="s">
        <v>56</v>
      </c>
      <c r="G4859">
        <v>-402.35419999999999</v>
      </c>
      <c r="H4859" s="1">
        <v>7.1555259999999998E-6</v>
      </c>
      <c r="I4859">
        <v>215.5975</v>
      </c>
      <c r="J4859">
        <v>-448.30489999999998</v>
      </c>
      <c r="K4859">
        <v>1.1205639999999999</v>
      </c>
      <c r="L4859">
        <v>215.29650000000001</v>
      </c>
      <c r="M4859">
        <v>0.99982349999999998</v>
      </c>
      <c r="N4859">
        <v>-1.137107E-2</v>
      </c>
      <c r="O4859">
        <v>-1.49564E-2</v>
      </c>
      <c r="P4859">
        <v>0.99134540000000004</v>
      </c>
      <c r="Q4859">
        <v>0.13051689999999999</v>
      </c>
      <c r="R4859">
        <v>1.412709E-2</v>
      </c>
      <c r="S4859">
        <v>3.0357970000000001</v>
      </c>
      <c r="T4859">
        <v>-7.3653099999999999E-2</v>
      </c>
      <c r="U4859">
        <v>1.9485470000000001E-2</v>
      </c>
      <c r="V4859">
        <v>-2.8689240000000001E-2</v>
      </c>
      <c r="W4859">
        <v>0.1418315</v>
      </c>
      <c r="X4859">
        <v>0.98947499999999999</v>
      </c>
      <c r="Y4859">
        <v>-2.1364299999999999E-2</v>
      </c>
      <c r="Z4859">
        <v>5.7336219999999996E-4</v>
      </c>
      <c r="AA4859">
        <v>0.99977159999999998</v>
      </c>
      <c r="AB4859">
        <v>24</v>
      </c>
      <c r="AC4859">
        <v>45.950699999999898</v>
      </c>
      <c r="AD4859">
        <v>-1.1205568444739999</v>
      </c>
      <c r="AE4859">
        <v>0.300999999999987</v>
      </c>
      <c r="AF4859">
        <v>-0.987680475299334</v>
      </c>
      <c r="AG4859">
        <v>-1.1205568444739999</v>
      </c>
      <c r="AH4859">
        <v>45.913754602962399</v>
      </c>
      <c r="AI4859">
        <v>91.397742238132594</v>
      </c>
      <c r="AJ4859">
        <v>91.232336510936705</v>
      </c>
      <c r="AK4859">
        <v>45.938045475444802</v>
      </c>
      <c r="AL4859">
        <v>81.846158948640905</v>
      </c>
      <c r="AM4859">
        <v>91.660791808997004</v>
      </c>
      <c r="AN4859">
        <v>1.00000001125451</v>
      </c>
    </row>
    <row r="4860" spans="1:40" x14ac:dyDescent="0.25">
      <c r="A4860" t="str">
        <f>"20190303162007287"</f>
        <v>20190303162007287</v>
      </c>
      <c r="B4860" t="str">
        <f>"1551601207277363"</f>
        <v>1551601207277363</v>
      </c>
      <c r="C4860" t="s">
        <v>40</v>
      </c>
      <c r="D4860">
        <v>4.6793620000000002</v>
      </c>
      <c r="E4860">
        <v>0.50072529999999904</v>
      </c>
      <c r="F4860" t="s">
        <v>56</v>
      </c>
      <c r="G4860">
        <v>-402.42500000000001</v>
      </c>
      <c r="H4860" s="1">
        <v>7.1135779999999998E-6</v>
      </c>
      <c r="I4860">
        <v>215.64869999999999</v>
      </c>
      <c r="J4860">
        <v>-447.92500000000001</v>
      </c>
      <c r="K4860">
        <v>1.1205449999999999</v>
      </c>
      <c r="L4860">
        <v>215.2885</v>
      </c>
      <c r="M4860">
        <v>0.9997935</v>
      </c>
      <c r="N4860">
        <v>-1.137579E-2</v>
      </c>
      <c r="O4860">
        <v>-1.683202E-2</v>
      </c>
      <c r="P4860">
        <v>0.99145629999999996</v>
      </c>
      <c r="Q4860">
        <v>0.12947809999999901</v>
      </c>
      <c r="R4860">
        <v>1.5813870000000001E-2</v>
      </c>
      <c r="S4860">
        <v>3.0356139999999998</v>
      </c>
      <c r="T4860">
        <v>-7.4140910000000004E-2</v>
      </c>
      <c r="U4860">
        <v>2.3300169999999999E-2</v>
      </c>
      <c r="V4860">
        <v>-3.2233390000000001E-2</v>
      </c>
      <c r="W4860">
        <v>0.14080529999999999</v>
      </c>
      <c r="X4860">
        <v>0.98951239999999996</v>
      </c>
      <c r="Y4860">
        <v>-2.4494760000000001E-2</v>
      </c>
      <c r="Z4860">
        <v>6.5799339999999997E-4</v>
      </c>
      <c r="AA4860">
        <v>0.99969980000000003</v>
      </c>
      <c r="AB4860">
        <v>24</v>
      </c>
      <c r="AC4860">
        <v>45.5</v>
      </c>
      <c r="AD4860">
        <v>-1.1205378864219999</v>
      </c>
      <c r="AE4860">
        <v>0.36019999999999103</v>
      </c>
      <c r="AF4860">
        <v>-1.12537302707467</v>
      </c>
      <c r="AG4860">
        <v>-1.1205378864219999</v>
      </c>
      <c r="AH4860">
        <v>45.459920279978803</v>
      </c>
      <c r="AI4860">
        <v>91.411560827667401</v>
      </c>
      <c r="AJ4860">
        <v>91.418083397957901</v>
      </c>
      <c r="AK4860">
        <v>45.487651307437297</v>
      </c>
      <c r="AL4860">
        <v>81.905551492704902</v>
      </c>
      <c r="AM4860">
        <v>91.865751632687093</v>
      </c>
      <c r="AN4860">
        <v>0.99999995684637</v>
      </c>
    </row>
    <row r="4861" spans="1:40" x14ac:dyDescent="0.25">
      <c r="A4861" t="str">
        <f>"20190303162007307"</f>
        <v>20190303162007307</v>
      </c>
      <c r="B4861" t="str">
        <f>"1551601207296883"</f>
        <v>1551601207296883</v>
      </c>
      <c r="C4861" t="s">
        <v>40</v>
      </c>
      <c r="D4861">
        <v>4.6810039999999997</v>
      </c>
      <c r="E4861">
        <v>0.50070709999999996</v>
      </c>
      <c r="F4861" t="s">
        <v>56</v>
      </c>
      <c r="G4861">
        <v>-403.96359999999999</v>
      </c>
      <c r="H4861" s="1">
        <v>6.4258489999999901E-6</v>
      </c>
      <c r="I4861">
        <v>215.6748</v>
      </c>
      <c r="J4861">
        <v>-447.70080000000002</v>
      </c>
      <c r="K4861">
        <v>1.1205240000000001</v>
      </c>
      <c r="L4861">
        <v>215.2835</v>
      </c>
      <c r="M4861">
        <v>0.99977419999999995</v>
      </c>
      <c r="N4861">
        <v>-1.137848E-2</v>
      </c>
      <c r="O4861">
        <v>-1.7951849999999998E-2</v>
      </c>
      <c r="P4861">
        <v>0.99182669999999995</v>
      </c>
      <c r="Q4861">
        <v>0.12657080000000001</v>
      </c>
      <c r="R4861">
        <v>1.611843E-2</v>
      </c>
      <c r="S4861">
        <v>3.0355219999999998</v>
      </c>
      <c r="T4861">
        <v>-7.7372789999999997E-2</v>
      </c>
      <c r="U4861">
        <v>2.6672359999999999E-2</v>
      </c>
      <c r="V4861">
        <v>-3.365754E-2</v>
      </c>
      <c r="W4861">
        <v>0.13790749999999999</v>
      </c>
      <c r="X4861">
        <v>0.98987309999999995</v>
      </c>
      <c r="Y4861">
        <v>-2.672296E-2</v>
      </c>
      <c r="Z4861">
        <v>7.4581840000000001E-4</v>
      </c>
      <c r="AA4861">
        <v>0.99964260000000005</v>
      </c>
      <c r="AB4861">
        <v>24</v>
      </c>
      <c r="AC4861">
        <v>43.737200000000001</v>
      </c>
      <c r="AD4861">
        <v>-1.1205175741509901</v>
      </c>
      <c r="AE4861">
        <v>0.39130000000000098</v>
      </c>
      <c r="AF4861">
        <v>-1.17567975113899</v>
      </c>
      <c r="AG4861">
        <v>-1.1205175741509901</v>
      </c>
      <c r="AH4861">
        <v>43.6944493875896</v>
      </c>
      <c r="AI4861">
        <v>91.468462208878506</v>
      </c>
      <c r="AJ4861">
        <v>91.541276746047302</v>
      </c>
      <c r="AK4861">
        <v>43.724623380834899</v>
      </c>
      <c r="AL4861">
        <v>82.073219920879495</v>
      </c>
      <c r="AM4861">
        <v>91.947413596456897</v>
      </c>
      <c r="AN4861">
        <v>1.00000003132935</v>
      </c>
    </row>
    <row r="4862" spans="1:40" x14ac:dyDescent="0.25">
      <c r="A4862" t="str">
        <f>"20190303162007330"</f>
        <v>20190303162007330</v>
      </c>
      <c r="B4862" t="str">
        <f>"1551601207317382"</f>
        <v>1551601207317382</v>
      </c>
      <c r="C4862" t="s">
        <v>40</v>
      </c>
      <c r="D4862">
        <v>4.6749559999999999</v>
      </c>
      <c r="E4862">
        <v>0.53505349999999996</v>
      </c>
      <c r="F4862" t="s">
        <v>56</v>
      </c>
      <c r="G4862">
        <v>-408.16160000000002</v>
      </c>
      <c r="H4862" s="1">
        <v>4.568845E-6</v>
      </c>
      <c r="I4862">
        <v>215.6524</v>
      </c>
      <c r="J4862">
        <v>-447.4572</v>
      </c>
      <c r="K4862">
        <v>1.1204940000000001</v>
      </c>
      <c r="L4862">
        <v>215.27770000000001</v>
      </c>
      <c r="M4862">
        <v>0.99975139999999996</v>
      </c>
      <c r="N4862">
        <v>-1.138131E-2</v>
      </c>
      <c r="O4862">
        <v>-1.9175600000000001E-2</v>
      </c>
      <c r="P4862">
        <v>0.99240850000000003</v>
      </c>
      <c r="Q4862">
        <v>0.1219534</v>
      </c>
      <c r="R4862">
        <v>1.5903899999999999E-2</v>
      </c>
      <c r="S4862">
        <v>3.0352480000000002</v>
      </c>
      <c r="T4862">
        <v>-8.6017250000000003E-2</v>
      </c>
      <c r="U4862">
        <v>2.8320310000000001E-2</v>
      </c>
      <c r="V4862">
        <v>-3.4675039999999997E-2</v>
      </c>
      <c r="W4862">
        <v>0.13330220000000001</v>
      </c>
      <c r="X4862">
        <v>0.99046869999999998</v>
      </c>
      <c r="Y4862">
        <v>-2.8485570000000002E-2</v>
      </c>
      <c r="Z4862">
        <v>8.907664E-4</v>
      </c>
      <c r="AA4862">
        <v>0.99959379999999998</v>
      </c>
      <c r="AB4862">
        <v>24</v>
      </c>
      <c r="AC4862">
        <v>39.295599999999901</v>
      </c>
      <c r="AD4862">
        <v>-1.120489431155</v>
      </c>
      <c r="AE4862">
        <v>0.37469999999998999</v>
      </c>
      <c r="AF4862">
        <v>-1.1272800993591701</v>
      </c>
      <c r="AG4862">
        <v>-1.120489431155</v>
      </c>
      <c r="AH4862">
        <v>39.249278779622102</v>
      </c>
      <c r="AI4862">
        <v>91.634563596584499</v>
      </c>
      <c r="AJ4862">
        <v>91.645142107071194</v>
      </c>
      <c r="AK4862">
        <v>39.281447805653002</v>
      </c>
      <c r="AL4862">
        <v>82.339544525288105</v>
      </c>
      <c r="AM4862">
        <v>92.005032959726904</v>
      </c>
      <c r="AN4862">
        <v>1.0000000403017599</v>
      </c>
    </row>
    <row r="4863" spans="1:40" x14ac:dyDescent="0.25">
      <c r="A4863" t="str">
        <f>"20190303162007354"</f>
        <v>20190303162007354</v>
      </c>
      <c r="B4863" t="str">
        <f>"1551601207347635"</f>
        <v>1551601207347635</v>
      </c>
      <c r="C4863" t="s">
        <v>40</v>
      </c>
      <c r="D4863">
        <v>4.5843129999999999</v>
      </c>
      <c r="E4863">
        <v>0.54668779999999995</v>
      </c>
      <c r="F4863" t="s">
        <v>56</v>
      </c>
      <c r="G4863">
        <v>-425.85939999999999</v>
      </c>
      <c r="H4863" s="1">
        <v>3.0205539999999999E-6</v>
      </c>
      <c r="I4863">
        <v>213.52610000000001</v>
      </c>
      <c r="J4863">
        <v>-447.20119999999997</v>
      </c>
      <c r="K4863">
        <v>1.120471</v>
      </c>
      <c r="L4863">
        <v>215.2713</v>
      </c>
      <c r="M4863">
        <v>0.99972589999999995</v>
      </c>
      <c r="N4863">
        <v>-1.1384109999999999E-2</v>
      </c>
      <c r="O4863">
        <v>-2.0463809999999999E-2</v>
      </c>
      <c r="P4863">
        <v>0.99292599999999998</v>
      </c>
      <c r="Q4863">
        <v>0.1175071</v>
      </c>
      <c r="R4863">
        <v>1.7041239999999999E-2</v>
      </c>
      <c r="S4863">
        <v>3.046265</v>
      </c>
      <c r="T4863">
        <v>-0.1580396</v>
      </c>
      <c r="U4863">
        <v>-0.2470551</v>
      </c>
      <c r="V4863">
        <v>-3.71084E-2</v>
      </c>
      <c r="W4863">
        <v>0.12886900000000001</v>
      </c>
      <c r="X4863">
        <v>0.99096709999999999</v>
      </c>
      <c r="Y4863">
        <v>6.0338740000000002E-2</v>
      </c>
      <c r="Z4863">
        <v>-1.0794680000000001E-3</v>
      </c>
      <c r="AA4863">
        <v>0.99817730000000005</v>
      </c>
      <c r="AB4863">
        <v>24</v>
      </c>
      <c r="AC4863">
        <v>21.3417999999999</v>
      </c>
      <c r="AD4863">
        <v>-1.120467979446</v>
      </c>
      <c r="AE4863">
        <v>-1.7451999999999801</v>
      </c>
      <c r="AF4863">
        <v>1.3044999133452</v>
      </c>
      <c r="AG4863">
        <v>-1.120467979446</v>
      </c>
      <c r="AH4863">
        <v>21.314685271339599</v>
      </c>
      <c r="AI4863">
        <v>93.003538761432296</v>
      </c>
      <c r="AJ4863">
        <v>86.497756010863398</v>
      </c>
      <c r="AK4863">
        <v>21.383942029783501</v>
      </c>
      <c r="AL4863">
        <v>82.595759120944606</v>
      </c>
      <c r="AM4863">
        <v>92.144533091368601</v>
      </c>
      <c r="AN4863">
        <v>1.0000000228969801</v>
      </c>
    </row>
    <row r="4864" spans="1:40" x14ac:dyDescent="0.25">
      <c r="A4864" t="str">
        <f>"20190303162007374"</f>
        <v>20190303162007374</v>
      </c>
      <c r="B4864" t="str">
        <f>"1551601207367155"</f>
        <v>1551601207367155</v>
      </c>
      <c r="C4864" t="s">
        <v>40</v>
      </c>
      <c r="D4864">
        <v>4.5395510000000003</v>
      </c>
      <c r="E4864">
        <v>0.54997959999999901</v>
      </c>
      <c r="F4864" t="s">
        <v>56</v>
      </c>
      <c r="G4864">
        <v>-428.91109999999998</v>
      </c>
      <c r="H4864" s="1">
        <v>2.503538E-6</v>
      </c>
      <c r="I4864">
        <v>213.24809999999999</v>
      </c>
      <c r="J4864">
        <v>-446.96789999999999</v>
      </c>
      <c r="K4864">
        <v>1.1204689999999999</v>
      </c>
      <c r="L4864">
        <v>215.26509999999999</v>
      </c>
      <c r="M4864">
        <v>0.99970130000000001</v>
      </c>
      <c r="N4864">
        <v>-1.138657E-2</v>
      </c>
      <c r="O4864">
        <v>-2.1631190000000002E-2</v>
      </c>
      <c r="P4864">
        <v>0.99315399999999998</v>
      </c>
      <c r="Q4864">
        <v>0.115314899999999</v>
      </c>
      <c r="R4864">
        <v>1.8660840000000001E-2</v>
      </c>
      <c r="S4864">
        <v>3.0492859999999999</v>
      </c>
      <c r="T4864">
        <v>-0.18680189999999999</v>
      </c>
      <c r="U4864">
        <v>-0.33729550000000003</v>
      </c>
      <c r="V4864">
        <v>-3.9896139999999997E-2</v>
      </c>
      <c r="W4864">
        <v>0.12668599999999999</v>
      </c>
      <c r="X4864">
        <v>0.99114020000000003</v>
      </c>
      <c r="Y4864">
        <v>8.8249289999999994E-2</v>
      </c>
      <c r="Z4864">
        <v>-2.122966E-3</v>
      </c>
      <c r="AA4864">
        <v>0.99609610000000004</v>
      </c>
      <c r="AB4864">
        <v>24</v>
      </c>
      <c r="AC4864">
        <v>18.056799999999999</v>
      </c>
      <c r="AD4864">
        <v>-1.1204664964619999</v>
      </c>
      <c r="AE4864">
        <v>-2.0169999999999901</v>
      </c>
      <c r="AF4864">
        <v>1.61975267008809</v>
      </c>
      <c r="AG4864">
        <v>-1.1204664964619999</v>
      </c>
      <c r="AH4864">
        <v>18.027647584245599</v>
      </c>
      <c r="AI4864">
        <v>93.542278444870504</v>
      </c>
      <c r="AJ4864">
        <v>84.865860071006907</v>
      </c>
      <c r="AK4864">
        <v>18.134914427802201</v>
      </c>
      <c r="AL4864">
        <v>82.721869191702595</v>
      </c>
      <c r="AM4864">
        <v>92.3050695014159</v>
      </c>
      <c r="AN4864">
        <v>0.99999997031946897</v>
      </c>
    </row>
    <row r="4865" spans="1:40" x14ac:dyDescent="0.25">
      <c r="A4865" t="str">
        <f>"20190303162007397"</f>
        <v>20190303162007397</v>
      </c>
      <c r="B4865" t="str">
        <f>"1551601207387659"</f>
        <v>1551601207387659</v>
      </c>
      <c r="C4865" t="s">
        <v>40</v>
      </c>
      <c r="D4865">
        <v>4.5128430000000002</v>
      </c>
      <c r="E4865">
        <v>0.55212260000000002</v>
      </c>
      <c r="F4865" t="s">
        <v>56</v>
      </c>
      <c r="G4865">
        <v>-428.92919999999998</v>
      </c>
      <c r="H4865" s="1">
        <v>2.510065E-6</v>
      </c>
      <c r="I4865">
        <v>213.13669999999999</v>
      </c>
      <c r="J4865">
        <v>-446.73009999999999</v>
      </c>
      <c r="K4865">
        <v>1.1204700000000001</v>
      </c>
      <c r="L4865">
        <v>215.2587</v>
      </c>
      <c r="M4865">
        <v>0.99967510000000004</v>
      </c>
      <c r="N4865">
        <v>-1.1388840000000001E-2</v>
      </c>
      <c r="O4865">
        <v>-2.2805880000000001E-2</v>
      </c>
      <c r="P4865">
        <v>0.99327560000000004</v>
      </c>
      <c r="Q4865">
        <v>0.1140702</v>
      </c>
      <c r="R4865">
        <v>1.9792779999999999E-2</v>
      </c>
      <c r="S4865">
        <v>3.0494080000000001</v>
      </c>
      <c r="T4865">
        <v>-0.1894131</v>
      </c>
      <c r="U4865">
        <v>-0.35981750000000001</v>
      </c>
      <c r="V4865">
        <v>-4.220057E-2</v>
      </c>
      <c r="W4865">
        <v>0.12544810000000001</v>
      </c>
      <c r="X4865">
        <v>0.99120220000000003</v>
      </c>
      <c r="Y4865">
        <v>9.4318620000000006E-2</v>
      </c>
      <c r="Z4865">
        <v>-2.3049199999999998E-3</v>
      </c>
      <c r="AA4865">
        <v>0.99553939999999996</v>
      </c>
      <c r="AB4865">
        <v>24</v>
      </c>
      <c r="AC4865">
        <v>17.800899999999999</v>
      </c>
      <c r="AD4865">
        <v>-1.120467489935</v>
      </c>
      <c r="AE4865">
        <v>-2.1220000000000101</v>
      </c>
      <c r="AF4865">
        <v>1.7087811925204399</v>
      </c>
      <c r="AG4865">
        <v>-1.120467489935</v>
      </c>
      <c r="AH4865">
        <v>17.775228093124898</v>
      </c>
      <c r="AI4865">
        <v>93.590378052860601</v>
      </c>
      <c r="AJ4865">
        <v>84.508874261713203</v>
      </c>
      <c r="AK4865">
        <v>17.892292036587399</v>
      </c>
      <c r="AL4865">
        <v>82.793365973794494</v>
      </c>
      <c r="AM4865">
        <v>92.437903389228794</v>
      </c>
      <c r="AN4865">
        <v>0.999999957593386</v>
      </c>
    </row>
    <row r="4866" spans="1:40" x14ac:dyDescent="0.25">
      <c r="A4866" t="str">
        <f>"20190303162007419"</f>
        <v>20190303162007419</v>
      </c>
      <c r="B4866" t="str">
        <f>"1551601207407172"</f>
        <v>1551601207407172</v>
      </c>
      <c r="C4866" t="s">
        <v>40</v>
      </c>
      <c r="D4866">
        <v>4.5282119999999999</v>
      </c>
      <c r="E4866">
        <v>0.55339609999999995</v>
      </c>
      <c r="F4866" t="s">
        <v>56</v>
      </c>
      <c r="G4866">
        <v>-428.40989999999999</v>
      </c>
      <c r="H4866" s="1">
        <v>2.6123579999999999E-6</v>
      </c>
      <c r="I4866">
        <v>213.02019999999999</v>
      </c>
      <c r="J4866">
        <v>-446.49130000000002</v>
      </c>
      <c r="K4866">
        <v>1.120476</v>
      </c>
      <c r="L4866">
        <v>215.25190000000001</v>
      </c>
      <c r="M4866">
        <v>0.99964819999999999</v>
      </c>
      <c r="N4866">
        <v>-1.1390839999999999E-2</v>
      </c>
      <c r="O4866">
        <v>-2.3959319999999999E-2</v>
      </c>
      <c r="P4866">
        <v>0.99347370000000002</v>
      </c>
      <c r="Q4866">
        <v>0.1122775</v>
      </c>
      <c r="R4866">
        <v>2.0100369999999999E-2</v>
      </c>
      <c r="S4866">
        <v>3.0492249999999999</v>
      </c>
      <c r="T4866">
        <v>-0.18649109999999999</v>
      </c>
      <c r="U4866">
        <v>-0.37257390000000001</v>
      </c>
      <c r="V4866">
        <v>-4.366565E-2</v>
      </c>
      <c r="W4866">
        <v>0.1236606</v>
      </c>
      <c r="X4866">
        <v>0.99136340000000001</v>
      </c>
      <c r="Y4866">
        <v>9.7281980000000004E-2</v>
      </c>
      <c r="Z4866">
        <v>-2.33176E-3</v>
      </c>
      <c r="AA4866">
        <v>0.99525410000000003</v>
      </c>
      <c r="AB4866">
        <v>24</v>
      </c>
      <c r="AC4866">
        <v>18.081399999999999</v>
      </c>
      <c r="AD4866">
        <v>-1.1204733876420001</v>
      </c>
      <c r="AE4866">
        <v>-2.2317000000000098</v>
      </c>
      <c r="AF4866">
        <v>1.79103867598985</v>
      </c>
      <c r="AG4866">
        <v>-1.1204733876420001</v>
      </c>
      <c r="AH4866">
        <v>18.061366081212199</v>
      </c>
      <c r="AI4866">
        <v>93.532627836680305</v>
      </c>
      <c r="AJ4866">
        <v>84.336831495493797</v>
      </c>
      <c r="AK4866">
        <v>18.184505076324399</v>
      </c>
      <c r="AL4866">
        <v>82.896586382822093</v>
      </c>
      <c r="AM4866">
        <v>92.522023126438995</v>
      </c>
      <c r="AN4866">
        <v>1.00000001192092</v>
      </c>
    </row>
    <row r="4867" spans="1:40" x14ac:dyDescent="0.25">
      <c r="A4867" t="str">
        <f>"20190303162007442"</f>
        <v>20190303162007442</v>
      </c>
      <c r="B4867" t="str">
        <f>"1551601207437428"</f>
        <v>1551601207437428</v>
      </c>
      <c r="C4867" t="s">
        <v>40</v>
      </c>
      <c r="D4867">
        <v>4.5214879999999997</v>
      </c>
      <c r="E4867">
        <v>0.55537040000000004</v>
      </c>
      <c r="F4867" t="s">
        <v>56</v>
      </c>
      <c r="G4867">
        <v>-428.4083</v>
      </c>
      <c r="H4867" s="1">
        <v>2.615002E-6</v>
      </c>
      <c r="I4867">
        <v>212.9933</v>
      </c>
      <c r="J4867">
        <v>-446.24959999999999</v>
      </c>
      <c r="K4867">
        <v>1.1205020000000001</v>
      </c>
      <c r="L4867">
        <v>215.24469999999999</v>
      </c>
      <c r="M4867">
        <v>0.99962039999999996</v>
      </c>
      <c r="N4867">
        <v>-1.139279E-2</v>
      </c>
      <c r="O4867">
        <v>-2.508432E-2</v>
      </c>
      <c r="P4867">
        <v>0.99360280000000001</v>
      </c>
      <c r="Q4867">
        <v>0.1109748</v>
      </c>
      <c r="R4867">
        <v>2.0935539999999999E-2</v>
      </c>
      <c r="S4867">
        <v>3.0488279999999999</v>
      </c>
      <c r="T4867">
        <v>-0.18891359999999999</v>
      </c>
      <c r="U4867">
        <v>-0.38079829999999998</v>
      </c>
      <c r="V4867">
        <v>-4.5631459999999999E-2</v>
      </c>
      <c r="W4867">
        <v>0.1223616</v>
      </c>
      <c r="X4867">
        <v>0.99143599999999998</v>
      </c>
      <c r="Y4867">
        <v>9.881566E-2</v>
      </c>
      <c r="Z4867">
        <v>-2.3509389999999998E-3</v>
      </c>
      <c r="AA4867">
        <v>0.99510299999999996</v>
      </c>
      <c r="AB4867">
        <v>24</v>
      </c>
      <c r="AC4867">
        <v>17.841299999999901</v>
      </c>
      <c r="AD4867">
        <v>-1.1204993849980001</v>
      </c>
      <c r="AE4867">
        <v>-2.2513999999999799</v>
      </c>
      <c r="AF4867">
        <v>1.7961520252009999</v>
      </c>
      <c r="AG4867">
        <v>-1.1204993849980001</v>
      </c>
      <c r="AH4867">
        <v>17.8229665333143</v>
      </c>
      <c r="AI4867">
        <v>93.579270827964805</v>
      </c>
      <c r="AJ4867">
        <v>84.245310177557201</v>
      </c>
      <c r="AK4867">
        <v>17.948253870977499</v>
      </c>
      <c r="AL4867">
        <v>82.971582864192598</v>
      </c>
      <c r="AM4867">
        <v>92.635214246761194</v>
      </c>
      <c r="AN4867">
        <v>0.99999996669614499</v>
      </c>
    </row>
    <row r="4868" spans="1:40" x14ac:dyDescent="0.25">
      <c r="A4868" t="str">
        <f>"20190303162007465"</f>
        <v>20190303162007465</v>
      </c>
      <c r="B4868" t="str">
        <f>"1551601207456948"</f>
        <v>1551601207456948</v>
      </c>
      <c r="C4868" t="s">
        <v>40</v>
      </c>
      <c r="D4868">
        <v>4.4538120000000001</v>
      </c>
      <c r="E4868">
        <v>0.55644110000000002</v>
      </c>
      <c r="F4868" t="s">
        <v>56</v>
      </c>
      <c r="G4868">
        <v>-427.69299999999998</v>
      </c>
      <c r="H4868" s="1">
        <v>2.7541550000000001E-6</v>
      </c>
      <c r="I4868">
        <v>212.85290000000001</v>
      </c>
      <c r="J4868">
        <v>-445.99610000000001</v>
      </c>
      <c r="K4868">
        <v>1.120544</v>
      </c>
      <c r="L4868">
        <v>215.23699999999999</v>
      </c>
      <c r="M4868">
        <v>0.99959189999999998</v>
      </c>
      <c r="N4868">
        <v>-1.13945E-2</v>
      </c>
      <c r="O4868">
        <v>-2.620252E-2</v>
      </c>
      <c r="P4868">
        <v>0.99352479999999999</v>
      </c>
      <c r="Q4868">
        <v>0.1116178</v>
      </c>
      <c r="R4868">
        <v>2.1223200000000001E-2</v>
      </c>
      <c r="S4868">
        <v>3.0481259999999999</v>
      </c>
      <c r="T4868">
        <v>-0.18405389999999999</v>
      </c>
      <c r="U4868">
        <v>-0.39288329999999999</v>
      </c>
      <c r="V4868">
        <v>-4.7038820000000002E-2</v>
      </c>
      <c r="W4868">
        <v>0.123002399999999</v>
      </c>
      <c r="X4868">
        <v>0.99129100000000003</v>
      </c>
      <c r="Y4868">
        <v>0.10161679999999999</v>
      </c>
      <c r="Z4868">
        <v>-2.3583530000000001E-3</v>
      </c>
      <c r="AA4868">
        <v>0.99482079999999995</v>
      </c>
      <c r="AB4868">
        <v>24</v>
      </c>
      <c r="AC4868">
        <v>18.303099999999901</v>
      </c>
      <c r="AD4868">
        <v>-1.1205412458449999</v>
      </c>
      <c r="AE4868">
        <v>-2.3840999999999801</v>
      </c>
      <c r="AF4868">
        <v>1.8966726956176601</v>
      </c>
      <c r="AG4868">
        <v>-1.1205412458449999</v>
      </c>
      <c r="AH4868">
        <v>18.2918731849654</v>
      </c>
      <c r="AI4868">
        <v>93.486851821782196</v>
      </c>
      <c r="AJ4868">
        <v>84.080192153782704</v>
      </c>
      <c r="AK4868">
        <v>18.424049625769001</v>
      </c>
      <c r="AL4868">
        <v>82.934588818616405</v>
      </c>
      <c r="AM4868">
        <v>92.716766031643601</v>
      </c>
      <c r="AN4868">
        <v>1.0000000438368699</v>
      </c>
    </row>
    <row r="4869" spans="1:40" x14ac:dyDescent="0.25">
      <c r="A4869" t="str">
        <f>"20190303162007486"</f>
        <v>20190303162007486</v>
      </c>
      <c r="B4869" t="str">
        <f>"1551601207477443"</f>
        <v>1551601207477443</v>
      </c>
      <c r="C4869" t="s">
        <v>40</v>
      </c>
      <c r="D4869">
        <v>4.4416580000000003</v>
      </c>
      <c r="E4869">
        <v>0.55758469999999904</v>
      </c>
      <c r="F4869" t="s">
        <v>56</v>
      </c>
      <c r="G4869">
        <v>-426.8415</v>
      </c>
      <c r="H4869" s="1">
        <v>2.916125E-6</v>
      </c>
      <c r="I4869">
        <v>212.72790000000001</v>
      </c>
      <c r="J4869">
        <v>-445.7713</v>
      </c>
      <c r="K4869">
        <v>1.120584</v>
      </c>
      <c r="L4869">
        <v>215.23</v>
      </c>
      <c r="M4869">
        <v>0.9995676</v>
      </c>
      <c r="N4869">
        <v>-1.139572E-2</v>
      </c>
      <c r="O4869">
        <v>-2.7112540000000001E-2</v>
      </c>
      <c r="P4869">
        <v>0.9934984</v>
      </c>
      <c r="Q4869">
        <v>0.1122607</v>
      </c>
      <c r="R4869">
        <v>1.8941429999999999E-2</v>
      </c>
      <c r="S4869">
        <v>3.0481259999999999</v>
      </c>
      <c r="T4869">
        <v>-0.17831469999999999</v>
      </c>
      <c r="U4869">
        <v>-0.39927669999999998</v>
      </c>
      <c r="V4869">
        <v>-4.5675689999999998E-2</v>
      </c>
      <c r="W4869">
        <v>0.1236379</v>
      </c>
      <c r="X4869">
        <v>0.99127569999999998</v>
      </c>
      <c r="Y4869">
        <v>0.10277169999999999</v>
      </c>
      <c r="Z4869">
        <v>-2.3098900000000002E-3</v>
      </c>
      <c r="AA4869">
        <v>0.99470230000000004</v>
      </c>
      <c r="AB4869">
        <v>24</v>
      </c>
      <c r="AC4869">
        <v>18.9298</v>
      </c>
      <c r="AD4869">
        <v>-1.1205810838750001</v>
      </c>
      <c r="AE4869">
        <v>-2.50209999999998</v>
      </c>
      <c r="AF4869">
        <v>1.98108885988816</v>
      </c>
      <c r="AG4869">
        <v>-1.1205810838750001</v>
      </c>
      <c r="AH4869">
        <v>18.9255021153154</v>
      </c>
      <c r="AI4869">
        <v>93.370162039944205</v>
      </c>
      <c r="AJ4869">
        <v>84.024140296016895</v>
      </c>
      <c r="AK4869">
        <v>19.061874130135202</v>
      </c>
      <c r="AL4869">
        <v>82.897897371156105</v>
      </c>
      <c r="AM4869">
        <v>92.638190873408405</v>
      </c>
      <c r="AN4869">
        <v>1.00000005619193</v>
      </c>
    </row>
    <row r="4870" spans="1:40" x14ac:dyDescent="0.25">
      <c r="A4870" t="str">
        <f>"20190303162007508"</f>
        <v>20190303162007508</v>
      </c>
      <c r="B4870" t="str">
        <f>"1551601207496963"</f>
        <v>1551601207496963</v>
      </c>
      <c r="C4870" t="s">
        <v>40</v>
      </c>
      <c r="D4870">
        <v>4.4473719999999997</v>
      </c>
      <c r="E4870">
        <v>0.5584306</v>
      </c>
      <c r="F4870" t="s">
        <v>56</v>
      </c>
      <c r="G4870">
        <v>-426.06990000000002</v>
      </c>
      <c r="H4870" s="1">
        <v>3.0675179999999999E-6</v>
      </c>
      <c r="I4870">
        <v>212.5617</v>
      </c>
      <c r="J4870">
        <v>-445.52870000000001</v>
      </c>
      <c r="K4870">
        <v>1.120641</v>
      </c>
      <c r="L4870">
        <v>215.22229999999999</v>
      </c>
      <c r="M4870">
        <v>0.99954259999999995</v>
      </c>
      <c r="N4870">
        <v>-1.139693E-2</v>
      </c>
      <c r="O4870">
        <v>-2.8016249999999999E-2</v>
      </c>
      <c r="P4870">
        <v>0.99382159999999997</v>
      </c>
      <c r="Q4870">
        <v>0.1098939</v>
      </c>
      <c r="R4870">
        <v>1.5572229999999999E-2</v>
      </c>
      <c r="S4870">
        <v>3.0470579999999998</v>
      </c>
      <c r="T4870">
        <v>-0.17331150000000001</v>
      </c>
      <c r="U4870">
        <v>-0.41268919999999998</v>
      </c>
      <c r="V4870">
        <v>-4.323606E-2</v>
      </c>
      <c r="W4870">
        <v>0.121266899999999</v>
      </c>
      <c r="X4870">
        <v>0.9916779</v>
      </c>
      <c r="Y4870">
        <v>0.1062215</v>
      </c>
      <c r="Z4870">
        <v>-2.3471059999999998E-3</v>
      </c>
      <c r="AA4870">
        <v>0.99433970000000005</v>
      </c>
      <c r="AB4870">
        <v>24</v>
      </c>
      <c r="AC4870">
        <v>19.4588</v>
      </c>
      <c r="AD4870">
        <v>-1.1206379324819999</v>
      </c>
      <c r="AE4870">
        <v>-2.6605999999999801</v>
      </c>
      <c r="AF4870">
        <v>2.1074960041269502</v>
      </c>
      <c r="AG4870">
        <v>-1.1206379324819999</v>
      </c>
      <c r="AH4870">
        <v>19.462340678898201</v>
      </c>
      <c r="AI4870">
        <v>93.276330763708401</v>
      </c>
      <c r="AJ4870">
        <v>83.819759172374006</v>
      </c>
      <c r="AK4870">
        <v>19.608163439869202</v>
      </c>
      <c r="AL4870">
        <v>83.034775654417103</v>
      </c>
      <c r="AM4870">
        <v>92.496451634535802</v>
      </c>
      <c r="AN4870">
        <v>1.00000003763417</v>
      </c>
    </row>
    <row r="4871" spans="1:40" x14ac:dyDescent="0.25">
      <c r="A4871" t="str">
        <f>"20190303162007531"</f>
        <v>20190303162007531</v>
      </c>
      <c r="B4871" t="str">
        <f>"1551601207517459"</f>
        <v>1551601207517459</v>
      </c>
      <c r="C4871" t="s">
        <v>40</v>
      </c>
      <c r="D4871">
        <v>4.445659</v>
      </c>
      <c r="E4871">
        <v>0.55907240000000002</v>
      </c>
      <c r="F4871" t="s">
        <v>56</v>
      </c>
      <c r="G4871">
        <v>-426.58510000000001</v>
      </c>
      <c r="H4871" s="1">
        <v>2.9757210000000001E-6</v>
      </c>
      <c r="I4871">
        <v>212.56649999999999</v>
      </c>
      <c r="J4871">
        <v>-445.28030000000001</v>
      </c>
      <c r="K4871">
        <v>1.1206830000000001</v>
      </c>
      <c r="L4871">
        <v>215.21430000000001</v>
      </c>
      <c r="M4871">
        <v>0.99951959999999995</v>
      </c>
      <c r="N4871">
        <v>-1.139806E-2</v>
      </c>
      <c r="O4871">
        <v>-2.882666E-2</v>
      </c>
      <c r="P4871">
        <v>0.99448029999999998</v>
      </c>
      <c r="Q4871">
        <v>0.10421179999999999</v>
      </c>
      <c r="R4871">
        <v>1.2208729999999999E-2</v>
      </c>
      <c r="S4871">
        <v>3.0452880000000002</v>
      </c>
      <c r="T4871">
        <v>-0.180148</v>
      </c>
      <c r="U4871">
        <v>-0.42694090000000001</v>
      </c>
      <c r="V4871">
        <v>-4.0726770000000002E-2</v>
      </c>
      <c r="W4871">
        <v>0.115583199999999</v>
      </c>
      <c r="X4871">
        <v>0.99246250000000003</v>
      </c>
      <c r="Y4871">
        <v>0.1100391</v>
      </c>
      <c r="Z4871">
        <v>-2.4994180000000002E-3</v>
      </c>
      <c r="AA4871">
        <v>0.99392409999999998</v>
      </c>
      <c r="AB4871">
        <v>24</v>
      </c>
      <c r="AC4871">
        <v>18.6952</v>
      </c>
      <c r="AD4871">
        <v>-1.120680024279</v>
      </c>
      <c r="AE4871">
        <v>-2.6478000000000099</v>
      </c>
      <c r="AF4871">
        <v>2.1003454794567999</v>
      </c>
      <c r="AG4871">
        <v>-1.120680024279</v>
      </c>
      <c r="AH4871">
        <v>18.697894534824101</v>
      </c>
      <c r="AI4871">
        <v>93.408599096029107</v>
      </c>
      <c r="AJ4871">
        <v>83.590798753203799</v>
      </c>
      <c r="AK4871">
        <v>18.848836433193899</v>
      </c>
      <c r="AL4871">
        <v>83.362735601513904</v>
      </c>
      <c r="AM4871">
        <v>92.349875719884295</v>
      </c>
      <c r="AN4871">
        <v>0.99999997991156098</v>
      </c>
    </row>
    <row r="4872" spans="1:40" x14ac:dyDescent="0.25">
      <c r="A4872" t="str">
        <f>"20190303162007555"</f>
        <v>20190303162007555</v>
      </c>
      <c r="B4872" t="str">
        <f>"1551601207547715"</f>
        <v>1551601207547715</v>
      </c>
      <c r="C4872" t="s">
        <v>40</v>
      </c>
      <c r="D4872">
        <v>4.4110360000000002</v>
      </c>
      <c r="E4872">
        <v>0.53336070000000002</v>
      </c>
      <c r="F4872" t="s">
        <v>56</v>
      </c>
      <c r="G4872">
        <v>-427.83760000000001</v>
      </c>
      <c r="H4872" s="1">
        <v>2.7430729999999999E-6</v>
      </c>
      <c r="I4872">
        <v>212.68620000000001</v>
      </c>
      <c r="J4872">
        <v>-445.01729999999998</v>
      </c>
      <c r="K4872">
        <v>1.120757</v>
      </c>
      <c r="L4872">
        <v>215.20580000000001</v>
      </c>
      <c r="M4872">
        <v>0.99949940000000004</v>
      </c>
      <c r="N4872">
        <v>-1.139913E-2</v>
      </c>
      <c r="O4872">
        <v>-2.9514249999999999E-2</v>
      </c>
      <c r="P4872">
        <v>0.99498489999999995</v>
      </c>
      <c r="Q4872">
        <v>9.9519819999999995E-2</v>
      </c>
      <c r="R4872">
        <v>1.005904E-2</v>
      </c>
      <c r="S4872">
        <v>3.0425420000000001</v>
      </c>
      <c r="T4872">
        <v>-0.19548109999999999</v>
      </c>
      <c r="U4872">
        <v>-0.44099430000000001</v>
      </c>
      <c r="V4872">
        <v>-3.9309709999999998E-2</v>
      </c>
      <c r="W4872">
        <v>0.11088720000000001</v>
      </c>
      <c r="X4872">
        <v>0.99305529999999997</v>
      </c>
      <c r="Y4872">
        <v>0.1139392</v>
      </c>
      <c r="Z4872">
        <v>-2.7424559999999999E-3</v>
      </c>
      <c r="AA4872">
        <v>0.99348400000000003</v>
      </c>
      <c r="AB4872">
        <v>24</v>
      </c>
      <c r="AC4872">
        <v>17.179699999999901</v>
      </c>
      <c r="AD4872">
        <v>-1.1207542569269999</v>
      </c>
      <c r="AE4872">
        <v>-2.5195999999999898</v>
      </c>
      <c r="AF4872">
        <v>2.0030779723787702</v>
      </c>
      <c r="AG4872">
        <v>-1.1207542569269999</v>
      </c>
      <c r="AH4872">
        <v>17.175028021568099</v>
      </c>
      <c r="AI4872">
        <v>93.708470239982404</v>
      </c>
      <c r="AJ4872">
        <v>83.347797498544296</v>
      </c>
      <c r="AK4872">
        <v>17.3277234225821</v>
      </c>
      <c r="AL4872">
        <v>83.633538894288904</v>
      </c>
      <c r="AM4872">
        <v>92.266847761976805</v>
      </c>
      <c r="AN4872">
        <v>1.0000000266411</v>
      </c>
    </row>
    <row r="4873" spans="1:40" x14ac:dyDescent="0.25">
      <c r="A4873" t="str">
        <f>"20190303162007576"</f>
        <v>20190303162007576</v>
      </c>
      <c r="B4873" t="str">
        <f>"1551601207567235"</f>
        <v>1551601207567235</v>
      </c>
      <c r="C4873" t="s">
        <v>40</v>
      </c>
      <c r="D4873">
        <v>4.4535519999999904</v>
      </c>
      <c r="E4873">
        <v>0.52405679999999999</v>
      </c>
      <c r="F4873" t="s">
        <v>56</v>
      </c>
      <c r="G4873">
        <v>-409.45839999999998</v>
      </c>
      <c r="H4873" s="1">
        <v>4.6700880000000001E-6</v>
      </c>
      <c r="I4873">
        <v>212.3793</v>
      </c>
      <c r="J4873">
        <v>-444.79419999999999</v>
      </c>
      <c r="K4873">
        <v>1.1208469999999999</v>
      </c>
      <c r="L4873">
        <v>215.1987</v>
      </c>
      <c r="M4873">
        <v>0.99948700000000001</v>
      </c>
      <c r="N4873">
        <v>-1.140009E-2</v>
      </c>
      <c r="O4873">
        <v>-2.992875E-2</v>
      </c>
      <c r="P4873">
        <v>0.9952124</v>
      </c>
      <c r="Q4873">
        <v>9.7435289999999994E-2</v>
      </c>
      <c r="R4873">
        <v>7.6658330000000004E-3</v>
      </c>
      <c r="S4873">
        <v>3.027069</v>
      </c>
      <c r="T4873">
        <v>-9.5407610000000004E-2</v>
      </c>
      <c r="U4873">
        <v>-0.24061579999999999</v>
      </c>
      <c r="V4873">
        <v>-3.7368350000000002E-2</v>
      </c>
      <c r="W4873">
        <v>0.1087948</v>
      </c>
      <c r="X4873">
        <v>0.99336159999999996</v>
      </c>
      <c r="Y4873">
        <v>4.933887E-2</v>
      </c>
      <c r="Z4873">
        <v>-4.574534E-4</v>
      </c>
      <c r="AA4873">
        <v>0.99878199999999995</v>
      </c>
      <c r="AB4873">
        <v>24</v>
      </c>
      <c r="AC4873">
        <v>35.335799999999999</v>
      </c>
      <c r="AD4873">
        <v>-1.1208423299119901</v>
      </c>
      <c r="AE4873">
        <v>-2.8193999999999999</v>
      </c>
      <c r="AF4873">
        <v>1.75875340532564</v>
      </c>
      <c r="AG4873">
        <v>-1.1208423299119901</v>
      </c>
      <c r="AH4873">
        <v>35.368994223862103</v>
      </c>
      <c r="AI4873">
        <v>91.812855625992199</v>
      </c>
      <c r="AJ4873">
        <v>87.153263286631599</v>
      </c>
      <c r="AK4873">
        <v>35.430428355819501</v>
      </c>
      <c r="AL4873">
        <v>83.754154167280007</v>
      </c>
      <c r="AM4873">
        <v>92.154341029918996</v>
      </c>
      <c r="AN4873">
        <v>0.999999985221661</v>
      </c>
    </row>
    <row r="4874" spans="1:40" x14ac:dyDescent="0.25">
      <c r="A4874" t="str">
        <f>"20190303162007598"</f>
        <v>20190303162007598</v>
      </c>
      <c r="B4874" t="str">
        <f>"1551601207587735"</f>
        <v>1551601207587735</v>
      </c>
      <c r="C4874" t="s">
        <v>40</v>
      </c>
      <c r="D4874">
        <v>4.3844580000000004</v>
      </c>
      <c r="E4874">
        <v>0.49769960000000002</v>
      </c>
      <c r="F4874" t="s">
        <v>52</v>
      </c>
      <c r="G4874">
        <v>-346.72949999999997</v>
      </c>
      <c r="H4874">
        <v>4.3646839999999999E-2</v>
      </c>
      <c r="I4874">
        <v>209.6163</v>
      </c>
      <c r="J4874">
        <v>-444.5532</v>
      </c>
      <c r="K4874">
        <v>1.120989</v>
      </c>
      <c r="L4874">
        <v>215.191</v>
      </c>
      <c r="M4874">
        <v>0.99947920000000001</v>
      </c>
      <c r="N4874">
        <v>-1.1401390000000001E-2</v>
      </c>
      <c r="O4874">
        <v>-3.0187769999999999E-2</v>
      </c>
      <c r="P4874">
        <v>0.99523090000000003</v>
      </c>
      <c r="Q4874">
        <v>9.7390569999999996E-2</v>
      </c>
      <c r="R4874">
        <v>5.5296529999999998E-3</v>
      </c>
      <c r="S4874">
        <v>3.0190429999999999</v>
      </c>
      <c r="T4874">
        <v>-3.3162949999999997E-2</v>
      </c>
      <c r="U4874">
        <v>-0.1718597</v>
      </c>
      <c r="V4874">
        <v>-3.5528289999999997E-2</v>
      </c>
      <c r="W4874">
        <v>0.1087388</v>
      </c>
      <c r="X4874">
        <v>0.99343530000000002</v>
      </c>
      <c r="Y4874">
        <v>2.6663119999999998E-2</v>
      </c>
      <c r="Z4874">
        <v>-3.1126990000000001E-4</v>
      </c>
      <c r="AA4874">
        <v>0.99964439999999999</v>
      </c>
      <c r="AB4874">
        <v>24</v>
      </c>
      <c r="AC4874">
        <v>97.823700000000002</v>
      </c>
      <c r="AD4874">
        <v>-1.0773421599999999</v>
      </c>
      <c r="AE4874">
        <v>-5.5746999999999698</v>
      </c>
      <c r="AF4874">
        <v>2.6185710349703202</v>
      </c>
      <c r="AG4874">
        <v>-1.0773421599999999</v>
      </c>
      <c r="AH4874">
        <v>97.935569310370298</v>
      </c>
      <c r="AI4874">
        <v>90.630032781423495</v>
      </c>
      <c r="AJ4874">
        <v>88.468408036468304</v>
      </c>
      <c r="AK4874">
        <v>97.976493693851097</v>
      </c>
      <c r="AL4874">
        <v>83.7573822274544</v>
      </c>
      <c r="AM4874">
        <v>92.0481997013773</v>
      </c>
      <c r="AN4874">
        <v>1.00000004065092</v>
      </c>
    </row>
    <row r="4875" spans="1:40" x14ac:dyDescent="0.25">
      <c r="A4875" t="str">
        <f>"20190303162007688"</f>
        <v>20190303162007688</v>
      </c>
      <c r="B4875" t="str">
        <f>"1551601207677527"</f>
        <v>1551601207677527</v>
      </c>
      <c r="C4875" t="s">
        <v>40</v>
      </c>
      <c r="D4875">
        <v>4.1483220000000003</v>
      </c>
      <c r="E4875">
        <v>0.50389259999999902</v>
      </c>
      <c r="F4875" t="s">
        <v>65</v>
      </c>
      <c r="G4875">
        <v>-158.4058</v>
      </c>
      <c r="H4875">
        <v>8.4217600000000008</v>
      </c>
      <c r="I4875">
        <v>218.3974</v>
      </c>
      <c r="J4875">
        <v>-443.58800000000002</v>
      </c>
      <c r="K4875">
        <v>1.121548</v>
      </c>
      <c r="L4875">
        <v>215.1626</v>
      </c>
      <c r="M4875">
        <v>0.99950450000000002</v>
      </c>
      <c r="N4875">
        <v>-1.140908E-2</v>
      </c>
      <c r="O4875">
        <v>-2.9337060000000002E-2</v>
      </c>
      <c r="P4875">
        <v>0.99437070000000005</v>
      </c>
      <c r="Q4875">
        <v>0.1059455</v>
      </c>
      <c r="R4875">
        <v>1.666802E-3</v>
      </c>
      <c r="S4875">
        <v>3.0067140000000001</v>
      </c>
      <c r="T4875">
        <v>7.6713920000000005E-2</v>
      </c>
      <c r="U4875">
        <v>3.3691409999999998E-2</v>
      </c>
      <c r="V4875">
        <v>-3.0936450000000001E-2</v>
      </c>
      <c r="W4875">
        <v>0.1172527</v>
      </c>
      <c r="X4875">
        <v>0.99262019999999995</v>
      </c>
      <c r="Y4875">
        <v>-4.0509719999999999E-2</v>
      </c>
      <c r="Z4875">
        <v>-1.3685310000000001E-3</v>
      </c>
      <c r="AA4875">
        <v>0.99917820000000002</v>
      </c>
      <c r="AB4875">
        <v>24</v>
      </c>
      <c r="AC4875">
        <v>285.18220000000002</v>
      </c>
      <c r="AD4875">
        <v>7.3002120000000001</v>
      </c>
      <c r="AE4875">
        <v>3.2347999999999999</v>
      </c>
      <c r="AF4875">
        <v>-11.5927635320213</v>
      </c>
      <c r="AG4875">
        <v>7.3002120000000001</v>
      </c>
      <c r="AH4875">
        <v>284.77794407515597</v>
      </c>
      <c r="AI4875">
        <v>88.532773167710801</v>
      </c>
      <c r="AJ4875">
        <v>92.331114118426996</v>
      </c>
      <c r="AK4875">
        <v>285.10728277830299</v>
      </c>
      <c r="AL4875">
        <v>83.266425950018899</v>
      </c>
      <c r="AM4875">
        <v>91.785128328711806</v>
      </c>
      <c r="AN4875">
        <v>1.0000000605219601</v>
      </c>
    </row>
    <row r="4876" spans="1:40" x14ac:dyDescent="0.25">
      <c r="A4876" t="str">
        <f>"20190303162007708"</f>
        <v>20190303162007708</v>
      </c>
      <c r="B4876" t="str">
        <f>"1551601207697043"</f>
        <v>1551601207697043</v>
      </c>
      <c r="C4876" t="s">
        <v>40</v>
      </c>
      <c r="D4876">
        <v>4.3995739999999897</v>
      </c>
      <c r="E4876">
        <v>0.50285879999999905</v>
      </c>
      <c r="F4876" t="s">
        <v>42</v>
      </c>
      <c r="G4876">
        <v>-442.70839999999998</v>
      </c>
      <c r="H4876">
        <v>0.95549700000000004</v>
      </c>
      <c r="I4876">
        <v>215.1525</v>
      </c>
      <c r="J4876">
        <v>-443.3571</v>
      </c>
      <c r="K4876">
        <v>1.1216079999999999</v>
      </c>
      <c r="L4876">
        <v>215.15639999999999</v>
      </c>
      <c r="M4876">
        <v>0.99951959999999995</v>
      </c>
      <c r="N4876">
        <v>-1.141058E-2</v>
      </c>
      <c r="O4876">
        <v>-2.8820169999999999E-2</v>
      </c>
      <c r="P4876">
        <v>0.99409599999999998</v>
      </c>
      <c r="Q4876">
        <v>0.108473</v>
      </c>
      <c r="R4876">
        <v>2.6799240000000002E-3</v>
      </c>
      <c r="S4876">
        <v>3.0789789999999999</v>
      </c>
      <c r="T4876">
        <v>-0.58139130000000006</v>
      </c>
      <c r="U4876">
        <v>-3.3645630000000003E-2</v>
      </c>
      <c r="V4876">
        <v>-3.1443310000000002E-2</v>
      </c>
      <c r="W4876">
        <v>0.1197739</v>
      </c>
      <c r="X4876">
        <v>0.99230309999999999</v>
      </c>
      <c r="Y4876">
        <v>-1.7127380000000001E-2</v>
      </c>
      <c r="Z4876">
        <v>6.7686719999999999E-3</v>
      </c>
      <c r="AA4876">
        <v>0.99983040000000001</v>
      </c>
      <c r="AB4876">
        <v>24</v>
      </c>
      <c r="AC4876">
        <v>0.64870000000001904</v>
      </c>
      <c r="AD4876">
        <v>-0.16611099999999901</v>
      </c>
      <c r="AE4876">
        <v>-3.8999999999873498E-3</v>
      </c>
      <c r="AF4876">
        <v>-1.38878764044918E-2</v>
      </c>
      <c r="AG4876">
        <v>-0.16611099999999901</v>
      </c>
      <c r="AH4876">
        <v>0.60863575535347902</v>
      </c>
      <c r="AI4876">
        <v>105.261795485164</v>
      </c>
      <c r="AJ4876">
        <v>91.307150689732794</v>
      </c>
      <c r="AK4876">
        <v>0.63104930086858202</v>
      </c>
      <c r="AL4876">
        <v>83.120945802315404</v>
      </c>
      <c r="AM4876">
        <v>91.814935726283807</v>
      </c>
      <c r="AN4876">
        <v>0.99999995556728705</v>
      </c>
    </row>
    <row r="4877" spans="1:40" x14ac:dyDescent="0.25">
      <c r="A4877" t="str">
        <f>"20190303162007731"</f>
        <v>20190303162007731</v>
      </c>
      <c r="B4877" t="str">
        <f>"1551601207727300"</f>
        <v>1551601207727300</v>
      </c>
      <c r="C4877" t="s">
        <v>40</v>
      </c>
      <c r="D4877">
        <v>4.3770199999999999</v>
      </c>
      <c r="E4877">
        <v>0.50433229999999996</v>
      </c>
      <c r="F4877" t="s">
        <v>42</v>
      </c>
      <c r="G4877">
        <v>-442.46820000000002</v>
      </c>
      <c r="H4877">
        <v>1.0040370000000001</v>
      </c>
      <c r="I4877">
        <v>215.14930000000001</v>
      </c>
      <c r="J4877">
        <v>-443.11259999999999</v>
      </c>
      <c r="K4877">
        <v>1.1216360000000001</v>
      </c>
      <c r="L4877">
        <v>215.15</v>
      </c>
      <c r="M4877">
        <v>0.99953619999999999</v>
      </c>
      <c r="N4877">
        <v>-1.14117E-2</v>
      </c>
      <c r="O4877">
        <v>-2.8239549999999999E-2</v>
      </c>
      <c r="P4877">
        <v>0.99374589999999996</v>
      </c>
      <c r="Q4877">
        <v>0.1115563</v>
      </c>
      <c r="R4877">
        <v>4.9691350000000004E-3</v>
      </c>
      <c r="S4877">
        <v>3.0620419999999999</v>
      </c>
      <c r="T4877">
        <v>-0.404997</v>
      </c>
      <c r="U4877">
        <v>-2.368164E-2</v>
      </c>
      <c r="V4877">
        <v>-3.3153019999999998E-2</v>
      </c>
      <c r="W4877">
        <v>0.1228505</v>
      </c>
      <c r="X4877">
        <v>0.99187130000000001</v>
      </c>
      <c r="Y4877">
        <v>-2.011427E-2</v>
      </c>
      <c r="Z4877">
        <v>4.8370359999999899E-3</v>
      </c>
      <c r="AA4877">
        <v>0.99978599999999995</v>
      </c>
      <c r="AB4877">
        <v>24</v>
      </c>
      <c r="AC4877">
        <v>0.644399999999961</v>
      </c>
      <c r="AD4877">
        <v>-0.117599</v>
      </c>
      <c r="AE4877">
        <v>-6.9999999999481501E-4</v>
      </c>
      <c r="AF4877">
        <v>-1.6935024271874401E-2</v>
      </c>
      <c r="AG4877">
        <v>-0.117599</v>
      </c>
      <c r="AH4877">
        <v>0.62340102528578301</v>
      </c>
      <c r="AI4877">
        <v>100.67894808689</v>
      </c>
      <c r="AJ4877">
        <v>91.556087973436604</v>
      </c>
      <c r="AK4877">
        <v>0.634622059319919</v>
      </c>
      <c r="AL4877">
        <v>82.9433584033372</v>
      </c>
      <c r="AM4877">
        <v>91.914382648360103</v>
      </c>
      <c r="AN4877">
        <v>1.00000002192453</v>
      </c>
    </row>
    <row r="4878" spans="1:40" x14ac:dyDescent="0.25">
      <c r="A4878" t="str">
        <f>"20190303162007756"</f>
        <v>20190303162007756</v>
      </c>
      <c r="B4878" t="str">
        <f>"1551601207746819"</f>
        <v>1551601207746819</v>
      </c>
      <c r="C4878" t="s">
        <v>40</v>
      </c>
      <c r="D4878">
        <v>4.4012849999999997</v>
      </c>
      <c r="E4878">
        <v>0.50261099999999903</v>
      </c>
      <c r="F4878" t="s">
        <v>56</v>
      </c>
      <c r="G4878">
        <v>-428.33139999999997</v>
      </c>
      <c r="H4878" s="1">
        <v>2.4523199999999999E-6</v>
      </c>
      <c r="I4878">
        <v>215.01009999999999</v>
      </c>
      <c r="J4878">
        <v>-442.84030000000001</v>
      </c>
      <c r="K4878">
        <v>1.121623</v>
      </c>
      <c r="L4878">
        <v>215.143</v>
      </c>
      <c r="M4878">
        <v>0.99955340000000004</v>
      </c>
      <c r="N4878">
        <v>-1.141271E-2</v>
      </c>
      <c r="O4878">
        <v>-2.7621280000000002E-2</v>
      </c>
      <c r="P4878">
        <v>0.99355199999999999</v>
      </c>
      <c r="Q4878">
        <v>0.1131023</v>
      </c>
      <c r="R4878">
        <v>7.8964959999999994E-3</v>
      </c>
      <c r="S4878">
        <v>3.0449830000000002</v>
      </c>
      <c r="T4878">
        <v>-0.23106070000000001</v>
      </c>
      <c r="U4878">
        <v>-2.8808589999999999E-2</v>
      </c>
      <c r="V4878">
        <v>-3.5454109999999997E-2</v>
      </c>
      <c r="W4878">
        <v>0.12439450000000001</v>
      </c>
      <c r="X4878">
        <v>0.99159920000000001</v>
      </c>
      <c r="Y4878">
        <v>-1.8047879999999999E-2</v>
      </c>
      <c r="Z4878">
        <v>2.5646779999999999E-3</v>
      </c>
      <c r="AA4878">
        <v>0.99983379999999999</v>
      </c>
      <c r="AB4878">
        <v>24</v>
      </c>
      <c r="AC4878">
        <v>14.508900000000001</v>
      </c>
      <c r="AD4878">
        <v>-1.1216205476799901</v>
      </c>
      <c r="AE4878">
        <v>-0.13290000000000601</v>
      </c>
      <c r="AF4878">
        <v>-0.266339610156267</v>
      </c>
      <c r="AG4878">
        <v>-1.1216205476799901</v>
      </c>
      <c r="AH4878">
        <v>14.420860374016</v>
      </c>
      <c r="AI4878">
        <v>94.446621966747998</v>
      </c>
      <c r="AJ4878">
        <v>91.058078396933197</v>
      </c>
      <c r="AK4878">
        <v>14.4668650151918</v>
      </c>
      <c r="AL4878">
        <v>82.854209577755498</v>
      </c>
      <c r="AM4878">
        <v>92.047708297574999</v>
      </c>
      <c r="AN4878">
        <v>0.99999997949339003</v>
      </c>
    </row>
    <row r="4879" spans="1:40" x14ac:dyDescent="0.25">
      <c r="A4879" t="str">
        <f>"20190303162007778"</f>
        <v>20190303162007778</v>
      </c>
      <c r="B4879" t="str">
        <f>"1551601207767315"</f>
        <v>1551601207767315</v>
      </c>
      <c r="C4879" t="s">
        <v>40</v>
      </c>
      <c r="D4879">
        <v>4.4480069999999996</v>
      </c>
      <c r="E4879">
        <v>0.50149259999999996</v>
      </c>
      <c r="F4879" t="s">
        <v>56</v>
      </c>
      <c r="G4879">
        <v>-425.19659999999999</v>
      </c>
      <c r="H4879" s="1">
        <v>3.000083E-6</v>
      </c>
      <c r="I4879">
        <v>215.10509999999999</v>
      </c>
      <c r="J4879">
        <v>-442.6037</v>
      </c>
      <c r="K4879">
        <v>1.1215729999999999</v>
      </c>
      <c r="L4879">
        <v>215.137</v>
      </c>
      <c r="M4879">
        <v>0.99956610000000001</v>
      </c>
      <c r="N4879">
        <v>-1.141358E-2</v>
      </c>
      <c r="O4879">
        <v>-2.7157879999999999E-2</v>
      </c>
      <c r="P4879">
        <v>0.99349019999999999</v>
      </c>
      <c r="Q4879">
        <v>0.11349330000000001</v>
      </c>
      <c r="R4879">
        <v>9.8356869999999992E-3</v>
      </c>
      <c r="S4879">
        <v>3.041534</v>
      </c>
      <c r="T4879">
        <v>-0.19335140000000001</v>
      </c>
      <c r="U4879">
        <v>-6.5307619999999999E-3</v>
      </c>
      <c r="V4879">
        <v>-3.6915169999999997E-2</v>
      </c>
      <c r="W4879">
        <v>0.1247881</v>
      </c>
      <c r="X4879">
        <v>0.99149640000000006</v>
      </c>
      <c r="Y4879">
        <v>-2.491695E-2</v>
      </c>
      <c r="Z4879">
        <v>2.3483279999999998E-3</v>
      </c>
      <c r="AA4879">
        <v>0.99968679999999999</v>
      </c>
      <c r="AB4879">
        <v>24</v>
      </c>
      <c r="AC4879">
        <v>17.4071</v>
      </c>
      <c r="AD4879">
        <v>-1.1215699999169999</v>
      </c>
      <c r="AE4879">
        <v>-3.1900000000007298E-2</v>
      </c>
      <c r="AF4879">
        <v>-0.43905971736292998</v>
      </c>
      <c r="AG4879">
        <v>-1.1215699999169999</v>
      </c>
      <c r="AH4879">
        <v>17.329602312313199</v>
      </c>
      <c r="AI4879">
        <v>93.701827618381799</v>
      </c>
      <c r="AJ4879">
        <v>91.451325180032399</v>
      </c>
      <c r="AK4879">
        <v>17.371407801414801</v>
      </c>
      <c r="AL4879">
        <v>82.831480686200294</v>
      </c>
      <c r="AM4879">
        <v>92.1322386445121</v>
      </c>
      <c r="AN4879">
        <v>0.99999995544534803</v>
      </c>
    </row>
    <row r="4880" spans="1:40" x14ac:dyDescent="0.25">
      <c r="A4880" t="str">
        <f>"20190303162007799"</f>
        <v>20190303162007799</v>
      </c>
      <c r="B4880" t="str">
        <f>"1551601207787342"</f>
        <v>1551601207787342</v>
      </c>
      <c r="C4880" t="s">
        <v>40</v>
      </c>
      <c r="D4880">
        <v>4.4218460000000004</v>
      </c>
      <c r="E4880">
        <v>0.5003282</v>
      </c>
      <c r="F4880" t="s">
        <v>56</v>
      </c>
      <c r="G4880">
        <v>-422.73770000000002</v>
      </c>
      <c r="H4880" s="1">
        <v>3.4282789999999999E-6</v>
      </c>
      <c r="I4880">
        <v>215.1962</v>
      </c>
      <c r="J4880">
        <v>-442.38139999999999</v>
      </c>
      <c r="K4880">
        <v>1.1215029999999999</v>
      </c>
      <c r="L4880">
        <v>215.13140000000001</v>
      </c>
      <c r="M4880">
        <v>0.9995752</v>
      </c>
      <c r="N4880">
        <v>-1.1414540000000001E-2</v>
      </c>
      <c r="O4880">
        <v>-2.6818600000000001E-2</v>
      </c>
      <c r="P4880">
        <v>0.99343210000000004</v>
      </c>
      <c r="Q4880">
        <v>0.1137691</v>
      </c>
      <c r="R4880">
        <v>1.222021E-2</v>
      </c>
      <c r="S4880">
        <v>3.0391849999999998</v>
      </c>
      <c r="T4880">
        <v>-0.1715827</v>
      </c>
      <c r="U4880">
        <v>9.0637210000000003E-3</v>
      </c>
      <c r="V4880">
        <v>-3.8938630000000002E-2</v>
      </c>
      <c r="W4880">
        <v>0.12506909999999999</v>
      </c>
      <c r="X4880">
        <v>0.99138360000000003</v>
      </c>
      <c r="Y4880">
        <v>-2.971735E-2</v>
      </c>
      <c r="Z4880">
        <v>2.21478E-3</v>
      </c>
      <c r="AA4880">
        <v>0.99955590000000005</v>
      </c>
      <c r="AB4880">
        <v>24</v>
      </c>
      <c r="AC4880">
        <v>19.6436999999999</v>
      </c>
      <c r="AD4880">
        <v>-1.1214995717209999</v>
      </c>
      <c r="AE4880">
        <v>6.4799999999991004E-2</v>
      </c>
      <c r="AF4880">
        <v>-0.58970539003861799</v>
      </c>
      <c r="AG4880">
        <v>-1.1214995717209999</v>
      </c>
      <c r="AH4880">
        <v>19.571104194041599</v>
      </c>
      <c r="AI4880">
        <v>93.278197331827798</v>
      </c>
      <c r="AJ4880">
        <v>91.725881684450798</v>
      </c>
      <c r="AK4880">
        <v>19.612078755462001</v>
      </c>
      <c r="AL4880">
        <v>82.815253544461001</v>
      </c>
      <c r="AM4880">
        <v>92.249253432143703</v>
      </c>
      <c r="AN4880">
        <v>0.99999996951502301</v>
      </c>
    </row>
    <row r="4881" spans="1:40" x14ac:dyDescent="0.25">
      <c r="A4881" t="str">
        <f>"20190303162007823"</f>
        <v>20190303162007823</v>
      </c>
      <c r="B4881" t="str">
        <f>"1551601207817598"</f>
        <v>1551601207817598</v>
      </c>
      <c r="C4881" t="s">
        <v>40</v>
      </c>
      <c r="D4881">
        <v>4.447057</v>
      </c>
      <c r="E4881">
        <v>0.49941570000000002</v>
      </c>
      <c r="F4881" t="s">
        <v>56</v>
      </c>
      <c r="G4881">
        <v>-420.57209999999998</v>
      </c>
      <c r="H4881" s="1">
        <v>3.8020249999999998E-6</v>
      </c>
      <c r="I4881">
        <v>215.3151</v>
      </c>
      <c r="J4881">
        <v>-442.11540000000002</v>
      </c>
      <c r="K4881">
        <v>1.1214</v>
      </c>
      <c r="L4881">
        <v>215.12459999999999</v>
      </c>
      <c r="M4881">
        <v>0.99958250000000004</v>
      </c>
      <c r="N4881">
        <v>-1.1416050000000001E-2</v>
      </c>
      <c r="O4881">
        <v>-2.654519E-2</v>
      </c>
      <c r="P4881">
        <v>0.99346060000000003</v>
      </c>
      <c r="Q4881">
        <v>0.113203</v>
      </c>
      <c r="R4881">
        <v>1.4881119999999999E-2</v>
      </c>
      <c r="S4881">
        <v>3.0374150000000002</v>
      </c>
      <c r="T4881">
        <v>-0.156193</v>
      </c>
      <c r="U4881">
        <v>2.5588989999999999E-2</v>
      </c>
      <c r="V4881">
        <v>-4.1296560000000003E-2</v>
      </c>
      <c r="W4881">
        <v>0.12451280000000001</v>
      </c>
      <c r="X4881">
        <v>0.99135819999999997</v>
      </c>
      <c r="Y4881">
        <v>-3.4889740000000002E-2</v>
      </c>
      <c r="Z4881">
        <v>2.1568999999999998E-3</v>
      </c>
      <c r="AA4881">
        <v>0.99938879999999997</v>
      </c>
      <c r="AB4881">
        <v>24</v>
      </c>
      <c r="AC4881">
        <v>21.543299999999999</v>
      </c>
      <c r="AD4881">
        <v>-1.121396197975</v>
      </c>
      <c r="AE4881">
        <v>0.19050000000001399</v>
      </c>
      <c r="AF4881">
        <v>-0.76028123732659803</v>
      </c>
      <c r="AG4881">
        <v>-1.121396197975</v>
      </c>
      <c r="AH4881">
        <v>21.472474544212101</v>
      </c>
      <c r="AI4881">
        <v>92.987677227310201</v>
      </c>
      <c r="AJ4881">
        <v>92.027838757886101</v>
      </c>
      <c r="AK4881">
        <v>21.515174181133201</v>
      </c>
      <c r="AL4881">
        <v>82.847378251198094</v>
      </c>
      <c r="AM4881">
        <v>92.385365252441503</v>
      </c>
      <c r="AN4881">
        <v>0.99999996196945595</v>
      </c>
    </row>
    <row r="4882" spans="1:40" x14ac:dyDescent="0.25">
      <c r="A4882" t="str">
        <f>"20190303162007843"</f>
        <v>20190303162007843</v>
      </c>
      <c r="B4882" t="str">
        <f>"1551601207837118"</f>
        <v>1551601207837118</v>
      </c>
      <c r="C4882" t="s">
        <v>40</v>
      </c>
      <c r="D4882">
        <v>4.4858900000000004</v>
      </c>
      <c r="E4882">
        <v>0.49901129999999999</v>
      </c>
      <c r="F4882" t="s">
        <v>56</v>
      </c>
      <c r="G4882">
        <v>-418.51900000000001</v>
      </c>
      <c r="H4882" s="1">
        <v>3.644608E-6</v>
      </c>
      <c r="I4882">
        <v>215.44309999999999</v>
      </c>
      <c r="J4882">
        <v>-441.88380000000001</v>
      </c>
      <c r="K4882">
        <v>1.1213169999999999</v>
      </c>
      <c r="L4882">
        <v>215.11869999999999</v>
      </c>
      <c r="M4882">
        <v>0.99958590000000003</v>
      </c>
      <c r="N4882">
        <v>-1.1417429999999999E-2</v>
      </c>
      <c r="O4882">
        <v>-2.6419870000000002E-2</v>
      </c>
      <c r="P4882">
        <v>0.99334029999999995</v>
      </c>
      <c r="Q4882">
        <v>0.1139942</v>
      </c>
      <c r="R4882">
        <v>1.6749469999999999E-2</v>
      </c>
      <c r="S4882">
        <v>3.0355530000000002</v>
      </c>
      <c r="T4882">
        <v>-0.14426220000000001</v>
      </c>
      <c r="U4882">
        <v>4.0969850000000002E-2</v>
      </c>
      <c r="V4882">
        <v>-4.3010930000000003E-2</v>
      </c>
      <c r="W4882">
        <v>0.1253118</v>
      </c>
      <c r="X4882">
        <v>0.99118470000000003</v>
      </c>
      <c r="Y4882">
        <v>-3.9836940000000001E-2</v>
      </c>
      <c r="Z4882">
        <v>2.126864E-3</v>
      </c>
      <c r="AA4882">
        <v>0.99920390000000003</v>
      </c>
      <c r="AB4882">
        <v>24</v>
      </c>
      <c r="AC4882">
        <v>23.364799999999999</v>
      </c>
      <c r="AD4882">
        <v>-1.1213133553919901</v>
      </c>
      <c r="AE4882">
        <v>0.32439999999999702</v>
      </c>
      <c r="AF4882">
        <v>-0.93945852599252699</v>
      </c>
      <c r="AG4882">
        <v>-1.1213133553919901</v>
      </c>
      <c r="AH4882">
        <v>23.294430755758199</v>
      </c>
      <c r="AI4882">
        <v>92.753658415198004</v>
      </c>
      <c r="AJ4882">
        <v>92.309472790832999</v>
      </c>
      <c r="AK4882">
        <v>23.340317697020701</v>
      </c>
      <c r="AL4882">
        <v>82.801238161996906</v>
      </c>
      <c r="AM4882">
        <v>92.484703130099604</v>
      </c>
      <c r="AN4882">
        <v>1.00000004841639</v>
      </c>
    </row>
    <row r="4883" spans="1:40" x14ac:dyDescent="0.25">
      <c r="A4883" t="str">
        <f>"20190303162007866"</f>
        <v>20190303162007866</v>
      </c>
      <c r="B4883" t="str">
        <f>"1551601207857615"</f>
        <v>1551601207857615</v>
      </c>
      <c r="C4883" t="s">
        <v>40</v>
      </c>
      <c r="D4883">
        <v>4.4508210000000004</v>
      </c>
      <c r="E4883">
        <v>0.49874570000000001</v>
      </c>
      <c r="F4883" t="s">
        <v>56</v>
      </c>
      <c r="G4883">
        <v>-416.98129999999998</v>
      </c>
      <c r="H4883" s="1">
        <v>3.3643589999999999E-6</v>
      </c>
      <c r="I4883">
        <v>215.52869999999999</v>
      </c>
      <c r="J4883">
        <v>-441.64679999999998</v>
      </c>
      <c r="K4883">
        <v>1.1212549999999999</v>
      </c>
      <c r="L4883">
        <v>215.11240000000001</v>
      </c>
      <c r="M4883">
        <v>0.99958670000000005</v>
      </c>
      <c r="N4883">
        <v>-1.141898E-2</v>
      </c>
      <c r="O4883">
        <v>-2.6384479999999998E-2</v>
      </c>
      <c r="P4883">
        <v>0.99312679999999998</v>
      </c>
      <c r="Q4883">
        <v>0.115796</v>
      </c>
      <c r="R4883">
        <v>1.7050030000000001E-2</v>
      </c>
      <c r="S4883">
        <v>3.0349119999999998</v>
      </c>
      <c r="T4883">
        <v>-0.13665679999999999</v>
      </c>
      <c r="U4883">
        <v>4.9972530000000001E-2</v>
      </c>
      <c r="V4883">
        <v>-4.324952E-2</v>
      </c>
      <c r="W4883">
        <v>0.1271197</v>
      </c>
      <c r="X4883">
        <v>0.99094400000000005</v>
      </c>
      <c r="Y4883">
        <v>-4.2771339999999998E-2</v>
      </c>
      <c r="Z4883">
        <v>2.0929450000000001E-3</v>
      </c>
      <c r="AA4883">
        <v>0.99908269999999999</v>
      </c>
      <c r="AB4883">
        <v>24</v>
      </c>
      <c r="AC4883">
        <v>24.665500000000002</v>
      </c>
      <c r="AD4883">
        <v>-1.1212516356409901</v>
      </c>
      <c r="AE4883">
        <v>0.41629999999997802</v>
      </c>
      <c r="AF4883">
        <v>-1.06478414089642</v>
      </c>
      <c r="AG4883">
        <v>-1.1212516356409901</v>
      </c>
      <c r="AH4883">
        <v>24.595117207832899</v>
      </c>
      <c r="AI4883">
        <v>92.607775421782193</v>
      </c>
      <c r="AJ4883">
        <v>92.478929672223103</v>
      </c>
      <c r="AK4883">
        <v>24.6436758817383</v>
      </c>
      <c r="AL4883">
        <v>82.696817507062505</v>
      </c>
      <c r="AM4883">
        <v>92.499074952033098</v>
      </c>
      <c r="AN4883">
        <v>0.99999997512215999</v>
      </c>
    </row>
    <row r="4884" spans="1:40" x14ac:dyDescent="0.25">
      <c r="A4884" t="str">
        <f>"20190303162007888"</f>
        <v>20190303162007888</v>
      </c>
      <c r="B4884" t="str">
        <f>"1551601207877134"</f>
        <v>1551601207877134</v>
      </c>
      <c r="C4884" t="s">
        <v>40</v>
      </c>
      <c r="D4884">
        <v>4.4990410000000001</v>
      </c>
      <c r="E4884">
        <v>0.49879099999999998</v>
      </c>
      <c r="F4884" t="s">
        <v>56</v>
      </c>
      <c r="G4884">
        <v>-414.81790000000001</v>
      </c>
      <c r="H4884" s="1">
        <v>2.97554E-6</v>
      </c>
      <c r="I4884">
        <v>215.5866</v>
      </c>
      <c r="J4884">
        <v>-441.40499999999997</v>
      </c>
      <c r="K4884">
        <v>1.1212219999999999</v>
      </c>
      <c r="L4884">
        <v>215.1061</v>
      </c>
      <c r="M4884">
        <v>0.99958559999999996</v>
      </c>
      <c r="N4884">
        <v>-1.142028E-2</v>
      </c>
      <c r="O4884">
        <v>-2.6429299999999999E-2</v>
      </c>
      <c r="P4884">
        <v>0.99291790000000002</v>
      </c>
      <c r="Q4884">
        <v>0.1175863</v>
      </c>
      <c r="R4884">
        <v>1.6966700000000001E-2</v>
      </c>
      <c r="S4884">
        <v>3.034637</v>
      </c>
      <c r="T4884">
        <v>-0.12682570000000001</v>
      </c>
      <c r="U4884">
        <v>5.3634639999999997E-2</v>
      </c>
      <c r="V4884">
        <v>-4.318934E-2</v>
      </c>
      <c r="W4884">
        <v>0.12891440000000001</v>
      </c>
      <c r="X4884">
        <v>0.99071480000000001</v>
      </c>
      <c r="Y4884">
        <v>-4.4031000000000001E-2</v>
      </c>
      <c r="Z4884">
        <v>1.9734269999999998E-3</v>
      </c>
      <c r="AA4884">
        <v>0.99902820000000003</v>
      </c>
      <c r="AB4884">
        <v>24</v>
      </c>
      <c r="AC4884">
        <v>26.5870999999999</v>
      </c>
      <c r="AD4884">
        <v>-1.12121902446</v>
      </c>
      <c r="AE4884">
        <v>0.48050000000000598</v>
      </c>
      <c r="AF4884">
        <v>-1.18095672145124</v>
      </c>
      <c r="AG4884">
        <v>-1.12121902446</v>
      </c>
      <c r="AH4884">
        <v>26.517966227256998</v>
      </c>
      <c r="AI4884">
        <v>92.418714169167799</v>
      </c>
      <c r="AJ4884">
        <v>92.549937503904701</v>
      </c>
      <c r="AK4884">
        <v>26.567919069974199</v>
      </c>
      <c r="AL4884">
        <v>82.593136052497002</v>
      </c>
      <c r="AM4884">
        <v>92.4961786099703</v>
      </c>
      <c r="AN4884">
        <v>1.0000000282780099</v>
      </c>
    </row>
    <row r="4885" spans="1:40" x14ac:dyDescent="0.25">
      <c r="A4885" t="str">
        <f>"20190303162007910"</f>
        <v>20190303162007910</v>
      </c>
      <c r="B4885" t="str">
        <f>"1551601207897630"</f>
        <v>1551601207897630</v>
      </c>
      <c r="C4885" t="s">
        <v>40</v>
      </c>
      <c r="D4885">
        <v>4.5011469999999996</v>
      </c>
      <c r="E4885">
        <v>0.4988128</v>
      </c>
      <c r="F4885" t="s">
        <v>56</v>
      </c>
      <c r="G4885">
        <v>-412.65190000000001</v>
      </c>
      <c r="H4885" s="1">
        <v>2.5888690000000001E-6</v>
      </c>
      <c r="I4885">
        <v>215.61490000000001</v>
      </c>
      <c r="J4885">
        <v>-441.1671</v>
      </c>
      <c r="K4885">
        <v>1.121197</v>
      </c>
      <c r="L4885">
        <v>215.09970000000001</v>
      </c>
      <c r="M4885">
        <v>0.99958290000000005</v>
      </c>
      <c r="N4885">
        <v>-1.1421590000000001E-2</v>
      </c>
      <c r="O4885">
        <v>-2.6524880000000001E-2</v>
      </c>
      <c r="P4885">
        <v>0.99287239999999999</v>
      </c>
      <c r="Q4885">
        <v>0.1180112</v>
      </c>
      <c r="R4885">
        <v>1.6671459999999999E-2</v>
      </c>
      <c r="S4885">
        <v>3.0344850000000001</v>
      </c>
      <c r="T4885">
        <v>-0.1183292</v>
      </c>
      <c r="U4885">
        <v>5.3695680000000003E-2</v>
      </c>
      <c r="V4885">
        <v>-4.297811E-2</v>
      </c>
      <c r="W4885">
        <v>0.12934329999999999</v>
      </c>
      <c r="X4885">
        <v>0.99066810000000005</v>
      </c>
      <c r="Y4885">
        <v>-4.4155170000000001E-2</v>
      </c>
      <c r="Z4885">
        <v>1.8437880000000001E-3</v>
      </c>
      <c r="AA4885">
        <v>0.99902299999999999</v>
      </c>
      <c r="AB4885">
        <v>24</v>
      </c>
      <c r="AC4885">
        <v>28.5152</v>
      </c>
      <c r="AD4885">
        <v>-1.1211944111309999</v>
      </c>
      <c r="AE4885">
        <v>0.515199999999993</v>
      </c>
      <c r="AF4885">
        <v>-1.2694683488842</v>
      </c>
      <c r="AG4885">
        <v>-1.1211944111309999</v>
      </c>
      <c r="AH4885">
        <v>28.4475337209123</v>
      </c>
      <c r="AI4885">
        <v>92.254772181885798</v>
      </c>
      <c r="AJ4885">
        <v>92.555123258396904</v>
      </c>
      <c r="AK4885">
        <v>28.497908723252198</v>
      </c>
      <c r="AL4885">
        <v>82.568354547711095</v>
      </c>
      <c r="AM4885">
        <v>92.484102601410498</v>
      </c>
      <c r="AN4885">
        <v>1.00000004577583</v>
      </c>
    </row>
    <row r="4886" spans="1:40" x14ac:dyDescent="0.25">
      <c r="A4886" t="str">
        <f>"20190303162007933"</f>
        <v>20190303162007933</v>
      </c>
      <c r="B4886" t="str">
        <f>"1551601207926911"</f>
        <v>1551601207926911</v>
      </c>
      <c r="C4886" t="s">
        <v>40</v>
      </c>
      <c r="D4886">
        <v>4.5165430000000004</v>
      </c>
      <c r="E4886">
        <v>0.49853710000000001</v>
      </c>
      <c r="F4886" t="s">
        <v>56</v>
      </c>
      <c r="G4886">
        <v>-411.81479999999999</v>
      </c>
      <c r="H4886" s="1">
        <v>2.4404010000000002E-6</v>
      </c>
      <c r="I4886">
        <v>215.6147</v>
      </c>
      <c r="J4886">
        <v>-440.91680000000002</v>
      </c>
      <c r="K4886">
        <v>1.1211770000000001</v>
      </c>
      <c r="L4886">
        <v>215.09289999999999</v>
      </c>
      <c r="M4886">
        <v>0.99957929999999995</v>
      </c>
      <c r="N4886">
        <v>-1.1423249999999999E-2</v>
      </c>
      <c r="O4886">
        <v>-2.665615E-2</v>
      </c>
      <c r="P4886">
        <v>0.99283299999999997</v>
      </c>
      <c r="Q4886">
        <v>0.1184664</v>
      </c>
      <c r="R4886">
        <v>1.5754150000000001E-2</v>
      </c>
      <c r="S4886">
        <v>3.0343930000000001</v>
      </c>
      <c r="T4886">
        <v>-0.1159077</v>
      </c>
      <c r="U4886">
        <v>5.3237920000000001E-2</v>
      </c>
      <c r="V4886">
        <v>-4.2184300000000001E-2</v>
      </c>
      <c r="W4886">
        <v>0.12980149999999999</v>
      </c>
      <c r="X4886">
        <v>0.99064220000000003</v>
      </c>
      <c r="Y4886">
        <v>-4.4138320000000002E-2</v>
      </c>
      <c r="Z4886">
        <v>1.808186E-3</v>
      </c>
      <c r="AA4886">
        <v>0.99902380000000002</v>
      </c>
      <c r="AB4886">
        <v>24</v>
      </c>
      <c r="AC4886">
        <v>29.102</v>
      </c>
      <c r="AD4886">
        <v>-1.1211745595989999</v>
      </c>
      <c r="AE4886">
        <v>0.52180000000001303</v>
      </c>
      <c r="AF4886">
        <v>-1.29549034113231</v>
      </c>
      <c r="AG4886">
        <v>-1.1211745595989999</v>
      </c>
      <c r="AH4886">
        <v>29.0346672712515</v>
      </c>
      <c r="AI4886">
        <v>92.209183777782897</v>
      </c>
      <c r="AJ4886">
        <v>92.5547711552111</v>
      </c>
      <c r="AK4886">
        <v>29.085172015467599</v>
      </c>
      <c r="AL4886">
        <v>82.541877758211498</v>
      </c>
      <c r="AM4886">
        <v>92.438340542952503</v>
      </c>
      <c r="AN4886">
        <v>0.99999995649478901</v>
      </c>
    </row>
    <row r="4887" spans="1:40" x14ac:dyDescent="0.25">
      <c r="A4887" t="str">
        <f>"20190303162007957"</f>
        <v>20190303162007957</v>
      </c>
      <c r="B4887" t="str">
        <f>"1551601207947406"</f>
        <v>1551601207947406</v>
      </c>
      <c r="C4887" t="s">
        <v>40</v>
      </c>
      <c r="D4887">
        <v>4.5274429999999999</v>
      </c>
      <c r="E4887">
        <v>0.49827759999999999</v>
      </c>
      <c r="F4887" t="s">
        <v>56</v>
      </c>
      <c r="G4887">
        <v>-411.00080000000003</v>
      </c>
      <c r="H4887" s="1">
        <v>2.2962550000000002E-6</v>
      </c>
      <c r="I4887">
        <v>215.61179999999999</v>
      </c>
      <c r="J4887">
        <v>-440.66079999999999</v>
      </c>
      <c r="K4887">
        <v>1.1211719999999901</v>
      </c>
      <c r="L4887">
        <v>215.08600000000001</v>
      </c>
      <c r="M4887">
        <v>0.99957560000000001</v>
      </c>
      <c r="N4887">
        <v>-1.142468E-2</v>
      </c>
      <c r="O4887">
        <v>-2.6800040000000001E-2</v>
      </c>
      <c r="P4887">
        <v>0.99282510000000002</v>
      </c>
      <c r="Q4887">
        <v>0.1186912</v>
      </c>
      <c r="R4887">
        <v>1.452445E-2</v>
      </c>
      <c r="S4887">
        <v>3.0343930000000001</v>
      </c>
      <c r="T4887">
        <v>-0.1137215</v>
      </c>
      <c r="U4887">
        <v>5.2627559999999997E-2</v>
      </c>
      <c r="V4887">
        <v>-4.1094690000000003E-2</v>
      </c>
      <c r="W4887">
        <v>0.13002839999999999</v>
      </c>
      <c r="X4887">
        <v>0.99065829999999999</v>
      </c>
      <c r="Y4887">
        <v>-4.408314E-2</v>
      </c>
      <c r="Z4887">
        <v>1.775506E-3</v>
      </c>
      <c r="AA4887">
        <v>0.99902630000000003</v>
      </c>
      <c r="AB4887">
        <v>24</v>
      </c>
      <c r="AC4887">
        <v>29.659999999999901</v>
      </c>
      <c r="AD4887">
        <v>-1.1211697037449999</v>
      </c>
      <c r="AE4887">
        <v>0.52580000000000304</v>
      </c>
      <c r="AF4887">
        <v>-1.3186684777378901</v>
      </c>
      <c r="AG4887">
        <v>-1.1211697037449999</v>
      </c>
      <c r="AH4887">
        <v>29.592980799488</v>
      </c>
      <c r="AI4887">
        <v>92.167540796434693</v>
      </c>
      <c r="AJ4887">
        <v>92.551422290042794</v>
      </c>
      <c r="AK4887">
        <v>29.643556140544899</v>
      </c>
      <c r="AL4887">
        <v>82.528766650348302</v>
      </c>
      <c r="AM4887">
        <v>92.375393351935003</v>
      </c>
      <c r="AN4887">
        <v>1.00000001285582</v>
      </c>
    </row>
    <row r="4888" spans="1:40" x14ac:dyDescent="0.25">
      <c r="A4888" t="str">
        <f>"20190303162007979"</f>
        <v>20190303162007979</v>
      </c>
      <c r="B4888" t="str">
        <f>"1551601207966926"</f>
        <v>1551601207966926</v>
      </c>
      <c r="C4888" t="s">
        <v>40</v>
      </c>
      <c r="D4888">
        <v>4.5814550000000001</v>
      </c>
      <c r="E4888">
        <v>0.4987125</v>
      </c>
      <c r="F4888" t="s">
        <v>56</v>
      </c>
      <c r="G4888">
        <v>-410.65199999999999</v>
      </c>
      <c r="H4888" s="1">
        <v>2.236158E-6</v>
      </c>
      <c r="I4888">
        <v>215.5915</v>
      </c>
      <c r="J4888">
        <v>-440.411</v>
      </c>
      <c r="K4888">
        <v>1.121176</v>
      </c>
      <c r="L4888">
        <v>215.07910000000001</v>
      </c>
      <c r="M4888">
        <v>0.99957189999999996</v>
      </c>
      <c r="N4888">
        <v>-1.142577E-2</v>
      </c>
      <c r="O4888">
        <v>-2.6936450000000001E-2</v>
      </c>
      <c r="P4888">
        <v>0.99269070000000004</v>
      </c>
      <c r="Q4888">
        <v>0.11999899999999999</v>
      </c>
      <c r="R4888">
        <v>1.2859290000000001E-2</v>
      </c>
      <c r="S4888">
        <v>3.0345149999999999</v>
      </c>
      <c r="T4888">
        <v>-0.1133739</v>
      </c>
      <c r="U4888">
        <v>5.111694E-2</v>
      </c>
      <c r="V4888">
        <v>-3.9561020000000002E-2</v>
      </c>
      <c r="W4888">
        <v>0.13133549999999999</v>
      </c>
      <c r="X4888">
        <v>0.99054830000000005</v>
      </c>
      <c r="Y4888">
        <v>-4.3722179999999999E-2</v>
      </c>
      <c r="Z4888">
        <v>1.764573E-3</v>
      </c>
      <c r="AA4888">
        <v>0.99904219999999999</v>
      </c>
      <c r="AB4888">
        <v>24</v>
      </c>
      <c r="AC4888">
        <v>29.759</v>
      </c>
      <c r="AD4888">
        <v>-1.1211737638419901</v>
      </c>
      <c r="AE4888">
        <v>0.51239999999998498</v>
      </c>
      <c r="AF4888">
        <v>-1.3120064244957099</v>
      </c>
      <c r="AG4888">
        <v>-1.1211737638419901</v>
      </c>
      <c r="AH4888">
        <v>29.692264206919901</v>
      </c>
      <c r="AI4888">
        <v>92.160343470805799</v>
      </c>
      <c r="AJ4888">
        <v>92.530071922180099</v>
      </c>
      <c r="AK4888">
        <v>29.7423762534231</v>
      </c>
      <c r="AL4888">
        <v>82.453227522473099</v>
      </c>
      <c r="AM4888">
        <v>92.287092360569204</v>
      </c>
      <c r="AN4888">
        <v>1.0000000112482901</v>
      </c>
    </row>
    <row r="4889" spans="1:40" x14ac:dyDescent="0.25">
      <c r="A4889" t="str">
        <f>"20190303162008000"</f>
        <v>20190303162008000</v>
      </c>
      <c r="B4889" t="str">
        <f>"1551601207987422"</f>
        <v>1551601207987422</v>
      </c>
      <c r="C4889" t="s">
        <v>40</v>
      </c>
      <c r="D4889">
        <v>4.5272209999999999</v>
      </c>
      <c r="E4889">
        <v>0.49914199999999997</v>
      </c>
      <c r="F4889" t="s">
        <v>56</v>
      </c>
      <c r="G4889">
        <v>-408.47050000000002</v>
      </c>
      <c r="H4889" s="1">
        <v>4.4578690000000003E-6</v>
      </c>
      <c r="I4889">
        <v>215.5265</v>
      </c>
      <c r="J4889">
        <v>-440.18540000000002</v>
      </c>
      <c r="K4889">
        <v>1.121175</v>
      </c>
      <c r="L4889">
        <v>215.0729</v>
      </c>
      <c r="M4889">
        <v>0.99956880000000004</v>
      </c>
      <c r="N4889">
        <v>-1.142668E-2</v>
      </c>
      <c r="O4889">
        <v>-2.7051229999999999E-2</v>
      </c>
      <c r="P4889">
        <v>0.9926218</v>
      </c>
      <c r="Q4889">
        <v>0.12067990000000001</v>
      </c>
      <c r="R4889">
        <v>1.177897E-2</v>
      </c>
      <c r="S4889">
        <v>3.0343930000000001</v>
      </c>
      <c r="T4889">
        <v>-0.10651289999999999</v>
      </c>
      <c r="U4889">
        <v>4.2495730000000002E-2</v>
      </c>
      <c r="V4889">
        <v>-3.8593460000000003E-2</v>
      </c>
      <c r="W4889">
        <v>0.13201669999999999</v>
      </c>
      <c r="X4889">
        <v>0.99049589999999998</v>
      </c>
      <c r="Y4889">
        <v>-4.1007469999999997E-2</v>
      </c>
      <c r="Z4889">
        <v>1.593985E-3</v>
      </c>
      <c r="AA4889">
        <v>0.99915750000000003</v>
      </c>
      <c r="AB4889">
        <v>24</v>
      </c>
      <c r="AC4889">
        <v>31.7149</v>
      </c>
      <c r="AD4889">
        <v>-1.1211705421310001</v>
      </c>
      <c r="AE4889">
        <v>0.45359999999999401</v>
      </c>
      <c r="AF4889">
        <v>-1.30978045977395</v>
      </c>
      <c r="AG4889">
        <v>-1.1211705421310001</v>
      </c>
      <c r="AH4889">
        <v>31.651473383892899</v>
      </c>
      <c r="AI4889">
        <v>92.026971382401697</v>
      </c>
      <c r="AJ4889">
        <v>92.369624297412301</v>
      </c>
      <c r="AK4889">
        <v>31.698396104671101</v>
      </c>
      <c r="AL4889">
        <v>82.413854695038296</v>
      </c>
      <c r="AM4889">
        <v>92.231331169361198</v>
      </c>
      <c r="AN4889">
        <v>0.99999999607523504</v>
      </c>
    </row>
    <row r="4890" spans="1:40" x14ac:dyDescent="0.25">
      <c r="A4890" t="str">
        <f>"20190303162008024"</f>
        <v>20190303162008024</v>
      </c>
      <c r="B4890" t="str">
        <f>"1551601208017678"</f>
        <v>1551601208017678</v>
      </c>
      <c r="C4890" t="s">
        <v>40</v>
      </c>
      <c r="D4890">
        <v>4.512232</v>
      </c>
      <c r="E4890">
        <v>0.499697</v>
      </c>
      <c r="F4890" t="s">
        <v>56</v>
      </c>
      <c r="G4890">
        <v>-406.16809999999998</v>
      </c>
      <c r="H4890" s="1">
        <v>5.4900739999999999E-6</v>
      </c>
      <c r="I4890">
        <v>215.47239999999999</v>
      </c>
      <c r="J4890">
        <v>-439.92750000000001</v>
      </c>
      <c r="K4890">
        <v>1.121183</v>
      </c>
      <c r="L4890">
        <v>215.0658</v>
      </c>
      <c r="M4890">
        <v>0.9995655</v>
      </c>
      <c r="N4890">
        <v>-1.142776E-2</v>
      </c>
      <c r="O4890">
        <v>-2.7172539999999999E-2</v>
      </c>
      <c r="P4890">
        <v>0.99266960000000004</v>
      </c>
      <c r="Q4890">
        <v>0.1203858</v>
      </c>
      <c r="R4890">
        <v>1.0696260000000001E-2</v>
      </c>
      <c r="S4890">
        <v>3.034027</v>
      </c>
      <c r="T4890">
        <v>-9.9997760000000005E-2</v>
      </c>
      <c r="U4890">
        <v>3.5629269999999998E-2</v>
      </c>
      <c r="V4890">
        <v>-3.7633779999999999E-2</v>
      </c>
      <c r="W4890">
        <v>0.1317236</v>
      </c>
      <c r="X4890">
        <v>0.99057189999999995</v>
      </c>
      <c r="Y4890">
        <v>-3.8875800000000002E-2</v>
      </c>
      <c r="Z4890">
        <v>1.447451E-3</v>
      </c>
      <c r="AA4890">
        <v>0.99924299999999999</v>
      </c>
      <c r="AB4890">
        <v>24</v>
      </c>
      <c r="AC4890">
        <v>33.759399999999999</v>
      </c>
      <c r="AD4890">
        <v>-1.121177509926</v>
      </c>
      <c r="AE4890">
        <v>0.40659999999999702</v>
      </c>
      <c r="AF4890">
        <v>-1.3223800195755799</v>
      </c>
      <c r="AG4890">
        <v>-1.121177509926</v>
      </c>
      <c r="AH4890">
        <v>33.698721009310397</v>
      </c>
      <c r="AI4890">
        <v>91.9040990965878</v>
      </c>
      <c r="AJ4890">
        <v>92.247205151168501</v>
      </c>
      <c r="AK4890">
        <v>33.7432886006725</v>
      </c>
      <c r="AL4890">
        <v>82.430796437040598</v>
      </c>
      <c r="AM4890">
        <v>92.175733249530595</v>
      </c>
      <c r="AN4890">
        <v>1.0000000486318199</v>
      </c>
    </row>
    <row r="4891" spans="1:40" x14ac:dyDescent="0.25">
      <c r="A4891" t="str">
        <f>"20190303162008045"</f>
        <v>20190303162008045</v>
      </c>
      <c r="B4891" t="str">
        <f>"1551601208037199"</f>
        <v>1551601208037199</v>
      </c>
      <c r="C4891" t="s">
        <v>40</v>
      </c>
      <c r="D4891">
        <v>4.5252140000000001</v>
      </c>
      <c r="E4891">
        <v>0.50000940000000005</v>
      </c>
      <c r="F4891" t="s">
        <v>56</v>
      </c>
      <c r="G4891">
        <v>-404.7432</v>
      </c>
      <c r="H4891" s="1">
        <v>6.1397909999999996E-6</v>
      </c>
      <c r="I4891">
        <v>215.3861</v>
      </c>
      <c r="J4891">
        <v>-439.68689999999998</v>
      </c>
      <c r="K4891">
        <v>1.1211880000000001</v>
      </c>
      <c r="L4891">
        <v>215.0591</v>
      </c>
      <c r="M4891">
        <v>0.99956259999999997</v>
      </c>
      <c r="N4891">
        <v>-1.1428860000000001E-2</v>
      </c>
      <c r="O4891">
        <v>-2.7278090000000001E-2</v>
      </c>
      <c r="P4891">
        <v>0.99272850000000001</v>
      </c>
      <c r="Q4891">
        <v>0.1199311</v>
      </c>
      <c r="R4891">
        <v>1.0332259999999999E-2</v>
      </c>
      <c r="S4891">
        <v>3.0335390000000002</v>
      </c>
      <c r="T4891">
        <v>-9.6666100000000005E-2</v>
      </c>
      <c r="U4891">
        <v>2.7618409999999999E-2</v>
      </c>
      <c r="V4891">
        <v>-3.7378620000000001E-2</v>
      </c>
      <c r="W4891">
        <v>0.13127079999999999</v>
      </c>
      <c r="X4891">
        <v>0.99064160000000001</v>
      </c>
      <c r="Y4891">
        <v>-3.6348569999999997E-2</v>
      </c>
      <c r="Z4891">
        <v>1.3439890000000001E-3</v>
      </c>
      <c r="AA4891">
        <v>0.99933830000000001</v>
      </c>
      <c r="AB4891">
        <v>24</v>
      </c>
      <c r="AC4891">
        <v>34.9436999999999</v>
      </c>
      <c r="AD4891">
        <v>-1.12118186020899</v>
      </c>
      <c r="AE4891">
        <v>0.32699999999999801</v>
      </c>
      <c r="AF4891">
        <v>-1.2788215096464901</v>
      </c>
      <c r="AG4891">
        <v>-1.12118186020899</v>
      </c>
      <c r="AH4891">
        <v>34.885863803779401</v>
      </c>
      <c r="AI4891">
        <v>91.839536282905698</v>
      </c>
      <c r="AJ4891">
        <v>92.099368460005493</v>
      </c>
      <c r="AK4891">
        <v>34.927294864518799</v>
      </c>
      <c r="AL4891">
        <v>82.456966711607294</v>
      </c>
      <c r="AM4891">
        <v>92.160843739637798</v>
      </c>
      <c r="AN4891">
        <v>0.99999998190815198</v>
      </c>
    </row>
    <row r="4892" spans="1:40" x14ac:dyDescent="0.25">
      <c r="A4892" t="str">
        <f>"20190303162008068"</f>
        <v>20190303162008068</v>
      </c>
      <c r="B4892" t="str">
        <f>"1551601208057694"</f>
        <v>1551601208057694</v>
      </c>
      <c r="C4892" t="s">
        <v>40</v>
      </c>
      <c r="D4892">
        <v>4.4555170000000004</v>
      </c>
      <c r="E4892">
        <v>0.50031870000000001</v>
      </c>
      <c r="F4892" t="s">
        <v>56</v>
      </c>
      <c r="G4892">
        <v>-404.1422</v>
      </c>
      <c r="H4892" s="1">
        <v>6.4162240000000003E-6</v>
      </c>
      <c r="I4892">
        <v>215.3381</v>
      </c>
      <c r="J4892">
        <v>-439.44380000000001</v>
      </c>
      <c r="K4892">
        <v>1.1211949999999999</v>
      </c>
      <c r="L4892">
        <v>215.05240000000001</v>
      </c>
      <c r="M4892">
        <v>0.99955989999999995</v>
      </c>
      <c r="N4892">
        <v>-1.1429999999999999E-2</v>
      </c>
      <c r="O4892">
        <v>-2.7378759999999999E-2</v>
      </c>
      <c r="P4892">
        <v>0.99275539999999995</v>
      </c>
      <c r="Q4892">
        <v>0.119656399999999</v>
      </c>
      <c r="R4892">
        <v>1.0925850000000001E-2</v>
      </c>
      <c r="S4892">
        <v>3.033325</v>
      </c>
      <c r="T4892">
        <v>-9.5679879999999995E-2</v>
      </c>
      <c r="U4892">
        <v>2.3803709999999999E-2</v>
      </c>
      <c r="V4892">
        <v>-3.8073450000000002E-2</v>
      </c>
      <c r="W4892">
        <v>0.13099659999999999</v>
      </c>
      <c r="X4892">
        <v>0.99065139999999996</v>
      </c>
      <c r="Y4892">
        <v>-3.5194530000000002E-2</v>
      </c>
      <c r="Z4892">
        <v>1.306541E-3</v>
      </c>
      <c r="AA4892">
        <v>0.99937960000000003</v>
      </c>
      <c r="AB4892">
        <v>24</v>
      </c>
      <c r="AC4892">
        <v>35.301600000000001</v>
      </c>
      <c r="AD4892">
        <v>-1.1211885837760001</v>
      </c>
      <c r="AE4892">
        <v>0.28569999999999102</v>
      </c>
      <c r="AF4892">
        <v>-1.2509082202684201</v>
      </c>
      <c r="AG4892">
        <v>-1.1211885837760001</v>
      </c>
      <c r="AH4892">
        <v>35.244992363362599</v>
      </c>
      <c r="AI4892">
        <v>91.820892343424006</v>
      </c>
      <c r="AJ4892">
        <v>92.032677134974193</v>
      </c>
      <c r="AK4892">
        <v>35.285001373238103</v>
      </c>
      <c r="AL4892">
        <v>82.472813793855394</v>
      </c>
      <c r="AM4892">
        <v>92.200950700497103</v>
      </c>
      <c r="AN4892">
        <v>0.99999994656420899</v>
      </c>
    </row>
    <row r="4893" spans="1:40" x14ac:dyDescent="0.25">
      <c r="A4893" t="str">
        <f>"20190303162008201"</f>
        <v>20190303162008201</v>
      </c>
      <c r="B4893" t="str">
        <f>"1551601208197159"</f>
        <v>1551601208197159</v>
      </c>
      <c r="C4893" t="s">
        <v>40</v>
      </c>
      <c r="D4893">
        <v>4.1407870000000004</v>
      </c>
      <c r="E4893">
        <v>0.50031870000000001</v>
      </c>
      <c r="F4893" t="s">
        <v>56</v>
      </c>
      <c r="G4893">
        <v>-403.68450000000001</v>
      </c>
      <c r="H4893" s="1">
        <v>6.6216170000000001E-6</v>
      </c>
      <c r="I4893">
        <v>215.3263</v>
      </c>
      <c r="J4893">
        <v>-437.99119999999999</v>
      </c>
      <c r="K4893">
        <v>1.121191</v>
      </c>
      <c r="L4893">
        <v>215.01140000000001</v>
      </c>
      <c r="M4893">
        <v>0.99954469999999995</v>
      </c>
      <c r="N4893">
        <v>-1.1437940000000001E-2</v>
      </c>
      <c r="O4893">
        <v>-2.792482E-2</v>
      </c>
      <c r="P4893">
        <v>0.99337920000000002</v>
      </c>
      <c r="Q4893">
        <v>0.114882399999999</v>
      </c>
      <c r="R4893">
        <v>-2.6276309999999998E-4</v>
      </c>
      <c r="S4893">
        <v>3.033112</v>
      </c>
      <c r="T4893">
        <v>-9.5099329999999996E-2</v>
      </c>
      <c r="U4893">
        <v>2.3239139999999998E-2</v>
      </c>
      <c r="V4893">
        <v>-2.7456700000000001E-2</v>
      </c>
      <c r="W4893">
        <v>0.12623760000000001</v>
      </c>
      <c r="X4893">
        <v>0.99161999999999995</v>
      </c>
      <c r="Y4893">
        <v>-3.5555049999999998E-2</v>
      </c>
      <c r="Z4893">
        <v>1.3165379999999999E-3</v>
      </c>
      <c r="AA4893">
        <v>0.99936689999999995</v>
      </c>
      <c r="AB4893">
        <v>24</v>
      </c>
      <c r="AC4893">
        <v>34.3066999999999</v>
      </c>
      <c r="AD4893">
        <v>-1.121184378383</v>
      </c>
      <c r="AE4893">
        <v>0.31489999999999402</v>
      </c>
      <c r="AF4893">
        <v>-1.2714902510520301</v>
      </c>
      <c r="AG4893">
        <v>-1.121184378383</v>
      </c>
      <c r="AH4893">
        <v>34.247949608519697</v>
      </c>
      <c r="AI4893">
        <v>91.873747793012896</v>
      </c>
      <c r="AJ4893">
        <v>92.126188059713598</v>
      </c>
      <c r="AK4893">
        <v>34.289878889499697</v>
      </c>
      <c r="AL4893">
        <v>82.747768866595095</v>
      </c>
      <c r="AM4893">
        <v>91.586042220423906</v>
      </c>
      <c r="AN4893">
        <v>1.0000000132143201</v>
      </c>
    </row>
    <row r="4894" spans="1:40" x14ac:dyDescent="0.25">
      <c r="A4894" t="str">
        <f>"20190303162008224"</f>
        <v>20190303162008224</v>
      </c>
      <c r="B4894" t="str">
        <f>"1551601208217655"</f>
        <v>1551601208217655</v>
      </c>
      <c r="C4894" t="s">
        <v>40</v>
      </c>
      <c r="D4894">
        <v>4.463444</v>
      </c>
      <c r="E4894">
        <v>0.52557739999999997</v>
      </c>
      <c r="F4894" t="s">
        <v>56</v>
      </c>
      <c r="G4894">
        <v>-407.00920000000002</v>
      </c>
      <c r="H4894" s="1">
        <v>5.2264550000000001E-6</v>
      </c>
      <c r="I4894">
        <v>214.94309999999999</v>
      </c>
      <c r="J4894">
        <v>-437.73020000000002</v>
      </c>
      <c r="K4894">
        <v>1.1212040000000001</v>
      </c>
      <c r="L4894">
        <v>215.00409999999999</v>
      </c>
      <c r="M4894">
        <v>0.99954270000000001</v>
      </c>
      <c r="N4894">
        <v>-1.143945E-2</v>
      </c>
      <c r="O4894">
        <v>-2.799463E-2</v>
      </c>
      <c r="P4894">
        <v>0.99337319999999996</v>
      </c>
      <c r="Q4894">
        <v>0.1149345</v>
      </c>
      <c r="R4894" s="1">
        <v>-7.8531449999999992E-6</v>
      </c>
      <c r="S4894">
        <v>3.0326840000000002</v>
      </c>
      <c r="T4894">
        <v>-0.1097475</v>
      </c>
      <c r="U4894">
        <v>-6.6833500000000002E-3</v>
      </c>
      <c r="V4894">
        <v>-2.7784179999999999E-2</v>
      </c>
      <c r="W4894">
        <v>0.1262906</v>
      </c>
      <c r="X4894">
        <v>0.99160409999999999</v>
      </c>
      <c r="Y4894">
        <v>-2.5762730000000001E-2</v>
      </c>
      <c r="Z4894">
        <v>1.305847E-3</v>
      </c>
      <c r="AA4894">
        <v>0.99966719999999998</v>
      </c>
      <c r="AB4894">
        <v>24</v>
      </c>
      <c r="AC4894">
        <v>30.721</v>
      </c>
      <c r="AD4894">
        <v>-1.121198773545</v>
      </c>
      <c r="AE4894">
        <v>-6.1000000000007E-2</v>
      </c>
      <c r="AF4894">
        <v>-0.79804018165209001</v>
      </c>
      <c r="AG4894">
        <v>-1.121198773545</v>
      </c>
      <c r="AH4894">
        <v>30.669814716904298</v>
      </c>
      <c r="AI4894">
        <v>92.092926120768993</v>
      </c>
      <c r="AJ4894">
        <v>91.490521528370095</v>
      </c>
      <c r="AK4894">
        <v>30.7006757187944</v>
      </c>
      <c r="AL4894">
        <v>82.744707475566798</v>
      </c>
      <c r="AM4894">
        <v>91.604975059152693</v>
      </c>
      <c r="AN4894">
        <v>0.99999998372172105</v>
      </c>
    </row>
    <row r="4895" spans="1:40" x14ac:dyDescent="0.25">
      <c r="A4895" t="str">
        <f>"20190303162008244"</f>
        <v>20190303162008244</v>
      </c>
      <c r="B4895" t="str">
        <f>"1551601208237175"</f>
        <v>1551601208237175</v>
      </c>
      <c r="C4895" t="s">
        <v>40</v>
      </c>
      <c r="D4895">
        <v>4.5037240000000001</v>
      </c>
      <c r="E4895">
        <v>0.53176650000000003</v>
      </c>
      <c r="F4895" t="s">
        <v>42</v>
      </c>
      <c r="G4895">
        <v>-437.09660000000002</v>
      </c>
      <c r="H4895">
        <v>0.82233729999999905</v>
      </c>
      <c r="I4895">
        <v>214.9606</v>
      </c>
      <c r="J4895">
        <v>-437.50459999999998</v>
      </c>
      <c r="K4895">
        <v>1.121216</v>
      </c>
      <c r="L4895">
        <v>214.99770000000001</v>
      </c>
      <c r="M4895">
        <v>0.99954149999999997</v>
      </c>
      <c r="N4895">
        <v>-1.1440830000000001E-2</v>
      </c>
      <c r="O4895">
        <v>-2.80358E-2</v>
      </c>
      <c r="P4895">
        <v>0.99327489999999996</v>
      </c>
      <c r="Q4895">
        <v>0.1157725</v>
      </c>
      <c r="R4895">
        <v>1.347619E-3</v>
      </c>
      <c r="S4895">
        <v>3.1943049999999999</v>
      </c>
      <c r="T4895">
        <v>-1.5065139999999999</v>
      </c>
      <c r="U4895">
        <v>-0.21632390000000001</v>
      </c>
      <c r="V4895">
        <v>-2.9182019999999999E-2</v>
      </c>
      <c r="W4895">
        <v>0.1271273</v>
      </c>
      <c r="X4895">
        <v>0.99145700000000003</v>
      </c>
      <c r="Y4895">
        <v>3.8243439999999997E-2</v>
      </c>
      <c r="Z4895">
        <v>3.4500329999999999E-3</v>
      </c>
      <c r="AA4895">
        <v>0.99926250000000005</v>
      </c>
      <c r="AB4895">
        <v>25</v>
      </c>
      <c r="AC4895">
        <v>0.40799999999995801</v>
      </c>
      <c r="AD4895">
        <v>-0.2988787</v>
      </c>
      <c r="AE4895">
        <v>-3.7100000000009403E-2</v>
      </c>
      <c r="AF4895">
        <v>1.673781509372E-2</v>
      </c>
      <c r="AG4895">
        <v>-0.2988787</v>
      </c>
      <c r="AH4895">
        <v>0.26685402628237997</v>
      </c>
      <c r="AI4895">
        <v>138.184020188684</v>
      </c>
      <c r="AJ4895">
        <v>86.410953528865605</v>
      </c>
      <c r="AK4895">
        <v>0.401023319909103</v>
      </c>
      <c r="AL4895">
        <v>82.696378399366097</v>
      </c>
      <c r="AM4895">
        <v>91.685926871731198</v>
      </c>
      <c r="AN4895">
        <v>0.99999996177278405</v>
      </c>
    </row>
    <row r="4896" spans="1:40" x14ac:dyDescent="0.25">
      <c r="A4896" t="str">
        <f>"20190303162008268"</f>
        <v>20190303162008268</v>
      </c>
      <c r="B4896" t="str">
        <f>"1551601208257671"</f>
        <v>1551601208257671</v>
      </c>
      <c r="C4896" t="s">
        <v>40</v>
      </c>
      <c r="D4896">
        <v>4.515987</v>
      </c>
      <c r="E4896">
        <v>0.534501</v>
      </c>
      <c r="F4896" t="s">
        <v>42</v>
      </c>
      <c r="G4896">
        <v>-436.86259999999999</v>
      </c>
      <c r="H4896">
        <v>0.86004340000000001</v>
      </c>
      <c r="I4896">
        <v>214.94470000000001</v>
      </c>
      <c r="J4896">
        <v>-437.25799999999998</v>
      </c>
      <c r="K4896">
        <v>1.121232</v>
      </c>
      <c r="L4896">
        <v>214.9907</v>
      </c>
      <c r="M4896">
        <v>0.9995406</v>
      </c>
      <c r="N4896">
        <v>-1.144247E-2</v>
      </c>
      <c r="O4896">
        <v>-2.8061079999999999E-2</v>
      </c>
      <c r="P4896">
        <v>0.99322900000000003</v>
      </c>
      <c r="Q4896">
        <v>0.11612690000000001</v>
      </c>
      <c r="R4896">
        <v>3.2646179999999999E-3</v>
      </c>
      <c r="S4896">
        <v>3.1710210000000001</v>
      </c>
      <c r="T4896">
        <v>-1.289803</v>
      </c>
      <c r="U4896">
        <v>-0.2597351</v>
      </c>
      <c r="V4896">
        <v>-3.1126899999999999E-2</v>
      </c>
      <c r="W4896">
        <v>0.12748110000000001</v>
      </c>
      <c r="X4896">
        <v>0.99135240000000002</v>
      </c>
      <c r="Y4896">
        <v>5.1532059999999998E-2</v>
      </c>
      <c r="Z4896">
        <v>2.7661489999999999E-4</v>
      </c>
      <c r="AA4896">
        <v>0.99867130000000004</v>
      </c>
      <c r="AB4896">
        <v>25</v>
      </c>
      <c r="AC4896">
        <v>0.39540000000005099</v>
      </c>
      <c r="AD4896">
        <v>-0.26118859999999899</v>
      </c>
      <c r="AE4896">
        <v>-4.59999999999922E-2</v>
      </c>
      <c r="AF4896">
        <v>2.43867449018524E-2</v>
      </c>
      <c r="AG4896">
        <v>-0.26118859999999899</v>
      </c>
      <c r="AH4896">
        <v>0.27719590106495001</v>
      </c>
      <c r="AI4896">
        <v>133.18674718702499</v>
      </c>
      <c r="AJ4896">
        <v>84.972258481890194</v>
      </c>
      <c r="AK4896">
        <v>0.38164350598965702</v>
      </c>
      <c r="AL4896">
        <v>82.675940763839293</v>
      </c>
      <c r="AM4896">
        <v>91.798406168384105</v>
      </c>
      <c r="AN4896">
        <v>0.99999994787328805</v>
      </c>
    </row>
    <row r="4897" spans="1:40" x14ac:dyDescent="0.25">
      <c r="A4897" t="str">
        <f>"20190303162008289"</f>
        <v>20190303162008289</v>
      </c>
      <c r="B4897" t="str">
        <f>"1551601208277190"</f>
        <v>1551601208277190</v>
      </c>
      <c r="C4897" t="s">
        <v>40</v>
      </c>
      <c r="D4897">
        <v>4.5225569999999999</v>
      </c>
      <c r="E4897">
        <v>0.53636309999999998</v>
      </c>
      <c r="F4897" t="s">
        <v>42</v>
      </c>
      <c r="G4897">
        <v>-436.4434</v>
      </c>
      <c r="H4897">
        <v>0.81274630000000003</v>
      </c>
      <c r="I4897">
        <v>214.91970000000001</v>
      </c>
      <c r="J4897">
        <v>-437.01010000000002</v>
      </c>
      <c r="K4897">
        <v>1.121246</v>
      </c>
      <c r="L4897">
        <v>214.9838</v>
      </c>
      <c r="M4897">
        <v>0.99954050000000005</v>
      </c>
      <c r="N4897">
        <v>-1.144414E-2</v>
      </c>
      <c r="O4897">
        <v>-2.80702E-2</v>
      </c>
      <c r="P4897">
        <v>0.99316110000000002</v>
      </c>
      <c r="Q4897">
        <v>0.1165955</v>
      </c>
      <c r="R4897">
        <v>6.0582800000000001E-3</v>
      </c>
      <c r="S4897">
        <v>3.1612849999999999</v>
      </c>
      <c r="T4897">
        <v>-1.197079</v>
      </c>
      <c r="U4897">
        <v>-0.27508539999999998</v>
      </c>
      <c r="V4897">
        <v>-3.3930740000000001E-2</v>
      </c>
      <c r="W4897">
        <v>0.1279488</v>
      </c>
      <c r="X4897">
        <v>0.99120019999999998</v>
      </c>
      <c r="Y4897">
        <v>5.6493139999999997E-2</v>
      </c>
      <c r="Z4897">
        <v>-7.1389039999999895E-4</v>
      </c>
      <c r="AA4897">
        <v>0.99840269999999998</v>
      </c>
      <c r="AB4897">
        <v>25</v>
      </c>
      <c r="AC4897">
        <v>0.56670000000002496</v>
      </c>
      <c r="AD4897">
        <v>-0.30849969999999899</v>
      </c>
      <c r="AE4897">
        <v>-6.4099999999996202E-2</v>
      </c>
      <c r="AF4897">
        <v>3.7262977539557401E-2</v>
      </c>
      <c r="AG4897">
        <v>-0.30849969999999899</v>
      </c>
      <c r="AH4897">
        <v>0.43963626515271897</v>
      </c>
      <c r="AI4897">
        <v>124.961580445835</v>
      </c>
      <c r="AJ4897">
        <v>85.155266346554498</v>
      </c>
      <c r="AK4897">
        <v>0.53836849836579004</v>
      </c>
      <c r="AL4897">
        <v>82.648922754498003</v>
      </c>
      <c r="AM4897">
        <v>91.960582082388001</v>
      </c>
      <c r="AN4897">
        <v>1.00000001350921</v>
      </c>
    </row>
    <row r="4898" spans="1:40" x14ac:dyDescent="0.25">
      <c r="A4898" t="str">
        <f>"20190303162008324"</f>
        <v>20190303162008324</v>
      </c>
      <c r="B4898" t="str">
        <f>"1551601208317207"</f>
        <v>1551601208317207</v>
      </c>
      <c r="C4898" t="s">
        <v>40</v>
      </c>
      <c r="D4898">
        <v>4.5286989999999996</v>
      </c>
      <c r="E4898">
        <v>0.53816750000000002</v>
      </c>
      <c r="F4898" t="s">
        <v>42</v>
      </c>
      <c r="G4898">
        <v>-436.21519999999998</v>
      </c>
      <c r="H4898">
        <v>0.83486269999999996</v>
      </c>
      <c r="I4898">
        <v>214.91239999999999</v>
      </c>
      <c r="J4898">
        <v>-436.64249999999998</v>
      </c>
      <c r="K4898">
        <v>1.1212599999999999</v>
      </c>
      <c r="L4898">
        <v>214.9735</v>
      </c>
      <c r="M4898">
        <v>0.99954100000000001</v>
      </c>
      <c r="N4898">
        <v>-1.1446619999999999E-2</v>
      </c>
      <c r="O4898">
        <v>-2.8050439999999999E-2</v>
      </c>
      <c r="P4898">
        <v>0.99298600000000004</v>
      </c>
      <c r="Q4898">
        <v>0.1178712</v>
      </c>
      <c r="R4898">
        <v>9.2300579999999993E-3</v>
      </c>
      <c r="S4898">
        <v>3.1558229999999998</v>
      </c>
      <c r="T4898">
        <v>-1.1369469999999999</v>
      </c>
      <c r="U4898">
        <v>-0.28175349999999999</v>
      </c>
      <c r="V4898">
        <v>-3.7082110000000001E-2</v>
      </c>
      <c r="W4898">
        <v>0.12922229999999901</v>
      </c>
      <c r="X4898">
        <v>0.99092199999999997</v>
      </c>
      <c r="Y4898">
        <v>5.8797549999999997E-2</v>
      </c>
      <c r="Z4898">
        <v>-1.1329479999999999E-3</v>
      </c>
      <c r="AA4898">
        <v>0.99826930000000003</v>
      </c>
      <c r="AB4898">
        <v>25</v>
      </c>
      <c r="AC4898">
        <v>0.42730000000000201</v>
      </c>
      <c r="AD4898">
        <v>-0.28639730000000002</v>
      </c>
      <c r="AE4898">
        <v>-6.1100000000010299E-2</v>
      </c>
      <c r="AF4898">
        <v>3.4084236364709197E-2</v>
      </c>
      <c r="AG4898">
        <v>-0.28639730000000002</v>
      </c>
      <c r="AH4898">
        <v>0.29776158104162798</v>
      </c>
      <c r="AI4898">
        <v>133.69920189858101</v>
      </c>
      <c r="AJ4898">
        <v>83.469876813789398</v>
      </c>
      <c r="AK4898">
        <v>0.414544458122727</v>
      </c>
      <c r="AL4898">
        <v>82.575345279870007</v>
      </c>
      <c r="AM4898">
        <v>92.143112626437102</v>
      </c>
      <c r="AN4898">
        <v>0.99999994789166902</v>
      </c>
    </row>
    <row r="4899" spans="1:40" x14ac:dyDescent="0.25">
      <c r="A4899" t="str">
        <f>"20190303162008346"</f>
        <v>20190303162008346</v>
      </c>
      <c r="B4899" t="str">
        <f>"1551601208337703"</f>
        <v>1551601208337703</v>
      </c>
      <c r="C4899" t="s">
        <v>40</v>
      </c>
      <c r="D4899">
        <v>4.5152060000000001</v>
      </c>
      <c r="E4899">
        <v>0.53866599999999998</v>
      </c>
      <c r="F4899" t="s">
        <v>42</v>
      </c>
      <c r="G4899">
        <v>-435.971</v>
      </c>
      <c r="H4899">
        <v>0.89466060000000003</v>
      </c>
      <c r="I4899">
        <v>214.91249999999999</v>
      </c>
      <c r="J4899">
        <v>-436.39879999999999</v>
      </c>
      <c r="K4899">
        <v>1.121278</v>
      </c>
      <c r="L4899">
        <v>214.9667</v>
      </c>
      <c r="M4899">
        <v>0.99954259999999995</v>
      </c>
      <c r="N4899">
        <v>-1.144827E-2</v>
      </c>
      <c r="O4899">
        <v>-2.799273E-2</v>
      </c>
      <c r="P4899">
        <v>0.99292000000000002</v>
      </c>
      <c r="Q4899">
        <v>0.1182923</v>
      </c>
      <c r="R4899">
        <v>1.0811980000000001E-2</v>
      </c>
      <c r="S4899">
        <v>3.149994</v>
      </c>
      <c r="T4899">
        <v>-1.062907</v>
      </c>
      <c r="U4899">
        <v>-0.28656009999999998</v>
      </c>
      <c r="V4899">
        <v>-3.8609909999999997E-2</v>
      </c>
      <c r="W4899">
        <v>0.12964210000000001</v>
      </c>
      <c r="X4899">
        <v>0.99080880000000005</v>
      </c>
      <c r="Y4899">
        <v>6.0665179999999999E-2</v>
      </c>
      <c r="Z4899">
        <v>-1.439833E-3</v>
      </c>
      <c r="AA4899">
        <v>0.99815710000000002</v>
      </c>
      <c r="AB4899">
        <v>25</v>
      </c>
      <c r="AC4899">
        <v>0.42779999999999002</v>
      </c>
      <c r="AD4899">
        <v>-0.2266174</v>
      </c>
      <c r="AE4899">
        <v>-5.4200000000008602E-2</v>
      </c>
      <c r="AF4899">
        <v>3.3069588098822503E-2</v>
      </c>
      <c r="AG4899">
        <v>-0.2266174</v>
      </c>
      <c r="AH4899">
        <v>0.33627723884553201</v>
      </c>
      <c r="AI4899">
        <v>123.848388637452</v>
      </c>
      <c r="AJ4899">
        <v>84.383577310780396</v>
      </c>
      <c r="AK4899">
        <v>0.40685553333506602</v>
      </c>
      <c r="AL4899">
        <v>82.551088399665801</v>
      </c>
      <c r="AM4899">
        <v>92.231577038179907</v>
      </c>
      <c r="AN4899">
        <v>0.99999993870002701</v>
      </c>
    </row>
    <row r="4900" spans="1:40" x14ac:dyDescent="0.25">
      <c r="A4900" t="str">
        <f>"20190303162008368"</f>
        <v>20190303162008368</v>
      </c>
      <c r="B4900" t="str">
        <f>"1551601208357222"</f>
        <v>1551601208357222</v>
      </c>
      <c r="C4900" t="s">
        <v>40</v>
      </c>
      <c r="D4900">
        <v>4.5140979999999997</v>
      </c>
      <c r="E4900">
        <v>0.53920630000000003</v>
      </c>
      <c r="F4900" t="s">
        <v>42</v>
      </c>
      <c r="G4900">
        <v>-435.5539</v>
      </c>
      <c r="H4900">
        <v>0.84211369999999897</v>
      </c>
      <c r="I4900">
        <v>214.89019999999999</v>
      </c>
      <c r="J4900">
        <v>-436.14569999999998</v>
      </c>
      <c r="K4900">
        <v>1.1213169999999999</v>
      </c>
      <c r="L4900">
        <v>214.9597</v>
      </c>
      <c r="M4900">
        <v>0.99954609999999999</v>
      </c>
      <c r="N4900">
        <v>-1.145005E-2</v>
      </c>
      <c r="O4900">
        <v>-2.7871369999999999E-2</v>
      </c>
      <c r="P4900">
        <v>0.99294910000000003</v>
      </c>
      <c r="Q4900">
        <v>0.117948499999999</v>
      </c>
      <c r="R4900">
        <v>1.1849800000000001E-2</v>
      </c>
      <c r="S4900">
        <v>3.1484679999999998</v>
      </c>
      <c r="T4900">
        <v>-1.0402629999999999</v>
      </c>
      <c r="U4900">
        <v>-0.28509519999999999</v>
      </c>
      <c r="V4900">
        <v>-3.953864E-2</v>
      </c>
      <c r="W4900">
        <v>0.129297</v>
      </c>
      <c r="X4900">
        <v>0.99081730000000001</v>
      </c>
      <c r="Y4900">
        <v>6.0451789999999998E-2</v>
      </c>
      <c r="Z4900">
        <v>-1.4267289999999901E-3</v>
      </c>
      <c r="AA4900">
        <v>0.99817009999999995</v>
      </c>
      <c r="AB4900">
        <v>25</v>
      </c>
      <c r="AC4900">
        <v>0.59179999999997701</v>
      </c>
      <c r="AD4900">
        <v>-0.27920329999999999</v>
      </c>
      <c r="AE4900">
        <v>-6.9500000000005002E-2</v>
      </c>
      <c r="AF4900">
        <v>4.3440157802138002E-2</v>
      </c>
      <c r="AG4900">
        <v>-0.27920329999999999</v>
      </c>
      <c r="AH4900">
        <v>0.48665905069163901</v>
      </c>
      <c r="AI4900">
        <v>119.745477031571</v>
      </c>
      <c r="AJ4900">
        <v>84.899183010996097</v>
      </c>
      <c r="AK4900">
        <v>0.56274200275157304</v>
      </c>
      <c r="AL4900">
        <v>82.571029241401803</v>
      </c>
      <c r="AM4900">
        <v>92.285179985295599</v>
      </c>
      <c r="AN4900">
        <v>0.99999997012066899</v>
      </c>
    </row>
    <row r="4901" spans="1:40" x14ac:dyDescent="0.25">
      <c r="A4901" t="str">
        <f>"20190303162008392"</f>
        <v>20190303162008392</v>
      </c>
      <c r="B4901" t="str">
        <f>"1551601208387479"</f>
        <v>1551601208387479</v>
      </c>
      <c r="C4901" t="s">
        <v>40</v>
      </c>
      <c r="D4901">
        <v>4.5900270000000001</v>
      </c>
      <c r="E4901">
        <v>0.54010279999999999</v>
      </c>
      <c r="F4901" t="s">
        <v>42</v>
      </c>
      <c r="G4901">
        <v>-435.32889999999998</v>
      </c>
      <c r="H4901">
        <v>0.85540680000000002</v>
      </c>
      <c r="I4901">
        <v>214.88499999999999</v>
      </c>
      <c r="J4901">
        <v>-435.8956</v>
      </c>
      <c r="K4901">
        <v>1.1213580000000001</v>
      </c>
      <c r="L4901">
        <v>214.953</v>
      </c>
      <c r="M4901">
        <v>0.99955079999999996</v>
      </c>
      <c r="N4901">
        <v>-1.1451879999999999E-2</v>
      </c>
      <c r="O4901">
        <v>-2.770092E-2</v>
      </c>
      <c r="P4901">
        <v>0.99299870000000001</v>
      </c>
      <c r="Q4901">
        <v>0.11743439999999999</v>
      </c>
      <c r="R4901">
        <v>1.277289E-2</v>
      </c>
      <c r="S4901">
        <v>3.146423</v>
      </c>
      <c r="T4901">
        <v>-1.0244230000000001</v>
      </c>
      <c r="U4901">
        <v>-0.2866821</v>
      </c>
      <c r="V4901">
        <v>-4.0307219999999998E-2</v>
      </c>
      <c r="W4901">
        <v>0.12878019999999901</v>
      </c>
      <c r="X4901">
        <v>0.99085369999999995</v>
      </c>
      <c r="Y4901">
        <v>6.1184330000000002E-2</v>
      </c>
      <c r="Z4901">
        <v>-1.58865E-3</v>
      </c>
      <c r="AA4901">
        <v>0.99812520000000005</v>
      </c>
      <c r="AB4901">
        <v>25</v>
      </c>
      <c r="AC4901">
        <v>0.56670000000002496</v>
      </c>
      <c r="AD4901">
        <v>-0.265951199999999</v>
      </c>
      <c r="AE4901">
        <v>-6.8000000000011995E-2</v>
      </c>
      <c r="AF4901">
        <v>4.2949747478089897E-2</v>
      </c>
      <c r="AG4901">
        <v>-0.265951199999999</v>
      </c>
      <c r="AH4901">
        <v>0.46697846183421099</v>
      </c>
      <c r="AI4901">
        <v>119.558494807374</v>
      </c>
      <c r="AJ4901">
        <v>84.745078013690005</v>
      </c>
      <c r="AK4901">
        <v>0.53911372214674502</v>
      </c>
      <c r="AL4901">
        <v>82.600889815224406</v>
      </c>
      <c r="AM4901">
        <v>92.329466970161803</v>
      </c>
      <c r="AN4901">
        <v>1.0000000333499199</v>
      </c>
    </row>
    <row r="4902" spans="1:40" x14ac:dyDescent="0.25">
      <c r="A4902" t="str">
        <f>"20190303162008413"</f>
        <v>20190303162008413</v>
      </c>
      <c r="B4902" t="str">
        <f>"1551601208406999"</f>
        <v>1551601208406999</v>
      </c>
      <c r="C4902" t="s">
        <v>40</v>
      </c>
      <c r="D4902">
        <v>4.5448950000000004</v>
      </c>
      <c r="E4902">
        <v>0.54068340000000004</v>
      </c>
      <c r="F4902" t="s">
        <v>42</v>
      </c>
      <c r="G4902">
        <v>-435.10419999999999</v>
      </c>
      <c r="H4902">
        <v>0.86810919999999903</v>
      </c>
      <c r="I4902">
        <v>214.8792</v>
      </c>
      <c r="J4902">
        <v>-435.65469999999999</v>
      </c>
      <c r="K4902">
        <v>1.121405</v>
      </c>
      <c r="L4902">
        <v>214.94649999999999</v>
      </c>
      <c r="M4902">
        <v>0.99955649999999996</v>
      </c>
      <c r="N4902">
        <v>-1.1453659999999999E-2</v>
      </c>
      <c r="O4902">
        <v>-2.7487560000000001E-2</v>
      </c>
      <c r="P4902">
        <v>0.99297380000000002</v>
      </c>
      <c r="Q4902">
        <v>0.117603</v>
      </c>
      <c r="R4902">
        <v>1.314392E-2</v>
      </c>
      <c r="S4902">
        <v>3.1438899999999999</v>
      </c>
      <c r="T4902">
        <v>-1.006016</v>
      </c>
      <c r="U4902">
        <v>-0.29246519999999998</v>
      </c>
      <c r="V4902">
        <v>-4.047974E-2</v>
      </c>
      <c r="W4902">
        <v>0.12894610000000001</v>
      </c>
      <c r="X4902">
        <v>0.99082510000000001</v>
      </c>
      <c r="Y4902">
        <v>6.3236329999999993E-2</v>
      </c>
      <c r="Z4902">
        <v>-1.9694339999999999E-3</v>
      </c>
      <c r="AA4902">
        <v>0.99799660000000001</v>
      </c>
      <c r="AB4902">
        <v>25</v>
      </c>
      <c r="AC4902">
        <v>0.55049999999999899</v>
      </c>
      <c r="AD4902">
        <v>-0.25329580000000002</v>
      </c>
      <c r="AE4902">
        <v>-6.7299999999988799E-2</v>
      </c>
      <c r="AF4902">
        <v>4.3142478098949902E-2</v>
      </c>
      <c r="AG4902">
        <v>-0.25329580000000002</v>
      </c>
      <c r="AH4902">
        <v>0.45684714415071198</v>
      </c>
      <c r="AI4902">
        <v>118.898142644412</v>
      </c>
      <c r="AJ4902">
        <v>84.605257101681403</v>
      </c>
      <c r="AK4902">
        <v>0.52414630479744795</v>
      </c>
      <c r="AL4902">
        <v>82.591304594882303</v>
      </c>
      <c r="AM4902">
        <v>92.339493781402098</v>
      </c>
      <c r="AN4902">
        <v>1.0000000424228399</v>
      </c>
    </row>
    <row r="4903" spans="1:40" x14ac:dyDescent="0.25">
      <c r="A4903" t="str">
        <f>"20190303162008435"</f>
        <v>20190303162008435</v>
      </c>
      <c r="B4903" t="str">
        <f>"1551601208427495"</f>
        <v>1551601208427495</v>
      </c>
      <c r="C4903" t="s">
        <v>40</v>
      </c>
      <c r="D4903">
        <v>4.5918269999999897</v>
      </c>
      <c r="E4903">
        <v>0.54105179999999997</v>
      </c>
      <c r="F4903" t="s">
        <v>42</v>
      </c>
      <c r="G4903">
        <v>-434.88139999999999</v>
      </c>
      <c r="H4903">
        <v>0.87574269999999999</v>
      </c>
      <c r="I4903">
        <v>214.87309999999999</v>
      </c>
      <c r="J4903">
        <v>-435.41739999999999</v>
      </c>
      <c r="K4903">
        <v>1.121451</v>
      </c>
      <c r="L4903">
        <v>214.94030000000001</v>
      </c>
      <c r="M4903">
        <v>0.9995638</v>
      </c>
      <c r="N4903">
        <v>-1.145549E-2</v>
      </c>
      <c r="O4903">
        <v>-2.722635E-2</v>
      </c>
      <c r="P4903">
        <v>0.99276070000000005</v>
      </c>
      <c r="Q4903">
        <v>0.1192935</v>
      </c>
      <c r="R4903">
        <v>1.399106E-2</v>
      </c>
      <c r="S4903">
        <v>3.1434630000000001</v>
      </c>
      <c r="T4903">
        <v>-0.99857079999999998</v>
      </c>
      <c r="U4903">
        <v>-0.297348</v>
      </c>
      <c r="V4903">
        <v>-4.1073930000000002E-2</v>
      </c>
      <c r="W4903">
        <v>0.13063169999999999</v>
      </c>
      <c r="X4903">
        <v>0.99057980000000001</v>
      </c>
      <c r="Y4903">
        <v>6.4973320000000001E-2</v>
      </c>
      <c r="Z4903">
        <v>-2.3172940000000001E-3</v>
      </c>
      <c r="AA4903">
        <v>0.99788429999999995</v>
      </c>
      <c r="AB4903">
        <v>25</v>
      </c>
      <c r="AC4903">
        <v>0.53600000000000103</v>
      </c>
      <c r="AD4903">
        <v>-0.24570829999999999</v>
      </c>
      <c r="AE4903">
        <v>-6.7200000000013901E-2</v>
      </c>
      <c r="AF4903">
        <v>4.3567237600123598E-2</v>
      </c>
      <c r="AG4903">
        <v>-0.24570829999999999</v>
      </c>
      <c r="AH4903">
        <v>0.445468593403818</v>
      </c>
      <c r="AI4903">
        <v>118.764740548706</v>
      </c>
      <c r="AJ4903">
        <v>84.414184415832494</v>
      </c>
      <c r="AK4903">
        <v>0.51060056853686697</v>
      </c>
      <c r="AL4903">
        <v>82.493902828140193</v>
      </c>
      <c r="AM4903">
        <v>92.3743826680344</v>
      </c>
      <c r="AN4903">
        <v>1.0000000244692799</v>
      </c>
    </row>
    <row r="4904" spans="1:40" x14ac:dyDescent="0.25">
      <c r="A4904" t="str">
        <f>"20190303162008457"</f>
        <v>20190303162008457</v>
      </c>
      <c r="B4904" t="str">
        <f>"1551601208447015"</f>
        <v>1551601208447015</v>
      </c>
      <c r="C4904" t="s">
        <v>40</v>
      </c>
      <c r="D4904">
        <v>4.5880640000000001</v>
      </c>
      <c r="E4904">
        <v>0.54148009999999902</v>
      </c>
      <c r="F4904" t="s">
        <v>42</v>
      </c>
      <c r="G4904">
        <v>-434.65859999999998</v>
      </c>
      <c r="H4904">
        <v>0.8830519</v>
      </c>
      <c r="I4904">
        <v>214.8681</v>
      </c>
      <c r="J4904">
        <v>-435.1755</v>
      </c>
      <c r="K4904">
        <v>1.12148799999999</v>
      </c>
      <c r="L4904">
        <v>214.9341</v>
      </c>
      <c r="M4904">
        <v>0.99957229999999997</v>
      </c>
      <c r="N4904">
        <v>-1.145729E-2</v>
      </c>
      <c r="O4904">
        <v>-2.690882E-2</v>
      </c>
      <c r="P4904">
        <v>0.99249129999999997</v>
      </c>
      <c r="Q4904">
        <v>0.1214261</v>
      </c>
      <c r="R4904">
        <v>1.4722590000000001E-2</v>
      </c>
      <c r="S4904">
        <v>3.144806</v>
      </c>
      <c r="T4904">
        <v>-0.98802920000000005</v>
      </c>
      <c r="U4904">
        <v>-0.29914859999999999</v>
      </c>
      <c r="V4904">
        <v>-4.1494280000000001E-2</v>
      </c>
      <c r="W4904">
        <v>0.13275919999999999</v>
      </c>
      <c r="X4904">
        <v>0.99027940000000003</v>
      </c>
      <c r="Y4904">
        <v>6.5803100000000003E-2</v>
      </c>
      <c r="Z4904">
        <v>-2.5257259999999998E-3</v>
      </c>
      <c r="AA4904">
        <v>0.99782939999999998</v>
      </c>
      <c r="AB4904">
        <v>25</v>
      </c>
      <c r="AC4904">
        <v>0.51690000000002101</v>
      </c>
      <c r="AD4904">
        <v>-0.23843609999999901</v>
      </c>
      <c r="AE4904">
        <v>-6.6000000000002501E-2</v>
      </c>
      <c r="AF4904">
        <v>4.3052298491103702E-2</v>
      </c>
      <c r="AG4904">
        <v>-0.23843609999999901</v>
      </c>
      <c r="AH4904">
        <v>0.428727610706783</v>
      </c>
      <c r="AI4904">
        <v>118.958614389434</v>
      </c>
      <c r="AJ4904">
        <v>84.265651768423794</v>
      </c>
      <c r="AK4904">
        <v>0.49245572224406498</v>
      </c>
      <c r="AL4904">
        <v>82.370935096342606</v>
      </c>
      <c r="AM4904">
        <v>92.399380605493903</v>
      </c>
      <c r="AN4904">
        <v>1.00000003526085</v>
      </c>
    </row>
    <row r="4905" spans="1:40" x14ac:dyDescent="0.25">
      <c r="A4905" t="str">
        <f>"20190303162008479"</f>
        <v>20190303162008479</v>
      </c>
      <c r="B4905" t="str">
        <f>"1551601208467511"</f>
        <v>1551601208467511</v>
      </c>
      <c r="C4905" t="s">
        <v>40</v>
      </c>
      <c r="D4905">
        <v>4.582973</v>
      </c>
      <c r="E4905">
        <v>0.5419522</v>
      </c>
      <c r="F4905" t="s">
        <v>42</v>
      </c>
      <c r="G4905">
        <v>-434.435</v>
      </c>
      <c r="H4905">
        <v>0.89174500000000001</v>
      </c>
      <c r="I4905">
        <v>214.86199999999999</v>
      </c>
      <c r="J4905">
        <v>-434.9307</v>
      </c>
      <c r="K4905">
        <v>1.121521</v>
      </c>
      <c r="L4905">
        <v>214.92789999999999</v>
      </c>
      <c r="M4905">
        <v>0.99958210000000003</v>
      </c>
      <c r="N4905">
        <v>-1.1459E-2</v>
      </c>
      <c r="O4905">
        <v>-2.654395E-2</v>
      </c>
      <c r="P4905">
        <v>0.99249770000000004</v>
      </c>
      <c r="Q4905">
        <v>0.12122189999999999</v>
      </c>
      <c r="R4905">
        <v>1.5926860000000001E-2</v>
      </c>
      <c r="S4905">
        <v>3.1466669999999999</v>
      </c>
      <c r="T4905">
        <v>-0.97632770000000002</v>
      </c>
      <c r="U4905">
        <v>-0.3038788</v>
      </c>
      <c r="V4905">
        <v>-4.234541E-2</v>
      </c>
      <c r="W4905">
        <v>0.13255359999999999</v>
      </c>
      <c r="X4905">
        <v>0.99027089999999995</v>
      </c>
      <c r="Y4905">
        <v>6.7545629999999995E-2</v>
      </c>
      <c r="Z4905">
        <v>-2.8838710000000001E-3</v>
      </c>
      <c r="AA4905">
        <v>0.99771200000000004</v>
      </c>
      <c r="AB4905">
        <v>25</v>
      </c>
      <c r="AC4905">
        <v>0.49569999999999897</v>
      </c>
      <c r="AD4905">
        <v>-0.22977599999999901</v>
      </c>
      <c r="AE4905">
        <v>-6.5899999999999098E-2</v>
      </c>
      <c r="AF4905">
        <v>4.3527784598701103E-2</v>
      </c>
      <c r="AG4905">
        <v>-0.22977599999999901</v>
      </c>
      <c r="AH4905">
        <v>0.41058524054942003</v>
      </c>
      <c r="AI4905">
        <v>119.09645710036099</v>
      </c>
      <c r="AJ4905">
        <v>83.948448620170495</v>
      </c>
      <c r="AK4905">
        <v>0.472516579566364</v>
      </c>
      <c r="AL4905">
        <v>82.382820053357804</v>
      </c>
      <c r="AM4905">
        <v>92.448558354186801</v>
      </c>
      <c r="AN4905">
        <v>1.0000000230039101</v>
      </c>
    </row>
    <row r="4906" spans="1:40" x14ac:dyDescent="0.25">
      <c r="A4906" t="str">
        <f>"20190303162008502"</f>
        <v>20190303162008502</v>
      </c>
      <c r="B4906" t="str">
        <f>"1551601208497767"</f>
        <v>1551601208497767</v>
      </c>
      <c r="C4906" t="s">
        <v>40</v>
      </c>
      <c r="D4906">
        <v>4.6193030000000004</v>
      </c>
      <c r="E4906">
        <v>0.54258509999999904</v>
      </c>
      <c r="F4906" t="s">
        <v>42</v>
      </c>
      <c r="G4906">
        <v>-434.2115</v>
      </c>
      <c r="H4906">
        <v>0.89948079999999997</v>
      </c>
      <c r="I4906">
        <v>214.8578</v>
      </c>
      <c r="J4906">
        <v>-434.67660000000001</v>
      </c>
      <c r="K4906">
        <v>1.1215389999999901</v>
      </c>
      <c r="L4906">
        <v>214.92160000000001</v>
      </c>
      <c r="M4906">
        <v>0.99959279999999995</v>
      </c>
      <c r="N4906">
        <v>-1.146075E-2</v>
      </c>
      <c r="O4906">
        <v>-2.6132800000000001E-2</v>
      </c>
      <c r="P4906">
        <v>0.99252450000000003</v>
      </c>
      <c r="Q4906">
        <v>0.12082370000000001</v>
      </c>
      <c r="R4906">
        <v>1.723272E-2</v>
      </c>
      <c r="S4906">
        <v>3.1462400000000001</v>
      </c>
      <c r="T4906">
        <v>-0.97139980000000004</v>
      </c>
      <c r="U4906">
        <v>-0.30662539999999999</v>
      </c>
      <c r="V4906">
        <v>-4.3249610000000001E-2</v>
      </c>
      <c r="W4906">
        <v>0.13215470000000001</v>
      </c>
      <c r="X4906">
        <v>0.99028510000000003</v>
      </c>
      <c r="Y4906">
        <v>6.8774749999999996E-2</v>
      </c>
      <c r="Z4906">
        <v>-3.1849270000000002E-3</v>
      </c>
      <c r="AA4906">
        <v>0.99762709999999999</v>
      </c>
      <c r="AB4906">
        <v>25</v>
      </c>
      <c r="AC4906">
        <v>0.46510000000000601</v>
      </c>
      <c r="AD4906">
        <v>-0.22205819999999901</v>
      </c>
      <c r="AE4906">
        <v>-6.3800000000014706E-2</v>
      </c>
      <c r="AF4906">
        <v>4.2184630286793201E-2</v>
      </c>
      <c r="AG4906">
        <v>-0.22205819999999901</v>
      </c>
      <c r="AH4906">
        <v>0.38129691870058802</v>
      </c>
      <c r="AI4906">
        <v>120.064160162272</v>
      </c>
      <c r="AJ4906">
        <v>83.686779052520805</v>
      </c>
      <c r="AK4906">
        <v>0.44325695418147198</v>
      </c>
      <c r="AL4906">
        <v>82.405877913926801</v>
      </c>
      <c r="AM4906">
        <v>92.500740833473003</v>
      </c>
      <c r="AN4906">
        <v>0.99999998638962595</v>
      </c>
    </row>
    <row r="4907" spans="1:40" x14ac:dyDescent="0.25">
      <c r="A4907" t="str">
        <f>"20190303162008525"</f>
        <v>20190303162008525</v>
      </c>
      <c r="B4907" t="str">
        <f>"1551601208517287"</f>
        <v>1551601208517287</v>
      </c>
      <c r="C4907" t="s">
        <v>40</v>
      </c>
      <c r="D4907">
        <v>4.6136780000000002</v>
      </c>
      <c r="E4907">
        <v>0.54278499999999996</v>
      </c>
      <c r="F4907" t="s">
        <v>42</v>
      </c>
      <c r="G4907">
        <v>-433.98689999999999</v>
      </c>
      <c r="H4907">
        <v>0.90976129999999999</v>
      </c>
      <c r="I4907">
        <v>214.8535</v>
      </c>
      <c r="J4907">
        <v>-434.43200000000002</v>
      </c>
      <c r="K4907">
        <v>1.121553</v>
      </c>
      <c r="L4907">
        <v>214.91569999999999</v>
      </c>
      <c r="M4907">
        <v>0.99960360000000004</v>
      </c>
      <c r="N4907">
        <v>-1.146221E-2</v>
      </c>
      <c r="O4907">
        <v>-2.5720090000000001E-2</v>
      </c>
      <c r="P4907">
        <v>0.99252149999999995</v>
      </c>
      <c r="Q4907">
        <v>0.12074940000000001</v>
      </c>
      <c r="R4907">
        <v>1.7913789999999999E-2</v>
      </c>
      <c r="S4907">
        <v>3.1455690000000001</v>
      </c>
      <c r="T4907">
        <v>-0.96581510000000004</v>
      </c>
      <c r="U4907">
        <v>-0.30909730000000002</v>
      </c>
      <c r="V4907">
        <v>-4.3524399999999998E-2</v>
      </c>
      <c r="W4907">
        <v>0.13208</v>
      </c>
      <c r="X4907">
        <v>0.99028300000000002</v>
      </c>
      <c r="Y4907">
        <v>6.9933850000000006E-2</v>
      </c>
      <c r="Z4907">
        <v>-3.4709680000000001E-3</v>
      </c>
      <c r="AA4907">
        <v>0.99754560000000003</v>
      </c>
      <c r="AB4907">
        <v>25</v>
      </c>
      <c r="AC4907">
        <v>0.44509999999996802</v>
      </c>
      <c r="AD4907">
        <v>-0.211791699999999</v>
      </c>
      <c r="AE4907">
        <v>-6.2199999999989999E-2</v>
      </c>
      <c r="AF4907">
        <v>4.1511837816228699E-2</v>
      </c>
      <c r="AG4907">
        <v>-0.211791699999999</v>
      </c>
      <c r="AH4907">
        <v>0.36540468989050201</v>
      </c>
      <c r="AI4907">
        <v>119.937819469299</v>
      </c>
      <c r="AJ4907">
        <v>83.518694522259494</v>
      </c>
      <c r="AK4907">
        <v>0.42438136653456499</v>
      </c>
      <c r="AL4907">
        <v>82.410195556674594</v>
      </c>
      <c r="AM4907">
        <v>92.516614465424695</v>
      </c>
      <c r="AN4907">
        <v>0.99999995994217905</v>
      </c>
    </row>
    <row r="4908" spans="1:40" x14ac:dyDescent="0.25">
      <c r="A4908" t="str">
        <f>"20190303162008547"</f>
        <v>20190303162008547</v>
      </c>
      <c r="B4908" t="str">
        <f>"1551601208536807"</f>
        <v>1551601208536807</v>
      </c>
      <c r="C4908" t="s">
        <v>40</v>
      </c>
      <c r="D4908">
        <v>4.7187700000000001</v>
      </c>
      <c r="E4908">
        <v>0.54298059999999904</v>
      </c>
      <c r="F4908" t="s">
        <v>42</v>
      </c>
      <c r="G4908">
        <v>-433.76350000000002</v>
      </c>
      <c r="H4908">
        <v>0.91689779999999999</v>
      </c>
      <c r="I4908">
        <v>214.84950000000001</v>
      </c>
      <c r="J4908">
        <v>-434.185</v>
      </c>
      <c r="K4908">
        <v>1.1215580000000001</v>
      </c>
      <c r="L4908">
        <v>214.90979999999999</v>
      </c>
      <c r="M4908">
        <v>0.99961420000000001</v>
      </c>
      <c r="N4908">
        <v>-1.146378E-2</v>
      </c>
      <c r="O4908">
        <v>-2.5296280000000001E-2</v>
      </c>
      <c r="P4908">
        <v>0.99237869999999995</v>
      </c>
      <c r="Q4908">
        <v>0.1218265</v>
      </c>
      <c r="R4908">
        <v>1.852117E-2</v>
      </c>
      <c r="S4908">
        <v>3.1453859999999998</v>
      </c>
      <c r="T4908">
        <v>-0.9629955</v>
      </c>
      <c r="U4908">
        <v>-0.31079099999999998</v>
      </c>
      <c r="V4908">
        <v>-4.3709289999999998E-2</v>
      </c>
      <c r="W4908">
        <v>0.13315669999999999</v>
      </c>
      <c r="X4908">
        <v>0.99013070000000003</v>
      </c>
      <c r="Y4908">
        <v>7.0845539999999999E-2</v>
      </c>
      <c r="Z4908">
        <v>-3.7266000000000001E-3</v>
      </c>
      <c r="AA4908">
        <v>0.99748029999999999</v>
      </c>
      <c r="AB4908">
        <v>25</v>
      </c>
      <c r="AC4908">
        <v>0.42149999999998</v>
      </c>
      <c r="AD4908">
        <v>-0.20466019999999999</v>
      </c>
      <c r="AE4908">
        <v>-6.0299999999983797E-2</v>
      </c>
      <c r="AF4908">
        <v>4.0305694964699601E-2</v>
      </c>
      <c r="AG4908">
        <v>-0.20466019999999999</v>
      </c>
      <c r="AH4908">
        <v>0.34352512119080197</v>
      </c>
      <c r="AI4908">
        <v>120.61305788454101</v>
      </c>
      <c r="AJ4908">
        <v>83.308099668529493</v>
      </c>
      <c r="AK4908">
        <v>0.40189532891013202</v>
      </c>
      <c r="AL4908">
        <v>82.347955783191793</v>
      </c>
      <c r="AM4908">
        <v>92.527679355107693</v>
      </c>
      <c r="AN4908">
        <v>1.00000000593484</v>
      </c>
    </row>
    <row r="4909" spans="1:40" x14ac:dyDescent="0.25">
      <c r="A4909" t="str">
        <f>"20190303162008569"</f>
        <v>20190303162008569</v>
      </c>
      <c r="B4909" t="str">
        <f>"1551601208557302"</f>
        <v>1551601208557302</v>
      </c>
      <c r="C4909" t="s">
        <v>40</v>
      </c>
      <c r="D4909">
        <v>4.6554489999999999</v>
      </c>
      <c r="E4909">
        <v>0.52770130000000004</v>
      </c>
      <c r="F4909" t="s">
        <v>42</v>
      </c>
      <c r="G4909">
        <v>-433.3451</v>
      </c>
      <c r="H4909">
        <v>0.86621360000000003</v>
      </c>
      <c r="I4909">
        <v>214.82599999999999</v>
      </c>
      <c r="J4909">
        <v>-433.93329999999997</v>
      </c>
      <c r="K4909">
        <v>1.1215660000000001</v>
      </c>
      <c r="L4909">
        <v>214.90389999999999</v>
      </c>
      <c r="M4909">
        <v>0.99962519999999999</v>
      </c>
      <c r="N4909">
        <v>-1.1465349999999999E-2</v>
      </c>
      <c r="O4909">
        <v>-2.4863819999999998E-2</v>
      </c>
      <c r="P4909">
        <v>0.99236080000000004</v>
      </c>
      <c r="Q4909">
        <v>0.1219181</v>
      </c>
      <c r="R4909">
        <v>1.888076E-2</v>
      </c>
      <c r="S4909">
        <v>3.1463930000000002</v>
      </c>
      <c r="T4909">
        <v>-0.9566344</v>
      </c>
      <c r="U4909">
        <v>-0.3128204</v>
      </c>
      <c r="V4909">
        <v>-4.3639320000000002E-2</v>
      </c>
      <c r="W4909">
        <v>0.13325029999999999</v>
      </c>
      <c r="X4909">
        <v>0.99012120000000003</v>
      </c>
      <c r="Y4909">
        <v>7.1847830000000001E-2</v>
      </c>
      <c r="Z4909">
        <v>-3.9844149999999998E-3</v>
      </c>
      <c r="AA4909">
        <v>0.99740770000000001</v>
      </c>
      <c r="AB4909">
        <v>25</v>
      </c>
      <c r="AC4909">
        <v>0.58819999999997197</v>
      </c>
      <c r="AD4909">
        <v>-0.25535239999999998</v>
      </c>
      <c r="AE4909">
        <v>-7.7899999999999595E-2</v>
      </c>
      <c r="AF4909">
        <v>5.3365847655433001E-2</v>
      </c>
      <c r="AG4909">
        <v>-0.25535239999999998</v>
      </c>
      <c r="AH4909">
        <v>0.49776172825771597</v>
      </c>
      <c r="AI4909">
        <v>117.025134627648</v>
      </c>
      <c r="AJ4909">
        <v>83.880600627096996</v>
      </c>
      <c r="AK4909">
        <v>0.561978202424125</v>
      </c>
      <c r="AL4909">
        <v>82.342544722696601</v>
      </c>
      <c r="AM4909">
        <v>92.523662454190102</v>
      </c>
      <c r="AN4909">
        <v>1.00000001169479</v>
      </c>
    </row>
    <row r="4910" spans="1:40" x14ac:dyDescent="0.25">
      <c r="A4910" t="str">
        <f>"20190303162008594"</f>
        <v>20190303162008594</v>
      </c>
      <c r="B4910" t="str">
        <f>"1551601208587559"</f>
        <v>1551601208587559</v>
      </c>
      <c r="C4910" t="s">
        <v>40</v>
      </c>
      <c r="D4910">
        <v>4.6802590000000004</v>
      </c>
      <c r="E4910">
        <v>0.50946459999999905</v>
      </c>
      <c r="F4910" t="s">
        <v>42</v>
      </c>
      <c r="G4910">
        <v>-433.0804</v>
      </c>
      <c r="H4910">
        <v>0.96192869999999997</v>
      </c>
      <c r="I4910">
        <v>214.8535</v>
      </c>
      <c r="J4910">
        <v>-433.6662</v>
      </c>
      <c r="K4910">
        <v>1.121564</v>
      </c>
      <c r="L4910">
        <v>214.89779999999999</v>
      </c>
      <c r="M4910">
        <v>0.99963630000000003</v>
      </c>
      <c r="N4910">
        <v>-1.146691E-2</v>
      </c>
      <c r="O4910">
        <v>-2.440898E-2</v>
      </c>
      <c r="P4910">
        <v>0.99222679999999996</v>
      </c>
      <c r="Q4910">
        <v>0.1229927</v>
      </c>
      <c r="R4910">
        <v>1.894823E-2</v>
      </c>
      <c r="S4910">
        <v>3.0978089999999998</v>
      </c>
      <c r="T4910">
        <v>-0.57986530000000003</v>
      </c>
      <c r="U4910">
        <v>-0.18266299999999999</v>
      </c>
      <c r="V4910">
        <v>-4.3251520000000002E-2</v>
      </c>
      <c r="W4910">
        <v>0.13432529999999901</v>
      </c>
      <c r="X4910">
        <v>0.98999289999999995</v>
      </c>
      <c r="Y4910">
        <v>3.4220130000000001E-2</v>
      </c>
      <c r="Z4910">
        <v>8.7655479999999896E-4</v>
      </c>
      <c r="AA4910">
        <v>0.99941389999999997</v>
      </c>
      <c r="AB4910">
        <v>25</v>
      </c>
      <c r="AC4910">
        <v>0.58580000000000598</v>
      </c>
      <c r="AD4910">
        <v>-0.15963529999999901</v>
      </c>
      <c r="AE4910">
        <v>-4.4299999999992602E-2</v>
      </c>
      <c r="AF4910">
        <v>2.79251306462279E-2</v>
      </c>
      <c r="AG4910">
        <v>-0.15963529999999901</v>
      </c>
      <c r="AH4910">
        <v>0.54636415141485195</v>
      </c>
      <c r="AI4910">
        <v>106.2670651326</v>
      </c>
      <c r="AJ4910">
        <v>87.0741106009188</v>
      </c>
      <c r="AK4910">
        <v>0.56989211950944696</v>
      </c>
      <c r="AL4910">
        <v>82.280392620795894</v>
      </c>
      <c r="AM4910">
        <v>92.501588329327006</v>
      </c>
      <c r="AN4910">
        <v>0.99999996112640399</v>
      </c>
    </row>
    <row r="4911" spans="1:40" x14ac:dyDescent="0.25">
      <c r="A4911" t="str">
        <f>"20190303162008615"</f>
        <v>20190303162008615</v>
      </c>
      <c r="B4911" t="str">
        <f>"1551601208607079"</f>
        <v>1551601208607079</v>
      </c>
      <c r="C4911" t="s">
        <v>40</v>
      </c>
      <c r="D4911">
        <v>4.7122109999999999</v>
      </c>
      <c r="E4911">
        <v>0.50535090000000005</v>
      </c>
      <c r="F4911" t="s">
        <v>56</v>
      </c>
      <c r="G4911">
        <v>-420.03269999999998</v>
      </c>
      <c r="H4911" s="1">
        <v>3.9462039999999997E-6</v>
      </c>
      <c r="I4911">
        <v>214.7604</v>
      </c>
      <c r="J4911">
        <v>-433.4298</v>
      </c>
      <c r="K4911">
        <v>1.1215649999999999</v>
      </c>
      <c r="L4911">
        <v>214.89250000000001</v>
      </c>
      <c r="M4911">
        <v>0.99964600000000003</v>
      </c>
      <c r="N4911">
        <v>-1.1468310000000001E-2</v>
      </c>
      <c r="O4911">
        <v>-2.4010770000000001E-2</v>
      </c>
      <c r="P4911">
        <v>0.99214880000000005</v>
      </c>
      <c r="Q4911">
        <v>0.1236193</v>
      </c>
      <c r="R4911">
        <v>1.8956939999999999E-2</v>
      </c>
      <c r="S4911">
        <v>3.055237</v>
      </c>
      <c r="T4911">
        <v>-0.25133860000000002</v>
      </c>
      <c r="U4911">
        <v>-3.0792239999999999E-2</v>
      </c>
      <c r="V4911">
        <v>-4.286309E-2</v>
      </c>
      <c r="W4911">
        <v>0.1349532</v>
      </c>
      <c r="X4911">
        <v>0.98992440000000004</v>
      </c>
      <c r="Y4911">
        <v>-1.382277E-2</v>
      </c>
      <c r="Z4911">
        <v>2.3436770000000002E-3</v>
      </c>
      <c r="AA4911">
        <v>0.9999017</v>
      </c>
      <c r="AB4911">
        <v>25</v>
      </c>
      <c r="AC4911">
        <v>13.3971</v>
      </c>
      <c r="AD4911">
        <v>-1.1215610537959999</v>
      </c>
      <c r="AE4911">
        <v>-0.13210000000000799</v>
      </c>
      <c r="AF4911">
        <v>-0.18831423602766401</v>
      </c>
      <c r="AG4911">
        <v>-1.1215610537959999</v>
      </c>
      <c r="AH4911">
        <v>13.303183023596899</v>
      </c>
      <c r="AI4911">
        <v>94.818600049388706</v>
      </c>
      <c r="AJ4911">
        <v>90.811000670944793</v>
      </c>
      <c r="AK4911">
        <v>13.351705509342199</v>
      </c>
      <c r="AL4911">
        <v>82.2440860395687</v>
      </c>
      <c r="AM4911">
        <v>92.479321746537707</v>
      </c>
      <c r="AN4911">
        <v>0.99999996419497295</v>
      </c>
    </row>
    <row r="4912" spans="1:40" x14ac:dyDescent="0.25">
      <c r="A4912" t="str">
        <f>"20190303162008636"</f>
        <v>20190303162008636</v>
      </c>
      <c r="B4912" t="str">
        <f>"1551601208627576"</f>
        <v>1551601208627576</v>
      </c>
      <c r="C4912" t="s">
        <v>40</v>
      </c>
      <c r="D4912">
        <v>4.7051999999999996</v>
      </c>
      <c r="E4912">
        <v>0.50372399999999995</v>
      </c>
      <c r="F4912" t="s">
        <v>56</v>
      </c>
      <c r="G4912">
        <v>-412.16449999999998</v>
      </c>
      <c r="H4912" s="1">
        <v>2.5632490000000002E-6</v>
      </c>
      <c r="I4912">
        <v>214.91890000000001</v>
      </c>
      <c r="J4912">
        <v>-433.20010000000002</v>
      </c>
      <c r="K4912">
        <v>1.121564</v>
      </c>
      <c r="L4912">
        <v>214.88740000000001</v>
      </c>
      <c r="M4912">
        <v>0.99965519999999997</v>
      </c>
      <c r="N4912">
        <v>-1.146951E-2</v>
      </c>
      <c r="O4912">
        <v>-2.3628759999999999E-2</v>
      </c>
      <c r="P4912">
        <v>0.99207610000000002</v>
      </c>
      <c r="Q4912">
        <v>0.1241868</v>
      </c>
      <c r="R4912">
        <v>1.9060859999999999E-2</v>
      </c>
      <c r="S4912">
        <v>3.0436399999999999</v>
      </c>
      <c r="T4912">
        <v>-0.16052640000000001</v>
      </c>
      <c r="U4912">
        <v>3.7841799999999998E-3</v>
      </c>
      <c r="V4912">
        <v>-4.2585970000000001E-2</v>
      </c>
      <c r="W4912">
        <v>0.13552159999999999</v>
      </c>
      <c r="X4912">
        <v>0.98985869999999998</v>
      </c>
      <c r="Y4912">
        <v>-2.4811159999999999E-2</v>
      </c>
      <c r="Z4912">
        <v>1.7706270000000001E-3</v>
      </c>
      <c r="AA4912">
        <v>0.99969059999999998</v>
      </c>
      <c r="AB4912">
        <v>25</v>
      </c>
      <c r="AC4912">
        <v>21.035599999999999</v>
      </c>
      <c r="AD4912">
        <v>-1.1215614367510001</v>
      </c>
      <c r="AE4912">
        <v>3.1499999999993998E-2</v>
      </c>
      <c r="AF4912">
        <v>-0.527070629487152</v>
      </c>
      <c r="AG4912">
        <v>-1.1215614367510001</v>
      </c>
      <c r="AH4912">
        <v>20.9693715484308</v>
      </c>
      <c r="AI4912">
        <v>93.060622603447499</v>
      </c>
      <c r="AJ4912">
        <v>91.439841208854901</v>
      </c>
      <c r="AK4912">
        <v>21.0059574083404</v>
      </c>
      <c r="AL4912">
        <v>82.211217104826403</v>
      </c>
      <c r="AM4912">
        <v>92.463475451371195</v>
      </c>
      <c r="AN4912">
        <v>0.99999995743654402</v>
      </c>
    </row>
    <row r="4913" spans="1:40" x14ac:dyDescent="0.25">
      <c r="A4913" t="str">
        <f>"20190303162008658"</f>
        <v>20190303162008658</v>
      </c>
      <c r="B4913" t="str">
        <f>"1551601208647095"</f>
        <v>1551601208647095</v>
      </c>
      <c r="C4913" t="s">
        <v>40</v>
      </c>
      <c r="D4913">
        <v>4.6705759999999996</v>
      </c>
      <c r="E4913">
        <v>0.50263230000000003</v>
      </c>
      <c r="F4913" t="s">
        <v>56</v>
      </c>
      <c r="G4913">
        <v>-405.40980000000002</v>
      </c>
      <c r="H4913" s="1">
        <v>5.9132149999999998E-6</v>
      </c>
      <c r="I4913">
        <v>215.05189999999999</v>
      </c>
      <c r="J4913">
        <v>-432.95909999999998</v>
      </c>
      <c r="K4913">
        <v>1.1215619999999999</v>
      </c>
      <c r="L4913">
        <v>214.88210000000001</v>
      </c>
      <c r="M4913">
        <v>0.99966429999999995</v>
      </c>
      <c r="N4913">
        <v>-1.14707E-2</v>
      </c>
      <c r="O4913">
        <v>-2.3231849999999998E-2</v>
      </c>
      <c r="P4913">
        <v>0.99215249999999999</v>
      </c>
      <c r="Q4913">
        <v>0.1236381</v>
      </c>
      <c r="R4913">
        <v>1.8637379999999999E-2</v>
      </c>
      <c r="S4913">
        <v>3.0390009999999998</v>
      </c>
      <c r="T4913">
        <v>-0.1226476</v>
      </c>
      <c r="U4913">
        <v>1.799011E-2</v>
      </c>
      <c r="V4913">
        <v>-4.1769229999999997E-2</v>
      </c>
      <c r="W4913">
        <v>0.13497590000000001</v>
      </c>
      <c r="X4913">
        <v>0.98996810000000002</v>
      </c>
      <c r="Y4913">
        <v>-2.911089E-2</v>
      </c>
      <c r="Z4913">
        <v>1.424961E-3</v>
      </c>
      <c r="AA4913">
        <v>0.9995752</v>
      </c>
      <c r="AB4913">
        <v>25</v>
      </c>
      <c r="AC4913">
        <v>27.549299999999899</v>
      </c>
      <c r="AD4913">
        <v>-1.1215560867850001</v>
      </c>
      <c r="AE4913">
        <v>0.16979999999997999</v>
      </c>
      <c r="AF4913">
        <v>-0.80847757846212598</v>
      </c>
      <c r="AG4913">
        <v>-1.1215560867850001</v>
      </c>
      <c r="AH4913">
        <v>27.4923551332387</v>
      </c>
      <c r="AI4913">
        <v>92.335088980685498</v>
      </c>
      <c r="AJ4913">
        <v>91.684432152045105</v>
      </c>
      <c r="AK4913">
        <v>27.527097827827699</v>
      </c>
      <c r="AL4913">
        <v>82.242773699412297</v>
      </c>
      <c r="AM4913">
        <v>92.416019239950003</v>
      </c>
      <c r="AN4913">
        <v>1.0000000005866001</v>
      </c>
    </row>
    <row r="4914" spans="1:40" x14ac:dyDescent="0.25">
      <c r="A4914" t="str">
        <f>"20190303162008681"</f>
        <v>20190303162008681</v>
      </c>
      <c r="B4914" t="str">
        <f>"1551601208667591"</f>
        <v>1551601208667591</v>
      </c>
      <c r="C4914" t="s">
        <v>40</v>
      </c>
      <c r="D4914">
        <v>4.6131729999999997</v>
      </c>
      <c r="E4914">
        <v>0.50184329999999999</v>
      </c>
      <c r="F4914" t="s">
        <v>56</v>
      </c>
      <c r="G4914">
        <v>-399.99880000000002</v>
      </c>
      <c r="H4914" s="1">
        <v>8.2884199999999998E-6</v>
      </c>
      <c r="I4914">
        <v>215.16970000000001</v>
      </c>
      <c r="J4914">
        <v>-432.7063</v>
      </c>
      <c r="K4914">
        <v>1.1215520000000001</v>
      </c>
      <c r="L4914">
        <v>214.8767</v>
      </c>
      <c r="M4914">
        <v>0.99967379999999995</v>
      </c>
      <c r="N4914">
        <v>-1.1472E-2</v>
      </c>
      <c r="O4914">
        <v>-2.2818479999999999E-2</v>
      </c>
      <c r="P4914">
        <v>0.99212040000000001</v>
      </c>
      <c r="Q4914">
        <v>0.1239664</v>
      </c>
      <c r="R4914">
        <v>1.8159600000000001E-2</v>
      </c>
      <c r="S4914">
        <v>3.0361020000000001</v>
      </c>
      <c r="T4914">
        <v>-0.10331079999999999</v>
      </c>
      <c r="U4914">
        <v>2.6489260000000001E-2</v>
      </c>
      <c r="V4914">
        <v>-4.0880359999999998E-2</v>
      </c>
      <c r="W4914">
        <v>0.1353066</v>
      </c>
      <c r="X4914">
        <v>0.98996010000000001</v>
      </c>
      <c r="Y4914">
        <v>-3.1511079999999997E-2</v>
      </c>
      <c r="Z4914">
        <v>1.2312289999999999E-3</v>
      </c>
      <c r="AA4914">
        <v>0.99950269999999997</v>
      </c>
      <c r="AB4914">
        <v>25</v>
      </c>
      <c r="AC4914">
        <v>32.707499999999897</v>
      </c>
      <c r="AD4914">
        <v>-1.12154371158</v>
      </c>
      <c r="AE4914">
        <v>0.29300000000000598</v>
      </c>
      <c r="AF4914">
        <v>-1.0380877546311</v>
      </c>
      <c r="AG4914">
        <v>-1.12154371158</v>
      </c>
      <c r="AH4914">
        <v>32.653904639242299</v>
      </c>
      <c r="AI4914">
        <v>91.966137350272405</v>
      </c>
      <c r="AJ4914">
        <v>91.8208548984625</v>
      </c>
      <c r="AK4914">
        <v>32.6896462916323</v>
      </c>
      <c r="AL4914">
        <v>82.223650862047293</v>
      </c>
      <c r="AM4914">
        <v>92.364683231905701</v>
      </c>
      <c r="AN4914">
        <v>1.00000003971464</v>
      </c>
    </row>
    <row r="4915" spans="1:40" x14ac:dyDescent="0.25">
      <c r="A4915" t="str">
        <f>"20190303162008703"</f>
        <v>20190303162008703</v>
      </c>
      <c r="B4915" t="str">
        <f>"1551601208697847"</f>
        <v>1551601208697847</v>
      </c>
      <c r="C4915" t="s">
        <v>40</v>
      </c>
      <c r="D4915">
        <v>4.7196860000000003</v>
      </c>
      <c r="E4915">
        <v>0.50144319999999998</v>
      </c>
      <c r="F4915" t="s">
        <v>52</v>
      </c>
      <c r="G4915">
        <v>-394.47609999999997</v>
      </c>
      <c r="H4915" s="1">
        <v>8.4514789999999997E-7</v>
      </c>
      <c r="I4915">
        <v>215.2885</v>
      </c>
      <c r="J4915">
        <v>-432.459</v>
      </c>
      <c r="K4915">
        <v>1.1215630000000001</v>
      </c>
      <c r="L4915">
        <v>214.8715</v>
      </c>
      <c r="M4915">
        <v>0.99968290000000004</v>
      </c>
      <c r="N4915">
        <v>-1.147332E-2</v>
      </c>
      <c r="O4915">
        <v>-2.2415830000000001E-2</v>
      </c>
      <c r="P4915">
        <v>0.99215640000000005</v>
      </c>
      <c r="Q4915">
        <v>0.12375709999999999</v>
      </c>
      <c r="R4915">
        <v>1.760128E-2</v>
      </c>
      <c r="S4915">
        <v>3.0343629999999999</v>
      </c>
      <c r="T4915">
        <v>-8.9018459999999994E-2</v>
      </c>
      <c r="U4915">
        <v>3.2684329999999998E-2</v>
      </c>
      <c r="V4915">
        <v>-3.992275E-2</v>
      </c>
      <c r="W4915">
        <v>0.1351002</v>
      </c>
      <c r="X4915">
        <v>0.99002730000000005</v>
      </c>
      <c r="Y4915">
        <v>-3.316065E-2</v>
      </c>
      <c r="Z4915">
        <v>1.076862E-3</v>
      </c>
      <c r="AA4915">
        <v>0.99944940000000004</v>
      </c>
      <c r="AB4915">
        <v>25</v>
      </c>
      <c r="AC4915">
        <v>37.982900000000001</v>
      </c>
      <c r="AD4915">
        <v>-1.12156215485209</v>
      </c>
      <c r="AE4915">
        <v>0.41700000000000098</v>
      </c>
      <c r="AF4915">
        <v>-1.26726467458832</v>
      </c>
      <c r="AG4915">
        <v>-1.12156215485209</v>
      </c>
      <c r="AH4915">
        <v>37.930938617776697</v>
      </c>
      <c r="AI4915">
        <v>91.692714688632705</v>
      </c>
      <c r="AJ4915">
        <v>91.913528175312607</v>
      </c>
      <c r="AK4915">
        <v>37.968670846478197</v>
      </c>
      <c r="AL4915">
        <v>82.235585777256006</v>
      </c>
      <c r="AM4915">
        <v>92.309195354508006</v>
      </c>
      <c r="AN4915">
        <v>0.999999972376445</v>
      </c>
    </row>
    <row r="4916" spans="1:40" x14ac:dyDescent="0.25">
      <c r="A4916" t="str">
        <f>"20190303162008726"</f>
        <v>20190303162008726</v>
      </c>
      <c r="B4916" t="str">
        <f>"1551601208717368"</f>
        <v>1551601208717368</v>
      </c>
      <c r="C4916" t="s">
        <v>40</v>
      </c>
      <c r="D4916">
        <v>4.6905469999999996</v>
      </c>
      <c r="E4916">
        <v>0.50116930000000004</v>
      </c>
      <c r="F4916" t="s">
        <v>52</v>
      </c>
      <c r="G4916">
        <v>-389.23430000000002</v>
      </c>
      <c r="H4916" s="1">
        <v>3.3440789999999999E-6</v>
      </c>
      <c r="I4916">
        <v>215.37540000000001</v>
      </c>
      <c r="J4916">
        <v>-432.21809999999999</v>
      </c>
      <c r="K4916">
        <v>1.1215599999999999</v>
      </c>
      <c r="L4916">
        <v>214.86660000000001</v>
      </c>
      <c r="M4916">
        <v>0.99969160000000001</v>
      </c>
      <c r="N4916">
        <v>-1.1474760000000001E-2</v>
      </c>
      <c r="O4916">
        <v>-2.2023910000000001E-2</v>
      </c>
      <c r="P4916">
        <v>0.99215609999999999</v>
      </c>
      <c r="Q4916">
        <v>0.1238751</v>
      </c>
      <c r="R4916">
        <v>1.6773090000000001E-2</v>
      </c>
      <c r="S4916">
        <v>3.0328979999999999</v>
      </c>
      <c r="T4916">
        <v>-7.8695299999999996E-2</v>
      </c>
      <c r="U4916">
        <v>3.5354610000000002E-2</v>
      </c>
      <c r="V4916">
        <v>-3.870552E-2</v>
      </c>
      <c r="W4916">
        <v>0.13522110000000001</v>
      </c>
      <c r="X4916">
        <v>0.99005909999999997</v>
      </c>
      <c r="Y4916">
        <v>-3.3658639999999997E-2</v>
      </c>
      <c r="Z4916">
        <v>9.4838340000000004E-4</v>
      </c>
      <c r="AA4916">
        <v>0.99943289999999996</v>
      </c>
      <c r="AB4916">
        <v>25</v>
      </c>
      <c r="AC4916">
        <v>42.983799999999903</v>
      </c>
      <c r="AD4916">
        <v>-1.121556655921</v>
      </c>
      <c r="AE4916">
        <v>0.50880000000000702</v>
      </c>
      <c r="AF4916">
        <v>-1.45442017513181</v>
      </c>
      <c r="AG4916">
        <v>-1.121556655921</v>
      </c>
      <c r="AH4916">
        <v>42.9329406129078</v>
      </c>
      <c r="AI4916">
        <v>91.495565725610604</v>
      </c>
      <c r="AJ4916">
        <v>91.940241700462295</v>
      </c>
      <c r="AK4916">
        <v>42.972207495656299</v>
      </c>
      <c r="AL4916">
        <v>82.228594328861703</v>
      </c>
      <c r="AM4916">
        <v>92.238789769640604</v>
      </c>
      <c r="AN4916">
        <v>0.99999994232824296</v>
      </c>
    </row>
    <row r="4917" spans="1:40" x14ac:dyDescent="0.25">
      <c r="A4917" t="str">
        <f>"20190303162008747"</f>
        <v>20190303162008747</v>
      </c>
      <c r="B4917" t="str">
        <f>"1551601208736887"</f>
        <v>1551601208736887</v>
      </c>
      <c r="C4917" t="s">
        <v>40</v>
      </c>
      <c r="D4917">
        <v>4.7288189999999997</v>
      </c>
      <c r="E4917">
        <v>0.50096949999999996</v>
      </c>
      <c r="F4917" t="s">
        <v>52</v>
      </c>
      <c r="G4917">
        <v>-385.9196</v>
      </c>
      <c r="H4917" s="1">
        <v>1.5785870000000001E-6</v>
      </c>
      <c r="I4917">
        <v>215.41079999999999</v>
      </c>
      <c r="J4917">
        <v>-431.97300000000001</v>
      </c>
      <c r="K4917">
        <v>1.1215569999999999</v>
      </c>
      <c r="L4917">
        <v>214.86160000000001</v>
      </c>
      <c r="M4917">
        <v>0.99970049999999999</v>
      </c>
      <c r="N4917">
        <v>-1.147608E-2</v>
      </c>
      <c r="O4917">
        <v>-2.1624589999999999E-2</v>
      </c>
      <c r="P4917">
        <v>0.99221550000000003</v>
      </c>
      <c r="Q4917">
        <v>0.1234257</v>
      </c>
      <c r="R4917">
        <v>1.6573620000000001E-2</v>
      </c>
      <c r="S4917">
        <v>3.0322879999999999</v>
      </c>
      <c r="T4917">
        <v>-7.3455690000000004E-2</v>
      </c>
      <c r="U4917">
        <v>3.5644530000000001E-2</v>
      </c>
      <c r="V4917">
        <v>-3.8111119999999998E-2</v>
      </c>
      <c r="W4917">
        <v>0.1347737</v>
      </c>
      <c r="X4917">
        <v>0.9901432</v>
      </c>
      <c r="Y4917">
        <v>-3.3359779999999999E-2</v>
      </c>
      <c r="Z4917">
        <v>8.7104670000000002E-4</v>
      </c>
      <c r="AA4917">
        <v>0.99944310000000003</v>
      </c>
      <c r="AB4917">
        <v>25</v>
      </c>
      <c r="AC4917">
        <v>46.053400000000003</v>
      </c>
      <c r="AD4917">
        <v>-1.1215554214129999</v>
      </c>
      <c r="AE4917">
        <v>0.54919999999998403</v>
      </c>
      <c r="AF4917">
        <v>-1.5441071730656499</v>
      </c>
      <c r="AG4917">
        <v>-1.1215554214129999</v>
      </c>
      <c r="AH4917">
        <v>46.003472348639498</v>
      </c>
      <c r="AI4917">
        <v>91.395797222260498</v>
      </c>
      <c r="AJ4917">
        <v>91.922411896654296</v>
      </c>
      <c r="AK4917">
        <v>46.043040968828798</v>
      </c>
      <c r="AL4917">
        <v>82.254465596207396</v>
      </c>
      <c r="AM4917">
        <v>92.204255843190296</v>
      </c>
      <c r="AN4917">
        <v>0.99999998209279195</v>
      </c>
    </row>
    <row r="4918" spans="1:40" x14ac:dyDescent="0.25">
      <c r="A4918" t="str">
        <f>"20190303162008772"</f>
        <v>20190303162008772</v>
      </c>
      <c r="B4918" t="str">
        <f>"1551601208757383"</f>
        <v>1551601208757383</v>
      </c>
      <c r="C4918" t="s">
        <v>40</v>
      </c>
      <c r="D4918">
        <v>4.6905010000000003</v>
      </c>
      <c r="E4918">
        <v>0.50099519999999997</v>
      </c>
      <c r="F4918" t="s">
        <v>52</v>
      </c>
      <c r="G4918">
        <v>-383.22190000000001</v>
      </c>
      <c r="H4918" s="1">
        <v>1.41287399999999E-7</v>
      </c>
      <c r="I4918">
        <v>215.45079999999999</v>
      </c>
      <c r="J4918">
        <v>-431.70569999999998</v>
      </c>
      <c r="K4918">
        <v>1.1215550000000001</v>
      </c>
      <c r="L4918">
        <v>214.85640000000001</v>
      </c>
      <c r="M4918">
        <v>0.99970950000000003</v>
      </c>
      <c r="N4918">
        <v>-1.147752E-2</v>
      </c>
      <c r="O4918">
        <v>-2.118832E-2</v>
      </c>
      <c r="P4918">
        <v>0.99222949999999999</v>
      </c>
      <c r="Q4918">
        <v>0.1233708</v>
      </c>
      <c r="R4918">
        <v>1.613055E-2</v>
      </c>
      <c r="S4918">
        <v>3.031647</v>
      </c>
      <c r="T4918">
        <v>-6.9745420000000002E-2</v>
      </c>
      <c r="U4918">
        <v>3.6636349999999998E-2</v>
      </c>
      <c r="V4918">
        <v>-3.7235560000000001E-2</v>
      </c>
      <c r="W4918">
        <v>0.1347217</v>
      </c>
      <c r="X4918">
        <v>0.99018360000000005</v>
      </c>
      <c r="Y4918">
        <v>-3.3254619999999999E-2</v>
      </c>
      <c r="Z4918">
        <v>8.1753279999999999E-4</v>
      </c>
      <c r="AA4918">
        <v>0.99944659999999996</v>
      </c>
      <c r="AB4918">
        <v>25</v>
      </c>
      <c r="AC4918">
        <v>48.483799999999903</v>
      </c>
      <c r="AD4918">
        <v>-1.1215548587126001</v>
      </c>
      <c r="AE4918">
        <v>0.59439999999997895</v>
      </c>
      <c r="AF4918">
        <v>-1.62075744050779</v>
      </c>
      <c r="AG4918">
        <v>-1.1215548587126001</v>
      </c>
      <c r="AH4918">
        <v>48.434404777149098</v>
      </c>
      <c r="AI4918">
        <v>91.325771408577907</v>
      </c>
      <c r="AJ4918">
        <v>91.916569908079794</v>
      </c>
      <c r="AK4918">
        <v>48.474491292831402</v>
      </c>
      <c r="AL4918">
        <v>82.257472480432398</v>
      </c>
      <c r="AM4918">
        <v>92.153576009308296</v>
      </c>
      <c r="AN4918">
        <v>0.99999999254418104</v>
      </c>
    </row>
    <row r="4919" spans="1:40" x14ac:dyDescent="0.25">
      <c r="A4919" t="str">
        <f>"20190303162008793"</f>
        <v>20190303162008793</v>
      </c>
      <c r="B4919" t="str">
        <f>"1551601208787639"</f>
        <v>1551601208787639</v>
      </c>
      <c r="C4919" t="s">
        <v>40</v>
      </c>
      <c r="D4919">
        <v>4.674067</v>
      </c>
      <c r="E4919">
        <v>0.50077649999999996</v>
      </c>
      <c r="F4919" t="s">
        <v>52</v>
      </c>
      <c r="G4919">
        <v>-380.45979999999997</v>
      </c>
      <c r="H4919" s="1">
        <v>-1.328667E-6</v>
      </c>
      <c r="I4919">
        <v>215.4528</v>
      </c>
      <c r="J4919">
        <v>-431.4683</v>
      </c>
      <c r="K4919">
        <v>1.121559</v>
      </c>
      <c r="L4919">
        <v>214.8518</v>
      </c>
      <c r="M4919">
        <v>0.99971770000000004</v>
      </c>
      <c r="N4919">
        <v>-1.147871E-2</v>
      </c>
      <c r="O4919">
        <v>-2.0801030000000002E-2</v>
      </c>
      <c r="P4919">
        <v>0.99217299999999997</v>
      </c>
      <c r="Q4919">
        <v>0.1238398</v>
      </c>
      <c r="R4919">
        <v>1.60176E-2</v>
      </c>
      <c r="S4919">
        <v>3.0311889999999999</v>
      </c>
      <c r="T4919">
        <v>-6.6339969999999998E-2</v>
      </c>
      <c r="U4919">
        <v>3.5278320000000002E-2</v>
      </c>
      <c r="V4919">
        <v>-3.673742E-2</v>
      </c>
      <c r="W4919">
        <v>0.13519139999999999</v>
      </c>
      <c r="X4919">
        <v>0.99013819999999997</v>
      </c>
      <c r="Y4919">
        <v>-3.2423170000000001E-2</v>
      </c>
      <c r="Z4919">
        <v>7.5728869999999997E-4</v>
      </c>
      <c r="AA4919">
        <v>0.99947390000000003</v>
      </c>
      <c r="AB4919">
        <v>25</v>
      </c>
      <c r="AC4919">
        <v>51.008499999999998</v>
      </c>
      <c r="AD4919">
        <v>-1.121560328667</v>
      </c>
      <c r="AE4919">
        <v>0.60099999999999898</v>
      </c>
      <c r="AF4919">
        <v>-1.6611662397020199</v>
      </c>
      <c r="AG4919">
        <v>-1.121560328667</v>
      </c>
      <c r="AH4919">
        <v>50.960326017717399</v>
      </c>
      <c r="AI4919">
        <v>91.260121521166695</v>
      </c>
      <c r="AJ4919">
        <v>91.867023470139699</v>
      </c>
      <c r="AK4919">
        <v>50.9997274372992</v>
      </c>
      <c r="AL4919">
        <v>82.230312265385606</v>
      </c>
      <c r="AM4919">
        <v>92.124889238065904</v>
      </c>
      <c r="AN4919">
        <v>1.00000000388072</v>
      </c>
    </row>
    <row r="4920" spans="1:40" x14ac:dyDescent="0.25">
      <c r="A4920" t="str">
        <f>"20190303162008817"</f>
        <v>20190303162008817</v>
      </c>
      <c r="B4920" t="str">
        <f>"1551601208807159"</f>
        <v>1551601208807159</v>
      </c>
      <c r="C4920" t="s">
        <v>40</v>
      </c>
      <c r="D4920">
        <v>4.6614089999999999</v>
      </c>
      <c r="E4920">
        <v>0.50056540000000005</v>
      </c>
      <c r="F4920" t="s">
        <v>52</v>
      </c>
      <c r="G4920">
        <v>-375.91890000000001</v>
      </c>
      <c r="H4920" s="1">
        <v>1.612945E-6</v>
      </c>
      <c r="I4920">
        <v>215.52780000000001</v>
      </c>
      <c r="J4920">
        <v>-431.20859999999999</v>
      </c>
      <c r="K4920">
        <v>1.121561</v>
      </c>
      <c r="L4920">
        <v>214.84690000000001</v>
      </c>
      <c r="M4920">
        <v>0.99972649999999996</v>
      </c>
      <c r="N4920">
        <v>-1.148007E-2</v>
      </c>
      <c r="O4920">
        <v>-2.03769E-2</v>
      </c>
      <c r="P4920">
        <v>0.99204369999999997</v>
      </c>
      <c r="Q4920">
        <v>0.1247716</v>
      </c>
      <c r="R4920">
        <v>1.6782249999999999E-2</v>
      </c>
      <c r="S4920">
        <v>3.0307010000000001</v>
      </c>
      <c r="T4920">
        <v>-6.1190609999999999E-2</v>
      </c>
      <c r="U4920">
        <v>3.6880490000000002E-2</v>
      </c>
      <c r="V4920">
        <v>-3.70792E-2</v>
      </c>
      <c r="W4920">
        <v>0.13612299999999999</v>
      </c>
      <c r="X4920">
        <v>0.98999780000000004</v>
      </c>
      <c r="Y4920">
        <v>-3.25311E-2</v>
      </c>
      <c r="Z4920">
        <v>6.9255979999999998E-4</v>
      </c>
      <c r="AA4920">
        <v>0.99947050000000004</v>
      </c>
      <c r="AB4920">
        <v>25</v>
      </c>
      <c r="AC4920">
        <v>55.289699999999897</v>
      </c>
      <c r="AD4920">
        <v>-1.121559387055</v>
      </c>
      <c r="AE4920">
        <v>0.68090000000000805</v>
      </c>
      <c r="AF4920">
        <v>-1.80672216387411</v>
      </c>
      <c r="AG4920">
        <v>-1.121559387055</v>
      </c>
      <c r="AH4920">
        <v>55.241615352388102</v>
      </c>
      <c r="AI4920">
        <v>91.162483473463894</v>
      </c>
      <c r="AJ4920">
        <v>91.873237555835502</v>
      </c>
      <c r="AK4920">
        <v>55.282530759520498</v>
      </c>
      <c r="AL4920">
        <v>82.176437387388603</v>
      </c>
      <c r="AM4920">
        <v>92.1449432548158</v>
      </c>
      <c r="AN4920">
        <v>0.99999999110324</v>
      </c>
    </row>
    <row r="4921" spans="1:40" x14ac:dyDescent="0.25">
      <c r="A4921" t="str">
        <f>"20190303162008837"</f>
        <v>20190303162008837</v>
      </c>
      <c r="B4921" t="str">
        <f>"1551601208827655"</f>
        <v>1551601208827655</v>
      </c>
      <c r="C4921" t="s">
        <v>40</v>
      </c>
      <c r="D4921">
        <v>4.6532479999999996</v>
      </c>
      <c r="E4921">
        <v>0.5003898</v>
      </c>
      <c r="F4921" t="s">
        <v>52</v>
      </c>
      <c r="G4921">
        <v>-371.05360000000002</v>
      </c>
      <c r="H4921" s="1">
        <v>-9.7614159999999999E-7</v>
      </c>
      <c r="I4921">
        <v>215.66159999999999</v>
      </c>
      <c r="J4921">
        <v>-430.98070000000001</v>
      </c>
      <c r="K4921">
        <v>1.1215580000000001</v>
      </c>
      <c r="L4921">
        <v>214.84270000000001</v>
      </c>
      <c r="M4921">
        <v>0.99973400000000001</v>
      </c>
      <c r="N4921">
        <v>-1.148125E-2</v>
      </c>
      <c r="O4921">
        <v>-2.0004870000000001E-2</v>
      </c>
      <c r="P4921">
        <v>0.99192150000000001</v>
      </c>
      <c r="Q4921">
        <v>0.12560669999999999</v>
      </c>
      <c r="R4921">
        <v>1.774916E-2</v>
      </c>
      <c r="S4921">
        <v>3.0304869999999999</v>
      </c>
      <c r="T4921">
        <v>-5.650198E-2</v>
      </c>
      <c r="U4921">
        <v>4.1046140000000002E-2</v>
      </c>
      <c r="V4921">
        <v>-3.7675279999999998E-2</v>
      </c>
      <c r="W4921">
        <v>0.13695769999999999</v>
      </c>
      <c r="X4921">
        <v>0.98986019999999997</v>
      </c>
      <c r="Y4921">
        <v>-3.3534870000000001E-2</v>
      </c>
      <c r="Z4921">
        <v>6.4838440000000003E-4</v>
      </c>
      <c r="AA4921">
        <v>0.99943729999999997</v>
      </c>
      <c r="AB4921">
        <v>25</v>
      </c>
      <c r="AC4921">
        <v>59.927100000000003</v>
      </c>
      <c r="AD4921">
        <v>-1.1215589761416001</v>
      </c>
      <c r="AE4921">
        <v>0.81889999999998497</v>
      </c>
      <c r="AF4921">
        <v>-2.0169425847899798</v>
      </c>
      <c r="AG4921">
        <v>-1.1215589761416001</v>
      </c>
      <c r="AH4921">
        <v>59.8777536826857</v>
      </c>
      <c r="AI4921">
        <v>91.072462908442404</v>
      </c>
      <c r="AJ4921">
        <v>91.929241049570606</v>
      </c>
      <c r="AK4921">
        <v>59.922210723668101</v>
      </c>
      <c r="AL4921">
        <v>82.128160745037505</v>
      </c>
      <c r="AM4921">
        <v>92.179694736838002</v>
      </c>
      <c r="AN4921">
        <v>1.0000000269281999</v>
      </c>
    </row>
    <row r="4922" spans="1:40" x14ac:dyDescent="0.25">
      <c r="A4922" t="str">
        <f>"20190303162008860"</f>
        <v>20190303162008860</v>
      </c>
      <c r="B4922" t="str">
        <f>"1551601208847175"</f>
        <v>1551601208847175</v>
      </c>
      <c r="C4922" t="s">
        <v>40</v>
      </c>
      <c r="D4922">
        <v>4.6106579999999999</v>
      </c>
      <c r="E4922">
        <v>0.50023839999999997</v>
      </c>
      <c r="F4922" t="s">
        <v>52</v>
      </c>
      <c r="G4922">
        <v>-366.12990000000002</v>
      </c>
      <c r="H4922" s="1">
        <v>1.725207E-6</v>
      </c>
      <c r="I4922">
        <v>215.80860000000001</v>
      </c>
      <c r="J4922">
        <v>-430.72669999999999</v>
      </c>
      <c r="K4922">
        <v>1.1215619999999999</v>
      </c>
      <c r="L4922">
        <v>214.83799999999999</v>
      </c>
      <c r="M4922">
        <v>0.99974220000000003</v>
      </c>
      <c r="N4922">
        <v>-1.1482559999999999E-2</v>
      </c>
      <c r="O4922">
        <v>-1.959135E-2</v>
      </c>
      <c r="P4922">
        <v>0.99176869999999995</v>
      </c>
      <c r="Q4922">
        <v>0.1264817</v>
      </c>
      <c r="R4922">
        <v>1.993255E-2</v>
      </c>
      <c r="S4922">
        <v>3.0302730000000002</v>
      </c>
      <c r="T4922">
        <v>-5.2406790000000002E-2</v>
      </c>
      <c r="U4922">
        <v>4.5135500000000002E-2</v>
      </c>
      <c r="V4922">
        <v>-3.9445590000000003E-2</v>
      </c>
      <c r="W4922">
        <v>0.13783049999999999</v>
      </c>
      <c r="X4922">
        <v>0.98967000000000005</v>
      </c>
      <c r="Y4922">
        <v>-3.4471920000000003E-2</v>
      </c>
      <c r="Z4922">
        <v>6.0982400000000002E-4</v>
      </c>
      <c r="AA4922">
        <v>0.99940549999999995</v>
      </c>
      <c r="AB4922">
        <v>25</v>
      </c>
      <c r="AC4922">
        <v>64.596799999999902</v>
      </c>
      <c r="AD4922">
        <v>-1.121560274793</v>
      </c>
      <c r="AE4922">
        <v>0.970600000000018</v>
      </c>
      <c r="AF4922">
        <v>-2.2353618487678002</v>
      </c>
      <c r="AG4922">
        <v>-1.121560274793</v>
      </c>
      <c r="AH4922">
        <v>64.545930421613704</v>
      </c>
      <c r="AI4922">
        <v>90.994884002809499</v>
      </c>
      <c r="AJ4922">
        <v>91.983481084165106</v>
      </c>
      <c r="AK4922">
        <v>64.594364104283201</v>
      </c>
      <c r="AL4922">
        <v>82.077673624541802</v>
      </c>
      <c r="AM4922">
        <v>92.282447868883693</v>
      </c>
      <c r="AN4922">
        <v>0.999999955100348</v>
      </c>
    </row>
    <row r="4923" spans="1:40" x14ac:dyDescent="0.25">
      <c r="A4923" t="str">
        <f>"20190303162008882"</f>
        <v>20190303162008882</v>
      </c>
      <c r="B4923" t="str">
        <f>"1551601208867672"</f>
        <v>1551601208867672</v>
      </c>
      <c r="C4923" t="s">
        <v>40</v>
      </c>
      <c r="D4923">
        <v>4.5675030000000003</v>
      </c>
      <c r="E4923">
        <v>0.50024290000000005</v>
      </c>
      <c r="F4923" t="s">
        <v>52</v>
      </c>
      <c r="G4923">
        <v>-360.3553</v>
      </c>
      <c r="H4923" s="1">
        <v>-1.3476940000000001E-6</v>
      </c>
      <c r="I4923">
        <v>216.06309999999999</v>
      </c>
      <c r="J4923">
        <v>-430.48660000000001</v>
      </c>
      <c r="K4923">
        <v>1.1215630000000001</v>
      </c>
      <c r="L4923">
        <v>214.8338</v>
      </c>
      <c r="M4923">
        <v>0.99974969999999996</v>
      </c>
      <c r="N4923">
        <v>-1.148384E-2</v>
      </c>
      <c r="O4923">
        <v>-1.9204559999999999E-2</v>
      </c>
      <c r="P4923">
        <v>0.99161080000000001</v>
      </c>
      <c r="Q4923">
        <v>0.12742490000000001</v>
      </c>
      <c r="R4923">
        <v>2.1709119999999998E-2</v>
      </c>
      <c r="S4923">
        <v>3.0299990000000001</v>
      </c>
      <c r="T4923">
        <v>-4.8291439999999998E-2</v>
      </c>
      <c r="U4923">
        <v>5.2749629999999999E-2</v>
      </c>
      <c r="V4923">
        <v>-4.0835580000000003E-2</v>
      </c>
      <c r="W4923">
        <v>0.13877220000000001</v>
      </c>
      <c r="X4923">
        <v>0.98948199999999997</v>
      </c>
      <c r="Y4923">
        <v>-3.6598020000000002E-2</v>
      </c>
      <c r="Z4923">
        <v>5.8729799999999999E-4</v>
      </c>
      <c r="AA4923">
        <v>0.99932989999999999</v>
      </c>
      <c r="AB4923">
        <v>25</v>
      </c>
      <c r="AC4923">
        <v>70.131299999999996</v>
      </c>
      <c r="AD4923">
        <v>-1.12156434769399</v>
      </c>
      <c r="AE4923">
        <v>1.2292999999999901</v>
      </c>
      <c r="AF4923">
        <v>-2.5753442733398599</v>
      </c>
      <c r="AG4923">
        <v>-1.12156434769399</v>
      </c>
      <c r="AH4923">
        <v>70.076837624176704</v>
      </c>
      <c r="AI4923">
        <v>90.916309580293799</v>
      </c>
      <c r="AJ4923">
        <v>92.104689471586397</v>
      </c>
      <c r="AK4923">
        <v>70.133112551187097</v>
      </c>
      <c r="AL4923">
        <v>82.023194596644004</v>
      </c>
      <c r="AM4923">
        <v>92.363235942272993</v>
      </c>
      <c r="AN4923">
        <v>0.99999994820538596</v>
      </c>
    </row>
    <row r="4924" spans="1:40" x14ac:dyDescent="0.25">
      <c r="A4924" t="str">
        <f>"20190303162008904"</f>
        <v>20190303162008904</v>
      </c>
      <c r="B4924" t="str">
        <f>"1551601208896951"</f>
        <v>1551601208896951</v>
      </c>
      <c r="C4924" t="s">
        <v>40</v>
      </c>
      <c r="D4924">
        <v>4.6918340000000001</v>
      </c>
      <c r="E4924">
        <v>0.50018770000000001</v>
      </c>
      <c r="F4924" t="s">
        <v>52</v>
      </c>
      <c r="G4924">
        <v>-352.10570000000001</v>
      </c>
      <c r="H4924" s="1">
        <v>-4.9144779999999898E-7</v>
      </c>
      <c r="I4924">
        <v>216.3374</v>
      </c>
      <c r="J4924">
        <v>-430.2337</v>
      </c>
      <c r="K4924">
        <v>1.1215630000000001</v>
      </c>
      <c r="L4924">
        <v>214.82939999999999</v>
      </c>
      <c r="M4924">
        <v>0.99975720000000001</v>
      </c>
      <c r="N4924">
        <v>-1.1485189999999999E-2</v>
      </c>
      <c r="O4924">
        <v>-1.8803980000000001E-2</v>
      </c>
      <c r="P4924">
        <v>0.99145989999999995</v>
      </c>
      <c r="Q4924">
        <v>0.128378399999999</v>
      </c>
      <c r="R4924">
        <v>2.293678E-2</v>
      </c>
      <c r="S4924">
        <v>3.0296940000000001</v>
      </c>
      <c r="T4924">
        <v>-4.3352370000000001E-2</v>
      </c>
      <c r="U4924">
        <v>5.8120730000000002E-2</v>
      </c>
      <c r="V4924">
        <v>-4.166127E-2</v>
      </c>
      <c r="W4924">
        <v>0.13972560000000001</v>
      </c>
      <c r="X4924">
        <v>0.98931340000000001</v>
      </c>
      <c r="Y4924">
        <v>-3.7971459999999999E-2</v>
      </c>
      <c r="Z4924">
        <v>5.4281169999999897E-4</v>
      </c>
      <c r="AA4924">
        <v>0.99927869999999996</v>
      </c>
      <c r="AB4924">
        <v>25</v>
      </c>
      <c r="AC4924">
        <v>78.127999999999901</v>
      </c>
      <c r="AD4924">
        <v>-1.1215634914478001</v>
      </c>
      <c r="AE4924">
        <v>1.508</v>
      </c>
      <c r="AF4924">
        <v>-2.9763344872762598</v>
      </c>
      <c r="AG4924">
        <v>-1.1215634914478001</v>
      </c>
      <c r="AH4924">
        <v>78.069743491766999</v>
      </c>
      <c r="AI4924">
        <v>90.822467092208797</v>
      </c>
      <c r="AJ4924">
        <v>92.183289577662094</v>
      </c>
      <c r="AK4924">
        <v>78.134507872743299</v>
      </c>
      <c r="AL4924">
        <v>81.9680314101129</v>
      </c>
      <c r="AM4924">
        <v>92.411374824491404</v>
      </c>
      <c r="AN4924">
        <v>0.99999995406646502</v>
      </c>
    </row>
    <row r="4925" spans="1:40" x14ac:dyDescent="0.25">
      <c r="A4925" t="str">
        <f>"20190303162008928"</f>
        <v>20190303162008928</v>
      </c>
      <c r="B4925" t="str">
        <f>"1551601208917448"</f>
        <v>1551601208917448</v>
      </c>
      <c r="C4925" t="s">
        <v>40</v>
      </c>
      <c r="D4925">
        <v>4.4877520000000004</v>
      </c>
      <c r="E4925">
        <v>0.50019959999999997</v>
      </c>
      <c r="F4925" t="s">
        <v>52</v>
      </c>
      <c r="G4925">
        <v>-337.80169999999998</v>
      </c>
      <c r="H4925" s="1">
        <v>2.5225699999999998E-6</v>
      </c>
      <c r="I4925">
        <v>216.72819999999999</v>
      </c>
      <c r="J4925">
        <v>-429.9873</v>
      </c>
      <c r="K4925">
        <v>1.1215569999999999</v>
      </c>
      <c r="L4925">
        <v>214.8252</v>
      </c>
      <c r="M4925">
        <v>0.99976430000000005</v>
      </c>
      <c r="N4925">
        <v>-1.1486440000000001E-2</v>
      </c>
      <c r="O4925">
        <v>-1.842382E-2</v>
      </c>
      <c r="P4925">
        <v>0.99132739999999997</v>
      </c>
      <c r="Q4925">
        <v>0.12921469999999999</v>
      </c>
      <c r="R4925">
        <v>2.3950289999999999E-2</v>
      </c>
      <c r="S4925">
        <v>3.0291139999999999</v>
      </c>
      <c r="T4925">
        <v>-3.6754969999999998E-2</v>
      </c>
      <c r="U4925">
        <v>6.2225339999999997E-2</v>
      </c>
      <c r="V4925">
        <v>-4.2293999999999998E-2</v>
      </c>
      <c r="W4925">
        <v>0.1405612</v>
      </c>
      <c r="X4925">
        <v>0.98916820000000005</v>
      </c>
      <c r="Y4925">
        <v>-3.8950159999999998E-2</v>
      </c>
      <c r="Z4925">
        <v>4.719363E-4</v>
      </c>
      <c r="AA4925">
        <v>0.99924109999999999</v>
      </c>
      <c r="AB4925">
        <v>25</v>
      </c>
      <c r="AC4925">
        <v>92.185599999999994</v>
      </c>
      <c r="AD4925">
        <v>-1.1215544774299999</v>
      </c>
      <c r="AE4925">
        <v>1.90299999999999</v>
      </c>
      <c r="AF4925">
        <v>-3.6006671474242098</v>
      </c>
      <c r="AG4925">
        <v>-1.1215544774299999</v>
      </c>
      <c r="AH4925">
        <v>92.121258359742299</v>
      </c>
      <c r="AI4925">
        <v>90.696995913158503</v>
      </c>
      <c r="AJ4925">
        <v>92.238333176228195</v>
      </c>
      <c r="AK4925">
        <v>92.198421516503103</v>
      </c>
      <c r="AL4925">
        <v>81.919678078473794</v>
      </c>
      <c r="AM4925">
        <v>92.448312227497595</v>
      </c>
      <c r="AN4925">
        <v>0.99999998063633899</v>
      </c>
    </row>
    <row r="4926" spans="1:40" x14ac:dyDescent="0.25">
      <c r="A4926" t="str">
        <f>"20190303162008948"</f>
        <v>20190303162008948</v>
      </c>
      <c r="B4926" t="str">
        <f>"1551601208936967"</f>
        <v>1551601208936967</v>
      </c>
      <c r="C4926" t="s">
        <v>40</v>
      </c>
      <c r="D4926">
        <v>4.4600309999999999</v>
      </c>
      <c r="E4926">
        <v>0.50025209999999998</v>
      </c>
      <c r="F4926" t="s">
        <v>52</v>
      </c>
      <c r="G4926">
        <v>-321.12779999999998</v>
      </c>
      <c r="H4926" s="1">
        <v>-9.3662979999999995E-7</v>
      </c>
      <c r="I4926">
        <v>217.16919999999999</v>
      </c>
      <c r="J4926">
        <v>-429.75139999999999</v>
      </c>
      <c r="K4926">
        <v>1.12155</v>
      </c>
      <c r="L4926">
        <v>214.82130000000001</v>
      </c>
      <c r="M4926">
        <v>0.99977090000000002</v>
      </c>
      <c r="N4926">
        <v>-1.1487509999999999E-2</v>
      </c>
      <c r="O4926">
        <v>-1.8069769999999999E-2</v>
      </c>
      <c r="P4926">
        <v>0.9912434</v>
      </c>
      <c r="Q4926">
        <v>0.1297403</v>
      </c>
      <c r="R4926">
        <v>2.4582380000000001E-2</v>
      </c>
      <c r="S4926">
        <v>3.0287480000000002</v>
      </c>
      <c r="T4926">
        <v>-3.1204579999999999E-2</v>
      </c>
      <c r="U4926">
        <v>6.5216060000000006E-2</v>
      </c>
      <c r="V4926">
        <v>-4.2570950000000003E-2</v>
      </c>
      <c r="W4926">
        <v>0.14108760000000001</v>
      </c>
      <c r="X4926">
        <v>0.9890814</v>
      </c>
      <c r="Y4926">
        <v>-3.9586169999999997E-2</v>
      </c>
      <c r="Z4926">
        <v>4.0990070000000001E-4</v>
      </c>
      <c r="AA4926">
        <v>0.99921610000000005</v>
      </c>
      <c r="AB4926">
        <v>25</v>
      </c>
      <c r="AC4926">
        <v>108.6236</v>
      </c>
      <c r="AD4926">
        <v>-1.1215509366298</v>
      </c>
      <c r="AE4926">
        <v>2.3478999999999801</v>
      </c>
      <c r="AF4926">
        <v>-4.3099900035747503</v>
      </c>
      <c r="AG4926">
        <v>-1.1215509366298</v>
      </c>
      <c r="AH4926">
        <v>108.551866619538</v>
      </c>
      <c r="AI4926">
        <v>90.5914892556018</v>
      </c>
      <c r="AJ4926">
        <v>92.273701989957999</v>
      </c>
      <c r="AK4926">
        <v>108.643184953868</v>
      </c>
      <c r="AL4926">
        <v>81.8892142011169</v>
      </c>
      <c r="AM4926">
        <v>92.464540588067905</v>
      </c>
      <c r="AN4926">
        <v>1.00000000624181</v>
      </c>
    </row>
    <row r="4927" spans="1:40" x14ac:dyDescent="0.25">
      <c r="A4927" t="str">
        <f>"20190303162008972"</f>
        <v>20190303162008972</v>
      </c>
      <c r="B4927" t="str">
        <f>"1551601208957464"</f>
        <v>1551601208957464</v>
      </c>
      <c r="C4927" t="s">
        <v>40</v>
      </c>
      <c r="D4927">
        <v>4.3275839999999999</v>
      </c>
      <c r="E4927">
        <v>0.50034559999999995</v>
      </c>
      <c r="F4927" t="s">
        <v>56</v>
      </c>
      <c r="G4927">
        <v>-302.88159999999999</v>
      </c>
      <c r="H4927" s="1">
        <v>2.1421190000000001E-6</v>
      </c>
      <c r="I4927">
        <v>217.62629999999999</v>
      </c>
      <c r="J4927">
        <v>-429.4923</v>
      </c>
      <c r="K4927">
        <v>1.1215469999999901</v>
      </c>
      <c r="L4927">
        <v>214.81700000000001</v>
      </c>
      <c r="M4927">
        <v>0.99977760000000004</v>
      </c>
      <c r="N4927">
        <v>-1.148882E-2</v>
      </c>
      <c r="O4927">
        <v>-1.7692010000000001E-2</v>
      </c>
      <c r="P4927">
        <v>0.99117299999999997</v>
      </c>
      <c r="Q4927">
        <v>0.1303598</v>
      </c>
      <c r="R4927">
        <v>2.413798E-2</v>
      </c>
      <c r="S4927">
        <v>3.0283509999999998</v>
      </c>
      <c r="T4927">
        <v>-2.6771070000000001E-2</v>
      </c>
      <c r="U4927">
        <v>6.6955570000000006E-2</v>
      </c>
      <c r="V4927">
        <v>-4.1748449999999999E-2</v>
      </c>
      <c r="W4927">
        <v>0.14170929999999901</v>
      </c>
      <c r="X4927">
        <v>0.98902760000000001</v>
      </c>
      <c r="Y4927">
        <v>-3.9785939999999999E-2</v>
      </c>
      <c r="Z4927">
        <v>3.5756219999999998E-4</v>
      </c>
      <c r="AA4927">
        <v>0.99920819999999999</v>
      </c>
      <c r="AB4927">
        <v>25</v>
      </c>
      <c r="AC4927">
        <v>126.61069999999999</v>
      </c>
      <c r="AD4927">
        <v>-1.1215448578809999</v>
      </c>
      <c r="AE4927">
        <v>2.8092999999999702</v>
      </c>
      <c r="AF4927">
        <v>-5.0486096202609696</v>
      </c>
      <c r="AG4927">
        <v>-1.1215448578809999</v>
      </c>
      <c r="AH4927">
        <v>126.53125160242</v>
      </c>
      <c r="AI4927">
        <v>90.507439995288095</v>
      </c>
      <c r="AJ4927">
        <v>92.284895327761106</v>
      </c>
      <c r="AK4927">
        <v>126.636898074933</v>
      </c>
      <c r="AL4927">
        <v>81.853232055384893</v>
      </c>
      <c r="AM4927">
        <v>92.4171123157181</v>
      </c>
      <c r="AN4927">
        <v>1.0000000261728199</v>
      </c>
    </row>
    <row r="4928" spans="1:40" x14ac:dyDescent="0.25">
      <c r="A4928" t="str">
        <f>"20190303162008994"</f>
        <v>20190303162008994</v>
      </c>
      <c r="B4928" t="str">
        <f>"1551601208987720"</f>
        <v>1551601208987720</v>
      </c>
      <c r="C4928" t="s">
        <v>40</v>
      </c>
      <c r="D4928">
        <v>4.3792799999999996</v>
      </c>
      <c r="E4928">
        <v>0.50054200000000004</v>
      </c>
      <c r="F4928" t="s">
        <v>56</v>
      </c>
      <c r="G4928">
        <v>-280.2029</v>
      </c>
      <c r="H4928" s="1">
        <v>6.59541999999999E-6</v>
      </c>
      <c r="I4928">
        <v>218.0179</v>
      </c>
      <c r="J4928">
        <v>-429.23989999999998</v>
      </c>
      <c r="K4928">
        <v>1.1215360000000001</v>
      </c>
      <c r="L4928">
        <v>214.81299999999999</v>
      </c>
      <c r="M4928">
        <v>0.9997838</v>
      </c>
      <c r="N4928">
        <v>-1.149011E-2</v>
      </c>
      <c r="O4928">
        <v>-1.7334970000000002E-2</v>
      </c>
      <c r="P4928">
        <v>0.99128380000000005</v>
      </c>
      <c r="Q4928">
        <v>0.12962029999999999</v>
      </c>
      <c r="R4928">
        <v>2.356751E-2</v>
      </c>
      <c r="S4928">
        <v>3.0281370000000001</v>
      </c>
      <c r="T4928">
        <v>-2.274895E-2</v>
      </c>
      <c r="U4928">
        <v>6.4926150000000002E-2</v>
      </c>
      <c r="V4928">
        <v>-4.0823690000000003E-2</v>
      </c>
      <c r="W4928">
        <v>0.14097379999999901</v>
      </c>
      <c r="X4928">
        <v>0.98917129999999998</v>
      </c>
      <c r="Y4928">
        <v>-3.8762039999999998E-2</v>
      </c>
      <c r="Z4928">
        <v>2.9936209999999999E-4</v>
      </c>
      <c r="AA4928">
        <v>0.99924840000000004</v>
      </c>
      <c r="AB4928">
        <v>25</v>
      </c>
      <c r="AC4928">
        <v>149.03699999999901</v>
      </c>
      <c r="AD4928">
        <v>-1.1215294045799999</v>
      </c>
      <c r="AE4928">
        <v>3.2048999999999999</v>
      </c>
      <c r="AF4928">
        <v>-5.7878130240354997</v>
      </c>
      <c r="AG4928">
        <v>-1.1215294045799999</v>
      </c>
      <c r="AH4928">
        <v>148.95061104463099</v>
      </c>
      <c r="AI4928">
        <v>90.431077338221897</v>
      </c>
      <c r="AJ4928">
        <v>92.225237654868195</v>
      </c>
      <c r="AK4928">
        <v>149.067236971695</v>
      </c>
      <c r="AL4928">
        <v>81.895800426810993</v>
      </c>
      <c r="AM4928">
        <v>92.363289862574206</v>
      </c>
      <c r="AN4928">
        <v>1.00000002334767</v>
      </c>
    </row>
    <row r="4929" spans="1:40" x14ac:dyDescent="0.25">
      <c r="A4929" t="str">
        <f>"20190303162009018"</f>
        <v>20190303162009018</v>
      </c>
      <c r="B4929" t="str">
        <f>"1551601209007239"</f>
        <v>1551601209007239</v>
      </c>
      <c r="C4929" t="s">
        <v>40</v>
      </c>
      <c r="D4929">
        <v>4.3396229999999996</v>
      </c>
      <c r="E4929">
        <v>0.50062200000000001</v>
      </c>
      <c r="F4929" t="s">
        <v>52</v>
      </c>
      <c r="G4929">
        <v>-271.17020000000002</v>
      </c>
      <c r="H4929" s="1">
        <v>-1.063276E-6</v>
      </c>
      <c r="I4929">
        <v>218.02979999999999</v>
      </c>
      <c r="J4929">
        <v>-428.97890000000001</v>
      </c>
      <c r="K4929">
        <v>1.1215269999999999</v>
      </c>
      <c r="L4929">
        <v>214.80889999999999</v>
      </c>
      <c r="M4929">
        <v>0.99978999999999996</v>
      </c>
      <c r="N4929">
        <v>-1.149147E-2</v>
      </c>
      <c r="O4929">
        <v>-1.697721E-2</v>
      </c>
      <c r="P4929">
        <v>0.9914193</v>
      </c>
      <c r="Q4929">
        <v>0.1286428</v>
      </c>
      <c r="R4929">
        <v>2.321761E-2</v>
      </c>
      <c r="S4929">
        <v>3.0277099999999999</v>
      </c>
      <c r="T4929">
        <v>-2.1482230000000001E-2</v>
      </c>
      <c r="U4929">
        <v>6.1614990000000001E-2</v>
      </c>
      <c r="V4929">
        <v>-4.0118470000000003E-2</v>
      </c>
      <c r="W4929">
        <v>0.14000079999999901</v>
      </c>
      <c r="X4929">
        <v>0.9893383</v>
      </c>
      <c r="Y4929">
        <v>-3.7315399999999999E-2</v>
      </c>
      <c r="Z4929">
        <v>2.7216989999999998E-4</v>
      </c>
      <c r="AA4929">
        <v>0.99930350000000001</v>
      </c>
      <c r="AB4929">
        <v>25</v>
      </c>
      <c r="AC4929">
        <v>157.80869999999999</v>
      </c>
      <c r="AD4929">
        <v>-1.1215280632760001</v>
      </c>
      <c r="AE4929">
        <v>3.2208999999999999</v>
      </c>
      <c r="AF4929">
        <v>-5.8994658072350097</v>
      </c>
      <c r="AG4929">
        <v>-1.1215280632760001</v>
      </c>
      <c r="AH4929">
        <v>157.723304669264</v>
      </c>
      <c r="AI4929">
        <v>90.407123350944005</v>
      </c>
      <c r="AJ4929">
        <v>92.142086686742104</v>
      </c>
      <c r="AK4929">
        <v>157.83758220969099</v>
      </c>
      <c r="AL4929">
        <v>81.952107409447393</v>
      </c>
      <c r="AM4929">
        <v>92.322118053822194</v>
      </c>
      <c r="AN4929">
        <v>0.99999999374133497</v>
      </c>
    </row>
    <row r="4930" spans="1:40" x14ac:dyDescent="0.25">
      <c r="A4930" t="str">
        <f>"20190303162009041"</f>
        <v>20190303162009041</v>
      </c>
      <c r="B4930" t="str">
        <f>"1551601209026760"</f>
        <v>1551601209026760</v>
      </c>
      <c r="C4930" t="s">
        <v>40</v>
      </c>
      <c r="D4930">
        <v>4.1288609999999997</v>
      </c>
      <c r="E4930">
        <v>0.50073000000000001</v>
      </c>
      <c r="F4930" t="s">
        <v>52</v>
      </c>
      <c r="G4930">
        <v>-277.11259999999999</v>
      </c>
      <c r="H4930" s="1">
        <v>2.1081269999999999E-6</v>
      </c>
      <c r="I4930">
        <v>217.8201</v>
      </c>
      <c r="J4930">
        <v>-428.73180000000002</v>
      </c>
      <c r="K4930">
        <v>1.121518</v>
      </c>
      <c r="L4930">
        <v>214.80510000000001</v>
      </c>
      <c r="M4930">
        <v>0.99979530000000005</v>
      </c>
      <c r="N4930">
        <v>-1.1492759999999999E-2</v>
      </c>
      <c r="O4930">
        <v>-1.664649E-2</v>
      </c>
      <c r="P4930">
        <v>0.99151429999999996</v>
      </c>
      <c r="Q4930">
        <v>0.12795139999999999</v>
      </c>
      <c r="R4930">
        <v>2.2975309999999999E-2</v>
      </c>
      <c r="S4930">
        <v>3.0274350000000001</v>
      </c>
      <c r="T4930">
        <v>-2.2357459999999999E-2</v>
      </c>
      <c r="U4930">
        <v>6.0028079999999998E-2</v>
      </c>
      <c r="V4930">
        <v>-3.9547739999999998E-2</v>
      </c>
      <c r="W4930">
        <v>0.1393124</v>
      </c>
      <c r="X4930">
        <v>0.98945839999999996</v>
      </c>
      <c r="Y4930">
        <v>-3.6463019999999999E-2</v>
      </c>
      <c r="Z4930">
        <v>2.7580770000000001E-4</v>
      </c>
      <c r="AA4930">
        <v>0.99933499999999997</v>
      </c>
      <c r="AB4930">
        <v>25</v>
      </c>
      <c r="AC4930">
        <v>151.61920000000001</v>
      </c>
      <c r="AD4930">
        <v>-1.1215158918729999</v>
      </c>
      <c r="AE4930">
        <v>3.0149999999999801</v>
      </c>
      <c r="AF4930">
        <v>-5.5383736804568597</v>
      </c>
      <c r="AG4930">
        <v>-1.1215158918729999</v>
      </c>
      <c r="AH4930">
        <v>151.539707869544</v>
      </c>
      <c r="AI4930">
        <v>90.423744279674395</v>
      </c>
      <c r="AJ4930">
        <v>92.093076924186704</v>
      </c>
      <c r="AK4930">
        <v>151.64502775266601</v>
      </c>
      <c r="AL4930">
        <v>81.991939809177396</v>
      </c>
      <c r="AM4930">
        <v>92.288841172439703</v>
      </c>
      <c r="AN4930">
        <v>0.99999994693171201</v>
      </c>
    </row>
    <row r="4931" spans="1:40" x14ac:dyDescent="0.25">
      <c r="A4931" t="str">
        <f>"20190303162009061"</f>
        <v>20190303162009061</v>
      </c>
      <c r="B4931" t="str">
        <f>"1551601209047255"</f>
        <v>1551601209047255</v>
      </c>
      <c r="C4931" t="s">
        <v>40</v>
      </c>
      <c r="D4931">
        <v>4.2951680000000003</v>
      </c>
      <c r="E4931">
        <v>0.50082950000000004</v>
      </c>
      <c r="F4931" t="s">
        <v>52</v>
      </c>
      <c r="G4931">
        <v>-276.50310000000002</v>
      </c>
      <c r="H4931" s="1">
        <v>1.7869659999999999E-6</v>
      </c>
      <c r="I4931">
        <v>217.74700000000001</v>
      </c>
      <c r="J4931">
        <v>-428.49590000000001</v>
      </c>
      <c r="K4931">
        <v>1.1215120000000001</v>
      </c>
      <c r="L4931">
        <v>214.8015</v>
      </c>
      <c r="M4931">
        <v>0.99980060000000004</v>
      </c>
      <c r="N4931">
        <v>-1.1494030000000001E-2</v>
      </c>
      <c r="O4931">
        <v>-1.6335289999999999E-2</v>
      </c>
      <c r="P4931">
        <v>0.99151239999999996</v>
      </c>
      <c r="Q4931">
        <v>0.1279844</v>
      </c>
      <c r="R4931">
        <v>2.28773E-2</v>
      </c>
      <c r="S4931">
        <v>3.027161</v>
      </c>
      <c r="T4931">
        <v>-2.230203E-2</v>
      </c>
      <c r="U4931">
        <v>5.85021999999999E-2</v>
      </c>
      <c r="V4931">
        <v>-3.9140840000000003E-2</v>
      </c>
      <c r="W4931">
        <v>0.13934730000000001</v>
      </c>
      <c r="X4931">
        <v>0.98946970000000001</v>
      </c>
      <c r="Y4931">
        <v>-3.5650279999999999E-2</v>
      </c>
      <c r="Z4931">
        <v>2.688128E-4</v>
      </c>
      <c r="AA4931">
        <v>0.99936429999999998</v>
      </c>
      <c r="AB4931">
        <v>25</v>
      </c>
      <c r="AC4931">
        <v>151.99279999999999</v>
      </c>
      <c r="AD4931">
        <v>-1.121510213034</v>
      </c>
      <c r="AE4931">
        <v>2.9455</v>
      </c>
      <c r="AF4931">
        <v>-5.4278217711982997</v>
      </c>
      <c r="AG4931">
        <v>-1.121510213034</v>
      </c>
      <c r="AH4931">
        <v>151.91613017696201</v>
      </c>
      <c r="AI4931">
        <v>90.422704694234</v>
      </c>
      <c r="AJ4931">
        <v>92.046254381812403</v>
      </c>
      <c r="AK4931">
        <v>152.017201797301</v>
      </c>
      <c r="AL4931">
        <v>81.989920767043301</v>
      </c>
      <c r="AM4931">
        <v>92.265290490890905</v>
      </c>
      <c r="AN4931">
        <v>0.99999998129564205</v>
      </c>
    </row>
    <row r="4932" spans="1:40" x14ac:dyDescent="0.25">
      <c r="A4932" t="str">
        <f>"20190303162009085"</f>
        <v>20190303162009085</v>
      </c>
      <c r="B4932" t="str">
        <f>"1551601209077511"</f>
        <v>1551601209077511</v>
      </c>
      <c r="C4932" t="s">
        <v>40</v>
      </c>
      <c r="D4932">
        <v>4.2926129999999896</v>
      </c>
      <c r="E4932">
        <v>0.50097440000000004</v>
      </c>
      <c r="F4932" t="s">
        <v>52</v>
      </c>
      <c r="G4932">
        <v>-260.3766</v>
      </c>
      <c r="H4932" s="1">
        <v>-1.4843069999999999E-6</v>
      </c>
      <c r="I4932">
        <v>217.99979999999999</v>
      </c>
      <c r="J4932">
        <v>-428.24200000000002</v>
      </c>
      <c r="K4932">
        <v>1.121502</v>
      </c>
      <c r="L4932">
        <v>214.79769999999999</v>
      </c>
      <c r="M4932">
        <v>0.99980590000000003</v>
      </c>
      <c r="N4932">
        <v>-1.1495419999999999E-2</v>
      </c>
      <c r="O4932">
        <v>-1.600238E-2</v>
      </c>
      <c r="P4932">
        <v>0.99151509999999998</v>
      </c>
      <c r="Q4932">
        <v>0.1279641</v>
      </c>
      <c r="R4932">
        <v>2.2865360000000001E-2</v>
      </c>
      <c r="S4932">
        <v>3.0270079999999999</v>
      </c>
      <c r="T4932">
        <v>-2.0192979999999999E-2</v>
      </c>
      <c r="U4932">
        <v>5.758667E-2</v>
      </c>
      <c r="V4932">
        <v>-3.8798399999999997E-2</v>
      </c>
      <c r="W4932">
        <v>0.13932890000000001</v>
      </c>
      <c r="X4932">
        <v>0.98948579999999997</v>
      </c>
      <c r="Y4932">
        <v>-3.5016640000000002E-2</v>
      </c>
      <c r="Z4932">
        <v>2.408783E-4</v>
      </c>
      <c r="AA4932">
        <v>0.99938669999999996</v>
      </c>
      <c r="AB4932">
        <v>25</v>
      </c>
      <c r="AC4932">
        <v>167.865399999999</v>
      </c>
      <c r="AD4932">
        <v>-1.121503484307</v>
      </c>
      <c r="AE4932">
        <v>3.2021000000000002</v>
      </c>
      <c r="AF4932">
        <v>-5.8878505633826999</v>
      </c>
      <c r="AG4932">
        <v>-1.121503484307</v>
      </c>
      <c r="AH4932">
        <v>167.78517159014399</v>
      </c>
      <c r="AI4932">
        <v>90.382733069477993</v>
      </c>
      <c r="AJ4932">
        <v>92.009776036123299</v>
      </c>
      <c r="AK4932">
        <v>167.892192670941</v>
      </c>
      <c r="AL4932">
        <v>81.990985572463501</v>
      </c>
      <c r="AM4932">
        <v>92.245455527957105</v>
      </c>
      <c r="AN4932">
        <v>1.0000000033097001</v>
      </c>
    </row>
    <row r="4933" spans="1:40" x14ac:dyDescent="0.25">
      <c r="A4933" t="str">
        <f>"20190303162009106"</f>
        <v>20190303162009106</v>
      </c>
      <c r="B4933" t="str">
        <f>"1551601209097031"</f>
        <v>1551601209097031</v>
      </c>
      <c r="C4933" t="s">
        <v>40</v>
      </c>
      <c r="D4933">
        <v>4.2748460000000001</v>
      </c>
      <c r="E4933">
        <v>0.50108019999999998</v>
      </c>
      <c r="F4933" t="s">
        <v>52</v>
      </c>
      <c r="G4933">
        <v>-230.60990000000001</v>
      </c>
      <c r="H4933" s="1">
        <v>-1.380678E-6</v>
      </c>
      <c r="I4933">
        <v>218.46950000000001</v>
      </c>
      <c r="J4933">
        <v>-428.00510000000003</v>
      </c>
      <c r="K4933">
        <v>1.1215139999999999</v>
      </c>
      <c r="L4933">
        <v>214.79429999999999</v>
      </c>
      <c r="M4933">
        <v>0.9998108</v>
      </c>
      <c r="N4933">
        <v>-1.1496910000000001E-2</v>
      </c>
      <c r="O4933">
        <v>-1.5692810000000001E-2</v>
      </c>
      <c r="P4933">
        <v>0.9915408</v>
      </c>
      <c r="Q4933">
        <v>0.12774920000000001</v>
      </c>
      <c r="R4933">
        <v>2.2956399999999998E-2</v>
      </c>
      <c r="S4933">
        <v>3.0265200000000001</v>
      </c>
      <c r="T4933">
        <v>-1.7174599999999901E-2</v>
      </c>
      <c r="U4933">
        <v>5.6228640000000003E-2</v>
      </c>
      <c r="V4933">
        <v>-3.8582529999999997E-2</v>
      </c>
      <c r="W4933">
        <v>0.13911599999999999</v>
      </c>
      <c r="X4933">
        <v>0.98952419999999996</v>
      </c>
      <c r="Y4933">
        <v>-3.4262359999999999E-2</v>
      </c>
      <c r="Z4933">
        <v>2.0282359999999999E-4</v>
      </c>
      <c r="AA4933">
        <v>0.99941279999999999</v>
      </c>
      <c r="AB4933">
        <v>25</v>
      </c>
      <c r="AC4933">
        <v>197.39519999999999</v>
      </c>
      <c r="AD4933">
        <v>-1.1215153806779901</v>
      </c>
      <c r="AE4933">
        <v>3.67520000000001</v>
      </c>
      <c r="AF4933">
        <v>-6.7724188280463</v>
      </c>
      <c r="AG4933">
        <v>-1.1215153806779901</v>
      </c>
      <c r="AH4933">
        <v>197.30684465967701</v>
      </c>
      <c r="AI4933">
        <v>90.325480789137501</v>
      </c>
      <c r="AJ4933">
        <v>91.965865588891702</v>
      </c>
      <c r="AK4933">
        <v>197.42622521612799</v>
      </c>
      <c r="AL4933">
        <v>82.003303845182302</v>
      </c>
      <c r="AM4933">
        <v>92.232888177999797</v>
      </c>
      <c r="AN4933">
        <v>1.0000000077314199</v>
      </c>
    </row>
    <row r="4934" spans="1:40" x14ac:dyDescent="0.25">
      <c r="A4934" t="str">
        <f>"20190303162009128"</f>
        <v>20190303162009128</v>
      </c>
      <c r="B4934" t="str">
        <f>"1551601209117528"</f>
        <v>1551601209117528</v>
      </c>
      <c r="C4934" t="s">
        <v>40</v>
      </c>
      <c r="D4934">
        <v>4.2763460000000002</v>
      </c>
      <c r="E4934">
        <v>0.50115989999999999</v>
      </c>
      <c r="F4934" t="s">
        <v>52</v>
      </c>
      <c r="G4934">
        <v>-214.0752</v>
      </c>
      <c r="H4934" s="1">
        <v>4.5198660000000001E-7</v>
      </c>
      <c r="I4934">
        <v>218.7302</v>
      </c>
      <c r="J4934">
        <v>-427.75869999999998</v>
      </c>
      <c r="K4934">
        <v>1.1215170000000001</v>
      </c>
      <c r="L4934">
        <v>214.79079999999999</v>
      </c>
      <c r="M4934">
        <v>0.99981580000000003</v>
      </c>
      <c r="N4934">
        <v>-1.149827E-2</v>
      </c>
      <c r="O4934">
        <v>-1.537095E-2</v>
      </c>
      <c r="P4934">
        <v>0.99150760000000004</v>
      </c>
      <c r="Q4934">
        <v>0.12799769999999999</v>
      </c>
      <c r="R4934">
        <v>2.300808E-2</v>
      </c>
      <c r="S4934">
        <v>3.0263059999999999</v>
      </c>
      <c r="T4934">
        <v>-1.5865210000000001E-2</v>
      </c>
      <c r="U4934">
        <v>5.5679319999999997E-2</v>
      </c>
      <c r="V4934">
        <v>-3.8315050000000003E-2</v>
      </c>
      <c r="W4934">
        <v>0.13936570000000001</v>
      </c>
      <c r="X4934">
        <v>0.98949940000000003</v>
      </c>
      <c r="Y4934">
        <v>-3.3760739999999997E-2</v>
      </c>
      <c r="Z4934">
        <v>1.864519E-4</v>
      </c>
      <c r="AA4934">
        <v>0.99942989999999998</v>
      </c>
      <c r="AB4934">
        <v>25</v>
      </c>
      <c r="AC4934">
        <v>213.68350000000001</v>
      </c>
      <c r="AD4934">
        <v>-1.1215165480133999</v>
      </c>
      <c r="AE4934">
        <v>3.9394</v>
      </c>
      <c r="AF4934">
        <v>-7.2234709807810402</v>
      </c>
      <c r="AG4934">
        <v>-1.1215165480133999</v>
      </c>
      <c r="AH4934">
        <v>213.591814020974</v>
      </c>
      <c r="AI4934">
        <v>90.300670979360802</v>
      </c>
      <c r="AJ4934">
        <v>91.9369502720686</v>
      </c>
      <c r="AK4934">
        <v>213.71686725466401</v>
      </c>
      <c r="AL4934">
        <v>81.988855900047696</v>
      </c>
      <c r="AM4934">
        <v>92.217479324666499</v>
      </c>
      <c r="AN4934">
        <v>0.99999995199667502</v>
      </c>
    </row>
    <row r="4935" spans="1:40" x14ac:dyDescent="0.25">
      <c r="A4935" t="str">
        <f>"20190303162009149"</f>
        <v>20190303162009149</v>
      </c>
      <c r="B4935" t="str">
        <f>"1551601209137047"</f>
        <v>1551601209137047</v>
      </c>
      <c r="C4935" t="s">
        <v>40</v>
      </c>
      <c r="D4935">
        <v>4.2715509999999997</v>
      </c>
      <c r="E4935">
        <v>0.5012276</v>
      </c>
      <c r="F4935" t="s">
        <v>49</v>
      </c>
      <c r="G4935">
        <v>-179.95769999999999</v>
      </c>
      <c r="H4935">
        <v>4.6664400000000002E-2</v>
      </c>
      <c r="I4935">
        <v>219.29769999999999</v>
      </c>
      <c r="J4935">
        <v>-427.51650000000001</v>
      </c>
      <c r="K4935">
        <v>1.121516</v>
      </c>
      <c r="L4935">
        <v>214.78739999999999</v>
      </c>
      <c r="M4935">
        <v>0.9998205</v>
      </c>
      <c r="N4935">
        <v>-1.1499570000000001E-2</v>
      </c>
      <c r="O4935">
        <v>-1.5052909999999999E-2</v>
      </c>
      <c r="P4935">
        <v>0.99151860000000003</v>
      </c>
      <c r="Q4935">
        <v>0.12788949999999999</v>
      </c>
      <c r="R4935">
        <v>2.313635E-2</v>
      </c>
      <c r="S4935">
        <v>3.026154</v>
      </c>
      <c r="T4935">
        <v>-1.312613E-2</v>
      </c>
      <c r="U4935">
        <v>5.5038450000000003E-2</v>
      </c>
      <c r="V4935">
        <v>-3.8128309999999999E-2</v>
      </c>
      <c r="W4935">
        <v>0.13925899999999999</v>
      </c>
      <c r="X4935">
        <v>0.98952169999999895</v>
      </c>
      <c r="Y4935">
        <v>-3.3232409999999997E-2</v>
      </c>
      <c r="Z4935">
        <v>1.553661E-4</v>
      </c>
      <c r="AA4935">
        <v>0.99944759999999999</v>
      </c>
      <c r="AB4935">
        <v>25</v>
      </c>
      <c r="AC4935">
        <v>247.55879999999999</v>
      </c>
      <c r="AD4935">
        <v>-1.0748515999999999</v>
      </c>
      <c r="AE4935">
        <v>4.5103</v>
      </c>
      <c r="AF4935">
        <v>-8.2363607065188198</v>
      </c>
      <c r="AG4935">
        <v>-1.0748515999999999</v>
      </c>
      <c r="AH4935">
        <v>247.45818652700001</v>
      </c>
      <c r="AI4935">
        <v>90.248728848834205</v>
      </c>
      <c r="AJ4935">
        <v>91.906320283626698</v>
      </c>
      <c r="AK4935">
        <v>247.59755051874299</v>
      </c>
      <c r="AL4935">
        <v>81.995030077767098</v>
      </c>
      <c r="AM4935">
        <v>92.206632796980998</v>
      </c>
      <c r="AN4935">
        <v>1.0000000159376701</v>
      </c>
    </row>
    <row r="4936" spans="1:40" x14ac:dyDescent="0.25">
      <c r="A4936" t="str">
        <f>"20190303162009174"</f>
        <v>20190303162009174</v>
      </c>
      <c r="B4936" t="str">
        <f>"1551601209167304"</f>
        <v>1551601209167304</v>
      </c>
      <c r="C4936" t="s">
        <v>40</v>
      </c>
      <c r="D4936">
        <v>4.2477769999999904</v>
      </c>
      <c r="E4936">
        <v>0.50135429999999903</v>
      </c>
      <c r="F4936" t="s">
        <v>65</v>
      </c>
      <c r="G4936">
        <v>-157.8382</v>
      </c>
      <c r="H4936">
        <v>9.7118380000000004E-2</v>
      </c>
      <c r="I4936">
        <v>219.74440000000001</v>
      </c>
      <c r="J4936">
        <v>-427.25450000000001</v>
      </c>
      <c r="K4936">
        <v>1.1215219999999999</v>
      </c>
      <c r="L4936">
        <v>214.78389999999999</v>
      </c>
      <c r="M4936">
        <v>0.99982570000000004</v>
      </c>
      <c r="N4936">
        <v>-1.1500959999999999E-2</v>
      </c>
      <c r="O4936">
        <v>-1.47084E-2</v>
      </c>
      <c r="P4936">
        <v>0.99157229999999996</v>
      </c>
      <c r="Q4936">
        <v>0.12744349999999999</v>
      </c>
      <c r="R4936">
        <v>2.329838E-2</v>
      </c>
      <c r="S4936">
        <v>3.0258479999999999</v>
      </c>
      <c r="T4936">
        <v>-1.149333E-2</v>
      </c>
      <c r="U4936">
        <v>5.5618290000000001E-2</v>
      </c>
      <c r="V4936">
        <v>-3.7949990000000003E-2</v>
      </c>
      <c r="W4936">
        <v>0.1388152</v>
      </c>
      <c r="X4936">
        <v>0.98959090000000005</v>
      </c>
      <c r="Y4936">
        <v>-3.3081449999999998E-2</v>
      </c>
      <c r="Z4936">
        <v>1.397932E-4</v>
      </c>
      <c r="AA4936">
        <v>0.99945269999999997</v>
      </c>
      <c r="AB4936">
        <v>25</v>
      </c>
      <c r="AC4936">
        <v>269.41629999999998</v>
      </c>
      <c r="AD4936">
        <v>-1.02440362</v>
      </c>
      <c r="AE4936">
        <v>4.9605000000000201</v>
      </c>
      <c r="AF4936">
        <v>-8.9227791031508907</v>
      </c>
      <c r="AG4936">
        <v>-1.02440362</v>
      </c>
      <c r="AH4936">
        <v>269.31029411992802</v>
      </c>
      <c r="AI4936">
        <v>90.217821353704593</v>
      </c>
      <c r="AJ4936">
        <v>91.897627576676896</v>
      </c>
      <c r="AK4936">
        <v>269.46001541724598</v>
      </c>
      <c r="AL4936">
        <v>82.020707258957302</v>
      </c>
      <c r="AM4936">
        <v>92.196169425378102</v>
      </c>
      <c r="AN4936">
        <v>1.0000000054274201</v>
      </c>
    </row>
    <row r="4937" spans="1:40" x14ac:dyDescent="0.25">
      <c r="A4937" t="str">
        <f>"20190303162009196"</f>
        <v>20190303162009196</v>
      </c>
      <c r="B4937" t="str">
        <f>"1551601209187800"</f>
        <v>1551601209187800</v>
      </c>
      <c r="C4937" t="s">
        <v>40</v>
      </c>
      <c r="D4937">
        <v>4.2665709999999999</v>
      </c>
      <c r="E4937">
        <v>0.5014767</v>
      </c>
      <c r="F4937" t="s">
        <v>65</v>
      </c>
      <c r="G4937">
        <v>-157.8382</v>
      </c>
      <c r="H4937">
        <v>0.15706629999999999</v>
      </c>
      <c r="I4937">
        <v>219.6807</v>
      </c>
      <c r="J4937">
        <v>-427.00069999999999</v>
      </c>
      <c r="K4937">
        <v>1.121524</v>
      </c>
      <c r="L4937">
        <v>214.78049999999999</v>
      </c>
      <c r="M4937">
        <v>0.99983069999999996</v>
      </c>
      <c r="N4937">
        <v>-1.1502449999999999E-2</v>
      </c>
      <c r="O4937">
        <v>-1.4373189999999999E-2</v>
      </c>
      <c r="P4937">
        <v>0.99161339999999998</v>
      </c>
      <c r="Q4937">
        <v>0.12711939999999999</v>
      </c>
      <c r="R4937">
        <v>2.332016E-2</v>
      </c>
      <c r="S4937">
        <v>3.025604</v>
      </c>
      <c r="T4937">
        <v>-1.08304E-2</v>
      </c>
      <c r="U4937">
        <v>5.4992680000000002E-2</v>
      </c>
      <c r="V4937">
        <v>-3.7640260000000002E-2</v>
      </c>
      <c r="W4937">
        <v>0.13849310000000001</v>
      </c>
      <c r="X4937">
        <v>0.98964790000000002</v>
      </c>
      <c r="Y4937">
        <v>-3.254133E-2</v>
      </c>
      <c r="Z4937">
        <v>1.315411E-4</v>
      </c>
      <c r="AA4937">
        <v>0.99947039999999998</v>
      </c>
      <c r="AB4937">
        <v>25</v>
      </c>
      <c r="AC4937">
        <v>269.16250000000002</v>
      </c>
      <c r="AD4937">
        <v>-0.96445769999999997</v>
      </c>
      <c r="AE4937">
        <v>4.9002000000000097</v>
      </c>
      <c r="AF4937">
        <v>-8.7685602815554198</v>
      </c>
      <c r="AG4937">
        <v>-0.96445769999999997</v>
      </c>
      <c r="AH4937">
        <v>269.06080241347701</v>
      </c>
      <c r="AI4937">
        <v>90.205268836880805</v>
      </c>
      <c r="AJ4937">
        <v>91.866580870877996</v>
      </c>
      <c r="AK4937">
        <v>269.20537368977301</v>
      </c>
      <c r="AL4937">
        <v>82.039342559887402</v>
      </c>
      <c r="AM4937">
        <v>92.178137319873301</v>
      </c>
      <c r="AN4937">
        <v>1.0000000469474399</v>
      </c>
    </row>
    <row r="4938" spans="1:40" x14ac:dyDescent="0.25">
      <c r="A4938" t="str">
        <f>"20190303162009220"</f>
        <v>20190303162009220</v>
      </c>
      <c r="B4938" t="str">
        <f>"1551601209207320"</f>
        <v>1551601209207320</v>
      </c>
      <c r="C4938" t="s">
        <v>40</v>
      </c>
      <c r="D4938">
        <v>4.2507640000000002</v>
      </c>
      <c r="E4938">
        <v>0.5015849</v>
      </c>
      <c r="F4938" t="s">
        <v>65</v>
      </c>
      <c r="G4938">
        <v>-157.8382</v>
      </c>
      <c r="H4938">
        <v>0.16128729999999999</v>
      </c>
      <c r="I4938">
        <v>219.59280000000001</v>
      </c>
      <c r="J4938">
        <v>-426.7432</v>
      </c>
      <c r="K4938">
        <v>1.1215109999999999</v>
      </c>
      <c r="L4938">
        <v>214.77719999999999</v>
      </c>
      <c r="M4938">
        <v>0.99983549999999999</v>
      </c>
      <c r="N4938">
        <v>-1.150384E-2</v>
      </c>
      <c r="O4938">
        <v>-1.4032499999999899E-2</v>
      </c>
      <c r="P4938">
        <v>0.99166750000000004</v>
      </c>
      <c r="Q4938">
        <v>0.12668760000000001</v>
      </c>
      <c r="R4938">
        <v>2.337351E-2</v>
      </c>
      <c r="S4938">
        <v>3.0255130000000001</v>
      </c>
      <c r="T4938">
        <v>-1.079285E-2</v>
      </c>
      <c r="U4938">
        <v>5.409241E-2</v>
      </c>
      <c r="V4938">
        <v>-3.7356069999999998E-2</v>
      </c>
      <c r="W4938">
        <v>0.13806379999999999</v>
      </c>
      <c r="X4938">
        <v>0.9897186</v>
      </c>
      <c r="Y4938">
        <v>-3.190403E-2</v>
      </c>
      <c r="Z4938">
        <v>1.290671E-4</v>
      </c>
      <c r="AA4938">
        <v>0.99949089999999996</v>
      </c>
      <c r="AB4938">
        <v>25</v>
      </c>
      <c r="AC4938">
        <v>268.90499999999997</v>
      </c>
      <c r="AD4938">
        <v>-0.96022370000000001</v>
      </c>
      <c r="AE4938">
        <v>4.8156000000000097</v>
      </c>
      <c r="AF4938">
        <v>-8.5886749107472706</v>
      </c>
      <c r="AG4938">
        <v>-0.96022370000000001</v>
      </c>
      <c r="AH4938">
        <v>268.80751415797101</v>
      </c>
      <c r="AI4938">
        <v>90.204564485407303</v>
      </c>
      <c r="AJ4938">
        <v>91.830036163382701</v>
      </c>
      <c r="AK4938">
        <v>268.94640178679498</v>
      </c>
      <c r="AL4938">
        <v>82.064177832699897</v>
      </c>
      <c r="AM4938">
        <v>92.161553420929906</v>
      </c>
      <c r="AN4938">
        <v>0.99999999801112205</v>
      </c>
    </row>
    <row r="4939" spans="1:40" x14ac:dyDescent="0.25">
      <c r="A4939" t="str">
        <f>"20190303162009239"</f>
        <v>20190303162009239</v>
      </c>
      <c r="B4939" t="str">
        <f>"1551601209227820"</f>
        <v>1551601209227820</v>
      </c>
      <c r="C4939" t="s">
        <v>40</v>
      </c>
      <c r="D4939">
        <v>4.2618769999999904</v>
      </c>
      <c r="E4939">
        <v>0.50170550000000003</v>
      </c>
      <c r="F4939" t="s">
        <v>65</v>
      </c>
      <c r="G4939">
        <v>-157.8382</v>
      </c>
      <c r="H4939">
        <v>0.14119909999999999</v>
      </c>
      <c r="I4939">
        <v>219.501</v>
      </c>
      <c r="J4939">
        <v>-426.52050000000003</v>
      </c>
      <c r="K4939">
        <v>1.121515</v>
      </c>
      <c r="L4939">
        <v>214.77440000000001</v>
      </c>
      <c r="M4939">
        <v>0.99983949999999999</v>
      </c>
      <c r="N4939">
        <v>-1.1505019999999999E-2</v>
      </c>
      <c r="O4939">
        <v>-1.373711E-2</v>
      </c>
      <c r="P4939">
        <v>0.99170449999999999</v>
      </c>
      <c r="Q4939">
        <v>0.12638079999999999</v>
      </c>
      <c r="R4939">
        <v>2.346254E-2</v>
      </c>
      <c r="S4939">
        <v>3.0253909999999999</v>
      </c>
      <c r="T4939">
        <v>-1.1028649999999999E-2</v>
      </c>
      <c r="U4939">
        <v>5.3146359999999997E-2</v>
      </c>
      <c r="V4939">
        <v>-3.7153319999999997E-2</v>
      </c>
      <c r="W4939">
        <v>0.13775870000000001</v>
      </c>
      <c r="X4939">
        <v>0.98976869999999995</v>
      </c>
      <c r="Y4939">
        <v>-3.1297030000000003E-2</v>
      </c>
      <c r="Z4939">
        <v>1.2913289999999999E-4</v>
      </c>
      <c r="AA4939">
        <v>0.99951009999999996</v>
      </c>
      <c r="AB4939">
        <v>25</v>
      </c>
      <c r="AC4939">
        <v>268.6823</v>
      </c>
      <c r="AD4939">
        <v>-0.98031590000000002</v>
      </c>
      <c r="AE4939">
        <v>4.7265999999999604</v>
      </c>
      <c r="AF4939">
        <v>-8.4172043539382795</v>
      </c>
      <c r="AG4939">
        <v>-0.98031590000000002</v>
      </c>
      <c r="AH4939">
        <v>268.58843562512902</v>
      </c>
      <c r="AI4939">
        <v>90.209019249689007</v>
      </c>
      <c r="AJ4939">
        <v>91.794986055314496</v>
      </c>
      <c r="AK4939">
        <v>268.72208338719298</v>
      </c>
      <c r="AL4939">
        <v>82.081827073934406</v>
      </c>
      <c r="AM4939">
        <v>92.149723914086195</v>
      </c>
      <c r="AN4939">
        <v>0.99999995405620001</v>
      </c>
    </row>
    <row r="4940" spans="1:40" x14ac:dyDescent="0.25">
      <c r="A4940" t="str">
        <f>"20190303162009261"</f>
        <v>20190303162009261</v>
      </c>
      <c r="B4940" t="str">
        <f>"1551601209247336"</f>
        <v>1551601209247336</v>
      </c>
      <c r="C4940" t="s">
        <v>40</v>
      </c>
      <c r="D4940">
        <v>4.2905280000000001</v>
      </c>
      <c r="E4940">
        <v>0.50177450000000001</v>
      </c>
      <c r="F4940" t="s">
        <v>65</v>
      </c>
      <c r="G4940">
        <v>-157.8382</v>
      </c>
      <c r="H4940">
        <v>0.12742609999999999</v>
      </c>
      <c r="I4940">
        <v>219.4213</v>
      </c>
      <c r="J4940">
        <v>-426.27080000000001</v>
      </c>
      <c r="K4940">
        <v>1.121516</v>
      </c>
      <c r="L4940">
        <v>214.7714</v>
      </c>
      <c r="M4940">
        <v>0.99984399999999996</v>
      </c>
      <c r="N4940">
        <v>-1.150636E-2</v>
      </c>
      <c r="O4940">
        <v>-1.340584E-2</v>
      </c>
      <c r="P4940">
        <v>0.9916372</v>
      </c>
      <c r="Q4940">
        <v>0.12686339999999999</v>
      </c>
      <c r="R4940">
        <v>2.3694239999999998E-2</v>
      </c>
      <c r="S4940">
        <v>3.025299</v>
      </c>
      <c r="T4940">
        <v>-1.1192560000000001E-2</v>
      </c>
      <c r="U4940">
        <v>5.2322390000000003E-2</v>
      </c>
      <c r="V4940">
        <v>-3.7055940000000002E-2</v>
      </c>
      <c r="W4940">
        <v>0.13824229999999901</v>
      </c>
      <c r="X4940">
        <v>0.98970499999999995</v>
      </c>
      <c r="Y4940">
        <v>-3.0694260000000001E-2</v>
      </c>
      <c r="Z4940">
        <v>1.287331E-4</v>
      </c>
      <c r="AA4940">
        <v>0.9995288</v>
      </c>
      <c r="AB4940">
        <v>25</v>
      </c>
      <c r="AC4940">
        <v>268.43259999999998</v>
      </c>
      <c r="AD4940">
        <v>-0.99408989999999997</v>
      </c>
      <c r="AE4940">
        <v>4.6498999999999997</v>
      </c>
      <c r="AF4940">
        <v>-8.2481714896112202</v>
      </c>
      <c r="AG4940">
        <v>-0.99408989999999997</v>
      </c>
      <c r="AH4940">
        <v>268.34245581166402</v>
      </c>
      <c r="AI4940">
        <v>90.212154308810696</v>
      </c>
      <c r="AJ4940">
        <v>91.7605736899486</v>
      </c>
      <c r="AK4940">
        <v>268.47103035278502</v>
      </c>
      <c r="AL4940">
        <v>82.053851784573695</v>
      </c>
      <c r="AM4940">
        <v>92.144232557668303</v>
      </c>
      <c r="AN4940">
        <v>1.0000000316117801</v>
      </c>
    </row>
    <row r="4941" spans="1:40" x14ac:dyDescent="0.25">
      <c r="A4941" t="str">
        <f>"20190303162009286"</f>
        <v>20190303162009286</v>
      </c>
      <c r="B4941" t="str">
        <f>"1551601209277592"</f>
        <v>1551601209277592</v>
      </c>
      <c r="C4941" t="s">
        <v>40</v>
      </c>
      <c r="D4941">
        <v>4.2292120000000004</v>
      </c>
      <c r="E4941">
        <v>0.5023242</v>
      </c>
      <c r="F4941" t="s">
        <v>65</v>
      </c>
      <c r="G4941">
        <v>-157.8382</v>
      </c>
      <c r="H4941">
        <v>0.3549004</v>
      </c>
      <c r="I4941">
        <v>219.452</v>
      </c>
      <c r="J4941">
        <v>-426.005</v>
      </c>
      <c r="K4941">
        <v>1.121521</v>
      </c>
      <c r="L4941">
        <v>214.76820000000001</v>
      </c>
      <c r="M4941">
        <v>0.99984870000000003</v>
      </c>
      <c r="N4941">
        <v>-1.150764E-2</v>
      </c>
      <c r="O4941">
        <v>-1.305107E-2</v>
      </c>
      <c r="P4941">
        <v>0.99168049999999996</v>
      </c>
      <c r="Q4941">
        <v>0.1265269</v>
      </c>
      <c r="R4941">
        <v>2.368901E-2</v>
      </c>
      <c r="S4941">
        <v>3.0251459999999999</v>
      </c>
      <c r="T4941">
        <v>-8.6388590000000005E-3</v>
      </c>
      <c r="U4941">
        <v>5.2749629999999999E-2</v>
      </c>
      <c r="V4941">
        <v>-3.6700419999999997E-2</v>
      </c>
      <c r="W4941">
        <v>0.13790749999999999</v>
      </c>
      <c r="X4941">
        <v>0.98976489999999995</v>
      </c>
      <c r="Y4941">
        <v>-3.048176E-2</v>
      </c>
      <c r="Z4941">
        <v>1.060138E-4</v>
      </c>
      <c r="AA4941">
        <v>0.99953530000000002</v>
      </c>
      <c r="AB4941">
        <v>25</v>
      </c>
      <c r="AC4941">
        <v>268.16680000000002</v>
      </c>
      <c r="AD4941">
        <v>-0.76662059999999999</v>
      </c>
      <c r="AE4941">
        <v>4.68379999999999</v>
      </c>
      <c r="AF4941">
        <v>-8.1834292994594797</v>
      </c>
      <c r="AG4941">
        <v>-0.76662059999999999</v>
      </c>
      <c r="AH4941">
        <v>268.080634678629</v>
      </c>
      <c r="AI4941">
        <v>90.163769958962803</v>
      </c>
      <c r="AJ4941">
        <v>91.748467971725105</v>
      </c>
      <c r="AK4941">
        <v>268.20660489991599</v>
      </c>
      <c r="AL4941">
        <v>82.073219498049994</v>
      </c>
      <c r="AM4941">
        <v>92.123551004570103</v>
      </c>
      <c r="AN4941">
        <v>0.99999997832821697</v>
      </c>
    </row>
    <row r="4942" spans="1:40" x14ac:dyDescent="0.25">
      <c r="A4942" t="str">
        <f>"20190303162009307"</f>
        <v>20190303162009307</v>
      </c>
      <c r="B4942" t="str">
        <f>"1551601209297111"</f>
        <v>1551601209297111</v>
      </c>
      <c r="C4942" t="s">
        <v>40</v>
      </c>
      <c r="D4942">
        <v>4.2501490000000004</v>
      </c>
      <c r="E4942">
        <v>0.52858640000000001</v>
      </c>
      <c r="F4942" t="s">
        <v>65</v>
      </c>
      <c r="G4942">
        <v>-157.8382</v>
      </c>
      <c r="H4942">
        <v>0.3833008</v>
      </c>
      <c r="I4942">
        <v>219.07769999999999</v>
      </c>
      <c r="J4942">
        <v>-425.76459999999997</v>
      </c>
      <c r="K4942">
        <v>1.121513</v>
      </c>
      <c r="L4942">
        <v>214.7655</v>
      </c>
      <c r="M4942">
        <v>0.99985299999999999</v>
      </c>
      <c r="N4942">
        <v>-1.150092E-2</v>
      </c>
      <c r="O4942">
        <v>-1.272652E-2</v>
      </c>
      <c r="P4942">
        <v>0.99176430000000004</v>
      </c>
      <c r="Q4942">
        <v>0.1259102</v>
      </c>
      <c r="R4942">
        <v>2.3463979999999999E-2</v>
      </c>
      <c r="S4942">
        <v>3.0251160000000001</v>
      </c>
      <c r="T4942">
        <v>-8.3270069999999904E-3</v>
      </c>
      <c r="U4942">
        <v>4.8614499999999998E-2</v>
      </c>
      <c r="V4942">
        <v>-3.6154680000000002E-2</v>
      </c>
      <c r="W4942">
        <v>0.13728499999999999</v>
      </c>
      <c r="X4942">
        <v>0.98987159999999996</v>
      </c>
      <c r="Y4942">
        <v>-2.8791589999999999E-2</v>
      </c>
      <c r="Z4942" s="1">
        <v>9.3873230000000003E-5</v>
      </c>
      <c r="AA4942">
        <v>0.99958539999999996</v>
      </c>
      <c r="AB4942">
        <v>25</v>
      </c>
      <c r="AC4942">
        <v>267.92639999999898</v>
      </c>
      <c r="AD4942">
        <v>-0.73821219999999999</v>
      </c>
      <c r="AE4942">
        <v>4.31219999999999</v>
      </c>
      <c r="AF4942">
        <v>-7.7217879024932499</v>
      </c>
      <c r="AG4942">
        <v>-0.73821219999999999</v>
      </c>
      <c r="AH4942">
        <v>267.84778321892497</v>
      </c>
      <c r="AI4942">
        <v>90.157846260217795</v>
      </c>
      <c r="AJ4942">
        <v>91.651323540472902</v>
      </c>
      <c r="AK4942">
        <v>267.96008273799902</v>
      </c>
      <c r="AL4942">
        <v>82.109229261655599</v>
      </c>
      <c r="AM4942">
        <v>92.091776494772503</v>
      </c>
      <c r="AN4942">
        <v>1.0000000582987201</v>
      </c>
    </row>
    <row r="4943" spans="1:40" x14ac:dyDescent="0.25">
      <c r="A4943" t="str">
        <f>"20190303162009329"</f>
        <v>20190303162009329</v>
      </c>
      <c r="B4943" t="str">
        <f>"1551601209317608"</f>
        <v>1551601209317608</v>
      </c>
      <c r="C4943" t="s">
        <v>40</v>
      </c>
      <c r="D4943">
        <v>4.2497870000000004</v>
      </c>
      <c r="E4943">
        <v>0.52743009999999901</v>
      </c>
      <c r="F4943" t="s">
        <v>66</v>
      </c>
      <c r="G4943">
        <v>-168.41390000000001</v>
      </c>
      <c r="H4943">
        <v>4.8901519999999996</v>
      </c>
      <c r="I4943">
        <v>201.06280000000001</v>
      </c>
      <c r="J4943">
        <v>-425.5256</v>
      </c>
      <c r="K4943">
        <v>1.1215059999999999</v>
      </c>
      <c r="L4943">
        <v>214.7628</v>
      </c>
      <c r="M4943">
        <v>0.99985710000000005</v>
      </c>
      <c r="N4943">
        <v>-1.1485769999999999E-2</v>
      </c>
      <c r="O4943">
        <v>-1.240086E-2</v>
      </c>
      <c r="P4943">
        <v>0.99181889999999995</v>
      </c>
      <c r="Q4943">
        <v>0.12557699999999999</v>
      </c>
      <c r="R4943">
        <v>2.292858E-2</v>
      </c>
      <c r="S4943">
        <v>3.0231020000000002</v>
      </c>
      <c r="T4943">
        <v>4.4270629999999998E-2</v>
      </c>
      <c r="U4943">
        <v>-0.160965</v>
      </c>
      <c r="V4943">
        <v>-3.5297799999999997E-2</v>
      </c>
      <c r="W4943">
        <v>0.1369378</v>
      </c>
      <c r="X4943">
        <v>0.98995049999999996</v>
      </c>
      <c r="Y4943">
        <v>4.0784729999999998E-2</v>
      </c>
      <c r="Z4943">
        <v>-2.5977850000000001E-4</v>
      </c>
      <c r="AA4943">
        <v>0.9991679</v>
      </c>
      <c r="AB4943">
        <v>25</v>
      </c>
      <c r="AC4943">
        <v>257.11169999999998</v>
      </c>
      <c r="AD4943">
        <v>3.7686459999999999</v>
      </c>
      <c r="AE4943">
        <v>-13.6999999999999</v>
      </c>
      <c r="AF4943">
        <v>10.5080785438264</v>
      </c>
      <c r="AG4943">
        <v>3.7686459999999999</v>
      </c>
      <c r="AH4943">
        <v>257.20672678315702</v>
      </c>
      <c r="AI4943">
        <v>89.161250079260896</v>
      </c>
      <c r="AJ4943">
        <v>87.6605047489996</v>
      </c>
      <c r="AK4943">
        <v>257.44887397279899</v>
      </c>
      <c r="AL4943">
        <v>82.129311119684701</v>
      </c>
      <c r="AM4943">
        <v>92.042080434567694</v>
      </c>
      <c r="AN4943">
        <v>0.99999994410196302</v>
      </c>
    </row>
    <row r="4944" spans="1:40" x14ac:dyDescent="0.25">
      <c r="A4944" t="str">
        <f>"20190303162009362"</f>
        <v>20190303162009362</v>
      </c>
      <c r="B4944" t="str">
        <f>"1551601209357624"</f>
        <v>1551601209357624</v>
      </c>
      <c r="C4944" t="s">
        <v>40</v>
      </c>
      <c r="D4944">
        <v>4.2766960000000003</v>
      </c>
      <c r="E4944">
        <v>0.52637080000000003</v>
      </c>
      <c r="F4944" t="s">
        <v>66</v>
      </c>
      <c r="G4944">
        <v>-168.41370000000001</v>
      </c>
      <c r="H4944">
        <v>4.956118</v>
      </c>
      <c r="I4944">
        <v>201.7234</v>
      </c>
      <c r="J4944">
        <v>-425.15199999999999</v>
      </c>
      <c r="K4944">
        <v>1.1214959999999901</v>
      </c>
      <c r="L4944">
        <v>214.75880000000001</v>
      </c>
      <c r="M4944">
        <v>0.99986379999999997</v>
      </c>
      <c r="N4944">
        <v>-1.145506E-2</v>
      </c>
      <c r="O4944">
        <v>-1.1883639999999999E-2</v>
      </c>
      <c r="P4944">
        <v>0.99185900000000005</v>
      </c>
      <c r="Q4944">
        <v>0.12534709999999999</v>
      </c>
      <c r="R4944">
        <v>2.2445960000000001E-2</v>
      </c>
      <c r="S4944">
        <v>3.022583</v>
      </c>
      <c r="T4944">
        <v>4.5079710000000002E-2</v>
      </c>
      <c r="U4944">
        <v>-0.1532898</v>
      </c>
      <c r="V4944">
        <v>-3.4303939999999998E-2</v>
      </c>
      <c r="W4944">
        <v>0.13667899999999999</v>
      </c>
      <c r="X4944">
        <v>0.99002129999999999</v>
      </c>
      <c r="Y4944">
        <v>3.8780130000000003E-2</v>
      </c>
      <c r="Z4944">
        <v>-2.4641989999999998E-4</v>
      </c>
      <c r="AA4944">
        <v>0.99924769999999896</v>
      </c>
      <c r="AB4944">
        <v>25</v>
      </c>
      <c r="AC4944">
        <v>256.73829999999998</v>
      </c>
      <c r="AD4944">
        <v>3.834622</v>
      </c>
      <c r="AE4944">
        <v>-13.035399999999999</v>
      </c>
      <c r="AF4944">
        <v>9.9810729069732602</v>
      </c>
      <c r="AG4944">
        <v>3.834622</v>
      </c>
      <c r="AH4944">
        <v>256.81794268409197</v>
      </c>
      <c r="AI4944">
        <v>89.145209146985806</v>
      </c>
      <c r="AJ4944">
        <v>87.774354547419705</v>
      </c>
      <c r="AK4944">
        <v>257.04042838967302</v>
      </c>
      <c r="AL4944">
        <v>82.144280786019195</v>
      </c>
      <c r="AM4944">
        <v>91.984487572386399</v>
      </c>
      <c r="AN4944">
        <v>1.0000000418971</v>
      </c>
    </row>
    <row r="4945" spans="1:40" x14ac:dyDescent="0.25">
      <c r="A4945" t="str">
        <f>"20190303162009385"</f>
        <v>20190303162009385</v>
      </c>
      <c r="B4945" t="str">
        <f>"1551601209377143"</f>
        <v>1551601209377143</v>
      </c>
      <c r="C4945" t="s">
        <v>40</v>
      </c>
      <c r="D4945">
        <v>4.241276</v>
      </c>
      <c r="E4945">
        <v>0.52648399999999995</v>
      </c>
      <c r="F4945" t="s">
        <v>66</v>
      </c>
      <c r="G4945">
        <v>-168.4136</v>
      </c>
      <c r="H4945">
        <v>5.1667059999999996</v>
      </c>
      <c r="I4945">
        <v>202.33699999999999</v>
      </c>
      <c r="J4945">
        <v>-424.89530000000002</v>
      </c>
      <c r="K4945">
        <v>1.1215010000000001</v>
      </c>
      <c r="L4945">
        <v>214.7561</v>
      </c>
      <c r="M4945">
        <v>0.99986819999999998</v>
      </c>
      <c r="N4945">
        <v>-1.1434110000000001E-2</v>
      </c>
      <c r="O4945">
        <v>-1.152049E-2</v>
      </c>
      <c r="P4945">
        <v>0.99187119999999995</v>
      </c>
      <c r="Q4945">
        <v>0.12523210000000001</v>
      </c>
      <c r="R4945">
        <v>2.255091E-2</v>
      </c>
      <c r="S4945">
        <v>3.0219420000000001</v>
      </c>
      <c r="T4945">
        <v>4.7614570000000002E-2</v>
      </c>
      <c r="U4945">
        <v>-0.1462097</v>
      </c>
      <c r="V4945">
        <v>-3.4050610000000002E-2</v>
      </c>
      <c r="W4945">
        <v>0.13654289999999999</v>
      </c>
      <c r="X4945">
        <v>0.99004879999999995</v>
      </c>
      <c r="Y4945">
        <v>3.6818190000000001E-2</v>
      </c>
      <c r="Z4945">
        <v>-2.3379189999999999E-4</v>
      </c>
      <c r="AA4945">
        <v>0.99932189999999999</v>
      </c>
      <c r="AB4945">
        <v>25</v>
      </c>
      <c r="AC4945">
        <v>256.48169999999999</v>
      </c>
      <c r="AD4945">
        <v>4.0452049999999904</v>
      </c>
      <c r="AE4945">
        <v>-12.419099999999901</v>
      </c>
      <c r="AF4945">
        <v>9.46093957815952</v>
      </c>
      <c r="AG4945">
        <v>4.0452049999999904</v>
      </c>
      <c r="AH4945">
        <v>256.54409350824199</v>
      </c>
      <c r="AI4945">
        <v>89.097244623237998</v>
      </c>
      <c r="AJ4945">
        <v>87.887979572814501</v>
      </c>
      <c r="AK4945">
        <v>256.750355355468</v>
      </c>
      <c r="AL4945">
        <v>82.152152343977207</v>
      </c>
      <c r="AM4945">
        <v>91.969789313974303</v>
      </c>
      <c r="AN4945">
        <v>1.0000000169816099</v>
      </c>
    </row>
    <row r="4946" spans="1:40" x14ac:dyDescent="0.25">
      <c r="A4946" t="str">
        <f>"20190303162009409"</f>
        <v>20190303162009409</v>
      </c>
      <c r="B4946" t="str">
        <f>"1551601209397640"</f>
        <v>1551601209397640</v>
      </c>
      <c r="C4946" t="s">
        <v>40</v>
      </c>
      <c r="D4946">
        <v>4.3174299999999999</v>
      </c>
      <c r="E4946">
        <v>0.52678970000000003</v>
      </c>
      <c r="F4946" t="s">
        <v>66</v>
      </c>
      <c r="G4946">
        <v>-168.41370000000001</v>
      </c>
      <c r="H4946">
        <v>5.3379859999999999</v>
      </c>
      <c r="I4946">
        <v>202.2834</v>
      </c>
      <c r="J4946">
        <v>-424.63290000000001</v>
      </c>
      <c r="K4946">
        <v>1.121505</v>
      </c>
      <c r="L4946">
        <v>214.7535</v>
      </c>
      <c r="M4946">
        <v>0.99987280000000001</v>
      </c>
      <c r="N4946">
        <v>-1.14144E-2</v>
      </c>
      <c r="O4946">
        <v>-1.1139919999999999E-2</v>
      </c>
      <c r="P4946">
        <v>0.99180970000000002</v>
      </c>
      <c r="Q4946">
        <v>0.1256224</v>
      </c>
      <c r="R4946">
        <v>2.307913E-2</v>
      </c>
      <c r="S4946">
        <v>3.0216370000000001</v>
      </c>
      <c r="T4946">
        <v>4.9675230000000001E-2</v>
      </c>
      <c r="U4946">
        <v>-0.14694209999999999</v>
      </c>
      <c r="V4946">
        <v>-3.4202749999999997E-2</v>
      </c>
      <c r="W4946">
        <v>0.1369128</v>
      </c>
      <c r="X4946">
        <v>0.98999239999999999</v>
      </c>
      <c r="Y4946">
        <v>3.7444850000000002E-2</v>
      </c>
      <c r="Z4946">
        <v>-2.1633500000000001E-4</v>
      </c>
      <c r="AA4946">
        <v>0.99929869999999998</v>
      </c>
      <c r="AB4946">
        <v>25</v>
      </c>
      <c r="AC4946">
        <v>256.2192</v>
      </c>
      <c r="AD4946">
        <v>4.2164809999999999</v>
      </c>
      <c r="AE4946">
        <v>-12.4701</v>
      </c>
      <c r="AF4946">
        <v>9.6122817514546899</v>
      </c>
      <c r="AG4946">
        <v>4.2164809999999999</v>
      </c>
      <c r="AH4946">
        <v>256.27298504363898</v>
      </c>
      <c r="AI4946">
        <v>89.058054999929098</v>
      </c>
      <c r="AJ4946">
        <v>87.851958048525205</v>
      </c>
      <c r="AK4946">
        <v>256.48785065899301</v>
      </c>
      <c r="AL4946">
        <v>82.130757160504103</v>
      </c>
      <c r="AM4946">
        <v>91.978696091862702</v>
      </c>
      <c r="AN4946">
        <v>0.99999994748457899</v>
      </c>
    </row>
    <row r="4947" spans="1:40" x14ac:dyDescent="0.25">
      <c r="A4947" t="str">
        <f>"20190303162009429"</f>
        <v>20190303162009429</v>
      </c>
      <c r="B4947" t="str">
        <f>"1551601209417161"</f>
        <v>1551601209417161</v>
      </c>
      <c r="C4947" t="s">
        <v>40</v>
      </c>
      <c r="D4947">
        <v>4.331054</v>
      </c>
      <c r="E4947">
        <v>0.52690019999999904</v>
      </c>
      <c r="F4947" t="s">
        <v>66</v>
      </c>
      <c r="G4947">
        <v>-168.41370000000001</v>
      </c>
      <c r="H4947">
        <v>5.3814659999999996</v>
      </c>
      <c r="I4947">
        <v>202.2687</v>
      </c>
      <c r="J4947">
        <v>-424.39420000000001</v>
      </c>
      <c r="K4947">
        <v>1.1215079999999999</v>
      </c>
      <c r="L4947">
        <v>214.75120000000001</v>
      </c>
      <c r="M4947">
        <v>0.99987700000000002</v>
      </c>
      <c r="N4947">
        <v>-1.139713E-2</v>
      </c>
      <c r="O4947">
        <v>-1.078761E-2</v>
      </c>
      <c r="P4947">
        <v>0.99176549999999997</v>
      </c>
      <c r="Q4947">
        <v>0.12600169999999999</v>
      </c>
      <c r="R4947">
        <v>2.2920690000000001E-2</v>
      </c>
      <c r="S4947">
        <v>3.021881</v>
      </c>
      <c r="T4947">
        <v>5.02429E-2</v>
      </c>
      <c r="U4947">
        <v>-0.1472473</v>
      </c>
      <c r="V4947">
        <v>-3.3696869999999997E-2</v>
      </c>
      <c r="W4947">
        <v>0.13727410000000001</v>
      </c>
      <c r="X4947">
        <v>0.98995979999999995</v>
      </c>
      <c r="Y4947">
        <v>3.7893530000000002E-2</v>
      </c>
      <c r="Z4947">
        <v>-2.0337139999999999E-4</v>
      </c>
      <c r="AA4947">
        <v>0.9992818</v>
      </c>
      <c r="AB4947">
        <v>25</v>
      </c>
      <c r="AC4947">
        <v>255.98050000000001</v>
      </c>
      <c r="AD4947">
        <v>4.2599580000000001</v>
      </c>
      <c r="AE4947">
        <v>-12.4825</v>
      </c>
      <c r="AF4947">
        <v>9.7174919514772107</v>
      </c>
      <c r="AG4947">
        <v>4.2599580000000001</v>
      </c>
      <c r="AH4947">
        <v>256.02952971976202</v>
      </c>
      <c r="AI4947">
        <v>89.047455463249406</v>
      </c>
      <c r="AJ4947">
        <v>87.826406370067104</v>
      </c>
      <c r="AK4947">
        <v>256.24928679024902</v>
      </c>
      <c r="AL4947">
        <v>82.109859542888401</v>
      </c>
      <c r="AM4947">
        <v>91.949516840846201</v>
      </c>
      <c r="AN4947">
        <v>1.0000000315973201</v>
      </c>
    </row>
    <row r="4948" spans="1:40" x14ac:dyDescent="0.25">
      <c r="A4948" t="str">
        <f>"20190303162009452"</f>
        <v>20190303162009452</v>
      </c>
      <c r="B4948" t="str">
        <f>"1551601209447416"</f>
        <v>1551601209447416</v>
      </c>
      <c r="C4948" t="s">
        <v>40</v>
      </c>
      <c r="D4948">
        <v>4.4013999999999998</v>
      </c>
      <c r="E4948">
        <v>0.52582850000000003</v>
      </c>
      <c r="F4948" t="s">
        <v>66</v>
      </c>
      <c r="G4948">
        <v>-168.41370000000001</v>
      </c>
      <c r="H4948">
        <v>5.4189129999999999</v>
      </c>
      <c r="I4948">
        <v>202.16300000000001</v>
      </c>
      <c r="J4948">
        <v>-424.14819999999997</v>
      </c>
      <c r="K4948">
        <v>1.1215200000000001</v>
      </c>
      <c r="L4948">
        <v>214.749</v>
      </c>
      <c r="M4948">
        <v>0.99988109999999997</v>
      </c>
      <c r="N4948">
        <v>-1.1376839999999999E-2</v>
      </c>
      <c r="O4948">
        <v>-1.0417289999999999E-2</v>
      </c>
      <c r="P4948">
        <v>0.99177389999999999</v>
      </c>
      <c r="Q4948">
        <v>0.12580649999999999</v>
      </c>
      <c r="R4948">
        <v>2.3604569999999998E-2</v>
      </c>
      <c r="S4948">
        <v>3.021881</v>
      </c>
      <c r="T4948">
        <v>5.0731779999999997E-2</v>
      </c>
      <c r="U4948">
        <v>-0.1486053</v>
      </c>
      <c r="V4948">
        <v>-3.4015589999999998E-2</v>
      </c>
      <c r="W4948">
        <v>0.13705829999999999</v>
      </c>
      <c r="X4948">
        <v>0.98997880000000005</v>
      </c>
      <c r="Y4948">
        <v>3.87114E-2</v>
      </c>
      <c r="Z4948">
        <v>-1.8882339999999999E-4</v>
      </c>
      <c r="AA4948">
        <v>0.99925039999999998</v>
      </c>
      <c r="AB4948">
        <v>25</v>
      </c>
      <c r="AC4948">
        <v>255.7345</v>
      </c>
      <c r="AD4948">
        <v>4.2973929999999996</v>
      </c>
      <c r="AE4948">
        <v>-12.586</v>
      </c>
      <c r="AF4948">
        <v>9.9182903810495997</v>
      </c>
      <c r="AG4948">
        <v>4.2973929999999996</v>
      </c>
      <c r="AH4948">
        <v>255.77969002611701</v>
      </c>
      <c r="AI4948">
        <v>89.038178267498395</v>
      </c>
      <c r="AJ4948">
        <v>87.779371734361405</v>
      </c>
      <c r="AK4948">
        <v>256.00798796236</v>
      </c>
      <c r="AL4948">
        <v>82.122341951801005</v>
      </c>
      <c r="AM4948">
        <v>91.967904068492302</v>
      </c>
      <c r="AN4948">
        <v>1.00000003120568</v>
      </c>
    </row>
    <row r="4949" spans="1:40" x14ac:dyDescent="0.25">
      <c r="A4949" t="str">
        <f>"20190303162009475"</f>
        <v>20190303162009475</v>
      </c>
      <c r="B4949" t="str">
        <f>"1551601209466937"</f>
        <v>1551601209466937</v>
      </c>
      <c r="C4949" t="s">
        <v>40</v>
      </c>
      <c r="D4949">
        <v>4.3417789999999998</v>
      </c>
      <c r="E4949">
        <v>0.52512749999999997</v>
      </c>
      <c r="F4949" t="s">
        <v>66</v>
      </c>
      <c r="G4949">
        <v>-168.41299999999899</v>
      </c>
      <c r="H4949">
        <v>4.1457899999999999</v>
      </c>
      <c r="I4949">
        <v>203.08080000000001</v>
      </c>
      <c r="J4949">
        <v>-423.88929999999999</v>
      </c>
      <c r="K4949">
        <v>1.121523</v>
      </c>
      <c r="L4949">
        <v>214.74680000000001</v>
      </c>
      <c r="M4949">
        <v>0.99988540000000004</v>
      </c>
      <c r="N4949">
        <v>-1.1353240000000001E-2</v>
      </c>
      <c r="O4949">
        <v>-1.0018579999999999E-2</v>
      </c>
      <c r="P4949">
        <v>0.99187510000000001</v>
      </c>
      <c r="Q4949">
        <v>0.124929</v>
      </c>
      <c r="R4949">
        <v>2.4013799999999998E-2</v>
      </c>
      <c r="S4949">
        <v>3.02359</v>
      </c>
      <c r="T4949">
        <v>3.5756709999999997E-2</v>
      </c>
      <c r="U4949">
        <v>-0.13795470000000001</v>
      </c>
      <c r="V4949">
        <v>-3.4031659999999998E-2</v>
      </c>
      <c r="W4949">
        <v>0.1361589</v>
      </c>
      <c r="X4949">
        <v>0.99010229999999999</v>
      </c>
      <c r="Y4949">
        <v>3.5570200000000003E-2</v>
      </c>
      <c r="Z4949">
        <v>-2.2391490000000001E-4</v>
      </c>
      <c r="AA4949">
        <v>0.99936720000000001</v>
      </c>
      <c r="AB4949">
        <v>25</v>
      </c>
      <c r="AC4949">
        <v>255.47630000000001</v>
      </c>
      <c r="AD4949">
        <v>3.024267</v>
      </c>
      <c r="AE4949">
        <v>-11.665999999999899</v>
      </c>
      <c r="AF4949">
        <v>9.1044666458840293</v>
      </c>
      <c r="AG4949">
        <v>3.024267</v>
      </c>
      <c r="AH4949">
        <v>255.544625377507</v>
      </c>
      <c r="AI4949">
        <v>89.322389220973093</v>
      </c>
      <c r="AJ4949">
        <v>87.9595463378364</v>
      </c>
      <c r="AK4949">
        <v>255.72464305014401</v>
      </c>
      <c r="AL4949">
        <v>82.174361067796397</v>
      </c>
      <c r="AM4949">
        <v>91.968587646428006</v>
      </c>
      <c r="AN4949">
        <v>0.99999998219842701</v>
      </c>
    </row>
    <row r="4950" spans="1:40" x14ac:dyDescent="0.25">
      <c r="A4950" t="str">
        <f>"20190303162009497"</f>
        <v>20190303162009497</v>
      </c>
      <c r="B4950" t="str">
        <f>"1551601209487432"</f>
        <v>1551601209487432</v>
      </c>
      <c r="C4950" t="s">
        <v>40</v>
      </c>
      <c r="D4950">
        <v>4.4524059999999999</v>
      </c>
      <c r="E4950">
        <v>0.52479279999999995</v>
      </c>
      <c r="F4950" t="s">
        <v>66</v>
      </c>
      <c r="G4950">
        <v>-168.41249999999999</v>
      </c>
      <c r="H4950">
        <v>3.308392</v>
      </c>
      <c r="I4950">
        <v>203.6584</v>
      </c>
      <c r="J4950">
        <v>-423.6463</v>
      </c>
      <c r="K4950">
        <v>1.121526</v>
      </c>
      <c r="L4950">
        <v>214.7448</v>
      </c>
      <c r="M4950">
        <v>0.99988949999999999</v>
      </c>
      <c r="N4950">
        <v>-1.1331239999999999E-2</v>
      </c>
      <c r="O4950">
        <v>-9.6365870000000003E-3</v>
      </c>
      <c r="P4950">
        <v>0.99184700000000003</v>
      </c>
      <c r="Q4950">
        <v>0.1250405</v>
      </c>
      <c r="R4950">
        <v>2.4593980000000001E-2</v>
      </c>
      <c r="S4950">
        <v>3.0245060000000001</v>
      </c>
      <c r="T4950">
        <v>2.5889990000000002E-2</v>
      </c>
      <c r="U4950">
        <v>-0.13127139999999901</v>
      </c>
      <c r="V4950">
        <v>-3.4234710000000002E-2</v>
      </c>
      <c r="W4950">
        <v>0.13624720000000001</v>
      </c>
      <c r="X4950">
        <v>0.99008320000000005</v>
      </c>
      <c r="Y4950">
        <v>3.3733909999999999E-2</v>
      </c>
      <c r="Z4950">
        <v>-2.3849980000000001E-4</v>
      </c>
      <c r="AA4950">
        <v>0.99943079999999995</v>
      </c>
      <c r="AB4950">
        <v>25</v>
      </c>
      <c r="AC4950">
        <v>255.2338</v>
      </c>
      <c r="AD4950">
        <v>2.1868660000000002</v>
      </c>
      <c r="AE4950">
        <v>-11.0863999999999</v>
      </c>
      <c r="AF4950">
        <v>8.6255128344327403</v>
      </c>
      <c r="AG4950">
        <v>2.1868660000000002</v>
      </c>
      <c r="AH4950">
        <v>255.31008155007899</v>
      </c>
      <c r="AI4950">
        <v>89.509523139097496</v>
      </c>
      <c r="AJ4950">
        <v>88.065029080685406</v>
      </c>
      <c r="AK4950">
        <v>255.46510445786299</v>
      </c>
      <c r="AL4950">
        <v>82.169254627729998</v>
      </c>
      <c r="AM4950">
        <v>91.980362078709604</v>
      </c>
      <c r="AN4950">
        <v>1.00000002889943</v>
      </c>
    </row>
    <row r="4951" spans="1:40" x14ac:dyDescent="0.25">
      <c r="A4951" t="str">
        <f>"20190303162009518"</f>
        <v>20190303162009518</v>
      </c>
      <c r="B4951" t="str">
        <f>"1551601209506952"</f>
        <v>1551601209506952</v>
      </c>
      <c r="C4951" t="s">
        <v>40</v>
      </c>
      <c r="D4951">
        <v>4.4772059999999998</v>
      </c>
      <c r="E4951">
        <v>0.52442679999999997</v>
      </c>
      <c r="F4951" t="s">
        <v>47</v>
      </c>
      <c r="G4951">
        <v>-234.5247</v>
      </c>
      <c r="H4951">
        <v>2.4356439999999999</v>
      </c>
      <c r="I4951">
        <v>206.8329</v>
      </c>
      <c r="J4951">
        <v>-423.40559999999999</v>
      </c>
      <c r="K4951">
        <v>1.121523</v>
      </c>
      <c r="L4951">
        <v>214.74289999999999</v>
      </c>
      <c r="M4951">
        <v>0.99989320000000004</v>
      </c>
      <c r="N4951">
        <v>-1.1308790000000001E-2</v>
      </c>
      <c r="O4951">
        <v>-9.2519730000000001E-3</v>
      </c>
      <c r="P4951">
        <v>0.99174399999999996</v>
      </c>
      <c r="Q4951">
        <v>0.1256853</v>
      </c>
      <c r="R4951">
        <v>2.5441470000000001E-2</v>
      </c>
      <c r="S4951">
        <v>3.0251459999999999</v>
      </c>
      <c r="T4951">
        <v>2.1021129999999999E-2</v>
      </c>
      <c r="U4951">
        <v>-0.12655640000000001</v>
      </c>
      <c r="V4951">
        <v>-3.4701460000000003E-2</v>
      </c>
      <c r="W4951">
        <v>0.1368684</v>
      </c>
      <c r="X4951">
        <v>0.98998120000000001</v>
      </c>
      <c r="Y4951">
        <v>3.2554E-2</v>
      </c>
      <c r="Z4951">
        <v>-2.3995E-4</v>
      </c>
      <c r="AA4951">
        <v>0.99946990000000002</v>
      </c>
      <c r="AB4951">
        <v>25</v>
      </c>
      <c r="AC4951">
        <v>188.8809</v>
      </c>
      <c r="AD4951">
        <v>1.3141210000000001</v>
      </c>
      <c r="AE4951">
        <v>-7.9099999999999904</v>
      </c>
      <c r="AF4951">
        <v>6.16173083592534</v>
      </c>
      <c r="AG4951">
        <v>1.3141210000000001</v>
      </c>
      <c r="AH4951">
        <v>188.93687300321099</v>
      </c>
      <c r="AI4951">
        <v>89.601706299813898</v>
      </c>
      <c r="AJ4951">
        <v>88.132095220178797</v>
      </c>
      <c r="AK4951">
        <v>189.04188906464199</v>
      </c>
      <c r="AL4951">
        <v>82.1333253941782</v>
      </c>
      <c r="AM4951">
        <v>92.007546697798404</v>
      </c>
      <c r="AN4951">
        <v>0.99999996329906504</v>
      </c>
    </row>
    <row r="4952" spans="1:40" x14ac:dyDescent="0.25">
      <c r="A4952" t="str">
        <f>"20190303162009540"</f>
        <v>20190303162009540</v>
      </c>
      <c r="B4952" t="str">
        <f>"1551601209527448"</f>
        <v>1551601209527448</v>
      </c>
      <c r="C4952" t="s">
        <v>40</v>
      </c>
      <c r="D4952">
        <v>4.4756619999999998</v>
      </c>
      <c r="E4952">
        <v>0.52456990000000003</v>
      </c>
      <c r="F4952" t="s">
        <v>66</v>
      </c>
      <c r="G4952">
        <v>-168.41200000000001</v>
      </c>
      <c r="H4952">
        <v>2.6289539999999998</v>
      </c>
      <c r="I4952">
        <v>204.5341</v>
      </c>
      <c r="J4952">
        <v>-423.15609999999998</v>
      </c>
      <c r="K4952">
        <v>1.121516</v>
      </c>
      <c r="L4952">
        <v>214.74109999999999</v>
      </c>
      <c r="M4952">
        <v>0.99989729999999999</v>
      </c>
      <c r="N4952">
        <v>-1.1283069999999999E-2</v>
      </c>
      <c r="O4952">
        <v>-8.8488750000000008E-3</v>
      </c>
      <c r="P4952">
        <v>0.99176810000000004</v>
      </c>
      <c r="Q4952">
        <v>0.1253698</v>
      </c>
      <c r="R4952">
        <v>2.6051100000000001E-2</v>
      </c>
      <c r="S4952">
        <v>3.0258180000000001</v>
      </c>
      <c r="T4952">
        <v>1.788795E-2</v>
      </c>
      <c r="U4952">
        <v>-0.1211395</v>
      </c>
      <c r="V4952">
        <v>-3.4912239999999997E-2</v>
      </c>
      <c r="W4952">
        <v>0.13652690000000001</v>
      </c>
      <c r="X4952">
        <v>0.99002100000000004</v>
      </c>
      <c r="Y4952">
        <v>3.116114E-2</v>
      </c>
      <c r="Z4952">
        <v>-2.358971E-4</v>
      </c>
      <c r="AA4952">
        <v>0.99951429999999997</v>
      </c>
      <c r="AB4952">
        <v>25</v>
      </c>
      <c r="AC4952">
        <v>254.7441</v>
      </c>
      <c r="AD4952">
        <v>1.5074380000000001</v>
      </c>
      <c r="AE4952">
        <v>-10.206999999999899</v>
      </c>
      <c r="AF4952">
        <v>7.9519803701844403</v>
      </c>
      <c r="AG4952">
        <v>1.5074380000000001</v>
      </c>
      <c r="AH4952">
        <v>254.815542778832</v>
      </c>
      <c r="AI4952">
        <v>89.661218453606196</v>
      </c>
      <c r="AJ4952">
        <v>88.2125615537377</v>
      </c>
      <c r="AK4952">
        <v>254.94404720016999</v>
      </c>
      <c r="AL4952">
        <v>82.153077763882095</v>
      </c>
      <c r="AM4952">
        <v>92.019649532095499</v>
      </c>
      <c r="AN4952">
        <v>1.00000001968321</v>
      </c>
    </row>
    <row r="4953" spans="1:40" x14ac:dyDescent="0.25">
      <c r="A4953" t="str">
        <f>"20190303162009564"</f>
        <v>20190303162009564</v>
      </c>
      <c r="B4953" t="str">
        <f>"1551601209557706"</f>
        <v>1551601209557706</v>
      </c>
      <c r="C4953" t="s">
        <v>40</v>
      </c>
      <c r="D4953">
        <v>4.567672</v>
      </c>
      <c r="E4953">
        <v>0.53667209999999999</v>
      </c>
      <c r="F4953" t="s">
        <v>66</v>
      </c>
      <c r="G4953">
        <v>-168.4119</v>
      </c>
      <c r="H4953">
        <v>2.5105189999999999</v>
      </c>
      <c r="I4953">
        <v>204.60319999999999</v>
      </c>
      <c r="J4953">
        <v>-422.8931</v>
      </c>
      <c r="K4953">
        <v>1.12151</v>
      </c>
      <c r="L4953">
        <v>214.73920000000001</v>
      </c>
      <c r="M4953">
        <v>0.99990120000000005</v>
      </c>
      <c r="N4953">
        <v>-1.12546E-2</v>
      </c>
      <c r="O4953">
        <v>-8.4208630000000007E-3</v>
      </c>
      <c r="P4953">
        <v>0.99184070000000002</v>
      </c>
      <c r="Q4953">
        <v>0.124670699999999</v>
      </c>
      <c r="R4953">
        <v>2.6630109999999999E-2</v>
      </c>
      <c r="S4953">
        <v>3.02597</v>
      </c>
      <c r="T4953">
        <v>1.6499639999999999E-2</v>
      </c>
      <c r="U4953">
        <v>-0.1204224</v>
      </c>
      <c r="V4953">
        <v>-3.5067790000000001E-2</v>
      </c>
      <c r="W4953">
        <v>0.13580029999999901</v>
      </c>
      <c r="X4953">
        <v>0.99011539999999998</v>
      </c>
      <c r="Y4953">
        <v>3.1350330000000003E-2</v>
      </c>
      <c r="Z4953">
        <v>-2.316916E-4</v>
      </c>
      <c r="AA4953">
        <v>0.99950839999999996</v>
      </c>
      <c r="AB4953">
        <v>25</v>
      </c>
      <c r="AC4953">
        <v>254.4812</v>
      </c>
      <c r="AD4953">
        <v>1.3890089999999999</v>
      </c>
      <c r="AE4953">
        <v>-10.135999999999999</v>
      </c>
      <c r="AF4953">
        <v>7.9923157741091897</v>
      </c>
      <c r="AG4953">
        <v>1.3890089999999999</v>
      </c>
      <c r="AH4953">
        <v>254.54996369702999</v>
      </c>
      <c r="AI4953">
        <v>89.687509813597302</v>
      </c>
      <c r="AJ4953">
        <v>88.201627819460199</v>
      </c>
      <c r="AK4953">
        <v>254.67919128895201</v>
      </c>
      <c r="AL4953">
        <v>82.195100013504202</v>
      </c>
      <c r="AM4953">
        <v>92.028447238866306</v>
      </c>
      <c r="AN4953">
        <v>0.99999998834636705</v>
      </c>
    </row>
    <row r="4954" spans="1:40" x14ac:dyDescent="0.25">
      <c r="A4954" t="str">
        <f>"20190303162009586"</f>
        <v>20190303162009586</v>
      </c>
      <c r="B4954" t="str">
        <f>"1551601209577225"</f>
        <v>1551601209577225</v>
      </c>
      <c r="C4954" t="s">
        <v>40</v>
      </c>
      <c r="D4954">
        <v>4.5199389999999999</v>
      </c>
      <c r="E4954">
        <v>0.53511699999999995</v>
      </c>
      <c r="F4954" t="s">
        <v>42</v>
      </c>
      <c r="G4954">
        <v>-422.19779999999997</v>
      </c>
      <c r="H4954">
        <v>0.95244839999999997</v>
      </c>
      <c r="I4954">
        <v>214.68989999999999</v>
      </c>
      <c r="J4954">
        <v>-422.65210000000002</v>
      </c>
      <c r="K4954">
        <v>1.121515</v>
      </c>
      <c r="L4954">
        <v>214.73759999999999</v>
      </c>
      <c r="M4954">
        <v>0.99990489999999999</v>
      </c>
      <c r="N4954">
        <v>-1.1229619999999999E-2</v>
      </c>
      <c r="O4954">
        <v>-8.0273369999999903E-3</v>
      </c>
      <c r="P4954">
        <v>0.99190590000000001</v>
      </c>
      <c r="Q4954">
        <v>0.1241324</v>
      </c>
      <c r="R4954">
        <v>2.6724370000000001E-2</v>
      </c>
      <c r="S4954">
        <v>3.1261290000000002</v>
      </c>
      <c r="T4954">
        <v>-0.76020690000000002</v>
      </c>
      <c r="U4954">
        <v>-0.2208252</v>
      </c>
      <c r="V4954">
        <v>-3.4772570000000003E-2</v>
      </c>
      <c r="W4954">
        <v>0.1352381</v>
      </c>
      <c r="X4954">
        <v>0.99020280000000005</v>
      </c>
      <c r="Y4954">
        <v>6.08169E-2</v>
      </c>
      <c r="Z4954">
        <v>-5.7940269999999898E-3</v>
      </c>
      <c r="AA4954">
        <v>0.99813209999999997</v>
      </c>
      <c r="AB4954">
        <v>25</v>
      </c>
      <c r="AC4954">
        <v>0.454300000000046</v>
      </c>
      <c r="AD4954">
        <v>-0.16906659999999901</v>
      </c>
      <c r="AE4954">
        <v>-4.7699999999991798E-2</v>
      </c>
      <c r="AF4954">
        <v>3.8744107226061503E-2</v>
      </c>
      <c r="AG4954">
        <v>-0.16906659999999901</v>
      </c>
      <c r="AH4954">
        <v>0.399889927950283</v>
      </c>
      <c r="AI4954">
        <v>112.82195950600401</v>
      </c>
      <c r="AJ4954">
        <v>84.466060559310407</v>
      </c>
      <c r="AK4954">
        <v>0.43588596623014503</v>
      </c>
      <c r="AL4954">
        <v>82.227611957827705</v>
      </c>
      <c r="AM4954">
        <v>92.011207348450199</v>
      </c>
      <c r="AN4954">
        <v>1.0000000302219201</v>
      </c>
    </row>
    <row r="4955" spans="1:40" x14ac:dyDescent="0.25">
      <c r="A4955" t="str">
        <f>"20190303162009610"</f>
        <v>20190303162009610</v>
      </c>
      <c r="B4955" t="str">
        <f>"1551601209597720"</f>
        <v>1551601209597720</v>
      </c>
      <c r="C4955" t="s">
        <v>40</v>
      </c>
      <c r="D4955">
        <v>4.5125199999999897</v>
      </c>
      <c r="E4955">
        <v>0.53451029999999999</v>
      </c>
      <c r="F4955" t="s">
        <v>42</v>
      </c>
      <c r="G4955">
        <v>-421.78559999999999</v>
      </c>
      <c r="H4955">
        <v>0.8706796</v>
      </c>
      <c r="I4955">
        <v>214.68010000000001</v>
      </c>
      <c r="J4955">
        <v>-422.37959999999998</v>
      </c>
      <c r="K4955">
        <v>1.121518</v>
      </c>
      <c r="L4955">
        <v>214.73589999999999</v>
      </c>
      <c r="M4955">
        <v>0.99990860000000004</v>
      </c>
      <c r="N4955">
        <v>-1.1204270000000001E-2</v>
      </c>
      <c r="O4955">
        <v>-7.5816089999999996E-3</v>
      </c>
      <c r="P4955">
        <v>0.99182420000000004</v>
      </c>
      <c r="Q4955">
        <v>0.1247373</v>
      </c>
      <c r="R4955">
        <v>2.6939999999999999E-2</v>
      </c>
      <c r="S4955">
        <v>3.1440429999999999</v>
      </c>
      <c r="T4955">
        <v>-0.91006399999999998</v>
      </c>
      <c r="U4955">
        <v>-0.209259</v>
      </c>
      <c r="V4955">
        <v>-3.4546010000000002E-2</v>
      </c>
      <c r="W4955">
        <v>0.13581779999999999</v>
      </c>
      <c r="X4955">
        <v>0.99013139999999999</v>
      </c>
      <c r="Y4955">
        <v>5.6717749999999997E-2</v>
      </c>
      <c r="Z4955">
        <v>-6.2951259999999998E-3</v>
      </c>
      <c r="AA4955">
        <v>0.99837039999999999</v>
      </c>
      <c r="AB4955">
        <v>25</v>
      </c>
      <c r="AC4955">
        <v>0.59399999999999398</v>
      </c>
      <c r="AD4955">
        <v>-0.25083840000000002</v>
      </c>
      <c r="AE4955">
        <v>-5.57999999999765E-2</v>
      </c>
      <c r="AF4955">
        <v>4.3589485753553897E-2</v>
      </c>
      <c r="AG4955">
        <v>-0.25083840000000002</v>
      </c>
      <c r="AH4955">
        <v>0.50511813873259304</v>
      </c>
      <c r="AI4955">
        <v>116.324122303374</v>
      </c>
      <c r="AJ4955">
        <v>85.067843796314506</v>
      </c>
      <c r="AK4955">
        <v>0.56565385197972295</v>
      </c>
      <c r="AL4955">
        <v>82.194088409118706</v>
      </c>
      <c r="AM4955">
        <v>91.998257993437306</v>
      </c>
      <c r="AN4955">
        <v>1.0000000454348501</v>
      </c>
    </row>
    <row r="4956" spans="1:40" x14ac:dyDescent="0.25">
      <c r="A4956" t="str">
        <f>"20190303162009632"</f>
        <v>20190303162009632</v>
      </c>
      <c r="B4956" t="str">
        <f>"1551601209627976"</f>
        <v>1551601209627976</v>
      </c>
      <c r="C4956" t="s">
        <v>40</v>
      </c>
      <c r="D4956">
        <v>4.5747019999999896</v>
      </c>
      <c r="E4956">
        <v>0.53493069999999998</v>
      </c>
      <c r="F4956" t="s">
        <v>42</v>
      </c>
      <c r="G4956">
        <v>-421.56119999999999</v>
      </c>
      <c r="H4956">
        <v>0.86921479999999995</v>
      </c>
      <c r="I4956">
        <v>214.68279999999999</v>
      </c>
      <c r="J4956">
        <v>-422.13069999999999</v>
      </c>
      <c r="K4956">
        <v>1.1215189999999999</v>
      </c>
      <c r="L4956">
        <v>214.7345</v>
      </c>
      <c r="M4956">
        <v>0.99991180000000002</v>
      </c>
      <c r="N4956">
        <v>-1.118361E-2</v>
      </c>
      <c r="O4956">
        <v>-7.1748890000000003E-3</v>
      </c>
      <c r="P4956">
        <v>0.99173679999999997</v>
      </c>
      <c r="Q4956">
        <v>0.12540589999999999</v>
      </c>
      <c r="R4956">
        <v>2.7045909999999999E-2</v>
      </c>
      <c r="S4956">
        <v>3.1524960000000002</v>
      </c>
      <c r="T4956">
        <v>-0.97186090000000003</v>
      </c>
      <c r="U4956">
        <v>-0.20350650000000001</v>
      </c>
      <c r="V4956">
        <v>-3.4248319999999999E-2</v>
      </c>
      <c r="W4956">
        <v>0.13646549999999999</v>
      </c>
      <c r="X4956">
        <v>0.99005259999999995</v>
      </c>
      <c r="Y4956">
        <v>5.4928949999999997E-2</v>
      </c>
      <c r="Z4956">
        <v>-6.5002940000000002E-3</v>
      </c>
      <c r="AA4956">
        <v>0.9984691</v>
      </c>
      <c r="AB4956">
        <v>25</v>
      </c>
      <c r="AC4956">
        <v>0.569500000000005</v>
      </c>
      <c r="AD4956">
        <v>-0.25230419999999998</v>
      </c>
      <c r="AE4956">
        <v>-5.1700000000010897E-2</v>
      </c>
      <c r="AF4956">
        <v>3.9853976536880102E-2</v>
      </c>
      <c r="AG4956">
        <v>-0.25230419999999998</v>
      </c>
      <c r="AH4956">
        <v>0.47699928021072402</v>
      </c>
      <c r="AI4956">
        <v>117.79388520958599</v>
      </c>
      <c r="AJ4956">
        <v>85.223948149677099</v>
      </c>
      <c r="AK4956">
        <v>0.54108600250329097</v>
      </c>
      <c r="AL4956">
        <v>82.156628533647506</v>
      </c>
      <c r="AM4956">
        <v>91.981209927337403</v>
      </c>
      <c r="AN4956">
        <v>0.99999996543991498</v>
      </c>
    </row>
    <row r="4957" spans="1:40" x14ac:dyDescent="0.25">
      <c r="A4957" t="str">
        <f>"20190303162009653"</f>
        <v>20190303162009653</v>
      </c>
      <c r="B4957" t="str">
        <f>"1551601209647496"</f>
        <v>1551601209647496</v>
      </c>
      <c r="C4957" t="s">
        <v>40</v>
      </c>
      <c r="D4957">
        <v>4.5812559999999998</v>
      </c>
      <c r="E4957">
        <v>0.53493219999999997</v>
      </c>
      <c r="F4957" t="s">
        <v>42</v>
      </c>
      <c r="G4957">
        <v>-421.33510000000001</v>
      </c>
      <c r="H4957">
        <v>0.8717741</v>
      </c>
      <c r="I4957">
        <v>214.68209999999999</v>
      </c>
      <c r="J4957">
        <v>-421.89359999999999</v>
      </c>
      <c r="K4957">
        <v>1.1215139999999999</v>
      </c>
      <c r="L4957">
        <v>214.73330000000001</v>
      </c>
      <c r="M4957">
        <v>0.99991470000000005</v>
      </c>
      <c r="N4957">
        <v>-1.1166199999999999E-2</v>
      </c>
      <c r="O4957">
        <v>-6.7880950000000001E-3</v>
      </c>
      <c r="P4957">
        <v>0.99174399999999996</v>
      </c>
      <c r="Q4957">
        <v>0.12531389999999901</v>
      </c>
      <c r="R4957">
        <v>2.7209230000000001E-2</v>
      </c>
      <c r="S4957">
        <v>3.1558839999999999</v>
      </c>
      <c r="T4957">
        <v>-0.99064300000000005</v>
      </c>
      <c r="U4957">
        <v>-0.20700070000000001</v>
      </c>
      <c r="V4957">
        <v>-3.4028360000000001E-2</v>
      </c>
      <c r="W4957">
        <v>0.1363559</v>
      </c>
      <c r="X4957">
        <v>0.99007529999999999</v>
      </c>
      <c r="Y4957">
        <v>5.6186050000000001E-2</v>
      </c>
      <c r="Z4957">
        <v>-6.9198569999999997E-3</v>
      </c>
      <c r="AA4957">
        <v>0.99839630000000001</v>
      </c>
      <c r="AB4957">
        <v>25</v>
      </c>
      <c r="AC4957">
        <v>0.55849999999998001</v>
      </c>
      <c r="AD4957">
        <v>-0.24973989999999899</v>
      </c>
      <c r="AE4957">
        <v>-5.12000000000227E-2</v>
      </c>
      <c r="AF4957">
        <v>3.9562660225905898E-2</v>
      </c>
      <c r="AG4957">
        <v>-0.24973989999999899</v>
      </c>
      <c r="AH4957">
        <v>0.46636120155621802</v>
      </c>
      <c r="AI4957">
        <v>118.08397429352</v>
      </c>
      <c r="AJ4957">
        <v>85.151056440324993</v>
      </c>
      <c r="AK4957">
        <v>0.53049787186483599</v>
      </c>
      <c r="AL4957">
        <v>82.162967521197103</v>
      </c>
      <c r="AM4957">
        <v>91.968450542793605</v>
      </c>
      <c r="AN4957">
        <v>0.99999998020959402</v>
      </c>
    </row>
    <row r="4958" spans="1:40" x14ac:dyDescent="0.25">
      <c r="A4958" t="str">
        <f>"20190303162009675"</f>
        <v>20190303162009675</v>
      </c>
      <c r="B4958" t="str">
        <f>"1551601209667016"</f>
        <v>1551601209667016</v>
      </c>
      <c r="C4958" t="s">
        <v>40</v>
      </c>
      <c r="D4958">
        <v>4.5873790000000003</v>
      </c>
      <c r="E4958">
        <v>0.53477889999999995</v>
      </c>
      <c r="F4958" t="s">
        <v>42</v>
      </c>
      <c r="G4958">
        <v>-421.10890000000001</v>
      </c>
      <c r="H4958">
        <v>0.87445469999999903</v>
      </c>
      <c r="I4958">
        <v>214.68170000000001</v>
      </c>
      <c r="J4958">
        <v>-421.63869999999997</v>
      </c>
      <c r="K4958">
        <v>1.1215090000000001</v>
      </c>
      <c r="L4958">
        <v>214.732</v>
      </c>
      <c r="M4958">
        <v>0.99991759999999996</v>
      </c>
      <c r="N4958">
        <v>-1.1149940000000001E-2</v>
      </c>
      <c r="O4958">
        <v>-6.3728150000000004E-3</v>
      </c>
      <c r="P4958">
        <v>0.99174329999999999</v>
      </c>
      <c r="Q4958">
        <v>0.12514220000000001</v>
      </c>
      <c r="R4958">
        <v>2.8017589999999998E-2</v>
      </c>
      <c r="S4958">
        <v>3.1561889999999999</v>
      </c>
      <c r="T4958">
        <v>-0.99376140000000002</v>
      </c>
      <c r="U4958">
        <v>-0.2062225</v>
      </c>
      <c r="V4958">
        <v>-3.442489E-2</v>
      </c>
      <c r="W4958">
        <v>0.13616829999999999</v>
      </c>
      <c r="X4958">
        <v>0.99008739999999995</v>
      </c>
      <c r="Y4958">
        <v>5.6310020000000002E-2</v>
      </c>
      <c r="Z4958">
        <v>-7.0810969999999997E-3</v>
      </c>
      <c r="AA4958">
        <v>0.99838819999999995</v>
      </c>
      <c r="AB4958">
        <v>25</v>
      </c>
      <c r="AC4958">
        <v>0.52979999999996596</v>
      </c>
      <c r="AD4958">
        <v>-0.2470543</v>
      </c>
      <c r="AE4958">
        <v>-5.0299999999992899E-2</v>
      </c>
      <c r="AF4958">
        <v>3.8603155220295803E-2</v>
      </c>
      <c r="AG4958">
        <v>-0.2470543</v>
      </c>
      <c r="AH4958">
        <v>0.43612195804499299</v>
      </c>
      <c r="AI4958">
        <v>119.434892718726</v>
      </c>
      <c r="AJ4958">
        <v>84.941670610067803</v>
      </c>
      <c r="AK4958">
        <v>0.50272098924796305</v>
      </c>
      <c r="AL4958">
        <v>82.173817322642606</v>
      </c>
      <c r="AM4958">
        <v>91.991346074461802</v>
      </c>
      <c r="AN4958">
        <v>0.99999996930757995</v>
      </c>
    </row>
    <row r="4959" spans="1:40" x14ac:dyDescent="0.25">
      <c r="A4959" t="str">
        <f>"20190303162009698"</f>
        <v>20190303162009698</v>
      </c>
      <c r="B4959" t="str">
        <f>"1551601209687512"</f>
        <v>1551601209687512</v>
      </c>
      <c r="C4959" t="s">
        <v>40</v>
      </c>
      <c r="D4959">
        <v>4.5645030000000002</v>
      </c>
      <c r="E4959">
        <v>0.53457060000000001</v>
      </c>
      <c r="F4959" t="s">
        <v>42</v>
      </c>
      <c r="G4959">
        <v>-420.88029999999998</v>
      </c>
      <c r="H4959">
        <v>0.88207669999999905</v>
      </c>
      <c r="I4959">
        <v>214.6832</v>
      </c>
      <c r="J4959">
        <v>-421.39780000000002</v>
      </c>
      <c r="K4959">
        <v>1.1215079999999999</v>
      </c>
      <c r="L4959">
        <v>214.73089999999999</v>
      </c>
      <c r="M4959">
        <v>0.99992020000000004</v>
      </c>
      <c r="N4959">
        <v>-1.113664E-2</v>
      </c>
      <c r="O4959">
        <v>-5.9812729999999996E-3</v>
      </c>
      <c r="P4959">
        <v>0.99171989999999999</v>
      </c>
      <c r="Q4959">
        <v>0.12507570000000001</v>
      </c>
      <c r="R4959">
        <v>2.9123779999999998E-2</v>
      </c>
      <c r="S4959">
        <v>3.1564640000000002</v>
      </c>
      <c r="T4959">
        <v>-0.99662759999999995</v>
      </c>
      <c r="U4959">
        <v>-0.20259089999999999</v>
      </c>
      <c r="V4959">
        <v>-3.5142880000000001E-2</v>
      </c>
      <c r="W4959">
        <v>0.13608809999999999</v>
      </c>
      <c r="X4959">
        <v>0.99007330000000004</v>
      </c>
      <c r="Y4959">
        <v>5.55579E-2</v>
      </c>
      <c r="Z4959">
        <v>-7.0949350000000001E-3</v>
      </c>
      <c r="AA4959">
        <v>0.99843029999999999</v>
      </c>
      <c r="AB4959">
        <v>25</v>
      </c>
      <c r="AC4959">
        <v>0.51750000000004004</v>
      </c>
      <c r="AD4959">
        <v>-0.23943130000000001</v>
      </c>
      <c r="AE4959">
        <v>-4.7699999999991798E-2</v>
      </c>
      <c r="AF4959">
        <v>3.6793813247901597E-2</v>
      </c>
      <c r="AG4959">
        <v>-0.23943130000000001</v>
      </c>
      <c r="AH4959">
        <v>0.42711655887045502</v>
      </c>
      <c r="AI4959">
        <v>119.18368746038701</v>
      </c>
      <c r="AJ4959">
        <v>85.076429324668396</v>
      </c>
      <c r="AK4959">
        <v>0.49102921193585802</v>
      </c>
      <c r="AL4959">
        <v>82.178456383550099</v>
      </c>
      <c r="AM4959">
        <v>92.032873440610302</v>
      </c>
      <c r="AN4959">
        <v>1.00000006617459</v>
      </c>
    </row>
    <row r="4960" spans="1:40" x14ac:dyDescent="0.25">
      <c r="A4960" t="str">
        <f>"20190303162009719"</f>
        <v>20190303162009719</v>
      </c>
      <c r="B4960" t="str">
        <f>"1551601209707032"</f>
        <v>1551601209707032</v>
      </c>
      <c r="C4960" t="s">
        <v>40</v>
      </c>
      <c r="D4960">
        <v>4.6011509999999998</v>
      </c>
      <c r="E4960">
        <v>0.53514390000000001</v>
      </c>
      <c r="F4960" t="s">
        <v>42</v>
      </c>
      <c r="G4960">
        <v>-420.65320000000003</v>
      </c>
      <c r="H4960">
        <v>0.88586219999999904</v>
      </c>
      <c r="I4960">
        <v>214.6841</v>
      </c>
      <c r="J4960">
        <v>-421.14600000000002</v>
      </c>
      <c r="K4960">
        <v>1.12151</v>
      </c>
      <c r="L4960">
        <v>214.72989999999999</v>
      </c>
      <c r="M4960">
        <v>0.99992270000000005</v>
      </c>
      <c r="N4960">
        <v>-1.1124719999999999E-2</v>
      </c>
      <c r="O4960">
        <v>-5.5725729999999999E-3</v>
      </c>
      <c r="P4960">
        <v>0.99168959999999995</v>
      </c>
      <c r="Q4960">
        <v>0.12497369999999999</v>
      </c>
      <c r="R4960">
        <v>3.0558390000000001E-2</v>
      </c>
      <c r="S4960">
        <v>3.15686</v>
      </c>
      <c r="T4960">
        <v>-0.9990869</v>
      </c>
      <c r="U4960">
        <v>-0.19711300000000001</v>
      </c>
      <c r="V4960">
        <v>-3.6171660000000001E-2</v>
      </c>
      <c r="W4960">
        <v>0.13597279999999901</v>
      </c>
      <c r="X4960">
        <v>0.99005200000000004</v>
      </c>
      <c r="Y4960">
        <v>5.4267410000000002E-2</v>
      </c>
      <c r="Z4960">
        <v>-7.0250460000000001E-3</v>
      </c>
      <c r="AA4960">
        <v>0.99850170000000005</v>
      </c>
      <c r="AB4960">
        <v>25</v>
      </c>
      <c r="AC4960">
        <v>0.49279999999993102</v>
      </c>
      <c r="AD4960">
        <v>-0.23564779999999999</v>
      </c>
      <c r="AE4960">
        <v>-4.5799999999985602E-2</v>
      </c>
      <c r="AF4960">
        <v>3.5096582941460903E-2</v>
      </c>
      <c r="AG4960">
        <v>-0.23564779999999999</v>
      </c>
      <c r="AH4960">
        <v>0.40193026164405599</v>
      </c>
      <c r="AI4960">
        <v>120.287824777783</v>
      </c>
      <c r="AJ4960">
        <v>85.0095858447079</v>
      </c>
      <c r="AK4960">
        <v>0.46723611911352297</v>
      </c>
      <c r="AL4960">
        <v>82.185123868444705</v>
      </c>
      <c r="AM4960">
        <v>92.092377033639906</v>
      </c>
      <c r="AN4960">
        <v>0.99999997701549703</v>
      </c>
    </row>
    <row r="4961" spans="1:40" x14ac:dyDescent="0.25">
      <c r="A4961" t="str">
        <f>"20190303162009742"</f>
        <v>20190303162009742</v>
      </c>
      <c r="B4961" t="str">
        <f>"1551601209738264"</f>
        <v>1551601209738264</v>
      </c>
      <c r="C4961" t="s">
        <v>40</v>
      </c>
      <c r="D4961">
        <v>4.5677019999999997</v>
      </c>
      <c r="E4961">
        <v>0.53615959999999996</v>
      </c>
      <c r="F4961" t="s">
        <v>42</v>
      </c>
      <c r="G4961">
        <v>-420.42439999999999</v>
      </c>
      <c r="H4961">
        <v>0.89340750000000002</v>
      </c>
      <c r="I4961">
        <v>214.68469999999999</v>
      </c>
      <c r="J4961">
        <v>-420.8954</v>
      </c>
      <c r="K4961">
        <v>1.1215139999999999</v>
      </c>
      <c r="L4961">
        <v>214.72890000000001</v>
      </c>
      <c r="M4961">
        <v>0.99992499999999995</v>
      </c>
      <c r="N4961">
        <v>-1.1114880000000001E-2</v>
      </c>
      <c r="O4961">
        <v>-5.1659089999999998E-3</v>
      </c>
      <c r="P4961">
        <v>0.9916469</v>
      </c>
      <c r="Q4961">
        <v>0.12505669999999999</v>
      </c>
      <c r="R4961">
        <v>3.1579450000000002E-2</v>
      </c>
      <c r="S4961">
        <v>3.1570130000000001</v>
      </c>
      <c r="T4961">
        <v>-0.99793889999999996</v>
      </c>
      <c r="U4961">
        <v>-0.19805909999999999</v>
      </c>
      <c r="V4961">
        <v>-3.6789259999999997E-2</v>
      </c>
      <c r="W4961">
        <v>0.13604550000000001</v>
      </c>
      <c r="X4961">
        <v>0.99001930000000005</v>
      </c>
      <c r="Y4961">
        <v>5.4922890000000002E-2</v>
      </c>
      <c r="Z4961">
        <v>-7.2427759999999898E-3</v>
      </c>
      <c r="AA4961">
        <v>0.99846429999999997</v>
      </c>
      <c r="AB4961">
        <v>25</v>
      </c>
      <c r="AC4961">
        <v>0.47100000000000303</v>
      </c>
      <c r="AD4961">
        <v>-0.22810649999999899</v>
      </c>
      <c r="AE4961">
        <v>-4.4200000000017697E-2</v>
      </c>
      <c r="AF4961">
        <v>3.3887276507265099E-2</v>
      </c>
      <c r="AG4961">
        <v>-0.22810649999999899</v>
      </c>
      <c r="AH4961">
        <v>0.38232982752153299</v>
      </c>
      <c r="AI4961">
        <v>120.722698574734</v>
      </c>
      <c r="AJ4961">
        <v>84.934903660962902</v>
      </c>
      <c r="AK4961">
        <v>0.44649414314633001</v>
      </c>
      <c r="AL4961">
        <v>82.180919741890506</v>
      </c>
      <c r="AM4961">
        <v>92.128140226021699</v>
      </c>
      <c r="AN4961">
        <v>1.0000000210470401</v>
      </c>
    </row>
    <row r="4962" spans="1:40" x14ac:dyDescent="0.25">
      <c r="A4962" t="str">
        <f>"20190303162009764"</f>
        <v>20190303162009764</v>
      </c>
      <c r="B4962" t="str">
        <f>"1551601209757784"</f>
        <v>1551601209757784</v>
      </c>
      <c r="C4962" t="s">
        <v>40</v>
      </c>
      <c r="D4962">
        <v>4.5778220000000003</v>
      </c>
      <c r="E4962">
        <v>0.53672200000000003</v>
      </c>
      <c r="F4962" t="s">
        <v>42</v>
      </c>
      <c r="G4962">
        <v>-420.19580000000002</v>
      </c>
      <c r="H4962">
        <v>0.90013840000000001</v>
      </c>
      <c r="I4962">
        <v>214.68379999999999</v>
      </c>
      <c r="J4962">
        <v>-420.63619999999997</v>
      </c>
      <c r="K4962">
        <v>1.1215120000000001</v>
      </c>
      <c r="L4962">
        <v>214.72810000000001</v>
      </c>
      <c r="M4962">
        <v>0.99992700000000001</v>
      </c>
      <c r="N4962">
        <v>-1.110649E-2</v>
      </c>
      <c r="O4962">
        <v>-4.7465049999999998E-3</v>
      </c>
      <c r="P4962">
        <v>0.99165700000000001</v>
      </c>
      <c r="Q4962">
        <v>0.124875</v>
      </c>
      <c r="R4962">
        <v>3.1979180000000003E-2</v>
      </c>
      <c r="S4962">
        <v>3.1577449999999998</v>
      </c>
      <c r="T4962">
        <v>-0.99930240000000004</v>
      </c>
      <c r="U4962">
        <v>-0.20237730000000001</v>
      </c>
      <c r="V4962">
        <v>-3.6772760000000002E-2</v>
      </c>
      <c r="W4962">
        <v>0.13585559999999999</v>
      </c>
      <c r="X4962">
        <v>0.99004599999999998</v>
      </c>
      <c r="Y4962">
        <v>5.657922E-2</v>
      </c>
      <c r="Z4962">
        <v>-7.6395789999999996E-3</v>
      </c>
      <c r="AA4962">
        <v>0.9983689</v>
      </c>
      <c r="AB4962">
        <v>25</v>
      </c>
      <c r="AC4962">
        <v>0.44039999999995399</v>
      </c>
      <c r="AD4962">
        <v>-0.2213736</v>
      </c>
      <c r="AE4962">
        <v>-4.43000000000211E-2</v>
      </c>
      <c r="AF4962">
        <v>3.3763402494277298E-2</v>
      </c>
      <c r="AG4962">
        <v>-0.2213736</v>
      </c>
      <c r="AH4962">
        <v>0.352444524083386</v>
      </c>
      <c r="AI4962">
        <v>122.015542563803</v>
      </c>
      <c r="AJ4962">
        <v>84.527890402328595</v>
      </c>
      <c r="AK4962">
        <v>0.41756841437220199</v>
      </c>
      <c r="AL4962">
        <v>82.191902253619801</v>
      </c>
      <c r="AM4962">
        <v>92.127129316970397</v>
      </c>
      <c r="AN4962">
        <v>1.00000003102268</v>
      </c>
    </row>
    <row r="4963" spans="1:40" x14ac:dyDescent="0.25">
      <c r="A4963" t="str">
        <f>"20190303162009787"</f>
        <v>20190303162009787</v>
      </c>
      <c r="B4963" t="str">
        <f>"1551601209777304"</f>
        <v>1551601209777304</v>
      </c>
      <c r="C4963" t="s">
        <v>40</v>
      </c>
      <c r="D4963">
        <v>4.5412509999999999</v>
      </c>
      <c r="E4963">
        <v>0.53716660000000005</v>
      </c>
      <c r="F4963" t="s">
        <v>42</v>
      </c>
      <c r="G4963">
        <v>-419.96589999999998</v>
      </c>
      <c r="H4963">
        <v>0.90931629999999997</v>
      </c>
      <c r="I4963">
        <v>214.6842</v>
      </c>
      <c r="J4963">
        <v>-420.38529999999997</v>
      </c>
      <c r="K4963">
        <v>1.1215040000000001</v>
      </c>
      <c r="L4963">
        <v>214.72739999999999</v>
      </c>
      <c r="M4963">
        <v>0.99992899999999996</v>
      </c>
      <c r="N4963">
        <v>-1.1099889999999999E-2</v>
      </c>
      <c r="O4963">
        <v>-4.3457309999999898E-3</v>
      </c>
      <c r="P4963">
        <v>0.99168719999999999</v>
      </c>
      <c r="Q4963">
        <v>0.1244769</v>
      </c>
      <c r="R4963">
        <v>3.2588529999999997E-2</v>
      </c>
      <c r="S4963">
        <v>3.1577449999999998</v>
      </c>
      <c r="T4963">
        <v>-0.99963190000000002</v>
      </c>
      <c r="U4963">
        <v>-0.2058411</v>
      </c>
      <c r="V4963">
        <v>-3.6983960000000003E-2</v>
      </c>
      <c r="W4963">
        <v>0.13545170000000001</v>
      </c>
      <c r="X4963">
        <v>0.99009349999999996</v>
      </c>
      <c r="Y4963">
        <v>5.7979540000000003E-2</v>
      </c>
      <c r="Z4963">
        <v>-7.984896E-3</v>
      </c>
      <c r="AA4963">
        <v>0.9982858</v>
      </c>
      <c r="AB4963">
        <v>25</v>
      </c>
      <c r="AC4963">
        <v>0.419399999999996</v>
      </c>
      <c r="AD4963">
        <v>-0.21218770000000001</v>
      </c>
      <c r="AE4963">
        <v>-4.3199999999984501E-2</v>
      </c>
      <c r="AF4963">
        <v>3.30148866958846E-2</v>
      </c>
      <c r="AG4963">
        <v>-0.21218770000000001</v>
      </c>
      <c r="AH4963">
        <v>0.33478868114836302</v>
      </c>
      <c r="AI4963">
        <v>122.24112481367401</v>
      </c>
      <c r="AJ4963">
        <v>84.368037248007994</v>
      </c>
      <c r="AK4963">
        <v>0.39773994493876602</v>
      </c>
      <c r="AL4963">
        <v>82.2152601369434</v>
      </c>
      <c r="AM4963">
        <v>92.139232373590303</v>
      </c>
      <c r="AN4963">
        <v>1.0000000575362</v>
      </c>
    </row>
    <row r="4964" spans="1:40" x14ac:dyDescent="0.25">
      <c r="A4964" t="str">
        <f>"20190303162009810"</f>
        <v>20190303162009810</v>
      </c>
      <c r="B4964" t="str">
        <f>"1551601209797227"</f>
        <v>1551601209797227</v>
      </c>
      <c r="C4964" t="s">
        <v>40</v>
      </c>
      <c r="D4964">
        <v>4.5808059999999999</v>
      </c>
      <c r="E4964">
        <v>0.53755580000000003</v>
      </c>
      <c r="F4964" t="s">
        <v>42</v>
      </c>
      <c r="G4964">
        <v>-419.5378</v>
      </c>
      <c r="H4964">
        <v>0.8529042</v>
      </c>
      <c r="I4964">
        <v>214.67140000000001</v>
      </c>
      <c r="J4964">
        <v>-420.11779999999999</v>
      </c>
      <c r="K4964">
        <v>1.121491</v>
      </c>
      <c r="L4964">
        <v>214.72669999999999</v>
      </c>
      <c r="M4964">
        <v>0.99993069999999895</v>
      </c>
      <c r="N4964">
        <v>-1.109422E-2</v>
      </c>
      <c r="O4964">
        <v>-3.9290319999999998E-3</v>
      </c>
      <c r="P4964">
        <v>0.99164260000000004</v>
      </c>
      <c r="Q4964">
        <v>0.1246553</v>
      </c>
      <c r="R4964">
        <v>3.3256529999999999E-2</v>
      </c>
      <c r="S4964">
        <v>3.157654</v>
      </c>
      <c r="T4964">
        <v>-1.000904</v>
      </c>
      <c r="U4964">
        <v>-0.2083893</v>
      </c>
      <c r="V4964">
        <v>-3.7236600000000002E-2</v>
      </c>
      <c r="W4964">
        <v>0.13562460000000001</v>
      </c>
      <c r="X4964">
        <v>0.9900603</v>
      </c>
      <c r="Y4964">
        <v>5.9116389999999998E-2</v>
      </c>
      <c r="Z4964">
        <v>-8.3004089999999999E-3</v>
      </c>
      <c r="AA4964">
        <v>0.99821660000000001</v>
      </c>
      <c r="AB4964">
        <v>25</v>
      </c>
      <c r="AC4964">
        <v>0.57999999999998397</v>
      </c>
      <c r="AD4964">
        <v>-0.26858680000000001</v>
      </c>
      <c r="AE4964">
        <v>-5.5299999999988303E-2</v>
      </c>
      <c r="AF4964">
        <v>4.37278974964544E-2</v>
      </c>
      <c r="AG4964">
        <v>-0.26858680000000001</v>
      </c>
      <c r="AH4964">
        <v>0.478521350566743</v>
      </c>
      <c r="AI4964">
        <v>119.203267018619</v>
      </c>
      <c r="AJ4964">
        <v>84.778739080317905</v>
      </c>
      <c r="AK4964">
        <v>0.55048495084054805</v>
      </c>
      <c r="AL4964">
        <v>82.205260956206203</v>
      </c>
      <c r="AM4964">
        <v>92.153904059319501</v>
      </c>
      <c r="AN4964">
        <v>0.99999999707040399</v>
      </c>
    </row>
    <row r="4965" spans="1:40" x14ac:dyDescent="0.25">
      <c r="A4965" t="str">
        <f>"20190303162009834"</f>
        <v>20190303162009834</v>
      </c>
      <c r="B4965" t="str">
        <f>"1551601209827483"</f>
        <v>1551601209827483</v>
      </c>
      <c r="C4965" t="s">
        <v>40</v>
      </c>
      <c r="D4965">
        <v>4.5449710000000003</v>
      </c>
      <c r="E4965">
        <v>0.53805609999999904</v>
      </c>
      <c r="F4965" t="s">
        <v>42</v>
      </c>
      <c r="G4965">
        <v>-419.30700000000002</v>
      </c>
      <c r="H4965">
        <v>0.86482179999999997</v>
      </c>
      <c r="I4965">
        <v>214.67259999999999</v>
      </c>
      <c r="J4965">
        <v>-419.85950000000003</v>
      </c>
      <c r="K4965">
        <v>1.12148</v>
      </c>
      <c r="L4965">
        <v>214.7261</v>
      </c>
      <c r="M4965">
        <v>0.99993220000000005</v>
      </c>
      <c r="N4965">
        <v>-1.108992E-2</v>
      </c>
      <c r="O4965">
        <v>-3.536923E-3</v>
      </c>
      <c r="P4965">
        <v>0.99164459999999999</v>
      </c>
      <c r="Q4965">
        <v>0.1245497</v>
      </c>
      <c r="R4965">
        <v>3.3590799999999997E-2</v>
      </c>
      <c r="S4965">
        <v>3.1579899999999999</v>
      </c>
      <c r="T4965">
        <v>-0.99980179999999996</v>
      </c>
      <c r="U4965">
        <v>-0.20956420000000001</v>
      </c>
      <c r="V4965">
        <v>-3.717956E-2</v>
      </c>
      <c r="W4965">
        <v>0.13551550000000001</v>
      </c>
      <c r="X4965">
        <v>0.9900774</v>
      </c>
      <c r="Y4965">
        <v>5.9823670000000002E-2</v>
      </c>
      <c r="Z4965">
        <v>-8.5210389999999993E-3</v>
      </c>
      <c r="AA4965">
        <v>0.99817259999999997</v>
      </c>
      <c r="AB4965">
        <v>25</v>
      </c>
      <c r="AC4965">
        <v>0.55250000000006505</v>
      </c>
      <c r="AD4965">
        <v>-0.256658199999999</v>
      </c>
      <c r="AE4965">
        <v>-5.35000000000138E-2</v>
      </c>
      <c r="AF4965">
        <v>4.2466396927801901E-2</v>
      </c>
      <c r="AG4965">
        <v>-0.256658199999999</v>
      </c>
      <c r="AH4965">
        <v>0.45533793468663702</v>
      </c>
      <c r="AI4965">
        <v>119.302438390577</v>
      </c>
      <c r="AJ4965">
        <v>84.671809310523102</v>
      </c>
      <c r="AK4965">
        <v>0.52441344496490705</v>
      </c>
      <c r="AL4965">
        <v>82.211570308253101</v>
      </c>
      <c r="AM4965">
        <v>92.150570644039902</v>
      </c>
      <c r="AN4965">
        <v>1.0000000142064001</v>
      </c>
    </row>
    <row r="4966" spans="1:40" x14ac:dyDescent="0.25">
      <c r="A4966" t="str">
        <f>"20190303162009853"</f>
        <v>20190303162009853</v>
      </c>
      <c r="B4966" t="str">
        <f>"1551601209847002"</f>
        <v>1551601209847002</v>
      </c>
      <c r="C4966" t="s">
        <v>40</v>
      </c>
      <c r="D4966">
        <v>4.5714829999999997</v>
      </c>
      <c r="E4966">
        <v>0.5383289</v>
      </c>
      <c r="F4966" t="s">
        <v>42</v>
      </c>
      <c r="G4966">
        <v>-419.077</v>
      </c>
      <c r="H4966">
        <v>0.87393199999999904</v>
      </c>
      <c r="I4966">
        <v>214.67320000000001</v>
      </c>
      <c r="J4966">
        <v>-419.62270000000001</v>
      </c>
      <c r="K4966">
        <v>1.1214740000000001</v>
      </c>
      <c r="L4966">
        <v>214.72569999999999</v>
      </c>
      <c r="M4966">
        <v>0.99993350000000003</v>
      </c>
      <c r="N4966">
        <v>-1.1086850000000001E-2</v>
      </c>
      <c r="O4966">
        <v>-3.1894179999999999E-3</v>
      </c>
      <c r="P4966">
        <v>0.99166410000000005</v>
      </c>
      <c r="Q4966">
        <v>0.1242255</v>
      </c>
      <c r="R4966">
        <v>3.4214359999999999E-2</v>
      </c>
      <c r="S4966">
        <v>3.157959</v>
      </c>
      <c r="T4966">
        <v>-0.99901470000000003</v>
      </c>
      <c r="U4966">
        <v>-0.21298220000000001</v>
      </c>
      <c r="V4966">
        <v>-3.7455540000000002E-2</v>
      </c>
      <c r="W4966">
        <v>0.13518949999999999</v>
      </c>
      <c r="X4966">
        <v>0.99011150000000003</v>
      </c>
      <c r="Y4966">
        <v>6.1167649999999997E-2</v>
      </c>
      <c r="Z4966">
        <v>-8.8329930000000008E-3</v>
      </c>
      <c r="AA4966">
        <v>0.99808839999999999</v>
      </c>
      <c r="AB4966">
        <v>25</v>
      </c>
      <c r="AC4966">
        <v>0.54570000000000995</v>
      </c>
      <c r="AD4966">
        <v>-0.24754200000000001</v>
      </c>
      <c r="AE4966">
        <v>-5.2499999999980597E-2</v>
      </c>
      <c r="AF4966">
        <v>4.2162742839953499E-2</v>
      </c>
      <c r="AG4966">
        <v>-0.24754200000000001</v>
      </c>
      <c r="AH4966">
        <v>0.453418689109504</v>
      </c>
      <c r="AI4966">
        <v>118.52852836248999</v>
      </c>
      <c r="AJ4966">
        <v>84.687426224956198</v>
      </c>
      <c r="AK4966">
        <v>0.51830806117749095</v>
      </c>
      <c r="AL4966">
        <v>82.230421718005601</v>
      </c>
      <c r="AM4966">
        <v>92.166444404599702</v>
      </c>
      <c r="AN4966">
        <v>0.999999950409594</v>
      </c>
    </row>
    <row r="4967" spans="1:40" x14ac:dyDescent="0.25">
      <c r="A4967" t="str">
        <f>"20190303162009876"</f>
        <v>20190303162009876</v>
      </c>
      <c r="B4967" t="str">
        <f>"1551601209867499"</f>
        <v>1551601209867499</v>
      </c>
      <c r="C4967" t="s">
        <v>40</v>
      </c>
      <c r="D4967">
        <v>4.5574500000000002</v>
      </c>
      <c r="E4967">
        <v>0.53857480000000002</v>
      </c>
      <c r="F4967" t="s">
        <v>42</v>
      </c>
      <c r="G4967">
        <v>-418.84930000000003</v>
      </c>
      <c r="H4967">
        <v>0.87670709999999996</v>
      </c>
      <c r="I4967">
        <v>214.673</v>
      </c>
      <c r="J4967">
        <v>-419.37060000000002</v>
      </c>
      <c r="K4967">
        <v>1.1214630000000001</v>
      </c>
      <c r="L4967">
        <v>214.7253</v>
      </c>
      <c r="M4967">
        <v>0.99993449999999995</v>
      </c>
      <c r="N4967">
        <v>-1.108437E-2</v>
      </c>
      <c r="O4967">
        <v>-2.8361089999999999E-3</v>
      </c>
      <c r="P4967">
        <v>0.99163619999999997</v>
      </c>
      <c r="Q4967">
        <v>0.1242424</v>
      </c>
      <c r="R4967">
        <v>3.494978E-2</v>
      </c>
      <c r="S4967">
        <v>3.1578059999999999</v>
      </c>
      <c r="T4967">
        <v>-0.99939230000000001</v>
      </c>
      <c r="U4967">
        <v>-0.21421809999999999</v>
      </c>
      <c r="V4967">
        <v>-3.7836929999999998E-2</v>
      </c>
      <c r="W4967">
        <v>0.13520460000000001</v>
      </c>
      <c r="X4967">
        <v>0.99009499999999995</v>
      </c>
      <c r="Y4967">
        <v>6.185914E-2</v>
      </c>
      <c r="Z4967">
        <v>-9.0520800000000005E-3</v>
      </c>
      <c r="AA4967">
        <v>0.99804380000000004</v>
      </c>
      <c r="AB4967">
        <v>25</v>
      </c>
      <c r="AC4967">
        <v>0.52129999999999599</v>
      </c>
      <c r="AD4967">
        <v>-0.244755899999999</v>
      </c>
      <c r="AE4967">
        <v>-5.23000000000024E-2</v>
      </c>
      <c r="AF4967">
        <v>4.1716810189732903E-2</v>
      </c>
      <c r="AG4967">
        <v>-0.244755899999999</v>
      </c>
      <c r="AH4967">
        <v>0.42803119213483998</v>
      </c>
      <c r="AI4967">
        <v>119.645125841498</v>
      </c>
      <c r="AJ4967">
        <v>84.4334151398849</v>
      </c>
      <c r="AK4967">
        <v>0.49482971240376</v>
      </c>
      <c r="AL4967">
        <v>82.229549024738205</v>
      </c>
      <c r="AM4967">
        <v>92.188519258684593</v>
      </c>
      <c r="AN4967">
        <v>1.0000000130789899</v>
      </c>
    </row>
    <row r="4968" spans="1:40" x14ac:dyDescent="0.25">
      <c r="A4968" t="str">
        <f>"20190303162009898"</f>
        <v>20190303162009898</v>
      </c>
      <c r="B4968" t="str">
        <f>"1551601209887019"</f>
        <v>1551601209887019</v>
      </c>
      <c r="C4968" t="s">
        <v>40</v>
      </c>
      <c r="D4968">
        <v>4.5590699999999904</v>
      </c>
      <c r="E4968">
        <v>0.53875680000000004</v>
      </c>
      <c r="F4968" t="s">
        <v>42</v>
      </c>
      <c r="G4968">
        <v>-418.61959999999999</v>
      </c>
      <c r="H4968">
        <v>0.88404139999999998</v>
      </c>
      <c r="I4968">
        <v>214.67410000000001</v>
      </c>
      <c r="J4968">
        <v>-419.11680000000001</v>
      </c>
      <c r="K4968">
        <v>1.121451</v>
      </c>
      <c r="L4968">
        <v>214.72499999999999</v>
      </c>
      <c r="M4968">
        <v>0.99993560000000004</v>
      </c>
      <c r="N4968">
        <v>-1.108261E-2</v>
      </c>
      <c r="O4968">
        <v>-2.5023860000000001E-3</v>
      </c>
      <c r="P4968">
        <v>0.99152640000000003</v>
      </c>
      <c r="Q4968">
        <v>0.1248982</v>
      </c>
      <c r="R4968">
        <v>3.5722129999999998E-2</v>
      </c>
      <c r="S4968">
        <v>3.157959</v>
      </c>
      <c r="T4968">
        <v>-0.99853590000000003</v>
      </c>
      <c r="U4968">
        <v>-0.21455379999999999</v>
      </c>
      <c r="V4968">
        <v>-3.8273000000000001E-2</v>
      </c>
      <c r="W4968">
        <v>0.13585839999999999</v>
      </c>
      <c r="X4968">
        <v>0.98998869999999894</v>
      </c>
      <c r="Y4968">
        <v>6.2264239999999998E-2</v>
      </c>
      <c r="Z4968">
        <v>-9.2085340000000009E-3</v>
      </c>
      <c r="AA4968">
        <v>0.99801719999999905</v>
      </c>
      <c r="AB4968">
        <v>25</v>
      </c>
      <c r="AC4968">
        <v>0.49720000000002001</v>
      </c>
      <c r="AD4968">
        <v>-0.237409599999999</v>
      </c>
      <c r="AE4968">
        <v>-5.0899999999984402E-2</v>
      </c>
      <c r="AF4968">
        <v>4.0514164572651098E-2</v>
      </c>
      <c r="AG4968">
        <v>-0.237409599999999</v>
      </c>
      <c r="AH4968">
        <v>0.40576992554855601</v>
      </c>
      <c r="AI4968">
        <v>120.207515937932</v>
      </c>
      <c r="AJ4968">
        <v>84.298190636839195</v>
      </c>
      <c r="AK4968">
        <v>0.47186221313309301</v>
      </c>
      <c r="AL4968">
        <v>82.191739897715905</v>
      </c>
      <c r="AM4968">
        <v>92.213954417435005</v>
      </c>
      <c r="AN4968">
        <v>0.99999997675362395</v>
      </c>
    </row>
    <row r="4969" spans="1:40" x14ac:dyDescent="0.25">
      <c r="A4969" t="str">
        <f>"20190303162009921"</f>
        <v>20190303162009921</v>
      </c>
      <c r="B4969" t="str">
        <f>"1551601209907515"</f>
        <v>1551601209907515</v>
      </c>
      <c r="C4969" t="s">
        <v>40</v>
      </c>
      <c r="D4969">
        <v>4.5490870000000001</v>
      </c>
      <c r="E4969">
        <v>0.53895150000000003</v>
      </c>
      <c r="F4969" t="s">
        <v>42</v>
      </c>
      <c r="G4969">
        <v>-418.38929999999999</v>
      </c>
      <c r="H4969">
        <v>0.89189180000000001</v>
      </c>
      <c r="I4969">
        <v>214.67580000000001</v>
      </c>
      <c r="J4969">
        <v>-418.86349999999999</v>
      </c>
      <c r="K4969">
        <v>1.121434</v>
      </c>
      <c r="L4969">
        <v>214.72470000000001</v>
      </c>
      <c r="M4969">
        <v>0.9999363</v>
      </c>
      <c r="N4969">
        <v>-1.1081479999999999E-2</v>
      </c>
      <c r="O4969">
        <v>-2.192888E-3</v>
      </c>
      <c r="P4969">
        <v>0.99147839999999998</v>
      </c>
      <c r="Q4969">
        <v>0.1251148</v>
      </c>
      <c r="R4969">
        <v>3.629462E-2</v>
      </c>
      <c r="S4969">
        <v>3.1589049999999999</v>
      </c>
      <c r="T4969">
        <v>-0.99685789999999996</v>
      </c>
      <c r="U4969">
        <v>-0.21232599999999999</v>
      </c>
      <c r="V4969">
        <v>-3.8533850000000001E-2</v>
      </c>
      <c r="W4969">
        <v>0.1360748</v>
      </c>
      <c r="X4969">
        <v>0.98994890000000002</v>
      </c>
      <c r="Y4969">
        <v>6.1869420000000001E-2</v>
      </c>
      <c r="Z4969">
        <v>-9.2208970000000005E-3</v>
      </c>
      <c r="AA4969">
        <v>0.99804159999999997</v>
      </c>
      <c r="AB4969">
        <v>25</v>
      </c>
      <c r="AC4969">
        <v>0.47419999999999601</v>
      </c>
      <c r="AD4969">
        <v>-0.2295422</v>
      </c>
      <c r="AE4969">
        <v>-4.8900000000003198E-2</v>
      </c>
      <c r="AF4969">
        <v>3.8852076558042098E-2</v>
      </c>
      <c r="AG4969">
        <v>-0.2295422</v>
      </c>
      <c r="AH4969">
        <v>0.38503542935173402</v>
      </c>
      <c r="AI4969">
        <v>120.674155835451</v>
      </c>
      <c r="AJ4969">
        <v>84.2380609107488</v>
      </c>
      <c r="AK4969">
        <v>0.44994598263545599</v>
      </c>
      <c r="AL4969">
        <v>82.179225183287599</v>
      </c>
      <c r="AM4969">
        <v>92.229118001642803</v>
      </c>
      <c r="AN4969">
        <v>1.0000000167010299</v>
      </c>
    </row>
    <row r="4970" spans="1:40" x14ac:dyDescent="0.25">
      <c r="A4970" t="str">
        <f>"20190303162009943"</f>
        <v>20190303162009943</v>
      </c>
      <c r="B4970" t="str">
        <f>"1551601209937771"</f>
        <v>1551601209937771</v>
      </c>
      <c r="C4970" t="s">
        <v>40</v>
      </c>
      <c r="D4970">
        <v>4.5581889999999996</v>
      </c>
      <c r="E4970">
        <v>0.53923489999999996</v>
      </c>
      <c r="F4970" t="s">
        <v>42</v>
      </c>
      <c r="G4970">
        <v>-418.15910000000002</v>
      </c>
      <c r="H4970">
        <v>0.89933129999999994</v>
      </c>
      <c r="I4970">
        <v>214.6773</v>
      </c>
      <c r="J4970">
        <v>-418.60649999999998</v>
      </c>
      <c r="K4970">
        <v>1.1214200000000001</v>
      </c>
      <c r="L4970">
        <v>214.72450000000001</v>
      </c>
      <c r="M4970">
        <v>0.99993690000000002</v>
      </c>
      <c r="N4970">
        <v>-1.1080909999999999E-2</v>
      </c>
      <c r="O4970">
        <v>-1.9036809999999999E-3</v>
      </c>
      <c r="P4970">
        <v>0.9914615</v>
      </c>
      <c r="Q4970">
        <v>0.12474970000000001</v>
      </c>
      <c r="R4970">
        <v>3.7969160000000002E-2</v>
      </c>
      <c r="S4970">
        <v>3.1592099999999999</v>
      </c>
      <c r="T4970">
        <v>-0.99610589999999999</v>
      </c>
      <c r="U4970">
        <v>-0.2116547</v>
      </c>
      <c r="V4970">
        <v>-3.9915140000000002E-2</v>
      </c>
      <c r="W4970">
        <v>0.1357101</v>
      </c>
      <c r="X4970">
        <v>0.98994420000000005</v>
      </c>
      <c r="Y4970">
        <v>6.192926E-2</v>
      </c>
      <c r="Z4970">
        <v>-9.3090859999999994E-3</v>
      </c>
      <c r="AA4970">
        <v>0.99803710000000001</v>
      </c>
      <c r="AB4970">
        <v>25</v>
      </c>
      <c r="AC4970">
        <v>0.447399999999959</v>
      </c>
      <c r="AD4970">
        <v>-0.2220887</v>
      </c>
      <c r="AE4970">
        <v>-4.72000000000036E-2</v>
      </c>
      <c r="AF4970">
        <v>3.7266372356668E-2</v>
      </c>
      <c r="AG4970">
        <v>-0.2220887</v>
      </c>
      <c r="AH4970">
        <v>0.35980490201534299</v>
      </c>
      <c r="AI4970">
        <v>121.548393496277</v>
      </c>
      <c r="AJ4970">
        <v>84.086741329479295</v>
      </c>
      <c r="AK4970">
        <v>0.42446641880198999</v>
      </c>
      <c r="AL4970">
        <v>82.200316352749596</v>
      </c>
      <c r="AM4970">
        <v>92.308949253099598</v>
      </c>
      <c r="AN4970">
        <v>0.99999998437843396</v>
      </c>
    </row>
    <row r="4971" spans="1:40" x14ac:dyDescent="0.25">
      <c r="A4971" t="str">
        <f>"20190303162009966"</f>
        <v>20190303162009966</v>
      </c>
      <c r="B4971" t="str">
        <f>"1551601209957291"</f>
        <v>1551601209957291</v>
      </c>
      <c r="C4971" t="s">
        <v>40</v>
      </c>
      <c r="D4971">
        <v>4.6491439999999997</v>
      </c>
      <c r="E4971">
        <v>0.53931680000000004</v>
      </c>
      <c r="F4971" t="s">
        <v>42</v>
      </c>
      <c r="G4971">
        <v>-417.92829999999998</v>
      </c>
      <c r="H4971">
        <v>0.90752509999999997</v>
      </c>
      <c r="I4971">
        <v>214.67910000000001</v>
      </c>
      <c r="J4971">
        <v>-418.3528</v>
      </c>
      <c r="K4971">
        <v>1.121408</v>
      </c>
      <c r="L4971">
        <v>214.7243</v>
      </c>
      <c r="M4971">
        <v>0.99993739999999998</v>
      </c>
      <c r="N4971">
        <v>-1.10808E-2</v>
      </c>
      <c r="O4971">
        <v>-1.6464400000000001E-3</v>
      </c>
      <c r="P4971">
        <v>0.99137759999999997</v>
      </c>
      <c r="Q4971">
        <v>0.12490759999999999</v>
      </c>
      <c r="R4971">
        <v>3.9610550000000001E-2</v>
      </c>
      <c r="S4971">
        <v>3.1592709999999999</v>
      </c>
      <c r="T4971">
        <v>-0.99649560000000004</v>
      </c>
      <c r="U4971">
        <v>-0.20986940000000001</v>
      </c>
      <c r="V4971">
        <v>-4.1295869999999998E-2</v>
      </c>
      <c r="W4971">
        <v>0.1358684</v>
      </c>
      <c r="X4971">
        <v>0.98986589999999997</v>
      </c>
      <c r="Y4971">
        <v>6.1624579999999998E-2</v>
      </c>
      <c r="Z4971">
        <v>-9.3401620000000008E-3</v>
      </c>
      <c r="AA4971">
        <v>0.99805569999999999</v>
      </c>
      <c r="AB4971">
        <v>25</v>
      </c>
      <c r="AC4971">
        <v>0.42450000000002303</v>
      </c>
      <c r="AD4971">
        <v>-0.21388289999999899</v>
      </c>
      <c r="AE4971">
        <v>-4.5199999999994099E-2</v>
      </c>
      <c r="AF4971">
        <v>3.5571886433500198E-2</v>
      </c>
      <c r="AG4971">
        <v>-0.21388289999999899</v>
      </c>
      <c r="AH4971">
        <v>0.33938335705029898</v>
      </c>
      <c r="AI4971">
        <v>122.07853605465699</v>
      </c>
      <c r="AJ4971">
        <v>84.016488259950606</v>
      </c>
      <c r="AK4971">
        <v>0.40273107287565801</v>
      </c>
      <c r="AL4971">
        <v>82.191162039004297</v>
      </c>
      <c r="AM4971">
        <v>92.388917343750293</v>
      </c>
      <c r="AN4971">
        <v>1.0000000354902101</v>
      </c>
    </row>
    <row r="4972" spans="1:40" x14ac:dyDescent="0.25">
      <c r="A4972" t="str">
        <f>"20190303162009988"</f>
        <v>20190303162009988</v>
      </c>
      <c r="B4972" t="str">
        <f>"1551601209977786"</f>
        <v>1551601209977786</v>
      </c>
      <c r="C4972" t="s">
        <v>40</v>
      </c>
      <c r="D4972">
        <v>4.5374530000000002</v>
      </c>
      <c r="E4972">
        <v>0.52697340000000004</v>
      </c>
      <c r="F4972" t="s">
        <v>42</v>
      </c>
      <c r="G4972">
        <v>-417.49709999999999</v>
      </c>
      <c r="H4972">
        <v>0.85190679999999996</v>
      </c>
      <c r="I4972">
        <v>214.66829999999999</v>
      </c>
      <c r="J4972">
        <v>-418.10129999999998</v>
      </c>
      <c r="K4972">
        <v>1.1213879999999901</v>
      </c>
      <c r="L4972">
        <v>214.7242</v>
      </c>
      <c r="M4972">
        <v>0.99993759999999998</v>
      </c>
      <c r="N4972">
        <v>-1.108107E-2</v>
      </c>
      <c r="O4972">
        <v>-1.4202030000000001E-3</v>
      </c>
      <c r="P4972">
        <v>0.99124389999999996</v>
      </c>
      <c r="Q4972">
        <v>0.1256544</v>
      </c>
      <c r="R4972">
        <v>4.058022E-2</v>
      </c>
      <c r="S4972">
        <v>3.159729</v>
      </c>
      <c r="T4972">
        <v>-0.99529599999999996</v>
      </c>
      <c r="U4972">
        <v>-0.20577999999999999</v>
      </c>
      <c r="V4972">
        <v>-4.20349E-2</v>
      </c>
      <c r="W4972">
        <v>0.13661570000000001</v>
      </c>
      <c r="X4972">
        <v>0.9897319</v>
      </c>
      <c r="Y4972">
        <v>6.0603070000000002E-2</v>
      </c>
      <c r="Z4972">
        <v>-9.2332869999999997E-3</v>
      </c>
      <c r="AA4972">
        <v>0.99811919999999998</v>
      </c>
      <c r="AB4972">
        <v>25</v>
      </c>
      <c r="AC4972">
        <v>0.60419999999999097</v>
      </c>
      <c r="AD4972">
        <v>-0.26948119999999898</v>
      </c>
      <c r="AE4972">
        <v>-5.59000000000082E-2</v>
      </c>
      <c r="AF4972">
        <v>4.5973929971423598E-2</v>
      </c>
      <c r="AG4972">
        <v>-0.26948119999999898</v>
      </c>
      <c r="AH4972">
        <v>0.50472674175668597</v>
      </c>
      <c r="AI4972">
        <v>118.00019679914</v>
      </c>
      <c r="AJ4972">
        <v>84.795474286891505</v>
      </c>
      <c r="AK4972">
        <v>0.57400592613210699</v>
      </c>
      <c r="AL4972">
        <v>82.147941684209201</v>
      </c>
      <c r="AM4972">
        <v>92.431947313197796</v>
      </c>
      <c r="AN4972">
        <v>1.0000000080910501</v>
      </c>
    </row>
    <row r="4973" spans="1:40" x14ac:dyDescent="0.25">
      <c r="A4973" t="str">
        <f>"20190303162010009"</f>
        <v>20190303162010009</v>
      </c>
      <c r="B4973" t="str">
        <f>"1551601209997307"</f>
        <v>1551601209997307</v>
      </c>
      <c r="C4973" t="s">
        <v>40</v>
      </c>
      <c r="D4973">
        <v>4.5562639999999996</v>
      </c>
      <c r="E4973">
        <v>0.52148799999999995</v>
      </c>
      <c r="F4973" t="s">
        <v>42</v>
      </c>
      <c r="G4973">
        <v>-417.2235</v>
      </c>
      <c r="H4973">
        <v>0.95536290000000001</v>
      </c>
      <c r="I4973">
        <v>214.69560000000001</v>
      </c>
      <c r="J4973">
        <v>-417.85359999999997</v>
      </c>
      <c r="K4973">
        <v>1.121372</v>
      </c>
      <c r="L4973">
        <v>214.72409999999999</v>
      </c>
      <c r="M4973">
        <v>0.99993790000000005</v>
      </c>
      <c r="N4973">
        <v>-1.108167E-2</v>
      </c>
      <c r="O4973">
        <v>-1.2194489999999901E-3</v>
      </c>
      <c r="P4973">
        <v>0.99121820000000005</v>
      </c>
      <c r="Q4973">
        <v>0.12579899999999999</v>
      </c>
      <c r="R4973">
        <v>4.0757639999999998E-2</v>
      </c>
      <c r="S4973">
        <v>3.1050719999999998</v>
      </c>
      <c r="T4973">
        <v>-0.5872868</v>
      </c>
      <c r="U4973">
        <v>-9.9639889999999995E-2</v>
      </c>
      <c r="V4973">
        <v>-4.2007610000000001E-2</v>
      </c>
      <c r="W4973">
        <v>0.1367621</v>
      </c>
      <c r="X4973">
        <v>0.98971279999999995</v>
      </c>
      <c r="Y4973">
        <v>3.0304339999999999E-2</v>
      </c>
      <c r="Z4973">
        <v>-2.7943180000000001E-3</v>
      </c>
      <c r="AA4973">
        <v>0.9995368</v>
      </c>
      <c r="AB4973">
        <v>25</v>
      </c>
      <c r="AC4973">
        <v>0.63009999999997002</v>
      </c>
      <c r="AD4973">
        <v>-0.16600909999999899</v>
      </c>
      <c r="AE4973">
        <v>-2.8499999999979701E-2</v>
      </c>
      <c r="AF4973">
        <v>2.59349902020003E-2</v>
      </c>
      <c r="AG4973">
        <v>-0.16600909999999899</v>
      </c>
      <c r="AH4973">
        <v>0.58931154401905494</v>
      </c>
      <c r="AI4973">
        <v>105.718070576461</v>
      </c>
      <c r="AJ4973">
        <v>87.480098133428299</v>
      </c>
      <c r="AK4973">
        <v>0.61279665543613304</v>
      </c>
      <c r="AL4973">
        <v>82.139473795564797</v>
      </c>
      <c r="AM4973">
        <v>92.4304171786045</v>
      </c>
      <c r="AN4973">
        <v>0.99999996888908005</v>
      </c>
    </row>
    <row r="4974" spans="1:40" x14ac:dyDescent="0.25">
      <c r="A4974" t="str">
        <f>"20190303162010034"</f>
        <v>20190303162010034</v>
      </c>
      <c r="B4974" t="str">
        <f>"1551601210027563"</f>
        <v>1551601210027563</v>
      </c>
      <c r="C4974" t="s">
        <v>40</v>
      </c>
      <c r="D4974">
        <v>4.6094169999999997</v>
      </c>
      <c r="E4974">
        <v>0.49977389999999999</v>
      </c>
      <c r="F4974" t="s">
        <v>42</v>
      </c>
      <c r="G4974">
        <v>-416.976</v>
      </c>
      <c r="H4974">
        <v>0.99590290000000004</v>
      </c>
      <c r="I4974">
        <v>214.7081</v>
      </c>
      <c r="J4974">
        <v>-417.57859999999999</v>
      </c>
      <c r="K4974">
        <v>1.1213519999999999</v>
      </c>
      <c r="L4974">
        <v>214.72399999999999</v>
      </c>
      <c r="M4974">
        <v>0.99993810000000005</v>
      </c>
      <c r="N4974">
        <v>-1.1082699999999999E-2</v>
      </c>
      <c r="O4974">
        <v>-1.0238339999999999E-3</v>
      </c>
      <c r="P4974">
        <v>0.99120580000000003</v>
      </c>
      <c r="Q4974">
        <v>0.12585060000000001</v>
      </c>
      <c r="R4974">
        <v>4.089839E-2</v>
      </c>
      <c r="S4974">
        <v>3.0848080000000002</v>
      </c>
      <c r="T4974">
        <v>-0.44115070000000001</v>
      </c>
      <c r="U4974">
        <v>-5.4962160000000003E-2</v>
      </c>
      <c r="V4974">
        <v>-4.1948300000000001E-2</v>
      </c>
      <c r="W4974">
        <v>0.13681740000000001</v>
      </c>
      <c r="X4974">
        <v>0.98970769999999997</v>
      </c>
      <c r="Y4974">
        <v>1.6617090000000001E-2</v>
      </c>
      <c r="Z4974">
        <v>-1.1403019999999999E-3</v>
      </c>
      <c r="AA4974">
        <v>0.99986129999999995</v>
      </c>
      <c r="AB4974">
        <v>25</v>
      </c>
      <c r="AC4974">
        <v>0.60259999999999503</v>
      </c>
      <c r="AD4974">
        <v>-0.12544910000000001</v>
      </c>
      <c r="AE4974">
        <v>-1.59000000000162E-2</v>
      </c>
      <c r="AF4974">
        <v>1.4648581228325399E-2</v>
      </c>
      <c r="AG4974">
        <v>-0.12544910000000001</v>
      </c>
      <c r="AH4974">
        <v>0.57760085392258098</v>
      </c>
      <c r="AI4974">
        <v>102.249937214599</v>
      </c>
      <c r="AJ4974">
        <v>88.547228588736303</v>
      </c>
      <c r="AK4974">
        <v>0.59124851295788206</v>
      </c>
      <c r="AL4974">
        <v>82.1362754886256</v>
      </c>
      <c r="AM4974">
        <v>92.427002301619396</v>
      </c>
      <c r="AN4974">
        <v>0.99999999612747004</v>
      </c>
    </row>
    <row r="4975" spans="1:40" x14ac:dyDescent="0.25">
      <c r="A4975" t="str">
        <f>"20190303162010057"</f>
        <v>20190303162010057</v>
      </c>
      <c r="B4975" t="str">
        <f>"1551601210047084"</f>
        <v>1551601210047084</v>
      </c>
      <c r="C4975" t="s">
        <v>40</v>
      </c>
      <c r="D4975">
        <v>4.650995</v>
      </c>
      <c r="E4975">
        <v>0.49923250000000002</v>
      </c>
      <c r="F4975" t="s">
        <v>65</v>
      </c>
      <c r="G4975">
        <v>-167.89859999999999</v>
      </c>
      <c r="H4975">
        <v>9.2884010000000004</v>
      </c>
      <c r="I4975">
        <v>224.83260000000001</v>
      </c>
      <c r="J4975">
        <v>-417.31689999999998</v>
      </c>
      <c r="K4975">
        <v>1.1213360000000001</v>
      </c>
      <c r="L4975">
        <v>214.72389999999999</v>
      </c>
      <c r="M4975">
        <v>0.99993829999999995</v>
      </c>
      <c r="N4975">
        <v>-1.108394E-2</v>
      </c>
      <c r="O4975">
        <v>-8.6672300000000002E-4</v>
      </c>
      <c r="P4975">
        <v>0.99114690000000005</v>
      </c>
      <c r="Q4975">
        <v>0.126448</v>
      </c>
      <c r="R4975">
        <v>4.0487540000000002E-2</v>
      </c>
      <c r="S4975">
        <v>3.009064</v>
      </c>
      <c r="T4975">
        <v>9.8427299999999995E-2</v>
      </c>
      <c r="U4975">
        <v>0.1218262</v>
      </c>
      <c r="V4975">
        <v>-4.137615E-2</v>
      </c>
      <c r="W4975">
        <v>0.13741729999999899</v>
      </c>
      <c r="X4975">
        <v>0.98964870000000005</v>
      </c>
      <c r="Y4975">
        <v>-4.1303920000000001E-2</v>
      </c>
      <c r="Z4975">
        <v>-4.8395939999999998E-4</v>
      </c>
      <c r="AA4975">
        <v>0.99914650000000005</v>
      </c>
      <c r="AB4975">
        <v>25</v>
      </c>
      <c r="AC4975">
        <v>249.41829999999999</v>
      </c>
      <c r="AD4975">
        <v>8.1670649999999991</v>
      </c>
      <c r="AE4975">
        <v>10.108700000000001</v>
      </c>
      <c r="AF4975">
        <v>-10.313845677647301</v>
      </c>
      <c r="AG4975">
        <v>8.1670649999999991</v>
      </c>
      <c r="AH4975">
        <v>249.14275178984201</v>
      </c>
      <c r="AI4975">
        <v>88.124084160878297</v>
      </c>
      <c r="AJ4975">
        <v>92.370538970362304</v>
      </c>
      <c r="AK4975">
        <v>249.48985376722499</v>
      </c>
      <c r="AL4975">
        <v>82.101576234290704</v>
      </c>
      <c r="AM4975">
        <v>92.394080757830594</v>
      </c>
      <c r="AN4975">
        <v>1.0000000247698999</v>
      </c>
    </row>
    <row r="4976" spans="1:40" x14ac:dyDescent="0.25">
      <c r="A4976" t="str">
        <f>"20190303162010078"</f>
        <v>20190303162010078</v>
      </c>
      <c r="B4976" t="str">
        <f>"1551601210067579"</f>
        <v>1551601210067579</v>
      </c>
      <c r="C4976" t="s">
        <v>40</v>
      </c>
      <c r="D4976">
        <v>4.625877</v>
      </c>
      <c r="E4976">
        <v>0.49972220000000001</v>
      </c>
      <c r="F4976" t="s">
        <v>65</v>
      </c>
      <c r="G4976">
        <v>-169.1439</v>
      </c>
      <c r="H4976">
        <v>8.0581940000000003</v>
      </c>
      <c r="I4976">
        <v>224.9589</v>
      </c>
      <c r="J4976">
        <v>-417.0779</v>
      </c>
      <c r="K4976">
        <v>1.1213219999999999</v>
      </c>
      <c r="L4976">
        <v>214.72380000000001</v>
      </c>
      <c r="M4976">
        <v>0.99993840000000001</v>
      </c>
      <c r="N4976">
        <v>-1.108526E-2</v>
      </c>
      <c r="O4976">
        <v>-7.4883130000000003E-4</v>
      </c>
      <c r="P4976">
        <v>0.991008</v>
      </c>
      <c r="Q4976">
        <v>0.1277287</v>
      </c>
      <c r="R4976">
        <v>3.9858650000000002E-2</v>
      </c>
      <c r="S4976">
        <v>3.0109560000000002</v>
      </c>
      <c r="T4976">
        <v>8.4162000000000001E-2</v>
      </c>
      <c r="U4976">
        <v>0.12417599999999999</v>
      </c>
      <c r="V4976">
        <v>-4.0624609999999998E-2</v>
      </c>
      <c r="W4976">
        <v>0.138699499999999</v>
      </c>
      <c r="X4976">
        <v>0.98950090000000002</v>
      </c>
      <c r="Y4976">
        <v>-4.1944170000000003E-2</v>
      </c>
      <c r="Z4976">
        <v>-3.824462E-4</v>
      </c>
      <c r="AA4976">
        <v>0.99911989999999995</v>
      </c>
      <c r="AB4976">
        <v>25</v>
      </c>
      <c r="AC4976">
        <v>247.934</v>
      </c>
      <c r="AD4976">
        <v>6.9368720000000001</v>
      </c>
      <c r="AE4976">
        <v>10.2350999999999</v>
      </c>
      <c r="AF4976">
        <v>-10.412632031663</v>
      </c>
      <c r="AG4976">
        <v>6.9368720000000001</v>
      </c>
      <c r="AH4976">
        <v>247.73266848117601</v>
      </c>
      <c r="AI4976">
        <v>88.397468866318505</v>
      </c>
      <c r="AJ4976">
        <v>92.4068239110657</v>
      </c>
      <c r="AK4976">
        <v>248.048418926176</v>
      </c>
      <c r="AL4976">
        <v>82.027400855508205</v>
      </c>
      <c r="AM4976">
        <v>92.350995570220306</v>
      </c>
      <c r="AN4976">
        <v>0.99999997066935498</v>
      </c>
    </row>
    <row r="4977" spans="1:40" x14ac:dyDescent="0.25">
      <c r="A4977" t="str">
        <f>"20190303162010100"</f>
        <v>20190303162010100</v>
      </c>
      <c r="B4977" t="str">
        <f>"1551601210087099"</f>
        <v>1551601210087099</v>
      </c>
      <c r="C4977" t="s">
        <v>40</v>
      </c>
      <c r="D4977">
        <v>4.654693</v>
      </c>
      <c r="E4977">
        <v>0.50030569999999996</v>
      </c>
      <c r="F4977" t="s">
        <v>65</v>
      </c>
      <c r="G4977">
        <v>-169.1439</v>
      </c>
      <c r="H4977">
        <v>7.3730640000000003</v>
      </c>
      <c r="I4977">
        <v>224.42949999999999</v>
      </c>
      <c r="J4977">
        <v>-416.82100000000003</v>
      </c>
      <c r="K4977">
        <v>1.1213109999999999</v>
      </c>
      <c r="L4977">
        <v>214.72380000000001</v>
      </c>
      <c r="M4977">
        <v>0.99993829999999995</v>
      </c>
      <c r="N4977">
        <v>-1.108688E-2</v>
      </c>
      <c r="O4977">
        <v>-6.4933250000000003E-4</v>
      </c>
      <c r="P4977">
        <v>0.99083220000000005</v>
      </c>
      <c r="Q4977">
        <v>0.12911819999999999</v>
      </c>
      <c r="R4977">
        <v>3.975091E-2</v>
      </c>
      <c r="S4977">
        <v>3.0126949999999999</v>
      </c>
      <c r="T4977">
        <v>7.5966839999999994E-2</v>
      </c>
      <c r="U4977">
        <v>0.1179352</v>
      </c>
      <c r="V4977">
        <v>-4.0411370000000002E-2</v>
      </c>
      <c r="W4977">
        <v>0.14009050000000001</v>
      </c>
      <c r="X4977">
        <v>0.98931369999999996</v>
      </c>
      <c r="Y4977">
        <v>-3.9757489999999999E-2</v>
      </c>
      <c r="Z4977">
        <v>-3.0403789999999998E-4</v>
      </c>
      <c r="AA4977">
        <v>0.99920929999999997</v>
      </c>
      <c r="AB4977">
        <v>25</v>
      </c>
      <c r="AC4977">
        <v>247.6771</v>
      </c>
      <c r="AD4977">
        <v>6.2517529999999999</v>
      </c>
      <c r="AE4977">
        <v>9.7056999999999807</v>
      </c>
      <c r="AF4977">
        <v>-9.8602599429369295</v>
      </c>
      <c r="AG4977">
        <v>6.2517529999999999</v>
      </c>
      <c r="AH4977">
        <v>247.51328741720701</v>
      </c>
      <c r="AI4977">
        <v>88.554262658913899</v>
      </c>
      <c r="AJ4977">
        <v>92.281302586418207</v>
      </c>
      <c r="AK4977">
        <v>247.78849164113399</v>
      </c>
      <c r="AL4977">
        <v>81.9469169731383</v>
      </c>
      <c r="AM4977">
        <v>92.339110886669104</v>
      </c>
      <c r="AN4977">
        <v>1.0000000120115999</v>
      </c>
    </row>
    <row r="4978" spans="1:40" x14ac:dyDescent="0.25">
      <c r="A4978" t="str">
        <f>"20190303162010124"</f>
        <v>20190303162010124</v>
      </c>
      <c r="B4978" t="str">
        <f>"1551601210117355"</f>
        <v>1551601210117355</v>
      </c>
      <c r="C4978" t="s">
        <v>40</v>
      </c>
      <c r="D4978">
        <v>4.668412</v>
      </c>
      <c r="E4978">
        <v>0.50027219999999994</v>
      </c>
      <c r="F4978" t="s">
        <v>65</v>
      </c>
      <c r="G4978">
        <v>-169.1439</v>
      </c>
      <c r="H4978">
        <v>7.2601380000000004</v>
      </c>
      <c r="I4978">
        <v>223.99180000000001</v>
      </c>
      <c r="J4978">
        <v>-416.55700000000002</v>
      </c>
      <c r="K4978">
        <v>1.121299</v>
      </c>
      <c r="L4978">
        <v>214.72370000000001</v>
      </c>
      <c r="M4978">
        <v>0.99993849999999995</v>
      </c>
      <c r="N4978">
        <v>-1.108872E-2</v>
      </c>
      <c r="O4978">
        <v>-5.7284139999999996E-4</v>
      </c>
      <c r="P4978">
        <v>0.99071790000000004</v>
      </c>
      <c r="Q4978">
        <v>0.12994240000000001</v>
      </c>
      <c r="R4978">
        <v>3.9915640000000002E-2</v>
      </c>
      <c r="S4978">
        <v>3.013458</v>
      </c>
      <c r="T4978">
        <v>7.4691060000000004E-2</v>
      </c>
      <c r="U4978">
        <v>0.1127625</v>
      </c>
      <c r="V4978">
        <v>-4.0493370000000001E-2</v>
      </c>
      <c r="W4978">
        <v>0.14091719999999999</v>
      </c>
      <c r="X4978">
        <v>0.98919290000000004</v>
      </c>
      <c r="Y4978">
        <v>-3.7959119999999999E-2</v>
      </c>
      <c r="Z4978">
        <v>-2.8017040000000002E-4</v>
      </c>
      <c r="AA4978">
        <v>0.99927929999999998</v>
      </c>
      <c r="AB4978">
        <v>26</v>
      </c>
      <c r="AC4978">
        <v>247.41309999999999</v>
      </c>
      <c r="AD4978">
        <v>6.1388389999999999</v>
      </c>
      <c r="AE4978">
        <v>9.2681000000000004</v>
      </c>
      <c r="AF4978">
        <v>-9.4040542364687791</v>
      </c>
      <c r="AG4978">
        <v>6.1388389999999999</v>
      </c>
      <c r="AH4978">
        <v>247.25574260671999</v>
      </c>
      <c r="AI4978">
        <v>88.578785876399394</v>
      </c>
      <c r="AJ4978">
        <v>92.178121441290699</v>
      </c>
      <c r="AK4978">
        <v>247.510653977462</v>
      </c>
      <c r="AL4978">
        <v>81.899075728898794</v>
      </c>
      <c r="AM4978">
        <v>92.344137874437095</v>
      </c>
      <c r="AN4978">
        <v>0.99999998184010297</v>
      </c>
    </row>
    <row r="4979" spans="1:40" x14ac:dyDescent="0.25">
      <c r="A4979" t="str">
        <f>"20190303162010144"</f>
        <v>20190303162010144</v>
      </c>
      <c r="B4979" t="str">
        <f>"1551601210137851"</f>
        <v>1551601210137851</v>
      </c>
      <c r="C4979" t="s">
        <v>40</v>
      </c>
      <c r="D4979">
        <v>4.6773860000000003</v>
      </c>
      <c r="E4979">
        <v>0.50029129999999999</v>
      </c>
      <c r="F4979" t="s">
        <v>65</v>
      </c>
      <c r="G4979">
        <v>-169.1439</v>
      </c>
      <c r="H4979">
        <v>6.7171250000000002</v>
      </c>
      <c r="I4979">
        <v>224.03970000000001</v>
      </c>
      <c r="J4979">
        <v>-416.3186</v>
      </c>
      <c r="K4979">
        <v>1.1212899999999999</v>
      </c>
      <c r="L4979">
        <v>214.7236</v>
      </c>
      <c r="M4979">
        <v>0.99993840000000001</v>
      </c>
      <c r="N4979">
        <v>-1.109037E-2</v>
      </c>
      <c r="O4979">
        <v>-5.2166460000000001E-4</v>
      </c>
      <c r="P4979">
        <v>0.99051129999999998</v>
      </c>
      <c r="Q4979">
        <v>0.13161539999999999</v>
      </c>
      <c r="R4979">
        <v>3.955753E-2</v>
      </c>
      <c r="S4979">
        <v>3.0145870000000001</v>
      </c>
      <c r="T4979">
        <v>6.8182590000000001E-2</v>
      </c>
      <c r="U4979">
        <v>0.1135101</v>
      </c>
      <c r="V4979">
        <v>-4.0079910000000003E-2</v>
      </c>
      <c r="W4979">
        <v>0.14259050000000001</v>
      </c>
      <c r="X4979">
        <v>0.98896989999999996</v>
      </c>
      <c r="Y4979">
        <v>-3.814302E-2</v>
      </c>
      <c r="Z4979">
        <v>-2.3711340000000001E-4</v>
      </c>
      <c r="AA4979">
        <v>0.9992723</v>
      </c>
      <c r="AB4979">
        <v>26</v>
      </c>
      <c r="AC4979">
        <v>247.1747</v>
      </c>
      <c r="AD4979">
        <v>5.5958350000000001</v>
      </c>
      <c r="AE4979">
        <v>9.3161000000000005</v>
      </c>
      <c r="AF4979">
        <v>-9.4402173903251896</v>
      </c>
      <c r="AG4979">
        <v>5.5958350000000001</v>
      </c>
      <c r="AH4979">
        <v>247.04336793878699</v>
      </c>
      <c r="AI4979">
        <v>88.703348306929001</v>
      </c>
      <c r="AJ4979">
        <v>92.188367084404206</v>
      </c>
      <c r="AK4979">
        <v>247.286992614377</v>
      </c>
      <c r="AL4979">
        <v>81.802224469963804</v>
      </c>
      <c r="AM4979">
        <v>92.320751816324105</v>
      </c>
      <c r="AN4979">
        <v>0.99999995649093298</v>
      </c>
    </row>
    <row r="4980" spans="1:40" x14ac:dyDescent="0.25">
      <c r="A4980" t="str">
        <f>"20190303162010168"</f>
        <v>20190303162010168</v>
      </c>
      <c r="B4980" t="str">
        <f>"1551601210157371"</f>
        <v>1551601210157371</v>
      </c>
      <c r="C4980" t="s">
        <v>40</v>
      </c>
      <c r="D4980">
        <v>4.6922870000000003</v>
      </c>
      <c r="E4980">
        <v>0.50039469999999997</v>
      </c>
      <c r="F4980" t="s">
        <v>65</v>
      </c>
      <c r="G4980">
        <v>-169.1439</v>
      </c>
      <c r="H4980">
        <v>6.7840509999999998</v>
      </c>
      <c r="I4980">
        <v>223.9442</v>
      </c>
      <c r="J4980">
        <v>-416.05110000000002</v>
      </c>
      <c r="K4980">
        <v>1.1212869999999999</v>
      </c>
      <c r="L4980">
        <v>214.7235</v>
      </c>
      <c r="M4980">
        <v>0.99993849999999995</v>
      </c>
      <c r="N4980">
        <v>-1.10925E-2</v>
      </c>
      <c r="O4980">
        <v>-4.7865430000000001E-4</v>
      </c>
      <c r="P4980">
        <v>0.9904155</v>
      </c>
      <c r="Q4980">
        <v>0.13274159999999999</v>
      </c>
      <c r="R4980">
        <v>3.8174659999999999E-2</v>
      </c>
      <c r="S4980">
        <v>3.0150450000000002</v>
      </c>
      <c r="T4980">
        <v>6.9075230000000001E-2</v>
      </c>
      <c r="U4980">
        <v>0.1124725</v>
      </c>
      <c r="V4980">
        <v>-3.865122E-2</v>
      </c>
      <c r="W4980">
        <v>0.14371889999999901</v>
      </c>
      <c r="X4980">
        <v>0.98886350000000001</v>
      </c>
      <c r="Y4980">
        <v>-3.7750810000000003E-2</v>
      </c>
      <c r="Z4980">
        <v>-2.390309E-4</v>
      </c>
      <c r="AA4980">
        <v>0.99928709999999998</v>
      </c>
      <c r="AB4980">
        <v>26</v>
      </c>
      <c r="AC4980">
        <v>246.90719999999999</v>
      </c>
      <c r="AD4980">
        <v>5.6627639999999904</v>
      </c>
      <c r="AE4980">
        <v>9.2206999999999901</v>
      </c>
      <c r="AF4980">
        <v>-9.3339865110565796</v>
      </c>
      <c r="AG4980">
        <v>5.6627639999999904</v>
      </c>
      <c r="AH4980">
        <v>246.77313492366099</v>
      </c>
      <c r="AI4980">
        <v>88.686389322916</v>
      </c>
      <c r="AJ4980">
        <v>92.166132114305597</v>
      </c>
      <c r="AK4980">
        <v>247.01451439209001</v>
      </c>
      <c r="AL4980">
        <v>81.736899689779506</v>
      </c>
      <c r="AM4980">
        <v>92.238352459640595</v>
      </c>
      <c r="AN4980">
        <v>1.00000003032847</v>
      </c>
    </row>
    <row r="4981" spans="1:40" x14ac:dyDescent="0.25">
      <c r="A4981" t="str">
        <f>"20190303162010188"</f>
        <v>20190303162010188</v>
      </c>
      <c r="B4981" t="str">
        <f>"1551601210176891"</f>
        <v>1551601210176891</v>
      </c>
      <c r="C4981" t="s">
        <v>40</v>
      </c>
      <c r="D4981">
        <v>4.7258149999999999</v>
      </c>
      <c r="E4981">
        <v>0.5003746</v>
      </c>
      <c r="F4981" t="s">
        <v>65</v>
      </c>
      <c r="G4981">
        <v>-169.1439</v>
      </c>
      <c r="H4981">
        <v>6.7015250000000002</v>
      </c>
      <c r="I4981">
        <v>223.56950000000001</v>
      </c>
      <c r="J4981">
        <v>-415.81639999999999</v>
      </c>
      <c r="K4981">
        <v>1.121283</v>
      </c>
      <c r="L4981">
        <v>214.7234</v>
      </c>
      <c r="M4981">
        <v>0.99993829999999995</v>
      </c>
      <c r="N4981">
        <v>-1.109446E-2</v>
      </c>
      <c r="O4981">
        <v>-4.478382E-4</v>
      </c>
      <c r="P4981">
        <v>0.9903227</v>
      </c>
      <c r="Q4981">
        <v>0.1339349</v>
      </c>
      <c r="R4981">
        <v>3.6367429999999999E-2</v>
      </c>
      <c r="S4981">
        <v>3.0157780000000001</v>
      </c>
      <c r="T4981">
        <v>6.8158860000000002E-2</v>
      </c>
      <c r="U4981">
        <v>0.1080475</v>
      </c>
      <c r="V4981">
        <v>-3.6812320000000003E-2</v>
      </c>
      <c r="W4981">
        <v>0.14491309999999999</v>
      </c>
      <c r="X4981">
        <v>0.98875930000000001</v>
      </c>
      <c r="Y4981">
        <v>-3.6247059999999998E-2</v>
      </c>
      <c r="Z4981">
        <v>-2.233506E-4</v>
      </c>
      <c r="AA4981">
        <v>0.99934290000000003</v>
      </c>
      <c r="AB4981">
        <v>26</v>
      </c>
      <c r="AC4981">
        <v>246.67250000000001</v>
      </c>
      <c r="AD4981">
        <v>5.5802420000000001</v>
      </c>
      <c r="AE4981">
        <v>8.8460999999999999</v>
      </c>
      <c r="AF4981">
        <v>-8.9519999136094093</v>
      </c>
      <c r="AG4981">
        <v>5.5802420000000001</v>
      </c>
      <c r="AH4981">
        <v>246.54250536282001</v>
      </c>
      <c r="AI4981">
        <v>88.704242569950907</v>
      </c>
      <c r="AJ4981">
        <v>92.079505836746193</v>
      </c>
      <c r="AK4981">
        <v>246.768078068878</v>
      </c>
      <c r="AL4981">
        <v>81.667752572746707</v>
      </c>
      <c r="AM4981">
        <v>92.132184081140693</v>
      </c>
      <c r="AN4981">
        <v>0.99999995339594006</v>
      </c>
    </row>
    <row r="4982" spans="1:40" x14ac:dyDescent="0.25">
      <c r="A4982" t="str">
        <f>"20190303162010211"</f>
        <v>20190303162010211</v>
      </c>
      <c r="B4982" t="str">
        <f>"1551601210197391"</f>
        <v>1551601210197391</v>
      </c>
      <c r="C4982" t="s">
        <v>40</v>
      </c>
      <c r="D4982">
        <v>4.6749960000000002</v>
      </c>
      <c r="E4982">
        <v>0.5004516</v>
      </c>
      <c r="F4982" t="s">
        <v>65</v>
      </c>
      <c r="G4982">
        <v>-168.35059999999999</v>
      </c>
      <c r="H4982">
        <v>6.6188140000000004</v>
      </c>
      <c r="I4982">
        <v>223.1842</v>
      </c>
      <c r="J4982">
        <v>-415.56290000000001</v>
      </c>
      <c r="K4982">
        <v>1.1212819999999999</v>
      </c>
      <c r="L4982">
        <v>214.72329999999999</v>
      </c>
      <c r="M4982">
        <v>0.99993840000000001</v>
      </c>
      <c r="N4982">
        <v>-1.109665E-2</v>
      </c>
      <c r="O4982">
        <v>-4.1888290000000001E-4</v>
      </c>
      <c r="P4982">
        <v>0.99031880000000005</v>
      </c>
      <c r="Q4982">
        <v>0.1342769</v>
      </c>
      <c r="R4982">
        <v>3.5194290000000003E-2</v>
      </c>
      <c r="S4982">
        <v>3.0165099999999998</v>
      </c>
      <c r="T4982">
        <v>6.7013379999999997E-2</v>
      </c>
      <c r="U4982">
        <v>0.103134199999999</v>
      </c>
      <c r="V4982">
        <v>-3.5610089999999997E-2</v>
      </c>
      <c r="W4982">
        <v>0.145257</v>
      </c>
      <c r="X4982">
        <v>0.98875290000000005</v>
      </c>
      <c r="Y4982">
        <v>-3.45841E-2</v>
      </c>
      <c r="Z4982">
        <v>-2.05983E-4</v>
      </c>
      <c r="AA4982">
        <v>0.99940169999999995</v>
      </c>
      <c r="AB4982">
        <v>26</v>
      </c>
      <c r="AC4982">
        <v>247.2123</v>
      </c>
      <c r="AD4982">
        <v>5.4975319999999996</v>
      </c>
      <c r="AE4982">
        <v>8.4609000000000094</v>
      </c>
      <c r="AF4982">
        <v>-8.5602302685266007</v>
      </c>
      <c r="AG4982">
        <v>5.4975319999999996</v>
      </c>
      <c r="AH4982">
        <v>247.08668438088901</v>
      </c>
      <c r="AI4982">
        <v>88.726177196679998</v>
      </c>
      <c r="AJ4982">
        <v>91.984198304106897</v>
      </c>
      <c r="AK4982">
        <v>247.29603716736401</v>
      </c>
      <c r="AL4982">
        <v>81.647838112553202</v>
      </c>
      <c r="AM4982">
        <v>92.062624944695997</v>
      </c>
      <c r="AN4982">
        <v>0.99999998590860895</v>
      </c>
    </row>
    <row r="4983" spans="1:40" x14ac:dyDescent="0.25">
      <c r="A4983" t="str">
        <f>"20190303162010235"</f>
        <v>20190303162010235</v>
      </c>
      <c r="B4983" t="str">
        <f>"1551601210227643"</f>
        <v>1551601210227643</v>
      </c>
      <c r="C4983" t="s">
        <v>40</v>
      </c>
      <c r="D4983">
        <v>4.7160929999999999</v>
      </c>
      <c r="E4983">
        <v>0.50041899999999995</v>
      </c>
      <c r="F4983" t="s">
        <v>65</v>
      </c>
      <c r="G4983">
        <v>-168.35059999999999</v>
      </c>
      <c r="H4983">
        <v>6.3871469999999997</v>
      </c>
      <c r="I4983">
        <v>222.79499999999999</v>
      </c>
      <c r="J4983">
        <v>-415.28460000000001</v>
      </c>
      <c r="K4983">
        <v>1.121283</v>
      </c>
      <c r="L4983">
        <v>214.72319999999999</v>
      </c>
      <c r="M4983">
        <v>0.99993840000000001</v>
      </c>
      <c r="N4983">
        <v>-1.109917E-2</v>
      </c>
      <c r="O4983">
        <v>-3.8715970000000001E-4</v>
      </c>
      <c r="P4983">
        <v>0.99016729999999997</v>
      </c>
      <c r="Q4983">
        <v>0.13547879999999901</v>
      </c>
      <c r="R4983">
        <v>3.4848179999999999E-2</v>
      </c>
      <c r="S4983">
        <v>3.01709</v>
      </c>
      <c r="T4983">
        <v>6.4267640000000001E-2</v>
      </c>
      <c r="U4983">
        <v>9.8510739999999999E-2</v>
      </c>
      <c r="V4983">
        <v>-3.5233680000000003E-2</v>
      </c>
      <c r="W4983">
        <v>0.14645949999999999</v>
      </c>
      <c r="X4983">
        <v>0.98858900000000005</v>
      </c>
      <c r="Y4983">
        <v>-3.3016719999999999E-2</v>
      </c>
      <c r="Z4983">
        <v>-1.8076020000000001E-4</v>
      </c>
      <c r="AA4983">
        <v>0.99945479999999998</v>
      </c>
      <c r="AB4983">
        <v>26</v>
      </c>
      <c r="AC4983">
        <v>246.934</v>
      </c>
      <c r="AD4983">
        <v>5.2658639999999997</v>
      </c>
      <c r="AE4983">
        <v>8.0717999999999908</v>
      </c>
      <c r="AF4983">
        <v>-8.1636996499324592</v>
      </c>
      <c r="AG4983">
        <v>5.2658639999999997</v>
      </c>
      <c r="AH4983">
        <v>246.818733970549</v>
      </c>
      <c r="AI4983">
        <v>88.778450945041001</v>
      </c>
      <c r="AJ4983">
        <v>91.894406749910004</v>
      </c>
      <c r="AK4983">
        <v>247.009843436381</v>
      </c>
      <c r="AL4983">
        <v>81.5781952899125</v>
      </c>
      <c r="AM4983">
        <v>92.041178945190794</v>
      </c>
      <c r="AN4983">
        <v>1.00000000413379</v>
      </c>
    </row>
    <row r="4984" spans="1:40" x14ac:dyDescent="0.25">
      <c r="A4984" t="str">
        <f>"20190303162010256"</f>
        <v>20190303162010256</v>
      </c>
      <c r="B4984" t="str">
        <f>"1551601210247163"</f>
        <v>1551601210247163</v>
      </c>
      <c r="C4984" t="s">
        <v>40</v>
      </c>
      <c r="D4984">
        <v>4.6966099999999997</v>
      </c>
      <c r="E4984">
        <v>0.50194359999999905</v>
      </c>
      <c r="F4984" t="s">
        <v>65</v>
      </c>
      <c r="G4984">
        <v>-168.35059999999999</v>
      </c>
      <c r="H4984">
        <v>6.2175449999999897</v>
      </c>
      <c r="I4984">
        <v>222.73269999999999</v>
      </c>
      <c r="J4984">
        <v>-415.03489999999999</v>
      </c>
      <c r="K4984">
        <v>1.1212869999999999</v>
      </c>
      <c r="L4984">
        <v>214.72319999999999</v>
      </c>
      <c r="M4984">
        <v>0.99993840000000001</v>
      </c>
      <c r="N4984">
        <v>-1.110149E-2</v>
      </c>
      <c r="O4984">
        <v>-3.5638930000000003E-4</v>
      </c>
      <c r="P4984">
        <v>0.99004139999999996</v>
      </c>
      <c r="Q4984">
        <v>0.13632729999999901</v>
      </c>
      <c r="R4984">
        <v>3.5117269999999999E-2</v>
      </c>
      <c r="S4984">
        <v>3.0178219999999998</v>
      </c>
      <c r="T4984">
        <v>6.2282919999999999E-2</v>
      </c>
      <c r="U4984">
        <v>9.7885130000000001E-2</v>
      </c>
      <c r="V4984">
        <v>-3.5472869999999997E-2</v>
      </c>
      <c r="W4984">
        <v>0.147309</v>
      </c>
      <c r="X4984">
        <v>0.98845419999999995</v>
      </c>
      <c r="Y4984">
        <v>-3.2771460000000002E-2</v>
      </c>
      <c r="Z4984">
        <v>-1.6738899999999999E-4</v>
      </c>
      <c r="AA4984">
        <v>0.99946279999999998</v>
      </c>
      <c r="AB4984">
        <v>26</v>
      </c>
      <c r="AC4984">
        <v>246.68430000000001</v>
      </c>
      <c r="AD4984">
        <v>5.09625799999999</v>
      </c>
      <c r="AE4984">
        <v>8.0094999999999992</v>
      </c>
      <c r="AF4984">
        <v>-8.0939697150010197</v>
      </c>
      <c r="AG4984">
        <v>5.09625799999999</v>
      </c>
      <c r="AH4984">
        <v>246.57630283523099</v>
      </c>
      <c r="AI4984">
        <v>88.816612196067993</v>
      </c>
      <c r="AJ4984">
        <v>91.880082723158694</v>
      </c>
      <c r="AK4984">
        <v>246.76174199263801</v>
      </c>
      <c r="AL4984">
        <v>81.528988658074098</v>
      </c>
      <c r="AM4984">
        <v>92.055304017197898</v>
      </c>
      <c r="AN4984">
        <v>0.99999998574233795</v>
      </c>
    </row>
    <row r="4985" spans="1:40" x14ac:dyDescent="0.25">
      <c r="A4985" t="str">
        <f>"20190303162010279"</f>
        <v>20190303162010279</v>
      </c>
      <c r="B4985" t="str">
        <f>"1551601210267659"</f>
        <v>1551601210267659</v>
      </c>
      <c r="C4985" t="s">
        <v>40</v>
      </c>
      <c r="D4985">
        <v>4.6927949999999896</v>
      </c>
      <c r="E4985">
        <v>0.5032103</v>
      </c>
      <c r="F4985" t="s">
        <v>52</v>
      </c>
      <c r="G4985">
        <v>-369.66460000000001</v>
      </c>
      <c r="H4985" s="1">
        <v>3.6062120000000002E-6</v>
      </c>
      <c r="I4985">
        <v>216.00069999999999</v>
      </c>
      <c r="J4985">
        <v>-414.78289999999998</v>
      </c>
      <c r="K4985">
        <v>1.1212850000000001</v>
      </c>
      <c r="L4985">
        <v>214.72309999999999</v>
      </c>
      <c r="M4985">
        <v>0.9999382</v>
      </c>
      <c r="N4985">
        <v>-1.110386E-2</v>
      </c>
      <c r="O4985">
        <v>-3.2145349999999998E-4</v>
      </c>
      <c r="P4985">
        <v>0.98998900000000001</v>
      </c>
      <c r="Q4985">
        <v>0.1365585</v>
      </c>
      <c r="R4985">
        <v>3.5685790000000002E-2</v>
      </c>
      <c r="S4985">
        <v>3.0374759999999998</v>
      </c>
      <c r="T4985">
        <v>-7.5068239999999994E-2</v>
      </c>
      <c r="U4985">
        <v>8.5525509999999999E-2</v>
      </c>
      <c r="V4985">
        <v>-3.6007499999999998E-2</v>
      </c>
      <c r="W4985">
        <v>0.14754200000000001</v>
      </c>
      <c r="X4985">
        <v>0.98840019999999995</v>
      </c>
      <c r="Y4985">
        <v>-2.845435E-2</v>
      </c>
      <c r="Z4985">
        <v>5.1390819999999995E-4</v>
      </c>
      <c r="AA4985">
        <v>0.99959500000000001</v>
      </c>
      <c r="AB4985">
        <v>26</v>
      </c>
      <c r="AC4985">
        <v>45.118299999999898</v>
      </c>
      <c r="AD4985">
        <v>-1.121281393788</v>
      </c>
      <c r="AE4985">
        <v>1.2776000000000001</v>
      </c>
      <c r="AF4985">
        <v>-1.29130736232749</v>
      </c>
      <c r="AG4985">
        <v>-1.121281393788</v>
      </c>
      <c r="AH4985">
        <v>45.0900605876678</v>
      </c>
      <c r="AI4985">
        <v>91.423931121974405</v>
      </c>
      <c r="AJ4985">
        <v>91.640411302005603</v>
      </c>
      <c r="AK4985">
        <v>45.122481209122498</v>
      </c>
      <c r="AL4985">
        <v>81.515491965429703</v>
      </c>
      <c r="AM4985">
        <v>92.086367278224898</v>
      </c>
      <c r="AN4985">
        <v>1.00000006859014</v>
      </c>
    </row>
    <row r="4986" spans="1:40" x14ac:dyDescent="0.25">
      <c r="A4986" t="str">
        <f>"20190303162010300"</f>
        <v>20190303162010300</v>
      </c>
      <c r="B4986" t="str">
        <f>"1551601210287179"</f>
        <v>1551601210287179</v>
      </c>
      <c r="C4986" t="s">
        <v>40</v>
      </c>
      <c r="D4986">
        <v>4.6490470000000004</v>
      </c>
      <c r="E4986">
        <v>0.50340010000000002</v>
      </c>
      <c r="F4986" t="s">
        <v>52</v>
      </c>
      <c r="G4986">
        <v>-376.68619999999999</v>
      </c>
      <c r="H4986" s="1">
        <v>2.0212639999999999E-6</v>
      </c>
      <c r="I4986">
        <v>215.68629999999999</v>
      </c>
      <c r="J4986">
        <v>-414.53160000000003</v>
      </c>
      <c r="K4986">
        <v>1.121289</v>
      </c>
      <c r="L4986">
        <v>214.72309999999999</v>
      </c>
      <c r="M4986">
        <v>0.99993840000000001</v>
      </c>
      <c r="N4986">
        <v>-1.110628E-2</v>
      </c>
      <c r="O4986">
        <v>-2.8378259999999999E-4</v>
      </c>
      <c r="P4986">
        <v>0.98999899999999996</v>
      </c>
      <c r="Q4986">
        <v>0.13613599999999901</v>
      </c>
      <c r="R4986">
        <v>3.7002960000000001E-2</v>
      </c>
      <c r="S4986">
        <v>3.039917</v>
      </c>
      <c r="T4986">
        <v>-8.9472529999999995E-2</v>
      </c>
      <c r="U4986">
        <v>7.685852E-2</v>
      </c>
      <c r="V4986">
        <v>-3.7287529999999999E-2</v>
      </c>
      <c r="W4986">
        <v>0.14712220000000001</v>
      </c>
      <c r="X4986">
        <v>0.98841520000000005</v>
      </c>
      <c r="Y4986">
        <v>-2.5543449999999999E-2</v>
      </c>
      <c r="Z4986">
        <v>5.2287730000000004E-4</v>
      </c>
      <c r="AA4986">
        <v>0.99967360000000005</v>
      </c>
      <c r="AB4986">
        <v>26</v>
      </c>
      <c r="AC4986">
        <v>37.845399999999998</v>
      </c>
      <c r="AD4986">
        <v>-1.121286978736</v>
      </c>
      <c r="AE4986">
        <v>0.96319999999999995</v>
      </c>
      <c r="AF4986">
        <v>-0.97308684255022904</v>
      </c>
      <c r="AG4986">
        <v>-1.121286978736</v>
      </c>
      <c r="AH4986">
        <v>37.811954372035402</v>
      </c>
      <c r="AI4986">
        <v>91.6980065064716</v>
      </c>
      <c r="AJ4986">
        <v>91.474175738766107</v>
      </c>
      <c r="AK4986">
        <v>37.841089782466803</v>
      </c>
      <c r="AL4986">
        <v>81.539809142806703</v>
      </c>
      <c r="AM4986">
        <v>92.160433678230405</v>
      </c>
      <c r="AN4986">
        <v>0.99999995460868896</v>
      </c>
    </row>
    <row r="4987" spans="1:40" x14ac:dyDescent="0.25">
      <c r="A4987" t="str">
        <f>"20190303162010326"</f>
        <v>20190303162010326</v>
      </c>
      <c r="B4987" t="str">
        <f>"1551601210318412"</f>
        <v>1551601210318412</v>
      </c>
      <c r="C4987" t="s">
        <v>40</v>
      </c>
      <c r="D4987">
        <v>4.6551200000000001</v>
      </c>
      <c r="E4987">
        <v>0.50362549999999995</v>
      </c>
      <c r="F4987" t="s">
        <v>52</v>
      </c>
      <c r="G4987">
        <v>-377.5745</v>
      </c>
      <c r="H4987" s="1">
        <v>2.4939750000000001E-6</v>
      </c>
      <c r="I4987">
        <v>215.68639999999999</v>
      </c>
      <c r="J4987">
        <v>-414.25029999999998</v>
      </c>
      <c r="K4987">
        <v>1.1212879999999901</v>
      </c>
      <c r="L4987">
        <v>214.72309999999999</v>
      </c>
      <c r="M4987">
        <v>0.99993829999999995</v>
      </c>
      <c r="N4987">
        <v>-1.110907E-2</v>
      </c>
      <c r="O4987">
        <v>-2.3908459999999999E-4</v>
      </c>
      <c r="P4987">
        <v>0.98997009999999996</v>
      </c>
      <c r="Q4987">
        <v>0.1360632</v>
      </c>
      <c r="R4987">
        <v>3.8025219999999998E-2</v>
      </c>
      <c r="S4987">
        <v>3.0400390000000002</v>
      </c>
      <c r="T4987">
        <v>-9.2235330000000004E-2</v>
      </c>
      <c r="U4987">
        <v>7.9238890000000006E-2</v>
      </c>
      <c r="V4987">
        <v>-3.8265420000000001E-2</v>
      </c>
      <c r="W4987">
        <v>0.1470515</v>
      </c>
      <c r="X4987">
        <v>0.98838839999999994</v>
      </c>
      <c r="Y4987">
        <v>-2.6278699999999999E-2</v>
      </c>
      <c r="Z4987">
        <v>5.4912769999999997E-4</v>
      </c>
      <c r="AA4987">
        <v>0.9996545</v>
      </c>
      <c r="AB4987">
        <v>26</v>
      </c>
      <c r="AC4987">
        <v>36.675799999999903</v>
      </c>
      <c r="AD4987">
        <v>-1.12128550602499</v>
      </c>
      <c r="AE4987">
        <v>0.96330000000000304</v>
      </c>
      <c r="AF4987">
        <v>-0.97116201084975096</v>
      </c>
      <c r="AG4987">
        <v>-1.12128550602499</v>
      </c>
      <c r="AH4987">
        <v>36.6413434967073</v>
      </c>
      <c r="AI4987">
        <v>91.7521833321142</v>
      </c>
      <c r="AJ4987">
        <v>91.518242917651605</v>
      </c>
      <c r="AK4987">
        <v>36.671357897970402</v>
      </c>
      <c r="AL4987">
        <v>81.543904949098803</v>
      </c>
      <c r="AM4987">
        <v>92.217096709604107</v>
      </c>
      <c r="AN4987">
        <v>1.0000000076372899</v>
      </c>
    </row>
    <row r="4988" spans="1:40" x14ac:dyDescent="0.25">
      <c r="A4988" t="str">
        <f>"20190303162010345"</f>
        <v>20190303162010345</v>
      </c>
      <c r="B4988" t="str">
        <f>"1551601210336956"</f>
        <v>1551601210336956</v>
      </c>
      <c r="C4988" t="s">
        <v>40</v>
      </c>
      <c r="D4988">
        <v>4.6364460000000003</v>
      </c>
      <c r="E4988">
        <v>0.50377689999999997</v>
      </c>
      <c r="F4988" t="s">
        <v>52</v>
      </c>
      <c r="G4988">
        <v>-376.4348</v>
      </c>
      <c r="H4988" s="1">
        <v>1.887463E-6</v>
      </c>
      <c r="I4988">
        <v>215.72819999999999</v>
      </c>
      <c r="J4988">
        <v>-414.01530000000002</v>
      </c>
      <c r="K4988">
        <v>1.1212879999999901</v>
      </c>
      <c r="L4988">
        <v>214.72309999999999</v>
      </c>
      <c r="M4988">
        <v>0.99993829999999995</v>
      </c>
      <c r="N4988">
        <v>-1.111144E-2</v>
      </c>
      <c r="O4988">
        <v>-2.011801E-4</v>
      </c>
      <c r="P4988">
        <v>0.98991810000000002</v>
      </c>
      <c r="Q4988">
        <v>0.13622509999999999</v>
      </c>
      <c r="R4988">
        <v>3.8795679999999999E-2</v>
      </c>
      <c r="S4988">
        <v>3.0396730000000001</v>
      </c>
      <c r="T4988">
        <v>-9.0130810000000006E-2</v>
      </c>
      <c r="U4988">
        <v>8.0795290000000006E-2</v>
      </c>
      <c r="V4988">
        <v>-3.899826E-2</v>
      </c>
      <c r="W4988">
        <v>0.14721509999999999</v>
      </c>
      <c r="X4988">
        <v>0.98833539999999998</v>
      </c>
      <c r="Y4988">
        <v>-2.67558E-2</v>
      </c>
      <c r="Z4988">
        <v>5.4896909999999999E-4</v>
      </c>
      <c r="AA4988">
        <v>0.99964180000000002</v>
      </c>
      <c r="AB4988">
        <v>26</v>
      </c>
      <c r="AC4988">
        <v>37.580500000000001</v>
      </c>
      <c r="AD4988">
        <v>-1.1212861125369999</v>
      </c>
      <c r="AE4988">
        <v>1.0050999999999899</v>
      </c>
      <c r="AF4988">
        <v>-1.011760827229</v>
      </c>
      <c r="AG4988">
        <v>-1.1212861125369999</v>
      </c>
      <c r="AH4988">
        <v>37.546895113646897</v>
      </c>
      <c r="AI4988">
        <v>91.709930527349499</v>
      </c>
      <c r="AJ4988">
        <v>91.543552410042807</v>
      </c>
      <c r="AK4988">
        <v>37.577257419786299</v>
      </c>
      <c r="AL4988">
        <v>81.534428210938202</v>
      </c>
      <c r="AM4988">
        <v>92.259634871575201</v>
      </c>
      <c r="AN4988">
        <v>1.00000000642209</v>
      </c>
    </row>
    <row r="4989" spans="1:40" x14ac:dyDescent="0.25">
      <c r="A4989" t="str">
        <f>"20190303162010367"</f>
        <v>20190303162010367</v>
      </c>
      <c r="B4989" t="str">
        <f>"1551601210357451"</f>
        <v>1551601210357451</v>
      </c>
      <c r="C4989" t="s">
        <v>40</v>
      </c>
      <c r="D4989">
        <v>4.5979710000000003</v>
      </c>
      <c r="E4989">
        <v>0.50363080000000005</v>
      </c>
      <c r="F4989" t="s">
        <v>52</v>
      </c>
      <c r="G4989">
        <v>-374.98570000000001</v>
      </c>
      <c r="H4989" s="1">
        <v>1.1163250000000001E-6</v>
      </c>
      <c r="I4989">
        <v>215.7747</v>
      </c>
      <c r="J4989">
        <v>-413.76350000000002</v>
      </c>
      <c r="K4989">
        <v>1.1212879999999901</v>
      </c>
      <c r="L4989">
        <v>214.72309999999999</v>
      </c>
      <c r="M4989">
        <v>0.99993840000000001</v>
      </c>
      <c r="N4989">
        <v>-1.111402E-2</v>
      </c>
      <c r="O4989">
        <v>-1.605349E-4</v>
      </c>
      <c r="P4989">
        <v>0.98989000000000005</v>
      </c>
      <c r="Q4989">
        <v>0.1362497</v>
      </c>
      <c r="R4989">
        <v>3.94223E-2</v>
      </c>
      <c r="S4989">
        <v>3.0393370000000002</v>
      </c>
      <c r="T4989">
        <v>-8.7317469999999994E-2</v>
      </c>
      <c r="U4989">
        <v>8.1893919999999995E-2</v>
      </c>
      <c r="V4989">
        <v>-3.9585309999999999E-2</v>
      </c>
      <c r="W4989">
        <v>0.1472415</v>
      </c>
      <c r="X4989">
        <v>0.98830810000000002</v>
      </c>
      <c r="Y4989">
        <v>-2.7079860000000001E-2</v>
      </c>
      <c r="Z4989">
        <v>5.42224E-4</v>
      </c>
      <c r="AA4989">
        <v>0.99963310000000005</v>
      </c>
      <c r="AB4989">
        <v>26</v>
      </c>
      <c r="AC4989">
        <v>38.777799999999999</v>
      </c>
      <c r="AD4989">
        <v>-1.1212868836749901</v>
      </c>
      <c r="AE4989">
        <v>1.0516000000000001</v>
      </c>
      <c r="AF4989">
        <v>-1.0569424817650499</v>
      </c>
      <c r="AG4989">
        <v>-1.1212868836749901</v>
      </c>
      <c r="AH4989">
        <v>38.745258901259398</v>
      </c>
      <c r="AI4989">
        <v>91.657059739000005</v>
      </c>
      <c r="AJ4989">
        <v>91.562599660980894</v>
      </c>
      <c r="AK4989">
        <v>38.775888113760601</v>
      </c>
      <c r="AL4989">
        <v>81.532898697369205</v>
      </c>
      <c r="AM4989">
        <v>92.293676918283296</v>
      </c>
      <c r="AN4989">
        <v>0.99999997830782705</v>
      </c>
    </row>
    <row r="4990" spans="1:40" x14ac:dyDescent="0.25">
      <c r="A4990" t="str">
        <f>"20190303162010400"</f>
        <v>20190303162010400</v>
      </c>
      <c r="B4990" t="str">
        <f>"1551601210387707"</f>
        <v>1551601210387707</v>
      </c>
      <c r="C4990" t="s">
        <v>40</v>
      </c>
      <c r="D4990">
        <v>4.5800669999999997</v>
      </c>
      <c r="E4990">
        <v>0.50379099999999999</v>
      </c>
      <c r="F4990" t="s">
        <v>52</v>
      </c>
      <c r="G4990">
        <v>-372.18830000000003</v>
      </c>
      <c r="H4990" s="1">
        <v>-3.7227580000000001E-7</v>
      </c>
      <c r="I4990">
        <v>215.8887</v>
      </c>
      <c r="J4990">
        <v>-413.38729999999998</v>
      </c>
      <c r="K4990">
        <v>1.1212850000000001</v>
      </c>
      <c r="L4990">
        <v>214.72309999999999</v>
      </c>
      <c r="M4990">
        <v>0.9999382</v>
      </c>
      <c r="N4990">
        <v>-1.111791E-2</v>
      </c>
      <c r="O4990" s="1">
        <v>-9.9984989999999998E-5</v>
      </c>
      <c r="P4990">
        <v>0.99012020000000001</v>
      </c>
      <c r="Q4990">
        <v>0.13488639999999999</v>
      </c>
      <c r="R4990">
        <v>3.8313550000000002E-2</v>
      </c>
      <c r="S4990">
        <v>3.038513</v>
      </c>
      <c r="T4990">
        <v>-8.1949110000000006E-2</v>
      </c>
      <c r="U4990">
        <v>8.5189819999999999E-2</v>
      </c>
      <c r="V4990">
        <v>-3.8417760000000002E-2</v>
      </c>
      <c r="W4990">
        <v>0.14588499999999999</v>
      </c>
      <c r="X4990">
        <v>0.98855530000000003</v>
      </c>
      <c r="Y4990">
        <v>-2.811118E-2</v>
      </c>
      <c r="Z4990">
        <v>5.3686649999999995E-4</v>
      </c>
      <c r="AA4990">
        <v>0.99960459999999995</v>
      </c>
      <c r="AB4990">
        <v>26</v>
      </c>
      <c r="AC4990">
        <v>41.198999999999899</v>
      </c>
      <c r="AD4990">
        <v>-1.1212853722758001</v>
      </c>
      <c r="AE4990">
        <v>1.16560000000001</v>
      </c>
      <c r="AF4990">
        <v>-1.1688544192083901</v>
      </c>
      <c r="AG4990">
        <v>-1.1212853722758001</v>
      </c>
      <c r="AH4990">
        <v>41.168413023315999</v>
      </c>
      <c r="AI4990">
        <v>91.559525282667806</v>
      </c>
      <c r="AJ4990">
        <v>91.626306038104801</v>
      </c>
      <c r="AK4990">
        <v>41.200263741846598</v>
      </c>
      <c r="AL4990">
        <v>81.611468810493307</v>
      </c>
      <c r="AM4990">
        <v>92.225538993191805</v>
      </c>
      <c r="AN4990">
        <v>0.99999996933325297</v>
      </c>
    </row>
    <row r="4991" spans="1:40" x14ac:dyDescent="0.25">
      <c r="A4991" t="str">
        <f>"20190303162010424"</f>
        <v>20190303162010424</v>
      </c>
      <c r="B4991" t="str">
        <f>"1551601210416988"</f>
        <v>1551601210416988</v>
      </c>
      <c r="C4991" t="s">
        <v>40</v>
      </c>
      <c r="D4991">
        <v>4.5588579999999999</v>
      </c>
      <c r="E4991">
        <v>0.50422769999999995</v>
      </c>
      <c r="F4991" t="s">
        <v>52</v>
      </c>
      <c r="G4991">
        <v>-371.12990000000002</v>
      </c>
      <c r="H4991" s="1">
        <v>-9.3550369999999995E-7</v>
      </c>
      <c r="I4991">
        <v>215.85079999999999</v>
      </c>
      <c r="J4991">
        <v>-413.1078</v>
      </c>
      <c r="K4991">
        <v>1.1212819999999999</v>
      </c>
      <c r="L4991">
        <v>214.72309999999999</v>
      </c>
      <c r="M4991">
        <v>0.9999382</v>
      </c>
      <c r="N4991">
        <v>-1.112082E-2</v>
      </c>
      <c r="O4991" s="1">
        <v>-5.5293329999999997E-5</v>
      </c>
      <c r="P4991">
        <v>0.99035260000000003</v>
      </c>
      <c r="Q4991">
        <v>0.13330149999999999</v>
      </c>
      <c r="R4991">
        <v>3.7850050000000003E-2</v>
      </c>
      <c r="S4991">
        <v>3.0377809999999998</v>
      </c>
      <c r="T4991">
        <v>-8.0606579999999997E-2</v>
      </c>
      <c r="U4991">
        <v>8.1069950000000002E-2</v>
      </c>
      <c r="V4991">
        <v>-3.7909999999999999E-2</v>
      </c>
      <c r="W4991">
        <v>0.144305399999999</v>
      </c>
      <c r="X4991">
        <v>0.98880670000000004</v>
      </c>
      <c r="Y4991">
        <v>-2.6719659999999999E-2</v>
      </c>
      <c r="Z4991">
        <v>5.0386589999999905E-4</v>
      </c>
      <c r="AA4991">
        <v>0.99964280000000005</v>
      </c>
      <c r="AB4991">
        <v>26</v>
      </c>
      <c r="AC4991">
        <v>41.977899999999899</v>
      </c>
      <c r="AD4991">
        <v>-1.1212829355037</v>
      </c>
      <c r="AE4991">
        <v>1.1276999999999999</v>
      </c>
      <c r="AF4991">
        <v>-1.1292161341393001</v>
      </c>
      <c r="AG4991">
        <v>-1.1212829355037</v>
      </c>
      <c r="AH4991">
        <v>41.947929656322401</v>
      </c>
      <c r="AI4991">
        <v>91.530617534950906</v>
      </c>
      <c r="AJ4991">
        <v>91.541999752383006</v>
      </c>
      <c r="AK4991">
        <v>41.978103898947403</v>
      </c>
      <c r="AL4991">
        <v>81.702941091273104</v>
      </c>
      <c r="AM4991">
        <v>92.195595658973701</v>
      </c>
      <c r="AN4991">
        <v>0.99999995326702396</v>
      </c>
    </row>
    <row r="4992" spans="1:40" x14ac:dyDescent="0.25">
      <c r="A4992" t="str">
        <f>"20190303162010448"</f>
        <v>20190303162010448</v>
      </c>
      <c r="B4992" t="str">
        <f>"1551601210437483"</f>
        <v>1551601210437483</v>
      </c>
      <c r="C4992" t="s">
        <v>40</v>
      </c>
      <c r="D4992">
        <v>4.5284810000000002</v>
      </c>
      <c r="E4992">
        <v>0.50449730000000004</v>
      </c>
      <c r="F4992" t="s">
        <v>52</v>
      </c>
      <c r="G4992">
        <v>-371.38479999999998</v>
      </c>
      <c r="H4992" s="1">
        <v>-7.9985489999999899E-7</v>
      </c>
      <c r="I4992">
        <v>215.7688</v>
      </c>
      <c r="J4992">
        <v>-412.8417</v>
      </c>
      <c r="K4992">
        <v>1.1212839999999999</v>
      </c>
      <c r="L4992">
        <v>214.72319999999999</v>
      </c>
      <c r="M4992">
        <v>0.9999382</v>
      </c>
      <c r="N4992">
        <v>-1.112377E-2</v>
      </c>
      <c r="O4992" s="1">
        <v>-1.2690560000000001E-5</v>
      </c>
      <c r="P4992">
        <v>0.99038669999999995</v>
      </c>
      <c r="Q4992">
        <v>0.13310569999999999</v>
      </c>
      <c r="R4992">
        <v>3.7647680000000003E-2</v>
      </c>
      <c r="S4992">
        <v>3.0373230000000002</v>
      </c>
      <c r="T4992">
        <v>-8.1626299999999999E-2</v>
      </c>
      <c r="U4992">
        <v>7.6126100000000002E-2</v>
      </c>
      <c r="V4992">
        <v>-3.7664940000000001E-2</v>
      </c>
      <c r="W4992">
        <v>0.14411289999999999</v>
      </c>
      <c r="X4992">
        <v>0.98884419999999995</v>
      </c>
      <c r="Y4992">
        <v>-2.5055589999999999E-2</v>
      </c>
      <c r="Z4992">
        <v>4.7618139999999997E-4</v>
      </c>
      <c r="AA4992">
        <v>0.99968590000000002</v>
      </c>
      <c r="AB4992">
        <v>26</v>
      </c>
      <c r="AC4992">
        <v>41.456899999999997</v>
      </c>
      <c r="AD4992">
        <v>-1.1212847998549</v>
      </c>
      <c r="AE4992">
        <v>1.0456000000000001</v>
      </c>
      <c r="AF4992">
        <v>-1.04536190555202</v>
      </c>
      <c r="AG4992">
        <v>-1.1212847998549</v>
      </c>
      <c r="AH4992">
        <v>41.426600766463601</v>
      </c>
      <c r="AI4992">
        <v>91.549940715010095</v>
      </c>
      <c r="AJ4992">
        <v>91.445499175715</v>
      </c>
      <c r="AK4992">
        <v>41.4549552186458</v>
      </c>
      <c r="AL4992">
        <v>81.714087540145798</v>
      </c>
      <c r="AM4992">
        <v>92.181333873357303</v>
      </c>
      <c r="AN4992">
        <v>1.0000000137626199</v>
      </c>
    </row>
    <row r="4993" spans="1:40" x14ac:dyDescent="0.25">
      <c r="A4993" t="str">
        <f>"20190303162010469"</f>
        <v>20190303162010469</v>
      </c>
      <c r="B4993" t="str">
        <f>"1551601210457004"</f>
        <v>1551601210457004</v>
      </c>
      <c r="C4993" t="s">
        <v>40</v>
      </c>
      <c r="D4993">
        <v>4.5405709999999999</v>
      </c>
      <c r="E4993">
        <v>0.50458389999999997</v>
      </c>
      <c r="F4993" t="s">
        <v>52</v>
      </c>
      <c r="G4993">
        <v>-370.5976</v>
      </c>
      <c r="H4993" s="1">
        <v>-1.2187909999999901E-6</v>
      </c>
      <c r="I4993">
        <v>215.73599999999999</v>
      </c>
      <c r="J4993">
        <v>-412.58359999999999</v>
      </c>
      <c r="K4993">
        <v>1.1212789999999999</v>
      </c>
      <c r="L4993">
        <v>214.72319999999999</v>
      </c>
      <c r="M4993">
        <v>0.9999382</v>
      </c>
      <c r="N4993">
        <v>-1.1126479999999999E-2</v>
      </c>
      <c r="O4993" s="1">
        <v>2.8956589999999999E-5</v>
      </c>
      <c r="P4993">
        <v>0.99046420000000002</v>
      </c>
      <c r="Q4993">
        <v>0.1323336</v>
      </c>
      <c r="R4993">
        <v>3.8323250000000003E-2</v>
      </c>
      <c r="S4993">
        <v>3.03714</v>
      </c>
      <c r="T4993">
        <v>-8.0614809999999995E-2</v>
      </c>
      <c r="U4993">
        <v>7.2814939999999995E-2</v>
      </c>
      <c r="V4993">
        <v>-3.8299199999999999E-2</v>
      </c>
      <c r="W4993">
        <v>0.14334469999999999</v>
      </c>
      <c r="X4993">
        <v>0.98893149999999996</v>
      </c>
      <c r="Y4993">
        <v>-2.3927049999999998E-2</v>
      </c>
      <c r="Z4993">
        <v>4.5016860000000002E-4</v>
      </c>
      <c r="AA4993">
        <v>0.99971359999999998</v>
      </c>
      <c r="AB4993">
        <v>26</v>
      </c>
      <c r="AC4993">
        <v>41.985999999999898</v>
      </c>
      <c r="AD4993">
        <v>-1.121280218791</v>
      </c>
      <c r="AE4993">
        <v>1.0127999999999899</v>
      </c>
      <c r="AF4993">
        <v>-1.0108636111415501</v>
      </c>
      <c r="AG4993">
        <v>-1.121280218791</v>
      </c>
      <c r="AH4993">
        <v>41.956123056439999</v>
      </c>
      <c r="AI4993">
        <v>91.530425255672199</v>
      </c>
      <c r="AJ4993">
        <v>91.380180323895004</v>
      </c>
      <c r="AK4993">
        <v>41.983274961543003</v>
      </c>
      <c r="AL4993">
        <v>81.758564018043501</v>
      </c>
      <c r="AM4993">
        <v>92.217834526994494</v>
      </c>
      <c r="AN4993">
        <v>1.0000000217154801</v>
      </c>
    </row>
    <row r="4994" spans="1:40" x14ac:dyDescent="0.25">
      <c r="A4994" t="str">
        <f>"20190303162010491"</f>
        <v>20190303162010491</v>
      </c>
      <c r="B4994" t="str">
        <f>"1551601210477499"</f>
        <v>1551601210477499</v>
      </c>
      <c r="C4994" t="s">
        <v>40</v>
      </c>
      <c r="D4994">
        <v>4.5432420000000002</v>
      </c>
      <c r="E4994">
        <v>0.50470979999999999</v>
      </c>
      <c r="F4994" t="s">
        <v>52</v>
      </c>
      <c r="G4994">
        <v>-370.63709999999998</v>
      </c>
      <c r="H4994" s="1">
        <v>-1.1977260000000001E-6</v>
      </c>
      <c r="I4994">
        <v>215.7424</v>
      </c>
      <c r="J4994">
        <v>-412.33780000000002</v>
      </c>
      <c r="K4994">
        <v>1.121281</v>
      </c>
      <c r="L4994">
        <v>214.72329999999999</v>
      </c>
      <c r="M4994">
        <v>0.99993810000000005</v>
      </c>
      <c r="N4994">
        <v>-1.112907E-2</v>
      </c>
      <c r="O4994" s="1">
        <v>6.8221499999999896E-5</v>
      </c>
      <c r="P4994">
        <v>0.99050950000000004</v>
      </c>
      <c r="Q4994">
        <v>0.13202139999999901</v>
      </c>
      <c r="R4994">
        <v>3.8231609999999999E-2</v>
      </c>
      <c r="S4994">
        <v>3.0368650000000001</v>
      </c>
      <c r="T4994">
        <v>-8.1179139999999997E-2</v>
      </c>
      <c r="U4994">
        <v>7.3791499999999996E-2</v>
      </c>
      <c r="V4994">
        <v>-3.8169359999999999E-2</v>
      </c>
      <c r="W4994">
        <v>0.14303550000000001</v>
      </c>
      <c r="X4994">
        <v>0.9889812</v>
      </c>
      <c r="Y4994">
        <v>-2.4210969999999998E-2</v>
      </c>
      <c r="Z4994">
        <v>4.5720590000000001E-4</v>
      </c>
      <c r="AA4994">
        <v>0.99970669999999995</v>
      </c>
      <c r="AB4994">
        <v>26</v>
      </c>
      <c r="AC4994">
        <v>41.700699999999998</v>
      </c>
      <c r="AD4994">
        <v>-1.1212821977259999</v>
      </c>
      <c r="AE4994">
        <v>1.0190999999999999</v>
      </c>
      <c r="AF4994">
        <v>-1.0155211454530499</v>
      </c>
      <c r="AG4994">
        <v>-1.1212821977259999</v>
      </c>
      <c r="AH4994">
        <v>41.670659190556201</v>
      </c>
      <c r="AI4994">
        <v>91.540896753420995</v>
      </c>
      <c r="AJ4994">
        <v>91.396031693892397</v>
      </c>
      <c r="AK4994">
        <v>41.698110201054497</v>
      </c>
      <c r="AL4994">
        <v>81.776463606585096</v>
      </c>
      <c r="AM4994">
        <v>92.2102122405133</v>
      </c>
      <c r="AN4994">
        <v>0.99999993412824695</v>
      </c>
    </row>
    <row r="4995" spans="1:40" x14ac:dyDescent="0.25">
      <c r="A4995" t="str">
        <f>"20190303162010513"</f>
        <v>20190303162010513</v>
      </c>
      <c r="B4995" t="str">
        <f>"1551601210507755"</f>
        <v>1551601210507755</v>
      </c>
      <c r="C4995" t="s">
        <v>40</v>
      </c>
      <c r="D4995">
        <v>4.5491989999999998</v>
      </c>
      <c r="E4995">
        <v>0.50496229999999998</v>
      </c>
      <c r="F4995" t="s">
        <v>52</v>
      </c>
      <c r="G4995">
        <v>-370.17910000000001</v>
      </c>
      <c r="H4995" s="1">
        <v>-1.441458E-6</v>
      </c>
      <c r="I4995">
        <v>215.72630000000001</v>
      </c>
      <c r="J4995">
        <v>-412.08839999999998</v>
      </c>
      <c r="K4995">
        <v>1.1212709999999999</v>
      </c>
      <c r="L4995">
        <v>214.72329999999999</v>
      </c>
      <c r="M4995">
        <v>0.99993810000000005</v>
      </c>
      <c r="N4995">
        <v>-1.1131719999999999E-2</v>
      </c>
      <c r="O4995">
        <v>1.079629E-4</v>
      </c>
      <c r="P4995">
        <v>0.99057890000000004</v>
      </c>
      <c r="Q4995">
        <v>0.1315366</v>
      </c>
      <c r="R4995">
        <v>3.8104159999999998E-2</v>
      </c>
      <c r="S4995">
        <v>3.0366819999999999</v>
      </c>
      <c r="T4995">
        <v>-8.0765719999999999E-2</v>
      </c>
      <c r="U4995">
        <v>7.2250369999999994E-2</v>
      </c>
      <c r="V4995">
        <v>-3.8002260000000003E-2</v>
      </c>
      <c r="W4995">
        <v>0.14255419999999999</v>
      </c>
      <c r="X4995">
        <v>0.98905719999999997</v>
      </c>
      <c r="Y4995">
        <v>-2.3666010000000001E-2</v>
      </c>
      <c r="Z4995">
        <v>4.4472720000000003E-4</v>
      </c>
      <c r="AA4995">
        <v>0.99971980000000005</v>
      </c>
      <c r="AB4995">
        <v>26</v>
      </c>
      <c r="AC4995">
        <v>41.909299999999902</v>
      </c>
      <c r="AD4995">
        <v>-1.121272441458</v>
      </c>
      <c r="AE4995">
        <v>1.0030000000000101</v>
      </c>
      <c r="AF4995">
        <v>-0.99776125976177099</v>
      </c>
      <c r="AG4995">
        <v>-1.121272441458</v>
      </c>
      <c r="AH4995">
        <v>41.8794472259247</v>
      </c>
      <c r="AI4995">
        <v>91.533225161688804</v>
      </c>
      <c r="AJ4995">
        <v>91.364791091983705</v>
      </c>
      <c r="AK4995">
        <v>41.906334597152103</v>
      </c>
      <c r="AL4995">
        <v>81.804326200384295</v>
      </c>
      <c r="AM4995">
        <v>92.200376855089701</v>
      </c>
      <c r="AN4995">
        <v>1.00000000828729</v>
      </c>
    </row>
    <row r="4996" spans="1:40" x14ac:dyDescent="0.25">
      <c r="A4996" t="str">
        <f>"20190303162010535"</f>
        <v>20190303162010535</v>
      </c>
      <c r="B4996" t="str">
        <f>"1551601210527276"</f>
        <v>1551601210527276</v>
      </c>
      <c r="C4996" t="s">
        <v>40</v>
      </c>
      <c r="D4996">
        <v>4.5459829999999997</v>
      </c>
      <c r="E4996">
        <v>0.50499830000000001</v>
      </c>
      <c r="F4996" t="s">
        <v>52</v>
      </c>
      <c r="G4996">
        <v>-369.29340000000002</v>
      </c>
      <c r="H4996" s="1">
        <v>3.408696E-6</v>
      </c>
      <c r="I4996">
        <v>215.7079</v>
      </c>
      <c r="J4996">
        <v>-411.82799999999997</v>
      </c>
      <c r="K4996">
        <v>1.1212709999999999</v>
      </c>
      <c r="L4996">
        <v>214.7234</v>
      </c>
      <c r="M4996">
        <v>0.99993799999999999</v>
      </c>
      <c r="N4996">
        <v>-1.113449E-2</v>
      </c>
      <c r="O4996">
        <v>1.4943229999999901E-4</v>
      </c>
      <c r="P4996">
        <v>0.99070219999999998</v>
      </c>
      <c r="Q4996">
        <v>0.13057189999999999</v>
      </c>
      <c r="R4996">
        <v>3.8214890000000001E-2</v>
      </c>
      <c r="S4996">
        <v>3.0363769999999999</v>
      </c>
      <c r="T4996">
        <v>-7.9555870000000001E-2</v>
      </c>
      <c r="U4996">
        <v>6.9854739999999999E-2</v>
      </c>
      <c r="V4996">
        <v>-3.80717E-2</v>
      </c>
      <c r="W4996">
        <v>0.14159359999999999</v>
      </c>
      <c r="X4996">
        <v>0.98919250000000003</v>
      </c>
      <c r="Y4996">
        <v>-2.2839310000000002E-2</v>
      </c>
      <c r="Z4996">
        <v>4.2406790000000001E-4</v>
      </c>
      <c r="AA4996">
        <v>0.99973909999999999</v>
      </c>
      <c r="AB4996">
        <v>26</v>
      </c>
      <c r="AC4996">
        <v>42.534599999999998</v>
      </c>
      <c r="AD4996">
        <v>-1.121267591304</v>
      </c>
      <c r="AE4996">
        <v>0.98449999999999704</v>
      </c>
      <c r="AF4996">
        <v>-0.97746465736524601</v>
      </c>
      <c r="AG4996">
        <v>-1.121267591304</v>
      </c>
      <c r="AH4996">
        <v>42.505224801706298</v>
      </c>
      <c r="AI4996">
        <v>91.510685724840798</v>
      </c>
      <c r="AJ4996">
        <v>91.317361113760398</v>
      </c>
      <c r="AK4996">
        <v>42.5312451453199</v>
      </c>
      <c r="AL4996">
        <v>81.859928503619997</v>
      </c>
      <c r="AM4996">
        <v>92.204092336572103</v>
      </c>
      <c r="AN4996">
        <v>1.00000000197905</v>
      </c>
    </row>
    <row r="4997" spans="1:40" x14ac:dyDescent="0.25">
      <c r="A4997" t="str">
        <f>"20190303162010558"</f>
        <v>20190303162010558</v>
      </c>
      <c r="B4997" t="str">
        <f>"1551601210547771"</f>
        <v>1551601210547771</v>
      </c>
      <c r="C4997" t="s">
        <v>40</v>
      </c>
      <c r="D4997">
        <v>4.5738649999999996</v>
      </c>
      <c r="E4997">
        <v>0.50521899999999997</v>
      </c>
      <c r="F4997" t="s">
        <v>52</v>
      </c>
      <c r="G4997">
        <v>-370.0258</v>
      </c>
      <c r="H4997" s="1">
        <v>-1.523043E-6</v>
      </c>
      <c r="I4997">
        <v>215.67609999999999</v>
      </c>
      <c r="J4997">
        <v>-411.56779999999998</v>
      </c>
      <c r="K4997">
        <v>1.1212719999999901</v>
      </c>
      <c r="L4997">
        <v>214.7235</v>
      </c>
      <c r="M4997">
        <v>0.99993799999999999</v>
      </c>
      <c r="N4997">
        <v>-1.113725E-2</v>
      </c>
      <c r="O4997">
        <v>1.907228E-4</v>
      </c>
      <c r="P4997">
        <v>0.99076580000000003</v>
      </c>
      <c r="Q4997">
        <v>0.13005410000000001</v>
      </c>
      <c r="R4997">
        <v>3.8334989999999999E-2</v>
      </c>
      <c r="S4997">
        <v>3.0362550000000001</v>
      </c>
      <c r="T4997">
        <v>-8.1442479999999998E-2</v>
      </c>
      <c r="U4997">
        <v>6.9198609999999994E-2</v>
      </c>
      <c r="V4997">
        <v>-3.8150940000000001E-2</v>
      </c>
      <c r="W4997">
        <v>0.14107910000000001</v>
      </c>
      <c r="X4997">
        <v>0.98926289999999995</v>
      </c>
      <c r="Y4997">
        <v>-2.2582709999999999E-2</v>
      </c>
      <c r="Z4997">
        <v>4.2559439999999998E-4</v>
      </c>
      <c r="AA4997">
        <v>0.99974490000000005</v>
      </c>
      <c r="AB4997">
        <v>26</v>
      </c>
      <c r="AC4997">
        <v>41.541999999999902</v>
      </c>
      <c r="AD4997">
        <v>-1.12127352304299</v>
      </c>
      <c r="AE4997">
        <v>0.95259999999998901</v>
      </c>
      <c r="AF4997">
        <v>-0.94398912063415397</v>
      </c>
      <c r="AG4997">
        <v>-1.12127352304299</v>
      </c>
      <c r="AH4997">
        <v>41.511954066427002</v>
      </c>
      <c r="AI4997">
        <v>91.546832294773495</v>
      </c>
      <c r="AJ4997">
        <v>91.302691564869704</v>
      </c>
      <c r="AK4997">
        <v>41.537822525819799</v>
      </c>
      <c r="AL4997">
        <v>81.889705643822197</v>
      </c>
      <c r="AM4997">
        <v>92.208518232006497</v>
      </c>
      <c r="AN4997">
        <v>0.99999994599804998</v>
      </c>
    </row>
    <row r="4998" spans="1:40" x14ac:dyDescent="0.25">
      <c r="A4998" t="str">
        <f>"20190303162010579"</f>
        <v>20190303162010579</v>
      </c>
      <c r="B4998" t="str">
        <f>"1551601210567291"</f>
        <v>1551601210567291</v>
      </c>
      <c r="C4998" t="s">
        <v>40</v>
      </c>
      <c r="D4998">
        <v>4.5555370000000002</v>
      </c>
      <c r="E4998">
        <v>0.50535220000000003</v>
      </c>
      <c r="F4998" t="s">
        <v>52</v>
      </c>
      <c r="G4998">
        <v>-369.93349999999998</v>
      </c>
      <c r="H4998" s="1">
        <v>3.7493269999999999E-6</v>
      </c>
      <c r="I4998">
        <v>215.64670000000001</v>
      </c>
      <c r="J4998">
        <v>-411.32900000000001</v>
      </c>
      <c r="K4998">
        <v>1.1212709999999999</v>
      </c>
      <c r="L4998">
        <v>214.7236</v>
      </c>
      <c r="M4998">
        <v>0.99993799999999999</v>
      </c>
      <c r="N4998">
        <v>-1.113979E-2</v>
      </c>
      <c r="O4998">
        <v>2.286166E-4</v>
      </c>
      <c r="P4998">
        <v>0.99076980000000003</v>
      </c>
      <c r="Q4998">
        <v>0.1300403</v>
      </c>
      <c r="R4998">
        <v>3.8274629999999997E-2</v>
      </c>
      <c r="S4998">
        <v>3.036133</v>
      </c>
      <c r="T4998">
        <v>-8.1767080000000006E-2</v>
      </c>
      <c r="U4998">
        <v>6.7321779999999998E-2</v>
      </c>
      <c r="V4998">
        <v>-3.805335E-2</v>
      </c>
      <c r="W4998">
        <v>0.1410682</v>
      </c>
      <c r="X4998">
        <v>0.98926820000000004</v>
      </c>
      <c r="Y4998">
        <v>-2.1928300000000001E-2</v>
      </c>
      <c r="Z4998">
        <v>4.1376880000000002E-4</v>
      </c>
      <c r="AA4998">
        <v>0.99975939999999996</v>
      </c>
      <c r="AB4998">
        <v>26</v>
      </c>
      <c r="AC4998">
        <v>41.395499999999998</v>
      </c>
      <c r="AD4998">
        <v>-1.1212672506729999</v>
      </c>
      <c r="AE4998">
        <v>0.92310000000000503</v>
      </c>
      <c r="AF4998">
        <v>-0.91296619053695505</v>
      </c>
      <c r="AG4998">
        <v>-1.1212672506729999</v>
      </c>
      <c r="AH4998">
        <v>41.365375730105399</v>
      </c>
      <c r="AI4998">
        <v>91.552325401991993</v>
      </c>
      <c r="AJ4998">
        <v>91.264357388758498</v>
      </c>
      <c r="AK4998">
        <v>41.390639724523297</v>
      </c>
      <c r="AL4998">
        <v>81.8903363707457</v>
      </c>
      <c r="AM4998">
        <v>92.202862630928493</v>
      </c>
      <c r="AN4998">
        <v>0.99999993301434897</v>
      </c>
    </row>
    <row r="4999" spans="1:40" x14ac:dyDescent="0.25">
      <c r="A4999" t="str">
        <f>"20190303162010602"</f>
        <v>20190303162010602</v>
      </c>
      <c r="B4999" t="str">
        <f>"1551601210586811"</f>
        <v>1551601210586811</v>
      </c>
      <c r="C4999" t="s">
        <v>40</v>
      </c>
      <c r="D4999">
        <v>4.555847</v>
      </c>
      <c r="E4999">
        <v>0.5054303</v>
      </c>
      <c r="F4999" t="s">
        <v>52</v>
      </c>
      <c r="G4999">
        <v>-369.32389999999998</v>
      </c>
      <c r="H4999" s="1">
        <v>3.4249290000000002E-6</v>
      </c>
      <c r="I4999">
        <v>215.63470000000001</v>
      </c>
      <c r="J4999">
        <v>-411.05900000000003</v>
      </c>
      <c r="K4999">
        <v>1.121278</v>
      </c>
      <c r="L4999">
        <v>214.72370000000001</v>
      </c>
      <c r="M4999">
        <v>0.99993790000000005</v>
      </c>
      <c r="N4999">
        <v>-1.1142600000000001E-2</v>
      </c>
      <c r="O4999">
        <v>2.712786E-4</v>
      </c>
      <c r="P4999">
        <v>0.99065879999999995</v>
      </c>
      <c r="Q4999">
        <v>0.13095589999999999</v>
      </c>
      <c r="R4999">
        <v>3.8020100000000001E-2</v>
      </c>
      <c r="S4999">
        <v>3.036041</v>
      </c>
      <c r="T4999">
        <v>-8.1042890000000006E-2</v>
      </c>
      <c r="U4999">
        <v>6.5856929999999994E-2</v>
      </c>
      <c r="V4999">
        <v>-3.7756360000000003E-2</v>
      </c>
      <c r="W4999">
        <v>0.1419849</v>
      </c>
      <c r="X4999">
        <v>0.98914849999999999</v>
      </c>
      <c r="Y4999">
        <v>-2.1404610000000001E-2</v>
      </c>
      <c r="Z4999">
        <v>4.0068089999999997E-4</v>
      </c>
      <c r="AA4999">
        <v>0.99977079999999996</v>
      </c>
      <c r="AB4999">
        <v>26</v>
      </c>
      <c r="AC4999">
        <v>41.735100000000003</v>
      </c>
      <c r="AD4999">
        <v>-1.121274575071</v>
      </c>
      <c r="AE4999">
        <v>0.91100000000000103</v>
      </c>
      <c r="AF4999">
        <v>-0.89902880810590902</v>
      </c>
      <c r="AG4999">
        <v>-1.121274575071</v>
      </c>
      <c r="AH4999">
        <v>41.705256808279998</v>
      </c>
      <c r="AI4999">
        <v>91.539707990076195</v>
      </c>
      <c r="AJ4999">
        <v>91.234918177586906</v>
      </c>
      <c r="AK4999">
        <v>41.730012639766699</v>
      </c>
      <c r="AL4999">
        <v>81.837279865753302</v>
      </c>
      <c r="AM4999">
        <v>92.185951217472095</v>
      </c>
      <c r="AN4999">
        <v>1.0000000048003499</v>
      </c>
    </row>
    <row r="5000" spans="1:40" x14ac:dyDescent="0.25">
      <c r="A5000" t="str">
        <f>"20190303162010625"</f>
        <v>20190303162010625</v>
      </c>
      <c r="B5000" t="str">
        <f>"1551601210617068"</f>
        <v>1551601210617068</v>
      </c>
      <c r="C5000" t="s">
        <v>40</v>
      </c>
      <c r="D5000">
        <v>4.5364440000000004</v>
      </c>
      <c r="E5000">
        <v>0.50564030000000004</v>
      </c>
      <c r="F5000" t="s">
        <v>52</v>
      </c>
      <c r="G5000">
        <v>-366.80110000000002</v>
      </c>
      <c r="H5000" s="1">
        <v>2.0824000000000002E-6</v>
      </c>
      <c r="I5000">
        <v>215.66300000000001</v>
      </c>
      <c r="J5000">
        <v>-410.78359999999998</v>
      </c>
      <c r="K5000">
        <v>1.1212799999999901</v>
      </c>
      <c r="L5000">
        <v>214.72380000000001</v>
      </c>
      <c r="M5000">
        <v>0.99993779999999999</v>
      </c>
      <c r="N5000">
        <v>-1.114532E-2</v>
      </c>
      <c r="O5000">
        <v>3.1489320000000002E-4</v>
      </c>
      <c r="P5000">
        <v>0.99054219999999904</v>
      </c>
      <c r="Q5000">
        <v>0.1318867</v>
      </c>
      <c r="R5000">
        <v>3.7837969999999999E-2</v>
      </c>
      <c r="S5000">
        <v>3.0359799999999999</v>
      </c>
      <c r="T5000">
        <v>-7.6916689999999996E-2</v>
      </c>
      <c r="U5000">
        <v>6.4437869999999994E-2</v>
      </c>
      <c r="V5000">
        <v>-3.7531009999999997E-2</v>
      </c>
      <c r="W5000">
        <v>0.14291709999999999</v>
      </c>
      <c r="X5000">
        <v>0.98902279999999998</v>
      </c>
      <c r="Y5000">
        <v>-2.0895489999999999E-2</v>
      </c>
      <c r="Z5000">
        <v>3.766423E-4</v>
      </c>
      <c r="AA5000">
        <v>0.99978160000000005</v>
      </c>
      <c r="AB5000">
        <v>26</v>
      </c>
      <c r="AC5000">
        <v>43.982499999999902</v>
      </c>
      <c r="AD5000">
        <v>-1.1212779175999901</v>
      </c>
      <c r="AE5000">
        <v>0.93919999999997095</v>
      </c>
      <c r="AF5000">
        <v>-0.92474855436234105</v>
      </c>
      <c r="AG5000">
        <v>-1.1212779175999901</v>
      </c>
      <c r="AH5000">
        <v>43.954239418150301</v>
      </c>
      <c r="AI5000">
        <v>91.460982105685304</v>
      </c>
      <c r="AJ5000">
        <v>91.205261983822794</v>
      </c>
      <c r="AK5000">
        <v>43.978262663335997</v>
      </c>
      <c r="AL5000">
        <v>81.783318280761804</v>
      </c>
      <c r="AM5000">
        <v>92.173192746473902</v>
      </c>
      <c r="AN5000">
        <v>0.99999998655193501</v>
      </c>
    </row>
    <row r="5001" spans="1:40" x14ac:dyDescent="0.25">
      <c r="A5001" t="str">
        <f>"20190303162010648"</f>
        <v>20190303162010648</v>
      </c>
      <c r="B5001" t="str">
        <f>"1551601210637563"</f>
        <v>1551601210637563</v>
      </c>
      <c r="C5001" t="s">
        <v>40</v>
      </c>
      <c r="D5001">
        <v>4.5697530000000004</v>
      </c>
      <c r="E5001">
        <v>0.50571569999999999</v>
      </c>
      <c r="F5001" t="s">
        <v>52</v>
      </c>
      <c r="G5001">
        <v>-364.83670000000001</v>
      </c>
      <c r="H5001" s="1">
        <v>1.037079E-6</v>
      </c>
      <c r="I5001">
        <v>215.6738</v>
      </c>
      <c r="J5001">
        <v>-410.52850000000001</v>
      </c>
      <c r="K5001">
        <v>1.121283</v>
      </c>
      <c r="L5001">
        <v>214.72389999999999</v>
      </c>
      <c r="M5001">
        <v>0.99993779999999999</v>
      </c>
      <c r="N5001">
        <v>-1.114766E-2</v>
      </c>
      <c r="O5001">
        <v>3.5516749999999999E-4</v>
      </c>
      <c r="P5001">
        <v>0.99052090000000004</v>
      </c>
      <c r="Q5001">
        <v>0.13225129999999999</v>
      </c>
      <c r="R5001">
        <v>3.7121399999999999E-2</v>
      </c>
      <c r="S5001">
        <v>3.0360719999999999</v>
      </c>
      <c r="T5001">
        <v>-7.4091669999999998E-2</v>
      </c>
      <c r="U5001">
        <v>6.2774659999999996E-2</v>
      </c>
      <c r="V5001">
        <v>-3.6774460000000002E-2</v>
      </c>
      <c r="W5001">
        <v>0.14328379999999999</v>
      </c>
      <c r="X5001">
        <v>0.98899820000000005</v>
      </c>
      <c r="Y5001">
        <v>-2.0307970000000002E-2</v>
      </c>
      <c r="Z5001">
        <v>3.5625920000000001E-4</v>
      </c>
      <c r="AA5001">
        <v>0.99979370000000001</v>
      </c>
      <c r="AB5001">
        <v>26</v>
      </c>
      <c r="AC5001">
        <v>45.691800000000001</v>
      </c>
      <c r="AD5001">
        <v>-1.121281962921</v>
      </c>
      <c r="AE5001">
        <v>0.94990000000001296</v>
      </c>
      <c r="AF5001">
        <v>-0.93310899776284995</v>
      </c>
      <c r="AG5001">
        <v>-1.121281962921</v>
      </c>
      <c r="AH5001">
        <v>45.664646358205196</v>
      </c>
      <c r="AI5001">
        <v>91.406304917445695</v>
      </c>
      <c r="AJ5001">
        <v>91.170616054305</v>
      </c>
      <c r="AK5001">
        <v>45.6879403416484</v>
      </c>
      <c r="AL5001">
        <v>81.762089744345104</v>
      </c>
      <c r="AM5001">
        <v>92.129479193631795</v>
      </c>
      <c r="AN5001">
        <v>1.00000002392698</v>
      </c>
    </row>
    <row r="5002" spans="1:40" x14ac:dyDescent="0.25">
      <c r="A5002" t="str">
        <f>"20190303162010669"</f>
        <v>20190303162010669</v>
      </c>
      <c r="B5002" t="str">
        <f>"1551601210657084"</f>
        <v>1551601210657084</v>
      </c>
      <c r="C5002" t="s">
        <v>40</v>
      </c>
      <c r="D5002">
        <v>4.5744699999999998</v>
      </c>
      <c r="E5002">
        <v>0.50578990000000001</v>
      </c>
      <c r="F5002" t="s">
        <v>52</v>
      </c>
      <c r="G5002">
        <v>-363.68299999999999</v>
      </c>
      <c r="H5002" s="1">
        <v>4.2310340000000002E-7</v>
      </c>
      <c r="I5002">
        <v>215.6593</v>
      </c>
      <c r="J5002">
        <v>-410.27190000000002</v>
      </c>
      <c r="K5002">
        <v>1.1212799999999901</v>
      </c>
      <c r="L5002">
        <v>214.72399999999999</v>
      </c>
      <c r="M5002">
        <v>0.99993779999999999</v>
      </c>
      <c r="N5002">
        <v>-1.114995E-2</v>
      </c>
      <c r="O5002">
        <v>3.9508380000000001E-4</v>
      </c>
      <c r="P5002">
        <v>0.99058279999999999</v>
      </c>
      <c r="Q5002">
        <v>0.13182859999999999</v>
      </c>
      <c r="R5002">
        <v>3.6971160000000003E-2</v>
      </c>
      <c r="S5002">
        <v>3.0361630000000002</v>
      </c>
      <c r="T5002">
        <v>-7.2672840000000002E-2</v>
      </c>
      <c r="U5002">
        <v>6.0623169999999997E-2</v>
      </c>
      <c r="V5002">
        <v>-3.6584760000000001E-2</v>
      </c>
      <c r="W5002">
        <v>0.1428642</v>
      </c>
      <c r="X5002">
        <v>0.98906590000000005</v>
      </c>
      <c r="Y5002">
        <v>-1.955985E-2</v>
      </c>
      <c r="Z5002">
        <v>3.3806599999999999E-4</v>
      </c>
      <c r="AA5002">
        <v>0.99980860000000005</v>
      </c>
      <c r="AB5002">
        <v>26</v>
      </c>
      <c r="AC5002">
        <v>46.588899999999903</v>
      </c>
      <c r="AD5002">
        <v>-1.12127957689659</v>
      </c>
      <c r="AE5002">
        <v>0.93529999999998303</v>
      </c>
      <c r="AF5002">
        <v>-0.91636167899151999</v>
      </c>
      <c r="AG5002">
        <v>-1.12127957689659</v>
      </c>
      <c r="AH5002">
        <v>46.562305752944297</v>
      </c>
      <c r="AI5002">
        <v>91.379221698871604</v>
      </c>
      <c r="AJ5002">
        <v>91.127454470868997</v>
      </c>
      <c r="AK5002">
        <v>46.584818381603299</v>
      </c>
      <c r="AL5002">
        <v>81.786380675875705</v>
      </c>
      <c r="AM5002">
        <v>92.118359495035406</v>
      </c>
      <c r="AN5002">
        <v>0.99999998942435298</v>
      </c>
    </row>
    <row r="5003" spans="1:40" x14ac:dyDescent="0.25">
      <c r="A5003" t="str">
        <f>"20190303162010691"</f>
        <v>20190303162010691</v>
      </c>
      <c r="B5003" t="str">
        <f>"1551601210677580"</f>
        <v>1551601210677580</v>
      </c>
      <c r="C5003" t="s">
        <v>40</v>
      </c>
      <c r="D5003">
        <v>4.5922390000000002</v>
      </c>
      <c r="E5003">
        <v>0.50588889999999997</v>
      </c>
      <c r="F5003" t="s">
        <v>52</v>
      </c>
      <c r="G5003">
        <v>-364.08019999999999</v>
      </c>
      <c r="H5003" s="1">
        <v>6.344678E-7</v>
      </c>
      <c r="I5003">
        <v>215.63200000000001</v>
      </c>
      <c r="J5003">
        <v>-410.0231</v>
      </c>
      <c r="K5003">
        <v>1.121273</v>
      </c>
      <c r="L5003">
        <v>214.7242</v>
      </c>
      <c r="M5003">
        <v>0.99993779999999999</v>
      </c>
      <c r="N5003">
        <v>-1.1152179999999999E-2</v>
      </c>
      <c r="O5003">
        <v>4.3386770000000002E-4</v>
      </c>
      <c r="P5003">
        <v>0.99058599999999997</v>
      </c>
      <c r="Q5003">
        <v>0.13183499999999901</v>
      </c>
      <c r="R5003">
        <v>3.6866040000000003E-2</v>
      </c>
      <c r="S5003">
        <v>3.0361020000000001</v>
      </c>
      <c r="T5003">
        <v>-7.3699710000000002E-2</v>
      </c>
      <c r="U5003">
        <v>5.967712E-2</v>
      </c>
      <c r="V5003">
        <v>-3.644087E-2</v>
      </c>
      <c r="W5003">
        <v>0.14287269999999999</v>
      </c>
      <c r="X5003">
        <v>0.98907</v>
      </c>
      <c r="Y5003">
        <v>-1.921001E-2</v>
      </c>
      <c r="Z5003">
        <v>3.3456129999999998E-4</v>
      </c>
      <c r="AA5003">
        <v>0.99981540000000002</v>
      </c>
      <c r="AB5003">
        <v>26</v>
      </c>
      <c r="AC5003">
        <v>45.942900000000002</v>
      </c>
      <c r="AD5003">
        <v>-1.1212723655322001</v>
      </c>
      <c r="AE5003">
        <v>0.90780000000000804</v>
      </c>
      <c r="AF5003">
        <v>-0.88733720697867402</v>
      </c>
      <c r="AG5003">
        <v>-1.1212723655322001</v>
      </c>
      <c r="AH5003">
        <v>45.915950762820302</v>
      </c>
      <c r="AI5003">
        <v>91.3986299153445</v>
      </c>
      <c r="AJ5003">
        <v>91.107117427873902</v>
      </c>
      <c r="AK5003">
        <v>45.938210168555102</v>
      </c>
      <c r="AL5003">
        <v>81.785888744132507</v>
      </c>
      <c r="AM5003">
        <v>92.110026670342705</v>
      </c>
      <c r="AN5003">
        <v>1.00000000515582</v>
      </c>
    </row>
    <row r="5004" spans="1:40" x14ac:dyDescent="0.25">
      <c r="A5004" t="str">
        <f>"20190303162010713"</f>
        <v>20190303162010713</v>
      </c>
      <c r="B5004" t="str">
        <f>"1551601210706860"</f>
        <v>1551601210706860</v>
      </c>
      <c r="C5004" t="s">
        <v>40</v>
      </c>
      <c r="D5004">
        <v>4.622128</v>
      </c>
      <c r="E5004">
        <v>0.50606049999999903</v>
      </c>
      <c r="F5004" t="s">
        <v>52</v>
      </c>
      <c r="G5004">
        <v>-364.08909999999997</v>
      </c>
      <c r="H5004" s="1">
        <v>6.3919199999999899E-7</v>
      </c>
      <c r="I5004">
        <v>215.60990000000001</v>
      </c>
      <c r="J5004">
        <v>-409.7636</v>
      </c>
      <c r="K5004">
        <v>1.1212759999999999</v>
      </c>
      <c r="L5004">
        <v>214.7244</v>
      </c>
      <c r="M5004">
        <v>0.99993759999999998</v>
      </c>
      <c r="N5004">
        <v>-1.1154509999999999E-2</v>
      </c>
      <c r="O5004">
        <v>4.7360799999999998E-4</v>
      </c>
      <c r="P5004">
        <v>0.99064730000000001</v>
      </c>
      <c r="Q5004">
        <v>0.13126260000000001</v>
      </c>
      <c r="R5004">
        <v>3.7255980000000001E-2</v>
      </c>
      <c r="S5004">
        <v>3.0362239999999998</v>
      </c>
      <c r="T5004">
        <v>-7.4115630000000002E-2</v>
      </c>
      <c r="U5004">
        <v>5.8547969999999998E-2</v>
      </c>
      <c r="V5004">
        <v>-3.6791499999999998E-2</v>
      </c>
      <c r="W5004">
        <v>0.14230400000000001</v>
      </c>
      <c r="X5004">
        <v>0.98913899999999999</v>
      </c>
      <c r="Y5004">
        <v>-1.8797899999999999E-2</v>
      </c>
      <c r="Z5004">
        <v>3.2797760000000001E-4</v>
      </c>
      <c r="AA5004">
        <v>0.99982329999999997</v>
      </c>
      <c r="AB5004">
        <v>26</v>
      </c>
      <c r="AC5004">
        <v>45.674500000000002</v>
      </c>
      <c r="AD5004">
        <v>-1.1212753608079999</v>
      </c>
      <c r="AE5004">
        <v>0.88550000000000695</v>
      </c>
      <c r="AF5004">
        <v>-0.86334663011437496</v>
      </c>
      <c r="AG5004">
        <v>-1.1212753608079999</v>
      </c>
      <c r="AH5004">
        <v>45.647414457677399</v>
      </c>
      <c r="AI5004">
        <v>91.406869357167693</v>
      </c>
      <c r="AJ5004">
        <v>91.083527331092597</v>
      </c>
      <c r="AK5004">
        <v>45.669344997596198</v>
      </c>
      <c r="AL5004">
        <v>81.818809208093995</v>
      </c>
      <c r="AM5004">
        <v>92.130162027022607</v>
      </c>
      <c r="AN5004">
        <v>1.00000000210462</v>
      </c>
    </row>
    <row r="5005" spans="1:40" x14ac:dyDescent="0.25">
      <c r="A5005" t="str">
        <f>"20190303162010736"</f>
        <v>20190303162010736</v>
      </c>
      <c r="B5005" t="str">
        <f>"1551601210727355"</f>
        <v>1551601210727355</v>
      </c>
      <c r="C5005" t="s">
        <v>40</v>
      </c>
      <c r="D5005">
        <v>4.6387739999999997</v>
      </c>
      <c r="E5005">
        <v>0.50616269999999997</v>
      </c>
      <c r="F5005" t="s">
        <v>52</v>
      </c>
      <c r="G5005">
        <v>-364.58240000000001</v>
      </c>
      <c r="H5005" s="1">
        <v>9.0172669999999996E-7</v>
      </c>
      <c r="I5005">
        <v>215.5977</v>
      </c>
      <c r="J5005">
        <v>-409.50439999999998</v>
      </c>
      <c r="K5005">
        <v>1.1212740000000001</v>
      </c>
      <c r="L5005">
        <v>214.72450000000001</v>
      </c>
      <c r="M5005">
        <v>0.99993770000000004</v>
      </c>
      <c r="N5005">
        <v>-1.1156859999999999E-2</v>
      </c>
      <c r="O5005">
        <v>5.131701E-4</v>
      </c>
      <c r="P5005">
        <v>0.99063020000000002</v>
      </c>
      <c r="Q5005">
        <v>0.1313946</v>
      </c>
      <c r="R5005">
        <v>3.7250730000000003E-2</v>
      </c>
      <c r="S5005">
        <v>3.0360719999999999</v>
      </c>
      <c r="T5005">
        <v>-7.5347070000000002E-2</v>
      </c>
      <c r="U5005">
        <v>5.8685300000000003E-2</v>
      </c>
      <c r="V5005">
        <v>-3.6746929999999997E-2</v>
      </c>
      <c r="W5005">
        <v>0.14243810000000001</v>
      </c>
      <c r="X5005">
        <v>0.98912140000000004</v>
      </c>
      <c r="Y5005">
        <v>-1.8804290000000001E-2</v>
      </c>
      <c r="Z5005">
        <v>3.3120509999999998E-4</v>
      </c>
      <c r="AA5005">
        <v>0.99982320000000002</v>
      </c>
      <c r="AB5005">
        <v>26</v>
      </c>
      <c r="AC5005">
        <v>44.921999999999898</v>
      </c>
      <c r="AD5005">
        <v>-1.1212730982732999</v>
      </c>
      <c r="AE5005">
        <v>0.87319999999999698</v>
      </c>
      <c r="AF5005">
        <v>-0.84961669305145104</v>
      </c>
      <c r="AG5005">
        <v>-1.1212730982732999</v>
      </c>
      <c r="AH5005">
        <v>44.894482445538301</v>
      </c>
      <c r="AI5005">
        <v>91.430451256187993</v>
      </c>
      <c r="AJ5005">
        <v>91.084178675467697</v>
      </c>
      <c r="AK5005">
        <v>44.916518742426703</v>
      </c>
      <c r="AL5005">
        <v>81.811047137504502</v>
      </c>
      <c r="AM5005">
        <v>92.127621699226395</v>
      </c>
      <c r="AN5005">
        <v>1.00000004656699</v>
      </c>
    </row>
    <row r="5006" spans="1:40" x14ac:dyDescent="0.25">
      <c r="A5006" t="str">
        <f>"20190303162010757"</f>
        <v>20190303162010757</v>
      </c>
      <c r="B5006" t="str">
        <f>"1551601210746876"</f>
        <v>1551601210746876</v>
      </c>
      <c r="C5006" t="s">
        <v>40</v>
      </c>
      <c r="D5006">
        <v>4.5744089999999904</v>
      </c>
      <c r="E5006">
        <v>0.50616430000000001</v>
      </c>
      <c r="F5006" t="s">
        <v>52</v>
      </c>
      <c r="G5006">
        <v>-364.11660000000001</v>
      </c>
      <c r="H5006" s="1">
        <v>6.5385419999999998E-7</v>
      </c>
      <c r="I5006">
        <v>215.59020000000001</v>
      </c>
      <c r="J5006">
        <v>-409.25130000000001</v>
      </c>
      <c r="K5006">
        <v>1.1212759999999999</v>
      </c>
      <c r="L5006">
        <v>214.72470000000001</v>
      </c>
      <c r="M5006">
        <v>0.99993770000000004</v>
      </c>
      <c r="N5006">
        <v>-1.1159270000000001E-2</v>
      </c>
      <c r="O5006">
        <v>5.5160059999999995E-4</v>
      </c>
      <c r="P5006">
        <v>0.99059189999999997</v>
      </c>
      <c r="Q5006">
        <v>0.13149559999999999</v>
      </c>
      <c r="R5006">
        <v>3.7902360000000003E-2</v>
      </c>
      <c r="S5006">
        <v>3.036133</v>
      </c>
      <c r="T5006">
        <v>-7.5005530000000001E-2</v>
      </c>
      <c r="U5006">
        <v>5.7907100000000003E-2</v>
      </c>
      <c r="V5006">
        <v>-3.7360450000000003E-2</v>
      </c>
      <c r="W5006">
        <v>0.14254049999999999</v>
      </c>
      <c r="X5006">
        <v>0.98908359999999995</v>
      </c>
      <c r="Y5006">
        <v>-1.8509500000000002E-2</v>
      </c>
      <c r="Z5006">
        <v>3.2441929999999999E-4</v>
      </c>
      <c r="AA5006">
        <v>0.99982859999999996</v>
      </c>
      <c r="AB5006">
        <v>26</v>
      </c>
      <c r="AC5006">
        <v>45.134700000000002</v>
      </c>
      <c r="AD5006">
        <v>-1.1212753461458</v>
      </c>
      <c r="AE5006">
        <v>0.86549999999999705</v>
      </c>
      <c r="AF5006">
        <v>-0.84008371112888003</v>
      </c>
      <c r="AG5006">
        <v>-1.1212753461458</v>
      </c>
      <c r="AH5006">
        <v>45.107341996013503</v>
      </c>
      <c r="AI5006">
        <v>91.423714687733096</v>
      </c>
      <c r="AJ5006">
        <v>91.0669590579447</v>
      </c>
      <c r="AK5006">
        <v>45.129095946948702</v>
      </c>
      <c r="AL5006">
        <v>81.805119039060997</v>
      </c>
      <c r="AM5006">
        <v>92.163193202617805</v>
      </c>
      <c r="AN5006">
        <v>0.99999998257670597</v>
      </c>
    </row>
    <row r="5007" spans="1:40" x14ac:dyDescent="0.25">
      <c r="A5007" t="str">
        <f>"20190303162010781"</f>
        <v>20190303162010781</v>
      </c>
      <c r="B5007" t="str">
        <f>"1551601210767372"</f>
        <v>1551601210767372</v>
      </c>
      <c r="C5007" t="s">
        <v>40</v>
      </c>
      <c r="D5007">
        <v>4.6406010000000002</v>
      </c>
      <c r="E5007">
        <v>0.50623909999999905</v>
      </c>
      <c r="F5007" t="s">
        <v>52</v>
      </c>
      <c r="G5007">
        <v>-363.98160000000001</v>
      </c>
      <c r="H5007" s="1">
        <v>5.8202219999999995E-7</v>
      </c>
      <c r="I5007">
        <v>215.62450000000001</v>
      </c>
      <c r="J5007">
        <v>-408.9896</v>
      </c>
      <c r="K5007">
        <v>1.121264</v>
      </c>
      <c r="L5007">
        <v>214.72489999999999</v>
      </c>
      <c r="M5007">
        <v>0.99993759999999998</v>
      </c>
      <c r="N5007">
        <v>-1.116175E-2</v>
      </c>
      <c r="O5007">
        <v>5.9122340000000002E-4</v>
      </c>
      <c r="P5007">
        <v>0.99056840000000002</v>
      </c>
      <c r="Q5007">
        <v>0.13162550000000001</v>
      </c>
      <c r="R5007">
        <v>3.806847E-2</v>
      </c>
      <c r="S5007">
        <v>3.0361630000000002</v>
      </c>
      <c r="T5007">
        <v>-7.5201989999999996E-2</v>
      </c>
      <c r="U5007">
        <v>6.0348510000000001E-2</v>
      </c>
      <c r="V5007">
        <v>-3.748754E-2</v>
      </c>
      <c r="W5007">
        <v>0.1426731</v>
      </c>
      <c r="X5007">
        <v>0.98905969999999999</v>
      </c>
      <c r="Y5007">
        <v>-1.9272979999999999E-2</v>
      </c>
      <c r="Z5007">
        <v>3.381797E-4</v>
      </c>
      <c r="AA5007">
        <v>0.99981419999999999</v>
      </c>
      <c r="AB5007">
        <v>26</v>
      </c>
      <c r="AC5007">
        <v>45.007999999999903</v>
      </c>
      <c r="AD5007">
        <v>-1.1212634179778</v>
      </c>
      <c r="AE5007">
        <v>0.89960000000002005</v>
      </c>
      <c r="AF5007">
        <v>-0.87244714954329206</v>
      </c>
      <c r="AG5007">
        <v>-1.1212634179778</v>
      </c>
      <c r="AH5007">
        <v>44.9806186573867</v>
      </c>
      <c r="AI5007">
        <v>91.427687926263502</v>
      </c>
      <c r="AJ5007">
        <v>91.111173520100294</v>
      </c>
      <c r="AK5007">
        <v>45.003049346488602</v>
      </c>
      <c r="AL5007">
        <v>81.797443390219499</v>
      </c>
      <c r="AM5007">
        <v>92.170597165589101</v>
      </c>
      <c r="AN5007">
        <v>1.0000000096414701</v>
      </c>
    </row>
    <row r="5008" spans="1:40" x14ac:dyDescent="0.25">
      <c r="A5008" t="str">
        <f>"20190303162010804"</f>
        <v>20190303162010804</v>
      </c>
      <c r="B5008" t="str">
        <f>"1551601210797628"</f>
        <v>1551601210797628</v>
      </c>
      <c r="C5008" t="s">
        <v>40</v>
      </c>
      <c r="D5008">
        <v>4.6490530000000003</v>
      </c>
      <c r="E5008">
        <v>0.50631599999999999</v>
      </c>
      <c r="F5008" t="s">
        <v>52</v>
      </c>
      <c r="G5008">
        <v>-363.41370000000001</v>
      </c>
      <c r="H5008" s="1">
        <v>2.7978749999999998E-7</v>
      </c>
      <c r="I5008">
        <v>215.62989999999999</v>
      </c>
      <c r="J5008">
        <v>-408.71129999999999</v>
      </c>
      <c r="K5008">
        <v>1.121267</v>
      </c>
      <c r="L5008">
        <v>214.7251</v>
      </c>
      <c r="M5008">
        <v>0.99993770000000004</v>
      </c>
      <c r="N5008">
        <v>-1.116433E-2</v>
      </c>
      <c r="O5008">
        <v>6.3334890000000003E-4</v>
      </c>
      <c r="P5008">
        <v>0.9906258</v>
      </c>
      <c r="Q5008">
        <v>0.13103119999999999</v>
      </c>
      <c r="R5008">
        <v>3.8622490000000002E-2</v>
      </c>
      <c r="S5008">
        <v>3.0361630000000002</v>
      </c>
      <c r="T5008">
        <v>-7.4696059999999995E-2</v>
      </c>
      <c r="U5008">
        <v>6.0287479999999997E-2</v>
      </c>
      <c r="V5008">
        <v>-3.7999669999999999E-2</v>
      </c>
      <c r="W5008">
        <v>0.14208219999999999</v>
      </c>
      <c r="X5008">
        <v>0.98912520000000004</v>
      </c>
      <c r="Y5008">
        <v>-1.9210890000000001E-2</v>
      </c>
      <c r="Z5008">
        <v>3.3502329999999999E-4</v>
      </c>
      <c r="AA5008">
        <v>0.99981540000000002</v>
      </c>
      <c r="AB5008">
        <v>26</v>
      </c>
      <c r="AC5008">
        <v>45.297599999999903</v>
      </c>
      <c r="AD5008">
        <v>-1.1212667202125</v>
      </c>
      <c r="AE5008">
        <v>0.90479999999999405</v>
      </c>
      <c r="AF5008">
        <v>-0.87557257811570799</v>
      </c>
      <c r="AG5008">
        <v>-1.1212667202125</v>
      </c>
      <c r="AH5008">
        <v>45.270436617878403</v>
      </c>
      <c r="AI5008">
        <v>91.418557410899993</v>
      </c>
      <c r="AJ5008">
        <v>91.108015809649601</v>
      </c>
      <c r="AK5008">
        <v>45.29278417111</v>
      </c>
      <c r="AL5008">
        <v>81.831647798726095</v>
      </c>
      <c r="AM5008">
        <v>92.200075926626496</v>
      </c>
      <c r="AN5008">
        <v>0.99999999387599403</v>
      </c>
    </row>
    <row r="5009" spans="1:40" x14ac:dyDescent="0.25">
      <c r="A5009" t="str">
        <f>"20190303162010825"</f>
        <v>20190303162010825</v>
      </c>
      <c r="B5009" t="str">
        <f>"1551601210817148"</f>
        <v>1551601210817148</v>
      </c>
      <c r="C5009" t="s">
        <v>40</v>
      </c>
      <c r="D5009">
        <v>4.6568019999999999</v>
      </c>
      <c r="E5009">
        <v>0.50633649999999997</v>
      </c>
      <c r="F5009" t="s">
        <v>52</v>
      </c>
      <c r="G5009">
        <v>-364.19830000000002</v>
      </c>
      <c r="H5009" s="1">
        <v>6.9733119999999997E-7</v>
      </c>
      <c r="I5009">
        <v>215.62039999999999</v>
      </c>
      <c r="J5009">
        <v>-408.46510000000001</v>
      </c>
      <c r="K5009">
        <v>1.121273</v>
      </c>
      <c r="L5009">
        <v>214.7253</v>
      </c>
      <c r="M5009">
        <v>0.99993750000000003</v>
      </c>
      <c r="N5009">
        <v>-1.116674E-2</v>
      </c>
      <c r="O5009">
        <v>6.7053000000000002E-4</v>
      </c>
      <c r="P5009">
        <v>0.99066469999999995</v>
      </c>
      <c r="Q5009">
        <v>0.1307391</v>
      </c>
      <c r="R5009">
        <v>3.8612540000000001E-2</v>
      </c>
      <c r="S5009">
        <v>3.036133</v>
      </c>
      <c r="T5009">
        <v>-7.6479080000000005E-2</v>
      </c>
      <c r="U5009">
        <v>6.1065670000000002E-2</v>
      </c>
      <c r="V5009">
        <v>-3.7952689999999997E-2</v>
      </c>
      <c r="W5009">
        <v>0.14179229999999901</v>
      </c>
      <c r="X5009">
        <v>0.98916859999999995</v>
      </c>
      <c r="Y5009">
        <v>-1.9429640000000001E-2</v>
      </c>
      <c r="Z5009">
        <v>3.4377190000000002E-4</v>
      </c>
      <c r="AA5009">
        <v>0.99981120000000001</v>
      </c>
      <c r="AB5009">
        <v>26</v>
      </c>
      <c r="AC5009">
        <v>44.266799999999897</v>
      </c>
      <c r="AD5009">
        <v>-1.1212723026688001</v>
      </c>
      <c r="AE5009">
        <v>0.89509999999998502</v>
      </c>
      <c r="AF5009">
        <v>-0.86486106268344098</v>
      </c>
      <c r="AG5009">
        <v>-1.1212723026688001</v>
      </c>
      <c r="AH5009">
        <v>44.239018019724298</v>
      </c>
      <c r="AI5009">
        <v>91.451617969644204</v>
      </c>
      <c r="AJ5009">
        <v>91.119974617749904</v>
      </c>
      <c r="AK5009">
        <v>44.261675878619599</v>
      </c>
      <c r="AL5009">
        <v>81.848427708554794</v>
      </c>
      <c r="AM5009">
        <v>92.197262267229306</v>
      </c>
      <c r="AN5009">
        <v>0.99999999112174298</v>
      </c>
    </row>
    <row r="5010" spans="1:40" x14ac:dyDescent="0.25">
      <c r="A5010" t="str">
        <f>"20190303162010849"</f>
        <v>20190303162010849</v>
      </c>
      <c r="B5010" t="str">
        <f>"1551601210837643"</f>
        <v>1551601210837643</v>
      </c>
      <c r="C5010" t="s">
        <v>40</v>
      </c>
      <c r="D5010">
        <v>4.9418579999999999</v>
      </c>
      <c r="E5010">
        <v>0.5176328</v>
      </c>
      <c r="F5010" t="s">
        <v>52</v>
      </c>
      <c r="G5010">
        <v>-364.69639999999998</v>
      </c>
      <c r="H5010" s="1">
        <v>9.6237619999999995E-7</v>
      </c>
      <c r="I5010">
        <v>215.60470000000001</v>
      </c>
      <c r="J5010">
        <v>-408.19400000000002</v>
      </c>
      <c r="K5010">
        <v>1.1212679999999999</v>
      </c>
      <c r="L5010">
        <v>214.72550000000001</v>
      </c>
      <c r="M5010">
        <v>0.99993750000000003</v>
      </c>
      <c r="N5010">
        <v>-1.1169399999999999E-2</v>
      </c>
      <c r="O5010">
        <v>7.1164109999999998E-4</v>
      </c>
      <c r="P5010">
        <v>0.9906083</v>
      </c>
      <c r="Q5010">
        <v>0.1313521</v>
      </c>
      <c r="R5010">
        <v>3.7976469999999998E-2</v>
      </c>
      <c r="S5010">
        <v>3.0361940000000001</v>
      </c>
      <c r="T5010">
        <v>-7.778156E-2</v>
      </c>
      <c r="U5010">
        <v>6.1004639999999999E-2</v>
      </c>
      <c r="V5010">
        <v>-3.7276280000000002E-2</v>
      </c>
      <c r="W5010">
        <v>0.14240739999999999</v>
      </c>
      <c r="X5010">
        <v>0.98910600000000004</v>
      </c>
      <c r="Y5010">
        <v>-1.9367829999999999E-2</v>
      </c>
      <c r="Z5010">
        <v>3.4594239999999999E-4</v>
      </c>
      <c r="AA5010">
        <v>0.99981240000000005</v>
      </c>
      <c r="AB5010">
        <v>26</v>
      </c>
      <c r="AC5010">
        <v>43.497599999999998</v>
      </c>
      <c r="AD5010">
        <v>-1.1212670376238001</v>
      </c>
      <c r="AE5010">
        <v>0.87919999999999698</v>
      </c>
      <c r="AF5010">
        <v>-0.84768012675375903</v>
      </c>
      <c r="AG5010">
        <v>-1.1212670376238001</v>
      </c>
      <c r="AH5010">
        <v>43.469341613226703</v>
      </c>
      <c r="AI5010">
        <v>91.477303782739995</v>
      </c>
      <c r="AJ5010">
        <v>91.117162965423503</v>
      </c>
      <c r="AK5010">
        <v>43.492062053372003</v>
      </c>
      <c r="AL5010">
        <v>81.812824129546499</v>
      </c>
      <c r="AM5010">
        <v>92.158275489016404</v>
      </c>
      <c r="AN5010">
        <v>1.00000003393069</v>
      </c>
    </row>
    <row r="5011" spans="1:40" x14ac:dyDescent="0.25">
      <c r="A5011" t="str">
        <f>"20190303162010869"</f>
        <v>20190303162010869</v>
      </c>
      <c r="B5011" t="str">
        <f>"1551601210857163"</f>
        <v>1551601210857163</v>
      </c>
      <c r="C5011" t="s">
        <v>40</v>
      </c>
      <c r="D5011">
        <v>4.7830909999999998</v>
      </c>
      <c r="E5011">
        <v>0.54196820000000001</v>
      </c>
      <c r="F5011" t="s">
        <v>52</v>
      </c>
      <c r="G5011">
        <v>-392.7559</v>
      </c>
      <c r="H5011" s="1">
        <v>-7.0256679999999996E-8</v>
      </c>
      <c r="I5011">
        <v>214.56639999999999</v>
      </c>
      <c r="J5011">
        <v>-407.9461</v>
      </c>
      <c r="K5011">
        <v>1.1212740000000001</v>
      </c>
      <c r="L5011">
        <v>214.72569999999999</v>
      </c>
      <c r="M5011">
        <v>0.99993739999999998</v>
      </c>
      <c r="N5011">
        <v>-1.1171810000000001E-2</v>
      </c>
      <c r="O5011">
        <v>7.4953509999999999E-4</v>
      </c>
      <c r="P5011">
        <v>0.99067090000000002</v>
      </c>
      <c r="Q5011">
        <v>0.13109179999999901</v>
      </c>
      <c r="R5011">
        <v>3.7236449999999997E-2</v>
      </c>
      <c r="S5011">
        <v>3.0591430000000002</v>
      </c>
      <c r="T5011">
        <v>-0.2221853</v>
      </c>
      <c r="U5011">
        <v>-3.1524660000000003E-2</v>
      </c>
      <c r="V5011">
        <v>-3.6498950000000002E-2</v>
      </c>
      <c r="W5011">
        <v>0.14215059999999999</v>
      </c>
      <c r="X5011">
        <v>0.98917189999999999</v>
      </c>
      <c r="Y5011">
        <v>1.101914E-2</v>
      </c>
      <c r="Z5011">
        <v>-5.0727279999999997E-4</v>
      </c>
      <c r="AA5011">
        <v>0.99993909999999997</v>
      </c>
      <c r="AB5011">
        <v>26</v>
      </c>
      <c r="AC5011">
        <v>15.190200000000001</v>
      </c>
      <c r="AD5011">
        <v>-1.1212740702566799</v>
      </c>
      <c r="AE5011">
        <v>-0.159300000000001</v>
      </c>
      <c r="AF5011">
        <v>0.16976136802469299</v>
      </c>
      <c r="AG5011">
        <v>-1.1212740702566799</v>
      </c>
      <c r="AH5011">
        <v>15.107766989285199</v>
      </c>
      <c r="AI5011">
        <v>94.244351045117995</v>
      </c>
      <c r="AJ5011">
        <v>89.356211902211399</v>
      </c>
      <c r="AK5011">
        <v>15.1502705541927</v>
      </c>
      <c r="AL5011">
        <v>81.827688689867998</v>
      </c>
      <c r="AM5011">
        <v>92.113169101006804</v>
      </c>
      <c r="AN5011">
        <v>1.0000000070905299</v>
      </c>
    </row>
    <row r="5012" spans="1:40" x14ac:dyDescent="0.25">
      <c r="A5012" t="str">
        <f>"20190303162010894"</f>
        <v>20190303162010894</v>
      </c>
      <c r="B5012" t="str">
        <f>"1551601210887420"</f>
        <v>1551601210887420</v>
      </c>
      <c r="C5012" t="s">
        <v>40</v>
      </c>
      <c r="D5012">
        <v>4.7927920000000004</v>
      </c>
      <c r="E5012">
        <v>0.54035029999999995</v>
      </c>
      <c r="F5012" t="s">
        <v>42</v>
      </c>
      <c r="G5012">
        <v>-407.1053</v>
      </c>
      <c r="H5012">
        <v>0.91786029999999996</v>
      </c>
      <c r="I5012">
        <v>214.6636</v>
      </c>
      <c r="J5012">
        <v>-407.6739</v>
      </c>
      <c r="K5012">
        <v>1.121273</v>
      </c>
      <c r="L5012">
        <v>214.726</v>
      </c>
      <c r="M5012">
        <v>0.99993719999999997</v>
      </c>
      <c r="N5012">
        <v>-1.1174460000000001E-2</v>
      </c>
      <c r="O5012">
        <v>7.9136069999999998E-4</v>
      </c>
      <c r="P5012">
        <v>0.99069180000000001</v>
      </c>
      <c r="Q5012">
        <v>0.1310849</v>
      </c>
      <c r="R5012">
        <v>3.6696479999999997E-2</v>
      </c>
      <c r="S5012">
        <v>3.1373600000000001</v>
      </c>
      <c r="T5012">
        <v>-0.75899530000000004</v>
      </c>
      <c r="U5012">
        <v>-0.23153689999999999</v>
      </c>
      <c r="V5012">
        <v>-3.591739E-2</v>
      </c>
      <c r="W5012">
        <v>0.14214640000000001</v>
      </c>
      <c r="X5012">
        <v>0.98919380000000001</v>
      </c>
      <c r="Y5012">
        <v>7.2197839999999999E-2</v>
      </c>
      <c r="Z5012">
        <v>-9.1874320000000006E-3</v>
      </c>
      <c r="AA5012">
        <v>0.99734800000000001</v>
      </c>
      <c r="AB5012">
        <v>26</v>
      </c>
      <c r="AC5012">
        <v>0.56860000000000299</v>
      </c>
      <c r="AD5012">
        <v>-0.203412699999999</v>
      </c>
      <c r="AE5012">
        <v>-6.2399999999996597E-2</v>
      </c>
      <c r="AF5012">
        <v>5.5794380872900201E-2</v>
      </c>
      <c r="AG5012">
        <v>-0.203412699999999</v>
      </c>
      <c r="AH5012">
        <v>0.50472444958407703</v>
      </c>
      <c r="AI5012">
        <v>111.829914836277</v>
      </c>
      <c r="AJ5012">
        <v>83.691893459241498</v>
      </c>
      <c r="AK5012">
        <v>0.54702514518642498</v>
      </c>
      <c r="AL5012">
        <v>81.827931873726598</v>
      </c>
      <c r="AM5012">
        <v>92.079482492467605</v>
      </c>
      <c r="AN5012">
        <v>1.0000000159478999</v>
      </c>
    </row>
    <row r="5013" spans="1:40" x14ac:dyDescent="0.25">
      <c r="A5013" t="str">
        <f>"20190303162010915"</f>
        <v>20190303162010915</v>
      </c>
      <c r="B5013" t="str">
        <f>"1551601210906939"</f>
        <v>1551601210906939</v>
      </c>
      <c r="C5013" t="s">
        <v>40</v>
      </c>
      <c r="D5013">
        <v>4.7837259999999997</v>
      </c>
      <c r="E5013">
        <v>0.53986350000000005</v>
      </c>
      <c r="F5013" t="s">
        <v>42</v>
      </c>
      <c r="G5013">
        <v>-406.88729999999998</v>
      </c>
      <c r="H5013">
        <v>0.88247109999999995</v>
      </c>
      <c r="I5013">
        <v>214.67019999999999</v>
      </c>
      <c r="J5013">
        <v>-407.41930000000002</v>
      </c>
      <c r="K5013">
        <v>1.1212709999999999</v>
      </c>
      <c r="L5013">
        <v>214.72620000000001</v>
      </c>
      <c r="M5013">
        <v>0.99993719999999997</v>
      </c>
      <c r="N5013">
        <v>-1.117698E-2</v>
      </c>
      <c r="O5013">
        <v>8.3044539999999902E-4</v>
      </c>
      <c r="P5013">
        <v>0.9907224</v>
      </c>
      <c r="Q5013">
        <v>0.13090570000000001</v>
      </c>
      <c r="R5013">
        <v>3.6507730000000002E-2</v>
      </c>
      <c r="S5013">
        <v>3.1635439999999999</v>
      </c>
      <c r="T5013">
        <v>-0.96033809999999997</v>
      </c>
      <c r="U5013">
        <v>-0.2231445</v>
      </c>
      <c r="V5013">
        <v>-3.5689529999999997E-2</v>
      </c>
      <c r="W5013">
        <v>0.14197029999999999</v>
      </c>
      <c r="X5013">
        <v>0.98922730000000003</v>
      </c>
      <c r="Y5013">
        <v>6.7988670000000001E-2</v>
      </c>
      <c r="Z5013">
        <v>-1.070663E-2</v>
      </c>
      <c r="AA5013">
        <v>0.99762859999999998</v>
      </c>
      <c r="AB5013">
        <v>26</v>
      </c>
      <c r="AC5013">
        <v>0.532000000000039</v>
      </c>
      <c r="AD5013">
        <v>-0.23879989999999901</v>
      </c>
      <c r="AE5013">
        <v>-5.6000000000011603E-2</v>
      </c>
      <c r="AF5013">
        <v>4.7063154059510497E-2</v>
      </c>
      <c r="AG5013">
        <v>-0.23879989999999901</v>
      </c>
      <c r="AH5013">
        <v>0.44356130026392698</v>
      </c>
      <c r="AI5013">
        <v>118.163014221084</v>
      </c>
      <c r="AJ5013">
        <v>83.943410048632998</v>
      </c>
      <c r="AK5013">
        <v>0.50595153898556799</v>
      </c>
      <c r="AL5013">
        <v>81.838124739856397</v>
      </c>
      <c r="AM5013">
        <v>92.066231808747403</v>
      </c>
      <c r="AN5013">
        <v>0.99999997984949995</v>
      </c>
    </row>
    <row r="5014" spans="1:40" x14ac:dyDescent="0.25">
      <c r="A5014" t="str">
        <f>"20190303162010938"</f>
        <v>20190303162010938</v>
      </c>
      <c r="B5014" t="str">
        <f>"1551601210927436"</f>
        <v>1551601210927436</v>
      </c>
      <c r="C5014" t="s">
        <v>40</v>
      </c>
      <c r="D5014">
        <v>4.7441250000000004</v>
      </c>
      <c r="E5014">
        <v>0.53994519999999901</v>
      </c>
      <c r="F5014" t="s">
        <v>42</v>
      </c>
      <c r="G5014">
        <v>-406.65469999999999</v>
      </c>
      <c r="H5014">
        <v>0.88096269999999999</v>
      </c>
      <c r="I5014">
        <v>214.673</v>
      </c>
      <c r="J5014">
        <v>-407.16230000000002</v>
      </c>
      <c r="K5014">
        <v>1.121275</v>
      </c>
      <c r="L5014">
        <v>214.72649999999999</v>
      </c>
      <c r="M5014">
        <v>0.99993710000000002</v>
      </c>
      <c r="N5014">
        <v>-1.117956E-2</v>
      </c>
      <c r="O5014">
        <v>8.6947289999999905E-4</v>
      </c>
      <c r="P5014">
        <v>0.99075409999999997</v>
      </c>
      <c r="Q5014">
        <v>0.1306737</v>
      </c>
      <c r="R5014">
        <v>3.6476450000000001E-2</v>
      </c>
      <c r="S5014">
        <v>3.1677550000000001</v>
      </c>
      <c r="T5014">
        <v>-0.99557569999999995</v>
      </c>
      <c r="U5014">
        <v>-0.22023010000000001</v>
      </c>
      <c r="V5014">
        <v>-3.5619480000000002E-2</v>
      </c>
      <c r="W5014">
        <v>0.141740899999999</v>
      </c>
      <c r="X5014">
        <v>0.9892628</v>
      </c>
      <c r="Y5014">
        <v>6.6854549999999999E-2</v>
      </c>
      <c r="Z5014">
        <v>-1.088709E-2</v>
      </c>
      <c r="AA5014">
        <v>0.99770329999999996</v>
      </c>
      <c r="AB5014">
        <v>26</v>
      </c>
      <c r="AC5014">
        <v>0.50760000000002403</v>
      </c>
      <c r="AD5014">
        <v>-0.24031230000000001</v>
      </c>
      <c r="AE5014">
        <v>-5.34999999999854E-2</v>
      </c>
      <c r="AF5014">
        <v>4.4153709130461599E-2</v>
      </c>
      <c r="AG5014">
        <v>-0.24031230000000001</v>
      </c>
      <c r="AH5014">
        <v>0.41545789103098302</v>
      </c>
      <c r="AI5014">
        <v>119.90701193827501</v>
      </c>
      <c r="AJ5014">
        <v>83.933535453362097</v>
      </c>
      <c r="AK5014">
        <v>0.481980093760291</v>
      </c>
      <c r="AL5014">
        <v>81.851403314364205</v>
      </c>
      <c r="AM5014">
        <v>92.062105857394798</v>
      </c>
      <c r="AN5014">
        <v>1.00000005877605</v>
      </c>
    </row>
    <row r="5015" spans="1:40" x14ac:dyDescent="0.25">
      <c r="A5015" t="str">
        <f>"20190303162010959"</f>
        <v>20190303162010959</v>
      </c>
      <c r="B5015" t="str">
        <f>"1551601210946956"</f>
        <v>1551601210946956</v>
      </c>
      <c r="C5015" t="s">
        <v>40</v>
      </c>
      <c r="D5015">
        <v>4.7936379999999996</v>
      </c>
      <c r="E5015">
        <v>0.53996659999999996</v>
      </c>
      <c r="F5015" t="s">
        <v>42</v>
      </c>
      <c r="G5015">
        <v>-406.41950000000003</v>
      </c>
      <c r="H5015">
        <v>0.88535799999999998</v>
      </c>
      <c r="I5015">
        <v>214.67429999999999</v>
      </c>
      <c r="J5015">
        <v>-406.90949999999998</v>
      </c>
      <c r="K5015">
        <v>1.1212770000000001</v>
      </c>
      <c r="L5015">
        <v>214.72669999999999</v>
      </c>
      <c r="M5015">
        <v>0.99993710000000002</v>
      </c>
      <c r="N5015">
        <v>-1.11821E-2</v>
      </c>
      <c r="O5015">
        <v>9.0790409999999999E-4</v>
      </c>
      <c r="P5015">
        <v>0.99074640000000003</v>
      </c>
      <c r="Q5015">
        <v>0.13055349999999999</v>
      </c>
      <c r="R5015">
        <v>3.7113550000000002E-2</v>
      </c>
      <c r="S5015">
        <v>3.1688839999999998</v>
      </c>
      <c r="T5015">
        <v>-1.006454</v>
      </c>
      <c r="U5015">
        <v>-0.22123719999999999</v>
      </c>
      <c r="V5015">
        <v>-3.6218710000000001E-2</v>
      </c>
      <c r="W5015">
        <v>0.14162339999999901</v>
      </c>
      <c r="X5015">
        <v>0.98925779999999996</v>
      </c>
      <c r="Y5015">
        <v>6.7100880000000002E-2</v>
      </c>
      <c r="Z5015">
        <v>-1.104421E-2</v>
      </c>
      <c r="AA5015">
        <v>0.99768509999999999</v>
      </c>
      <c r="AB5015">
        <v>26</v>
      </c>
      <c r="AC5015">
        <v>0.48999999999995197</v>
      </c>
      <c r="AD5015">
        <v>-0.23591899999999999</v>
      </c>
      <c r="AE5015">
        <v>-5.2400000000005699E-2</v>
      </c>
      <c r="AF5015">
        <v>4.2991634497481702E-2</v>
      </c>
      <c r="AG5015">
        <v>-0.23591899999999999</v>
      </c>
      <c r="AH5015">
        <v>0.398597690366571</v>
      </c>
      <c r="AI5015">
        <v>120.47508945773301</v>
      </c>
      <c r="AJ5015">
        <v>83.844034661029795</v>
      </c>
      <c r="AK5015">
        <v>0.46517327305352502</v>
      </c>
      <c r="AL5015">
        <v>81.858203598688505</v>
      </c>
      <c r="AM5015">
        <v>92.096776745664897</v>
      </c>
      <c r="AN5015">
        <v>0.99999998862123196</v>
      </c>
    </row>
    <row r="5016" spans="1:40" x14ac:dyDescent="0.25">
      <c r="A5016" t="str">
        <f>"20190303162010982"</f>
        <v>20190303162010982</v>
      </c>
      <c r="B5016" t="str">
        <f>"1551601210977212"</f>
        <v>1551601210977212</v>
      </c>
      <c r="C5016" t="s">
        <v>40</v>
      </c>
      <c r="D5016">
        <v>4.814546</v>
      </c>
      <c r="E5016">
        <v>0.54009289999999999</v>
      </c>
      <c r="F5016" t="s">
        <v>42</v>
      </c>
      <c r="G5016">
        <v>-406.1841</v>
      </c>
      <c r="H5016">
        <v>0.88972320000000005</v>
      </c>
      <c r="I5016">
        <v>214.67660000000001</v>
      </c>
      <c r="J5016">
        <v>-406.64299999999997</v>
      </c>
      <c r="K5016">
        <v>1.1212719999999901</v>
      </c>
      <c r="L5016">
        <v>214.727</v>
      </c>
      <c r="M5016">
        <v>0.99993719999999997</v>
      </c>
      <c r="N5016">
        <v>-1.118481E-2</v>
      </c>
      <c r="O5016">
        <v>9.4818129999999997E-4</v>
      </c>
      <c r="P5016">
        <v>0.99072789999999999</v>
      </c>
      <c r="Q5016">
        <v>0.13038720000000001</v>
      </c>
      <c r="R5016">
        <v>3.8182319999999999E-2</v>
      </c>
      <c r="S5016">
        <v>3.1695250000000001</v>
      </c>
      <c r="T5016">
        <v>-1.0117039999999999</v>
      </c>
      <c r="U5016">
        <v>-0.21905520000000001</v>
      </c>
      <c r="V5016">
        <v>-3.7247429999999998E-2</v>
      </c>
      <c r="W5016">
        <v>0.1414591</v>
      </c>
      <c r="X5016">
        <v>0.98924310000000004</v>
      </c>
      <c r="Y5016">
        <v>6.644187E-2</v>
      </c>
      <c r="Z5016">
        <v>-1.100139E-2</v>
      </c>
      <c r="AA5016">
        <v>0.99772969999999905</v>
      </c>
      <c r="AB5016">
        <v>26</v>
      </c>
      <c r="AC5016">
        <v>0.45890000000002801</v>
      </c>
      <c r="AD5016">
        <v>-0.231548799999999</v>
      </c>
      <c r="AE5016">
        <v>-5.0399999999996198E-2</v>
      </c>
      <c r="AF5016">
        <v>4.0617405949554701E-2</v>
      </c>
      <c r="AG5016">
        <v>-0.231548799999999</v>
      </c>
      <c r="AH5016">
        <v>0.36662402419984302</v>
      </c>
      <c r="AI5016">
        <v>122.117708013637</v>
      </c>
      <c r="AJ5016">
        <v>83.678117102646496</v>
      </c>
      <c r="AK5016">
        <v>0.43552014369945902</v>
      </c>
      <c r="AL5016">
        <v>81.867712957918997</v>
      </c>
      <c r="AM5016">
        <v>92.156308064533107</v>
      </c>
      <c r="AN5016">
        <v>0.99999997945601204</v>
      </c>
    </row>
    <row r="5017" spans="1:40" x14ac:dyDescent="0.25">
      <c r="A5017" t="str">
        <f>"20190303162011005"</f>
        <v>20190303162011005</v>
      </c>
      <c r="B5017" t="str">
        <f>"1551601210997708"</f>
        <v>1551601210997708</v>
      </c>
      <c r="C5017" t="s">
        <v>40</v>
      </c>
      <c r="D5017">
        <v>4.8334780000000004</v>
      </c>
      <c r="E5017">
        <v>0.54020729999999995</v>
      </c>
      <c r="F5017" t="s">
        <v>42</v>
      </c>
      <c r="G5017">
        <v>-405.947</v>
      </c>
      <c r="H5017">
        <v>0.89750030000000003</v>
      </c>
      <c r="I5017">
        <v>214.679</v>
      </c>
      <c r="J5017">
        <v>-406.37290000000002</v>
      </c>
      <c r="K5017">
        <v>1.1212719999999901</v>
      </c>
      <c r="L5017">
        <v>214.72730000000001</v>
      </c>
      <c r="M5017">
        <v>0.99993699999999996</v>
      </c>
      <c r="N5017">
        <v>-1.1187570000000001E-2</v>
      </c>
      <c r="O5017">
        <v>9.8911089999999995E-4</v>
      </c>
      <c r="P5017">
        <v>0.99073029999999995</v>
      </c>
      <c r="Q5017">
        <v>0.13002919999999901</v>
      </c>
      <c r="R5017">
        <v>3.9318970000000002E-2</v>
      </c>
      <c r="S5017">
        <v>3.1705930000000002</v>
      </c>
      <c r="T5017">
        <v>-1.01942</v>
      </c>
      <c r="U5017">
        <v>-0.2166595</v>
      </c>
      <c r="V5017">
        <v>-3.8343259999999997E-2</v>
      </c>
      <c r="W5017">
        <v>0.1411046</v>
      </c>
      <c r="X5017">
        <v>0.98925189999999996</v>
      </c>
      <c r="Y5017">
        <v>6.5697320000000003E-2</v>
      </c>
      <c r="Z5017">
        <v>-1.096711E-2</v>
      </c>
      <c r="AA5017">
        <v>0.99777930000000004</v>
      </c>
      <c r="AB5017">
        <v>26</v>
      </c>
      <c r="AC5017">
        <v>0.425900000000069</v>
      </c>
      <c r="AD5017">
        <v>-0.22377169999999899</v>
      </c>
      <c r="AE5017">
        <v>-4.8300000000011702E-2</v>
      </c>
      <c r="AF5017">
        <v>3.8286346464388901E-2</v>
      </c>
      <c r="AG5017">
        <v>-0.22377169999999899</v>
      </c>
      <c r="AH5017">
        <v>0.33464479546494103</v>
      </c>
      <c r="AI5017">
        <v>123.598091524952</v>
      </c>
      <c r="AJ5017">
        <v>83.473230725881393</v>
      </c>
      <c r="AK5017">
        <v>0.40438441757596599</v>
      </c>
      <c r="AL5017">
        <v>81.888230423631398</v>
      </c>
      <c r="AM5017">
        <v>92.219664985545606</v>
      </c>
      <c r="AN5017">
        <v>1.0000000176910899</v>
      </c>
    </row>
    <row r="5018" spans="1:40" x14ac:dyDescent="0.25">
      <c r="A5018" t="str">
        <f>"20190303162011028"</f>
        <v>20190303162011028</v>
      </c>
      <c r="B5018" t="str">
        <f>"1551601211017227"</f>
        <v>1551601211017227</v>
      </c>
      <c r="C5018" t="s">
        <v>40</v>
      </c>
      <c r="D5018">
        <v>4.8061439999999997</v>
      </c>
      <c r="E5018">
        <v>0.54037899999999905</v>
      </c>
      <c r="F5018" t="s">
        <v>42</v>
      </c>
      <c r="G5018">
        <v>-405.70890000000003</v>
      </c>
      <c r="H5018">
        <v>0.90696200000000005</v>
      </c>
      <c r="I5018">
        <v>214.68209999999999</v>
      </c>
      <c r="J5018">
        <v>-406.10950000000003</v>
      </c>
      <c r="K5018">
        <v>1.1212690000000001</v>
      </c>
      <c r="L5018">
        <v>214.7276</v>
      </c>
      <c r="M5018">
        <v>0.99993690000000002</v>
      </c>
      <c r="N5018">
        <v>-1.119026E-2</v>
      </c>
      <c r="O5018">
        <v>1.0256099999999999E-3</v>
      </c>
      <c r="P5018">
        <v>0.99072099999999996</v>
      </c>
      <c r="Q5018">
        <v>0.12992429999999999</v>
      </c>
      <c r="R5018">
        <v>3.9894949999999998E-2</v>
      </c>
      <c r="S5018">
        <v>3.1708980000000002</v>
      </c>
      <c r="T5018">
        <v>-1.0234490000000001</v>
      </c>
      <c r="U5018">
        <v>-0.21424869999999999</v>
      </c>
      <c r="V5018">
        <v>-3.8883000000000001E-2</v>
      </c>
      <c r="W5018">
        <v>0.14100219999999999</v>
      </c>
      <c r="X5018">
        <v>0.98924540000000005</v>
      </c>
      <c r="Y5018">
        <v>6.4981869999999997E-2</v>
      </c>
      <c r="Z5018">
        <v>-1.090091E-2</v>
      </c>
      <c r="AA5018">
        <v>0.99782689999999996</v>
      </c>
      <c r="AB5018">
        <v>26</v>
      </c>
      <c r="AC5018">
        <v>0.40059999999999701</v>
      </c>
      <c r="AD5018">
        <v>-0.214307</v>
      </c>
      <c r="AE5018">
        <v>-4.5500000000004003E-2</v>
      </c>
      <c r="AF5018">
        <v>3.5796750237064599E-2</v>
      </c>
      <c r="AG5018">
        <v>-0.214307</v>
      </c>
      <c r="AH5018">
        <v>0.31231172049093597</v>
      </c>
      <c r="AI5018">
        <v>124.283519047239</v>
      </c>
      <c r="AJ5018">
        <v>83.461368641526605</v>
      </c>
      <c r="AK5018">
        <v>0.38045697303708798</v>
      </c>
      <c r="AL5018">
        <v>81.894156494205802</v>
      </c>
      <c r="AM5018">
        <v>92.250893022853703</v>
      </c>
      <c r="AN5018">
        <v>0.99999998475749996</v>
      </c>
    </row>
    <row r="5019" spans="1:40" x14ac:dyDescent="0.25">
      <c r="A5019" t="str">
        <f>"20190303162011050"</f>
        <v>20190303162011050</v>
      </c>
      <c r="B5019" t="str">
        <f>"1551601211037723"</f>
        <v>1551601211037723</v>
      </c>
      <c r="C5019" t="s">
        <v>40</v>
      </c>
      <c r="D5019">
        <v>4.8300289999999997</v>
      </c>
      <c r="E5019">
        <v>0.54070439999999997</v>
      </c>
      <c r="F5019" t="s">
        <v>42</v>
      </c>
      <c r="G5019">
        <v>-405.26549999999997</v>
      </c>
      <c r="H5019">
        <v>0.84850449999999999</v>
      </c>
      <c r="I5019">
        <v>214.6705</v>
      </c>
      <c r="J5019">
        <v>-405.85160000000002</v>
      </c>
      <c r="K5019">
        <v>1.1212549999999999</v>
      </c>
      <c r="L5019">
        <v>214.72790000000001</v>
      </c>
      <c r="M5019">
        <v>0.99993690000000002</v>
      </c>
      <c r="N5019">
        <v>-1.1192850000000001E-2</v>
      </c>
      <c r="O5019">
        <v>1.0542049999999999E-3</v>
      </c>
      <c r="P5019">
        <v>0.99072179999999999</v>
      </c>
      <c r="Q5019">
        <v>0.12975529999999999</v>
      </c>
      <c r="R5019">
        <v>4.0423679999999997E-2</v>
      </c>
      <c r="S5019">
        <v>3.1710820000000002</v>
      </c>
      <c r="T5019">
        <v>-1.0249220000000001</v>
      </c>
      <c r="U5019">
        <v>-0.214035</v>
      </c>
      <c r="V5019">
        <v>-3.9381590000000001E-2</v>
      </c>
      <c r="W5019">
        <v>0.14083599999999999</v>
      </c>
      <c r="X5019">
        <v>0.9892493</v>
      </c>
      <c r="Y5019">
        <v>6.4931680000000006E-2</v>
      </c>
      <c r="Z5019">
        <v>-1.09154E-2</v>
      </c>
      <c r="AA5019">
        <v>0.99782999999999999</v>
      </c>
      <c r="AB5019">
        <v>26</v>
      </c>
      <c r="AC5019">
        <v>0.58610000000004403</v>
      </c>
      <c r="AD5019">
        <v>-0.27275049999999901</v>
      </c>
      <c r="AE5019">
        <v>-5.74000000000012E-2</v>
      </c>
      <c r="AF5019">
        <v>4.77707109094248E-2</v>
      </c>
      <c r="AG5019">
        <v>-0.27275049999999901</v>
      </c>
      <c r="AH5019">
        <v>0.48253243722197098</v>
      </c>
      <c r="AI5019">
        <v>119.357675592652</v>
      </c>
      <c r="AJ5019">
        <v>84.346140999924103</v>
      </c>
      <c r="AK5019">
        <v>0.55633841233768599</v>
      </c>
      <c r="AL5019">
        <v>81.903774613703604</v>
      </c>
      <c r="AM5019">
        <v>92.279716597115694</v>
      </c>
      <c r="AN5019">
        <v>0.99999993303870605</v>
      </c>
    </row>
    <row r="5020" spans="1:40" x14ac:dyDescent="0.25">
      <c r="A5020" t="str">
        <f>"20190303162011073"</f>
        <v>20190303162011073</v>
      </c>
      <c r="B5020" t="str">
        <f>"1551601211067004"</f>
        <v>1551601211067004</v>
      </c>
      <c r="C5020" t="s">
        <v>40</v>
      </c>
      <c r="D5020">
        <v>4.7946839999999904</v>
      </c>
      <c r="E5020">
        <v>0.54119729999999999</v>
      </c>
      <c r="F5020" t="s">
        <v>42</v>
      </c>
      <c r="G5020">
        <v>-405.02879999999999</v>
      </c>
      <c r="H5020">
        <v>0.85528649999999995</v>
      </c>
      <c r="I5020">
        <v>214.67189999999999</v>
      </c>
      <c r="J5020">
        <v>-405.57229999999998</v>
      </c>
      <c r="K5020">
        <v>1.121256</v>
      </c>
      <c r="L5020">
        <v>214.72829999999999</v>
      </c>
      <c r="M5020">
        <v>0.99993690000000002</v>
      </c>
      <c r="N5020">
        <v>-1.119565E-2</v>
      </c>
      <c r="O5020">
        <v>1.076986E-3</v>
      </c>
      <c r="P5020">
        <v>0.99075899999999995</v>
      </c>
      <c r="Q5020">
        <v>0.12926679999999999</v>
      </c>
      <c r="R5020">
        <v>4.1072980000000002E-2</v>
      </c>
      <c r="S5020">
        <v>3.171173</v>
      </c>
      <c r="T5020">
        <v>-1.0250900000000001</v>
      </c>
      <c r="U5020">
        <v>-0.2152405</v>
      </c>
      <c r="V5020">
        <v>-4.0006069999999998E-2</v>
      </c>
      <c r="W5020">
        <v>0.14035159999999999</v>
      </c>
      <c r="X5020">
        <v>0.98929319999999998</v>
      </c>
      <c r="Y5020">
        <v>6.5308320000000003E-2</v>
      </c>
      <c r="Z5020">
        <v>-1.0985119999999999E-2</v>
      </c>
      <c r="AA5020">
        <v>0.99780460000000004</v>
      </c>
      <c r="AB5020">
        <v>26</v>
      </c>
      <c r="AC5020">
        <v>0.54349999999999399</v>
      </c>
      <c r="AD5020">
        <v>-0.26596950000000003</v>
      </c>
      <c r="AE5020">
        <v>-5.6399999999996397E-2</v>
      </c>
      <c r="AF5020">
        <v>4.6070131041832399E-2</v>
      </c>
      <c r="AG5020">
        <v>-0.26596950000000003</v>
      </c>
      <c r="AH5020">
        <v>0.43934634053515198</v>
      </c>
      <c r="AI5020">
        <v>121.051069293621</v>
      </c>
      <c r="AJ5020">
        <v>84.013805788815205</v>
      </c>
      <c r="AK5020">
        <v>0.51564274342425398</v>
      </c>
      <c r="AL5020">
        <v>81.931808049097597</v>
      </c>
      <c r="AM5020">
        <v>92.315724712689303</v>
      </c>
      <c r="AN5020">
        <v>1.00000004641282</v>
      </c>
    </row>
    <row r="5021" spans="1:40" x14ac:dyDescent="0.25">
      <c r="A5021" t="str">
        <f>"20190303162011096"</f>
        <v>20190303162011096</v>
      </c>
      <c r="B5021" t="str">
        <f>"1551601211087500"</f>
        <v>1551601211087500</v>
      </c>
      <c r="C5021" t="s">
        <v>40</v>
      </c>
      <c r="D5021">
        <v>4.8019129999999999</v>
      </c>
      <c r="E5021">
        <v>0.54144969999999903</v>
      </c>
      <c r="F5021" t="s">
        <v>42</v>
      </c>
      <c r="G5021">
        <v>-404.78949999999998</v>
      </c>
      <c r="H5021">
        <v>0.86830459999999998</v>
      </c>
      <c r="I5021">
        <v>214.67400000000001</v>
      </c>
      <c r="J5021">
        <v>-405.31560000000002</v>
      </c>
      <c r="K5021">
        <v>1.121251</v>
      </c>
      <c r="L5021">
        <v>214.7286</v>
      </c>
      <c r="M5021">
        <v>0.99993679999999996</v>
      </c>
      <c r="N5021">
        <v>-1.119821E-2</v>
      </c>
      <c r="O5021">
        <v>1.091065E-3</v>
      </c>
      <c r="P5021">
        <v>0.99070879999999995</v>
      </c>
      <c r="Q5021">
        <v>0.1292654</v>
      </c>
      <c r="R5021">
        <v>4.2270370000000002E-2</v>
      </c>
      <c r="S5021">
        <v>3.170776</v>
      </c>
      <c r="T5021">
        <v>-1.024551</v>
      </c>
      <c r="U5021">
        <v>-0.21887210000000001</v>
      </c>
      <c r="V5021">
        <v>-4.1187250000000002E-2</v>
      </c>
      <c r="W5021">
        <v>0.14035249999999999</v>
      </c>
      <c r="X5021">
        <v>0.98924449999999997</v>
      </c>
      <c r="Y5021">
        <v>6.6412550000000001E-2</v>
      </c>
      <c r="Z5021">
        <v>-1.116517E-2</v>
      </c>
      <c r="AA5021">
        <v>0.9977298</v>
      </c>
      <c r="AB5021">
        <v>26</v>
      </c>
      <c r="AC5021">
        <v>0.52610000000004198</v>
      </c>
      <c r="AD5021">
        <v>-0.25294640000000002</v>
      </c>
      <c r="AE5021">
        <v>-5.4599999999993501E-2</v>
      </c>
      <c r="AF5021">
        <v>4.49043511480001E-2</v>
      </c>
      <c r="AG5021">
        <v>-0.25294640000000002</v>
      </c>
      <c r="AH5021">
        <v>0.42812709625545797</v>
      </c>
      <c r="AI5021">
        <v>120.43839194030799</v>
      </c>
      <c r="AJ5021">
        <v>84.012392435178697</v>
      </c>
      <c r="AK5021">
        <v>0.49929058930958498</v>
      </c>
      <c r="AL5021">
        <v>81.931755162377797</v>
      </c>
      <c r="AM5021">
        <v>92.3841360001732</v>
      </c>
      <c r="AN5021">
        <v>0.99999994729952901</v>
      </c>
    </row>
    <row r="5022" spans="1:40" x14ac:dyDescent="0.25">
      <c r="A5022" t="str">
        <f>"20190303162011116"</f>
        <v>20190303162011116</v>
      </c>
      <c r="B5022" t="str">
        <f>"1551601211107996"</f>
        <v>1551601211107996</v>
      </c>
      <c r="C5022" t="s">
        <v>40</v>
      </c>
      <c r="D5022">
        <v>4.7329249999999998</v>
      </c>
      <c r="E5022">
        <v>0.54170719999999895</v>
      </c>
      <c r="F5022" t="s">
        <v>42</v>
      </c>
      <c r="G5022">
        <v>-404.55259999999998</v>
      </c>
      <c r="H5022">
        <v>0.87485369999999996</v>
      </c>
      <c r="I5022">
        <v>214.67570000000001</v>
      </c>
      <c r="J5022">
        <v>-405.06459999999998</v>
      </c>
      <c r="K5022">
        <v>1.1212500000000001</v>
      </c>
      <c r="L5022">
        <v>214.72890000000001</v>
      </c>
      <c r="M5022">
        <v>0.99993670000000001</v>
      </c>
      <c r="N5022">
        <v>-1.1200740000000001E-2</v>
      </c>
      <c r="O5022">
        <v>1.0987239999999999E-3</v>
      </c>
      <c r="P5022">
        <v>0.99052720000000005</v>
      </c>
      <c r="Q5022">
        <v>0.1302489</v>
      </c>
      <c r="R5022">
        <v>4.3488409999999998E-2</v>
      </c>
      <c r="S5022">
        <v>3.1710509999999998</v>
      </c>
      <c r="T5022">
        <v>-1.0239739999999999</v>
      </c>
      <c r="U5022">
        <v>-0.21821589999999999</v>
      </c>
      <c r="V5022">
        <v>-4.2396339999999998E-2</v>
      </c>
      <c r="W5022">
        <v>0.14133679999999901</v>
      </c>
      <c r="X5022">
        <v>0.98905330000000002</v>
      </c>
      <c r="Y5022">
        <v>6.6222719999999999E-2</v>
      </c>
      <c r="Z5022">
        <v>-1.1130019999999999E-2</v>
      </c>
      <c r="AA5022">
        <v>0.99774280000000004</v>
      </c>
      <c r="AB5022">
        <v>26</v>
      </c>
      <c r="AC5022">
        <v>0.51200000000000001</v>
      </c>
      <c r="AD5022">
        <v>-0.24639629999999901</v>
      </c>
      <c r="AE5022">
        <v>-5.3200000000003897E-2</v>
      </c>
      <c r="AF5022">
        <v>4.37406521958775E-2</v>
      </c>
      <c r="AG5022">
        <v>-0.24639629999999901</v>
      </c>
      <c r="AH5022">
        <v>0.41651007207944701</v>
      </c>
      <c r="AI5022">
        <v>120.469919953759</v>
      </c>
      <c r="AJ5022">
        <v>84.0049417469899</v>
      </c>
      <c r="AK5022">
        <v>0.48590639165567401</v>
      </c>
      <c r="AL5022">
        <v>81.874791398775201</v>
      </c>
      <c r="AM5022">
        <v>92.454514006734399</v>
      </c>
      <c r="AN5022">
        <v>0.99999998546026203</v>
      </c>
    </row>
    <row r="5023" spans="1:40" x14ac:dyDescent="0.25">
      <c r="A5023" t="str">
        <f>"20190303162011140"</f>
        <v>20190303162011140</v>
      </c>
      <c r="B5023" t="str">
        <f>"1551601211137276"</f>
        <v>1551601211137276</v>
      </c>
      <c r="C5023" t="s">
        <v>40</v>
      </c>
      <c r="D5023">
        <v>4.7036959999999999</v>
      </c>
      <c r="E5023">
        <v>0.54199529999999996</v>
      </c>
      <c r="F5023" t="s">
        <v>42</v>
      </c>
      <c r="G5023">
        <v>-404.3159</v>
      </c>
      <c r="H5023">
        <v>0.88066350000000004</v>
      </c>
      <c r="I5023">
        <v>214.67769999999999</v>
      </c>
      <c r="J5023">
        <v>-404.78859999999997</v>
      </c>
      <c r="K5023">
        <v>1.121248</v>
      </c>
      <c r="L5023">
        <v>214.72919999999999</v>
      </c>
      <c r="M5023">
        <v>0.99993679999999996</v>
      </c>
      <c r="N5023">
        <v>-1.120351E-2</v>
      </c>
      <c r="O5023">
        <v>1.1007969999999999E-3</v>
      </c>
      <c r="P5023">
        <v>0.99046129999999999</v>
      </c>
      <c r="Q5023">
        <v>0.1305133</v>
      </c>
      <c r="R5023">
        <v>4.4191510000000003E-2</v>
      </c>
      <c r="S5023">
        <v>3.17218</v>
      </c>
      <c r="T5023">
        <v>-1.019226</v>
      </c>
      <c r="U5023">
        <v>-0.21638489999999999</v>
      </c>
      <c r="V5023">
        <v>-4.3095500000000002E-2</v>
      </c>
      <c r="W5023">
        <v>0.14160349999999999</v>
      </c>
      <c r="X5023">
        <v>0.98898489999999994</v>
      </c>
      <c r="Y5023">
        <v>6.5688440000000001E-2</v>
      </c>
      <c r="Z5023">
        <v>-1.0992999999999999E-2</v>
      </c>
      <c r="AA5023">
        <v>0.99777959999999999</v>
      </c>
      <c r="AB5023">
        <v>26</v>
      </c>
      <c r="AC5023">
        <v>0.47269999999997397</v>
      </c>
      <c r="AD5023">
        <v>-0.24058450000000001</v>
      </c>
      <c r="AE5023">
        <v>-5.1500000000004299E-2</v>
      </c>
      <c r="AF5023">
        <v>4.1417484613355302E-2</v>
      </c>
      <c r="AG5023">
        <v>-0.24058450000000001</v>
      </c>
      <c r="AH5023">
        <v>0.37630822702750599</v>
      </c>
      <c r="AI5023">
        <v>122.43558250865</v>
      </c>
      <c r="AJ5023">
        <v>83.719154277431301</v>
      </c>
      <c r="AK5023">
        <v>0.44855790194860301</v>
      </c>
      <c r="AL5023">
        <v>81.859355099525601</v>
      </c>
      <c r="AM5023">
        <v>92.4951131126805</v>
      </c>
      <c r="AN5023">
        <v>0.99999995288025301</v>
      </c>
    </row>
    <row r="5024" spans="1:40" x14ac:dyDescent="0.25">
      <c r="A5024" t="str">
        <f>"20190303162011160"</f>
        <v>20190303162011160</v>
      </c>
      <c r="B5024" t="str">
        <f>"1551601211147035"</f>
        <v>1551601211147035</v>
      </c>
      <c r="C5024" t="s">
        <v>40</v>
      </c>
      <c r="D5024">
        <v>4.6844039999999998</v>
      </c>
      <c r="E5024">
        <v>0.54207090000000002</v>
      </c>
      <c r="F5024" t="s">
        <v>42</v>
      </c>
      <c r="G5024">
        <v>-404.07600000000002</v>
      </c>
      <c r="H5024">
        <v>0.89298219999999995</v>
      </c>
      <c r="I5024">
        <v>214.68</v>
      </c>
      <c r="J5024">
        <v>-404.55070000000001</v>
      </c>
      <c r="K5024">
        <v>1.121246</v>
      </c>
      <c r="L5024">
        <v>214.7294</v>
      </c>
      <c r="M5024">
        <v>0.99993659999999995</v>
      </c>
      <c r="N5024">
        <v>-1.1205909999999999E-2</v>
      </c>
      <c r="O5024">
        <v>1.09483E-3</v>
      </c>
      <c r="P5024">
        <v>0.99040229999999996</v>
      </c>
      <c r="Q5024">
        <v>0.13093689999999999</v>
      </c>
      <c r="R5024">
        <v>4.4256919999999998E-2</v>
      </c>
      <c r="S5024">
        <v>3.1725460000000001</v>
      </c>
      <c r="T5024">
        <v>-1.0163059999999999</v>
      </c>
      <c r="U5024">
        <v>-0.2175446</v>
      </c>
      <c r="V5024">
        <v>-4.3165460000000003E-2</v>
      </c>
      <c r="W5024">
        <v>0.14202979999999901</v>
      </c>
      <c r="X5024">
        <v>0.98892069999999999</v>
      </c>
      <c r="Y5024">
        <v>6.6039699999999896E-2</v>
      </c>
      <c r="Z5024">
        <v>-1.101779E-2</v>
      </c>
      <c r="AA5024">
        <v>0.99775619999999998</v>
      </c>
      <c r="AB5024">
        <v>26</v>
      </c>
      <c r="AC5024">
        <v>0.47470000000004098</v>
      </c>
      <c r="AD5024">
        <v>-0.22826379999999899</v>
      </c>
      <c r="AE5024">
        <v>-4.9399999999991402E-2</v>
      </c>
      <c r="AF5024">
        <v>4.0626484595933002E-2</v>
      </c>
      <c r="AG5024">
        <v>-0.22826379999999899</v>
      </c>
      <c r="AH5024">
        <v>0.38628389190245099</v>
      </c>
      <c r="AI5024">
        <v>120.441947888672</v>
      </c>
      <c r="AJ5024">
        <v>83.996125323905105</v>
      </c>
      <c r="AK5024">
        <v>0.45052205138524298</v>
      </c>
      <c r="AL5024">
        <v>81.834680380823102</v>
      </c>
      <c r="AM5024">
        <v>92.499320514132705</v>
      </c>
      <c r="AN5024">
        <v>0.99999993595676795</v>
      </c>
    </row>
    <row r="5025" spans="1:40" x14ac:dyDescent="0.25">
      <c r="A5025" t="str">
        <f>"20190303162011184"</f>
        <v>20190303162011184</v>
      </c>
      <c r="B5025" t="str">
        <f>"1551601211177292"</f>
        <v>1551601211177292</v>
      </c>
      <c r="C5025" t="s">
        <v>40</v>
      </c>
      <c r="D5025">
        <v>4.6553890000000004</v>
      </c>
      <c r="E5025">
        <v>0.54216769999999903</v>
      </c>
      <c r="F5025" t="s">
        <v>42</v>
      </c>
      <c r="G5025">
        <v>-403.8408</v>
      </c>
      <c r="H5025">
        <v>0.89421899999999999</v>
      </c>
      <c r="I5025">
        <v>214.6806</v>
      </c>
      <c r="J5025">
        <v>-404.28019999999998</v>
      </c>
      <c r="K5025">
        <v>1.121229</v>
      </c>
      <c r="L5025">
        <v>214.72970000000001</v>
      </c>
      <c r="M5025">
        <v>0.99993679999999996</v>
      </c>
      <c r="N5025">
        <v>-1.1208650000000001E-2</v>
      </c>
      <c r="O5025">
        <v>1.075047E-3</v>
      </c>
      <c r="P5025">
        <v>0.99047300000000005</v>
      </c>
      <c r="Q5025">
        <v>0.13056780000000001</v>
      </c>
      <c r="R5025">
        <v>4.3766190000000003E-2</v>
      </c>
      <c r="S5025">
        <v>3.172974</v>
      </c>
      <c r="T5025">
        <v>-1.014786</v>
      </c>
      <c r="U5025">
        <v>-0.21743770000000001</v>
      </c>
      <c r="V5025">
        <v>-4.269191E-2</v>
      </c>
      <c r="W5025">
        <v>0.14166489999999901</v>
      </c>
      <c r="X5025">
        <v>0.98899360000000003</v>
      </c>
      <c r="Y5025">
        <v>6.5991569999999999E-2</v>
      </c>
      <c r="Z5025">
        <v>-1.09876E-2</v>
      </c>
      <c r="AA5025">
        <v>0.99775970000000003</v>
      </c>
      <c r="AB5025">
        <v>26</v>
      </c>
      <c r="AC5025">
        <v>0.43939999999997698</v>
      </c>
      <c r="AD5025">
        <v>-0.22700999999999999</v>
      </c>
      <c r="AE5025">
        <v>-4.91000000000099E-2</v>
      </c>
      <c r="AF5025">
        <v>3.9230404164757503E-2</v>
      </c>
      <c r="AG5025">
        <v>-0.22700999999999999</v>
      </c>
      <c r="AH5025">
        <v>0.34768876985498798</v>
      </c>
      <c r="AI5025">
        <v>122.975291594864</v>
      </c>
      <c r="AJ5025">
        <v>83.562431964817605</v>
      </c>
      <c r="AK5025">
        <v>0.41708517762467301</v>
      </c>
      <c r="AL5025">
        <v>81.855801223427804</v>
      </c>
      <c r="AM5025">
        <v>92.4717537424429</v>
      </c>
      <c r="AN5025">
        <v>0.99999994195620701</v>
      </c>
    </row>
    <row r="5026" spans="1:40" x14ac:dyDescent="0.25">
      <c r="A5026" t="str">
        <f>"20190303162011205"</f>
        <v>20190303162011205</v>
      </c>
      <c r="B5026" t="str">
        <f>"1551601211196811"</f>
        <v>1551601211196811</v>
      </c>
      <c r="C5026" t="s">
        <v>40</v>
      </c>
      <c r="D5026">
        <v>4.6280080000000003</v>
      </c>
      <c r="E5026">
        <v>0.54222879999999996</v>
      </c>
      <c r="F5026" t="s">
        <v>42</v>
      </c>
      <c r="G5026">
        <v>-403.60140000000001</v>
      </c>
      <c r="H5026">
        <v>0.904528</v>
      </c>
      <c r="I5026">
        <v>214.68260000000001</v>
      </c>
      <c r="J5026">
        <v>-404.0258</v>
      </c>
      <c r="K5026">
        <v>1.121224</v>
      </c>
      <c r="L5026">
        <v>214.73</v>
      </c>
      <c r="M5026">
        <v>0.99993670000000001</v>
      </c>
      <c r="N5026">
        <v>-1.1211209999999999E-2</v>
      </c>
      <c r="O5026">
        <v>1.043015E-3</v>
      </c>
      <c r="P5026">
        <v>0.99055930000000003</v>
      </c>
      <c r="Q5026">
        <v>0.13015599999999999</v>
      </c>
      <c r="R5026">
        <v>4.3033759999999997E-2</v>
      </c>
      <c r="S5026">
        <v>3.1720280000000001</v>
      </c>
      <c r="T5026">
        <v>-1.0126120000000001</v>
      </c>
      <c r="U5026">
        <v>-0.21879580000000001</v>
      </c>
      <c r="V5026">
        <v>-4.198793E-2</v>
      </c>
      <c r="W5026">
        <v>0.14125750000000001</v>
      </c>
      <c r="X5026">
        <v>0.98908200000000002</v>
      </c>
      <c r="Y5026">
        <v>6.6397990000000004E-2</v>
      </c>
      <c r="Z5026">
        <v>-1.102479E-2</v>
      </c>
      <c r="AA5026">
        <v>0.99773230000000002</v>
      </c>
      <c r="AB5026">
        <v>26</v>
      </c>
      <c r="AC5026">
        <v>0.42439999999999101</v>
      </c>
      <c r="AD5026">
        <v>-0.216695999999999</v>
      </c>
      <c r="AE5026">
        <v>-4.7399999999981901E-2</v>
      </c>
      <c r="AF5026">
        <v>3.8046031697025598E-2</v>
      </c>
      <c r="AG5026">
        <v>-0.216695999999999</v>
      </c>
      <c r="AH5026">
        <v>0.33745713174980602</v>
      </c>
      <c r="AI5026">
        <v>122.54199317899</v>
      </c>
      <c r="AJ5026">
        <v>83.567447625962799</v>
      </c>
      <c r="AK5026">
        <v>0.402842367077616</v>
      </c>
      <c r="AL5026">
        <v>81.879380589256101</v>
      </c>
      <c r="AM5026">
        <v>92.4308273724874</v>
      </c>
      <c r="AN5026">
        <v>0.99999993514796504</v>
      </c>
    </row>
    <row r="5027" spans="1:40" x14ac:dyDescent="0.25">
      <c r="A5027" t="str">
        <f>"20190303162011229"</f>
        <v>20190303162011229</v>
      </c>
      <c r="B5027" t="str">
        <f>"1551601211217308"</f>
        <v>1551601211217308</v>
      </c>
      <c r="C5027" t="s">
        <v>40</v>
      </c>
      <c r="D5027">
        <v>4.6096940000000002</v>
      </c>
      <c r="E5027">
        <v>0.54230059999999902</v>
      </c>
      <c r="F5027" t="s">
        <v>42</v>
      </c>
      <c r="G5027">
        <v>-403.15660000000003</v>
      </c>
      <c r="H5027">
        <v>0.84378030000000004</v>
      </c>
      <c r="I5027">
        <v>214.66900000000001</v>
      </c>
      <c r="J5027">
        <v>-403.7516</v>
      </c>
      <c r="K5027">
        <v>1.1212150000000001</v>
      </c>
      <c r="L5027">
        <v>214.7302</v>
      </c>
      <c r="M5027">
        <v>0.99993670000000001</v>
      </c>
      <c r="N5027">
        <v>-1.121393E-2</v>
      </c>
      <c r="O5027">
        <v>9.9719260000000003E-4</v>
      </c>
      <c r="P5027">
        <v>0.99057010000000001</v>
      </c>
      <c r="Q5027">
        <v>0.13021469999999999</v>
      </c>
      <c r="R5027">
        <v>4.2606779999999997E-2</v>
      </c>
      <c r="S5027">
        <v>3.1712039999999999</v>
      </c>
      <c r="T5027">
        <v>-1.012189</v>
      </c>
      <c r="U5027">
        <v>-0.2206726</v>
      </c>
      <c r="V5027">
        <v>-4.1602699999999999E-2</v>
      </c>
      <c r="W5027">
        <v>0.1413198</v>
      </c>
      <c r="X5027">
        <v>0.98908940000000001</v>
      </c>
      <c r="Y5027">
        <v>6.6933560000000003E-2</v>
      </c>
      <c r="Z5027">
        <v>-1.109571E-2</v>
      </c>
      <c r="AA5027">
        <v>0.99769569999999996</v>
      </c>
      <c r="AB5027">
        <v>26</v>
      </c>
      <c r="AC5027">
        <v>0.59499999999997</v>
      </c>
      <c r="AD5027">
        <v>-0.27743469999999998</v>
      </c>
      <c r="AE5027">
        <v>-6.1199999999985197E-2</v>
      </c>
      <c r="AF5027">
        <v>5.0852937708002401E-2</v>
      </c>
      <c r="AG5027">
        <v>-0.27743469999999998</v>
      </c>
      <c r="AH5027">
        <v>0.48960585365530102</v>
      </c>
      <c r="AI5027">
        <v>119.406350808331</v>
      </c>
      <c r="AJ5027">
        <v>84.070233193664507</v>
      </c>
      <c r="AK5027">
        <v>0.56503975609788704</v>
      </c>
      <c r="AL5027">
        <v>81.875775060560699</v>
      </c>
      <c r="AM5027">
        <v>92.408533454660102</v>
      </c>
      <c r="AN5027">
        <v>0.999999955855844</v>
      </c>
    </row>
    <row r="5028" spans="1:40" x14ac:dyDescent="0.25">
      <c r="A5028" t="str">
        <f>"20190303162011250"</f>
        <v>20190303162011250</v>
      </c>
      <c r="B5028" t="str">
        <f>"1551601211247564"</f>
        <v>1551601211247564</v>
      </c>
      <c r="C5028" t="s">
        <v>40</v>
      </c>
      <c r="D5028">
        <v>4.6719980000000003</v>
      </c>
      <c r="E5028">
        <v>0.54241799999999996</v>
      </c>
      <c r="F5028" t="s">
        <v>42</v>
      </c>
      <c r="G5028">
        <v>-402.91699999999997</v>
      </c>
      <c r="H5028">
        <v>0.85544109999999995</v>
      </c>
      <c r="I5028">
        <v>214.67179999999999</v>
      </c>
      <c r="J5028">
        <v>-403.5016</v>
      </c>
      <c r="K5028">
        <v>1.1212150000000001</v>
      </c>
      <c r="L5028">
        <v>214.7304</v>
      </c>
      <c r="M5028">
        <v>0.99993679999999996</v>
      </c>
      <c r="N5028">
        <v>-1.1216429999999999E-2</v>
      </c>
      <c r="O5028">
        <v>9.4825479999999999E-4</v>
      </c>
      <c r="P5028">
        <v>0.99058409999999997</v>
      </c>
      <c r="Q5028">
        <v>0.13020209999999999</v>
      </c>
      <c r="R5028">
        <v>4.2318639999999998E-2</v>
      </c>
      <c r="S5028">
        <v>3.170776</v>
      </c>
      <c r="T5028">
        <v>-1.009576</v>
      </c>
      <c r="U5028">
        <v>-0.22111510000000001</v>
      </c>
      <c r="V5028">
        <v>-4.1360340000000002E-2</v>
      </c>
      <c r="W5028">
        <v>0.1413104</v>
      </c>
      <c r="X5028">
        <v>0.98910089999999995</v>
      </c>
      <c r="Y5028">
        <v>6.7045510000000003E-2</v>
      </c>
      <c r="Z5028">
        <v>-1.107406E-2</v>
      </c>
      <c r="AA5028">
        <v>0.99768849999999998</v>
      </c>
      <c r="AB5028">
        <v>26</v>
      </c>
      <c r="AC5028">
        <v>0.58460000000002299</v>
      </c>
      <c r="AD5028">
        <v>-0.26577390000000001</v>
      </c>
      <c r="AE5028">
        <v>-5.86000000000126E-2</v>
      </c>
      <c r="AF5028">
        <v>4.9105913661118501E-2</v>
      </c>
      <c r="AG5028">
        <v>-0.26577390000000001</v>
      </c>
      <c r="AH5028">
        <v>0.48524869880660998</v>
      </c>
      <c r="AI5028">
        <v>118.587000996066</v>
      </c>
      <c r="AJ5028">
        <v>84.221487430172601</v>
      </c>
      <c r="AK5028">
        <v>0.555439876468382</v>
      </c>
      <c r="AL5028">
        <v>81.876319041412501</v>
      </c>
      <c r="AM5028">
        <v>92.3944909138649</v>
      </c>
      <c r="AN5028">
        <v>0.99999994862694097</v>
      </c>
    </row>
    <row r="5029" spans="1:40" x14ac:dyDescent="0.25">
      <c r="A5029" t="str">
        <f>"20190303162011274"</f>
        <v>20190303162011274</v>
      </c>
      <c r="B5029" t="str">
        <f>"1551601211267084"</f>
        <v>1551601211267084</v>
      </c>
      <c r="C5029" t="s">
        <v>40</v>
      </c>
      <c r="D5029">
        <v>4.6210370000000003</v>
      </c>
      <c r="E5029">
        <v>0.54047270000000003</v>
      </c>
      <c r="F5029" t="s">
        <v>42</v>
      </c>
      <c r="G5029">
        <v>-402.6798</v>
      </c>
      <c r="H5029">
        <v>0.86040559999999999</v>
      </c>
      <c r="I5029">
        <v>214.67230000000001</v>
      </c>
      <c r="J5029">
        <v>-403.21940000000001</v>
      </c>
      <c r="K5029">
        <v>1.12121</v>
      </c>
      <c r="L5029">
        <v>214.73060000000001</v>
      </c>
      <c r="M5029">
        <v>0.99993670000000001</v>
      </c>
      <c r="N5029">
        <v>-1.121922E-2</v>
      </c>
      <c r="O5029">
        <v>8.8629589999999895E-4</v>
      </c>
      <c r="P5029">
        <v>0.99063939999999995</v>
      </c>
      <c r="Q5029">
        <v>0.13004589999999999</v>
      </c>
      <c r="R5029">
        <v>4.1494049999999998E-2</v>
      </c>
      <c r="S5029">
        <v>3.1702880000000002</v>
      </c>
      <c r="T5029">
        <v>-1.006119</v>
      </c>
      <c r="U5029">
        <v>-0.22291559999999999</v>
      </c>
      <c r="V5029">
        <v>-4.0595260000000001E-2</v>
      </c>
      <c r="W5029">
        <v>0.14115839999999999</v>
      </c>
      <c r="X5029">
        <v>0.98915430000000004</v>
      </c>
      <c r="Y5029">
        <v>6.7556980000000003E-2</v>
      </c>
      <c r="Z5029">
        <v>-1.110412E-2</v>
      </c>
      <c r="AA5029">
        <v>0.99765360000000003</v>
      </c>
      <c r="AB5029">
        <v>26</v>
      </c>
      <c r="AC5029">
        <v>0.53960000000000696</v>
      </c>
      <c r="AD5029">
        <v>-0.26080439999999899</v>
      </c>
      <c r="AE5029">
        <v>-5.83000000000026E-2</v>
      </c>
      <c r="AF5029">
        <v>4.7751808241123302E-2</v>
      </c>
      <c r="AG5029">
        <v>-0.26080439999999899</v>
      </c>
      <c r="AH5029">
        <v>0.43833215498088501</v>
      </c>
      <c r="AI5029">
        <v>120.604021626576</v>
      </c>
      <c r="AJ5029">
        <v>83.782728333390196</v>
      </c>
      <c r="AK5029">
        <v>0.51228336722935197</v>
      </c>
      <c r="AL5029">
        <v>81.885116185279799</v>
      </c>
      <c r="AM5029">
        <v>92.350121226146896</v>
      </c>
      <c r="AN5029">
        <v>0.99999994911675705</v>
      </c>
    </row>
    <row r="5030" spans="1:40" x14ac:dyDescent="0.25">
      <c r="A5030" t="str">
        <f>"20190303162011297"</f>
        <v>20190303162011297</v>
      </c>
      <c r="B5030" t="str">
        <f>"1551601211287579"</f>
        <v>1551601211287579</v>
      </c>
      <c r="C5030" t="s">
        <v>40</v>
      </c>
      <c r="D5030">
        <v>4.5451709999999999</v>
      </c>
      <c r="E5030">
        <v>0.52439309999999995</v>
      </c>
      <c r="F5030" t="s">
        <v>42</v>
      </c>
      <c r="G5030">
        <v>-402.40559999999999</v>
      </c>
      <c r="H5030">
        <v>0.94861530000000005</v>
      </c>
      <c r="I5030">
        <v>214.6765</v>
      </c>
      <c r="J5030">
        <v>-402.95530000000002</v>
      </c>
      <c r="K5030">
        <v>1.1212059999999999</v>
      </c>
      <c r="L5030">
        <v>214.73070000000001</v>
      </c>
      <c r="M5030">
        <v>0.99993679999999996</v>
      </c>
      <c r="N5030">
        <v>-1.1221800000000001E-2</v>
      </c>
      <c r="O5030">
        <v>8.2337269999999997E-4</v>
      </c>
      <c r="P5030">
        <v>0.99068020000000001</v>
      </c>
      <c r="Q5030">
        <v>0.1300519</v>
      </c>
      <c r="R5030">
        <v>4.0489829999999997E-2</v>
      </c>
      <c r="S5030">
        <v>3.1240230000000002</v>
      </c>
      <c r="T5030">
        <v>-0.66259869999999899</v>
      </c>
      <c r="U5030">
        <v>-0.2071838</v>
      </c>
      <c r="V5030">
        <v>-3.9652809999999997E-2</v>
      </c>
      <c r="W5030">
        <v>0.14116790000000001</v>
      </c>
      <c r="X5030">
        <v>0.98919120000000005</v>
      </c>
      <c r="Y5030">
        <v>6.5451040000000002E-2</v>
      </c>
      <c r="Z5030">
        <v>-7.392666E-3</v>
      </c>
      <c r="AA5030">
        <v>0.99782839999999995</v>
      </c>
      <c r="AB5030">
        <v>26</v>
      </c>
      <c r="AC5030">
        <v>0.54970000000002905</v>
      </c>
      <c r="AD5030">
        <v>-0.17259069999999899</v>
      </c>
      <c r="AE5030">
        <v>-5.4200000000008602E-2</v>
      </c>
      <c r="AF5030">
        <v>4.97914937647592E-2</v>
      </c>
      <c r="AG5030">
        <v>-0.17259069999999899</v>
      </c>
      <c r="AH5030">
        <v>0.50076562924866197</v>
      </c>
      <c r="AI5030">
        <v>108.930044346776</v>
      </c>
      <c r="AJ5030">
        <v>84.321702318042298</v>
      </c>
      <c r="AK5030">
        <v>0.53200841912005903</v>
      </c>
      <c r="AL5030">
        <v>81.884566587234403</v>
      </c>
      <c r="AM5030">
        <v>92.295534886094003</v>
      </c>
      <c r="AN5030">
        <v>0.99999997574437205</v>
      </c>
    </row>
    <row r="5031" spans="1:40" x14ac:dyDescent="0.25">
      <c r="A5031" t="str">
        <f>"20190303162011317"</f>
        <v>20190303162011317</v>
      </c>
      <c r="B5031" t="str">
        <f>"1551601211307100"</f>
        <v>1551601211307100</v>
      </c>
      <c r="C5031" t="s">
        <v>40</v>
      </c>
      <c r="D5031">
        <v>4.5237360000000004</v>
      </c>
      <c r="E5031">
        <v>0.52558450000000001</v>
      </c>
      <c r="F5031" t="s">
        <v>52</v>
      </c>
      <c r="G5031">
        <v>-386.11939999999998</v>
      </c>
      <c r="H5031" s="1">
        <v>1.7334439999999999E-6</v>
      </c>
      <c r="I5031">
        <v>214.3005</v>
      </c>
      <c r="J5031">
        <v>-402.70960000000002</v>
      </c>
      <c r="K5031">
        <v>1.1211930000000001</v>
      </c>
      <c r="L5031">
        <v>214.73089999999999</v>
      </c>
      <c r="M5031">
        <v>0.99993679999999996</v>
      </c>
      <c r="N5031">
        <v>-1.122419E-2</v>
      </c>
      <c r="O5031">
        <v>7.6274259999999897E-4</v>
      </c>
      <c r="P5031">
        <v>0.99075630000000003</v>
      </c>
      <c r="Q5031">
        <v>0.12969040000000001</v>
      </c>
      <c r="R5031">
        <v>3.97811E-2</v>
      </c>
      <c r="S5031">
        <v>3.0581969999999998</v>
      </c>
      <c r="T5031">
        <v>-0.2036637</v>
      </c>
      <c r="U5031">
        <v>-7.8155520000000006E-2</v>
      </c>
      <c r="V5031">
        <v>-3.9004369999999997E-2</v>
      </c>
      <c r="W5031">
        <v>0.14080909999999999</v>
      </c>
      <c r="X5031">
        <v>0.98926809999999998</v>
      </c>
      <c r="Y5031">
        <v>2.6241190000000001E-2</v>
      </c>
      <c r="Z5031">
        <v>-1.062337E-3</v>
      </c>
      <c r="AA5031">
        <v>0.99965510000000002</v>
      </c>
      <c r="AB5031">
        <v>26</v>
      </c>
      <c r="AC5031">
        <v>16.590199999999999</v>
      </c>
      <c r="AD5031">
        <v>-1.121191266556</v>
      </c>
      <c r="AE5031">
        <v>-0.43039999999999101</v>
      </c>
      <c r="AF5031">
        <v>0.44104172376849399</v>
      </c>
      <c r="AG5031">
        <v>-1.121191266556</v>
      </c>
      <c r="AH5031">
        <v>16.514491547079299</v>
      </c>
      <c r="AI5031">
        <v>93.882548221396107</v>
      </c>
      <c r="AJ5031">
        <v>88.470202722596099</v>
      </c>
      <c r="AK5031">
        <v>16.558382128603601</v>
      </c>
      <c r="AL5031">
        <v>81.905331592016495</v>
      </c>
      <c r="AM5031">
        <v>92.257859977665902</v>
      </c>
      <c r="AN5031">
        <v>0.99999995859975699</v>
      </c>
    </row>
    <row r="5032" spans="1:40" x14ac:dyDescent="0.25">
      <c r="A5032" t="str">
        <f>"20190303162011339"</f>
        <v>20190303162011339</v>
      </c>
      <c r="B5032" t="str">
        <f>"1551601211327596"</f>
        <v>1551601211327596</v>
      </c>
      <c r="C5032" t="s">
        <v>40</v>
      </c>
      <c r="D5032">
        <v>4.4583589999999997</v>
      </c>
      <c r="E5032">
        <v>0.52592930000000004</v>
      </c>
      <c r="F5032" t="s">
        <v>52</v>
      </c>
      <c r="G5032">
        <v>-344.89049999999997</v>
      </c>
      <c r="H5032" s="1">
        <v>1.065683E-6</v>
      </c>
      <c r="I5032">
        <v>213.03819999999999</v>
      </c>
      <c r="J5032">
        <v>-402.4547</v>
      </c>
      <c r="K5032">
        <v>1.121197</v>
      </c>
      <c r="L5032">
        <v>214.73099999999999</v>
      </c>
      <c r="M5032">
        <v>0.99993679999999996</v>
      </c>
      <c r="N5032">
        <v>-1.1226659999999999E-2</v>
      </c>
      <c r="O5032">
        <v>6.9967719999999996E-4</v>
      </c>
      <c r="P5032">
        <v>0.99086529999999995</v>
      </c>
      <c r="Q5032">
        <v>0.12909689999999999</v>
      </c>
      <c r="R5032">
        <v>3.8989929999999999E-2</v>
      </c>
      <c r="S5032">
        <v>3.0392760000000001</v>
      </c>
      <c r="T5032">
        <v>-5.8935759999999997E-2</v>
      </c>
      <c r="U5032">
        <v>-8.8973999999999998E-2</v>
      </c>
      <c r="V5032">
        <v>-3.8275480000000001E-2</v>
      </c>
      <c r="W5032">
        <v>0.14021889999999901</v>
      </c>
      <c r="X5032">
        <v>0.98938040000000005</v>
      </c>
      <c r="Y5032">
        <v>2.995271E-2</v>
      </c>
      <c r="Z5032">
        <v>-4.6423360000000003E-4</v>
      </c>
      <c r="AA5032">
        <v>0.99955119999999997</v>
      </c>
      <c r="AB5032">
        <v>26</v>
      </c>
      <c r="AC5032">
        <v>57.5642</v>
      </c>
      <c r="AD5032">
        <v>-1.1211959343169999</v>
      </c>
      <c r="AE5032">
        <v>-1.6928000000000001</v>
      </c>
      <c r="AF5032">
        <v>1.7324218260500099</v>
      </c>
      <c r="AG5032">
        <v>-1.1211959343169999</v>
      </c>
      <c r="AH5032">
        <v>57.541191125763703</v>
      </c>
      <c r="AI5032">
        <v>91.115767349143894</v>
      </c>
      <c r="AJ5032">
        <v>88.275487848189698</v>
      </c>
      <c r="AK5032">
        <v>57.578181995250397</v>
      </c>
      <c r="AL5032">
        <v>81.939486468249498</v>
      </c>
      <c r="AM5032">
        <v>92.215457669649794</v>
      </c>
      <c r="AN5032">
        <v>0.99999996409529901</v>
      </c>
    </row>
    <row r="5033" spans="1:40" x14ac:dyDescent="0.25">
      <c r="A5033" t="str">
        <f>"20190303162011360"</f>
        <v>20190303162011360</v>
      </c>
      <c r="B5033" t="str">
        <f>"1551601211347116"</f>
        <v>1551601211347116</v>
      </c>
      <c r="C5033" t="s">
        <v>40</v>
      </c>
      <c r="D5033">
        <v>4.5375509999999997</v>
      </c>
      <c r="E5033">
        <v>0.52638809999999903</v>
      </c>
      <c r="F5033" t="s">
        <v>66</v>
      </c>
      <c r="G5033">
        <v>-168.41030000000001</v>
      </c>
      <c r="H5033">
        <v>0.56363490000000005</v>
      </c>
      <c r="I5033">
        <v>207.47139999999999</v>
      </c>
      <c r="J5033">
        <v>-402.19490000000002</v>
      </c>
      <c r="K5033">
        <v>1.121197</v>
      </c>
      <c r="L5033">
        <v>214.7311</v>
      </c>
      <c r="M5033">
        <v>0.99993679999999996</v>
      </c>
      <c r="N5033">
        <v>-1.122919E-2</v>
      </c>
      <c r="O5033">
        <v>6.3684910000000002E-4</v>
      </c>
      <c r="P5033">
        <v>0.99091839999999998</v>
      </c>
      <c r="Q5033">
        <v>0.12890360000000001</v>
      </c>
      <c r="R5033">
        <v>3.827233E-2</v>
      </c>
      <c r="S5033">
        <v>3.0322879999999999</v>
      </c>
      <c r="T5033">
        <v>-7.223368E-3</v>
      </c>
      <c r="U5033">
        <v>-9.4055180000000002E-2</v>
      </c>
      <c r="V5033">
        <v>-3.7620260000000003E-2</v>
      </c>
      <c r="W5033">
        <v>0.1400286</v>
      </c>
      <c r="X5033">
        <v>0.98943250000000005</v>
      </c>
      <c r="Y5033">
        <v>3.1639019999999997E-2</v>
      </c>
      <c r="Z5033">
        <v>-2.097322E-4</v>
      </c>
      <c r="AA5033">
        <v>0.99949929999999998</v>
      </c>
      <c r="AB5033">
        <v>26</v>
      </c>
      <c r="AC5033">
        <v>233.78460000000001</v>
      </c>
      <c r="AD5033">
        <v>-0.55756209999999995</v>
      </c>
      <c r="AE5033">
        <v>-7.2596999999999996</v>
      </c>
      <c r="AF5033">
        <v>7.40855132092691</v>
      </c>
      <c r="AG5033">
        <v>-0.55756209999999995</v>
      </c>
      <c r="AH5033">
        <v>233.77860052383701</v>
      </c>
      <c r="AI5033">
        <v>90.136581642807499</v>
      </c>
      <c r="AJ5033">
        <v>88.184877878601199</v>
      </c>
      <c r="AK5033">
        <v>233.896625822294</v>
      </c>
      <c r="AL5033">
        <v>81.950498648703203</v>
      </c>
      <c r="AM5033">
        <v>92.177454563095694</v>
      </c>
      <c r="AN5033">
        <v>0.99999998241833798</v>
      </c>
    </row>
    <row r="5034" spans="1:40" x14ac:dyDescent="0.25">
      <c r="A5034" t="str">
        <f>"20190303162011384"</f>
        <v>20190303162011384</v>
      </c>
      <c r="B5034" t="str">
        <f>"1551601211377372"</f>
        <v>1551601211377372</v>
      </c>
      <c r="C5034" t="s">
        <v>40</v>
      </c>
      <c r="D5034">
        <v>4.5932709999999997</v>
      </c>
      <c r="E5034">
        <v>0.52495099999999995</v>
      </c>
      <c r="F5034" t="s">
        <v>66</v>
      </c>
      <c r="G5034">
        <v>-168.4109</v>
      </c>
      <c r="H5034">
        <v>1.8592850000000001</v>
      </c>
      <c r="I5034">
        <v>207.02709999999999</v>
      </c>
      <c r="J5034">
        <v>-401.9162</v>
      </c>
      <c r="K5034">
        <v>1.121194</v>
      </c>
      <c r="L5034">
        <v>214.7312</v>
      </c>
      <c r="M5034">
        <v>0.99993679999999996</v>
      </c>
      <c r="N5034">
        <v>-1.1231909999999999E-2</v>
      </c>
      <c r="O5034">
        <v>5.7139309999999896E-4</v>
      </c>
      <c r="P5034">
        <v>0.99088299999999996</v>
      </c>
      <c r="Q5034">
        <v>0.12934409999999999</v>
      </c>
      <c r="R5034">
        <v>3.7693379999999999E-2</v>
      </c>
      <c r="S5034">
        <v>3.030151</v>
      </c>
      <c r="T5034">
        <v>9.5670219999999997E-3</v>
      </c>
      <c r="U5034">
        <v>-9.9853520000000001E-2</v>
      </c>
      <c r="V5034">
        <v>-3.7106479999999997E-2</v>
      </c>
      <c r="W5034">
        <v>0.1404715</v>
      </c>
      <c r="X5034">
        <v>0.98938910000000002</v>
      </c>
      <c r="Y5034">
        <v>3.3506920000000003E-2</v>
      </c>
      <c r="Z5034">
        <v>-1.2712849999999999E-4</v>
      </c>
      <c r="AA5034">
        <v>0.99943850000000001</v>
      </c>
      <c r="AB5034">
        <v>26</v>
      </c>
      <c r="AC5034">
        <v>233.50530000000001</v>
      </c>
      <c r="AD5034">
        <v>0.73809099999999905</v>
      </c>
      <c r="AE5034">
        <v>-7.7041000000000102</v>
      </c>
      <c r="AF5034">
        <v>7.8374522485510303</v>
      </c>
      <c r="AG5034">
        <v>0.73809099999999905</v>
      </c>
      <c r="AH5034">
        <v>233.498529089188</v>
      </c>
      <c r="AI5034">
        <v>89.818990053008605</v>
      </c>
      <c r="AJ5034">
        <v>88.077570712259003</v>
      </c>
      <c r="AK5034">
        <v>233.631191245704</v>
      </c>
      <c r="AL5034">
        <v>81.924868862593101</v>
      </c>
      <c r="AM5034">
        <v>92.147839225005896</v>
      </c>
      <c r="AN5034">
        <v>0.99999996218452403</v>
      </c>
    </row>
    <row r="5035" spans="1:40" x14ac:dyDescent="0.25">
      <c r="A5035" t="str">
        <f>"20190303162011407"</f>
        <v>20190303162011407</v>
      </c>
      <c r="B5035" t="str">
        <f>"1551601211397674"</f>
        <v>1551601211397674</v>
      </c>
      <c r="C5035" t="s">
        <v>40</v>
      </c>
      <c r="D5035">
        <v>4.6412430000000002</v>
      </c>
      <c r="E5035">
        <v>0.5241905</v>
      </c>
      <c r="F5035" t="s">
        <v>66</v>
      </c>
      <c r="G5035">
        <v>-168.41059999999999</v>
      </c>
      <c r="H5035">
        <v>1.542459</v>
      </c>
      <c r="I5035">
        <v>207.834</v>
      </c>
      <c r="J5035">
        <v>-401.65480000000002</v>
      </c>
      <c r="K5035">
        <v>1.1211930000000001</v>
      </c>
      <c r="L5035">
        <v>214.7313</v>
      </c>
      <c r="M5035">
        <v>0.99993679999999996</v>
      </c>
      <c r="N5035">
        <v>-1.123445E-2</v>
      </c>
      <c r="O5035">
        <v>5.1207209999999995E-4</v>
      </c>
      <c r="P5035">
        <v>0.99088279999999995</v>
      </c>
      <c r="Q5035">
        <v>0.12927669999999999</v>
      </c>
      <c r="R5035">
        <v>3.7932729999999998E-2</v>
      </c>
      <c r="S5035">
        <v>3.0303040000000001</v>
      </c>
      <c r="T5035">
        <v>5.4674149999999998E-3</v>
      </c>
      <c r="U5035">
        <v>-8.950806E-2</v>
      </c>
      <c r="V5035">
        <v>-3.7404510000000002E-2</v>
      </c>
      <c r="W5035">
        <v>0.14040639999999999</v>
      </c>
      <c r="X5035">
        <v>0.98938720000000002</v>
      </c>
      <c r="Y5035">
        <v>3.003687E-2</v>
      </c>
      <c r="Z5035">
        <v>-1.349988E-4</v>
      </c>
      <c r="AA5035">
        <v>0.99954880000000002</v>
      </c>
      <c r="AB5035">
        <v>26</v>
      </c>
      <c r="AC5035">
        <v>233.24420000000001</v>
      </c>
      <c r="AD5035">
        <v>0.42126599999999897</v>
      </c>
      <c r="AE5035">
        <v>-6.8973000000000004</v>
      </c>
      <c r="AF5035">
        <v>7.0167216072566703</v>
      </c>
      <c r="AG5035">
        <v>0.42126599999999897</v>
      </c>
      <c r="AH5035">
        <v>233.239877101806</v>
      </c>
      <c r="AI5035">
        <v>89.896562186945005</v>
      </c>
      <c r="AJ5035">
        <v>88.276849900962006</v>
      </c>
      <c r="AK5035">
        <v>233.34577801542099</v>
      </c>
      <c r="AL5035">
        <v>81.928636811187602</v>
      </c>
      <c r="AM5035">
        <v>92.1650779363938</v>
      </c>
      <c r="AN5035">
        <v>1.0000000430265601</v>
      </c>
    </row>
    <row r="5036" spans="1:40" x14ac:dyDescent="0.25">
      <c r="A5036" t="str">
        <f>"20190303162011429"</f>
        <v>20190303162011429</v>
      </c>
      <c r="B5036" t="str">
        <f>"1551601211417194"</f>
        <v>1551601211417194</v>
      </c>
      <c r="C5036" t="s">
        <v>40</v>
      </c>
      <c r="D5036">
        <v>4.6568129999999996</v>
      </c>
      <c r="E5036">
        <v>0.52317349999999996</v>
      </c>
      <c r="F5036" t="s">
        <v>66</v>
      </c>
      <c r="G5036">
        <v>-169.3929</v>
      </c>
      <c r="H5036">
        <v>1.3289930000000001</v>
      </c>
      <c r="I5036">
        <v>208.39609999999999</v>
      </c>
      <c r="J5036">
        <v>-401.3854</v>
      </c>
      <c r="K5036">
        <v>1.121192</v>
      </c>
      <c r="L5036">
        <v>214.73140000000001</v>
      </c>
      <c r="M5036">
        <v>0.99993679999999996</v>
      </c>
      <c r="N5036">
        <v>-1.123706E-2</v>
      </c>
      <c r="O5036">
        <v>4.5090629999999999E-4</v>
      </c>
      <c r="P5036">
        <v>0.99078820000000001</v>
      </c>
      <c r="Q5036">
        <v>0.1296234</v>
      </c>
      <c r="R5036">
        <v>3.9201560000000003E-2</v>
      </c>
      <c r="S5036">
        <v>3.0303960000000001</v>
      </c>
      <c r="T5036">
        <v>2.711654E-3</v>
      </c>
      <c r="U5036">
        <v>-8.2656859999999999E-2</v>
      </c>
      <c r="V5036">
        <v>-3.8733900000000002E-2</v>
      </c>
      <c r="W5036">
        <v>0.14075480000000001</v>
      </c>
      <c r="X5036">
        <v>0.98928649999999996</v>
      </c>
      <c r="Y5036">
        <v>2.7716649999999999E-2</v>
      </c>
      <c r="Z5036">
        <v>-1.3789250000000001E-4</v>
      </c>
      <c r="AA5036">
        <v>0.99961580000000005</v>
      </c>
      <c r="AB5036">
        <v>26</v>
      </c>
      <c r="AC5036">
        <v>231.99250000000001</v>
      </c>
      <c r="AD5036">
        <v>0.20780100000000001</v>
      </c>
      <c r="AE5036">
        <v>-6.3353000000000099</v>
      </c>
      <c r="AF5036">
        <v>6.4399076736088601</v>
      </c>
      <c r="AG5036">
        <v>0.20780100000000001</v>
      </c>
      <c r="AH5036">
        <v>231.98943361517101</v>
      </c>
      <c r="AI5036">
        <v>89.948697954907999</v>
      </c>
      <c r="AJ5036">
        <v>88.409906903965904</v>
      </c>
      <c r="AK5036">
        <v>232.078893700371</v>
      </c>
      <c r="AL5036">
        <v>81.908474418950306</v>
      </c>
      <c r="AM5036">
        <v>92.242177558722602</v>
      </c>
      <c r="AN5036">
        <v>1.0000000039072401</v>
      </c>
    </row>
    <row r="5037" spans="1:40" x14ac:dyDescent="0.25">
      <c r="A5037" t="str">
        <f>"20190303162011462"</f>
        <v>20190303162011462</v>
      </c>
      <c r="B5037" t="str">
        <f>"1551601211457210"</f>
        <v>1551601211457210</v>
      </c>
      <c r="C5037" t="s">
        <v>40</v>
      </c>
      <c r="D5037">
        <v>4.8742999999999999</v>
      </c>
      <c r="E5037">
        <v>0.52162730000000002</v>
      </c>
      <c r="F5037" t="s">
        <v>66</v>
      </c>
      <c r="G5037">
        <v>-169.39259999999999</v>
      </c>
      <c r="H5037">
        <v>1.1036549999999901</v>
      </c>
      <c r="I5037">
        <v>209.31880000000001</v>
      </c>
      <c r="J5037">
        <v>-401.0018</v>
      </c>
      <c r="K5037">
        <v>1.1211960000000001</v>
      </c>
      <c r="L5037">
        <v>214.73140000000001</v>
      </c>
      <c r="M5037">
        <v>0.99993690000000002</v>
      </c>
      <c r="N5037">
        <v>-1.124063E-2</v>
      </c>
      <c r="O5037">
        <v>3.6560949999999998E-4</v>
      </c>
      <c r="P5037">
        <v>0.99068210000000001</v>
      </c>
      <c r="Q5037">
        <v>0.13026289999999999</v>
      </c>
      <c r="R5037">
        <v>3.9761669999999999E-2</v>
      </c>
      <c r="S5037">
        <v>3.0307620000000002</v>
      </c>
      <c r="T5037">
        <v>-2.286434E-4</v>
      </c>
      <c r="U5037">
        <v>-7.0709229999999998E-2</v>
      </c>
      <c r="V5037">
        <v>-3.9378410000000003E-2</v>
      </c>
      <c r="W5037">
        <v>0.1413963</v>
      </c>
      <c r="X5037">
        <v>0.98916950000000003</v>
      </c>
      <c r="Y5037">
        <v>2.3689669999999999E-2</v>
      </c>
      <c r="Z5037">
        <v>-1.2997749999999999E-4</v>
      </c>
      <c r="AA5037">
        <v>0.99971940000000004</v>
      </c>
      <c r="AB5037">
        <v>26</v>
      </c>
      <c r="AC5037">
        <v>231.60919999999999</v>
      </c>
      <c r="AD5037">
        <v>-1.7541000000000001E-2</v>
      </c>
      <c r="AE5037">
        <v>-5.4125999999999896</v>
      </c>
      <c r="AF5037">
        <v>5.49728346838695</v>
      </c>
      <c r="AG5037">
        <v>-1.7541000000000001E-2</v>
      </c>
      <c r="AH5037">
        <v>231.60720416794999</v>
      </c>
      <c r="AI5037">
        <v>90.0043381305438</v>
      </c>
      <c r="AJ5037">
        <v>88.640318575465599</v>
      </c>
      <c r="AK5037">
        <v>231.67243568390501</v>
      </c>
      <c r="AL5037">
        <v>81.871347313563703</v>
      </c>
      <c r="AM5037">
        <v>92.279716412271696</v>
      </c>
      <c r="AN5037">
        <v>0.99999993627903205</v>
      </c>
    </row>
    <row r="5038" spans="1:40" x14ac:dyDescent="0.25">
      <c r="A5038" t="str">
        <f>"20190303162011486"</f>
        <v>20190303162011486</v>
      </c>
      <c r="B5038" t="str">
        <f>"1551601211477706"</f>
        <v>1551601211477706</v>
      </c>
      <c r="C5038" t="s">
        <v>40</v>
      </c>
      <c r="D5038">
        <v>4.6094220000000004</v>
      </c>
      <c r="E5038">
        <v>0.52102029999999999</v>
      </c>
      <c r="F5038" t="s">
        <v>66</v>
      </c>
      <c r="G5038">
        <v>-151.66849999999999</v>
      </c>
      <c r="H5038">
        <v>1.0815600000000001</v>
      </c>
      <c r="I5038">
        <v>210.05009999999999</v>
      </c>
      <c r="J5038">
        <v>-400.72460000000001</v>
      </c>
      <c r="K5038">
        <v>1.1212</v>
      </c>
      <c r="L5038">
        <v>214.73150000000001</v>
      </c>
      <c r="M5038">
        <v>0.99993679999999996</v>
      </c>
      <c r="N5038">
        <v>-1.12432E-2</v>
      </c>
      <c r="O5038">
        <v>3.074509E-4</v>
      </c>
      <c r="P5038">
        <v>0.99058159999999895</v>
      </c>
      <c r="Q5038">
        <v>0.13105910000000001</v>
      </c>
      <c r="R5038">
        <v>3.9646649999999999E-2</v>
      </c>
      <c r="S5038">
        <v>3.0305789999999999</v>
      </c>
      <c r="T5038">
        <v>-4.8136709999999999E-4</v>
      </c>
      <c r="U5038">
        <v>-5.6900020000000003E-2</v>
      </c>
      <c r="V5038">
        <v>-3.9321990000000001E-2</v>
      </c>
      <c r="W5038">
        <v>0.1421936</v>
      </c>
      <c r="X5038">
        <v>0.98905750000000003</v>
      </c>
      <c r="Y5038">
        <v>1.9079369999999998E-2</v>
      </c>
      <c r="Z5038">
        <v>-1.053769E-4</v>
      </c>
      <c r="AA5038">
        <v>0.99981799999999998</v>
      </c>
      <c r="AB5038">
        <v>26</v>
      </c>
      <c r="AC5038">
        <v>249.05609999999999</v>
      </c>
      <c r="AD5038">
        <v>-3.9639999999999898E-2</v>
      </c>
      <c r="AE5038">
        <v>-4.6814000000000204</v>
      </c>
      <c r="AF5038">
        <v>4.7579770163924904</v>
      </c>
      <c r="AG5038">
        <v>-3.9639999999999898E-2</v>
      </c>
      <c r="AH5038">
        <v>249.05464252894799</v>
      </c>
      <c r="AI5038">
        <v>90.009117639052903</v>
      </c>
      <c r="AJ5038">
        <v>88.905546021466904</v>
      </c>
      <c r="AK5038">
        <v>249.10009008798099</v>
      </c>
      <c r="AL5038">
        <v>81.825199535306098</v>
      </c>
      <c r="AM5038">
        <v>92.276711065998697</v>
      </c>
      <c r="AN5038">
        <v>0.99999998854238503</v>
      </c>
    </row>
    <row r="5039" spans="1:40" x14ac:dyDescent="0.25">
      <c r="A5039" t="str">
        <f>"20190303162011507"</f>
        <v>20190303162011507</v>
      </c>
      <c r="B5039" t="str">
        <f>"1551601211497780"</f>
        <v>1551601211497780</v>
      </c>
      <c r="C5039" t="s">
        <v>40</v>
      </c>
      <c r="D5039">
        <v>4.7204290000000002</v>
      </c>
      <c r="E5039">
        <v>0.52020189999999999</v>
      </c>
      <c r="F5039" t="s">
        <v>66</v>
      </c>
      <c r="G5039">
        <v>-121.25320000000001</v>
      </c>
      <c r="H5039">
        <v>1.578854</v>
      </c>
      <c r="I5039">
        <v>209.96449999999999</v>
      </c>
      <c r="J5039">
        <v>-400.4615</v>
      </c>
      <c r="K5039">
        <v>1.121205</v>
      </c>
      <c r="L5039">
        <v>214.73150000000001</v>
      </c>
      <c r="M5039">
        <v>0.99993690000000002</v>
      </c>
      <c r="N5039">
        <v>-1.124589E-2</v>
      </c>
      <c r="O5039">
        <v>2.60301E-4</v>
      </c>
      <c r="P5039">
        <v>0.99058630000000003</v>
      </c>
      <c r="Q5039">
        <v>0.13090879999999999</v>
      </c>
      <c r="R5039">
        <v>4.002522E-2</v>
      </c>
      <c r="S5039">
        <v>3.029938</v>
      </c>
      <c r="T5039">
        <v>4.9620869999999996E-3</v>
      </c>
      <c r="U5039">
        <v>-5.1681520000000002E-2</v>
      </c>
      <c r="V5039">
        <v>-3.974871E-2</v>
      </c>
      <c r="W5039">
        <v>0.14204629999999999</v>
      </c>
      <c r="X5039">
        <v>0.98906159999999999</v>
      </c>
      <c r="Y5039">
        <v>1.731487E-2</v>
      </c>
      <c r="Z5039" s="1">
        <v>-7.9839789999999993E-5</v>
      </c>
      <c r="AA5039">
        <v>0.99985009999999996</v>
      </c>
      <c r="AB5039">
        <v>26</v>
      </c>
      <c r="AC5039">
        <v>279.20830000000001</v>
      </c>
      <c r="AD5039">
        <v>0.45764899999999997</v>
      </c>
      <c r="AE5039">
        <v>-4.7670000000000199</v>
      </c>
      <c r="AF5039">
        <v>4.8396696233728598</v>
      </c>
      <c r="AG5039">
        <v>0.45764899999999997</v>
      </c>
      <c r="AH5039">
        <v>279.20629970023901</v>
      </c>
      <c r="AI5039">
        <v>89.906100276179799</v>
      </c>
      <c r="AJ5039">
        <v>89.006953361943502</v>
      </c>
      <c r="AK5039">
        <v>279.248616177359</v>
      </c>
      <c r="AL5039">
        <v>81.8337256788503</v>
      </c>
      <c r="AM5039">
        <v>92.301381852002393</v>
      </c>
      <c r="AN5039">
        <v>0.99999997994245604</v>
      </c>
    </row>
    <row r="5040" spans="1:40" x14ac:dyDescent="0.25">
      <c r="A5040" t="str">
        <f>"20190303162011529"</f>
        <v>20190303162011529</v>
      </c>
      <c r="B5040" t="str">
        <f>"1551601211517300"</f>
        <v>1551601211517300</v>
      </c>
      <c r="C5040" t="s">
        <v>40</v>
      </c>
      <c r="D5040">
        <v>4.684526</v>
      </c>
      <c r="E5040">
        <v>0.51931149999999904</v>
      </c>
      <c r="F5040" t="s">
        <v>67</v>
      </c>
      <c r="G5040">
        <v>-107.39749999999999</v>
      </c>
      <c r="H5040">
        <v>1.678307</v>
      </c>
      <c r="I5040">
        <v>210.47460000000001</v>
      </c>
      <c r="J5040">
        <v>-400.21370000000002</v>
      </c>
      <c r="K5040">
        <v>1.121208</v>
      </c>
      <c r="L5040">
        <v>214.73150000000001</v>
      </c>
      <c r="M5040">
        <v>0.99993679999999996</v>
      </c>
      <c r="N5040">
        <v>-1.124855E-2</v>
      </c>
      <c r="O5040">
        <v>2.2347900000000001E-4</v>
      </c>
      <c r="P5040">
        <v>0.99053999999999998</v>
      </c>
      <c r="Q5040">
        <v>0.13115060000000001</v>
      </c>
      <c r="R5040">
        <v>4.0380050000000001E-2</v>
      </c>
      <c r="S5040">
        <v>3.0295719999999999</v>
      </c>
      <c r="T5040">
        <v>5.7595969999999896E-3</v>
      </c>
      <c r="U5040">
        <v>-4.400635E-2</v>
      </c>
      <c r="V5040">
        <v>-4.0142509999999999E-2</v>
      </c>
      <c r="W5040">
        <v>0.14228940000000001</v>
      </c>
      <c r="X5040">
        <v>0.98901079999999997</v>
      </c>
      <c r="Y5040">
        <v>1.4747649999999999E-2</v>
      </c>
      <c r="Z5040" s="1">
        <v>-6.5995049999999998E-5</v>
      </c>
      <c r="AA5040">
        <v>0.99989119999999998</v>
      </c>
      <c r="AB5040">
        <v>26</v>
      </c>
      <c r="AC5040">
        <v>292.81619999999998</v>
      </c>
      <c r="AD5040">
        <v>0.55709900000000001</v>
      </c>
      <c r="AE5040">
        <v>-4.2568999999999999</v>
      </c>
      <c r="AF5040">
        <v>4.3223266572800796</v>
      </c>
      <c r="AG5040">
        <v>0.55709900000000001</v>
      </c>
      <c r="AH5040">
        <v>292.814181618813</v>
      </c>
      <c r="AI5040">
        <v>89.891002868129405</v>
      </c>
      <c r="AJ5040">
        <v>89.154299533383195</v>
      </c>
      <c r="AK5040">
        <v>292.846611426739</v>
      </c>
      <c r="AL5040">
        <v>81.8196545436669</v>
      </c>
      <c r="AM5040">
        <v>92.324276561312203</v>
      </c>
      <c r="AN5040">
        <v>1.00000002848904</v>
      </c>
    </row>
    <row r="5041" spans="1:40" x14ac:dyDescent="0.25">
      <c r="A5041" t="str">
        <f>"20190303162011552"</f>
        <v>20190303162011552</v>
      </c>
      <c r="B5041" t="str">
        <f>"1551601211537796"</f>
        <v>1551601211537796</v>
      </c>
      <c r="C5041" t="s">
        <v>40</v>
      </c>
      <c r="D5041">
        <v>4.7230420000000004</v>
      </c>
      <c r="E5041">
        <v>0.51853009999999999</v>
      </c>
      <c r="F5041" t="s">
        <v>67</v>
      </c>
      <c r="G5041">
        <v>-107.39749999999999</v>
      </c>
      <c r="H5041">
        <v>1.9076120000000001</v>
      </c>
      <c r="I5041">
        <v>211.25630000000001</v>
      </c>
      <c r="J5041">
        <v>-399.93680000000001</v>
      </c>
      <c r="K5041">
        <v>1.1212329999999999</v>
      </c>
      <c r="L5041">
        <v>214.73150000000001</v>
      </c>
      <c r="M5041">
        <v>0.99993670000000001</v>
      </c>
      <c r="N5041">
        <v>-1.1251519999999999E-2</v>
      </c>
      <c r="O5041">
        <v>1.9408669999999999E-4</v>
      </c>
      <c r="P5041">
        <v>0.99055959999999998</v>
      </c>
      <c r="Q5041">
        <v>0.1311601</v>
      </c>
      <c r="R5041">
        <v>3.9855920000000003E-2</v>
      </c>
      <c r="S5041">
        <v>3.0291139999999999</v>
      </c>
      <c r="T5041">
        <v>8.1356759999999997E-3</v>
      </c>
      <c r="U5041">
        <v>-3.5949710000000003E-2</v>
      </c>
      <c r="V5041">
        <v>-3.965055E-2</v>
      </c>
      <c r="W5041">
        <v>0.1423007</v>
      </c>
      <c r="X5041">
        <v>0.98902900000000005</v>
      </c>
      <c r="Y5041">
        <v>1.206143E-2</v>
      </c>
      <c r="Z5041" s="1">
        <v>-4.895701E-5</v>
      </c>
      <c r="AA5041">
        <v>0.99992729999999996</v>
      </c>
      <c r="AB5041">
        <v>26</v>
      </c>
      <c r="AC5041">
        <v>292.53930000000003</v>
      </c>
      <c r="AD5041">
        <v>0.78637899999999905</v>
      </c>
      <c r="AE5041">
        <v>-3.4752000000000001</v>
      </c>
      <c r="AF5041">
        <v>3.5319559969373899</v>
      </c>
      <c r="AG5041">
        <v>0.78637899999999905</v>
      </c>
      <c r="AH5041">
        <v>292.53650639861303</v>
      </c>
      <c r="AI5041">
        <v>89.845992535186198</v>
      </c>
      <c r="AJ5041">
        <v>89.308269786982194</v>
      </c>
      <c r="AK5041">
        <v>292.55888412591702</v>
      </c>
      <c r="AL5041">
        <v>81.819000285657296</v>
      </c>
      <c r="AM5041">
        <v>92.295780234492099</v>
      </c>
      <c r="AN5041">
        <v>1.00000000908839</v>
      </c>
    </row>
    <row r="5042" spans="1:40" x14ac:dyDescent="0.25">
      <c r="A5042" t="str">
        <f>"20190303162011573"</f>
        <v>20190303162011573</v>
      </c>
      <c r="B5042" t="str">
        <f>"1551601211567076"</f>
        <v>1551601211567076</v>
      </c>
      <c r="C5042" t="s">
        <v>40</v>
      </c>
      <c r="D5042">
        <v>4.6872309999999997</v>
      </c>
      <c r="E5042">
        <v>0.51774830000000005</v>
      </c>
      <c r="F5042" t="s">
        <v>67</v>
      </c>
      <c r="G5042">
        <v>-107.39749999999999</v>
      </c>
      <c r="H5042">
        <v>2.007015</v>
      </c>
      <c r="I5042">
        <v>211.691</v>
      </c>
      <c r="J5042">
        <v>-399.6739</v>
      </c>
      <c r="K5042">
        <v>1.1212489999999999</v>
      </c>
      <c r="L5042">
        <v>214.73159999999999</v>
      </c>
      <c r="M5042">
        <v>0.99993670000000001</v>
      </c>
      <c r="N5042">
        <v>-1.125432E-2</v>
      </c>
      <c r="O5042">
        <v>1.768525E-4</v>
      </c>
      <c r="P5042">
        <v>0.99061060000000001</v>
      </c>
      <c r="Q5042">
        <v>0.13118099999999999</v>
      </c>
      <c r="R5042">
        <v>3.850162E-2</v>
      </c>
      <c r="S5042">
        <v>3.0286559999999998</v>
      </c>
      <c r="T5042">
        <v>9.1710090000000008E-3</v>
      </c>
      <c r="U5042">
        <v>-3.1478880000000001E-2</v>
      </c>
      <c r="V5042">
        <v>-3.831669E-2</v>
      </c>
      <c r="W5042">
        <v>0.142323799999999</v>
      </c>
      <c r="X5042">
        <v>0.98907820000000002</v>
      </c>
      <c r="Y5042">
        <v>1.0570090000000001E-2</v>
      </c>
      <c r="Z5042" s="1">
        <v>-4.0953779999999999E-5</v>
      </c>
      <c r="AA5042">
        <v>0.99994419999999995</v>
      </c>
      <c r="AB5042">
        <v>26</v>
      </c>
      <c r="AC5042">
        <v>292.27640000000002</v>
      </c>
      <c r="AD5042">
        <v>0.88576599999999905</v>
      </c>
      <c r="AE5042">
        <v>-3.0406000000000102</v>
      </c>
      <c r="AF5042">
        <v>3.0922646383346999</v>
      </c>
      <c r="AG5042">
        <v>0.88576599999999905</v>
      </c>
      <c r="AH5042">
        <v>292.273173595402</v>
      </c>
      <c r="AI5042">
        <v>89.8263690873396</v>
      </c>
      <c r="AJ5042">
        <v>89.393830434768802</v>
      </c>
      <c r="AK5042">
        <v>292.29087342154202</v>
      </c>
      <c r="AL5042">
        <v>81.817662732867603</v>
      </c>
      <c r="AM5042">
        <v>92.218517557615201</v>
      </c>
      <c r="AN5042">
        <v>0.99999995924711704</v>
      </c>
    </row>
    <row r="5043" spans="1:40" x14ac:dyDescent="0.25">
      <c r="A5043" t="str">
        <f>"20190303162011597"</f>
        <v>20190303162011597</v>
      </c>
      <c r="B5043" t="str">
        <f>"1551601211587572"</f>
        <v>1551601211587572</v>
      </c>
      <c r="C5043" t="s">
        <v>40</v>
      </c>
      <c r="D5043">
        <v>4.7000950000000001</v>
      </c>
      <c r="E5043">
        <v>0.51734780000000002</v>
      </c>
      <c r="F5043" t="s">
        <v>67</v>
      </c>
      <c r="G5043">
        <v>-107.39749999999999</v>
      </c>
      <c r="H5043">
        <v>2.1626500000000002</v>
      </c>
      <c r="I5043">
        <v>211.9273</v>
      </c>
      <c r="J5043">
        <v>-399.40609999999998</v>
      </c>
      <c r="K5043">
        <v>1.121256</v>
      </c>
      <c r="L5043">
        <v>214.73159999999999</v>
      </c>
      <c r="M5043">
        <v>0.99993670000000001</v>
      </c>
      <c r="N5043">
        <v>-1.125715E-2</v>
      </c>
      <c r="O5043">
        <v>1.68000999999999E-4</v>
      </c>
      <c r="P5043">
        <v>0.99063650000000003</v>
      </c>
      <c r="Q5043">
        <v>0.1312961</v>
      </c>
      <c r="R5043">
        <v>3.7432310000000003E-2</v>
      </c>
      <c r="S5043">
        <v>3.0281069999999999</v>
      </c>
      <c r="T5043">
        <v>1.078987E-2</v>
      </c>
      <c r="U5043">
        <v>-2.9052729999999999E-2</v>
      </c>
      <c r="V5043">
        <v>-3.7258640000000003E-2</v>
      </c>
      <c r="W5043">
        <v>0.1424414</v>
      </c>
      <c r="X5043">
        <v>0.98910180000000003</v>
      </c>
      <c r="Y5043">
        <v>9.7620350000000005E-3</v>
      </c>
      <c r="Z5043" s="1">
        <v>-3.5067400000000002E-5</v>
      </c>
      <c r="AA5043">
        <v>0.99995239999999996</v>
      </c>
      <c r="AB5043">
        <v>26</v>
      </c>
      <c r="AC5043">
        <v>292.0086</v>
      </c>
      <c r="AD5043">
        <v>1.0413939999999999</v>
      </c>
      <c r="AE5043">
        <v>-2.80429999999998</v>
      </c>
      <c r="AF5043">
        <v>2.85332451517883</v>
      </c>
      <c r="AG5043">
        <v>1.0413939999999999</v>
      </c>
      <c r="AH5043">
        <v>292.00441118262199</v>
      </c>
      <c r="AI5043">
        <v>89.795673019311195</v>
      </c>
      <c r="AJ5043">
        <v>89.440151439251807</v>
      </c>
      <c r="AK5043">
        <v>292.02020839723099</v>
      </c>
      <c r="AL5043">
        <v>81.810856263388501</v>
      </c>
      <c r="AM5043">
        <v>92.157264259863197</v>
      </c>
      <c r="AN5043">
        <v>1.00000006472592</v>
      </c>
    </row>
    <row r="5044" spans="1:40" x14ac:dyDescent="0.25">
      <c r="A5044" t="str">
        <f>"20190303162011618"</f>
        <v>20190303162011618</v>
      </c>
      <c r="B5044" t="str">
        <f>"1551601211607092"</f>
        <v>1551601211607092</v>
      </c>
      <c r="C5044" t="s">
        <v>40</v>
      </c>
      <c r="D5044">
        <v>4.6979579999999999</v>
      </c>
      <c r="E5044">
        <v>0.51701739999999996</v>
      </c>
      <c r="F5044" t="s">
        <v>67</v>
      </c>
      <c r="G5044">
        <v>-107.39749999999999</v>
      </c>
      <c r="H5044">
        <v>2.18798</v>
      </c>
      <c r="I5044">
        <v>211.90039999999999</v>
      </c>
      <c r="J5044">
        <v>-399.15570000000002</v>
      </c>
      <c r="K5044">
        <v>1.121254</v>
      </c>
      <c r="L5044">
        <v>214.73159999999999</v>
      </c>
      <c r="M5044">
        <v>0.99993670000000001</v>
      </c>
      <c r="N5044">
        <v>-1.12598E-2</v>
      </c>
      <c r="O5044">
        <v>1.6566509999999999E-4</v>
      </c>
      <c r="P5044">
        <v>0.99076850000000005</v>
      </c>
      <c r="Q5044">
        <v>0.13049520000000001</v>
      </c>
      <c r="R5044">
        <v>3.6729970000000001E-2</v>
      </c>
      <c r="S5044">
        <v>3.0280149999999999</v>
      </c>
      <c r="T5044">
        <v>1.106203E-2</v>
      </c>
      <c r="U5044">
        <v>-2.9357910000000001E-2</v>
      </c>
      <c r="V5044">
        <v>-3.6560589999999997E-2</v>
      </c>
      <c r="W5044">
        <v>0.1416441</v>
      </c>
      <c r="X5044">
        <v>0.98924230000000002</v>
      </c>
      <c r="Y5044">
        <v>9.8607620000000003E-3</v>
      </c>
      <c r="Z5044" s="1">
        <v>-3.5035900000000001E-5</v>
      </c>
      <c r="AA5044">
        <v>0.99995140000000005</v>
      </c>
      <c r="AB5044">
        <v>27</v>
      </c>
      <c r="AC5044">
        <v>291.75819999999999</v>
      </c>
      <c r="AD5044">
        <v>1.0667259999999901</v>
      </c>
      <c r="AE5044">
        <v>-2.8311999999999902</v>
      </c>
      <c r="AF5044">
        <v>2.8794986826951599</v>
      </c>
      <c r="AG5044">
        <v>1.0667259999999901</v>
      </c>
      <c r="AH5044">
        <v>291.75382719842202</v>
      </c>
      <c r="AI5044">
        <v>89.790523231803206</v>
      </c>
      <c r="AJ5044">
        <v>89.434530931220394</v>
      </c>
      <c r="AK5044">
        <v>291.76998663664801</v>
      </c>
      <c r="AL5044">
        <v>81.857005820631301</v>
      </c>
      <c r="AM5044">
        <v>92.116584108937005</v>
      </c>
      <c r="AN5044">
        <v>1.00000002795762</v>
      </c>
    </row>
    <row r="5045" spans="1:40" x14ac:dyDescent="0.25">
      <c r="A5045" t="str">
        <f>"20190303162011641"</f>
        <v>20190303162011641</v>
      </c>
      <c r="B5045" t="str">
        <f>"1551601211627588"</f>
        <v>1551601211627588</v>
      </c>
      <c r="C5045" t="s">
        <v>40</v>
      </c>
      <c r="D5045">
        <v>4.6816740000000001</v>
      </c>
      <c r="E5045">
        <v>0.51672109999999905</v>
      </c>
      <c r="F5045" t="s">
        <v>67</v>
      </c>
      <c r="G5045">
        <v>-107.39749999999999</v>
      </c>
      <c r="H5045">
        <v>1.9689380000000001</v>
      </c>
      <c r="I5045">
        <v>211.941</v>
      </c>
      <c r="J5045">
        <v>-398.88499999999999</v>
      </c>
      <c r="K5045">
        <v>1.1212569999999999</v>
      </c>
      <c r="L5045">
        <v>214.73169999999999</v>
      </c>
      <c r="M5045">
        <v>0.99993659999999995</v>
      </c>
      <c r="N5045">
        <v>-1.1262619999999999E-2</v>
      </c>
      <c r="O5045">
        <v>1.67887E-4</v>
      </c>
      <c r="P5045">
        <v>0.99076830000000005</v>
      </c>
      <c r="Q5045">
        <v>0.1304556</v>
      </c>
      <c r="R5045">
        <v>3.6875650000000003E-2</v>
      </c>
      <c r="S5045">
        <v>3.027863</v>
      </c>
      <c r="T5045">
        <v>8.7977650000000008E-3</v>
      </c>
      <c r="U5045">
        <v>-2.896118E-2</v>
      </c>
      <c r="V5045">
        <v>-3.6704649999999998E-2</v>
      </c>
      <c r="W5045">
        <v>0.14160729999999999</v>
      </c>
      <c r="X5045">
        <v>0.98924219999999896</v>
      </c>
      <c r="Y5045">
        <v>9.7324479999999994E-3</v>
      </c>
      <c r="Z5045" s="1">
        <v>-3.8291509999999998E-5</v>
      </c>
      <c r="AA5045">
        <v>0.99995259999999997</v>
      </c>
      <c r="AB5045">
        <v>27</v>
      </c>
      <c r="AC5045">
        <v>291.48750000000001</v>
      </c>
      <c r="AD5045">
        <v>0.84768100000000002</v>
      </c>
      <c r="AE5045">
        <v>-2.79070000000001</v>
      </c>
      <c r="AF5045">
        <v>2.8396160117759899</v>
      </c>
      <c r="AG5045">
        <v>0.84768100000000002</v>
      </c>
      <c r="AH5045">
        <v>291.48456243121899</v>
      </c>
      <c r="AI5045">
        <v>89.833383621284398</v>
      </c>
      <c r="AJ5045">
        <v>89.441847400395503</v>
      </c>
      <c r="AK5045">
        <v>291.49962627401601</v>
      </c>
      <c r="AL5045">
        <v>81.859135500398395</v>
      </c>
      <c r="AM5045">
        <v>92.124916687392798</v>
      </c>
      <c r="AN5045">
        <v>0.99999999450287602</v>
      </c>
    </row>
    <row r="5046" spans="1:40" x14ac:dyDescent="0.25">
      <c r="A5046" t="str">
        <f>"20190303162011663"</f>
        <v>20190303162011663</v>
      </c>
      <c r="B5046" t="str">
        <f>"1551601211657844"</f>
        <v>1551601211657844</v>
      </c>
      <c r="C5046" t="s">
        <v>40</v>
      </c>
      <c r="D5046">
        <v>4.6928419999999997</v>
      </c>
      <c r="E5046">
        <v>0.51629290000000005</v>
      </c>
      <c r="F5046" t="s">
        <v>67</v>
      </c>
      <c r="G5046">
        <v>-107.39749999999999</v>
      </c>
      <c r="H5046">
        <v>2.0298240000000001</v>
      </c>
      <c r="I5046">
        <v>212.18879999999999</v>
      </c>
      <c r="J5046">
        <v>-398.6173</v>
      </c>
      <c r="K5046">
        <v>1.121259</v>
      </c>
      <c r="L5046">
        <v>214.73179999999999</v>
      </c>
      <c r="M5046">
        <v>0.99993659999999995</v>
      </c>
      <c r="N5046">
        <v>-1.126538E-2</v>
      </c>
      <c r="O5046">
        <v>1.7258710000000001E-4</v>
      </c>
      <c r="P5046">
        <v>0.99071560000000003</v>
      </c>
      <c r="Q5046">
        <v>0.13058499999999901</v>
      </c>
      <c r="R5046">
        <v>3.781996E-2</v>
      </c>
      <c r="S5046">
        <v>3.027679</v>
      </c>
      <c r="T5046">
        <v>9.4377990000000002E-3</v>
      </c>
      <c r="U5046">
        <v>-2.6412959999999999E-2</v>
      </c>
      <c r="V5046">
        <v>-3.7644499999999997E-2</v>
      </c>
      <c r="W5046">
        <v>0.14173859999999999</v>
      </c>
      <c r="X5046">
        <v>0.98918810000000001</v>
      </c>
      <c r="Y5046">
        <v>8.8961860000000004E-3</v>
      </c>
      <c r="Z5046" s="1">
        <v>-3.3764260000000002E-5</v>
      </c>
      <c r="AA5046">
        <v>0.99996039999999997</v>
      </c>
      <c r="AB5046">
        <v>27</v>
      </c>
      <c r="AC5046">
        <v>291.21980000000002</v>
      </c>
      <c r="AD5046">
        <v>0.90856499999999996</v>
      </c>
      <c r="AE5046">
        <v>-2.5430000000000001</v>
      </c>
      <c r="AF5046">
        <v>2.5932386894208901</v>
      </c>
      <c r="AG5046">
        <v>0.90856499999999996</v>
      </c>
      <c r="AH5046">
        <v>291.21652239789501</v>
      </c>
      <c r="AI5046">
        <v>89.821250845371097</v>
      </c>
      <c r="AJ5046">
        <v>89.489803312626606</v>
      </c>
      <c r="AK5046">
        <v>291.22948562050402</v>
      </c>
      <c r="AL5046">
        <v>81.851536105354498</v>
      </c>
      <c r="AM5046">
        <v>92.179394032379406</v>
      </c>
      <c r="AN5046">
        <v>1.0000000181458999</v>
      </c>
    </row>
    <row r="5047" spans="1:40" x14ac:dyDescent="0.25">
      <c r="A5047" t="str">
        <f>"20190303162011687"</f>
        <v>20190303162011687</v>
      </c>
      <c r="B5047" t="str">
        <f>"1551601211677364"</f>
        <v>1551601211677364</v>
      </c>
      <c r="C5047" t="s">
        <v>40</v>
      </c>
      <c r="D5047">
        <v>4.6783299999999999</v>
      </c>
      <c r="E5047">
        <v>0.51604649999999996</v>
      </c>
      <c r="F5047" t="s">
        <v>67</v>
      </c>
      <c r="G5047">
        <v>-107.39749999999999</v>
      </c>
      <c r="H5047">
        <v>2.1303359999999998</v>
      </c>
      <c r="I5047">
        <v>212.7268</v>
      </c>
      <c r="J5047">
        <v>-398.34730000000002</v>
      </c>
      <c r="K5047">
        <v>1.1212569999999999</v>
      </c>
      <c r="L5047">
        <v>214.73179999999999</v>
      </c>
      <c r="M5047">
        <v>0.99993650000000001</v>
      </c>
      <c r="N5047">
        <v>-1.1267910000000001E-2</v>
      </c>
      <c r="O5047">
        <v>1.7763450000000001E-4</v>
      </c>
      <c r="P5047">
        <v>0.9906045</v>
      </c>
      <c r="Q5047">
        <v>0.13093389999999999</v>
      </c>
      <c r="R5047">
        <v>3.9489539999999997E-2</v>
      </c>
      <c r="S5047">
        <v>3.0275270000000001</v>
      </c>
      <c r="T5047">
        <v>1.0490889999999999E-2</v>
      </c>
      <c r="U5047">
        <v>-2.0843509999999999E-2</v>
      </c>
      <c r="V5047">
        <v>-3.9309370000000003E-2</v>
      </c>
      <c r="W5047">
        <v>0.142089299999999</v>
      </c>
      <c r="X5047">
        <v>0.98907299999999998</v>
      </c>
      <c r="Y5047">
        <v>7.0622189999999998E-3</v>
      </c>
      <c r="Z5047" s="1">
        <v>-2.4936850000000002E-5</v>
      </c>
      <c r="AA5047">
        <v>0.99997510000000001</v>
      </c>
      <c r="AB5047">
        <v>27</v>
      </c>
      <c r="AC5047">
        <v>290.94979999999998</v>
      </c>
      <c r="AD5047">
        <v>1.0090790000000001</v>
      </c>
      <c r="AE5047">
        <v>-2.0049999999999901</v>
      </c>
      <c r="AF5047">
        <v>2.05666123432604</v>
      </c>
      <c r="AG5047">
        <v>1.0090790000000001</v>
      </c>
      <c r="AH5047">
        <v>290.945939730205</v>
      </c>
      <c r="AI5047">
        <v>89.801288542821993</v>
      </c>
      <c r="AJ5047">
        <v>89.594989893885995</v>
      </c>
      <c r="AK5047">
        <v>290.954958612761</v>
      </c>
      <c r="AL5047">
        <v>81.831236859243802</v>
      </c>
      <c r="AM5047">
        <v>92.275945516918298</v>
      </c>
      <c r="AN5047">
        <v>0.99999999753664304</v>
      </c>
    </row>
    <row r="5048" spans="1:40" x14ac:dyDescent="0.25">
      <c r="A5048" t="str">
        <f>"20190303162011709"</f>
        <v>20190303162011709</v>
      </c>
      <c r="B5048" t="str">
        <f>"1551601211697860"</f>
        <v>1551601211697860</v>
      </c>
      <c r="C5048" t="s">
        <v>40</v>
      </c>
      <c r="D5048">
        <v>4.6472670000000003</v>
      </c>
      <c r="E5048">
        <v>0.51583809999999997</v>
      </c>
      <c r="F5048" t="s">
        <v>67</v>
      </c>
      <c r="G5048">
        <v>-107.39749999999999</v>
      </c>
      <c r="H5048">
        <v>2.2370950000000001</v>
      </c>
      <c r="I5048">
        <v>213.38120000000001</v>
      </c>
      <c r="J5048">
        <v>-398.07569999999998</v>
      </c>
      <c r="K5048">
        <v>1.1212569999999999</v>
      </c>
      <c r="L5048">
        <v>214.7319</v>
      </c>
      <c r="M5048">
        <v>0.99993659999999995</v>
      </c>
      <c r="N5048">
        <v>-1.127042E-2</v>
      </c>
      <c r="O5048">
        <v>1.813099E-4</v>
      </c>
      <c r="P5048">
        <v>0.99048630000000004</v>
      </c>
      <c r="Q5048">
        <v>0.13138749999999999</v>
      </c>
      <c r="R5048">
        <v>4.0923340000000002E-2</v>
      </c>
      <c r="S5048">
        <v>3.027466</v>
      </c>
      <c r="T5048">
        <v>1.161134E-2</v>
      </c>
      <c r="U5048">
        <v>-1.4053339999999999E-2</v>
      </c>
      <c r="V5048">
        <v>-4.0738969999999999E-2</v>
      </c>
      <c r="W5048">
        <v>0.1425438</v>
      </c>
      <c r="X5048">
        <v>0.98894979999999999</v>
      </c>
      <c r="Y5048">
        <v>4.8232680000000003E-3</v>
      </c>
      <c r="Z5048" s="1">
        <v>-1.519275E-5</v>
      </c>
      <c r="AA5048">
        <v>0.9999884</v>
      </c>
      <c r="AB5048">
        <v>27</v>
      </c>
      <c r="AC5048">
        <v>290.6782</v>
      </c>
      <c r="AD5048">
        <v>1.1158379999999899</v>
      </c>
      <c r="AE5048">
        <v>-1.35069999999998</v>
      </c>
      <c r="AF5048">
        <v>1.40338547414054</v>
      </c>
      <c r="AG5048">
        <v>1.1158379999999899</v>
      </c>
      <c r="AH5048">
        <v>290.673667058261</v>
      </c>
      <c r="AI5048">
        <v>89.7800566198149</v>
      </c>
      <c r="AJ5048">
        <v>89.723375561502905</v>
      </c>
      <c r="AK5048">
        <v>290.67919654892398</v>
      </c>
      <c r="AL5048">
        <v>81.804928591452096</v>
      </c>
      <c r="AM5048">
        <v>92.358918575859803</v>
      </c>
      <c r="AN5048">
        <v>1.0000000527575601</v>
      </c>
    </row>
    <row r="5049" spans="1:40" x14ac:dyDescent="0.25">
      <c r="A5049" t="str">
        <f>"20190303162011730"</f>
        <v>20190303162011730</v>
      </c>
      <c r="B5049" t="str">
        <f>"1551601211717380"</f>
        <v>1551601211717380</v>
      </c>
      <c r="C5049" t="s">
        <v>40</v>
      </c>
      <c r="D5049">
        <v>4.7072629999999904</v>
      </c>
      <c r="E5049">
        <v>0.51586369999999904</v>
      </c>
      <c r="F5049" t="s">
        <v>67</v>
      </c>
      <c r="G5049">
        <v>-107.39749999999999</v>
      </c>
      <c r="H5049">
        <v>2.382034</v>
      </c>
      <c r="I5049">
        <v>213.97880000000001</v>
      </c>
      <c r="J5049">
        <v>-397.8279</v>
      </c>
      <c r="K5049">
        <v>1.121254</v>
      </c>
      <c r="L5049">
        <v>214.7319</v>
      </c>
      <c r="M5049">
        <v>0.99993650000000001</v>
      </c>
      <c r="N5049">
        <v>-1.127276E-2</v>
      </c>
      <c r="O5049">
        <v>1.8349849999999999E-4</v>
      </c>
      <c r="P5049">
        <v>0.99051699999999998</v>
      </c>
      <c r="Q5049">
        <v>0.13079289999999999</v>
      </c>
      <c r="R5049">
        <v>4.206207E-2</v>
      </c>
      <c r="S5049">
        <v>3.0274350000000001</v>
      </c>
      <c r="T5049">
        <v>1.313162E-2</v>
      </c>
      <c r="U5049">
        <v>-7.8430180000000002E-3</v>
      </c>
      <c r="V5049">
        <v>-4.1875719999999998E-2</v>
      </c>
      <c r="W5049">
        <v>0.14195239999999901</v>
      </c>
      <c r="X5049">
        <v>0.98898730000000001</v>
      </c>
      <c r="Y5049">
        <v>2.774168E-3</v>
      </c>
      <c r="Z5049" s="1">
        <v>-6.7556789999999996E-6</v>
      </c>
      <c r="AA5049">
        <v>0.99999610000000005</v>
      </c>
      <c r="AB5049">
        <v>27</v>
      </c>
      <c r="AC5049">
        <v>290.43040000000002</v>
      </c>
      <c r="AD5049">
        <v>1.26077999999999</v>
      </c>
      <c r="AE5049">
        <v>-0.753099999999989</v>
      </c>
      <c r="AF5049">
        <v>0.806381717428163</v>
      </c>
      <c r="AG5049">
        <v>1.26077999999999</v>
      </c>
      <c r="AH5049">
        <v>290.42478391098399</v>
      </c>
      <c r="AI5049">
        <v>89.751272464774999</v>
      </c>
      <c r="AJ5049">
        <v>89.840915263033907</v>
      </c>
      <c r="AK5049">
        <v>290.42863999169299</v>
      </c>
      <c r="AL5049">
        <v>81.839160744031005</v>
      </c>
      <c r="AM5049">
        <v>92.424570770841996</v>
      </c>
      <c r="AN5049">
        <v>0.99999996967628302</v>
      </c>
    </row>
    <row r="5050" spans="1:40" x14ac:dyDescent="0.25">
      <c r="A5050" t="str">
        <f>"20190303162011752"</f>
        <v>20190303162011752</v>
      </c>
      <c r="B5050" t="str">
        <f>"1551601211737876"</f>
        <v>1551601211737876</v>
      </c>
      <c r="C5050" t="s">
        <v>40</v>
      </c>
      <c r="D5050">
        <v>4.7047140000000001</v>
      </c>
      <c r="E5050">
        <v>0.5159724</v>
      </c>
      <c r="F5050" t="s">
        <v>67</v>
      </c>
      <c r="G5050">
        <v>-107.39749999999999</v>
      </c>
      <c r="H5050">
        <v>2.0787309999999999</v>
      </c>
      <c r="I5050">
        <v>214.3031</v>
      </c>
      <c r="J5050">
        <v>-397.56209999999999</v>
      </c>
      <c r="K5050">
        <v>1.1212519999999999</v>
      </c>
      <c r="L5050">
        <v>214.732</v>
      </c>
      <c r="M5050">
        <v>0.99993650000000001</v>
      </c>
      <c r="N5050">
        <v>-1.127527E-2</v>
      </c>
      <c r="O5050">
        <v>1.8449490000000001E-4</v>
      </c>
      <c r="P5050">
        <v>0.99059390000000003</v>
      </c>
      <c r="Q5050">
        <v>0.1300288</v>
      </c>
      <c r="R5050">
        <v>4.2620289999999998E-2</v>
      </c>
      <c r="S5050">
        <v>3.0275569999999998</v>
      </c>
      <c r="T5050">
        <v>9.9816320000000007E-3</v>
      </c>
      <c r="U5050">
        <v>-4.4708250000000003E-3</v>
      </c>
      <c r="V5050">
        <v>-4.2432600000000001E-2</v>
      </c>
      <c r="W5050">
        <v>0.14119139999999999</v>
      </c>
      <c r="X5050">
        <v>0.98907250000000002</v>
      </c>
      <c r="Y5050">
        <v>1.6612179999999999E-3</v>
      </c>
      <c r="Z5050" s="1">
        <v>-3.938597E-6</v>
      </c>
      <c r="AA5050">
        <v>0.99999859999999896</v>
      </c>
      <c r="AB5050">
        <v>27</v>
      </c>
      <c r="AC5050">
        <v>290.16460000000001</v>
      </c>
      <c r="AD5050">
        <v>0.95747899999999997</v>
      </c>
      <c r="AE5050">
        <v>-0.42889999999999801</v>
      </c>
      <c r="AF5050">
        <v>0.48243202729756501</v>
      </c>
      <c r="AG5050">
        <v>0.95747899999999997</v>
      </c>
      <c r="AH5050">
        <v>290.161356499421</v>
      </c>
      <c r="AI5050">
        <v>89.810935434706707</v>
      </c>
      <c r="AJ5050">
        <v>89.904738198326896</v>
      </c>
      <c r="AK5050">
        <v>290.163337298633</v>
      </c>
      <c r="AL5050">
        <v>81.883206496490203</v>
      </c>
      <c r="AM5050">
        <v>92.456563060192195</v>
      </c>
      <c r="AN5050">
        <v>0.99999997361648396</v>
      </c>
    </row>
    <row r="5051" spans="1:40" x14ac:dyDescent="0.25">
      <c r="A5051" t="str">
        <f>"20190303162011775"</f>
        <v>20190303162011775</v>
      </c>
      <c r="B5051" t="str">
        <f>"1551601211767156"</f>
        <v>1551601211767156</v>
      </c>
      <c r="C5051" t="s">
        <v>40</v>
      </c>
      <c r="D5051">
        <v>4.6890150000000004</v>
      </c>
      <c r="E5051">
        <v>0.51629329999999996</v>
      </c>
      <c r="F5051" t="s">
        <v>67</v>
      </c>
      <c r="G5051">
        <v>-107.39749999999999</v>
      </c>
      <c r="H5051">
        <v>1.7834099999999999</v>
      </c>
      <c r="I5051">
        <v>214.37370000000001</v>
      </c>
      <c r="J5051">
        <v>-397.2842</v>
      </c>
      <c r="K5051">
        <v>1.1212530000000001</v>
      </c>
      <c r="L5051">
        <v>214.732</v>
      </c>
      <c r="M5051">
        <v>0.99993650000000001</v>
      </c>
      <c r="N5051">
        <v>-1.1277799999999999E-2</v>
      </c>
      <c r="O5051">
        <v>1.8501389999999999E-4</v>
      </c>
      <c r="P5051">
        <v>0.99055139999999997</v>
      </c>
      <c r="Q5051">
        <v>0.13031980000000001</v>
      </c>
      <c r="R5051">
        <v>4.2718739999999998E-2</v>
      </c>
      <c r="S5051">
        <v>3.0277400000000001</v>
      </c>
      <c r="T5051">
        <v>6.9098469999999898E-3</v>
      </c>
      <c r="U5051">
        <v>-3.738403E-3</v>
      </c>
      <c r="V5051">
        <v>-4.2530789999999999E-2</v>
      </c>
      <c r="W5051">
        <v>0.14148459999999999</v>
      </c>
      <c r="X5051">
        <v>0.98902639999999997</v>
      </c>
      <c r="Y5051">
        <v>1.4197389999999999E-3</v>
      </c>
      <c r="Z5051" s="1">
        <v>-3.8771079999999999E-6</v>
      </c>
      <c r="AA5051">
        <v>0.99999899999999997</v>
      </c>
      <c r="AB5051">
        <v>27</v>
      </c>
      <c r="AC5051">
        <v>289.88670000000002</v>
      </c>
      <c r="AD5051">
        <v>0.662156999999999</v>
      </c>
      <c r="AE5051">
        <v>-0.35829999999998502</v>
      </c>
      <c r="AF5051">
        <v>0.41193431851162199</v>
      </c>
      <c r="AG5051">
        <v>0.662156999999999</v>
      </c>
      <c r="AH5051">
        <v>289.88511625982898</v>
      </c>
      <c r="AI5051">
        <v>89.869125060035003</v>
      </c>
      <c r="AJ5051">
        <v>89.918581256239804</v>
      </c>
      <c r="AK5051">
        <v>289.88616519377001</v>
      </c>
      <c r="AL5051">
        <v>81.866237157931096</v>
      </c>
      <c r="AM5051">
        <v>92.462355242260699</v>
      </c>
      <c r="AN5051">
        <v>0.99999999001607098</v>
      </c>
    </row>
    <row r="5052" spans="1:40" x14ac:dyDescent="0.25">
      <c r="A5052" t="str">
        <f>"20190303162011797"</f>
        <v>20190303162011797</v>
      </c>
      <c r="B5052" t="str">
        <f>"1551601211787652"</f>
        <v>1551601211787652</v>
      </c>
      <c r="C5052" t="s">
        <v>40</v>
      </c>
      <c r="D5052">
        <v>4.6654169999999997</v>
      </c>
      <c r="E5052">
        <v>0.51648099999999997</v>
      </c>
      <c r="F5052" t="s">
        <v>67</v>
      </c>
      <c r="G5052">
        <v>-107.39749999999999</v>
      </c>
      <c r="H5052">
        <v>1.7818780000000001</v>
      </c>
      <c r="I5052">
        <v>214.1156</v>
      </c>
      <c r="J5052">
        <v>-397.03269999999998</v>
      </c>
      <c r="K5052">
        <v>1.1212530000000001</v>
      </c>
      <c r="L5052">
        <v>214.7321</v>
      </c>
      <c r="M5052">
        <v>0.99993650000000001</v>
      </c>
      <c r="N5052">
        <v>-1.128004E-2</v>
      </c>
      <c r="O5052">
        <v>1.85117E-4</v>
      </c>
      <c r="P5052">
        <v>0.99051699999999998</v>
      </c>
      <c r="Q5052">
        <v>0.13063419999999901</v>
      </c>
      <c r="R5052">
        <v>4.2554849999999998E-2</v>
      </c>
      <c r="S5052">
        <v>3.0279850000000001</v>
      </c>
      <c r="T5052">
        <v>6.9010259999999898E-3</v>
      </c>
      <c r="U5052">
        <v>-6.4392090000000004E-3</v>
      </c>
      <c r="V5052">
        <v>-4.2366620000000001E-2</v>
      </c>
      <c r="W5052">
        <v>0.14180039999999999</v>
      </c>
      <c r="X5052">
        <v>0.98898819999999998</v>
      </c>
      <c r="Y5052">
        <v>2.3116970000000001E-3</v>
      </c>
      <c r="Z5052" s="1">
        <v>-7.8940340000000007E-6</v>
      </c>
      <c r="AA5052">
        <v>0.99999729999999998</v>
      </c>
      <c r="AB5052">
        <v>27</v>
      </c>
      <c r="AC5052">
        <v>289.6352</v>
      </c>
      <c r="AD5052">
        <v>0.66062499999999902</v>
      </c>
      <c r="AE5052">
        <v>-0.61650000000000205</v>
      </c>
      <c r="AF5052">
        <v>0.67011630646651599</v>
      </c>
      <c r="AG5052">
        <v>0.66062499999999902</v>
      </c>
      <c r="AH5052">
        <v>289.63357410952102</v>
      </c>
      <c r="AI5052">
        <v>89.869314676280695</v>
      </c>
      <c r="AJ5052">
        <v>89.867436750895806</v>
      </c>
      <c r="AK5052">
        <v>289.63510272877897</v>
      </c>
      <c r="AL5052">
        <v>81.847958717280605</v>
      </c>
      <c r="AM5052">
        <v>92.4529567426695</v>
      </c>
      <c r="AN5052">
        <v>0.99999997183481104</v>
      </c>
    </row>
    <row r="5053" spans="1:40" x14ac:dyDescent="0.25">
      <c r="A5053" t="str">
        <f>"20190303162011820"</f>
        <v>20190303162011820</v>
      </c>
      <c r="B5053" t="str">
        <f>"1551601211807172"</f>
        <v>1551601211807172</v>
      </c>
      <c r="C5053" t="s">
        <v>40</v>
      </c>
      <c r="D5053">
        <v>4.6351079999999998</v>
      </c>
      <c r="E5053">
        <v>0.51669759999999998</v>
      </c>
      <c r="F5053" t="s">
        <v>67</v>
      </c>
      <c r="G5053">
        <v>-107.39749999999999</v>
      </c>
      <c r="H5053">
        <v>1.809207</v>
      </c>
      <c r="I5053">
        <v>213.94980000000001</v>
      </c>
      <c r="J5053">
        <v>-396.75240000000002</v>
      </c>
      <c r="K5053">
        <v>1.1212519999999999</v>
      </c>
      <c r="L5053">
        <v>214.7321</v>
      </c>
      <c r="M5053">
        <v>0.9999363</v>
      </c>
      <c r="N5053">
        <v>-1.1282530000000001E-2</v>
      </c>
      <c r="O5053">
        <v>1.854565E-4</v>
      </c>
      <c r="P5053">
        <v>0.99051279999999997</v>
      </c>
      <c r="Q5053">
        <v>0.13077549999999999</v>
      </c>
      <c r="R5053">
        <v>4.2216759999999999E-2</v>
      </c>
      <c r="S5053">
        <v>3.0281370000000001</v>
      </c>
      <c r="T5053">
        <v>7.1930889999999997E-3</v>
      </c>
      <c r="U5053">
        <v>-8.178711E-3</v>
      </c>
      <c r="V5053">
        <v>-4.2028089999999997E-2</v>
      </c>
      <c r="W5053">
        <v>0.1419444</v>
      </c>
      <c r="X5053">
        <v>0.98898200000000003</v>
      </c>
      <c r="Y5053">
        <v>2.8863769999999999E-3</v>
      </c>
      <c r="Z5053" s="1">
        <v>-1.032211E-5</v>
      </c>
      <c r="AA5053">
        <v>0.99999579999999999</v>
      </c>
      <c r="AB5053">
        <v>27</v>
      </c>
      <c r="AC5053">
        <v>289.35489999999999</v>
      </c>
      <c r="AD5053">
        <v>0.68795499999999898</v>
      </c>
      <c r="AE5053">
        <v>-0.782299999999992</v>
      </c>
      <c r="AF5053">
        <v>0.83596142573740295</v>
      </c>
      <c r="AG5053">
        <v>0.68795499999999898</v>
      </c>
      <c r="AH5053">
        <v>289.35311430785799</v>
      </c>
      <c r="AI5053">
        <v>89.863776550951201</v>
      </c>
      <c r="AJ5053">
        <v>89.834468938119002</v>
      </c>
      <c r="AK5053">
        <v>289.35513970421101</v>
      </c>
      <c r="AL5053">
        <v>81.839623922439003</v>
      </c>
      <c r="AM5053">
        <v>92.433395311639799</v>
      </c>
      <c r="AN5053">
        <v>0.99999998468220397</v>
      </c>
    </row>
    <row r="5054" spans="1:40" x14ac:dyDescent="0.25">
      <c r="A5054" t="str">
        <f>"20190303162011841"</f>
        <v>20190303162011841</v>
      </c>
      <c r="B5054" t="str">
        <f>"1551601211837428"</f>
        <v>1551601211837428</v>
      </c>
      <c r="C5054" t="s">
        <v>40</v>
      </c>
      <c r="D5054">
        <v>4.6065969999999998</v>
      </c>
      <c r="E5054">
        <v>0.51693619999999996</v>
      </c>
      <c r="F5054" t="s">
        <v>67</v>
      </c>
      <c r="G5054">
        <v>-107.39749999999999</v>
      </c>
      <c r="H5054">
        <v>1.817412</v>
      </c>
      <c r="I5054">
        <v>213.68530000000001</v>
      </c>
      <c r="J5054">
        <v>-396.4991</v>
      </c>
      <c r="K5054">
        <v>1.1212519999999999</v>
      </c>
      <c r="L5054">
        <v>214.73220000000001</v>
      </c>
      <c r="M5054">
        <v>0.9999363</v>
      </c>
      <c r="N5054">
        <v>-1.1284789999999999E-2</v>
      </c>
      <c r="O5054">
        <v>1.8561949999999999E-4</v>
      </c>
      <c r="P5054">
        <v>0.99046000000000001</v>
      </c>
      <c r="Q5054">
        <v>0.13134189999999901</v>
      </c>
      <c r="R5054">
        <v>4.1694500000000002E-2</v>
      </c>
      <c r="S5054">
        <v>3.0281980000000002</v>
      </c>
      <c r="T5054">
        <v>7.2860719999999898E-3</v>
      </c>
      <c r="U5054">
        <v>-1.095581E-2</v>
      </c>
      <c r="V5054">
        <v>-4.1505449999999999E-2</v>
      </c>
      <c r="W5054">
        <v>0.14251220000000001</v>
      </c>
      <c r="X5054">
        <v>0.98892239999999998</v>
      </c>
      <c r="Y5054">
        <v>3.803561E-3</v>
      </c>
      <c r="Z5054" s="1">
        <v>-1.4344689999999999E-5</v>
      </c>
      <c r="AA5054">
        <v>0.99999280000000002</v>
      </c>
      <c r="AB5054">
        <v>27</v>
      </c>
      <c r="AC5054">
        <v>289.10160000000002</v>
      </c>
      <c r="AD5054">
        <v>0.696159999999999</v>
      </c>
      <c r="AE5054">
        <v>-1.0468999999999899</v>
      </c>
      <c r="AF5054">
        <v>1.10055991248841</v>
      </c>
      <c r="AG5054">
        <v>0.696159999999999</v>
      </c>
      <c r="AH5054">
        <v>289.09972435301302</v>
      </c>
      <c r="AI5054">
        <v>89.862031470835703</v>
      </c>
      <c r="AJ5054">
        <v>89.781884491178303</v>
      </c>
      <c r="AK5054">
        <v>289.102657358687</v>
      </c>
      <c r="AL5054">
        <v>81.806757141560993</v>
      </c>
      <c r="AM5054">
        <v>92.403315206576096</v>
      </c>
      <c r="AN5054">
        <v>0.99999997137514995</v>
      </c>
    </row>
    <row r="5055" spans="1:40" x14ac:dyDescent="0.25">
      <c r="A5055" t="str">
        <f>"20190303162011864"</f>
        <v>20190303162011864</v>
      </c>
      <c r="B5055" t="str">
        <f>"1551601211857924"</f>
        <v>1551601211857924</v>
      </c>
      <c r="C5055" t="s">
        <v>40</v>
      </c>
      <c r="D5055">
        <v>4.607456</v>
      </c>
      <c r="E5055">
        <v>0.51711200000000002</v>
      </c>
      <c r="F5055" t="s">
        <v>67</v>
      </c>
      <c r="G5055">
        <v>-107.39749999999999</v>
      </c>
      <c r="H5055">
        <v>1.907729</v>
      </c>
      <c r="I5055">
        <v>213.35419999999999</v>
      </c>
      <c r="J5055">
        <v>-396.22340000000003</v>
      </c>
      <c r="K5055">
        <v>1.1212549999999999</v>
      </c>
      <c r="L5055">
        <v>214.73220000000001</v>
      </c>
      <c r="M5055">
        <v>0.9999363</v>
      </c>
      <c r="N5055">
        <v>-1.1287210000000001E-2</v>
      </c>
      <c r="O5055">
        <v>1.8578210000000001E-4</v>
      </c>
      <c r="P5055">
        <v>0.99035640000000003</v>
      </c>
      <c r="Q5055">
        <v>0.13232559999999999</v>
      </c>
      <c r="R5055">
        <v>4.1037120000000003E-2</v>
      </c>
      <c r="S5055">
        <v>3.0284420000000001</v>
      </c>
      <c r="T5055">
        <v>8.2391500000000006E-3</v>
      </c>
      <c r="U5055">
        <v>-1.4434809999999999E-2</v>
      </c>
      <c r="V5055">
        <v>-4.0847410000000001E-2</v>
      </c>
      <c r="W5055">
        <v>0.1434976</v>
      </c>
      <c r="X5055">
        <v>0.98880729999999994</v>
      </c>
      <c r="Y5055">
        <v>4.9521929999999997E-3</v>
      </c>
      <c r="Z5055" s="1">
        <v>-1.861029E-5</v>
      </c>
      <c r="AA5055">
        <v>0.99998770000000003</v>
      </c>
      <c r="AB5055">
        <v>27</v>
      </c>
      <c r="AC5055">
        <v>288.82589999999999</v>
      </c>
      <c r="AD5055">
        <v>0.78647400000000001</v>
      </c>
      <c r="AE5055">
        <v>-1.3780000000000101</v>
      </c>
      <c r="AF5055">
        <v>1.43165146070718</v>
      </c>
      <c r="AG5055">
        <v>0.78647400000000001</v>
      </c>
      <c r="AH5055">
        <v>288.82349748584897</v>
      </c>
      <c r="AI5055">
        <v>89.843984383748193</v>
      </c>
      <c r="AJ5055">
        <v>89.715996394533406</v>
      </c>
      <c r="AK5055">
        <v>288.82811647624601</v>
      </c>
      <c r="AL5055">
        <v>81.749711585181899</v>
      </c>
      <c r="AM5055">
        <v>92.3655309499552</v>
      </c>
      <c r="AN5055">
        <v>0.99999997432137799</v>
      </c>
    </row>
    <row r="5056" spans="1:40" x14ac:dyDescent="0.25">
      <c r="A5056" t="str">
        <f>"20190303162011888"</f>
        <v>20190303162011888</v>
      </c>
      <c r="B5056" t="str">
        <f>"1551601211877444"</f>
        <v>1551601211877444</v>
      </c>
      <c r="C5056" t="s">
        <v>40</v>
      </c>
      <c r="D5056">
        <v>4.5782179999999997</v>
      </c>
      <c r="E5056">
        <v>0.51728770000000002</v>
      </c>
      <c r="F5056" t="s">
        <v>67</v>
      </c>
      <c r="G5056">
        <v>-107.39749999999999</v>
      </c>
      <c r="H5056">
        <v>2.1542849999999998</v>
      </c>
      <c r="I5056">
        <v>213.0412</v>
      </c>
      <c r="J5056">
        <v>-395.94760000000002</v>
      </c>
      <c r="K5056">
        <v>1.121256</v>
      </c>
      <c r="L5056">
        <v>214.73230000000001</v>
      </c>
      <c r="M5056">
        <v>0.99993620000000005</v>
      </c>
      <c r="N5056">
        <v>-1.128962E-2</v>
      </c>
      <c r="O5056">
        <v>1.8606539999999999E-4</v>
      </c>
      <c r="P5056">
        <v>0.99030399999999996</v>
      </c>
      <c r="Q5056">
        <v>0.13288059999999999</v>
      </c>
      <c r="R5056">
        <v>4.0508049999999997E-2</v>
      </c>
      <c r="S5056">
        <v>3.0285030000000002</v>
      </c>
      <c r="T5056">
        <v>1.0832430000000001E-2</v>
      </c>
      <c r="U5056">
        <v>-1.773071E-2</v>
      </c>
      <c r="V5056">
        <v>-4.0318850000000003E-2</v>
      </c>
      <c r="W5056">
        <v>0.14405390000000001</v>
      </c>
      <c r="X5056">
        <v>0.98874810000000002</v>
      </c>
      <c r="Y5056">
        <v>6.040648E-3</v>
      </c>
      <c r="Z5056" s="1">
        <v>-2.053027E-5</v>
      </c>
      <c r="AA5056">
        <v>0.99998180000000003</v>
      </c>
      <c r="AB5056">
        <v>27</v>
      </c>
      <c r="AC5056">
        <v>288.55009999999999</v>
      </c>
      <c r="AD5056">
        <v>1.03302899999999</v>
      </c>
      <c r="AE5056">
        <v>-1.6911</v>
      </c>
      <c r="AF5056">
        <v>1.7447702234034801</v>
      </c>
      <c r="AG5056">
        <v>1.03302899999999</v>
      </c>
      <c r="AH5056">
        <v>288.54608219362098</v>
      </c>
      <c r="AI5056">
        <v>89.794878979212598</v>
      </c>
      <c r="AJ5056">
        <v>89.6535501334847</v>
      </c>
      <c r="AK5056">
        <v>288.55320639586603</v>
      </c>
      <c r="AL5056">
        <v>81.717503275441203</v>
      </c>
      <c r="AM5056">
        <v>92.335095045784001</v>
      </c>
      <c r="AN5056">
        <v>0.99999997051207001</v>
      </c>
    </row>
    <row r="5057" spans="1:40" x14ac:dyDescent="0.25">
      <c r="A5057" t="str">
        <f>"20190303162011930"</f>
        <v>20190303162011930</v>
      </c>
      <c r="B5057" t="str">
        <f>"1551601211917460"</f>
        <v>1551601211917460</v>
      </c>
      <c r="C5057" t="s">
        <v>40</v>
      </c>
      <c r="D5057">
        <v>4.583863</v>
      </c>
      <c r="E5057">
        <v>0.51760600000000001</v>
      </c>
      <c r="F5057" t="s">
        <v>67</v>
      </c>
      <c r="G5057">
        <v>-107.39749999999999</v>
      </c>
      <c r="H5057">
        <v>2.259871</v>
      </c>
      <c r="I5057">
        <v>212.75370000000001</v>
      </c>
      <c r="J5057">
        <v>-395.43439999999998</v>
      </c>
      <c r="K5057">
        <v>1.1212719999999901</v>
      </c>
      <c r="L5057">
        <v>214.73240000000001</v>
      </c>
      <c r="M5057">
        <v>0.9999363</v>
      </c>
      <c r="N5057">
        <v>-1.129411E-2</v>
      </c>
      <c r="O5057">
        <v>1.8621990000000001E-4</v>
      </c>
      <c r="P5057">
        <v>0.99017719999999998</v>
      </c>
      <c r="Q5057">
        <v>0.1341733</v>
      </c>
      <c r="R5057">
        <v>3.9331909999999998E-2</v>
      </c>
      <c r="S5057">
        <v>3.0286559999999998</v>
      </c>
      <c r="T5057">
        <v>1.195157E-2</v>
      </c>
      <c r="U5057">
        <v>-2.0767210000000001E-2</v>
      </c>
      <c r="V5057">
        <v>-3.9142080000000003E-2</v>
      </c>
      <c r="W5057">
        <v>0.14534949999999999</v>
      </c>
      <c r="X5057">
        <v>0.98860579999999998</v>
      </c>
      <c r="Y5057">
        <v>7.0430550000000003E-3</v>
      </c>
      <c r="Z5057" s="1">
        <v>-2.3039609999999999E-5</v>
      </c>
      <c r="AA5057">
        <v>0.99997519999999995</v>
      </c>
      <c r="AB5057">
        <v>27</v>
      </c>
      <c r="AC5057">
        <v>288.0369</v>
      </c>
      <c r="AD5057">
        <v>1.1385989999999999</v>
      </c>
      <c r="AE5057">
        <v>-1.9786999999999999</v>
      </c>
      <c r="AF5057">
        <v>2.0323098292489199</v>
      </c>
      <c r="AG5057">
        <v>1.1385989999999999</v>
      </c>
      <c r="AH5057">
        <v>288.03202595798399</v>
      </c>
      <c r="AI5057">
        <v>89.773514929758093</v>
      </c>
      <c r="AJ5057">
        <v>89.595736469989603</v>
      </c>
      <c r="AK5057">
        <v>288.04144609480301</v>
      </c>
      <c r="AL5057">
        <v>81.642481552635999</v>
      </c>
      <c r="AM5057">
        <v>92.267339718814</v>
      </c>
      <c r="AN5057">
        <v>1.0000000036853001</v>
      </c>
    </row>
    <row r="5058" spans="1:40" x14ac:dyDescent="0.25">
      <c r="A5058" t="str">
        <f>"20190303162011954"</f>
        <v>20190303162011954</v>
      </c>
      <c r="B5058" t="str">
        <f>"1551601211947716"</f>
        <v>1551601211947716</v>
      </c>
      <c r="C5058" t="s">
        <v>40</v>
      </c>
      <c r="D5058">
        <v>4.5758580000000002</v>
      </c>
      <c r="E5058">
        <v>0.5178277</v>
      </c>
      <c r="F5058" t="s">
        <v>67</v>
      </c>
      <c r="G5058">
        <v>-107.39749999999999</v>
      </c>
      <c r="H5058">
        <v>2.4987720000000002</v>
      </c>
      <c r="I5058">
        <v>212.1901</v>
      </c>
      <c r="J5058">
        <v>-395.15019999999998</v>
      </c>
      <c r="K5058">
        <v>1.1212679999999999</v>
      </c>
      <c r="L5058">
        <v>214.73240000000001</v>
      </c>
      <c r="M5058">
        <v>0.9999363</v>
      </c>
      <c r="N5058">
        <v>-1.129662E-2</v>
      </c>
      <c r="O5058">
        <v>1.863841E-4</v>
      </c>
      <c r="P5058">
        <v>0.99006179999999999</v>
      </c>
      <c r="Q5058">
        <v>0.13491510000000001</v>
      </c>
      <c r="R5058">
        <v>3.9695460000000002E-2</v>
      </c>
      <c r="S5058">
        <v>3.02887</v>
      </c>
      <c r="T5058">
        <v>1.4485720000000001E-2</v>
      </c>
      <c r="U5058">
        <v>-2.6733400000000001E-2</v>
      </c>
      <c r="V5058">
        <v>-3.9505400000000003E-2</v>
      </c>
      <c r="W5058">
        <v>0.14609249999999999</v>
      </c>
      <c r="X5058">
        <v>0.98848179999999997</v>
      </c>
      <c r="Y5058">
        <v>9.0123589999999993E-3</v>
      </c>
      <c r="Z5058" s="1">
        <v>-2.6359479999999999E-5</v>
      </c>
      <c r="AA5058">
        <v>0.99995940000000005</v>
      </c>
      <c r="AB5058">
        <v>27</v>
      </c>
      <c r="AC5058">
        <v>287.7527</v>
      </c>
      <c r="AD5058">
        <v>1.3775040000000001</v>
      </c>
      <c r="AE5058">
        <v>-2.5423000000000102</v>
      </c>
      <c r="AF5058">
        <v>2.5958764159543102</v>
      </c>
      <c r="AG5058">
        <v>1.3775040000000001</v>
      </c>
      <c r="AH5058">
        <v>287.74562753951898</v>
      </c>
      <c r="AI5058">
        <v>89.725725281099301</v>
      </c>
      <c r="AJ5058">
        <v>89.483124281293001</v>
      </c>
      <c r="AK5058">
        <v>287.76063361715802</v>
      </c>
      <c r="AL5058">
        <v>81.599451289653999</v>
      </c>
      <c r="AM5058">
        <v>92.288649839528404</v>
      </c>
      <c r="AN5058">
        <v>0.99999998205832397</v>
      </c>
    </row>
    <row r="5059" spans="1:40" x14ac:dyDescent="0.25">
      <c r="A5059" t="str">
        <f>"20190303162011976"</f>
        <v>20190303162011976</v>
      </c>
      <c r="B5059" t="str">
        <f>"1551601211967236"</f>
        <v>1551601211967236</v>
      </c>
      <c r="C5059" t="s">
        <v>40</v>
      </c>
      <c r="D5059">
        <v>4.5486019999999998</v>
      </c>
      <c r="E5059">
        <v>0.5297172</v>
      </c>
      <c r="F5059" t="s">
        <v>67</v>
      </c>
      <c r="G5059">
        <v>-107.39749999999999</v>
      </c>
      <c r="H5059">
        <v>2.5316839999999998</v>
      </c>
      <c r="I5059">
        <v>212.14070000000001</v>
      </c>
      <c r="J5059">
        <v>-394.89499999999998</v>
      </c>
      <c r="K5059">
        <v>1.1212719999999901</v>
      </c>
      <c r="L5059">
        <v>214.73249999999999</v>
      </c>
      <c r="M5059">
        <v>0.99993620000000005</v>
      </c>
      <c r="N5059">
        <v>-1.1298860000000001E-2</v>
      </c>
      <c r="O5059">
        <v>1.8672879999999999E-4</v>
      </c>
      <c r="P5059">
        <v>0.98994300000000002</v>
      </c>
      <c r="Q5059">
        <v>0.13582079999999999</v>
      </c>
      <c r="R5059">
        <v>3.9567070000000003E-2</v>
      </c>
      <c r="S5059">
        <v>3.029175</v>
      </c>
      <c r="T5059">
        <v>1.484799E-2</v>
      </c>
      <c r="U5059">
        <v>-2.7282710000000002E-2</v>
      </c>
      <c r="V5059">
        <v>-3.9376559999999998E-2</v>
      </c>
      <c r="W5059">
        <v>0.14699909999999999</v>
      </c>
      <c r="X5059">
        <v>0.98835249999999997</v>
      </c>
      <c r="Y5059">
        <v>9.1931370000000005E-3</v>
      </c>
      <c r="Z5059" s="1">
        <v>-2.6382990000000001E-5</v>
      </c>
      <c r="AA5059">
        <v>0.99995769999999995</v>
      </c>
      <c r="AB5059">
        <v>27</v>
      </c>
      <c r="AC5059">
        <v>287.4975</v>
      </c>
      <c r="AD5059">
        <v>1.410412</v>
      </c>
      <c r="AE5059">
        <v>-2.5917999999999699</v>
      </c>
      <c r="AF5059">
        <v>2.6454237797962499</v>
      </c>
      <c r="AG5059">
        <v>1.410412</v>
      </c>
      <c r="AH5059">
        <v>287.49009250077899</v>
      </c>
      <c r="AI5059">
        <v>89.7189239287666</v>
      </c>
      <c r="AJ5059">
        <v>89.472791084732904</v>
      </c>
      <c r="AK5059">
        <v>287.50572309971699</v>
      </c>
      <c r="AL5059">
        <v>81.546939798310405</v>
      </c>
      <c r="AM5059">
        <v>92.281491822910994</v>
      </c>
      <c r="AN5059">
        <v>0.99999995656724505</v>
      </c>
    </row>
    <row r="5060" spans="1:40" x14ac:dyDescent="0.25">
      <c r="A5060" t="str">
        <f>"20190303162011998"</f>
        <v>20190303162011998</v>
      </c>
      <c r="B5060" t="str">
        <f>"1551601211987732"</f>
        <v>1551601211987732</v>
      </c>
      <c r="C5060" t="s">
        <v>40</v>
      </c>
      <c r="D5060">
        <v>4.5143449999999996</v>
      </c>
      <c r="E5060">
        <v>0.53069690000000003</v>
      </c>
      <c r="F5060" t="s">
        <v>56</v>
      </c>
      <c r="G5060">
        <v>-296.01310000000001</v>
      </c>
      <c r="H5060" s="1">
        <v>1.9610369999999999E-6</v>
      </c>
      <c r="I5060">
        <v>210.74420000000001</v>
      </c>
      <c r="J5060">
        <v>-394.63029999999998</v>
      </c>
      <c r="K5060">
        <v>1.121275</v>
      </c>
      <c r="L5060">
        <v>214.73249999999999</v>
      </c>
      <c r="M5060">
        <v>0.99993620000000005</v>
      </c>
      <c r="N5060">
        <v>-1.1301169999999999E-2</v>
      </c>
      <c r="O5060">
        <v>1.8701349999999999E-4</v>
      </c>
      <c r="P5060">
        <v>0.98994090000000001</v>
      </c>
      <c r="Q5060">
        <v>0.13583919999999999</v>
      </c>
      <c r="R5060">
        <v>3.9555800000000002E-2</v>
      </c>
      <c r="S5060">
        <v>3.0400999999999998</v>
      </c>
      <c r="T5060">
        <v>-3.4473179999999999E-2</v>
      </c>
      <c r="U5060">
        <v>-0.1226196</v>
      </c>
      <c r="V5060">
        <v>-3.9365129999999998E-2</v>
      </c>
      <c r="W5060">
        <v>0.14701979999999901</v>
      </c>
      <c r="X5060">
        <v>0.9883499</v>
      </c>
      <c r="Y5060">
        <v>4.0482990000000003E-2</v>
      </c>
      <c r="Z5060">
        <v>-4.5830220000000002E-4</v>
      </c>
      <c r="AA5060">
        <v>0.99918010000000002</v>
      </c>
      <c r="AB5060">
        <v>27</v>
      </c>
      <c r="AC5060">
        <v>98.617199999999897</v>
      </c>
      <c r="AD5060">
        <v>-1.1212730389629999</v>
      </c>
      <c r="AE5060">
        <v>-3.9882999999999802</v>
      </c>
      <c r="AF5060">
        <v>4.00622679167396</v>
      </c>
      <c r="AG5060">
        <v>-1.1212730389629999</v>
      </c>
      <c r="AH5060">
        <v>98.603726095342694</v>
      </c>
      <c r="AI5060">
        <v>90.650974287295597</v>
      </c>
      <c r="AJ5060">
        <v>87.673376902199806</v>
      </c>
      <c r="AK5060">
        <v>98.691447989274096</v>
      </c>
      <c r="AL5060">
        <v>81.5457409471001</v>
      </c>
      <c r="AM5060">
        <v>92.280836257911901</v>
      </c>
      <c r="AN5060">
        <v>0.999999979940983</v>
      </c>
    </row>
    <row r="5061" spans="1:40" x14ac:dyDescent="0.25">
      <c r="A5061" t="str">
        <f>"20190303162012020"</f>
        <v>20190303162012020</v>
      </c>
      <c r="B5061" t="str">
        <f>"1551601212007252"</f>
        <v>1551601212007252</v>
      </c>
      <c r="C5061" t="s">
        <v>40</v>
      </c>
      <c r="D5061">
        <v>4.53064</v>
      </c>
      <c r="E5061">
        <v>0.53110069999999998</v>
      </c>
      <c r="F5061" t="s">
        <v>56</v>
      </c>
      <c r="G5061">
        <v>-300.33229999999998</v>
      </c>
      <c r="H5061" s="1">
        <v>2.5943089999999999E-6</v>
      </c>
      <c r="I5061">
        <v>210.67670000000001</v>
      </c>
      <c r="J5061">
        <v>-394.35750000000002</v>
      </c>
      <c r="K5061">
        <v>1.1212719999999901</v>
      </c>
      <c r="L5061">
        <v>214.73259999999999</v>
      </c>
      <c r="M5061">
        <v>0.99993620000000005</v>
      </c>
      <c r="N5061">
        <v>-1.130345E-2</v>
      </c>
      <c r="O5061">
        <v>1.8717930000000001E-4</v>
      </c>
      <c r="P5061">
        <v>0.98997670000000004</v>
      </c>
      <c r="Q5061">
        <v>0.1355208</v>
      </c>
      <c r="R5061">
        <v>3.9756619999999999E-2</v>
      </c>
      <c r="S5061">
        <v>3.04068</v>
      </c>
      <c r="T5061">
        <v>-3.6155939999999998E-2</v>
      </c>
      <c r="U5061">
        <v>-0.13078310000000001</v>
      </c>
      <c r="V5061">
        <v>-3.9565879999999998E-2</v>
      </c>
      <c r="W5061">
        <v>0.14670429999999901</v>
      </c>
      <c r="X5061">
        <v>0.98838879999999996</v>
      </c>
      <c r="Y5061">
        <v>4.315248E-2</v>
      </c>
      <c r="Z5061">
        <v>-5.0056280000000002E-4</v>
      </c>
      <c r="AA5061">
        <v>0.99906839999999997</v>
      </c>
      <c r="AB5061">
        <v>27</v>
      </c>
      <c r="AC5061">
        <v>94.025199999999998</v>
      </c>
      <c r="AD5061">
        <v>-1.12126940569099</v>
      </c>
      <c r="AE5061">
        <v>-4.0558999999999799</v>
      </c>
      <c r="AF5061">
        <v>4.0729224864261901</v>
      </c>
      <c r="AG5061">
        <v>-1.12126940569099</v>
      </c>
      <c r="AH5061">
        <v>94.011094597349597</v>
      </c>
      <c r="AI5061">
        <v>90.682693469206598</v>
      </c>
      <c r="AJ5061">
        <v>87.519277580779203</v>
      </c>
      <c r="AK5061">
        <v>94.105960757288898</v>
      </c>
      <c r="AL5061">
        <v>81.564016221724003</v>
      </c>
      <c r="AM5061">
        <v>92.292365311870299</v>
      </c>
      <c r="AN5061">
        <v>1.0000000152320501</v>
      </c>
    </row>
    <row r="5062" spans="1:40" x14ac:dyDescent="0.25">
      <c r="A5062" t="str">
        <f>"20190303162012043"</f>
        <v>20190303162012043</v>
      </c>
      <c r="B5062" t="str">
        <f>"1551601212037509"</f>
        <v>1551601212037509</v>
      </c>
      <c r="C5062" t="s">
        <v>40</v>
      </c>
      <c r="D5062">
        <v>4.5425199999999997</v>
      </c>
      <c r="E5062">
        <v>0.53145369999999903</v>
      </c>
      <c r="F5062" t="s">
        <v>56</v>
      </c>
      <c r="G5062">
        <v>-303.51990000000001</v>
      </c>
      <c r="H5062" s="1">
        <v>2.0288910000000001E-6</v>
      </c>
      <c r="I5062">
        <v>210.7433</v>
      </c>
      <c r="J5062">
        <v>-394.08850000000001</v>
      </c>
      <c r="K5062">
        <v>1.1212690000000001</v>
      </c>
      <c r="L5062">
        <v>214.73259999999999</v>
      </c>
      <c r="M5062">
        <v>0.99993620000000005</v>
      </c>
      <c r="N5062">
        <v>-1.130576E-2</v>
      </c>
      <c r="O5062">
        <v>1.8752370000000001E-4</v>
      </c>
      <c r="P5062">
        <v>0.98996090000000003</v>
      </c>
      <c r="Q5062">
        <v>0.13560120000000001</v>
      </c>
      <c r="R5062">
        <v>3.9875760000000003E-2</v>
      </c>
      <c r="S5062">
        <v>3.0408629999999999</v>
      </c>
      <c r="T5062">
        <v>-3.7535430000000002E-2</v>
      </c>
      <c r="U5062">
        <v>-0.13354489999999999</v>
      </c>
      <c r="V5062">
        <v>-3.9684629999999999E-2</v>
      </c>
      <c r="W5062">
        <v>0.14678640000000001</v>
      </c>
      <c r="X5062">
        <v>0.98837180000000002</v>
      </c>
      <c r="Y5062">
        <v>4.405543E-2</v>
      </c>
      <c r="Z5062">
        <v>-5.2114220000000001E-4</v>
      </c>
      <c r="AA5062">
        <v>0.99902899999999994</v>
      </c>
      <c r="AB5062">
        <v>27</v>
      </c>
      <c r="AC5062">
        <v>90.568600000000004</v>
      </c>
      <c r="AD5062">
        <v>-1.121266971109</v>
      </c>
      <c r="AE5062">
        <v>-3.9892999999999801</v>
      </c>
      <c r="AF5062">
        <v>4.00567200377525</v>
      </c>
      <c r="AG5062">
        <v>-1.121266971109</v>
      </c>
      <c r="AH5062">
        <v>90.553997757519596</v>
      </c>
      <c r="AI5062">
        <v>90.708724416501298</v>
      </c>
      <c r="AJ5062">
        <v>87.467162307585696</v>
      </c>
      <c r="AK5062">
        <v>90.649485148517002</v>
      </c>
      <c r="AL5062">
        <v>81.559260338995699</v>
      </c>
      <c r="AM5062">
        <v>92.299277572988402</v>
      </c>
      <c r="AN5062">
        <v>0.99999996605921704</v>
      </c>
    </row>
    <row r="5063" spans="1:40" x14ac:dyDescent="0.25">
      <c r="A5063" t="str">
        <f>"20190303162012067"</f>
        <v>20190303162012067</v>
      </c>
      <c r="B5063" t="str">
        <f>"1551601212057028"</f>
        <v>1551601212057028</v>
      </c>
      <c r="C5063" t="s">
        <v>40</v>
      </c>
      <c r="D5063">
        <v>4.5412460000000001</v>
      </c>
      <c r="E5063">
        <v>0.53158280000000002</v>
      </c>
      <c r="F5063" t="s">
        <v>56</v>
      </c>
      <c r="G5063">
        <v>-315.05079999999998</v>
      </c>
      <c r="H5063" s="1">
        <v>3.1454820000000001E-6</v>
      </c>
      <c r="I5063">
        <v>211.20750000000001</v>
      </c>
      <c r="J5063">
        <v>-393.81</v>
      </c>
      <c r="K5063">
        <v>1.1212679999999999</v>
      </c>
      <c r="L5063">
        <v>214.73269999999999</v>
      </c>
      <c r="M5063">
        <v>0.99993620000000005</v>
      </c>
      <c r="N5063">
        <v>-1.130447E-2</v>
      </c>
      <c r="O5063">
        <v>1.8782900000000001E-4</v>
      </c>
      <c r="P5063">
        <v>0.99001099999999997</v>
      </c>
      <c r="Q5063">
        <v>0.13525209999999999</v>
      </c>
      <c r="R5063">
        <v>3.9814910000000002E-2</v>
      </c>
      <c r="S5063">
        <v>3.0418090000000002</v>
      </c>
      <c r="T5063">
        <v>-4.3152570000000001E-2</v>
      </c>
      <c r="U5063">
        <v>-0.13566589999999901</v>
      </c>
      <c r="V5063">
        <v>-3.962309E-2</v>
      </c>
      <c r="W5063">
        <v>0.14643639999999999</v>
      </c>
      <c r="X5063">
        <v>0.98842620000000003</v>
      </c>
      <c r="Y5063">
        <v>4.473568E-2</v>
      </c>
      <c r="Z5063">
        <v>-5.7070139999999998E-4</v>
      </c>
      <c r="AA5063">
        <v>0.99899870000000002</v>
      </c>
      <c r="AB5063">
        <v>27</v>
      </c>
      <c r="AC5063">
        <v>78.759200000000007</v>
      </c>
      <c r="AD5063">
        <v>-1.121264854518</v>
      </c>
      <c r="AE5063">
        <v>-3.5251999999999799</v>
      </c>
      <c r="AF5063">
        <v>3.53927823168828</v>
      </c>
      <c r="AG5063">
        <v>-1.121264854518</v>
      </c>
      <c r="AH5063">
        <v>78.742608683296993</v>
      </c>
      <c r="AI5063">
        <v>90.814992285478596</v>
      </c>
      <c r="AJ5063">
        <v>87.426433882092695</v>
      </c>
      <c r="AK5063">
        <v>78.830084025872495</v>
      </c>
      <c r="AL5063">
        <v>81.579533048812806</v>
      </c>
      <c r="AM5063">
        <v>92.295589626535005</v>
      </c>
      <c r="AN5063">
        <v>0.99999998067627305</v>
      </c>
    </row>
    <row r="5064" spans="1:40" x14ac:dyDescent="0.25">
      <c r="A5064" t="str">
        <f>"20190303162012089"</f>
        <v>20190303162012089</v>
      </c>
      <c r="B5064" t="str">
        <f>"1551601212077524"</f>
        <v>1551601212077524</v>
      </c>
      <c r="C5064" t="s">
        <v>40</v>
      </c>
      <c r="D5064">
        <v>4.5166380000000004</v>
      </c>
      <c r="E5064">
        <v>0.53175399999999995</v>
      </c>
      <c r="F5064" t="s">
        <v>56</v>
      </c>
      <c r="G5064">
        <v>-310.98840000000001</v>
      </c>
      <c r="H5064" s="1">
        <v>1.3439519999999999E-6</v>
      </c>
      <c r="I5064">
        <v>211.01830000000001</v>
      </c>
      <c r="J5064">
        <v>-393.5401</v>
      </c>
      <c r="K5064">
        <v>1.121259</v>
      </c>
      <c r="L5064">
        <v>214.73269999999999</v>
      </c>
      <c r="M5064">
        <v>0.99993609999999999</v>
      </c>
      <c r="N5064">
        <v>-1.1298590000000001E-2</v>
      </c>
      <c r="O5064">
        <v>1.882199E-4</v>
      </c>
      <c r="P5064">
        <v>0.99000909999999998</v>
      </c>
      <c r="Q5064">
        <v>0.13523949999999901</v>
      </c>
      <c r="R5064">
        <v>3.9899829999999997E-2</v>
      </c>
      <c r="S5064">
        <v>3.041382</v>
      </c>
      <c r="T5064">
        <v>-4.1175249999999997E-2</v>
      </c>
      <c r="U5064">
        <v>-0.1363983</v>
      </c>
      <c r="V5064">
        <v>-3.9708029999999998E-2</v>
      </c>
      <c r="W5064">
        <v>0.14641789999999999</v>
      </c>
      <c r="X5064">
        <v>0.98842560000000002</v>
      </c>
      <c r="Y5064">
        <v>4.4982939999999999E-2</v>
      </c>
      <c r="Z5064">
        <v>-5.5903029999999996E-4</v>
      </c>
      <c r="AA5064">
        <v>0.99898759999999998</v>
      </c>
      <c r="AB5064">
        <v>27</v>
      </c>
      <c r="AC5064">
        <v>82.551699999999897</v>
      </c>
      <c r="AD5064">
        <v>-1.1212576560480001</v>
      </c>
      <c r="AE5064">
        <v>-3.7143999999999799</v>
      </c>
      <c r="AF5064">
        <v>3.7292522021024501</v>
      </c>
      <c r="AG5064">
        <v>-1.1212576560480001</v>
      </c>
      <c r="AH5064">
        <v>82.535803594771593</v>
      </c>
      <c r="AI5064">
        <v>90.777528193237501</v>
      </c>
      <c r="AJ5064">
        <v>87.412938692974393</v>
      </c>
      <c r="AK5064">
        <v>82.627618964562004</v>
      </c>
      <c r="AL5064">
        <v>81.580605140381394</v>
      </c>
      <c r="AM5064">
        <v>92.300506794355002</v>
      </c>
      <c r="AN5064">
        <v>1.00000004791112</v>
      </c>
    </row>
    <row r="5065" spans="1:40" x14ac:dyDescent="0.25">
      <c r="A5065" t="str">
        <f>"20190303162012110"</f>
        <v>20190303162012110</v>
      </c>
      <c r="B5065" t="str">
        <f>"1551601212097044"</f>
        <v>1551601212097044</v>
      </c>
      <c r="C5065" t="s">
        <v>40</v>
      </c>
      <c r="D5065">
        <v>4.5500449999999999</v>
      </c>
      <c r="E5065">
        <v>0.53185380000000004</v>
      </c>
      <c r="F5065" t="s">
        <v>56</v>
      </c>
      <c r="G5065">
        <v>-310.9058</v>
      </c>
      <c r="H5065" s="1">
        <v>1.3073129999999999E-6</v>
      </c>
      <c r="I5065">
        <v>210.994</v>
      </c>
      <c r="J5065">
        <v>-393.28219999999999</v>
      </c>
      <c r="K5065">
        <v>1.121259</v>
      </c>
      <c r="L5065">
        <v>214.7328</v>
      </c>
      <c r="M5065">
        <v>0.9999363</v>
      </c>
      <c r="N5065">
        <v>-1.129019E-2</v>
      </c>
      <c r="O5065">
        <v>1.8844630000000001E-4</v>
      </c>
      <c r="P5065">
        <v>0.99006700000000003</v>
      </c>
      <c r="Q5065">
        <v>0.1349331</v>
      </c>
      <c r="R5065">
        <v>3.9506329999999999E-2</v>
      </c>
      <c r="S5065">
        <v>3.041382</v>
      </c>
      <c r="T5065">
        <v>-4.1268230000000003E-2</v>
      </c>
      <c r="U5065">
        <v>-0.137603799999999</v>
      </c>
      <c r="V5065">
        <v>-3.9313969999999997E-2</v>
      </c>
      <c r="W5065">
        <v>0.14610379999999901</v>
      </c>
      <c r="X5065">
        <v>0.98848780000000003</v>
      </c>
      <c r="Y5065">
        <v>4.5378219999999997E-2</v>
      </c>
      <c r="Z5065">
        <v>-5.6444920000000003E-4</v>
      </c>
      <c r="AA5065">
        <v>0.99896969999999996</v>
      </c>
      <c r="AB5065">
        <v>27</v>
      </c>
      <c r="AC5065">
        <v>82.376399999999904</v>
      </c>
      <c r="AD5065">
        <v>-1.1212576926869999</v>
      </c>
      <c r="AE5065">
        <v>-3.7387999999999599</v>
      </c>
      <c r="AF5065">
        <v>3.7536304442960899</v>
      </c>
      <c r="AG5065">
        <v>-1.1212576926869999</v>
      </c>
      <c r="AH5065">
        <v>82.360466368443397</v>
      </c>
      <c r="AI5065">
        <v>90.779169457929797</v>
      </c>
      <c r="AJ5065">
        <v>87.390514296563197</v>
      </c>
      <c r="AK5065">
        <v>82.453583189290498</v>
      </c>
      <c r="AL5065">
        <v>81.598797143347198</v>
      </c>
      <c r="AM5065">
        <v>92.277557702582101</v>
      </c>
      <c r="AN5065">
        <v>1.0000000196802199</v>
      </c>
    </row>
    <row r="5066" spans="1:40" x14ac:dyDescent="0.25">
      <c r="A5066" t="str">
        <f>"20190303162012132"</f>
        <v>20190303162012132</v>
      </c>
      <c r="B5066" t="str">
        <f>"1551601212127300"</f>
        <v>1551601212127300</v>
      </c>
      <c r="C5066" t="s">
        <v>40</v>
      </c>
      <c r="D5066">
        <v>4.5336230000000004</v>
      </c>
      <c r="E5066">
        <v>0.53198559999999995</v>
      </c>
      <c r="F5066" t="s">
        <v>56</v>
      </c>
      <c r="G5066">
        <v>-313.15159999999997</v>
      </c>
      <c r="H5066" s="1">
        <v>2.3032429999999999E-6</v>
      </c>
      <c r="I5066">
        <v>211.06319999999999</v>
      </c>
      <c r="J5066">
        <v>-393.02569999999997</v>
      </c>
      <c r="K5066">
        <v>1.1212549999999999</v>
      </c>
      <c r="L5066">
        <v>214.7328</v>
      </c>
      <c r="M5066">
        <v>0.99993650000000001</v>
      </c>
      <c r="N5066">
        <v>-1.127775E-2</v>
      </c>
      <c r="O5066">
        <v>1.8869549999999999E-4</v>
      </c>
      <c r="P5066">
        <v>0.99014360000000001</v>
      </c>
      <c r="Q5066">
        <v>0.134510299999999</v>
      </c>
      <c r="R5066">
        <v>3.9021510000000002E-2</v>
      </c>
      <c r="S5066">
        <v>3.0414119999999998</v>
      </c>
      <c r="T5066">
        <v>-4.2558070000000003E-2</v>
      </c>
      <c r="U5066">
        <v>-0.13928219999999999</v>
      </c>
      <c r="V5066">
        <v>-3.8829099999999998E-2</v>
      </c>
      <c r="W5066">
        <v>0.14566979999999999</v>
      </c>
      <c r="X5066">
        <v>0.98857099999999998</v>
      </c>
      <c r="Y5066">
        <v>4.5927709999999997E-2</v>
      </c>
      <c r="Z5066">
        <v>-5.8080540000000002E-4</v>
      </c>
      <c r="AA5066">
        <v>0.99894459999999996</v>
      </c>
      <c r="AB5066">
        <v>27</v>
      </c>
      <c r="AC5066">
        <v>79.874099999999999</v>
      </c>
      <c r="AD5066">
        <v>-1.12125269675699</v>
      </c>
      <c r="AE5066">
        <v>-3.6696</v>
      </c>
      <c r="AF5066">
        <v>3.6839483506696502</v>
      </c>
      <c r="AG5066">
        <v>-1.12125269675699</v>
      </c>
      <c r="AH5066">
        <v>79.857702607637705</v>
      </c>
      <c r="AI5066">
        <v>90.803561690323804</v>
      </c>
      <c r="AJ5066">
        <v>87.358737521771602</v>
      </c>
      <c r="AK5066">
        <v>79.950493111864503</v>
      </c>
      <c r="AL5066">
        <v>81.623932309723401</v>
      </c>
      <c r="AM5066">
        <v>92.249307866534593</v>
      </c>
      <c r="AN5066">
        <v>1.0000000058399201</v>
      </c>
    </row>
    <row r="5067" spans="1:40" x14ac:dyDescent="0.25">
      <c r="A5067" t="str">
        <f>"20190303162012155"</f>
        <v>20190303162012155</v>
      </c>
      <c r="B5067" t="str">
        <f>"1551601212147796"</f>
        <v>1551601212147796</v>
      </c>
      <c r="C5067" t="s">
        <v>40</v>
      </c>
      <c r="D5067">
        <v>4.6084860000000001</v>
      </c>
      <c r="E5067">
        <v>0.53190119999999996</v>
      </c>
      <c r="F5067" t="s">
        <v>56</v>
      </c>
      <c r="G5067">
        <v>-316.08749999999998</v>
      </c>
      <c r="H5067" s="1">
        <v>3.6051949999999999E-6</v>
      </c>
      <c r="I5067">
        <v>211.14429999999999</v>
      </c>
      <c r="J5067">
        <v>-392.73919999999998</v>
      </c>
      <c r="K5067">
        <v>1.1212519999999999</v>
      </c>
      <c r="L5067">
        <v>214.7328</v>
      </c>
      <c r="M5067">
        <v>0.99993670000000001</v>
      </c>
      <c r="N5067">
        <v>-1.1260040000000001E-2</v>
      </c>
      <c r="O5067">
        <v>1.8897440000000001E-4</v>
      </c>
      <c r="P5067">
        <v>0.9902474</v>
      </c>
      <c r="Q5067">
        <v>0.1339224</v>
      </c>
      <c r="R5067">
        <v>3.8408249999999998E-2</v>
      </c>
      <c r="S5067">
        <v>3.0414729999999999</v>
      </c>
      <c r="T5067">
        <v>-4.4324639999999998E-2</v>
      </c>
      <c r="U5067">
        <v>-0.14186099999999999</v>
      </c>
      <c r="V5067">
        <v>-3.8215939999999997E-2</v>
      </c>
      <c r="W5067">
        <v>0.145066</v>
      </c>
      <c r="X5067">
        <v>0.98868370000000005</v>
      </c>
      <c r="Y5067">
        <v>4.6771519999999997E-2</v>
      </c>
      <c r="Z5067">
        <v>-6.0473349999999896E-4</v>
      </c>
      <c r="AA5067">
        <v>0.99890540000000005</v>
      </c>
      <c r="AB5067">
        <v>27</v>
      </c>
      <c r="AC5067">
        <v>76.651700000000005</v>
      </c>
      <c r="AD5067">
        <v>-1.121248394805</v>
      </c>
      <c r="AE5067">
        <v>-3.58850000000001</v>
      </c>
      <c r="AF5067">
        <v>3.60221696813112</v>
      </c>
      <c r="AG5067">
        <v>-1.121248394805</v>
      </c>
      <c r="AH5067">
        <v>76.634658524430407</v>
      </c>
      <c r="AI5067">
        <v>90.837315381633303</v>
      </c>
      <c r="AJ5067">
        <v>87.308789151003296</v>
      </c>
      <c r="AK5067">
        <v>76.727466087473502</v>
      </c>
      <c r="AL5067">
        <v>81.658899136188197</v>
      </c>
      <c r="AM5067">
        <v>92.213572007115204</v>
      </c>
      <c r="AN5067">
        <v>1.00000003053588</v>
      </c>
    </row>
    <row r="5068" spans="1:40" x14ac:dyDescent="0.25">
      <c r="A5068" t="str">
        <f>"20190303162012177"</f>
        <v>20190303162012177</v>
      </c>
      <c r="B5068" t="str">
        <f>"1551601212167316"</f>
        <v>1551601212167316</v>
      </c>
      <c r="C5068" t="s">
        <v>40</v>
      </c>
      <c r="D5068">
        <v>4.6883419999999996</v>
      </c>
      <c r="E5068">
        <v>0.49164760000000002</v>
      </c>
      <c r="F5068" t="s">
        <v>56</v>
      </c>
      <c r="G5068">
        <v>-318.03269999999998</v>
      </c>
      <c r="H5068" s="1">
        <v>4.4678379999999996E-6</v>
      </c>
      <c r="I5068">
        <v>211.2234</v>
      </c>
      <c r="J5068">
        <v>-392.47930000000002</v>
      </c>
      <c r="K5068">
        <v>1.121245</v>
      </c>
      <c r="L5068">
        <v>214.7329</v>
      </c>
      <c r="M5068">
        <v>0.99993679999999996</v>
      </c>
      <c r="N5068">
        <v>-1.1243049999999999E-2</v>
      </c>
      <c r="O5068">
        <v>1.8936819999999999E-4</v>
      </c>
      <c r="P5068">
        <v>0.99028260000000001</v>
      </c>
      <c r="Q5068">
        <v>0.1337325</v>
      </c>
      <c r="R5068">
        <v>3.8159110000000003E-2</v>
      </c>
      <c r="S5068">
        <v>3.0413209999999999</v>
      </c>
      <c r="T5068">
        <v>-4.5646310000000002E-2</v>
      </c>
      <c r="U5068">
        <v>-0.14286799999999999</v>
      </c>
      <c r="V5068">
        <v>-3.7966300000000001E-2</v>
      </c>
      <c r="W5068">
        <v>0.1448593</v>
      </c>
      <c r="X5068">
        <v>0.98872360000000004</v>
      </c>
      <c r="Y5068">
        <v>4.7103810000000003E-2</v>
      </c>
      <c r="Z5068">
        <v>-6.1895739999999998E-4</v>
      </c>
      <c r="AA5068">
        <v>0.99888980000000005</v>
      </c>
      <c r="AB5068">
        <v>27</v>
      </c>
      <c r="AC5068">
        <v>74.446600000000004</v>
      </c>
      <c r="AD5068">
        <v>-1.121240532162</v>
      </c>
      <c r="AE5068">
        <v>-3.5095000000000001</v>
      </c>
      <c r="AF5068">
        <v>3.52280132781706</v>
      </c>
      <c r="AG5068">
        <v>-1.121240532162</v>
      </c>
      <c r="AH5068">
        <v>74.429088435311499</v>
      </c>
      <c r="AI5068">
        <v>90.862104736342303</v>
      </c>
      <c r="AJ5068">
        <v>87.290157230962294</v>
      </c>
      <c r="AK5068">
        <v>74.520846176339404</v>
      </c>
      <c r="AL5068">
        <v>81.670868407716299</v>
      </c>
      <c r="AM5068">
        <v>92.199037758907295</v>
      </c>
      <c r="AN5068">
        <v>1.00000000696457</v>
      </c>
    </row>
    <row r="5069" spans="1:40" x14ac:dyDescent="0.25">
      <c r="A5069" t="str">
        <f>"20190303162012198"</f>
        <v>20190303162012198</v>
      </c>
      <c r="B5069" t="str">
        <f>"1551601212187813"</f>
        <v>1551601212187813</v>
      </c>
      <c r="C5069" t="s">
        <v>40</v>
      </c>
      <c r="D5069">
        <v>4.5490209999999998</v>
      </c>
      <c r="E5069">
        <v>0.48479480000000003</v>
      </c>
      <c r="F5069" t="s">
        <v>65</v>
      </c>
      <c r="G5069">
        <v>-157.25</v>
      </c>
      <c r="H5069">
        <v>4.4156139999999997</v>
      </c>
      <c r="I5069">
        <v>228.6053</v>
      </c>
      <c r="J5069">
        <v>-392.22789999999998</v>
      </c>
      <c r="K5069">
        <v>1.1212439999999999</v>
      </c>
      <c r="L5069">
        <v>214.733</v>
      </c>
      <c r="M5069">
        <v>0.99993710000000002</v>
      </c>
      <c r="N5069">
        <v>-1.122718E-2</v>
      </c>
      <c r="O5069">
        <v>1.894574E-4</v>
      </c>
      <c r="P5069">
        <v>0.99032750000000003</v>
      </c>
      <c r="Q5069">
        <v>0.133462</v>
      </c>
      <c r="R5069">
        <v>3.794347E-2</v>
      </c>
      <c r="S5069">
        <v>3.0168759999999999</v>
      </c>
      <c r="T5069">
        <v>4.2251829999999997E-2</v>
      </c>
      <c r="U5069">
        <v>0.17791750000000001</v>
      </c>
      <c r="V5069">
        <v>-3.7750550000000001E-2</v>
      </c>
      <c r="W5069">
        <v>0.14457390000000001</v>
      </c>
      <c r="X5069">
        <v>0.98877360000000003</v>
      </c>
      <c r="Y5069">
        <v>-5.8681579999999997E-2</v>
      </c>
      <c r="Z5069" s="1">
        <v>-7.605593E-5</v>
      </c>
      <c r="AA5069">
        <v>0.99827679999999996</v>
      </c>
      <c r="AB5069">
        <v>27</v>
      </c>
      <c r="AC5069">
        <v>234.97790000000001</v>
      </c>
      <c r="AD5069">
        <v>3.2943699999999998</v>
      </c>
      <c r="AE5069">
        <v>13.8722999999999</v>
      </c>
      <c r="AF5069">
        <v>-13.8250706594857</v>
      </c>
      <c r="AG5069">
        <v>3.2943699999999998</v>
      </c>
      <c r="AH5069">
        <v>234.934506289159</v>
      </c>
      <c r="AI5069">
        <v>89.198009597456902</v>
      </c>
      <c r="AJ5069">
        <v>93.367771569118801</v>
      </c>
      <c r="AK5069">
        <v>235.363989806783</v>
      </c>
      <c r="AL5069">
        <v>81.687394318602202</v>
      </c>
      <c r="AM5069">
        <v>92.186443052783105</v>
      </c>
      <c r="AN5069">
        <v>0.99999997432173604</v>
      </c>
    </row>
    <row r="5070" spans="1:40" x14ac:dyDescent="0.25">
      <c r="A5070" t="str">
        <f>"20190303162012221"</f>
        <v>20190303162012221</v>
      </c>
      <c r="B5070" t="str">
        <f>"1551601212207332"</f>
        <v>1551601212207332</v>
      </c>
      <c r="C5070" t="s">
        <v>40</v>
      </c>
      <c r="D5070">
        <v>4.5045460000000004</v>
      </c>
      <c r="E5070">
        <v>0.48267139999999997</v>
      </c>
      <c r="F5070" t="s">
        <v>65</v>
      </c>
      <c r="G5070">
        <v>-157.25</v>
      </c>
      <c r="H5070">
        <v>3.873786</v>
      </c>
      <c r="I5070">
        <v>232.79910000000001</v>
      </c>
      <c r="J5070">
        <v>-391.95139999999998</v>
      </c>
      <c r="K5070">
        <v>1.1212359999999999</v>
      </c>
      <c r="L5070">
        <v>214.733</v>
      </c>
      <c r="M5070">
        <v>0.99993730000000003</v>
      </c>
      <c r="N5070">
        <v>-1.121103E-2</v>
      </c>
      <c r="O5070">
        <v>1.8972680000000001E-4</v>
      </c>
      <c r="P5070">
        <v>0.99028680000000002</v>
      </c>
      <c r="Q5070">
        <v>0.13375029999999999</v>
      </c>
      <c r="R5070">
        <v>3.7990040000000003E-2</v>
      </c>
      <c r="S5070">
        <v>3.0156559999999999</v>
      </c>
      <c r="T5070">
        <v>3.5326240000000002E-2</v>
      </c>
      <c r="U5070">
        <v>0.23185729999999999</v>
      </c>
      <c r="V5070">
        <v>-3.7796650000000001E-2</v>
      </c>
      <c r="W5070">
        <v>0.14484559999999999</v>
      </c>
      <c r="X5070">
        <v>0.9887321</v>
      </c>
      <c r="Y5070">
        <v>-7.6468969999999997E-2</v>
      </c>
      <c r="Z5070" s="1">
        <v>-1.3577750000000001E-5</v>
      </c>
      <c r="AA5070">
        <v>0.99707199999999996</v>
      </c>
      <c r="AB5070">
        <v>27</v>
      </c>
      <c r="AC5070">
        <v>234.70140000000001</v>
      </c>
      <c r="AD5070">
        <v>2.7525499999999998</v>
      </c>
      <c r="AE5070">
        <v>18.066099999999999</v>
      </c>
      <c r="AF5070">
        <v>-18.019103931311101</v>
      </c>
      <c r="AG5070">
        <v>2.7525499999999998</v>
      </c>
      <c r="AH5070">
        <v>234.672736100718</v>
      </c>
      <c r="AI5070">
        <v>89.329962790595999</v>
      </c>
      <c r="AJ5070">
        <v>94.390781818504394</v>
      </c>
      <c r="AK5070">
        <v>235.37960342176399</v>
      </c>
      <c r="AL5070">
        <v>81.671661669074595</v>
      </c>
      <c r="AM5070">
        <v>92.189202278669399</v>
      </c>
      <c r="AN5070">
        <v>1.0000000000804901</v>
      </c>
    </row>
    <row r="5071" spans="1:40" x14ac:dyDescent="0.25">
      <c r="A5071" t="str">
        <f>"20190303162012244"</f>
        <v>20190303162012244</v>
      </c>
      <c r="B5071" t="str">
        <f>"1551601212237589"</f>
        <v>1551601212237589</v>
      </c>
      <c r="C5071" t="s">
        <v>40</v>
      </c>
      <c r="D5071">
        <v>4.5040829999999996</v>
      </c>
      <c r="E5071">
        <v>0.48145490000000002</v>
      </c>
      <c r="F5071" t="s">
        <v>65</v>
      </c>
      <c r="G5071">
        <v>-157.25</v>
      </c>
      <c r="H5071">
        <v>3.7369699999999999</v>
      </c>
      <c r="I5071">
        <v>234.0874</v>
      </c>
      <c r="J5071">
        <v>-391.6728</v>
      </c>
      <c r="K5071">
        <v>1.121237</v>
      </c>
      <c r="L5071">
        <v>214.73310000000001</v>
      </c>
      <c r="M5071">
        <v>0.99993739999999998</v>
      </c>
      <c r="N5071">
        <v>-1.119641E-2</v>
      </c>
      <c r="O5071">
        <v>1.9016660000000001E-4</v>
      </c>
      <c r="P5071">
        <v>0.99027310000000002</v>
      </c>
      <c r="Q5071">
        <v>0.1338463</v>
      </c>
      <c r="R5071">
        <v>3.8008880000000002E-2</v>
      </c>
      <c r="S5071">
        <v>3.0153500000000002</v>
      </c>
      <c r="T5071">
        <v>3.3606650000000002E-2</v>
      </c>
      <c r="U5071">
        <v>0.24865719999999999</v>
      </c>
      <c r="V5071">
        <v>-3.781553E-2</v>
      </c>
      <c r="W5071">
        <v>0.144926799999999</v>
      </c>
      <c r="X5071">
        <v>0.98871949999999997</v>
      </c>
      <c r="Y5071">
        <v>-8.1995380000000007E-2</v>
      </c>
      <c r="Z5071" s="1">
        <v>7.9212479999999993E-6</v>
      </c>
      <c r="AA5071">
        <v>0.99663270000000004</v>
      </c>
      <c r="AB5071">
        <v>27</v>
      </c>
      <c r="AC5071">
        <v>234.4228</v>
      </c>
      <c r="AD5071">
        <v>2.6157330000000001</v>
      </c>
      <c r="AE5071">
        <v>19.354299999999899</v>
      </c>
      <c r="AF5071">
        <v>-19.3073298869231</v>
      </c>
      <c r="AG5071">
        <v>2.6157330000000001</v>
      </c>
      <c r="AH5071">
        <v>234.39749043154401</v>
      </c>
      <c r="AI5071">
        <v>89.362798409966004</v>
      </c>
      <c r="AJ5071">
        <v>94.708825145561605</v>
      </c>
      <c r="AK5071">
        <v>235.20586422769199</v>
      </c>
      <c r="AL5071">
        <v>81.666959810296007</v>
      </c>
      <c r="AM5071">
        <v>92.190322639010503</v>
      </c>
      <c r="AN5071">
        <v>1.00000002067383</v>
      </c>
    </row>
    <row r="5072" spans="1:40" x14ac:dyDescent="0.25">
      <c r="A5072" t="str">
        <f>"20190303162012266"</f>
        <v>20190303162012266</v>
      </c>
      <c r="B5072" t="str">
        <f>"1551601212257108"</f>
        <v>1551601212257108</v>
      </c>
      <c r="C5072" t="s">
        <v>40</v>
      </c>
      <c r="D5072">
        <v>4.478002</v>
      </c>
      <c r="E5072">
        <v>0.48096050000000001</v>
      </c>
      <c r="F5072" t="s">
        <v>65</v>
      </c>
      <c r="G5072">
        <v>-157.25</v>
      </c>
      <c r="H5072">
        <v>3.5355620000000001</v>
      </c>
      <c r="I5072">
        <v>234.8203</v>
      </c>
      <c r="J5072">
        <v>-391.4101</v>
      </c>
      <c r="K5072">
        <v>1.1212359999999999</v>
      </c>
      <c r="L5072">
        <v>214.73310000000001</v>
      </c>
      <c r="M5072">
        <v>0.99993750000000003</v>
      </c>
      <c r="N5072">
        <v>-1.1184390000000001E-2</v>
      </c>
      <c r="O5072">
        <v>1.905322E-4</v>
      </c>
      <c r="P5072">
        <v>0.99024020000000001</v>
      </c>
      <c r="Q5072">
        <v>0.13400309999999999</v>
      </c>
      <c r="R5072">
        <v>3.8311959999999999E-2</v>
      </c>
      <c r="S5072">
        <v>3.01532</v>
      </c>
      <c r="T5072">
        <v>3.1055570000000001E-2</v>
      </c>
      <c r="U5072">
        <v>0.25837710000000003</v>
      </c>
      <c r="V5072">
        <v>-3.8117860000000003E-2</v>
      </c>
      <c r="W5072">
        <v>0.1450716</v>
      </c>
      <c r="X5072">
        <v>0.98868659999999997</v>
      </c>
      <c r="Y5072">
        <v>-8.5185869999999997E-2</v>
      </c>
      <c r="Z5072" s="1">
        <v>4.3484730000000003E-5</v>
      </c>
      <c r="AA5072">
        <v>0.9963651</v>
      </c>
      <c r="AB5072">
        <v>27</v>
      </c>
      <c r="AC5072">
        <v>234.1601</v>
      </c>
      <c r="AD5072">
        <v>2.414326</v>
      </c>
      <c r="AE5072">
        <v>20.087199999999999</v>
      </c>
      <c r="AF5072">
        <v>-20.040466909497599</v>
      </c>
      <c r="AG5072">
        <v>2.414326</v>
      </c>
      <c r="AH5072">
        <v>234.13921420170001</v>
      </c>
      <c r="AI5072">
        <v>89.411367707265995</v>
      </c>
      <c r="AJ5072">
        <v>94.892142683899706</v>
      </c>
      <c r="AK5072">
        <v>235.007703939625</v>
      </c>
      <c r="AL5072">
        <v>81.658574313099095</v>
      </c>
      <c r="AM5072">
        <v>92.207890104506703</v>
      </c>
      <c r="AN5072">
        <v>0.99999996669854896</v>
      </c>
    </row>
    <row r="5073" spans="1:40" x14ac:dyDescent="0.25">
      <c r="A5073" t="str">
        <f>"20190303162012290"</f>
        <v>20190303162012290</v>
      </c>
      <c r="B5073" t="str">
        <f>"1551601212277604"</f>
        <v>1551601212277604</v>
      </c>
      <c r="C5073" t="s">
        <v>40</v>
      </c>
      <c r="D5073">
        <v>4.5595080000000001</v>
      </c>
      <c r="E5073">
        <v>0.48060370000000002</v>
      </c>
      <c r="F5073" t="s">
        <v>65</v>
      </c>
      <c r="G5073">
        <v>-157.25</v>
      </c>
      <c r="H5073">
        <v>3.4244319999999999</v>
      </c>
      <c r="I5073">
        <v>235.17150000000001</v>
      </c>
      <c r="J5073">
        <v>-391.13</v>
      </c>
      <c r="K5073">
        <v>1.121238</v>
      </c>
      <c r="L5073">
        <v>214.73320000000001</v>
      </c>
      <c r="M5073">
        <v>0.99993759999999998</v>
      </c>
      <c r="N5073">
        <v>-1.1173489999999999E-2</v>
      </c>
      <c r="O5073">
        <v>1.9059360000000001E-4</v>
      </c>
      <c r="P5073">
        <v>0.99019710000000005</v>
      </c>
      <c r="Q5073">
        <v>0.134190899999999</v>
      </c>
      <c r="R5073">
        <v>3.8763640000000002E-2</v>
      </c>
      <c r="S5073">
        <v>3.0154420000000002</v>
      </c>
      <c r="T5073">
        <v>2.9660579999999999E-2</v>
      </c>
      <c r="U5073">
        <v>0.26319890000000001</v>
      </c>
      <c r="V5073">
        <v>-3.8568949999999998E-2</v>
      </c>
      <c r="W5073">
        <v>0.14524809999999999</v>
      </c>
      <c r="X5073">
        <v>0.98864319999999895</v>
      </c>
      <c r="Y5073">
        <v>-8.6763820000000005E-2</v>
      </c>
      <c r="Z5073" s="1">
        <v>6.3762590000000004E-5</v>
      </c>
      <c r="AA5073">
        <v>0.99622889999999997</v>
      </c>
      <c r="AB5073">
        <v>27</v>
      </c>
      <c r="AC5073">
        <v>233.88</v>
      </c>
      <c r="AD5073">
        <v>2.303194</v>
      </c>
      <c r="AE5073">
        <v>20.438300000000002</v>
      </c>
      <c r="AF5073">
        <v>-20.391758244716801</v>
      </c>
      <c r="AG5073">
        <v>2.303194</v>
      </c>
      <c r="AH5073">
        <v>233.86138379135301</v>
      </c>
      <c r="AI5073">
        <v>89.437871053726695</v>
      </c>
      <c r="AJ5073">
        <v>94.983353953370298</v>
      </c>
      <c r="AK5073">
        <v>234.760037774148</v>
      </c>
      <c r="AL5073">
        <v>81.648353424979703</v>
      </c>
      <c r="AM5073">
        <v>92.234090114926104</v>
      </c>
      <c r="AN5073">
        <v>0.99999997568197496</v>
      </c>
    </row>
    <row r="5074" spans="1:40" x14ac:dyDescent="0.25">
      <c r="A5074" t="str">
        <f>"20190303162012311"</f>
        <v>20190303162012311</v>
      </c>
      <c r="B5074" t="str">
        <f>"1551601212297124"</f>
        <v>1551601212297124</v>
      </c>
      <c r="C5074" t="s">
        <v>40</v>
      </c>
      <c r="D5074">
        <v>4.485188</v>
      </c>
      <c r="E5074">
        <v>0.4803576</v>
      </c>
      <c r="F5074" t="s">
        <v>65</v>
      </c>
      <c r="G5074">
        <v>-157.8382</v>
      </c>
      <c r="H5074">
        <v>3.364757</v>
      </c>
      <c r="I5074">
        <v>235.4144</v>
      </c>
      <c r="J5074">
        <v>-390.86250000000001</v>
      </c>
      <c r="K5074">
        <v>1.121238</v>
      </c>
      <c r="L5074">
        <v>214.73320000000001</v>
      </c>
      <c r="M5074">
        <v>0.99993779999999999</v>
      </c>
      <c r="N5074">
        <v>-1.116485E-2</v>
      </c>
      <c r="O5074">
        <v>1.9082060000000001E-4</v>
      </c>
      <c r="P5074">
        <v>0.99011450000000001</v>
      </c>
      <c r="Q5074">
        <v>0.1344793</v>
      </c>
      <c r="R5074">
        <v>3.9861729999999998E-2</v>
      </c>
      <c r="S5074">
        <v>3.0152890000000001</v>
      </c>
      <c r="T5074">
        <v>2.8998139999999999E-2</v>
      </c>
      <c r="U5074">
        <v>0.26730350000000003</v>
      </c>
      <c r="V5074">
        <v>-3.966712E-2</v>
      </c>
      <c r="W5074">
        <v>0.14552689999999999</v>
      </c>
      <c r="X5074">
        <v>0.98855879999999996</v>
      </c>
      <c r="Y5074">
        <v>-8.811368E-2</v>
      </c>
      <c r="Z5074" s="1">
        <v>7.3964650000000003E-5</v>
      </c>
      <c r="AA5074">
        <v>0.99611039999999995</v>
      </c>
      <c r="AB5074">
        <v>27</v>
      </c>
      <c r="AC5074">
        <v>233.02430000000001</v>
      </c>
      <c r="AD5074">
        <v>2.243519</v>
      </c>
      <c r="AE5074">
        <v>20.681199999999901</v>
      </c>
      <c r="AF5074">
        <v>-20.634833220857502</v>
      </c>
      <c r="AG5074">
        <v>2.243519</v>
      </c>
      <c r="AH5074">
        <v>233.006812594547</v>
      </c>
      <c r="AI5074">
        <v>89.450491929066501</v>
      </c>
      <c r="AJ5074">
        <v>95.060850075349904</v>
      </c>
      <c r="AK5074">
        <v>233.92948603163799</v>
      </c>
      <c r="AL5074">
        <v>81.632208268814693</v>
      </c>
      <c r="AM5074">
        <v>92.297829870320598</v>
      </c>
      <c r="AN5074">
        <v>1.00000003004507</v>
      </c>
    </row>
    <row r="5075" spans="1:40" x14ac:dyDescent="0.25">
      <c r="A5075" t="str">
        <f>"20190303162012334"</f>
        <v>20190303162012334</v>
      </c>
      <c r="B5075" t="str">
        <f>"1551601212327381"</f>
        <v>1551601212327381</v>
      </c>
      <c r="C5075" t="s">
        <v>40</v>
      </c>
      <c r="D5075">
        <v>4.4831379999999896</v>
      </c>
      <c r="E5075">
        <v>0.4800237</v>
      </c>
      <c r="F5075" t="s">
        <v>65</v>
      </c>
      <c r="G5075">
        <v>-157.8382</v>
      </c>
      <c r="H5075">
        <v>3.5231650000000001</v>
      </c>
      <c r="I5075">
        <v>235.77279999999999</v>
      </c>
      <c r="J5075">
        <v>-390.59460000000001</v>
      </c>
      <c r="K5075">
        <v>1.121238</v>
      </c>
      <c r="L5075">
        <v>214.73330000000001</v>
      </c>
      <c r="M5075">
        <v>0.99993770000000004</v>
      </c>
      <c r="N5075">
        <v>-1.1157419999999999E-2</v>
      </c>
      <c r="O5075">
        <v>1.9121949999999999E-4</v>
      </c>
      <c r="P5075">
        <v>0.98996810000000002</v>
      </c>
      <c r="Q5075">
        <v>0.13534370000000001</v>
      </c>
      <c r="R5075">
        <v>4.0564669999999997E-2</v>
      </c>
      <c r="S5075">
        <v>3.0147710000000001</v>
      </c>
      <c r="T5075">
        <v>3.107584E-2</v>
      </c>
      <c r="U5075">
        <v>0.27220149999999999</v>
      </c>
      <c r="V5075">
        <v>-4.0369969999999998E-2</v>
      </c>
      <c r="W5075">
        <v>0.14638219999999999</v>
      </c>
      <c r="X5075">
        <v>0.98840399999999995</v>
      </c>
      <c r="Y5075">
        <v>-8.9733510000000002E-2</v>
      </c>
      <c r="Z5075" s="1">
        <v>4.4194630000000001E-5</v>
      </c>
      <c r="AA5075">
        <v>0.99596580000000001</v>
      </c>
      <c r="AB5075">
        <v>27</v>
      </c>
      <c r="AC5075">
        <v>232.75640000000001</v>
      </c>
      <c r="AD5075">
        <v>2.4019270000000001</v>
      </c>
      <c r="AE5075">
        <v>21.039499999999901</v>
      </c>
      <c r="AF5075">
        <v>-20.992771840103</v>
      </c>
      <c r="AG5075">
        <v>2.4019270000000001</v>
      </c>
      <c r="AH5075">
        <v>232.73583555824101</v>
      </c>
      <c r="AI5075">
        <v>89.411096258781399</v>
      </c>
      <c r="AJ5075">
        <v>95.154131308556401</v>
      </c>
      <c r="AK5075">
        <v>233.693035574097</v>
      </c>
      <c r="AL5075">
        <v>81.582672261075004</v>
      </c>
      <c r="AM5075">
        <v>92.338865472412095</v>
      </c>
      <c r="AN5075">
        <v>0.99999997508532001</v>
      </c>
    </row>
    <row r="5076" spans="1:40" x14ac:dyDescent="0.25">
      <c r="A5076" t="str">
        <f>"20190303162012356"</f>
        <v>20190303162012356</v>
      </c>
      <c r="B5076" t="str">
        <f>"1551601212347877"</f>
        <v>1551601212347877</v>
      </c>
      <c r="C5076" t="s">
        <v>40</v>
      </c>
      <c r="D5076">
        <v>4.5507799999999996</v>
      </c>
      <c r="E5076">
        <v>0.47981000000000001</v>
      </c>
      <c r="F5076" t="s">
        <v>65</v>
      </c>
      <c r="G5076">
        <v>-157.8382</v>
      </c>
      <c r="H5076">
        <v>3.6289579999999999</v>
      </c>
      <c r="I5076">
        <v>236.1103</v>
      </c>
      <c r="J5076">
        <v>-390.32549999999998</v>
      </c>
      <c r="K5076">
        <v>1.12124</v>
      </c>
      <c r="L5076">
        <v>214.73339999999999</v>
      </c>
      <c r="M5076">
        <v>0.99993779999999999</v>
      </c>
      <c r="N5076">
        <v>-1.1151019999999999E-2</v>
      </c>
      <c r="O5076">
        <v>1.914338E-4</v>
      </c>
      <c r="P5076">
        <v>0.98990140000000004</v>
      </c>
      <c r="Q5076">
        <v>0.13578209999999999</v>
      </c>
      <c r="R5076">
        <v>4.0725909999999997E-2</v>
      </c>
      <c r="S5076">
        <v>3.014618</v>
      </c>
      <c r="T5076">
        <v>3.248024E-2</v>
      </c>
      <c r="U5076">
        <v>0.27687070000000003</v>
      </c>
      <c r="V5076">
        <v>-4.0531360000000002E-2</v>
      </c>
      <c r="W5076">
        <v>0.14681369999999999</v>
      </c>
      <c r="X5076">
        <v>0.98833340000000003</v>
      </c>
      <c r="Y5076">
        <v>-9.1267420000000002E-2</v>
      </c>
      <c r="Z5076" s="1">
        <v>2.3512399999999999E-5</v>
      </c>
      <c r="AA5076">
        <v>0.9958264</v>
      </c>
      <c r="AB5076">
        <v>27</v>
      </c>
      <c r="AC5076">
        <v>232.4873</v>
      </c>
      <c r="AD5076">
        <v>2.5077180000000001</v>
      </c>
      <c r="AE5076">
        <v>21.376899999999999</v>
      </c>
      <c r="AF5076">
        <v>-21.3299300243442</v>
      </c>
      <c r="AG5076">
        <v>2.5077180000000001</v>
      </c>
      <c r="AH5076">
        <v>232.46456821890001</v>
      </c>
      <c r="AI5076">
        <v>89.384529379396696</v>
      </c>
      <c r="AJ5076">
        <v>95.2425300703201</v>
      </c>
      <c r="AK5076">
        <v>233.45455669489601</v>
      </c>
      <c r="AL5076">
        <v>81.557679164769198</v>
      </c>
      <c r="AM5076">
        <v>92.348372833515597</v>
      </c>
      <c r="AN5076">
        <v>0.99999998160334902</v>
      </c>
    </row>
    <row r="5077" spans="1:40" x14ac:dyDescent="0.25">
      <c r="A5077" t="str">
        <f>"20190303162012378"</f>
        <v>20190303162012378</v>
      </c>
      <c r="B5077" t="str">
        <f>"1551601212367398"</f>
        <v>1551601212367398</v>
      </c>
      <c r="C5077" t="s">
        <v>40</v>
      </c>
      <c r="D5077">
        <v>4.5094669999999999</v>
      </c>
      <c r="E5077">
        <v>0.47972550000000003</v>
      </c>
      <c r="F5077" t="s">
        <v>65</v>
      </c>
      <c r="G5077">
        <v>-157.8382</v>
      </c>
      <c r="H5077">
        <v>3.6991079999999998</v>
      </c>
      <c r="I5077">
        <v>236.27080000000001</v>
      </c>
      <c r="J5077">
        <v>-390.06529999999998</v>
      </c>
      <c r="K5077">
        <v>1.1212439999999999</v>
      </c>
      <c r="L5077">
        <v>214.73339999999999</v>
      </c>
      <c r="M5077">
        <v>0.99993810000000005</v>
      </c>
      <c r="N5077">
        <v>-1.11459E-2</v>
      </c>
      <c r="O5077">
        <v>1.914622E-4</v>
      </c>
      <c r="P5077">
        <v>0.98993869999999895</v>
      </c>
      <c r="Q5077">
        <v>0.13555599999999901</v>
      </c>
      <c r="R5077">
        <v>4.0574529999999998E-2</v>
      </c>
      <c r="S5077">
        <v>3.0145569999999999</v>
      </c>
      <c r="T5077">
        <v>3.342676E-2</v>
      </c>
      <c r="U5077">
        <v>0.27926640000000003</v>
      </c>
      <c r="V5077">
        <v>-4.0379600000000002E-2</v>
      </c>
      <c r="W5077">
        <v>0.14658309999999999</v>
      </c>
      <c r="X5077">
        <v>0.98837390000000003</v>
      </c>
      <c r="Y5077">
        <v>-9.2053759999999998E-2</v>
      </c>
      <c r="Z5077" s="1">
        <v>9.1093829999999997E-6</v>
      </c>
      <c r="AA5077">
        <v>0.99575409999999998</v>
      </c>
      <c r="AB5077">
        <v>27</v>
      </c>
      <c r="AC5077">
        <v>232.22710000000001</v>
      </c>
      <c r="AD5077">
        <v>2.5778639999999999</v>
      </c>
      <c r="AE5077">
        <v>21.537400000000002</v>
      </c>
      <c r="AF5077">
        <v>-21.4903086098487</v>
      </c>
      <c r="AG5077">
        <v>2.5778639999999999</v>
      </c>
      <c r="AH5077">
        <v>232.202850711781</v>
      </c>
      <c r="AI5077">
        <v>89.366647697562499</v>
      </c>
      <c r="AJ5077">
        <v>95.287645607408393</v>
      </c>
      <c r="AK5077">
        <v>233.20943940078101</v>
      </c>
      <c r="AL5077">
        <v>81.571036587341496</v>
      </c>
      <c r="AM5077">
        <v>92.339493939875993</v>
      </c>
      <c r="AN5077">
        <v>1.0000000417514801</v>
      </c>
    </row>
    <row r="5078" spans="1:40" x14ac:dyDescent="0.25">
      <c r="A5078" t="str">
        <f>"20190303162012399"</f>
        <v>20190303162012399</v>
      </c>
      <c r="B5078" t="str">
        <f>"1551601212387893"</f>
        <v>1551601212387893</v>
      </c>
      <c r="C5078" t="s">
        <v>40</v>
      </c>
      <c r="D5078">
        <v>4.5053590000000003</v>
      </c>
      <c r="E5078">
        <v>0.47965029999999997</v>
      </c>
      <c r="F5078" t="s">
        <v>65</v>
      </c>
      <c r="G5078">
        <v>-157.8382</v>
      </c>
      <c r="H5078">
        <v>3.7253059999999998</v>
      </c>
      <c r="I5078">
        <v>236.28049999999999</v>
      </c>
      <c r="J5078">
        <v>-389.80149999999998</v>
      </c>
      <c r="K5078">
        <v>1.1212420000000001</v>
      </c>
      <c r="L5078">
        <v>214.73339999999999</v>
      </c>
      <c r="M5078">
        <v>0.99993810000000005</v>
      </c>
      <c r="N5078">
        <v>-1.1141710000000001E-2</v>
      </c>
      <c r="O5078">
        <v>1.9178350000000001E-4</v>
      </c>
      <c r="P5078">
        <v>0.98994660000000001</v>
      </c>
      <c r="Q5078">
        <v>0.13552229999999901</v>
      </c>
      <c r="R5078">
        <v>4.0495549999999998E-2</v>
      </c>
      <c r="S5078">
        <v>3.0144350000000002</v>
      </c>
      <c r="T5078">
        <v>3.3802869999999999E-2</v>
      </c>
      <c r="U5078">
        <v>0.27969359999999999</v>
      </c>
      <c r="V5078">
        <v>-4.0300179999999998E-2</v>
      </c>
      <c r="W5078">
        <v>0.14654489999999901</v>
      </c>
      <c r="X5078">
        <v>0.98838280000000001</v>
      </c>
      <c r="Y5078">
        <v>-9.2196990000000006E-2</v>
      </c>
      <c r="Z5078" s="1">
        <v>3.2013050000000001E-6</v>
      </c>
      <c r="AA5078">
        <v>0.99574079999999998</v>
      </c>
      <c r="AB5078">
        <v>27</v>
      </c>
      <c r="AC5078">
        <v>231.9633</v>
      </c>
      <c r="AD5078">
        <v>2.6040640000000002</v>
      </c>
      <c r="AE5078">
        <v>21.5471</v>
      </c>
      <c r="AF5078">
        <v>-21.499923718779801</v>
      </c>
      <c r="AG5078">
        <v>2.6040640000000002</v>
      </c>
      <c r="AH5078">
        <v>231.93844784388</v>
      </c>
      <c r="AI5078">
        <v>89.359490547864894</v>
      </c>
      <c r="AJ5078">
        <v>95.295994134567195</v>
      </c>
      <c r="AK5078">
        <v>232.94735769580601</v>
      </c>
      <c r="AL5078">
        <v>81.573249128700496</v>
      </c>
      <c r="AM5078">
        <v>92.334876638024994</v>
      </c>
      <c r="AN5078">
        <v>1.0000000357799399</v>
      </c>
    </row>
    <row r="5079" spans="1:40" x14ac:dyDescent="0.25">
      <c r="A5079" t="str">
        <f>"20190303162012423"</f>
        <v>20190303162012423</v>
      </c>
      <c r="B5079" t="str">
        <f>"1551601212417173"</f>
        <v>1551601212417173</v>
      </c>
      <c r="C5079" t="s">
        <v>40</v>
      </c>
      <c r="D5079">
        <v>4.4682620000000002</v>
      </c>
      <c r="E5079">
        <v>0.4795063</v>
      </c>
      <c r="F5079" t="s">
        <v>65</v>
      </c>
      <c r="G5079">
        <v>-157.8382</v>
      </c>
      <c r="H5079">
        <v>3.779401</v>
      </c>
      <c r="I5079">
        <v>236.26259999999999</v>
      </c>
      <c r="J5079">
        <v>-389.52359999999999</v>
      </c>
      <c r="K5079">
        <v>1.1212489999999999</v>
      </c>
      <c r="L5079">
        <v>214.73349999999999</v>
      </c>
      <c r="M5079">
        <v>0.99993799999999999</v>
      </c>
      <c r="N5079">
        <v>-1.113827E-2</v>
      </c>
      <c r="O5079">
        <v>1.9216019999999999E-4</v>
      </c>
      <c r="P5079">
        <v>0.9899095</v>
      </c>
      <c r="Q5079">
        <v>0.13579729999999901</v>
      </c>
      <c r="R5079">
        <v>4.0475789999999998E-2</v>
      </c>
      <c r="S5079">
        <v>3.0143430000000002</v>
      </c>
      <c r="T5079">
        <v>3.4543280000000003E-2</v>
      </c>
      <c r="U5079">
        <v>0.27976990000000002</v>
      </c>
      <c r="V5079">
        <v>-4.0280150000000001E-2</v>
      </c>
      <c r="W5079">
        <v>0.14681659999999999</v>
      </c>
      <c r="X5079">
        <v>0.98834319999999998</v>
      </c>
      <c r="Y5079">
        <v>-9.2224260000000002E-2</v>
      </c>
      <c r="Z5079" s="1">
        <v>-8.2178740000000003E-6</v>
      </c>
      <c r="AA5079">
        <v>0.99573829999999997</v>
      </c>
      <c r="AB5079">
        <v>27</v>
      </c>
      <c r="AC5079">
        <v>231.68539999999999</v>
      </c>
      <c r="AD5079">
        <v>2.6581519999999998</v>
      </c>
      <c r="AE5079">
        <v>21.5291</v>
      </c>
      <c r="AF5079">
        <v>-21.481772643728199</v>
      </c>
      <c r="AG5079">
        <v>2.6581519999999998</v>
      </c>
      <c r="AH5079">
        <v>231.65930023598199</v>
      </c>
      <c r="AI5079">
        <v>89.345402154943699</v>
      </c>
      <c r="AJ5079">
        <v>95.297888453812206</v>
      </c>
      <c r="AK5079">
        <v>232.66835563478901</v>
      </c>
      <c r="AL5079">
        <v>81.557510856397897</v>
      </c>
      <c r="AM5079">
        <v>92.333810842566294</v>
      </c>
      <c r="AN5079">
        <v>0.99999994275290904</v>
      </c>
    </row>
    <row r="5080" spans="1:40" x14ac:dyDescent="0.25">
      <c r="A5080" t="str">
        <f>"20190303162012444"</f>
        <v>20190303162012444</v>
      </c>
      <c r="B5080" t="str">
        <f>"1551601212437669"</f>
        <v>1551601212437669</v>
      </c>
      <c r="C5080" t="s">
        <v>40</v>
      </c>
      <c r="D5080">
        <v>4.478332</v>
      </c>
      <c r="E5080">
        <v>0.47946860000000002</v>
      </c>
      <c r="F5080" t="s">
        <v>65</v>
      </c>
      <c r="G5080">
        <v>-157.8382</v>
      </c>
      <c r="H5080">
        <v>3.8120039999999999</v>
      </c>
      <c r="I5080">
        <v>236.33070000000001</v>
      </c>
      <c r="J5080">
        <v>-389.25729999999999</v>
      </c>
      <c r="K5080">
        <v>1.1212439999999999</v>
      </c>
      <c r="L5080">
        <v>214.7336</v>
      </c>
      <c r="M5080">
        <v>0.99993799999999999</v>
      </c>
      <c r="N5080">
        <v>-1.1135900000000001E-2</v>
      </c>
      <c r="O5080">
        <v>1.923521E-4</v>
      </c>
      <c r="P5080">
        <v>0.98987700000000001</v>
      </c>
      <c r="Q5080">
        <v>0.1359919</v>
      </c>
      <c r="R5080">
        <v>4.061787E-2</v>
      </c>
      <c r="S5080">
        <v>3.0143430000000002</v>
      </c>
      <c r="T5080">
        <v>3.5008789999999998E-2</v>
      </c>
      <c r="U5080">
        <v>0.28099059999999998</v>
      </c>
      <c r="V5080">
        <v>-4.0422260000000002E-2</v>
      </c>
      <c r="W5080">
        <v>0.1470081</v>
      </c>
      <c r="X5080">
        <v>0.98830899999999999</v>
      </c>
      <c r="Y5080">
        <v>-9.2623750000000005E-2</v>
      </c>
      <c r="Z5080" s="1">
        <v>-1.546449E-5</v>
      </c>
      <c r="AA5080">
        <v>0.99570119999999895</v>
      </c>
      <c r="AB5080">
        <v>27</v>
      </c>
      <c r="AC5080">
        <v>231.41909999999999</v>
      </c>
      <c r="AD5080">
        <v>2.69076</v>
      </c>
      <c r="AE5080">
        <v>21.597100000000001</v>
      </c>
      <c r="AF5080">
        <v>-21.5496946961294</v>
      </c>
      <c r="AG5080">
        <v>2.69076</v>
      </c>
      <c r="AH5080">
        <v>231.39223790685901</v>
      </c>
      <c r="AI5080">
        <v>89.336632578697504</v>
      </c>
      <c r="AJ5080">
        <v>95.320642414646301</v>
      </c>
      <c r="AK5080">
        <v>232.40911620334199</v>
      </c>
      <c r="AL5080">
        <v>81.5464189277846</v>
      </c>
      <c r="AM5080">
        <v>92.342116424023601</v>
      </c>
      <c r="AN5080">
        <v>1.0000000100250499</v>
      </c>
    </row>
    <row r="5081" spans="1:40" x14ac:dyDescent="0.25">
      <c r="A5081" t="str">
        <f>"20190303162012467"</f>
        <v>20190303162012467</v>
      </c>
      <c r="B5081" t="str">
        <f>"1551601212457189"</f>
        <v>1551601212457189</v>
      </c>
      <c r="C5081" t="s">
        <v>40</v>
      </c>
      <c r="D5081">
        <v>4.4662509999999997</v>
      </c>
      <c r="E5081">
        <v>0.47937190000000002</v>
      </c>
      <c r="F5081" t="s">
        <v>65</v>
      </c>
      <c r="G5081">
        <v>-157.8382</v>
      </c>
      <c r="H5081">
        <v>3.7881689999999999</v>
      </c>
      <c r="I5081">
        <v>236.33600000000001</v>
      </c>
      <c r="J5081">
        <v>-388.9871</v>
      </c>
      <c r="K5081">
        <v>1.121237</v>
      </c>
      <c r="L5081">
        <v>214.7336</v>
      </c>
      <c r="M5081">
        <v>0.99993810000000005</v>
      </c>
      <c r="N5081">
        <v>-1.1134389999999999E-2</v>
      </c>
      <c r="O5081">
        <v>1.9253919999999999E-4</v>
      </c>
      <c r="P5081">
        <v>0.98995</v>
      </c>
      <c r="Q5081">
        <v>0.1355036</v>
      </c>
      <c r="R5081">
        <v>4.0474599999999999E-2</v>
      </c>
      <c r="S5081">
        <v>3.0144039999999999</v>
      </c>
      <c r="T5081">
        <v>3.473938E-2</v>
      </c>
      <c r="U5081">
        <v>0.28138730000000001</v>
      </c>
      <c r="V5081">
        <v>-4.0278649999999999E-2</v>
      </c>
      <c r="W5081">
        <v>0.14651939999999999</v>
      </c>
      <c r="X5081">
        <v>0.98838740000000003</v>
      </c>
      <c r="Y5081">
        <v>-9.2751650000000005E-2</v>
      </c>
      <c r="Z5081" s="1">
        <v>-1.1423369999999999E-5</v>
      </c>
      <c r="AA5081">
        <v>0.9956893</v>
      </c>
      <c r="AB5081">
        <v>27</v>
      </c>
      <c r="AC5081">
        <v>231.1489</v>
      </c>
      <c r="AD5081">
        <v>2.6669320000000001</v>
      </c>
      <c r="AE5081">
        <v>21.6023999999999</v>
      </c>
      <c r="AF5081">
        <v>-21.5550470781996</v>
      </c>
      <c r="AG5081">
        <v>2.6669320000000001</v>
      </c>
      <c r="AH5081">
        <v>231.122554860382</v>
      </c>
      <c r="AI5081">
        <v>89.341747399282298</v>
      </c>
      <c r="AJ5081">
        <v>95.3281304894725</v>
      </c>
      <c r="AK5081">
        <v>232.140836446382</v>
      </c>
      <c r="AL5081">
        <v>81.574725626359594</v>
      </c>
      <c r="AM5081">
        <v>92.333619782301795</v>
      </c>
      <c r="AN5081">
        <v>0.99999997835047105</v>
      </c>
    </row>
    <row r="5082" spans="1:40" x14ac:dyDescent="0.25">
      <c r="A5082" t="str">
        <f>"20190303162012502"</f>
        <v>20190303162012502</v>
      </c>
      <c r="B5082" t="str">
        <f>"1551601212487444"</f>
        <v>1551601212487444</v>
      </c>
      <c r="C5082" t="s">
        <v>40</v>
      </c>
      <c r="D5082">
        <v>4.4640779999999998</v>
      </c>
      <c r="E5082">
        <v>0.47934339999999998</v>
      </c>
      <c r="F5082" t="s">
        <v>65</v>
      </c>
      <c r="G5082">
        <v>-157.8382</v>
      </c>
      <c r="H5082">
        <v>3.6090059999999999</v>
      </c>
      <c r="I5082">
        <v>236.34620000000001</v>
      </c>
      <c r="J5082">
        <v>-388.56599999999997</v>
      </c>
      <c r="K5082">
        <v>1.121237</v>
      </c>
      <c r="L5082">
        <v>214.7337</v>
      </c>
      <c r="M5082">
        <v>0.99993810000000005</v>
      </c>
      <c r="N5082">
        <v>-1.113344E-2</v>
      </c>
      <c r="O5082">
        <v>1.9272319999999999E-4</v>
      </c>
      <c r="P5082">
        <v>0.98994859999999896</v>
      </c>
      <c r="Q5082">
        <v>0.1355314</v>
      </c>
      <c r="R5082">
        <v>4.0415359999999997E-2</v>
      </c>
      <c r="S5082">
        <v>3.014526</v>
      </c>
      <c r="T5082">
        <v>3.244495E-2</v>
      </c>
      <c r="U5082">
        <v>0.28186040000000001</v>
      </c>
      <c r="V5082">
        <v>-4.0219110000000002E-2</v>
      </c>
      <c r="W5082">
        <v>0.14654629999999999</v>
      </c>
      <c r="X5082">
        <v>0.98838590000000004</v>
      </c>
      <c r="Y5082">
        <v>-9.2903009999999994E-2</v>
      </c>
      <c r="Z5082" s="1">
        <v>2.366735E-5</v>
      </c>
      <c r="AA5082">
        <v>0.99567510000000004</v>
      </c>
      <c r="AB5082">
        <v>27</v>
      </c>
      <c r="AC5082">
        <v>230.7278</v>
      </c>
      <c r="AD5082">
        <v>2.4877689999999899</v>
      </c>
      <c r="AE5082">
        <v>21.612500000000001</v>
      </c>
      <c r="AF5082">
        <v>-21.565544901713299</v>
      </c>
      <c r="AG5082">
        <v>2.4877689999999899</v>
      </c>
      <c r="AH5082">
        <v>230.70537330636901</v>
      </c>
      <c r="AI5082">
        <v>89.384866859010899</v>
      </c>
      <c r="AJ5082">
        <v>95.3402942458019</v>
      </c>
      <c r="AK5082">
        <v>231.72447215159701</v>
      </c>
      <c r="AL5082">
        <v>81.573168084199807</v>
      </c>
      <c r="AM5082">
        <v>92.330177557438702</v>
      </c>
      <c r="AN5082">
        <v>1.0000000410858401</v>
      </c>
    </row>
    <row r="5083" spans="1:40" x14ac:dyDescent="0.25">
      <c r="A5083" t="str">
        <f>"20190303162012524"</f>
        <v>20190303162012524</v>
      </c>
      <c r="B5083" t="str">
        <f>"1551601212507941"</f>
        <v>1551601212507941</v>
      </c>
      <c r="C5083" t="s">
        <v>40</v>
      </c>
      <c r="D5083">
        <v>4.5279470000000002</v>
      </c>
      <c r="E5083">
        <v>0.50182340000000003</v>
      </c>
      <c r="F5083" t="s">
        <v>65</v>
      </c>
      <c r="G5083">
        <v>-157.8382</v>
      </c>
      <c r="H5083">
        <v>3.4961639999999998</v>
      </c>
      <c r="I5083">
        <v>236.2963</v>
      </c>
      <c r="J5083">
        <v>-388.2978</v>
      </c>
      <c r="K5083">
        <v>1.12124</v>
      </c>
      <c r="L5083">
        <v>214.7337</v>
      </c>
      <c r="M5083">
        <v>0.99993799999999999</v>
      </c>
      <c r="N5083">
        <v>-1.1133570000000001E-2</v>
      </c>
      <c r="O5083">
        <v>1.9302039999999999E-4</v>
      </c>
      <c r="P5083">
        <v>0.98994859999999896</v>
      </c>
      <c r="Q5083">
        <v>0.1354456</v>
      </c>
      <c r="R5083">
        <v>4.0699249999999999E-2</v>
      </c>
      <c r="S5083">
        <v>3.0147089999999999</v>
      </c>
      <c r="T5083">
        <v>3.103173E-2</v>
      </c>
      <c r="U5083">
        <v>0.2817383</v>
      </c>
      <c r="V5083">
        <v>-4.0502410000000003E-2</v>
      </c>
      <c r="W5083">
        <v>0.1464609</v>
      </c>
      <c r="X5083">
        <v>0.98838689999999996</v>
      </c>
      <c r="Y5083">
        <v>-9.2857350000000005E-2</v>
      </c>
      <c r="Z5083" s="1">
        <v>4.5323279999999897E-5</v>
      </c>
      <c r="AA5083">
        <v>0.99567939999999999</v>
      </c>
      <c r="AB5083">
        <v>27</v>
      </c>
      <c r="AC5083">
        <v>230.45959999999999</v>
      </c>
      <c r="AD5083">
        <v>2.374924</v>
      </c>
      <c r="AE5083">
        <v>21.5626</v>
      </c>
      <c r="AF5083">
        <v>-21.515848359747601</v>
      </c>
      <c r="AG5083">
        <v>2.374924</v>
      </c>
      <c r="AH5083">
        <v>230.439498509591</v>
      </c>
      <c r="AI5083">
        <v>89.412083892717703</v>
      </c>
      <c r="AJ5083">
        <v>95.334170683235001</v>
      </c>
      <c r="AK5083">
        <v>231.45395755527099</v>
      </c>
      <c r="AL5083">
        <v>81.578113761428597</v>
      </c>
      <c r="AM5083">
        <v>92.346570475092904</v>
      </c>
      <c r="AN5083">
        <v>0.999999952268112</v>
      </c>
    </row>
    <row r="5084" spans="1:40" x14ac:dyDescent="0.25">
      <c r="A5084" t="str">
        <f>"20190303162012545"</f>
        <v>20190303162012545</v>
      </c>
      <c r="B5084" t="str">
        <f>"1551601212537221"</f>
        <v>1551601212537221</v>
      </c>
      <c r="C5084" t="s">
        <v>40</v>
      </c>
      <c r="D5084">
        <v>4.4411620000000003</v>
      </c>
      <c r="E5084">
        <v>0.53219150000000004</v>
      </c>
      <c r="F5084" t="s">
        <v>52</v>
      </c>
      <c r="G5084">
        <v>-354.36610000000002</v>
      </c>
      <c r="H5084" s="1">
        <v>7.3183619999999995E-7</v>
      </c>
      <c r="I5084">
        <v>215.8699</v>
      </c>
      <c r="J5084">
        <v>-388.03980000000001</v>
      </c>
      <c r="K5084">
        <v>1.1212439999999999</v>
      </c>
      <c r="L5084">
        <v>214.7338</v>
      </c>
      <c r="M5084">
        <v>0.99993810000000005</v>
      </c>
      <c r="N5084">
        <v>-1.113402E-2</v>
      </c>
      <c r="O5084">
        <v>1.9319660000000001E-4</v>
      </c>
      <c r="P5084">
        <v>0.98991859999999998</v>
      </c>
      <c r="Q5084">
        <v>0.13572039999999999</v>
      </c>
      <c r="R5084">
        <v>4.051424E-2</v>
      </c>
      <c r="S5084">
        <v>3.040009</v>
      </c>
      <c r="T5084">
        <v>-0.100454</v>
      </c>
      <c r="U5084">
        <v>0.1017914</v>
      </c>
      <c r="V5084">
        <v>-4.0317409999999998E-2</v>
      </c>
      <c r="W5084">
        <v>0.14673539999999999</v>
      </c>
      <c r="X5084">
        <v>0.98835379999999995</v>
      </c>
      <c r="Y5084">
        <v>-3.3247859999999997E-2</v>
      </c>
      <c r="Z5084">
        <v>7.3000309999999896E-4</v>
      </c>
      <c r="AA5084">
        <v>0.99944690000000003</v>
      </c>
      <c r="AB5084">
        <v>27</v>
      </c>
      <c r="AC5084">
        <v>33.673699999999997</v>
      </c>
      <c r="AD5084">
        <v>-1.1212432681638</v>
      </c>
      <c r="AE5084">
        <v>1.1360999999999899</v>
      </c>
      <c r="AF5084">
        <v>-1.1283443474055199</v>
      </c>
      <c r="AG5084">
        <v>-1.1212432681638</v>
      </c>
      <c r="AH5084">
        <v>33.6366679630083</v>
      </c>
      <c r="AI5084">
        <v>91.908115690420303</v>
      </c>
      <c r="AJ5084">
        <v>91.921270442320505</v>
      </c>
      <c r="AK5084">
        <v>33.674259889215001</v>
      </c>
      <c r="AL5084">
        <v>81.562214720853106</v>
      </c>
      <c r="AM5084">
        <v>92.3359422518282</v>
      </c>
      <c r="AN5084">
        <v>1.00000000256835</v>
      </c>
    </row>
    <row r="5085" spans="1:40" x14ac:dyDescent="0.25">
      <c r="A5085" t="str">
        <f>"20190303162012567"</f>
        <v>20190303162012567</v>
      </c>
      <c r="B5085" t="str">
        <f>"1551601212557717"</f>
        <v>1551601212557717</v>
      </c>
      <c r="C5085" t="s">
        <v>40</v>
      </c>
      <c r="D5085">
        <v>4.4505429999999997</v>
      </c>
      <c r="E5085">
        <v>0.5452167</v>
      </c>
      <c r="F5085" t="s">
        <v>42</v>
      </c>
      <c r="G5085">
        <v>-387.31760000000003</v>
      </c>
      <c r="H5085">
        <v>1.030122</v>
      </c>
      <c r="I5085">
        <v>214.69970000000001</v>
      </c>
      <c r="J5085">
        <v>-387.77260000000001</v>
      </c>
      <c r="K5085">
        <v>1.1212390000000001</v>
      </c>
      <c r="L5085">
        <v>214.7338</v>
      </c>
      <c r="M5085">
        <v>0.99993810000000005</v>
      </c>
      <c r="N5085">
        <v>-1.113482E-2</v>
      </c>
      <c r="O5085">
        <v>1.933711E-4</v>
      </c>
      <c r="P5085">
        <v>0.98995820000000001</v>
      </c>
      <c r="Q5085">
        <v>0.13537859999999999</v>
      </c>
      <c r="R5085">
        <v>4.0690520000000001E-2</v>
      </c>
      <c r="S5085">
        <v>3.0899049999999999</v>
      </c>
      <c r="T5085">
        <v>-0.39002110000000001</v>
      </c>
      <c r="U5085">
        <v>-0.14379879999999901</v>
      </c>
      <c r="V5085">
        <v>-4.0493849999999998E-2</v>
      </c>
      <c r="W5085">
        <v>0.14639489999999999</v>
      </c>
      <c r="X5085">
        <v>0.98839710000000003</v>
      </c>
      <c r="Y5085">
        <v>4.6280780000000001E-2</v>
      </c>
      <c r="Z5085">
        <v>-3.188855E-3</v>
      </c>
      <c r="AA5085">
        <v>0.99892340000000002</v>
      </c>
      <c r="AB5085">
        <v>27</v>
      </c>
      <c r="AC5085">
        <v>0.45499999999998397</v>
      </c>
      <c r="AD5085">
        <v>-9.1116999999999795E-2</v>
      </c>
      <c r="AE5085">
        <v>-3.40999999999951E-2</v>
      </c>
      <c r="AF5085">
        <v>3.2876893240874401E-2</v>
      </c>
      <c r="AG5085">
        <v>-9.1116999999999795E-2</v>
      </c>
      <c r="AH5085">
        <v>0.43754458597941598</v>
      </c>
      <c r="AI5085">
        <v>101.731354090067</v>
      </c>
      <c r="AJ5085">
        <v>85.702897161012103</v>
      </c>
      <c r="AK5085">
        <v>0.44813888753161102</v>
      </c>
      <c r="AL5085">
        <v>81.581937086316898</v>
      </c>
      <c r="AM5085">
        <v>92.346050908483306</v>
      </c>
      <c r="AN5085">
        <v>1.0000000229611199</v>
      </c>
    </row>
    <row r="5086" spans="1:40" x14ac:dyDescent="0.25">
      <c r="A5086" t="str">
        <f>"20190303162012588"</f>
        <v>20190303162012588</v>
      </c>
      <c r="B5086" t="str">
        <f>"1551601212577237"</f>
        <v>1551601212577237</v>
      </c>
      <c r="C5086" t="s">
        <v>40</v>
      </c>
      <c r="D5086">
        <v>4.3960189999999999</v>
      </c>
      <c r="E5086">
        <v>0.54401880000000002</v>
      </c>
      <c r="F5086" t="s">
        <v>42</v>
      </c>
      <c r="G5086">
        <v>-386.90069999999997</v>
      </c>
      <c r="H5086">
        <v>0.886271699999999</v>
      </c>
      <c r="I5086">
        <v>214.66419999999999</v>
      </c>
      <c r="J5086">
        <v>-387.50240000000002</v>
      </c>
      <c r="K5086">
        <v>1.12124</v>
      </c>
      <c r="L5086">
        <v>214.73390000000001</v>
      </c>
      <c r="M5086">
        <v>0.99993799999999999</v>
      </c>
      <c r="N5086">
        <v>-1.113601E-2</v>
      </c>
      <c r="O5086">
        <v>1.9366239999999999E-4</v>
      </c>
      <c r="P5086">
        <v>0.99004429999999999</v>
      </c>
      <c r="Q5086">
        <v>0.13496429999999901</v>
      </c>
      <c r="R5086">
        <v>3.9965500000000001E-2</v>
      </c>
      <c r="S5086">
        <v>3.1571039999999999</v>
      </c>
      <c r="T5086">
        <v>-0.85078560000000003</v>
      </c>
      <c r="U5086">
        <v>-0.25068659999999998</v>
      </c>
      <c r="V5086">
        <v>-3.9768119999999997E-2</v>
      </c>
      <c r="W5086">
        <v>0.1459831</v>
      </c>
      <c r="X5086">
        <v>0.98848740000000002</v>
      </c>
      <c r="Y5086">
        <v>7.6512170000000004E-2</v>
      </c>
      <c r="Z5086">
        <v>-1.059711E-2</v>
      </c>
      <c r="AA5086">
        <v>0.99701229999999996</v>
      </c>
      <c r="AB5086">
        <v>27</v>
      </c>
      <c r="AC5086">
        <v>0.60170000000004997</v>
      </c>
      <c r="AD5086">
        <v>-0.23496829999999999</v>
      </c>
      <c r="AE5086">
        <v>-6.97000000000116E-2</v>
      </c>
      <c r="AF5086">
        <v>6.0684865469049901E-2</v>
      </c>
      <c r="AG5086">
        <v>-0.23496829999999999</v>
      </c>
      <c r="AH5086">
        <v>0.52298878684224104</v>
      </c>
      <c r="AI5086">
        <v>114.05051121362099</v>
      </c>
      <c r="AJ5086">
        <v>83.381298345704806</v>
      </c>
      <c r="AK5086">
        <v>0.57655010715861099</v>
      </c>
      <c r="AL5086">
        <v>81.605787143386095</v>
      </c>
      <c r="AM5086">
        <v>92.303840503684398</v>
      </c>
      <c r="AN5086">
        <v>0.99999995440635103</v>
      </c>
    </row>
    <row r="5087" spans="1:40" x14ac:dyDescent="0.25">
      <c r="A5087" t="str">
        <f>"20190303162012612"</f>
        <v>20190303162012612</v>
      </c>
      <c r="B5087" t="str">
        <f>"1551601212607493"</f>
        <v>1551601212607493</v>
      </c>
      <c r="C5087" t="s">
        <v>40</v>
      </c>
      <c r="D5087">
        <v>4.4121069999999998</v>
      </c>
      <c r="E5087">
        <v>0.5438501</v>
      </c>
      <c r="F5087" t="s">
        <v>42</v>
      </c>
      <c r="G5087">
        <v>-386.65949999999998</v>
      </c>
      <c r="H5087">
        <v>0.88187150000000003</v>
      </c>
      <c r="I5087">
        <v>214.66849999999999</v>
      </c>
      <c r="J5087">
        <v>-387.2235</v>
      </c>
      <c r="K5087">
        <v>1.1212420000000001</v>
      </c>
      <c r="L5087">
        <v>214.73390000000001</v>
      </c>
      <c r="M5087">
        <v>0.99993799999999999</v>
      </c>
      <c r="N5087">
        <v>-1.1137579999999999E-2</v>
      </c>
      <c r="O5087">
        <v>1.938326E-4</v>
      </c>
      <c r="P5087">
        <v>0.99005650000000001</v>
      </c>
      <c r="Q5087">
        <v>0.1350035</v>
      </c>
      <c r="R5087">
        <v>3.952365E-2</v>
      </c>
      <c r="S5087">
        <v>3.1624759999999998</v>
      </c>
      <c r="T5087">
        <v>-0.89806160000000002</v>
      </c>
      <c r="U5087">
        <v>-0.24501039999999999</v>
      </c>
      <c r="V5087">
        <v>-3.9326220000000002E-2</v>
      </c>
      <c r="W5087">
        <v>0.1460236</v>
      </c>
      <c r="X5087">
        <v>0.98849920000000002</v>
      </c>
      <c r="Y5087">
        <v>7.4385279999999998E-2</v>
      </c>
      <c r="Z5087">
        <v>-1.081734E-2</v>
      </c>
      <c r="AA5087">
        <v>0.99717089999999997</v>
      </c>
      <c r="AB5087">
        <v>27</v>
      </c>
      <c r="AC5087">
        <v>0.56400000000002104</v>
      </c>
      <c r="AD5087">
        <v>-0.23937050000000001</v>
      </c>
      <c r="AE5087">
        <v>-6.5400000000010894E-2</v>
      </c>
      <c r="AF5087">
        <v>5.5622965030070103E-2</v>
      </c>
      <c r="AG5087">
        <v>-0.23937050000000001</v>
      </c>
      <c r="AH5087">
        <v>0.47887297738101697</v>
      </c>
      <c r="AI5087">
        <v>116.405498834555</v>
      </c>
      <c r="AJ5087">
        <v>83.374561381981394</v>
      </c>
      <c r="AK5087">
        <v>0.53824852900379205</v>
      </c>
      <c r="AL5087">
        <v>81.603442386910899</v>
      </c>
      <c r="AM5087">
        <v>92.2782403816325</v>
      </c>
      <c r="AN5087">
        <v>1.00000005586854</v>
      </c>
    </row>
    <row r="5088" spans="1:40" x14ac:dyDescent="0.25">
      <c r="A5088" t="str">
        <f>"20190303162012633"</f>
        <v>20190303162012633</v>
      </c>
      <c r="B5088" t="str">
        <f>"1551601212627990"</f>
        <v>1551601212627990</v>
      </c>
      <c r="C5088" t="s">
        <v>40</v>
      </c>
      <c r="D5088">
        <v>4.4231239999999996</v>
      </c>
      <c r="E5088">
        <v>0.54412419999999995</v>
      </c>
      <c r="F5088" t="s">
        <v>42</v>
      </c>
      <c r="G5088">
        <v>-386.4128</v>
      </c>
      <c r="H5088">
        <v>0.89084339999999995</v>
      </c>
      <c r="I5088">
        <v>214.6705</v>
      </c>
      <c r="J5088">
        <v>-386.95710000000003</v>
      </c>
      <c r="K5088">
        <v>1.1212340000000001</v>
      </c>
      <c r="L5088">
        <v>214.73400000000001</v>
      </c>
      <c r="M5088">
        <v>0.99993799999999999</v>
      </c>
      <c r="N5088">
        <v>-1.1139329999999999E-2</v>
      </c>
      <c r="O5088">
        <v>1.940019E-4</v>
      </c>
      <c r="P5088">
        <v>0.99001870000000003</v>
      </c>
      <c r="Q5088">
        <v>0.13555719999999999</v>
      </c>
      <c r="R5088">
        <v>3.8570210000000001E-2</v>
      </c>
      <c r="S5088">
        <v>3.162506</v>
      </c>
      <c r="T5088">
        <v>-0.89884129999999995</v>
      </c>
      <c r="U5088">
        <v>-0.24566650000000001</v>
      </c>
      <c r="V5088">
        <v>-3.8372299999999998E-2</v>
      </c>
      <c r="W5088">
        <v>0.1465784</v>
      </c>
      <c r="X5088">
        <v>0.98845450000000001</v>
      </c>
      <c r="Y5088">
        <v>7.4577450000000003E-2</v>
      </c>
      <c r="Z5088">
        <v>-1.085382E-2</v>
      </c>
      <c r="AA5088">
        <v>0.99715609999999999</v>
      </c>
      <c r="AB5088">
        <v>27</v>
      </c>
      <c r="AC5088">
        <v>0.54430000000002099</v>
      </c>
      <c r="AD5088">
        <v>-0.2303906</v>
      </c>
      <c r="AE5088">
        <v>-6.3500000000004705E-2</v>
      </c>
      <c r="AF5088">
        <v>5.4051505085421697E-2</v>
      </c>
      <c r="AG5088">
        <v>-0.2303906</v>
      </c>
      <c r="AH5088">
        <v>0.46253108980506502</v>
      </c>
      <c r="AI5088">
        <v>116.32351885088799</v>
      </c>
      <c r="AJ5088">
        <v>83.334631860800798</v>
      </c>
      <c r="AK5088">
        <v>0.51955404223874602</v>
      </c>
      <c r="AL5088">
        <v>81.571308290795102</v>
      </c>
      <c r="AM5088">
        <v>92.223134599894607</v>
      </c>
      <c r="AN5088">
        <v>0.99999997966204901</v>
      </c>
    </row>
    <row r="5089" spans="1:40" x14ac:dyDescent="0.25">
      <c r="A5089" t="str">
        <f>"20190303162012657"</f>
        <v>20190303162012657</v>
      </c>
      <c r="B5089" t="str">
        <f>"1551601212647510"</f>
        <v>1551601212647510</v>
      </c>
      <c r="C5089" t="s">
        <v>40</v>
      </c>
      <c r="D5089">
        <v>4.3957569999999997</v>
      </c>
      <c r="E5089">
        <v>0.54444729999999997</v>
      </c>
      <c r="F5089" t="s">
        <v>42</v>
      </c>
      <c r="G5089">
        <v>-386.16660000000002</v>
      </c>
      <c r="H5089">
        <v>0.89782009999999901</v>
      </c>
      <c r="I5089">
        <v>214.67140000000001</v>
      </c>
      <c r="J5089">
        <v>-386.68119999999999</v>
      </c>
      <c r="K5089">
        <v>1.121229</v>
      </c>
      <c r="L5089">
        <v>214.73400000000001</v>
      </c>
      <c r="M5089">
        <v>0.99993799999999999</v>
      </c>
      <c r="N5089">
        <v>-1.114129E-2</v>
      </c>
      <c r="O5089">
        <v>1.9416990000000001E-4</v>
      </c>
      <c r="P5089">
        <v>0.99008079999999998</v>
      </c>
      <c r="Q5089">
        <v>0.13521920000000001</v>
      </c>
      <c r="R5089">
        <v>3.8155790000000002E-2</v>
      </c>
      <c r="S5089">
        <v>3.1623230000000002</v>
      </c>
      <c r="T5089">
        <v>-0.89384030000000003</v>
      </c>
      <c r="U5089">
        <v>-0.24978639999999999</v>
      </c>
      <c r="V5089">
        <v>-3.7958020000000002E-2</v>
      </c>
      <c r="W5089">
        <v>0.14624300000000001</v>
      </c>
      <c r="X5089">
        <v>0.98852019999999996</v>
      </c>
      <c r="Y5089">
        <v>7.5854169999999999E-2</v>
      </c>
      <c r="Z5089">
        <v>-1.098206E-2</v>
      </c>
      <c r="AA5089">
        <v>0.99705849999999996</v>
      </c>
      <c r="AB5089">
        <v>27</v>
      </c>
      <c r="AC5089">
        <v>0.51459999999997297</v>
      </c>
      <c r="AD5089">
        <v>-0.22340889999999999</v>
      </c>
      <c r="AE5089">
        <v>-6.2600000000003306E-2</v>
      </c>
      <c r="AF5089">
        <v>5.2878761004460297E-2</v>
      </c>
      <c r="AG5089">
        <v>-0.22340889999999999</v>
      </c>
      <c r="AH5089">
        <v>0.43398404678414598</v>
      </c>
      <c r="AI5089">
        <v>117.067336702891</v>
      </c>
      <c r="AJ5089">
        <v>83.053042629073303</v>
      </c>
      <c r="AK5089">
        <v>0.49096828087741101</v>
      </c>
      <c r="AL5089">
        <v>81.590734859829496</v>
      </c>
      <c r="AM5089">
        <v>92.199010581509597</v>
      </c>
      <c r="AN5089">
        <v>1.0000000060696801</v>
      </c>
    </row>
    <row r="5090" spans="1:40" x14ac:dyDescent="0.25">
      <c r="A5090" t="str">
        <f>"20190303162012678"</f>
        <v>20190303162012678</v>
      </c>
      <c r="B5090" t="str">
        <f>"1551601212668004"</f>
        <v>1551601212668004</v>
      </c>
      <c r="C5090" t="s">
        <v>40</v>
      </c>
      <c r="D5090">
        <v>4.4453569999999996</v>
      </c>
      <c r="E5090">
        <v>0.54469380000000001</v>
      </c>
      <c r="F5090" t="s">
        <v>42</v>
      </c>
      <c r="G5090">
        <v>-385.91950000000003</v>
      </c>
      <c r="H5090">
        <v>0.90603610000000001</v>
      </c>
      <c r="I5090">
        <v>214.67269999999999</v>
      </c>
      <c r="J5090">
        <v>-386.42380000000003</v>
      </c>
      <c r="K5090">
        <v>1.121224</v>
      </c>
      <c r="L5090">
        <v>214.73410000000001</v>
      </c>
      <c r="M5090">
        <v>0.99993799999999999</v>
      </c>
      <c r="N5090">
        <v>-1.1143200000000001E-2</v>
      </c>
      <c r="O5090">
        <v>1.943383E-4</v>
      </c>
      <c r="P5090">
        <v>0.99020039999999998</v>
      </c>
      <c r="Q5090">
        <v>0.1343056</v>
      </c>
      <c r="R5090">
        <v>3.8282240000000002E-2</v>
      </c>
      <c r="S5090">
        <v>3.1617739999999999</v>
      </c>
      <c r="T5090">
        <v>-0.89332869999999998</v>
      </c>
      <c r="U5090">
        <v>-0.25312810000000002</v>
      </c>
      <c r="V5090">
        <v>-3.808433E-2</v>
      </c>
      <c r="W5090">
        <v>0.1453325</v>
      </c>
      <c r="X5090">
        <v>0.98864960000000002</v>
      </c>
      <c r="Y5090">
        <v>7.6876280000000005E-2</v>
      </c>
      <c r="Z5090">
        <v>-1.112495E-2</v>
      </c>
      <c r="AA5090">
        <v>0.99697860000000005</v>
      </c>
      <c r="AB5090">
        <v>27</v>
      </c>
      <c r="AC5090">
        <v>0.50429999999999997</v>
      </c>
      <c r="AD5090">
        <v>-0.21518789999999999</v>
      </c>
      <c r="AE5090">
        <v>-6.1400000000020299E-2</v>
      </c>
      <c r="AF5090">
        <v>5.2142654869992297E-2</v>
      </c>
      <c r="AG5090">
        <v>-0.21518789999999999</v>
      </c>
      <c r="AH5090">
        <v>0.427573481645459</v>
      </c>
      <c r="AI5090">
        <v>116.54560879242899</v>
      </c>
      <c r="AJ5090">
        <v>83.047102298759697</v>
      </c>
      <c r="AK5090">
        <v>0.48150157940521898</v>
      </c>
      <c r="AL5090">
        <v>81.6434659333095</v>
      </c>
      <c r="AM5090">
        <v>92.206032350916104</v>
      </c>
      <c r="AN5090">
        <v>0.99999999166397902</v>
      </c>
    </row>
    <row r="5091" spans="1:40" x14ac:dyDescent="0.25">
      <c r="A5091" t="str">
        <f>"20190303162012703"</f>
        <v>20190303162012703</v>
      </c>
      <c r="B5091" t="str">
        <f>"1551601212697285"</f>
        <v>1551601212697285</v>
      </c>
      <c r="C5091" t="s">
        <v>40</v>
      </c>
      <c r="D5091">
        <v>4.4796849999999999</v>
      </c>
      <c r="E5091">
        <v>0.54494370000000003</v>
      </c>
      <c r="F5091" t="s">
        <v>42</v>
      </c>
      <c r="G5091">
        <v>-385.67469999999997</v>
      </c>
      <c r="H5091">
        <v>0.90881190000000001</v>
      </c>
      <c r="I5091">
        <v>214.6737</v>
      </c>
      <c r="J5091">
        <v>-386.12889999999999</v>
      </c>
      <c r="K5091">
        <v>1.121219</v>
      </c>
      <c r="L5091">
        <v>214.73410000000001</v>
      </c>
      <c r="M5091">
        <v>0.99993799999999999</v>
      </c>
      <c r="N5091">
        <v>-1.1145479999999999E-2</v>
      </c>
      <c r="O5091">
        <v>1.9450439999999999E-4</v>
      </c>
      <c r="P5091">
        <v>0.99028629999999995</v>
      </c>
      <c r="Q5091">
        <v>0.1336408</v>
      </c>
      <c r="R5091">
        <v>3.8386679999999999E-2</v>
      </c>
      <c r="S5091">
        <v>3.1611020000000001</v>
      </c>
      <c r="T5091">
        <v>-0.89631489999999903</v>
      </c>
      <c r="U5091">
        <v>-0.25404359999999998</v>
      </c>
      <c r="V5091">
        <v>-3.8188479999999997E-2</v>
      </c>
      <c r="W5091">
        <v>0.1446711</v>
      </c>
      <c r="X5091">
        <v>0.98874260000000003</v>
      </c>
      <c r="Y5091">
        <v>7.7147800000000002E-2</v>
      </c>
      <c r="Z5091">
        <v>-1.120084E-2</v>
      </c>
      <c r="AA5091">
        <v>0.99695679999999998</v>
      </c>
      <c r="AB5091">
        <v>27</v>
      </c>
      <c r="AC5091">
        <v>0.45420000000001398</v>
      </c>
      <c r="AD5091">
        <v>-0.21240709999999999</v>
      </c>
      <c r="AE5091">
        <v>-6.0400000000015497E-2</v>
      </c>
      <c r="AF5091">
        <v>4.9788859082623399E-2</v>
      </c>
      <c r="AG5091">
        <v>-0.21240709999999999</v>
      </c>
      <c r="AH5091">
        <v>0.373849097710441</v>
      </c>
      <c r="AI5091">
        <v>119.38777933930101</v>
      </c>
      <c r="AJ5091">
        <v>82.414043478163194</v>
      </c>
      <c r="AK5091">
        <v>0.43284969039849203</v>
      </c>
      <c r="AL5091">
        <v>81.681766280715706</v>
      </c>
      <c r="AM5091">
        <v>92.211851390870805</v>
      </c>
      <c r="AN5091">
        <v>1.0000000081173399</v>
      </c>
    </row>
    <row r="5092" spans="1:40" x14ac:dyDescent="0.25">
      <c r="A5092" t="str">
        <f>"20190303162012724"</f>
        <v>20190303162012724</v>
      </c>
      <c r="B5092" t="str">
        <f>"1551601212717781"</f>
        <v>1551601212717781</v>
      </c>
      <c r="C5092" t="s">
        <v>40</v>
      </c>
      <c r="D5092">
        <v>4.4600920000000004</v>
      </c>
      <c r="E5092">
        <v>0.545041</v>
      </c>
      <c r="F5092" t="s">
        <v>42</v>
      </c>
      <c r="G5092">
        <v>-385.42559999999997</v>
      </c>
      <c r="H5092">
        <v>0.92076740000000001</v>
      </c>
      <c r="I5092">
        <v>214.67679999999999</v>
      </c>
      <c r="J5092">
        <v>-385.85579999999999</v>
      </c>
      <c r="K5092">
        <v>1.1212200000000001</v>
      </c>
      <c r="L5092">
        <v>214.73419999999999</v>
      </c>
      <c r="M5092">
        <v>0.99993799999999999</v>
      </c>
      <c r="N5092">
        <v>-1.114767E-2</v>
      </c>
      <c r="O5092">
        <v>1.946114E-4</v>
      </c>
      <c r="P5092">
        <v>0.99035839999999997</v>
      </c>
      <c r="Q5092">
        <v>0.13307239999999901</v>
      </c>
      <c r="R5092">
        <v>3.8499510000000001E-2</v>
      </c>
      <c r="S5092">
        <v>3.1608890000000001</v>
      </c>
      <c r="T5092">
        <v>-0.90085400000000004</v>
      </c>
      <c r="U5092">
        <v>-0.25628659999999998</v>
      </c>
      <c r="V5092">
        <v>-3.8301519999999999E-2</v>
      </c>
      <c r="W5092">
        <v>0.14410580000000001</v>
      </c>
      <c r="X5092">
        <v>0.98882080000000006</v>
      </c>
      <c r="Y5092">
        <v>7.7798279999999997E-2</v>
      </c>
      <c r="Z5092">
        <v>-1.134834E-2</v>
      </c>
      <c r="AA5092">
        <v>0.99690460000000003</v>
      </c>
      <c r="AB5092">
        <v>27</v>
      </c>
      <c r="AC5092">
        <v>0.43020000000001302</v>
      </c>
      <c r="AD5092">
        <v>-0.20045260000000001</v>
      </c>
      <c r="AE5092">
        <v>-5.74000000000012E-2</v>
      </c>
      <c r="AF5092">
        <v>4.7377458477681801E-2</v>
      </c>
      <c r="AG5092">
        <v>-0.20045260000000001</v>
      </c>
      <c r="AH5092">
        <v>0.35455692286152002</v>
      </c>
      <c r="AI5092">
        <v>119.265400347064</v>
      </c>
      <c r="AJ5092">
        <v>82.388971284335796</v>
      </c>
      <c r="AK5092">
        <v>0.41004448535200899</v>
      </c>
      <c r="AL5092">
        <v>81.714498777317701</v>
      </c>
      <c r="AM5092">
        <v>92.218216796614897</v>
      </c>
      <c r="AN5092">
        <v>1.0000000312702899</v>
      </c>
    </row>
    <row r="5093" spans="1:40" x14ac:dyDescent="0.25">
      <c r="A5093" t="str">
        <f>"20190303162012746"</f>
        <v>20190303162012746</v>
      </c>
      <c r="B5093" t="str">
        <f>"1551601212737301"</f>
        <v>1551601212737301</v>
      </c>
      <c r="C5093" t="s">
        <v>40</v>
      </c>
      <c r="D5093">
        <v>4.4313760000000002</v>
      </c>
      <c r="E5093">
        <v>0.54509810000000003</v>
      </c>
      <c r="F5093" t="s">
        <v>42</v>
      </c>
      <c r="G5093">
        <v>-385.17910000000001</v>
      </c>
      <c r="H5093">
        <v>0.92644519999999997</v>
      </c>
      <c r="I5093">
        <v>214.679</v>
      </c>
      <c r="J5093">
        <v>-385.59640000000002</v>
      </c>
      <c r="K5093">
        <v>1.121216</v>
      </c>
      <c r="L5093">
        <v>214.73419999999999</v>
      </c>
      <c r="M5093">
        <v>0.99993779999999999</v>
      </c>
      <c r="N5093">
        <v>-1.1149859999999999E-2</v>
      </c>
      <c r="O5093">
        <v>1.9495680000000001E-4</v>
      </c>
      <c r="P5093">
        <v>0.9903767</v>
      </c>
      <c r="Q5093">
        <v>0.13296820000000001</v>
      </c>
      <c r="R5093">
        <v>3.8384149999999999E-2</v>
      </c>
      <c r="S5093">
        <v>3.1614689999999999</v>
      </c>
      <c r="T5093">
        <v>-0.9099971</v>
      </c>
      <c r="U5093">
        <v>-0.25634770000000001</v>
      </c>
      <c r="V5093">
        <v>-3.8185629999999998E-2</v>
      </c>
      <c r="W5093">
        <v>0.14400389999999999</v>
      </c>
      <c r="X5093">
        <v>0.9888401</v>
      </c>
      <c r="Y5093">
        <v>7.7743380000000001E-2</v>
      </c>
      <c r="Z5093">
        <v>-1.144512E-2</v>
      </c>
      <c r="AA5093">
        <v>0.99690769999999995</v>
      </c>
      <c r="AB5093">
        <v>27</v>
      </c>
      <c r="AC5093">
        <v>0.417300000000011</v>
      </c>
      <c r="AD5093">
        <v>-0.19477079999999999</v>
      </c>
      <c r="AE5093">
        <v>-5.5199999999984997E-2</v>
      </c>
      <c r="AF5093">
        <v>4.5532774207508203E-2</v>
      </c>
      <c r="AG5093">
        <v>-0.19477079999999999</v>
      </c>
      <c r="AH5093">
        <v>0.34370240632342802</v>
      </c>
      <c r="AI5093">
        <v>119.326241328973</v>
      </c>
      <c r="AJ5093">
        <v>82.453551189527801</v>
      </c>
      <c r="AK5093">
        <v>0.39766850789594499</v>
      </c>
      <c r="AL5093">
        <v>81.720398532053295</v>
      </c>
      <c r="AM5093">
        <v>92.211468628121196</v>
      </c>
      <c r="AN5093">
        <v>1.0000000044608499</v>
      </c>
    </row>
    <row r="5094" spans="1:40" x14ac:dyDescent="0.25">
      <c r="A5094" t="str">
        <f>"20190303162012767"</f>
        <v>20190303162012767</v>
      </c>
      <c r="B5094" t="str">
        <f>"1551601212757800"</f>
        <v>1551601212757800</v>
      </c>
      <c r="C5094" t="s">
        <v>40</v>
      </c>
      <c r="D5094">
        <v>4.4552680000000002</v>
      </c>
      <c r="E5094">
        <v>0.54516439999999999</v>
      </c>
      <c r="F5094" t="s">
        <v>42</v>
      </c>
      <c r="G5094">
        <v>-384.71690000000001</v>
      </c>
      <c r="H5094">
        <v>0.86646080000000003</v>
      </c>
      <c r="I5094">
        <v>214.6626</v>
      </c>
      <c r="J5094">
        <v>-385.33330000000001</v>
      </c>
      <c r="K5094">
        <v>1.1212169999999999</v>
      </c>
      <c r="L5094">
        <v>214.73429999999999</v>
      </c>
      <c r="M5094">
        <v>0.99993770000000004</v>
      </c>
      <c r="N5094">
        <v>-1.115214E-2</v>
      </c>
      <c r="O5094">
        <v>1.951229E-4</v>
      </c>
      <c r="P5094">
        <v>0.9904077</v>
      </c>
      <c r="Q5094">
        <v>0.13268179999999999</v>
      </c>
      <c r="R5094">
        <v>3.8575470000000001E-2</v>
      </c>
      <c r="S5094">
        <v>3.1620789999999999</v>
      </c>
      <c r="T5094">
        <v>-0.91592090000000004</v>
      </c>
      <c r="U5094">
        <v>-0.25709530000000003</v>
      </c>
      <c r="V5094">
        <v>-3.8376769999999998E-2</v>
      </c>
      <c r="W5094">
        <v>0.1437203</v>
      </c>
      <c r="X5094">
        <v>0.98887400000000003</v>
      </c>
      <c r="Y5094">
        <v>7.7915079999999998E-2</v>
      </c>
      <c r="Z5094">
        <v>-1.153735E-2</v>
      </c>
      <c r="AA5094">
        <v>0.99689320000000003</v>
      </c>
      <c r="AB5094">
        <v>27</v>
      </c>
      <c r="AC5094">
        <v>0.61639999999999795</v>
      </c>
      <c r="AD5094">
        <v>-0.25475619999999899</v>
      </c>
      <c r="AE5094">
        <v>-7.16999999999927E-2</v>
      </c>
      <c r="AF5094">
        <v>6.1461867341336497E-2</v>
      </c>
      <c r="AG5094">
        <v>-0.25475619999999899</v>
      </c>
      <c r="AH5094">
        <v>0.52748658799520798</v>
      </c>
      <c r="AI5094">
        <v>115.627823886266</v>
      </c>
      <c r="AJ5094">
        <v>83.3539588537691</v>
      </c>
      <c r="AK5094">
        <v>0.58899947630736504</v>
      </c>
      <c r="AL5094">
        <v>81.736818752061097</v>
      </c>
      <c r="AM5094">
        <v>92.222451051963304</v>
      </c>
      <c r="AN5094">
        <v>1.00000004449186</v>
      </c>
    </row>
    <row r="5095" spans="1:40" x14ac:dyDescent="0.25">
      <c r="A5095" t="str">
        <f>"20190303162012790"</f>
        <v>20190303162012790</v>
      </c>
      <c r="B5095" t="str">
        <f>"1551601212788053"</f>
        <v>1551601212788053</v>
      </c>
      <c r="C5095" t="s">
        <v>40</v>
      </c>
      <c r="D5095">
        <v>4.4204040000000004</v>
      </c>
      <c r="E5095">
        <v>0.54517119999999997</v>
      </c>
      <c r="F5095" t="s">
        <v>42</v>
      </c>
      <c r="G5095">
        <v>-384.47129999999999</v>
      </c>
      <c r="H5095">
        <v>0.87026569999999903</v>
      </c>
      <c r="I5095">
        <v>214.66370000000001</v>
      </c>
      <c r="J5095">
        <v>-385.05619999999999</v>
      </c>
      <c r="K5095">
        <v>1.1212200000000001</v>
      </c>
      <c r="L5095">
        <v>214.73429999999999</v>
      </c>
      <c r="M5095">
        <v>0.99993779999999999</v>
      </c>
      <c r="N5095">
        <v>-1.1154600000000001E-2</v>
      </c>
      <c r="O5095">
        <v>1.9528819999999999E-4</v>
      </c>
      <c r="P5095">
        <v>0.99048420000000004</v>
      </c>
      <c r="Q5095">
        <v>0.13214229999999999</v>
      </c>
      <c r="R5095">
        <v>3.8465720000000002E-2</v>
      </c>
      <c r="S5095">
        <v>3.1624150000000002</v>
      </c>
      <c r="T5095">
        <v>-0.92075030000000002</v>
      </c>
      <c r="U5095">
        <v>-0.25727840000000002</v>
      </c>
      <c r="V5095">
        <v>-3.8267089999999997E-2</v>
      </c>
      <c r="W5095">
        <v>0.14318420000000001</v>
      </c>
      <c r="X5095">
        <v>0.98895599999999995</v>
      </c>
      <c r="Y5095">
        <v>7.7930299999999994E-2</v>
      </c>
      <c r="Z5095">
        <v>-1.159487E-2</v>
      </c>
      <c r="AA5095">
        <v>0.99689139999999998</v>
      </c>
      <c r="AB5095">
        <v>27</v>
      </c>
      <c r="AC5095">
        <v>0.58490000000000397</v>
      </c>
      <c r="AD5095">
        <v>-0.25095430000000002</v>
      </c>
      <c r="AE5095">
        <v>-7.0599999999984606E-2</v>
      </c>
      <c r="AF5095">
        <v>5.9854034296953303E-2</v>
      </c>
      <c r="AG5095">
        <v>-0.25095430000000002</v>
      </c>
      <c r="AH5095">
        <v>0.49506017105389899</v>
      </c>
      <c r="AI5095">
        <v>116.713917160325</v>
      </c>
      <c r="AJ5095">
        <v>83.106254141560697</v>
      </c>
      <c r="AK5095">
        <v>0.55825185989302895</v>
      </c>
      <c r="AL5095">
        <v>81.767855889741597</v>
      </c>
      <c r="AM5095">
        <v>92.215922108876896</v>
      </c>
      <c r="AN5095">
        <v>1.0000000276213501</v>
      </c>
    </row>
    <row r="5096" spans="1:40" x14ac:dyDescent="0.25">
      <c r="A5096" t="str">
        <f>"20190303162012813"</f>
        <v>20190303162012813</v>
      </c>
      <c r="B5096" t="str">
        <f>"1551601212807573"</f>
        <v>1551601212807573</v>
      </c>
      <c r="C5096" t="s">
        <v>40</v>
      </c>
      <c r="D5096">
        <v>4.4284030000000003</v>
      </c>
      <c r="E5096">
        <v>0.54522550000000003</v>
      </c>
      <c r="F5096" t="s">
        <v>42</v>
      </c>
      <c r="G5096">
        <v>-384.2242</v>
      </c>
      <c r="H5096">
        <v>0.87732860000000001</v>
      </c>
      <c r="I5096">
        <v>214.666</v>
      </c>
      <c r="J5096">
        <v>-384.77640000000002</v>
      </c>
      <c r="K5096">
        <v>1.121221</v>
      </c>
      <c r="L5096">
        <v>214.73439999999999</v>
      </c>
      <c r="M5096">
        <v>0.99993779999999999</v>
      </c>
      <c r="N5096">
        <v>-1.1157169999999999E-2</v>
      </c>
      <c r="O5096">
        <v>1.9545289999999999E-4</v>
      </c>
      <c r="P5096">
        <v>0.99046420000000002</v>
      </c>
      <c r="Q5096">
        <v>0.13214670000000001</v>
      </c>
      <c r="R5096">
        <v>3.8961379999999997E-2</v>
      </c>
      <c r="S5096">
        <v>3.162506</v>
      </c>
      <c r="T5096">
        <v>-0.92706630000000001</v>
      </c>
      <c r="U5096">
        <v>-0.25827030000000001</v>
      </c>
      <c r="V5096">
        <v>-3.8762199999999997E-2</v>
      </c>
      <c r="W5096">
        <v>0.14319079999999901</v>
      </c>
      <c r="X5096">
        <v>0.98893569999999997</v>
      </c>
      <c r="Y5096">
        <v>7.8183539999999996E-2</v>
      </c>
      <c r="Z5096">
        <v>-1.170587E-2</v>
      </c>
      <c r="AA5096">
        <v>0.99687029999999999</v>
      </c>
      <c r="AB5096">
        <v>27</v>
      </c>
      <c r="AC5096">
        <v>0.552200000000027</v>
      </c>
      <c r="AD5096">
        <v>-0.24389240000000001</v>
      </c>
      <c r="AE5096">
        <v>-6.8399999999996894E-2</v>
      </c>
      <c r="AF5096">
        <v>5.7466925234651703E-2</v>
      </c>
      <c r="AG5096">
        <v>-0.24389240000000001</v>
      </c>
      <c r="AH5096">
        <v>0.46319404343223802</v>
      </c>
      <c r="AI5096">
        <v>117.588801840016</v>
      </c>
      <c r="AJ5096">
        <v>82.927644956765207</v>
      </c>
      <c r="AK5096">
        <v>0.52662574200734902</v>
      </c>
      <c r="AL5096">
        <v>81.767473289943098</v>
      </c>
      <c r="AM5096">
        <v>92.244609200917793</v>
      </c>
      <c r="AN5096">
        <v>0.999999966043984</v>
      </c>
    </row>
    <row r="5097" spans="1:40" x14ac:dyDescent="0.25">
      <c r="A5097" t="str">
        <f>"20190303162012834"</f>
        <v>20190303162012834</v>
      </c>
      <c r="B5097" t="str">
        <f>"1551601212827093"</f>
        <v>1551601212827093</v>
      </c>
      <c r="C5097" t="s">
        <v>40</v>
      </c>
      <c r="D5097">
        <v>4.4201139999999999</v>
      </c>
      <c r="E5097">
        <v>0.54535319999999898</v>
      </c>
      <c r="F5097" t="s">
        <v>42</v>
      </c>
      <c r="G5097">
        <v>-383.97620000000001</v>
      </c>
      <c r="H5097">
        <v>0.88635039999999998</v>
      </c>
      <c r="I5097">
        <v>214.66909999999999</v>
      </c>
      <c r="J5097">
        <v>-384.5095</v>
      </c>
      <c r="K5097">
        <v>1.1212230000000001</v>
      </c>
      <c r="L5097">
        <v>214.73439999999999</v>
      </c>
      <c r="M5097">
        <v>0.99993779999999999</v>
      </c>
      <c r="N5097">
        <v>-1.115968E-2</v>
      </c>
      <c r="O5097">
        <v>1.9555810000000001E-4</v>
      </c>
      <c r="P5097">
        <v>0.99035439999999997</v>
      </c>
      <c r="Q5097">
        <v>0.132996</v>
      </c>
      <c r="R5097">
        <v>3.8862210000000001E-2</v>
      </c>
      <c r="S5097">
        <v>3.1628720000000001</v>
      </c>
      <c r="T5097">
        <v>-0.92836980000000002</v>
      </c>
      <c r="U5097">
        <v>-0.25639339999999999</v>
      </c>
      <c r="V5097">
        <v>-3.8663059999999999E-2</v>
      </c>
      <c r="W5097">
        <v>0.14404120000000001</v>
      </c>
      <c r="X5097">
        <v>0.98881609999999998</v>
      </c>
      <c r="Y5097">
        <v>7.7603240000000004E-2</v>
      </c>
      <c r="Z5097">
        <v>-1.1633620000000001E-2</v>
      </c>
      <c r="AA5097">
        <v>0.99691649999999998</v>
      </c>
      <c r="AB5097">
        <v>27</v>
      </c>
      <c r="AC5097">
        <v>0.533299999999997</v>
      </c>
      <c r="AD5097">
        <v>-0.23487259999999899</v>
      </c>
      <c r="AE5097">
        <v>-6.5300000000007602E-2</v>
      </c>
      <c r="AF5097">
        <v>5.4910878512967901E-2</v>
      </c>
      <c r="AG5097">
        <v>-0.23487259999999899</v>
      </c>
      <c r="AH5097">
        <v>0.44772700454221698</v>
      </c>
      <c r="AI5097">
        <v>117.50543071976</v>
      </c>
      <c r="AJ5097">
        <v>83.007953261484502</v>
      </c>
      <c r="AK5097">
        <v>0.50856642968856303</v>
      </c>
      <c r="AL5097">
        <v>81.718238759621698</v>
      </c>
      <c r="AM5097">
        <v>92.239144656262297</v>
      </c>
      <c r="AN5097">
        <v>0.99999998956260605</v>
      </c>
    </row>
    <row r="5098" spans="1:40" x14ac:dyDescent="0.25">
      <c r="A5098" t="str">
        <f>"20190303162012857"</f>
        <v>20190303162012857</v>
      </c>
      <c r="B5098" t="str">
        <f>"1551601212847592"</f>
        <v>1551601212847592</v>
      </c>
      <c r="C5098" t="s">
        <v>40</v>
      </c>
      <c r="D5098">
        <v>4.4199120000000001</v>
      </c>
      <c r="E5098">
        <v>0.54548359999999996</v>
      </c>
      <c r="F5098" t="s">
        <v>42</v>
      </c>
      <c r="G5098">
        <v>-383.72919999999999</v>
      </c>
      <c r="H5098">
        <v>0.89260169999999905</v>
      </c>
      <c r="I5098">
        <v>214.67070000000001</v>
      </c>
      <c r="J5098">
        <v>-384.24180000000001</v>
      </c>
      <c r="K5098">
        <v>1.121224</v>
      </c>
      <c r="L5098">
        <v>214.7345</v>
      </c>
      <c r="M5098">
        <v>0.99993779999999999</v>
      </c>
      <c r="N5098">
        <v>-1.116222E-2</v>
      </c>
      <c r="O5098">
        <v>1.957227E-4</v>
      </c>
      <c r="P5098">
        <v>0.99032989999999999</v>
      </c>
      <c r="Q5098">
        <v>0.1332795</v>
      </c>
      <c r="R5098">
        <v>3.8516370000000001E-2</v>
      </c>
      <c r="S5098">
        <v>3.163818</v>
      </c>
      <c r="T5098">
        <v>-0.92704419999999998</v>
      </c>
      <c r="U5098">
        <v>-0.25703429999999999</v>
      </c>
      <c r="V5098">
        <v>-3.8316780000000002E-2</v>
      </c>
      <c r="W5098">
        <v>0.14432710000000001</v>
      </c>
      <c r="X5098">
        <v>0.98878790000000005</v>
      </c>
      <c r="Y5098">
        <v>7.7783450000000004E-2</v>
      </c>
      <c r="Z5098">
        <v>-1.164197E-2</v>
      </c>
      <c r="AA5098">
        <v>0.99690230000000002</v>
      </c>
      <c r="AB5098">
        <v>27</v>
      </c>
      <c r="AC5098">
        <v>0.51260000000002004</v>
      </c>
      <c r="AD5098">
        <v>-0.2286223</v>
      </c>
      <c r="AE5098">
        <v>-6.3799999999986298E-2</v>
      </c>
      <c r="AF5098">
        <v>5.3433456184321999E-2</v>
      </c>
      <c r="AG5098">
        <v>-0.2286223</v>
      </c>
      <c r="AH5098">
        <v>0.42862565474546199</v>
      </c>
      <c r="AI5098">
        <v>117.89171647684999</v>
      </c>
      <c r="AJ5098">
        <v>82.894036050309595</v>
      </c>
      <c r="AK5098">
        <v>0.48871591155094202</v>
      </c>
      <c r="AL5098">
        <v>81.701685004303798</v>
      </c>
      <c r="AM5098">
        <v>92.219173452293902</v>
      </c>
      <c r="AN5098">
        <v>0.99999999930519401</v>
      </c>
    </row>
    <row r="5099" spans="1:40" x14ac:dyDescent="0.25">
      <c r="A5099" t="str">
        <f>"20190303162013014"</f>
        <v>20190303162013014</v>
      </c>
      <c r="B5099" t="str">
        <f>"1551601213007203"</f>
        <v>1551601213007203</v>
      </c>
      <c r="C5099" t="s">
        <v>40</v>
      </c>
      <c r="D5099">
        <v>4.3931389999999997</v>
      </c>
      <c r="E5099">
        <v>0.53033399999999997</v>
      </c>
      <c r="F5099" t="s">
        <v>42</v>
      </c>
      <c r="G5099">
        <v>-381.77420000000001</v>
      </c>
      <c r="H5099">
        <v>0.878992199999999</v>
      </c>
      <c r="I5099">
        <v>214.66749999999999</v>
      </c>
      <c r="J5099">
        <v>-382.31470000000002</v>
      </c>
      <c r="K5099">
        <v>1.121221</v>
      </c>
      <c r="L5099">
        <v>214.73480000000001</v>
      </c>
      <c r="M5099">
        <v>0.99993759999999998</v>
      </c>
      <c r="N5099">
        <v>-1.118154E-2</v>
      </c>
      <c r="O5099">
        <v>1.9716429999999999E-4</v>
      </c>
      <c r="P5099">
        <v>0.99049909999999997</v>
      </c>
      <c r="Q5099">
        <v>0.1323723</v>
      </c>
      <c r="R5099">
        <v>3.7275990000000002E-2</v>
      </c>
      <c r="S5099">
        <v>3.1632690000000001</v>
      </c>
      <c r="T5099">
        <v>-0.93261479999999997</v>
      </c>
      <c r="U5099">
        <v>-0.2578125</v>
      </c>
      <c r="V5099">
        <v>-3.7075419999999998E-2</v>
      </c>
      <c r="W5099">
        <v>0.14344089999999901</v>
      </c>
      <c r="X5099">
        <v>0.98896410000000001</v>
      </c>
      <c r="Y5099">
        <v>7.7992679999999995E-2</v>
      </c>
      <c r="Z5099">
        <v>-1.174094E-2</v>
      </c>
      <c r="AA5099">
        <v>0.99688480000000002</v>
      </c>
      <c r="AB5099">
        <v>27</v>
      </c>
      <c r="AC5099">
        <v>0.54050000000000797</v>
      </c>
      <c r="AD5099">
        <v>-0.24222879999999999</v>
      </c>
      <c r="AE5099">
        <v>-6.7300000000017193E-2</v>
      </c>
      <c r="AF5099">
        <v>5.6276335722280198E-2</v>
      </c>
      <c r="AG5099">
        <v>-0.24222879999999999</v>
      </c>
      <c r="AH5099">
        <v>0.45124104204320098</v>
      </c>
      <c r="AI5099">
        <v>118.04329944116201</v>
      </c>
      <c r="AJ5099">
        <v>82.891086151941195</v>
      </c>
      <c r="AK5099">
        <v>0.51522839162453105</v>
      </c>
      <c r="AL5099">
        <v>81.752993887518301</v>
      </c>
      <c r="AM5099">
        <v>92.146964439937307</v>
      </c>
      <c r="AN5099">
        <v>0.99999993482489602</v>
      </c>
    </row>
    <row r="5100" spans="1:40" x14ac:dyDescent="0.25">
      <c r="A5100" t="str">
        <f>"20190303162013036"</f>
        <v>20190303162013036</v>
      </c>
      <c r="B5100" t="str">
        <f>"1551601213027699"</f>
        <v>1551601213027699</v>
      </c>
      <c r="C5100" t="s">
        <v>40</v>
      </c>
      <c r="D5100">
        <v>4.3985919999999998</v>
      </c>
      <c r="E5100">
        <v>0.53326430000000002</v>
      </c>
      <c r="F5100" t="s">
        <v>42</v>
      </c>
      <c r="G5100">
        <v>-381.45359999999999</v>
      </c>
      <c r="H5100">
        <v>1.0370539999999999</v>
      </c>
      <c r="I5100">
        <v>214.69649999999999</v>
      </c>
      <c r="J5100">
        <v>-382.0378</v>
      </c>
      <c r="K5100">
        <v>1.121221</v>
      </c>
      <c r="L5100">
        <v>214.73490000000001</v>
      </c>
      <c r="M5100">
        <v>0.99993739999999998</v>
      </c>
      <c r="N5100">
        <v>-1.118443E-2</v>
      </c>
      <c r="O5100">
        <v>1.9762490000000001E-4</v>
      </c>
      <c r="P5100">
        <v>0.99046000000000001</v>
      </c>
      <c r="Q5100">
        <v>0.13263079999999999</v>
      </c>
      <c r="R5100">
        <v>3.7391439999999998E-2</v>
      </c>
      <c r="S5100">
        <v>3.0740660000000002</v>
      </c>
      <c r="T5100">
        <v>-0.30051899999999998</v>
      </c>
      <c r="U5100">
        <v>-0.13603209999999999</v>
      </c>
      <c r="V5100">
        <v>-3.7190010000000003E-2</v>
      </c>
      <c r="W5100">
        <v>0.14370189999999999</v>
      </c>
      <c r="X5100">
        <v>0.98892199999999997</v>
      </c>
      <c r="Y5100">
        <v>4.4170609999999999E-2</v>
      </c>
      <c r="Z5100">
        <v>-2.4177209999999998E-3</v>
      </c>
      <c r="AA5100">
        <v>0.9990211</v>
      </c>
      <c r="AB5100">
        <v>27</v>
      </c>
      <c r="AC5100">
        <v>0.58420000000000905</v>
      </c>
      <c r="AD5100">
        <v>-8.4166999999999798E-2</v>
      </c>
      <c r="AE5100">
        <v>-3.8400000000024102E-2</v>
      </c>
      <c r="AF5100">
        <v>3.7735558754756003E-2</v>
      </c>
      <c r="AG5100">
        <v>-8.4166999999999798E-2</v>
      </c>
      <c r="AH5100">
        <v>0.57236307742560399</v>
      </c>
      <c r="AI5100">
        <v>98.347623790881997</v>
      </c>
      <c r="AJ5100">
        <v>86.227982125542994</v>
      </c>
      <c r="AK5100">
        <v>0.57974783197838797</v>
      </c>
      <c r="AL5100">
        <v>81.737883911105399</v>
      </c>
      <c r="AM5100">
        <v>92.153685477853699</v>
      </c>
      <c r="AN5100">
        <v>1.0000000274956999</v>
      </c>
    </row>
    <row r="5101" spans="1:40" x14ac:dyDescent="0.25">
      <c r="A5101" t="str">
        <f>"20190303162013058"</f>
        <v>20190303162013058</v>
      </c>
      <c r="B5101" t="str">
        <f>"1551601213047219"</f>
        <v>1551601213047219</v>
      </c>
      <c r="C5101" t="s">
        <v>40</v>
      </c>
      <c r="D5101">
        <v>4.4854079999999996</v>
      </c>
      <c r="E5101">
        <v>0.5327231</v>
      </c>
      <c r="F5101" t="s">
        <v>52</v>
      </c>
      <c r="G5101">
        <v>-361.66430000000003</v>
      </c>
      <c r="H5101" s="1">
        <v>-6.5114339999999999E-7</v>
      </c>
      <c r="I5101">
        <v>213.68289999999999</v>
      </c>
      <c r="J5101">
        <v>-381.76260000000002</v>
      </c>
      <c r="K5101">
        <v>1.121224</v>
      </c>
      <c r="L5101">
        <v>214.73490000000001</v>
      </c>
      <c r="M5101">
        <v>0.99993750000000003</v>
      </c>
      <c r="N5101">
        <v>-1.1187310000000001E-2</v>
      </c>
      <c r="O5101">
        <v>1.9778769999999999E-4</v>
      </c>
      <c r="P5101">
        <v>0.9904482</v>
      </c>
      <c r="Q5101">
        <v>0.1326917</v>
      </c>
      <c r="R5101">
        <v>3.7491080000000003E-2</v>
      </c>
      <c r="S5101">
        <v>3.0573730000000001</v>
      </c>
      <c r="T5101">
        <v>-0.16825689999999999</v>
      </c>
      <c r="U5101">
        <v>-0.15786739999999999</v>
      </c>
      <c r="V5101">
        <v>-3.7289629999999997E-2</v>
      </c>
      <c r="W5101">
        <v>0.14376510000000001</v>
      </c>
      <c r="X5101">
        <v>0.98890900000000004</v>
      </c>
      <c r="Y5101">
        <v>5.166975E-2</v>
      </c>
      <c r="Z5101">
        <v>-1.7179020000000001E-3</v>
      </c>
      <c r="AA5101">
        <v>0.99866279999999996</v>
      </c>
      <c r="AB5101">
        <v>27</v>
      </c>
      <c r="AC5101">
        <v>20.098299999999899</v>
      </c>
      <c r="AD5101">
        <v>-1.1212246511433901</v>
      </c>
      <c r="AE5101">
        <v>-1.05200000000002</v>
      </c>
      <c r="AF5101">
        <v>1.05270814420237</v>
      </c>
      <c r="AG5101">
        <v>-1.1212246511433901</v>
      </c>
      <c r="AH5101">
        <v>20.035906271686802</v>
      </c>
      <c r="AI5101">
        <v>93.198572267707803</v>
      </c>
      <c r="AJ5101">
        <v>86.992383433097302</v>
      </c>
      <c r="AK5101">
        <v>20.094847082847402</v>
      </c>
      <c r="AL5101">
        <v>81.734224306546594</v>
      </c>
      <c r="AM5101">
        <v>92.159477410579697</v>
      </c>
      <c r="AN5101">
        <v>0.99999996538227298</v>
      </c>
    </row>
    <row r="5102" spans="1:40" x14ac:dyDescent="0.25">
      <c r="A5102" t="str">
        <f>"20190303162013081"</f>
        <v>20190303162013081</v>
      </c>
      <c r="B5102" t="str">
        <f>"1551601213077475"</f>
        <v>1551601213077475</v>
      </c>
      <c r="C5102" t="s">
        <v>40</v>
      </c>
      <c r="D5102">
        <v>4.4914589999999999</v>
      </c>
      <c r="E5102">
        <v>0.53035100000000002</v>
      </c>
      <c r="F5102" t="s">
        <v>52</v>
      </c>
      <c r="G5102">
        <v>-357.07240000000002</v>
      </c>
      <c r="H5102" s="1">
        <v>2.2757079999999999E-6</v>
      </c>
      <c r="I5102">
        <v>213.49760000000001</v>
      </c>
      <c r="J5102">
        <v>-381.48790000000002</v>
      </c>
      <c r="K5102">
        <v>1.121224</v>
      </c>
      <c r="L5102">
        <v>214.73500000000001</v>
      </c>
      <c r="M5102">
        <v>0.99993750000000003</v>
      </c>
      <c r="N5102">
        <v>-1.1190169999999999E-2</v>
      </c>
      <c r="O5102">
        <v>1.9812930000000001E-4</v>
      </c>
      <c r="P5102">
        <v>0.99040379999999995</v>
      </c>
      <c r="Q5102">
        <v>0.13286809999999999</v>
      </c>
      <c r="R5102">
        <v>3.8034039999999998E-2</v>
      </c>
      <c r="S5102">
        <v>3.0533139999999999</v>
      </c>
      <c r="T5102">
        <v>-0.1386559</v>
      </c>
      <c r="U5102">
        <v>-0.15301509999999999</v>
      </c>
      <c r="V5102">
        <v>-3.7832329999999997E-2</v>
      </c>
      <c r="W5102">
        <v>0.1439444</v>
      </c>
      <c r="X5102">
        <v>0.98886229999999997</v>
      </c>
      <c r="Y5102">
        <v>5.0185069999999998E-2</v>
      </c>
      <c r="Z5102">
        <v>-1.426119E-3</v>
      </c>
      <c r="AA5102">
        <v>0.99873889999999999</v>
      </c>
      <c r="AB5102">
        <v>27</v>
      </c>
      <c r="AC5102">
        <v>24.415500000000002</v>
      </c>
      <c r="AD5102">
        <v>-1.121221724292</v>
      </c>
      <c r="AE5102">
        <v>-1.2374000000000001</v>
      </c>
      <c r="AF5102">
        <v>1.23963017085079</v>
      </c>
      <c r="AG5102">
        <v>-1.121221724292</v>
      </c>
      <c r="AH5102">
        <v>24.364005225546599</v>
      </c>
      <c r="AI5102">
        <v>92.631470650613394</v>
      </c>
      <c r="AJ5102">
        <v>87.087326873875099</v>
      </c>
      <c r="AK5102">
        <v>24.4212729345947</v>
      </c>
      <c r="AL5102">
        <v>81.723843168210905</v>
      </c>
      <c r="AM5102">
        <v>92.1909786346543</v>
      </c>
      <c r="AN5102">
        <v>0.99999996192293805</v>
      </c>
    </row>
    <row r="5103" spans="1:40" x14ac:dyDescent="0.25">
      <c r="A5103" t="str">
        <f>"20190303162013104"</f>
        <v>20190303162013104</v>
      </c>
      <c r="B5103" t="str">
        <f>"1551601213097972"</f>
        <v>1551601213097972</v>
      </c>
      <c r="C5103" t="s">
        <v>40</v>
      </c>
      <c r="D5103">
        <v>4.4795689999999997</v>
      </c>
      <c r="E5103">
        <v>0.52965739999999994</v>
      </c>
      <c r="F5103" t="s">
        <v>52</v>
      </c>
      <c r="G5103">
        <v>-352.53219999999999</v>
      </c>
      <c r="H5103" s="1">
        <v>-1.394584E-7</v>
      </c>
      <c r="I5103">
        <v>213.4769</v>
      </c>
      <c r="J5103">
        <v>-381.20049999999998</v>
      </c>
      <c r="K5103">
        <v>1.1212249999999999</v>
      </c>
      <c r="L5103">
        <v>214.73500000000001</v>
      </c>
      <c r="M5103">
        <v>0.99993719999999997</v>
      </c>
      <c r="N5103">
        <v>-1.1193170000000001E-2</v>
      </c>
      <c r="O5103">
        <v>1.9858930000000001E-4</v>
      </c>
      <c r="P5103">
        <v>0.9903556</v>
      </c>
      <c r="Q5103">
        <v>0.13312099999999999</v>
      </c>
      <c r="R5103">
        <v>3.8400730000000001E-2</v>
      </c>
      <c r="S5103">
        <v>3.0500180000000001</v>
      </c>
      <c r="T5103">
        <v>-0.11810329999999999</v>
      </c>
      <c r="U5103">
        <v>-0.13252259999999999</v>
      </c>
      <c r="V5103">
        <v>-3.8198679999999999E-2</v>
      </c>
      <c r="W5103">
        <v>0.14419969999999999</v>
      </c>
      <c r="X5103">
        <v>0.98881110000000005</v>
      </c>
      <c r="Y5103">
        <v>4.3565119999999999E-2</v>
      </c>
      <c r="Z5103">
        <v>-1.0922729999999999E-3</v>
      </c>
      <c r="AA5103">
        <v>0.99904999999999999</v>
      </c>
      <c r="AB5103">
        <v>27</v>
      </c>
      <c r="AC5103">
        <v>28.668299999999899</v>
      </c>
      <c r="AD5103">
        <v>-1.1212251394584001</v>
      </c>
      <c r="AE5103">
        <v>-1.25810000000001</v>
      </c>
      <c r="AF5103">
        <v>1.26186709114309</v>
      </c>
      <c r="AG5103">
        <v>-1.1212251394584001</v>
      </c>
      <c r="AH5103">
        <v>28.6243495362503</v>
      </c>
      <c r="AI5103">
        <v>92.240973429282903</v>
      </c>
      <c r="AJ5103">
        <v>87.475824628792793</v>
      </c>
      <c r="AK5103">
        <v>28.674079597129101</v>
      </c>
      <c r="AL5103">
        <v>81.709062008307797</v>
      </c>
      <c r="AM5103">
        <v>92.212288466241702</v>
      </c>
      <c r="AN5103">
        <v>1.00000004205852</v>
      </c>
    </row>
    <row r="5104" spans="1:40" x14ac:dyDescent="0.25">
      <c r="A5104" t="str">
        <f>"20190303162013128"</f>
        <v>20190303162013128</v>
      </c>
      <c r="B5104" t="str">
        <f>"1551601213117491"</f>
        <v>1551601213117491</v>
      </c>
      <c r="C5104" t="s">
        <v>40</v>
      </c>
      <c r="D5104">
        <v>4.6168579999999997</v>
      </c>
      <c r="E5104">
        <v>0.52874359999999998</v>
      </c>
      <c r="F5104" t="s">
        <v>52</v>
      </c>
      <c r="G5104">
        <v>-349.34429999999998</v>
      </c>
      <c r="H5104" s="1">
        <v>3.435792E-6</v>
      </c>
      <c r="I5104">
        <v>213.41909999999999</v>
      </c>
      <c r="J5104">
        <v>-380.91759999999999</v>
      </c>
      <c r="K5104">
        <v>1.1212249999999999</v>
      </c>
      <c r="L5104">
        <v>214.73509999999999</v>
      </c>
      <c r="M5104">
        <v>0.99993739999999998</v>
      </c>
      <c r="N5104">
        <v>-1.119643E-2</v>
      </c>
      <c r="O5104">
        <v>1.9875000000000001E-4</v>
      </c>
      <c r="P5104">
        <v>0.99030770000000001</v>
      </c>
      <c r="Q5104">
        <v>0.13330049999999999</v>
      </c>
      <c r="R5104">
        <v>3.9010999999999997E-2</v>
      </c>
      <c r="S5104">
        <v>3.0485530000000001</v>
      </c>
      <c r="T5104">
        <v>-0.1072979</v>
      </c>
      <c r="U5104">
        <v>-0.12593080000000001</v>
      </c>
      <c r="V5104">
        <v>-3.8808700000000002E-2</v>
      </c>
      <c r="W5104">
        <v>0.1443818</v>
      </c>
      <c r="X5104">
        <v>0.98876070000000005</v>
      </c>
      <c r="Y5104">
        <v>4.1437939999999999E-2</v>
      </c>
      <c r="Z5104">
        <v>-9.6564090000000001E-4</v>
      </c>
      <c r="AA5104">
        <v>0.99914060000000005</v>
      </c>
      <c r="AB5104">
        <v>28</v>
      </c>
      <c r="AC5104">
        <v>31.5733</v>
      </c>
      <c r="AD5104">
        <v>-1.1212215642079999</v>
      </c>
      <c r="AE5104">
        <v>-1.3160000000000001</v>
      </c>
      <c r="AF5104">
        <v>1.3206130485408301</v>
      </c>
      <c r="AG5104">
        <v>-1.1212215642079999</v>
      </c>
      <c r="AH5104">
        <v>31.533340678178</v>
      </c>
      <c r="AI5104">
        <v>92.034609003820705</v>
      </c>
      <c r="AJ5104">
        <v>87.601860073635393</v>
      </c>
      <c r="AK5104">
        <v>31.580891864322901</v>
      </c>
      <c r="AL5104">
        <v>81.698517511650905</v>
      </c>
      <c r="AM5104">
        <v>92.2476964648706</v>
      </c>
      <c r="AN5104">
        <v>0.999999970615709</v>
      </c>
    </row>
    <row r="5105" spans="1:40" x14ac:dyDescent="0.25">
      <c r="A5105" t="str">
        <f>"20190303162013148"</f>
        <v>20190303162013148</v>
      </c>
      <c r="B5105" t="str">
        <f>"1551601213137011"</f>
        <v>1551601213137011</v>
      </c>
      <c r="C5105" t="s">
        <v>40</v>
      </c>
      <c r="D5105">
        <v>4.6176700000000004</v>
      </c>
      <c r="E5105">
        <v>0.52766109999999999</v>
      </c>
      <c r="F5105" t="s">
        <v>52</v>
      </c>
      <c r="G5105">
        <v>-348.00599999999997</v>
      </c>
      <c r="H5105" s="1">
        <v>2.723635E-6</v>
      </c>
      <c r="I5105">
        <v>213.476</v>
      </c>
      <c r="J5105">
        <v>-380.65629999999999</v>
      </c>
      <c r="K5105">
        <v>1.121224</v>
      </c>
      <c r="L5105">
        <v>214.73519999999999</v>
      </c>
      <c r="M5105">
        <v>0.99993739999999998</v>
      </c>
      <c r="N5105">
        <v>-1.119933E-2</v>
      </c>
      <c r="O5105">
        <v>1.990916E-4</v>
      </c>
      <c r="P5105">
        <v>0.99023519999999998</v>
      </c>
      <c r="Q5105">
        <v>0.13370699999999999</v>
      </c>
      <c r="R5105">
        <v>3.945705E-2</v>
      </c>
      <c r="S5105">
        <v>3.0479129999999999</v>
      </c>
      <c r="T5105">
        <v>-0.1038355</v>
      </c>
      <c r="U5105">
        <v>-0.11660769999999999</v>
      </c>
      <c r="V5105">
        <v>-3.9254230000000001E-2</v>
      </c>
      <c r="W5105">
        <v>0.14479049999999999</v>
      </c>
      <c r="X5105">
        <v>0.98868339999999999</v>
      </c>
      <c r="Y5105">
        <v>3.8399570000000001E-2</v>
      </c>
      <c r="Z5105">
        <v>-8.7340720000000005E-4</v>
      </c>
      <c r="AA5105">
        <v>0.99926210000000004</v>
      </c>
      <c r="AB5105">
        <v>28</v>
      </c>
      <c r="AC5105">
        <v>32.650300000000001</v>
      </c>
      <c r="AD5105">
        <v>-1.121221276365</v>
      </c>
      <c r="AE5105">
        <v>-1.2591999999999901</v>
      </c>
      <c r="AF5105">
        <v>1.2642121659169101</v>
      </c>
      <c r="AG5105">
        <v>-1.121221276365</v>
      </c>
      <c r="AH5105">
        <v>32.611648255234002</v>
      </c>
      <c r="AI5105">
        <v>91.967634183037902</v>
      </c>
      <c r="AJ5105">
        <v>87.780002728503206</v>
      </c>
      <c r="AK5105">
        <v>32.655397279379898</v>
      </c>
      <c r="AL5105">
        <v>81.6748525055188</v>
      </c>
      <c r="AM5105">
        <v>92.273651016403306</v>
      </c>
      <c r="AN5105">
        <v>1.0000000244493501</v>
      </c>
    </row>
    <row r="5106" spans="1:40" x14ac:dyDescent="0.25">
      <c r="A5106" t="str">
        <f>"20190303162013171"</f>
        <v>20190303162013171</v>
      </c>
      <c r="B5106" t="str">
        <f>"1551601213157508"</f>
        <v>1551601213157508</v>
      </c>
      <c r="C5106" t="s">
        <v>40</v>
      </c>
      <c r="D5106">
        <v>4.6463219999999996</v>
      </c>
      <c r="E5106">
        <v>0.52709669999999997</v>
      </c>
      <c r="F5106" t="s">
        <v>52</v>
      </c>
      <c r="G5106">
        <v>-348.05939999999998</v>
      </c>
      <c r="H5106" s="1">
        <v>2.7520239999999999E-6</v>
      </c>
      <c r="I5106">
        <v>213.59460000000001</v>
      </c>
      <c r="J5106">
        <v>-380.38979999999998</v>
      </c>
      <c r="K5106">
        <v>1.1212279999999999</v>
      </c>
      <c r="L5106">
        <v>214.73519999999999</v>
      </c>
      <c r="M5106">
        <v>0.99993739999999998</v>
      </c>
      <c r="N5106">
        <v>-1.120206E-2</v>
      </c>
      <c r="O5106">
        <v>1.9937439999999999E-4</v>
      </c>
      <c r="P5106">
        <v>0.99021400000000004</v>
      </c>
      <c r="Q5106">
        <v>0.1338345</v>
      </c>
      <c r="R5106">
        <v>3.955674E-2</v>
      </c>
      <c r="S5106">
        <v>3.047974</v>
      </c>
      <c r="T5106">
        <v>-0.1048399</v>
      </c>
      <c r="U5106">
        <v>-0.10664369999999999</v>
      </c>
      <c r="V5106">
        <v>-3.9353409999999998E-2</v>
      </c>
      <c r="W5106">
        <v>0.1449202</v>
      </c>
      <c r="X5106">
        <v>0.98866050000000005</v>
      </c>
      <c r="Y5106">
        <v>3.5138669999999997E-2</v>
      </c>
      <c r="Z5106">
        <v>-8.0553969999999999E-4</v>
      </c>
      <c r="AA5106">
        <v>0.99938210000000005</v>
      </c>
      <c r="AB5106">
        <v>28</v>
      </c>
      <c r="AC5106">
        <v>32.330399999999997</v>
      </c>
      <c r="AD5106">
        <v>-1.1212252479760001</v>
      </c>
      <c r="AE5106">
        <v>-1.1405999999999701</v>
      </c>
      <c r="AF5106">
        <v>1.1456700304779199</v>
      </c>
      <c r="AG5106">
        <v>-1.1212252479760001</v>
      </c>
      <c r="AH5106">
        <v>32.291382808395802</v>
      </c>
      <c r="AI5106">
        <v>91.987382539569495</v>
      </c>
      <c r="AJ5106">
        <v>87.968048134744095</v>
      </c>
      <c r="AK5106">
        <v>32.331147668367599</v>
      </c>
      <c r="AL5106">
        <v>81.667342409104194</v>
      </c>
      <c r="AM5106">
        <v>92.279442327576504</v>
      </c>
      <c r="AN5106">
        <v>1.0000000697534499</v>
      </c>
    </row>
    <row r="5107" spans="1:40" x14ac:dyDescent="0.25">
      <c r="A5107" t="str">
        <f>"20190303162013193"</f>
        <v>20190303162013193</v>
      </c>
      <c r="B5107" t="str">
        <f>"1551601213187764"</f>
        <v>1551601213187764</v>
      </c>
      <c r="C5107" t="s">
        <v>40</v>
      </c>
      <c r="D5107">
        <v>4.6919690000000003</v>
      </c>
      <c r="E5107">
        <v>0.52638909999999905</v>
      </c>
      <c r="F5107" t="s">
        <v>52</v>
      </c>
      <c r="G5107">
        <v>-346.42410000000001</v>
      </c>
      <c r="H5107" s="1">
        <v>1.881809E-6</v>
      </c>
      <c r="I5107">
        <v>213.60230000000001</v>
      </c>
      <c r="J5107">
        <v>-380.10180000000003</v>
      </c>
      <c r="K5107">
        <v>1.121227</v>
      </c>
      <c r="L5107">
        <v>214.7353</v>
      </c>
      <c r="M5107">
        <v>0.99993730000000003</v>
      </c>
      <c r="N5107">
        <v>-1.12049E-2</v>
      </c>
      <c r="O5107">
        <v>1.997162E-4</v>
      </c>
      <c r="P5107">
        <v>0.99016420000000005</v>
      </c>
      <c r="Q5107">
        <v>0.1341879</v>
      </c>
      <c r="R5107">
        <v>3.9606000000000002E-2</v>
      </c>
      <c r="S5107">
        <v>3.0473330000000001</v>
      </c>
      <c r="T5107">
        <v>-0.1005943</v>
      </c>
      <c r="U5107">
        <v>-0.1016388</v>
      </c>
      <c r="V5107">
        <v>-3.9402729999999997E-2</v>
      </c>
      <c r="W5107">
        <v>0.14527590000000001</v>
      </c>
      <c r="X5107">
        <v>0.98860630000000005</v>
      </c>
      <c r="Y5107">
        <v>3.350997E-2</v>
      </c>
      <c r="Z5107">
        <v>-7.4500460000000005E-4</v>
      </c>
      <c r="AA5107">
        <v>0.9994381</v>
      </c>
      <c r="AB5107">
        <v>28</v>
      </c>
      <c r="AC5107">
        <v>33.677700000000002</v>
      </c>
      <c r="AD5107">
        <v>-1.121225118191</v>
      </c>
      <c r="AE5107">
        <v>-1.13299999999998</v>
      </c>
      <c r="AF5107">
        <v>1.13846591985107</v>
      </c>
      <c r="AG5107">
        <v>-1.121225118191</v>
      </c>
      <c r="AH5107">
        <v>33.640227994601098</v>
      </c>
      <c r="AI5107">
        <v>91.907863971557504</v>
      </c>
      <c r="AJ5107">
        <v>88.061713288697803</v>
      </c>
      <c r="AK5107">
        <v>33.678155976019099</v>
      </c>
      <c r="AL5107">
        <v>81.646744061869796</v>
      </c>
      <c r="AM5107">
        <v>92.282421033040194</v>
      </c>
      <c r="AN5107">
        <v>1.00000003932597</v>
      </c>
    </row>
    <row r="5108" spans="1:40" x14ac:dyDescent="0.25">
      <c r="A5108" t="str">
        <f>"20190303162013215"</f>
        <v>20190303162013215</v>
      </c>
      <c r="B5108" t="str">
        <f>"1551601213207045"</f>
        <v>1551601213207045</v>
      </c>
      <c r="C5108" t="s">
        <v>40</v>
      </c>
      <c r="D5108">
        <v>4.7015060000000002</v>
      </c>
      <c r="E5108">
        <v>0.52620040000000001</v>
      </c>
      <c r="F5108" t="s">
        <v>52</v>
      </c>
      <c r="G5108">
        <v>-346.23540000000003</v>
      </c>
      <c r="H5108" s="1">
        <v>1.781368E-6</v>
      </c>
      <c r="I5108">
        <v>213.6688</v>
      </c>
      <c r="J5108">
        <v>-379.83179999999999</v>
      </c>
      <c r="K5108">
        <v>1.121227</v>
      </c>
      <c r="L5108">
        <v>214.7353</v>
      </c>
      <c r="M5108">
        <v>0.99993739999999998</v>
      </c>
      <c r="N5108">
        <v>-1.120756E-2</v>
      </c>
      <c r="O5108">
        <v>1.998801E-4</v>
      </c>
      <c r="P5108">
        <v>0.99013580000000001</v>
      </c>
      <c r="Q5108">
        <v>0.1343231</v>
      </c>
      <c r="R5108">
        <v>3.9856460000000003E-2</v>
      </c>
      <c r="S5108">
        <v>3.047272</v>
      </c>
      <c r="T5108">
        <v>-0.1008869</v>
      </c>
      <c r="U5108">
        <v>-9.5962519999999996E-2</v>
      </c>
      <c r="V5108">
        <v>-3.9653170000000001E-2</v>
      </c>
      <c r="W5108">
        <v>0.14541319999999999</v>
      </c>
      <c r="X5108">
        <v>0.98857609999999996</v>
      </c>
      <c r="Y5108">
        <v>3.1652239999999998E-2</v>
      </c>
      <c r="Z5108">
        <v>-7.0554829999999995E-4</v>
      </c>
      <c r="AA5108">
        <v>0.99949869999999996</v>
      </c>
      <c r="AB5108">
        <v>28</v>
      </c>
      <c r="AC5108">
        <v>33.596399999999903</v>
      </c>
      <c r="AD5108">
        <v>-1.121225218632</v>
      </c>
      <c r="AE5108">
        <v>-1.06649999999999</v>
      </c>
      <c r="AF5108">
        <v>1.07202285289938</v>
      </c>
      <c r="AG5108">
        <v>-1.121225218632</v>
      </c>
      <c r="AH5108">
        <v>33.5588465288306</v>
      </c>
      <c r="AI5108">
        <v>91.912606528291406</v>
      </c>
      <c r="AJ5108">
        <v>88.170333273893107</v>
      </c>
      <c r="AK5108">
        <v>33.594680521380802</v>
      </c>
      <c r="AL5108">
        <v>81.638792917012196</v>
      </c>
      <c r="AM5108">
        <v>92.296982488302305</v>
      </c>
      <c r="AN5108">
        <v>1.00000003905824</v>
      </c>
    </row>
    <row r="5109" spans="1:40" x14ac:dyDescent="0.25">
      <c r="A5109" t="str">
        <f>"20190303162013238"</f>
        <v>20190303162013238</v>
      </c>
      <c r="B5109" t="str">
        <f>"1551601213227545"</f>
        <v>1551601213227545</v>
      </c>
      <c r="C5109" t="s">
        <v>40</v>
      </c>
      <c r="D5109">
        <v>4.698607</v>
      </c>
      <c r="E5109">
        <v>0.52580839999999995</v>
      </c>
      <c r="F5109" t="s">
        <v>52</v>
      </c>
      <c r="G5109">
        <v>-345.99869999999999</v>
      </c>
      <c r="H5109" s="1">
        <v>1.6554069999999901E-6</v>
      </c>
      <c r="I5109">
        <v>213.69309999999999</v>
      </c>
      <c r="J5109">
        <v>-379.55869999999999</v>
      </c>
      <c r="K5109">
        <v>1.1212219999999999</v>
      </c>
      <c r="L5109">
        <v>214.7354</v>
      </c>
      <c r="M5109">
        <v>0.99993730000000003</v>
      </c>
      <c r="N5109">
        <v>-1.121027E-2</v>
      </c>
      <c r="O5109">
        <v>2.0016279999999999E-4</v>
      </c>
      <c r="P5109">
        <v>0.99016210000000004</v>
      </c>
      <c r="Q5109">
        <v>0.13409270000000001</v>
      </c>
      <c r="R5109">
        <v>3.9977350000000002E-2</v>
      </c>
      <c r="S5109">
        <v>3.0473330000000001</v>
      </c>
      <c r="T5109">
        <v>-0.10098799999999999</v>
      </c>
      <c r="U5109">
        <v>-9.3872070000000002E-2</v>
      </c>
      <c r="V5109">
        <v>-3.9773780000000002E-2</v>
      </c>
      <c r="W5109">
        <v>0.14518629999999999</v>
      </c>
      <c r="X5109">
        <v>0.9886045</v>
      </c>
      <c r="Y5109">
        <v>3.0967359999999999E-2</v>
      </c>
      <c r="Z5109">
        <v>-6.909374E-4</v>
      </c>
      <c r="AA5109">
        <v>0.99952019999999997</v>
      </c>
      <c r="AB5109">
        <v>28</v>
      </c>
      <c r="AC5109">
        <v>33.56</v>
      </c>
      <c r="AD5109">
        <v>-1.121220344593</v>
      </c>
      <c r="AE5109">
        <v>-1.04230000000001</v>
      </c>
      <c r="AF5109">
        <v>1.04784939209204</v>
      </c>
      <c r="AG5109">
        <v>-1.121220344593</v>
      </c>
      <c r="AH5109">
        <v>33.522409372273401</v>
      </c>
      <c r="AI5109">
        <v>91.914717030040904</v>
      </c>
      <c r="AJ5109">
        <v>88.209621364472497</v>
      </c>
      <c r="AK5109">
        <v>33.557518584244598</v>
      </c>
      <c r="AL5109">
        <v>81.651931909725405</v>
      </c>
      <c r="AM5109">
        <v>92.303895410415606</v>
      </c>
      <c r="AN5109">
        <v>0.99999993635171203</v>
      </c>
    </row>
    <row r="5110" spans="1:40" x14ac:dyDescent="0.25">
      <c r="A5110" t="str">
        <f>"20190303162013259"</f>
        <v>20190303162013259</v>
      </c>
      <c r="B5110" t="str">
        <f>"1551601213247061"</f>
        <v>1551601213247061</v>
      </c>
      <c r="C5110" t="s">
        <v>40</v>
      </c>
      <c r="D5110">
        <v>4.7429489999999896</v>
      </c>
      <c r="E5110">
        <v>0.52550299999999905</v>
      </c>
      <c r="F5110" t="s">
        <v>52</v>
      </c>
      <c r="G5110">
        <v>-346.21319999999997</v>
      </c>
      <c r="H5110" s="1">
        <v>1.7695500000000001E-6</v>
      </c>
      <c r="I5110">
        <v>213.74340000000001</v>
      </c>
      <c r="J5110">
        <v>-379.29250000000002</v>
      </c>
      <c r="K5110">
        <v>1.121221</v>
      </c>
      <c r="L5110">
        <v>214.7354</v>
      </c>
      <c r="M5110">
        <v>0.99993719999999997</v>
      </c>
      <c r="N5110">
        <v>-1.1212919999999999E-2</v>
      </c>
      <c r="O5110">
        <v>2.0068399999999999E-4</v>
      </c>
      <c r="P5110">
        <v>0.99017029999999995</v>
      </c>
      <c r="Q5110">
        <v>0.134015</v>
      </c>
      <c r="R5110">
        <v>4.0035220000000003E-2</v>
      </c>
      <c r="S5110">
        <v>3.0473020000000002</v>
      </c>
      <c r="T5110">
        <v>-0.1024634</v>
      </c>
      <c r="U5110">
        <v>-9.0652469999999999E-2</v>
      </c>
      <c r="V5110">
        <v>-3.983126E-2</v>
      </c>
      <c r="W5110">
        <v>0.14511079999999901</v>
      </c>
      <c r="X5110">
        <v>0.98861330000000003</v>
      </c>
      <c r="Y5110">
        <v>2.9913309999999999E-2</v>
      </c>
      <c r="Z5110">
        <v>-6.7496190000000005E-4</v>
      </c>
      <c r="AA5110">
        <v>0.9995522</v>
      </c>
      <c r="AB5110">
        <v>28</v>
      </c>
      <c r="AC5110">
        <v>33.079300000000003</v>
      </c>
      <c r="AD5110">
        <v>-1.1212192304499999</v>
      </c>
      <c r="AE5110">
        <v>-0.99199999999999</v>
      </c>
      <c r="AF5110">
        <v>0.99749392829970696</v>
      </c>
      <c r="AG5110">
        <v>-1.1212192304499999</v>
      </c>
      <c r="AH5110">
        <v>33.0411745484354</v>
      </c>
      <c r="AI5110">
        <v>91.942644847983701</v>
      </c>
      <c r="AJ5110">
        <v>88.270798795950995</v>
      </c>
      <c r="AK5110">
        <v>33.075237599145098</v>
      </c>
      <c r="AL5110">
        <v>81.656304285583701</v>
      </c>
      <c r="AM5110">
        <v>92.307200827462594</v>
      </c>
      <c r="AN5110">
        <v>0.99999996524335799</v>
      </c>
    </row>
    <row r="5111" spans="1:40" x14ac:dyDescent="0.25">
      <c r="A5111" t="str">
        <f>"20190303162013282"</f>
        <v>20190303162013282</v>
      </c>
      <c r="B5111" t="str">
        <f>"1551601213267557"</f>
        <v>1551601213267557</v>
      </c>
      <c r="C5111" t="s">
        <v>40</v>
      </c>
      <c r="D5111">
        <v>4.7672019999999904</v>
      </c>
      <c r="E5111">
        <v>0.525286699999999</v>
      </c>
      <c r="F5111" t="s">
        <v>52</v>
      </c>
      <c r="G5111">
        <v>-346.60640000000001</v>
      </c>
      <c r="H5111" s="1">
        <v>1.9787810000000001E-6</v>
      </c>
      <c r="I5111">
        <v>213.7901</v>
      </c>
      <c r="J5111">
        <v>-379.0136</v>
      </c>
      <c r="K5111">
        <v>1.1212230000000001</v>
      </c>
      <c r="L5111">
        <v>214.7355</v>
      </c>
      <c r="M5111">
        <v>0.99993710000000002</v>
      </c>
      <c r="N5111">
        <v>-1.12157E-2</v>
      </c>
      <c r="O5111">
        <v>2.0114490000000001E-4</v>
      </c>
      <c r="P5111">
        <v>0.99018099999999998</v>
      </c>
      <c r="Q5111">
        <v>0.1338907</v>
      </c>
      <c r="R5111">
        <v>4.0184539999999998E-2</v>
      </c>
      <c r="S5111">
        <v>3.047485</v>
      </c>
      <c r="T5111">
        <v>-0.1045365</v>
      </c>
      <c r="U5111">
        <v>-8.8134770000000001E-2</v>
      </c>
      <c r="V5111">
        <v>-3.9980000000000002E-2</v>
      </c>
      <c r="W5111">
        <v>0.1449896</v>
      </c>
      <c r="X5111">
        <v>0.98862510000000003</v>
      </c>
      <c r="Y5111">
        <v>2.9086730000000002E-2</v>
      </c>
      <c r="Z5111">
        <v>-6.664819E-4</v>
      </c>
      <c r="AA5111">
        <v>0.99957669999999998</v>
      </c>
      <c r="AB5111">
        <v>28</v>
      </c>
      <c r="AC5111">
        <v>32.407199999999897</v>
      </c>
      <c r="AD5111">
        <v>-1.1212210212189999</v>
      </c>
      <c r="AE5111">
        <v>-0.94540000000000601</v>
      </c>
      <c r="AF5111">
        <v>0.95078180183697703</v>
      </c>
      <c r="AG5111">
        <v>-1.1212210212189999</v>
      </c>
      <c r="AH5111">
        <v>32.368296792079001</v>
      </c>
      <c r="AI5111">
        <v>91.983048220592295</v>
      </c>
      <c r="AJ5111">
        <v>88.317485616421195</v>
      </c>
      <c r="AK5111">
        <v>32.4016629177152</v>
      </c>
      <c r="AL5111">
        <v>81.663322937484295</v>
      </c>
      <c r="AM5111">
        <v>92.3157795252515</v>
      </c>
      <c r="AN5111">
        <v>0.99999998642908505</v>
      </c>
    </row>
    <row r="5112" spans="1:40" x14ac:dyDescent="0.25">
      <c r="A5112" t="str">
        <f>"20190303162013307"</f>
        <v>20190303162013307</v>
      </c>
      <c r="B5112" t="str">
        <f>"1551601213297814"</f>
        <v>1551601213297814</v>
      </c>
      <c r="C5112" t="s">
        <v>40</v>
      </c>
      <c r="D5112">
        <v>4.7506250000000003</v>
      </c>
      <c r="E5112">
        <v>0.52482430000000002</v>
      </c>
      <c r="F5112" t="s">
        <v>52</v>
      </c>
      <c r="G5112">
        <v>-346.7133</v>
      </c>
      <c r="H5112" s="1">
        <v>2.0356879999999999E-6</v>
      </c>
      <c r="I5112">
        <v>213.8245</v>
      </c>
      <c r="J5112">
        <v>-378.71589999999998</v>
      </c>
      <c r="K5112">
        <v>1.1212219999999999</v>
      </c>
      <c r="L5112">
        <v>214.7355</v>
      </c>
      <c r="M5112">
        <v>0.99993710000000002</v>
      </c>
      <c r="N5112">
        <v>-1.121868E-2</v>
      </c>
      <c r="O5112">
        <v>2.014854E-4</v>
      </c>
      <c r="P5112">
        <v>0.99021820000000005</v>
      </c>
      <c r="Q5112">
        <v>0.1335412</v>
      </c>
      <c r="R5112">
        <v>4.0430899999999999E-2</v>
      </c>
      <c r="S5112">
        <v>3.0475460000000001</v>
      </c>
      <c r="T5112">
        <v>-0.10578750000000001</v>
      </c>
      <c r="U5112">
        <v>-8.5952760000000003E-2</v>
      </c>
      <c r="V5112">
        <v>-4.0225780000000003E-2</v>
      </c>
      <c r="W5112">
        <v>0.1446432</v>
      </c>
      <c r="X5112">
        <v>0.98866589999999999</v>
      </c>
      <c r="Y5112">
        <v>2.8371480000000001E-2</v>
      </c>
      <c r="Z5112">
        <v>-6.5615059999999997E-4</v>
      </c>
      <c r="AA5112">
        <v>0.99959730000000002</v>
      </c>
      <c r="AB5112">
        <v>28</v>
      </c>
      <c r="AC5112">
        <v>32.002599999999902</v>
      </c>
      <c r="AD5112">
        <v>-1.121219964312</v>
      </c>
      <c r="AE5112">
        <v>-0.91100000000000103</v>
      </c>
      <c r="AF5112">
        <v>0.91632459279799605</v>
      </c>
      <c r="AG5112">
        <v>-1.121219964312</v>
      </c>
      <c r="AH5112">
        <v>31.963213645832099</v>
      </c>
      <c r="AI5112">
        <v>92.008198941491202</v>
      </c>
      <c r="AJ5112">
        <v>88.357888648721598</v>
      </c>
      <c r="AK5112">
        <v>31.995996804863601</v>
      </c>
      <c r="AL5112">
        <v>81.683381885275296</v>
      </c>
      <c r="AM5112">
        <v>92.329904260390606</v>
      </c>
      <c r="AN5112">
        <v>1.0000000152528199</v>
      </c>
    </row>
    <row r="5113" spans="1:40" x14ac:dyDescent="0.25">
      <c r="A5113" t="str">
        <f>"20190303162013328"</f>
        <v>20190303162013328</v>
      </c>
      <c r="B5113" t="str">
        <f>"1551601213317333"</f>
        <v>1551601213317333</v>
      </c>
      <c r="C5113" t="s">
        <v>40</v>
      </c>
      <c r="D5113">
        <v>4.6302750000000001</v>
      </c>
      <c r="E5113">
        <v>0.52422139999999995</v>
      </c>
      <c r="F5113" t="s">
        <v>52</v>
      </c>
      <c r="G5113">
        <v>-345.86110000000002</v>
      </c>
      <c r="H5113" s="1">
        <v>1.5821920000000001E-6</v>
      </c>
      <c r="I5113">
        <v>213.85429999999999</v>
      </c>
      <c r="J5113">
        <v>-378.44330000000002</v>
      </c>
      <c r="K5113">
        <v>1.1212219999999999</v>
      </c>
      <c r="L5113">
        <v>214.73560000000001</v>
      </c>
      <c r="M5113">
        <v>0.99993710000000002</v>
      </c>
      <c r="N5113">
        <v>-1.122157E-2</v>
      </c>
      <c r="O5113">
        <v>2.0164750000000001E-4</v>
      </c>
      <c r="P5113">
        <v>0.9902495</v>
      </c>
      <c r="Q5113">
        <v>0.1332544</v>
      </c>
      <c r="R5113">
        <v>4.0617140000000003E-2</v>
      </c>
      <c r="S5113">
        <v>3.0469970000000002</v>
      </c>
      <c r="T5113">
        <v>-0.1039833</v>
      </c>
      <c r="U5113">
        <v>-8.1726069999999998E-2</v>
      </c>
      <c r="V5113">
        <v>-4.0412280000000002E-2</v>
      </c>
      <c r="W5113">
        <v>0.14435970000000001</v>
      </c>
      <c r="X5113">
        <v>0.98869969999999996</v>
      </c>
      <c r="Y5113">
        <v>2.699286E-2</v>
      </c>
      <c r="Z5113">
        <v>-6.1652690000000003E-4</v>
      </c>
      <c r="AA5113">
        <v>0.99963550000000001</v>
      </c>
      <c r="AB5113">
        <v>28</v>
      </c>
      <c r="AC5113">
        <v>32.5822</v>
      </c>
      <c r="AD5113">
        <v>-1.1212204178080001</v>
      </c>
      <c r="AE5113">
        <v>-0.88130000000000996</v>
      </c>
      <c r="AF5113">
        <v>0.88682111796284502</v>
      </c>
      <c r="AG5113">
        <v>-1.1212204178080001</v>
      </c>
      <c r="AH5113">
        <v>32.543512105287398</v>
      </c>
      <c r="AI5113">
        <v>91.972497218412698</v>
      </c>
      <c r="AJ5113">
        <v>88.439057973344603</v>
      </c>
      <c r="AK5113">
        <v>32.574894736093299</v>
      </c>
      <c r="AL5113">
        <v>81.699797283554602</v>
      </c>
      <c r="AM5113">
        <v>92.340614548001597</v>
      </c>
      <c r="AN5113">
        <v>0.99999998606948903</v>
      </c>
    </row>
    <row r="5114" spans="1:40" x14ac:dyDescent="0.25">
      <c r="A5114" t="str">
        <f>"20190303162013349"</f>
        <v>20190303162013349</v>
      </c>
      <c r="B5114" t="str">
        <f>"1551601213337830"</f>
        <v>1551601213337830</v>
      </c>
      <c r="C5114" t="s">
        <v>40</v>
      </c>
      <c r="D5114">
        <v>4.6404399999999999</v>
      </c>
      <c r="E5114">
        <v>0.52370050000000001</v>
      </c>
      <c r="F5114" t="s">
        <v>52</v>
      </c>
      <c r="G5114">
        <v>-344.3109</v>
      </c>
      <c r="H5114" s="1">
        <v>7.5728070000000001E-7</v>
      </c>
      <c r="I5114">
        <v>213.88310000000001</v>
      </c>
      <c r="J5114">
        <v>-378.1782</v>
      </c>
      <c r="K5114">
        <v>1.1212200000000001</v>
      </c>
      <c r="L5114">
        <v>214.73570000000001</v>
      </c>
      <c r="M5114">
        <v>0.99993710000000002</v>
      </c>
      <c r="N5114">
        <v>-1.1224359999999999E-2</v>
      </c>
      <c r="O5114">
        <v>2.0210829999999999E-4</v>
      </c>
      <c r="P5114">
        <v>0.9902358</v>
      </c>
      <c r="Q5114">
        <v>0.13322419999999999</v>
      </c>
      <c r="R5114">
        <v>4.1043549999999998E-2</v>
      </c>
      <c r="S5114">
        <v>3.0460820000000002</v>
      </c>
      <c r="T5114">
        <v>-0.10006139999999999</v>
      </c>
      <c r="U5114">
        <v>-7.6080320000000007E-2</v>
      </c>
      <c r="V5114">
        <v>-4.0837680000000001E-2</v>
      </c>
      <c r="W5114">
        <v>0.1443323</v>
      </c>
      <c r="X5114">
        <v>0.98868630000000002</v>
      </c>
      <c r="Y5114">
        <v>2.515249E-2</v>
      </c>
      <c r="Z5114">
        <v>-5.5855040000000002E-4</v>
      </c>
      <c r="AA5114">
        <v>0.99968349999999995</v>
      </c>
      <c r="AB5114">
        <v>28</v>
      </c>
      <c r="AC5114">
        <v>33.8673</v>
      </c>
      <c r="AD5114">
        <v>-1.1212192427193</v>
      </c>
      <c r="AE5114">
        <v>-0.85259999999999503</v>
      </c>
      <c r="AF5114">
        <v>0.85850492967329695</v>
      </c>
      <c r="AG5114">
        <v>-1.1212192427193</v>
      </c>
      <c r="AH5114">
        <v>33.830071904353503</v>
      </c>
      <c r="AI5114">
        <v>91.897630365175701</v>
      </c>
      <c r="AJ5114">
        <v>88.546318365766496</v>
      </c>
      <c r="AK5114">
        <v>33.8595323115699</v>
      </c>
      <c r="AL5114">
        <v>81.701384457478099</v>
      </c>
      <c r="AM5114">
        <v>92.365257218879805</v>
      </c>
      <c r="AN5114">
        <v>1.0000000643693701</v>
      </c>
    </row>
    <row r="5115" spans="1:40" x14ac:dyDescent="0.25">
      <c r="A5115" t="str">
        <f>"20190303162013371"</f>
        <v>20190303162013371</v>
      </c>
      <c r="B5115" t="str">
        <f>"1551601213357349"</f>
        <v>1551601213357349</v>
      </c>
      <c r="C5115" t="s">
        <v>40</v>
      </c>
      <c r="D5115">
        <v>4.6877940000000002</v>
      </c>
      <c r="E5115">
        <v>0.52327970000000001</v>
      </c>
      <c r="F5115" t="s">
        <v>52</v>
      </c>
      <c r="G5115">
        <v>-342.73309999999998</v>
      </c>
      <c r="H5115" s="1">
        <v>-8.2369070000000004E-8</v>
      </c>
      <c r="I5115">
        <v>213.91069999999999</v>
      </c>
      <c r="J5115">
        <v>-377.90649999999999</v>
      </c>
      <c r="K5115">
        <v>1.121219</v>
      </c>
      <c r="L5115">
        <v>214.73570000000001</v>
      </c>
      <c r="M5115">
        <v>0.99993699999999996</v>
      </c>
      <c r="N5115">
        <v>-1.122711E-2</v>
      </c>
      <c r="O5115">
        <v>2.0244999999999999E-4</v>
      </c>
      <c r="P5115">
        <v>0.99025490000000005</v>
      </c>
      <c r="Q5115">
        <v>0.1328801</v>
      </c>
      <c r="R5115">
        <v>4.1690489999999997E-2</v>
      </c>
      <c r="S5115">
        <v>3.0454409999999998</v>
      </c>
      <c r="T5115">
        <v>-9.6335050000000005E-2</v>
      </c>
      <c r="U5115">
        <v>-7.0877079999999995E-2</v>
      </c>
      <c r="V5115">
        <v>-4.1484680000000003E-2</v>
      </c>
      <c r="W5115">
        <v>0.14399110000000001</v>
      </c>
      <c r="X5115">
        <v>0.98870899999999995</v>
      </c>
      <c r="Y5115">
        <v>2.3453350000000001E-2</v>
      </c>
      <c r="Z5115">
        <v>-5.0665430000000004E-4</v>
      </c>
      <c r="AA5115">
        <v>0.99972479999999997</v>
      </c>
      <c r="AB5115">
        <v>28</v>
      </c>
      <c r="AC5115">
        <v>35.173400000000001</v>
      </c>
      <c r="AD5115">
        <v>-1.12121908236907</v>
      </c>
      <c r="AE5115">
        <v>-0.82500000000001705</v>
      </c>
      <c r="AF5115">
        <v>0.83127705950138897</v>
      </c>
      <c r="AG5115">
        <v>-1.12121908236907</v>
      </c>
      <c r="AH5115">
        <v>35.1375473179003</v>
      </c>
      <c r="AI5115">
        <v>91.8271445808262</v>
      </c>
      <c r="AJ5115">
        <v>88.644760720466195</v>
      </c>
      <c r="AK5115">
        <v>35.165258214578799</v>
      </c>
      <c r="AL5115">
        <v>81.7211391971138</v>
      </c>
      <c r="AM5115">
        <v>92.402631815401904</v>
      </c>
      <c r="AN5115">
        <v>0.99999995111745499</v>
      </c>
    </row>
    <row r="5116" spans="1:40" x14ac:dyDescent="0.25">
      <c r="A5116" t="str">
        <f>"20190303162013394"</f>
        <v>20190303162013394</v>
      </c>
      <c r="B5116" t="str">
        <f>"1551601213387606"</f>
        <v>1551601213387606</v>
      </c>
      <c r="C5116" t="s">
        <v>40</v>
      </c>
      <c r="D5116">
        <v>4.5630709999999999</v>
      </c>
      <c r="E5116">
        <v>0.52280530000000003</v>
      </c>
      <c r="F5116" t="s">
        <v>52</v>
      </c>
      <c r="G5116">
        <v>-341.83819999999997</v>
      </c>
      <c r="H5116" s="1">
        <v>-5.5858059999999997E-7</v>
      </c>
      <c r="I5116">
        <v>213.9502</v>
      </c>
      <c r="J5116">
        <v>-377.62630000000001</v>
      </c>
      <c r="K5116">
        <v>1.1212219999999999</v>
      </c>
      <c r="L5116">
        <v>214.73580000000001</v>
      </c>
      <c r="M5116">
        <v>0.99993710000000002</v>
      </c>
      <c r="N5116">
        <v>-1.1229950000000001E-2</v>
      </c>
      <c r="O5116">
        <v>2.026125E-4</v>
      </c>
      <c r="P5116">
        <v>0.99019080000000004</v>
      </c>
      <c r="Q5116">
        <v>0.1332902</v>
      </c>
      <c r="R5116">
        <v>4.1908920000000002E-2</v>
      </c>
      <c r="S5116">
        <v>3.0450439999999999</v>
      </c>
      <c r="T5116">
        <v>-9.4658370000000006E-2</v>
      </c>
      <c r="U5116">
        <v>-6.6314699999999893E-2</v>
      </c>
      <c r="V5116">
        <v>-4.1702799999999998E-2</v>
      </c>
      <c r="W5116">
        <v>0.14440349999999999</v>
      </c>
      <c r="X5116">
        <v>0.98863970000000001</v>
      </c>
      <c r="Y5116">
        <v>2.1960850000000001E-2</v>
      </c>
      <c r="Z5116">
        <v>-4.6860519999999999E-4</v>
      </c>
      <c r="AA5116">
        <v>0.9997587</v>
      </c>
      <c r="AB5116">
        <v>28</v>
      </c>
      <c r="AC5116">
        <v>35.7881</v>
      </c>
      <c r="AD5116">
        <v>-1.1212225585805999</v>
      </c>
      <c r="AE5116">
        <v>-0.78560000000001595</v>
      </c>
      <c r="AF5116">
        <v>0.79207448084243703</v>
      </c>
      <c r="AG5116">
        <v>-1.1212225585805999</v>
      </c>
      <c r="AH5116">
        <v>35.752864250349297</v>
      </c>
      <c r="AI5116">
        <v>91.795787013720698</v>
      </c>
      <c r="AJ5116">
        <v>88.730868050182494</v>
      </c>
      <c r="AK5116">
        <v>35.779209383564897</v>
      </c>
      <c r="AL5116">
        <v>81.697261065638401</v>
      </c>
      <c r="AM5116">
        <v>92.415418658829495</v>
      </c>
      <c r="AN5116">
        <v>0.99999997537808905</v>
      </c>
    </row>
    <row r="5117" spans="1:40" x14ac:dyDescent="0.25">
      <c r="A5117" t="str">
        <f>"20190303162013415"</f>
        <v>20190303162013415</v>
      </c>
      <c r="B5117" t="str">
        <f>"1551601213407125"</f>
        <v>1551601213407125</v>
      </c>
      <c r="C5117" t="s">
        <v>40</v>
      </c>
      <c r="D5117">
        <v>4.516146</v>
      </c>
      <c r="E5117">
        <v>0.52254730000000005</v>
      </c>
      <c r="F5117" t="s">
        <v>52</v>
      </c>
      <c r="G5117">
        <v>-338.83359999999999</v>
      </c>
      <c r="H5117" s="1">
        <v>3.1930600000000001E-6</v>
      </c>
      <c r="I5117">
        <v>213.9512</v>
      </c>
      <c r="J5117">
        <v>-377.35500000000002</v>
      </c>
      <c r="K5117">
        <v>1.1212230000000001</v>
      </c>
      <c r="L5117">
        <v>214.73580000000001</v>
      </c>
      <c r="M5117">
        <v>0.99993710000000002</v>
      </c>
      <c r="N5117">
        <v>-1.123275E-2</v>
      </c>
      <c r="O5117">
        <v>2.030732E-4</v>
      </c>
      <c r="P5117">
        <v>0.99011950000000004</v>
      </c>
      <c r="Q5117">
        <v>0.13380069999999999</v>
      </c>
      <c r="R5117">
        <v>4.1965219999999998E-2</v>
      </c>
      <c r="S5117">
        <v>3.0441590000000001</v>
      </c>
      <c r="T5117">
        <v>-8.7984800000000002E-2</v>
      </c>
      <c r="U5117">
        <v>-6.1569209999999999E-2</v>
      </c>
      <c r="V5117">
        <v>-4.175856E-2</v>
      </c>
      <c r="W5117">
        <v>0.14491589999999999</v>
      </c>
      <c r="X5117">
        <v>0.98856239999999995</v>
      </c>
      <c r="Y5117">
        <v>2.0412400000000001E-2</v>
      </c>
      <c r="Z5117">
        <v>-4.1317559999999999E-4</v>
      </c>
      <c r="AA5117">
        <v>0.9997916</v>
      </c>
      <c r="AB5117">
        <v>28</v>
      </c>
      <c r="AC5117">
        <v>38.5214</v>
      </c>
      <c r="AD5117">
        <v>-1.1212198069399999</v>
      </c>
      <c r="AE5117">
        <v>-0.78460000000001096</v>
      </c>
      <c r="AF5117">
        <v>0.79175265820476304</v>
      </c>
      <c r="AG5117">
        <v>-1.1212198069399999</v>
      </c>
      <c r="AH5117">
        <v>38.488646446433798</v>
      </c>
      <c r="AI5117">
        <v>91.668269195776503</v>
      </c>
      <c r="AJ5117">
        <v>88.821530693992401</v>
      </c>
      <c r="AK5117">
        <v>38.513113499246302</v>
      </c>
      <c r="AL5117">
        <v>81.667590883284603</v>
      </c>
      <c r="AM5117">
        <v>92.418833334926404</v>
      </c>
      <c r="AN5117">
        <v>1.00000000704992</v>
      </c>
    </row>
    <row r="5118" spans="1:40" x14ac:dyDescent="0.25">
      <c r="A5118" t="str">
        <f>"20190303162013439"</f>
        <v>20190303162013439</v>
      </c>
      <c r="B5118" t="str">
        <f>"1551601213427622"</f>
        <v>1551601213427622</v>
      </c>
      <c r="C5118" t="s">
        <v>40</v>
      </c>
      <c r="D5118">
        <v>4.5216419999999999</v>
      </c>
      <c r="E5118">
        <v>0.52225630000000001</v>
      </c>
      <c r="F5118" t="s">
        <v>52</v>
      </c>
      <c r="G5118">
        <v>-336.59309999999999</v>
      </c>
      <c r="H5118" s="1">
        <v>2.0005569999999998E-6</v>
      </c>
      <c r="I5118">
        <v>213.95660000000001</v>
      </c>
      <c r="J5118">
        <v>-377.06580000000002</v>
      </c>
      <c r="K5118">
        <v>1.1212219999999999</v>
      </c>
      <c r="L5118">
        <v>214.73589999999999</v>
      </c>
      <c r="M5118">
        <v>0.99993679999999996</v>
      </c>
      <c r="N5118">
        <v>-1.1235770000000001E-2</v>
      </c>
      <c r="O5118">
        <v>2.0359229999999999E-4</v>
      </c>
      <c r="P5118">
        <v>0.99020140000000001</v>
      </c>
      <c r="Q5118">
        <v>0.1334206</v>
      </c>
      <c r="R5118">
        <v>4.1235420000000002E-2</v>
      </c>
      <c r="S5118">
        <v>3.0437620000000001</v>
      </c>
      <c r="T5118">
        <v>-8.3723549999999994E-2</v>
      </c>
      <c r="U5118">
        <v>-5.8181759999999999E-2</v>
      </c>
      <c r="V5118">
        <v>-4.1028309999999998E-2</v>
      </c>
      <c r="W5118">
        <v>0.14453940000000001</v>
      </c>
      <c r="X5118">
        <v>0.98864810000000003</v>
      </c>
      <c r="Y5118">
        <v>1.930486E-2</v>
      </c>
      <c r="Z5118">
        <v>-3.7723709999999997E-4</v>
      </c>
      <c r="AA5118">
        <v>0.99981359999999997</v>
      </c>
      <c r="AB5118">
        <v>28</v>
      </c>
      <c r="AC5118">
        <v>40.472700000000003</v>
      </c>
      <c r="AD5118">
        <v>-1.1212199994430001</v>
      </c>
      <c r="AE5118">
        <v>-0.77929999999997701</v>
      </c>
      <c r="AF5118">
        <v>0.78693671375561602</v>
      </c>
      <c r="AG5118">
        <v>-1.1212199994430001</v>
      </c>
      <c r="AH5118">
        <v>40.441514637758502</v>
      </c>
      <c r="AI5118">
        <v>91.587788517369006</v>
      </c>
      <c r="AJ5118">
        <v>88.885242962963304</v>
      </c>
      <c r="AK5118">
        <v>40.464706966375502</v>
      </c>
      <c r="AL5118">
        <v>81.689392329446093</v>
      </c>
      <c r="AM5118">
        <v>92.376377306575904</v>
      </c>
      <c r="AN5118">
        <v>1.0000000130037101</v>
      </c>
    </row>
    <row r="5119" spans="1:40" x14ac:dyDescent="0.25">
      <c r="A5119" t="str">
        <f>"20190303162013460"</f>
        <v>20190303162013460</v>
      </c>
      <c r="B5119" t="str">
        <f>"1551601213447141"</f>
        <v>1551601213447141</v>
      </c>
      <c r="C5119" t="s">
        <v>40</v>
      </c>
      <c r="D5119">
        <v>4.4491209999999999</v>
      </c>
      <c r="E5119">
        <v>0.52193699999999998</v>
      </c>
      <c r="F5119" t="s">
        <v>52</v>
      </c>
      <c r="G5119">
        <v>-335.95729999999998</v>
      </c>
      <c r="H5119" s="1">
        <v>1.662386E-6</v>
      </c>
      <c r="I5119">
        <v>213.95320000000001</v>
      </c>
      <c r="J5119">
        <v>-376.80239999999998</v>
      </c>
      <c r="K5119">
        <v>1.1212249999999999</v>
      </c>
      <c r="L5119">
        <v>214.73589999999999</v>
      </c>
      <c r="M5119">
        <v>0.99993690000000002</v>
      </c>
      <c r="N5119">
        <v>-1.12385E-2</v>
      </c>
      <c r="O5119">
        <v>2.037556E-4</v>
      </c>
      <c r="P5119">
        <v>0.99024520000000005</v>
      </c>
      <c r="Q5119">
        <v>0.13329150000000001</v>
      </c>
      <c r="R5119">
        <v>4.0597620000000001E-2</v>
      </c>
      <c r="S5119">
        <v>3.043304</v>
      </c>
      <c r="T5119">
        <v>-8.3005190000000006E-2</v>
      </c>
      <c r="U5119">
        <v>-5.7937620000000002E-2</v>
      </c>
      <c r="V5119">
        <v>-4.0390269999999999E-2</v>
      </c>
      <c r="W5119">
        <v>0.1444135</v>
      </c>
      <c r="X5119">
        <v>0.98869280000000004</v>
      </c>
      <c r="Y5119">
        <v>1.9227899999999999E-2</v>
      </c>
      <c r="Z5119">
        <v>-3.7349939999999998E-4</v>
      </c>
      <c r="AA5119">
        <v>0.99981500000000001</v>
      </c>
      <c r="AB5119">
        <v>28</v>
      </c>
      <c r="AC5119">
        <v>40.845100000000002</v>
      </c>
      <c r="AD5119">
        <v>-1.1212233376139999</v>
      </c>
      <c r="AE5119">
        <v>-0.78269999999997697</v>
      </c>
      <c r="AF5119">
        <v>0.790427529202954</v>
      </c>
      <c r="AG5119">
        <v>-1.1212233376139999</v>
      </c>
      <c r="AH5119">
        <v>40.814195962785</v>
      </c>
      <c r="AI5119">
        <v>91.573304966050102</v>
      </c>
      <c r="AJ5119">
        <v>88.890520817511103</v>
      </c>
      <c r="AK5119">
        <v>40.837244147228503</v>
      </c>
      <c r="AL5119">
        <v>81.696682602607098</v>
      </c>
      <c r="AM5119">
        <v>92.339357488606097</v>
      </c>
      <c r="AN5119">
        <v>1.0000000428323801</v>
      </c>
    </row>
    <row r="5120" spans="1:40" x14ac:dyDescent="0.25">
      <c r="A5120" t="str">
        <f>"20190303162013483"</f>
        <v>20190303162013483</v>
      </c>
      <c r="B5120" t="str">
        <f>"1551601213477397"</f>
        <v>1551601213477397</v>
      </c>
      <c r="C5120" t="s">
        <v>40</v>
      </c>
      <c r="D5120">
        <v>4.3113039999999998</v>
      </c>
      <c r="E5120">
        <v>0.52160589999999996</v>
      </c>
      <c r="F5120" t="s">
        <v>52</v>
      </c>
      <c r="G5120">
        <v>-335.08139999999997</v>
      </c>
      <c r="H5120" s="1">
        <v>1.196613E-6</v>
      </c>
      <c r="I5120">
        <v>213.9453</v>
      </c>
      <c r="J5120">
        <v>-376.51670000000001</v>
      </c>
      <c r="K5120">
        <v>1.1212219999999999</v>
      </c>
      <c r="L5120">
        <v>214.73589999999999</v>
      </c>
      <c r="M5120">
        <v>0.99993690000000002</v>
      </c>
      <c r="N5120">
        <v>-1.124146E-2</v>
      </c>
      <c r="O5120">
        <v>2.040372E-4</v>
      </c>
      <c r="P5120">
        <v>0.99029120000000004</v>
      </c>
      <c r="Q5120">
        <v>0.13316</v>
      </c>
      <c r="R5120">
        <v>3.9897670000000003E-2</v>
      </c>
      <c r="S5120">
        <v>3.0429379999999999</v>
      </c>
      <c r="T5120">
        <v>-8.1776860000000007E-2</v>
      </c>
      <c r="U5120">
        <v>-5.7662959999999999E-2</v>
      </c>
      <c r="V5120">
        <v>-3.9689969999999998E-2</v>
      </c>
      <c r="W5120">
        <v>0.14428560000000001</v>
      </c>
      <c r="X5120">
        <v>0.98873979999999995</v>
      </c>
      <c r="Y5120">
        <v>1.9140549999999999E-2</v>
      </c>
      <c r="Z5120">
        <v>-3.6793809999999998E-4</v>
      </c>
      <c r="AA5120">
        <v>0.9998167</v>
      </c>
      <c r="AB5120">
        <v>28</v>
      </c>
      <c r="AC5120">
        <v>41.435299999999998</v>
      </c>
      <c r="AD5120">
        <v>-1.1212208033869999</v>
      </c>
      <c r="AE5120">
        <v>-0.79059999999998298</v>
      </c>
      <c r="AF5120">
        <v>0.79847041658530604</v>
      </c>
      <c r="AG5120">
        <v>-1.1212208033869999</v>
      </c>
      <c r="AH5120">
        <v>41.404831421782298</v>
      </c>
      <c r="AI5120">
        <v>91.550871932288501</v>
      </c>
      <c r="AJ5120">
        <v>88.895217939079402</v>
      </c>
      <c r="AK5120">
        <v>41.4277051761538</v>
      </c>
      <c r="AL5120">
        <v>81.704088020580599</v>
      </c>
      <c r="AM5120">
        <v>92.298731666752303</v>
      </c>
      <c r="AN5120">
        <v>1.0000000100949999</v>
      </c>
    </row>
    <row r="5121" spans="1:40" x14ac:dyDescent="0.25">
      <c r="A5121" t="str">
        <f>"20190303162013506"</f>
        <v>20190303162013506</v>
      </c>
      <c r="B5121" t="str">
        <f>"1551601213496917"</f>
        <v>1551601213496917</v>
      </c>
      <c r="C5121" t="s">
        <v>40</v>
      </c>
      <c r="D5121">
        <v>4.3545639999999999</v>
      </c>
      <c r="E5121">
        <v>0.52140280000000006</v>
      </c>
      <c r="F5121" t="s">
        <v>52</v>
      </c>
      <c r="G5121">
        <v>-333.21539999999999</v>
      </c>
      <c r="H5121" s="1">
        <v>2.0454770000000001E-7</v>
      </c>
      <c r="I5121">
        <v>213.92410000000001</v>
      </c>
      <c r="J5121">
        <v>-376.23270000000002</v>
      </c>
      <c r="K5121">
        <v>1.1212219999999999</v>
      </c>
      <c r="L5121">
        <v>214.73599999999999</v>
      </c>
      <c r="M5121">
        <v>0.99993679999999996</v>
      </c>
      <c r="N5121">
        <v>-1.124442E-2</v>
      </c>
      <c r="O5121">
        <v>2.0437839999999999E-4</v>
      </c>
      <c r="P5121">
        <v>0.99035130000000005</v>
      </c>
      <c r="Q5121">
        <v>0.13293659999999999</v>
      </c>
      <c r="R5121">
        <v>3.9146069999999998E-2</v>
      </c>
      <c r="S5121">
        <v>3.042297</v>
      </c>
      <c r="T5121">
        <v>-7.8775639999999994E-2</v>
      </c>
      <c r="U5121">
        <v>-5.7037350000000001E-2</v>
      </c>
      <c r="V5121">
        <v>-3.8938279999999999E-2</v>
      </c>
      <c r="W5121">
        <v>0.14406569999999999</v>
      </c>
      <c r="X5121">
        <v>0.98880170000000001</v>
      </c>
      <c r="Y5121">
        <v>1.8940060000000002E-2</v>
      </c>
      <c r="Z5121">
        <v>-3.546655E-4</v>
      </c>
      <c r="AA5121">
        <v>0.9998205</v>
      </c>
      <c r="AB5121">
        <v>28</v>
      </c>
      <c r="AC5121">
        <v>43.017299999999999</v>
      </c>
      <c r="AD5121">
        <v>-1.1212217954523001</v>
      </c>
      <c r="AE5121">
        <v>-0.81189999999997997</v>
      </c>
      <c r="AF5121">
        <v>0.82013538082405901</v>
      </c>
      <c r="AG5121">
        <v>-1.1212217954523001</v>
      </c>
      <c r="AH5121">
        <v>42.987939484557003</v>
      </c>
      <c r="AI5121">
        <v>91.493791884992802</v>
      </c>
      <c r="AJ5121">
        <v>88.907028422889198</v>
      </c>
      <c r="AK5121">
        <v>43.010378997230603</v>
      </c>
      <c r="AL5121">
        <v>81.716819960417695</v>
      </c>
      <c r="AM5121">
        <v>92.255100243461399</v>
      </c>
      <c r="AN5121">
        <v>0.99999995874436798</v>
      </c>
    </row>
    <row r="5122" spans="1:40" x14ac:dyDescent="0.25">
      <c r="A5122" t="str">
        <f>"20190303162013539"</f>
        <v>20190303162013539</v>
      </c>
      <c r="B5122" t="str">
        <f>"1551601213527173"</f>
        <v>1551601213527173</v>
      </c>
      <c r="C5122" t="s">
        <v>40</v>
      </c>
      <c r="D5122">
        <v>4.8283779999999998</v>
      </c>
      <c r="E5122">
        <v>0.50378789999999996</v>
      </c>
      <c r="F5122" t="s">
        <v>52</v>
      </c>
      <c r="G5122">
        <v>-332.61559999999997</v>
      </c>
      <c r="H5122" s="1">
        <v>-1.1401159999999999E-7</v>
      </c>
      <c r="I5122">
        <v>213.90960000000001</v>
      </c>
      <c r="J5122">
        <v>-375.82220000000001</v>
      </c>
      <c r="K5122">
        <v>1.1212089999999999</v>
      </c>
      <c r="L5122">
        <v>214.73609999999999</v>
      </c>
      <c r="M5122">
        <v>0.99993679999999996</v>
      </c>
      <c r="N5122">
        <v>-1.12487E-2</v>
      </c>
      <c r="O5122">
        <v>2.047122E-4</v>
      </c>
      <c r="P5122">
        <v>0.99034820000000001</v>
      </c>
      <c r="Q5122">
        <v>0.13279939999999901</v>
      </c>
      <c r="R5122">
        <v>3.9686230000000003E-2</v>
      </c>
      <c r="S5122">
        <v>3.041992</v>
      </c>
      <c r="T5122">
        <v>-7.819748E-2</v>
      </c>
      <c r="U5122">
        <v>-5.7632450000000002E-2</v>
      </c>
      <c r="V5122">
        <v>-3.9477959999999999E-2</v>
      </c>
      <c r="W5122">
        <v>0.14393259999999999</v>
      </c>
      <c r="X5122">
        <v>0.98879980000000001</v>
      </c>
      <c r="Y5122">
        <v>1.9137810000000002E-2</v>
      </c>
      <c r="Z5122">
        <v>-3.5655059999999898E-4</v>
      </c>
      <c r="AA5122">
        <v>0.99981679999999995</v>
      </c>
      <c r="AB5122">
        <v>28</v>
      </c>
      <c r="AC5122">
        <v>43.206600000000002</v>
      </c>
      <c r="AD5122">
        <v>-1.1212091140116001</v>
      </c>
      <c r="AE5122">
        <v>-0.82649999999998103</v>
      </c>
      <c r="AF5122">
        <v>0.83478352214402396</v>
      </c>
      <c r="AG5122">
        <v>-1.1212091140116001</v>
      </c>
      <c r="AH5122">
        <v>43.1773648910387</v>
      </c>
      <c r="AI5122">
        <v>91.4872172442779</v>
      </c>
      <c r="AJ5122">
        <v>88.8923915442587</v>
      </c>
      <c r="AK5122">
        <v>43.199986253934</v>
      </c>
      <c r="AL5122">
        <v>81.724527303341901</v>
      </c>
      <c r="AM5122">
        <v>92.286327115102196</v>
      </c>
      <c r="AN5122">
        <v>1.00000007357427</v>
      </c>
    </row>
    <row r="5123" spans="1:40" x14ac:dyDescent="0.25">
      <c r="A5123" t="str">
        <f>"20190303162013561"</f>
        <v>20190303162013561</v>
      </c>
      <c r="B5123" t="str">
        <f>"1551601213547670"</f>
        <v>1551601213547670</v>
      </c>
      <c r="C5123" t="s">
        <v>40</v>
      </c>
      <c r="D5123">
        <v>4.3174919999999997</v>
      </c>
      <c r="E5123">
        <v>0.50281830000000005</v>
      </c>
      <c r="F5123" t="s">
        <v>65</v>
      </c>
      <c r="G5123">
        <v>-157.8382</v>
      </c>
      <c r="H5123">
        <v>3.22648</v>
      </c>
      <c r="I5123">
        <v>220.90100000000001</v>
      </c>
      <c r="J5123">
        <v>-375.54939999999999</v>
      </c>
      <c r="K5123">
        <v>1.12121</v>
      </c>
      <c r="L5123">
        <v>214.73609999999999</v>
      </c>
      <c r="M5123">
        <v>0.99993670000000001</v>
      </c>
      <c r="N5123">
        <v>-1.1251529999999999E-2</v>
      </c>
      <c r="O5123">
        <v>2.051732E-4</v>
      </c>
      <c r="P5123">
        <v>0.99030490000000004</v>
      </c>
      <c r="Q5123">
        <v>0.1329774</v>
      </c>
      <c r="R5123">
        <v>4.0165359999999997E-2</v>
      </c>
      <c r="S5123">
        <v>3.0219119999999999</v>
      </c>
      <c r="T5123">
        <v>2.9186130000000001E-2</v>
      </c>
      <c r="U5123">
        <v>8.5464479999999995E-2</v>
      </c>
      <c r="V5123">
        <v>-3.9956409999999998E-2</v>
      </c>
      <c r="W5123">
        <v>0.14411289999999999</v>
      </c>
      <c r="X5123">
        <v>0.98875429999999997</v>
      </c>
      <c r="Y5123">
        <v>-2.8065449999999999E-2</v>
      </c>
      <c r="Z5123" s="1">
        <v>2.6714610000000001E-5</v>
      </c>
      <c r="AA5123">
        <v>0.99960610000000005</v>
      </c>
      <c r="AB5123">
        <v>28</v>
      </c>
      <c r="AC5123">
        <v>217.71119999999999</v>
      </c>
      <c r="AD5123">
        <v>2.10527</v>
      </c>
      <c r="AE5123">
        <v>6.1648999999999798</v>
      </c>
      <c r="AF5123">
        <v>-6.1196567545360798</v>
      </c>
      <c r="AG5123">
        <v>2.10527</v>
      </c>
      <c r="AH5123">
        <v>217.69212047592001</v>
      </c>
      <c r="AI5123">
        <v>89.446136606774203</v>
      </c>
      <c r="AJ5123">
        <v>91.610247464604001</v>
      </c>
      <c r="AK5123">
        <v>217.788295548381</v>
      </c>
      <c r="AL5123">
        <v>81.714087877624294</v>
      </c>
      <c r="AM5123">
        <v>92.314112502870401</v>
      </c>
      <c r="AN5123">
        <v>1.0000000542074901</v>
      </c>
    </row>
    <row r="5124" spans="1:40" x14ac:dyDescent="0.25">
      <c r="A5124" t="str">
        <f>"20190303162013584"</f>
        <v>20190303162013584</v>
      </c>
      <c r="B5124" t="str">
        <f>"1551601213576950"</f>
        <v>1551601213576950</v>
      </c>
      <c r="C5124" t="s">
        <v>40</v>
      </c>
      <c r="D5124">
        <v>4.2540019999999998</v>
      </c>
      <c r="E5124">
        <v>0.50295479999999904</v>
      </c>
      <c r="F5124" t="s">
        <v>65</v>
      </c>
      <c r="G5124">
        <v>-157.8382</v>
      </c>
      <c r="H5124">
        <v>3.6219220000000001</v>
      </c>
      <c r="I5124">
        <v>221.5752</v>
      </c>
      <c r="J5124">
        <v>-375.2672</v>
      </c>
      <c r="K5124">
        <v>1.1212169999999999</v>
      </c>
      <c r="L5124">
        <v>214.7362</v>
      </c>
      <c r="M5124">
        <v>0.99993659999999995</v>
      </c>
      <c r="N5124">
        <v>-1.1254449999999999E-2</v>
      </c>
      <c r="O5124">
        <v>2.0551440000000001E-4</v>
      </c>
      <c r="P5124">
        <v>0.99027589999999999</v>
      </c>
      <c r="Q5124">
        <v>0.13326489999999999</v>
      </c>
      <c r="R5124">
        <v>3.99266E-2</v>
      </c>
      <c r="S5124">
        <v>3.020813</v>
      </c>
      <c r="T5124">
        <v>3.4698960000000001E-2</v>
      </c>
      <c r="U5124">
        <v>9.4894409999999998E-2</v>
      </c>
      <c r="V5124">
        <v>-3.9718030000000001E-2</v>
      </c>
      <c r="W5124">
        <v>0.14440310000000001</v>
      </c>
      <c r="X5124">
        <v>0.98872150000000003</v>
      </c>
      <c r="Y5124">
        <v>-3.1192629999999999E-2</v>
      </c>
      <c r="Z5124" s="1">
        <v>1.1502119999999999E-6</v>
      </c>
      <c r="AA5124">
        <v>0.9995134</v>
      </c>
      <c r="AB5124">
        <v>28</v>
      </c>
      <c r="AC5124">
        <v>217.429</v>
      </c>
      <c r="AD5124">
        <v>2.500705</v>
      </c>
      <c r="AE5124">
        <v>6.8389999999999898</v>
      </c>
      <c r="AF5124">
        <v>-6.7934144968189996</v>
      </c>
      <c r="AG5124">
        <v>2.500705</v>
      </c>
      <c r="AH5124">
        <v>217.40167181789499</v>
      </c>
      <c r="AI5124">
        <v>89.341294710597197</v>
      </c>
      <c r="AJ5124">
        <v>91.789808517855803</v>
      </c>
      <c r="AK5124">
        <v>217.52216189445701</v>
      </c>
      <c r="AL5124">
        <v>81.697284356315905</v>
      </c>
      <c r="AM5124">
        <v>92.300397608916697</v>
      </c>
      <c r="AN5124">
        <v>0.99999999087947</v>
      </c>
    </row>
    <row r="5125" spans="1:40" x14ac:dyDescent="0.25">
      <c r="A5125" t="str">
        <f>"20190303162013606"</f>
        <v>20190303162013606</v>
      </c>
      <c r="B5125" t="str">
        <f>"1551601213597445"</f>
        <v>1551601213597445</v>
      </c>
      <c r="C5125" t="s">
        <v>40</v>
      </c>
      <c r="D5125">
        <v>4.2415839999999996</v>
      </c>
      <c r="E5125">
        <v>0.50292890000000001</v>
      </c>
      <c r="F5125" t="s">
        <v>65</v>
      </c>
      <c r="G5125">
        <v>-157.8382</v>
      </c>
      <c r="H5125">
        <v>3.326835</v>
      </c>
      <c r="I5125">
        <v>221.43709999999999</v>
      </c>
      <c r="J5125">
        <v>-374.99439999999998</v>
      </c>
      <c r="K5125">
        <v>1.121219</v>
      </c>
      <c r="L5125">
        <v>214.7362</v>
      </c>
      <c r="M5125">
        <v>0.99993659999999995</v>
      </c>
      <c r="N5125">
        <v>-1.125728E-2</v>
      </c>
      <c r="O5125">
        <v>2.0579680000000001E-4</v>
      </c>
      <c r="P5125">
        <v>0.9902533</v>
      </c>
      <c r="Q5125">
        <v>0.1334986</v>
      </c>
      <c r="R5125">
        <v>3.9707819999999998E-2</v>
      </c>
      <c r="S5125">
        <v>3.0216370000000001</v>
      </c>
      <c r="T5125">
        <v>3.0652519999999999E-2</v>
      </c>
      <c r="U5125">
        <v>9.3124390000000001E-2</v>
      </c>
      <c r="V5125">
        <v>-3.9498369999999998E-2</v>
      </c>
      <c r="W5125">
        <v>0.1446395</v>
      </c>
      <c r="X5125">
        <v>0.98869569999999996</v>
      </c>
      <c r="Y5125">
        <v>-3.0599069999999999E-2</v>
      </c>
      <c r="Z5125" s="1">
        <v>2.151728E-5</v>
      </c>
      <c r="AA5125">
        <v>0.99953170000000002</v>
      </c>
      <c r="AB5125">
        <v>28</v>
      </c>
      <c r="AC5125">
        <v>217.15620000000001</v>
      </c>
      <c r="AD5125">
        <v>2.205616</v>
      </c>
      <c r="AE5125">
        <v>6.7008999999999901</v>
      </c>
      <c r="AF5125">
        <v>-6.6555210376946103</v>
      </c>
      <c r="AG5125">
        <v>2.205616</v>
      </c>
      <c r="AH5125">
        <v>217.13519594714001</v>
      </c>
      <c r="AI5125">
        <v>89.418294096299704</v>
      </c>
      <c r="AJ5125">
        <v>91.755652319609496</v>
      </c>
      <c r="AK5125">
        <v>217.24836943283501</v>
      </c>
      <c r="AL5125">
        <v>81.683595558462898</v>
      </c>
      <c r="AM5125">
        <v>92.287748481108295</v>
      </c>
      <c r="AN5125">
        <v>0.99999994669569703</v>
      </c>
    </row>
    <row r="5126" spans="1:40" x14ac:dyDescent="0.25">
      <c r="A5126" t="str">
        <f>"20190303162013628"</f>
        <v>20190303162013628</v>
      </c>
      <c r="B5126" t="str">
        <f>"1551601213616965"</f>
        <v>1551601213616965</v>
      </c>
      <c r="C5126" t="s">
        <v>40</v>
      </c>
      <c r="D5126">
        <v>4.1887119999999998</v>
      </c>
      <c r="E5126">
        <v>0.50295529999999999</v>
      </c>
      <c r="F5126" t="s">
        <v>65</v>
      </c>
      <c r="G5126">
        <v>-157.8382</v>
      </c>
      <c r="H5126">
        <v>3.3123879999999999</v>
      </c>
      <c r="I5126">
        <v>221.4101</v>
      </c>
      <c r="J5126">
        <v>-374.721</v>
      </c>
      <c r="K5126">
        <v>1.1212249999999999</v>
      </c>
      <c r="L5126">
        <v>214.7363</v>
      </c>
      <c r="M5126">
        <v>0.99993659999999995</v>
      </c>
      <c r="N5126">
        <v>-1.126011E-2</v>
      </c>
      <c r="O5126">
        <v>2.0613860000000001E-4</v>
      </c>
      <c r="P5126">
        <v>0.99023130000000004</v>
      </c>
      <c r="Q5126">
        <v>0.133744899999999</v>
      </c>
      <c r="R5126">
        <v>3.9424920000000002E-2</v>
      </c>
      <c r="S5126">
        <v>3.0216669999999999</v>
      </c>
      <c r="T5126">
        <v>3.0490280000000002E-2</v>
      </c>
      <c r="U5126">
        <v>9.2864989999999994E-2</v>
      </c>
      <c r="V5126">
        <v>-3.9215460000000001E-2</v>
      </c>
      <c r="W5126">
        <v>0.14488860000000001</v>
      </c>
      <c r="X5126">
        <v>0.98867050000000001</v>
      </c>
      <c r="Y5126">
        <v>-3.05127E-2</v>
      </c>
      <c r="Z5126" s="1">
        <v>2.2328980000000001E-5</v>
      </c>
      <c r="AA5126">
        <v>0.99953440000000005</v>
      </c>
      <c r="AB5126">
        <v>28</v>
      </c>
      <c r="AC5126">
        <v>216.8828</v>
      </c>
      <c r="AD5126">
        <v>2.191163</v>
      </c>
      <c r="AE5126">
        <v>6.6738</v>
      </c>
      <c r="AF5126">
        <v>-6.6284131839950504</v>
      </c>
      <c r="AG5126">
        <v>2.191163</v>
      </c>
      <c r="AH5126">
        <v>216.86205698310599</v>
      </c>
      <c r="AI5126">
        <v>89.421376309534296</v>
      </c>
      <c r="AJ5126">
        <v>91.750706901031506</v>
      </c>
      <c r="AK5126">
        <v>216.97439668212999</v>
      </c>
      <c r="AL5126">
        <v>81.669171332138603</v>
      </c>
      <c r="AM5126">
        <v>92.271437371676498</v>
      </c>
      <c r="AN5126">
        <v>0.99999995814161002</v>
      </c>
    </row>
    <row r="5127" spans="1:40" x14ac:dyDescent="0.25">
      <c r="A5127" t="str">
        <f>"20190303162013650"</f>
        <v>20190303162013650</v>
      </c>
      <c r="B5127" t="str">
        <f>"1551601213637461"</f>
        <v>1551601213637461</v>
      </c>
      <c r="C5127" t="s">
        <v>40</v>
      </c>
      <c r="D5127">
        <v>4.1972740000000002</v>
      </c>
      <c r="E5127">
        <v>0.50292239999999999</v>
      </c>
      <c r="F5127" t="s">
        <v>65</v>
      </c>
      <c r="G5127">
        <v>-157.8382</v>
      </c>
      <c r="H5127">
        <v>3.4663889999999999</v>
      </c>
      <c r="I5127">
        <v>221.30119999999999</v>
      </c>
      <c r="J5127">
        <v>-374.44479999999999</v>
      </c>
      <c r="K5127">
        <v>1.1212310000000001</v>
      </c>
      <c r="L5127">
        <v>214.7363</v>
      </c>
      <c r="M5127">
        <v>0.99993659999999995</v>
      </c>
      <c r="N5127">
        <v>-1.1262960000000001E-2</v>
      </c>
      <c r="O5127">
        <v>2.066592E-4</v>
      </c>
      <c r="P5127">
        <v>0.99004789999999998</v>
      </c>
      <c r="Q5127">
        <v>0.1350316</v>
      </c>
      <c r="R5127">
        <v>3.9649299999999998E-2</v>
      </c>
      <c r="S5127">
        <v>3.0215450000000001</v>
      </c>
      <c r="T5127">
        <v>3.2672880000000001E-2</v>
      </c>
      <c r="U5127">
        <v>9.1461180000000003E-2</v>
      </c>
      <c r="V5127">
        <v>-3.9439399999999999E-2</v>
      </c>
      <c r="W5127">
        <v>0.14617550000000001</v>
      </c>
      <c r="X5127">
        <v>0.98847220000000002</v>
      </c>
      <c r="Y5127">
        <v>-3.0049360000000001E-2</v>
      </c>
      <c r="Z5127" s="1">
        <v>1.140279E-5</v>
      </c>
      <c r="AA5127">
        <v>0.9995484</v>
      </c>
      <c r="AB5127">
        <v>28</v>
      </c>
      <c r="AC5127">
        <v>216.60659999999999</v>
      </c>
      <c r="AD5127">
        <v>2.3451580000000001</v>
      </c>
      <c r="AE5127">
        <v>6.56489999999999</v>
      </c>
      <c r="AF5127">
        <v>-6.5193697782160704</v>
      </c>
      <c r="AG5127">
        <v>2.3451580000000001</v>
      </c>
      <c r="AH5127">
        <v>216.582587696107</v>
      </c>
      <c r="AI5127">
        <v>89.379905924017294</v>
      </c>
      <c r="AJ5127">
        <v>91.724144228420698</v>
      </c>
      <c r="AK5127">
        <v>216.69337609048401</v>
      </c>
      <c r="AL5127">
        <v>81.594644426741098</v>
      </c>
      <c r="AM5127">
        <v>92.284852511420198</v>
      </c>
      <c r="AN5127">
        <v>1.0000000166227201</v>
      </c>
    </row>
    <row r="5128" spans="1:40" x14ac:dyDescent="0.25">
      <c r="A5128" t="str">
        <f>"20190303162013673"</f>
        <v>20190303162013673</v>
      </c>
      <c r="B5128" t="str">
        <f>"1551601213667717"</f>
        <v>1551601213667717</v>
      </c>
      <c r="C5128" t="s">
        <v>40</v>
      </c>
      <c r="D5128">
        <v>4.1511370000000003</v>
      </c>
      <c r="E5128">
        <v>0.5029169</v>
      </c>
      <c r="F5128" t="s">
        <v>65</v>
      </c>
      <c r="G5128">
        <v>-157.8382</v>
      </c>
      <c r="H5128">
        <v>3.7596349999999998</v>
      </c>
      <c r="I5128">
        <v>221.35990000000001</v>
      </c>
      <c r="J5128">
        <v>-374.1567</v>
      </c>
      <c r="K5128">
        <v>1.121232</v>
      </c>
      <c r="L5128">
        <v>214.7364</v>
      </c>
      <c r="M5128">
        <v>0.99993659999999995</v>
      </c>
      <c r="N5128">
        <v>-1.126592E-2</v>
      </c>
      <c r="O5128">
        <v>2.067618E-4</v>
      </c>
      <c r="P5128">
        <v>0.98986229999999997</v>
      </c>
      <c r="Q5128">
        <v>0.1362989</v>
      </c>
      <c r="R5128">
        <v>3.9944920000000002E-2</v>
      </c>
      <c r="S5128">
        <v>3.021423</v>
      </c>
      <c r="T5128">
        <v>3.6803599999999999E-2</v>
      </c>
      <c r="U5128">
        <v>9.2391970000000004E-2</v>
      </c>
      <c r="V5128">
        <v>-3.9734430000000001E-2</v>
      </c>
      <c r="W5128">
        <v>0.14744389999999999</v>
      </c>
      <c r="X5128">
        <v>0.98827200000000004</v>
      </c>
      <c r="Y5128">
        <v>-3.035788E-2</v>
      </c>
      <c r="Z5128" s="1">
        <v>-8.9456150000000006E-6</v>
      </c>
      <c r="AA5128">
        <v>0.99953910000000001</v>
      </c>
      <c r="AB5128">
        <v>28</v>
      </c>
      <c r="AC5128">
        <v>216.3185</v>
      </c>
      <c r="AD5128">
        <v>2.6384029999999998</v>
      </c>
      <c r="AE5128">
        <v>6.6234999999999999</v>
      </c>
      <c r="AF5128">
        <v>-6.5777930053968197</v>
      </c>
      <c r="AG5128">
        <v>2.6384029999999998</v>
      </c>
      <c r="AH5128">
        <v>216.287719475855</v>
      </c>
      <c r="AI5128">
        <v>89.301430476074799</v>
      </c>
      <c r="AJ5128">
        <v>91.741955810186298</v>
      </c>
      <c r="AK5128">
        <v>216.403803402986</v>
      </c>
      <c r="AL5128">
        <v>81.5211745664988</v>
      </c>
      <c r="AM5128">
        <v>92.3023920517401</v>
      </c>
      <c r="AN5128">
        <v>1.0000000372793101</v>
      </c>
    </row>
    <row r="5129" spans="1:40" x14ac:dyDescent="0.25">
      <c r="A5129" t="str">
        <f>"20190303162013695"</f>
        <v>20190303162013695</v>
      </c>
      <c r="B5129" t="str">
        <f>"1551601213687237"</f>
        <v>1551601213687237</v>
      </c>
      <c r="C5129" t="s">
        <v>40</v>
      </c>
      <c r="D5129">
        <v>4.1508560000000001</v>
      </c>
      <c r="E5129">
        <v>0.50281940000000003</v>
      </c>
      <c r="F5129" t="s">
        <v>65</v>
      </c>
      <c r="G5129">
        <v>-157.8382</v>
      </c>
      <c r="H5129">
        <v>4.2730100000000002</v>
      </c>
      <c r="I5129">
        <v>221.4485</v>
      </c>
      <c r="J5129">
        <v>-373.88749999999999</v>
      </c>
      <c r="K5129">
        <v>1.121235</v>
      </c>
      <c r="L5129">
        <v>214.7364</v>
      </c>
      <c r="M5129">
        <v>0.99993659999999995</v>
      </c>
      <c r="N5129">
        <v>-1.126866E-2</v>
      </c>
      <c r="O5129">
        <v>2.0692550000000001E-4</v>
      </c>
      <c r="P5129">
        <v>0.98985109999999998</v>
      </c>
      <c r="Q5129">
        <v>0.13644200000000001</v>
      </c>
      <c r="R5129">
        <v>3.9732459999999997E-2</v>
      </c>
      <c r="S5129">
        <v>3.0208740000000001</v>
      </c>
      <c r="T5129">
        <v>4.4015169999999999E-2</v>
      </c>
      <c r="U5129">
        <v>9.3734739999999997E-2</v>
      </c>
      <c r="V5129">
        <v>-3.9521979999999998E-2</v>
      </c>
      <c r="W5129">
        <v>0.1475891</v>
      </c>
      <c r="X5129">
        <v>0.98825879999999999</v>
      </c>
      <c r="Y5129">
        <v>-3.0806569999999998E-2</v>
      </c>
      <c r="Z5129" s="1">
        <v>-4.5396419999999999E-5</v>
      </c>
      <c r="AA5129">
        <v>0.99952540000000001</v>
      </c>
      <c r="AB5129">
        <v>28</v>
      </c>
      <c r="AC5129">
        <v>216.04929999999999</v>
      </c>
      <c r="AD5129">
        <v>3.1517750000000002</v>
      </c>
      <c r="AE5129">
        <v>6.7120999999999897</v>
      </c>
      <c r="AF5129">
        <v>-6.6659736539971801</v>
      </c>
      <c r="AG5129">
        <v>3.1517750000000002</v>
      </c>
      <c r="AH5129">
        <v>216.00475938061999</v>
      </c>
      <c r="AI5129">
        <v>89.164441183824295</v>
      </c>
      <c r="AJ5129">
        <v>91.767604480476706</v>
      </c>
      <c r="AK5129">
        <v>216.130573879509</v>
      </c>
      <c r="AL5129">
        <v>81.512762813473003</v>
      </c>
      <c r="AM5129">
        <v>92.290125438640302</v>
      </c>
      <c r="AN5129">
        <v>0.99999999255968497</v>
      </c>
    </row>
    <row r="5130" spans="1:40" x14ac:dyDescent="0.25">
      <c r="A5130" t="str">
        <f>"20190303162013718"</f>
        <v>20190303162013718</v>
      </c>
      <c r="B5130" t="str">
        <f>"1551601213707734"</f>
        <v>1551601213707734</v>
      </c>
      <c r="C5130" t="s">
        <v>40</v>
      </c>
      <c r="D5130">
        <v>4.1556360000000003</v>
      </c>
      <c r="E5130">
        <v>0.50282099999999996</v>
      </c>
      <c r="F5130" t="s">
        <v>65</v>
      </c>
      <c r="G5130">
        <v>-157.8382</v>
      </c>
      <c r="H5130">
        <v>4.3907360000000004</v>
      </c>
      <c r="I5130">
        <v>221.45259999999999</v>
      </c>
      <c r="J5130">
        <v>-373.59780000000001</v>
      </c>
      <c r="K5130">
        <v>1.1212359999999999</v>
      </c>
      <c r="L5130">
        <v>214.73650000000001</v>
      </c>
      <c r="M5130">
        <v>0.99993650000000001</v>
      </c>
      <c r="N5130">
        <v>-1.127157E-2</v>
      </c>
      <c r="O5130">
        <v>2.0744599999999999E-4</v>
      </c>
      <c r="P5130">
        <v>0.98986790000000002</v>
      </c>
      <c r="Q5130">
        <v>0.13634599999999999</v>
      </c>
      <c r="R5130">
        <v>3.9644289999999999E-2</v>
      </c>
      <c r="S5130">
        <v>3.0206909999999998</v>
      </c>
      <c r="T5130">
        <v>4.571331E-2</v>
      </c>
      <c r="U5130">
        <v>9.3902589999999994E-2</v>
      </c>
      <c r="V5130">
        <v>-3.9433000000000003E-2</v>
      </c>
      <c r="W5130">
        <v>0.14749670000000001</v>
      </c>
      <c r="X5130">
        <v>0.98827619999999905</v>
      </c>
      <c r="Y5130">
        <v>-3.0863270000000002E-2</v>
      </c>
      <c r="Z5130" s="1">
        <v>-5.3998490000000001E-5</v>
      </c>
      <c r="AA5130">
        <v>0.99952359999999896</v>
      </c>
      <c r="AB5130">
        <v>28</v>
      </c>
      <c r="AC5130">
        <v>215.75960000000001</v>
      </c>
      <c r="AD5130">
        <v>3.2694999999999999</v>
      </c>
      <c r="AE5130">
        <v>6.7160999999999804</v>
      </c>
      <c r="AF5130">
        <v>-6.6698084644037197</v>
      </c>
      <c r="AG5130">
        <v>3.2694999999999999</v>
      </c>
      <c r="AH5130">
        <v>215.71150349579</v>
      </c>
      <c r="AI5130">
        <v>89.132059523066005</v>
      </c>
      <c r="AJ5130">
        <v>91.771023582407295</v>
      </c>
      <c r="AK5130">
        <v>215.83935858785401</v>
      </c>
      <c r="AL5130">
        <v>81.518115954245502</v>
      </c>
      <c r="AM5130">
        <v>92.284934721535095</v>
      </c>
      <c r="AN5130">
        <v>1.0000000427431599</v>
      </c>
    </row>
    <row r="5131" spans="1:40" x14ac:dyDescent="0.25">
      <c r="A5131" t="str">
        <f>"20190303162013740"</f>
        <v>20190303162013740</v>
      </c>
      <c r="B5131" t="str">
        <f>"1551601213727254"</f>
        <v>1551601213727254</v>
      </c>
      <c r="C5131" t="s">
        <v>40</v>
      </c>
      <c r="D5131">
        <v>4.1398599999999997</v>
      </c>
      <c r="E5131">
        <v>0.50296529999999995</v>
      </c>
      <c r="F5131" t="s">
        <v>65</v>
      </c>
      <c r="G5131">
        <v>-157.8382</v>
      </c>
      <c r="H5131">
        <v>4.4816599999999998</v>
      </c>
      <c r="I5131">
        <v>221.41239999999999</v>
      </c>
      <c r="J5131">
        <v>-373.31689999999998</v>
      </c>
      <c r="K5131">
        <v>1.121237</v>
      </c>
      <c r="L5131">
        <v>214.73650000000001</v>
      </c>
      <c r="M5131">
        <v>0.99993659999999995</v>
      </c>
      <c r="N5131">
        <v>-1.127439E-2</v>
      </c>
      <c r="O5131">
        <v>2.076092E-4</v>
      </c>
      <c r="P5131">
        <v>0.98987480000000005</v>
      </c>
      <c r="Q5131">
        <v>0.13623840000000001</v>
      </c>
      <c r="R5131">
        <v>3.9845909999999998E-2</v>
      </c>
      <c r="S5131">
        <v>3.020508</v>
      </c>
      <c r="T5131">
        <v>4.7044750000000003E-2</v>
      </c>
      <c r="U5131">
        <v>9.3460080000000001E-2</v>
      </c>
      <c r="V5131">
        <v>-3.9634839999999998E-2</v>
      </c>
      <c r="W5131">
        <v>0.14739150000000001</v>
      </c>
      <c r="X5131">
        <v>0.98828380000000005</v>
      </c>
      <c r="Y5131">
        <v>-3.0718559999999999E-2</v>
      </c>
      <c r="Z5131" s="1">
        <v>-6.0361980000000001E-5</v>
      </c>
      <c r="AA5131">
        <v>0.99952810000000003</v>
      </c>
      <c r="AB5131">
        <v>28</v>
      </c>
      <c r="AC5131">
        <v>215.4787</v>
      </c>
      <c r="AD5131">
        <v>3.3604229999999999</v>
      </c>
      <c r="AE5131">
        <v>6.67589999999998</v>
      </c>
      <c r="AF5131">
        <v>-6.6295508415180198</v>
      </c>
      <c r="AG5131">
        <v>3.3604229999999999</v>
      </c>
      <c r="AH5131">
        <v>215.42773775295899</v>
      </c>
      <c r="AI5131">
        <v>89.106747533348795</v>
      </c>
      <c r="AJ5131">
        <v>91.762658080627602</v>
      </c>
      <c r="AK5131">
        <v>215.555917525956</v>
      </c>
      <c r="AL5131">
        <v>81.5242098999246</v>
      </c>
      <c r="AM5131">
        <v>92.296600152894399</v>
      </c>
      <c r="AN5131">
        <v>1.0000000220782499</v>
      </c>
    </row>
    <row r="5132" spans="1:40" x14ac:dyDescent="0.25">
      <c r="A5132" t="str">
        <f>"20190303162013762"</f>
        <v>20190303162013762</v>
      </c>
      <c r="B5132" t="str">
        <f>"1551601213747749"</f>
        <v>1551601213747749</v>
      </c>
      <c r="C5132" t="s">
        <v>40</v>
      </c>
      <c r="D5132">
        <v>4.1412550000000001</v>
      </c>
      <c r="E5132">
        <v>0.50303750000000003</v>
      </c>
      <c r="F5132" t="s">
        <v>65</v>
      </c>
      <c r="G5132">
        <v>-157.8382</v>
      </c>
      <c r="H5132">
        <v>4.4947860000000004</v>
      </c>
      <c r="I5132">
        <v>221.36369999999999</v>
      </c>
      <c r="J5132">
        <v>-373.0446</v>
      </c>
      <c r="K5132">
        <v>1.1212340000000001</v>
      </c>
      <c r="L5132">
        <v>214.73660000000001</v>
      </c>
      <c r="M5132">
        <v>0.99993639999999995</v>
      </c>
      <c r="N5132">
        <v>-1.127709E-2</v>
      </c>
      <c r="O5132">
        <v>2.0807099999999999E-4</v>
      </c>
      <c r="P5132">
        <v>0.98989830000000001</v>
      </c>
      <c r="Q5132">
        <v>0.13609769999999999</v>
      </c>
      <c r="R5132">
        <v>3.9733650000000002E-2</v>
      </c>
      <c r="S5132">
        <v>3.0204469999999999</v>
      </c>
      <c r="T5132">
        <v>4.7289129999999999E-2</v>
      </c>
      <c r="U5132">
        <v>9.2895510000000001E-2</v>
      </c>
      <c r="V5132">
        <v>-3.9522090000000003E-2</v>
      </c>
      <c r="W5132">
        <v>0.14725379999999999</v>
      </c>
      <c r="X5132">
        <v>0.98830879999999999</v>
      </c>
      <c r="Y5132">
        <v>-3.053206E-2</v>
      </c>
      <c r="Z5132" s="1">
        <v>-6.1131140000000004E-5</v>
      </c>
      <c r="AA5132">
        <v>0.99953380000000003</v>
      </c>
      <c r="AB5132">
        <v>28</v>
      </c>
      <c r="AC5132">
        <v>215.2064</v>
      </c>
      <c r="AD5132">
        <v>3.3735519999999899</v>
      </c>
      <c r="AE5132">
        <v>6.62709999999998</v>
      </c>
      <c r="AF5132">
        <v>-6.5807032310195996</v>
      </c>
      <c r="AG5132">
        <v>3.3735519999999899</v>
      </c>
      <c r="AH5132">
        <v>215.15495363445001</v>
      </c>
      <c r="AI5132">
        <v>89.102116289351102</v>
      </c>
      <c r="AJ5132">
        <v>91.751895579367698</v>
      </c>
      <c r="AK5132">
        <v>215.28200245620599</v>
      </c>
      <c r="AL5132">
        <v>81.532186212996507</v>
      </c>
      <c r="AM5132">
        <v>92.290016068078401</v>
      </c>
      <c r="AN5132">
        <v>0.99999998068492302</v>
      </c>
    </row>
    <row r="5133" spans="1:40" x14ac:dyDescent="0.25">
      <c r="A5133" t="str">
        <f>"20190303162013784"</f>
        <v>20190303162013784</v>
      </c>
      <c r="B5133" t="str">
        <f>"1551601213778005"</f>
        <v>1551601213778005</v>
      </c>
      <c r="C5133" t="s">
        <v>40</v>
      </c>
      <c r="D5133">
        <v>4.0902880000000001</v>
      </c>
      <c r="E5133">
        <v>0.50332339999999998</v>
      </c>
      <c r="F5133" t="s">
        <v>65</v>
      </c>
      <c r="G5133">
        <v>-157.8382</v>
      </c>
      <c r="H5133">
        <v>4.4422119999999996</v>
      </c>
      <c r="I5133">
        <v>221.27359999999999</v>
      </c>
      <c r="J5133">
        <v>-372.76280000000003</v>
      </c>
      <c r="K5133">
        <v>1.1212359999999999</v>
      </c>
      <c r="L5133">
        <v>214.73660000000001</v>
      </c>
      <c r="M5133">
        <v>0.99993650000000001</v>
      </c>
      <c r="N5133">
        <v>-1.1279869999999999E-2</v>
      </c>
      <c r="O5133">
        <v>2.0823430000000001E-4</v>
      </c>
      <c r="P5133">
        <v>0.98990769999999995</v>
      </c>
      <c r="Q5133">
        <v>0.13595789999999999</v>
      </c>
      <c r="R5133">
        <v>3.998355E-2</v>
      </c>
      <c r="S5133">
        <v>3.0205690000000001</v>
      </c>
      <c r="T5133">
        <v>4.6612979999999998E-2</v>
      </c>
      <c r="U5133">
        <v>9.1751100000000002E-2</v>
      </c>
      <c r="V5133">
        <v>-3.9771729999999998E-2</v>
      </c>
      <c r="W5133">
        <v>0.14711649999999901</v>
      </c>
      <c r="X5133">
        <v>0.98831919999999995</v>
      </c>
      <c r="Y5133">
        <v>-3.0152390000000001E-2</v>
      </c>
      <c r="Z5133" s="1">
        <v>-5.6920689999999998E-5</v>
      </c>
      <c r="AA5133">
        <v>0.99954529999999997</v>
      </c>
      <c r="AB5133">
        <v>28</v>
      </c>
      <c r="AC5133">
        <v>214.9246</v>
      </c>
      <c r="AD5133">
        <v>3.3209759999999999</v>
      </c>
      <c r="AE5133">
        <v>6.5369999999999697</v>
      </c>
      <c r="AF5133">
        <v>-6.4906940660594703</v>
      </c>
      <c r="AG5133">
        <v>3.3209759999999999</v>
      </c>
      <c r="AH5133">
        <v>214.87470086408399</v>
      </c>
      <c r="AI5133">
        <v>89.1149445256288</v>
      </c>
      <c r="AJ5133">
        <v>91.730200557097007</v>
      </c>
      <c r="AK5133">
        <v>214.99836060417101</v>
      </c>
      <c r="AL5133">
        <v>81.5401392659207</v>
      </c>
      <c r="AM5133">
        <v>92.304441110958805</v>
      </c>
      <c r="AN5133">
        <v>0.99999994808404002</v>
      </c>
    </row>
    <row r="5134" spans="1:40" x14ac:dyDescent="0.25">
      <c r="A5134" t="str">
        <f>"20190303162013807"</f>
        <v>20190303162013807</v>
      </c>
      <c r="B5134" t="str">
        <f>"1551601213797527"</f>
        <v>1551601213797527</v>
      </c>
      <c r="C5134" t="s">
        <v>40</v>
      </c>
      <c r="D5134">
        <v>4.1595630000000003</v>
      </c>
      <c r="E5134">
        <v>0.50337979999999904</v>
      </c>
      <c r="F5134" t="s">
        <v>65</v>
      </c>
      <c r="G5134">
        <v>-157.8382</v>
      </c>
      <c r="H5134">
        <v>4.4102399999999999</v>
      </c>
      <c r="I5134">
        <v>221.18690000000001</v>
      </c>
      <c r="J5134">
        <v>-372.49200000000002</v>
      </c>
      <c r="K5134">
        <v>1.121232</v>
      </c>
      <c r="L5134">
        <v>214.73670000000001</v>
      </c>
      <c r="M5134">
        <v>0.99993650000000001</v>
      </c>
      <c r="N5134">
        <v>-1.1282550000000001E-2</v>
      </c>
      <c r="O5134">
        <v>2.086961E-4</v>
      </c>
      <c r="P5134">
        <v>0.98994700000000002</v>
      </c>
      <c r="Q5134">
        <v>0.13582830000000001</v>
      </c>
      <c r="R5134">
        <v>3.9444060000000003E-2</v>
      </c>
      <c r="S5134">
        <v>3.0205690000000001</v>
      </c>
      <c r="T5134">
        <v>4.6224710000000002E-2</v>
      </c>
      <c r="U5134">
        <v>9.0652469999999999E-2</v>
      </c>
      <c r="V5134">
        <v>-3.9231929999999998E-2</v>
      </c>
      <c r="W5134">
        <v>0.14699010000000001</v>
      </c>
      <c r="X5134">
        <v>0.9883596</v>
      </c>
      <c r="Y5134">
        <v>-2.9788760000000001E-2</v>
      </c>
      <c r="Z5134" s="1">
        <v>-5.4229630000000002E-5</v>
      </c>
      <c r="AA5134">
        <v>0.99955620000000001</v>
      </c>
      <c r="AB5134">
        <v>28</v>
      </c>
      <c r="AC5134">
        <v>214.65379999999999</v>
      </c>
      <c r="AD5134">
        <v>3.2890079999999999</v>
      </c>
      <c r="AE5134">
        <v>6.4501999999999899</v>
      </c>
      <c r="AF5134">
        <v>-6.4038974831554301</v>
      </c>
      <c r="AG5134">
        <v>3.2890079999999999</v>
      </c>
      <c r="AH5134">
        <v>214.60480305460499</v>
      </c>
      <c r="AI5134">
        <v>89.122350958871394</v>
      </c>
      <c r="AJ5134">
        <v>91.709222926011606</v>
      </c>
      <c r="AK5134">
        <v>214.72552007319601</v>
      </c>
      <c r="AL5134">
        <v>81.547461206820898</v>
      </c>
      <c r="AM5134">
        <v>92.273104404044901</v>
      </c>
      <c r="AN5134">
        <v>0.99999996637084598</v>
      </c>
    </row>
    <row r="5135" spans="1:40" x14ac:dyDescent="0.25">
      <c r="A5135" t="str">
        <f>"20190303162013828"</f>
        <v>20190303162013828</v>
      </c>
      <c r="B5135" t="str">
        <f>"1551601213818021"</f>
        <v>1551601213818021</v>
      </c>
      <c r="C5135" t="s">
        <v>40</v>
      </c>
      <c r="D5135">
        <v>5.8380169999999998</v>
      </c>
      <c r="E5135">
        <v>0.51456000000000002</v>
      </c>
      <c r="F5135" t="s">
        <v>65</v>
      </c>
      <c r="G5135">
        <v>-157.8382</v>
      </c>
      <c r="H5135">
        <v>4.3677440000000001</v>
      </c>
      <c r="I5135">
        <v>221.029</v>
      </c>
      <c r="J5135">
        <v>-372.21420000000001</v>
      </c>
      <c r="K5135">
        <v>1.1212299999999999</v>
      </c>
      <c r="L5135">
        <v>214.73670000000001</v>
      </c>
      <c r="M5135">
        <v>0.9999363</v>
      </c>
      <c r="N5135">
        <v>-1.128531E-2</v>
      </c>
      <c r="O5135">
        <v>2.0903830000000001E-4</v>
      </c>
      <c r="P5135">
        <v>0.99015739999999997</v>
      </c>
      <c r="Q5135">
        <v>0.13460359999999999</v>
      </c>
      <c r="R5135">
        <v>3.8345740000000003E-2</v>
      </c>
      <c r="S5135">
        <v>3.0206599999999999</v>
      </c>
      <c r="T5135">
        <v>4.5686480000000002E-2</v>
      </c>
      <c r="U5135">
        <v>8.8546749999999994E-2</v>
      </c>
      <c r="V5135">
        <v>-3.8133220000000002E-2</v>
      </c>
      <c r="W5135">
        <v>0.14577129999999999</v>
      </c>
      <c r="X5135">
        <v>0.98858310000000005</v>
      </c>
      <c r="Y5135">
        <v>-2.9091390000000002E-2</v>
      </c>
      <c r="Z5135" s="1">
        <v>-5.0224279999999998E-5</v>
      </c>
      <c r="AA5135">
        <v>0.99957669999999998</v>
      </c>
      <c r="AB5135">
        <v>28</v>
      </c>
      <c r="AC5135">
        <v>214.37599999999901</v>
      </c>
      <c r="AD5135">
        <v>3.2465139999999999</v>
      </c>
      <c r="AE5135">
        <v>6.2923000000000098</v>
      </c>
      <c r="AF5135">
        <v>-6.2460529693880904</v>
      </c>
      <c r="AG5135">
        <v>3.2465139999999999</v>
      </c>
      <c r="AH5135">
        <v>214.32819873853299</v>
      </c>
      <c r="AI5135">
        <v>89.132552752735194</v>
      </c>
      <c r="AJ5135">
        <v>91.669268046525502</v>
      </c>
      <c r="AK5135">
        <v>214.44376839943999</v>
      </c>
      <c r="AL5135">
        <v>81.618053824036295</v>
      </c>
      <c r="AM5135">
        <v>92.209009936125099</v>
      </c>
      <c r="AN5135">
        <v>0.99999997998843404</v>
      </c>
    </row>
    <row r="5136" spans="1:40" x14ac:dyDescent="0.25">
      <c r="A5136" t="str">
        <f>"20190303162014007"</f>
        <v>20190303162014007</v>
      </c>
      <c r="B5136" t="str">
        <f>"1551601213997606"</f>
        <v>1551601213997606</v>
      </c>
      <c r="C5136" t="s">
        <v>40</v>
      </c>
      <c r="D5136">
        <v>3.7198730000000002</v>
      </c>
      <c r="E5136">
        <v>0.52138019999999996</v>
      </c>
      <c r="F5136" t="s">
        <v>67</v>
      </c>
      <c r="G5136">
        <v>-107.39749999999999</v>
      </c>
      <c r="H5136">
        <v>3.3761230000000002</v>
      </c>
      <c r="I5136">
        <v>214.3775</v>
      </c>
      <c r="J5136">
        <v>-369.9787</v>
      </c>
      <c r="K5136">
        <v>1.1212139999999999</v>
      </c>
      <c r="L5136">
        <v>214.7371</v>
      </c>
      <c r="M5136">
        <v>0.99993600000000005</v>
      </c>
      <c r="N5136">
        <v>-1.13069E-2</v>
      </c>
      <c r="O5136">
        <v>2.1141890000000001E-4</v>
      </c>
      <c r="P5136">
        <v>0.99060510000000002</v>
      </c>
      <c r="Q5136">
        <v>0.1306638</v>
      </c>
      <c r="R5136">
        <v>4.0356509999999998E-2</v>
      </c>
      <c r="S5136">
        <v>3.0264890000000002</v>
      </c>
      <c r="T5136">
        <v>2.5770899999999999E-2</v>
      </c>
      <c r="U5136">
        <v>-4.1046140000000004E-3</v>
      </c>
      <c r="V5136">
        <v>-4.0142190000000001E-2</v>
      </c>
      <c r="W5136">
        <v>0.14185799999999901</v>
      </c>
      <c r="X5136">
        <v>0.98907270000000003</v>
      </c>
      <c r="Y5136">
        <v>1.5676380000000001E-3</v>
      </c>
      <c r="Z5136" s="1">
        <v>2.0020749999999998E-6</v>
      </c>
      <c r="AA5136">
        <v>0.99999870000000002</v>
      </c>
      <c r="AB5136">
        <v>28</v>
      </c>
      <c r="AC5136">
        <v>262.58120000000002</v>
      </c>
      <c r="AD5136">
        <v>2.2549090000000001</v>
      </c>
      <c r="AE5136">
        <v>-0.35959999999999998</v>
      </c>
      <c r="AF5136">
        <v>0.41508756190149398</v>
      </c>
      <c r="AG5136">
        <v>2.2549090000000001</v>
      </c>
      <c r="AH5136">
        <v>262.56175559950901</v>
      </c>
      <c r="AI5136">
        <v>89.507950306911098</v>
      </c>
      <c r="AJ5136">
        <v>89.909420374045993</v>
      </c>
      <c r="AK5136">
        <v>262.571766219788</v>
      </c>
      <c r="AL5136">
        <v>81.844624571871506</v>
      </c>
      <c r="AM5136">
        <v>92.3241127518735</v>
      </c>
      <c r="AN5136">
        <v>0.99999994673364101</v>
      </c>
    </row>
    <row r="5137" spans="1:40" x14ac:dyDescent="0.25">
      <c r="A5137" t="str">
        <f>"20190303162014030"</f>
        <v>20190303162014030</v>
      </c>
      <c r="B5137" t="str">
        <f>"1551601214027862"</f>
        <v>1551601214027862</v>
      </c>
      <c r="C5137" t="s">
        <v>40</v>
      </c>
      <c r="D5137">
        <v>4.139608</v>
      </c>
      <c r="E5137">
        <v>0.51871140000000004</v>
      </c>
      <c r="F5137" t="s">
        <v>52</v>
      </c>
      <c r="G5137">
        <v>-344.21690000000001</v>
      </c>
      <c r="H5137" s="1">
        <v>7.0724179999999999E-7</v>
      </c>
      <c r="I5137">
        <v>214.2704</v>
      </c>
      <c r="J5137">
        <v>-369.68700000000001</v>
      </c>
      <c r="K5137">
        <v>1.121218</v>
      </c>
      <c r="L5137">
        <v>214.7372</v>
      </c>
      <c r="M5137">
        <v>0.99993600000000005</v>
      </c>
      <c r="N5137">
        <v>-1.130946E-2</v>
      </c>
      <c r="O5137">
        <v>2.117616E-4</v>
      </c>
      <c r="P5137">
        <v>0.99054439999999999</v>
      </c>
      <c r="Q5137">
        <v>0.13104540000000001</v>
      </c>
      <c r="R5137">
        <v>4.060627E-2</v>
      </c>
      <c r="S5137">
        <v>3.048187</v>
      </c>
      <c r="T5137">
        <v>-0.13266410000000001</v>
      </c>
      <c r="U5137">
        <v>-5.5221560000000003E-2</v>
      </c>
      <c r="V5137">
        <v>-4.0390839999999997E-2</v>
      </c>
      <c r="W5137">
        <v>0.14224120000000001</v>
      </c>
      <c r="X5137">
        <v>0.98900759999999999</v>
      </c>
      <c r="Y5137">
        <v>1.8303030000000001E-2</v>
      </c>
      <c r="Z5137">
        <v>-5.0846339999999896E-4</v>
      </c>
      <c r="AA5137">
        <v>0.99983230000000001</v>
      </c>
      <c r="AB5137">
        <v>28</v>
      </c>
      <c r="AC5137">
        <v>25.470099999999899</v>
      </c>
      <c r="AD5137">
        <v>-1.1212172927582</v>
      </c>
      <c r="AE5137">
        <v>-0.46680000000000599</v>
      </c>
      <c r="AF5137">
        <v>0.47128096255412</v>
      </c>
      <c r="AG5137">
        <v>-1.1212172927582</v>
      </c>
      <c r="AH5137">
        <v>25.420755715286798</v>
      </c>
      <c r="AI5137">
        <v>92.525038786188802</v>
      </c>
      <c r="AJ5137">
        <v>88.937902654843995</v>
      </c>
      <c r="AK5137">
        <v>25.449834087858601</v>
      </c>
      <c r="AL5137">
        <v>81.822444392801401</v>
      </c>
      <c r="AM5137">
        <v>92.338646667229995</v>
      </c>
      <c r="AN5137">
        <v>1.00000000589555</v>
      </c>
    </row>
    <row r="5138" spans="1:40" x14ac:dyDescent="0.25">
      <c r="A5138" t="str">
        <f>"20190303162014053"</f>
        <v>20190303162014053</v>
      </c>
      <c r="B5138" t="str">
        <f>"1551601214047382"</f>
        <v>1551601214047382</v>
      </c>
      <c r="C5138" t="s">
        <v>40</v>
      </c>
      <c r="D5138">
        <v>4.1500500000000002</v>
      </c>
      <c r="E5138">
        <v>0.51774279999999995</v>
      </c>
      <c r="F5138" t="s">
        <v>52</v>
      </c>
      <c r="G5138">
        <v>-320.91840000000002</v>
      </c>
      <c r="H5138" s="1">
        <v>-1.0480580000000001E-6</v>
      </c>
      <c r="I5138">
        <v>214.21539999999999</v>
      </c>
      <c r="J5138">
        <v>-369.39830000000001</v>
      </c>
      <c r="K5138">
        <v>1.1212150000000001</v>
      </c>
      <c r="L5138">
        <v>214.7372</v>
      </c>
      <c r="M5138">
        <v>0.99993620000000005</v>
      </c>
      <c r="N5138">
        <v>-1.1312010000000001E-2</v>
      </c>
      <c r="O5138">
        <v>2.119256E-4</v>
      </c>
      <c r="P5138">
        <v>0.99047019999999997</v>
      </c>
      <c r="Q5138">
        <v>0.13151689999999999</v>
      </c>
      <c r="R5138">
        <v>4.0903380000000003E-2</v>
      </c>
      <c r="S5138">
        <v>3.039215</v>
      </c>
      <c r="T5138">
        <v>-6.9873450000000004E-2</v>
      </c>
      <c r="U5138">
        <v>-3.251648E-2</v>
      </c>
      <c r="V5138">
        <v>-4.0688450000000001E-2</v>
      </c>
      <c r="W5138">
        <v>0.1427146</v>
      </c>
      <c r="X5138">
        <v>0.98892720000000001</v>
      </c>
      <c r="Y5138">
        <v>1.0905969999999999E-2</v>
      </c>
      <c r="Z5138">
        <v>-1.8952199999999999E-4</v>
      </c>
      <c r="AA5138">
        <v>0.99994050000000001</v>
      </c>
      <c r="AB5138">
        <v>28</v>
      </c>
      <c r="AC5138">
        <v>48.479900000000001</v>
      </c>
      <c r="AD5138">
        <v>-1.121216048058</v>
      </c>
      <c r="AE5138">
        <v>-0.52180000000001303</v>
      </c>
      <c r="AF5138">
        <v>0.53179036516702705</v>
      </c>
      <c r="AG5138">
        <v>-1.121216048058</v>
      </c>
      <c r="AH5138">
        <v>48.453874385459997</v>
      </c>
      <c r="AI5138">
        <v>91.325500165267201</v>
      </c>
      <c r="AJ5138">
        <v>89.371193313387195</v>
      </c>
      <c r="AK5138">
        <v>48.469762423399999</v>
      </c>
      <c r="AL5138">
        <v>81.795041009588601</v>
      </c>
      <c r="AM5138">
        <v>92.356050383316003</v>
      </c>
      <c r="AN5138">
        <v>1.0000000069582</v>
      </c>
    </row>
    <row r="5139" spans="1:40" x14ac:dyDescent="0.25">
      <c r="A5139" t="str">
        <f>"20190303162014075"</f>
        <v>20190303162014075</v>
      </c>
      <c r="B5139" t="str">
        <f>"1551601214067878"</f>
        <v>1551601214067878</v>
      </c>
      <c r="C5139" t="s">
        <v>40</v>
      </c>
      <c r="D5139">
        <v>4.1743790000000001</v>
      </c>
      <c r="E5139">
        <v>0.514829599999999</v>
      </c>
      <c r="F5139" t="s">
        <v>56</v>
      </c>
      <c r="G5139">
        <v>-305.77949999999998</v>
      </c>
      <c r="H5139" s="1">
        <v>1.6280699999999999E-6</v>
      </c>
      <c r="I5139">
        <v>214.2396</v>
      </c>
      <c r="J5139">
        <v>-369.11349999999999</v>
      </c>
      <c r="K5139">
        <v>1.1212219999999999</v>
      </c>
      <c r="L5139">
        <v>214.7373</v>
      </c>
      <c r="M5139">
        <v>0.99993609999999999</v>
      </c>
      <c r="N5139">
        <v>-1.131455E-2</v>
      </c>
      <c r="O5139">
        <v>2.1226829999999999E-4</v>
      </c>
      <c r="P5139">
        <v>0.99039010000000005</v>
      </c>
      <c r="Q5139">
        <v>0.1320865</v>
      </c>
      <c r="R5139">
        <v>4.0999859999999999E-2</v>
      </c>
      <c r="S5139">
        <v>3.0369570000000001</v>
      </c>
      <c r="T5139">
        <v>-5.3523179999999997E-2</v>
      </c>
      <c r="U5139">
        <v>-2.375793E-2</v>
      </c>
      <c r="V5139">
        <v>-4.078408E-2</v>
      </c>
      <c r="W5139">
        <v>0.14328569999999999</v>
      </c>
      <c r="X5139">
        <v>0.98884070000000002</v>
      </c>
      <c r="Y5139">
        <v>8.0329240000000003E-3</v>
      </c>
      <c r="Z5139">
        <v>-1.175707E-4</v>
      </c>
      <c r="AA5139">
        <v>0.99996779999999996</v>
      </c>
      <c r="AB5139">
        <v>28</v>
      </c>
      <c r="AC5139">
        <v>63.333999999999897</v>
      </c>
      <c r="AD5139">
        <v>-1.12122037192999</v>
      </c>
      <c r="AE5139">
        <v>-0.49770000000000802</v>
      </c>
      <c r="AF5139">
        <v>0.51098451208425599</v>
      </c>
      <c r="AG5139">
        <v>-1.12122037192999</v>
      </c>
      <c r="AH5139">
        <v>63.314051104712803</v>
      </c>
      <c r="AI5139">
        <v>91.014504497858695</v>
      </c>
      <c r="AJ5139">
        <v>89.537596792596105</v>
      </c>
      <c r="AK5139">
        <v>63.326039727620802</v>
      </c>
      <c r="AL5139">
        <v>81.761979810110603</v>
      </c>
      <c r="AM5139">
        <v>92.361787890904907</v>
      </c>
      <c r="AN5139">
        <v>1.0000000314912101</v>
      </c>
    </row>
    <row r="5140" spans="1:40" x14ac:dyDescent="0.25">
      <c r="A5140" t="str">
        <f>"20190303162014097"</f>
        <v>20190303162014097</v>
      </c>
      <c r="B5140" t="str">
        <f>"1551601214087398"</f>
        <v>1551601214087398</v>
      </c>
      <c r="C5140" t="s">
        <v>40</v>
      </c>
      <c r="D5140">
        <v>4.1732199999999997</v>
      </c>
      <c r="E5140">
        <v>0.5130709</v>
      </c>
      <c r="F5140" t="s">
        <v>56</v>
      </c>
      <c r="G5140">
        <v>-294.46429999999998</v>
      </c>
      <c r="H5140" s="1">
        <v>1.6862949999999999E-6</v>
      </c>
      <c r="I5140">
        <v>214.7294</v>
      </c>
      <c r="J5140">
        <v>-368.84269999999998</v>
      </c>
      <c r="K5140">
        <v>1.121227</v>
      </c>
      <c r="L5140">
        <v>214.7373</v>
      </c>
      <c r="M5140">
        <v>0.99993600000000005</v>
      </c>
      <c r="N5140">
        <v>-1.1316980000000001E-2</v>
      </c>
      <c r="O5140">
        <v>2.127296E-4</v>
      </c>
      <c r="P5140">
        <v>0.99040419999999996</v>
      </c>
      <c r="Q5140">
        <v>0.13198689999999999</v>
      </c>
      <c r="R5140">
        <v>4.0976829999999999E-2</v>
      </c>
      <c r="S5140">
        <v>3.0352169999999998</v>
      </c>
      <c r="T5140">
        <v>-4.5588490000000002E-2</v>
      </c>
      <c r="U5140">
        <v>-3.2043460000000002E-4</v>
      </c>
      <c r="V5140">
        <v>-4.0760600000000001E-2</v>
      </c>
      <c r="W5140">
        <v>0.14318839999999999</v>
      </c>
      <c r="X5140">
        <v>0.9888557</v>
      </c>
      <c r="Y5140">
        <v>3.1825110000000001E-4</v>
      </c>
      <c r="Z5140" s="1">
        <v>-4.9784480000000001E-6</v>
      </c>
      <c r="AA5140">
        <v>0.99999990000000005</v>
      </c>
      <c r="AB5140">
        <v>28</v>
      </c>
      <c r="AC5140">
        <v>74.378399999999999</v>
      </c>
      <c r="AD5140">
        <v>-1.1212253137049999</v>
      </c>
      <c r="AE5140">
        <v>-7.9000000000064505E-3</v>
      </c>
      <c r="AF5140">
        <v>2.3718109653464499E-2</v>
      </c>
      <c r="AG5140">
        <v>-1.1212253137049999</v>
      </c>
      <c r="AH5140">
        <v>74.361498443681697</v>
      </c>
      <c r="AI5140">
        <v>90.863842293760399</v>
      </c>
      <c r="AJ5140">
        <v>89.981725118999293</v>
      </c>
      <c r="AK5140">
        <v>74.369954682939607</v>
      </c>
      <c r="AL5140">
        <v>81.767612263660297</v>
      </c>
      <c r="AM5140">
        <v>92.360393948005594</v>
      </c>
      <c r="AN5140">
        <v>0.99999996991470397</v>
      </c>
    </row>
    <row r="5141" spans="1:40" x14ac:dyDescent="0.25">
      <c r="A5141" t="str">
        <f>"20190303162014120"</f>
        <v>20190303162014120</v>
      </c>
      <c r="B5141" t="str">
        <f>"1551601214107894"</f>
        <v>1551601214107894</v>
      </c>
      <c r="C5141" t="s">
        <v>40</v>
      </c>
      <c r="D5141">
        <v>4.1965379999999897</v>
      </c>
      <c r="E5141">
        <v>0.5119475</v>
      </c>
      <c r="F5141" t="s">
        <v>56</v>
      </c>
      <c r="G5141">
        <v>-287.51589999999999</v>
      </c>
      <c r="H5141" s="1">
        <v>3.6991770000000001E-6</v>
      </c>
      <c r="I5141">
        <v>215.10910000000001</v>
      </c>
      <c r="J5141">
        <v>-368.55509999999998</v>
      </c>
      <c r="K5141">
        <v>1.1212299999999999</v>
      </c>
      <c r="L5141">
        <v>214.73740000000001</v>
      </c>
      <c r="M5141">
        <v>0.99993600000000005</v>
      </c>
      <c r="N5141">
        <v>-1.131968E-2</v>
      </c>
      <c r="O5141">
        <v>2.1324960000000001E-4</v>
      </c>
      <c r="P5141">
        <v>0.99031820000000004</v>
      </c>
      <c r="Q5141">
        <v>0.13276089999999999</v>
      </c>
      <c r="R5141">
        <v>4.0552440000000002E-2</v>
      </c>
      <c r="S5141">
        <v>3.0340579999999999</v>
      </c>
      <c r="T5141">
        <v>-4.1829470000000001E-2</v>
      </c>
      <c r="U5141">
        <v>1.3870240000000001E-2</v>
      </c>
      <c r="V5141">
        <v>-4.0335419999999997E-2</v>
      </c>
      <c r="W5141">
        <v>0.14396419999999999</v>
      </c>
      <c r="X5141">
        <v>0.98876050000000004</v>
      </c>
      <c r="Y5141">
        <v>-4.3574529999999998E-3</v>
      </c>
      <c r="Z5141" s="1">
        <v>5.4175390000000002E-5</v>
      </c>
      <c r="AA5141">
        <v>0.9999905</v>
      </c>
      <c r="AB5141">
        <v>28</v>
      </c>
      <c r="AC5141">
        <v>81.039199999999994</v>
      </c>
      <c r="AD5141">
        <v>-1.1212263008229999</v>
      </c>
      <c r="AE5141">
        <v>0.37170000000000403</v>
      </c>
      <c r="AF5141">
        <v>-0.35434947931593502</v>
      </c>
      <c r="AG5141">
        <v>-1.1212263008229999</v>
      </c>
      <c r="AH5141">
        <v>81.023767864045396</v>
      </c>
      <c r="AI5141">
        <v>90.792814530358697</v>
      </c>
      <c r="AJ5141">
        <v>90.250575858580106</v>
      </c>
      <c r="AK5141">
        <v>81.032300170104193</v>
      </c>
      <c r="AL5141">
        <v>81.722696935882098</v>
      </c>
      <c r="AM5141">
        <v>92.336024382349606</v>
      </c>
      <c r="AN5141">
        <v>0.99999998167423299</v>
      </c>
    </row>
    <row r="5142" spans="1:40" x14ac:dyDescent="0.25">
      <c r="A5142" t="str">
        <f>"20190303162014144"</f>
        <v>20190303162014144</v>
      </c>
      <c r="B5142" t="str">
        <f>"1551601214137175"</f>
        <v>1551601214137175</v>
      </c>
      <c r="C5142" t="s">
        <v>40</v>
      </c>
      <c r="D5142">
        <v>4.1837099999999996</v>
      </c>
      <c r="E5142">
        <v>0.51068239999999998</v>
      </c>
      <c r="F5142" t="s">
        <v>52</v>
      </c>
      <c r="G5142">
        <v>-272.6542</v>
      </c>
      <c r="H5142" s="1">
        <v>-1.5958870000000001E-7</v>
      </c>
      <c r="I5142">
        <v>215.423</v>
      </c>
      <c r="J5142">
        <v>-368.26330000000002</v>
      </c>
      <c r="K5142">
        <v>1.1212310000000001</v>
      </c>
      <c r="L5142">
        <v>214.73750000000001</v>
      </c>
      <c r="M5142">
        <v>0.99993589999999999</v>
      </c>
      <c r="N5142">
        <v>-1.1322469999999999E-2</v>
      </c>
      <c r="O5142">
        <v>2.1353170000000001E-4</v>
      </c>
      <c r="P5142">
        <v>0.99030569999999896</v>
      </c>
      <c r="Q5142">
        <v>0.13301689999999999</v>
      </c>
      <c r="R5142">
        <v>4.0014000000000001E-2</v>
      </c>
      <c r="S5142">
        <v>3.0332029999999999</v>
      </c>
      <c r="T5142">
        <v>-3.5462859999999999E-2</v>
      </c>
      <c r="U5142">
        <v>2.1682739999999999E-2</v>
      </c>
      <c r="V5142">
        <v>-3.979688E-2</v>
      </c>
      <c r="W5142">
        <v>0.14422279999999901</v>
      </c>
      <c r="X5142">
        <v>0.98874470000000003</v>
      </c>
      <c r="Y5142">
        <v>-6.9338069999999898E-3</v>
      </c>
      <c r="Z5142" s="1">
        <v>7.971124E-5</v>
      </c>
      <c r="AA5142">
        <v>0.99997599999999998</v>
      </c>
      <c r="AB5142">
        <v>28</v>
      </c>
      <c r="AC5142">
        <v>95.609099999999998</v>
      </c>
      <c r="AD5142">
        <v>-1.1212311595886999</v>
      </c>
      <c r="AE5142">
        <v>0.68549999999999001</v>
      </c>
      <c r="AF5142">
        <v>-0.66499165203048505</v>
      </c>
      <c r="AG5142">
        <v>-1.1212311595886999</v>
      </c>
      <c r="AH5142">
        <v>95.596097718992695</v>
      </c>
      <c r="AI5142">
        <v>90.671965856441702</v>
      </c>
      <c r="AJ5142">
        <v>90.398558115155097</v>
      </c>
      <c r="AK5142">
        <v>95.604985603835999</v>
      </c>
      <c r="AL5142">
        <v>81.707724517101099</v>
      </c>
      <c r="AM5142">
        <v>92.304905514311699</v>
      </c>
      <c r="AN5142">
        <v>1.0000000447378301</v>
      </c>
    </row>
    <row r="5143" spans="1:40" x14ac:dyDescent="0.25">
      <c r="A5143" t="str">
        <f>"20190303162014164"</f>
        <v>20190303162014164</v>
      </c>
      <c r="B5143" t="str">
        <f>"1551601214157671"</f>
        <v>1551601214157671</v>
      </c>
      <c r="C5143" t="s">
        <v>40</v>
      </c>
      <c r="D5143">
        <v>4.2098969999999998</v>
      </c>
      <c r="E5143">
        <v>0.50996039999999998</v>
      </c>
      <c r="F5143" t="s">
        <v>52</v>
      </c>
      <c r="G5143">
        <v>-248.21889999999999</v>
      </c>
      <c r="H5143" s="1">
        <v>2.7793409999999999E-6</v>
      </c>
      <c r="I5143">
        <v>215.93369999999999</v>
      </c>
      <c r="J5143">
        <v>-367.9984</v>
      </c>
      <c r="K5143">
        <v>1.1212260000000001</v>
      </c>
      <c r="L5143">
        <v>214.73750000000001</v>
      </c>
      <c r="M5143">
        <v>0.99993589999999999</v>
      </c>
      <c r="N5143">
        <v>-1.1324900000000001E-2</v>
      </c>
      <c r="O5143">
        <v>2.138757E-4</v>
      </c>
      <c r="P5143">
        <v>0.99027370000000003</v>
      </c>
      <c r="Q5143">
        <v>0.13335900000000001</v>
      </c>
      <c r="R5143">
        <v>3.9666140000000003E-2</v>
      </c>
      <c r="S5143">
        <v>3.031952</v>
      </c>
      <c r="T5143">
        <v>-2.8318759999999998E-2</v>
      </c>
      <c r="U5143">
        <v>3.02124E-2</v>
      </c>
      <c r="V5143">
        <v>-3.9448820000000002E-2</v>
      </c>
      <c r="W5143">
        <v>0.1445668</v>
      </c>
      <c r="X5143">
        <v>0.98870840000000004</v>
      </c>
      <c r="Y5143">
        <v>-9.7493590000000008E-3</v>
      </c>
      <c r="Z5143">
        <v>1.0116359999999999E-4</v>
      </c>
      <c r="AA5143">
        <v>0.99995250000000002</v>
      </c>
      <c r="AB5143">
        <v>28</v>
      </c>
      <c r="AC5143">
        <v>119.7795</v>
      </c>
      <c r="AD5143">
        <v>-1.121223220659</v>
      </c>
      <c r="AE5143">
        <v>1.19619999999997</v>
      </c>
      <c r="AF5143">
        <v>-1.1704778557983799</v>
      </c>
      <c r="AG5143">
        <v>-1.121223220659</v>
      </c>
      <c r="AH5143">
        <v>119.76925959381499</v>
      </c>
      <c r="AI5143">
        <v>90.536334739166094</v>
      </c>
      <c r="AJ5143">
        <v>90.559920855225002</v>
      </c>
      <c r="AK5143">
        <v>119.78022668025</v>
      </c>
      <c r="AL5143">
        <v>81.687805942623896</v>
      </c>
      <c r="AM5143">
        <v>92.284852266861094</v>
      </c>
      <c r="AN5143">
        <v>1.00000003464609</v>
      </c>
    </row>
    <row r="5144" spans="1:40" x14ac:dyDescent="0.25">
      <c r="A5144" t="str">
        <f>"20190303162014187"</f>
        <v>20190303162014187</v>
      </c>
      <c r="B5144" t="str">
        <f>"1551601214177192"</f>
        <v>1551601214177192</v>
      </c>
      <c r="C5144" t="s">
        <v>40</v>
      </c>
      <c r="D5144">
        <v>4.211074</v>
      </c>
      <c r="E5144">
        <v>0.50947699999999996</v>
      </c>
      <c r="F5144" t="s">
        <v>52</v>
      </c>
      <c r="G5144">
        <v>-216.64619999999999</v>
      </c>
      <c r="H5144" s="1">
        <v>1.9188499999999998E-6</v>
      </c>
      <c r="I5144">
        <v>216.47239999999999</v>
      </c>
      <c r="J5144">
        <v>-367.71820000000002</v>
      </c>
      <c r="K5144">
        <v>1.121227</v>
      </c>
      <c r="L5144">
        <v>214.73759999999999</v>
      </c>
      <c r="M5144">
        <v>0.99993600000000005</v>
      </c>
      <c r="N5144">
        <v>-1.1327459999999999E-2</v>
      </c>
      <c r="O5144">
        <v>2.140403E-4</v>
      </c>
      <c r="P5144">
        <v>0.99033400000000005</v>
      </c>
      <c r="Q5144">
        <v>0.1330655</v>
      </c>
      <c r="R5144">
        <v>3.9146319999999998E-2</v>
      </c>
      <c r="S5144">
        <v>3.0310969999999999</v>
      </c>
      <c r="T5144">
        <v>-2.2454499999999999E-2</v>
      </c>
      <c r="U5144">
        <v>3.4744259999999999E-2</v>
      </c>
      <c r="V5144">
        <v>-3.8928579999999997E-2</v>
      </c>
      <c r="W5144">
        <v>0.1442766</v>
      </c>
      <c r="X5144">
        <v>0.98877139999999997</v>
      </c>
      <c r="Y5144">
        <v>-1.124703E-2</v>
      </c>
      <c r="Z5144">
        <v>1.062028E-4</v>
      </c>
      <c r="AA5144">
        <v>0.99993679999999996</v>
      </c>
      <c r="AB5144">
        <v>28</v>
      </c>
      <c r="AC5144">
        <v>151.072</v>
      </c>
      <c r="AD5144">
        <v>-1.12122508115</v>
      </c>
      <c r="AE5144">
        <v>1.7347999999999999</v>
      </c>
      <c r="AF5144">
        <v>-1.7023686359694301</v>
      </c>
      <c r="AG5144">
        <v>-1.12122508115</v>
      </c>
      <c r="AH5144">
        <v>151.06404791478801</v>
      </c>
      <c r="AI5144">
        <v>90.425224980754805</v>
      </c>
      <c r="AJ5144">
        <v>90.645649383318499</v>
      </c>
      <c r="AK5144">
        <v>151.077800411102</v>
      </c>
      <c r="AL5144">
        <v>81.704609272635906</v>
      </c>
      <c r="AM5144">
        <v>92.254608067289297</v>
      </c>
      <c r="AN5144">
        <v>1.0000000265531599</v>
      </c>
    </row>
    <row r="5145" spans="1:40" x14ac:dyDescent="0.25">
      <c r="A5145" t="str">
        <f>"20190303162014208"</f>
        <v>20190303162014208</v>
      </c>
      <c r="B5145" t="str">
        <f>"1551601214197686"</f>
        <v>1551601214197686</v>
      </c>
      <c r="C5145" t="s">
        <v>40</v>
      </c>
      <c r="D5145">
        <v>4.2087149999999998</v>
      </c>
      <c r="E5145">
        <v>0.50909979999999999</v>
      </c>
      <c r="F5145" t="s">
        <v>49</v>
      </c>
      <c r="G5145">
        <v>-199.77549999999999</v>
      </c>
      <c r="H5145" s="1">
        <v>2.0396879999999998E-6</v>
      </c>
      <c r="I5145">
        <v>216.8</v>
      </c>
      <c r="J5145">
        <v>-367.44409999999999</v>
      </c>
      <c r="K5145">
        <v>1.121229</v>
      </c>
      <c r="L5145">
        <v>214.73769999999999</v>
      </c>
      <c r="M5145">
        <v>0.99993589999999999</v>
      </c>
      <c r="N5145">
        <v>-1.133002E-2</v>
      </c>
      <c r="O5145">
        <v>2.1450270000000001E-4</v>
      </c>
      <c r="P5145">
        <v>0.99027240000000005</v>
      </c>
      <c r="Q5145">
        <v>0.13366620000000001</v>
      </c>
      <c r="R5145">
        <v>3.8653649999999998E-2</v>
      </c>
      <c r="S5145">
        <v>3.0305179999999998</v>
      </c>
      <c r="T5145">
        <v>-2.0232440000000001E-2</v>
      </c>
      <c r="U5145">
        <v>3.7216190000000003E-2</v>
      </c>
      <c r="V5145">
        <v>-3.8435299999999999E-2</v>
      </c>
      <c r="W5145">
        <v>0.1448787</v>
      </c>
      <c r="X5145">
        <v>0.98870270000000005</v>
      </c>
      <c r="Y5145">
        <v>-1.206433E-2</v>
      </c>
      <c r="Z5145">
        <v>1.096198E-4</v>
      </c>
      <c r="AA5145">
        <v>0.99992720000000002</v>
      </c>
      <c r="AB5145">
        <v>28</v>
      </c>
      <c r="AC5145">
        <v>167.6686</v>
      </c>
      <c r="AD5145">
        <v>-1.121226960312</v>
      </c>
      <c r="AE5145">
        <v>2.06230000000002</v>
      </c>
      <c r="AF5145">
        <v>-2.0262416844203601</v>
      </c>
      <c r="AG5145">
        <v>-1.121226960312</v>
      </c>
      <c r="AH5145">
        <v>167.66154216369901</v>
      </c>
      <c r="AI5145">
        <v>90.383128555076098</v>
      </c>
      <c r="AJ5145">
        <v>90.692403539351702</v>
      </c>
      <c r="AK5145">
        <v>167.67753435081801</v>
      </c>
      <c r="AL5145">
        <v>81.669745543380401</v>
      </c>
      <c r="AM5145">
        <v>92.226222451996705</v>
      </c>
      <c r="AN5145">
        <v>1.00000006949353</v>
      </c>
    </row>
    <row r="5146" spans="1:40" x14ac:dyDescent="0.25">
      <c r="A5146" t="str">
        <f>"20190303162014230"</f>
        <v>20190303162014230</v>
      </c>
      <c r="B5146" t="str">
        <f>"1551601214217206"</f>
        <v>1551601214217206</v>
      </c>
      <c r="C5146" t="s">
        <v>40</v>
      </c>
      <c r="D5146">
        <v>4.2583789999999997</v>
      </c>
      <c r="E5146">
        <v>0.5086001</v>
      </c>
      <c r="F5146" t="s">
        <v>44</v>
      </c>
      <c r="G5146">
        <v>-148.1574</v>
      </c>
      <c r="H5146">
        <v>-0.05</v>
      </c>
      <c r="I5146">
        <v>217.54249999999999</v>
      </c>
      <c r="J5146">
        <v>-367.15820000000002</v>
      </c>
      <c r="K5146">
        <v>1.1212310000000001</v>
      </c>
      <c r="L5146">
        <v>214.73769999999999</v>
      </c>
      <c r="M5146">
        <v>0.99993580000000004</v>
      </c>
      <c r="N5146">
        <v>-1.1332719999999999E-2</v>
      </c>
      <c r="O5146">
        <v>2.1484489999999999E-4</v>
      </c>
      <c r="P5146">
        <v>0.99013870000000004</v>
      </c>
      <c r="Q5146">
        <v>0.13464139999999999</v>
      </c>
      <c r="R5146">
        <v>3.869446E-2</v>
      </c>
      <c r="S5146">
        <v>3.03009</v>
      </c>
      <c r="T5146">
        <v>-1.6183969999999999E-2</v>
      </c>
      <c r="U5146">
        <v>3.8757319999999998E-2</v>
      </c>
      <c r="V5146">
        <v>-3.8476389999999999E-2</v>
      </c>
      <c r="W5146">
        <v>0.14585519999999999</v>
      </c>
      <c r="X5146">
        <v>0.98855749999999998</v>
      </c>
      <c r="Y5146">
        <v>-1.257437E-2</v>
      </c>
      <c r="Z5146">
        <v>1.061238E-4</v>
      </c>
      <c r="AA5146">
        <v>0.9999209</v>
      </c>
      <c r="AB5146">
        <v>28</v>
      </c>
      <c r="AC5146">
        <v>219.0008</v>
      </c>
      <c r="AD5146">
        <v>-1.1712309999999999</v>
      </c>
      <c r="AE5146">
        <v>2.8048000000000002</v>
      </c>
      <c r="AF5146">
        <v>-2.7576668491243099</v>
      </c>
      <c r="AG5146">
        <v>-1.1712309999999999</v>
      </c>
      <c r="AH5146">
        <v>218.99513494779001</v>
      </c>
      <c r="AI5146">
        <v>90.306402394075903</v>
      </c>
      <c r="AJ5146">
        <v>90.721451283462997</v>
      </c>
      <c r="AK5146">
        <v>219.01562875581999</v>
      </c>
      <c r="AL5146">
        <v>81.613195378229804</v>
      </c>
      <c r="AM5146">
        <v>92.228927047781994</v>
      </c>
      <c r="AN5146">
        <v>1.00000005138035</v>
      </c>
    </row>
    <row r="5147" spans="1:40" x14ac:dyDescent="0.25">
      <c r="A5147" t="str">
        <f>"20190303162014254"</f>
        <v>20190303162014254</v>
      </c>
      <c r="B5147" t="str">
        <f>"1551601214247462"</f>
        <v>1551601214247462</v>
      </c>
      <c r="C5147" t="s">
        <v>40</v>
      </c>
      <c r="D5147">
        <v>4.4160130000000004</v>
      </c>
      <c r="E5147">
        <v>0.50795119999999905</v>
      </c>
      <c r="F5147" t="s">
        <v>67</v>
      </c>
      <c r="G5147">
        <v>-107.39749999999999</v>
      </c>
      <c r="H5147">
        <v>0.22870190000000001</v>
      </c>
      <c r="I5147">
        <v>218.4127</v>
      </c>
      <c r="J5147">
        <v>-366.86750000000001</v>
      </c>
      <c r="K5147">
        <v>1.1212329999999999</v>
      </c>
      <c r="L5147">
        <v>214.73779999999999</v>
      </c>
      <c r="M5147">
        <v>0.99993569999999998</v>
      </c>
      <c r="N5147">
        <v>-1.133548E-2</v>
      </c>
      <c r="O5147">
        <v>2.151271E-4</v>
      </c>
      <c r="P5147">
        <v>0.99002959999999995</v>
      </c>
      <c r="Q5147">
        <v>0.13551170000000001</v>
      </c>
      <c r="R5147">
        <v>3.844214E-2</v>
      </c>
      <c r="S5147">
        <v>3.0296630000000002</v>
      </c>
      <c r="T5147">
        <v>-1.040924E-2</v>
      </c>
      <c r="U5147">
        <v>4.2861940000000001E-2</v>
      </c>
      <c r="V5147">
        <v>-3.8223920000000002E-2</v>
      </c>
      <c r="W5147">
        <v>0.14672739999999901</v>
      </c>
      <c r="X5147">
        <v>0.98843820000000004</v>
      </c>
      <c r="Y5147">
        <v>-1.393055E-2</v>
      </c>
      <c r="Z5147">
        <v>1.045914E-4</v>
      </c>
      <c r="AA5147">
        <v>0.99990299999999999</v>
      </c>
      <c r="AB5147">
        <v>28</v>
      </c>
      <c r="AC5147">
        <v>259.47000000000003</v>
      </c>
      <c r="AD5147">
        <v>-0.89253109999999902</v>
      </c>
      <c r="AE5147">
        <v>3.6749000000000001</v>
      </c>
      <c r="AF5147">
        <v>-3.6190344849799199</v>
      </c>
      <c r="AG5147">
        <v>-0.89253109999999902</v>
      </c>
      <c r="AH5147">
        <v>259.46771510950799</v>
      </c>
      <c r="AI5147">
        <v>90.197069180059202</v>
      </c>
      <c r="AJ5147">
        <v>90.799105032281503</v>
      </c>
      <c r="AK5147">
        <v>259.494487815284</v>
      </c>
      <c r="AL5147">
        <v>81.5626783917468</v>
      </c>
      <c r="AM5147">
        <v>92.214583126346696</v>
      </c>
      <c r="AN5147">
        <v>1.0000000365950801</v>
      </c>
    </row>
    <row r="5148" spans="1:40" x14ac:dyDescent="0.25">
      <c r="A5148" t="str">
        <f>"20190303162014275"</f>
        <v>20190303162014275</v>
      </c>
      <c r="B5148" t="str">
        <f>"1551601214267973"</f>
        <v>1551601214267973</v>
      </c>
      <c r="C5148" t="s">
        <v>40</v>
      </c>
      <c r="D5148">
        <v>4.2891240000000002</v>
      </c>
      <c r="E5148">
        <v>0.50762249999999998</v>
      </c>
      <c r="F5148" t="s">
        <v>67</v>
      </c>
      <c r="G5148">
        <v>-107.39749999999999</v>
      </c>
      <c r="H5148">
        <v>0.73957890000000004</v>
      </c>
      <c r="I5148">
        <v>218.80680000000001</v>
      </c>
      <c r="J5148">
        <v>-366.59399999999999</v>
      </c>
      <c r="K5148">
        <v>1.121237</v>
      </c>
      <c r="L5148">
        <v>214.7379</v>
      </c>
      <c r="M5148">
        <v>0.99993580000000004</v>
      </c>
      <c r="N5148">
        <v>-1.133807E-2</v>
      </c>
      <c r="O5148">
        <v>2.15291E-4</v>
      </c>
      <c r="P5148">
        <v>0.98991620000000002</v>
      </c>
      <c r="Q5148">
        <v>0.13644779999999901</v>
      </c>
      <c r="R5148">
        <v>3.8054169999999998E-2</v>
      </c>
      <c r="S5148">
        <v>3.0289920000000001</v>
      </c>
      <c r="T5148">
        <v>-4.4547320000000003E-3</v>
      </c>
      <c r="U5148">
        <v>4.7500609999999999E-2</v>
      </c>
      <c r="V5148">
        <v>-3.7834920000000001E-2</v>
      </c>
      <c r="W5148">
        <v>0.14766460000000001</v>
      </c>
      <c r="X5148">
        <v>0.98831360000000001</v>
      </c>
      <c r="Y5148">
        <v>-1.546465E-2</v>
      </c>
      <c r="Z5148">
        <v>1.011738E-4</v>
      </c>
      <c r="AA5148">
        <v>0.9998804</v>
      </c>
      <c r="AB5148">
        <v>28</v>
      </c>
      <c r="AC5148">
        <v>259.19650000000001</v>
      </c>
      <c r="AD5148">
        <v>-0.381658099999999</v>
      </c>
      <c r="AE5148">
        <v>4.06890000000001</v>
      </c>
      <c r="AF5148">
        <v>-4.0130849516869702</v>
      </c>
      <c r="AG5148">
        <v>-0.381658099999999</v>
      </c>
      <c r="AH5148">
        <v>259.19680820520699</v>
      </c>
      <c r="AI5148">
        <v>90.084355830560995</v>
      </c>
      <c r="AJ5148">
        <v>90.887026587701698</v>
      </c>
      <c r="AK5148">
        <v>259.22815413743501</v>
      </c>
      <c r="AL5148">
        <v>81.508389496088299</v>
      </c>
      <c r="AM5148">
        <v>92.192343784650305</v>
      </c>
      <c r="AN5148">
        <v>1.00000004360476</v>
      </c>
    </row>
    <row r="5149" spans="1:40" x14ac:dyDescent="0.25">
      <c r="A5149" t="str">
        <f>"20190303162014297"</f>
        <v>20190303162014297</v>
      </c>
      <c r="B5149" t="str">
        <f>"1551601214287478"</f>
        <v>1551601214287478</v>
      </c>
      <c r="C5149" t="s">
        <v>40</v>
      </c>
      <c r="D5149">
        <v>4.3009950000000003</v>
      </c>
      <c r="E5149">
        <v>0.50741840000000005</v>
      </c>
      <c r="F5149" t="s">
        <v>67</v>
      </c>
      <c r="G5149">
        <v>-107.39749999999999</v>
      </c>
      <c r="H5149">
        <v>1.144425</v>
      </c>
      <c r="I5149">
        <v>218.9676</v>
      </c>
      <c r="J5149">
        <v>-366.32209999999998</v>
      </c>
      <c r="K5149">
        <v>1.1212390000000001</v>
      </c>
      <c r="L5149">
        <v>214.7379</v>
      </c>
      <c r="M5149">
        <v>0.99993580000000004</v>
      </c>
      <c r="N5149">
        <v>-1.1340630000000001E-2</v>
      </c>
      <c r="O5149">
        <v>2.1563410000000001E-4</v>
      </c>
      <c r="P5149">
        <v>0.98989839999999996</v>
      </c>
      <c r="Q5149">
        <v>0.13676740000000001</v>
      </c>
      <c r="R5149">
        <v>3.7362039999999999E-2</v>
      </c>
      <c r="S5149">
        <v>3.0285950000000001</v>
      </c>
      <c r="T5149">
        <v>2.7155879999999998E-4</v>
      </c>
      <c r="U5149">
        <v>4.9423219999999997E-2</v>
      </c>
      <c r="V5149">
        <v>-3.7142700000000001E-2</v>
      </c>
      <c r="W5149">
        <v>0.1479867</v>
      </c>
      <c r="X5149">
        <v>0.98829160000000005</v>
      </c>
      <c r="Y5149">
        <v>-1.6101089999999998E-2</v>
      </c>
      <c r="Z5149" s="1">
        <v>9.3050100000000005E-5</v>
      </c>
      <c r="AA5149">
        <v>0.99987040000000005</v>
      </c>
      <c r="AB5149">
        <v>28</v>
      </c>
      <c r="AC5149">
        <v>258.9246</v>
      </c>
      <c r="AD5149">
        <v>2.3186000000000099E-2</v>
      </c>
      <c r="AE5149">
        <v>4.2297000000000002</v>
      </c>
      <c r="AF5149">
        <v>-4.17386331169328</v>
      </c>
      <c r="AG5149">
        <v>2.3186000000000099E-2</v>
      </c>
      <c r="AH5149">
        <v>258.92550402987303</v>
      </c>
      <c r="AI5149">
        <v>89.994870001790304</v>
      </c>
      <c r="AJ5149">
        <v>90.923524478727401</v>
      </c>
      <c r="AK5149">
        <v>258.959144093541</v>
      </c>
      <c r="AL5149">
        <v>81.489728844017193</v>
      </c>
      <c r="AM5149">
        <v>92.152319047580093</v>
      </c>
      <c r="AN5149">
        <v>0.99999996508536904</v>
      </c>
    </row>
    <row r="5150" spans="1:40" x14ac:dyDescent="0.25">
      <c r="A5150" t="str">
        <f>"20190303162014320"</f>
        <v>20190303162014320</v>
      </c>
      <c r="B5150" t="str">
        <f>"1551601214307974"</f>
        <v>1551601214307974</v>
      </c>
      <c r="C5150" t="s">
        <v>40</v>
      </c>
      <c r="D5150">
        <v>4.2751260000000002</v>
      </c>
      <c r="E5150">
        <v>0.50721819999999995</v>
      </c>
      <c r="F5150" t="s">
        <v>67</v>
      </c>
      <c r="G5150">
        <v>-107.39749999999999</v>
      </c>
      <c r="H5150">
        <v>1.284097</v>
      </c>
      <c r="I5150">
        <v>218.96870000000001</v>
      </c>
      <c r="J5150">
        <v>-366.02780000000001</v>
      </c>
      <c r="K5150">
        <v>1.121245</v>
      </c>
      <c r="L5150">
        <v>214.738</v>
      </c>
      <c r="M5150">
        <v>0.99993560000000004</v>
      </c>
      <c r="N5150">
        <v>-1.134339E-2</v>
      </c>
      <c r="O5150">
        <v>2.160954E-4</v>
      </c>
      <c r="P5150">
        <v>0.98989020000000005</v>
      </c>
      <c r="Q5150">
        <v>0.1370044</v>
      </c>
      <c r="R5150">
        <v>3.6708030000000003E-2</v>
      </c>
      <c r="S5150">
        <v>3.0284420000000001</v>
      </c>
      <c r="T5150">
        <v>1.9054409999999999E-3</v>
      </c>
      <c r="U5150">
        <v>4.948425E-2</v>
      </c>
      <c r="V5150">
        <v>-3.6488689999999997E-2</v>
      </c>
      <c r="W5150">
        <v>0.14822579999999999</v>
      </c>
      <c r="X5150">
        <v>0.98828020000000005</v>
      </c>
      <c r="Y5150">
        <v>-1.612164E-2</v>
      </c>
      <c r="Z5150" s="1">
        <v>8.8961659999999996E-5</v>
      </c>
      <c r="AA5150">
        <v>0.99987009999999998</v>
      </c>
      <c r="AB5150">
        <v>28</v>
      </c>
      <c r="AC5150">
        <v>258.63029999999998</v>
      </c>
      <c r="AD5150">
        <v>0.162852</v>
      </c>
      <c r="AE5150">
        <v>4.2307000000000103</v>
      </c>
      <c r="AF5150">
        <v>-4.1748058301017199</v>
      </c>
      <c r="AG5150">
        <v>0.162852</v>
      </c>
      <c r="AH5150">
        <v>258.63110573816198</v>
      </c>
      <c r="AI5150">
        <v>89.963927325576606</v>
      </c>
      <c r="AJ5150">
        <v>90.924784285126705</v>
      </c>
      <c r="AK5150">
        <v>258.66484952509001</v>
      </c>
      <c r="AL5150">
        <v>81.475877236302495</v>
      </c>
      <c r="AM5150">
        <v>92.114480012689597</v>
      </c>
      <c r="AN5150">
        <v>1.0000000329977901</v>
      </c>
    </row>
    <row r="5151" spans="1:40" x14ac:dyDescent="0.25">
      <c r="A5151" t="str">
        <f>"20190303162014345"</f>
        <v>20190303162014345</v>
      </c>
      <c r="B5151" t="str">
        <f>"1551601214337254"</f>
        <v>1551601214337254</v>
      </c>
      <c r="C5151" t="s">
        <v>40</v>
      </c>
      <c r="D5151">
        <v>4.2170239999999897</v>
      </c>
      <c r="E5151">
        <v>0.50697490000000001</v>
      </c>
      <c r="F5151" t="s">
        <v>67</v>
      </c>
      <c r="G5151">
        <v>-107.39749999999999</v>
      </c>
      <c r="H5151">
        <v>1.44085</v>
      </c>
      <c r="I5151">
        <v>218.90170000000001</v>
      </c>
      <c r="J5151">
        <v>-365.72519999999997</v>
      </c>
      <c r="K5151">
        <v>1.12124</v>
      </c>
      <c r="L5151">
        <v>214.7381</v>
      </c>
      <c r="M5151">
        <v>0.99993560000000004</v>
      </c>
      <c r="N5151">
        <v>-1.1346200000000001E-2</v>
      </c>
      <c r="O5151">
        <v>2.1625839999999999E-4</v>
      </c>
      <c r="P5151">
        <v>0.98987999999999998</v>
      </c>
      <c r="Q5151">
        <v>0.1373075</v>
      </c>
      <c r="R5151">
        <v>3.5837550000000003E-2</v>
      </c>
      <c r="S5151">
        <v>3.0282589999999998</v>
      </c>
      <c r="T5151">
        <v>3.7428140000000001E-3</v>
      </c>
      <c r="U5151">
        <v>4.8751830000000003E-2</v>
      </c>
      <c r="V5151">
        <v>-3.5618039999999997E-2</v>
      </c>
      <c r="W5151">
        <v>0.14853179999999999</v>
      </c>
      <c r="X5151">
        <v>0.98826599999999998</v>
      </c>
      <c r="Y5151">
        <v>-1.5880749999999999E-2</v>
      </c>
      <c r="Z5151" s="1">
        <v>8.3009059999999995E-5</v>
      </c>
      <c r="AA5151">
        <v>0.99987389999999998</v>
      </c>
      <c r="AB5151">
        <v>28</v>
      </c>
      <c r="AC5151">
        <v>258.32769999999999</v>
      </c>
      <c r="AD5151">
        <v>0.31960999999999901</v>
      </c>
      <c r="AE5151">
        <v>4.1635999999999997</v>
      </c>
      <c r="AF5151">
        <v>-4.1077244846966599</v>
      </c>
      <c r="AG5151">
        <v>0.31960999999999901</v>
      </c>
      <c r="AH5151">
        <v>258.32819910178699</v>
      </c>
      <c r="AI5151">
        <v>89.929121249090102</v>
      </c>
      <c r="AJ5151">
        <v>90.910994014037897</v>
      </c>
      <c r="AK5151">
        <v>258.36105357070898</v>
      </c>
      <c r="AL5151">
        <v>81.458148314425102</v>
      </c>
      <c r="AM5151">
        <v>92.064100594626197</v>
      </c>
      <c r="AN5151">
        <v>1.00000001357034</v>
      </c>
    </row>
    <row r="5152" spans="1:40" x14ac:dyDescent="0.25">
      <c r="A5152" t="str">
        <f>"20190303162014366"</f>
        <v>20190303162014366</v>
      </c>
      <c r="B5152" t="str">
        <f>"1551601214357751"</f>
        <v>1551601214357751</v>
      </c>
      <c r="C5152" t="s">
        <v>40</v>
      </c>
      <c r="D5152">
        <v>4.2039929999999996</v>
      </c>
      <c r="E5152">
        <v>0.50674189999999997</v>
      </c>
      <c r="F5152" t="s">
        <v>67</v>
      </c>
      <c r="G5152">
        <v>-107.39749999999999</v>
      </c>
      <c r="H5152">
        <v>1.6241680000000001</v>
      </c>
      <c r="I5152">
        <v>218.83199999999999</v>
      </c>
      <c r="J5152">
        <v>-365.4513</v>
      </c>
      <c r="K5152">
        <v>1.121245</v>
      </c>
      <c r="L5152">
        <v>214.7381</v>
      </c>
      <c r="M5152">
        <v>0.99993569999999998</v>
      </c>
      <c r="N5152">
        <v>-1.134872E-2</v>
      </c>
      <c r="O5152">
        <v>2.1624599999999999E-4</v>
      </c>
      <c r="P5152">
        <v>0.98986510000000005</v>
      </c>
      <c r="Q5152">
        <v>0.1375151</v>
      </c>
      <c r="R5152">
        <v>3.5453110000000003E-2</v>
      </c>
      <c r="S5152">
        <v>3.0281370000000001</v>
      </c>
      <c r="T5152">
        <v>5.8959719999999898E-3</v>
      </c>
      <c r="U5152">
        <v>4.7988889999999999E-2</v>
      </c>
      <c r="V5152">
        <v>-3.523333E-2</v>
      </c>
      <c r="W5152">
        <v>0.14874119999999999</v>
      </c>
      <c r="X5152">
        <v>0.98824829999999997</v>
      </c>
      <c r="Y5152">
        <v>-1.56296E-2</v>
      </c>
      <c r="Z5152" s="1">
        <v>7.6356080000000004E-5</v>
      </c>
      <c r="AA5152">
        <v>0.99987789999999999</v>
      </c>
      <c r="AB5152">
        <v>28</v>
      </c>
      <c r="AC5152">
        <v>258.05380000000002</v>
      </c>
      <c r="AD5152">
        <v>0.50292300000000001</v>
      </c>
      <c r="AE5152">
        <v>4.0938999999999899</v>
      </c>
      <c r="AF5152">
        <v>-4.0380778814351999</v>
      </c>
      <c r="AG5152">
        <v>0.50292300000000001</v>
      </c>
      <c r="AH5152">
        <v>258.05369940860498</v>
      </c>
      <c r="AI5152">
        <v>89.888349589223793</v>
      </c>
      <c r="AJ5152">
        <v>90.896503087400404</v>
      </c>
      <c r="AK5152">
        <v>258.08578183035797</v>
      </c>
      <c r="AL5152">
        <v>81.446015841290304</v>
      </c>
      <c r="AM5152">
        <v>92.041861782731303</v>
      </c>
      <c r="AN5152">
        <v>1.0000000172865999</v>
      </c>
    </row>
    <row r="5153" spans="1:40" x14ac:dyDescent="0.25">
      <c r="A5153" t="str">
        <f>"20190303162014388"</f>
        <v>20190303162014388</v>
      </c>
      <c r="B5153" t="str">
        <f>"1551601214377270"</f>
        <v>1551601214377270</v>
      </c>
      <c r="C5153" t="s">
        <v>40</v>
      </c>
      <c r="D5153">
        <v>4.2165980000000003</v>
      </c>
      <c r="E5153">
        <v>0.50657299999999905</v>
      </c>
      <c r="F5153" t="s">
        <v>67</v>
      </c>
      <c r="G5153">
        <v>-107.39749999999999</v>
      </c>
      <c r="H5153">
        <v>1.7440439999999999</v>
      </c>
      <c r="I5153">
        <v>218.90459999999999</v>
      </c>
      <c r="J5153">
        <v>-365.17759999999998</v>
      </c>
      <c r="K5153">
        <v>1.1212409999999999</v>
      </c>
      <c r="L5153">
        <v>214.73820000000001</v>
      </c>
      <c r="M5153">
        <v>0.99993569999999998</v>
      </c>
      <c r="N5153">
        <v>-1.135123E-2</v>
      </c>
      <c r="O5153">
        <v>2.169452E-4</v>
      </c>
      <c r="P5153">
        <v>0.98988810000000005</v>
      </c>
      <c r="Q5153">
        <v>0.13741629999999999</v>
      </c>
      <c r="R5153">
        <v>3.5191380000000001E-2</v>
      </c>
      <c r="S5153">
        <v>3.0279850000000001</v>
      </c>
      <c r="T5153">
        <v>7.3084830000000002E-3</v>
      </c>
      <c r="U5153">
        <v>4.8889160000000001E-2</v>
      </c>
      <c r="V5153">
        <v>-3.4970889999999998E-2</v>
      </c>
      <c r="W5153">
        <v>0.14864539999999901</v>
      </c>
      <c r="X5153">
        <v>0.98827200000000004</v>
      </c>
      <c r="Y5153">
        <v>-1.5926940000000001E-2</v>
      </c>
      <c r="Z5153" s="1">
        <v>7.4169820000000004E-5</v>
      </c>
      <c r="AA5153">
        <v>0.99987320000000002</v>
      </c>
      <c r="AB5153">
        <v>28</v>
      </c>
      <c r="AC5153">
        <v>257.7801</v>
      </c>
      <c r="AD5153">
        <v>0.622803</v>
      </c>
      <c r="AE5153">
        <v>4.1663999999999799</v>
      </c>
      <c r="AF5153">
        <v>-4.1104481646187496</v>
      </c>
      <c r="AG5153">
        <v>0.622803</v>
      </c>
      <c r="AH5153">
        <v>257.77949356085901</v>
      </c>
      <c r="AI5153">
        <v>89.861589539985602</v>
      </c>
      <c r="AJ5153">
        <v>90.913538043685094</v>
      </c>
      <c r="AK5153">
        <v>257.81301551353801</v>
      </c>
      <c r="AL5153">
        <v>81.451566177740901</v>
      </c>
      <c r="AM5153">
        <v>92.026616881119097</v>
      </c>
      <c r="AN5153">
        <v>0.99999998203627505</v>
      </c>
    </row>
    <row r="5154" spans="1:40" x14ac:dyDescent="0.25">
      <c r="A5154" t="str">
        <f>"20190303162014409"</f>
        <v>20190303162014409</v>
      </c>
      <c r="B5154" t="str">
        <f>"1551601214397766"</f>
        <v>1551601214397766</v>
      </c>
      <c r="C5154" t="s">
        <v>40</v>
      </c>
      <c r="D5154">
        <v>4.1525930000000004</v>
      </c>
      <c r="E5154">
        <v>0.50678749999999995</v>
      </c>
      <c r="F5154" t="s">
        <v>67</v>
      </c>
      <c r="G5154">
        <v>-107.39749999999999</v>
      </c>
      <c r="H5154">
        <v>1.8271010000000001</v>
      </c>
      <c r="I5154">
        <v>218.9616</v>
      </c>
      <c r="J5154">
        <v>-364.90879999999999</v>
      </c>
      <c r="K5154">
        <v>1.121235</v>
      </c>
      <c r="L5154">
        <v>214.73830000000001</v>
      </c>
      <c r="M5154">
        <v>0.99993560000000004</v>
      </c>
      <c r="N5154">
        <v>-1.135367E-2</v>
      </c>
      <c r="O5154">
        <v>2.169328E-4</v>
      </c>
      <c r="P5154">
        <v>0.98996289999999998</v>
      </c>
      <c r="Q5154">
        <v>0.136771799999999</v>
      </c>
      <c r="R5154">
        <v>3.5594849999999997E-2</v>
      </c>
      <c r="S5154">
        <v>3.0277400000000001</v>
      </c>
      <c r="T5154">
        <v>8.2912449999999992E-3</v>
      </c>
      <c r="U5154">
        <v>4.9606320000000002E-2</v>
      </c>
      <c r="V5154">
        <v>-3.5374410000000002E-2</v>
      </c>
      <c r="W5154">
        <v>0.14800459999999999</v>
      </c>
      <c r="X5154">
        <v>0.98835379999999995</v>
      </c>
      <c r="Y5154">
        <v>-1.6165039999999999E-2</v>
      </c>
      <c r="Z5154" s="1">
        <v>7.2699790000000004E-5</v>
      </c>
      <c r="AA5154">
        <v>0.99986929999999996</v>
      </c>
      <c r="AB5154">
        <v>28</v>
      </c>
      <c r="AC5154">
        <v>257.51130000000001</v>
      </c>
      <c r="AD5154">
        <v>0.70586599999999899</v>
      </c>
      <c r="AE5154">
        <v>4.2232999999999903</v>
      </c>
      <c r="AF5154">
        <v>-4.1674023527475699</v>
      </c>
      <c r="AG5154">
        <v>0.70586599999999899</v>
      </c>
      <c r="AH5154">
        <v>257.510275845097</v>
      </c>
      <c r="AI5154">
        <v>89.842966474829495</v>
      </c>
      <c r="AJ5154">
        <v>90.927161929821096</v>
      </c>
      <c r="AK5154">
        <v>257.54496239491402</v>
      </c>
      <c r="AL5154">
        <v>81.488691891280993</v>
      </c>
      <c r="AM5154">
        <v>92.049812128097798</v>
      </c>
      <c r="AN5154">
        <v>0.99999997223922299</v>
      </c>
    </row>
    <row r="5155" spans="1:40" x14ac:dyDescent="0.25">
      <c r="A5155" t="str">
        <f>"20190303162014432"</f>
        <v>20190303162014432</v>
      </c>
      <c r="B5155" t="str">
        <f>"1551601214428022"</f>
        <v>1551601214428022</v>
      </c>
      <c r="C5155" t="s">
        <v>40</v>
      </c>
      <c r="D5155">
        <v>4.0383339999999999</v>
      </c>
      <c r="E5155">
        <v>0.52320119999999903</v>
      </c>
      <c r="F5155" t="s">
        <v>67</v>
      </c>
      <c r="G5155">
        <v>-107.39749999999999</v>
      </c>
      <c r="H5155">
        <v>1.6974560000000001</v>
      </c>
      <c r="I5155">
        <v>218.91589999999999</v>
      </c>
      <c r="J5155">
        <v>-364.61270000000002</v>
      </c>
      <c r="K5155">
        <v>1.1212359999999999</v>
      </c>
      <c r="L5155">
        <v>214.73830000000001</v>
      </c>
      <c r="M5155">
        <v>0.99993560000000004</v>
      </c>
      <c r="N5155">
        <v>-1.1356339999999999E-2</v>
      </c>
      <c r="O5155">
        <v>2.1721530000000001E-4</v>
      </c>
      <c r="P5155">
        <v>0.98999490000000001</v>
      </c>
      <c r="Q5155">
        <v>0.13642939999999901</v>
      </c>
      <c r="R5155">
        <v>3.6019370000000002E-2</v>
      </c>
      <c r="S5155">
        <v>3.027679</v>
      </c>
      <c r="T5155">
        <v>6.7754979999999996E-3</v>
      </c>
      <c r="U5155">
        <v>4.9118040000000002E-2</v>
      </c>
      <c r="V5155">
        <v>-3.5798509999999999E-2</v>
      </c>
      <c r="W5155">
        <v>0.14766460000000001</v>
      </c>
      <c r="X5155">
        <v>0.98838939999999997</v>
      </c>
      <c r="Y5155">
        <v>-1.600385E-2</v>
      </c>
      <c r="Z5155" s="1">
        <v>7.5927829999999997E-5</v>
      </c>
      <c r="AA5155">
        <v>0.99987190000000004</v>
      </c>
      <c r="AB5155">
        <v>28</v>
      </c>
      <c r="AC5155">
        <v>257.21519999999998</v>
      </c>
      <c r="AD5155">
        <v>0.57621999999999995</v>
      </c>
      <c r="AE5155">
        <v>4.1775999999999804</v>
      </c>
      <c r="AF5155">
        <v>-4.1217045478190704</v>
      </c>
      <c r="AG5155">
        <v>0.57621999999999995</v>
      </c>
      <c r="AH5155">
        <v>257.21481090800597</v>
      </c>
      <c r="AI5155">
        <v>89.871661041741604</v>
      </c>
      <c r="AJ5155">
        <v>90.918050029235999</v>
      </c>
      <c r="AK5155">
        <v>257.24847799026702</v>
      </c>
      <c r="AL5155">
        <v>81.508389009493001</v>
      </c>
      <c r="AM5155">
        <v>92.074291113697896</v>
      </c>
      <c r="AN5155">
        <v>0.99999998672186996</v>
      </c>
    </row>
    <row r="5156" spans="1:40" x14ac:dyDescent="0.25">
      <c r="A5156" t="str">
        <f>"20190303162014454"</f>
        <v>20190303162014454</v>
      </c>
      <c r="B5156" t="str">
        <f>"1551601214447543"</f>
        <v>1551601214447543</v>
      </c>
      <c r="C5156" t="s">
        <v>40</v>
      </c>
      <c r="D5156">
        <v>4.0230139999999999</v>
      </c>
      <c r="E5156">
        <v>0.52352549999999998</v>
      </c>
      <c r="F5156" t="s">
        <v>66</v>
      </c>
      <c r="G5156">
        <v>-169.39330000000001</v>
      </c>
      <c r="H5156">
        <v>3.4605199999999998</v>
      </c>
      <c r="I5156">
        <v>209.5642</v>
      </c>
      <c r="J5156">
        <v>-364.33710000000002</v>
      </c>
      <c r="K5156">
        <v>1.121237</v>
      </c>
      <c r="L5156">
        <v>214.73840000000001</v>
      </c>
      <c r="M5156">
        <v>0.99993569999999998</v>
      </c>
      <c r="N5156">
        <v>-1.135881E-2</v>
      </c>
      <c r="O5156">
        <v>2.1738000000000001E-4</v>
      </c>
      <c r="P5156">
        <v>0.99001589999999995</v>
      </c>
      <c r="Q5156">
        <v>0.1361994</v>
      </c>
      <c r="R5156">
        <v>3.6313529999999997E-2</v>
      </c>
      <c r="S5156">
        <v>3.0282589999999998</v>
      </c>
      <c r="T5156">
        <v>3.6287670000000001E-2</v>
      </c>
      <c r="U5156">
        <v>-8.0261230000000003E-2</v>
      </c>
      <c r="V5156">
        <v>-3.6092890000000002E-2</v>
      </c>
      <c r="W5156">
        <v>0.1474377</v>
      </c>
      <c r="X5156">
        <v>0.98841259999999997</v>
      </c>
      <c r="Y5156">
        <v>2.671194E-2</v>
      </c>
      <c r="Z5156" s="1">
        <v>1.3344139999999999E-5</v>
      </c>
      <c r="AA5156">
        <v>0.99964310000000001</v>
      </c>
      <c r="AB5156">
        <v>28</v>
      </c>
      <c r="AC5156">
        <v>194.94380000000001</v>
      </c>
      <c r="AD5156">
        <v>2.339283</v>
      </c>
      <c r="AE5156">
        <v>-5.1742000000000097</v>
      </c>
      <c r="AF5156">
        <v>5.21582896169613</v>
      </c>
      <c r="AG5156">
        <v>2.339283</v>
      </c>
      <c r="AH5156">
        <v>194.91462362844999</v>
      </c>
      <c r="AI5156">
        <v>89.312639295791001</v>
      </c>
      <c r="AJ5156">
        <v>88.467156134618094</v>
      </c>
      <c r="AK5156">
        <v>194.99842979094001</v>
      </c>
      <c r="AL5156">
        <v>81.521533577724597</v>
      </c>
      <c r="AM5156">
        <v>92.091284393661397</v>
      </c>
      <c r="AN5156">
        <v>1.0000000199643</v>
      </c>
    </row>
    <row r="5157" spans="1:40" x14ac:dyDescent="0.25">
      <c r="A5157" t="str">
        <f>"20190303162014477"</f>
        <v>20190303162014477</v>
      </c>
      <c r="B5157" t="str">
        <f>"1551601214468039"</f>
        <v>1551601214468039</v>
      </c>
      <c r="C5157" t="s">
        <v>40</v>
      </c>
      <c r="D5157">
        <v>4.036886</v>
      </c>
      <c r="E5157">
        <v>0.52387079999999997</v>
      </c>
      <c r="F5157" t="s">
        <v>66</v>
      </c>
      <c r="G5157">
        <v>-169.39320000000001</v>
      </c>
      <c r="H5157">
        <v>3.2385999999999999</v>
      </c>
      <c r="I5157">
        <v>209.4615</v>
      </c>
      <c r="J5157">
        <v>-364.0462</v>
      </c>
      <c r="K5157">
        <v>1.12124</v>
      </c>
      <c r="L5157">
        <v>214.73840000000001</v>
      </c>
      <c r="M5157">
        <v>0.99993560000000004</v>
      </c>
      <c r="N5157">
        <v>-1.1361420000000001E-2</v>
      </c>
      <c r="O5157">
        <v>2.179018E-4</v>
      </c>
      <c r="P5157">
        <v>0.98998569999999997</v>
      </c>
      <c r="Q5157">
        <v>0.1363462</v>
      </c>
      <c r="R5157">
        <v>3.6584789999999999E-2</v>
      </c>
      <c r="S5157">
        <v>3.0287480000000002</v>
      </c>
      <c r="T5157">
        <v>3.2897000000000003E-2</v>
      </c>
      <c r="U5157">
        <v>-8.1985470000000005E-2</v>
      </c>
      <c r="V5157">
        <v>-3.6363550000000001E-2</v>
      </c>
      <c r="W5157">
        <v>0.14758679999999999</v>
      </c>
      <c r="X5157">
        <v>0.98838040000000005</v>
      </c>
      <c r="Y5157">
        <v>2.7277050000000001E-2</v>
      </c>
      <c r="Z5157" s="1">
        <v>-2.0402369999999999E-6</v>
      </c>
      <c r="AA5157">
        <v>0.99962790000000001</v>
      </c>
      <c r="AB5157">
        <v>28</v>
      </c>
      <c r="AC5157">
        <v>194.65299999999999</v>
      </c>
      <c r="AD5157">
        <v>2.1173600000000001</v>
      </c>
      <c r="AE5157">
        <v>-5.2769000000000101</v>
      </c>
      <c r="AF5157">
        <v>5.3186889862611197</v>
      </c>
      <c r="AG5157">
        <v>2.1173600000000001</v>
      </c>
      <c r="AH5157">
        <v>194.62883340685499</v>
      </c>
      <c r="AI5157">
        <v>89.376938471413098</v>
      </c>
      <c r="AJ5157">
        <v>88.434648134112393</v>
      </c>
      <c r="AK5157">
        <v>194.71300536742601</v>
      </c>
      <c r="AL5157">
        <v>81.512896058384698</v>
      </c>
      <c r="AM5157">
        <v>92.107021399529401</v>
      </c>
      <c r="AN5157">
        <v>0.99999999320350097</v>
      </c>
    </row>
    <row r="5158" spans="1:40" x14ac:dyDescent="0.25">
      <c r="A5158" t="str">
        <f>"20190303162014499"</f>
        <v>20190303162014499</v>
      </c>
      <c r="B5158" t="str">
        <f>"1551601214487558"</f>
        <v>1551601214487558</v>
      </c>
      <c r="C5158" t="s">
        <v>40</v>
      </c>
      <c r="D5158">
        <v>3.9884170000000001</v>
      </c>
      <c r="E5158">
        <v>0.52415649999999903</v>
      </c>
      <c r="F5158" t="s">
        <v>66</v>
      </c>
      <c r="G5158">
        <v>-169.39330000000001</v>
      </c>
      <c r="H5158">
        <v>3.2447889999999999</v>
      </c>
      <c r="I5158">
        <v>209.35679999999999</v>
      </c>
      <c r="J5158">
        <v>-363.77629999999999</v>
      </c>
      <c r="K5158">
        <v>1.1212409999999999</v>
      </c>
      <c r="L5158">
        <v>214.73849999999999</v>
      </c>
      <c r="M5158">
        <v>0.99993540000000003</v>
      </c>
      <c r="N5158">
        <v>-1.136383E-2</v>
      </c>
      <c r="O5158">
        <v>2.1818630000000001E-4</v>
      </c>
      <c r="P5158">
        <v>0.98996059999999997</v>
      </c>
      <c r="Q5158">
        <v>0.13649449999999999</v>
      </c>
      <c r="R5158">
        <v>3.6707950000000003E-2</v>
      </c>
      <c r="S5158">
        <v>3.02887</v>
      </c>
      <c r="T5158">
        <v>3.3043740000000002E-2</v>
      </c>
      <c r="U5158">
        <v>-8.3740229999999999E-2</v>
      </c>
      <c r="V5158">
        <v>-3.6486680000000001E-2</v>
      </c>
      <c r="W5158">
        <v>0.1477367</v>
      </c>
      <c r="X5158">
        <v>0.9883535</v>
      </c>
      <c r="Y5158">
        <v>2.785493E-2</v>
      </c>
      <c r="Z5158" s="1">
        <v>-1.5363039999999999E-6</v>
      </c>
      <c r="AA5158">
        <v>0.99961199999999995</v>
      </c>
      <c r="AB5158">
        <v>28</v>
      </c>
      <c r="AC5158">
        <v>194.38300000000001</v>
      </c>
      <c r="AD5158">
        <v>2.123548</v>
      </c>
      <c r="AE5158">
        <v>-5.3816999999999897</v>
      </c>
      <c r="AF5158">
        <v>5.4234675454012198</v>
      </c>
      <c r="AG5158">
        <v>2.123548</v>
      </c>
      <c r="AH5158">
        <v>194.358642937534</v>
      </c>
      <c r="AI5158">
        <v>89.374259057654797</v>
      </c>
      <c r="AJ5158">
        <v>88.401608594045598</v>
      </c>
      <c r="AK5158">
        <v>194.44589360756399</v>
      </c>
      <c r="AL5158">
        <v>81.504212505851797</v>
      </c>
      <c r="AM5158">
        <v>92.114206974264704</v>
      </c>
      <c r="AN5158">
        <v>1.0000000256532799</v>
      </c>
    </row>
    <row r="5159" spans="1:40" x14ac:dyDescent="0.25">
      <c r="A5159" t="str">
        <f>"20190303162014521"</f>
        <v>20190303162014521</v>
      </c>
      <c r="B5159" t="str">
        <f>"1551601214507078"</f>
        <v>1551601214507078</v>
      </c>
      <c r="C5159" t="s">
        <v>40</v>
      </c>
      <c r="D5159">
        <v>4.0061629999999999</v>
      </c>
      <c r="E5159">
        <v>0.52447500000000002</v>
      </c>
      <c r="F5159" t="s">
        <v>66</v>
      </c>
      <c r="G5159">
        <v>-169.39330000000001</v>
      </c>
      <c r="H5159">
        <v>3.2370450000000002</v>
      </c>
      <c r="I5159">
        <v>209.2285</v>
      </c>
      <c r="J5159">
        <v>-363.48070000000001</v>
      </c>
      <c r="K5159">
        <v>1.1212420000000001</v>
      </c>
      <c r="L5159">
        <v>214.73859999999999</v>
      </c>
      <c r="M5159">
        <v>0.99993540000000003</v>
      </c>
      <c r="N5159">
        <v>-1.136648E-2</v>
      </c>
      <c r="O5159">
        <v>2.1852899999999999E-4</v>
      </c>
      <c r="P5159">
        <v>0.98980959999999996</v>
      </c>
      <c r="Q5159">
        <v>0.13745460000000001</v>
      </c>
      <c r="R5159">
        <v>3.7194770000000002E-2</v>
      </c>
      <c r="S5159">
        <v>3.0290530000000002</v>
      </c>
      <c r="T5159">
        <v>3.2970909999999999E-2</v>
      </c>
      <c r="U5159">
        <v>-8.5861209999999993E-2</v>
      </c>
      <c r="V5159">
        <v>-3.6972829999999998E-2</v>
      </c>
      <c r="W5159">
        <v>0.14869830000000001</v>
      </c>
      <c r="X5159">
        <v>0.98819120000000005</v>
      </c>
      <c r="Y5159">
        <v>2.8552999999999999E-2</v>
      </c>
      <c r="Z5159" s="1">
        <v>-2.08721E-6</v>
      </c>
      <c r="AA5159">
        <v>0.99959229999999999</v>
      </c>
      <c r="AB5159">
        <v>28</v>
      </c>
      <c r="AC5159">
        <v>194.0874</v>
      </c>
      <c r="AD5159">
        <v>2.1158030000000001</v>
      </c>
      <c r="AE5159">
        <v>-5.5100999999999898</v>
      </c>
      <c r="AF5159">
        <v>5.5518570920169097</v>
      </c>
      <c r="AG5159">
        <v>2.1158030000000001</v>
      </c>
      <c r="AH5159">
        <v>194.063147643679</v>
      </c>
      <c r="AI5159">
        <v>89.375604238862195</v>
      </c>
      <c r="AJ5159">
        <v>88.361300204590705</v>
      </c>
      <c r="AK5159">
        <v>194.15407544751</v>
      </c>
      <c r="AL5159">
        <v>81.448501419227895</v>
      </c>
      <c r="AM5159">
        <v>92.142702207784694</v>
      </c>
      <c r="AN5159">
        <v>1.00000001116926</v>
      </c>
    </row>
    <row r="5160" spans="1:40" x14ac:dyDescent="0.25">
      <c r="A5160" t="str">
        <f>"20190303162014547"</f>
        <v>20190303162014547</v>
      </c>
      <c r="B5160" t="str">
        <f>"1551601214537335"</f>
        <v>1551601214537335</v>
      </c>
      <c r="C5160" t="s">
        <v>40</v>
      </c>
      <c r="D5160">
        <v>3.953249</v>
      </c>
      <c r="E5160">
        <v>0.52486569999999899</v>
      </c>
      <c r="F5160" t="s">
        <v>66</v>
      </c>
      <c r="G5160">
        <v>-169.39340000000001</v>
      </c>
      <c r="H5160">
        <v>3.4511129999999999</v>
      </c>
      <c r="I5160">
        <v>209.15790000000001</v>
      </c>
      <c r="J5160">
        <v>-363.16860000000003</v>
      </c>
      <c r="K5160">
        <v>1.121246</v>
      </c>
      <c r="L5160">
        <v>214.73869999999999</v>
      </c>
      <c r="M5160">
        <v>0.99993540000000003</v>
      </c>
      <c r="N5160">
        <v>-1.1369280000000001E-2</v>
      </c>
      <c r="O5160">
        <v>2.189901E-4</v>
      </c>
      <c r="P5160">
        <v>0.98963650000000003</v>
      </c>
      <c r="Q5160">
        <v>0.13871849999999999</v>
      </c>
      <c r="R5160">
        <v>3.7104739999999997E-2</v>
      </c>
      <c r="S5160">
        <v>3.0291139999999999</v>
      </c>
      <c r="T5160">
        <v>3.6362770000000003E-2</v>
      </c>
      <c r="U5160">
        <v>-8.7097170000000002E-2</v>
      </c>
      <c r="V5160">
        <v>-3.6881829999999997E-2</v>
      </c>
      <c r="W5160">
        <v>0.14996279999999901</v>
      </c>
      <c r="X5160">
        <v>0.98800350000000003</v>
      </c>
      <c r="Y5160">
        <v>2.8960219999999998E-2</v>
      </c>
      <c r="Z5160" s="1">
        <v>1.423253E-5</v>
      </c>
      <c r="AA5160">
        <v>0.99958060000000004</v>
      </c>
      <c r="AB5160">
        <v>28</v>
      </c>
      <c r="AC5160">
        <v>193.77520000000001</v>
      </c>
      <c r="AD5160">
        <v>2.3298669999999899</v>
      </c>
      <c r="AE5160">
        <v>-5.5807999999999804</v>
      </c>
      <c r="AF5160">
        <v>5.6224253196856298</v>
      </c>
      <c r="AG5160">
        <v>2.3298669999999899</v>
      </c>
      <c r="AH5160">
        <v>193.74598728375699</v>
      </c>
      <c r="AI5160">
        <v>89.311320207178696</v>
      </c>
      <c r="AJ5160">
        <v>88.337767595757001</v>
      </c>
      <c r="AK5160">
        <v>193.84155265389001</v>
      </c>
      <c r="AL5160">
        <v>81.375229345190206</v>
      </c>
      <c r="AM5160">
        <v>92.137839034396904</v>
      </c>
      <c r="AN5160">
        <v>1.0000000133901099</v>
      </c>
    </row>
    <row r="5161" spans="1:40" x14ac:dyDescent="0.25">
      <c r="A5161" t="str">
        <f>"20190303162014577"</f>
        <v>20190303162014577</v>
      </c>
      <c r="B5161" t="str">
        <f>"1551601214567591"</f>
        <v>1551601214567591</v>
      </c>
      <c r="C5161" t="s">
        <v>40</v>
      </c>
      <c r="D5161">
        <v>3.9412639999999999</v>
      </c>
      <c r="E5161">
        <v>0.52493269999999903</v>
      </c>
      <c r="F5161" t="s">
        <v>66</v>
      </c>
      <c r="G5161">
        <v>-169.39349999999999</v>
      </c>
      <c r="H5161">
        <v>3.5895769999999998</v>
      </c>
      <c r="I5161">
        <v>208.99170000000001</v>
      </c>
      <c r="J5161">
        <v>-362.77510000000001</v>
      </c>
      <c r="K5161">
        <v>1.1212530000000001</v>
      </c>
      <c r="L5161">
        <v>214.7388</v>
      </c>
      <c r="M5161">
        <v>0.99993529999999997</v>
      </c>
      <c r="N5161">
        <v>-1.1372800000000001E-2</v>
      </c>
      <c r="O5161">
        <v>2.1932789999999999E-4</v>
      </c>
      <c r="P5161">
        <v>0.9895581</v>
      </c>
      <c r="Q5161">
        <v>0.13947399999999999</v>
      </c>
      <c r="R5161">
        <v>3.6356079999999999E-2</v>
      </c>
      <c r="S5161">
        <v>3.0293580000000002</v>
      </c>
      <c r="T5161">
        <v>3.8588879999999999E-2</v>
      </c>
      <c r="U5161">
        <v>-8.984375E-2</v>
      </c>
      <c r="V5161">
        <v>-3.6133239999999997E-2</v>
      </c>
      <c r="W5161">
        <v>0.1507204</v>
      </c>
      <c r="X5161">
        <v>0.98791589999999996</v>
      </c>
      <c r="Y5161">
        <v>2.9863580000000001E-2</v>
      </c>
      <c r="Z5161" s="1">
        <v>2.5583199999999999E-5</v>
      </c>
      <c r="AA5161">
        <v>0.99955400000000005</v>
      </c>
      <c r="AB5161">
        <v>28</v>
      </c>
      <c r="AC5161">
        <v>193.38159999999999</v>
      </c>
      <c r="AD5161">
        <v>2.468324</v>
      </c>
      <c r="AE5161">
        <v>-5.7470999999999801</v>
      </c>
      <c r="AF5161">
        <v>5.7885743437891204</v>
      </c>
      <c r="AG5161">
        <v>2.468324</v>
      </c>
      <c r="AH5161">
        <v>193.34886219435899</v>
      </c>
      <c r="AI5161">
        <v>89.268919731695604</v>
      </c>
      <c r="AJ5161">
        <v>88.285162694675506</v>
      </c>
      <c r="AK5161">
        <v>193.451241216374</v>
      </c>
      <c r="AL5161">
        <v>81.331323240426897</v>
      </c>
      <c r="AM5161">
        <v>92.094671946697602</v>
      </c>
      <c r="AN5161">
        <v>1.0000000377409299</v>
      </c>
    </row>
    <row r="5162" spans="1:40" x14ac:dyDescent="0.25">
      <c r="A5162" t="str">
        <f>"20190303162014599"</f>
        <v>20190303162014599</v>
      </c>
      <c r="B5162" t="str">
        <f>"1551601214587111"</f>
        <v>1551601214587111</v>
      </c>
      <c r="C5162" t="s">
        <v>40</v>
      </c>
      <c r="D5162">
        <v>3.9234279999999999</v>
      </c>
      <c r="E5162">
        <v>0.5250224</v>
      </c>
      <c r="F5162" t="s">
        <v>66</v>
      </c>
      <c r="G5162">
        <v>-169.39359999999999</v>
      </c>
      <c r="H5162">
        <v>3.735868</v>
      </c>
      <c r="I5162">
        <v>208.80170000000001</v>
      </c>
      <c r="J5162">
        <v>-362.49669999999998</v>
      </c>
      <c r="K5162">
        <v>1.121251</v>
      </c>
      <c r="L5162">
        <v>214.7388</v>
      </c>
      <c r="M5162">
        <v>0.99993540000000003</v>
      </c>
      <c r="N5162">
        <v>-1.137528E-2</v>
      </c>
      <c r="O5162">
        <v>2.1949280000000001E-4</v>
      </c>
      <c r="P5162">
        <v>0.98964799999999997</v>
      </c>
      <c r="Q5162">
        <v>0.13887459999999999</v>
      </c>
      <c r="R5162">
        <v>3.6209440000000002E-2</v>
      </c>
      <c r="S5162">
        <v>3.0292970000000001</v>
      </c>
      <c r="T5162">
        <v>4.0958170000000002E-2</v>
      </c>
      <c r="U5162">
        <v>-9.3002319999999999E-2</v>
      </c>
      <c r="V5162">
        <v>-3.5986749999999998E-2</v>
      </c>
      <c r="W5162">
        <v>0.15012500000000001</v>
      </c>
      <c r="X5162">
        <v>0.9880118</v>
      </c>
      <c r="Y5162">
        <v>3.0905390000000001E-2</v>
      </c>
      <c r="Z5162" s="1">
        <v>3.8508179999999997E-5</v>
      </c>
      <c r="AA5162">
        <v>0.99952229999999997</v>
      </c>
      <c r="AB5162">
        <v>28</v>
      </c>
      <c r="AC5162">
        <v>193.10310000000001</v>
      </c>
      <c r="AD5162">
        <v>2.614617</v>
      </c>
      <c r="AE5162">
        <v>-5.9370999999999796</v>
      </c>
      <c r="AF5162">
        <v>5.9783923402888499</v>
      </c>
      <c r="AG5162">
        <v>2.614617</v>
      </c>
      <c r="AH5162">
        <v>193.06643033514001</v>
      </c>
      <c r="AI5162">
        <v>89.224486594286603</v>
      </c>
      <c r="AJ5162">
        <v>88.226376122797006</v>
      </c>
      <c r="AK5162">
        <v>193.176665048822</v>
      </c>
      <c r="AL5162">
        <v>81.365828914045395</v>
      </c>
      <c r="AM5162">
        <v>92.085985012681903</v>
      </c>
      <c r="AN5162">
        <v>0.99999993936989895</v>
      </c>
    </row>
    <row r="5163" spans="1:40" x14ac:dyDescent="0.25">
      <c r="A5163" t="str">
        <f>"20190303162014622"</f>
        <v>20190303162014622</v>
      </c>
      <c r="B5163" t="str">
        <f>"1551601214617366"</f>
        <v>1551601214617366</v>
      </c>
      <c r="C5163" t="s">
        <v>40</v>
      </c>
      <c r="D5163">
        <v>3.881135</v>
      </c>
      <c r="E5163">
        <v>0.5250669</v>
      </c>
      <c r="F5163" t="s">
        <v>66</v>
      </c>
      <c r="G5163">
        <v>-169.39359999999999</v>
      </c>
      <c r="H5163">
        <v>3.6708810000000001</v>
      </c>
      <c r="I5163">
        <v>208.73439999999999</v>
      </c>
      <c r="J5163">
        <v>-362.20260000000002</v>
      </c>
      <c r="K5163">
        <v>1.1212519999999999</v>
      </c>
      <c r="L5163">
        <v>214.7389</v>
      </c>
      <c r="M5163">
        <v>0.99993540000000003</v>
      </c>
      <c r="N5163">
        <v>-1.137788E-2</v>
      </c>
      <c r="O5163">
        <v>2.19776E-4</v>
      </c>
      <c r="P5163">
        <v>0.98973659999999997</v>
      </c>
      <c r="Q5163">
        <v>0.1382475</v>
      </c>
      <c r="R5163">
        <v>3.6184960000000002E-2</v>
      </c>
      <c r="S5163">
        <v>3.029236</v>
      </c>
      <c r="T5163">
        <v>3.9996980000000001E-2</v>
      </c>
      <c r="U5163">
        <v>-9.4192499999999998E-2</v>
      </c>
      <c r="V5163">
        <v>-3.596191E-2</v>
      </c>
      <c r="W5163">
        <v>0.1495012</v>
      </c>
      <c r="X5163">
        <v>0.98810730000000002</v>
      </c>
      <c r="Y5163">
        <v>3.1298699999999999E-2</v>
      </c>
      <c r="Z5163" s="1">
        <v>3.3864400000000001E-5</v>
      </c>
      <c r="AA5163">
        <v>0.99951000000000001</v>
      </c>
      <c r="AB5163">
        <v>28</v>
      </c>
      <c r="AC5163">
        <v>192.809</v>
      </c>
      <c r="AD5163">
        <v>2.5496289999999902</v>
      </c>
      <c r="AE5163">
        <v>-6.0045000000000002</v>
      </c>
      <c r="AF5163">
        <v>6.0458212126628998</v>
      </c>
      <c r="AG5163">
        <v>2.5496289999999902</v>
      </c>
      <c r="AH5163">
        <v>192.77399912099301</v>
      </c>
      <c r="AI5163">
        <v>89.242622514858695</v>
      </c>
      <c r="AJ5163">
        <v>88.203665764206306</v>
      </c>
      <c r="AK5163">
        <v>192.885632692727</v>
      </c>
      <c r="AL5163">
        <v>81.401978100331903</v>
      </c>
      <c r="AM5163">
        <v>92.084345131275398</v>
      </c>
      <c r="AN5163">
        <v>0.99999995204278702</v>
      </c>
    </row>
    <row r="5164" spans="1:40" x14ac:dyDescent="0.25">
      <c r="A5164" t="str">
        <f>"20190303162014643"</f>
        <v>20190303162014643</v>
      </c>
      <c r="B5164" t="str">
        <f>"1551601214637863"</f>
        <v>1551601214637863</v>
      </c>
      <c r="C5164" t="s">
        <v>40</v>
      </c>
      <c r="D5164">
        <v>3.8688929999999999</v>
      </c>
      <c r="E5164">
        <v>0.52509609999999995</v>
      </c>
      <c r="F5164" t="s">
        <v>66</v>
      </c>
      <c r="G5164">
        <v>-169.39359999999999</v>
      </c>
      <c r="H5164">
        <v>3.5847280000000001</v>
      </c>
      <c r="I5164">
        <v>208.70750000000001</v>
      </c>
      <c r="J5164">
        <v>-361.92579999999998</v>
      </c>
      <c r="K5164">
        <v>1.1212470000000001</v>
      </c>
      <c r="L5164">
        <v>214.739</v>
      </c>
      <c r="M5164">
        <v>0.99993520000000002</v>
      </c>
      <c r="N5164">
        <v>-1.1380309999999999E-2</v>
      </c>
      <c r="O5164">
        <v>2.2029849999999999E-4</v>
      </c>
      <c r="P5164">
        <v>0.98975619999999997</v>
      </c>
      <c r="Q5164">
        <v>0.13822019999999999</v>
      </c>
      <c r="R5164">
        <v>3.5748240000000001E-2</v>
      </c>
      <c r="S5164">
        <v>3.0291440000000001</v>
      </c>
      <c r="T5164">
        <v>3.87032E-2</v>
      </c>
      <c r="U5164">
        <v>-9.4757079999999994E-2</v>
      </c>
      <c r="V5164">
        <v>-3.552433E-2</v>
      </c>
      <c r="W5164">
        <v>0.14947669999999999</v>
      </c>
      <c r="X5164">
        <v>0.98812690000000003</v>
      </c>
      <c r="Y5164">
        <v>3.1486359999999998E-2</v>
      </c>
      <c r="Z5164" s="1">
        <v>2.7199860000000001E-5</v>
      </c>
      <c r="AA5164">
        <v>0.99950419999999995</v>
      </c>
      <c r="AB5164">
        <v>28</v>
      </c>
      <c r="AC5164">
        <v>192.53219999999999</v>
      </c>
      <c r="AD5164">
        <v>2.4634809999999998</v>
      </c>
      <c r="AE5164">
        <v>-6.0314999999999896</v>
      </c>
      <c r="AF5164">
        <v>6.0729238947824804</v>
      </c>
      <c r="AG5164">
        <v>2.4634809999999998</v>
      </c>
      <c r="AH5164">
        <v>192.499382139955</v>
      </c>
      <c r="AI5164">
        <v>89.267170715704793</v>
      </c>
      <c r="AJ5164">
        <v>88.193045926507295</v>
      </c>
      <c r="AK5164">
        <v>192.61090640857699</v>
      </c>
      <c r="AL5164">
        <v>81.403398355170594</v>
      </c>
      <c r="AM5164">
        <v>92.058964239582394</v>
      </c>
      <c r="AN5164">
        <v>1.00000001618422</v>
      </c>
    </row>
    <row r="5165" spans="1:40" x14ac:dyDescent="0.25">
      <c r="A5165" t="str">
        <f>"20190303162014666"</f>
        <v>20190303162014666</v>
      </c>
      <c r="B5165" t="str">
        <f>"1551601214657382"</f>
        <v>1551601214657382</v>
      </c>
      <c r="C5165" t="s">
        <v>40</v>
      </c>
      <c r="D5165">
        <v>3.882946</v>
      </c>
      <c r="E5165">
        <v>0.52520100000000003</v>
      </c>
      <c r="F5165" t="s">
        <v>66</v>
      </c>
      <c r="G5165">
        <v>-169.39359999999999</v>
      </c>
      <c r="H5165">
        <v>3.6287980000000002</v>
      </c>
      <c r="I5165">
        <v>208.62</v>
      </c>
      <c r="J5165">
        <v>-361.64569999999998</v>
      </c>
      <c r="K5165">
        <v>1.121243</v>
      </c>
      <c r="L5165">
        <v>214.739</v>
      </c>
      <c r="M5165">
        <v>0.99993520000000002</v>
      </c>
      <c r="N5165">
        <v>-1.138276E-2</v>
      </c>
      <c r="O5165">
        <v>2.2064210000000001E-4</v>
      </c>
      <c r="P5165">
        <v>0.98975789999999997</v>
      </c>
      <c r="Q5165">
        <v>0.13811590000000001</v>
      </c>
      <c r="R5165">
        <v>3.6102049999999997E-2</v>
      </c>
      <c r="S5165">
        <v>3.0290530000000002</v>
      </c>
      <c r="T5165">
        <v>3.9451119999999999E-2</v>
      </c>
      <c r="U5165">
        <v>-9.6267699999999998E-2</v>
      </c>
      <c r="V5165">
        <v>-3.587779E-2</v>
      </c>
      <c r="W5165">
        <v>0.1493749</v>
      </c>
      <c r="X5165">
        <v>0.98812949999999999</v>
      </c>
      <c r="Y5165">
        <v>3.1985550000000001E-2</v>
      </c>
      <c r="Z5165" s="1">
        <v>3.1521369999999997E-5</v>
      </c>
      <c r="AA5165">
        <v>0.99948840000000005</v>
      </c>
      <c r="AB5165">
        <v>28</v>
      </c>
      <c r="AC5165">
        <v>192.25210000000001</v>
      </c>
      <c r="AD5165">
        <v>2.507555</v>
      </c>
      <c r="AE5165">
        <v>-6.1189999999999998</v>
      </c>
      <c r="AF5165">
        <v>6.1603745555161398</v>
      </c>
      <c r="AG5165">
        <v>2.507555</v>
      </c>
      <c r="AH5165">
        <v>192.218077822297</v>
      </c>
      <c r="AI5165">
        <v>89.252981535741498</v>
      </c>
      <c r="AJ5165">
        <v>88.164362612953497</v>
      </c>
      <c r="AK5165">
        <v>192.33311594325301</v>
      </c>
      <c r="AL5165">
        <v>81.409297089601196</v>
      </c>
      <c r="AM5165">
        <v>92.0794271603597</v>
      </c>
      <c r="AN5165">
        <v>0.99999999266777195</v>
      </c>
    </row>
    <row r="5166" spans="1:40" x14ac:dyDescent="0.25">
      <c r="A5166" t="str">
        <f>"20190303162014688"</f>
        <v>20190303162014688</v>
      </c>
      <c r="B5166" t="str">
        <f>"1551601214677882"</f>
        <v>1551601214677882</v>
      </c>
      <c r="C5166" t="s">
        <v>40</v>
      </c>
      <c r="D5166">
        <v>3.9087299999999998</v>
      </c>
      <c r="E5166">
        <v>0.52530469999999996</v>
      </c>
      <c r="F5166" t="s">
        <v>66</v>
      </c>
      <c r="G5166">
        <v>-169.39359999999999</v>
      </c>
      <c r="H5166">
        <v>3.6485159999999999</v>
      </c>
      <c r="I5166">
        <v>208.65790000000001</v>
      </c>
      <c r="J5166">
        <v>-361.35890000000001</v>
      </c>
      <c r="K5166">
        <v>1.1212390000000001</v>
      </c>
      <c r="L5166">
        <v>214.73910000000001</v>
      </c>
      <c r="M5166">
        <v>0.99993529999999997</v>
      </c>
      <c r="N5166">
        <v>-1.1385259999999999E-2</v>
      </c>
      <c r="O5166">
        <v>2.2074710000000001E-4</v>
      </c>
      <c r="P5166">
        <v>0.98980820000000003</v>
      </c>
      <c r="Q5166">
        <v>0.13765289999999999</v>
      </c>
      <c r="R5166">
        <v>3.6490170000000002E-2</v>
      </c>
      <c r="S5166">
        <v>3.0289920000000001</v>
      </c>
      <c r="T5166">
        <v>3.9818529999999998E-2</v>
      </c>
      <c r="U5166">
        <v>-9.5809939999999996E-2</v>
      </c>
      <c r="V5166">
        <v>-3.6265770000000003E-2</v>
      </c>
      <c r="W5166">
        <v>0.14891470000000001</v>
      </c>
      <c r="X5166">
        <v>0.98818479999999997</v>
      </c>
      <c r="Y5166">
        <v>3.1835380000000003E-2</v>
      </c>
      <c r="Z5166" s="1">
        <v>3.3323769999999999E-5</v>
      </c>
      <c r="AA5166">
        <v>0.99949310000000002</v>
      </c>
      <c r="AB5166">
        <v>28</v>
      </c>
      <c r="AC5166">
        <v>191.96530000000001</v>
      </c>
      <c r="AD5166">
        <v>2.5272770000000002</v>
      </c>
      <c r="AE5166">
        <v>-6.0811999999999902</v>
      </c>
      <c r="AF5166">
        <v>6.1225182567407002</v>
      </c>
      <c r="AG5166">
        <v>2.5272770000000002</v>
      </c>
      <c r="AH5166">
        <v>191.930719861884</v>
      </c>
      <c r="AI5166">
        <v>89.245976192293398</v>
      </c>
      <c r="AJ5166">
        <v>88.172905613602495</v>
      </c>
      <c r="AK5166">
        <v>192.044978027387</v>
      </c>
      <c r="AL5166">
        <v>81.435962887236897</v>
      </c>
      <c r="AM5166">
        <v>92.101776364574306</v>
      </c>
      <c r="AN5166">
        <v>0.99999999645041104</v>
      </c>
    </row>
    <row r="5167" spans="1:40" x14ac:dyDescent="0.25">
      <c r="A5167" t="str">
        <f>"20190303162014712"</f>
        <v>20190303162014712</v>
      </c>
      <c r="B5167" t="str">
        <f>"1551601214697398"</f>
        <v>1551601214697398</v>
      </c>
      <c r="C5167" t="s">
        <v>40</v>
      </c>
      <c r="D5167">
        <v>3.8522919999999998</v>
      </c>
      <c r="E5167">
        <v>0.52533529999999995</v>
      </c>
      <c r="F5167" t="s">
        <v>66</v>
      </c>
      <c r="G5167">
        <v>-169.39359999999999</v>
      </c>
      <c r="H5167">
        <v>3.5589710000000001</v>
      </c>
      <c r="I5167">
        <v>208.68170000000001</v>
      </c>
      <c r="J5167">
        <v>-361.06810000000002</v>
      </c>
      <c r="K5167">
        <v>1.121237</v>
      </c>
      <c r="L5167">
        <v>214.73920000000001</v>
      </c>
      <c r="M5167">
        <v>0.99993529999999997</v>
      </c>
      <c r="N5167">
        <v>-1.1387929999999999E-2</v>
      </c>
      <c r="O5167">
        <v>2.210898E-4</v>
      </c>
      <c r="P5167">
        <v>0.98986620000000003</v>
      </c>
      <c r="Q5167">
        <v>0.13708960000000001</v>
      </c>
      <c r="R5167">
        <v>3.7034839999999999E-2</v>
      </c>
      <c r="S5167">
        <v>3.029083</v>
      </c>
      <c r="T5167">
        <v>3.846633E-2</v>
      </c>
      <c r="U5167">
        <v>-9.5581050000000001E-2</v>
      </c>
      <c r="V5167">
        <v>-3.6809840000000003E-2</v>
      </c>
      <c r="W5167">
        <v>0.1483545</v>
      </c>
      <c r="X5167">
        <v>0.98824889999999999</v>
      </c>
      <c r="Y5167">
        <v>3.1759419999999997E-2</v>
      </c>
      <c r="Z5167" s="1">
        <v>2.603335E-5</v>
      </c>
      <c r="AA5167">
        <v>0.99949560000000004</v>
      </c>
      <c r="AB5167">
        <v>28</v>
      </c>
      <c r="AC5167">
        <v>191.67449999999999</v>
      </c>
      <c r="AD5167">
        <v>2.4377339999999998</v>
      </c>
      <c r="AE5167">
        <v>-6.0575000000000001</v>
      </c>
      <c r="AF5167">
        <v>6.0988943586427196</v>
      </c>
      <c r="AG5167">
        <v>2.4377339999999998</v>
      </c>
      <c r="AH5167">
        <v>191.64218880537101</v>
      </c>
      <c r="AI5167">
        <v>89.271592157864205</v>
      </c>
      <c r="AJ5167">
        <v>88.177212387214894</v>
      </c>
      <c r="AK5167">
        <v>191.75470682506401</v>
      </c>
      <c r="AL5167">
        <v>81.468420162000996</v>
      </c>
      <c r="AM5167">
        <v>92.133140687186994</v>
      </c>
      <c r="AN5167">
        <v>0.99999995517114104</v>
      </c>
    </row>
    <row r="5168" spans="1:40" x14ac:dyDescent="0.25">
      <c r="A5168" t="str">
        <f>"20190303162014735"</f>
        <v>20190303162014735</v>
      </c>
      <c r="B5168" t="str">
        <f>"1551601214727326"</f>
        <v>1551601214727326</v>
      </c>
      <c r="C5168" t="s">
        <v>40</v>
      </c>
      <c r="D5168">
        <v>3.881262</v>
      </c>
      <c r="E5168">
        <v>0.52540369999999903</v>
      </c>
      <c r="F5168" t="s">
        <v>66</v>
      </c>
      <c r="G5168">
        <v>-169.39349999999999</v>
      </c>
      <c r="H5168">
        <v>3.4995940000000001</v>
      </c>
      <c r="I5168">
        <v>208.76329999999999</v>
      </c>
      <c r="J5168">
        <v>-360.77379999999999</v>
      </c>
      <c r="K5168">
        <v>1.1212340000000001</v>
      </c>
      <c r="L5168">
        <v>214.73929999999999</v>
      </c>
      <c r="M5168">
        <v>0.99993529999999997</v>
      </c>
      <c r="N5168">
        <v>-1.139074E-2</v>
      </c>
      <c r="O5168">
        <v>2.214316E-4</v>
      </c>
      <c r="P5168">
        <v>0.98984930000000004</v>
      </c>
      <c r="Q5168">
        <v>0.1372295</v>
      </c>
      <c r="R5168">
        <v>3.6967979999999998E-2</v>
      </c>
      <c r="S5168">
        <v>3.0290530000000002</v>
      </c>
      <c r="T5168">
        <v>3.7585970000000003E-2</v>
      </c>
      <c r="U5168">
        <v>-9.4436649999999997E-2</v>
      </c>
      <c r="V5168">
        <v>-3.6743530000000003E-2</v>
      </c>
      <c r="W5168">
        <v>0.1484974</v>
      </c>
      <c r="X5168">
        <v>0.98822989999999999</v>
      </c>
      <c r="Y5168">
        <v>3.1382899999999998E-2</v>
      </c>
      <c r="Z5168" s="1">
        <v>2.1133950000000001E-5</v>
      </c>
      <c r="AA5168">
        <v>0.99950740000000005</v>
      </c>
      <c r="AB5168">
        <v>28</v>
      </c>
      <c r="AC5168">
        <v>191.38030000000001</v>
      </c>
      <c r="AD5168">
        <v>2.3783599999999998</v>
      </c>
      <c r="AE5168">
        <v>-5.9759999999999902</v>
      </c>
      <c r="AF5168">
        <v>6.0174518085043598</v>
      </c>
      <c r="AG5168">
        <v>2.3783599999999998</v>
      </c>
      <c r="AH5168">
        <v>191.34944866126801</v>
      </c>
      <c r="AI5168">
        <v>89.2882359835139</v>
      </c>
      <c r="AJ5168">
        <v>88.198787569911602</v>
      </c>
      <c r="AK5168">
        <v>191.45881495906301</v>
      </c>
      <c r="AL5168">
        <v>81.460140845324801</v>
      </c>
      <c r="AM5168">
        <v>92.129342445070193</v>
      </c>
      <c r="AN5168">
        <v>0.99999995002881403</v>
      </c>
    </row>
    <row r="5169" spans="1:40" x14ac:dyDescent="0.25">
      <c r="A5169" t="str">
        <f>"20190303162014756"</f>
        <v>20190303162014756</v>
      </c>
      <c r="B5169" t="str">
        <f>"1551601214747821"</f>
        <v>1551601214747821</v>
      </c>
      <c r="C5169" t="s">
        <v>40</v>
      </c>
      <c r="D5169">
        <v>3.8771049999999998</v>
      </c>
      <c r="E5169">
        <v>0.52598080000000003</v>
      </c>
      <c r="F5169" t="s">
        <v>66</v>
      </c>
      <c r="G5169">
        <v>-169.39359999999999</v>
      </c>
      <c r="H5169">
        <v>3.6309390000000001</v>
      </c>
      <c r="I5169">
        <v>208.7355</v>
      </c>
      <c r="J5169">
        <v>-360.49470000000002</v>
      </c>
      <c r="K5169">
        <v>1.1212310000000001</v>
      </c>
      <c r="L5169">
        <v>214.73929999999999</v>
      </c>
      <c r="M5169">
        <v>0.99993520000000002</v>
      </c>
      <c r="N5169">
        <v>-1.1393199999999999E-2</v>
      </c>
      <c r="O5169">
        <v>2.217156E-4</v>
      </c>
      <c r="P5169">
        <v>0.98989459999999996</v>
      </c>
      <c r="Q5169">
        <v>0.13703089999999901</v>
      </c>
      <c r="R5169">
        <v>3.6485139999999999E-2</v>
      </c>
      <c r="S5169">
        <v>3.0288390000000001</v>
      </c>
      <c r="T5169">
        <v>3.9719940000000002E-2</v>
      </c>
      <c r="U5169">
        <v>-9.501648E-2</v>
      </c>
      <c r="V5169">
        <v>-3.6259710000000001E-2</v>
      </c>
      <c r="W5169">
        <v>0.14830170000000001</v>
      </c>
      <c r="X5169">
        <v>0.98827719999999997</v>
      </c>
      <c r="Y5169">
        <v>3.1576369999999999E-2</v>
      </c>
      <c r="Z5169" s="1">
        <v>3.2488140000000001E-5</v>
      </c>
      <c r="AA5169">
        <v>0.99950130000000004</v>
      </c>
      <c r="AB5169">
        <v>28</v>
      </c>
      <c r="AC5169">
        <v>191.1011</v>
      </c>
      <c r="AD5169">
        <v>2.5097079999999998</v>
      </c>
      <c r="AE5169">
        <v>-6.0037999999999796</v>
      </c>
      <c r="AF5169">
        <v>6.0451311009987796</v>
      </c>
      <c r="AG5169">
        <v>2.5097079999999998</v>
      </c>
      <c r="AH5169">
        <v>191.06684278595901</v>
      </c>
      <c r="AI5169">
        <v>89.247826045541899</v>
      </c>
      <c r="AJ5169">
        <v>88.187833156894101</v>
      </c>
      <c r="AK5169">
        <v>191.17892314914801</v>
      </c>
      <c r="AL5169">
        <v>81.471479537956498</v>
      </c>
      <c r="AM5169">
        <v>92.101229174408004</v>
      </c>
      <c r="AN5169">
        <v>0.99999999241600701</v>
      </c>
    </row>
    <row r="5170" spans="1:40" x14ac:dyDescent="0.25">
      <c r="A5170" t="str">
        <f>"20190303162014778"</f>
        <v>20190303162014778</v>
      </c>
      <c r="B5170" t="str">
        <f>"1551601214767342"</f>
        <v>1551601214767342</v>
      </c>
      <c r="C5170" t="s">
        <v>40</v>
      </c>
      <c r="D5170">
        <v>3.8849049999999998</v>
      </c>
      <c r="E5170">
        <v>0.52712269999999894</v>
      </c>
      <c r="F5170" t="s">
        <v>66</v>
      </c>
      <c r="G5170">
        <v>-169.3937</v>
      </c>
      <c r="H5170">
        <v>3.566662</v>
      </c>
      <c r="I5170">
        <v>208.3663</v>
      </c>
      <c r="J5170">
        <v>-360.22500000000002</v>
      </c>
      <c r="K5170">
        <v>1.121237</v>
      </c>
      <c r="L5170">
        <v>214.73939999999999</v>
      </c>
      <c r="M5170">
        <v>0.99993509999999997</v>
      </c>
      <c r="N5170">
        <v>-1.13954E-2</v>
      </c>
      <c r="O5170">
        <v>2.2206050000000001E-4</v>
      </c>
      <c r="P5170">
        <v>0.98992820000000004</v>
      </c>
      <c r="Q5170">
        <v>0.13687489999999999</v>
      </c>
      <c r="R5170">
        <v>3.616349E-2</v>
      </c>
      <c r="S5170">
        <v>3.0289920000000001</v>
      </c>
      <c r="T5170">
        <v>3.8761139999999999E-2</v>
      </c>
      <c r="U5170">
        <v>-0.1010132</v>
      </c>
      <c r="V5170">
        <v>-3.593822E-2</v>
      </c>
      <c r="W5170">
        <v>0.148148</v>
      </c>
      <c r="X5170">
        <v>0.98831199999999997</v>
      </c>
      <c r="Y5170">
        <v>3.3551839999999999E-2</v>
      </c>
      <c r="Z5170" s="1">
        <v>2.875013E-5</v>
      </c>
      <c r="AA5170">
        <v>0.99943700000000002</v>
      </c>
      <c r="AB5170">
        <v>28</v>
      </c>
      <c r="AC5170">
        <v>190.8313</v>
      </c>
      <c r="AD5170">
        <v>2.4454250000000002</v>
      </c>
      <c r="AE5170">
        <v>-6.3730999999999902</v>
      </c>
      <c r="AF5170">
        <v>6.4144265226560604</v>
      </c>
      <c r="AG5170">
        <v>2.4454250000000002</v>
      </c>
      <c r="AH5170">
        <v>190.79858314710799</v>
      </c>
      <c r="AI5170">
        <v>89.266106914542803</v>
      </c>
      <c r="AJ5170">
        <v>88.074507706398094</v>
      </c>
      <c r="AK5170">
        <v>190.92203723506901</v>
      </c>
      <c r="AL5170">
        <v>81.480384306965902</v>
      </c>
      <c r="AM5170">
        <v>92.082542226271599</v>
      </c>
      <c r="AN5170">
        <v>0.99999999745238399</v>
      </c>
    </row>
    <row r="5171" spans="1:40" x14ac:dyDescent="0.25">
      <c r="A5171" t="str">
        <f>"20190303162014800"</f>
        <v>20190303162014800</v>
      </c>
      <c r="B5171" t="str">
        <f>"1551601214787839"</f>
        <v>1551601214787839</v>
      </c>
      <c r="C5171" t="s">
        <v>40</v>
      </c>
      <c r="D5171">
        <v>3.877615</v>
      </c>
      <c r="E5171">
        <v>0.52820219999999996</v>
      </c>
      <c r="F5171" t="s">
        <v>66</v>
      </c>
      <c r="G5171">
        <v>-168.41120000000001</v>
      </c>
      <c r="H5171">
        <v>3.457544</v>
      </c>
      <c r="I5171">
        <v>207.6944</v>
      </c>
      <c r="J5171">
        <v>-359.93400000000003</v>
      </c>
      <c r="K5171">
        <v>1.121235</v>
      </c>
      <c r="L5171">
        <v>214.73939999999999</v>
      </c>
      <c r="M5171">
        <v>0.99993509999999997</v>
      </c>
      <c r="N5171">
        <v>-1.139768E-2</v>
      </c>
      <c r="O5171">
        <v>2.2240500000000001E-4</v>
      </c>
      <c r="P5171">
        <v>0.98984179999999999</v>
      </c>
      <c r="Q5171">
        <v>0.13758699999999999</v>
      </c>
      <c r="R5171">
        <v>3.5820959999999999E-2</v>
      </c>
      <c r="S5171">
        <v>3.02948</v>
      </c>
      <c r="T5171">
        <v>3.6899809999999998E-2</v>
      </c>
      <c r="U5171">
        <v>-0.11126709999999999</v>
      </c>
      <c r="V5171">
        <v>-3.5595040000000001E-2</v>
      </c>
      <c r="W5171">
        <v>0.1488614</v>
      </c>
      <c r="X5171">
        <v>0.98821720000000002</v>
      </c>
      <c r="Y5171">
        <v>3.6925409999999999E-2</v>
      </c>
      <c r="Z5171" s="1">
        <v>1.9527739999999999E-5</v>
      </c>
      <c r="AA5171">
        <v>0.99931800000000004</v>
      </c>
      <c r="AB5171">
        <v>29</v>
      </c>
      <c r="AC5171">
        <v>191.52279999999999</v>
      </c>
      <c r="AD5171">
        <v>2.336309</v>
      </c>
      <c r="AE5171">
        <v>-7.0449999999999804</v>
      </c>
      <c r="AF5171">
        <v>7.0865451241824902</v>
      </c>
      <c r="AG5171">
        <v>2.336309</v>
      </c>
      <c r="AH5171">
        <v>191.49277160372799</v>
      </c>
      <c r="AI5171">
        <v>89.301475198871103</v>
      </c>
      <c r="AJ5171">
        <v>87.880630571997798</v>
      </c>
      <c r="AK5171">
        <v>191.638093911461</v>
      </c>
      <c r="AL5171">
        <v>81.439051022175505</v>
      </c>
      <c r="AM5171">
        <v>92.062870649073801</v>
      </c>
      <c r="AN5171">
        <v>0.9999999788292</v>
      </c>
    </row>
    <row r="5172" spans="1:40" x14ac:dyDescent="0.25">
      <c r="A5172" t="str">
        <f>"20190303162014824"</f>
        <v>20190303162014824</v>
      </c>
      <c r="B5172" t="str">
        <f>"1551601214817118"</f>
        <v>1551601214817118</v>
      </c>
      <c r="C5172" t="s">
        <v>40</v>
      </c>
      <c r="D5172">
        <v>3.8990860000000001</v>
      </c>
      <c r="E5172">
        <v>0.52956409999999998</v>
      </c>
      <c r="F5172" t="s">
        <v>66</v>
      </c>
      <c r="G5172">
        <v>-168.41139999999999</v>
      </c>
      <c r="H5172">
        <v>3.4985870000000001</v>
      </c>
      <c r="I5172">
        <v>207.08519999999999</v>
      </c>
      <c r="J5172">
        <v>-359.62759999999997</v>
      </c>
      <c r="K5172">
        <v>1.121237</v>
      </c>
      <c r="L5172">
        <v>214.73949999999999</v>
      </c>
      <c r="M5172">
        <v>0.99993520000000002</v>
      </c>
      <c r="N5172">
        <v>-1.140008E-2</v>
      </c>
      <c r="O5172">
        <v>2.225699E-4</v>
      </c>
      <c r="P5172">
        <v>0.98978169999999999</v>
      </c>
      <c r="Q5172">
        <v>0.13818910000000001</v>
      </c>
      <c r="R5172">
        <v>3.5158979999999999E-2</v>
      </c>
      <c r="S5172">
        <v>3.0299680000000002</v>
      </c>
      <c r="T5172">
        <v>3.7611249999999999E-2</v>
      </c>
      <c r="U5172">
        <v>-0.1210938</v>
      </c>
      <c r="V5172">
        <v>-3.4932589999999999E-2</v>
      </c>
      <c r="W5172">
        <v>0.14946489999999901</v>
      </c>
      <c r="X5172">
        <v>0.98814979999999997</v>
      </c>
      <c r="Y5172">
        <v>4.0155570000000002E-2</v>
      </c>
      <c r="Z5172" s="1">
        <v>2.542828E-5</v>
      </c>
      <c r="AA5172">
        <v>0.99919340000000001</v>
      </c>
      <c r="AB5172">
        <v>29</v>
      </c>
      <c r="AC5172">
        <v>191.21619999999999</v>
      </c>
      <c r="AD5172">
        <v>2.3773499999999999</v>
      </c>
      <c r="AE5172">
        <v>-7.6543000000000001</v>
      </c>
      <c r="AF5172">
        <v>7.6956738886028004</v>
      </c>
      <c r="AG5172">
        <v>2.3773499999999999</v>
      </c>
      <c r="AH5172">
        <v>191.18498655599799</v>
      </c>
      <c r="AI5172">
        <v>89.288150680139907</v>
      </c>
      <c r="AJ5172">
        <v>87.694945964504996</v>
      </c>
      <c r="AK5172">
        <v>191.35457735324599</v>
      </c>
      <c r="AL5172">
        <v>81.404082287186796</v>
      </c>
      <c r="AM5172">
        <v>92.024649324882603</v>
      </c>
      <c r="AN5172">
        <v>1.00000003470807</v>
      </c>
    </row>
    <row r="5173" spans="1:40" x14ac:dyDescent="0.25">
      <c r="A5173" t="str">
        <f>"20190303162014845"</f>
        <v>20190303162014845</v>
      </c>
      <c r="B5173" t="str">
        <f>"1551601214837618"</f>
        <v>1551601214837618</v>
      </c>
      <c r="C5173" t="s">
        <v>40</v>
      </c>
      <c r="D5173">
        <v>3.9005529999999999</v>
      </c>
      <c r="E5173">
        <v>0.53032380000000001</v>
      </c>
      <c r="F5173" t="s">
        <v>66</v>
      </c>
      <c r="G5173">
        <v>-168.4117</v>
      </c>
      <c r="H5173">
        <v>3.5225490000000002</v>
      </c>
      <c r="I5173">
        <v>206.30529999999999</v>
      </c>
      <c r="J5173">
        <v>-359.36419999999998</v>
      </c>
      <c r="K5173">
        <v>1.1212439999999999</v>
      </c>
      <c r="L5173">
        <v>214.7396</v>
      </c>
      <c r="M5173">
        <v>0.99993500000000002</v>
      </c>
      <c r="N5173">
        <v>-1.140215E-2</v>
      </c>
      <c r="O5173">
        <v>2.2303460000000001E-4</v>
      </c>
      <c r="P5173">
        <v>0.98979249999999996</v>
      </c>
      <c r="Q5173">
        <v>0.13836470000000001</v>
      </c>
      <c r="R5173">
        <v>3.4143710000000001E-2</v>
      </c>
      <c r="S5173">
        <v>3.0304259999999998</v>
      </c>
      <c r="T5173">
        <v>3.8056970000000002E-2</v>
      </c>
      <c r="U5173">
        <v>-0.13366700000000001</v>
      </c>
      <c r="V5173">
        <v>-3.3917179999999998E-2</v>
      </c>
      <c r="W5173">
        <v>0.1496432</v>
      </c>
      <c r="X5173">
        <v>0.98815819999999999</v>
      </c>
      <c r="Y5173">
        <v>4.4287930000000003E-2</v>
      </c>
      <c r="Z5173" s="1">
        <v>3.0664960000000003E-5</v>
      </c>
      <c r="AA5173">
        <v>0.99901879999999998</v>
      </c>
      <c r="AB5173">
        <v>29</v>
      </c>
      <c r="AC5173">
        <v>190.95249999999999</v>
      </c>
      <c r="AD5173">
        <v>2.4013049999999998</v>
      </c>
      <c r="AE5173">
        <v>-8.4343000000000004</v>
      </c>
      <c r="AF5173">
        <v>8.4755538509574393</v>
      </c>
      <c r="AG5173">
        <v>2.4013049999999998</v>
      </c>
      <c r="AH5173">
        <v>190.920480457173</v>
      </c>
      <c r="AI5173">
        <v>89.280108470961494</v>
      </c>
      <c r="AJ5173">
        <v>87.458131087211896</v>
      </c>
      <c r="AK5173">
        <v>191.123601726164</v>
      </c>
      <c r="AL5173">
        <v>81.393750343331206</v>
      </c>
      <c r="AM5173">
        <v>91.965827597221903</v>
      </c>
      <c r="AN5173">
        <v>1.00000004531631</v>
      </c>
    </row>
    <row r="5174" spans="1:40" x14ac:dyDescent="0.25">
      <c r="A5174" t="str">
        <f>"20190303162014867"</f>
        <v>20190303162014867</v>
      </c>
      <c r="B5174" t="str">
        <f>"1551601214857134"</f>
        <v>1551601214857134</v>
      </c>
      <c r="C5174" t="s">
        <v>40</v>
      </c>
      <c r="D5174">
        <v>3.9071720000000001</v>
      </c>
      <c r="E5174">
        <v>0.53102150000000004</v>
      </c>
      <c r="F5174" t="s">
        <v>66</v>
      </c>
      <c r="G5174">
        <v>-168.4119</v>
      </c>
      <c r="H5174">
        <v>3.5152070000000002</v>
      </c>
      <c r="I5174">
        <v>205.76929999999999</v>
      </c>
      <c r="J5174">
        <v>-359.07929999999999</v>
      </c>
      <c r="K5174">
        <v>1.1212390000000001</v>
      </c>
      <c r="L5174">
        <v>214.7396</v>
      </c>
      <c r="M5174">
        <v>0.99993489999999996</v>
      </c>
      <c r="N5174">
        <v>-1.14044E-2</v>
      </c>
      <c r="O5174">
        <v>2.23379E-4</v>
      </c>
      <c r="P5174">
        <v>0.98979050000000002</v>
      </c>
      <c r="Q5174">
        <v>0.13860819999999999</v>
      </c>
      <c r="R5174">
        <v>3.3204350000000001E-2</v>
      </c>
      <c r="S5174">
        <v>3.030548</v>
      </c>
      <c r="T5174">
        <v>3.7994380000000001E-2</v>
      </c>
      <c r="U5174">
        <v>-0.1423645</v>
      </c>
      <c r="V5174">
        <v>-3.2977319999999997E-2</v>
      </c>
      <c r="W5174">
        <v>0.149888299999999</v>
      </c>
      <c r="X5174">
        <v>0.98815280000000005</v>
      </c>
      <c r="Y5174">
        <v>4.7147500000000002E-2</v>
      </c>
      <c r="Z5174" s="1">
        <v>3.1715260000000002E-5</v>
      </c>
      <c r="AA5174">
        <v>0.998888</v>
      </c>
      <c r="AB5174">
        <v>29</v>
      </c>
      <c r="AC5174">
        <v>190.66739999999999</v>
      </c>
      <c r="AD5174">
        <v>2.3939680000000001</v>
      </c>
      <c r="AE5174">
        <v>-8.9702999999999999</v>
      </c>
      <c r="AF5174">
        <v>9.0114761526813592</v>
      </c>
      <c r="AG5174">
        <v>2.3939680000000001</v>
      </c>
      <c r="AH5174">
        <v>190.63540474090399</v>
      </c>
      <c r="AI5174">
        <v>89.281329271191098</v>
      </c>
      <c r="AJ5174">
        <v>87.293600890592799</v>
      </c>
      <c r="AK5174">
        <v>190.86328962365599</v>
      </c>
      <c r="AL5174">
        <v>81.379546398055993</v>
      </c>
      <c r="AM5174">
        <v>91.911405068069001</v>
      </c>
      <c r="AN5174">
        <v>0.99999998112955601</v>
      </c>
    </row>
    <row r="5175" spans="1:40" x14ac:dyDescent="0.25">
      <c r="A5175" t="str">
        <f>"20190303162014889"</f>
        <v>20190303162014889</v>
      </c>
      <c r="B5175" t="str">
        <f>"1551601214877630"</f>
        <v>1551601214877630</v>
      </c>
      <c r="C5175" t="s">
        <v>40</v>
      </c>
      <c r="D5175">
        <v>3.9245549999999998</v>
      </c>
      <c r="E5175">
        <v>0.53165699999999905</v>
      </c>
      <c r="F5175" t="s">
        <v>47</v>
      </c>
      <c r="G5175">
        <v>-177.59870000000001</v>
      </c>
      <c r="H5175">
        <v>3.453919</v>
      </c>
      <c r="I5175">
        <v>205.6925</v>
      </c>
      <c r="J5175">
        <v>-358.79910000000001</v>
      </c>
      <c r="K5175">
        <v>1.1212420000000001</v>
      </c>
      <c r="L5175">
        <v>214.7397</v>
      </c>
      <c r="M5175">
        <v>0.99993489999999996</v>
      </c>
      <c r="N5175">
        <v>-1.1406609999999999E-2</v>
      </c>
      <c r="O5175">
        <v>2.2366420000000001E-4</v>
      </c>
      <c r="P5175">
        <v>0.98976050000000004</v>
      </c>
      <c r="Q5175">
        <v>0.13882420000000001</v>
      </c>
      <c r="R5175">
        <v>3.3196839999999998E-2</v>
      </c>
      <c r="S5175">
        <v>3.0305179999999998</v>
      </c>
      <c r="T5175">
        <v>3.8953069999999999E-2</v>
      </c>
      <c r="U5175">
        <v>-0.1510773</v>
      </c>
      <c r="V5175">
        <v>-3.2970090000000001E-2</v>
      </c>
      <c r="W5175">
        <v>0.15010660000000001</v>
      </c>
      <c r="X5175">
        <v>0.98811990000000005</v>
      </c>
      <c r="Y5175">
        <v>5.0013009999999997E-2</v>
      </c>
      <c r="Z5175" s="1">
        <v>4.1206309999999898E-5</v>
      </c>
      <c r="AA5175">
        <v>0.99874850000000004</v>
      </c>
      <c r="AB5175">
        <v>29</v>
      </c>
      <c r="AC5175">
        <v>181.2004</v>
      </c>
      <c r="AD5175">
        <v>2.3326769999999999</v>
      </c>
      <c r="AE5175">
        <v>-9.0472000000000001</v>
      </c>
      <c r="AF5175">
        <v>9.0862283731027595</v>
      </c>
      <c r="AG5175">
        <v>2.3326769999999999</v>
      </c>
      <c r="AH5175">
        <v>181.168422127019</v>
      </c>
      <c r="AI5175">
        <v>89.263241288689201</v>
      </c>
      <c r="AJ5175">
        <v>87.128822529460905</v>
      </c>
      <c r="AK5175">
        <v>181.411130044516</v>
      </c>
      <c r="AL5175">
        <v>81.366895571189104</v>
      </c>
      <c r="AM5175">
        <v>91.911049899502999</v>
      </c>
      <c r="AN5175">
        <v>0.99999997748708802</v>
      </c>
    </row>
    <row r="5176" spans="1:40" x14ac:dyDescent="0.25">
      <c r="A5176" t="str">
        <f>"20190303162014911"</f>
        <v>20190303162014911</v>
      </c>
      <c r="B5176" t="str">
        <f>"1551601214907886"</f>
        <v>1551601214907886</v>
      </c>
      <c r="C5176" t="s">
        <v>40</v>
      </c>
      <c r="D5176">
        <v>3.879216</v>
      </c>
      <c r="E5176">
        <v>0.53250200000000003</v>
      </c>
      <c r="F5176" t="s">
        <v>66</v>
      </c>
      <c r="G5176">
        <v>-168.41220000000001</v>
      </c>
      <c r="H5176">
        <v>3.5798109999999999</v>
      </c>
      <c r="I5176">
        <v>204.91390000000001</v>
      </c>
      <c r="J5176">
        <v>-358.51209999999998</v>
      </c>
      <c r="K5176">
        <v>1.121251</v>
      </c>
      <c r="L5176">
        <v>214.7398</v>
      </c>
      <c r="M5176">
        <v>0.99993500000000002</v>
      </c>
      <c r="N5176">
        <v>-1.1408939999999999E-2</v>
      </c>
      <c r="O5176">
        <v>2.2382939999999999E-4</v>
      </c>
      <c r="P5176">
        <v>0.98970290000000005</v>
      </c>
      <c r="Q5176">
        <v>0.1389937</v>
      </c>
      <c r="R5176">
        <v>3.4195009999999998E-2</v>
      </c>
      <c r="S5176">
        <v>3.0307919999999999</v>
      </c>
      <c r="T5176">
        <v>3.913879E-2</v>
      </c>
      <c r="U5176">
        <v>-0.1564178</v>
      </c>
      <c r="V5176">
        <v>-3.3968060000000001E-2</v>
      </c>
      <c r="W5176">
        <v>0.15027769999999999</v>
      </c>
      <c r="X5176">
        <v>0.9880601</v>
      </c>
      <c r="Y5176">
        <v>5.1763940000000001E-2</v>
      </c>
      <c r="Z5176" s="1">
        <v>4.394335E-5</v>
      </c>
      <c r="AA5176">
        <v>0.99865939999999997</v>
      </c>
      <c r="AB5176">
        <v>29</v>
      </c>
      <c r="AC5176">
        <v>190.09989999999999</v>
      </c>
      <c r="AD5176">
        <v>2.4585599999999999</v>
      </c>
      <c r="AE5176">
        <v>-9.8258999999999901</v>
      </c>
      <c r="AF5176">
        <v>9.8668065187322895</v>
      </c>
      <c r="AG5176">
        <v>2.4585599999999999</v>
      </c>
      <c r="AH5176">
        <v>190.06598961860101</v>
      </c>
      <c r="AI5176">
        <v>89.2598998847009</v>
      </c>
      <c r="AJ5176">
        <v>87.028298662106096</v>
      </c>
      <c r="AK5176">
        <v>190.33780180996601</v>
      </c>
      <c r="AL5176">
        <v>81.356979884381502</v>
      </c>
      <c r="AM5176">
        <v>91.968969581592802</v>
      </c>
      <c r="AN5176">
        <v>0.99999998871473095</v>
      </c>
    </row>
    <row r="5177" spans="1:40" x14ac:dyDescent="0.25">
      <c r="A5177" t="str">
        <f>"20190303162014938"</f>
        <v>20190303162014938</v>
      </c>
      <c r="B5177" t="str">
        <f>"1551601214927407"</f>
        <v>1551601214927407</v>
      </c>
      <c r="C5177" t="s">
        <v>40</v>
      </c>
      <c r="D5177">
        <v>3.9475120000000001</v>
      </c>
      <c r="E5177">
        <v>0.53302059999999996</v>
      </c>
      <c r="F5177" t="s">
        <v>66</v>
      </c>
      <c r="G5177">
        <v>-168.41220000000001</v>
      </c>
      <c r="H5177">
        <v>3.5418620000000001</v>
      </c>
      <c r="I5177">
        <v>204.71809999999999</v>
      </c>
      <c r="J5177">
        <v>-358.21300000000002</v>
      </c>
      <c r="K5177">
        <v>1.121254</v>
      </c>
      <c r="L5177">
        <v>214.7398</v>
      </c>
      <c r="M5177">
        <v>0.99993489999999996</v>
      </c>
      <c r="N5177">
        <v>-1.14115E-2</v>
      </c>
      <c r="O5177">
        <v>2.2417199999999999E-4</v>
      </c>
      <c r="P5177">
        <v>0.98966030000000005</v>
      </c>
      <c r="Q5177">
        <v>0.13904040000000001</v>
      </c>
      <c r="R5177">
        <v>3.5217129999999999E-2</v>
      </c>
      <c r="S5177">
        <v>3.031342</v>
      </c>
      <c r="T5177">
        <v>3.8599729999999999E-2</v>
      </c>
      <c r="U5177">
        <v>-0.15980529999999901</v>
      </c>
      <c r="V5177">
        <v>-3.4989699999999999E-2</v>
      </c>
      <c r="W5177">
        <v>0.1503263</v>
      </c>
      <c r="X5177">
        <v>0.98801709999999998</v>
      </c>
      <c r="Y5177">
        <v>5.2867949999999997E-2</v>
      </c>
      <c r="Z5177" s="1">
        <v>3.9887910000000002E-5</v>
      </c>
      <c r="AA5177">
        <v>0.99860150000000003</v>
      </c>
      <c r="AB5177">
        <v>29</v>
      </c>
      <c r="AC5177">
        <v>189.80080000000001</v>
      </c>
      <c r="AD5177">
        <v>2.4206080000000001</v>
      </c>
      <c r="AE5177">
        <v>-10.021699999999999</v>
      </c>
      <c r="AF5177">
        <v>10.062618412095601</v>
      </c>
      <c r="AG5177">
        <v>2.4206080000000001</v>
      </c>
      <c r="AH5177">
        <v>189.76776867143801</v>
      </c>
      <c r="AI5177">
        <v>89.270220849471499</v>
      </c>
      <c r="AJ5177">
        <v>86.964678923791396</v>
      </c>
      <c r="AK5177">
        <v>190.04978731620099</v>
      </c>
      <c r="AL5177">
        <v>81.354163697097903</v>
      </c>
      <c r="AM5177">
        <v>92.028228733886294</v>
      </c>
      <c r="AN5177">
        <v>1.00000003273509</v>
      </c>
    </row>
    <row r="5178" spans="1:40" x14ac:dyDescent="0.25">
      <c r="A5178" t="str">
        <f>"20190303162014957"</f>
        <v>20190303162014957</v>
      </c>
      <c r="B5178" t="str">
        <f>"1551601214947903"</f>
        <v>1551601214947903</v>
      </c>
      <c r="C5178" t="s">
        <v>40</v>
      </c>
      <c r="D5178">
        <v>3.918161</v>
      </c>
      <c r="E5178">
        <v>0.53349820000000003</v>
      </c>
      <c r="F5178" t="s">
        <v>66</v>
      </c>
      <c r="G5178">
        <v>-168.41220000000001</v>
      </c>
      <c r="H5178">
        <v>3.5207099999999998</v>
      </c>
      <c r="I5178">
        <v>204.67670000000001</v>
      </c>
      <c r="J5178">
        <v>-357.9273</v>
      </c>
      <c r="K5178">
        <v>1.1212569999999999</v>
      </c>
      <c r="L5178">
        <v>214.73990000000001</v>
      </c>
      <c r="M5178">
        <v>0.99993489999999996</v>
      </c>
      <c r="N5178">
        <v>-1.141387E-2</v>
      </c>
      <c r="O5178">
        <v>2.2445620000000001E-4</v>
      </c>
      <c r="P5178">
        <v>0.98960700000000001</v>
      </c>
      <c r="Q5178">
        <v>0.13916709999999999</v>
      </c>
      <c r="R5178">
        <v>3.6201610000000002E-2</v>
      </c>
      <c r="S5178">
        <v>3.031647</v>
      </c>
      <c r="T5178">
        <v>3.8326499999999999E-2</v>
      </c>
      <c r="U5178">
        <v>-0.16073609999999999</v>
      </c>
      <c r="V5178">
        <v>-3.5973610000000003E-2</v>
      </c>
      <c r="W5178">
        <v>0.1504549</v>
      </c>
      <c r="X5178">
        <v>0.98796209999999995</v>
      </c>
      <c r="Y5178">
        <v>5.3168720000000003E-2</v>
      </c>
      <c r="Z5178" s="1">
        <v>3.7575140000000002E-5</v>
      </c>
      <c r="AA5178">
        <v>0.99858550000000001</v>
      </c>
      <c r="AB5178">
        <v>29</v>
      </c>
      <c r="AC5178">
        <v>189.51509999999999</v>
      </c>
      <c r="AD5178">
        <v>2.3994529999999998</v>
      </c>
      <c r="AE5178">
        <v>-10.063199999999901</v>
      </c>
      <c r="AF5178">
        <v>10.1041252043209</v>
      </c>
      <c r="AG5178">
        <v>2.3994529999999998</v>
      </c>
      <c r="AH5178">
        <v>189.48254744719</v>
      </c>
      <c r="AI5178">
        <v>89.2755207881861</v>
      </c>
      <c r="AJ5178">
        <v>86.947603135648393</v>
      </c>
      <c r="AK5178">
        <v>189.76692680211801</v>
      </c>
      <c r="AL5178">
        <v>81.346709923357395</v>
      </c>
      <c r="AM5178">
        <v>92.085328826105197</v>
      </c>
      <c r="AN5178">
        <v>0.99999994429342398</v>
      </c>
    </row>
    <row r="5179" spans="1:40" x14ac:dyDescent="0.25">
      <c r="A5179" t="str">
        <f>"20190303162014979"</f>
        <v>20190303162014979</v>
      </c>
      <c r="B5179" t="str">
        <f>"1551601214967422"</f>
        <v>1551601214967422</v>
      </c>
      <c r="C5179" t="s">
        <v>40</v>
      </c>
      <c r="D5179">
        <v>3.9738129999999998</v>
      </c>
      <c r="E5179">
        <v>0.53393950000000001</v>
      </c>
      <c r="F5179" t="s">
        <v>66</v>
      </c>
      <c r="G5179">
        <v>-168.41220000000001</v>
      </c>
      <c r="H5179">
        <v>3.4904670000000002</v>
      </c>
      <c r="I5179">
        <v>204.65049999999999</v>
      </c>
      <c r="J5179">
        <v>-357.65480000000002</v>
      </c>
      <c r="K5179">
        <v>1.1212580000000001</v>
      </c>
      <c r="L5179">
        <v>214.74</v>
      </c>
      <c r="M5179">
        <v>0.99993489999999996</v>
      </c>
      <c r="N5179">
        <v>-1.141607E-2</v>
      </c>
      <c r="O5179">
        <v>2.2462210000000001E-4</v>
      </c>
      <c r="P5179">
        <v>0.98951369999999905</v>
      </c>
      <c r="Q5179">
        <v>0.13977600000000001</v>
      </c>
      <c r="R5179">
        <v>3.6412E-2</v>
      </c>
      <c r="S5179">
        <v>3.0321039999999999</v>
      </c>
      <c r="T5179">
        <v>3.7906170000000003E-2</v>
      </c>
      <c r="U5179">
        <v>-0.1614227</v>
      </c>
      <c r="V5179">
        <v>-3.618408E-2</v>
      </c>
      <c r="W5179">
        <v>0.15106449999999999</v>
      </c>
      <c r="X5179">
        <v>0.98786149999999995</v>
      </c>
      <c r="Y5179">
        <v>5.338648E-2</v>
      </c>
      <c r="Z5179" s="1">
        <v>3.386923E-5</v>
      </c>
      <c r="AA5179">
        <v>0.99857390000000001</v>
      </c>
      <c r="AB5179">
        <v>29</v>
      </c>
      <c r="AC5179">
        <v>189.24260000000001</v>
      </c>
      <c r="AD5179">
        <v>2.3692090000000001</v>
      </c>
      <c r="AE5179">
        <v>-10.089499999999999</v>
      </c>
      <c r="AF5179">
        <v>10.1304272792928</v>
      </c>
      <c r="AG5179">
        <v>2.3692090000000001</v>
      </c>
      <c r="AH5179">
        <v>189.210756662769</v>
      </c>
      <c r="AI5179">
        <v>89.283632337144297</v>
      </c>
      <c r="AJ5179">
        <v>86.935284900522603</v>
      </c>
      <c r="AK5179">
        <v>189.49656763394</v>
      </c>
      <c r="AL5179">
        <v>81.311379578764004</v>
      </c>
      <c r="AM5179">
        <v>92.097731959290897</v>
      </c>
      <c r="AN5179">
        <v>1.00000005699397</v>
      </c>
    </row>
    <row r="5180" spans="1:40" x14ac:dyDescent="0.25">
      <c r="A5180" t="str">
        <f>"20190303162015002"</f>
        <v>20190303162015002</v>
      </c>
      <c r="B5180" t="str">
        <f>"1551601214997678"</f>
        <v>1551601214997678</v>
      </c>
      <c r="C5180" t="s">
        <v>40</v>
      </c>
      <c r="D5180">
        <v>3.98644</v>
      </c>
      <c r="E5180">
        <v>0.53454880000000005</v>
      </c>
      <c r="F5180" t="s">
        <v>66</v>
      </c>
      <c r="G5180">
        <v>-168.41229999999999</v>
      </c>
      <c r="H5180">
        <v>3.5672169999999999</v>
      </c>
      <c r="I5180">
        <v>204.49610000000001</v>
      </c>
      <c r="J5180">
        <v>-357.36259999999999</v>
      </c>
      <c r="K5180">
        <v>1.1212549999999999</v>
      </c>
      <c r="L5180">
        <v>214.74</v>
      </c>
      <c r="M5180">
        <v>0.99993480000000001</v>
      </c>
      <c r="N5180">
        <v>-1.141844E-2</v>
      </c>
      <c r="O5180">
        <v>2.2514480000000001E-4</v>
      </c>
      <c r="P5180">
        <v>0.98949770000000004</v>
      </c>
      <c r="Q5180">
        <v>0.13998450000000001</v>
      </c>
      <c r="R5180">
        <v>3.6038180000000003E-2</v>
      </c>
      <c r="S5180">
        <v>3.032257</v>
      </c>
      <c r="T5180">
        <v>3.9192440000000002E-2</v>
      </c>
      <c r="U5180">
        <v>-0.1641388</v>
      </c>
      <c r="V5180">
        <v>-3.5809840000000003E-2</v>
      </c>
      <c r="W5180">
        <v>0.1512752</v>
      </c>
      <c r="X5180">
        <v>0.98784289999999997</v>
      </c>
      <c r="Y5180">
        <v>5.427601E-2</v>
      </c>
      <c r="Z5180" s="1">
        <v>4.5856809999999998E-5</v>
      </c>
      <c r="AA5180">
        <v>0.99852600000000002</v>
      </c>
      <c r="AB5180">
        <v>29</v>
      </c>
      <c r="AC5180">
        <v>188.9503</v>
      </c>
      <c r="AD5180">
        <v>2.4459620000000002</v>
      </c>
      <c r="AE5180">
        <v>-10.243899999999901</v>
      </c>
      <c r="AF5180">
        <v>10.284725298350599</v>
      </c>
      <c r="AG5180">
        <v>2.4459620000000002</v>
      </c>
      <c r="AH5180">
        <v>188.916424168937</v>
      </c>
      <c r="AI5180">
        <v>89.259311157381305</v>
      </c>
      <c r="AJ5180">
        <v>86.883858924377293</v>
      </c>
      <c r="AK5180">
        <v>189.211980660173</v>
      </c>
      <c r="AL5180">
        <v>81.299167061479693</v>
      </c>
      <c r="AM5180">
        <v>92.076093949472707</v>
      </c>
      <c r="AN5180">
        <v>1.00000006292813</v>
      </c>
    </row>
    <row r="5181" spans="1:40" x14ac:dyDescent="0.25">
      <c r="A5181" t="str">
        <f>"20190303162015025"</f>
        <v>20190303162015025</v>
      </c>
      <c r="B5181" t="str">
        <f>"1551601215017199"</f>
        <v>1551601215017199</v>
      </c>
      <c r="C5181" t="s">
        <v>40</v>
      </c>
      <c r="D5181">
        <v>3.9815079999999998</v>
      </c>
      <c r="E5181">
        <v>0.53476579999999996</v>
      </c>
      <c r="F5181" t="s">
        <v>66</v>
      </c>
      <c r="G5181">
        <v>-168.41239999999999</v>
      </c>
      <c r="H5181">
        <v>3.5454029999999999</v>
      </c>
      <c r="I5181">
        <v>204.14500000000001</v>
      </c>
      <c r="J5181">
        <v>-357.06760000000003</v>
      </c>
      <c r="K5181">
        <v>1.1212530000000001</v>
      </c>
      <c r="L5181">
        <v>214.74010000000001</v>
      </c>
      <c r="M5181">
        <v>0.99993489999999996</v>
      </c>
      <c r="N5181">
        <v>-1.142089E-2</v>
      </c>
      <c r="O5181">
        <v>2.253096E-4</v>
      </c>
      <c r="P5181">
        <v>0.98967020000000006</v>
      </c>
      <c r="Q5181">
        <v>0.13905209999999901</v>
      </c>
      <c r="R5181">
        <v>3.4899930000000003E-2</v>
      </c>
      <c r="S5181">
        <v>3.0325319999999998</v>
      </c>
      <c r="T5181">
        <v>3.8906570000000001E-2</v>
      </c>
      <c r="U5181">
        <v>-0.1700439</v>
      </c>
      <c r="V5181">
        <v>-3.4671100000000003E-2</v>
      </c>
      <c r="W5181">
        <v>0.1503475</v>
      </c>
      <c r="X5181">
        <v>0.98802509999999999</v>
      </c>
      <c r="Y5181">
        <v>5.6209710000000003E-2</v>
      </c>
      <c r="Z5181" s="1">
        <v>4.4493180000000001E-5</v>
      </c>
      <c r="AA5181">
        <v>0.99841899999999995</v>
      </c>
      <c r="AB5181">
        <v>29</v>
      </c>
      <c r="AC5181">
        <v>188.65520000000001</v>
      </c>
      <c r="AD5181">
        <v>2.42415</v>
      </c>
      <c r="AE5181">
        <v>-10.5951</v>
      </c>
      <c r="AF5181">
        <v>10.6358577274592</v>
      </c>
      <c r="AG5181">
        <v>2.42415</v>
      </c>
      <c r="AH5181">
        <v>188.62176188361599</v>
      </c>
      <c r="AI5181">
        <v>89.264847967214806</v>
      </c>
      <c r="AJ5181">
        <v>86.772667548791404</v>
      </c>
      <c r="AK5181">
        <v>188.93693929166099</v>
      </c>
      <c r="AL5181">
        <v>81.352935013702293</v>
      </c>
      <c r="AM5181">
        <v>92.009759577507296</v>
      </c>
      <c r="AN5181">
        <v>1.0000000270807301</v>
      </c>
    </row>
    <row r="5182" spans="1:40" x14ac:dyDescent="0.25">
      <c r="A5182" t="str">
        <f>"20190303162015047"</f>
        <v>20190303162015047</v>
      </c>
      <c r="B5182" t="str">
        <f>"1551601215037695"</f>
        <v>1551601215037695</v>
      </c>
      <c r="C5182" t="s">
        <v>40</v>
      </c>
      <c r="D5182">
        <v>3.9889139999999998</v>
      </c>
      <c r="E5182">
        <v>0.55462400000000001</v>
      </c>
      <c r="F5182" t="s">
        <v>66</v>
      </c>
      <c r="G5182">
        <v>-168.41249999999999</v>
      </c>
      <c r="H5182">
        <v>3.3584179999999999</v>
      </c>
      <c r="I5182">
        <v>203.82040000000001</v>
      </c>
      <c r="J5182">
        <v>-356.7876</v>
      </c>
      <c r="K5182">
        <v>1.121248</v>
      </c>
      <c r="L5182">
        <v>214.74019999999999</v>
      </c>
      <c r="M5182">
        <v>0.99993469999999995</v>
      </c>
      <c r="N5182">
        <v>-1.1423269999999999E-2</v>
      </c>
      <c r="O5182">
        <v>2.2577280000000001E-4</v>
      </c>
      <c r="P5182">
        <v>0.98979430000000002</v>
      </c>
      <c r="Q5182">
        <v>0.138533399999999</v>
      </c>
      <c r="R5182">
        <v>3.3405560000000001E-2</v>
      </c>
      <c r="S5182">
        <v>3.0324399999999998</v>
      </c>
      <c r="T5182">
        <v>3.596067E-2</v>
      </c>
      <c r="U5182">
        <v>-0.17552190000000001</v>
      </c>
      <c r="V5182">
        <v>-3.3176440000000001E-2</v>
      </c>
      <c r="W5182">
        <v>0.14983270000000001</v>
      </c>
      <c r="X5182">
        <v>0.98815459999999999</v>
      </c>
      <c r="Y5182">
        <v>5.8009890000000001E-2</v>
      </c>
      <c r="Z5182" s="1">
        <v>1.72925099999999E-5</v>
      </c>
      <c r="AA5182">
        <v>0.99831599999999998</v>
      </c>
      <c r="AB5182">
        <v>29</v>
      </c>
      <c r="AC5182">
        <v>188.3751</v>
      </c>
      <c r="AD5182">
        <v>2.2371699999999999</v>
      </c>
      <c r="AE5182">
        <v>-10.919799999999899</v>
      </c>
      <c r="AF5182">
        <v>10.9607917082452</v>
      </c>
      <c r="AG5182">
        <v>2.2371699999999999</v>
      </c>
      <c r="AH5182">
        <v>188.346153738803</v>
      </c>
      <c r="AI5182">
        <v>89.320623766279695</v>
      </c>
      <c r="AJ5182">
        <v>86.669432410169605</v>
      </c>
      <c r="AK5182">
        <v>188.67807904650999</v>
      </c>
      <c r="AL5182">
        <v>81.382768713309801</v>
      </c>
      <c r="AM5182">
        <v>91.922934163607593</v>
      </c>
      <c r="AN5182">
        <v>1.0000000138307601</v>
      </c>
    </row>
    <row r="5183" spans="1:40" x14ac:dyDescent="0.25">
      <c r="A5183" t="str">
        <f>"20190303162015068"</f>
        <v>20190303162015068</v>
      </c>
      <c r="B5183" t="str">
        <f>"1551601215057214"</f>
        <v>1551601215057214</v>
      </c>
      <c r="C5183" t="s">
        <v>40</v>
      </c>
      <c r="D5183">
        <v>3.9536169999999999</v>
      </c>
      <c r="E5183">
        <v>0.55553960000000002</v>
      </c>
      <c r="F5183" t="s">
        <v>66</v>
      </c>
      <c r="G5183">
        <v>-168.41550000000001</v>
      </c>
      <c r="H5183">
        <v>2.5500750000000001</v>
      </c>
      <c r="I5183">
        <v>193.7638</v>
      </c>
      <c r="J5183">
        <v>-356.50619999999998</v>
      </c>
      <c r="K5183">
        <v>1.121243</v>
      </c>
      <c r="L5183">
        <v>214.74019999999999</v>
      </c>
      <c r="M5183">
        <v>0.99993469999999995</v>
      </c>
      <c r="N5183">
        <v>-1.1425680000000001E-2</v>
      </c>
      <c r="O5183">
        <v>2.259377E-4</v>
      </c>
      <c r="P5183">
        <v>0.98978659999999996</v>
      </c>
      <c r="Q5183">
        <v>0.1387496</v>
      </c>
      <c r="R5183">
        <v>3.2730769999999999E-2</v>
      </c>
      <c r="S5183">
        <v>3.0391240000000002</v>
      </c>
      <c r="T5183">
        <v>2.3052690000000001E-2</v>
      </c>
      <c r="U5183">
        <v>-0.33842470000000002</v>
      </c>
      <c r="V5183">
        <v>-3.2501549999999997E-2</v>
      </c>
      <c r="W5183">
        <v>0.15005099999999999</v>
      </c>
      <c r="X5183">
        <v>0.98814389999999996</v>
      </c>
      <c r="Y5183">
        <v>0.1108981</v>
      </c>
      <c r="Z5183">
        <v>-2.119325E-4</v>
      </c>
      <c r="AA5183">
        <v>0.99383180000000004</v>
      </c>
      <c r="AB5183">
        <v>29</v>
      </c>
      <c r="AC5183">
        <v>188.0907</v>
      </c>
      <c r="AD5183">
        <v>1.4288319999999901</v>
      </c>
      <c r="AE5183">
        <v>-20.976399999999899</v>
      </c>
      <c r="AF5183">
        <v>21.017701052104599</v>
      </c>
      <c r="AG5183">
        <v>1.4288319999999901</v>
      </c>
      <c r="AH5183">
        <v>188.07523561924299</v>
      </c>
      <c r="AI5183">
        <v>89.567417542691899</v>
      </c>
      <c r="AJ5183">
        <v>83.623563266243295</v>
      </c>
      <c r="AK5183">
        <v>189.25136610242399</v>
      </c>
      <c r="AL5183">
        <v>81.370117995156306</v>
      </c>
      <c r="AM5183">
        <v>91.883865837918506</v>
      </c>
      <c r="AN5183">
        <v>1.0000000102302999</v>
      </c>
    </row>
    <row r="5184" spans="1:40" x14ac:dyDescent="0.25">
      <c r="A5184" t="str">
        <f>"20190303162015091"</f>
        <v>20190303162015091</v>
      </c>
      <c r="B5184" t="str">
        <f>"1551601215077711"</f>
        <v>1551601215077711</v>
      </c>
      <c r="C5184" t="s">
        <v>40</v>
      </c>
      <c r="D5184">
        <v>3.9903710000000001</v>
      </c>
      <c r="E5184">
        <v>0.55595399999999995</v>
      </c>
      <c r="F5184" t="s">
        <v>66</v>
      </c>
      <c r="G5184">
        <v>-168.41569999999999</v>
      </c>
      <c r="H5184">
        <v>2.601645</v>
      </c>
      <c r="I5184">
        <v>193.2046</v>
      </c>
      <c r="J5184">
        <v>-356.21809999999999</v>
      </c>
      <c r="K5184">
        <v>1.121246</v>
      </c>
      <c r="L5184">
        <v>214.74029999999999</v>
      </c>
      <c r="M5184">
        <v>0.99993469999999995</v>
      </c>
      <c r="N5184">
        <v>-1.142815E-2</v>
      </c>
      <c r="O5184">
        <v>2.262811E-4</v>
      </c>
      <c r="P5184">
        <v>0.98974169999999995</v>
      </c>
      <c r="Q5184">
        <v>0.13905390000000001</v>
      </c>
      <c r="R5184">
        <v>3.2793129999999997E-2</v>
      </c>
      <c r="S5184">
        <v>3.0390630000000001</v>
      </c>
      <c r="T5184">
        <v>2.392006E-2</v>
      </c>
      <c r="U5184">
        <v>-0.34796139999999998</v>
      </c>
      <c r="V5184">
        <v>-3.2563620000000001E-2</v>
      </c>
      <c r="W5184">
        <v>0.15035689999999999</v>
      </c>
      <c r="X5184">
        <v>0.98809530000000001</v>
      </c>
      <c r="Y5184">
        <v>0.1139795</v>
      </c>
      <c r="Z5184">
        <v>-2.0198039999999999E-4</v>
      </c>
      <c r="AA5184">
        <v>0.99348309999999995</v>
      </c>
      <c r="AB5184">
        <v>29</v>
      </c>
      <c r="AC5184">
        <v>187.80240000000001</v>
      </c>
      <c r="AD5184">
        <v>1.480399</v>
      </c>
      <c r="AE5184">
        <v>-21.535699999999899</v>
      </c>
      <c r="AF5184">
        <v>21.576875020049499</v>
      </c>
      <c r="AG5184">
        <v>1.480399</v>
      </c>
      <c r="AH5184">
        <v>187.786004604775</v>
      </c>
      <c r="AI5184">
        <v>89.551274010594696</v>
      </c>
      <c r="AJ5184">
        <v>83.4453792306292</v>
      </c>
      <c r="AK5184">
        <v>189.02734363645601</v>
      </c>
      <c r="AL5184">
        <v>81.3523896065104</v>
      </c>
      <c r="AM5184">
        <v>91.887553729094904</v>
      </c>
      <c r="AN5184">
        <v>0.999999954303601</v>
      </c>
    </row>
    <row r="5185" spans="1:40" x14ac:dyDescent="0.25">
      <c r="A5185" t="str">
        <f>"20190303162015113"</f>
        <v>20190303162015113</v>
      </c>
      <c r="B5185" t="str">
        <f>"1551601215107966"</f>
        <v>1551601215107966</v>
      </c>
      <c r="C5185" t="s">
        <v>40</v>
      </c>
      <c r="D5185">
        <v>3.9986769999999998</v>
      </c>
      <c r="E5185">
        <v>0.55599209999999999</v>
      </c>
      <c r="F5185" t="s">
        <v>66</v>
      </c>
      <c r="G5185">
        <v>-168.41579999999999</v>
      </c>
      <c r="H5185">
        <v>2.6171160000000002</v>
      </c>
      <c r="I5185">
        <v>193.04060000000001</v>
      </c>
      <c r="J5185">
        <v>-355.92829999999998</v>
      </c>
      <c r="K5185">
        <v>1.121246</v>
      </c>
      <c r="L5185">
        <v>214.74039999999999</v>
      </c>
      <c r="M5185">
        <v>0.99993469999999995</v>
      </c>
      <c r="N5185">
        <v>-1.1430610000000001E-2</v>
      </c>
      <c r="O5185">
        <v>2.26565E-4</v>
      </c>
      <c r="P5185">
        <v>0.98963760000000001</v>
      </c>
      <c r="Q5185">
        <v>0.13964470000000001</v>
      </c>
      <c r="R5185">
        <v>3.3427600000000002E-2</v>
      </c>
      <c r="S5185">
        <v>3.0393370000000002</v>
      </c>
      <c r="T5185">
        <v>2.420926E-2</v>
      </c>
      <c r="U5185">
        <v>-0.35118100000000002</v>
      </c>
      <c r="V5185">
        <v>-3.3197589999999999E-2</v>
      </c>
      <c r="W5185">
        <v>0.15094939999999901</v>
      </c>
      <c r="X5185">
        <v>0.98798390000000003</v>
      </c>
      <c r="Y5185">
        <v>0.1150082</v>
      </c>
      <c r="Z5185">
        <v>-1.986116E-4</v>
      </c>
      <c r="AA5185">
        <v>0.99336449999999998</v>
      </c>
      <c r="AB5185">
        <v>29</v>
      </c>
      <c r="AC5185">
        <v>187.51249999999999</v>
      </c>
      <c r="AD5185">
        <v>1.49586999999999</v>
      </c>
      <c r="AE5185">
        <v>-21.6997999999999</v>
      </c>
      <c r="AF5185">
        <v>21.740920687231998</v>
      </c>
      <c r="AG5185">
        <v>1.49586999999999</v>
      </c>
      <c r="AH5185">
        <v>187.49580398337301</v>
      </c>
      <c r="AI5185">
        <v>89.545937466054497</v>
      </c>
      <c r="AJ5185">
        <v>83.385853008839007</v>
      </c>
      <c r="AK5185">
        <v>188.757997898783</v>
      </c>
      <c r="AL5185">
        <v>81.318050272636995</v>
      </c>
      <c r="AM5185">
        <v>91.924491312795894</v>
      </c>
      <c r="AN5185">
        <v>0.99999999400068895</v>
      </c>
    </row>
    <row r="5186" spans="1:40" x14ac:dyDescent="0.25">
      <c r="A5186" t="str">
        <f>"20190303162015136"</f>
        <v>20190303162015136</v>
      </c>
      <c r="B5186" t="str">
        <f>"1551601215127486"</f>
        <v>1551601215127486</v>
      </c>
      <c r="C5186" t="s">
        <v>40</v>
      </c>
      <c r="D5186">
        <v>4.0045390000000003</v>
      </c>
      <c r="E5186">
        <v>0.55633459999999901</v>
      </c>
      <c r="F5186" t="s">
        <v>66</v>
      </c>
      <c r="G5186">
        <v>-168.41579999999999</v>
      </c>
      <c r="H5186">
        <v>2.7229999999999999</v>
      </c>
      <c r="I5186">
        <v>193.19990000000001</v>
      </c>
      <c r="J5186">
        <v>-355.64569999999998</v>
      </c>
      <c r="K5186">
        <v>1.121248</v>
      </c>
      <c r="L5186">
        <v>214.74039999999999</v>
      </c>
      <c r="M5186">
        <v>0.99993469999999995</v>
      </c>
      <c r="N5186">
        <v>-1.143301E-2</v>
      </c>
      <c r="O5186">
        <v>2.2690890000000001E-4</v>
      </c>
      <c r="P5186">
        <v>0.98957680000000003</v>
      </c>
      <c r="Q5186">
        <v>0.13994489999999901</v>
      </c>
      <c r="R5186">
        <v>3.3957559999999998E-2</v>
      </c>
      <c r="S5186">
        <v>3.0395509999999999</v>
      </c>
      <c r="T5186">
        <v>2.596474E-2</v>
      </c>
      <c r="U5186">
        <v>-0.3491669</v>
      </c>
      <c r="V5186">
        <v>-3.3726949999999999E-2</v>
      </c>
      <c r="W5186">
        <v>0.1512511</v>
      </c>
      <c r="X5186">
        <v>0.98791980000000001</v>
      </c>
      <c r="Y5186">
        <v>0.1143508</v>
      </c>
      <c r="Z5186">
        <v>-1.6452939999999901E-4</v>
      </c>
      <c r="AA5186">
        <v>0.9934404</v>
      </c>
      <c r="AB5186">
        <v>29</v>
      </c>
      <c r="AC5186">
        <v>187.22989999999999</v>
      </c>
      <c r="AD5186">
        <v>1.6017520000000001</v>
      </c>
      <c r="AE5186">
        <v>-21.540499999999899</v>
      </c>
      <c r="AF5186">
        <v>21.581427480289999</v>
      </c>
      <c r="AG5186">
        <v>1.6017520000000001</v>
      </c>
      <c r="AH5186">
        <v>187.211484474477</v>
      </c>
      <c r="AI5186">
        <v>89.513023192274005</v>
      </c>
      <c r="AJ5186">
        <v>83.4240650524183</v>
      </c>
      <c r="AK5186">
        <v>188.45812145061299</v>
      </c>
      <c r="AL5186">
        <v>81.300563120509693</v>
      </c>
      <c r="AM5186">
        <v>91.955281872080803</v>
      </c>
      <c r="AN5186">
        <v>0.99999996681977499</v>
      </c>
    </row>
    <row r="5187" spans="1:40" x14ac:dyDescent="0.25">
      <c r="A5187" t="str">
        <f>"20190303162015159"</f>
        <v>20190303162015159</v>
      </c>
      <c r="B5187" t="str">
        <f>"1551601215147982"</f>
        <v>1551601215147982</v>
      </c>
      <c r="C5187" t="s">
        <v>40</v>
      </c>
      <c r="D5187">
        <v>3.9615040000000001</v>
      </c>
      <c r="E5187">
        <v>0.55645080000000002</v>
      </c>
      <c r="F5187" t="s">
        <v>66</v>
      </c>
      <c r="G5187">
        <v>-168.41579999999999</v>
      </c>
      <c r="H5187">
        <v>2.6397970000000002</v>
      </c>
      <c r="I5187">
        <v>193.20160000000001</v>
      </c>
      <c r="J5187">
        <v>-355.34739999999999</v>
      </c>
      <c r="K5187">
        <v>1.121251</v>
      </c>
      <c r="L5187">
        <v>214.7405</v>
      </c>
      <c r="M5187">
        <v>0.99993469999999995</v>
      </c>
      <c r="N5187">
        <v>-1.1435549999999999E-2</v>
      </c>
      <c r="O5187">
        <v>2.2707320000000001E-4</v>
      </c>
      <c r="P5187">
        <v>0.98957479999999998</v>
      </c>
      <c r="Q5187">
        <v>0.1399532</v>
      </c>
      <c r="R5187">
        <v>3.3988659999999997E-2</v>
      </c>
      <c r="S5187">
        <v>3.0400999999999998</v>
      </c>
      <c r="T5187">
        <v>2.465761E-2</v>
      </c>
      <c r="U5187">
        <v>-0.34973140000000003</v>
      </c>
      <c r="V5187">
        <v>-3.3757990000000002E-2</v>
      </c>
      <c r="W5187">
        <v>0.15126149999999999</v>
      </c>
      <c r="X5187">
        <v>0.98791719999999905</v>
      </c>
      <c r="Y5187">
        <v>0.1145128</v>
      </c>
      <c r="Z5187">
        <v>-1.8964270000000001E-4</v>
      </c>
      <c r="AA5187">
        <v>0.99342169999999996</v>
      </c>
      <c r="AB5187">
        <v>29</v>
      </c>
      <c r="AC5187">
        <v>186.9316</v>
      </c>
      <c r="AD5187">
        <v>1.518546</v>
      </c>
      <c r="AE5187">
        <v>-21.538899999999899</v>
      </c>
      <c r="AF5187">
        <v>21.579943930440301</v>
      </c>
      <c r="AG5187">
        <v>1.518546</v>
      </c>
      <c r="AH5187">
        <v>186.914530730834</v>
      </c>
      <c r="AI5187">
        <v>89.537594763535495</v>
      </c>
      <c r="AJ5187">
        <v>83.414158268459005</v>
      </c>
      <c r="AK5187">
        <v>188.16227507213799</v>
      </c>
      <c r="AL5187">
        <v>81.299960763320399</v>
      </c>
      <c r="AM5187">
        <v>91.957085128965204</v>
      </c>
      <c r="AN5187">
        <v>1.0000000186634601</v>
      </c>
    </row>
    <row r="5188" spans="1:40" x14ac:dyDescent="0.25">
      <c r="A5188" t="str">
        <f>"20190303162015181"</f>
        <v>20190303162015181</v>
      </c>
      <c r="B5188" t="str">
        <f>"1551601215167502"</f>
        <v>1551601215167502</v>
      </c>
      <c r="C5188" t="s">
        <v>40</v>
      </c>
      <c r="D5188">
        <v>3.9458899999999999</v>
      </c>
      <c r="E5188">
        <v>0.55652509999999999</v>
      </c>
      <c r="F5188" t="s">
        <v>66</v>
      </c>
      <c r="G5188">
        <v>-168.41579999999999</v>
      </c>
      <c r="H5188">
        <v>2.6700059999999999</v>
      </c>
      <c r="I5188">
        <v>193.19640000000001</v>
      </c>
      <c r="J5188">
        <v>-355.06599999999997</v>
      </c>
      <c r="K5188">
        <v>1.121248</v>
      </c>
      <c r="L5188">
        <v>214.7406</v>
      </c>
      <c r="M5188">
        <v>0.99993460000000001</v>
      </c>
      <c r="N5188">
        <v>-1.1437920000000001E-2</v>
      </c>
      <c r="O5188">
        <v>2.275364E-4</v>
      </c>
      <c r="P5188">
        <v>0.98959050000000004</v>
      </c>
      <c r="Q5188">
        <v>0.13986960000000001</v>
      </c>
      <c r="R5188">
        <v>3.3871850000000002E-2</v>
      </c>
      <c r="S5188">
        <v>3.0400700000000001</v>
      </c>
      <c r="T5188">
        <v>2.518797E-2</v>
      </c>
      <c r="U5188">
        <v>-0.35037230000000003</v>
      </c>
      <c r="V5188">
        <v>-3.3640639999999999E-2</v>
      </c>
      <c r="W5188">
        <v>0.15118039999999999</v>
      </c>
      <c r="X5188">
        <v>0.98793359999999997</v>
      </c>
      <c r="Y5188">
        <v>0.11472110000000001</v>
      </c>
      <c r="Z5188">
        <v>-1.8011859999999999E-4</v>
      </c>
      <c r="AA5188">
        <v>0.99339770000000005</v>
      </c>
      <c r="AB5188">
        <v>29</v>
      </c>
      <c r="AC5188">
        <v>186.65020000000001</v>
      </c>
      <c r="AD5188">
        <v>1.5487580000000001</v>
      </c>
      <c r="AE5188">
        <v>-21.544199999999901</v>
      </c>
      <c r="AF5188">
        <v>21.585205310479001</v>
      </c>
      <c r="AG5188">
        <v>1.5487580000000001</v>
      </c>
      <c r="AH5188">
        <v>186.63261186510101</v>
      </c>
      <c r="AI5188">
        <v>89.527694020540196</v>
      </c>
      <c r="AJ5188">
        <v>83.402703665913904</v>
      </c>
      <c r="AK5188">
        <v>187.883079470258</v>
      </c>
      <c r="AL5188">
        <v>81.3046613636335</v>
      </c>
      <c r="AM5188">
        <v>91.950254794715207</v>
      </c>
      <c r="AN5188">
        <v>1.00000000200636</v>
      </c>
    </row>
    <row r="5189" spans="1:40" x14ac:dyDescent="0.25">
      <c r="A5189" t="str">
        <f>"20190303162015203"</f>
        <v>20190303162015203</v>
      </c>
      <c r="B5189" t="str">
        <f>"1551601215197759"</f>
        <v>1551601215197759</v>
      </c>
      <c r="C5189" t="s">
        <v>40</v>
      </c>
      <c r="D5189">
        <v>3.986389</v>
      </c>
      <c r="E5189">
        <v>0.55672940000000004</v>
      </c>
      <c r="F5189" t="s">
        <v>66</v>
      </c>
      <c r="G5189">
        <v>-168.41579999999999</v>
      </c>
      <c r="H5189">
        <v>2.6967340000000002</v>
      </c>
      <c r="I5189">
        <v>193.13990000000001</v>
      </c>
      <c r="J5189">
        <v>-354.7774</v>
      </c>
      <c r="K5189">
        <v>1.121248</v>
      </c>
      <c r="L5189">
        <v>214.7406</v>
      </c>
      <c r="M5189">
        <v>0.99993469999999995</v>
      </c>
      <c r="N5189">
        <v>-1.144033E-2</v>
      </c>
      <c r="O5189">
        <v>2.2770139999999999E-4</v>
      </c>
      <c r="P5189">
        <v>0.98961069999999995</v>
      </c>
      <c r="Q5189">
        <v>0.13980789999999901</v>
      </c>
      <c r="R5189">
        <v>3.3534069999999999E-2</v>
      </c>
      <c r="S5189">
        <v>3.0399479999999999</v>
      </c>
      <c r="T5189">
        <v>2.5660280000000001E-2</v>
      </c>
      <c r="U5189">
        <v>-0.35180660000000002</v>
      </c>
      <c r="V5189">
        <v>-3.3302709999999999E-2</v>
      </c>
      <c r="W5189">
        <v>0.15112149999999999</v>
      </c>
      <c r="X5189">
        <v>0.98795409999999995</v>
      </c>
      <c r="Y5189">
        <v>0.1151882</v>
      </c>
      <c r="Z5189">
        <v>-1.7206489999999999E-4</v>
      </c>
      <c r="AA5189">
        <v>0.99334370000000005</v>
      </c>
      <c r="AB5189">
        <v>29</v>
      </c>
      <c r="AC5189">
        <v>186.36160000000001</v>
      </c>
      <c r="AD5189">
        <v>1.5754859999999999</v>
      </c>
      <c r="AE5189">
        <v>-21.6006999999999</v>
      </c>
      <c r="AF5189">
        <v>21.641610811932601</v>
      </c>
      <c r="AG5189">
        <v>1.5754859999999999</v>
      </c>
      <c r="AH5189">
        <v>186.343535142295</v>
      </c>
      <c r="AI5189">
        <v>89.518824711626195</v>
      </c>
      <c r="AJ5189">
        <v>83.375446637736005</v>
      </c>
      <c r="AK5189">
        <v>187.6026507382</v>
      </c>
      <c r="AL5189">
        <v>81.308075650294697</v>
      </c>
      <c r="AM5189">
        <v>91.930638789296296</v>
      </c>
      <c r="AN5189">
        <v>1.0000000409812</v>
      </c>
    </row>
    <row r="5190" spans="1:40" x14ac:dyDescent="0.25">
      <c r="A5190" t="str">
        <f>"20190303162015225"</f>
        <v>20190303162015225</v>
      </c>
      <c r="B5190" t="str">
        <f>"1551601215217278"</f>
        <v>1551601215217278</v>
      </c>
      <c r="C5190" t="s">
        <v>40</v>
      </c>
      <c r="D5190">
        <v>4.0007239999999999</v>
      </c>
      <c r="E5190">
        <v>0.55694089999999996</v>
      </c>
      <c r="F5190" t="s">
        <v>66</v>
      </c>
      <c r="G5190">
        <v>-168.41579999999999</v>
      </c>
      <c r="H5190">
        <v>2.6139809999999999</v>
      </c>
      <c r="I5190">
        <v>193.0164</v>
      </c>
      <c r="J5190">
        <v>-354.50290000000001</v>
      </c>
      <c r="K5190">
        <v>1.121243</v>
      </c>
      <c r="L5190">
        <v>214.7407</v>
      </c>
      <c r="M5190">
        <v>0.99993460000000001</v>
      </c>
      <c r="N5190">
        <v>-1.144264E-2</v>
      </c>
      <c r="O5190">
        <v>2.2804579999999999E-4</v>
      </c>
      <c r="P5190">
        <v>0.98963699999999999</v>
      </c>
      <c r="Q5190">
        <v>0.1396376</v>
      </c>
      <c r="R5190">
        <v>3.3468669999999999E-2</v>
      </c>
      <c r="S5190">
        <v>3.0400999999999998</v>
      </c>
      <c r="T5190">
        <v>2.4351359999999999E-2</v>
      </c>
      <c r="U5190">
        <v>-0.35438540000000002</v>
      </c>
      <c r="V5190">
        <v>-3.323715E-2</v>
      </c>
      <c r="W5190">
        <v>0.15095420000000001</v>
      </c>
      <c r="X5190">
        <v>0.98798189999999997</v>
      </c>
      <c r="Y5190">
        <v>0.1160144</v>
      </c>
      <c r="Z5190">
        <v>-1.9852539999999999E-4</v>
      </c>
      <c r="AA5190">
        <v>0.99324749999999995</v>
      </c>
      <c r="AB5190">
        <v>29</v>
      </c>
      <c r="AC5190">
        <v>186.08709999999999</v>
      </c>
      <c r="AD5190">
        <v>1.4927379999999999</v>
      </c>
      <c r="AE5190">
        <v>-21.724299999999999</v>
      </c>
      <c r="AF5190">
        <v>21.765356866500799</v>
      </c>
      <c r="AG5190">
        <v>1.4927379999999999</v>
      </c>
      <c r="AH5190">
        <v>186.070328446622</v>
      </c>
      <c r="AI5190">
        <v>89.543470494601195</v>
      </c>
      <c r="AJ5190">
        <v>83.328213371511893</v>
      </c>
      <c r="AK5190">
        <v>187.34493896152301</v>
      </c>
      <c r="AL5190">
        <v>81.317772613369698</v>
      </c>
      <c r="AM5190">
        <v>91.926786808116205</v>
      </c>
      <c r="AN5190">
        <v>1.0000000566826801</v>
      </c>
    </row>
    <row r="5191" spans="1:40" x14ac:dyDescent="0.25">
      <c r="A5191" t="str">
        <f>"20190303162015247"</f>
        <v>20190303162015247</v>
      </c>
      <c r="B5191" t="str">
        <f>"1551601215237778"</f>
        <v>1551601215237778</v>
      </c>
      <c r="C5191" t="s">
        <v>40</v>
      </c>
      <c r="D5191">
        <v>4.1355899999999997</v>
      </c>
      <c r="E5191">
        <v>0.5424966</v>
      </c>
      <c r="F5191" t="s">
        <v>66</v>
      </c>
      <c r="G5191">
        <v>-168.41579999999999</v>
      </c>
      <c r="H5191">
        <v>2.5813120000000001</v>
      </c>
      <c r="I5191">
        <v>192.92349999999999</v>
      </c>
      <c r="J5191">
        <v>-354.2165</v>
      </c>
      <c r="K5191">
        <v>1.1212420000000001</v>
      </c>
      <c r="L5191">
        <v>214.74080000000001</v>
      </c>
      <c r="M5191">
        <v>0.9999344</v>
      </c>
      <c r="N5191">
        <v>-1.144498E-2</v>
      </c>
      <c r="O5191">
        <v>2.2850919999999999E-4</v>
      </c>
      <c r="P5191">
        <v>0.98965760000000003</v>
      </c>
      <c r="Q5191">
        <v>0.13946029999999901</v>
      </c>
      <c r="R5191">
        <v>3.3591610000000001E-2</v>
      </c>
      <c r="S5191">
        <v>3.0401310000000001</v>
      </c>
      <c r="T5191">
        <v>2.3853900000000001E-2</v>
      </c>
      <c r="U5191">
        <v>-0.35643010000000003</v>
      </c>
      <c r="V5191">
        <v>-3.335958E-2</v>
      </c>
      <c r="W5191">
        <v>0.15077929999999901</v>
      </c>
      <c r="X5191">
        <v>0.9880044</v>
      </c>
      <c r="Y5191">
        <v>0.1166727</v>
      </c>
      <c r="Z5191">
        <v>-2.0940419999999999E-4</v>
      </c>
      <c r="AA5191">
        <v>0.99317040000000001</v>
      </c>
      <c r="AB5191">
        <v>29</v>
      </c>
      <c r="AC5191">
        <v>185.80070000000001</v>
      </c>
      <c r="AD5191">
        <v>1.46007</v>
      </c>
      <c r="AE5191">
        <v>-21.817299999999999</v>
      </c>
      <c r="AF5191">
        <v>21.8584279354363</v>
      </c>
      <c r="AG5191">
        <v>1.46007</v>
      </c>
      <c r="AH5191">
        <v>185.78439280168101</v>
      </c>
      <c r="AI5191">
        <v>89.552809072347003</v>
      </c>
      <c r="AJ5191">
        <v>83.289724993961599</v>
      </c>
      <c r="AK5191">
        <v>187.07154589862901</v>
      </c>
      <c r="AL5191">
        <v>81.3279089729498</v>
      </c>
      <c r="AM5191">
        <v>91.933834796453098</v>
      </c>
      <c r="AN5191">
        <v>0.99999997665281304</v>
      </c>
    </row>
    <row r="5192" spans="1:40" x14ac:dyDescent="0.25">
      <c r="A5192" t="str">
        <f>"20190303162015270"</f>
        <v>20190303162015270</v>
      </c>
      <c r="B5192" t="str">
        <f>"1551601215257294"</f>
        <v>1551601215257294</v>
      </c>
      <c r="C5192" t="s">
        <v>40</v>
      </c>
      <c r="D5192">
        <v>4.07822</v>
      </c>
      <c r="E5192">
        <v>0.52673159999999997</v>
      </c>
      <c r="F5192" t="s">
        <v>66</v>
      </c>
      <c r="G5192">
        <v>-168.4127</v>
      </c>
      <c r="H5192">
        <v>0.25344280000000002</v>
      </c>
      <c r="I5192">
        <v>200.00720000000001</v>
      </c>
      <c r="J5192">
        <v>-353.9151</v>
      </c>
      <c r="K5192">
        <v>1.121246</v>
      </c>
      <c r="L5192">
        <v>214.74080000000001</v>
      </c>
      <c r="M5192">
        <v>0.9999344</v>
      </c>
      <c r="N5192">
        <v>-1.144733E-2</v>
      </c>
      <c r="O5192">
        <v>2.2885350000000001E-4</v>
      </c>
      <c r="P5192">
        <v>0.98963699999999999</v>
      </c>
      <c r="Q5192">
        <v>0.1396058</v>
      </c>
      <c r="R5192">
        <v>3.3598919999999997E-2</v>
      </c>
      <c r="S5192">
        <v>3.0415040000000002</v>
      </c>
      <c r="T5192">
        <v>-1.420486E-2</v>
      </c>
      <c r="U5192">
        <v>-0.24118039999999999</v>
      </c>
      <c r="V5192">
        <v>-3.3366840000000002E-2</v>
      </c>
      <c r="W5192">
        <v>0.150926799999999</v>
      </c>
      <c r="X5192">
        <v>0.98798169999999996</v>
      </c>
      <c r="Y5192">
        <v>7.9273449999999995E-2</v>
      </c>
      <c r="Z5192">
        <v>-6.3774640000000004E-4</v>
      </c>
      <c r="AA5192">
        <v>0.99685270000000004</v>
      </c>
      <c r="AB5192">
        <v>29</v>
      </c>
      <c r="AC5192">
        <v>185.50239999999999</v>
      </c>
      <c r="AD5192">
        <v>-0.867803199999999</v>
      </c>
      <c r="AE5192">
        <v>-14.7335999999999</v>
      </c>
      <c r="AF5192">
        <v>14.7757339341092</v>
      </c>
      <c r="AG5192">
        <v>-0.867803199999999</v>
      </c>
      <c r="AH5192">
        <v>185.49498900448</v>
      </c>
      <c r="AI5192">
        <v>90.267199164579594</v>
      </c>
      <c r="AJ5192">
        <v>85.445680536526893</v>
      </c>
      <c r="AK5192">
        <v>186.084567714407</v>
      </c>
      <c r="AL5192">
        <v>81.319360586498803</v>
      </c>
      <c r="AM5192">
        <v>91.9342997425845</v>
      </c>
      <c r="AN5192">
        <v>1.0000000422523501</v>
      </c>
    </row>
    <row r="5193" spans="1:40" x14ac:dyDescent="0.25">
      <c r="A5193" t="str">
        <f>"20190303162015293"</f>
        <v>20190303162015293</v>
      </c>
      <c r="B5193" t="str">
        <f>"1551601215287551"</f>
        <v>1551601215287551</v>
      </c>
      <c r="C5193" t="s">
        <v>40</v>
      </c>
      <c r="D5193">
        <v>4.1724560000000004</v>
      </c>
      <c r="E5193">
        <v>0.51438300000000003</v>
      </c>
      <c r="F5193" t="s">
        <v>66</v>
      </c>
      <c r="G5193">
        <v>-168.41040000000001</v>
      </c>
      <c r="H5193">
        <v>0.88444709999999904</v>
      </c>
      <c r="I5193">
        <v>207.69579999999999</v>
      </c>
      <c r="J5193">
        <v>-353.62259999999998</v>
      </c>
      <c r="K5193">
        <v>1.1212439999999999</v>
      </c>
      <c r="L5193">
        <v>214.74090000000001</v>
      </c>
      <c r="M5193">
        <v>0.9999344</v>
      </c>
      <c r="N5193">
        <v>-1.144951E-2</v>
      </c>
      <c r="O5193">
        <v>2.2913910000000001E-4</v>
      </c>
      <c r="P5193">
        <v>0.98958699999999999</v>
      </c>
      <c r="Q5193">
        <v>0.13995869999999999</v>
      </c>
      <c r="R5193">
        <v>3.3603620000000001E-2</v>
      </c>
      <c r="S5193">
        <v>3.0358890000000001</v>
      </c>
      <c r="T5193">
        <v>-3.8747790000000001E-3</v>
      </c>
      <c r="U5193">
        <v>-0.11529540000000001</v>
      </c>
      <c r="V5193">
        <v>-3.3371140000000001E-2</v>
      </c>
      <c r="W5193">
        <v>0.15128129999999901</v>
      </c>
      <c r="X5193">
        <v>0.98792729999999995</v>
      </c>
      <c r="Y5193">
        <v>3.8178789999999997E-2</v>
      </c>
      <c r="Z5193">
        <v>-2.4067629999999999E-4</v>
      </c>
      <c r="AA5193">
        <v>0.99927089999999996</v>
      </c>
      <c r="AB5193">
        <v>29</v>
      </c>
      <c r="AC5193">
        <v>185.2122</v>
      </c>
      <c r="AD5193">
        <v>-0.2367969</v>
      </c>
      <c r="AE5193">
        <v>-7.0451000000000104</v>
      </c>
      <c r="AF5193">
        <v>7.08753038635761</v>
      </c>
      <c r="AG5193">
        <v>-0.2367969</v>
      </c>
      <c r="AH5193">
        <v>185.21027841511199</v>
      </c>
      <c r="AI5193">
        <v>90.073200755988296</v>
      </c>
      <c r="AJ5193">
        <v>87.808504301863294</v>
      </c>
      <c r="AK5193">
        <v>185.34599102854199</v>
      </c>
      <c r="AL5193">
        <v>81.298813001138001</v>
      </c>
      <c r="AM5193">
        <v>91.934655271841294</v>
      </c>
      <c r="AN5193">
        <v>1.00000000739993</v>
      </c>
    </row>
    <row r="5194" spans="1:40" x14ac:dyDescent="0.25">
      <c r="A5194" t="str">
        <f>"20190303162015313"</f>
        <v>20190303162015313</v>
      </c>
      <c r="B5194" t="str">
        <f>"1551601215308046"</f>
        <v>1551601215308046</v>
      </c>
      <c r="C5194" t="s">
        <v>40</v>
      </c>
      <c r="D5194">
        <v>4.1249719999999996</v>
      </c>
      <c r="E5194">
        <v>0.51141479999999995</v>
      </c>
      <c r="F5194" t="s">
        <v>67</v>
      </c>
      <c r="G5194">
        <v>-107.39749999999999</v>
      </c>
      <c r="H5194">
        <v>2.1074480000000002</v>
      </c>
      <c r="I5194">
        <v>213.37469999999999</v>
      </c>
      <c r="J5194">
        <v>-353.35390000000001</v>
      </c>
      <c r="K5194">
        <v>1.1212439999999999</v>
      </c>
      <c r="L5194">
        <v>214.74100000000001</v>
      </c>
      <c r="M5194">
        <v>0.9999344</v>
      </c>
      <c r="N5194">
        <v>-1.145147E-2</v>
      </c>
      <c r="O5194">
        <v>2.293067E-4</v>
      </c>
      <c r="P5194">
        <v>0.98960610000000004</v>
      </c>
      <c r="Q5194">
        <v>0.13983679999999901</v>
      </c>
      <c r="R5194">
        <v>3.355035E-2</v>
      </c>
      <c r="S5194">
        <v>3.0304259999999998</v>
      </c>
      <c r="T5194">
        <v>1.2138370000000001E-2</v>
      </c>
      <c r="U5194">
        <v>-1.6815190000000001E-2</v>
      </c>
      <c r="V5194">
        <v>-3.3317579999999999E-2</v>
      </c>
      <c r="W5194">
        <v>0.15116160000000001</v>
      </c>
      <c r="X5194">
        <v>0.98794740000000003</v>
      </c>
      <c r="Y5194">
        <v>5.7780779999999999E-3</v>
      </c>
      <c r="Z5194" s="1">
        <v>-1.79685299999999E-5</v>
      </c>
      <c r="AA5194">
        <v>0.99998330000000002</v>
      </c>
      <c r="AB5194">
        <v>29</v>
      </c>
      <c r="AC5194">
        <v>245.9564</v>
      </c>
      <c r="AD5194">
        <v>0.98620399999999897</v>
      </c>
      <c r="AE5194">
        <v>-1.3662999999999901</v>
      </c>
      <c r="AF5194">
        <v>1.42268024069596</v>
      </c>
      <c r="AG5194">
        <v>0.98620399999999897</v>
      </c>
      <c r="AH5194">
        <v>245.95212604861001</v>
      </c>
      <c r="AI5194">
        <v>89.770263913752203</v>
      </c>
      <c r="AJ5194">
        <v>89.668583209283597</v>
      </c>
      <c r="AK5194">
        <v>245.95821784447099</v>
      </c>
      <c r="AL5194">
        <v>81.305750835331594</v>
      </c>
      <c r="AM5194">
        <v>91.931513275416293</v>
      </c>
      <c r="AN5194">
        <v>0.99999997780918704</v>
      </c>
    </row>
    <row r="5195" spans="1:40" x14ac:dyDescent="0.25">
      <c r="A5195" t="str">
        <f>"20190303162015336"</f>
        <v>20190303162015336</v>
      </c>
      <c r="B5195" t="str">
        <f>"1551601215327566"</f>
        <v>1551601215327566</v>
      </c>
      <c r="C5195" t="s">
        <v>40</v>
      </c>
      <c r="D5195">
        <v>4.1380470000000003</v>
      </c>
      <c r="E5195">
        <v>0.50987819999999995</v>
      </c>
      <c r="F5195" t="s">
        <v>67</v>
      </c>
      <c r="G5195">
        <v>-107.39749999999999</v>
      </c>
      <c r="H5195">
        <v>2.2104629999999998</v>
      </c>
      <c r="I5195">
        <v>215.27119999999999</v>
      </c>
      <c r="J5195">
        <v>-353.0652</v>
      </c>
      <c r="K5195">
        <v>1.121246</v>
      </c>
      <c r="L5195">
        <v>214.74100000000001</v>
      </c>
      <c r="M5195">
        <v>0.9999344</v>
      </c>
      <c r="N5195">
        <v>-1.145354E-2</v>
      </c>
      <c r="O5195">
        <v>2.296523E-4</v>
      </c>
      <c r="P5195">
        <v>0.98957720000000005</v>
      </c>
      <c r="Q5195">
        <v>0.14000460000000001</v>
      </c>
      <c r="R5195">
        <v>3.3701370000000001E-2</v>
      </c>
      <c r="S5195">
        <v>3.029388</v>
      </c>
      <c r="T5195">
        <v>1.3416290000000001E-2</v>
      </c>
      <c r="U5195">
        <v>6.5307619999999999E-3</v>
      </c>
      <c r="V5195">
        <v>-3.3468379999999999E-2</v>
      </c>
      <c r="W5195">
        <v>0.1513312</v>
      </c>
      <c r="X5195">
        <v>0.98791640000000003</v>
      </c>
      <c r="Y5195">
        <v>-1.926189E-3</v>
      </c>
      <c r="Z5195" s="1">
        <v>1.041331E-5</v>
      </c>
      <c r="AA5195">
        <v>0.99999819999999995</v>
      </c>
      <c r="AB5195">
        <v>29</v>
      </c>
      <c r="AC5195">
        <v>245.6677</v>
      </c>
      <c r="AD5195">
        <v>1.0892170000000001</v>
      </c>
      <c r="AE5195">
        <v>0.530200000000007</v>
      </c>
      <c r="AF5195">
        <v>-0.47376882072853699</v>
      </c>
      <c r="AG5195">
        <v>1.0892170000000001</v>
      </c>
      <c r="AH5195">
        <v>245.662986143723</v>
      </c>
      <c r="AI5195">
        <v>89.745964937324899</v>
      </c>
      <c r="AJ5195">
        <v>90.110496581784602</v>
      </c>
      <c r="AK5195">
        <v>245.66585764330301</v>
      </c>
      <c r="AL5195">
        <v>81.295920918769795</v>
      </c>
      <c r="AM5195">
        <v>91.940309743021899</v>
      </c>
      <c r="AN5195">
        <v>1.0000000389711099</v>
      </c>
    </row>
    <row r="5196" spans="1:40" x14ac:dyDescent="0.25">
      <c r="A5196" t="str">
        <f>"20190303162015359"</f>
        <v>20190303162015359</v>
      </c>
      <c r="B5196" t="str">
        <f>"1551601215347086"</f>
        <v>1551601215347086</v>
      </c>
      <c r="C5196" t="s">
        <v>40</v>
      </c>
      <c r="D5196">
        <v>4.1599019999999998</v>
      </c>
      <c r="E5196">
        <v>0.50887109999999902</v>
      </c>
      <c r="F5196" t="s">
        <v>67</v>
      </c>
      <c r="G5196">
        <v>-107.39749999999999</v>
      </c>
      <c r="H5196">
        <v>2.5788190000000002</v>
      </c>
      <c r="I5196">
        <v>216.29939999999999</v>
      </c>
      <c r="J5196">
        <v>-352.76960000000003</v>
      </c>
      <c r="K5196">
        <v>1.1212489999999999</v>
      </c>
      <c r="L5196">
        <v>214.74109999999999</v>
      </c>
      <c r="M5196">
        <v>0.9999344</v>
      </c>
      <c r="N5196">
        <v>-1.145565E-2</v>
      </c>
      <c r="O5196">
        <v>2.299976E-4</v>
      </c>
      <c r="P5196">
        <v>0.98941029999999996</v>
      </c>
      <c r="Q5196">
        <v>0.14105290000000001</v>
      </c>
      <c r="R5196">
        <v>3.4217879999999999E-2</v>
      </c>
      <c r="S5196">
        <v>3.0284119999999999</v>
      </c>
      <c r="T5196">
        <v>1.7968540000000002E-2</v>
      </c>
      <c r="U5196">
        <v>1.921082E-2</v>
      </c>
      <c r="V5196">
        <v>-3.398433E-2</v>
      </c>
      <c r="W5196">
        <v>0.1523794</v>
      </c>
      <c r="X5196">
        <v>0.98773759999999999</v>
      </c>
      <c r="Y5196">
        <v>-6.1135290000000004E-3</v>
      </c>
      <c r="Z5196" s="1">
        <v>2.08814E-5</v>
      </c>
      <c r="AA5196">
        <v>0.99998129999999996</v>
      </c>
      <c r="AB5196">
        <v>29</v>
      </c>
      <c r="AC5196">
        <v>245.37209999999999</v>
      </c>
      <c r="AD5196">
        <v>1.45756999999999</v>
      </c>
      <c r="AE5196">
        <v>1.5583</v>
      </c>
      <c r="AF5196">
        <v>-1.50180827237795</v>
      </c>
      <c r="AG5196">
        <v>1.45756999999999</v>
      </c>
      <c r="AH5196">
        <v>245.36379425963199</v>
      </c>
      <c r="AI5196">
        <v>89.659647980969794</v>
      </c>
      <c r="AJ5196">
        <v>90.350688256128507</v>
      </c>
      <c r="AK5196">
        <v>245.37271949398701</v>
      </c>
      <c r="AL5196">
        <v>81.235158387053403</v>
      </c>
      <c r="AM5196">
        <v>91.970554611124996</v>
      </c>
      <c r="AN5196">
        <v>0.99999999134183404</v>
      </c>
    </row>
    <row r="5197" spans="1:40" x14ac:dyDescent="0.25">
      <c r="A5197" t="str">
        <f>"20190303162015383"</f>
        <v>20190303162015383</v>
      </c>
      <c r="B5197" t="str">
        <f>"1551601215367582"</f>
        <v>1551601215367582</v>
      </c>
      <c r="C5197" t="s">
        <v>40</v>
      </c>
      <c r="D5197">
        <v>4.177829</v>
      </c>
      <c r="E5197">
        <v>0.50821329999999998</v>
      </c>
      <c r="F5197" t="s">
        <v>67</v>
      </c>
      <c r="G5197">
        <v>-107.39749999999999</v>
      </c>
      <c r="H5197">
        <v>2.924188</v>
      </c>
      <c r="I5197">
        <v>217.0694</v>
      </c>
      <c r="J5197">
        <v>-352.47239999999999</v>
      </c>
      <c r="K5197">
        <v>1.121245</v>
      </c>
      <c r="L5197">
        <v>214.74119999999999</v>
      </c>
      <c r="M5197">
        <v>0.9999344</v>
      </c>
      <c r="N5197">
        <v>-1.1457770000000001E-2</v>
      </c>
      <c r="O5197">
        <v>2.3028330000000001E-4</v>
      </c>
      <c r="P5197">
        <v>0.98929460000000002</v>
      </c>
      <c r="Q5197">
        <v>0.14165420000000001</v>
      </c>
      <c r="R5197">
        <v>3.5077530000000003E-2</v>
      </c>
      <c r="S5197">
        <v>3.0279850000000001</v>
      </c>
      <c r="T5197">
        <v>2.2249580000000001E-2</v>
      </c>
      <c r="U5197">
        <v>2.8732299999999999E-2</v>
      </c>
      <c r="V5197">
        <v>-3.4843880000000001E-2</v>
      </c>
      <c r="W5197">
        <v>0.1529817</v>
      </c>
      <c r="X5197">
        <v>0.98761460000000001</v>
      </c>
      <c r="Y5197">
        <v>-9.2583849999999992E-3</v>
      </c>
      <c r="Z5197" s="1">
        <v>2.3359290000000001E-5</v>
      </c>
      <c r="AA5197">
        <v>0.99995710000000004</v>
      </c>
      <c r="AB5197">
        <v>29</v>
      </c>
      <c r="AC5197">
        <v>245.07490000000001</v>
      </c>
      <c r="AD5197">
        <v>1.802943</v>
      </c>
      <c r="AE5197">
        <v>2.3281999999999998</v>
      </c>
      <c r="AF5197">
        <v>-2.2716366482515502</v>
      </c>
      <c r="AG5197">
        <v>1.802943</v>
      </c>
      <c r="AH5197">
        <v>245.06216785329801</v>
      </c>
      <c r="AI5197">
        <v>89.578495839707003</v>
      </c>
      <c r="AJ5197">
        <v>90.5310957050376</v>
      </c>
      <c r="AK5197">
        <v>245.079328074567</v>
      </c>
      <c r="AL5197">
        <v>81.200240234263404</v>
      </c>
      <c r="AM5197">
        <v>92.020605557223803</v>
      </c>
      <c r="AN5197">
        <v>1.00000004732075</v>
      </c>
    </row>
    <row r="5198" spans="1:40" x14ac:dyDescent="0.25">
      <c r="A5198" t="str">
        <f>"20190303162015403"</f>
        <v>20190303162015403</v>
      </c>
      <c r="B5198" t="str">
        <f>"1551601215397839"</f>
        <v>1551601215397839</v>
      </c>
      <c r="C5198" t="s">
        <v>40</v>
      </c>
      <c r="D5198">
        <v>4.2194250000000002</v>
      </c>
      <c r="E5198">
        <v>0.50749049999999996</v>
      </c>
      <c r="F5198" t="s">
        <v>67</v>
      </c>
      <c r="G5198">
        <v>-107.39749999999999</v>
      </c>
      <c r="H5198">
        <v>3.1101329999999998</v>
      </c>
      <c r="I5198">
        <v>217.72280000000001</v>
      </c>
      <c r="J5198">
        <v>-352.19920000000002</v>
      </c>
      <c r="K5198">
        <v>1.121254</v>
      </c>
      <c r="L5198">
        <v>214.7413</v>
      </c>
      <c r="M5198">
        <v>0.99993430000000005</v>
      </c>
      <c r="N5198">
        <v>-1.145972E-2</v>
      </c>
      <c r="O5198">
        <v>2.3062979999999999E-4</v>
      </c>
      <c r="P5198">
        <v>0.98923899999999998</v>
      </c>
      <c r="Q5198">
        <v>0.14186260000000001</v>
      </c>
      <c r="R5198">
        <v>3.579268E-2</v>
      </c>
      <c r="S5198">
        <v>3.0276489999999998</v>
      </c>
      <c r="T5198">
        <v>2.4571300000000001E-2</v>
      </c>
      <c r="U5198">
        <v>3.6834720000000001E-2</v>
      </c>
      <c r="V5198">
        <v>-3.5558529999999998E-2</v>
      </c>
      <c r="W5198">
        <v>0.15319089999999999</v>
      </c>
      <c r="X5198">
        <v>0.98755660000000001</v>
      </c>
      <c r="Y5198">
        <v>-1.1934790000000001E-2</v>
      </c>
      <c r="Z5198" s="1">
        <v>2.4476820000000001E-5</v>
      </c>
      <c r="AA5198">
        <v>0.99992879999999995</v>
      </c>
      <c r="AB5198">
        <v>29</v>
      </c>
      <c r="AC5198">
        <v>244.80170000000001</v>
      </c>
      <c r="AD5198">
        <v>1.9888790000000001</v>
      </c>
      <c r="AE5198">
        <v>2.9815000000000098</v>
      </c>
      <c r="AF5198">
        <v>-2.92484461487697</v>
      </c>
      <c r="AG5198">
        <v>1.9888790000000001</v>
      </c>
      <c r="AH5198">
        <v>244.78622602768399</v>
      </c>
      <c r="AI5198">
        <v>89.534517387198505</v>
      </c>
      <c r="AJ5198">
        <v>90.684569881534003</v>
      </c>
      <c r="AK5198">
        <v>244.81177832893201</v>
      </c>
      <c r="AL5198">
        <v>81.188110119789798</v>
      </c>
      <c r="AM5198">
        <v>92.062133877358605</v>
      </c>
      <c r="AN5198">
        <v>0.99999994955106397</v>
      </c>
    </row>
    <row r="5199" spans="1:40" x14ac:dyDescent="0.25">
      <c r="A5199" t="str">
        <f>"20190303162015427"</f>
        <v>20190303162015427</v>
      </c>
      <c r="B5199" t="str">
        <f>"1551601215417358"</f>
        <v>1551601215417358</v>
      </c>
      <c r="C5199" t="s">
        <v>40</v>
      </c>
      <c r="D5199">
        <v>4.2498459999999998</v>
      </c>
      <c r="E5199">
        <v>0.5072025</v>
      </c>
      <c r="F5199" t="s">
        <v>67</v>
      </c>
      <c r="G5199">
        <v>-107.39749999999999</v>
      </c>
      <c r="H5199">
        <v>3.2052870000000002</v>
      </c>
      <c r="I5199">
        <v>218.3862</v>
      </c>
      <c r="J5199">
        <v>-351.90640000000002</v>
      </c>
      <c r="K5199">
        <v>1.121256</v>
      </c>
      <c r="L5199">
        <v>214.7413</v>
      </c>
      <c r="M5199">
        <v>0.99993430000000005</v>
      </c>
      <c r="N5199">
        <v>-1.1461819999999999E-2</v>
      </c>
      <c r="O5199">
        <v>2.3097539999999999E-4</v>
      </c>
      <c r="P5199">
        <v>0.98922310000000002</v>
      </c>
      <c r="Q5199">
        <v>0.141766</v>
      </c>
      <c r="R5199">
        <v>3.6607019999999997E-2</v>
      </c>
      <c r="S5199">
        <v>3.0272830000000002</v>
      </c>
      <c r="T5199">
        <v>2.577233E-2</v>
      </c>
      <c r="U5199">
        <v>4.5074459999999997E-2</v>
      </c>
      <c r="V5199">
        <v>-3.6372769999999999E-2</v>
      </c>
      <c r="W5199">
        <v>0.1530967</v>
      </c>
      <c r="X5199">
        <v>0.98754160000000002</v>
      </c>
      <c r="Y5199">
        <v>-1.465703E-2</v>
      </c>
      <c r="Z5199" s="1">
        <v>2.6232779999999999E-5</v>
      </c>
      <c r="AA5199">
        <v>0.99989260000000002</v>
      </c>
      <c r="AB5199">
        <v>29</v>
      </c>
      <c r="AC5199">
        <v>244.50890000000001</v>
      </c>
      <c r="AD5199">
        <v>2.0840309999999902</v>
      </c>
      <c r="AE5199">
        <v>3.6448999999999998</v>
      </c>
      <c r="AF5199">
        <v>-3.5881600406565002</v>
      </c>
      <c r="AG5199">
        <v>2.0840309999999902</v>
      </c>
      <c r="AH5199">
        <v>244.491977697804</v>
      </c>
      <c r="AI5199">
        <v>89.511679549129497</v>
      </c>
      <c r="AJ5199">
        <v>90.840811507800296</v>
      </c>
      <c r="AK5199">
        <v>244.52718711069701</v>
      </c>
      <c r="AL5199">
        <v>81.193572211054402</v>
      </c>
      <c r="AM5199">
        <v>92.1093436572922</v>
      </c>
      <c r="AN5199">
        <v>0.999999994839461</v>
      </c>
    </row>
    <row r="5200" spans="1:40" x14ac:dyDescent="0.25">
      <c r="A5200" t="str">
        <f>"20190303162015448"</f>
        <v>20190303162015448</v>
      </c>
      <c r="B5200" t="str">
        <f>"1551601215437855"</f>
        <v>1551601215437855</v>
      </c>
      <c r="C5200" t="s">
        <v>40</v>
      </c>
      <c r="D5200">
        <v>4.2739560000000001</v>
      </c>
      <c r="E5200">
        <v>0.50688109999999997</v>
      </c>
      <c r="F5200" t="s">
        <v>67</v>
      </c>
      <c r="G5200">
        <v>-107.39749999999999</v>
      </c>
      <c r="H5200">
        <v>3.1542140000000001</v>
      </c>
      <c r="I5200">
        <v>218.72710000000001</v>
      </c>
      <c r="J5200">
        <v>-351.63010000000003</v>
      </c>
      <c r="K5200">
        <v>1.121256</v>
      </c>
      <c r="L5200">
        <v>214.7414</v>
      </c>
      <c r="M5200">
        <v>0.99993430000000005</v>
      </c>
      <c r="N5200">
        <v>-1.146379E-2</v>
      </c>
      <c r="O5200">
        <v>2.312626E-4</v>
      </c>
      <c r="P5200">
        <v>0.98922960000000004</v>
      </c>
      <c r="Q5200">
        <v>0.1415225</v>
      </c>
      <c r="R5200">
        <v>3.7367079999999997E-2</v>
      </c>
      <c r="S5200">
        <v>3.0272220000000001</v>
      </c>
      <c r="T5200">
        <v>2.5170330000000001E-2</v>
      </c>
      <c r="U5200">
        <v>4.9346920000000002E-2</v>
      </c>
      <c r="V5200">
        <v>-3.7132779999999997E-2</v>
      </c>
      <c r="W5200">
        <v>0.15285499999999999</v>
      </c>
      <c r="X5200">
        <v>0.98755079999999995</v>
      </c>
      <c r="Y5200">
        <v>-1.6067910000000001E-2</v>
      </c>
      <c r="Z5200" s="1">
        <v>2.9887709999999999E-5</v>
      </c>
      <c r="AA5200">
        <v>0.99987090000000001</v>
      </c>
      <c r="AB5200">
        <v>29</v>
      </c>
      <c r="AC5200">
        <v>244.23259999999999</v>
      </c>
      <c r="AD5200">
        <v>2.0329579999999998</v>
      </c>
      <c r="AE5200">
        <v>3.9857</v>
      </c>
      <c r="AF5200">
        <v>-3.9289421669796099</v>
      </c>
      <c r="AG5200">
        <v>2.0329579999999998</v>
      </c>
      <c r="AH5200">
        <v>244.21659882776001</v>
      </c>
      <c r="AI5200">
        <v>89.523119420730794</v>
      </c>
      <c r="AJ5200">
        <v>90.921691592345695</v>
      </c>
      <c r="AK5200">
        <v>244.25666141945899</v>
      </c>
      <c r="AL5200">
        <v>81.2075859256896</v>
      </c>
      <c r="AM5200">
        <v>92.153357338714798</v>
      </c>
      <c r="AN5200">
        <v>1.0000000384780801</v>
      </c>
    </row>
    <row r="5201" spans="1:40" x14ac:dyDescent="0.25">
      <c r="A5201" t="str">
        <f>"20190303162015471"</f>
        <v>20190303162015471</v>
      </c>
      <c r="B5201" t="str">
        <f>"1551601215457375"</f>
        <v>1551601215457375</v>
      </c>
      <c r="C5201" t="s">
        <v>40</v>
      </c>
      <c r="D5201">
        <v>4.3545970000000001</v>
      </c>
      <c r="E5201">
        <v>0.50636139999999996</v>
      </c>
      <c r="F5201" t="s">
        <v>67</v>
      </c>
      <c r="G5201">
        <v>-107.39749999999999</v>
      </c>
      <c r="H5201">
        <v>3.061213</v>
      </c>
      <c r="I5201">
        <v>219.09819999999999</v>
      </c>
      <c r="J5201">
        <v>-351.33730000000003</v>
      </c>
      <c r="K5201">
        <v>1.121251</v>
      </c>
      <c r="L5201">
        <v>214.7415</v>
      </c>
      <c r="M5201">
        <v>0.99993430000000005</v>
      </c>
      <c r="N5201">
        <v>-1.1465889999999999E-2</v>
      </c>
      <c r="O5201">
        <v>2.316086E-4</v>
      </c>
      <c r="P5201">
        <v>0.98916570000000004</v>
      </c>
      <c r="Q5201">
        <v>0.14169219999999999</v>
      </c>
      <c r="R5201">
        <v>3.8402110000000003E-2</v>
      </c>
      <c r="S5201">
        <v>3.027161</v>
      </c>
      <c r="T5201">
        <v>2.4045589999999999E-2</v>
      </c>
      <c r="U5201">
        <v>5.4000850000000003E-2</v>
      </c>
      <c r="V5201">
        <v>-3.816725E-2</v>
      </c>
      <c r="W5201">
        <v>0.153026</v>
      </c>
      <c r="X5201">
        <v>0.98748480000000005</v>
      </c>
      <c r="Y5201">
        <v>-1.7604649999999999E-2</v>
      </c>
      <c r="Z5201" s="1">
        <v>3.5519389999999997E-5</v>
      </c>
      <c r="AA5201">
        <v>0.99984499999999998</v>
      </c>
      <c r="AB5201">
        <v>29</v>
      </c>
      <c r="AC5201">
        <v>243.93979999999999</v>
      </c>
      <c r="AD5201">
        <v>1.939962</v>
      </c>
      <c r="AE5201">
        <v>4.3566999999999796</v>
      </c>
      <c r="AF5201">
        <v>-4.2999257579766201</v>
      </c>
      <c r="AG5201">
        <v>1.939962</v>
      </c>
      <c r="AH5201">
        <v>243.925380610639</v>
      </c>
      <c r="AI5201">
        <v>89.5444015445498</v>
      </c>
      <c r="AJ5201">
        <v>91.009907550019093</v>
      </c>
      <c r="AK5201">
        <v>243.97099032493799</v>
      </c>
      <c r="AL5201">
        <v>81.197671040789999</v>
      </c>
      <c r="AM5201">
        <v>92.213435946153695</v>
      </c>
      <c r="AN5201">
        <v>0.99999996293979998</v>
      </c>
    </row>
    <row r="5202" spans="1:40" x14ac:dyDescent="0.25">
      <c r="A5202" t="str">
        <f>"20190303162015493"</f>
        <v>20190303162015493</v>
      </c>
      <c r="B5202" t="str">
        <f>"1551601215487631"</f>
        <v>1551601215487631</v>
      </c>
      <c r="C5202" t="s">
        <v>40</v>
      </c>
      <c r="D5202">
        <v>4.3468280000000004</v>
      </c>
      <c r="E5202">
        <v>0.47714020000000001</v>
      </c>
      <c r="F5202" t="s">
        <v>65</v>
      </c>
      <c r="G5202">
        <v>-141.2441</v>
      </c>
      <c r="H5202">
        <v>2.7176239999999998</v>
      </c>
      <c r="I5202">
        <v>219.023</v>
      </c>
      <c r="J5202">
        <v>-351.04770000000002</v>
      </c>
      <c r="K5202">
        <v>1.1212500000000001</v>
      </c>
      <c r="L5202">
        <v>214.7415</v>
      </c>
      <c r="M5202">
        <v>0.99993430000000005</v>
      </c>
      <c r="N5202">
        <v>-1.146808E-2</v>
      </c>
      <c r="O5202">
        <v>2.3177509999999999E-4</v>
      </c>
      <c r="P5202">
        <v>0.98909689999999995</v>
      </c>
      <c r="Q5202">
        <v>0.14201859999999999</v>
      </c>
      <c r="R5202">
        <v>3.8960910000000001E-2</v>
      </c>
      <c r="S5202">
        <v>3.0271910000000002</v>
      </c>
      <c r="T5202">
        <v>2.3002620000000001E-2</v>
      </c>
      <c r="U5202">
        <v>6.1691280000000001E-2</v>
      </c>
      <c r="V5202">
        <v>-3.8725580000000003E-2</v>
      </c>
      <c r="W5202">
        <v>0.15335399999999999</v>
      </c>
      <c r="X5202">
        <v>0.98741219999999996</v>
      </c>
      <c r="Y5202">
        <v>-2.0143419999999999E-2</v>
      </c>
      <c r="Z5202" s="1">
        <v>4.3414290000000001E-5</v>
      </c>
      <c r="AA5202">
        <v>0.99979709999999999</v>
      </c>
      <c r="AB5202">
        <v>29</v>
      </c>
      <c r="AC5202">
        <v>209.80359999999999</v>
      </c>
      <c r="AD5202">
        <v>1.596374</v>
      </c>
      <c r="AE5202">
        <v>4.2814999999999896</v>
      </c>
      <c r="AF5202">
        <v>-4.2326244937816</v>
      </c>
      <c r="AG5202">
        <v>1.596374</v>
      </c>
      <c r="AH5202">
        <v>209.79244583066699</v>
      </c>
      <c r="AI5202">
        <v>89.564116245081195</v>
      </c>
      <c r="AJ5202">
        <v>91.155802453531805</v>
      </c>
      <c r="AK5202">
        <v>209.84121103269101</v>
      </c>
      <c r="AL5202">
        <v>81.178653763832799</v>
      </c>
      <c r="AM5202">
        <v>92.245947254239695</v>
      </c>
      <c r="AN5202">
        <v>0.99999998628558795</v>
      </c>
    </row>
    <row r="5203" spans="1:40" x14ac:dyDescent="0.25">
      <c r="A5203" t="str">
        <f>"20190303162015515"</f>
        <v>20190303162015515</v>
      </c>
      <c r="B5203" t="str">
        <f>"1551601215507151"</f>
        <v>1551601215507151</v>
      </c>
      <c r="C5203" t="s">
        <v>40</v>
      </c>
      <c r="D5203">
        <v>4.3405670000000001</v>
      </c>
      <c r="E5203">
        <v>0.47725649999999997</v>
      </c>
      <c r="F5203" t="s">
        <v>56</v>
      </c>
      <c r="G5203">
        <v>-289.1943</v>
      </c>
      <c r="H5203">
        <v>2.4724530000000002E-2</v>
      </c>
      <c r="I5203">
        <v>220.7799</v>
      </c>
      <c r="J5203">
        <v>-350.75639999999999</v>
      </c>
      <c r="K5203">
        <v>1.1212519999999999</v>
      </c>
      <c r="L5203">
        <v>214.74160000000001</v>
      </c>
      <c r="M5203">
        <v>0.99993430000000005</v>
      </c>
      <c r="N5203">
        <v>-1.147043E-2</v>
      </c>
      <c r="O5203">
        <v>2.320596E-4</v>
      </c>
      <c r="P5203">
        <v>0.98910929999999997</v>
      </c>
      <c r="Q5203">
        <v>0.14185799999999901</v>
      </c>
      <c r="R5203">
        <v>3.9232990000000002E-2</v>
      </c>
      <c r="S5203">
        <v>3.0291139999999999</v>
      </c>
      <c r="T5203">
        <v>-5.3699610000000002E-2</v>
      </c>
      <c r="U5203">
        <v>0.29571530000000001</v>
      </c>
      <c r="V5203">
        <v>-3.8997289999999997E-2</v>
      </c>
      <c r="W5203">
        <v>0.15319559999999999</v>
      </c>
      <c r="X5203">
        <v>0.98742609999999997</v>
      </c>
      <c r="Y5203">
        <v>-9.6906590000000001E-2</v>
      </c>
      <c r="Z5203">
        <v>1.412607E-3</v>
      </c>
      <c r="AA5203">
        <v>0.99529250000000002</v>
      </c>
      <c r="AB5203">
        <v>29</v>
      </c>
      <c r="AC5203">
        <v>61.562100000000001</v>
      </c>
      <c r="AD5203">
        <v>-1.0965274700000001</v>
      </c>
      <c r="AE5203">
        <v>6.0382999999999898</v>
      </c>
      <c r="AF5203">
        <v>-6.0221204643330699</v>
      </c>
      <c r="AG5203">
        <v>-1.0965274700000001</v>
      </c>
      <c r="AH5203">
        <v>61.544160376386998</v>
      </c>
      <c r="AI5203">
        <v>91.015875661300399</v>
      </c>
      <c r="AJ5203">
        <v>95.5886235638432</v>
      </c>
      <c r="AK5203">
        <v>61.8478130883692</v>
      </c>
      <c r="AL5203">
        <v>81.187837987602904</v>
      </c>
      <c r="AM5203">
        <v>92.261657365046702</v>
      </c>
      <c r="AN5203">
        <v>0.99999999172395604</v>
      </c>
    </row>
    <row r="5204" spans="1:40" x14ac:dyDescent="0.25">
      <c r="A5204" t="str">
        <f>"20190303162015537"</f>
        <v>20190303162015537</v>
      </c>
      <c r="B5204" t="str">
        <f>"1551601215527647"</f>
        <v>1551601215527647</v>
      </c>
      <c r="C5204" t="s">
        <v>40</v>
      </c>
      <c r="D5204">
        <v>4.3468720000000003</v>
      </c>
      <c r="E5204">
        <v>0.476997</v>
      </c>
      <c r="F5204" t="s">
        <v>56</v>
      </c>
      <c r="G5204">
        <v>-289.64510000000001</v>
      </c>
      <c r="H5204" s="1">
        <v>2.2536360000000001E-6</v>
      </c>
      <c r="I5204">
        <v>220.7115</v>
      </c>
      <c r="J5204">
        <v>-350.47379999999998</v>
      </c>
      <c r="K5204">
        <v>1.1212420000000001</v>
      </c>
      <c r="L5204">
        <v>214.74170000000001</v>
      </c>
      <c r="M5204">
        <v>0.99993430000000005</v>
      </c>
      <c r="N5204">
        <v>-1.147249E-2</v>
      </c>
      <c r="O5204">
        <v>2.322263E-4</v>
      </c>
      <c r="P5204">
        <v>0.98921300000000001</v>
      </c>
      <c r="Q5204">
        <v>0.14121110000000001</v>
      </c>
      <c r="R5204">
        <v>3.895096E-2</v>
      </c>
      <c r="S5204">
        <v>3.0292970000000001</v>
      </c>
      <c r="T5204">
        <v>-5.5580499999999998E-2</v>
      </c>
      <c r="U5204">
        <v>0.295929</v>
      </c>
      <c r="V5204">
        <v>-3.8715850000000003E-2</v>
      </c>
      <c r="W5204">
        <v>0.15255239999999901</v>
      </c>
      <c r="X5204">
        <v>0.98753670000000005</v>
      </c>
      <c r="Y5204">
        <v>-9.6968680000000002E-2</v>
      </c>
      <c r="Z5204">
        <v>1.4434459999999999E-3</v>
      </c>
      <c r="AA5204">
        <v>0.99528640000000002</v>
      </c>
      <c r="AB5204">
        <v>29</v>
      </c>
      <c r="AC5204">
        <v>60.828699999999898</v>
      </c>
      <c r="AD5204">
        <v>-1.121239746364</v>
      </c>
      <c r="AE5204">
        <v>5.9697999999999896</v>
      </c>
      <c r="AF5204">
        <v>-5.9536693306204196</v>
      </c>
      <c r="AG5204">
        <v>-1.121239746364</v>
      </c>
      <c r="AH5204">
        <v>60.8096208567326</v>
      </c>
      <c r="AI5204">
        <v>91.051304391792499</v>
      </c>
      <c r="AJ5204">
        <v>95.591818955754206</v>
      </c>
      <c r="AK5204">
        <v>61.110664746889903</v>
      </c>
      <c r="AL5204">
        <v>81.225128531218601</v>
      </c>
      <c r="AM5204">
        <v>92.245100737529896</v>
      </c>
      <c r="AN5204">
        <v>0.99999994281693405</v>
      </c>
    </row>
    <row r="5205" spans="1:40" x14ac:dyDescent="0.25">
      <c r="A5205" t="str">
        <f>"20190303162015560"</f>
        <v>20190303162015560</v>
      </c>
      <c r="B5205" t="str">
        <f>"1551601215547167"</f>
        <v>1551601215547167</v>
      </c>
      <c r="C5205" t="s">
        <v>40</v>
      </c>
      <c r="D5205">
        <v>4.3147979999999997</v>
      </c>
      <c r="E5205">
        <v>0.47688239999999998</v>
      </c>
      <c r="F5205" t="s">
        <v>56</v>
      </c>
      <c r="G5205">
        <v>-289.1703</v>
      </c>
      <c r="H5205">
        <v>1.842013E-3</v>
      </c>
      <c r="I5205">
        <v>220.7559</v>
      </c>
      <c r="J5205">
        <v>-350.17770000000002</v>
      </c>
      <c r="K5205">
        <v>1.1212409999999999</v>
      </c>
      <c r="L5205">
        <v>214.74170000000001</v>
      </c>
      <c r="M5205">
        <v>0.9999342</v>
      </c>
      <c r="N5205">
        <v>-1.1474430000000001E-2</v>
      </c>
      <c r="O5205">
        <v>2.325726E-4</v>
      </c>
      <c r="P5205">
        <v>0.98934299999999997</v>
      </c>
      <c r="Q5205">
        <v>0.1404301</v>
      </c>
      <c r="R5205">
        <v>3.8469580000000003E-2</v>
      </c>
      <c r="S5205">
        <v>3.0289000000000001</v>
      </c>
      <c r="T5205">
        <v>-5.5307630000000003E-2</v>
      </c>
      <c r="U5205">
        <v>0.29714970000000002</v>
      </c>
      <c r="V5205">
        <v>-3.8233570000000001E-2</v>
      </c>
      <c r="W5205">
        <v>0.1517743</v>
      </c>
      <c r="X5205">
        <v>0.98767539999999998</v>
      </c>
      <c r="Y5205">
        <v>-9.7378339999999994E-2</v>
      </c>
      <c r="Z5205">
        <v>1.445399E-3</v>
      </c>
      <c r="AA5205">
        <v>0.99524639999999998</v>
      </c>
      <c r="AB5205">
        <v>29</v>
      </c>
      <c r="AC5205">
        <v>61.007399999999997</v>
      </c>
      <c r="AD5205">
        <v>-1.1193989869999901</v>
      </c>
      <c r="AE5205">
        <v>6.0141999999999802</v>
      </c>
      <c r="AF5205">
        <v>-5.9980103383527696</v>
      </c>
      <c r="AG5205">
        <v>-1.1193989869999901</v>
      </c>
      <c r="AH5205">
        <v>60.98846180268</v>
      </c>
      <c r="AI5205">
        <v>91.046457025745298</v>
      </c>
      <c r="AJ5205">
        <v>95.616785279688301</v>
      </c>
      <c r="AK5205">
        <v>61.292916843368097</v>
      </c>
      <c r="AL5205">
        <v>81.270235875363198</v>
      </c>
      <c r="AM5205">
        <v>92.216850751184595</v>
      </c>
      <c r="AN5205">
        <v>0.99999996989029605</v>
      </c>
    </row>
    <row r="5206" spans="1:40" x14ac:dyDescent="0.25">
      <c r="A5206" t="str">
        <f>"20190303162015584"</f>
        <v>20190303162015584</v>
      </c>
      <c r="B5206" t="str">
        <f>"1551601215577423"</f>
        <v>1551601215577423</v>
      </c>
      <c r="C5206" t="s">
        <v>40</v>
      </c>
      <c r="D5206">
        <v>4.2912929999999996</v>
      </c>
      <c r="E5206">
        <v>0.47688069999999999</v>
      </c>
      <c r="F5206" t="s">
        <v>56</v>
      </c>
      <c r="G5206">
        <v>-293.38040000000001</v>
      </c>
      <c r="H5206" s="1">
        <v>1.43295E-6</v>
      </c>
      <c r="I5206">
        <v>220.30510000000001</v>
      </c>
      <c r="J5206">
        <v>-349.88150000000002</v>
      </c>
      <c r="K5206">
        <v>1.1212420000000001</v>
      </c>
      <c r="L5206">
        <v>214.74180000000001</v>
      </c>
      <c r="M5206">
        <v>0.99993430000000005</v>
      </c>
      <c r="N5206">
        <v>-1.147629E-2</v>
      </c>
      <c r="O5206">
        <v>2.3291929999999999E-4</v>
      </c>
      <c r="P5206">
        <v>0.98930390000000001</v>
      </c>
      <c r="Q5206">
        <v>0.14062040000000001</v>
      </c>
      <c r="R5206">
        <v>3.8781499999999997E-2</v>
      </c>
      <c r="S5206">
        <v>3.0292659999999998</v>
      </c>
      <c r="T5206">
        <v>-5.9800979999999997E-2</v>
      </c>
      <c r="U5206">
        <v>0.2967224</v>
      </c>
      <c r="V5206">
        <v>-3.8545610000000001E-2</v>
      </c>
      <c r="W5206">
        <v>0.15196609999999999</v>
      </c>
      <c r="X5206">
        <v>0.98763380000000001</v>
      </c>
      <c r="Y5206">
        <v>-9.7223760000000006E-2</v>
      </c>
      <c r="Z5206">
        <v>1.5146669999999999E-3</v>
      </c>
      <c r="AA5206">
        <v>0.99526139999999996</v>
      </c>
      <c r="AB5206">
        <v>29</v>
      </c>
      <c r="AC5206">
        <v>56.501100000000001</v>
      </c>
      <c r="AD5206">
        <v>-1.1212405670500001</v>
      </c>
      <c r="AE5206">
        <v>5.5632999999999901</v>
      </c>
      <c r="AF5206">
        <v>-5.5479749336047597</v>
      </c>
      <c r="AG5206">
        <v>-1.1212405670500001</v>
      </c>
      <c r="AH5206">
        <v>56.480365541064302</v>
      </c>
      <c r="AI5206">
        <v>91.131832784427203</v>
      </c>
      <c r="AJ5206">
        <v>95.610074398548605</v>
      </c>
      <c r="AK5206">
        <v>56.763270676779598</v>
      </c>
      <c r="AL5206">
        <v>81.259117765372594</v>
      </c>
      <c r="AM5206">
        <v>92.2350191572488</v>
      </c>
      <c r="AN5206">
        <v>0.99999999125096095</v>
      </c>
    </row>
    <row r="5207" spans="1:40" x14ac:dyDescent="0.25">
      <c r="A5207" t="str">
        <f>"20190303162015616"</f>
        <v>20190303162015616</v>
      </c>
      <c r="B5207" t="str">
        <f>"1551601215607679"</f>
        <v>1551601215607679</v>
      </c>
      <c r="C5207" t="s">
        <v>40</v>
      </c>
      <c r="D5207">
        <v>4.3196180000000002</v>
      </c>
      <c r="E5207">
        <v>0.47697220000000001</v>
      </c>
      <c r="F5207" t="s">
        <v>56</v>
      </c>
      <c r="G5207">
        <v>-293.16140000000001</v>
      </c>
      <c r="H5207" s="1">
        <v>1.3928330000000001E-6</v>
      </c>
      <c r="I5207">
        <v>220.3194</v>
      </c>
      <c r="J5207">
        <v>-349.4631</v>
      </c>
      <c r="K5207">
        <v>1.1212580000000001</v>
      </c>
      <c r="L5207">
        <v>214.74189999999999</v>
      </c>
      <c r="M5207">
        <v>0.9999342</v>
      </c>
      <c r="N5207">
        <v>-1.147892E-2</v>
      </c>
      <c r="O5207">
        <v>2.3338039999999999E-4</v>
      </c>
      <c r="P5207">
        <v>0.98890230000000001</v>
      </c>
      <c r="Q5207">
        <v>0.14317460000000001</v>
      </c>
      <c r="R5207">
        <v>3.9670509999999999E-2</v>
      </c>
      <c r="S5207">
        <v>3.0292659999999998</v>
      </c>
      <c r="T5207">
        <v>-5.9882400000000002E-2</v>
      </c>
      <c r="U5207">
        <v>0.29788209999999998</v>
      </c>
      <c r="V5207">
        <v>-3.9434009999999999E-2</v>
      </c>
      <c r="W5207">
        <v>0.15451819999999999</v>
      </c>
      <c r="X5207">
        <v>0.98720260000000004</v>
      </c>
      <c r="Y5207">
        <v>-9.7600510000000001E-2</v>
      </c>
      <c r="Z5207">
        <v>1.521964E-3</v>
      </c>
      <c r="AA5207">
        <v>0.99522449999999996</v>
      </c>
      <c r="AB5207">
        <v>29</v>
      </c>
      <c r="AC5207">
        <v>56.301699999999897</v>
      </c>
      <c r="AD5207">
        <v>-1.121256607167</v>
      </c>
      <c r="AE5207">
        <v>5.5775000000000103</v>
      </c>
      <c r="AF5207">
        <v>-5.5621746784911501</v>
      </c>
      <c r="AG5207">
        <v>-1.121256607167</v>
      </c>
      <c r="AH5207">
        <v>56.2808954246469</v>
      </c>
      <c r="AI5207">
        <v>91.135792876456406</v>
      </c>
      <c r="AJ5207">
        <v>95.644146380661496</v>
      </c>
      <c r="AK5207">
        <v>56.5661930249262</v>
      </c>
      <c r="AL5207">
        <v>81.111144990814694</v>
      </c>
      <c r="AM5207">
        <v>92.287475515222894</v>
      </c>
      <c r="AN5207">
        <v>0.99999994436133799</v>
      </c>
    </row>
    <row r="5208" spans="1:40" x14ac:dyDescent="0.25">
      <c r="A5208" t="str">
        <f>"20190303162015637"</f>
        <v>20190303162015637</v>
      </c>
      <c r="B5208" t="str">
        <f>"1551601215627198"</f>
        <v>1551601215627198</v>
      </c>
      <c r="C5208" t="s">
        <v>40</v>
      </c>
      <c r="D5208">
        <v>4.3074570000000003</v>
      </c>
      <c r="E5208">
        <v>0.47687400000000002</v>
      </c>
      <c r="F5208" t="s">
        <v>56</v>
      </c>
      <c r="G5208">
        <v>-287.6748</v>
      </c>
      <c r="H5208">
        <v>7.9999399999999998E-2</v>
      </c>
      <c r="I5208">
        <v>220.8665</v>
      </c>
      <c r="J5208">
        <v>-349.18459999999999</v>
      </c>
      <c r="K5208">
        <v>1.1212660000000001</v>
      </c>
      <c r="L5208">
        <v>214.74199999999999</v>
      </c>
      <c r="M5208">
        <v>0.9999342</v>
      </c>
      <c r="N5208">
        <v>-1.148072E-2</v>
      </c>
      <c r="O5208">
        <v>2.3354840000000001E-4</v>
      </c>
      <c r="P5208">
        <v>0.98876370000000002</v>
      </c>
      <c r="Q5208">
        <v>0.1440572</v>
      </c>
      <c r="R5208">
        <v>3.9929920000000001E-2</v>
      </c>
      <c r="S5208">
        <v>3.0290530000000002</v>
      </c>
      <c r="T5208">
        <v>-5.104566E-2</v>
      </c>
      <c r="U5208">
        <v>0.30024719999999999</v>
      </c>
      <c r="V5208">
        <v>-3.9692989999999997E-2</v>
      </c>
      <c r="W5208">
        <v>0.1554014</v>
      </c>
      <c r="X5208">
        <v>0.98705359999999998</v>
      </c>
      <c r="Y5208">
        <v>-9.8383300000000007E-2</v>
      </c>
      <c r="Z5208">
        <v>1.3918649999999999E-3</v>
      </c>
      <c r="AA5208">
        <v>0.99514760000000002</v>
      </c>
      <c r="AB5208">
        <v>29</v>
      </c>
      <c r="AC5208">
        <v>61.509799999999899</v>
      </c>
      <c r="AD5208">
        <v>-1.0412665999999999</v>
      </c>
      <c r="AE5208">
        <v>6.1244999999999798</v>
      </c>
      <c r="AF5208">
        <v>-6.1084000544838997</v>
      </c>
      <c r="AG5208">
        <v>-1.0412665999999999</v>
      </c>
      <c r="AH5208">
        <v>61.493779323103098</v>
      </c>
      <c r="AI5208">
        <v>90.965339688674007</v>
      </c>
      <c r="AJ5208">
        <v>95.672788234458295</v>
      </c>
      <c r="AK5208">
        <v>61.805191390338699</v>
      </c>
      <c r="AL5208">
        <v>81.059922848671306</v>
      </c>
      <c r="AM5208">
        <v>92.302829424435103</v>
      </c>
      <c r="AN5208">
        <v>0.99999996892502896</v>
      </c>
    </row>
    <row r="5209" spans="1:40" x14ac:dyDescent="0.25">
      <c r="A5209" t="str">
        <f>"20190303162015660"</f>
        <v>20190303162015660</v>
      </c>
      <c r="B5209" t="str">
        <f>"1551601215647695"</f>
        <v>1551601215647695</v>
      </c>
      <c r="C5209" t="s">
        <v>40</v>
      </c>
      <c r="D5209">
        <v>4.303814</v>
      </c>
      <c r="E5209">
        <v>0.47687220000000002</v>
      </c>
      <c r="F5209" t="s">
        <v>56</v>
      </c>
      <c r="G5209">
        <v>-284.11450000000002</v>
      </c>
      <c r="H5209">
        <v>7.9999299999999995E-2</v>
      </c>
      <c r="I5209">
        <v>221.2157</v>
      </c>
      <c r="J5209">
        <v>-348.88760000000002</v>
      </c>
      <c r="K5209">
        <v>1.1212690000000001</v>
      </c>
      <c r="L5209">
        <v>214.74209999999999</v>
      </c>
      <c r="M5209">
        <v>0.9999342</v>
      </c>
      <c r="N5209">
        <v>-1.148268E-2</v>
      </c>
      <c r="O5209">
        <v>2.3389449999999999E-4</v>
      </c>
      <c r="P5209">
        <v>0.9887302</v>
      </c>
      <c r="Q5209">
        <v>0.144374</v>
      </c>
      <c r="R5209">
        <v>3.9615549999999999E-2</v>
      </c>
      <c r="S5209">
        <v>3.0289609999999998</v>
      </c>
      <c r="T5209">
        <v>-4.8470140000000002E-2</v>
      </c>
      <c r="U5209">
        <v>0.3013458</v>
      </c>
      <c r="V5209">
        <v>-3.9378469999999999E-2</v>
      </c>
      <c r="W5209">
        <v>0.15571940000000001</v>
      </c>
      <c r="X5209">
        <v>0.98701609999999995</v>
      </c>
      <c r="Y5209">
        <v>-9.8745089999999994E-2</v>
      </c>
      <c r="Z5209">
        <v>1.355427E-3</v>
      </c>
      <c r="AA5209">
        <v>0.99511179999999999</v>
      </c>
      <c r="AB5209">
        <v>29</v>
      </c>
      <c r="AC5209">
        <v>64.773099999999999</v>
      </c>
      <c r="AD5209">
        <v>-1.0412697</v>
      </c>
      <c r="AE5209">
        <v>6.4736000000000002</v>
      </c>
      <c r="AF5209">
        <v>-6.4567966491173401</v>
      </c>
      <c r="AG5209">
        <v>-1.0412697</v>
      </c>
      <c r="AH5209">
        <v>64.758042777864404</v>
      </c>
      <c r="AI5209">
        <v>90.916657316483196</v>
      </c>
      <c r="AJ5209">
        <v>95.693941839531306</v>
      </c>
      <c r="AK5209">
        <v>65.087468609371399</v>
      </c>
      <c r="AL5209">
        <v>81.041478429899996</v>
      </c>
      <c r="AM5209">
        <v>92.284688344442799</v>
      </c>
      <c r="AN5209">
        <v>0.99999998854755501</v>
      </c>
    </row>
    <row r="5210" spans="1:40" x14ac:dyDescent="0.25">
      <c r="A5210" t="str">
        <f>"20190303162015682"</f>
        <v>20190303162015682</v>
      </c>
      <c r="B5210" t="str">
        <f>"1551601215677950"</f>
        <v>1551601215677950</v>
      </c>
      <c r="C5210" t="s">
        <v>40</v>
      </c>
      <c r="D5210">
        <v>4.370533</v>
      </c>
      <c r="E5210">
        <v>0.47665659999999999</v>
      </c>
      <c r="F5210" t="s">
        <v>56</v>
      </c>
      <c r="G5210">
        <v>-281.7824</v>
      </c>
      <c r="H5210">
        <v>7.9998760000000002E-2</v>
      </c>
      <c r="I5210">
        <v>221.38339999999999</v>
      </c>
      <c r="J5210">
        <v>-348.59750000000003</v>
      </c>
      <c r="K5210">
        <v>1.1212690000000001</v>
      </c>
      <c r="L5210">
        <v>214.74209999999999</v>
      </c>
      <c r="M5210">
        <v>0.99993410000000005</v>
      </c>
      <c r="N5210">
        <v>-1.1484619999999999E-2</v>
      </c>
      <c r="O5210">
        <v>2.3418110000000001E-4</v>
      </c>
      <c r="P5210">
        <v>0.98879379999999994</v>
      </c>
      <c r="Q5210">
        <v>0.14416789999999999</v>
      </c>
      <c r="R5210">
        <v>3.8767000000000003E-2</v>
      </c>
      <c r="S5210">
        <v>3.0289920000000001</v>
      </c>
      <c r="T5210">
        <v>-4.7000889999999997E-2</v>
      </c>
      <c r="U5210">
        <v>0.29977419999999999</v>
      </c>
      <c r="V5210">
        <v>-3.8529720000000003E-2</v>
      </c>
      <c r="W5210">
        <v>0.15551589999999901</v>
      </c>
      <c r="X5210">
        <v>0.98708169999999995</v>
      </c>
      <c r="Y5210">
        <v>-9.8233650000000006E-2</v>
      </c>
      <c r="Z5210">
        <v>1.3248419999999999E-3</v>
      </c>
      <c r="AA5210">
        <v>0.99516249999999995</v>
      </c>
      <c r="AB5210">
        <v>29</v>
      </c>
      <c r="AC5210">
        <v>66.815100000000001</v>
      </c>
      <c r="AD5210">
        <v>-1.04127024</v>
      </c>
      <c r="AE5210">
        <v>6.6413000000000002</v>
      </c>
      <c r="AF5210">
        <v>-6.6240588936818101</v>
      </c>
      <c r="AG5210">
        <v>-1.04127024</v>
      </c>
      <c r="AH5210">
        <v>66.800588261374898</v>
      </c>
      <c r="AI5210">
        <v>90.888681593782195</v>
      </c>
      <c r="AJ5210">
        <v>95.663032855211796</v>
      </c>
      <c r="AK5210">
        <v>67.136286701048803</v>
      </c>
      <c r="AL5210">
        <v>81.053282098537196</v>
      </c>
      <c r="AM5210">
        <v>92.235347050409601</v>
      </c>
      <c r="AN5210">
        <v>1.0000000084754801</v>
      </c>
    </row>
    <row r="5211" spans="1:40" x14ac:dyDescent="0.25">
      <c r="A5211" t="str">
        <f>"20190303162015706"</f>
        <v>20190303162015706</v>
      </c>
      <c r="B5211" t="str">
        <f>"1551601215697471"</f>
        <v>1551601215697471</v>
      </c>
      <c r="C5211" t="s">
        <v>40</v>
      </c>
      <c r="D5211">
        <v>4.3638079999999997</v>
      </c>
      <c r="E5211">
        <v>0.47648200000000002</v>
      </c>
      <c r="F5211" t="s">
        <v>56</v>
      </c>
      <c r="G5211">
        <v>-282.01350000000002</v>
      </c>
      <c r="H5211">
        <v>7.9998819999999998E-2</v>
      </c>
      <c r="I5211">
        <v>221.31120000000001</v>
      </c>
      <c r="J5211">
        <v>-348.30149999999998</v>
      </c>
      <c r="K5211">
        <v>1.121265</v>
      </c>
      <c r="L5211">
        <v>214.7422</v>
      </c>
      <c r="M5211">
        <v>0.99993399999999999</v>
      </c>
      <c r="N5211">
        <v>-1.148684E-2</v>
      </c>
      <c r="O5211">
        <v>2.347044E-4</v>
      </c>
      <c r="P5211">
        <v>0.98887709999999995</v>
      </c>
      <c r="Q5211">
        <v>0.14378829999999901</v>
      </c>
      <c r="R5211">
        <v>3.8040629999999999E-2</v>
      </c>
      <c r="S5211">
        <v>3.0292050000000001</v>
      </c>
      <c r="T5211">
        <v>-4.73721E-2</v>
      </c>
      <c r="U5211">
        <v>0.29885859999999997</v>
      </c>
      <c r="V5211">
        <v>-3.7802420000000003E-2</v>
      </c>
      <c r="W5211">
        <v>0.15513950000000001</v>
      </c>
      <c r="X5211">
        <v>0.98716899999999996</v>
      </c>
      <c r="Y5211">
        <v>-9.7928200000000007E-2</v>
      </c>
      <c r="Z5211">
        <v>1.3267330000000001E-3</v>
      </c>
      <c r="AA5211">
        <v>0.99519259999999998</v>
      </c>
      <c r="AB5211">
        <v>29</v>
      </c>
      <c r="AC5211">
        <v>66.287999999999897</v>
      </c>
      <c r="AD5211">
        <v>-1.04126618</v>
      </c>
      <c r="AE5211">
        <v>6.5690000000000097</v>
      </c>
      <c r="AF5211">
        <v>-6.5518397755217403</v>
      </c>
      <c r="AG5211">
        <v>-1.04126618</v>
      </c>
      <c r="AH5211">
        <v>66.273346260584702</v>
      </c>
      <c r="AI5211">
        <v>90.895773336952701</v>
      </c>
      <c r="AJ5211">
        <v>95.6459639806844</v>
      </c>
      <c r="AK5211">
        <v>66.6045588850874</v>
      </c>
      <c r="AL5211">
        <v>81.075112766648203</v>
      </c>
      <c r="AM5211">
        <v>92.192999720954504</v>
      </c>
      <c r="AN5211">
        <v>0.99999996098955202</v>
      </c>
    </row>
    <row r="5212" spans="1:40" x14ac:dyDescent="0.25">
      <c r="A5212" t="str">
        <f>"20190303162015726"</f>
        <v>20190303162015726</v>
      </c>
      <c r="B5212" t="str">
        <f>"1551601215716991"</f>
        <v>1551601215716991</v>
      </c>
      <c r="C5212" t="s">
        <v>40</v>
      </c>
      <c r="D5212">
        <v>4.332732</v>
      </c>
      <c r="E5212">
        <v>0.47638750000000002</v>
      </c>
      <c r="F5212" t="s">
        <v>56</v>
      </c>
      <c r="G5212">
        <v>-281.82310000000001</v>
      </c>
      <c r="H5212">
        <v>7.9998780000000005E-2</v>
      </c>
      <c r="I5212">
        <v>221.27590000000001</v>
      </c>
      <c r="J5212">
        <v>-348.02839999999998</v>
      </c>
      <c r="K5212">
        <v>1.1212610000000001</v>
      </c>
      <c r="L5212">
        <v>214.7422</v>
      </c>
      <c r="M5212">
        <v>0.99993399999999999</v>
      </c>
      <c r="N5212">
        <v>-1.148887E-2</v>
      </c>
      <c r="O5212">
        <v>2.3499090000000001E-4</v>
      </c>
      <c r="P5212">
        <v>0.98878219999999994</v>
      </c>
      <c r="Q5212">
        <v>0.14436019999999999</v>
      </c>
      <c r="R5212">
        <v>3.8342189999999998E-2</v>
      </c>
      <c r="S5212">
        <v>3.029175</v>
      </c>
      <c r="T5212">
        <v>-4.744661E-2</v>
      </c>
      <c r="U5212">
        <v>0.29771419999999998</v>
      </c>
      <c r="V5212">
        <v>-3.8103980000000003E-2</v>
      </c>
      <c r="W5212">
        <v>0.155712299999999</v>
      </c>
      <c r="X5212">
        <v>0.98706719999999903</v>
      </c>
      <c r="Y5212">
        <v>-9.7556539999999997E-2</v>
      </c>
      <c r="Z5212">
        <v>1.322995E-3</v>
      </c>
      <c r="AA5212">
        <v>0.99522909999999998</v>
      </c>
      <c r="AB5212">
        <v>29</v>
      </c>
      <c r="AC5212">
        <v>66.205299999999895</v>
      </c>
      <c r="AD5212">
        <v>-1.0412622199999999</v>
      </c>
      <c r="AE5212">
        <v>6.5336999999999996</v>
      </c>
      <c r="AF5212">
        <v>-6.5165447462068196</v>
      </c>
      <c r="AG5212">
        <v>-1.0412622199999999</v>
      </c>
      <c r="AH5212">
        <v>66.190618450812806</v>
      </c>
      <c r="AI5212">
        <v>90.896925213592397</v>
      </c>
      <c r="AJ5212">
        <v>95.622717722275894</v>
      </c>
      <c r="AK5212">
        <v>66.518775945902604</v>
      </c>
      <c r="AL5212">
        <v>81.0418898645148</v>
      </c>
      <c r="AM5212">
        <v>92.210704328682596</v>
      </c>
      <c r="AN5212">
        <v>0.99999994548948301</v>
      </c>
    </row>
    <row r="5213" spans="1:40" x14ac:dyDescent="0.25">
      <c r="A5213" t="str">
        <f>"20190303162015749"</f>
        <v>20190303162015749</v>
      </c>
      <c r="B5213" t="str">
        <f>"1551601215737656"</f>
        <v>1551601215737656</v>
      </c>
      <c r="C5213" t="s">
        <v>40</v>
      </c>
      <c r="D5213">
        <v>4.3613309999999998</v>
      </c>
      <c r="E5213">
        <v>0.47630349999999999</v>
      </c>
      <c r="F5213" t="s">
        <v>52</v>
      </c>
      <c r="G5213">
        <v>-278.93060000000003</v>
      </c>
      <c r="H5213">
        <v>8.0000870000000002E-2</v>
      </c>
      <c r="I5213">
        <v>221.57749999999999</v>
      </c>
      <c r="J5213">
        <v>-347.73649999999998</v>
      </c>
      <c r="K5213">
        <v>1.121264</v>
      </c>
      <c r="L5213">
        <v>214.7423</v>
      </c>
      <c r="M5213">
        <v>0.99993399999999999</v>
      </c>
      <c r="N5213">
        <v>-1.149096E-2</v>
      </c>
      <c r="O5213">
        <v>2.3515799999999999E-4</v>
      </c>
      <c r="P5213">
        <v>0.9887956</v>
      </c>
      <c r="Q5213">
        <v>0.14420939999999999</v>
      </c>
      <c r="R5213">
        <v>3.8563199999999902E-2</v>
      </c>
      <c r="S5213">
        <v>3.0290530000000002</v>
      </c>
      <c r="T5213">
        <v>-4.5645949999999998E-2</v>
      </c>
      <c r="U5213">
        <v>0.29963679999999998</v>
      </c>
      <c r="V5213">
        <v>-3.8325150000000002E-2</v>
      </c>
      <c r="W5213">
        <v>0.15556400000000001</v>
      </c>
      <c r="X5213">
        <v>0.98708209999999996</v>
      </c>
      <c r="Y5213">
        <v>-9.818694E-2</v>
      </c>
      <c r="Z5213">
        <v>1.302706E-3</v>
      </c>
      <c r="AA5213">
        <v>0.99516709999999997</v>
      </c>
      <c r="AB5213">
        <v>29</v>
      </c>
      <c r="AC5213">
        <v>68.805899999999895</v>
      </c>
      <c r="AD5213">
        <v>-1.0412631299999999</v>
      </c>
      <c r="AE5213">
        <v>6.83519999999998</v>
      </c>
      <c r="AF5213">
        <v>-6.81747241907504</v>
      </c>
      <c r="AG5213">
        <v>-1.0412631299999999</v>
      </c>
      <c r="AH5213">
        <v>68.791904925468799</v>
      </c>
      <c r="AI5213">
        <v>90.862960003162399</v>
      </c>
      <c r="AJ5213">
        <v>95.659693492971797</v>
      </c>
      <c r="AK5213">
        <v>69.136736561436607</v>
      </c>
      <c r="AL5213">
        <v>81.050492354792496</v>
      </c>
      <c r="AM5213">
        <v>92.223489724980595</v>
      </c>
      <c r="AN5213">
        <v>1.0000000236794599</v>
      </c>
    </row>
    <row r="5214" spans="1:40" x14ac:dyDescent="0.25">
      <c r="A5214" t="str">
        <f>"20190303162015773"</f>
        <v>20190303162015773</v>
      </c>
      <c r="B5214" t="str">
        <f>"1551601215766934"</f>
        <v>1551601215766934</v>
      </c>
      <c r="C5214" t="s">
        <v>40</v>
      </c>
      <c r="D5214">
        <v>4.3642279999999998</v>
      </c>
      <c r="E5214">
        <v>0.47626079999999998</v>
      </c>
      <c r="F5214" t="s">
        <v>52</v>
      </c>
      <c r="G5214">
        <v>-277.88119999999998</v>
      </c>
      <c r="H5214">
        <v>8.0000559999999998E-2</v>
      </c>
      <c r="I5214">
        <v>221.68469999999999</v>
      </c>
      <c r="J5214">
        <v>-347.42360000000002</v>
      </c>
      <c r="K5214">
        <v>1.1212569999999999</v>
      </c>
      <c r="L5214">
        <v>214.7424</v>
      </c>
      <c r="M5214">
        <v>0.99993399999999999</v>
      </c>
      <c r="N5214">
        <v>-1.149326E-2</v>
      </c>
      <c r="O5214">
        <v>2.3550280000000001E-4</v>
      </c>
      <c r="P5214">
        <v>0.98879640000000002</v>
      </c>
      <c r="Q5214">
        <v>0.14389730000000001</v>
      </c>
      <c r="R5214">
        <v>3.9689349999999998E-2</v>
      </c>
      <c r="S5214">
        <v>3.0288089999999999</v>
      </c>
      <c r="T5214">
        <v>-4.5147420000000001E-2</v>
      </c>
      <c r="U5214">
        <v>0.301010099999999</v>
      </c>
      <c r="V5214">
        <v>-3.9450579999999999E-2</v>
      </c>
      <c r="W5214">
        <v>0.155254</v>
      </c>
      <c r="X5214">
        <v>0.98708649999999998</v>
      </c>
      <c r="Y5214">
        <v>-9.864154E-2</v>
      </c>
      <c r="Z5214">
        <v>1.300851E-3</v>
      </c>
      <c r="AA5214">
        <v>0.99512219999999996</v>
      </c>
      <c r="AB5214">
        <v>29</v>
      </c>
      <c r="AC5214">
        <v>69.542400000000001</v>
      </c>
      <c r="AD5214">
        <v>-1.0412564399999999</v>
      </c>
      <c r="AE5214">
        <v>6.9422999999999799</v>
      </c>
      <c r="AF5214">
        <v>-6.9243842378298703</v>
      </c>
      <c r="AG5214">
        <v>-1.0412564399999999</v>
      </c>
      <c r="AH5214">
        <v>69.528599308704301</v>
      </c>
      <c r="AI5214">
        <v>90.8537713853828</v>
      </c>
      <c r="AJ5214">
        <v>95.687358833462099</v>
      </c>
      <c r="AK5214">
        <v>69.880307912009798</v>
      </c>
      <c r="AL5214">
        <v>81.068471888287107</v>
      </c>
      <c r="AM5214">
        <v>92.288704557830002</v>
      </c>
      <c r="AN5214">
        <v>0.99999995563029198</v>
      </c>
    </row>
    <row r="5215" spans="1:40" x14ac:dyDescent="0.25">
      <c r="A5215" t="str">
        <f>"20190303162015796"</f>
        <v>20190303162015796</v>
      </c>
      <c r="B5215" t="str">
        <f>"1551601215787431"</f>
        <v>1551601215787431</v>
      </c>
      <c r="C5215" t="s">
        <v>40</v>
      </c>
      <c r="D5215">
        <v>4.3524589999999996</v>
      </c>
      <c r="E5215">
        <v>0.47627130000000001</v>
      </c>
      <c r="F5215" t="s">
        <v>52</v>
      </c>
      <c r="G5215">
        <v>-276.19580000000002</v>
      </c>
      <c r="H5215">
        <v>8.0000050000000003E-2</v>
      </c>
      <c r="I5215">
        <v>221.917</v>
      </c>
      <c r="J5215">
        <v>-347.1266</v>
      </c>
      <c r="K5215">
        <v>1.1212599999999999</v>
      </c>
      <c r="L5215">
        <v>214.74250000000001</v>
      </c>
      <c r="M5215">
        <v>0.99993399999999999</v>
      </c>
      <c r="N5215">
        <v>-1.149552E-2</v>
      </c>
      <c r="O5215">
        <v>2.3578800000000001E-4</v>
      </c>
      <c r="P5215">
        <v>0.98884709999999998</v>
      </c>
      <c r="Q5215">
        <v>0.14337169999999999</v>
      </c>
      <c r="R5215">
        <v>4.032562E-2</v>
      </c>
      <c r="S5215">
        <v>3.0282290000000001</v>
      </c>
      <c r="T5215">
        <v>-4.4268729999999999E-2</v>
      </c>
      <c r="U5215">
        <v>0.30502319999999999</v>
      </c>
      <c r="V5215">
        <v>-4.008697E-2</v>
      </c>
      <c r="W5215">
        <v>0.1547316</v>
      </c>
      <c r="X5215">
        <v>0.98714290000000005</v>
      </c>
      <c r="Y5215">
        <v>-9.996592E-2</v>
      </c>
      <c r="Z5215">
        <v>1.3041719999999999E-3</v>
      </c>
      <c r="AA5215">
        <v>0.99499000000000004</v>
      </c>
      <c r="AB5215">
        <v>29</v>
      </c>
      <c r="AC5215">
        <v>70.930799999999905</v>
      </c>
      <c r="AD5215">
        <v>-1.0412599499999999</v>
      </c>
      <c r="AE5215">
        <v>7.1744999999999903</v>
      </c>
      <c r="AF5215">
        <v>-7.1562475075960901</v>
      </c>
      <c r="AG5215">
        <v>-1.0412599499999999</v>
      </c>
      <c r="AH5215">
        <v>70.917361834665698</v>
      </c>
      <c r="AI5215">
        <v>90.836947772411193</v>
      </c>
      <c r="AJ5215">
        <v>95.762192627906799</v>
      </c>
      <c r="AK5215">
        <v>71.285119837609599</v>
      </c>
      <c r="AL5215">
        <v>81.098769452649805</v>
      </c>
      <c r="AM5215">
        <v>92.3254514469741</v>
      </c>
      <c r="AN5215">
        <v>0.99999996911137501</v>
      </c>
    </row>
    <row r="5216" spans="1:40" x14ac:dyDescent="0.25">
      <c r="A5216" t="str">
        <f>"20190303162015818"</f>
        <v>20190303162015818</v>
      </c>
      <c r="B5216" t="str">
        <f>"1551601215806950"</f>
        <v>1551601215806950</v>
      </c>
      <c r="C5216" t="s">
        <v>40</v>
      </c>
      <c r="D5216">
        <v>4.3845580000000002</v>
      </c>
      <c r="E5216">
        <v>0.47630810000000001</v>
      </c>
      <c r="F5216" t="s">
        <v>52</v>
      </c>
      <c r="G5216">
        <v>-276.8184</v>
      </c>
      <c r="H5216">
        <v>8.000024E-2</v>
      </c>
      <c r="I5216">
        <v>221.8647</v>
      </c>
      <c r="J5216">
        <v>-346.84190000000001</v>
      </c>
      <c r="K5216">
        <v>1.121259</v>
      </c>
      <c r="L5216">
        <v>214.74260000000001</v>
      </c>
      <c r="M5216">
        <v>0.99993410000000005</v>
      </c>
      <c r="N5216">
        <v>-1.1495750000000001E-2</v>
      </c>
      <c r="O5216">
        <v>2.3596549999999999E-4</v>
      </c>
      <c r="P5216">
        <v>0.98880219999999996</v>
      </c>
      <c r="Q5216">
        <v>0.14352719999999999</v>
      </c>
      <c r="R5216">
        <v>4.0875960000000003E-2</v>
      </c>
      <c r="S5216">
        <v>3.0278019999999999</v>
      </c>
      <c r="T5216">
        <v>-4.4841529999999998E-2</v>
      </c>
      <c r="U5216">
        <v>0.30671690000000001</v>
      </c>
      <c r="V5216">
        <v>-4.0636680000000001E-2</v>
      </c>
      <c r="W5216">
        <v>0.15488660000000001</v>
      </c>
      <c r="X5216">
        <v>0.98709610000000003</v>
      </c>
      <c r="Y5216">
        <v>-0.1005302</v>
      </c>
      <c r="Z5216">
        <v>1.3210870000000001E-3</v>
      </c>
      <c r="AA5216">
        <v>0.99493310000000001</v>
      </c>
      <c r="AB5216">
        <v>29</v>
      </c>
      <c r="AC5216">
        <v>70.023499999999999</v>
      </c>
      <c r="AD5216">
        <v>-1.0412587600000001</v>
      </c>
      <c r="AE5216">
        <v>7.1220999999999801</v>
      </c>
      <c r="AF5216">
        <v>-7.1040208198058004</v>
      </c>
      <c r="AG5216">
        <v>-1.0412587600000001</v>
      </c>
      <c r="AH5216">
        <v>70.009856598197302</v>
      </c>
      <c r="AI5216">
        <v>90.847746474325206</v>
      </c>
      <c r="AJ5216">
        <v>95.794069580343304</v>
      </c>
      <c r="AK5216">
        <v>70.377065529287705</v>
      </c>
      <c r="AL5216">
        <v>81.089780106059393</v>
      </c>
      <c r="AM5216">
        <v>92.3574161178053</v>
      </c>
      <c r="AN5216">
        <v>0.99999995462809499</v>
      </c>
    </row>
    <row r="5217" spans="1:40" x14ac:dyDescent="0.25">
      <c r="A5217" t="str">
        <f>"20190303162015838"</f>
        <v>20190303162015838</v>
      </c>
      <c r="B5217" t="str">
        <f>"1551601215827447"</f>
        <v>1551601215827447</v>
      </c>
      <c r="C5217" t="s">
        <v>40</v>
      </c>
      <c r="D5217">
        <v>4.388801</v>
      </c>
      <c r="E5217">
        <v>0.47628019999999999</v>
      </c>
      <c r="F5217" t="s">
        <v>52</v>
      </c>
      <c r="G5217">
        <v>-273.74079999999998</v>
      </c>
      <c r="H5217">
        <v>8.0000790000000002E-2</v>
      </c>
      <c r="I5217">
        <v>222.1874</v>
      </c>
      <c r="J5217">
        <v>-346.5797</v>
      </c>
      <c r="K5217">
        <v>1.1212519999999999</v>
      </c>
      <c r="L5217">
        <v>214.74260000000001</v>
      </c>
      <c r="M5217">
        <v>0.99993410000000005</v>
      </c>
      <c r="N5217">
        <v>-1.1492489999999999E-2</v>
      </c>
      <c r="O5217">
        <v>2.3634209999999999E-4</v>
      </c>
      <c r="P5217">
        <v>0.98873860000000002</v>
      </c>
      <c r="Q5217">
        <v>0.14387150000000001</v>
      </c>
      <c r="R5217">
        <v>4.1199199999999998E-2</v>
      </c>
      <c r="S5217">
        <v>3.0275270000000001</v>
      </c>
      <c r="T5217">
        <v>-4.3124320000000001E-2</v>
      </c>
      <c r="U5217">
        <v>0.30833440000000001</v>
      </c>
      <c r="V5217">
        <v>-4.0959719999999998E-2</v>
      </c>
      <c r="W5217">
        <v>0.1552267</v>
      </c>
      <c r="X5217">
        <v>0.98702939999999995</v>
      </c>
      <c r="Y5217">
        <v>-0.101066</v>
      </c>
      <c r="Z5217">
        <v>1.2995750000000001E-3</v>
      </c>
      <c r="AA5217">
        <v>0.99487890000000001</v>
      </c>
      <c r="AB5217">
        <v>29</v>
      </c>
      <c r="AC5217">
        <v>72.838899999999995</v>
      </c>
      <c r="AD5217">
        <v>-1.04125121</v>
      </c>
      <c r="AE5217">
        <v>7.4447999999999803</v>
      </c>
      <c r="AF5217">
        <v>-7.42608189541758</v>
      </c>
      <c r="AG5217">
        <v>-1.04125121</v>
      </c>
      <c r="AH5217">
        <v>72.825929155793304</v>
      </c>
      <c r="AI5217">
        <v>90.814923053631006</v>
      </c>
      <c r="AJ5217">
        <v>95.8223433886685</v>
      </c>
      <c r="AK5217">
        <v>73.2109749546091</v>
      </c>
      <c r="AL5217">
        <v>81.070055944158298</v>
      </c>
      <c r="AM5217">
        <v>92.376295314101498</v>
      </c>
      <c r="AN5217">
        <v>1.0000000317598601</v>
      </c>
    </row>
    <row r="5218" spans="1:40" x14ac:dyDescent="0.25">
      <c r="A5218" t="str">
        <f>"20190303162015861"</f>
        <v>20190303162015861</v>
      </c>
      <c r="B5218" t="str">
        <f>"1551601215846966"</f>
        <v>1551601215846966</v>
      </c>
      <c r="C5218" t="s">
        <v>40</v>
      </c>
      <c r="D5218">
        <v>4.3796850000000003</v>
      </c>
      <c r="E5218">
        <v>0.47634490000000002</v>
      </c>
      <c r="F5218" t="s">
        <v>52</v>
      </c>
      <c r="G5218">
        <v>-270.52910000000003</v>
      </c>
      <c r="H5218">
        <v>7.9999829999999994E-2</v>
      </c>
      <c r="I5218">
        <v>222.52330000000001</v>
      </c>
      <c r="J5218">
        <v>-346.27760000000001</v>
      </c>
      <c r="K5218">
        <v>1.1212519999999999</v>
      </c>
      <c r="L5218">
        <v>214.74270000000001</v>
      </c>
      <c r="M5218">
        <v>0.99993399999999999</v>
      </c>
      <c r="N5218">
        <v>-1.1485810000000001E-2</v>
      </c>
      <c r="O5218">
        <v>2.3673849999999999E-4</v>
      </c>
      <c r="P5218">
        <v>0.98876209999999998</v>
      </c>
      <c r="Q5218">
        <v>0.14347289999999999</v>
      </c>
      <c r="R5218">
        <v>4.2013130000000003E-2</v>
      </c>
      <c r="S5218">
        <v>3.0273129999999999</v>
      </c>
      <c r="T5218">
        <v>-4.144871E-2</v>
      </c>
      <c r="U5218">
        <v>0.30972290000000002</v>
      </c>
      <c r="V5218">
        <v>-4.1773320000000003E-2</v>
      </c>
      <c r="W5218">
        <v>0.15482199999999999</v>
      </c>
      <c r="X5218">
        <v>0.98705880000000001</v>
      </c>
      <c r="Y5218">
        <v>-0.1015253</v>
      </c>
      <c r="Z5218">
        <v>1.277296E-3</v>
      </c>
      <c r="AA5218">
        <v>0.99483220000000006</v>
      </c>
      <c r="AB5218">
        <v>29</v>
      </c>
      <c r="AC5218">
        <v>75.748499999999893</v>
      </c>
      <c r="AD5218">
        <v>-1.0412521699999999</v>
      </c>
      <c r="AE5218">
        <v>7.78059999999999</v>
      </c>
      <c r="AF5218">
        <v>-7.7612147854017399</v>
      </c>
      <c r="AG5218">
        <v>-1.0412521699999999</v>
      </c>
      <c r="AH5218">
        <v>75.736178471979301</v>
      </c>
      <c r="AI5218">
        <v>90.783573246875505</v>
      </c>
      <c r="AJ5218">
        <v>95.851073704377797</v>
      </c>
      <c r="AK5218">
        <v>76.139932956144506</v>
      </c>
      <c r="AL5218">
        <v>81.093526729211007</v>
      </c>
      <c r="AM5218">
        <v>92.4233688321589</v>
      </c>
      <c r="AN5218">
        <v>0.99999996830263005</v>
      </c>
    </row>
    <row r="5219" spans="1:40" x14ac:dyDescent="0.25">
      <c r="A5219" t="str">
        <f>"20190303162015883"</f>
        <v>20190303162015883</v>
      </c>
      <c r="B5219" t="str">
        <f>"1551601215877222"</f>
        <v>1551601215877222</v>
      </c>
      <c r="C5219" t="s">
        <v>40</v>
      </c>
      <c r="D5219">
        <v>4.4083500000000004</v>
      </c>
      <c r="E5219">
        <v>0.47636780000000001</v>
      </c>
      <c r="F5219" t="s">
        <v>52</v>
      </c>
      <c r="G5219">
        <v>-271.76089999999999</v>
      </c>
      <c r="H5219">
        <v>8.0000189999999999E-2</v>
      </c>
      <c r="I5219">
        <v>222.4059</v>
      </c>
      <c r="J5219">
        <v>-345.99509999999998</v>
      </c>
      <c r="K5219">
        <v>1.121251</v>
      </c>
      <c r="L5219">
        <v>214.74279999999999</v>
      </c>
      <c r="M5219">
        <v>0.99993410000000005</v>
      </c>
      <c r="N5219">
        <v>-1.147842E-2</v>
      </c>
      <c r="O5219">
        <v>2.3707940000000001E-4</v>
      </c>
      <c r="P5219">
        <v>0.98863829999999997</v>
      </c>
      <c r="Q5219">
        <v>0.14404429999999999</v>
      </c>
      <c r="R5219">
        <v>4.296378E-2</v>
      </c>
      <c r="S5219">
        <v>3.0270079999999999</v>
      </c>
      <c r="T5219">
        <v>-4.2297599999999998E-2</v>
      </c>
      <c r="U5219">
        <v>0.31129459999999998</v>
      </c>
      <c r="V5219">
        <v>-4.2723990000000003E-2</v>
      </c>
      <c r="W5219">
        <v>0.15538450000000001</v>
      </c>
      <c r="X5219">
        <v>0.98692970000000002</v>
      </c>
      <c r="Y5219">
        <v>-0.1020456</v>
      </c>
      <c r="Z5219">
        <v>1.2977349999999999E-3</v>
      </c>
      <c r="AA5219">
        <v>0.99477890000000002</v>
      </c>
      <c r="AB5219">
        <v>29</v>
      </c>
      <c r="AC5219">
        <v>74.234199999999902</v>
      </c>
      <c r="AD5219">
        <v>-1.04125081</v>
      </c>
      <c r="AE5219">
        <v>7.6631000000000098</v>
      </c>
      <c r="AF5219">
        <v>-7.6440111653616603</v>
      </c>
      <c r="AG5219">
        <v>-1.04125081</v>
      </c>
      <c r="AH5219">
        <v>74.221566078038705</v>
      </c>
      <c r="AI5219">
        <v>90.799518621475997</v>
      </c>
      <c r="AJ5219">
        <v>95.880108757560905</v>
      </c>
      <c r="AK5219">
        <v>74.621417709811496</v>
      </c>
      <c r="AL5219">
        <v>81.060902950790094</v>
      </c>
      <c r="AM5219">
        <v>92.478775234153801</v>
      </c>
      <c r="AN5219">
        <v>0.99999995745192904</v>
      </c>
    </row>
    <row r="5220" spans="1:40" x14ac:dyDescent="0.25">
      <c r="A5220" t="str">
        <f>"20190303162015906"</f>
        <v>20190303162015906</v>
      </c>
      <c r="B5220" t="str">
        <f>"1551601215897718"</f>
        <v>1551601215897718</v>
      </c>
      <c r="C5220" t="s">
        <v>40</v>
      </c>
      <c r="D5220">
        <v>4.4288919999999896</v>
      </c>
      <c r="E5220">
        <v>0.47639520000000002</v>
      </c>
      <c r="F5220" t="s">
        <v>52</v>
      </c>
      <c r="G5220">
        <v>-265.89</v>
      </c>
      <c r="H5220">
        <v>7.9999909999999994E-2</v>
      </c>
      <c r="I5220">
        <v>223.06389999999999</v>
      </c>
      <c r="J5220">
        <v>-345.70440000000002</v>
      </c>
      <c r="K5220">
        <v>1.1212569999999999</v>
      </c>
      <c r="L5220">
        <v>214.74279999999999</v>
      </c>
      <c r="M5220">
        <v>0.99993430000000005</v>
      </c>
      <c r="N5220">
        <v>-1.147078E-2</v>
      </c>
      <c r="O5220">
        <v>2.373024E-4</v>
      </c>
      <c r="P5220">
        <v>0.98846529999999999</v>
      </c>
      <c r="Q5220">
        <v>0.1451402</v>
      </c>
      <c r="R5220">
        <v>4.3257959999999998E-2</v>
      </c>
      <c r="S5220">
        <v>3.0265499999999999</v>
      </c>
      <c r="T5220">
        <v>-3.9340849999999997E-2</v>
      </c>
      <c r="U5220">
        <v>0.31439210000000001</v>
      </c>
      <c r="V5220">
        <v>-4.3017710000000001E-2</v>
      </c>
      <c r="W5220">
        <v>0.15647059999999999</v>
      </c>
      <c r="X5220">
        <v>0.98674539999999999</v>
      </c>
      <c r="Y5220">
        <v>-0.1030697</v>
      </c>
      <c r="Z5220">
        <v>1.2604910000000001E-3</v>
      </c>
      <c r="AA5220">
        <v>0.99467329999999998</v>
      </c>
      <c r="AB5220">
        <v>29</v>
      </c>
      <c r="AC5220">
        <v>79.814400000000006</v>
      </c>
      <c r="AD5220">
        <v>-1.04125709</v>
      </c>
      <c r="AE5220">
        <v>8.3210999999999995</v>
      </c>
      <c r="AF5220">
        <v>-8.3007607941203005</v>
      </c>
      <c r="AG5220">
        <v>-1.04125709</v>
      </c>
      <c r="AH5220">
        <v>79.802936272242206</v>
      </c>
      <c r="AI5220">
        <v>90.743533594918205</v>
      </c>
      <c r="AJ5220">
        <v>95.938307803284602</v>
      </c>
      <c r="AK5220">
        <v>80.240236064958296</v>
      </c>
      <c r="AL5220">
        <v>80.997904061920195</v>
      </c>
      <c r="AM5220">
        <v>92.496260471811894</v>
      </c>
      <c r="AN5220">
        <v>1.00000002822958</v>
      </c>
    </row>
    <row r="5221" spans="1:40" x14ac:dyDescent="0.25">
      <c r="A5221" t="str">
        <f>"20190303162015927"</f>
        <v>20190303162015927</v>
      </c>
      <c r="B5221" t="str">
        <f>"1551601215917239"</f>
        <v>1551601215917239</v>
      </c>
      <c r="C5221" t="s">
        <v>40</v>
      </c>
      <c r="D5221">
        <v>4.4017619999999997</v>
      </c>
      <c r="E5221">
        <v>0.47628110000000001</v>
      </c>
      <c r="F5221" t="s">
        <v>52</v>
      </c>
      <c r="G5221">
        <v>-256.66370000000001</v>
      </c>
      <c r="H5221">
        <v>8.0000100000000005E-2</v>
      </c>
      <c r="I5221">
        <v>224.00919999999999</v>
      </c>
      <c r="J5221">
        <v>-345.41</v>
      </c>
      <c r="K5221">
        <v>1.121256</v>
      </c>
      <c r="L5221">
        <v>214.74289999999999</v>
      </c>
      <c r="M5221">
        <v>0.99993430000000005</v>
      </c>
      <c r="N5221">
        <v>-1.146347E-2</v>
      </c>
      <c r="O5221">
        <v>2.377022E-4</v>
      </c>
      <c r="P5221">
        <v>0.98837940000000002</v>
      </c>
      <c r="Q5221">
        <v>0.14553559999999999</v>
      </c>
      <c r="R5221">
        <v>4.3881669999999998E-2</v>
      </c>
      <c r="S5221">
        <v>3.0264280000000001</v>
      </c>
      <c r="T5221">
        <v>-3.5391569999999997E-2</v>
      </c>
      <c r="U5221">
        <v>0.31495669999999998</v>
      </c>
      <c r="V5221">
        <v>-4.3640770000000002E-2</v>
      </c>
      <c r="W5221">
        <v>0.1568582</v>
      </c>
      <c r="X5221">
        <v>0.98665650000000005</v>
      </c>
      <c r="Y5221">
        <v>-0.1032594</v>
      </c>
      <c r="Z5221">
        <v>1.195574E-3</v>
      </c>
      <c r="AA5221">
        <v>0.99465380000000003</v>
      </c>
      <c r="AB5221">
        <v>29</v>
      </c>
      <c r="AC5221">
        <v>88.746300000000005</v>
      </c>
      <c r="AD5221">
        <v>-1.0412558999999999</v>
      </c>
      <c r="AE5221">
        <v>9.2662999999999993</v>
      </c>
      <c r="AF5221">
        <v>-9.2439443448610206</v>
      </c>
      <c r="AG5221">
        <v>-1.0412558999999999</v>
      </c>
      <c r="AH5221">
        <v>88.736416354767698</v>
      </c>
      <c r="AI5221">
        <v>90.668674421911604</v>
      </c>
      <c r="AJ5221">
        <v>95.947225636930298</v>
      </c>
      <c r="AK5221">
        <v>89.222678217966802</v>
      </c>
      <c r="AL5221">
        <v>80.975418584315804</v>
      </c>
      <c r="AM5221">
        <v>92.532596957609996</v>
      </c>
      <c r="AN5221">
        <v>1.00000003035284</v>
      </c>
    </row>
    <row r="5222" spans="1:40" x14ac:dyDescent="0.25">
      <c r="A5222" t="str">
        <f>"20190303162015950"</f>
        <v>20190303162015950</v>
      </c>
      <c r="B5222" t="str">
        <f>"1551601215937735"</f>
        <v>1551601215937735</v>
      </c>
      <c r="C5222" t="s">
        <v>40</v>
      </c>
      <c r="D5222">
        <v>4.4116289999999996</v>
      </c>
      <c r="E5222">
        <v>0.45537709999999998</v>
      </c>
      <c r="F5222" t="s">
        <v>52</v>
      </c>
      <c r="G5222">
        <v>-252.69210000000001</v>
      </c>
      <c r="H5222">
        <v>8.0000379999999996E-2</v>
      </c>
      <c r="I5222">
        <v>224.4648</v>
      </c>
      <c r="J5222">
        <v>-345.12049999999999</v>
      </c>
      <c r="K5222">
        <v>1.1212569999999999</v>
      </c>
      <c r="L5222">
        <v>214.74299999999999</v>
      </c>
      <c r="M5222">
        <v>0.9999344</v>
      </c>
      <c r="N5222">
        <v>-1.145527E-2</v>
      </c>
      <c r="O5222">
        <v>2.3822620000000001E-4</v>
      </c>
      <c r="P5222">
        <v>0.98831049999999998</v>
      </c>
      <c r="Q5222">
        <v>0.14575080000000001</v>
      </c>
      <c r="R5222">
        <v>4.4712160000000001E-2</v>
      </c>
      <c r="S5222">
        <v>3.026154</v>
      </c>
      <c r="T5222">
        <v>-3.3984779999999999E-2</v>
      </c>
      <c r="U5222">
        <v>0.31730649999999999</v>
      </c>
      <c r="V5222">
        <v>-4.4470599999999999E-2</v>
      </c>
      <c r="W5222">
        <v>0.15706500000000001</v>
      </c>
      <c r="X5222">
        <v>0.98658650000000003</v>
      </c>
      <c r="Y5222">
        <v>-0.1040329</v>
      </c>
      <c r="Z5222">
        <v>1.18015E-3</v>
      </c>
      <c r="AA5222">
        <v>0.99457320000000005</v>
      </c>
      <c r="AB5222">
        <v>29</v>
      </c>
      <c r="AC5222">
        <v>92.428399999999897</v>
      </c>
      <c r="AD5222">
        <v>-1.04125662</v>
      </c>
      <c r="AE5222">
        <v>9.7218</v>
      </c>
      <c r="AF5222">
        <v>-9.6985620125444001</v>
      </c>
      <c r="AG5222">
        <v>-1.04125662</v>
      </c>
      <c r="AH5222">
        <v>92.419112710563695</v>
      </c>
      <c r="AI5222">
        <v>90.641980959383005</v>
      </c>
      <c r="AJ5222">
        <v>95.990754188418506</v>
      </c>
      <c r="AK5222">
        <v>92.932441669568405</v>
      </c>
      <c r="AL5222">
        <v>80.963420694063501</v>
      </c>
      <c r="AM5222">
        <v>92.580872689615006</v>
      </c>
      <c r="AN5222">
        <v>0.99999998523580502</v>
      </c>
    </row>
    <row r="5223" spans="1:40" x14ac:dyDescent="0.25">
      <c r="A5223" t="str">
        <f>"20190303162015974"</f>
        <v>20190303162015974</v>
      </c>
      <c r="B5223" t="str">
        <f>"1551601215967014"</f>
        <v>1551601215967014</v>
      </c>
      <c r="C5223" t="s">
        <v>40</v>
      </c>
      <c r="D5223">
        <v>4.4416270000000004</v>
      </c>
      <c r="E5223">
        <v>0.45032290000000003</v>
      </c>
      <c r="F5223" t="s">
        <v>68</v>
      </c>
      <c r="G5223">
        <v>-247.3014</v>
      </c>
      <c r="H5223">
        <v>0.18096880000000001</v>
      </c>
      <c r="I5223">
        <v>230.512</v>
      </c>
      <c r="J5223">
        <v>-344.81439999999998</v>
      </c>
      <c r="K5223">
        <v>1.121256</v>
      </c>
      <c r="L5223">
        <v>214.7431</v>
      </c>
      <c r="M5223">
        <v>0.99993469999999995</v>
      </c>
      <c r="N5223">
        <v>-1.143484E-2</v>
      </c>
      <c r="O5223">
        <v>2.3852239999999999E-4</v>
      </c>
      <c r="P5223">
        <v>0.98821720000000002</v>
      </c>
      <c r="Q5223">
        <v>0.14631659999999999</v>
      </c>
      <c r="R5223">
        <v>4.4924779999999997E-2</v>
      </c>
      <c r="S5223">
        <v>3.0177610000000001</v>
      </c>
      <c r="T5223">
        <v>-2.9008389999999998E-2</v>
      </c>
      <c r="U5223">
        <v>0.48648069999999999</v>
      </c>
      <c r="V5223">
        <v>-4.468308E-2</v>
      </c>
      <c r="W5223">
        <v>0.15760929999999901</v>
      </c>
      <c r="X5223">
        <v>0.98649010000000004</v>
      </c>
      <c r="Y5223">
        <v>-0.1588997</v>
      </c>
      <c r="Z5223">
        <v>1.673632E-3</v>
      </c>
      <c r="AA5223">
        <v>0.98729330000000004</v>
      </c>
      <c r="AB5223">
        <v>29</v>
      </c>
      <c r="AC5223">
        <v>97.512999999999906</v>
      </c>
      <c r="AD5223">
        <v>-0.94028719999999999</v>
      </c>
      <c r="AE5223">
        <v>15.7689</v>
      </c>
      <c r="AF5223">
        <v>-15.7442123860802</v>
      </c>
      <c r="AG5223">
        <v>-0.94028719999999999</v>
      </c>
      <c r="AH5223">
        <v>97.507923333576699</v>
      </c>
      <c r="AI5223">
        <v>90.545432946801</v>
      </c>
      <c r="AJ5223">
        <v>99.172156012953707</v>
      </c>
      <c r="AK5223">
        <v>98.775297906425806</v>
      </c>
      <c r="AL5223">
        <v>80.931841350255397</v>
      </c>
      <c r="AM5223">
        <v>92.593440336341601</v>
      </c>
      <c r="AN5223">
        <v>0.99999999324139299</v>
      </c>
    </row>
    <row r="5224" spans="1:40" x14ac:dyDescent="0.25">
      <c r="A5224" t="str">
        <f>"20190303162015996"</f>
        <v>20190303162015996</v>
      </c>
      <c r="B5224" t="str">
        <f>"1551601215987510"</f>
        <v>1551601215987510</v>
      </c>
      <c r="C5224" t="s">
        <v>40</v>
      </c>
      <c r="D5224">
        <v>4.4073609999999999</v>
      </c>
      <c r="E5224">
        <v>0.44964929999999997</v>
      </c>
      <c r="F5224" t="s">
        <v>44</v>
      </c>
      <c r="G5224">
        <v>-263.8091</v>
      </c>
      <c r="H5224">
        <v>-0.05</v>
      </c>
      <c r="I5224">
        <v>228.9016</v>
      </c>
      <c r="J5224">
        <v>-344.5301</v>
      </c>
      <c r="K5224">
        <v>1.1212489999999999</v>
      </c>
      <c r="L5224">
        <v>214.7431</v>
      </c>
      <c r="M5224">
        <v>0.99993509999999997</v>
      </c>
      <c r="N5224">
        <v>-1.139367E-2</v>
      </c>
      <c r="O5224">
        <v>2.3911580000000001E-4</v>
      </c>
      <c r="P5224">
        <v>0.98828570000000004</v>
      </c>
      <c r="Q5224">
        <v>0.14598449999999999</v>
      </c>
      <c r="R5224">
        <v>4.4496859999999999E-2</v>
      </c>
      <c r="S5224">
        <v>3.0182190000000002</v>
      </c>
      <c r="T5224">
        <v>-4.3640489999999997E-2</v>
      </c>
      <c r="U5224">
        <v>0.52754209999999901</v>
      </c>
      <c r="V5224">
        <v>-4.4254380000000003E-2</v>
      </c>
      <c r="W5224">
        <v>0.157237299999999</v>
      </c>
      <c r="X5224">
        <v>0.98656880000000002</v>
      </c>
      <c r="Y5224">
        <v>-0.17190859999999999</v>
      </c>
      <c r="Z5224">
        <v>2.2195000000000001E-3</v>
      </c>
      <c r="AA5224">
        <v>0.98511040000000005</v>
      </c>
      <c r="AB5224">
        <v>29</v>
      </c>
      <c r="AC5224">
        <v>80.721000000000004</v>
      </c>
      <c r="AD5224">
        <v>-1.171249</v>
      </c>
      <c r="AE5224">
        <v>14.1585</v>
      </c>
      <c r="AF5224">
        <v>-14.136309311795699</v>
      </c>
      <c r="AG5224">
        <v>-1.171249</v>
      </c>
      <c r="AH5224">
        <v>80.707898710191301</v>
      </c>
      <c r="AI5224">
        <v>90.818963509728107</v>
      </c>
      <c r="AJ5224">
        <v>99.934805278136395</v>
      </c>
      <c r="AK5224">
        <v>81.9449326035068</v>
      </c>
      <c r="AL5224">
        <v>80.953424629774105</v>
      </c>
      <c r="AM5224">
        <v>92.568387118443297</v>
      </c>
      <c r="AN5224">
        <v>1.00000000789695</v>
      </c>
    </row>
    <row r="5225" spans="1:40" x14ac:dyDescent="0.25">
      <c r="A5225" t="str">
        <f>"20190303162016018"</f>
        <v>20190303162016018</v>
      </c>
      <c r="B5225" t="str">
        <f>"1551601216007030"</f>
        <v>1551601216007030</v>
      </c>
      <c r="C5225" t="s">
        <v>40</v>
      </c>
      <c r="D5225">
        <v>4.4276260000000001</v>
      </c>
      <c r="E5225">
        <v>0.44946989999999998</v>
      </c>
      <c r="F5225" t="s">
        <v>44</v>
      </c>
      <c r="G5225">
        <v>-268.68819999999999</v>
      </c>
      <c r="H5225">
        <v>-0.05</v>
      </c>
      <c r="I5225">
        <v>228.1061</v>
      </c>
      <c r="J5225">
        <v>-344.23869999999999</v>
      </c>
      <c r="K5225">
        <v>1.1212340000000001</v>
      </c>
      <c r="L5225">
        <v>214.7432</v>
      </c>
      <c r="M5225">
        <v>0.99993589999999999</v>
      </c>
      <c r="N5225">
        <v>-1.132067E-2</v>
      </c>
      <c r="O5225">
        <v>2.3953200000000001E-4</v>
      </c>
      <c r="P5225">
        <v>0.98837030000000003</v>
      </c>
      <c r="Q5225">
        <v>0.14566999999999999</v>
      </c>
      <c r="R5225">
        <v>4.3639320000000002E-2</v>
      </c>
      <c r="S5225">
        <v>3.018494</v>
      </c>
      <c r="T5225">
        <v>-4.6615480000000001E-2</v>
      </c>
      <c r="U5225">
        <v>0.53184509999999996</v>
      </c>
      <c r="V5225">
        <v>-4.339664E-2</v>
      </c>
      <c r="W5225">
        <v>0.15685160000000001</v>
      </c>
      <c r="X5225">
        <v>0.98666830000000005</v>
      </c>
      <c r="Y5225">
        <v>-0.17325160000000001</v>
      </c>
      <c r="Z5225">
        <v>2.3147939999999998E-3</v>
      </c>
      <c r="AA5225">
        <v>0.9848749</v>
      </c>
      <c r="AB5225">
        <v>29</v>
      </c>
      <c r="AC5225">
        <v>75.5505</v>
      </c>
      <c r="AD5225">
        <v>-1.1712340000000001</v>
      </c>
      <c r="AE5225">
        <v>13.3628999999999</v>
      </c>
      <c r="AF5225">
        <v>-13.3416925196658</v>
      </c>
      <c r="AG5225">
        <v>-1.1712340000000001</v>
      </c>
      <c r="AH5225">
        <v>75.536095795061897</v>
      </c>
      <c r="AI5225">
        <v>90.874796831418294</v>
      </c>
      <c r="AJ5225">
        <v>100.016654851833</v>
      </c>
      <c r="AK5225">
        <v>76.714238028757293</v>
      </c>
      <c r="AL5225">
        <v>80.975801322708307</v>
      </c>
      <c r="AM5225">
        <v>92.518417617303498</v>
      </c>
      <c r="AN5225">
        <v>1.0000000135053599</v>
      </c>
    </row>
    <row r="5226" spans="1:40" x14ac:dyDescent="0.25">
      <c r="A5226" t="str">
        <f>"20190303162016041"</f>
        <v>20190303162016041</v>
      </c>
      <c r="B5226" t="str">
        <f>"1551601216027527"</f>
        <v>1551601216027527</v>
      </c>
      <c r="C5226" t="s">
        <v>40</v>
      </c>
      <c r="D5226">
        <v>4.4411019999999999</v>
      </c>
      <c r="E5226">
        <v>0.4493491</v>
      </c>
      <c r="F5226" t="s">
        <v>44</v>
      </c>
      <c r="G5226">
        <v>-276.49149999999997</v>
      </c>
      <c r="H5226">
        <v>-0.05</v>
      </c>
      <c r="I5226">
        <v>226.63380000000001</v>
      </c>
      <c r="J5226">
        <v>-343.94510000000002</v>
      </c>
      <c r="K5226">
        <v>1.121208</v>
      </c>
      <c r="L5226">
        <v>214.7432</v>
      </c>
      <c r="M5226">
        <v>0.99993710000000002</v>
      </c>
      <c r="N5226">
        <v>-1.121217E-2</v>
      </c>
      <c r="O5226">
        <v>2.397879E-4</v>
      </c>
      <c r="P5226">
        <v>0.9885197</v>
      </c>
      <c r="Q5226">
        <v>0.14500289999999999</v>
      </c>
      <c r="R5226">
        <v>4.2463979999999998E-2</v>
      </c>
      <c r="S5226">
        <v>3.0195919999999998</v>
      </c>
      <c r="T5226">
        <v>-5.2203659999999999E-2</v>
      </c>
      <c r="U5226">
        <v>0.52998350000000005</v>
      </c>
      <c r="V5226">
        <v>-4.2221399999999999E-2</v>
      </c>
      <c r="W5226">
        <v>0.15607879999999999</v>
      </c>
      <c r="X5226">
        <v>0.98684179999999999</v>
      </c>
      <c r="Y5226">
        <v>-0.17259449999999901</v>
      </c>
      <c r="Z5226">
        <v>2.4541300000000001E-3</v>
      </c>
      <c r="AA5226">
        <v>0.98498989999999997</v>
      </c>
      <c r="AB5226">
        <v>29</v>
      </c>
      <c r="AC5226">
        <v>67.453599999999994</v>
      </c>
      <c r="AD5226">
        <v>-1.171208</v>
      </c>
      <c r="AE5226">
        <v>11.890599999999999</v>
      </c>
      <c r="AF5226">
        <v>-11.870953092588501</v>
      </c>
      <c r="AG5226">
        <v>-1.171208</v>
      </c>
      <c r="AH5226">
        <v>67.436731388909905</v>
      </c>
      <c r="AI5226">
        <v>90.979921370093393</v>
      </c>
      <c r="AJ5226">
        <v>99.983550293508699</v>
      </c>
      <c r="AK5226">
        <v>68.483603847385893</v>
      </c>
      <c r="AL5226">
        <v>81.020631427810102</v>
      </c>
      <c r="AM5226">
        <v>92.449869455830793</v>
      </c>
      <c r="AN5226">
        <v>0.99999998832731896</v>
      </c>
    </row>
    <row r="5227" spans="1:40" x14ac:dyDescent="0.25">
      <c r="A5227" t="str">
        <f>"20190303162016064"</f>
        <v>20190303162016064</v>
      </c>
      <c r="B5227" t="str">
        <f>"1551601216057782"</f>
        <v>1551601216057782</v>
      </c>
      <c r="C5227" t="s">
        <v>40</v>
      </c>
      <c r="D5227">
        <v>4.3893849999999999</v>
      </c>
      <c r="E5227">
        <v>0.4493704</v>
      </c>
      <c r="F5227" t="s">
        <v>56</v>
      </c>
      <c r="G5227">
        <v>-288.8535</v>
      </c>
      <c r="H5227">
        <v>7.9999249999999994E-2</v>
      </c>
      <c r="I5227">
        <v>224.35650000000001</v>
      </c>
      <c r="J5227">
        <v>-343.64499999999998</v>
      </c>
      <c r="K5227">
        <v>1.121176</v>
      </c>
      <c r="L5227">
        <v>214.7433</v>
      </c>
      <c r="M5227">
        <v>0.99993860000000001</v>
      </c>
      <c r="N5227">
        <v>-1.107265E-2</v>
      </c>
      <c r="O5227">
        <v>2.4021049999999999E-4</v>
      </c>
      <c r="P5227">
        <v>0.98850850000000001</v>
      </c>
      <c r="Q5227">
        <v>0.1453546</v>
      </c>
      <c r="R5227">
        <v>4.1507339999999997E-2</v>
      </c>
      <c r="S5227">
        <v>3.0205989999999998</v>
      </c>
      <c r="T5227">
        <v>-5.7088140000000002E-2</v>
      </c>
      <c r="U5227">
        <v>0.52708440000000001</v>
      </c>
      <c r="V5227">
        <v>-4.1263790000000002E-2</v>
      </c>
      <c r="W5227">
        <v>0.15629309999999999</v>
      </c>
      <c r="X5227">
        <v>0.98684839999999996</v>
      </c>
      <c r="Y5227">
        <v>-0.17161489999999999</v>
      </c>
      <c r="Z5227">
        <v>2.5649620000000001E-3</v>
      </c>
      <c r="AA5227">
        <v>0.98516079999999995</v>
      </c>
      <c r="AB5227">
        <v>29</v>
      </c>
      <c r="AC5227">
        <v>54.7914999999999</v>
      </c>
      <c r="AD5227">
        <v>-1.04117675</v>
      </c>
      <c r="AE5227">
        <v>9.6132000000000009</v>
      </c>
      <c r="AF5227">
        <v>-9.5966755881129693</v>
      </c>
      <c r="AG5227">
        <v>-1.04117675</v>
      </c>
      <c r="AH5227">
        <v>54.774619531605303</v>
      </c>
      <c r="AI5227">
        <v>91.072634278908097</v>
      </c>
      <c r="AJ5227">
        <v>99.937528435966797</v>
      </c>
      <c r="AK5227">
        <v>55.618694484861301</v>
      </c>
      <c r="AL5227">
        <v>81.008200481224804</v>
      </c>
      <c r="AM5227">
        <v>92.394354177020901</v>
      </c>
      <c r="AN5227">
        <v>0.99999999902766601</v>
      </c>
    </row>
    <row r="5228" spans="1:40" x14ac:dyDescent="0.25">
      <c r="A5228" t="str">
        <f>"20190303162016086"</f>
        <v>20190303162016086</v>
      </c>
      <c r="B5228" t="str">
        <f>"1551601216078278"</f>
        <v>1551601216078278</v>
      </c>
      <c r="C5228" t="s">
        <v>40</v>
      </c>
      <c r="D5228">
        <v>4.4010199999999999</v>
      </c>
      <c r="E5228">
        <v>0.44910430000000001</v>
      </c>
      <c r="F5228" t="s">
        <v>56</v>
      </c>
      <c r="G5228">
        <v>-286.3818</v>
      </c>
      <c r="H5228">
        <v>7.9999109999999998E-2</v>
      </c>
      <c r="I5228">
        <v>224.68350000000001</v>
      </c>
      <c r="J5228">
        <v>-343.35950000000003</v>
      </c>
      <c r="K5228">
        <v>1.1211420000000001</v>
      </c>
      <c r="L5228">
        <v>214.74340000000001</v>
      </c>
      <c r="M5228">
        <v>0.99994039999999995</v>
      </c>
      <c r="N5228">
        <v>-1.0921739999999999E-2</v>
      </c>
      <c r="O5228">
        <v>2.402092E-4</v>
      </c>
      <c r="P5228">
        <v>0.98848409999999998</v>
      </c>
      <c r="Q5228">
        <v>0.14549379999999901</v>
      </c>
      <c r="R5228">
        <v>4.1603580000000001E-2</v>
      </c>
      <c r="S5228">
        <v>3.0209350000000001</v>
      </c>
      <c r="T5228">
        <v>-5.4927589999999998E-2</v>
      </c>
      <c r="U5228">
        <v>0.52439880000000005</v>
      </c>
      <c r="V5228">
        <v>-4.1360309999999997E-2</v>
      </c>
      <c r="W5228">
        <v>0.15628320000000001</v>
      </c>
      <c r="X5228">
        <v>0.98684590000000005</v>
      </c>
      <c r="Y5228">
        <v>-0.1707496</v>
      </c>
      <c r="Z5228">
        <v>2.478446E-3</v>
      </c>
      <c r="AA5228">
        <v>0.9853113</v>
      </c>
      <c r="AB5228">
        <v>29</v>
      </c>
      <c r="AC5228">
        <v>56.977699999999999</v>
      </c>
      <c r="AD5228">
        <v>-1.0411428899999999</v>
      </c>
      <c r="AE5228">
        <v>9.9400999999999993</v>
      </c>
      <c r="AF5228">
        <v>-9.9231968790431697</v>
      </c>
      <c r="AG5228">
        <v>-1.0411428899999999</v>
      </c>
      <c r="AH5228">
        <v>56.961628709569503</v>
      </c>
      <c r="AI5228">
        <v>91.0316005139655</v>
      </c>
      <c r="AJ5228">
        <v>99.882234609640193</v>
      </c>
      <c r="AK5228">
        <v>57.828893816711599</v>
      </c>
      <c r="AL5228">
        <v>81.008774522391107</v>
      </c>
      <c r="AM5228">
        <v>92.399954334982695</v>
      </c>
      <c r="AN5228">
        <v>0.99999997209617197</v>
      </c>
    </row>
    <row r="5229" spans="1:40" x14ac:dyDescent="0.25">
      <c r="A5229" t="str">
        <f>"20190303162016106"</f>
        <v>20190303162016106</v>
      </c>
      <c r="B5229" t="str">
        <f>"1551601216097798"</f>
        <v>1551601216097798</v>
      </c>
      <c r="C5229" t="s">
        <v>40</v>
      </c>
      <c r="D5229">
        <v>4.4080089999999998</v>
      </c>
      <c r="E5229">
        <v>0.44897310000000001</v>
      </c>
      <c r="F5229" t="s">
        <v>56</v>
      </c>
      <c r="G5229">
        <v>-285.51429999999999</v>
      </c>
      <c r="H5229">
        <v>7.9999100000000004E-2</v>
      </c>
      <c r="I5229">
        <v>224.8272</v>
      </c>
      <c r="J5229">
        <v>-343.07850000000002</v>
      </c>
      <c r="K5229">
        <v>1.1211070000000001</v>
      </c>
      <c r="L5229">
        <v>214.74340000000001</v>
      </c>
      <c r="M5229">
        <v>0.9999422</v>
      </c>
      <c r="N5229">
        <v>-1.076682E-2</v>
      </c>
      <c r="O5229">
        <v>2.4039680000000001E-4</v>
      </c>
      <c r="P5229">
        <v>0.98841259999999997</v>
      </c>
      <c r="Q5229">
        <v>0.14588099999999901</v>
      </c>
      <c r="R5229">
        <v>4.1950630000000003E-2</v>
      </c>
      <c r="S5229">
        <v>3.0207820000000001</v>
      </c>
      <c r="T5229">
        <v>-5.4370399999999999E-2</v>
      </c>
      <c r="U5229">
        <v>0.52659609999999901</v>
      </c>
      <c r="V5229">
        <v>-4.1706970000000003E-2</v>
      </c>
      <c r="W5229">
        <v>0.15651679999999901</v>
      </c>
      <c r="X5229">
        <v>0.98679430000000001</v>
      </c>
      <c r="Y5229">
        <v>-0.1714542</v>
      </c>
      <c r="Z5229">
        <v>2.4596489999999999E-3</v>
      </c>
      <c r="AA5229">
        <v>0.98518899999999998</v>
      </c>
      <c r="AB5229">
        <v>29</v>
      </c>
      <c r="AC5229">
        <v>57.5642</v>
      </c>
      <c r="AD5229">
        <v>-1.0411078999999901</v>
      </c>
      <c r="AE5229">
        <v>10.083799999999901</v>
      </c>
      <c r="AF5229">
        <v>-10.0667658128776</v>
      </c>
      <c r="AG5229">
        <v>-1.0411078999999901</v>
      </c>
      <c r="AH5229">
        <v>57.548358711408</v>
      </c>
      <c r="AI5229">
        <v>91.020926569930893</v>
      </c>
      <c r="AJ5229">
        <v>99.922191080519596</v>
      </c>
      <c r="AK5229">
        <v>58.431474993941897</v>
      </c>
      <c r="AL5229">
        <v>80.995223585470697</v>
      </c>
      <c r="AM5229">
        <v>92.420172047549897</v>
      </c>
      <c r="AN5229">
        <v>0.99999998527065503</v>
      </c>
    </row>
    <row r="5230" spans="1:40" x14ac:dyDescent="0.25">
      <c r="A5230" t="str">
        <f>"20190303162016129"</f>
        <v>20190303162016129</v>
      </c>
      <c r="B5230" t="str">
        <f>"1551601216117319"</f>
        <v>1551601216117319</v>
      </c>
      <c r="C5230" t="s">
        <v>40</v>
      </c>
      <c r="D5230">
        <v>4.450367</v>
      </c>
      <c r="E5230">
        <v>0.4486793</v>
      </c>
      <c r="F5230" t="s">
        <v>44</v>
      </c>
      <c r="G5230">
        <v>-274.22980000000001</v>
      </c>
      <c r="H5230">
        <v>-0.05</v>
      </c>
      <c r="I5230">
        <v>226.7978</v>
      </c>
      <c r="J5230">
        <v>-342.78710000000001</v>
      </c>
      <c r="K5230">
        <v>1.1210880000000001</v>
      </c>
      <c r="L5230">
        <v>214.74350000000001</v>
      </c>
      <c r="M5230">
        <v>0.99994369999999999</v>
      </c>
      <c r="N5230">
        <v>-1.061056E-2</v>
      </c>
      <c r="O5230">
        <v>2.4087730000000001E-4</v>
      </c>
      <c r="P5230">
        <v>0.98840380000000005</v>
      </c>
      <c r="Q5230">
        <v>0.14573889999999901</v>
      </c>
      <c r="R5230">
        <v>4.2639709999999997E-2</v>
      </c>
      <c r="S5230">
        <v>3.0202939999999998</v>
      </c>
      <c r="T5230">
        <v>-5.1374789999999997E-2</v>
      </c>
      <c r="U5230">
        <v>0.52880859999999996</v>
      </c>
      <c r="V5230">
        <v>-4.2395490000000001E-2</v>
      </c>
      <c r="W5230">
        <v>0.1562201</v>
      </c>
      <c r="X5230">
        <v>0.98681200000000002</v>
      </c>
      <c r="Y5230">
        <v>-0.1721848</v>
      </c>
      <c r="Z5230">
        <v>2.3722489999999999E-3</v>
      </c>
      <c r="AA5230">
        <v>0.98506179999999999</v>
      </c>
      <c r="AB5230">
        <v>29</v>
      </c>
      <c r="AC5230">
        <v>68.557299999999998</v>
      </c>
      <c r="AD5230">
        <v>-1.1710879999999999</v>
      </c>
      <c r="AE5230">
        <v>12.0542999999999</v>
      </c>
      <c r="AF5230">
        <v>-12.034378607172499</v>
      </c>
      <c r="AG5230">
        <v>-1.1710879999999999</v>
      </c>
      <c r="AH5230">
        <v>68.540801959107597</v>
      </c>
      <c r="AI5230">
        <v>90.964114981895506</v>
      </c>
      <c r="AJ5230">
        <v>99.958473916204994</v>
      </c>
      <c r="AK5230">
        <v>69.599132528804702</v>
      </c>
      <c r="AL5230">
        <v>81.012435190929097</v>
      </c>
      <c r="AM5230">
        <v>92.460032727042503</v>
      </c>
      <c r="AN5230">
        <v>1.00000001028017</v>
      </c>
    </row>
    <row r="5231" spans="1:40" x14ac:dyDescent="0.25">
      <c r="A5231" t="str">
        <f>"20190303162016143"</f>
        <v>20190303162016143</v>
      </c>
      <c r="B5231" t="str">
        <f>"1551601216137814"</f>
        <v>1551601216137814</v>
      </c>
      <c r="C5231" t="s">
        <v>40</v>
      </c>
      <c r="D5231">
        <v>4.4318780000000002</v>
      </c>
      <c r="E5231">
        <v>0.44847140000000002</v>
      </c>
      <c r="F5231" t="s">
        <v>44</v>
      </c>
      <c r="G5231">
        <v>-275.57100000000003</v>
      </c>
      <c r="H5231">
        <v>-0.05</v>
      </c>
      <c r="I5231">
        <v>226.60910000000001</v>
      </c>
      <c r="J5231">
        <v>-342.58240000000001</v>
      </c>
      <c r="K5231">
        <v>1.1210789999999999</v>
      </c>
      <c r="L5231">
        <v>214.74359999999999</v>
      </c>
      <c r="M5231">
        <v>0.99994499999999997</v>
      </c>
      <c r="N5231">
        <v>-1.050566E-2</v>
      </c>
      <c r="O5231">
        <v>2.4095630000000001E-4</v>
      </c>
      <c r="P5231">
        <v>0.98835589999999995</v>
      </c>
      <c r="Q5231">
        <v>0.14598220000000001</v>
      </c>
      <c r="R5231">
        <v>4.2921340000000002E-2</v>
      </c>
      <c r="S5231">
        <v>3.0199579999999999</v>
      </c>
      <c r="T5231">
        <v>-5.2615879999999997E-2</v>
      </c>
      <c r="U5231">
        <v>0.53311160000000002</v>
      </c>
      <c r="V5231">
        <v>-4.2677340000000001E-2</v>
      </c>
      <c r="W5231">
        <v>0.15635950000000001</v>
      </c>
      <c r="X5231">
        <v>0.98677780000000004</v>
      </c>
      <c r="Y5231">
        <v>-0.17356289999999999</v>
      </c>
      <c r="Z5231">
        <v>2.417429E-3</v>
      </c>
      <c r="AA5231">
        <v>0.98481980000000002</v>
      </c>
      <c r="AB5231">
        <v>29</v>
      </c>
      <c r="AC5231">
        <v>67.011399999999995</v>
      </c>
      <c r="AD5231">
        <v>-1.171079</v>
      </c>
      <c r="AE5231">
        <v>11.865500000000001</v>
      </c>
      <c r="AF5231">
        <v>-11.845844156988999</v>
      </c>
      <c r="AG5231">
        <v>-1.171079</v>
      </c>
      <c r="AH5231">
        <v>66.994418888510296</v>
      </c>
      <c r="AI5231">
        <v>90.986148298369002</v>
      </c>
      <c r="AJ5231">
        <v>100.027303447214</v>
      </c>
      <c r="AK5231">
        <v>68.043718387703507</v>
      </c>
      <c r="AL5231">
        <v>81.004349035119802</v>
      </c>
      <c r="AM5231">
        <v>92.4764527292742</v>
      </c>
      <c r="AN5231">
        <v>1.0000000375812801</v>
      </c>
    </row>
    <row r="5232" spans="1:40" x14ac:dyDescent="0.25">
      <c r="A5232" t="str">
        <f>"20190303162016157"</f>
        <v>20190303162016157</v>
      </c>
      <c r="B5232" t="str">
        <f>"1551601216147574"</f>
        <v>1551601216147574</v>
      </c>
      <c r="C5232" t="s">
        <v>40</v>
      </c>
      <c r="D5232">
        <v>4.4279219999999997</v>
      </c>
      <c r="E5232">
        <v>0.44832549999999999</v>
      </c>
      <c r="F5232" t="s">
        <v>44</v>
      </c>
      <c r="G5232">
        <v>-274.34559999999999</v>
      </c>
      <c r="H5232">
        <v>-0.05</v>
      </c>
      <c r="I5232">
        <v>226.84549999999999</v>
      </c>
      <c r="J5232">
        <v>-342.41370000000001</v>
      </c>
      <c r="K5232">
        <v>1.12107</v>
      </c>
      <c r="L5232">
        <v>214.74359999999999</v>
      </c>
      <c r="M5232">
        <v>0.99994559999999999</v>
      </c>
      <c r="N5232">
        <v>-1.042556E-2</v>
      </c>
      <c r="O5232">
        <v>2.411983E-4</v>
      </c>
      <c r="P5232">
        <v>0.9883054</v>
      </c>
      <c r="Q5232">
        <v>0.14635689999999901</v>
      </c>
      <c r="R5232">
        <v>4.2803800000000003E-2</v>
      </c>
      <c r="S5232">
        <v>3.019714</v>
      </c>
      <c r="T5232">
        <v>-5.1824330000000002E-2</v>
      </c>
      <c r="U5232">
        <v>0.53555299999999995</v>
      </c>
      <c r="V5232">
        <v>-4.2559569999999998E-2</v>
      </c>
      <c r="W5232">
        <v>0.1566543</v>
      </c>
      <c r="X5232">
        <v>0.9867361</v>
      </c>
      <c r="Y5232">
        <v>-0.17434920000000001</v>
      </c>
      <c r="Z5232">
        <v>2.3987990000000001E-3</v>
      </c>
      <c r="AA5232">
        <v>0.98468100000000003</v>
      </c>
      <c r="AB5232">
        <v>29</v>
      </c>
      <c r="AC5232">
        <v>68.068100000000001</v>
      </c>
      <c r="AD5232">
        <v>-1.1710700000000001</v>
      </c>
      <c r="AE5232">
        <v>12.101900000000001</v>
      </c>
      <c r="AF5232">
        <v>-12.082014255889501</v>
      </c>
      <c r="AG5232">
        <v>-1.1710700000000001</v>
      </c>
      <c r="AH5232">
        <v>68.051491701915197</v>
      </c>
      <c r="AI5232">
        <v>90.970704839341195</v>
      </c>
      <c r="AJ5232">
        <v>100.067515574594</v>
      </c>
      <c r="AK5232">
        <v>69.125624744231104</v>
      </c>
      <c r="AL5232">
        <v>80.987247234447594</v>
      </c>
      <c r="AM5232">
        <v>92.469731560305704</v>
      </c>
      <c r="AN5232">
        <v>1.00000000887514</v>
      </c>
    </row>
    <row r="5233" spans="1:40" x14ac:dyDescent="0.25">
      <c r="A5233" t="str">
        <f>"20190303162016174"</f>
        <v>20190303162016174</v>
      </c>
      <c r="B5233" t="str">
        <f>"1551601216168071"</f>
        <v>1551601216168071</v>
      </c>
      <c r="C5233" t="s">
        <v>40</v>
      </c>
      <c r="D5233">
        <v>4.4440629999999999</v>
      </c>
      <c r="E5233">
        <v>0.44803080000000001</v>
      </c>
      <c r="F5233" t="s">
        <v>44</v>
      </c>
      <c r="G5233">
        <v>-273.14080000000001</v>
      </c>
      <c r="H5233">
        <v>-0.05</v>
      </c>
      <c r="I5233">
        <v>227.04480000000001</v>
      </c>
      <c r="J5233">
        <v>-342.1859</v>
      </c>
      <c r="K5233">
        <v>1.1210639999999901</v>
      </c>
      <c r="L5233">
        <v>214.74369999999999</v>
      </c>
      <c r="M5233">
        <v>0.99994680000000002</v>
      </c>
      <c r="N5233">
        <v>-1.0323250000000001E-2</v>
      </c>
      <c r="O5233">
        <v>2.4137329999999999E-4</v>
      </c>
      <c r="P5233">
        <v>0.98815229999999998</v>
      </c>
      <c r="Q5233">
        <v>0.1472183</v>
      </c>
      <c r="R5233">
        <v>4.3383749999999999E-2</v>
      </c>
      <c r="S5233">
        <v>3.0198670000000001</v>
      </c>
      <c r="T5233">
        <v>-5.105138E-2</v>
      </c>
      <c r="U5233">
        <v>0.53625489999999998</v>
      </c>
      <c r="V5233">
        <v>-4.3139150000000001E-2</v>
      </c>
      <c r="W5233">
        <v>0.157413</v>
      </c>
      <c r="X5233">
        <v>0.98659010000000003</v>
      </c>
      <c r="Y5233">
        <v>-0.17456340000000001</v>
      </c>
      <c r="Z5233">
        <v>2.3705330000000002E-3</v>
      </c>
      <c r="AA5233">
        <v>0.98464309999999999</v>
      </c>
      <c r="AB5233">
        <v>29</v>
      </c>
      <c r="AC5233">
        <v>69.045099999999906</v>
      </c>
      <c r="AD5233">
        <v>-1.1710640000000001</v>
      </c>
      <c r="AE5233">
        <v>12.3011</v>
      </c>
      <c r="AF5233">
        <v>-12.281008914012601</v>
      </c>
      <c r="AG5233">
        <v>-1.1710640000000001</v>
      </c>
      <c r="AH5233">
        <v>69.0288206489099</v>
      </c>
      <c r="AI5233">
        <v>90.956898168840496</v>
      </c>
      <c r="AJ5233">
        <v>100.08801506184599</v>
      </c>
      <c r="AK5233">
        <v>70.122554510068497</v>
      </c>
      <c r="AL5233">
        <v>80.943230124353605</v>
      </c>
      <c r="AM5233">
        <v>92.503692066486295</v>
      </c>
      <c r="AN5233">
        <v>0.99999993212486304</v>
      </c>
    </row>
    <row r="5234" spans="1:40" x14ac:dyDescent="0.25">
      <c r="A5234" t="str">
        <f>"20190303162016197"</f>
        <v>20190303162016197</v>
      </c>
      <c r="B5234" t="str">
        <f>"1551601216187590"</f>
        <v>1551601216187590</v>
      </c>
      <c r="C5234" t="s">
        <v>40</v>
      </c>
      <c r="D5234">
        <v>4.4435019999999996</v>
      </c>
      <c r="E5234">
        <v>0.44776090000000002</v>
      </c>
      <c r="F5234" t="s">
        <v>44</v>
      </c>
      <c r="G5234">
        <v>-270.12740000000002</v>
      </c>
      <c r="H5234">
        <v>-0.05</v>
      </c>
      <c r="I5234">
        <v>227.6377</v>
      </c>
      <c r="J5234">
        <v>-341.89060000000001</v>
      </c>
      <c r="K5234">
        <v>1.1210610000000001</v>
      </c>
      <c r="L5234">
        <v>214.74369999999999</v>
      </c>
      <c r="M5234">
        <v>0.99994799999999995</v>
      </c>
      <c r="N5234">
        <v>-1.020329E-2</v>
      </c>
      <c r="O5234">
        <v>2.4169330000000001E-4</v>
      </c>
      <c r="P5234">
        <v>0.98794720000000003</v>
      </c>
      <c r="Q5234">
        <v>0.14844649999999901</v>
      </c>
      <c r="R5234">
        <v>4.3868249999999998E-2</v>
      </c>
      <c r="S5234">
        <v>3.0195620000000001</v>
      </c>
      <c r="T5234">
        <v>-4.9072619999999997E-2</v>
      </c>
      <c r="U5234">
        <v>0.54031370000000001</v>
      </c>
      <c r="V5234">
        <v>-4.3623849999999999E-2</v>
      </c>
      <c r="W5234">
        <v>0.1585213</v>
      </c>
      <c r="X5234">
        <v>0.98639140000000003</v>
      </c>
      <c r="Y5234">
        <v>-0.1758652</v>
      </c>
      <c r="Z5234">
        <v>2.3206310000000001E-3</v>
      </c>
      <c r="AA5234">
        <v>0.98441149999999999</v>
      </c>
      <c r="AB5234">
        <v>29</v>
      </c>
      <c r="AC5234">
        <v>71.763199999999898</v>
      </c>
      <c r="AD5234">
        <v>-1.1710609999999999</v>
      </c>
      <c r="AE5234">
        <v>12.894</v>
      </c>
      <c r="AF5234">
        <v>-12.8733331988405</v>
      </c>
      <c r="AG5234">
        <v>-1.1710609999999999</v>
      </c>
      <c r="AH5234">
        <v>71.747806208918206</v>
      </c>
      <c r="AI5234">
        <v>90.920397983134507</v>
      </c>
      <c r="AJ5234">
        <v>100.172046275361</v>
      </c>
      <c r="AK5234">
        <v>72.902961444008398</v>
      </c>
      <c r="AL5234">
        <v>80.878922565695106</v>
      </c>
      <c r="AM5234">
        <v>92.532295825128998</v>
      </c>
      <c r="AN5234">
        <v>1.0000000184182301</v>
      </c>
    </row>
    <row r="5235" spans="1:40" x14ac:dyDescent="0.25">
      <c r="A5235" t="str">
        <f>"20190303162016219"</f>
        <v>20190303162016219</v>
      </c>
      <c r="B5235" t="str">
        <f>"1551601216208086"</f>
        <v>1551601216208086</v>
      </c>
      <c r="C5235" t="s">
        <v>40</v>
      </c>
      <c r="D5235">
        <v>4.4473440000000002</v>
      </c>
      <c r="E5235">
        <v>0.44753369999999998</v>
      </c>
      <c r="F5235" t="s">
        <v>44</v>
      </c>
      <c r="G5235">
        <v>-263.22910000000002</v>
      </c>
      <c r="H5235">
        <v>-0.05</v>
      </c>
      <c r="I5235">
        <v>228.9057</v>
      </c>
      <c r="J5235">
        <v>-341.59449999999998</v>
      </c>
      <c r="K5235">
        <v>1.1210530000000001</v>
      </c>
      <c r="L5235">
        <v>214.74379999999999</v>
      </c>
      <c r="M5235">
        <v>0.99994910000000004</v>
      </c>
      <c r="N5235">
        <v>-1.009733E-2</v>
      </c>
      <c r="O5235">
        <v>2.4205440000000001E-4</v>
      </c>
      <c r="P5235">
        <v>0.98775959999999996</v>
      </c>
      <c r="Q5235">
        <v>0.14967620000000001</v>
      </c>
      <c r="R5235">
        <v>4.3912769999999997E-2</v>
      </c>
      <c r="S5235">
        <v>3.0192570000000001</v>
      </c>
      <c r="T5235">
        <v>-4.4948700000000001E-2</v>
      </c>
      <c r="U5235">
        <v>0.54357909999999998</v>
      </c>
      <c r="V5235">
        <v>-4.3667600000000001E-2</v>
      </c>
      <c r="W5235">
        <v>0.15964410000000001</v>
      </c>
      <c r="X5235">
        <v>0.98620830000000004</v>
      </c>
      <c r="Y5235">
        <v>-0.1769182</v>
      </c>
      <c r="Z5235">
        <v>2.205626E-3</v>
      </c>
      <c r="AA5235">
        <v>0.98422310000000002</v>
      </c>
      <c r="AB5235">
        <v>30</v>
      </c>
      <c r="AC5235">
        <v>78.365399999999894</v>
      </c>
      <c r="AD5235">
        <v>-1.1710529999999999</v>
      </c>
      <c r="AE5235">
        <v>14.161899999999999</v>
      </c>
      <c r="AF5235">
        <v>-14.139872241887799</v>
      </c>
      <c r="AG5235">
        <v>-1.1710529999999999</v>
      </c>
      <c r="AH5235">
        <v>78.351882561269505</v>
      </c>
      <c r="AI5235">
        <v>90.842673012571098</v>
      </c>
      <c r="AJ5235">
        <v>100.229848684351</v>
      </c>
      <c r="AK5235">
        <v>79.626156839575501</v>
      </c>
      <c r="AL5235">
        <v>80.813760454455405</v>
      </c>
      <c r="AM5235">
        <v>92.535302137257304</v>
      </c>
      <c r="AN5235">
        <v>0.99999995447172896</v>
      </c>
    </row>
    <row r="5236" spans="1:40" x14ac:dyDescent="0.25">
      <c r="A5236" t="str">
        <f>"20190303162016242"</f>
        <v>20190303162016242</v>
      </c>
      <c r="B5236" t="str">
        <f>"1551601216227606"</f>
        <v>1551601216227606</v>
      </c>
      <c r="C5236" t="s">
        <v>40</v>
      </c>
      <c r="D5236">
        <v>4.4498049999999996</v>
      </c>
      <c r="E5236">
        <v>0.44741979999999998</v>
      </c>
      <c r="F5236" t="s">
        <v>44</v>
      </c>
      <c r="G5236">
        <v>-256.92230000000001</v>
      </c>
      <c r="H5236">
        <v>-0.05</v>
      </c>
      <c r="I5236">
        <v>230.05359999999999</v>
      </c>
      <c r="J5236">
        <v>-341.3005</v>
      </c>
      <c r="K5236">
        <v>1.1210549999999999</v>
      </c>
      <c r="L5236">
        <v>214.7439</v>
      </c>
      <c r="M5236">
        <v>0.99994989999999995</v>
      </c>
      <c r="N5236">
        <v>-1.0005760000000001E-2</v>
      </c>
      <c r="O5236">
        <v>2.4251660000000001E-4</v>
      </c>
      <c r="P5236">
        <v>0.98760369999999997</v>
      </c>
      <c r="Q5236">
        <v>0.150791799999999</v>
      </c>
      <c r="R5236">
        <v>4.3594800000000003E-2</v>
      </c>
      <c r="S5236">
        <v>3.0192260000000002</v>
      </c>
      <c r="T5236">
        <v>-4.1757229999999999E-2</v>
      </c>
      <c r="U5236">
        <v>0.54591369999999995</v>
      </c>
      <c r="V5236">
        <v>-4.3348980000000002E-2</v>
      </c>
      <c r="W5236">
        <v>0.160667899999999</v>
      </c>
      <c r="X5236">
        <v>0.98605609999999999</v>
      </c>
      <c r="Y5236">
        <v>-0.17765999999999901</v>
      </c>
      <c r="Z5236">
        <v>2.1137539999999998E-3</v>
      </c>
      <c r="AA5236">
        <v>0.98408969999999996</v>
      </c>
      <c r="AB5236">
        <v>30</v>
      </c>
      <c r="AC5236">
        <v>84.378199999999893</v>
      </c>
      <c r="AD5236">
        <v>-1.171055</v>
      </c>
      <c r="AE5236">
        <v>15.3096999999999</v>
      </c>
      <c r="AF5236">
        <v>-15.286384840586001</v>
      </c>
      <c r="AG5236">
        <v>-1.171055</v>
      </c>
      <c r="AH5236">
        <v>84.366178147457404</v>
      </c>
      <c r="AI5236">
        <v>90.782510354784506</v>
      </c>
      <c r="AJ5236">
        <v>100.270052848528</v>
      </c>
      <c r="AK5236">
        <v>85.747868466312596</v>
      </c>
      <c r="AL5236">
        <v>80.754334082605098</v>
      </c>
      <c r="AM5236">
        <v>92.517215195506097</v>
      </c>
      <c r="AN5236">
        <v>0.99999997025232901</v>
      </c>
    </row>
    <row r="5237" spans="1:40" x14ac:dyDescent="0.25">
      <c r="A5237" t="str">
        <f>"20190303162016263"</f>
        <v>20190303162016263</v>
      </c>
      <c r="B5237" t="str">
        <f>"1551601216257863"</f>
        <v>1551601216257863</v>
      </c>
      <c r="C5237" t="s">
        <v>40</v>
      </c>
      <c r="D5237">
        <v>4.4060819999999996</v>
      </c>
      <c r="E5237">
        <v>0.44714510000000002</v>
      </c>
      <c r="F5237" t="s">
        <v>69</v>
      </c>
      <c r="G5237">
        <v>-256.82780000000002</v>
      </c>
      <c r="H5237">
        <v>3.8716319999999999E-2</v>
      </c>
      <c r="I5237">
        <v>230.02719999999999</v>
      </c>
      <c r="J5237">
        <v>-341.00909999999999</v>
      </c>
      <c r="K5237">
        <v>1.1210560000000001</v>
      </c>
      <c r="L5237">
        <v>214.7439</v>
      </c>
      <c r="M5237">
        <v>0.99995089999999998</v>
      </c>
      <c r="N5237">
        <v>-9.9277159999999996E-3</v>
      </c>
      <c r="O5237">
        <v>2.4272820000000001E-4</v>
      </c>
      <c r="P5237">
        <v>0.98758999999999997</v>
      </c>
      <c r="Q5237">
        <v>0.1510869</v>
      </c>
      <c r="R5237">
        <v>4.2884489999999997E-2</v>
      </c>
      <c r="S5237">
        <v>3.0194399999999999</v>
      </c>
      <c r="T5237">
        <v>-3.8686869999999998E-2</v>
      </c>
      <c r="U5237">
        <v>0.54629519999999998</v>
      </c>
      <c r="V5237">
        <v>-4.2638389999999998E-2</v>
      </c>
      <c r="W5237">
        <v>0.16088569999999999</v>
      </c>
      <c r="X5237">
        <v>0.98605160000000003</v>
      </c>
      <c r="Y5237">
        <v>-0.17777129999999999</v>
      </c>
      <c r="Z5237">
        <v>2.0185680000000001E-3</v>
      </c>
      <c r="AA5237">
        <v>0.98406979999999999</v>
      </c>
      <c r="AB5237">
        <v>30</v>
      </c>
      <c r="AC5237">
        <v>84.181299999999894</v>
      </c>
      <c r="AD5237">
        <v>-1.08233968</v>
      </c>
      <c r="AE5237">
        <v>15.283299999999899</v>
      </c>
      <c r="AF5237">
        <v>-15.2604231870812</v>
      </c>
      <c r="AG5237">
        <v>-1.08233968</v>
      </c>
      <c r="AH5237">
        <v>84.171537093395301</v>
      </c>
      <c r="AI5237">
        <v>90.724894664836199</v>
      </c>
      <c r="AJ5237">
        <v>100.276185686258</v>
      </c>
      <c r="AK5237">
        <v>85.550567687751297</v>
      </c>
      <c r="AL5237">
        <v>80.741690850869901</v>
      </c>
      <c r="AM5237">
        <v>92.476015284398699</v>
      </c>
      <c r="AN5237">
        <v>0.99999999931442096</v>
      </c>
    </row>
    <row r="5238" spans="1:40" x14ac:dyDescent="0.25">
      <c r="A5238" t="str">
        <f>"20190303162016287"</f>
        <v>20190303162016287</v>
      </c>
      <c r="B5238" t="str">
        <f>"1551601216277383"</f>
        <v>1551601216277383</v>
      </c>
      <c r="C5238" t="s">
        <v>40</v>
      </c>
      <c r="D5238">
        <v>4.4995089999999998</v>
      </c>
      <c r="E5238">
        <v>0.44697599999999998</v>
      </c>
      <c r="F5238" t="s">
        <v>69</v>
      </c>
      <c r="G5238">
        <v>-256.82780000000002</v>
      </c>
      <c r="H5238">
        <v>6.7837720000000004E-2</v>
      </c>
      <c r="I5238">
        <v>229.98099999999999</v>
      </c>
      <c r="J5238">
        <v>-340.70359999999999</v>
      </c>
      <c r="K5238">
        <v>1.1210560000000001</v>
      </c>
      <c r="L5238">
        <v>214.744</v>
      </c>
      <c r="M5238">
        <v>0.99995149999999999</v>
      </c>
      <c r="N5238">
        <v>-9.8580200000000003E-3</v>
      </c>
      <c r="O5238">
        <v>2.4307420000000001E-4</v>
      </c>
      <c r="P5238">
        <v>0.98761920000000003</v>
      </c>
      <c r="Q5238">
        <v>0.15109539999999999</v>
      </c>
      <c r="R5238">
        <v>4.2179990000000001E-2</v>
      </c>
      <c r="S5238">
        <v>3.0197449999999999</v>
      </c>
      <c r="T5238">
        <v>-3.7780050000000003E-2</v>
      </c>
      <c r="U5238">
        <v>0.54658509999999905</v>
      </c>
      <c r="V5238">
        <v>-4.1933989999999997E-2</v>
      </c>
      <c r="W5238">
        <v>0.16082550000000001</v>
      </c>
      <c r="X5238">
        <v>0.98609159999999996</v>
      </c>
      <c r="Y5238">
        <v>-0.177846</v>
      </c>
      <c r="Z5238">
        <v>1.9866200000000001E-3</v>
      </c>
      <c r="AA5238">
        <v>0.98405640000000005</v>
      </c>
      <c r="AB5238">
        <v>30</v>
      </c>
      <c r="AC5238">
        <v>83.875799999999899</v>
      </c>
      <c r="AD5238">
        <v>-1.0532182800000001</v>
      </c>
      <c r="AE5238">
        <v>15.236999999999901</v>
      </c>
      <c r="AF5238">
        <v>-15.214288239689701</v>
      </c>
      <c r="AG5238">
        <v>-1.0532182800000001</v>
      </c>
      <c r="AH5238">
        <v>83.866700175667901</v>
      </c>
      <c r="AI5238">
        <v>90.707942819786297</v>
      </c>
      <c r="AJ5238">
        <v>100.282226083729</v>
      </c>
      <c r="AK5238">
        <v>85.242050853678293</v>
      </c>
      <c r="AL5238">
        <v>80.745185312733497</v>
      </c>
      <c r="AM5238">
        <v>92.435061703840702</v>
      </c>
      <c r="AN5238">
        <v>0.99999997227906401</v>
      </c>
    </row>
    <row r="5239" spans="1:40" x14ac:dyDescent="0.25">
      <c r="A5239" t="str">
        <f>"20190303162016307"</f>
        <v>20190303162016307</v>
      </c>
      <c r="B5239" t="str">
        <f>"1551601216297898"</f>
        <v>1551601216297898</v>
      </c>
      <c r="C5239" t="s">
        <v>40</v>
      </c>
      <c r="D5239">
        <v>4.4710419999999997</v>
      </c>
      <c r="E5239">
        <v>0.44677450000000002</v>
      </c>
      <c r="F5239" t="s">
        <v>69</v>
      </c>
      <c r="G5239">
        <v>-256.82780000000002</v>
      </c>
      <c r="H5239">
        <v>4.1404249999999997E-2</v>
      </c>
      <c r="I5239">
        <v>229.90539999999999</v>
      </c>
      <c r="J5239">
        <v>-340.42489999999998</v>
      </c>
      <c r="K5239">
        <v>1.121051</v>
      </c>
      <c r="L5239">
        <v>214.744</v>
      </c>
      <c r="M5239">
        <v>0.99995199999999995</v>
      </c>
      <c r="N5239">
        <v>-9.8040750000000006E-3</v>
      </c>
      <c r="O5239">
        <v>2.4334030000000001E-4</v>
      </c>
      <c r="P5239">
        <v>0.98768219999999995</v>
      </c>
      <c r="Q5239">
        <v>0.15088099999999999</v>
      </c>
      <c r="R5239">
        <v>4.145737E-2</v>
      </c>
      <c r="S5239">
        <v>3.0202640000000001</v>
      </c>
      <c r="T5239">
        <v>-3.8876059999999997E-2</v>
      </c>
      <c r="U5239">
        <v>0.54594419999999899</v>
      </c>
      <c r="V5239">
        <v>-4.1211209999999998E-2</v>
      </c>
      <c r="W5239">
        <v>0.1605586</v>
      </c>
      <c r="X5239">
        <v>0.98616559999999998</v>
      </c>
      <c r="Y5239">
        <v>-0.17761289999999999</v>
      </c>
      <c r="Z5239">
        <v>2.0108669999999999E-3</v>
      </c>
      <c r="AA5239">
        <v>0.98409840000000004</v>
      </c>
      <c r="AB5239">
        <v>30</v>
      </c>
      <c r="AC5239">
        <v>83.597099999999898</v>
      </c>
      <c r="AD5239">
        <v>-1.07964675</v>
      </c>
      <c r="AE5239">
        <v>15.161399999999899</v>
      </c>
      <c r="AF5239">
        <v>-15.138611408870499</v>
      </c>
      <c r="AG5239">
        <v>-1.07964675</v>
      </c>
      <c r="AH5239">
        <v>83.587289185261497</v>
      </c>
      <c r="AI5239">
        <v>90.728169180739897</v>
      </c>
      <c r="AJ5239">
        <v>100.265642136113</v>
      </c>
      <c r="AK5239">
        <v>84.953976398012699</v>
      </c>
      <c r="AL5239">
        <v>80.760679246802894</v>
      </c>
      <c r="AM5239">
        <v>92.392960503243401</v>
      </c>
      <c r="AN5239">
        <v>1.00000000924349</v>
      </c>
    </row>
    <row r="5240" spans="1:40" x14ac:dyDescent="0.25">
      <c r="A5240" t="str">
        <f>"20190303162016322"</f>
        <v>20190303162016322</v>
      </c>
      <c r="B5240" t="str">
        <f>"1551601216317399"</f>
        <v>1551601216317399</v>
      </c>
      <c r="C5240" t="s">
        <v>40</v>
      </c>
      <c r="D5240">
        <v>4.4347839999999996</v>
      </c>
      <c r="E5240">
        <v>0.44652510000000001</v>
      </c>
      <c r="F5240" t="s">
        <v>69</v>
      </c>
      <c r="G5240">
        <v>-256.82780000000002</v>
      </c>
      <c r="H5240">
        <v>4.4012069999999998E-4</v>
      </c>
      <c r="I5240">
        <v>229.84289999999999</v>
      </c>
      <c r="J5240">
        <v>-340.21910000000003</v>
      </c>
      <c r="K5240">
        <v>1.1210469999999999</v>
      </c>
      <c r="L5240">
        <v>214.7441</v>
      </c>
      <c r="M5240">
        <v>0.99995239999999996</v>
      </c>
      <c r="N5240">
        <v>-9.7693290000000002E-3</v>
      </c>
      <c r="O5240">
        <v>2.436897E-4</v>
      </c>
      <c r="P5240">
        <v>0.98767910000000003</v>
      </c>
      <c r="Q5240">
        <v>0.15096109999999999</v>
      </c>
      <c r="R5240">
        <v>4.1248899999999998E-2</v>
      </c>
      <c r="S5240">
        <v>3.0206599999999999</v>
      </c>
      <c r="T5240">
        <v>-4.0490749999999999E-2</v>
      </c>
      <c r="U5240">
        <v>0.54557800000000001</v>
      </c>
      <c r="V5240">
        <v>-4.1002120000000003E-2</v>
      </c>
      <c r="W5240">
        <v>0.16060429999999901</v>
      </c>
      <c r="X5240">
        <v>0.98616680000000001</v>
      </c>
      <c r="Y5240">
        <v>-0.17747279999999999</v>
      </c>
      <c r="Z5240">
        <v>2.0529390000000002E-3</v>
      </c>
      <c r="AA5240">
        <v>0.98412359999999999</v>
      </c>
      <c r="AB5240">
        <v>30</v>
      </c>
      <c r="AC5240">
        <v>83.391300000000001</v>
      </c>
      <c r="AD5240">
        <v>-1.1206068792999999</v>
      </c>
      <c r="AE5240">
        <v>15.098799999999899</v>
      </c>
      <c r="AF5240">
        <v>-15.075841030673301</v>
      </c>
      <c r="AG5240">
        <v>-1.1206068792999999</v>
      </c>
      <c r="AH5240">
        <v>83.380398375954599</v>
      </c>
      <c r="AI5240">
        <v>90.757707046506198</v>
      </c>
      <c r="AJ5240">
        <v>100.24880814524199</v>
      </c>
      <c r="AK5240">
        <v>84.739763841380693</v>
      </c>
      <c r="AL5240">
        <v>80.758025721892395</v>
      </c>
      <c r="AM5240">
        <v>92.380830644827896</v>
      </c>
      <c r="AN5240">
        <v>0.99999993622260996</v>
      </c>
    </row>
    <row r="5241" spans="1:40" x14ac:dyDescent="0.25">
      <c r="A5241" t="str">
        <f>"20190303162016336"</f>
        <v>20190303162016336</v>
      </c>
      <c r="B5241" t="str">
        <f>"1551601216327311"</f>
        <v>1551601216327311</v>
      </c>
      <c r="C5241" t="s">
        <v>40</v>
      </c>
      <c r="D5241">
        <v>4.4787039999999996</v>
      </c>
      <c r="E5241">
        <v>0.44640560000000001</v>
      </c>
      <c r="F5241" t="s">
        <v>69</v>
      </c>
      <c r="G5241">
        <v>-256.82780000000002</v>
      </c>
      <c r="H5241">
        <v>-2.414966E-2</v>
      </c>
      <c r="I5241">
        <v>229.84809999999999</v>
      </c>
      <c r="J5241">
        <v>-340.03930000000003</v>
      </c>
      <c r="K5241">
        <v>1.1210439999999999</v>
      </c>
      <c r="L5241">
        <v>214.7441</v>
      </c>
      <c r="M5241">
        <v>0.99995259999999997</v>
      </c>
      <c r="N5241">
        <v>-9.7427490000000002E-3</v>
      </c>
      <c r="O5241">
        <v>2.4399860000000001E-4</v>
      </c>
      <c r="P5241">
        <v>0.9876878</v>
      </c>
      <c r="Q5241">
        <v>0.1510608</v>
      </c>
      <c r="R5241">
        <v>4.0664100000000002E-2</v>
      </c>
      <c r="S5241">
        <v>3.0208740000000001</v>
      </c>
      <c r="T5241">
        <v>-4.1484119999999999E-2</v>
      </c>
      <c r="U5241">
        <v>0.54714969999999996</v>
      </c>
      <c r="V5241">
        <v>-4.0417109999999999E-2</v>
      </c>
      <c r="W5241">
        <v>0.16067770000000001</v>
      </c>
      <c r="X5241">
        <v>0.98617909999999998</v>
      </c>
      <c r="Y5241">
        <v>-0.177955</v>
      </c>
      <c r="Z5241">
        <v>2.0849710000000001E-3</v>
      </c>
      <c r="AA5241">
        <v>0.98403640000000003</v>
      </c>
      <c r="AB5241">
        <v>30</v>
      </c>
      <c r="AC5241">
        <v>83.211500000000001</v>
      </c>
      <c r="AD5241">
        <v>-1.1451936599999999</v>
      </c>
      <c r="AE5241">
        <v>15.1039999999999</v>
      </c>
      <c r="AF5241">
        <v>-15.0809298056973</v>
      </c>
      <c r="AG5241">
        <v>-1.1451936599999999</v>
      </c>
      <c r="AH5241">
        <v>83.199927215461997</v>
      </c>
      <c r="AI5241">
        <v>90.775947341644397</v>
      </c>
      <c r="AJ5241">
        <v>100.273959382416</v>
      </c>
      <c r="AK5241">
        <v>84.563430636306705</v>
      </c>
      <c r="AL5241">
        <v>80.753765858889494</v>
      </c>
      <c r="AM5241">
        <v>92.346870451087398</v>
      </c>
      <c r="AN5241">
        <v>1.00000004166742</v>
      </c>
    </row>
    <row r="5242" spans="1:40" x14ac:dyDescent="0.25">
      <c r="A5242" t="str">
        <f>"20190303162016352"</f>
        <v>20190303162016352</v>
      </c>
      <c r="B5242" t="str">
        <f>"1551601216347807"</f>
        <v>1551601216347807</v>
      </c>
      <c r="C5242" t="s">
        <v>40</v>
      </c>
      <c r="D5242">
        <v>4.4539350000000004</v>
      </c>
      <c r="E5242">
        <v>0.44619409999999998</v>
      </c>
      <c r="F5242" t="s">
        <v>69</v>
      </c>
      <c r="G5242">
        <v>-256.82780000000002</v>
      </c>
      <c r="H5242">
        <v>-3.1937119999999999E-2</v>
      </c>
      <c r="I5242">
        <v>229.79079999999999</v>
      </c>
      <c r="J5242">
        <v>-339.81810000000002</v>
      </c>
      <c r="K5242">
        <v>1.1210370000000001</v>
      </c>
      <c r="L5242">
        <v>214.74420000000001</v>
      </c>
      <c r="M5242">
        <v>0.99995290000000003</v>
      </c>
      <c r="N5242">
        <v>-9.7155920000000003E-3</v>
      </c>
      <c r="O5242">
        <v>2.4413089999999999E-4</v>
      </c>
      <c r="P5242">
        <v>0.98765199999999997</v>
      </c>
      <c r="Q5242">
        <v>0.15138009999999999</v>
      </c>
      <c r="R5242">
        <v>4.0347729999999998E-2</v>
      </c>
      <c r="S5242">
        <v>3.0213009999999998</v>
      </c>
      <c r="T5242">
        <v>-4.1862249999999997E-2</v>
      </c>
      <c r="U5242">
        <v>0.54632569999999903</v>
      </c>
      <c r="V5242">
        <v>-4.0100579999999997E-2</v>
      </c>
      <c r="W5242">
        <v>0.16097049999999999</v>
      </c>
      <c r="X5242">
        <v>0.98614420000000003</v>
      </c>
      <c r="Y5242">
        <v>-0.1776703</v>
      </c>
      <c r="Z5242">
        <v>2.090031E-3</v>
      </c>
      <c r="AA5242">
        <v>0.98408790000000002</v>
      </c>
      <c r="AB5242">
        <v>30</v>
      </c>
      <c r="AC5242">
        <v>82.990299999999905</v>
      </c>
      <c r="AD5242">
        <v>-1.1529741200000001</v>
      </c>
      <c r="AE5242">
        <v>15.0465999999999</v>
      </c>
      <c r="AF5242">
        <v>-15.023530663828099</v>
      </c>
      <c r="AG5242">
        <v>-1.1529741200000001</v>
      </c>
      <c r="AH5242">
        <v>82.978464907821206</v>
      </c>
      <c r="AI5242">
        <v>90.783331800857397</v>
      </c>
      <c r="AJ5242">
        <v>100.26242250212501</v>
      </c>
      <c r="AK5242">
        <v>84.335410483301004</v>
      </c>
      <c r="AL5242">
        <v>80.736767738487998</v>
      </c>
      <c r="AM5242">
        <v>92.328593364295898</v>
      </c>
      <c r="AN5242">
        <v>0.99999997079011205</v>
      </c>
    </row>
    <row r="5243" spans="1:40" x14ac:dyDescent="0.25">
      <c r="A5243" t="str">
        <f>"20190303162016375"</f>
        <v>20190303162016375</v>
      </c>
      <c r="B5243" t="str">
        <f>"1551601216367327"</f>
        <v>1551601216367327</v>
      </c>
      <c r="C5243" t="s">
        <v>40</v>
      </c>
      <c r="D5243">
        <v>4.4618469999999997</v>
      </c>
      <c r="E5243">
        <v>0.4459958</v>
      </c>
      <c r="F5243" t="s">
        <v>69</v>
      </c>
      <c r="G5243">
        <v>-256.82780000000002</v>
      </c>
      <c r="H5243">
        <v>-8.0361369999999901E-3</v>
      </c>
      <c r="I5243">
        <v>229.7825</v>
      </c>
      <c r="J5243">
        <v>-339.52199999999999</v>
      </c>
      <c r="K5243">
        <v>1.1210389999999999</v>
      </c>
      <c r="L5243">
        <v>214.74420000000001</v>
      </c>
      <c r="M5243">
        <v>0.99995299999999998</v>
      </c>
      <c r="N5243">
        <v>-9.6918630000000002E-3</v>
      </c>
      <c r="O5243">
        <v>2.4436530000000002E-4</v>
      </c>
      <c r="P5243">
        <v>0.98774740000000005</v>
      </c>
      <c r="Q5243">
        <v>0.1509334</v>
      </c>
      <c r="R5243">
        <v>3.9677610000000002E-2</v>
      </c>
      <c r="S5243">
        <v>3.021423</v>
      </c>
      <c r="T5243">
        <v>-4.1104910000000001E-2</v>
      </c>
      <c r="U5243">
        <v>0.547500599999999</v>
      </c>
      <c r="V5243">
        <v>-3.9430239999999998E-2</v>
      </c>
      <c r="W5243">
        <v>0.16050120000000001</v>
      </c>
      <c r="X5243">
        <v>0.98624769999999995</v>
      </c>
      <c r="Y5243">
        <v>-0.17803440000000001</v>
      </c>
      <c r="Z5243">
        <v>2.0700470000000002E-3</v>
      </c>
      <c r="AA5243">
        <v>0.98402210000000001</v>
      </c>
      <c r="AB5243">
        <v>30</v>
      </c>
      <c r="AC5243">
        <v>82.694199999999896</v>
      </c>
      <c r="AD5243">
        <v>-1.1290751369999901</v>
      </c>
      <c r="AE5243">
        <v>15.0382999999999</v>
      </c>
      <c r="AF5243">
        <v>-15.0153814299745</v>
      </c>
      <c r="AG5243">
        <v>-1.1290751369999901</v>
      </c>
      <c r="AH5243">
        <v>82.682952110327307</v>
      </c>
      <c r="AI5243">
        <v>90.769763957571499</v>
      </c>
      <c r="AJ5243">
        <v>100.292850675781</v>
      </c>
      <c r="AK5243">
        <v>84.042888216858003</v>
      </c>
      <c r="AL5243">
        <v>80.764010707493796</v>
      </c>
      <c r="AM5243">
        <v>92.289469260116803</v>
      </c>
      <c r="AN5243">
        <v>0.99999995239159201</v>
      </c>
    </row>
    <row r="5244" spans="1:40" x14ac:dyDescent="0.25">
      <c r="A5244" t="str">
        <f>"20190303162016397"</f>
        <v>20190303162016397</v>
      </c>
      <c r="B5244" t="str">
        <f>"1551601216387823"</f>
        <v>1551601216387823</v>
      </c>
      <c r="C5244" t="s">
        <v>40</v>
      </c>
      <c r="D5244">
        <v>4.4432539999999996</v>
      </c>
      <c r="E5244">
        <v>0.44589109999999998</v>
      </c>
      <c r="F5244" t="s">
        <v>44</v>
      </c>
      <c r="G5244">
        <v>-257.46499999999997</v>
      </c>
      <c r="H5244">
        <v>-0.05</v>
      </c>
      <c r="I5244">
        <v>229.5977</v>
      </c>
      <c r="J5244">
        <v>-339.2183</v>
      </c>
      <c r="K5244">
        <v>1.1210359999999999</v>
      </c>
      <c r="L5244">
        <v>214.74430000000001</v>
      </c>
      <c r="M5244">
        <v>0.99995319999999999</v>
      </c>
      <c r="N5244">
        <v>-9.6798660000000005E-3</v>
      </c>
      <c r="O5244">
        <v>2.4478109999999999E-4</v>
      </c>
      <c r="P5244">
        <v>0.98777959999999998</v>
      </c>
      <c r="Q5244">
        <v>0.150839</v>
      </c>
      <c r="R5244">
        <v>3.9231389999999998E-2</v>
      </c>
      <c r="S5244">
        <v>3.0218509999999998</v>
      </c>
      <c r="T5244">
        <v>-4.3124910000000002E-2</v>
      </c>
      <c r="U5244">
        <v>0.54699709999999901</v>
      </c>
      <c r="V5244">
        <v>-3.8983219999999999E-2</v>
      </c>
      <c r="W5244">
        <v>0.16039529999999999</v>
      </c>
      <c r="X5244">
        <v>0.98628280000000002</v>
      </c>
      <c r="Y5244">
        <v>-0.1778487</v>
      </c>
      <c r="Z5244">
        <v>2.125442E-3</v>
      </c>
      <c r="AA5244">
        <v>0.98405560000000003</v>
      </c>
      <c r="AB5244">
        <v>30</v>
      </c>
      <c r="AC5244">
        <v>81.753299999999996</v>
      </c>
      <c r="AD5244">
        <v>-1.171036</v>
      </c>
      <c r="AE5244">
        <v>14.853399999999899</v>
      </c>
      <c r="AF5244">
        <v>-14.830441316762499</v>
      </c>
      <c r="AG5244">
        <v>-1.171036</v>
      </c>
      <c r="AH5244">
        <v>81.740698119601404</v>
      </c>
      <c r="AI5244">
        <v>90.807593625995395</v>
      </c>
      <c r="AJ5244">
        <v>100.283469212065</v>
      </c>
      <c r="AK5244">
        <v>83.08342219747</v>
      </c>
      <c r="AL5244">
        <v>80.770158906620793</v>
      </c>
      <c r="AM5244">
        <v>92.263460265123896</v>
      </c>
      <c r="AN5244">
        <v>1.0000000526397399</v>
      </c>
    </row>
    <row r="5245" spans="1:40" x14ac:dyDescent="0.25">
      <c r="A5245" t="str">
        <f>"20190303162016421"</f>
        <v>20190303162016421</v>
      </c>
      <c r="B5245" t="str">
        <f>"1551601216407343"</f>
        <v>1551601216407343</v>
      </c>
      <c r="C5245" t="s">
        <v>40</v>
      </c>
      <c r="D5245">
        <v>4.8110010000000001</v>
      </c>
      <c r="E5245">
        <v>0.44566739999999999</v>
      </c>
      <c r="F5245" t="s">
        <v>44</v>
      </c>
      <c r="G5245">
        <v>-257.98230000000001</v>
      </c>
      <c r="H5245">
        <v>-0.05</v>
      </c>
      <c r="I5245">
        <v>229.4324</v>
      </c>
      <c r="J5245">
        <v>-338.91660000000002</v>
      </c>
      <c r="K5245">
        <v>1.1210359999999999</v>
      </c>
      <c r="L5245">
        <v>214.74430000000001</v>
      </c>
      <c r="M5245">
        <v>0.99995319999999999</v>
      </c>
      <c r="N5245">
        <v>-9.6760500000000003E-3</v>
      </c>
      <c r="O5245">
        <v>2.4515730000000002E-4</v>
      </c>
      <c r="P5245">
        <v>0.98783449999999995</v>
      </c>
      <c r="Q5245">
        <v>0.15061429999999901</v>
      </c>
      <c r="R5245">
        <v>3.8710330000000001E-2</v>
      </c>
      <c r="S5245">
        <v>3.0220950000000002</v>
      </c>
      <c r="T5245">
        <v>-4.3564199999999997E-2</v>
      </c>
      <c r="U5245">
        <v>0.54641719999999905</v>
      </c>
      <c r="V5245">
        <v>-3.8462150000000001E-2</v>
      </c>
      <c r="W5245">
        <v>0.16016710000000001</v>
      </c>
      <c r="X5245">
        <v>0.98634029999999995</v>
      </c>
      <c r="Y5245">
        <v>-0.17765110000000001</v>
      </c>
      <c r="Z5245">
        <v>2.1354130000000001E-3</v>
      </c>
      <c r="AA5245">
        <v>0.98409120000000005</v>
      </c>
      <c r="AB5245">
        <v>30</v>
      </c>
      <c r="AC5245">
        <v>80.934299999999993</v>
      </c>
      <c r="AD5245">
        <v>-1.171036</v>
      </c>
      <c r="AE5245">
        <v>14.688099999999899</v>
      </c>
      <c r="AF5245">
        <v>-14.6652846970195</v>
      </c>
      <c r="AG5245">
        <v>-1.171036</v>
      </c>
      <c r="AH5245">
        <v>80.921497797600594</v>
      </c>
      <c r="AI5245">
        <v>90.815797362066903</v>
      </c>
      <c r="AJ5245">
        <v>100.27214003868301</v>
      </c>
      <c r="AK5245">
        <v>82.247982992684996</v>
      </c>
      <c r="AL5245">
        <v>80.7834046807031</v>
      </c>
      <c r="AM5245">
        <v>92.233106460337197</v>
      </c>
      <c r="AN5245">
        <v>1.00000001215456</v>
      </c>
    </row>
    <row r="5246" spans="1:40" x14ac:dyDescent="0.25">
      <c r="A5246" t="str">
        <f>"20190303162016442"</f>
        <v>20190303162016442</v>
      </c>
      <c r="B5246" t="str">
        <f>"1551601216437901"</f>
        <v>1551601216437901</v>
      </c>
      <c r="C5246" t="s">
        <v>40</v>
      </c>
      <c r="D5246">
        <v>4.5703379999999996</v>
      </c>
      <c r="E5246">
        <v>0.43654359999999998</v>
      </c>
      <c r="F5246" t="s">
        <v>44</v>
      </c>
      <c r="G5246">
        <v>-259.089</v>
      </c>
      <c r="H5246">
        <v>-0.05</v>
      </c>
      <c r="I5246">
        <v>229.18899999999999</v>
      </c>
      <c r="J5246">
        <v>-338.61009999999999</v>
      </c>
      <c r="K5246">
        <v>1.1210359999999999</v>
      </c>
      <c r="L5246">
        <v>214.74440000000001</v>
      </c>
      <c r="M5246">
        <v>0.99995319999999999</v>
      </c>
      <c r="N5246">
        <v>-9.6774570000000004E-3</v>
      </c>
      <c r="O5246">
        <v>2.4544859999999999E-4</v>
      </c>
      <c r="P5246">
        <v>0.98788359999999997</v>
      </c>
      <c r="Q5246">
        <v>0.15035190000000001</v>
      </c>
      <c r="R5246">
        <v>3.8475759999999998E-2</v>
      </c>
      <c r="S5246">
        <v>3.022278</v>
      </c>
      <c r="T5246">
        <v>-4.4335479999999997E-2</v>
      </c>
      <c r="U5246">
        <v>0.546875</v>
      </c>
      <c r="V5246">
        <v>-3.8227209999999998E-2</v>
      </c>
      <c r="W5246">
        <v>0.15990679999999999</v>
      </c>
      <c r="X5246">
        <v>0.98639169999999998</v>
      </c>
      <c r="Y5246">
        <v>-0.17778379999999999</v>
      </c>
      <c r="Z5246">
        <v>2.1594909999999999E-3</v>
      </c>
      <c r="AA5246">
        <v>0.98406720000000003</v>
      </c>
      <c r="AB5246">
        <v>30</v>
      </c>
      <c r="AC5246">
        <v>79.521099999999905</v>
      </c>
      <c r="AD5246">
        <v>-1.171036</v>
      </c>
      <c r="AE5246">
        <v>14.444599999999999</v>
      </c>
      <c r="AF5246">
        <v>-14.4220526663632</v>
      </c>
      <c r="AG5246">
        <v>-1.171036</v>
      </c>
      <c r="AH5246">
        <v>79.507951954778903</v>
      </c>
      <c r="AI5246">
        <v>90.830275421004202</v>
      </c>
      <c r="AJ5246">
        <v>100.281170163743</v>
      </c>
      <c r="AK5246">
        <v>80.813868565166999</v>
      </c>
      <c r="AL5246">
        <v>80.798513814606807</v>
      </c>
      <c r="AM5246">
        <v>92.219364024477898</v>
      </c>
      <c r="AN5246">
        <v>1.0000000450497499</v>
      </c>
    </row>
    <row r="5247" spans="1:40" x14ac:dyDescent="0.25">
      <c r="A5247" t="str">
        <f>"20190303162016464"</f>
        <v>20190303162016464</v>
      </c>
      <c r="B5247" t="str">
        <f>"1551601216457422"</f>
        <v>1551601216457422</v>
      </c>
      <c r="C5247" t="s">
        <v>40</v>
      </c>
      <c r="D5247">
        <v>4.7997809999999896</v>
      </c>
      <c r="E5247">
        <v>0.43694870000000002</v>
      </c>
      <c r="F5247" t="s">
        <v>56</v>
      </c>
      <c r="G5247">
        <v>-300.41609999999997</v>
      </c>
      <c r="H5247" s="1">
        <v>1.7965000000000001E-6</v>
      </c>
      <c r="I5247">
        <v>222.55889999999999</v>
      </c>
      <c r="J5247">
        <v>-338.32319999999999</v>
      </c>
      <c r="K5247">
        <v>1.121038</v>
      </c>
      <c r="L5247">
        <v>214.74449999999999</v>
      </c>
      <c r="M5247">
        <v>0.99995310000000004</v>
      </c>
      <c r="N5247">
        <v>-9.6823259999999998E-3</v>
      </c>
      <c r="O5247">
        <v>2.4560359999999999E-4</v>
      </c>
      <c r="P5247">
        <v>0.9878593</v>
      </c>
      <c r="Q5247">
        <v>0.150588</v>
      </c>
      <c r="R5247">
        <v>3.8177660000000002E-2</v>
      </c>
      <c r="S5247">
        <v>3.0261840000000002</v>
      </c>
      <c r="T5247">
        <v>-8.8821650000000002E-2</v>
      </c>
      <c r="U5247">
        <v>0.61915589999999998</v>
      </c>
      <c r="V5247">
        <v>-3.792893E-2</v>
      </c>
      <c r="W5247">
        <v>0.16014729999999999</v>
      </c>
      <c r="X5247">
        <v>0.98636409999999997</v>
      </c>
      <c r="Y5247">
        <v>-0.20009560000000001</v>
      </c>
      <c r="Z5247">
        <v>3.8799339999999998E-3</v>
      </c>
      <c r="AA5247">
        <v>0.97976870000000005</v>
      </c>
      <c r="AB5247">
        <v>30</v>
      </c>
      <c r="AC5247">
        <v>37.9071</v>
      </c>
      <c r="AD5247">
        <v>-1.1210362035000001</v>
      </c>
      <c r="AE5247">
        <v>7.8144</v>
      </c>
      <c r="AF5247">
        <v>-7.79854680374374</v>
      </c>
      <c r="AG5247">
        <v>-1.1210362035000001</v>
      </c>
      <c r="AH5247">
        <v>37.877241986941598</v>
      </c>
      <c r="AI5247">
        <v>91.660454769045998</v>
      </c>
      <c r="AJ5247">
        <v>101.634056431551</v>
      </c>
      <c r="AK5247">
        <v>38.687976361617501</v>
      </c>
      <c r="AL5247">
        <v>80.784553391230205</v>
      </c>
      <c r="AM5247">
        <v>92.202125400226905</v>
      </c>
      <c r="AN5247">
        <v>0.99999994959852101</v>
      </c>
    </row>
    <row r="5248" spans="1:40" x14ac:dyDescent="0.25">
      <c r="A5248" t="str">
        <f>"20190303162016479"</f>
        <v>20190303162016479</v>
      </c>
      <c r="B5248" t="str">
        <f>"1551601216468157"</f>
        <v>1551601216468157</v>
      </c>
      <c r="C5248" t="s">
        <v>40</v>
      </c>
      <c r="D5248">
        <v>4.7543340000000001</v>
      </c>
      <c r="E5248">
        <v>0.46157500000000001</v>
      </c>
      <c r="F5248" t="s">
        <v>56</v>
      </c>
      <c r="G5248">
        <v>-300.46899999999999</v>
      </c>
      <c r="H5248" s="1">
        <v>1.819436E-6</v>
      </c>
      <c r="I5248">
        <v>222.4374</v>
      </c>
      <c r="J5248">
        <v>-338.12139999999999</v>
      </c>
      <c r="K5248">
        <v>1.1210370000000001</v>
      </c>
      <c r="L5248">
        <v>214.74449999999999</v>
      </c>
      <c r="M5248">
        <v>0.99995310000000004</v>
      </c>
      <c r="N5248">
        <v>-9.6872429999999999E-3</v>
      </c>
      <c r="O5248">
        <v>2.4575839999999997E-4</v>
      </c>
      <c r="P5248">
        <v>0.98787259999999999</v>
      </c>
      <c r="Q5248">
        <v>0.1505281</v>
      </c>
      <c r="R5248">
        <v>3.8068339999999999E-2</v>
      </c>
      <c r="S5248">
        <v>3.0267330000000001</v>
      </c>
      <c r="T5248">
        <v>-8.9635610000000004E-2</v>
      </c>
      <c r="U5248">
        <v>0.61511229999999995</v>
      </c>
      <c r="V5248">
        <v>-3.7819209999999999E-2</v>
      </c>
      <c r="W5248">
        <v>0.16009219999999999</v>
      </c>
      <c r="X5248">
        <v>0.98637730000000001</v>
      </c>
      <c r="Y5248">
        <v>-0.1988026</v>
      </c>
      <c r="Z5248">
        <v>3.8814460000000002E-3</v>
      </c>
      <c r="AA5248">
        <v>0.98003180000000001</v>
      </c>
      <c r="AB5248">
        <v>30</v>
      </c>
      <c r="AC5248">
        <v>37.6524</v>
      </c>
      <c r="AD5248">
        <v>-1.121035180564</v>
      </c>
      <c r="AE5248">
        <v>7.6928999999999998</v>
      </c>
      <c r="AF5248">
        <v>-7.6771132801987596</v>
      </c>
      <c r="AG5248">
        <v>-1.121035180564</v>
      </c>
      <c r="AH5248">
        <v>37.622275749801901</v>
      </c>
      <c r="AI5248">
        <v>91.672302111551005</v>
      </c>
      <c r="AJ5248">
        <v>101.53330163551099</v>
      </c>
      <c r="AK5248">
        <v>38.4139352421384</v>
      </c>
      <c r="AL5248">
        <v>80.787752043960296</v>
      </c>
      <c r="AM5248">
        <v>92.195732027657399</v>
      </c>
      <c r="AN5248">
        <v>0.99999999155057695</v>
      </c>
    </row>
    <row r="5249" spans="1:40" x14ac:dyDescent="0.25">
      <c r="A5249" t="str">
        <f>"20190303162016498"</f>
        <v>20190303162016498</v>
      </c>
      <c r="B5249" t="str">
        <f>"1551601216487677"</f>
        <v>1551601216487677</v>
      </c>
      <c r="C5249" t="s">
        <v>40</v>
      </c>
      <c r="D5249">
        <v>4.5936579999999996</v>
      </c>
      <c r="E5249">
        <v>0.4801783</v>
      </c>
      <c r="F5249" t="s">
        <v>41</v>
      </c>
      <c r="G5249">
        <v>-183.63640000000001</v>
      </c>
      <c r="H5249" s="1">
        <v>-4.2012599999999997E-6</v>
      </c>
      <c r="I5249">
        <v>236.131</v>
      </c>
      <c r="J5249">
        <v>-337.87110000000001</v>
      </c>
      <c r="K5249">
        <v>1.1210389999999999</v>
      </c>
      <c r="L5249">
        <v>214.74459999999999</v>
      </c>
      <c r="M5249">
        <v>0.99995310000000004</v>
      </c>
      <c r="N5249">
        <v>-9.6941909999999996E-3</v>
      </c>
      <c r="O5249">
        <v>2.4608209999999999E-4</v>
      </c>
      <c r="P5249">
        <v>0.98788819999999999</v>
      </c>
      <c r="Q5249">
        <v>0.15043960000000001</v>
      </c>
      <c r="R5249">
        <v>3.8014680000000002E-2</v>
      </c>
      <c r="S5249">
        <v>3.0240480000000001</v>
      </c>
      <c r="T5249">
        <v>-2.1944399999999999E-2</v>
      </c>
      <c r="U5249">
        <v>0.41864010000000001</v>
      </c>
      <c r="V5249">
        <v>-3.7765159999999999E-2</v>
      </c>
      <c r="W5249">
        <v>0.16001080000000001</v>
      </c>
      <c r="X5249">
        <v>0.98639259999999995</v>
      </c>
      <c r="Y5249">
        <v>-0.1368771</v>
      </c>
      <c r="Z5249">
        <v>1.1615079999999999E-3</v>
      </c>
      <c r="AA5249">
        <v>0.99058740000000001</v>
      </c>
      <c r="AB5249">
        <v>30</v>
      </c>
      <c r="AC5249">
        <v>154.2347</v>
      </c>
      <c r="AD5249">
        <v>-1.12104320125999</v>
      </c>
      <c r="AE5249">
        <v>21.386399999999899</v>
      </c>
      <c r="AF5249">
        <v>-21.347336669743498</v>
      </c>
      <c r="AG5249">
        <v>-1.12104320125999</v>
      </c>
      <c r="AH5249">
        <v>154.23196402124199</v>
      </c>
      <c r="AI5249">
        <v>90.412517557752395</v>
      </c>
      <c r="AJ5249">
        <v>97.880274906430998</v>
      </c>
      <c r="AK5249">
        <v>155.70633977651701</v>
      </c>
      <c r="AL5249">
        <v>80.792477022703693</v>
      </c>
      <c r="AM5249">
        <v>92.192563046631307</v>
      </c>
      <c r="AN5249">
        <v>1.0000000123806101</v>
      </c>
    </row>
    <row r="5250" spans="1:40" x14ac:dyDescent="0.25">
      <c r="A5250" t="str">
        <f>"20190303162016520"</f>
        <v>20190303162016520</v>
      </c>
      <c r="B5250" t="str">
        <f>"1551601216508173"</f>
        <v>1551601216508173</v>
      </c>
      <c r="C5250" t="s">
        <v>40</v>
      </c>
      <c r="D5250">
        <v>4.6574019999999896</v>
      </c>
      <c r="E5250">
        <v>0.49222660000000001</v>
      </c>
      <c r="F5250" t="s">
        <v>65</v>
      </c>
      <c r="G5250">
        <v>-157.25</v>
      </c>
      <c r="H5250">
        <v>0.95025630000000005</v>
      </c>
      <c r="I5250">
        <v>230.8492</v>
      </c>
      <c r="J5250">
        <v>-337.56319999999999</v>
      </c>
      <c r="K5250">
        <v>1.1210370000000001</v>
      </c>
      <c r="L5250">
        <v>214.74459999999999</v>
      </c>
      <c r="M5250">
        <v>0.99995299999999998</v>
      </c>
      <c r="N5250">
        <v>-9.7037800000000004E-3</v>
      </c>
      <c r="O5250">
        <v>2.4633339999999997E-4</v>
      </c>
      <c r="P5250">
        <v>0.9880099</v>
      </c>
      <c r="Q5250">
        <v>0.14977460000000001</v>
      </c>
      <c r="R5250">
        <v>3.7470440000000001E-2</v>
      </c>
      <c r="S5250">
        <v>3.0268549999999999</v>
      </c>
      <c r="T5250">
        <v>-2.8610229999999999E-3</v>
      </c>
      <c r="U5250">
        <v>0.26988220000000002</v>
      </c>
      <c r="V5250">
        <v>-3.7220709999999997E-2</v>
      </c>
      <c r="W5250">
        <v>0.15935650000000001</v>
      </c>
      <c r="X5250">
        <v>0.98651920000000004</v>
      </c>
      <c r="Y5250">
        <v>-8.856443E-2</v>
      </c>
      <c r="Z5250">
        <v>4.7449329999999998E-4</v>
      </c>
      <c r="AA5250">
        <v>0.99607029999999996</v>
      </c>
      <c r="AB5250">
        <v>30</v>
      </c>
      <c r="AC5250">
        <v>180.31319999999999</v>
      </c>
      <c r="AD5250">
        <v>-0.17078070000000001</v>
      </c>
      <c r="AE5250">
        <v>16.104600000000001</v>
      </c>
      <c r="AF5250">
        <v>-16.060165968410502</v>
      </c>
      <c r="AG5250">
        <v>-0.17078070000000001</v>
      </c>
      <c r="AH5250">
        <v>180.31700134055501</v>
      </c>
      <c r="AI5250">
        <v>90.054051633897899</v>
      </c>
      <c r="AJ5250">
        <v>95.089692240827503</v>
      </c>
      <c r="AK5250">
        <v>181.03087877329199</v>
      </c>
      <c r="AL5250">
        <v>80.830452868840297</v>
      </c>
      <c r="AM5250">
        <v>92.160706594833201</v>
      </c>
      <c r="AN5250">
        <v>1.0000000036568899</v>
      </c>
    </row>
    <row r="5251" spans="1:40" x14ac:dyDescent="0.25">
      <c r="A5251" t="str">
        <f>"20190303162016542"</f>
        <v>20190303162016542</v>
      </c>
      <c r="B5251" t="str">
        <f>"1551601216537961"</f>
        <v>1551601216537961</v>
      </c>
      <c r="C5251" t="s">
        <v>40</v>
      </c>
      <c r="D5251">
        <v>4.6300330000000001</v>
      </c>
      <c r="E5251">
        <v>0.49998700000000001</v>
      </c>
      <c r="F5251" t="s">
        <v>65</v>
      </c>
      <c r="G5251">
        <v>-168.35059999999999</v>
      </c>
      <c r="H5251">
        <v>0.66457840000000001</v>
      </c>
      <c r="I5251">
        <v>224.34819999999999</v>
      </c>
      <c r="J5251">
        <v>-337.2672</v>
      </c>
      <c r="K5251">
        <v>1.1210329999999999</v>
      </c>
      <c r="L5251">
        <v>214.74469999999999</v>
      </c>
      <c r="M5251">
        <v>0.99995290000000003</v>
      </c>
      <c r="N5251">
        <v>-9.7138160000000001E-3</v>
      </c>
      <c r="O5251">
        <v>2.4682090000000001E-4</v>
      </c>
      <c r="P5251">
        <v>0.98802690000000004</v>
      </c>
      <c r="Q5251">
        <v>0.14970420000000001</v>
      </c>
      <c r="R5251">
        <v>3.730435E-2</v>
      </c>
      <c r="S5251">
        <v>3.0310969999999999</v>
      </c>
      <c r="T5251">
        <v>-8.1754919999999995E-3</v>
      </c>
      <c r="U5251">
        <v>0.1720276</v>
      </c>
      <c r="V5251">
        <v>-3.7054549999999999E-2</v>
      </c>
      <c r="W5251">
        <v>0.1592962</v>
      </c>
      <c r="X5251">
        <v>0.98653519999999995</v>
      </c>
      <c r="Y5251">
        <v>-5.6415670000000001E-2</v>
      </c>
      <c r="Z5251">
        <v>3.5198629999999998E-4</v>
      </c>
      <c r="AA5251">
        <v>0.9984073</v>
      </c>
      <c r="AB5251">
        <v>30</v>
      </c>
      <c r="AC5251">
        <v>168.91659999999999</v>
      </c>
      <c r="AD5251">
        <v>-0.45645459999999899</v>
      </c>
      <c r="AE5251">
        <v>9.6034999999999897</v>
      </c>
      <c r="AF5251">
        <v>-9.5617360014525001</v>
      </c>
      <c r="AG5251">
        <v>-0.45645459999999899</v>
      </c>
      <c r="AH5251">
        <v>168.917735822483</v>
      </c>
      <c r="AI5251">
        <v>90.154578553534193</v>
      </c>
      <c r="AJ5251">
        <v>93.2398202333668</v>
      </c>
      <c r="AK5251">
        <v>169.18876032868599</v>
      </c>
      <c r="AL5251">
        <v>80.833952566787005</v>
      </c>
      <c r="AM5251">
        <v>92.151035036152095</v>
      </c>
      <c r="AN5251">
        <v>1.00000000992459</v>
      </c>
    </row>
    <row r="5252" spans="1:40" x14ac:dyDescent="0.25">
      <c r="A5252" t="str">
        <f>"20190303162016565"</f>
        <v>20190303162016565</v>
      </c>
      <c r="B5252" t="str">
        <f>"1551601216557481"</f>
        <v>1551601216557481</v>
      </c>
      <c r="C5252" t="s">
        <v>40</v>
      </c>
      <c r="D5252">
        <v>4.6424570000000003</v>
      </c>
      <c r="E5252">
        <v>0.5024111</v>
      </c>
      <c r="F5252" t="s">
        <v>65</v>
      </c>
      <c r="G5252">
        <v>-157.8382</v>
      </c>
      <c r="H5252">
        <v>0.67332939999999997</v>
      </c>
      <c r="I5252">
        <v>221.24789999999999</v>
      </c>
      <c r="J5252">
        <v>-336.96019999999999</v>
      </c>
      <c r="K5252">
        <v>1.121027</v>
      </c>
      <c r="L5252">
        <v>214.7448</v>
      </c>
      <c r="M5252">
        <v>0.99995270000000003</v>
      </c>
      <c r="N5252">
        <v>-9.7247749999999997E-3</v>
      </c>
      <c r="O5252">
        <v>2.4694810000000001E-4</v>
      </c>
      <c r="P5252">
        <v>0.98799170000000003</v>
      </c>
      <c r="Q5252">
        <v>0.14998520000000001</v>
      </c>
      <c r="R5252">
        <v>3.7102009999999998E-2</v>
      </c>
      <c r="S5252">
        <v>3.033325</v>
      </c>
      <c r="T5252">
        <v>-7.5676440000000001E-3</v>
      </c>
      <c r="U5252">
        <v>0.1099396</v>
      </c>
      <c r="V5252">
        <v>-3.6851929999999998E-2</v>
      </c>
      <c r="W5252">
        <v>0.1595876</v>
      </c>
      <c r="X5252">
        <v>0.98649569999999998</v>
      </c>
      <c r="Y5252">
        <v>-3.5972789999999998E-2</v>
      </c>
      <c r="Z5252">
        <v>2.2161969999999999E-4</v>
      </c>
      <c r="AA5252">
        <v>0.99935280000000004</v>
      </c>
      <c r="AB5252">
        <v>30</v>
      </c>
      <c r="AC5252">
        <v>179.12200000000001</v>
      </c>
      <c r="AD5252">
        <v>-0.44769759999999997</v>
      </c>
      <c r="AE5252">
        <v>6.5030999999999803</v>
      </c>
      <c r="AF5252">
        <v>-6.4588235779380501</v>
      </c>
      <c r="AG5252">
        <v>-0.44769759999999997</v>
      </c>
      <c r="AH5252">
        <v>179.12248303624</v>
      </c>
      <c r="AI5252">
        <v>90.143111404991899</v>
      </c>
      <c r="AJ5252">
        <v>92.065084551190594</v>
      </c>
      <c r="AK5252">
        <v>179.23945091474701</v>
      </c>
      <c r="AL5252">
        <v>80.817040283040299</v>
      </c>
      <c r="AM5252">
        <v>92.139369382038097</v>
      </c>
      <c r="AN5252">
        <v>1.0000000164684799</v>
      </c>
    </row>
    <row r="5253" spans="1:40" x14ac:dyDescent="0.25">
      <c r="A5253" t="str">
        <f>"20190303162016599"</f>
        <v>20190303162016599</v>
      </c>
      <c r="B5253" t="str">
        <f>"1551601216587736"</f>
        <v>1551601216587736</v>
      </c>
      <c r="C5253" t="s">
        <v>40</v>
      </c>
      <c r="D5253">
        <v>4.6555460000000002</v>
      </c>
      <c r="E5253">
        <v>0.50444469999999997</v>
      </c>
      <c r="F5253" t="s">
        <v>65</v>
      </c>
      <c r="G5253">
        <v>-157.8382</v>
      </c>
      <c r="H5253">
        <v>0.52453039999999995</v>
      </c>
      <c r="I5253">
        <v>220.0488</v>
      </c>
      <c r="J5253">
        <v>-336.49630000000002</v>
      </c>
      <c r="K5253">
        <v>1.12103</v>
      </c>
      <c r="L5253">
        <v>214.7449</v>
      </c>
      <c r="M5253">
        <v>0.99995259999999997</v>
      </c>
      <c r="N5253">
        <v>-9.7420279999999998E-3</v>
      </c>
      <c r="O5253">
        <v>2.4734060000000002E-4</v>
      </c>
      <c r="P5253">
        <v>0.98796430000000002</v>
      </c>
      <c r="Q5253">
        <v>0.15011920000000001</v>
      </c>
      <c r="R5253">
        <v>3.7294750000000002E-2</v>
      </c>
      <c r="S5253">
        <v>3.0346069999999998</v>
      </c>
      <c r="T5253">
        <v>-1.010466E-2</v>
      </c>
      <c r="U5253">
        <v>8.9859010000000003E-2</v>
      </c>
      <c r="V5253">
        <v>-3.7044349999999997E-2</v>
      </c>
      <c r="W5253">
        <v>0.1597382</v>
      </c>
      <c r="X5253">
        <v>0.98646409999999995</v>
      </c>
      <c r="Y5253">
        <v>-2.9350569999999999E-2</v>
      </c>
      <c r="Z5253">
        <v>1.93444E-4</v>
      </c>
      <c r="AA5253">
        <v>0.99956920000000005</v>
      </c>
      <c r="AB5253">
        <v>30</v>
      </c>
      <c r="AC5253">
        <v>178.65809999999999</v>
      </c>
      <c r="AD5253">
        <v>-0.59649959999999902</v>
      </c>
      <c r="AE5253">
        <v>5.3038999999999898</v>
      </c>
      <c r="AF5253">
        <v>-5.2596497628043304</v>
      </c>
      <c r="AG5253">
        <v>-0.59649959999999902</v>
      </c>
      <c r="AH5253">
        <v>178.657416648555</v>
      </c>
      <c r="AI5253">
        <v>90.191215021098103</v>
      </c>
      <c r="AJ5253">
        <v>91.686292804407202</v>
      </c>
      <c r="AK5253">
        <v>178.73581692245</v>
      </c>
      <c r="AL5253">
        <v>80.808299240674103</v>
      </c>
      <c r="AM5253">
        <v>92.150598326058599</v>
      </c>
      <c r="AN5253">
        <v>0.999999998497486</v>
      </c>
    </row>
    <row r="5254" spans="1:40" x14ac:dyDescent="0.25">
      <c r="A5254" t="str">
        <f>"20190303162016620"</f>
        <v>20190303162016620</v>
      </c>
      <c r="B5254" t="str">
        <f>"1551601216608232"</f>
        <v>1551601216608232</v>
      </c>
      <c r="C5254" t="s">
        <v>40</v>
      </c>
      <c r="D5254">
        <v>4.6829679999999998</v>
      </c>
      <c r="E5254">
        <v>0.50531859999999995</v>
      </c>
      <c r="F5254" t="s">
        <v>65</v>
      </c>
      <c r="G5254">
        <v>-157.8382</v>
      </c>
      <c r="H5254">
        <v>0.38431929999999997</v>
      </c>
      <c r="I5254">
        <v>219.12190000000001</v>
      </c>
      <c r="J5254">
        <v>-336.19990000000001</v>
      </c>
      <c r="K5254">
        <v>1.1210279999999999</v>
      </c>
      <c r="L5254">
        <v>214.7449</v>
      </c>
      <c r="M5254">
        <v>0.99995250000000002</v>
      </c>
      <c r="N5254">
        <v>-9.7532239999999996E-3</v>
      </c>
      <c r="O5254">
        <v>2.4764319999999999E-4</v>
      </c>
      <c r="P5254">
        <v>0.98800299999999996</v>
      </c>
      <c r="Q5254">
        <v>0.14983859999999999</v>
      </c>
      <c r="R5254">
        <v>3.7398389999999997E-2</v>
      </c>
      <c r="S5254">
        <v>3.0356749999999999</v>
      </c>
      <c r="T5254">
        <v>-1.2516859999999999E-2</v>
      </c>
      <c r="U5254">
        <v>7.4371339999999994E-2</v>
      </c>
      <c r="V5254">
        <v>-3.7147590000000001E-2</v>
      </c>
      <c r="W5254">
        <v>0.159469</v>
      </c>
      <c r="X5254">
        <v>0.98650380000000004</v>
      </c>
      <c r="Y5254">
        <v>-2.4243489999999999E-2</v>
      </c>
      <c r="Z5254">
        <v>1.6961569999999999E-4</v>
      </c>
      <c r="AA5254">
        <v>0.99970610000000004</v>
      </c>
      <c r="AB5254">
        <v>30</v>
      </c>
      <c r="AC5254">
        <v>178.36170000000001</v>
      </c>
      <c r="AD5254">
        <v>-0.73670869999999999</v>
      </c>
      <c r="AE5254">
        <v>4.3769999999999998</v>
      </c>
      <c r="AF5254">
        <v>-4.3327538329179198</v>
      </c>
      <c r="AG5254">
        <v>-0.73670869999999999</v>
      </c>
      <c r="AH5254">
        <v>178.35973746464299</v>
      </c>
      <c r="AI5254">
        <v>90.236587085841407</v>
      </c>
      <c r="AJ5254">
        <v>91.391567949350403</v>
      </c>
      <c r="AK5254">
        <v>178.41387682560401</v>
      </c>
      <c r="AL5254">
        <v>80.823923808062503</v>
      </c>
      <c r="AM5254">
        <v>92.156499535209207</v>
      </c>
      <c r="AN5254">
        <v>1.00000002640912</v>
      </c>
    </row>
    <row r="5255" spans="1:40" x14ac:dyDescent="0.25">
      <c r="A5255" t="str">
        <f>"20190303162016643"</f>
        <v>20190303162016643</v>
      </c>
      <c r="B5255" t="str">
        <f>"1551601216637513"</f>
        <v>1551601216637513</v>
      </c>
      <c r="C5255" t="s">
        <v>40</v>
      </c>
      <c r="D5255">
        <v>4.8275199999999998</v>
      </c>
      <c r="E5255">
        <v>0.50648709999999997</v>
      </c>
      <c r="F5255" t="s">
        <v>65</v>
      </c>
      <c r="G5255">
        <v>-141.2441</v>
      </c>
      <c r="H5255">
        <v>0.20641139999999999</v>
      </c>
      <c r="I5255">
        <v>219.08459999999999</v>
      </c>
      <c r="J5255">
        <v>-335.89929999999998</v>
      </c>
      <c r="K5255">
        <v>1.121024</v>
      </c>
      <c r="L5255">
        <v>214.745</v>
      </c>
      <c r="M5255">
        <v>0.99995230000000002</v>
      </c>
      <c r="N5255">
        <v>-9.7646169999999997E-3</v>
      </c>
      <c r="O5255">
        <v>2.4806379999999997E-4</v>
      </c>
      <c r="P5255">
        <v>0.98806609999999995</v>
      </c>
      <c r="Q5255">
        <v>0.14942159999999999</v>
      </c>
      <c r="R5255">
        <v>3.739551E-2</v>
      </c>
      <c r="S5255">
        <v>3.036041</v>
      </c>
      <c r="T5255">
        <v>-1.424241E-2</v>
      </c>
      <c r="U5255">
        <v>6.7581180000000005E-2</v>
      </c>
      <c r="V5255">
        <v>-3.7144400000000001E-2</v>
      </c>
      <c r="W5255">
        <v>0.15906419999999999</v>
      </c>
      <c r="X5255">
        <v>0.98656920000000004</v>
      </c>
      <c r="Y5255">
        <v>-2.200537E-2</v>
      </c>
      <c r="Z5255">
        <v>1.6032129999999999E-4</v>
      </c>
      <c r="AA5255">
        <v>0.99975780000000003</v>
      </c>
      <c r="AB5255">
        <v>30</v>
      </c>
      <c r="AC5255">
        <v>194.65520000000001</v>
      </c>
      <c r="AD5255">
        <v>-0.9146126</v>
      </c>
      <c r="AE5255">
        <v>4.3395999999999901</v>
      </c>
      <c r="AF5255">
        <v>-4.2912159653455397</v>
      </c>
      <c r="AG5255">
        <v>-0.9146126</v>
      </c>
      <c r="AH5255">
        <v>194.651975339828</v>
      </c>
      <c r="AI5255">
        <v>90.269148704065998</v>
      </c>
      <c r="AJ5255">
        <v>91.262914201822099</v>
      </c>
      <c r="AK5255">
        <v>194.70141898395599</v>
      </c>
      <c r="AL5255">
        <v>80.847416368243003</v>
      </c>
      <c r="AM5255">
        <v>92.15617171561</v>
      </c>
      <c r="AN5255">
        <v>0.99999995628081895</v>
      </c>
    </row>
    <row r="5256" spans="1:40" x14ac:dyDescent="0.25">
      <c r="A5256" t="str">
        <f>"20190303162016665"</f>
        <v>20190303162016665</v>
      </c>
      <c r="B5256" t="str">
        <f>"1551601216658008"</f>
        <v>1551601216658008</v>
      </c>
      <c r="C5256" t="s">
        <v>40</v>
      </c>
      <c r="D5256">
        <v>4.7061010000000003</v>
      </c>
      <c r="E5256">
        <v>0.50702740000000002</v>
      </c>
      <c r="F5256" t="s">
        <v>44</v>
      </c>
      <c r="G5256">
        <v>-119.5881</v>
      </c>
      <c r="H5256">
        <v>-0.05</v>
      </c>
      <c r="I5256">
        <v>218.89959999999999</v>
      </c>
      <c r="J5256">
        <v>-335.59699999999998</v>
      </c>
      <c r="K5256">
        <v>1.1210209999999901</v>
      </c>
      <c r="L5256">
        <v>214.74510000000001</v>
      </c>
      <c r="M5256">
        <v>0.99995230000000002</v>
      </c>
      <c r="N5256">
        <v>-9.7761059999999997E-3</v>
      </c>
      <c r="O5256">
        <v>2.4818630000000001E-4</v>
      </c>
      <c r="P5256">
        <v>0.98810390000000003</v>
      </c>
      <c r="Q5256">
        <v>0.14903640000000001</v>
      </c>
      <c r="R5256">
        <v>3.7937940000000003E-2</v>
      </c>
      <c r="S5256">
        <v>3.0364689999999999</v>
      </c>
      <c r="T5256">
        <v>-1.6438250000000001E-2</v>
      </c>
      <c r="U5256">
        <v>5.8319089999999997E-2</v>
      </c>
      <c r="V5256">
        <v>-3.7686749999999998E-2</v>
      </c>
      <c r="W5256">
        <v>0.15869040000000001</v>
      </c>
      <c r="X5256">
        <v>0.98660890000000001</v>
      </c>
      <c r="Y5256">
        <v>-1.895376E-2</v>
      </c>
      <c r="Z5256">
        <v>1.4504129999999999E-4</v>
      </c>
      <c r="AA5256">
        <v>0.99982040000000005</v>
      </c>
      <c r="AB5256">
        <v>30</v>
      </c>
      <c r="AC5256">
        <v>216.00890000000001</v>
      </c>
      <c r="AD5256">
        <v>-1.1710210000000001</v>
      </c>
      <c r="AE5256">
        <v>4.1544999999999801</v>
      </c>
      <c r="AF5256">
        <v>-4.1007663934782697</v>
      </c>
      <c r="AG5256">
        <v>-1.1710210000000001</v>
      </c>
      <c r="AH5256">
        <v>216.00357868547999</v>
      </c>
      <c r="AI5256">
        <v>90.310558818783093</v>
      </c>
      <c r="AJ5256">
        <v>91.087613395146093</v>
      </c>
      <c r="AK5256">
        <v>216.04567475450801</v>
      </c>
      <c r="AL5256">
        <v>80.869109724327302</v>
      </c>
      <c r="AM5256">
        <v>92.1875359365348</v>
      </c>
      <c r="AN5256">
        <v>1.00000002786846</v>
      </c>
    </row>
    <row r="5257" spans="1:40" x14ac:dyDescent="0.25">
      <c r="A5257" t="str">
        <f>"20190303162016687"</f>
        <v>20190303162016687</v>
      </c>
      <c r="B5257" t="str">
        <f>"1551601216677529"</f>
        <v>1551601216677529</v>
      </c>
      <c r="C5257" t="s">
        <v>40</v>
      </c>
      <c r="D5257">
        <v>4.71183</v>
      </c>
      <c r="E5257">
        <v>0.50744330000000004</v>
      </c>
      <c r="F5257" t="s">
        <v>49</v>
      </c>
      <c r="G5257">
        <v>-179.95769999999999</v>
      </c>
      <c r="H5257">
        <v>2.1214960000000001E-4</v>
      </c>
      <c r="I5257">
        <v>217.5865</v>
      </c>
      <c r="J5257">
        <v>-335.29750000000001</v>
      </c>
      <c r="K5257">
        <v>1.1210119999999999</v>
      </c>
      <c r="L5257">
        <v>214.74520000000001</v>
      </c>
      <c r="M5257">
        <v>0.99995210000000001</v>
      </c>
      <c r="N5257">
        <v>-9.7909639999999992E-3</v>
      </c>
      <c r="O5257">
        <v>2.4847120000000001E-4</v>
      </c>
      <c r="P5257">
        <v>0.98819020000000002</v>
      </c>
      <c r="Q5257">
        <v>0.14843100000000001</v>
      </c>
      <c r="R5257">
        <v>3.8057689999999998E-2</v>
      </c>
      <c r="S5257">
        <v>3.0373230000000002</v>
      </c>
      <c r="T5257">
        <v>-2.1872760000000002E-2</v>
      </c>
      <c r="U5257">
        <v>5.5450439999999997E-2</v>
      </c>
      <c r="V5257">
        <v>-3.7806569999999998E-2</v>
      </c>
      <c r="W5257">
        <v>0.15810089999999999</v>
      </c>
      <c r="X5257">
        <v>0.98669890000000005</v>
      </c>
      <c r="Y5257">
        <v>-1.8003769999999999E-2</v>
      </c>
      <c r="Z5257">
        <v>1.5361199999999999E-4</v>
      </c>
      <c r="AA5257">
        <v>0.99983789999999995</v>
      </c>
      <c r="AB5257">
        <v>30</v>
      </c>
      <c r="AC5257">
        <v>155.3398</v>
      </c>
      <c r="AD5257">
        <v>-1.1207998504000001</v>
      </c>
      <c r="AE5257">
        <v>2.84129999999998</v>
      </c>
      <c r="AF5257">
        <v>-2.8025547503896</v>
      </c>
      <c r="AG5257">
        <v>-1.1207998504000001</v>
      </c>
      <c r="AH5257">
        <v>155.332417569863</v>
      </c>
      <c r="AI5257">
        <v>90.413342808033207</v>
      </c>
      <c r="AJ5257">
        <v>91.033635742632995</v>
      </c>
      <c r="AK5257">
        <v>155.36174063627101</v>
      </c>
      <c r="AL5257">
        <v>80.903316951164697</v>
      </c>
      <c r="AM5257">
        <v>92.194284156186399</v>
      </c>
      <c r="AN5257">
        <v>0.99999997528859197</v>
      </c>
    </row>
    <row r="5258" spans="1:40" x14ac:dyDescent="0.25">
      <c r="A5258" t="str">
        <f>"20190303162016709"</f>
        <v>20190303162016709</v>
      </c>
      <c r="B5258" t="str">
        <f>"1551601216698024"</f>
        <v>1551601216698024</v>
      </c>
      <c r="C5258" t="s">
        <v>40</v>
      </c>
      <c r="D5258">
        <v>4.6491069999999999</v>
      </c>
      <c r="E5258">
        <v>0.50787870000000002</v>
      </c>
      <c r="F5258" t="s">
        <v>49</v>
      </c>
      <c r="G5258">
        <v>-196.8484</v>
      </c>
      <c r="H5258" s="1">
        <v>2.5281099999999998E-6</v>
      </c>
      <c r="I5258">
        <v>217.1523</v>
      </c>
      <c r="J5258">
        <v>-334.99400000000003</v>
      </c>
      <c r="K5258">
        <v>1.1210089999999999</v>
      </c>
      <c r="L5258">
        <v>214.74520000000001</v>
      </c>
      <c r="M5258">
        <v>0.99995199999999995</v>
      </c>
      <c r="N5258">
        <v>-9.8094489999999996E-3</v>
      </c>
      <c r="O5258">
        <v>2.4885739999999998E-4</v>
      </c>
      <c r="P5258">
        <v>0.98826080000000005</v>
      </c>
      <c r="Q5258">
        <v>0.147843899999999</v>
      </c>
      <c r="R5258">
        <v>3.8510309999999999E-2</v>
      </c>
      <c r="S5258">
        <v>3.0375369999999999</v>
      </c>
      <c r="T5258">
        <v>-2.4594660000000001E-2</v>
      </c>
      <c r="U5258">
        <v>5.2810669999999997E-2</v>
      </c>
      <c r="V5258">
        <v>-3.8258460000000001E-2</v>
      </c>
      <c r="W5258">
        <v>0.15753300000000001</v>
      </c>
      <c r="X5258">
        <v>0.98677239999999999</v>
      </c>
      <c r="Y5258">
        <v>-1.713332E-2</v>
      </c>
      <c r="Z5258">
        <v>1.5382899999999999E-4</v>
      </c>
      <c r="AA5258">
        <v>0.9998532</v>
      </c>
      <c r="AB5258">
        <v>31</v>
      </c>
      <c r="AC5258">
        <v>138.1456</v>
      </c>
      <c r="AD5258">
        <v>-1.1210064718899999</v>
      </c>
      <c r="AE5258">
        <v>2.4070999999999798</v>
      </c>
      <c r="AF5258">
        <v>-2.37256354045476</v>
      </c>
      <c r="AG5258">
        <v>-1.1210064718899999</v>
      </c>
      <c r="AH5258">
        <v>138.13710149392799</v>
      </c>
      <c r="AI5258">
        <v>90.464886392981697</v>
      </c>
      <c r="AJ5258">
        <v>90.983982662011897</v>
      </c>
      <c r="AK5258">
        <v>138.162022721178</v>
      </c>
      <c r="AL5258">
        <v>80.9362689557815</v>
      </c>
      <c r="AM5258">
        <v>92.220320415603098</v>
      </c>
      <c r="AN5258">
        <v>1.00000006262616</v>
      </c>
    </row>
    <row r="5259" spans="1:40" x14ac:dyDescent="0.25">
      <c r="A5259" t="str">
        <f>"20190303162016733"</f>
        <v>20190303162016733</v>
      </c>
      <c r="B5259" t="str">
        <f>"1551601216717544"</f>
        <v>1551601216717544</v>
      </c>
      <c r="C5259" t="s">
        <v>40</v>
      </c>
      <c r="D5259">
        <v>4.6406109999999998</v>
      </c>
      <c r="E5259">
        <v>0.50807479999999905</v>
      </c>
      <c r="F5259" t="s">
        <v>49</v>
      </c>
      <c r="G5259">
        <v>-207.9769</v>
      </c>
      <c r="H5259" s="1">
        <v>5.5585619999999998E-6</v>
      </c>
      <c r="I5259">
        <v>216.85640000000001</v>
      </c>
      <c r="J5259">
        <v>-334.67809999999997</v>
      </c>
      <c r="K5259">
        <v>1.1210100000000001</v>
      </c>
      <c r="L5259">
        <v>214.74529999999999</v>
      </c>
      <c r="M5259">
        <v>0.99995179999999995</v>
      </c>
      <c r="N5259">
        <v>-9.8303629999999999E-3</v>
      </c>
      <c r="O5259">
        <v>2.4911209999999999E-4</v>
      </c>
      <c r="P5259">
        <v>0.98825830000000003</v>
      </c>
      <c r="Q5259">
        <v>0.147705</v>
      </c>
      <c r="R5259">
        <v>3.91011E-2</v>
      </c>
      <c r="S5259">
        <v>3.0376889999999999</v>
      </c>
      <c r="T5259">
        <v>-2.6809449999999999E-2</v>
      </c>
      <c r="U5259">
        <v>5.0491330000000001E-2</v>
      </c>
      <c r="V5259">
        <v>-3.8848769999999998E-2</v>
      </c>
      <c r="W5259">
        <v>0.15741440000000001</v>
      </c>
      <c r="X5259">
        <v>0.98676819999999998</v>
      </c>
      <c r="Y5259">
        <v>-1.6368899999999999E-2</v>
      </c>
      <c r="Z5259">
        <v>1.5294359999999999E-4</v>
      </c>
      <c r="AA5259">
        <v>0.99986600000000003</v>
      </c>
      <c r="AB5259">
        <v>31</v>
      </c>
      <c r="AC5259">
        <v>126.70119999999901</v>
      </c>
      <c r="AD5259">
        <v>-1.121004441438</v>
      </c>
      <c r="AE5259">
        <v>2.11110000000002</v>
      </c>
      <c r="AF5259">
        <v>-2.0793728830353002</v>
      </c>
      <c r="AG5259">
        <v>-1.121004441438</v>
      </c>
      <c r="AH5259">
        <v>126.691807257409</v>
      </c>
      <c r="AI5259">
        <v>90.506887540516601</v>
      </c>
      <c r="AJ5259">
        <v>90.9403022702718</v>
      </c>
      <c r="AK5259">
        <v>126.713829034928</v>
      </c>
      <c r="AL5259">
        <v>80.943149521092295</v>
      </c>
      <c r="AM5259">
        <v>92.254553415048605</v>
      </c>
      <c r="AN5259">
        <v>1.0000000003945499</v>
      </c>
    </row>
    <row r="5260" spans="1:40" x14ac:dyDescent="0.25">
      <c r="A5260" t="str">
        <f>"20190303162016755"</f>
        <v>20190303162016755</v>
      </c>
      <c r="B5260" t="str">
        <f>"1551601216747801"</f>
        <v>1551601216747801</v>
      </c>
      <c r="C5260" t="s">
        <v>40</v>
      </c>
      <c r="D5260">
        <v>4.5762720000000003</v>
      </c>
      <c r="E5260">
        <v>0.50834860000000004</v>
      </c>
      <c r="F5260" t="s">
        <v>52</v>
      </c>
      <c r="G5260">
        <v>-213.46360000000001</v>
      </c>
      <c r="H5260" s="1">
        <v>2.133516E-7</v>
      </c>
      <c r="I5260">
        <v>216.7448</v>
      </c>
      <c r="J5260">
        <v>-334.36869999999999</v>
      </c>
      <c r="K5260">
        <v>1.12101299999999</v>
      </c>
      <c r="L5260">
        <v>214.74539999999999</v>
      </c>
      <c r="M5260">
        <v>0.99995149999999999</v>
      </c>
      <c r="N5260">
        <v>-9.8511870000000008E-3</v>
      </c>
      <c r="O5260">
        <v>2.4936700000000001E-4</v>
      </c>
      <c r="P5260">
        <v>0.98824789999999996</v>
      </c>
      <c r="Q5260">
        <v>0.1474424</v>
      </c>
      <c r="R5260">
        <v>4.0335509999999998E-2</v>
      </c>
      <c r="S5260">
        <v>3.0378419999999999</v>
      </c>
      <c r="T5260">
        <v>-2.809441E-2</v>
      </c>
      <c r="U5260">
        <v>5.0109859999999999E-2</v>
      </c>
      <c r="V5260">
        <v>-4.0083090000000002E-2</v>
      </c>
      <c r="W5260">
        <v>0.15717229999999999</v>
      </c>
      <c r="X5260">
        <v>0.98675740000000001</v>
      </c>
      <c r="Y5260">
        <v>-1.624219E-2</v>
      </c>
      <c r="Z5260">
        <v>1.5526219999999999E-4</v>
      </c>
      <c r="AA5260">
        <v>0.99986810000000004</v>
      </c>
      <c r="AB5260">
        <v>31</v>
      </c>
      <c r="AC5260">
        <v>120.905099999999</v>
      </c>
      <c r="AD5260">
        <v>-1.1210127866484001</v>
      </c>
      <c r="AE5260">
        <v>1.9994000000000001</v>
      </c>
      <c r="AF5260">
        <v>-1.96907950473584</v>
      </c>
      <c r="AG5260">
        <v>-1.1210127866484001</v>
      </c>
      <c r="AH5260">
        <v>120.89520468947001</v>
      </c>
      <c r="AI5260">
        <v>90.5311951276868</v>
      </c>
      <c r="AJ5260">
        <v>90.933121960002097</v>
      </c>
      <c r="AK5260">
        <v>120.916435858293</v>
      </c>
      <c r="AL5260">
        <v>80.9571954565521</v>
      </c>
      <c r="AM5260">
        <v>92.326134021458799</v>
      </c>
      <c r="AN5260">
        <v>0.99999997622299797</v>
      </c>
    </row>
    <row r="5261" spans="1:40" x14ac:dyDescent="0.25">
      <c r="A5261" t="str">
        <f>"20190303162016777"</f>
        <v>20190303162016777</v>
      </c>
      <c r="B5261" t="str">
        <f>"1551601216767321"</f>
        <v>1551601216767321</v>
      </c>
      <c r="C5261" t="s">
        <v>40</v>
      </c>
      <c r="D5261">
        <v>4.5334729999999999</v>
      </c>
      <c r="E5261">
        <v>0.50855189999999995</v>
      </c>
      <c r="F5261" t="s">
        <v>52</v>
      </c>
      <c r="G5261">
        <v>-221.3553</v>
      </c>
      <c r="H5261" s="1">
        <v>-9.0514090000000005E-7</v>
      </c>
      <c r="I5261">
        <v>216.6662</v>
      </c>
      <c r="J5261">
        <v>-334.07199999999898</v>
      </c>
      <c r="K5261">
        <v>1.1210169999999999</v>
      </c>
      <c r="L5261">
        <v>214.74549999999999</v>
      </c>
      <c r="M5261">
        <v>0.99995129999999999</v>
      </c>
      <c r="N5261">
        <v>-9.8710299999999994E-3</v>
      </c>
      <c r="O5261">
        <v>2.495668E-4</v>
      </c>
      <c r="P5261">
        <v>0.9881569</v>
      </c>
      <c r="Q5261">
        <v>0.147953799999999</v>
      </c>
      <c r="R5261">
        <v>4.069358E-2</v>
      </c>
      <c r="S5261">
        <v>3.0380549999999999</v>
      </c>
      <c r="T5261">
        <v>-3.0135390000000001E-2</v>
      </c>
      <c r="U5261">
        <v>5.1635739999999999E-2</v>
      </c>
      <c r="V5261">
        <v>-4.0440990000000003E-2</v>
      </c>
      <c r="W5261">
        <v>0.15770209999999901</v>
      </c>
      <c r="X5261">
        <v>0.98665829999999999</v>
      </c>
      <c r="Y5261">
        <v>-1.6742670000000001E-2</v>
      </c>
      <c r="Z5261">
        <v>1.6566359999999999E-4</v>
      </c>
      <c r="AA5261">
        <v>0.99985979999999997</v>
      </c>
      <c r="AB5261">
        <v>31</v>
      </c>
      <c r="AC5261">
        <v>112.71669999999899</v>
      </c>
      <c r="AD5261">
        <v>-1.1210179051408999</v>
      </c>
      <c r="AE5261">
        <v>1.9207000000000101</v>
      </c>
      <c r="AF5261">
        <v>-1.8923811002302</v>
      </c>
      <c r="AG5261">
        <v>-1.1210179051408999</v>
      </c>
      <c r="AH5261">
        <v>112.706031123489</v>
      </c>
      <c r="AI5261">
        <v>90.569786950930606</v>
      </c>
      <c r="AJ5261">
        <v>90.961929560337097</v>
      </c>
      <c r="AK5261">
        <v>112.727491052454</v>
      </c>
      <c r="AL5261">
        <v>80.926457150783506</v>
      </c>
      <c r="AM5261">
        <v>92.347116297142804</v>
      </c>
      <c r="AN5261">
        <v>1.00000001348774</v>
      </c>
    </row>
    <row r="5262" spans="1:40" x14ac:dyDescent="0.25">
      <c r="A5262" t="str">
        <f>"20190303162016800"</f>
        <v>20190303162016800</v>
      </c>
      <c r="B5262" t="str">
        <f>"1551601216787817"</f>
        <v>1551601216787817</v>
      </c>
      <c r="C5262" t="s">
        <v>40</v>
      </c>
      <c r="D5262">
        <v>4.4831760000000003</v>
      </c>
      <c r="E5262">
        <v>0.50875009999999998</v>
      </c>
      <c r="F5262" t="s">
        <v>49</v>
      </c>
      <c r="G5262">
        <v>-209.17679999999999</v>
      </c>
      <c r="H5262" s="1">
        <v>6.0916439999999998E-6</v>
      </c>
      <c r="I5262">
        <v>216.84569999999999</v>
      </c>
      <c r="J5262">
        <v>-333.75299999999999</v>
      </c>
      <c r="K5262">
        <v>1.1210199999999999</v>
      </c>
      <c r="L5262">
        <v>214.7456</v>
      </c>
      <c r="M5262">
        <v>0.99995109999999998</v>
      </c>
      <c r="N5262">
        <v>-9.8918249999999999E-3</v>
      </c>
      <c r="O5262">
        <v>2.4982120000000002E-4</v>
      </c>
      <c r="P5262">
        <v>0.98813609999999996</v>
      </c>
      <c r="Q5262">
        <v>0.14794379999999999</v>
      </c>
      <c r="R5262">
        <v>4.1230290000000003E-2</v>
      </c>
      <c r="S5262">
        <v>3.0379330000000002</v>
      </c>
      <c r="T5262">
        <v>-2.7267340000000001E-2</v>
      </c>
      <c r="U5262">
        <v>5.1086430000000002E-2</v>
      </c>
      <c r="V5262">
        <v>-4.097725E-2</v>
      </c>
      <c r="W5262">
        <v>0.15771289999999999</v>
      </c>
      <c r="X5262">
        <v>0.98663440000000002</v>
      </c>
      <c r="Y5262">
        <v>-1.65625999999999E-2</v>
      </c>
      <c r="Z5262">
        <v>1.564805E-4</v>
      </c>
      <c r="AA5262">
        <v>0.99986280000000005</v>
      </c>
      <c r="AB5262">
        <v>31</v>
      </c>
      <c r="AC5262">
        <v>124.5762</v>
      </c>
      <c r="AD5262">
        <v>-1.121013908356</v>
      </c>
      <c r="AE5262">
        <v>2.1000999999999901</v>
      </c>
      <c r="AF5262">
        <v>-2.0688091631566601</v>
      </c>
      <c r="AG5262">
        <v>-1.121013908356</v>
      </c>
      <c r="AH5262">
        <v>124.56663684907301</v>
      </c>
      <c r="AI5262">
        <v>90.515537530318596</v>
      </c>
      <c r="AJ5262">
        <v>90.951483801419897</v>
      </c>
      <c r="AK5262">
        <v>124.58885848833</v>
      </c>
      <c r="AL5262">
        <v>80.925830085081998</v>
      </c>
      <c r="AM5262">
        <v>92.378261823907494</v>
      </c>
      <c r="AN5262">
        <v>0.99999996655366497</v>
      </c>
    </row>
    <row r="5263" spans="1:40" x14ac:dyDescent="0.25">
      <c r="A5263" t="str">
        <f>"20190303162016822"</f>
        <v>20190303162016822</v>
      </c>
      <c r="B5263" t="str">
        <f>"1551601216807337"</f>
        <v>1551601216807337</v>
      </c>
      <c r="C5263" t="s">
        <v>40</v>
      </c>
      <c r="D5263">
        <v>4.4402900000000001</v>
      </c>
      <c r="E5263">
        <v>0.508961</v>
      </c>
      <c r="F5263" t="s">
        <v>49</v>
      </c>
      <c r="G5263">
        <v>-208.6464</v>
      </c>
      <c r="H5263" s="1">
        <v>5.8533320000000004E-6</v>
      </c>
      <c r="I5263">
        <v>216.88079999999999</v>
      </c>
      <c r="J5263">
        <v>-333.43950000000001</v>
      </c>
      <c r="K5263">
        <v>1.1210230000000001</v>
      </c>
      <c r="L5263">
        <v>214.7456</v>
      </c>
      <c r="M5263">
        <v>0.99995089999999998</v>
      </c>
      <c r="N5263">
        <v>-9.9114519999999994E-3</v>
      </c>
      <c r="O5263">
        <v>2.5037779999999998E-4</v>
      </c>
      <c r="P5263">
        <v>0.98816300000000001</v>
      </c>
      <c r="Q5263">
        <v>0.14776129999999901</v>
      </c>
      <c r="R5263">
        <v>4.123769E-2</v>
      </c>
      <c r="S5263">
        <v>3.0379330000000002</v>
      </c>
      <c r="T5263">
        <v>-2.722132E-2</v>
      </c>
      <c r="U5263">
        <v>5.1849369999999999E-2</v>
      </c>
      <c r="V5263">
        <v>-4.098446E-2</v>
      </c>
      <c r="W5263">
        <v>0.15754949999999901</v>
      </c>
      <c r="X5263">
        <v>0.98666019999999999</v>
      </c>
      <c r="Y5263">
        <v>-1.6813060000000001E-2</v>
      </c>
      <c r="Z5263">
        <v>1.5889020000000001E-4</v>
      </c>
      <c r="AA5263">
        <v>0.99985860000000004</v>
      </c>
      <c r="AB5263">
        <v>31</v>
      </c>
      <c r="AC5263">
        <v>124.7931</v>
      </c>
      <c r="AD5263">
        <v>-1.1210171466679999</v>
      </c>
      <c r="AE5263">
        <v>2.13519999999999</v>
      </c>
      <c r="AF5263">
        <v>-2.1037832641554002</v>
      </c>
      <c r="AG5263">
        <v>-1.1210171466679999</v>
      </c>
      <c r="AH5263">
        <v>124.783564333771</v>
      </c>
      <c r="AI5263">
        <v>90.514640674907795</v>
      </c>
      <c r="AJ5263">
        <v>90.965884281472</v>
      </c>
      <c r="AK5263">
        <v>124.80633201607201</v>
      </c>
      <c r="AL5263">
        <v>80.935310687928904</v>
      </c>
      <c r="AM5263">
        <v>92.378617673298294</v>
      </c>
      <c r="AN5263">
        <v>0.99999996058788998</v>
      </c>
    </row>
    <row r="5264" spans="1:40" x14ac:dyDescent="0.25">
      <c r="A5264" t="str">
        <f>"20190303162016844"</f>
        <v>20190303162016844</v>
      </c>
      <c r="B5264" t="str">
        <f>"1551601216837592"</f>
        <v>1551601216837592</v>
      </c>
      <c r="C5264" t="s">
        <v>40</v>
      </c>
      <c r="D5264">
        <v>4.3669390000000003</v>
      </c>
      <c r="E5264">
        <v>0.50920719999999997</v>
      </c>
      <c r="F5264" t="s">
        <v>49</v>
      </c>
      <c r="G5264">
        <v>-205.2508</v>
      </c>
      <c r="H5264" s="1">
        <v>4.3506880000000002E-6</v>
      </c>
      <c r="I5264">
        <v>216.84469999999999</v>
      </c>
      <c r="J5264">
        <v>-333.14870000000002</v>
      </c>
      <c r="K5264">
        <v>1.121019</v>
      </c>
      <c r="L5264">
        <v>214.7457</v>
      </c>
      <c r="M5264">
        <v>0.99995080000000003</v>
      </c>
      <c r="N5264">
        <v>-9.9288359999999999E-3</v>
      </c>
      <c r="O5264">
        <v>2.5064869999999998E-4</v>
      </c>
      <c r="P5264">
        <v>0.98813320000000004</v>
      </c>
      <c r="Q5264">
        <v>0.14802779999999999</v>
      </c>
      <c r="R5264">
        <v>4.1000700000000001E-2</v>
      </c>
      <c r="S5264">
        <v>3.0378720000000001</v>
      </c>
      <c r="T5264">
        <v>-2.6566389999999999E-2</v>
      </c>
      <c r="U5264">
        <v>4.974365E-2</v>
      </c>
      <c r="V5264">
        <v>-4.0747350000000002E-2</v>
      </c>
      <c r="W5264">
        <v>0.157833</v>
      </c>
      <c r="X5264">
        <v>0.98662479999999997</v>
      </c>
      <c r="Y5264">
        <v>-1.6120369999999998E-2</v>
      </c>
      <c r="Z5264">
        <v>1.5081639999999999E-4</v>
      </c>
      <c r="AA5264">
        <v>0.99987009999999998</v>
      </c>
      <c r="AB5264">
        <v>31</v>
      </c>
      <c r="AC5264">
        <v>127.89790000000001</v>
      </c>
      <c r="AD5264">
        <v>-1.1210146493119999</v>
      </c>
      <c r="AE5264">
        <v>2.0989999999999802</v>
      </c>
      <c r="AF5264">
        <v>-2.0667821801006299</v>
      </c>
      <c r="AG5264">
        <v>-1.1210146493119999</v>
      </c>
      <c r="AH5264">
        <v>127.88859987763399</v>
      </c>
      <c r="AI5264">
        <v>90.502150919907095</v>
      </c>
      <c r="AJ5264">
        <v>90.925865078633393</v>
      </c>
      <c r="AK5264">
        <v>127.910211637248</v>
      </c>
      <c r="AL5264">
        <v>80.918862340996199</v>
      </c>
      <c r="AM5264">
        <v>92.364956929562993</v>
      </c>
      <c r="AN5264">
        <v>1.0000000491980301</v>
      </c>
    </row>
    <row r="5265" spans="1:40" x14ac:dyDescent="0.25">
      <c r="A5265" t="str">
        <f>"20190303162016866"</f>
        <v>20190303162016866</v>
      </c>
      <c r="B5265" t="str">
        <f>"1551601216858089"</f>
        <v>1551601216858089</v>
      </c>
      <c r="C5265" t="s">
        <v>40</v>
      </c>
      <c r="D5265">
        <v>4.3252240000000004</v>
      </c>
      <c r="E5265">
        <v>0.50944489999999998</v>
      </c>
      <c r="F5265" t="s">
        <v>49</v>
      </c>
      <c r="G5265">
        <v>-194.16300000000001</v>
      </c>
      <c r="H5265" s="1">
        <v>3.0277729999999999E-6</v>
      </c>
      <c r="I5265">
        <v>216.88550000000001</v>
      </c>
      <c r="J5265">
        <v>-332.84050000000002</v>
      </c>
      <c r="K5265">
        <v>1.121019</v>
      </c>
      <c r="L5265">
        <v>214.7458</v>
      </c>
      <c r="M5265">
        <v>0.99995049999999996</v>
      </c>
      <c r="N5265">
        <v>-9.9463109999999993E-3</v>
      </c>
      <c r="O5265">
        <v>2.5091939999999997E-4</v>
      </c>
      <c r="P5265">
        <v>0.98809519999999995</v>
      </c>
      <c r="Q5265">
        <v>0.14835999999999999</v>
      </c>
      <c r="R5265">
        <v>4.0710330000000003E-2</v>
      </c>
      <c r="S5265">
        <v>3.03775</v>
      </c>
      <c r="T5265">
        <v>-2.4501559999999999E-2</v>
      </c>
      <c r="U5265">
        <v>4.6768190000000001E-2</v>
      </c>
      <c r="V5265">
        <v>-4.0456659999999998E-2</v>
      </c>
      <c r="W5265">
        <v>0.1581823</v>
      </c>
      <c r="X5265">
        <v>0.98658080000000004</v>
      </c>
      <c r="Y5265">
        <v>-1.514184E-2</v>
      </c>
      <c r="Z5265">
        <v>1.368439E-4</v>
      </c>
      <c r="AA5265">
        <v>0.99988529999999998</v>
      </c>
      <c r="AB5265">
        <v>31</v>
      </c>
      <c r="AC5265">
        <v>138.67750000000001</v>
      </c>
      <c r="AD5265">
        <v>-1.1210159722269999</v>
      </c>
      <c r="AE5265">
        <v>2.1396999999999999</v>
      </c>
      <c r="AF5265">
        <v>-2.1047638332918202</v>
      </c>
      <c r="AG5265">
        <v>-1.1210159722269999</v>
      </c>
      <c r="AH5265">
        <v>138.6689734014</v>
      </c>
      <c r="AI5265">
        <v>90.463122257055701</v>
      </c>
      <c r="AJ5265">
        <v>90.869587637002695</v>
      </c>
      <c r="AK5265">
        <v>138.68947649984801</v>
      </c>
      <c r="AL5265">
        <v>80.898594123727094</v>
      </c>
      <c r="AM5265">
        <v>92.348208976305898</v>
      </c>
      <c r="AN5265">
        <v>1.00000002815014</v>
      </c>
    </row>
    <row r="5266" spans="1:40" x14ac:dyDescent="0.25">
      <c r="A5266" t="str">
        <f>"20190303162016888"</f>
        <v>20190303162016888</v>
      </c>
      <c r="B5266" t="str">
        <f>"1551601216877609"</f>
        <v>1551601216877609</v>
      </c>
      <c r="C5266" t="s">
        <v>40</v>
      </c>
      <c r="D5266">
        <v>4.297644</v>
      </c>
      <c r="E5266">
        <v>0.50964140000000002</v>
      </c>
      <c r="F5266" t="s">
        <v>49</v>
      </c>
      <c r="G5266">
        <v>-187.01089999999999</v>
      </c>
      <c r="H5266" s="1">
        <v>3.2533619999999999E-6</v>
      </c>
      <c r="I5266">
        <v>216.85830000000001</v>
      </c>
      <c r="J5266">
        <v>-332.54399999999998</v>
      </c>
      <c r="K5266">
        <v>1.1210180000000001</v>
      </c>
      <c r="L5266">
        <v>214.74590000000001</v>
      </c>
      <c r="M5266">
        <v>0.99995029999999996</v>
      </c>
      <c r="N5266">
        <v>-9.9622500000000006E-3</v>
      </c>
      <c r="O5266">
        <v>2.513169E-4</v>
      </c>
      <c r="P5266">
        <v>0.98809709999999995</v>
      </c>
      <c r="Q5266">
        <v>0.14822959999999999</v>
      </c>
      <c r="R5266">
        <v>4.1131670000000002E-2</v>
      </c>
      <c r="S5266">
        <v>3.0378419999999999</v>
      </c>
      <c r="T5266">
        <v>-2.3352379999999999E-2</v>
      </c>
      <c r="U5266">
        <v>4.400635E-2</v>
      </c>
      <c r="V5266">
        <v>-4.0877049999999998E-2</v>
      </c>
      <c r="W5266">
        <v>0.15806789999999901</v>
      </c>
      <c r="X5266">
        <v>0.98658179999999995</v>
      </c>
      <c r="Y5266">
        <v>-1.423227E-2</v>
      </c>
      <c r="Z5266">
        <v>1.261717E-4</v>
      </c>
      <c r="AA5266">
        <v>0.99989870000000003</v>
      </c>
      <c r="AB5266">
        <v>31</v>
      </c>
      <c r="AC5266">
        <v>145.53309999999999</v>
      </c>
      <c r="AD5266">
        <v>-1.121014746638</v>
      </c>
      <c r="AE5266">
        <v>2.1124000000000001</v>
      </c>
      <c r="AF5266">
        <v>-2.0757000566763799</v>
      </c>
      <c r="AG5266">
        <v>-1.121014746638</v>
      </c>
      <c r="AH5266">
        <v>145.52499364076101</v>
      </c>
      <c r="AI5266">
        <v>90.441309835773097</v>
      </c>
      <c r="AJ5266">
        <v>90.817184632699494</v>
      </c>
      <c r="AK5266">
        <v>145.54411351521901</v>
      </c>
      <c r="AL5266">
        <v>80.905232210599607</v>
      </c>
      <c r="AM5266">
        <v>92.372579354011506</v>
      </c>
      <c r="AN5266">
        <v>1.00000002115917</v>
      </c>
    </row>
    <row r="5267" spans="1:40" x14ac:dyDescent="0.25">
      <c r="A5267" t="str">
        <f>"20190303162016911"</f>
        <v>20190303162016911</v>
      </c>
      <c r="B5267" t="str">
        <f>"1551601216898105"</f>
        <v>1551601216898105</v>
      </c>
      <c r="C5267" t="s">
        <v>40</v>
      </c>
      <c r="D5267">
        <v>4.3191769999999998</v>
      </c>
      <c r="E5267">
        <v>0.50987009999999999</v>
      </c>
      <c r="F5267" t="s">
        <v>49</v>
      </c>
      <c r="G5267">
        <v>-185.45439999999999</v>
      </c>
      <c r="H5267" s="1">
        <v>2.9767630000000001E-6</v>
      </c>
      <c r="I5267">
        <v>216.86410000000001</v>
      </c>
      <c r="J5267">
        <v>-332.21609999999998</v>
      </c>
      <c r="K5267">
        <v>1.12101299999999</v>
      </c>
      <c r="L5267">
        <v>214.74600000000001</v>
      </c>
      <c r="M5267">
        <v>0.99995020000000001</v>
      </c>
      <c r="N5267">
        <v>-9.9789960000000004E-3</v>
      </c>
      <c r="O5267">
        <v>2.5141239999999999E-4</v>
      </c>
      <c r="P5267">
        <v>0.98805520000000002</v>
      </c>
      <c r="Q5267">
        <v>0.1482166</v>
      </c>
      <c r="R5267">
        <v>4.2178590000000002E-2</v>
      </c>
      <c r="S5267">
        <v>3.0377809999999998</v>
      </c>
      <c r="T5267">
        <v>-2.3151870000000001E-2</v>
      </c>
      <c r="U5267">
        <v>4.374695E-2</v>
      </c>
      <c r="V5267">
        <v>-4.1924679999999999E-2</v>
      </c>
      <c r="W5267">
        <v>0.15807079999999901</v>
      </c>
      <c r="X5267">
        <v>0.98653729999999995</v>
      </c>
      <c r="Y5267">
        <v>-1.4147119999999999E-2</v>
      </c>
      <c r="Z5267">
        <v>1.2509389999999901E-4</v>
      </c>
      <c r="AA5267">
        <v>0.99989989999999995</v>
      </c>
      <c r="AB5267">
        <v>31</v>
      </c>
      <c r="AC5267">
        <v>146.76169999999999</v>
      </c>
      <c r="AD5267">
        <v>-1.1210100232369899</v>
      </c>
      <c r="AE5267">
        <v>2.1181000000000201</v>
      </c>
      <c r="AF5267">
        <v>-2.08107899295669</v>
      </c>
      <c r="AG5267">
        <v>-1.1210100232369899</v>
      </c>
      <c r="AH5267">
        <v>146.75366754419699</v>
      </c>
      <c r="AI5267">
        <v>90.437613848334394</v>
      </c>
      <c r="AJ5267">
        <v>90.812443419435596</v>
      </c>
      <c r="AK5267">
        <v>146.77270349393899</v>
      </c>
      <c r="AL5267">
        <v>80.905063288747598</v>
      </c>
      <c r="AM5267">
        <v>92.433423181551007</v>
      </c>
      <c r="AN5267">
        <v>0.99999995044851397</v>
      </c>
    </row>
    <row r="5268" spans="1:40" x14ac:dyDescent="0.25">
      <c r="A5268" t="str">
        <f>"20190303162016933"</f>
        <v>20190303162016933</v>
      </c>
      <c r="B5268" t="str">
        <f>"1551601216927385"</f>
        <v>1551601216927385</v>
      </c>
      <c r="C5268" t="s">
        <v>40</v>
      </c>
      <c r="D5268">
        <v>4.2955949999999996</v>
      </c>
      <c r="E5268">
        <v>0.51017860000000004</v>
      </c>
      <c r="F5268" t="s">
        <v>49</v>
      </c>
      <c r="G5268">
        <v>-179.95769999999999</v>
      </c>
      <c r="H5268">
        <v>1.2601310000000001E-3</v>
      </c>
      <c r="I5268">
        <v>217.006</v>
      </c>
      <c r="J5268">
        <v>-331.92180000000002</v>
      </c>
      <c r="K5268">
        <v>1.121011</v>
      </c>
      <c r="L5268">
        <v>214.74610000000001</v>
      </c>
      <c r="M5268">
        <v>0.99995009999999995</v>
      </c>
      <c r="N5268">
        <v>-9.9932949999999993E-3</v>
      </c>
      <c r="O5268">
        <v>2.516986E-4</v>
      </c>
      <c r="P5268">
        <v>0.98799539999999997</v>
      </c>
      <c r="Q5268">
        <v>0.14840639999999999</v>
      </c>
      <c r="R5268">
        <v>4.2905829999999999E-2</v>
      </c>
      <c r="S5268">
        <v>3.0376889999999999</v>
      </c>
      <c r="T5268">
        <v>-2.2340059999999998E-2</v>
      </c>
      <c r="U5268">
        <v>4.508972E-2</v>
      </c>
      <c r="V5268">
        <v>-4.2651460000000002E-2</v>
      </c>
      <c r="W5268">
        <v>0.1582742</v>
      </c>
      <c r="X5268">
        <v>0.98647359999999995</v>
      </c>
      <c r="Y5268">
        <v>-1.458918E-2</v>
      </c>
      <c r="Z5268">
        <v>1.2721229999999999E-4</v>
      </c>
      <c r="AA5268">
        <v>0.99989349999999999</v>
      </c>
      <c r="AB5268">
        <v>31</v>
      </c>
      <c r="AC5268">
        <v>151.9641</v>
      </c>
      <c r="AD5268">
        <v>-1.119750869</v>
      </c>
      <c r="AE5268">
        <v>2.2598999999999498</v>
      </c>
      <c r="AF5268">
        <v>-2.2215282781925798</v>
      </c>
      <c r="AG5268">
        <v>-1.119750869</v>
      </c>
      <c r="AH5268">
        <v>151.95641536007699</v>
      </c>
      <c r="AI5268">
        <v>90.422153831821802</v>
      </c>
      <c r="AJ5268">
        <v>90.837576532176001</v>
      </c>
      <c r="AK5268">
        <v>151.97677848600401</v>
      </c>
      <c r="AL5268">
        <v>80.893261356539895</v>
      </c>
      <c r="AM5268">
        <v>92.475715104131197</v>
      </c>
      <c r="AN5268">
        <v>1.0000000164613601</v>
      </c>
    </row>
    <row r="5269" spans="1:40" x14ac:dyDescent="0.25">
      <c r="A5269" t="str">
        <f>"20190303162016955"</f>
        <v>20190303162016955</v>
      </c>
      <c r="B5269" t="str">
        <f>"1551601216947885"</f>
        <v>1551601216947885</v>
      </c>
      <c r="C5269" t="s">
        <v>40</v>
      </c>
      <c r="D5269">
        <v>4.2692759999999996</v>
      </c>
      <c r="E5269">
        <v>0.51043179999999999</v>
      </c>
      <c r="F5269" t="s">
        <v>49</v>
      </c>
      <c r="G5269">
        <v>-175.7662</v>
      </c>
      <c r="H5269">
        <v>7.9980860000000001E-2</v>
      </c>
      <c r="I5269">
        <v>217.03190000000001</v>
      </c>
      <c r="J5269">
        <v>-331.60840000000002</v>
      </c>
      <c r="K5269">
        <v>1.121011</v>
      </c>
      <c r="L5269">
        <v>214.74619999999999</v>
      </c>
      <c r="M5269">
        <v>0.99995000000000001</v>
      </c>
      <c r="N5269">
        <v>-1.000785E-2</v>
      </c>
      <c r="O5269">
        <v>2.519237E-4</v>
      </c>
      <c r="P5269">
        <v>0.98795999999999995</v>
      </c>
      <c r="Q5269">
        <v>0.1484084</v>
      </c>
      <c r="R5269">
        <v>4.3705889999999997E-2</v>
      </c>
      <c r="S5269">
        <v>3.0375670000000001</v>
      </c>
      <c r="T5269">
        <v>-2.0250319999999999E-2</v>
      </c>
      <c r="U5269">
        <v>4.4464110000000001E-2</v>
      </c>
      <c r="V5269">
        <v>-4.3450990000000002E-2</v>
      </c>
      <c r="W5269">
        <v>0.15829019999999999</v>
      </c>
      <c r="X5269">
        <v>0.98643610000000004</v>
      </c>
      <c r="Y5269">
        <v>-1.438379E-2</v>
      </c>
      <c r="Z5269">
        <v>1.2076740000000001E-4</v>
      </c>
      <c r="AA5269">
        <v>0.99989649999999997</v>
      </c>
      <c r="AB5269">
        <v>31</v>
      </c>
      <c r="AC5269">
        <v>155.84219999999999</v>
      </c>
      <c r="AD5269">
        <v>-1.0410301399999999</v>
      </c>
      <c r="AE5269">
        <v>2.2857000000000198</v>
      </c>
      <c r="AF5269">
        <v>-2.2463374057260701</v>
      </c>
      <c r="AG5269">
        <v>-1.0410301399999999</v>
      </c>
      <c r="AH5269">
        <v>155.835818575589</v>
      </c>
      <c r="AI5269">
        <v>90.382707589640006</v>
      </c>
      <c r="AJ5269">
        <v>90.825848258796498</v>
      </c>
      <c r="AK5269">
        <v>155.85548474986899</v>
      </c>
      <c r="AL5269">
        <v>80.892332563790603</v>
      </c>
      <c r="AM5269">
        <v>92.522160410374994</v>
      </c>
      <c r="AN5269">
        <v>0.99999997766561399</v>
      </c>
    </row>
    <row r="5270" spans="1:40" x14ac:dyDescent="0.25">
      <c r="A5270" t="str">
        <f>"20190303162016977"</f>
        <v>20190303162016977</v>
      </c>
      <c r="B5270" t="str">
        <f>"1551601216967401"</f>
        <v>1551601216967401</v>
      </c>
      <c r="C5270" t="s">
        <v>40</v>
      </c>
      <c r="D5270">
        <v>4.2917259999999997</v>
      </c>
      <c r="E5270">
        <v>0.5103666</v>
      </c>
      <c r="F5270" t="s">
        <v>44</v>
      </c>
      <c r="G5270">
        <v>-151.69669999999999</v>
      </c>
      <c r="H5270">
        <v>-0.05</v>
      </c>
      <c r="I5270">
        <v>217.39060000000001</v>
      </c>
      <c r="J5270">
        <v>-331.31</v>
      </c>
      <c r="K5270">
        <v>1.1210059999999999</v>
      </c>
      <c r="L5270">
        <v>214.74629999999999</v>
      </c>
      <c r="M5270">
        <v>0.99994989999999995</v>
      </c>
      <c r="N5270">
        <v>-1.0021179999999999E-2</v>
      </c>
      <c r="O5270">
        <v>2.5203539999999998E-4</v>
      </c>
      <c r="P5270">
        <v>0.98796110000000004</v>
      </c>
      <c r="Q5270">
        <v>0.14825550000000001</v>
      </c>
      <c r="R5270">
        <v>4.4200059999999999E-2</v>
      </c>
      <c r="S5270">
        <v>3.0375369999999999</v>
      </c>
      <c r="T5270">
        <v>-1.9770739999999998E-2</v>
      </c>
      <c r="U5270">
        <v>4.4647220000000001E-2</v>
      </c>
      <c r="V5270">
        <v>-4.3945400000000003E-2</v>
      </c>
      <c r="W5270">
        <v>0.15815029999999999</v>
      </c>
      <c r="X5270">
        <v>0.98643670000000006</v>
      </c>
      <c r="Y5270">
        <v>-1.444411E-2</v>
      </c>
      <c r="Z5270">
        <v>1.202704E-4</v>
      </c>
      <c r="AA5270">
        <v>0.99989570000000005</v>
      </c>
      <c r="AB5270">
        <v>31</v>
      </c>
      <c r="AC5270">
        <v>179.61330000000001</v>
      </c>
      <c r="AD5270">
        <v>-1.171006</v>
      </c>
      <c r="AE5270">
        <v>2.6443000000000101</v>
      </c>
      <c r="AF5270">
        <v>-2.5989182960486401</v>
      </c>
      <c r="AG5270">
        <v>-1.171006</v>
      </c>
      <c r="AH5270">
        <v>179.60632825091199</v>
      </c>
      <c r="AI5270">
        <v>90.373515392422703</v>
      </c>
      <c r="AJ5270">
        <v>90.829016769824307</v>
      </c>
      <c r="AK5270">
        <v>179.628947497713</v>
      </c>
      <c r="AL5270">
        <v>80.900451064266306</v>
      </c>
      <c r="AM5270">
        <v>92.550819738513098</v>
      </c>
      <c r="AN5270">
        <v>1.00000003933906</v>
      </c>
    </row>
    <row r="5271" spans="1:40" x14ac:dyDescent="0.25">
      <c r="A5271" t="str">
        <f>"20190303162017001"</f>
        <v>20190303162017001</v>
      </c>
      <c r="B5271" t="str">
        <f>"1551601216987896"</f>
        <v>1551601216987896</v>
      </c>
      <c r="C5271" t="s">
        <v>40</v>
      </c>
      <c r="D5271">
        <v>4.3242830000000003</v>
      </c>
      <c r="E5271">
        <v>0.49272890000000003</v>
      </c>
      <c r="F5271" t="s">
        <v>49</v>
      </c>
      <c r="G5271">
        <v>-175.7869</v>
      </c>
      <c r="H5271">
        <v>7.9980860000000001E-2</v>
      </c>
      <c r="I5271">
        <v>217.11109999999999</v>
      </c>
      <c r="J5271">
        <v>-330.97070000000002</v>
      </c>
      <c r="K5271">
        <v>1.1210119999999999</v>
      </c>
      <c r="L5271">
        <v>214.74639999999999</v>
      </c>
      <c r="M5271">
        <v>0.99994970000000005</v>
      </c>
      <c r="N5271">
        <v>-1.0036069999999999E-2</v>
      </c>
      <c r="O5271">
        <v>2.5243720000000001E-4</v>
      </c>
      <c r="P5271">
        <v>0.98795100000000002</v>
      </c>
      <c r="Q5271">
        <v>0.148114</v>
      </c>
      <c r="R5271">
        <v>4.4890090000000001E-2</v>
      </c>
      <c r="S5271">
        <v>3.0375670000000001</v>
      </c>
      <c r="T5271">
        <v>-2.0332570000000001E-2</v>
      </c>
      <c r="U5271">
        <v>4.6188350000000003E-2</v>
      </c>
      <c r="V5271">
        <v>-4.4634460000000001E-2</v>
      </c>
      <c r="W5271">
        <v>0.15802369999999999</v>
      </c>
      <c r="X5271">
        <v>0.98642600000000003</v>
      </c>
      <c r="Y5271">
        <v>-1.4950690000000001E-2</v>
      </c>
      <c r="Z5271">
        <v>1.2590950000000001E-4</v>
      </c>
      <c r="AA5271">
        <v>0.9998882</v>
      </c>
      <c r="AB5271">
        <v>31</v>
      </c>
      <c r="AC5271">
        <v>155.18379999999999</v>
      </c>
      <c r="AD5271">
        <v>-1.0410311400000001</v>
      </c>
      <c r="AE5271">
        <v>2.3646999999999898</v>
      </c>
      <c r="AF5271">
        <v>-2.3254191664700801</v>
      </c>
      <c r="AG5271">
        <v>-1.0410311400000001</v>
      </c>
      <c r="AH5271">
        <v>155.177410304566</v>
      </c>
      <c r="AI5271">
        <v>90.384328491162606</v>
      </c>
      <c r="AJ5271">
        <v>90.858544625841702</v>
      </c>
      <c r="AK5271">
        <v>155.198324697678</v>
      </c>
      <c r="AL5271">
        <v>80.907796624099205</v>
      </c>
      <c r="AM5271">
        <v>92.590790355368199</v>
      </c>
      <c r="AN5271">
        <v>0.99999998912859001</v>
      </c>
    </row>
    <row r="5272" spans="1:40" x14ac:dyDescent="0.25">
      <c r="A5272" t="str">
        <f>"20190303162017024"</f>
        <v>20190303162017024</v>
      </c>
      <c r="B5272" t="str">
        <f>"1551601217018153"</f>
        <v>1551601217018153</v>
      </c>
      <c r="C5272" t="s">
        <v>40</v>
      </c>
      <c r="D5272">
        <v>4.3260100000000001</v>
      </c>
      <c r="E5272">
        <v>0.49116789999999999</v>
      </c>
      <c r="F5272" t="s">
        <v>65</v>
      </c>
      <c r="G5272">
        <v>-157.25</v>
      </c>
      <c r="H5272">
        <v>0.58041669999999901</v>
      </c>
      <c r="I5272">
        <v>225.56829999999999</v>
      </c>
      <c r="J5272">
        <v>-330.65679999999998</v>
      </c>
      <c r="K5272">
        <v>1.121016</v>
      </c>
      <c r="L5272">
        <v>214.74639999999999</v>
      </c>
      <c r="M5272">
        <v>0.99994959999999999</v>
      </c>
      <c r="N5272">
        <v>-1.0049199999999999E-2</v>
      </c>
      <c r="O5272">
        <v>2.5272860000000001E-4</v>
      </c>
      <c r="P5272">
        <v>0.98786890000000005</v>
      </c>
      <c r="Q5272">
        <v>0.1486132</v>
      </c>
      <c r="R5272">
        <v>4.5051649999999999E-2</v>
      </c>
      <c r="S5272">
        <v>3.0294490000000001</v>
      </c>
      <c r="T5272">
        <v>-9.4262359999999993E-3</v>
      </c>
      <c r="U5272">
        <v>0.18872069999999999</v>
      </c>
      <c r="V5272">
        <v>-4.4796309999999999E-2</v>
      </c>
      <c r="W5272">
        <v>0.15853499999999901</v>
      </c>
      <c r="X5272">
        <v>0.98633660000000001</v>
      </c>
      <c r="Y5272">
        <v>-6.1921339999999998E-2</v>
      </c>
      <c r="Z5272">
        <v>4.0943570000000001E-4</v>
      </c>
      <c r="AA5272">
        <v>0.998081</v>
      </c>
      <c r="AB5272">
        <v>31</v>
      </c>
      <c r="AC5272">
        <v>173.40679999999901</v>
      </c>
      <c r="AD5272">
        <v>-0.5405993</v>
      </c>
      <c r="AE5272">
        <v>10.821899999999999</v>
      </c>
      <c r="AF5272">
        <v>-10.7779682450881</v>
      </c>
      <c r="AG5272">
        <v>-0.5405993</v>
      </c>
      <c r="AH5272">
        <v>173.40785080162701</v>
      </c>
      <c r="AI5272">
        <v>90.1782751079989</v>
      </c>
      <c r="AJ5272">
        <v>93.556579074767996</v>
      </c>
      <c r="AK5272">
        <v>173.74331517136</v>
      </c>
      <c r="AL5272">
        <v>80.878127133745707</v>
      </c>
      <c r="AM5272">
        <v>92.600407359401601</v>
      </c>
      <c r="AN5272">
        <v>0.99999997205708702</v>
      </c>
    </row>
    <row r="5273" spans="1:40" x14ac:dyDescent="0.25">
      <c r="A5273" t="str">
        <f>"20190303162017045"</f>
        <v>20190303162017045</v>
      </c>
      <c r="B5273" t="str">
        <f>"1551601217037673"</f>
        <v>1551601217037673</v>
      </c>
      <c r="C5273" t="s">
        <v>40</v>
      </c>
      <c r="D5273">
        <v>4.3012759999999997</v>
      </c>
      <c r="E5273">
        <v>0.491726</v>
      </c>
      <c r="F5273" t="s">
        <v>65</v>
      </c>
      <c r="G5273">
        <v>-157.25</v>
      </c>
      <c r="H5273">
        <v>0.99926190000000004</v>
      </c>
      <c r="I5273">
        <v>226.3005</v>
      </c>
      <c r="J5273">
        <v>-330.35910000000001</v>
      </c>
      <c r="K5273">
        <v>1.121019</v>
      </c>
      <c r="L5273">
        <v>214.7465</v>
      </c>
      <c r="M5273">
        <v>0.99994939999999999</v>
      </c>
      <c r="N5273">
        <v>-1.006109E-2</v>
      </c>
      <c r="O5273">
        <v>2.5284720000000001E-4</v>
      </c>
      <c r="P5273">
        <v>0.98769700000000005</v>
      </c>
      <c r="Q5273">
        <v>0.14961179999999999</v>
      </c>
      <c r="R5273">
        <v>4.5509470000000003E-2</v>
      </c>
      <c r="S5273">
        <v>3.0279539999999998</v>
      </c>
      <c r="T5273">
        <v>-2.125025E-3</v>
      </c>
      <c r="U5273">
        <v>0.20175170000000001</v>
      </c>
      <c r="V5273">
        <v>-4.5254000000000003E-2</v>
      </c>
      <c r="W5273">
        <v>0.1595434</v>
      </c>
      <c r="X5273">
        <v>0.9861531</v>
      </c>
      <c r="Y5273">
        <v>-6.6229759999999999E-2</v>
      </c>
      <c r="Z5273">
        <v>3.5912800000000001E-4</v>
      </c>
      <c r="AA5273">
        <v>0.99780429999999998</v>
      </c>
      <c r="AB5273">
        <v>31</v>
      </c>
      <c r="AC5273">
        <v>173.10910000000001</v>
      </c>
      <c r="AD5273">
        <v>-0.12175709999999899</v>
      </c>
      <c r="AE5273">
        <v>11.554</v>
      </c>
      <c r="AF5273">
        <v>-11.510221596974199</v>
      </c>
      <c r="AG5273">
        <v>-0.12175709999999899</v>
      </c>
      <c r="AH5273">
        <v>173.11193075012901</v>
      </c>
      <c r="AI5273">
        <v>90.040209806219195</v>
      </c>
      <c r="AJ5273">
        <v>93.804000322157094</v>
      </c>
      <c r="AK5273">
        <v>173.49420910808601</v>
      </c>
      <c r="AL5273">
        <v>80.819605276681102</v>
      </c>
      <c r="AM5273">
        <v>92.627427172380493</v>
      </c>
      <c r="AN5273">
        <v>0.99999997881958402</v>
      </c>
    </row>
    <row r="5274" spans="1:40" x14ac:dyDescent="0.25">
      <c r="A5274" t="str">
        <f>"20190303162017067"</f>
        <v>20190303162017067</v>
      </c>
      <c r="B5274" t="str">
        <f>"1551601217058168"</f>
        <v>1551601217058168</v>
      </c>
      <c r="C5274" t="s">
        <v>40</v>
      </c>
      <c r="D5274">
        <v>4.3214769999999998</v>
      </c>
      <c r="E5274">
        <v>0.4920467</v>
      </c>
      <c r="F5274" t="s">
        <v>65</v>
      </c>
      <c r="G5274">
        <v>-157.25</v>
      </c>
      <c r="H5274">
        <v>1.0804370000000001</v>
      </c>
      <c r="I5274">
        <v>226.12260000000001</v>
      </c>
      <c r="J5274">
        <v>-330.04360000000003</v>
      </c>
      <c r="K5274">
        <v>1.1210260000000001</v>
      </c>
      <c r="L5274">
        <v>214.7466</v>
      </c>
      <c r="M5274">
        <v>0.99994930000000004</v>
      </c>
      <c r="N5274">
        <v>-1.0073149999999999E-2</v>
      </c>
      <c r="O5274">
        <v>2.529648E-4</v>
      </c>
      <c r="P5274">
        <v>0.98762399999999995</v>
      </c>
      <c r="Q5274">
        <v>0.1502049</v>
      </c>
      <c r="R5274">
        <v>4.5142620000000001E-2</v>
      </c>
      <c r="S5274">
        <v>3.0282589999999998</v>
      </c>
      <c r="T5274">
        <v>-7.0893759999999997E-4</v>
      </c>
      <c r="U5274">
        <v>0.19900509999999999</v>
      </c>
      <c r="V5274">
        <v>-4.4887000000000003E-2</v>
      </c>
      <c r="W5274">
        <v>0.16014729999999999</v>
      </c>
      <c r="X5274">
        <v>0.98607199999999995</v>
      </c>
      <c r="Y5274">
        <v>-6.5322089999999999E-2</v>
      </c>
      <c r="Z5274">
        <v>3.3948680000000001E-4</v>
      </c>
      <c r="AA5274">
        <v>0.99786419999999998</v>
      </c>
      <c r="AB5274">
        <v>31</v>
      </c>
      <c r="AC5274">
        <v>172.7936</v>
      </c>
      <c r="AD5274">
        <v>-4.0588999999999903E-2</v>
      </c>
      <c r="AE5274">
        <v>11.375999999999999</v>
      </c>
      <c r="AF5274">
        <v>-11.332286100082101</v>
      </c>
      <c r="AG5274">
        <v>-4.0588999999999903E-2</v>
      </c>
      <c r="AH5274">
        <v>172.79646285087</v>
      </c>
      <c r="AI5274">
        <v>90.013429634374802</v>
      </c>
      <c r="AJ5274">
        <v>93.752181555558707</v>
      </c>
      <c r="AK5274">
        <v>173.167664214464</v>
      </c>
      <c r="AL5274">
        <v>80.784553811645296</v>
      </c>
      <c r="AM5274">
        <v>92.6063628614301</v>
      </c>
      <c r="AN5274">
        <v>0.99999999482514401</v>
      </c>
    </row>
    <row r="5275" spans="1:40" x14ac:dyDescent="0.25">
      <c r="A5275" t="str">
        <f>"20190303162017090"</f>
        <v>20190303162017090</v>
      </c>
      <c r="B5275" t="str">
        <f>"1551601217077690"</f>
        <v>1551601217077690</v>
      </c>
      <c r="C5275" t="s">
        <v>40</v>
      </c>
      <c r="D5275">
        <v>4.2917100000000001</v>
      </c>
      <c r="E5275">
        <v>0.49265310000000001</v>
      </c>
      <c r="F5275" t="s">
        <v>65</v>
      </c>
      <c r="G5275">
        <v>-157.25</v>
      </c>
      <c r="H5275">
        <v>1.118868</v>
      </c>
      <c r="I5275">
        <v>225.86429999999999</v>
      </c>
      <c r="J5275">
        <v>-329.73379999999997</v>
      </c>
      <c r="K5275">
        <v>1.1210260000000001</v>
      </c>
      <c r="L5275">
        <v>214.7467</v>
      </c>
      <c r="M5275">
        <v>0.99994919999999998</v>
      </c>
      <c r="N5275">
        <v>-1.008481E-2</v>
      </c>
      <c r="O5275">
        <v>2.5320360000000001E-4</v>
      </c>
      <c r="P5275">
        <v>0.98768809999999996</v>
      </c>
      <c r="Q5275">
        <v>0.14980859999999999</v>
      </c>
      <c r="R5275">
        <v>4.505559E-2</v>
      </c>
      <c r="S5275">
        <v>3.0287169999999999</v>
      </c>
      <c r="T5275" s="1">
        <v>-3.6835670000000002E-5</v>
      </c>
      <c r="U5275">
        <v>0.19486999999999999</v>
      </c>
      <c r="V5275">
        <v>-4.479955E-2</v>
      </c>
      <c r="W5275">
        <v>0.15976370000000001</v>
      </c>
      <c r="X5275">
        <v>0.98613819999999996</v>
      </c>
      <c r="Y5275">
        <v>-6.3955310000000001E-2</v>
      </c>
      <c r="Z5275">
        <v>3.2576630000000001E-4</v>
      </c>
      <c r="AA5275">
        <v>0.99795270000000003</v>
      </c>
      <c r="AB5275">
        <v>31</v>
      </c>
      <c r="AC5275">
        <v>172.48379999999901</v>
      </c>
      <c r="AD5275">
        <v>-2.1580000000000999E-3</v>
      </c>
      <c r="AE5275">
        <v>11.1175999999999</v>
      </c>
      <c r="AF5275">
        <v>-11.073923905422401</v>
      </c>
      <c r="AG5275">
        <v>-2.1580000000000999E-3</v>
      </c>
      <c r="AH5275">
        <v>172.48660960266699</v>
      </c>
      <c r="AI5275">
        <v>90.000715361359596</v>
      </c>
      <c r="AJ5275">
        <v>93.673441648479297</v>
      </c>
      <c r="AK5275">
        <v>172.84172611826901</v>
      </c>
      <c r="AL5275">
        <v>80.806819153539607</v>
      </c>
      <c r="AM5275">
        <v>92.601117674075596</v>
      </c>
      <c r="AN5275">
        <v>0.99999999450856603</v>
      </c>
    </row>
    <row r="5276" spans="1:40" x14ac:dyDescent="0.25">
      <c r="A5276" t="str">
        <f>"20190303162017112"</f>
        <v>20190303162017112</v>
      </c>
      <c r="B5276" t="str">
        <f>"1551601217107945"</f>
        <v>1551601217107945</v>
      </c>
      <c r="C5276" t="s">
        <v>40</v>
      </c>
      <c r="D5276">
        <v>4.3549239999999996</v>
      </c>
      <c r="E5276">
        <v>0.49314930000000001</v>
      </c>
      <c r="F5276" t="s">
        <v>65</v>
      </c>
      <c r="G5276">
        <v>-157.25</v>
      </c>
      <c r="H5276">
        <v>0.99484629999999996</v>
      </c>
      <c r="I5276">
        <v>225.54339999999999</v>
      </c>
      <c r="J5276">
        <v>-329.4248</v>
      </c>
      <c r="K5276">
        <v>1.121019</v>
      </c>
      <c r="L5276">
        <v>214.74680000000001</v>
      </c>
      <c r="M5276">
        <v>0.99994899999999998</v>
      </c>
      <c r="N5276">
        <v>-1.00961E-2</v>
      </c>
      <c r="O5276">
        <v>2.5302389999999999E-4</v>
      </c>
      <c r="P5276">
        <v>0.98781039999999998</v>
      </c>
      <c r="Q5276">
        <v>0.14899000000000001</v>
      </c>
      <c r="R5276">
        <v>4.5088860000000001E-2</v>
      </c>
      <c r="S5276">
        <v>3.029083</v>
      </c>
      <c r="T5276">
        <v>-2.2149090000000001E-3</v>
      </c>
      <c r="U5276">
        <v>0.18960569999999999</v>
      </c>
      <c r="V5276">
        <v>-4.4833190000000002E-2</v>
      </c>
      <c r="W5276">
        <v>0.15895780000000001</v>
      </c>
      <c r="X5276">
        <v>0.98626689999999995</v>
      </c>
      <c r="Y5276">
        <v>-6.2220030000000003E-2</v>
      </c>
      <c r="Z5276">
        <v>3.3949860000000002E-4</v>
      </c>
      <c r="AA5276">
        <v>0.99806240000000002</v>
      </c>
      <c r="AB5276">
        <v>31</v>
      </c>
      <c r="AC5276">
        <v>172.1748</v>
      </c>
      <c r="AD5276">
        <v>-0.1261727</v>
      </c>
      <c r="AE5276">
        <v>10.7965999999999</v>
      </c>
      <c r="AF5276">
        <v>-10.7530273424938</v>
      </c>
      <c r="AG5276">
        <v>-0.1261727</v>
      </c>
      <c r="AH5276">
        <v>172.17743432429401</v>
      </c>
      <c r="AI5276">
        <v>90.041905054162896</v>
      </c>
      <c r="AJ5276">
        <v>93.573661900239102</v>
      </c>
      <c r="AK5276">
        <v>172.51293402836501</v>
      </c>
      <c r="AL5276">
        <v>80.853591583946994</v>
      </c>
      <c r="AM5276">
        <v>92.602728956219195</v>
      </c>
      <c r="AN5276">
        <v>0.99999999757101199</v>
      </c>
    </row>
    <row r="5277" spans="1:40" x14ac:dyDescent="0.25">
      <c r="A5277" t="str">
        <f>"20190303162017135"</f>
        <v>20190303162017135</v>
      </c>
      <c r="B5277" t="str">
        <f>"1551601217127465"</f>
        <v>1551601217127465</v>
      </c>
      <c r="C5277" t="s">
        <v>40</v>
      </c>
      <c r="D5277">
        <v>4.3531839999999997</v>
      </c>
      <c r="E5277">
        <v>0.49337330000000001</v>
      </c>
      <c r="F5277" t="s">
        <v>65</v>
      </c>
      <c r="G5277">
        <v>-157.25</v>
      </c>
      <c r="H5277">
        <v>0.88973619999999898</v>
      </c>
      <c r="I5277">
        <v>225.30109999999999</v>
      </c>
      <c r="J5277">
        <v>-329.11149999999998</v>
      </c>
      <c r="K5277">
        <v>1.1210209999999901</v>
      </c>
      <c r="L5277">
        <v>214.74690000000001</v>
      </c>
      <c r="M5277">
        <v>0.99994890000000003</v>
      </c>
      <c r="N5277">
        <v>-1.0107339999999999E-2</v>
      </c>
      <c r="O5277">
        <v>2.4990759999999999E-4</v>
      </c>
      <c r="P5277">
        <v>0.98783089999999996</v>
      </c>
      <c r="Q5277">
        <v>0.14859620000000001</v>
      </c>
      <c r="R5277">
        <v>4.5927839999999998E-2</v>
      </c>
      <c r="S5277">
        <v>3.0291139999999999</v>
      </c>
      <c r="T5277">
        <v>-4.0680170000000002E-3</v>
      </c>
      <c r="U5277">
        <v>0.18568419999999999</v>
      </c>
      <c r="V5277">
        <v>-4.5674550000000001E-2</v>
      </c>
      <c r="W5277">
        <v>0.15857550000000001</v>
      </c>
      <c r="X5277">
        <v>0.98628990000000005</v>
      </c>
      <c r="Y5277">
        <v>-6.0935080000000003E-2</v>
      </c>
      <c r="Z5277">
        <v>3.5131069999999999E-4</v>
      </c>
      <c r="AA5277">
        <v>0.99814159999999996</v>
      </c>
      <c r="AB5277">
        <v>31</v>
      </c>
      <c r="AC5277">
        <v>171.86149999999901</v>
      </c>
      <c r="AD5277">
        <v>-0.23128480000000001</v>
      </c>
      <c r="AE5277">
        <v>10.5541999999999</v>
      </c>
      <c r="AF5277">
        <v>-10.5112290167792</v>
      </c>
      <c r="AG5277">
        <v>-0.23128480000000001</v>
      </c>
      <c r="AH5277">
        <v>171.86382225302299</v>
      </c>
      <c r="AI5277">
        <v>90.076961630010501</v>
      </c>
      <c r="AJ5277">
        <v>93.4998629401166</v>
      </c>
      <c r="AK5277">
        <v>172.18511209602499</v>
      </c>
      <c r="AL5277">
        <v>80.875777736554298</v>
      </c>
      <c r="AM5277">
        <v>92.651442139604697</v>
      </c>
      <c r="AN5277">
        <v>1.0000000602799699</v>
      </c>
    </row>
    <row r="5278" spans="1:40" x14ac:dyDescent="0.25">
      <c r="A5278" t="str">
        <f>"20190303162017156"</f>
        <v>20190303162017156</v>
      </c>
      <c r="B5278" t="str">
        <f>"1551601217147961"</f>
        <v>1551601217147961</v>
      </c>
      <c r="C5278" t="s">
        <v>40</v>
      </c>
      <c r="D5278">
        <v>4.346571</v>
      </c>
      <c r="E5278">
        <v>0.49356290000000003</v>
      </c>
      <c r="F5278" t="s">
        <v>65</v>
      </c>
      <c r="G5278">
        <v>-157.25</v>
      </c>
      <c r="H5278">
        <v>0.84794899999999995</v>
      </c>
      <c r="I5278">
        <v>225.3194</v>
      </c>
      <c r="J5278">
        <v>-328.80259999999998</v>
      </c>
      <c r="K5278">
        <v>1.1210150000000001</v>
      </c>
      <c r="L5278">
        <v>214.74700000000001</v>
      </c>
      <c r="M5278">
        <v>0.99994890000000003</v>
      </c>
      <c r="N5278">
        <v>-1.0118230000000001E-2</v>
      </c>
      <c r="O5278">
        <v>2.391867E-4</v>
      </c>
      <c r="P5278">
        <v>0.98777110000000001</v>
      </c>
      <c r="Q5278">
        <v>0.14870410000000001</v>
      </c>
      <c r="R5278">
        <v>4.6853510000000001E-2</v>
      </c>
      <c r="S5278">
        <v>3.0290530000000002</v>
      </c>
      <c r="T5278">
        <v>-4.8118830000000003E-3</v>
      </c>
      <c r="U5278">
        <v>0.18634029999999999</v>
      </c>
      <c r="V5278">
        <v>-4.6608579999999997E-2</v>
      </c>
      <c r="W5278">
        <v>0.15869359999999999</v>
      </c>
      <c r="X5278">
        <v>0.98622719999999997</v>
      </c>
      <c r="Y5278">
        <v>-6.1162309999999998E-2</v>
      </c>
      <c r="Z5278">
        <v>3.6030170000000001E-4</v>
      </c>
      <c r="AA5278">
        <v>0.99812780000000001</v>
      </c>
      <c r="AB5278">
        <v>31</v>
      </c>
      <c r="AC5278">
        <v>171.55259999999899</v>
      </c>
      <c r="AD5278">
        <v>-0.27306599999999898</v>
      </c>
      <c r="AE5278">
        <v>10.572399999999901</v>
      </c>
      <c r="AF5278">
        <v>-10.531337920147299</v>
      </c>
      <c r="AG5278">
        <v>-0.27306599999999898</v>
      </c>
      <c r="AH5278">
        <v>171.554690989828</v>
      </c>
      <c r="AI5278">
        <v>90.091027062675806</v>
      </c>
      <c r="AJ5278">
        <v>93.512844564211804</v>
      </c>
      <c r="AK5278">
        <v>171.877850940847</v>
      </c>
      <c r="AL5278">
        <v>80.868924267309097</v>
      </c>
      <c r="AM5278">
        <v>92.705755278196193</v>
      </c>
      <c r="AN5278">
        <v>1.0000000542152001</v>
      </c>
    </row>
    <row r="5279" spans="1:40" x14ac:dyDescent="0.25">
      <c r="A5279" t="str">
        <f>"20190303162017178"</f>
        <v>20190303162017178</v>
      </c>
      <c r="B5279" t="str">
        <f>"1551601217167481"</f>
        <v>1551601217167481</v>
      </c>
      <c r="C5279" t="s">
        <v>40</v>
      </c>
      <c r="D5279">
        <v>4.3595230000000003</v>
      </c>
      <c r="E5279">
        <v>0.4936952</v>
      </c>
      <c r="F5279" t="s">
        <v>65</v>
      </c>
      <c r="G5279">
        <v>-157.25</v>
      </c>
      <c r="H5279">
        <v>0.89968199999999998</v>
      </c>
      <c r="I5279">
        <v>225.37119999999999</v>
      </c>
      <c r="J5279">
        <v>-328.5025</v>
      </c>
      <c r="K5279">
        <v>1.121003</v>
      </c>
      <c r="L5279">
        <v>214.74700000000001</v>
      </c>
      <c r="M5279">
        <v>0.99994879999999997</v>
      </c>
      <c r="N5279">
        <v>-1.01288E-2</v>
      </c>
      <c r="O5279">
        <v>2.1757619999999999E-4</v>
      </c>
      <c r="P5279">
        <v>0.9878207</v>
      </c>
      <c r="Q5279">
        <v>0.14810779999999901</v>
      </c>
      <c r="R5279">
        <v>4.769172E-2</v>
      </c>
      <c r="S5279">
        <v>3.0288390000000001</v>
      </c>
      <c r="T5279">
        <v>-3.9067269999999996E-3</v>
      </c>
      <c r="U5279">
        <v>0.1875763</v>
      </c>
      <c r="V5279">
        <v>-4.7465199999999999E-2</v>
      </c>
      <c r="W5279">
        <v>0.15810940000000001</v>
      </c>
      <c r="X5279">
        <v>0.98628009999999999</v>
      </c>
      <c r="Y5279">
        <v>-6.1594049999999997E-2</v>
      </c>
      <c r="Z5279">
        <v>3.538511E-4</v>
      </c>
      <c r="AA5279">
        <v>0.99810120000000002</v>
      </c>
      <c r="AB5279">
        <v>31</v>
      </c>
      <c r="AC5279">
        <v>171.2525</v>
      </c>
      <c r="AD5279">
        <v>-0.22132099999999999</v>
      </c>
      <c r="AE5279">
        <v>10.624199999999901</v>
      </c>
      <c r="AF5279">
        <v>-10.5869197587619</v>
      </c>
      <c r="AG5279">
        <v>-0.22132099999999999</v>
      </c>
      <c r="AH5279">
        <v>171.25452270286399</v>
      </c>
      <c r="AI5279">
        <v>90.073905145875401</v>
      </c>
      <c r="AJ5279">
        <v>93.537511597422906</v>
      </c>
      <c r="AK5279">
        <v>171.58159399874199</v>
      </c>
      <c r="AL5279">
        <v>80.902823791538907</v>
      </c>
      <c r="AM5279">
        <v>92.755260897824797</v>
      </c>
      <c r="AN5279">
        <v>0.99999998161770398</v>
      </c>
    </row>
    <row r="5280" spans="1:40" x14ac:dyDescent="0.25">
      <c r="A5280" t="str">
        <f>"20190303162017193"</f>
        <v>20190303162017193</v>
      </c>
      <c r="B5280" t="str">
        <f>"1551601217187977"</f>
        <v>1551601217187977</v>
      </c>
      <c r="C5280" t="s">
        <v>40</v>
      </c>
      <c r="D5280">
        <v>4.3777379999999999</v>
      </c>
      <c r="E5280">
        <v>0.49384630000000002</v>
      </c>
      <c r="F5280" t="s">
        <v>65</v>
      </c>
      <c r="G5280">
        <v>-157.25</v>
      </c>
      <c r="H5280">
        <v>0.867430699999999</v>
      </c>
      <c r="I5280">
        <v>225.41900000000001</v>
      </c>
      <c r="J5280">
        <v>-328.29610000000002</v>
      </c>
      <c r="K5280">
        <v>1.1209960000000001</v>
      </c>
      <c r="L5280">
        <v>214.74709999999999</v>
      </c>
      <c r="M5280">
        <v>0.99994859999999997</v>
      </c>
      <c r="N5280">
        <v>-1.0136010000000001E-2</v>
      </c>
      <c r="O5280">
        <v>1.9455930000000001E-4</v>
      </c>
      <c r="P5280">
        <v>0.98785789999999996</v>
      </c>
      <c r="Q5280">
        <v>0.14773599999999901</v>
      </c>
      <c r="R5280">
        <v>4.8073909999999997E-2</v>
      </c>
      <c r="S5280">
        <v>3.0286249999999999</v>
      </c>
      <c r="T5280">
        <v>-4.4834609999999898E-3</v>
      </c>
      <c r="U5280">
        <v>0.18873599999999999</v>
      </c>
      <c r="V5280">
        <v>-4.7867300000000002E-2</v>
      </c>
      <c r="W5280">
        <v>0.15774589999999999</v>
      </c>
      <c r="X5280">
        <v>0.9863189</v>
      </c>
      <c r="Y5280">
        <v>-6.2002000000000002E-2</v>
      </c>
      <c r="Z5280">
        <v>3.6207090000000002E-4</v>
      </c>
      <c r="AA5280">
        <v>0.99807599999999996</v>
      </c>
      <c r="AB5280">
        <v>31</v>
      </c>
      <c r="AC5280">
        <v>171.0461</v>
      </c>
      <c r="AD5280">
        <v>-0.25356529999999999</v>
      </c>
      <c r="AE5280">
        <v>10.671900000000001</v>
      </c>
      <c r="AF5280">
        <v>-10.6385961895629</v>
      </c>
      <c r="AG5280">
        <v>-0.25356529999999999</v>
      </c>
      <c r="AH5280">
        <v>171.04779874536499</v>
      </c>
      <c r="AI5280">
        <v>90.084772745856696</v>
      </c>
      <c r="AJ5280">
        <v>93.559019707488602</v>
      </c>
      <c r="AK5280">
        <v>171.37850938749801</v>
      </c>
      <c r="AL5280">
        <v>80.923915753507998</v>
      </c>
      <c r="AM5280">
        <v>92.778456449448996</v>
      </c>
      <c r="AN5280">
        <v>1.0000000099366499</v>
      </c>
    </row>
    <row r="5281" spans="1:40" x14ac:dyDescent="0.25">
      <c r="A5281" t="str">
        <f>"20190303162017214"</f>
        <v>20190303162017214</v>
      </c>
      <c r="B5281" t="str">
        <f>"1551601217207497"</f>
        <v>1551601217207497</v>
      </c>
      <c r="C5281" t="s">
        <v>40</v>
      </c>
      <c r="D5281">
        <v>4.3878269999999997</v>
      </c>
      <c r="E5281">
        <v>0.49389959999999999</v>
      </c>
      <c r="F5281" t="s">
        <v>65</v>
      </c>
      <c r="G5281">
        <v>-157.25</v>
      </c>
      <c r="H5281">
        <v>0.79746249999999996</v>
      </c>
      <c r="I5281">
        <v>225.39869999999999</v>
      </c>
      <c r="J5281">
        <v>-328.00560000000002</v>
      </c>
      <c r="K5281">
        <v>1.1209830000000001</v>
      </c>
      <c r="L5281">
        <v>214.74709999999999</v>
      </c>
      <c r="M5281">
        <v>0.99994859999999997</v>
      </c>
      <c r="N5281">
        <v>-1.0145980000000001E-2</v>
      </c>
      <c r="O5281">
        <v>1.4947219999999901E-4</v>
      </c>
      <c r="P5281">
        <v>0.98790449999999996</v>
      </c>
      <c r="Q5281">
        <v>0.14734939999999999</v>
      </c>
      <c r="R5281">
        <v>4.8304149999999997E-2</v>
      </c>
      <c r="S5281">
        <v>3.0285639999999998</v>
      </c>
      <c r="T5281">
        <v>-5.7275299999999998E-3</v>
      </c>
      <c r="U5281">
        <v>0.18859860000000001</v>
      </c>
      <c r="V5281">
        <v>-4.8137359999999997E-2</v>
      </c>
      <c r="W5281">
        <v>0.15737110000000001</v>
      </c>
      <c r="X5281">
        <v>0.98636559999999995</v>
      </c>
      <c r="Y5281">
        <v>-6.2002990000000001E-2</v>
      </c>
      <c r="Z5281">
        <v>3.7465969999999997E-4</v>
      </c>
      <c r="AA5281">
        <v>0.99807590000000002</v>
      </c>
      <c r="AB5281">
        <v>31</v>
      </c>
      <c r="AC5281">
        <v>170.75559999999999</v>
      </c>
      <c r="AD5281">
        <v>-0.32352049999999999</v>
      </c>
      <c r="AE5281">
        <v>10.6516</v>
      </c>
      <c r="AF5281">
        <v>-10.626037358083099</v>
      </c>
      <c r="AG5281">
        <v>-0.32352049999999999</v>
      </c>
      <c r="AH5281">
        <v>170.75657970947799</v>
      </c>
      <c r="AI5281">
        <v>90.108344582655405</v>
      </c>
      <c r="AJ5281">
        <v>93.560876118786396</v>
      </c>
      <c r="AK5281">
        <v>171.08719078156801</v>
      </c>
      <c r="AL5281">
        <v>80.945661578898097</v>
      </c>
      <c r="AM5281">
        <v>92.7939752263282</v>
      </c>
      <c r="AN5281">
        <v>0.99999998270316903</v>
      </c>
    </row>
    <row r="5282" spans="1:40" x14ac:dyDescent="0.25">
      <c r="A5282" t="str">
        <f>"20190303162017236"</f>
        <v>20190303162017236</v>
      </c>
      <c r="B5282" t="str">
        <f>"1551601217227993"</f>
        <v>1551601217227993</v>
      </c>
      <c r="C5282" t="s">
        <v>40</v>
      </c>
      <c r="D5282">
        <v>4.3974149999999996</v>
      </c>
      <c r="E5282">
        <v>0.49394589999999999</v>
      </c>
      <c r="F5282" t="s">
        <v>65</v>
      </c>
      <c r="G5282">
        <v>-157.25</v>
      </c>
      <c r="H5282">
        <v>0.70280929999999997</v>
      </c>
      <c r="I5282">
        <v>225.40289999999999</v>
      </c>
      <c r="J5282">
        <v>-327.68759999999997</v>
      </c>
      <c r="K5282">
        <v>1.1209629999999999</v>
      </c>
      <c r="L5282">
        <v>214.74709999999999</v>
      </c>
      <c r="M5282">
        <v>0.99994839999999996</v>
      </c>
      <c r="N5282">
        <v>-1.0156689999999999E-2</v>
      </c>
      <c r="O5282" s="1">
        <v>8.4211759999999996E-5</v>
      </c>
      <c r="P5282">
        <v>0.98794110000000002</v>
      </c>
      <c r="Q5282">
        <v>0.14731949999999999</v>
      </c>
      <c r="R5282">
        <v>4.763833E-2</v>
      </c>
      <c r="S5282">
        <v>3.0285950000000001</v>
      </c>
      <c r="T5282">
        <v>-7.415891E-3</v>
      </c>
      <c r="U5282">
        <v>0.18899540000000001</v>
      </c>
      <c r="V5282">
        <v>-4.7530749999999997E-2</v>
      </c>
      <c r="W5282">
        <v>0.15735360000000001</v>
      </c>
      <c r="X5282">
        <v>0.98639779999999999</v>
      </c>
      <c r="Y5282">
        <v>-6.2197490000000001E-2</v>
      </c>
      <c r="Z5282">
        <v>3.9290130000000002E-4</v>
      </c>
      <c r="AA5282">
        <v>0.99806379999999995</v>
      </c>
      <c r="AB5282">
        <v>31</v>
      </c>
      <c r="AC5282">
        <v>170.43759999999901</v>
      </c>
      <c r="AD5282">
        <v>-0.41815369999999902</v>
      </c>
      <c r="AE5282">
        <v>10.655799999999999</v>
      </c>
      <c r="AF5282">
        <v>-10.641382567797899</v>
      </c>
      <c r="AG5282">
        <v>-0.41815369999999902</v>
      </c>
      <c r="AH5282">
        <v>170.43747487732</v>
      </c>
      <c r="AI5282">
        <v>90.140296803362006</v>
      </c>
      <c r="AJ5282">
        <v>93.572664415242798</v>
      </c>
      <c r="AK5282">
        <v>170.76986478307001</v>
      </c>
      <c r="AL5282">
        <v>80.946676823217203</v>
      </c>
      <c r="AM5282">
        <v>92.758731359190094</v>
      </c>
      <c r="AN5282">
        <v>0.99999997373668004</v>
      </c>
    </row>
    <row r="5283" spans="1:40" x14ac:dyDescent="0.25">
      <c r="A5283" t="str">
        <f>"20190303162017258"</f>
        <v>20190303162017258</v>
      </c>
      <c r="B5283" t="str">
        <f>"1551601217247513"</f>
        <v>1551601217247513</v>
      </c>
      <c r="C5283" t="s">
        <v>40</v>
      </c>
      <c r="D5283">
        <v>4.4470099999999997</v>
      </c>
      <c r="E5283">
        <v>0.50004420000000005</v>
      </c>
      <c r="F5283" t="s">
        <v>65</v>
      </c>
      <c r="G5283">
        <v>-168.35059999999999</v>
      </c>
      <c r="H5283">
        <v>0.68541339999999995</v>
      </c>
      <c r="I5283">
        <v>224.57859999999999</v>
      </c>
      <c r="J5283">
        <v>-327.3854</v>
      </c>
      <c r="K5283">
        <v>1.120951</v>
      </c>
      <c r="L5283">
        <v>214.74700000000001</v>
      </c>
      <c r="M5283">
        <v>0.99994839999999996</v>
      </c>
      <c r="N5283">
        <v>-1.016687E-2</v>
      </c>
      <c r="O5283" s="1">
        <v>8.4925560000000003E-6</v>
      </c>
      <c r="P5283">
        <v>0.98806780000000005</v>
      </c>
      <c r="Q5283">
        <v>0.1468952</v>
      </c>
      <c r="R5283">
        <v>4.6301679999999998E-2</v>
      </c>
      <c r="S5283">
        <v>3.02887</v>
      </c>
      <c r="T5283">
        <v>-8.2783700000000002E-3</v>
      </c>
      <c r="U5283">
        <v>0.18688959999999999</v>
      </c>
      <c r="V5283">
        <v>-4.626429E-2</v>
      </c>
      <c r="W5283">
        <v>0.15694159999999999</v>
      </c>
      <c r="X5283">
        <v>0.9865237</v>
      </c>
      <c r="Y5283">
        <v>-6.157609E-2</v>
      </c>
      <c r="Z5283">
        <v>3.9745779999999999E-4</v>
      </c>
      <c r="AA5283">
        <v>0.9981023</v>
      </c>
      <c r="AB5283">
        <v>31</v>
      </c>
      <c r="AC5283">
        <v>159.03479999999999</v>
      </c>
      <c r="AD5283">
        <v>-0.43553760000000002</v>
      </c>
      <c r="AE5283">
        <v>9.8315999999999804</v>
      </c>
      <c r="AF5283">
        <v>-9.8301758714126599</v>
      </c>
      <c r="AG5283">
        <v>-0.43553760000000002</v>
      </c>
      <c r="AH5283">
        <v>159.03369526671599</v>
      </c>
      <c r="AI5283">
        <v>90.156613782294997</v>
      </c>
      <c r="AJ5283">
        <v>93.537061238343398</v>
      </c>
      <c r="AK5283">
        <v>159.33781183652101</v>
      </c>
      <c r="AL5283">
        <v>80.970580191923304</v>
      </c>
      <c r="AM5283">
        <v>92.684991642989104</v>
      </c>
      <c r="AN5283">
        <v>1.0000000305007199</v>
      </c>
    </row>
    <row r="5284" spans="1:40" x14ac:dyDescent="0.25">
      <c r="A5284" t="str">
        <f>"20190303162017279"</f>
        <v>20190303162017279</v>
      </c>
      <c r="B5284" t="str">
        <f>"1551601217268008"</f>
        <v>1551601217268008</v>
      </c>
      <c r="C5284" t="s">
        <v>40</v>
      </c>
      <c r="D5284">
        <v>4.3991389999999999</v>
      </c>
      <c r="E5284">
        <v>0.51246829999999999</v>
      </c>
      <c r="F5284" t="s">
        <v>56</v>
      </c>
      <c r="G5284">
        <v>-286.92070000000001</v>
      </c>
      <c r="H5284" s="1">
        <v>3.7936080000000002E-6</v>
      </c>
      <c r="I5284">
        <v>216.53120000000001</v>
      </c>
      <c r="J5284">
        <v>-327.08589999999998</v>
      </c>
      <c r="K5284">
        <v>1.12094</v>
      </c>
      <c r="L5284">
        <v>214.74690000000001</v>
      </c>
      <c r="M5284">
        <v>0.99994830000000001</v>
      </c>
      <c r="N5284">
        <v>-1.017697E-2</v>
      </c>
      <c r="O5284" s="1">
        <v>-7.7863549999999994E-5</v>
      </c>
      <c r="P5284">
        <v>0.98816099999999996</v>
      </c>
      <c r="Q5284">
        <v>0.14668800000000001</v>
      </c>
      <c r="R5284">
        <v>4.4949429999999999E-2</v>
      </c>
      <c r="S5284">
        <v>3.0425110000000002</v>
      </c>
      <c r="T5284">
        <v>-8.4283109999999994E-2</v>
      </c>
      <c r="U5284">
        <v>0.13415529999999901</v>
      </c>
      <c r="V5284">
        <v>-4.4993669999999999E-2</v>
      </c>
      <c r="W5284">
        <v>0.15674660000000001</v>
      </c>
      <c r="X5284">
        <v>0.98661350000000003</v>
      </c>
      <c r="Y5284">
        <v>-4.4105480000000002E-2</v>
      </c>
      <c r="Z5284">
        <v>8.3645469999999995E-4</v>
      </c>
      <c r="AA5284">
        <v>0.99902650000000004</v>
      </c>
      <c r="AB5284">
        <v>31</v>
      </c>
      <c r="AC5284">
        <v>40.165199999999899</v>
      </c>
      <c r="AD5284">
        <v>-1.1209362063920001</v>
      </c>
      <c r="AE5284">
        <v>1.7843</v>
      </c>
      <c r="AF5284">
        <v>-1.78603921862337</v>
      </c>
      <c r="AG5284">
        <v>-1.1209362063920001</v>
      </c>
      <c r="AH5284">
        <v>40.1338636638745</v>
      </c>
      <c r="AI5284">
        <v>91.598270454703794</v>
      </c>
      <c r="AJ5284">
        <v>92.548098435741295</v>
      </c>
      <c r="AK5284">
        <v>40.189220528143203</v>
      </c>
      <c r="AL5284">
        <v>80.981893174027803</v>
      </c>
      <c r="AM5284">
        <v>92.6111161771437</v>
      </c>
      <c r="AN5284">
        <v>1.0000000626669301</v>
      </c>
    </row>
    <row r="5285" spans="1:40" x14ac:dyDescent="0.25">
      <c r="A5285" t="str">
        <f>"20190303162017302"</f>
        <v>20190303162017302</v>
      </c>
      <c r="B5285" t="str">
        <f>"1551601217297289"</f>
        <v>1551601217297289</v>
      </c>
      <c r="C5285" t="s">
        <v>40</v>
      </c>
      <c r="D5285">
        <v>4.4552110000000003</v>
      </c>
      <c r="E5285">
        <v>0.52093849999999997</v>
      </c>
      <c r="F5285" t="s">
        <v>56</v>
      </c>
      <c r="G5285">
        <v>-315.00510000000003</v>
      </c>
      <c r="H5285" s="1">
        <v>3.1251989999999999E-6</v>
      </c>
      <c r="I5285">
        <v>214.86179999999999</v>
      </c>
      <c r="J5285">
        <v>-326.7688</v>
      </c>
      <c r="K5285">
        <v>1.1209340000000001</v>
      </c>
      <c r="L5285">
        <v>214.74680000000001</v>
      </c>
      <c r="M5285">
        <v>0.99994810000000001</v>
      </c>
      <c r="N5285">
        <v>-1.018759E-2</v>
      </c>
      <c r="O5285">
        <v>-1.776627E-4</v>
      </c>
      <c r="P5285">
        <v>0.9882225</v>
      </c>
      <c r="Q5285">
        <v>0.14668239999999999</v>
      </c>
      <c r="R5285">
        <v>4.3600270000000003E-2</v>
      </c>
      <c r="S5285">
        <v>3.077026</v>
      </c>
      <c r="T5285">
        <v>-0.2855066</v>
      </c>
      <c r="U5285">
        <v>2.9266360000000002E-2</v>
      </c>
      <c r="V5285">
        <v>-4.3740790000000002E-2</v>
      </c>
      <c r="W5285">
        <v>0.15675220000000001</v>
      </c>
      <c r="X5285">
        <v>0.98666889999999996</v>
      </c>
      <c r="Y5285">
        <v>-9.641897E-3</v>
      </c>
      <c r="Z5285">
        <v>5.1022610000000005E-4</v>
      </c>
      <c r="AA5285">
        <v>0.99995339999999999</v>
      </c>
      <c r="AB5285">
        <v>31</v>
      </c>
      <c r="AC5285">
        <v>11.763699999999901</v>
      </c>
      <c r="AD5285">
        <v>-1.1209308748010001</v>
      </c>
      <c r="AE5285">
        <v>0.11499999999997999</v>
      </c>
      <c r="AF5285">
        <v>-0.116036604615571</v>
      </c>
      <c r="AG5285">
        <v>-1.1209308748010001</v>
      </c>
      <c r="AH5285">
        <v>11.6578402234843</v>
      </c>
      <c r="AI5285">
        <v>95.491979664788502</v>
      </c>
      <c r="AJ5285">
        <v>90.570276143832999</v>
      </c>
      <c r="AK5285">
        <v>11.712181231349801</v>
      </c>
      <c r="AL5285">
        <v>80.981567855282506</v>
      </c>
      <c r="AM5285">
        <v>92.538361957041104</v>
      </c>
      <c r="AN5285">
        <v>1.0000000135709299</v>
      </c>
    </row>
    <row r="5286" spans="1:40" x14ac:dyDescent="0.25">
      <c r="A5286" t="str">
        <f>"20190303162017324"</f>
        <v>20190303162017324</v>
      </c>
      <c r="B5286" t="str">
        <f>"1551601217317786"</f>
        <v>1551601217317786</v>
      </c>
      <c r="C5286" t="s">
        <v>40</v>
      </c>
      <c r="D5286">
        <v>4.4587000000000003</v>
      </c>
      <c r="E5286">
        <v>0.52310049999999997</v>
      </c>
      <c r="F5286" t="s">
        <v>42</v>
      </c>
      <c r="G5286">
        <v>-326.01220000000001</v>
      </c>
      <c r="H5286">
        <v>0.99975380000000003</v>
      </c>
      <c r="I5286">
        <v>214.73580000000001</v>
      </c>
      <c r="J5286">
        <v>-326.44810000000001</v>
      </c>
      <c r="K5286">
        <v>1.120933</v>
      </c>
      <c r="L5286">
        <v>214.7466</v>
      </c>
      <c r="M5286">
        <v>0.99994799999999995</v>
      </c>
      <c r="N5286">
        <v>-1.019808E-2</v>
      </c>
      <c r="O5286">
        <v>-2.8410520000000001E-4</v>
      </c>
      <c r="P5286">
        <v>0.98824780000000001</v>
      </c>
      <c r="Q5286">
        <v>0.14677399999999999</v>
      </c>
      <c r="R5286">
        <v>4.2709469999999999E-2</v>
      </c>
      <c r="S5286">
        <v>3.1117249999999999</v>
      </c>
      <c r="T5286">
        <v>-0.49850749999999999</v>
      </c>
      <c r="U5286">
        <v>-4.4433590000000002E-2</v>
      </c>
      <c r="V5286">
        <v>-4.2953419999999999E-2</v>
      </c>
      <c r="W5286">
        <v>0.15685489999999999</v>
      </c>
      <c r="X5286">
        <v>0.98668719999999999</v>
      </c>
      <c r="Y5286">
        <v>1.380963E-2</v>
      </c>
      <c r="Z5286">
        <v>-1.1276610000000001E-3</v>
      </c>
      <c r="AA5286">
        <v>0.99990400000000002</v>
      </c>
      <c r="AB5286">
        <v>32</v>
      </c>
      <c r="AC5286">
        <v>0.43590000000000301</v>
      </c>
      <c r="AD5286">
        <v>-0.121179199999999</v>
      </c>
      <c r="AE5286">
        <v>-1.0799999999989001E-2</v>
      </c>
      <c r="AF5286">
        <v>9.9106959733935903E-3</v>
      </c>
      <c r="AG5286">
        <v>-0.121179199999999</v>
      </c>
      <c r="AH5286">
        <v>0.40464979741419799</v>
      </c>
      <c r="AI5286">
        <v>106.666494394369</v>
      </c>
      <c r="AJ5286">
        <v>88.596990399740605</v>
      </c>
      <c r="AK5286">
        <v>0.42252109882782002</v>
      </c>
      <c r="AL5286">
        <v>80.975610147974606</v>
      </c>
      <c r="AM5286">
        <v>92.492681354609104</v>
      </c>
      <c r="AN5286">
        <v>1.0000000432937699</v>
      </c>
    </row>
    <row r="5287" spans="1:40" x14ac:dyDescent="0.25">
      <c r="A5287" t="str">
        <f>"20190303162017347"</f>
        <v>20190303162017347</v>
      </c>
      <c r="B5287" t="str">
        <f>"1551601217337305"</f>
        <v>1551601217337305</v>
      </c>
      <c r="C5287" t="s">
        <v>40</v>
      </c>
      <c r="D5287">
        <v>4.4954190000000001</v>
      </c>
      <c r="E5287">
        <v>0.52407999999999999</v>
      </c>
      <c r="F5287" t="s">
        <v>42</v>
      </c>
      <c r="G5287">
        <v>-325.7373</v>
      </c>
      <c r="H5287">
        <v>0.98480109999999998</v>
      </c>
      <c r="I5287">
        <v>214.73159999999999</v>
      </c>
      <c r="J5287">
        <v>-326.14139999999998</v>
      </c>
      <c r="K5287">
        <v>1.1209290000000001</v>
      </c>
      <c r="L5287">
        <v>214.74639999999999</v>
      </c>
      <c r="M5287">
        <v>0.9999479</v>
      </c>
      <c r="N5287">
        <v>-1.0208E-2</v>
      </c>
      <c r="O5287">
        <v>-3.8885189999999999E-4</v>
      </c>
      <c r="P5287">
        <v>0.98824829999999997</v>
      </c>
      <c r="Q5287">
        <v>0.1469656</v>
      </c>
      <c r="R5287">
        <v>4.2032840000000002E-2</v>
      </c>
      <c r="S5287">
        <v>3.127472</v>
      </c>
      <c r="T5287">
        <v>-0.59904849999999998</v>
      </c>
      <c r="U5287">
        <v>-6.5155030000000003E-2</v>
      </c>
      <c r="V5287">
        <v>-4.2379449999999999E-2</v>
      </c>
      <c r="W5287">
        <v>0.15705649999999999</v>
      </c>
      <c r="X5287">
        <v>0.98667990000000005</v>
      </c>
      <c r="Y5287">
        <v>2.0061809999999999E-2</v>
      </c>
      <c r="Z5287">
        <v>-1.937364E-3</v>
      </c>
      <c r="AA5287">
        <v>0.99979689999999999</v>
      </c>
      <c r="AB5287">
        <v>32</v>
      </c>
      <c r="AC5287">
        <v>0.40409999999997098</v>
      </c>
      <c r="AD5287">
        <v>-0.136127899999999</v>
      </c>
      <c r="AE5287">
        <v>-1.48000000000081E-2</v>
      </c>
      <c r="AF5287">
        <v>1.31523371655874E-2</v>
      </c>
      <c r="AG5287">
        <v>-0.136127899999999</v>
      </c>
      <c r="AH5287">
        <v>0.36297119007973799</v>
      </c>
      <c r="AI5287">
        <v>110.545585515055</v>
      </c>
      <c r="AJ5287">
        <v>87.924783346633106</v>
      </c>
      <c r="AK5287">
        <v>0.38788126270706702</v>
      </c>
      <c r="AL5287">
        <v>80.9639139039935</v>
      </c>
      <c r="AM5287">
        <v>92.459431964497597</v>
      </c>
      <c r="AN5287">
        <v>0.99999999351928104</v>
      </c>
    </row>
    <row r="5288" spans="1:40" x14ac:dyDescent="0.25">
      <c r="A5288" t="str">
        <f>"20190303162017361"</f>
        <v>20190303162017361</v>
      </c>
      <c r="B5288" t="str">
        <f>"1551601217357802"</f>
        <v>1551601217357802</v>
      </c>
      <c r="C5288" t="s">
        <v>40</v>
      </c>
      <c r="D5288">
        <v>4.499161</v>
      </c>
      <c r="E5288">
        <v>0.52575249999999996</v>
      </c>
      <c r="F5288" t="s">
        <v>42</v>
      </c>
      <c r="G5288">
        <v>-325.20030000000003</v>
      </c>
      <c r="H5288">
        <v>0.92507709999999999</v>
      </c>
      <c r="I5288">
        <v>214.72370000000001</v>
      </c>
      <c r="J5288">
        <v>-325.92360000000002</v>
      </c>
      <c r="K5288">
        <v>1.1209290000000001</v>
      </c>
      <c r="L5288">
        <v>214.74619999999999</v>
      </c>
      <c r="M5288">
        <v>0.99994780000000005</v>
      </c>
      <c r="N5288">
        <v>-1.0215E-2</v>
      </c>
      <c r="O5288">
        <v>-4.636466E-4</v>
      </c>
      <c r="P5288">
        <v>0.98825949999999996</v>
      </c>
      <c r="Q5288">
        <v>0.14696779999999901</v>
      </c>
      <c r="R5288">
        <v>4.1760270000000002E-2</v>
      </c>
      <c r="S5288">
        <v>3.1359249999999999</v>
      </c>
      <c r="T5288">
        <v>-0.65272299999999905</v>
      </c>
      <c r="U5288">
        <v>-7.4890139999999994E-2</v>
      </c>
      <c r="V5288">
        <v>-4.2180370000000002E-2</v>
      </c>
      <c r="W5288">
        <v>0.1570655</v>
      </c>
      <c r="X5288">
        <v>0.98668699999999998</v>
      </c>
      <c r="Y5288">
        <v>2.290474E-2</v>
      </c>
      <c r="Z5288">
        <v>-2.3856659999999998E-3</v>
      </c>
      <c r="AA5288">
        <v>0.99973480000000003</v>
      </c>
      <c r="AB5288">
        <v>32</v>
      </c>
      <c r="AC5288">
        <v>0.72329999999999395</v>
      </c>
      <c r="AD5288">
        <v>-0.1958519</v>
      </c>
      <c r="AE5288">
        <v>-2.2499999999979502E-2</v>
      </c>
      <c r="AF5288">
        <v>2.06519040175045E-2</v>
      </c>
      <c r="AG5288">
        <v>-0.1958519</v>
      </c>
      <c r="AH5288">
        <v>0.67394491641843401</v>
      </c>
      <c r="AI5288">
        <v>106.196935587073</v>
      </c>
      <c r="AJ5288">
        <v>88.244816822080395</v>
      </c>
      <c r="AK5288">
        <v>0.70212977307575297</v>
      </c>
      <c r="AL5288">
        <v>80.963391779083295</v>
      </c>
      <c r="AM5288">
        <v>92.447875129694197</v>
      </c>
      <c r="AN5288">
        <v>0.99999999543629303</v>
      </c>
    </row>
    <row r="5289" spans="1:40" x14ac:dyDescent="0.25">
      <c r="A5289" t="str">
        <f>"20190303162017381"</f>
        <v>20190303162017381</v>
      </c>
      <c r="B5289" t="str">
        <f>"1551601217367561"</f>
        <v>1551601217367561</v>
      </c>
      <c r="C5289" t="s">
        <v>40</v>
      </c>
      <c r="D5289">
        <v>4.4983500000000003</v>
      </c>
      <c r="E5289">
        <v>0.52641610000000005</v>
      </c>
      <c r="F5289" t="s">
        <v>42</v>
      </c>
      <c r="G5289">
        <v>-325.18360000000001</v>
      </c>
      <c r="H5289">
        <v>0.96104690000000004</v>
      </c>
      <c r="I5289">
        <v>214.72489999999999</v>
      </c>
      <c r="J5289">
        <v>-325.65370000000001</v>
      </c>
      <c r="K5289">
        <v>1.1209260000000001</v>
      </c>
      <c r="L5289">
        <v>214.74600000000001</v>
      </c>
      <c r="M5289">
        <v>0.99994769999999999</v>
      </c>
      <c r="N5289">
        <v>-1.0223650000000001E-2</v>
      </c>
      <c r="O5289">
        <v>-5.5645379999999999E-4</v>
      </c>
      <c r="P5289">
        <v>0.98821680000000001</v>
      </c>
      <c r="Q5289">
        <v>0.14720259999999999</v>
      </c>
      <c r="R5289">
        <v>4.1946299999999999E-2</v>
      </c>
      <c r="S5289">
        <v>3.1402890000000001</v>
      </c>
      <c r="T5289">
        <v>-0.67850379999999999</v>
      </c>
      <c r="U5289">
        <v>-8.9462280000000005E-2</v>
      </c>
      <c r="V5289">
        <v>-4.245724E-2</v>
      </c>
      <c r="W5289">
        <v>0.15730839999999999</v>
      </c>
      <c r="X5289">
        <v>0.98663650000000003</v>
      </c>
      <c r="Y5289">
        <v>2.727307E-2</v>
      </c>
      <c r="Z5289">
        <v>-2.9400920000000001E-3</v>
      </c>
      <c r="AA5289">
        <v>0.9996237</v>
      </c>
      <c r="AB5289">
        <v>32</v>
      </c>
      <c r="AC5289">
        <v>0.47010000000000202</v>
      </c>
      <c r="AD5289">
        <v>-0.159879099999999</v>
      </c>
      <c r="AE5289">
        <v>-2.1099999999989901E-2</v>
      </c>
      <c r="AF5289">
        <v>1.8681892862595102E-2</v>
      </c>
      <c r="AG5289">
        <v>-0.159879099999999</v>
      </c>
      <c r="AH5289">
        <v>0.42146125877805801</v>
      </c>
      <c r="AI5289">
        <v>110.755334714277</v>
      </c>
      <c r="AJ5289">
        <v>87.461941357918704</v>
      </c>
      <c r="AK5289">
        <v>0.45115400074533901</v>
      </c>
      <c r="AL5289">
        <v>80.949300099399906</v>
      </c>
      <c r="AM5289">
        <v>92.464049089264506</v>
      </c>
      <c r="AN5289">
        <v>1.0000000665356099</v>
      </c>
    </row>
    <row r="5290" spans="1:40" x14ac:dyDescent="0.25">
      <c r="A5290" t="str">
        <f>"20190303162017403"</f>
        <v>20190303162017403</v>
      </c>
      <c r="B5290" t="str">
        <f>"1551601217397817"</f>
        <v>1551601217397817</v>
      </c>
      <c r="C5290" t="s">
        <v>40</v>
      </c>
      <c r="D5290">
        <v>4.5282859999999996</v>
      </c>
      <c r="E5290">
        <v>0.5275493</v>
      </c>
      <c r="F5290" t="s">
        <v>42</v>
      </c>
      <c r="G5290">
        <v>-324.90249999999997</v>
      </c>
      <c r="H5290">
        <v>0.95688220000000002</v>
      </c>
      <c r="I5290">
        <v>214.72309999999999</v>
      </c>
      <c r="J5290">
        <v>-325.3313</v>
      </c>
      <c r="K5290">
        <v>1.1209229999999999</v>
      </c>
      <c r="L5290">
        <v>214.7458</v>
      </c>
      <c r="M5290">
        <v>0.99994740000000004</v>
      </c>
      <c r="N5290">
        <v>-1.0233799999999999E-2</v>
      </c>
      <c r="O5290">
        <v>-6.6596289999999996E-4</v>
      </c>
      <c r="P5290">
        <v>0.98828099999999997</v>
      </c>
      <c r="Q5290">
        <v>0.14646809999999999</v>
      </c>
      <c r="R5290">
        <v>4.2985160000000001E-2</v>
      </c>
      <c r="S5290">
        <v>3.142029</v>
      </c>
      <c r="T5290">
        <v>-0.68627099999999996</v>
      </c>
      <c r="U5290">
        <v>-9.4741820000000004E-2</v>
      </c>
      <c r="V5290">
        <v>-4.3603639999999999E-2</v>
      </c>
      <c r="W5290">
        <v>0.1565851</v>
      </c>
      <c r="X5290">
        <v>0.98670150000000001</v>
      </c>
      <c r="Y5290">
        <v>2.8777560000000001E-2</v>
      </c>
      <c r="Z5290">
        <v>-3.1175450000000002E-3</v>
      </c>
      <c r="AA5290">
        <v>0.99958100000000005</v>
      </c>
      <c r="AB5290">
        <v>32</v>
      </c>
      <c r="AC5290">
        <v>0.428800000000023</v>
      </c>
      <c r="AD5290">
        <v>-0.16404079999999899</v>
      </c>
      <c r="AE5290">
        <v>-2.2700000000014601E-2</v>
      </c>
      <c r="AF5290">
        <v>1.9559824927290699E-2</v>
      </c>
      <c r="AG5290">
        <v>-0.16404079999999899</v>
      </c>
      <c r="AH5290">
        <v>0.37420324080199802</v>
      </c>
      <c r="AI5290">
        <v>113.64264469886</v>
      </c>
      <c r="AJ5290">
        <v>87.007838778489997</v>
      </c>
      <c r="AK5290">
        <v>0.409047718784183</v>
      </c>
      <c r="AL5290">
        <v>80.991261659305806</v>
      </c>
      <c r="AM5290">
        <v>92.530329746277104</v>
      </c>
      <c r="AN5290">
        <v>1.00000001053275</v>
      </c>
    </row>
    <row r="5291" spans="1:40" x14ac:dyDescent="0.25">
      <c r="A5291" t="str">
        <f>"20190303162017425"</f>
        <v>20190303162017425</v>
      </c>
      <c r="B5291" t="str">
        <f>"1551601217417337"</f>
        <v>1551601217417337</v>
      </c>
      <c r="C5291" t="s">
        <v>40</v>
      </c>
      <c r="D5291">
        <v>4.5387810000000002</v>
      </c>
      <c r="E5291">
        <v>0.52789849999999905</v>
      </c>
      <c r="F5291" t="s">
        <v>42</v>
      </c>
      <c r="G5291">
        <v>-324.61759999999998</v>
      </c>
      <c r="H5291">
        <v>0.9601982</v>
      </c>
      <c r="I5291">
        <v>214.7225</v>
      </c>
      <c r="J5291">
        <v>-325.02249999999998</v>
      </c>
      <c r="K5291">
        <v>1.1209199999999999</v>
      </c>
      <c r="L5291">
        <v>214.74549999999999</v>
      </c>
      <c r="M5291">
        <v>0.99994729999999998</v>
      </c>
      <c r="N5291">
        <v>-1.024336E-2</v>
      </c>
      <c r="O5291">
        <v>-7.7045849999999997E-4</v>
      </c>
      <c r="P5291">
        <v>0.98828919999999998</v>
      </c>
      <c r="Q5291">
        <v>0.14605839999999901</v>
      </c>
      <c r="R5291">
        <v>4.4176600000000003E-2</v>
      </c>
      <c r="S5291">
        <v>3.1449579999999999</v>
      </c>
      <c r="T5291">
        <v>-0.70818539999999996</v>
      </c>
      <c r="U5291">
        <v>-0.1016083</v>
      </c>
      <c r="V5291">
        <v>-4.4897989999999999E-2</v>
      </c>
      <c r="W5291">
        <v>0.1561852</v>
      </c>
      <c r="X5291">
        <v>0.98670679999999999</v>
      </c>
      <c r="Y5291">
        <v>3.0734230000000001E-2</v>
      </c>
      <c r="Z5291">
        <v>-3.4127229999999999E-3</v>
      </c>
      <c r="AA5291">
        <v>0.99952180000000002</v>
      </c>
      <c r="AB5291">
        <v>32</v>
      </c>
      <c r="AC5291">
        <v>0.40489999999999698</v>
      </c>
      <c r="AD5291">
        <v>-0.1607218</v>
      </c>
      <c r="AE5291">
        <v>-2.29999999999961E-2</v>
      </c>
      <c r="AF5291">
        <v>1.96083986634654E-2</v>
      </c>
      <c r="AG5291">
        <v>-0.1607218</v>
      </c>
      <c r="AH5291">
        <v>0.34995501544871799</v>
      </c>
      <c r="AI5291">
        <v>114.633583150875</v>
      </c>
      <c r="AJ5291">
        <v>86.793002162512906</v>
      </c>
      <c r="AK5291">
        <v>0.38559629034924298</v>
      </c>
      <c r="AL5291">
        <v>81.014459368657398</v>
      </c>
      <c r="AM5291">
        <v>92.605325207743107</v>
      </c>
      <c r="AN5291">
        <v>0.99999997768565896</v>
      </c>
    </row>
    <row r="5292" spans="1:40" x14ac:dyDescent="0.25">
      <c r="A5292" t="str">
        <f>"20190303162017446"</f>
        <v>20190303162017446</v>
      </c>
      <c r="B5292" t="str">
        <f>"1551601217437833"</f>
        <v>1551601217437833</v>
      </c>
      <c r="C5292" t="s">
        <v>40</v>
      </c>
      <c r="D5292">
        <v>4.5460669999999999</v>
      </c>
      <c r="E5292">
        <v>0.52813049999999995</v>
      </c>
      <c r="F5292" t="s">
        <v>42</v>
      </c>
      <c r="G5292">
        <v>-324.33260000000001</v>
      </c>
      <c r="H5292">
        <v>0.96316239999999997</v>
      </c>
      <c r="I5292">
        <v>214.72309999999999</v>
      </c>
      <c r="J5292">
        <v>-324.71710000000002</v>
      </c>
      <c r="K5292">
        <v>1.1209119999999999</v>
      </c>
      <c r="L5292">
        <v>214.74510000000001</v>
      </c>
      <c r="M5292">
        <v>0.99994709999999998</v>
      </c>
      <c r="N5292">
        <v>-1.025586E-2</v>
      </c>
      <c r="O5292">
        <v>-8.7341610000000005E-4</v>
      </c>
      <c r="P5292">
        <v>0.98831709999999995</v>
      </c>
      <c r="Q5292">
        <v>0.1458237</v>
      </c>
      <c r="R5292">
        <v>4.4329050000000002E-2</v>
      </c>
      <c r="S5292">
        <v>3.146423</v>
      </c>
      <c r="T5292">
        <v>-0.71952939999999999</v>
      </c>
      <c r="U5292">
        <v>-0.1005554</v>
      </c>
      <c r="V5292">
        <v>-4.5151770000000001E-2</v>
      </c>
      <c r="W5292">
        <v>0.15596380000000001</v>
      </c>
      <c r="X5292">
        <v>0.98673029999999995</v>
      </c>
      <c r="Y5292">
        <v>3.02732E-2</v>
      </c>
      <c r="Z5292">
        <v>-3.3855719999999999E-3</v>
      </c>
      <c r="AA5292">
        <v>0.99953590000000003</v>
      </c>
      <c r="AB5292">
        <v>32</v>
      </c>
      <c r="AC5292">
        <v>0.38450000000000201</v>
      </c>
      <c r="AD5292">
        <v>-0.15774959999999999</v>
      </c>
      <c r="AE5292">
        <v>-2.2000000000019702E-2</v>
      </c>
      <c r="AF5292">
        <v>1.8551661137147599E-2</v>
      </c>
      <c r="AG5292">
        <v>-0.15774959999999999</v>
      </c>
      <c r="AH5292">
        <v>0.32927527581484001</v>
      </c>
      <c r="AI5292">
        <v>115.562845929468</v>
      </c>
      <c r="AJ5292">
        <v>86.775314107502595</v>
      </c>
      <c r="AK5292">
        <v>0.36558351671546502</v>
      </c>
      <c r="AL5292">
        <v>81.027302575224496</v>
      </c>
      <c r="AM5292">
        <v>92.619968692069804</v>
      </c>
      <c r="AN5292">
        <v>1.00000003709133</v>
      </c>
    </row>
    <row r="5293" spans="1:40" x14ac:dyDescent="0.25">
      <c r="A5293" t="str">
        <f>"20190303162017469"</f>
        <v>20190303162017469</v>
      </c>
      <c r="B5293" t="str">
        <f>"1551601217457353"</f>
        <v>1551601217457353</v>
      </c>
      <c r="C5293" t="s">
        <v>40</v>
      </c>
      <c r="D5293">
        <v>4.6439879999999896</v>
      </c>
      <c r="E5293">
        <v>0.52851300000000001</v>
      </c>
      <c r="F5293" t="s">
        <v>42</v>
      </c>
      <c r="G5293">
        <v>-323.79070000000002</v>
      </c>
      <c r="H5293">
        <v>0.90702210000000005</v>
      </c>
      <c r="I5293">
        <v>214.715</v>
      </c>
      <c r="J5293">
        <v>-324.40109999999999</v>
      </c>
      <c r="K5293">
        <v>1.120911</v>
      </c>
      <c r="L5293">
        <v>214.74469999999999</v>
      </c>
      <c r="M5293">
        <v>0.99994689999999997</v>
      </c>
      <c r="N5293">
        <v>-1.027192E-2</v>
      </c>
      <c r="O5293">
        <v>-9.8032159999999991E-4</v>
      </c>
      <c r="P5293">
        <v>0.98828380000000005</v>
      </c>
      <c r="Q5293">
        <v>0.14604010000000001</v>
      </c>
      <c r="R5293">
        <v>4.4359370000000002E-2</v>
      </c>
      <c r="S5293">
        <v>3.1472470000000001</v>
      </c>
      <c r="T5293">
        <v>-0.72664019999999996</v>
      </c>
      <c r="U5293">
        <v>-0.1015625</v>
      </c>
      <c r="V5293">
        <v>-4.5287010000000003E-2</v>
      </c>
      <c r="W5293">
        <v>0.15619559999999999</v>
      </c>
      <c r="X5293">
        <v>0.98668739999999999</v>
      </c>
      <c r="Y5293">
        <v>3.0460029999999999E-2</v>
      </c>
      <c r="Z5293">
        <v>-3.4150119999999998E-3</v>
      </c>
      <c r="AA5293">
        <v>0.99953009999999998</v>
      </c>
      <c r="AB5293">
        <v>32</v>
      </c>
      <c r="AC5293">
        <v>0.61039999999996997</v>
      </c>
      <c r="AD5293">
        <v>-0.21388889999999999</v>
      </c>
      <c r="AE5293">
        <v>-2.9699999999991102E-2</v>
      </c>
      <c r="AF5293">
        <v>2.5925772885375401E-2</v>
      </c>
      <c r="AG5293">
        <v>-0.21388889999999999</v>
      </c>
      <c r="AH5293">
        <v>0.54381400241528299</v>
      </c>
      <c r="AI5293">
        <v>111.448195806101</v>
      </c>
      <c r="AJ5293">
        <v>87.270549266001893</v>
      </c>
      <c r="AK5293">
        <v>0.58493954941159798</v>
      </c>
      <c r="AL5293">
        <v>81.013856308999294</v>
      </c>
      <c r="AM5293">
        <v>92.627919214662498</v>
      </c>
      <c r="AN5293">
        <v>1.0000000020264299</v>
      </c>
    </row>
    <row r="5294" spans="1:40" x14ac:dyDescent="0.25">
      <c r="A5294" t="str">
        <f>"20190303162017492"</f>
        <v>20190303162017492</v>
      </c>
      <c r="B5294" t="str">
        <f>"1551601217487609"</f>
        <v>1551601217487609</v>
      </c>
      <c r="C5294" t="s">
        <v>40</v>
      </c>
      <c r="D5294">
        <v>4.6079089999999896</v>
      </c>
      <c r="E5294">
        <v>0.53847650000000002</v>
      </c>
      <c r="F5294" t="s">
        <v>42</v>
      </c>
      <c r="G5294">
        <v>-323.50380000000001</v>
      </c>
      <c r="H5294">
        <v>0.91279149999999998</v>
      </c>
      <c r="I5294">
        <v>214.715</v>
      </c>
      <c r="J5294">
        <v>-324.07080000000002</v>
      </c>
      <c r="K5294">
        <v>1.1209089999999999</v>
      </c>
      <c r="L5294">
        <v>214.74430000000001</v>
      </c>
      <c r="M5294">
        <v>0.99994649999999996</v>
      </c>
      <c r="N5294">
        <v>-1.0290580000000001E-2</v>
      </c>
      <c r="O5294">
        <v>-1.0916509999999999E-3</v>
      </c>
      <c r="P5294">
        <v>0.98832059999999999</v>
      </c>
      <c r="Q5294">
        <v>0.1460726</v>
      </c>
      <c r="R5294">
        <v>4.341826E-2</v>
      </c>
      <c r="S5294">
        <v>3.1481319999999999</v>
      </c>
      <c r="T5294">
        <v>-0.73020149999999995</v>
      </c>
      <c r="U5294">
        <v>-0.1037598</v>
      </c>
      <c r="V5294">
        <v>-4.4456210000000003E-2</v>
      </c>
      <c r="W5294">
        <v>0.15624689999999999</v>
      </c>
      <c r="X5294">
        <v>0.98671699999999996</v>
      </c>
      <c r="Y5294">
        <v>3.101653E-2</v>
      </c>
      <c r="Z5294">
        <v>-3.4721439999999999E-3</v>
      </c>
      <c r="AA5294">
        <v>0.99951290000000004</v>
      </c>
      <c r="AB5294">
        <v>32</v>
      </c>
      <c r="AC5294">
        <v>0.56700000000000705</v>
      </c>
      <c r="AD5294">
        <v>-0.20811749999999901</v>
      </c>
      <c r="AE5294">
        <v>-2.93000000000063E-2</v>
      </c>
      <c r="AF5294">
        <v>2.5283688110190699E-2</v>
      </c>
      <c r="AG5294">
        <v>-0.20811749999999901</v>
      </c>
      <c r="AH5294">
        <v>0.49986609695629203</v>
      </c>
      <c r="AI5294">
        <v>112.578270203946</v>
      </c>
      <c r="AJ5294">
        <v>87.104394358483205</v>
      </c>
      <c r="AK5294">
        <v>0.54205006556315505</v>
      </c>
      <c r="AL5294">
        <v>81.0108799658517</v>
      </c>
      <c r="AM5294">
        <v>92.579697921119504</v>
      </c>
      <c r="AN5294">
        <v>0.99999994322808505</v>
      </c>
    </row>
    <row r="5295" spans="1:40" x14ac:dyDescent="0.25">
      <c r="A5295" t="str">
        <f>"20190303162017513"</f>
        <v>20190303162017513</v>
      </c>
      <c r="B5295" t="str">
        <f>"1551601217508106"</f>
        <v>1551601217508106</v>
      </c>
      <c r="C5295" t="s">
        <v>40</v>
      </c>
      <c r="D5295">
        <v>4.6153789999999999</v>
      </c>
      <c r="E5295">
        <v>0.53808650000000002</v>
      </c>
      <c r="F5295" t="s">
        <v>42</v>
      </c>
      <c r="G5295">
        <v>-323.23540000000003</v>
      </c>
      <c r="H5295">
        <v>0.87765930000000003</v>
      </c>
      <c r="I5295">
        <v>214.69460000000001</v>
      </c>
      <c r="J5295">
        <v>-323.76069999999999</v>
      </c>
      <c r="K5295">
        <v>1.1209070000000001</v>
      </c>
      <c r="L5295">
        <v>214.74379999999999</v>
      </c>
      <c r="M5295">
        <v>0.99994620000000001</v>
      </c>
      <c r="N5295">
        <v>-1.030854E-2</v>
      </c>
      <c r="O5295">
        <v>-1.196417E-3</v>
      </c>
      <c r="P5295">
        <v>0.98847370000000001</v>
      </c>
      <c r="Q5295">
        <v>0.1454165</v>
      </c>
      <c r="R5295">
        <v>4.2118709999999997E-2</v>
      </c>
      <c r="S5295">
        <v>3.1806640000000002</v>
      </c>
      <c r="T5295">
        <v>-0.92618940000000005</v>
      </c>
      <c r="U5295">
        <v>-0.18843080000000001</v>
      </c>
      <c r="V5295">
        <v>-4.3259859999999997E-2</v>
      </c>
      <c r="W5295">
        <v>0.15560969999999999</v>
      </c>
      <c r="X5295">
        <v>0.9868709</v>
      </c>
      <c r="Y5295">
        <v>5.5603909999999999E-2</v>
      </c>
      <c r="Z5295">
        <v>-7.8884609999999994E-3</v>
      </c>
      <c r="AA5295">
        <v>0.99842169999999997</v>
      </c>
      <c r="AB5295">
        <v>32</v>
      </c>
      <c r="AC5295">
        <v>0.52529999999995802</v>
      </c>
      <c r="AD5295">
        <v>-0.24324769999999901</v>
      </c>
      <c r="AE5295">
        <v>-4.9199999999984798E-2</v>
      </c>
      <c r="AF5295">
        <v>4.0056819603118202E-2</v>
      </c>
      <c r="AG5295">
        <v>-0.24324769999999901</v>
      </c>
      <c r="AH5295">
        <v>0.43326251837475299</v>
      </c>
      <c r="AI5295">
        <v>119.207302435714</v>
      </c>
      <c r="AJ5295">
        <v>84.7177965272992</v>
      </c>
      <c r="AK5295">
        <v>0.49848811638838503</v>
      </c>
      <c r="AL5295">
        <v>81.047841297676896</v>
      </c>
      <c r="AM5295">
        <v>92.509975364267504</v>
      </c>
      <c r="AN5295">
        <v>0.99999998374405896</v>
      </c>
    </row>
    <row r="5296" spans="1:40" x14ac:dyDescent="0.25">
      <c r="A5296" t="str">
        <f>"20190303162017537"</f>
        <v>20190303162017537</v>
      </c>
      <c r="B5296" t="str">
        <f>"1551601217527625"</f>
        <v>1551601217527625</v>
      </c>
      <c r="C5296" t="s">
        <v>40</v>
      </c>
      <c r="D5296">
        <v>4.6091860000000002</v>
      </c>
      <c r="E5296">
        <v>0.53786309999999904</v>
      </c>
      <c r="F5296" t="s">
        <v>42</v>
      </c>
      <c r="G5296">
        <v>-322.94959999999998</v>
      </c>
      <c r="H5296">
        <v>0.87969640000000004</v>
      </c>
      <c r="I5296">
        <v>214.69540000000001</v>
      </c>
      <c r="J5296">
        <v>-323.43439999999998</v>
      </c>
      <c r="K5296">
        <v>1.1209089999999999</v>
      </c>
      <c r="L5296">
        <v>214.7433</v>
      </c>
      <c r="M5296">
        <v>0.9999458</v>
      </c>
      <c r="N5296">
        <v>-1.0327279999999999E-2</v>
      </c>
      <c r="O5296">
        <v>-1.3067899999999999E-3</v>
      </c>
      <c r="P5296">
        <v>0.98860749999999997</v>
      </c>
      <c r="Q5296">
        <v>0.14488019999999999</v>
      </c>
      <c r="R5296">
        <v>4.0805099999999997E-2</v>
      </c>
      <c r="S5296">
        <v>3.182312</v>
      </c>
      <c r="T5296">
        <v>-0.94644070000000002</v>
      </c>
      <c r="U5296">
        <v>-0.18931580000000001</v>
      </c>
      <c r="V5296">
        <v>-4.205532E-2</v>
      </c>
      <c r="W5296">
        <v>0.15509289999999901</v>
      </c>
      <c r="X5296">
        <v>0.98700429999999995</v>
      </c>
      <c r="Y5296">
        <v>5.5645269999999997E-2</v>
      </c>
      <c r="Z5296">
        <v>-8.0196179999999992E-3</v>
      </c>
      <c r="AA5296">
        <v>0.99841840000000004</v>
      </c>
      <c r="AB5296">
        <v>32</v>
      </c>
      <c r="AC5296">
        <v>0.484800000000007</v>
      </c>
      <c r="AD5296">
        <v>-0.241212599999999</v>
      </c>
      <c r="AE5296">
        <v>-4.7899999999998499E-2</v>
      </c>
      <c r="AF5296">
        <v>3.7959992109404497E-2</v>
      </c>
      <c r="AG5296">
        <v>-0.241212599999999</v>
      </c>
      <c r="AH5296">
        <v>0.389396426000926</v>
      </c>
      <c r="AI5296">
        <v>121.65507603463899</v>
      </c>
      <c r="AJ5296">
        <v>84.432160686759403</v>
      </c>
      <c r="AK5296">
        <v>0.45962382007681102</v>
      </c>
      <c r="AL5296">
        <v>81.077815569975797</v>
      </c>
      <c r="AM5296">
        <v>92.439843168066005</v>
      </c>
      <c r="AN5296">
        <v>0.99999997289459996</v>
      </c>
    </row>
    <row r="5297" spans="1:40" x14ac:dyDescent="0.25">
      <c r="A5297" t="str">
        <f>"20190303162017558"</f>
        <v>20190303162017558</v>
      </c>
      <c r="B5297" t="str">
        <f>"1551601217548121"</f>
        <v>1551601217548121</v>
      </c>
      <c r="C5297" t="s">
        <v>40</v>
      </c>
      <c r="D5297">
        <v>4.5943440000000004</v>
      </c>
      <c r="E5297">
        <v>0.53815299999999999</v>
      </c>
      <c r="F5297" t="s">
        <v>42</v>
      </c>
      <c r="G5297">
        <v>-322.66070000000002</v>
      </c>
      <c r="H5297">
        <v>0.88871469999999897</v>
      </c>
      <c r="I5297">
        <v>214.69649999999999</v>
      </c>
      <c r="J5297">
        <v>-323.12259999999998</v>
      </c>
      <c r="K5297">
        <v>1.120908</v>
      </c>
      <c r="L5297">
        <v>214.74279999999999</v>
      </c>
      <c r="M5297">
        <v>0.99994559999999999</v>
      </c>
      <c r="N5297">
        <v>-1.0346569999999999E-2</v>
      </c>
      <c r="O5297">
        <v>-1.412157E-3</v>
      </c>
      <c r="P5297">
        <v>0.98864569999999996</v>
      </c>
      <c r="Q5297">
        <v>0.14489730000000001</v>
      </c>
      <c r="R5297">
        <v>3.980616E-2</v>
      </c>
      <c r="S5297">
        <v>3.182404</v>
      </c>
      <c r="T5297">
        <v>-0.95503579999999999</v>
      </c>
      <c r="U5297">
        <v>-0.1914063</v>
      </c>
      <c r="V5297">
        <v>-4.1160370000000002E-2</v>
      </c>
      <c r="W5297">
        <v>0.15512919999999999</v>
      </c>
      <c r="X5297">
        <v>0.98703629999999998</v>
      </c>
      <c r="Y5297">
        <v>5.6131420000000001E-2</v>
      </c>
      <c r="Z5297">
        <v>-8.1310859999999992E-3</v>
      </c>
      <c r="AA5297">
        <v>0.99839029999999995</v>
      </c>
      <c r="AB5297">
        <v>32</v>
      </c>
      <c r="AC5297">
        <v>0.46189999999995701</v>
      </c>
      <c r="AD5297">
        <v>-0.23219329999999999</v>
      </c>
      <c r="AE5297">
        <v>-4.6300000000002201E-2</v>
      </c>
      <c r="AF5297">
        <v>3.6512706053953903E-2</v>
      </c>
      <c r="AG5297">
        <v>-0.23219329999999999</v>
      </c>
      <c r="AH5297">
        <v>0.36951720139114402</v>
      </c>
      <c r="AI5297">
        <v>122.018732241309</v>
      </c>
      <c r="AJ5297">
        <v>84.356812456781697</v>
      </c>
      <c r="AK5297">
        <v>0.43793820156754498</v>
      </c>
      <c r="AL5297">
        <v>81.075710056769694</v>
      </c>
      <c r="AM5297">
        <v>92.387905991727095</v>
      </c>
      <c r="AN5297">
        <v>0.99999995113443196</v>
      </c>
    </row>
    <row r="5298" spans="1:40" x14ac:dyDescent="0.25">
      <c r="A5298" t="str">
        <f>"20190303162017581"</f>
        <v>20190303162017581</v>
      </c>
      <c r="B5298" t="str">
        <f>"1551601217577402"</f>
        <v>1551601217577402</v>
      </c>
      <c r="C5298" t="s">
        <v>40</v>
      </c>
      <c r="D5298">
        <v>4.5960269999999896</v>
      </c>
      <c r="E5298">
        <v>0.53878359999999903</v>
      </c>
      <c r="F5298" t="s">
        <v>42</v>
      </c>
      <c r="G5298">
        <v>-322.37189999999998</v>
      </c>
      <c r="H5298">
        <v>0.89661900000000005</v>
      </c>
      <c r="I5298">
        <v>214.696</v>
      </c>
      <c r="J5298">
        <v>-322.79750000000001</v>
      </c>
      <c r="K5298">
        <v>1.1209129999999901</v>
      </c>
      <c r="L5298">
        <v>214.7422</v>
      </c>
      <c r="M5298">
        <v>0.99994510000000003</v>
      </c>
      <c r="N5298">
        <v>-1.0371770000000001E-2</v>
      </c>
      <c r="O5298">
        <v>-1.521847E-3</v>
      </c>
      <c r="P5298">
        <v>0.98858820000000003</v>
      </c>
      <c r="Q5298">
        <v>0.1456057</v>
      </c>
      <c r="R5298">
        <v>3.863341E-2</v>
      </c>
      <c r="S5298">
        <v>3.1817319999999998</v>
      </c>
      <c r="T5298">
        <v>-0.95060339999999999</v>
      </c>
      <c r="U5298">
        <v>-0.19717409999999999</v>
      </c>
      <c r="V5298">
        <v>-4.0095760000000001E-2</v>
      </c>
      <c r="W5298">
        <v>0.15586159999999999</v>
      </c>
      <c r="X5298">
        <v>0.98696479999999998</v>
      </c>
      <c r="Y5298">
        <v>5.7788649999999997E-2</v>
      </c>
      <c r="Z5298">
        <v>-8.3181219999999903E-3</v>
      </c>
      <c r="AA5298">
        <v>0.99829420000000002</v>
      </c>
      <c r="AB5298">
        <v>32</v>
      </c>
      <c r="AC5298">
        <v>0.42560000000003101</v>
      </c>
      <c r="AD5298">
        <v>-0.22429399999999899</v>
      </c>
      <c r="AE5298">
        <v>-4.6199999999998902E-2</v>
      </c>
      <c r="AF5298">
        <v>3.5741206057580299E-2</v>
      </c>
      <c r="AG5298">
        <v>-0.22429399999999899</v>
      </c>
      <c r="AH5298">
        <v>0.33398931805944299</v>
      </c>
      <c r="AI5298">
        <v>123.732931932192</v>
      </c>
      <c r="AJ5298">
        <v>83.891851144139494</v>
      </c>
      <c r="AK5298">
        <v>0.40389862196380699</v>
      </c>
      <c r="AL5298">
        <v>81.033230476268798</v>
      </c>
      <c r="AM5298">
        <v>92.326380059983805</v>
      </c>
      <c r="AN5298">
        <v>1.00000001238178</v>
      </c>
    </row>
    <row r="5299" spans="1:40" x14ac:dyDescent="0.25">
      <c r="A5299" t="str">
        <f>"20190303162017616"</f>
        <v>20190303162017616</v>
      </c>
      <c r="B5299" t="str">
        <f>"1551601217607657"</f>
        <v>1551601217607657</v>
      </c>
      <c r="C5299" t="s">
        <v>40</v>
      </c>
      <c r="D5299">
        <v>4.6429390000000001</v>
      </c>
      <c r="E5299">
        <v>0.539278699999999</v>
      </c>
      <c r="F5299" t="s">
        <v>42</v>
      </c>
      <c r="G5299">
        <v>-322.08069999999998</v>
      </c>
      <c r="H5299">
        <v>0.90960510000000006</v>
      </c>
      <c r="I5299">
        <v>214.69579999999999</v>
      </c>
      <c r="J5299">
        <v>-322.31040000000002</v>
      </c>
      <c r="K5299">
        <v>1.120922</v>
      </c>
      <c r="L5299">
        <v>214.7413</v>
      </c>
      <c r="M5299">
        <v>0.99994430000000001</v>
      </c>
      <c r="N5299">
        <v>-1.0420260000000001E-2</v>
      </c>
      <c r="O5299">
        <v>-1.6747489999999999E-3</v>
      </c>
      <c r="P5299">
        <v>0.98859790000000003</v>
      </c>
      <c r="Q5299">
        <v>0.145861299999999</v>
      </c>
      <c r="R5299">
        <v>3.7399639999999998E-2</v>
      </c>
      <c r="S5299">
        <v>3.1806640000000002</v>
      </c>
      <c r="T5299">
        <v>-0.93755069999999996</v>
      </c>
      <c r="U5299">
        <v>-0.20443729999999999</v>
      </c>
      <c r="V5299">
        <v>-3.9014710000000001E-2</v>
      </c>
      <c r="W5299">
        <v>0.156164</v>
      </c>
      <c r="X5299">
        <v>0.98696030000000001</v>
      </c>
      <c r="Y5299">
        <v>5.9905369999999999E-2</v>
      </c>
      <c r="Z5299">
        <v>-8.4901200000000003E-3</v>
      </c>
      <c r="AA5299">
        <v>0.9981679</v>
      </c>
      <c r="AB5299">
        <v>32</v>
      </c>
      <c r="AC5299">
        <v>0.22970000000003599</v>
      </c>
      <c r="AD5299">
        <v>-0.2113169</v>
      </c>
      <c r="AE5299">
        <v>-4.5500000000004003E-2</v>
      </c>
      <c r="AF5299">
        <v>2.48652497172605E-2</v>
      </c>
      <c r="AG5299">
        <v>-0.2113169</v>
      </c>
      <c r="AH5299">
        <v>0.12664094336475301</v>
      </c>
      <c r="AI5299">
        <v>148.58606583844499</v>
      </c>
      <c r="AJ5299">
        <v>78.891598824283705</v>
      </c>
      <c r="AK5299">
        <v>0.247610664967053</v>
      </c>
      <c r="AL5299">
        <v>81.015689223679999</v>
      </c>
      <c r="AM5299">
        <v>92.2637333565565</v>
      </c>
      <c r="AN5299">
        <v>0.99999998813423696</v>
      </c>
    </row>
    <row r="5300" spans="1:40" x14ac:dyDescent="0.25">
      <c r="A5300" t="str">
        <f>"20190303162017636"</f>
        <v>20190303162017636</v>
      </c>
      <c r="B5300" t="str">
        <f>"1551601217628153"</f>
        <v>1551601217628153</v>
      </c>
      <c r="C5300" t="s">
        <v>40</v>
      </c>
      <c r="D5300">
        <v>4.6169840000000004</v>
      </c>
      <c r="E5300">
        <v>0.53982540000000001</v>
      </c>
      <c r="F5300" t="s">
        <v>42</v>
      </c>
      <c r="G5300">
        <v>-321.51940000000002</v>
      </c>
      <c r="H5300">
        <v>0.88647900000000002</v>
      </c>
      <c r="I5300">
        <v>214.6893</v>
      </c>
      <c r="J5300">
        <v>-322.00799999999998</v>
      </c>
      <c r="K5300">
        <v>1.1209420000000001</v>
      </c>
      <c r="L5300">
        <v>214.7406</v>
      </c>
      <c r="M5300">
        <v>0.9999439</v>
      </c>
      <c r="N5300">
        <v>-1.0455539999999999E-2</v>
      </c>
      <c r="O5300">
        <v>-1.7566120000000001E-3</v>
      </c>
      <c r="P5300">
        <v>0.98869169999999995</v>
      </c>
      <c r="Q5300">
        <v>0.14546239999999999</v>
      </c>
      <c r="R5300">
        <v>3.6463420000000003E-2</v>
      </c>
      <c r="S5300">
        <v>3.1815799999999999</v>
      </c>
      <c r="T5300">
        <v>-0.94304200000000005</v>
      </c>
      <c r="U5300">
        <v>-0.20826720000000001</v>
      </c>
      <c r="V5300">
        <v>-3.8162750000000002E-2</v>
      </c>
      <c r="W5300">
        <v>0.15579989999999999</v>
      </c>
      <c r="X5300">
        <v>0.98705109999999996</v>
      </c>
      <c r="Y5300">
        <v>6.0931829999999999E-2</v>
      </c>
      <c r="Z5300">
        <v>-8.6659489999999992E-3</v>
      </c>
      <c r="AA5300">
        <v>0.99810430000000006</v>
      </c>
      <c r="AB5300">
        <v>32</v>
      </c>
      <c r="AC5300">
        <v>0.48859999999996201</v>
      </c>
      <c r="AD5300">
        <v>-0.234463</v>
      </c>
      <c r="AE5300">
        <v>-5.1299999999997598E-2</v>
      </c>
      <c r="AF5300">
        <v>4.1084194458032901E-2</v>
      </c>
      <c r="AG5300">
        <v>-0.234463</v>
      </c>
      <c r="AH5300">
        <v>0.398032805052357</v>
      </c>
      <c r="AI5300">
        <v>120.367804534187</v>
      </c>
      <c r="AJ5300">
        <v>84.106907007364896</v>
      </c>
      <c r="AK5300">
        <v>0.46377895952825698</v>
      </c>
      <c r="AL5300">
        <v>81.036808684492897</v>
      </c>
      <c r="AM5300">
        <v>92.214146715432506</v>
      </c>
      <c r="AN5300">
        <v>0.99999993916938901</v>
      </c>
    </row>
    <row r="5301" spans="1:40" x14ac:dyDescent="0.25">
      <c r="A5301" t="str">
        <f>"20190303162017659"</f>
        <v>20190303162017659</v>
      </c>
      <c r="B5301" t="str">
        <f>"1551601217647675"</f>
        <v>1551601217647675</v>
      </c>
      <c r="C5301" t="s">
        <v>40</v>
      </c>
      <c r="D5301">
        <v>4.6155189999999999</v>
      </c>
      <c r="E5301">
        <v>0.54035829999999996</v>
      </c>
      <c r="F5301" t="s">
        <v>42</v>
      </c>
      <c r="G5301">
        <v>-321.23200000000003</v>
      </c>
      <c r="H5301">
        <v>0.88954519999999904</v>
      </c>
      <c r="I5301">
        <v>214.68799999999999</v>
      </c>
      <c r="J5301">
        <v>-321.6893</v>
      </c>
      <c r="K5301">
        <v>1.120959</v>
      </c>
      <c r="L5301">
        <v>214.74</v>
      </c>
      <c r="M5301">
        <v>0.99994340000000004</v>
      </c>
      <c r="N5301">
        <v>-1.049658E-2</v>
      </c>
      <c r="O5301">
        <v>-1.8265169999999999E-3</v>
      </c>
      <c r="P5301">
        <v>0.98875360000000001</v>
      </c>
      <c r="Q5301">
        <v>0.14535729999999999</v>
      </c>
      <c r="R5301">
        <v>3.5183779999999998E-2</v>
      </c>
      <c r="S5301">
        <v>3.1818849999999999</v>
      </c>
      <c r="T5301">
        <v>-0.9488164</v>
      </c>
      <c r="U5301">
        <v>-0.21615599999999999</v>
      </c>
      <c r="V5301">
        <v>-3.6957740000000003E-2</v>
      </c>
      <c r="W5301">
        <v>0.15573499999999901</v>
      </c>
      <c r="X5301">
        <v>0.98710730000000002</v>
      </c>
      <c r="Y5301">
        <v>6.3190140000000006E-2</v>
      </c>
      <c r="Z5301">
        <v>-9.0364739999999992E-3</v>
      </c>
      <c r="AA5301">
        <v>0.99796059999999998</v>
      </c>
      <c r="AB5301">
        <v>32</v>
      </c>
      <c r="AC5301">
        <v>0.457299999999975</v>
      </c>
      <c r="AD5301">
        <v>-0.2314138</v>
      </c>
      <c r="AE5301">
        <v>-5.2000000000020898E-2</v>
      </c>
      <c r="AF5301">
        <v>4.0839828304222101E-2</v>
      </c>
      <c r="AG5301">
        <v>-0.2314138</v>
      </c>
      <c r="AH5301">
        <v>0.36509424572405003</v>
      </c>
      <c r="AI5301">
        <v>122.20756220575799</v>
      </c>
      <c r="AJ5301">
        <v>83.617367018595701</v>
      </c>
      <c r="AK5301">
        <v>0.43418204323436899</v>
      </c>
      <c r="AL5301">
        <v>81.040574070675504</v>
      </c>
      <c r="AM5301">
        <v>92.144178160830094</v>
      </c>
      <c r="AN5301">
        <v>1.0000000432420899</v>
      </c>
    </row>
    <row r="5302" spans="1:40" x14ac:dyDescent="0.25">
      <c r="A5302" t="str">
        <f>"20190303162017681"</f>
        <v>20190303162017681</v>
      </c>
      <c r="B5302" t="str">
        <f>"1551601217677929"</f>
        <v>1551601217677929</v>
      </c>
      <c r="C5302" t="s">
        <v>40</v>
      </c>
      <c r="D5302">
        <v>4.6353030000000004</v>
      </c>
      <c r="E5302">
        <v>0.54092989999999996</v>
      </c>
      <c r="F5302" t="s">
        <v>42</v>
      </c>
      <c r="G5302">
        <v>-320.94240000000002</v>
      </c>
      <c r="H5302">
        <v>0.89710889999999999</v>
      </c>
      <c r="I5302">
        <v>214.68729999999999</v>
      </c>
      <c r="J5302">
        <v>-321.35919999999999</v>
      </c>
      <c r="K5302">
        <v>1.1209819999999999</v>
      </c>
      <c r="L5302">
        <v>214.73929999999999</v>
      </c>
      <c r="M5302">
        <v>0.99994269999999996</v>
      </c>
      <c r="N5302">
        <v>-1.0542579999999999E-2</v>
      </c>
      <c r="O5302">
        <v>-1.876841E-3</v>
      </c>
      <c r="P5302">
        <v>0.98877890000000002</v>
      </c>
      <c r="Q5302">
        <v>0.14528640000000001</v>
      </c>
      <c r="R5302">
        <v>3.4762729999999999E-2</v>
      </c>
      <c r="S5302">
        <v>3.1822810000000001</v>
      </c>
      <c r="T5302">
        <v>-0.95373490000000005</v>
      </c>
      <c r="U5302">
        <v>-0.22406010000000001</v>
      </c>
      <c r="V5302">
        <v>-3.6592630000000001E-2</v>
      </c>
      <c r="W5302">
        <v>0.15570809999999999</v>
      </c>
      <c r="X5302">
        <v>0.98712509999999998</v>
      </c>
      <c r="Y5302">
        <v>6.5470050000000002E-2</v>
      </c>
      <c r="Z5302">
        <v>-9.4114909999999993E-3</v>
      </c>
      <c r="AA5302">
        <v>0.99781010000000003</v>
      </c>
      <c r="AB5302">
        <v>32</v>
      </c>
      <c r="AC5302">
        <v>0.41679999999996598</v>
      </c>
      <c r="AD5302">
        <v>-0.22387309999999999</v>
      </c>
      <c r="AE5302">
        <v>-5.1999999999992497E-2</v>
      </c>
      <c r="AF5302">
        <v>3.9886609816445297E-2</v>
      </c>
      <c r="AG5302">
        <v>-0.22387309999999999</v>
      </c>
      <c r="AH5302">
        <v>0.32466580701303499</v>
      </c>
      <c r="AI5302">
        <v>124.387886170819</v>
      </c>
      <c r="AJ5302">
        <v>82.996060256682696</v>
      </c>
      <c r="AK5302">
        <v>0.39638112062721198</v>
      </c>
      <c r="AL5302">
        <v>81.042133952581693</v>
      </c>
      <c r="AM5302">
        <v>92.122976796901497</v>
      </c>
      <c r="AN5302">
        <v>0.99999999801296802</v>
      </c>
    </row>
    <row r="5303" spans="1:40" x14ac:dyDescent="0.25">
      <c r="A5303" t="str">
        <f>"20190303162017703"</f>
        <v>20190303162017703</v>
      </c>
      <c r="B5303" t="str">
        <f>"1551601217697449"</f>
        <v>1551601217697449</v>
      </c>
      <c r="C5303" t="s">
        <v>40</v>
      </c>
      <c r="D5303">
        <v>4.6348960000000003</v>
      </c>
      <c r="E5303">
        <v>0.54118829999999996</v>
      </c>
      <c r="F5303" t="s">
        <v>42</v>
      </c>
      <c r="G5303">
        <v>-320.65129999999999</v>
      </c>
      <c r="H5303">
        <v>0.90758870000000003</v>
      </c>
      <c r="I5303">
        <v>214.6883</v>
      </c>
      <c r="J5303">
        <v>-321.04739999999998</v>
      </c>
      <c r="K5303">
        <v>1.121003</v>
      </c>
      <c r="L5303">
        <v>214.73869999999999</v>
      </c>
      <c r="M5303">
        <v>0.9999422</v>
      </c>
      <c r="N5303">
        <v>-1.0589650000000001E-2</v>
      </c>
      <c r="O5303">
        <v>-1.907043E-3</v>
      </c>
      <c r="P5303">
        <v>0.9888633</v>
      </c>
      <c r="Q5303">
        <v>0.14454649999999999</v>
      </c>
      <c r="R5303">
        <v>3.5437360000000001E-2</v>
      </c>
      <c r="S5303">
        <v>3.1830750000000001</v>
      </c>
      <c r="T5303">
        <v>-0.95953299999999997</v>
      </c>
      <c r="U5303">
        <v>-0.2292633</v>
      </c>
      <c r="V5303">
        <v>-3.730373E-2</v>
      </c>
      <c r="W5303">
        <v>0.15501379999999901</v>
      </c>
      <c r="X5303">
        <v>0.98720779999999997</v>
      </c>
      <c r="Y5303">
        <v>6.6946199999999997E-2</v>
      </c>
      <c r="Z5303">
        <v>-9.6800289999999997E-3</v>
      </c>
      <c r="AA5303">
        <v>0.99770959999999997</v>
      </c>
      <c r="AB5303">
        <v>32</v>
      </c>
      <c r="AC5303">
        <v>0.39609999999998902</v>
      </c>
      <c r="AD5303">
        <v>-0.2134143</v>
      </c>
      <c r="AE5303">
        <v>-5.0399999999996198E-2</v>
      </c>
      <c r="AF5303">
        <v>3.8613753242855597E-2</v>
      </c>
      <c r="AG5303">
        <v>-0.2134143</v>
      </c>
      <c r="AH5303">
        <v>0.30816295112381797</v>
      </c>
      <c r="AI5303">
        <v>124.495435120579</v>
      </c>
      <c r="AJ5303">
        <v>82.857888744738105</v>
      </c>
      <c r="AK5303">
        <v>0.37683031967893799</v>
      </c>
      <c r="AL5303">
        <v>81.082403782040302</v>
      </c>
      <c r="AM5303">
        <v>92.164012357457594</v>
      </c>
      <c r="AN5303">
        <v>1.0000000434215901</v>
      </c>
    </row>
    <row r="5304" spans="1:40" x14ac:dyDescent="0.25">
      <c r="A5304" t="str">
        <f>"20190303162017726"</f>
        <v>20190303162017726</v>
      </c>
      <c r="B5304" t="str">
        <f>"1551601217717945"</f>
        <v>1551601217717945</v>
      </c>
      <c r="C5304" t="s">
        <v>40</v>
      </c>
      <c r="D5304">
        <v>4.6301370000000004</v>
      </c>
      <c r="E5304">
        <v>0.54144300000000001</v>
      </c>
      <c r="F5304" t="s">
        <v>42</v>
      </c>
      <c r="G5304">
        <v>-320.3621</v>
      </c>
      <c r="H5304">
        <v>0.91316660000000005</v>
      </c>
      <c r="I5304">
        <v>214.6891</v>
      </c>
      <c r="J5304">
        <v>-320.72640000000001</v>
      </c>
      <c r="K5304">
        <v>1.1210230000000001</v>
      </c>
      <c r="L5304">
        <v>214.7381</v>
      </c>
      <c r="M5304">
        <v>0.99994159999999999</v>
      </c>
      <c r="N5304">
        <v>-1.064032E-2</v>
      </c>
      <c r="O5304">
        <v>-1.921795E-3</v>
      </c>
      <c r="P5304">
        <v>0.98885690000000004</v>
      </c>
      <c r="Q5304">
        <v>0.14441950000000001</v>
      </c>
      <c r="R5304">
        <v>3.6128489999999999E-2</v>
      </c>
      <c r="S5304">
        <v>3.1831360000000002</v>
      </c>
      <c r="T5304">
        <v>-0.96532070000000003</v>
      </c>
      <c r="U5304">
        <v>-0.22969059999999999</v>
      </c>
      <c r="V5304">
        <v>-3.8014539999999999E-2</v>
      </c>
      <c r="W5304">
        <v>0.15493609999999999</v>
      </c>
      <c r="X5304">
        <v>0.98719290000000004</v>
      </c>
      <c r="Y5304">
        <v>6.7025119999999994E-2</v>
      </c>
      <c r="Z5304">
        <v>-9.7433209999999992E-3</v>
      </c>
      <c r="AA5304">
        <v>0.99770369999999997</v>
      </c>
      <c r="AB5304">
        <v>32</v>
      </c>
      <c r="AC5304">
        <v>0.364300000000014</v>
      </c>
      <c r="AD5304">
        <v>-0.207856399999999</v>
      </c>
      <c r="AE5304">
        <v>-4.9000000000006497E-2</v>
      </c>
      <c r="AF5304">
        <v>3.6597431834577102E-2</v>
      </c>
      <c r="AG5304">
        <v>-0.207856399999999</v>
      </c>
      <c r="AH5304">
        <v>0.27610626423949097</v>
      </c>
      <c r="AI5304">
        <v>126.73345848754001</v>
      </c>
      <c r="AJ5304">
        <v>82.449551363268299</v>
      </c>
      <c r="AK5304">
        <v>0.347531759973293</v>
      </c>
      <c r="AL5304">
        <v>81.086910266139796</v>
      </c>
      <c r="AM5304">
        <v>92.205239805064494</v>
      </c>
      <c r="AN5304">
        <v>1.0000000610725099</v>
      </c>
    </row>
    <row r="5305" spans="1:40" x14ac:dyDescent="0.25">
      <c r="A5305" t="str">
        <f>"20190303162017748"</f>
        <v>20190303162017748</v>
      </c>
      <c r="B5305" t="str">
        <f>"1551601217738044"</f>
        <v>1551601217738044</v>
      </c>
      <c r="C5305" t="s">
        <v>40</v>
      </c>
      <c r="D5305">
        <v>4.6654410000000004</v>
      </c>
      <c r="E5305">
        <v>0.54164679999999998</v>
      </c>
      <c r="F5305" t="s">
        <v>42</v>
      </c>
      <c r="G5305">
        <v>-319.81700000000001</v>
      </c>
      <c r="H5305">
        <v>0.8447713</v>
      </c>
      <c r="I5305">
        <v>214.672</v>
      </c>
      <c r="J5305">
        <v>-320.41239999999999</v>
      </c>
      <c r="K5305">
        <v>1.1210359999999999</v>
      </c>
      <c r="L5305">
        <v>214.73750000000001</v>
      </c>
      <c r="M5305">
        <v>0.99994110000000003</v>
      </c>
      <c r="N5305">
        <v>-1.0692149999999999E-2</v>
      </c>
      <c r="O5305">
        <v>-1.912822E-3</v>
      </c>
      <c r="P5305">
        <v>0.98882559999999997</v>
      </c>
      <c r="Q5305">
        <v>0.14456359999999999</v>
      </c>
      <c r="R5305">
        <v>3.6409869999999997E-2</v>
      </c>
      <c r="S5305">
        <v>3.1834410000000002</v>
      </c>
      <c r="T5305">
        <v>-0.96706490000000001</v>
      </c>
      <c r="U5305">
        <v>-0.2299805</v>
      </c>
      <c r="V5305">
        <v>-3.82925E-2</v>
      </c>
      <c r="W5305">
        <v>0.15512960000000001</v>
      </c>
      <c r="X5305">
        <v>0.98715169999999997</v>
      </c>
      <c r="Y5305">
        <v>6.7103079999999996E-2</v>
      </c>
      <c r="Z5305">
        <v>-9.7750800000000002E-3</v>
      </c>
      <c r="AA5305">
        <v>0.99769819999999998</v>
      </c>
      <c r="AB5305">
        <v>32</v>
      </c>
      <c r="AC5305">
        <v>0.59539999999998305</v>
      </c>
      <c r="AD5305">
        <v>-0.27626469999999997</v>
      </c>
      <c r="AE5305">
        <v>-6.5500000000014297E-2</v>
      </c>
      <c r="AF5305">
        <v>5.30715331948046E-2</v>
      </c>
      <c r="AG5305">
        <v>-0.27626469999999997</v>
      </c>
      <c r="AH5305">
        <v>0.49106479976030298</v>
      </c>
      <c r="AI5305">
        <v>119.21941896035401</v>
      </c>
      <c r="AJ5305">
        <v>83.831733978934693</v>
      </c>
      <c r="AK5305">
        <v>0.56593587062967099</v>
      </c>
      <c r="AL5305">
        <v>81.075687239526104</v>
      </c>
      <c r="AM5305">
        <v>92.221440907463702</v>
      </c>
      <c r="AN5305">
        <v>0.99999999358264902</v>
      </c>
    </row>
    <row r="5306" spans="1:40" x14ac:dyDescent="0.25">
      <c r="A5306" t="str">
        <f>"20190303162017771"</f>
        <v>20190303162017771</v>
      </c>
      <c r="B5306" t="str">
        <f>"1551601217767324"</f>
        <v>1551601217767324</v>
      </c>
      <c r="C5306" t="s">
        <v>40</v>
      </c>
      <c r="D5306">
        <v>4.6889729999999998</v>
      </c>
      <c r="E5306">
        <v>0.54180249999999996</v>
      </c>
      <c r="F5306" t="s">
        <v>42</v>
      </c>
      <c r="G5306">
        <v>-319.52719999999999</v>
      </c>
      <c r="H5306">
        <v>0.85179499999999997</v>
      </c>
      <c r="I5306">
        <v>214.67320000000001</v>
      </c>
      <c r="J5306">
        <v>-320.08260000000001</v>
      </c>
      <c r="K5306">
        <v>1.1210530000000001</v>
      </c>
      <c r="L5306">
        <v>214.73689999999999</v>
      </c>
      <c r="M5306">
        <v>0.99994059999999996</v>
      </c>
      <c r="N5306">
        <v>-1.074686E-2</v>
      </c>
      <c r="O5306">
        <v>-1.8804819999999999E-3</v>
      </c>
      <c r="P5306">
        <v>0.98891490000000004</v>
      </c>
      <c r="Q5306">
        <v>0.143846</v>
      </c>
      <c r="R5306">
        <v>3.6820279999999997E-2</v>
      </c>
      <c r="S5306">
        <v>3.184021</v>
      </c>
      <c r="T5306">
        <v>-0.96846540000000003</v>
      </c>
      <c r="U5306">
        <v>-0.2312775</v>
      </c>
      <c r="V5306">
        <v>-3.8677370000000003E-2</v>
      </c>
      <c r="W5306">
        <v>0.1544654</v>
      </c>
      <c r="X5306">
        <v>0.98724089999999998</v>
      </c>
      <c r="Y5306">
        <v>6.7498829999999996E-2</v>
      </c>
      <c r="Z5306">
        <v>-9.8585619999999995E-3</v>
      </c>
      <c r="AA5306">
        <v>0.99767070000000002</v>
      </c>
      <c r="AB5306">
        <v>32</v>
      </c>
      <c r="AC5306">
        <v>0.55540000000001999</v>
      </c>
      <c r="AD5306">
        <v>-0.269258</v>
      </c>
      <c r="AE5306">
        <v>-6.3699999999982895E-2</v>
      </c>
      <c r="AF5306">
        <v>5.0857501786910203E-2</v>
      </c>
      <c r="AG5306">
        <v>-0.269258</v>
      </c>
      <c r="AH5306">
        <v>0.450915572860699</v>
      </c>
      <c r="AI5306">
        <v>120.68379026778901</v>
      </c>
      <c r="AJ5306">
        <v>83.564964491396793</v>
      </c>
      <c r="AK5306">
        <v>0.52764686097834201</v>
      </c>
      <c r="AL5306">
        <v>81.114207886684397</v>
      </c>
      <c r="AM5306">
        <v>92.243542922671296</v>
      </c>
      <c r="AN5306">
        <v>1.0000000466900401</v>
      </c>
    </row>
    <row r="5307" spans="1:40" x14ac:dyDescent="0.25">
      <c r="A5307" t="str">
        <f>"20190303162017793"</f>
        <v>20190303162017793</v>
      </c>
      <c r="B5307" t="str">
        <f>"1551601217787820"</f>
        <v>1551601217787820</v>
      </c>
      <c r="C5307" t="s">
        <v>40</v>
      </c>
      <c r="D5307">
        <v>4.6971299999999996</v>
      </c>
      <c r="E5307">
        <v>0.54180930000000005</v>
      </c>
      <c r="F5307" t="s">
        <v>42</v>
      </c>
      <c r="G5307">
        <v>-319.23599999999999</v>
      </c>
      <c r="H5307">
        <v>0.86202279999999998</v>
      </c>
      <c r="I5307">
        <v>214.67490000000001</v>
      </c>
      <c r="J5307">
        <v>-319.76429999999999</v>
      </c>
      <c r="K5307">
        <v>1.1210789999999999</v>
      </c>
      <c r="L5307">
        <v>214.7364</v>
      </c>
      <c r="M5307">
        <v>0.99994019999999995</v>
      </c>
      <c r="N5307">
        <v>-1.079813E-2</v>
      </c>
      <c r="O5307">
        <v>-1.827242E-3</v>
      </c>
      <c r="P5307">
        <v>0.98892369999999996</v>
      </c>
      <c r="Q5307">
        <v>0.14359949999999999</v>
      </c>
      <c r="R5307">
        <v>3.7541959999999999E-2</v>
      </c>
      <c r="S5307">
        <v>3.1839900000000001</v>
      </c>
      <c r="T5307">
        <v>-0.97419180000000005</v>
      </c>
      <c r="U5307">
        <v>-0.23251340000000001</v>
      </c>
      <c r="V5307">
        <v>-3.9353180000000001E-2</v>
      </c>
      <c r="W5307">
        <v>0.1542685</v>
      </c>
      <c r="X5307">
        <v>0.98724500000000004</v>
      </c>
      <c r="Y5307">
        <v>6.7881990000000003E-2</v>
      </c>
      <c r="Z5307">
        <v>-9.9887250000000004E-3</v>
      </c>
      <c r="AA5307">
        <v>0.99764339999999996</v>
      </c>
      <c r="AB5307">
        <v>32</v>
      </c>
      <c r="AC5307">
        <v>0.52830000000000099</v>
      </c>
      <c r="AD5307">
        <v>-0.25905620000000001</v>
      </c>
      <c r="AE5307">
        <v>-6.1499999999995197E-2</v>
      </c>
      <c r="AF5307">
        <v>4.8927205947126302E-2</v>
      </c>
      <c r="AG5307">
        <v>-0.25905620000000001</v>
      </c>
      <c r="AH5307">
        <v>0.427090243202223</v>
      </c>
      <c r="AI5307">
        <v>121.073980068357</v>
      </c>
      <c r="AJ5307">
        <v>83.464719341462398</v>
      </c>
      <c r="AK5307">
        <v>0.50190642761252402</v>
      </c>
      <c r="AL5307">
        <v>81.125626467622197</v>
      </c>
      <c r="AM5307">
        <v>92.282693782594606</v>
      </c>
      <c r="AN5307">
        <v>1.0000000664466699</v>
      </c>
    </row>
    <row r="5308" spans="1:40" x14ac:dyDescent="0.25">
      <c r="A5308" t="str">
        <f>"20190303162017817"</f>
        <v>20190303162017817</v>
      </c>
      <c r="B5308" t="str">
        <f>"1551601217807340"</f>
        <v>1551601217807340</v>
      </c>
      <c r="C5308" t="s">
        <v>40</v>
      </c>
      <c r="D5308">
        <v>4.710985</v>
      </c>
      <c r="E5308">
        <v>0.54180159999999999</v>
      </c>
      <c r="F5308" t="s">
        <v>42</v>
      </c>
      <c r="G5308">
        <v>-318.94549999999998</v>
      </c>
      <c r="H5308">
        <v>0.870125499999999</v>
      </c>
      <c r="I5308">
        <v>214.67670000000001</v>
      </c>
      <c r="J5308">
        <v>-319.42849999999999</v>
      </c>
      <c r="K5308">
        <v>1.121116</v>
      </c>
      <c r="L5308">
        <v>214.73580000000001</v>
      </c>
      <c r="M5308">
        <v>0.99993969999999999</v>
      </c>
      <c r="N5308">
        <v>-1.0850439999999999E-2</v>
      </c>
      <c r="O5308">
        <v>-1.7472659999999999E-3</v>
      </c>
      <c r="P5308">
        <v>0.98873849999999996</v>
      </c>
      <c r="Q5308">
        <v>0.1445293</v>
      </c>
      <c r="R5308">
        <v>3.8829299999999997E-2</v>
      </c>
      <c r="S5308">
        <v>3.1841430000000002</v>
      </c>
      <c r="T5308">
        <v>-0.97587159999999995</v>
      </c>
      <c r="U5308">
        <v>-0.23202510000000001</v>
      </c>
      <c r="V5308">
        <v>-4.0568470000000002E-2</v>
      </c>
      <c r="W5308">
        <v>0.15524549999999901</v>
      </c>
      <c r="X5308">
        <v>0.98704250000000004</v>
      </c>
      <c r="Y5308">
        <v>6.779607E-2</v>
      </c>
      <c r="Z5308">
        <v>-1.001584E-2</v>
      </c>
      <c r="AA5308">
        <v>0.99764889999999995</v>
      </c>
      <c r="AB5308">
        <v>32</v>
      </c>
      <c r="AC5308">
        <v>0.48300000000000398</v>
      </c>
      <c r="AD5308">
        <v>-0.25099050000000001</v>
      </c>
      <c r="AE5308">
        <v>-5.9100000000000798E-2</v>
      </c>
      <c r="AF5308">
        <v>4.60138596631725E-2</v>
      </c>
      <c r="AG5308">
        <v>-0.25099050000000001</v>
      </c>
      <c r="AH5308">
        <v>0.38158195828659802</v>
      </c>
      <c r="AI5308">
        <v>123.145830080298</v>
      </c>
      <c r="AJ5308">
        <v>83.124068368525599</v>
      </c>
      <c r="AK5308">
        <v>0.45904062702683202</v>
      </c>
      <c r="AL5308">
        <v>81.068964661817404</v>
      </c>
      <c r="AM5308">
        <v>92.353591228563204</v>
      </c>
      <c r="AN5308">
        <v>0.99999993141731802</v>
      </c>
    </row>
    <row r="5309" spans="1:40" x14ac:dyDescent="0.25">
      <c r="A5309" t="str">
        <f>"20190303162017838"</f>
        <v>20190303162017838</v>
      </c>
      <c r="B5309" t="str">
        <f>"1551601217827835"</f>
        <v>1551601217827835</v>
      </c>
      <c r="C5309" t="s">
        <v>40</v>
      </c>
      <c r="D5309">
        <v>4.7294960000000001</v>
      </c>
      <c r="E5309">
        <v>0.54179699999999997</v>
      </c>
      <c r="F5309" t="s">
        <v>42</v>
      </c>
      <c r="G5309">
        <v>-318.65260000000001</v>
      </c>
      <c r="H5309">
        <v>0.883876199999999</v>
      </c>
      <c r="I5309">
        <v>214.6799</v>
      </c>
      <c r="J5309">
        <v>-319.11810000000003</v>
      </c>
      <c r="K5309">
        <v>1.1211469999999999</v>
      </c>
      <c r="L5309">
        <v>214.7354</v>
      </c>
      <c r="M5309">
        <v>0.99993929999999998</v>
      </c>
      <c r="N5309">
        <v>-1.08985E-2</v>
      </c>
      <c r="O5309">
        <v>-1.6550200000000001E-3</v>
      </c>
      <c r="P5309">
        <v>0.98849790000000004</v>
      </c>
      <c r="Q5309">
        <v>0.14584749999999999</v>
      </c>
      <c r="R5309">
        <v>4.0002790000000003E-2</v>
      </c>
      <c r="S5309">
        <v>3.1855470000000001</v>
      </c>
      <c r="T5309">
        <v>-0.97405779999999997</v>
      </c>
      <c r="U5309">
        <v>-0.228653</v>
      </c>
      <c r="V5309">
        <v>-4.1657430000000002E-2</v>
      </c>
      <c r="W5309">
        <v>0.15660669999999999</v>
      </c>
      <c r="X5309">
        <v>0.9867821</v>
      </c>
      <c r="Y5309">
        <v>6.6858899999999999E-2</v>
      </c>
      <c r="Z5309">
        <v>-9.8781689999999991E-3</v>
      </c>
      <c r="AA5309">
        <v>0.99771359999999998</v>
      </c>
      <c r="AB5309">
        <v>32</v>
      </c>
      <c r="AC5309">
        <v>0.46550000000002001</v>
      </c>
      <c r="AD5309">
        <v>-0.2372708</v>
      </c>
      <c r="AE5309">
        <v>-5.5499999999994998E-2</v>
      </c>
      <c r="AF5309">
        <v>4.3568704623598097E-2</v>
      </c>
      <c r="AG5309">
        <v>-0.2372708</v>
      </c>
      <c r="AH5309">
        <v>0.370645060428686</v>
      </c>
      <c r="AI5309">
        <v>122.447342906307</v>
      </c>
      <c r="AJ5309">
        <v>83.295743271804795</v>
      </c>
      <c r="AK5309">
        <v>0.44223684307778099</v>
      </c>
      <c r="AL5309">
        <v>80.990008119709003</v>
      </c>
      <c r="AM5309">
        <v>92.417330603185206</v>
      </c>
      <c r="AN5309">
        <v>0.99999995641975103</v>
      </c>
    </row>
    <row r="5310" spans="1:40" x14ac:dyDescent="0.25">
      <c r="A5310" t="str">
        <f>"20190303162017860"</f>
        <v>20190303162017860</v>
      </c>
      <c r="B5310" t="str">
        <f>"1551601217847356"</f>
        <v>1551601217847356</v>
      </c>
      <c r="C5310" t="s">
        <v>40</v>
      </c>
      <c r="D5310">
        <v>4.6980810000000002</v>
      </c>
      <c r="E5310">
        <v>0.54019859999999997</v>
      </c>
      <c r="F5310" t="s">
        <v>42</v>
      </c>
      <c r="G5310">
        <v>-318.36189999999999</v>
      </c>
      <c r="H5310">
        <v>0.89147779999999999</v>
      </c>
      <c r="I5310">
        <v>214.6814</v>
      </c>
      <c r="J5310">
        <v>-318.80630000000002</v>
      </c>
      <c r="K5310">
        <v>1.1211739999999999</v>
      </c>
      <c r="L5310">
        <v>214.73500000000001</v>
      </c>
      <c r="M5310">
        <v>0.99993880000000002</v>
      </c>
      <c r="N5310">
        <v>-1.0945299999999899E-2</v>
      </c>
      <c r="O5310">
        <v>-1.5491019999999999E-3</v>
      </c>
      <c r="P5310">
        <v>0.98833439999999995</v>
      </c>
      <c r="Q5310">
        <v>0.14657439999999999</v>
      </c>
      <c r="R5310">
        <v>4.1362339999999997E-2</v>
      </c>
      <c r="S5310">
        <v>3.1869200000000002</v>
      </c>
      <c r="T5310">
        <v>-0.96785659999999896</v>
      </c>
      <c r="U5310">
        <v>-0.2272034</v>
      </c>
      <c r="V5310">
        <v>-4.2917820000000002E-2</v>
      </c>
      <c r="W5310">
        <v>0.15737619999999999</v>
      </c>
      <c r="X5310">
        <v>0.98660570000000003</v>
      </c>
      <c r="Y5310">
        <v>6.6532629999999995E-2</v>
      </c>
      <c r="Z5310">
        <v>-9.7982750000000004E-3</v>
      </c>
      <c r="AA5310">
        <v>0.99773619999999996</v>
      </c>
      <c r="AB5310">
        <v>32</v>
      </c>
      <c r="AC5310">
        <v>0.44440000000002999</v>
      </c>
      <c r="AD5310">
        <v>-0.22969619999999899</v>
      </c>
      <c r="AE5310">
        <v>-5.3600000000017099E-2</v>
      </c>
      <c r="AF5310">
        <v>4.1882806743501602E-2</v>
      </c>
      <c r="AG5310">
        <v>-0.22969619999999899</v>
      </c>
      <c r="AH5310">
        <v>0.35183625755138198</v>
      </c>
      <c r="AI5310">
        <v>122.95423775031399</v>
      </c>
      <c r="AJ5310">
        <v>83.211420756597406</v>
      </c>
      <c r="AK5310">
        <v>0.42225971382896099</v>
      </c>
      <c r="AL5310">
        <v>80.945365909133102</v>
      </c>
      <c r="AM5310">
        <v>92.490823493019704</v>
      </c>
      <c r="AN5310">
        <v>1.0000000074362401</v>
      </c>
    </row>
    <row r="5311" spans="1:40" x14ac:dyDescent="0.25">
      <c r="A5311" t="str">
        <f>"20190303162017882"</f>
        <v>20190303162017882</v>
      </c>
      <c r="B5311" t="str">
        <f>"1551601217877612"</f>
        <v>1551601217877612</v>
      </c>
      <c r="C5311" t="s">
        <v>40</v>
      </c>
      <c r="D5311">
        <v>4.8055409999999998</v>
      </c>
      <c r="E5311">
        <v>0.52838369999999901</v>
      </c>
      <c r="F5311" t="s">
        <v>42</v>
      </c>
      <c r="G5311">
        <v>-318.03449999999998</v>
      </c>
      <c r="H5311">
        <v>0.97606179999999998</v>
      </c>
      <c r="I5311">
        <v>214.684</v>
      </c>
      <c r="J5311">
        <v>-318.47519999999997</v>
      </c>
      <c r="K5311">
        <v>1.1211880000000001</v>
      </c>
      <c r="L5311">
        <v>214.7346</v>
      </c>
      <c r="M5311">
        <v>0.99993849999999995</v>
      </c>
      <c r="N5311">
        <v>-1.0992419999999999E-2</v>
      </c>
      <c r="O5311">
        <v>-1.426191E-3</v>
      </c>
      <c r="P5311">
        <v>0.98821619999999999</v>
      </c>
      <c r="Q5311">
        <v>0.14715239999999999</v>
      </c>
      <c r="R5311">
        <v>4.2132669999999997E-2</v>
      </c>
      <c r="S5311">
        <v>3.1313170000000001</v>
      </c>
      <c r="T5311">
        <v>-0.58880829999999995</v>
      </c>
      <c r="U5311">
        <v>-0.20538329999999999</v>
      </c>
      <c r="V5311">
        <v>-4.3571119999999998E-2</v>
      </c>
      <c r="W5311">
        <v>0.15799779999999999</v>
      </c>
      <c r="X5311">
        <v>0.98647770000000001</v>
      </c>
      <c r="Y5311">
        <v>6.2885280000000002E-2</v>
      </c>
      <c r="Z5311">
        <v>-5.9540859999999999E-3</v>
      </c>
      <c r="AA5311">
        <v>0.99800299999999997</v>
      </c>
      <c r="AB5311">
        <v>32</v>
      </c>
      <c r="AC5311">
        <v>0.44069999999999199</v>
      </c>
      <c r="AD5311">
        <v>-0.14512619999999901</v>
      </c>
      <c r="AE5311">
        <v>-5.0599999999974402E-2</v>
      </c>
      <c r="AF5311">
        <v>4.5139926950894603E-2</v>
      </c>
      <c r="AG5311">
        <v>-0.14512619999999901</v>
      </c>
      <c r="AH5311">
        <v>0.39815590570481402</v>
      </c>
      <c r="AI5311">
        <v>109.909159192755</v>
      </c>
      <c r="AJ5311">
        <v>83.531852777372606</v>
      </c>
      <c r="AK5311">
        <v>0.42617760637930402</v>
      </c>
      <c r="AL5311">
        <v>80.909299563607902</v>
      </c>
      <c r="AM5311">
        <v>92.529017930855602</v>
      </c>
      <c r="AN5311">
        <v>0.99999999995009203</v>
      </c>
    </row>
    <row r="5312" spans="1:40" x14ac:dyDescent="0.25">
      <c r="A5312" t="str">
        <f>"20190303162017904"</f>
        <v>20190303162017904</v>
      </c>
      <c r="B5312" t="str">
        <f>"1551601217898108"</f>
        <v>1551601217898108</v>
      </c>
      <c r="C5312" t="s">
        <v>40</v>
      </c>
      <c r="D5312">
        <v>4.740418</v>
      </c>
      <c r="E5312">
        <v>0.52551939999999997</v>
      </c>
      <c r="F5312" t="s">
        <v>52</v>
      </c>
      <c r="G5312">
        <v>-238.97</v>
      </c>
      <c r="H5312" s="1">
        <v>3.34949E-6</v>
      </c>
      <c r="I5312">
        <v>212.03399999999999</v>
      </c>
      <c r="J5312">
        <v>-318.1583</v>
      </c>
      <c r="K5312">
        <v>1.1212059999999999</v>
      </c>
      <c r="L5312">
        <v>214.73429999999999</v>
      </c>
      <c r="M5312">
        <v>0.99993840000000001</v>
      </c>
      <c r="N5312">
        <v>-1.1033970000000001E-2</v>
      </c>
      <c r="O5312">
        <v>-1.30164E-3</v>
      </c>
      <c r="P5312">
        <v>0.98816660000000001</v>
      </c>
      <c r="Q5312">
        <v>0.14759220000000001</v>
      </c>
      <c r="R5312">
        <v>4.1755880000000002E-2</v>
      </c>
      <c r="S5312">
        <v>3.0466000000000002</v>
      </c>
      <c r="T5312">
        <v>-4.2963269999999998E-2</v>
      </c>
      <c r="U5312">
        <v>-0.1034851</v>
      </c>
      <c r="V5312">
        <v>-4.3073380000000001E-2</v>
      </c>
      <c r="W5312">
        <v>0.15847749999999999</v>
      </c>
      <c r="X5312">
        <v>0.98642260000000004</v>
      </c>
      <c r="Y5312">
        <v>3.2641049999999998E-2</v>
      </c>
      <c r="Z5312">
        <v>-4.0623759999999998E-4</v>
      </c>
      <c r="AA5312">
        <v>0.99946710000000005</v>
      </c>
      <c r="AB5312">
        <v>32</v>
      </c>
      <c r="AC5312">
        <v>79.188299999999998</v>
      </c>
      <c r="AD5312">
        <v>-1.1212026505099999</v>
      </c>
      <c r="AE5312">
        <v>-2.7002999999999702</v>
      </c>
      <c r="AF5312">
        <v>2.5966968395521199</v>
      </c>
      <c r="AG5312">
        <v>-1.1212026505099999</v>
      </c>
      <c r="AH5312">
        <v>79.175894100925404</v>
      </c>
      <c r="AI5312">
        <v>90.810870189457106</v>
      </c>
      <c r="AJ5312">
        <v>88.121568913663907</v>
      </c>
      <c r="AK5312">
        <v>79.226397977826906</v>
      </c>
      <c r="AL5312">
        <v>80.881463988056197</v>
      </c>
      <c r="AM5312">
        <v>92.500303735498207</v>
      </c>
      <c r="AN5312">
        <v>0.99999998993081696</v>
      </c>
    </row>
    <row r="5313" spans="1:40" x14ac:dyDescent="0.25">
      <c r="A5313" t="str">
        <f>"20190303162017927"</f>
        <v>20190303162017927</v>
      </c>
      <c r="B5313" t="str">
        <f>"1551601217917628"</f>
        <v>1551601217917628</v>
      </c>
      <c r="C5313" t="s">
        <v>40</v>
      </c>
      <c r="D5313">
        <v>4.7201000000000004</v>
      </c>
      <c r="E5313">
        <v>0.52429999999999999</v>
      </c>
      <c r="F5313" t="s">
        <v>49</v>
      </c>
      <c r="G5313">
        <v>-179.94470000000001</v>
      </c>
      <c r="H5313">
        <v>6.3049330000000001E-2</v>
      </c>
      <c r="I5313">
        <v>211.01929999999999</v>
      </c>
      <c r="J5313">
        <v>-317.84519999999998</v>
      </c>
      <c r="K5313">
        <v>1.121218</v>
      </c>
      <c r="L5313">
        <v>214.73400000000001</v>
      </c>
      <c r="M5313">
        <v>0.99993810000000005</v>
      </c>
      <c r="N5313">
        <v>-1.1070999999999999E-2</v>
      </c>
      <c r="O5313">
        <v>-1.1743630000000001E-3</v>
      </c>
      <c r="P5313">
        <v>0.98805679999999996</v>
      </c>
      <c r="Q5313">
        <v>0.1484858</v>
      </c>
      <c r="R5313">
        <v>4.1183230000000001E-2</v>
      </c>
      <c r="S5313">
        <v>3.0428470000000001</v>
      </c>
      <c r="T5313">
        <v>-2.3295880000000001E-2</v>
      </c>
      <c r="U5313">
        <v>-8.1787109999999996E-2</v>
      </c>
      <c r="V5313">
        <v>-4.2376459999999998E-2</v>
      </c>
      <c r="W5313">
        <v>0.15940589999999999</v>
      </c>
      <c r="X5313">
        <v>0.98630320000000005</v>
      </c>
      <c r="Y5313">
        <v>2.5692920000000001E-2</v>
      </c>
      <c r="Z5313">
        <v>-2.4460150000000001E-4</v>
      </c>
      <c r="AA5313">
        <v>0.99966980000000005</v>
      </c>
      <c r="AB5313">
        <v>32</v>
      </c>
      <c r="AC5313">
        <v>137.900499999999</v>
      </c>
      <c r="AD5313">
        <v>-1.0581686699999999</v>
      </c>
      <c r="AE5313">
        <v>-3.7147000000000201</v>
      </c>
      <c r="AF5313">
        <v>3.55253325349089</v>
      </c>
      <c r="AG5313">
        <v>-1.0581686699999999</v>
      </c>
      <c r="AH5313">
        <v>137.896653910048</v>
      </c>
      <c r="AI5313">
        <v>90.439512481453903</v>
      </c>
      <c r="AJ5313">
        <v>88.524256075173199</v>
      </c>
      <c r="AK5313">
        <v>137.94646560546201</v>
      </c>
      <c r="AL5313">
        <v>80.827585809577599</v>
      </c>
      <c r="AM5313">
        <v>92.4601967709349</v>
      </c>
      <c r="AN5313">
        <v>1.0000000038235899</v>
      </c>
    </row>
    <row r="5314" spans="1:40" x14ac:dyDescent="0.25">
      <c r="A5314" t="str">
        <f>"20190303162017948"</f>
        <v>20190303162017948</v>
      </c>
      <c r="B5314" t="str">
        <f>"1551601217937148"</f>
        <v>1551601217937148</v>
      </c>
      <c r="C5314" t="s">
        <v>40</v>
      </c>
      <c r="D5314">
        <v>4.7163250000000003</v>
      </c>
      <c r="E5314">
        <v>0.5243314</v>
      </c>
      <c r="F5314" t="s">
        <v>66</v>
      </c>
      <c r="G5314">
        <v>-121.25279999999999</v>
      </c>
      <c r="H5314">
        <v>0.2249737</v>
      </c>
      <c r="I5314">
        <v>209.96719999999999</v>
      </c>
      <c r="J5314">
        <v>-317.52199999999999</v>
      </c>
      <c r="K5314">
        <v>1.121221</v>
      </c>
      <c r="L5314">
        <v>214.7338</v>
      </c>
      <c r="M5314">
        <v>0.99993779999999999</v>
      </c>
      <c r="N5314">
        <v>-1.110542E-2</v>
      </c>
      <c r="O5314">
        <v>-1.0424360000000001E-3</v>
      </c>
      <c r="P5314">
        <v>0.98796810000000002</v>
      </c>
      <c r="Q5314">
        <v>0.14922820000000001</v>
      </c>
      <c r="R5314">
        <v>4.0623060000000003E-2</v>
      </c>
      <c r="S5314">
        <v>3.0414119999999998</v>
      </c>
      <c r="T5314">
        <v>-1.3864990000000001E-2</v>
      </c>
      <c r="U5314">
        <v>-7.3745729999999995E-2</v>
      </c>
      <c r="V5314">
        <v>-4.1686859999999999E-2</v>
      </c>
      <c r="W5314">
        <v>0.16018170000000001</v>
      </c>
      <c r="X5314">
        <v>0.9862069</v>
      </c>
      <c r="Y5314">
        <v>2.319707E-2</v>
      </c>
      <c r="Z5314">
        <v>-1.8852229999999999E-4</v>
      </c>
      <c r="AA5314">
        <v>0.99973089999999998</v>
      </c>
      <c r="AB5314">
        <v>32</v>
      </c>
      <c r="AC5314">
        <v>196.26920000000001</v>
      </c>
      <c r="AD5314">
        <v>-0.89624729999999997</v>
      </c>
      <c r="AE5314">
        <v>-4.7666000000000102</v>
      </c>
      <c r="AF5314">
        <v>4.5618916451334401</v>
      </c>
      <c r="AG5314">
        <v>-0.89624729999999997</v>
      </c>
      <c r="AH5314">
        <v>196.269972284582</v>
      </c>
      <c r="AI5314">
        <v>90.261563015677297</v>
      </c>
      <c r="AJ5314">
        <v>88.668517237930701</v>
      </c>
      <c r="AK5314">
        <v>196.325026767336</v>
      </c>
      <c r="AL5314">
        <v>80.7825572047864</v>
      </c>
      <c r="AM5314">
        <v>92.420445575442798</v>
      </c>
      <c r="AN5314">
        <v>1.0000000104595701</v>
      </c>
    </row>
    <row r="5315" spans="1:40" x14ac:dyDescent="0.25">
      <c r="A5315" t="str">
        <f>"20190303162017972"</f>
        <v>20190303162017972</v>
      </c>
      <c r="B5315" t="str">
        <f>"1551601217967404"</f>
        <v>1551601217967404</v>
      </c>
      <c r="C5315" t="s">
        <v>40</v>
      </c>
      <c r="D5315">
        <v>4.7346149999999998</v>
      </c>
      <c r="E5315">
        <v>0.52446729999999997</v>
      </c>
      <c r="F5315" t="s">
        <v>66</v>
      </c>
      <c r="G5315">
        <v>-121.253</v>
      </c>
      <c r="H5315">
        <v>0.74527549999999998</v>
      </c>
      <c r="I5315">
        <v>209.8631</v>
      </c>
      <c r="J5315">
        <v>-317.19470000000001</v>
      </c>
      <c r="K5315">
        <v>1.1212249999999999</v>
      </c>
      <c r="L5315">
        <v>214.73349999999999</v>
      </c>
      <c r="M5315">
        <v>0.99993770000000004</v>
      </c>
      <c r="N5315">
        <v>-1.113665E-2</v>
      </c>
      <c r="O5315">
        <v>-9.0966259999999998E-4</v>
      </c>
      <c r="P5315">
        <v>0.98805010000000004</v>
      </c>
      <c r="Q5315">
        <v>0.1488969</v>
      </c>
      <c r="R5315">
        <v>3.9836730000000001E-2</v>
      </c>
      <c r="S5315">
        <v>3.0404969999999998</v>
      </c>
      <c r="T5315">
        <v>-5.8234929999999999E-3</v>
      </c>
      <c r="U5315">
        <v>-7.5454709999999994E-2</v>
      </c>
      <c r="V5315">
        <v>-4.0770420000000002E-2</v>
      </c>
      <c r="W5315">
        <v>0.15988179999999999</v>
      </c>
      <c r="X5315">
        <v>0.98629389999999995</v>
      </c>
      <c r="Y5315">
        <v>2.389923E-2</v>
      </c>
      <c r="Z5315">
        <v>-1.64375099999999E-4</v>
      </c>
      <c r="AA5315">
        <v>0.9997144</v>
      </c>
      <c r="AB5315">
        <v>32</v>
      </c>
      <c r="AC5315">
        <v>195.9417</v>
      </c>
      <c r="AD5315">
        <v>-0.37594949999999999</v>
      </c>
      <c r="AE5315">
        <v>-4.8703999999999796</v>
      </c>
      <c r="AF5315">
        <v>4.6921288544191304</v>
      </c>
      <c r="AG5315">
        <v>-0.37594949999999999</v>
      </c>
      <c r="AH5315">
        <v>195.94532872046301</v>
      </c>
      <c r="AI5315">
        <v>90.109898614381805</v>
      </c>
      <c r="AJ5315">
        <v>88.628250981394004</v>
      </c>
      <c r="AK5315">
        <v>196.00186034469999</v>
      </c>
      <c r="AL5315">
        <v>80.799964804877405</v>
      </c>
      <c r="AM5315">
        <v>92.367087364888903</v>
      </c>
      <c r="AN5315">
        <v>1.00000003714771</v>
      </c>
    </row>
    <row r="5316" spans="1:40" x14ac:dyDescent="0.25">
      <c r="A5316" t="str">
        <f>"20190303162017993"</f>
        <v>20190303162017993</v>
      </c>
      <c r="B5316" t="str">
        <f>"1551601217987900"</f>
        <v>1551601217987900</v>
      </c>
      <c r="C5316" t="s">
        <v>40</v>
      </c>
      <c r="D5316">
        <v>4.7721470000000004</v>
      </c>
      <c r="E5316">
        <v>0.52455959999999902</v>
      </c>
      <c r="F5316" t="s">
        <v>66</v>
      </c>
      <c r="G5316">
        <v>-138.91309999999999</v>
      </c>
      <c r="H5316">
        <v>1.0089109999999999</v>
      </c>
      <c r="I5316">
        <v>210.1147</v>
      </c>
      <c r="J5316">
        <v>-316.87270000000001</v>
      </c>
      <c r="K5316">
        <v>1.121229</v>
      </c>
      <c r="L5316">
        <v>214.73339999999999</v>
      </c>
      <c r="M5316">
        <v>0.99993739999999998</v>
      </c>
      <c r="N5316">
        <v>-1.1164260000000001E-2</v>
      </c>
      <c r="O5316">
        <v>-7.7985369999999997E-4</v>
      </c>
      <c r="P5316">
        <v>0.98805920000000003</v>
      </c>
      <c r="Q5316">
        <v>0.14887890000000001</v>
      </c>
      <c r="R5316">
        <v>3.9678209999999998E-2</v>
      </c>
      <c r="S5316">
        <v>3.0397029999999998</v>
      </c>
      <c r="T5316">
        <v>-1.9143820000000001E-3</v>
      </c>
      <c r="U5316">
        <v>-7.8750609999999999E-2</v>
      </c>
      <c r="V5316">
        <v>-4.048442E-2</v>
      </c>
      <c r="W5316">
        <v>0.15989120000000001</v>
      </c>
      <c r="X5316">
        <v>0.98630410000000002</v>
      </c>
      <c r="Y5316">
        <v>2.5118950000000001E-2</v>
      </c>
      <c r="Z5316">
        <v>-1.563682E-4</v>
      </c>
      <c r="AA5316">
        <v>0.99968449999999998</v>
      </c>
      <c r="AB5316">
        <v>32</v>
      </c>
      <c r="AC5316">
        <v>177.95959999999999</v>
      </c>
      <c r="AD5316">
        <v>-0.112317999999999</v>
      </c>
      <c r="AE5316">
        <v>-4.6186999999999898</v>
      </c>
      <c r="AF5316">
        <v>4.4799057133845297</v>
      </c>
      <c r="AG5316">
        <v>-0.112317999999999</v>
      </c>
      <c r="AH5316">
        <v>177.963077170513</v>
      </c>
      <c r="AI5316">
        <v>90.0361496809779</v>
      </c>
      <c r="AJ5316">
        <v>88.557984633142894</v>
      </c>
      <c r="AK5316">
        <v>178.01949052430101</v>
      </c>
      <c r="AL5316">
        <v>80.799418683544403</v>
      </c>
      <c r="AM5316">
        <v>92.350476916988896</v>
      </c>
      <c r="AN5316">
        <v>0.99999998088849296</v>
      </c>
    </row>
    <row r="5317" spans="1:40" x14ac:dyDescent="0.25">
      <c r="A5317" t="str">
        <f>"20190303162018017"</f>
        <v>20190303162018017</v>
      </c>
      <c r="B5317" t="str">
        <f>"1551601218007419"</f>
        <v>1551601218007419</v>
      </c>
      <c r="C5317" t="s">
        <v>40</v>
      </c>
      <c r="D5317">
        <v>4.803051</v>
      </c>
      <c r="E5317">
        <v>0.52486840000000001</v>
      </c>
      <c r="F5317" t="s">
        <v>66</v>
      </c>
      <c r="G5317">
        <v>-138.91309999999999</v>
      </c>
      <c r="H5317">
        <v>1.027555</v>
      </c>
      <c r="I5317">
        <v>210.0496</v>
      </c>
      <c r="J5317">
        <v>-316.5446</v>
      </c>
      <c r="K5317">
        <v>1.1212260000000001</v>
      </c>
      <c r="L5317">
        <v>214.73330000000001</v>
      </c>
      <c r="M5317">
        <v>0.99993719999999997</v>
      </c>
      <c r="N5317">
        <v>-1.118944E-2</v>
      </c>
      <c r="O5317">
        <v>-6.4860519999999997E-4</v>
      </c>
      <c r="P5317">
        <v>0.98791209999999996</v>
      </c>
      <c r="Q5317">
        <v>0.14983450000000001</v>
      </c>
      <c r="R5317">
        <v>3.9739610000000002E-2</v>
      </c>
      <c r="S5317">
        <v>3.0396730000000001</v>
      </c>
      <c r="T5317">
        <v>-1.5994309999999999E-3</v>
      </c>
      <c r="U5317">
        <v>-8.0001829999999996E-2</v>
      </c>
      <c r="V5317">
        <v>-4.0416769999999998E-2</v>
      </c>
      <c r="W5317">
        <v>0.1608697</v>
      </c>
      <c r="X5317">
        <v>0.98614780000000002</v>
      </c>
      <c r="Y5317">
        <v>2.5661650000000001E-2</v>
      </c>
      <c r="Z5317">
        <v>-1.5726490000000001E-4</v>
      </c>
      <c r="AA5317">
        <v>0.99967070000000002</v>
      </c>
      <c r="AB5317">
        <v>32</v>
      </c>
      <c r="AC5317">
        <v>177.63149999999999</v>
      </c>
      <c r="AD5317">
        <v>-9.3671000000000004E-2</v>
      </c>
      <c r="AE5317">
        <v>-4.6837000000000097</v>
      </c>
      <c r="AF5317">
        <v>4.5684778190075299</v>
      </c>
      <c r="AG5317">
        <v>-9.3671000000000004E-2</v>
      </c>
      <c r="AH5317">
        <v>177.63445133152501</v>
      </c>
      <c r="AI5317">
        <v>90.030203478854006</v>
      </c>
      <c r="AJ5317">
        <v>88.526767711058795</v>
      </c>
      <c r="AK5317">
        <v>177.693213330422</v>
      </c>
      <c r="AL5317">
        <v>80.742619964430304</v>
      </c>
      <c r="AM5317">
        <v>92.346925135596607</v>
      </c>
      <c r="AN5317">
        <v>1.0000000295600799</v>
      </c>
    </row>
    <row r="5318" spans="1:40" x14ac:dyDescent="0.25">
      <c r="A5318" t="str">
        <f>"20190303162018040"</f>
        <v>20190303162018040</v>
      </c>
      <c r="B5318" t="str">
        <f>"1551601218027918"</f>
        <v>1551601218027918</v>
      </c>
      <c r="C5318" t="s">
        <v>40</v>
      </c>
      <c r="D5318">
        <v>4.7839700000000001</v>
      </c>
      <c r="E5318">
        <v>0.5249606</v>
      </c>
      <c r="F5318" t="s">
        <v>66</v>
      </c>
      <c r="G5318">
        <v>-150.34829999999999</v>
      </c>
      <c r="H5318">
        <v>1.0649850000000001</v>
      </c>
      <c r="I5318">
        <v>210.23050000000001</v>
      </c>
      <c r="J5318">
        <v>-316.21460000000002</v>
      </c>
      <c r="K5318">
        <v>1.1212329999999999</v>
      </c>
      <c r="L5318">
        <v>214.73320000000001</v>
      </c>
      <c r="M5318">
        <v>0.99993710000000002</v>
      </c>
      <c r="N5318">
        <v>-1.121197E-2</v>
      </c>
      <c r="O5318">
        <v>-5.1722629999999996E-4</v>
      </c>
      <c r="P5318">
        <v>0.98792400000000002</v>
      </c>
      <c r="Q5318">
        <v>0.14972969999999999</v>
      </c>
      <c r="R5318">
        <v>3.9842429999999998E-2</v>
      </c>
      <c r="S5318">
        <v>3.0401609999999999</v>
      </c>
      <c r="T5318">
        <v>-1.0281800000000001E-3</v>
      </c>
      <c r="U5318">
        <v>-8.236694E-2</v>
      </c>
      <c r="V5318">
        <v>-4.0390519999999999E-2</v>
      </c>
      <c r="W5318">
        <v>0.1607874</v>
      </c>
      <c r="X5318">
        <v>0.98616219999999999</v>
      </c>
      <c r="Y5318">
        <v>2.656592E-2</v>
      </c>
      <c r="Z5318">
        <v>-1.5907519999999999E-4</v>
      </c>
      <c r="AA5318">
        <v>0.99964699999999995</v>
      </c>
      <c r="AB5318">
        <v>32</v>
      </c>
      <c r="AC5318">
        <v>165.8663</v>
      </c>
      <c r="AD5318">
        <v>-5.6247999999999798E-2</v>
      </c>
      <c r="AE5318">
        <v>-4.5026999999999999</v>
      </c>
      <c r="AF5318">
        <v>4.4169030923440404</v>
      </c>
      <c r="AG5318">
        <v>-5.6247999999999798E-2</v>
      </c>
      <c r="AH5318">
        <v>165.86858781088901</v>
      </c>
      <c r="AI5318">
        <v>90.019422790646601</v>
      </c>
      <c r="AJ5318">
        <v>88.474635148216194</v>
      </c>
      <c r="AK5318">
        <v>165.92739562574801</v>
      </c>
      <c r="AL5318">
        <v>80.747396703008405</v>
      </c>
      <c r="AM5318">
        <v>92.345368341233794</v>
      </c>
      <c r="AN5318">
        <v>0.99999993340673299</v>
      </c>
    </row>
    <row r="5319" spans="1:40" x14ac:dyDescent="0.25">
      <c r="A5319" t="str">
        <f>"20190303162018062"</f>
        <v>20190303162018062</v>
      </c>
      <c r="B5319" t="str">
        <f>"1551601218047250"</f>
        <v>1551601218047250</v>
      </c>
      <c r="C5319" t="s">
        <v>40</v>
      </c>
      <c r="D5319">
        <v>4.7782589999999896</v>
      </c>
      <c r="E5319">
        <v>0.52513469999999995</v>
      </c>
      <c r="F5319" t="s">
        <v>66</v>
      </c>
      <c r="G5319">
        <v>-151.256</v>
      </c>
      <c r="H5319">
        <v>1.0772079999999999</v>
      </c>
      <c r="I5319">
        <v>210.23079999999999</v>
      </c>
      <c r="J5319">
        <v>-315.88690000000003</v>
      </c>
      <c r="K5319">
        <v>1.1212340000000001</v>
      </c>
      <c r="L5319">
        <v>214.73320000000001</v>
      </c>
      <c r="M5319">
        <v>0.99993690000000002</v>
      </c>
      <c r="N5319">
        <v>-1.123184E-2</v>
      </c>
      <c r="O5319">
        <v>-3.8643450000000001E-4</v>
      </c>
      <c r="P5319">
        <v>0.9879329</v>
      </c>
      <c r="Q5319">
        <v>0.1496546</v>
      </c>
      <c r="R5319">
        <v>3.9901039999999999E-2</v>
      </c>
      <c r="S5319">
        <v>3.0401310000000001</v>
      </c>
      <c r="T5319">
        <v>-8.1074239999999996E-4</v>
      </c>
      <c r="U5319">
        <v>-8.2977289999999995E-2</v>
      </c>
      <c r="V5319">
        <v>-4.0319870000000001E-2</v>
      </c>
      <c r="W5319">
        <v>0.16073229999999999</v>
      </c>
      <c r="X5319">
        <v>0.9861742</v>
      </c>
      <c r="Y5319">
        <v>2.6897500000000001E-2</v>
      </c>
      <c r="Z5319">
        <v>-1.5890969999999999E-4</v>
      </c>
      <c r="AA5319">
        <v>0.99963820000000003</v>
      </c>
      <c r="AB5319">
        <v>32</v>
      </c>
      <c r="AC5319">
        <v>164.6309</v>
      </c>
      <c r="AD5319">
        <v>-4.40260000000001E-2</v>
      </c>
      <c r="AE5319">
        <v>-4.5024000000000202</v>
      </c>
      <c r="AF5319">
        <v>4.4387762771904899</v>
      </c>
      <c r="AG5319">
        <v>-4.40260000000001E-2</v>
      </c>
      <c r="AH5319">
        <v>164.632615933642</v>
      </c>
      <c r="AI5319">
        <v>90.015316452135295</v>
      </c>
      <c r="AJ5319">
        <v>88.455582164202994</v>
      </c>
      <c r="AK5319">
        <v>164.69244943919401</v>
      </c>
      <c r="AL5319">
        <v>80.750596469952001</v>
      </c>
      <c r="AM5319">
        <v>92.3412419984883</v>
      </c>
      <c r="AN5319">
        <v>1.0000000584628701</v>
      </c>
    </row>
    <row r="5320" spans="1:40" x14ac:dyDescent="0.25">
      <c r="A5320" t="str">
        <f>"20190303162018084"</f>
        <v>20190303162018084</v>
      </c>
      <c r="B5320" t="str">
        <f>"1551601218077505"</f>
        <v>1551601218077505</v>
      </c>
      <c r="C5320" t="s">
        <v>40</v>
      </c>
      <c r="D5320">
        <v>4.7099190000000002</v>
      </c>
      <c r="E5320">
        <v>0.52524209999999905</v>
      </c>
      <c r="F5320" t="s">
        <v>66</v>
      </c>
      <c r="G5320">
        <v>-151.66849999999999</v>
      </c>
      <c r="H5320">
        <v>1.009371</v>
      </c>
      <c r="I5320">
        <v>210.18369999999999</v>
      </c>
      <c r="J5320">
        <v>-315.57209999999998</v>
      </c>
      <c r="K5320">
        <v>1.121243</v>
      </c>
      <c r="L5320">
        <v>214.73320000000001</v>
      </c>
      <c r="M5320">
        <v>0.99993670000000001</v>
      </c>
      <c r="N5320">
        <v>-1.1248859999999999E-2</v>
      </c>
      <c r="O5320">
        <v>-2.6039990000000001E-4</v>
      </c>
      <c r="P5320">
        <v>0.98792800000000003</v>
      </c>
      <c r="Q5320">
        <v>0.1496441</v>
      </c>
      <c r="R5320">
        <v>4.0061260000000001E-2</v>
      </c>
      <c r="S5320">
        <v>3.040375</v>
      </c>
      <c r="T5320">
        <v>-2.0704270000000001E-3</v>
      </c>
      <c r="U5320">
        <v>-8.4228520000000001E-2</v>
      </c>
      <c r="V5320">
        <v>-4.0356040000000003E-2</v>
      </c>
      <c r="W5320">
        <v>0.1607384</v>
      </c>
      <c r="X5320">
        <v>0.98617169999999998</v>
      </c>
      <c r="Y5320">
        <v>2.74323E-2</v>
      </c>
      <c r="Z5320">
        <v>-1.6641590000000001E-4</v>
      </c>
      <c r="AA5320">
        <v>0.9996237</v>
      </c>
      <c r="AB5320">
        <v>32</v>
      </c>
      <c r="AC5320">
        <v>163.90359999999899</v>
      </c>
      <c r="AD5320">
        <v>-0.111871999999999</v>
      </c>
      <c r="AE5320">
        <v>-4.5495000000000196</v>
      </c>
      <c r="AF5320">
        <v>4.5068145663077104</v>
      </c>
      <c r="AG5320">
        <v>-0.111871999999999</v>
      </c>
      <c r="AH5320">
        <v>163.904702906913</v>
      </c>
      <c r="AI5320">
        <v>90.039092049313595</v>
      </c>
      <c r="AJ5320">
        <v>88.424960348235004</v>
      </c>
      <c r="AK5320">
        <v>163.96669029983801</v>
      </c>
      <c r="AL5320">
        <v>80.750242119551103</v>
      </c>
      <c r="AM5320">
        <v>92.343345864791502</v>
      </c>
      <c r="AN5320">
        <v>1.0000000325399601</v>
      </c>
    </row>
    <row r="5321" spans="1:40" x14ac:dyDescent="0.25">
      <c r="A5321" t="str">
        <f>"20190303162018106"</f>
        <v>20190303162018106</v>
      </c>
      <c r="B5321" t="str">
        <f>"1551601218098001"</f>
        <v>1551601218098001</v>
      </c>
      <c r="C5321" t="s">
        <v>40</v>
      </c>
      <c r="D5321">
        <v>4.706442</v>
      </c>
      <c r="E5321">
        <v>0.52537800000000001</v>
      </c>
      <c r="F5321" t="s">
        <v>66</v>
      </c>
      <c r="G5321">
        <v>-151.66849999999999</v>
      </c>
      <c r="H5321">
        <v>1.0052719999999999</v>
      </c>
      <c r="I5321">
        <v>210.1711</v>
      </c>
      <c r="J5321">
        <v>-315.25029999999998</v>
      </c>
      <c r="K5321">
        <v>1.12124</v>
      </c>
      <c r="L5321">
        <v>214.73320000000001</v>
      </c>
      <c r="M5321">
        <v>0.99993670000000001</v>
      </c>
      <c r="N5321">
        <v>-1.126458E-2</v>
      </c>
      <c r="O5321">
        <v>-1.315012E-4</v>
      </c>
      <c r="P5321">
        <v>0.98790529999999999</v>
      </c>
      <c r="Q5321">
        <v>0.14975329999999901</v>
      </c>
      <c r="R5321">
        <v>4.0218120000000003E-2</v>
      </c>
      <c r="S5321">
        <v>3.0404049999999998</v>
      </c>
      <c r="T5321">
        <v>-2.150655E-3</v>
      </c>
      <c r="U5321">
        <v>-8.4625240000000004E-2</v>
      </c>
      <c r="V5321">
        <v>-4.0385780000000003E-2</v>
      </c>
      <c r="W5321">
        <v>0.1608627</v>
      </c>
      <c r="X5321">
        <v>0.98615019999999998</v>
      </c>
      <c r="Y5321">
        <v>2.7691199999999999E-2</v>
      </c>
      <c r="Z5321">
        <v>-1.67180299999999E-4</v>
      </c>
      <c r="AA5321">
        <v>0.99961650000000002</v>
      </c>
      <c r="AB5321">
        <v>32</v>
      </c>
      <c r="AC5321">
        <v>163.58179999999999</v>
      </c>
      <c r="AD5321">
        <v>-0.115968</v>
      </c>
      <c r="AE5321">
        <v>-4.5621000000000098</v>
      </c>
      <c r="AF5321">
        <v>4.5405851157524699</v>
      </c>
      <c r="AG5321">
        <v>-0.115968</v>
      </c>
      <c r="AH5321">
        <v>163.58231639551599</v>
      </c>
      <c r="AI5321">
        <v>90.040602907541697</v>
      </c>
      <c r="AJ5321">
        <v>88.410038525150199</v>
      </c>
      <c r="AK5321">
        <v>163.645362290207</v>
      </c>
      <c r="AL5321">
        <v>80.743026221343996</v>
      </c>
      <c r="AM5321">
        <v>92.345121914035204</v>
      </c>
      <c r="AN5321">
        <v>1.0000000182187601</v>
      </c>
    </row>
    <row r="5322" spans="1:40" x14ac:dyDescent="0.25">
      <c r="A5322" t="str">
        <f>"20190303162018128"</f>
        <v>20190303162018128</v>
      </c>
      <c r="B5322" t="str">
        <f>"1551601218117520"</f>
        <v>1551601218117520</v>
      </c>
      <c r="C5322" t="s">
        <v>40</v>
      </c>
      <c r="D5322">
        <v>4.6571170000000004</v>
      </c>
      <c r="E5322">
        <v>0.52548819999999996</v>
      </c>
      <c r="F5322" t="s">
        <v>66</v>
      </c>
      <c r="G5322">
        <v>-151.66849999999999</v>
      </c>
      <c r="H5322">
        <v>1.0212019999999999</v>
      </c>
      <c r="I5322">
        <v>210.1507</v>
      </c>
      <c r="J5322">
        <v>-314.94170000000003</v>
      </c>
      <c r="K5322">
        <v>1.12124</v>
      </c>
      <c r="L5322">
        <v>214.73330000000001</v>
      </c>
      <c r="M5322">
        <v>0.9999363</v>
      </c>
      <c r="N5322">
        <v>-1.128125E-2</v>
      </c>
      <c r="O5322" s="1">
        <v>-7.7327219999999999E-6</v>
      </c>
      <c r="P5322">
        <v>0.98788189999999998</v>
      </c>
      <c r="Q5322">
        <v>0.14968970000000001</v>
      </c>
      <c r="R5322">
        <v>4.1015290000000003E-2</v>
      </c>
      <c r="S5322">
        <v>3.0404659999999999</v>
      </c>
      <c r="T5322">
        <v>-1.8587110000000001E-3</v>
      </c>
      <c r="U5322">
        <v>-8.5174559999999996E-2</v>
      </c>
      <c r="V5322">
        <v>-4.1060409999999999E-2</v>
      </c>
      <c r="W5322">
        <v>0.16081519999999999</v>
      </c>
      <c r="X5322">
        <v>0.98613010000000001</v>
      </c>
      <c r="Y5322">
        <v>2.799484E-2</v>
      </c>
      <c r="Z5322">
        <v>-1.6658250000000001E-4</v>
      </c>
      <c r="AA5322">
        <v>0.99960800000000005</v>
      </c>
      <c r="AB5322">
        <v>32</v>
      </c>
      <c r="AC5322">
        <v>163.2732</v>
      </c>
      <c r="AD5322">
        <v>-0.100038</v>
      </c>
      <c r="AE5322">
        <v>-4.58260000000001</v>
      </c>
      <c r="AF5322">
        <v>4.5813356546649597</v>
      </c>
      <c r="AG5322">
        <v>-0.100038</v>
      </c>
      <c r="AH5322">
        <v>163.273174188008</v>
      </c>
      <c r="AI5322">
        <v>90.035091492860303</v>
      </c>
      <c r="AJ5322">
        <v>88.392740616048101</v>
      </c>
      <c r="AK5322">
        <v>163.33746677786399</v>
      </c>
      <c r="AL5322">
        <v>80.745783780716096</v>
      </c>
      <c r="AM5322">
        <v>92.384300039903593</v>
      </c>
      <c r="AN5322">
        <v>1.0000000299731999</v>
      </c>
    </row>
    <row r="5323" spans="1:40" x14ac:dyDescent="0.25">
      <c r="A5323" t="str">
        <f>"20190303162018151"</f>
        <v>20190303162018151</v>
      </c>
      <c r="B5323" t="str">
        <f>"1551601218137697"</f>
        <v>1551601218137697</v>
      </c>
      <c r="C5323" t="s">
        <v>40</v>
      </c>
      <c r="D5323">
        <v>4.5775300000000003</v>
      </c>
      <c r="E5323">
        <v>0.52550010000000003</v>
      </c>
      <c r="F5323" t="s">
        <v>66</v>
      </c>
      <c r="G5323">
        <v>-151.62970000000001</v>
      </c>
      <c r="H5323">
        <v>1.13666</v>
      </c>
      <c r="I5323">
        <v>210.23089999999999</v>
      </c>
      <c r="J5323">
        <v>-314.60919999999999</v>
      </c>
      <c r="K5323">
        <v>1.121243</v>
      </c>
      <c r="L5323">
        <v>214.73339999999999</v>
      </c>
      <c r="M5323">
        <v>0.9999363</v>
      </c>
      <c r="N5323">
        <v>-1.1301149999999999E-2</v>
      </c>
      <c r="O5323">
        <v>1.2519859999999999E-4</v>
      </c>
      <c r="P5323">
        <v>0.9879656</v>
      </c>
      <c r="Q5323">
        <v>0.14897650000000001</v>
      </c>
      <c r="R5323">
        <v>4.1593499999999999E-2</v>
      </c>
      <c r="S5323">
        <v>3.040222</v>
      </c>
      <c r="T5323">
        <v>2.87652E-4</v>
      </c>
      <c r="U5323">
        <v>-8.381653E-2</v>
      </c>
      <c r="V5323">
        <v>-4.1507620000000002E-2</v>
      </c>
      <c r="W5323">
        <v>0.1601223</v>
      </c>
      <c r="X5323">
        <v>0.98622410000000005</v>
      </c>
      <c r="Y5323">
        <v>2.7683909999999999E-2</v>
      </c>
      <c r="Z5323">
        <v>-1.537287E-4</v>
      </c>
      <c r="AA5323">
        <v>0.99961670000000002</v>
      </c>
      <c r="AB5323">
        <v>32</v>
      </c>
      <c r="AC5323">
        <v>162.97949999999901</v>
      </c>
      <c r="AD5323">
        <v>1.5417E-2</v>
      </c>
      <c r="AE5323">
        <v>-4.5024999999999897</v>
      </c>
      <c r="AF5323">
        <v>4.5229060292046697</v>
      </c>
      <c r="AG5323">
        <v>1.5417E-2</v>
      </c>
      <c r="AH5323">
        <v>162.978933522658</v>
      </c>
      <c r="AI5323">
        <v>89.994582188863802</v>
      </c>
      <c r="AJ5323">
        <v>88.410365525315598</v>
      </c>
      <c r="AK5323">
        <v>163.04168083289599</v>
      </c>
      <c r="AL5323">
        <v>80.786005022069602</v>
      </c>
      <c r="AM5323">
        <v>92.410008758677094</v>
      </c>
      <c r="AN5323">
        <v>1.0000000044480799</v>
      </c>
    </row>
    <row r="5324" spans="1:40" x14ac:dyDescent="0.25">
      <c r="A5324" t="str">
        <f>"20190303162018173"</f>
        <v>20190303162018173</v>
      </c>
      <c r="B5324" t="str">
        <f>"1551601218167952"</f>
        <v>1551601218167952</v>
      </c>
      <c r="C5324" t="s">
        <v>40</v>
      </c>
      <c r="D5324">
        <v>4.4620559999999996</v>
      </c>
      <c r="E5324">
        <v>0.52515480000000003</v>
      </c>
      <c r="F5324" t="s">
        <v>66</v>
      </c>
      <c r="G5324">
        <v>-138.91309999999999</v>
      </c>
      <c r="H5324">
        <v>0.94190600000000002</v>
      </c>
      <c r="I5324">
        <v>209.9888</v>
      </c>
      <c r="J5324">
        <v>-314.28019999999998</v>
      </c>
      <c r="K5324">
        <v>1.1212420000000001</v>
      </c>
      <c r="L5324">
        <v>214.7336</v>
      </c>
      <c r="M5324">
        <v>0.99993589999999999</v>
      </c>
      <c r="N5324">
        <v>-1.132122E-2</v>
      </c>
      <c r="O5324">
        <v>2.5675600000000002E-4</v>
      </c>
      <c r="P5324">
        <v>0.98790929999999999</v>
      </c>
      <c r="Q5324">
        <v>0.1491458</v>
      </c>
      <c r="R5324">
        <v>4.2322390000000001E-2</v>
      </c>
      <c r="S5324">
        <v>3.0404659999999999</v>
      </c>
      <c r="T5324">
        <v>-3.1028990000000001E-3</v>
      </c>
      <c r="U5324">
        <v>-8.2107540000000007E-2</v>
      </c>
      <c r="V5324">
        <v>-4.2107310000000002E-2</v>
      </c>
      <c r="W5324">
        <v>0.1603106</v>
      </c>
      <c r="X5324">
        <v>0.98616809999999999</v>
      </c>
      <c r="Y5324">
        <v>2.7251569999999999E-2</v>
      </c>
      <c r="Z5324">
        <v>-1.6555270000000001E-4</v>
      </c>
      <c r="AA5324">
        <v>0.99962859999999998</v>
      </c>
      <c r="AB5324">
        <v>32</v>
      </c>
      <c r="AC5324">
        <v>175.36709999999999</v>
      </c>
      <c r="AD5324">
        <v>-0.179336</v>
      </c>
      <c r="AE5324">
        <v>-4.7447999999999899</v>
      </c>
      <c r="AF5324">
        <v>4.7898242781934499</v>
      </c>
      <c r="AG5324">
        <v>-0.179336</v>
      </c>
      <c r="AH5324">
        <v>175.36569262581801</v>
      </c>
      <c r="AI5324">
        <v>90.058571101225496</v>
      </c>
      <c r="AJ5324">
        <v>88.435449390524894</v>
      </c>
      <c r="AK5324">
        <v>175.43118516429701</v>
      </c>
      <c r="AL5324">
        <v>80.775075155894797</v>
      </c>
      <c r="AM5324">
        <v>92.444924575266199</v>
      </c>
      <c r="AN5324">
        <v>1.0000000177427</v>
      </c>
    </row>
    <row r="5325" spans="1:40" x14ac:dyDescent="0.25">
      <c r="A5325" t="str">
        <f>"20190303162018196"</f>
        <v>20190303162018196</v>
      </c>
      <c r="B5325" t="str">
        <f>"1551601218187472"</f>
        <v>1551601218187472</v>
      </c>
      <c r="C5325" t="s">
        <v>40</v>
      </c>
      <c r="D5325">
        <v>4.3813870000000001</v>
      </c>
      <c r="E5325">
        <v>0.52502890000000002</v>
      </c>
      <c r="F5325" t="s">
        <v>66</v>
      </c>
      <c r="G5325">
        <v>-121.253</v>
      </c>
      <c r="H5325">
        <v>0.859382599999999</v>
      </c>
      <c r="I5325">
        <v>209.84379999999999</v>
      </c>
      <c r="J5325">
        <v>-313.95729999999998</v>
      </c>
      <c r="K5325">
        <v>1.121248</v>
      </c>
      <c r="L5325">
        <v>214.7338</v>
      </c>
      <c r="M5325">
        <v>0.99993569999999998</v>
      </c>
      <c r="N5325">
        <v>-1.1340299999999999E-2</v>
      </c>
      <c r="O5325">
        <v>3.8593230000000001E-4</v>
      </c>
      <c r="P5325">
        <v>0.98783319999999997</v>
      </c>
      <c r="Q5325">
        <v>0.1494934</v>
      </c>
      <c r="R5325">
        <v>4.2868669999999998E-2</v>
      </c>
      <c r="S5325">
        <v>3.040619</v>
      </c>
      <c r="T5325">
        <v>-4.1244029999999996E-3</v>
      </c>
      <c r="U5325">
        <v>-7.7026369999999997E-2</v>
      </c>
      <c r="V5325">
        <v>-4.2526080000000001E-2</v>
      </c>
      <c r="W5325">
        <v>0.16067629999999999</v>
      </c>
      <c r="X5325">
        <v>0.98609060000000004</v>
      </c>
      <c r="Y5325">
        <v>2.5709929999999999E-2</v>
      </c>
      <c r="Z5325">
        <v>-1.5938930000000001E-4</v>
      </c>
      <c r="AA5325">
        <v>0.99966940000000004</v>
      </c>
      <c r="AB5325">
        <v>32</v>
      </c>
      <c r="AC5325">
        <v>192.70429999999999</v>
      </c>
      <c r="AD5325">
        <v>-0.26186540000000003</v>
      </c>
      <c r="AE5325">
        <v>-4.8900000000000103</v>
      </c>
      <c r="AF5325">
        <v>4.9643660650041204</v>
      </c>
      <c r="AG5325">
        <v>-0.26186540000000003</v>
      </c>
      <c r="AH5325">
        <v>192.702042701853</v>
      </c>
      <c r="AI5325">
        <v>90.077834134235601</v>
      </c>
      <c r="AJ5325">
        <v>88.524279659997404</v>
      </c>
      <c r="AK5325">
        <v>192.76615565337599</v>
      </c>
      <c r="AL5325">
        <v>80.753846797496195</v>
      </c>
      <c r="AM5325">
        <v>92.4694039687474</v>
      </c>
      <c r="AN5325">
        <v>1.0000000061351</v>
      </c>
    </row>
    <row r="5326" spans="1:40" x14ac:dyDescent="0.25">
      <c r="A5326" t="str">
        <f>"20190303162018217"</f>
        <v>20190303162018217</v>
      </c>
      <c r="B5326" t="str">
        <f>"1551601218207972"</f>
        <v>1551601218207972</v>
      </c>
      <c r="C5326" t="s">
        <v>40</v>
      </c>
      <c r="D5326">
        <v>4.3349630000000001</v>
      </c>
      <c r="E5326">
        <v>0.52493199999999995</v>
      </c>
      <c r="F5326" t="s">
        <v>66</v>
      </c>
      <c r="G5326">
        <v>-121.253</v>
      </c>
      <c r="H5326">
        <v>1.002405</v>
      </c>
      <c r="I5326">
        <v>210.02109999999999</v>
      </c>
      <c r="J5326">
        <v>-313.64460000000003</v>
      </c>
      <c r="K5326">
        <v>1.121248</v>
      </c>
      <c r="L5326">
        <v>214.73410000000001</v>
      </c>
      <c r="M5326">
        <v>0.99993540000000003</v>
      </c>
      <c r="N5326">
        <v>-1.135952E-2</v>
      </c>
      <c r="O5326">
        <v>5.1135109999999998E-4</v>
      </c>
      <c r="P5326">
        <v>0.98780979999999996</v>
      </c>
      <c r="Q5326">
        <v>0.14961350000000001</v>
      </c>
      <c r="R5326">
        <v>4.2984599999999998E-2</v>
      </c>
      <c r="S5326">
        <v>3.0404360000000001</v>
      </c>
      <c r="T5326">
        <v>-1.874566E-3</v>
      </c>
      <c r="U5326">
        <v>-7.4356080000000005E-2</v>
      </c>
      <c r="V5326">
        <v>-4.2518060000000003E-2</v>
      </c>
      <c r="W5326">
        <v>0.16081509999999999</v>
      </c>
      <c r="X5326">
        <v>0.98606830000000001</v>
      </c>
      <c r="Y5326">
        <v>2.4959530000000001E-2</v>
      </c>
      <c r="Z5326">
        <v>-1.4399049999999999E-4</v>
      </c>
      <c r="AA5326">
        <v>0.99968840000000003</v>
      </c>
      <c r="AB5326">
        <v>32</v>
      </c>
      <c r="AC5326">
        <v>192.39160000000001</v>
      </c>
      <c r="AD5326">
        <v>-0.118843</v>
      </c>
      <c r="AE5326">
        <v>-4.7130000000000196</v>
      </c>
      <c r="AF5326">
        <v>4.8113835481236604</v>
      </c>
      <c r="AG5326">
        <v>-0.118843</v>
      </c>
      <c r="AH5326">
        <v>192.389091324356</v>
      </c>
      <c r="AI5326">
        <v>90.035381803975199</v>
      </c>
      <c r="AJ5326">
        <v>88.567410868441698</v>
      </c>
      <c r="AK5326">
        <v>192.44928161964501</v>
      </c>
      <c r="AL5326">
        <v>80.745789185041602</v>
      </c>
      <c r="AM5326">
        <v>92.468994605926895</v>
      </c>
      <c r="AN5326">
        <v>0.99999998703953097</v>
      </c>
    </row>
    <row r="5327" spans="1:40" x14ac:dyDescent="0.25">
      <c r="A5327" t="str">
        <f>"20190303162018240"</f>
        <v>20190303162018240</v>
      </c>
      <c r="B5327" t="str">
        <f>"1551601218227488"</f>
        <v>1551601218227488</v>
      </c>
      <c r="C5327" t="s">
        <v>40</v>
      </c>
      <c r="D5327">
        <v>4.3133499999999998</v>
      </c>
      <c r="E5327">
        <v>0.52495590000000003</v>
      </c>
      <c r="F5327" t="s">
        <v>66</v>
      </c>
      <c r="G5327">
        <v>-121.253</v>
      </c>
      <c r="H5327">
        <v>1.1344639999999999</v>
      </c>
      <c r="I5327">
        <v>210.08269999999999</v>
      </c>
      <c r="J5327">
        <v>-313.31</v>
      </c>
      <c r="K5327">
        <v>1.1212489999999999</v>
      </c>
      <c r="L5327">
        <v>214.73439999999999</v>
      </c>
      <c r="M5327">
        <v>0.99993500000000002</v>
      </c>
      <c r="N5327">
        <v>-1.1382349999999999E-2</v>
      </c>
      <c r="O5327">
        <v>6.4521529999999998E-4</v>
      </c>
      <c r="P5327">
        <v>0.98784139999999998</v>
      </c>
      <c r="Q5327">
        <v>0.14942529999999901</v>
      </c>
      <c r="R5327">
        <v>4.2915870000000002E-2</v>
      </c>
      <c r="S5327">
        <v>3.0401919999999998</v>
      </c>
      <c r="T5327">
        <v>2.093315E-4</v>
      </c>
      <c r="U5327">
        <v>-7.3501590000000006E-2</v>
      </c>
      <c r="V5327">
        <v>-4.2317029999999999E-2</v>
      </c>
      <c r="W5327">
        <v>0.1606495</v>
      </c>
      <c r="X5327">
        <v>0.98610399999999998</v>
      </c>
      <c r="Y5327">
        <v>2.4814599999999999E-2</v>
      </c>
      <c r="Z5327">
        <v>-1.330076E-4</v>
      </c>
      <c r="AA5327">
        <v>0.99969209999999997</v>
      </c>
      <c r="AB5327">
        <v>32</v>
      </c>
      <c r="AC5327">
        <v>192.05699999999999</v>
      </c>
      <c r="AD5327">
        <v>1.32149999999999E-2</v>
      </c>
      <c r="AE5327">
        <v>-4.6516999999999999</v>
      </c>
      <c r="AF5327">
        <v>4.7756251532940501</v>
      </c>
      <c r="AG5327">
        <v>1.32149999999999E-2</v>
      </c>
      <c r="AH5327">
        <v>192.05395756665001</v>
      </c>
      <c r="AI5327">
        <v>89.996058765161195</v>
      </c>
      <c r="AJ5327">
        <v>88.575573268278205</v>
      </c>
      <c r="AK5327">
        <v>192.11332433554301</v>
      </c>
      <c r="AL5327">
        <v>80.755402904771799</v>
      </c>
      <c r="AM5327">
        <v>92.457246421482495</v>
      </c>
      <c r="AN5327">
        <v>1.0000000458471301</v>
      </c>
    </row>
    <row r="5328" spans="1:40" x14ac:dyDescent="0.25">
      <c r="A5328" t="str">
        <f>"20190303162018263"</f>
        <v>20190303162018263</v>
      </c>
      <c r="B5328" t="str">
        <f>"1551601218257327"</f>
        <v>1551601218257327</v>
      </c>
      <c r="C5328" t="s">
        <v>40</v>
      </c>
      <c r="D5328">
        <v>4.2290190000000001</v>
      </c>
      <c r="E5328">
        <v>0.52499370000000001</v>
      </c>
      <c r="F5328" t="s">
        <v>66</v>
      </c>
      <c r="G5328">
        <v>-121.253</v>
      </c>
      <c r="H5328">
        <v>1.1902889999999999</v>
      </c>
      <c r="I5328">
        <v>210.0686</v>
      </c>
      <c r="J5328">
        <v>-312.98149999999998</v>
      </c>
      <c r="K5328">
        <v>1.1212519999999999</v>
      </c>
      <c r="L5328">
        <v>214.7347</v>
      </c>
      <c r="M5328">
        <v>0.99993460000000001</v>
      </c>
      <c r="N5328">
        <v>-1.140599E-2</v>
      </c>
      <c r="O5328">
        <v>7.7669000000000002E-4</v>
      </c>
      <c r="P5328">
        <v>0.98794930000000003</v>
      </c>
      <c r="Q5328">
        <v>0.14885279999999901</v>
      </c>
      <c r="R5328">
        <v>4.2415929999999998E-2</v>
      </c>
      <c r="S5328">
        <v>3.0399780000000001</v>
      </c>
      <c r="T5328">
        <v>1.0932680000000001E-3</v>
      </c>
      <c r="U5328">
        <v>-7.3852539999999994E-2</v>
      </c>
      <c r="V5328">
        <v>-4.1686929999999997E-2</v>
      </c>
      <c r="W5328">
        <v>0.16010160000000001</v>
      </c>
      <c r="X5328">
        <v>0.98621990000000004</v>
      </c>
      <c r="Y5328">
        <v>2.506311E-2</v>
      </c>
      <c r="Z5328">
        <v>-1.293171E-4</v>
      </c>
      <c r="AA5328">
        <v>0.99968590000000002</v>
      </c>
      <c r="AB5328">
        <v>32</v>
      </c>
      <c r="AC5328">
        <v>191.7285</v>
      </c>
      <c r="AD5328">
        <v>6.9036999999999696E-2</v>
      </c>
      <c r="AE5328">
        <v>-4.6661000000000001</v>
      </c>
      <c r="AF5328">
        <v>4.8150212718138201</v>
      </c>
      <c r="AG5328">
        <v>6.9036999999999696E-2</v>
      </c>
      <c r="AH5328">
        <v>191.72479297002499</v>
      </c>
      <c r="AI5328">
        <v>89.979375219745606</v>
      </c>
      <c r="AJ5328">
        <v>88.561362809278094</v>
      </c>
      <c r="AK5328">
        <v>191.785258649757</v>
      </c>
      <c r="AL5328">
        <v>80.787206567631898</v>
      </c>
      <c r="AM5328">
        <v>92.420417767426699</v>
      </c>
      <c r="AN5328">
        <v>1.00000000680569</v>
      </c>
    </row>
    <row r="5329" spans="1:40" x14ac:dyDescent="0.25">
      <c r="A5329" t="str">
        <f>"20190303162018285"</f>
        <v>20190303162018285</v>
      </c>
      <c r="B5329" t="str">
        <f>"1551601218277827"</f>
        <v>1551601218277827</v>
      </c>
      <c r="C5329" t="s">
        <v>40</v>
      </c>
      <c r="D5329">
        <v>4.1932159999999996</v>
      </c>
      <c r="E5329">
        <v>0.52505219999999997</v>
      </c>
      <c r="F5329" t="s">
        <v>66</v>
      </c>
      <c r="G5329">
        <v>-121.2531</v>
      </c>
      <c r="H5329">
        <v>1.18638</v>
      </c>
      <c r="I5329">
        <v>209.9667</v>
      </c>
      <c r="J5329">
        <v>-312.66180000000003</v>
      </c>
      <c r="K5329">
        <v>1.1212569999999999</v>
      </c>
      <c r="L5329">
        <v>214.73509999999999</v>
      </c>
      <c r="M5329">
        <v>0.9999342</v>
      </c>
      <c r="N5329">
        <v>-1.142863E-2</v>
      </c>
      <c r="O5329">
        <v>9.0483130000000003E-4</v>
      </c>
      <c r="P5329">
        <v>0.98812230000000001</v>
      </c>
      <c r="Q5329">
        <v>0.14791460000000001</v>
      </c>
      <c r="R5329">
        <v>4.1660280000000001E-2</v>
      </c>
      <c r="S5329">
        <v>3.0396730000000001</v>
      </c>
      <c r="T5329">
        <v>1.0330680000000001E-3</v>
      </c>
      <c r="U5329">
        <v>-7.5592039999999999E-2</v>
      </c>
      <c r="V5329">
        <v>-4.0804689999999998E-2</v>
      </c>
      <c r="W5329">
        <v>0.15918840000000001</v>
      </c>
      <c r="X5329">
        <v>0.98640459999999996</v>
      </c>
      <c r="Y5329">
        <v>2.5765389999999999E-2</v>
      </c>
      <c r="Z5329">
        <v>-1.3223409999999999E-4</v>
      </c>
      <c r="AA5329">
        <v>0.999668</v>
      </c>
      <c r="AB5329">
        <v>32</v>
      </c>
      <c r="AC5329">
        <v>191.40870000000001</v>
      </c>
      <c r="AD5329">
        <v>6.5123E-2</v>
      </c>
      <c r="AE5329">
        <v>-4.7683999999999802</v>
      </c>
      <c r="AF5329">
        <v>4.9416013848471598</v>
      </c>
      <c r="AG5329">
        <v>6.5123E-2</v>
      </c>
      <c r="AH5329">
        <v>191.40428461242499</v>
      </c>
      <c r="AI5329">
        <v>89.980512296284104</v>
      </c>
      <c r="AJ5329">
        <v>88.521088376963505</v>
      </c>
      <c r="AK5329">
        <v>191.46807523252099</v>
      </c>
      <c r="AL5329">
        <v>80.840208813596703</v>
      </c>
      <c r="AM5329">
        <v>92.368809210364802</v>
      </c>
      <c r="AN5329">
        <v>1.0000000021608499</v>
      </c>
    </row>
    <row r="5330" spans="1:40" x14ac:dyDescent="0.25">
      <c r="A5330" t="str">
        <f>"20190303162018306"</f>
        <v>20190303162018306</v>
      </c>
      <c r="B5330" t="str">
        <f>"1551601218297343"</f>
        <v>1551601218297343</v>
      </c>
      <c r="C5330" t="s">
        <v>40</v>
      </c>
      <c r="D5330">
        <v>4.3596750000000002</v>
      </c>
      <c r="E5330">
        <v>0.5388598</v>
      </c>
      <c r="F5330" t="s">
        <v>66</v>
      </c>
      <c r="G5330">
        <v>-137.71600000000001</v>
      </c>
      <c r="H5330">
        <v>1.0152129999999999</v>
      </c>
      <c r="I5330">
        <v>210.22630000000001</v>
      </c>
      <c r="J5330">
        <v>-312.35500000000002</v>
      </c>
      <c r="K5330">
        <v>1.1212569999999999</v>
      </c>
      <c r="L5330">
        <v>214.7355</v>
      </c>
      <c r="M5330">
        <v>0.99993390000000004</v>
      </c>
      <c r="N5330">
        <v>-1.144917E-2</v>
      </c>
      <c r="O5330">
        <v>1.0279149999999999E-3</v>
      </c>
      <c r="P5330">
        <v>0.98825810000000003</v>
      </c>
      <c r="Q5330">
        <v>0.14711150000000001</v>
      </c>
      <c r="R5330">
        <v>4.1280329999999997E-2</v>
      </c>
      <c r="S5330">
        <v>3.039612</v>
      </c>
      <c r="T5330">
        <v>-1.841903E-3</v>
      </c>
      <c r="U5330">
        <v>-7.8338619999999998E-2</v>
      </c>
      <c r="V5330">
        <v>-4.030276E-2</v>
      </c>
      <c r="W5330">
        <v>0.158407399999999</v>
      </c>
      <c r="X5330">
        <v>0.98655090000000001</v>
      </c>
      <c r="Y5330">
        <v>2.6791490000000001E-2</v>
      </c>
      <c r="Z5330">
        <v>-1.503726E-4</v>
      </c>
      <c r="AA5330">
        <v>0.99964109999999995</v>
      </c>
      <c r="AB5330">
        <v>32</v>
      </c>
      <c r="AC5330">
        <v>174.63900000000001</v>
      </c>
      <c r="AD5330">
        <v>-0.106044</v>
      </c>
      <c r="AE5330">
        <v>-4.5091999999999901</v>
      </c>
      <c r="AF5330">
        <v>4.6887217093008502</v>
      </c>
      <c r="AG5330">
        <v>-0.106044</v>
      </c>
      <c r="AH5330">
        <v>174.634207999822</v>
      </c>
      <c r="AI5330">
        <v>90.034779464033207</v>
      </c>
      <c r="AJ5330">
        <v>88.462045639456406</v>
      </c>
      <c r="AK5330">
        <v>174.697172158917</v>
      </c>
      <c r="AL5330">
        <v>80.885531416612594</v>
      </c>
      <c r="AM5330">
        <v>92.339356985001004</v>
      </c>
      <c r="AN5330">
        <v>0.99999994756459198</v>
      </c>
    </row>
    <row r="5331" spans="1:40" x14ac:dyDescent="0.25">
      <c r="A5331" t="str">
        <f>"20190303162018329"</f>
        <v>20190303162018329</v>
      </c>
      <c r="B5331" t="str">
        <f>"1551601218317839"</f>
        <v>1551601218317839</v>
      </c>
      <c r="C5331" t="s">
        <v>40</v>
      </c>
      <c r="D5331">
        <v>4.2846449999999896</v>
      </c>
      <c r="E5331">
        <v>0.53821169999999996</v>
      </c>
      <c r="F5331" t="s">
        <v>42</v>
      </c>
      <c r="G5331">
        <v>-311.36419999999998</v>
      </c>
      <c r="H5331">
        <v>1.0260899999999999</v>
      </c>
      <c r="I5331">
        <v>214.67400000000001</v>
      </c>
      <c r="J5331">
        <v>-312.02339999999998</v>
      </c>
      <c r="K5331">
        <v>1.121256</v>
      </c>
      <c r="L5331">
        <v>214.73599999999999</v>
      </c>
      <c r="M5331">
        <v>0.99993339999999997</v>
      </c>
      <c r="N5331">
        <v>-1.1480229999999999E-2</v>
      </c>
      <c r="O5331">
        <v>1.160655E-3</v>
      </c>
      <c r="P5331">
        <v>0.988371</v>
      </c>
      <c r="Q5331">
        <v>0.14638670000000001</v>
      </c>
      <c r="R5331">
        <v>4.1154019999999999E-2</v>
      </c>
      <c r="S5331">
        <v>3.087799</v>
      </c>
      <c r="T5331">
        <v>-0.2965679</v>
      </c>
      <c r="U5331">
        <v>-0.19168089999999999</v>
      </c>
      <c r="V5331">
        <v>-4.0045240000000003E-2</v>
      </c>
      <c r="W5331">
        <v>0.15771479999999999</v>
      </c>
      <c r="X5331">
        <v>0.9866724</v>
      </c>
      <c r="Y5331">
        <v>6.2789429999999993E-2</v>
      </c>
      <c r="Z5331">
        <v>-3.4650430000000001E-3</v>
      </c>
      <c r="AA5331">
        <v>0.99802080000000004</v>
      </c>
      <c r="AB5331">
        <v>32</v>
      </c>
      <c r="AC5331">
        <v>0.65919999999999801</v>
      </c>
      <c r="AD5331">
        <v>-9.5166000000000001E-2</v>
      </c>
      <c r="AE5331">
        <v>-6.1999999999983402E-2</v>
      </c>
      <c r="AF5331">
        <v>6.1494707783941498E-2</v>
      </c>
      <c r="AG5331">
        <v>-9.5166000000000001E-2</v>
      </c>
      <c r="AH5331">
        <v>0.64578644075202896</v>
      </c>
      <c r="AI5331">
        <v>98.345810949120093</v>
      </c>
      <c r="AJ5331">
        <v>84.560438435837995</v>
      </c>
      <c r="AK5331">
        <v>0.65565104567948895</v>
      </c>
      <c r="AL5331">
        <v>80.925720169180096</v>
      </c>
      <c r="AM5331">
        <v>92.324139872924604</v>
      </c>
      <c r="AN5331">
        <v>1.0000000021537201</v>
      </c>
    </row>
    <row r="5332" spans="1:40" x14ac:dyDescent="0.25">
      <c r="A5332" t="str">
        <f>"20190303162018352"</f>
        <v>20190303162018352</v>
      </c>
      <c r="B5332" t="str">
        <f>"1551601218347751"</f>
        <v>1551601218347751</v>
      </c>
      <c r="C5332" t="s">
        <v>40</v>
      </c>
      <c r="D5332">
        <v>4.2634840000000001</v>
      </c>
      <c r="E5332">
        <v>0.5374679</v>
      </c>
      <c r="F5332" t="s">
        <v>42</v>
      </c>
      <c r="G5332">
        <v>-311.0872</v>
      </c>
      <c r="H5332">
        <v>0.99994620000000001</v>
      </c>
      <c r="I5332">
        <v>214.67920000000001</v>
      </c>
      <c r="J5332">
        <v>-311.69439999999997</v>
      </c>
      <c r="K5332">
        <v>1.121267</v>
      </c>
      <c r="L5332">
        <v>214.73660000000001</v>
      </c>
      <c r="M5332">
        <v>0.99993259999999995</v>
      </c>
      <c r="N5332">
        <v>-1.1532890000000001E-2</v>
      </c>
      <c r="O5332">
        <v>1.2885869999999999E-3</v>
      </c>
      <c r="P5332">
        <v>0.98846270000000003</v>
      </c>
      <c r="Q5332">
        <v>0.14565069999999999</v>
      </c>
      <c r="R5332">
        <v>4.1561750000000001E-2</v>
      </c>
      <c r="S5332">
        <v>3.1027529999999999</v>
      </c>
      <c r="T5332">
        <v>-0.4021807</v>
      </c>
      <c r="U5332">
        <v>-0.1875763</v>
      </c>
      <c r="V5332">
        <v>-4.0326319999999999E-2</v>
      </c>
      <c r="W5332">
        <v>0.15703149999999999</v>
      </c>
      <c r="X5332">
        <v>0.98676989999999998</v>
      </c>
      <c r="Y5332">
        <v>6.1067150000000001E-2</v>
      </c>
      <c r="Z5332">
        <v>-4.4432029999999997E-3</v>
      </c>
      <c r="AA5332">
        <v>0.99812380000000001</v>
      </c>
      <c r="AB5332">
        <v>32</v>
      </c>
      <c r="AC5332">
        <v>0.60719999999997698</v>
      </c>
      <c r="AD5332">
        <v>-0.12132080000000001</v>
      </c>
      <c r="AE5332">
        <v>-5.74000000000012E-2</v>
      </c>
      <c r="AF5332">
        <v>5.5967900954381297E-2</v>
      </c>
      <c r="AG5332">
        <v>-0.12132080000000001</v>
      </c>
      <c r="AH5332">
        <v>0.58401718017824999</v>
      </c>
      <c r="AI5332">
        <v>101.683382676156</v>
      </c>
      <c r="AJ5332">
        <v>84.525911865557603</v>
      </c>
      <c r="AK5332">
        <v>0.59910534064823195</v>
      </c>
      <c r="AL5332">
        <v>80.965364079534794</v>
      </c>
      <c r="AM5332">
        <v>92.340204081155093</v>
      </c>
      <c r="AN5332">
        <v>0.99999996981149997</v>
      </c>
    </row>
    <row r="5333" spans="1:40" x14ac:dyDescent="0.25">
      <c r="A5333" t="str">
        <f>"20190303162018374"</f>
        <v>20190303162018374</v>
      </c>
      <c r="B5333" t="str">
        <f>"1551601218367271"</f>
        <v>1551601218367271</v>
      </c>
      <c r="C5333" t="s">
        <v>40</v>
      </c>
      <c r="D5333">
        <v>4.2594320000000003</v>
      </c>
      <c r="E5333">
        <v>0.53831249999999997</v>
      </c>
      <c r="F5333" t="s">
        <v>42</v>
      </c>
      <c r="G5333">
        <v>-310.86</v>
      </c>
      <c r="H5333">
        <v>0.86392000000000002</v>
      </c>
      <c r="I5333">
        <v>214.68819999999999</v>
      </c>
      <c r="J5333">
        <v>-311.37479999999999</v>
      </c>
      <c r="K5333">
        <v>1.1212580000000001</v>
      </c>
      <c r="L5333">
        <v>214.7371</v>
      </c>
      <c r="M5333">
        <v>0.99993259999999995</v>
      </c>
      <c r="N5333">
        <v>-1.153091E-2</v>
      </c>
      <c r="O5333">
        <v>1.406591E-3</v>
      </c>
      <c r="P5333">
        <v>0.98847439999999998</v>
      </c>
      <c r="Q5333">
        <v>0.145459</v>
      </c>
      <c r="R5333">
        <v>4.1959249999999997E-2</v>
      </c>
      <c r="S5333">
        <v>3.1876530000000001</v>
      </c>
      <c r="T5333">
        <v>-0.98307900000000004</v>
      </c>
      <c r="U5333">
        <v>-0.1847229</v>
      </c>
      <c r="V5333">
        <v>-4.0608489999999997E-2</v>
      </c>
      <c r="W5333">
        <v>0.15683800000000001</v>
      </c>
      <c r="X5333">
        <v>0.98678920000000003</v>
      </c>
      <c r="Y5333">
        <v>5.6477350000000003E-2</v>
      </c>
      <c r="Z5333">
        <v>-9.245751E-3</v>
      </c>
      <c r="AA5333">
        <v>0.9983611</v>
      </c>
      <c r="AB5333">
        <v>32</v>
      </c>
      <c r="AC5333">
        <v>0.51479999999997905</v>
      </c>
      <c r="AD5333">
        <v>-0.25733800000000001</v>
      </c>
      <c r="AE5333">
        <v>-4.8900000000003198E-2</v>
      </c>
      <c r="AF5333">
        <v>3.9774220687533002E-2</v>
      </c>
      <c r="AG5333">
        <v>-0.25733800000000001</v>
      </c>
      <c r="AH5333">
        <v>0.412561786390577</v>
      </c>
      <c r="AI5333">
        <v>121.835218388732</v>
      </c>
      <c r="AJ5333">
        <v>84.493252205405497</v>
      </c>
      <c r="AK5333">
        <v>0.48786479937077298</v>
      </c>
      <c r="AL5333">
        <v>80.976590792307903</v>
      </c>
      <c r="AM5333">
        <v>92.356514444892298</v>
      </c>
      <c r="AN5333">
        <v>1.0000000664703499</v>
      </c>
    </row>
    <row r="5334" spans="1:40" x14ac:dyDescent="0.25">
      <c r="A5334" t="str">
        <f>"20190303162018395"</f>
        <v>20190303162018395</v>
      </c>
      <c r="B5334" t="str">
        <f>"1551601218387766"</f>
        <v>1551601218387766</v>
      </c>
      <c r="C5334" t="s">
        <v>40</v>
      </c>
      <c r="D5334">
        <v>4.2775930000000004</v>
      </c>
      <c r="E5334">
        <v>0.53886119999999904</v>
      </c>
      <c r="F5334" t="s">
        <v>42</v>
      </c>
      <c r="G5334">
        <v>-310.56619999999998</v>
      </c>
      <c r="H5334">
        <v>0.87335010000000002</v>
      </c>
      <c r="I5334">
        <v>214.68860000000001</v>
      </c>
      <c r="J5334">
        <v>-311.06040000000002</v>
      </c>
      <c r="K5334">
        <v>1.121256</v>
      </c>
      <c r="L5334">
        <v>214.73769999999999</v>
      </c>
      <c r="M5334">
        <v>0.99993220000000005</v>
      </c>
      <c r="N5334">
        <v>-1.154413E-2</v>
      </c>
      <c r="O5334">
        <v>1.5319699999999999E-3</v>
      </c>
      <c r="P5334">
        <v>0.98843170000000002</v>
      </c>
      <c r="Q5334">
        <v>0.14547499999999999</v>
      </c>
      <c r="R5334">
        <v>4.2893300000000002E-2</v>
      </c>
      <c r="S5334">
        <v>3.18689</v>
      </c>
      <c r="T5334">
        <v>-0.9771204</v>
      </c>
      <c r="U5334">
        <v>-0.1906128</v>
      </c>
      <c r="V5334">
        <v>-4.1418080000000003E-2</v>
      </c>
      <c r="W5334">
        <v>0.15686620000000001</v>
      </c>
      <c r="X5334">
        <v>0.98675100000000004</v>
      </c>
      <c r="Y5334">
        <v>5.838989E-2</v>
      </c>
      <c r="Z5334">
        <v>-9.5297019999999993E-3</v>
      </c>
      <c r="AA5334">
        <v>0.99824840000000004</v>
      </c>
      <c r="AB5334">
        <v>32</v>
      </c>
      <c r="AC5334">
        <v>0.494200000000034</v>
      </c>
      <c r="AD5334">
        <v>-0.24790589999999901</v>
      </c>
      <c r="AE5334">
        <v>-4.9099999999981402E-2</v>
      </c>
      <c r="AF5334">
        <v>3.9912054135844699E-2</v>
      </c>
      <c r="AG5334">
        <v>-0.24790589999999901</v>
      </c>
      <c r="AH5334">
        <v>0.39556080556284601</v>
      </c>
      <c r="AI5334">
        <v>121.94576640550299</v>
      </c>
      <c r="AJ5334">
        <v>84.2383602458642</v>
      </c>
      <c r="AK5334">
        <v>0.46852818294920201</v>
      </c>
      <c r="AL5334">
        <v>80.974954187545507</v>
      </c>
      <c r="AM5334">
        <v>92.403533407344099</v>
      </c>
      <c r="AN5334">
        <v>0.99999999902716297</v>
      </c>
    </row>
    <row r="5335" spans="1:40" x14ac:dyDescent="0.25">
      <c r="A5335" t="str">
        <f>"20190303162018418"</f>
        <v>20190303162018418</v>
      </c>
      <c r="B5335" t="str">
        <f>"1551601218408263"</f>
        <v>1551601218408263</v>
      </c>
      <c r="C5335" t="s">
        <v>40</v>
      </c>
      <c r="D5335">
        <v>4.2749739999999896</v>
      </c>
      <c r="E5335">
        <v>0.53910819999999904</v>
      </c>
      <c r="F5335" t="s">
        <v>42</v>
      </c>
      <c r="G5335">
        <v>-310.27280000000002</v>
      </c>
      <c r="H5335">
        <v>0.88191779999999997</v>
      </c>
      <c r="I5335">
        <v>214.68989999999999</v>
      </c>
      <c r="J5335">
        <v>-310.73719999999997</v>
      </c>
      <c r="K5335">
        <v>1.121265</v>
      </c>
      <c r="L5335">
        <v>214.73840000000001</v>
      </c>
      <c r="M5335">
        <v>0.99993160000000003</v>
      </c>
      <c r="N5335">
        <v>-1.1583649999999999E-2</v>
      </c>
      <c r="O5335">
        <v>1.6678629999999999E-3</v>
      </c>
      <c r="P5335">
        <v>0.98836979999999997</v>
      </c>
      <c r="Q5335">
        <v>0.14569370000000001</v>
      </c>
      <c r="R5335">
        <v>4.3574870000000002E-2</v>
      </c>
      <c r="S5335">
        <v>3.1859739999999999</v>
      </c>
      <c r="T5335">
        <v>-0.96817989999999998</v>
      </c>
      <c r="U5335">
        <v>-0.19277949999999999</v>
      </c>
      <c r="V5335">
        <v>-4.1964969999999997E-2</v>
      </c>
      <c r="W5335">
        <v>0.15712290000000001</v>
      </c>
      <c r="X5335">
        <v>0.98668710000000004</v>
      </c>
      <c r="Y5335">
        <v>5.922256E-2</v>
      </c>
      <c r="Z5335">
        <v>-9.6198399999999993E-3</v>
      </c>
      <c r="AA5335">
        <v>0.99819840000000004</v>
      </c>
      <c r="AB5335">
        <v>32</v>
      </c>
      <c r="AC5335">
        <v>0.46439999999995502</v>
      </c>
      <c r="AD5335">
        <v>-0.23934720000000001</v>
      </c>
      <c r="AE5335">
        <v>-4.8500000000018403E-2</v>
      </c>
      <c r="AF5335">
        <v>3.9021267203493901E-2</v>
      </c>
      <c r="AG5335">
        <v>-0.23934720000000001</v>
      </c>
      <c r="AH5335">
        <v>0.36770093805940401</v>
      </c>
      <c r="AI5335">
        <v>122.914751936906</v>
      </c>
      <c r="AJ5335">
        <v>83.942312963049204</v>
      </c>
      <c r="AK5335">
        <v>0.44046988692959699</v>
      </c>
      <c r="AL5335">
        <v>80.960062140210297</v>
      </c>
      <c r="AM5335">
        <v>92.435389553710394</v>
      </c>
      <c r="AN5335">
        <v>1.00000004885895</v>
      </c>
    </row>
    <row r="5336" spans="1:40" x14ac:dyDescent="0.25">
      <c r="A5336" t="str">
        <f>"20190303162018441"</f>
        <v>20190303162018441</v>
      </c>
      <c r="B5336" t="str">
        <f>"1551601218438061"</f>
        <v>1551601218438061</v>
      </c>
      <c r="C5336" t="s">
        <v>40</v>
      </c>
      <c r="D5336">
        <v>4.2937310000000002</v>
      </c>
      <c r="E5336">
        <v>0.53929099999999996</v>
      </c>
      <c r="F5336" t="s">
        <v>42</v>
      </c>
      <c r="G5336">
        <v>-309.97859999999997</v>
      </c>
      <c r="H5336">
        <v>0.89199039999999996</v>
      </c>
      <c r="I5336">
        <v>214.69220000000001</v>
      </c>
      <c r="J5336">
        <v>-310.39749999999998</v>
      </c>
      <c r="K5336">
        <v>1.1212789999999999</v>
      </c>
      <c r="L5336">
        <v>214.73910000000001</v>
      </c>
      <c r="M5336">
        <v>0.99993069999999895</v>
      </c>
      <c r="N5336">
        <v>-1.1631570000000001E-2</v>
      </c>
      <c r="O5336">
        <v>1.804539E-3</v>
      </c>
      <c r="P5336">
        <v>0.98834710000000003</v>
      </c>
      <c r="Q5336">
        <v>0.145785</v>
      </c>
      <c r="R5336">
        <v>4.3782889999999998E-2</v>
      </c>
      <c r="S5336">
        <v>3.18573</v>
      </c>
      <c r="T5336">
        <v>-0.96287509999999998</v>
      </c>
      <c r="U5336">
        <v>-0.1925201</v>
      </c>
      <c r="V5336">
        <v>-4.2039319999999998E-2</v>
      </c>
      <c r="W5336">
        <v>0.15726129999999999</v>
      </c>
      <c r="X5336">
        <v>0.98666189999999998</v>
      </c>
      <c r="Y5336">
        <v>5.9302319999999999E-2</v>
      </c>
      <c r="Z5336">
        <v>-9.6241920000000002E-3</v>
      </c>
      <c r="AA5336">
        <v>0.99819369999999996</v>
      </c>
      <c r="AB5336">
        <v>32</v>
      </c>
      <c r="AC5336">
        <v>0.41890000000000699</v>
      </c>
      <c r="AD5336">
        <v>-0.22928860000000001</v>
      </c>
      <c r="AE5336">
        <v>-4.6899999999993697E-2</v>
      </c>
      <c r="AF5336">
        <v>3.6774571411260802E-2</v>
      </c>
      <c r="AG5336">
        <v>-0.22928860000000001</v>
      </c>
      <c r="AH5336">
        <v>0.32318624907320698</v>
      </c>
      <c r="AI5336">
        <v>125.180542588893</v>
      </c>
      <c r="AJ5336">
        <v>83.508374555636294</v>
      </c>
      <c r="AK5336">
        <v>0.39796354453950999</v>
      </c>
      <c r="AL5336">
        <v>80.9520327097852</v>
      </c>
      <c r="AM5336">
        <v>92.439761399042297</v>
      </c>
      <c r="AN5336">
        <v>1.00000006290767</v>
      </c>
    </row>
    <row r="5337" spans="1:40" x14ac:dyDescent="0.25">
      <c r="A5337" t="str">
        <f>"20190303162018463"</f>
        <v>20190303162018463</v>
      </c>
      <c r="B5337" t="str">
        <f>"1551601218457580"</f>
        <v>1551601218457580</v>
      </c>
      <c r="C5337" t="s">
        <v>40</v>
      </c>
      <c r="D5337">
        <v>4.3066700000000004</v>
      </c>
      <c r="E5337">
        <v>0.53960540000000001</v>
      </c>
      <c r="F5337" t="s">
        <v>42</v>
      </c>
      <c r="G5337">
        <v>-309.68209999999999</v>
      </c>
      <c r="H5337">
        <v>0.90706189999999998</v>
      </c>
      <c r="I5337">
        <v>214.69589999999999</v>
      </c>
      <c r="J5337">
        <v>-310.07569999999998</v>
      </c>
      <c r="K5337">
        <v>1.1212930000000001</v>
      </c>
      <c r="L5337">
        <v>214.7398</v>
      </c>
      <c r="M5337">
        <v>0.99993010000000004</v>
      </c>
      <c r="N5337">
        <v>-1.167349E-2</v>
      </c>
      <c r="O5337">
        <v>1.925777E-3</v>
      </c>
      <c r="P5337">
        <v>0.98837059999999999</v>
      </c>
      <c r="Q5337">
        <v>0.14557899999999999</v>
      </c>
      <c r="R5337">
        <v>4.3936839999999998E-2</v>
      </c>
      <c r="S5337">
        <v>3.1845400000000001</v>
      </c>
      <c r="T5337">
        <v>-0.95366119999999999</v>
      </c>
      <c r="U5337">
        <v>-0.19175719999999999</v>
      </c>
      <c r="V5337">
        <v>-4.207524E-2</v>
      </c>
      <c r="W5337">
        <v>0.15709699999999999</v>
      </c>
      <c r="X5337">
        <v>0.98668650000000002</v>
      </c>
      <c r="Y5337">
        <v>5.9254149999999998E-2</v>
      </c>
      <c r="Z5337">
        <v>-9.5701999999999992E-3</v>
      </c>
      <c r="AA5337">
        <v>0.99819709999999995</v>
      </c>
      <c r="AB5337">
        <v>32</v>
      </c>
      <c r="AC5337">
        <v>0.39359999999999201</v>
      </c>
      <c r="AD5337">
        <v>-0.21423110000000001</v>
      </c>
      <c r="AE5337">
        <v>-4.3900000000007801E-2</v>
      </c>
      <c r="AF5337">
        <v>3.4548734292931899E-2</v>
      </c>
      <c r="AG5337">
        <v>-0.21423110000000001</v>
      </c>
      <c r="AH5337">
        <v>0.30443479312820299</v>
      </c>
      <c r="AI5337">
        <v>124.961745788393</v>
      </c>
      <c r="AJ5337">
        <v>83.525497344835301</v>
      </c>
      <c r="AK5337">
        <v>0.37385708835792503</v>
      </c>
      <c r="AL5337">
        <v>80.961564510128795</v>
      </c>
      <c r="AM5337">
        <v>92.441782695913901</v>
      </c>
      <c r="AN5337">
        <v>1.00000002125615</v>
      </c>
    </row>
    <row r="5338" spans="1:40" x14ac:dyDescent="0.25">
      <c r="A5338" t="str">
        <f>"20190303162018486"</f>
        <v>20190303162018486</v>
      </c>
      <c r="B5338" t="str">
        <f>"1551601218478076"</f>
        <v>1551601218478076</v>
      </c>
      <c r="C5338" t="s">
        <v>40</v>
      </c>
      <c r="D5338">
        <v>4.3108129999999996</v>
      </c>
      <c r="E5338">
        <v>0.53973079999999996</v>
      </c>
      <c r="F5338" t="s">
        <v>42</v>
      </c>
      <c r="G5338">
        <v>-309.3888</v>
      </c>
      <c r="H5338">
        <v>0.91498579999999996</v>
      </c>
      <c r="I5338">
        <v>214.6979</v>
      </c>
      <c r="J5338">
        <v>-309.75490000000002</v>
      </c>
      <c r="K5338">
        <v>1.121299</v>
      </c>
      <c r="L5338">
        <v>214.7406</v>
      </c>
      <c r="M5338">
        <v>0.99992939999999997</v>
      </c>
      <c r="N5338">
        <v>-1.171237E-2</v>
      </c>
      <c r="O5338">
        <v>2.0530209999999999E-3</v>
      </c>
      <c r="P5338">
        <v>0.98837410000000003</v>
      </c>
      <c r="Q5338">
        <v>0.14554400000000001</v>
      </c>
      <c r="R5338">
        <v>4.3975430000000003E-2</v>
      </c>
      <c r="S5338">
        <v>3.1848139999999998</v>
      </c>
      <c r="T5338">
        <v>-0.95656370000000002</v>
      </c>
      <c r="U5338">
        <v>-0.19369510000000001</v>
      </c>
      <c r="V5338">
        <v>-4.1987240000000002E-2</v>
      </c>
      <c r="W5338">
        <v>0.1571003</v>
      </c>
      <c r="X5338">
        <v>0.9866897</v>
      </c>
      <c r="Y5338">
        <v>5.9929040000000003E-2</v>
      </c>
      <c r="Z5338">
        <v>-9.7363929999999994E-3</v>
      </c>
      <c r="AA5338">
        <v>0.99815520000000002</v>
      </c>
      <c r="AB5338">
        <v>32</v>
      </c>
      <c r="AC5338">
        <v>0.36610000000001702</v>
      </c>
      <c r="AD5338">
        <v>-0.2063132</v>
      </c>
      <c r="AE5338">
        <v>-4.2699999999996401E-2</v>
      </c>
      <c r="AF5338">
        <v>3.3085320852147299E-2</v>
      </c>
      <c r="AG5338">
        <v>-0.2063132</v>
      </c>
      <c r="AH5338">
        <v>0.27869209686059998</v>
      </c>
      <c r="AI5338">
        <v>126.320671617549</v>
      </c>
      <c r="AJ5338">
        <v>83.229738733064494</v>
      </c>
      <c r="AK5338">
        <v>0.348323211690934</v>
      </c>
      <c r="AL5338">
        <v>80.961372847851607</v>
      </c>
      <c r="AM5338">
        <v>92.436673997505807</v>
      </c>
      <c r="AN5338">
        <v>0.99999999833449804</v>
      </c>
    </row>
    <row r="5339" spans="1:40" x14ac:dyDescent="0.25">
      <c r="A5339" t="str">
        <f>"20190303162018508"</f>
        <v>20190303162018508</v>
      </c>
      <c r="B5339" t="str">
        <f>"1551601218497597"</f>
        <v>1551601218497597</v>
      </c>
      <c r="C5339" t="s">
        <v>40</v>
      </c>
      <c r="D5339">
        <v>4.3300419999999997</v>
      </c>
      <c r="E5339">
        <v>0.53975390000000001</v>
      </c>
      <c r="F5339" t="s">
        <v>42</v>
      </c>
      <c r="G5339">
        <v>-308.83940000000001</v>
      </c>
      <c r="H5339">
        <v>0.84411199999999997</v>
      </c>
      <c r="I5339">
        <v>214.68389999999999</v>
      </c>
      <c r="J5339">
        <v>-309.4393</v>
      </c>
      <c r="K5339">
        <v>1.1212979999999999</v>
      </c>
      <c r="L5339">
        <v>214.7415</v>
      </c>
      <c r="M5339">
        <v>0.99992859999999995</v>
      </c>
      <c r="N5339">
        <v>-1.1748400000000001E-2</v>
      </c>
      <c r="O5339">
        <v>2.187324E-3</v>
      </c>
      <c r="P5339">
        <v>0.98833409999999999</v>
      </c>
      <c r="Q5339">
        <v>0.14580770000000001</v>
      </c>
      <c r="R5339">
        <v>4.399807E-2</v>
      </c>
      <c r="S5339">
        <v>3.186096</v>
      </c>
      <c r="T5339">
        <v>-0.96471059999999997</v>
      </c>
      <c r="U5339">
        <v>-0.1963348</v>
      </c>
      <c r="V5339">
        <v>-4.1875589999999997E-2</v>
      </c>
      <c r="W5339">
        <v>0.15739979999999901</v>
      </c>
      <c r="X5339">
        <v>0.98664669999999999</v>
      </c>
      <c r="Y5339">
        <v>6.0773399999999998E-2</v>
      </c>
      <c r="Z5339">
        <v>-9.9785370000000009E-3</v>
      </c>
      <c r="AA5339">
        <v>0.99810169999999998</v>
      </c>
      <c r="AB5339">
        <v>32</v>
      </c>
      <c r="AC5339">
        <v>0.599899999999991</v>
      </c>
      <c r="AD5339">
        <v>-0.27718599999999899</v>
      </c>
      <c r="AE5339">
        <v>-5.7600000000007798E-2</v>
      </c>
      <c r="AF5339">
        <v>4.8625686949118903E-2</v>
      </c>
      <c r="AG5339">
        <v>-0.27718599999999899</v>
      </c>
      <c r="AH5339">
        <v>0.49504836827276799</v>
      </c>
      <c r="AI5339">
        <v>119.128097955743</v>
      </c>
      <c r="AJ5339">
        <v>84.390167861959796</v>
      </c>
      <c r="AK5339">
        <v>0.56944659359487204</v>
      </c>
      <c r="AL5339">
        <v>80.943996471057105</v>
      </c>
      <c r="AM5339">
        <v>92.430308101995607</v>
      </c>
      <c r="AN5339">
        <v>0.99999998634938803</v>
      </c>
    </row>
    <row r="5340" spans="1:40" x14ac:dyDescent="0.25">
      <c r="A5340" t="str">
        <f>"20190303162018529"</f>
        <v>20190303162018529</v>
      </c>
      <c r="B5340" t="str">
        <f>"1551601218518093"</f>
        <v>1551601218518093</v>
      </c>
      <c r="C5340" t="s">
        <v>40</v>
      </c>
      <c r="D5340">
        <v>4.34023</v>
      </c>
      <c r="E5340">
        <v>0.53974849999999996</v>
      </c>
      <c r="F5340" t="s">
        <v>42</v>
      </c>
      <c r="G5340">
        <v>-308.54770000000002</v>
      </c>
      <c r="H5340">
        <v>0.84959479999999998</v>
      </c>
      <c r="I5340">
        <v>214.68620000000001</v>
      </c>
      <c r="J5340">
        <v>-309.1182</v>
      </c>
      <c r="K5340">
        <v>1.121297</v>
      </c>
      <c r="L5340">
        <v>214.7423</v>
      </c>
      <c r="M5340">
        <v>0.99992780000000003</v>
      </c>
      <c r="N5340">
        <v>-1.17822E-2</v>
      </c>
      <c r="O5340">
        <v>2.3261279999999998E-3</v>
      </c>
      <c r="P5340">
        <v>0.98827719999999997</v>
      </c>
      <c r="Q5340">
        <v>0.14622099999999999</v>
      </c>
      <c r="R5340">
        <v>4.3902980000000001E-2</v>
      </c>
      <c r="S5340">
        <v>3.1875</v>
      </c>
      <c r="T5340">
        <v>-0.97145720000000002</v>
      </c>
      <c r="U5340">
        <v>-0.19732669999999999</v>
      </c>
      <c r="V5340">
        <v>-4.1641579999999997E-2</v>
      </c>
      <c r="W5340">
        <v>0.15784619999999999</v>
      </c>
      <c r="X5340">
        <v>0.9865853</v>
      </c>
      <c r="Y5340">
        <v>6.1134420000000002E-2</v>
      </c>
      <c r="Z5340">
        <v>-1.01356E-2</v>
      </c>
      <c r="AA5340">
        <v>0.99807809999999997</v>
      </c>
      <c r="AB5340">
        <v>32</v>
      </c>
      <c r="AC5340">
        <v>0.57049999999998102</v>
      </c>
      <c r="AD5340">
        <v>-0.2717022</v>
      </c>
      <c r="AE5340">
        <v>-5.6099999999986397E-2</v>
      </c>
      <c r="AF5340">
        <v>4.6892791533240101E-2</v>
      </c>
      <c r="AG5340">
        <v>-0.2717022</v>
      </c>
      <c r="AH5340">
        <v>0.46574167371062097</v>
      </c>
      <c r="AI5340">
        <v>120.132623529798</v>
      </c>
      <c r="AJ5340">
        <v>84.250600281341093</v>
      </c>
      <c r="AK5340">
        <v>0.54123592454066705</v>
      </c>
      <c r="AL5340">
        <v>80.9180959771804</v>
      </c>
      <c r="AM5340">
        <v>92.416893381618195</v>
      </c>
      <c r="AN5340">
        <v>0.99999999910771298</v>
      </c>
    </row>
    <row r="5341" spans="1:40" x14ac:dyDescent="0.25">
      <c r="A5341" t="str">
        <f>"20190303162018553"</f>
        <v>20190303162018553</v>
      </c>
      <c r="B5341" t="str">
        <f>"1551601218548348"</f>
        <v>1551601218548348</v>
      </c>
      <c r="C5341" t="s">
        <v>40</v>
      </c>
      <c r="D5341">
        <v>4.4336169999999999</v>
      </c>
      <c r="E5341">
        <v>0.53988249999999904</v>
      </c>
      <c r="F5341" t="s">
        <v>42</v>
      </c>
      <c r="G5341">
        <v>-308.25529999999998</v>
      </c>
      <c r="H5341">
        <v>0.85712289999999902</v>
      </c>
      <c r="I5341">
        <v>214.68879999999999</v>
      </c>
      <c r="J5341">
        <v>-308.78750000000002</v>
      </c>
      <c r="K5341">
        <v>1.121292</v>
      </c>
      <c r="L5341">
        <v>214.7433</v>
      </c>
      <c r="M5341">
        <v>0.99992720000000002</v>
      </c>
      <c r="N5341">
        <v>-1.181393E-2</v>
      </c>
      <c r="O5341">
        <v>2.4654080000000001E-3</v>
      </c>
      <c r="P5341">
        <v>0.98829330000000004</v>
      </c>
      <c r="Q5341">
        <v>0.14605219999999999</v>
      </c>
      <c r="R5341">
        <v>4.4102269999999999E-2</v>
      </c>
      <c r="S5341">
        <v>3.1887509999999999</v>
      </c>
      <c r="T5341">
        <v>-0.97622220000000004</v>
      </c>
      <c r="U5341">
        <v>-0.19680790000000001</v>
      </c>
      <c r="V5341">
        <v>-4.1703190000000001E-2</v>
      </c>
      <c r="W5341">
        <v>0.15770909999999999</v>
      </c>
      <c r="X5341">
        <v>0.98660460000000005</v>
      </c>
      <c r="Y5341">
        <v>6.105899E-2</v>
      </c>
      <c r="Z5341">
        <v>-1.020721E-2</v>
      </c>
      <c r="AA5341">
        <v>0.99808200000000002</v>
      </c>
      <c r="AB5341">
        <v>32</v>
      </c>
      <c r="AC5341">
        <v>0.53220000000004497</v>
      </c>
      <c r="AD5341">
        <v>-0.26416909999999999</v>
      </c>
      <c r="AE5341">
        <v>-5.4500000000018603E-2</v>
      </c>
      <c r="AF5341">
        <v>4.4871167306009603E-2</v>
      </c>
      <c r="AG5341">
        <v>-0.26416909999999999</v>
      </c>
      <c r="AH5341">
        <v>0.42776331753382002</v>
      </c>
      <c r="AI5341">
        <v>121.557796195718</v>
      </c>
      <c r="AJ5341">
        <v>84.011733812902804</v>
      </c>
      <c r="AK5341">
        <v>0.50475755653358401</v>
      </c>
      <c r="AL5341">
        <v>80.926050659437706</v>
      </c>
      <c r="AM5341">
        <v>92.420417707094899</v>
      </c>
      <c r="AN5341">
        <v>0.999999976510072</v>
      </c>
    </row>
    <row r="5342" spans="1:40" x14ac:dyDescent="0.25">
      <c r="A5342" t="str">
        <f>"20190303162018574"</f>
        <v>20190303162018574</v>
      </c>
      <c r="B5342" t="str">
        <f>"1551601218567868"</f>
        <v>1551601218567868</v>
      </c>
      <c r="C5342" t="s">
        <v>40</v>
      </c>
      <c r="D5342">
        <v>4.4207169999999998</v>
      </c>
      <c r="E5342">
        <v>0.539857699999999</v>
      </c>
      <c r="F5342" t="s">
        <v>42</v>
      </c>
      <c r="G5342">
        <v>-307.96190000000001</v>
      </c>
      <c r="H5342">
        <v>0.86717549999999899</v>
      </c>
      <c r="I5342">
        <v>214.69220000000001</v>
      </c>
      <c r="J5342">
        <v>-308.46559999999999</v>
      </c>
      <c r="K5342">
        <v>1.1212959999999901</v>
      </c>
      <c r="L5342">
        <v>214.74420000000001</v>
      </c>
      <c r="M5342">
        <v>0.9999266</v>
      </c>
      <c r="N5342">
        <v>-1.184173E-2</v>
      </c>
      <c r="O5342">
        <v>2.5967500000000001E-3</v>
      </c>
      <c r="P5342">
        <v>0.98829659999999997</v>
      </c>
      <c r="Q5342">
        <v>0.1459964</v>
      </c>
      <c r="R5342">
        <v>4.4216070000000003E-2</v>
      </c>
      <c r="S5342">
        <v>3.1894230000000001</v>
      </c>
      <c r="T5342">
        <v>-0.98173339999999998</v>
      </c>
      <c r="U5342">
        <v>-0.19711300000000001</v>
      </c>
      <c r="V5342">
        <v>-4.1687389999999998E-2</v>
      </c>
      <c r="W5342">
        <v>0.15768089999999901</v>
      </c>
      <c r="X5342">
        <v>0.98660979999999998</v>
      </c>
      <c r="Y5342">
        <v>6.1226889999999999E-2</v>
      </c>
      <c r="Z5342">
        <v>-1.0323540000000001E-2</v>
      </c>
      <c r="AA5342">
        <v>0.99807049999999997</v>
      </c>
      <c r="AB5342">
        <v>32</v>
      </c>
      <c r="AC5342">
        <v>0.50369999999998005</v>
      </c>
      <c r="AD5342">
        <v>-0.25412050000000003</v>
      </c>
      <c r="AE5342">
        <v>-5.1999999999992497E-2</v>
      </c>
      <c r="AF5342">
        <v>4.2583503946651599E-2</v>
      </c>
      <c r="AG5342">
        <v>-0.25412050000000003</v>
      </c>
      <c r="AH5342">
        <v>0.40225723435934302</v>
      </c>
      <c r="AI5342">
        <v>122.13810508534699</v>
      </c>
      <c r="AJ5342">
        <v>83.957096460210707</v>
      </c>
      <c r="AK5342">
        <v>0.47770437084357098</v>
      </c>
      <c r="AL5342">
        <v>80.927687097795499</v>
      </c>
      <c r="AM5342">
        <v>92.419489041499006</v>
      </c>
      <c r="AN5342">
        <v>1.00000000108293</v>
      </c>
    </row>
    <row r="5343" spans="1:40" x14ac:dyDescent="0.25">
      <c r="A5343" t="str">
        <f>"20190303162018597"</f>
        <v>20190303162018597</v>
      </c>
      <c r="B5343" t="str">
        <f>"1551601218588365"</f>
        <v>1551601218588365</v>
      </c>
      <c r="C5343" t="s">
        <v>40</v>
      </c>
      <c r="D5343">
        <v>4.4668739999999998</v>
      </c>
      <c r="E5343">
        <v>0.53983490000000001</v>
      </c>
      <c r="F5343" t="s">
        <v>42</v>
      </c>
      <c r="G5343">
        <v>-307.6694</v>
      </c>
      <c r="H5343">
        <v>0.87505259999999996</v>
      </c>
      <c r="I5343">
        <v>214.69499999999999</v>
      </c>
      <c r="J5343">
        <v>-308.15230000000003</v>
      </c>
      <c r="K5343">
        <v>1.1213059999999999</v>
      </c>
      <c r="L5343">
        <v>214.74520000000001</v>
      </c>
      <c r="M5343">
        <v>0.99992599999999998</v>
      </c>
      <c r="N5343">
        <v>-1.186595E-2</v>
      </c>
      <c r="O5343">
        <v>2.7235800000000002E-3</v>
      </c>
      <c r="P5343">
        <v>0.98821009999999998</v>
      </c>
      <c r="Q5343">
        <v>0.14654690000000001</v>
      </c>
      <c r="R5343">
        <v>4.4330590000000003E-2</v>
      </c>
      <c r="S5343">
        <v>3.1900629999999999</v>
      </c>
      <c r="T5343">
        <v>-0.98652510000000004</v>
      </c>
      <c r="U5343">
        <v>-0.1964417</v>
      </c>
      <c r="V5343">
        <v>-4.1677869999999999E-2</v>
      </c>
      <c r="W5343">
        <v>0.1582539</v>
      </c>
      <c r="X5343">
        <v>0.98651840000000002</v>
      </c>
      <c r="Y5343">
        <v>6.1104550000000001E-2</v>
      </c>
      <c r="Z5343">
        <v>-1.0386630000000001E-2</v>
      </c>
      <c r="AA5343">
        <v>0.99807729999999995</v>
      </c>
      <c r="AB5343">
        <v>32</v>
      </c>
      <c r="AC5343">
        <v>0.48290000000002897</v>
      </c>
      <c r="AD5343">
        <v>-0.24625340000000001</v>
      </c>
      <c r="AE5343">
        <v>-5.0200000000018001E-2</v>
      </c>
      <c r="AF5343">
        <v>4.0973933777100097E-2</v>
      </c>
      <c r="AG5343">
        <v>-0.24625340000000001</v>
      </c>
      <c r="AH5343">
        <v>0.38397727816689098</v>
      </c>
      <c r="AI5343">
        <v>122.52575564756999</v>
      </c>
      <c r="AJ5343">
        <v>83.909058513838403</v>
      </c>
      <c r="AK5343">
        <v>0.45799361393930399</v>
      </c>
      <c r="AL5343">
        <v>80.894438674639403</v>
      </c>
      <c r="AM5343">
        <v>92.419161013843507</v>
      </c>
      <c r="AN5343">
        <v>0.99999994762575195</v>
      </c>
    </row>
    <row r="5344" spans="1:40" x14ac:dyDescent="0.25">
      <c r="A5344" t="str">
        <f>"20190303162018619"</f>
        <v>20190303162018619</v>
      </c>
      <c r="B5344" t="str">
        <f>"1551601218607884"</f>
        <v>1551601218607884</v>
      </c>
      <c r="C5344" t="s">
        <v>40</v>
      </c>
      <c r="D5344">
        <v>4.4684589999999904</v>
      </c>
      <c r="E5344">
        <v>0.5398849</v>
      </c>
      <c r="F5344" t="s">
        <v>42</v>
      </c>
      <c r="G5344">
        <v>-307.37759999999997</v>
      </c>
      <c r="H5344">
        <v>0.88117579999999995</v>
      </c>
      <c r="I5344">
        <v>214.69739999999999</v>
      </c>
      <c r="J5344">
        <v>-307.83089999999999</v>
      </c>
      <c r="K5344">
        <v>1.121313</v>
      </c>
      <c r="L5344">
        <v>214.74619999999999</v>
      </c>
      <c r="M5344">
        <v>0.99992530000000002</v>
      </c>
      <c r="N5344">
        <v>-1.188818E-2</v>
      </c>
      <c r="O5344">
        <v>2.85476E-3</v>
      </c>
      <c r="P5344">
        <v>0.98804990000000004</v>
      </c>
      <c r="Q5344">
        <v>0.147705</v>
      </c>
      <c r="R5344">
        <v>4.4053799999999997E-2</v>
      </c>
      <c r="S5344">
        <v>3.1913149999999999</v>
      </c>
      <c r="T5344">
        <v>-0.98914930000000001</v>
      </c>
      <c r="U5344">
        <v>-0.1968231</v>
      </c>
      <c r="V5344">
        <v>-4.127198E-2</v>
      </c>
      <c r="W5344">
        <v>0.15943179999999901</v>
      </c>
      <c r="X5344">
        <v>0.98634580000000005</v>
      </c>
      <c r="Y5344">
        <v>6.130145E-2</v>
      </c>
      <c r="Z5344">
        <v>-1.047819E-2</v>
      </c>
      <c r="AA5344">
        <v>0.99806430000000002</v>
      </c>
      <c r="AB5344">
        <v>32</v>
      </c>
      <c r="AC5344">
        <v>0.45330000000001203</v>
      </c>
      <c r="AD5344">
        <v>-0.2401372</v>
      </c>
      <c r="AE5344">
        <v>-4.8799999999999899E-2</v>
      </c>
      <c r="AF5344">
        <v>3.9214840696084101E-2</v>
      </c>
      <c r="AG5344">
        <v>-0.2401372</v>
      </c>
      <c r="AH5344">
        <v>0.35474442508999399</v>
      </c>
      <c r="AI5344">
        <v>123.93391450442699</v>
      </c>
      <c r="AJ5344">
        <v>83.691911378036295</v>
      </c>
      <c r="AK5344">
        <v>0.43017122833482202</v>
      </c>
      <c r="AL5344">
        <v>80.826082183874504</v>
      </c>
      <c r="AM5344">
        <v>92.396047734415603</v>
      </c>
      <c r="AN5344">
        <v>0.99999995618099902</v>
      </c>
    </row>
    <row r="5345" spans="1:40" x14ac:dyDescent="0.25">
      <c r="A5345" t="str">
        <f>"20190303162018654"</f>
        <v>20190303162018654</v>
      </c>
      <c r="B5345" t="str">
        <f>"1551601218647901"</f>
        <v>1551601218647901</v>
      </c>
      <c r="C5345" t="s">
        <v>40</v>
      </c>
      <c r="D5345">
        <v>4.5655070000000002</v>
      </c>
      <c r="E5345">
        <v>0.53992859999999998</v>
      </c>
      <c r="F5345" t="s">
        <v>42</v>
      </c>
      <c r="G5345">
        <v>-307.08440000000002</v>
      </c>
      <c r="H5345">
        <v>0.89023569999999996</v>
      </c>
      <c r="I5345">
        <v>214.69990000000001</v>
      </c>
      <c r="J5345">
        <v>-307.32350000000002</v>
      </c>
      <c r="K5345">
        <v>1.1212120000000001</v>
      </c>
      <c r="L5345">
        <v>214.74789999999999</v>
      </c>
      <c r="M5345">
        <v>0.99992879999999995</v>
      </c>
      <c r="N5345">
        <v>-1.153815E-2</v>
      </c>
      <c r="O5345">
        <v>3.0624319999999999E-3</v>
      </c>
      <c r="P5345">
        <v>0.98779119999999998</v>
      </c>
      <c r="Q5345">
        <v>0.14913999999999999</v>
      </c>
      <c r="R5345">
        <v>4.5009680000000003E-2</v>
      </c>
      <c r="S5345">
        <v>3.1928100000000001</v>
      </c>
      <c r="T5345">
        <v>-0.98828269999999996</v>
      </c>
      <c r="U5345">
        <v>-0.19760130000000001</v>
      </c>
      <c r="V5345">
        <v>-4.2023110000000002E-2</v>
      </c>
      <c r="W5345">
        <v>0.16051869999999999</v>
      </c>
      <c r="X5345">
        <v>0.98613779999999995</v>
      </c>
      <c r="Y5345">
        <v>6.170494E-2</v>
      </c>
      <c r="Z5345">
        <v>-1.0578829999999999E-2</v>
      </c>
      <c r="AA5345">
        <v>0.99803839999999999</v>
      </c>
      <c r="AB5345">
        <v>32</v>
      </c>
      <c r="AC5345">
        <v>0.239100000000007</v>
      </c>
      <c r="AD5345">
        <v>-0.2309763</v>
      </c>
      <c r="AE5345">
        <v>-4.7999999999973397E-2</v>
      </c>
      <c r="AF5345">
        <v>2.5688339978316401E-2</v>
      </c>
      <c r="AG5345">
        <v>-0.2309763</v>
      </c>
      <c r="AH5345">
        <v>0.125959749153501</v>
      </c>
      <c r="AI5345">
        <v>150.901371933554</v>
      </c>
      <c r="AJ5345">
        <v>78.473122561310205</v>
      </c>
      <c r="AK5345">
        <v>0.26434031168050098</v>
      </c>
      <c r="AL5345">
        <v>80.762995095930293</v>
      </c>
      <c r="AM5345">
        <v>92.440116371931197</v>
      </c>
      <c r="AN5345">
        <v>0.9999999777063</v>
      </c>
    </row>
    <row r="5346" spans="1:40" x14ac:dyDescent="0.25">
      <c r="A5346" t="str">
        <f>"20190303162018676"</f>
        <v>20190303162018676</v>
      </c>
      <c r="B5346" t="str">
        <f>"1551601218667421"</f>
        <v>1551601218667421</v>
      </c>
      <c r="C5346" t="s">
        <v>40</v>
      </c>
      <c r="D5346">
        <v>4.74254</v>
      </c>
      <c r="E5346">
        <v>0.54335649999999902</v>
      </c>
      <c r="F5346" t="s">
        <v>42</v>
      </c>
      <c r="G5346">
        <v>-306.51100000000002</v>
      </c>
      <c r="H5346">
        <v>0.87018669999999998</v>
      </c>
      <c r="I5346">
        <v>214.6979</v>
      </c>
      <c r="J5346">
        <v>-307.00130000000001</v>
      </c>
      <c r="K5346">
        <v>1.1209260000000001</v>
      </c>
      <c r="L5346">
        <v>214.749</v>
      </c>
      <c r="M5346">
        <v>0.99994079999999996</v>
      </c>
      <c r="N5346">
        <v>-1.0411490000000001E-2</v>
      </c>
      <c r="O5346">
        <v>3.189585E-3</v>
      </c>
      <c r="P5346">
        <v>0.98740320000000004</v>
      </c>
      <c r="Q5346">
        <v>0.1514817</v>
      </c>
      <c r="R5346">
        <v>4.5701270000000002E-2</v>
      </c>
      <c r="S5346">
        <v>3.195068</v>
      </c>
      <c r="T5346">
        <v>-0.98711590000000005</v>
      </c>
      <c r="U5346">
        <v>-0.1957245</v>
      </c>
      <c r="V5346">
        <v>-4.2588139999999997E-2</v>
      </c>
      <c r="W5346">
        <v>0.16174549999999999</v>
      </c>
      <c r="X5346">
        <v>0.98591309999999999</v>
      </c>
      <c r="Y5346">
        <v>6.1242169999999999E-2</v>
      </c>
      <c r="Z5346">
        <v>-1.049303E-2</v>
      </c>
      <c r="AA5346">
        <v>0.99806779999999995</v>
      </c>
      <c r="AB5346">
        <v>32</v>
      </c>
      <c r="AC5346">
        <v>0.49030000000004698</v>
      </c>
      <c r="AD5346">
        <v>-0.2507393</v>
      </c>
      <c r="AE5346">
        <v>-5.1100000000019401E-2</v>
      </c>
      <c r="AF5346">
        <v>4.18390915992524E-2</v>
      </c>
      <c r="AG5346">
        <v>-0.2507393</v>
      </c>
      <c r="AH5346">
        <v>0.38939138557708203</v>
      </c>
      <c r="AI5346">
        <v>122.62903762518199</v>
      </c>
      <c r="AJ5346">
        <v>83.867246057467696</v>
      </c>
      <c r="AK5346">
        <v>0.46502296428453999</v>
      </c>
      <c r="AL5346">
        <v>80.691774166011399</v>
      </c>
      <c r="AM5346">
        <v>92.473447874464895</v>
      </c>
      <c r="AN5346">
        <v>0.99999999859525901</v>
      </c>
    </row>
    <row r="5347" spans="1:40" x14ac:dyDescent="0.25">
      <c r="A5347" t="str">
        <f>"20190303162018697"</f>
        <v>20190303162018697</v>
      </c>
      <c r="B5347" t="str">
        <f>"1551601218687917"</f>
        <v>1551601218687917</v>
      </c>
      <c r="C5347" t="s">
        <v>40</v>
      </c>
      <c r="D5347">
        <v>4.6412950000000004</v>
      </c>
      <c r="E5347">
        <v>0.53342029999999996</v>
      </c>
      <c r="F5347" t="s">
        <v>42</v>
      </c>
      <c r="G5347">
        <v>-306.18419999999998</v>
      </c>
      <c r="H5347">
        <v>0.94211979999999995</v>
      </c>
      <c r="I5347">
        <v>214.69229999999999</v>
      </c>
      <c r="J5347">
        <v>-306.68430000000001</v>
      </c>
      <c r="K5347">
        <v>1.1206430000000001</v>
      </c>
      <c r="L5347">
        <v>214.75020000000001</v>
      </c>
      <c r="M5347">
        <v>0.99995279999999998</v>
      </c>
      <c r="N5347">
        <v>-9.1552749999999992E-3</v>
      </c>
      <c r="O5347">
        <v>3.314001E-3</v>
      </c>
      <c r="P5347">
        <v>0.98696099999999998</v>
      </c>
      <c r="Q5347">
        <v>0.1541806</v>
      </c>
      <c r="R5347">
        <v>4.6225339999999997E-2</v>
      </c>
      <c r="S5347">
        <v>3.1542659999999998</v>
      </c>
      <c r="T5347">
        <v>-0.69025219999999998</v>
      </c>
      <c r="U5347">
        <v>-0.21846009999999999</v>
      </c>
      <c r="V5347">
        <v>-4.2987160000000003E-2</v>
      </c>
      <c r="W5347">
        <v>0.16320219999999999</v>
      </c>
      <c r="X5347">
        <v>0.98565570000000002</v>
      </c>
      <c r="Y5347">
        <v>7.0593080000000002E-2</v>
      </c>
      <c r="Z5347">
        <v>-8.6382679999999993E-3</v>
      </c>
      <c r="AA5347">
        <v>0.99746780000000002</v>
      </c>
      <c r="AB5347">
        <v>33</v>
      </c>
      <c r="AC5347">
        <v>0.50010000000003096</v>
      </c>
      <c r="AD5347">
        <v>-0.17852319999999999</v>
      </c>
      <c r="AE5347">
        <v>-5.7900000000017798E-2</v>
      </c>
      <c r="AF5347">
        <v>5.2904565415203497E-2</v>
      </c>
      <c r="AG5347">
        <v>-0.17852319999999999</v>
      </c>
      <c r="AH5347">
        <v>0.44406600731104101</v>
      </c>
      <c r="AI5347">
        <v>111.761710590305</v>
      </c>
      <c r="AJ5347">
        <v>83.205991984662305</v>
      </c>
      <c r="AK5347">
        <v>0.48152263168949899</v>
      </c>
      <c r="AL5347">
        <v>80.6071875543701</v>
      </c>
      <c r="AM5347">
        <v>92.497244251183304</v>
      </c>
      <c r="AN5347">
        <v>1.0000000064760901</v>
      </c>
    </row>
    <row r="5348" spans="1:40" x14ac:dyDescent="0.25">
      <c r="A5348" t="str">
        <f>"20190303162018720"</f>
        <v>20190303162018720</v>
      </c>
      <c r="B5348" t="str">
        <f>"1551601218707436"</f>
        <v>1551601218707436</v>
      </c>
      <c r="C5348" t="s">
        <v>40</v>
      </c>
      <c r="D5348">
        <v>4.4964339999999998</v>
      </c>
      <c r="E5348">
        <v>0.53010040000000003</v>
      </c>
      <c r="F5348" t="s">
        <v>52</v>
      </c>
      <c r="G5348">
        <v>-275.7937</v>
      </c>
      <c r="H5348" s="1">
        <v>1.5984649999999999E-6</v>
      </c>
      <c r="I5348">
        <v>213.42400000000001</v>
      </c>
      <c r="J5348">
        <v>-306.34100000000001</v>
      </c>
      <c r="K5348">
        <v>1.120384</v>
      </c>
      <c r="L5348">
        <v>214.75139999999999</v>
      </c>
      <c r="M5348">
        <v>0.99996350000000001</v>
      </c>
      <c r="N5348">
        <v>-7.8119280000000001E-3</v>
      </c>
      <c r="O5348">
        <v>3.446761E-3</v>
      </c>
      <c r="P5348">
        <v>0.98675170000000001</v>
      </c>
      <c r="Q5348">
        <v>0.1555975</v>
      </c>
      <c r="R5348">
        <v>4.594355E-2</v>
      </c>
      <c r="S5348">
        <v>3.0631409999999999</v>
      </c>
      <c r="T5348">
        <v>-0.1111239</v>
      </c>
      <c r="U5348">
        <v>-0.13150020000000001</v>
      </c>
      <c r="V5348">
        <v>-4.257242E-2</v>
      </c>
      <c r="W5348">
        <v>0.16329440000000001</v>
      </c>
      <c r="X5348">
        <v>0.98565840000000005</v>
      </c>
      <c r="Y5348">
        <v>4.6295459999999997E-2</v>
      </c>
      <c r="Z5348">
        <v>-1.1181100000000001E-3</v>
      </c>
      <c r="AA5348">
        <v>0.99892720000000002</v>
      </c>
      <c r="AB5348">
        <v>33</v>
      </c>
      <c r="AC5348">
        <v>30.5473</v>
      </c>
      <c r="AD5348">
        <v>-1.1203824015349999</v>
      </c>
      <c r="AE5348">
        <v>-1.3273999999999799</v>
      </c>
      <c r="AF5348">
        <v>1.4307635387364499</v>
      </c>
      <c r="AG5348">
        <v>-1.1203824015349999</v>
      </c>
      <c r="AH5348">
        <v>30.501589752431101</v>
      </c>
      <c r="AI5348">
        <v>92.101330586797502</v>
      </c>
      <c r="AJ5348">
        <v>87.314347662302396</v>
      </c>
      <c r="AK5348">
        <v>30.555675715896999</v>
      </c>
      <c r="AL5348">
        <v>80.601832771105705</v>
      </c>
      <c r="AM5348">
        <v>92.473174141250595</v>
      </c>
      <c r="AN5348">
        <v>0.999999976753288</v>
      </c>
    </row>
    <row r="5349" spans="1:40" x14ac:dyDescent="0.25">
      <c r="A5349" t="str">
        <f>"20190303162018742"</f>
        <v>20190303162018742</v>
      </c>
      <c r="B5349" t="str">
        <f>"1551601218737692"</f>
        <v>1551601218737692</v>
      </c>
      <c r="C5349" t="s">
        <v>40</v>
      </c>
      <c r="D5349">
        <v>4.6496360000000001</v>
      </c>
      <c r="E5349">
        <v>0.53027259999999998</v>
      </c>
      <c r="F5349" t="s">
        <v>52</v>
      </c>
      <c r="G5349">
        <v>-247.934</v>
      </c>
      <c r="H5349" s="1">
        <v>2.7677939999999998E-6</v>
      </c>
      <c r="I5349">
        <v>212.7285</v>
      </c>
      <c r="J5349">
        <v>-306.00720000000001</v>
      </c>
      <c r="K5349">
        <v>1.1201810000000001</v>
      </c>
      <c r="L5349">
        <v>214.7526</v>
      </c>
      <c r="M5349">
        <v>0.99997219999999998</v>
      </c>
      <c r="N5349">
        <v>-6.5486049999999999E-3</v>
      </c>
      <c r="O5349">
        <v>3.5707970000000001E-3</v>
      </c>
      <c r="P5349">
        <v>0.98659010000000003</v>
      </c>
      <c r="Q5349">
        <v>0.15675520000000001</v>
      </c>
      <c r="R5349">
        <v>4.5475590000000003E-2</v>
      </c>
      <c r="S5349">
        <v>3.054443</v>
      </c>
      <c r="T5349">
        <v>-5.8591249999999997E-2</v>
      </c>
      <c r="U5349">
        <v>-0.1057892</v>
      </c>
      <c r="V5349">
        <v>-4.1981310000000001E-2</v>
      </c>
      <c r="W5349">
        <v>0.16320599999999999</v>
      </c>
      <c r="X5349">
        <v>0.98569839999999997</v>
      </c>
      <c r="Y5349">
        <v>3.8172579999999998E-2</v>
      </c>
      <c r="Z5349">
        <v>-5.3611339999999998E-4</v>
      </c>
      <c r="AA5349">
        <v>0.99927100000000002</v>
      </c>
      <c r="AB5349">
        <v>33</v>
      </c>
      <c r="AC5349">
        <v>58.0731999999999</v>
      </c>
      <c r="AD5349">
        <v>-1.1201782322060001</v>
      </c>
      <c r="AE5349">
        <v>-2.0240999999999998</v>
      </c>
      <c r="AF5349">
        <v>2.23063020644851</v>
      </c>
      <c r="AG5349">
        <v>-1.1201782322060001</v>
      </c>
      <c r="AH5349">
        <v>58.044031800085499</v>
      </c>
      <c r="AI5349">
        <v>91.104785337349199</v>
      </c>
      <c r="AJ5349">
        <v>87.799208099857097</v>
      </c>
      <c r="AK5349">
        <v>58.097677561148302</v>
      </c>
      <c r="AL5349">
        <v>80.606966642365904</v>
      </c>
      <c r="AM5349">
        <v>92.438777491277506</v>
      </c>
      <c r="AN5349">
        <v>0.99999998229393705</v>
      </c>
    </row>
    <row r="5350" spans="1:40" x14ac:dyDescent="0.25">
      <c r="A5350" t="str">
        <f>"20190303162018765"</f>
        <v>20190303162018765</v>
      </c>
      <c r="B5350" t="str">
        <f>"1551601218758188"</f>
        <v>1551601218758188</v>
      </c>
      <c r="C5350" t="s">
        <v>40</v>
      </c>
      <c r="D5350">
        <v>4.65097</v>
      </c>
      <c r="E5350">
        <v>0.53032060000000003</v>
      </c>
      <c r="F5350" t="s">
        <v>52</v>
      </c>
      <c r="G5350">
        <v>-219.98779999999999</v>
      </c>
      <c r="H5350" s="1">
        <v>-1.415222E-6</v>
      </c>
      <c r="I5350">
        <v>211.68680000000001</v>
      </c>
      <c r="J5350">
        <v>-305.6551</v>
      </c>
      <c r="K5350">
        <v>1.120009</v>
      </c>
      <c r="L5350">
        <v>214.75399999999999</v>
      </c>
      <c r="M5350">
        <v>0.99997899999999995</v>
      </c>
      <c r="N5350">
        <v>-5.3261289999999998E-3</v>
      </c>
      <c r="O5350">
        <v>3.6957000000000001E-3</v>
      </c>
      <c r="P5350">
        <v>0.98647609999999997</v>
      </c>
      <c r="Q5350">
        <v>0.15768979999999999</v>
      </c>
      <c r="R5350">
        <v>4.4709739999999998E-2</v>
      </c>
      <c r="S5350">
        <v>3.0520939999999999</v>
      </c>
      <c r="T5350">
        <v>-3.974569E-2</v>
      </c>
      <c r="U5350">
        <v>-0.1087799</v>
      </c>
      <c r="V5350">
        <v>-4.1093419999999999E-2</v>
      </c>
      <c r="W5350">
        <v>0.162935</v>
      </c>
      <c r="X5350">
        <v>0.98578069999999896</v>
      </c>
      <c r="Y5350">
        <v>3.9306819999999999E-2</v>
      </c>
      <c r="Z5350">
        <v>-3.8899349999999997E-4</v>
      </c>
      <c r="AA5350">
        <v>0.99922710000000003</v>
      </c>
      <c r="AB5350">
        <v>34</v>
      </c>
      <c r="AC5350">
        <v>85.667299999999997</v>
      </c>
      <c r="AD5350">
        <v>-1.1200104152220001</v>
      </c>
      <c r="AE5350">
        <v>-3.0672000000000099</v>
      </c>
      <c r="AF5350">
        <v>3.3832066348825198</v>
      </c>
      <c r="AG5350">
        <v>-1.1200104152220001</v>
      </c>
      <c r="AH5350">
        <v>85.640759651084807</v>
      </c>
      <c r="AI5350">
        <v>90.748687951505801</v>
      </c>
      <c r="AJ5350">
        <v>87.737727711547706</v>
      </c>
      <c r="AK5350">
        <v>85.714877495563201</v>
      </c>
      <c r="AL5350">
        <v>80.622704966381207</v>
      </c>
      <c r="AM5350">
        <v>92.387059444571193</v>
      </c>
      <c r="AN5350">
        <v>1.00000003594239</v>
      </c>
    </row>
    <row r="5351" spans="1:40" x14ac:dyDescent="0.25">
      <c r="A5351" t="str">
        <f>"20190303162018786"</f>
        <v>20190303162018786</v>
      </c>
      <c r="B5351" t="str">
        <f>"1551601218777708"</f>
        <v>1551601218777708</v>
      </c>
      <c r="C5351" t="s">
        <v>40</v>
      </c>
      <c r="D5351">
        <v>4.6673269999999896</v>
      </c>
      <c r="E5351">
        <v>0.53085289999999996</v>
      </c>
      <c r="F5351" t="s">
        <v>49</v>
      </c>
      <c r="G5351">
        <v>-208.97</v>
      </c>
      <c r="H5351" s="1">
        <v>6.4912789999999899E-6</v>
      </c>
      <c r="I5351">
        <v>211.2251</v>
      </c>
      <c r="J5351">
        <v>-305.33199999999999</v>
      </c>
      <c r="K5351">
        <v>1.1199589999999999</v>
      </c>
      <c r="L5351">
        <v>214.75530000000001</v>
      </c>
      <c r="M5351">
        <v>0.99998260000000005</v>
      </c>
      <c r="N5351">
        <v>-4.5216869999999999E-3</v>
      </c>
      <c r="O5351">
        <v>3.804998E-3</v>
      </c>
      <c r="P5351">
        <v>0.98638979999999998</v>
      </c>
      <c r="Q5351">
        <v>0.15832349999999901</v>
      </c>
      <c r="R5351">
        <v>4.4374530000000002E-2</v>
      </c>
      <c r="S5351">
        <v>3.0518489999999998</v>
      </c>
      <c r="T5351">
        <v>-3.5352710000000002E-2</v>
      </c>
      <c r="U5351">
        <v>-0.11138919999999999</v>
      </c>
      <c r="V5351">
        <v>-4.0653590000000003E-2</v>
      </c>
      <c r="W5351">
        <v>0.16277449999999999</v>
      </c>
      <c r="X5351">
        <v>0.98582539999999996</v>
      </c>
      <c r="Y5351">
        <v>4.0273009999999998E-2</v>
      </c>
      <c r="Z5351">
        <v>-3.5112529999999998E-4</v>
      </c>
      <c r="AA5351">
        <v>0.99918870000000004</v>
      </c>
      <c r="AB5351">
        <v>34</v>
      </c>
      <c r="AC5351">
        <v>96.361999999999995</v>
      </c>
      <c r="AD5351">
        <v>-1.1199525087209901</v>
      </c>
      <c r="AE5351">
        <v>-3.5301999999999998</v>
      </c>
      <c r="AF5351">
        <v>3.89630978320282</v>
      </c>
      <c r="AG5351">
        <v>-1.1199525087209901</v>
      </c>
      <c r="AH5351">
        <v>96.334874507538004</v>
      </c>
      <c r="AI5351">
        <v>90.665524800032102</v>
      </c>
      <c r="AJ5351">
        <v>87.683907333260905</v>
      </c>
      <c r="AK5351">
        <v>96.420140893547597</v>
      </c>
      <c r="AL5351">
        <v>80.632024891118803</v>
      </c>
      <c r="AM5351">
        <v>92.3614324577932</v>
      </c>
      <c r="AN5351">
        <v>0.99999998575764804</v>
      </c>
    </row>
    <row r="5352" spans="1:40" x14ac:dyDescent="0.25">
      <c r="A5352" t="str">
        <f>"20190303162018809"</f>
        <v>20190303162018809</v>
      </c>
      <c r="B5352" t="str">
        <f>"1551601218798205"</f>
        <v>1551601218798205</v>
      </c>
      <c r="C5352" t="s">
        <v>40</v>
      </c>
      <c r="D5352">
        <v>4.6667779999999999</v>
      </c>
      <c r="E5352">
        <v>0.53113580000000005</v>
      </c>
      <c r="F5352" t="s">
        <v>49</v>
      </c>
      <c r="G5352">
        <v>-189.8321</v>
      </c>
      <c r="H5352" s="1">
        <v>4.3224669999999901E-6</v>
      </c>
      <c r="I5352">
        <v>210.3535</v>
      </c>
      <c r="J5352">
        <v>-304.98320000000001</v>
      </c>
      <c r="K5352">
        <v>1.1200730000000001</v>
      </c>
      <c r="L5352">
        <v>214.7567</v>
      </c>
      <c r="M5352">
        <v>0.99998310000000001</v>
      </c>
      <c r="N5352">
        <v>-4.3078200000000004E-3</v>
      </c>
      <c r="O5352">
        <v>3.917205E-3</v>
      </c>
      <c r="P5352">
        <v>0.98655490000000001</v>
      </c>
      <c r="Q5352">
        <v>0.1573687</v>
      </c>
      <c r="R5352">
        <v>4.4095870000000002E-2</v>
      </c>
      <c r="S5352">
        <v>3.0513309999999998</v>
      </c>
      <c r="T5352">
        <v>-2.9587510000000001E-2</v>
      </c>
      <c r="U5352">
        <v>-0.11628719999999999</v>
      </c>
      <c r="V5352">
        <v>-4.0267480000000001E-2</v>
      </c>
      <c r="W5352">
        <v>0.16160910000000001</v>
      </c>
      <c r="X5352">
        <v>0.98603300000000005</v>
      </c>
      <c r="Y5352">
        <v>4.1993889999999999E-2</v>
      </c>
      <c r="Z5352">
        <v>-3.1510899999999999E-4</v>
      </c>
      <c r="AA5352">
        <v>0.99911779999999994</v>
      </c>
      <c r="AB5352">
        <v>34</v>
      </c>
      <c r="AC5352">
        <v>115.1511</v>
      </c>
      <c r="AD5352">
        <v>-1.12006867753299</v>
      </c>
      <c r="AE5352">
        <v>-4.4031999999999902</v>
      </c>
      <c r="AF5352">
        <v>4.8537822809979803</v>
      </c>
      <c r="AG5352">
        <v>-1.12006867753299</v>
      </c>
      <c r="AH5352">
        <v>115.12209191489799</v>
      </c>
      <c r="AI5352">
        <v>90.556941098428993</v>
      </c>
      <c r="AJ5352">
        <v>87.585722926448199</v>
      </c>
      <c r="AK5352">
        <v>115.229812996186</v>
      </c>
      <c r="AL5352">
        <v>80.699693739117293</v>
      </c>
      <c r="AM5352">
        <v>92.338537721618493</v>
      </c>
      <c r="AN5352">
        <v>1.0000000241186799</v>
      </c>
    </row>
    <row r="5353" spans="1:40" x14ac:dyDescent="0.25">
      <c r="A5353" t="str">
        <f>"20190303162018833"</f>
        <v>20190303162018833</v>
      </c>
      <c r="B5353" t="str">
        <f>"1551601218827484"</f>
        <v>1551601218827484</v>
      </c>
      <c r="C5353" t="s">
        <v>40</v>
      </c>
      <c r="D5353">
        <v>4.6967540000000003</v>
      </c>
      <c r="E5353">
        <v>0.53125500000000003</v>
      </c>
      <c r="F5353" t="s">
        <v>49</v>
      </c>
      <c r="G5353">
        <v>-200.62200000000001</v>
      </c>
      <c r="H5353" s="1">
        <v>2.8370889999999998E-6</v>
      </c>
      <c r="I5353">
        <v>210.67830000000001</v>
      </c>
      <c r="J5353">
        <v>-304.62569999999999</v>
      </c>
      <c r="K5353">
        <v>1.1203320000000001</v>
      </c>
      <c r="L5353">
        <v>214.75819999999999</v>
      </c>
      <c r="M5353">
        <v>0.99998089999999995</v>
      </c>
      <c r="N5353">
        <v>-4.7133770000000004E-3</v>
      </c>
      <c r="O5353">
        <v>4.0341639999999998E-3</v>
      </c>
      <c r="P5353">
        <v>0.98667309999999997</v>
      </c>
      <c r="Q5353">
        <v>0.1566321</v>
      </c>
      <c r="R5353">
        <v>4.4078249999999999E-2</v>
      </c>
      <c r="S5353">
        <v>3.051453</v>
      </c>
      <c r="T5353">
        <v>-3.2750130000000002E-2</v>
      </c>
      <c r="U5353">
        <v>-0.1192474</v>
      </c>
      <c r="V5353">
        <v>-4.013713E-2</v>
      </c>
      <c r="W5353">
        <v>0.1612721</v>
      </c>
      <c r="X5353">
        <v>0.98609349999999996</v>
      </c>
      <c r="Y5353">
        <v>4.307627E-2</v>
      </c>
      <c r="Z5353">
        <v>-3.5690039999999998E-4</v>
      </c>
      <c r="AA5353">
        <v>0.99907170000000001</v>
      </c>
      <c r="AB5353">
        <v>34</v>
      </c>
      <c r="AC5353">
        <v>104.003699999999</v>
      </c>
      <c r="AD5353">
        <v>-1.1203291629109999</v>
      </c>
      <c r="AE5353">
        <v>-4.0798999999999799</v>
      </c>
      <c r="AF5353">
        <v>4.49891814654349</v>
      </c>
      <c r="AG5353">
        <v>-1.1203291629109999</v>
      </c>
      <c r="AH5353">
        <v>103.974348252488</v>
      </c>
      <c r="AI5353">
        <v>90.616764144061705</v>
      </c>
      <c r="AJ5353">
        <v>87.522385687934104</v>
      </c>
      <c r="AK5353">
        <v>104.077665694674</v>
      </c>
      <c r="AL5353">
        <v>80.719259168707396</v>
      </c>
      <c r="AM5353">
        <v>92.330833141604202</v>
      </c>
      <c r="AN5353">
        <v>1.0000000350926399</v>
      </c>
    </row>
    <row r="5354" spans="1:40" x14ac:dyDescent="0.25">
      <c r="A5354" t="str">
        <f>"20190303162018854"</f>
        <v>20190303162018854</v>
      </c>
      <c r="B5354" t="str">
        <f>"1551601218847980"</f>
        <v>1551601218847980</v>
      </c>
      <c r="C5354" t="s">
        <v>40</v>
      </c>
      <c r="D5354">
        <v>4.7367780000000002</v>
      </c>
      <c r="E5354">
        <v>0.5313156</v>
      </c>
      <c r="F5354" t="s">
        <v>52</v>
      </c>
      <c r="G5354">
        <v>-212.95609999999999</v>
      </c>
      <c r="H5354" s="1">
        <v>1.8762030000000001E-7</v>
      </c>
      <c r="I5354">
        <v>211.1542</v>
      </c>
      <c r="J5354">
        <v>-304.28949999999998</v>
      </c>
      <c r="K5354">
        <v>1.120584</v>
      </c>
      <c r="L5354">
        <v>214.75970000000001</v>
      </c>
      <c r="M5354">
        <v>0.999977</v>
      </c>
      <c r="N5354">
        <v>-5.3875909999999997E-3</v>
      </c>
      <c r="O5354">
        <v>4.1521919999999999E-3</v>
      </c>
      <c r="P5354">
        <v>0.98688739999999997</v>
      </c>
      <c r="Q5354">
        <v>0.15537619999999999</v>
      </c>
      <c r="R5354">
        <v>4.3727719999999998E-2</v>
      </c>
      <c r="S5354">
        <v>3.051758</v>
      </c>
      <c r="T5354">
        <v>-3.729677E-2</v>
      </c>
      <c r="U5354">
        <v>-0.1199799</v>
      </c>
      <c r="V5354">
        <v>-3.9671730000000002E-2</v>
      </c>
      <c r="W5354">
        <v>0.1606815</v>
      </c>
      <c r="X5354">
        <v>0.98620870000000005</v>
      </c>
      <c r="Y5354">
        <v>4.3428590000000003E-2</v>
      </c>
      <c r="Z5354">
        <v>-4.1067099999999999E-4</v>
      </c>
      <c r="AA5354">
        <v>0.99905650000000001</v>
      </c>
      <c r="AB5354">
        <v>34</v>
      </c>
      <c r="AC5354">
        <v>91.333399999999898</v>
      </c>
      <c r="AD5354">
        <v>-1.1205838123796901</v>
      </c>
      <c r="AE5354">
        <v>-3.6055000000000001</v>
      </c>
      <c r="AF5354">
        <v>3.9841093807516601</v>
      </c>
      <c r="AG5354">
        <v>-1.1205838123796901</v>
      </c>
      <c r="AH5354">
        <v>91.303918909150994</v>
      </c>
      <c r="AI5354">
        <v>90.7024941697602</v>
      </c>
      <c r="AJ5354">
        <v>87.501444209256505</v>
      </c>
      <c r="AK5354">
        <v>91.397671982426203</v>
      </c>
      <c r="AL5354">
        <v>80.7535448360385</v>
      </c>
      <c r="AM5354">
        <v>92.303567020782594</v>
      </c>
      <c r="AN5354">
        <v>0.99999999527956596</v>
      </c>
    </row>
    <row r="5355" spans="1:40" x14ac:dyDescent="0.25">
      <c r="A5355" t="str">
        <f>"20190303162018876"</f>
        <v>20190303162018876</v>
      </c>
      <c r="B5355" t="str">
        <f>"1551601218867501"</f>
        <v>1551601218867501</v>
      </c>
      <c r="C5355" t="s">
        <v>40</v>
      </c>
      <c r="D5355">
        <v>4.7495589999999996</v>
      </c>
      <c r="E5355">
        <v>0.53137880000000004</v>
      </c>
      <c r="F5355" t="s">
        <v>52</v>
      </c>
      <c r="G5355">
        <v>-223.1533</v>
      </c>
      <c r="H5355" s="1">
        <v>2.7633689999999998E-7</v>
      </c>
      <c r="I5355">
        <v>211.5258</v>
      </c>
      <c r="J5355">
        <v>-303.95589999999999</v>
      </c>
      <c r="K5355">
        <v>1.1208009999999999</v>
      </c>
      <c r="L5355">
        <v>214.7612</v>
      </c>
      <c r="M5355">
        <v>0.99997179999999997</v>
      </c>
      <c r="N5355">
        <v>-6.1640159999999996E-3</v>
      </c>
      <c r="O5355">
        <v>4.2787340000000002E-3</v>
      </c>
      <c r="P5355">
        <v>0.98713740000000005</v>
      </c>
      <c r="Q5355">
        <v>0.15378620000000001</v>
      </c>
      <c r="R5355">
        <v>4.369928E-2</v>
      </c>
      <c r="S5355">
        <v>3.0519099999999999</v>
      </c>
      <c r="T5355">
        <v>-4.2150380000000001E-2</v>
      </c>
      <c r="U5355">
        <v>-0.1216431</v>
      </c>
      <c r="V5355">
        <v>-3.9517190000000001E-2</v>
      </c>
      <c r="W5355">
        <v>0.1598588</v>
      </c>
      <c r="X5355">
        <v>0.98634860000000002</v>
      </c>
      <c r="Y5355">
        <v>4.4095240000000001E-2</v>
      </c>
      <c r="Z5355">
        <v>-4.7304029999999998E-4</v>
      </c>
      <c r="AA5355">
        <v>0.9990272</v>
      </c>
      <c r="AB5355">
        <v>34</v>
      </c>
      <c r="AC5355">
        <v>80.802599999999899</v>
      </c>
      <c r="AD5355">
        <v>-1.1208007236630999</v>
      </c>
      <c r="AE5355">
        <v>-3.2353999999999901</v>
      </c>
      <c r="AF5355">
        <v>3.58042202724143</v>
      </c>
      <c r="AG5355">
        <v>-1.1208007236630999</v>
      </c>
      <c r="AH5355">
        <v>80.772500847959506</v>
      </c>
      <c r="AI5355">
        <v>90.794206494375103</v>
      </c>
      <c r="AJ5355">
        <v>87.461897738625296</v>
      </c>
      <c r="AK5355">
        <v>80.859585142325201</v>
      </c>
      <c r="AL5355">
        <v>80.801299456500601</v>
      </c>
      <c r="AM5355">
        <v>92.294278046929506</v>
      </c>
      <c r="AN5355">
        <v>1.00000000248244</v>
      </c>
    </row>
    <row r="5356" spans="1:40" x14ac:dyDescent="0.25">
      <c r="A5356" t="str">
        <f>"20190303162018898"</f>
        <v>20190303162018898</v>
      </c>
      <c r="B5356" t="str">
        <f>"1551601218887997"</f>
        <v>1551601218887997</v>
      </c>
      <c r="C5356" t="s">
        <v>40</v>
      </c>
      <c r="D5356">
        <v>4.7422079999999998</v>
      </c>
      <c r="E5356">
        <v>0.53142259999999997</v>
      </c>
      <c r="F5356" t="s">
        <v>52</v>
      </c>
      <c r="G5356">
        <v>-232.4237</v>
      </c>
      <c r="H5356" s="1">
        <v>-1.281313E-7</v>
      </c>
      <c r="I5356">
        <v>211.89680000000001</v>
      </c>
      <c r="J5356">
        <v>-303.62200000000001</v>
      </c>
      <c r="K5356">
        <v>1.120989</v>
      </c>
      <c r="L5356">
        <v>214.7627</v>
      </c>
      <c r="M5356">
        <v>0.99996609999999997</v>
      </c>
      <c r="N5356">
        <v>-6.9683269999999999E-3</v>
      </c>
      <c r="O5356">
        <v>4.4114269999999999E-3</v>
      </c>
      <c r="P5356">
        <v>0.98730180000000001</v>
      </c>
      <c r="Q5356">
        <v>0.152724</v>
      </c>
      <c r="R5356">
        <v>4.3713139999999998E-2</v>
      </c>
      <c r="S5356">
        <v>3.0519099999999999</v>
      </c>
      <c r="T5356">
        <v>-4.7818779999999998E-2</v>
      </c>
      <c r="U5356">
        <v>-0.1222076</v>
      </c>
      <c r="V5356">
        <v>-3.9399450000000003E-2</v>
      </c>
      <c r="W5356">
        <v>0.15959139999999999</v>
      </c>
      <c r="X5356">
        <v>0.98639659999999996</v>
      </c>
      <c r="Y5356">
        <v>4.4410520000000002E-2</v>
      </c>
      <c r="Z5356">
        <v>-5.4093589999999997E-4</v>
      </c>
      <c r="AA5356">
        <v>0.99901320000000005</v>
      </c>
      <c r="AB5356">
        <v>34</v>
      </c>
      <c r="AC5356">
        <v>71.198300000000003</v>
      </c>
      <c r="AD5356">
        <v>-1.1209891281313</v>
      </c>
      <c r="AE5356">
        <v>-2.8658999999999799</v>
      </c>
      <c r="AF5356">
        <v>3.1791789866650202</v>
      </c>
      <c r="AG5356">
        <v>-1.1209891281313</v>
      </c>
      <c r="AH5356">
        <v>71.167350843756594</v>
      </c>
      <c r="AI5356">
        <v>90.901518180056399</v>
      </c>
      <c r="AJ5356">
        <v>87.442190641266293</v>
      </c>
      <c r="AK5356">
        <v>71.247144656982499</v>
      </c>
      <c r="AL5356">
        <v>80.816819506233998</v>
      </c>
      <c r="AM5356">
        <v>92.287338409220794</v>
      </c>
      <c r="AN5356">
        <v>0.99999999205291101</v>
      </c>
    </row>
    <row r="5357" spans="1:40" x14ac:dyDescent="0.25">
      <c r="A5357" t="str">
        <f>"20190303162018921"</f>
        <v>20190303162018921</v>
      </c>
      <c r="B5357" t="str">
        <f>"1551601218918253"</f>
        <v>1551601218918253</v>
      </c>
      <c r="C5357" t="s">
        <v>40</v>
      </c>
      <c r="D5357">
        <v>4.6794690000000001</v>
      </c>
      <c r="E5357">
        <v>0.53136709999999998</v>
      </c>
      <c r="F5357" t="s">
        <v>52</v>
      </c>
      <c r="G5357">
        <v>-238.03</v>
      </c>
      <c r="H5357" s="1">
        <v>2.8451079999999999E-6</v>
      </c>
      <c r="I5357">
        <v>212.12819999999999</v>
      </c>
      <c r="J5357">
        <v>-303.26799999999997</v>
      </c>
      <c r="K5357">
        <v>1.1211420000000001</v>
      </c>
      <c r="L5357">
        <v>214.7645</v>
      </c>
      <c r="M5357">
        <v>0.99995909999999999</v>
      </c>
      <c r="N5357">
        <v>-7.8096009999999898E-3</v>
      </c>
      <c r="O5357">
        <v>4.5537909999999997E-3</v>
      </c>
      <c r="P5357">
        <v>0.98744980000000004</v>
      </c>
      <c r="Q5357">
        <v>0.15169189999999999</v>
      </c>
      <c r="R5357">
        <v>4.3959739999999997E-2</v>
      </c>
      <c r="S5357">
        <v>3.0520939999999999</v>
      </c>
      <c r="T5357">
        <v>-5.2161100000000002E-2</v>
      </c>
      <c r="U5357">
        <v>-0.12258910000000001</v>
      </c>
      <c r="V5357">
        <v>-3.9504699999999997E-2</v>
      </c>
      <c r="W5357">
        <v>0.1593899</v>
      </c>
      <c r="X5357">
        <v>0.986425</v>
      </c>
      <c r="Y5357">
        <v>4.4673379999999999E-2</v>
      </c>
      <c r="Z5357">
        <v>-5.9833309999999997E-4</v>
      </c>
      <c r="AA5357">
        <v>0.99900140000000004</v>
      </c>
      <c r="AB5357">
        <v>34</v>
      </c>
      <c r="AC5357">
        <v>65.2379999999999</v>
      </c>
      <c r="AD5357">
        <v>-1.121139154892</v>
      </c>
      <c r="AE5357">
        <v>-2.6362999999999999</v>
      </c>
      <c r="AF5357">
        <v>2.9324972886638299</v>
      </c>
      <c r="AG5357">
        <v>-1.121139154892</v>
      </c>
      <c r="AH5357">
        <v>65.206091638389296</v>
      </c>
      <c r="AI5357">
        <v>90.984039498523202</v>
      </c>
      <c r="AJ5357">
        <v>87.424986299240004</v>
      </c>
      <c r="AK5357">
        <v>65.281627431511495</v>
      </c>
      <c r="AL5357">
        <v>80.828514574478106</v>
      </c>
      <c r="AM5357">
        <v>92.293376231231306</v>
      </c>
      <c r="AN5357">
        <v>1.0000000210845399</v>
      </c>
    </row>
    <row r="5358" spans="1:40" x14ac:dyDescent="0.25">
      <c r="A5358" t="str">
        <f>"20190303162018943"</f>
        <v>20190303162018943</v>
      </c>
      <c r="B5358" t="str">
        <f>"1551601218937772"</f>
        <v>1551601218937772</v>
      </c>
      <c r="C5358" t="s">
        <v>40</v>
      </c>
      <c r="D5358">
        <v>4.6597299999999997</v>
      </c>
      <c r="E5358">
        <v>0.53139859999999906</v>
      </c>
      <c r="F5358" t="s">
        <v>52</v>
      </c>
      <c r="G5358">
        <v>-241.00880000000001</v>
      </c>
      <c r="H5358" s="1">
        <v>-8.9818140000000001E-7</v>
      </c>
      <c r="I5358">
        <v>212.28829999999999</v>
      </c>
      <c r="J5358">
        <v>-302.93869999999998</v>
      </c>
      <c r="K5358">
        <v>1.1212519999999999</v>
      </c>
      <c r="L5358">
        <v>214.76609999999999</v>
      </c>
      <c r="M5358">
        <v>0.99995239999999996</v>
      </c>
      <c r="N5358">
        <v>-8.5568129999999999E-3</v>
      </c>
      <c r="O5358">
        <v>4.6841610000000001E-3</v>
      </c>
      <c r="P5358">
        <v>0.98753380000000002</v>
      </c>
      <c r="Q5358">
        <v>0.15101629999999999</v>
      </c>
      <c r="R5358">
        <v>4.439953E-2</v>
      </c>
      <c r="S5358">
        <v>3.0519409999999998</v>
      </c>
      <c r="T5358">
        <v>-5.4958340000000001E-2</v>
      </c>
      <c r="U5358">
        <v>-0.1213837</v>
      </c>
      <c r="V5358">
        <v>-3.9815679999999999E-2</v>
      </c>
      <c r="W5358">
        <v>0.1594525</v>
      </c>
      <c r="X5358">
        <v>0.98640229999999995</v>
      </c>
      <c r="Y5358">
        <v>4.4410579999999998E-2</v>
      </c>
      <c r="Z5358">
        <v>-6.3403150000000002E-4</v>
      </c>
      <c r="AA5358">
        <v>0.99901320000000005</v>
      </c>
      <c r="AB5358">
        <v>34</v>
      </c>
      <c r="AC5358">
        <v>61.929899999999897</v>
      </c>
      <c r="AD5358">
        <v>-1.1212528981813901</v>
      </c>
      <c r="AE5358">
        <v>-2.4777999999999998</v>
      </c>
      <c r="AF5358">
        <v>2.76696750603121</v>
      </c>
      <c r="AG5358">
        <v>-1.1212528981813901</v>
      </c>
      <c r="AH5358">
        <v>61.897356287356999</v>
      </c>
      <c r="AI5358">
        <v>91.0367480166272</v>
      </c>
      <c r="AJ5358">
        <v>87.4404385783062</v>
      </c>
      <c r="AK5358">
        <v>61.969315250413402</v>
      </c>
      <c r="AL5358">
        <v>80.824880668162507</v>
      </c>
      <c r="AM5358">
        <v>92.311463260895593</v>
      </c>
      <c r="AN5358">
        <v>0.99999994278769899</v>
      </c>
    </row>
    <row r="5359" spans="1:40" x14ac:dyDescent="0.25">
      <c r="A5359" t="str">
        <f>"20190303162018966"</f>
        <v>20190303162018966</v>
      </c>
      <c r="B5359" t="str">
        <f>"1551601218958269"</f>
        <v>1551601218958269</v>
      </c>
      <c r="C5359" t="s">
        <v>40</v>
      </c>
      <c r="D5359">
        <v>4.6507310000000004</v>
      </c>
      <c r="E5359">
        <v>0.53139769999999997</v>
      </c>
      <c r="F5359" t="s">
        <v>52</v>
      </c>
      <c r="G5359">
        <v>-243.93360000000001</v>
      </c>
      <c r="H5359" s="1">
        <v>6.5185869999999996E-7</v>
      </c>
      <c r="I5359">
        <v>212.43450000000001</v>
      </c>
      <c r="J5359">
        <v>-302.6019</v>
      </c>
      <c r="K5359">
        <v>1.1213329999999999</v>
      </c>
      <c r="L5359">
        <v>214.76779999999999</v>
      </c>
      <c r="M5359">
        <v>0.99994559999999999</v>
      </c>
      <c r="N5359">
        <v>-9.2689710000000008E-3</v>
      </c>
      <c r="O5359">
        <v>4.8153069999999996E-3</v>
      </c>
      <c r="P5359">
        <v>0.98760579999999998</v>
      </c>
      <c r="Q5359">
        <v>0.15032110000000001</v>
      </c>
      <c r="R5359">
        <v>4.5152680000000001E-2</v>
      </c>
      <c r="S5359">
        <v>3.0521240000000001</v>
      </c>
      <c r="T5359">
        <v>-5.7998420000000002E-2</v>
      </c>
      <c r="U5359">
        <v>-0.1206055</v>
      </c>
      <c r="V5359">
        <v>-4.0439309999999999E-2</v>
      </c>
      <c r="W5359">
        <v>0.15945960000000001</v>
      </c>
      <c r="X5359">
        <v>0.98637589999999997</v>
      </c>
      <c r="Y5359">
        <v>4.4283639999999999E-2</v>
      </c>
      <c r="Z5359">
        <v>-6.7274299999999995E-4</v>
      </c>
      <c r="AA5359">
        <v>0.99901879999999998</v>
      </c>
      <c r="AB5359">
        <v>34</v>
      </c>
      <c r="AC5359">
        <v>58.668299999999903</v>
      </c>
      <c r="AD5359">
        <v>-1.1213323481413</v>
      </c>
      <c r="AE5359">
        <v>-2.3332999999999799</v>
      </c>
      <c r="AF5359">
        <v>2.6148371973524398</v>
      </c>
      <c r="AG5359">
        <v>-1.1213323481413</v>
      </c>
      <c r="AH5359">
        <v>58.634997594475102</v>
      </c>
      <c r="AI5359">
        <v>91.094500143441493</v>
      </c>
      <c r="AJ5359">
        <v>87.446577240913101</v>
      </c>
      <c r="AK5359">
        <v>58.703983703899901</v>
      </c>
      <c r="AL5359">
        <v>80.824469670826204</v>
      </c>
      <c r="AM5359">
        <v>92.347690103390804</v>
      </c>
      <c r="AN5359">
        <v>1.0000000589631199</v>
      </c>
    </row>
    <row r="5360" spans="1:40" x14ac:dyDescent="0.25">
      <c r="A5360" t="str">
        <f>"20190303162018988"</f>
        <v>20190303162018988</v>
      </c>
      <c r="B5360" t="str">
        <f>"1551601218977789"</f>
        <v>1551601218977789</v>
      </c>
      <c r="C5360" t="s">
        <v>40</v>
      </c>
      <c r="D5360">
        <v>4.5767179999999996</v>
      </c>
      <c r="E5360">
        <v>0.53144069999999899</v>
      </c>
      <c r="F5360" t="s">
        <v>52</v>
      </c>
      <c r="G5360">
        <v>-245.68709999999999</v>
      </c>
      <c r="H5360" s="1">
        <v>1.5795239999999999E-6</v>
      </c>
      <c r="I5360">
        <v>212.55869999999999</v>
      </c>
      <c r="J5360">
        <v>-302.25630000000001</v>
      </c>
      <c r="K5360">
        <v>1.1213869999999999</v>
      </c>
      <c r="L5360">
        <v>214.7696</v>
      </c>
      <c r="M5360">
        <v>0.99993849999999995</v>
      </c>
      <c r="N5360">
        <v>-9.9307849999999993E-3</v>
      </c>
      <c r="O5360">
        <v>4.9491209999999999E-3</v>
      </c>
      <c r="P5360">
        <v>0.98768999999999996</v>
      </c>
      <c r="Q5360">
        <v>0.14961839999999901</v>
      </c>
      <c r="R5360">
        <v>4.5642540000000002E-2</v>
      </c>
      <c r="S5360">
        <v>3.0522459999999998</v>
      </c>
      <c r="T5360">
        <v>-6.0135130000000002E-2</v>
      </c>
      <c r="U5360">
        <v>-0.1184692</v>
      </c>
      <c r="V5360">
        <v>-4.0797090000000001E-2</v>
      </c>
      <c r="W5360">
        <v>0.15941069999999999</v>
      </c>
      <c r="X5360">
        <v>0.98636900000000005</v>
      </c>
      <c r="Y5360">
        <v>4.3716779999999997E-2</v>
      </c>
      <c r="Z5360">
        <v>-6.9597330000000001E-4</v>
      </c>
      <c r="AA5360">
        <v>0.99904369999999998</v>
      </c>
      <c r="AB5360">
        <v>34</v>
      </c>
      <c r="AC5360">
        <v>56.569200000000002</v>
      </c>
      <c r="AD5360">
        <v>-1.1213854204760001</v>
      </c>
      <c r="AE5360">
        <v>-2.2109000000000001</v>
      </c>
      <c r="AF5360">
        <v>2.4898775927632801</v>
      </c>
      <c r="AG5360">
        <v>-1.1213854204760001</v>
      </c>
      <c r="AH5360">
        <v>56.535382247917397</v>
      </c>
      <c r="AI5360">
        <v>91.135218855339602</v>
      </c>
      <c r="AJ5360">
        <v>87.478263269562902</v>
      </c>
      <c r="AK5360">
        <v>56.601293638982597</v>
      </c>
      <c r="AL5360">
        <v>80.827307090334401</v>
      </c>
      <c r="AM5360">
        <v>92.368453896493605</v>
      </c>
      <c r="AN5360">
        <v>0.99999998899397902</v>
      </c>
    </row>
    <row r="5361" spans="1:40" x14ac:dyDescent="0.25">
      <c r="A5361" t="str">
        <f>"20190303162019009"</f>
        <v>20190303162019009</v>
      </c>
      <c r="B5361" t="str">
        <f>"1551601218998285"</f>
        <v>1551601218998285</v>
      </c>
      <c r="C5361" t="s">
        <v>40</v>
      </c>
      <c r="D5361">
        <v>4.486472</v>
      </c>
      <c r="E5361">
        <v>0.53153530000000004</v>
      </c>
      <c r="F5361" t="s">
        <v>52</v>
      </c>
      <c r="G5361">
        <v>-247.21340000000001</v>
      </c>
      <c r="H5361" s="1">
        <v>2.3876300000000002E-6</v>
      </c>
      <c r="I5361">
        <v>212.6532</v>
      </c>
      <c r="J5361">
        <v>-301.92500000000001</v>
      </c>
      <c r="K5361">
        <v>1.121418</v>
      </c>
      <c r="L5361">
        <v>214.7714</v>
      </c>
      <c r="M5361">
        <v>0.99993189999999998</v>
      </c>
      <c r="N5361">
        <v>-1.050308E-2</v>
      </c>
      <c r="O5361">
        <v>5.0775639999999997E-3</v>
      </c>
      <c r="P5361">
        <v>0.98775520000000006</v>
      </c>
      <c r="Q5361">
        <v>0.14902679999999999</v>
      </c>
      <c r="R5361">
        <v>4.6157610000000002E-2</v>
      </c>
      <c r="S5361">
        <v>3.0521850000000001</v>
      </c>
      <c r="T5361">
        <v>-6.218183E-2</v>
      </c>
      <c r="U5361">
        <v>-0.1173553</v>
      </c>
      <c r="V5361">
        <v>-4.1184350000000002E-2</v>
      </c>
      <c r="W5361">
        <v>0.15938469999999999</v>
      </c>
      <c r="X5361">
        <v>0.98635709999999999</v>
      </c>
      <c r="Y5361">
        <v>4.3480919999999999E-2</v>
      </c>
      <c r="Z5361">
        <v>-7.2126470000000002E-4</v>
      </c>
      <c r="AA5361">
        <v>0.999054</v>
      </c>
      <c r="AB5361">
        <v>34</v>
      </c>
      <c r="AC5361">
        <v>54.711599999999997</v>
      </c>
      <c r="AD5361">
        <v>-1.1214156123700001</v>
      </c>
      <c r="AE5361">
        <v>-2.1181999999999999</v>
      </c>
      <c r="AF5361">
        <v>2.3949850023088599</v>
      </c>
      <c r="AG5361">
        <v>-1.1214156123700001</v>
      </c>
      <c r="AH5361">
        <v>54.677202090348302</v>
      </c>
      <c r="AI5361">
        <v>91.173832019934196</v>
      </c>
      <c r="AJ5361">
        <v>87.491918603059204</v>
      </c>
      <c r="AK5361">
        <v>54.741117586013303</v>
      </c>
      <c r="AL5361">
        <v>80.828815999850306</v>
      </c>
      <c r="AM5361">
        <v>92.390938919048807</v>
      </c>
      <c r="AN5361">
        <v>0.99999998099971099</v>
      </c>
    </row>
    <row r="5362" spans="1:40" x14ac:dyDescent="0.25">
      <c r="A5362" t="str">
        <f>"20190303162019033"</f>
        <v>20190303162019033</v>
      </c>
      <c r="B5362" t="str">
        <f>"1551601219027565"</f>
        <v>1551601219027565</v>
      </c>
      <c r="C5362" t="s">
        <v>40</v>
      </c>
      <c r="D5362">
        <v>4.4580699999999904</v>
      </c>
      <c r="E5362">
        <v>0.53165629999999997</v>
      </c>
      <c r="F5362" t="s">
        <v>52</v>
      </c>
      <c r="G5362">
        <v>-248.32759999999999</v>
      </c>
      <c r="H5362" s="1">
        <v>2.9775779999999999E-6</v>
      </c>
      <c r="I5362">
        <v>212.72139999999999</v>
      </c>
      <c r="J5362">
        <v>-301.57240000000002</v>
      </c>
      <c r="K5362">
        <v>1.1214379999999999</v>
      </c>
      <c r="L5362">
        <v>214.77330000000001</v>
      </c>
      <c r="M5362">
        <v>0.99992539999999996</v>
      </c>
      <c r="N5362">
        <v>-1.1045269999999999E-2</v>
      </c>
      <c r="O5362">
        <v>5.2151159999999997E-3</v>
      </c>
      <c r="P5362">
        <v>0.98782959999999997</v>
      </c>
      <c r="Q5362">
        <v>0.1484017</v>
      </c>
      <c r="R5362">
        <v>4.6578710000000002E-2</v>
      </c>
      <c r="S5362">
        <v>3.0522770000000001</v>
      </c>
      <c r="T5362">
        <v>-6.3862559999999999E-2</v>
      </c>
      <c r="U5362">
        <v>-0.116745</v>
      </c>
      <c r="V5362">
        <v>-4.1469029999999997E-2</v>
      </c>
      <c r="W5362">
        <v>0.1592953</v>
      </c>
      <c r="X5362">
        <v>0.98635969999999995</v>
      </c>
      <c r="Y5362">
        <v>4.341689E-2</v>
      </c>
      <c r="Z5362">
        <v>-7.453866E-4</v>
      </c>
      <c r="AA5362">
        <v>0.99905679999999997</v>
      </c>
      <c r="AB5362">
        <v>34</v>
      </c>
      <c r="AC5362">
        <v>53.244799999999998</v>
      </c>
      <c r="AD5362">
        <v>-1.121435022422</v>
      </c>
      <c r="AE5362">
        <v>-2.05190000000001</v>
      </c>
      <c r="AF5362">
        <v>2.3285354290633302</v>
      </c>
      <c r="AG5362">
        <v>-1.121435022422</v>
      </c>
      <c r="AH5362">
        <v>53.2098053046914</v>
      </c>
      <c r="AI5362">
        <v>91.206217036166294</v>
      </c>
      <c r="AJ5362">
        <v>87.494255364638406</v>
      </c>
      <c r="AK5362">
        <v>53.272535835241399</v>
      </c>
      <c r="AL5362">
        <v>80.834005312991493</v>
      </c>
      <c r="AM5362">
        <v>92.407440171207398</v>
      </c>
      <c r="AN5362">
        <v>1.00000006541765</v>
      </c>
    </row>
    <row r="5363" spans="1:40" x14ac:dyDescent="0.25">
      <c r="A5363" t="str">
        <f>"20190303162019056"</f>
        <v>20190303162019056</v>
      </c>
      <c r="B5363" t="str">
        <f>"1551601219048061"</f>
        <v>1551601219048061</v>
      </c>
      <c r="C5363" t="s">
        <v>40</v>
      </c>
      <c r="D5363">
        <v>4.4046099999999999</v>
      </c>
      <c r="E5363">
        <v>0.53168419999999905</v>
      </c>
      <c r="F5363" t="s">
        <v>52</v>
      </c>
      <c r="G5363">
        <v>-248.8631</v>
      </c>
      <c r="H5363" s="1">
        <v>3.2606510000000001E-6</v>
      </c>
      <c r="I5363">
        <v>212.7646</v>
      </c>
      <c r="J5363">
        <v>-301.22660000000002</v>
      </c>
      <c r="K5363">
        <v>1.121443</v>
      </c>
      <c r="L5363">
        <v>214.77529999999999</v>
      </c>
      <c r="M5363">
        <v>0.99991949999999996</v>
      </c>
      <c r="N5363">
        <v>-1.1515060000000001E-2</v>
      </c>
      <c r="O5363">
        <v>5.3503650000000002E-3</v>
      </c>
      <c r="P5363">
        <v>0.98795790000000006</v>
      </c>
      <c r="Q5363">
        <v>0.14744589999999999</v>
      </c>
      <c r="R5363">
        <v>4.6895909999999999E-2</v>
      </c>
      <c r="S5363">
        <v>3.0522459999999998</v>
      </c>
      <c r="T5363">
        <v>-6.4939140000000006E-2</v>
      </c>
      <c r="U5363">
        <v>-0.1163177</v>
      </c>
      <c r="V5363">
        <v>-4.1651100000000003E-2</v>
      </c>
      <c r="W5363">
        <v>0.158803799999999</v>
      </c>
      <c r="X5363">
        <v>0.98643119999999995</v>
      </c>
      <c r="Y5363">
        <v>4.3412180000000002E-2</v>
      </c>
      <c r="Z5363">
        <v>-7.6388240000000004E-4</v>
      </c>
      <c r="AA5363">
        <v>0.99905690000000003</v>
      </c>
      <c r="AB5363">
        <v>34</v>
      </c>
      <c r="AC5363">
        <v>52.363500000000002</v>
      </c>
      <c r="AD5363">
        <v>-1.1214397393490001</v>
      </c>
      <c r="AE5363">
        <v>-2.0106999999999799</v>
      </c>
      <c r="AF5363">
        <v>2.2898048936559401</v>
      </c>
      <c r="AG5363">
        <v>-1.1214397393490001</v>
      </c>
      <c r="AH5363">
        <v>52.328026075832803</v>
      </c>
      <c r="AI5363">
        <v>91.226542137273199</v>
      </c>
      <c r="AJ5363">
        <v>87.494411252295805</v>
      </c>
      <c r="AK5363">
        <v>52.390105425862998</v>
      </c>
      <c r="AL5363">
        <v>80.862528554357993</v>
      </c>
      <c r="AM5363">
        <v>92.417822475109901</v>
      </c>
      <c r="AN5363">
        <v>0.99999998667954404</v>
      </c>
    </row>
    <row r="5364" spans="1:40" x14ac:dyDescent="0.25">
      <c r="A5364" t="str">
        <f>"20190303162019079"</f>
        <v>20190303162019079</v>
      </c>
      <c r="B5364" t="str">
        <f>"1551601219067582"</f>
        <v>1551601219067582</v>
      </c>
      <c r="C5364" t="s">
        <v>40</v>
      </c>
      <c r="D5364">
        <v>4.4533699999999996</v>
      </c>
      <c r="E5364">
        <v>0.52365680000000003</v>
      </c>
      <c r="F5364" t="s">
        <v>52</v>
      </c>
      <c r="G5364">
        <v>-250.80410000000001</v>
      </c>
      <c r="H5364" s="1">
        <v>-1.0323719999999999E-6</v>
      </c>
      <c r="I5364">
        <v>212.8655</v>
      </c>
      <c r="J5364">
        <v>-300.88580000000002</v>
      </c>
      <c r="K5364">
        <v>1.121435</v>
      </c>
      <c r="L5364">
        <v>214.7773</v>
      </c>
      <c r="M5364">
        <v>0.99991410000000003</v>
      </c>
      <c r="N5364">
        <v>-1.19221E-2</v>
      </c>
      <c r="O5364">
        <v>5.4834860000000001E-3</v>
      </c>
      <c r="P5364">
        <v>0.98812920000000004</v>
      </c>
      <c r="Q5364">
        <v>0.14631640000000001</v>
      </c>
      <c r="R5364">
        <v>4.6827340000000002E-2</v>
      </c>
      <c r="S5364">
        <v>3.0521850000000001</v>
      </c>
      <c r="T5364">
        <v>-6.7883490000000005E-2</v>
      </c>
      <c r="U5364">
        <v>-0.1156006</v>
      </c>
      <c r="V5364">
        <v>-4.1449970000000003E-2</v>
      </c>
      <c r="W5364">
        <v>0.15807829999999901</v>
      </c>
      <c r="X5364">
        <v>0.98655619999999999</v>
      </c>
      <c r="Y5364">
        <v>4.3310210000000002E-2</v>
      </c>
      <c r="Z5364">
        <v>-7.9627660000000005E-4</v>
      </c>
      <c r="AA5364">
        <v>0.99906130000000004</v>
      </c>
      <c r="AB5364">
        <v>34</v>
      </c>
      <c r="AC5364">
        <v>50.081699999999998</v>
      </c>
      <c r="AD5364">
        <v>-1.1214360323720001</v>
      </c>
      <c r="AE5364">
        <v>-1.91179999999999</v>
      </c>
      <c r="AF5364">
        <v>2.1853188752586501</v>
      </c>
      <c r="AG5364">
        <v>-1.1214360323720001</v>
      </c>
      <c r="AH5364">
        <v>50.045406239932099</v>
      </c>
      <c r="AI5364">
        <v>91.282468550348895</v>
      </c>
      <c r="AJ5364">
        <v>87.499669474135203</v>
      </c>
      <c r="AK5364">
        <v>50.105647616622001</v>
      </c>
      <c r="AL5364">
        <v>80.904628483169006</v>
      </c>
      <c r="AM5364">
        <v>92.405856239255399</v>
      </c>
      <c r="AN5364">
        <v>0.99999999235116499</v>
      </c>
    </row>
    <row r="5365" spans="1:40" x14ac:dyDescent="0.25">
      <c r="A5365" t="str">
        <f>"20190303162019100"</f>
        <v>20190303162019100</v>
      </c>
      <c r="B5365" t="str">
        <f>"1551601219088077"</f>
        <v>1551601219088077</v>
      </c>
      <c r="C5365" t="s">
        <v>40</v>
      </c>
      <c r="D5365">
        <v>4.4015040000000001</v>
      </c>
      <c r="E5365">
        <v>0.52234599999999998</v>
      </c>
      <c r="F5365" t="s">
        <v>42</v>
      </c>
      <c r="G5365">
        <v>-300.07330000000002</v>
      </c>
      <c r="H5365">
        <v>1.0096069999999999</v>
      </c>
      <c r="I5365">
        <v>214.7628</v>
      </c>
      <c r="J5365">
        <v>-300.5514</v>
      </c>
      <c r="K5365">
        <v>1.1214390000000001</v>
      </c>
      <c r="L5365">
        <v>214.7792</v>
      </c>
      <c r="M5365">
        <v>0.99990900000000005</v>
      </c>
      <c r="N5365">
        <v>-1.2272190000000001E-2</v>
      </c>
      <c r="O5365">
        <v>5.6138890000000004E-3</v>
      </c>
      <c r="P5365">
        <v>0.98822089999999996</v>
      </c>
      <c r="Q5365">
        <v>0.14576249999999999</v>
      </c>
      <c r="R5365">
        <v>4.6615879999999998E-2</v>
      </c>
      <c r="S5365">
        <v>3.1018370000000002</v>
      </c>
      <c r="T5365">
        <v>-0.42695889999999997</v>
      </c>
      <c r="U5365">
        <v>-5.4656980000000001E-2</v>
      </c>
      <c r="V5365">
        <v>-4.1108400000000003E-2</v>
      </c>
      <c r="W5365">
        <v>0.1578716</v>
      </c>
      <c r="X5365">
        <v>0.98660360000000003</v>
      </c>
      <c r="Y5365">
        <v>2.2951539999999999E-2</v>
      </c>
      <c r="Z5365">
        <v>-2.4141039999999998E-3</v>
      </c>
      <c r="AA5365">
        <v>0.99973369999999995</v>
      </c>
      <c r="AB5365">
        <v>34</v>
      </c>
      <c r="AC5365">
        <v>0.47809999999998298</v>
      </c>
      <c r="AD5365">
        <v>-0.111831999999999</v>
      </c>
      <c r="AE5365">
        <v>-1.6400000000004401E-2</v>
      </c>
      <c r="AF5365">
        <v>1.80950627287371E-2</v>
      </c>
      <c r="AG5365">
        <v>-0.111831999999999</v>
      </c>
      <c r="AH5365">
        <v>0.453231634226197</v>
      </c>
      <c r="AI5365">
        <v>103.849897509407</v>
      </c>
      <c r="AJ5365">
        <v>87.713706828084199</v>
      </c>
      <c r="AK5365">
        <v>0.467175279507067</v>
      </c>
      <c r="AL5365">
        <v>80.916622221939804</v>
      </c>
      <c r="AM5365">
        <v>92.385939199296203</v>
      </c>
      <c r="AN5365">
        <v>1.00000000308504</v>
      </c>
    </row>
    <row r="5366" spans="1:40" x14ac:dyDescent="0.25">
      <c r="A5366" t="str">
        <f>"20190303162019122"</f>
        <v>20190303162019122</v>
      </c>
      <c r="B5366" t="str">
        <f>"1551601219118333"</f>
        <v>1551601219118333</v>
      </c>
      <c r="C5366" t="s">
        <v>40</v>
      </c>
      <c r="D5366">
        <v>4.4112039999999997</v>
      </c>
      <c r="E5366">
        <v>0.52459960000000005</v>
      </c>
      <c r="F5366" t="s">
        <v>42</v>
      </c>
      <c r="G5366">
        <v>-299.81970000000001</v>
      </c>
      <c r="H5366">
        <v>0.90729110000000002</v>
      </c>
      <c r="I5366">
        <v>214.768</v>
      </c>
      <c r="J5366">
        <v>-300.22660000000002</v>
      </c>
      <c r="K5366">
        <v>1.12144</v>
      </c>
      <c r="L5366">
        <v>214.78120000000001</v>
      </c>
      <c r="M5366">
        <v>0.99990460000000003</v>
      </c>
      <c r="N5366">
        <v>-1.2568350000000001E-2</v>
      </c>
      <c r="O5366">
        <v>5.7403350000000001E-3</v>
      </c>
      <c r="P5366">
        <v>0.98831340000000001</v>
      </c>
      <c r="Q5366">
        <v>0.1452639</v>
      </c>
      <c r="R5366">
        <v>4.6207650000000003E-2</v>
      </c>
      <c r="S5366">
        <v>3.1751710000000002</v>
      </c>
      <c r="T5366">
        <v>-0.92942020000000003</v>
      </c>
      <c r="U5366">
        <v>-4.8446660000000002E-2</v>
      </c>
      <c r="V5366">
        <v>-4.0574369999999998E-2</v>
      </c>
      <c r="W5366">
        <v>0.15766629999999901</v>
      </c>
      <c r="X5366">
        <v>0.98665849999999999</v>
      </c>
      <c r="Y5366">
        <v>1.990312E-2</v>
      </c>
      <c r="Z5366">
        <v>-4.5556759999999998E-3</v>
      </c>
      <c r="AA5366">
        <v>0.9997916</v>
      </c>
      <c r="AB5366">
        <v>34</v>
      </c>
      <c r="AC5366">
        <v>0.40690000000000698</v>
      </c>
      <c r="AD5366">
        <v>-0.2141489</v>
      </c>
      <c r="AE5366">
        <v>-1.32000000000118E-2</v>
      </c>
      <c r="AF5366">
        <v>1.21687036370666E-2</v>
      </c>
      <c r="AG5366">
        <v>-0.2141489</v>
      </c>
      <c r="AH5366">
        <v>0.31864923215226598</v>
      </c>
      <c r="AI5366">
        <v>123.883833950377</v>
      </c>
      <c r="AJ5366">
        <v>87.813028692309501</v>
      </c>
      <c r="AK5366">
        <v>0.384116078641138</v>
      </c>
      <c r="AL5366">
        <v>80.928533915698296</v>
      </c>
      <c r="AM5366">
        <v>92.354848235493407</v>
      </c>
      <c r="AN5366">
        <v>0.99999996863941698</v>
      </c>
    </row>
    <row r="5367" spans="1:40" x14ac:dyDescent="0.25">
      <c r="A5367" t="str">
        <f>"20190303162019144"</f>
        <v>20190303162019144</v>
      </c>
      <c r="B5367" t="str">
        <f>"1551601219137853"</f>
        <v>1551601219137853</v>
      </c>
      <c r="C5367" t="s">
        <v>40</v>
      </c>
      <c r="D5367">
        <v>4.3623659999999997</v>
      </c>
      <c r="E5367">
        <v>0.52605069999999998</v>
      </c>
      <c r="F5367" t="s">
        <v>42</v>
      </c>
      <c r="G5367">
        <v>-299.51659999999998</v>
      </c>
      <c r="H5367">
        <v>0.91205550000000002</v>
      </c>
      <c r="I5367">
        <v>214.76609999999999</v>
      </c>
      <c r="J5367">
        <v>-299.88889999999998</v>
      </c>
      <c r="K5367">
        <v>1.1214329999999999</v>
      </c>
      <c r="L5367">
        <v>214.7833</v>
      </c>
      <c r="M5367">
        <v>0.99990049999999997</v>
      </c>
      <c r="N5367">
        <v>-1.283576E-2</v>
      </c>
      <c r="O5367">
        <v>5.8716269999999999E-3</v>
      </c>
      <c r="P5367">
        <v>0.98833789999999999</v>
      </c>
      <c r="Q5367">
        <v>0.1450273</v>
      </c>
      <c r="R5367">
        <v>4.6431020000000003E-2</v>
      </c>
      <c r="S5367">
        <v>3.1763309999999998</v>
      </c>
      <c r="T5367">
        <v>-0.93674579999999996</v>
      </c>
      <c r="U5367">
        <v>-6.7565920000000002E-2</v>
      </c>
      <c r="V5367">
        <v>-4.0667340000000003E-2</v>
      </c>
      <c r="W5367">
        <v>0.15769449999999999</v>
      </c>
      <c r="X5367">
        <v>0.98665020000000003</v>
      </c>
      <c r="Y5367">
        <v>2.576233E-2</v>
      </c>
      <c r="Z5367">
        <v>-5.5097289999999997E-3</v>
      </c>
      <c r="AA5367">
        <v>0.99965289999999996</v>
      </c>
      <c r="AB5367">
        <v>34</v>
      </c>
      <c r="AC5367">
        <v>0.37229999999999502</v>
      </c>
      <c r="AD5367">
        <v>-0.20937749999999899</v>
      </c>
      <c r="AE5367">
        <v>-1.7200000000002501E-2</v>
      </c>
      <c r="AF5367">
        <v>1.4735308836574699E-2</v>
      </c>
      <c r="AG5367">
        <v>-0.20937749999999899</v>
      </c>
      <c r="AH5367">
        <v>0.282905382179374</v>
      </c>
      <c r="AI5367">
        <v>126.467936005646</v>
      </c>
      <c r="AJ5367">
        <v>87.018406784176406</v>
      </c>
      <c r="AK5367">
        <v>0.35226626591091098</v>
      </c>
      <c r="AL5367">
        <v>80.926898015970295</v>
      </c>
      <c r="AM5367">
        <v>92.360257749609204</v>
      </c>
      <c r="AN5367">
        <v>1.0000000025164799</v>
      </c>
    </row>
    <row r="5368" spans="1:40" x14ac:dyDescent="0.25">
      <c r="A5368" t="str">
        <f>"20190303162019167"</f>
        <v>20190303162019167</v>
      </c>
      <c r="B5368" t="str">
        <f>"1551601219158348"</f>
        <v>1551601219158348</v>
      </c>
      <c r="C5368" t="s">
        <v>40</v>
      </c>
      <c r="D5368">
        <v>4.3897750000000002</v>
      </c>
      <c r="E5368">
        <v>0.52691919999999903</v>
      </c>
      <c r="F5368" t="s">
        <v>42</v>
      </c>
      <c r="G5368">
        <v>-299.21039999999999</v>
      </c>
      <c r="H5368">
        <v>0.92431810000000003</v>
      </c>
      <c r="I5368">
        <v>214.76650000000001</v>
      </c>
      <c r="J5368">
        <v>-299.56330000000003</v>
      </c>
      <c r="K5368">
        <v>1.1214299999999999</v>
      </c>
      <c r="L5368">
        <v>214.78530000000001</v>
      </c>
      <c r="M5368">
        <v>0.99989689999999998</v>
      </c>
      <c r="N5368">
        <v>-1.305212E-2</v>
      </c>
      <c r="O5368">
        <v>5.998621E-3</v>
      </c>
      <c r="P5368">
        <v>0.98835620000000002</v>
      </c>
      <c r="Q5368">
        <v>0.14484279999999999</v>
      </c>
      <c r="R5368">
        <v>4.6610659999999998E-2</v>
      </c>
      <c r="S5368">
        <v>3.1744690000000002</v>
      </c>
      <c r="T5368">
        <v>-0.92219280000000003</v>
      </c>
      <c r="U5368">
        <v>-7.8247070000000002E-2</v>
      </c>
      <c r="V5368">
        <v>-4.0721239999999999E-2</v>
      </c>
      <c r="W5368">
        <v>0.15772369999999999</v>
      </c>
      <c r="X5368">
        <v>0.9866433</v>
      </c>
      <c r="Y5368">
        <v>2.915127E-2</v>
      </c>
      <c r="Z5368">
        <v>-5.972565E-3</v>
      </c>
      <c r="AA5368">
        <v>0.99955720000000003</v>
      </c>
      <c r="AB5368">
        <v>34</v>
      </c>
      <c r="AC5368">
        <v>0.35290000000003302</v>
      </c>
      <c r="AD5368">
        <v>-0.19711189999999901</v>
      </c>
      <c r="AE5368">
        <v>-1.87999999999988E-2</v>
      </c>
      <c r="AF5368">
        <v>1.5953665979185402E-2</v>
      </c>
      <c r="AG5368">
        <v>-0.19711189999999901</v>
      </c>
      <c r="AH5368">
        <v>0.26907367027854801</v>
      </c>
      <c r="AI5368">
        <v>126.17700143299</v>
      </c>
      <c r="AJ5368">
        <v>86.606844306602895</v>
      </c>
      <c r="AK5368">
        <v>0.33392852621025698</v>
      </c>
      <c r="AL5368">
        <v>80.925203691426802</v>
      </c>
      <c r="AM5368">
        <v>92.363398971148101</v>
      </c>
      <c r="AN5368">
        <v>0.99999999318185795</v>
      </c>
    </row>
    <row r="5369" spans="1:40" x14ac:dyDescent="0.25">
      <c r="A5369" t="str">
        <f>"20190303162019188"</f>
        <v>20190303162019188</v>
      </c>
      <c r="B5369" t="str">
        <f>"1551601219177869"</f>
        <v>1551601219177869</v>
      </c>
      <c r="C5369" t="s">
        <v>40</v>
      </c>
      <c r="D5369">
        <v>4.289377</v>
      </c>
      <c r="E5369">
        <v>0.52739199999999997</v>
      </c>
      <c r="F5369" t="s">
        <v>42</v>
      </c>
      <c r="G5369">
        <v>-298.6397</v>
      </c>
      <c r="H5369">
        <v>0.85597440000000002</v>
      </c>
      <c r="I5369">
        <v>214.7602</v>
      </c>
      <c r="J5369">
        <v>-299.2276</v>
      </c>
      <c r="K5369">
        <v>1.1214280000000001</v>
      </c>
      <c r="L5369">
        <v>214.78749999999999</v>
      </c>
      <c r="M5369">
        <v>0.9998937</v>
      </c>
      <c r="N5369">
        <v>-1.324022E-2</v>
      </c>
      <c r="O5369">
        <v>6.1294720000000004E-3</v>
      </c>
      <c r="P5369">
        <v>0.98832710000000001</v>
      </c>
      <c r="Q5369">
        <v>0.14493639999999999</v>
      </c>
      <c r="R5369">
        <v>4.6934549999999998E-2</v>
      </c>
      <c r="S5369">
        <v>3.172974</v>
      </c>
      <c r="T5369">
        <v>-0.91204689999999999</v>
      </c>
      <c r="U5369">
        <v>-8.5479739999999999E-2</v>
      </c>
      <c r="V5369">
        <v>-4.0916059999999997E-2</v>
      </c>
      <c r="W5369">
        <v>0.15800249999999999</v>
      </c>
      <c r="X5369">
        <v>0.98659059999999998</v>
      </c>
      <c r="Y5369">
        <v>3.1496120000000002E-2</v>
      </c>
      <c r="Z5369">
        <v>-6.2959919999999898E-3</v>
      </c>
      <c r="AA5369">
        <v>0.99948409999999999</v>
      </c>
      <c r="AB5369">
        <v>34</v>
      </c>
      <c r="AC5369">
        <v>0.58789999999998999</v>
      </c>
      <c r="AD5369">
        <v>-0.26545360000000001</v>
      </c>
      <c r="AE5369">
        <v>-2.7299999999996698E-2</v>
      </c>
      <c r="AF5369">
        <v>2.5679167383362199E-2</v>
      </c>
      <c r="AG5369">
        <v>-0.26545360000000001</v>
      </c>
      <c r="AH5369">
        <v>0.48836830269560899</v>
      </c>
      <c r="AI5369">
        <v>118.49320749453</v>
      </c>
      <c r="AJ5369">
        <v>86.990070440867299</v>
      </c>
      <c r="AK5369">
        <v>0.55644283845535503</v>
      </c>
      <c r="AL5369">
        <v>80.909026509036806</v>
      </c>
      <c r="AM5369">
        <v>92.374819816789099</v>
      </c>
      <c r="AN5369">
        <v>0.99999996299026594</v>
      </c>
    </row>
    <row r="5370" spans="1:40" x14ac:dyDescent="0.25">
      <c r="A5370" t="str">
        <f>"20190303162019211"</f>
        <v>20190303162019211</v>
      </c>
      <c r="B5370" t="str">
        <f>"1551601219208125"</f>
        <v>1551601219208125</v>
      </c>
      <c r="C5370" t="s">
        <v>40</v>
      </c>
      <c r="D5370">
        <v>4.3339850000000002</v>
      </c>
      <c r="E5370">
        <v>0.52777130000000005</v>
      </c>
      <c r="F5370" t="s">
        <v>42</v>
      </c>
      <c r="G5370">
        <v>-298.33510000000001</v>
      </c>
      <c r="H5370">
        <v>0.8673708</v>
      </c>
      <c r="I5370">
        <v>214.7627</v>
      </c>
      <c r="J5370">
        <v>-298.88959999999997</v>
      </c>
      <c r="K5370">
        <v>1.121437</v>
      </c>
      <c r="L5370">
        <v>214.78970000000001</v>
      </c>
      <c r="M5370">
        <v>0.99989070000000002</v>
      </c>
      <c r="N5370">
        <v>-1.340182E-2</v>
      </c>
      <c r="O5370">
        <v>6.2616719999999898E-3</v>
      </c>
      <c r="P5370">
        <v>0.98823570000000005</v>
      </c>
      <c r="Q5370">
        <v>0.14545369999999999</v>
      </c>
      <c r="R5370">
        <v>4.7261539999999998E-2</v>
      </c>
      <c r="S5370">
        <v>3.1720280000000001</v>
      </c>
      <c r="T5370">
        <v>-0.90298069999999997</v>
      </c>
      <c r="U5370">
        <v>-8.7905880000000006E-2</v>
      </c>
      <c r="V5370">
        <v>-4.1112889999999999E-2</v>
      </c>
      <c r="W5370">
        <v>0.1586776</v>
      </c>
      <c r="X5370">
        <v>0.98647410000000002</v>
      </c>
      <c r="Y5370">
        <v>3.2386930000000001E-2</v>
      </c>
      <c r="Z5370">
        <v>-6.4058450000000003E-3</v>
      </c>
      <c r="AA5370">
        <v>0.99945490000000003</v>
      </c>
      <c r="AB5370">
        <v>34</v>
      </c>
      <c r="AC5370">
        <v>0.55449999999996102</v>
      </c>
      <c r="AD5370">
        <v>-0.25406619999999902</v>
      </c>
      <c r="AE5370">
        <v>-2.7000000000015199E-2</v>
      </c>
      <c r="AF5370">
        <v>2.51950058267226E-2</v>
      </c>
      <c r="AG5370">
        <v>-0.25406619999999902</v>
      </c>
      <c r="AH5370">
        <v>0.45832738904736298</v>
      </c>
      <c r="AI5370">
        <v>118.964430263205</v>
      </c>
      <c r="AJ5370">
        <v>86.853524210624897</v>
      </c>
      <c r="AK5370">
        <v>0.52464122774713495</v>
      </c>
      <c r="AL5370">
        <v>80.869852267350893</v>
      </c>
      <c r="AM5370">
        <v>92.386512386176406</v>
      </c>
      <c r="AN5370">
        <v>1.00000000021836</v>
      </c>
    </row>
    <row r="5371" spans="1:40" x14ac:dyDescent="0.25">
      <c r="A5371" t="str">
        <f>"20190303162019233"</f>
        <v>20190303162019233</v>
      </c>
      <c r="B5371" t="str">
        <f>"1551601219227646"</f>
        <v>1551601219227646</v>
      </c>
      <c r="C5371" t="s">
        <v>40</v>
      </c>
      <c r="D5371">
        <v>4.3467669999999998</v>
      </c>
      <c r="E5371">
        <v>0.52786679999999997</v>
      </c>
      <c r="F5371" t="s">
        <v>42</v>
      </c>
      <c r="G5371">
        <v>-298.03019999999998</v>
      </c>
      <c r="H5371">
        <v>0.88007809999999898</v>
      </c>
      <c r="I5371">
        <v>214.76519999999999</v>
      </c>
      <c r="J5371">
        <v>-298.55200000000002</v>
      </c>
      <c r="K5371">
        <v>1.1214379999999999</v>
      </c>
      <c r="L5371">
        <v>214.7919</v>
      </c>
      <c r="M5371">
        <v>0.99988790000000005</v>
      </c>
      <c r="N5371">
        <v>-1.354007E-2</v>
      </c>
      <c r="O5371">
        <v>6.3938379999999998E-3</v>
      </c>
      <c r="P5371">
        <v>0.98815240000000004</v>
      </c>
      <c r="Q5371">
        <v>0.14578339999999901</v>
      </c>
      <c r="R5371">
        <v>4.7976100000000001E-2</v>
      </c>
      <c r="S5371">
        <v>3.1710820000000002</v>
      </c>
      <c r="T5371">
        <v>-0.89046719999999902</v>
      </c>
      <c r="U5371">
        <v>-8.9904789999999998E-2</v>
      </c>
      <c r="V5371">
        <v>-4.1697239999999997E-2</v>
      </c>
      <c r="W5371">
        <v>0.15914329999999999</v>
      </c>
      <c r="X5371">
        <v>0.98637459999999999</v>
      </c>
      <c r="Y5371">
        <v>3.316152E-2</v>
      </c>
      <c r="Z5371">
        <v>-6.4719290000000004E-3</v>
      </c>
      <c r="AA5371">
        <v>0.99942900000000001</v>
      </c>
      <c r="AB5371">
        <v>34</v>
      </c>
      <c r="AC5371">
        <v>0.52180000000004101</v>
      </c>
      <c r="AD5371">
        <v>-0.24135989999999999</v>
      </c>
      <c r="AE5371">
        <v>-2.6700000000005199E-2</v>
      </c>
      <c r="AF5371">
        <v>2.4753717859422399E-2</v>
      </c>
      <c r="AG5371">
        <v>-0.24135989999999999</v>
      </c>
      <c r="AH5371">
        <v>0.42988320337321501</v>
      </c>
      <c r="AI5371">
        <v>119.271767686698</v>
      </c>
      <c r="AJ5371">
        <v>86.704409222152904</v>
      </c>
      <c r="AK5371">
        <v>0.493626292268038</v>
      </c>
      <c r="AL5371">
        <v>80.842826668086104</v>
      </c>
      <c r="AM5371">
        <v>92.420636419228103</v>
      </c>
      <c r="AN5371">
        <v>1.0000000506418301</v>
      </c>
    </row>
    <row r="5372" spans="1:40" x14ac:dyDescent="0.25">
      <c r="A5372" t="str">
        <f>"20190303162019257"</f>
        <v>20190303162019257</v>
      </c>
      <c r="B5372" t="str">
        <f>"1551601219248141"</f>
        <v>1551601219248141</v>
      </c>
      <c r="C5372" t="s">
        <v>40</v>
      </c>
      <c r="D5372">
        <v>4.3907230000000004</v>
      </c>
      <c r="E5372">
        <v>0.52760560000000001</v>
      </c>
      <c r="F5372" t="s">
        <v>42</v>
      </c>
      <c r="G5372">
        <v>-297.72620000000001</v>
      </c>
      <c r="H5372">
        <v>0.89095449999999998</v>
      </c>
      <c r="I5372">
        <v>214.7687</v>
      </c>
      <c r="J5372">
        <v>-298.20240000000001</v>
      </c>
      <c r="K5372">
        <v>1.1214409999999999</v>
      </c>
      <c r="L5372">
        <v>214.79429999999999</v>
      </c>
      <c r="M5372">
        <v>0.99988540000000004</v>
      </c>
      <c r="N5372">
        <v>-1.366214E-2</v>
      </c>
      <c r="O5372">
        <v>6.5303369999999998E-3</v>
      </c>
      <c r="P5372">
        <v>0.98809550000000002</v>
      </c>
      <c r="Q5372">
        <v>0.1459637</v>
      </c>
      <c r="R5372">
        <v>4.8603340000000002E-2</v>
      </c>
      <c r="S5372">
        <v>3.170868</v>
      </c>
      <c r="T5372">
        <v>-0.88494589999999995</v>
      </c>
      <c r="U5372">
        <v>-8.9416499999999996E-2</v>
      </c>
      <c r="V5372">
        <v>-4.2189959999999999E-2</v>
      </c>
      <c r="W5372">
        <v>0.1594431</v>
      </c>
      <c r="X5372">
        <v>0.98630519999999999</v>
      </c>
      <c r="Y5372">
        <v>3.3159689999999999E-2</v>
      </c>
      <c r="Z5372">
        <v>-6.4710699999999998E-3</v>
      </c>
      <c r="AA5372">
        <v>0.99942909999999996</v>
      </c>
      <c r="AB5372">
        <v>33</v>
      </c>
      <c r="AC5372">
        <v>0.47620000000000501</v>
      </c>
      <c r="AD5372">
        <v>-0.23048649999999901</v>
      </c>
      <c r="AE5372">
        <v>-2.5599999999997101E-2</v>
      </c>
      <c r="AF5372">
        <v>2.32730748725259E-2</v>
      </c>
      <c r="AG5372">
        <v>-0.23048649999999901</v>
      </c>
      <c r="AH5372">
        <v>0.38588322493587701</v>
      </c>
      <c r="AI5372">
        <v>120.80393055347101</v>
      </c>
      <c r="AJ5372">
        <v>86.548604292624702</v>
      </c>
      <c r="AK5372">
        <v>0.45007946629810203</v>
      </c>
      <c r="AL5372">
        <v>80.825426953875507</v>
      </c>
      <c r="AM5372">
        <v>92.449377630537995</v>
      </c>
      <c r="AN5372">
        <v>1.00000002120472</v>
      </c>
    </row>
    <row r="5373" spans="1:40" x14ac:dyDescent="0.25">
      <c r="A5373" t="str">
        <f>"20190303162019279"</f>
        <v>20190303162019279</v>
      </c>
      <c r="B5373" t="str">
        <f>"1551601219267661"</f>
        <v>1551601219267661</v>
      </c>
      <c r="C5373" t="s">
        <v>40</v>
      </c>
      <c r="D5373">
        <v>4.3578449999999904</v>
      </c>
      <c r="E5373">
        <v>0.52770919999999999</v>
      </c>
      <c r="F5373" t="s">
        <v>42</v>
      </c>
      <c r="G5373">
        <v>-297.42169999999999</v>
      </c>
      <c r="H5373">
        <v>0.90368009999999999</v>
      </c>
      <c r="I5373">
        <v>214.773</v>
      </c>
      <c r="J5373">
        <v>-297.87740000000002</v>
      </c>
      <c r="K5373">
        <v>1.121445</v>
      </c>
      <c r="L5373">
        <v>214.79660000000001</v>
      </c>
      <c r="M5373">
        <v>0.99988319999999997</v>
      </c>
      <c r="N5373">
        <v>-1.3758960000000001E-2</v>
      </c>
      <c r="O5373">
        <v>6.6571640000000001E-3</v>
      </c>
      <c r="P5373">
        <v>0.98804769999999997</v>
      </c>
      <c r="Q5373">
        <v>0.1460921</v>
      </c>
      <c r="R5373">
        <v>4.9182950000000003E-2</v>
      </c>
      <c r="S5373">
        <v>3.1710509999999998</v>
      </c>
      <c r="T5373">
        <v>-0.88459189999999999</v>
      </c>
      <c r="U5373">
        <v>-8.5556030000000005E-2</v>
      </c>
      <c r="V5373">
        <v>-4.2644130000000002E-2</v>
      </c>
      <c r="W5373">
        <v>0.15966620000000001</v>
      </c>
      <c r="X5373">
        <v>0.98624959999999995</v>
      </c>
      <c r="Y5373">
        <v>3.2107860000000002E-2</v>
      </c>
      <c r="Z5373">
        <v>-6.351069E-3</v>
      </c>
      <c r="AA5373">
        <v>0.99946420000000002</v>
      </c>
      <c r="AB5373">
        <v>33</v>
      </c>
      <c r="AC5373">
        <v>0.45570000000003502</v>
      </c>
      <c r="AD5373">
        <v>-0.21776490000000001</v>
      </c>
      <c r="AE5373">
        <v>-2.3600000000016001E-2</v>
      </c>
      <c r="AF5373">
        <v>2.16929165600275E-2</v>
      </c>
      <c r="AG5373">
        <v>-0.21776490000000001</v>
      </c>
      <c r="AH5373">
        <v>0.37103118631486998</v>
      </c>
      <c r="AI5373">
        <v>120.366782705307</v>
      </c>
      <c r="AJ5373">
        <v>86.653922161554803</v>
      </c>
      <c r="AK5373">
        <v>0.43076243512998003</v>
      </c>
      <c r="AL5373">
        <v>80.8124786067998</v>
      </c>
      <c r="AM5373">
        <v>92.475851657529503</v>
      </c>
      <c r="AN5373">
        <v>1.00000004537302</v>
      </c>
    </row>
    <row r="5374" spans="1:40" x14ac:dyDescent="0.25">
      <c r="A5374" t="str">
        <f>"20190303162019301"</f>
        <v>20190303162019301</v>
      </c>
      <c r="B5374" t="str">
        <f>"1551601219297917"</f>
        <v>1551601219297917</v>
      </c>
      <c r="C5374" t="s">
        <v>40</v>
      </c>
      <c r="D5374">
        <v>4.4247019999999999</v>
      </c>
      <c r="E5374">
        <v>0.52795329999999996</v>
      </c>
      <c r="F5374" t="s">
        <v>42</v>
      </c>
      <c r="G5374">
        <v>-297.12110000000001</v>
      </c>
      <c r="H5374">
        <v>0.90854760000000001</v>
      </c>
      <c r="I5374">
        <v>214.7765</v>
      </c>
      <c r="J5374">
        <v>-297.54570000000001</v>
      </c>
      <c r="K5374">
        <v>1.121456</v>
      </c>
      <c r="L5374">
        <v>214.79900000000001</v>
      </c>
      <c r="M5374">
        <v>0.99988129999999997</v>
      </c>
      <c r="N5374">
        <v>-1.38435E-2</v>
      </c>
      <c r="O5374">
        <v>6.786991E-3</v>
      </c>
      <c r="P5374">
        <v>0.98800849999999996</v>
      </c>
      <c r="Q5374">
        <v>0.14621700000000001</v>
      </c>
      <c r="R5374">
        <v>4.9601329999999999E-2</v>
      </c>
      <c r="S5374">
        <v>3.1725159999999999</v>
      </c>
      <c r="T5374">
        <v>-0.89298940000000004</v>
      </c>
      <c r="U5374">
        <v>-8.381653E-2</v>
      </c>
      <c r="V5374">
        <v>-4.2934239999999999E-2</v>
      </c>
      <c r="W5374">
        <v>0.1598743</v>
      </c>
      <c r="X5374">
        <v>0.9862033</v>
      </c>
      <c r="Y5374">
        <v>3.166418E-2</v>
      </c>
      <c r="Z5374">
        <v>-6.3757689999999999E-3</v>
      </c>
      <c r="AA5374">
        <v>0.99947819999999998</v>
      </c>
      <c r="AB5374">
        <v>33</v>
      </c>
      <c r="AC5374">
        <v>0.42459999999999798</v>
      </c>
      <c r="AD5374">
        <v>-0.212908399999999</v>
      </c>
      <c r="AE5374">
        <v>-2.2500000000007899E-2</v>
      </c>
      <c r="AF5374">
        <v>2.02933456466107E-2</v>
      </c>
      <c r="AG5374">
        <v>-0.212908399999999</v>
      </c>
      <c r="AH5374">
        <v>0.33935158108475499</v>
      </c>
      <c r="AI5374">
        <v>122.05804475009</v>
      </c>
      <c r="AJ5374">
        <v>86.577767451679094</v>
      </c>
      <c r="AK5374">
        <v>0.40112504565635898</v>
      </c>
      <c r="AL5374">
        <v>80.800400194254095</v>
      </c>
      <c r="AM5374">
        <v>92.492790695833804</v>
      </c>
      <c r="AN5374">
        <v>1.0000000448478701</v>
      </c>
    </row>
    <row r="5375" spans="1:40" x14ac:dyDescent="0.25">
      <c r="A5375" t="str">
        <f>"20190303162019323"</f>
        <v>20190303162019323</v>
      </c>
      <c r="B5375" t="str">
        <f>"1551601219318413"</f>
        <v>1551601219318413</v>
      </c>
      <c r="C5375" t="s">
        <v>40</v>
      </c>
      <c r="D5375">
        <v>4.4536480000000003</v>
      </c>
      <c r="E5375">
        <v>0.52813109999999996</v>
      </c>
      <c r="F5375" t="s">
        <v>42</v>
      </c>
      <c r="G5375">
        <v>-296.81990000000002</v>
      </c>
      <c r="H5375">
        <v>0.91497309999999998</v>
      </c>
      <c r="I5375">
        <v>214.77969999999999</v>
      </c>
      <c r="J5375">
        <v>-297.22199999999998</v>
      </c>
      <c r="K5375">
        <v>1.121461</v>
      </c>
      <c r="L5375">
        <v>214.8013</v>
      </c>
      <c r="M5375">
        <v>0.99987939999999997</v>
      </c>
      <c r="N5375">
        <v>-1.3914060000000001E-2</v>
      </c>
      <c r="O5375">
        <v>6.9135109999999998E-3</v>
      </c>
      <c r="P5375">
        <v>0.98795379999999999</v>
      </c>
      <c r="Q5375">
        <v>0.14659539999999999</v>
      </c>
      <c r="R5375">
        <v>4.9574769999999997E-2</v>
      </c>
      <c r="S5375">
        <v>3.1742859999999999</v>
      </c>
      <c r="T5375">
        <v>-0.90315650000000003</v>
      </c>
      <c r="U5375">
        <v>-8.3343509999999996E-2</v>
      </c>
      <c r="V5375">
        <v>-4.2782960000000002E-2</v>
      </c>
      <c r="W5375">
        <v>0.16032150000000001</v>
      </c>
      <c r="X5375">
        <v>0.98613720000000005</v>
      </c>
      <c r="Y5375">
        <v>3.1593009999999998E-2</v>
      </c>
      <c r="Z5375">
        <v>-6.4647189999999998E-3</v>
      </c>
      <c r="AA5375">
        <v>0.99947989999999998</v>
      </c>
      <c r="AB5375">
        <v>33</v>
      </c>
      <c r="AC5375">
        <v>0.40209999999996099</v>
      </c>
      <c r="AD5375">
        <v>-0.2064879</v>
      </c>
      <c r="AE5375">
        <v>-2.1600000000006499E-2</v>
      </c>
      <c r="AF5375">
        <v>1.93037858530784E-2</v>
      </c>
      <c r="AG5375">
        <v>-0.2064879</v>
      </c>
      <c r="AH5375">
        <v>0.31825624039862599</v>
      </c>
      <c r="AI5375">
        <v>122.927901451053</v>
      </c>
      <c r="AJ5375">
        <v>86.528985314634298</v>
      </c>
      <c r="AK5375">
        <v>0.37986434887646398</v>
      </c>
      <c r="AL5375">
        <v>80.774442014482801</v>
      </c>
      <c r="AM5375">
        <v>92.484184592499503</v>
      </c>
      <c r="AN5375">
        <v>0.99999997112622496</v>
      </c>
    </row>
    <row r="5376" spans="1:40" x14ac:dyDescent="0.25">
      <c r="A5376" t="str">
        <f>"20190303162019345"</f>
        <v>20190303162019345</v>
      </c>
      <c r="B5376" t="str">
        <f>"1551601219337933"</f>
        <v>1551601219337933</v>
      </c>
      <c r="C5376" t="s">
        <v>40</v>
      </c>
      <c r="D5376">
        <v>4.4517829999999998</v>
      </c>
      <c r="E5376">
        <v>0.52830769999999905</v>
      </c>
      <c r="F5376" t="s">
        <v>42</v>
      </c>
      <c r="G5376">
        <v>-296.51940000000002</v>
      </c>
      <c r="H5376">
        <v>0.92089949999999998</v>
      </c>
      <c r="I5376">
        <v>214.78229999999999</v>
      </c>
      <c r="J5376">
        <v>-296.88920000000002</v>
      </c>
      <c r="K5376">
        <v>1.1214740000000001</v>
      </c>
      <c r="L5376">
        <v>214.80369999999999</v>
      </c>
      <c r="M5376">
        <v>0.99987760000000003</v>
      </c>
      <c r="N5376">
        <v>-1.397614E-2</v>
      </c>
      <c r="O5376">
        <v>7.0435990000000002E-3</v>
      </c>
      <c r="P5376">
        <v>0.98803660000000004</v>
      </c>
      <c r="Q5376">
        <v>0.14607679999999901</v>
      </c>
      <c r="R5376">
        <v>4.944929E-2</v>
      </c>
      <c r="S5376">
        <v>3.175446</v>
      </c>
      <c r="T5376">
        <v>-0.90651380000000004</v>
      </c>
      <c r="U5376">
        <v>-8.59375E-2</v>
      </c>
      <c r="V5376">
        <v>-4.2528459999999997E-2</v>
      </c>
      <c r="W5376">
        <v>0.1598658</v>
      </c>
      <c r="X5376">
        <v>0.98622220000000005</v>
      </c>
      <c r="Y5376">
        <v>3.2477220000000001E-2</v>
      </c>
      <c r="Z5376">
        <v>-6.6503380000000004E-3</v>
      </c>
      <c r="AA5376">
        <v>0.99945030000000001</v>
      </c>
      <c r="AB5376">
        <v>33</v>
      </c>
      <c r="AC5376">
        <v>0.36979999999999702</v>
      </c>
      <c r="AD5376">
        <v>-0.20057449999999999</v>
      </c>
      <c r="AE5376">
        <v>-2.1399999999999801E-2</v>
      </c>
      <c r="AF5376">
        <v>1.85620358721202E-2</v>
      </c>
      <c r="AG5376">
        <v>-0.20057449999999999</v>
      </c>
      <c r="AH5376">
        <v>0.285833396076345</v>
      </c>
      <c r="AI5376">
        <v>125.001372193357</v>
      </c>
      <c r="AJ5376">
        <v>86.284426303249504</v>
      </c>
      <c r="AK5376">
        <v>0.34967900929066997</v>
      </c>
      <c r="AL5376">
        <v>80.800893006440702</v>
      </c>
      <c r="AM5376">
        <v>92.469212875407806</v>
      </c>
      <c r="AN5376">
        <v>0.99999998584622496</v>
      </c>
    </row>
    <row r="5377" spans="1:40" x14ac:dyDescent="0.25">
      <c r="A5377" t="str">
        <f>"20190303162019367"</f>
        <v>20190303162019367</v>
      </c>
      <c r="B5377" t="str">
        <f>"1551601219358429"</f>
        <v>1551601219358429</v>
      </c>
      <c r="C5377" t="s">
        <v>40</v>
      </c>
      <c r="D5377">
        <v>4.4891889999999997</v>
      </c>
      <c r="E5377">
        <v>0.52848819999999996</v>
      </c>
      <c r="F5377" t="s">
        <v>42</v>
      </c>
      <c r="G5377">
        <v>-295.9545</v>
      </c>
      <c r="H5377">
        <v>0.85304650000000004</v>
      </c>
      <c r="I5377">
        <v>214.77770000000001</v>
      </c>
      <c r="J5377">
        <v>-296.56950000000001</v>
      </c>
      <c r="K5377">
        <v>1.1214839999999999</v>
      </c>
      <c r="L5377">
        <v>214.80609999999999</v>
      </c>
      <c r="M5377">
        <v>0.99987599999999999</v>
      </c>
      <c r="N5377">
        <v>-1.4026479999999999E-2</v>
      </c>
      <c r="O5377">
        <v>7.1675100000000002E-3</v>
      </c>
      <c r="P5377">
        <v>0.98809139999999995</v>
      </c>
      <c r="Q5377">
        <v>0.14590229999999901</v>
      </c>
      <c r="R5377">
        <v>4.8865800000000001E-2</v>
      </c>
      <c r="S5377">
        <v>3.1755680000000002</v>
      </c>
      <c r="T5377">
        <v>-0.91188239999999998</v>
      </c>
      <c r="U5377">
        <v>-8.8378910000000005E-2</v>
      </c>
      <c r="V5377">
        <v>-4.1821549999999999E-2</v>
      </c>
      <c r="W5377">
        <v>0.15974150000000001</v>
      </c>
      <c r="X5377">
        <v>0.98627260000000005</v>
      </c>
      <c r="Y5377">
        <v>3.330938E-2</v>
      </c>
      <c r="Z5377">
        <v>-6.8439030000000001E-3</v>
      </c>
      <c r="AA5377">
        <v>0.99942169999999997</v>
      </c>
      <c r="AB5377">
        <v>33</v>
      </c>
      <c r="AC5377">
        <v>0.61500000000000898</v>
      </c>
      <c r="AD5377">
        <v>-0.268437499999999</v>
      </c>
      <c r="AE5377">
        <v>-2.8399999999976399E-2</v>
      </c>
      <c r="AF5377">
        <v>2.7566905205047301E-2</v>
      </c>
      <c r="AG5377">
        <v>-0.268437499999999</v>
      </c>
      <c r="AH5377">
        <v>0.516573474019281</v>
      </c>
      <c r="AI5377">
        <v>117.42533245131099</v>
      </c>
      <c r="AJ5377">
        <v>86.945312497034195</v>
      </c>
      <c r="AK5377">
        <v>0.58280938541617699</v>
      </c>
      <c r="AL5377">
        <v>80.808107859875307</v>
      </c>
      <c r="AM5377">
        <v>92.428095111448698</v>
      </c>
      <c r="AN5377">
        <v>1.0000000151887001</v>
      </c>
    </row>
    <row r="5378" spans="1:40" x14ac:dyDescent="0.25">
      <c r="A5378" t="str">
        <f>"20190303162019389"</f>
        <v>20190303162019389</v>
      </c>
      <c r="B5378" t="str">
        <f>"1551601219377950"</f>
        <v>1551601219377950</v>
      </c>
      <c r="C5378" t="s">
        <v>40</v>
      </c>
      <c r="D5378">
        <v>4.5187580000000001</v>
      </c>
      <c r="E5378">
        <v>0.52872929999999996</v>
      </c>
      <c r="F5378" t="s">
        <v>42</v>
      </c>
      <c r="G5378">
        <v>-295.65570000000002</v>
      </c>
      <c r="H5378">
        <v>0.85780069999999997</v>
      </c>
      <c r="I5378">
        <v>214.77930000000001</v>
      </c>
      <c r="J5378">
        <v>-296.22910000000002</v>
      </c>
      <c r="K5378">
        <v>1.1214930000000001</v>
      </c>
      <c r="L5378">
        <v>214.80860000000001</v>
      </c>
      <c r="M5378">
        <v>0.99987429999999999</v>
      </c>
      <c r="N5378">
        <v>-1.4072289999999999E-2</v>
      </c>
      <c r="O5378">
        <v>7.2990219999999996E-3</v>
      </c>
      <c r="P5378">
        <v>0.9881006</v>
      </c>
      <c r="Q5378">
        <v>0.14587600000000001</v>
      </c>
      <c r="R5378">
        <v>4.8762989999999999E-2</v>
      </c>
      <c r="S5378">
        <v>3.1760860000000002</v>
      </c>
      <c r="T5378">
        <v>-0.91653079999999998</v>
      </c>
      <c r="U5378">
        <v>-9.2086790000000002E-2</v>
      </c>
      <c r="V5378">
        <v>-4.1588149999999997E-2</v>
      </c>
      <c r="W5378">
        <v>0.1597604</v>
      </c>
      <c r="X5378">
        <v>0.98627940000000003</v>
      </c>
      <c r="Y5378">
        <v>3.452885E-2</v>
      </c>
      <c r="Z5378">
        <v>-7.0926419999999997E-3</v>
      </c>
      <c r="AA5378">
        <v>0.99937860000000001</v>
      </c>
      <c r="AB5378">
        <v>33</v>
      </c>
      <c r="AC5378">
        <v>0.57339999999999203</v>
      </c>
      <c r="AD5378">
        <v>-0.26369229999999999</v>
      </c>
      <c r="AE5378">
        <v>-2.93000000000063E-2</v>
      </c>
      <c r="AF5378">
        <v>2.7652115959697899E-2</v>
      </c>
      <c r="AG5378">
        <v>-0.26369229999999999</v>
      </c>
      <c r="AH5378">
        <v>0.47332946367972101</v>
      </c>
      <c r="AI5378">
        <v>119.08074251231101</v>
      </c>
      <c r="AJ5378">
        <v>86.656555510750906</v>
      </c>
      <c r="AK5378">
        <v>0.54253022937313899</v>
      </c>
      <c r="AL5378">
        <v>80.807010807904902</v>
      </c>
      <c r="AM5378">
        <v>92.414543720334393</v>
      </c>
      <c r="AN5378">
        <v>1.0000000072464701</v>
      </c>
    </row>
    <row r="5379" spans="1:40" x14ac:dyDescent="0.25">
      <c r="A5379" t="str">
        <f>"20190303162019413"</f>
        <v>20190303162019413</v>
      </c>
      <c r="B5379" t="str">
        <f>"1551601219408206"</f>
        <v>1551601219408206</v>
      </c>
      <c r="C5379" t="s">
        <v>40</v>
      </c>
      <c r="D5379">
        <v>4.5674570000000001</v>
      </c>
      <c r="E5379">
        <v>0.52902669999999996</v>
      </c>
      <c r="F5379" t="s">
        <v>42</v>
      </c>
      <c r="G5379">
        <v>-295.35469999999998</v>
      </c>
      <c r="H5379">
        <v>0.868452</v>
      </c>
      <c r="I5379">
        <v>214.78280000000001</v>
      </c>
      <c r="J5379">
        <v>-295.88529999999997</v>
      </c>
      <c r="K5379">
        <v>1.1214959999999901</v>
      </c>
      <c r="L5379">
        <v>214.81129999999999</v>
      </c>
      <c r="M5379">
        <v>0.99987289999999995</v>
      </c>
      <c r="N5379">
        <v>-1.4111530000000001E-2</v>
      </c>
      <c r="O5379">
        <v>7.4314169999999896E-3</v>
      </c>
      <c r="P5379">
        <v>0.98803649999999998</v>
      </c>
      <c r="Q5379">
        <v>0.14613470000000001</v>
      </c>
      <c r="R5379">
        <v>4.9283540000000001E-2</v>
      </c>
      <c r="S5379">
        <v>3.176453</v>
      </c>
      <c r="T5379">
        <v>-0.91919390000000001</v>
      </c>
      <c r="U5379">
        <v>-9.393311E-2</v>
      </c>
      <c r="V5379">
        <v>-4.1978809999999998E-2</v>
      </c>
      <c r="W5379">
        <v>0.1600569</v>
      </c>
      <c r="X5379">
        <v>0.98621479999999995</v>
      </c>
      <c r="Y5379">
        <v>3.5195039999999997E-2</v>
      </c>
      <c r="Z5379">
        <v>-7.2465910000000001E-3</v>
      </c>
      <c r="AA5379">
        <v>0.99935419999999997</v>
      </c>
      <c r="AB5379">
        <v>33</v>
      </c>
      <c r="AC5379">
        <v>0.53059999999999197</v>
      </c>
      <c r="AD5379">
        <v>-0.25304399999999899</v>
      </c>
      <c r="AE5379">
        <v>-2.8499999999979701E-2</v>
      </c>
      <c r="AF5379">
        <v>2.6445403246301999E-2</v>
      </c>
      <c r="AG5379">
        <v>-0.25304399999999899</v>
      </c>
      <c r="AH5379">
        <v>0.43232947146013201</v>
      </c>
      <c r="AI5379">
        <v>120.293970254838</v>
      </c>
      <c r="AJ5379">
        <v>86.499603897333699</v>
      </c>
      <c r="AK5379">
        <v>0.50163671833494805</v>
      </c>
      <c r="AL5379">
        <v>80.789801379822407</v>
      </c>
      <c r="AM5379">
        <v>92.437357064725802</v>
      </c>
      <c r="AN5379">
        <v>1.0000000317328299</v>
      </c>
    </row>
    <row r="5380" spans="1:40" x14ac:dyDescent="0.25">
      <c r="A5380" t="str">
        <f>"20190303162019434"</f>
        <v>20190303162019434</v>
      </c>
      <c r="B5380" t="str">
        <f>"1551601219427725"</f>
        <v>1551601219427725</v>
      </c>
      <c r="C5380" t="s">
        <v>40</v>
      </c>
      <c r="D5380">
        <v>4.5206819999999999</v>
      </c>
      <c r="E5380">
        <v>0.52903859999999903</v>
      </c>
      <c r="F5380" t="s">
        <v>42</v>
      </c>
      <c r="G5380">
        <v>-295.05349999999999</v>
      </c>
      <c r="H5380">
        <v>0.87980190000000003</v>
      </c>
      <c r="I5380">
        <v>214.78639999999999</v>
      </c>
      <c r="J5380">
        <v>-295.56650000000002</v>
      </c>
      <c r="K5380">
        <v>1.1215090000000001</v>
      </c>
      <c r="L5380">
        <v>214.81379999999999</v>
      </c>
      <c r="M5380">
        <v>0.99987159999999997</v>
      </c>
      <c r="N5380">
        <v>-1.414255E-2</v>
      </c>
      <c r="O5380">
        <v>7.5541530000000001E-3</v>
      </c>
      <c r="P5380">
        <v>0.98790770000000006</v>
      </c>
      <c r="Q5380">
        <v>0.14687310000000001</v>
      </c>
      <c r="R5380">
        <v>4.9667330000000003E-2</v>
      </c>
      <c r="S5380">
        <v>3.1775820000000001</v>
      </c>
      <c r="T5380">
        <v>-0.92331300000000005</v>
      </c>
      <c r="U5380">
        <v>-9.4558719999999999E-2</v>
      </c>
      <c r="V5380">
        <v>-4.2241979999999998E-2</v>
      </c>
      <c r="W5380">
        <v>0.16082460000000001</v>
      </c>
      <c r="X5380">
        <v>0.98607860000000003</v>
      </c>
      <c r="Y5380">
        <v>3.5472700000000003E-2</v>
      </c>
      <c r="Z5380">
        <v>-7.3498230000000001E-3</v>
      </c>
      <c r="AA5380">
        <v>0.9993436</v>
      </c>
      <c r="AB5380">
        <v>33</v>
      </c>
      <c r="AC5380">
        <v>0.51300000000003299</v>
      </c>
      <c r="AD5380">
        <v>-0.24170710000000001</v>
      </c>
      <c r="AE5380">
        <v>-2.7400000000000001E-2</v>
      </c>
      <c r="AF5380">
        <v>2.5606524091124402E-2</v>
      </c>
      <c r="AG5380">
        <v>-0.24170710000000001</v>
      </c>
      <c r="AH5380">
        <v>0.41984074654641501</v>
      </c>
      <c r="AI5380">
        <v>119.883551949028</v>
      </c>
      <c r="AJ5380">
        <v>86.509794237888997</v>
      </c>
      <c r="AK5380">
        <v>0.48512294186844102</v>
      </c>
      <c r="AL5380">
        <v>80.745237548103802</v>
      </c>
      <c r="AM5380">
        <v>92.452956885074997</v>
      </c>
      <c r="AN5380">
        <v>0.99999997110871897</v>
      </c>
    </row>
    <row r="5381" spans="1:40" x14ac:dyDescent="0.25">
      <c r="A5381" t="str">
        <f>"20190303162019458"</f>
        <v>20190303162019458</v>
      </c>
      <c r="B5381" t="str">
        <f>"1551601219448221"</f>
        <v>1551601219448221</v>
      </c>
      <c r="C5381" t="s">
        <v>40</v>
      </c>
      <c r="D5381">
        <v>4.5633359999999996</v>
      </c>
      <c r="E5381">
        <v>0.51278950000000001</v>
      </c>
      <c r="F5381" t="s">
        <v>42</v>
      </c>
      <c r="G5381">
        <v>-294.75470000000001</v>
      </c>
      <c r="H5381">
        <v>0.88657129999999995</v>
      </c>
      <c r="I5381">
        <v>214.7901</v>
      </c>
      <c r="J5381">
        <v>-295.21069999999997</v>
      </c>
      <c r="K5381">
        <v>1.121518</v>
      </c>
      <c r="L5381">
        <v>214.81659999999999</v>
      </c>
      <c r="M5381">
        <v>0.99987000000000004</v>
      </c>
      <c r="N5381">
        <v>-1.417176E-2</v>
      </c>
      <c r="O5381">
        <v>7.6911449999999999E-3</v>
      </c>
      <c r="P5381">
        <v>0.98777470000000001</v>
      </c>
      <c r="Q5381">
        <v>0.14760179999999901</v>
      </c>
      <c r="R5381">
        <v>5.0150920000000002E-2</v>
      </c>
      <c r="S5381">
        <v>3.1781009999999998</v>
      </c>
      <c r="T5381">
        <v>-0.91977549999999997</v>
      </c>
      <c r="U5381">
        <v>-9.2468259999999997E-2</v>
      </c>
      <c r="V5381">
        <v>-4.2591650000000002E-2</v>
      </c>
      <c r="W5381">
        <v>0.1615799</v>
      </c>
      <c r="X5381">
        <v>0.98594009999999999</v>
      </c>
      <c r="Y5381">
        <v>3.4978189999999999E-2</v>
      </c>
      <c r="Z5381">
        <v>-7.2857800000000004E-3</v>
      </c>
      <c r="AA5381">
        <v>0.99936150000000001</v>
      </c>
      <c r="AB5381">
        <v>33</v>
      </c>
      <c r="AC5381">
        <v>0.45599999999995999</v>
      </c>
      <c r="AD5381">
        <v>-0.23494670000000001</v>
      </c>
      <c r="AE5381">
        <v>-2.6499999999998601E-2</v>
      </c>
      <c r="AF5381">
        <v>2.3728753731196001E-2</v>
      </c>
      <c r="AG5381">
        <v>-0.23494670000000001</v>
      </c>
      <c r="AH5381">
        <v>0.36042430121521701</v>
      </c>
      <c r="AI5381">
        <v>123.042122466587</v>
      </c>
      <c r="AJ5381">
        <v>86.2333331186489</v>
      </c>
      <c r="AK5381">
        <v>0.43089288982414498</v>
      </c>
      <c r="AL5381">
        <v>80.701388800342102</v>
      </c>
      <c r="AM5381">
        <v>92.473583819298298</v>
      </c>
      <c r="AN5381">
        <v>0.99999999676087103</v>
      </c>
    </row>
    <row r="5382" spans="1:40" x14ac:dyDescent="0.25">
      <c r="A5382" t="str">
        <f>"20190303162019480"</f>
        <v>20190303162019480</v>
      </c>
      <c r="B5382" t="str">
        <f>"1551601219467742"</f>
        <v>1551601219467742</v>
      </c>
      <c r="C5382" t="s">
        <v>40</v>
      </c>
      <c r="D5382">
        <v>4.587828</v>
      </c>
      <c r="E5382">
        <v>0.51132239999999995</v>
      </c>
      <c r="F5382" t="s">
        <v>42</v>
      </c>
      <c r="G5382">
        <v>-294.38749999999999</v>
      </c>
      <c r="H5382">
        <v>1.0329619999999999</v>
      </c>
      <c r="I5382">
        <v>214.828</v>
      </c>
      <c r="J5382">
        <v>-294.89330000000001</v>
      </c>
      <c r="K5382">
        <v>1.1215219999999999</v>
      </c>
      <c r="L5382">
        <v>214.8192</v>
      </c>
      <c r="M5382">
        <v>0.9998688</v>
      </c>
      <c r="N5382">
        <v>-1.4193580000000001E-2</v>
      </c>
      <c r="O5382">
        <v>7.8134080000000009E-3</v>
      </c>
      <c r="P5382">
        <v>0.98778699999999997</v>
      </c>
      <c r="Q5382">
        <v>0.14741989999999999</v>
      </c>
      <c r="R5382">
        <v>5.0443080000000001E-2</v>
      </c>
      <c r="S5382">
        <v>3.0845030000000002</v>
      </c>
      <c r="T5382">
        <v>-0.33188640000000003</v>
      </c>
      <c r="U5382">
        <v>4.2953489999999997E-2</v>
      </c>
      <c r="V5382">
        <v>-4.2762029999999999E-2</v>
      </c>
      <c r="W5382">
        <v>0.16142029999999999</v>
      </c>
      <c r="X5382">
        <v>0.98595889999999997</v>
      </c>
      <c r="Y5382">
        <v>-6.1044360000000004E-3</v>
      </c>
      <c r="Z5382">
        <v>-3.5668480000000002E-4</v>
      </c>
      <c r="AA5382">
        <v>0.99998129999999996</v>
      </c>
      <c r="AB5382">
        <v>33</v>
      </c>
      <c r="AC5382">
        <v>0.50580000000002201</v>
      </c>
      <c r="AD5382">
        <v>-8.8559999999999695E-2</v>
      </c>
      <c r="AE5382">
        <v>8.8000000000079091E-3</v>
      </c>
      <c r="AF5382">
        <v>-4.7031740960388002E-3</v>
      </c>
      <c r="AG5382">
        <v>-8.8559999999999695E-2</v>
      </c>
      <c r="AH5382">
        <v>0.490811486372289</v>
      </c>
      <c r="AI5382">
        <v>100.22770227483799</v>
      </c>
      <c r="AJ5382">
        <v>90.5490168547839</v>
      </c>
      <c r="AK5382">
        <v>0.49875936943735999</v>
      </c>
      <c r="AL5382">
        <v>80.710655142197396</v>
      </c>
      <c r="AM5382">
        <v>92.483419273606899</v>
      </c>
      <c r="AN5382">
        <v>1.0000000284755099</v>
      </c>
    </row>
    <row r="5383" spans="1:40" x14ac:dyDescent="0.25">
      <c r="A5383" t="str">
        <f>"20190303162019501"</f>
        <v>20190303162019501</v>
      </c>
      <c r="B5383" t="str">
        <f>"1551601219497997"</f>
        <v>1551601219497997</v>
      </c>
      <c r="C5383" t="s">
        <v>40</v>
      </c>
      <c r="D5383">
        <v>4.6304460000000001</v>
      </c>
      <c r="E5383">
        <v>0.51170420000000005</v>
      </c>
      <c r="F5383" t="s">
        <v>52</v>
      </c>
      <c r="G5383">
        <v>-279.2636</v>
      </c>
      <c r="H5383" s="1">
        <v>3.3714710000000001E-6</v>
      </c>
      <c r="I5383">
        <v>215.10560000000001</v>
      </c>
      <c r="J5383">
        <v>-294.57510000000002</v>
      </c>
      <c r="K5383">
        <v>1.1215329999999999</v>
      </c>
      <c r="L5383">
        <v>214.8218</v>
      </c>
      <c r="M5383">
        <v>0.99986759999999997</v>
      </c>
      <c r="N5383">
        <v>-1.421213E-2</v>
      </c>
      <c r="O5383">
        <v>7.9361699999999993E-3</v>
      </c>
      <c r="P5383">
        <v>0.98782199999999998</v>
      </c>
      <c r="Q5383">
        <v>0.1472366</v>
      </c>
      <c r="R5383">
        <v>5.0289689999999998E-2</v>
      </c>
      <c r="S5383">
        <v>3.067078</v>
      </c>
      <c r="T5383">
        <v>-0.22008050000000001</v>
      </c>
      <c r="U5383">
        <v>5.621338E-2</v>
      </c>
      <c r="V5383">
        <v>-4.2487219999999999E-2</v>
      </c>
      <c r="W5383">
        <v>0.1612556</v>
      </c>
      <c r="X5383">
        <v>0.98599769999999998</v>
      </c>
      <c r="Y5383">
        <v>-1.036987E-2</v>
      </c>
      <c r="Z5383" s="1">
        <v>-1.064703E-5</v>
      </c>
      <c r="AA5383">
        <v>0.99994620000000001</v>
      </c>
      <c r="AB5383">
        <v>33</v>
      </c>
      <c r="AC5383">
        <v>15.311500000000001</v>
      </c>
      <c r="AD5383">
        <v>-1.121529628529</v>
      </c>
      <c r="AE5383">
        <v>0.28380000000001299</v>
      </c>
      <c r="AF5383">
        <v>-0.161398493151959</v>
      </c>
      <c r="AG5383">
        <v>-1.121529628529</v>
      </c>
      <c r="AH5383">
        <v>15.231577810462399</v>
      </c>
      <c r="AI5383">
        <v>94.210960530988601</v>
      </c>
      <c r="AJ5383">
        <v>90.607101017967494</v>
      </c>
      <c r="AK5383">
        <v>15.2736649425549</v>
      </c>
      <c r="AL5383">
        <v>80.7202167434031</v>
      </c>
      <c r="AM5383">
        <v>92.467382402071394</v>
      </c>
      <c r="AN5383">
        <v>0.99999999839998899</v>
      </c>
    </row>
    <row r="5384" spans="1:40" x14ac:dyDescent="0.25">
      <c r="A5384" t="str">
        <f>"20190303162019523"</f>
        <v>20190303162019523</v>
      </c>
      <c r="B5384" t="str">
        <f>"1551601219517517"</f>
        <v>1551601219517517</v>
      </c>
      <c r="C5384" t="s">
        <v>40</v>
      </c>
      <c r="D5384">
        <v>4.6990299999999996</v>
      </c>
      <c r="E5384">
        <v>0.51262249999999998</v>
      </c>
      <c r="F5384" t="s">
        <v>52</v>
      </c>
      <c r="G5384">
        <v>-275.07310000000001</v>
      </c>
      <c r="H5384" s="1">
        <v>1.1391419999999999E-6</v>
      </c>
      <c r="I5384">
        <v>215.1583</v>
      </c>
      <c r="J5384">
        <v>-294.24799999999999</v>
      </c>
      <c r="K5384">
        <v>1.12154</v>
      </c>
      <c r="L5384">
        <v>214.8246</v>
      </c>
      <c r="M5384">
        <v>0.99986620000000004</v>
      </c>
      <c r="N5384">
        <v>-1.422818E-2</v>
      </c>
      <c r="O5384">
        <v>8.0629999999999903E-3</v>
      </c>
      <c r="P5384">
        <v>0.98773219999999995</v>
      </c>
      <c r="Q5384">
        <v>0.14805560000000001</v>
      </c>
      <c r="R5384">
        <v>4.9643380000000001E-2</v>
      </c>
      <c r="S5384">
        <v>3.0605159999999998</v>
      </c>
      <c r="T5384">
        <v>-0.17600499999999999</v>
      </c>
      <c r="U5384">
        <v>5.2810669999999997E-2</v>
      </c>
      <c r="V5384">
        <v>-4.1716009999999998E-2</v>
      </c>
      <c r="W5384">
        <v>0.1620895</v>
      </c>
      <c r="X5384">
        <v>0.98589389999999999</v>
      </c>
      <c r="Y5384">
        <v>-9.1783549999999992E-3</v>
      </c>
      <c r="Z5384" s="1">
        <v>-1.95602E-5</v>
      </c>
      <c r="AA5384">
        <v>0.99995789999999996</v>
      </c>
      <c r="AB5384">
        <v>33</v>
      </c>
      <c r="AC5384">
        <v>19.174899999999901</v>
      </c>
      <c r="AD5384">
        <v>-1.1215388608579999</v>
      </c>
      <c r="AE5384">
        <v>0.333699999999993</v>
      </c>
      <c r="AF5384">
        <v>-0.17845594379677299</v>
      </c>
      <c r="AG5384">
        <v>-1.1215388608579999</v>
      </c>
      <c r="AH5384">
        <v>19.111605045666099</v>
      </c>
      <c r="AI5384">
        <v>93.358328022694195</v>
      </c>
      <c r="AJ5384">
        <v>90.534987785328198</v>
      </c>
      <c r="AK5384">
        <v>19.145316486332199</v>
      </c>
      <c r="AL5384">
        <v>80.671800932900894</v>
      </c>
      <c r="AM5384">
        <v>92.422904143412296</v>
      </c>
      <c r="AN5384">
        <v>1.0000000067788899</v>
      </c>
    </row>
    <row r="5385" spans="1:40" x14ac:dyDescent="0.25">
      <c r="A5385" t="str">
        <f>"20190303162019545"</f>
        <v>20190303162019545</v>
      </c>
      <c r="B5385" t="str">
        <f>"1551601219538013"</f>
        <v>1551601219538013</v>
      </c>
      <c r="C5385" t="s">
        <v>40</v>
      </c>
      <c r="D5385">
        <v>4.7043949999999999</v>
      </c>
      <c r="E5385">
        <v>0.51305029999999996</v>
      </c>
      <c r="F5385" t="s">
        <v>52</v>
      </c>
      <c r="G5385">
        <v>-273.49160000000001</v>
      </c>
      <c r="H5385" s="1">
        <v>2.9916759999999997E-7</v>
      </c>
      <c r="I5385">
        <v>215.1217</v>
      </c>
      <c r="J5385">
        <v>-293.92489999999998</v>
      </c>
      <c r="K5385">
        <v>1.121553</v>
      </c>
      <c r="L5385">
        <v>214.82730000000001</v>
      </c>
      <c r="M5385">
        <v>0.99986509999999995</v>
      </c>
      <c r="N5385">
        <v>-1.424134E-2</v>
      </c>
      <c r="O5385">
        <v>8.1879459999999998E-3</v>
      </c>
      <c r="P5385">
        <v>0.9876897</v>
      </c>
      <c r="Q5385">
        <v>0.14826789999999901</v>
      </c>
      <c r="R5385">
        <v>4.9857440000000003E-2</v>
      </c>
      <c r="S5385">
        <v>3.0598450000000001</v>
      </c>
      <c r="T5385">
        <v>-0.16533419999999999</v>
      </c>
      <c r="U5385">
        <v>4.3807980000000003E-2</v>
      </c>
      <c r="V5385">
        <v>-4.180706E-2</v>
      </c>
      <c r="W5385">
        <v>0.1623144</v>
      </c>
      <c r="X5385">
        <v>0.98585299999999998</v>
      </c>
      <c r="Y5385">
        <v>-6.1223650000000003E-3</v>
      </c>
      <c r="Z5385">
        <v>-1.166036E-4</v>
      </c>
      <c r="AA5385">
        <v>0.99998120000000001</v>
      </c>
      <c r="AB5385">
        <v>33</v>
      </c>
      <c r="AC5385">
        <v>20.4332999999999</v>
      </c>
      <c r="AD5385">
        <v>-1.12155270083239</v>
      </c>
      <c r="AE5385">
        <v>0.294399999999996</v>
      </c>
      <c r="AF5385">
        <v>-0.12668481994900799</v>
      </c>
      <c r="AG5385">
        <v>-1.12155270083239</v>
      </c>
      <c r="AH5385">
        <v>20.373657783147699</v>
      </c>
      <c r="AI5385">
        <v>93.150843338725196</v>
      </c>
      <c r="AJ5385">
        <v>90.356264547207005</v>
      </c>
      <c r="AK5385">
        <v>20.404897965174101</v>
      </c>
      <c r="AL5385">
        <v>80.658741799912306</v>
      </c>
      <c r="AM5385">
        <v>92.428286705489597</v>
      </c>
      <c r="AN5385">
        <v>0.99999996616110098</v>
      </c>
    </row>
    <row r="5386" spans="1:40" x14ac:dyDescent="0.25">
      <c r="A5386" t="str">
        <f>"20190303162019568"</f>
        <v>20190303162019568</v>
      </c>
      <c r="B5386" t="str">
        <f>"1551601219557533"</f>
        <v>1551601219557533</v>
      </c>
      <c r="C5386" t="s">
        <v>40</v>
      </c>
      <c r="D5386">
        <v>4.7152010000000004</v>
      </c>
      <c r="E5386">
        <v>0.51326679999999902</v>
      </c>
      <c r="F5386" t="s">
        <v>52</v>
      </c>
      <c r="G5386">
        <v>-272.31650000000002</v>
      </c>
      <c r="H5386" s="1">
        <v>-3.2617080000000001E-7</v>
      </c>
      <c r="I5386">
        <v>215.12190000000001</v>
      </c>
      <c r="J5386">
        <v>-293.60199999999998</v>
      </c>
      <c r="K5386">
        <v>1.1215679999999999</v>
      </c>
      <c r="L5386">
        <v>214.83009999999999</v>
      </c>
      <c r="M5386">
        <v>0.99986390000000003</v>
      </c>
      <c r="N5386">
        <v>-1.425218E-2</v>
      </c>
      <c r="O5386">
        <v>8.3129689999999999E-3</v>
      </c>
      <c r="P5386">
        <v>0.98767479999999996</v>
      </c>
      <c r="Q5386">
        <v>0.1484811</v>
      </c>
      <c r="R5386">
        <v>4.9515660000000003E-2</v>
      </c>
      <c r="S5386">
        <v>3.059113</v>
      </c>
      <c r="T5386">
        <v>-0.158778799999999</v>
      </c>
      <c r="U5386">
        <v>4.170227E-2</v>
      </c>
      <c r="V5386">
        <v>-4.1341990000000002E-2</v>
      </c>
      <c r="W5386">
        <v>0.1625384</v>
      </c>
      <c r="X5386">
        <v>0.98583569999999998</v>
      </c>
      <c r="Y5386">
        <v>-5.3141339999999999E-3</v>
      </c>
      <c r="Z5386">
        <v>-1.37012E-4</v>
      </c>
      <c r="AA5386">
        <v>0.99998589999999998</v>
      </c>
      <c r="AB5386">
        <v>33</v>
      </c>
      <c r="AC5386">
        <v>21.285499999999999</v>
      </c>
      <c r="AD5386">
        <v>-1.1215683261708</v>
      </c>
      <c r="AE5386">
        <v>0.29180000000002299</v>
      </c>
      <c r="AF5386">
        <v>-0.11450838159533901</v>
      </c>
      <c r="AG5386">
        <v>-1.1215683261708</v>
      </c>
      <c r="AH5386">
        <v>21.228263027508198</v>
      </c>
      <c r="AI5386">
        <v>93.024293895593402</v>
      </c>
      <c r="AJ5386">
        <v>90.309058887371904</v>
      </c>
      <c r="AK5386">
        <v>21.258179104636302</v>
      </c>
      <c r="AL5386">
        <v>80.645734757911399</v>
      </c>
      <c r="AM5386">
        <v>92.401347852721898</v>
      </c>
      <c r="AN5386">
        <v>0.99999995950310405</v>
      </c>
    </row>
    <row r="5387" spans="1:40" x14ac:dyDescent="0.25">
      <c r="A5387" t="str">
        <f>"20190303162019591"</f>
        <v>20190303162019591</v>
      </c>
      <c r="B5387" t="str">
        <f>"1551601219578029"</f>
        <v>1551601219578029</v>
      </c>
      <c r="C5387" t="s">
        <v>40</v>
      </c>
      <c r="D5387">
        <v>4.7125440000000003</v>
      </c>
      <c r="E5387">
        <v>0.51342770000000004</v>
      </c>
      <c r="F5387" t="s">
        <v>52</v>
      </c>
      <c r="G5387">
        <v>-271.31819999999999</v>
      </c>
      <c r="H5387" s="1">
        <v>-8.5698409999999898E-7</v>
      </c>
      <c r="I5387">
        <v>215.11279999999999</v>
      </c>
      <c r="J5387">
        <v>-293.26170000000002</v>
      </c>
      <c r="K5387">
        <v>1.12157</v>
      </c>
      <c r="L5387">
        <v>214.833</v>
      </c>
      <c r="M5387">
        <v>0.99986280000000005</v>
      </c>
      <c r="N5387">
        <v>-1.426155E-2</v>
      </c>
      <c r="O5387">
        <v>8.44432E-3</v>
      </c>
      <c r="P5387">
        <v>0.98766019999999999</v>
      </c>
      <c r="Q5387">
        <v>0.1484202</v>
      </c>
      <c r="R5387">
        <v>4.9986999999999997E-2</v>
      </c>
      <c r="S5387">
        <v>3.058624</v>
      </c>
      <c r="T5387">
        <v>-0.15394440000000001</v>
      </c>
      <c r="U5387">
        <v>3.88031E-2</v>
      </c>
      <c r="V5387">
        <v>-4.1683640000000001E-2</v>
      </c>
      <c r="W5387">
        <v>0.1624862</v>
      </c>
      <c r="X5387">
        <v>0.98582990000000004</v>
      </c>
      <c r="Y5387">
        <v>-4.2390860000000004E-3</v>
      </c>
      <c r="Z5387">
        <v>-1.67476699999999E-4</v>
      </c>
      <c r="AA5387">
        <v>0.99999099999999996</v>
      </c>
      <c r="AB5387">
        <v>33</v>
      </c>
      <c r="AC5387">
        <v>21.9435</v>
      </c>
      <c r="AD5387">
        <v>-1.1215708569841001</v>
      </c>
      <c r="AE5387">
        <v>0.279799999999994</v>
      </c>
      <c r="AF5387">
        <v>-9.4227148472037794E-2</v>
      </c>
      <c r="AG5387">
        <v>-1.1215708569841001</v>
      </c>
      <c r="AH5387">
        <v>21.887909492799501</v>
      </c>
      <c r="AI5387">
        <v>92.933333012274105</v>
      </c>
      <c r="AJ5387">
        <v>90.246656016794006</v>
      </c>
      <c r="AK5387">
        <v>21.9168287374731</v>
      </c>
      <c r="AL5387">
        <v>80.648765721098201</v>
      </c>
      <c r="AM5387">
        <v>92.421183287865404</v>
      </c>
      <c r="AN5387">
        <v>0.99999994138404802</v>
      </c>
    </row>
    <row r="5388" spans="1:40" x14ac:dyDescent="0.25">
      <c r="A5388" t="str">
        <f>"20190303162019613"</f>
        <v>20190303162019613</v>
      </c>
      <c r="B5388" t="str">
        <f>"1551601219608286"</f>
        <v>1551601219608286</v>
      </c>
      <c r="C5388" t="s">
        <v>40</v>
      </c>
      <c r="D5388">
        <v>4.74953</v>
      </c>
      <c r="E5388">
        <v>0.51386369999999904</v>
      </c>
      <c r="F5388" t="s">
        <v>52</v>
      </c>
      <c r="G5388">
        <v>-270.61739999999998</v>
      </c>
      <c r="H5388" s="1">
        <v>-1.2303769999999999E-6</v>
      </c>
      <c r="I5388">
        <v>215.12309999999999</v>
      </c>
      <c r="J5388">
        <v>-292.9359</v>
      </c>
      <c r="K5388">
        <v>1.1215679999999999</v>
      </c>
      <c r="L5388">
        <v>214.83590000000001</v>
      </c>
      <c r="M5388">
        <v>0.99986149999999996</v>
      </c>
      <c r="N5388">
        <v>-1.426885E-2</v>
      </c>
      <c r="O5388">
        <v>8.5704990000000005E-3</v>
      </c>
      <c r="P5388">
        <v>0.98780460000000003</v>
      </c>
      <c r="Q5388">
        <v>0.14762529999999999</v>
      </c>
      <c r="R5388">
        <v>4.948727E-2</v>
      </c>
      <c r="S5388">
        <v>3.0582579999999999</v>
      </c>
      <c r="T5388">
        <v>-0.15147569999999999</v>
      </c>
      <c r="U5388">
        <v>3.9169309999999999E-2</v>
      </c>
      <c r="V5388">
        <v>-4.1057200000000002E-2</v>
      </c>
      <c r="W5388">
        <v>0.16170079999999901</v>
      </c>
      <c r="X5388">
        <v>0.98598540000000001</v>
      </c>
      <c r="Y5388">
        <v>-4.2341660000000001E-3</v>
      </c>
      <c r="Z5388">
        <v>-1.6694259999999999E-4</v>
      </c>
      <c r="AA5388">
        <v>0.99999099999999996</v>
      </c>
      <c r="AB5388">
        <v>33</v>
      </c>
      <c r="AC5388">
        <v>22.3185</v>
      </c>
      <c r="AD5388">
        <v>-1.121569230377</v>
      </c>
      <c r="AE5388">
        <v>0.28719999999998402</v>
      </c>
      <c r="AF5388">
        <v>-9.5647794917847404E-2</v>
      </c>
      <c r="AG5388">
        <v>-1.121569230377</v>
      </c>
      <c r="AH5388">
        <v>22.263926855253299</v>
      </c>
      <c r="AI5388">
        <v>92.883871981988605</v>
      </c>
      <c r="AJ5388">
        <v>90.246146211742499</v>
      </c>
      <c r="AK5388">
        <v>22.2923642769283</v>
      </c>
      <c r="AL5388">
        <v>80.694369705752706</v>
      </c>
      <c r="AM5388">
        <v>92.384463337342495</v>
      </c>
      <c r="AN5388">
        <v>1.0000000257028101</v>
      </c>
    </row>
    <row r="5389" spans="1:40" x14ac:dyDescent="0.25">
      <c r="A5389" t="str">
        <f>"20190303162019635"</f>
        <v>20190303162019635</v>
      </c>
      <c r="B5389" t="str">
        <f>"1551601219627805"</f>
        <v>1551601219627805</v>
      </c>
      <c r="C5389" t="s">
        <v>40</v>
      </c>
      <c r="D5389">
        <v>4.7683109999999997</v>
      </c>
      <c r="E5389">
        <v>0.51366829999999997</v>
      </c>
      <c r="F5389" t="s">
        <v>52</v>
      </c>
      <c r="G5389">
        <v>-270.4905</v>
      </c>
      <c r="H5389" s="1">
        <v>-1.296384E-6</v>
      </c>
      <c r="I5389">
        <v>215.08760000000001</v>
      </c>
      <c r="J5389">
        <v>-292.61200000000002</v>
      </c>
      <c r="K5389">
        <v>1.121572</v>
      </c>
      <c r="L5389">
        <v>214.8389</v>
      </c>
      <c r="M5389">
        <v>0.99986030000000004</v>
      </c>
      <c r="N5389">
        <v>-1.4272409999999999E-2</v>
      </c>
      <c r="O5389">
        <v>8.6958119999999903E-3</v>
      </c>
      <c r="P5389">
        <v>0.9878654</v>
      </c>
      <c r="Q5389">
        <v>0.1472483</v>
      </c>
      <c r="R5389">
        <v>4.9397249999999997E-2</v>
      </c>
      <c r="S5389">
        <v>3.0581670000000001</v>
      </c>
      <c r="T5389">
        <v>-0.15281239999999999</v>
      </c>
      <c r="U5389">
        <v>3.4286499999999998E-2</v>
      </c>
      <c r="V5389">
        <v>-4.0842990000000003E-2</v>
      </c>
      <c r="W5389">
        <v>0.1613281</v>
      </c>
      <c r="X5389">
        <v>0.98605529999999997</v>
      </c>
      <c r="Y5389">
        <v>-2.5156760000000001E-3</v>
      </c>
      <c r="Z5389">
        <v>-2.2938430000000001E-4</v>
      </c>
      <c r="AA5389">
        <v>0.99999680000000002</v>
      </c>
      <c r="AB5389">
        <v>33</v>
      </c>
      <c r="AC5389">
        <v>22.121500000000001</v>
      </c>
      <c r="AD5389">
        <v>-1.1215732963839999</v>
      </c>
      <c r="AE5389">
        <v>0.24870000000001299</v>
      </c>
      <c r="AF5389">
        <v>-5.6162238715115401E-2</v>
      </c>
      <c r="AG5389">
        <v>-1.1215732963839999</v>
      </c>
      <c r="AH5389">
        <v>22.0661114099927</v>
      </c>
      <c r="AI5389">
        <v>92.909708645069898</v>
      </c>
      <c r="AJ5389">
        <v>90.145827791686997</v>
      </c>
      <c r="AK5389">
        <v>22.094667990590601</v>
      </c>
      <c r="AL5389">
        <v>80.716007518449402</v>
      </c>
      <c r="AM5389">
        <v>92.371869034113999</v>
      </c>
      <c r="AN5389">
        <v>0.99999998016991898</v>
      </c>
    </row>
    <row r="5390" spans="1:40" x14ac:dyDescent="0.25">
      <c r="A5390" t="str">
        <f>"20190303162019658"</f>
        <v>20190303162019658</v>
      </c>
      <c r="B5390" t="str">
        <f>"1551601219648301"</f>
        <v>1551601219648301</v>
      </c>
      <c r="C5390" t="s">
        <v>40</v>
      </c>
      <c r="D5390">
        <v>4.8175919999999897</v>
      </c>
      <c r="E5390">
        <v>0.51348570000000004</v>
      </c>
      <c r="F5390" t="s">
        <v>52</v>
      </c>
      <c r="G5390">
        <v>-269.10539999999997</v>
      </c>
      <c r="H5390" s="1">
        <v>3.2869639999999999E-6</v>
      </c>
      <c r="I5390">
        <v>215.11250000000001</v>
      </c>
      <c r="J5390">
        <v>-292.28449999999998</v>
      </c>
      <c r="K5390">
        <v>1.121578</v>
      </c>
      <c r="L5390">
        <v>214.84180000000001</v>
      </c>
      <c r="M5390">
        <v>0.99985930000000001</v>
      </c>
      <c r="N5390">
        <v>-1.426991E-2</v>
      </c>
      <c r="O5390">
        <v>8.8224189999999997E-3</v>
      </c>
      <c r="P5390">
        <v>0.98793489999999995</v>
      </c>
      <c r="Q5390">
        <v>0.14673810000000001</v>
      </c>
      <c r="R5390">
        <v>4.9525090000000001E-2</v>
      </c>
      <c r="S5390">
        <v>3.0567630000000001</v>
      </c>
      <c r="T5390">
        <v>-0.145846799999999</v>
      </c>
      <c r="U5390">
        <v>3.5583499999999997E-2</v>
      </c>
      <c r="V5390">
        <v>-4.0844560000000002E-2</v>
      </c>
      <c r="W5390">
        <v>0.1608166</v>
      </c>
      <c r="X5390">
        <v>0.98613879999999998</v>
      </c>
      <c r="Y5390">
        <v>-2.8177129999999999E-3</v>
      </c>
      <c r="Z5390">
        <v>-2.0752889999999999E-4</v>
      </c>
      <c r="AA5390">
        <v>0.999996</v>
      </c>
      <c r="AB5390">
        <v>33</v>
      </c>
      <c r="AC5390">
        <v>23.179099999999998</v>
      </c>
      <c r="AD5390">
        <v>-1.1215747130360001</v>
      </c>
      <c r="AE5390">
        <v>0.27070000000000499</v>
      </c>
      <c r="AF5390">
        <v>-6.6018365265593196E-2</v>
      </c>
      <c r="AG5390">
        <v>-1.1215747130360001</v>
      </c>
      <c r="AH5390">
        <v>23.126446856388899</v>
      </c>
      <c r="AI5390">
        <v>92.776514976957898</v>
      </c>
      <c r="AJ5390">
        <v>90.163560076855006</v>
      </c>
      <c r="AK5390">
        <v>23.1537217842587</v>
      </c>
      <c r="AL5390">
        <v>80.745702181315096</v>
      </c>
      <c r="AM5390">
        <v>92.371759491140494</v>
      </c>
      <c r="AN5390">
        <v>0.99999999489129598</v>
      </c>
    </row>
    <row r="5391" spans="1:40" x14ac:dyDescent="0.25">
      <c r="A5391" t="str">
        <f>"20190303162019693"</f>
        <v>20190303162019693</v>
      </c>
      <c r="B5391" t="str">
        <f>"1551601219688317"</f>
        <v>1551601219688317</v>
      </c>
      <c r="C5391" t="s">
        <v>40</v>
      </c>
      <c r="D5391">
        <v>4.7512559999999997</v>
      </c>
      <c r="E5391">
        <v>0.51312440000000004</v>
      </c>
      <c r="F5391" t="s">
        <v>52</v>
      </c>
      <c r="G5391">
        <v>-267.89449999999999</v>
      </c>
      <c r="H5391" s="1">
        <v>2.641254E-6</v>
      </c>
      <c r="I5391">
        <v>215.14269999999999</v>
      </c>
      <c r="J5391">
        <v>-291.78230000000002</v>
      </c>
      <c r="K5391">
        <v>1.1215729999999999</v>
      </c>
      <c r="L5391">
        <v>214.84649999999999</v>
      </c>
      <c r="M5391">
        <v>0.99985769999999996</v>
      </c>
      <c r="N5391">
        <v>-1.4260439999999999E-2</v>
      </c>
      <c r="O5391">
        <v>9.0154610000000007E-3</v>
      </c>
      <c r="P5391">
        <v>0.98796779999999995</v>
      </c>
      <c r="Q5391">
        <v>0.14646670000000001</v>
      </c>
      <c r="R5391">
        <v>4.9675049999999998E-2</v>
      </c>
      <c r="S5391">
        <v>3.055634</v>
      </c>
      <c r="T5391">
        <v>-0.14051329999999901</v>
      </c>
      <c r="U5391">
        <v>3.7689210000000001E-2</v>
      </c>
      <c r="V5391">
        <v>-4.0803649999999997E-2</v>
      </c>
      <c r="W5391">
        <v>0.16053700000000001</v>
      </c>
      <c r="X5391">
        <v>0.98618600000000001</v>
      </c>
      <c r="Y5391">
        <v>-3.3171440000000002E-3</v>
      </c>
      <c r="Z5391">
        <v>-1.8591239999999999E-4</v>
      </c>
      <c r="AA5391">
        <v>0.99999450000000001</v>
      </c>
      <c r="AB5391">
        <v>33</v>
      </c>
      <c r="AC5391">
        <v>23.887799999999999</v>
      </c>
      <c r="AD5391">
        <v>-1.121570358746</v>
      </c>
      <c r="AE5391">
        <v>0.29619999999999802</v>
      </c>
      <c r="AF5391">
        <v>-8.0628820836509102E-2</v>
      </c>
      <c r="AG5391">
        <v>-1.121570358746</v>
      </c>
      <c r="AH5391">
        <v>23.8369602834087</v>
      </c>
      <c r="AI5391">
        <v>92.6938637049536</v>
      </c>
      <c r="AJ5391">
        <v>90.193802962612594</v>
      </c>
      <c r="AK5391">
        <v>23.863467824881798</v>
      </c>
      <c r="AL5391">
        <v>80.761932514985205</v>
      </c>
      <c r="AM5391">
        <v>92.369273368094397</v>
      </c>
      <c r="AN5391">
        <v>0.99999994640915901</v>
      </c>
    </row>
    <row r="5392" spans="1:40" x14ac:dyDescent="0.25">
      <c r="A5392" t="str">
        <f>"20190303162019714"</f>
        <v>20190303162019714</v>
      </c>
      <c r="B5392" t="str">
        <f>"1551601219707837"</f>
        <v>1551601219707837</v>
      </c>
      <c r="C5392" t="s">
        <v>40</v>
      </c>
      <c r="D5392">
        <v>4.8230500000000003</v>
      </c>
      <c r="E5392">
        <v>0.51313500000000001</v>
      </c>
      <c r="F5392" t="s">
        <v>52</v>
      </c>
      <c r="G5392">
        <v>-265.37049999999999</v>
      </c>
      <c r="H5392" s="1">
        <v>1.295486E-6</v>
      </c>
      <c r="I5392">
        <v>215.20259999999999</v>
      </c>
      <c r="J5392">
        <v>-291.45920000000001</v>
      </c>
      <c r="K5392">
        <v>1.1215679999999999</v>
      </c>
      <c r="L5392">
        <v>214.84960000000001</v>
      </c>
      <c r="M5392">
        <v>0.99985670000000004</v>
      </c>
      <c r="N5392">
        <v>-1.425357E-2</v>
      </c>
      <c r="O5392">
        <v>9.1394709999999997E-3</v>
      </c>
      <c r="P5392">
        <v>0.98803879999999999</v>
      </c>
      <c r="Q5392">
        <v>0.14592079999999999</v>
      </c>
      <c r="R5392">
        <v>4.9865600000000003E-2</v>
      </c>
      <c r="S5392">
        <v>3.0536500000000002</v>
      </c>
      <c r="T5392">
        <v>-0.12967239999999999</v>
      </c>
      <c r="U5392">
        <v>4.1168209999999997E-2</v>
      </c>
      <c r="V5392">
        <v>-4.0870379999999998E-2</v>
      </c>
      <c r="W5392">
        <v>0.1599854</v>
      </c>
      <c r="X5392">
        <v>0.98627290000000001</v>
      </c>
      <c r="Y5392">
        <v>-4.3386960000000004E-3</v>
      </c>
      <c r="Z5392">
        <v>-1.3464990000000001E-4</v>
      </c>
      <c r="AA5392">
        <v>0.99999059999999995</v>
      </c>
      <c r="AB5392">
        <v>33</v>
      </c>
      <c r="AC5392">
        <v>26.088699999999999</v>
      </c>
      <c r="AD5392">
        <v>-1.1215667045139901</v>
      </c>
      <c r="AE5392">
        <v>0.35299999999998</v>
      </c>
      <c r="AF5392">
        <v>-0.11431289299628</v>
      </c>
      <c r="AG5392">
        <v>-1.1215667045139901</v>
      </c>
      <c r="AH5392">
        <v>26.0427137919465</v>
      </c>
      <c r="AI5392">
        <v>92.465977112809199</v>
      </c>
      <c r="AJ5392">
        <v>90.251494690647107</v>
      </c>
      <c r="AK5392">
        <v>26.067104192054401</v>
      </c>
      <c r="AL5392">
        <v>80.793950978812305</v>
      </c>
      <c r="AM5392">
        <v>92.372934777177207</v>
      </c>
      <c r="AN5392">
        <v>0.99999997472445701</v>
      </c>
    </row>
    <row r="5393" spans="1:40" x14ac:dyDescent="0.25">
      <c r="A5393" t="str">
        <f>"20190303162019736"</f>
        <v>20190303162019736</v>
      </c>
      <c r="B5393" t="str">
        <f>"1551601219727357"</f>
        <v>1551601219727357</v>
      </c>
      <c r="C5393" t="s">
        <v>40</v>
      </c>
      <c r="D5393">
        <v>4.7301219999999997</v>
      </c>
      <c r="E5393">
        <v>0.51310749999999905</v>
      </c>
      <c r="F5393" t="s">
        <v>52</v>
      </c>
      <c r="G5393">
        <v>-264.71839999999997</v>
      </c>
      <c r="H5393" s="1">
        <v>9.4797179999999995E-7</v>
      </c>
      <c r="I5393">
        <v>215.21430000000001</v>
      </c>
      <c r="J5393">
        <v>-291.14449999999999</v>
      </c>
      <c r="K5393">
        <v>1.1215740000000001</v>
      </c>
      <c r="L5393">
        <v>214.8526</v>
      </c>
      <c r="M5393">
        <v>0.99985579999999996</v>
      </c>
      <c r="N5393">
        <v>-1.4246719999999999E-2</v>
      </c>
      <c r="O5393">
        <v>9.2586470000000001E-3</v>
      </c>
      <c r="P5393">
        <v>0.98804579999999997</v>
      </c>
      <c r="Q5393">
        <v>0.14569190000000001</v>
      </c>
      <c r="R5393">
        <v>5.0393159999999999E-2</v>
      </c>
      <c r="S5393">
        <v>3.053131</v>
      </c>
      <c r="T5393">
        <v>-0.128055</v>
      </c>
      <c r="U5393">
        <v>4.1641240000000003E-2</v>
      </c>
      <c r="V5393">
        <v>-4.1279709999999997E-2</v>
      </c>
      <c r="W5393">
        <v>0.15975</v>
      </c>
      <c r="X5393">
        <v>0.986294</v>
      </c>
      <c r="Y5393">
        <v>-4.3766769999999998E-3</v>
      </c>
      <c r="Z5393">
        <v>-1.3332059999999999E-4</v>
      </c>
      <c r="AA5393">
        <v>0.99999039999999995</v>
      </c>
      <c r="AB5393">
        <v>33</v>
      </c>
      <c r="AC5393">
        <v>26.426100000000002</v>
      </c>
      <c r="AD5393">
        <v>-1.1215730520281999</v>
      </c>
      <c r="AE5393">
        <v>0.36170000000001301</v>
      </c>
      <c r="AF5393">
        <v>-0.116779449508641</v>
      </c>
      <c r="AG5393">
        <v>-1.1215730520281999</v>
      </c>
      <c r="AH5393">
        <v>26.380805117243298</v>
      </c>
      <c r="AI5393">
        <v>92.434425254029094</v>
      </c>
      <c r="AJ5393">
        <v>90.253628570361798</v>
      </c>
      <c r="AK5393">
        <v>26.404894284674501</v>
      </c>
      <c r="AL5393">
        <v>80.807614051363302</v>
      </c>
      <c r="AM5393">
        <v>92.3966216937647</v>
      </c>
      <c r="AN5393">
        <v>0.99999996569684102</v>
      </c>
    </row>
    <row r="5394" spans="1:40" x14ac:dyDescent="0.25">
      <c r="A5394" t="str">
        <f>"20190303162019758"</f>
        <v>20190303162019758</v>
      </c>
      <c r="B5394" t="str">
        <f>"1551601219747854"</f>
        <v>1551601219747854</v>
      </c>
      <c r="C5394" t="s">
        <v>40</v>
      </c>
      <c r="D5394">
        <v>4.6734980000000004</v>
      </c>
      <c r="E5394">
        <v>0.51292159999999998</v>
      </c>
      <c r="F5394" t="s">
        <v>52</v>
      </c>
      <c r="G5394">
        <v>-263.67059999999998</v>
      </c>
      <c r="H5394" s="1">
        <v>3.8906880000000002E-7</v>
      </c>
      <c r="I5394">
        <v>215.24459999999999</v>
      </c>
      <c r="J5394">
        <v>-290.82209999999998</v>
      </c>
      <c r="K5394">
        <v>1.1215740000000001</v>
      </c>
      <c r="L5394">
        <v>214.85570000000001</v>
      </c>
      <c r="M5394">
        <v>0.99985460000000004</v>
      </c>
      <c r="N5394">
        <v>-1.423959E-2</v>
      </c>
      <c r="O5394">
        <v>9.3759529999999994E-3</v>
      </c>
      <c r="P5394">
        <v>0.98803419999999997</v>
      </c>
      <c r="Q5394">
        <v>0.14547199999999999</v>
      </c>
      <c r="R5394">
        <v>5.1247639999999997E-2</v>
      </c>
      <c r="S5394">
        <v>3.052521</v>
      </c>
      <c r="T5394">
        <v>-0.124614</v>
      </c>
      <c r="U5394">
        <v>4.356384E-2</v>
      </c>
      <c r="V5394">
        <v>-4.20168E-2</v>
      </c>
      <c r="W5394">
        <v>0.15952359999999999</v>
      </c>
      <c r="X5394">
        <v>0.98629960000000005</v>
      </c>
      <c r="Y5394">
        <v>-4.8912160000000003E-3</v>
      </c>
      <c r="Z5394">
        <v>-1.144521E-4</v>
      </c>
      <c r="AA5394">
        <v>0.99998799999999999</v>
      </c>
      <c r="AB5394">
        <v>33</v>
      </c>
      <c r="AC5394">
        <v>27.151499999999999</v>
      </c>
      <c r="AD5394">
        <v>-1.1215736109312</v>
      </c>
      <c r="AE5394">
        <v>0.38889999999997799</v>
      </c>
      <c r="AF5394">
        <v>-0.134057186613386</v>
      </c>
      <c r="AG5394">
        <v>-1.1215736109312</v>
      </c>
      <c r="AH5394">
        <v>27.107707259322801</v>
      </c>
      <c r="AI5394">
        <v>92.369216174107393</v>
      </c>
      <c r="AJ5394">
        <v>90.283345556216602</v>
      </c>
      <c r="AK5394">
        <v>27.131230925838199</v>
      </c>
      <c r="AL5394">
        <v>80.820755070390405</v>
      </c>
      <c r="AM5394">
        <v>92.439350666386204</v>
      </c>
      <c r="AN5394">
        <v>1.00000004569967</v>
      </c>
    </row>
    <row r="5395" spans="1:40" x14ac:dyDescent="0.25">
      <c r="A5395" t="str">
        <f>"20190303162019782"</f>
        <v>20190303162019782</v>
      </c>
      <c r="B5395" t="str">
        <f>"1551601219778109"</f>
        <v>1551601219778109</v>
      </c>
      <c r="C5395" t="s">
        <v>40</v>
      </c>
      <c r="D5395">
        <v>4.6578089999999897</v>
      </c>
      <c r="E5395">
        <v>0.51274520000000001</v>
      </c>
      <c r="F5395" t="s">
        <v>52</v>
      </c>
      <c r="G5395">
        <v>-262.55079999999998</v>
      </c>
      <c r="H5395" s="1">
        <v>-2.0913579999999999E-7</v>
      </c>
      <c r="I5395">
        <v>215.29769999999999</v>
      </c>
      <c r="J5395">
        <v>-290.48099999999999</v>
      </c>
      <c r="K5395">
        <v>1.1215729999999999</v>
      </c>
      <c r="L5395">
        <v>214.85900000000001</v>
      </c>
      <c r="M5395">
        <v>0.99985380000000001</v>
      </c>
      <c r="N5395">
        <v>-1.4232E-2</v>
      </c>
      <c r="O5395">
        <v>9.4916600000000007E-3</v>
      </c>
      <c r="P5395">
        <v>0.98797639999999998</v>
      </c>
      <c r="Q5395">
        <v>0.14554230000000001</v>
      </c>
      <c r="R5395">
        <v>5.2157530000000001E-2</v>
      </c>
      <c r="S5395">
        <v>3.0517270000000001</v>
      </c>
      <c r="T5395">
        <v>-0.1210678</v>
      </c>
      <c r="U5395">
        <v>4.7714230000000003E-2</v>
      </c>
      <c r="V5395">
        <v>-4.28107E-2</v>
      </c>
      <c r="W5395">
        <v>0.1595857</v>
      </c>
      <c r="X5395">
        <v>0.98625529999999995</v>
      </c>
      <c r="Y5395">
        <v>-6.1375910000000004E-3</v>
      </c>
      <c r="Z5395" s="1">
        <v>-7.5922959999999995E-5</v>
      </c>
      <c r="AA5395">
        <v>0.99998120000000001</v>
      </c>
      <c r="AB5395">
        <v>33</v>
      </c>
      <c r="AC5395">
        <v>27.930199999999999</v>
      </c>
      <c r="AD5395">
        <v>-1.1215732091357999</v>
      </c>
      <c r="AE5395">
        <v>0.43869999999998199</v>
      </c>
      <c r="AF5395">
        <v>-0.173270120276038</v>
      </c>
      <c r="AG5395">
        <v>-1.1215732091357999</v>
      </c>
      <c r="AH5395">
        <v>27.888146676323998</v>
      </c>
      <c r="AI5395">
        <v>92.302969860656205</v>
      </c>
      <c r="AJ5395">
        <v>90.355976285692293</v>
      </c>
      <c r="AK5395">
        <v>27.911228458063199</v>
      </c>
      <c r="AL5395">
        <v>80.817149796585298</v>
      </c>
      <c r="AM5395">
        <v>92.485496000456195</v>
      </c>
      <c r="AN5395">
        <v>0.99999993422853195</v>
      </c>
    </row>
    <row r="5396" spans="1:40" x14ac:dyDescent="0.25">
      <c r="A5396" t="str">
        <f>"20190303162019803"</f>
        <v>20190303162019803</v>
      </c>
      <c r="B5396" t="str">
        <f>"1551601219797630"</f>
        <v>1551601219797630</v>
      </c>
      <c r="C5396" t="s">
        <v>40</v>
      </c>
      <c r="D5396">
        <v>4.5928690000000003</v>
      </c>
      <c r="E5396">
        <v>0.51267079999999998</v>
      </c>
      <c r="F5396" t="s">
        <v>52</v>
      </c>
      <c r="G5396">
        <v>-260.54230000000001</v>
      </c>
      <c r="H5396" s="1">
        <v>-1.281034E-6</v>
      </c>
      <c r="I5396">
        <v>215.36760000000001</v>
      </c>
      <c r="J5396">
        <v>-290.17239999999998</v>
      </c>
      <c r="K5396">
        <v>1.121564</v>
      </c>
      <c r="L5396">
        <v>214.86199999999999</v>
      </c>
      <c r="M5396">
        <v>0.99985299999999999</v>
      </c>
      <c r="N5396">
        <v>-1.422532E-2</v>
      </c>
      <c r="O5396">
        <v>9.5851970000000002E-3</v>
      </c>
      <c r="P5396">
        <v>0.98784669999999997</v>
      </c>
      <c r="Q5396">
        <v>0.14616370000000001</v>
      </c>
      <c r="R5396">
        <v>5.287476E-2</v>
      </c>
      <c r="S5396">
        <v>3.0505979999999999</v>
      </c>
      <c r="T5396">
        <v>-0.1142828</v>
      </c>
      <c r="U5396">
        <v>5.181885E-2</v>
      </c>
      <c r="V5396">
        <v>-4.3433680000000002E-2</v>
      </c>
      <c r="W5396">
        <v>0.1601996</v>
      </c>
      <c r="X5396">
        <v>0.98612860000000002</v>
      </c>
      <c r="Y5396">
        <v>-7.3938709999999998E-3</v>
      </c>
      <c r="Z5396" s="1">
        <v>-3.1537820000000003E-5</v>
      </c>
      <c r="AA5396">
        <v>0.99997259999999999</v>
      </c>
      <c r="AB5396">
        <v>33</v>
      </c>
      <c r="AC5396">
        <v>29.630099999999899</v>
      </c>
      <c r="AD5396">
        <v>-1.121565281034</v>
      </c>
      <c r="AE5396">
        <v>0.50560000000001504</v>
      </c>
      <c r="AF5396">
        <v>-0.22122084795115299</v>
      </c>
      <c r="AG5396">
        <v>-1.121565281034</v>
      </c>
      <c r="AH5396">
        <v>29.591199644987299</v>
      </c>
      <c r="AI5396">
        <v>92.170524332866407</v>
      </c>
      <c r="AJ5396">
        <v>90.428329535677193</v>
      </c>
      <c r="AK5396">
        <v>29.6132731013086</v>
      </c>
      <c r="AL5396">
        <v>80.781518151803695</v>
      </c>
      <c r="AM5396">
        <v>92.521942075200499</v>
      </c>
      <c r="AN5396">
        <v>1.0000000060682299</v>
      </c>
    </row>
    <row r="5397" spans="1:40" x14ac:dyDescent="0.25">
      <c r="A5397" t="str">
        <f>"20190303162019825"</f>
        <v>20190303162019825</v>
      </c>
      <c r="B5397" t="str">
        <f>"1551601219818126"</f>
        <v>1551601219818126</v>
      </c>
      <c r="C5397" t="s">
        <v>40</v>
      </c>
      <c r="D5397">
        <v>4.5516209999999999</v>
      </c>
      <c r="E5397">
        <v>0.51258269999999995</v>
      </c>
      <c r="F5397" t="s">
        <v>52</v>
      </c>
      <c r="G5397">
        <v>-258.32240000000002</v>
      </c>
      <c r="H5397" s="1">
        <v>2.8565059999999998E-6</v>
      </c>
      <c r="I5397">
        <v>215.42769999999999</v>
      </c>
      <c r="J5397">
        <v>-289.84629999999999</v>
      </c>
      <c r="K5397">
        <v>1.1215539999999999</v>
      </c>
      <c r="L5397">
        <v>214.86529999999999</v>
      </c>
      <c r="M5397">
        <v>0.99985219999999997</v>
      </c>
      <c r="N5397">
        <v>-1.421853E-2</v>
      </c>
      <c r="O5397">
        <v>9.6680529999999994E-3</v>
      </c>
      <c r="P5397">
        <v>0.98783829999999995</v>
      </c>
      <c r="Q5397">
        <v>0.1460099</v>
      </c>
      <c r="R5397">
        <v>5.3448130000000003E-2</v>
      </c>
      <c r="S5397">
        <v>3.0498660000000002</v>
      </c>
      <c r="T5397">
        <v>-0.1073974</v>
      </c>
      <c r="U5397">
        <v>5.41687E-2</v>
      </c>
      <c r="V5397">
        <v>-4.3920090000000002E-2</v>
      </c>
      <c r="W5397">
        <v>0.1600404</v>
      </c>
      <c r="X5397">
        <v>0.98613289999999998</v>
      </c>
      <c r="Y5397">
        <v>-8.0849700000000004E-3</v>
      </c>
      <c r="Z5397" s="1">
        <v>-3.058107E-6</v>
      </c>
      <c r="AA5397">
        <v>0.9999673</v>
      </c>
      <c r="AB5397">
        <v>33</v>
      </c>
      <c r="AC5397">
        <v>31.523899999999902</v>
      </c>
      <c r="AD5397">
        <v>-1.121551143494</v>
      </c>
      <c r="AE5397">
        <v>0.56239999999999601</v>
      </c>
      <c r="AF5397">
        <v>-0.25724266172862897</v>
      </c>
      <c r="AG5397">
        <v>-1.121551143494</v>
      </c>
      <c r="AH5397">
        <v>31.488020011930001</v>
      </c>
      <c r="AI5397">
        <v>92.039850431789006</v>
      </c>
      <c r="AJ5397">
        <v>90.468069790880406</v>
      </c>
      <c r="AK5397">
        <v>31.509037672169399</v>
      </c>
      <c r="AL5397">
        <v>80.790758813161105</v>
      </c>
      <c r="AM5397">
        <v>92.550136900843896</v>
      </c>
      <c r="AN5397">
        <v>1.00000000020008</v>
      </c>
    </row>
    <row r="5398" spans="1:40" x14ac:dyDescent="0.25">
      <c r="A5398" t="str">
        <f>"20190303162019847"</f>
        <v>20190303162019847</v>
      </c>
      <c r="B5398" t="str">
        <f>"1551601219837645"</f>
        <v>1551601219837645</v>
      </c>
      <c r="C5398" t="s">
        <v>40</v>
      </c>
      <c r="D5398">
        <v>4.5320090000000004</v>
      </c>
      <c r="E5398">
        <v>0.51256309999999905</v>
      </c>
      <c r="F5398" t="s">
        <v>52</v>
      </c>
      <c r="G5398">
        <v>-256.81040000000002</v>
      </c>
      <c r="H5398" s="1">
        <v>2.049935E-6</v>
      </c>
      <c r="I5398">
        <v>215.47300000000001</v>
      </c>
      <c r="J5398">
        <v>-289.5283</v>
      </c>
      <c r="K5398">
        <v>1.121537</v>
      </c>
      <c r="L5398">
        <v>214.86840000000001</v>
      </c>
      <c r="M5398">
        <v>0.99985179999999996</v>
      </c>
      <c r="N5398">
        <v>-1.421244E-2</v>
      </c>
      <c r="O5398">
        <v>9.7285700000000006E-3</v>
      </c>
      <c r="P5398">
        <v>0.98776719999999896</v>
      </c>
      <c r="Q5398">
        <v>0.1462456</v>
      </c>
      <c r="R5398">
        <v>5.4116539999999998E-2</v>
      </c>
      <c r="S5398">
        <v>3.049194</v>
      </c>
      <c r="T5398">
        <v>-0.10351879999999999</v>
      </c>
      <c r="U5398">
        <v>5.6091309999999998E-2</v>
      </c>
      <c r="V5398">
        <v>-4.4523569999999998E-2</v>
      </c>
      <c r="W5398">
        <v>0.16027060000000001</v>
      </c>
      <c r="X5398">
        <v>0.98606839999999996</v>
      </c>
      <c r="Y5398">
        <v>-8.6583839999999999E-3</v>
      </c>
      <c r="Z5398" s="1">
        <v>1.657844E-5</v>
      </c>
      <c r="AA5398">
        <v>0.99996249999999998</v>
      </c>
      <c r="AB5398">
        <v>32</v>
      </c>
      <c r="AC5398">
        <v>32.717899999999901</v>
      </c>
      <c r="AD5398">
        <v>-1.121534950065</v>
      </c>
      <c r="AE5398">
        <v>0.60459999999997605</v>
      </c>
      <c r="AF5398">
        <v>-0.285905054602066</v>
      </c>
      <c r="AG5398">
        <v>-1.121534950065</v>
      </c>
      <c r="AH5398">
        <v>32.683841943636601</v>
      </c>
      <c r="AI5398">
        <v>91.965238968348203</v>
      </c>
      <c r="AJ5398">
        <v>90.501187564992193</v>
      </c>
      <c r="AK5398">
        <v>32.704328559704201</v>
      </c>
      <c r="AL5398">
        <v>80.777396392585104</v>
      </c>
      <c r="AM5398">
        <v>92.585298478455599</v>
      </c>
      <c r="AN5398">
        <v>0.99999995149423104</v>
      </c>
    </row>
    <row r="5399" spans="1:40" x14ac:dyDescent="0.25">
      <c r="A5399" t="str">
        <f>"20190303162019870"</f>
        <v>20190303162019870</v>
      </c>
      <c r="B5399" t="str">
        <f>"1551601219858141"</f>
        <v>1551601219858141</v>
      </c>
      <c r="C5399" t="s">
        <v>40</v>
      </c>
      <c r="D5399">
        <v>4.5541859999999996</v>
      </c>
      <c r="E5399">
        <v>0.51244369999999995</v>
      </c>
      <c r="F5399" t="s">
        <v>52</v>
      </c>
      <c r="G5399">
        <v>-254.71940000000001</v>
      </c>
      <c r="H5399" s="1">
        <v>9.3449259999999995E-7</v>
      </c>
      <c r="I5399">
        <v>215.53450000000001</v>
      </c>
      <c r="J5399">
        <v>-289.18740000000003</v>
      </c>
      <c r="K5399">
        <v>1.1215189999999999</v>
      </c>
      <c r="L5399">
        <v>214.87180000000001</v>
      </c>
      <c r="M5399">
        <v>0.99985139999999995</v>
      </c>
      <c r="N5399">
        <v>-1.4206069999999999E-2</v>
      </c>
      <c r="O5399">
        <v>9.7754859999999999E-3</v>
      </c>
      <c r="P5399">
        <v>0.98777969999999904</v>
      </c>
      <c r="Q5399">
        <v>0.14604929999999999</v>
      </c>
      <c r="R5399">
        <v>5.4416449999999998E-2</v>
      </c>
      <c r="S5399">
        <v>3.048492</v>
      </c>
      <c r="T5399">
        <v>-9.8221900000000001E-2</v>
      </c>
      <c r="U5399">
        <v>5.833435E-2</v>
      </c>
      <c r="V5399">
        <v>-4.4770959999999999E-2</v>
      </c>
      <c r="W5399">
        <v>0.16007009999999999</v>
      </c>
      <c r="X5399">
        <v>0.98608980000000002</v>
      </c>
      <c r="Y5399">
        <v>-9.3509690000000006E-3</v>
      </c>
      <c r="Z5399" s="1">
        <v>4.1052520000000002E-5</v>
      </c>
      <c r="AA5399">
        <v>0.99995630000000002</v>
      </c>
      <c r="AB5399">
        <v>32</v>
      </c>
      <c r="AC5399">
        <v>34.468000000000004</v>
      </c>
      <c r="AD5399">
        <v>-1.1215180655074</v>
      </c>
      <c r="AE5399">
        <v>0.66270000000000095</v>
      </c>
      <c r="AF5399">
        <v>-0.32534858054891103</v>
      </c>
      <c r="AG5399">
        <v>-1.1215180655074</v>
      </c>
      <c r="AH5399">
        <v>34.436386655987</v>
      </c>
      <c r="AI5399">
        <v>91.865256173773005</v>
      </c>
      <c r="AJ5399">
        <v>90.541303770040003</v>
      </c>
      <c r="AK5399">
        <v>34.456180583325903</v>
      </c>
      <c r="AL5399">
        <v>80.789034760131599</v>
      </c>
      <c r="AM5399">
        <v>92.599587394353193</v>
      </c>
      <c r="AN5399">
        <v>0.99999998471868501</v>
      </c>
    </row>
    <row r="5400" spans="1:40" x14ac:dyDescent="0.25">
      <c r="A5400" t="str">
        <f>"20190303162019893"</f>
        <v>20190303162019893</v>
      </c>
      <c r="B5400" t="str">
        <f>"1551601219887422"</f>
        <v>1551601219887422</v>
      </c>
      <c r="C5400" t="s">
        <v>40</v>
      </c>
      <c r="D5400">
        <v>4.5747939999999998</v>
      </c>
      <c r="E5400">
        <v>0.48987599999999998</v>
      </c>
      <c r="F5400" t="s">
        <v>52</v>
      </c>
      <c r="G5400">
        <v>-253.3681</v>
      </c>
      <c r="H5400" s="1">
        <v>2.1342650000000001E-7</v>
      </c>
      <c r="I5400">
        <v>215.5796</v>
      </c>
      <c r="J5400">
        <v>-288.86860000000001</v>
      </c>
      <c r="K5400">
        <v>1.1215079999999999</v>
      </c>
      <c r="L5400">
        <v>214.875</v>
      </c>
      <c r="M5400">
        <v>0.99985119999999905</v>
      </c>
      <c r="N5400">
        <v>-1.420035E-2</v>
      </c>
      <c r="O5400">
        <v>9.8028239999999999E-3</v>
      </c>
      <c r="P5400">
        <v>0.98775520000000006</v>
      </c>
      <c r="Q5400">
        <v>0.14606069999999999</v>
      </c>
      <c r="R5400">
        <v>5.4830379999999998E-2</v>
      </c>
      <c r="S5400">
        <v>3.0479129999999999</v>
      </c>
      <c r="T5400">
        <v>-9.5431329999999995E-2</v>
      </c>
      <c r="U5400">
        <v>6.0226439999999999E-2</v>
      </c>
      <c r="V5400">
        <v>-4.5152709999999999E-2</v>
      </c>
      <c r="W5400">
        <v>0.1600772</v>
      </c>
      <c r="X5400">
        <v>0.98607129999999998</v>
      </c>
      <c r="Y5400">
        <v>-9.9475429999999997E-3</v>
      </c>
      <c r="Z5400" s="1">
        <v>5.8711680000000001E-5</v>
      </c>
      <c r="AA5400">
        <v>0.99995049999999996</v>
      </c>
      <c r="AB5400">
        <v>32</v>
      </c>
      <c r="AC5400">
        <v>35.500500000000002</v>
      </c>
      <c r="AD5400">
        <v>-1.1215077865734999</v>
      </c>
      <c r="AE5400">
        <v>0.704599999999999</v>
      </c>
      <c r="AF5400">
        <v>-0.35617059831975101</v>
      </c>
      <c r="AG5400">
        <v>-1.1215077865734999</v>
      </c>
      <c r="AH5400">
        <v>35.4703158124805</v>
      </c>
      <c r="AI5400">
        <v>91.810895255710605</v>
      </c>
      <c r="AJ5400">
        <v>90.5753088397624</v>
      </c>
      <c r="AK5400">
        <v>35.489828698481404</v>
      </c>
      <c r="AL5400">
        <v>80.788623186800507</v>
      </c>
      <c r="AM5400">
        <v>92.621771702181903</v>
      </c>
      <c r="AN5400">
        <v>1.00000004293193</v>
      </c>
    </row>
    <row r="5401" spans="1:40" x14ac:dyDescent="0.25">
      <c r="A5401" t="str">
        <f>"20190303162019915"</f>
        <v>20190303162019915</v>
      </c>
      <c r="B5401" t="str">
        <f>"1551601219907917"</f>
        <v>1551601219907917</v>
      </c>
      <c r="C5401" t="s">
        <v>40</v>
      </c>
      <c r="D5401">
        <v>4.5382189999999998</v>
      </c>
      <c r="E5401">
        <v>0.48807879999999998</v>
      </c>
      <c r="F5401" t="s">
        <v>49</v>
      </c>
      <c r="G5401">
        <v>-179.95779999999999</v>
      </c>
      <c r="H5401">
        <v>1.790479E-2</v>
      </c>
      <c r="I5401">
        <v>223.56309999999999</v>
      </c>
      <c r="J5401">
        <v>-288.54520000000002</v>
      </c>
      <c r="K5401">
        <v>1.1214949999999999</v>
      </c>
      <c r="L5401">
        <v>214.87819999999999</v>
      </c>
      <c r="M5401">
        <v>0.99985100000000005</v>
      </c>
      <c r="N5401">
        <v>-1.419484E-2</v>
      </c>
      <c r="O5401">
        <v>9.8167299999999992E-3</v>
      </c>
      <c r="P5401">
        <v>0.98776269999999999</v>
      </c>
      <c r="Q5401">
        <v>0.14604139999999999</v>
      </c>
      <c r="R5401">
        <v>5.474507E-2</v>
      </c>
      <c r="S5401">
        <v>3.0283199999999999</v>
      </c>
      <c r="T5401">
        <v>-3.068626E-2</v>
      </c>
      <c r="U5401">
        <v>0.24157709999999999</v>
      </c>
      <c r="V5401">
        <v>-4.5048970000000001E-2</v>
      </c>
      <c r="W5401">
        <v>0.1600541</v>
      </c>
      <c r="X5401">
        <v>0.98607979999999995</v>
      </c>
      <c r="Y5401">
        <v>-6.9721089999999999E-2</v>
      </c>
      <c r="Z5401">
        <v>8.8820320000000002E-4</v>
      </c>
      <c r="AA5401">
        <v>0.99756610000000001</v>
      </c>
      <c r="AB5401">
        <v>32</v>
      </c>
      <c r="AC5401">
        <v>108.5874</v>
      </c>
      <c r="AD5401">
        <v>-1.1035902099999999</v>
      </c>
      <c r="AE5401">
        <v>8.6848999999999901</v>
      </c>
      <c r="AF5401">
        <v>-7.6176189528544898</v>
      </c>
      <c r="AG5401">
        <v>-1.1035902099999999</v>
      </c>
      <c r="AH5401">
        <v>108.656280814772</v>
      </c>
      <c r="AI5401">
        <v>90.580491812488901</v>
      </c>
      <c r="AJ5401">
        <v>94.010301499489998</v>
      </c>
      <c r="AK5401">
        <v>108.928570129058</v>
      </c>
      <c r="AL5401">
        <v>80.789964057128302</v>
      </c>
      <c r="AM5401">
        <v>92.615733945406902</v>
      </c>
      <c r="AN5401">
        <v>1.00000004829645</v>
      </c>
    </row>
    <row r="5402" spans="1:40" x14ac:dyDescent="0.25">
      <c r="A5402" t="str">
        <f>"20190303162019937"</f>
        <v>20190303162019937</v>
      </c>
      <c r="B5402" t="str">
        <f>"1551601219927437"</f>
        <v>1551601219927437</v>
      </c>
      <c r="C5402" t="s">
        <v>40</v>
      </c>
      <c r="D5402">
        <v>4.5521070000000003</v>
      </c>
      <c r="E5402">
        <v>0.48778529999999998</v>
      </c>
      <c r="F5402" t="s">
        <v>49</v>
      </c>
      <c r="G5402">
        <v>-183.8526</v>
      </c>
      <c r="H5402" s="1">
        <v>1.5419710000000001E-6</v>
      </c>
      <c r="I5402">
        <v>223.7225</v>
      </c>
      <c r="J5402">
        <v>-288.23570000000001</v>
      </c>
      <c r="K5402">
        <v>1.1214900000000001</v>
      </c>
      <c r="L5402">
        <v>214.88120000000001</v>
      </c>
      <c r="M5402">
        <v>0.99985100000000005</v>
      </c>
      <c r="N5402">
        <v>-1.4189999999999999E-2</v>
      </c>
      <c r="O5402">
        <v>9.8215079999999996E-3</v>
      </c>
      <c r="P5402">
        <v>0.98781649999999999</v>
      </c>
      <c r="Q5402">
        <v>0.14577679999999901</v>
      </c>
      <c r="R5402">
        <v>5.4478270000000002E-2</v>
      </c>
      <c r="S5402">
        <v>3.027771</v>
      </c>
      <c r="T5402">
        <v>-3.2434230000000001E-2</v>
      </c>
      <c r="U5402">
        <v>0.25578309999999999</v>
      </c>
      <c r="V5402">
        <v>-4.4773519999999997E-2</v>
      </c>
      <c r="W5402">
        <v>0.15978629999999999</v>
      </c>
      <c r="X5402">
        <v>0.98613569999999995</v>
      </c>
      <c r="Y5402">
        <v>-7.4377639999999995E-2</v>
      </c>
      <c r="Z5402">
        <v>9.6050129999999999E-4</v>
      </c>
      <c r="AA5402">
        <v>0.9972297</v>
      </c>
      <c r="AB5402">
        <v>32</v>
      </c>
      <c r="AC5402">
        <v>104.3831</v>
      </c>
      <c r="AD5402">
        <v>-1.1214884580290001</v>
      </c>
      <c r="AE5402">
        <v>8.8412999999999897</v>
      </c>
      <c r="AF5402">
        <v>-7.8146750703465901</v>
      </c>
      <c r="AG5402">
        <v>-1.1214884580290001</v>
      </c>
      <c r="AH5402">
        <v>104.452936600679</v>
      </c>
      <c r="AI5402">
        <v>90.613434414934403</v>
      </c>
      <c r="AJ5402">
        <v>94.278628365031807</v>
      </c>
      <c r="AK5402">
        <v>104.75086084286799</v>
      </c>
      <c r="AL5402">
        <v>80.805507230111601</v>
      </c>
      <c r="AM5402">
        <v>92.599614995100794</v>
      </c>
      <c r="AN5402">
        <v>0.99999997428768395</v>
      </c>
    </row>
    <row r="5403" spans="1:40" x14ac:dyDescent="0.25">
      <c r="A5403" t="str">
        <f>"20190303162019959"</f>
        <v>20190303162019959</v>
      </c>
      <c r="B5403" t="str">
        <f>"1551601219948290"</f>
        <v>1551601219948290</v>
      </c>
      <c r="C5403" t="s">
        <v>40</v>
      </c>
      <c r="D5403">
        <v>4.5657920000000001</v>
      </c>
      <c r="E5403">
        <v>0.48776259999999999</v>
      </c>
      <c r="F5403" t="s">
        <v>49</v>
      </c>
      <c r="G5403">
        <v>-189.59909999999999</v>
      </c>
      <c r="H5403" s="1">
        <v>2.211472E-6</v>
      </c>
      <c r="I5403">
        <v>223.2704</v>
      </c>
      <c r="J5403">
        <v>-287.91199999999998</v>
      </c>
      <c r="K5403">
        <v>1.1214839999999999</v>
      </c>
      <c r="L5403">
        <v>214.8844</v>
      </c>
      <c r="M5403">
        <v>0.9998513</v>
      </c>
      <c r="N5403">
        <v>-1.418525E-2</v>
      </c>
      <c r="O5403">
        <v>9.8212569999999999E-3</v>
      </c>
      <c r="P5403">
        <v>0.98783169999999998</v>
      </c>
      <c r="Q5403">
        <v>0.1458634</v>
      </c>
      <c r="R5403">
        <v>5.3970120000000003E-2</v>
      </c>
      <c r="S5403">
        <v>3.027863</v>
      </c>
      <c r="T5403">
        <v>-3.4426449999999997E-2</v>
      </c>
      <c r="U5403">
        <v>0.25752259999999999</v>
      </c>
      <c r="V5403">
        <v>-4.4263190000000001E-2</v>
      </c>
      <c r="W5403">
        <v>0.1598687</v>
      </c>
      <c r="X5403">
        <v>0.98614539999999995</v>
      </c>
      <c r="Y5403">
        <v>-7.4943179999999998E-2</v>
      </c>
      <c r="Z5403">
        <v>9.8547479999999991E-4</v>
      </c>
      <c r="AA5403">
        <v>0.9971873</v>
      </c>
      <c r="AB5403">
        <v>32</v>
      </c>
      <c r="AC5403">
        <v>98.312899999999999</v>
      </c>
      <c r="AD5403">
        <v>-1.121481788528</v>
      </c>
      <c r="AE5403">
        <v>8.3859999999999904</v>
      </c>
      <c r="AF5403">
        <v>-7.41898376449255</v>
      </c>
      <c r="AG5403">
        <v>-1.121481788528</v>
      </c>
      <c r="AH5403">
        <v>98.377817758190403</v>
      </c>
      <c r="AI5403">
        <v>90.651279664491696</v>
      </c>
      <c r="AJ5403">
        <v>94.312693471951803</v>
      </c>
      <c r="AK5403">
        <v>98.663539711301198</v>
      </c>
      <c r="AL5403">
        <v>80.800724727770799</v>
      </c>
      <c r="AM5403">
        <v>92.569999212437594</v>
      </c>
      <c r="AN5403">
        <v>0.99999999058491296</v>
      </c>
    </row>
    <row r="5404" spans="1:40" x14ac:dyDescent="0.25">
      <c r="A5404" t="str">
        <f>"20190303162019981"</f>
        <v>20190303162019981</v>
      </c>
      <c r="B5404" t="str">
        <f>"1551601219967810"</f>
        <v>1551601219967810</v>
      </c>
      <c r="C5404" t="s">
        <v>40</v>
      </c>
      <c r="D5404">
        <v>4.5569490000000004</v>
      </c>
      <c r="E5404">
        <v>0.48766599999999999</v>
      </c>
      <c r="F5404" t="s">
        <v>49</v>
      </c>
      <c r="G5404">
        <v>-188.53489999999999</v>
      </c>
      <c r="H5404" s="1">
        <v>2.111935E-6</v>
      </c>
      <c r="I5404">
        <v>223.28489999999999</v>
      </c>
      <c r="J5404">
        <v>-287.59289999999999</v>
      </c>
      <c r="K5404">
        <v>1.1214850000000001</v>
      </c>
      <c r="L5404">
        <v>214.88749999999999</v>
      </c>
      <c r="M5404">
        <v>0.9998513</v>
      </c>
      <c r="N5404">
        <v>-1.418086E-2</v>
      </c>
      <c r="O5404">
        <v>9.8187159999999999E-3</v>
      </c>
      <c r="P5404">
        <v>0.98790820000000001</v>
      </c>
      <c r="Q5404">
        <v>0.1453585</v>
      </c>
      <c r="R5404">
        <v>5.3928770000000001E-2</v>
      </c>
      <c r="S5404">
        <v>3.0280459999999998</v>
      </c>
      <c r="T5404">
        <v>-3.4171819999999999E-2</v>
      </c>
      <c r="U5404">
        <v>0.25596619999999998</v>
      </c>
      <c r="V5404">
        <v>-4.4221730000000001E-2</v>
      </c>
      <c r="W5404">
        <v>0.1593608</v>
      </c>
      <c r="X5404">
        <v>0.98622949999999998</v>
      </c>
      <c r="Y5404">
        <v>-7.4431919999999999E-2</v>
      </c>
      <c r="Z5404">
        <v>9.7640610000000001E-4</v>
      </c>
      <c r="AA5404">
        <v>0.99722560000000005</v>
      </c>
      <c r="AB5404">
        <v>32</v>
      </c>
      <c r="AC5404">
        <v>99.058000000000007</v>
      </c>
      <c r="AD5404">
        <v>-1.1214828880650001</v>
      </c>
      <c r="AE5404">
        <v>8.3973999999999993</v>
      </c>
      <c r="AF5404">
        <v>-7.4233303028245796</v>
      </c>
      <c r="AG5404">
        <v>-1.1214828880650001</v>
      </c>
      <c r="AH5404">
        <v>99.123069415429001</v>
      </c>
      <c r="AI5404">
        <v>90.646409370927998</v>
      </c>
      <c r="AJ5404">
        <v>94.282888084152006</v>
      </c>
      <c r="AK5404">
        <v>99.406973834781894</v>
      </c>
      <c r="AL5404">
        <v>80.8302035174476</v>
      </c>
      <c r="AM5404">
        <v>92.567376537606606</v>
      </c>
      <c r="AN5404">
        <v>1.00000002632554</v>
      </c>
    </row>
    <row r="5405" spans="1:40" x14ac:dyDescent="0.25">
      <c r="A5405" t="str">
        <f>"20190303162020003"</f>
        <v>20190303162020003</v>
      </c>
      <c r="B5405" t="str">
        <f>"1551601219998066"</f>
        <v>1551601219998066</v>
      </c>
      <c r="C5405" t="s">
        <v>40</v>
      </c>
      <c r="D5405">
        <v>4.5625530000000003</v>
      </c>
      <c r="E5405">
        <v>0.48770010000000003</v>
      </c>
      <c r="F5405" t="s">
        <v>49</v>
      </c>
      <c r="G5405">
        <v>-191.25960000000001</v>
      </c>
      <c r="H5405" s="1">
        <v>2.090381E-6</v>
      </c>
      <c r="I5405">
        <v>223.0496</v>
      </c>
      <c r="J5405">
        <v>-287.26839999999999</v>
      </c>
      <c r="K5405">
        <v>1.121483</v>
      </c>
      <c r="L5405">
        <v>214.89070000000001</v>
      </c>
      <c r="M5405">
        <v>0.9998513</v>
      </c>
      <c r="N5405">
        <v>-1.4176630000000001E-2</v>
      </c>
      <c r="O5405">
        <v>9.8156609999999998E-3</v>
      </c>
      <c r="P5405">
        <v>0.98797939999999995</v>
      </c>
      <c r="Q5405">
        <v>0.1449241</v>
      </c>
      <c r="R5405">
        <v>5.3796190000000001E-2</v>
      </c>
      <c r="S5405">
        <v>3.0278930000000002</v>
      </c>
      <c r="T5405">
        <v>-3.5249830000000003E-2</v>
      </c>
      <c r="U5405">
        <v>0.256546</v>
      </c>
      <c r="V5405">
        <v>-4.4091310000000002E-2</v>
      </c>
      <c r="W5405">
        <v>0.15892390000000001</v>
      </c>
      <c r="X5405">
        <v>0.98630580000000001</v>
      </c>
      <c r="Y5405">
        <v>-7.4628269999999997E-2</v>
      </c>
      <c r="Z5405">
        <v>9.8848820000000011E-4</v>
      </c>
      <c r="AA5405">
        <v>0.99721090000000001</v>
      </c>
      <c r="AB5405">
        <v>32</v>
      </c>
      <c r="AC5405">
        <v>96.008799999999894</v>
      </c>
      <c r="AD5405">
        <v>-1.1214809096189999</v>
      </c>
      <c r="AE5405">
        <v>8.1588999999999796</v>
      </c>
      <c r="AF5405">
        <v>-7.2150448877351501</v>
      </c>
      <c r="AG5405">
        <v>-1.1214809096189999</v>
      </c>
      <c r="AH5405">
        <v>96.071252339638207</v>
      </c>
      <c r="AI5405">
        <v>90.666929836530201</v>
      </c>
      <c r="AJ5405">
        <v>94.294906465103494</v>
      </c>
      <c r="AK5405">
        <v>96.348327013337993</v>
      </c>
      <c r="AL5405">
        <v>80.855558852940305</v>
      </c>
      <c r="AM5405">
        <v>92.559617081086898</v>
      </c>
      <c r="AN5405">
        <v>0.99999999036118303</v>
      </c>
    </row>
    <row r="5406" spans="1:40" x14ac:dyDescent="0.25">
      <c r="A5406" t="str">
        <f>"20190303162020027"</f>
        <v>20190303162020027</v>
      </c>
      <c r="B5406" t="str">
        <f>"1551601220017587"</f>
        <v>1551601220017587</v>
      </c>
      <c r="C5406" t="s">
        <v>40</v>
      </c>
      <c r="D5406">
        <v>4.5614850000000002</v>
      </c>
      <c r="E5406">
        <v>0.48755799999999999</v>
      </c>
      <c r="F5406" t="s">
        <v>49</v>
      </c>
      <c r="G5406">
        <v>-201.9974</v>
      </c>
      <c r="H5406">
        <v>8.0000080000000001E-2</v>
      </c>
      <c r="I5406">
        <v>222.0881</v>
      </c>
      <c r="J5406">
        <v>-286.94459999999998</v>
      </c>
      <c r="K5406">
        <v>1.1214820000000001</v>
      </c>
      <c r="L5406">
        <v>214.8939</v>
      </c>
      <c r="M5406">
        <v>0.9998515</v>
      </c>
      <c r="N5406">
        <v>-1.4172580000000001E-2</v>
      </c>
      <c r="O5406">
        <v>9.8131580000000006E-3</v>
      </c>
      <c r="P5406">
        <v>0.98793209999999998</v>
      </c>
      <c r="Q5406">
        <v>0.1449973</v>
      </c>
      <c r="R5406">
        <v>5.4462530000000002E-2</v>
      </c>
      <c r="S5406">
        <v>3.0280459999999998</v>
      </c>
      <c r="T5406">
        <v>-3.6983969999999998E-2</v>
      </c>
      <c r="U5406">
        <v>0.2555847</v>
      </c>
      <c r="V5406">
        <v>-4.4759109999999998E-2</v>
      </c>
      <c r="W5406">
        <v>0.15899260000000001</v>
      </c>
      <c r="X5406">
        <v>0.98626460000000005</v>
      </c>
      <c r="Y5406">
        <v>-7.4311440000000006E-2</v>
      </c>
      <c r="Z5406">
        <v>9.9981589999999991E-4</v>
      </c>
      <c r="AA5406">
        <v>0.99723459999999997</v>
      </c>
      <c r="AB5406">
        <v>32</v>
      </c>
      <c r="AC5406">
        <v>84.947199999999896</v>
      </c>
      <c r="AD5406">
        <v>-1.0414819199999901</v>
      </c>
      <c r="AE5406">
        <v>7.1941999999999897</v>
      </c>
      <c r="AF5406">
        <v>-6.3592204914906398</v>
      </c>
      <c r="AG5406">
        <v>-1.0414819199999901</v>
      </c>
      <c r="AH5406">
        <v>85.001027832595994</v>
      </c>
      <c r="AI5406">
        <v>90.700029889544993</v>
      </c>
      <c r="AJ5406">
        <v>94.278524671845801</v>
      </c>
      <c r="AK5406">
        <v>85.244935934323095</v>
      </c>
      <c r="AL5406">
        <v>80.851571503455304</v>
      </c>
      <c r="AM5406">
        <v>92.598440294659696</v>
      </c>
      <c r="AN5406">
        <v>0.99999994299795403</v>
      </c>
    </row>
    <row r="5407" spans="1:40" x14ac:dyDescent="0.25">
      <c r="A5407" t="str">
        <f>"20190303162020048"</f>
        <v>20190303162020048</v>
      </c>
      <c r="B5407" t="str">
        <f>"1551601220038082"</f>
        <v>1551601220038082</v>
      </c>
      <c r="C5407" t="s">
        <v>40</v>
      </c>
      <c r="D5407">
        <v>4.5958819999999996</v>
      </c>
      <c r="E5407">
        <v>0.48750100000000002</v>
      </c>
      <c r="F5407" t="s">
        <v>49</v>
      </c>
      <c r="G5407">
        <v>-200.73849999999999</v>
      </c>
      <c r="H5407">
        <v>8.0000080000000001E-2</v>
      </c>
      <c r="I5407">
        <v>222.26220000000001</v>
      </c>
      <c r="J5407">
        <v>-286.62720000000002</v>
      </c>
      <c r="K5407">
        <v>1.1214789999999999</v>
      </c>
      <c r="L5407">
        <v>214.89699999999999</v>
      </c>
      <c r="M5407">
        <v>0.9998515</v>
      </c>
      <c r="N5407">
        <v>-1.4168729999999999E-2</v>
      </c>
      <c r="O5407">
        <v>9.8117949999999999E-3</v>
      </c>
      <c r="P5407">
        <v>0.98795259999999996</v>
      </c>
      <c r="Q5407">
        <v>0.14470820000000001</v>
      </c>
      <c r="R5407">
        <v>5.4857929999999999E-2</v>
      </c>
      <c r="S5407">
        <v>3.0277400000000001</v>
      </c>
      <c r="T5407">
        <v>-3.6579010000000002E-2</v>
      </c>
      <c r="U5407">
        <v>0.25878909999999999</v>
      </c>
      <c r="V5407">
        <v>-4.5155359999999999E-2</v>
      </c>
      <c r="W5407">
        <v>0.15870020000000001</v>
      </c>
      <c r="X5407">
        <v>0.98629370000000005</v>
      </c>
      <c r="Y5407">
        <v>-7.5369039999999998E-2</v>
      </c>
      <c r="Z5407">
        <v>1.009902E-3</v>
      </c>
      <c r="AA5407">
        <v>0.99715520000000002</v>
      </c>
      <c r="AB5407">
        <v>32</v>
      </c>
      <c r="AC5407">
        <v>85.8887</v>
      </c>
      <c r="AD5407">
        <v>-1.0414789200000001</v>
      </c>
      <c r="AE5407">
        <v>7.3651999999999802</v>
      </c>
      <c r="AF5407">
        <v>-6.5210866450087899</v>
      </c>
      <c r="AG5407">
        <v>-1.0414789200000001</v>
      </c>
      <c r="AH5407">
        <v>85.9442930385582</v>
      </c>
      <c r="AI5407">
        <v>90.692290509704705</v>
      </c>
      <c r="AJ5407">
        <v>94.339045476446003</v>
      </c>
      <c r="AK5407">
        <v>86.197626157975407</v>
      </c>
      <c r="AL5407">
        <v>80.868540866607901</v>
      </c>
      <c r="AM5407">
        <v>92.621334963638006</v>
      </c>
      <c r="AN5407">
        <v>1.0000000113382299</v>
      </c>
    </row>
    <row r="5408" spans="1:40" x14ac:dyDescent="0.25">
      <c r="A5408" t="str">
        <f>"20190303162020072"</f>
        <v>20190303162020072</v>
      </c>
      <c r="B5408" t="str">
        <f>"1551601220057603"</f>
        <v>1551601220057603</v>
      </c>
      <c r="C5408" t="s">
        <v>40</v>
      </c>
      <c r="D5408">
        <v>4.630922</v>
      </c>
      <c r="E5408">
        <v>0.48734840000000001</v>
      </c>
      <c r="F5408" t="s">
        <v>49</v>
      </c>
      <c r="G5408">
        <v>-200.85249999999999</v>
      </c>
      <c r="H5408">
        <v>8.0000080000000001E-2</v>
      </c>
      <c r="I5408">
        <v>222.2723</v>
      </c>
      <c r="J5408">
        <v>-286.29349999999999</v>
      </c>
      <c r="K5408">
        <v>1.1214729999999999</v>
      </c>
      <c r="L5408">
        <v>214.90029999999999</v>
      </c>
      <c r="M5408">
        <v>0.9998515</v>
      </c>
      <c r="N5408">
        <v>-1.416482E-2</v>
      </c>
      <c r="O5408">
        <v>9.8111550000000002E-3</v>
      </c>
      <c r="P5408">
        <v>0.98794329999999997</v>
      </c>
      <c r="Q5408">
        <v>0.14449779999999901</v>
      </c>
      <c r="R5408">
        <v>5.5574400000000003E-2</v>
      </c>
      <c r="S5408">
        <v>3.0274960000000002</v>
      </c>
      <c r="T5408">
        <v>-3.6759970000000003E-2</v>
      </c>
      <c r="U5408">
        <v>0.26031490000000002</v>
      </c>
      <c r="V5408">
        <v>-4.5871799999999997E-2</v>
      </c>
      <c r="W5408">
        <v>0.1584865</v>
      </c>
      <c r="X5408">
        <v>0.98629500000000003</v>
      </c>
      <c r="Y5408">
        <v>-7.5875219999999993E-2</v>
      </c>
      <c r="Z5408">
        <v>1.0180650000000001E-3</v>
      </c>
      <c r="AA5408">
        <v>0.99711680000000003</v>
      </c>
      <c r="AB5408">
        <v>32</v>
      </c>
      <c r="AC5408">
        <v>85.441000000000003</v>
      </c>
      <c r="AD5408">
        <v>-1.0414729199999999</v>
      </c>
      <c r="AE5408">
        <v>7.3720000000000097</v>
      </c>
      <c r="AF5408">
        <v>-6.5323226674759098</v>
      </c>
      <c r="AG5408">
        <v>-1.0414729199999999</v>
      </c>
      <c r="AH5408">
        <v>85.496612644577795</v>
      </c>
      <c r="AI5408">
        <v>90.6958832908511</v>
      </c>
      <c r="AJ5408">
        <v>94.369164514341605</v>
      </c>
      <c r="AK5408">
        <v>85.752123466256506</v>
      </c>
      <c r="AL5408">
        <v>80.880941909001805</v>
      </c>
      <c r="AM5408">
        <v>92.662862455218303</v>
      </c>
      <c r="AN5408">
        <v>1.00000000987124</v>
      </c>
    </row>
    <row r="5409" spans="1:40" x14ac:dyDescent="0.25">
      <c r="A5409" t="str">
        <f>"20190303162020096"</f>
        <v>20190303162020096</v>
      </c>
      <c r="B5409" t="str">
        <f>"1551601220087859"</f>
        <v>1551601220087859</v>
      </c>
      <c r="C5409" t="s">
        <v>40</v>
      </c>
      <c r="D5409">
        <v>4.6555229999999996</v>
      </c>
      <c r="E5409">
        <v>0.48746729999999999</v>
      </c>
      <c r="F5409" t="s">
        <v>49</v>
      </c>
      <c r="G5409">
        <v>-200.7663</v>
      </c>
      <c r="H5409">
        <v>8.0000080000000001E-2</v>
      </c>
      <c r="I5409">
        <v>222.34950000000001</v>
      </c>
      <c r="J5409">
        <v>-285.94479999999999</v>
      </c>
      <c r="K5409">
        <v>1.121469</v>
      </c>
      <c r="L5409">
        <v>214.90379999999999</v>
      </c>
      <c r="M5409">
        <v>0.99985159999999995</v>
      </c>
      <c r="N5409">
        <v>-1.4160849999999999E-2</v>
      </c>
      <c r="O5409">
        <v>9.8109970000000001E-3</v>
      </c>
      <c r="P5409">
        <v>0.98788920000000002</v>
      </c>
      <c r="Q5409">
        <v>0.1447552</v>
      </c>
      <c r="R5409">
        <v>5.5864700000000003E-2</v>
      </c>
      <c r="S5409">
        <v>3.027161</v>
      </c>
      <c r="T5409">
        <v>-3.6862020000000002E-2</v>
      </c>
      <c r="U5409">
        <v>0.26365660000000002</v>
      </c>
      <c r="V5409">
        <v>-4.61629E-2</v>
      </c>
      <c r="W5409">
        <v>0.15873880000000001</v>
      </c>
      <c r="X5409">
        <v>0.98624080000000003</v>
      </c>
      <c r="Y5409">
        <v>-7.6977069999999995E-2</v>
      </c>
      <c r="Z5409">
        <v>1.0333759999999999E-3</v>
      </c>
      <c r="AA5409">
        <v>0.99703229999999998</v>
      </c>
      <c r="AB5409">
        <v>32</v>
      </c>
      <c r="AC5409">
        <v>85.1784999999999</v>
      </c>
      <c r="AD5409">
        <v>-1.04146892</v>
      </c>
      <c r="AE5409">
        <v>7.4457000000000102</v>
      </c>
      <c r="AF5409">
        <v>-6.6085912935370201</v>
      </c>
      <c r="AG5409">
        <v>-1.04146892</v>
      </c>
      <c r="AH5409">
        <v>85.234810960706199</v>
      </c>
      <c r="AI5409">
        <v>90.697957512170603</v>
      </c>
      <c r="AJ5409">
        <v>94.433498103947798</v>
      </c>
      <c r="AK5409">
        <v>85.496965653195304</v>
      </c>
      <c r="AL5409">
        <v>80.866300453200196</v>
      </c>
      <c r="AM5409">
        <v>92.679883337175994</v>
      </c>
      <c r="AN5409">
        <v>0.99999996777324396</v>
      </c>
    </row>
    <row r="5410" spans="1:40" x14ac:dyDescent="0.25">
      <c r="A5410" t="str">
        <f>"20190303162020116"</f>
        <v>20190303162020116</v>
      </c>
      <c r="B5410" t="str">
        <f>"1551601220107379"</f>
        <v>1551601220107379</v>
      </c>
      <c r="C5410" t="s">
        <v>40</v>
      </c>
      <c r="D5410">
        <v>4.5622059999999998</v>
      </c>
      <c r="E5410">
        <v>0.48726199999999997</v>
      </c>
      <c r="F5410" t="s">
        <v>49</v>
      </c>
      <c r="G5410">
        <v>-203.24299999999999</v>
      </c>
      <c r="H5410">
        <v>8.000003E-2</v>
      </c>
      <c r="I5410">
        <v>222.11070000000001</v>
      </c>
      <c r="J5410">
        <v>-285.66300000000001</v>
      </c>
      <c r="K5410">
        <v>1.121467</v>
      </c>
      <c r="L5410">
        <v>214.90649999999999</v>
      </c>
      <c r="M5410">
        <v>0.99985170000000001</v>
      </c>
      <c r="N5410">
        <v>-1.415774E-2</v>
      </c>
      <c r="O5410">
        <v>9.8099950000000002E-3</v>
      </c>
      <c r="P5410">
        <v>0.98787930000000002</v>
      </c>
      <c r="Q5410">
        <v>0.14465629999999999</v>
      </c>
      <c r="R5410">
        <v>5.6295199999999997E-2</v>
      </c>
      <c r="S5410">
        <v>3.027466</v>
      </c>
      <c r="T5410">
        <v>-3.8125039999999999E-2</v>
      </c>
      <c r="U5410">
        <v>0.26382450000000002</v>
      </c>
      <c r="V5410">
        <v>-4.6594440000000001E-2</v>
      </c>
      <c r="W5410">
        <v>0.15863669999999999</v>
      </c>
      <c r="X5410">
        <v>0.98623700000000003</v>
      </c>
      <c r="Y5410">
        <v>-7.7023629999999996E-2</v>
      </c>
      <c r="Z5410">
        <v>1.0457540000000001E-3</v>
      </c>
      <c r="AA5410">
        <v>0.99702869999999999</v>
      </c>
      <c r="AB5410">
        <v>32</v>
      </c>
      <c r="AC5410">
        <v>82.42</v>
      </c>
      <c r="AD5410">
        <v>-1.0414669700000001</v>
      </c>
      <c r="AE5410">
        <v>7.2042000000000099</v>
      </c>
      <c r="AF5410">
        <v>-6.3942192487203302</v>
      </c>
      <c r="AG5410">
        <v>-1.0414669700000001</v>
      </c>
      <c r="AH5410">
        <v>82.473644677887705</v>
      </c>
      <c r="AI5410">
        <v>90.721321109836893</v>
      </c>
      <c r="AJ5410">
        <v>94.433299272790606</v>
      </c>
      <c r="AK5410">
        <v>82.727702492603896</v>
      </c>
      <c r="AL5410">
        <v>80.872226022916607</v>
      </c>
      <c r="AM5410">
        <v>92.704908793558303</v>
      </c>
      <c r="AN5410">
        <v>1.0000000322974001</v>
      </c>
    </row>
    <row r="5411" spans="1:40" x14ac:dyDescent="0.25">
      <c r="A5411" t="str">
        <f>"20190303162020137"</f>
        <v>20190303162020137</v>
      </c>
      <c r="B5411" t="str">
        <f>"1551601220127875"</f>
        <v>1551601220127875</v>
      </c>
      <c r="C5411" t="s">
        <v>40</v>
      </c>
      <c r="D5411">
        <v>4.8408089999999904</v>
      </c>
      <c r="E5411">
        <v>0.4870314</v>
      </c>
      <c r="F5411" t="s">
        <v>49</v>
      </c>
      <c r="G5411">
        <v>-192.51159999999999</v>
      </c>
      <c r="H5411" s="1">
        <v>1.8511120000000001E-6</v>
      </c>
      <c r="I5411">
        <v>223.09829999999999</v>
      </c>
      <c r="J5411">
        <v>-285.35680000000002</v>
      </c>
      <c r="K5411">
        <v>1.1214759999999999</v>
      </c>
      <c r="L5411">
        <v>214.90950000000001</v>
      </c>
      <c r="M5411">
        <v>0.99985179999999996</v>
      </c>
      <c r="N5411">
        <v>-1.4154409999999999E-2</v>
      </c>
      <c r="O5411">
        <v>9.8046120000000007E-3</v>
      </c>
      <c r="P5411">
        <v>0.9878325</v>
      </c>
      <c r="Q5411">
        <v>0.14461669999999999</v>
      </c>
      <c r="R5411">
        <v>5.7211690000000003E-2</v>
      </c>
      <c r="S5411">
        <v>3.0269469999999998</v>
      </c>
      <c r="T5411">
        <v>-3.6441920000000003E-2</v>
      </c>
      <c r="U5411">
        <v>0.26618960000000003</v>
      </c>
      <c r="V5411">
        <v>-4.7516030000000001E-2</v>
      </c>
      <c r="W5411">
        <v>0.15859379999999901</v>
      </c>
      <c r="X5411">
        <v>0.98619990000000002</v>
      </c>
      <c r="Y5411">
        <v>-7.7817549999999999E-2</v>
      </c>
      <c r="Z5411">
        <v>1.0401150000000001E-3</v>
      </c>
      <c r="AA5411">
        <v>0.99696709999999999</v>
      </c>
      <c r="AB5411">
        <v>32</v>
      </c>
      <c r="AC5411">
        <v>92.845200000000006</v>
      </c>
      <c r="AD5411">
        <v>-1.121474148888</v>
      </c>
      <c r="AE5411">
        <v>8.1887999999999792</v>
      </c>
      <c r="AF5411">
        <v>-7.2769504734014898</v>
      </c>
      <c r="AG5411">
        <v>-1.121474148888</v>
      </c>
      <c r="AH5411">
        <v>92.907581703014699</v>
      </c>
      <c r="AI5411">
        <v>90.689464178385606</v>
      </c>
      <c r="AJ5411">
        <v>94.4785265413893</v>
      </c>
      <c r="AK5411">
        <v>93.198875799879204</v>
      </c>
      <c r="AL5411">
        <v>80.874715273134399</v>
      </c>
      <c r="AM5411">
        <v>92.758430881902399</v>
      </c>
      <c r="AN5411">
        <v>1.0000000046327</v>
      </c>
    </row>
    <row r="5412" spans="1:40" x14ac:dyDescent="0.25">
      <c r="A5412" t="str">
        <f>"20190303162020161"</f>
        <v>20190303162020161</v>
      </c>
      <c r="B5412" t="str">
        <f>"1551601220147394"</f>
        <v>1551601220147394</v>
      </c>
      <c r="C5412" t="s">
        <v>40</v>
      </c>
      <c r="D5412">
        <v>4.8414910000000004</v>
      </c>
      <c r="E5412">
        <v>0.48686790000000002</v>
      </c>
      <c r="F5412" t="s">
        <v>49</v>
      </c>
      <c r="G5412">
        <v>-190.20869999999999</v>
      </c>
      <c r="H5412" s="1">
        <v>2.142975E-6</v>
      </c>
      <c r="I5412">
        <v>223.4282</v>
      </c>
      <c r="J5412">
        <v>-285.03100000000001</v>
      </c>
      <c r="K5412">
        <v>1.1214759999999999</v>
      </c>
      <c r="L5412">
        <v>214.9128</v>
      </c>
      <c r="M5412">
        <v>0.99985190000000002</v>
      </c>
      <c r="N5412">
        <v>-1.4150950000000001E-2</v>
      </c>
      <c r="O5412">
        <v>9.7898080000000005E-3</v>
      </c>
      <c r="P5412">
        <v>0.98774899999999999</v>
      </c>
      <c r="Q5412">
        <v>0.1449252</v>
      </c>
      <c r="R5412">
        <v>5.7864890000000002E-2</v>
      </c>
      <c r="S5412">
        <v>3.0265200000000001</v>
      </c>
      <c r="T5412">
        <v>-3.5672429999999998E-2</v>
      </c>
      <c r="U5412">
        <v>0.27096559999999997</v>
      </c>
      <c r="V5412">
        <v>-4.8181849999999998E-2</v>
      </c>
      <c r="W5412">
        <v>0.15889890000000001</v>
      </c>
      <c r="X5412">
        <v>0.98611850000000001</v>
      </c>
      <c r="Y5412">
        <v>-7.9405610000000001E-2</v>
      </c>
      <c r="Z5412">
        <v>1.053179E-3</v>
      </c>
      <c r="AA5412">
        <v>0.9968418</v>
      </c>
      <c r="AB5412">
        <v>32</v>
      </c>
      <c r="AC5412">
        <v>94.822299999999998</v>
      </c>
      <c r="AD5412">
        <v>-1.121473857025</v>
      </c>
      <c r="AE5412">
        <v>8.5153999999999996</v>
      </c>
      <c r="AF5412">
        <v>-7.5855541552557302</v>
      </c>
      <c r="AG5412">
        <v>-1.121473857025</v>
      </c>
      <c r="AH5412">
        <v>94.887960768736505</v>
      </c>
      <c r="AI5412">
        <v>90.674989879076094</v>
      </c>
      <c r="AJ5412">
        <v>94.570631699517193</v>
      </c>
      <c r="AK5412">
        <v>95.197286906211701</v>
      </c>
      <c r="AL5412">
        <v>80.857009989564503</v>
      </c>
      <c r="AM5412">
        <v>92.797253048180195</v>
      </c>
      <c r="AN5412">
        <v>1.0000000235664399</v>
      </c>
    </row>
    <row r="5413" spans="1:40" x14ac:dyDescent="0.25">
      <c r="A5413" t="str">
        <f>"20190303162020182"</f>
        <v>20190303162020182</v>
      </c>
      <c r="B5413" t="str">
        <f>"1551601220167891"</f>
        <v>1551601220167891</v>
      </c>
      <c r="C5413" t="s">
        <v>40</v>
      </c>
      <c r="D5413">
        <v>4.7514000000000003</v>
      </c>
      <c r="E5413">
        <v>0.48674840000000003</v>
      </c>
      <c r="F5413" t="s">
        <v>49</v>
      </c>
      <c r="G5413">
        <v>-184.55240000000001</v>
      </c>
      <c r="H5413" s="1">
        <v>1.49459E-6</v>
      </c>
      <c r="I5413">
        <v>224.03210000000001</v>
      </c>
      <c r="J5413">
        <v>-284.71589999999998</v>
      </c>
      <c r="K5413">
        <v>1.1214630000000001</v>
      </c>
      <c r="L5413">
        <v>214.91579999999999</v>
      </c>
      <c r="M5413">
        <v>0.99985250000000003</v>
      </c>
      <c r="N5413">
        <v>-1.414764E-2</v>
      </c>
      <c r="O5413">
        <v>9.7614669999999994E-3</v>
      </c>
      <c r="P5413">
        <v>0.98777689999999996</v>
      </c>
      <c r="Q5413">
        <v>0.1446984</v>
      </c>
      <c r="R5413">
        <v>5.7960959999999999E-2</v>
      </c>
      <c r="S5413">
        <v>3.026062</v>
      </c>
      <c r="T5413">
        <v>-3.3774850000000002E-2</v>
      </c>
      <c r="U5413">
        <v>0.27464290000000002</v>
      </c>
      <c r="V5413">
        <v>-4.8301669999999998E-2</v>
      </c>
      <c r="W5413">
        <v>0.15867010000000001</v>
      </c>
      <c r="X5413">
        <v>0.98614939999999995</v>
      </c>
      <c r="Y5413">
        <v>-8.0649600000000002E-2</v>
      </c>
      <c r="Z5413">
        <v>1.050013E-3</v>
      </c>
      <c r="AA5413">
        <v>0.99674200000000002</v>
      </c>
      <c r="AB5413">
        <v>32</v>
      </c>
      <c r="AC5413">
        <v>100.163499999999</v>
      </c>
      <c r="AD5413">
        <v>-1.1214615054099999</v>
      </c>
      <c r="AE5413">
        <v>9.1163000000000203</v>
      </c>
      <c r="AF5413">
        <v>-8.1370135815220799</v>
      </c>
      <c r="AG5413">
        <v>-1.1214615054099999</v>
      </c>
      <c r="AH5413">
        <v>100.23526218407901</v>
      </c>
      <c r="AI5413">
        <v>90.638913630234299</v>
      </c>
      <c r="AJ5413">
        <v>94.641045731620693</v>
      </c>
      <c r="AK5413">
        <v>100.571250618877</v>
      </c>
      <c r="AL5413">
        <v>80.870286996161695</v>
      </c>
      <c r="AM5413">
        <v>92.804110520899101</v>
      </c>
      <c r="AN5413">
        <v>0.99999994553957705</v>
      </c>
    </row>
    <row r="5414" spans="1:40" x14ac:dyDescent="0.25">
      <c r="A5414" t="str">
        <f>"20190303162020205"</f>
        <v>20190303162020205</v>
      </c>
      <c r="B5414" t="str">
        <f>"1551601220198146"</f>
        <v>1551601220198146</v>
      </c>
      <c r="C5414" t="s">
        <v>40</v>
      </c>
      <c r="D5414">
        <v>4.835089</v>
      </c>
      <c r="E5414">
        <v>0.52102329999999997</v>
      </c>
      <c r="F5414" t="s">
        <v>49</v>
      </c>
      <c r="G5414">
        <v>-183.32230000000001</v>
      </c>
      <c r="H5414" s="1">
        <v>1.3381960000000001E-6</v>
      </c>
      <c r="I5414">
        <v>224.16589999999999</v>
      </c>
      <c r="J5414">
        <v>-284.38819999999998</v>
      </c>
      <c r="K5414">
        <v>1.121456</v>
      </c>
      <c r="L5414">
        <v>214.91900000000001</v>
      </c>
      <c r="M5414">
        <v>0.99985279999999999</v>
      </c>
      <c r="N5414">
        <v>-1.4144220000000001E-2</v>
      </c>
      <c r="O5414">
        <v>9.713078E-3</v>
      </c>
      <c r="P5414">
        <v>0.98784320000000003</v>
      </c>
      <c r="Q5414">
        <v>0.1442571</v>
      </c>
      <c r="R5414">
        <v>5.7931749999999997E-2</v>
      </c>
      <c r="S5414">
        <v>3.0258479999999999</v>
      </c>
      <c r="T5414">
        <v>-3.3467289999999997E-2</v>
      </c>
      <c r="U5414">
        <v>0.27604679999999998</v>
      </c>
      <c r="V5414">
        <v>-4.8314080000000002E-2</v>
      </c>
      <c r="W5414">
        <v>0.15822800000000001</v>
      </c>
      <c r="X5414">
        <v>0.98621990000000004</v>
      </c>
      <c r="Y5414">
        <v>-8.1162860000000003E-2</v>
      </c>
      <c r="Z5414">
        <v>1.053088E-3</v>
      </c>
      <c r="AA5414">
        <v>0.99670029999999998</v>
      </c>
      <c r="AB5414">
        <v>32</v>
      </c>
      <c r="AC5414">
        <v>101.065899999999</v>
      </c>
      <c r="AD5414">
        <v>-1.121454661804</v>
      </c>
      <c r="AE5414">
        <v>9.2468999999999806</v>
      </c>
      <c r="AF5414">
        <v>-8.2636955013827897</v>
      </c>
      <c r="AG5414">
        <v>-1.121454661804</v>
      </c>
      <c r="AH5414">
        <v>101.138606766104</v>
      </c>
      <c r="AI5414">
        <v>90.633176597071497</v>
      </c>
      <c r="AJ5414">
        <v>94.671069292920393</v>
      </c>
      <c r="AK5414">
        <v>101.481841245056</v>
      </c>
      <c r="AL5414">
        <v>80.895942242343693</v>
      </c>
      <c r="AM5414">
        <v>92.804629638784803</v>
      </c>
      <c r="AN5414">
        <v>1.0000000207331201</v>
      </c>
    </row>
    <row r="5415" spans="1:40" x14ac:dyDescent="0.25">
      <c r="A5415" t="str">
        <f>"20190303162020226"</f>
        <v>20190303162020226</v>
      </c>
      <c r="B5415" t="str">
        <f>"1551601220217667"</f>
        <v>1551601220217667</v>
      </c>
      <c r="C5415" t="s">
        <v>40</v>
      </c>
      <c r="D5415">
        <v>4.856007</v>
      </c>
      <c r="E5415">
        <v>0.53695969999999904</v>
      </c>
      <c r="F5415" t="s">
        <v>67</v>
      </c>
      <c r="G5415">
        <v>-107.39749999999999</v>
      </c>
      <c r="H5415">
        <v>0.89758909999999903</v>
      </c>
      <c r="I5415">
        <v>215.05590000000001</v>
      </c>
      <c r="J5415">
        <v>-284.0865</v>
      </c>
      <c r="K5415">
        <v>1.12144</v>
      </c>
      <c r="L5415">
        <v>214.92179999999999</v>
      </c>
      <c r="M5415">
        <v>0.99985369999999996</v>
      </c>
      <c r="N5415">
        <v>-1.414111E-2</v>
      </c>
      <c r="O5415">
        <v>9.6443880000000003E-3</v>
      </c>
      <c r="P5415">
        <v>0.98785869999999998</v>
      </c>
      <c r="Q5415">
        <v>0.144253399999999</v>
      </c>
      <c r="R5415">
        <v>5.7674759999999999E-2</v>
      </c>
      <c r="S5415">
        <v>3.0373540000000001</v>
      </c>
      <c r="T5415">
        <v>-3.840923E-3</v>
      </c>
      <c r="U5415">
        <v>2.3498540000000002E-3</v>
      </c>
      <c r="V5415">
        <v>-4.8118010000000003E-2</v>
      </c>
      <c r="W5415">
        <v>0.15822329999999901</v>
      </c>
      <c r="X5415">
        <v>0.98623019999999995</v>
      </c>
      <c r="Y5415">
        <v>8.8708480000000006E-3</v>
      </c>
      <c r="Z5415" s="1">
        <v>5.5861530000000002E-5</v>
      </c>
      <c r="AA5415">
        <v>0.99996070000000004</v>
      </c>
      <c r="AB5415">
        <v>32</v>
      </c>
      <c r="AC5415">
        <v>176.68899999999999</v>
      </c>
      <c r="AD5415">
        <v>-0.22385089999999999</v>
      </c>
      <c r="AE5415">
        <v>0.13410000000001701</v>
      </c>
      <c r="AF5415">
        <v>1.5701310491466001</v>
      </c>
      <c r="AG5415">
        <v>-0.22385089999999999</v>
      </c>
      <c r="AH5415">
        <v>176.681790725838</v>
      </c>
      <c r="AI5415">
        <v>90.072589249135405</v>
      </c>
      <c r="AJ5415">
        <v>89.490838790447199</v>
      </c>
      <c r="AK5415">
        <v>176.68890908833399</v>
      </c>
      <c r="AL5415">
        <v>80.8962146075569</v>
      </c>
      <c r="AM5415">
        <v>92.793236722559598</v>
      </c>
      <c r="AN5415">
        <v>0.99999998147064395</v>
      </c>
    </row>
    <row r="5416" spans="1:40" x14ac:dyDescent="0.25">
      <c r="A5416" t="str">
        <f>"20190303162020249"</f>
        <v>20190303162020249</v>
      </c>
      <c r="B5416" t="str">
        <f>"1551601220238163"</f>
        <v>1551601220238163</v>
      </c>
      <c r="C5416" t="s">
        <v>40</v>
      </c>
      <c r="D5416">
        <v>4.8286740000000004</v>
      </c>
      <c r="E5416">
        <v>0.542319199999999</v>
      </c>
      <c r="F5416" t="s">
        <v>49</v>
      </c>
      <c r="G5416">
        <v>-194.94820000000001</v>
      </c>
      <c r="H5416" s="1">
        <v>3.3822489999999999E-6</v>
      </c>
      <c r="I5416">
        <v>211.23759999999999</v>
      </c>
      <c r="J5416">
        <v>-283.76229999999998</v>
      </c>
      <c r="K5416">
        <v>1.121426</v>
      </c>
      <c r="L5416">
        <v>214.92490000000001</v>
      </c>
      <c r="M5416">
        <v>0.99985460000000004</v>
      </c>
      <c r="N5416">
        <v>-1.4137790000000001E-2</v>
      </c>
      <c r="O5416">
        <v>9.5489719999999993E-3</v>
      </c>
      <c r="P5416">
        <v>0.98785520000000004</v>
      </c>
      <c r="Q5416">
        <v>0.1443931</v>
      </c>
      <c r="R5416">
        <v>5.73848E-2</v>
      </c>
      <c r="S5416">
        <v>3.0498349999999999</v>
      </c>
      <c r="T5416">
        <v>-3.8369540000000001E-2</v>
      </c>
      <c r="U5416">
        <v>-0.1260529</v>
      </c>
      <c r="V5416">
        <v>-4.791612E-2</v>
      </c>
      <c r="W5416">
        <v>0.15836169999999999</v>
      </c>
      <c r="X5416">
        <v>0.98621789999999998</v>
      </c>
      <c r="Y5416">
        <v>5.0827129999999998E-2</v>
      </c>
      <c r="Z5416">
        <v>-6.6420520000000003E-4</v>
      </c>
      <c r="AA5416">
        <v>0.99870720000000002</v>
      </c>
      <c r="AB5416">
        <v>32</v>
      </c>
      <c r="AC5416">
        <v>88.814099999999897</v>
      </c>
      <c r="AD5416">
        <v>-1.1214226177509901</v>
      </c>
      <c r="AE5416">
        <v>-3.68730000000002</v>
      </c>
      <c r="AF5416">
        <v>4.5345781454205198</v>
      </c>
      <c r="AG5416">
        <v>-1.1214226177509901</v>
      </c>
      <c r="AH5416">
        <v>88.760709574135902</v>
      </c>
      <c r="AI5416">
        <v>90.722906494934605</v>
      </c>
      <c r="AJ5416">
        <v>87.075434481718602</v>
      </c>
      <c r="AK5416">
        <v>88.8835392620514</v>
      </c>
      <c r="AL5416">
        <v>80.888184381298601</v>
      </c>
      <c r="AM5416">
        <v>92.781570146279293</v>
      </c>
      <c r="AN5416">
        <v>1.0000000644315701</v>
      </c>
    </row>
    <row r="5417" spans="1:40" x14ac:dyDescent="0.25">
      <c r="A5417" t="str">
        <f>"20190303162020273"</f>
        <v>20190303162020273</v>
      </c>
      <c r="B5417" t="str">
        <f>"1551601220257682"</f>
        <v>1551601220257682</v>
      </c>
      <c r="C5417" t="s">
        <v>40</v>
      </c>
      <c r="D5417">
        <v>4.7498149999999999</v>
      </c>
      <c r="E5417">
        <v>0.54549150000000002</v>
      </c>
      <c r="F5417" t="s">
        <v>52</v>
      </c>
      <c r="G5417">
        <v>-220.9759</v>
      </c>
      <c r="H5417" s="1">
        <v>-8.7843310000000003E-7</v>
      </c>
      <c r="I5417">
        <v>211.43610000000001</v>
      </c>
      <c r="J5417">
        <v>-283.43619999999999</v>
      </c>
      <c r="K5417">
        <v>1.121408</v>
      </c>
      <c r="L5417">
        <v>214.92789999999999</v>
      </c>
      <c r="M5417">
        <v>0.99985570000000001</v>
      </c>
      <c r="N5417">
        <v>-1.4134499999999999E-2</v>
      </c>
      <c r="O5417">
        <v>9.4293629999999996E-3</v>
      </c>
      <c r="P5417">
        <v>0.98792259999999998</v>
      </c>
      <c r="Q5417">
        <v>0.1441569</v>
      </c>
      <c r="R5417">
        <v>5.6815150000000002E-2</v>
      </c>
      <c r="S5417">
        <v>3.0547179999999998</v>
      </c>
      <c r="T5417">
        <v>-5.4560299999999999E-2</v>
      </c>
      <c r="U5417">
        <v>-0.1697388</v>
      </c>
      <c r="V5417">
        <v>-4.745709E-2</v>
      </c>
      <c r="W5417">
        <v>0.15812490000000001</v>
      </c>
      <c r="X5417">
        <v>0.98627799999999999</v>
      </c>
      <c r="Y5417">
        <v>6.4875260000000004E-2</v>
      </c>
      <c r="Z5417">
        <v>-1.0729170000000001E-3</v>
      </c>
      <c r="AA5417">
        <v>0.99789280000000002</v>
      </c>
      <c r="AB5417">
        <v>32</v>
      </c>
      <c r="AC5417">
        <v>62.460299999999897</v>
      </c>
      <c r="AD5417">
        <v>-1.1214088784331</v>
      </c>
      <c r="AE5417">
        <v>-3.49179999999998</v>
      </c>
      <c r="AF5417">
        <v>4.07935352185185</v>
      </c>
      <c r="AG5417">
        <v>-1.1214088784331</v>
      </c>
      <c r="AH5417">
        <v>62.404540814109701</v>
      </c>
      <c r="AI5417">
        <v>91.027301584847095</v>
      </c>
      <c r="AJ5417">
        <v>86.259924911274993</v>
      </c>
      <c r="AK5417">
        <v>62.547784910808403</v>
      </c>
      <c r="AL5417">
        <v>80.9019243443812</v>
      </c>
      <c r="AM5417">
        <v>92.754796710137597</v>
      </c>
      <c r="AN5417">
        <v>0.99999997633763804</v>
      </c>
    </row>
    <row r="5418" spans="1:40" x14ac:dyDescent="0.25">
      <c r="A5418" t="str">
        <f>"20190303162020294"</f>
        <v>20190303162020294</v>
      </c>
      <c r="B5418" t="str">
        <f>"1551601220287938"</f>
        <v>1551601220287938</v>
      </c>
      <c r="C5418" t="s">
        <v>40</v>
      </c>
      <c r="D5418">
        <v>4.7971959999999996</v>
      </c>
      <c r="E5418">
        <v>0.54791990000000002</v>
      </c>
      <c r="F5418" t="s">
        <v>52</v>
      </c>
      <c r="G5418">
        <v>-214.89920000000001</v>
      </c>
      <c r="H5418" s="1">
        <v>1.2493770000000001E-6</v>
      </c>
      <c r="I5418">
        <v>210.51949999999999</v>
      </c>
      <c r="J5418">
        <v>-283.12520000000001</v>
      </c>
      <c r="K5418">
        <v>1.1213879999999901</v>
      </c>
      <c r="L5418">
        <v>214.9306</v>
      </c>
      <c r="M5418">
        <v>0.99985710000000005</v>
      </c>
      <c r="N5418">
        <v>-1.4131390000000001E-2</v>
      </c>
      <c r="O5418">
        <v>9.2927229999999993E-3</v>
      </c>
      <c r="P5418">
        <v>0.98797480000000004</v>
      </c>
      <c r="Q5418">
        <v>0.14406389999999999</v>
      </c>
      <c r="R5418">
        <v>5.6138300000000002E-2</v>
      </c>
      <c r="S5418">
        <v>3.0552670000000002</v>
      </c>
      <c r="T5418">
        <v>-4.9990420000000001E-2</v>
      </c>
      <c r="U5418">
        <v>-0.1965179</v>
      </c>
      <c r="V5418">
        <v>-4.6908480000000002E-2</v>
      </c>
      <c r="W5418">
        <v>0.1580317</v>
      </c>
      <c r="X5418">
        <v>0.98631919999999995</v>
      </c>
      <c r="Y5418">
        <v>7.3441809999999996E-2</v>
      </c>
      <c r="Z5418">
        <v>-1.1404220000000001E-3</v>
      </c>
      <c r="AA5418">
        <v>0.99729880000000004</v>
      </c>
      <c r="AB5418">
        <v>32</v>
      </c>
      <c r="AC5418">
        <v>68.225999999999999</v>
      </c>
      <c r="AD5418">
        <v>-1.12138675062299</v>
      </c>
      <c r="AE5418">
        <v>-4.4111000000000002</v>
      </c>
      <c r="AF5418">
        <v>5.0436211641164999</v>
      </c>
      <c r="AG5418">
        <v>-1.12138675062299</v>
      </c>
      <c r="AH5418">
        <v>68.163720283074397</v>
      </c>
      <c r="AI5418">
        <v>90.939940109258899</v>
      </c>
      <c r="AJ5418">
        <v>85.768239285839499</v>
      </c>
      <c r="AK5418">
        <v>68.359259691140593</v>
      </c>
      <c r="AL5418">
        <v>80.907332469669399</v>
      </c>
      <c r="AM5418">
        <v>92.722885547472998</v>
      </c>
      <c r="AN5418">
        <v>0.99999999399471995</v>
      </c>
    </row>
    <row r="5419" spans="1:40" x14ac:dyDescent="0.25">
      <c r="A5419" t="str">
        <f>"20190303162020317"</f>
        <v>20190303162020317</v>
      </c>
      <c r="B5419" t="str">
        <f>"1551601220307460"</f>
        <v>1551601220307460</v>
      </c>
      <c r="C5419" t="s">
        <v>40</v>
      </c>
      <c r="D5419">
        <v>4.7658839999999998</v>
      </c>
      <c r="E5419">
        <v>0.5486048</v>
      </c>
      <c r="F5419" t="s">
        <v>52</v>
      </c>
      <c r="G5419">
        <v>-212.38980000000001</v>
      </c>
      <c r="H5419" s="1">
        <v>-5.8469369999999998E-8</v>
      </c>
      <c r="I5419">
        <v>209.88990000000001</v>
      </c>
      <c r="J5419">
        <v>-282.80529999999999</v>
      </c>
      <c r="K5419">
        <v>1.1213709999999999</v>
      </c>
      <c r="L5419">
        <v>214.93350000000001</v>
      </c>
      <c r="M5419">
        <v>0.99985860000000004</v>
      </c>
      <c r="N5419">
        <v>-1.412823E-2</v>
      </c>
      <c r="O5419">
        <v>9.1333879999999992E-3</v>
      </c>
      <c r="P5419">
        <v>0.98806400000000005</v>
      </c>
      <c r="Q5419">
        <v>0.14403629999999901</v>
      </c>
      <c r="R5419">
        <v>5.4618489999999999E-2</v>
      </c>
      <c r="S5419">
        <v>3.0559690000000002</v>
      </c>
      <c r="T5419">
        <v>-4.8447129999999998E-2</v>
      </c>
      <c r="U5419">
        <v>-0.21777340000000001</v>
      </c>
      <c r="V5419">
        <v>-4.5538629999999997E-2</v>
      </c>
      <c r="W5419">
        <v>0.1580029</v>
      </c>
      <c r="X5419">
        <v>0.98638800000000004</v>
      </c>
      <c r="Y5419">
        <v>8.0170619999999998E-2</v>
      </c>
      <c r="Z5419">
        <v>-1.217526E-3</v>
      </c>
      <c r="AA5419">
        <v>0.99678040000000001</v>
      </c>
      <c r="AB5419">
        <v>32</v>
      </c>
      <c r="AC5419">
        <v>70.415499999999895</v>
      </c>
      <c r="AD5419">
        <v>-1.1213710584693699</v>
      </c>
      <c r="AE5419">
        <v>-5.0435999999999899</v>
      </c>
      <c r="AF5419">
        <v>5.6851513502117603</v>
      </c>
      <c r="AG5419">
        <v>-1.1213710584693699</v>
      </c>
      <c r="AH5419">
        <v>70.348742709050896</v>
      </c>
      <c r="AI5419">
        <v>90.910260179553603</v>
      </c>
      <c r="AJ5419">
        <v>85.379749237980803</v>
      </c>
      <c r="AK5419">
        <v>70.586996108843095</v>
      </c>
      <c r="AL5419">
        <v>80.909003499931501</v>
      </c>
      <c r="AM5419">
        <v>92.643300551245801</v>
      </c>
      <c r="AN5419">
        <v>0.99999998488734299</v>
      </c>
    </row>
    <row r="5420" spans="1:40" x14ac:dyDescent="0.25">
      <c r="A5420" t="str">
        <f>"20190303162020338"</f>
        <v>20190303162020338</v>
      </c>
      <c r="B5420" t="str">
        <f>"1551601220327955"</f>
        <v>1551601220327955</v>
      </c>
      <c r="C5420" t="s">
        <v>40</v>
      </c>
      <c r="D5420">
        <v>4.7929459999999997</v>
      </c>
      <c r="E5420">
        <v>0.54949590000000004</v>
      </c>
      <c r="F5420" t="s">
        <v>52</v>
      </c>
      <c r="G5420">
        <v>-211.37379999999999</v>
      </c>
      <c r="H5420">
        <v>3.085048E-2</v>
      </c>
      <c r="I5420">
        <v>209.6163</v>
      </c>
      <c r="J5420">
        <v>-282.50310000000002</v>
      </c>
      <c r="K5420">
        <v>1.1213569999999999</v>
      </c>
      <c r="L5420">
        <v>214.93600000000001</v>
      </c>
      <c r="M5420">
        <v>0.99986010000000003</v>
      </c>
      <c r="N5420">
        <v>-1.4125270000000001E-2</v>
      </c>
      <c r="O5420">
        <v>8.9700590000000007E-3</v>
      </c>
      <c r="P5420">
        <v>0.98807959999999995</v>
      </c>
      <c r="Q5420">
        <v>0.14461979999999999</v>
      </c>
      <c r="R5420">
        <v>5.276583E-2</v>
      </c>
      <c r="S5420">
        <v>3.0555729999999999</v>
      </c>
      <c r="T5420">
        <v>-4.6648380000000003E-2</v>
      </c>
      <c r="U5420">
        <v>-0.2274475</v>
      </c>
      <c r="V5420">
        <v>-4.3843060000000003E-2</v>
      </c>
      <c r="W5420">
        <v>0.15858439999999999</v>
      </c>
      <c r="X5420">
        <v>0.98637149999999996</v>
      </c>
      <c r="Y5420">
        <v>8.3156190000000005E-2</v>
      </c>
      <c r="Z5420">
        <v>-1.232283E-3</v>
      </c>
      <c r="AA5420">
        <v>0.99653579999999997</v>
      </c>
      <c r="AB5420">
        <v>32</v>
      </c>
      <c r="AC5420">
        <v>71.129300000000001</v>
      </c>
      <c r="AD5420">
        <v>-1.0905065199999999</v>
      </c>
      <c r="AE5420">
        <v>-5.3196999999999797</v>
      </c>
      <c r="AF5420">
        <v>5.9561913364118597</v>
      </c>
      <c r="AG5420">
        <v>-1.0905065199999999</v>
      </c>
      <c r="AH5420">
        <v>71.062104781983194</v>
      </c>
      <c r="AI5420">
        <v>90.8761103367587</v>
      </c>
      <c r="AJ5420">
        <v>85.208855365750594</v>
      </c>
      <c r="AK5420">
        <v>71.319619711210393</v>
      </c>
      <c r="AL5420">
        <v>80.875260538540502</v>
      </c>
      <c r="AM5420">
        <v>92.545055209219697</v>
      </c>
      <c r="AN5420">
        <v>0.999999980922886</v>
      </c>
    </row>
    <row r="5421" spans="1:40" x14ac:dyDescent="0.25">
      <c r="A5421" t="str">
        <f>"20190303162020361"</f>
        <v>20190303162020361</v>
      </c>
      <c r="B5421" t="str">
        <f>"1551601220347474"</f>
        <v>1551601220347474</v>
      </c>
      <c r="C5421" t="s">
        <v>40</v>
      </c>
      <c r="D5421">
        <v>4.793914</v>
      </c>
      <c r="E5421">
        <v>0.54968709999999998</v>
      </c>
      <c r="F5421" t="s">
        <v>52</v>
      </c>
      <c r="G5421">
        <v>-213.1883</v>
      </c>
      <c r="H5421">
        <v>8.0000749999999995E-2</v>
      </c>
      <c r="I5421">
        <v>209.49529999999999</v>
      </c>
      <c r="J5421">
        <v>-282.18169999999998</v>
      </c>
      <c r="K5421">
        <v>1.1213489999999999</v>
      </c>
      <c r="L5421">
        <v>214.93870000000001</v>
      </c>
      <c r="M5421">
        <v>0.99986180000000002</v>
      </c>
      <c r="N5421">
        <v>-1.41221E-2</v>
      </c>
      <c r="O5421">
        <v>8.7881809999999904E-3</v>
      </c>
      <c r="P5421">
        <v>0.98806260000000001</v>
      </c>
      <c r="Q5421">
        <v>0.14525829999999901</v>
      </c>
      <c r="R5421">
        <v>5.130709E-2</v>
      </c>
      <c r="S5421">
        <v>3.0557249999999998</v>
      </c>
      <c r="T5421">
        <v>-4.5907969999999999E-2</v>
      </c>
      <c r="U5421">
        <v>-0.23985290000000001</v>
      </c>
      <c r="V5421">
        <v>-4.2560239999999999E-2</v>
      </c>
      <c r="W5421">
        <v>0.15921950000000001</v>
      </c>
      <c r="X5421">
        <v>0.98632540000000002</v>
      </c>
      <c r="Y5421">
        <v>8.6992379999999994E-2</v>
      </c>
      <c r="Z5421">
        <v>-1.275644E-3</v>
      </c>
      <c r="AA5421">
        <v>0.99620810000000004</v>
      </c>
      <c r="AB5421">
        <v>32</v>
      </c>
      <c r="AC5421">
        <v>68.993399999999895</v>
      </c>
      <c r="AD5421">
        <v>-1.04134825</v>
      </c>
      <c r="AE5421">
        <v>-5.44340000000002</v>
      </c>
      <c r="AF5421">
        <v>6.0482072906980298</v>
      </c>
      <c r="AG5421">
        <v>-1.04134825</v>
      </c>
      <c r="AH5421">
        <v>68.927287482163607</v>
      </c>
      <c r="AI5421">
        <v>90.862241844878199</v>
      </c>
      <c r="AJ5421">
        <v>84.985274387672604</v>
      </c>
      <c r="AK5421">
        <v>69.199972379025198</v>
      </c>
      <c r="AL5421">
        <v>80.838403957112803</v>
      </c>
      <c r="AM5421">
        <v>92.470797515655903</v>
      </c>
      <c r="AN5421">
        <v>1.0000000089471299</v>
      </c>
    </row>
    <row r="5422" spans="1:40" x14ac:dyDescent="0.25">
      <c r="A5422" t="str">
        <f>"20190303162020383"</f>
        <v>20190303162020383</v>
      </c>
      <c r="B5422" t="str">
        <f>"1551601220377730"</f>
        <v>1551601220377730</v>
      </c>
      <c r="C5422" t="s">
        <v>40</v>
      </c>
      <c r="D5422">
        <v>4.840033</v>
      </c>
      <c r="E5422">
        <v>0.54967480000000002</v>
      </c>
      <c r="F5422" t="s">
        <v>52</v>
      </c>
      <c r="G5422">
        <v>-210.04810000000001</v>
      </c>
      <c r="H5422">
        <v>8.0001680000000006E-2</v>
      </c>
      <c r="I5422">
        <v>209.13720000000001</v>
      </c>
      <c r="J5422">
        <v>-281.86750000000001</v>
      </c>
      <c r="K5422">
        <v>1.1213500000000001</v>
      </c>
      <c r="L5422">
        <v>214.94130000000001</v>
      </c>
      <c r="M5422">
        <v>0.99986330000000001</v>
      </c>
      <c r="N5422">
        <v>-1.4119019999999999E-2</v>
      </c>
      <c r="O5422">
        <v>8.6044639999999992E-3</v>
      </c>
      <c r="P5422">
        <v>0.98804979999999998</v>
      </c>
      <c r="Q5422">
        <v>0.14571689999999901</v>
      </c>
      <c r="R5422">
        <v>5.0241510000000003E-2</v>
      </c>
      <c r="S5422">
        <v>3.05545</v>
      </c>
      <c r="T5422">
        <v>-4.4109580000000002E-2</v>
      </c>
      <c r="U5422">
        <v>-0.24574280000000001</v>
      </c>
      <c r="V5422">
        <v>-4.1673870000000002E-2</v>
      </c>
      <c r="W5422">
        <v>0.1596747</v>
      </c>
      <c r="X5422">
        <v>0.98628970000000005</v>
      </c>
      <c r="Y5422">
        <v>8.8725239999999997E-2</v>
      </c>
      <c r="Z5422">
        <v>-1.2695639999999999E-3</v>
      </c>
      <c r="AA5422">
        <v>0.99605529999999998</v>
      </c>
      <c r="AB5422">
        <v>32</v>
      </c>
      <c r="AC5422">
        <v>71.819400000000002</v>
      </c>
      <c r="AD5422">
        <v>-1.04134832</v>
      </c>
      <c r="AE5422">
        <v>-5.8041</v>
      </c>
      <c r="AF5422">
        <v>6.4205730586551599</v>
      </c>
      <c r="AG5422">
        <v>-1.04134832</v>
      </c>
      <c r="AH5422">
        <v>71.751807652770495</v>
      </c>
      <c r="AI5422">
        <v>90.828178090700007</v>
      </c>
      <c r="AJ5422">
        <v>84.886615907951096</v>
      </c>
      <c r="AK5422">
        <v>72.046027414183399</v>
      </c>
      <c r="AL5422">
        <v>80.811985276447999</v>
      </c>
      <c r="AM5422">
        <v>92.419489345313295</v>
      </c>
      <c r="AN5422">
        <v>1.00000004679347</v>
      </c>
    </row>
    <row r="5423" spans="1:40" x14ac:dyDescent="0.25">
      <c r="A5423" t="str">
        <f>"20190303162020407"</f>
        <v>20190303162020407</v>
      </c>
      <c r="B5423" t="str">
        <f>"1551601220398226"</f>
        <v>1551601220398226</v>
      </c>
      <c r="C5423" t="s">
        <v>40</v>
      </c>
      <c r="D5423">
        <v>4.836849</v>
      </c>
      <c r="E5423">
        <v>0.54979119999999904</v>
      </c>
      <c r="F5423" t="s">
        <v>52</v>
      </c>
      <c r="G5423">
        <v>-212.80510000000001</v>
      </c>
      <c r="H5423">
        <v>8.0000870000000002E-2</v>
      </c>
      <c r="I5423">
        <v>209.30459999999999</v>
      </c>
      <c r="J5423">
        <v>-281.54719999999998</v>
      </c>
      <c r="K5423">
        <v>1.1213489999999999</v>
      </c>
      <c r="L5423">
        <v>214.94380000000001</v>
      </c>
      <c r="M5423">
        <v>0.99986509999999995</v>
      </c>
      <c r="N5423">
        <v>-1.4115849999999999E-2</v>
      </c>
      <c r="O5423">
        <v>8.4147100000000006E-3</v>
      </c>
      <c r="P5423">
        <v>0.98792440000000004</v>
      </c>
      <c r="Q5423">
        <v>0.14664920000000001</v>
      </c>
      <c r="R5423">
        <v>4.9997130000000001E-2</v>
      </c>
      <c r="S5423">
        <v>3.0557560000000001</v>
      </c>
      <c r="T5423">
        <v>-4.6075820000000003E-2</v>
      </c>
      <c r="U5423">
        <v>-0.24940490000000001</v>
      </c>
      <c r="V5423">
        <v>-4.161625E-2</v>
      </c>
      <c r="W5423">
        <v>0.16060239999999901</v>
      </c>
      <c r="X5423">
        <v>0.98614139999999995</v>
      </c>
      <c r="Y5423">
        <v>8.9712689999999998E-2</v>
      </c>
      <c r="Z5423">
        <v>-1.3176289999999901E-3</v>
      </c>
      <c r="AA5423">
        <v>0.99596680000000004</v>
      </c>
      <c r="AB5423">
        <v>32</v>
      </c>
      <c r="AC5423">
        <v>68.742099999999894</v>
      </c>
      <c r="AD5423">
        <v>-1.04134812999999</v>
      </c>
      <c r="AE5423">
        <v>-5.6392000000000104</v>
      </c>
      <c r="AF5423">
        <v>6.2160857643900798</v>
      </c>
      <c r="AG5423">
        <v>-1.04134812999999</v>
      </c>
      <c r="AH5423">
        <v>68.676554196459307</v>
      </c>
      <c r="AI5423">
        <v>90.8651777328176</v>
      </c>
      <c r="AJ5423">
        <v>84.828109329469896</v>
      </c>
      <c r="AK5423">
        <v>68.965159497077394</v>
      </c>
      <c r="AL5423">
        <v>80.758136162428301</v>
      </c>
      <c r="AM5423">
        <v>92.416510947041104</v>
      </c>
      <c r="AN5423">
        <v>0.99999995197188996</v>
      </c>
    </row>
    <row r="5424" spans="1:40" x14ac:dyDescent="0.25">
      <c r="A5424" t="str">
        <f>"20190303162020428"</f>
        <v>20190303162020428</v>
      </c>
      <c r="B5424" t="str">
        <f>"1551601220417747"</f>
        <v>1551601220417747</v>
      </c>
      <c r="C5424" t="s">
        <v>40</v>
      </c>
      <c r="D5424">
        <v>4.8293839999999904</v>
      </c>
      <c r="E5424">
        <v>0.54983230000000005</v>
      </c>
      <c r="F5424" t="s">
        <v>49</v>
      </c>
      <c r="G5424">
        <v>-206.5692</v>
      </c>
      <c r="H5424">
        <v>8.0001039999999995E-2</v>
      </c>
      <c r="I5424">
        <v>208.79249999999999</v>
      </c>
      <c r="J5424">
        <v>-281.24509999999998</v>
      </c>
      <c r="K5424">
        <v>1.121354</v>
      </c>
      <c r="L5424">
        <v>214.9462</v>
      </c>
      <c r="M5424">
        <v>0.99986649999999999</v>
      </c>
      <c r="N5424">
        <v>-1.411284E-2</v>
      </c>
      <c r="O5424">
        <v>8.2359540000000002E-3</v>
      </c>
      <c r="P5424">
        <v>0.98786810000000003</v>
      </c>
      <c r="Q5424">
        <v>0.14708170000000001</v>
      </c>
      <c r="R5424">
        <v>4.9835850000000001E-2</v>
      </c>
      <c r="S5424">
        <v>3.0556030000000001</v>
      </c>
      <c r="T5424">
        <v>-4.2438389999999999E-2</v>
      </c>
      <c r="U5424">
        <v>-0.25068659999999998</v>
      </c>
      <c r="V5424">
        <v>-4.1631179999999997E-2</v>
      </c>
      <c r="W5424">
        <v>0.16103120000000001</v>
      </c>
      <c r="X5424">
        <v>0.98607089999999997</v>
      </c>
      <c r="Y5424">
        <v>8.995591E-2</v>
      </c>
      <c r="Z5424">
        <v>-1.257696E-3</v>
      </c>
      <c r="AA5424">
        <v>0.99594499999999997</v>
      </c>
      <c r="AB5424">
        <v>31</v>
      </c>
      <c r="AC5424">
        <v>74.675899999999899</v>
      </c>
      <c r="AD5424">
        <v>-1.04135296</v>
      </c>
      <c r="AE5424">
        <v>-6.1537000000000104</v>
      </c>
      <c r="AF5424">
        <v>6.7672726754398198</v>
      </c>
      <c r="AG5424">
        <v>-1.04135296</v>
      </c>
      <c r="AH5424">
        <v>74.608269523332794</v>
      </c>
      <c r="AI5424">
        <v>90.796391178876306</v>
      </c>
      <c r="AJ5424">
        <v>84.817222636242207</v>
      </c>
      <c r="AK5424">
        <v>74.921787730388104</v>
      </c>
      <c r="AL5424">
        <v>80.733244291218497</v>
      </c>
      <c r="AM5424">
        <v>92.417549479381094</v>
      </c>
      <c r="AN5424">
        <v>1.00000001117422</v>
      </c>
    </row>
    <row r="5425" spans="1:40" x14ac:dyDescent="0.25">
      <c r="A5425" t="str">
        <f>"20190303162020450"</f>
        <v>20190303162020450</v>
      </c>
      <c r="B5425" t="str">
        <f>"1551601220438243"</f>
        <v>1551601220438243</v>
      </c>
      <c r="C5425" t="s">
        <v>40</v>
      </c>
      <c r="D5425">
        <v>4.8477139999999999</v>
      </c>
      <c r="E5425">
        <v>0.54985430000000002</v>
      </c>
      <c r="F5425" t="s">
        <v>49</v>
      </c>
      <c r="G5425">
        <v>-204.09790000000001</v>
      </c>
      <c r="H5425">
        <v>8.0001409999999995E-2</v>
      </c>
      <c r="I5425">
        <v>208.60390000000001</v>
      </c>
      <c r="J5425">
        <v>-280.92259999999999</v>
      </c>
      <c r="K5425">
        <v>1.1213500000000001</v>
      </c>
      <c r="L5425">
        <v>214.9486</v>
      </c>
      <c r="M5425">
        <v>0.99986799999999998</v>
      </c>
      <c r="N5425">
        <v>-1.410955E-2</v>
      </c>
      <c r="O5425">
        <v>8.0460689999999994E-3</v>
      </c>
      <c r="P5425">
        <v>0.98783980000000005</v>
      </c>
      <c r="Q5425">
        <v>0.14728239999999901</v>
      </c>
      <c r="R5425">
        <v>4.9803090000000001E-2</v>
      </c>
      <c r="S5425">
        <v>3.0556640000000002</v>
      </c>
      <c r="T5425">
        <v>-4.124618E-2</v>
      </c>
      <c r="U5425">
        <v>-0.25120540000000002</v>
      </c>
      <c r="V5425">
        <v>-4.178639E-2</v>
      </c>
      <c r="W5425">
        <v>0.16122829999999999</v>
      </c>
      <c r="X5425">
        <v>0.98603209999999997</v>
      </c>
      <c r="Y5425">
        <v>8.9933830000000006E-2</v>
      </c>
      <c r="Z5425">
        <v>-1.2366429999999999E-3</v>
      </c>
      <c r="AA5425">
        <v>0.99594700000000003</v>
      </c>
      <c r="AB5425">
        <v>31</v>
      </c>
      <c r="AC5425">
        <v>76.824699999999893</v>
      </c>
      <c r="AD5425">
        <v>-1.0413485899999999</v>
      </c>
      <c r="AE5425">
        <v>-6.34469999999998</v>
      </c>
      <c r="AF5425">
        <v>6.9614226182228096</v>
      </c>
      <c r="AG5425">
        <v>-1.0413485899999999</v>
      </c>
      <c r="AH5425">
        <v>76.757150305842202</v>
      </c>
      <c r="AI5425">
        <v>90.774095735573695</v>
      </c>
      <c r="AJ5425">
        <v>84.817786987140494</v>
      </c>
      <c r="AK5425">
        <v>77.079218566543901</v>
      </c>
      <c r="AL5425">
        <v>80.7218015284149</v>
      </c>
      <c r="AM5425">
        <v>92.4266472403026</v>
      </c>
      <c r="AN5425">
        <v>0.99999998467026496</v>
      </c>
    </row>
    <row r="5426" spans="1:40" x14ac:dyDescent="0.25">
      <c r="A5426" t="str">
        <f>"20190303162020474"</f>
        <v>20190303162020474</v>
      </c>
      <c r="B5426" t="str">
        <f>"1551601220467523"</f>
        <v>1551601220467523</v>
      </c>
      <c r="C5426" t="s">
        <v>40</v>
      </c>
      <c r="D5426">
        <v>4.8361159999999996</v>
      </c>
      <c r="E5426">
        <v>0.54991590000000001</v>
      </c>
      <c r="F5426" t="s">
        <v>49</v>
      </c>
      <c r="G5426">
        <v>-201.0625</v>
      </c>
      <c r="H5426">
        <v>8.0001180000000005E-2</v>
      </c>
      <c r="I5426">
        <v>208.37710000000001</v>
      </c>
      <c r="J5426">
        <v>-280.6028</v>
      </c>
      <c r="K5426">
        <v>1.121356</v>
      </c>
      <c r="L5426">
        <v>214.95099999999999</v>
      </c>
      <c r="M5426">
        <v>0.99986969999999997</v>
      </c>
      <c r="N5426">
        <v>-1.4106530000000001E-2</v>
      </c>
      <c r="O5426">
        <v>7.8585169999999902E-3</v>
      </c>
      <c r="P5426">
        <v>0.98779669999999997</v>
      </c>
      <c r="Q5426">
        <v>0.14755789999999999</v>
      </c>
      <c r="R5426">
        <v>4.984827E-2</v>
      </c>
      <c r="S5426">
        <v>3.055542</v>
      </c>
      <c r="T5426">
        <v>-3.9843200000000002E-2</v>
      </c>
      <c r="U5426">
        <v>-0.2514343</v>
      </c>
      <c r="V5426">
        <v>-4.2016289999999998E-2</v>
      </c>
      <c r="W5426">
        <v>0.1614999</v>
      </c>
      <c r="X5426">
        <v>0.98597789999999996</v>
      </c>
      <c r="Y5426">
        <v>8.9825230000000006E-2</v>
      </c>
      <c r="Z5426">
        <v>-1.2109849999999999E-3</v>
      </c>
      <c r="AA5426">
        <v>0.99595679999999998</v>
      </c>
      <c r="AB5426">
        <v>31</v>
      </c>
      <c r="AC5426">
        <v>79.540300000000002</v>
      </c>
      <c r="AD5426">
        <v>-1.04135482</v>
      </c>
      <c r="AE5426">
        <v>-6.5738999999999796</v>
      </c>
      <c r="AF5426">
        <v>7.1976025821427196</v>
      </c>
      <c r="AG5426">
        <v>-1.04135482</v>
      </c>
      <c r="AH5426">
        <v>79.472647598798005</v>
      </c>
      <c r="AI5426">
        <v>90.747661761540201</v>
      </c>
      <c r="AJ5426">
        <v>84.825009032881496</v>
      </c>
      <c r="AK5426">
        <v>79.804709254243505</v>
      </c>
      <c r="AL5426">
        <v>80.706033521589404</v>
      </c>
      <c r="AM5426">
        <v>92.440116021094994</v>
      </c>
      <c r="AN5426">
        <v>1.0000000028068901</v>
      </c>
    </row>
    <row r="5427" spans="1:40" x14ac:dyDescent="0.25">
      <c r="A5427" t="str">
        <f>"20190303162020496"</f>
        <v>20190303162020496</v>
      </c>
      <c r="B5427" t="str">
        <f>"1551601220488018"</f>
        <v>1551601220488018</v>
      </c>
      <c r="C5427" t="s">
        <v>40</v>
      </c>
      <c r="D5427">
        <v>4.8015670000000004</v>
      </c>
      <c r="E5427">
        <v>0.54987319999999995</v>
      </c>
      <c r="F5427" t="s">
        <v>49</v>
      </c>
      <c r="G5427">
        <v>-201.1438</v>
      </c>
      <c r="H5427">
        <v>8.000119E-2</v>
      </c>
      <c r="I5427">
        <v>208.40819999999999</v>
      </c>
      <c r="J5427">
        <v>-280.2903</v>
      </c>
      <c r="K5427">
        <v>1.121353</v>
      </c>
      <c r="L5427">
        <v>214.95320000000001</v>
      </c>
      <c r="M5427">
        <v>0.99987119999999996</v>
      </c>
      <c r="N5427">
        <v>-1.410373E-2</v>
      </c>
      <c r="O5427">
        <v>7.6763339999999999E-3</v>
      </c>
      <c r="P5427">
        <v>0.98776390000000003</v>
      </c>
      <c r="Q5427">
        <v>0.14791940000000001</v>
      </c>
      <c r="R5427">
        <v>4.9420449999999998E-2</v>
      </c>
      <c r="S5427">
        <v>3.0557560000000001</v>
      </c>
      <c r="T5427">
        <v>-4.0047409999999999E-2</v>
      </c>
      <c r="U5427">
        <v>-0.25161739999999999</v>
      </c>
      <c r="V5427">
        <v>-4.1768859999999998E-2</v>
      </c>
      <c r="W5427">
        <v>0.161858</v>
      </c>
      <c r="X5427">
        <v>0.98592970000000002</v>
      </c>
      <c r="Y5427">
        <v>8.9697230000000003E-2</v>
      </c>
      <c r="Z5427">
        <v>-1.212793E-3</v>
      </c>
      <c r="AA5427">
        <v>0.99596830000000003</v>
      </c>
      <c r="AB5427">
        <v>31</v>
      </c>
      <c r="AC5427">
        <v>79.146500000000003</v>
      </c>
      <c r="AD5427">
        <v>-1.0413518100000001</v>
      </c>
      <c r="AE5427">
        <v>-6.5450000000000097</v>
      </c>
      <c r="AF5427">
        <v>7.1511928872658297</v>
      </c>
      <c r="AG5427">
        <v>-1.0413518100000001</v>
      </c>
      <c r="AH5427">
        <v>79.080324098868502</v>
      </c>
      <c r="AI5427">
        <v>90.751377649226498</v>
      </c>
      <c r="AJ5427">
        <v>84.832826490302807</v>
      </c>
      <c r="AK5427">
        <v>79.409833351324593</v>
      </c>
      <c r="AL5427">
        <v>80.685242444638504</v>
      </c>
      <c r="AM5427">
        <v>92.4258820709086</v>
      </c>
      <c r="AN5427">
        <v>1.00000001158589</v>
      </c>
    </row>
    <row r="5428" spans="1:40" x14ac:dyDescent="0.25">
      <c r="A5428" t="str">
        <f>"20190303162020518"</f>
        <v>20190303162020518</v>
      </c>
      <c r="B5428" t="str">
        <f>"1551601220507539"</f>
        <v>1551601220507539</v>
      </c>
      <c r="C5428" t="s">
        <v>40</v>
      </c>
      <c r="D5428">
        <v>4.8022679999999998</v>
      </c>
      <c r="E5428">
        <v>0.54989759999999999</v>
      </c>
      <c r="F5428" t="s">
        <v>49</v>
      </c>
      <c r="G5428">
        <v>-200.9254</v>
      </c>
      <c r="H5428">
        <v>8.0001119999999995E-2</v>
      </c>
      <c r="I5428">
        <v>208.40170000000001</v>
      </c>
      <c r="J5428">
        <v>-279.9785</v>
      </c>
      <c r="K5428">
        <v>1.1213519999999999</v>
      </c>
      <c r="L5428">
        <v>214.9554</v>
      </c>
      <c r="M5428">
        <v>0.9998726</v>
      </c>
      <c r="N5428">
        <v>-1.4100949999999999E-2</v>
      </c>
      <c r="O5428">
        <v>7.4953449999999996E-3</v>
      </c>
      <c r="P5428">
        <v>0.9877958</v>
      </c>
      <c r="Q5428">
        <v>0.14790149999999999</v>
      </c>
      <c r="R5428">
        <v>4.8835009999999998E-2</v>
      </c>
      <c r="S5428">
        <v>3.0558169999999998</v>
      </c>
      <c r="T5428">
        <v>-4.0095569999999997E-2</v>
      </c>
      <c r="U5428">
        <v>-0.25225829999999999</v>
      </c>
      <c r="V5428">
        <v>-4.136186E-2</v>
      </c>
      <c r="W5428">
        <v>0.1618377</v>
      </c>
      <c r="X5428">
        <v>0.9859502</v>
      </c>
      <c r="Y5428">
        <v>8.9722769999999993E-2</v>
      </c>
      <c r="Z5428">
        <v>-1.2140269999999999E-3</v>
      </c>
      <c r="AA5428">
        <v>0.99596600000000002</v>
      </c>
      <c r="AB5428">
        <v>31</v>
      </c>
      <c r="AC5428">
        <v>79.053100000000001</v>
      </c>
      <c r="AD5428">
        <v>-1.04135088</v>
      </c>
      <c r="AE5428">
        <v>-6.5536999999999903</v>
      </c>
      <c r="AF5428">
        <v>7.1448736374525597</v>
      </c>
      <c r="AG5428">
        <v>-1.04135088</v>
      </c>
      <c r="AH5428">
        <v>78.988139117353498</v>
      </c>
      <c r="AI5428">
        <v>90.752252066869502</v>
      </c>
      <c r="AJ5428">
        <v>84.831375292519596</v>
      </c>
      <c r="AK5428">
        <v>79.317461836425593</v>
      </c>
      <c r="AL5428">
        <v>80.686421174550006</v>
      </c>
      <c r="AM5428">
        <v>92.402221969391505</v>
      </c>
      <c r="AN5428">
        <v>1.0000000207419899</v>
      </c>
    </row>
    <row r="5429" spans="1:40" x14ac:dyDescent="0.25">
      <c r="A5429" t="str">
        <f>"20190303162020540"</f>
        <v>20190303162020540</v>
      </c>
      <c r="B5429" t="str">
        <f>"1551601220528034"</f>
        <v>1551601220528034</v>
      </c>
      <c r="C5429" t="s">
        <v>40</v>
      </c>
      <c r="D5429">
        <v>4.7686440000000001</v>
      </c>
      <c r="E5429">
        <v>0.53740239999999995</v>
      </c>
      <c r="F5429" t="s">
        <v>49</v>
      </c>
      <c r="G5429">
        <v>-203.94829999999999</v>
      </c>
      <c r="H5429">
        <v>8.0001379999999997E-2</v>
      </c>
      <c r="I5429">
        <v>208.64099999999999</v>
      </c>
      <c r="J5429">
        <v>-279.67070000000001</v>
      </c>
      <c r="K5429">
        <v>1.1213569999999999</v>
      </c>
      <c r="L5429">
        <v>214.95750000000001</v>
      </c>
      <c r="M5429">
        <v>0.99987389999999998</v>
      </c>
      <c r="N5429">
        <v>-1.409816E-2</v>
      </c>
      <c r="O5429">
        <v>7.317039E-3</v>
      </c>
      <c r="P5429">
        <v>0.98788779999999998</v>
      </c>
      <c r="Q5429">
        <v>0.14762049999999999</v>
      </c>
      <c r="R5429">
        <v>4.78115E-2</v>
      </c>
      <c r="S5429">
        <v>3.0559080000000001</v>
      </c>
      <c r="T5429">
        <v>-4.1855339999999998E-2</v>
      </c>
      <c r="U5429">
        <v>-0.25379940000000001</v>
      </c>
      <c r="V5429">
        <v>-4.0514679999999997E-2</v>
      </c>
      <c r="W5429">
        <v>0.1615549</v>
      </c>
      <c r="X5429">
        <v>0.98603169999999996</v>
      </c>
      <c r="Y5429">
        <v>9.0040449999999994E-2</v>
      </c>
      <c r="Z5429">
        <v>-1.2484880000000001E-3</v>
      </c>
      <c r="AA5429">
        <v>0.99593730000000003</v>
      </c>
      <c r="AB5429">
        <v>31</v>
      </c>
      <c r="AC5429">
        <v>75.722399999999993</v>
      </c>
      <c r="AD5429">
        <v>-1.04135562</v>
      </c>
      <c r="AE5429">
        <v>-6.3165000000000102</v>
      </c>
      <c r="AF5429">
        <v>6.8691595137520096</v>
      </c>
      <c r="AG5429">
        <v>-1.04135562</v>
      </c>
      <c r="AH5429">
        <v>75.659939528125804</v>
      </c>
      <c r="AI5429">
        <v>90.785318708531705</v>
      </c>
      <c r="AJ5429">
        <v>84.812343445780996</v>
      </c>
      <c r="AK5429">
        <v>75.9782615183601</v>
      </c>
      <c r="AL5429">
        <v>80.702840006194094</v>
      </c>
      <c r="AM5429">
        <v>92.352880898343798</v>
      </c>
      <c r="AN5429">
        <v>0.99999996920720002</v>
      </c>
    </row>
    <row r="5430" spans="1:40" x14ac:dyDescent="0.25">
      <c r="A5430" t="str">
        <f>"20190303162020563"</f>
        <v>20190303162020563</v>
      </c>
      <c r="B5430" t="str">
        <f>"1551601220558291"</f>
        <v>1551601220558291</v>
      </c>
      <c r="C5430" t="s">
        <v>40</v>
      </c>
      <c r="D5430">
        <v>4.6992479999999999</v>
      </c>
      <c r="E5430">
        <v>0.53668059999999995</v>
      </c>
      <c r="F5430" t="s">
        <v>49</v>
      </c>
      <c r="G5430">
        <v>-204.66820000000001</v>
      </c>
      <c r="H5430" s="1">
        <v>4.5954909999999998E-6</v>
      </c>
      <c r="I5430">
        <v>211.089</v>
      </c>
      <c r="J5430">
        <v>-279.35550000000001</v>
      </c>
      <c r="K5430">
        <v>1.1213569999999999</v>
      </c>
      <c r="L5430">
        <v>214.95959999999999</v>
      </c>
      <c r="M5430">
        <v>0.99987539999999997</v>
      </c>
      <c r="N5430">
        <v>-1.409534E-2</v>
      </c>
      <c r="O5430">
        <v>7.1356479999999996E-3</v>
      </c>
      <c r="P5430">
        <v>0.98796740000000005</v>
      </c>
      <c r="Q5430">
        <v>0.14741750000000001</v>
      </c>
      <c r="R5430">
        <v>4.6785149999999998E-2</v>
      </c>
      <c r="S5430">
        <v>3.0512389999999998</v>
      </c>
      <c r="T5430">
        <v>-4.5618649999999997E-2</v>
      </c>
      <c r="U5430">
        <v>-0.1573792</v>
      </c>
      <c r="V5430">
        <v>-3.9667349999999997E-2</v>
      </c>
      <c r="W5430">
        <v>0.1613493</v>
      </c>
      <c r="X5430">
        <v>0.98609979999999997</v>
      </c>
      <c r="Y5430">
        <v>5.8623160000000001E-2</v>
      </c>
      <c r="Z5430">
        <v>-8.5751250000000001E-4</v>
      </c>
      <c r="AA5430">
        <v>0.99827980000000005</v>
      </c>
      <c r="AB5430">
        <v>31</v>
      </c>
      <c r="AC5430">
        <v>74.687299999999993</v>
      </c>
      <c r="AD5430">
        <v>-1.121352404509</v>
      </c>
      <c r="AE5430">
        <v>-3.8705999999999601</v>
      </c>
      <c r="AF5430">
        <v>4.4025068108522296</v>
      </c>
      <c r="AG5430">
        <v>-1.121352404509</v>
      </c>
      <c r="AH5430">
        <v>74.640995738370293</v>
      </c>
      <c r="AI5430">
        <v>90.859212608791793</v>
      </c>
      <c r="AJ5430">
        <v>86.624466861314602</v>
      </c>
      <c r="AK5430">
        <v>74.779126380629194</v>
      </c>
      <c r="AL5430">
        <v>80.714776491464903</v>
      </c>
      <c r="AM5430">
        <v>92.303567059445001</v>
      </c>
      <c r="AN5430">
        <v>0.99999995541327502</v>
      </c>
    </row>
    <row r="5431" spans="1:40" x14ac:dyDescent="0.25">
      <c r="A5431" t="str">
        <f>"20190303162020584"</f>
        <v>20190303162020584</v>
      </c>
      <c r="B5431" t="str">
        <f>"1551601220577811"</f>
        <v>1551601220577811</v>
      </c>
      <c r="C5431" t="s">
        <v>40</v>
      </c>
      <c r="D5431">
        <v>4.6830540000000003</v>
      </c>
      <c r="E5431">
        <v>0.53685000000000005</v>
      </c>
      <c r="F5431" t="s">
        <v>66</v>
      </c>
      <c r="G5431">
        <v>-169.3922</v>
      </c>
      <c r="H5431">
        <v>2.5890349999999999E-2</v>
      </c>
      <c r="I5431">
        <v>209.3888</v>
      </c>
      <c r="J5431">
        <v>-279.0455</v>
      </c>
      <c r="K5431">
        <v>1.1213550000000001</v>
      </c>
      <c r="L5431">
        <v>214.96170000000001</v>
      </c>
      <c r="M5431">
        <v>0.9998764</v>
      </c>
      <c r="N5431">
        <v>-1.4092540000000001E-2</v>
      </c>
      <c r="O5431">
        <v>6.9603520000000004E-3</v>
      </c>
      <c r="P5431">
        <v>0.98810810000000004</v>
      </c>
      <c r="Q5431">
        <v>0.14685000000000001</v>
      </c>
      <c r="R5431">
        <v>4.5577470000000002E-2</v>
      </c>
      <c r="S5431">
        <v>3.0483699999999998</v>
      </c>
      <c r="T5431">
        <v>-3.036726E-2</v>
      </c>
      <c r="U5431">
        <v>-0.15443419999999999</v>
      </c>
      <c r="V5431">
        <v>-3.8632270000000003E-2</v>
      </c>
      <c r="W5431">
        <v>0.16078029999999999</v>
      </c>
      <c r="X5431">
        <v>0.9862339</v>
      </c>
      <c r="Y5431">
        <v>5.7540309999999997E-2</v>
      </c>
      <c r="Z5431">
        <v>-6.6342619999999904E-4</v>
      </c>
      <c r="AA5431">
        <v>0.99834299999999998</v>
      </c>
      <c r="AB5431">
        <v>31</v>
      </c>
      <c r="AC5431">
        <v>109.6533</v>
      </c>
      <c r="AD5431">
        <v>-1.09546464999999</v>
      </c>
      <c r="AE5431">
        <v>-5.5728999999999997</v>
      </c>
      <c r="AF5431">
        <v>6.3354357154707301</v>
      </c>
      <c r="AG5431">
        <v>-1.09546464999999</v>
      </c>
      <c r="AH5431">
        <v>109.600939513923</v>
      </c>
      <c r="AI5431">
        <v>90.571699681505706</v>
      </c>
      <c r="AJ5431">
        <v>86.691723269438299</v>
      </c>
      <c r="AK5431">
        <v>109.789360736088</v>
      </c>
      <c r="AL5431">
        <v>80.747809779426802</v>
      </c>
      <c r="AM5431">
        <v>92.243215271562704</v>
      </c>
      <c r="AN5431">
        <v>1.00000003133132</v>
      </c>
    </row>
    <row r="5432" spans="1:40" x14ac:dyDescent="0.25">
      <c r="A5432" t="str">
        <f>"20190303162020607"</f>
        <v>20190303162020607</v>
      </c>
      <c r="B5432" t="str">
        <f>"1551601220597331"</f>
        <v>1551601220597331</v>
      </c>
      <c r="C5432" t="s">
        <v>40</v>
      </c>
      <c r="D5432">
        <v>4.6761160000000004</v>
      </c>
      <c r="E5432">
        <v>0.536979599999999</v>
      </c>
      <c r="F5432" t="s">
        <v>66</v>
      </c>
      <c r="G5432">
        <v>-169.3922</v>
      </c>
      <c r="H5432">
        <v>5.4428099999999903E-2</v>
      </c>
      <c r="I5432">
        <v>209.22110000000001</v>
      </c>
      <c r="J5432">
        <v>-278.74380000000002</v>
      </c>
      <c r="K5432">
        <v>1.121364</v>
      </c>
      <c r="L5432">
        <v>214.96360000000001</v>
      </c>
      <c r="M5432">
        <v>0.99987769999999998</v>
      </c>
      <c r="N5432">
        <v>-1.40898E-2</v>
      </c>
      <c r="O5432">
        <v>6.7924029999999998E-3</v>
      </c>
      <c r="P5432">
        <v>0.98818839999999997</v>
      </c>
      <c r="Q5432">
        <v>0.14672270000000001</v>
      </c>
      <c r="R5432">
        <v>4.4230789999999999E-2</v>
      </c>
      <c r="S5432">
        <v>3.047882</v>
      </c>
      <c r="T5432">
        <v>-2.9654980000000001E-2</v>
      </c>
      <c r="U5432">
        <v>-0.15956119999999999</v>
      </c>
      <c r="V5432">
        <v>-3.7453130000000001E-2</v>
      </c>
      <c r="W5432">
        <v>0.1606504</v>
      </c>
      <c r="X5432">
        <v>0.98630050000000002</v>
      </c>
      <c r="Y5432">
        <v>5.9055589999999998E-2</v>
      </c>
      <c r="Z5432">
        <v>-6.7386710000000001E-4</v>
      </c>
      <c r="AA5432">
        <v>0.99825450000000004</v>
      </c>
      <c r="AB5432">
        <v>31</v>
      </c>
      <c r="AC5432">
        <v>109.3516</v>
      </c>
      <c r="AD5432">
        <v>-1.0669358999999901</v>
      </c>
      <c r="AE5432">
        <v>-5.7424999999999997</v>
      </c>
      <c r="AF5432">
        <v>6.4845857288618003</v>
      </c>
      <c r="AG5432">
        <v>-1.0669358999999901</v>
      </c>
      <c r="AH5432">
        <v>109.299691200277</v>
      </c>
      <c r="AI5432">
        <v>90.558296997764501</v>
      </c>
      <c r="AJ5432">
        <v>86.604707799510294</v>
      </c>
      <c r="AK5432">
        <v>109.497080786501</v>
      </c>
      <c r="AL5432">
        <v>80.755350065814</v>
      </c>
      <c r="AM5432">
        <v>92.174667580821307</v>
      </c>
      <c r="AN5432">
        <v>0.99999998213360297</v>
      </c>
    </row>
    <row r="5433" spans="1:40" x14ac:dyDescent="0.25">
      <c r="A5433" t="str">
        <f>"20190303162020629"</f>
        <v>20190303162020629</v>
      </c>
      <c r="B5433" t="str">
        <f>"1551601220617827"</f>
        <v>1551601220617827</v>
      </c>
      <c r="C5433" t="s">
        <v>40</v>
      </c>
      <c r="D5433">
        <v>4.6446339999999999</v>
      </c>
      <c r="E5433">
        <v>0.53721660000000004</v>
      </c>
      <c r="F5433" t="s">
        <v>66</v>
      </c>
      <c r="G5433">
        <v>-169.39230000000001</v>
      </c>
      <c r="H5433">
        <v>3.8778310000000003E-2</v>
      </c>
      <c r="I5433">
        <v>209.06180000000001</v>
      </c>
      <c r="J5433">
        <v>-278.42770000000002</v>
      </c>
      <c r="K5433">
        <v>1.1213660000000001</v>
      </c>
      <c r="L5433">
        <v>214.96549999999999</v>
      </c>
      <c r="M5433">
        <v>0.99987890000000001</v>
      </c>
      <c r="N5433">
        <v>-1.408675E-2</v>
      </c>
      <c r="O5433">
        <v>6.6214389999999998E-3</v>
      </c>
      <c r="P5433">
        <v>0.98820730000000001</v>
      </c>
      <c r="Q5433">
        <v>0.14680190000000001</v>
      </c>
      <c r="R5433">
        <v>4.3539019999999998E-2</v>
      </c>
      <c r="S5433">
        <v>3.0477599999999998</v>
      </c>
      <c r="T5433">
        <v>-3.0171989999999999E-2</v>
      </c>
      <c r="U5433">
        <v>-0.16448969999999999</v>
      </c>
      <c r="V5433">
        <v>-3.6931100000000001E-2</v>
      </c>
      <c r="W5433">
        <v>0.16072620000000001</v>
      </c>
      <c r="X5433">
        <v>0.98630790000000002</v>
      </c>
      <c r="Y5433">
        <v>6.0496330000000001E-2</v>
      </c>
      <c r="Z5433">
        <v>-6.9797320000000002E-4</v>
      </c>
      <c r="AA5433">
        <v>0.99816819999999895</v>
      </c>
      <c r="AB5433">
        <v>31</v>
      </c>
      <c r="AC5433">
        <v>109.0354</v>
      </c>
      <c r="AD5433">
        <v>-1.08258769</v>
      </c>
      <c r="AE5433">
        <v>-5.9036999999999802</v>
      </c>
      <c r="AF5433">
        <v>6.62496222955905</v>
      </c>
      <c r="AG5433">
        <v>-1.08258769</v>
      </c>
      <c r="AH5433">
        <v>108.983202171909</v>
      </c>
      <c r="AI5433">
        <v>90.568081935826996</v>
      </c>
      <c r="AJ5433">
        <v>86.521336804142905</v>
      </c>
      <c r="AK5433">
        <v>109.189745289074</v>
      </c>
      <c r="AL5433">
        <v>80.750950457705699</v>
      </c>
      <c r="AM5433">
        <v>92.144369007100295</v>
      </c>
      <c r="AN5433">
        <v>1.00000004555802</v>
      </c>
    </row>
    <row r="5434" spans="1:40" x14ac:dyDescent="0.25">
      <c r="A5434" t="str">
        <f>"20190303162020651"</f>
        <v>20190303162020651</v>
      </c>
      <c r="B5434" t="str">
        <f>"1551601220637347"</f>
        <v>1551601220637347</v>
      </c>
      <c r="C5434" t="s">
        <v>40</v>
      </c>
      <c r="D5434">
        <v>4.6295419999999998</v>
      </c>
      <c r="E5434">
        <v>0.53714010000000001</v>
      </c>
      <c r="F5434" t="s">
        <v>66</v>
      </c>
      <c r="G5434">
        <v>-169.39240000000001</v>
      </c>
      <c r="H5434">
        <v>0.1198311</v>
      </c>
      <c r="I5434">
        <v>208.9436</v>
      </c>
      <c r="J5434">
        <v>-278.11799999999999</v>
      </c>
      <c r="K5434">
        <v>1.121367</v>
      </c>
      <c r="L5434">
        <v>214.9674</v>
      </c>
      <c r="M5434">
        <v>0.99987999999999999</v>
      </c>
      <c r="N5434">
        <v>-1.4083770000000001E-2</v>
      </c>
      <c r="O5434">
        <v>6.4592440000000003E-3</v>
      </c>
      <c r="P5434">
        <v>0.98825770000000002</v>
      </c>
      <c r="Q5434">
        <v>0.1466576</v>
      </c>
      <c r="R5434">
        <v>4.2876640000000001E-2</v>
      </c>
      <c r="S5434">
        <v>3.0473940000000002</v>
      </c>
      <c r="T5434">
        <v>-2.7990580000000001E-2</v>
      </c>
      <c r="U5434">
        <v>-0.16830439999999999</v>
      </c>
      <c r="V5434">
        <v>-3.6431100000000001E-2</v>
      </c>
      <c r="W5434">
        <v>0.1605789</v>
      </c>
      <c r="X5434">
        <v>0.98635039999999996</v>
      </c>
      <c r="Y5434">
        <v>6.158719E-2</v>
      </c>
      <c r="Z5434">
        <v>-6.850669E-4</v>
      </c>
      <c r="AA5434">
        <v>0.99810149999999997</v>
      </c>
      <c r="AB5434">
        <v>31</v>
      </c>
      <c r="AC5434">
        <v>108.7256</v>
      </c>
      <c r="AD5434">
        <v>-1.0015358999999999</v>
      </c>
      <c r="AE5434">
        <v>-6.0237999999999898</v>
      </c>
      <c r="AF5434">
        <v>6.7254601884260197</v>
      </c>
      <c r="AG5434">
        <v>-1.0015358999999999</v>
      </c>
      <c r="AH5434">
        <v>108.675225112574</v>
      </c>
      <c r="AI5434">
        <v>90.527006900994095</v>
      </c>
      <c r="AJ5434">
        <v>86.458717452556101</v>
      </c>
      <c r="AK5434">
        <v>108.88773779528</v>
      </c>
      <c r="AL5434">
        <v>80.759500392245897</v>
      </c>
      <c r="AM5434">
        <v>92.115272476661502</v>
      </c>
      <c r="AN5434">
        <v>0.99999995987628898</v>
      </c>
    </row>
    <row r="5435" spans="1:40" x14ac:dyDescent="0.25">
      <c r="A5435" t="str">
        <f>"20190303162020674"</f>
        <v>20190303162020674</v>
      </c>
      <c r="B5435" t="str">
        <f>"1551601220667602"</f>
        <v>1551601220667602</v>
      </c>
      <c r="C5435" t="s">
        <v>40</v>
      </c>
      <c r="D5435">
        <v>4.5989820000000003</v>
      </c>
      <c r="E5435">
        <v>0.53712869999999902</v>
      </c>
      <c r="F5435" t="s">
        <v>66</v>
      </c>
      <c r="G5435">
        <v>-169.39240000000001</v>
      </c>
      <c r="H5435">
        <v>0.1343994</v>
      </c>
      <c r="I5435">
        <v>208.9059</v>
      </c>
      <c r="J5435">
        <v>-277.80489999999998</v>
      </c>
      <c r="K5435">
        <v>1.1213679999999999</v>
      </c>
      <c r="L5435">
        <v>214.9692</v>
      </c>
      <c r="M5435">
        <v>0.99988100000000002</v>
      </c>
      <c r="N5435">
        <v>-1.4080779999999999E-2</v>
      </c>
      <c r="O5435">
        <v>6.3036259999999997E-3</v>
      </c>
      <c r="P5435">
        <v>0.98830180000000001</v>
      </c>
      <c r="Q5435">
        <v>0.14649229999999899</v>
      </c>
      <c r="R5435">
        <v>4.2420289999999999E-2</v>
      </c>
      <c r="S5435">
        <v>3.0471189999999999</v>
      </c>
      <c r="T5435">
        <v>-2.765954E-2</v>
      </c>
      <c r="U5435">
        <v>-0.1698761</v>
      </c>
      <c r="V5435">
        <v>-3.613015E-2</v>
      </c>
      <c r="W5435">
        <v>0.16041040000000001</v>
      </c>
      <c r="X5435">
        <v>0.98638890000000001</v>
      </c>
      <c r="Y5435">
        <v>6.1950079999999998E-2</v>
      </c>
      <c r="Z5435">
        <v>-6.8596420000000002E-4</v>
      </c>
      <c r="AA5435">
        <v>0.99807900000000005</v>
      </c>
      <c r="AB5435">
        <v>31</v>
      </c>
      <c r="AC5435">
        <v>108.412499999999</v>
      </c>
      <c r="AD5435">
        <v>-0.98696859999999997</v>
      </c>
      <c r="AE5435">
        <v>-6.0632999999999901</v>
      </c>
      <c r="AF5435">
        <v>6.7460817457131901</v>
      </c>
      <c r="AG5435">
        <v>-0.98696859999999997</v>
      </c>
      <c r="AH5435">
        <v>108.363167965893</v>
      </c>
      <c r="AI5435">
        <v>90.520825647280006</v>
      </c>
      <c r="AJ5435">
        <v>86.437684117581597</v>
      </c>
      <c r="AK5435">
        <v>108.577437331803</v>
      </c>
      <c r="AL5435">
        <v>80.769281650370701</v>
      </c>
      <c r="AM5435">
        <v>92.0977325057233</v>
      </c>
      <c r="AN5435">
        <v>0.99999997310519495</v>
      </c>
    </row>
    <row r="5436" spans="1:40" x14ac:dyDescent="0.25">
      <c r="A5436" t="str">
        <f>"20190303162020696"</f>
        <v>20190303162020696</v>
      </c>
      <c r="B5436" t="str">
        <f>"1551601220688099"</f>
        <v>1551601220688099</v>
      </c>
      <c r="C5436" t="s">
        <v>40</v>
      </c>
      <c r="D5436">
        <v>4.5988069999999999</v>
      </c>
      <c r="E5436">
        <v>0.53729059999999995</v>
      </c>
      <c r="F5436" t="s">
        <v>66</v>
      </c>
      <c r="G5436">
        <v>-169.39240000000001</v>
      </c>
      <c r="H5436">
        <v>0.30283549999999998</v>
      </c>
      <c r="I5436">
        <v>208.87960000000001</v>
      </c>
      <c r="J5436">
        <v>-277.48939999999999</v>
      </c>
      <c r="K5436">
        <v>1.1213820000000001</v>
      </c>
      <c r="L5436">
        <v>214.97110000000001</v>
      </c>
      <c r="M5436">
        <v>0.99988189999999999</v>
      </c>
      <c r="N5436">
        <v>-1.407773E-2</v>
      </c>
      <c r="O5436">
        <v>6.1609409999999996E-3</v>
      </c>
      <c r="P5436">
        <v>0.98833409999999999</v>
      </c>
      <c r="Q5436">
        <v>0.1463816</v>
      </c>
      <c r="R5436">
        <v>4.2052560000000003E-2</v>
      </c>
      <c r="S5436">
        <v>3.046265</v>
      </c>
      <c r="T5436">
        <v>-2.2998810000000001E-2</v>
      </c>
      <c r="U5436">
        <v>-0.17111209999999999</v>
      </c>
      <c r="V5436">
        <v>-3.5906939999999998E-2</v>
      </c>
      <c r="W5436">
        <v>0.16029649999999901</v>
      </c>
      <c r="X5436">
        <v>0.98641559999999995</v>
      </c>
      <c r="Y5436">
        <v>6.2228279999999997E-2</v>
      </c>
      <c r="Z5436">
        <v>-6.329323E-4</v>
      </c>
      <c r="AA5436">
        <v>0.99806170000000005</v>
      </c>
      <c r="AB5436">
        <v>31</v>
      </c>
      <c r="AC5436">
        <v>108.096999999999</v>
      </c>
      <c r="AD5436">
        <v>-0.81854649999999896</v>
      </c>
      <c r="AE5436">
        <v>-6.0914999999999901</v>
      </c>
      <c r="AF5436">
        <v>6.75704340116003</v>
      </c>
      <c r="AG5436">
        <v>-0.81854649999999896</v>
      </c>
      <c r="AH5436">
        <v>108.05123888166599</v>
      </c>
      <c r="AI5436">
        <v>90.433191994155095</v>
      </c>
      <c r="AJ5436">
        <v>86.421636822383604</v>
      </c>
      <c r="AK5436">
        <v>108.26540480578601</v>
      </c>
      <c r="AL5436">
        <v>80.775893502379304</v>
      </c>
      <c r="AM5436">
        <v>92.084727925021994</v>
      </c>
      <c r="AN5436">
        <v>1.00000000608788</v>
      </c>
    </row>
    <row r="5437" spans="1:40" x14ac:dyDescent="0.25">
      <c r="A5437" t="str">
        <f>"20190303162020731"</f>
        <v>20190303162020731</v>
      </c>
      <c r="B5437" t="str">
        <f>"1551601220717379"</f>
        <v>1551601220717379</v>
      </c>
      <c r="C5437" t="s">
        <v>40</v>
      </c>
      <c r="D5437">
        <v>4.5976059999999999</v>
      </c>
      <c r="E5437">
        <v>0.53734700000000002</v>
      </c>
      <c r="F5437" t="s">
        <v>66</v>
      </c>
      <c r="G5437">
        <v>-169.39250000000001</v>
      </c>
      <c r="H5437">
        <v>0.40771869999999999</v>
      </c>
      <c r="I5437">
        <v>208.80600000000001</v>
      </c>
      <c r="J5437">
        <v>-277.03089999999997</v>
      </c>
      <c r="K5437">
        <v>1.1214029999999999</v>
      </c>
      <c r="L5437">
        <v>214.9736</v>
      </c>
      <c r="M5437">
        <v>0.99988310000000002</v>
      </c>
      <c r="N5437">
        <v>-1.4073240000000001E-2</v>
      </c>
      <c r="O5437">
        <v>5.9909509999999996E-3</v>
      </c>
      <c r="P5437">
        <v>0.98825750000000001</v>
      </c>
      <c r="Q5437">
        <v>0.147281299999999</v>
      </c>
      <c r="R5437">
        <v>4.0688639999999998E-2</v>
      </c>
      <c r="S5437">
        <v>3.0457459999999998</v>
      </c>
      <c r="T5437">
        <v>-2.010727E-2</v>
      </c>
      <c r="U5437">
        <v>-0.1737061</v>
      </c>
      <c r="V5437">
        <v>-3.4720260000000003E-2</v>
      </c>
      <c r="W5437">
        <v>0.1611879</v>
      </c>
      <c r="X5437">
        <v>0.98631279999999999</v>
      </c>
      <c r="Y5437">
        <v>6.2916180000000002E-2</v>
      </c>
      <c r="Z5437">
        <v>-6.0589550000000002E-4</v>
      </c>
      <c r="AA5437">
        <v>0.99801859999999998</v>
      </c>
      <c r="AB5437">
        <v>31</v>
      </c>
      <c r="AC5437">
        <v>107.638399999999</v>
      </c>
      <c r="AD5437">
        <v>-0.71368430000000005</v>
      </c>
      <c r="AE5437">
        <v>-6.1676000000000197</v>
      </c>
      <c r="AF5437">
        <v>6.8121109971094098</v>
      </c>
      <c r="AG5437">
        <v>-0.71368430000000005</v>
      </c>
      <c r="AH5437">
        <v>107.594799895137</v>
      </c>
      <c r="AI5437">
        <v>90.379282195901894</v>
      </c>
      <c r="AJ5437">
        <v>86.377288222032305</v>
      </c>
      <c r="AK5437">
        <v>107.812592798762</v>
      </c>
      <c r="AL5437">
        <v>80.724146981602601</v>
      </c>
      <c r="AM5437">
        <v>92.016097993984403</v>
      </c>
      <c r="AN5437">
        <v>0.99999998750235797</v>
      </c>
    </row>
    <row r="5438" spans="1:40" x14ac:dyDescent="0.25">
      <c r="A5438" t="str">
        <f>"20190303162020752"</f>
        <v>20190303162020752</v>
      </c>
      <c r="B5438" t="str">
        <f>"1551601220747636"</f>
        <v>1551601220747636</v>
      </c>
      <c r="C5438" t="s">
        <v>40</v>
      </c>
      <c r="D5438">
        <v>4.6129480000000003</v>
      </c>
      <c r="E5438">
        <v>0.53727380000000002</v>
      </c>
      <c r="F5438" t="s">
        <v>66</v>
      </c>
      <c r="G5438">
        <v>-169.39259999999999</v>
      </c>
      <c r="H5438">
        <v>0.59994890000000001</v>
      </c>
      <c r="I5438">
        <v>208.68100000000001</v>
      </c>
      <c r="J5438">
        <v>-276.72969999999998</v>
      </c>
      <c r="K5438">
        <v>1.121432</v>
      </c>
      <c r="L5438">
        <v>214.9753</v>
      </c>
      <c r="M5438">
        <v>0.99988359999999998</v>
      </c>
      <c r="N5438">
        <v>-1.4070269999999999E-2</v>
      </c>
      <c r="O5438">
        <v>5.9113430000000003E-3</v>
      </c>
      <c r="P5438">
        <v>0.9883364</v>
      </c>
      <c r="Q5438">
        <v>0.1469085</v>
      </c>
      <c r="R5438">
        <v>4.0112849999999999E-2</v>
      </c>
      <c r="S5438">
        <v>3.045166</v>
      </c>
      <c r="T5438">
        <v>-1.475132E-2</v>
      </c>
      <c r="U5438">
        <v>-0.1780243</v>
      </c>
      <c r="V5438">
        <v>-3.4230440000000001E-2</v>
      </c>
      <c r="W5438">
        <v>0.16081139999999999</v>
      </c>
      <c r="X5438">
        <v>0.98639140000000003</v>
      </c>
      <c r="Y5438">
        <v>6.4259269999999993E-2</v>
      </c>
      <c r="Z5438">
        <v>-5.5350579999999998E-4</v>
      </c>
      <c r="AA5438">
        <v>0.99793310000000002</v>
      </c>
      <c r="AB5438">
        <v>31</v>
      </c>
      <c r="AC5438">
        <v>107.33710000000001</v>
      </c>
      <c r="AD5438">
        <v>-0.52148309999999998</v>
      </c>
      <c r="AE5438">
        <v>-6.2943000000000202</v>
      </c>
      <c r="AF5438">
        <v>6.9285962132232903</v>
      </c>
      <c r="AG5438">
        <v>-0.52148309999999998</v>
      </c>
      <c r="AH5438">
        <v>107.295488877012</v>
      </c>
      <c r="AI5438">
        <v>90.277890947152699</v>
      </c>
      <c r="AJ5438">
        <v>86.3052602575832</v>
      </c>
      <c r="AK5438">
        <v>107.52022750843901</v>
      </c>
      <c r="AL5438">
        <v>80.7460042051013</v>
      </c>
      <c r="AM5438">
        <v>91.987520381090903</v>
      </c>
      <c r="AN5438">
        <v>1.0000000116932499</v>
      </c>
    </row>
    <row r="5439" spans="1:40" x14ac:dyDescent="0.25">
      <c r="A5439" t="str">
        <f>"20190303162020774"</f>
        <v>20190303162020774</v>
      </c>
      <c r="B5439" t="str">
        <f>"1551601220768131"</f>
        <v>1551601220768131</v>
      </c>
      <c r="C5439" t="s">
        <v>40</v>
      </c>
      <c r="D5439">
        <v>4.6465889999999996</v>
      </c>
      <c r="E5439">
        <v>0.53578130000000002</v>
      </c>
      <c r="F5439" t="s">
        <v>66</v>
      </c>
      <c r="G5439">
        <v>-169.39259999999999</v>
      </c>
      <c r="H5439">
        <v>0.59953500000000004</v>
      </c>
      <c r="I5439">
        <v>208.66200000000001</v>
      </c>
      <c r="J5439">
        <v>-276.41550000000001</v>
      </c>
      <c r="K5439">
        <v>1.1214470000000001</v>
      </c>
      <c r="L5439">
        <v>214.97710000000001</v>
      </c>
      <c r="M5439">
        <v>0.99988390000000005</v>
      </c>
      <c r="N5439">
        <v>-1.406717E-2</v>
      </c>
      <c r="O5439">
        <v>5.854054E-3</v>
      </c>
      <c r="P5439">
        <v>0.98850979999999999</v>
      </c>
      <c r="Q5439">
        <v>0.14589679999999999</v>
      </c>
      <c r="R5439">
        <v>3.9526440000000003E-2</v>
      </c>
      <c r="S5439">
        <v>3.0448909999999998</v>
      </c>
      <c r="T5439">
        <v>-1.480389E-2</v>
      </c>
      <c r="U5439">
        <v>-0.17909239999999901</v>
      </c>
      <c r="V5439">
        <v>-3.3707859999999999E-2</v>
      </c>
      <c r="W5439">
        <v>0.1597971</v>
      </c>
      <c r="X5439">
        <v>0.98657419999999996</v>
      </c>
      <c r="Y5439">
        <v>6.4556169999999996E-2</v>
      </c>
      <c r="Z5439">
        <v>-5.5743929999999995E-4</v>
      </c>
      <c r="AA5439">
        <v>0.99791390000000002</v>
      </c>
      <c r="AB5439">
        <v>31</v>
      </c>
      <c r="AC5439">
        <v>107.02290000000001</v>
      </c>
      <c r="AD5439">
        <v>-0.52191199999999904</v>
      </c>
      <c r="AE5439">
        <v>-6.3151000000000002</v>
      </c>
      <c r="AF5439">
        <v>6.9414071077351602</v>
      </c>
      <c r="AG5439">
        <v>-0.52191199999999904</v>
      </c>
      <c r="AH5439">
        <v>106.981557826005</v>
      </c>
      <c r="AI5439">
        <v>90.278930050624297</v>
      </c>
      <c r="AJ5439">
        <v>86.287616046058005</v>
      </c>
      <c r="AK5439">
        <v>107.20778534999199</v>
      </c>
      <c r="AL5439">
        <v>80.804880550520394</v>
      </c>
      <c r="AM5439">
        <v>91.956839261783003</v>
      </c>
      <c r="AN5439">
        <v>0.99999999254991401</v>
      </c>
    </row>
    <row r="5440" spans="1:40" x14ac:dyDescent="0.25">
      <c r="A5440" t="str">
        <f>"20190303162020796"</f>
        <v>20190303162020796</v>
      </c>
      <c r="B5440" t="str">
        <f>"1551601220787652"</f>
        <v>1551601220787652</v>
      </c>
      <c r="C5440" t="s">
        <v>40</v>
      </c>
      <c r="D5440">
        <v>4.7096200000000001</v>
      </c>
      <c r="E5440">
        <v>0.53597439999999996</v>
      </c>
      <c r="F5440" t="s">
        <v>42</v>
      </c>
      <c r="G5440">
        <v>-275.53370000000001</v>
      </c>
      <c r="H5440">
        <v>1.0518000000000001</v>
      </c>
      <c r="I5440">
        <v>214.9281</v>
      </c>
      <c r="J5440">
        <v>-276.11559999999997</v>
      </c>
      <c r="K5440">
        <v>1.121467</v>
      </c>
      <c r="L5440">
        <v>214.97890000000001</v>
      </c>
      <c r="M5440">
        <v>0.9998842</v>
      </c>
      <c r="N5440">
        <v>-1.4064210000000001E-2</v>
      </c>
      <c r="O5440">
        <v>5.8219830000000002E-3</v>
      </c>
      <c r="P5440">
        <v>0.98860029999999999</v>
      </c>
      <c r="Q5440">
        <v>0.14535919999999999</v>
      </c>
      <c r="R5440">
        <v>3.9246450000000002E-2</v>
      </c>
      <c r="S5440">
        <v>3.0775760000000001</v>
      </c>
      <c r="T5440">
        <v>-0.24317040000000001</v>
      </c>
      <c r="U5440">
        <v>-0.1701355</v>
      </c>
      <c r="V5440">
        <v>-3.3467139999999999E-2</v>
      </c>
      <c r="W5440">
        <v>0.15925619999999999</v>
      </c>
      <c r="X5440">
        <v>0.98666980000000004</v>
      </c>
      <c r="Y5440">
        <v>6.0775879999999997E-2</v>
      </c>
      <c r="Z5440">
        <v>-3.2012690000000001E-3</v>
      </c>
      <c r="AA5440">
        <v>0.99814630000000004</v>
      </c>
      <c r="AB5440">
        <v>31</v>
      </c>
      <c r="AC5440">
        <v>0.581899999999961</v>
      </c>
      <c r="AD5440">
        <v>-6.9666999999999896E-2</v>
      </c>
      <c r="AE5440">
        <v>-5.0800000000009497E-2</v>
      </c>
      <c r="AF5440">
        <v>5.3427269017648001E-2</v>
      </c>
      <c r="AG5440">
        <v>-6.9666999999999896E-2</v>
      </c>
      <c r="AH5440">
        <v>0.57343705996457695</v>
      </c>
      <c r="AI5440">
        <v>96.897347721502797</v>
      </c>
      <c r="AJ5440">
        <v>84.677105068103202</v>
      </c>
      <c r="AK5440">
        <v>0.58011897547356805</v>
      </c>
      <c r="AL5440">
        <v>80.836273391656704</v>
      </c>
      <c r="AM5440">
        <v>91.942687410450205</v>
      </c>
      <c r="AN5440">
        <v>0.99999994046512797</v>
      </c>
    </row>
    <row r="5441" spans="1:40" x14ac:dyDescent="0.25">
      <c r="A5441" t="str">
        <f>"20190303162020819"</f>
        <v>20190303162020819</v>
      </c>
      <c r="B5441" t="str">
        <f>"1551601220808147"</f>
        <v>1551601220808147</v>
      </c>
      <c r="C5441" t="s">
        <v>40</v>
      </c>
      <c r="D5441">
        <v>4.6859580000000003</v>
      </c>
      <c r="E5441">
        <v>0.53217049999999999</v>
      </c>
      <c r="F5441" t="s">
        <v>42</v>
      </c>
      <c r="G5441">
        <v>-275.27420000000001</v>
      </c>
      <c r="H5441">
        <v>1.0263059999999999</v>
      </c>
      <c r="I5441">
        <v>214.9316</v>
      </c>
      <c r="J5441">
        <v>-275.79910000000001</v>
      </c>
      <c r="K5441">
        <v>1.121489</v>
      </c>
      <c r="L5441">
        <v>214.98070000000001</v>
      </c>
      <c r="M5441">
        <v>0.9998842</v>
      </c>
      <c r="N5441">
        <v>-1.406106E-2</v>
      </c>
      <c r="O5441">
        <v>5.8112260000000001E-3</v>
      </c>
      <c r="P5441">
        <v>0.98853559999999996</v>
      </c>
      <c r="Q5441">
        <v>0.14583759999999901</v>
      </c>
      <c r="R5441">
        <v>3.910044E-2</v>
      </c>
      <c r="S5441">
        <v>3.0929259999999998</v>
      </c>
      <c r="T5441">
        <v>-0.34997820000000002</v>
      </c>
      <c r="U5441">
        <v>-0.17303470000000001</v>
      </c>
      <c r="V5441">
        <v>-3.3338930000000003E-2</v>
      </c>
      <c r="W5441">
        <v>0.15972929999999999</v>
      </c>
      <c r="X5441">
        <v>0.98659770000000002</v>
      </c>
      <c r="Y5441">
        <v>6.1193230000000001E-2</v>
      </c>
      <c r="Z5441">
        <v>-4.454141E-3</v>
      </c>
      <c r="AA5441">
        <v>0.998116</v>
      </c>
      <c r="AB5441">
        <v>31</v>
      </c>
      <c r="AC5441">
        <v>0.52490000000000203</v>
      </c>
      <c r="AD5441">
        <v>-9.5183000000000004E-2</v>
      </c>
      <c r="AE5441">
        <v>-4.91000000000099E-2</v>
      </c>
      <c r="AF5441">
        <v>5.0503505455075801E-2</v>
      </c>
      <c r="AG5441">
        <v>-9.5183000000000004E-2</v>
      </c>
      <c r="AH5441">
        <v>0.50804486798359805</v>
      </c>
      <c r="AI5441">
        <v>100.560567616713</v>
      </c>
      <c r="AJ5441">
        <v>84.323016528078199</v>
      </c>
      <c r="AK5441">
        <v>0.519345737863249</v>
      </c>
      <c r="AL5441">
        <v>80.808815611896605</v>
      </c>
      <c r="AM5441">
        <v>91.935392116095599</v>
      </c>
      <c r="AN5441">
        <v>0.99999997758866199</v>
      </c>
    </row>
    <row r="5442" spans="1:40" x14ac:dyDescent="0.25">
      <c r="A5442" t="str">
        <f>"20190303162020842"</f>
        <v>20190303162020842</v>
      </c>
      <c r="B5442" t="str">
        <f>"1551601220838403"</f>
        <v>1551601220838403</v>
      </c>
      <c r="C5442" t="s">
        <v>40</v>
      </c>
      <c r="D5442">
        <v>4.6523659999999998</v>
      </c>
      <c r="E5442">
        <v>0.53229320000000002</v>
      </c>
      <c r="F5442" t="s">
        <v>42</v>
      </c>
      <c r="G5442">
        <v>-275.05739999999997</v>
      </c>
      <c r="H5442">
        <v>0.90448530000000005</v>
      </c>
      <c r="I5442">
        <v>214.94659999999999</v>
      </c>
      <c r="J5442">
        <v>-275.49189999999999</v>
      </c>
      <c r="K5442">
        <v>1.1215079999999999</v>
      </c>
      <c r="L5442">
        <v>214.98249999999999</v>
      </c>
      <c r="M5442">
        <v>0.9998842</v>
      </c>
      <c r="N5442">
        <v>-1.4058029999999999E-2</v>
      </c>
      <c r="O5442">
        <v>5.8261459999999999E-3</v>
      </c>
      <c r="P5442">
        <v>0.98851389999999995</v>
      </c>
      <c r="Q5442">
        <v>0.145851799999999</v>
      </c>
      <c r="R5442">
        <v>3.9590470000000003E-2</v>
      </c>
      <c r="S5442">
        <v>3.1777039999999999</v>
      </c>
      <c r="T5442">
        <v>-0.92967</v>
      </c>
      <c r="U5442">
        <v>-0.14567569999999999</v>
      </c>
      <c r="V5442">
        <v>-3.3820620000000003E-2</v>
      </c>
      <c r="W5442">
        <v>0.1597392</v>
      </c>
      <c r="X5442">
        <v>0.98657969999999895</v>
      </c>
      <c r="Y5442">
        <v>4.9231039999999997E-2</v>
      </c>
      <c r="Z5442">
        <v>-8.9923659999999999E-3</v>
      </c>
      <c r="AA5442">
        <v>0.99874689999999999</v>
      </c>
      <c r="AB5442">
        <v>31</v>
      </c>
      <c r="AC5442">
        <v>0.43450000000001399</v>
      </c>
      <c r="AD5442">
        <v>-0.21702269999999901</v>
      </c>
      <c r="AE5442">
        <v>-3.5899999999998003E-2</v>
      </c>
      <c r="AF5442">
        <v>3.0799443011579001E-2</v>
      </c>
      <c r="AG5442">
        <v>-0.21702269999999901</v>
      </c>
      <c r="AH5442">
        <v>0.34804332394327803</v>
      </c>
      <c r="AI5442">
        <v>121.845389185022</v>
      </c>
      <c r="AJ5442">
        <v>84.942890495954401</v>
      </c>
      <c r="AK5442">
        <v>0.41131692567483702</v>
      </c>
      <c r="AL5442">
        <v>80.808240985489107</v>
      </c>
      <c r="AM5442">
        <v>91.9633692558956</v>
      </c>
      <c r="AN5442">
        <v>0.99999997540295604</v>
      </c>
    </row>
    <row r="5443" spans="1:40" x14ac:dyDescent="0.25">
      <c r="A5443" t="str">
        <f>"20190303162020862"</f>
        <v>20190303162020862</v>
      </c>
      <c r="B5443" t="str">
        <f>"1551601220857923"</f>
        <v>1551601220857923</v>
      </c>
      <c r="C5443" t="s">
        <v>40</v>
      </c>
      <c r="D5443">
        <v>4.6612289999999996</v>
      </c>
      <c r="E5443">
        <v>0.53335909999999997</v>
      </c>
      <c r="F5443" t="s">
        <v>42</v>
      </c>
      <c r="G5443">
        <v>-274.78460000000001</v>
      </c>
      <c r="H5443">
        <v>0.89902700000000002</v>
      </c>
      <c r="I5443">
        <v>214.94980000000001</v>
      </c>
      <c r="J5443">
        <v>-275.19220000000001</v>
      </c>
      <c r="K5443">
        <v>1.121523</v>
      </c>
      <c r="L5443">
        <v>214.98429999999999</v>
      </c>
      <c r="M5443">
        <v>0.99988410000000005</v>
      </c>
      <c r="N5443">
        <v>-1.4055089999999999E-2</v>
      </c>
      <c r="O5443">
        <v>5.864635E-3</v>
      </c>
      <c r="P5443">
        <v>0.98856279999999996</v>
      </c>
      <c r="Q5443">
        <v>0.14518239999999999</v>
      </c>
      <c r="R5443">
        <v>4.0817109999999997E-2</v>
      </c>
      <c r="S5443">
        <v>3.18866</v>
      </c>
      <c r="T5443">
        <v>-1.002988</v>
      </c>
      <c r="U5443">
        <v>-0.14601140000000001</v>
      </c>
      <c r="V5443">
        <v>-3.5016539999999999E-2</v>
      </c>
      <c r="W5443">
        <v>0.15906609999999999</v>
      </c>
      <c r="X5443">
        <v>0.98664680000000005</v>
      </c>
      <c r="Y5443">
        <v>4.8876280000000001E-2</v>
      </c>
      <c r="Z5443">
        <v>-9.5740280000000001E-3</v>
      </c>
      <c r="AA5443">
        <v>0.99875899999999995</v>
      </c>
      <c r="AB5443">
        <v>31</v>
      </c>
      <c r="AC5443">
        <v>0.40760000000000202</v>
      </c>
      <c r="AD5443">
        <v>-0.222496</v>
      </c>
      <c r="AE5443">
        <v>-3.4499999999979901E-2</v>
      </c>
      <c r="AF5443">
        <v>2.8467790564155802E-2</v>
      </c>
      <c r="AG5443">
        <v>-0.222496</v>
      </c>
      <c r="AH5443">
        <v>0.31438032228073198</v>
      </c>
      <c r="AI5443">
        <v>125.177900895726</v>
      </c>
      <c r="AJ5443">
        <v>84.825859573563903</v>
      </c>
      <c r="AK5443">
        <v>0.38619926482703398</v>
      </c>
      <c r="AL5443">
        <v>80.847306922250297</v>
      </c>
      <c r="AM5443">
        <v>92.032599944943001</v>
      </c>
      <c r="AN5443">
        <v>1.0000000450965001</v>
      </c>
    </row>
    <row r="5444" spans="1:40" x14ac:dyDescent="0.25">
      <c r="A5444" t="str">
        <f>"20190303162020887"</f>
        <v>20190303162020887</v>
      </c>
      <c r="B5444" t="str">
        <f>"1551601220878423"</f>
        <v>1551601220878423</v>
      </c>
      <c r="C5444" t="s">
        <v>40</v>
      </c>
      <c r="D5444">
        <v>4.6925549999999996</v>
      </c>
      <c r="E5444">
        <v>0.53399379999999996</v>
      </c>
      <c r="F5444" t="s">
        <v>42</v>
      </c>
      <c r="G5444">
        <v>-274.50779999999997</v>
      </c>
      <c r="H5444">
        <v>0.90366409999999997</v>
      </c>
      <c r="I5444">
        <v>214.9512</v>
      </c>
      <c r="J5444">
        <v>-274.87479999999999</v>
      </c>
      <c r="K5444">
        <v>1.1215379999999999</v>
      </c>
      <c r="L5444">
        <v>214.9862</v>
      </c>
      <c r="M5444">
        <v>0.99988379999999999</v>
      </c>
      <c r="N5444">
        <v>-1.405198E-2</v>
      </c>
      <c r="O5444">
        <v>5.9274139999999998E-3</v>
      </c>
      <c r="P5444">
        <v>0.98861060000000001</v>
      </c>
      <c r="Q5444">
        <v>0.14441479999999901</v>
      </c>
      <c r="R5444">
        <v>4.234943E-2</v>
      </c>
      <c r="S5444">
        <v>3.1901549999999999</v>
      </c>
      <c r="T5444">
        <v>-1.015342</v>
      </c>
      <c r="U5444">
        <v>-0.1531525</v>
      </c>
      <c r="V5444">
        <v>-3.649459E-2</v>
      </c>
      <c r="W5444">
        <v>0.1582944</v>
      </c>
      <c r="X5444">
        <v>0.98671730000000002</v>
      </c>
      <c r="Y5444">
        <v>5.0974989999999998E-2</v>
      </c>
      <c r="Z5444">
        <v>-1.003829E-2</v>
      </c>
      <c r="AA5444">
        <v>0.99864949999999997</v>
      </c>
      <c r="AB5444">
        <v>31</v>
      </c>
      <c r="AC5444">
        <v>0.36700000000001798</v>
      </c>
      <c r="AD5444">
        <v>-0.21787389999999901</v>
      </c>
      <c r="AE5444">
        <v>-3.4999999999996499E-2</v>
      </c>
      <c r="AF5444">
        <v>2.7552153617494898E-2</v>
      </c>
      <c r="AG5444">
        <v>-0.21787389999999901</v>
      </c>
      <c r="AH5444">
        <v>0.271842822209163</v>
      </c>
      <c r="AI5444">
        <v>128.56833371004601</v>
      </c>
      <c r="AJ5444">
        <v>84.212649337193199</v>
      </c>
      <c r="AK5444">
        <v>0.34946627513511902</v>
      </c>
      <c r="AL5444">
        <v>80.892089064492595</v>
      </c>
      <c r="AM5444">
        <v>92.118168300408598</v>
      </c>
      <c r="AN5444">
        <v>1.0000000011449499</v>
      </c>
    </row>
    <row r="5445" spans="1:40" x14ac:dyDescent="0.25">
      <c r="A5445" t="str">
        <f>"20190303162020909"</f>
        <v>20190303162020909</v>
      </c>
      <c r="B5445" t="str">
        <f>"1551601220897939"</f>
        <v>1551601220897939</v>
      </c>
      <c r="C5445" t="s">
        <v>40</v>
      </c>
      <c r="D5445">
        <v>4.7003069999999996</v>
      </c>
      <c r="E5445">
        <v>0.53424850000000002</v>
      </c>
      <c r="F5445" t="s">
        <v>42</v>
      </c>
      <c r="G5445">
        <v>-273.9864</v>
      </c>
      <c r="H5445">
        <v>0.83855999999999997</v>
      </c>
      <c r="I5445">
        <v>214.9425</v>
      </c>
      <c r="J5445">
        <v>-274.57170000000002</v>
      </c>
      <c r="K5445">
        <v>1.1215539999999999</v>
      </c>
      <c r="L5445">
        <v>214.9881</v>
      </c>
      <c r="M5445">
        <v>0.99988339999999998</v>
      </c>
      <c r="N5445">
        <v>-1.404904E-2</v>
      </c>
      <c r="O5445">
        <v>6.0028199999999999E-3</v>
      </c>
      <c r="P5445">
        <v>0.98850360000000004</v>
      </c>
      <c r="Q5445">
        <v>0.14464560000000001</v>
      </c>
      <c r="R5445">
        <v>4.4029739999999998E-2</v>
      </c>
      <c r="S5445">
        <v>3.189667</v>
      </c>
      <c r="T5445">
        <v>-1.0158879999999999</v>
      </c>
      <c r="U5445">
        <v>-0.1560211</v>
      </c>
      <c r="V5445">
        <v>-3.8107450000000001E-2</v>
      </c>
      <c r="W5445">
        <v>0.15851899999999999</v>
      </c>
      <c r="X5445">
        <v>0.98662019999999995</v>
      </c>
      <c r="Y5445">
        <v>5.1898800000000002E-2</v>
      </c>
      <c r="Z5445">
        <v>-1.0217E-2</v>
      </c>
      <c r="AA5445">
        <v>0.99860009999999999</v>
      </c>
      <c r="AB5445">
        <v>31</v>
      </c>
      <c r="AC5445">
        <v>0.58530000000001703</v>
      </c>
      <c r="AD5445">
        <v>-0.28299400000000002</v>
      </c>
      <c r="AE5445">
        <v>-4.5600000000007399E-2</v>
      </c>
      <c r="AF5445">
        <v>3.9852645293389902E-2</v>
      </c>
      <c r="AG5445">
        <v>-0.28299400000000002</v>
      </c>
      <c r="AH5445">
        <v>0.474710053031763</v>
      </c>
      <c r="AI5445">
        <v>120.712472383311</v>
      </c>
      <c r="AJ5445">
        <v>85.201183126887997</v>
      </c>
      <c r="AK5445">
        <v>0.554096987739782</v>
      </c>
      <c r="AL5445">
        <v>80.879055266952705</v>
      </c>
      <c r="AM5445">
        <v>92.211906132501298</v>
      </c>
      <c r="AN5445">
        <v>0.99999993507726903</v>
      </c>
    </row>
    <row r="5446" spans="1:40" x14ac:dyDescent="0.25">
      <c r="A5446" t="str">
        <f>"20190303162020931"</f>
        <v>20190303162020931</v>
      </c>
      <c r="B5446" t="str">
        <f>"1551601220928195"</f>
        <v>1551601220928195</v>
      </c>
      <c r="C5446" t="s">
        <v>40</v>
      </c>
      <c r="D5446">
        <v>4.7362070000000003</v>
      </c>
      <c r="E5446">
        <v>0.53464540000000005</v>
      </c>
      <c r="F5446" t="s">
        <v>42</v>
      </c>
      <c r="G5446">
        <v>-273.70920000000001</v>
      </c>
      <c r="H5446">
        <v>0.84663619999999995</v>
      </c>
      <c r="I5446">
        <v>214.94630000000001</v>
      </c>
      <c r="J5446">
        <v>-274.2672</v>
      </c>
      <c r="K5446">
        <v>1.1215599999999999</v>
      </c>
      <c r="L5446">
        <v>214.99</v>
      </c>
      <c r="M5446">
        <v>0.99988279999999996</v>
      </c>
      <c r="N5446">
        <v>-1.4046080000000001E-2</v>
      </c>
      <c r="O5446">
        <v>6.0897659999999999E-3</v>
      </c>
      <c r="P5446">
        <v>0.98838550000000003</v>
      </c>
      <c r="Q5446">
        <v>0.14484910000000001</v>
      </c>
      <c r="R5446">
        <v>4.5967859999999999E-2</v>
      </c>
      <c r="S5446">
        <v>3.190582</v>
      </c>
      <c r="T5446">
        <v>-1.017028</v>
      </c>
      <c r="U5446">
        <v>-0.15422060000000001</v>
      </c>
      <c r="V5446">
        <v>-3.9964859999999998E-2</v>
      </c>
      <c r="W5446">
        <v>0.1587172</v>
      </c>
      <c r="X5446">
        <v>0.98651489999999997</v>
      </c>
      <c r="Y5446">
        <v>5.1425169999999999E-2</v>
      </c>
      <c r="Z5446">
        <v>-1.017379E-2</v>
      </c>
      <c r="AA5446">
        <v>0.99862499999999998</v>
      </c>
      <c r="AB5446">
        <v>31</v>
      </c>
      <c r="AC5446">
        <v>0.55799999999999195</v>
      </c>
      <c r="AD5446">
        <v>-0.2749238</v>
      </c>
      <c r="AE5446">
        <v>-4.3700000000001099E-2</v>
      </c>
      <c r="AF5446">
        <v>3.7943129541957797E-2</v>
      </c>
      <c r="AG5446">
        <v>-0.2749238</v>
      </c>
      <c r="AH5446">
        <v>0.449317347319516</v>
      </c>
      <c r="AI5446">
        <v>121.370658623075</v>
      </c>
      <c r="AJ5446">
        <v>85.173042995352702</v>
      </c>
      <c r="AK5446">
        <v>0.52811822112868301</v>
      </c>
      <c r="AL5446">
        <v>80.867554172672001</v>
      </c>
      <c r="AM5446">
        <v>92.319849797601805</v>
      </c>
      <c r="AN5446">
        <v>0.99999999376633397</v>
      </c>
    </row>
    <row r="5447" spans="1:40" x14ac:dyDescent="0.25">
      <c r="A5447" t="str">
        <f>"20190303162020959"</f>
        <v>20190303162020959</v>
      </c>
      <c r="B5447" t="str">
        <f>"1551601220947716"</f>
        <v>1551601220947716</v>
      </c>
      <c r="C5447" t="s">
        <v>40</v>
      </c>
      <c r="D5447">
        <v>4.7643000000000004</v>
      </c>
      <c r="E5447">
        <v>0.53499919999999901</v>
      </c>
      <c r="F5447" t="s">
        <v>42</v>
      </c>
      <c r="G5447">
        <v>-273.4316</v>
      </c>
      <c r="H5447">
        <v>0.85650749999999998</v>
      </c>
      <c r="I5447">
        <v>214.9502</v>
      </c>
      <c r="J5447">
        <v>-273.88529999999997</v>
      </c>
      <c r="K5447">
        <v>1.121569</v>
      </c>
      <c r="L5447">
        <v>214.99250000000001</v>
      </c>
      <c r="M5447">
        <v>0.9998823</v>
      </c>
      <c r="N5447">
        <v>-1.404237E-2</v>
      </c>
      <c r="O5447">
        <v>6.2090829999999998E-3</v>
      </c>
      <c r="P5447">
        <v>0.98843769999999997</v>
      </c>
      <c r="Q5447">
        <v>0.144088299999999</v>
      </c>
      <c r="R5447">
        <v>4.7218980000000001E-2</v>
      </c>
      <c r="S5447">
        <v>3.190674</v>
      </c>
      <c r="T5447">
        <v>-1.0120129999999901</v>
      </c>
      <c r="U5447">
        <v>-0.15129089999999901</v>
      </c>
      <c r="V5447">
        <v>-4.1100810000000002E-2</v>
      </c>
      <c r="W5447">
        <v>0.1579526</v>
      </c>
      <c r="X5447">
        <v>0.98659090000000005</v>
      </c>
      <c r="Y5447">
        <v>5.068839E-2</v>
      </c>
      <c r="Z5447">
        <v>-1.004305E-2</v>
      </c>
      <c r="AA5447">
        <v>0.998664</v>
      </c>
      <c r="AB5447">
        <v>31</v>
      </c>
      <c r="AC5447">
        <v>0.45369999999996902</v>
      </c>
      <c r="AD5447">
        <v>-0.26506149999999901</v>
      </c>
      <c r="AE5447">
        <v>-4.2300000000011502E-2</v>
      </c>
      <c r="AF5447">
        <v>3.3709951929708402E-2</v>
      </c>
      <c r="AG5447">
        <v>-0.26506149999999901</v>
      </c>
      <c r="AH5447">
        <v>0.33879064271770198</v>
      </c>
      <c r="AI5447">
        <v>127.901867385049</v>
      </c>
      <c r="AJ5447">
        <v>84.317725123816501</v>
      </c>
      <c r="AK5447">
        <v>0.43147776215516198</v>
      </c>
      <c r="AL5447">
        <v>80.9119218282367</v>
      </c>
      <c r="AM5447">
        <v>92.385529855364993</v>
      </c>
      <c r="AN5447">
        <v>0.99999995219611104</v>
      </c>
    </row>
    <row r="5448" spans="1:40" x14ac:dyDescent="0.25">
      <c r="A5448" t="str">
        <f>"20190303162020975"</f>
        <v>20190303162020975</v>
      </c>
      <c r="B5448" t="str">
        <f>"1551601220968211"</f>
        <v>1551601220968211</v>
      </c>
      <c r="C5448" t="s">
        <v>40</v>
      </c>
      <c r="D5448">
        <v>4.7409759999999999</v>
      </c>
      <c r="E5448">
        <v>0.5354679</v>
      </c>
      <c r="F5448" t="s">
        <v>42</v>
      </c>
      <c r="G5448">
        <v>-273.14580000000001</v>
      </c>
      <c r="H5448">
        <v>0.88562319999999894</v>
      </c>
      <c r="I5448">
        <v>214.95750000000001</v>
      </c>
      <c r="J5448">
        <v>-273.66539999999998</v>
      </c>
      <c r="K5448">
        <v>1.121569</v>
      </c>
      <c r="L5448">
        <v>214.9939</v>
      </c>
      <c r="M5448">
        <v>0.99988180000000004</v>
      </c>
      <c r="N5448">
        <v>-1.4040240000000001E-2</v>
      </c>
      <c r="O5448">
        <v>6.2807260000000004E-3</v>
      </c>
      <c r="P5448">
        <v>0.98836570000000001</v>
      </c>
      <c r="Q5448">
        <v>0.14421289999999901</v>
      </c>
      <c r="R5448">
        <v>4.8335990000000002E-2</v>
      </c>
      <c r="S5448">
        <v>3.1907040000000002</v>
      </c>
      <c r="T5448">
        <v>-1.018011</v>
      </c>
      <c r="U5448">
        <v>-0.150665299999999</v>
      </c>
      <c r="V5448">
        <v>-4.2149039999999999E-2</v>
      </c>
      <c r="W5448">
        <v>0.15807360000000001</v>
      </c>
      <c r="X5448">
        <v>0.9865273</v>
      </c>
      <c r="Y5448">
        <v>5.0535879999999998E-2</v>
      </c>
      <c r="Z5448">
        <v>-1.009471E-2</v>
      </c>
      <c r="AA5448">
        <v>0.99867119999999998</v>
      </c>
      <c r="AB5448">
        <v>31</v>
      </c>
      <c r="AC5448">
        <v>0.51959999999996798</v>
      </c>
      <c r="AD5448">
        <v>-0.23594580000000001</v>
      </c>
      <c r="AE5448">
        <v>-3.63999999999862E-2</v>
      </c>
      <c r="AF5448">
        <v>3.2910169862477197E-2</v>
      </c>
      <c r="AG5448">
        <v>-0.23594580000000001</v>
      </c>
      <c r="AH5448">
        <v>0.43093645880828502</v>
      </c>
      <c r="AI5448">
        <v>118.63141063464499</v>
      </c>
      <c r="AJ5448">
        <v>85.632857694547894</v>
      </c>
      <c r="AK5448">
        <v>0.49240200177115601</v>
      </c>
      <c r="AL5448">
        <v>80.904900897416297</v>
      </c>
      <c r="AM5448">
        <v>92.446454638263802</v>
      </c>
      <c r="AN5448">
        <v>0.99999995911758399</v>
      </c>
    </row>
    <row r="5449" spans="1:40" x14ac:dyDescent="0.25">
      <c r="A5449" t="str">
        <f>"20190303162020997"</f>
        <v>20190303162020997</v>
      </c>
      <c r="B5449" t="str">
        <f>"1551601220987731"</f>
        <v>1551601220987731</v>
      </c>
      <c r="C5449" t="s">
        <v>40</v>
      </c>
      <c r="D5449">
        <v>4.7865409999999997</v>
      </c>
      <c r="E5449">
        <v>0.53588649999999904</v>
      </c>
      <c r="F5449" t="s">
        <v>42</v>
      </c>
      <c r="G5449">
        <v>-272.87939999999998</v>
      </c>
      <c r="H5449">
        <v>0.87010259999999995</v>
      </c>
      <c r="I5449">
        <v>214.95670000000001</v>
      </c>
      <c r="J5449">
        <v>-273.36070000000001</v>
      </c>
      <c r="K5449">
        <v>1.1215729999999999</v>
      </c>
      <c r="L5449">
        <v>214.99590000000001</v>
      </c>
      <c r="M5449">
        <v>0.99988109999999997</v>
      </c>
      <c r="N5449">
        <v>-1.4037279999999999E-2</v>
      </c>
      <c r="O5449">
        <v>6.3799690000000001E-3</v>
      </c>
      <c r="P5449">
        <v>0.98827849999999995</v>
      </c>
      <c r="Q5449">
        <v>0.14479139999999999</v>
      </c>
      <c r="R5449">
        <v>4.8385999999999998E-2</v>
      </c>
      <c r="S5449">
        <v>3.1916500000000001</v>
      </c>
      <c r="T5449">
        <v>-1.021074</v>
      </c>
      <c r="U5449">
        <v>-0.15029909999999999</v>
      </c>
      <c r="V5449">
        <v>-4.2102300000000002E-2</v>
      </c>
      <c r="W5449">
        <v>0.15864800000000001</v>
      </c>
      <c r="X5449">
        <v>0.98643709999999996</v>
      </c>
      <c r="Y5449">
        <v>5.0489430000000002E-2</v>
      </c>
      <c r="Z5449">
        <v>-1.0142109999999999E-2</v>
      </c>
      <c r="AA5449">
        <v>0.99867309999999998</v>
      </c>
      <c r="AB5449">
        <v>31</v>
      </c>
      <c r="AC5449">
        <v>0.48130000000003198</v>
      </c>
      <c r="AD5449">
        <v>-0.25147039999999998</v>
      </c>
      <c r="AE5449">
        <v>-3.9199999999993899E-2</v>
      </c>
      <c r="AF5449">
        <v>3.3252500660840602E-2</v>
      </c>
      <c r="AG5449">
        <v>-0.25147039999999998</v>
      </c>
      <c r="AH5449">
        <v>0.37841769927184399</v>
      </c>
      <c r="AI5449">
        <v>123.503779746414</v>
      </c>
      <c r="AJ5449">
        <v>84.978176868843903</v>
      </c>
      <c r="AK5449">
        <v>0.45556892562877299</v>
      </c>
      <c r="AL5449">
        <v>80.871569720402505</v>
      </c>
      <c r="AM5449">
        <v>92.443968187099699</v>
      </c>
      <c r="AN5449">
        <v>0.99999997191284895</v>
      </c>
    </row>
    <row r="5450" spans="1:40" x14ac:dyDescent="0.25">
      <c r="A5450" t="str">
        <f>"20190303162021020"</f>
        <v>20190303162021020</v>
      </c>
      <c r="B5450" t="str">
        <f>"1551601221008228"</f>
        <v>1551601221008228</v>
      </c>
      <c r="C5450" t="s">
        <v>40</v>
      </c>
      <c r="D5450">
        <v>4.7866720000000003</v>
      </c>
      <c r="E5450">
        <v>0.53621399999999997</v>
      </c>
      <c r="F5450" t="s">
        <v>42</v>
      </c>
      <c r="G5450">
        <v>-272.60289999999998</v>
      </c>
      <c r="H5450">
        <v>0.87876929999999998</v>
      </c>
      <c r="I5450">
        <v>214.9597</v>
      </c>
      <c r="J5450">
        <v>-273.0471</v>
      </c>
      <c r="K5450">
        <v>1.121577</v>
      </c>
      <c r="L5450">
        <v>214.99799999999999</v>
      </c>
      <c r="M5450">
        <v>0.99988069999999896</v>
      </c>
      <c r="N5450">
        <v>-1.403426E-2</v>
      </c>
      <c r="O5450">
        <v>6.4805110000000004E-3</v>
      </c>
      <c r="P5450">
        <v>0.98833199999999999</v>
      </c>
      <c r="Q5450">
        <v>0.14457739999999999</v>
      </c>
      <c r="R5450">
        <v>4.7933030000000001E-2</v>
      </c>
      <c r="S5450">
        <v>3.1929020000000001</v>
      </c>
      <c r="T5450">
        <v>-1.0229619999999999</v>
      </c>
      <c r="U5450">
        <v>-0.1521912</v>
      </c>
      <c r="V5450">
        <v>-4.1550139999999999E-2</v>
      </c>
      <c r="W5450">
        <v>0.15843189999999999</v>
      </c>
      <c r="X5450">
        <v>0.98649529999999996</v>
      </c>
      <c r="Y5450">
        <v>5.1116460000000002E-2</v>
      </c>
      <c r="Z5450">
        <v>-1.0288139999999999E-2</v>
      </c>
      <c r="AA5450">
        <v>0.99863970000000002</v>
      </c>
      <c r="AB5450">
        <v>31</v>
      </c>
      <c r="AC5450">
        <v>0.44420000000002302</v>
      </c>
      <c r="AD5450">
        <v>-0.24280769999999999</v>
      </c>
      <c r="AE5450">
        <v>-3.8299999999992403E-2</v>
      </c>
      <c r="AF5450">
        <v>3.1758874830156297E-2</v>
      </c>
      <c r="AG5450">
        <v>-0.24280769999999999</v>
      </c>
      <c r="AH5450">
        <v>0.34239328863171797</v>
      </c>
      <c r="AI5450">
        <v>125.22658317700601</v>
      </c>
      <c r="AJ5450">
        <v>84.700662022124504</v>
      </c>
      <c r="AK5450">
        <v>0.42094817900759501</v>
      </c>
      <c r="AL5450">
        <v>80.884110465184307</v>
      </c>
      <c r="AM5450">
        <v>92.411812196257202</v>
      </c>
      <c r="AN5450">
        <v>1.00000002899685</v>
      </c>
    </row>
    <row r="5451" spans="1:40" x14ac:dyDescent="0.25">
      <c r="A5451" t="str">
        <f>"20190303162021043"</f>
        <v>20190303162021043</v>
      </c>
      <c r="B5451" t="str">
        <f>"1551601221038484"</f>
        <v>1551601221038484</v>
      </c>
      <c r="C5451" t="s">
        <v>40</v>
      </c>
      <c r="D5451">
        <v>4.8406919999999998</v>
      </c>
      <c r="E5451">
        <v>0.53654029999999997</v>
      </c>
      <c r="F5451" t="s">
        <v>42</v>
      </c>
      <c r="G5451">
        <v>-272.32560000000001</v>
      </c>
      <c r="H5451">
        <v>0.88949619999999996</v>
      </c>
      <c r="I5451">
        <v>214.96289999999999</v>
      </c>
      <c r="J5451">
        <v>-272.73750000000001</v>
      </c>
      <c r="K5451">
        <v>1.121578</v>
      </c>
      <c r="L5451">
        <v>215.0001</v>
      </c>
      <c r="M5451">
        <v>0.99987990000000004</v>
      </c>
      <c r="N5451">
        <v>-1.403125E-2</v>
      </c>
      <c r="O5451">
        <v>6.5782979999999998E-3</v>
      </c>
      <c r="P5451">
        <v>0.98836440000000003</v>
      </c>
      <c r="Q5451">
        <v>0.14463000000000001</v>
      </c>
      <c r="R5451">
        <v>4.7097359999999998E-2</v>
      </c>
      <c r="S5451">
        <v>3.1932070000000001</v>
      </c>
      <c r="T5451">
        <v>-1.0271459999999999</v>
      </c>
      <c r="U5451">
        <v>-0.15509029999999999</v>
      </c>
      <c r="V5451">
        <v>-4.0617920000000002E-2</v>
      </c>
      <c r="W5451">
        <v>0.15848180000000001</v>
      </c>
      <c r="X5451">
        <v>0.98652609999999996</v>
      </c>
      <c r="Y5451">
        <v>5.2038380000000002E-2</v>
      </c>
      <c r="Z5451">
        <v>-1.050655E-2</v>
      </c>
      <c r="AA5451">
        <v>0.99858979999999997</v>
      </c>
      <c r="AB5451">
        <v>31</v>
      </c>
      <c r="AC5451">
        <v>0.41190000000000199</v>
      </c>
      <c r="AD5451">
        <v>-0.23208179999999901</v>
      </c>
      <c r="AE5451">
        <v>-3.7200000000012702E-2</v>
      </c>
      <c r="AF5451">
        <v>3.0351438980242101E-2</v>
      </c>
      <c r="AG5451">
        <v>-0.23208179999999901</v>
      </c>
      <c r="AH5451">
        <v>0.31306320422228801</v>
      </c>
      <c r="AI5451">
        <v>126.422358833654</v>
      </c>
      <c r="AJ5451">
        <v>84.462487520680099</v>
      </c>
      <c r="AK5451">
        <v>0.39088584212956201</v>
      </c>
      <c r="AL5451">
        <v>80.881214750043895</v>
      </c>
      <c r="AM5451">
        <v>92.357688954894499</v>
      </c>
      <c r="AN5451">
        <v>1.0000000211687801</v>
      </c>
    </row>
    <row r="5452" spans="1:40" x14ac:dyDescent="0.25">
      <c r="A5452" t="str">
        <f>"20190303162021065"</f>
        <v>20190303162021065</v>
      </c>
      <c r="B5452" t="str">
        <f>"1551601221058071"</f>
        <v>1551601221058071</v>
      </c>
      <c r="C5452" t="s">
        <v>40</v>
      </c>
      <c r="D5452">
        <v>4.8262219999999996</v>
      </c>
      <c r="E5452">
        <v>0.53667319999999996</v>
      </c>
      <c r="F5452" t="s">
        <v>42</v>
      </c>
      <c r="G5452">
        <v>-272.04899999999998</v>
      </c>
      <c r="H5452">
        <v>0.89927950000000001</v>
      </c>
      <c r="I5452">
        <v>214.96530000000001</v>
      </c>
      <c r="J5452">
        <v>-272.4332</v>
      </c>
      <c r="K5452">
        <v>1.1215790000000001</v>
      </c>
      <c r="L5452">
        <v>215.00219999999999</v>
      </c>
      <c r="M5452">
        <v>0.99987939999999997</v>
      </c>
      <c r="N5452">
        <v>-1.402831E-2</v>
      </c>
      <c r="O5452">
        <v>6.6722630000000003E-3</v>
      </c>
      <c r="P5452">
        <v>0.98846880000000004</v>
      </c>
      <c r="Q5452">
        <v>0.14428729999999901</v>
      </c>
      <c r="R5452">
        <v>4.594492E-2</v>
      </c>
      <c r="S5452">
        <v>3.1939090000000001</v>
      </c>
      <c r="T5452">
        <v>-1.031325</v>
      </c>
      <c r="U5452">
        <v>-0.16172790000000001</v>
      </c>
      <c r="V5452">
        <v>-3.93721E-2</v>
      </c>
      <c r="W5452">
        <v>0.15813759999999999</v>
      </c>
      <c r="X5452">
        <v>0.98663179999999995</v>
      </c>
      <c r="Y5452">
        <v>5.4057939999999999E-2</v>
      </c>
      <c r="Z5452">
        <v>-1.090416E-2</v>
      </c>
      <c r="AA5452">
        <v>0.99847819999999998</v>
      </c>
      <c r="AB5452">
        <v>30</v>
      </c>
      <c r="AC5452">
        <v>0.38419999999996401</v>
      </c>
      <c r="AD5452">
        <v>-0.22229950000000001</v>
      </c>
      <c r="AE5452">
        <v>-3.6899999999974398E-2</v>
      </c>
      <c r="AF5452">
        <v>2.9632992994492E-2</v>
      </c>
      <c r="AG5452">
        <v>-0.22229950000000001</v>
      </c>
      <c r="AH5452">
        <v>0.28830729213603101</v>
      </c>
      <c r="AI5452">
        <v>127.48855804849801</v>
      </c>
      <c r="AJ5452">
        <v>84.131594114450294</v>
      </c>
      <c r="AK5452">
        <v>0.36526192885773401</v>
      </c>
      <c r="AL5452">
        <v>80.901187502665394</v>
      </c>
      <c r="AM5452">
        <v>92.285207971958897</v>
      </c>
      <c r="AN5452">
        <v>0.99999998578170401</v>
      </c>
    </row>
    <row r="5453" spans="1:40" x14ac:dyDescent="0.25">
      <c r="A5453" t="str">
        <f>"20190303162021087"</f>
        <v>20190303162021087</v>
      </c>
      <c r="B5453" t="str">
        <f>"1551601221077591"</f>
        <v>1551601221077591</v>
      </c>
      <c r="C5453" t="s">
        <v>40</v>
      </c>
      <c r="D5453">
        <v>4.847175</v>
      </c>
      <c r="E5453">
        <v>0.53680969999999995</v>
      </c>
      <c r="F5453" t="s">
        <v>42</v>
      </c>
      <c r="G5453">
        <v>-271.5342</v>
      </c>
      <c r="H5453">
        <v>0.82991659999999901</v>
      </c>
      <c r="I5453">
        <v>214.95509999999999</v>
      </c>
      <c r="J5453">
        <v>-272.13929999999999</v>
      </c>
      <c r="K5453">
        <v>1.121578</v>
      </c>
      <c r="L5453">
        <v>215.0043</v>
      </c>
      <c r="M5453">
        <v>0.99987879999999996</v>
      </c>
      <c r="N5453">
        <v>-1.402546E-2</v>
      </c>
      <c r="O5453">
        <v>6.7627039999999996E-3</v>
      </c>
      <c r="P5453">
        <v>0.98845479999999997</v>
      </c>
      <c r="Q5453">
        <v>0.14464279999999999</v>
      </c>
      <c r="R5453">
        <v>4.5119199999999998E-2</v>
      </c>
      <c r="S5453">
        <v>3.1940309999999998</v>
      </c>
      <c r="T5453">
        <v>-1.03616</v>
      </c>
      <c r="U5453">
        <v>-0.16752619999999999</v>
      </c>
      <c r="V5453">
        <v>-3.8457169999999999E-2</v>
      </c>
      <c r="W5453">
        <v>0.158490299999999</v>
      </c>
      <c r="X5453">
        <v>0.98661129999999997</v>
      </c>
      <c r="Y5453">
        <v>5.582699E-2</v>
      </c>
      <c r="Z5453">
        <v>-1.127036E-2</v>
      </c>
      <c r="AA5453">
        <v>0.99837679999999995</v>
      </c>
      <c r="AB5453">
        <v>30</v>
      </c>
      <c r="AC5453">
        <v>0.60509999999999298</v>
      </c>
      <c r="AD5453">
        <v>-0.29166140000000002</v>
      </c>
      <c r="AE5453">
        <v>-4.9200000000013198E-2</v>
      </c>
      <c r="AF5453">
        <v>4.3298057835474101E-2</v>
      </c>
      <c r="AG5453">
        <v>-0.29166140000000002</v>
      </c>
      <c r="AH5453">
        <v>0.491348567454026</v>
      </c>
      <c r="AI5453">
        <v>120.59592232982899</v>
      </c>
      <c r="AJ5453">
        <v>84.964054992681994</v>
      </c>
      <c r="AK5453">
        <v>0.57303098415479004</v>
      </c>
      <c r="AL5453">
        <v>80.880721244669303</v>
      </c>
      <c r="AM5453">
        <v>92.232204930537407</v>
      </c>
      <c r="AN5453">
        <v>0.99999999320309396</v>
      </c>
    </row>
    <row r="5454" spans="1:40" x14ac:dyDescent="0.25">
      <c r="A5454" t="str">
        <f>"20190303162021109"</f>
        <v>20190303162021109</v>
      </c>
      <c r="B5454" t="str">
        <f>"1551601221098087"</f>
        <v>1551601221098087</v>
      </c>
      <c r="C5454" t="s">
        <v>40</v>
      </c>
      <c r="D5454">
        <v>4.8487229999999997</v>
      </c>
      <c r="E5454">
        <v>0.53689580000000003</v>
      </c>
      <c r="F5454" t="s">
        <v>42</v>
      </c>
      <c r="G5454">
        <v>-271.26029999999997</v>
      </c>
      <c r="H5454">
        <v>0.83611669999999905</v>
      </c>
      <c r="I5454">
        <v>214.95699999999999</v>
      </c>
      <c r="J5454">
        <v>-271.82709999999997</v>
      </c>
      <c r="K5454">
        <v>1.1215759999999999</v>
      </c>
      <c r="L5454">
        <v>215.00649999999999</v>
      </c>
      <c r="M5454">
        <v>0.99987820000000005</v>
      </c>
      <c r="N5454">
        <v>-1.4022400000000001E-2</v>
      </c>
      <c r="O5454">
        <v>6.8583289999999998E-3</v>
      </c>
      <c r="P5454">
        <v>0.98841610000000002</v>
      </c>
      <c r="Q5454">
        <v>0.1449116</v>
      </c>
      <c r="R5454">
        <v>4.5105720000000002E-2</v>
      </c>
      <c r="S5454">
        <v>3.1946720000000002</v>
      </c>
      <c r="T5454">
        <v>-1.0374209999999999</v>
      </c>
      <c r="U5454">
        <v>-0.17143249999999999</v>
      </c>
      <c r="V5454">
        <v>-3.8350130000000003E-2</v>
      </c>
      <c r="W5454">
        <v>0.1587558</v>
      </c>
      <c r="X5454">
        <v>0.98657280000000003</v>
      </c>
      <c r="Y5454">
        <v>5.7052869999999999E-2</v>
      </c>
      <c r="Z5454">
        <v>-1.151231E-2</v>
      </c>
      <c r="AA5454">
        <v>0.99830479999999999</v>
      </c>
      <c r="AB5454">
        <v>30</v>
      </c>
      <c r="AC5454">
        <v>0.56679999999999997</v>
      </c>
      <c r="AD5454">
        <v>-0.28545930000000003</v>
      </c>
      <c r="AE5454">
        <v>-4.9499999999994701E-2</v>
      </c>
      <c r="AF5454">
        <v>4.2650306257415303E-2</v>
      </c>
      <c r="AG5454">
        <v>-0.28545930000000003</v>
      </c>
      <c r="AH5454">
        <v>0.452532679139863</v>
      </c>
      <c r="AI5454">
        <v>122.12966892146601</v>
      </c>
      <c r="AJ5454">
        <v>84.615890773870404</v>
      </c>
      <c r="AK5454">
        <v>0.53674191774990299</v>
      </c>
      <c r="AL5454">
        <v>80.865314332477496</v>
      </c>
      <c r="AM5454">
        <v>92.226084947953794</v>
      </c>
      <c r="AN5454">
        <v>1.00000001310224</v>
      </c>
    </row>
    <row r="5455" spans="1:40" x14ac:dyDescent="0.25">
      <c r="A5455" t="str">
        <f>"20190303162021132"</f>
        <v>20190303162021132</v>
      </c>
      <c r="B5455" t="str">
        <f>"1551601221128343"</f>
        <v>1551601221128343</v>
      </c>
      <c r="C5455" t="s">
        <v>40</v>
      </c>
      <c r="D5455">
        <v>4.8615830000000004</v>
      </c>
      <c r="E5455">
        <v>0.53703749999999995</v>
      </c>
      <c r="F5455" t="s">
        <v>42</v>
      </c>
      <c r="G5455">
        <v>-270.9846</v>
      </c>
      <c r="H5455">
        <v>0.84748020000000002</v>
      </c>
      <c r="I5455">
        <v>214.96109999999999</v>
      </c>
      <c r="J5455">
        <v>-271.52609999999999</v>
      </c>
      <c r="K5455">
        <v>1.1215790000000001</v>
      </c>
      <c r="L5455">
        <v>215.0087</v>
      </c>
      <c r="M5455">
        <v>0.99987760000000003</v>
      </c>
      <c r="N5455">
        <v>-1.4019429999999999E-2</v>
      </c>
      <c r="O5455">
        <v>6.9507299999999996E-3</v>
      </c>
      <c r="P5455">
        <v>0.98836060000000003</v>
      </c>
      <c r="Q5455">
        <v>0.14507200000000001</v>
      </c>
      <c r="R5455">
        <v>4.5796549999999998E-2</v>
      </c>
      <c r="S5455">
        <v>3.1954039999999999</v>
      </c>
      <c r="T5455">
        <v>-1.03969</v>
      </c>
      <c r="U5455">
        <v>-0.1720428</v>
      </c>
      <c r="V5455">
        <v>-3.8949409999999997E-2</v>
      </c>
      <c r="W5455">
        <v>0.15891259999999999</v>
      </c>
      <c r="X5455">
        <v>0.98652399999999996</v>
      </c>
      <c r="Y5455">
        <v>5.7293040000000003E-2</v>
      </c>
      <c r="Z5455">
        <v>-1.1600900000000001E-2</v>
      </c>
      <c r="AA5455">
        <v>0.99829000000000001</v>
      </c>
      <c r="AB5455">
        <v>30</v>
      </c>
      <c r="AC5455">
        <v>0.54149999999998499</v>
      </c>
      <c r="AD5455">
        <v>-0.27409879999999998</v>
      </c>
      <c r="AE5455">
        <v>-4.76000000000169E-2</v>
      </c>
      <c r="AF5455">
        <v>4.0950940968952597E-2</v>
      </c>
      <c r="AG5455">
        <v>-0.27409879999999998</v>
      </c>
      <c r="AH5455">
        <v>0.43145515936055101</v>
      </c>
      <c r="AI5455">
        <v>122.31117813605699</v>
      </c>
      <c r="AJ5455">
        <v>84.578096441656001</v>
      </c>
      <c r="AK5455">
        <v>0.51279692497763796</v>
      </c>
      <c r="AL5455">
        <v>80.856214134860707</v>
      </c>
      <c r="AM5455">
        <v>92.260946862769501</v>
      </c>
      <c r="AN5455">
        <v>0.99999993677705201</v>
      </c>
    </row>
    <row r="5456" spans="1:40" x14ac:dyDescent="0.25">
      <c r="A5456" t="str">
        <f>"20190303162021154"</f>
        <v>20190303162021154</v>
      </c>
      <c r="B5456" t="str">
        <f>"1551601221147863"</f>
        <v>1551601221147863</v>
      </c>
      <c r="C5456" t="s">
        <v>40</v>
      </c>
      <c r="D5456">
        <v>4.8440750000000001</v>
      </c>
      <c r="E5456">
        <v>0.53711350000000002</v>
      </c>
      <c r="F5456" t="s">
        <v>42</v>
      </c>
      <c r="G5456">
        <v>-270.7106</v>
      </c>
      <c r="H5456">
        <v>0.85555709999999996</v>
      </c>
      <c r="I5456">
        <v>214.96469999999999</v>
      </c>
      <c r="J5456">
        <v>-271.22669999999999</v>
      </c>
      <c r="K5456">
        <v>1.1215790000000001</v>
      </c>
      <c r="L5456">
        <v>215.01089999999999</v>
      </c>
      <c r="M5456">
        <v>0.99987709999999996</v>
      </c>
      <c r="N5456">
        <v>-1.401665E-2</v>
      </c>
      <c r="O5456">
        <v>7.0421190000000003E-3</v>
      </c>
      <c r="P5456">
        <v>0.98823729999999999</v>
      </c>
      <c r="Q5456">
        <v>0.14566670000000001</v>
      </c>
      <c r="R5456">
        <v>4.6567740000000003E-2</v>
      </c>
      <c r="S5456">
        <v>3.1963200000000001</v>
      </c>
      <c r="T5456">
        <v>-1.0426709999999999</v>
      </c>
      <c r="U5456">
        <v>-0.171783399999999</v>
      </c>
      <c r="V5456">
        <v>-3.9630970000000001E-2</v>
      </c>
      <c r="W5456">
        <v>0.15950239999999999</v>
      </c>
      <c r="X5456">
        <v>0.98640170000000005</v>
      </c>
      <c r="Y5456">
        <v>5.7268199999999998E-2</v>
      </c>
      <c r="Z5456">
        <v>-1.1652269999999999E-2</v>
      </c>
      <c r="AA5456">
        <v>0.99829080000000003</v>
      </c>
      <c r="AB5456">
        <v>30</v>
      </c>
      <c r="AC5456">
        <v>0.51609999999999401</v>
      </c>
      <c r="AD5456">
        <v>-0.26602189999999998</v>
      </c>
      <c r="AE5456">
        <v>-4.6199999999998902E-2</v>
      </c>
      <c r="AF5456">
        <v>3.9438680744108702E-2</v>
      </c>
      <c r="AG5456">
        <v>-0.26602189999999998</v>
      </c>
      <c r="AH5456">
        <v>0.40817733621712599</v>
      </c>
      <c r="AI5456">
        <v>122.97188364041099</v>
      </c>
      <c r="AJ5456">
        <v>84.481131078284506</v>
      </c>
      <c r="AK5456">
        <v>0.48880650427316802</v>
      </c>
      <c r="AL5456">
        <v>80.821984809244697</v>
      </c>
      <c r="AM5456">
        <v>92.300753037378797</v>
      </c>
      <c r="AN5456">
        <v>0.99999997157589504</v>
      </c>
    </row>
    <row r="5457" spans="1:40" x14ac:dyDescent="0.25">
      <c r="A5457" t="str">
        <f>"20190303162021176"</f>
        <v>20190303162021176</v>
      </c>
      <c r="B5457" t="str">
        <f>"1551601221168359"</f>
        <v>1551601221168359</v>
      </c>
      <c r="C5457" t="s">
        <v>40</v>
      </c>
      <c r="D5457">
        <v>4.9081279999999996</v>
      </c>
      <c r="E5457">
        <v>0.53718299999999997</v>
      </c>
      <c r="F5457" t="s">
        <v>42</v>
      </c>
      <c r="G5457">
        <v>-270.43669999999997</v>
      </c>
      <c r="H5457">
        <v>0.86381939999999902</v>
      </c>
      <c r="I5457">
        <v>214.96889999999999</v>
      </c>
      <c r="J5457">
        <v>-270.93549999999999</v>
      </c>
      <c r="K5457">
        <v>1.121588</v>
      </c>
      <c r="L5457">
        <v>215.01300000000001</v>
      </c>
      <c r="M5457">
        <v>0.9998764</v>
      </c>
      <c r="N5457">
        <v>-1.401401E-2</v>
      </c>
      <c r="O5457">
        <v>7.1311819999999998E-3</v>
      </c>
      <c r="P5457">
        <v>0.98812460000000002</v>
      </c>
      <c r="Q5457">
        <v>0.14624129999999999</v>
      </c>
      <c r="R5457">
        <v>4.7153559999999997E-2</v>
      </c>
      <c r="S5457">
        <v>3.1974179999999999</v>
      </c>
      <c r="T5457">
        <v>-1.0432779999999999</v>
      </c>
      <c r="U5457">
        <v>-0.16954040000000001</v>
      </c>
      <c r="V5457">
        <v>-4.0130020000000002E-2</v>
      </c>
      <c r="W5457">
        <v>0.16007289999999999</v>
      </c>
      <c r="X5457">
        <v>0.98628910000000003</v>
      </c>
      <c r="Y5457">
        <v>5.6666979999999999E-2</v>
      </c>
      <c r="Z5457">
        <v>-1.1582210000000001E-2</v>
      </c>
      <c r="AA5457">
        <v>0.99832589999999999</v>
      </c>
      <c r="AB5457">
        <v>30</v>
      </c>
      <c r="AC5457">
        <v>0.49880000000001701</v>
      </c>
      <c r="AD5457">
        <v>-0.25776860000000001</v>
      </c>
      <c r="AE5457">
        <v>-4.4100000000014399E-2</v>
      </c>
      <c r="AF5457">
        <v>3.7673302590265301E-2</v>
      </c>
      <c r="AG5457">
        <v>-0.25776860000000001</v>
      </c>
      <c r="AH5457">
        <v>0.39405350052280702</v>
      </c>
      <c r="AI5457">
        <v>123.071250194703</v>
      </c>
      <c r="AJ5457">
        <v>84.538861830071596</v>
      </c>
      <c r="AK5457">
        <v>0.47237918047718402</v>
      </c>
      <c r="AL5457">
        <v>80.788872102293993</v>
      </c>
      <c r="AM5457">
        <v>92.329959049148997</v>
      </c>
      <c r="AN5457">
        <v>0.99999997029920895</v>
      </c>
    </row>
    <row r="5458" spans="1:40" x14ac:dyDescent="0.25">
      <c r="A5458" t="str">
        <f>"20190303162021198"</f>
        <v>20190303162021198</v>
      </c>
      <c r="B5458" t="str">
        <f>"1551601221187879"</f>
        <v>1551601221187879</v>
      </c>
      <c r="C5458" t="s">
        <v>40</v>
      </c>
      <c r="D5458">
        <v>4.9145050000000001</v>
      </c>
      <c r="E5458">
        <v>0.53725019999999901</v>
      </c>
      <c r="F5458" t="s">
        <v>42</v>
      </c>
      <c r="G5458">
        <v>-270.16390000000001</v>
      </c>
      <c r="H5458">
        <v>0.8696895</v>
      </c>
      <c r="I5458">
        <v>214.97239999999999</v>
      </c>
      <c r="J5458">
        <v>-270.62520000000001</v>
      </c>
      <c r="K5458">
        <v>1.121586</v>
      </c>
      <c r="L5458">
        <v>215.0153</v>
      </c>
      <c r="M5458">
        <v>0.99987570000000003</v>
      </c>
      <c r="N5458">
        <v>-1.401089E-2</v>
      </c>
      <c r="O5458">
        <v>7.2262659999999899E-3</v>
      </c>
      <c r="P5458">
        <v>0.98802020000000002</v>
      </c>
      <c r="Q5458">
        <v>0.14691589999999999</v>
      </c>
      <c r="R5458">
        <v>4.7241869999999998E-2</v>
      </c>
      <c r="S5458">
        <v>3.1986080000000001</v>
      </c>
      <c r="T5458">
        <v>-1.04423</v>
      </c>
      <c r="U5458">
        <v>-0.1678772</v>
      </c>
      <c r="V5458">
        <v>-4.012512E-2</v>
      </c>
      <c r="W5458">
        <v>0.1607431</v>
      </c>
      <c r="X5458">
        <v>0.98618030000000001</v>
      </c>
      <c r="Y5458">
        <v>5.6239589999999999E-2</v>
      </c>
      <c r="Z5458">
        <v>-1.1545990000000001E-2</v>
      </c>
      <c r="AA5458">
        <v>0.99835059999999998</v>
      </c>
      <c r="AB5458">
        <v>30</v>
      </c>
      <c r="AC5458">
        <v>0.46129999999999399</v>
      </c>
      <c r="AD5458">
        <v>-0.25189650000000002</v>
      </c>
      <c r="AE5458">
        <v>-4.2900000000002998E-2</v>
      </c>
      <c r="AF5458">
        <v>3.5683761547628597E-2</v>
      </c>
      <c r="AG5458">
        <v>-0.25189650000000002</v>
      </c>
      <c r="AH5458">
        <v>0.35579647947339899</v>
      </c>
      <c r="AI5458">
        <v>125.162596224346</v>
      </c>
      <c r="AJ5458">
        <v>84.272807382539696</v>
      </c>
      <c r="AK5458">
        <v>0.43739720204421001</v>
      </c>
      <c r="AL5458">
        <v>80.7499687612858</v>
      </c>
      <c r="AM5458">
        <v>92.329931604734398</v>
      </c>
      <c r="AN5458">
        <v>0.99999997678035701</v>
      </c>
    </row>
    <row r="5459" spans="1:40" x14ac:dyDescent="0.25">
      <c r="A5459" t="str">
        <f>"20190303162021221"</f>
        <v>20190303162021221</v>
      </c>
      <c r="B5459" t="str">
        <f>"1551601221218135"</f>
        <v>1551601221218135</v>
      </c>
      <c r="C5459" t="s">
        <v>40</v>
      </c>
      <c r="D5459">
        <v>4.91357</v>
      </c>
      <c r="E5459">
        <v>0.53733330000000001</v>
      </c>
      <c r="F5459" t="s">
        <v>42</v>
      </c>
      <c r="G5459">
        <v>-269.88900000000001</v>
      </c>
      <c r="H5459">
        <v>0.88120880000000001</v>
      </c>
      <c r="I5459">
        <v>214.97659999999999</v>
      </c>
      <c r="J5459">
        <v>-270.32639999999998</v>
      </c>
      <c r="K5459">
        <v>1.1215900000000001</v>
      </c>
      <c r="L5459">
        <v>215.01759999999999</v>
      </c>
      <c r="M5459">
        <v>0.99987510000000002</v>
      </c>
      <c r="N5459">
        <v>-1.4007759999999999E-2</v>
      </c>
      <c r="O5459">
        <v>7.3174769999999898E-3</v>
      </c>
      <c r="P5459">
        <v>0.98794369999999998</v>
      </c>
      <c r="Q5459">
        <v>0.14737939999999999</v>
      </c>
      <c r="R5459">
        <v>4.740084E-2</v>
      </c>
      <c r="S5459">
        <v>3.1998289999999998</v>
      </c>
      <c r="T5459">
        <v>-1.0448409999999999</v>
      </c>
      <c r="U5459">
        <v>-0.16825870000000001</v>
      </c>
      <c r="V5459">
        <v>-4.0194489999999999E-2</v>
      </c>
      <c r="W5459">
        <v>0.16120200000000001</v>
      </c>
      <c r="X5459">
        <v>0.98610260000000005</v>
      </c>
      <c r="Y5459">
        <v>5.6414329999999999E-2</v>
      </c>
      <c r="Z5459">
        <v>-1.160488E-2</v>
      </c>
      <c r="AA5459">
        <v>0.99834000000000001</v>
      </c>
      <c r="AB5459">
        <v>30</v>
      </c>
      <c r="AC5459">
        <v>0.43739999999996798</v>
      </c>
      <c r="AD5459">
        <v>-0.24038119999999899</v>
      </c>
      <c r="AE5459">
        <v>-4.0999999999996803E-2</v>
      </c>
      <c r="AF5459">
        <v>3.4015744245572799E-2</v>
      </c>
      <c r="AG5459">
        <v>-0.24038119999999899</v>
      </c>
      <c r="AH5459">
        <v>0.33637832534371798</v>
      </c>
      <c r="AI5459">
        <v>125.412430207035</v>
      </c>
      <c r="AJ5459">
        <v>84.225681088354506</v>
      </c>
      <c r="AK5459">
        <v>0.41483800444398</v>
      </c>
      <c r="AL5459">
        <v>80.723328614725006</v>
      </c>
      <c r="AM5459">
        <v>92.334138938782502</v>
      </c>
      <c r="AN5459">
        <v>1.00000000977856</v>
      </c>
    </row>
    <row r="5460" spans="1:40" x14ac:dyDescent="0.25">
      <c r="A5460" t="str">
        <f>"20190303162021243"</f>
        <v>20190303162021243</v>
      </c>
      <c r="B5460" t="str">
        <f>"1551601221237655"</f>
        <v>1551601221237655</v>
      </c>
      <c r="C5460" t="s">
        <v>40</v>
      </c>
      <c r="D5460">
        <v>4.9320240000000002</v>
      </c>
      <c r="E5460">
        <v>0.5373812</v>
      </c>
      <c r="F5460" t="s">
        <v>42</v>
      </c>
      <c r="G5460">
        <v>-269.6157</v>
      </c>
      <c r="H5460">
        <v>0.8892504</v>
      </c>
      <c r="I5460">
        <v>214.97989999999999</v>
      </c>
      <c r="J5460">
        <v>-270.0258</v>
      </c>
      <c r="K5460">
        <v>1.1215980000000001</v>
      </c>
      <c r="L5460">
        <v>215.01990000000001</v>
      </c>
      <c r="M5460">
        <v>0.9998745</v>
      </c>
      <c r="N5460">
        <v>-1.4004630000000001E-2</v>
      </c>
      <c r="O5460">
        <v>7.4095219999999896E-3</v>
      </c>
      <c r="P5460">
        <v>0.98780259999999998</v>
      </c>
      <c r="Q5460">
        <v>0.1483931</v>
      </c>
      <c r="R5460">
        <v>4.7178579999999998E-2</v>
      </c>
      <c r="S5460">
        <v>3.2007750000000001</v>
      </c>
      <c r="T5460">
        <v>-1.0464850000000001</v>
      </c>
      <c r="U5460">
        <v>-0.16882320000000001</v>
      </c>
      <c r="V5460">
        <v>-3.9882170000000002E-2</v>
      </c>
      <c r="W5460">
        <v>0.16221089999999999</v>
      </c>
      <c r="X5460">
        <v>0.98594979999999999</v>
      </c>
      <c r="Y5460">
        <v>5.6641329999999997E-2</v>
      </c>
      <c r="Z5460">
        <v>-1.168435E-2</v>
      </c>
      <c r="AA5460">
        <v>0.99832619999999905</v>
      </c>
      <c r="AB5460">
        <v>30</v>
      </c>
      <c r="AC5460">
        <v>0.41009999999999902</v>
      </c>
      <c r="AD5460">
        <v>-0.23234759999999899</v>
      </c>
      <c r="AE5460">
        <v>-4.0000000000020401E-2</v>
      </c>
      <c r="AF5460">
        <v>3.2654672723370998E-2</v>
      </c>
      <c r="AG5460">
        <v>-0.23234759999999899</v>
      </c>
      <c r="AH5460">
        <v>0.310927150939593</v>
      </c>
      <c r="AI5460">
        <v>126.619215607252</v>
      </c>
      <c r="AJ5460">
        <v>84.004572536316203</v>
      </c>
      <c r="AK5460">
        <v>0.389522050810789</v>
      </c>
      <c r="AL5460">
        <v>80.664751742349793</v>
      </c>
      <c r="AM5460">
        <v>92.316380534919404</v>
      </c>
      <c r="AN5460">
        <v>0.99999998584137895</v>
      </c>
    </row>
    <row r="5461" spans="1:40" x14ac:dyDescent="0.25">
      <c r="A5461" t="str">
        <f>"20190303162021260"</f>
        <v>20190303162021260</v>
      </c>
      <c r="B5461" t="str">
        <f>"1551601221248391"</f>
        <v>1551601221248391</v>
      </c>
      <c r="C5461" t="s">
        <v>40</v>
      </c>
      <c r="D5461">
        <v>4.9508449999999904</v>
      </c>
      <c r="E5461">
        <v>0.53738809999999904</v>
      </c>
      <c r="F5461" t="s">
        <v>42</v>
      </c>
      <c r="G5461">
        <v>-269.34219999999999</v>
      </c>
      <c r="H5461">
        <v>0.89836489999999902</v>
      </c>
      <c r="I5461">
        <v>214.98349999999999</v>
      </c>
      <c r="J5461">
        <v>-269.8064</v>
      </c>
      <c r="K5461">
        <v>1.1216010000000001</v>
      </c>
      <c r="L5461">
        <v>215.02160000000001</v>
      </c>
      <c r="M5461">
        <v>0.99987409999999999</v>
      </c>
      <c r="N5461">
        <v>-1.400237E-2</v>
      </c>
      <c r="O5461">
        <v>7.4767080000000003E-3</v>
      </c>
      <c r="P5461">
        <v>0.98776489999999995</v>
      </c>
      <c r="Q5461">
        <v>0.14861479999999999</v>
      </c>
      <c r="R5461">
        <v>4.7270989999999999E-2</v>
      </c>
      <c r="S5461">
        <v>3.2022710000000001</v>
      </c>
      <c r="T5461">
        <v>-1.045617</v>
      </c>
      <c r="U5461">
        <v>-0.16986080000000001</v>
      </c>
      <c r="V5461">
        <v>-3.9908449999999998E-2</v>
      </c>
      <c r="W5461">
        <v>0.16242970000000001</v>
      </c>
      <c r="X5461">
        <v>0.98591269999999998</v>
      </c>
      <c r="Y5461">
        <v>5.6992840000000003E-2</v>
      </c>
      <c r="Z5461">
        <v>-1.174906E-2</v>
      </c>
      <c r="AA5461">
        <v>0.99830540000000001</v>
      </c>
      <c r="AB5461">
        <v>30</v>
      </c>
      <c r="AC5461">
        <v>0.464200000000005</v>
      </c>
      <c r="AD5461">
        <v>-0.22323609999999999</v>
      </c>
      <c r="AE5461">
        <v>-3.8100000000014199E-2</v>
      </c>
      <c r="AF5461">
        <v>3.3804355902640297E-2</v>
      </c>
      <c r="AG5461">
        <v>-0.22323609999999999</v>
      </c>
      <c r="AH5461">
        <v>0.37724144466459097</v>
      </c>
      <c r="AI5461">
        <v>120.514993768964</v>
      </c>
      <c r="AJ5461">
        <v>84.879439684541893</v>
      </c>
      <c r="AK5461">
        <v>0.43964553721586902</v>
      </c>
      <c r="AL5461">
        <v>80.652046804701598</v>
      </c>
      <c r="AM5461">
        <v>92.317992356800502</v>
      </c>
      <c r="AN5461">
        <v>0.99999997192238999</v>
      </c>
    </row>
    <row r="5462" spans="1:40" x14ac:dyDescent="0.25">
      <c r="A5462" t="str">
        <f>"20190303162021276"</f>
        <v>20190303162021276</v>
      </c>
      <c r="B5462" t="str">
        <f>"1551601221267911"</f>
        <v>1551601221267911</v>
      </c>
      <c r="C5462" t="s">
        <v>40</v>
      </c>
      <c r="D5462">
        <v>4.9463010000000001</v>
      </c>
      <c r="E5462">
        <v>0.53738529999999995</v>
      </c>
      <c r="F5462" t="s">
        <v>42</v>
      </c>
      <c r="G5462">
        <v>-269.07940000000002</v>
      </c>
      <c r="H5462">
        <v>0.88401949999999996</v>
      </c>
      <c r="I5462">
        <v>214.983</v>
      </c>
      <c r="J5462">
        <v>-269.58049999999997</v>
      </c>
      <c r="K5462">
        <v>1.121605</v>
      </c>
      <c r="L5462">
        <v>215.02330000000001</v>
      </c>
      <c r="M5462">
        <v>0.99987349999999997</v>
      </c>
      <c r="N5462">
        <v>-1.400002E-2</v>
      </c>
      <c r="O5462">
        <v>7.5460989999999997E-3</v>
      </c>
      <c r="P5462">
        <v>0.98766449999999995</v>
      </c>
      <c r="Q5462">
        <v>0.1494712</v>
      </c>
      <c r="R5462">
        <v>4.666091E-2</v>
      </c>
      <c r="S5462">
        <v>3.2026979999999998</v>
      </c>
      <c r="T5462">
        <v>-1.046559</v>
      </c>
      <c r="U5462">
        <v>-0.16873170000000001</v>
      </c>
      <c r="V5462">
        <v>-3.9230569999999999E-2</v>
      </c>
      <c r="W5462">
        <v>0.16328219999999999</v>
      </c>
      <c r="X5462">
        <v>0.98579910000000004</v>
      </c>
      <c r="Y5462">
        <v>5.671093E-2</v>
      </c>
      <c r="Z5462">
        <v>-1.1731719999999999E-2</v>
      </c>
      <c r="AA5462">
        <v>0.99832169999999998</v>
      </c>
      <c r="AB5462">
        <v>30</v>
      </c>
      <c r="AC5462">
        <v>0.50109999999995103</v>
      </c>
      <c r="AD5462">
        <v>-0.23758550000000001</v>
      </c>
      <c r="AE5462">
        <v>-4.0300000000002001E-2</v>
      </c>
      <c r="AF5462">
        <v>3.6032596683552798E-2</v>
      </c>
      <c r="AG5462">
        <v>-0.23758550000000001</v>
      </c>
      <c r="AH5462">
        <v>0.40935178025422903</v>
      </c>
      <c r="AI5462">
        <v>120.034737851446</v>
      </c>
      <c r="AJ5462">
        <v>84.969587503782506</v>
      </c>
      <c r="AK5462">
        <v>0.47467262174188701</v>
      </c>
      <c r="AL5462">
        <v>80.602541414789798</v>
      </c>
      <c r="AM5462">
        <v>92.278923394613898</v>
      </c>
      <c r="AN5462">
        <v>0.99999999001008699</v>
      </c>
    </row>
    <row r="5463" spans="1:40" x14ac:dyDescent="0.25">
      <c r="A5463" t="str">
        <f>"20190303162021300"</f>
        <v>20190303162021300</v>
      </c>
      <c r="B5463" t="str">
        <f>"1551601221288407"</f>
        <v>1551601221288407</v>
      </c>
      <c r="C5463" t="s">
        <v>40</v>
      </c>
      <c r="D5463">
        <v>4.9420299999999999</v>
      </c>
      <c r="E5463">
        <v>0.53742060000000003</v>
      </c>
      <c r="F5463" t="s">
        <v>42</v>
      </c>
      <c r="G5463">
        <v>-268.81569999999999</v>
      </c>
      <c r="H5463">
        <v>0.87170029999999998</v>
      </c>
      <c r="I5463">
        <v>214.9829</v>
      </c>
      <c r="J5463">
        <v>-269.26670000000001</v>
      </c>
      <c r="K5463">
        <v>1.121607</v>
      </c>
      <c r="L5463">
        <v>215.0258</v>
      </c>
      <c r="M5463">
        <v>0.99987300000000001</v>
      </c>
      <c r="N5463">
        <v>-1.399677E-2</v>
      </c>
      <c r="O5463">
        <v>7.6423769999999997E-3</v>
      </c>
      <c r="P5463">
        <v>0.98764339999999995</v>
      </c>
      <c r="Q5463">
        <v>0.14972449999999901</v>
      </c>
      <c r="R5463">
        <v>4.6299710000000001E-2</v>
      </c>
      <c r="S5463">
        <v>3.2039490000000002</v>
      </c>
      <c r="T5463">
        <v>-1.047029</v>
      </c>
      <c r="U5463">
        <v>-0.16937260000000001</v>
      </c>
      <c r="V5463">
        <v>-3.8774860000000001E-2</v>
      </c>
      <c r="W5463">
        <v>0.16353239999999999</v>
      </c>
      <c r="X5463">
        <v>0.98577559999999997</v>
      </c>
      <c r="Y5463">
        <v>5.6966889999999999E-2</v>
      </c>
      <c r="Z5463">
        <v>-1.1804139999999999E-2</v>
      </c>
      <c r="AA5463">
        <v>0.99830629999999998</v>
      </c>
      <c r="AB5463">
        <v>30</v>
      </c>
      <c r="AC5463">
        <v>0.451000000000021</v>
      </c>
      <c r="AD5463">
        <v>-0.24990669999999901</v>
      </c>
      <c r="AE5463">
        <v>-4.2900000000002998E-2</v>
      </c>
      <c r="AF5463">
        <v>3.5533292548845401E-2</v>
      </c>
      <c r="AG5463">
        <v>-0.24990669999999901</v>
      </c>
      <c r="AH5463">
        <v>0.345519921946428</v>
      </c>
      <c r="AI5463">
        <v>125.73435899552</v>
      </c>
      <c r="AJ5463">
        <v>84.128339749992506</v>
      </c>
      <c r="AK5463">
        <v>0.42790184627565903</v>
      </c>
      <c r="AL5463">
        <v>80.588010172359503</v>
      </c>
      <c r="AM5463">
        <v>92.2525320423631</v>
      </c>
      <c r="AN5463">
        <v>0.999999934586567</v>
      </c>
    </row>
    <row r="5464" spans="1:40" x14ac:dyDescent="0.25">
      <c r="A5464" t="str">
        <f>"20190303162021322"</f>
        <v>20190303162021322</v>
      </c>
      <c r="B5464" t="str">
        <f>"1551601221318664"</f>
        <v>1551601221318664</v>
      </c>
      <c r="C5464" t="s">
        <v>40</v>
      </c>
      <c r="D5464">
        <v>5.036384</v>
      </c>
      <c r="E5464">
        <v>0.53741119999999898</v>
      </c>
      <c r="F5464" t="s">
        <v>42</v>
      </c>
      <c r="G5464">
        <v>-268.54160000000002</v>
      </c>
      <c r="H5464">
        <v>0.884486199999999</v>
      </c>
      <c r="I5464">
        <v>214.98689999999999</v>
      </c>
      <c r="J5464">
        <v>-268.96449999999999</v>
      </c>
      <c r="K5464">
        <v>1.12161</v>
      </c>
      <c r="L5464">
        <v>215.0282</v>
      </c>
      <c r="M5464">
        <v>0.99987230000000005</v>
      </c>
      <c r="N5464">
        <v>-1.399367E-2</v>
      </c>
      <c r="O5464">
        <v>7.7348979999999996E-3</v>
      </c>
      <c r="P5464">
        <v>0.98766799999999999</v>
      </c>
      <c r="Q5464">
        <v>0.14975939999999999</v>
      </c>
      <c r="R5464">
        <v>4.5655870000000001E-2</v>
      </c>
      <c r="S5464">
        <v>3.2044069999999998</v>
      </c>
      <c r="T5464">
        <v>-1.0479430000000001</v>
      </c>
      <c r="U5464">
        <v>-0.17073060000000001</v>
      </c>
      <c r="V5464">
        <v>-3.8039009999999998E-2</v>
      </c>
      <c r="W5464">
        <v>0.1635644</v>
      </c>
      <c r="X5464">
        <v>0.98579899999999998</v>
      </c>
      <c r="Y5464">
        <v>5.7438830000000003E-2</v>
      </c>
      <c r="Z5464">
        <v>-1.1918720000000001E-2</v>
      </c>
      <c r="AA5464">
        <v>0.99827790000000005</v>
      </c>
      <c r="AB5464">
        <v>30</v>
      </c>
      <c r="AC5464">
        <v>0.42289999999997002</v>
      </c>
      <c r="AD5464">
        <v>-0.2371238</v>
      </c>
      <c r="AE5464">
        <v>-4.1300000000006699E-2</v>
      </c>
      <c r="AF5464">
        <v>3.3986079881907001E-2</v>
      </c>
      <c r="AG5464">
        <v>-0.2371238</v>
      </c>
      <c r="AH5464">
        <v>0.32222054275682099</v>
      </c>
      <c r="AI5464">
        <v>126.19837065601401</v>
      </c>
      <c r="AJ5464">
        <v>83.9790128540279</v>
      </c>
      <c r="AK5464">
        <v>0.40150819210407102</v>
      </c>
      <c r="AL5464">
        <v>80.586152055966295</v>
      </c>
      <c r="AM5464">
        <v>92.209774996432898</v>
      </c>
      <c r="AN5464">
        <v>0.999999973815069</v>
      </c>
    </row>
    <row r="5465" spans="1:40" x14ac:dyDescent="0.25">
      <c r="A5465" t="str">
        <f>"20190303162021344"</f>
        <v>20190303162021344</v>
      </c>
      <c r="B5465" t="str">
        <f>"1551601221338183"</f>
        <v>1551601221338183</v>
      </c>
      <c r="C5465" t="s">
        <v>40</v>
      </c>
      <c r="D5465">
        <v>5.0339099999999997</v>
      </c>
      <c r="E5465">
        <v>0.52473069999999999</v>
      </c>
      <c r="F5465" t="s">
        <v>42</v>
      </c>
      <c r="G5465">
        <v>-268.26909999999998</v>
      </c>
      <c r="H5465">
        <v>0.89393559999999905</v>
      </c>
      <c r="I5465">
        <v>214.99080000000001</v>
      </c>
      <c r="J5465">
        <v>-268.6746</v>
      </c>
      <c r="K5465">
        <v>1.12161</v>
      </c>
      <c r="L5465">
        <v>215.03049999999999</v>
      </c>
      <c r="M5465">
        <v>0.99987170000000003</v>
      </c>
      <c r="N5465">
        <v>-1.399072E-2</v>
      </c>
      <c r="O5465">
        <v>7.8240800000000006E-3</v>
      </c>
      <c r="P5465">
        <v>0.98775990000000002</v>
      </c>
      <c r="Q5465">
        <v>0.14937310000000001</v>
      </c>
      <c r="R5465">
        <v>4.4926229999999998E-2</v>
      </c>
      <c r="S5465">
        <v>3.2044679999999999</v>
      </c>
      <c r="T5465">
        <v>-1.049104</v>
      </c>
      <c r="U5465">
        <v>-0.1719513</v>
      </c>
      <c r="V5465">
        <v>-3.7220679999999999E-2</v>
      </c>
      <c r="W5465">
        <v>0.16317679999999901</v>
      </c>
      <c r="X5465">
        <v>0.98589450000000001</v>
      </c>
      <c r="Y5465">
        <v>5.7871039999999999E-2</v>
      </c>
      <c r="Z5465">
        <v>-1.202982E-2</v>
      </c>
      <c r="AA5465">
        <v>0.99825160000000002</v>
      </c>
      <c r="AB5465">
        <v>30</v>
      </c>
      <c r="AC5465">
        <v>0.40550000000001701</v>
      </c>
      <c r="AD5465">
        <v>-0.2276744</v>
      </c>
      <c r="AE5465">
        <v>-3.9699999999982E-2</v>
      </c>
      <c r="AF5465">
        <v>3.2670397365667E-2</v>
      </c>
      <c r="AG5465">
        <v>-0.2276744</v>
      </c>
      <c r="AH5465">
        <v>0.30876483548309402</v>
      </c>
      <c r="AI5465">
        <v>126.251781943035</v>
      </c>
      <c r="AJ5465">
        <v>83.960009239026107</v>
      </c>
      <c r="AK5465">
        <v>0.38501780596524698</v>
      </c>
      <c r="AL5465">
        <v>80.608662637550907</v>
      </c>
      <c r="AM5465">
        <v>92.162072660259099</v>
      </c>
      <c r="AN5465">
        <v>1.0000000061040699</v>
      </c>
    </row>
    <row r="5466" spans="1:40" x14ac:dyDescent="0.25">
      <c r="A5466" t="str">
        <f>"20190303162021366"</f>
        <v>20190303162021366</v>
      </c>
      <c r="B5466" t="str">
        <f>"1551601221357703"</f>
        <v>1551601221357703</v>
      </c>
      <c r="C5466" t="s">
        <v>40</v>
      </c>
      <c r="D5466">
        <v>5.0226319999999998</v>
      </c>
      <c r="E5466">
        <v>0.52453899999999998</v>
      </c>
      <c r="F5466" t="s">
        <v>42</v>
      </c>
      <c r="G5466">
        <v>-267.9991</v>
      </c>
      <c r="H5466">
        <v>0.89626539999999999</v>
      </c>
      <c r="I5466">
        <v>215.01499999999999</v>
      </c>
      <c r="J5466">
        <v>-268.37639999999999</v>
      </c>
      <c r="K5466">
        <v>1.12161</v>
      </c>
      <c r="L5466">
        <v>215.03299999999999</v>
      </c>
      <c r="M5466">
        <v>0.99987079999999995</v>
      </c>
      <c r="N5466">
        <v>-1.3987879999999999E-2</v>
      </c>
      <c r="O5466">
        <v>7.915765E-3</v>
      </c>
      <c r="P5466">
        <v>0.98772280000000001</v>
      </c>
      <c r="Q5466">
        <v>0.14974179999999901</v>
      </c>
      <c r="R5466">
        <v>4.451194E-2</v>
      </c>
      <c r="S5466">
        <v>3.2019959999999998</v>
      </c>
      <c r="T5466">
        <v>-1.0680510000000001</v>
      </c>
      <c r="U5466">
        <v>-7.2387699999999999E-2</v>
      </c>
      <c r="V5466">
        <v>-3.6715879999999999E-2</v>
      </c>
      <c r="W5466">
        <v>0.163542299999999</v>
      </c>
      <c r="X5466">
        <v>0.98585279999999997</v>
      </c>
      <c r="Y5466">
        <v>2.8509920000000001E-2</v>
      </c>
      <c r="Z5466">
        <v>-7.29641199999999E-3</v>
      </c>
      <c r="AA5466">
        <v>0.99956690000000004</v>
      </c>
      <c r="AB5466">
        <v>30</v>
      </c>
      <c r="AC5466">
        <v>0.37729999999999098</v>
      </c>
      <c r="AD5466">
        <v>-0.22534459999999901</v>
      </c>
      <c r="AE5466">
        <v>-1.8000000000000599E-2</v>
      </c>
      <c r="AF5466">
        <v>1.5477747709665601E-2</v>
      </c>
      <c r="AG5466">
        <v>-0.22534459999999901</v>
      </c>
      <c r="AH5466">
        <v>0.27815063944479101</v>
      </c>
      <c r="AI5466">
        <v>128.969455182807</v>
      </c>
      <c r="AJ5466">
        <v>86.815049512913703</v>
      </c>
      <c r="AK5466">
        <v>0.35831205344904299</v>
      </c>
      <c r="AL5466">
        <v>80.587435269050403</v>
      </c>
      <c r="AM5466">
        <v>92.132867262741797</v>
      </c>
      <c r="AN5466">
        <v>0.99999994150064997</v>
      </c>
    </row>
    <row r="5467" spans="1:40" x14ac:dyDescent="0.25">
      <c r="A5467" t="str">
        <f>"20190303162021388"</f>
        <v>20190303162021388</v>
      </c>
      <c r="B5467" t="str">
        <f>"1551601221378200"</f>
        <v>1551601221378200</v>
      </c>
      <c r="C5467" t="s">
        <v>40</v>
      </c>
      <c r="D5467">
        <v>5.000286</v>
      </c>
      <c r="E5467">
        <v>0.52463219999999899</v>
      </c>
      <c r="F5467" t="s">
        <v>42</v>
      </c>
      <c r="G5467">
        <v>-267.4932</v>
      </c>
      <c r="H5467">
        <v>0.82715450000000001</v>
      </c>
      <c r="I5467">
        <v>215.01300000000001</v>
      </c>
      <c r="J5467">
        <v>-268.07839999999999</v>
      </c>
      <c r="K5467">
        <v>1.12161</v>
      </c>
      <c r="L5467">
        <v>215.03540000000001</v>
      </c>
      <c r="M5467">
        <v>0.99987020000000004</v>
      </c>
      <c r="N5467">
        <v>-1.3985020000000001E-2</v>
      </c>
      <c r="O5467">
        <v>8.00733E-3</v>
      </c>
      <c r="P5467">
        <v>0.98773710000000003</v>
      </c>
      <c r="Q5467">
        <v>0.14983879999999999</v>
      </c>
      <c r="R5467">
        <v>4.3861400000000002E-2</v>
      </c>
      <c r="S5467">
        <v>3.2023929999999998</v>
      </c>
      <c r="T5467">
        <v>-1.067688</v>
      </c>
      <c r="U5467">
        <v>-7.13501E-2</v>
      </c>
      <c r="V5467">
        <v>-3.5974899999999997E-2</v>
      </c>
      <c r="W5467">
        <v>0.1636369</v>
      </c>
      <c r="X5467">
        <v>0.98586450000000003</v>
      </c>
      <c r="Y5467">
        <v>2.8284900000000002E-2</v>
      </c>
      <c r="Z5467">
        <v>-7.2835749999999996E-3</v>
      </c>
      <c r="AA5467">
        <v>0.9995733</v>
      </c>
      <c r="AB5467">
        <v>30</v>
      </c>
      <c r="AC5467">
        <v>0.58519999999998595</v>
      </c>
      <c r="AD5467">
        <v>-0.29445549999999998</v>
      </c>
      <c r="AE5467">
        <v>-2.24000000000046E-2</v>
      </c>
      <c r="AF5467">
        <v>2.1619895766434898E-2</v>
      </c>
      <c r="AG5467">
        <v>-0.29445549999999998</v>
      </c>
      <c r="AH5467">
        <v>0.46695164308162601</v>
      </c>
      <c r="AI5467">
        <v>122.207489566056</v>
      </c>
      <c r="AJ5467">
        <v>87.349094316250003</v>
      </c>
      <c r="AK5467">
        <v>0.552462938440065</v>
      </c>
      <c r="AL5467">
        <v>80.581941822804197</v>
      </c>
      <c r="AM5467">
        <v>92.0898366716075</v>
      </c>
      <c r="AN5467">
        <v>1.0000000204159301</v>
      </c>
    </row>
    <row r="5468" spans="1:40" x14ac:dyDescent="0.25">
      <c r="A5468" t="str">
        <f>"20190303162021410"</f>
        <v>20190303162021410</v>
      </c>
      <c r="B5468" t="str">
        <f>"1551601221408455"</f>
        <v>1551601221408455</v>
      </c>
      <c r="C5468" t="s">
        <v>40</v>
      </c>
      <c r="D5468">
        <v>5.0183160000000004</v>
      </c>
      <c r="E5468">
        <v>0.52486480000000002</v>
      </c>
      <c r="F5468" t="s">
        <v>42</v>
      </c>
      <c r="G5468">
        <v>-267.2226</v>
      </c>
      <c r="H5468">
        <v>0.83537099999999898</v>
      </c>
      <c r="I5468">
        <v>215.01560000000001</v>
      </c>
      <c r="J5468">
        <v>-267.7826</v>
      </c>
      <c r="K5468">
        <v>1.121615</v>
      </c>
      <c r="L5468">
        <v>215.03790000000001</v>
      </c>
      <c r="M5468">
        <v>0.99986949999999997</v>
      </c>
      <c r="N5468">
        <v>-1.3982140000000001E-2</v>
      </c>
      <c r="O5468">
        <v>8.0982999999999992E-3</v>
      </c>
      <c r="P5468">
        <v>0.98780959999999995</v>
      </c>
      <c r="Q5468">
        <v>0.149479799999999</v>
      </c>
      <c r="R5468">
        <v>4.3451719999999999E-2</v>
      </c>
      <c r="S5468">
        <v>3.203033</v>
      </c>
      <c r="T5468">
        <v>-1.071339</v>
      </c>
      <c r="U5468">
        <v>-7.3913569999999998E-2</v>
      </c>
      <c r="V5468">
        <v>-3.5474520000000002E-2</v>
      </c>
      <c r="W5468">
        <v>0.163276</v>
      </c>
      <c r="X5468">
        <v>0.9859424</v>
      </c>
      <c r="Y5468">
        <v>2.9107270000000001E-2</v>
      </c>
      <c r="Z5468">
        <v>-7.4736589999999997E-3</v>
      </c>
      <c r="AA5468">
        <v>0.9995484</v>
      </c>
      <c r="AB5468">
        <v>30</v>
      </c>
      <c r="AC5468">
        <v>0.56000000000000205</v>
      </c>
      <c r="AD5468">
        <v>-0.286244</v>
      </c>
      <c r="AE5468">
        <v>-2.2300000000001301E-2</v>
      </c>
      <c r="AF5468">
        <v>2.1282890737627201E-2</v>
      </c>
      <c r="AG5468">
        <v>-0.286244</v>
      </c>
      <c r="AH5468">
        <v>0.44398325635823499</v>
      </c>
      <c r="AI5468">
        <v>122.780666003219</v>
      </c>
      <c r="AJ5468">
        <v>87.2555562512607</v>
      </c>
      <c r="AK5468">
        <v>0.52868678903544797</v>
      </c>
      <c r="AL5468">
        <v>80.602901148116004</v>
      </c>
      <c r="AM5468">
        <v>92.060631391252798</v>
      </c>
      <c r="AN5468">
        <v>0.99999995493149396</v>
      </c>
    </row>
    <row r="5469" spans="1:40" x14ac:dyDescent="0.25">
      <c r="A5469" t="str">
        <f>"20190303162021432"</f>
        <v>20190303162021432</v>
      </c>
      <c r="B5469" t="str">
        <f>"1551601221427988"</f>
        <v>1551601221427988</v>
      </c>
      <c r="C5469" t="s">
        <v>40</v>
      </c>
      <c r="D5469">
        <v>5.0110219999999996</v>
      </c>
      <c r="E5469">
        <v>0.52490319999999902</v>
      </c>
      <c r="F5469" t="s">
        <v>42</v>
      </c>
      <c r="G5469">
        <v>-266.95260000000002</v>
      </c>
      <c r="H5469">
        <v>0.84272849999999999</v>
      </c>
      <c r="I5469">
        <v>215.0179</v>
      </c>
      <c r="J5469">
        <v>-267.48680000000002</v>
      </c>
      <c r="K5469">
        <v>1.121607</v>
      </c>
      <c r="L5469">
        <v>215.04040000000001</v>
      </c>
      <c r="M5469">
        <v>0.9998688</v>
      </c>
      <c r="N5469">
        <v>-1.397928E-2</v>
      </c>
      <c r="O5469">
        <v>8.1891499999999992E-3</v>
      </c>
      <c r="P5469">
        <v>0.98790250000000002</v>
      </c>
      <c r="Q5469">
        <v>0.14891279999999901</v>
      </c>
      <c r="R5469">
        <v>4.3288989999999999E-2</v>
      </c>
      <c r="S5469">
        <v>3.2032470000000002</v>
      </c>
      <c r="T5469">
        <v>-1.0762529999999999</v>
      </c>
      <c r="U5469">
        <v>-7.6278689999999996E-2</v>
      </c>
      <c r="V5469">
        <v>-3.5221170000000003E-2</v>
      </c>
      <c r="W5469">
        <v>0.1627073</v>
      </c>
      <c r="X5469">
        <v>0.98604550000000002</v>
      </c>
      <c r="Y5469">
        <v>2.9867970000000001E-2</v>
      </c>
      <c r="Z5469">
        <v>-7.6635499999999999E-3</v>
      </c>
      <c r="AA5469">
        <v>0.99952450000000004</v>
      </c>
      <c r="AB5469">
        <v>30</v>
      </c>
      <c r="AC5469">
        <v>0.53419999999999801</v>
      </c>
      <c r="AD5469">
        <v>-0.27887849999999997</v>
      </c>
      <c r="AE5469">
        <v>-2.2500000000007899E-2</v>
      </c>
      <c r="AF5469">
        <v>2.1126737329035899E-2</v>
      </c>
      <c r="AG5469">
        <v>-0.27887849999999997</v>
      </c>
      <c r="AH5469">
        <v>0.41979231060687899</v>
      </c>
      <c r="AI5469">
        <v>123.563686690241</v>
      </c>
      <c r="AJ5469">
        <v>87.118926542177206</v>
      </c>
      <c r="AK5469">
        <v>0.50442555529739197</v>
      </c>
      <c r="AL5469">
        <v>80.635926966955907</v>
      </c>
      <c r="AM5469">
        <v>92.045713698891504</v>
      </c>
      <c r="AN5469">
        <v>0.99999996217985299</v>
      </c>
    </row>
    <row r="5470" spans="1:40" x14ac:dyDescent="0.25">
      <c r="A5470" t="str">
        <f>"20190303162021455"</f>
        <v>20190303162021455</v>
      </c>
      <c r="B5470" t="str">
        <f>"1551601221448472"</f>
        <v>1551601221448472</v>
      </c>
      <c r="C5470" t="s">
        <v>40</v>
      </c>
      <c r="D5470">
        <v>5.011209</v>
      </c>
      <c r="E5470">
        <v>0.52488849999999998</v>
      </c>
      <c r="F5470" t="s">
        <v>42</v>
      </c>
      <c r="G5470">
        <v>-266.68279999999999</v>
      </c>
      <c r="H5470">
        <v>0.85023559999999998</v>
      </c>
      <c r="I5470">
        <v>215.02109999999999</v>
      </c>
      <c r="J5470">
        <v>-267.18459999999999</v>
      </c>
      <c r="K5470">
        <v>1.121605</v>
      </c>
      <c r="L5470">
        <v>215.04300000000001</v>
      </c>
      <c r="M5470">
        <v>0.99986819999999998</v>
      </c>
      <c r="N5470">
        <v>-1.397638E-2</v>
      </c>
      <c r="O5470">
        <v>8.2820269999999904E-3</v>
      </c>
      <c r="P5470">
        <v>0.9879365</v>
      </c>
      <c r="Q5470">
        <v>0.14858940000000001</v>
      </c>
      <c r="R5470">
        <v>4.3622620000000001E-2</v>
      </c>
      <c r="S5470">
        <v>3.2030639999999999</v>
      </c>
      <c r="T5470">
        <v>-1.081189</v>
      </c>
      <c r="U5470">
        <v>-7.6721189999999995E-2</v>
      </c>
      <c r="V5470">
        <v>-3.5462889999999997E-2</v>
      </c>
      <c r="W5470">
        <v>0.1623821</v>
      </c>
      <c r="X5470">
        <v>0.98609049999999998</v>
      </c>
      <c r="Y5470">
        <v>3.0064939999999998E-2</v>
      </c>
      <c r="Z5470">
        <v>-7.7598629999999997E-3</v>
      </c>
      <c r="AA5470">
        <v>0.99951780000000001</v>
      </c>
      <c r="AB5470">
        <v>30</v>
      </c>
      <c r="AC5470">
        <v>0.50180000000000202</v>
      </c>
      <c r="AD5470">
        <v>-0.27136939999999998</v>
      </c>
      <c r="AE5470">
        <v>-2.1900000000016399E-2</v>
      </c>
      <c r="AF5470">
        <v>2.0168415636895701E-2</v>
      </c>
      <c r="AG5470">
        <v>-0.27136939999999998</v>
      </c>
      <c r="AH5470">
        <v>0.38826643860001703</v>
      </c>
      <c r="AI5470">
        <v>124.914450676339</v>
      </c>
      <c r="AJ5470">
        <v>87.026455749011703</v>
      </c>
      <c r="AK5470">
        <v>0.47412966959345898</v>
      </c>
      <c r="AL5470">
        <v>80.654811218220701</v>
      </c>
      <c r="AM5470">
        <v>92.059647297599497</v>
      </c>
      <c r="AN5470">
        <v>1.0000000185789</v>
      </c>
    </row>
    <row r="5471" spans="1:40" x14ac:dyDescent="0.25">
      <c r="A5471" t="str">
        <f>"20190303162021472"</f>
        <v>20190303162021472</v>
      </c>
      <c r="B5471" t="str">
        <f>"1551601221467991"</f>
        <v>1551601221467991</v>
      </c>
      <c r="C5471" t="s">
        <v>40</v>
      </c>
      <c r="D5471">
        <v>5.0423920000000004</v>
      </c>
      <c r="E5471">
        <v>0.52486269999999902</v>
      </c>
      <c r="F5471" t="s">
        <v>42</v>
      </c>
      <c r="G5471">
        <v>-266.41230000000002</v>
      </c>
      <c r="H5471">
        <v>0.86013879999999998</v>
      </c>
      <c r="I5471">
        <v>215.02440000000001</v>
      </c>
      <c r="J5471">
        <v>-266.95659999999998</v>
      </c>
      <c r="K5471">
        <v>1.1216079999999999</v>
      </c>
      <c r="L5471">
        <v>215.04490000000001</v>
      </c>
      <c r="M5471">
        <v>0.99986759999999997</v>
      </c>
      <c r="N5471">
        <v>-1.3974200000000001E-2</v>
      </c>
      <c r="O5471">
        <v>8.3520119999999903E-3</v>
      </c>
      <c r="P5471">
        <v>0.98795569999999999</v>
      </c>
      <c r="Q5471">
        <v>0.14838280000000001</v>
      </c>
      <c r="R5471">
        <v>4.3889459999999998E-2</v>
      </c>
      <c r="S5471">
        <v>3.2030639999999999</v>
      </c>
      <c r="T5471">
        <v>-1.084395</v>
      </c>
      <c r="U5471">
        <v>-7.6263429999999993E-2</v>
      </c>
      <c r="V5471">
        <v>-3.5660209999999998E-2</v>
      </c>
      <c r="W5471">
        <v>0.16217329999999999</v>
      </c>
      <c r="X5471">
        <v>0.98611769999999999</v>
      </c>
      <c r="Y5471">
        <v>2.9981020000000001E-2</v>
      </c>
      <c r="Z5471">
        <v>-7.7890850000000003E-3</v>
      </c>
      <c r="AA5471">
        <v>0.99952010000000002</v>
      </c>
      <c r="AB5471">
        <v>30</v>
      </c>
      <c r="AC5471">
        <v>0.54429999999996403</v>
      </c>
      <c r="AD5471">
        <v>-0.26146919999999901</v>
      </c>
      <c r="AE5471">
        <v>-2.0499999999998401E-2</v>
      </c>
      <c r="AF5471">
        <v>2.03551788931483E-2</v>
      </c>
      <c r="AG5471">
        <v>-0.26146919999999901</v>
      </c>
      <c r="AH5471">
        <v>0.44220921575509298</v>
      </c>
      <c r="AI5471">
        <v>120.56839206689</v>
      </c>
      <c r="AJ5471">
        <v>87.364498198994994</v>
      </c>
      <c r="AK5471">
        <v>0.51412981469191799</v>
      </c>
      <c r="AL5471">
        <v>80.666934860180007</v>
      </c>
      <c r="AM5471">
        <v>92.071040405538497</v>
      </c>
      <c r="AN5471">
        <v>0.99999997403171104</v>
      </c>
    </row>
    <row r="5472" spans="1:40" x14ac:dyDescent="0.25">
      <c r="A5472" t="str">
        <f>"20190303162021489"</f>
        <v>20190303162021489</v>
      </c>
      <c r="B5472" t="str">
        <f>"1551601221477752"</f>
        <v>1551601221477752</v>
      </c>
      <c r="C5472" t="s">
        <v>40</v>
      </c>
      <c r="D5472">
        <v>5.0423999999999998</v>
      </c>
      <c r="E5472">
        <v>0.52481369999999905</v>
      </c>
      <c r="F5472" t="s">
        <v>42</v>
      </c>
      <c r="G5472">
        <v>-266.15089999999998</v>
      </c>
      <c r="H5472">
        <v>0.84853630000000002</v>
      </c>
      <c r="I5472">
        <v>215.02610000000001</v>
      </c>
      <c r="J5472">
        <v>-266.73239999999998</v>
      </c>
      <c r="K5472">
        <v>1.1216079999999999</v>
      </c>
      <c r="L5472">
        <v>215.04689999999999</v>
      </c>
      <c r="M5472">
        <v>0.99986710000000001</v>
      </c>
      <c r="N5472">
        <v>-1.397207E-2</v>
      </c>
      <c r="O5472">
        <v>8.4208649999999996E-3</v>
      </c>
      <c r="P5472">
        <v>0.98788799999999999</v>
      </c>
      <c r="Q5472">
        <v>0.14878079999999999</v>
      </c>
      <c r="R5472">
        <v>4.406707E-2</v>
      </c>
      <c r="S5472">
        <v>3.2030029999999998</v>
      </c>
      <c r="T5472">
        <v>-1.0856520000000001</v>
      </c>
      <c r="U5472">
        <v>-7.4920650000000005E-2</v>
      </c>
      <c r="V5472">
        <v>-3.577023E-2</v>
      </c>
      <c r="W5472">
        <v>0.1625685</v>
      </c>
      <c r="X5472">
        <v>0.9860487</v>
      </c>
      <c r="Y5472">
        <v>2.9642720000000001E-2</v>
      </c>
      <c r="Z5472">
        <v>-7.7612710000000001E-3</v>
      </c>
      <c r="AA5472">
        <v>0.99953040000000004</v>
      </c>
      <c r="AB5472">
        <v>30</v>
      </c>
      <c r="AC5472">
        <v>0.58150000000000501</v>
      </c>
      <c r="AD5472">
        <v>-0.27307169999999897</v>
      </c>
      <c r="AE5472">
        <v>-2.0799999999979901E-2</v>
      </c>
      <c r="AF5472">
        <v>2.1058518370839299E-2</v>
      </c>
      <c r="AG5472">
        <v>-0.27307169999999897</v>
      </c>
      <c r="AH5472">
        <v>0.47638465945062197</v>
      </c>
      <c r="AI5472">
        <v>119.797937102795</v>
      </c>
      <c r="AJ5472">
        <v>87.468895737782205</v>
      </c>
      <c r="AK5472">
        <v>0.54950337423600004</v>
      </c>
      <c r="AL5472">
        <v>80.6439875986148</v>
      </c>
      <c r="AM5472">
        <v>92.077569697498802</v>
      </c>
      <c r="AN5472">
        <v>1.0000000326590901</v>
      </c>
    </row>
    <row r="5473" spans="1:40" x14ac:dyDescent="0.25">
      <c r="A5473" t="str">
        <f>"20190303162021511"</f>
        <v>20190303162021511</v>
      </c>
      <c r="B5473" t="str">
        <f>"1551601221508008"</f>
        <v>1551601221508008</v>
      </c>
      <c r="C5473" t="s">
        <v>40</v>
      </c>
      <c r="D5473">
        <v>5.045566</v>
      </c>
      <c r="E5473">
        <v>0.52477379999999996</v>
      </c>
      <c r="F5473" t="s">
        <v>42</v>
      </c>
      <c r="G5473">
        <v>-265.89019999999999</v>
      </c>
      <c r="H5473">
        <v>0.83629519999999902</v>
      </c>
      <c r="I5473">
        <v>215.02719999999999</v>
      </c>
      <c r="J5473">
        <v>-266.43610000000001</v>
      </c>
      <c r="K5473">
        <v>1.121607</v>
      </c>
      <c r="L5473">
        <v>215.04949999999999</v>
      </c>
      <c r="M5473">
        <v>0.99986620000000004</v>
      </c>
      <c r="N5473">
        <v>-1.3969280000000001E-2</v>
      </c>
      <c r="O5473">
        <v>8.5121910000000005E-3</v>
      </c>
      <c r="P5473">
        <v>0.98789099999999996</v>
      </c>
      <c r="Q5473">
        <v>0.1488043</v>
      </c>
      <c r="R5473">
        <v>4.3920630000000002E-2</v>
      </c>
      <c r="S5473">
        <v>3.203522</v>
      </c>
      <c r="T5473">
        <v>-1.085243</v>
      </c>
      <c r="U5473">
        <v>-7.3593140000000001E-2</v>
      </c>
      <c r="V5473">
        <v>-3.5533599999999999E-2</v>
      </c>
      <c r="W5473">
        <v>0.1625896</v>
      </c>
      <c r="X5473">
        <v>0.98605379999999998</v>
      </c>
      <c r="Y5473">
        <v>2.9331900000000001E-2</v>
      </c>
      <c r="Z5473">
        <v>-7.7327719999999997E-3</v>
      </c>
      <c r="AA5473">
        <v>0.99953979999999998</v>
      </c>
      <c r="AB5473">
        <v>30</v>
      </c>
      <c r="AC5473">
        <v>0.54590000000001704</v>
      </c>
      <c r="AD5473">
        <v>-0.2853118</v>
      </c>
      <c r="AE5473">
        <v>-2.2300000000001301E-2</v>
      </c>
      <c r="AF5473">
        <v>2.11726226543303E-2</v>
      </c>
      <c r="AG5473">
        <v>-0.2853118</v>
      </c>
      <c r="AH5473">
        <v>0.42876506126629399</v>
      </c>
      <c r="AI5473">
        <v>123.60869062171599</v>
      </c>
      <c r="AJ5473">
        <v>87.173003476751106</v>
      </c>
      <c r="AK5473">
        <v>0.51545182212500795</v>
      </c>
      <c r="AL5473">
        <v>80.642762573336398</v>
      </c>
      <c r="AM5473">
        <v>92.063827256774402</v>
      </c>
      <c r="AN5473">
        <v>1.00000005562577</v>
      </c>
    </row>
    <row r="5474" spans="1:40" x14ac:dyDescent="0.25">
      <c r="A5474" t="str">
        <f>"20190303162021535"</f>
        <v>20190303162021535</v>
      </c>
      <c r="B5474" t="str">
        <f>"1551601221527527"</f>
        <v>1551601221527527</v>
      </c>
      <c r="C5474" t="s">
        <v>40</v>
      </c>
      <c r="D5474">
        <v>5.0632199999999896</v>
      </c>
      <c r="E5474">
        <v>0.52477989999999997</v>
      </c>
      <c r="F5474" t="s">
        <v>42</v>
      </c>
      <c r="G5474">
        <v>-265.62079999999997</v>
      </c>
      <c r="H5474">
        <v>0.84538780000000002</v>
      </c>
      <c r="I5474">
        <v>215.0307</v>
      </c>
      <c r="J5474">
        <v>-266.12759999999997</v>
      </c>
      <c r="K5474">
        <v>1.121599</v>
      </c>
      <c r="L5474">
        <v>215.0522</v>
      </c>
      <c r="M5474">
        <v>0.99986540000000002</v>
      </c>
      <c r="N5474">
        <v>-1.396639E-2</v>
      </c>
      <c r="O5474">
        <v>8.6073899999999995E-3</v>
      </c>
      <c r="P5474">
        <v>0.98794959999999998</v>
      </c>
      <c r="Q5474">
        <v>0.1484328</v>
      </c>
      <c r="R5474">
        <v>4.3856329999999999E-2</v>
      </c>
      <c r="S5474">
        <v>3.2035520000000002</v>
      </c>
      <c r="T5474">
        <v>-1.085431</v>
      </c>
      <c r="U5474">
        <v>-7.3806759999999999E-2</v>
      </c>
      <c r="V5474">
        <v>-3.537452E-2</v>
      </c>
      <c r="W5474">
        <v>0.1622161</v>
      </c>
      <c r="X5474">
        <v>0.98612100000000003</v>
      </c>
      <c r="Y5474">
        <v>2.947932E-2</v>
      </c>
      <c r="Z5474">
        <v>-7.7893659999999998E-3</v>
      </c>
      <c r="AA5474">
        <v>0.99953499999999995</v>
      </c>
      <c r="AB5474">
        <v>30</v>
      </c>
      <c r="AC5474">
        <v>0.50679999999999803</v>
      </c>
      <c r="AD5474">
        <v>-0.27621119999999999</v>
      </c>
      <c r="AE5474">
        <v>-2.15000000000031E-2</v>
      </c>
      <c r="AF5474">
        <v>1.9947399218643899E-2</v>
      </c>
      <c r="AG5474">
        <v>-0.27621119999999999</v>
      </c>
      <c r="AH5474">
        <v>0.39074056577819999</v>
      </c>
      <c r="AI5474">
        <v>125.221029121679</v>
      </c>
      <c r="AJ5474">
        <v>87.077573745637693</v>
      </c>
      <c r="AK5474">
        <v>0.47892454049223199</v>
      </c>
      <c r="AL5474">
        <v>80.664450157251395</v>
      </c>
      <c r="AM5474">
        <v>92.0544557746571</v>
      </c>
      <c r="AN5474">
        <v>1.00000002320272</v>
      </c>
    </row>
    <row r="5475" spans="1:40" x14ac:dyDescent="0.25">
      <c r="A5475" t="str">
        <f>"20190303162021555"</f>
        <v>20190303162021555</v>
      </c>
      <c r="B5475" t="str">
        <f>"1551601221548023"</f>
        <v>1551601221548023</v>
      </c>
      <c r="C5475" t="s">
        <v>40</v>
      </c>
      <c r="D5475">
        <v>5.1720839999999999</v>
      </c>
      <c r="E5475">
        <v>0.52482740000000005</v>
      </c>
      <c r="F5475" t="s">
        <v>42</v>
      </c>
      <c r="G5475">
        <v>-265.3503</v>
      </c>
      <c r="H5475">
        <v>0.8580989</v>
      </c>
      <c r="I5475">
        <v>215.03360000000001</v>
      </c>
      <c r="J5475">
        <v>-265.85180000000003</v>
      </c>
      <c r="K5475">
        <v>1.1215980000000001</v>
      </c>
      <c r="L5475">
        <v>215.0547</v>
      </c>
      <c r="M5475">
        <v>0.99986470000000005</v>
      </c>
      <c r="N5475">
        <v>-1.3966370000000001E-2</v>
      </c>
      <c r="O5475">
        <v>8.6921419999999999E-3</v>
      </c>
      <c r="P5475">
        <v>0.98795540000000004</v>
      </c>
      <c r="Q5475">
        <v>0.14825239999999901</v>
      </c>
      <c r="R5475">
        <v>4.4333200000000003E-2</v>
      </c>
      <c r="S5475">
        <v>3.203125</v>
      </c>
      <c r="T5475">
        <v>-1.085901</v>
      </c>
      <c r="U5475">
        <v>-7.5500490000000003E-2</v>
      </c>
      <c r="V5475">
        <v>-3.576729E-2</v>
      </c>
      <c r="W5475">
        <v>0.16203589999999901</v>
      </c>
      <c r="X5475">
        <v>0.98613640000000002</v>
      </c>
      <c r="Y5475">
        <v>3.0055080000000001E-2</v>
      </c>
      <c r="Z5475">
        <v>-7.919321E-3</v>
      </c>
      <c r="AA5475">
        <v>0.99951679999999998</v>
      </c>
      <c r="AB5475">
        <v>30</v>
      </c>
      <c r="AC5475">
        <v>0.50150000000002104</v>
      </c>
      <c r="AD5475">
        <v>-0.26349909999999899</v>
      </c>
      <c r="AE5475">
        <v>-2.1099999999989901E-2</v>
      </c>
      <c r="AF5475">
        <v>1.99585518682736E-2</v>
      </c>
      <c r="AG5475">
        <v>-0.26349909999999899</v>
      </c>
      <c r="AH5475">
        <v>0.39299572052673098</v>
      </c>
      <c r="AI5475">
        <v>123.807272662453</v>
      </c>
      <c r="AJ5475">
        <v>87.092693095743101</v>
      </c>
      <c r="AK5475">
        <v>0.47357761332838899</v>
      </c>
      <c r="AL5475">
        <v>80.674912741624595</v>
      </c>
      <c r="AM5475">
        <v>92.077214501724498</v>
      </c>
      <c r="AN5475">
        <v>0.99999996566385596</v>
      </c>
    </row>
    <row r="5476" spans="1:40" x14ac:dyDescent="0.25">
      <c r="A5476" t="str">
        <f>"20190303162021578"</f>
        <v>20190303162021578</v>
      </c>
      <c r="B5476" t="str">
        <f>"1551601221568284"</f>
        <v>1551601221568284</v>
      </c>
      <c r="C5476" t="s">
        <v>40</v>
      </c>
      <c r="D5476">
        <v>5.06989</v>
      </c>
      <c r="E5476">
        <v>0.53541240000000001</v>
      </c>
      <c r="F5476" t="s">
        <v>42</v>
      </c>
      <c r="G5476">
        <v>-265.084</v>
      </c>
      <c r="H5476">
        <v>0.86113119999999999</v>
      </c>
      <c r="I5476">
        <v>215.0367</v>
      </c>
      <c r="J5476">
        <v>-265.55430000000001</v>
      </c>
      <c r="K5476">
        <v>1.121602</v>
      </c>
      <c r="L5476">
        <v>215.0574</v>
      </c>
      <c r="M5476">
        <v>0.99986390000000003</v>
      </c>
      <c r="N5476">
        <v>-1.3971330000000001E-2</v>
      </c>
      <c r="O5476">
        <v>8.7835929999999993E-3</v>
      </c>
      <c r="P5476">
        <v>0.98797639999999998</v>
      </c>
      <c r="Q5476">
        <v>0.14802089999999901</v>
      </c>
      <c r="R5476">
        <v>4.4638240000000003E-2</v>
      </c>
      <c r="S5476">
        <v>3.203033</v>
      </c>
      <c r="T5476">
        <v>-1.086684</v>
      </c>
      <c r="U5476">
        <v>-7.4630740000000001E-2</v>
      </c>
      <c r="V5476">
        <v>-3.5981659999999999E-2</v>
      </c>
      <c r="W5476">
        <v>0.1618095</v>
      </c>
      <c r="X5476">
        <v>0.98616579999999998</v>
      </c>
      <c r="Y5476">
        <v>2.9878310000000002E-2</v>
      </c>
      <c r="Z5476">
        <v>-7.9234389999999991E-3</v>
      </c>
      <c r="AA5476">
        <v>0.99952209999999997</v>
      </c>
      <c r="AB5476">
        <v>30</v>
      </c>
      <c r="AC5476">
        <v>0.47030000000000799</v>
      </c>
      <c r="AD5476">
        <v>-0.2604708</v>
      </c>
      <c r="AE5476">
        <v>-2.0700000000004999E-2</v>
      </c>
      <c r="AF5476">
        <v>1.9010540382621899E-2</v>
      </c>
      <c r="AG5476">
        <v>-0.2604708</v>
      </c>
      <c r="AH5476">
        <v>0.35991402761554497</v>
      </c>
      <c r="AI5476">
        <v>125.855466417329</v>
      </c>
      <c r="AJ5476">
        <v>86.976465514562904</v>
      </c>
      <c r="AK5476">
        <v>0.44468477101506698</v>
      </c>
      <c r="AL5476">
        <v>80.688058203479699</v>
      </c>
      <c r="AM5476">
        <v>92.0895909673918</v>
      </c>
      <c r="AN5476">
        <v>0.99999998961812198</v>
      </c>
    </row>
    <row r="5477" spans="1:40" x14ac:dyDescent="0.25">
      <c r="A5477" t="str">
        <f>"20190303162021601"</f>
        <v>20190303162021601</v>
      </c>
      <c r="B5477" t="str">
        <f>"1551601221597564"</f>
        <v>1551601221597564</v>
      </c>
      <c r="C5477" t="s">
        <v>40</v>
      </c>
      <c r="D5477">
        <v>5.0272829999999997</v>
      </c>
      <c r="E5477">
        <v>0.536217099999999</v>
      </c>
      <c r="F5477" t="s">
        <v>42</v>
      </c>
      <c r="G5477">
        <v>-264.81810000000002</v>
      </c>
      <c r="H5477">
        <v>0.86512449999999996</v>
      </c>
      <c r="I5477">
        <v>215.0206</v>
      </c>
      <c r="J5477">
        <v>-265.25490000000002</v>
      </c>
      <c r="K5477">
        <v>1.1216060000000001</v>
      </c>
      <c r="L5477">
        <v>215.06010000000001</v>
      </c>
      <c r="M5477">
        <v>0.99986280000000005</v>
      </c>
      <c r="N5477">
        <v>-1.397847E-2</v>
      </c>
      <c r="O5477">
        <v>8.875684E-3</v>
      </c>
      <c r="P5477">
        <v>0.98791649999999998</v>
      </c>
      <c r="Q5477">
        <v>0.14820259999999999</v>
      </c>
      <c r="R5477">
        <v>4.5352459999999997E-2</v>
      </c>
      <c r="S5477">
        <v>3.2113040000000002</v>
      </c>
      <c r="T5477">
        <v>-1.1187860000000001</v>
      </c>
      <c r="U5477">
        <v>-0.1590271</v>
      </c>
      <c r="V5477">
        <v>-3.6605459999999999E-2</v>
      </c>
      <c r="W5477">
        <v>0.16199720000000001</v>
      </c>
      <c r="X5477">
        <v>0.98611210000000005</v>
      </c>
      <c r="Y5477">
        <v>5.4501059999999997E-2</v>
      </c>
      <c r="Z5477">
        <v>-1.249085E-2</v>
      </c>
      <c r="AA5477">
        <v>0.99843559999999998</v>
      </c>
      <c r="AB5477">
        <v>30</v>
      </c>
      <c r="AC5477">
        <v>0.43680000000000502</v>
      </c>
      <c r="AD5477">
        <v>-0.25648149999999897</v>
      </c>
      <c r="AE5477">
        <v>-3.9500000000003803E-2</v>
      </c>
      <c r="AF5477">
        <v>3.2322010287070199E-2</v>
      </c>
      <c r="AG5477">
        <v>-0.25648149999999897</v>
      </c>
      <c r="AH5477">
        <v>0.32521337790216898</v>
      </c>
      <c r="AI5477">
        <v>128.124453661849</v>
      </c>
      <c r="AJ5477">
        <v>84.324178599438497</v>
      </c>
      <c r="AK5477">
        <v>0.41544098661276402</v>
      </c>
      <c r="AL5477">
        <v>80.677160692939594</v>
      </c>
      <c r="AM5477">
        <v>92.125900093629099</v>
      </c>
      <c r="AN5477">
        <v>1.0000000631380199</v>
      </c>
    </row>
    <row r="5478" spans="1:40" x14ac:dyDescent="0.25">
      <c r="A5478" t="str">
        <f>"20190303162021622"</f>
        <v>20190303162021622</v>
      </c>
      <c r="B5478" t="str">
        <f>"1551601221618060"</f>
        <v>1551601221618060</v>
      </c>
      <c r="C5478" t="s">
        <v>40</v>
      </c>
      <c r="D5478">
        <v>5.030939</v>
      </c>
      <c r="E5478">
        <v>0.53647909999999999</v>
      </c>
      <c r="F5478" t="s">
        <v>42</v>
      </c>
      <c r="G5478">
        <v>-264.5498</v>
      </c>
      <c r="H5478">
        <v>0.87474859999999899</v>
      </c>
      <c r="I5478">
        <v>215.0241</v>
      </c>
      <c r="J5478">
        <v>-264.96530000000001</v>
      </c>
      <c r="K5478">
        <v>1.1216090000000001</v>
      </c>
      <c r="L5478">
        <v>215.06280000000001</v>
      </c>
      <c r="M5478">
        <v>0.99986220000000003</v>
      </c>
      <c r="N5478">
        <v>-1.39851E-2</v>
      </c>
      <c r="O5478">
        <v>8.9649150000000004E-3</v>
      </c>
      <c r="P5478">
        <v>0.9878981</v>
      </c>
      <c r="Q5478">
        <v>0.148149</v>
      </c>
      <c r="R5478">
        <v>4.5931140000000002E-2</v>
      </c>
      <c r="S5478">
        <v>3.212952</v>
      </c>
      <c r="T5478">
        <v>-1.124795</v>
      </c>
      <c r="U5478">
        <v>-0.16352839999999999</v>
      </c>
      <c r="V5478">
        <v>-3.7096169999999998E-2</v>
      </c>
      <c r="W5478">
        <v>0.16195019999999999</v>
      </c>
      <c r="X5478">
        <v>0.98610140000000002</v>
      </c>
      <c r="Y5478">
        <v>5.5837009999999999E-2</v>
      </c>
      <c r="Z5478">
        <v>-1.281244E-2</v>
      </c>
      <c r="AA5478">
        <v>0.99835770000000001</v>
      </c>
      <c r="AB5478">
        <v>30</v>
      </c>
      <c r="AC5478">
        <v>0.41550000000000797</v>
      </c>
      <c r="AD5478">
        <v>-0.24686040000000001</v>
      </c>
      <c r="AE5478">
        <v>-3.8700000000005702E-2</v>
      </c>
      <c r="AF5478">
        <v>3.1426084519403097E-2</v>
      </c>
      <c r="AG5478">
        <v>-0.24686040000000001</v>
      </c>
      <c r="AH5478">
        <v>0.30751914297548699</v>
      </c>
      <c r="AI5478">
        <v>128.61047785386799</v>
      </c>
      <c r="AJ5478">
        <v>84.165068904667393</v>
      </c>
      <c r="AK5478">
        <v>0.395595347764302</v>
      </c>
      <c r="AL5478">
        <v>80.679888867748204</v>
      </c>
      <c r="AM5478">
        <v>92.154395264653601</v>
      </c>
      <c r="AN5478">
        <v>0.99999998209533403</v>
      </c>
    </row>
    <row r="5479" spans="1:40" x14ac:dyDescent="0.25">
      <c r="A5479" t="str">
        <f>"20190303162021645"</f>
        <v>20190303162021645</v>
      </c>
      <c r="B5479" t="str">
        <f>"1551601221637580"</f>
        <v>1551601221637580</v>
      </c>
      <c r="C5479" t="s">
        <v>40</v>
      </c>
      <c r="D5479">
        <v>5.0141309999999999</v>
      </c>
      <c r="E5479">
        <v>0.53668709999999997</v>
      </c>
      <c r="F5479" t="s">
        <v>42</v>
      </c>
      <c r="G5479">
        <v>-264.28210000000001</v>
      </c>
      <c r="H5479">
        <v>0.88267340000000005</v>
      </c>
      <c r="I5479">
        <v>215.02799999999999</v>
      </c>
      <c r="J5479">
        <v>-264.66930000000002</v>
      </c>
      <c r="K5479">
        <v>1.1216090000000001</v>
      </c>
      <c r="L5479">
        <v>215.06549999999999</v>
      </c>
      <c r="M5479">
        <v>0.99986109999999995</v>
      </c>
      <c r="N5479">
        <v>-1.399617E-2</v>
      </c>
      <c r="O5479">
        <v>9.0557899999999993E-3</v>
      </c>
      <c r="P5479">
        <v>0.98792150000000001</v>
      </c>
      <c r="Q5479">
        <v>0.1478775</v>
      </c>
      <c r="R5479">
        <v>4.6298840000000001E-2</v>
      </c>
      <c r="S5479">
        <v>3.2128299999999999</v>
      </c>
      <c r="T5479">
        <v>-1.1236630000000001</v>
      </c>
      <c r="U5479">
        <v>-0.16340639999999901</v>
      </c>
      <c r="V5479">
        <v>-3.7373339999999998E-2</v>
      </c>
      <c r="W5479">
        <v>0.16169</v>
      </c>
      <c r="X5479">
        <v>0.98613360000000005</v>
      </c>
      <c r="Y5479">
        <v>5.5890790000000003E-2</v>
      </c>
      <c r="Z5479">
        <v>-1.2840320000000001E-2</v>
      </c>
      <c r="AA5479">
        <v>0.99835430000000003</v>
      </c>
      <c r="AB5479">
        <v>30</v>
      </c>
      <c r="AC5479">
        <v>0.38720000000000698</v>
      </c>
      <c r="AD5479">
        <v>-0.2389356</v>
      </c>
      <c r="AE5479">
        <v>-3.7499999999994302E-2</v>
      </c>
      <c r="AF5479">
        <v>2.97731140865766E-2</v>
      </c>
      <c r="AG5479">
        <v>-0.2389356</v>
      </c>
      <c r="AH5479">
        <v>0.28088055292631497</v>
      </c>
      <c r="AI5479">
        <v>130.22878829729399</v>
      </c>
      <c r="AJ5479">
        <v>83.949287263235306</v>
      </c>
      <c r="AK5479">
        <v>0.36996019283426201</v>
      </c>
      <c r="AL5479">
        <v>80.694996039509306</v>
      </c>
      <c r="AM5479">
        <v>92.170406032607602</v>
      </c>
      <c r="AN5479">
        <v>0.99999994984585605</v>
      </c>
    </row>
    <row r="5480" spans="1:40" x14ac:dyDescent="0.25">
      <c r="A5480" t="str">
        <f>"20190303162021667"</f>
        <v>20190303162021667</v>
      </c>
      <c r="B5480" t="str">
        <f>"1551601221657887"</f>
        <v>1551601221657887</v>
      </c>
      <c r="C5480" t="s">
        <v>40</v>
      </c>
      <c r="D5480">
        <v>5.0127169999999897</v>
      </c>
      <c r="E5480">
        <v>0.53693310000000005</v>
      </c>
      <c r="F5480" t="s">
        <v>42</v>
      </c>
      <c r="G5480">
        <v>-263.78339999999997</v>
      </c>
      <c r="H5480">
        <v>0.81217090000000003</v>
      </c>
      <c r="I5480">
        <v>215.02019999999999</v>
      </c>
      <c r="J5480">
        <v>-264.3768</v>
      </c>
      <c r="K5480">
        <v>1.121615</v>
      </c>
      <c r="L5480">
        <v>215.06829999999999</v>
      </c>
      <c r="M5480">
        <v>0.99985999999999997</v>
      </c>
      <c r="N5480">
        <v>-1.401112E-2</v>
      </c>
      <c r="O5480">
        <v>9.1460970000000006E-3</v>
      </c>
      <c r="P5480">
        <v>0.98799619999999999</v>
      </c>
      <c r="Q5480">
        <v>0.1474924</v>
      </c>
      <c r="R5480">
        <v>4.5929610000000003E-2</v>
      </c>
      <c r="S5480">
        <v>3.2123110000000001</v>
      </c>
      <c r="T5480">
        <v>-1.1221179999999999</v>
      </c>
      <c r="U5480">
        <v>-0.16380310000000001</v>
      </c>
      <c r="V5480">
        <v>-3.691382E-2</v>
      </c>
      <c r="W5480">
        <v>0.1613211</v>
      </c>
      <c r="X5480">
        <v>0.98621139999999996</v>
      </c>
      <c r="Y5480">
        <v>5.6103229999999997E-2</v>
      </c>
      <c r="Z5480">
        <v>-1.2893099999999999E-2</v>
      </c>
      <c r="AA5480">
        <v>0.9983417</v>
      </c>
      <c r="AB5480">
        <v>30</v>
      </c>
      <c r="AC5480">
        <v>0.59340000000003101</v>
      </c>
      <c r="AD5480">
        <v>-0.3094441</v>
      </c>
      <c r="AE5480">
        <v>-4.8100000000005097E-2</v>
      </c>
      <c r="AF5480">
        <v>4.2140916844702003E-2</v>
      </c>
      <c r="AG5480">
        <v>-0.3094441</v>
      </c>
      <c r="AH5480">
        <v>0.46681836358367101</v>
      </c>
      <c r="AI5480">
        <v>123.432571876116</v>
      </c>
      <c r="AJ5480">
        <v>84.841741337235305</v>
      </c>
      <c r="AK5480">
        <v>0.56165015131864604</v>
      </c>
      <c r="AL5480">
        <v>80.716414345556998</v>
      </c>
      <c r="AM5480">
        <v>92.143576127525293</v>
      </c>
      <c r="AN5480">
        <v>1.00000002645108</v>
      </c>
    </row>
    <row r="5481" spans="1:40" x14ac:dyDescent="0.25">
      <c r="A5481" t="str">
        <f>"20190303162021691"</f>
        <v>20190303162021691</v>
      </c>
      <c r="B5481" t="str">
        <f>"1551601221688144"</f>
        <v>1551601221688144</v>
      </c>
      <c r="C5481" t="s">
        <v>40</v>
      </c>
      <c r="D5481">
        <v>5.027952</v>
      </c>
      <c r="E5481">
        <v>0.53702559999999999</v>
      </c>
      <c r="F5481" t="s">
        <v>42</v>
      </c>
      <c r="G5481">
        <v>-263.51650000000001</v>
      </c>
      <c r="H5481">
        <v>0.82144859999999897</v>
      </c>
      <c r="I5481">
        <v>215.02340000000001</v>
      </c>
      <c r="J5481">
        <v>-264.06950000000001</v>
      </c>
      <c r="K5481">
        <v>1.1216140000000001</v>
      </c>
      <c r="L5481">
        <v>215.0712</v>
      </c>
      <c r="M5481">
        <v>0.99985900000000005</v>
      </c>
      <c r="N5481">
        <v>-1.4026780000000001E-2</v>
      </c>
      <c r="O5481">
        <v>9.2409880000000003E-3</v>
      </c>
      <c r="P5481">
        <v>0.98801170000000005</v>
      </c>
      <c r="Q5481">
        <v>0.1474597</v>
      </c>
      <c r="R5481">
        <v>4.57037E-2</v>
      </c>
      <c r="S5481">
        <v>3.211487</v>
      </c>
      <c r="T5481">
        <v>-1.1204670000000001</v>
      </c>
      <c r="U5481">
        <v>-0.1671753</v>
      </c>
      <c r="V5481">
        <v>-3.6593680000000003E-2</v>
      </c>
      <c r="W5481">
        <v>0.16130410000000001</v>
      </c>
      <c r="X5481">
        <v>0.98622609999999999</v>
      </c>
      <c r="Y5481">
        <v>5.7193630000000002E-2</v>
      </c>
      <c r="Z5481">
        <v>-1.3101979999999999E-2</v>
      </c>
      <c r="AA5481">
        <v>0.99827710000000003</v>
      </c>
      <c r="AB5481">
        <v>29</v>
      </c>
      <c r="AC5481">
        <v>0.55299999999999705</v>
      </c>
      <c r="AD5481">
        <v>-0.30016540000000003</v>
      </c>
      <c r="AE5481">
        <v>-4.7799999999995103E-2</v>
      </c>
      <c r="AF5481">
        <v>4.0937054589274199E-2</v>
      </c>
      <c r="AG5481">
        <v>-0.30016540000000003</v>
      </c>
      <c r="AH5481">
        <v>0.427512454986683</v>
      </c>
      <c r="AI5481">
        <v>124.950616544326</v>
      </c>
      <c r="AJ5481">
        <v>84.530239546779399</v>
      </c>
      <c r="AK5481">
        <v>0.52396756480181605</v>
      </c>
      <c r="AL5481">
        <v>80.717401194264696</v>
      </c>
      <c r="AM5481">
        <v>92.124971152180294</v>
      </c>
      <c r="AN5481">
        <v>1.0000000152069799</v>
      </c>
    </row>
    <row r="5482" spans="1:40" x14ac:dyDescent="0.25">
      <c r="A5482" t="str">
        <f>"20190303162021713"</f>
        <v>20190303162021713</v>
      </c>
      <c r="B5482" t="str">
        <f>"1551601221707663"</f>
        <v>1551601221707663</v>
      </c>
      <c r="C5482" t="s">
        <v>40</v>
      </c>
      <c r="D5482">
        <v>4.9992799999999997</v>
      </c>
      <c r="E5482">
        <v>0.53701569999999899</v>
      </c>
      <c r="F5482" t="s">
        <v>42</v>
      </c>
      <c r="G5482">
        <v>-263.24829999999997</v>
      </c>
      <c r="H5482">
        <v>0.83505980000000002</v>
      </c>
      <c r="I5482">
        <v>215.02789999999999</v>
      </c>
      <c r="J5482">
        <v>-263.77749999999997</v>
      </c>
      <c r="K5482">
        <v>1.1216109999999999</v>
      </c>
      <c r="L5482">
        <v>215.07400000000001</v>
      </c>
      <c r="M5482">
        <v>0.99985800000000002</v>
      </c>
      <c r="N5482">
        <v>-1.404095E-2</v>
      </c>
      <c r="O5482">
        <v>9.3310049999999999E-3</v>
      </c>
      <c r="P5482">
        <v>0.98815249999999999</v>
      </c>
      <c r="Q5482">
        <v>0.1466953</v>
      </c>
      <c r="R5482">
        <v>4.511362E-2</v>
      </c>
      <c r="S5482">
        <v>3.2114259999999999</v>
      </c>
      <c r="T5482">
        <v>-1.1206020000000001</v>
      </c>
      <c r="U5482">
        <v>-0.1690063</v>
      </c>
      <c r="V5482">
        <v>-3.5913870000000001E-2</v>
      </c>
      <c r="W5482">
        <v>0.16055539999999999</v>
      </c>
      <c r="X5482">
        <v>0.98637319999999995</v>
      </c>
      <c r="Y5482">
        <v>5.7808350000000001E-2</v>
      </c>
      <c r="Z5482">
        <v>-1.3241609999999999E-2</v>
      </c>
      <c r="AA5482">
        <v>0.99823989999999996</v>
      </c>
      <c r="AB5482">
        <v>29</v>
      </c>
      <c r="AC5482">
        <v>0.529200000000003</v>
      </c>
      <c r="AD5482">
        <v>-0.28655120000000001</v>
      </c>
      <c r="AE5482">
        <v>-4.6100000000023997E-2</v>
      </c>
      <c r="AF5482">
        <v>3.9532726517325402E-2</v>
      </c>
      <c r="AG5482">
        <v>-0.28655120000000001</v>
      </c>
      <c r="AH5482">
        <v>0.40956614739628</v>
      </c>
      <c r="AI5482">
        <v>124.853704069895</v>
      </c>
      <c r="AJ5482">
        <v>84.486694968577197</v>
      </c>
      <c r="AK5482">
        <v>0.50141684832120004</v>
      </c>
      <c r="AL5482">
        <v>80.760864601120204</v>
      </c>
      <c r="AM5482">
        <v>92.085219471869493</v>
      </c>
      <c r="AN5482">
        <v>0.99999996610288699</v>
      </c>
    </row>
    <row r="5483" spans="1:40" x14ac:dyDescent="0.25">
      <c r="A5483" t="str">
        <f>"20190303162021746"</f>
        <v>20190303162021746</v>
      </c>
      <c r="B5483" t="str">
        <f>"1551601221737919"</f>
        <v>1551601221737919</v>
      </c>
      <c r="C5483" t="s">
        <v>40</v>
      </c>
      <c r="D5483">
        <v>5.0042869999999997</v>
      </c>
      <c r="E5483">
        <v>0.53705749999999997</v>
      </c>
      <c r="F5483" t="s">
        <v>42</v>
      </c>
      <c r="G5483">
        <v>-262.98239999999998</v>
      </c>
      <c r="H5483">
        <v>0.84330329999999998</v>
      </c>
      <c r="I5483">
        <v>215.0316</v>
      </c>
      <c r="J5483">
        <v>-263.34829999999999</v>
      </c>
      <c r="K5483">
        <v>1.1216140000000001</v>
      </c>
      <c r="L5483">
        <v>215.07820000000001</v>
      </c>
      <c r="M5483">
        <v>0.99985650000000004</v>
      </c>
      <c r="N5483">
        <v>-1.4062969999999999E-2</v>
      </c>
      <c r="O5483">
        <v>9.4630449999999998E-3</v>
      </c>
      <c r="P5483">
        <v>0.98814389999999996</v>
      </c>
      <c r="Q5483">
        <v>0.1467733</v>
      </c>
      <c r="R5483">
        <v>4.5050159999999999E-2</v>
      </c>
      <c r="S5483">
        <v>3.2106020000000002</v>
      </c>
      <c r="T5483">
        <v>-1.123823</v>
      </c>
      <c r="U5483">
        <v>-0.1710052</v>
      </c>
      <c r="V5483">
        <v>-3.5719979999999998E-2</v>
      </c>
      <c r="W5483">
        <v>0.1606551</v>
      </c>
      <c r="X5483">
        <v>0.98636409999999997</v>
      </c>
      <c r="Y5483">
        <v>5.8498889999999998E-2</v>
      </c>
      <c r="Z5483">
        <v>-1.34456E-2</v>
      </c>
      <c r="AA5483">
        <v>0.99819690000000005</v>
      </c>
      <c r="AB5483">
        <v>29</v>
      </c>
      <c r="AC5483">
        <v>0.36590000000001</v>
      </c>
      <c r="AD5483">
        <v>-0.27831069999999902</v>
      </c>
      <c r="AE5483">
        <v>-4.6600000000012097E-2</v>
      </c>
      <c r="AF5483">
        <v>3.1899908761674999E-2</v>
      </c>
      <c r="AG5483">
        <v>-0.27831069999999902</v>
      </c>
      <c r="AH5483">
        <v>0.23286861744300399</v>
      </c>
      <c r="AI5483">
        <v>139.81770539003901</v>
      </c>
      <c r="AJ5483">
        <v>82.199788410745299</v>
      </c>
      <c r="AK5483">
        <v>0.36428319053081398</v>
      </c>
      <c r="AL5483">
        <v>80.755077938846597</v>
      </c>
      <c r="AM5483">
        <v>92.073990868621394</v>
      </c>
      <c r="AN5483">
        <v>1.000000057948</v>
      </c>
    </row>
    <row r="5484" spans="1:40" x14ac:dyDescent="0.25">
      <c r="A5484" t="str">
        <f>"20190303162021768"</f>
        <v>20190303162021768</v>
      </c>
      <c r="B5484" t="str">
        <f>"1551601221758293"</f>
        <v>1551601221758293</v>
      </c>
      <c r="C5484" t="s">
        <v>40</v>
      </c>
      <c r="D5484">
        <v>5.0214610000000004</v>
      </c>
      <c r="E5484">
        <v>0.53703140000000005</v>
      </c>
      <c r="F5484" t="s">
        <v>42</v>
      </c>
      <c r="G5484">
        <v>-262.46969999999999</v>
      </c>
      <c r="H5484">
        <v>0.81430780000000003</v>
      </c>
      <c r="I5484">
        <v>215.03120000000001</v>
      </c>
      <c r="J5484">
        <v>-263.06020000000001</v>
      </c>
      <c r="K5484">
        <v>1.121618</v>
      </c>
      <c r="L5484">
        <v>215.08099999999999</v>
      </c>
      <c r="M5484">
        <v>0.99985539999999995</v>
      </c>
      <c r="N5484">
        <v>-1.4076969999999999E-2</v>
      </c>
      <c r="O5484">
        <v>9.5519890000000003E-3</v>
      </c>
      <c r="P5484">
        <v>0.98809369999999996</v>
      </c>
      <c r="Q5484">
        <v>0.147062</v>
      </c>
      <c r="R5484">
        <v>4.5207079999999997E-2</v>
      </c>
      <c r="S5484">
        <v>3.2106629999999998</v>
      </c>
      <c r="T5484">
        <v>-1.1230500000000001</v>
      </c>
      <c r="U5484">
        <v>-0.17169189999999901</v>
      </c>
      <c r="V5484">
        <v>-3.5788739999999999E-2</v>
      </c>
      <c r="W5484">
        <v>0.1609573</v>
      </c>
      <c r="X5484">
        <v>0.98631230000000003</v>
      </c>
      <c r="Y5484">
        <v>5.8782719999999997E-2</v>
      </c>
      <c r="Z5484">
        <v>-1.351625E-2</v>
      </c>
      <c r="AA5484">
        <v>0.99817929999999999</v>
      </c>
      <c r="AB5484">
        <v>29</v>
      </c>
      <c r="AC5484">
        <v>0.59050000000002001</v>
      </c>
      <c r="AD5484">
        <v>-0.30731019999999998</v>
      </c>
      <c r="AE5484">
        <v>-4.9799999999976301E-2</v>
      </c>
      <c r="AF5484">
        <v>4.3689422126536898E-2</v>
      </c>
      <c r="AG5484">
        <v>-0.30731019999999998</v>
      </c>
      <c r="AH5484">
        <v>0.46495724931092702</v>
      </c>
      <c r="AI5484">
        <v>123.34668617729901</v>
      </c>
      <c r="AJ5484">
        <v>84.631998845256902</v>
      </c>
      <c r="AK5484">
        <v>0.55904701798379497</v>
      </c>
      <c r="AL5484">
        <v>80.737534492401906</v>
      </c>
      <c r="AM5484">
        <v>92.078088786064001</v>
      </c>
      <c r="AN5484">
        <v>1.0000000197326799</v>
      </c>
    </row>
    <row r="5485" spans="1:40" x14ac:dyDescent="0.25">
      <c r="A5485" t="str">
        <f>"20190303162021791"</f>
        <v>20190303162021791</v>
      </c>
      <c r="B5485" t="str">
        <f>"1551601221787573"</f>
        <v>1551601221787573</v>
      </c>
      <c r="C5485" t="s">
        <v>40</v>
      </c>
      <c r="D5485">
        <v>5.0240260000000001</v>
      </c>
      <c r="E5485">
        <v>0.53699589999999997</v>
      </c>
      <c r="F5485" t="s">
        <v>42</v>
      </c>
      <c r="G5485">
        <v>-262.20490000000001</v>
      </c>
      <c r="H5485">
        <v>0.82234050000000003</v>
      </c>
      <c r="I5485">
        <v>215.03540000000001</v>
      </c>
      <c r="J5485">
        <v>-262.75279999999998</v>
      </c>
      <c r="K5485">
        <v>1.121623</v>
      </c>
      <c r="L5485">
        <v>215.084</v>
      </c>
      <c r="M5485">
        <v>0.99985420000000003</v>
      </c>
      <c r="N5485">
        <v>-1.4090159999999999E-2</v>
      </c>
      <c r="O5485">
        <v>9.6470159999999996E-3</v>
      </c>
      <c r="P5485">
        <v>0.98803859999999999</v>
      </c>
      <c r="Q5485">
        <v>0.14739150000000001</v>
      </c>
      <c r="R5485">
        <v>4.5336439999999999E-2</v>
      </c>
      <c r="S5485">
        <v>3.211182</v>
      </c>
      <c r="T5485">
        <v>-1.123521</v>
      </c>
      <c r="U5485">
        <v>-0.17057800000000001</v>
      </c>
      <c r="V5485">
        <v>-3.582482E-2</v>
      </c>
      <c r="W5485">
        <v>0.1612989</v>
      </c>
      <c r="X5485">
        <v>0.9862552</v>
      </c>
      <c r="Y5485">
        <v>5.8531779999999999E-2</v>
      </c>
      <c r="Z5485">
        <v>-1.35064E-2</v>
      </c>
      <c r="AA5485">
        <v>0.99819420000000003</v>
      </c>
      <c r="AB5485">
        <v>29</v>
      </c>
      <c r="AC5485">
        <v>0.54789999999996997</v>
      </c>
      <c r="AD5485">
        <v>-0.29928250000000001</v>
      </c>
      <c r="AE5485">
        <v>-4.8599999999993301E-2</v>
      </c>
      <c r="AF5485">
        <v>4.15756413272306E-2</v>
      </c>
      <c r="AG5485">
        <v>-0.29928250000000001</v>
      </c>
      <c r="AH5485">
        <v>0.42236651242436402</v>
      </c>
      <c r="AI5485">
        <v>125.19059784552501</v>
      </c>
      <c r="AJ5485">
        <v>84.378201493609396</v>
      </c>
      <c r="AK5485">
        <v>0.51931880341033398</v>
      </c>
      <c r="AL5485">
        <v>80.7177032820954</v>
      </c>
      <c r="AM5485">
        <v>92.080302275328407</v>
      </c>
      <c r="AN5485">
        <v>1.00000003619814</v>
      </c>
    </row>
    <row r="5486" spans="1:40" x14ac:dyDescent="0.25">
      <c r="A5486" t="str">
        <f>"20190303162021812"</f>
        <v>20190303162021812</v>
      </c>
      <c r="B5486" t="str">
        <f>"1551601221808069"</f>
        <v>1551601221808069</v>
      </c>
      <c r="C5486" t="s">
        <v>40</v>
      </c>
      <c r="D5486">
        <v>5.0364240000000002</v>
      </c>
      <c r="E5486">
        <v>0.53699039999999998</v>
      </c>
      <c r="F5486" t="s">
        <v>42</v>
      </c>
      <c r="G5486">
        <v>-261.93799999999999</v>
      </c>
      <c r="H5486">
        <v>0.83641350000000003</v>
      </c>
      <c r="I5486">
        <v>215.04079999999999</v>
      </c>
      <c r="J5486">
        <v>-262.46699999999998</v>
      </c>
      <c r="K5486">
        <v>1.1216219999999999</v>
      </c>
      <c r="L5486">
        <v>215.08690000000001</v>
      </c>
      <c r="M5486">
        <v>0.99985329999999994</v>
      </c>
      <c r="N5486">
        <v>-1.4100929999999999E-2</v>
      </c>
      <c r="O5486">
        <v>9.7355640000000004E-3</v>
      </c>
      <c r="P5486">
        <v>0.98797060000000003</v>
      </c>
      <c r="Q5486">
        <v>0.14772539999999901</v>
      </c>
      <c r="R5486">
        <v>4.5731910000000001E-2</v>
      </c>
      <c r="S5486">
        <v>3.2118229999999999</v>
      </c>
      <c r="T5486">
        <v>-1.124217</v>
      </c>
      <c r="U5486">
        <v>-0.16970829999999901</v>
      </c>
      <c r="V5486">
        <v>-3.6133609999999997E-2</v>
      </c>
      <c r="W5486">
        <v>0.16164249999999999</v>
      </c>
      <c r="X5486">
        <v>0.98618760000000005</v>
      </c>
      <c r="Y5486">
        <v>5.834338E-2</v>
      </c>
      <c r="Z5486">
        <v>-1.3507460000000001E-2</v>
      </c>
      <c r="AA5486">
        <v>0.99820520000000001</v>
      </c>
      <c r="AB5486">
        <v>29</v>
      </c>
      <c r="AC5486">
        <v>0.52899999999999603</v>
      </c>
      <c r="AD5486">
        <v>-0.28520849999999898</v>
      </c>
      <c r="AE5486">
        <v>-4.6100000000023997E-2</v>
      </c>
      <c r="AF5486">
        <v>3.9774089281178503E-2</v>
      </c>
      <c r="AG5486">
        <v>-0.28520849999999898</v>
      </c>
      <c r="AH5486">
        <v>0.41019089112801299</v>
      </c>
      <c r="AI5486">
        <v>124.68559495315</v>
      </c>
      <c r="AJ5486">
        <v>84.461638829500203</v>
      </c>
      <c r="AK5486">
        <v>0.50118103896176103</v>
      </c>
      <c r="AL5486">
        <v>80.697753952820193</v>
      </c>
      <c r="AM5486">
        <v>92.098361061407601</v>
      </c>
      <c r="AN5486">
        <v>0.99999995898581995</v>
      </c>
    </row>
    <row r="5487" spans="1:40" x14ac:dyDescent="0.25">
      <c r="A5487" t="str">
        <f>"20190303162021835"</f>
        <v>20190303162021835</v>
      </c>
      <c r="B5487" t="str">
        <f>"1551601221827590"</f>
        <v>1551601221827590</v>
      </c>
      <c r="C5487" t="s">
        <v>40</v>
      </c>
      <c r="D5487">
        <v>5.0241309999999997</v>
      </c>
      <c r="E5487">
        <v>0.53698440000000003</v>
      </c>
      <c r="F5487" t="s">
        <v>42</v>
      </c>
      <c r="G5487">
        <v>-261.67380000000003</v>
      </c>
      <c r="H5487">
        <v>0.84434619999999905</v>
      </c>
      <c r="I5487">
        <v>215.04480000000001</v>
      </c>
      <c r="J5487">
        <v>-262.17880000000002</v>
      </c>
      <c r="K5487">
        <v>1.1216200000000001</v>
      </c>
      <c r="L5487">
        <v>215.0898</v>
      </c>
      <c r="M5487">
        <v>0.99985219999999997</v>
      </c>
      <c r="N5487">
        <v>-1.411039E-2</v>
      </c>
      <c r="O5487">
        <v>9.8245399999999997E-3</v>
      </c>
      <c r="P5487">
        <v>0.98798830000000004</v>
      </c>
      <c r="Q5487">
        <v>0.14742649999999999</v>
      </c>
      <c r="R5487">
        <v>4.63113E-2</v>
      </c>
      <c r="S5487">
        <v>3.2123110000000001</v>
      </c>
      <c r="T5487">
        <v>-1.122967</v>
      </c>
      <c r="U5487">
        <v>-0.16969300000000001</v>
      </c>
      <c r="V5487">
        <v>-3.662489E-2</v>
      </c>
      <c r="W5487">
        <v>0.16135350000000001</v>
      </c>
      <c r="X5487">
        <v>0.9862168</v>
      </c>
      <c r="Y5487">
        <v>5.8419890000000002E-2</v>
      </c>
      <c r="Z5487">
        <v>-1.353436E-2</v>
      </c>
      <c r="AA5487">
        <v>0.99820039999999999</v>
      </c>
      <c r="AB5487">
        <v>29</v>
      </c>
      <c r="AC5487">
        <v>0.50499999999999501</v>
      </c>
      <c r="AD5487">
        <v>-0.27727380000000001</v>
      </c>
      <c r="AE5487">
        <v>-4.4999999999987397E-2</v>
      </c>
      <c r="AF5487">
        <v>3.8457507082641798E-2</v>
      </c>
      <c r="AG5487">
        <v>-0.27727380000000001</v>
      </c>
      <c r="AH5487">
        <v>0.388374912118085</v>
      </c>
      <c r="AI5487">
        <v>125.392222058896</v>
      </c>
      <c r="AJ5487">
        <v>84.344915106035799</v>
      </c>
      <c r="AK5487">
        <v>0.478742950214603</v>
      </c>
      <c r="AL5487">
        <v>80.714532655615301</v>
      </c>
      <c r="AM5487">
        <v>92.126801870038307</v>
      </c>
      <c r="AN5487">
        <v>0.99999995556599997</v>
      </c>
    </row>
    <row r="5488" spans="1:40" x14ac:dyDescent="0.25">
      <c r="A5488" t="str">
        <f>"20190303162021857"</f>
        <v>20190303162021857</v>
      </c>
      <c r="B5488" t="str">
        <f>"1551601221848085"</f>
        <v>1551601221848085</v>
      </c>
      <c r="C5488" t="s">
        <v>40</v>
      </c>
      <c r="D5488">
        <v>5.038443</v>
      </c>
      <c r="E5488">
        <v>0.53698100000000004</v>
      </c>
      <c r="F5488" t="s">
        <v>42</v>
      </c>
      <c r="G5488">
        <v>-261.40989999999999</v>
      </c>
      <c r="H5488">
        <v>0.85250079999999995</v>
      </c>
      <c r="I5488">
        <v>215.04949999999999</v>
      </c>
      <c r="J5488">
        <v>-261.88729999999998</v>
      </c>
      <c r="K5488">
        <v>1.1216250000000001</v>
      </c>
      <c r="L5488">
        <v>215.09270000000001</v>
      </c>
      <c r="M5488">
        <v>0.99985109999999999</v>
      </c>
      <c r="N5488">
        <v>-1.411866E-2</v>
      </c>
      <c r="O5488">
        <v>9.914717E-3</v>
      </c>
      <c r="P5488">
        <v>0.9878287</v>
      </c>
      <c r="Q5488">
        <v>0.14843329999999999</v>
      </c>
      <c r="R5488">
        <v>4.6496799999999998E-2</v>
      </c>
      <c r="S5488">
        <v>3.2120669999999998</v>
      </c>
      <c r="T5488">
        <v>-1.1241989999999999</v>
      </c>
      <c r="U5488">
        <v>-0.16767879999999999</v>
      </c>
      <c r="V5488">
        <v>-3.6722640000000001E-2</v>
      </c>
      <c r="W5488">
        <v>0.1623657</v>
      </c>
      <c r="X5488">
        <v>0.98604709999999995</v>
      </c>
      <c r="Y5488">
        <v>5.7906930000000002E-2</v>
      </c>
      <c r="Z5488">
        <v>-1.348797E-2</v>
      </c>
      <c r="AA5488">
        <v>0.99823090000000003</v>
      </c>
      <c r="AB5488">
        <v>29</v>
      </c>
      <c r="AC5488">
        <v>0.477399999999988</v>
      </c>
      <c r="AD5488">
        <v>-0.26912419999999998</v>
      </c>
      <c r="AE5488">
        <v>-4.3200000000012999E-2</v>
      </c>
      <c r="AF5488">
        <v>3.6444112899504402E-2</v>
      </c>
      <c r="AG5488">
        <v>-0.26912419999999998</v>
      </c>
      <c r="AH5488">
        <v>0.36264052501695099</v>
      </c>
      <c r="AI5488">
        <v>126.44232646117401</v>
      </c>
      <c r="AJ5488">
        <v>84.261241084991397</v>
      </c>
      <c r="AK5488">
        <v>0.45306087755978403</v>
      </c>
      <c r="AL5488">
        <v>80.655763596486096</v>
      </c>
      <c r="AM5488">
        <v>92.132839626765801</v>
      </c>
      <c r="AN5488">
        <v>1.0000000281217301</v>
      </c>
    </row>
    <row r="5489" spans="1:40" x14ac:dyDescent="0.25">
      <c r="A5489" t="str">
        <f>"20190303162021880"</f>
        <v>20190303162021880</v>
      </c>
      <c r="B5489" t="str">
        <f>"1551601221867605"</f>
        <v>1551601221867605</v>
      </c>
      <c r="C5489" t="s">
        <v>40</v>
      </c>
      <c r="D5489">
        <v>5.0322239999999896</v>
      </c>
      <c r="E5489">
        <v>0.53696659999999996</v>
      </c>
      <c r="F5489" t="s">
        <v>42</v>
      </c>
      <c r="G5489">
        <v>-261.1454</v>
      </c>
      <c r="H5489">
        <v>0.86269490000000004</v>
      </c>
      <c r="I5489">
        <v>215.05420000000001</v>
      </c>
      <c r="J5489">
        <v>-261.59789999999998</v>
      </c>
      <c r="K5489">
        <v>1.121634</v>
      </c>
      <c r="L5489">
        <v>215.09569999999999</v>
      </c>
      <c r="M5489">
        <v>0.99985029999999997</v>
      </c>
      <c r="N5489">
        <v>-1.4125550000000001E-2</v>
      </c>
      <c r="O5489">
        <v>1.000389E-2</v>
      </c>
      <c r="P5489">
        <v>0.98777689999999996</v>
      </c>
      <c r="Q5489">
        <v>0.14880170000000001</v>
      </c>
      <c r="R5489">
        <v>4.6422680000000001E-2</v>
      </c>
      <c r="S5489">
        <v>3.2133479999999999</v>
      </c>
      <c r="T5489">
        <v>-1.1215269999999999</v>
      </c>
      <c r="U5489">
        <v>-0.16632079999999999</v>
      </c>
      <c r="V5489">
        <v>-3.6560960000000003E-2</v>
      </c>
      <c r="W5489">
        <v>0.16274069999999999</v>
      </c>
      <c r="X5489">
        <v>0.98599119999999996</v>
      </c>
      <c r="Y5489">
        <v>5.75909E-2</v>
      </c>
      <c r="Z5489">
        <v>-1.342672E-2</v>
      </c>
      <c r="AA5489">
        <v>0.99824990000000002</v>
      </c>
      <c r="AB5489">
        <v>29</v>
      </c>
      <c r="AC5489">
        <v>0.45249999999998602</v>
      </c>
      <c r="AD5489">
        <v>-0.25893909999999998</v>
      </c>
      <c r="AE5489">
        <v>-4.1499999999984903E-2</v>
      </c>
      <c r="AF5489">
        <v>3.4743068970822098E-2</v>
      </c>
      <c r="AG5489">
        <v>-0.25893909999999998</v>
      </c>
      <c r="AH5489">
        <v>0.34124889969590499</v>
      </c>
      <c r="AI5489">
        <v>127.049007609752</v>
      </c>
      <c r="AJ5489">
        <v>84.186660632742303</v>
      </c>
      <c r="AK5489">
        <v>0.42977592986809598</v>
      </c>
      <c r="AL5489">
        <v>80.633987254442005</v>
      </c>
      <c r="AM5489">
        <v>92.123578194994494</v>
      </c>
      <c r="AN5489">
        <v>0.99999994285502403</v>
      </c>
    </row>
    <row r="5490" spans="1:40" x14ac:dyDescent="0.25">
      <c r="A5490" t="str">
        <f>"20190303162021902"</f>
        <v>20190303162021902</v>
      </c>
      <c r="B5490" t="str">
        <f>"1551601221897861"</f>
        <v>1551601221897861</v>
      </c>
      <c r="C5490" t="s">
        <v>40</v>
      </c>
      <c r="D5490">
        <v>5.0385839999999904</v>
      </c>
      <c r="E5490">
        <v>0.53696529999999998</v>
      </c>
      <c r="F5490" t="s">
        <v>42</v>
      </c>
      <c r="G5490">
        <v>-260.88159999999999</v>
      </c>
      <c r="H5490">
        <v>0.87163199999999996</v>
      </c>
      <c r="I5490">
        <v>215.0591</v>
      </c>
      <c r="J5490">
        <v>-261.30279999999999</v>
      </c>
      <c r="K5490">
        <v>1.1216280000000001</v>
      </c>
      <c r="L5490">
        <v>215.09880000000001</v>
      </c>
      <c r="M5490">
        <v>0.99984919999999999</v>
      </c>
      <c r="N5490">
        <v>-1.4131350000000001E-2</v>
      </c>
      <c r="O5490">
        <v>1.0095089999999999E-2</v>
      </c>
      <c r="P5490">
        <v>0.98782630000000005</v>
      </c>
      <c r="Q5490">
        <v>0.1486297</v>
      </c>
      <c r="R5490">
        <v>4.5918489999999999E-2</v>
      </c>
      <c r="S5490">
        <v>3.2138369999999998</v>
      </c>
      <c r="T5490">
        <v>-1.1217629999999901</v>
      </c>
      <c r="U5490">
        <v>-0.16394039999999999</v>
      </c>
      <c r="V5490">
        <v>-3.596626E-2</v>
      </c>
      <c r="W5490">
        <v>0.1625751</v>
      </c>
      <c r="X5490">
        <v>0.98604049999999999</v>
      </c>
      <c r="Y5490">
        <v>5.6969310000000002E-2</v>
      </c>
      <c r="Z5490">
        <v>-1.3347609999999999E-2</v>
      </c>
      <c r="AA5490">
        <v>0.99828669999999997</v>
      </c>
      <c r="AB5490">
        <v>29</v>
      </c>
      <c r="AC5490">
        <v>0.42119999999999802</v>
      </c>
      <c r="AD5490">
        <v>-0.249996</v>
      </c>
      <c r="AE5490">
        <v>-3.9700000000010498E-2</v>
      </c>
      <c r="AF5490">
        <v>3.2575700454873999E-2</v>
      </c>
      <c r="AG5490">
        <v>-0.249996</v>
      </c>
      <c r="AH5490">
        <v>0.31187685057220099</v>
      </c>
      <c r="AI5490">
        <v>128.56355033159701</v>
      </c>
      <c r="AJ5490">
        <v>84.037048171363907</v>
      </c>
      <c r="AK5490">
        <v>0.40103160249406899</v>
      </c>
      <c r="AL5490">
        <v>80.643604524151996</v>
      </c>
      <c r="AM5490">
        <v>92.088962607271696</v>
      </c>
      <c r="AN5490">
        <v>1.0000000513193199</v>
      </c>
    </row>
    <row r="5491" spans="1:40" x14ac:dyDescent="0.25">
      <c r="A5491" t="str">
        <f>"20190303162021926"</f>
        <v>20190303162021926</v>
      </c>
      <c r="B5491" t="str">
        <f>"1551601221918357"</f>
        <v>1551601221918357</v>
      </c>
      <c r="C5491" t="s">
        <v>40</v>
      </c>
      <c r="D5491">
        <v>5.0676430000000003</v>
      </c>
      <c r="E5491">
        <v>0.53695569999999904</v>
      </c>
      <c r="F5491" t="s">
        <v>42</v>
      </c>
      <c r="G5491">
        <v>-260.61739999999998</v>
      </c>
      <c r="H5491">
        <v>0.88206790000000002</v>
      </c>
      <c r="I5491">
        <v>215.06299999999999</v>
      </c>
      <c r="J5491">
        <v>-261.00779999999997</v>
      </c>
      <c r="K5491">
        <v>1.1216250000000001</v>
      </c>
      <c r="L5491">
        <v>215.1019</v>
      </c>
      <c r="M5491">
        <v>0.99984819999999996</v>
      </c>
      <c r="N5491">
        <v>-1.4136330000000001E-2</v>
      </c>
      <c r="O5491">
        <v>1.0186300000000001E-2</v>
      </c>
      <c r="P5491">
        <v>0.98789640000000001</v>
      </c>
      <c r="Q5491">
        <v>0.14839229999999901</v>
      </c>
      <c r="R5491">
        <v>4.5170670000000003E-2</v>
      </c>
      <c r="S5491">
        <v>3.2137150000000001</v>
      </c>
      <c r="T5491">
        <v>-1.1232340000000001</v>
      </c>
      <c r="U5491">
        <v>-0.16656489999999999</v>
      </c>
      <c r="V5491">
        <v>-3.512738E-2</v>
      </c>
      <c r="W5491">
        <v>0.1623436</v>
      </c>
      <c r="X5491">
        <v>0.98610880000000001</v>
      </c>
      <c r="Y5491">
        <v>5.780826E-2</v>
      </c>
      <c r="Z5491">
        <v>-1.354226E-2</v>
      </c>
      <c r="AA5491">
        <v>0.99823580000000001</v>
      </c>
      <c r="AB5491">
        <v>29</v>
      </c>
      <c r="AC5491">
        <v>0.39039999999999903</v>
      </c>
      <c r="AD5491">
        <v>-0.2395571</v>
      </c>
      <c r="AE5491">
        <v>-3.89000000000123E-2</v>
      </c>
      <c r="AF5491">
        <v>3.1231244748531499E-2</v>
      </c>
      <c r="AG5491">
        <v>-0.2395571</v>
      </c>
      <c r="AH5491">
        <v>0.284073175311568</v>
      </c>
      <c r="AI5491">
        <v>129.971183450338</v>
      </c>
      <c r="AJ5491">
        <v>83.726050380427793</v>
      </c>
      <c r="AK5491">
        <v>0.37290825110280101</v>
      </c>
      <c r="AL5491">
        <v>80.657046323845094</v>
      </c>
      <c r="AM5491">
        <v>92.040139946498797</v>
      </c>
      <c r="AN5491">
        <v>0.999999971362031</v>
      </c>
    </row>
    <row r="5492" spans="1:40" x14ac:dyDescent="0.25">
      <c r="A5492" t="str">
        <f>"20190303162021947"</f>
        <v>20190303162021947</v>
      </c>
      <c r="B5492" t="str">
        <f>"1551601221937876"</f>
        <v>1551601221937876</v>
      </c>
      <c r="C5492" t="s">
        <v>40</v>
      </c>
      <c r="D5492">
        <v>5.0428689999999996</v>
      </c>
      <c r="E5492">
        <v>0.53699849999999905</v>
      </c>
      <c r="F5492" t="s">
        <v>42</v>
      </c>
      <c r="G5492">
        <v>-260.1266</v>
      </c>
      <c r="H5492">
        <v>0.81327079999999996</v>
      </c>
      <c r="I5492">
        <v>215.05500000000001</v>
      </c>
      <c r="J5492">
        <v>-260.72399999999999</v>
      </c>
      <c r="K5492">
        <v>1.1216280000000001</v>
      </c>
      <c r="L5492">
        <v>215.10480000000001</v>
      </c>
      <c r="M5492">
        <v>0.99984729999999999</v>
      </c>
      <c r="N5492">
        <v>-1.4139840000000001E-2</v>
      </c>
      <c r="O5492">
        <v>1.0274190000000001E-2</v>
      </c>
      <c r="P5492">
        <v>0.98797049999999997</v>
      </c>
      <c r="Q5492">
        <v>0.1481152</v>
      </c>
      <c r="R5492">
        <v>4.4455660000000001E-2</v>
      </c>
      <c r="S5492">
        <v>3.213409</v>
      </c>
      <c r="T5492">
        <v>-1.1243700000000001</v>
      </c>
      <c r="U5492">
        <v>-0.1698151</v>
      </c>
      <c r="V5492">
        <v>-3.432487E-2</v>
      </c>
      <c r="W5492">
        <v>0.1620712</v>
      </c>
      <c r="X5492">
        <v>0.98618189999999994</v>
      </c>
      <c r="Y5492">
        <v>5.8831109999999999E-2</v>
      </c>
      <c r="Z5492">
        <v>-1.3765680000000001E-2</v>
      </c>
      <c r="AA5492">
        <v>0.99817310000000004</v>
      </c>
      <c r="AB5492">
        <v>29</v>
      </c>
      <c r="AC5492">
        <v>0.59739999999999305</v>
      </c>
      <c r="AD5492">
        <v>-0.3083572</v>
      </c>
      <c r="AE5492">
        <v>-4.9800000000004702E-2</v>
      </c>
      <c r="AF5492">
        <v>4.4232416371367198E-2</v>
      </c>
      <c r="AG5492">
        <v>-0.3083572</v>
      </c>
      <c r="AH5492">
        <v>0.47197722140063803</v>
      </c>
      <c r="AI5492">
        <v>123.043211613059</v>
      </c>
      <c r="AJ5492">
        <v>84.646033953779806</v>
      </c>
      <c r="AK5492">
        <v>0.56551142072548499</v>
      </c>
      <c r="AL5492">
        <v>80.672863480735501</v>
      </c>
      <c r="AM5492">
        <v>91.993421892137206</v>
      </c>
      <c r="AN5492">
        <v>1.0000000052287801</v>
      </c>
    </row>
    <row r="5493" spans="1:40" x14ac:dyDescent="0.25">
      <c r="A5493" t="str">
        <f>"20190303162021969"</f>
        <v>20190303162021969</v>
      </c>
      <c r="B5493" t="str">
        <f>"1551601221957904"</f>
        <v>1551601221957904</v>
      </c>
      <c r="C5493" t="s">
        <v>40</v>
      </c>
      <c r="D5493">
        <v>5.0308799999999998</v>
      </c>
      <c r="E5493">
        <v>0.53710899999999995</v>
      </c>
      <c r="F5493" t="s">
        <v>42</v>
      </c>
      <c r="G5493">
        <v>-259.8648</v>
      </c>
      <c r="H5493">
        <v>0.8206677</v>
      </c>
      <c r="I5493">
        <v>215.05869999999999</v>
      </c>
      <c r="J5493">
        <v>-260.43700000000001</v>
      </c>
      <c r="K5493">
        <v>1.1216330000000001</v>
      </c>
      <c r="L5493">
        <v>215.1079</v>
      </c>
      <c r="M5493">
        <v>0.99984629999999997</v>
      </c>
      <c r="N5493">
        <v>-1.41423E-2</v>
      </c>
      <c r="O5493">
        <v>1.0363030000000001E-2</v>
      </c>
      <c r="P5493">
        <v>0.98794979999999999</v>
      </c>
      <c r="Q5493">
        <v>0.14831359999999999</v>
      </c>
      <c r="R5493">
        <v>4.4255320000000001E-2</v>
      </c>
      <c r="S5493">
        <v>3.2129819999999998</v>
      </c>
      <c r="T5493">
        <v>-1.1254200000000001</v>
      </c>
      <c r="U5493">
        <v>-0.1718597</v>
      </c>
      <c r="V5493">
        <v>-3.4036879999999999E-2</v>
      </c>
      <c r="W5493">
        <v>0.16227159999999999</v>
      </c>
      <c r="X5493">
        <v>0.98615889999999995</v>
      </c>
      <c r="Y5493">
        <v>5.9505089999999997E-2</v>
      </c>
      <c r="Z5493">
        <v>-1.392758E-2</v>
      </c>
      <c r="AA5493">
        <v>0.99813090000000004</v>
      </c>
      <c r="AB5493">
        <v>29</v>
      </c>
      <c r="AC5493">
        <v>0.57220000000000903</v>
      </c>
      <c r="AD5493">
        <v>-0.30096529999999999</v>
      </c>
      <c r="AE5493">
        <v>-4.9200000000013198E-2</v>
      </c>
      <c r="AF5493">
        <v>4.3250155756146103E-2</v>
      </c>
      <c r="AG5493">
        <v>-0.30096529999999999</v>
      </c>
      <c r="AH5493">
        <v>0.44849262354964697</v>
      </c>
      <c r="AI5493">
        <v>123.741376014301</v>
      </c>
      <c r="AJ5493">
        <v>84.491743676067799</v>
      </c>
      <c r="AK5493">
        <v>0.54184529263938996</v>
      </c>
      <c r="AL5493">
        <v>80.661227124932907</v>
      </c>
      <c r="AM5493">
        <v>91.976756220557604</v>
      </c>
      <c r="AN5493">
        <v>0.99999997870795099</v>
      </c>
    </row>
    <row r="5494" spans="1:40" x14ac:dyDescent="0.25">
      <c r="A5494" t="str">
        <f>"20190303162021992"</f>
        <v>20190303162021992</v>
      </c>
      <c r="B5494" t="str">
        <f>"1551601221988161"</f>
        <v>1551601221988161</v>
      </c>
      <c r="C5494" t="s">
        <v>40</v>
      </c>
      <c r="D5494">
        <v>5.0627500000000003</v>
      </c>
      <c r="E5494">
        <v>0.53719319999999904</v>
      </c>
      <c r="F5494" t="s">
        <v>42</v>
      </c>
      <c r="G5494">
        <v>-259.6026</v>
      </c>
      <c r="H5494">
        <v>0.8298662</v>
      </c>
      <c r="I5494">
        <v>215.06280000000001</v>
      </c>
      <c r="J5494">
        <v>-260.14909999999998</v>
      </c>
      <c r="K5494">
        <v>1.1216330000000001</v>
      </c>
      <c r="L5494">
        <v>215.11099999999999</v>
      </c>
      <c r="M5494">
        <v>0.9998454</v>
      </c>
      <c r="N5494">
        <v>-1.414403E-2</v>
      </c>
      <c r="O5494">
        <v>1.045188E-2</v>
      </c>
      <c r="P5494">
        <v>0.98788580000000004</v>
      </c>
      <c r="Q5494">
        <v>0.14861199999999999</v>
      </c>
      <c r="R5494">
        <v>4.4679450000000002E-2</v>
      </c>
      <c r="S5494">
        <v>3.2130429999999999</v>
      </c>
      <c r="T5494">
        <v>-1.123526</v>
      </c>
      <c r="U5494">
        <v>-0.17295839999999901</v>
      </c>
      <c r="V5494">
        <v>-3.4373260000000003E-2</v>
      </c>
      <c r="W5494">
        <v>0.16257079999999999</v>
      </c>
      <c r="X5494">
        <v>0.98609800000000003</v>
      </c>
      <c r="Y5494">
        <v>5.9916789999999998E-2</v>
      </c>
      <c r="Z5494">
        <v>-1.400735E-2</v>
      </c>
      <c r="AA5494">
        <v>0.99810509999999997</v>
      </c>
      <c r="AB5494">
        <v>29</v>
      </c>
      <c r="AC5494">
        <v>0.54649999999998</v>
      </c>
      <c r="AD5494">
        <v>-0.29176679999999999</v>
      </c>
      <c r="AE5494">
        <v>-4.8199999999980002E-2</v>
      </c>
      <c r="AF5494">
        <v>4.2024173676863903E-2</v>
      </c>
      <c r="AG5494">
        <v>-0.29176679999999999</v>
      </c>
      <c r="AH5494">
        <v>0.42559506305017503</v>
      </c>
      <c r="AI5494">
        <v>124.303076194486</v>
      </c>
      <c r="AJ5494">
        <v>84.360771367330599</v>
      </c>
      <c r="AK5494">
        <v>0.51771136210068402</v>
      </c>
      <c r="AL5494">
        <v>80.6438539769687</v>
      </c>
      <c r="AM5494">
        <v>91.996399583909295</v>
      </c>
      <c r="AN5494">
        <v>1.0000000258098301</v>
      </c>
    </row>
    <row r="5495" spans="1:40" x14ac:dyDescent="0.25">
      <c r="A5495" t="str">
        <f>"20190303162022014"</f>
        <v>20190303162022014</v>
      </c>
      <c r="B5495" t="str">
        <f>"1551601222007681"</f>
        <v>1551601222007681</v>
      </c>
      <c r="C5495" t="s">
        <v>40</v>
      </c>
      <c r="D5495">
        <v>5.0898729999999999</v>
      </c>
      <c r="E5495">
        <v>0.53721280000000005</v>
      </c>
      <c r="F5495" t="s">
        <v>42</v>
      </c>
      <c r="G5495">
        <v>-259.34070000000003</v>
      </c>
      <c r="H5495">
        <v>0.83929050000000005</v>
      </c>
      <c r="I5495">
        <v>215.0676</v>
      </c>
      <c r="J5495">
        <v>-259.85579999999999</v>
      </c>
      <c r="K5495">
        <v>1.121632</v>
      </c>
      <c r="L5495">
        <v>215.11410000000001</v>
      </c>
      <c r="M5495">
        <v>0.99984439999999997</v>
      </c>
      <c r="N5495">
        <v>-1.414515E-2</v>
      </c>
      <c r="O5495">
        <v>1.054277E-2</v>
      </c>
      <c r="P5495">
        <v>0.98783270000000001</v>
      </c>
      <c r="Q5495">
        <v>0.148914299999999</v>
      </c>
      <c r="R5495">
        <v>4.4847659999999998E-2</v>
      </c>
      <c r="S5495">
        <v>3.2133790000000002</v>
      </c>
      <c r="T5495">
        <v>-1.1222219999999901</v>
      </c>
      <c r="U5495">
        <v>-0.17184449999999901</v>
      </c>
      <c r="V5495">
        <v>-3.4452400000000001E-2</v>
      </c>
      <c r="W5495">
        <v>0.1628733</v>
      </c>
      <c r="X5495">
        <v>0.98604530000000001</v>
      </c>
      <c r="Y5495">
        <v>5.9677010000000003E-2</v>
      </c>
      <c r="Z5495">
        <v>-1.3978229999999999E-2</v>
      </c>
      <c r="AA5495">
        <v>0.99811989999999995</v>
      </c>
      <c r="AB5495">
        <v>29</v>
      </c>
      <c r="AC5495">
        <v>0.51509999999996103</v>
      </c>
      <c r="AD5495">
        <v>-0.28234149999999902</v>
      </c>
      <c r="AE5495">
        <v>-4.6500000000008798E-2</v>
      </c>
      <c r="AF5495">
        <v>4.0006045817017402E-2</v>
      </c>
      <c r="AG5495">
        <v>-0.28234149999999902</v>
      </c>
      <c r="AH5495">
        <v>0.39643622821293201</v>
      </c>
      <c r="AI5495">
        <v>125.32139009499301</v>
      </c>
      <c r="AJ5495">
        <v>84.237550238226802</v>
      </c>
      <c r="AK5495">
        <v>0.48834300380353401</v>
      </c>
      <c r="AL5495">
        <v>80.626287701357299</v>
      </c>
      <c r="AM5495">
        <v>92.001099162053507</v>
      </c>
      <c r="AN5495">
        <v>1.00000000668537</v>
      </c>
    </row>
    <row r="5496" spans="1:40" x14ac:dyDescent="0.25">
      <c r="A5496" t="str">
        <f>"20190303162022035"</f>
        <v>20190303162022035</v>
      </c>
      <c r="B5496" t="str">
        <f>"1551601222028177"</f>
        <v>1551601222028177</v>
      </c>
      <c r="C5496" t="s">
        <v>40</v>
      </c>
      <c r="D5496">
        <v>5.0457260000000002</v>
      </c>
      <c r="E5496">
        <v>0.54130749999999905</v>
      </c>
      <c r="F5496" t="s">
        <v>42</v>
      </c>
      <c r="G5496">
        <v>-259.07839999999999</v>
      </c>
      <c r="H5496">
        <v>0.85031039999999902</v>
      </c>
      <c r="I5496">
        <v>215.07249999999999</v>
      </c>
      <c r="J5496">
        <v>-259.57589999999999</v>
      </c>
      <c r="K5496">
        <v>1.1216349999999999</v>
      </c>
      <c r="L5496">
        <v>215.1172</v>
      </c>
      <c r="M5496">
        <v>0.9998435</v>
      </c>
      <c r="N5496">
        <v>-1.4145649999999999E-2</v>
      </c>
      <c r="O5496">
        <v>1.0629420000000001E-2</v>
      </c>
      <c r="P5496">
        <v>0.98787829999999999</v>
      </c>
      <c r="Q5496">
        <v>0.14881320000000001</v>
      </c>
      <c r="R5496">
        <v>4.4168939999999997E-2</v>
      </c>
      <c r="S5496">
        <v>3.2138059999999999</v>
      </c>
      <c r="T5496">
        <v>-1.1215980000000001</v>
      </c>
      <c r="U5496">
        <v>-0.17102049999999999</v>
      </c>
      <c r="V5496">
        <v>-3.3687019999999998E-2</v>
      </c>
      <c r="W5496">
        <v>0.16277359999999999</v>
      </c>
      <c r="X5496">
        <v>0.98608819999999997</v>
      </c>
      <c r="Y5496">
        <v>5.9512240000000001E-2</v>
      </c>
      <c r="Z5496">
        <v>-1.396845E-2</v>
      </c>
      <c r="AA5496">
        <v>0.99812979999999996</v>
      </c>
      <c r="AB5496">
        <v>29</v>
      </c>
      <c r="AC5496">
        <v>0.497500000000002</v>
      </c>
      <c r="AD5496">
        <v>-0.27132459999999903</v>
      </c>
      <c r="AE5496">
        <v>-4.4700000000005902E-2</v>
      </c>
      <c r="AF5496">
        <v>3.8597751748309699E-2</v>
      </c>
      <c r="AG5496">
        <v>-0.27132459999999903</v>
      </c>
      <c r="AH5496">
        <v>0.38376549296506202</v>
      </c>
      <c r="AI5496">
        <v>125.12474777084699</v>
      </c>
      <c r="AJ5496">
        <v>84.256710424542803</v>
      </c>
      <c r="AK5496">
        <v>0.471574785793199</v>
      </c>
      <c r="AL5496">
        <v>80.632077281173807</v>
      </c>
      <c r="AM5496">
        <v>91.9565934751231</v>
      </c>
      <c r="AN5496">
        <v>0.99999999917633997</v>
      </c>
    </row>
    <row r="5497" spans="1:40" x14ac:dyDescent="0.25">
      <c r="A5497" t="str">
        <f>"20190303162022058"</f>
        <v>20190303162022058</v>
      </c>
      <c r="B5497" t="str">
        <f>"1551601222047697"</f>
        <v>1551601222047697</v>
      </c>
      <c r="C5497" t="s">
        <v>40</v>
      </c>
      <c r="D5497">
        <v>5.057086</v>
      </c>
      <c r="E5497">
        <v>0.54822380000000004</v>
      </c>
      <c r="F5497" t="s">
        <v>42</v>
      </c>
      <c r="G5497">
        <v>-258.79410000000001</v>
      </c>
      <c r="H5497">
        <v>0.91409620000000003</v>
      </c>
      <c r="I5497">
        <v>215.06710000000001</v>
      </c>
      <c r="J5497">
        <v>-259.28609999999998</v>
      </c>
      <c r="K5497">
        <v>1.1216390000000001</v>
      </c>
      <c r="L5497">
        <v>215.12039999999999</v>
      </c>
      <c r="M5497">
        <v>0.99984249999999997</v>
      </c>
      <c r="N5497">
        <v>-1.4145639999999999E-2</v>
      </c>
      <c r="O5497">
        <v>1.071912E-2</v>
      </c>
      <c r="P5497">
        <v>0.98785040000000002</v>
      </c>
      <c r="Q5497">
        <v>0.1490368</v>
      </c>
      <c r="R5497">
        <v>4.4040000000000003E-2</v>
      </c>
      <c r="S5497">
        <v>3.1727599999999998</v>
      </c>
      <c r="T5497">
        <v>-0.84224129999999997</v>
      </c>
      <c r="U5497">
        <v>-0.203537</v>
      </c>
      <c r="V5497">
        <v>-3.3469470000000001E-2</v>
      </c>
      <c r="W5497">
        <v>0.16299710000000001</v>
      </c>
      <c r="X5497">
        <v>0.98605869999999995</v>
      </c>
      <c r="Y5497">
        <v>7.176971E-2</v>
      </c>
      <c r="Z5497">
        <v>-1.2517439999999999E-2</v>
      </c>
      <c r="AA5497">
        <v>0.99734270000000003</v>
      </c>
      <c r="AB5497">
        <v>29</v>
      </c>
      <c r="AC5497">
        <v>0.49199999999996102</v>
      </c>
      <c r="AD5497">
        <v>-0.2075428</v>
      </c>
      <c r="AE5497">
        <v>-5.3299999999978802E-2</v>
      </c>
      <c r="AF5497">
        <v>4.9810561528428401E-2</v>
      </c>
      <c r="AG5497">
        <v>-0.2075428</v>
      </c>
      <c r="AH5497">
        <v>0.41789987078552099</v>
      </c>
      <c r="AI5497">
        <v>116.249850924165</v>
      </c>
      <c r="AJ5497">
        <v>83.202836284209397</v>
      </c>
      <c r="AK5497">
        <v>0.46924983524149799</v>
      </c>
      <c r="AL5497">
        <v>80.619098442573303</v>
      </c>
      <c r="AM5497">
        <v>91.944025678961694</v>
      </c>
      <c r="AN5497">
        <v>1.0000000099380899</v>
      </c>
    </row>
    <row r="5498" spans="1:40" x14ac:dyDescent="0.25">
      <c r="A5498" t="str">
        <f>"20190303162022081"</f>
        <v>20190303162022081</v>
      </c>
      <c r="B5498" t="str">
        <f>"1551601222068193"</f>
        <v>1551601222068193</v>
      </c>
      <c r="C5498" t="s">
        <v>40</v>
      </c>
      <c r="D5498">
        <v>5.0706259999999999</v>
      </c>
      <c r="E5498">
        <v>0.54570450000000004</v>
      </c>
      <c r="F5498" t="s">
        <v>42</v>
      </c>
      <c r="G5498">
        <v>-258.47719999999998</v>
      </c>
      <c r="H5498">
        <v>1.03498</v>
      </c>
      <c r="I5498">
        <v>215.0532</v>
      </c>
      <c r="J5498">
        <v>-258.99579999999997</v>
      </c>
      <c r="K5498">
        <v>1.121634</v>
      </c>
      <c r="L5498">
        <v>215.12360000000001</v>
      </c>
      <c r="M5498">
        <v>0.99984170000000006</v>
      </c>
      <c r="N5498">
        <v>-1.414519E-2</v>
      </c>
      <c r="O5498">
        <v>1.080882E-2</v>
      </c>
      <c r="P5498">
        <v>0.98784570000000005</v>
      </c>
      <c r="Q5498">
        <v>0.149166299999999</v>
      </c>
      <c r="R5498">
        <v>4.3710930000000002E-2</v>
      </c>
      <c r="S5498">
        <v>3.0984189999999998</v>
      </c>
      <c r="T5498">
        <v>-0.33210119999999999</v>
      </c>
      <c r="U5498">
        <v>-0.25616460000000002</v>
      </c>
      <c r="V5498">
        <v>-3.3052169999999999E-2</v>
      </c>
      <c r="W5498">
        <v>0.16312650000000001</v>
      </c>
      <c r="X5498">
        <v>0.98605140000000002</v>
      </c>
      <c r="Y5498">
        <v>9.2520039999999998E-2</v>
      </c>
      <c r="Z5498">
        <v>-6.5945750000000001E-3</v>
      </c>
      <c r="AA5498">
        <v>0.99568900000000005</v>
      </c>
      <c r="AB5498">
        <v>29</v>
      </c>
      <c r="AC5498">
        <v>0.51859999999999196</v>
      </c>
      <c r="AD5498">
        <v>-8.6653999999999995E-2</v>
      </c>
      <c r="AE5498">
        <v>-7.0400000000006402E-2</v>
      </c>
      <c r="AF5498">
        <v>7.3973935107546102E-2</v>
      </c>
      <c r="AG5498">
        <v>-8.6653999999999995E-2</v>
      </c>
      <c r="AH5498">
        <v>0.50399194680064996</v>
      </c>
      <c r="AI5498">
        <v>99.654319123000604</v>
      </c>
      <c r="AJ5498">
        <v>81.649974628418093</v>
      </c>
      <c r="AK5498">
        <v>0.516709726278889</v>
      </c>
      <c r="AL5498">
        <v>80.611584002439798</v>
      </c>
      <c r="AM5498">
        <v>91.919819867236299</v>
      </c>
      <c r="AN5498">
        <v>1.0000000321929501</v>
      </c>
    </row>
    <row r="5499" spans="1:40" x14ac:dyDescent="0.25">
      <c r="A5499" t="str">
        <f>"20190303162022103"</f>
        <v>20190303162022103</v>
      </c>
      <c r="B5499" t="str">
        <f>"1551601222097477"</f>
        <v>1551601222097477</v>
      </c>
      <c r="C5499" t="s">
        <v>40</v>
      </c>
      <c r="D5499">
        <v>5.0738960000000004</v>
      </c>
      <c r="E5499">
        <v>0.5466183</v>
      </c>
      <c r="F5499" t="s">
        <v>52</v>
      </c>
      <c r="G5499">
        <v>-244.13740000000001</v>
      </c>
      <c r="H5499" s="1">
        <v>6.9266900000000005E-7</v>
      </c>
      <c r="I5499">
        <v>213.98159999999999</v>
      </c>
      <c r="J5499">
        <v>-258.71480000000003</v>
      </c>
      <c r="K5499">
        <v>1.1216349999999999</v>
      </c>
      <c r="L5499">
        <v>215.1267</v>
      </c>
      <c r="M5499">
        <v>0.99984079999999997</v>
      </c>
      <c r="N5499">
        <v>-1.414441E-2</v>
      </c>
      <c r="O5499">
        <v>1.089554E-2</v>
      </c>
      <c r="P5499">
        <v>0.98783010000000004</v>
      </c>
      <c r="Q5499">
        <v>0.14930550000000001</v>
      </c>
      <c r="R5499">
        <v>4.3589009999999997E-2</v>
      </c>
      <c r="S5499">
        <v>3.082535</v>
      </c>
      <c r="T5499">
        <v>-0.2326944</v>
      </c>
      <c r="U5499">
        <v>-0.23690800000000001</v>
      </c>
      <c r="V5499">
        <v>-3.2844520000000002E-2</v>
      </c>
      <c r="W5499">
        <v>0.163264299999999</v>
      </c>
      <c r="X5499">
        <v>0.98603549999999995</v>
      </c>
      <c r="Y5499">
        <v>8.7175440000000007E-2</v>
      </c>
      <c r="Z5499">
        <v>-4.5658369999999997E-3</v>
      </c>
      <c r="AA5499">
        <v>0.99618249999999997</v>
      </c>
      <c r="AB5499">
        <v>29</v>
      </c>
      <c r="AC5499">
        <v>14.577400000000001</v>
      </c>
      <c r="AD5499">
        <v>-1.121634307331</v>
      </c>
      <c r="AE5499">
        <v>-1.14510000000001</v>
      </c>
      <c r="AF5499">
        <v>1.2962494195847001</v>
      </c>
      <c r="AG5499">
        <v>-1.121634307331</v>
      </c>
      <c r="AH5499">
        <v>14.4788635419277</v>
      </c>
      <c r="AI5499">
        <v>94.412109632693799</v>
      </c>
      <c r="AJ5499">
        <v>84.884118927633395</v>
      </c>
      <c r="AK5499">
        <v>14.5799799568764</v>
      </c>
      <c r="AL5499">
        <v>80.6035810604142</v>
      </c>
      <c r="AM5499">
        <v>91.907798295136004</v>
      </c>
      <c r="AN5499">
        <v>1.0000000007043801</v>
      </c>
    </row>
    <row r="5500" spans="1:40" x14ac:dyDescent="0.25">
      <c r="A5500" t="str">
        <f>"20190303162022126"</f>
        <v>20190303162022126</v>
      </c>
      <c r="B5500" t="str">
        <f>"1551601222117969"</f>
        <v>1551601222117969</v>
      </c>
      <c r="C5500" t="s">
        <v>40</v>
      </c>
      <c r="D5500">
        <v>5.0907790000000004</v>
      </c>
      <c r="E5500">
        <v>0.54716989999999999</v>
      </c>
      <c r="F5500" t="s">
        <v>52</v>
      </c>
      <c r="G5500">
        <v>-241.1491</v>
      </c>
      <c r="H5500" s="1">
        <v>-8.8662680000000003E-7</v>
      </c>
      <c r="I5500">
        <v>213.73159999999999</v>
      </c>
      <c r="J5500">
        <v>-258.42219999999998</v>
      </c>
      <c r="K5500">
        <v>1.1216360000000001</v>
      </c>
      <c r="L5500">
        <v>215.13</v>
      </c>
      <c r="M5500">
        <v>0.99983960000000005</v>
      </c>
      <c r="N5500">
        <v>-1.414347E-2</v>
      </c>
      <c r="O5500">
        <v>1.098608E-2</v>
      </c>
      <c r="P5500">
        <v>0.9877205</v>
      </c>
      <c r="Q5500">
        <v>0.1499064</v>
      </c>
      <c r="R5500">
        <v>4.400391E-2</v>
      </c>
      <c r="S5500">
        <v>3.0774539999999999</v>
      </c>
      <c r="T5500">
        <v>-0.19650709999999999</v>
      </c>
      <c r="U5500">
        <v>-0.2444153</v>
      </c>
      <c r="V5500">
        <v>-3.3171720000000002E-2</v>
      </c>
      <c r="W5500">
        <v>0.16386310000000001</v>
      </c>
      <c r="X5500">
        <v>0.98592519999999995</v>
      </c>
      <c r="Y5500">
        <v>8.9883859999999996E-2</v>
      </c>
      <c r="Z5500">
        <v>-4.0445020000000002E-3</v>
      </c>
      <c r="AA5500">
        <v>0.99594400000000005</v>
      </c>
      <c r="AB5500">
        <v>29</v>
      </c>
      <c r="AC5500">
        <v>17.2730999999999</v>
      </c>
      <c r="AD5500">
        <v>-1.1216368866268001</v>
      </c>
      <c r="AE5500">
        <v>-1.3984000000000001</v>
      </c>
      <c r="AF5500">
        <v>1.5814731944968199</v>
      </c>
      <c r="AG5500">
        <v>-1.1216368866268001</v>
      </c>
      <c r="AH5500">
        <v>17.184703459718001</v>
      </c>
      <c r="AI5500">
        <v>93.718700034441696</v>
      </c>
      <c r="AJ5500">
        <v>84.741996544852299</v>
      </c>
      <c r="AK5500">
        <v>17.293731805738101</v>
      </c>
      <c r="AL5500">
        <v>80.568803887747194</v>
      </c>
      <c r="AM5500">
        <v>91.927005090906604</v>
      </c>
      <c r="AN5500">
        <v>0.99999998927220402</v>
      </c>
    </row>
    <row r="5501" spans="1:40" x14ac:dyDescent="0.25">
      <c r="A5501" t="str">
        <f>"20190303162022149"</f>
        <v>20190303162022149</v>
      </c>
      <c r="B5501" t="str">
        <f>"1551601222137489"</f>
        <v>1551601222137489</v>
      </c>
      <c r="C5501" t="s">
        <v>40</v>
      </c>
      <c r="D5501">
        <v>5.1029330000000002</v>
      </c>
      <c r="E5501">
        <v>0.54751479999999997</v>
      </c>
      <c r="F5501" t="s">
        <v>52</v>
      </c>
      <c r="G5501">
        <v>-238.98830000000001</v>
      </c>
      <c r="H5501" s="1">
        <v>3.2921760000000002E-6</v>
      </c>
      <c r="I5501">
        <v>213.56809999999999</v>
      </c>
      <c r="J5501">
        <v>-258.13389999999998</v>
      </c>
      <c r="K5501">
        <v>1.121645</v>
      </c>
      <c r="L5501">
        <v>215.13329999999999</v>
      </c>
      <c r="M5501">
        <v>0.99983869999999997</v>
      </c>
      <c r="N5501">
        <v>-1.414227E-2</v>
      </c>
      <c r="O5501">
        <v>1.1075069999999999E-2</v>
      </c>
      <c r="P5501">
        <v>0.98761770000000004</v>
      </c>
      <c r="Q5501">
        <v>0.1505821</v>
      </c>
      <c r="R5501">
        <v>4.40049E-2</v>
      </c>
      <c r="S5501">
        <v>3.0752410000000001</v>
      </c>
      <c r="T5501">
        <v>-0.17748829999999999</v>
      </c>
      <c r="U5501">
        <v>-0.24716189999999999</v>
      </c>
      <c r="V5501">
        <v>-3.3085700000000003E-2</v>
      </c>
      <c r="W5501">
        <v>0.16453570000000001</v>
      </c>
      <c r="X5501">
        <v>0.98581609999999997</v>
      </c>
      <c r="Y5501">
        <v>9.0950920000000005E-2</v>
      </c>
      <c r="Z5501">
        <v>-3.7445260000000002E-3</v>
      </c>
      <c r="AA5501">
        <v>0.99584839999999997</v>
      </c>
      <c r="AB5501">
        <v>29</v>
      </c>
      <c r="AC5501">
        <v>19.145599999999899</v>
      </c>
      <c r="AD5501">
        <v>-1.121641707824</v>
      </c>
      <c r="AE5501">
        <v>-1.5651999999999999</v>
      </c>
      <c r="AF5501">
        <v>1.77112557696207</v>
      </c>
      <c r="AG5501">
        <v>-1.121641707824</v>
      </c>
      <c r="AH5501">
        <v>19.0620988870721</v>
      </c>
      <c r="AI5501">
        <v>93.353075270269699</v>
      </c>
      <c r="AJ5501">
        <v>84.691691217071707</v>
      </c>
      <c r="AK5501">
        <v>19.177032614839401</v>
      </c>
      <c r="AL5501">
        <v>80.529736798648301</v>
      </c>
      <c r="AM5501">
        <v>91.922224335598003</v>
      </c>
      <c r="AN5501">
        <v>1.0000000215690901</v>
      </c>
    </row>
    <row r="5502" spans="1:40" x14ac:dyDescent="0.25">
      <c r="A5502" t="str">
        <f>"20190303162022170"</f>
        <v>20190303162022170</v>
      </c>
      <c r="B5502" t="str">
        <f>"1551601222157986"</f>
        <v>1551601222157986</v>
      </c>
      <c r="C5502" t="s">
        <v>40</v>
      </c>
      <c r="D5502">
        <v>5.1118449999999998</v>
      </c>
      <c r="E5502">
        <v>0.5477109</v>
      </c>
      <c r="F5502" t="s">
        <v>52</v>
      </c>
      <c r="G5502">
        <v>-237.2003</v>
      </c>
      <c r="H5502" s="1">
        <v>2.346458E-6</v>
      </c>
      <c r="I5502">
        <v>213.43520000000001</v>
      </c>
      <c r="J5502">
        <v>-257.84800000000001</v>
      </c>
      <c r="K5502">
        <v>1.1216489999999999</v>
      </c>
      <c r="L5502">
        <v>215.13650000000001</v>
      </c>
      <c r="M5502">
        <v>0.9998378</v>
      </c>
      <c r="N5502">
        <v>-1.4140740000000001E-2</v>
      </c>
      <c r="O5502">
        <v>1.1163589999999999E-2</v>
      </c>
      <c r="P5502">
        <v>0.98767950000000004</v>
      </c>
      <c r="Q5502">
        <v>0.15031610000000001</v>
      </c>
      <c r="R5502">
        <v>4.3524229999999997E-2</v>
      </c>
      <c r="S5502">
        <v>3.0738370000000002</v>
      </c>
      <c r="T5502">
        <v>-0.16469900000000001</v>
      </c>
      <c r="U5502">
        <v>-0.24934390000000001</v>
      </c>
      <c r="V5502">
        <v>-3.2516950000000003E-2</v>
      </c>
      <c r="W5502">
        <v>0.1642691</v>
      </c>
      <c r="X5502">
        <v>0.98587950000000002</v>
      </c>
      <c r="Y5502">
        <v>9.1801400000000005E-2</v>
      </c>
      <c r="Z5502">
        <v>-3.5436629999999998E-3</v>
      </c>
      <c r="AA5502">
        <v>0.99577110000000002</v>
      </c>
      <c r="AB5502">
        <v>29</v>
      </c>
      <c r="AC5502">
        <v>20.6477</v>
      </c>
      <c r="AD5502">
        <v>-1.121646653542</v>
      </c>
      <c r="AE5502">
        <v>-1.7013</v>
      </c>
      <c r="AF5502">
        <v>1.9260739346106299</v>
      </c>
      <c r="AG5502">
        <v>-1.121646653542</v>
      </c>
      <c r="AH5502">
        <v>20.5671343029029</v>
      </c>
      <c r="AI5502">
        <v>93.108011185668403</v>
      </c>
      <c r="AJ5502">
        <v>84.649960141366705</v>
      </c>
      <c r="AK5502">
        <v>20.687553394508299</v>
      </c>
      <c r="AL5502">
        <v>80.545222727700093</v>
      </c>
      <c r="AM5502">
        <v>91.889083654152998</v>
      </c>
      <c r="AN5502">
        <v>1.0000000388861801</v>
      </c>
    </row>
    <row r="5503" spans="1:40" x14ac:dyDescent="0.25">
      <c r="A5503" t="str">
        <f>"20190303162022192"</f>
        <v>20190303162022192</v>
      </c>
      <c r="B5503" t="str">
        <f>"1551601222188241"</f>
        <v>1551601222188241</v>
      </c>
      <c r="C5503" t="s">
        <v>40</v>
      </c>
      <c r="D5503">
        <v>5.0880159999999997</v>
      </c>
      <c r="E5503">
        <v>0.54792109999999905</v>
      </c>
      <c r="F5503" t="s">
        <v>52</v>
      </c>
      <c r="G5503">
        <v>-236.36949999999999</v>
      </c>
      <c r="H5503" s="1">
        <v>1.907149E-6</v>
      </c>
      <c r="I5503">
        <v>213.37209999999999</v>
      </c>
      <c r="J5503">
        <v>-257.57150000000001</v>
      </c>
      <c r="K5503">
        <v>1.1216459999999999</v>
      </c>
      <c r="L5503">
        <v>215.1397</v>
      </c>
      <c r="M5503">
        <v>0.99983670000000002</v>
      </c>
      <c r="N5503">
        <v>-1.413904E-2</v>
      </c>
      <c r="O5503">
        <v>1.1249779999999999E-2</v>
      </c>
      <c r="P5503">
        <v>0.98772689999999996</v>
      </c>
      <c r="Q5503">
        <v>0.1500176</v>
      </c>
      <c r="R5503">
        <v>4.347819E-2</v>
      </c>
      <c r="S5503">
        <v>3.0729679999999999</v>
      </c>
      <c r="T5503">
        <v>-0.16047620000000001</v>
      </c>
      <c r="U5503">
        <v>-0.25244139999999998</v>
      </c>
      <c r="V5503">
        <v>-3.2385070000000002E-2</v>
      </c>
      <c r="W5503">
        <v>0.16396939999999999</v>
      </c>
      <c r="X5503">
        <v>0.98593370000000002</v>
      </c>
      <c r="Y5503">
        <v>9.2913040000000002E-2</v>
      </c>
      <c r="Z5503">
        <v>-3.506332E-3</v>
      </c>
      <c r="AA5503">
        <v>0.99566809999999994</v>
      </c>
      <c r="AB5503">
        <v>29</v>
      </c>
      <c r="AC5503">
        <v>21.202000000000002</v>
      </c>
      <c r="AD5503">
        <v>-1.1216440928510001</v>
      </c>
      <c r="AE5503">
        <v>-1.7676000000000101</v>
      </c>
      <c r="AF5503">
        <v>2.00046974398572</v>
      </c>
      <c r="AG5503">
        <v>-1.1216440928510001</v>
      </c>
      <c r="AH5503">
        <v>21.1220646477774</v>
      </c>
      <c r="AI5503">
        <v>93.026203363031499</v>
      </c>
      <c r="AJ5503">
        <v>84.589657795814304</v>
      </c>
      <c r="AK5503">
        <v>21.246213301492599</v>
      </c>
      <c r="AL5503">
        <v>80.562630024119798</v>
      </c>
      <c r="AM5503">
        <v>91.881324202806397</v>
      </c>
      <c r="AN5503">
        <v>1.0000000088454699</v>
      </c>
    </row>
    <row r="5504" spans="1:40" x14ac:dyDescent="0.25">
      <c r="A5504" t="str">
        <f>"20190303162022214"</f>
        <v>20190303162022214</v>
      </c>
      <c r="B5504" t="str">
        <f>"1551601222207761"</f>
        <v>1551601222207761</v>
      </c>
      <c r="C5504" t="s">
        <v>40</v>
      </c>
      <c r="D5504">
        <v>5.1207070000000003</v>
      </c>
      <c r="E5504">
        <v>0.54805709999999996</v>
      </c>
      <c r="F5504" t="s">
        <v>52</v>
      </c>
      <c r="G5504">
        <v>-236.1318</v>
      </c>
      <c r="H5504" s="1">
        <v>1.780987E-6</v>
      </c>
      <c r="I5504">
        <v>213.36369999999999</v>
      </c>
      <c r="J5504">
        <v>-257.29000000000002</v>
      </c>
      <c r="K5504">
        <v>1.1216489999999999</v>
      </c>
      <c r="L5504">
        <v>215.143</v>
      </c>
      <c r="M5504">
        <v>0.99983580000000005</v>
      </c>
      <c r="N5504">
        <v>-1.4137200000000001E-2</v>
      </c>
      <c r="O5504">
        <v>1.1337099999999999E-2</v>
      </c>
      <c r="P5504">
        <v>0.98781989999999997</v>
      </c>
      <c r="Q5504">
        <v>0.1495764</v>
      </c>
      <c r="R5504">
        <v>4.287987E-2</v>
      </c>
      <c r="S5504">
        <v>3.0728909999999998</v>
      </c>
      <c r="T5504">
        <v>-0.16076209999999999</v>
      </c>
      <c r="U5504">
        <v>-0.25454710000000003</v>
      </c>
      <c r="V5504">
        <v>-3.169868E-2</v>
      </c>
      <c r="W5504">
        <v>0.16352820000000001</v>
      </c>
      <c r="X5504">
        <v>0.9860293</v>
      </c>
      <c r="Y5504">
        <v>9.3677750000000004E-2</v>
      </c>
      <c r="Z5504">
        <v>-3.5403330000000001E-3</v>
      </c>
      <c r="AA5504">
        <v>0.99559629999999999</v>
      </c>
      <c r="AB5504">
        <v>29</v>
      </c>
      <c r="AC5504">
        <v>21.158200000000001</v>
      </c>
      <c r="AD5504">
        <v>-1.12164721901299</v>
      </c>
      <c r="AE5504">
        <v>-1.7793000000000001</v>
      </c>
      <c r="AF5504">
        <v>2.0134634953651198</v>
      </c>
      <c r="AG5504">
        <v>-1.12164721901299</v>
      </c>
      <c r="AH5504">
        <v>21.0778464006425</v>
      </c>
      <c r="AI5504">
        <v>93.032315917787997</v>
      </c>
      <c r="AJ5504">
        <v>84.543371765252601</v>
      </c>
      <c r="AK5504">
        <v>21.203484067958399</v>
      </c>
      <c r="AL5504">
        <v>80.588254999573707</v>
      </c>
      <c r="AM5504">
        <v>91.841299541412297</v>
      </c>
      <c r="AN5504">
        <v>1.0000000294837299</v>
      </c>
    </row>
    <row r="5505" spans="1:40" x14ac:dyDescent="0.25">
      <c r="A5505" t="str">
        <f>"20190303162022237"</f>
        <v>20190303162022237</v>
      </c>
      <c r="B5505" t="str">
        <f>"1551601222228257"</f>
        <v>1551601222228257</v>
      </c>
      <c r="C5505" t="s">
        <v>40</v>
      </c>
      <c r="D5505">
        <v>5.1204539999999996</v>
      </c>
      <c r="E5505">
        <v>0.54818800000000001</v>
      </c>
      <c r="F5505" t="s">
        <v>52</v>
      </c>
      <c r="G5505">
        <v>-235.5898</v>
      </c>
      <c r="H5505" s="1">
        <v>1.49426799999999E-6</v>
      </c>
      <c r="I5505">
        <v>213.32560000000001</v>
      </c>
      <c r="J5505">
        <v>-257.00689999999997</v>
      </c>
      <c r="K5505">
        <v>1.1216429999999999</v>
      </c>
      <c r="L5505">
        <v>215.1463</v>
      </c>
      <c r="M5505">
        <v>0.99983480000000002</v>
      </c>
      <c r="N5505">
        <v>-1.413523E-2</v>
      </c>
      <c r="O5505">
        <v>1.142497E-2</v>
      </c>
      <c r="P5505">
        <v>0.98788140000000002</v>
      </c>
      <c r="Q5505">
        <v>0.14930280000000001</v>
      </c>
      <c r="R5505">
        <v>4.2417150000000001E-2</v>
      </c>
      <c r="S5505">
        <v>3.0722049999999999</v>
      </c>
      <c r="T5505">
        <v>-0.15879770000000001</v>
      </c>
      <c r="U5505">
        <v>-0.25729370000000001</v>
      </c>
      <c r="V5505">
        <v>-3.1149070000000001E-2</v>
      </c>
      <c r="W5505">
        <v>0.1632535</v>
      </c>
      <c r="X5505">
        <v>0.98609230000000003</v>
      </c>
      <c r="Y5505">
        <v>9.4669439999999994E-2</v>
      </c>
      <c r="Z5505">
        <v>-3.5396730000000001E-3</v>
      </c>
      <c r="AA5505">
        <v>0.99550249999999996</v>
      </c>
      <c r="AB5505">
        <v>29</v>
      </c>
      <c r="AC5505">
        <v>21.417099999999898</v>
      </c>
      <c r="AD5505">
        <v>-1.1216415057319999</v>
      </c>
      <c r="AE5505">
        <v>-1.82069999999998</v>
      </c>
      <c r="AF5505">
        <v>2.0596866432851302</v>
      </c>
      <c r="AG5505">
        <v>-1.1216415057319999</v>
      </c>
      <c r="AH5505">
        <v>21.3367966864949</v>
      </c>
      <c r="AI5505">
        <v>92.995280454732693</v>
      </c>
      <c r="AJ5505">
        <v>84.486200139802804</v>
      </c>
      <c r="AK5505">
        <v>21.465304134270401</v>
      </c>
      <c r="AL5505">
        <v>80.604208234549503</v>
      </c>
      <c r="AM5505">
        <v>91.809279913759298</v>
      </c>
      <c r="AN5505">
        <v>0.99999999697170205</v>
      </c>
    </row>
    <row r="5506" spans="1:40" x14ac:dyDescent="0.25">
      <c r="A5506" t="str">
        <f>"20190303162022259"</f>
        <v>20190303162022259</v>
      </c>
      <c r="B5506" t="str">
        <f>"1551601222247777"</f>
        <v>1551601222247777</v>
      </c>
      <c r="C5506" t="s">
        <v>40</v>
      </c>
      <c r="D5506">
        <v>5.074808</v>
      </c>
      <c r="E5506">
        <v>0.54833759999999998</v>
      </c>
      <c r="F5506" t="s">
        <v>52</v>
      </c>
      <c r="G5506">
        <v>-235.1737</v>
      </c>
      <c r="H5506" s="1">
        <v>1.2738509999999999E-6</v>
      </c>
      <c r="I5506">
        <v>213.30189999999999</v>
      </c>
      <c r="J5506">
        <v>-256.71640000000002</v>
      </c>
      <c r="K5506">
        <v>1.12164</v>
      </c>
      <c r="L5506">
        <v>215.1497</v>
      </c>
      <c r="M5506">
        <v>0.99983390000000005</v>
      </c>
      <c r="N5506">
        <v>-1.4133089999999999E-2</v>
      </c>
      <c r="O5506">
        <v>1.151516E-2</v>
      </c>
      <c r="P5506">
        <v>0.98795279999999996</v>
      </c>
      <c r="Q5506">
        <v>0.1490379</v>
      </c>
      <c r="R5506">
        <v>4.1678409999999999E-2</v>
      </c>
      <c r="S5506">
        <v>3.071793</v>
      </c>
      <c r="T5506">
        <v>-0.1578078</v>
      </c>
      <c r="U5506">
        <v>-0.25949100000000003</v>
      </c>
      <c r="V5506">
        <v>-3.0320030000000001E-2</v>
      </c>
      <c r="W5506">
        <v>0.16298760000000001</v>
      </c>
      <c r="X5506">
        <v>0.98616210000000004</v>
      </c>
      <c r="Y5506">
        <v>9.5477850000000003E-2</v>
      </c>
      <c r="Z5506">
        <v>-3.5508570000000001E-3</v>
      </c>
      <c r="AA5506">
        <v>0.99542520000000001</v>
      </c>
      <c r="AB5506">
        <v>29</v>
      </c>
      <c r="AC5506">
        <v>21.5427</v>
      </c>
      <c r="AD5506">
        <v>-1.121638726149</v>
      </c>
      <c r="AE5506">
        <v>-1.8478000000000001</v>
      </c>
      <c r="AF5506">
        <v>2.0901451668428201</v>
      </c>
      <c r="AG5506">
        <v>-1.121638726149</v>
      </c>
      <c r="AH5506">
        <v>21.4622355488391</v>
      </c>
      <c r="AI5506">
        <v>92.977554273500502</v>
      </c>
      <c r="AJ5506">
        <v>84.437670011847899</v>
      </c>
      <c r="AK5506">
        <v>21.5929232621321</v>
      </c>
      <c r="AL5506">
        <v>80.619649796708302</v>
      </c>
      <c r="AM5506">
        <v>91.761031657996895</v>
      </c>
      <c r="AN5506">
        <v>0.99999997472468505</v>
      </c>
    </row>
    <row r="5507" spans="1:40" x14ac:dyDescent="0.25">
      <c r="A5507" t="str">
        <f>"20190303162022282"</f>
        <v>20190303162022282</v>
      </c>
      <c r="B5507" t="str">
        <f>"1551601222278033"</f>
        <v>1551601222278033</v>
      </c>
      <c r="C5507" t="s">
        <v>40</v>
      </c>
      <c r="D5507">
        <v>5.067177</v>
      </c>
      <c r="E5507">
        <v>0.54850750000000004</v>
      </c>
      <c r="F5507" t="s">
        <v>52</v>
      </c>
      <c r="G5507">
        <v>-234.77969999999999</v>
      </c>
      <c r="H5507" s="1">
        <v>1.065322E-6</v>
      </c>
      <c r="I5507">
        <v>213.2756</v>
      </c>
      <c r="J5507">
        <v>-256.42950000000002</v>
      </c>
      <c r="K5507">
        <v>1.1216390000000001</v>
      </c>
      <c r="L5507">
        <v>215.15309999999999</v>
      </c>
      <c r="M5507">
        <v>0.99983290000000002</v>
      </c>
      <c r="N5507">
        <v>-1.413083E-2</v>
      </c>
      <c r="O5507">
        <v>1.160398E-2</v>
      </c>
      <c r="P5507">
        <v>0.98810229999999999</v>
      </c>
      <c r="Q5507">
        <v>0.14818439999999999</v>
      </c>
      <c r="R5507">
        <v>4.1177510000000001E-2</v>
      </c>
      <c r="S5507">
        <v>3.0713810000000001</v>
      </c>
      <c r="T5507">
        <v>-0.15704179999999901</v>
      </c>
      <c r="U5507">
        <v>-0.26239010000000001</v>
      </c>
      <c r="V5507">
        <v>-2.9729410000000001E-2</v>
      </c>
      <c r="W5507">
        <v>0.16213420000000001</v>
      </c>
      <c r="X5507">
        <v>0.9863208</v>
      </c>
      <c r="Y5507">
        <v>9.6509990000000004E-2</v>
      </c>
      <c r="Z5507">
        <v>-3.573278E-3</v>
      </c>
      <c r="AA5507">
        <v>0.99532560000000003</v>
      </c>
      <c r="AB5507">
        <v>28</v>
      </c>
      <c r="AC5507">
        <v>21.649799999999999</v>
      </c>
      <c r="AD5507">
        <v>-1.1216379346780001</v>
      </c>
      <c r="AE5507">
        <v>-1.87749999999999</v>
      </c>
      <c r="AF5507">
        <v>2.1229667711125599</v>
      </c>
      <c r="AG5507">
        <v>-1.1216379346780001</v>
      </c>
      <c r="AH5507">
        <v>21.569092104132299</v>
      </c>
      <c r="AI5507">
        <v>92.962529228991002</v>
      </c>
      <c r="AJ5507">
        <v>84.378692121748202</v>
      </c>
      <c r="AK5507">
        <v>21.7023223126997</v>
      </c>
      <c r="AL5507">
        <v>80.669205685083497</v>
      </c>
      <c r="AM5507">
        <v>91.726470891537303</v>
      </c>
      <c r="AN5507">
        <v>1.0000000285706101</v>
      </c>
    </row>
    <row r="5508" spans="1:40" x14ac:dyDescent="0.25">
      <c r="A5508" t="str">
        <f>"20190303162022305"</f>
        <v>20190303162022305</v>
      </c>
      <c r="B5508" t="str">
        <f>"1551601222297553"</f>
        <v>1551601222297553</v>
      </c>
      <c r="C5508" t="s">
        <v>40</v>
      </c>
      <c r="D5508">
        <v>5.0519410000000002</v>
      </c>
      <c r="E5508">
        <v>0.54827040000000005</v>
      </c>
      <c r="F5508" t="s">
        <v>52</v>
      </c>
      <c r="G5508">
        <v>-235.40649999999999</v>
      </c>
      <c r="H5508" s="1">
        <v>1.3961949999999999E-6</v>
      </c>
      <c r="I5508">
        <v>213.33770000000001</v>
      </c>
      <c r="J5508">
        <v>-256.142</v>
      </c>
      <c r="K5508">
        <v>1.121642</v>
      </c>
      <c r="L5508">
        <v>215.15649999999999</v>
      </c>
      <c r="M5508">
        <v>0.9998319</v>
      </c>
      <c r="N5508">
        <v>-1.4128480000000001E-2</v>
      </c>
      <c r="O5508">
        <v>1.16928E-2</v>
      </c>
      <c r="P5508">
        <v>0.98820889999999995</v>
      </c>
      <c r="Q5508">
        <v>0.14745079999999999</v>
      </c>
      <c r="R5508">
        <v>4.1254409999999998E-2</v>
      </c>
      <c r="S5508">
        <v>3.0717620000000001</v>
      </c>
      <c r="T5508">
        <v>-0.16388759999999999</v>
      </c>
      <c r="U5508">
        <v>-0.26525880000000002</v>
      </c>
      <c r="V5508">
        <v>-2.9717509999999999E-2</v>
      </c>
      <c r="W5508">
        <v>0.16139970000000001</v>
      </c>
      <c r="X5508">
        <v>0.98644160000000003</v>
      </c>
      <c r="Y5508">
        <v>9.7495180000000001E-2</v>
      </c>
      <c r="Z5508">
        <v>-3.7423370000000001E-3</v>
      </c>
      <c r="AA5508">
        <v>0.99522889999999997</v>
      </c>
      <c r="AB5508">
        <v>28</v>
      </c>
      <c r="AC5508">
        <v>20.735499999999998</v>
      </c>
      <c r="AD5508">
        <v>-1.121640603805</v>
      </c>
      <c r="AE5508">
        <v>-1.81879999999998</v>
      </c>
      <c r="AF5508">
        <v>2.0551882494404099</v>
      </c>
      <c r="AG5508">
        <v>-1.121640603805</v>
      </c>
      <c r="AH5508">
        <v>20.652843789104899</v>
      </c>
      <c r="AI5508">
        <v>93.093388847151203</v>
      </c>
      <c r="AJ5508">
        <v>84.317139890906205</v>
      </c>
      <c r="AK5508">
        <v>20.785134903625401</v>
      </c>
      <c r="AL5508">
        <v>80.711850962070102</v>
      </c>
      <c r="AM5508">
        <v>91.725569030976501</v>
      </c>
      <c r="AN5508">
        <v>1.00000001188562</v>
      </c>
    </row>
    <row r="5509" spans="1:40" x14ac:dyDescent="0.25">
      <c r="A5509" t="str">
        <f>"20190303162022328"</f>
        <v>20190303162022328</v>
      </c>
      <c r="B5509" t="str">
        <f>"1551601222318049"</f>
        <v>1551601222318049</v>
      </c>
      <c r="C5509" t="s">
        <v>40</v>
      </c>
      <c r="D5509">
        <v>5.0182510000000002</v>
      </c>
      <c r="E5509">
        <v>0.5476993</v>
      </c>
      <c r="F5509" t="s">
        <v>52</v>
      </c>
      <c r="G5509">
        <v>-235.42519999999999</v>
      </c>
      <c r="H5509" s="1">
        <v>1.4042010000000001E-6</v>
      </c>
      <c r="I5509">
        <v>213.38130000000001</v>
      </c>
      <c r="J5509">
        <v>-255.84700000000001</v>
      </c>
      <c r="K5509">
        <v>1.12164</v>
      </c>
      <c r="L5509">
        <v>215.1601</v>
      </c>
      <c r="M5509">
        <v>0.99983080000000002</v>
      </c>
      <c r="N5509">
        <v>-1.4126069999999999E-2</v>
      </c>
      <c r="O5509">
        <v>1.1784009999999999E-2</v>
      </c>
      <c r="P5509">
        <v>0.98823669999999997</v>
      </c>
      <c r="Q5509">
        <v>0.14733450000000001</v>
      </c>
      <c r="R5509">
        <v>4.1000219999999997E-2</v>
      </c>
      <c r="S5509">
        <v>3.071564</v>
      </c>
      <c r="T5509">
        <v>-0.1662989</v>
      </c>
      <c r="U5509">
        <v>-0.26319890000000001</v>
      </c>
      <c r="V5509">
        <v>-2.937236E-2</v>
      </c>
      <c r="W5509">
        <v>0.16128149999999999</v>
      </c>
      <c r="X5509">
        <v>0.98647119999999999</v>
      </c>
      <c r="Y5509">
        <v>9.6924880000000005E-2</v>
      </c>
      <c r="Z5509">
        <v>-3.7740040000000001E-3</v>
      </c>
      <c r="AA5509">
        <v>0.99528459999999996</v>
      </c>
      <c r="AB5509">
        <v>28</v>
      </c>
      <c r="AC5509">
        <v>20.421800000000001</v>
      </c>
      <c r="AD5509">
        <v>-1.121638595799</v>
      </c>
      <c r="AE5509">
        <v>-1.77879999999998</v>
      </c>
      <c r="AF5509">
        <v>2.0133235093486102</v>
      </c>
      <c r="AG5509">
        <v>-1.121638595799</v>
      </c>
      <c r="AH5509">
        <v>20.338527023703602</v>
      </c>
      <c r="AI5509">
        <v>93.141254624956204</v>
      </c>
      <c r="AJ5509">
        <v>84.346672869235306</v>
      </c>
      <c r="AK5509">
        <v>20.468688922029301</v>
      </c>
      <c r="AL5509">
        <v>80.718712583098593</v>
      </c>
      <c r="AM5509">
        <v>91.705488403162093</v>
      </c>
      <c r="AN5509">
        <v>0.99999994310182805</v>
      </c>
    </row>
    <row r="5510" spans="1:40" x14ac:dyDescent="0.25">
      <c r="A5510" t="str">
        <f>"20190303162022350"</f>
        <v>20190303162022350</v>
      </c>
      <c r="B5510" t="str">
        <f>"1551601222337569"</f>
        <v>1551601222337569</v>
      </c>
      <c r="C5510" t="s">
        <v>40</v>
      </c>
      <c r="D5510">
        <v>4.9299269999999904</v>
      </c>
      <c r="E5510">
        <v>0.54724200000000001</v>
      </c>
      <c r="F5510" t="s">
        <v>52</v>
      </c>
      <c r="G5510">
        <v>-234.82929999999999</v>
      </c>
      <c r="H5510" s="1">
        <v>1.086943E-6</v>
      </c>
      <c r="I5510">
        <v>213.38509999999999</v>
      </c>
      <c r="J5510">
        <v>-255.57320000000001</v>
      </c>
      <c r="K5510">
        <v>1.121634</v>
      </c>
      <c r="L5510">
        <v>215.1634</v>
      </c>
      <c r="M5510">
        <v>0.99982979999999999</v>
      </c>
      <c r="N5510">
        <v>-1.4123599999999899E-2</v>
      </c>
      <c r="O5510">
        <v>1.1868770000000001E-2</v>
      </c>
      <c r="P5510">
        <v>0.98828459999999996</v>
      </c>
      <c r="Q5510">
        <v>0.1470071</v>
      </c>
      <c r="R5510">
        <v>4.1016869999999997E-2</v>
      </c>
      <c r="S5510">
        <v>3.0709080000000002</v>
      </c>
      <c r="T5510">
        <v>-0.16388369999999999</v>
      </c>
      <c r="U5510">
        <v>-0.25933840000000002</v>
      </c>
      <c r="V5510">
        <v>-2.930433E-2</v>
      </c>
      <c r="W5510">
        <v>0.16095309999999999</v>
      </c>
      <c r="X5510">
        <v>0.98652689999999998</v>
      </c>
      <c r="Y5510">
        <v>9.5791950000000001E-2</v>
      </c>
      <c r="Z5510">
        <v>-3.6926559999999999E-3</v>
      </c>
      <c r="AA5510">
        <v>0.99539449999999996</v>
      </c>
      <c r="AB5510">
        <v>28</v>
      </c>
      <c r="AC5510">
        <v>20.7439</v>
      </c>
      <c r="AD5510">
        <v>-1.121632913057</v>
      </c>
      <c r="AE5510">
        <v>-1.7783</v>
      </c>
      <c r="AF5510">
        <v>2.0185454561729399</v>
      </c>
      <c r="AG5510">
        <v>-1.121632913057</v>
      </c>
      <c r="AH5510">
        <v>20.6613649861035</v>
      </c>
      <c r="AI5510">
        <v>93.0926412769889</v>
      </c>
      <c r="AJ5510">
        <v>84.420103907636104</v>
      </c>
      <c r="AK5510">
        <v>20.790011766212899</v>
      </c>
      <c r="AL5510">
        <v>80.7377779825148</v>
      </c>
      <c r="AM5510">
        <v>91.701444593255701</v>
      </c>
      <c r="AN5510">
        <v>0.99999998428998405</v>
      </c>
    </row>
    <row r="5511" spans="1:40" x14ac:dyDescent="0.25">
      <c r="A5511" t="str">
        <f>"20190303162022371"</f>
        <v>20190303162022371</v>
      </c>
      <c r="B5511" t="str">
        <f>"1551601222358066"</f>
        <v>1551601222358066</v>
      </c>
      <c r="C5511" t="s">
        <v>40</v>
      </c>
      <c r="D5511">
        <v>4.8879769999999896</v>
      </c>
      <c r="E5511">
        <v>0.54695479999999996</v>
      </c>
      <c r="F5511" t="s">
        <v>52</v>
      </c>
      <c r="G5511">
        <v>-234.32980000000001</v>
      </c>
      <c r="H5511" s="1">
        <v>8.2070540000000004E-7</v>
      </c>
      <c r="I5511">
        <v>213.39490000000001</v>
      </c>
      <c r="J5511">
        <v>-255.2978</v>
      </c>
      <c r="K5511">
        <v>1.1216390000000001</v>
      </c>
      <c r="L5511">
        <v>215.16669999999999</v>
      </c>
      <c r="M5511">
        <v>0.99982890000000002</v>
      </c>
      <c r="N5511">
        <v>-1.412103E-2</v>
      </c>
      <c r="O5511">
        <v>1.195426E-2</v>
      </c>
      <c r="P5511">
        <v>0.9882708</v>
      </c>
      <c r="Q5511">
        <v>0.14712510000000001</v>
      </c>
      <c r="R5511">
        <v>4.0929510000000002E-2</v>
      </c>
      <c r="S5511">
        <v>3.0702820000000002</v>
      </c>
      <c r="T5511">
        <v>-0.16210829999999901</v>
      </c>
      <c r="U5511">
        <v>-0.25559999999999999</v>
      </c>
      <c r="V5511">
        <v>-2.9133019999999999E-2</v>
      </c>
      <c r="W5511">
        <v>0.16106790000000001</v>
      </c>
      <c r="X5511">
        <v>0.98651330000000004</v>
      </c>
      <c r="Y5511">
        <v>9.4695790000000002E-2</v>
      </c>
      <c r="Z5511">
        <v>-3.6255559999999998E-3</v>
      </c>
      <c r="AA5511">
        <v>0.99549969999999999</v>
      </c>
      <c r="AB5511">
        <v>28</v>
      </c>
      <c r="AC5511">
        <v>20.9679999999999</v>
      </c>
      <c r="AD5511">
        <v>-1.1216381792946</v>
      </c>
      <c r="AE5511">
        <v>-1.7717999999999801</v>
      </c>
      <c r="AF5511">
        <v>2.0166256386096202</v>
      </c>
      <c r="AG5511">
        <v>-1.1216381792946</v>
      </c>
      <c r="AH5511">
        <v>20.8859775611073</v>
      </c>
      <c r="AI5511">
        <v>93.059795892700393</v>
      </c>
      <c r="AJ5511">
        <v>84.484956603456496</v>
      </c>
      <c r="AK5511">
        <v>21.013065217969199</v>
      </c>
      <c r="AL5511">
        <v>80.731114051640205</v>
      </c>
      <c r="AM5511">
        <v>91.691527229625905</v>
      </c>
      <c r="AN5511">
        <v>1.0000000461708001</v>
      </c>
    </row>
    <row r="5512" spans="1:40" x14ac:dyDescent="0.25">
      <c r="A5512" t="str">
        <f>"20190303162022394"</f>
        <v>20190303162022394</v>
      </c>
      <c r="B5512" t="str">
        <f>"1551601222388321"</f>
        <v>1551601222388321</v>
      </c>
      <c r="C5512" t="s">
        <v>40</v>
      </c>
      <c r="D5512">
        <v>4.8061179999999997</v>
      </c>
      <c r="E5512">
        <v>0.54651969999999905</v>
      </c>
      <c r="F5512" t="s">
        <v>52</v>
      </c>
      <c r="G5512">
        <v>-233.6431</v>
      </c>
      <c r="H5512" s="1">
        <v>4.5595629999999999E-7</v>
      </c>
      <c r="I5512">
        <v>213.37909999999999</v>
      </c>
      <c r="J5512">
        <v>-255.018</v>
      </c>
      <c r="K5512">
        <v>1.121637</v>
      </c>
      <c r="L5512">
        <v>215.17019999999999</v>
      </c>
      <c r="M5512">
        <v>0.99982789999999999</v>
      </c>
      <c r="N5512">
        <v>-1.411836E-2</v>
      </c>
      <c r="O5512">
        <v>1.204123E-2</v>
      </c>
      <c r="P5512">
        <v>0.98822699999999997</v>
      </c>
      <c r="Q5512">
        <v>0.14746529999999899</v>
      </c>
      <c r="R5512">
        <v>4.0761840000000001E-2</v>
      </c>
      <c r="S5512">
        <v>3.0697779999999999</v>
      </c>
      <c r="T5512">
        <v>-0.15900410000000001</v>
      </c>
      <c r="U5512">
        <v>-0.25341799999999998</v>
      </c>
      <c r="V5512">
        <v>-2.8879269999999999E-2</v>
      </c>
      <c r="W5512">
        <v>0.16140479999999999</v>
      </c>
      <c r="X5512">
        <v>0.98646560000000005</v>
      </c>
      <c r="Y5512">
        <v>9.4100110000000001E-2</v>
      </c>
      <c r="Z5512">
        <v>-3.5499329999999999E-3</v>
      </c>
      <c r="AA5512">
        <v>0.99555640000000001</v>
      </c>
      <c r="AB5512">
        <v>28</v>
      </c>
      <c r="AC5512">
        <v>21.3749</v>
      </c>
      <c r="AD5512">
        <v>-1.1216365440436999</v>
      </c>
      <c r="AE5512">
        <v>-1.7910999999999999</v>
      </c>
      <c r="AF5512">
        <v>2.0427901008259401</v>
      </c>
      <c r="AG5512">
        <v>-1.1216365440436999</v>
      </c>
      <c r="AH5512">
        <v>21.293556380502501</v>
      </c>
      <c r="AI5512">
        <v>93.001509213806798</v>
      </c>
      <c r="AJ5512">
        <v>84.520119073169894</v>
      </c>
      <c r="AK5512">
        <v>21.4207050132018</v>
      </c>
      <c r="AL5512">
        <v>80.711554299437495</v>
      </c>
      <c r="AM5512">
        <v>91.6768834289864</v>
      </c>
      <c r="AN5512">
        <v>0.99999995084106497</v>
      </c>
    </row>
    <row r="5513" spans="1:40" x14ac:dyDescent="0.25">
      <c r="A5513" t="str">
        <f>"20190303162022415"</f>
        <v>20190303162022415</v>
      </c>
      <c r="B5513" t="str">
        <f>"1551601222407842"</f>
        <v>1551601222407842</v>
      </c>
      <c r="C5513" t="s">
        <v>40</v>
      </c>
      <c r="D5513">
        <v>4.7494959999999997</v>
      </c>
      <c r="E5513">
        <v>0.546263099999999</v>
      </c>
      <c r="F5513" t="s">
        <v>52</v>
      </c>
      <c r="G5513">
        <v>-232.63380000000001</v>
      </c>
      <c r="H5513" s="1">
        <v>-7.952876E-8</v>
      </c>
      <c r="I5513">
        <v>213.34190000000001</v>
      </c>
      <c r="J5513">
        <v>-254.7406</v>
      </c>
      <c r="K5513">
        <v>1.1216390000000001</v>
      </c>
      <c r="L5513">
        <v>215.17359999999999</v>
      </c>
      <c r="M5513">
        <v>0.99982689999999996</v>
      </c>
      <c r="N5513">
        <v>-1.411568E-2</v>
      </c>
      <c r="O5513">
        <v>1.2127550000000001E-2</v>
      </c>
      <c r="P5513">
        <v>0.98828009999999999</v>
      </c>
      <c r="Q5513">
        <v>0.147095</v>
      </c>
      <c r="R5513">
        <v>4.0812710000000002E-2</v>
      </c>
      <c r="S5513">
        <v>3.069016</v>
      </c>
      <c r="T5513">
        <v>-0.15378359999999999</v>
      </c>
      <c r="U5513">
        <v>-0.25067139999999999</v>
      </c>
      <c r="V5513">
        <v>-2.8844359999999999E-2</v>
      </c>
      <c r="W5513">
        <v>0.1610326</v>
      </c>
      <c r="X5513">
        <v>0.9865275</v>
      </c>
      <c r="Y5513">
        <v>9.3332390000000001E-2</v>
      </c>
      <c r="Z5513">
        <v>-3.4289559999999999E-3</v>
      </c>
      <c r="AA5513">
        <v>0.99562910000000004</v>
      </c>
      <c r="AB5513">
        <v>28</v>
      </c>
      <c r="AC5513">
        <v>22.1068</v>
      </c>
      <c r="AD5513">
        <v>-1.1216390795287601</v>
      </c>
      <c r="AE5513">
        <v>-1.8316999999999799</v>
      </c>
      <c r="AF5513">
        <v>2.0943386449410299</v>
      </c>
      <c r="AG5513">
        <v>-1.1216390795287601</v>
      </c>
      <c r="AH5513">
        <v>22.026641713173301</v>
      </c>
      <c r="AI5513">
        <v>92.902027691669602</v>
      </c>
      <c r="AJ5513">
        <v>84.568527445373206</v>
      </c>
      <c r="AK5513">
        <v>22.154396262252899</v>
      </c>
      <c r="AL5513">
        <v>80.733162928899105</v>
      </c>
      <c r="AM5513">
        <v>91.674752495016193</v>
      </c>
      <c r="AN5513">
        <v>1.0000000018113999</v>
      </c>
    </row>
    <row r="5514" spans="1:40" x14ac:dyDescent="0.25">
      <c r="A5514" t="str">
        <f>"20190303162022438"</f>
        <v>20190303162022438</v>
      </c>
      <c r="B5514" t="str">
        <f>"1551601222428337"</f>
        <v>1551601222428337</v>
      </c>
      <c r="C5514" t="s">
        <v>40</v>
      </c>
      <c r="D5514">
        <v>4.7261800000000003</v>
      </c>
      <c r="E5514">
        <v>0.54603859999999904</v>
      </c>
      <c r="F5514" t="s">
        <v>52</v>
      </c>
      <c r="G5514">
        <v>-232.20939999999999</v>
      </c>
      <c r="H5514" s="1">
        <v>-3.056377E-7</v>
      </c>
      <c r="I5514">
        <v>213.3484</v>
      </c>
      <c r="J5514">
        <v>-254.45910000000001</v>
      </c>
      <c r="K5514">
        <v>1.12164</v>
      </c>
      <c r="L5514">
        <v>215.1772</v>
      </c>
      <c r="M5514">
        <v>0.99982590000000005</v>
      </c>
      <c r="N5514">
        <v>-1.4112899999999999E-2</v>
      </c>
      <c r="O5514">
        <v>1.2215180000000001E-2</v>
      </c>
      <c r="P5514">
        <v>0.98828380000000005</v>
      </c>
      <c r="Q5514">
        <v>0.14705199999999999</v>
      </c>
      <c r="R5514">
        <v>4.0882719999999997E-2</v>
      </c>
      <c r="S5514">
        <v>3.0685579999999999</v>
      </c>
      <c r="T5514">
        <v>-0.1527579</v>
      </c>
      <c r="U5514">
        <v>-0.24858089999999999</v>
      </c>
      <c r="V5514">
        <v>-2.8827640000000002E-2</v>
      </c>
      <c r="W5514">
        <v>0.16098689999999999</v>
      </c>
      <c r="X5514">
        <v>0.98653539999999995</v>
      </c>
      <c r="Y5514">
        <v>9.2760590000000004E-2</v>
      </c>
      <c r="Z5514">
        <v>-3.3946359999999999E-3</v>
      </c>
      <c r="AA5514">
        <v>0.99568270000000003</v>
      </c>
      <c r="AB5514">
        <v>28</v>
      </c>
      <c r="AC5514">
        <v>22.249700000000001</v>
      </c>
      <c r="AD5514">
        <v>-1.1216403056377</v>
      </c>
      <c r="AE5514">
        <v>-1.8288</v>
      </c>
      <c r="AF5514">
        <v>2.0951858595904702</v>
      </c>
      <c r="AG5514">
        <v>-1.1216403056377</v>
      </c>
      <c r="AH5514">
        <v>22.169736060281402</v>
      </c>
      <c r="AI5514">
        <v>92.883487074340096</v>
      </c>
      <c r="AJ5514">
        <v>84.601207013774697</v>
      </c>
      <c r="AK5514">
        <v>22.296750385291599</v>
      </c>
      <c r="AL5514">
        <v>80.735815524304201</v>
      </c>
      <c r="AM5514">
        <v>91.673768860094796</v>
      </c>
      <c r="AN5514">
        <v>0.99999995512636797</v>
      </c>
    </row>
    <row r="5515" spans="1:40" x14ac:dyDescent="0.25">
      <c r="A5515" t="str">
        <f>"20190303162022460"</f>
        <v>20190303162022460</v>
      </c>
      <c r="B5515" t="str">
        <f>"1551601222447857"</f>
        <v>1551601222447857</v>
      </c>
      <c r="C5515" t="s">
        <v>40</v>
      </c>
      <c r="D5515">
        <v>4.6672289999999998</v>
      </c>
      <c r="E5515">
        <v>0.54585419999999996</v>
      </c>
      <c r="F5515" t="s">
        <v>52</v>
      </c>
      <c r="G5515">
        <v>-231.5685</v>
      </c>
      <c r="H5515" s="1">
        <v>-6.4624009999999898E-7</v>
      </c>
      <c r="I5515">
        <v>213.33789999999999</v>
      </c>
      <c r="J5515">
        <v>-254.17740000000001</v>
      </c>
      <c r="K5515">
        <v>1.121645</v>
      </c>
      <c r="L5515">
        <v>215.1807</v>
      </c>
      <c r="M5515">
        <v>0.99982490000000002</v>
      </c>
      <c r="N5515">
        <v>-1.411009E-2</v>
      </c>
      <c r="O5515">
        <v>1.230287E-2</v>
      </c>
      <c r="P5515">
        <v>0.98822019999999999</v>
      </c>
      <c r="Q5515">
        <v>0.14730480000000001</v>
      </c>
      <c r="R5515">
        <v>4.1501469999999999E-2</v>
      </c>
      <c r="S5515">
        <v>3.06813</v>
      </c>
      <c r="T5515">
        <v>-0.15033820000000001</v>
      </c>
      <c r="U5515">
        <v>-0.24652099999999999</v>
      </c>
      <c r="V5515">
        <v>-2.936035E-2</v>
      </c>
      <c r="W5515">
        <v>0.1612364</v>
      </c>
      <c r="X5515">
        <v>0.98647899999999999</v>
      </c>
      <c r="Y5515">
        <v>9.2200089999999998E-2</v>
      </c>
      <c r="Z5515">
        <v>-3.334315E-3</v>
      </c>
      <c r="AA5515">
        <v>0.99573489999999998</v>
      </c>
      <c r="AB5515">
        <v>28</v>
      </c>
      <c r="AC5515">
        <v>22.608899999999998</v>
      </c>
      <c r="AD5515">
        <v>-1.1216456462401001</v>
      </c>
      <c r="AE5515">
        <v>-1.84280000000001</v>
      </c>
      <c r="AF5515">
        <v>2.11566972700256</v>
      </c>
      <c r="AG5515">
        <v>-1.1216456462401001</v>
      </c>
      <c r="AH5515">
        <v>22.5294303698862</v>
      </c>
      <c r="AI5515">
        <v>92.837698636037402</v>
      </c>
      <c r="AJ5515">
        <v>84.635261780620098</v>
      </c>
      <c r="AK5515">
        <v>22.656332009860598</v>
      </c>
      <c r="AL5515">
        <v>80.721331537213402</v>
      </c>
      <c r="AM5515">
        <v>91.704777989659803</v>
      </c>
      <c r="AN5515">
        <v>1.00000001213904</v>
      </c>
    </row>
    <row r="5516" spans="1:40" x14ac:dyDescent="0.25">
      <c r="A5516" t="str">
        <f>"20190303162022482"</f>
        <v>20190303162022482</v>
      </c>
      <c r="B5516" t="str">
        <f>"1551601222478114"</f>
        <v>1551601222478114</v>
      </c>
      <c r="C5516" t="s">
        <v>40</v>
      </c>
      <c r="D5516">
        <v>4.6283240000000001</v>
      </c>
      <c r="E5516">
        <v>0.54164409999999996</v>
      </c>
      <c r="F5516" t="s">
        <v>52</v>
      </c>
      <c r="G5516">
        <v>-230.71</v>
      </c>
      <c r="H5516" s="1">
        <v>-1.1023049999999999E-6</v>
      </c>
      <c r="I5516">
        <v>213.3201</v>
      </c>
      <c r="J5516">
        <v>-253.8965</v>
      </c>
      <c r="K5516">
        <v>1.121645</v>
      </c>
      <c r="L5516">
        <v>215.18430000000001</v>
      </c>
      <c r="M5516">
        <v>0.99982380000000004</v>
      </c>
      <c r="N5516">
        <v>-1.4107299999999901E-2</v>
      </c>
      <c r="O5516">
        <v>1.239032E-2</v>
      </c>
      <c r="P5516">
        <v>0.98815200000000003</v>
      </c>
      <c r="Q5516">
        <v>0.1476789</v>
      </c>
      <c r="R5516">
        <v>4.1795720000000001E-2</v>
      </c>
      <c r="S5516">
        <v>3.067841</v>
      </c>
      <c r="T5516">
        <v>-0.14663029999999999</v>
      </c>
      <c r="U5516">
        <v>-0.2432404</v>
      </c>
      <c r="V5516">
        <v>-2.9568799999999999E-2</v>
      </c>
      <c r="W5516">
        <v>0.16160669999999999</v>
      </c>
      <c r="X5516">
        <v>0.98641219999999996</v>
      </c>
      <c r="Y5516">
        <v>9.1244560000000002E-2</v>
      </c>
      <c r="Z5516">
        <v>-3.2375910000000002E-3</v>
      </c>
      <c r="AA5516">
        <v>0.99582329999999997</v>
      </c>
      <c r="AB5516">
        <v>28</v>
      </c>
      <c r="AC5516">
        <v>23.186499999999899</v>
      </c>
      <c r="AD5516">
        <v>-1.1216461023049999</v>
      </c>
      <c r="AE5516">
        <v>-1.8642000000000101</v>
      </c>
      <c r="AF5516">
        <v>2.1463830218439299</v>
      </c>
      <c r="AG5516">
        <v>-1.1216461023049999</v>
      </c>
      <c r="AH5516">
        <v>23.107891126438901</v>
      </c>
      <c r="AI5516">
        <v>92.767036652693307</v>
      </c>
      <c r="AJ5516">
        <v>84.693291832786898</v>
      </c>
      <c r="AK5516">
        <v>23.234450334936501</v>
      </c>
      <c r="AL5516">
        <v>80.699833172055705</v>
      </c>
      <c r="AM5516">
        <v>91.716990399765095</v>
      </c>
      <c r="AN5516">
        <v>1.0000000338635799</v>
      </c>
    </row>
    <row r="5517" spans="1:40" x14ac:dyDescent="0.25">
      <c r="A5517" t="str">
        <f>"20190303162022506"</f>
        <v>20190303162022506</v>
      </c>
      <c r="B5517" t="str">
        <f>"1551601222497634"</f>
        <v>1551601222497634</v>
      </c>
      <c r="C5517" t="s">
        <v>40</v>
      </c>
      <c r="D5517">
        <v>4.6083639999999999</v>
      </c>
      <c r="E5517">
        <v>0.54192109999999905</v>
      </c>
      <c r="F5517" t="s">
        <v>49</v>
      </c>
      <c r="G5517">
        <v>-206.4845</v>
      </c>
      <c r="H5517" s="1">
        <v>5.3256530000000003E-6</v>
      </c>
      <c r="I5517">
        <v>211.9503</v>
      </c>
      <c r="J5517">
        <v>-253.6139</v>
      </c>
      <c r="K5517">
        <v>1.1216379999999999</v>
      </c>
      <c r="L5517">
        <v>215.18790000000001</v>
      </c>
      <c r="M5517">
        <v>0.99982269999999895</v>
      </c>
      <c r="N5517">
        <v>-1.4104520000000001E-2</v>
      </c>
      <c r="O5517">
        <v>1.247813E-2</v>
      </c>
      <c r="P5517">
        <v>0.98820249999999998</v>
      </c>
      <c r="Q5517">
        <v>0.147282</v>
      </c>
      <c r="R5517">
        <v>4.1999910000000001E-2</v>
      </c>
      <c r="S5517">
        <v>3.0555880000000002</v>
      </c>
      <c r="T5517">
        <v>-7.2286959999999997E-2</v>
      </c>
      <c r="U5517">
        <v>-0.20841979999999999</v>
      </c>
      <c r="V5517">
        <v>-2.9685059999999999E-2</v>
      </c>
      <c r="W5517">
        <v>0.16120760000000001</v>
      </c>
      <c r="X5517">
        <v>0.98647399999999996</v>
      </c>
      <c r="Y5517">
        <v>8.0460030000000002E-2</v>
      </c>
      <c r="Z5517">
        <v>-1.637798E-3</v>
      </c>
      <c r="AA5517">
        <v>0.99675650000000005</v>
      </c>
      <c r="AB5517">
        <v>28</v>
      </c>
      <c r="AC5517">
        <v>47.129399999999997</v>
      </c>
      <c r="AD5517">
        <v>-1.121632674347</v>
      </c>
      <c r="AE5517">
        <v>-3.2376000000000098</v>
      </c>
      <c r="AF5517">
        <v>3.8233378120200201</v>
      </c>
      <c r="AG5517">
        <v>-1.121632674347</v>
      </c>
      <c r="AH5517">
        <v>47.058798246567498</v>
      </c>
      <c r="AI5517">
        <v>91.360887148452804</v>
      </c>
      <c r="AJ5517">
        <v>85.355150839156394</v>
      </c>
      <c r="AK5517">
        <v>47.227179296376903</v>
      </c>
      <c r="AL5517">
        <v>80.723003628881401</v>
      </c>
      <c r="AM5517">
        <v>91.723629356178705</v>
      </c>
      <c r="AN5517">
        <v>1.00000002288048</v>
      </c>
    </row>
    <row r="5518" spans="1:40" x14ac:dyDescent="0.25">
      <c r="A5518" t="str">
        <f>"20190303162022527"</f>
        <v>20190303162022527</v>
      </c>
      <c r="B5518" t="str">
        <f>"1551601222518130"</f>
        <v>1551601222518130</v>
      </c>
      <c r="C5518" t="s">
        <v>40</v>
      </c>
      <c r="D5518">
        <v>4.6320489999999896</v>
      </c>
      <c r="E5518">
        <v>0.54227190000000003</v>
      </c>
      <c r="F5518" t="s">
        <v>49</v>
      </c>
      <c r="G5518">
        <v>-207.6345</v>
      </c>
      <c r="H5518" s="1">
        <v>5.8289079999999996E-6</v>
      </c>
      <c r="I5518">
        <v>212.02709999999999</v>
      </c>
      <c r="J5518">
        <v>-253.34190000000001</v>
      </c>
      <c r="K5518">
        <v>1.1216360000000001</v>
      </c>
      <c r="L5518">
        <v>215.19139999999999</v>
      </c>
      <c r="M5518">
        <v>0.99982170000000004</v>
      </c>
      <c r="N5518">
        <v>-1.4101829999999999E-2</v>
      </c>
      <c r="O5518">
        <v>1.2563080000000001E-2</v>
      </c>
      <c r="P5518">
        <v>0.98826080000000005</v>
      </c>
      <c r="Q5518">
        <v>0.146929</v>
      </c>
      <c r="R5518">
        <v>4.1865880000000001E-2</v>
      </c>
      <c r="S5518">
        <v>3.0558779999999999</v>
      </c>
      <c r="T5518">
        <v>-7.4545739999999999E-2</v>
      </c>
      <c r="U5518">
        <v>-0.2100677</v>
      </c>
      <c r="V5518">
        <v>-2.946665E-2</v>
      </c>
      <c r="W5518">
        <v>0.16085279999999999</v>
      </c>
      <c r="X5518">
        <v>0.98653840000000004</v>
      </c>
      <c r="Y5518">
        <v>8.1071069999999995E-2</v>
      </c>
      <c r="Z5518">
        <v>-1.68913299999999E-3</v>
      </c>
      <c r="AA5518">
        <v>0.99670689999999995</v>
      </c>
      <c r="AB5518">
        <v>28</v>
      </c>
      <c r="AC5518">
        <v>45.7074</v>
      </c>
      <c r="AD5518">
        <v>-1.121630171092</v>
      </c>
      <c r="AE5518">
        <v>-3.1642999999999901</v>
      </c>
      <c r="AF5518">
        <v>3.7360939497038999</v>
      </c>
      <c r="AG5518">
        <v>-1.121630171092</v>
      </c>
      <c r="AH5518">
        <v>45.6366843980393</v>
      </c>
      <c r="AI5518">
        <v>91.4032043267962</v>
      </c>
      <c r="AJ5518">
        <v>85.319859162742702</v>
      </c>
      <c r="AK5518">
        <v>45.803093946675297</v>
      </c>
      <c r="AL5518">
        <v>80.743600396608102</v>
      </c>
      <c r="AM5518">
        <v>91.710843570141904</v>
      </c>
      <c r="AN5518">
        <v>0.99999996070231001</v>
      </c>
    </row>
    <row r="5519" spans="1:40" x14ac:dyDescent="0.25">
      <c r="A5519" t="str">
        <f>"20190303162022550"</f>
        <v>20190303162022550</v>
      </c>
      <c r="B5519" t="str">
        <f>"1551601222537652"</f>
        <v>1551601222537652</v>
      </c>
      <c r="C5519" t="s">
        <v>40</v>
      </c>
      <c r="D5519">
        <v>4.5893009999999999</v>
      </c>
      <c r="E5519">
        <v>0.54243189999999997</v>
      </c>
      <c r="F5519" t="s">
        <v>49</v>
      </c>
      <c r="G5519">
        <v>-208.51769999999999</v>
      </c>
      <c r="H5519" s="1">
        <v>6.2175059999999999E-6</v>
      </c>
      <c r="I5519">
        <v>212.06209999999999</v>
      </c>
      <c r="J5519">
        <v>-253.05609999999999</v>
      </c>
      <c r="K5519">
        <v>1.1216349999999999</v>
      </c>
      <c r="L5519">
        <v>215.19499999999999</v>
      </c>
      <c r="M5519">
        <v>0.9998205</v>
      </c>
      <c r="N5519">
        <v>-1.409899E-2</v>
      </c>
      <c r="O5519">
        <v>1.2652200000000001E-2</v>
      </c>
      <c r="P5519">
        <v>0.98826349999999996</v>
      </c>
      <c r="Q5519">
        <v>0.14693539999999999</v>
      </c>
      <c r="R5519">
        <v>4.177579E-2</v>
      </c>
      <c r="S5519">
        <v>3.056076</v>
      </c>
      <c r="T5519">
        <v>-7.6471689999999995E-2</v>
      </c>
      <c r="U5519">
        <v>-0.21334839999999999</v>
      </c>
      <c r="V5519">
        <v>-2.9287870000000001E-2</v>
      </c>
      <c r="W5519">
        <v>0.16085659999999999</v>
      </c>
      <c r="X5519">
        <v>0.98654310000000001</v>
      </c>
      <c r="Y5519">
        <v>8.2218009999999994E-2</v>
      </c>
      <c r="Z5519">
        <v>-1.745765E-3</v>
      </c>
      <c r="AA5519">
        <v>0.99661279999999997</v>
      </c>
      <c r="AB5519">
        <v>28</v>
      </c>
      <c r="AC5519">
        <v>44.538400000000003</v>
      </c>
      <c r="AD5519">
        <v>-1.1216287824940001</v>
      </c>
      <c r="AE5519">
        <v>-3.1328999999999998</v>
      </c>
      <c r="AF5519">
        <v>3.69388283506686</v>
      </c>
      <c r="AG5519">
        <v>-1.1216287824940001</v>
      </c>
      <c r="AH5519">
        <v>44.467129928920301</v>
      </c>
      <c r="AI5519">
        <v>91.439951702885693</v>
      </c>
      <c r="AJ5519">
        <v>85.251344578740003</v>
      </c>
      <c r="AK5519">
        <v>44.634386582996797</v>
      </c>
      <c r="AL5519">
        <v>80.743379761977806</v>
      </c>
      <c r="AM5519">
        <v>91.700461559857501</v>
      </c>
      <c r="AN5519">
        <v>0.99999995662515195</v>
      </c>
    </row>
    <row r="5520" spans="1:40" x14ac:dyDescent="0.25">
      <c r="A5520" t="str">
        <f>"20190303162022572"</f>
        <v>20190303162022572</v>
      </c>
      <c r="B5520" t="str">
        <f>"1551601222558147"</f>
        <v>1551601222558147</v>
      </c>
      <c r="C5520" t="s">
        <v>40</v>
      </c>
      <c r="D5520">
        <v>4.6034920000000001</v>
      </c>
      <c r="E5520">
        <v>0.54240829999999995</v>
      </c>
      <c r="F5520" t="s">
        <v>49</v>
      </c>
      <c r="G5520">
        <v>-207.34649999999999</v>
      </c>
      <c r="H5520" s="1">
        <v>5.7052659999999997E-6</v>
      </c>
      <c r="I5520">
        <v>211.98050000000001</v>
      </c>
      <c r="J5520">
        <v>-252.77379999999999</v>
      </c>
      <c r="K5520">
        <v>1.1216379999999999</v>
      </c>
      <c r="L5520">
        <v>215.1987</v>
      </c>
      <c r="M5520">
        <v>0.99981960000000003</v>
      </c>
      <c r="N5520">
        <v>-1.409614E-2</v>
      </c>
      <c r="O5520">
        <v>1.2740130000000001E-2</v>
      </c>
      <c r="P5520">
        <v>0.98828139999999998</v>
      </c>
      <c r="Q5520">
        <v>0.14691860000000001</v>
      </c>
      <c r="R5520">
        <v>4.1412200000000003E-2</v>
      </c>
      <c r="S5520">
        <v>3.055847</v>
      </c>
      <c r="T5520">
        <v>-7.4984789999999996E-2</v>
      </c>
      <c r="U5520">
        <v>-0.21490480000000001</v>
      </c>
      <c r="V5520">
        <v>-2.8837290000000002E-2</v>
      </c>
      <c r="W5520">
        <v>0.1608377</v>
      </c>
      <c r="X5520">
        <v>0.98655950000000003</v>
      </c>
      <c r="Y5520">
        <v>8.2816979999999998E-2</v>
      </c>
      <c r="Z5520">
        <v>-1.7321379999999901E-3</v>
      </c>
      <c r="AA5520">
        <v>0.99656330000000004</v>
      </c>
      <c r="AB5520">
        <v>28</v>
      </c>
      <c r="AC5520">
        <v>45.427300000000002</v>
      </c>
      <c r="AD5520">
        <v>-1.1216322947339901</v>
      </c>
      <c r="AE5520">
        <v>-3.2181999999999902</v>
      </c>
      <c r="AF5520">
        <v>3.79444424739751</v>
      </c>
      <c r="AG5520">
        <v>-1.1216322947339901</v>
      </c>
      <c r="AH5520">
        <v>45.355096283552001</v>
      </c>
      <c r="AI5520">
        <v>91.411707105155202</v>
      </c>
      <c r="AJ5520">
        <v>85.217724990186596</v>
      </c>
      <c r="AK5520">
        <v>45.527361279141502</v>
      </c>
      <c r="AL5520">
        <v>80.744477352908604</v>
      </c>
      <c r="AM5520">
        <v>91.674287954529206</v>
      </c>
      <c r="AN5520">
        <v>1.0000000010380401</v>
      </c>
    </row>
    <row r="5521" spans="1:40" x14ac:dyDescent="0.25">
      <c r="A5521" t="str">
        <f>"20190303162022595"</f>
        <v>20190303162022595</v>
      </c>
      <c r="B5521" t="str">
        <f>"1551601222587425"</f>
        <v>1551601222587425</v>
      </c>
      <c r="C5521" t="s">
        <v>40</v>
      </c>
      <c r="D5521">
        <v>4.6088319999999996</v>
      </c>
      <c r="E5521">
        <v>0.54245109999999996</v>
      </c>
      <c r="F5521" t="s">
        <v>49</v>
      </c>
      <c r="G5521">
        <v>-206.3811</v>
      </c>
      <c r="H5521" s="1">
        <v>5.282037E-6</v>
      </c>
      <c r="I5521">
        <v>211.9247</v>
      </c>
      <c r="J5521">
        <v>-252.4982</v>
      </c>
      <c r="K5521">
        <v>1.1216379999999999</v>
      </c>
      <c r="L5521">
        <v>215.20230000000001</v>
      </c>
      <c r="M5521">
        <v>0.9998186</v>
      </c>
      <c r="N5521">
        <v>-1.4093349999999999E-2</v>
      </c>
      <c r="O5521">
        <v>1.282573E-2</v>
      </c>
      <c r="P5521">
        <v>0.98823050000000001</v>
      </c>
      <c r="Q5521">
        <v>0.1473006</v>
      </c>
      <c r="R5521">
        <v>4.1272870000000003E-2</v>
      </c>
      <c r="S5521">
        <v>3.0555729999999999</v>
      </c>
      <c r="T5521">
        <v>-7.3874350000000005E-2</v>
      </c>
      <c r="U5521">
        <v>-0.2156372</v>
      </c>
      <c r="V5521">
        <v>-2.8613929999999999E-2</v>
      </c>
      <c r="W5521">
        <v>0.1612161</v>
      </c>
      <c r="X5521">
        <v>0.9865043</v>
      </c>
      <c r="Y5521">
        <v>8.3147109999999996E-2</v>
      </c>
      <c r="Z5521">
        <v>-1.7196990000000001E-3</v>
      </c>
      <c r="AA5521">
        <v>0.99653579999999997</v>
      </c>
      <c r="AB5521">
        <v>28</v>
      </c>
      <c r="AC5521">
        <v>46.117099999999901</v>
      </c>
      <c r="AD5521">
        <v>-1.1216327179629999</v>
      </c>
      <c r="AE5521">
        <v>-3.2776000000000001</v>
      </c>
      <c r="AF5521">
        <v>3.8665987545528999</v>
      </c>
      <c r="AG5521">
        <v>-1.1216327179629999</v>
      </c>
      <c r="AH5521">
        <v>46.0441645370488</v>
      </c>
      <c r="AI5521">
        <v>91.390552808953203</v>
      </c>
      <c r="AJ5521">
        <v>85.199799538933505</v>
      </c>
      <c r="AK5521">
        <v>46.219841343275299</v>
      </c>
      <c r="AL5521">
        <v>80.722510515986002</v>
      </c>
      <c r="AM5521">
        <v>91.661419915947903</v>
      </c>
      <c r="AN5521">
        <v>1.0000000609038699</v>
      </c>
    </row>
    <row r="5522" spans="1:40" x14ac:dyDescent="0.25">
      <c r="A5522" t="str">
        <f>"20190303162022616"</f>
        <v>20190303162022616</v>
      </c>
      <c r="B5522" t="str">
        <f>"1551601222607921"</f>
        <v>1551601222607921</v>
      </c>
      <c r="C5522" t="s">
        <v>40</v>
      </c>
      <c r="D5522">
        <v>4.6000449999999997</v>
      </c>
      <c r="E5522">
        <v>0.54246919999999899</v>
      </c>
      <c r="F5522" t="s">
        <v>49</v>
      </c>
      <c r="G5522">
        <v>-205.20179999999999</v>
      </c>
      <c r="H5522" s="1">
        <v>4.7649949999999998E-6</v>
      </c>
      <c r="I5522">
        <v>211.85720000000001</v>
      </c>
      <c r="J5522">
        <v>-252.22890000000001</v>
      </c>
      <c r="K5522">
        <v>1.121637</v>
      </c>
      <c r="L5522">
        <v>215.20590000000001</v>
      </c>
      <c r="M5522">
        <v>0.99981739999999997</v>
      </c>
      <c r="N5522">
        <v>-1.409061E-2</v>
      </c>
      <c r="O5522">
        <v>1.290967E-2</v>
      </c>
      <c r="P5522">
        <v>0.98829650000000002</v>
      </c>
      <c r="Q5522">
        <v>0.14704329999999999</v>
      </c>
      <c r="R5522">
        <v>4.0602399999999997E-2</v>
      </c>
      <c r="S5522">
        <v>3.0555569999999999</v>
      </c>
      <c r="T5522">
        <v>-7.2462559999999995E-2</v>
      </c>
      <c r="U5522">
        <v>-0.2161102</v>
      </c>
      <c r="V5522">
        <v>-2.7860119999999999E-2</v>
      </c>
      <c r="W5522">
        <v>0.1609573</v>
      </c>
      <c r="X5522">
        <v>0.98656809999999995</v>
      </c>
      <c r="Y5522">
        <v>8.3385749999999995E-2</v>
      </c>
      <c r="Z5522">
        <v>-1.6998429999999999E-3</v>
      </c>
      <c r="AA5522">
        <v>0.99651590000000001</v>
      </c>
      <c r="AB5522">
        <v>28</v>
      </c>
      <c r="AC5522">
        <v>47.027099999999997</v>
      </c>
      <c r="AD5522">
        <v>-1.1216322350049901</v>
      </c>
      <c r="AE5522">
        <v>-3.3487</v>
      </c>
      <c r="AF5522">
        <v>3.9533479432063698</v>
      </c>
      <c r="AG5522">
        <v>-1.1216322350049901</v>
      </c>
      <c r="AH5522">
        <v>46.953370304275303</v>
      </c>
      <c r="AI5522">
        <v>91.363610599658898</v>
      </c>
      <c r="AJ5522">
        <v>85.187200446905607</v>
      </c>
      <c r="AK5522">
        <v>47.132854801731</v>
      </c>
      <c r="AL5522">
        <v>80.737534563332005</v>
      </c>
      <c r="AM5522">
        <v>91.617570214380294</v>
      </c>
      <c r="AN5522">
        <v>1.00000002732365</v>
      </c>
    </row>
    <row r="5523" spans="1:40" x14ac:dyDescent="0.25">
      <c r="A5523" t="str">
        <f>"20190303162022639"</f>
        <v>20190303162022639</v>
      </c>
      <c r="B5523" t="str">
        <f>"1551601222627442"</f>
        <v>1551601222627442</v>
      </c>
      <c r="C5523" t="s">
        <v>40</v>
      </c>
      <c r="D5523">
        <v>4.6211250000000001</v>
      </c>
      <c r="E5523">
        <v>0.5424523</v>
      </c>
      <c r="F5523" t="s">
        <v>49</v>
      </c>
      <c r="G5523">
        <v>-204.5564</v>
      </c>
      <c r="H5523" s="1">
        <v>4.4839219999999997E-6</v>
      </c>
      <c r="I5523">
        <v>211.79849999999999</v>
      </c>
      <c r="J5523">
        <v>-251.94460000000001</v>
      </c>
      <c r="K5523">
        <v>1.121631</v>
      </c>
      <c r="L5523">
        <v>215.20959999999999</v>
      </c>
      <c r="M5523">
        <v>0.99981640000000005</v>
      </c>
      <c r="N5523">
        <v>-1.40877E-2</v>
      </c>
      <c r="O5523">
        <v>1.299814E-2</v>
      </c>
      <c r="P5523">
        <v>0.98830419999999997</v>
      </c>
      <c r="Q5523">
        <v>0.14707310000000001</v>
      </c>
      <c r="R5523">
        <v>4.0304699999999999E-2</v>
      </c>
      <c r="S5523">
        <v>3.0551910000000002</v>
      </c>
      <c r="T5523">
        <v>-7.1882130000000002E-2</v>
      </c>
      <c r="U5523">
        <v>-0.21836849999999999</v>
      </c>
      <c r="V5523">
        <v>-2.7474229999999999E-2</v>
      </c>
      <c r="W5523">
        <v>0.16098460000000001</v>
      </c>
      <c r="X5523">
        <v>0.98657450000000002</v>
      </c>
      <c r="Y5523">
        <v>8.4215319999999996E-2</v>
      </c>
      <c r="Z5523">
        <v>-1.7059740000000001E-3</v>
      </c>
      <c r="AA5523">
        <v>0.9964461</v>
      </c>
      <c r="AB5523">
        <v>28</v>
      </c>
      <c r="AC5523">
        <v>47.388199999999998</v>
      </c>
      <c r="AD5523">
        <v>-1.1216265160779999</v>
      </c>
      <c r="AE5523">
        <v>-3.4110999999999998</v>
      </c>
      <c r="AF5523">
        <v>4.0245882683920202</v>
      </c>
      <c r="AG5523">
        <v>-1.1216265160779999</v>
      </c>
      <c r="AH5523">
        <v>47.313484351836799</v>
      </c>
      <c r="AI5523">
        <v>91.353130513204604</v>
      </c>
      <c r="AJ5523">
        <v>85.137999827911401</v>
      </c>
      <c r="AK5523">
        <v>47.497591078739497</v>
      </c>
      <c r="AL5523">
        <v>80.735950020674906</v>
      </c>
      <c r="AM5523">
        <v>91.595166594143095</v>
      </c>
      <c r="AN5523">
        <v>1.0000000594007401</v>
      </c>
    </row>
    <row r="5524" spans="1:40" x14ac:dyDescent="0.25">
      <c r="A5524" t="str">
        <f>"20190303162022661"</f>
        <v>20190303162022661</v>
      </c>
      <c r="B5524" t="str">
        <f>"1551601222647938"</f>
        <v>1551601222647938</v>
      </c>
      <c r="C5524" t="s">
        <v>40</v>
      </c>
      <c r="D5524">
        <v>4.6210170000000002</v>
      </c>
      <c r="E5524">
        <v>0.54245779999999999</v>
      </c>
      <c r="F5524" t="s">
        <v>49</v>
      </c>
      <c r="G5524">
        <v>-203.90620000000001</v>
      </c>
      <c r="H5524" s="1">
        <v>4.198618E-6</v>
      </c>
      <c r="I5524">
        <v>211.7637</v>
      </c>
      <c r="J5524">
        <v>-251.6705</v>
      </c>
      <c r="K5524">
        <v>1.1216330000000001</v>
      </c>
      <c r="L5524">
        <v>215.2133</v>
      </c>
      <c r="M5524">
        <v>0.99981529999999996</v>
      </c>
      <c r="N5524">
        <v>-1.4084910000000001E-2</v>
      </c>
      <c r="O5524">
        <v>1.308374E-2</v>
      </c>
      <c r="P5524">
        <v>0.98830150000000005</v>
      </c>
      <c r="Q5524">
        <v>0.1471469</v>
      </c>
      <c r="R5524">
        <v>4.010176E-2</v>
      </c>
      <c r="S5524">
        <v>3.0550540000000002</v>
      </c>
      <c r="T5524">
        <v>-7.1331019999999995E-2</v>
      </c>
      <c r="U5524">
        <v>-0.2191467</v>
      </c>
      <c r="V5524">
        <v>-2.7186950000000001E-2</v>
      </c>
      <c r="W5524">
        <v>0.16105559999999999</v>
      </c>
      <c r="X5524">
        <v>0.98657079999999997</v>
      </c>
      <c r="Y5524">
        <v>8.4556679999999995E-2</v>
      </c>
      <c r="Z5524">
        <v>-1.7032E-3</v>
      </c>
      <c r="AA5524">
        <v>0.9964172</v>
      </c>
      <c r="AB5524">
        <v>28</v>
      </c>
      <c r="AC5524">
        <v>47.764299999999899</v>
      </c>
      <c r="AD5524">
        <v>-1.1216288013819999</v>
      </c>
      <c r="AE5524">
        <v>-3.4496000000000002</v>
      </c>
      <c r="AF5524">
        <v>4.0720684723951299</v>
      </c>
      <c r="AG5524">
        <v>-1.1216288013819999</v>
      </c>
      <c r="AH5524">
        <v>47.688911914032197</v>
      </c>
      <c r="AI5524">
        <v>91.342447724496097</v>
      </c>
      <c r="AJ5524">
        <v>85.119457368672101</v>
      </c>
      <c r="AK5524">
        <v>47.875589942644901</v>
      </c>
      <c r="AL5524">
        <v>80.731827586830306</v>
      </c>
      <c r="AM5524">
        <v>91.578501383579507</v>
      </c>
      <c r="AN5524">
        <v>0.999999989977151</v>
      </c>
    </row>
    <row r="5525" spans="1:40" x14ac:dyDescent="0.25">
      <c r="A5525" t="str">
        <f>"20190303162022684"</f>
        <v>20190303162022684</v>
      </c>
      <c r="B5525" t="str">
        <f>"1551601222678193"</f>
        <v>1551601222678193</v>
      </c>
      <c r="C5525" t="s">
        <v>40</v>
      </c>
      <c r="D5525">
        <v>4.6242049999999999</v>
      </c>
      <c r="E5525">
        <v>0.54250010000000004</v>
      </c>
      <c r="F5525" t="s">
        <v>49</v>
      </c>
      <c r="G5525">
        <v>-202.05619999999999</v>
      </c>
      <c r="H5525" s="1">
        <v>3.3889369999999998E-6</v>
      </c>
      <c r="I5525">
        <v>211.64109999999999</v>
      </c>
      <c r="J5525">
        <v>-251.39080000000001</v>
      </c>
      <c r="K5525">
        <v>1.1216410000000001</v>
      </c>
      <c r="L5525">
        <v>215.21709999999999</v>
      </c>
      <c r="M5525">
        <v>0.99981419999999999</v>
      </c>
      <c r="N5525">
        <v>-1.4082030000000001E-2</v>
      </c>
      <c r="O5525">
        <v>1.317084E-2</v>
      </c>
      <c r="P5525">
        <v>0.98824749999999995</v>
      </c>
      <c r="Q5525">
        <v>0.14755260000000001</v>
      </c>
      <c r="R5525">
        <v>3.9943859999999998E-2</v>
      </c>
      <c r="S5525">
        <v>3.0547330000000001</v>
      </c>
      <c r="T5525">
        <v>-6.9058300000000003E-2</v>
      </c>
      <c r="U5525">
        <v>-0.2199402</v>
      </c>
      <c r="V5525">
        <v>-2.694336E-2</v>
      </c>
      <c r="W5525">
        <v>0.1614575</v>
      </c>
      <c r="X5525">
        <v>0.98651180000000005</v>
      </c>
      <c r="Y5525">
        <v>8.4910239999999998E-2</v>
      </c>
      <c r="Z5525">
        <v>-1.6693439999999999E-3</v>
      </c>
      <c r="AA5525">
        <v>0.99638720000000003</v>
      </c>
      <c r="AB5525">
        <v>28</v>
      </c>
      <c r="AC5525">
        <v>49.334600000000002</v>
      </c>
      <c r="AD5525">
        <v>-1.121637611063</v>
      </c>
      <c r="AE5525">
        <v>-3.5759999999999899</v>
      </c>
      <c r="AF5525">
        <v>4.2233606281401501</v>
      </c>
      <c r="AG5525">
        <v>-1.121637611063</v>
      </c>
      <c r="AH5525">
        <v>49.2578882580992</v>
      </c>
      <c r="AI5525">
        <v>91.299674003464403</v>
      </c>
      <c r="AJ5525">
        <v>85.099457342838306</v>
      </c>
      <c r="AK5525">
        <v>49.451333668297202</v>
      </c>
      <c r="AL5525">
        <v>80.7084951448076</v>
      </c>
      <c r="AM5525">
        <v>91.564458878216698</v>
      </c>
      <c r="AN5525">
        <v>1.0000000002467799</v>
      </c>
    </row>
    <row r="5526" spans="1:40" x14ac:dyDescent="0.25">
      <c r="A5526" t="str">
        <f>"20190303162022706"</f>
        <v>20190303162022706</v>
      </c>
      <c r="B5526" t="str">
        <f>"1551601222697714"</f>
        <v>1551601222697714</v>
      </c>
      <c r="C5526" t="s">
        <v>40</v>
      </c>
      <c r="D5526">
        <v>4.6278309999999996</v>
      </c>
      <c r="E5526">
        <v>0.54242939999999995</v>
      </c>
      <c r="F5526" t="s">
        <v>49</v>
      </c>
      <c r="G5526">
        <v>-198.99270000000001</v>
      </c>
      <c r="H5526" s="1">
        <v>2.6478829999999998E-6</v>
      </c>
      <c r="I5526">
        <v>211.4314</v>
      </c>
      <c r="J5526">
        <v>-251.1216</v>
      </c>
      <c r="K5526">
        <v>1.1216469999999901</v>
      </c>
      <c r="L5526">
        <v>215.22069999999999</v>
      </c>
      <c r="M5526">
        <v>0.99981310000000001</v>
      </c>
      <c r="N5526">
        <v>-1.4079360000000001E-2</v>
      </c>
      <c r="O5526">
        <v>1.3254409999999999E-2</v>
      </c>
      <c r="P5526">
        <v>0.98815220000000004</v>
      </c>
      <c r="Q5526">
        <v>0.14808189999999999</v>
      </c>
      <c r="R5526">
        <v>4.0337360000000003E-2</v>
      </c>
      <c r="S5526">
        <v>3.0543670000000001</v>
      </c>
      <c r="T5526">
        <v>-6.5381999999999996E-2</v>
      </c>
      <c r="U5526">
        <v>-0.2206726</v>
      </c>
      <c r="V5526">
        <v>-2.7255680000000001E-2</v>
      </c>
      <c r="W5526">
        <v>0.16198270000000001</v>
      </c>
      <c r="X5526">
        <v>0.98641710000000005</v>
      </c>
      <c r="Y5526">
        <v>8.5242730000000003E-2</v>
      </c>
      <c r="Z5526">
        <v>-1.609067E-3</v>
      </c>
      <c r="AA5526">
        <v>0.99635890000000005</v>
      </c>
      <c r="AB5526">
        <v>28</v>
      </c>
      <c r="AC5526">
        <v>52.128899999999902</v>
      </c>
      <c r="AD5526">
        <v>-1.1216443521170001</v>
      </c>
      <c r="AE5526">
        <v>-3.7892999999999901</v>
      </c>
      <c r="AF5526">
        <v>4.4779110811008902</v>
      </c>
      <c r="AG5526">
        <v>-1.1216443521170001</v>
      </c>
      <c r="AH5526">
        <v>52.050118991824</v>
      </c>
      <c r="AI5526">
        <v>91.2299518509476</v>
      </c>
      <c r="AJ5526">
        <v>85.082907872084903</v>
      </c>
      <c r="AK5526">
        <v>52.254422403906901</v>
      </c>
      <c r="AL5526">
        <v>80.678001830463103</v>
      </c>
      <c r="AM5526">
        <v>91.582736341759997</v>
      </c>
      <c r="AN5526">
        <v>0.99999998118198097</v>
      </c>
    </row>
    <row r="5527" spans="1:40" x14ac:dyDescent="0.25">
      <c r="A5527" t="str">
        <f>"20190303162022727"</f>
        <v>20190303162022727</v>
      </c>
      <c r="B5527" t="str">
        <f>"1551601222718210"</f>
        <v>1551601222718210</v>
      </c>
      <c r="C5527" t="s">
        <v>40</v>
      </c>
      <c r="D5527">
        <v>4.6361290000000004</v>
      </c>
      <c r="E5527">
        <v>0.54246470000000002</v>
      </c>
      <c r="F5527" t="s">
        <v>49</v>
      </c>
      <c r="G5527">
        <v>-197.06649999999999</v>
      </c>
      <c r="H5527" s="1">
        <v>2.9974310000000001E-6</v>
      </c>
      <c r="I5527">
        <v>211.34129999999999</v>
      </c>
      <c r="J5527">
        <v>-250.84569999999999</v>
      </c>
      <c r="K5527">
        <v>1.121651</v>
      </c>
      <c r="L5527">
        <v>215.22450000000001</v>
      </c>
      <c r="M5527">
        <v>0.99981189999999998</v>
      </c>
      <c r="N5527">
        <v>-1.407664E-2</v>
      </c>
      <c r="O5527">
        <v>1.334049E-2</v>
      </c>
      <c r="P5527">
        <v>0.98817809999999995</v>
      </c>
      <c r="Q5527">
        <v>0.14774489999999901</v>
      </c>
      <c r="R5527">
        <v>4.0935640000000002E-2</v>
      </c>
      <c r="S5527">
        <v>3.0544129999999998</v>
      </c>
      <c r="T5527">
        <v>-6.3379050000000006E-2</v>
      </c>
      <c r="U5527">
        <v>-0.21920780000000001</v>
      </c>
      <c r="V5527">
        <v>-2.7768049999999999E-2</v>
      </c>
      <c r="W5527">
        <v>0.16164339999999999</v>
      </c>
      <c r="X5527">
        <v>0.98645850000000002</v>
      </c>
      <c r="Y5527">
        <v>8.4853810000000002E-2</v>
      </c>
      <c r="Z5527">
        <v>-1.5661900000000001E-3</v>
      </c>
      <c r="AA5527">
        <v>0.99639219999999895</v>
      </c>
      <c r="AB5527">
        <v>28</v>
      </c>
      <c r="AC5527">
        <v>53.779200000000003</v>
      </c>
      <c r="AD5527">
        <v>-1.1216480025690001</v>
      </c>
      <c r="AE5527">
        <v>-3.8832000000000102</v>
      </c>
      <c r="AF5527">
        <v>4.5983764624493801</v>
      </c>
      <c r="AG5527">
        <v>-1.1216480025690001</v>
      </c>
      <c r="AH5527">
        <v>53.699366594438203</v>
      </c>
      <c r="AI5527">
        <v>91.192232284447002</v>
      </c>
      <c r="AJ5527">
        <v>85.105595971207194</v>
      </c>
      <c r="AK5527">
        <v>53.907561000066899</v>
      </c>
      <c r="AL5527">
        <v>80.697702204426506</v>
      </c>
      <c r="AM5527">
        <v>91.612406448841895</v>
      </c>
      <c r="AN5527">
        <v>1.0000000127933</v>
      </c>
    </row>
    <row r="5528" spans="1:40" x14ac:dyDescent="0.25">
      <c r="A5528" t="str">
        <f>"20190303162022751"</f>
        <v>20190303162022751</v>
      </c>
      <c r="B5528" t="str">
        <f>"1551601222737729"</f>
        <v>1551601222737729</v>
      </c>
      <c r="C5528" t="s">
        <v>40</v>
      </c>
      <c r="D5528">
        <v>4.6287039999999999</v>
      </c>
      <c r="E5528">
        <v>0.54263839999999997</v>
      </c>
      <c r="F5528" t="s">
        <v>49</v>
      </c>
      <c r="G5528">
        <v>-196.99940000000001</v>
      </c>
      <c r="H5528" s="1">
        <v>3.0051860000000001E-6</v>
      </c>
      <c r="I5528">
        <v>211.3888</v>
      </c>
      <c r="J5528">
        <v>-250.5592</v>
      </c>
      <c r="K5528">
        <v>1.1216549999999901</v>
      </c>
      <c r="L5528">
        <v>215.22839999999999</v>
      </c>
      <c r="M5528">
        <v>0.99981089999999995</v>
      </c>
      <c r="N5528">
        <v>-1.4073540000000001E-2</v>
      </c>
      <c r="O5528">
        <v>1.342991E-2</v>
      </c>
      <c r="P5528">
        <v>0.98809210000000003</v>
      </c>
      <c r="Q5528">
        <v>0.14822379999999999</v>
      </c>
      <c r="R5528">
        <v>4.1276229999999997E-2</v>
      </c>
      <c r="S5528">
        <v>3.0544129999999998</v>
      </c>
      <c r="T5528">
        <v>-6.3625100000000004E-2</v>
      </c>
      <c r="U5528">
        <v>-0.21757509999999999</v>
      </c>
      <c r="V5528">
        <v>-2.8021250000000001E-2</v>
      </c>
      <c r="W5528">
        <v>0.16211819999999999</v>
      </c>
      <c r="X5528">
        <v>0.98637339999999996</v>
      </c>
      <c r="Y5528">
        <v>8.4412979999999999E-2</v>
      </c>
      <c r="Z5528">
        <v>-1.5635039999999901E-3</v>
      </c>
      <c r="AA5528">
        <v>0.99642960000000003</v>
      </c>
      <c r="AB5528">
        <v>28</v>
      </c>
      <c r="AC5528">
        <v>53.559800000000003</v>
      </c>
      <c r="AD5528">
        <v>-1.12165199481399</v>
      </c>
      <c r="AE5528">
        <v>-3.8395999999999901</v>
      </c>
      <c r="AF5528">
        <v>4.5566399144849701</v>
      </c>
      <c r="AG5528">
        <v>-1.12165199481399</v>
      </c>
      <c r="AH5528">
        <v>53.480063354213698</v>
      </c>
      <c r="AI5528">
        <v>91.197167621291499</v>
      </c>
      <c r="AJ5528">
        <v>85.130012985606001</v>
      </c>
      <c r="AK5528">
        <v>53.685549702675701</v>
      </c>
      <c r="AL5528">
        <v>80.670134371058296</v>
      </c>
      <c r="AM5528">
        <v>91.627241440917899</v>
      </c>
      <c r="AN5528">
        <v>0.99999999272518103</v>
      </c>
    </row>
    <row r="5529" spans="1:40" x14ac:dyDescent="0.25">
      <c r="A5529" t="str">
        <f>"20190303162022784"</f>
        <v>20190303162022784</v>
      </c>
      <c r="B5529" t="str">
        <f>"1551601222777746"</f>
        <v>1551601222777746</v>
      </c>
      <c r="C5529" t="s">
        <v>40</v>
      </c>
      <c r="D5529">
        <v>4.695678</v>
      </c>
      <c r="E5529">
        <v>0.54288829999999999</v>
      </c>
      <c r="F5529" t="s">
        <v>49</v>
      </c>
      <c r="G5529">
        <v>-194.39510000000001</v>
      </c>
      <c r="H5529" s="1">
        <v>3.4813699999999901E-6</v>
      </c>
      <c r="I5529">
        <v>211.226</v>
      </c>
      <c r="J5529">
        <v>-250.1506</v>
      </c>
      <c r="K5529">
        <v>1.121659</v>
      </c>
      <c r="L5529">
        <v>215.23400000000001</v>
      </c>
      <c r="M5529">
        <v>0.99980919999999895</v>
      </c>
      <c r="N5529">
        <v>-1.4068900000000001E-2</v>
      </c>
      <c r="O5529">
        <v>1.3557670000000001E-2</v>
      </c>
      <c r="P5529">
        <v>0.98806349999999998</v>
      </c>
      <c r="Q5529">
        <v>0.14844579999999999</v>
      </c>
      <c r="R5529">
        <v>4.1165750000000001E-2</v>
      </c>
      <c r="S5529">
        <v>3.0543979999999999</v>
      </c>
      <c r="T5529">
        <v>-6.0999270000000001E-2</v>
      </c>
      <c r="U5529">
        <v>-0.21766659999999999</v>
      </c>
      <c r="V5529">
        <v>-2.7784610000000001E-2</v>
      </c>
      <c r="W5529">
        <v>0.16233510000000001</v>
      </c>
      <c r="X5529">
        <v>0.98634449999999996</v>
      </c>
      <c r="Y5529">
        <v>8.4572369999999994E-2</v>
      </c>
      <c r="Z5529">
        <v>-1.519077E-3</v>
      </c>
      <c r="AA5529">
        <v>0.99641619999999997</v>
      </c>
      <c r="AB5529">
        <v>28</v>
      </c>
      <c r="AC5529">
        <v>55.755499999999898</v>
      </c>
      <c r="AD5529">
        <v>-1.1216555186299999</v>
      </c>
      <c r="AE5529">
        <v>-4.0080000000000098</v>
      </c>
      <c r="AF5529">
        <v>4.7617037767995498</v>
      </c>
      <c r="AG5529">
        <v>-1.1216555186299999</v>
      </c>
      <c r="AH5529">
        <v>55.673614199439001</v>
      </c>
      <c r="AI5529">
        <v>91.149983736238198</v>
      </c>
      <c r="AJ5529">
        <v>85.111451250214003</v>
      </c>
      <c r="AK5529">
        <v>55.888131584339398</v>
      </c>
      <c r="AL5529">
        <v>80.657540823930404</v>
      </c>
      <c r="AM5529">
        <v>91.613553901423998</v>
      </c>
      <c r="AN5529">
        <v>1.0000000709625501</v>
      </c>
    </row>
    <row r="5530" spans="1:40" x14ac:dyDescent="0.25">
      <c r="A5530" t="str">
        <f>"20190303162022807"</f>
        <v>20190303162022807</v>
      </c>
      <c r="B5530" t="str">
        <f>"1551601222798242"</f>
        <v>1551601222798242</v>
      </c>
      <c r="C5530" t="s">
        <v>40</v>
      </c>
      <c r="D5530">
        <v>4.7140620000000002</v>
      </c>
      <c r="E5530">
        <v>0.54290830000000001</v>
      </c>
      <c r="F5530" t="s">
        <v>49</v>
      </c>
      <c r="G5530">
        <v>-193.32859999999999</v>
      </c>
      <c r="H5530" s="1">
        <v>3.6766149999999999E-6</v>
      </c>
      <c r="I5530">
        <v>211.1566</v>
      </c>
      <c r="J5530">
        <v>-249.88159999999999</v>
      </c>
      <c r="K5530">
        <v>1.121658</v>
      </c>
      <c r="L5530">
        <v>215.23779999999999</v>
      </c>
      <c r="M5530">
        <v>0.99980809999999998</v>
      </c>
      <c r="N5530">
        <v>-1.4065859999999999E-2</v>
      </c>
      <c r="O5530">
        <v>1.3641250000000001E-2</v>
      </c>
      <c r="P5530">
        <v>0.98813300000000004</v>
      </c>
      <c r="Q5530">
        <v>0.14817269999999999</v>
      </c>
      <c r="R5530">
        <v>4.0479809999999998E-2</v>
      </c>
      <c r="S5530">
        <v>3.0544280000000001</v>
      </c>
      <c r="T5530">
        <v>-6.029379E-2</v>
      </c>
      <c r="U5530">
        <v>-0.21917719999999999</v>
      </c>
      <c r="V5530">
        <v>-2.7015440000000002E-2</v>
      </c>
      <c r="W5530">
        <v>0.16206029999999999</v>
      </c>
      <c r="X5530">
        <v>0.98641100000000004</v>
      </c>
      <c r="Y5530">
        <v>8.5145589999999993E-2</v>
      </c>
      <c r="Z5530">
        <v>-1.516255E-3</v>
      </c>
      <c r="AA5530">
        <v>0.99636740000000001</v>
      </c>
      <c r="AB5530">
        <v>28</v>
      </c>
      <c r="AC5530">
        <v>56.552999999999997</v>
      </c>
      <c r="AD5530">
        <v>-1.121654323385</v>
      </c>
      <c r="AE5530">
        <v>-4.0811999999999902</v>
      </c>
      <c r="AF5530">
        <v>4.85045189655985</v>
      </c>
      <c r="AG5530">
        <v>-1.121654323385</v>
      </c>
      <c r="AH5530">
        <v>56.469959963324698</v>
      </c>
      <c r="AI5530">
        <v>91.133734345308596</v>
      </c>
      <c r="AJ5530">
        <v>85.090664623620697</v>
      </c>
      <c r="AK5530">
        <v>56.688988086589603</v>
      </c>
      <c r="AL5530">
        <v>80.673496490593706</v>
      </c>
      <c r="AM5530">
        <v>91.568802312831593</v>
      </c>
      <c r="AN5530">
        <v>1.00000001787774</v>
      </c>
    </row>
    <row r="5531" spans="1:40" x14ac:dyDescent="0.25">
      <c r="A5531" t="str">
        <f>"20190303162022829"</f>
        <v>20190303162022829</v>
      </c>
      <c r="B5531" t="str">
        <f>"1551601222817762"</f>
        <v>1551601222817762</v>
      </c>
      <c r="C5531" t="s">
        <v>40</v>
      </c>
      <c r="D5531">
        <v>4.7298689999999999</v>
      </c>
      <c r="E5531">
        <v>0.5429891</v>
      </c>
      <c r="F5531" t="s">
        <v>49</v>
      </c>
      <c r="G5531">
        <v>-194.8466</v>
      </c>
      <c r="H5531" s="1">
        <v>3.4001899999999998E-6</v>
      </c>
      <c r="I5531">
        <v>211.23859999999999</v>
      </c>
      <c r="J5531">
        <v>-249.59950000000001</v>
      </c>
      <c r="K5531">
        <v>1.121656</v>
      </c>
      <c r="L5531">
        <v>215.24170000000001</v>
      </c>
      <c r="M5531">
        <v>0.99980690000000005</v>
      </c>
      <c r="N5531">
        <v>-1.4062699999999999E-2</v>
      </c>
      <c r="O5531">
        <v>1.3729180000000001E-2</v>
      </c>
      <c r="P5531">
        <v>0.98811159999999998</v>
      </c>
      <c r="Q5531">
        <v>0.14847639999999901</v>
      </c>
      <c r="R5531">
        <v>3.9880159999999998E-2</v>
      </c>
      <c r="S5531">
        <v>3.054459</v>
      </c>
      <c r="T5531">
        <v>-6.2252160000000001E-2</v>
      </c>
      <c r="U5531">
        <v>-0.22195429999999999</v>
      </c>
      <c r="V5531">
        <v>-2.6328810000000001E-2</v>
      </c>
      <c r="W5531">
        <v>0.16236049999999999</v>
      </c>
      <c r="X5531">
        <v>0.98638020000000004</v>
      </c>
      <c r="Y5531">
        <v>8.613179E-2</v>
      </c>
      <c r="Z5531">
        <v>-1.569668E-3</v>
      </c>
      <c r="AA5531">
        <v>0.99628249999999996</v>
      </c>
      <c r="AB5531">
        <v>28</v>
      </c>
      <c r="AC5531">
        <v>54.752899999999997</v>
      </c>
      <c r="AD5531">
        <v>-1.12165259981</v>
      </c>
      <c r="AE5531">
        <v>-4.0031000000000097</v>
      </c>
      <c r="AF5531">
        <v>4.752525498831</v>
      </c>
      <c r="AG5531">
        <v>-1.12165259981</v>
      </c>
      <c r="AH5531">
        <v>54.669952761473802</v>
      </c>
      <c r="AI5531">
        <v>91.170946389249494</v>
      </c>
      <c r="AJ5531">
        <v>85.031698278258105</v>
      </c>
      <c r="AK5531">
        <v>54.887597306800302</v>
      </c>
      <c r="AL5531">
        <v>80.656065450997403</v>
      </c>
      <c r="AM5531">
        <v>91.5289962014987</v>
      </c>
      <c r="AN5531">
        <v>1.00000001857415</v>
      </c>
    </row>
    <row r="5532" spans="1:40" x14ac:dyDescent="0.25">
      <c r="A5532" t="str">
        <f>"20190303162022851"</f>
        <v>20190303162022851</v>
      </c>
      <c r="B5532" t="str">
        <f>"1551601222838258"</f>
        <v>1551601222838258</v>
      </c>
      <c r="C5532" t="s">
        <v>40</v>
      </c>
      <c r="D5532">
        <v>4.7601709999999997</v>
      </c>
      <c r="E5532">
        <v>0.54310369999999997</v>
      </c>
      <c r="F5532" t="s">
        <v>49</v>
      </c>
      <c r="G5532">
        <v>-194.37870000000001</v>
      </c>
      <c r="H5532" s="1">
        <v>3.488034E-6</v>
      </c>
      <c r="I5532">
        <v>211.18299999999999</v>
      </c>
      <c r="J5532">
        <v>-249.32669999999999</v>
      </c>
      <c r="K5532">
        <v>1.12165</v>
      </c>
      <c r="L5532">
        <v>215.2456</v>
      </c>
      <c r="M5532">
        <v>0.99980579999999997</v>
      </c>
      <c r="N5532">
        <v>-1.40596E-2</v>
      </c>
      <c r="O5532">
        <v>1.3814369999999999E-2</v>
      </c>
      <c r="P5532">
        <v>0.98822750000000004</v>
      </c>
      <c r="Q5532">
        <v>0.14790619999999999</v>
      </c>
      <c r="R5532">
        <v>3.9121980000000001E-2</v>
      </c>
      <c r="S5532">
        <v>3.054459</v>
      </c>
      <c r="T5532">
        <v>-6.2042590000000002E-2</v>
      </c>
      <c r="U5532">
        <v>-0.2245026</v>
      </c>
      <c r="V5532">
        <v>-2.5484610000000001E-2</v>
      </c>
      <c r="W5532">
        <v>0.16178879999999901</v>
      </c>
      <c r="X5532">
        <v>0.98649629999999999</v>
      </c>
      <c r="Y5532">
        <v>8.7043259999999997E-2</v>
      </c>
      <c r="Z5532">
        <v>-1.5818690000000001E-3</v>
      </c>
      <c r="AA5532">
        <v>0.99620330000000001</v>
      </c>
      <c r="AB5532">
        <v>27</v>
      </c>
      <c r="AC5532">
        <v>54.947999999999901</v>
      </c>
      <c r="AD5532">
        <v>-1.121646511966</v>
      </c>
      <c r="AE5532">
        <v>-4.0625999999999998</v>
      </c>
      <c r="AF5532">
        <v>4.8193620001758903</v>
      </c>
      <c r="AG5532">
        <v>-1.121646511966</v>
      </c>
      <c r="AH5532">
        <v>54.863891168470197</v>
      </c>
      <c r="AI5532">
        <v>91.166709877058295</v>
      </c>
      <c r="AJ5532">
        <v>84.979901344187795</v>
      </c>
      <c r="AK5532">
        <v>55.086576360600702</v>
      </c>
      <c r="AL5532">
        <v>80.689260305599802</v>
      </c>
      <c r="AM5532">
        <v>91.479818935246996</v>
      </c>
      <c r="AN5532">
        <v>1.00000001553299</v>
      </c>
    </row>
    <row r="5533" spans="1:40" x14ac:dyDescent="0.25">
      <c r="A5533" t="str">
        <f>"20190303162022874"</f>
        <v>20190303162022874</v>
      </c>
      <c r="B5533" t="str">
        <f>"1551601222867538"</f>
        <v>1551601222867538</v>
      </c>
      <c r="C5533" t="s">
        <v>40</v>
      </c>
      <c r="D5533">
        <v>4.8196649999999996</v>
      </c>
      <c r="E5533">
        <v>0.54320119999999905</v>
      </c>
      <c r="F5533" t="s">
        <v>49</v>
      </c>
      <c r="G5533">
        <v>-195.75129999999999</v>
      </c>
      <c r="H5533" s="1">
        <v>3.2381450000000001E-6</v>
      </c>
      <c r="I5533">
        <v>211.25640000000001</v>
      </c>
      <c r="J5533">
        <v>-249.0463</v>
      </c>
      <c r="K5533">
        <v>1.1216429999999999</v>
      </c>
      <c r="L5533">
        <v>215.24950000000001</v>
      </c>
      <c r="M5533">
        <v>0.99980460000000004</v>
      </c>
      <c r="N5533">
        <v>-1.405639E-2</v>
      </c>
      <c r="O5533">
        <v>1.390194E-2</v>
      </c>
      <c r="P5533">
        <v>0.98823450000000002</v>
      </c>
      <c r="Q5533">
        <v>0.14796509999999999</v>
      </c>
      <c r="R5533">
        <v>3.8722279999999998E-2</v>
      </c>
      <c r="S5533">
        <v>3.0542910000000001</v>
      </c>
      <c r="T5533">
        <v>-6.3944219999999996E-2</v>
      </c>
      <c r="U5533">
        <v>-0.22741700000000001</v>
      </c>
      <c r="V5533">
        <v>-2.4998449999999998E-2</v>
      </c>
      <c r="W5533">
        <v>0.16184479999999901</v>
      </c>
      <c r="X5533">
        <v>0.98649949999999997</v>
      </c>
      <c r="Y5533">
        <v>8.8077939999999993E-2</v>
      </c>
      <c r="Z5533">
        <v>-1.6361699999999999E-3</v>
      </c>
      <c r="AA5533">
        <v>0.9961122</v>
      </c>
      <c r="AB5533">
        <v>27</v>
      </c>
      <c r="AC5533">
        <v>53.295000000000002</v>
      </c>
      <c r="AD5533">
        <v>-1.121639761855</v>
      </c>
      <c r="AE5533">
        <v>-3.9930999999999899</v>
      </c>
      <c r="AF5533">
        <v>4.7316070451579604</v>
      </c>
      <c r="AG5533">
        <v>-1.121639761855</v>
      </c>
      <c r="AH5533">
        <v>53.210894347636902</v>
      </c>
      <c r="AI5533">
        <v>91.202822146128995</v>
      </c>
      <c r="AJ5533">
        <v>84.918522819536406</v>
      </c>
      <c r="AK5533">
        <v>53.432625410516103</v>
      </c>
      <c r="AL5533">
        <v>80.686008394021997</v>
      </c>
      <c r="AM5533">
        <v>91.451596493737597</v>
      </c>
      <c r="AN5533">
        <v>0.99999996264484503</v>
      </c>
    </row>
    <row r="5534" spans="1:40" x14ac:dyDescent="0.25">
      <c r="A5534" t="str">
        <f>"20190303162022895"</f>
        <v>20190303162022895</v>
      </c>
      <c r="B5534" t="str">
        <f>"1551601222888033"</f>
        <v>1551601222888033</v>
      </c>
      <c r="C5534" t="s">
        <v>40</v>
      </c>
      <c r="D5534">
        <v>4.8040149999999997</v>
      </c>
      <c r="E5534">
        <v>0.54334019999999905</v>
      </c>
      <c r="F5534" t="s">
        <v>49</v>
      </c>
      <c r="G5534">
        <v>-197.1164</v>
      </c>
      <c r="H5534" s="1">
        <v>2.9878539999999998E-6</v>
      </c>
      <c r="I5534">
        <v>211.34960000000001</v>
      </c>
      <c r="J5534">
        <v>-248.7878</v>
      </c>
      <c r="K5534">
        <v>1.1216410000000001</v>
      </c>
      <c r="L5534">
        <v>215.2533</v>
      </c>
      <c r="M5534">
        <v>0.99980349999999996</v>
      </c>
      <c r="N5534">
        <v>-1.405349E-2</v>
      </c>
      <c r="O5534">
        <v>1.398284E-2</v>
      </c>
      <c r="P5534">
        <v>0.98826369999999997</v>
      </c>
      <c r="Q5534">
        <v>0.14765420000000001</v>
      </c>
      <c r="R5534">
        <v>3.9154870000000001E-2</v>
      </c>
      <c r="S5534">
        <v>3.0545650000000002</v>
      </c>
      <c r="T5534">
        <v>-6.5975899999999907E-2</v>
      </c>
      <c r="U5534">
        <v>-0.22940060000000001</v>
      </c>
      <c r="V5534">
        <v>-2.5350210000000001E-2</v>
      </c>
      <c r="W5534">
        <v>0.16153190000000001</v>
      </c>
      <c r="X5534">
        <v>0.98654189999999997</v>
      </c>
      <c r="Y5534">
        <v>8.8793170000000005E-2</v>
      </c>
      <c r="Z5534">
        <v>-1.687799E-3</v>
      </c>
      <c r="AA5534">
        <v>0.99604859999999995</v>
      </c>
      <c r="AB5534">
        <v>27</v>
      </c>
      <c r="AC5534">
        <v>51.671399999999998</v>
      </c>
      <c r="AD5534">
        <v>-1.1216380121459999</v>
      </c>
      <c r="AE5534">
        <v>-3.9036999999999802</v>
      </c>
      <c r="AF5534">
        <v>4.6237361985812502</v>
      </c>
      <c r="AG5534">
        <v>-1.1216380121459999</v>
      </c>
      <c r="AH5534">
        <v>51.587587060916199</v>
      </c>
      <c r="AI5534">
        <v>91.240580111942094</v>
      </c>
      <c r="AJ5534">
        <v>84.8783304977527</v>
      </c>
      <c r="AK5534">
        <v>51.806526104651901</v>
      </c>
      <c r="AL5534">
        <v>80.704176144777406</v>
      </c>
      <c r="AM5534">
        <v>91.471950141913197</v>
      </c>
      <c r="AN5534">
        <v>1.0000000541601299</v>
      </c>
    </row>
    <row r="5535" spans="1:40" x14ac:dyDescent="0.25">
      <c r="A5535" t="str">
        <f>"20190303162022918"</f>
        <v>20190303162022918</v>
      </c>
      <c r="B5535" t="str">
        <f>"1551601222907554"</f>
        <v>1551601222907554</v>
      </c>
      <c r="C5535" t="s">
        <v>40</v>
      </c>
      <c r="D5535">
        <v>4.8561050000000003</v>
      </c>
      <c r="E5535">
        <v>0.54307209999999995</v>
      </c>
      <c r="F5535" t="s">
        <v>49</v>
      </c>
      <c r="G5535">
        <v>-198.97669999999999</v>
      </c>
      <c r="H5535" s="1">
        <v>2.643768E-6</v>
      </c>
      <c r="I5535">
        <v>211.51089999999999</v>
      </c>
      <c r="J5535">
        <v>-248.51499999999999</v>
      </c>
      <c r="K5535">
        <v>1.1216349999999999</v>
      </c>
      <c r="L5535">
        <v>215.25720000000001</v>
      </c>
      <c r="M5535">
        <v>0.99980239999999998</v>
      </c>
      <c r="N5535">
        <v>-1.405056E-2</v>
      </c>
      <c r="O5535">
        <v>1.4067909999999999E-2</v>
      </c>
      <c r="P5535">
        <v>0.98822960000000004</v>
      </c>
      <c r="Q5535">
        <v>0.14783740000000001</v>
      </c>
      <c r="R5535">
        <v>3.9326939999999998E-2</v>
      </c>
      <c r="S5535">
        <v>3.0549930000000001</v>
      </c>
      <c r="T5535">
        <v>-6.8791749999999999E-2</v>
      </c>
      <c r="U5535">
        <v>-0.2295227</v>
      </c>
      <c r="V5535">
        <v>-2.5438840000000001E-2</v>
      </c>
      <c r="W5535">
        <v>0.16171160000000001</v>
      </c>
      <c r="X5535">
        <v>0.98651009999999995</v>
      </c>
      <c r="Y5535">
        <v>8.8904579999999997E-2</v>
      </c>
      <c r="Z5535">
        <v>-1.744015E-3</v>
      </c>
      <c r="AA5535">
        <v>0.9960386</v>
      </c>
      <c r="AB5535">
        <v>27</v>
      </c>
      <c r="AC5535">
        <v>49.5382999999999</v>
      </c>
      <c r="AD5535">
        <v>-1.1216323562320001</v>
      </c>
      <c r="AE5535">
        <v>-3.74630000000001</v>
      </c>
      <c r="AF5535">
        <v>4.4406347551781398</v>
      </c>
      <c r="AG5535">
        <v>-1.1216323562320001</v>
      </c>
      <c r="AH5535">
        <v>49.455479957024203</v>
      </c>
      <c r="AI5535">
        <v>91.294020613172194</v>
      </c>
      <c r="AJ5535">
        <v>84.869139831014493</v>
      </c>
      <c r="AK5535">
        <v>49.667109780528499</v>
      </c>
      <c r="AL5535">
        <v>80.693742199402394</v>
      </c>
      <c r="AM5535">
        <v>91.477141725475704</v>
      </c>
      <c r="AN5535">
        <v>0.99999997677855701</v>
      </c>
    </row>
    <row r="5536" spans="1:40" x14ac:dyDescent="0.25">
      <c r="A5536" t="str">
        <f>"20190303162022941"</f>
        <v>20190303162022941</v>
      </c>
      <c r="B5536" t="str">
        <f>"1551601222928050"</f>
        <v>1551601222928050</v>
      </c>
      <c r="C5536" t="s">
        <v>40</v>
      </c>
      <c r="D5536">
        <v>4.927924</v>
      </c>
      <c r="E5536">
        <v>0.54284790000000005</v>
      </c>
      <c r="F5536" t="s">
        <v>42</v>
      </c>
      <c r="G5536">
        <v>-247.70089999999999</v>
      </c>
      <c r="H5536">
        <v>1.0364580000000001</v>
      </c>
      <c r="I5536">
        <v>215.19730000000001</v>
      </c>
      <c r="J5536">
        <v>-248.2312</v>
      </c>
      <c r="K5536">
        <v>1.1216440000000001</v>
      </c>
      <c r="L5536">
        <v>215.26130000000001</v>
      </c>
      <c r="M5536">
        <v>0.99980119999999895</v>
      </c>
      <c r="N5536">
        <v>-1.40476E-2</v>
      </c>
      <c r="O5536">
        <v>1.4156439999999999E-2</v>
      </c>
      <c r="P5536">
        <v>0.98817600000000005</v>
      </c>
      <c r="Q5536">
        <v>0.1481576</v>
      </c>
      <c r="R5536">
        <v>3.9467910000000002E-2</v>
      </c>
      <c r="S5536">
        <v>3.0932010000000001</v>
      </c>
      <c r="T5536">
        <v>-0.32366549999999999</v>
      </c>
      <c r="U5536">
        <v>-0.22731019999999999</v>
      </c>
      <c r="V5536">
        <v>-2.5493470000000001E-2</v>
      </c>
      <c r="W5536">
        <v>0.1620279</v>
      </c>
      <c r="X5536">
        <v>0.98645680000000002</v>
      </c>
      <c r="Y5536">
        <v>8.6808759999999999E-2</v>
      </c>
      <c r="Z5536">
        <v>-6.4131020000000004E-3</v>
      </c>
      <c r="AA5536">
        <v>0.99620439999999999</v>
      </c>
      <c r="AB5536">
        <v>27</v>
      </c>
      <c r="AC5536">
        <v>0.53030000000001098</v>
      </c>
      <c r="AD5536">
        <v>-8.5185999999999901E-2</v>
      </c>
      <c r="AE5536">
        <v>-6.3999999999992896E-2</v>
      </c>
      <c r="AF5536">
        <v>6.9728028912099699E-2</v>
      </c>
      <c r="AG5536">
        <v>-8.5185999999999901E-2</v>
      </c>
      <c r="AH5536">
        <v>0.51621146890754699</v>
      </c>
      <c r="AI5536">
        <v>99.287727450792005</v>
      </c>
      <c r="AJ5536">
        <v>82.307248642251906</v>
      </c>
      <c r="AK5536">
        <v>0.52781903455981405</v>
      </c>
      <c r="AL5536">
        <v>80.675377454583796</v>
      </c>
      <c r="AM5536">
        <v>91.480392430974305</v>
      </c>
      <c r="AN5536">
        <v>0.99999998782864497</v>
      </c>
    </row>
    <row r="5537" spans="1:40" x14ac:dyDescent="0.25">
      <c r="A5537" t="str">
        <f>"20190303162022964"</f>
        <v>20190303162022964</v>
      </c>
      <c r="B5537" t="str">
        <f>"1551601222958308"</f>
        <v>1551601222958308</v>
      </c>
      <c r="C5537" t="s">
        <v>40</v>
      </c>
      <c r="D5537">
        <v>4.8748800000000001</v>
      </c>
      <c r="E5537">
        <v>0.53582359999999996</v>
      </c>
      <c r="F5537" t="s">
        <v>42</v>
      </c>
      <c r="G5537">
        <v>-247.4676</v>
      </c>
      <c r="H5537">
        <v>1.0151110000000001</v>
      </c>
      <c r="I5537">
        <v>215.20570000000001</v>
      </c>
      <c r="J5537">
        <v>-247.9555</v>
      </c>
      <c r="K5537">
        <v>1.121648</v>
      </c>
      <c r="L5537">
        <v>215.2653</v>
      </c>
      <c r="M5537">
        <v>0.99980000000000002</v>
      </c>
      <c r="N5537">
        <v>-1.4044650000000001E-2</v>
      </c>
      <c r="O5537">
        <v>1.4242640000000001E-2</v>
      </c>
      <c r="P5537">
        <v>0.98809689999999994</v>
      </c>
      <c r="Q5537">
        <v>0.14875139999999901</v>
      </c>
      <c r="R5537">
        <v>3.921206E-2</v>
      </c>
      <c r="S5537">
        <v>3.109985</v>
      </c>
      <c r="T5537">
        <v>-0.43403079999999999</v>
      </c>
      <c r="U5537">
        <v>-0.2254333</v>
      </c>
      <c r="V5537">
        <v>-2.5152790000000001E-2</v>
      </c>
      <c r="W5537">
        <v>0.1626174</v>
      </c>
      <c r="X5537">
        <v>0.98636849999999998</v>
      </c>
      <c r="Y5537">
        <v>8.5477189999999995E-2</v>
      </c>
      <c r="Z5537">
        <v>-8.3092989999999992E-3</v>
      </c>
      <c r="AA5537">
        <v>0.99630549999999996</v>
      </c>
      <c r="AB5537">
        <v>27</v>
      </c>
      <c r="AC5537">
        <v>0.487899999999996</v>
      </c>
      <c r="AD5537">
        <v>-0.10653699999999899</v>
      </c>
      <c r="AE5537">
        <v>-5.9599999999989002E-2</v>
      </c>
      <c r="AF5537">
        <v>6.3557724891821099E-2</v>
      </c>
      <c r="AG5537">
        <v>-0.10653699999999899</v>
      </c>
      <c r="AH5537">
        <v>0.46514917294979902</v>
      </c>
      <c r="AI5537">
        <v>102.785577155642</v>
      </c>
      <c r="AJ5537">
        <v>82.219320363864199</v>
      </c>
      <c r="AK5537">
        <v>0.481407799955824</v>
      </c>
      <c r="AL5537">
        <v>80.641147266583801</v>
      </c>
      <c r="AM5537">
        <v>91.460748648248696</v>
      </c>
      <c r="AN5537">
        <v>0.99999994970989503</v>
      </c>
    </row>
    <row r="5538" spans="1:40" x14ac:dyDescent="0.25">
      <c r="A5538" t="str">
        <f>"20190303162022985"</f>
        <v>20190303162022985</v>
      </c>
      <c r="B5538" t="str">
        <f>"1551601222977826"</f>
        <v>1551601222977826</v>
      </c>
      <c r="C5538" t="s">
        <v>40</v>
      </c>
      <c r="D5538">
        <v>4.9344340000000004</v>
      </c>
      <c r="E5538">
        <v>0.53585280000000002</v>
      </c>
      <c r="F5538" t="s">
        <v>42</v>
      </c>
      <c r="G5538">
        <v>-247.27430000000001</v>
      </c>
      <c r="H5538">
        <v>0.91153300000000004</v>
      </c>
      <c r="I5538">
        <v>215.2287</v>
      </c>
      <c r="J5538">
        <v>-247.69309999999999</v>
      </c>
      <c r="K5538">
        <v>1.121653</v>
      </c>
      <c r="L5538">
        <v>215.26910000000001</v>
      </c>
      <c r="M5538">
        <v>0.99979899999999999</v>
      </c>
      <c r="N5538">
        <v>-1.404183E-2</v>
      </c>
      <c r="O5538">
        <v>1.43242E-2</v>
      </c>
      <c r="P5538">
        <v>0.98810010000000004</v>
      </c>
      <c r="Q5538">
        <v>0.1487473</v>
      </c>
      <c r="R5538">
        <v>3.9149370000000003E-2</v>
      </c>
      <c r="S5538">
        <v>3.1911160000000001</v>
      </c>
      <c r="T5538">
        <v>-0.9842012</v>
      </c>
      <c r="U5538">
        <v>-0.171402</v>
      </c>
      <c r="V5538">
        <v>-2.500937E-2</v>
      </c>
      <c r="W5538">
        <v>0.1626108</v>
      </c>
      <c r="X5538">
        <v>0.98637330000000001</v>
      </c>
      <c r="Y5538">
        <v>6.4210500000000004E-2</v>
      </c>
      <c r="Z5538">
        <v>-1.425059E-2</v>
      </c>
      <c r="AA5538">
        <v>0.99783460000000002</v>
      </c>
      <c r="AB5538">
        <v>27</v>
      </c>
      <c r="AC5538">
        <v>0.41879999999997602</v>
      </c>
      <c r="AD5538">
        <v>-0.21012</v>
      </c>
      <c r="AE5538">
        <v>-4.04000000000053E-2</v>
      </c>
      <c r="AF5538">
        <v>3.7134121467739499E-2</v>
      </c>
      <c r="AG5538">
        <v>-0.21012</v>
      </c>
      <c r="AH5538">
        <v>0.33470292544143898</v>
      </c>
      <c r="AI5538">
        <v>121.962191219367</v>
      </c>
      <c r="AJ5538">
        <v>83.669124359164698</v>
      </c>
      <c r="AK5538">
        <v>0.396932495112504</v>
      </c>
      <c r="AL5538">
        <v>80.641531126150497</v>
      </c>
      <c r="AM5538">
        <v>91.452416042689705</v>
      </c>
      <c r="AN5538">
        <v>1.00000001390866</v>
      </c>
    </row>
    <row r="5539" spans="1:40" x14ac:dyDescent="0.25">
      <c r="A5539" t="str">
        <f>"20190303162023008"</f>
        <v>20190303162023008</v>
      </c>
      <c r="B5539" t="str">
        <f>"1551601222998322"</f>
        <v>1551601222998322</v>
      </c>
      <c r="C5539" t="s">
        <v>40</v>
      </c>
      <c r="D5539">
        <v>4.9394330000000002</v>
      </c>
      <c r="E5539">
        <v>0.53623240000000005</v>
      </c>
      <c r="F5539" t="s">
        <v>42</v>
      </c>
      <c r="G5539">
        <v>-246.8142</v>
      </c>
      <c r="H5539">
        <v>0.84879419999999905</v>
      </c>
      <c r="I5539">
        <v>215.2216</v>
      </c>
      <c r="J5539">
        <v>-247.4237</v>
      </c>
      <c r="K5539">
        <v>1.1216539999999999</v>
      </c>
      <c r="L5539">
        <v>215.273</v>
      </c>
      <c r="M5539">
        <v>0.99979770000000001</v>
      </c>
      <c r="N5539">
        <v>-1.4039039999999999E-2</v>
      </c>
      <c r="O5539">
        <v>1.440838E-2</v>
      </c>
      <c r="P5539">
        <v>0.98793169999999997</v>
      </c>
      <c r="Q5539">
        <v>0.1499077</v>
      </c>
      <c r="R5539">
        <v>3.8969520000000001E-2</v>
      </c>
      <c r="S5539">
        <v>3.1921390000000001</v>
      </c>
      <c r="T5539">
        <v>-0.99097840000000004</v>
      </c>
      <c r="U5539">
        <v>-0.17221069999999999</v>
      </c>
      <c r="V5539">
        <v>-2.4749179999999999E-2</v>
      </c>
      <c r="W5539">
        <v>0.1637662</v>
      </c>
      <c r="X5539">
        <v>0.98618870000000003</v>
      </c>
      <c r="Y5539">
        <v>6.4465899999999896E-2</v>
      </c>
      <c r="Z5539">
        <v>-1.4403239999999999E-2</v>
      </c>
      <c r="AA5539">
        <v>0.99781600000000004</v>
      </c>
      <c r="AB5539">
        <v>27</v>
      </c>
      <c r="AC5539">
        <v>0.60949999999999704</v>
      </c>
      <c r="AD5539">
        <v>-0.27285979999999999</v>
      </c>
      <c r="AE5539">
        <v>-5.1400000000000903E-2</v>
      </c>
      <c r="AF5539">
        <v>5.0189670001707501E-2</v>
      </c>
      <c r="AG5539">
        <v>-0.27285979999999999</v>
      </c>
      <c r="AH5539">
        <v>0.50766958801783502</v>
      </c>
      <c r="AI5539">
        <v>118.140886028452</v>
      </c>
      <c r="AJ5539">
        <v>84.353922049160701</v>
      </c>
      <c r="AK5539">
        <v>0.578532526336349</v>
      </c>
      <c r="AL5539">
        <v>80.574432179223706</v>
      </c>
      <c r="AM5539">
        <v>91.437580843474905</v>
      </c>
      <c r="AN5539">
        <v>1.0000000210904001</v>
      </c>
    </row>
    <row r="5540" spans="1:40" x14ac:dyDescent="0.25">
      <c r="A5540" t="str">
        <f>"20190303162023030"</f>
        <v>20190303162023030</v>
      </c>
      <c r="B5540" t="str">
        <f>"1551601223017842"</f>
        <v>1551601223017842</v>
      </c>
      <c r="C5540" t="s">
        <v>40</v>
      </c>
      <c r="D5540">
        <v>4.9700689999999996</v>
      </c>
      <c r="E5540">
        <v>0.53629069999999901</v>
      </c>
      <c r="F5540" t="s">
        <v>42</v>
      </c>
      <c r="G5540">
        <v>-246.56739999999999</v>
      </c>
      <c r="H5540">
        <v>0.8587785</v>
      </c>
      <c r="I5540">
        <v>215.22550000000001</v>
      </c>
      <c r="J5540">
        <v>-247.14779999999999</v>
      </c>
      <c r="K5540">
        <v>1.121658</v>
      </c>
      <c r="L5540">
        <v>215.27709999999999</v>
      </c>
      <c r="M5540">
        <v>0.99979660000000004</v>
      </c>
      <c r="N5540">
        <v>-1.4036150000000001E-2</v>
      </c>
      <c r="O5540">
        <v>1.449428E-2</v>
      </c>
      <c r="P5540">
        <v>0.98785080000000003</v>
      </c>
      <c r="Q5540">
        <v>0.1504655</v>
      </c>
      <c r="R5540">
        <v>3.8875050000000001E-2</v>
      </c>
      <c r="S5540">
        <v>3.192291</v>
      </c>
      <c r="T5540">
        <v>-0.98001360000000004</v>
      </c>
      <c r="U5540">
        <v>-0.17640690000000001</v>
      </c>
      <c r="V5540">
        <v>-2.4571019999999999E-2</v>
      </c>
      <c r="W5540">
        <v>0.1643194</v>
      </c>
      <c r="X5540">
        <v>0.98610109999999995</v>
      </c>
      <c r="Y5540">
        <v>6.5867010000000004E-2</v>
      </c>
      <c r="Z5540">
        <v>-1.4497009999999999E-2</v>
      </c>
      <c r="AA5540">
        <v>0.99772309999999997</v>
      </c>
      <c r="AB5540">
        <v>27</v>
      </c>
      <c r="AC5540">
        <v>0.58039999999999703</v>
      </c>
      <c r="AD5540">
        <v>-0.26287949999999999</v>
      </c>
      <c r="AE5540">
        <v>-5.1599999999979197E-2</v>
      </c>
      <c r="AF5540">
        <v>4.9859685906847202E-2</v>
      </c>
      <c r="AG5540">
        <v>-0.26287949999999999</v>
      </c>
      <c r="AH5540">
        <v>0.48157382549995498</v>
      </c>
      <c r="AI5540">
        <v>118.500781903152</v>
      </c>
      <c r="AJ5540">
        <v>84.088949691509796</v>
      </c>
      <c r="AK5540">
        <v>0.55091285082637198</v>
      </c>
      <c r="AL5540">
        <v>80.542300580288298</v>
      </c>
      <c r="AM5540">
        <v>91.427363273485398</v>
      </c>
      <c r="AN5540">
        <v>0.99999998983070504</v>
      </c>
    </row>
    <row r="5541" spans="1:40" x14ac:dyDescent="0.25">
      <c r="A5541" t="str">
        <f>"20190303162023053"</f>
        <v>20190303162023053</v>
      </c>
      <c r="B5541" t="str">
        <f>"1551601223048098"</f>
        <v>1551601223048098</v>
      </c>
      <c r="C5541" t="s">
        <v>40</v>
      </c>
      <c r="D5541">
        <v>4.9625640000000004</v>
      </c>
      <c r="E5541">
        <v>0.537502699999999</v>
      </c>
      <c r="F5541" t="s">
        <v>42</v>
      </c>
      <c r="G5541">
        <v>-246.32069999999999</v>
      </c>
      <c r="H5541">
        <v>0.86943579999999998</v>
      </c>
      <c r="I5541">
        <v>215.23159999999999</v>
      </c>
      <c r="J5541">
        <v>-246.8732</v>
      </c>
      <c r="K5541">
        <v>1.1216569999999999</v>
      </c>
      <c r="L5541">
        <v>215.28120000000001</v>
      </c>
      <c r="M5541">
        <v>0.99979530000000005</v>
      </c>
      <c r="N5541">
        <v>-1.403331E-2</v>
      </c>
      <c r="O5541">
        <v>1.457983E-2</v>
      </c>
      <c r="P5541">
        <v>0.98786810000000003</v>
      </c>
      <c r="Q5541">
        <v>0.1505145</v>
      </c>
      <c r="R5541">
        <v>3.8238479999999998E-2</v>
      </c>
      <c r="S5541">
        <v>3.1920470000000001</v>
      </c>
      <c r="T5541">
        <v>-0.97347609999999996</v>
      </c>
      <c r="U5541">
        <v>-0.17495729999999901</v>
      </c>
      <c r="V5541">
        <v>-2.3849990000000001E-2</v>
      </c>
      <c r="W5541">
        <v>0.1643664</v>
      </c>
      <c r="X5541">
        <v>0.98611099999999996</v>
      </c>
      <c r="Y5541">
        <v>6.5563739999999995E-2</v>
      </c>
      <c r="Z5541">
        <v>-1.438416E-2</v>
      </c>
      <c r="AA5541">
        <v>0.99774470000000004</v>
      </c>
      <c r="AB5541">
        <v>27</v>
      </c>
      <c r="AC5541">
        <v>0.55250000000000898</v>
      </c>
      <c r="AD5541">
        <v>-0.25222119999999898</v>
      </c>
      <c r="AE5541">
        <v>-4.9600000000026498E-2</v>
      </c>
      <c r="AF5541">
        <v>4.7774291444576102E-2</v>
      </c>
      <c r="AG5541">
        <v>-0.25222119999999898</v>
      </c>
      <c r="AH5541">
        <v>0.457199265837124</v>
      </c>
      <c r="AI5541">
        <v>118.75262807857899</v>
      </c>
      <c r="AJ5541">
        <v>84.034619853726198</v>
      </c>
      <c r="AK5541">
        <v>0.52433680524494597</v>
      </c>
      <c r="AL5541">
        <v>80.539570846312699</v>
      </c>
      <c r="AM5541">
        <v>91.385480349306704</v>
      </c>
      <c r="AN5541">
        <v>1.00000001989648</v>
      </c>
    </row>
    <row r="5542" spans="1:40" x14ac:dyDescent="0.25">
      <c r="A5542" t="str">
        <f>"20190303162023075"</f>
        <v>20190303162023075</v>
      </c>
      <c r="B5542" t="str">
        <f>"1551601223068594"</f>
        <v>1551601223068594</v>
      </c>
      <c r="C5542" t="s">
        <v>40</v>
      </c>
      <c r="D5542">
        <v>4.9768559999999997</v>
      </c>
      <c r="E5542">
        <v>0.53825009999999995</v>
      </c>
      <c r="F5542" t="s">
        <v>42</v>
      </c>
      <c r="G5542">
        <v>-246.07390000000001</v>
      </c>
      <c r="H5542">
        <v>0.88092219999999999</v>
      </c>
      <c r="I5542">
        <v>215.23439999999999</v>
      </c>
      <c r="J5542">
        <v>-246.60489999999999</v>
      </c>
      <c r="K5542">
        <v>1.121659</v>
      </c>
      <c r="L5542">
        <v>215.2852</v>
      </c>
      <c r="M5542">
        <v>0.99979410000000002</v>
      </c>
      <c r="N5542">
        <v>-1.4030539999999999E-2</v>
      </c>
      <c r="O5542">
        <v>1.466335E-2</v>
      </c>
      <c r="P5542">
        <v>0.98791379999999995</v>
      </c>
      <c r="Q5542">
        <v>0.1502357</v>
      </c>
      <c r="R5542">
        <v>3.815143E-2</v>
      </c>
      <c r="S5542">
        <v>3.1904599999999999</v>
      </c>
      <c r="T5542">
        <v>-0.96092299999999997</v>
      </c>
      <c r="U5542">
        <v>-0.1862335</v>
      </c>
      <c r="V5542">
        <v>-2.3679479999999999E-2</v>
      </c>
      <c r="W5542">
        <v>0.1640856</v>
      </c>
      <c r="X5542">
        <v>0.98616179999999998</v>
      </c>
      <c r="Y5542">
        <v>6.911059E-2</v>
      </c>
      <c r="Z5542">
        <v>-1.4785970000000001E-2</v>
      </c>
      <c r="AA5542">
        <v>0.99749940000000004</v>
      </c>
      <c r="AB5542">
        <v>27</v>
      </c>
      <c r="AC5542">
        <v>0.53099999999997705</v>
      </c>
      <c r="AD5542">
        <v>-0.2407368</v>
      </c>
      <c r="AE5542">
        <v>-5.0800000000009497E-2</v>
      </c>
      <c r="AF5542">
        <v>4.8668876544567398E-2</v>
      </c>
      <c r="AG5542">
        <v>-0.2407368</v>
      </c>
      <c r="AH5542">
        <v>0.44048238643013798</v>
      </c>
      <c r="AI5542">
        <v>118.51187657238199</v>
      </c>
      <c r="AJ5542">
        <v>83.6949665729842</v>
      </c>
      <c r="AK5542">
        <v>0.50432886014339895</v>
      </c>
      <c r="AL5542">
        <v>80.555880270210295</v>
      </c>
      <c r="AM5542">
        <v>91.375508163990801</v>
      </c>
      <c r="AN5542">
        <v>0.99999994883983401</v>
      </c>
    </row>
    <row r="5543" spans="1:40" x14ac:dyDescent="0.25">
      <c r="A5543" t="str">
        <f>"20190303162023096"</f>
        <v>20190303162023096</v>
      </c>
      <c r="B5543" t="str">
        <f>"1551601223088114"</f>
        <v>1551601223088114</v>
      </c>
      <c r="C5543" t="s">
        <v>40</v>
      </c>
      <c r="D5543">
        <v>5.0322480000000001</v>
      </c>
      <c r="E5543">
        <v>0.53852279999999997</v>
      </c>
      <c r="F5543" t="s">
        <v>42</v>
      </c>
      <c r="G5543">
        <v>-245.8287</v>
      </c>
      <c r="H5543">
        <v>0.8891251</v>
      </c>
      <c r="I5543">
        <v>215.23820000000001</v>
      </c>
      <c r="J5543">
        <v>-246.34219999999999</v>
      </c>
      <c r="K5543">
        <v>1.121656</v>
      </c>
      <c r="L5543">
        <v>215.28909999999999</v>
      </c>
      <c r="M5543">
        <v>0.99979309999999999</v>
      </c>
      <c r="N5543">
        <v>-1.402782E-2</v>
      </c>
      <c r="O5543">
        <v>1.4745019999999999E-2</v>
      </c>
      <c r="P5543">
        <v>0.98795489999999997</v>
      </c>
      <c r="Q5543">
        <v>0.14999970000000001</v>
      </c>
      <c r="R5543">
        <v>3.8022090000000001E-2</v>
      </c>
      <c r="S5543">
        <v>3.1894529999999999</v>
      </c>
      <c r="T5543">
        <v>-0.95551129999999995</v>
      </c>
      <c r="U5543">
        <v>-0.19277949999999999</v>
      </c>
      <c r="V5543">
        <v>-2.3468820000000001E-2</v>
      </c>
      <c r="W5543">
        <v>0.1638471</v>
      </c>
      <c r="X5543">
        <v>0.98620649999999999</v>
      </c>
      <c r="Y5543">
        <v>7.1191039999999997E-2</v>
      </c>
      <c r="Z5543">
        <v>-1.505359E-2</v>
      </c>
      <c r="AA5543">
        <v>0.99734909999999999</v>
      </c>
      <c r="AB5543">
        <v>27</v>
      </c>
      <c r="AC5543">
        <v>0.51349999999999296</v>
      </c>
      <c r="AD5543">
        <v>-0.23253090000000001</v>
      </c>
      <c r="AE5543">
        <v>-5.0899999999984402E-2</v>
      </c>
      <c r="AF5543">
        <v>4.8598204067823898E-2</v>
      </c>
      <c r="AG5543">
        <v>-0.23253090000000001</v>
      </c>
      <c r="AH5543">
        <v>0.42615632617274901</v>
      </c>
      <c r="AI5543">
        <v>118.463590430324</v>
      </c>
      <c r="AJ5543">
        <v>83.494183558037804</v>
      </c>
      <c r="AK5543">
        <v>0.48789509039391099</v>
      </c>
      <c r="AL5543">
        <v>80.569732893660401</v>
      </c>
      <c r="AM5543">
        <v>91.363214087948904</v>
      </c>
      <c r="AN5543">
        <v>0.99999995916642503</v>
      </c>
    </row>
    <row r="5544" spans="1:40" x14ac:dyDescent="0.25">
      <c r="A5544" t="str">
        <f>"20190303162023120"</f>
        <v>20190303162023120</v>
      </c>
      <c r="B5544" t="str">
        <f>"1551601223108610"</f>
        <v>1551601223108610</v>
      </c>
      <c r="C5544" t="s">
        <v>40</v>
      </c>
      <c r="D5544">
        <v>4.9890739999999996</v>
      </c>
      <c r="E5544">
        <v>0.54035540000000004</v>
      </c>
      <c r="F5544" t="s">
        <v>42</v>
      </c>
      <c r="G5544">
        <v>-245.5848</v>
      </c>
      <c r="H5544">
        <v>0.89433280000000004</v>
      </c>
      <c r="I5544">
        <v>215.24250000000001</v>
      </c>
      <c r="J5544">
        <v>-246.0598</v>
      </c>
      <c r="K5544">
        <v>1.1216539999999999</v>
      </c>
      <c r="L5544">
        <v>215.29339999999999</v>
      </c>
      <c r="M5544">
        <v>0.99979169999999995</v>
      </c>
      <c r="N5544">
        <v>-1.402483E-2</v>
      </c>
      <c r="O5544">
        <v>1.483337E-2</v>
      </c>
      <c r="P5544">
        <v>0.98804630000000004</v>
      </c>
      <c r="Q5544">
        <v>0.1494646</v>
      </c>
      <c r="R5544">
        <v>3.775046E-2</v>
      </c>
      <c r="S5544">
        <v>3.189438</v>
      </c>
      <c r="T5544">
        <v>-0.95727130000000005</v>
      </c>
      <c r="U5544">
        <v>-0.19549559999999999</v>
      </c>
      <c r="V5544">
        <v>-2.3107860000000001E-2</v>
      </c>
      <c r="W5544">
        <v>0.16331089999999901</v>
      </c>
      <c r="X5544">
        <v>0.98630399999999996</v>
      </c>
      <c r="Y5544">
        <v>7.2068119999999999E-2</v>
      </c>
      <c r="Z5544">
        <v>-1.5239000000000001E-2</v>
      </c>
      <c r="AA5544">
        <v>0.99728329999999998</v>
      </c>
      <c r="AB5544">
        <v>27</v>
      </c>
      <c r="AC5544">
        <v>0.47499999999999398</v>
      </c>
      <c r="AD5544">
        <v>-0.2273212</v>
      </c>
      <c r="AE5544">
        <v>-5.0899999999984402E-2</v>
      </c>
      <c r="AF5544">
        <v>4.72435748341253E-2</v>
      </c>
      <c r="AG5544">
        <v>-0.2273212</v>
      </c>
      <c r="AH5544">
        <v>0.386644651387129</v>
      </c>
      <c r="AI5544">
        <v>120.267525065079</v>
      </c>
      <c r="AJ5544">
        <v>83.033640421178106</v>
      </c>
      <c r="AK5544">
        <v>0.450999966495367</v>
      </c>
      <c r="AL5544">
        <v>80.600874765152994</v>
      </c>
      <c r="AM5544">
        <v>91.342122392300595</v>
      </c>
      <c r="AN5544">
        <v>1.0000000018342901</v>
      </c>
    </row>
    <row r="5545" spans="1:40" x14ac:dyDescent="0.25">
      <c r="A5545" t="str">
        <f>"20190303162023141"</f>
        <v>20190303162023141</v>
      </c>
      <c r="B5545" t="str">
        <f>"1551601223137890"</f>
        <v>1551601223137890</v>
      </c>
      <c r="C5545" t="s">
        <v>40</v>
      </c>
      <c r="D5545">
        <v>4.9730919999999896</v>
      </c>
      <c r="E5545">
        <v>0.54089619999999905</v>
      </c>
      <c r="F5545" t="s">
        <v>42</v>
      </c>
      <c r="G5545">
        <v>-245.34639999999999</v>
      </c>
      <c r="H5545">
        <v>0.8876714</v>
      </c>
      <c r="I5545">
        <v>215.24619999999999</v>
      </c>
      <c r="J5545">
        <v>-245.7979</v>
      </c>
      <c r="K5545">
        <v>1.1216459999999999</v>
      </c>
      <c r="L5545">
        <v>215.29740000000001</v>
      </c>
      <c r="M5545">
        <v>0.99979039999999997</v>
      </c>
      <c r="N5545">
        <v>-1.4022099999999999E-2</v>
      </c>
      <c r="O5545">
        <v>1.491552E-2</v>
      </c>
      <c r="P5545">
        <v>0.98809610000000003</v>
      </c>
      <c r="Q5545">
        <v>0.1493236</v>
      </c>
      <c r="R5545">
        <v>3.6996059999999997E-2</v>
      </c>
      <c r="S5545">
        <v>3.2032780000000001</v>
      </c>
      <c r="T5545">
        <v>-1.050575</v>
      </c>
      <c r="U5545">
        <v>-0.21139530000000001</v>
      </c>
      <c r="V5545">
        <v>-2.227171E-2</v>
      </c>
      <c r="W5545">
        <v>0.1631678</v>
      </c>
      <c r="X5545">
        <v>0.98634690000000003</v>
      </c>
      <c r="Y5545">
        <v>7.5874540000000004E-2</v>
      </c>
      <c r="Z5545">
        <v>-1.7217759999999999E-2</v>
      </c>
      <c r="AA5545">
        <v>0.99696870000000004</v>
      </c>
      <c r="AB5545">
        <v>27</v>
      </c>
      <c r="AC5545">
        <v>0.45150000000001</v>
      </c>
      <c r="AD5545">
        <v>-0.23397459999999901</v>
      </c>
      <c r="AE5545">
        <v>-5.12000000000227E-2</v>
      </c>
      <c r="AF5545">
        <v>4.5788919828235498E-2</v>
      </c>
      <c r="AG5545">
        <v>-0.23397459999999901</v>
      </c>
      <c r="AH5545">
        <v>0.35623454140887401</v>
      </c>
      <c r="AI5545">
        <v>123.081829192407</v>
      </c>
      <c r="AJ5545">
        <v>82.675597079525602</v>
      </c>
      <c r="AK5545">
        <v>0.42865345807188698</v>
      </c>
      <c r="AL5545">
        <v>80.6091850911411</v>
      </c>
      <c r="AM5545">
        <v>91.293518720697094</v>
      </c>
      <c r="AN5545">
        <v>0.99999998358138698</v>
      </c>
    </row>
    <row r="5546" spans="1:40" x14ac:dyDescent="0.25">
      <c r="A5546" t="str">
        <f>"20190303162023165"</f>
        <v>20190303162023165</v>
      </c>
      <c r="B5546" t="str">
        <f>"1551601223158386"</f>
        <v>1551601223158386</v>
      </c>
      <c r="C5546" t="s">
        <v>40</v>
      </c>
      <c r="D5546">
        <v>5.0062989999999896</v>
      </c>
      <c r="E5546">
        <v>0.5409294</v>
      </c>
      <c r="F5546" t="s">
        <v>42</v>
      </c>
      <c r="G5546">
        <v>-245.10220000000001</v>
      </c>
      <c r="H5546">
        <v>0.89484300000000006</v>
      </c>
      <c r="I5546">
        <v>215.2501</v>
      </c>
      <c r="J5546">
        <v>-245.5231</v>
      </c>
      <c r="K5546">
        <v>1.1216469999999901</v>
      </c>
      <c r="L5546">
        <v>215.30160000000001</v>
      </c>
      <c r="M5546">
        <v>0.99978929999999999</v>
      </c>
      <c r="N5546">
        <v>-1.401925E-2</v>
      </c>
      <c r="O5546">
        <v>1.500172E-2</v>
      </c>
      <c r="P5546">
        <v>0.98814170000000001</v>
      </c>
      <c r="Q5546">
        <v>0.14921589999999901</v>
      </c>
      <c r="R5546">
        <v>3.6205800000000003E-2</v>
      </c>
      <c r="S5546">
        <v>3.2019959999999998</v>
      </c>
      <c r="T5546">
        <v>-1.0439050000000001</v>
      </c>
      <c r="U5546">
        <v>-0.2166901</v>
      </c>
      <c r="V5546">
        <v>-2.1395879999999999E-2</v>
      </c>
      <c r="W5546">
        <v>0.1630578</v>
      </c>
      <c r="X5546">
        <v>0.9863845</v>
      </c>
      <c r="Y5546">
        <v>7.7587589999999998E-2</v>
      </c>
      <c r="Z5546">
        <v>-1.743161E-2</v>
      </c>
      <c r="AA5546">
        <v>0.99683310000000003</v>
      </c>
      <c r="AB5546">
        <v>27</v>
      </c>
      <c r="AC5546">
        <v>0.42089999999998801</v>
      </c>
      <c r="AD5546">
        <v>-0.22680399999999901</v>
      </c>
      <c r="AE5546">
        <v>-5.1500000000004299E-2</v>
      </c>
      <c r="AF5546">
        <v>4.4949752442509899E-2</v>
      </c>
      <c r="AG5546">
        <v>-0.22680399999999901</v>
      </c>
      <c r="AH5546">
        <v>0.32663555574416497</v>
      </c>
      <c r="AI5546">
        <v>124.523350965766</v>
      </c>
      <c r="AJ5546">
        <v>82.164491192540098</v>
      </c>
      <c r="AK5546">
        <v>0.40018910646960698</v>
      </c>
      <c r="AL5546">
        <v>80.615573390632306</v>
      </c>
      <c r="AM5546">
        <v>91.242620309436802</v>
      </c>
      <c r="AN5546">
        <v>1.0000000058310301</v>
      </c>
    </row>
    <row r="5547" spans="1:40" x14ac:dyDescent="0.25">
      <c r="A5547" t="str">
        <f>"20190303162023187"</f>
        <v>20190303162023187</v>
      </c>
      <c r="B5547" t="str">
        <f>"1551601223177906"</f>
        <v>1551601223177906</v>
      </c>
      <c r="C5547" t="s">
        <v>40</v>
      </c>
      <c r="D5547">
        <v>5.0130270000000001</v>
      </c>
      <c r="E5547">
        <v>0.54108049999999996</v>
      </c>
      <c r="F5547" t="s">
        <v>42</v>
      </c>
      <c r="G5547">
        <v>-244.8569</v>
      </c>
      <c r="H5547">
        <v>0.904644</v>
      </c>
      <c r="I5547">
        <v>215.2559</v>
      </c>
      <c r="J5547">
        <v>-245.25550000000001</v>
      </c>
      <c r="K5547">
        <v>1.1216440000000001</v>
      </c>
      <c r="L5547">
        <v>215.3057</v>
      </c>
      <c r="M5547">
        <v>0.99978809999999996</v>
      </c>
      <c r="N5547">
        <v>-1.401644E-2</v>
      </c>
      <c r="O5547">
        <v>1.508571E-2</v>
      </c>
      <c r="P5547">
        <v>0.98825399999999997</v>
      </c>
      <c r="Q5547">
        <v>0.14854679999999901</v>
      </c>
      <c r="R5547">
        <v>3.588732E-2</v>
      </c>
      <c r="S5547">
        <v>3.201508</v>
      </c>
      <c r="T5547">
        <v>-1.042824</v>
      </c>
      <c r="U5547">
        <v>-0.2191467</v>
      </c>
      <c r="V5547">
        <v>-2.0991849999999999E-2</v>
      </c>
      <c r="W5547">
        <v>0.16238729999999901</v>
      </c>
      <c r="X5547">
        <v>0.98650380000000004</v>
      </c>
      <c r="Y5547">
        <v>7.8403669999999995E-2</v>
      </c>
      <c r="Z5547">
        <v>-1.7577559999999999E-2</v>
      </c>
      <c r="AA5547">
        <v>0.99676670000000001</v>
      </c>
      <c r="AB5547">
        <v>27</v>
      </c>
      <c r="AC5547">
        <v>0.398600000000016</v>
      </c>
      <c r="AD5547">
        <v>-0.217</v>
      </c>
      <c r="AE5547">
        <v>-4.9800000000004702E-2</v>
      </c>
      <c r="AF5547">
        <v>4.3201060854215503E-2</v>
      </c>
      <c r="AG5547">
        <v>-0.217</v>
      </c>
      <c r="AH5547">
        <v>0.30793968120383503</v>
      </c>
      <c r="AI5547">
        <v>124.909244939061</v>
      </c>
      <c r="AJ5547">
        <v>82.014056850239498</v>
      </c>
      <c r="AK5547">
        <v>0.37918620612945497</v>
      </c>
      <c r="AL5547">
        <v>80.654509287808906</v>
      </c>
      <c r="AM5547">
        <v>91.219014995484599</v>
      </c>
      <c r="AN5547">
        <v>1.0000000201910699</v>
      </c>
    </row>
    <row r="5548" spans="1:40" x14ac:dyDescent="0.25">
      <c r="A5548" t="str">
        <f>"20190303162023209"</f>
        <v>20190303162023209</v>
      </c>
      <c r="B5548" t="str">
        <f>"1551601223198402"</f>
        <v>1551601223198402</v>
      </c>
      <c r="C5548" t="s">
        <v>40</v>
      </c>
      <c r="D5548">
        <v>4.9850289999999999</v>
      </c>
      <c r="E5548">
        <v>0.54109079999999998</v>
      </c>
      <c r="F5548" t="s">
        <v>42</v>
      </c>
      <c r="G5548">
        <v>-244.40110000000001</v>
      </c>
      <c r="H5548">
        <v>0.84403850000000002</v>
      </c>
      <c r="I5548">
        <v>215.24629999999999</v>
      </c>
      <c r="J5548">
        <v>-244.99440000000001</v>
      </c>
      <c r="K5548">
        <v>1.1216489999999999</v>
      </c>
      <c r="L5548">
        <v>215.30969999999999</v>
      </c>
      <c r="M5548">
        <v>0.99978690000000003</v>
      </c>
      <c r="N5548">
        <v>-1.4013670000000001E-2</v>
      </c>
      <c r="O5548">
        <v>1.516756E-2</v>
      </c>
      <c r="P5548">
        <v>0.98832940000000002</v>
      </c>
      <c r="Q5548">
        <v>0.1479936</v>
      </c>
      <c r="R5548">
        <v>3.6100960000000001E-2</v>
      </c>
      <c r="S5548">
        <v>3.1999659999999999</v>
      </c>
      <c r="T5548">
        <v>-1.039641</v>
      </c>
      <c r="U5548">
        <v>-0.22183230000000001</v>
      </c>
      <c r="V5548">
        <v>-2.1123630000000001E-2</v>
      </c>
      <c r="W5548">
        <v>0.161833</v>
      </c>
      <c r="X5548">
        <v>0.98659209999999997</v>
      </c>
      <c r="Y5548">
        <v>7.9322249999999997E-2</v>
      </c>
      <c r="Z5548">
        <v>-1.7711540000000001E-2</v>
      </c>
      <c r="AA5548">
        <v>0.99669160000000001</v>
      </c>
      <c r="AB5548">
        <v>27</v>
      </c>
      <c r="AC5548">
        <v>0.59329999999999905</v>
      </c>
      <c r="AD5548">
        <v>-0.27761049999999898</v>
      </c>
      <c r="AE5548">
        <v>-6.34000000000014E-2</v>
      </c>
      <c r="AF5548">
        <v>5.9510445982566301E-2</v>
      </c>
      <c r="AG5548">
        <v>-0.27761049999999898</v>
      </c>
      <c r="AH5548">
        <v>0.48687712666121502</v>
      </c>
      <c r="AI5548">
        <v>119.50872560222101</v>
      </c>
      <c r="AJ5548">
        <v>83.031367400075098</v>
      </c>
      <c r="AK5548">
        <v>0.56361194039620499</v>
      </c>
      <c r="AL5548">
        <v>80.686694334141094</v>
      </c>
      <c r="AM5548">
        <v>91.226555490823998</v>
      </c>
      <c r="AN5548">
        <v>1.00000004970789</v>
      </c>
    </row>
    <row r="5549" spans="1:40" x14ac:dyDescent="0.25">
      <c r="A5549" t="str">
        <f>"20190303162023231"</f>
        <v>20190303162023231</v>
      </c>
      <c r="B5549" t="str">
        <f>"1551601223227682"</f>
        <v>1551601223227682</v>
      </c>
      <c r="C5549" t="s">
        <v>40</v>
      </c>
      <c r="D5549">
        <v>5.0152890000000001</v>
      </c>
      <c r="E5549">
        <v>0.54113290000000003</v>
      </c>
      <c r="F5549" t="s">
        <v>42</v>
      </c>
      <c r="G5549">
        <v>-244.15889999999999</v>
      </c>
      <c r="H5549">
        <v>0.84993149999999995</v>
      </c>
      <c r="I5549">
        <v>215.2517</v>
      </c>
      <c r="J5549">
        <v>-244.72710000000001</v>
      </c>
      <c r="K5549">
        <v>1.12165</v>
      </c>
      <c r="L5549">
        <v>215.31389999999999</v>
      </c>
      <c r="M5549">
        <v>0.9997857</v>
      </c>
      <c r="N5549">
        <v>-1.40109E-2</v>
      </c>
      <c r="O5549">
        <v>1.5251020000000001E-2</v>
      </c>
      <c r="P5549">
        <v>0.9883284</v>
      </c>
      <c r="Q5549">
        <v>0.14800959999999999</v>
      </c>
      <c r="R5549">
        <v>3.6059800000000003E-2</v>
      </c>
      <c r="S5549">
        <v>3.1993100000000001</v>
      </c>
      <c r="T5549">
        <v>-1.0404500000000001</v>
      </c>
      <c r="U5549">
        <v>-0.2214661</v>
      </c>
      <c r="V5549">
        <v>-2.1000319999999999E-2</v>
      </c>
      <c r="W5549">
        <v>0.16184570000000001</v>
      </c>
      <c r="X5549">
        <v>0.98659260000000004</v>
      </c>
      <c r="Y5549">
        <v>7.9294149999999994E-2</v>
      </c>
      <c r="Z5549">
        <v>-1.7748420000000001E-2</v>
      </c>
      <c r="AA5549">
        <v>0.9966933</v>
      </c>
      <c r="AB5549">
        <v>27</v>
      </c>
      <c r="AC5549">
        <v>0.56820000000001802</v>
      </c>
      <c r="AD5549">
        <v>-0.27171849999999997</v>
      </c>
      <c r="AE5549">
        <v>-6.2199999999989999E-2</v>
      </c>
      <c r="AF5549">
        <v>5.7798223646371702E-2</v>
      </c>
      <c r="AG5549">
        <v>-0.27171849999999997</v>
      </c>
      <c r="AH5549">
        <v>0.46263966928440298</v>
      </c>
      <c r="AI5549">
        <v>120.23327478749999</v>
      </c>
      <c r="AJ5549">
        <v>82.878853453087103</v>
      </c>
      <c r="AK5549">
        <v>0.53963602686858103</v>
      </c>
      <c r="AL5549">
        <v>80.685956501305796</v>
      </c>
      <c r="AM5549">
        <v>91.2193969765475</v>
      </c>
      <c r="AN5549">
        <v>1.0000000012116701</v>
      </c>
    </row>
    <row r="5550" spans="1:40" x14ac:dyDescent="0.25">
      <c r="A5550" t="str">
        <f>"20190303162023253"</f>
        <v>20190303162023253</v>
      </c>
      <c r="B5550" t="str">
        <f>"1551601223248178"</f>
        <v>1551601223248178</v>
      </c>
      <c r="C5550" t="s">
        <v>40</v>
      </c>
      <c r="D5550">
        <v>5.0479000000000003</v>
      </c>
      <c r="E5550">
        <v>0.54078749999999998</v>
      </c>
      <c r="F5550" t="s">
        <v>42</v>
      </c>
      <c r="G5550">
        <v>-243.91589999999999</v>
      </c>
      <c r="H5550">
        <v>0.85851200000000005</v>
      </c>
      <c r="I5550">
        <v>215.25739999999999</v>
      </c>
      <c r="J5550">
        <v>-244.45920000000001</v>
      </c>
      <c r="K5550">
        <v>1.121651</v>
      </c>
      <c r="L5550">
        <v>215.31800000000001</v>
      </c>
      <c r="M5550">
        <v>0.99978440000000002</v>
      </c>
      <c r="N5550">
        <v>-1.4008110000000001E-2</v>
      </c>
      <c r="O5550">
        <v>1.533466E-2</v>
      </c>
      <c r="P5550">
        <v>0.98826250000000004</v>
      </c>
      <c r="Q5550">
        <v>0.1484936</v>
      </c>
      <c r="R5550">
        <v>3.5877409999999998E-2</v>
      </c>
      <c r="S5550">
        <v>3.1988979999999998</v>
      </c>
      <c r="T5550">
        <v>-1.0375859999999999</v>
      </c>
      <c r="U5550">
        <v>-0.22207640000000001</v>
      </c>
      <c r="V5550">
        <v>-2.0735690000000001E-2</v>
      </c>
      <c r="W5550">
        <v>0.1623262</v>
      </c>
      <c r="X5550">
        <v>0.98651929999999999</v>
      </c>
      <c r="Y5550">
        <v>7.9581600000000002E-2</v>
      </c>
      <c r="Z5550">
        <v>-1.7777500000000002E-2</v>
      </c>
      <c r="AA5550">
        <v>0.99666980000000005</v>
      </c>
      <c r="AB5550">
        <v>27</v>
      </c>
      <c r="AC5550">
        <v>0.54330000000001599</v>
      </c>
      <c r="AD5550">
        <v>-0.26313899999999901</v>
      </c>
      <c r="AE5550">
        <v>-6.0599999999993701E-2</v>
      </c>
      <c r="AF5550">
        <v>5.5959369558932701E-2</v>
      </c>
      <c r="AG5550">
        <v>-0.26313899999999901</v>
      </c>
      <c r="AH5550">
        <v>0.440292176936461</v>
      </c>
      <c r="AI5550">
        <v>120.662727410307</v>
      </c>
      <c r="AJ5550">
        <v>82.756770564362995</v>
      </c>
      <c r="AK5550">
        <v>0.51597556670241795</v>
      </c>
      <c r="AL5550">
        <v>80.658057381702605</v>
      </c>
      <c r="AM5550">
        <v>91.204125054494398</v>
      </c>
      <c r="AN5550">
        <v>1.0000000466593499</v>
      </c>
    </row>
    <row r="5551" spans="1:40" x14ac:dyDescent="0.25">
      <c r="A5551" t="str">
        <f>"20190303162023275"</f>
        <v>20190303162023275</v>
      </c>
      <c r="B5551" t="str">
        <f>"1551601223267699"</f>
        <v>1551601223267699</v>
      </c>
      <c r="C5551" t="s">
        <v>40</v>
      </c>
      <c r="D5551">
        <v>5.0410519999999996</v>
      </c>
      <c r="E5551">
        <v>0.52669580000000005</v>
      </c>
      <c r="F5551" t="s">
        <v>42</v>
      </c>
      <c r="G5551">
        <v>-243.67359999999999</v>
      </c>
      <c r="H5551">
        <v>0.86632240000000005</v>
      </c>
      <c r="I5551">
        <v>215.2638</v>
      </c>
      <c r="J5551">
        <v>-244.1942</v>
      </c>
      <c r="K5551">
        <v>1.1216489999999999</v>
      </c>
      <c r="L5551">
        <v>215.32220000000001</v>
      </c>
      <c r="M5551">
        <v>0.99978310000000004</v>
      </c>
      <c r="N5551">
        <v>-1.400533E-2</v>
      </c>
      <c r="O5551">
        <v>1.5417709999999999E-2</v>
      </c>
      <c r="P5551">
        <v>0.98829940000000005</v>
      </c>
      <c r="Q5551">
        <v>0.1482764</v>
      </c>
      <c r="R5551">
        <v>3.5755120000000001E-2</v>
      </c>
      <c r="S5551">
        <v>3.1998440000000001</v>
      </c>
      <c r="T5551">
        <v>-1.0399119999999999</v>
      </c>
      <c r="U5551">
        <v>-0.21972659999999999</v>
      </c>
      <c r="V5551">
        <v>-2.0531339999999999E-2</v>
      </c>
      <c r="W5551">
        <v>0.16210729999999901</v>
      </c>
      <c r="X5551">
        <v>0.98655950000000003</v>
      </c>
      <c r="Y5551">
        <v>7.8927750000000005E-2</v>
      </c>
      <c r="Z5551">
        <v>-1.7727099999999999E-2</v>
      </c>
      <c r="AA5551">
        <v>0.99672269999999996</v>
      </c>
      <c r="AB5551">
        <v>27</v>
      </c>
      <c r="AC5551">
        <v>0.52060000000000095</v>
      </c>
      <c r="AD5551">
        <v>-0.25532659999999902</v>
      </c>
      <c r="AE5551">
        <v>-5.8400000000005899E-2</v>
      </c>
      <c r="AF5551">
        <v>5.3670858501987197E-2</v>
      </c>
      <c r="AG5551">
        <v>-0.25532659999999902</v>
      </c>
      <c r="AH5551">
        <v>0.41989265160242101</v>
      </c>
      <c r="AI5551">
        <v>121.097058814131</v>
      </c>
      <c r="AJ5551">
        <v>82.715926776917399</v>
      </c>
      <c r="AK5551">
        <v>0.49435015180498498</v>
      </c>
      <c r="AL5551">
        <v>80.670767145549803</v>
      </c>
      <c r="AM5551">
        <v>91.192213289600602</v>
      </c>
      <c r="AN5551">
        <v>0.99999997983786704</v>
      </c>
    </row>
    <row r="5552" spans="1:40" x14ac:dyDescent="0.25">
      <c r="A5552" t="str">
        <f>"20190303162023297"</f>
        <v>20190303162023297</v>
      </c>
      <c r="B5552" t="str">
        <f>"1551601223288194"</f>
        <v>1551601223288194</v>
      </c>
      <c r="C5552" t="s">
        <v>40</v>
      </c>
      <c r="D5552">
        <v>5.1075559999999998</v>
      </c>
      <c r="E5552">
        <v>0.52308160000000004</v>
      </c>
      <c r="F5552" t="s">
        <v>42</v>
      </c>
      <c r="G5552">
        <v>-243.43549999999999</v>
      </c>
      <c r="H5552">
        <v>0.86435079999999997</v>
      </c>
      <c r="I5552">
        <v>215.29650000000001</v>
      </c>
      <c r="J5552">
        <v>-243.9299</v>
      </c>
      <c r="K5552">
        <v>1.1216459999999999</v>
      </c>
      <c r="L5552">
        <v>215.32640000000001</v>
      </c>
      <c r="M5552">
        <v>0.9997819</v>
      </c>
      <c r="N5552">
        <v>-1.4002570000000001E-2</v>
      </c>
      <c r="O5552">
        <v>1.550033E-2</v>
      </c>
      <c r="P5552">
        <v>0.98830180000000001</v>
      </c>
      <c r="Q5552">
        <v>0.14833969999999999</v>
      </c>
      <c r="R5552">
        <v>3.5426939999999997E-2</v>
      </c>
      <c r="S5552">
        <v>3.2023320000000002</v>
      </c>
      <c r="T5552">
        <v>-1.086042</v>
      </c>
      <c r="U5552">
        <v>-0.1079865</v>
      </c>
      <c r="V5552">
        <v>-2.012092E-2</v>
      </c>
      <c r="W5552">
        <v>0.1621676</v>
      </c>
      <c r="X5552">
        <v>0.98655809999999999</v>
      </c>
      <c r="Y5552">
        <v>4.5727589999999999E-2</v>
      </c>
      <c r="Z5552">
        <v>-1.2771680000000001E-2</v>
      </c>
      <c r="AA5552">
        <v>0.99887230000000005</v>
      </c>
      <c r="AB5552">
        <v>27</v>
      </c>
      <c r="AC5552">
        <v>0.494400000000013</v>
      </c>
      <c r="AD5552">
        <v>-0.257295199999999</v>
      </c>
      <c r="AE5552">
        <v>-2.98999999999978E-2</v>
      </c>
      <c r="AF5552">
        <v>2.9578728919609502E-2</v>
      </c>
      <c r="AG5552">
        <v>-0.257295199999999</v>
      </c>
      <c r="AH5552">
        <v>0.38892582088642702</v>
      </c>
      <c r="AI5552">
        <v>123.41077878381201</v>
      </c>
      <c r="AJ5552">
        <v>85.650892530662105</v>
      </c>
      <c r="AK5552">
        <v>0.467267605660526</v>
      </c>
      <c r="AL5552">
        <v>80.667266385240396</v>
      </c>
      <c r="AM5552">
        <v>91.168389363607702</v>
      </c>
      <c r="AN5552">
        <v>1.0000000332935</v>
      </c>
    </row>
    <row r="5553" spans="1:40" x14ac:dyDescent="0.25">
      <c r="A5553" t="str">
        <f>"20190303162023321"</f>
        <v>20190303162023321</v>
      </c>
      <c r="B5553" t="str">
        <f>"1551601223318450"</f>
        <v>1551601223318450</v>
      </c>
      <c r="C5553" t="s">
        <v>40</v>
      </c>
      <c r="D5553">
        <v>5.0763730000000002</v>
      </c>
      <c r="E5553">
        <v>0.52183789999999997</v>
      </c>
      <c r="F5553" t="s">
        <v>42</v>
      </c>
      <c r="G5553">
        <v>-243.19130000000001</v>
      </c>
      <c r="H5553">
        <v>0.87657209999999997</v>
      </c>
      <c r="I5553">
        <v>215.3075</v>
      </c>
      <c r="J5553">
        <v>-243.6566</v>
      </c>
      <c r="K5553">
        <v>1.1216459999999999</v>
      </c>
      <c r="L5553">
        <v>215.33070000000001</v>
      </c>
      <c r="M5553">
        <v>0.99978069999999997</v>
      </c>
      <c r="N5553">
        <v>-1.399978E-2</v>
      </c>
      <c r="O5553">
        <v>1.558582E-2</v>
      </c>
      <c r="P5553">
        <v>0.98836170000000001</v>
      </c>
      <c r="Q5553">
        <v>0.14786170000000001</v>
      </c>
      <c r="R5553">
        <v>3.5753710000000001E-2</v>
      </c>
      <c r="S5553">
        <v>3.1976619999999998</v>
      </c>
      <c r="T5553">
        <v>-1.0610299999999999</v>
      </c>
      <c r="U5553">
        <v>-8.0581669999999994E-2</v>
      </c>
      <c r="V5553">
        <v>-2.0362459999999999E-2</v>
      </c>
      <c r="W5553">
        <v>0.16168769999999999</v>
      </c>
      <c r="X5553">
        <v>0.98663190000000001</v>
      </c>
      <c r="Y5553">
        <v>3.7884969999999997E-2</v>
      </c>
      <c r="Z5553">
        <v>-1.121608E-2</v>
      </c>
      <c r="AA5553">
        <v>0.99921919999999997</v>
      </c>
      <c r="AB5553">
        <v>27</v>
      </c>
      <c r="AC5553">
        <v>0.465299999999985</v>
      </c>
      <c r="AD5553">
        <v>-0.24507390000000001</v>
      </c>
      <c r="AE5553">
        <v>-2.3200000000002701E-2</v>
      </c>
      <c r="AF5553">
        <v>2.3850048704765099E-2</v>
      </c>
      <c r="AG5553">
        <v>-0.24507390000000001</v>
      </c>
      <c r="AH5553">
        <v>0.36412034399085702</v>
      </c>
      <c r="AI5553">
        <v>123.886029508588</v>
      </c>
      <c r="AJ5553">
        <v>86.252453554419802</v>
      </c>
      <c r="AK5553">
        <v>0.43956076507401098</v>
      </c>
      <c r="AL5553">
        <v>80.695130274015398</v>
      </c>
      <c r="AM5553">
        <v>91.182322824246697</v>
      </c>
      <c r="AN5553">
        <v>1.00000002410307</v>
      </c>
    </row>
    <row r="5554" spans="1:40" x14ac:dyDescent="0.25">
      <c r="A5554" t="str">
        <f>"20190303162023342"</f>
        <v>20190303162023342</v>
      </c>
      <c r="B5554" t="str">
        <f>"1551601223337970"</f>
        <v>1551601223337970</v>
      </c>
      <c r="C5554" t="s">
        <v>40</v>
      </c>
      <c r="D5554">
        <v>5.0753709999999996</v>
      </c>
      <c r="E5554">
        <v>0.52170059999999996</v>
      </c>
      <c r="F5554" t="s">
        <v>42</v>
      </c>
      <c r="G5554">
        <v>-242.9479</v>
      </c>
      <c r="H5554">
        <v>0.88780239999999999</v>
      </c>
      <c r="I5554">
        <v>215.3151</v>
      </c>
      <c r="J5554">
        <v>-243.39420000000001</v>
      </c>
      <c r="K5554">
        <v>1.121645</v>
      </c>
      <c r="L5554">
        <v>215.3349</v>
      </c>
      <c r="M5554">
        <v>0.99977930000000004</v>
      </c>
      <c r="N5554">
        <v>-1.399706E-2</v>
      </c>
      <c r="O5554">
        <v>1.566826E-2</v>
      </c>
      <c r="P5554">
        <v>0.98840779999999995</v>
      </c>
      <c r="Q5554">
        <v>0.1475185</v>
      </c>
      <c r="R5554">
        <v>3.5895459999999997E-2</v>
      </c>
      <c r="S5554">
        <v>3.1955870000000002</v>
      </c>
      <c r="T5554">
        <v>-1.0544089999999999</v>
      </c>
      <c r="U5554">
        <v>-7.0144650000000003E-2</v>
      </c>
      <c r="V5554">
        <v>-2.0421499999999999E-2</v>
      </c>
      <c r="W5554">
        <v>0.16134219999999999</v>
      </c>
      <c r="X5554">
        <v>0.98668719999999999</v>
      </c>
      <c r="Y5554">
        <v>3.4913470000000002E-2</v>
      </c>
      <c r="Z5554">
        <v>-1.06835E-2</v>
      </c>
      <c r="AA5554">
        <v>0.99933329999999998</v>
      </c>
      <c r="AB5554">
        <v>27</v>
      </c>
      <c r="AC5554">
        <v>0.44630000000000702</v>
      </c>
      <c r="AD5554">
        <v>-0.23384259999999901</v>
      </c>
      <c r="AE5554">
        <v>-1.9800000000003599E-2</v>
      </c>
      <c r="AF5554">
        <v>2.1029155892618299E-2</v>
      </c>
      <c r="AG5554">
        <v>-0.23384259999999901</v>
      </c>
      <c r="AH5554">
        <v>0.350029338344788</v>
      </c>
      <c r="AI5554">
        <v>123.69786696792499</v>
      </c>
      <c r="AJ5554">
        <v>86.561901400674998</v>
      </c>
      <c r="AK5554">
        <v>0.42147968477069703</v>
      </c>
      <c r="AL5554">
        <v>80.715188987162705</v>
      </c>
      <c r="AM5554">
        <v>91.185683498910095</v>
      </c>
      <c r="AN5554">
        <v>0.99999998690346403</v>
      </c>
    </row>
    <row r="5555" spans="1:40" x14ac:dyDescent="0.25">
      <c r="A5555" t="str">
        <f>"20190303162023366"</f>
        <v>20190303162023366</v>
      </c>
      <c r="B5555" t="str">
        <f>"1551601223358466"</f>
        <v>1551601223358466</v>
      </c>
      <c r="C5555" t="s">
        <v>40</v>
      </c>
      <c r="D5555">
        <v>5.0688709999999997</v>
      </c>
      <c r="E5555">
        <v>0.52168669999999995</v>
      </c>
      <c r="F5555" t="s">
        <v>42</v>
      </c>
      <c r="G5555">
        <v>-242.70699999999999</v>
      </c>
      <c r="H5555">
        <v>0.89413679999999995</v>
      </c>
      <c r="I5555">
        <v>215.32</v>
      </c>
      <c r="J5555">
        <v>-243.12450000000001</v>
      </c>
      <c r="K5555">
        <v>1.1216539999999999</v>
      </c>
      <c r="L5555">
        <v>215.33920000000001</v>
      </c>
      <c r="M5555">
        <v>0.99977800000000006</v>
      </c>
      <c r="N5555">
        <v>-1.399423E-2</v>
      </c>
      <c r="O5555">
        <v>1.5752439999999999E-2</v>
      </c>
      <c r="P5555">
        <v>0.98846100000000003</v>
      </c>
      <c r="Q5555">
        <v>0.14718519999999999</v>
      </c>
      <c r="R5555">
        <v>3.580175E-2</v>
      </c>
      <c r="S5555">
        <v>3.195541</v>
      </c>
      <c r="T5555">
        <v>-1.0579000000000001</v>
      </c>
      <c r="U5555">
        <v>-6.8344119999999994E-2</v>
      </c>
      <c r="V5555">
        <v>-2.0243830000000001E-2</v>
      </c>
      <c r="W5555">
        <v>0.1610076</v>
      </c>
      <c r="X5555">
        <v>0.98674550000000005</v>
      </c>
      <c r="Y5555">
        <v>3.4439860000000003E-2</v>
      </c>
      <c r="Z5555">
        <v>-1.066347E-2</v>
      </c>
      <c r="AA5555">
        <v>0.99934990000000001</v>
      </c>
      <c r="AB5555">
        <v>27</v>
      </c>
      <c r="AC5555">
        <v>0.41750000000001802</v>
      </c>
      <c r="AD5555">
        <v>-0.2275172</v>
      </c>
      <c r="AE5555">
        <v>-1.9200000000011999E-2</v>
      </c>
      <c r="AF5555">
        <v>1.9882747027092099E-2</v>
      </c>
      <c r="AG5555">
        <v>-0.2275172</v>
      </c>
      <c r="AH5555">
        <v>0.32178596462218301</v>
      </c>
      <c r="AI5555">
        <v>125.2105917897</v>
      </c>
      <c r="AJ5555">
        <v>86.464261446905496</v>
      </c>
      <c r="AK5555">
        <v>0.394595497887409</v>
      </c>
      <c r="AL5555">
        <v>80.734613972155799</v>
      </c>
      <c r="AM5555">
        <v>91.175301362616395</v>
      </c>
      <c r="AN5555">
        <v>0.99999997084053904</v>
      </c>
    </row>
    <row r="5556" spans="1:40" x14ac:dyDescent="0.25">
      <c r="A5556" t="str">
        <f>"20190303162023388"</f>
        <v>20190303162023388</v>
      </c>
      <c r="B5556" t="str">
        <f>"1551601223377987"</f>
        <v>1551601223377987</v>
      </c>
      <c r="C5556" t="s">
        <v>40</v>
      </c>
      <c r="D5556">
        <v>5.0588329999999999</v>
      </c>
      <c r="E5556">
        <v>0.52194079999999998</v>
      </c>
      <c r="F5556" t="s">
        <v>42</v>
      </c>
      <c r="G5556">
        <v>-242.25729999999999</v>
      </c>
      <c r="H5556">
        <v>0.8338141</v>
      </c>
      <c r="I5556">
        <v>215.3202</v>
      </c>
      <c r="J5556">
        <v>-242.85820000000001</v>
      </c>
      <c r="K5556">
        <v>1.1216489999999999</v>
      </c>
      <c r="L5556">
        <v>215.34350000000001</v>
      </c>
      <c r="M5556">
        <v>0.99977680000000002</v>
      </c>
      <c r="N5556">
        <v>-1.3991419999999999E-2</v>
      </c>
      <c r="O5556">
        <v>1.58359E-2</v>
      </c>
      <c r="P5556">
        <v>0.98851069999999996</v>
      </c>
      <c r="Q5556">
        <v>0.147013</v>
      </c>
      <c r="R5556">
        <v>3.5128399999999997E-2</v>
      </c>
      <c r="S5556">
        <v>3.1954959999999999</v>
      </c>
      <c r="T5556">
        <v>-1.0605899999999999</v>
      </c>
      <c r="U5556">
        <v>-6.9442749999999998E-2</v>
      </c>
      <c r="V5556">
        <v>-1.9486860000000002E-2</v>
      </c>
      <c r="W5556">
        <v>0.160833</v>
      </c>
      <c r="X5556">
        <v>0.98678920000000003</v>
      </c>
      <c r="Y5556">
        <v>3.4827789999999997E-2</v>
      </c>
      <c r="Z5556">
        <v>-1.0780609999999999E-2</v>
      </c>
      <c r="AA5556">
        <v>0.99933519999999998</v>
      </c>
      <c r="AB5556">
        <v>27</v>
      </c>
      <c r="AC5556">
        <v>0.60090000000002397</v>
      </c>
      <c r="AD5556">
        <v>-0.28783489999999901</v>
      </c>
      <c r="AE5556">
        <v>-2.3300000000006E-2</v>
      </c>
      <c r="AF5556">
        <v>2.6697364967510101E-2</v>
      </c>
      <c r="AG5556">
        <v>-0.28783489999999901</v>
      </c>
      <c r="AH5556">
        <v>0.48853173260452298</v>
      </c>
      <c r="AI5556">
        <v>120.468546924815</v>
      </c>
      <c r="AJ5556">
        <v>86.872001890396604</v>
      </c>
      <c r="AK5556">
        <v>0.56764859967747305</v>
      </c>
      <c r="AL5556">
        <v>80.744749797220905</v>
      </c>
      <c r="AM5556">
        <v>91.131315311207302</v>
      </c>
      <c r="AN5556">
        <v>0.99999995841914802</v>
      </c>
    </row>
    <row r="5557" spans="1:40" x14ac:dyDescent="0.25">
      <c r="A5557" t="str">
        <f>"20190303162023410"</f>
        <v>20190303162023410</v>
      </c>
      <c r="B5557" t="str">
        <f>"1551601223398482"</f>
        <v>1551601223398482</v>
      </c>
      <c r="C5557" t="s">
        <v>40</v>
      </c>
      <c r="D5557">
        <v>5.0901360000000002</v>
      </c>
      <c r="E5557">
        <v>0.52208319999999997</v>
      </c>
      <c r="F5557" t="s">
        <v>42</v>
      </c>
      <c r="G5557">
        <v>-242.01679999999999</v>
      </c>
      <c r="H5557">
        <v>0.84188510000000005</v>
      </c>
      <c r="I5557">
        <v>215.32409999999999</v>
      </c>
      <c r="J5557">
        <v>-242.5985</v>
      </c>
      <c r="K5557">
        <v>1.1216360000000001</v>
      </c>
      <c r="L5557">
        <v>215.3477</v>
      </c>
      <c r="M5557">
        <v>0.99977559999999999</v>
      </c>
      <c r="N5557">
        <v>-1.398867E-2</v>
      </c>
      <c r="O5557">
        <v>1.5917029999999999E-2</v>
      </c>
      <c r="P5557">
        <v>0.98864019999999997</v>
      </c>
      <c r="Q5557">
        <v>0.1461836</v>
      </c>
      <c r="R5557">
        <v>3.4942279999999999E-2</v>
      </c>
      <c r="S5557">
        <v>3.195465</v>
      </c>
      <c r="T5557">
        <v>-1.062408</v>
      </c>
      <c r="U5557">
        <v>-7.3196410000000003E-2</v>
      </c>
      <c r="V5557">
        <v>-1.921846E-2</v>
      </c>
      <c r="W5557">
        <v>0.160002799999999</v>
      </c>
      <c r="X5557">
        <v>0.98692950000000002</v>
      </c>
      <c r="Y5557">
        <v>3.6003250000000001E-2</v>
      </c>
      <c r="Z5557">
        <v>-1.1021980000000001E-2</v>
      </c>
      <c r="AA5557">
        <v>0.99929089999999998</v>
      </c>
      <c r="AB5557">
        <v>27</v>
      </c>
      <c r="AC5557">
        <v>0.58170000000001199</v>
      </c>
      <c r="AD5557">
        <v>-0.27975090000000002</v>
      </c>
      <c r="AE5557">
        <v>-2.3600000000016001E-2</v>
      </c>
      <c r="AF5557">
        <v>2.66932781615302E-2</v>
      </c>
      <c r="AG5557">
        <v>-0.27975090000000002</v>
      </c>
      <c r="AH5557">
        <v>0.47221459128494397</v>
      </c>
      <c r="AI5557">
        <v>120.603423006265</v>
      </c>
      <c r="AJ5557">
        <v>86.764635618541107</v>
      </c>
      <c r="AK5557">
        <v>0.54950861446589305</v>
      </c>
      <c r="AL5557">
        <v>80.792941642931297</v>
      </c>
      <c r="AM5557">
        <v>91.115578666787599</v>
      </c>
      <c r="AN5557">
        <v>1.0000000415914301</v>
      </c>
    </row>
    <row r="5558" spans="1:40" x14ac:dyDescent="0.25">
      <c r="A5558" t="str">
        <f>"20190303162023431"</f>
        <v>20190303162023431</v>
      </c>
      <c r="B5558" t="str">
        <f>"1551601223418002"</f>
        <v>1551601223418002</v>
      </c>
      <c r="C5558" t="s">
        <v>40</v>
      </c>
      <c r="D5558">
        <v>5.0295050000000003</v>
      </c>
      <c r="E5558">
        <v>0.54488579999999998</v>
      </c>
      <c r="F5558" t="s">
        <v>42</v>
      </c>
      <c r="G5558">
        <v>-241.77699999999999</v>
      </c>
      <c r="H5558">
        <v>0.84865119999999905</v>
      </c>
      <c r="I5558">
        <v>215.32849999999999</v>
      </c>
      <c r="J5558">
        <v>-242.33529999999999</v>
      </c>
      <c r="K5558">
        <v>1.1216360000000001</v>
      </c>
      <c r="L5558">
        <v>215.352</v>
      </c>
      <c r="M5558">
        <v>0.99977419999999995</v>
      </c>
      <c r="N5558">
        <v>-1.3985900000000001E-2</v>
      </c>
      <c r="O5558">
        <v>1.599948E-2</v>
      </c>
      <c r="P5558">
        <v>0.98879989999999995</v>
      </c>
      <c r="Q5558">
        <v>0.14523720000000001</v>
      </c>
      <c r="R5558">
        <v>3.4359430000000003E-2</v>
      </c>
      <c r="S5558">
        <v>3.1940460000000002</v>
      </c>
      <c r="T5558">
        <v>-1.0614539999999999</v>
      </c>
      <c r="U5558">
        <v>-7.3989869999999999E-2</v>
      </c>
      <c r="V5558">
        <v>-1.8551189999999999E-2</v>
      </c>
      <c r="W5558">
        <v>0.15905610000000001</v>
      </c>
      <c r="X5558">
        <v>0.98709519999999995</v>
      </c>
      <c r="Y5558">
        <v>3.6324330000000002E-2</v>
      </c>
      <c r="Z5558">
        <v>-1.1096999999999999E-2</v>
      </c>
      <c r="AA5558">
        <v>0.99927840000000001</v>
      </c>
      <c r="AB5558">
        <v>27</v>
      </c>
      <c r="AC5558">
        <v>0.55829999999997404</v>
      </c>
      <c r="AD5558">
        <v>-0.27298480000000003</v>
      </c>
      <c r="AE5558">
        <v>-2.3500000000012702E-2</v>
      </c>
      <c r="AF5558">
        <v>2.6181899476471399E-2</v>
      </c>
      <c r="AG5558">
        <v>-0.27298480000000003</v>
      </c>
      <c r="AH5558">
        <v>0.45036908153517302</v>
      </c>
      <c r="AI5558">
        <v>121.178723231658</v>
      </c>
      <c r="AJ5558">
        <v>86.672893647551604</v>
      </c>
      <c r="AK5558">
        <v>0.52729356386558701</v>
      </c>
      <c r="AL5558">
        <v>80.847886499025506</v>
      </c>
      <c r="AM5558">
        <v>91.076674040910902</v>
      </c>
      <c r="AN5558">
        <v>0.99999996173033201</v>
      </c>
    </row>
    <row r="5559" spans="1:40" x14ac:dyDescent="0.25">
      <c r="A5559" t="str">
        <f>"20190303162023455"</f>
        <v>20190303162023455</v>
      </c>
      <c r="B5559" t="str">
        <f>"1551601223448258"</f>
        <v>1551601223448258</v>
      </c>
      <c r="C5559" t="s">
        <v>40</v>
      </c>
      <c r="D5559">
        <v>5.0391519999999996</v>
      </c>
      <c r="E5559">
        <v>0.58321849999999997</v>
      </c>
      <c r="F5559" t="s">
        <v>42</v>
      </c>
      <c r="G5559">
        <v>-241.49449999999999</v>
      </c>
      <c r="H5559">
        <v>0.95158259999999995</v>
      </c>
      <c r="I5559">
        <v>215.28319999999999</v>
      </c>
      <c r="J5559">
        <v>-242.06710000000001</v>
      </c>
      <c r="K5559">
        <v>1.121634</v>
      </c>
      <c r="L5559">
        <v>215.35640000000001</v>
      </c>
      <c r="M5559">
        <v>0.99977300000000002</v>
      </c>
      <c r="N5559">
        <v>-1.398307E-2</v>
      </c>
      <c r="O5559">
        <v>1.6083420000000001E-2</v>
      </c>
      <c r="P5559">
        <v>0.98890230000000001</v>
      </c>
      <c r="Q5559">
        <v>0.1448895</v>
      </c>
      <c r="R5559">
        <v>3.2855889999999999E-2</v>
      </c>
      <c r="S5559">
        <v>3.136047</v>
      </c>
      <c r="T5559">
        <v>-0.63430240000000004</v>
      </c>
      <c r="U5559">
        <v>-0.25624079999999999</v>
      </c>
      <c r="V5559">
        <v>-1.6963099999999998E-2</v>
      </c>
      <c r="W5559">
        <v>0.15870680000000001</v>
      </c>
      <c r="X5559">
        <v>0.98717999999999995</v>
      </c>
      <c r="Y5559">
        <v>9.5127379999999997E-2</v>
      </c>
      <c r="Z5559">
        <v>-1.317508E-2</v>
      </c>
      <c r="AA5559">
        <v>0.99537790000000004</v>
      </c>
      <c r="AB5559">
        <v>27</v>
      </c>
      <c r="AC5559">
        <v>0.57260000000002198</v>
      </c>
      <c r="AD5559">
        <v>-0.17005139999999999</v>
      </c>
      <c r="AE5559">
        <v>-7.3200000000014101E-2</v>
      </c>
      <c r="AF5559">
        <v>7.5821073314261897E-2</v>
      </c>
      <c r="AG5559">
        <v>-0.17005139999999999</v>
      </c>
      <c r="AH5559">
        <v>0.52572619274903998</v>
      </c>
      <c r="AI5559">
        <v>107.752344265738</v>
      </c>
      <c r="AJ5559">
        <v>81.793298173216499</v>
      </c>
      <c r="AK5559">
        <v>0.55772246103495604</v>
      </c>
      <c r="AL5559">
        <v>80.868157514298801</v>
      </c>
      <c r="AM5559">
        <v>90.984438902459104</v>
      </c>
      <c r="AN5559">
        <v>0.99999997376392402</v>
      </c>
    </row>
    <row r="5560" spans="1:40" x14ac:dyDescent="0.25">
      <c r="A5560" t="str">
        <f>"20190303162023477"</f>
        <v>20190303162023477</v>
      </c>
      <c r="B5560" t="str">
        <f>"1551601223468315"</f>
        <v>1551601223468315</v>
      </c>
      <c r="C5560" t="s">
        <v>40</v>
      </c>
      <c r="D5560">
        <v>5.031784</v>
      </c>
      <c r="E5560">
        <v>0.58280100000000001</v>
      </c>
      <c r="F5560" t="s">
        <v>49</v>
      </c>
      <c r="G5560">
        <v>-193.12909999999999</v>
      </c>
      <c r="H5560" s="1">
        <v>4.8716250000000001E-6</v>
      </c>
      <c r="I5560">
        <v>206.31899999999999</v>
      </c>
      <c r="J5560">
        <v>-241.80850000000001</v>
      </c>
      <c r="K5560">
        <v>1.1216390000000001</v>
      </c>
      <c r="L5560">
        <v>215.36060000000001</v>
      </c>
      <c r="M5560">
        <v>0.99977169999999904</v>
      </c>
      <c r="N5560">
        <v>-1.3980340000000001E-2</v>
      </c>
      <c r="O5560">
        <v>1.6164729999999999E-2</v>
      </c>
      <c r="P5560">
        <v>0.98902089999999998</v>
      </c>
      <c r="Q5560">
        <v>0.1446144</v>
      </c>
      <c r="R5560">
        <v>3.040609E-2</v>
      </c>
      <c r="S5560">
        <v>3.0627589999999998</v>
      </c>
      <c r="T5560">
        <v>-7.0196510000000004E-2</v>
      </c>
      <c r="U5560">
        <v>-0.56559749999999998</v>
      </c>
      <c r="V5560">
        <v>-1.44312E-2</v>
      </c>
      <c r="W5560">
        <v>0.1584305</v>
      </c>
      <c r="X5560">
        <v>0.9872647</v>
      </c>
      <c r="Y5560">
        <v>0.19739019999999999</v>
      </c>
      <c r="Z5560">
        <v>-3.7779300000000001E-3</v>
      </c>
      <c r="AA5560">
        <v>0.98031769999999996</v>
      </c>
      <c r="AB5560">
        <v>26</v>
      </c>
      <c r="AC5560">
        <v>48.679400000000001</v>
      </c>
      <c r="AD5560">
        <v>-1.121634128375</v>
      </c>
      <c r="AE5560">
        <v>-9.0415999999999794</v>
      </c>
      <c r="AF5560">
        <v>9.82234382804414</v>
      </c>
      <c r="AG5560">
        <v>-1.121634128375</v>
      </c>
      <c r="AH5560">
        <v>48.501978165608499</v>
      </c>
      <c r="AI5560">
        <v>91.2984109446909</v>
      </c>
      <c r="AJ5560">
        <v>78.551617056137999</v>
      </c>
      <c r="AK5560">
        <v>49.499276634829897</v>
      </c>
      <c r="AL5560">
        <v>80.884191763879301</v>
      </c>
      <c r="AM5560">
        <v>90.837453188456493</v>
      </c>
      <c r="AN5560">
        <v>1.0000000353648799</v>
      </c>
    </row>
    <row r="5561" spans="1:40" x14ac:dyDescent="0.25">
      <c r="A5561" t="str">
        <f>"20190303162023499"</f>
        <v>20190303162023499</v>
      </c>
      <c r="B5561" t="str">
        <f>"1551601223487836"</f>
        <v>1551601223487836</v>
      </c>
      <c r="C5561" t="s">
        <v>40</v>
      </c>
      <c r="D5561">
        <v>5.2047359999999996</v>
      </c>
      <c r="E5561">
        <v>0.58065710000000004</v>
      </c>
      <c r="F5561" t="s">
        <v>49</v>
      </c>
      <c r="G5561">
        <v>-196.74299999999999</v>
      </c>
      <c r="H5561" s="1">
        <v>3.9048259999999997E-6</v>
      </c>
      <c r="I5561">
        <v>206.9759</v>
      </c>
      <c r="J5561">
        <v>-241.5393</v>
      </c>
      <c r="K5561">
        <v>1.1216360000000001</v>
      </c>
      <c r="L5561">
        <v>215.36500000000001</v>
      </c>
      <c r="M5561">
        <v>0.9997703</v>
      </c>
      <c r="N5561">
        <v>-1.39775E-2</v>
      </c>
      <c r="O5561">
        <v>1.6249199999999998E-2</v>
      </c>
      <c r="P5561">
        <v>0.9890968</v>
      </c>
      <c r="Q5561">
        <v>0.1447909</v>
      </c>
      <c r="R5561">
        <v>2.6896340000000001E-2</v>
      </c>
      <c r="S5561">
        <v>3.0619809999999998</v>
      </c>
      <c r="T5561">
        <v>-7.6209659999999999E-2</v>
      </c>
      <c r="U5561">
        <v>-0.56970209999999999</v>
      </c>
      <c r="V5561">
        <v>-1.083746E-2</v>
      </c>
      <c r="W5561">
        <v>0.15860460000000001</v>
      </c>
      <c r="X5561">
        <v>0.98728269999999996</v>
      </c>
      <c r="Y5561">
        <v>0.19877510000000001</v>
      </c>
      <c r="Z5561">
        <v>-4.0296020000000002E-3</v>
      </c>
      <c r="AA5561">
        <v>0.98003689999999999</v>
      </c>
      <c r="AB5561">
        <v>26</v>
      </c>
      <c r="AC5561">
        <v>44.796300000000002</v>
      </c>
      <c r="AD5561">
        <v>-1.121632095174</v>
      </c>
      <c r="AE5561">
        <v>-8.3891000000000098</v>
      </c>
      <c r="AF5561">
        <v>9.1104492700983695</v>
      </c>
      <c r="AG5561">
        <v>-1.121632095174</v>
      </c>
      <c r="AH5561">
        <v>44.627025148426</v>
      </c>
      <c r="AI5561">
        <v>91.4106558526491</v>
      </c>
      <c r="AJ5561">
        <v>78.461813491205703</v>
      </c>
      <c r="AK5561">
        <v>45.561274324344801</v>
      </c>
      <c r="AL5561">
        <v>80.874088500865099</v>
      </c>
      <c r="AM5561">
        <v>90.628913866506807</v>
      </c>
      <c r="AN5561">
        <v>0.99999999969984998</v>
      </c>
    </row>
    <row r="5562" spans="1:40" x14ac:dyDescent="0.25">
      <c r="A5562" t="str">
        <f>"20190303162023521"</f>
        <v>20190303162023521</v>
      </c>
      <c r="B5562" t="str">
        <f>"1551601223508331"</f>
        <v>1551601223508331</v>
      </c>
      <c r="C5562" t="s">
        <v>40</v>
      </c>
      <c r="D5562">
        <v>5.077305</v>
      </c>
      <c r="E5562">
        <v>0.58026750000000005</v>
      </c>
      <c r="F5562" t="s">
        <v>52</v>
      </c>
      <c r="G5562">
        <v>-210.17830000000001</v>
      </c>
      <c r="H5562">
        <v>6.8285579999999999E-2</v>
      </c>
      <c r="I5562">
        <v>209.59800000000001</v>
      </c>
      <c r="J5562">
        <v>-241.27959999999999</v>
      </c>
      <c r="K5562">
        <v>1.1216390000000001</v>
      </c>
      <c r="L5562">
        <v>215.36930000000001</v>
      </c>
      <c r="M5562">
        <v>0.99976900000000002</v>
      </c>
      <c r="N5562">
        <v>-1.3974739999999999E-2</v>
      </c>
      <c r="O5562">
        <v>1.6330629999999999E-2</v>
      </c>
      <c r="P5562">
        <v>0.98917100000000002</v>
      </c>
      <c r="Q5562">
        <v>0.14502789999999999</v>
      </c>
      <c r="R5562">
        <v>2.253351E-2</v>
      </c>
      <c r="S5562">
        <v>3.0634459999999999</v>
      </c>
      <c r="T5562">
        <v>-0.10289479999999999</v>
      </c>
      <c r="U5562">
        <v>-0.56333919999999904</v>
      </c>
      <c r="V5562">
        <v>-6.3930219999999999E-3</v>
      </c>
      <c r="W5562">
        <v>0.1588396</v>
      </c>
      <c r="X5562">
        <v>0.98728369999999999</v>
      </c>
      <c r="Y5562">
        <v>0.19674059999999999</v>
      </c>
      <c r="Z5562">
        <v>-4.9801860000000002E-3</v>
      </c>
      <c r="AA5562">
        <v>0.98044290000000001</v>
      </c>
      <c r="AB5562">
        <v>26</v>
      </c>
      <c r="AC5562">
        <v>31.101299999999899</v>
      </c>
      <c r="AD5562">
        <v>-1.0533534200000001</v>
      </c>
      <c r="AE5562">
        <v>-5.7713000000000196</v>
      </c>
      <c r="AF5562">
        <v>6.2715292092386301</v>
      </c>
      <c r="AG5562">
        <v>-1.0533534200000001</v>
      </c>
      <c r="AH5562">
        <v>30.968552849128901</v>
      </c>
      <c r="AI5562">
        <v>91.909357588094295</v>
      </c>
      <c r="AJ5562">
        <v>78.551697712783096</v>
      </c>
      <c r="AK5562">
        <v>31.614757592286701</v>
      </c>
      <c r="AL5562">
        <v>80.860451088585194</v>
      </c>
      <c r="AM5562">
        <v>90.371005881554495</v>
      </c>
      <c r="AN5562">
        <v>0.99999999677207096</v>
      </c>
    </row>
    <row r="5563" spans="1:40" x14ac:dyDescent="0.25">
      <c r="A5563" t="str">
        <f>"20190303162023543"</f>
        <v>20190303162023543</v>
      </c>
      <c r="B5563" t="str">
        <f>"1551601223537611"</f>
        <v>1551601223537611</v>
      </c>
      <c r="C5563" t="s">
        <v>40</v>
      </c>
      <c r="D5563">
        <v>5.2261249999999997</v>
      </c>
      <c r="E5563">
        <v>0.57903190000000004</v>
      </c>
      <c r="F5563" t="s">
        <v>52</v>
      </c>
      <c r="G5563">
        <v>-210.5549</v>
      </c>
      <c r="H5563">
        <v>5.7839769999999999E-2</v>
      </c>
      <c r="I5563">
        <v>209.60849999999999</v>
      </c>
      <c r="J5563">
        <v>-241.01439999999999</v>
      </c>
      <c r="K5563">
        <v>1.121645</v>
      </c>
      <c r="L5563">
        <v>215.37370000000001</v>
      </c>
      <c r="M5563">
        <v>0.99976770000000004</v>
      </c>
      <c r="N5563">
        <v>-1.397207E-2</v>
      </c>
      <c r="O5563">
        <v>1.6413380000000002E-2</v>
      </c>
      <c r="P5563">
        <v>0.98922650000000001</v>
      </c>
      <c r="Q5563">
        <v>0.1452368</v>
      </c>
      <c r="R5563">
        <v>1.837126E-2</v>
      </c>
      <c r="S5563">
        <v>3.0614620000000001</v>
      </c>
      <c r="T5563">
        <v>-0.10599889999999999</v>
      </c>
      <c r="U5563">
        <v>-0.57402039999999999</v>
      </c>
      <c r="V5563">
        <v>-2.1488800000000001E-3</v>
      </c>
      <c r="W5563">
        <v>0.1590463</v>
      </c>
      <c r="X5563">
        <v>0.98726879999999995</v>
      </c>
      <c r="Y5563">
        <v>0.20022880000000001</v>
      </c>
      <c r="Z5563">
        <v>-5.1830820000000003E-3</v>
      </c>
      <c r="AA5563">
        <v>0.97973540000000003</v>
      </c>
      <c r="AB5563">
        <v>26</v>
      </c>
      <c r="AC5563">
        <v>30.459499999999899</v>
      </c>
      <c r="AD5563">
        <v>-1.06380523</v>
      </c>
      <c r="AE5563">
        <v>-5.7652000000000196</v>
      </c>
      <c r="AF5563">
        <v>6.2570471554374496</v>
      </c>
      <c r="AG5563">
        <v>-1.06380523</v>
      </c>
      <c r="AH5563">
        <v>30.325050053330099</v>
      </c>
      <c r="AI5563">
        <v>91.967701294790501</v>
      </c>
      <c r="AJ5563">
        <v>78.341618636061398</v>
      </c>
      <c r="AK5563">
        <v>30.9821074397743</v>
      </c>
      <c r="AL5563">
        <v>80.848455713914205</v>
      </c>
      <c r="AM5563">
        <v>90.124709258764099</v>
      </c>
      <c r="AN5563">
        <v>1.0000000133411899</v>
      </c>
    </row>
    <row r="5564" spans="1:40" x14ac:dyDescent="0.25">
      <c r="A5564" t="str">
        <f>"20190303162023567"</f>
        <v>20190303162023567</v>
      </c>
      <c r="B5564" t="str">
        <f>"1551601223558107"</f>
        <v>1551601223558107</v>
      </c>
      <c r="C5564" t="s">
        <v>40</v>
      </c>
      <c r="D5564">
        <v>5.0658260000000004</v>
      </c>
      <c r="E5564">
        <v>0.57878209999999997</v>
      </c>
      <c r="F5564" t="s">
        <v>52</v>
      </c>
      <c r="G5564">
        <v>-211.50040000000001</v>
      </c>
      <c r="H5564" s="1">
        <v>-5.2832500000000004E-7</v>
      </c>
      <c r="I5564">
        <v>209.8116</v>
      </c>
      <c r="J5564">
        <v>-240.7501</v>
      </c>
      <c r="K5564">
        <v>1.1216459999999999</v>
      </c>
      <c r="L5564">
        <v>215.37809999999999</v>
      </c>
      <c r="M5564">
        <v>0.9997663</v>
      </c>
      <c r="N5564">
        <v>-1.396933E-2</v>
      </c>
      <c r="O5564">
        <v>1.6496179999999999E-2</v>
      </c>
      <c r="P5564">
        <v>0.98928280000000002</v>
      </c>
      <c r="Q5564">
        <v>0.14528369999999999</v>
      </c>
      <c r="R5564">
        <v>1.45696E-2</v>
      </c>
      <c r="S5564">
        <v>3.0604550000000001</v>
      </c>
      <c r="T5564">
        <v>-0.116309</v>
      </c>
      <c r="U5564">
        <v>-0.57676700000000003</v>
      </c>
      <c r="V5564">
        <v>1.735564E-3</v>
      </c>
      <c r="W5564">
        <v>0.15909100000000001</v>
      </c>
      <c r="X5564">
        <v>0.98726239999999998</v>
      </c>
      <c r="Y5564">
        <v>0.2011869</v>
      </c>
      <c r="Z5564">
        <v>-5.5996190000000001E-3</v>
      </c>
      <c r="AA5564">
        <v>0.97953690000000004</v>
      </c>
      <c r="AB5564">
        <v>26</v>
      </c>
      <c r="AC5564">
        <v>29.249699999999901</v>
      </c>
      <c r="AD5564">
        <v>-1.1216465283249999</v>
      </c>
      <c r="AE5564">
        <v>-5.5664999999999898</v>
      </c>
      <c r="AF5564">
        <v>6.0397267543390898</v>
      </c>
      <c r="AG5564">
        <v>-1.1216465283249999</v>
      </c>
      <c r="AH5564">
        <v>29.1125700895936</v>
      </c>
      <c r="AI5564">
        <v>92.1604374646097</v>
      </c>
      <c r="AJ5564">
        <v>78.279614076392406</v>
      </c>
      <c r="AK5564">
        <v>29.753623769602999</v>
      </c>
      <c r="AL5564">
        <v>80.845861462159405</v>
      </c>
      <c r="AM5564">
        <v>89.899276636243997</v>
      </c>
      <c r="AN5564">
        <v>1.00000000245857</v>
      </c>
    </row>
    <row r="5565" spans="1:40" x14ac:dyDescent="0.25">
      <c r="A5565" t="str">
        <f>"20190303162023589"</f>
        <v>20190303162023589</v>
      </c>
      <c r="B5565" t="str">
        <f>"1551601223578326"</f>
        <v>1551601223578326</v>
      </c>
      <c r="C5565" t="s">
        <v>40</v>
      </c>
      <c r="D5565">
        <v>5.0762219999999996</v>
      </c>
      <c r="E5565">
        <v>0.57832410000000001</v>
      </c>
      <c r="F5565" t="s">
        <v>52</v>
      </c>
      <c r="G5565">
        <v>-211.74459999999999</v>
      </c>
      <c r="H5565" s="1">
        <v>-3.985667E-7</v>
      </c>
      <c r="I5565">
        <v>209.8159</v>
      </c>
      <c r="J5565">
        <v>-240.48660000000001</v>
      </c>
      <c r="K5565">
        <v>1.121645</v>
      </c>
      <c r="L5565">
        <v>215.3826</v>
      </c>
      <c r="M5565">
        <v>0.99976509999999996</v>
      </c>
      <c r="N5565">
        <v>-1.39662999999999E-2</v>
      </c>
      <c r="O5565">
        <v>1.657875E-2</v>
      </c>
      <c r="P5565">
        <v>0.98924809999999996</v>
      </c>
      <c r="Q5565">
        <v>0.14593709999999999</v>
      </c>
      <c r="R5565">
        <v>9.5324759999999998E-3</v>
      </c>
      <c r="S5565">
        <v>3.0585170000000002</v>
      </c>
      <c r="T5565">
        <v>-0.1182733</v>
      </c>
      <c r="U5565">
        <v>-0.58651730000000002</v>
      </c>
      <c r="V5565">
        <v>6.8530910000000004E-3</v>
      </c>
      <c r="W5565">
        <v>0.1597401</v>
      </c>
      <c r="X5565">
        <v>0.98713530000000005</v>
      </c>
      <c r="Y5565">
        <v>0.20438410000000001</v>
      </c>
      <c r="Z5565">
        <v>-5.7615720000000004E-3</v>
      </c>
      <c r="AA5565">
        <v>0.97887380000000002</v>
      </c>
      <c r="AB5565">
        <v>26</v>
      </c>
      <c r="AC5565">
        <v>28.742000000000001</v>
      </c>
      <c r="AD5565">
        <v>-1.1216453985666901</v>
      </c>
      <c r="AE5565">
        <v>-5.5666999999999902</v>
      </c>
      <c r="AF5565">
        <v>6.0336311328308803</v>
      </c>
      <c r="AG5565">
        <v>-1.1216453985666901</v>
      </c>
      <c r="AH5565">
        <v>28.603764799573</v>
      </c>
      <c r="AI5565">
        <v>92.197297439767297</v>
      </c>
      <c r="AJ5565">
        <v>78.088737591809704</v>
      </c>
      <c r="AK5565">
        <v>29.254711650544099</v>
      </c>
      <c r="AL5565">
        <v>80.808188813905204</v>
      </c>
      <c r="AM5565">
        <v>89.6022360026314</v>
      </c>
      <c r="AN5565">
        <v>0.99999998245517696</v>
      </c>
    </row>
    <row r="5566" spans="1:40" x14ac:dyDescent="0.25">
      <c r="A5566" t="str">
        <f>"20190303162023611"</f>
        <v>20190303162023611</v>
      </c>
      <c r="B5566" t="str">
        <f>"1551601223597846"</f>
        <v>1551601223597846</v>
      </c>
      <c r="C5566" t="s">
        <v>40</v>
      </c>
      <c r="D5566">
        <v>5.0906900000000004</v>
      </c>
      <c r="E5566">
        <v>0.5779976</v>
      </c>
      <c r="F5566" t="s">
        <v>52</v>
      </c>
      <c r="G5566">
        <v>-211.75919999999999</v>
      </c>
      <c r="H5566" s="1">
        <v>-3.883136E-7</v>
      </c>
      <c r="I5566">
        <v>209.7586</v>
      </c>
      <c r="J5566">
        <v>-240.22389999999999</v>
      </c>
      <c r="K5566">
        <v>1.121645</v>
      </c>
      <c r="L5566">
        <v>215.387</v>
      </c>
      <c r="M5566">
        <v>0.99976370000000003</v>
      </c>
      <c r="N5566">
        <v>-1.396325E-2</v>
      </c>
      <c r="O5566">
        <v>1.6661370000000002E-2</v>
      </c>
      <c r="P5566">
        <v>0.98923240000000001</v>
      </c>
      <c r="Q5566">
        <v>0.1462832</v>
      </c>
      <c r="R5566">
        <v>4.5538280000000002E-3</v>
      </c>
      <c r="S5566">
        <v>3.0559539999999998</v>
      </c>
      <c r="T5566">
        <v>-0.11931799999999999</v>
      </c>
      <c r="U5566">
        <v>-0.59826659999999998</v>
      </c>
      <c r="V5566">
        <v>1.1912570000000001E-2</v>
      </c>
      <c r="W5566">
        <v>0.16008229999999901</v>
      </c>
      <c r="X5566">
        <v>0.98703180000000001</v>
      </c>
      <c r="Y5566">
        <v>0.20823520000000001</v>
      </c>
      <c r="Z5566">
        <v>-5.9078799999999999E-3</v>
      </c>
      <c r="AA5566">
        <v>0.97806090000000001</v>
      </c>
      <c r="AB5566">
        <v>26</v>
      </c>
      <c r="AC5566">
        <v>28.464700000000001</v>
      </c>
      <c r="AD5566">
        <v>-1.1216453883135999</v>
      </c>
      <c r="AE5566">
        <v>-5.6283999999999903</v>
      </c>
      <c r="AF5566">
        <v>6.0928211234291396</v>
      </c>
      <c r="AG5566">
        <v>-1.1216453883135999</v>
      </c>
      <c r="AH5566">
        <v>28.324636191271601</v>
      </c>
      <c r="AI5566">
        <v>92.217047300132407</v>
      </c>
      <c r="AJ5566">
        <v>77.860272539650794</v>
      </c>
      <c r="AK5566">
        <v>28.994233443688799</v>
      </c>
      <c r="AL5566">
        <v>80.788326884121403</v>
      </c>
      <c r="AM5566">
        <v>89.3085259797883</v>
      </c>
      <c r="AN5566">
        <v>1.0000000131542599</v>
      </c>
    </row>
    <row r="5567" spans="1:40" x14ac:dyDescent="0.25">
      <c r="A5567" t="str">
        <f>"20190303162023632"</f>
        <v>20190303162023632</v>
      </c>
      <c r="B5567" t="str">
        <f>"1551601223628103"</f>
        <v>1551601223628103</v>
      </c>
      <c r="C5567" t="s">
        <v>40</v>
      </c>
      <c r="D5567">
        <v>5.0665389999999997</v>
      </c>
      <c r="E5567">
        <v>0.57732249999999996</v>
      </c>
      <c r="F5567" t="s">
        <v>52</v>
      </c>
      <c r="G5567">
        <v>-211.85659999999999</v>
      </c>
      <c r="H5567" s="1">
        <v>-3.3428029999999998E-7</v>
      </c>
      <c r="I5567">
        <v>209.70910000000001</v>
      </c>
      <c r="J5567">
        <v>-239.971</v>
      </c>
      <c r="K5567">
        <v>1.1216429999999999</v>
      </c>
      <c r="L5567">
        <v>215.3913</v>
      </c>
      <c r="M5567">
        <v>0.99976240000000005</v>
      </c>
      <c r="N5567">
        <v>-1.3960419999999999E-2</v>
      </c>
      <c r="O5567">
        <v>1.674078E-2</v>
      </c>
      <c r="P5567">
        <v>0.98927969999999998</v>
      </c>
      <c r="Q5567">
        <v>0.14603379999999999</v>
      </c>
      <c r="R5567">
        <v>-2.5231579999999997E-4</v>
      </c>
      <c r="S5567">
        <v>3.0533139999999999</v>
      </c>
      <c r="T5567">
        <v>-0.1207285</v>
      </c>
      <c r="U5567">
        <v>-0.61114499999999905</v>
      </c>
      <c r="V5567">
        <v>1.6797610000000001E-2</v>
      </c>
      <c r="W5567">
        <v>0.15983</v>
      </c>
      <c r="X5567">
        <v>0.98700160000000003</v>
      </c>
      <c r="Y5567">
        <v>0.21243100000000001</v>
      </c>
      <c r="Z5567">
        <v>-6.0793230000000002E-3</v>
      </c>
      <c r="AA5567">
        <v>0.97715719999999995</v>
      </c>
      <c r="AB5567">
        <v>26</v>
      </c>
      <c r="AC5567">
        <v>28.1143999999999</v>
      </c>
      <c r="AD5567">
        <v>-1.1216433342803001</v>
      </c>
      <c r="AE5567">
        <v>-5.6821999999999901</v>
      </c>
      <c r="AF5567">
        <v>6.1427129755302001</v>
      </c>
      <c r="AG5567">
        <v>-1.1216433342803001</v>
      </c>
      <c r="AH5567">
        <v>27.972550005373002</v>
      </c>
      <c r="AI5567">
        <v>92.242831040115703</v>
      </c>
      <c r="AJ5567">
        <v>77.614558881342205</v>
      </c>
      <c r="AK5567">
        <v>28.661028597595301</v>
      </c>
      <c r="AL5567">
        <v>80.802970799311097</v>
      </c>
      <c r="AM5567">
        <v>89.024987137531198</v>
      </c>
      <c r="AN5567">
        <v>0.99999997350213499</v>
      </c>
    </row>
    <row r="5568" spans="1:40" x14ac:dyDescent="0.25">
      <c r="A5568" t="str">
        <f>"20190303162023655"</f>
        <v>20190303162023655</v>
      </c>
      <c r="B5568" t="str">
        <f>"1551601223648600"</f>
        <v>1551601223648600</v>
      </c>
      <c r="C5568" t="s">
        <v>40</v>
      </c>
      <c r="D5568">
        <v>5.0603569999999998</v>
      </c>
      <c r="E5568">
        <v>0.57668160000000002</v>
      </c>
      <c r="F5568" t="s">
        <v>52</v>
      </c>
      <c r="G5568">
        <v>-212.83150000000001</v>
      </c>
      <c r="H5568" s="1">
        <v>1.77247E-7</v>
      </c>
      <c r="I5568">
        <v>209.87479999999999</v>
      </c>
      <c r="J5568">
        <v>-239.70529999999999</v>
      </c>
      <c r="K5568">
        <v>1.1216469999999901</v>
      </c>
      <c r="L5568">
        <v>215.39580000000001</v>
      </c>
      <c r="M5568">
        <v>0.99976120000000002</v>
      </c>
      <c r="N5568">
        <v>-1.3957550000000001E-2</v>
      </c>
      <c r="O5568">
        <v>1.6824059999999998E-2</v>
      </c>
      <c r="P5568">
        <v>0.98922690000000002</v>
      </c>
      <c r="Q5568">
        <v>0.146320899999999</v>
      </c>
      <c r="R5568">
        <v>-4.5358719999999998E-3</v>
      </c>
      <c r="S5568">
        <v>3.0509490000000001</v>
      </c>
      <c r="T5568">
        <v>-0.1260918</v>
      </c>
      <c r="U5568">
        <v>-0.62014769999999997</v>
      </c>
      <c r="V5568">
        <v>2.1161989999999999E-2</v>
      </c>
      <c r="W5568">
        <v>0.16011339999999999</v>
      </c>
      <c r="X5568">
        <v>0.98687179999999997</v>
      </c>
      <c r="Y5568">
        <v>0.2154064</v>
      </c>
      <c r="Z5568">
        <v>-6.3797150000000002E-3</v>
      </c>
      <c r="AA5568">
        <v>0.97650369999999997</v>
      </c>
      <c r="AB5568">
        <v>26</v>
      </c>
      <c r="AC5568">
        <v>26.8737999999999</v>
      </c>
      <c r="AD5568">
        <v>-1.1216468227530001</v>
      </c>
      <c r="AE5568">
        <v>-5.5210000000000097</v>
      </c>
      <c r="AF5568">
        <v>5.9624227814018802</v>
      </c>
      <c r="AG5568">
        <v>-1.1216468227530001</v>
      </c>
      <c r="AH5568">
        <v>26.732418398061501</v>
      </c>
      <c r="AI5568">
        <v>92.345068520622107</v>
      </c>
      <c r="AJ5568">
        <v>77.426500393910501</v>
      </c>
      <c r="AK5568">
        <v>27.412237603453502</v>
      </c>
      <c r="AL5568">
        <v>80.786521951572595</v>
      </c>
      <c r="AM5568">
        <v>88.771565952150397</v>
      </c>
      <c r="AN5568">
        <v>1.00000004015777</v>
      </c>
    </row>
    <row r="5569" spans="1:40" x14ac:dyDescent="0.25">
      <c r="A5569" t="str">
        <f>"20190303162023677"</f>
        <v>20190303162023677</v>
      </c>
      <c r="B5569" t="str">
        <f>"1551601223667782"</f>
        <v>1551601223667782</v>
      </c>
      <c r="C5569" t="s">
        <v>40</v>
      </c>
      <c r="D5569">
        <v>5.0015039999999997</v>
      </c>
      <c r="E5569">
        <v>0.54779609999999901</v>
      </c>
      <c r="F5569" t="s">
        <v>52</v>
      </c>
      <c r="G5569">
        <v>-213.04560000000001</v>
      </c>
      <c r="H5569" s="1">
        <v>2.898354E-7</v>
      </c>
      <c r="I5569">
        <v>209.90520000000001</v>
      </c>
      <c r="J5569">
        <v>-239.45259999999999</v>
      </c>
      <c r="K5569">
        <v>1.1216390000000001</v>
      </c>
      <c r="L5569">
        <v>215.40010000000001</v>
      </c>
      <c r="M5569">
        <v>0.99975990000000003</v>
      </c>
      <c r="N5569">
        <v>-1.395473E-2</v>
      </c>
      <c r="O5569">
        <v>1.6903109999999999E-2</v>
      </c>
      <c r="P5569">
        <v>0.98931550000000001</v>
      </c>
      <c r="Q5569">
        <v>0.14554539999999999</v>
      </c>
      <c r="R5569">
        <v>-8.4615819999999901E-3</v>
      </c>
      <c r="S5569">
        <v>3.0487820000000001</v>
      </c>
      <c r="T5569">
        <v>-0.12827060000000001</v>
      </c>
      <c r="U5569">
        <v>-0.62789919999999899</v>
      </c>
      <c r="V5569">
        <v>2.516703E-2</v>
      </c>
      <c r="W5569">
        <v>0.1593358</v>
      </c>
      <c r="X5569">
        <v>0.98690359999999999</v>
      </c>
      <c r="Y5569">
        <v>0.2179905</v>
      </c>
      <c r="Z5569">
        <v>-6.544373E-3</v>
      </c>
      <c r="AA5569">
        <v>0.97592900000000005</v>
      </c>
      <c r="AB5569">
        <v>26</v>
      </c>
      <c r="AC5569">
        <v>26.406999999999901</v>
      </c>
      <c r="AD5569">
        <v>-1.1216387101645999</v>
      </c>
      <c r="AE5569">
        <v>-5.4949000000000003</v>
      </c>
      <c r="AF5569">
        <v>5.9302636926117902</v>
      </c>
      <c r="AG5569">
        <v>-1.1216387101645999</v>
      </c>
      <c r="AH5569">
        <v>26.264917900599599</v>
      </c>
      <c r="AI5569">
        <v>92.385346257497204</v>
      </c>
      <c r="AJ5569">
        <v>77.276732403529607</v>
      </c>
      <c r="AK5569">
        <v>26.949434375980601</v>
      </c>
      <c r="AL5569">
        <v>80.831654172050904</v>
      </c>
      <c r="AM5569">
        <v>88.5392168460953</v>
      </c>
      <c r="AN5569">
        <v>0.99999999612681001</v>
      </c>
    </row>
    <row r="5570" spans="1:40" x14ac:dyDescent="0.25">
      <c r="A5570" t="str">
        <f>"20190303162023699"</f>
        <v>20190303162023699</v>
      </c>
      <c r="B5570" t="str">
        <f>"1551601223688278"</f>
        <v>1551601223688278</v>
      </c>
      <c r="C5570" t="s">
        <v>40</v>
      </c>
      <c r="D5570">
        <v>4.9314790000000004</v>
      </c>
      <c r="E5570">
        <v>0.54450679999999996</v>
      </c>
      <c r="F5570" t="s">
        <v>52</v>
      </c>
      <c r="G5570">
        <v>-210.23500000000001</v>
      </c>
      <c r="H5570" s="1">
        <v>-1.274635E-6</v>
      </c>
      <c r="I5570">
        <v>211.4802</v>
      </c>
      <c r="J5570">
        <v>-239.18450000000001</v>
      </c>
      <c r="K5570">
        <v>1.1216410000000001</v>
      </c>
      <c r="L5570">
        <v>215.40469999999999</v>
      </c>
      <c r="M5570">
        <v>0.99975840000000005</v>
      </c>
      <c r="N5570">
        <v>-1.395178E-2</v>
      </c>
      <c r="O5570">
        <v>1.6987519999999999E-2</v>
      </c>
      <c r="P5570">
        <v>0.98939560000000004</v>
      </c>
      <c r="Q5570">
        <v>0.144768799999999</v>
      </c>
      <c r="R5570">
        <v>-1.17801E-2</v>
      </c>
      <c r="S5570">
        <v>3.0461119999999999</v>
      </c>
      <c r="T5570">
        <v>-0.116938</v>
      </c>
      <c r="U5570">
        <v>-0.40867609999999999</v>
      </c>
      <c r="V5570">
        <v>2.857005E-2</v>
      </c>
      <c r="W5570">
        <v>0.15855669999999999</v>
      </c>
      <c r="X5570">
        <v>0.98693649999999999</v>
      </c>
      <c r="Y5570">
        <v>0.14963770000000001</v>
      </c>
      <c r="Z5570">
        <v>-4.3207779999999999E-3</v>
      </c>
      <c r="AA5570">
        <v>0.98873140000000004</v>
      </c>
      <c r="AB5570">
        <v>26</v>
      </c>
      <c r="AC5570">
        <v>28.9495</v>
      </c>
      <c r="AD5570">
        <v>-1.1216422746350001</v>
      </c>
      <c r="AE5570">
        <v>-3.9244999999999899</v>
      </c>
      <c r="AF5570">
        <v>4.4092620935441396</v>
      </c>
      <c r="AG5570">
        <v>-1.1216422746350001</v>
      </c>
      <c r="AH5570">
        <v>28.8361413522627</v>
      </c>
      <c r="AI5570">
        <v>92.201949521204497</v>
      </c>
      <c r="AJ5570">
        <v>81.306382919314302</v>
      </c>
      <c r="AK5570">
        <v>29.192853949031601</v>
      </c>
      <c r="AL5570">
        <v>80.876868742598006</v>
      </c>
      <c r="AM5570">
        <v>88.341852527609703</v>
      </c>
      <c r="AN5570">
        <v>1.00000006495206</v>
      </c>
    </row>
    <row r="5571" spans="1:40" x14ac:dyDescent="0.25">
      <c r="A5571" t="str">
        <f>"20190303162023722"</f>
        <v>20190303162023722</v>
      </c>
      <c r="B5571" t="str">
        <f>"1551601223717558"</f>
        <v>1551601223717558</v>
      </c>
      <c r="C5571" t="s">
        <v>40</v>
      </c>
      <c r="D5571">
        <v>4.8454050000000004</v>
      </c>
      <c r="E5571">
        <v>0.544091199999999</v>
      </c>
      <c r="F5571" t="s">
        <v>49</v>
      </c>
      <c r="G5571">
        <v>-207.9563</v>
      </c>
      <c r="H5571" s="1">
        <v>6.0292790000000001E-6</v>
      </c>
      <c r="I5571">
        <v>211.36779999999999</v>
      </c>
      <c r="J5571">
        <v>-238.9282</v>
      </c>
      <c r="K5571">
        <v>1.1216390000000001</v>
      </c>
      <c r="L5571">
        <v>215.4091</v>
      </c>
      <c r="M5571">
        <v>0.99975709999999995</v>
      </c>
      <c r="N5571">
        <v>-1.394899E-2</v>
      </c>
      <c r="O5571">
        <v>1.706794E-2</v>
      </c>
      <c r="P5571">
        <v>0.98947419999999997</v>
      </c>
      <c r="Q5571">
        <v>0.14379910000000001</v>
      </c>
      <c r="R5571">
        <v>-1.6213350000000001E-2</v>
      </c>
      <c r="S5571">
        <v>3.043472</v>
      </c>
      <c r="T5571">
        <v>-0.1093137</v>
      </c>
      <c r="U5571">
        <v>-0.39343260000000002</v>
      </c>
      <c r="V5571">
        <v>3.3083769999999998E-2</v>
      </c>
      <c r="W5571">
        <v>0.1575848</v>
      </c>
      <c r="X5571">
        <v>0.98695109999999997</v>
      </c>
      <c r="Y5571">
        <v>0.144982</v>
      </c>
      <c r="Z5571">
        <v>-3.9813849999999996E-3</v>
      </c>
      <c r="AA5571">
        <v>0.98942629999999998</v>
      </c>
      <c r="AB5571">
        <v>26</v>
      </c>
      <c r="AC5571">
        <v>30.971900000000002</v>
      </c>
      <c r="AD5571">
        <v>-1.121632970721</v>
      </c>
      <c r="AE5571">
        <v>-4.0412999999999997</v>
      </c>
      <c r="AF5571">
        <v>4.5635043169951004</v>
      </c>
      <c r="AG5571">
        <v>-1.121632970721</v>
      </c>
      <c r="AH5571">
        <v>30.858610811241999</v>
      </c>
      <c r="AI5571">
        <v>92.059264800810496</v>
      </c>
      <c r="AJ5571">
        <v>81.587823791515206</v>
      </c>
      <c r="AK5571">
        <v>31.214379592936702</v>
      </c>
      <c r="AL5571">
        <v>80.933262825731404</v>
      </c>
      <c r="AM5571">
        <v>88.080096496156699</v>
      </c>
      <c r="AN5571">
        <v>0.99999998940983104</v>
      </c>
    </row>
    <row r="5572" spans="1:40" x14ac:dyDescent="0.25">
      <c r="A5572" t="str">
        <f>"20190303162023745"</f>
        <v>20190303162023745</v>
      </c>
      <c r="B5572" t="str">
        <f>"1551601223738054"</f>
        <v>1551601223738054</v>
      </c>
      <c r="C5572" t="s">
        <v>40</v>
      </c>
      <c r="D5572">
        <v>4.7877199999999904</v>
      </c>
      <c r="E5572">
        <v>0.54371369999999997</v>
      </c>
      <c r="F5572" t="s">
        <v>49</v>
      </c>
      <c r="G5572">
        <v>-207.53210000000001</v>
      </c>
      <c r="H5572" s="1">
        <v>5.8517269999999999E-6</v>
      </c>
      <c r="I5572">
        <v>211.24700000000001</v>
      </c>
      <c r="J5572">
        <v>-238.66370000000001</v>
      </c>
      <c r="K5572">
        <v>1.1216269999999999</v>
      </c>
      <c r="L5572">
        <v>215.41370000000001</v>
      </c>
      <c r="M5572">
        <v>0.99975570000000002</v>
      </c>
      <c r="N5572">
        <v>-1.3946129999999999E-2</v>
      </c>
      <c r="O5572">
        <v>1.7151039999999999E-2</v>
      </c>
      <c r="P5572">
        <v>0.98936179999999996</v>
      </c>
      <c r="Q5572">
        <v>0.143957</v>
      </c>
      <c r="R5572">
        <v>-2.097624E-2</v>
      </c>
      <c r="S5572">
        <v>3.0411069999999998</v>
      </c>
      <c r="T5572">
        <v>-0.1086445</v>
      </c>
      <c r="U5572">
        <v>-0.40315250000000002</v>
      </c>
      <c r="V5572">
        <v>3.7926219999999997E-2</v>
      </c>
      <c r="W5572">
        <v>0.15773789999999999</v>
      </c>
      <c r="X5572">
        <v>0.98675250000000003</v>
      </c>
      <c r="Y5572">
        <v>0.1482687</v>
      </c>
      <c r="Z5572">
        <v>-4.046961E-3</v>
      </c>
      <c r="AA5572">
        <v>0.98893880000000001</v>
      </c>
      <c r="AB5572">
        <v>26</v>
      </c>
      <c r="AC5572">
        <v>31.131599999999899</v>
      </c>
      <c r="AD5572">
        <v>-1.1216211482730001</v>
      </c>
      <c r="AE5572">
        <v>-4.1666999999999899</v>
      </c>
      <c r="AF5572">
        <v>4.6940923092885303</v>
      </c>
      <c r="AG5572">
        <v>-1.1216211482730001</v>
      </c>
      <c r="AH5572">
        <v>31.015998152721298</v>
      </c>
      <c r="AI5572">
        <v>92.047766434058403</v>
      </c>
      <c r="AJ5572">
        <v>81.393925454793504</v>
      </c>
      <c r="AK5572">
        <v>31.3892446232461</v>
      </c>
      <c r="AL5572">
        <v>80.924380478571095</v>
      </c>
      <c r="AM5572">
        <v>87.798897659204698</v>
      </c>
      <c r="AN5572">
        <v>1.00000006975807</v>
      </c>
    </row>
    <row r="5573" spans="1:40" x14ac:dyDescent="0.25">
      <c r="A5573" t="str">
        <f>"20190303162023767"</f>
        <v>20190303162023767</v>
      </c>
      <c r="B5573" t="str">
        <f>"1551601223758551"</f>
        <v>1551601223758551</v>
      </c>
      <c r="C5573" t="s">
        <v>40</v>
      </c>
      <c r="D5573">
        <v>4.7234660000000002</v>
      </c>
      <c r="E5573">
        <v>0.54338050000000004</v>
      </c>
      <c r="F5573" t="s">
        <v>49</v>
      </c>
      <c r="G5573">
        <v>-206.28569999999999</v>
      </c>
      <c r="H5573" s="1">
        <v>5.3201309999999999E-6</v>
      </c>
      <c r="I5573">
        <v>211.005</v>
      </c>
      <c r="J5573">
        <v>-238.40700000000001</v>
      </c>
      <c r="K5573">
        <v>1.121626</v>
      </c>
      <c r="L5573">
        <v>215.41820000000001</v>
      </c>
      <c r="M5573">
        <v>0.99975440000000004</v>
      </c>
      <c r="N5573">
        <v>-1.3943550000000001E-2</v>
      </c>
      <c r="O5573">
        <v>1.7231940000000001E-2</v>
      </c>
      <c r="P5573">
        <v>0.98929290000000003</v>
      </c>
      <c r="Q5573">
        <v>0.14383750000000001</v>
      </c>
      <c r="R5573">
        <v>-2.4708219999999999E-2</v>
      </c>
      <c r="S5573">
        <v>3.0388030000000001</v>
      </c>
      <c r="T5573">
        <v>-0.1052685</v>
      </c>
      <c r="U5573">
        <v>-0.41377259999999999</v>
      </c>
      <c r="V5573">
        <v>4.173673E-2</v>
      </c>
      <c r="W5573">
        <v>0.15761449999999999</v>
      </c>
      <c r="X5573">
        <v>0.98661829999999995</v>
      </c>
      <c r="Y5573">
        <v>0.15184439999999999</v>
      </c>
      <c r="Z5573">
        <v>-4.0362719999999996E-3</v>
      </c>
      <c r="AA5573">
        <v>0.98839619999999995</v>
      </c>
      <c r="AB5573">
        <v>26</v>
      </c>
      <c r="AC5573">
        <v>32.121299999999998</v>
      </c>
      <c r="AD5573">
        <v>-1.121620679869</v>
      </c>
      <c r="AE5573">
        <v>-4.4132000000000096</v>
      </c>
      <c r="AF5573">
        <v>4.9601748379424402</v>
      </c>
      <c r="AG5573">
        <v>-1.121620679869</v>
      </c>
      <c r="AH5573">
        <v>32.002177376947998</v>
      </c>
      <c r="AI5573">
        <v>91.983629701318804</v>
      </c>
      <c r="AJ5573">
        <v>81.189551395678805</v>
      </c>
      <c r="AK5573">
        <v>32.403714667274002</v>
      </c>
      <c r="AL5573">
        <v>80.931539497847098</v>
      </c>
      <c r="AM5573">
        <v>87.577671574122107</v>
      </c>
      <c r="AN5573">
        <v>0.99999997756811598</v>
      </c>
    </row>
    <row r="5574" spans="1:40" x14ac:dyDescent="0.25">
      <c r="A5574" t="str">
        <f>"20190303162023789"</f>
        <v>20190303162023789</v>
      </c>
      <c r="B5574" t="str">
        <f>"1551601223778233"</f>
        <v>1551601223778233</v>
      </c>
      <c r="C5574" t="s">
        <v>40</v>
      </c>
      <c r="D5574">
        <v>4.6667209999999999</v>
      </c>
      <c r="E5574">
        <v>0.54303049999999997</v>
      </c>
      <c r="F5574" t="s">
        <v>49</v>
      </c>
      <c r="G5574">
        <v>-204.90479999999999</v>
      </c>
      <c r="H5574" s="1">
        <v>4.7291729999999999E-6</v>
      </c>
      <c r="I5574">
        <v>210.7604</v>
      </c>
      <c r="J5574">
        <v>-238.14529999999999</v>
      </c>
      <c r="K5574">
        <v>1.121624</v>
      </c>
      <c r="L5574">
        <v>215.4228</v>
      </c>
      <c r="M5574">
        <v>0.99975290000000006</v>
      </c>
      <c r="N5574">
        <v>-1.3940869999999999E-2</v>
      </c>
      <c r="O5574">
        <v>1.731415E-2</v>
      </c>
      <c r="P5574">
        <v>0.98925200000000002</v>
      </c>
      <c r="Q5574">
        <v>0.14316980000000001</v>
      </c>
      <c r="R5574">
        <v>-2.971348E-2</v>
      </c>
      <c r="S5574">
        <v>3.0366970000000002</v>
      </c>
      <c r="T5574">
        <v>-0.1016659</v>
      </c>
      <c r="U5574">
        <v>-0.4221954</v>
      </c>
      <c r="V5574">
        <v>4.6822030000000001E-2</v>
      </c>
      <c r="W5574">
        <v>0.15694249999999901</v>
      </c>
      <c r="X5574">
        <v>0.98649719999999996</v>
      </c>
      <c r="Y5574">
        <v>0.1547125</v>
      </c>
      <c r="Z5574">
        <v>-3.9975089999999998E-3</v>
      </c>
      <c r="AA5574">
        <v>0.98795149999999998</v>
      </c>
      <c r="AB5574">
        <v>26</v>
      </c>
      <c r="AC5574">
        <v>33.240499999999997</v>
      </c>
      <c r="AD5574">
        <v>-1.1216192708270001</v>
      </c>
      <c r="AE5574">
        <v>-4.6623999999999901</v>
      </c>
      <c r="AF5574">
        <v>5.2314465129817904</v>
      </c>
      <c r="AG5574">
        <v>-1.1216192708270001</v>
      </c>
      <c r="AH5574">
        <v>33.117803817109902</v>
      </c>
      <c r="AI5574">
        <v>91.915987589014406</v>
      </c>
      <c r="AJ5574">
        <v>81.023458004698895</v>
      </c>
      <c r="AK5574">
        <v>33.547205428700899</v>
      </c>
      <c r="AL5574">
        <v>80.970527593573905</v>
      </c>
      <c r="AM5574">
        <v>87.282614732555302</v>
      </c>
      <c r="AN5574">
        <v>0.99999998820370495</v>
      </c>
    </row>
    <row r="5575" spans="1:40" x14ac:dyDescent="0.25">
      <c r="A5575" t="str">
        <f>"20190303162023824"</f>
        <v>20190303162023824</v>
      </c>
      <c r="B5575" t="str">
        <f>"1551601223818249"</f>
        <v>1551601223818249</v>
      </c>
      <c r="C5575" t="s">
        <v>40</v>
      </c>
      <c r="D5575">
        <v>4.5654769999999996</v>
      </c>
      <c r="E5575">
        <v>0.54172519999999902</v>
      </c>
      <c r="F5575" t="s">
        <v>49</v>
      </c>
      <c r="G5575">
        <v>-204.255</v>
      </c>
      <c r="H5575" s="1">
        <v>4.4572649999999998E-6</v>
      </c>
      <c r="I5575">
        <v>210.57409999999999</v>
      </c>
      <c r="J5575">
        <v>-237.75659999999999</v>
      </c>
      <c r="K5575">
        <v>1.121623</v>
      </c>
      <c r="L5575">
        <v>215.42959999999999</v>
      </c>
      <c r="M5575">
        <v>0.99975099999999995</v>
      </c>
      <c r="N5575">
        <v>-1.3936779999999999E-2</v>
      </c>
      <c r="O5575">
        <v>1.743635E-2</v>
      </c>
      <c r="P5575">
        <v>0.98914360000000001</v>
      </c>
      <c r="Q5575">
        <v>0.1429182</v>
      </c>
      <c r="R5575">
        <v>-3.4202040000000003E-2</v>
      </c>
      <c r="S5575">
        <v>3.034103</v>
      </c>
      <c r="T5575">
        <v>-0.1004153</v>
      </c>
      <c r="U5575">
        <v>-0.43408200000000002</v>
      </c>
      <c r="V5575">
        <v>5.1428790000000002E-2</v>
      </c>
      <c r="W5575">
        <v>0.15668489999999999</v>
      </c>
      <c r="X5575">
        <v>0.98630879999999999</v>
      </c>
      <c r="Y5575">
        <v>0.15874150000000001</v>
      </c>
      <c r="Z5575">
        <v>-4.0575239999999999E-3</v>
      </c>
      <c r="AA5575">
        <v>0.98731179999999996</v>
      </c>
      <c r="AB5575">
        <v>26</v>
      </c>
      <c r="AC5575">
        <v>33.501600000000003</v>
      </c>
      <c r="AD5575">
        <v>-1.1216185427350001</v>
      </c>
      <c r="AE5575">
        <v>-4.8555000000000001</v>
      </c>
      <c r="AF5575">
        <v>5.4329995135507403</v>
      </c>
      <c r="AG5575">
        <v>-1.1216185427350001</v>
      </c>
      <c r="AH5575">
        <v>33.375195579855102</v>
      </c>
      <c r="AI5575">
        <v>91.899789577570601</v>
      </c>
      <c r="AJ5575">
        <v>80.754174672766297</v>
      </c>
      <c r="AK5575">
        <v>33.8331079249783</v>
      </c>
      <c r="AL5575">
        <v>80.985472559954204</v>
      </c>
      <c r="AM5575">
        <v>87.015147336418906</v>
      </c>
      <c r="AN5575">
        <v>1.0000000636431501</v>
      </c>
    </row>
    <row r="5576" spans="1:40" x14ac:dyDescent="0.25">
      <c r="A5576" t="str">
        <f>"20190303162023846"</f>
        <v>20190303162023846</v>
      </c>
      <c r="B5576" t="str">
        <f>"1551601223837769"</f>
        <v>1551601223837769</v>
      </c>
      <c r="C5576" t="s">
        <v>40</v>
      </c>
      <c r="D5576">
        <v>4.5661829999999997</v>
      </c>
      <c r="E5576">
        <v>0.54115029999999997</v>
      </c>
      <c r="F5576" t="s">
        <v>49</v>
      </c>
      <c r="G5576">
        <v>-201.85929999999999</v>
      </c>
      <c r="H5576" s="1">
        <v>3.4224219999999998E-6</v>
      </c>
      <c r="I5576">
        <v>210.25909999999999</v>
      </c>
      <c r="J5576">
        <v>-237.50190000000001</v>
      </c>
      <c r="K5576">
        <v>1.1216269999999999</v>
      </c>
      <c r="L5576">
        <v>215.4341</v>
      </c>
      <c r="M5576">
        <v>0.99974949999999996</v>
      </c>
      <c r="N5576">
        <v>-1.3934129999999999E-2</v>
      </c>
      <c r="O5576">
        <v>1.7516420000000001E-2</v>
      </c>
      <c r="P5576">
        <v>0.98906110000000003</v>
      </c>
      <c r="Q5576">
        <v>0.14282010000000001</v>
      </c>
      <c r="R5576">
        <v>-3.6884489999999999E-2</v>
      </c>
      <c r="S5576">
        <v>3.0315249999999998</v>
      </c>
      <c r="T5576">
        <v>-9.4720600000000002E-2</v>
      </c>
      <c r="U5576">
        <v>-0.43664550000000002</v>
      </c>
      <c r="V5576">
        <v>5.4188809999999997E-2</v>
      </c>
      <c r="W5576">
        <v>0.15658269999999999</v>
      </c>
      <c r="X5576">
        <v>0.98617719999999998</v>
      </c>
      <c r="Y5576">
        <v>0.1597674</v>
      </c>
      <c r="Z5576">
        <v>-3.9036159999999999E-3</v>
      </c>
      <c r="AA5576">
        <v>0.987147</v>
      </c>
      <c r="AB5576">
        <v>26</v>
      </c>
      <c r="AC5576">
        <v>35.642600000000002</v>
      </c>
      <c r="AD5576">
        <v>-1.1216235775779999</v>
      </c>
      <c r="AE5576">
        <v>-5.1750000000000096</v>
      </c>
      <c r="AF5576">
        <v>5.7929790273646597</v>
      </c>
      <c r="AG5576">
        <v>-1.1216235775779999</v>
      </c>
      <c r="AH5576">
        <v>35.5120335995258</v>
      </c>
      <c r="AI5576">
        <v>91.785462613522796</v>
      </c>
      <c r="AJ5576">
        <v>80.735105183514804</v>
      </c>
      <c r="AK5576">
        <v>35.998905203285197</v>
      </c>
      <c r="AL5576">
        <v>80.991400967447603</v>
      </c>
      <c r="AM5576">
        <v>86.854854307802299</v>
      </c>
      <c r="AN5576">
        <v>1.0000000194341701</v>
      </c>
    </row>
    <row r="5577" spans="1:40" x14ac:dyDescent="0.25">
      <c r="A5577" t="str">
        <f>"20190303162023867"</f>
        <v>20190303162023867</v>
      </c>
      <c r="B5577" t="str">
        <f>"1551601223858265"</f>
        <v>1551601223858265</v>
      </c>
      <c r="C5577" t="s">
        <v>40</v>
      </c>
      <c r="D5577">
        <v>4.5272110000000003</v>
      </c>
      <c r="E5577">
        <v>0.54048249999999998</v>
      </c>
      <c r="F5577" t="s">
        <v>49</v>
      </c>
      <c r="G5577">
        <v>-200.55699999999999</v>
      </c>
      <c r="H5577" s="1">
        <v>2.861567E-6</v>
      </c>
      <c r="I5577">
        <v>210.06870000000001</v>
      </c>
      <c r="J5577">
        <v>-237.25049999999999</v>
      </c>
      <c r="K5577">
        <v>1.1216330000000001</v>
      </c>
      <c r="L5577">
        <v>215.43860000000001</v>
      </c>
      <c r="M5577">
        <v>0.99974819999999998</v>
      </c>
      <c r="N5577">
        <v>-1.3931549999999999E-2</v>
      </c>
      <c r="O5577">
        <v>1.7595639999999999E-2</v>
      </c>
      <c r="P5577">
        <v>0.98885650000000003</v>
      </c>
      <c r="Q5577">
        <v>0.1435342</v>
      </c>
      <c r="R5577">
        <v>-3.9506939999999997E-2</v>
      </c>
      <c r="S5577">
        <v>3.0300600000000002</v>
      </c>
      <c r="T5577">
        <v>-9.1990710000000003E-2</v>
      </c>
      <c r="U5577">
        <v>-0.4400482</v>
      </c>
      <c r="V5577">
        <v>5.6885449999999997E-2</v>
      </c>
      <c r="W5577">
        <v>0.15729099999999999</v>
      </c>
      <c r="X5577">
        <v>0.98591260000000003</v>
      </c>
      <c r="Y5577">
        <v>0.16100329999999999</v>
      </c>
      <c r="Z5577">
        <v>-3.8461319999999999E-3</v>
      </c>
      <c r="AA5577">
        <v>0.98694630000000005</v>
      </c>
      <c r="AB5577">
        <v>26</v>
      </c>
      <c r="AC5577">
        <v>36.693499999999901</v>
      </c>
      <c r="AD5577">
        <v>-1.1216301384330001</v>
      </c>
      <c r="AE5577">
        <v>-5.3699000000000003</v>
      </c>
      <c r="AF5577">
        <v>6.0092795401241696</v>
      </c>
      <c r="AG5577">
        <v>-1.1216301384330001</v>
      </c>
      <c r="AH5577">
        <v>36.559877839881899</v>
      </c>
      <c r="AI5577">
        <v>91.733988272590494</v>
      </c>
      <c r="AJ5577">
        <v>80.665861243478901</v>
      </c>
      <c r="AK5577">
        <v>37.067427243145502</v>
      </c>
      <c r="AL5577">
        <v>80.950309316246603</v>
      </c>
      <c r="AM5577">
        <v>86.697793924455894</v>
      </c>
      <c r="AN5577">
        <v>1.00000003397073</v>
      </c>
    </row>
    <row r="5578" spans="1:40" x14ac:dyDescent="0.25">
      <c r="A5578" t="str">
        <f>"20190303162023890"</f>
        <v>20190303162023890</v>
      </c>
      <c r="B5578" t="str">
        <f>"1551601223877785"</f>
        <v>1551601223877785</v>
      </c>
      <c r="C5578" t="s">
        <v>40</v>
      </c>
      <c r="D5578">
        <v>4.4665499999999998</v>
      </c>
      <c r="E5578">
        <v>0.5399275</v>
      </c>
      <c r="F5578" t="s">
        <v>49</v>
      </c>
      <c r="G5578">
        <v>-197.99680000000001</v>
      </c>
      <c r="H5578" s="1">
        <v>2.9757920000000002E-6</v>
      </c>
      <c r="I5578">
        <v>209.7012</v>
      </c>
      <c r="J5578">
        <v>-236.9828</v>
      </c>
      <c r="K5578">
        <v>1.12164</v>
      </c>
      <c r="L5578">
        <v>215.4434</v>
      </c>
      <c r="M5578">
        <v>0.99974680000000005</v>
      </c>
      <c r="N5578">
        <v>-1.392884E-2</v>
      </c>
      <c r="O5578">
        <v>1.76797E-2</v>
      </c>
      <c r="P5578">
        <v>0.98876410000000003</v>
      </c>
      <c r="Q5578">
        <v>0.14358850000000001</v>
      </c>
      <c r="R5578">
        <v>-4.157102E-2</v>
      </c>
      <c r="S5578">
        <v>3.0286710000000001</v>
      </c>
      <c r="T5578">
        <v>-8.6540820000000004E-2</v>
      </c>
      <c r="U5578">
        <v>-0.44267269999999997</v>
      </c>
      <c r="V5578">
        <v>5.9030609999999997E-2</v>
      </c>
      <c r="W5578">
        <v>0.15734089999999901</v>
      </c>
      <c r="X5578">
        <v>0.9857785</v>
      </c>
      <c r="Y5578">
        <v>0.16199820000000001</v>
      </c>
      <c r="Z5578">
        <v>-3.694017E-3</v>
      </c>
      <c r="AA5578">
        <v>0.9867842</v>
      </c>
      <c r="AB5578">
        <v>26</v>
      </c>
      <c r="AC5578">
        <v>38.985999999999898</v>
      </c>
      <c r="AD5578">
        <v>-1.121637024208</v>
      </c>
      <c r="AE5578">
        <v>-5.7421999999999898</v>
      </c>
      <c r="AF5578">
        <v>6.4254243318997002</v>
      </c>
      <c r="AG5578">
        <v>-1.121637024208</v>
      </c>
      <c r="AH5578">
        <v>38.8469032761937</v>
      </c>
      <c r="AI5578">
        <v>91.631699365289805</v>
      </c>
      <c r="AJ5578">
        <v>80.608095076571402</v>
      </c>
      <c r="AK5578">
        <v>39.390684706018902</v>
      </c>
      <c r="AL5578">
        <v>80.947414001920507</v>
      </c>
      <c r="AM5578">
        <v>86.573093485958097</v>
      </c>
      <c r="AN5578">
        <v>1.0000000113960099</v>
      </c>
    </row>
    <row r="5579" spans="1:40" x14ac:dyDescent="0.25">
      <c r="A5579" t="str">
        <f>"20190303162023912"</f>
        <v>20190303162023912</v>
      </c>
      <c r="B5579" t="str">
        <f>"1551601223908041"</f>
        <v>1551601223908041</v>
      </c>
      <c r="C5579" t="s">
        <v>40</v>
      </c>
      <c r="D5579">
        <v>4.4507459999999996</v>
      </c>
      <c r="E5579">
        <v>0.53184100000000001</v>
      </c>
      <c r="F5579" t="s">
        <v>49</v>
      </c>
      <c r="G5579">
        <v>-196.3271</v>
      </c>
      <c r="H5579" s="1">
        <v>3.315796E-6</v>
      </c>
      <c r="I5579">
        <v>209.47880000000001</v>
      </c>
      <c r="J5579">
        <v>-236.73140000000001</v>
      </c>
      <c r="K5579">
        <v>1.121645</v>
      </c>
      <c r="L5579">
        <v>215.4479</v>
      </c>
      <c r="M5579">
        <v>0.99974540000000001</v>
      </c>
      <c r="N5579">
        <v>-1.3926300000000001E-2</v>
      </c>
      <c r="O5579">
        <v>1.7758860000000001E-2</v>
      </c>
      <c r="P5579">
        <v>0.98861600000000005</v>
      </c>
      <c r="Q5579">
        <v>0.14428959999999999</v>
      </c>
      <c r="R5579">
        <v>-4.2650149999999998E-2</v>
      </c>
      <c r="S5579">
        <v>3.027542</v>
      </c>
      <c r="T5579">
        <v>-8.3525899999999903E-2</v>
      </c>
      <c r="U5579">
        <v>-0.44416810000000001</v>
      </c>
      <c r="V5579">
        <v>6.0185259999999997E-2</v>
      </c>
      <c r="W5579">
        <v>0.15803729999999999</v>
      </c>
      <c r="X5579">
        <v>0.98559730000000001</v>
      </c>
      <c r="Y5579">
        <v>0.16261149999999999</v>
      </c>
      <c r="Z5579">
        <v>-3.610916E-3</v>
      </c>
      <c r="AA5579">
        <v>0.98668350000000005</v>
      </c>
      <c r="AB5579">
        <v>26</v>
      </c>
      <c r="AC5579">
        <v>40.404299999999999</v>
      </c>
      <c r="AD5579">
        <v>-1.121641684204</v>
      </c>
      <c r="AE5579">
        <v>-5.9690999999999903</v>
      </c>
      <c r="AF5579">
        <v>6.6807238313292396</v>
      </c>
      <c r="AG5579">
        <v>-1.121641684204</v>
      </c>
      <c r="AH5579">
        <v>40.261547733041702</v>
      </c>
      <c r="AI5579">
        <v>91.574268992688999</v>
      </c>
      <c r="AJ5579">
        <v>80.578576409735405</v>
      </c>
      <c r="AK5579">
        <v>40.827470860172497</v>
      </c>
      <c r="AL5579">
        <v>80.9070080044863</v>
      </c>
      <c r="AM5579">
        <v>86.505586259625005</v>
      </c>
      <c r="AN5579">
        <v>1.0000000457399201</v>
      </c>
    </row>
    <row r="5580" spans="1:40" x14ac:dyDescent="0.25">
      <c r="A5580" t="str">
        <f>"20190303162023934"</f>
        <v>20190303162023934</v>
      </c>
      <c r="B5580" t="str">
        <f>"1551601223928539"</f>
        <v>1551601223928539</v>
      </c>
      <c r="C5580" t="s">
        <v>40</v>
      </c>
      <c r="D5580">
        <v>4.4652629999999904</v>
      </c>
      <c r="E5580">
        <v>0.53230759999999999</v>
      </c>
      <c r="F5580" t="s">
        <v>49</v>
      </c>
      <c r="G5580">
        <v>-188.79429999999999</v>
      </c>
      <c r="H5580" s="1">
        <v>4.2831459999999997E-6</v>
      </c>
      <c r="I5580">
        <v>209.38910000000001</v>
      </c>
      <c r="J5580">
        <v>-236.4751</v>
      </c>
      <c r="K5580">
        <v>1.1216489999999999</v>
      </c>
      <c r="L5580">
        <v>215.45249999999999</v>
      </c>
      <c r="M5580">
        <v>0.99974399999999997</v>
      </c>
      <c r="N5580">
        <v>-1.3923710000000001E-2</v>
      </c>
      <c r="O5580">
        <v>1.7839399999999998E-2</v>
      </c>
      <c r="P5580">
        <v>0.98853239999999998</v>
      </c>
      <c r="Q5580">
        <v>0.14435870000000001</v>
      </c>
      <c r="R5580">
        <v>-4.4325629999999998E-2</v>
      </c>
      <c r="S5580">
        <v>3.0283509999999998</v>
      </c>
      <c r="T5580">
        <v>-7.0857879999999998E-2</v>
      </c>
      <c r="U5580">
        <v>-0.38275150000000002</v>
      </c>
      <c r="V5580">
        <v>6.1938409999999999E-2</v>
      </c>
      <c r="W5580">
        <v>0.15810179999999999</v>
      </c>
      <c r="X5580">
        <v>0.98547830000000003</v>
      </c>
      <c r="Y5580">
        <v>0.14300959999999999</v>
      </c>
      <c r="Z5580">
        <v>-2.8345029999999999E-3</v>
      </c>
      <c r="AA5580">
        <v>0.98971719999999996</v>
      </c>
      <c r="AB5580">
        <v>26</v>
      </c>
      <c r="AC5580">
        <v>47.680799999999998</v>
      </c>
      <c r="AD5580">
        <v>-1.12164471685399</v>
      </c>
      <c r="AE5580">
        <v>-6.0633999999999704</v>
      </c>
      <c r="AF5580">
        <v>6.90935151618043</v>
      </c>
      <c r="AG5580">
        <v>-1.12164471685399</v>
      </c>
      <c r="AH5580">
        <v>47.539144396546398</v>
      </c>
      <c r="AI5580">
        <v>91.337545260137006</v>
      </c>
      <c r="AJ5580">
        <v>81.730519790968103</v>
      </c>
      <c r="AK5580">
        <v>48.051716672775399</v>
      </c>
      <c r="AL5580">
        <v>80.903265072125606</v>
      </c>
      <c r="AM5580">
        <v>86.403626931953298</v>
      </c>
      <c r="AN5580">
        <v>1.0000000127837201</v>
      </c>
    </row>
    <row r="5581" spans="1:40" x14ac:dyDescent="0.25">
      <c r="A5581" t="str">
        <f>"20190303162023958"</f>
        <v>20190303162023958</v>
      </c>
      <c r="B5581" t="str">
        <f>"1551601223948056"</f>
        <v>1551601223948056</v>
      </c>
      <c r="C5581" t="s">
        <v>40</v>
      </c>
      <c r="D5581">
        <v>4.4660630000000001</v>
      </c>
      <c r="E5581">
        <v>0.53230149999999998</v>
      </c>
      <c r="F5581" t="s">
        <v>49</v>
      </c>
      <c r="G5581">
        <v>-182.29810000000001</v>
      </c>
      <c r="H5581" s="1">
        <v>3.4605690000000002E-6</v>
      </c>
      <c r="I5581">
        <v>208.4563</v>
      </c>
      <c r="J5581">
        <v>-236.2174</v>
      </c>
      <c r="K5581">
        <v>1.1216489999999999</v>
      </c>
      <c r="L5581">
        <v>215.4572</v>
      </c>
      <c r="M5581">
        <v>0.99974260000000004</v>
      </c>
      <c r="N5581">
        <v>-1.392116E-2</v>
      </c>
      <c r="O5581">
        <v>1.792065E-2</v>
      </c>
      <c r="P5581">
        <v>0.98846880000000004</v>
      </c>
      <c r="Q5581">
        <v>0.14440790000000001</v>
      </c>
      <c r="R5581">
        <v>-4.5561999999999998E-2</v>
      </c>
      <c r="S5581">
        <v>3.026443</v>
      </c>
      <c r="T5581">
        <v>-6.2657480000000002E-2</v>
      </c>
      <c r="U5581">
        <v>-0.39082339999999999</v>
      </c>
      <c r="V5581">
        <v>6.3254009999999999E-2</v>
      </c>
      <c r="W5581">
        <v>0.1581475</v>
      </c>
      <c r="X5581">
        <v>0.98538740000000002</v>
      </c>
      <c r="Y5581">
        <v>0.14577479999999901</v>
      </c>
      <c r="Z5581">
        <v>-2.6428659999999998E-3</v>
      </c>
      <c r="AA5581">
        <v>0.98931429999999998</v>
      </c>
      <c r="AB5581">
        <v>26</v>
      </c>
      <c r="AC5581">
        <v>53.9192999999999</v>
      </c>
      <c r="AD5581">
        <v>-1.1216455394310001</v>
      </c>
      <c r="AE5581">
        <v>-7.0008999999999997</v>
      </c>
      <c r="AF5581">
        <v>7.9627493289271998</v>
      </c>
      <c r="AG5581">
        <v>-1.1216455394310001</v>
      </c>
      <c r="AH5581">
        <v>53.762287565389002</v>
      </c>
      <c r="AI5581">
        <v>91.182297819179098</v>
      </c>
      <c r="AJ5581">
        <v>81.575152133924206</v>
      </c>
      <c r="AK5581">
        <v>54.360344276458001</v>
      </c>
      <c r="AL5581">
        <v>80.900613312005603</v>
      </c>
      <c r="AM5581">
        <v>86.327107369385402</v>
      </c>
      <c r="AN5581">
        <v>1.0000000148080399</v>
      </c>
    </row>
    <row r="5582" spans="1:40" x14ac:dyDescent="0.25">
      <c r="A5582" t="str">
        <f>"20190303162023980"</f>
        <v>20190303162023980</v>
      </c>
      <c r="B5582" t="str">
        <f>"1551601223967577"</f>
        <v>1551601223967577</v>
      </c>
      <c r="C5582" t="s">
        <v>40</v>
      </c>
      <c r="D5582">
        <v>4.4884110000000002</v>
      </c>
      <c r="E5582">
        <v>0.53105009999999997</v>
      </c>
      <c r="F5582" t="s">
        <v>49</v>
      </c>
      <c r="G5582">
        <v>-179.95779999999999</v>
      </c>
      <c r="H5582">
        <v>2.246012E-2</v>
      </c>
      <c r="I5582">
        <v>208.12010000000001</v>
      </c>
      <c r="J5582">
        <v>-235.96100000000001</v>
      </c>
      <c r="K5582">
        <v>1.1216489999999999</v>
      </c>
      <c r="L5582">
        <v>215.46190000000001</v>
      </c>
      <c r="M5582">
        <v>0.9997412</v>
      </c>
      <c r="N5582">
        <v>-1.391859E-2</v>
      </c>
      <c r="O5582">
        <v>1.800119E-2</v>
      </c>
      <c r="P5582">
        <v>0.98851549999999999</v>
      </c>
      <c r="Q5582">
        <v>0.14396779999999901</v>
      </c>
      <c r="R5582">
        <v>-4.5942660000000003E-2</v>
      </c>
      <c r="S5582">
        <v>3.025452</v>
      </c>
      <c r="T5582">
        <v>-5.9110639999999999E-2</v>
      </c>
      <c r="U5582">
        <v>-0.39456180000000002</v>
      </c>
      <c r="V5582">
        <v>6.3714880000000002E-2</v>
      </c>
      <c r="W5582">
        <v>0.1577054</v>
      </c>
      <c r="X5582">
        <v>0.98542859999999999</v>
      </c>
      <c r="Y5582">
        <v>0.14710200000000001</v>
      </c>
      <c r="Z5582">
        <v>-2.5599279999999999E-3</v>
      </c>
      <c r="AA5582">
        <v>0.98911800000000005</v>
      </c>
      <c r="AB5582">
        <v>26</v>
      </c>
      <c r="AC5582">
        <v>56.0031999999999</v>
      </c>
      <c r="AD5582">
        <v>-1.09918887999999</v>
      </c>
      <c r="AE5582">
        <v>-7.3418000000000001</v>
      </c>
      <c r="AF5582">
        <v>8.3456712589342406</v>
      </c>
      <c r="AG5582">
        <v>-1.09918887999999</v>
      </c>
      <c r="AH5582">
        <v>55.840801824158099</v>
      </c>
      <c r="AI5582">
        <v>91.115299420527407</v>
      </c>
      <c r="AJ5582">
        <v>81.499791734821002</v>
      </c>
      <c r="AK5582">
        <v>56.4717061307785</v>
      </c>
      <c r="AL5582">
        <v>80.926266034877301</v>
      </c>
      <c r="AM5582">
        <v>86.300574898367998</v>
      </c>
      <c r="AN5582">
        <v>1.0000000524102599</v>
      </c>
    </row>
    <row r="5583" spans="1:40" x14ac:dyDescent="0.25">
      <c r="A5583" t="str">
        <f>"20190303162024002"</f>
        <v>20190303162024002</v>
      </c>
      <c r="B5583" t="str">
        <f>"1551601223988073"</f>
        <v>1551601223988073</v>
      </c>
      <c r="C5583" t="s">
        <v>40</v>
      </c>
      <c r="D5583">
        <v>4.4801270000000004</v>
      </c>
      <c r="E5583">
        <v>0.53010539999999995</v>
      </c>
      <c r="F5583" t="s">
        <v>66</v>
      </c>
      <c r="G5583">
        <v>-168.41040000000001</v>
      </c>
      <c r="H5583">
        <v>7.4481959999999998E-3</v>
      </c>
      <c r="I5583">
        <v>206.84739999999999</v>
      </c>
      <c r="J5583">
        <v>-235.7011</v>
      </c>
      <c r="K5583">
        <v>1.1216440000000001</v>
      </c>
      <c r="L5583">
        <v>215.4666</v>
      </c>
      <c r="M5583">
        <v>0.99973979999999996</v>
      </c>
      <c r="N5583">
        <v>-1.391593E-2</v>
      </c>
      <c r="O5583">
        <v>1.8083220000000001E-2</v>
      </c>
      <c r="P5583">
        <v>0.98850850000000001</v>
      </c>
      <c r="Q5583">
        <v>0.14380999999999999</v>
      </c>
      <c r="R5583">
        <v>-4.658412E-2</v>
      </c>
      <c r="S5583">
        <v>3.024216</v>
      </c>
      <c r="T5583">
        <v>-4.9880859999999999E-2</v>
      </c>
      <c r="U5583">
        <v>-0.38566590000000001</v>
      </c>
      <c r="V5583">
        <v>6.44372E-2</v>
      </c>
      <c r="W5583">
        <v>0.15754479999999901</v>
      </c>
      <c r="X5583">
        <v>0.98540729999999999</v>
      </c>
      <c r="Y5583">
        <v>0.1443845</v>
      </c>
      <c r="Z5583">
        <v>-2.2412259999999998E-3</v>
      </c>
      <c r="AA5583">
        <v>0.98951909999999998</v>
      </c>
      <c r="AB5583">
        <v>26</v>
      </c>
      <c r="AC5583">
        <v>67.290699999999902</v>
      </c>
      <c r="AD5583">
        <v>-1.114195804</v>
      </c>
      <c r="AE5583">
        <v>-8.6191999999999993</v>
      </c>
      <c r="AF5583">
        <v>9.8320884269373892</v>
      </c>
      <c r="AG5583">
        <v>-1.114195804</v>
      </c>
      <c r="AH5583">
        <v>67.105715791922705</v>
      </c>
      <c r="AI5583">
        <v>90.941181516915805</v>
      </c>
      <c r="AJ5583">
        <v>81.664536497789896</v>
      </c>
      <c r="AK5583">
        <v>67.831323789758599</v>
      </c>
      <c r="AL5583">
        <v>80.935584034811399</v>
      </c>
      <c r="AM5583">
        <v>86.258673228023795</v>
      </c>
      <c r="AN5583">
        <v>1.0000000318220801</v>
      </c>
    </row>
    <row r="5584" spans="1:40" x14ac:dyDescent="0.25">
      <c r="A5584" t="str">
        <f>"20190303162024025"</f>
        <v>20190303162024025</v>
      </c>
      <c r="B5584" t="str">
        <f>"1551601224018330"</f>
        <v>1551601224018330</v>
      </c>
      <c r="C5584" t="s">
        <v>40</v>
      </c>
      <c r="D5584">
        <v>4.4634070000000001</v>
      </c>
      <c r="E5584">
        <v>0.52927650000000004</v>
      </c>
      <c r="F5584" t="s">
        <v>66</v>
      </c>
      <c r="G5584">
        <v>-168.41040000000001</v>
      </c>
      <c r="H5584">
        <v>0.15467069999999999</v>
      </c>
      <c r="I5584">
        <v>207.00659999999999</v>
      </c>
      <c r="J5584">
        <v>-235.44460000000001</v>
      </c>
      <c r="K5584">
        <v>1.1216360000000001</v>
      </c>
      <c r="L5584">
        <v>215.47139999999999</v>
      </c>
      <c r="M5584">
        <v>0.99973829999999997</v>
      </c>
      <c r="N5584">
        <v>-1.391332E-2</v>
      </c>
      <c r="O5584">
        <v>1.8164059999999999E-2</v>
      </c>
      <c r="P5584">
        <v>0.98842649999999999</v>
      </c>
      <c r="Q5584">
        <v>0.14392820000000001</v>
      </c>
      <c r="R5584">
        <v>-4.7933530000000002E-2</v>
      </c>
      <c r="S5584">
        <v>3.023285</v>
      </c>
      <c r="T5584">
        <v>-4.3443320000000001E-2</v>
      </c>
      <c r="U5584">
        <v>-0.3800964</v>
      </c>
      <c r="V5584">
        <v>6.5864930000000002E-2</v>
      </c>
      <c r="W5584">
        <v>0.1576592</v>
      </c>
      <c r="X5584">
        <v>0.98529460000000002</v>
      </c>
      <c r="Y5584">
        <v>0.1427156</v>
      </c>
      <c r="Z5584">
        <v>-2.026529E-3</v>
      </c>
      <c r="AA5584">
        <v>0.98976169999999997</v>
      </c>
      <c r="AB5584">
        <v>26</v>
      </c>
      <c r="AC5584">
        <v>67.034199999999998</v>
      </c>
      <c r="AD5584">
        <v>-0.96696530000000003</v>
      </c>
      <c r="AE5584">
        <v>-8.4647999999999897</v>
      </c>
      <c r="AF5584">
        <v>9.6791517756240601</v>
      </c>
      <c r="AG5584">
        <v>-0.96696530000000003</v>
      </c>
      <c r="AH5584">
        <v>66.855675601701407</v>
      </c>
      <c r="AI5584">
        <v>90.8200893041504</v>
      </c>
      <c r="AJ5584">
        <v>81.762137406582994</v>
      </c>
      <c r="AK5584">
        <v>67.559620788951307</v>
      </c>
      <c r="AL5584">
        <v>80.928946434533302</v>
      </c>
      <c r="AM5584">
        <v>86.175584141186604</v>
      </c>
      <c r="AN5584">
        <v>1.0000000305688499</v>
      </c>
    </row>
    <row r="5585" spans="1:40" x14ac:dyDescent="0.25">
      <c r="A5585" t="str">
        <f>"20190303162024046"</f>
        <v>20190303162024046</v>
      </c>
      <c r="B5585" t="str">
        <f>"1551601224037850"</f>
        <v>1551601224037850</v>
      </c>
      <c r="C5585" t="s">
        <v>40</v>
      </c>
      <c r="D5585">
        <v>4.5004439999999999</v>
      </c>
      <c r="E5585">
        <v>0.52910239999999997</v>
      </c>
      <c r="F5585" t="s">
        <v>66</v>
      </c>
      <c r="G5585">
        <v>-168.41040000000001</v>
      </c>
      <c r="H5585">
        <v>0.31446269999999998</v>
      </c>
      <c r="I5585">
        <v>207.10640000000001</v>
      </c>
      <c r="J5585">
        <v>-235.19739999999999</v>
      </c>
      <c r="K5585">
        <v>1.121631</v>
      </c>
      <c r="L5585">
        <v>215.4759</v>
      </c>
      <c r="M5585">
        <v>0.99973679999999998</v>
      </c>
      <c r="N5585">
        <v>-1.3910759999999999E-2</v>
      </c>
      <c r="O5585">
        <v>1.8242089999999999E-2</v>
      </c>
      <c r="P5585">
        <v>0.98839030000000005</v>
      </c>
      <c r="Q5585">
        <v>0.14368149999999999</v>
      </c>
      <c r="R5585">
        <v>-4.9401420000000001E-2</v>
      </c>
      <c r="S5585">
        <v>3.022141</v>
      </c>
      <c r="T5585">
        <v>-3.6388749999999997E-2</v>
      </c>
      <c r="U5585">
        <v>-0.37712099999999998</v>
      </c>
      <c r="V5585">
        <v>6.7409090000000005E-2</v>
      </c>
      <c r="W5585">
        <v>0.15740870000000001</v>
      </c>
      <c r="X5585">
        <v>0.98523019999999994</v>
      </c>
      <c r="Y5585">
        <v>0.1418865</v>
      </c>
      <c r="Z5585">
        <v>-1.8078E-3</v>
      </c>
      <c r="AA5585">
        <v>0.98988129999999996</v>
      </c>
      <c r="AB5585">
        <v>26</v>
      </c>
      <c r="AC5585">
        <v>66.786999999999907</v>
      </c>
      <c r="AD5585">
        <v>-0.80716829999999995</v>
      </c>
      <c r="AE5585">
        <v>-8.3694999999999808</v>
      </c>
      <c r="AF5585">
        <v>9.5851810227943695</v>
      </c>
      <c r="AG5585">
        <v>-0.80716829999999995</v>
      </c>
      <c r="AH5585">
        <v>66.613613050975701</v>
      </c>
      <c r="AI5585">
        <v>90.687151979501806</v>
      </c>
      <c r="AJ5585">
        <v>81.811786343722304</v>
      </c>
      <c r="AK5585">
        <v>67.304536694114304</v>
      </c>
      <c r="AL5585">
        <v>80.943480369013301</v>
      </c>
      <c r="AM5585">
        <v>86.085943666296998</v>
      </c>
      <c r="AN5585">
        <v>1.0000000156211699</v>
      </c>
    </row>
    <row r="5586" spans="1:40" x14ac:dyDescent="0.25">
      <c r="A5586" t="str">
        <f>"20190303162024069"</f>
        <v>20190303162024069</v>
      </c>
      <c r="B5586" t="str">
        <f>"1551601224058346"</f>
        <v>1551601224058346</v>
      </c>
      <c r="C5586" t="s">
        <v>40</v>
      </c>
      <c r="D5586">
        <v>4.4821910000000003</v>
      </c>
      <c r="E5586">
        <v>0.52892510000000004</v>
      </c>
      <c r="F5586" t="s">
        <v>66</v>
      </c>
      <c r="G5586">
        <v>-168.41040000000001</v>
      </c>
      <c r="H5586">
        <v>0.35330009999999901</v>
      </c>
      <c r="I5586">
        <v>207.0771</v>
      </c>
      <c r="J5586">
        <v>-234.93899999999999</v>
      </c>
      <c r="K5586">
        <v>1.121631</v>
      </c>
      <c r="L5586">
        <v>215.48070000000001</v>
      </c>
      <c r="M5586">
        <v>0.99973540000000005</v>
      </c>
      <c r="N5586">
        <v>-1.390809E-2</v>
      </c>
      <c r="O5586">
        <v>1.8323760000000001E-2</v>
      </c>
      <c r="P5586">
        <v>0.98839399999999999</v>
      </c>
      <c r="Q5586">
        <v>0.14304990000000001</v>
      </c>
      <c r="R5586">
        <v>-5.113053E-2</v>
      </c>
      <c r="S5586">
        <v>3.0213009999999998</v>
      </c>
      <c r="T5586">
        <v>-3.4756179999999998E-2</v>
      </c>
      <c r="U5586">
        <v>-0.3799438</v>
      </c>
      <c r="V5586">
        <v>6.9218580000000002E-2</v>
      </c>
      <c r="W5586">
        <v>0.15677439999999901</v>
      </c>
      <c r="X5586">
        <v>0.98520580000000002</v>
      </c>
      <c r="Y5586">
        <v>0.14291289999999901</v>
      </c>
      <c r="Z5586">
        <v>-1.7728129999999901E-3</v>
      </c>
      <c r="AA5586">
        <v>0.98973370000000005</v>
      </c>
      <c r="AB5586">
        <v>26</v>
      </c>
      <c r="AC5586">
        <v>66.528599999999997</v>
      </c>
      <c r="AD5586">
        <v>-0.76833090000000004</v>
      </c>
      <c r="AE5586">
        <v>-8.4036000000000097</v>
      </c>
      <c r="AF5586">
        <v>9.6200978468794602</v>
      </c>
      <c r="AG5586">
        <v>-0.76833090000000004</v>
      </c>
      <c r="AH5586">
        <v>66.354716456722002</v>
      </c>
      <c r="AI5586">
        <v>90.656543005777607</v>
      </c>
      <c r="AJ5586">
        <v>81.750742657929393</v>
      </c>
      <c r="AK5586">
        <v>67.052852370405603</v>
      </c>
      <c r="AL5586">
        <v>80.980279354263203</v>
      </c>
      <c r="AM5586">
        <v>85.981117619410995</v>
      </c>
      <c r="AN5586">
        <v>0.99999994633310596</v>
      </c>
    </row>
    <row r="5587" spans="1:40" x14ac:dyDescent="0.25">
      <c r="A5587" t="str">
        <f>"20190303162024091"</f>
        <v>20190303162024091</v>
      </c>
      <c r="B5587" t="str">
        <f>"1551601224077865"</f>
        <v>1551601224077865</v>
      </c>
      <c r="C5587" t="s">
        <v>40</v>
      </c>
      <c r="D5587">
        <v>4.4981770000000001</v>
      </c>
      <c r="E5587">
        <v>0.52868590000000004</v>
      </c>
      <c r="F5587" t="s">
        <v>66</v>
      </c>
      <c r="G5587">
        <v>-168.41040000000001</v>
      </c>
      <c r="H5587">
        <v>0.34465600000000002</v>
      </c>
      <c r="I5587">
        <v>207.0284</v>
      </c>
      <c r="J5587">
        <v>-234.6832</v>
      </c>
      <c r="K5587">
        <v>1.121631</v>
      </c>
      <c r="L5587">
        <v>215.4855</v>
      </c>
      <c r="M5587">
        <v>0.99973400000000001</v>
      </c>
      <c r="N5587">
        <v>-1.390541E-2</v>
      </c>
      <c r="O5587">
        <v>1.8404299999999998E-2</v>
      </c>
      <c r="P5587">
        <v>0.98833859999999996</v>
      </c>
      <c r="Q5587">
        <v>0.14295910000000001</v>
      </c>
      <c r="R5587">
        <v>-5.2440349999999997E-2</v>
      </c>
      <c r="S5587">
        <v>3.0204770000000001</v>
      </c>
      <c r="T5587">
        <v>-3.5274029999999998E-2</v>
      </c>
      <c r="U5587">
        <v>-0.38374330000000001</v>
      </c>
      <c r="V5587">
        <v>7.0606699999999994E-2</v>
      </c>
      <c r="W5587">
        <v>0.15668019999999999</v>
      </c>
      <c r="X5587">
        <v>0.98512230000000001</v>
      </c>
      <c r="Y5587">
        <v>0.14425070000000001</v>
      </c>
      <c r="Z5587">
        <v>-1.805243E-3</v>
      </c>
      <c r="AA5587">
        <v>0.98953950000000002</v>
      </c>
      <c r="AB5587">
        <v>25</v>
      </c>
      <c r="AC5587">
        <v>66.272799999999904</v>
      </c>
      <c r="AD5587">
        <v>-0.77697499999999997</v>
      </c>
      <c r="AE5587">
        <v>-8.4570999999999898</v>
      </c>
      <c r="AF5587">
        <v>9.67418124941298</v>
      </c>
      <c r="AG5587">
        <v>-0.77697499999999997</v>
      </c>
      <c r="AH5587">
        <v>66.096971503997295</v>
      </c>
      <c r="AI5587">
        <v>90.666386014457998</v>
      </c>
      <c r="AJ5587">
        <v>81.673115952516596</v>
      </c>
      <c r="AK5587">
        <v>66.805711694415393</v>
      </c>
      <c r="AL5587">
        <v>80.985744353419193</v>
      </c>
      <c r="AM5587">
        <v>85.900448126032998</v>
      </c>
      <c r="AN5587">
        <v>0.99999996855710904</v>
      </c>
    </row>
    <row r="5588" spans="1:40" x14ac:dyDescent="0.25">
      <c r="A5588" t="str">
        <f>"20190303162024113"</f>
        <v>20190303162024113</v>
      </c>
      <c r="B5588" t="str">
        <f>"1551601224108121"</f>
        <v>1551601224108121</v>
      </c>
      <c r="C5588" t="s">
        <v>40</v>
      </c>
      <c r="D5588">
        <v>4.5307040000000001</v>
      </c>
      <c r="E5588">
        <v>0.52841749999999998</v>
      </c>
      <c r="F5588" t="s">
        <v>66</v>
      </c>
      <c r="G5588">
        <v>-168.41040000000001</v>
      </c>
      <c r="H5588">
        <v>0.3829765</v>
      </c>
      <c r="I5588">
        <v>207.0153</v>
      </c>
      <c r="J5588">
        <v>-234.43369999999999</v>
      </c>
      <c r="K5588">
        <v>1.121623</v>
      </c>
      <c r="L5588">
        <v>215.49019999999999</v>
      </c>
      <c r="M5588">
        <v>0.99973259999999997</v>
      </c>
      <c r="N5588">
        <v>-1.390277E-2</v>
      </c>
      <c r="O5588">
        <v>1.848263E-2</v>
      </c>
      <c r="P5588">
        <v>0.98832109999999995</v>
      </c>
      <c r="Q5588">
        <v>0.1426627</v>
      </c>
      <c r="R5588">
        <v>-5.3565450000000001E-2</v>
      </c>
      <c r="S5588">
        <v>3.0197910000000001</v>
      </c>
      <c r="T5588">
        <v>-3.3656119999999998E-2</v>
      </c>
      <c r="U5588">
        <v>-0.38595580000000002</v>
      </c>
      <c r="V5588">
        <v>7.1808819999999995E-2</v>
      </c>
      <c r="W5588">
        <v>0.1563802</v>
      </c>
      <c r="X5588">
        <v>0.98508309999999999</v>
      </c>
      <c r="Y5588">
        <v>0.14507100000000001</v>
      </c>
      <c r="Z5588">
        <v>-1.7671049999999999E-3</v>
      </c>
      <c r="AA5588">
        <v>0.98941970000000001</v>
      </c>
      <c r="AB5588">
        <v>25</v>
      </c>
      <c r="AC5588">
        <v>66.023299999999907</v>
      </c>
      <c r="AD5588">
        <v>-0.73864649999999998</v>
      </c>
      <c r="AE5588">
        <v>-8.4748999999999892</v>
      </c>
      <c r="AF5588">
        <v>9.6926606197965501</v>
      </c>
      <c r="AG5588">
        <v>-0.73864649999999998</v>
      </c>
      <c r="AH5588">
        <v>65.8472581602242</v>
      </c>
      <c r="AI5588">
        <v>90.635841607381906</v>
      </c>
      <c r="AJ5588">
        <v>81.626243956856499</v>
      </c>
      <c r="AK5588">
        <v>66.560909517236396</v>
      </c>
      <c r="AL5588">
        <v>81.003147843374407</v>
      </c>
      <c r="AM5588">
        <v>85.830729620544005</v>
      </c>
      <c r="AN5588">
        <v>0.99999999374372095</v>
      </c>
    </row>
    <row r="5589" spans="1:40" x14ac:dyDescent="0.25">
      <c r="A5589" t="str">
        <f>"20190303162024135"</f>
        <v>20190303162024135</v>
      </c>
      <c r="B5589" t="str">
        <f>"1551601224127641"</f>
        <v>1551601224127641</v>
      </c>
      <c r="C5589" t="s">
        <v>40</v>
      </c>
      <c r="D5589">
        <v>4.5666120000000001</v>
      </c>
      <c r="E5589">
        <v>0.52841759999999904</v>
      </c>
      <c r="F5589" t="s">
        <v>66</v>
      </c>
      <c r="G5589">
        <v>-168.41040000000001</v>
      </c>
      <c r="H5589">
        <v>0.39278030000000003</v>
      </c>
      <c r="I5589">
        <v>207.02199999999999</v>
      </c>
      <c r="J5589">
        <v>-234.18450000000001</v>
      </c>
      <c r="K5589">
        <v>1.121621</v>
      </c>
      <c r="L5589">
        <v>215.4949</v>
      </c>
      <c r="M5589">
        <v>0.99973120000000004</v>
      </c>
      <c r="N5589">
        <v>-1.390016E-2</v>
      </c>
      <c r="O5589">
        <v>1.856114E-2</v>
      </c>
      <c r="P5589">
        <v>0.98830850000000003</v>
      </c>
      <c r="Q5589">
        <v>0.14242779999999899</v>
      </c>
      <c r="R5589">
        <v>-5.4415470000000001E-2</v>
      </c>
      <c r="S5589">
        <v>3.0192570000000001</v>
      </c>
      <c r="T5589">
        <v>-3.3328530000000002E-2</v>
      </c>
      <c r="U5589">
        <v>-0.38725280000000001</v>
      </c>
      <c r="V5589">
        <v>7.2736099999999998E-2</v>
      </c>
      <c r="W5589">
        <v>0.15614239999999999</v>
      </c>
      <c r="X5589">
        <v>0.98505279999999995</v>
      </c>
      <c r="Y5589">
        <v>0.145589</v>
      </c>
      <c r="Z5589">
        <v>-1.763553E-3</v>
      </c>
      <c r="AA5589">
        <v>0.98934359999999999</v>
      </c>
      <c r="AB5589">
        <v>25</v>
      </c>
      <c r="AC5589">
        <v>65.774100000000004</v>
      </c>
      <c r="AD5589">
        <v>-0.72884069999999901</v>
      </c>
      <c r="AE5589">
        <v>-8.4728999999999797</v>
      </c>
      <c r="AF5589">
        <v>9.6912296408612004</v>
      </c>
      <c r="AG5589">
        <v>-0.72884069999999901</v>
      </c>
      <c r="AH5589">
        <v>65.597561754908199</v>
      </c>
      <c r="AI5589">
        <v>90.629740320840497</v>
      </c>
      <c r="AJ5589">
        <v>81.596047016507399</v>
      </c>
      <c r="AK5589">
        <v>66.313582687914504</v>
      </c>
      <c r="AL5589">
        <v>81.016942326968007</v>
      </c>
      <c r="AM5589">
        <v>85.776955198341398</v>
      </c>
      <c r="AN5589">
        <v>1.0000000040543999</v>
      </c>
    </row>
    <row r="5590" spans="1:40" x14ac:dyDescent="0.25">
      <c r="A5590" t="str">
        <f>"20190303162024157"</f>
        <v>20190303162024157</v>
      </c>
      <c r="B5590" t="str">
        <f>"1551601224148137"</f>
        <v>1551601224148137</v>
      </c>
      <c r="C5590" t="s">
        <v>40</v>
      </c>
      <c r="D5590">
        <v>4.5374319999999999</v>
      </c>
      <c r="E5590">
        <v>0.52852980000000005</v>
      </c>
      <c r="F5590" t="s">
        <v>66</v>
      </c>
      <c r="G5590">
        <v>-168.41040000000001</v>
      </c>
      <c r="H5590">
        <v>0.34718510000000002</v>
      </c>
      <c r="I5590">
        <v>207.00479999999999</v>
      </c>
      <c r="J5590">
        <v>-233.934</v>
      </c>
      <c r="K5590">
        <v>1.1216200000000001</v>
      </c>
      <c r="L5590">
        <v>215.49959999999999</v>
      </c>
      <c r="M5590">
        <v>0.99972969999999906</v>
      </c>
      <c r="N5590">
        <v>-1.389754E-2</v>
      </c>
      <c r="O5590">
        <v>1.8640009999999999E-2</v>
      </c>
      <c r="P5590">
        <v>0.98829889999999998</v>
      </c>
      <c r="Q5590">
        <v>0.14230470000000001</v>
      </c>
      <c r="R5590">
        <v>-5.4907310000000001E-2</v>
      </c>
      <c r="S5590">
        <v>3.0191650000000001</v>
      </c>
      <c r="T5590">
        <v>-3.5546660000000001E-2</v>
      </c>
      <c r="U5590">
        <v>-0.38970949999999999</v>
      </c>
      <c r="V5590">
        <v>7.3305609999999993E-2</v>
      </c>
      <c r="W5590">
        <v>0.15601660000000001</v>
      </c>
      <c r="X5590">
        <v>0.98503050000000003</v>
      </c>
      <c r="Y5590">
        <v>0.1464607</v>
      </c>
      <c r="Z5590">
        <v>-1.8413259999999999E-3</v>
      </c>
      <c r="AA5590">
        <v>0.98921479999999995</v>
      </c>
      <c r="AB5590">
        <v>25</v>
      </c>
      <c r="AC5590">
        <v>65.523600000000002</v>
      </c>
      <c r="AD5590">
        <v>-0.77443490000000004</v>
      </c>
      <c r="AE5590">
        <v>-8.4947999999999908</v>
      </c>
      <c r="AF5590">
        <v>9.7134678394082297</v>
      </c>
      <c r="AG5590">
        <v>-0.77443490000000004</v>
      </c>
      <c r="AH5590">
        <v>65.344877954177505</v>
      </c>
      <c r="AI5590">
        <v>90.671630070760102</v>
      </c>
      <c r="AJ5590">
        <v>81.544937977828596</v>
      </c>
      <c r="AK5590">
        <v>66.067422242190702</v>
      </c>
      <c r="AL5590">
        <v>81.024239430503997</v>
      </c>
      <c r="AM5590">
        <v>85.743914580863901</v>
      </c>
      <c r="AN5590">
        <v>0.99999998893164099</v>
      </c>
    </row>
    <row r="5591" spans="1:40" x14ac:dyDescent="0.25">
      <c r="A5591" t="str">
        <f>"20190303162024181"</f>
        <v>20190303162024181</v>
      </c>
      <c r="B5591" t="str">
        <f>"1551601224167657"</f>
        <v>1551601224167657</v>
      </c>
      <c r="C5591" t="s">
        <v>40</v>
      </c>
      <c r="D5591">
        <v>4.5804130000000001</v>
      </c>
      <c r="E5591">
        <v>0.52865059999999997</v>
      </c>
      <c r="F5591" t="s">
        <v>66</v>
      </c>
      <c r="G5591">
        <v>-168.41040000000001</v>
      </c>
      <c r="H5591">
        <v>0.29206850000000001</v>
      </c>
      <c r="I5591">
        <v>206.9965</v>
      </c>
      <c r="J5591">
        <v>-233.67320000000001</v>
      </c>
      <c r="K5591">
        <v>1.1216269999999999</v>
      </c>
      <c r="L5591">
        <v>215.50460000000001</v>
      </c>
      <c r="M5591">
        <v>0.99972830000000001</v>
      </c>
      <c r="N5591">
        <v>-1.389482E-2</v>
      </c>
      <c r="O5591">
        <v>1.8722160000000002E-2</v>
      </c>
      <c r="P5591">
        <v>0.98825209999999997</v>
      </c>
      <c r="Q5591">
        <v>0.14260429999999999</v>
      </c>
      <c r="R5591">
        <v>-5.497258E-2</v>
      </c>
      <c r="S5591">
        <v>3.0192570000000001</v>
      </c>
      <c r="T5591">
        <v>-3.8223269999999997E-2</v>
      </c>
      <c r="U5591">
        <v>-0.39181519999999997</v>
      </c>
      <c r="V5591">
        <v>7.3451240000000001E-2</v>
      </c>
      <c r="W5591">
        <v>0.15631289999999901</v>
      </c>
      <c r="X5591">
        <v>0.98497270000000003</v>
      </c>
      <c r="Y5591">
        <v>0.14721409999999999</v>
      </c>
      <c r="Z5591">
        <v>-1.9321679999999999E-3</v>
      </c>
      <c r="AA5591">
        <v>0.98910279999999995</v>
      </c>
      <c r="AB5591">
        <v>25</v>
      </c>
      <c r="AC5591">
        <v>65.262799999999999</v>
      </c>
      <c r="AD5591">
        <v>-0.82955849999999998</v>
      </c>
      <c r="AE5591">
        <v>-8.5081000000000095</v>
      </c>
      <c r="AF5591">
        <v>9.7270415062890692</v>
      </c>
      <c r="AG5591">
        <v>-0.82955849999999998</v>
      </c>
      <c r="AH5591">
        <v>65.081713916386093</v>
      </c>
      <c r="AI5591">
        <v>90.722254771899799</v>
      </c>
      <c r="AJ5591">
        <v>81.499557212907405</v>
      </c>
      <c r="AK5591">
        <v>65.809824419035806</v>
      </c>
      <c r="AL5591">
        <v>81.007052039574006</v>
      </c>
      <c r="AM5591">
        <v>85.735241214550896</v>
      </c>
      <c r="AN5591">
        <v>1.0000000135546101</v>
      </c>
    </row>
    <row r="5592" spans="1:40" x14ac:dyDescent="0.25">
      <c r="A5592" t="str">
        <f>"20190303162024203"</f>
        <v>20190303162024203</v>
      </c>
      <c r="B5592" t="str">
        <f>"1551601224197913"</f>
        <v>1551601224197913</v>
      </c>
      <c r="C5592" t="s">
        <v>40</v>
      </c>
      <c r="D5592">
        <v>4.5892419999999996</v>
      </c>
      <c r="E5592">
        <v>0.52876820000000002</v>
      </c>
      <c r="F5592" t="s">
        <v>66</v>
      </c>
      <c r="G5592">
        <v>-168.41040000000001</v>
      </c>
      <c r="H5592">
        <v>0.2742252</v>
      </c>
      <c r="I5592">
        <v>207.01669999999999</v>
      </c>
      <c r="J5592">
        <v>-233.41980000000001</v>
      </c>
      <c r="K5592">
        <v>1.1216330000000001</v>
      </c>
      <c r="L5592">
        <v>215.5094</v>
      </c>
      <c r="M5592">
        <v>0.99972669999999997</v>
      </c>
      <c r="N5592">
        <v>-1.3892099999999999E-2</v>
      </c>
      <c r="O5592">
        <v>1.8802159999999998E-2</v>
      </c>
      <c r="P5592">
        <v>0.98817900000000003</v>
      </c>
      <c r="Q5592">
        <v>0.1430438</v>
      </c>
      <c r="R5592">
        <v>-5.5146870000000001E-2</v>
      </c>
      <c r="S5592">
        <v>3.0194700000000001</v>
      </c>
      <c r="T5592">
        <v>-3.9204599999999999E-2</v>
      </c>
      <c r="U5592">
        <v>-0.3927002</v>
      </c>
      <c r="V5592">
        <v>7.3702889999999993E-2</v>
      </c>
      <c r="W5592">
        <v>0.15674850000000001</v>
      </c>
      <c r="X5592">
        <v>0.98488469999999995</v>
      </c>
      <c r="Y5592">
        <v>0.14756839999999999</v>
      </c>
      <c r="Z5592">
        <v>-1.9665110000000002E-3</v>
      </c>
      <c r="AA5592">
        <v>0.98904990000000004</v>
      </c>
      <c r="AB5592">
        <v>25</v>
      </c>
      <c r="AC5592">
        <v>65.009399999999999</v>
      </c>
      <c r="AD5592">
        <v>-0.84740780000000004</v>
      </c>
      <c r="AE5592">
        <v>-8.4927000000000099</v>
      </c>
      <c r="AF5592">
        <v>9.7120109869837403</v>
      </c>
      <c r="AG5592">
        <v>-0.84740780000000004</v>
      </c>
      <c r="AH5592">
        <v>64.827378815635399</v>
      </c>
      <c r="AI5592">
        <v>90.740649370910901</v>
      </c>
      <c r="AJ5592">
        <v>81.479689981466905</v>
      </c>
      <c r="AK5592">
        <v>65.556313971246794</v>
      </c>
      <c r="AL5592">
        <v>80.9817827458739</v>
      </c>
      <c r="AM5592">
        <v>85.720303046237703</v>
      </c>
      <c r="AN5592">
        <v>1.00000004027034</v>
      </c>
    </row>
    <row r="5593" spans="1:40" x14ac:dyDescent="0.25">
      <c r="A5593" t="str">
        <f>"20190303162024226"</f>
        <v>20190303162024226</v>
      </c>
      <c r="B5593" t="str">
        <f>"1551601224218410"</f>
        <v>1551601224218410</v>
      </c>
      <c r="C5593" t="s">
        <v>40</v>
      </c>
      <c r="D5593">
        <v>4.6016510000000004</v>
      </c>
      <c r="E5593">
        <v>0.52886</v>
      </c>
      <c r="F5593" t="s">
        <v>66</v>
      </c>
      <c r="G5593">
        <v>-168.41040000000001</v>
      </c>
      <c r="H5593">
        <v>0.25076479999999901</v>
      </c>
      <c r="I5593">
        <v>207.0172</v>
      </c>
      <c r="J5593">
        <v>-233.16480000000001</v>
      </c>
      <c r="K5593">
        <v>1.1216349999999999</v>
      </c>
      <c r="L5593">
        <v>215.51429999999999</v>
      </c>
      <c r="M5593">
        <v>0.99972530000000004</v>
      </c>
      <c r="N5593">
        <v>-1.388942E-2</v>
      </c>
      <c r="O5593">
        <v>1.888252E-2</v>
      </c>
      <c r="P5593">
        <v>0.98806099999999997</v>
      </c>
      <c r="Q5593">
        <v>0.1437012</v>
      </c>
      <c r="R5593">
        <v>-5.5549319999999999E-2</v>
      </c>
      <c r="S5593">
        <v>3.01973</v>
      </c>
      <c r="T5593">
        <v>-4.0450809999999997E-2</v>
      </c>
      <c r="U5593">
        <v>-0.39447019999999999</v>
      </c>
      <c r="V5593">
        <v>7.4182440000000002E-2</v>
      </c>
      <c r="W5593">
        <v>0.15740119999999999</v>
      </c>
      <c r="X5593">
        <v>0.98474450000000002</v>
      </c>
      <c r="Y5593">
        <v>0.1482058</v>
      </c>
      <c r="Z5593">
        <v>-2.0129710000000001E-3</v>
      </c>
      <c r="AA5593">
        <v>0.98895449999999996</v>
      </c>
      <c r="AB5593">
        <v>25</v>
      </c>
      <c r="AC5593">
        <v>64.754400000000004</v>
      </c>
      <c r="AD5593">
        <v>-0.87087019999999904</v>
      </c>
      <c r="AE5593">
        <v>-8.4970999999999801</v>
      </c>
      <c r="AF5593">
        <v>9.7167011622140294</v>
      </c>
      <c r="AG5593">
        <v>-0.87087019999999904</v>
      </c>
      <c r="AH5593">
        <v>64.570909246710997</v>
      </c>
      <c r="AI5593">
        <v>90.764101507347803</v>
      </c>
      <c r="AJ5593">
        <v>81.442278110771298</v>
      </c>
      <c r="AK5593">
        <v>65.303713656483595</v>
      </c>
      <c r="AL5593">
        <v>80.943914923679898</v>
      </c>
      <c r="AM5593">
        <v>85.691950589666902</v>
      </c>
      <c r="AN5593">
        <v>0.99999995122301999</v>
      </c>
    </row>
    <row r="5594" spans="1:40" x14ac:dyDescent="0.25">
      <c r="A5594" t="str">
        <f>"20190303162024247"</f>
        <v>20190303162024247</v>
      </c>
      <c r="B5594" t="str">
        <f>"1551601224237929"</f>
        <v>1551601224237929</v>
      </c>
      <c r="C5594" t="s">
        <v>40</v>
      </c>
      <c r="D5594">
        <v>4.6583160000000001</v>
      </c>
      <c r="E5594">
        <v>0.52896030000000005</v>
      </c>
      <c r="F5594" t="s">
        <v>66</v>
      </c>
      <c r="G5594">
        <v>-168.41040000000001</v>
      </c>
      <c r="H5594">
        <v>0.25710110000000003</v>
      </c>
      <c r="I5594">
        <v>207.00710000000001</v>
      </c>
      <c r="J5594">
        <v>-232.9248</v>
      </c>
      <c r="K5594">
        <v>1.1216360000000001</v>
      </c>
      <c r="L5594">
        <v>215.5189</v>
      </c>
      <c r="M5594">
        <v>0.9997239</v>
      </c>
      <c r="N5594">
        <v>-1.3886910000000001E-2</v>
      </c>
      <c r="O5594">
        <v>1.895817E-2</v>
      </c>
      <c r="P5594">
        <v>0.98800080000000001</v>
      </c>
      <c r="Q5594">
        <v>0.14390629999999999</v>
      </c>
      <c r="R5594">
        <v>-5.6089109999999998E-2</v>
      </c>
      <c r="S5594">
        <v>3.019806</v>
      </c>
      <c r="T5594">
        <v>-4.0315869999999997E-2</v>
      </c>
      <c r="U5594">
        <v>-0.39672849999999998</v>
      </c>
      <c r="V5594">
        <v>7.4795699999999896E-2</v>
      </c>
      <c r="W5594">
        <v>0.15760270000000001</v>
      </c>
      <c r="X5594">
        <v>0.98466589999999998</v>
      </c>
      <c r="Y5594">
        <v>0.14900439999999901</v>
      </c>
      <c r="Z5594">
        <v>-2.0195030000000002E-3</v>
      </c>
      <c r="AA5594">
        <v>0.9888344</v>
      </c>
      <c r="AB5594">
        <v>25</v>
      </c>
      <c r="AC5594">
        <v>64.514399999999995</v>
      </c>
      <c r="AD5594">
        <v>-0.8645349</v>
      </c>
      <c r="AE5594">
        <v>-8.5117999999999903</v>
      </c>
      <c r="AF5594">
        <v>9.7317450739605498</v>
      </c>
      <c r="AG5594">
        <v>-0.8645349</v>
      </c>
      <c r="AH5594">
        <v>64.3300648134759</v>
      </c>
      <c r="AI5594">
        <v>90.761293603693403</v>
      </c>
      <c r="AJ5594">
        <v>81.397616384893595</v>
      </c>
      <c r="AK5594">
        <v>65.067745632409</v>
      </c>
      <c r="AL5594">
        <v>80.932224086821293</v>
      </c>
      <c r="AM5594">
        <v>85.656126653895896</v>
      </c>
      <c r="AN5594">
        <v>0.99999997120429396</v>
      </c>
    </row>
    <row r="5595" spans="1:40" x14ac:dyDescent="0.25">
      <c r="A5595" t="str">
        <f>"20190303162024270"</f>
        <v>20190303162024270</v>
      </c>
      <c r="B5595" t="str">
        <f>"1551601224258425"</f>
        <v>1551601224258425</v>
      </c>
      <c r="C5595" t="s">
        <v>40</v>
      </c>
      <c r="D5595">
        <v>4.641292</v>
      </c>
      <c r="E5595">
        <v>0.52906889999999995</v>
      </c>
      <c r="F5595" t="s">
        <v>66</v>
      </c>
      <c r="G5595">
        <v>-168.41040000000001</v>
      </c>
      <c r="H5595">
        <v>0.23904990000000001</v>
      </c>
      <c r="I5595">
        <v>206.99080000000001</v>
      </c>
      <c r="J5595">
        <v>-232.6686</v>
      </c>
      <c r="K5595">
        <v>1.1216349999999999</v>
      </c>
      <c r="L5595">
        <v>215.5239</v>
      </c>
      <c r="M5595">
        <v>0.99972240000000001</v>
      </c>
      <c r="N5595">
        <v>-1.3884209999999999E-2</v>
      </c>
      <c r="O5595">
        <v>1.9039009999999999E-2</v>
      </c>
      <c r="P5595">
        <v>0.98785259999999997</v>
      </c>
      <c r="Q5595">
        <v>0.14464199999999999</v>
      </c>
      <c r="R5595">
        <v>-5.6797720000000003E-2</v>
      </c>
      <c r="S5595">
        <v>3.019806</v>
      </c>
      <c r="T5595">
        <v>-4.1310670000000001E-2</v>
      </c>
      <c r="U5595">
        <v>-0.39918520000000002</v>
      </c>
      <c r="V5595">
        <v>7.5581229999999999E-2</v>
      </c>
      <c r="W5595">
        <v>0.1583339</v>
      </c>
      <c r="X5595">
        <v>0.98448860000000005</v>
      </c>
      <c r="Y5595">
        <v>0.1498739</v>
      </c>
      <c r="Z5595">
        <v>-2.0619800000000001E-3</v>
      </c>
      <c r="AA5595">
        <v>0.988703</v>
      </c>
      <c r="AB5595">
        <v>25</v>
      </c>
      <c r="AC5595">
        <v>64.258199999999903</v>
      </c>
      <c r="AD5595">
        <v>-0.88258510000000001</v>
      </c>
      <c r="AE5595">
        <v>-8.5330999999999904</v>
      </c>
      <c r="AF5595">
        <v>9.7532753056493995</v>
      </c>
      <c r="AG5595">
        <v>-0.88258510000000001</v>
      </c>
      <c r="AH5595">
        <v>64.072195247611006</v>
      </c>
      <c r="AI5595">
        <v>90.780204537609094</v>
      </c>
      <c r="AJ5595">
        <v>81.344697584001906</v>
      </c>
      <c r="AK5595">
        <v>64.816290695275995</v>
      </c>
      <c r="AL5595">
        <v>80.889796733819594</v>
      </c>
      <c r="AM5595">
        <v>85.609895776869493</v>
      </c>
      <c r="AN5595">
        <v>0.99999997487374104</v>
      </c>
    </row>
    <row r="5596" spans="1:40" x14ac:dyDescent="0.25">
      <c r="A5596" t="str">
        <f>"20190303162024292"</f>
        <v>20190303162024292</v>
      </c>
      <c r="B5596" t="str">
        <f>"1551601224277945"</f>
        <v>1551601224277945</v>
      </c>
      <c r="C5596" t="s">
        <v>40</v>
      </c>
      <c r="D5596">
        <v>4.6298769999999996</v>
      </c>
      <c r="E5596">
        <v>0.52915900000000005</v>
      </c>
      <c r="F5596" t="s">
        <v>66</v>
      </c>
      <c r="G5596">
        <v>-168.41040000000001</v>
      </c>
      <c r="H5596">
        <v>0.26050000000000001</v>
      </c>
      <c r="I5596">
        <v>206.96559999999999</v>
      </c>
      <c r="J5596">
        <v>-232.41849999999999</v>
      </c>
      <c r="K5596">
        <v>1.1216390000000001</v>
      </c>
      <c r="L5596">
        <v>215.52869999999999</v>
      </c>
      <c r="M5596">
        <v>0.99972099999999997</v>
      </c>
      <c r="N5596">
        <v>-1.3881569999999999E-2</v>
      </c>
      <c r="O5596">
        <v>1.9117820000000001E-2</v>
      </c>
      <c r="P5596">
        <v>0.98774439999999997</v>
      </c>
      <c r="Q5596">
        <v>0.14499319999999999</v>
      </c>
      <c r="R5596">
        <v>-5.777943E-2</v>
      </c>
      <c r="S5596">
        <v>3.0196839999999998</v>
      </c>
      <c r="T5596">
        <v>-4.0465710000000002E-2</v>
      </c>
      <c r="U5596">
        <v>-0.40217589999999998</v>
      </c>
      <c r="V5596">
        <v>7.6638380000000006E-2</v>
      </c>
      <c r="W5596">
        <v>0.1586805</v>
      </c>
      <c r="X5596">
        <v>0.98435110000000003</v>
      </c>
      <c r="Y5596">
        <v>0.15091979999999999</v>
      </c>
      <c r="Z5596">
        <v>-2.0499369999999999E-3</v>
      </c>
      <c r="AA5596">
        <v>0.98854390000000003</v>
      </c>
      <c r="AB5596">
        <v>25</v>
      </c>
      <c r="AC5596">
        <v>64.008099999999899</v>
      </c>
      <c r="AD5596">
        <v>-0.86113899999999999</v>
      </c>
      <c r="AE5596">
        <v>-8.5630999999999897</v>
      </c>
      <c r="AF5596">
        <v>9.7836080883198306</v>
      </c>
      <c r="AG5596">
        <v>-0.86113899999999999</v>
      </c>
      <c r="AH5596">
        <v>63.821327428464301</v>
      </c>
      <c r="AI5596">
        <v>90.764117950328497</v>
      </c>
      <c r="AJ5596">
        <v>81.284585694197006</v>
      </c>
      <c r="AK5596">
        <v>64.572613253099902</v>
      </c>
      <c r="AL5596">
        <v>80.869684115536501</v>
      </c>
      <c r="AM5596">
        <v>85.548117465497995</v>
      </c>
      <c r="AN5596">
        <v>1.00000001522024</v>
      </c>
    </row>
    <row r="5597" spans="1:40" x14ac:dyDescent="0.25">
      <c r="A5597" t="str">
        <f>"20190303162024315"</f>
        <v>20190303162024315</v>
      </c>
      <c r="B5597" t="str">
        <f>"1551601224308203"</f>
        <v>1551601224308203</v>
      </c>
      <c r="C5597" t="s">
        <v>40</v>
      </c>
      <c r="D5597">
        <v>4.7224789999999999</v>
      </c>
      <c r="E5597">
        <v>0.52919450000000001</v>
      </c>
      <c r="F5597" t="s">
        <v>66</v>
      </c>
      <c r="G5597">
        <v>-168.41040000000001</v>
      </c>
      <c r="H5597">
        <v>0.26013760000000002</v>
      </c>
      <c r="I5597">
        <v>206.91480000000001</v>
      </c>
      <c r="J5597">
        <v>-232.16630000000001</v>
      </c>
      <c r="K5597">
        <v>1.121637</v>
      </c>
      <c r="L5597">
        <v>215.53360000000001</v>
      </c>
      <c r="M5597">
        <v>0.99971940000000004</v>
      </c>
      <c r="N5597">
        <v>-1.387891E-2</v>
      </c>
      <c r="O5597">
        <v>1.919746E-2</v>
      </c>
      <c r="P5597">
        <v>0.98763900000000004</v>
      </c>
      <c r="Q5597">
        <v>0.1454628</v>
      </c>
      <c r="R5597">
        <v>-5.839387E-2</v>
      </c>
      <c r="S5597">
        <v>3.0194239999999999</v>
      </c>
      <c r="T5597">
        <v>-4.0637729999999997E-2</v>
      </c>
      <c r="U5597">
        <v>-0.40634160000000002</v>
      </c>
      <c r="V5597">
        <v>7.7329430000000005E-2</v>
      </c>
      <c r="W5597">
        <v>0.15914610000000001</v>
      </c>
      <c r="X5597">
        <v>0.98422189999999998</v>
      </c>
      <c r="Y5597">
        <v>0.15234890000000001</v>
      </c>
      <c r="Z5597">
        <v>-2.0747690000000002E-3</v>
      </c>
      <c r="AA5597">
        <v>0.9883246</v>
      </c>
      <c r="AB5597">
        <v>25</v>
      </c>
      <c r="AC5597">
        <v>63.755899999999997</v>
      </c>
      <c r="AD5597">
        <v>-0.86149940000000003</v>
      </c>
      <c r="AE5597">
        <v>-8.6187999999999896</v>
      </c>
      <c r="AF5597">
        <v>9.8395162389440305</v>
      </c>
      <c r="AG5597">
        <v>-0.86149940000000003</v>
      </c>
      <c r="AH5597">
        <v>63.567275033203799</v>
      </c>
      <c r="AI5597">
        <v>90.7673202016517</v>
      </c>
      <c r="AJ5597">
        <v>81.201072018928699</v>
      </c>
      <c r="AK5597">
        <v>64.330060750629002</v>
      </c>
      <c r="AL5597">
        <v>80.842664025952601</v>
      </c>
      <c r="AM5597">
        <v>85.507551054220102</v>
      </c>
      <c r="AN5597">
        <v>1.00000003516447</v>
      </c>
    </row>
    <row r="5598" spans="1:40" x14ac:dyDescent="0.25">
      <c r="A5598" t="str">
        <f>"20190303162024336"</f>
        <v>20190303162024336</v>
      </c>
      <c r="B5598" t="str">
        <f>"1551601224327722"</f>
        <v>1551601224327722</v>
      </c>
      <c r="C5598" t="s">
        <v>40</v>
      </c>
      <c r="D5598">
        <v>4.753298</v>
      </c>
      <c r="E5598">
        <v>0.52913390000000005</v>
      </c>
      <c r="F5598" t="s">
        <v>66</v>
      </c>
      <c r="G5598">
        <v>-168.41040000000001</v>
      </c>
      <c r="H5598">
        <v>0.23305699999999999</v>
      </c>
      <c r="I5598">
        <v>206.90870000000001</v>
      </c>
      <c r="J5598">
        <v>-231.91990000000001</v>
      </c>
      <c r="K5598">
        <v>1.1216440000000001</v>
      </c>
      <c r="L5598">
        <v>215.5385</v>
      </c>
      <c r="M5598">
        <v>0.999718</v>
      </c>
      <c r="N5598">
        <v>-1.3876319999999999E-2</v>
      </c>
      <c r="O5598">
        <v>1.927514E-2</v>
      </c>
      <c r="P5598">
        <v>0.98754750000000002</v>
      </c>
      <c r="Q5598">
        <v>0.1455592</v>
      </c>
      <c r="R5598">
        <v>-5.9686610000000001E-2</v>
      </c>
      <c r="S5598">
        <v>3.0195919999999998</v>
      </c>
      <c r="T5598">
        <v>-4.2083259999999997E-2</v>
      </c>
      <c r="U5598">
        <v>-0.40849299999999999</v>
      </c>
      <c r="V5598">
        <v>7.8696959999999996E-2</v>
      </c>
      <c r="W5598">
        <v>0.15923789999999999</v>
      </c>
      <c r="X5598">
        <v>0.98409860000000005</v>
      </c>
      <c r="Y5598">
        <v>0.15310839999999901</v>
      </c>
      <c r="Z5598">
        <v>-2.1305709999999999E-3</v>
      </c>
      <c r="AA5598">
        <v>0.9882071</v>
      </c>
      <c r="AB5598">
        <v>25</v>
      </c>
      <c r="AC5598">
        <v>63.509500000000003</v>
      </c>
      <c r="AD5598">
        <v>-0.88858700000000002</v>
      </c>
      <c r="AE5598">
        <v>-8.6297999999999799</v>
      </c>
      <c r="AF5598">
        <v>9.8505753183798301</v>
      </c>
      <c r="AG5598">
        <v>-0.88858700000000002</v>
      </c>
      <c r="AH5598">
        <v>63.319171549046096</v>
      </c>
      <c r="AI5598">
        <v>90.794450243655206</v>
      </c>
      <c r="AJ5598">
        <v>81.157366963137903</v>
      </c>
      <c r="AK5598">
        <v>64.086979228367198</v>
      </c>
      <c r="AL5598">
        <v>80.837335891660601</v>
      </c>
      <c r="AM5598">
        <v>85.427867970677895</v>
      </c>
      <c r="AN5598">
        <v>0.99999998741580498</v>
      </c>
    </row>
    <row r="5599" spans="1:40" x14ac:dyDescent="0.25">
      <c r="A5599" t="str">
        <f>"20190303162024359"</f>
        <v>20190303162024359</v>
      </c>
      <c r="B5599" t="str">
        <f>"1551601224348217"</f>
        <v>1551601224348217</v>
      </c>
      <c r="C5599" t="s">
        <v>40</v>
      </c>
      <c r="D5599">
        <v>4.7391350000000001</v>
      </c>
      <c r="E5599">
        <v>0.53705829999999999</v>
      </c>
      <c r="F5599" t="s">
        <v>66</v>
      </c>
      <c r="G5599">
        <v>-168.41040000000001</v>
      </c>
      <c r="H5599">
        <v>0.18173220000000001</v>
      </c>
      <c r="I5599">
        <v>206.87280000000001</v>
      </c>
      <c r="J5599">
        <v>-231.66370000000001</v>
      </c>
      <c r="K5599">
        <v>1.1216440000000001</v>
      </c>
      <c r="L5599">
        <v>215.54349999999999</v>
      </c>
      <c r="M5599">
        <v>0.99971659999999996</v>
      </c>
      <c r="N5599">
        <v>-1.387362E-2</v>
      </c>
      <c r="O5599">
        <v>1.935591E-2</v>
      </c>
      <c r="P5599">
        <v>0.98745240000000001</v>
      </c>
      <c r="Q5599">
        <v>0.14567939999999999</v>
      </c>
      <c r="R5599">
        <v>-6.0956610000000001E-2</v>
      </c>
      <c r="S5599">
        <v>3.019501</v>
      </c>
      <c r="T5599">
        <v>-4.4685719999999998E-2</v>
      </c>
      <c r="U5599">
        <v>-0.4120026</v>
      </c>
      <c r="V5599">
        <v>8.0044519999999994E-2</v>
      </c>
      <c r="W5599">
        <v>0.1593542</v>
      </c>
      <c r="X5599">
        <v>0.98397109999999999</v>
      </c>
      <c r="Y5599">
        <v>0.154316799999999</v>
      </c>
      <c r="Z5599">
        <v>-2.2300689999999999E-3</v>
      </c>
      <c r="AA5599">
        <v>0.98801890000000003</v>
      </c>
      <c r="AB5599">
        <v>25</v>
      </c>
      <c r="AC5599">
        <v>63.253300000000003</v>
      </c>
      <c r="AD5599">
        <v>-0.93991179999999996</v>
      </c>
      <c r="AE5599">
        <v>-8.6706999999999805</v>
      </c>
      <c r="AF5599">
        <v>9.8913742909803393</v>
      </c>
      <c r="AG5599">
        <v>-0.93991179999999996</v>
      </c>
      <c r="AH5599">
        <v>63.059935140082302</v>
      </c>
      <c r="AI5599">
        <v>90.843619867844595</v>
      </c>
      <c r="AJ5599">
        <v>81.085410230272899</v>
      </c>
      <c r="AK5599">
        <v>63.837905192976301</v>
      </c>
      <c r="AL5599">
        <v>80.830586376004305</v>
      </c>
      <c r="AM5599">
        <v>85.349318064379702</v>
      </c>
      <c r="AN5599">
        <v>1.0000000059374401</v>
      </c>
    </row>
    <row r="5600" spans="1:40" x14ac:dyDescent="0.25">
      <c r="A5600" t="str">
        <f>"20190303162024382"</f>
        <v>20190303162024382</v>
      </c>
      <c r="B5600" t="str">
        <f>"1551601224378474"</f>
        <v>1551601224378474</v>
      </c>
      <c r="C5600" t="s">
        <v>40</v>
      </c>
      <c r="D5600">
        <v>4.755649</v>
      </c>
      <c r="E5600">
        <v>0.54111560000000003</v>
      </c>
      <c r="F5600" t="s">
        <v>49</v>
      </c>
      <c r="G5600">
        <v>-200.15620000000001</v>
      </c>
      <c r="H5600" s="1">
        <v>2.6416759999999998E-6</v>
      </c>
      <c r="I5600">
        <v>210.5506</v>
      </c>
      <c r="J5600">
        <v>-231.41120000000001</v>
      </c>
      <c r="K5600">
        <v>1.1216469999999901</v>
      </c>
      <c r="L5600">
        <v>215.54839999999999</v>
      </c>
      <c r="M5600">
        <v>0.99971500000000002</v>
      </c>
      <c r="N5600">
        <v>-1.387097E-2</v>
      </c>
      <c r="O5600">
        <v>1.9435910000000001E-2</v>
      </c>
      <c r="P5600">
        <v>0.98738150000000002</v>
      </c>
      <c r="Q5600">
        <v>0.145345</v>
      </c>
      <c r="R5600">
        <v>-6.2872769999999994E-2</v>
      </c>
      <c r="S5600">
        <v>3.0243989999999998</v>
      </c>
      <c r="T5600">
        <v>-0.107665899999999</v>
      </c>
      <c r="U5600">
        <v>-0.4792633</v>
      </c>
      <c r="V5600">
        <v>8.2037959999999993E-2</v>
      </c>
      <c r="W5600">
        <v>0.15901570000000001</v>
      </c>
      <c r="X5600">
        <v>0.98386169999999995</v>
      </c>
      <c r="Y5600">
        <v>0.17552519999999999</v>
      </c>
      <c r="Z5600">
        <v>-4.7492519999999998E-3</v>
      </c>
      <c r="AA5600">
        <v>0.98446350000000005</v>
      </c>
      <c r="AB5600">
        <v>25</v>
      </c>
      <c r="AC5600">
        <v>31.2549999999999</v>
      </c>
      <c r="AD5600">
        <v>-1.1216443583239999</v>
      </c>
      <c r="AE5600">
        <v>-4.9977999999999803</v>
      </c>
      <c r="AF5600">
        <v>5.5973545718132298</v>
      </c>
      <c r="AG5600">
        <v>-1.1216443583239999</v>
      </c>
      <c r="AH5600">
        <v>31.112878541532702</v>
      </c>
      <c r="AI5600">
        <v>92.032070076113797</v>
      </c>
      <c r="AJ5600">
        <v>79.801312631856604</v>
      </c>
      <c r="AK5600">
        <v>31.632256881375401</v>
      </c>
      <c r="AL5600">
        <v>80.850231739238595</v>
      </c>
      <c r="AM5600">
        <v>85.233496406772701</v>
      </c>
      <c r="AN5600">
        <v>1.00000003222717</v>
      </c>
    </row>
    <row r="5601" spans="1:40" x14ac:dyDescent="0.25">
      <c r="A5601" t="str">
        <f>"20190303162024403"</f>
        <v>20190303162024403</v>
      </c>
      <c r="B5601" t="str">
        <f>"1551601224397993"</f>
        <v>1551601224397993</v>
      </c>
      <c r="C5601" t="s">
        <v>40</v>
      </c>
      <c r="D5601">
        <v>4.8044339999999996</v>
      </c>
      <c r="E5601">
        <v>0.54323849999999996</v>
      </c>
      <c r="F5601" t="s">
        <v>49</v>
      </c>
      <c r="G5601">
        <v>-199.42789999999999</v>
      </c>
      <c r="H5601" s="1">
        <v>2.6892980000000002E-6</v>
      </c>
      <c r="I5601">
        <v>210.0745</v>
      </c>
      <c r="J5601">
        <v>-231.16909999999999</v>
      </c>
      <c r="K5601">
        <v>1.1216440000000001</v>
      </c>
      <c r="L5601">
        <v>215.5532</v>
      </c>
      <c r="M5601">
        <v>0.99971350000000003</v>
      </c>
      <c r="N5601">
        <v>-1.386852E-2</v>
      </c>
      <c r="O5601">
        <v>1.951222E-2</v>
      </c>
      <c r="P5601">
        <v>0.98730669999999998</v>
      </c>
      <c r="Q5601">
        <v>0.14512149999999999</v>
      </c>
      <c r="R5601">
        <v>-6.4541150000000005E-2</v>
      </c>
      <c r="S5601">
        <v>3.0210270000000001</v>
      </c>
      <c r="T5601">
        <v>-0.1059465</v>
      </c>
      <c r="U5601">
        <v>-0.51704410000000001</v>
      </c>
      <c r="V5601">
        <v>8.3779709999999993E-2</v>
      </c>
      <c r="W5601">
        <v>0.15878829999999999</v>
      </c>
      <c r="X5601">
        <v>0.98375159999999995</v>
      </c>
      <c r="Y5601">
        <v>0.18773599999999999</v>
      </c>
      <c r="Z5601">
        <v>-4.9898750000000004E-3</v>
      </c>
      <c r="AA5601">
        <v>0.98220689999999999</v>
      </c>
      <c r="AB5601">
        <v>25</v>
      </c>
      <c r="AC5601">
        <v>31.7411999999999</v>
      </c>
      <c r="AD5601">
        <v>-1.121641310702</v>
      </c>
      <c r="AE5601">
        <v>-5.4786999999999999</v>
      </c>
      <c r="AF5601">
        <v>6.0896733229206799</v>
      </c>
      <c r="AG5601">
        <v>-1.121641310702</v>
      </c>
      <c r="AH5601">
        <v>31.589938598855099</v>
      </c>
      <c r="AI5601">
        <v>91.996773621880493</v>
      </c>
      <c r="AJ5601">
        <v>79.088790115110299</v>
      </c>
      <c r="AK5601">
        <v>32.191092263065599</v>
      </c>
      <c r="AL5601">
        <v>80.863428057697703</v>
      </c>
      <c r="AM5601">
        <v>85.132237667698107</v>
      </c>
      <c r="AN5601">
        <v>0.99999998726356598</v>
      </c>
    </row>
    <row r="5602" spans="1:40" x14ac:dyDescent="0.25">
      <c r="A5602" t="str">
        <f>"20190303162024426"</f>
        <v>20190303162024426</v>
      </c>
      <c r="B5602" t="str">
        <f>"1551601224417514"</f>
        <v>1551601224417514</v>
      </c>
      <c r="C5602" t="s">
        <v>40</v>
      </c>
      <c r="D5602">
        <v>4.7520790000000002</v>
      </c>
      <c r="E5602">
        <v>0.54409410000000002</v>
      </c>
      <c r="F5602" t="s">
        <v>49</v>
      </c>
      <c r="G5602">
        <v>-197.89269999999999</v>
      </c>
      <c r="H5602" s="1">
        <v>3.0032759999999999E-6</v>
      </c>
      <c r="I5602">
        <v>209.6103</v>
      </c>
      <c r="J5602">
        <v>-230.91919999999999</v>
      </c>
      <c r="K5602">
        <v>1.1216410000000001</v>
      </c>
      <c r="L5602">
        <v>215.5582</v>
      </c>
      <c r="M5602">
        <v>0.99971189999999999</v>
      </c>
      <c r="N5602">
        <v>-1.3866059999999999E-2</v>
      </c>
      <c r="O5602">
        <v>1.9591319999999999E-2</v>
      </c>
      <c r="P5602">
        <v>0.98727509999999996</v>
      </c>
      <c r="Q5602">
        <v>0.14463679999999901</v>
      </c>
      <c r="R5602">
        <v>-6.6090560000000007E-2</v>
      </c>
      <c r="S5602">
        <v>3.0182950000000002</v>
      </c>
      <c r="T5602">
        <v>-0.1017373</v>
      </c>
      <c r="U5602">
        <v>-0.53904719999999995</v>
      </c>
      <c r="V5602">
        <v>8.5406469999999998E-2</v>
      </c>
      <c r="W5602">
        <v>0.1583001</v>
      </c>
      <c r="X5602">
        <v>0.98369039999999996</v>
      </c>
      <c r="Y5602">
        <v>0.19490930000000001</v>
      </c>
      <c r="Z5602">
        <v>-5.0065819999999999E-3</v>
      </c>
      <c r="AA5602">
        <v>0.98080849999999997</v>
      </c>
      <c r="AB5602">
        <v>25</v>
      </c>
      <c r="AC5602">
        <v>33.026499999999999</v>
      </c>
      <c r="AD5602">
        <v>-1.121637996724</v>
      </c>
      <c r="AE5602">
        <v>-5.9478999999999997</v>
      </c>
      <c r="AF5602">
        <v>6.5864949475070196</v>
      </c>
      <c r="AG5602">
        <v>-1.121637996724</v>
      </c>
      <c r="AH5602">
        <v>32.866903832440201</v>
      </c>
      <c r="AI5602">
        <v>91.9164809963913</v>
      </c>
      <c r="AJ5602">
        <v>78.668086987448305</v>
      </c>
      <c r="AK5602">
        <v>33.539131697468001</v>
      </c>
      <c r="AL5602">
        <v>80.8917582509835</v>
      </c>
      <c r="AM5602">
        <v>85.037880020074596</v>
      </c>
      <c r="AN5602">
        <v>0.99999999491501501</v>
      </c>
    </row>
    <row r="5603" spans="1:40" x14ac:dyDescent="0.25">
      <c r="A5603" t="str">
        <f>"20190303162024448"</f>
        <v>20190303162024448</v>
      </c>
      <c r="B5603" t="str">
        <f>"1551601224438010"</f>
        <v>1551601224438010</v>
      </c>
      <c r="C5603" t="s">
        <v>40</v>
      </c>
      <c r="D5603">
        <v>4.7480949999999904</v>
      </c>
      <c r="E5603">
        <v>0.54417009999999999</v>
      </c>
      <c r="F5603" t="s">
        <v>49</v>
      </c>
      <c r="G5603">
        <v>-199.05090000000001</v>
      </c>
      <c r="H5603" s="1">
        <v>2.7849339999999999E-6</v>
      </c>
      <c r="I5603">
        <v>209.7456</v>
      </c>
      <c r="J5603">
        <v>-230.67310000000001</v>
      </c>
      <c r="K5603">
        <v>1.121626</v>
      </c>
      <c r="L5603">
        <v>215.56309999999999</v>
      </c>
      <c r="M5603">
        <v>0.9997106</v>
      </c>
      <c r="N5603">
        <v>-1.386337E-2</v>
      </c>
      <c r="O5603">
        <v>1.9668939999999999E-2</v>
      </c>
      <c r="P5603">
        <v>0.98732220000000004</v>
      </c>
      <c r="Q5603">
        <v>0.14387339999999901</v>
      </c>
      <c r="R5603">
        <v>-6.704997E-2</v>
      </c>
      <c r="S5603">
        <v>3.0173800000000002</v>
      </c>
      <c r="T5603">
        <v>-0.1062</v>
      </c>
      <c r="U5603">
        <v>-0.55035400000000001</v>
      </c>
      <c r="V5603">
        <v>8.6443259999999994E-2</v>
      </c>
      <c r="W5603">
        <v>0.15753449999999999</v>
      </c>
      <c r="X5603">
        <v>0.98372269999999995</v>
      </c>
      <c r="Y5603">
        <v>0.1985796</v>
      </c>
      <c r="Z5603">
        <v>-5.2697439999999998E-3</v>
      </c>
      <c r="AA5603">
        <v>0.98007060000000001</v>
      </c>
      <c r="AB5603">
        <v>25</v>
      </c>
      <c r="AC5603">
        <v>31.6221999999999</v>
      </c>
      <c r="AD5603">
        <v>-1.1216232150659999</v>
      </c>
      <c r="AE5603">
        <v>-5.8174999999999901</v>
      </c>
      <c r="AF5603">
        <v>6.4305838291002297</v>
      </c>
      <c r="AG5603">
        <v>-1.1216232150659999</v>
      </c>
      <c r="AH5603">
        <v>31.4633586686417</v>
      </c>
      <c r="AI5603">
        <v>92.000329744846994</v>
      </c>
      <c r="AJ5603">
        <v>78.448789331585004</v>
      </c>
      <c r="AK5603">
        <v>32.133368726780702</v>
      </c>
      <c r="AL5603">
        <v>80.936180925177496</v>
      </c>
      <c r="AM5603">
        <v>84.978112745455604</v>
      </c>
      <c r="AN5603">
        <v>0.99999995319248203</v>
      </c>
    </row>
    <row r="5604" spans="1:40" x14ac:dyDescent="0.25">
      <c r="A5604" t="str">
        <f>"20190303162024471"</f>
        <v>20190303162024471</v>
      </c>
      <c r="B5604" t="str">
        <f>"1551601224457530"</f>
        <v>1551601224457530</v>
      </c>
      <c r="C5604" t="s">
        <v>40</v>
      </c>
      <c r="D5604">
        <v>4.7625719999999996</v>
      </c>
      <c r="E5604">
        <v>0.54422029999999999</v>
      </c>
      <c r="F5604" t="s">
        <v>49</v>
      </c>
      <c r="G5604">
        <v>-199.72290000000001</v>
      </c>
      <c r="H5604" s="1">
        <v>2.6537889999999998E-6</v>
      </c>
      <c r="I5604">
        <v>209.88220000000001</v>
      </c>
      <c r="J5604">
        <v>-230.42519999999999</v>
      </c>
      <c r="K5604">
        <v>1.1216269999999999</v>
      </c>
      <c r="L5604">
        <v>215.56809999999999</v>
      </c>
      <c r="M5604">
        <v>0.99970899999999996</v>
      </c>
      <c r="N5604">
        <v>-1.3860519999999999E-2</v>
      </c>
      <c r="O5604">
        <v>1.974745E-2</v>
      </c>
      <c r="P5604">
        <v>0.98738230000000005</v>
      </c>
      <c r="Q5604">
        <v>0.1431279</v>
      </c>
      <c r="R5604">
        <v>-6.7754560000000005E-2</v>
      </c>
      <c r="S5604">
        <v>3.0168300000000001</v>
      </c>
      <c r="T5604">
        <v>-0.1093287</v>
      </c>
      <c r="U5604">
        <v>-0.5537415</v>
      </c>
      <c r="V5604">
        <v>8.7226540000000005E-2</v>
      </c>
      <c r="W5604">
        <v>0.15678710000000001</v>
      </c>
      <c r="X5604">
        <v>0.98377300000000001</v>
      </c>
      <c r="Y5604">
        <v>0.1997427</v>
      </c>
      <c r="Z5604">
        <v>-5.4230619999999898E-3</v>
      </c>
      <c r="AA5604">
        <v>0.97983339999999997</v>
      </c>
      <c r="AB5604">
        <v>25</v>
      </c>
      <c r="AC5604">
        <v>30.702299999999902</v>
      </c>
      <c r="AD5604">
        <v>-1.121624346211</v>
      </c>
      <c r="AE5604">
        <v>-5.68589999999997</v>
      </c>
      <c r="AF5604">
        <v>6.2830340524212396</v>
      </c>
      <c r="AG5604">
        <v>-1.121624346211</v>
      </c>
      <c r="AH5604">
        <v>30.5446058482643</v>
      </c>
      <c r="AI5604">
        <v>92.059915306316697</v>
      </c>
      <c r="AJ5604">
        <v>78.376374027224799</v>
      </c>
      <c r="AK5604">
        <v>31.204286636674102</v>
      </c>
      <c r="AL5604">
        <v>80.9795429816064</v>
      </c>
      <c r="AM5604">
        <v>84.933101980028695</v>
      </c>
      <c r="AN5604">
        <v>0.99999998976788995</v>
      </c>
    </row>
    <row r="5605" spans="1:40" x14ac:dyDescent="0.25">
      <c r="A5605" t="str">
        <f>"20190303162024492"</f>
        <v>20190303162024492</v>
      </c>
      <c r="B5605" t="str">
        <f>"1551601224487785"</f>
        <v>1551601224487785</v>
      </c>
      <c r="C5605" t="s">
        <v>40</v>
      </c>
      <c r="D5605">
        <v>4.7651320000000004</v>
      </c>
      <c r="E5605">
        <v>0.54441850000000003</v>
      </c>
      <c r="F5605" t="s">
        <v>49</v>
      </c>
      <c r="G5605">
        <v>-200.82980000000001</v>
      </c>
      <c r="H5605" s="1">
        <v>2.9787599999999999E-6</v>
      </c>
      <c r="I5605">
        <v>210.11179999999999</v>
      </c>
      <c r="J5605">
        <v>-230.17930000000001</v>
      </c>
      <c r="K5605">
        <v>1.1216250000000001</v>
      </c>
      <c r="L5605">
        <v>215.57300000000001</v>
      </c>
      <c r="M5605">
        <v>0.99970749999999997</v>
      </c>
      <c r="N5605">
        <v>-1.3857690000000001E-2</v>
      </c>
      <c r="O5605">
        <v>1.9824709999999999E-2</v>
      </c>
      <c r="P5605">
        <v>0.98726429999999998</v>
      </c>
      <c r="Q5605">
        <v>0.1438701</v>
      </c>
      <c r="R5605">
        <v>-6.7903939999999996E-2</v>
      </c>
      <c r="S5605">
        <v>3.0167389999999998</v>
      </c>
      <c r="T5605">
        <v>-0.1143299</v>
      </c>
      <c r="U5605">
        <v>-0.55616759999999998</v>
      </c>
      <c r="V5605">
        <v>8.7449730000000003E-2</v>
      </c>
      <c r="W5605">
        <v>0.15752459999999999</v>
      </c>
      <c r="X5605">
        <v>0.98363540000000005</v>
      </c>
      <c r="Y5605">
        <v>0.2005702</v>
      </c>
      <c r="Z5605">
        <v>-5.6424639999999998E-3</v>
      </c>
      <c r="AA5605">
        <v>0.97966310000000001</v>
      </c>
      <c r="AB5605">
        <v>25</v>
      </c>
      <c r="AC5605">
        <v>29.349499999999999</v>
      </c>
      <c r="AD5605">
        <v>-1.1216220212399901</v>
      </c>
      <c r="AE5605">
        <v>-5.4611999999999901</v>
      </c>
      <c r="AF5605">
        <v>6.03351081601659</v>
      </c>
      <c r="AG5605">
        <v>-1.1216220212399901</v>
      </c>
      <c r="AH5605">
        <v>29.194243413675402</v>
      </c>
      <c r="AI5605">
        <v>92.154691180263399</v>
      </c>
      <c r="AJ5605">
        <v>78.323198468792896</v>
      </c>
      <c r="AK5605">
        <v>29.8322834731512</v>
      </c>
      <c r="AL5605">
        <v>80.936756004435097</v>
      </c>
      <c r="AM5605">
        <v>84.919497964833795</v>
      </c>
      <c r="AN5605">
        <v>1.0000000275076899</v>
      </c>
    </row>
    <row r="5606" spans="1:40" x14ac:dyDescent="0.25">
      <c r="A5606" t="str">
        <f>"20190303162024515"</f>
        <v>20190303162024515</v>
      </c>
      <c r="B5606" t="str">
        <f>"1551601224508281"</f>
        <v>1551601224508281</v>
      </c>
      <c r="C5606" t="s">
        <v>40</v>
      </c>
      <c r="D5606">
        <v>4.7816369999999999</v>
      </c>
      <c r="E5606">
        <v>0.5444696</v>
      </c>
      <c r="F5606" t="s">
        <v>49</v>
      </c>
      <c r="G5606">
        <v>-200.0333</v>
      </c>
      <c r="H5606" s="1">
        <v>2.6357879999999999E-6</v>
      </c>
      <c r="I5606">
        <v>209.99459999999999</v>
      </c>
      <c r="J5606">
        <v>-229.93119999999999</v>
      </c>
      <c r="K5606">
        <v>1.121624</v>
      </c>
      <c r="L5606">
        <v>215.578</v>
      </c>
      <c r="M5606">
        <v>0.99970599999999998</v>
      </c>
      <c r="N5606">
        <v>-1.385489E-2</v>
      </c>
      <c r="O5606">
        <v>1.990047E-2</v>
      </c>
      <c r="P5606">
        <v>0.98724299999999998</v>
      </c>
      <c r="Q5606">
        <v>0.14407710000000001</v>
      </c>
      <c r="R5606">
        <v>-6.777532E-2</v>
      </c>
      <c r="S5606">
        <v>3.0166780000000002</v>
      </c>
      <c r="T5606">
        <v>-0.11223959999999999</v>
      </c>
      <c r="U5606">
        <v>-0.55822749999999999</v>
      </c>
      <c r="V5606">
        <v>8.7395760000000003E-2</v>
      </c>
      <c r="W5606">
        <v>0.15772800000000001</v>
      </c>
      <c r="X5606">
        <v>0.98360760000000003</v>
      </c>
      <c r="Y5606">
        <v>0.20130039999999999</v>
      </c>
      <c r="Z5606">
        <v>-5.5800069999999997E-3</v>
      </c>
      <c r="AA5606">
        <v>0.97951359999999998</v>
      </c>
      <c r="AB5606">
        <v>25</v>
      </c>
      <c r="AC5606">
        <v>29.8979</v>
      </c>
      <c r="AD5606">
        <v>-1.1216213642120001</v>
      </c>
      <c r="AE5606">
        <v>-5.5834000000000099</v>
      </c>
      <c r="AF5606">
        <v>6.1689439785434903</v>
      </c>
      <c r="AG5606">
        <v>-1.1216213642120001</v>
      </c>
      <c r="AH5606">
        <v>29.740409622171398</v>
      </c>
      <c r="AI5606">
        <v>92.114838296468704</v>
      </c>
      <c r="AJ5606">
        <v>78.281525909442706</v>
      </c>
      <c r="AK5606">
        <v>30.394174915427602</v>
      </c>
      <c r="AL5606">
        <v>80.924954495270299</v>
      </c>
      <c r="AM5606">
        <v>84.922474272007804</v>
      </c>
      <c r="AN5606">
        <v>1.0000000258138599</v>
      </c>
    </row>
    <row r="5607" spans="1:40" x14ac:dyDescent="0.25">
      <c r="A5607" t="str">
        <f>"20190303162024537"</f>
        <v>20190303162024537</v>
      </c>
      <c r="B5607" t="str">
        <f>"1551601224527801"</f>
        <v>1551601224527801</v>
      </c>
      <c r="C5607" t="s">
        <v>40</v>
      </c>
      <c r="D5607">
        <v>4.772659</v>
      </c>
      <c r="E5607">
        <v>0.54448229999999997</v>
      </c>
      <c r="F5607" t="s">
        <v>49</v>
      </c>
      <c r="G5607">
        <v>-199.87479999999999</v>
      </c>
      <c r="H5607" s="1">
        <v>2.6154180000000001E-6</v>
      </c>
      <c r="I5607">
        <v>210.01300000000001</v>
      </c>
      <c r="J5607">
        <v>-229.68430000000001</v>
      </c>
      <c r="K5607">
        <v>1.1216280000000001</v>
      </c>
      <c r="L5607">
        <v>215.583</v>
      </c>
      <c r="M5607">
        <v>0.9997045</v>
      </c>
      <c r="N5607">
        <v>-1.3852120000000001E-2</v>
      </c>
      <c r="O5607">
        <v>1.9972859999999999E-2</v>
      </c>
      <c r="P5607">
        <v>0.98717549999999998</v>
      </c>
      <c r="Q5607">
        <v>0.14456160000000001</v>
      </c>
      <c r="R5607">
        <v>-6.7724090000000001E-2</v>
      </c>
      <c r="S5607">
        <v>3.0168460000000001</v>
      </c>
      <c r="T5607">
        <v>-0.11258029999999999</v>
      </c>
      <c r="U5607">
        <v>-0.55857849999999998</v>
      </c>
      <c r="V5607">
        <v>8.7415580000000007E-2</v>
      </c>
      <c r="W5607">
        <v>0.15820819999999999</v>
      </c>
      <c r="X5607">
        <v>0.98352870000000003</v>
      </c>
      <c r="Y5607">
        <v>0.2014706</v>
      </c>
      <c r="Z5607">
        <v>-5.5990190000000002E-3</v>
      </c>
      <c r="AA5607">
        <v>0.97947850000000003</v>
      </c>
      <c r="AB5607">
        <v>25</v>
      </c>
      <c r="AC5607">
        <v>29.8095</v>
      </c>
      <c r="AD5607">
        <v>-1.1216253845819999</v>
      </c>
      <c r="AE5607">
        <v>-5.5699999999999896</v>
      </c>
      <c r="AF5607">
        <v>6.1559056325671397</v>
      </c>
      <c r="AG5607">
        <v>-1.1216253845819999</v>
      </c>
      <c r="AH5607">
        <v>29.6517298423989</v>
      </c>
      <c r="AI5607">
        <v>92.1210888374532</v>
      </c>
      <c r="AJ5607">
        <v>78.271603508731701</v>
      </c>
      <c r="AK5607">
        <v>30.304757057383199</v>
      </c>
      <c r="AL5607">
        <v>80.897091080612199</v>
      </c>
      <c r="AM5607">
        <v>84.920923502584898</v>
      </c>
      <c r="AN5607">
        <v>1.0000000109488301</v>
      </c>
    </row>
    <row r="5608" spans="1:40" x14ac:dyDescent="0.25">
      <c r="A5608" t="str">
        <f>"20190303162024560"</f>
        <v>20190303162024560</v>
      </c>
      <c r="B5608" t="str">
        <f>"1551601224548298"</f>
        <v>1551601224548298</v>
      </c>
      <c r="C5608" t="s">
        <v>40</v>
      </c>
      <c r="D5608">
        <v>4.8361980000000004</v>
      </c>
      <c r="E5608">
        <v>0.54457709999999904</v>
      </c>
      <c r="F5608" t="s">
        <v>49</v>
      </c>
      <c r="G5608">
        <v>-199.4794</v>
      </c>
      <c r="H5608" s="1">
        <v>2.6872770000000001E-6</v>
      </c>
      <c r="I5608">
        <v>209.9931</v>
      </c>
      <c r="J5608">
        <v>-229.43680000000001</v>
      </c>
      <c r="K5608">
        <v>1.1216280000000001</v>
      </c>
      <c r="L5608">
        <v>215.58799999999999</v>
      </c>
      <c r="M5608">
        <v>0.99970329999999996</v>
      </c>
      <c r="N5608">
        <v>-1.384939E-2</v>
      </c>
      <c r="O5608">
        <v>2.0041239999999998E-2</v>
      </c>
      <c r="P5608">
        <v>0.98702469999999998</v>
      </c>
      <c r="Q5608">
        <v>0.1452445</v>
      </c>
      <c r="R5608">
        <v>-6.8458260000000007E-2</v>
      </c>
      <c r="S5608">
        <v>3.0171049999999999</v>
      </c>
      <c r="T5608">
        <v>-0.1120372</v>
      </c>
      <c r="U5608">
        <v>-0.55836490000000005</v>
      </c>
      <c r="V5608">
        <v>8.8215279999999993E-2</v>
      </c>
      <c r="W5608">
        <v>0.15888569999999999</v>
      </c>
      <c r="X5608">
        <v>0.98334809999999995</v>
      </c>
      <c r="Y5608">
        <v>0.2014571</v>
      </c>
      <c r="Z5608">
        <v>-5.5781420000000003E-3</v>
      </c>
      <c r="AA5608">
        <v>0.9794815</v>
      </c>
      <c r="AB5608">
        <v>25</v>
      </c>
      <c r="AC5608">
        <v>29.9574</v>
      </c>
      <c r="AD5608">
        <v>-1.121625312723</v>
      </c>
      <c r="AE5608">
        <v>-5.5948999999999902</v>
      </c>
      <c r="AF5608">
        <v>6.1858379867961704</v>
      </c>
      <c r="AG5608">
        <v>-1.121625312723</v>
      </c>
      <c r="AH5608">
        <v>29.798878259836901</v>
      </c>
      <c r="AI5608">
        <v>92.110632836352295</v>
      </c>
      <c r="AJ5608">
        <v>78.272740244748405</v>
      </c>
      <c r="AK5608">
        <v>30.454815390765599</v>
      </c>
      <c r="AL5608">
        <v>80.857776209710394</v>
      </c>
      <c r="AM5608">
        <v>84.873768890170993</v>
      </c>
      <c r="AN5608">
        <v>1.00000004353178</v>
      </c>
    </row>
    <row r="5609" spans="1:40" x14ac:dyDescent="0.25">
      <c r="A5609" t="str">
        <f>"20190303162024582"</f>
        <v>20190303162024582</v>
      </c>
      <c r="B5609" t="str">
        <f>"1551601224577578"</f>
        <v>1551601224577578</v>
      </c>
      <c r="C5609" t="s">
        <v>40</v>
      </c>
      <c r="D5609">
        <v>4.8316439999999998</v>
      </c>
      <c r="E5609">
        <v>0.54482089999999905</v>
      </c>
      <c r="F5609" t="s">
        <v>49</v>
      </c>
      <c r="G5609">
        <v>-198.9753</v>
      </c>
      <c r="H5609" s="1">
        <v>2.7828939999999999E-6</v>
      </c>
      <c r="I5609">
        <v>209.92230000000001</v>
      </c>
      <c r="J5609">
        <v>-229.1917</v>
      </c>
      <c r="K5609">
        <v>1.121623</v>
      </c>
      <c r="L5609">
        <v>215.59299999999999</v>
      </c>
      <c r="M5609">
        <v>0.99970210000000004</v>
      </c>
      <c r="N5609">
        <v>-1.384668E-2</v>
      </c>
      <c r="O5609">
        <v>2.010377E-2</v>
      </c>
      <c r="P5609">
        <v>0.98702350000000005</v>
      </c>
      <c r="Q5609">
        <v>0.145112299999999</v>
      </c>
      <c r="R5609">
        <v>-6.8756479999999995E-2</v>
      </c>
      <c r="S5609">
        <v>3.0168759999999999</v>
      </c>
      <c r="T5609">
        <v>-0.1110848</v>
      </c>
      <c r="U5609">
        <v>-0.56112669999999998</v>
      </c>
      <c r="V5609">
        <v>8.8576680000000005E-2</v>
      </c>
      <c r="W5609">
        <v>0.15874920000000001</v>
      </c>
      <c r="X5609">
        <v>0.98333760000000003</v>
      </c>
      <c r="Y5609">
        <v>0.20240040000000001</v>
      </c>
      <c r="Z5609">
        <v>-5.5654779999999996E-3</v>
      </c>
      <c r="AA5609">
        <v>0.97928700000000002</v>
      </c>
      <c r="AB5609">
        <v>25</v>
      </c>
      <c r="AC5609">
        <v>30.2164</v>
      </c>
      <c r="AD5609">
        <v>-1.1216202171059999</v>
      </c>
      <c r="AE5609">
        <v>-5.6706999999999796</v>
      </c>
      <c r="AF5609">
        <v>6.2687318722732899</v>
      </c>
      <c r="AG5609">
        <v>-1.1216202171059999</v>
      </c>
      <c r="AH5609">
        <v>30.056274198758999</v>
      </c>
      <c r="AI5609">
        <v>92.092155748691894</v>
      </c>
      <c r="AJ5609">
        <v>78.218907990353301</v>
      </c>
      <c r="AK5609">
        <v>30.723519490918701</v>
      </c>
      <c r="AL5609">
        <v>80.865697093552399</v>
      </c>
      <c r="AM5609">
        <v>84.852825680300896</v>
      </c>
      <c r="AN5609">
        <v>0.99999998615711105</v>
      </c>
    </row>
    <row r="5610" spans="1:40" x14ac:dyDescent="0.25">
      <c r="A5610" t="str">
        <f>"20190303162024605"</f>
        <v>20190303162024605</v>
      </c>
      <c r="B5610" t="str">
        <f>"1551601224598073"</f>
        <v>1551601224598073</v>
      </c>
      <c r="C5610" t="s">
        <v>40</v>
      </c>
      <c r="D5610">
        <v>4.8754770000000001</v>
      </c>
      <c r="E5610">
        <v>0.54490799999999995</v>
      </c>
      <c r="F5610" t="s">
        <v>49</v>
      </c>
      <c r="G5610">
        <v>-198.86359999999999</v>
      </c>
      <c r="H5610" s="1">
        <v>2.8024390000000001E-6</v>
      </c>
      <c r="I5610">
        <v>209.92529999999999</v>
      </c>
      <c r="J5610">
        <v>-228.9358</v>
      </c>
      <c r="K5610">
        <v>1.1216109999999999</v>
      </c>
      <c r="L5610">
        <v>215.59819999999999</v>
      </c>
      <c r="M5610">
        <v>0.99970079999999995</v>
      </c>
      <c r="N5610">
        <v>-1.384385E-2</v>
      </c>
      <c r="O5610">
        <v>2.0163500000000001E-2</v>
      </c>
      <c r="P5610">
        <v>0.98704729999999996</v>
      </c>
      <c r="Q5610">
        <v>0.14437</v>
      </c>
      <c r="R5610">
        <v>-6.9965570000000005E-2</v>
      </c>
      <c r="S5610">
        <v>3.0165709999999999</v>
      </c>
      <c r="T5610">
        <v>-0.1115618</v>
      </c>
      <c r="U5610">
        <v>-0.56373600000000001</v>
      </c>
      <c r="V5610">
        <v>8.9846670000000003E-2</v>
      </c>
      <c r="W5610">
        <v>0.15800339999999999</v>
      </c>
      <c r="X5610">
        <v>0.98334250000000001</v>
      </c>
      <c r="Y5610">
        <v>0.203293</v>
      </c>
      <c r="Z5610">
        <v>-5.6084400000000001E-3</v>
      </c>
      <c r="AA5610">
        <v>0.97910189999999997</v>
      </c>
      <c r="AB5610">
        <v>25</v>
      </c>
      <c r="AC5610">
        <v>30.072199999999999</v>
      </c>
      <c r="AD5610">
        <v>-1.1216081975609999</v>
      </c>
      <c r="AE5610">
        <v>-5.6728999999999896</v>
      </c>
      <c r="AF5610">
        <v>6.2697433958655502</v>
      </c>
      <c r="AG5610">
        <v>-1.1216081975609999</v>
      </c>
      <c r="AH5610">
        <v>29.911509082411399</v>
      </c>
      <c r="AI5610">
        <v>92.101810838723694</v>
      </c>
      <c r="AJ5610">
        <v>78.161638823926296</v>
      </c>
      <c r="AK5610">
        <v>30.582119985148399</v>
      </c>
      <c r="AL5610">
        <v>80.908974492433998</v>
      </c>
      <c r="AM5610">
        <v>84.779457593855099</v>
      </c>
      <c r="AN5610">
        <v>0.99999998541394897</v>
      </c>
    </row>
    <row r="5611" spans="1:40" x14ac:dyDescent="0.25">
      <c r="A5611" t="str">
        <f>"20190303162024630"</f>
        <v>20190303162024630</v>
      </c>
      <c r="B5611" t="str">
        <f>"1551601224617595"</f>
        <v>1551601224617595</v>
      </c>
      <c r="C5611" t="s">
        <v>40</v>
      </c>
      <c r="D5611">
        <v>4.845224</v>
      </c>
      <c r="E5611">
        <v>0.53386330000000004</v>
      </c>
      <c r="F5611" t="s">
        <v>49</v>
      </c>
      <c r="G5611">
        <v>-199.32040000000001</v>
      </c>
      <c r="H5611" s="1">
        <v>2.712872E-6</v>
      </c>
      <c r="I5611">
        <v>210.0231</v>
      </c>
      <c r="J5611">
        <v>-228.667</v>
      </c>
      <c r="K5611">
        <v>1.121605</v>
      </c>
      <c r="L5611">
        <v>215.6037</v>
      </c>
      <c r="M5611">
        <v>0.99969989999999997</v>
      </c>
      <c r="N5611">
        <v>-1.384088E-2</v>
      </c>
      <c r="O5611">
        <v>2.0220200000000001E-2</v>
      </c>
      <c r="P5611">
        <v>0.98701019999999995</v>
      </c>
      <c r="Q5611">
        <v>0.144236999999999</v>
      </c>
      <c r="R5611">
        <v>-7.0758810000000005E-2</v>
      </c>
      <c r="S5611">
        <v>3.015854</v>
      </c>
      <c r="T5611">
        <v>-0.11421779999999999</v>
      </c>
      <c r="U5611">
        <v>-0.56773379999999996</v>
      </c>
      <c r="V5611">
        <v>9.0696390000000002E-2</v>
      </c>
      <c r="W5611">
        <v>0.157865899999999</v>
      </c>
      <c r="X5611">
        <v>0.98328660000000001</v>
      </c>
      <c r="Y5611">
        <v>0.2046347</v>
      </c>
      <c r="Z5611">
        <v>-5.7510819999999898E-3</v>
      </c>
      <c r="AA5611">
        <v>0.97882150000000001</v>
      </c>
      <c r="AB5611">
        <v>25</v>
      </c>
      <c r="AC5611">
        <v>29.346599999999899</v>
      </c>
      <c r="AD5611">
        <v>-1.121602287128</v>
      </c>
      <c r="AE5611">
        <v>-5.5805999999999996</v>
      </c>
      <c r="AF5611">
        <v>6.1642198449597903</v>
      </c>
      <c r="AG5611">
        <v>-1.121602287128</v>
      </c>
      <c r="AH5611">
        <v>29.186602209415302</v>
      </c>
      <c r="AI5611">
        <v>92.153264003269598</v>
      </c>
      <c r="AJ5611">
        <v>78.074368112782807</v>
      </c>
      <c r="AK5611">
        <v>29.851521678436001</v>
      </c>
      <c r="AL5611">
        <v>80.916952996972498</v>
      </c>
      <c r="AM5611">
        <v>84.730063372572999</v>
      </c>
      <c r="AN5611">
        <v>1.0000000076407001</v>
      </c>
    </row>
    <row r="5612" spans="1:40" x14ac:dyDescent="0.25">
      <c r="A5612" t="str">
        <f>"20190303162024648"</f>
        <v>20190303162024648</v>
      </c>
      <c r="B5612" t="str">
        <f>"1551601224638090"</f>
        <v>1551601224638090</v>
      </c>
      <c r="C5612" t="s">
        <v>40</v>
      </c>
      <c r="D5612">
        <v>4.8479400000000004</v>
      </c>
      <c r="E5612">
        <v>0.53265240000000003</v>
      </c>
      <c r="F5612" t="s">
        <v>49</v>
      </c>
      <c r="G5612">
        <v>-208.2766</v>
      </c>
      <c r="H5612" s="1">
        <v>6.0845909999999997E-6</v>
      </c>
      <c r="I5612">
        <v>212.35980000000001</v>
      </c>
      <c r="J5612">
        <v>-228.45439999999999</v>
      </c>
      <c r="K5612">
        <v>1.12161</v>
      </c>
      <c r="L5612">
        <v>215.608</v>
      </c>
      <c r="M5612">
        <v>0.999699</v>
      </c>
      <c r="N5612">
        <v>-1.3838649999999999E-2</v>
      </c>
      <c r="O5612">
        <v>2.026238E-2</v>
      </c>
      <c r="P5612">
        <v>0.9869289</v>
      </c>
      <c r="Q5612">
        <v>0.14422380000000001</v>
      </c>
      <c r="R5612">
        <v>-7.1910479999999999E-2</v>
      </c>
      <c r="S5612">
        <v>3.0292659999999998</v>
      </c>
      <c r="T5612">
        <v>-0.16662859999999999</v>
      </c>
      <c r="U5612">
        <v>-0.48193359999999902</v>
      </c>
      <c r="V5612">
        <v>9.1888419999999998E-2</v>
      </c>
      <c r="W5612">
        <v>0.15784899999999999</v>
      </c>
      <c r="X5612">
        <v>0.98317860000000001</v>
      </c>
      <c r="Y5612">
        <v>0.176752399999999</v>
      </c>
      <c r="Z5612">
        <v>-6.8878749999999999E-3</v>
      </c>
      <c r="AA5612">
        <v>0.98423119999999997</v>
      </c>
      <c r="AB5612">
        <v>25</v>
      </c>
      <c r="AC5612">
        <v>20.177799999999898</v>
      </c>
      <c r="AD5612">
        <v>-1.1216039154090001</v>
      </c>
      <c r="AE5612">
        <v>-3.24819999999999</v>
      </c>
      <c r="AF5612">
        <v>3.6454431793960902</v>
      </c>
      <c r="AG5612">
        <v>-1.1216039154090001</v>
      </c>
      <c r="AH5612">
        <v>20.0474559554957</v>
      </c>
      <c r="AI5612">
        <v>93.150654543341702</v>
      </c>
      <c r="AJ5612">
        <v>79.693905302864806</v>
      </c>
      <c r="AK5612">
        <v>20.407051271675801</v>
      </c>
      <c r="AL5612">
        <v>80.917933282427597</v>
      </c>
      <c r="AM5612">
        <v>84.660614750626394</v>
      </c>
      <c r="AN5612">
        <v>0.999999974014527</v>
      </c>
    </row>
    <row r="5613" spans="1:40" x14ac:dyDescent="0.25">
      <c r="A5613" t="str">
        <f>"20190303162024671"</f>
        <v>20190303162024671</v>
      </c>
      <c r="B5613" t="str">
        <f>"1551601224657610"</f>
        <v>1551601224657610</v>
      </c>
      <c r="C5613" t="s">
        <v>40</v>
      </c>
      <c r="D5613">
        <v>4.8220210000000003</v>
      </c>
      <c r="E5613">
        <v>0.53185590000000005</v>
      </c>
      <c r="F5613" t="s">
        <v>49</v>
      </c>
      <c r="G5613">
        <v>-207.7912</v>
      </c>
      <c r="H5613" s="1">
        <v>5.8689540000000001E-6</v>
      </c>
      <c r="I5613">
        <v>212.364</v>
      </c>
      <c r="J5613">
        <v>-228.20920000000001</v>
      </c>
      <c r="K5613">
        <v>1.121604</v>
      </c>
      <c r="L5613">
        <v>215.6131</v>
      </c>
      <c r="M5613">
        <v>0.99969810000000003</v>
      </c>
      <c r="N5613">
        <v>-1.3836029999999999E-2</v>
      </c>
      <c r="O5613">
        <v>2.030941E-2</v>
      </c>
      <c r="P5613">
        <v>0.98680179999999995</v>
      </c>
      <c r="Q5613">
        <v>0.14432139999999999</v>
      </c>
      <c r="R5613">
        <v>-7.3443399999999895E-2</v>
      </c>
      <c r="S5613">
        <v>3.0291440000000001</v>
      </c>
      <c r="T5613">
        <v>-0.1644224</v>
      </c>
      <c r="U5613">
        <v>-0.47555540000000002</v>
      </c>
      <c r="V5613">
        <v>9.3465220000000002E-2</v>
      </c>
      <c r="W5613">
        <v>0.15794179999999999</v>
      </c>
      <c r="X5613">
        <v>0.98301510000000003</v>
      </c>
      <c r="Y5613">
        <v>0.17479430000000001</v>
      </c>
      <c r="Z5613">
        <v>-6.7456089999999996E-3</v>
      </c>
      <c r="AA5613">
        <v>0.98458190000000001</v>
      </c>
      <c r="AB5613">
        <v>25</v>
      </c>
      <c r="AC5613">
        <v>20.417999999999999</v>
      </c>
      <c r="AD5613">
        <v>-1.1215981310459999</v>
      </c>
      <c r="AE5613">
        <v>-3.2490999999999901</v>
      </c>
      <c r="AF5613">
        <v>3.65239796378911</v>
      </c>
      <c r="AG5613">
        <v>-1.1215981310459999</v>
      </c>
      <c r="AH5613">
        <v>20.2880867119278</v>
      </c>
      <c r="AI5613">
        <v>93.114331163819202</v>
      </c>
      <c r="AJ5613">
        <v>79.794542682170601</v>
      </c>
      <c r="AK5613">
        <v>20.644719801541399</v>
      </c>
      <c r="AL5613">
        <v>80.912549139354596</v>
      </c>
      <c r="AM5613">
        <v>84.568636536020904</v>
      </c>
      <c r="AN5613">
        <v>1.00000002318244</v>
      </c>
    </row>
    <row r="5614" spans="1:40" x14ac:dyDescent="0.25">
      <c r="A5614" t="str">
        <f>"20190303162024694"</f>
        <v>20190303162024694</v>
      </c>
      <c r="B5614" t="str">
        <f>"1551601224687866"</f>
        <v>1551601224687866</v>
      </c>
      <c r="C5614" t="s">
        <v>40</v>
      </c>
      <c r="D5614">
        <v>4.8632059999999999</v>
      </c>
      <c r="E5614">
        <v>0.53166480000000005</v>
      </c>
      <c r="F5614" t="s">
        <v>49</v>
      </c>
      <c r="G5614">
        <v>-208.0428</v>
      </c>
      <c r="H5614" s="1">
        <v>5.9722110000000003E-6</v>
      </c>
      <c r="I5614">
        <v>212.45920000000001</v>
      </c>
      <c r="J5614">
        <v>-227.95840000000001</v>
      </c>
      <c r="K5614">
        <v>1.1215999999999999</v>
      </c>
      <c r="L5614">
        <v>215.6182</v>
      </c>
      <c r="M5614">
        <v>0.99969710000000001</v>
      </c>
      <c r="N5614">
        <v>-1.383331E-2</v>
      </c>
      <c r="O5614">
        <v>2.035698E-2</v>
      </c>
      <c r="P5614">
        <v>0.98676200000000003</v>
      </c>
      <c r="Q5614">
        <v>0.143618</v>
      </c>
      <c r="R5614">
        <v>-7.5331839999999997E-2</v>
      </c>
      <c r="S5614">
        <v>3.0295100000000001</v>
      </c>
      <c r="T5614">
        <v>-0.168493</v>
      </c>
      <c r="U5614">
        <v>-0.47378540000000002</v>
      </c>
      <c r="V5614">
        <v>9.5399419999999999E-2</v>
      </c>
      <c r="W5614">
        <v>0.15723399999999901</v>
      </c>
      <c r="X5614">
        <v>0.98294280000000001</v>
      </c>
      <c r="Y5614">
        <v>0.17424719999999999</v>
      </c>
      <c r="Z5614">
        <v>-6.8715699999999996E-3</v>
      </c>
      <c r="AA5614">
        <v>0.98467800000000005</v>
      </c>
      <c r="AB5614">
        <v>25</v>
      </c>
      <c r="AC5614">
        <v>19.915600000000001</v>
      </c>
      <c r="AD5614">
        <v>-1.121594027789</v>
      </c>
      <c r="AE5614">
        <v>-3.15899999999999</v>
      </c>
      <c r="AF5614">
        <v>3.55281379510037</v>
      </c>
      <c r="AG5614">
        <v>-1.121594027789</v>
      </c>
      <c r="AH5614">
        <v>19.785944505200298</v>
      </c>
      <c r="AI5614">
        <v>93.193453392530401</v>
      </c>
      <c r="AJ5614">
        <v>79.820307974889403</v>
      </c>
      <c r="AK5614">
        <v>20.133654884016799</v>
      </c>
      <c r="AL5614">
        <v>80.953616599902801</v>
      </c>
      <c r="AM5614">
        <v>84.456525929559305</v>
      </c>
      <c r="AN5614">
        <v>1.0000000640820801</v>
      </c>
    </row>
    <row r="5615" spans="1:40" x14ac:dyDescent="0.25">
      <c r="A5615" t="str">
        <f>"20190303162024716"</f>
        <v>20190303162024716</v>
      </c>
      <c r="B5615" t="str">
        <f>"1551601224708362"</f>
        <v>1551601224708362</v>
      </c>
      <c r="C5615" t="s">
        <v>40</v>
      </c>
      <c r="D5615">
        <v>4.8111420000000003</v>
      </c>
      <c r="E5615">
        <v>0.53177849999999904</v>
      </c>
      <c r="F5615" t="s">
        <v>49</v>
      </c>
      <c r="G5615">
        <v>-208.15960000000001</v>
      </c>
      <c r="H5615" s="1">
        <v>6.0208379999999998E-6</v>
      </c>
      <c r="I5615">
        <v>212.4957</v>
      </c>
      <c r="J5615">
        <v>-227.7216</v>
      </c>
      <c r="K5615">
        <v>1.1216029999999999</v>
      </c>
      <c r="L5615">
        <v>215.62309999999999</v>
      </c>
      <c r="M5615">
        <v>0.99969640000000004</v>
      </c>
      <c r="N5615">
        <v>-1.3830759999999999E-2</v>
      </c>
      <c r="O5615">
        <v>2.0401880000000001E-2</v>
      </c>
      <c r="P5615">
        <v>0.98670919999999895</v>
      </c>
      <c r="Q5615">
        <v>0.14328879999999999</v>
      </c>
      <c r="R5615">
        <v>-7.6640769999999997E-2</v>
      </c>
      <c r="S5615">
        <v>3.0287169999999999</v>
      </c>
      <c r="T5615">
        <v>-0.171575799999999</v>
      </c>
      <c r="U5615">
        <v>-0.4776764</v>
      </c>
      <c r="V5615">
        <v>9.6751279999999995E-2</v>
      </c>
      <c r="W5615">
        <v>0.15690109999999999</v>
      </c>
      <c r="X5615">
        <v>0.98286379999999995</v>
      </c>
      <c r="Y5615">
        <v>0.17555079999999901</v>
      </c>
      <c r="Z5615">
        <v>-7.0286869999999996E-3</v>
      </c>
      <c r="AA5615">
        <v>0.98444529999999997</v>
      </c>
      <c r="AB5615">
        <v>25</v>
      </c>
      <c r="AC5615">
        <v>19.561999999999902</v>
      </c>
      <c r="AD5615">
        <v>-1.121596979162</v>
      </c>
      <c r="AE5615">
        <v>-3.12739999999999</v>
      </c>
      <c r="AF5615">
        <v>3.5146227244220398</v>
      </c>
      <c r="AG5615">
        <v>-1.121596979162</v>
      </c>
      <c r="AH5615">
        <v>19.431829247619302</v>
      </c>
      <c r="AI5615">
        <v>93.250793932869797</v>
      </c>
      <c r="AJ5615">
        <v>79.747785575177005</v>
      </c>
      <c r="AK5615">
        <v>19.7789418470079</v>
      </c>
      <c r="AL5615">
        <v>80.972929569054102</v>
      </c>
      <c r="AM5615">
        <v>84.378022712737902</v>
      </c>
      <c r="AN5615">
        <v>1.00000000735664</v>
      </c>
    </row>
    <row r="5616" spans="1:40" x14ac:dyDescent="0.25">
      <c r="A5616" t="str">
        <f>"20190303162024738"</f>
        <v>20190303162024738</v>
      </c>
      <c r="B5616" t="str">
        <f>"1551601224727882"</f>
        <v>1551601224727882</v>
      </c>
      <c r="C5616" t="s">
        <v>40</v>
      </c>
      <c r="D5616">
        <v>4.8510489999999997</v>
      </c>
      <c r="E5616">
        <v>0.53151389999999998</v>
      </c>
      <c r="F5616" t="s">
        <v>49</v>
      </c>
      <c r="G5616">
        <v>-207.8246</v>
      </c>
      <c r="H5616" s="1">
        <v>5.875628E-6</v>
      </c>
      <c r="I5616">
        <v>212.4571</v>
      </c>
      <c r="J5616">
        <v>-227.4743</v>
      </c>
      <c r="K5616">
        <v>1.121597</v>
      </c>
      <c r="L5616">
        <v>215.62819999999999</v>
      </c>
      <c r="M5616">
        <v>0.99969520000000001</v>
      </c>
      <c r="N5616">
        <v>-1.3828160000000001E-2</v>
      </c>
      <c r="O5616">
        <v>2.044994E-2</v>
      </c>
      <c r="P5616">
        <v>0.98660119999999896</v>
      </c>
      <c r="Q5616">
        <v>0.14330300000000001</v>
      </c>
      <c r="R5616">
        <v>-7.7988719999999997E-2</v>
      </c>
      <c r="S5616">
        <v>3.0277859999999999</v>
      </c>
      <c r="T5616">
        <v>-0.17067660000000001</v>
      </c>
      <c r="U5616">
        <v>-0.48178100000000001</v>
      </c>
      <c r="V5616">
        <v>9.8144140000000005E-2</v>
      </c>
      <c r="W5616">
        <v>0.15691099999999999</v>
      </c>
      <c r="X5616">
        <v>0.98272409999999999</v>
      </c>
      <c r="Y5616">
        <v>0.17694699999999999</v>
      </c>
      <c r="Z5616">
        <v>-7.0488469999999996E-3</v>
      </c>
      <c r="AA5616">
        <v>0.98419520000000005</v>
      </c>
      <c r="AB5616">
        <v>24</v>
      </c>
      <c r="AC5616">
        <v>19.649699999999999</v>
      </c>
      <c r="AD5616">
        <v>-1.121591124372</v>
      </c>
      <c r="AE5616">
        <v>-3.1710999999999898</v>
      </c>
      <c r="AF5616">
        <v>3.5610029327361299</v>
      </c>
      <c r="AG5616">
        <v>-1.121591124372</v>
      </c>
      <c r="AH5616">
        <v>19.518756185324001</v>
      </c>
      <c r="AI5616">
        <v>93.235438604694593</v>
      </c>
      <c r="AJ5616">
        <v>79.660666838606005</v>
      </c>
      <c r="AK5616">
        <v>19.8726080713969</v>
      </c>
      <c r="AL5616">
        <v>80.972355118191899</v>
      </c>
      <c r="AM5616">
        <v>84.296811441258299</v>
      </c>
      <c r="AN5616">
        <v>0.99999999542907403</v>
      </c>
    </row>
    <row r="5617" spans="1:40" x14ac:dyDescent="0.25">
      <c r="A5617" t="str">
        <f>"20190303162024761"</f>
        <v>20190303162024761</v>
      </c>
      <c r="B5617" t="str">
        <f>"1551601224748378"</f>
        <v>1551601224748378</v>
      </c>
      <c r="C5617" t="s">
        <v>40</v>
      </c>
      <c r="D5617">
        <v>4.8373679999999997</v>
      </c>
      <c r="E5617">
        <v>0.53138580000000002</v>
      </c>
      <c r="F5617" t="s">
        <v>49</v>
      </c>
      <c r="G5617">
        <v>-207.6163</v>
      </c>
      <c r="H5617" s="1">
        <v>5.7831340000000003E-6</v>
      </c>
      <c r="I5617">
        <v>212.45849999999999</v>
      </c>
      <c r="J5617">
        <v>-227.22989999999999</v>
      </c>
      <c r="K5617">
        <v>1.121597</v>
      </c>
      <c r="L5617">
        <v>215.63319999999999</v>
      </c>
      <c r="M5617">
        <v>0.99969430000000004</v>
      </c>
      <c r="N5617">
        <v>-1.382564E-2</v>
      </c>
      <c r="O5617">
        <v>2.0498180000000001E-2</v>
      </c>
      <c r="P5617">
        <v>0.98636219999999997</v>
      </c>
      <c r="Q5617">
        <v>0.14420429999999901</v>
      </c>
      <c r="R5617">
        <v>-7.9340220000000003E-2</v>
      </c>
      <c r="S5617">
        <v>3.027374</v>
      </c>
      <c r="T5617">
        <v>-0.17098740000000001</v>
      </c>
      <c r="U5617">
        <v>-0.48321530000000001</v>
      </c>
      <c r="V5617">
        <v>9.9537860000000006E-2</v>
      </c>
      <c r="W5617">
        <v>0.15780620000000001</v>
      </c>
      <c r="X5617">
        <v>0.98244050000000005</v>
      </c>
      <c r="Y5617">
        <v>0.1774676</v>
      </c>
      <c r="Z5617">
        <v>-7.0806869999999996E-3</v>
      </c>
      <c r="AA5617">
        <v>0.98410120000000001</v>
      </c>
      <c r="AB5617">
        <v>24</v>
      </c>
      <c r="AC5617">
        <v>19.613599999999899</v>
      </c>
      <c r="AD5617">
        <v>-1.1215912168660001</v>
      </c>
      <c r="AE5617">
        <v>-3.1747000000000001</v>
      </c>
      <c r="AF5617">
        <v>3.56475504232729</v>
      </c>
      <c r="AG5617">
        <v>-1.1215912168660001</v>
      </c>
      <c r="AH5617">
        <v>19.482314742136701</v>
      </c>
      <c r="AI5617">
        <v>93.241172545373701</v>
      </c>
      <c r="AJ5617">
        <v>79.631067978916207</v>
      </c>
      <c r="AK5617">
        <v>19.8374905943576</v>
      </c>
      <c r="AL5617">
        <v>80.920416531127898</v>
      </c>
      <c r="AM5617">
        <v>84.214708920827206</v>
      </c>
      <c r="AN5617">
        <v>0.99999995918603402</v>
      </c>
    </row>
    <row r="5618" spans="1:40" x14ac:dyDescent="0.25">
      <c r="A5618" t="str">
        <f>"20190303162024783"</f>
        <v>20190303162024783</v>
      </c>
      <c r="B5618" t="str">
        <f>"1551601224777658"</f>
        <v>1551601224777658</v>
      </c>
      <c r="C5618" t="s">
        <v>40</v>
      </c>
      <c r="D5618">
        <v>4.8784660000000004</v>
      </c>
      <c r="E5618">
        <v>0.53124359999999904</v>
      </c>
      <c r="F5618" t="s">
        <v>49</v>
      </c>
      <c r="G5618">
        <v>-207.25909999999999</v>
      </c>
      <c r="H5618" s="1">
        <v>5.627518E-6</v>
      </c>
      <c r="I5618">
        <v>212.42689999999999</v>
      </c>
      <c r="J5618">
        <v>-226.98179999999999</v>
      </c>
      <c r="K5618">
        <v>1.121604</v>
      </c>
      <c r="L5618">
        <v>215.63839999999999</v>
      </c>
      <c r="M5618">
        <v>0.99969339999999995</v>
      </c>
      <c r="N5618">
        <v>-1.382311E-2</v>
      </c>
      <c r="O5618">
        <v>2.054827E-2</v>
      </c>
      <c r="P5618">
        <v>0.98620640000000004</v>
      </c>
      <c r="Q5618">
        <v>0.1445813</v>
      </c>
      <c r="R5618">
        <v>-8.0580799999999994E-2</v>
      </c>
      <c r="S5618">
        <v>3.0272060000000001</v>
      </c>
      <c r="T5618">
        <v>-0.17001269999999999</v>
      </c>
      <c r="U5618">
        <v>-0.48602289999999998</v>
      </c>
      <c r="V5618">
        <v>0.1008242</v>
      </c>
      <c r="W5618">
        <v>0.15817809999999999</v>
      </c>
      <c r="X5618">
        <v>0.98224959999999994</v>
      </c>
      <c r="Y5618">
        <v>0.1784172</v>
      </c>
      <c r="Z5618">
        <v>-7.0808290000000003E-3</v>
      </c>
      <c r="AA5618">
        <v>0.98392950000000001</v>
      </c>
      <c r="AB5618">
        <v>24</v>
      </c>
      <c r="AC5618">
        <v>19.7227</v>
      </c>
      <c r="AD5618">
        <v>-1.121598372482</v>
      </c>
      <c r="AE5618">
        <v>-3.2115</v>
      </c>
      <c r="AF5618">
        <v>3.6047710844274201</v>
      </c>
      <c r="AG5618">
        <v>-1.121598372482</v>
      </c>
      <c r="AH5618">
        <v>19.590817419323599</v>
      </c>
      <c r="AI5618">
        <v>93.2226923798153</v>
      </c>
      <c r="AJ5618">
        <v>79.574019821610804</v>
      </c>
      <c r="AK5618">
        <v>19.951252708477998</v>
      </c>
      <c r="AL5618">
        <v>80.898838068412601</v>
      </c>
      <c r="AM5618">
        <v>84.139330941986103</v>
      </c>
      <c r="AN5618">
        <v>1.0000000536627001</v>
      </c>
    </row>
    <row r="5619" spans="1:40" x14ac:dyDescent="0.25">
      <c r="A5619" t="str">
        <f>"20190303162024806"</f>
        <v>20190303162024806</v>
      </c>
      <c r="B5619" t="str">
        <f>"1551601224798154"</f>
        <v>1551601224798154</v>
      </c>
      <c r="C5619" t="s">
        <v>40</v>
      </c>
      <c r="D5619">
        <v>4.8489769999999996</v>
      </c>
      <c r="E5619">
        <v>0.53125029999999995</v>
      </c>
      <c r="F5619" t="s">
        <v>49</v>
      </c>
      <c r="G5619">
        <v>-206.84450000000001</v>
      </c>
      <c r="H5619" s="1">
        <v>5.4470410000000002E-6</v>
      </c>
      <c r="I5619">
        <v>212.38820000000001</v>
      </c>
      <c r="J5619">
        <v>-226.73670000000001</v>
      </c>
      <c r="K5619">
        <v>1.1216090000000001</v>
      </c>
      <c r="L5619">
        <v>215.64340000000001</v>
      </c>
      <c r="M5619">
        <v>0.99969240000000004</v>
      </c>
      <c r="N5619">
        <v>-1.3820580000000001E-2</v>
      </c>
      <c r="O5619">
        <v>2.0597819999999999E-2</v>
      </c>
      <c r="P5619">
        <v>0.98595999999999995</v>
      </c>
      <c r="Q5619">
        <v>0.14508199999999999</v>
      </c>
      <c r="R5619">
        <v>-8.2669820000000005E-2</v>
      </c>
      <c r="S5619">
        <v>3.0267490000000001</v>
      </c>
      <c r="T5619">
        <v>-0.16858319999999999</v>
      </c>
      <c r="U5619">
        <v>-0.4885254</v>
      </c>
      <c r="V5619">
        <v>0.102956199999999</v>
      </c>
      <c r="W5619">
        <v>0.15867249999999999</v>
      </c>
      <c r="X5619">
        <v>0.98194859999999995</v>
      </c>
      <c r="Y5619">
        <v>0.179286</v>
      </c>
      <c r="Z5619">
        <v>-7.0619910000000001E-3</v>
      </c>
      <c r="AA5619">
        <v>0.98377170000000003</v>
      </c>
      <c r="AB5619">
        <v>24</v>
      </c>
      <c r="AC5619">
        <v>19.892199999999999</v>
      </c>
      <c r="AD5619">
        <v>-1.121603552959</v>
      </c>
      <c r="AE5619">
        <v>-3.2551999999999999</v>
      </c>
      <c r="AF5619">
        <v>3.6529737829872602</v>
      </c>
      <c r="AG5619">
        <v>-1.121603552959</v>
      </c>
      <c r="AH5619">
        <v>19.759741357355001</v>
      </c>
      <c r="AI5619">
        <v>93.194721248225207</v>
      </c>
      <c r="AJ5619">
        <v>79.526010908775007</v>
      </c>
      <c r="AK5619">
        <v>20.125843845632101</v>
      </c>
      <c r="AL5619">
        <v>80.870148197643402</v>
      </c>
      <c r="AM5619">
        <v>84.0144719347104</v>
      </c>
      <c r="AN5619">
        <v>0.999999997208325</v>
      </c>
    </row>
    <row r="5620" spans="1:40" x14ac:dyDescent="0.25">
      <c r="A5620" t="str">
        <f>"20190303162024830"</f>
        <v>20190303162024830</v>
      </c>
      <c r="B5620" t="str">
        <f>"1551601224819626"</f>
        <v>1551601224819626</v>
      </c>
      <c r="C5620" t="s">
        <v>40</v>
      </c>
      <c r="D5620">
        <v>4.8463120000000002</v>
      </c>
      <c r="E5620">
        <v>0.53125480000000003</v>
      </c>
      <c r="F5620" t="s">
        <v>49</v>
      </c>
      <c r="G5620">
        <v>-206.62889999999999</v>
      </c>
      <c r="H5620" s="1">
        <v>5.3537500000000002E-6</v>
      </c>
      <c r="I5620">
        <v>212.36150000000001</v>
      </c>
      <c r="J5620">
        <v>-226.4829</v>
      </c>
      <c r="K5620">
        <v>1.1216120000000001</v>
      </c>
      <c r="L5620">
        <v>215.64869999999999</v>
      </c>
      <c r="M5620">
        <v>0.99969140000000001</v>
      </c>
      <c r="N5620">
        <v>-1.3817980000000001E-2</v>
      </c>
      <c r="O5620">
        <v>2.064976E-2</v>
      </c>
      <c r="P5620">
        <v>0.98560970000000003</v>
      </c>
      <c r="Q5620">
        <v>0.14575479999999999</v>
      </c>
      <c r="R5620">
        <v>-8.5612069999999998E-2</v>
      </c>
      <c r="S5620">
        <v>3.026154</v>
      </c>
      <c r="T5620">
        <v>-0.16879769999999999</v>
      </c>
      <c r="U5620">
        <v>-0.49391170000000001</v>
      </c>
      <c r="V5620">
        <v>0.10594149999999999</v>
      </c>
      <c r="W5620">
        <v>0.15933720000000001</v>
      </c>
      <c r="X5620">
        <v>0.98152329999999999</v>
      </c>
      <c r="Y5620">
        <v>0.18106900000000001</v>
      </c>
      <c r="Z5620">
        <v>-7.1340479999999996E-3</v>
      </c>
      <c r="AA5620">
        <v>0.98344450000000005</v>
      </c>
      <c r="AB5620">
        <v>24</v>
      </c>
      <c r="AC5620">
        <v>19.853999999999999</v>
      </c>
      <c r="AD5620">
        <v>-1.1216066462500001</v>
      </c>
      <c r="AE5620">
        <v>-3.2871999999999799</v>
      </c>
      <c r="AF5620">
        <v>3.6850715206245699</v>
      </c>
      <c r="AG5620">
        <v>-1.1216066462500001</v>
      </c>
      <c r="AH5620">
        <v>19.720621681992501</v>
      </c>
      <c r="AI5620">
        <v>93.1999098783091</v>
      </c>
      <c r="AJ5620">
        <v>79.415558964402507</v>
      </c>
      <c r="AK5620">
        <v>20.093299209072299</v>
      </c>
      <c r="AL5620">
        <v>80.831572646716396</v>
      </c>
      <c r="AM5620">
        <v>83.839583711336402</v>
      </c>
      <c r="AN5620">
        <v>0.99999996658448898</v>
      </c>
    </row>
    <row r="5621" spans="1:40" x14ac:dyDescent="0.25">
      <c r="A5621" t="str">
        <f>"20190303162024862"</f>
        <v>20190303162024862</v>
      </c>
      <c r="B5621" t="str">
        <f>"1551601224847929"</f>
        <v>1551601224847929</v>
      </c>
      <c r="C5621" t="s">
        <v>40</v>
      </c>
      <c r="D5621">
        <v>4.8708689999999999</v>
      </c>
      <c r="E5621">
        <v>0.53137529999999999</v>
      </c>
      <c r="F5621" t="s">
        <v>49</v>
      </c>
      <c r="G5621">
        <v>-206.2038</v>
      </c>
      <c r="H5621" s="1">
        <v>5.1720639999999999E-6</v>
      </c>
      <c r="I5621">
        <v>212.28370000000001</v>
      </c>
      <c r="J5621">
        <v>-226.1302</v>
      </c>
      <c r="K5621">
        <v>1.1216170000000001</v>
      </c>
      <c r="L5621">
        <v>215.65610000000001</v>
      </c>
      <c r="M5621">
        <v>0.99968990000000002</v>
      </c>
      <c r="N5621">
        <v>-1.3814399999999999E-2</v>
      </c>
      <c r="O5621">
        <v>2.072185E-2</v>
      </c>
      <c r="P5621">
        <v>0.98522189999999998</v>
      </c>
      <c r="Q5621">
        <v>0.14653659999999999</v>
      </c>
      <c r="R5621">
        <v>-8.8685689999999998E-2</v>
      </c>
      <c r="S5621">
        <v>3.0249630000000001</v>
      </c>
      <c r="T5621">
        <v>-0.16730629999999999</v>
      </c>
      <c r="U5621">
        <v>-0.50195310000000004</v>
      </c>
      <c r="V5621">
        <v>0.1090771</v>
      </c>
      <c r="W5621">
        <v>0.16010920000000001</v>
      </c>
      <c r="X5621">
        <v>0.98105410000000004</v>
      </c>
      <c r="Y5621">
        <v>0.18374689999999999</v>
      </c>
      <c r="Z5621">
        <v>-7.1759679999999996E-3</v>
      </c>
      <c r="AA5621">
        <v>0.98294740000000003</v>
      </c>
      <c r="AB5621">
        <v>24</v>
      </c>
      <c r="AC5621">
        <v>19.926400000000001</v>
      </c>
      <c r="AD5621">
        <v>-1.1216118279359999</v>
      </c>
      <c r="AE5621">
        <v>-3.3723999999999901</v>
      </c>
      <c r="AF5621">
        <v>3.7730058088859701</v>
      </c>
      <c r="AG5621">
        <v>-1.1216118279359999</v>
      </c>
      <c r="AH5621">
        <v>19.791272735937699</v>
      </c>
      <c r="AI5621">
        <v>93.186336030323403</v>
      </c>
      <c r="AJ5621">
        <v>79.206652184896697</v>
      </c>
      <c r="AK5621">
        <v>20.1789014179346</v>
      </c>
      <c r="AL5621">
        <v>80.786764979112505</v>
      </c>
      <c r="AM5621">
        <v>83.655707165853698</v>
      </c>
      <c r="AN5621">
        <v>0.99999995839792899</v>
      </c>
    </row>
    <row r="5622" spans="1:40" x14ac:dyDescent="0.25">
      <c r="A5622" t="str">
        <f>"20190303162024884"</f>
        <v>20190303162024884</v>
      </c>
      <c r="B5622" t="str">
        <f>"1551601224878186"</f>
        <v>1551601224878186</v>
      </c>
      <c r="C5622" t="s">
        <v>40</v>
      </c>
      <c r="D5622">
        <v>4.8736600000000001</v>
      </c>
      <c r="E5622">
        <v>0.53140489999999996</v>
      </c>
      <c r="F5622" t="s">
        <v>49</v>
      </c>
      <c r="G5622">
        <v>-205.959</v>
      </c>
      <c r="H5622" s="1">
        <v>5.067248E-6</v>
      </c>
      <c r="I5622">
        <v>212.2405</v>
      </c>
      <c r="J5622">
        <v>-225.89250000000001</v>
      </c>
      <c r="K5622">
        <v>1.1216140000000001</v>
      </c>
      <c r="L5622">
        <v>215.661</v>
      </c>
      <c r="M5622">
        <v>0.99968900000000005</v>
      </c>
      <c r="N5622">
        <v>-1.381195E-2</v>
      </c>
      <c r="O5622">
        <v>2.0770090000000001E-2</v>
      </c>
      <c r="P5622">
        <v>0.98507670000000003</v>
      </c>
      <c r="Q5622">
        <v>0.14618780000000001</v>
      </c>
      <c r="R5622">
        <v>-9.0848189999999995E-2</v>
      </c>
      <c r="S5622">
        <v>3.0239410000000002</v>
      </c>
      <c r="T5622">
        <v>-0.1681453</v>
      </c>
      <c r="U5622">
        <v>-0.51203920000000003</v>
      </c>
      <c r="V5622">
        <v>0.1112836</v>
      </c>
      <c r="W5622">
        <v>0.1597557</v>
      </c>
      <c r="X5622">
        <v>0.98086390000000001</v>
      </c>
      <c r="Y5622">
        <v>0.1870262</v>
      </c>
      <c r="Z5622">
        <v>-7.3228590000000001E-3</v>
      </c>
      <c r="AA5622">
        <v>0.98232759999999997</v>
      </c>
      <c r="AB5622">
        <v>24</v>
      </c>
      <c r="AC5622">
        <v>19.933499999999999</v>
      </c>
      <c r="AD5622">
        <v>-1.12160893275199</v>
      </c>
      <c r="AE5622">
        <v>-3.4204999999999699</v>
      </c>
      <c r="AF5622">
        <v>3.8220673309215698</v>
      </c>
      <c r="AG5622">
        <v>-1.12160893275199</v>
      </c>
      <c r="AH5622">
        <v>19.7972621875731</v>
      </c>
      <c r="AI5622">
        <v>93.183942375026405</v>
      </c>
      <c r="AJ5622">
        <v>79.072889907381594</v>
      </c>
      <c r="AK5622">
        <v>20.1940039468065</v>
      </c>
      <c r="AL5622">
        <v>80.807283134176203</v>
      </c>
      <c r="AM5622">
        <v>83.527203507012004</v>
      </c>
      <c r="AN5622">
        <v>0.99999995681732901</v>
      </c>
    </row>
    <row r="5623" spans="1:40" x14ac:dyDescent="0.25">
      <c r="A5623" t="str">
        <f>"20190303162024906"</f>
        <v>20190303162024906</v>
      </c>
      <c r="B5623" t="str">
        <f>"1551601224897706"</f>
        <v>1551601224897706</v>
      </c>
      <c r="C5623" t="s">
        <v>40</v>
      </c>
      <c r="D5623">
        <v>4.9002270000000001</v>
      </c>
      <c r="E5623">
        <v>0.53143980000000002</v>
      </c>
      <c r="F5623" t="s">
        <v>49</v>
      </c>
      <c r="G5623">
        <v>-206.06110000000001</v>
      </c>
      <c r="H5623" s="1">
        <v>5.1105569999999997E-6</v>
      </c>
      <c r="I5623">
        <v>212.26300000000001</v>
      </c>
      <c r="J5623">
        <v>-225.65280000000001</v>
      </c>
      <c r="K5623">
        <v>1.12161</v>
      </c>
      <c r="L5623">
        <v>215.666</v>
      </c>
      <c r="M5623">
        <v>0.99968789999999996</v>
      </c>
      <c r="N5623">
        <v>-1.3809460000000001E-2</v>
      </c>
      <c r="O5623">
        <v>2.0818320000000001E-2</v>
      </c>
      <c r="P5623">
        <v>0.98489660000000001</v>
      </c>
      <c r="Q5623">
        <v>0.14587079999999999</v>
      </c>
      <c r="R5623">
        <v>-9.327742E-2</v>
      </c>
      <c r="S5623">
        <v>3.023056</v>
      </c>
      <c r="T5623">
        <v>-0.17097499999999999</v>
      </c>
      <c r="U5623">
        <v>-0.51799010000000001</v>
      </c>
      <c r="V5623">
        <v>0.1137561</v>
      </c>
      <c r="W5623">
        <v>0.15943270000000001</v>
      </c>
      <c r="X5623">
        <v>0.98063279999999997</v>
      </c>
      <c r="Y5623">
        <v>0.18898429999999999</v>
      </c>
      <c r="Z5623">
        <v>-7.5003419999999897E-3</v>
      </c>
      <c r="AA5623">
        <v>0.98195149999999998</v>
      </c>
      <c r="AB5623">
        <v>24</v>
      </c>
      <c r="AC5623">
        <v>19.591699999999999</v>
      </c>
      <c r="AD5623">
        <v>-1.121604889443</v>
      </c>
      <c r="AE5623">
        <v>-3.4029999999999898</v>
      </c>
      <c r="AF5623">
        <v>3.7980840667695301</v>
      </c>
      <c r="AG5623">
        <v>-1.121604889443</v>
      </c>
      <c r="AH5623">
        <v>19.454707305253599</v>
      </c>
      <c r="AI5623">
        <v>93.238564357912793</v>
      </c>
      <c r="AJ5623">
        <v>78.9532620476311</v>
      </c>
      <c r="AK5623">
        <v>19.853691758445301</v>
      </c>
      <c r="AL5623">
        <v>80.8260300059342</v>
      </c>
      <c r="AM5623">
        <v>83.383106719562093</v>
      </c>
      <c r="AN5623">
        <v>0.99999996227616905</v>
      </c>
    </row>
    <row r="5624" spans="1:40" x14ac:dyDescent="0.25">
      <c r="A5624" t="str">
        <f>"20190303162024928"</f>
        <v>20190303162024928</v>
      </c>
      <c r="B5624" t="str">
        <f>"1551601224918202"</f>
        <v>1551601224918202</v>
      </c>
      <c r="C5624" t="s">
        <v>40</v>
      </c>
      <c r="D5624">
        <v>4.9170559999999996</v>
      </c>
      <c r="E5624">
        <v>0.53151899999999996</v>
      </c>
      <c r="F5624" t="s">
        <v>49</v>
      </c>
      <c r="G5624">
        <v>-206.15819999999999</v>
      </c>
      <c r="H5624" s="1">
        <v>5.1520510000000003E-6</v>
      </c>
      <c r="I5624">
        <v>212.28120000000001</v>
      </c>
      <c r="J5624">
        <v>-225.41409999999999</v>
      </c>
      <c r="K5624">
        <v>1.1216079999999999</v>
      </c>
      <c r="L5624">
        <v>215.6711</v>
      </c>
      <c r="M5624">
        <v>0.99968710000000005</v>
      </c>
      <c r="N5624">
        <v>-1.3807079999999999E-2</v>
      </c>
      <c r="O5624">
        <v>2.0860489999999999E-2</v>
      </c>
      <c r="P5624">
        <v>0.98468350000000004</v>
      </c>
      <c r="Q5624">
        <v>0.14570949999999999</v>
      </c>
      <c r="R5624">
        <v>-9.5746040000000004E-2</v>
      </c>
      <c r="S5624">
        <v>3.0220790000000002</v>
      </c>
      <c r="T5624">
        <v>-0.1738731</v>
      </c>
      <c r="U5624">
        <v>-0.52471919999999905</v>
      </c>
      <c r="V5624">
        <v>0.1162623</v>
      </c>
      <c r="W5624">
        <v>0.1592652</v>
      </c>
      <c r="X5624">
        <v>0.98036610000000002</v>
      </c>
      <c r="Y5624">
        <v>0.19118470000000001</v>
      </c>
      <c r="Z5624">
        <v>-7.6908009999999997E-3</v>
      </c>
      <c r="AA5624">
        <v>0.9815239</v>
      </c>
      <c r="AB5624">
        <v>24</v>
      </c>
      <c r="AC5624">
        <v>19.2559</v>
      </c>
      <c r="AD5624">
        <v>-1.1216028479489999</v>
      </c>
      <c r="AE5624">
        <v>-3.3898999999999799</v>
      </c>
      <c r="AF5624">
        <v>3.7784540272812701</v>
      </c>
      <c r="AG5624">
        <v>-1.1216028479489999</v>
      </c>
      <c r="AH5624">
        <v>19.118074459868598</v>
      </c>
      <c r="AI5624">
        <v>93.293959758851699</v>
      </c>
      <c r="AJ5624">
        <v>78.8202654254587</v>
      </c>
      <c r="AK5624">
        <v>19.520130092750001</v>
      </c>
      <c r="AL5624">
        <v>80.8357516888085</v>
      </c>
      <c r="AM5624">
        <v>83.236840619548403</v>
      </c>
      <c r="AN5624">
        <v>1.0000000081807701</v>
      </c>
    </row>
    <row r="5625" spans="1:40" x14ac:dyDescent="0.25">
      <c r="A5625" t="str">
        <f>"20190303162024951"</f>
        <v>20190303162024951</v>
      </c>
      <c r="B5625" t="str">
        <f>"1551601224937722"</f>
        <v>1551601224937722</v>
      </c>
      <c r="C5625" t="s">
        <v>40</v>
      </c>
      <c r="D5625">
        <v>4.898237</v>
      </c>
      <c r="E5625">
        <v>0.53148989999999996</v>
      </c>
      <c r="F5625" t="s">
        <v>49</v>
      </c>
      <c r="G5625">
        <v>-206.0992</v>
      </c>
      <c r="H5625" s="1">
        <v>5.1273389999999899E-6</v>
      </c>
      <c r="I5625">
        <v>212.26439999999999</v>
      </c>
      <c r="J5625">
        <v>-225.1688</v>
      </c>
      <c r="K5625">
        <v>1.121597</v>
      </c>
      <c r="L5625">
        <v>215.67619999999999</v>
      </c>
      <c r="M5625">
        <v>0.99968639999999998</v>
      </c>
      <c r="N5625">
        <v>-1.380469E-2</v>
      </c>
      <c r="O5625">
        <v>2.089659E-2</v>
      </c>
      <c r="P5625">
        <v>0.98443239999999999</v>
      </c>
      <c r="Q5625">
        <v>0.1459106</v>
      </c>
      <c r="R5625">
        <v>-9.7995589999999994E-2</v>
      </c>
      <c r="S5625">
        <v>3.0207980000000001</v>
      </c>
      <c r="T5625">
        <v>-0.17541599999999999</v>
      </c>
      <c r="U5625">
        <v>-0.53279109999999996</v>
      </c>
      <c r="V5625">
        <v>0.1185436</v>
      </c>
      <c r="W5625">
        <v>0.15945819999999999</v>
      </c>
      <c r="X5625">
        <v>0.98006150000000003</v>
      </c>
      <c r="Y5625">
        <v>0.1938223</v>
      </c>
      <c r="Z5625">
        <v>-7.8470569999999993E-3</v>
      </c>
      <c r="AA5625">
        <v>0.98100529999999997</v>
      </c>
      <c r="AB5625">
        <v>24</v>
      </c>
      <c r="AC5625">
        <v>19.069600000000001</v>
      </c>
      <c r="AD5625">
        <v>-1.1215918726609999</v>
      </c>
      <c r="AE5625">
        <v>-3.4117999999999902</v>
      </c>
      <c r="AF5625">
        <v>3.79685540623354</v>
      </c>
      <c r="AG5625">
        <v>-1.1215918726609999</v>
      </c>
      <c r="AH5625">
        <v>18.930678000435201</v>
      </c>
      <c r="AI5625">
        <v>93.324600736021395</v>
      </c>
      <c r="AJ5625">
        <v>78.658874125386305</v>
      </c>
      <c r="AK5625">
        <v>19.340233940178301</v>
      </c>
      <c r="AL5625">
        <v>80.824550593753699</v>
      </c>
      <c r="AM5625">
        <v>83.103276919615894</v>
      </c>
      <c r="AN5625">
        <v>1.00000002321522</v>
      </c>
    </row>
    <row r="5626" spans="1:40" x14ac:dyDescent="0.25">
      <c r="A5626" t="str">
        <f>"20190303162024973"</f>
        <v>20190303162024973</v>
      </c>
      <c r="B5626" t="str">
        <f>"1551601224967978"</f>
        <v>1551601224967978</v>
      </c>
      <c r="C5626" t="s">
        <v>40</v>
      </c>
      <c r="D5626">
        <v>4.8798649999999997</v>
      </c>
      <c r="E5626">
        <v>0.53141890000000003</v>
      </c>
      <c r="F5626" t="s">
        <v>49</v>
      </c>
      <c r="G5626">
        <v>-205.9153</v>
      </c>
      <c r="H5626" s="1">
        <v>5.0483140000000004E-6</v>
      </c>
      <c r="I5626">
        <v>212.2354</v>
      </c>
      <c r="J5626">
        <v>-224.92439999999999</v>
      </c>
      <c r="K5626">
        <v>1.1215949999999999</v>
      </c>
      <c r="L5626">
        <v>215.68129999999999</v>
      </c>
      <c r="M5626">
        <v>0.99968579999999996</v>
      </c>
      <c r="N5626">
        <v>-1.380227E-2</v>
      </c>
      <c r="O5626">
        <v>2.0921499999999999E-2</v>
      </c>
      <c r="P5626">
        <v>0.98419480000000004</v>
      </c>
      <c r="Q5626">
        <v>0.1463499</v>
      </c>
      <c r="R5626">
        <v>-9.9710839999999995E-2</v>
      </c>
      <c r="S5626">
        <v>3.0197910000000001</v>
      </c>
      <c r="T5626">
        <v>-0.1759144</v>
      </c>
      <c r="U5626">
        <v>-0.53967290000000001</v>
      </c>
      <c r="V5626">
        <v>0.1202812</v>
      </c>
      <c r="W5626">
        <v>0.1598889</v>
      </c>
      <c r="X5626">
        <v>0.97977950000000003</v>
      </c>
      <c r="Y5626">
        <v>0.1960626</v>
      </c>
      <c r="Z5626">
        <v>-7.9487280000000004E-3</v>
      </c>
      <c r="AA5626">
        <v>0.98055919999999996</v>
      </c>
      <c r="AB5626">
        <v>24</v>
      </c>
      <c r="AC5626">
        <v>19.009099999999901</v>
      </c>
      <c r="AD5626">
        <v>-1.121589951686</v>
      </c>
      <c r="AE5626">
        <v>-3.4458999999999902</v>
      </c>
      <c r="AF5626">
        <v>3.8299732249921501</v>
      </c>
      <c r="AG5626">
        <v>-1.121589951686</v>
      </c>
      <c r="AH5626">
        <v>18.8692381911182</v>
      </c>
      <c r="AI5626">
        <v>93.333842420577596</v>
      </c>
      <c r="AJ5626">
        <v>78.526293023620994</v>
      </c>
      <c r="AK5626">
        <v>19.286648460451399</v>
      </c>
      <c r="AL5626">
        <v>80.799551876265795</v>
      </c>
      <c r="AM5626">
        <v>83.001186514736702</v>
      </c>
      <c r="AN5626">
        <v>0.99999994801844805</v>
      </c>
    </row>
    <row r="5627" spans="1:40" x14ac:dyDescent="0.25">
      <c r="A5627" t="str">
        <f>"20190303162024995"</f>
        <v>20190303162024995</v>
      </c>
      <c r="B5627" t="str">
        <f>"1551601224988474"</f>
        <v>1551601224988474</v>
      </c>
      <c r="C5627" t="s">
        <v>40</v>
      </c>
      <c r="D5627">
        <v>4.9099139999999997</v>
      </c>
      <c r="E5627">
        <v>0.5207022</v>
      </c>
      <c r="F5627" t="s">
        <v>49</v>
      </c>
      <c r="G5627">
        <v>-205.64519999999999</v>
      </c>
      <c r="H5627" s="1">
        <v>4.9311070000000001E-6</v>
      </c>
      <c r="I5627">
        <v>212.20609999999999</v>
      </c>
      <c r="J5627">
        <v>-224.69460000000001</v>
      </c>
      <c r="K5627">
        <v>1.1215889999999999</v>
      </c>
      <c r="L5627">
        <v>215.68610000000001</v>
      </c>
      <c r="M5627">
        <v>0.99968559999999995</v>
      </c>
      <c r="N5627">
        <v>-1.379997E-2</v>
      </c>
      <c r="O5627">
        <v>2.0935209999999999E-2</v>
      </c>
      <c r="P5627">
        <v>0.98394479999999995</v>
      </c>
      <c r="Q5627">
        <v>0.14690829999999999</v>
      </c>
      <c r="R5627">
        <v>-0.1013443</v>
      </c>
      <c r="S5627">
        <v>3.0191650000000001</v>
      </c>
      <c r="T5627">
        <v>-0.17564370000000001</v>
      </c>
      <c r="U5627">
        <v>-0.54422000000000004</v>
      </c>
      <c r="V5627">
        <v>0.1219258</v>
      </c>
      <c r="W5627">
        <v>0.1604382</v>
      </c>
      <c r="X5627">
        <v>0.97948650000000004</v>
      </c>
      <c r="Y5627">
        <v>0.19753979999999999</v>
      </c>
      <c r="Z5627">
        <v>-7.9921899999999997E-3</v>
      </c>
      <c r="AA5627">
        <v>0.98026230000000003</v>
      </c>
      <c r="AB5627">
        <v>24</v>
      </c>
      <c r="AC5627">
        <v>19.049399999999999</v>
      </c>
      <c r="AD5627">
        <v>-1.1215840688930001</v>
      </c>
      <c r="AE5627">
        <v>-3.4800000000000102</v>
      </c>
      <c r="AF5627">
        <v>3.8651123221980699</v>
      </c>
      <c r="AG5627">
        <v>-1.1215840688930001</v>
      </c>
      <c r="AH5627">
        <v>18.908930401244199</v>
      </c>
      <c r="AI5627">
        <v>93.325912911785394</v>
      </c>
      <c r="AJ5627">
        <v>78.447499448753504</v>
      </c>
      <c r="AK5627">
        <v>19.3324776737463</v>
      </c>
      <c r="AL5627">
        <v>80.767668738100795</v>
      </c>
      <c r="AM5627">
        <v>82.9043601077326</v>
      </c>
      <c r="AN5627">
        <v>1.0000000602035599</v>
      </c>
    </row>
    <row r="5628" spans="1:40" x14ac:dyDescent="0.25">
      <c r="A5628" t="str">
        <f>"20190303162025018"</f>
        <v>20190303162025018</v>
      </c>
      <c r="B5628" t="str">
        <f>"1551601225007996"</f>
        <v>1551601225007996</v>
      </c>
      <c r="C5628" t="s">
        <v>40</v>
      </c>
      <c r="D5628">
        <v>4.9246619999999997</v>
      </c>
      <c r="E5628">
        <v>0.52024729999999997</v>
      </c>
      <c r="F5628" t="s">
        <v>49</v>
      </c>
      <c r="G5628">
        <v>-199.85390000000001</v>
      </c>
      <c r="H5628" s="1">
        <v>2.4567620000000001E-6</v>
      </c>
      <c r="I5628">
        <v>211.87</v>
      </c>
      <c r="J5628">
        <v>-224.44659999999999</v>
      </c>
      <c r="K5628">
        <v>1.1215820000000001</v>
      </c>
      <c r="L5628">
        <v>215.69130000000001</v>
      </c>
      <c r="M5628">
        <v>0.99968559999999995</v>
      </c>
      <c r="N5628">
        <v>-1.3797500000000001E-2</v>
      </c>
      <c r="O5628">
        <v>2.0941479999999998E-2</v>
      </c>
      <c r="P5628">
        <v>0.98371540000000002</v>
      </c>
      <c r="Q5628">
        <v>0.14681830000000001</v>
      </c>
      <c r="R5628">
        <v>-0.10367510000000001</v>
      </c>
      <c r="S5628">
        <v>3.021515</v>
      </c>
      <c r="T5628">
        <v>-0.1364253</v>
      </c>
      <c r="U5628">
        <v>-0.46417239999999999</v>
      </c>
      <c r="V5628">
        <v>0.12426039999999999</v>
      </c>
      <c r="W5628">
        <v>0.1603398</v>
      </c>
      <c r="X5628">
        <v>0.97920910000000005</v>
      </c>
      <c r="Y5628">
        <v>0.17227339999999999</v>
      </c>
      <c r="Z5628">
        <v>-5.7136080000000002E-3</v>
      </c>
      <c r="AA5628">
        <v>0.98503260000000004</v>
      </c>
      <c r="AB5628">
        <v>24</v>
      </c>
      <c r="AC5628">
        <v>24.592699999999901</v>
      </c>
      <c r="AD5628">
        <v>-1.121579543238</v>
      </c>
      <c r="AE5628">
        <v>-3.8212999999999999</v>
      </c>
      <c r="AF5628">
        <v>4.3267312284140704</v>
      </c>
      <c r="AG5628">
        <v>-1.121579543238</v>
      </c>
      <c r="AH5628">
        <v>24.457603849007398</v>
      </c>
      <c r="AI5628">
        <v>92.585545317049906</v>
      </c>
      <c r="AJ5628">
        <v>79.967750131535993</v>
      </c>
      <c r="AK5628">
        <v>24.862681469015499</v>
      </c>
      <c r="AL5628">
        <v>80.773379842248801</v>
      </c>
      <c r="AM5628">
        <v>82.767892759502899</v>
      </c>
      <c r="AN5628">
        <v>0.99999997999750401</v>
      </c>
    </row>
    <row r="5629" spans="1:40" x14ac:dyDescent="0.25">
      <c r="A5629" t="str">
        <f>"20190303162025042"</f>
        <v>20190303162025042</v>
      </c>
      <c r="B5629" t="str">
        <f>"1551601225028491"</f>
        <v>1551601225028491</v>
      </c>
      <c r="C5629" t="s">
        <v>40</v>
      </c>
      <c r="D5629">
        <v>4.925529</v>
      </c>
      <c r="E5629">
        <v>0.519829599999999</v>
      </c>
      <c r="F5629" t="s">
        <v>49</v>
      </c>
      <c r="G5629">
        <v>-199.55779999999999</v>
      </c>
      <c r="H5629" s="1">
        <v>2.5118089999999999E-6</v>
      </c>
      <c r="I5629">
        <v>211.84129999999999</v>
      </c>
      <c r="J5629">
        <v>-224.19720000000001</v>
      </c>
      <c r="K5629">
        <v>1.121569</v>
      </c>
      <c r="L5629">
        <v>215.69649999999999</v>
      </c>
      <c r="M5629">
        <v>0.99968579999999996</v>
      </c>
      <c r="N5629">
        <v>-1.3794999999999899E-2</v>
      </c>
      <c r="O5629">
        <v>2.0936679999999999E-2</v>
      </c>
      <c r="P5629">
        <v>0.98351770000000005</v>
      </c>
      <c r="Q5629">
        <v>0.14666609999999999</v>
      </c>
      <c r="R5629">
        <v>-0.10574699999999999</v>
      </c>
      <c r="S5629">
        <v>3.020737</v>
      </c>
      <c r="T5629">
        <v>-0.1361252</v>
      </c>
      <c r="U5629">
        <v>-0.46726990000000002</v>
      </c>
      <c r="V5629">
        <v>0.1263253</v>
      </c>
      <c r="W5629">
        <v>0.16018019999999999</v>
      </c>
      <c r="X5629">
        <v>0.97897100000000004</v>
      </c>
      <c r="Y5629">
        <v>0.1732928</v>
      </c>
      <c r="Z5629">
        <v>-5.7336039999999998E-3</v>
      </c>
      <c r="AA5629">
        <v>0.98485370000000005</v>
      </c>
      <c r="AB5629">
        <v>24</v>
      </c>
      <c r="AC5629">
        <v>24.639399999999998</v>
      </c>
      <c r="AD5629">
        <v>-1.1215664881909999</v>
      </c>
      <c r="AE5629">
        <v>-3.8551999999999902</v>
      </c>
      <c r="AF5629">
        <v>4.3614500533716098</v>
      </c>
      <c r="AG5629">
        <v>-1.1215664881909999</v>
      </c>
      <c r="AH5629">
        <v>24.503716898794199</v>
      </c>
      <c r="AI5629">
        <v>92.580175681269907</v>
      </c>
      <c r="AJ5629">
        <v>79.907539644288903</v>
      </c>
      <c r="AK5629">
        <v>24.914098414587301</v>
      </c>
      <c r="AL5629">
        <v>80.782644160267395</v>
      </c>
      <c r="AM5629">
        <v>82.6472486764401</v>
      </c>
      <c r="AN5629">
        <v>0.99999999836656495</v>
      </c>
    </row>
    <row r="5630" spans="1:40" x14ac:dyDescent="0.25">
      <c r="A5630" t="str">
        <f>"20190303162025066"</f>
        <v>20190303162025066</v>
      </c>
      <c r="B5630" t="str">
        <f>"1551601225057770"</f>
        <v>1551601225057770</v>
      </c>
      <c r="C5630" t="s">
        <v>40</v>
      </c>
      <c r="D5630">
        <v>4.9502629999999996</v>
      </c>
      <c r="E5630">
        <v>0.51973689999999995</v>
      </c>
      <c r="F5630" t="s">
        <v>49</v>
      </c>
      <c r="G5630">
        <v>-199.62729999999999</v>
      </c>
      <c r="H5630" s="1">
        <v>2.496664E-6</v>
      </c>
      <c r="I5630">
        <v>211.8734</v>
      </c>
      <c r="J5630">
        <v>-223.9417</v>
      </c>
      <c r="K5630">
        <v>1.121561</v>
      </c>
      <c r="L5630">
        <v>215.70179999999999</v>
      </c>
      <c r="M5630">
        <v>0.99968619999999997</v>
      </c>
      <c r="N5630">
        <v>-1.379242E-2</v>
      </c>
      <c r="O5630">
        <v>2.0915220000000002E-2</v>
      </c>
      <c r="P5630">
        <v>0.98327379999999998</v>
      </c>
      <c r="Q5630">
        <v>0.1465622</v>
      </c>
      <c r="R5630">
        <v>-0.1081331</v>
      </c>
      <c r="S5630">
        <v>3.0202939999999998</v>
      </c>
      <c r="T5630">
        <v>-0.1378703</v>
      </c>
      <c r="U5630">
        <v>-0.46995540000000002</v>
      </c>
      <c r="V5630">
        <v>0.128688</v>
      </c>
      <c r="W5630">
        <v>0.1600664</v>
      </c>
      <c r="X5630">
        <v>0.97868189999999999</v>
      </c>
      <c r="Y5630">
        <v>0.17414180000000001</v>
      </c>
      <c r="Z5630">
        <v>-5.8200959999999899E-3</v>
      </c>
      <c r="AA5630">
        <v>0.98470340000000001</v>
      </c>
      <c r="AB5630">
        <v>24</v>
      </c>
      <c r="AC5630">
        <v>24.314399999999999</v>
      </c>
      <c r="AD5630">
        <v>-1.121558503336</v>
      </c>
      <c r="AE5630">
        <v>-3.8283999999999798</v>
      </c>
      <c r="AF5630">
        <v>4.3271674347666496</v>
      </c>
      <c r="AG5630">
        <v>-1.121558503336</v>
      </c>
      <c r="AH5630">
        <v>24.178799441972899</v>
      </c>
      <c r="AI5630">
        <v>92.614342119082096</v>
      </c>
      <c r="AJ5630">
        <v>79.853456969762206</v>
      </c>
      <c r="AK5630">
        <v>24.588546397460298</v>
      </c>
      <c r="AL5630">
        <v>80.789250200549901</v>
      </c>
      <c r="AM5630">
        <v>82.509087715536197</v>
      </c>
      <c r="AN5630">
        <v>1.0000000575702801</v>
      </c>
    </row>
    <row r="5631" spans="1:40" x14ac:dyDescent="0.25">
      <c r="A5631" t="str">
        <f>"20190303162025085"</f>
        <v>20190303162025085</v>
      </c>
      <c r="B5631" t="str">
        <f>"1551601225078267"</f>
        <v>1551601225078267</v>
      </c>
      <c r="C5631" t="s">
        <v>40</v>
      </c>
      <c r="D5631">
        <v>4.9557339999999996</v>
      </c>
      <c r="E5631">
        <v>0.51993120000000004</v>
      </c>
      <c r="F5631" t="s">
        <v>49</v>
      </c>
      <c r="G5631">
        <v>-199.5487</v>
      </c>
      <c r="H5631" s="1">
        <v>2.5120989999999998E-6</v>
      </c>
      <c r="I5631">
        <v>211.8563</v>
      </c>
      <c r="J5631">
        <v>-223.73220000000001</v>
      </c>
      <c r="K5631">
        <v>1.121551</v>
      </c>
      <c r="L5631">
        <v>215.7062</v>
      </c>
      <c r="M5631">
        <v>0.99968699999999999</v>
      </c>
      <c r="N5631">
        <v>-1.37902999999999E-2</v>
      </c>
      <c r="O5631">
        <v>2.08817E-2</v>
      </c>
      <c r="P5631">
        <v>0.9830875</v>
      </c>
      <c r="Q5631">
        <v>0.14614659999999999</v>
      </c>
      <c r="R5631">
        <v>-0.1103639</v>
      </c>
      <c r="S5631">
        <v>3.0193789999999998</v>
      </c>
      <c r="T5631">
        <v>-0.13882739999999999</v>
      </c>
      <c r="U5631">
        <v>-0.47599789999999997</v>
      </c>
      <c r="V5631">
        <v>0.13088540000000001</v>
      </c>
      <c r="W5631">
        <v>0.1596427</v>
      </c>
      <c r="X5631">
        <v>0.97845959999999998</v>
      </c>
      <c r="Y5631">
        <v>0.17607149999999999</v>
      </c>
      <c r="Z5631">
        <v>-5.911281E-3</v>
      </c>
      <c r="AA5631">
        <v>0.9843596</v>
      </c>
      <c r="AB5631">
        <v>24</v>
      </c>
      <c r="AC5631">
        <v>24.183499999999999</v>
      </c>
      <c r="AD5631">
        <v>-1.121548487901</v>
      </c>
      <c r="AE5631">
        <v>-3.8498999999999901</v>
      </c>
      <c r="AF5631">
        <v>4.3449867525367099</v>
      </c>
      <c r="AG5631">
        <v>-1.121548487901</v>
      </c>
      <c r="AH5631">
        <v>24.0473833070469</v>
      </c>
      <c r="AI5631">
        <v>92.6277998806966</v>
      </c>
      <c r="AJ5631">
        <v>79.758048847464593</v>
      </c>
      <c r="AK5631">
        <v>24.462490159558001</v>
      </c>
      <c r="AL5631">
        <v>80.813841986267406</v>
      </c>
      <c r="AM5631">
        <v>82.380956574713295</v>
      </c>
      <c r="AN5631">
        <v>0.99999998421430403</v>
      </c>
    </row>
    <row r="5632" spans="1:40" x14ac:dyDescent="0.25">
      <c r="A5632" t="str">
        <f>"20190303162025107"</f>
        <v>20190303162025107</v>
      </c>
      <c r="B5632" t="str">
        <f>"1551601225098762"</f>
        <v>1551601225098762</v>
      </c>
      <c r="C5632" t="s">
        <v>40</v>
      </c>
      <c r="D5632">
        <v>4.9454539999999998</v>
      </c>
      <c r="E5632">
        <v>0.51985340000000002</v>
      </c>
      <c r="F5632" t="s">
        <v>49</v>
      </c>
      <c r="G5632">
        <v>-199.62119999999999</v>
      </c>
      <c r="H5632" s="1">
        <v>2.5004089999999998E-6</v>
      </c>
      <c r="I5632">
        <v>211.84289999999999</v>
      </c>
      <c r="J5632">
        <v>-223.49469999999999</v>
      </c>
      <c r="K5632">
        <v>1.1215409999999999</v>
      </c>
      <c r="L5632">
        <v>215.71100000000001</v>
      </c>
      <c r="M5632">
        <v>0.99968809999999997</v>
      </c>
      <c r="N5632">
        <v>-1.3787890000000001E-2</v>
      </c>
      <c r="O5632">
        <v>2.083049E-2</v>
      </c>
      <c r="P5632">
        <v>0.98278670000000001</v>
      </c>
      <c r="Q5632">
        <v>0.14599010000000001</v>
      </c>
      <c r="R5632">
        <v>-0.1132155</v>
      </c>
      <c r="S5632">
        <v>3.0181879999999999</v>
      </c>
      <c r="T5632">
        <v>-0.14039470000000001</v>
      </c>
      <c r="U5632">
        <v>-0.48359679999999999</v>
      </c>
      <c r="V5632">
        <v>0.13368429999999901</v>
      </c>
      <c r="W5632">
        <v>0.15947510000000001</v>
      </c>
      <c r="X5632">
        <v>0.97810850000000005</v>
      </c>
      <c r="Y5632">
        <v>0.17848910000000001</v>
      </c>
      <c r="Z5632">
        <v>-6.0394790000000004E-3</v>
      </c>
      <c r="AA5632">
        <v>0.9839234</v>
      </c>
      <c r="AB5632">
        <v>24</v>
      </c>
      <c r="AC5632">
        <v>23.8735</v>
      </c>
      <c r="AD5632">
        <v>-1.1215384995909901</v>
      </c>
      <c r="AE5632">
        <v>-3.8680999999999899</v>
      </c>
      <c r="AF5632">
        <v>4.3552384503089101</v>
      </c>
      <c r="AG5632">
        <v>-1.1215384995909901</v>
      </c>
      <c r="AH5632">
        <v>23.736690850732199</v>
      </c>
      <c r="AI5632">
        <v>92.6608126267964</v>
      </c>
      <c r="AJ5632">
        <v>79.602941257175601</v>
      </c>
      <c r="AK5632">
        <v>24.158982658803101</v>
      </c>
      <c r="AL5632">
        <v>80.823569701489504</v>
      </c>
      <c r="AM5632">
        <v>82.217244617085001</v>
      </c>
      <c r="AN5632">
        <v>1.0000000186793701</v>
      </c>
    </row>
    <row r="5633" spans="1:40" x14ac:dyDescent="0.25">
      <c r="A5633" t="str">
        <f>"20190303162025129"</f>
        <v>20190303162025129</v>
      </c>
      <c r="B5633" t="str">
        <f>"1551601225118283"</f>
        <v>1551601225118283</v>
      </c>
      <c r="C5633" t="s">
        <v>40</v>
      </c>
      <c r="D5633">
        <v>4.9375629999999999</v>
      </c>
      <c r="E5633">
        <v>0.51971820000000002</v>
      </c>
      <c r="F5633" t="s">
        <v>49</v>
      </c>
      <c r="G5633">
        <v>-199.61179999999999</v>
      </c>
      <c r="H5633" s="1">
        <v>2.5035670000000002E-6</v>
      </c>
      <c r="I5633">
        <v>211.82599999999999</v>
      </c>
      <c r="J5633">
        <v>-223.255</v>
      </c>
      <c r="K5633">
        <v>1.1215269999999999</v>
      </c>
      <c r="L5633">
        <v>215.71600000000001</v>
      </c>
      <c r="M5633">
        <v>0.99968950000000001</v>
      </c>
      <c r="N5633">
        <v>-1.3785439999999999E-2</v>
      </c>
      <c r="O5633">
        <v>2.0763899999999998E-2</v>
      </c>
      <c r="P5633">
        <v>0.98256560000000004</v>
      </c>
      <c r="Q5633">
        <v>0.1457222</v>
      </c>
      <c r="R5633">
        <v>-0.1154551</v>
      </c>
      <c r="S5633">
        <v>3.0170590000000002</v>
      </c>
      <c r="T5633">
        <v>-0.14168049999999999</v>
      </c>
      <c r="U5633">
        <v>-0.49078369999999999</v>
      </c>
      <c r="V5633">
        <v>0.13585849999999999</v>
      </c>
      <c r="W5633">
        <v>0.1591969</v>
      </c>
      <c r="X5633">
        <v>0.97785420000000001</v>
      </c>
      <c r="Y5633">
        <v>0.18075730000000001</v>
      </c>
      <c r="Z5633">
        <v>-6.1535110000000004E-3</v>
      </c>
      <c r="AA5633">
        <v>0.98350850000000001</v>
      </c>
      <c r="AB5633">
        <v>24</v>
      </c>
      <c r="AC5633">
        <v>23.6432</v>
      </c>
      <c r="AD5633">
        <v>-1.121524496433</v>
      </c>
      <c r="AE5633">
        <v>-3.8899999999999801</v>
      </c>
      <c r="AF5633">
        <v>4.37055774287031</v>
      </c>
      <c r="AG5633">
        <v>-1.121524496433</v>
      </c>
      <c r="AH5633">
        <v>23.505825654564799</v>
      </c>
      <c r="AI5633">
        <v>92.685698863223607</v>
      </c>
      <c r="AJ5633">
        <v>79.466986960578595</v>
      </c>
      <c r="AK5633">
        <v>23.934983431844199</v>
      </c>
      <c r="AL5633">
        <v>80.839715587741594</v>
      </c>
      <c r="AM5633">
        <v>82.090226559475298</v>
      </c>
      <c r="AN5633">
        <v>1.00000001072475</v>
      </c>
    </row>
    <row r="5634" spans="1:40" x14ac:dyDescent="0.25">
      <c r="A5634" t="str">
        <f>"20190303162025151"</f>
        <v>20190303162025151</v>
      </c>
      <c r="B5634" t="str">
        <f>"1551601225137802"</f>
        <v>1551601225137802</v>
      </c>
      <c r="C5634" t="s">
        <v>40</v>
      </c>
      <c r="D5634">
        <v>4.977201</v>
      </c>
      <c r="E5634">
        <v>0.51956359999999902</v>
      </c>
      <c r="F5634" t="s">
        <v>49</v>
      </c>
      <c r="G5634">
        <v>-199.70869999999999</v>
      </c>
      <c r="H5634" s="1">
        <v>2.4849600000000001E-6</v>
      </c>
      <c r="I5634">
        <v>211.84219999999999</v>
      </c>
      <c r="J5634">
        <v>-223.02189999999999</v>
      </c>
      <c r="K5634">
        <v>1.1215120000000001</v>
      </c>
      <c r="L5634">
        <v>215.72069999999999</v>
      </c>
      <c r="M5634">
        <v>0.9996912</v>
      </c>
      <c r="N5634">
        <v>-1.378306E-2</v>
      </c>
      <c r="O5634">
        <v>2.0680980000000002E-2</v>
      </c>
      <c r="P5634">
        <v>0.98236540000000006</v>
      </c>
      <c r="Q5634">
        <v>0.14523349999999999</v>
      </c>
      <c r="R5634">
        <v>-0.1177523</v>
      </c>
      <c r="S5634">
        <v>3.016235</v>
      </c>
      <c r="T5634">
        <v>-0.14366509999999999</v>
      </c>
      <c r="U5634">
        <v>-0.49621579999999899</v>
      </c>
      <c r="V5634">
        <v>0.13807449999999999</v>
      </c>
      <c r="W5634">
        <v>0.1586979</v>
      </c>
      <c r="X5634">
        <v>0.97762490000000002</v>
      </c>
      <c r="Y5634">
        <v>0.18243400000000001</v>
      </c>
      <c r="Z5634">
        <v>-6.275269E-3</v>
      </c>
      <c r="AA5634">
        <v>0.98319800000000002</v>
      </c>
      <c r="AB5634">
        <v>24</v>
      </c>
      <c r="AC5634">
        <v>23.313199999999899</v>
      </c>
      <c r="AD5634">
        <v>-1.1215095150399901</v>
      </c>
      <c r="AE5634">
        <v>-3.8784999999999998</v>
      </c>
      <c r="AF5634">
        <v>4.3500600994101202</v>
      </c>
      <c r="AG5634">
        <v>-1.1215095150399901</v>
      </c>
      <c r="AH5634">
        <v>23.1758050158261</v>
      </c>
      <c r="AI5634">
        <v>92.722983814580999</v>
      </c>
      <c r="AJ5634">
        <v>79.369367094325497</v>
      </c>
      <c r="AK5634">
        <v>23.607175701307298</v>
      </c>
      <c r="AL5634">
        <v>80.868674400265803</v>
      </c>
      <c r="AM5634">
        <v>81.961021628857296</v>
      </c>
      <c r="AN5634">
        <v>1.0000000180573301</v>
      </c>
    </row>
    <row r="5635" spans="1:40" x14ac:dyDescent="0.25">
      <c r="A5635" t="str">
        <f>"20190303162025174"</f>
        <v>20190303162025174</v>
      </c>
      <c r="B5635" t="str">
        <f>"1551601225168058"</f>
        <v>1551601225168058</v>
      </c>
      <c r="C5635" t="s">
        <v>40</v>
      </c>
      <c r="D5635">
        <v>5.0192100000000002</v>
      </c>
      <c r="E5635">
        <v>0.51934529999999901</v>
      </c>
      <c r="F5635" t="s">
        <v>49</v>
      </c>
      <c r="G5635">
        <v>-199.70859999999999</v>
      </c>
      <c r="H5635" s="1">
        <v>2.485172E-6</v>
      </c>
      <c r="I5635">
        <v>211.84</v>
      </c>
      <c r="J5635">
        <v>-222.7766</v>
      </c>
      <c r="K5635">
        <v>1.1214980000000001</v>
      </c>
      <c r="L5635">
        <v>215.72559999999999</v>
      </c>
      <c r="M5635">
        <v>0.99969350000000001</v>
      </c>
      <c r="N5635">
        <v>-1.3780540000000001E-2</v>
      </c>
      <c r="O5635">
        <v>2.0567439999999999E-2</v>
      </c>
      <c r="P5635">
        <v>0.98207469999999997</v>
      </c>
      <c r="Q5635">
        <v>0.14516129999999999</v>
      </c>
      <c r="R5635">
        <v>-0.1202401</v>
      </c>
      <c r="S5635">
        <v>3.0151370000000002</v>
      </c>
      <c r="T5635">
        <v>-0.14504600000000001</v>
      </c>
      <c r="U5635">
        <v>-0.50189209999999995</v>
      </c>
      <c r="V5635">
        <v>0.1404502</v>
      </c>
      <c r="W5635">
        <v>0.15861320000000001</v>
      </c>
      <c r="X5635">
        <v>0.97730019999999995</v>
      </c>
      <c r="Y5635">
        <v>0.1841737</v>
      </c>
      <c r="Z5635">
        <v>-6.3770049999999998E-3</v>
      </c>
      <c r="AA5635">
        <v>0.982873</v>
      </c>
      <c r="AB5635">
        <v>24</v>
      </c>
      <c r="AC5635">
        <v>23.068000000000001</v>
      </c>
      <c r="AD5635">
        <v>-1.1214955148279999</v>
      </c>
      <c r="AE5635">
        <v>-3.8855999999999802</v>
      </c>
      <c r="AF5635">
        <v>4.3492763151497602</v>
      </c>
      <c r="AG5635">
        <v>-1.1214955148279999</v>
      </c>
      <c r="AH5635">
        <v>22.930491674850199</v>
      </c>
      <c r="AI5635">
        <v>92.751047775792799</v>
      </c>
      <c r="AJ5635">
        <v>79.260162343336702</v>
      </c>
      <c r="AK5635">
        <v>23.3662449937014</v>
      </c>
      <c r="AL5635">
        <v>80.873589842090198</v>
      </c>
      <c r="AM5635">
        <v>81.821878379382696</v>
      </c>
      <c r="AN5635">
        <v>1.0000000434071501</v>
      </c>
    </row>
    <row r="5636" spans="1:40" x14ac:dyDescent="0.25">
      <c r="A5636" t="str">
        <f>"20190303162025196"</f>
        <v>20190303162025196</v>
      </c>
      <c r="B5636" t="str">
        <f>"1551601225187578"</f>
        <v>1551601225187578</v>
      </c>
      <c r="C5636" t="s">
        <v>40</v>
      </c>
      <c r="D5636">
        <v>5.0221530000000003</v>
      </c>
      <c r="E5636">
        <v>0.51918409999999904</v>
      </c>
      <c r="F5636" t="s">
        <v>49</v>
      </c>
      <c r="G5636">
        <v>-199.28970000000001</v>
      </c>
      <c r="H5636" s="1">
        <v>2.5655569999999999E-6</v>
      </c>
      <c r="I5636">
        <v>211.77029999999999</v>
      </c>
      <c r="J5636">
        <v>-222.5489</v>
      </c>
      <c r="K5636">
        <v>1.121483</v>
      </c>
      <c r="L5636">
        <v>215.7302</v>
      </c>
      <c r="M5636">
        <v>0.99969629999999998</v>
      </c>
      <c r="N5636">
        <v>-1.3778230000000001E-2</v>
      </c>
      <c r="O5636">
        <v>2.0431009999999999E-2</v>
      </c>
      <c r="P5636">
        <v>0.98187400000000002</v>
      </c>
      <c r="Q5636">
        <v>0.14489060000000001</v>
      </c>
      <c r="R5636">
        <v>-0.1221893</v>
      </c>
      <c r="S5636">
        <v>3.0138850000000001</v>
      </c>
      <c r="T5636">
        <v>-0.14391279999999901</v>
      </c>
      <c r="U5636">
        <v>-0.50755309999999998</v>
      </c>
      <c r="V5636">
        <v>0.14226839999999999</v>
      </c>
      <c r="W5636">
        <v>0.1583302</v>
      </c>
      <c r="X5636">
        <v>0.97708300000000003</v>
      </c>
      <c r="Y5636">
        <v>0.1859026</v>
      </c>
      <c r="Z5636">
        <v>-6.3848179999999996E-3</v>
      </c>
      <c r="AA5636">
        <v>0.98254750000000002</v>
      </c>
      <c r="AB5636">
        <v>24</v>
      </c>
      <c r="AC5636">
        <v>23.2592</v>
      </c>
      <c r="AD5636">
        <v>-1.1214804344430001</v>
      </c>
      <c r="AE5636">
        <v>-3.9599000000000002</v>
      </c>
      <c r="AF5636">
        <v>4.4243312057440498</v>
      </c>
      <c r="AG5636">
        <v>-1.1214804344430001</v>
      </c>
      <c r="AH5636">
        <v>23.121192629141301</v>
      </c>
      <c r="AI5636">
        <v>92.7275131096564</v>
      </c>
      <c r="AJ5636">
        <v>79.167179618870307</v>
      </c>
      <c r="AK5636">
        <v>23.567392167501598</v>
      </c>
      <c r="AL5636">
        <v>80.890011386009306</v>
      </c>
      <c r="AM5636">
        <v>81.715652352187405</v>
      </c>
      <c r="AN5636">
        <v>0.99999996937979896</v>
      </c>
    </row>
    <row r="5637" spans="1:40" x14ac:dyDescent="0.25">
      <c r="A5637" t="str">
        <f>"20190303162025220"</f>
        <v>20190303162025220</v>
      </c>
      <c r="B5637" t="str">
        <f>"1551601225208074"</f>
        <v>1551601225208074</v>
      </c>
      <c r="C5637" t="s">
        <v>40</v>
      </c>
      <c r="D5637">
        <v>5.0297900000000002</v>
      </c>
      <c r="E5637">
        <v>0.51901839999999999</v>
      </c>
      <c r="F5637" t="s">
        <v>49</v>
      </c>
      <c r="G5637">
        <v>-199.2149</v>
      </c>
      <c r="H5637" s="1">
        <v>2.579192E-6</v>
      </c>
      <c r="I5637">
        <v>211.7662</v>
      </c>
      <c r="J5637">
        <v>-222.3004</v>
      </c>
      <c r="K5637">
        <v>1.121454</v>
      </c>
      <c r="L5637">
        <v>215.73500000000001</v>
      </c>
      <c r="M5637">
        <v>0.99970040000000004</v>
      </c>
      <c r="N5637">
        <v>-1.377573E-2</v>
      </c>
      <c r="O5637">
        <v>2.0235800000000002E-2</v>
      </c>
      <c r="P5637">
        <v>0.98164870000000004</v>
      </c>
      <c r="Q5637">
        <v>0.1446045</v>
      </c>
      <c r="R5637">
        <v>-0.1243201</v>
      </c>
      <c r="S5637">
        <v>3.0130620000000001</v>
      </c>
      <c r="T5637">
        <v>-0.14481429999999901</v>
      </c>
      <c r="U5637">
        <v>-0.51185609999999904</v>
      </c>
      <c r="V5637">
        <v>0.14421439999999999</v>
      </c>
      <c r="W5637">
        <v>0.1580279</v>
      </c>
      <c r="X5637">
        <v>0.97684660000000001</v>
      </c>
      <c r="Y5637">
        <v>0.1871139</v>
      </c>
      <c r="Z5637">
        <v>-6.4499240000000001E-3</v>
      </c>
      <c r="AA5637">
        <v>0.982317</v>
      </c>
      <c r="AB5637">
        <v>24</v>
      </c>
      <c r="AC5637">
        <v>23.0855</v>
      </c>
      <c r="AD5637">
        <v>-1.121451420808</v>
      </c>
      <c r="AE5637">
        <v>-3.9688000000000101</v>
      </c>
      <c r="AF5637">
        <v>4.42504241791422</v>
      </c>
      <c r="AG5637">
        <v>-1.121451420808</v>
      </c>
      <c r="AH5637">
        <v>22.947853893962002</v>
      </c>
      <c r="AI5637">
        <v>92.747262819406501</v>
      </c>
      <c r="AJ5637">
        <v>79.085598318376498</v>
      </c>
      <c r="AK5637">
        <v>23.397492430348201</v>
      </c>
      <c r="AL5637">
        <v>80.907552516304506</v>
      </c>
      <c r="AM5637">
        <v>81.601937673409793</v>
      </c>
      <c r="AN5637">
        <v>0.99999994513866297</v>
      </c>
    </row>
    <row r="5638" spans="1:40" x14ac:dyDescent="0.25">
      <c r="A5638" t="str">
        <f>"20190303162025242"</f>
        <v>20190303162025242</v>
      </c>
      <c r="B5638" t="str">
        <f>"1551601225227595"</f>
        <v>1551601225227595</v>
      </c>
      <c r="C5638" t="s">
        <v>40</v>
      </c>
      <c r="D5638">
        <v>5.006265</v>
      </c>
      <c r="E5638">
        <v>0.51890389999999997</v>
      </c>
      <c r="F5638" t="s">
        <v>49</v>
      </c>
      <c r="G5638">
        <v>-199.13929999999999</v>
      </c>
      <c r="H5638" s="1">
        <v>2.5933720000000001E-6</v>
      </c>
      <c r="I5638">
        <v>211.75739999999999</v>
      </c>
      <c r="J5638">
        <v>-222.0692</v>
      </c>
      <c r="K5638">
        <v>1.121405</v>
      </c>
      <c r="L5638">
        <v>215.73949999999999</v>
      </c>
      <c r="M5638">
        <v>0.99970530000000002</v>
      </c>
      <c r="N5638">
        <v>-1.377345E-2</v>
      </c>
      <c r="O5638">
        <v>1.999248E-2</v>
      </c>
      <c r="P5638">
        <v>0.98131040000000003</v>
      </c>
      <c r="Q5638">
        <v>0.14499020000000001</v>
      </c>
      <c r="R5638">
        <v>-0.12652289999999999</v>
      </c>
      <c r="S5638">
        <v>3.012054</v>
      </c>
      <c r="T5638">
        <v>-0.14584279999999999</v>
      </c>
      <c r="U5638">
        <v>-0.51728819999999998</v>
      </c>
      <c r="V5638">
        <v>0.14618729999999999</v>
      </c>
      <c r="W5638">
        <v>0.15839139999999999</v>
      </c>
      <c r="X5638">
        <v>0.97649450000000004</v>
      </c>
      <c r="Y5638">
        <v>0.18864429999999999</v>
      </c>
      <c r="Z5638">
        <v>-6.5285100000000004E-3</v>
      </c>
      <c r="AA5638">
        <v>0.9820238</v>
      </c>
      <c r="AB5638">
        <v>24</v>
      </c>
      <c r="AC5638">
        <v>22.9299</v>
      </c>
      <c r="AD5638">
        <v>-1.1214024066279999</v>
      </c>
      <c r="AE5638">
        <v>-3.9821</v>
      </c>
      <c r="AF5638">
        <v>4.4294888452788399</v>
      </c>
      <c r="AG5638">
        <v>-1.1214024066279999</v>
      </c>
      <c r="AH5638">
        <v>22.7927775472455</v>
      </c>
      <c r="AI5638">
        <v>92.7650284442648</v>
      </c>
      <c r="AJ5638">
        <v>79.002369704991096</v>
      </c>
      <c r="AK5638">
        <v>23.246260411220099</v>
      </c>
      <c r="AL5638">
        <v>80.886460678091794</v>
      </c>
      <c r="AM5638">
        <v>81.485697084684105</v>
      </c>
      <c r="AN5638">
        <v>1.0000000354027401</v>
      </c>
    </row>
    <row r="5639" spans="1:40" x14ac:dyDescent="0.25">
      <c r="A5639" t="str">
        <f>"20190303162025263"</f>
        <v>20190303162025263</v>
      </c>
      <c r="B5639" t="str">
        <f>"1551601225257850"</f>
        <v>1551601225257850</v>
      </c>
      <c r="C5639" t="s">
        <v>40</v>
      </c>
      <c r="D5639">
        <v>5.0804720000000003</v>
      </c>
      <c r="E5639">
        <v>0.52018429999999904</v>
      </c>
      <c r="F5639" t="s">
        <v>49</v>
      </c>
      <c r="G5639">
        <v>-198.77889999999999</v>
      </c>
      <c r="H5639" s="1">
        <v>2.6632390000000002E-6</v>
      </c>
      <c r="I5639">
        <v>211.68950000000001</v>
      </c>
      <c r="J5639">
        <v>-221.83279999999999</v>
      </c>
      <c r="K5639">
        <v>1.121351</v>
      </c>
      <c r="L5639">
        <v>215.7439</v>
      </c>
      <c r="M5639">
        <v>0.99971189999999999</v>
      </c>
      <c r="N5639">
        <v>-1.377128E-2</v>
      </c>
      <c r="O5639">
        <v>1.965772E-2</v>
      </c>
      <c r="P5639">
        <v>0.98103229999999997</v>
      </c>
      <c r="Q5639">
        <v>0.14463210000000001</v>
      </c>
      <c r="R5639">
        <v>-0.12906339999999999</v>
      </c>
      <c r="S5639">
        <v>3.011047</v>
      </c>
      <c r="T5639">
        <v>-0.14497829999999901</v>
      </c>
      <c r="U5639">
        <v>-0.52359009999999995</v>
      </c>
      <c r="V5639">
        <v>0.148416299999999</v>
      </c>
      <c r="W5639">
        <v>0.15800529999999999</v>
      </c>
      <c r="X5639">
        <v>0.97622070000000005</v>
      </c>
      <c r="Y5639">
        <v>0.19036629999999999</v>
      </c>
      <c r="Z5639">
        <v>-6.5385900000000004E-3</v>
      </c>
      <c r="AA5639">
        <v>0.98169139999999999</v>
      </c>
      <c r="AB5639">
        <v>24</v>
      </c>
      <c r="AC5639">
        <v>23.053899999999999</v>
      </c>
      <c r="AD5639">
        <v>-1.121348336761</v>
      </c>
      <c r="AE5639">
        <v>-4.0543999999999798</v>
      </c>
      <c r="AF5639">
        <v>4.4965274369078099</v>
      </c>
      <c r="AG5639">
        <v>-1.121348336761</v>
      </c>
      <c r="AH5639">
        <v>22.917144061835199</v>
      </c>
      <c r="AI5639">
        <v>92.748947975013905</v>
      </c>
      <c r="AJ5639">
        <v>78.899127232418806</v>
      </c>
      <c r="AK5639">
        <v>23.3810109497886</v>
      </c>
      <c r="AL5639">
        <v>80.9088640494424</v>
      </c>
      <c r="AM5639">
        <v>81.355433216142899</v>
      </c>
      <c r="AN5639">
        <v>0.999999964021134</v>
      </c>
    </row>
    <row r="5640" spans="1:40" x14ac:dyDescent="0.25">
      <c r="A5640" t="str">
        <f>"20190303162025286"</f>
        <v>20190303162025286</v>
      </c>
      <c r="B5640" t="str">
        <f>"1551601225278295"</f>
        <v>1551601225278295</v>
      </c>
      <c r="C5640" t="s">
        <v>40</v>
      </c>
      <c r="D5640">
        <v>5.0177060000000004</v>
      </c>
      <c r="E5640">
        <v>0.52135290000000001</v>
      </c>
      <c r="F5640" t="s">
        <v>49</v>
      </c>
      <c r="G5640">
        <v>-199.28139999999999</v>
      </c>
      <c r="H5640" s="1">
        <v>2.574496E-6</v>
      </c>
      <c r="I5640">
        <v>211.68510000000001</v>
      </c>
      <c r="J5640">
        <v>-221.59899999999999</v>
      </c>
      <c r="K5640">
        <v>1.121267</v>
      </c>
      <c r="L5640">
        <v>215.74799999999999</v>
      </c>
      <c r="M5640">
        <v>0.99972079999999997</v>
      </c>
      <c r="N5640">
        <v>-1.3769389999999999E-2</v>
      </c>
      <c r="O5640">
        <v>1.9206839999999999E-2</v>
      </c>
      <c r="P5640">
        <v>0.98095350000000003</v>
      </c>
      <c r="Q5640">
        <v>0.14366499999999999</v>
      </c>
      <c r="R5640">
        <v>-0.13073170000000001</v>
      </c>
      <c r="S5640">
        <v>3.0088200000000001</v>
      </c>
      <c r="T5640">
        <v>-0.14961050000000001</v>
      </c>
      <c r="U5640">
        <v>-0.54151919999999898</v>
      </c>
      <c r="V5640">
        <v>0.1496711</v>
      </c>
      <c r="W5640">
        <v>0.15700699999999901</v>
      </c>
      <c r="X5640">
        <v>0.97619020000000001</v>
      </c>
      <c r="Y5640">
        <v>0.19569059999999999</v>
      </c>
      <c r="Z5640">
        <v>-6.8677490000000002E-3</v>
      </c>
      <c r="AA5640">
        <v>0.98064169999999995</v>
      </c>
      <c r="AB5640">
        <v>24</v>
      </c>
      <c r="AC5640">
        <v>22.317599999999999</v>
      </c>
      <c r="AD5640">
        <v>-1.1212644255040001</v>
      </c>
      <c r="AE5640">
        <v>-4.0628999999999804</v>
      </c>
      <c r="AF5640">
        <v>4.4798962211795796</v>
      </c>
      <c r="AG5640">
        <v>-1.1212644255040001</v>
      </c>
      <c r="AH5640">
        <v>22.1812459824177</v>
      </c>
      <c r="AI5640">
        <v>92.836664254743198</v>
      </c>
      <c r="AJ5640">
        <v>78.581701494236498</v>
      </c>
      <c r="AK5640">
        <v>22.656883664726699</v>
      </c>
      <c r="AL5640">
        <v>80.966785472070896</v>
      </c>
      <c r="AM5640">
        <v>81.2831966167291</v>
      </c>
      <c r="AN5640">
        <v>0.99999997140012398</v>
      </c>
    </row>
    <row r="5641" spans="1:40" x14ac:dyDescent="0.25">
      <c r="A5641" t="str">
        <f>"20190303162025308"</f>
        <v>20190303162025308</v>
      </c>
      <c r="B5641" t="str">
        <f>"1551601225297814"</f>
        <v>1551601225297814</v>
      </c>
      <c r="C5641" t="s">
        <v>40</v>
      </c>
      <c r="D5641">
        <v>5.0765630000000002</v>
      </c>
      <c r="E5641">
        <v>0.52238969999999996</v>
      </c>
      <c r="F5641" t="s">
        <v>49</v>
      </c>
      <c r="G5641">
        <v>-199.78290000000001</v>
      </c>
      <c r="H5641" s="1">
        <v>2.4834880000000001E-6</v>
      </c>
      <c r="I5641">
        <v>211.70849999999999</v>
      </c>
      <c r="J5641">
        <v>-221.36410000000001</v>
      </c>
      <c r="K5641">
        <v>1.121167</v>
      </c>
      <c r="L5641">
        <v>215.75190000000001</v>
      </c>
      <c r="M5641">
        <v>0.99973210000000001</v>
      </c>
      <c r="N5641">
        <v>-1.3767969999999999E-2</v>
      </c>
      <c r="O5641">
        <v>1.8607970000000001E-2</v>
      </c>
      <c r="P5641">
        <v>0.98099630000000004</v>
      </c>
      <c r="Q5641">
        <v>0.14230950000000001</v>
      </c>
      <c r="R5641">
        <v>-0.13188820000000001</v>
      </c>
      <c r="S5641">
        <v>3.0066989999999998</v>
      </c>
      <c r="T5641">
        <v>-0.1545328</v>
      </c>
      <c r="U5641">
        <v>-0.55673219999999901</v>
      </c>
      <c r="V5641">
        <v>0.15027789999999999</v>
      </c>
      <c r="W5641">
        <v>0.15561529999999901</v>
      </c>
      <c r="X5641">
        <v>0.97631979999999996</v>
      </c>
      <c r="Y5641">
        <v>0.1999977</v>
      </c>
      <c r="Z5641">
        <v>-7.1767810000000001E-3</v>
      </c>
      <c r="AA5641">
        <v>0.97977009999999998</v>
      </c>
      <c r="AB5641">
        <v>24</v>
      </c>
      <c r="AC5641">
        <v>21.5811999999999</v>
      </c>
      <c r="AD5641">
        <v>-1.1211645165119899</v>
      </c>
      <c r="AE5641">
        <v>-4.0434000000000196</v>
      </c>
      <c r="AF5641">
        <v>4.4327622644890496</v>
      </c>
      <c r="AG5641">
        <v>-1.1211645165119899</v>
      </c>
      <c r="AH5641">
        <v>21.446297451743401</v>
      </c>
      <c r="AI5641">
        <v>92.930734902993095</v>
      </c>
      <c r="AJ5641">
        <v>78.321910744185104</v>
      </c>
      <c r="AK5641">
        <v>21.928293721929698</v>
      </c>
      <c r="AL5641">
        <v>81.047516273308503</v>
      </c>
      <c r="AM5641">
        <v>81.249546522662897</v>
      </c>
      <c r="AN5641">
        <v>0.99999996034726901</v>
      </c>
    </row>
    <row r="5642" spans="1:40" x14ac:dyDescent="0.25">
      <c r="A5642" t="str">
        <f>"20190303162025331"</f>
        <v>20190303162025331</v>
      </c>
      <c r="B5642" t="str">
        <f>"1551601225318311"</f>
        <v>1551601225318311</v>
      </c>
      <c r="C5642" t="s">
        <v>40</v>
      </c>
      <c r="D5642">
        <v>5.0700799999999999</v>
      </c>
      <c r="E5642">
        <v>0.52326439999999996</v>
      </c>
      <c r="F5642" t="s">
        <v>49</v>
      </c>
      <c r="G5642">
        <v>-200.57660000000001</v>
      </c>
      <c r="H5642" s="1">
        <v>2.7169819999999999E-6</v>
      </c>
      <c r="I5642">
        <v>211.82210000000001</v>
      </c>
      <c r="J5642">
        <v>-221.11859999999999</v>
      </c>
      <c r="K5642">
        <v>1.1210639999999901</v>
      </c>
      <c r="L5642">
        <v>215.75559999999999</v>
      </c>
      <c r="M5642">
        <v>0.99974609999999997</v>
      </c>
      <c r="N5642">
        <v>-1.3766820000000001E-2</v>
      </c>
      <c r="O5642">
        <v>1.7842500000000001E-2</v>
      </c>
      <c r="P5642">
        <v>0.98097630000000002</v>
      </c>
      <c r="Q5642">
        <v>0.14096349999999999</v>
      </c>
      <c r="R5642">
        <v>-0.13347300000000001</v>
      </c>
      <c r="S5642">
        <v>3.0052490000000001</v>
      </c>
      <c r="T5642">
        <v>-0.16208710000000001</v>
      </c>
      <c r="U5642">
        <v>-0.56813049999999998</v>
      </c>
      <c r="V5642">
        <v>0.1511499</v>
      </c>
      <c r="W5642">
        <v>0.1542308</v>
      </c>
      <c r="X5642">
        <v>0.97640490000000002</v>
      </c>
      <c r="Y5642">
        <v>0.20288619999999999</v>
      </c>
      <c r="Z5642">
        <v>-7.5398490000000004E-3</v>
      </c>
      <c r="AA5642">
        <v>0.97917330000000002</v>
      </c>
      <c r="AB5642">
        <v>24</v>
      </c>
      <c r="AC5642">
        <v>20.541999999999899</v>
      </c>
      <c r="AD5642">
        <v>-1.12106128301799</v>
      </c>
      <c r="AE5642">
        <v>-3.93349999999998</v>
      </c>
      <c r="AF5642">
        <v>4.2871122237421098</v>
      </c>
      <c r="AG5642">
        <v>-1.12106128301799</v>
      </c>
      <c r="AH5642">
        <v>20.409901739575801</v>
      </c>
      <c r="AI5642">
        <v>93.076931483305501</v>
      </c>
      <c r="AJ5642">
        <v>78.137443878276301</v>
      </c>
      <c r="AK5642">
        <v>20.885406355596199</v>
      </c>
      <c r="AL5642">
        <v>81.127811913090497</v>
      </c>
      <c r="AM5642">
        <v>81.200318893444404</v>
      </c>
      <c r="AN5642">
        <v>0.99999998034132898</v>
      </c>
    </row>
    <row r="5643" spans="1:40" x14ac:dyDescent="0.25">
      <c r="A5643" t="str">
        <f>"20190303162025353"</f>
        <v>20190303162025353</v>
      </c>
      <c r="B5643" t="str">
        <f>"1551601225347591"</f>
        <v>1551601225347591</v>
      </c>
      <c r="C5643" t="s">
        <v>40</v>
      </c>
      <c r="D5643">
        <v>5.0896990000000004</v>
      </c>
      <c r="E5643">
        <v>0.52445810000000004</v>
      </c>
      <c r="F5643" t="s">
        <v>49</v>
      </c>
      <c r="G5643">
        <v>-201.19309999999999</v>
      </c>
      <c r="H5643" s="1">
        <v>2.9827499999999999E-6</v>
      </c>
      <c r="I5643">
        <v>211.90899999999999</v>
      </c>
      <c r="J5643">
        <v>-220.89269999999999</v>
      </c>
      <c r="K5643">
        <v>1.12097</v>
      </c>
      <c r="L5643">
        <v>215.75880000000001</v>
      </c>
      <c r="M5643">
        <v>0.99976089999999995</v>
      </c>
      <c r="N5643">
        <v>-1.3766E-2</v>
      </c>
      <c r="O5643">
        <v>1.6993210000000002E-2</v>
      </c>
      <c r="P5643">
        <v>0.98078480000000001</v>
      </c>
      <c r="Q5643">
        <v>0.14100360000000001</v>
      </c>
      <c r="R5643">
        <v>-0.13483110000000001</v>
      </c>
      <c r="S5643">
        <v>3.003555</v>
      </c>
      <c r="T5643">
        <v>-0.16898759999999999</v>
      </c>
      <c r="U5643">
        <v>-0.57983399999999996</v>
      </c>
      <c r="V5643">
        <v>0.15170929999999999</v>
      </c>
      <c r="W5643">
        <v>0.15423319999999999</v>
      </c>
      <c r="X5643">
        <v>0.97631780000000001</v>
      </c>
      <c r="Y5643">
        <v>0.20580080000000001</v>
      </c>
      <c r="Z5643">
        <v>-7.8783540000000006E-3</v>
      </c>
      <c r="AA5643">
        <v>0.97856220000000005</v>
      </c>
      <c r="AB5643">
        <v>24</v>
      </c>
      <c r="AC5643">
        <v>19.6996</v>
      </c>
      <c r="AD5643">
        <v>-1.1209670172499999</v>
      </c>
      <c r="AE5643">
        <v>-3.8497999999999801</v>
      </c>
      <c r="AF5643">
        <v>4.1710263660506604</v>
      </c>
      <c r="AG5643">
        <v>-1.1209670172499999</v>
      </c>
      <c r="AH5643">
        <v>19.570291606217701</v>
      </c>
      <c r="AI5643">
        <v>93.206402996679003</v>
      </c>
      <c r="AJ5643">
        <v>77.968540000617097</v>
      </c>
      <c r="AK5643">
        <v>20.0412160697011</v>
      </c>
      <c r="AL5643">
        <v>81.127673084976493</v>
      </c>
      <c r="AM5643">
        <v>81.167488627101505</v>
      </c>
      <c r="AN5643">
        <v>1.00000001914278</v>
      </c>
    </row>
    <row r="5644" spans="1:40" x14ac:dyDescent="0.25">
      <c r="A5644" t="str">
        <f>"20190303162025375"</f>
        <v>20190303162025375</v>
      </c>
      <c r="B5644" t="str">
        <f>"1551601225368087"</f>
        <v>1551601225368087</v>
      </c>
      <c r="C5644" t="s">
        <v>40</v>
      </c>
      <c r="D5644">
        <v>5.1137100000000002</v>
      </c>
      <c r="E5644">
        <v>0.52514620000000001</v>
      </c>
      <c r="F5644" t="s">
        <v>49</v>
      </c>
      <c r="G5644">
        <v>-201.20959999999999</v>
      </c>
      <c r="H5644" s="1">
        <v>2.9936859999999999E-6</v>
      </c>
      <c r="I5644">
        <v>211.86760000000001</v>
      </c>
      <c r="J5644">
        <v>-220.65530000000001</v>
      </c>
      <c r="K5644">
        <v>1.1208579999999999</v>
      </c>
      <c r="L5644">
        <v>215.76159999999999</v>
      </c>
      <c r="M5644">
        <v>0.99977859999999996</v>
      </c>
      <c r="N5644">
        <v>-1.376528E-2</v>
      </c>
      <c r="O5644">
        <v>1.5916639999999999E-2</v>
      </c>
      <c r="P5644">
        <v>0.98048849999999999</v>
      </c>
      <c r="Q5644">
        <v>0.14144519999999999</v>
      </c>
      <c r="R5644">
        <v>-0.13651440000000001</v>
      </c>
      <c r="S5644">
        <v>3.0017849999999999</v>
      </c>
      <c r="T5644">
        <v>-0.1709533</v>
      </c>
      <c r="U5644">
        <v>-0.593429599999999</v>
      </c>
      <c r="V5644">
        <v>0.1523765</v>
      </c>
      <c r="W5644">
        <v>0.1546293</v>
      </c>
      <c r="X5644">
        <v>0.9761512</v>
      </c>
      <c r="Y5644">
        <v>0.20910799999999999</v>
      </c>
      <c r="Z5644">
        <v>-8.0277709999999995E-3</v>
      </c>
      <c r="AA5644">
        <v>0.97785960000000005</v>
      </c>
      <c r="AB5644">
        <v>24</v>
      </c>
      <c r="AC5644">
        <v>19.445699999999999</v>
      </c>
      <c r="AD5644">
        <v>-1.1208550063139999</v>
      </c>
      <c r="AE5644">
        <v>-3.8939999999999699</v>
      </c>
      <c r="AF5644">
        <v>4.1896630780217903</v>
      </c>
      <c r="AG5644">
        <v>-1.1208550063139999</v>
      </c>
      <c r="AH5644">
        <v>19.319538400165101</v>
      </c>
      <c r="AI5644">
        <v>93.245123694436998</v>
      </c>
      <c r="AJ5644">
        <v>77.764218004358398</v>
      </c>
      <c r="AK5644">
        <v>19.8003574878832</v>
      </c>
      <c r="AL5644">
        <v>81.104702417229007</v>
      </c>
      <c r="AM5644">
        <v>81.127770827941802</v>
      </c>
      <c r="AN5644">
        <v>0.99999999171609</v>
      </c>
    </row>
    <row r="5645" spans="1:40" x14ac:dyDescent="0.25">
      <c r="A5645" t="str">
        <f>"20190303162025397"</f>
        <v>20190303162025397</v>
      </c>
      <c r="B5645" t="str">
        <f>"1551601225387608"</f>
        <v>1551601225387608</v>
      </c>
      <c r="C5645" t="s">
        <v>40</v>
      </c>
      <c r="D5645">
        <v>5.0807820000000001</v>
      </c>
      <c r="E5645">
        <v>0.52573689999999995</v>
      </c>
      <c r="F5645" t="s">
        <v>49</v>
      </c>
      <c r="G5645">
        <v>-200.9059</v>
      </c>
      <c r="H5645" s="1">
        <v>2.8667419999999999E-6</v>
      </c>
      <c r="I5645">
        <v>211.77940000000001</v>
      </c>
      <c r="J5645">
        <v>-220.42490000000001</v>
      </c>
      <c r="K5645">
        <v>1.1207400000000001</v>
      </c>
      <c r="L5645">
        <v>215.76400000000001</v>
      </c>
      <c r="M5645">
        <v>0.99979770000000001</v>
      </c>
      <c r="N5645">
        <v>-1.376514E-2</v>
      </c>
      <c r="O5645">
        <v>1.467389E-2</v>
      </c>
      <c r="P5645">
        <v>0.98029639999999996</v>
      </c>
      <c r="Q5645">
        <v>0.1413702</v>
      </c>
      <c r="R5645">
        <v>-0.13796249999999999</v>
      </c>
      <c r="S5645">
        <v>3.0000149999999999</v>
      </c>
      <c r="T5645">
        <v>-0.1702632</v>
      </c>
      <c r="U5645">
        <v>-0.6049194</v>
      </c>
      <c r="V5645">
        <v>0.15265239999999999</v>
      </c>
      <c r="W5645">
        <v>0.15450739999999999</v>
      </c>
      <c r="X5645">
        <v>0.97612739999999998</v>
      </c>
      <c r="Y5645">
        <v>0.2116024</v>
      </c>
      <c r="Z5645">
        <v>-8.0368910000000009E-3</v>
      </c>
      <c r="AA5645">
        <v>0.97732280000000005</v>
      </c>
      <c r="AB5645">
        <v>23</v>
      </c>
      <c r="AC5645">
        <v>19.518999999999998</v>
      </c>
      <c r="AD5645">
        <v>-1.1207371332580001</v>
      </c>
      <c r="AE5645">
        <v>-3.9845999999999999</v>
      </c>
      <c r="AF5645">
        <v>4.2571442037045397</v>
      </c>
      <c r="AG5645">
        <v>-1.1207371332580001</v>
      </c>
      <c r="AH5645">
        <v>19.397033115399399</v>
      </c>
      <c r="AI5645">
        <v>93.230093020139606</v>
      </c>
      <c r="AJ5645">
        <v>77.6213315872008</v>
      </c>
      <c r="AK5645">
        <v>19.890304728005098</v>
      </c>
      <c r="AL5645">
        <v>81.111771773607799</v>
      </c>
      <c r="AM5645">
        <v>81.111749359978106</v>
      </c>
      <c r="AN5645">
        <v>0.99999999645563997</v>
      </c>
    </row>
    <row r="5646" spans="1:40" x14ac:dyDescent="0.25">
      <c r="A5646" t="str">
        <f>"20190303162025420"</f>
        <v>20190303162025420</v>
      </c>
      <c r="B5646" t="str">
        <f>"1551601225408103"</f>
        <v>1551601225408103</v>
      </c>
      <c r="C5646" t="s">
        <v>40</v>
      </c>
      <c r="D5646">
        <v>5.1551220000000004</v>
      </c>
      <c r="E5646">
        <v>0.52623549999999997</v>
      </c>
      <c r="F5646" t="s">
        <v>49</v>
      </c>
      <c r="G5646">
        <v>-200.76009999999999</v>
      </c>
      <c r="H5646" s="1">
        <v>2.8057929999999999E-6</v>
      </c>
      <c r="I5646">
        <v>211.73679999999999</v>
      </c>
      <c r="J5646">
        <v>-220.18680000000001</v>
      </c>
      <c r="K5646">
        <v>1.120601</v>
      </c>
      <c r="L5646">
        <v>215.76589999999999</v>
      </c>
      <c r="M5646">
        <v>0.99981850000000005</v>
      </c>
      <c r="N5646">
        <v>-1.376611E-2</v>
      </c>
      <c r="O5646">
        <v>1.3174490000000001E-2</v>
      </c>
      <c r="P5646">
        <v>0.98008249999999997</v>
      </c>
      <c r="Q5646">
        <v>0.140851799999999</v>
      </c>
      <c r="R5646">
        <v>-0.1399985</v>
      </c>
      <c r="S5646">
        <v>2.998535</v>
      </c>
      <c r="T5646">
        <v>-0.17089270000000001</v>
      </c>
      <c r="U5646">
        <v>-0.61407469999999997</v>
      </c>
      <c r="V5646">
        <v>0.15327209999999999</v>
      </c>
      <c r="W5646">
        <v>0.1539335</v>
      </c>
      <c r="X5646">
        <v>0.97612089999999996</v>
      </c>
      <c r="Y5646">
        <v>0.21309120000000001</v>
      </c>
      <c r="Z5646">
        <v>-8.0518780000000002E-3</v>
      </c>
      <c r="AA5646">
        <v>0.97699919999999996</v>
      </c>
      <c r="AB5646">
        <v>23</v>
      </c>
      <c r="AC5646">
        <v>19.4267</v>
      </c>
      <c r="AD5646">
        <v>-1.120598194207</v>
      </c>
      <c r="AE5646">
        <v>-4.0290999999999997</v>
      </c>
      <c r="AF5646">
        <v>4.2710859535316201</v>
      </c>
      <c r="AG5646">
        <v>-1.120598194207</v>
      </c>
      <c r="AH5646">
        <v>19.310324464933601</v>
      </c>
      <c r="AI5646">
        <v>93.243003456062397</v>
      </c>
      <c r="AJ5646">
        <v>77.5280293513662</v>
      </c>
      <c r="AK5646">
        <v>19.808749240583701</v>
      </c>
      <c r="AL5646">
        <v>81.145051424518101</v>
      </c>
      <c r="AM5646">
        <v>81.076188145622595</v>
      </c>
      <c r="AN5646">
        <v>0.99999993523873199</v>
      </c>
    </row>
    <row r="5647" spans="1:40" x14ac:dyDescent="0.25">
      <c r="A5647" t="str">
        <f>"20190303162025444"</f>
        <v>20190303162025444</v>
      </c>
      <c r="B5647" t="str">
        <f>"1551601225428599"</f>
        <v>1551601225428599</v>
      </c>
      <c r="C5647" t="s">
        <v>40</v>
      </c>
      <c r="D5647">
        <v>5.1029210000000003</v>
      </c>
      <c r="E5647">
        <v>0.52675059999999996</v>
      </c>
      <c r="F5647" t="s">
        <v>49</v>
      </c>
      <c r="G5647">
        <v>-200.9461</v>
      </c>
      <c r="H5647" s="1">
        <v>2.8866419999999999E-6</v>
      </c>
      <c r="I5647">
        <v>211.75569999999999</v>
      </c>
      <c r="J5647">
        <v>-219.94739999999999</v>
      </c>
      <c r="K5647">
        <v>1.120441</v>
      </c>
      <c r="L5647">
        <v>215.7672</v>
      </c>
      <c r="M5647">
        <v>0.99983979999999995</v>
      </c>
      <c r="N5647">
        <v>-1.376809E-2</v>
      </c>
      <c r="O5647">
        <v>1.144157E-2</v>
      </c>
      <c r="P5647">
        <v>0.9800181</v>
      </c>
      <c r="Q5647">
        <v>0.139402</v>
      </c>
      <c r="R5647">
        <v>-0.14188719999999999</v>
      </c>
      <c r="S5647">
        <v>2.996826</v>
      </c>
      <c r="T5647">
        <v>-0.174539</v>
      </c>
      <c r="U5647">
        <v>-0.62460329999999997</v>
      </c>
      <c r="V5647">
        <v>0.1535194</v>
      </c>
      <c r="W5647">
        <v>0.15242939999999999</v>
      </c>
      <c r="X5647">
        <v>0.97631809999999997</v>
      </c>
      <c r="Y5647">
        <v>0.21478030000000001</v>
      </c>
      <c r="Z5647">
        <v>-8.1820299999999999E-3</v>
      </c>
      <c r="AA5647">
        <v>0.9766281</v>
      </c>
      <c r="AB5647">
        <v>23</v>
      </c>
      <c r="AC5647">
        <v>19.001299999999901</v>
      </c>
      <c r="AD5647">
        <v>-1.1204381133579999</v>
      </c>
      <c r="AE5647">
        <v>-4.0115000000000096</v>
      </c>
      <c r="AF5647">
        <v>4.2146335271811104</v>
      </c>
      <c r="AG5647">
        <v>-1.1204381133579999</v>
      </c>
      <c r="AH5647">
        <v>18.891270891682201</v>
      </c>
      <c r="AI5647">
        <v>93.312967407746896</v>
      </c>
      <c r="AJ5647">
        <v>77.423301001997999</v>
      </c>
      <c r="AK5647">
        <v>19.388105457656899</v>
      </c>
      <c r="AL5647">
        <v>81.232259638845093</v>
      </c>
      <c r="AM5647">
        <v>81.063798297135904</v>
      </c>
      <c r="AN5647">
        <v>0.99999998027416404</v>
      </c>
    </row>
    <row r="5648" spans="1:40" x14ac:dyDescent="0.25">
      <c r="A5648" t="str">
        <f>"20190303162025465"</f>
        <v>20190303162025465</v>
      </c>
      <c r="B5648" t="str">
        <f>"1551601225457879"</f>
        <v>1551601225457879</v>
      </c>
      <c r="C5648" t="s">
        <v>40</v>
      </c>
      <c r="D5648">
        <v>5.1113670000000004</v>
      </c>
      <c r="E5648">
        <v>0.52748219999999901</v>
      </c>
      <c r="F5648" t="s">
        <v>49</v>
      </c>
      <c r="G5648">
        <v>-201.25229999999999</v>
      </c>
      <c r="H5648" s="1">
        <v>3.0181649999999998E-6</v>
      </c>
      <c r="I5648">
        <v>211.80420000000001</v>
      </c>
      <c r="J5648">
        <v>-219.71719999999999</v>
      </c>
      <c r="K5648">
        <v>1.12029</v>
      </c>
      <c r="L5648">
        <v>215.76769999999999</v>
      </c>
      <c r="M5648">
        <v>0.99985970000000002</v>
      </c>
      <c r="N5648">
        <v>-1.3770589999999999E-2</v>
      </c>
      <c r="O5648">
        <v>9.5547159999999996E-3</v>
      </c>
      <c r="P5648">
        <v>0.97972780000000004</v>
      </c>
      <c r="Q5648">
        <v>0.1387553</v>
      </c>
      <c r="R5648">
        <v>-0.14450270000000001</v>
      </c>
      <c r="S5648">
        <v>2.9947810000000001</v>
      </c>
      <c r="T5648">
        <v>-0.1794839</v>
      </c>
      <c r="U5648">
        <v>-0.63482669999999997</v>
      </c>
      <c r="V5648">
        <v>0.15433920000000001</v>
      </c>
      <c r="W5648">
        <v>0.15172579999999999</v>
      </c>
      <c r="X5648">
        <v>0.97629849999999996</v>
      </c>
      <c r="Y5648">
        <v>0.2162384</v>
      </c>
      <c r="Z5648">
        <v>-8.3459160000000001E-3</v>
      </c>
      <c r="AA5648">
        <v>0.97630490000000003</v>
      </c>
      <c r="AB5648">
        <v>23</v>
      </c>
      <c r="AC5648">
        <v>18.4649</v>
      </c>
      <c r="AD5648">
        <v>-1.1202869818350001</v>
      </c>
      <c r="AE5648">
        <v>-3.9634999999999798</v>
      </c>
      <c r="AF5648">
        <v>4.1252464561712197</v>
      </c>
      <c r="AG5648">
        <v>-1.1202869818350001</v>
      </c>
      <c r="AH5648">
        <v>18.3615714785408</v>
      </c>
      <c r="AI5648">
        <v>93.406723688640994</v>
      </c>
      <c r="AJ5648">
        <v>77.337756324751396</v>
      </c>
      <c r="AK5648">
        <v>18.852586252484901</v>
      </c>
      <c r="AL5648">
        <v>81.273047844397098</v>
      </c>
      <c r="AM5648">
        <v>81.016677375360103</v>
      </c>
      <c r="AN5648">
        <v>1.0000000340722599</v>
      </c>
    </row>
    <row r="5649" spans="1:40" x14ac:dyDescent="0.25">
      <c r="A5649" t="str">
        <f>"20190303162025487"</f>
        <v>20190303162025487</v>
      </c>
      <c r="B5649" t="str">
        <f>"1551601225477907"</f>
        <v>1551601225477907</v>
      </c>
      <c r="C5649" t="s">
        <v>40</v>
      </c>
      <c r="D5649">
        <v>5.1039029999999999</v>
      </c>
      <c r="E5649">
        <v>0.52796739999999998</v>
      </c>
      <c r="F5649" t="s">
        <v>49</v>
      </c>
      <c r="G5649">
        <v>-201.33160000000001</v>
      </c>
      <c r="H5649" s="1">
        <v>3.0554610000000002E-6</v>
      </c>
      <c r="I5649">
        <v>211.78020000000001</v>
      </c>
      <c r="J5649">
        <v>-219.48670000000001</v>
      </c>
      <c r="K5649">
        <v>1.12015</v>
      </c>
      <c r="L5649">
        <v>215.76750000000001</v>
      </c>
      <c r="M5649">
        <v>0.99987760000000003</v>
      </c>
      <c r="N5649">
        <v>-1.3773540000000001E-2</v>
      </c>
      <c r="O5649">
        <v>7.4387019999999898E-3</v>
      </c>
      <c r="P5649">
        <v>0.97908790000000001</v>
      </c>
      <c r="Q5649">
        <v>0.1394338</v>
      </c>
      <c r="R5649">
        <v>-0.1481401</v>
      </c>
      <c r="S5649">
        <v>2.9921880000000001</v>
      </c>
      <c r="T5649">
        <v>-0.1823227</v>
      </c>
      <c r="U5649">
        <v>-0.64895630000000004</v>
      </c>
      <c r="V5649">
        <v>0.15595419999999999</v>
      </c>
      <c r="W5649">
        <v>0.15234549999999999</v>
      </c>
      <c r="X5649">
        <v>0.97594519999999996</v>
      </c>
      <c r="Y5649">
        <v>0.2187337</v>
      </c>
      <c r="Z5649">
        <v>-8.4535140000000005E-3</v>
      </c>
      <c r="AA5649">
        <v>0.9757479</v>
      </c>
      <c r="AB5649">
        <v>23</v>
      </c>
      <c r="AC5649">
        <v>18.155100000000001</v>
      </c>
      <c r="AD5649">
        <v>-1.120146944539</v>
      </c>
      <c r="AE5649">
        <v>-3.9872999999999998</v>
      </c>
      <c r="AF5649">
        <v>4.1073367625360699</v>
      </c>
      <c r="AG5649">
        <v>-1.120146944539</v>
      </c>
      <c r="AH5649">
        <v>18.059350699127499</v>
      </c>
      <c r="AI5649">
        <v>93.461109181257399</v>
      </c>
      <c r="AJ5649">
        <v>77.186868212484498</v>
      </c>
      <c r="AK5649">
        <v>18.5543820196825</v>
      </c>
      <c r="AL5649">
        <v>81.237123281990193</v>
      </c>
      <c r="AM5649">
        <v>80.921002053985205</v>
      </c>
      <c r="AN5649">
        <v>0.99999994863546304</v>
      </c>
    </row>
    <row r="5650" spans="1:40" x14ac:dyDescent="0.25">
      <c r="A5650" t="str">
        <f>"20190303162025509"</f>
        <v>20190303162025509</v>
      </c>
      <c r="B5650" t="str">
        <f>"1551601225498403"</f>
        <v>1551601225498403</v>
      </c>
      <c r="C5650" t="s">
        <v>40</v>
      </c>
      <c r="D5650">
        <v>5.0959649999999996</v>
      </c>
      <c r="E5650">
        <v>0.52846369999999998</v>
      </c>
      <c r="F5650" t="s">
        <v>49</v>
      </c>
      <c r="G5650">
        <v>-200.99019999999999</v>
      </c>
      <c r="H5650" s="1">
        <v>2.9142590000000001E-6</v>
      </c>
      <c r="I5650">
        <v>211.6635</v>
      </c>
      <c r="J5650">
        <v>-219.2527</v>
      </c>
      <c r="K5650">
        <v>1.120036</v>
      </c>
      <c r="L5650">
        <v>215.76669999999999</v>
      </c>
      <c r="M5650">
        <v>0.999892</v>
      </c>
      <c r="N5650">
        <v>-1.3776200000000001E-2</v>
      </c>
      <c r="O5650">
        <v>5.1203719999999998E-3</v>
      </c>
      <c r="P5650">
        <v>0.97820030000000002</v>
      </c>
      <c r="Q5650">
        <v>0.1397283</v>
      </c>
      <c r="R5650">
        <v>-0.15362419999999999</v>
      </c>
      <c r="S5650">
        <v>2.989487</v>
      </c>
      <c r="T5650">
        <v>-0.1810436</v>
      </c>
      <c r="U5650">
        <v>-0.66331479999999998</v>
      </c>
      <c r="V5650">
        <v>0.15920790000000001</v>
      </c>
      <c r="W5650">
        <v>0.1525802</v>
      </c>
      <c r="X5650">
        <v>0.975383</v>
      </c>
      <c r="Y5650">
        <v>0.22112780000000001</v>
      </c>
      <c r="Z5650">
        <v>-8.3891460000000001E-3</v>
      </c>
      <c r="AA5650">
        <v>0.97520879999999999</v>
      </c>
      <c r="AB5650">
        <v>23</v>
      </c>
      <c r="AC5650">
        <v>18.262499999999999</v>
      </c>
      <c r="AD5650">
        <v>-1.1200330857409999</v>
      </c>
      <c r="AE5650">
        <v>-4.1031999999999798</v>
      </c>
      <c r="AF5650">
        <v>4.1816929881715499</v>
      </c>
      <c r="AG5650">
        <v>-1.1200330857409999</v>
      </c>
      <c r="AH5650">
        <v>18.176167450805899</v>
      </c>
      <c r="AI5650">
        <v>93.436609839456494</v>
      </c>
      <c r="AJ5650">
        <v>77.043719310279698</v>
      </c>
      <c r="AK5650">
        <v>18.684595086868001</v>
      </c>
      <c r="AL5650">
        <v>81.223516769612104</v>
      </c>
      <c r="AM5650">
        <v>80.729589869031699</v>
      </c>
      <c r="AN5650">
        <v>0.999999934771722</v>
      </c>
    </row>
    <row r="5651" spans="1:40" x14ac:dyDescent="0.25">
      <c r="A5651" t="str">
        <f>"20190303162025532"</f>
        <v>20190303162025532</v>
      </c>
      <c r="B5651" t="str">
        <f>"1551601225517923"</f>
        <v>1551601225517923</v>
      </c>
      <c r="C5651" t="s">
        <v>40</v>
      </c>
      <c r="D5651">
        <v>5.0999819999999998</v>
      </c>
      <c r="E5651">
        <v>0.52893190000000001</v>
      </c>
      <c r="F5651" t="s">
        <v>49</v>
      </c>
      <c r="G5651">
        <v>-200.75899999999999</v>
      </c>
      <c r="H5651" s="1">
        <v>2.822926E-6</v>
      </c>
      <c r="I5651">
        <v>211.53530000000001</v>
      </c>
      <c r="J5651">
        <v>-219.01929999999999</v>
      </c>
      <c r="K5651">
        <v>1.1199429999999999</v>
      </c>
      <c r="L5651">
        <v>215.76509999999999</v>
      </c>
      <c r="M5651">
        <v>0.9999017</v>
      </c>
      <c r="N5651">
        <v>-1.3778220000000001E-2</v>
      </c>
      <c r="O5651">
        <v>2.6621750000000001E-3</v>
      </c>
      <c r="P5651">
        <v>0.97734140000000003</v>
      </c>
      <c r="Q5651">
        <v>0.13854569999999999</v>
      </c>
      <c r="R5651">
        <v>-0.16002959999999999</v>
      </c>
      <c r="S5651">
        <v>2.9854129999999999</v>
      </c>
      <c r="T5651">
        <v>-0.18080540000000001</v>
      </c>
      <c r="U5651">
        <v>-0.68305969999999905</v>
      </c>
      <c r="V5651">
        <v>0.16323409999999999</v>
      </c>
      <c r="W5651">
        <v>0.15134489999999901</v>
      </c>
      <c r="X5651">
        <v>0.9749099</v>
      </c>
      <c r="Y5651">
        <v>0.22514239999999999</v>
      </c>
      <c r="Z5651">
        <v>-8.4201729999999995E-3</v>
      </c>
      <c r="AA5651">
        <v>0.97428950000000003</v>
      </c>
      <c r="AB5651">
        <v>23</v>
      </c>
      <c r="AC5651">
        <v>18.260299999999901</v>
      </c>
      <c r="AD5651">
        <v>-1.1199401770739901</v>
      </c>
      <c r="AE5651">
        <v>-4.2297999999999796</v>
      </c>
      <c r="AF5651">
        <v>4.2631819423854598</v>
      </c>
      <c r="AG5651">
        <v>-1.1199401770739901</v>
      </c>
      <c r="AH5651">
        <v>18.184055696832498</v>
      </c>
      <c r="AI5651">
        <v>93.431531367103105</v>
      </c>
      <c r="AJ5651">
        <v>76.805524750275893</v>
      </c>
      <c r="AK5651">
        <v>18.7106618765776</v>
      </c>
      <c r="AL5651">
        <v>81.295126317297701</v>
      </c>
      <c r="AM5651">
        <v>80.494847188317607</v>
      </c>
      <c r="AN5651">
        <v>0.99999998163841397</v>
      </c>
    </row>
    <row r="5652" spans="1:40" x14ac:dyDescent="0.25">
      <c r="A5652" t="str">
        <f>"20190303162025555"</f>
        <v>20190303162025555</v>
      </c>
      <c r="B5652" t="str">
        <f>"1551601225548179"</f>
        <v>1551601225548179</v>
      </c>
      <c r="C5652" t="s">
        <v>40</v>
      </c>
      <c r="D5652">
        <v>5.1139869999999998</v>
      </c>
      <c r="E5652">
        <v>0.52954860000000004</v>
      </c>
      <c r="F5652" t="s">
        <v>49</v>
      </c>
      <c r="G5652">
        <v>-200.98759999999999</v>
      </c>
      <c r="H5652" s="1">
        <v>2.9274920000000001E-6</v>
      </c>
      <c r="I5652">
        <v>211.499</v>
      </c>
      <c r="J5652">
        <v>-218.7824</v>
      </c>
      <c r="K5652">
        <v>1.1198680000000001</v>
      </c>
      <c r="L5652">
        <v>215.7627</v>
      </c>
      <c r="M5652">
        <v>0.99990520000000005</v>
      </c>
      <c r="N5652">
        <v>-1.3779970000000001E-2</v>
      </c>
      <c r="O5652" s="1">
        <v>4.0312999999999998E-5</v>
      </c>
      <c r="P5652">
        <v>0.97643570000000002</v>
      </c>
      <c r="Q5652">
        <v>0.13715859999999999</v>
      </c>
      <c r="R5652">
        <v>-0.1666176</v>
      </c>
      <c r="S5652">
        <v>2.9803160000000002</v>
      </c>
      <c r="T5652">
        <v>-0.18510689999999999</v>
      </c>
      <c r="U5652">
        <v>-0.70510859999999997</v>
      </c>
      <c r="V5652">
        <v>0.1672785</v>
      </c>
      <c r="W5652">
        <v>0.14990999999999999</v>
      </c>
      <c r="X5652">
        <v>0.97444589999999998</v>
      </c>
      <c r="Y5652">
        <v>0.2297553</v>
      </c>
      <c r="Z5652">
        <v>-8.6397230000000002E-3</v>
      </c>
      <c r="AA5652">
        <v>0.97321009999999997</v>
      </c>
      <c r="AB5652">
        <v>23</v>
      </c>
      <c r="AC5652">
        <v>17.794799999999999</v>
      </c>
      <c r="AD5652">
        <v>-1.1198650725079999</v>
      </c>
      <c r="AE5652">
        <v>-4.2636999999999698</v>
      </c>
      <c r="AF5652">
        <v>4.2485049445811001</v>
      </c>
      <c r="AG5652">
        <v>-1.1198650725079999</v>
      </c>
      <c r="AH5652">
        <v>17.728228232713501</v>
      </c>
      <c r="AI5652">
        <v>93.515213635638801</v>
      </c>
      <c r="AJ5652">
        <v>76.523428088883506</v>
      </c>
      <c r="AK5652">
        <v>18.264554971746101</v>
      </c>
      <c r="AL5652">
        <v>81.378288673245393</v>
      </c>
      <c r="AM5652">
        <v>80.259248370523494</v>
      </c>
      <c r="AN5652">
        <v>0.99999995834452904</v>
      </c>
    </row>
    <row r="5653" spans="1:40" x14ac:dyDescent="0.25">
      <c r="A5653" t="str">
        <f>"20190303162025576"</f>
        <v>20190303162025576</v>
      </c>
      <c r="B5653" t="str">
        <f>"1551601225568676"</f>
        <v>1551601225568676</v>
      </c>
      <c r="C5653" t="s">
        <v>40</v>
      </c>
      <c r="D5653">
        <v>5.1996779999999996</v>
      </c>
      <c r="E5653">
        <v>0.55410619999999999</v>
      </c>
      <c r="F5653" t="s">
        <v>49</v>
      </c>
      <c r="G5653">
        <v>-201.23169999999999</v>
      </c>
      <c r="H5653" s="1">
        <v>3.0389529999999998E-6</v>
      </c>
      <c r="I5653">
        <v>211.46209999999999</v>
      </c>
      <c r="J5653">
        <v>-218.55799999999999</v>
      </c>
      <c r="K5653">
        <v>1.1198090000000001</v>
      </c>
      <c r="L5653">
        <v>215.75980000000001</v>
      </c>
      <c r="M5653">
        <v>0.99990179999999995</v>
      </c>
      <c r="N5653">
        <v>-1.3781720000000001E-2</v>
      </c>
      <c r="O5653">
        <v>-2.544349E-3</v>
      </c>
      <c r="P5653">
        <v>0.97534180000000004</v>
      </c>
      <c r="Q5653">
        <v>0.13653119999999999</v>
      </c>
      <c r="R5653">
        <v>-0.17339939999999901</v>
      </c>
      <c r="S5653">
        <v>2.9746860000000002</v>
      </c>
      <c r="T5653">
        <v>-0.18980730000000001</v>
      </c>
      <c r="U5653">
        <v>-0.72892760000000001</v>
      </c>
      <c r="V5653">
        <v>0.17155599999999999</v>
      </c>
      <c r="W5653">
        <v>0.1492348</v>
      </c>
      <c r="X5653">
        <v>0.9738057</v>
      </c>
      <c r="Y5653">
        <v>0.23497989999999999</v>
      </c>
      <c r="Z5653">
        <v>-8.8997999999999994E-3</v>
      </c>
      <c r="AA5653">
        <v>0.97195949999999998</v>
      </c>
      <c r="AB5653">
        <v>23</v>
      </c>
      <c r="AC5653">
        <v>17.3263</v>
      </c>
      <c r="AD5653">
        <v>-1.1198059610469999</v>
      </c>
      <c r="AE5653">
        <v>-4.2977000000000203</v>
      </c>
      <c r="AF5653">
        <v>4.2369255046228096</v>
      </c>
      <c r="AG5653">
        <v>-1.1198059610469999</v>
      </c>
      <c r="AH5653">
        <v>17.269225639524301</v>
      </c>
      <c r="AI5653">
        <v>93.603517536824</v>
      </c>
      <c r="AJ5653">
        <v>76.215030116909006</v>
      </c>
      <c r="AK5653">
        <v>17.816611835894101</v>
      </c>
      <c r="AL5653">
        <v>81.417415407360906</v>
      </c>
      <c r="AM5653">
        <v>80.008686270700395</v>
      </c>
      <c r="AN5653">
        <v>1.00000001400976</v>
      </c>
    </row>
    <row r="5654" spans="1:40" x14ac:dyDescent="0.25">
      <c r="A5654" t="str">
        <f>"20190303162025598"</f>
        <v>20190303162025598</v>
      </c>
      <c r="B5654" t="str">
        <f>"1551601225588196"</f>
        <v>1551601225588196</v>
      </c>
      <c r="C5654" t="s">
        <v>40</v>
      </c>
      <c r="D5654">
        <v>5.1104989999999999</v>
      </c>
      <c r="E5654">
        <v>0.56415369999999998</v>
      </c>
      <c r="F5654" t="s">
        <v>49</v>
      </c>
      <c r="G5654">
        <v>-203.60839999999999</v>
      </c>
      <c r="H5654" s="1">
        <v>4.1357949999999999E-6</v>
      </c>
      <c r="I5654">
        <v>210.9717</v>
      </c>
      <c r="J5654">
        <v>-218.3228</v>
      </c>
      <c r="K5654">
        <v>1.1197429999999999</v>
      </c>
      <c r="L5654">
        <v>215.7561</v>
      </c>
      <c r="M5654">
        <v>0.99989070000000002</v>
      </c>
      <c r="N5654">
        <v>-1.3783750000000001E-2</v>
      </c>
      <c r="O5654">
        <v>-5.3427040000000002E-3</v>
      </c>
      <c r="P5654">
        <v>0.97430139999999998</v>
      </c>
      <c r="Q5654">
        <v>0.1352612</v>
      </c>
      <c r="R5654">
        <v>-0.18011440000000001</v>
      </c>
      <c r="S5654">
        <v>2.9393009999999999</v>
      </c>
      <c r="T5654">
        <v>-0.2201697</v>
      </c>
      <c r="U5654">
        <v>-0.94140630000000003</v>
      </c>
      <c r="V5654">
        <v>0.1755591</v>
      </c>
      <c r="W5654">
        <v>0.1479193</v>
      </c>
      <c r="X5654">
        <v>0.97329279999999996</v>
      </c>
      <c r="Y5654">
        <v>0.29902469999999998</v>
      </c>
      <c r="Z5654">
        <v>-1.270807E-2</v>
      </c>
      <c r="AA5654">
        <v>0.95416069999999997</v>
      </c>
      <c r="AB5654">
        <v>23</v>
      </c>
      <c r="AC5654">
        <v>14.714399999999999</v>
      </c>
      <c r="AD5654">
        <v>-1.1197388642049999</v>
      </c>
      <c r="AE5654">
        <v>-4.7843999999999998</v>
      </c>
      <c r="AF5654">
        <v>4.6811930423847601</v>
      </c>
      <c r="AG5654">
        <v>-1.1197388642049999</v>
      </c>
      <c r="AH5654">
        <v>14.662960651796899</v>
      </c>
      <c r="AI5654">
        <v>94.160809436332599</v>
      </c>
      <c r="AJ5654">
        <v>72.294165148028299</v>
      </c>
      <c r="AK5654">
        <v>15.432750840346801</v>
      </c>
      <c r="AL5654">
        <v>81.493633815899798</v>
      </c>
      <c r="AM5654">
        <v>79.775135562192006</v>
      </c>
      <c r="AN5654">
        <v>0.99999999571857001</v>
      </c>
    </row>
    <row r="5655" spans="1:40" x14ac:dyDescent="0.25">
      <c r="A5655" t="str">
        <f>"20190303162025622"</f>
        <v>20190303162025622</v>
      </c>
      <c r="B5655" t="str">
        <f>"1551601225618452"</f>
        <v>1551601225618452</v>
      </c>
      <c r="C5655" t="s">
        <v>40</v>
      </c>
      <c r="D5655">
        <v>5.0575830000000002</v>
      </c>
      <c r="E5655">
        <v>0.56822450000000002</v>
      </c>
      <c r="F5655" t="s">
        <v>49</v>
      </c>
      <c r="G5655">
        <v>-202.29179999999999</v>
      </c>
      <c r="H5655" s="1">
        <v>3.6336420000000001E-6</v>
      </c>
      <c r="I5655">
        <v>210.03720000000001</v>
      </c>
      <c r="J5655">
        <v>-218.0806</v>
      </c>
      <c r="K5655">
        <v>1.1196870000000001</v>
      </c>
      <c r="L5655">
        <v>215.75139999999999</v>
      </c>
      <c r="M5655">
        <v>0.99987040000000005</v>
      </c>
      <c r="N5655">
        <v>-1.3785739999999999E-2</v>
      </c>
      <c r="O5655">
        <v>-8.3162489999999995E-3</v>
      </c>
      <c r="P5655">
        <v>0.97336299999999998</v>
      </c>
      <c r="Q5655">
        <v>0.13428760000000001</v>
      </c>
      <c r="R5655">
        <v>-0.1858264</v>
      </c>
      <c r="S5655">
        <v>2.915146</v>
      </c>
      <c r="T5655">
        <v>-0.2036183</v>
      </c>
      <c r="U5655">
        <v>-1.0399320000000001</v>
      </c>
      <c r="V5655">
        <v>0.178394</v>
      </c>
      <c r="W5655">
        <v>0.146904799999999</v>
      </c>
      <c r="X5655">
        <v>0.97293090000000004</v>
      </c>
      <c r="Y5655">
        <v>0.32730049999999999</v>
      </c>
      <c r="Z5655">
        <v>-1.295135E-2</v>
      </c>
      <c r="AA5655">
        <v>0.94483159999999999</v>
      </c>
      <c r="AB5655">
        <v>23</v>
      </c>
      <c r="AC5655">
        <v>15.7888</v>
      </c>
      <c r="AD5655">
        <v>-1.1196833663579999</v>
      </c>
      <c r="AE5655">
        <v>-5.7141999999999697</v>
      </c>
      <c r="AF5655">
        <v>5.5579717413206602</v>
      </c>
      <c r="AG5655">
        <v>-1.1196833663579999</v>
      </c>
      <c r="AH5655">
        <v>15.7656741441048</v>
      </c>
      <c r="AI5655">
        <v>93.831947217541497</v>
      </c>
      <c r="AJ5655">
        <v>70.580598138012405</v>
      </c>
      <c r="AK5655">
        <v>16.754140441583701</v>
      </c>
      <c r="AL5655">
        <v>81.552402357307898</v>
      </c>
      <c r="AM5655">
        <v>79.609812681216795</v>
      </c>
      <c r="AN5655">
        <v>0.99999998783692501</v>
      </c>
    </row>
    <row r="5656" spans="1:40" x14ac:dyDescent="0.25">
      <c r="A5656" t="str">
        <f>"20190303162025644"</f>
        <v>20190303162025644</v>
      </c>
      <c r="B5656" t="str">
        <f>"1551601225637971"</f>
        <v>1551601225637971</v>
      </c>
      <c r="C5656" t="s">
        <v>40</v>
      </c>
      <c r="D5656">
        <v>5.0415479999999997</v>
      </c>
      <c r="E5656">
        <v>0.56993729999999998</v>
      </c>
      <c r="F5656" t="s">
        <v>49</v>
      </c>
      <c r="G5656">
        <v>-202.5257</v>
      </c>
      <c r="H5656" s="1">
        <v>3.7479140000000001E-6</v>
      </c>
      <c r="I5656">
        <v>209.91650000000001</v>
      </c>
      <c r="J5656">
        <v>-217.8502</v>
      </c>
      <c r="K5656">
        <v>1.1196349999999999</v>
      </c>
      <c r="L5656">
        <v>215.74610000000001</v>
      </c>
      <c r="M5656">
        <v>0.99984170000000006</v>
      </c>
      <c r="N5656">
        <v>-1.378777E-2</v>
      </c>
      <c r="O5656">
        <v>-1.12424E-2</v>
      </c>
      <c r="P5656">
        <v>0.97211060000000005</v>
      </c>
      <c r="Q5656">
        <v>0.135022</v>
      </c>
      <c r="R5656">
        <v>-0.1917555</v>
      </c>
      <c r="S5656">
        <v>2.9030300000000002</v>
      </c>
      <c r="T5656">
        <v>-0.20896819999999999</v>
      </c>
      <c r="U5656">
        <v>-1.088959</v>
      </c>
      <c r="V5656">
        <v>0.1815078</v>
      </c>
      <c r="W5656">
        <v>0.14759149999999999</v>
      </c>
      <c r="X5656">
        <v>0.97225079999999997</v>
      </c>
      <c r="Y5656">
        <v>0.33974749999999998</v>
      </c>
      <c r="Z5656">
        <v>-1.3602980000000001E-2</v>
      </c>
      <c r="AA5656">
        <v>0.94041830000000004</v>
      </c>
      <c r="AB5656">
        <v>23</v>
      </c>
      <c r="AC5656">
        <v>15.3245</v>
      </c>
      <c r="AD5656">
        <v>-1.1196312520859999</v>
      </c>
      <c r="AE5656">
        <v>-5.8295999999999903</v>
      </c>
      <c r="AF5656">
        <v>5.6306741851029098</v>
      </c>
      <c r="AG5656">
        <v>-1.1196312520859999</v>
      </c>
      <c r="AH5656">
        <v>15.317647496535599</v>
      </c>
      <c r="AI5656">
        <v>93.924674879011803</v>
      </c>
      <c r="AJ5656">
        <v>69.816878823406299</v>
      </c>
      <c r="AK5656">
        <v>16.3581291946101</v>
      </c>
      <c r="AL5656">
        <v>81.512623632717506</v>
      </c>
      <c r="AM5656">
        <v>79.425281614644206</v>
      </c>
      <c r="AN5656">
        <v>0.99999997521686401</v>
      </c>
    </row>
    <row r="5657" spans="1:40" x14ac:dyDescent="0.25">
      <c r="A5657" t="str">
        <f>"20190303162025667"</f>
        <v>20190303162025667</v>
      </c>
      <c r="B5657" t="str">
        <f>"1551601225658468"</f>
        <v>1551601225658468</v>
      </c>
      <c r="C5657" t="s">
        <v>40</v>
      </c>
      <c r="D5657">
        <v>5.0974579999999996</v>
      </c>
      <c r="E5657">
        <v>0.57062740000000001</v>
      </c>
      <c r="F5657" t="s">
        <v>49</v>
      </c>
      <c r="G5657">
        <v>-201.69399999999999</v>
      </c>
      <c r="H5657" s="1">
        <v>3.4273600000000002E-6</v>
      </c>
      <c r="I5657">
        <v>209.4913</v>
      </c>
      <c r="J5657">
        <v>-217.6198</v>
      </c>
      <c r="K5657">
        <v>1.1195740000000001</v>
      </c>
      <c r="L5657">
        <v>215.74</v>
      </c>
      <c r="M5657">
        <v>0.99980290000000005</v>
      </c>
      <c r="N5657">
        <v>-1.3790449999999999E-2</v>
      </c>
      <c r="O5657">
        <v>-1.4294569999999999E-2</v>
      </c>
      <c r="P5657">
        <v>0.97070109999999998</v>
      </c>
      <c r="Q5657">
        <v>0.1363665</v>
      </c>
      <c r="R5657">
        <v>-0.19784860000000001</v>
      </c>
      <c r="S5657">
        <v>2.89296</v>
      </c>
      <c r="T5657">
        <v>-0.20048369999999999</v>
      </c>
      <c r="U5657">
        <v>-1.12001</v>
      </c>
      <c r="V5657">
        <v>0.18467720000000001</v>
      </c>
      <c r="W5657">
        <v>0.14888119999999999</v>
      </c>
      <c r="X5657">
        <v>0.97145700000000001</v>
      </c>
      <c r="Y5657">
        <v>0.34680440000000001</v>
      </c>
      <c r="Z5657">
        <v>-1.329877E-2</v>
      </c>
      <c r="AA5657">
        <v>0.93784319999999999</v>
      </c>
      <c r="AB5657">
        <v>23</v>
      </c>
      <c r="AC5657">
        <v>15.925799999999899</v>
      </c>
      <c r="AD5657">
        <v>-1.11957057264</v>
      </c>
      <c r="AE5657">
        <v>-6.2487000000000101</v>
      </c>
      <c r="AF5657">
        <v>5.99471402433461</v>
      </c>
      <c r="AG5657">
        <v>-1.11957057264</v>
      </c>
      <c r="AH5657">
        <v>15.945215497194001</v>
      </c>
      <c r="AI5657">
        <v>93.760203735923199</v>
      </c>
      <c r="AJ5657">
        <v>69.395902244397107</v>
      </c>
      <c r="AK5657">
        <v>17.071611867443298</v>
      </c>
      <c r="AL5657">
        <v>81.437903889810499</v>
      </c>
      <c r="AM5657">
        <v>79.236319532124597</v>
      </c>
      <c r="AN5657">
        <v>0.99999999138113904</v>
      </c>
    </row>
    <row r="5658" spans="1:40" x14ac:dyDescent="0.25">
      <c r="A5658" t="str">
        <f>"20190303162025688"</f>
        <v>20190303162025688</v>
      </c>
      <c r="B5658" t="str">
        <f>"1551601225677988"</f>
        <v>1551601225677988</v>
      </c>
      <c r="C5658" t="s">
        <v>40</v>
      </c>
      <c r="D5658">
        <v>5.092746</v>
      </c>
      <c r="E5658">
        <v>0.57074250000000004</v>
      </c>
      <c r="F5658" t="s">
        <v>49</v>
      </c>
      <c r="G5658">
        <v>-200.93549999999999</v>
      </c>
      <c r="H5658" s="1">
        <v>3.1550840000000001E-6</v>
      </c>
      <c r="I5658">
        <v>209.12719999999999</v>
      </c>
      <c r="J5658">
        <v>-217.39519999999999</v>
      </c>
      <c r="K5658">
        <v>1.1195090000000001</v>
      </c>
      <c r="L5658">
        <v>215.73320000000001</v>
      </c>
      <c r="M5658">
        <v>0.99975340000000001</v>
      </c>
      <c r="N5658">
        <v>-1.379415E-2</v>
      </c>
      <c r="O5658">
        <v>-1.74115E-2</v>
      </c>
      <c r="P5658">
        <v>0.96900569999999997</v>
      </c>
      <c r="Q5658">
        <v>0.13827039999999999</v>
      </c>
      <c r="R5658">
        <v>-0.20471839999999999</v>
      </c>
      <c r="S5658">
        <v>2.8847200000000002</v>
      </c>
      <c r="T5658">
        <v>-0.19357340000000001</v>
      </c>
      <c r="U5658">
        <v>-1.1433409999999999</v>
      </c>
      <c r="V5658">
        <v>0.18857860000000001</v>
      </c>
      <c r="W5658">
        <v>0.1507194</v>
      </c>
      <c r="X5658">
        <v>0.97042349999999999</v>
      </c>
      <c r="Y5658">
        <v>0.35139619999999999</v>
      </c>
      <c r="Z5658">
        <v>-1.2971389999999999E-2</v>
      </c>
      <c r="AA5658">
        <v>0.936137</v>
      </c>
      <c r="AB5658">
        <v>23</v>
      </c>
      <c r="AC5658">
        <v>16.459699999999899</v>
      </c>
      <c r="AD5658">
        <v>-1.119505844916</v>
      </c>
      <c r="AE5658">
        <v>-6.6060000000000203</v>
      </c>
      <c r="AF5658">
        <v>6.2933089092769299</v>
      </c>
      <c r="AG5658">
        <v>-1.119505844916</v>
      </c>
      <c r="AH5658">
        <v>16.506469566510901</v>
      </c>
      <c r="AI5658">
        <v>93.626127872619506</v>
      </c>
      <c r="AJ5658">
        <v>69.129993393351597</v>
      </c>
      <c r="AK5658">
        <v>17.7009199736775</v>
      </c>
      <c r="AL5658">
        <v>81.331380847930106</v>
      </c>
      <c r="AM5658">
        <v>79.002993705750001</v>
      </c>
      <c r="AN5658">
        <v>0.99999999763328495</v>
      </c>
    </row>
    <row r="5659" spans="1:40" x14ac:dyDescent="0.25">
      <c r="A5659" t="str">
        <f>"20190303162025711"</f>
        <v>20190303162025711</v>
      </c>
      <c r="B5659" t="str">
        <f>"1551601225698484"</f>
        <v>1551601225698484</v>
      </c>
      <c r="C5659" t="s">
        <v>40</v>
      </c>
      <c r="D5659">
        <v>5.1009880000000001</v>
      </c>
      <c r="E5659">
        <v>0.57053790000000004</v>
      </c>
      <c r="F5659" t="s">
        <v>49</v>
      </c>
      <c r="G5659">
        <v>-200.35329999999999</v>
      </c>
      <c r="H5659" s="1">
        <v>2.9826149999999998E-6</v>
      </c>
      <c r="I5659">
        <v>208.8349</v>
      </c>
      <c r="J5659">
        <v>-217.1644</v>
      </c>
      <c r="K5659">
        <v>1.1194459999999999</v>
      </c>
      <c r="L5659">
        <v>215.7253</v>
      </c>
      <c r="M5659">
        <v>0.99968979999999996</v>
      </c>
      <c r="N5659">
        <v>-1.379858E-2</v>
      </c>
      <c r="O5659">
        <v>-2.0742710000000001E-2</v>
      </c>
      <c r="P5659">
        <v>0.96710589999999996</v>
      </c>
      <c r="Q5659">
        <v>0.13996029999999901</v>
      </c>
      <c r="R5659">
        <v>-0.21240899999999999</v>
      </c>
      <c r="S5659">
        <v>2.8768919999999998</v>
      </c>
      <c r="T5659">
        <v>-0.1889873</v>
      </c>
      <c r="U5659">
        <v>-1.16452</v>
      </c>
      <c r="V5659">
        <v>0.19310440000000001</v>
      </c>
      <c r="W5659">
        <v>0.15233659999999999</v>
      </c>
      <c r="X5659">
        <v>0.96928020000000004</v>
      </c>
      <c r="Y5659">
        <v>0.35511189999999998</v>
      </c>
      <c r="Z5659">
        <v>-1.272394E-2</v>
      </c>
      <c r="AA5659">
        <v>0.93473720000000005</v>
      </c>
      <c r="AB5659">
        <v>23</v>
      </c>
      <c r="AC5659">
        <v>16.8111</v>
      </c>
      <c r="AD5659">
        <v>-1.1194430173849901</v>
      </c>
      <c r="AE5659">
        <v>-6.8903999999999996</v>
      </c>
      <c r="AF5659">
        <v>6.5154411663462799</v>
      </c>
      <c r="AG5659">
        <v>-1.1194430173849901</v>
      </c>
      <c r="AH5659">
        <v>16.8863144854366</v>
      </c>
      <c r="AI5659">
        <v>93.539164615893597</v>
      </c>
      <c r="AJ5659">
        <v>68.901315130643496</v>
      </c>
      <c r="AK5659">
        <v>18.134269854679999</v>
      </c>
      <c r="AL5659">
        <v>81.237639050521906</v>
      </c>
      <c r="AM5659">
        <v>78.732795718839398</v>
      </c>
      <c r="AN5659">
        <v>0.99999992755547695</v>
      </c>
    </row>
    <row r="5660" spans="1:40" x14ac:dyDescent="0.25">
      <c r="A5660" t="str">
        <f>"20190303162025733"</f>
        <v>20190303162025733</v>
      </c>
      <c r="B5660" t="str">
        <f>"1551601225727764"</f>
        <v>1551601225727764</v>
      </c>
      <c r="C5660" t="s">
        <v>40</v>
      </c>
      <c r="D5660">
        <v>5.107024</v>
      </c>
      <c r="E5660">
        <v>0.5700539</v>
      </c>
      <c r="F5660" t="s">
        <v>49</v>
      </c>
      <c r="G5660">
        <v>-199.96039999999999</v>
      </c>
      <c r="H5660" s="1">
        <v>2.9008959999999999E-6</v>
      </c>
      <c r="I5660">
        <v>208.61709999999999</v>
      </c>
      <c r="J5660">
        <v>-216.93389999999999</v>
      </c>
      <c r="K5660">
        <v>1.119373</v>
      </c>
      <c r="L5660">
        <v>215.7165</v>
      </c>
      <c r="M5660">
        <v>0.99961149999999999</v>
      </c>
      <c r="N5660">
        <v>-1.3803259999999999E-2</v>
      </c>
      <c r="O5660">
        <v>-2.4217280000000001E-2</v>
      </c>
      <c r="P5660">
        <v>0.9649626</v>
      </c>
      <c r="Q5660">
        <v>0.1412293</v>
      </c>
      <c r="R5660">
        <v>-0.22113759999999999</v>
      </c>
      <c r="S5660">
        <v>2.8687130000000001</v>
      </c>
      <c r="T5660">
        <v>-0.18666340000000001</v>
      </c>
      <c r="U5660">
        <v>-1.1852720000000001</v>
      </c>
      <c r="V5660">
        <v>0.19854340000000001</v>
      </c>
      <c r="W5660">
        <v>0.1535231</v>
      </c>
      <c r="X5660">
        <v>0.9679934</v>
      </c>
      <c r="Y5660">
        <v>0.35859000000000002</v>
      </c>
      <c r="Z5660">
        <v>-1.258271E-2</v>
      </c>
      <c r="AA5660">
        <v>0.93341030000000003</v>
      </c>
      <c r="AB5660">
        <v>23</v>
      </c>
      <c r="AC5660">
        <v>16.973500000000001</v>
      </c>
      <c r="AD5660">
        <v>-1.1193700991040001</v>
      </c>
      <c r="AE5660">
        <v>-7.0994000000000002</v>
      </c>
      <c r="AF5660">
        <v>6.66156801675199</v>
      </c>
      <c r="AG5660">
        <v>-1.1193700991040001</v>
      </c>
      <c r="AH5660">
        <v>17.077252738620398</v>
      </c>
      <c r="AI5660">
        <v>93.494474569740504</v>
      </c>
      <c r="AJ5660">
        <v>68.690024604439202</v>
      </c>
      <c r="AK5660">
        <v>18.364695449674599</v>
      </c>
      <c r="AL5660">
        <v>81.168849268956393</v>
      </c>
      <c r="AM5660">
        <v>78.408923605889001</v>
      </c>
      <c r="AN5660">
        <v>1.0000000231803601</v>
      </c>
    </row>
    <row r="5661" spans="1:40" x14ac:dyDescent="0.25">
      <c r="A5661" t="str">
        <f>"20190303162025756"</f>
        <v>20190303162025756</v>
      </c>
      <c r="B5661" t="str">
        <f>"1551601225748259"</f>
        <v>1551601225748259</v>
      </c>
      <c r="C5661" t="s">
        <v>40</v>
      </c>
      <c r="D5661">
        <v>5.079955</v>
      </c>
      <c r="E5661">
        <v>0.56960080000000002</v>
      </c>
      <c r="F5661" t="s">
        <v>49</v>
      </c>
      <c r="G5661">
        <v>-199.63460000000001</v>
      </c>
      <c r="H5661" s="1">
        <v>3.0106130000000002E-6</v>
      </c>
      <c r="I5661">
        <v>208.41579999999999</v>
      </c>
      <c r="J5661">
        <v>-216.702</v>
      </c>
      <c r="K5661">
        <v>1.119294</v>
      </c>
      <c r="L5661">
        <v>215.70660000000001</v>
      </c>
      <c r="M5661">
        <v>0.99951570000000001</v>
      </c>
      <c r="N5661">
        <v>-1.3808630000000001E-2</v>
      </c>
      <c r="O5661">
        <v>-2.7893270000000001E-2</v>
      </c>
      <c r="P5661">
        <v>0.96248869999999997</v>
      </c>
      <c r="Q5661">
        <v>0.14330909999999999</v>
      </c>
      <c r="R5661">
        <v>-0.2303876</v>
      </c>
      <c r="S5661">
        <v>2.859451</v>
      </c>
      <c r="T5661">
        <v>-0.18502379999999999</v>
      </c>
      <c r="U5661">
        <v>-1.2067570000000001</v>
      </c>
      <c r="V5661">
        <v>0.20433789999999999</v>
      </c>
      <c r="W5661">
        <v>0.15550739999999999</v>
      </c>
      <c r="X5661">
        <v>0.96646960000000004</v>
      </c>
      <c r="Y5661">
        <v>0.3621972</v>
      </c>
      <c r="Z5661">
        <v>-1.2476940000000001E-2</v>
      </c>
      <c r="AA5661">
        <v>0.93201800000000001</v>
      </c>
      <c r="AB5661">
        <v>23</v>
      </c>
      <c r="AC5661">
        <v>17.0673999999999</v>
      </c>
      <c r="AD5661">
        <v>-1.119290989387</v>
      </c>
      <c r="AE5661">
        <v>-7.2908000000000097</v>
      </c>
      <c r="AF5661">
        <v>6.7871660276614802</v>
      </c>
      <c r="AG5661">
        <v>-1.119290989387</v>
      </c>
      <c r="AH5661">
        <v>17.201577368453201</v>
      </c>
      <c r="AI5661">
        <v>93.463765913190599</v>
      </c>
      <c r="AJ5661">
        <v>68.467469143809595</v>
      </c>
      <c r="AK5661">
        <v>18.526000619908402</v>
      </c>
      <c r="AL5661">
        <v>81.053775108830806</v>
      </c>
      <c r="AM5661">
        <v>78.061928205334297</v>
      </c>
      <c r="AN5661">
        <v>1.0000000082776599</v>
      </c>
    </row>
    <row r="5662" spans="1:40" x14ac:dyDescent="0.25">
      <c r="A5662" t="str">
        <f>"20190303162025777"</f>
        <v>20190303162025777</v>
      </c>
      <c r="B5662" t="str">
        <f>"1551601225767780"</f>
        <v>1551601225767780</v>
      </c>
      <c r="C5662" t="s">
        <v>40</v>
      </c>
      <c r="D5662">
        <v>5.0900349999999897</v>
      </c>
      <c r="E5662">
        <v>0.56907869999999905</v>
      </c>
      <c r="F5662" t="s">
        <v>49</v>
      </c>
      <c r="G5662">
        <v>-199.1823</v>
      </c>
      <c r="H5662" s="1">
        <v>3.1635939999999999E-6</v>
      </c>
      <c r="I5662">
        <v>208.14109999999999</v>
      </c>
      <c r="J5662">
        <v>-216.47890000000001</v>
      </c>
      <c r="K5662">
        <v>1.119192</v>
      </c>
      <c r="L5662">
        <v>215.6962</v>
      </c>
      <c r="M5662">
        <v>0.99940439999999997</v>
      </c>
      <c r="N5662">
        <v>-1.381542E-2</v>
      </c>
      <c r="O5662">
        <v>-3.1623409999999998E-2</v>
      </c>
      <c r="P5662">
        <v>0.95974890000000002</v>
      </c>
      <c r="Q5662">
        <v>0.14506479999999999</v>
      </c>
      <c r="R5662">
        <v>-0.2404964</v>
      </c>
      <c r="S5662">
        <v>2.8494869999999999</v>
      </c>
      <c r="T5662">
        <v>-0.18204629999999999</v>
      </c>
      <c r="U5662">
        <v>-1.230499</v>
      </c>
      <c r="V5662">
        <v>0.21096429999999999</v>
      </c>
      <c r="W5662">
        <v>0.1571525</v>
      </c>
      <c r="X5662">
        <v>0.96477829999999998</v>
      </c>
      <c r="Y5662">
        <v>0.36646240000000002</v>
      </c>
      <c r="Z5662">
        <v>-1.23283E-2</v>
      </c>
      <c r="AA5662">
        <v>0.93035120000000004</v>
      </c>
      <c r="AB5662">
        <v>23</v>
      </c>
      <c r="AC5662">
        <v>17.296600000000002</v>
      </c>
      <c r="AD5662">
        <v>-1.1191888364060001</v>
      </c>
      <c r="AE5662">
        <v>-7.5551000000000004</v>
      </c>
      <c r="AF5662">
        <v>6.9797501289333601</v>
      </c>
      <c r="AG5662">
        <v>-1.1191888364060001</v>
      </c>
      <c r="AH5662">
        <v>17.4654796386843</v>
      </c>
      <c r="AI5662">
        <v>93.405335545159005</v>
      </c>
      <c r="AJ5662">
        <v>68.216810230943494</v>
      </c>
      <c r="AK5662">
        <v>18.841774717981799</v>
      </c>
      <c r="AL5662">
        <v>80.958344461343501</v>
      </c>
      <c r="AM5662">
        <v>77.665500860660103</v>
      </c>
      <c r="AN5662">
        <v>1.0000000061408101</v>
      </c>
    </row>
    <row r="5663" spans="1:40" x14ac:dyDescent="0.25">
      <c r="A5663" t="str">
        <f>"20190303162025799"</f>
        <v>20190303162025799</v>
      </c>
      <c r="B5663" t="str">
        <f>"1551601225788275"</f>
        <v>1551601225788275</v>
      </c>
      <c r="C5663" t="s">
        <v>40</v>
      </c>
      <c r="D5663">
        <v>5.097054</v>
      </c>
      <c r="E5663">
        <v>0.56859019999999905</v>
      </c>
      <c r="F5663" t="s">
        <v>49</v>
      </c>
      <c r="G5663">
        <v>-198.8192</v>
      </c>
      <c r="H5663" s="1">
        <v>3.296482E-6</v>
      </c>
      <c r="I5663">
        <v>207.88239999999999</v>
      </c>
      <c r="J5663">
        <v>-216.24209999999999</v>
      </c>
      <c r="K5663">
        <v>1.1190580000000001</v>
      </c>
      <c r="L5663">
        <v>215.68389999999999</v>
      </c>
      <c r="M5663">
        <v>0.99926320000000002</v>
      </c>
      <c r="N5663">
        <v>-1.382475E-2</v>
      </c>
      <c r="O5663">
        <v>-3.5806310000000001E-2</v>
      </c>
      <c r="P5663">
        <v>0.95744739999999995</v>
      </c>
      <c r="Q5663">
        <v>0.1445446</v>
      </c>
      <c r="R5663">
        <v>-0.24980289999999999</v>
      </c>
      <c r="S5663">
        <v>2.8383029999999998</v>
      </c>
      <c r="T5663">
        <v>-0.1798787</v>
      </c>
      <c r="U5663">
        <v>-1.255844</v>
      </c>
      <c r="V5663">
        <v>0.21634790000000001</v>
      </c>
      <c r="W5663">
        <v>0.15652199999999999</v>
      </c>
      <c r="X5663">
        <v>0.96368799999999999</v>
      </c>
      <c r="Y5663">
        <v>0.37087759999999997</v>
      </c>
      <c r="Z5663">
        <v>-1.221059E-2</v>
      </c>
      <c r="AA5663">
        <v>0.92860140000000002</v>
      </c>
      <c r="AB5663">
        <v>23</v>
      </c>
      <c r="AC5663">
        <v>17.422899999999998</v>
      </c>
      <c r="AD5663">
        <v>-1.1190547035179901</v>
      </c>
      <c r="AE5663">
        <v>-7.8014999999999999</v>
      </c>
      <c r="AF5663">
        <v>7.14802376032209</v>
      </c>
      <c r="AG5663">
        <v>-1.1190547035179901</v>
      </c>
      <c r="AH5663">
        <v>17.630510121317698</v>
      </c>
      <c r="AI5663">
        <v>93.366371482408894</v>
      </c>
      <c r="AJ5663">
        <v>67.930650045972499</v>
      </c>
      <c r="AK5663">
        <v>19.057319177824599</v>
      </c>
      <c r="AL5663">
        <v>80.994922570154998</v>
      </c>
      <c r="AM5663">
        <v>77.346890069810499</v>
      </c>
      <c r="AN5663">
        <v>1.0000000558312001</v>
      </c>
    </row>
    <row r="5664" spans="1:40" x14ac:dyDescent="0.25">
      <c r="A5664" t="str">
        <f>"20190303162025823"</f>
        <v>20190303162025823</v>
      </c>
      <c r="B5664" t="str">
        <f>"1551601225818532"</f>
        <v>1551601225818532</v>
      </c>
      <c r="C5664" t="s">
        <v>40</v>
      </c>
      <c r="D5664">
        <v>4.9680929999999996</v>
      </c>
      <c r="E5664">
        <v>0.56840590000000002</v>
      </c>
      <c r="F5664" t="s">
        <v>49</v>
      </c>
      <c r="G5664">
        <v>-198.98519999999999</v>
      </c>
      <c r="H5664" s="1">
        <v>3.2687230000000001E-6</v>
      </c>
      <c r="I5664">
        <v>207.87610000000001</v>
      </c>
      <c r="J5664">
        <v>-216.006</v>
      </c>
      <c r="K5664">
        <v>1.1189100000000001</v>
      </c>
      <c r="L5664">
        <v>215.6705</v>
      </c>
      <c r="M5664">
        <v>0.99909550000000003</v>
      </c>
      <c r="N5664">
        <v>-1.3835739999999999E-2</v>
      </c>
      <c r="O5664">
        <v>-4.0211690000000001E-2</v>
      </c>
      <c r="P5664">
        <v>0.95525289999999996</v>
      </c>
      <c r="Q5664">
        <v>0.14347879999999999</v>
      </c>
      <c r="R5664">
        <v>-0.2586619</v>
      </c>
      <c r="S5664">
        <v>2.8272710000000001</v>
      </c>
      <c r="T5664">
        <v>-0.1833389</v>
      </c>
      <c r="U5664">
        <v>-1.27919</v>
      </c>
      <c r="V5664">
        <v>0.22107769999999999</v>
      </c>
      <c r="W5664">
        <v>0.15534400000000001</v>
      </c>
      <c r="X5664">
        <v>0.96280469999999896</v>
      </c>
      <c r="Y5664">
        <v>0.37447560000000002</v>
      </c>
      <c r="Z5664">
        <v>-1.2333709999999999E-2</v>
      </c>
      <c r="AA5664">
        <v>0.9271547</v>
      </c>
      <c r="AB5664">
        <v>23</v>
      </c>
      <c r="AC5664">
        <v>17.020799999999898</v>
      </c>
      <c r="AD5664">
        <v>-1.118906731277</v>
      </c>
      <c r="AE5664">
        <v>-7.7943999999999898</v>
      </c>
      <c r="AF5664">
        <v>7.0783080756259</v>
      </c>
      <c r="AG5664">
        <v>-1.118906731277</v>
      </c>
      <c r="AH5664">
        <v>17.258832744313899</v>
      </c>
      <c r="AI5664">
        <v>93.432620057479099</v>
      </c>
      <c r="AJ5664">
        <v>67.700156554273306</v>
      </c>
      <c r="AK5664">
        <v>18.6874745533732</v>
      </c>
      <c r="AL5664">
        <v>81.063252328173107</v>
      </c>
      <c r="AM5664">
        <v>77.068001358930005</v>
      </c>
      <c r="AN5664">
        <v>0.99999999905768899</v>
      </c>
    </row>
    <row r="5665" spans="1:40" x14ac:dyDescent="0.25">
      <c r="A5665" t="str">
        <f>"20190303162025845"</f>
        <v>20190303162025845</v>
      </c>
      <c r="B5665" t="str">
        <f>"1551601225838052"</f>
        <v>1551601225838052</v>
      </c>
      <c r="C5665" t="s">
        <v>40</v>
      </c>
      <c r="D5665">
        <v>4.9625680000000001</v>
      </c>
      <c r="E5665">
        <v>0.5682102</v>
      </c>
      <c r="F5665" t="s">
        <v>49</v>
      </c>
      <c r="G5665">
        <v>-198.54050000000001</v>
      </c>
      <c r="H5665" s="1">
        <v>3.4269810000000001E-6</v>
      </c>
      <c r="I5665">
        <v>207.5763</v>
      </c>
      <c r="J5665">
        <v>-215.78219999999999</v>
      </c>
      <c r="K5665">
        <v>1.1187720000000001</v>
      </c>
      <c r="L5665">
        <v>215.65649999999999</v>
      </c>
      <c r="M5665">
        <v>0.99890919999999905</v>
      </c>
      <c r="N5665">
        <v>-1.3846809999999999E-2</v>
      </c>
      <c r="O5665">
        <v>-4.4596810000000001E-2</v>
      </c>
      <c r="P5665">
        <v>0.95307929999999996</v>
      </c>
      <c r="Q5665">
        <v>0.14365249999999999</v>
      </c>
      <c r="R5665">
        <v>-0.26646690000000001</v>
      </c>
      <c r="S5665">
        <v>2.8144529999999999</v>
      </c>
      <c r="T5665">
        <v>-0.18030460000000001</v>
      </c>
      <c r="U5665">
        <v>-1.3043209999999901</v>
      </c>
      <c r="V5665">
        <v>0.2247874</v>
      </c>
      <c r="W5665">
        <v>0.15541650000000001</v>
      </c>
      <c r="X5665">
        <v>0.9619337</v>
      </c>
      <c r="Y5665">
        <v>0.37884040000000002</v>
      </c>
      <c r="Z5665">
        <v>-1.2168679999999999E-2</v>
      </c>
      <c r="AA5665">
        <v>0.92538200000000004</v>
      </c>
      <c r="AB5665">
        <v>23</v>
      </c>
      <c r="AC5665">
        <v>17.241699999999899</v>
      </c>
      <c r="AD5665">
        <v>-1.11876857301899</v>
      </c>
      <c r="AE5665">
        <v>-8.0801999999999907</v>
      </c>
      <c r="AF5665">
        <v>7.2780356367631303</v>
      </c>
      <c r="AG5665">
        <v>-1.11876857301899</v>
      </c>
      <c r="AH5665">
        <v>17.524430525640199</v>
      </c>
      <c r="AI5665">
        <v>93.374144434870999</v>
      </c>
      <c r="AJ5665">
        <v>67.446498788724298</v>
      </c>
      <c r="AK5665">
        <v>19.008606237648198</v>
      </c>
      <c r="AL5665">
        <v>81.059047803287598</v>
      </c>
      <c r="AM5665">
        <v>76.846987814445001</v>
      </c>
      <c r="AN5665">
        <v>1.00000005343334</v>
      </c>
    </row>
    <row r="5666" spans="1:40" x14ac:dyDescent="0.25">
      <c r="A5666" t="str">
        <f>"20190303162025868"</f>
        <v>20190303162025868</v>
      </c>
      <c r="B5666" t="str">
        <f>"1551601225858548"</f>
        <v>1551601225858548</v>
      </c>
      <c r="C5666" t="s">
        <v>40</v>
      </c>
      <c r="D5666">
        <v>4.926247</v>
      </c>
      <c r="E5666">
        <v>0.56794199999999995</v>
      </c>
      <c r="F5666" t="s">
        <v>49</v>
      </c>
      <c r="G5666">
        <v>-198.0949</v>
      </c>
      <c r="H5666" s="1">
        <v>3.5807350000000002E-6</v>
      </c>
      <c r="I5666">
        <v>207.29419999999999</v>
      </c>
      <c r="J5666">
        <v>-215.5488</v>
      </c>
      <c r="K5666">
        <v>1.118649</v>
      </c>
      <c r="L5666">
        <v>215.6405</v>
      </c>
      <c r="M5666">
        <v>0.99868449999999998</v>
      </c>
      <c r="N5666">
        <v>-1.385748E-2</v>
      </c>
      <c r="O5666">
        <v>-4.9370169999999998E-2</v>
      </c>
      <c r="P5666">
        <v>0.9501465</v>
      </c>
      <c r="Q5666">
        <v>0.14376639999999999</v>
      </c>
      <c r="R5666">
        <v>-0.27668310000000002</v>
      </c>
      <c r="S5666">
        <v>2.8037869999999998</v>
      </c>
      <c r="T5666">
        <v>-0.17734720000000001</v>
      </c>
      <c r="U5666">
        <v>-1.3255920000000001</v>
      </c>
      <c r="V5666">
        <v>0.2305711</v>
      </c>
      <c r="W5666">
        <v>0.1554161</v>
      </c>
      <c r="X5666">
        <v>0.96056379999999997</v>
      </c>
      <c r="Y5666">
        <v>0.38153280000000001</v>
      </c>
      <c r="Z5666">
        <v>-1.192589E-2</v>
      </c>
      <c r="AA5666">
        <v>0.92427839999999994</v>
      </c>
      <c r="AB5666">
        <v>23</v>
      </c>
      <c r="AC5666">
        <v>17.453900000000001</v>
      </c>
      <c r="AD5666">
        <v>-1.1186454192649999</v>
      </c>
      <c r="AE5666">
        <v>-8.34630000000001</v>
      </c>
      <c r="AF5666">
        <v>7.4494303294700801</v>
      </c>
      <c r="AG5666">
        <v>-1.1186454192649999</v>
      </c>
      <c r="AH5666">
        <v>17.785249411256899</v>
      </c>
      <c r="AI5666">
        <v>93.320232943403894</v>
      </c>
      <c r="AJ5666">
        <v>67.273411785386003</v>
      </c>
      <c r="AK5666">
        <v>19.314773527750301</v>
      </c>
      <c r="AL5666">
        <v>81.059070567656804</v>
      </c>
      <c r="AM5666">
        <v>76.502248312262097</v>
      </c>
      <c r="AN5666">
        <v>1.00000000508243</v>
      </c>
    </row>
    <row r="5667" spans="1:40" x14ac:dyDescent="0.25">
      <c r="A5667" t="str">
        <f>"20190303162025901"</f>
        <v>20190303162025901</v>
      </c>
      <c r="B5667" t="str">
        <f>"1551601225887828"</f>
        <v>1551601225887828</v>
      </c>
      <c r="C5667" t="s">
        <v>40</v>
      </c>
      <c r="D5667">
        <v>4.9132550000000004</v>
      </c>
      <c r="E5667">
        <v>0.56741280000000005</v>
      </c>
      <c r="F5667" t="s">
        <v>49</v>
      </c>
      <c r="G5667">
        <v>-197.80420000000001</v>
      </c>
      <c r="H5667" s="1">
        <v>3.6986949999999999E-6</v>
      </c>
      <c r="I5667">
        <v>207.04339999999999</v>
      </c>
      <c r="J5667">
        <v>-215.2106</v>
      </c>
      <c r="K5667">
        <v>1.118528</v>
      </c>
      <c r="L5667">
        <v>215.61510000000001</v>
      </c>
      <c r="M5667">
        <v>0.9983052</v>
      </c>
      <c r="N5667">
        <v>-1.386915E-2</v>
      </c>
      <c r="O5667">
        <v>-5.6520729999999998E-2</v>
      </c>
      <c r="P5667">
        <v>0.94685129999999995</v>
      </c>
      <c r="Q5667">
        <v>0.1418218</v>
      </c>
      <c r="R5667">
        <v>-0.28872049999999999</v>
      </c>
      <c r="S5667">
        <v>2.790359</v>
      </c>
      <c r="T5667">
        <v>-0.17590810000000001</v>
      </c>
      <c r="U5667">
        <v>-1.351898</v>
      </c>
      <c r="V5667">
        <v>0.2358981</v>
      </c>
      <c r="W5667">
        <v>0.15337419999999999</v>
      </c>
      <c r="X5667">
        <v>0.95959810000000001</v>
      </c>
      <c r="Y5667">
        <v>0.38372499999999998</v>
      </c>
      <c r="Z5667">
        <v>-1.163728E-2</v>
      </c>
      <c r="AA5667">
        <v>0.92337409999999998</v>
      </c>
      <c r="AB5667">
        <v>23</v>
      </c>
      <c r="AC5667">
        <v>17.406399999999898</v>
      </c>
      <c r="AD5667">
        <v>-1.1185243013049999</v>
      </c>
      <c r="AE5667">
        <v>-8.5717000000000194</v>
      </c>
      <c r="AF5667">
        <v>7.5489899910083196</v>
      </c>
      <c r="AG5667">
        <v>-1.1185243013049999</v>
      </c>
      <c r="AH5667">
        <v>17.803925892407101</v>
      </c>
      <c r="AI5667">
        <v>93.310303356900206</v>
      </c>
      <c r="AJ5667">
        <v>67.022713401229296</v>
      </c>
      <c r="AK5667">
        <v>19.370547841485401</v>
      </c>
      <c r="AL5667">
        <v>81.177482976703004</v>
      </c>
      <c r="AM5667">
        <v>76.188839731367395</v>
      </c>
      <c r="AN5667">
        <v>1.0000000361664201</v>
      </c>
    </row>
    <row r="5668" spans="1:40" x14ac:dyDescent="0.25">
      <c r="A5668" t="str">
        <f>"20190303162025922"</f>
        <v>20190303162025922</v>
      </c>
      <c r="B5668" t="str">
        <f>"1551601225918084"</f>
        <v>1551601225918084</v>
      </c>
      <c r="C5668" t="s">
        <v>40</v>
      </c>
      <c r="D5668">
        <v>4.8761789999999996</v>
      </c>
      <c r="E5668">
        <v>0.56678409999999901</v>
      </c>
      <c r="F5668" t="s">
        <v>49</v>
      </c>
      <c r="G5668">
        <v>-198.0712</v>
      </c>
      <c r="H5668" s="1">
        <v>3.6390880000000001E-6</v>
      </c>
      <c r="I5668">
        <v>207.08969999999999</v>
      </c>
      <c r="J5668">
        <v>-214.9845</v>
      </c>
      <c r="K5668">
        <v>1.1184909999999999</v>
      </c>
      <c r="L5668">
        <v>215.5967</v>
      </c>
      <c r="M5668">
        <v>0.99801790000000001</v>
      </c>
      <c r="N5668">
        <v>-1.38739E-2</v>
      </c>
      <c r="O5668">
        <v>-6.1382480000000003E-2</v>
      </c>
      <c r="P5668">
        <v>0.94493919999999998</v>
      </c>
      <c r="Q5668">
        <v>0.1390102</v>
      </c>
      <c r="R5668">
        <v>-0.29625309999999999</v>
      </c>
      <c r="S5668">
        <v>2.7746729999999999</v>
      </c>
      <c r="T5668">
        <v>-0.1810764</v>
      </c>
      <c r="U5668">
        <v>-1.3801730000000001</v>
      </c>
      <c r="V5668">
        <v>0.23883160000000001</v>
      </c>
      <c r="W5668">
        <v>0.15053229999999901</v>
      </c>
      <c r="X5668">
        <v>0.95932249999999997</v>
      </c>
      <c r="Y5668">
        <v>0.3887967</v>
      </c>
      <c r="Z5668">
        <v>-1.1866059999999999E-2</v>
      </c>
      <c r="AA5668">
        <v>0.92124709999999999</v>
      </c>
      <c r="AB5668">
        <v>23</v>
      </c>
      <c r="AC5668">
        <v>16.9132999999999</v>
      </c>
      <c r="AD5668">
        <v>-1.1184873609120001</v>
      </c>
      <c r="AE5668">
        <v>-8.5069999999999997</v>
      </c>
      <c r="AF5668">
        <v>7.4267537980937401</v>
      </c>
      <c r="AG5668">
        <v>-1.1184873609120001</v>
      </c>
      <c r="AH5668">
        <v>17.343099619243599</v>
      </c>
      <c r="AI5668">
        <v>93.392793465708394</v>
      </c>
      <c r="AJ5668">
        <v>66.8181666264325</v>
      </c>
      <c r="AK5668">
        <v>18.8994918015546</v>
      </c>
      <c r="AL5668">
        <v>81.342225349089304</v>
      </c>
      <c r="AM5668">
        <v>76.0199274743632</v>
      </c>
      <c r="AN5668">
        <v>1.0000000827540401</v>
      </c>
    </row>
    <row r="5669" spans="1:40" x14ac:dyDescent="0.25">
      <c r="A5669" t="str">
        <f>"20190303162025945"</f>
        <v>20190303162025945</v>
      </c>
      <c r="B5669" t="str">
        <f>"1551601225938580"</f>
        <v>1551601225938580</v>
      </c>
      <c r="C5669" t="s">
        <v>40</v>
      </c>
      <c r="D5669">
        <v>4.8541349999999897</v>
      </c>
      <c r="E5669">
        <v>0.5663994</v>
      </c>
      <c r="F5669" t="s">
        <v>49</v>
      </c>
      <c r="G5669">
        <v>-198.44040000000001</v>
      </c>
      <c r="H5669" s="1">
        <v>3.533724E-6</v>
      </c>
      <c r="I5669">
        <v>207.24019999999999</v>
      </c>
      <c r="J5669">
        <v>-214.76159999999999</v>
      </c>
      <c r="K5669">
        <v>1.118487</v>
      </c>
      <c r="L5669">
        <v>215.57749999999999</v>
      </c>
      <c r="M5669">
        <v>0.99771180000000004</v>
      </c>
      <c r="N5669">
        <v>-1.3876080000000001E-2</v>
      </c>
      <c r="O5669">
        <v>-6.617352E-2</v>
      </c>
      <c r="P5669">
        <v>0.94336310000000001</v>
      </c>
      <c r="Q5669">
        <v>0.13576460000000001</v>
      </c>
      <c r="R5669">
        <v>-0.30271199999999998</v>
      </c>
      <c r="S5669">
        <v>2.7645110000000002</v>
      </c>
      <c r="T5669">
        <v>-0.18689890000000001</v>
      </c>
      <c r="U5669">
        <v>-1.3963620000000001</v>
      </c>
      <c r="V5669">
        <v>0.24072850000000001</v>
      </c>
      <c r="W5669">
        <v>0.14728920000000001</v>
      </c>
      <c r="X5669">
        <v>0.95935170000000003</v>
      </c>
      <c r="Y5669">
        <v>0.3899899</v>
      </c>
      <c r="Z5669">
        <v>-1.195822E-2</v>
      </c>
      <c r="AA5669">
        <v>0.92074140000000004</v>
      </c>
      <c r="AB5669">
        <v>23</v>
      </c>
      <c r="AC5669">
        <v>16.321199999999902</v>
      </c>
      <c r="AD5669">
        <v>-1.1184834662759999</v>
      </c>
      <c r="AE5669">
        <v>-8.3372999999999902</v>
      </c>
      <c r="AF5669">
        <v>7.2120264768553302</v>
      </c>
      <c r="AG5669">
        <v>-1.1184834662759999</v>
      </c>
      <c r="AH5669">
        <v>16.774704558814499</v>
      </c>
      <c r="AI5669">
        <v>93.505294120583102</v>
      </c>
      <c r="AJ5669">
        <v>66.735456000225895</v>
      </c>
      <c r="AK5669">
        <v>18.2935793163259</v>
      </c>
      <c r="AL5669">
        <v>81.530135761983402</v>
      </c>
      <c r="AM5669">
        <v>75.913707995565304</v>
      </c>
      <c r="AN5669">
        <v>1.0000000017208801</v>
      </c>
    </row>
    <row r="5670" spans="1:40" x14ac:dyDescent="0.25">
      <c r="A5670" t="str">
        <f>"20190303162025967"</f>
        <v>20190303162025967</v>
      </c>
      <c r="B5670" t="str">
        <f>"1551601225958100"</f>
        <v>1551601225958100</v>
      </c>
      <c r="C5670" t="s">
        <v>40</v>
      </c>
      <c r="D5670">
        <v>4.8399150000000004</v>
      </c>
      <c r="E5670">
        <v>0.56606109999999998</v>
      </c>
      <c r="F5670" t="s">
        <v>49</v>
      </c>
      <c r="G5670">
        <v>-198.92259999999999</v>
      </c>
      <c r="H5670" s="1">
        <v>3.3897540000000001E-6</v>
      </c>
      <c r="I5670">
        <v>207.46090000000001</v>
      </c>
      <c r="J5670">
        <v>-214.5361</v>
      </c>
      <c r="K5670">
        <v>1.1185350000000001</v>
      </c>
      <c r="L5670">
        <v>215.55690000000001</v>
      </c>
      <c r="M5670">
        <v>0.99738289999999996</v>
      </c>
      <c r="N5670">
        <v>-1.3875470000000001E-2</v>
      </c>
      <c r="O5670">
        <v>-7.0957039999999999E-2</v>
      </c>
      <c r="P5670">
        <v>0.94176599999999999</v>
      </c>
      <c r="Q5670">
        <v>0.13163910000000001</v>
      </c>
      <c r="R5670">
        <v>-0.3094325</v>
      </c>
      <c r="S5670">
        <v>2.7550810000000001</v>
      </c>
      <c r="T5670">
        <v>-0.1945528</v>
      </c>
      <c r="U5670">
        <v>-1.4118189999999999</v>
      </c>
      <c r="V5670">
        <v>0.24288100000000001</v>
      </c>
      <c r="W5670">
        <v>0.1431828</v>
      </c>
      <c r="X5670">
        <v>0.95943080000000003</v>
      </c>
      <c r="Y5670">
        <v>0.39088790000000001</v>
      </c>
      <c r="Z5670">
        <v>-1.2098090000000001E-2</v>
      </c>
      <c r="AA5670">
        <v>0.92035880000000003</v>
      </c>
      <c r="AB5670">
        <v>23</v>
      </c>
      <c r="AC5670">
        <v>15.6135</v>
      </c>
      <c r="AD5670">
        <v>-1.1185316102459999</v>
      </c>
      <c r="AE5670">
        <v>-8.0960000000000001</v>
      </c>
      <c r="AF5670">
        <v>6.9395268526514098</v>
      </c>
      <c r="AG5670">
        <v>-1.1185316102459999</v>
      </c>
      <c r="AH5670">
        <v>16.083607767288299</v>
      </c>
      <c r="AI5670">
        <v>93.653642536031498</v>
      </c>
      <c r="AJ5670">
        <v>66.661453742427994</v>
      </c>
      <c r="AK5670">
        <v>17.552509356606699</v>
      </c>
      <c r="AL5670">
        <v>81.767936520854093</v>
      </c>
      <c r="AM5670">
        <v>75.793956360737795</v>
      </c>
      <c r="AN5670">
        <v>0.99999997718273903</v>
      </c>
    </row>
    <row r="5671" spans="1:40" x14ac:dyDescent="0.25">
      <c r="A5671" t="str">
        <f>"20190303162025990"</f>
        <v>20190303162025990</v>
      </c>
      <c r="B5671" t="str">
        <f>"1551601225978596"</f>
        <v>1551601225978596</v>
      </c>
      <c r="C5671" t="s">
        <v>40</v>
      </c>
      <c r="D5671">
        <v>4.7944180000000003</v>
      </c>
      <c r="E5671">
        <v>0.56589690000000004</v>
      </c>
      <c r="F5671" t="s">
        <v>49</v>
      </c>
      <c r="G5671">
        <v>-199.57509999999999</v>
      </c>
      <c r="H5671" s="1">
        <v>3.189896E-6</v>
      </c>
      <c r="I5671">
        <v>207.77860000000001</v>
      </c>
      <c r="J5671">
        <v>-214.30629999999999</v>
      </c>
      <c r="K5671">
        <v>1.1185969999999901</v>
      </c>
      <c r="L5671">
        <v>215.53489999999999</v>
      </c>
      <c r="M5671">
        <v>0.99703070000000005</v>
      </c>
      <c r="N5671">
        <v>-1.3872840000000001E-2</v>
      </c>
      <c r="O5671">
        <v>-7.5745750000000001E-2</v>
      </c>
      <c r="P5671">
        <v>0.9402372</v>
      </c>
      <c r="Q5671">
        <v>0.12782739999999901</v>
      </c>
      <c r="R5671">
        <v>-0.31561790000000001</v>
      </c>
      <c r="S5671">
        <v>2.7452700000000001</v>
      </c>
      <c r="T5671">
        <v>-0.20524529999999999</v>
      </c>
      <c r="U5671">
        <v>-1.4272769999999999</v>
      </c>
      <c r="V5671">
        <v>0.2444914</v>
      </c>
      <c r="W5671">
        <v>0.13940259999999999</v>
      </c>
      <c r="X5671">
        <v>0.9595785</v>
      </c>
      <c r="Y5671">
        <v>0.39181080000000001</v>
      </c>
      <c r="Z5671">
        <v>-1.2342219999999999E-2</v>
      </c>
      <c r="AA5671">
        <v>0.91996299999999998</v>
      </c>
      <c r="AB5671">
        <v>23</v>
      </c>
      <c r="AC5671">
        <v>14.731199999999999</v>
      </c>
      <c r="AD5671">
        <v>-1.1185938101039901</v>
      </c>
      <c r="AE5671">
        <v>-7.75629999999998</v>
      </c>
      <c r="AF5671">
        <v>6.5883375390908698</v>
      </c>
      <c r="AG5671">
        <v>-1.1185938101039901</v>
      </c>
      <c r="AH5671">
        <v>15.2077806383669</v>
      </c>
      <c r="AI5671">
        <v>93.861190070604493</v>
      </c>
      <c r="AJ5671">
        <v>66.5767020069447</v>
      </c>
      <c r="AK5671">
        <v>16.6112623116272</v>
      </c>
      <c r="AL5671">
        <v>81.986721341066598</v>
      </c>
      <c r="AM5671">
        <v>75.705724124941199</v>
      </c>
      <c r="AN5671">
        <v>1.0000000136114799</v>
      </c>
    </row>
    <row r="5672" spans="1:40" x14ac:dyDescent="0.25">
      <c r="A5672" t="str">
        <f>"20190303162026011"</f>
        <v>20190303162026011</v>
      </c>
      <c r="B5672" t="str">
        <f>"1551601226007877"</f>
        <v>1551601226007877</v>
      </c>
      <c r="C5672" t="s">
        <v>40</v>
      </c>
      <c r="D5672">
        <v>4.8070879999999896</v>
      </c>
      <c r="E5672">
        <v>0.55826929999999997</v>
      </c>
      <c r="F5672" t="s">
        <v>49</v>
      </c>
      <c r="G5672">
        <v>-201.14660000000001</v>
      </c>
      <c r="H5672">
        <v>8.0001080000000002E-2</v>
      </c>
      <c r="I5672">
        <v>208.59200000000001</v>
      </c>
      <c r="J5672">
        <v>-214.0856</v>
      </c>
      <c r="K5672">
        <v>1.118663</v>
      </c>
      <c r="L5672">
        <v>215.5128</v>
      </c>
      <c r="M5672">
        <v>0.99667839999999996</v>
      </c>
      <c r="N5672">
        <v>-1.386924E-2</v>
      </c>
      <c r="O5672">
        <v>-8.0250370000000001E-2</v>
      </c>
      <c r="P5672">
        <v>0.93886360000000002</v>
      </c>
      <c r="Q5672">
        <v>0.12602249999999901</v>
      </c>
      <c r="R5672">
        <v>-0.32039649999999997</v>
      </c>
      <c r="S5672">
        <v>2.7355960000000001</v>
      </c>
      <c r="T5672">
        <v>-0.21589910000000001</v>
      </c>
      <c r="U5672">
        <v>-1.4432529999999999</v>
      </c>
      <c r="V5672">
        <v>0.24497920000000001</v>
      </c>
      <c r="W5672">
        <v>0.1376378</v>
      </c>
      <c r="X5672">
        <v>0.95970880000000003</v>
      </c>
      <c r="Y5672">
        <v>0.3931132</v>
      </c>
      <c r="Z5672">
        <v>-1.258711E-2</v>
      </c>
      <c r="AA5672">
        <v>0.919404</v>
      </c>
      <c r="AB5672">
        <v>23</v>
      </c>
      <c r="AC5672">
        <v>12.938999999999901</v>
      </c>
      <c r="AD5672">
        <v>-1.03866192</v>
      </c>
      <c r="AE5672">
        <v>-6.9207999999999803</v>
      </c>
      <c r="AF5672">
        <v>5.8308003215415702</v>
      </c>
      <c r="AG5672">
        <v>-1.03866192</v>
      </c>
      <c r="AH5672">
        <v>13.3856427717503</v>
      </c>
      <c r="AI5672">
        <v>94.069106430701893</v>
      </c>
      <c r="AJ5672">
        <v>66.462007110533406</v>
      </c>
      <c r="AK5672">
        <v>14.6373659989309</v>
      </c>
      <c r="AL5672">
        <v>82.088820933791297</v>
      </c>
      <c r="AM5672">
        <v>75.680241281631595</v>
      </c>
      <c r="AN5672">
        <v>0.99999997660945905</v>
      </c>
    </row>
    <row r="5673" spans="1:40" x14ac:dyDescent="0.25">
      <c r="A5673" t="str">
        <f>"20190303162026035"</f>
        <v>20190303162026035</v>
      </c>
      <c r="B5673" t="str">
        <f>"1551601226028372"</f>
        <v>1551601226028372</v>
      </c>
      <c r="C5673" t="s">
        <v>40</v>
      </c>
      <c r="D5673">
        <v>4.8239710000000002</v>
      </c>
      <c r="E5673">
        <v>0.55823979999999995</v>
      </c>
      <c r="F5673" t="s">
        <v>49</v>
      </c>
      <c r="G5673">
        <v>-194.31290000000001</v>
      </c>
      <c r="H5673" s="1">
        <v>4.9317639999999998E-6</v>
      </c>
      <c r="I5673">
        <v>205.40629999999999</v>
      </c>
      <c r="J5673">
        <v>-213.85579999999999</v>
      </c>
      <c r="K5673">
        <v>1.118741</v>
      </c>
      <c r="L5673">
        <v>215.4888</v>
      </c>
      <c r="M5673">
        <v>0.99629829999999997</v>
      </c>
      <c r="N5673">
        <v>-1.386475E-2</v>
      </c>
      <c r="O5673">
        <v>-8.4837850000000006E-2</v>
      </c>
      <c r="P5673">
        <v>0.93728319999999998</v>
      </c>
      <c r="Q5673">
        <v>0.12706809999999999</v>
      </c>
      <c r="R5673">
        <v>-0.32458239999999999</v>
      </c>
      <c r="S5673">
        <v>2.7385100000000002</v>
      </c>
      <c r="T5673">
        <v>-0.15493309999999999</v>
      </c>
      <c r="U5673">
        <v>-1.399734</v>
      </c>
      <c r="V5673">
        <v>0.24483679999999999</v>
      </c>
      <c r="W5673">
        <v>0.1387236</v>
      </c>
      <c r="X5673">
        <v>0.95958880000000002</v>
      </c>
      <c r="Y5673">
        <v>0.37737910000000002</v>
      </c>
      <c r="Z5673">
        <v>-9.4432030000000007E-3</v>
      </c>
      <c r="AA5673">
        <v>0.92601069999999996</v>
      </c>
      <c r="AB5673">
        <v>23</v>
      </c>
      <c r="AC5673">
        <v>19.5428999999999</v>
      </c>
      <c r="AD5673">
        <v>-1.1187360682359999</v>
      </c>
      <c r="AE5673">
        <v>-10.0825</v>
      </c>
      <c r="AF5673">
        <v>8.3663530965198394</v>
      </c>
      <c r="AG5673">
        <v>-1.1187360682359999</v>
      </c>
      <c r="AH5673">
        <v>20.275414323325801</v>
      </c>
      <c r="AI5673">
        <v>92.919857735486403</v>
      </c>
      <c r="AJ5673">
        <v>67.577224538676802</v>
      </c>
      <c r="AK5673">
        <v>21.9622371471702</v>
      </c>
      <c r="AL5673">
        <v>82.026006626733803</v>
      </c>
      <c r="AM5673">
        <v>75.686506749543696</v>
      </c>
      <c r="AN5673">
        <v>0.99999998045831895</v>
      </c>
    </row>
    <row r="5674" spans="1:40" x14ac:dyDescent="0.25">
      <c r="A5674" t="str">
        <f>"20190303162026057"</f>
        <v>20190303162026057</v>
      </c>
      <c r="B5674" t="str">
        <f>"1551601226047892"</f>
        <v>1551601226047892</v>
      </c>
      <c r="C5674" t="s">
        <v>40</v>
      </c>
      <c r="D5674">
        <v>4.9046430000000001</v>
      </c>
      <c r="E5674">
        <v>0.55179630000000002</v>
      </c>
      <c r="F5674" t="s">
        <v>49</v>
      </c>
      <c r="G5674">
        <v>-194.18170000000001</v>
      </c>
      <c r="H5674" s="1">
        <v>4.9880079999999997E-6</v>
      </c>
      <c r="I5674">
        <v>205.3295</v>
      </c>
      <c r="J5674">
        <v>-213.6292</v>
      </c>
      <c r="K5674">
        <v>1.118825</v>
      </c>
      <c r="L5674">
        <v>215.46430000000001</v>
      </c>
      <c r="M5674">
        <v>0.99591130000000005</v>
      </c>
      <c r="N5674">
        <v>-1.3859659999999999E-2</v>
      </c>
      <c r="O5674">
        <v>-8.9267029999999997E-2</v>
      </c>
      <c r="P5674">
        <v>0.9356257</v>
      </c>
      <c r="Q5674">
        <v>0.12919910000000001</v>
      </c>
      <c r="R5674">
        <v>-0.32850030000000002</v>
      </c>
      <c r="S5674">
        <v>2.7330930000000002</v>
      </c>
      <c r="T5674">
        <v>-0.15541329999999901</v>
      </c>
      <c r="U5674">
        <v>-1.411316</v>
      </c>
      <c r="V5674">
        <v>0.24460100000000001</v>
      </c>
      <c r="W5674">
        <v>0.14088789999999901</v>
      </c>
      <c r="X5674">
        <v>0.95933360000000001</v>
      </c>
      <c r="Y5674">
        <v>0.37710949999999999</v>
      </c>
      <c r="Z5674">
        <v>-9.2812520000000003E-3</v>
      </c>
      <c r="AA5674">
        <v>0.92612220000000001</v>
      </c>
      <c r="AB5674">
        <v>23</v>
      </c>
      <c r="AC5674">
        <v>19.447499999999899</v>
      </c>
      <c r="AD5674">
        <v>-1.118820011992</v>
      </c>
      <c r="AE5674">
        <v>-10.1348</v>
      </c>
      <c r="AF5674">
        <v>8.3364455646880806</v>
      </c>
      <c r="AG5674">
        <v>-1.118820011992</v>
      </c>
      <c r="AH5674">
        <v>20.222001057779099</v>
      </c>
      <c r="AI5674">
        <v>92.928176792424395</v>
      </c>
      <c r="AJ5674">
        <v>67.596274762435996</v>
      </c>
      <c r="AK5674">
        <v>21.901538979100501</v>
      </c>
      <c r="AL5674">
        <v>81.900771583434505</v>
      </c>
      <c r="AM5674">
        <v>75.696078242977904</v>
      </c>
      <c r="AN5674">
        <v>1.0000000028281799</v>
      </c>
    </row>
    <row r="5675" spans="1:40" x14ac:dyDescent="0.25">
      <c r="A5675" t="str">
        <f>"20190303162026081"</f>
        <v>20190303162026081</v>
      </c>
      <c r="B5675" t="str">
        <f>"1551601226068388"</f>
        <v>1551601226068388</v>
      </c>
      <c r="C5675" t="s">
        <v>40</v>
      </c>
      <c r="D5675">
        <v>4.825774</v>
      </c>
      <c r="E5675">
        <v>0.55236580000000002</v>
      </c>
      <c r="F5675" t="s">
        <v>49</v>
      </c>
      <c r="G5675">
        <v>-199.27619999999999</v>
      </c>
      <c r="H5675" s="1">
        <v>3.1043040000000002E-6</v>
      </c>
      <c r="I5675">
        <v>208.30199999999999</v>
      </c>
      <c r="J5675">
        <v>-213.39169999999999</v>
      </c>
      <c r="K5675">
        <v>1.118897</v>
      </c>
      <c r="L5675">
        <v>215.4375</v>
      </c>
      <c r="M5675">
        <v>0.99549100000000001</v>
      </c>
      <c r="N5675">
        <v>-1.3854129999999999E-2</v>
      </c>
      <c r="O5675">
        <v>-9.3839549999999994E-2</v>
      </c>
      <c r="P5675">
        <v>0.93414989999999998</v>
      </c>
      <c r="Q5675">
        <v>0.13031509999999999</v>
      </c>
      <c r="R5675">
        <v>-0.33223770000000002</v>
      </c>
      <c r="S5675">
        <v>2.7536010000000002</v>
      </c>
      <c r="T5675">
        <v>-0.21464440000000001</v>
      </c>
      <c r="U5675">
        <v>-1.374069</v>
      </c>
      <c r="V5675">
        <v>0.2440319</v>
      </c>
      <c r="W5675">
        <v>0.14203489999999999</v>
      </c>
      <c r="X5675">
        <v>0.95930939999999998</v>
      </c>
      <c r="Y5675">
        <v>0.35966100000000001</v>
      </c>
      <c r="Z5675">
        <v>-1.023726E-2</v>
      </c>
      <c r="AA5675">
        <v>0.93302689999999999</v>
      </c>
      <c r="AB5675">
        <v>22</v>
      </c>
      <c r="AC5675">
        <v>14.1154999999999</v>
      </c>
      <c r="AD5675">
        <v>-1.118893895696</v>
      </c>
      <c r="AE5675">
        <v>-7.1354999999999702</v>
      </c>
      <c r="AF5675">
        <v>5.7505100781171397</v>
      </c>
      <c r="AG5675">
        <v>-1.118893895696</v>
      </c>
      <c r="AH5675">
        <v>14.649544638853</v>
      </c>
      <c r="AI5675">
        <v>94.066662209910604</v>
      </c>
      <c r="AJ5675">
        <v>68.568081980263102</v>
      </c>
      <c r="AK5675">
        <v>15.7774981487592</v>
      </c>
      <c r="AL5675">
        <v>81.834385730621094</v>
      </c>
      <c r="AM5675">
        <v>75.727651951223706</v>
      </c>
      <c r="AN5675">
        <v>1.00000000298198</v>
      </c>
    </row>
    <row r="5676" spans="1:40" x14ac:dyDescent="0.25">
      <c r="A5676" t="str">
        <f>"20190303162026102"</f>
        <v>20190303162026102</v>
      </c>
      <c r="B5676" t="str">
        <f>"1551601226087909"</f>
        <v>1551601226087909</v>
      </c>
      <c r="C5676" t="s">
        <v>40</v>
      </c>
      <c r="D5676">
        <v>4.9063309999999998</v>
      </c>
      <c r="E5676">
        <v>0.55263799999999996</v>
      </c>
      <c r="F5676" t="s">
        <v>49</v>
      </c>
      <c r="G5676">
        <v>-198.18299999999999</v>
      </c>
      <c r="H5676" s="1">
        <v>3.4473710000000001E-6</v>
      </c>
      <c r="I5676">
        <v>207.73869999999999</v>
      </c>
      <c r="J5676">
        <v>-213.1823</v>
      </c>
      <c r="K5676">
        <v>1.118938</v>
      </c>
      <c r="L5676">
        <v>215.41300000000001</v>
      </c>
      <c r="M5676">
        <v>0.99510639999999995</v>
      </c>
      <c r="N5676">
        <v>-1.384966E-2</v>
      </c>
      <c r="O5676">
        <v>-9.7833139999999999E-2</v>
      </c>
      <c r="P5676">
        <v>0.93330800000000003</v>
      </c>
      <c r="Q5676">
        <v>0.12996669999999999</v>
      </c>
      <c r="R5676">
        <v>-0.33473130000000001</v>
      </c>
      <c r="S5676">
        <v>2.7453609999999999</v>
      </c>
      <c r="T5676">
        <v>-0.20197470000000001</v>
      </c>
      <c r="U5676">
        <v>-1.3897250000000001</v>
      </c>
      <c r="V5676">
        <v>0.24272270000000001</v>
      </c>
      <c r="W5676">
        <v>0.14171629999999999</v>
      </c>
      <c r="X5676">
        <v>0.9596886</v>
      </c>
      <c r="Y5676">
        <v>0.36136940000000001</v>
      </c>
      <c r="Z5676">
        <v>-9.7238859999999993E-3</v>
      </c>
      <c r="AA5676">
        <v>0.93237199999999998</v>
      </c>
      <c r="AB5676">
        <v>22</v>
      </c>
      <c r="AC5676">
        <v>14.9993</v>
      </c>
      <c r="AD5676">
        <v>-1.118934552629</v>
      </c>
      <c r="AE5676">
        <v>-7.6742999999999801</v>
      </c>
      <c r="AF5676">
        <v>6.1428159037708703</v>
      </c>
      <c r="AG5676">
        <v>-1.118934552629</v>
      </c>
      <c r="AH5676">
        <v>15.6093604508571</v>
      </c>
      <c r="AI5676">
        <v>93.816215942285396</v>
      </c>
      <c r="AJ5676">
        <v>68.518669574087895</v>
      </c>
      <c r="AK5676">
        <v>16.811851041615501</v>
      </c>
      <c r="AL5676">
        <v>81.852826795126106</v>
      </c>
      <c r="AM5676">
        <v>75.8065004324136</v>
      </c>
      <c r="AN5676">
        <v>1.0000000138754599</v>
      </c>
    </row>
    <row r="5677" spans="1:40" x14ac:dyDescent="0.25">
      <c r="A5677" t="str">
        <f>"20190303162026124"</f>
        <v>20190303162026124</v>
      </c>
      <c r="B5677" t="str">
        <f>"1551601226118164"</f>
        <v>1551601226118164</v>
      </c>
      <c r="C5677" t="s">
        <v>40</v>
      </c>
      <c r="D5677">
        <v>4.8330849999999996</v>
      </c>
      <c r="E5677">
        <v>0.55347930000000001</v>
      </c>
      <c r="F5677" t="s">
        <v>49</v>
      </c>
      <c r="G5677">
        <v>-197.95849999999999</v>
      </c>
      <c r="H5677" s="1">
        <v>3.5136339999999998E-6</v>
      </c>
      <c r="I5677">
        <v>207.63890000000001</v>
      </c>
      <c r="J5677">
        <v>-212.9563</v>
      </c>
      <c r="K5677">
        <v>1.1189629999999999</v>
      </c>
      <c r="L5677">
        <v>215.38570000000001</v>
      </c>
      <c r="M5677">
        <v>0.99467499999999998</v>
      </c>
      <c r="N5677">
        <v>-1.3845390000000001E-2</v>
      </c>
      <c r="O5677">
        <v>-0.1021262</v>
      </c>
      <c r="P5677">
        <v>0.93215910000000002</v>
      </c>
      <c r="Q5677">
        <v>0.12933210000000001</v>
      </c>
      <c r="R5677">
        <v>-0.3381613</v>
      </c>
      <c r="S5677">
        <v>2.7405089999999999</v>
      </c>
      <c r="T5677">
        <v>-0.2014251</v>
      </c>
      <c r="U5677">
        <v>-1.3994599999999999</v>
      </c>
      <c r="V5677">
        <v>0.24208779999999999</v>
      </c>
      <c r="W5677">
        <v>0.14110029999999901</v>
      </c>
      <c r="X5677">
        <v>0.95993969999999995</v>
      </c>
      <c r="Y5677">
        <v>0.36065390000000003</v>
      </c>
      <c r="Z5677">
        <v>-9.4476999999999998E-3</v>
      </c>
      <c r="AA5677">
        <v>0.93265189999999998</v>
      </c>
      <c r="AB5677">
        <v>22</v>
      </c>
      <c r="AC5677">
        <v>14.9978</v>
      </c>
      <c r="AD5677">
        <v>-1.118959486366</v>
      </c>
      <c r="AE5677">
        <v>-7.7468000000000004</v>
      </c>
      <c r="AF5677">
        <v>6.1474601531595097</v>
      </c>
      <c r="AG5677">
        <v>-1.118959486366</v>
      </c>
      <c r="AH5677">
        <v>15.641864239324301</v>
      </c>
      <c r="AI5677">
        <v>93.809067499711503</v>
      </c>
      <c r="AJ5677">
        <v>68.544514868410303</v>
      </c>
      <c r="AK5677">
        <v>16.843730392887</v>
      </c>
      <c r="AL5677">
        <v>81.888479243786307</v>
      </c>
      <c r="AM5677">
        <v>75.845686742978202</v>
      </c>
      <c r="AN5677">
        <v>1.0000000126025099</v>
      </c>
    </row>
    <row r="5678" spans="1:40" x14ac:dyDescent="0.25">
      <c r="A5678" t="str">
        <f>"20190303162026146"</f>
        <v>20190303162026146</v>
      </c>
      <c r="B5678" t="str">
        <f>"1551601226137685"</f>
        <v>1551601226137685</v>
      </c>
      <c r="C5678" t="s">
        <v>40</v>
      </c>
      <c r="D5678">
        <v>4.9112450000000001</v>
      </c>
      <c r="E5678">
        <v>0.55365620000000004</v>
      </c>
      <c r="F5678" t="s">
        <v>49</v>
      </c>
      <c r="G5678">
        <v>-196.8347</v>
      </c>
      <c r="H5678" s="1">
        <v>3.873375E-6</v>
      </c>
      <c r="I5678">
        <v>207.03319999999999</v>
      </c>
      <c r="J5678">
        <v>-212.7405</v>
      </c>
      <c r="K5678">
        <v>1.1189830000000001</v>
      </c>
      <c r="L5678">
        <v>215.3587</v>
      </c>
      <c r="M5678">
        <v>0.99424590000000002</v>
      </c>
      <c r="N5678">
        <v>-1.384176E-2</v>
      </c>
      <c r="O5678">
        <v>-0.10622479999999999</v>
      </c>
      <c r="P5678">
        <v>0.9307107</v>
      </c>
      <c r="Q5678">
        <v>0.12896550000000001</v>
      </c>
      <c r="R5678">
        <v>-0.34226590000000001</v>
      </c>
      <c r="S5678">
        <v>2.7313079999999998</v>
      </c>
      <c r="T5678">
        <v>-0.18957289999999999</v>
      </c>
      <c r="U5678">
        <v>-1.4150700000000001</v>
      </c>
      <c r="V5678">
        <v>0.24235039999999999</v>
      </c>
      <c r="W5678">
        <v>0.14073540000000001</v>
      </c>
      <c r="X5678">
        <v>0.95992699999999997</v>
      </c>
      <c r="Y5678">
        <v>0.362371</v>
      </c>
      <c r="Z5678">
        <v>-8.9971670000000004E-3</v>
      </c>
      <c r="AA5678">
        <v>0.93199050000000006</v>
      </c>
      <c r="AB5678">
        <v>22</v>
      </c>
      <c r="AC5678">
        <v>15.905799999999999</v>
      </c>
      <c r="AD5678">
        <v>-1.118979126625</v>
      </c>
      <c r="AE5678">
        <v>-8.3254999999999999</v>
      </c>
      <c r="AF5678">
        <v>6.5631376291441104</v>
      </c>
      <c r="AG5678">
        <v>-1.118979126625</v>
      </c>
      <c r="AH5678">
        <v>16.635622540821998</v>
      </c>
      <c r="AI5678">
        <v>93.580361481514998</v>
      </c>
      <c r="AJ5678">
        <v>68.469619649745496</v>
      </c>
      <c r="AK5678">
        <v>17.9184493510352</v>
      </c>
      <c r="AL5678">
        <v>81.909597160028</v>
      </c>
      <c r="AM5678">
        <v>75.830771267150496</v>
      </c>
      <c r="AN5678">
        <v>1.0000000072611599</v>
      </c>
    </row>
    <row r="5679" spans="1:40" x14ac:dyDescent="0.25">
      <c r="A5679" t="str">
        <f>"20190303162026168"</f>
        <v>20190303162026168</v>
      </c>
      <c r="B5679" t="str">
        <f>"1551601226158180"</f>
        <v>1551601226158180</v>
      </c>
      <c r="C5679" t="s">
        <v>40</v>
      </c>
      <c r="D5679">
        <v>4.8647460000000002</v>
      </c>
      <c r="E5679">
        <v>0.55387509999999995</v>
      </c>
      <c r="F5679" t="s">
        <v>49</v>
      </c>
      <c r="G5679">
        <v>-196.6293</v>
      </c>
      <c r="H5679" s="1">
        <v>3.941028E-6</v>
      </c>
      <c r="I5679">
        <v>206.9153</v>
      </c>
      <c r="J5679">
        <v>-212.51669999999999</v>
      </c>
      <c r="K5679">
        <v>1.118989</v>
      </c>
      <c r="L5679">
        <v>215.3297</v>
      </c>
      <c r="M5679">
        <v>0.99378160000000004</v>
      </c>
      <c r="N5679">
        <v>-1.3838380000000001E-2</v>
      </c>
      <c r="O5679">
        <v>-0.1104846</v>
      </c>
      <c r="P5679">
        <v>0.92935970000000001</v>
      </c>
      <c r="Q5679">
        <v>0.12898019999999999</v>
      </c>
      <c r="R5679">
        <v>-0.34591159999999999</v>
      </c>
      <c r="S5679">
        <v>2.7244869999999999</v>
      </c>
      <c r="T5679">
        <v>-0.1892259</v>
      </c>
      <c r="U5679">
        <v>-1.427826</v>
      </c>
      <c r="V5679">
        <v>0.24199709999999999</v>
      </c>
      <c r="W5679">
        <v>0.1407543</v>
      </c>
      <c r="X5679">
        <v>0.96001329999999996</v>
      </c>
      <c r="Y5679">
        <v>0.36276589999999997</v>
      </c>
      <c r="Z5679">
        <v>-8.7943090000000002E-3</v>
      </c>
      <c r="AA5679">
        <v>0.93183879999999997</v>
      </c>
      <c r="AB5679">
        <v>22</v>
      </c>
      <c r="AC5679">
        <v>15.8873999999999</v>
      </c>
      <c r="AD5679">
        <v>-1.1189850589720001</v>
      </c>
      <c r="AE5679">
        <v>-8.4144000000000005</v>
      </c>
      <c r="AF5679">
        <v>6.5818964529030497</v>
      </c>
      <c r="AG5679">
        <v>-1.1189850589720001</v>
      </c>
      <c r="AH5679">
        <v>16.655343513939101</v>
      </c>
      <c r="AI5679">
        <v>93.575348985577406</v>
      </c>
      <c r="AJ5679">
        <v>68.436946853094696</v>
      </c>
      <c r="AK5679">
        <v>17.943632743852401</v>
      </c>
      <c r="AL5679">
        <v>81.908502938417698</v>
      </c>
      <c r="AM5679">
        <v>75.851817933515406</v>
      </c>
      <c r="AN5679">
        <v>0.99999995277689302</v>
      </c>
    </row>
    <row r="5680" spans="1:40" x14ac:dyDescent="0.25">
      <c r="A5680" t="str">
        <f>"20190303162026191"</f>
        <v>20190303162026191</v>
      </c>
      <c r="B5680" t="str">
        <f>"1551601226177700"</f>
        <v>1551601226177700</v>
      </c>
      <c r="C5680" t="s">
        <v>40</v>
      </c>
      <c r="D5680">
        <v>4.9020099999999998</v>
      </c>
      <c r="E5680">
        <v>0.55649609999999905</v>
      </c>
      <c r="F5680" t="s">
        <v>49</v>
      </c>
      <c r="G5680">
        <v>-196.31270000000001</v>
      </c>
      <c r="H5680" s="1">
        <v>4.0451660000000002E-6</v>
      </c>
      <c r="I5680">
        <v>206.73410000000001</v>
      </c>
      <c r="J5680">
        <v>-212.29320000000001</v>
      </c>
      <c r="K5680">
        <v>1.1190089999999999</v>
      </c>
      <c r="L5680">
        <v>215.2997</v>
      </c>
      <c r="M5680">
        <v>0.99329750000000006</v>
      </c>
      <c r="N5680">
        <v>-1.3835149999999999E-2</v>
      </c>
      <c r="O5680">
        <v>-0.1147551</v>
      </c>
      <c r="P5680">
        <v>0.92749970000000004</v>
      </c>
      <c r="Q5680">
        <v>0.13229099999999999</v>
      </c>
      <c r="R5680">
        <v>-0.34963349999999999</v>
      </c>
      <c r="S5680">
        <v>2.7175289999999999</v>
      </c>
      <c r="T5680">
        <v>-0.18766189999999999</v>
      </c>
      <c r="U5680">
        <v>-1.4415279999999999</v>
      </c>
      <c r="V5680">
        <v>0.2417909</v>
      </c>
      <c r="W5680">
        <v>0.14405860000000001</v>
      </c>
      <c r="X5680">
        <v>0.95957510000000001</v>
      </c>
      <c r="Y5680">
        <v>0.3634288</v>
      </c>
      <c r="Z5680">
        <v>-8.5736370000000003E-3</v>
      </c>
      <c r="AA5680">
        <v>0.93158249999999998</v>
      </c>
      <c r="AB5680">
        <v>22</v>
      </c>
      <c r="AC5680">
        <v>15.980499999999999</v>
      </c>
      <c r="AD5680">
        <v>-1.119004954834</v>
      </c>
      <c r="AE5680">
        <v>-8.5655999999999892</v>
      </c>
      <c r="AF5680">
        <v>6.6496557142336297</v>
      </c>
      <c r="AG5680">
        <v>-1.119004954834</v>
      </c>
      <c r="AH5680">
        <v>16.7939826820012</v>
      </c>
      <c r="AI5680">
        <v>93.545037643518796</v>
      </c>
      <c r="AJ5680">
        <v>68.398679909843096</v>
      </c>
      <c r="AK5680">
        <v>18.097180651420199</v>
      </c>
      <c r="AL5680">
        <v>81.717231776877</v>
      </c>
      <c r="AM5680">
        <v>75.857193102598401</v>
      </c>
      <c r="AN5680">
        <v>1.00000004604838</v>
      </c>
    </row>
    <row r="5681" spans="1:40" x14ac:dyDescent="0.25">
      <c r="A5681" t="str">
        <f>"20190303162026212"</f>
        <v>20190303162026212</v>
      </c>
      <c r="B5681" t="str">
        <f>"1551601226207956"</f>
        <v>1551601226207956</v>
      </c>
      <c r="C5681" t="s">
        <v>40</v>
      </c>
      <c r="D5681">
        <v>4.9090930000000004</v>
      </c>
      <c r="E5681">
        <v>0.59145749999999997</v>
      </c>
      <c r="F5681" t="s">
        <v>49</v>
      </c>
      <c r="G5681">
        <v>-194.16159999999999</v>
      </c>
      <c r="H5681" s="1">
        <v>4.9624070000000001E-6</v>
      </c>
      <c r="I5681">
        <v>205.41460000000001</v>
      </c>
      <c r="J5681">
        <v>-212.0729</v>
      </c>
      <c r="K5681">
        <v>1.119038</v>
      </c>
      <c r="L5681">
        <v>215.26920000000001</v>
      </c>
      <c r="M5681">
        <v>0.99280060000000003</v>
      </c>
      <c r="N5681">
        <v>-1.383212E-2</v>
      </c>
      <c r="O5681">
        <v>-0.1189781</v>
      </c>
      <c r="P5681">
        <v>0.92400749999999998</v>
      </c>
      <c r="Q5681">
        <v>0.13884150000000001</v>
      </c>
      <c r="R5681">
        <v>-0.35627690000000001</v>
      </c>
      <c r="S5681">
        <v>2.70282</v>
      </c>
      <c r="T5681">
        <v>-0.1668065</v>
      </c>
      <c r="U5681">
        <v>-1.473541</v>
      </c>
      <c r="V5681">
        <v>0.2447522</v>
      </c>
      <c r="W5681">
        <v>0.1505657</v>
      </c>
      <c r="X5681">
        <v>0.9578238</v>
      </c>
      <c r="Y5681">
        <v>0.37021569999999998</v>
      </c>
      <c r="Z5681">
        <v>-8.1600690000000007E-3</v>
      </c>
      <c r="AA5681">
        <v>0.92891000000000001</v>
      </c>
      <c r="AB5681">
        <v>22</v>
      </c>
      <c r="AC5681">
        <v>17.911300000000001</v>
      </c>
      <c r="AD5681">
        <v>-1.119033037593</v>
      </c>
      <c r="AE5681">
        <v>-9.8545999999999996</v>
      </c>
      <c r="AF5681">
        <v>7.6304688341476101</v>
      </c>
      <c r="AG5681">
        <v>-1.119033037593</v>
      </c>
      <c r="AH5681">
        <v>18.900013114719801</v>
      </c>
      <c r="AI5681">
        <v>93.142522835656195</v>
      </c>
      <c r="AJ5681">
        <v>68.014679460002398</v>
      </c>
      <c r="AK5681">
        <v>20.412907321219699</v>
      </c>
      <c r="AL5681">
        <v>81.340289327407802</v>
      </c>
      <c r="AM5681">
        <v>75.665968003054004</v>
      </c>
      <c r="AN5681">
        <v>1.00000005063388</v>
      </c>
    </row>
    <row r="5682" spans="1:40" x14ac:dyDescent="0.25">
      <c r="A5682" t="str">
        <f>"20190303162026236"</f>
        <v>20190303162026236</v>
      </c>
      <c r="B5682" t="str">
        <f>"1551601226228456"</f>
        <v>1551601226228456</v>
      </c>
      <c r="C5682" t="s">
        <v>40</v>
      </c>
      <c r="D5682">
        <v>5.0198879999999999</v>
      </c>
      <c r="E5682">
        <v>0.59132759999999995</v>
      </c>
      <c r="F5682" t="s">
        <v>49</v>
      </c>
      <c r="G5682">
        <v>-194.59549999999999</v>
      </c>
      <c r="H5682" s="1">
        <v>5.4535219999999997E-6</v>
      </c>
      <c r="I5682">
        <v>203.464</v>
      </c>
      <c r="J5682">
        <v>-211.84800000000001</v>
      </c>
      <c r="K5682">
        <v>1.1190580000000001</v>
      </c>
      <c r="L5682">
        <v>215.2371</v>
      </c>
      <c r="M5682">
        <v>0.99227339999999997</v>
      </c>
      <c r="N5682">
        <v>-1.3829030000000001E-2</v>
      </c>
      <c r="O5682">
        <v>-0.1232979</v>
      </c>
      <c r="P5682">
        <v>0.92026200000000002</v>
      </c>
      <c r="Q5682">
        <v>0.14308409999999999</v>
      </c>
      <c r="R5682">
        <v>-0.3642049</v>
      </c>
      <c r="S5682">
        <v>2.5957029999999999</v>
      </c>
      <c r="T5682">
        <v>-0.16619589999999901</v>
      </c>
      <c r="U5682">
        <v>-1.7532810000000001</v>
      </c>
      <c r="V5682">
        <v>0.24892649999999999</v>
      </c>
      <c r="W5682">
        <v>0.15475749999999999</v>
      </c>
      <c r="X5682">
        <v>0.95607830000000005</v>
      </c>
      <c r="Y5682">
        <v>0.45257059999999999</v>
      </c>
      <c r="Z5682">
        <v>-1.1042369999999999E-2</v>
      </c>
      <c r="AA5682">
        <v>0.89166019999999901</v>
      </c>
      <c r="AB5682">
        <v>22</v>
      </c>
      <c r="AC5682">
        <v>17.252499999999898</v>
      </c>
      <c r="AD5682">
        <v>-1.1190525464779999</v>
      </c>
      <c r="AE5682">
        <v>-11.7730999999999</v>
      </c>
      <c r="AF5682">
        <v>9.5284984166918498</v>
      </c>
      <c r="AG5682">
        <v>-1.1190525464779999</v>
      </c>
      <c r="AH5682">
        <v>18.519409913193599</v>
      </c>
      <c r="AI5682">
        <v>93.075604806852596</v>
      </c>
      <c r="AJ5682">
        <v>62.773538748041197</v>
      </c>
      <c r="AK5682">
        <v>20.856967761675499</v>
      </c>
      <c r="AL5682">
        <v>81.097267684879398</v>
      </c>
      <c r="AM5682">
        <v>75.406355421583996</v>
      </c>
      <c r="AN5682">
        <v>1.0000000009696901</v>
      </c>
    </row>
    <row r="5683" spans="1:40" x14ac:dyDescent="0.25">
      <c r="A5683" t="str">
        <f>"20190303162026257"</f>
        <v>20190303162026257</v>
      </c>
      <c r="B5683" t="str">
        <f>"1551601226247972"</f>
        <v>1551601226247972</v>
      </c>
      <c r="C5683" t="s">
        <v>40</v>
      </c>
      <c r="D5683">
        <v>5.1438410000000001</v>
      </c>
      <c r="E5683">
        <v>0.59030539999999998</v>
      </c>
      <c r="F5683" t="s">
        <v>49</v>
      </c>
      <c r="G5683">
        <v>-196.39449999999999</v>
      </c>
      <c r="H5683" s="1">
        <v>4.7431859999999998E-6</v>
      </c>
      <c r="I5683">
        <v>204.63409999999999</v>
      </c>
      <c r="J5683">
        <v>-211.6301</v>
      </c>
      <c r="K5683">
        <v>1.119062</v>
      </c>
      <c r="L5683">
        <v>215.20500000000001</v>
      </c>
      <c r="M5683">
        <v>0.99174430000000002</v>
      </c>
      <c r="N5683">
        <v>-1.3825860000000001E-2</v>
      </c>
      <c r="O5683">
        <v>-0.12748480000000001</v>
      </c>
      <c r="P5683">
        <v>0.91739820000000005</v>
      </c>
      <c r="Q5683">
        <v>0.1426325</v>
      </c>
      <c r="R5683">
        <v>-0.37153350000000002</v>
      </c>
      <c r="S5683">
        <v>2.5866850000000001</v>
      </c>
      <c r="T5683">
        <v>-0.18731200000000001</v>
      </c>
      <c r="U5683">
        <v>-1.7747649999999999</v>
      </c>
      <c r="V5683">
        <v>0.25250860000000003</v>
      </c>
      <c r="W5683">
        <v>0.1542732</v>
      </c>
      <c r="X5683">
        <v>0.95521679999999998</v>
      </c>
      <c r="Y5683">
        <v>0.455146</v>
      </c>
      <c r="Z5683">
        <v>-1.170964E-2</v>
      </c>
      <c r="AA5683">
        <v>0.89033980000000001</v>
      </c>
      <c r="AB5683">
        <v>22</v>
      </c>
      <c r="AC5683">
        <v>15.2356</v>
      </c>
      <c r="AD5683">
        <v>-1.119057256814</v>
      </c>
      <c r="AE5683">
        <v>-10.5709</v>
      </c>
      <c r="AF5683">
        <v>8.5111419596702902</v>
      </c>
      <c r="AG5683">
        <v>-1.119057256814</v>
      </c>
      <c r="AH5683">
        <v>16.3992967523454</v>
      </c>
      <c r="AI5683">
        <v>93.465995077894107</v>
      </c>
      <c r="AJ5683">
        <v>62.5709435396668</v>
      </c>
      <c r="AK5683">
        <v>18.510233941611201</v>
      </c>
      <c r="AL5683">
        <v>81.125353088984895</v>
      </c>
      <c r="AM5683">
        <v>75.192743079923105</v>
      </c>
      <c r="AN5683">
        <v>0.99999997415721897</v>
      </c>
    </row>
    <row r="5684" spans="1:40" x14ac:dyDescent="0.25">
      <c r="A5684" t="str">
        <f>"20190303162026281"</f>
        <v>20190303162026281</v>
      </c>
      <c r="B5684" t="str">
        <f>"1551601226268468"</f>
        <v>1551601226268468</v>
      </c>
      <c r="C5684" t="s">
        <v>40</v>
      </c>
      <c r="D5684">
        <v>4.8745919999999998</v>
      </c>
      <c r="E5684">
        <v>0.58970900000000004</v>
      </c>
      <c r="F5684" t="s">
        <v>49</v>
      </c>
      <c r="G5684">
        <v>-197.7234</v>
      </c>
      <c r="H5684" s="1">
        <v>4.1236699999999996E-6</v>
      </c>
      <c r="I5684">
        <v>205.5531</v>
      </c>
      <c r="J5684">
        <v>-211.40389999999999</v>
      </c>
      <c r="K5684">
        <v>1.119051</v>
      </c>
      <c r="L5684">
        <v>215.17080000000001</v>
      </c>
      <c r="M5684">
        <v>0.99117650000000002</v>
      </c>
      <c r="N5684">
        <v>-1.382242E-2</v>
      </c>
      <c r="O5684">
        <v>-0.13182579999999999</v>
      </c>
      <c r="P5684">
        <v>0.91500389999999998</v>
      </c>
      <c r="Q5684">
        <v>0.14094079999999901</v>
      </c>
      <c r="R5684">
        <v>-0.37802649999999999</v>
      </c>
      <c r="S5684">
        <v>2.5777890000000001</v>
      </c>
      <c r="T5684">
        <v>-0.20743229999999999</v>
      </c>
      <c r="U5684">
        <v>-1.7891079999999999</v>
      </c>
      <c r="V5684">
        <v>0.25505240000000001</v>
      </c>
      <c r="W5684">
        <v>0.15256229999999901</v>
      </c>
      <c r="X5684">
        <v>0.95481570000000004</v>
      </c>
      <c r="Y5684">
        <v>0.4558758</v>
      </c>
      <c r="Z5684">
        <v>-1.221587E-2</v>
      </c>
      <c r="AA5684">
        <v>0.88995959999999996</v>
      </c>
      <c r="AB5684">
        <v>22</v>
      </c>
      <c r="AC5684">
        <v>13.680499999999901</v>
      </c>
      <c r="AD5684">
        <v>-1.1190468763299899</v>
      </c>
      <c r="AE5684">
        <v>-9.6177000000000099</v>
      </c>
      <c r="AF5684">
        <v>7.6956737612257102</v>
      </c>
      <c r="AG5684">
        <v>-1.1190468763299899</v>
      </c>
      <c r="AH5684">
        <v>14.762961412690601</v>
      </c>
      <c r="AI5684">
        <v>93.845441906932294</v>
      </c>
      <c r="AJ5684">
        <v>62.467756242049198</v>
      </c>
      <c r="AK5684">
        <v>16.6859428928434</v>
      </c>
      <c r="AL5684">
        <v>81.224555104154504</v>
      </c>
      <c r="AM5684">
        <v>75.044222180259197</v>
      </c>
      <c r="AN5684">
        <v>1.00000000154677</v>
      </c>
    </row>
    <row r="5685" spans="1:40" x14ac:dyDescent="0.25">
      <c r="A5685" t="str">
        <f>"20190303162026303"</f>
        <v>20190303162026303</v>
      </c>
      <c r="B5685" t="str">
        <f>"1551601226297749"</f>
        <v>1551601226297749</v>
      </c>
      <c r="C5685" t="s">
        <v>40</v>
      </c>
      <c r="D5685">
        <v>4.9656900000000004</v>
      </c>
      <c r="E5685">
        <v>0.59014899999999904</v>
      </c>
      <c r="F5685" t="s">
        <v>49</v>
      </c>
      <c r="G5685">
        <v>-198.27029999999999</v>
      </c>
      <c r="H5685" s="1">
        <v>3.906561E-6</v>
      </c>
      <c r="I5685">
        <v>205.9462</v>
      </c>
      <c r="J5685">
        <v>-211.185</v>
      </c>
      <c r="K5685">
        <v>1.1190450000000001</v>
      </c>
      <c r="L5685">
        <v>215.13669999999999</v>
      </c>
      <c r="M5685">
        <v>0.99060959999999998</v>
      </c>
      <c r="N5685">
        <v>-1.381926E-2</v>
      </c>
      <c r="O5685">
        <v>-0.13602139999999999</v>
      </c>
      <c r="P5685">
        <v>0.91211129999999996</v>
      </c>
      <c r="Q5685">
        <v>0.138258399999999</v>
      </c>
      <c r="R5685">
        <v>-0.38592480000000001</v>
      </c>
      <c r="S5685">
        <v>2.5673520000000001</v>
      </c>
      <c r="T5685">
        <v>-0.21875140000000001</v>
      </c>
      <c r="U5685">
        <v>-1.803223</v>
      </c>
      <c r="V5685">
        <v>0.2591965</v>
      </c>
      <c r="W5685">
        <v>0.14984729999999999</v>
      </c>
      <c r="X5685">
        <v>0.95412940000000002</v>
      </c>
      <c r="Y5685">
        <v>0.45699260000000003</v>
      </c>
      <c r="Z5685">
        <v>-1.2411190000000001E-2</v>
      </c>
      <c r="AA5685">
        <v>0.88938390000000001</v>
      </c>
      <c r="AB5685">
        <v>22</v>
      </c>
      <c r="AC5685">
        <v>12.9147</v>
      </c>
      <c r="AD5685">
        <v>-1.119041093439</v>
      </c>
      <c r="AE5685">
        <v>-9.1904999999999806</v>
      </c>
      <c r="AF5685">
        <v>7.3117811107750601</v>
      </c>
      <c r="AG5685">
        <v>-1.119041093439</v>
      </c>
      <c r="AH5685">
        <v>13.975217973638401</v>
      </c>
      <c r="AI5685">
        <v>94.058294190552999</v>
      </c>
      <c r="AJ5685">
        <v>62.381605981049802</v>
      </c>
      <c r="AK5685">
        <v>15.8120559508053</v>
      </c>
      <c r="AL5685">
        <v>81.381922309626603</v>
      </c>
      <c r="AM5685">
        <v>74.801941669436204</v>
      </c>
      <c r="AN5685">
        <v>0.99999997543694896</v>
      </c>
    </row>
    <row r="5686" spans="1:40" x14ac:dyDescent="0.25">
      <c r="A5686" t="str">
        <f>"20190303162026327"</f>
        <v>20190303162026327</v>
      </c>
      <c r="B5686" t="str">
        <f>"1551601226318245"</f>
        <v>1551601226318245</v>
      </c>
      <c r="C5686" t="s">
        <v>40</v>
      </c>
      <c r="D5686">
        <v>4.9520559999999998</v>
      </c>
      <c r="E5686">
        <v>0.59005359999999996</v>
      </c>
      <c r="F5686" t="s">
        <v>49</v>
      </c>
      <c r="G5686">
        <v>-198.44210000000001</v>
      </c>
      <c r="H5686" s="1">
        <v>3.8612539999999998E-6</v>
      </c>
      <c r="I5686">
        <v>206.00229999999999</v>
      </c>
      <c r="J5686">
        <v>-210.96260000000001</v>
      </c>
      <c r="K5686">
        <v>1.1190310000000001</v>
      </c>
      <c r="L5686">
        <v>215.10120000000001</v>
      </c>
      <c r="M5686">
        <v>0.9900156</v>
      </c>
      <c r="N5686">
        <v>-1.381628E-2</v>
      </c>
      <c r="O5686">
        <v>-0.1402796</v>
      </c>
      <c r="P5686">
        <v>0.90936640000000002</v>
      </c>
      <c r="Q5686">
        <v>0.1339176</v>
      </c>
      <c r="R5686">
        <v>-0.39385179999999997</v>
      </c>
      <c r="S5686">
        <v>2.5496979999999998</v>
      </c>
      <c r="T5686">
        <v>-0.2239051</v>
      </c>
      <c r="U5686">
        <v>-1.827682</v>
      </c>
      <c r="V5686">
        <v>0.26328679999999999</v>
      </c>
      <c r="W5686">
        <v>0.14547689999999999</v>
      </c>
      <c r="X5686">
        <v>0.95368580000000003</v>
      </c>
      <c r="Y5686">
        <v>0.46166010000000002</v>
      </c>
      <c r="Z5686">
        <v>-1.2558E-2</v>
      </c>
      <c r="AA5686">
        <v>0.88696799999999998</v>
      </c>
      <c r="AB5686">
        <v>22</v>
      </c>
      <c r="AC5686">
        <v>12.520499999999901</v>
      </c>
      <c r="AD5686">
        <v>-1.11902713874599</v>
      </c>
      <c r="AE5686">
        <v>-9.0989000000000093</v>
      </c>
      <c r="AF5686">
        <v>7.2146605217515596</v>
      </c>
      <c r="AG5686">
        <v>-1.11902713874599</v>
      </c>
      <c r="AH5686">
        <v>13.6020819320436</v>
      </c>
      <c r="AI5686">
        <v>94.156845663195</v>
      </c>
      <c r="AJ5686">
        <v>62.058138682559303</v>
      </c>
      <c r="AK5686">
        <v>15.4376222608081</v>
      </c>
      <c r="AL5686">
        <v>81.635103925537706</v>
      </c>
      <c r="AM5686">
        <v>74.566614067569901</v>
      </c>
      <c r="AN5686">
        <v>1.0000000363047401</v>
      </c>
    </row>
    <row r="5687" spans="1:40" x14ac:dyDescent="0.25">
      <c r="A5687" t="str">
        <f>"20190303162026347"</f>
        <v>20190303162026347</v>
      </c>
      <c r="B5687" t="str">
        <f>"1551601226337765"</f>
        <v>1551601226337765</v>
      </c>
      <c r="C5687" t="s">
        <v>40</v>
      </c>
      <c r="D5687">
        <v>4.9576960000000003</v>
      </c>
      <c r="E5687">
        <v>0.58993759999999995</v>
      </c>
      <c r="F5687" t="s">
        <v>49</v>
      </c>
      <c r="G5687">
        <v>-198.96610000000001</v>
      </c>
      <c r="H5687" s="1">
        <v>3.6778300000000002E-6</v>
      </c>
      <c r="I5687">
        <v>206.34389999999999</v>
      </c>
      <c r="J5687">
        <v>-210.75139999999999</v>
      </c>
      <c r="K5687">
        <v>1.1190070000000001</v>
      </c>
      <c r="L5687">
        <v>215.06639999999999</v>
      </c>
      <c r="M5687">
        <v>0.98943479999999995</v>
      </c>
      <c r="N5687">
        <v>-1.3813239999999999E-2</v>
      </c>
      <c r="O5687">
        <v>-0.14432029999999901</v>
      </c>
      <c r="P5687">
        <v>0.90751789999999999</v>
      </c>
      <c r="Q5687">
        <v>0.12759580000000001</v>
      </c>
      <c r="R5687">
        <v>-0.40016420000000003</v>
      </c>
      <c r="S5687">
        <v>2.5329739999999998</v>
      </c>
      <c r="T5687">
        <v>-0.23627319999999999</v>
      </c>
      <c r="U5687">
        <v>-1.8490139999999999</v>
      </c>
      <c r="V5687">
        <v>0.26585490000000001</v>
      </c>
      <c r="W5687">
        <v>0.13914190000000001</v>
      </c>
      <c r="X5687">
        <v>0.95391859999999995</v>
      </c>
      <c r="Y5687">
        <v>0.46557559999999898</v>
      </c>
      <c r="Z5687">
        <v>-1.2905959999999999E-2</v>
      </c>
      <c r="AA5687">
        <v>0.88491399999999998</v>
      </c>
      <c r="AB5687">
        <v>22</v>
      </c>
      <c r="AC5687">
        <v>11.7852999999999</v>
      </c>
      <c r="AD5687">
        <v>-1.11900332216999</v>
      </c>
      <c r="AE5687">
        <v>-8.7224999999999895</v>
      </c>
      <c r="AF5687">
        <v>6.8900145630534597</v>
      </c>
      <c r="AG5687">
        <v>-1.11900332216999</v>
      </c>
      <c r="AH5687">
        <v>12.846025713692599</v>
      </c>
      <c r="AI5687">
        <v>94.389662493892999</v>
      </c>
      <c r="AJ5687">
        <v>61.792947289898301</v>
      </c>
      <c r="AK5687">
        <v>14.620015244553199</v>
      </c>
      <c r="AL5687">
        <v>82.001805214169806</v>
      </c>
      <c r="AM5687">
        <v>74.426969684025593</v>
      </c>
      <c r="AN5687">
        <v>0.99999999580778998</v>
      </c>
    </row>
    <row r="5688" spans="1:40" x14ac:dyDescent="0.25">
      <c r="A5688" t="str">
        <f>"20190303162026369"</f>
        <v>20190303162026369</v>
      </c>
      <c r="B5688" t="str">
        <f>"1551601226358260"</f>
        <v>1551601226358260</v>
      </c>
      <c r="C5688" t="s">
        <v>40</v>
      </c>
      <c r="D5688">
        <v>5.0009169999999896</v>
      </c>
      <c r="E5688">
        <v>0.58974709999999997</v>
      </c>
      <c r="F5688" t="s">
        <v>49</v>
      </c>
      <c r="G5688">
        <v>-200.416</v>
      </c>
      <c r="H5688">
        <v>8.0001349999999999E-2</v>
      </c>
      <c r="I5688">
        <v>207.40979999999999</v>
      </c>
      <c r="J5688">
        <v>-210.53219999999999</v>
      </c>
      <c r="K5688">
        <v>1.118981</v>
      </c>
      <c r="L5688">
        <v>215.02940000000001</v>
      </c>
      <c r="M5688">
        <v>0.98881410000000003</v>
      </c>
      <c r="N5688">
        <v>-1.3809899999999899E-2</v>
      </c>
      <c r="O5688">
        <v>-0.1485129</v>
      </c>
      <c r="P5688">
        <v>0.90629249999999995</v>
      </c>
      <c r="Q5688">
        <v>0.12123440000000001</v>
      </c>
      <c r="R5688">
        <v>-0.40489069999999999</v>
      </c>
      <c r="S5688">
        <v>2.5186000000000002</v>
      </c>
      <c r="T5688">
        <v>-0.25319180000000002</v>
      </c>
      <c r="U5688">
        <v>-1.8658140000000001</v>
      </c>
      <c r="V5688">
        <v>0.26661669999999998</v>
      </c>
      <c r="W5688">
        <v>0.13278429999999999</v>
      </c>
      <c r="X5688">
        <v>0.95461189999999996</v>
      </c>
      <c r="Y5688">
        <v>0.46788600000000002</v>
      </c>
      <c r="Z5688">
        <v>-1.3281950000000001E-2</v>
      </c>
      <c r="AA5688">
        <v>0.88368899999999995</v>
      </c>
      <c r="AB5688">
        <v>22</v>
      </c>
      <c r="AC5688">
        <v>10.1161999999999</v>
      </c>
      <c r="AD5688">
        <v>-1.0389796499999999</v>
      </c>
      <c r="AE5688">
        <v>-7.6196000000000099</v>
      </c>
      <c r="AF5688">
        <v>5.9922283749425898</v>
      </c>
      <c r="AG5688">
        <v>-1.0389796499999999</v>
      </c>
      <c r="AH5688">
        <v>11.0612679792546</v>
      </c>
      <c r="AI5688">
        <v>94.721300977604997</v>
      </c>
      <c r="AJ5688">
        <v>61.554235153959198</v>
      </c>
      <c r="AK5688">
        <v>12.6229128539916</v>
      </c>
      <c r="AL5688">
        <v>82.369483912000206</v>
      </c>
      <c r="AM5688">
        <v>74.395308085802199</v>
      </c>
      <c r="AN5688">
        <v>1.00000000733349</v>
      </c>
    </row>
    <row r="5689" spans="1:40" x14ac:dyDescent="0.25">
      <c r="A5689" t="str">
        <f>"20190303162026392"</f>
        <v>20190303162026392</v>
      </c>
      <c r="B5689" t="str">
        <f>"1551601226388517"</f>
        <v>1551601226388517</v>
      </c>
      <c r="C5689" t="s">
        <v>40</v>
      </c>
      <c r="D5689">
        <v>5.4021280000000003</v>
      </c>
      <c r="E5689">
        <v>0.58971180000000001</v>
      </c>
      <c r="F5689" t="s">
        <v>49</v>
      </c>
      <c r="G5689">
        <v>-200.8117</v>
      </c>
      <c r="H5689">
        <v>8.0001409999999995E-2</v>
      </c>
      <c r="I5689">
        <v>207.7441</v>
      </c>
      <c r="J5689">
        <v>-210.30959999999999</v>
      </c>
      <c r="K5689">
        <v>1.1189629999999999</v>
      </c>
      <c r="L5689">
        <v>214.99090000000001</v>
      </c>
      <c r="M5689">
        <v>0.98816519999999997</v>
      </c>
      <c r="N5689">
        <v>-1.3806560000000001E-2</v>
      </c>
      <c r="O5689">
        <v>-0.1527712</v>
      </c>
      <c r="P5689">
        <v>0.90479730000000003</v>
      </c>
      <c r="Q5689">
        <v>0.1164284</v>
      </c>
      <c r="R5689">
        <v>-0.40961819999999999</v>
      </c>
      <c r="S5689">
        <v>2.5066830000000002</v>
      </c>
      <c r="T5689">
        <v>-0.26792680000000002</v>
      </c>
      <c r="U5689">
        <v>-1.8786929999999999</v>
      </c>
      <c r="V5689">
        <v>0.26736359999999998</v>
      </c>
      <c r="W5689">
        <v>0.12797910000000001</v>
      </c>
      <c r="X5689">
        <v>0.9550592</v>
      </c>
      <c r="Y5689">
        <v>0.46885929999999998</v>
      </c>
      <c r="Z5689">
        <v>-1.347692E-2</v>
      </c>
      <c r="AA5689">
        <v>0.88317009999999996</v>
      </c>
      <c r="AB5689">
        <v>22</v>
      </c>
      <c r="AC5689">
        <v>9.49789999999998</v>
      </c>
      <c r="AD5689">
        <v>-1.03896159</v>
      </c>
      <c r="AE5689">
        <v>-7.2468000000000004</v>
      </c>
      <c r="AF5689">
        <v>5.6677089482074097</v>
      </c>
      <c r="AG5689">
        <v>-1.03896159</v>
      </c>
      <c r="AH5689">
        <v>10.4148285825255</v>
      </c>
      <c r="AI5689">
        <v>95.007658081836496</v>
      </c>
      <c r="AJ5689">
        <v>61.445140661676099</v>
      </c>
      <c r="AK5689">
        <v>11.902563602454499</v>
      </c>
      <c r="AL5689">
        <v>82.64717227621</v>
      </c>
      <c r="AM5689">
        <v>74.360700663190997</v>
      </c>
      <c r="AN5689">
        <v>1.0000000100732001</v>
      </c>
    </row>
    <row r="5690" spans="1:40" x14ac:dyDescent="0.25">
      <c r="A5690" t="str">
        <f>"20190303162026414"</f>
        <v>20190303162026414</v>
      </c>
      <c r="B5690" t="str">
        <f>"1551601226408036"</f>
        <v>1551601226408036</v>
      </c>
      <c r="C5690" t="s">
        <v>40</v>
      </c>
      <c r="D5690">
        <v>5.2723300000000002</v>
      </c>
      <c r="E5690">
        <v>0.59334600000000004</v>
      </c>
      <c r="F5690" t="s">
        <v>49</v>
      </c>
      <c r="G5690">
        <v>-200.9521</v>
      </c>
      <c r="H5690">
        <v>8.0001379999999997E-2</v>
      </c>
      <c r="I5690">
        <v>207.892</v>
      </c>
      <c r="J5690">
        <v>-210.09229999999999</v>
      </c>
      <c r="K5690">
        <v>1.1189659999999999</v>
      </c>
      <c r="L5690">
        <v>214.95230000000001</v>
      </c>
      <c r="M5690">
        <v>0.98751319999999998</v>
      </c>
      <c r="N5690">
        <v>-1.380341E-2</v>
      </c>
      <c r="O5690">
        <v>-0.1569313</v>
      </c>
      <c r="P5690">
        <v>0.90316280000000004</v>
      </c>
      <c r="Q5690">
        <v>0.1155593</v>
      </c>
      <c r="R5690">
        <v>-0.41345369999999998</v>
      </c>
      <c r="S5690">
        <v>2.4945529999999998</v>
      </c>
      <c r="T5690">
        <v>-0.27697159999999998</v>
      </c>
      <c r="U5690">
        <v>-1.8924559999999999</v>
      </c>
      <c r="V5690">
        <v>0.26736969999999999</v>
      </c>
      <c r="W5690">
        <v>0.12711169999999999</v>
      </c>
      <c r="X5690">
        <v>0.9551733</v>
      </c>
      <c r="Y5690">
        <v>0.47021020000000002</v>
      </c>
      <c r="Z5690">
        <v>-1.350295E-2</v>
      </c>
      <c r="AA5690">
        <v>0.88245119999999899</v>
      </c>
      <c r="AB5690">
        <v>22</v>
      </c>
      <c r="AC5690">
        <v>9.1401999999999894</v>
      </c>
      <c r="AD5690">
        <v>-1.03896462</v>
      </c>
      <c r="AE5690">
        <v>-7.0603000000000096</v>
      </c>
      <c r="AF5690">
        <v>5.4938248665063503</v>
      </c>
      <c r="AG5690">
        <v>-1.03896462</v>
      </c>
      <c r="AH5690">
        <v>10.053656617499099</v>
      </c>
      <c r="AI5690">
        <v>95.181720612523804</v>
      </c>
      <c r="AJ5690">
        <v>61.345583087261403</v>
      </c>
      <c r="AK5690">
        <v>11.503806784192699</v>
      </c>
      <c r="AL5690">
        <v>82.697279708469296</v>
      </c>
      <c r="AM5690">
        <v>74.362138126376394</v>
      </c>
      <c r="AN5690">
        <v>0.99999998689393399</v>
      </c>
    </row>
    <row r="5691" spans="1:40" x14ac:dyDescent="0.25">
      <c r="A5691" t="str">
        <f>"20190303162026437"</f>
        <v>20190303162026437</v>
      </c>
      <c r="B5691" t="str">
        <f>"1551601226428532"</f>
        <v>1551601226428532</v>
      </c>
      <c r="C5691" t="s">
        <v>40</v>
      </c>
      <c r="D5691">
        <v>5.2372350000000001</v>
      </c>
      <c r="E5691">
        <v>0.60067959999999998</v>
      </c>
      <c r="F5691" t="s">
        <v>49</v>
      </c>
      <c r="G5691">
        <v>-204.65899999999999</v>
      </c>
      <c r="H5691" s="1">
        <v>4.6211240000000003E-6</v>
      </c>
      <c r="I5691">
        <v>210.7492</v>
      </c>
      <c r="J5691">
        <v>-209.8776</v>
      </c>
      <c r="K5691">
        <v>1.1189639999999901</v>
      </c>
      <c r="L5691">
        <v>214.91329999999999</v>
      </c>
      <c r="M5691">
        <v>0.98685069999999997</v>
      </c>
      <c r="N5691">
        <v>-1.3800299999999901E-2</v>
      </c>
      <c r="O5691">
        <v>-0.1610443</v>
      </c>
      <c r="P5691">
        <v>0.90149400000000002</v>
      </c>
      <c r="Q5691">
        <v>0.11561879999999999</v>
      </c>
      <c r="R5691">
        <v>-0.4170623</v>
      </c>
      <c r="S5691">
        <v>2.5016630000000002</v>
      </c>
      <c r="T5691">
        <v>-0.51520469999999996</v>
      </c>
      <c r="U5691">
        <v>-1.935257</v>
      </c>
      <c r="V5691">
        <v>0.2672098</v>
      </c>
      <c r="W5691">
        <v>0.12717319999999999</v>
      </c>
      <c r="X5691">
        <v>0.95520989999999995</v>
      </c>
      <c r="Y5691">
        <v>0.4716398</v>
      </c>
      <c r="Z5691">
        <v>-1.9634140000000001E-2</v>
      </c>
      <c r="AA5691">
        <v>0.88157269999999899</v>
      </c>
      <c r="AB5691">
        <v>22</v>
      </c>
      <c r="AC5691">
        <v>5.2185999999999799</v>
      </c>
      <c r="AD5691">
        <v>-1.1189593788759999</v>
      </c>
      <c r="AE5691">
        <v>-4.1640999999999897</v>
      </c>
      <c r="AF5691">
        <v>3.1799069196524301</v>
      </c>
      <c r="AG5691">
        <v>-1.1189593788759999</v>
      </c>
      <c r="AH5691">
        <v>5.6620898062909504</v>
      </c>
      <c r="AI5691">
        <v>99.776555168553401</v>
      </c>
      <c r="AJ5691">
        <v>60.680838934917801</v>
      </c>
      <c r="AK5691">
        <v>6.5896235919612201</v>
      </c>
      <c r="AL5691">
        <v>82.693727478599399</v>
      </c>
      <c r="AM5691">
        <v>74.371602715454699</v>
      </c>
      <c r="AN5691">
        <v>1.00000002653614</v>
      </c>
    </row>
    <row r="5692" spans="1:40" x14ac:dyDescent="0.25">
      <c r="A5692" t="str">
        <f>"20190303162026459"</f>
        <v>20190303162026459</v>
      </c>
      <c r="B5692" t="str">
        <f>"1551601226448052"</f>
        <v>1551601226448052</v>
      </c>
      <c r="C5692" t="s">
        <v>40</v>
      </c>
      <c r="D5692">
        <v>5.2295910000000001</v>
      </c>
      <c r="E5692">
        <v>0.60229049999999995</v>
      </c>
      <c r="F5692" t="s">
        <v>49</v>
      </c>
      <c r="G5692">
        <v>-204.375</v>
      </c>
      <c r="H5692" s="1">
        <v>4.5208269999999997E-6</v>
      </c>
      <c r="I5692">
        <v>210.45609999999999</v>
      </c>
      <c r="J5692">
        <v>-209.65950000000001</v>
      </c>
      <c r="K5692">
        <v>1.11897</v>
      </c>
      <c r="L5692">
        <v>214.87270000000001</v>
      </c>
      <c r="M5692">
        <v>0.98615909999999996</v>
      </c>
      <c r="N5692">
        <v>-1.37971E-2</v>
      </c>
      <c r="O5692">
        <v>-0.16522679999999901</v>
      </c>
      <c r="P5692">
        <v>0.90052049999999995</v>
      </c>
      <c r="Q5692">
        <v>0.114721</v>
      </c>
      <c r="R5692">
        <v>-0.41940630000000001</v>
      </c>
      <c r="S5692">
        <v>2.4674990000000001</v>
      </c>
      <c r="T5692">
        <v>-0.50177450000000001</v>
      </c>
      <c r="U5692">
        <v>-1.998718</v>
      </c>
      <c r="V5692">
        <v>0.26561570000000001</v>
      </c>
      <c r="W5692">
        <v>0.12629480000000001</v>
      </c>
      <c r="X5692">
        <v>0.95577089999999998</v>
      </c>
      <c r="Y5692">
        <v>0.48761890000000002</v>
      </c>
      <c r="Z5692">
        <v>-2.022674E-2</v>
      </c>
      <c r="AA5692">
        <v>0.87282219999999999</v>
      </c>
      <c r="AB5692">
        <v>22</v>
      </c>
      <c r="AC5692">
        <v>5.2845000000000004</v>
      </c>
      <c r="AD5692">
        <v>-1.1189654791729999</v>
      </c>
      <c r="AE5692">
        <v>-4.4166000000000096</v>
      </c>
      <c r="AF5692">
        <v>3.3930922887439401</v>
      </c>
      <c r="AG5692">
        <v>-1.1189654791729999</v>
      </c>
      <c r="AH5692">
        <v>5.78885391035256</v>
      </c>
      <c r="AI5692">
        <v>99.467594192500997</v>
      </c>
      <c r="AJ5692">
        <v>59.623627552899102</v>
      </c>
      <c r="AK5692">
        <v>6.8026457072905497</v>
      </c>
      <c r="AL5692">
        <v>82.744465337480904</v>
      </c>
      <c r="AM5692">
        <v>74.469000322165698</v>
      </c>
      <c r="AN5692">
        <v>1.00000004494016</v>
      </c>
    </row>
    <row r="5693" spans="1:40" x14ac:dyDescent="0.25">
      <c r="A5693" t="str">
        <f>"20190303162026484"</f>
        <v>20190303162026484</v>
      </c>
      <c r="B5693" t="str">
        <f>"1551601226478309"</f>
        <v>1551601226478309</v>
      </c>
      <c r="C5693" t="s">
        <v>40</v>
      </c>
      <c r="D5693">
        <v>5.2339019999999996</v>
      </c>
      <c r="E5693">
        <v>0.60243639999999998</v>
      </c>
      <c r="F5693" t="s">
        <v>49</v>
      </c>
      <c r="G5693">
        <v>-204.1814</v>
      </c>
      <c r="H5693" s="1">
        <v>4.4422929999999998E-6</v>
      </c>
      <c r="I5693">
        <v>210.37209999999999</v>
      </c>
      <c r="J5693">
        <v>-209.4263</v>
      </c>
      <c r="K5693">
        <v>1.1189739999999999</v>
      </c>
      <c r="L5693">
        <v>214.82830000000001</v>
      </c>
      <c r="M5693">
        <v>0.98539940000000004</v>
      </c>
      <c r="N5693">
        <v>-1.379381E-2</v>
      </c>
      <c r="O5693">
        <v>-0.16969979999999901</v>
      </c>
      <c r="P5693">
        <v>0.89975939999999999</v>
      </c>
      <c r="Q5693">
        <v>0.113549499999999</v>
      </c>
      <c r="R5693">
        <v>-0.42135509999999898</v>
      </c>
      <c r="S5693">
        <v>2.4556879999999999</v>
      </c>
      <c r="T5693">
        <v>-0.50160479999999996</v>
      </c>
      <c r="U5693">
        <v>-2.017487</v>
      </c>
      <c r="V5693">
        <v>0.2633085</v>
      </c>
      <c r="W5693">
        <v>0.1251496</v>
      </c>
      <c r="X5693">
        <v>0.95655959999999995</v>
      </c>
      <c r="Y5693">
        <v>0.48973100000000003</v>
      </c>
      <c r="Z5693">
        <v>-1.9751189999999998E-2</v>
      </c>
      <c r="AA5693">
        <v>0.87164989999999998</v>
      </c>
      <c r="AB5693">
        <v>22</v>
      </c>
      <c r="AC5693">
        <v>5.2449000000000003</v>
      </c>
      <c r="AD5693">
        <v>-1.118969557707</v>
      </c>
      <c r="AE5693">
        <v>-4.4562000000000204</v>
      </c>
      <c r="AF5693">
        <v>3.4112381852760501</v>
      </c>
      <c r="AG5693">
        <v>-1.118969557707</v>
      </c>
      <c r="AH5693">
        <v>5.77250974797363</v>
      </c>
      <c r="AI5693">
        <v>99.474396303378498</v>
      </c>
      <c r="AJ5693">
        <v>59.419230442787402</v>
      </c>
      <c r="AK5693">
        <v>6.7978310966227404</v>
      </c>
      <c r="AL5693">
        <v>82.810605133926998</v>
      </c>
      <c r="AM5693">
        <v>74.609571383418796</v>
      </c>
      <c r="AN5693">
        <v>1.0000000284522801</v>
      </c>
    </row>
    <row r="5694" spans="1:40" x14ac:dyDescent="0.25">
      <c r="A5694" t="str">
        <f>"20190303162026503"</f>
        <v>20190303162026503</v>
      </c>
      <c r="B5694" t="str">
        <f>"1551601226497829"</f>
        <v>1551601226497829</v>
      </c>
      <c r="C5694" t="s">
        <v>40</v>
      </c>
      <c r="D5694">
        <v>5.2150990000000004</v>
      </c>
      <c r="E5694">
        <v>0.60277219999999998</v>
      </c>
      <c r="F5694" t="s">
        <v>49</v>
      </c>
      <c r="G5694">
        <v>-203.9657</v>
      </c>
      <c r="H5694" s="1">
        <v>4.3515190000000001E-6</v>
      </c>
      <c r="I5694">
        <v>210.31630000000001</v>
      </c>
      <c r="J5694">
        <v>-209.2286</v>
      </c>
      <c r="K5694">
        <v>1.1190009999999999</v>
      </c>
      <c r="L5694">
        <v>214.78970000000001</v>
      </c>
      <c r="M5694">
        <v>0.98473820000000001</v>
      </c>
      <c r="N5694">
        <v>-1.3791039999999999E-2</v>
      </c>
      <c r="O5694">
        <v>-0.17349479999999901</v>
      </c>
      <c r="P5694">
        <v>0.89883579999999996</v>
      </c>
      <c r="Q5694">
        <v>0.1152309</v>
      </c>
      <c r="R5694">
        <v>-0.42286639999999998</v>
      </c>
      <c r="S5694">
        <v>2.4496769999999999</v>
      </c>
      <c r="T5694">
        <v>-0.50197760000000002</v>
      </c>
      <c r="U5694">
        <v>-2.0241090000000002</v>
      </c>
      <c r="V5694">
        <v>0.26127210000000001</v>
      </c>
      <c r="W5694">
        <v>0.12684970000000001</v>
      </c>
      <c r="X5694">
        <v>0.95689400000000002</v>
      </c>
      <c r="Y5694">
        <v>0.48887170000000002</v>
      </c>
      <c r="Z5694">
        <v>-1.909899E-2</v>
      </c>
      <c r="AA5694">
        <v>0.87214659999999999</v>
      </c>
      <c r="AB5694">
        <v>22</v>
      </c>
      <c r="AC5694">
        <v>5.2629000000000001</v>
      </c>
      <c r="AD5694">
        <v>-1.1189966484809999</v>
      </c>
      <c r="AE5694">
        <v>-4.4733999999999901</v>
      </c>
      <c r="AF5694">
        <v>3.40305957573492</v>
      </c>
      <c r="AG5694">
        <v>-1.1189966484809999</v>
      </c>
      <c r="AH5694">
        <v>5.8068538843189401</v>
      </c>
      <c r="AI5694">
        <v>99.439439964506406</v>
      </c>
      <c r="AJ5694">
        <v>59.627911111156401</v>
      </c>
      <c r="AK5694">
        <v>6.8229407156403399</v>
      </c>
      <c r="AL5694">
        <v>82.712414113118101</v>
      </c>
      <c r="AM5694">
        <v>74.728106945384596</v>
      </c>
      <c r="AN5694">
        <v>1.0000000419322399</v>
      </c>
    </row>
    <row r="5695" spans="1:40" x14ac:dyDescent="0.25">
      <c r="A5695" t="str">
        <f>"20190303162026526"</f>
        <v>20190303162026526</v>
      </c>
      <c r="B5695" t="str">
        <f>"1551601226518324"</f>
        <v>1551601226518324</v>
      </c>
      <c r="C5695" t="s">
        <v>40</v>
      </c>
      <c r="D5695">
        <v>5.1739739999999896</v>
      </c>
      <c r="E5695">
        <v>0.60316040000000004</v>
      </c>
      <c r="F5695" t="s">
        <v>49</v>
      </c>
      <c r="G5695">
        <v>-203.69730000000001</v>
      </c>
      <c r="H5695" s="1">
        <v>4.2430940000000003E-6</v>
      </c>
      <c r="I5695">
        <v>210.1951</v>
      </c>
      <c r="J5695">
        <v>-209.018</v>
      </c>
      <c r="K5695">
        <v>1.1190209999999901</v>
      </c>
      <c r="L5695">
        <v>214.74770000000001</v>
      </c>
      <c r="M5695">
        <v>0.98401740000000004</v>
      </c>
      <c r="N5695">
        <v>-1.3788150000000001E-2</v>
      </c>
      <c r="O5695">
        <v>-0.17753859999999999</v>
      </c>
      <c r="P5695">
        <v>0.89699110000000004</v>
      </c>
      <c r="Q5695">
        <v>0.1180008</v>
      </c>
      <c r="R5695">
        <v>-0.42600860000000002</v>
      </c>
      <c r="S5695">
        <v>2.4454349999999998</v>
      </c>
      <c r="T5695">
        <v>-0.49471569999999998</v>
      </c>
      <c r="U5695">
        <v>-2.0312960000000002</v>
      </c>
      <c r="V5695">
        <v>0.26076660000000002</v>
      </c>
      <c r="W5695">
        <v>0.12962089999999901</v>
      </c>
      <c r="X5695">
        <v>0.95666039999999997</v>
      </c>
      <c r="Y5695">
        <v>0.4877358</v>
      </c>
      <c r="Z5695">
        <v>-1.81855E-2</v>
      </c>
      <c r="AA5695">
        <v>0.87280179999999996</v>
      </c>
      <c r="AB5695">
        <v>22</v>
      </c>
      <c r="AC5695">
        <v>5.32069999999998</v>
      </c>
      <c r="AD5695">
        <v>-1.1190167569060001</v>
      </c>
      <c r="AE5695">
        <v>-4.5526000000000098</v>
      </c>
      <c r="AF5695">
        <v>3.4475069496016602</v>
      </c>
      <c r="AG5695">
        <v>-1.1190167569060001</v>
      </c>
      <c r="AH5695">
        <v>5.8939866427710204</v>
      </c>
      <c r="AI5695">
        <v>99.3069894240368</v>
      </c>
      <c r="AJ5695">
        <v>59.6758078988764</v>
      </c>
      <c r="AK5695">
        <v>6.9192905138425402</v>
      </c>
      <c r="AL5695">
        <v>82.552313559828093</v>
      </c>
      <c r="AM5695">
        <v>74.752729489392294</v>
      </c>
      <c r="AN5695">
        <v>0.99999995916026396</v>
      </c>
    </row>
    <row r="5696" spans="1:40" x14ac:dyDescent="0.25">
      <c r="A5696" t="str">
        <f>"20190303162026548"</f>
        <v>20190303162026548</v>
      </c>
      <c r="B5696" t="str">
        <f>"1551601226537844"</f>
        <v>1551601226537844</v>
      </c>
      <c r="C5696" t="s">
        <v>40</v>
      </c>
      <c r="D5696">
        <v>5.1696970000000002</v>
      </c>
      <c r="E5696">
        <v>0.60333669999999995</v>
      </c>
      <c r="F5696" t="s">
        <v>49</v>
      </c>
      <c r="G5696">
        <v>-203.38749999999999</v>
      </c>
      <c r="H5696" s="1">
        <v>4.1200280000000003E-6</v>
      </c>
      <c r="I5696">
        <v>210.03110000000001</v>
      </c>
      <c r="J5696">
        <v>-208.8039</v>
      </c>
      <c r="K5696">
        <v>1.119035</v>
      </c>
      <c r="L5696">
        <v>214.70410000000001</v>
      </c>
      <c r="M5696">
        <v>0.98326670000000005</v>
      </c>
      <c r="N5696">
        <v>-1.378532E-2</v>
      </c>
      <c r="O5696">
        <v>-0.1816498</v>
      </c>
      <c r="P5696">
        <v>0.89491330000000002</v>
      </c>
      <c r="Q5696">
        <v>0.119884199999999</v>
      </c>
      <c r="R5696">
        <v>-0.42983529999999998</v>
      </c>
      <c r="S5696">
        <v>2.4382320000000002</v>
      </c>
      <c r="T5696">
        <v>-0.48457749999999999</v>
      </c>
      <c r="U5696">
        <v>-2.0424500000000001</v>
      </c>
      <c r="V5696">
        <v>0.26090839999999998</v>
      </c>
      <c r="W5696">
        <v>0.13150149999999999</v>
      </c>
      <c r="X5696">
        <v>0.95636509999999997</v>
      </c>
      <c r="Y5696">
        <v>0.4879135</v>
      </c>
      <c r="Z5696">
        <v>-1.7348539999999999E-2</v>
      </c>
      <c r="AA5696">
        <v>0.87271949999999998</v>
      </c>
      <c r="AB5696">
        <v>22</v>
      </c>
      <c r="AC5696">
        <v>5.4164000000000003</v>
      </c>
      <c r="AD5696">
        <v>-1.1190308799719999</v>
      </c>
      <c r="AE5696">
        <v>-4.673</v>
      </c>
      <c r="AF5696">
        <v>3.5250038339944898</v>
      </c>
      <c r="AG5696">
        <v>-1.1190308799719999</v>
      </c>
      <c r="AH5696">
        <v>6.0277044902219101</v>
      </c>
      <c r="AI5696">
        <v>99.1045973488187</v>
      </c>
      <c r="AJ5696">
        <v>59.680888134465903</v>
      </c>
      <c r="AK5696">
        <v>7.0718529086405697</v>
      </c>
      <c r="AL5696">
        <v>82.443633286346497</v>
      </c>
      <c r="AM5696">
        <v>74.740333723718194</v>
      </c>
      <c r="AN5696">
        <v>1.0000000210954001</v>
      </c>
    </row>
    <row r="5697" spans="1:40" x14ac:dyDescent="0.25">
      <c r="A5697" t="str">
        <f>"20190303162026571"</f>
        <v>20190303162026571</v>
      </c>
      <c r="B5697" t="str">
        <f>"1551601226558341"</f>
        <v>1551601226558341</v>
      </c>
      <c r="C5697" t="s">
        <v>40</v>
      </c>
      <c r="D5697">
        <v>5.1605949999999998</v>
      </c>
      <c r="E5697">
        <v>0.60355429999999999</v>
      </c>
      <c r="F5697" t="s">
        <v>49</v>
      </c>
      <c r="G5697">
        <v>-203.1283</v>
      </c>
      <c r="H5697" s="1">
        <v>4.0158730000000003E-6</v>
      </c>
      <c r="I5697">
        <v>209.90770000000001</v>
      </c>
      <c r="J5697">
        <v>-208.5881</v>
      </c>
      <c r="K5697">
        <v>1.1190450000000001</v>
      </c>
      <c r="L5697">
        <v>214.6591</v>
      </c>
      <c r="M5697">
        <v>0.98249249999999999</v>
      </c>
      <c r="N5697">
        <v>-1.3782569999999999E-2</v>
      </c>
      <c r="O5697">
        <v>-0.18579280000000001</v>
      </c>
      <c r="P5697">
        <v>0.89254869999999897</v>
      </c>
      <c r="Q5697">
        <v>0.1203602</v>
      </c>
      <c r="R5697">
        <v>-0.43459330000000002</v>
      </c>
      <c r="S5697">
        <v>2.4300989999999998</v>
      </c>
      <c r="T5697">
        <v>-0.47912959999999899</v>
      </c>
      <c r="U5697">
        <v>-2.0536189999999999</v>
      </c>
      <c r="V5697">
        <v>0.26198270000000001</v>
      </c>
      <c r="W5697">
        <v>0.13196749999999999</v>
      </c>
      <c r="X5697">
        <v>0.9560071</v>
      </c>
      <c r="Y5697">
        <v>0.4881431</v>
      </c>
      <c r="Z5697">
        <v>-1.6643040000000001E-2</v>
      </c>
      <c r="AA5697">
        <v>0.87260490000000002</v>
      </c>
      <c r="AB5697">
        <v>22</v>
      </c>
      <c r="AC5697">
        <v>5.4598000000000004</v>
      </c>
      <c r="AD5697">
        <v>-1.1190409841269999</v>
      </c>
      <c r="AE5697">
        <v>-4.7513999999999896</v>
      </c>
      <c r="AF5697">
        <v>3.5688571790851298</v>
      </c>
      <c r="AG5697">
        <v>-1.1190409841269999</v>
      </c>
      <c r="AH5697">
        <v>6.1017207384589298</v>
      </c>
      <c r="AI5697">
        <v>98.995692528980996</v>
      </c>
      <c r="AJ5697">
        <v>59.6769096138054</v>
      </c>
      <c r="AK5697">
        <v>7.1568142534931898</v>
      </c>
      <c r="AL5697">
        <v>82.416698297085901</v>
      </c>
      <c r="AM5697">
        <v>74.674980845438299</v>
      </c>
      <c r="AN5697">
        <v>0.999999965702974</v>
      </c>
    </row>
    <row r="5698" spans="1:40" x14ac:dyDescent="0.25">
      <c r="A5698" t="str">
        <f>"20190303162026593"</f>
        <v>20190303162026593</v>
      </c>
      <c r="B5698" t="str">
        <f>"1551601226587621"</f>
        <v>1551601226587621</v>
      </c>
      <c r="C5698" t="s">
        <v>40</v>
      </c>
      <c r="D5698">
        <v>5.1299910000000004</v>
      </c>
      <c r="E5698">
        <v>0.60384539999999998</v>
      </c>
      <c r="F5698" t="s">
        <v>49</v>
      </c>
      <c r="G5698">
        <v>-202.90960000000001</v>
      </c>
      <c r="H5698" s="1">
        <v>3.927712E-6</v>
      </c>
      <c r="I5698">
        <v>209.80699999999999</v>
      </c>
      <c r="J5698">
        <v>-208.3698</v>
      </c>
      <c r="K5698">
        <v>1.1190450000000001</v>
      </c>
      <c r="L5698">
        <v>214.61269999999999</v>
      </c>
      <c r="M5698">
        <v>0.98169030000000002</v>
      </c>
      <c r="N5698">
        <v>-1.3779690000000001E-2</v>
      </c>
      <c r="O5698">
        <v>-0.18998480000000001</v>
      </c>
      <c r="P5698">
        <v>0.89032979999999995</v>
      </c>
      <c r="Q5698">
        <v>0.1188593</v>
      </c>
      <c r="R5698">
        <v>-0.43952859999999999</v>
      </c>
      <c r="S5698">
        <v>2.419006</v>
      </c>
      <c r="T5698">
        <v>-0.47670259999999998</v>
      </c>
      <c r="U5698">
        <v>-2.0669710000000001</v>
      </c>
      <c r="V5698">
        <v>0.26314799999999999</v>
      </c>
      <c r="W5698">
        <v>0.13045960000000001</v>
      </c>
      <c r="X5698">
        <v>0.95589409999999997</v>
      </c>
      <c r="Y5698">
        <v>0.48924269999999997</v>
      </c>
      <c r="Z5698">
        <v>-1.6093940000000001E-2</v>
      </c>
      <c r="AA5698">
        <v>0.87199919999999997</v>
      </c>
      <c r="AB5698">
        <v>22</v>
      </c>
      <c r="AC5698">
        <v>5.46019999999998</v>
      </c>
      <c r="AD5698">
        <v>-1.119041072288</v>
      </c>
      <c r="AE5698">
        <v>-4.8056999999999697</v>
      </c>
      <c r="AF5698">
        <v>3.5956019881185002</v>
      </c>
      <c r="AG5698">
        <v>-1.119041072288</v>
      </c>
      <c r="AH5698">
        <v>6.1287737524477004</v>
      </c>
      <c r="AI5698">
        <v>98.949784788413695</v>
      </c>
      <c r="AJ5698">
        <v>59.600891713815201</v>
      </c>
      <c r="AK5698">
        <v>7.19322419274702</v>
      </c>
      <c r="AL5698">
        <v>82.503848764965298</v>
      </c>
      <c r="AM5698">
        <v>74.608307177678697</v>
      </c>
      <c r="AN5698">
        <v>1.0000000537754801</v>
      </c>
    </row>
    <row r="5699" spans="1:40" x14ac:dyDescent="0.25">
      <c r="A5699" t="str">
        <f>"20190303162026615"</f>
        <v>20190303162026615</v>
      </c>
      <c r="B5699" t="str">
        <f>"1551601226608116"</f>
        <v>1551601226608116</v>
      </c>
      <c r="C5699" t="s">
        <v>40</v>
      </c>
      <c r="D5699">
        <v>5.1005630000000002</v>
      </c>
      <c r="E5699">
        <v>0.60400609999999999</v>
      </c>
      <c r="F5699" t="s">
        <v>49</v>
      </c>
      <c r="G5699">
        <v>-202.75749999999999</v>
      </c>
      <c r="H5699" s="1">
        <v>3.8646859999999996E-6</v>
      </c>
      <c r="I5699">
        <v>209.7567</v>
      </c>
      <c r="J5699">
        <v>-208.16159999999999</v>
      </c>
      <c r="K5699">
        <v>1.119049</v>
      </c>
      <c r="L5699">
        <v>214.5675</v>
      </c>
      <c r="M5699">
        <v>0.98090770000000005</v>
      </c>
      <c r="N5699">
        <v>-1.3777050000000001E-2</v>
      </c>
      <c r="O5699">
        <v>-0.19398560000000001</v>
      </c>
      <c r="P5699">
        <v>0.88841170000000003</v>
      </c>
      <c r="Q5699">
        <v>0.11703470000000001</v>
      </c>
      <c r="R5699">
        <v>-0.4438781</v>
      </c>
      <c r="S5699">
        <v>2.4059140000000001</v>
      </c>
      <c r="T5699">
        <v>-0.479717</v>
      </c>
      <c r="U5699">
        <v>-2.081696</v>
      </c>
      <c r="V5699">
        <v>0.26386739999999997</v>
      </c>
      <c r="W5699">
        <v>0.1286331</v>
      </c>
      <c r="X5699">
        <v>0.95594330000000005</v>
      </c>
      <c r="Y5699">
        <v>0.49105330000000003</v>
      </c>
      <c r="Z5699">
        <v>-1.5755370000000001E-2</v>
      </c>
      <c r="AA5699">
        <v>0.87098709999999901</v>
      </c>
      <c r="AB5699">
        <v>22</v>
      </c>
      <c r="AC5699">
        <v>5.4040999999999997</v>
      </c>
      <c r="AD5699">
        <v>-1.1190451353140001</v>
      </c>
      <c r="AE5699">
        <v>-4.8108000000000004</v>
      </c>
      <c r="AF5699">
        <v>3.5852164128087001</v>
      </c>
      <c r="AG5699">
        <v>-1.1190451353140001</v>
      </c>
      <c r="AH5699">
        <v>6.0890786454823997</v>
      </c>
      <c r="AI5699">
        <v>98.999010521095101</v>
      </c>
      <c r="AJ5699">
        <v>59.510654530883301</v>
      </c>
      <c r="AK5699">
        <v>7.1542237519113598</v>
      </c>
      <c r="AL5699">
        <v>82.609388731641602</v>
      </c>
      <c r="AM5699">
        <v>74.5689884885509</v>
      </c>
      <c r="AN5699">
        <v>1.0000000360066199</v>
      </c>
    </row>
    <row r="5700" spans="1:40" x14ac:dyDescent="0.25">
      <c r="A5700" t="str">
        <f>"20190303162026637"</f>
        <v>20190303162026637</v>
      </c>
      <c r="B5700" t="str">
        <f>"1551601226627637"</f>
        <v>1551601226627637</v>
      </c>
      <c r="C5700" t="s">
        <v>40</v>
      </c>
      <c r="D5700">
        <v>5.1091530000000001</v>
      </c>
      <c r="E5700">
        <v>0.60401660000000001</v>
      </c>
      <c r="F5700" t="s">
        <v>49</v>
      </c>
      <c r="G5700">
        <v>-202.62459999999999</v>
      </c>
      <c r="H5700" s="1">
        <v>3.8086499999999999E-6</v>
      </c>
      <c r="I5700">
        <v>209.72309999999999</v>
      </c>
      <c r="J5700">
        <v>-207.94909999999999</v>
      </c>
      <c r="K5700">
        <v>1.1190469999999999</v>
      </c>
      <c r="L5700">
        <v>214.5205</v>
      </c>
      <c r="M5700">
        <v>0.98009100000000005</v>
      </c>
      <c r="N5700">
        <v>-1.3774450000000001E-2</v>
      </c>
      <c r="O5700">
        <v>-0.1980711</v>
      </c>
      <c r="P5700">
        <v>0.88643760000000005</v>
      </c>
      <c r="Q5700">
        <v>0.1161104</v>
      </c>
      <c r="R5700">
        <v>-0.44804830000000001</v>
      </c>
      <c r="S5700">
        <v>2.3940429999999999</v>
      </c>
      <c r="T5700">
        <v>-0.48383799999999999</v>
      </c>
      <c r="U5700">
        <v>-2.0945740000000002</v>
      </c>
      <c r="V5700">
        <v>0.26434590000000002</v>
      </c>
      <c r="W5700">
        <v>0.1277066</v>
      </c>
      <c r="X5700">
        <v>0.95593530000000004</v>
      </c>
      <c r="Y5700">
        <v>0.49217830000000001</v>
      </c>
      <c r="Z5700">
        <v>-1.535068E-2</v>
      </c>
      <c r="AA5700">
        <v>0.87035910000000005</v>
      </c>
      <c r="AB5700">
        <v>22</v>
      </c>
      <c r="AC5700">
        <v>5.3244999999999996</v>
      </c>
      <c r="AD5700">
        <v>-1.1190431913500001</v>
      </c>
      <c r="AE5700">
        <v>-4.7973999999999997</v>
      </c>
      <c r="AF5700">
        <v>3.5607944418344299</v>
      </c>
      <c r="AG5700">
        <v>-1.1190431913500001</v>
      </c>
      <c r="AH5700">
        <v>6.0224806840146501</v>
      </c>
      <c r="AI5700">
        <v>99.087243685532698</v>
      </c>
      <c r="AJ5700">
        <v>59.406278498095702</v>
      </c>
      <c r="AK5700">
        <v>7.0853220329379099</v>
      </c>
      <c r="AL5700">
        <v>82.662914580373894</v>
      </c>
      <c r="AM5700">
        <v>74.542219618534304</v>
      </c>
      <c r="AN5700">
        <v>1.0000000141582299</v>
      </c>
    </row>
    <row r="5701" spans="1:40" x14ac:dyDescent="0.25">
      <c r="A5701" t="str">
        <f>"20190303162026660"</f>
        <v>20190303162026660</v>
      </c>
      <c r="B5701" t="str">
        <f>"1551601226648133"</f>
        <v>1551601226648133</v>
      </c>
      <c r="C5701" t="s">
        <v>40</v>
      </c>
      <c r="D5701">
        <v>5.054773</v>
      </c>
      <c r="E5701">
        <v>0.60401899999999997</v>
      </c>
      <c r="F5701" t="s">
        <v>49</v>
      </c>
      <c r="G5701">
        <v>-202.46979999999999</v>
      </c>
      <c r="H5701" s="1">
        <v>3.7437989999999998E-6</v>
      </c>
      <c r="I5701">
        <v>209.6798</v>
      </c>
      <c r="J5701">
        <v>-207.73230000000001</v>
      </c>
      <c r="K5701">
        <v>1.1190519999999999</v>
      </c>
      <c r="L5701">
        <v>214.47149999999999</v>
      </c>
      <c r="M5701">
        <v>0.97923769999999999</v>
      </c>
      <c r="N5701">
        <v>-1.377191E-2</v>
      </c>
      <c r="O5701">
        <v>-0.20224710000000001</v>
      </c>
      <c r="P5701">
        <v>0.88426990000000005</v>
      </c>
      <c r="Q5701">
        <v>0.1159657</v>
      </c>
      <c r="R5701">
        <v>-0.45234809999999998</v>
      </c>
      <c r="S5701">
        <v>2.3836979999999999</v>
      </c>
      <c r="T5701">
        <v>-0.48682170000000002</v>
      </c>
      <c r="U5701">
        <v>-2.1058500000000002</v>
      </c>
      <c r="V5701">
        <v>0.2649089</v>
      </c>
      <c r="W5701">
        <v>0.12755719999999901</v>
      </c>
      <c r="X5701">
        <v>0.95579939999999997</v>
      </c>
      <c r="Y5701">
        <v>0.49264469999999999</v>
      </c>
      <c r="Z5701">
        <v>-1.48361E-2</v>
      </c>
      <c r="AA5701">
        <v>0.87010409999999905</v>
      </c>
      <c r="AB5701">
        <v>22</v>
      </c>
      <c r="AC5701">
        <v>5.2625000000000099</v>
      </c>
      <c r="AD5701">
        <v>-1.119048256201</v>
      </c>
      <c r="AE5701">
        <v>-4.7916999999999899</v>
      </c>
      <c r="AF5701">
        <v>3.54069925037403</v>
      </c>
      <c r="AG5701">
        <v>-1.119048256201</v>
      </c>
      <c r="AH5701">
        <v>5.9752080914021199</v>
      </c>
      <c r="AI5701">
        <v>99.152778056592993</v>
      </c>
      <c r="AJ5701">
        <v>59.350501632134304</v>
      </c>
      <c r="AK5701">
        <v>7.0350502426680004</v>
      </c>
      <c r="AL5701">
        <v>82.671545261882301</v>
      </c>
      <c r="AM5701">
        <v>74.5087804631886</v>
      </c>
      <c r="AN5701">
        <v>1.0000000288057</v>
      </c>
    </row>
    <row r="5702" spans="1:40" x14ac:dyDescent="0.25">
      <c r="A5702" t="str">
        <f>"20190303162026683"</f>
        <v>20190303162026683</v>
      </c>
      <c r="B5702" t="str">
        <f>"1551601226678388"</f>
        <v>1551601226678388</v>
      </c>
      <c r="C5702" t="s">
        <v>40</v>
      </c>
      <c r="D5702">
        <v>5.0238239999999896</v>
      </c>
      <c r="E5702">
        <v>0.60424069999999996</v>
      </c>
      <c r="F5702" t="s">
        <v>49</v>
      </c>
      <c r="G5702">
        <v>-202.2927</v>
      </c>
      <c r="H5702" s="1">
        <v>3.6704710000000001E-6</v>
      </c>
      <c r="I5702">
        <v>209.62049999999999</v>
      </c>
      <c r="J5702">
        <v>-207.5206</v>
      </c>
      <c r="K5702">
        <v>1.119046</v>
      </c>
      <c r="L5702">
        <v>214.4229</v>
      </c>
      <c r="M5702">
        <v>0.97838440000000004</v>
      </c>
      <c r="N5702">
        <v>-1.3769709999999999E-2</v>
      </c>
      <c r="O5702">
        <v>-0.20633550000000001</v>
      </c>
      <c r="P5702">
        <v>0.88210499999999903</v>
      </c>
      <c r="Q5702">
        <v>0.1161987</v>
      </c>
      <c r="R5702">
        <v>-0.45649610000000002</v>
      </c>
      <c r="S5702">
        <v>2.3737339999999998</v>
      </c>
      <c r="T5702">
        <v>-0.48833660000000001</v>
      </c>
      <c r="U5702">
        <v>-2.1169280000000001</v>
      </c>
      <c r="V5702">
        <v>0.26541409999999999</v>
      </c>
      <c r="W5702">
        <v>0.12778229999999999</v>
      </c>
      <c r="X5702">
        <v>0.95562910000000001</v>
      </c>
      <c r="Y5702">
        <v>0.4930986</v>
      </c>
      <c r="Z5702">
        <v>-1.4300709999999999E-2</v>
      </c>
      <c r="AA5702">
        <v>0.86985579999999996</v>
      </c>
      <c r="AB5702">
        <v>22</v>
      </c>
      <c r="AC5702">
        <v>5.2279</v>
      </c>
      <c r="AD5702">
        <v>-1.119042329529</v>
      </c>
      <c r="AE5702">
        <v>-4.8023999999999996</v>
      </c>
      <c r="AF5702">
        <v>3.5324560505523799</v>
      </c>
      <c r="AG5702">
        <v>-1.119042329529</v>
      </c>
      <c r="AH5702">
        <v>5.9583202583145702</v>
      </c>
      <c r="AI5702">
        <v>99.177059867526594</v>
      </c>
      <c r="AJ5702">
        <v>59.337949202047398</v>
      </c>
      <c r="AK5702">
        <v>7.0165576877129503</v>
      </c>
      <c r="AL5702">
        <v>82.658541126045904</v>
      </c>
      <c r="AM5702">
        <v>74.478027963051304</v>
      </c>
      <c r="AN5702">
        <v>0.99999996871945396</v>
      </c>
    </row>
    <row r="5703" spans="1:40" x14ac:dyDescent="0.25">
      <c r="A5703" t="str">
        <f>"20190303162026705"</f>
        <v>20190303162026705</v>
      </c>
      <c r="B5703" t="str">
        <f>"1551601226697908"</f>
        <v>1551601226697908</v>
      </c>
      <c r="C5703" t="s">
        <v>40</v>
      </c>
      <c r="D5703">
        <v>4.9970400000000001</v>
      </c>
      <c r="E5703">
        <v>0.60436509999999999</v>
      </c>
      <c r="F5703" t="s">
        <v>49</v>
      </c>
      <c r="G5703">
        <v>-202.0993</v>
      </c>
      <c r="H5703" s="1">
        <v>3.5987310000000002E-6</v>
      </c>
      <c r="I5703">
        <v>209.53870000000001</v>
      </c>
      <c r="J5703">
        <v>-207.30879999999999</v>
      </c>
      <c r="K5703">
        <v>1.119043</v>
      </c>
      <c r="L5703">
        <v>214.3732</v>
      </c>
      <c r="M5703">
        <v>0.97750740000000003</v>
      </c>
      <c r="N5703">
        <v>-1.3767990000000001E-2</v>
      </c>
      <c r="O5703">
        <v>-0.2104512</v>
      </c>
      <c r="P5703">
        <v>0.87950799999999996</v>
      </c>
      <c r="Q5703">
        <v>0.1171751</v>
      </c>
      <c r="R5703">
        <v>-0.4612329</v>
      </c>
      <c r="S5703">
        <v>2.3633579999999998</v>
      </c>
      <c r="T5703">
        <v>-0.4878362</v>
      </c>
      <c r="U5703">
        <v>-2.129181</v>
      </c>
      <c r="V5703">
        <v>0.26656839999999998</v>
      </c>
      <c r="W5703">
        <v>0.12873950000000001</v>
      </c>
      <c r="X5703">
        <v>0.95517929999999995</v>
      </c>
      <c r="Y5703">
        <v>0.493867</v>
      </c>
      <c r="Z5703">
        <v>-1.375725E-2</v>
      </c>
      <c r="AA5703">
        <v>0.8694286</v>
      </c>
      <c r="AB5703">
        <v>22</v>
      </c>
      <c r="AC5703">
        <v>5.2094999999999896</v>
      </c>
      <c r="AD5703">
        <v>-1.1190394012689999</v>
      </c>
      <c r="AE5703">
        <v>-4.8344999999999896</v>
      </c>
      <c r="AF5703">
        <v>3.5419479550089998</v>
      </c>
      <c r="AG5703">
        <v>-1.1190394012689999</v>
      </c>
      <c r="AH5703">
        <v>5.9625108944275196</v>
      </c>
      <c r="AI5703">
        <v>99.166047293605601</v>
      </c>
      <c r="AJ5703">
        <v>59.288150517928202</v>
      </c>
      <c r="AK5703">
        <v>7.0248971995148697</v>
      </c>
      <c r="AL5703">
        <v>82.603241324800507</v>
      </c>
      <c r="AM5703">
        <v>74.406814263262504</v>
      </c>
      <c r="AN5703">
        <v>1.00000003294364</v>
      </c>
    </row>
    <row r="5704" spans="1:40" x14ac:dyDescent="0.25">
      <c r="A5704" t="str">
        <f>"20190303162026727"</f>
        <v>20190303162026727</v>
      </c>
      <c r="B5704" t="str">
        <f>"1551601226718405"</f>
        <v>1551601226718405</v>
      </c>
      <c r="C5704" t="s">
        <v>40</v>
      </c>
      <c r="D5704">
        <v>5.0090870000000001</v>
      </c>
      <c r="E5704">
        <v>0.60456160000000003</v>
      </c>
      <c r="F5704" t="s">
        <v>49</v>
      </c>
      <c r="G5704">
        <v>-201.87190000000001</v>
      </c>
      <c r="H5704" s="1">
        <v>3.5192140000000001E-6</v>
      </c>
      <c r="I5704">
        <v>209.41749999999999</v>
      </c>
      <c r="J5704">
        <v>-207.1046</v>
      </c>
      <c r="K5704">
        <v>1.1190290000000001</v>
      </c>
      <c r="L5704">
        <v>214.32429999999999</v>
      </c>
      <c r="M5704">
        <v>0.97663659999999997</v>
      </c>
      <c r="N5704">
        <v>-1.376698E-2</v>
      </c>
      <c r="O5704">
        <v>-0.21445639999999999</v>
      </c>
      <c r="P5704">
        <v>0.87626599999999999</v>
      </c>
      <c r="Q5704">
        <v>0.1183713</v>
      </c>
      <c r="R5704">
        <v>-0.46706150000000002</v>
      </c>
      <c r="S5704">
        <v>2.351486</v>
      </c>
      <c r="T5704">
        <v>-0.48398839999999999</v>
      </c>
      <c r="U5704">
        <v>-2.1433559999999998</v>
      </c>
      <c r="V5704">
        <v>0.26904470000000003</v>
      </c>
      <c r="W5704">
        <v>0.12989700000000001</v>
      </c>
      <c r="X5704">
        <v>0.95432790000000001</v>
      </c>
      <c r="Y5704">
        <v>0.4954286</v>
      </c>
      <c r="Z5704">
        <v>-1.326365E-2</v>
      </c>
      <c r="AA5704">
        <v>0.86854739999999997</v>
      </c>
      <c r="AB5704">
        <v>22</v>
      </c>
      <c r="AC5704">
        <v>5.2326999999999897</v>
      </c>
      <c r="AD5704">
        <v>-1.1190254807860001</v>
      </c>
      <c r="AE5704">
        <v>-4.9067999999999996</v>
      </c>
      <c r="AF5704">
        <v>3.5831272512920198</v>
      </c>
      <c r="AG5704">
        <v>-1.1190254807860001</v>
      </c>
      <c r="AH5704">
        <v>6.0169043228968704</v>
      </c>
      <c r="AI5704">
        <v>99.078679700898405</v>
      </c>
      <c r="AJ5704">
        <v>59.225774633299501</v>
      </c>
      <c r="AK5704">
        <v>7.0918373188120203</v>
      </c>
      <c r="AL5704">
        <v>82.536359699124702</v>
      </c>
      <c r="AM5704">
        <v>74.255762018046099</v>
      </c>
      <c r="AN5704">
        <v>1.00000001096274</v>
      </c>
    </row>
    <row r="5705" spans="1:40" x14ac:dyDescent="0.25">
      <c r="A5705" t="str">
        <f>"20190303162026750"</f>
        <v>20190303162026750</v>
      </c>
      <c r="B5705" t="str">
        <f>"1551601226737924"</f>
        <v>1551601226737924</v>
      </c>
      <c r="C5705" t="s">
        <v>40</v>
      </c>
      <c r="D5705">
        <v>4.9916720000000003</v>
      </c>
      <c r="E5705">
        <v>0.60477999999999998</v>
      </c>
      <c r="F5705" t="s">
        <v>49</v>
      </c>
      <c r="G5705">
        <v>-201.65289999999999</v>
      </c>
      <c r="H5705" s="1">
        <v>3.4456929999999999E-6</v>
      </c>
      <c r="I5705">
        <v>209.28370000000001</v>
      </c>
      <c r="J5705">
        <v>-206.8879</v>
      </c>
      <c r="K5705">
        <v>1.119016</v>
      </c>
      <c r="L5705">
        <v>214.2713</v>
      </c>
      <c r="M5705">
        <v>0.97568359999999998</v>
      </c>
      <c r="N5705">
        <v>-1.3766499999999999E-2</v>
      </c>
      <c r="O5705">
        <v>-0.21875120000000001</v>
      </c>
      <c r="P5705">
        <v>0.87274819999999997</v>
      </c>
      <c r="Q5705">
        <v>0.1190592</v>
      </c>
      <c r="R5705">
        <v>-0.47342960000000001</v>
      </c>
      <c r="S5705">
        <v>2.3367770000000001</v>
      </c>
      <c r="T5705">
        <v>-0.47965150000000001</v>
      </c>
      <c r="U5705">
        <v>-2.160568</v>
      </c>
      <c r="V5705">
        <v>0.27183089999999999</v>
      </c>
      <c r="W5705">
        <v>0.1305395</v>
      </c>
      <c r="X5705">
        <v>0.95345029999999997</v>
      </c>
      <c r="Y5705">
        <v>0.4978552</v>
      </c>
      <c r="Z5705">
        <v>-1.2814280000000001E-2</v>
      </c>
      <c r="AA5705">
        <v>0.86716550000000003</v>
      </c>
      <c r="AB5705">
        <v>21</v>
      </c>
      <c r="AC5705">
        <v>5.2350000000000101</v>
      </c>
      <c r="AD5705">
        <v>-1.119012554307</v>
      </c>
      <c r="AE5705">
        <v>-4.98759999999998</v>
      </c>
      <c r="AF5705">
        <v>3.6344606677732498</v>
      </c>
      <c r="AG5705">
        <v>-1.119012554307</v>
      </c>
      <c r="AH5705">
        <v>6.0543273744798896</v>
      </c>
      <c r="AI5705">
        <v>99.004650461929501</v>
      </c>
      <c r="AJ5705">
        <v>59.0232728291912</v>
      </c>
      <c r="AK5705">
        <v>7.14957155357326</v>
      </c>
      <c r="AL5705">
        <v>82.499231218753394</v>
      </c>
      <c r="AM5705">
        <v>74.087025706302001</v>
      </c>
      <c r="AN5705">
        <v>1.0000000369125699</v>
      </c>
    </row>
    <row r="5706" spans="1:40" x14ac:dyDescent="0.25">
      <c r="A5706" t="str">
        <f>"20190303162026772"</f>
        <v>20190303162026772</v>
      </c>
      <c r="B5706" t="str">
        <f>"1551601226768180"</f>
        <v>1551601226768180</v>
      </c>
      <c r="C5706" t="s">
        <v>40</v>
      </c>
      <c r="D5706">
        <v>5.1848619999999999</v>
      </c>
      <c r="E5706">
        <v>0.604882699999999</v>
      </c>
      <c r="F5706" t="s">
        <v>49</v>
      </c>
      <c r="G5706">
        <v>-201.4502</v>
      </c>
      <c r="H5706" s="1">
        <v>3.376347E-6</v>
      </c>
      <c r="I5706">
        <v>209.167</v>
      </c>
      <c r="J5706">
        <v>-206.6815</v>
      </c>
      <c r="K5706">
        <v>1.118995</v>
      </c>
      <c r="L5706">
        <v>214.22</v>
      </c>
      <c r="M5706">
        <v>0.97474590000000005</v>
      </c>
      <c r="N5706">
        <v>-1.3766499999999999E-2</v>
      </c>
      <c r="O5706">
        <v>-0.2228928</v>
      </c>
      <c r="P5706">
        <v>0.86946109999999899</v>
      </c>
      <c r="Q5706">
        <v>0.11916259999999999</v>
      </c>
      <c r="R5706">
        <v>-0.47941440000000002</v>
      </c>
      <c r="S5706">
        <v>2.3208160000000002</v>
      </c>
      <c r="T5706">
        <v>-0.47759960000000001</v>
      </c>
      <c r="U5706">
        <v>-2.1785739999999998</v>
      </c>
      <c r="V5706">
        <v>0.2743486</v>
      </c>
      <c r="W5706">
        <v>0.13059809999999999</v>
      </c>
      <c r="X5706">
        <v>0.95272080000000003</v>
      </c>
      <c r="Y5706">
        <v>0.50075439999999904</v>
      </c>
      <c r="Z5706">
        <v>-1.246938E-2</v>
      </c>
      <c r="AA5706">
        <v>0.86549959999999904</v>
      </c>
      <c r="AB5706">
        <v>21</v>
      </c>
      <c r="AC5706">
        <v>5.2313000000000001</v>
      </c>
      <c r="AD5706">
        <v>-1.118991623653</v>
      </c>
      <c r="AE5706">
        <v>-5.0529999999999902</v>
      </c>
      <c r="AF5706">
        <v>3.6727916100848299</v>
      </c>
      <c r="AG5706">
        <v>-1.118991623653</v>
      </c>
      <c r="AH5706">
        <v>6.08208979062218</v>
      </c>
      <c r="AI5706">
        <v>98.950181136086201</v>
      </c>
      <c r="AJ5706">
        <v>58.873481269445499</v>
      </c>
      <c r="AK5706">
        <v>7.1925904016637601</v>
      </c>
      <c r="AL5706">
        <v>82.495844193018797</v>
      </c>
      <c r="AM5706">
        <v>73.935542604995902</v>
      </c>
      <c r="AN5706">
        <v>0.99999997039910404</v>
      </c>
    </row>
    <row r="5707" spans="1:40" x14ac:dyDescent="0.25">
      <c r="A5707" t="str">
        <f>"20190303162026794"</f>
        <v>20190303162026794</v>
      </c>
      <c r="B5707" t="str">
        <f>"1551601226787700"</f>
        <v>1551601226787700</v>
      </c>
      <c r="C5707" t="s">
        <v>40</v>
      </c>
      <c r="D5707">
        <v>4.9697100000000001</v>
      </c>
      <c r="E5707">
        <v>0.60430379999999995</v>
      </c>
      <c r="F5707" t="s">
        <v>49</v>
      </c>
      <c r="G5707">
        <v>-201.27119999999999</v>
      </c>
      <c r="H5707" s="1">
        <v>3.3142470000000002E-6</v>
      </c>
      <c r="I5707">
        <v>209.06870000000001</v>
      </c>
      <c r="J5707">
        <v>-206.47120000000001</v>
      </c>
      <c r="K5707">
        <v>1.1189610000000001</v>
      </c>
      <c r="L5707">
        <v>214.16659999999999</v>
      </c>
      <c r="M5707">
        <v>0.97375449999999997</v>
      </c>
      <c r="N5707">
        <v>-1.3767160000000001E-2</v>
      </c>
      <c r="O5707">
        <v>-0.22718450000000001</v>
      </c>
      <c r="P5707">
        <v>0.86596399999999996</v>
      </c>
      <c r="Q5707">
        <v>0.11952409999999999</v>
      </c>
      <c r="R5707">
        <v>-0.48561369999999998</v>
      </c>
      <c r="S5707">
        <v>2.30545</v>
      </c>
      <c r="T5707">
        <v>-0.4768251</v>
      </c>
      <c r="U5707">
        <v>-2.1950379999999998</v>
      </c>
      <c r="V5707">
        <v>0.27698699999999998</v>
      </c>
      <c r="W5707">
        <v>0.130908199999999</v>
      </c>
      <c r="X5707">
        <v>0.9519145</v>
      </c>
      <c r="Y5707">
        <v>0.50308409999999903</v>
      </c>
      <c r="Z5707">
        <v>-1.2064800000000001E-2</v>
      </c>
      <c r="AA5707">
        <v>0.86415330000000001</v>
      </c>
      <c r="AB5707">
        <v>21</v>
      </c>
      <c r="AC5707">
        <v>5.2000000000000099</v>
      </c>
      <c r="AD5707">
        <v>-1.1189576857529999</v>
      </c>
      <c r="AE5707">
        <v>-5.0978999999999797</v>
      </c>
      <c r="AF5707">
        <v>3.6958388616443201</v>
      </c>
      <c r="AG5707">
        <v>-1.1189576857529999</v>
      </c>
      <c r="AH5707">
        <v>6.0787501356073701</v>
      </c>
      <c r="AI5707">
        <v>98.938666463330307</v>
      </c>
      <c r="AJ5707">
        <v>58.7006823345002</v>
      </c>
      <c r="AK5707">
        <v>7.2015619420298496</v>
      </c>
      <c r="AL5707">
        <v>82.477923027843502</v>
      </c>
      <c r="AM5707">
        <v>73.776120581390103</v>
      </c>
      <c r="AN5707">
        <v>0.99999998515324495</v>
      </c>
    </row>
    <row r="5708" spans="1:40" x14ac:dyDescent="0.25">
      <c r="A5708" t="str">
        <f>"20190303162026816"</f>
        <v>20190303162026816</v>
      </c>
      <c r="B5708" t="str">
        <f>"1551601226808197"</f>
        <v>1551601226808197</v>
      </c>
      <c r="C5708" t="s">
        <v>40</v>
      </c>
      <c r="D5708">
        <v>4.8623580000000004</v>
      </c>
      <c r="E5708">
        <v>0.60375480000000004</v>
      </c>
      <c r="F5708" t="s">
        <v>49</v>
      </c>
      <c r="G5708">
        <v>-201.035</v>
      </c>
      <c r="H5708" s="1">
        <v>3.233737E-6</v>
      </c>
      <c r="I5708">
        <v>208.93119999999999</v>
      </c>
      <c r="J5708">
        <v>-206.26070000000001</v>
      </c>
      <c r="K5708">
        <v>1.1189180000000001</v>
      </c>
      <c r="L5708">
        <v>214.11199999999999</v>
      </c>
      <c r="M5708">
        <v>0.97271909999999895</v>
      </c>
      <c r="N5708">
        <v>-1.376904E-2</v>
      </c>
      <c r="O5708">
        <v>-0.23157700000000001</v>
      </c>
      <c r="P5708">
        <v>0.86219219999999896</v>
      </c>
      <c r="Q5708">
        <v>0.120515</v>
      </c>
      <c r="R5708">
        <v>-0.49203750000000002</v>
      </c>
      <c r="S5708">
        <v>2.291779</v>
      </c>
      <c r="T5708">
        <v>-0.47172760000000002</v>
      </c>
      <c r="U5708">
        <v>-2.2070919999999998</v>
      </c>
      <c r="V5708">
        <v>0.2798255</v>
      </c>
      <c r="W5708">
        <v>0.1318347</v>
      </c>
      <c r="X5708">
        <v>0.95095600000000002</v>
      </c>
      <c r="Y5708">
        <v>0.50421119999999997</v>
      </c>
      <c r="Z5708">
        <v>-1.148851E-2</v>
      </c>
      <c r="AA5708">
        <v>0.86350389999999999</v>
      </c>
      <c r="AB5708">
        <v>21</v>
      </c>
      <c r="AC5708">
        <v>5.2257000000000096</v>
      </c>
      <c r="AD5708">
        <v>-1.1189147662629999</v>
      </c>
      <c r="AE5708">
        <v>-5.1807999999999996</v>
      </c>
      <c r="AF5708">
        <v>3.7431294595656199</v>
      </c>
      <c r="AG5708">
        <v>-1.1189147662629999</v>
      </c>
      <c r="AH5708">
        <v>6.1414907828452998</v>
      </c>
      <c r="AI5708">
        <v>98.842711139112794</v>
      </c>
      <c r="AJ5708">
        <v>58.638435080233499</v>
      </c>
      <c r="AK5708">
        <v>7.2787978019040498</v>
      </c>
      <c r="AL5708">
        <v>82.424374551534399</v>
      </c>
      <c r="AM5708">
        <v>73.603109068249694</v>
      </c>
      <c r="AN5708">
        <v>1.0000000062551699</v>
      </c>
    </row>
    <row r="5709" spans="1:40" x14ac:dyDescent="0.25">
      <c r="A5709" t="str">
        <f>"20190303162026839"</f>
        <v>20190303162026839</v>
      </c>
      <c r="B5709" t="str">
        <f>"1551601226827717"</f>
        <v>1551601226827717</v>
      </c>
      <c r="C5709" t="s">
        <v>40</v>
      </c>
      <c r="D5709">
        <v>4.8685989999999997</v>
      </c>
      <c r="E5709">
        <v>0.60393859999999999</v>
      </c>
      <c r="F5709" t="s">
        <v>49</v>
      </c>
      <c r="G5709">
        <v>-200.76329999999999</v>
      </c>
      <c r="H5709" s="1">
        <v>3.1487239999999998E-6</v>
      </c>
      <c r="I5709">
        <v>208.75700000000001</v>
      </c>
      <c r="J5709">
        <v>-206.05709999999999</v>
      </c>
      <c r="K5709">
        <v>1.118852</v>
      </c>
      <c r="L5709">
        <v>214.0583</v>
      </c>
      <c r="M5709">
        <v>0.97167099999999995</v>
      </c>
      <c r="N5709">
        <v>-1.3772360000000001E-2</v>
      </c>
      <c r="O5709">
        <v>-0.2359359</v>
      </c>
      <c r="P5709">
        <v>0.85785089999999997</v>
      </c>
      <c r="Q5709">
        <v>0.1208587</v>
      </c>
      <c r="R5709">
        <v>-0.4994845</v>
      </c>
      <c r="S5709">
        <v>2.2779850000000001</v>
      </c>
      <c r="T5709">
        <v>-0.4636537</v>
      </c>
      <c r="U5709">
        <v>-2.2190249999999998</v>
      </c>
      <c r="V5709">
        <v>0.28383540000000002</v>
      </c>
      <c r="W5709">
        <v>0.13209470000000001</v>
      </c>
      <c r="X5709">
        <v>0.94973070000000004</v>
      </c>
      <c r="Y5709">
        <v>0.50540479999999999</v>
      </c>
      <c r="Z5709">
        <v>-1.090959E-2</v>
      </c>
      <c r="AA5709">
        <v>0.86281339999999995</v>
      </c>
      <c r="AB5709">
        <v>21</v>
      </c>
      <c r="AC5709">
        <v>5.2938000000000001</v>
      </c>
      <c r="AD5709">
        <v>-1.118848851276</v>
      </c>
      <c r="AE5709">
        <v>-5.3012999999999897</v>
      </c>
      <c r="AF5709">
        <v>3.8173539201846398</v>
      </c>
      <c r="AG5709">
        <v>-1.118848851276</v>
      </c>
      <c r="AH5709">
        <v>6.2556853039041398</v>
      </c>
      <c r="AI5709">
        <v>98.6804610852964</v>
      </c>
      <c r="AJ5709">
        <v>58.607558845686903</v>
      </c>
      <c r="AK5709">
        <v>7.4133401598357098</v>
      </c>
      <c r="AL5709">
        <v>82.409345965670099</v>
      </c>
      <c r="AM5709">
        <v>73.360760439867207</v>
      </c>
      <c r="AN5709">
        <v>0.99999997329186896</v>
      </c>
    </row>
    <row r="5710" spans="1:40" x14ac:dyDescent="0.25">
      <c r="A5710" t="str">
        <f>"20190303162026861"</f>
        <v>20190303162026861</v>
      </c>
      <c r="B5710" t="str">
        <f>"1551601226857974"</f>
        <v>1551601226857974</v>
      </c>
      <c r="C5710" t="s">
        <v>40</v>
      </c>
      <c r="D5710">
        <v>4.940207</v>
      </c>
      <c r="E5710">
        <v>0.60326269999999904</v>
      </c>
      <c r="F5710" t="s">
        <v>49</v>
      </c>
      <c r="G5710">
        <v>-200.4888</v>
      </c>
      <c r="H5710" s="1">
        <v>3.1105699999999999E-6</v>
      </c>
      <c r="I5710">
        <v>208.53319999999999</v>
      </c>
      <c r="J5710">
        <v>-205.84469999999999</v>
      </c>
      <c r="K5710">
        <v>1.1187640000000001</v>
      </c>
      <c r="L5710">
        <v>214.001</v>
      </c>
      <c r="M5710">
        <v>0.97052050000000001</v>
      </c>
      <c r="N5710">
        <v>-1.3777609999999999E-2</v>
      </c>
      <c r="O5710">
        <v>-0.2406248</v>
      </c>
      <c r="P5710">
        <v>0.85367769999999998</v>
      </c>
      <c r="Q5710">
        <v>0.1194349</v>
      </c>
      <c r="R5710">
        <v>-0.50692199999999998</v>
      </c>
      <c r="S5710">
        <v>2.257034</v>
      </c>
      <c r="T5710">
        <v>-0.453509</v>
      </c>
      <c r="U5710">
        <v>-2.239487</v>
      </c>
      <c r="V5710">
        <v>0.2874796</v>
      </c>
      <c r="W5710">
        <v>0.13057779999999999</v>
      </c>
      <c r="X5710">
        <v>0.94884400000000002</v>
      </c>
      <c r="Y5710">
        <v>0.50930659999999905</v>
      </c>
      <c r="Z5710">
        <v>-1.0543210000000001E-2</v>
      </c>
      <c r="AA5710">
        <v>0.86052050000000002</v>
      </c>
      <c r="AB5710">
        <v>21</v>
      </c>
      <c r="AC5710">
        <v>5.3558999999999903</v>
      </c>
      <c r="AD5710">
        <v>-1.1187608894299901</v>
      </c>
      <c r="AE5710">
        <v>-5.46779999999998</v>
      </c>
      <c r="AF5710">
        <v>3.9341762993429401</v>
      </c>
      <c r="AG5710">
        <v>-1.1187608894299901</v>
      </c>
      <c r="AH5710">
        <v>6.3780486417949902</v>
      </c>
      <c r="AI5710">
        <v>98.491046958354403</v>
      </c>
      <c r="AJ5710">
        <v>58.332439733234501</v>
      </c>
      <c r="AK5710">
        <v>7.5768643619331604</v>
      </c>
      <c r="AL5710">
        <v>82.497017636954098</v>
      </c>
      <c r="AM5710">
        <v>73.144304906264495</v>
      </c>
      <c r="AN5710">
        <v>1.0000000093024899</v>
      </c>
    </row>
    <row r="5711" spans="1:40" x14ac:dyDescent="0.25">
      <c r="A5711" t="str">
        <f>"20190303162026884"</f>
        <v>20190303162026884</v>
      </c>
      <c r="B5711" t="str">
        <f>"1551601226878469"</f>
        <v>1551601226878469</v>
      </c>
      <c r="C5711" t="s">
        <v>40</v>
      </c>
      <c r="D5711">
        <v>4.9605489999999897</v>
      </c>
      <c r="E5711">
        <v>0.60263129999999998</v>
      </c>
      <c r="F5711" t="s">
        <v>49</v>
      </c>
      <c r="G5711">
        <v>-200.27010000000001</v>
      </c>
      <c r="H5711" s="1">
        <v>3.0726590000000002E-6</v>
      </c>
      <c r="I5711">
        <v>208.38339999999999</v>
      </c>
      <c r="J5711">
        <v>-205.6378</v>
      </c>
      <c r="K5711">
        <v>1.1186560000000001</v>
      </c>
      <c r="L5711">
        <v>213.94390000000001</v>
      </c>
      <c r="M5711">
        <v>0.96933230000000004</v>
      </c>
      <c r="N5711">
        <v>-1.378484E-2</v>
      </c>
      <c r="O5711">
        <v>-0.2453671</v>
      </c>
      <c r="P5711">
        <v>0.84945110000000001</v>
      </c>
      <c r="Q5711">
        <v>0.11939760000000001</v>
      </c>
      <c r="R5711">
        <v>-0.51398140000000003</v>
      </c>
      <c r="S5711">
        <v>2.23793</v>
      </c>
      <c r="T5711">
        <v>-0.44912200000000002</v>
      </c>
      <c r="U5711">
        <v>-2.2551570000000001</v>
      </c>
      <c r="V5711">
        <v>0.29074309999999998</v>
      </c>
      <c r="W5711">
        <v>0.13043589999999999</v>
      </c>
      <c r="X5711">
        <v>0.94786859999999995</v>
      </c>
      <c r="Y5711">
        <v>0.51181790000000005</v>
      </c>
      <c r="Z5711">
        <v>-1.009786E-2</v>
      </c>
      <c r="AA5711">
        <v>0.85903459999999998</v>
      </c>
      <c r="AB5711">
        <v>21</v>
      </c>
      <c r="AC5711">
        <v>5.3676999999999797</v>
      </c>
      <c r="AD5711">
        <v>-1.118652927341</v>
      </c>
      <c r="AE5711">
        <v>-5.56050000000001</v>
      </c>
      <c r="AF5711">
        <v>3.9897166207472199</v>
      </c>
      <c r="AG5711">
        <v>-1.118652927341</v>
      </c>
      <c r="AH5711">
        <v>6.4332935188552502</v>
      </c>
      <c r="AI5711">
        <v>98.406004161895297</v>
      </c>
      <c r="AJ5711">
        <v>58.194174315007402</v>
      </c>
      <c r="AK5711">
        <v>7.6522211537213298</v>
      </c>
      <c r="AL5711">
        <v>82.505217810814102</v>
      </c>
      <c r="AM5711">
        <v>72.947466406101697</v>
      </c>
      <c r="AN5711">
        <v>0.99999997853618905</v>
      </c>
    </row>
    <row r="5712" spans="1:40" x14ac:dyDescent="0.25">
      <c r="A5712" t="str">
        <f>"20190303162026906"</f>
        <v>20190303162026906</v>
      </c>
      <c r="B5712" t="str">
        <f>"1551601226897988"</f>
        <v>1551601226897988</v>
      </c>
      <c r="C5712" t="s">
        <v>40</v>
      </c>
      <c r="D5712">
        <v>4.8725189999999996</v>
      </c>
      <c r="E5712">
        <v>0.60212310000000002</v>
      </c>
      <c r="F5712" t="s">
        <v>49</v>
      </c>
      <c r="G5712">
        <v>-200.06540000000001</v>
      </c>
      <c r="H5712" s="1">
        <v>3.036183E-6</v>
      </c>
      <c r="I5712">
        <v>208.24690000000001</v>
      </c>
      <c r="J5712">
        <v>-205.43440000000001</v>
      </c>
      <c r="K5712">
        <v>1.118525</v>
      </c>
      <c r="L5712">
        <v>213.88640000000001</v>
      </c>
      <c r="M5712">
        <v>0.9680839</v>
      </c>
      <c r="N5712">
        <v>-1.3794870000000001E-2</v>
      </c>
      <c r="O5712">
        <v>-0.25024689999999999</v>
      </c>
      <c r="P5712">
        <v>0.8451514</v>
      </c>
      <c r="Q5712">
        <v>0.1208316</v>
      </c>
      <c r="R5712">
        <v>-0.52069109999999996</v>
      </c>
      <c r="S5712">
        <v>2.2206730000000001</v>
      </c>
      <c r="T5712">
        <v>-0.4457971</v>
      </c>
      <c r="U5712">
        <v>-2.2703250000000001</v>
      </c>
      <c r="V5712">
        <v>0.29358010000000001</v>
      </c>
      <c r="W5712">
        <v>0.13175100000000001</v>
      </c>
      <c r="X5712">
        <v>0.94681170000000003</v>
      </c>
      <c r="Y5712">
        <v>0.51375130000000002</v>
      </c>
      <c r="Z5712">
        <v>-9.5941419999999999E-3</v>
      </c>
      <c r="AA5712">
        <v>0.85788549999999997</v>
      </c>
      <c r="AB5712">
        <v>21</v>
      </c>
      <c r="AC5712">
        <v>5.3689999999999998</v>
      </c>
      <c r="AD5712">
        <v>-1.1185219638169901</v>
      </c>
      <c r="AE5712">
        <v>-5.6394999999999902</v>
      </c>
      <c r="AF5712">
        <v>4.03310239851871</v>
      </c>
      <c r="AG5712">
        <v>-1.1185219638169901</v>
      </c>
      <c r="AH5712">
        <v>6.4759087734929999</v>
      </c>
      <c r="AI5712">
        <v>98.3408472907998</v>
      </c>
      <c r="AJ5712">
        <v>58.085946238471699</v>
      </c>
      <c r="AK5712">
        <v>7.7106679855303097</v>
      </c>
      <c r="AL5712">
        <v>82.429212346075801</v>
      </c>
      <c r="AM5712">
        <v>72.772783569407594</v>
      </c>
      <c r="AN5712">
        <v>0.99999999818694996</v>
      </c>
    </row>
    <row r="5713" spans="1:40" x14ac:dyDescent="0.25">
      <c r="A5713" t="str">
        <f>"20190303162026928"</f>
        <v>20190303162026928</v>
      </c>
      <c r="B5713" t="str">
        <f>"1551601226918484"</f>
        <v>1551601226918484</v>
      </c>
      <c r="C5713" t="s">
        <v>40</v>
      </c>
      <c r="D5713">
        <v>4.8546170000000002</v>
      </c>
      <c r="E5713">
        <v>0.60178940000000003</v>
      </c>
      <c r="F5713" t="s">
        <v>49</v>
      </c>
      <c r="G5713">
        <v>-199.7894</v>
      </c>
      <c r="H5713" s="1">
        <v>3.084014E-6</v>
      </c>
      <c r="I5713">
        <v>208.03489999999999</v>
      </c>
      <c r="J5713">
        <v>-205.23089999999999</v>
      </c>
      <c r="K5713">
        <v>1.1183829999999999</v>
      </c>
      <c r="L5713">
        <v>213.82749999999999</v>
      </c>
      <c r="M5713">
        <v>0.96674260000000001</v>
      </c>
      <c r="N5713">
        <v>-1.380841E-2</v>
      </c>
      <c r="O5713">
        <v>-0.25537840000000001</v>
      </c>
      <c r="P5713">
        <v>0.84033539999999995</v>
      </c>
      <c r="Q5713">
        <v>0.12317069999999999</v>
      </c>
      <c r="R5713">
        <v>-0.52788789999999997</v>
      </c>
      <c r="S5713">
        <v>2.2043460000000001</v>
      </c>
      <c r="T5713">
        <v>-0.43677539999999998</v>
      </c>
      <c r="U5713">
        <v>-2.2849879999999998</v>
      </c>
      <c r="V5713">
        <v>0.296799599999999</v>
      </c>
      <c r="W5713">
        <v>0.1339515</v>
      </c>
      <c r="X5713">
        <v>0.94549830000000001</v>
      </c>
      <c r="Y5713">
        <v>0.51526309999999997</v>
      </c>
      <c r="Z5713">
        <v>-9.0024549999999995E-3</v>
      </c>
      <c r="AA5713">
        <v>0.85698479999999999</v>
      </c>
      <c r="AB5713">
        <v>21</v>
      </c>
      <c r="AC5713">
        <v>5.4414999999999898</v>
      </c>
      <c r="AD5713">
        <v>-1.118379915986</v>
      </c>
      <c r="AE5713">
        <v>-5.7925999999999904</v>
      </c>
      <c r="AF5713">
        <v>4.1289516295521302</v>
      </c>
      <c r="AG5713">
        <v>-1.118379915986</v>
      </c>
      <c r="AH5713">
        <v>6.6095943228056298</v>
      </c>
      <c r="AI5713">
        <v>98.166529652636001</v>
      </c>
      <c r="AJ5713">
        <v>58.007365134621601</v>
      </c>
      <c r="AK5713">
        <v>7.8731030926647003</v>
      </c>
      <c r="AL5713">
        <v>82.302005569191095</v>
      </c>
      <c r="AM5713">
        <v>72.572503060514606</v>
      </c>
      <c r="AN5713">
        <v>1.0000000211076401</v>
      </c>
    </row>
    <row r="5714" spans="1:40" x14ac:dyDescent="0.25">
      <c r="A5714" t="str">
        <f>"20190303162026950"</f>
        <v>20190303162026950</v>
      </c>
      <c r="B5714" t="str">
        <f>"1551601226938004"</f>
        <v>1551601226938004</v>
      </c>
      <c r="C5714" t="s">
        <v>40</v>
      </c>
      <c r="D5714">
        <v>4.8764479999999999</v>
      </c>
      <c r="E5714">
        <v>0.60156359999999998</v>
      </c>
      <c r="F5714" t="s">
        <v>49</v>
      </c>
      <c r="G5714">
        <v>-199.4494</v>
      </c>
      <c r="H5714" s="1">
        <v>3.2236809999999998E-6</v>
      </c>
      <c r="I5714">
        <v>207.73519999999999</v>
      </c>
      <c r="J5714">
        <v>-205.02549999999999</v>
      </c>
      <c r="K5714">
        <v>1.1182510000000001</v>
      </c>
      <c r="L5714">
        <v>213.76660000000001</v>
      </c>
      <c r="M5714">
        <v>0.96529949999999998</v>
      </c>
      <c r="N5714">
        <v>-1.3823999999999999E-2</v>
      </c>
      <c r="O5714">
        <v>-0.26077909999999999</v>
      </c>
      <c r="P5714">
        <v>0.83586149999999904</v>
      </c>
      <c r="Q5714">
        <v>0.12530279999999999</v>
      </c>
      <c r="R5714">
        <v>-0.53444840000000005</v>
      </c>
      <c r="S5714">
        <v>2.185333</v>
      </c>
      <c r="T5714">
        <v>-0.42273709999999998</v>
      </c>
      <c r="U5714">
        <v>-2.3028559999999998</v>
      </c>
      <c r="V5714">
        <v>0.29906569999999999</v>
      </c>
      <c r="W5714">
        <v>0.13595769999999999</v>
      </c>
      <c r="X5714">
        <v>0.94449729999999998</v>
      </c>
      <c r="Y5714">
        <v>0.51770150000000004</v>
      </c>
      <c r="Z5714">
        <v>-8.470422E-3</v>
      </c>
      <c r="AA5714">
        <v>0.85551939999999904</v>
      </c>
      <c r="AB5714">
        <v>21</v>
      </c>
      <c r="AC5714">
        <v>5.5760999999999896</v>
      </c>
      <c r="AD5714">
        <v>-1.118247776319</v>
      </c>
      <c r="AE5714">
        <v>-6.0314000000000103</v>
      </c>
      <c r="AF5714">
        <v>4.2889054800667097</v>
      </c>
      <c r="AG5714">
        <v>-1.118247776319</v>
      </c>
      <c r="AH5714">
        <v>6.8295577714337998</v>
      </c>
      <c r="AI5714">
        <v>97.894380402983998</v>
      </c>
      <c r="AJ5714">
        <v>57.871520781591101</v>
      </c>
      <c r="AK5714">
        <v>8.1417472117193892</v>
      </c>
      <c r="AL5714">
        <v>82.185997084490793</v>
      </c>
      <c r="AM5714">
        <v>72.430125739118694</v>
      </c>
      <c r="AN5714">
        <v>0.99999996940653402</v>
      </c>
    </row>
    <row r="5715" spans="1:40" x14ac:dyDescent="0.25">
      <c r="A5715" t="str">
        <f>"20190303162026973"</f>
        <v>20190303162026973</v>
      </c>
      <c r="B5715" t="str">
        <f>"1551601226968261"</f>
        <v>1551601226968261</v>
      </c>
      <c r="C5715" t="s">
        <v>40</v>
      </c>
      <c r="D5715">
        <v>4.9215489999999997</v>
      </c>
      <c r="E5715">
        <v>0.60093249999999998</v>
      </c>
      <c r="F5715" t="s">
        <v>49</v>
      </c>
      <c r="G5715">
        <v>-199.0917</v>
      </c>
      <c r="H5715" s="1">
        <v>3.3712220000000002E-6</v>
      </c>
      <c r="I5715">
        <v>207.41759999999999</v>
      </c>
      <c r="J5715">
        <v>-204.82259999999999</v>
      </c>
      <c r="K5715">
        <v>1.1181219999999901</v>
      </c>
      <c r="L5715">
        <v>213.70490000000001</v>
      </c>
      <c r="M5715">
        <v>0.96377710000000005</v>
      </c>
      <c r="N5715">
        <v>-1.383994E-2</v>
      </c>
      <c r="O5715">
        <v>-0.26634970000000002</v>
      </c>
      <c r="P5715">
        <v>0.83143509999999998</v>
      </c>
      <c r="Q5715">
        <v>0.12784469999999901</v>
      </c>
      <c r="R5715">
        <v>-0.54071420000000003</v>
      </c>
      <c r="S5715">
        <v>2.167465</v>
      </c>
      <c r="T5715">
        <v>-0.40846860000000002</v>
      </c>
      <c r="U5715">
        <v>-2.3191220000000001</v>
      </c>
      <c r="V5715">
        <v>0.30088310000000001</v>
      </c>
      <c r="W5715">
        <v>0.13838210000000001</v>
      </c>
      <c r="X5715">
        <v>0.94356759999999995</v>
      </c>
      <c r="Y5715">
        <v>0.5194628</v>
      </c>
      <c r="Z5715">
        <v>-7.8948809999999994E-3</v>
      </c>
      <c r="AA5715">
        <v>0.85445659999999901</v>
      </c>
      <c r="AB5715">
        <v>21</v>
      </c>
      <c r="AC5715">
        <v>5.7308999999999903</v>
      </c>
      <c r="AD5715">
        <v>-1.1181186287779901</v>
      </c>
      <c r="AE5715">
        <v>-6.2873000000000099</v>
      </c>
      <c r="AF5715">
        <v>4.4565827193143299</v>
      </c>
      <c r="AG5715">
        <v>-1.1181186287779901</v>
      </c>
      <c r="AH5715">
        <v>7.0763815126080498</v>
      </c>
      <c r="AI5715">
        <v>97.615372851924903</v>
      </c>
      <c r="AJ5715">
        <v>57.797985637465601</v>
      </c>
      <c r="AK5715">
        <v>8.4372089054433506</v>
      </c>
      <c r="AL5715">
        <v>82.045764093573496</v>
      </c>
      <c r="AM5715">
        <v>72.313653502540006</v>
      </c>
      <c r="AN5715">
        <v>1.00000003061788</v>
      </c>
    </row>
    <row r="5716" spans="1:40" x14ac:dyDescent="0.25">
      <c r="A5716" t="str">
        <f>"20190303162026995"</f>
        <v>20190303162026995</v>
      </c>
      <c r="B5716" t="str">
        <f>"1551601226987781"</f>
        <v>1551601226987781</v>
      </c>
      <c r="C5716" t="s">
        <v>40</v>
      </c>
      <c r="D5716">
        <v>4.9508020000000004</v>
      </c>
      <c r="E5716">
        <v>0.60055950000000002</v>
      </c>
      <c r="F5716" t="s">
        <v>49</v>
      </c>
      <c r="G5716">
        <v>-198.72569999999999</v>
      </c>
      <c r="H5716" s="1">
        <v>3.5204089999999998E-6</v>
      </c>
      <c r="I5716">
        <v>207.0994</v>
      </c>
      <c r="J5716">
        <v>-204.61840000000001</v>
      </c>
      <c r="K5716">
        <v>1.117982</v>
      </c>
      <c r="L5716">
        <v>213.6412</v>
      </c>
      <c r="M5716">
        <v>0.96213400000000004</v>
      </c>
      <c r="N5716">
        <v>-1.3857329999999999E-2</v>
      </c>
      <c r="O5716">
        <v>-0.27222459999999998</v>
      </c>
      <c r="P5716">
        <v>0.82690969999999997</v>
      </c>
      <c r="Q5716">
        <v>0.12959080000000001</v>
      </c>
      <c r="R5716">
        <v>-0.54719879999999999</v>
      </c>
      <c r="S5716">
        <v>2.152374</v>
      </c>
      <c r="T5716">
        <v>-0.39472699999999999</v>
      </c>
      <c r="U5716">
        <v>-2.331909</v>
      </c>
      <c r="V5716">
        <v>0.302647099999999</v>
      </c>
      <c r="W5716">
        <v>0.140009299999999</v>
      </c>
      <c r="X5716">
        <v>0.94276300000000002</v>
      </c>
      <c r="Y5716">
        <v>0.51976279999999997</v>
      </c>
      <c r="Z5716">
        <v>-7.2028730000000003E-3</v>
      </c>
      <c r="AA5716">
        <v>0.85428019999999905</v>
      </c>
      <c r="AB5716">
        <v>21</v>
      </c>
      <c r="AC5716">
        <v>5.8927000000000103</v>
      </c>
      <c r="AD5716">
        <v>-1.1179784795909999</v>
      </c>
      <c r="AE5716">
        <v>-6.5417999999999896</v>
      </c>
      <c r="AF5716">
        <v>4.6159749326114499</v>
      </c>
      <c r="AG5716">
        <v>-1.1179784795909999</v>
      </c>
      <c r="AH5716">
        <v>7.33288941526523</v>
      </c>
      <c r="AI5716">
        <v>97.352000555517193</v>
      </c>
      <c r="AJ5716">
        <v>57.810026921172003</v>
      </c>
      <c r="AK5716">
        <v>8.7366107636677199</v>
      </c>
      <c r="AL5716">
        <v>81.951615380403794</v>
      </c>
      <c r="AM5716">
        <v>72.202258109819496</v>
      </c>
      <c r="AN5716">
        <v>0.99999997269694896</v>
      </c>
    </row>
    <row r="5717" spans="1:40" x14ac:dyDescent="0.25">
      <c r="A5717" t="str">
        <f>"20190303162027018"</f>
        <v>20190303162027018</v>
      </c>
      <c r="B5717" t="str">
        <f>"1551601227008277"</f>
        <v>1551601227008277</v>
      </c>
      <c r="C5717" t="s">
        <v>40</v>
      </c>
      <c r="D5717">
        <v>4.9782070000000003</v>
      </c>
      <c r="E5717">
        <v>0.60030360000000005</v>
      </c>
      <c r="F5717" t="s">
        <v>49</v>
      </c>
      <c r="G5717">
        <v>-198.40940000000001</v>
      </c>
      <c r="H5717" s="1">
        <v>3.6511489999999999E-6</v>
      </c>
      <c r="I5717">
        <v>206.8176</v>
      </c>
      <c r="J5717">
        <v>-204.41759999999999</v>
      </c>
      <c r="K5717">
        <v>1.117821</v>
      </c>
      <c r="L5717">
        <v>213.57689999999999</v>
      </c>
      <c r="M5717">
        <v>0.96039940000000001</v>
      </c>
      <c r="N5717">
        <v>-1.387771E-2</v>
      </c>
      <c r="O5717">
        <v>-0.27828150000000001</v>
      </c>
      <c r="P5717">
        <v>0.82286599999999999</v>
      </c>
      <c r="Q5717">
        <v>0.12940309999999999</v>
      </c>
      <c r="R5717">
        <v>-0.55330559999999995</v>
      </c>
      <c r="S5717">
        <v>2.1353300000000002</v>
      </c>
      <c r="T5717">
        <v>-0.38448169999999998</v>
      </c>
      <c r="U5717">
        <v>-2.3466800000000001</v>
      </c>
      <c r="V5717">
        <v>0.3037321</v>
      </c>
      <c r="W5717">
        <v>0.13971</v>
      </c>
      <c r="X5717">
        <v>0.94245849999999998</v>
      </c>
      <c r="Y5717">
        <v>0.5205919</v>
      </c>
      <c r="Z5717">
        <v>-6.5760180000000003E-3</v>
      </c>
      <c r="AA5717">
        <v>0.85378039999999999</v>
      </c>
      <c r="AB5717">
        <v>21</v>
      </c>
      <c r="AC5717">
        <v>6.00819999999998</v>
      </c>
      <c r="AD5717">
        <v>-1.1178173488509999</v>
      </c>
      <c r="AE5717">
        <v>-6.7592999999999899</v>
      </c>
      <c r="AF5717">
        <v>4.7475879900114499</v>
      </c>
      <c r="AG5717">
        <v>-1.1178173488509999</v>
      </c>
      <c r="AH5717">
        <v>7.5368498336340801</v>
      </c>
      <c r="AI5717">
        <v>97.152747494696399</v>
      </c>
      <c r="AJ5717">
        <v>57.792486813585001</v>
      </c>
      <c r="AK5717">
        <v>8.97737226381102</v>
      </c>
      <c r="AL5717">
        <v>81.968934841233093</v>
      </c>
      <c r="AM5717">
        <v>72.137095587722101</v>
      </c>
      <c r="AN5717">
        <v>1.0000000484463201</v>
      </c>
    </row>
    <row r="5718" spans="1:40" x14ac:dyDescent="0.25">
      <c r="A5718" t="str">
        <f>"20190303162027040"</f>
        <v>20190303162027040</v>
      </c>
      <c r="B5718" t="str">
        <f>"1551601227027797"</f>
        <v>1551601227027797</v>
      </c>
      <c r="C5718" t="s">
        <v>40</v>
      </c>
      <c r="D5718">
        <v>4.9715280000000002</v>
      </c>
      <c r="E5718">
        <v>0.59986059999999997</v>
      </c>
      <c r="F5718" t="s">
        <v>49</v>
      </c>
      <c r="G5718">
        <v>-198.18209999999999</v>
      </c>
      <c r="H5718" s="1">
        <v>3.7417699999999999E-6</v>
      </c>
      <c r="I5718">
        <v>206.6276</v>
      </c>
      <c r="J5718">
        <v>-204.209</v>
      </c>
      <c r="K5718">
        <v>1.11764</v>
      </c>
      <c r="L5718">
        <v>213.50829999999999</v>
      </c>
      <c r="M5718">
        <v>0.95846589999999998</v>
      </c>
      <c r="N5718">
        <v>-1.390309E-2</v>
      </c>
      <c r="O5718">
        <v>-0.28486810000000001</v>
      </c>
      <c r="P5718">
        <v>0.81821630000000001</v>
      </c>
      <c r="Q5718">
        <v>0.1290734</v>
      </c>
      <c r="R5718">
        <v>-0.56023409999999996</v>
      </c>
      <c r="S5718">
        <v>2.1181950000000001</v>
      </c>
      <c r="T5718">
        <v>-0.37972070000000002</v>
      </c>
      <c r="U5718">
        <v>-2.3606410000000002</v>
      </c>
      <c r="V5718">
        <v>0.30526609999999998</v>
      </c>
      <c r="W5718">
        <v>0.13925100000000001</v>
      </c>
      <c r="X5718">
        <v>0.9420307</v>
      </c>
      <c r="Y5718">
        <v>0.52075819999999995</v>
      </c>
      <c r="Z5718">
        <v>-5.8482940000000004E-3</v>
      </c>
      <c r="AA5718">
        <v>0.853684199999999</v>
      </c>
      <c r="AB5718">
        <v>21</v>
      </c>
      <c r="AC5718">
        <v>6.0269000000000101</v>
      </c>
      <c r="AD5718">
        <v>-1.1176362582299999</v>
      </c>
      <c r="AE5718">
        <v>-6.8806999999999903</v>
      </c>
      <c r="AF5718">
        <v>4.8067540525613701</v>
      </c>
      <c r="AG5718">
        <v>-1.1176362582299999</v>
      </c>
      <c r="AH5718">
        <v>7.62360166554617</v>
      </c>
      <c r="AI5718">
        <v>97.069176944069198</v>
      </c>
      <c r="AJ5718">
        <v>57.768175048113399</v>
      </c>
      <c r="AK5718">
        <v>9.0814810291297707</v>
      </c>
      <c r="AL5718">
        <v>81.995493117873394</v>
      </c>
      <c r="AM5718">
        <v>72.045025217700697</v>
      </c>
      <c r="AN5718">
        <v>1.0000000362763399</v>
      </c>
    </row>
    <row r="5719" spans="1:40" x14ac:dyDescent="0.25">
      <c r="A5719" t="str">
        <f>"20190303162027063"</f>
        <v>20190303162027063</v>
      </c>
      <c r="B5719" t="str">
        <f>"1551601227058053"</f>
        <v>1551601227058053</v>
      </c>
      <c r="C5719" t="s">
        <v>40</v>
      </c>
      <c r="D5719">
        <v>4.9767749999999999</v>
      </c>
      <c r="E5719">
        <v>0.5993965</v>
      </c>
      <c r="F5719" t="s">
        <v>49</v>
      </c>
      <c r="G5719">
        <v>-198.04859999999999</v>
      </c>
      <c r="H5719" s="1">
        <v>3.7881019999999998E-6</v>
      </c>
      <c r="I5719">
        <v>206.5421</v>
      </c>
      <c r="J5719">
        <v>-204</v>
      </c>
      <c r="K5719">
        <v>1.1174440000000001</v>
      </c>
      <c r="L5719">
        <v>213.4376</v>
      </c>
      <c r="M5719">
        <v>0.95638789999999996</v>
      </c>
      <c r="N5719">
        <v>-1.393133E-2</v>
      </c>
      <c r="O5719">
        <v>-0.29176770000000002</v>
      </c>
      <c r="P5719">
        <v>0.81289389999999995</v>
      </c>
      <c r="Q5719">
        <v>0.12835940000000001</v>
      </c>
      <c r="R5719">
        <v>-0.56809180000000004</v>
      </c>
      <c r="S5719">
        <v>2.1003880000000001</v>
      </c>
      <c r="T5719">
        <v>-0.38105709999999998</v>
      </c>
      <c r="U5719">
        <v>-2.3751370000000001</v>
      </c>
      <c r="V5719">
        <v>0.30758059999999998</v>
      </c>
      <c r="W5719">
        <v>0.1383935</v>
      </c>
      <c r="X5719">
        <v>0.94140389999999996</v>
      </c>
      <c r="Y5719">
        <v>0.52080479999999996</v>
      </c>
      <c r="Z5719">
        <v>-5.0515769999999998E-3</v>
      </c>
      <c r="AA5719">
        <v>0.85366089999999994</v>
      </c>
      <c r="AB5719">
        <v>21</v>
      </c>
      <c r="AC5719">
        <v>5.9513999999999996</v>
      </c>
      <c r="AD5719">
        <v>-1.117440211898</v>
      </c>
      <c r="AE5719">
        <v>-6.8954999999999904</v>
      </c>
      <c r="AF5719">
        <v>4.7867752932563601</v>
      </c>
      <c r="AG5719">
        <v>-1.117440211898</v>
      </c>
      <c r="AH5719">
        <v>7.59024289430364</v>
      </c>
      <c r="AI5719">
        <v>97.098256254246394</v>
      </c>
      <c r="AJ5719">
        <v>57.762480948268902</v>
      </c>
      <c r="AK5719">
        <v>9.0428799356080702</v>
      </c>
      <c r="AL5719">
        <v>82.045103887507594</v>
      </c>
      <c r="AM5719">
        <v>71.906468106644098</v>
      </c>
      <c r="AN5719">
        <v>0.999999944636908</v>
      </c>
    </row>
    <row r="5720" spans="1:40" x14ac:dyDescent="0.25">
      <c r="A5720" t="str">
        <f>"20190303162027087"</f>
        <v>20190303162027087</v>
      </c>
      <c r="B5720" t="str">
        <f>"1551601227078549"</f>
        <v>1551601227078549</v>
      </c>
      <c r="C5720" t="s">
        <v>40</v>
      </c>
      <c r="D5720">
        <v>5.0197699999999896</v>
      </c>
      <c r="E5720">
        <v>0.59906510000000002</v>
      </c>
      <c r="F5720" t="s">
        <v>49</v>
      </c>
      <c r="G5720">
        <v>-197.91200000000001</v>
      </c>
      <c r="H5720" s="1">
        <v>3.8395079999999996E-6</v>
      </c>
      <c r="I5720">
        <v>206.43940000000001</v>
      </c>
      <c r="J5720">
        <v>-203.7961</v>
      </c>
      <c r="K5720">
        <v>1.117254</v>
      </c>
      <c r="L5720">
        <v>213.36660000000001</v>
      </c>
      <c r="M5720">
        <v>0.95421809999999996</v>
      </c>
      <c r="N5720">
        <v>-1.395939E-2</v>
      </c>
      <c r="O5720">
        <v>-0.29878589999999999</v>
      </c>
      <c r="P5720">
        <v>0.80753459999999999</v>
      </c>
      <c r="Q5720">
        <v>0.1272827</v>
      </c>
      <c r="R5720">
        <v>-0.57592279999999996</v>
      </c>
      <c r="S5720">
        <v>2.0799259999999999</v>
      </c>
      <c r="T5720">
        <v>-0.3817681</v>
      </c>
      <c r="U5720">
        <v>-2.3908999999999998</v>
      </c>
      <c r="V5720">
        <v>0.30976379999999998</v>
      </c>
      <c r="W5720">
        <v>0.1371849</v>
      </c>
      <c r="X5720">
        <v>0.9408649</v>
      </c>
      <c r="Y5720">
        <v>0.5214995</v>
      </c>
      <c r="Z5720">
        <v>-4.2899660000000001E-3</v>
      </c>
      <c r="AA5720">
        <v>0.85324080000000002</v>
      </c>
      <c r="AB5720">
        <v>21</v>
      </c>
      <c r="AC5720">
        <v>5.8840999999999797</v>
      </c>
      <c r="AD5720">
        <v>-1.117250160492</v>
      </c>
      <c r="AE5720">
        <v>-6.9271999999999903</v>
      </c>
      <c r="AF5720">
        <v>4.7802153794608202</v>
      </c>
      <c r="AG5720">
        <v>-1.117250160492</v>
      </c>
      <c r="AH5720">
        <v>7.5708152337988697</v>
      </c>
      <c r="AI5720">
        <v>97.112697683001798</v>
      </c>
      <c r="AJ5720">
        <v>57.731671309875402</v>
      </c>
      <c r="AK5720">
        <v>9.0230787594631003</v>
      </c>
      <c r="AL5720">
        <v>82.115019161328902</v>
      </c>
      <c r="AM5720">
        <v>71.776747790566603</v>
      </c>
      <c r="AN5720">
        <v>1.00000003431522</v>
      </c>
    </row>
    <row r="5721" spans="1:40" x14ac:dyDescent="0.25">
      <c r="A5721" t="str">
        <f>"20190303162027108"</f>
        <v>20190303162027108</v>
      </c>
      <c r="B5721" t="str">
        <f>"1551601227098070"</f>
        <v>1551601227098070</v>
      </c>
      <c r="C5721" t="s">
        <v>40</v>
      </c>
      <c r="D5721">
        <v>5.0208899999999996</v>
      </c>
      <c r="E5721">
        <v>0.59870299999999999</v>
      </c>
      <c r="F5721" t="s">
        <v>49</v>
      </c>
      <c r="G5721">
        <v>-197.8288</v>
      </c>
      <c r="H5721" s="1">
        <v>3.8666390000000004E-6</v>
      </c>
      <c r="I5721">
        <v>206.39269999999999</v>
      </c>
      <c r="J5721">
        <v>-203.59819999999999</v>
      </c>
      <c r="K5721">
        <v>1.117102</v>
      </c>
      <c r="L5721">
        <v>213.2955</v>
      </c>
      <c r="M5721">
        <v>0.95197929999999997</v>
      </c>
      <c r="N5721">
        <v>-1.39852999999999E-2</v>
      </c>
      <c r="O5721">
        <v>-0.30584339999999999</v>
      </c>
      <c r="P5721">
        <v>0.80228569999999999</v>
      </c>
      <c r="Q5721">
        <v>0.12739300000000001</v>
      </c>
      <c r="R5721">
        <v>-0.58318919999999996</v>
      </c>
      <c r="S5721">
        <v>2.0593569999999999</v>
      </c>
      <c r="T5721">
        <v>-0.38557209999999997</v>
      </c>
      <c r="U5721">
        <v>-2.4067229999999999</v>
      </c>
      <c r="V5721">
        <v>0.311345599999999</v>
      </c>
      <c r="W5721">
        <v>0.13719149999999999</v>
      </c>
      <c r="X5721">
        <v>0.94034169999999995</v>
      </c>
      <c r="Y5721">
        <v>0.52215339999999999</v>
      </c>
      <c r="Z5721">
        <v>-3.4770500000000002E-3</v>
      </c>
      <c r="AA5721">
        <v>0.85284450000000001</v>
      </c>
      <c r="AB5721">
        <v>21</v>
      </c>
      <c r="AC5721">
        <v>5.7693999999999903</v>
      </c>
      <c r="AD5721">
        <v>-1.1170981333609999</v>
      </c>
      <c r="AE5721">
        <v>-6.9028000000000098</v>
      </c>
      <c r="AF5721">
        <v>4.7342628078956501</v>
      </c>
      <c r="AG5721">
        <v>-1.1170981333609999</v>
      </c>
      <c r="AH5721">
        <v>7.4887998095324901</v>
      </c>
      <c r="AI5721">
        <v>97.186314140685496</v>
      </c>
      <c r="AJ5721">
        <v>57.699780849878003</v>
      </c>
      <c r="AK5721">
        <v>8.9299090231108504</v>
      </c>
      <c r="AL5721">
        <v>82.114637536290601</v>
      </c>
      <c r="AM5721">
        <v>71.6803771416579</v>
      </c>
      <c r="AN5721">
        <v>1.0000000515352401</v>
      </c>
    </row>
    <row r="5722" spans="1:40" x14ac:dyDescent="0.25">
      <c r="A5722" t="str">
        <f>"20190303162027130"</f>
        <v>20190303162027130</v>
      </c>
      <c r="B5722" t="str">
        <f>"1551601227118564"</f>
        <v>1551601227118564</v>
      </c>
      <c r="C5722" t="s">
        <v>40</v>
      </c>
      <c r="D5722">
        <v>5.1067049999999998</v>
      </c>
      <c r="E5722">
        <v>0.59835760000000004</v>
      </c>
      <c r="F5722" t="s">
        <v>49</v>
      </c>
      <c r="G5722">
        <v>-197.67859999999999</v>
      </c>
      <c r="H5722" s="1">
        <v>3.926799E-6</v>
      </c>
      <c r="I5722">
        <v>206.2662</v>
      </c>
      <c r="J5722">
        <v>-203.4109</v>
      </c>
      <c r="K5722">
        <v>1.1169929999999999</v>
      </c>
      <c r="L5722">
        <v>213.22659999999999</v>
      </c>
      <c r="M5722">
        <v>0.94975189999999998</v>
      </c>
      <c r="N5722">
        <v>-1.4007240000000001E-2</v>
      </c>
      <c r="O5722">
        <v>-0.31269019999999997</v>
      </c>
      <c r="P5722">
        <v>0.79676309999999995</v>
      </c>
      <c r="Q5722">
        <v>0.12589320000000001</v>
      </c>
      <c r="R5722">
        <v>-0.59103260000000002</v>
      </c>
      <c r="S5722">
        <v>2.0397340000000002</v>
      </c>
      <c r="T5722">
        <v>-0.38492419999999999</v>
      </c>
      <c r="U5722">
        <v>-2.4221499999999998</v>
      </c>
      <c r="V5722">
        <v>0.31374469999999999</v>
      </c>
      <c r="W5722">
        <v>0.13560710000000001</v>
      </c>
      <c r="X5722">
        <v>0.93977390000000005</v>
      </c>
      <c r="Y5722">
        <v>0.52276869999999998</v>
      </c>
      <c r="Z5722">
        <v>-2.727022E-3</v>
      </c>
      <c r="AA5722">
        <v>0.85247019999999996</v>
      </c>
      <c r="AB5722">
        <v>21</v>
      </c>
      <c r="AC5722">
        <v>5.7323000000000004</v>
      </c>
      <c r="AD5722">
        <v>-1.1169890732009999</v>
      </c>
      <c r="AE5722">
        <v>-6.9603999999999902</v>
      </c>
      <c r="AF5722">
        <v>4.74586542869684</v>
      </c>
      <c r="AG5722">
        <v>-1.1169890732009999</v>
      </c>
      <c r="AH5722">
        <v>7.5062738825226996</v>
      </c>
      <c r="AI5722">
        <v>97.168829219597299</v>
      </c>
      <c r="AJ5722">
        <v>57.696749453551703</v>
      </c>
      <c r="AK5722">
        <v>8.9507011376982497</v>
      </c>
      <c r="AL5722">
        <v>82.206273026376493</v>
      </c>
      <c r="AM5722">
        <v>71.538347851802897</v>
      </c>
      <c r="AN5722">
        <v>1.0000000027348499</v>
      </c>
    </row>
    <row r="5723" spans="1:40" x14ac:dyDescent="0.25">
      <c r="A5723" t="str">
        <f>"20190303162027163"</f>
        <v>20190303162027163</v>
      </c>
      <c r="B5723" t="str">
        <f>"1551601227158582"</f>
        <v>1551601227158582</v>
      </c>
      <c r="C5723" t="s">
        <v>40</v>
      </c>
      <c r="D5723">
        <v>5.2657379999999998</v>
      </c>
      <c r="E5723">
        <v>0.59754659999999904</v>
      </c>
      <c r="F5723" t="s">
        <v>49</v>
      </c>
      <c r="G5723">
        <v>-197.6172</v>
      </c>
      <c r="H5723" s="1">
        <v>3.9479529999999999E-6</v>
      </c>
      <c r="I5723">
        <v>206.22739999999999</v>
      </c>
      <c r="J5723">
        <v>-203.11709999999999</v>
      </c>
      <c r="K5723">
        <v>1.1169</v>
      </c>
      <c r="L5723">
        <v>213.11519999999999</v>
      </c>
      <c r="M5723">
        <v>0.94606100000000004</v>
      </c>
      <c r="N5723">
        <v>-1.4035489999999999E-2</v>
      </c>
      <c r="O5723">
        <v>-0.32368449999999999</v>
      </c>
      <c r="P5723">
        <v>0.78988190000000003</v>
      </c>
      <c r="Q5723">
        <v>0.11945839999999899</v>
      </c>
      <c r="R5723">
        <v>-0.60151169999999998</v>
      </c>
      <c r="S5723">
        <v>2.0181580000000001</v>
      </c>
      <c r="T5723">
        <v>-0.38908789999999999</v>
      </c>
      <c r="U5723">
        <v>-2.4380799999999998</v>
      </c>
      <c r="V5723">
        <v>0.3148977</v>
      </c>
      <c r="W5723">
        <v>0.12913479999999999</v>
      </c>
      <c r="X5723">
        <v>0.94029969999999996</v>
      </c>
      <c r="Y5723">
        <v>0.52013399999999999</v>
      </c>
      <c r="Z5723">
        <v>-1.131574E-3</v>
      </c>
      <c r="AA5723">
        <v>0.85408399999999995</v>
      </c>
      <c r="AB5723">
        <v>21</v>
      </c>
      <c r="AC5723">
        <v>5.4998999999999896</v>
      </c>
      <c r="AD5723">
        <v>-1.1168960520469999</v>
      </c>
      <c r="AE5723">
        <v>-6.8877999999999897</v>
      </c>
      <c r="AF5723">
        <v>4.6616620239096296</v>
      </c>
      <c r="AG5723">
        <v>-1.1168960520469999</v>
      </c>
      <c r="AH5723">
        <v>7.3159764529762397</v>
      </c>
      <c r="AI5723">
        <v>97.336454396434206</v>
      </c>
      <c r="AJ5723">
        <v>57.4951482108265</v>
      </c>
      <c r="AK5723">
        <v>8.7465456653894105</v>
      </c>
      <c r="AL5723">
        <v>82.580400976634607</v>
      </c>
      <c r="AM5723">
        <v>71.484777125836004</v>
      </c>
      <c r="AN5723">
        <v>0.99999994192820796</v>
      </c>
    </row>
    <row r="5724" spans="1:40" x14ac:dyDescent="0.25">
      <c r="A5724" t="str">
        <f>"20190303162027185"</f>
        <v>20190303162027185</v>
      </c>
      <c r="B5724" t="str">
        <f>"1551601227178101"</f>
        <v>1551601227178101</v>
      </c>
      <c r="C5724" t="s">
        <v>40</v>
      </c>
      <c r="D5724">
        <v>5.2624849999999999</v>
      </c>
      <c r="E5724">
        <v>0.59712509999999996</v>
      </c>
      <c r="F5724" t="s">
        <v>49</v>
      </c>
      <c r="G5724">
        <v>-197.67160000000001</v>
      </c>
      <c r="H5724" s="1">
        <v>3.8957109999999999E-6</v>
      </c>
      <c r="I5724">
        <v>206.38820000000001</v>
      </c>
      <c r="J5724">
        <v>-202.9178</v>
      </c>
      <c r="K5724">
        <v>1.116859</v>
      </c>
      <c r="L5724">
        <v>213.03710000000001</v>
      </c>
      <c r="M5724">
        <v>0.94342879999999996</v>
      </c>
      <c r="N5724">
        <v>-1.4051279999999999E-2</v>
      </c>
      <c r="O5724">
        <v>-0.3312775</v>
      </c>
      <c r="P5724">
        <v>0.78588559999999996</v>
      </c>
      <c r="Q5724">
        <v>0.114840899999999</v>
      </c>
      <c r="R5724">
        <v>-0.6076146</v>
      </c>
      <c r="S5724">
        <v>1.9887999999999999</v>
      </c>
      <c r="T5724">
        <v>-0.40791250000000001</v>
      </c>
      <c r="U5724">
        <v>-2.4568020000000002</v>
      </c>
      <c r="V5724">
        <v>0.31435289999999999</v>
      </c>
      <c r="W5724">
        <v>0.12453359999999999</v>
      </c>
      <c r="X5724">
        <v>0.94110240000000001</v>
      </c>
      <c r="Y5724">
        <v>0.52244290000000004</v>
      </c>
      <c r="Z5724" s="1">
        <v>-9.4845890000000005E-6</v>
      </c>
      <c r="AA5724">
        <v>0.8526743</v>
      </c>
      <c r="AB5724">
        <v>21</v>
      </c>
      <c r="AC5724">
        <v>5.2461999999999804</v>
      </c>
      <c r="AD5724">
        <v>-1.116855104289</v>
      </c>
      <c r="AE5724">
        <v>-6.6488999999999896</v>
      </c>
      <c r="AF5724">
        <v>4.4577447408367501</v>
      </c>
      <c r="AG5724">
        <v>-1.116855104289</v>
      </c>
      <c r="AH5724">
        <v>7.0304952702587196</v>
      </c>
      <c r="AI5724">
        <v>97.641335411896407</v>
      </c>
      <c r="AJ5724">
        <v>57.622915070928798</v>
      </c>
      <c r="AK5724">
        <v>8.3992093225234203</v>
      </c>
      <c r="AL5724">
        <v>82.846177749486699</v>
      </c>
      <c r="AM5724">
        <v>71.529327830582503</v>
      </c>
      <c r="AN5724">
        <v>1.0000000452765601</v>
      </c>
    </row>
    <row r="5725" spans="1:40" x14ac:dyDescent="0.25">
      <c r="A5725" t="str">
        <f>"20190303162027207"</f>
        <v>20190303162027207</v>
      </c>
      <c r="B5725" t="str">
        <f>"1551601227198267"</f>
        <v>1551601227198267</v>
      </c>
      <c r="C5725" t="s">
        <v>40</v>
      </c>
      <c r="D5725">
        <v>5.2920420000000004</v>
      </c>
      <c r="E5725">
        <v>0.59651759999999998</v>
      </c>
      <c r="F5725" t="s">
        <v>49</v>
      </c>
      <c r="G5725">
        <v>-197.71629999999999</v>
      </c>
      <c r="H5725" s="1">
        <v>3.8496100000000002E-6</v>
      </c>
      <c r="I5725">
        <v>206.5324</v>
      </c>
      <c r="J5725">
        <v>-202.72460000000001</v>
      </c>
      <c r="K5725">
        <v>1.1168419999999999</v>
      </c>
      <c r="L5725">
        <v>212.95949999999999</v>
      </c>
      <c r="M5725">
        <v>0.94077670000000002</v>
      </c>
      <c r="N5725">
        <v>-1.406571E-2</v>
      </c>
      <c r="O5725">
        <v>-0.33873510000000001</v>
      </c>
      <c r="P5725">
        <v>0.78131779999999995</v>
      </c>
      <c r="Q5725">
        <v>0.1130726</v>
      </c>
      <c r="R5725">
        <v>-0.61380579999999996</v>
      </c>
      <c r="S5725">
        <v>1.972275</v>
      </c>
      <c r="T5725">
        <v>-0.423481</v>
      </c>
      <c r="U5725">
        <v>-2.466415</v>
      </c>
      <c r="V5725">
        <v>0.31423770000000001</v>
      </c>
      <c r="W5725">
        <v>0.1227705</v>
      </c>
      <c r="X5725">
        <v>0.94137249999999995</v>
      </c>
      <c r="Y5725">
        <v>0.52070669999999997</v>
      </c>
      <c r="Z5725">
        <v>1.461759E-3</v>
      </c>
      <c r="AA5725">
        <v>0.8537344</v>
      </c>
      <c r="AB5725">
        <v>21</v>
      </c>
      <c r="AC5725">
        <v>5.0083000000000197</v>
      </c>
      <c r="AD5725">
        <v>-1.11683815039</v>
      </c>
      <c r="AE5725">
        <v>-6.4270999999999896</v>
      </c>
      <c r="AF5725">
        <v>4.2701822060619596</v>
      </c>
      <c r="AG5725">
        <v>-1.11683815039</v>
      </c>
      <c r="AH5725">
        <v>6.76240747443312</v>
      </c>
      <c r="AI5725">
        <v>97.949569509309498</v>
      </c>
      <c r="AJ5725">
        <v>57.729273933649502</v>
      </c>
      <c r="AK5725">
        <v>8.0753909117394294</v>
      </c>
      <c r="AL5725">
        <v>82.947977267791401</v>
      </c>
      <c r="AM5725">
        <v>71.540576344738</v>
      </c>
      <c r="AN5725">
        <v>1.00000005576389</v>
      </c>
    </row>
    <row r="5726" spans="1:40" x14ac:dyDescent="0.25">
      <c r="A5726" t="str">
        <f>"20190303162027230"</f>
        <v>20190303162027230</v>
      </c>
      <c r="B5726" t="str">
        <f>"1551601227217787"</f>
        <v>1551601227217787</v>
      </c>
      <c r="C5726" t="s">
        <v>40</v>
      </c>
      <c r="D5726">
        <v>5.2654500000000004</v>
      </c>
      <c r="E5726">
        <v>0.59592999999999996</v>
      </c>
      <c r="F5726" t="s">
        <v>49</v>
      </c>
      <c r="G5726">
        <v>-197.66059999999999</v>
      </c>
      <c r="H5726" s="1">
        <v>3.8565880000000001E-6</v>
      </c>
      <c r="I5726">
        <v>206.54339999999999</v>
      </c>
      <c r="J5726">
        <v>-202.52440000000001</v>
      </c>
      <c r="K5726">
        <v>1.116832</v>
      </c>
      <c r="L5726">
        <v>212.87700000000001</v>
      </c>
      <c r="M5726">
        <v>0.93793219999999999</v>
      </c>
      <c r="N5726">
        <v>-1.407983E-2</v>
      </c>
      <c r="O5726">
        <v>-0.34653260000000002</v>
      </c>
      <c r="P5726">
        <v>0.77644939999999996</v>
      </c>
      <c r="Q5726">
        <v>0.11327</v>
      </c>
      <c r="R5726">
        <v>-0.61991640000000003</v>
      </c>
      <c r="S5726">
        <v>1.9555659999999999</v>
      </c>
      <c r="T5726">
        <v>-0.43129010000000001</v>
      </c>
      <c r="U5726">
        <v>-2.4777369999999999</v>
      </c>
      <c r="V5726">
        <v>0.3138263</v>
      </c>
      <c r="W5726">
        <v>0.1229731</v>
      </c>
      <c r="X5726">
        <v>0.94148330000000002</v>
      </c>
      <c r="Y5726">
        <v>0.51905749999999995</v>
      </c>
      <c r="Z5726">
        <v>2.8580950000000002E-3</v>
      </c>
      <c r="AA5726">
        <v>0.85473459999999901</v>
      </c>
      <c r="AB5726">
        <v>21</v>
      </c>
      <c r="AC5726">
        <v>4.8638000000000199</v>
      </c>
      <c r="AD5726">
        <v>-1.116828143412</v>
      </c>
      <c r="AE5726">
        <v>-6.3336000000000103</v>
      </c>
      <c r="AF5726">
        <v>4.1738081721384299</v>
      </c>
      <c r="AG5726">
        <v>-1.116828143412</v>
      </c>
      <c r="AH5726">
        <v>6.6277507507168796</v>
      </c>
      <c r="AI5726">
        <v>98.115063857603005</v>
      </c>
      <c r="AJ5726">
        <v>57.799438099666801</v>
      </c>
      <c r="AK5726">
        <v>7.9117039740725099</v>
      </c>
      <c r="AL5726">
        <v>82.936280591969904</v>
      </c>
      <c r="AM5726">
        <v>71.565131508257807</v>
      </c>
      <c r="AN5726">
        <v>1.0000000670370901</v>
      </c>
    </row>
    <row r="5727" spans="1:40" x14ac:dyDescent="0.25">
      <c r="A5727" t="str">
        <f>"20190303162027251"</f>
        <v>20190303162027251</v>
      </c>
      <c r="B5727" t="str">
        <f>"1551601227248042"</f>
        <v>1551601227248042</v>
      </c>
      <c r="C5727" t="s">
        <v>40</v>
      </c>
      <c r="D5727">
        <v>5.3503720000000001</v>
      </c>
      <c r="E5727">
        <v>0.59511040000000004</v>
      </c>
      <c r="F5727" t="s">
        <v>49</v>
      </c>
      <c r="G5727">
        <v>-197.51580000000001</v>
      </c>
      <c r="H5727" s="1">
        <v>3.9085360000000001E-6</v>
      </c>
      <c r="I5727">
        <v>206.4442</v>
      </c>
      <c r="J5727">
        <v>-202.33609999999999</v>
      </c>
      <c r="K5727">
        <v>1.1168290000000001</v>
      </c>
      <c r="L5727">
        <v>212.79769999999999</v>
      </c>
      <c r="M5727">
        <v>0.93516429999999995</v>
      </c>
      <c r="N5727">
        <v>-1.4092469999999999E-2</v>
      </c>
      <c r="O5727">
        <v>-0.35393370000000002</v>
      </c>
      <c r="P5727">
        <v>0.77120080000000002</v>
      </c>
      <c r="Q5727">
        <v>0.1147791</v>
      </c>
      <c r="R5727">
        <v>-0.62615929999999997</v>
      </c>
      <c r="S5727">
        <v>1.938736</v>
      </c>
      <c r="T5727">
        <v>-0.43230760000000001</v>
      </c>
      <c r="U5727">
        <v>-2.4900669999999998</v>
      </c>
      <c r="V5727">
        <v>0.31408530000000001</v>
      </c>
      <c r="W5727">
        <v>0.1244659</v>
      </c>
      <c r="X5727">
        <v>0.9412007</v>
      </c>
      <c r="Y5727">
        <v>0.51800429999999997</v>
      </c>
      <c r="Z5727">
        <v>3.9951209999999999E-3</v>
      </c>
      <c r="AA5727">
        <v>0.85536869999999998</v>
      </c>
      <c r="AB5727">
        <v>21</v>
      </c>
      <c r="AC5727">
        <v>4.8202999999999703</v>
      </c>
      <c r="AD5727">
        <v>-1.1168250914640001</v>
      </c>
      <c r="AE5727">
        <v>-6.3534999999999897</v>
      </c>
      <c r="AF5727">
        <v>4.1544480382013402</v>
      </c>
      <c r="AG5727">
        <v>-1.1168250914640001</v>
      </c>
      <c r="AH5727">
        <v>6.6271961200670697</v>
      </c>
      <c r="AI5727">
        <v>98.126066220387898</v>
      </c>
      <c r="AJ5727">
        <v>57.917277271246697</v>
      </c>
      <c r="AK5727">
        <v>7.90104203259739</v>
      </c>
      <c r="AL5727">
        <v>82.850087100678493</v>
      </c>
      <c r="AM5727">
        <v>71.545782685174302</v>
      </c>
      <c r="AN5727">
        <v>1.0000000468096899</v>
      </c>
    </row>
    <row r="5728" spans="1:40" x14ac:dyDescent="0.25">
      <c r="A5728" t="str">
        <f>"20190303162027275"</f>
        <v>20190303162027275</v>
      </c>
      <c r="B5728" t="str">
        <f>"1551601227268539"</f>
        <v>1551601227268539</v>
      </c>
      <c r="C5728" t="s">
        <v>40</v>
      </c>
      <c r="D5728">
        <v>5.3658010000000003</v>
      </c>
      <c r="E5728">
        <v>0.59457499999999996</v>
      </c>
      <c r="F5728" t="s">
        <v>49</v>
      </c>
      <c r="G5728">
        <v>-197.3485</v>
      </c>
      <c r="H5728" s="1">
        <v>3.9727769999999999E-6</v>
      </c>
      <c r="I5728">
        <v>206.31370000000001</v>
      </c>
      <c r="J5728">
        <v>-202.13409999999999</v>
      </c>
      <c r="K5728">
        <v>1.116789</v>
      </c>
      <c r="L5728">
        <v>212.71039999999999</v>
      </c>
      <c r="M5728">
        <v>0.93207479999999998</v>
      </c>
      <c r="N5728">
        <v>-1.4106749999999999E-2</v>
      </c>
      <c r="O5728">
        <v>-0.36199110000000001</v>
      </c>
      <c r="P5728">
        <v>0.76455450000000003</v>
      </c>
      <c r="Q5728">
        <v>0.1161852</v>
      </c>
      <c r="R5728">
        <v>-0.63400109999999998</v>
      </c>
      <c r="S5728">
        <v>1.9236759999999999</v>
      </c>
      <c r="T5728">
        <v>-0.4307473</v>
      </c>
      <c r="U5728">
        <v>-2.5008089999999998</v>
      </c>
      <c r="V5728">
        <v>0.31568429999999997</v>
      </c>
      <c r="W5728">
        <v>0.1258176</v>
      </c>
      <c r="X5728">
        <v>0.94048569999999998</v>
      </c>
      <c r="Y5728">
        <v>0.51572689999999999</v>
      </c>
      <c r="Z5728">
        <v>5.2556540000000002E-3</v>
      </c>
      <c r="AA5728">
        <v>0.85673699999999997</v>
      </c>
      <c r="AB5728">
        <v>21</v>
      </c>
      <c r="AC5728">
        <v>4.7855999999999801</v>
      </c>
      <c r="AD5728">
        <v>-1.116785027223</v>
      </c>
      <c r="AE5728">
        <v>-6.3966999999999796</v>
      </c>
      <c r="AF5728">
        <v>4.1491928680763701</v>
      </c>
      <c r="AG5728">
        <v>-1.116785027223</v>
      </c>
      <c r="AH5728">
        <v>6.6468624756169001</v>
      </c>
      <c r="AI5728">
        <v>98.111570303084093</v>
      </c>
      <c r="AJ5728">
        <v>58.026217020909101</v>
      </c>
      <c r="AK5728">
        <v>7.9147830686184504</v>
      </c>
      <c r="AL5728">
        <v>82.772026401838801</v>
      </c>
      <c r="AM5728">
        <v>71.445110044177397</v>
      </c>
      <c r="AN5728">
        <v>0.99999999882036905</v>
      </c>
    </row>
    <row r="5729" spans="1:40" x14ac:dyDescent="0.25">
      <c r="A5729" t="str">
        <f>"20190303162027296"</f>
        <v>20190303162027296</v>
      </c>
      <c r="B5729" t="str">
        <f>"1551601227288059"</f>
        <v>1551601227288059</v>
      </c>
      <c r="C5729" t="s">
        <v>40</v>
      </c>
      <c r="D5729">
        <v>5.3660740000000002</v>
      </c>
      <c r="E5729">
        <v>0.59407219999999905</v>
      </c>
      <c r="F5729" t="s">
        <v>49</v>
      </c>
      <c r="G5729">
        <v>-197.1703</v>
      </c>
      <c r="H5729" s="1">
        <v>4.0524980000000001E-6</v>
      </c>
      <c r="I5729">
        <v>206.1319</v>
      </c>
      <c r="J5729">
        <v>-201.9496</v>
      </c>
      <c r="K5729">
        <v>1.116722</v>
      </c>
      <c r="L5729">
        <v>212.62870000000001</v>
      </c>
      <c r="M5729">
        <v>0.92912260000000002</v>
      </c>
      <c r="N5729">
        <v>-1.412278E-2</v>
      </c>
      <c r="O5729">
        <v>-0.36950250000000001</v>
      </c>
      <c r="P5729">
        <v>0.75847739999999997</v>
      </c>
      <c r="Q5729">
        <v>0.1162155</v>
      </c>
      <c r="R5729">
        <v>-0.64125350000000003</v>
      </c>
      <c r="S5729">
        <v>1.90036</v>
      </c>
      <c r="T5729">
        <v>-0.42755520000000002</v>
      </c>
      <c r="U5729">
        <v>-2.5185240000000002</v>
      </c>
      <c r="V5729">
        <v>0.31707679999999999</v>
      </c>
      <c r="W5729">
        <v>0.12578300000000001</v>
      </c>
      <c r="X5729">
        <v>0.94002180000000002</v>
      </c>
      <c r="Y5729">
        <v>0.51683140000000005</v>
      </c>
      <c r="Z5729">
        <v>6.0765480000000002E-3</v>
      </c>
      <c r="AA5729">
        <v>0.85606559999999898</v>
      </c>
      <c r="AB5729">
        <v>21</v>
      </c>
      <c r="AC5729">
        <v>4.7793000000000001</v>
      </c>
      <c r="AD5729">
        <v>-1.1167179475019999</v>
      </c>
      <c r="AE5729">
        <v>-6.4968000000000004</v>
      </c>
      <c r="AF5729">
        <v>4.1904515196681</v>
      </c>
      <c r="AG5729">
        <v>-1.1167179475019999</v>
      </c>
      <c r="AH5729">
        <v>6.7131250290815601</v>
      </c>
      <c r="AI5729">
        <v>98.032133674271705</v>
      </c>
      <c r="AJ5729">
        <v>58.026859693900498</v>
      </c>
      <c r="AK5729">
        <v>7.9920579683234996</v>
      </c>
      <c r="AL5729">
        <v>82.774024882006003</v>
      </c>
      <c r="AM5729">
        <v>71.360341699260204</v>
      </c>
      <c r="AN5729">
        <v>1.00000002233123</v>
      </c>
    </row>
    <row r="5730" spans="1:40" x14ac:dyDescent="0.25">
      <c r="A5730" t="str">
        <f>"20190303162027319"</f>
        <v>20190303162027319</v>
      </c>
      <c r="B5730" t="str">
        <f>"1551601227308556"</f>
        <v>1551601227308556</v>
      </c>
      <c r="C5730" t="s">
        <v>40</v>
      </c>
      <c r="D5730">
        <v>5.3872819999999999</v>
      </c>
      <c r="E5730">
        <v>0.59359059999999997</v>
      </c>
      <c r="F5730" t="s">
        <v>49</v>
      </c>
      <c r="G5730">
        <v>-197.04239999999999</v>
      </c>
      <c r="H5730" s="1">
        <v>4.1149780000000002E-6</v>
      </c>
      <c r="I5730">
        <v>206.00489999999999</v>
      </c>
      <c r="J5730">
        <v>-201.75970000000001</v>
      </c>
      <c r="K5730">
        <v>1.1166149999999999</v>
      </c>
      <c r="L5730">
        <v>212.54249999999999</v>
      </c>
      <c r="M5730">
        <v>0.92592810000000003</v>
      </c>
      <c r="N5730">
        <v>-1.4144260000000001E-2</v>
      </c>
      <c r="O5730">
        <v>-0.37743480000000001</v>
      </c>
      <c r="P5730">
        <v>0.75253990000000004</v>
      </c>
      <c r="Q5730">
        <v>0.1138733</v>
      </c>
      <c r="R5730">
        <v>-0.64862690000000001</v>
      </c>
      <c r="S5730">
        <v>1.877823</v>
      </c>
      <c r="T5730">
        <v>-0.42732809999999999</v>
      </c>
      <c r="U5730">
        <v>-2.5347140000000001</v>
      </c>
      <c r="V5730">
        <v>0.31808599999999998</v>
      </c>
      <c r="W5730">
        <v>0.123363899999999</v>
      </c>
      <c r="X5730">
        <v>0.94000139999999999</v>
      </c>
      <c r="Y5730">
        <v>0.51709189999999905</v>
      </c>
      <c r="Z5730">
        <v>7.1254889999999996E-3</v>
      </c>
      <c r="AA5730">
        <v>0.8559002</v>
      </c>
      <c r="AB5730">
        <v>21</v>
      </c>
      <c r="AC5730">
        <v>4.7173000000000203</v>
      </c>
      <c r="AD5730">
        <v>-1.116610885022</v>
      </c>
      <c r="AE5730">
        <v>-6.5375999999999896</v>
      </c>
      <c r="AF5730">
        <v>4.1928665733024397</v>
      </c>
      <c r="AG5730">
        <v>-1.116610885022</v>
      </c>
      <c r="AH5730">
        <v>6.7074083895578998</v>
      </c>
      <c r="AI5730">
        <v>98.034950026666806</v>
      </c>
      <c r="AJ5730">
        <v>57.990093976995801</v>
      </c>
      <c r="AK5730">
        <v>7.9885090770667802</v>
      </c>
      <c r="AL5730">
        <v>82.913717079977602</v>
      </c>
      <c r="AM5730">
        <v>71.304753563418799</v>
      </c>
      <c r="AN5730">
        <v>0.999999993610584</v>
      </c>
    </row>
    <row r="5731" spans="1:40" x14ac:dyDescent="0.25">
      <c r="A5731" t="str">
        <f>"20190303162027341"</f>
        <v>20190303162027341</v>
      </c>
      <c r="B5731" t="str">
        <f>"1551601227337835"</f>
        <v>1551601227337835</v>
      </c>
      <c r="C5731" t="s">
        <v>40</v>
      </c>
      <c r="D5731">
        <v>5.3894190000000002</v>
      </c>
      <c r="E5731">
        <v>0.59310629999999998</v>
      </c>
      <c r="F5731" t="s">
        <v>49</v>
      </c>
      <c r="G5731">
        <v>-196.98390000000001</v>
      </c>
      <c r="H5731" s="1">
        <v>4.1399760000000004E-6</v>
      </c>
      <c r="I5731">
        <v>205.9708</v>
      </c>
      <c r="J5731">
        <v>-201.5684</v>
      </c>
      <c r="K5731">
        <v>1.116476</v>
      </c>
      <c r="L5731">
        <v>212.45339999999999</v>
      </c>
      <c r="M5731">
        <v>0.92252780000000001</v>
      </c>
      <c r="N5731">
        <v>-1.417183E-2</v>
      </c>
      <c r="O5731">
        <v>-0.38567050000000003</v>
      </c>
      <c r="P5731">
        <v>0.74625369999999902</v>
      </c>
      <c r="Q5731">
        <v>0.11167879999999999</v>
      </c>
      <c r="R5731">
        <v>-0.65622659999999999</v>
      </c>
      <c r="S5731">
        <v>1.8536220000000001</v>
      </c>
      <c r="T5731">
        <v>-0.43339109999999997</v>
      </c>
      <c r="U5731">
        <v>-2.5506739999999999</v>
      </c>
      <c r="V5731">
        <v>0.31913469999999999</v>
      </c>
      <c r="W5731">
        <v>0.12107</v>
      </c>
      <c r="X5731">
        <v>0.93994420000000001</v>
      </c>
      <c r="Y5731">
        <v>0.51732500000000003</v>
      </c>
      <c r="Z5731">
        <v>8.4750320000000004E-3</v>
      </c>
      <c r="AA5731">
        <v>0.85574699999999904</v>
      </c>
      <c r="AB5731">
        <v>21</v>
      </c>
      <c r="AC5731">
        <v>4.5844999999999896</v>
      </c>
      <c r="AD5731">
        <v>-1.116471860024</v>
      </c>
      <c r="AE5731">
        <v>-6.4825999999999899</v>
      </c>
      <c r="AF5731">
        <v>4.1310135736204101</v>
      </c>
      <c r="AG5731">
        <v>-1.116471860024</v>
      </c>
      <c r="AH5731">
        <v>6.5996582904567003</v>
      </c>
      <c r="AI5731">
        <v>98.1603576845947</v>
      </c>
      <c r="AJ5731">
        <v>57.955757424505798</v>
      </c>
      <c r="AK5731">
        <v>7.8655751290325497</v>
      </c>
      <c r="AL5731">
        <v>83.046140672477193</v>
      </c>
      <c r="AM5731">
        <v>71.246357744393606</v>
      </c>
      <c r="AN5731">
        <v>1.0000000003788601</v>
      </c>
    </row>
    <row r="5732" spans="1:40" x14ac:dyDescent="0.25">
      <c r="A5732" t="str">
        <f>"20190303162027364"</f>
        <v>20190303162027364</v>
      </c>
      <c r="B5732" t="str">
        <f>"1551601227358331"</f>
        <v>1551601227358331</v>
      </c>
      <c r="C5732" t="s">
        <v>40</v>
      </c>
      <c r="D5732">
        <v>5.4368410000000003</v>
      </c>
      <c r="E5732">
        <v>0.59276790000000001</v>
      </c>
      <c r="F5732" t="s">
        <v>49</v>
      </c>
      <c r="G5732">
        <v>-196.8732</v>
      </c>
      <c r="H5732" s="1">
        <v>4.2044300000000003E-6</v>
      </c>
      <c r="I5732">
        <v>205.858</v>
      </c>
      <c r="J5732">
        <v>-201.37700000000001</v>
      </c>
      <c r="K5732">
        <v>1.1162970000000001</v>
      </c>
      <c r="L5732">
        <v>212.36179999999999</v>
      </c>
      <c r="M5732">
        <v>0.91891290000000003</v>
      </c>
      <c r="N5732">
        <v>-1.4205280000000001E-2</v>
      </c>
      <c r="O5732">
        <v>-0.39420460000000002</v>
      </c>
      <c r="P5732">
        <v>0.74002849999999998</v>
      </c>
      <c r="Q5732">
        <v>0.1115559</v>
      </c>
      <c r="R5732">
        <v>-0.6632595</v>
      </c>
      <c r="S5732">
        <v>1.827591</v>
      </c>
      <c r="T5732">
        <v>-0.43457590000000001</v>
      </c>
      <c r="U5732">
        <v>-2.567215</v>
      </c>
      <c r="V5732">
        <v>0.31936059999999999</v>
      </c>
      <c r="W5732">
        <v>0.1208404</v>
      </c>
      <c r="X5732">
        <v>0.93989699999999998</v>
      </c>
      <c r="Y5732">
        <v>0.51779430000000004</v>
      </c>
      <c r="Z5732">
        <v>9.6729099999999998E-3</v>
      </c>
      <c r="AA5732">
        <v>0.855450499999999</v>
      </c>
      <c r="AB5732">
        <v>21</v>
      </c>
      <c r="AC5732">
        <v>4.5038000000000098</v>
      </c>
      <c r="AD5732">
        <v>-1.1162927955699999</v>
      </c>
      <c r="AE5732">
        <v>-6.5037999999999796</v>
      </c>
      <c r="AF5732">
        <v>4.1194090083914396</v>
      </c>
      <c r="AG5732">
        <v>-1.1162927955699999</v>
      </c>
      <c r="AH5732">
        <v>6.5722435525540499</v>
      </c>
      <c r="AI5732">
        <v>98.189566702356601</v>
      </c>
      <c r="AJ5732">
        <v>57.920972621110103</v>
      </c>
      <c r="AK5732">
        <v>7.8364549062663702</v>
      </c>
      <c r="AL5732">
        <v>83.059392960901803</v>
      </c>
      <c r="AM5732">
        <v>71.233135436652702</v>
      </c>
      <c r="AN5732">
        <v>0.99999998285675895</v>
      </c>
    </row>
    <row r="5733" spans="1:40" x14ac:dyDescent="0.25">
      <c r="A5733" t="str">
        <f>"20190303162027386"</f>
        <v>20190303162027386</v>
      </c>
      <c r="B5733" t="str">
        <f>"1551601227377851"</f>
        <v>1551601227377851</v>
      </c>
      <c r="C5733" t="s">
        <v>40</v>
      </c>
      <c r="D5733">
        <v>5.4329330000000002</v>
      </c>
      <c r="E5733">
        <v>0.59232410000000002</v>
      </c>
      <c r="F5733" t="s">
        <v>49</v>
      </c>
      <c r="G5733">
        <v>-196.70910000000001</v>
      </c>
      <c r="H5733" s="1">
        <v>4.3059900000000001E-6</v>
      </c>
      <c r="I5733">
        <v>205.67359999999999</v>
      </c>
      <c r="J5733">
        <v>-201.1942</v>
      </c>
      <c r="K5733">
        <v>1.1161160000000001</v>
      </c>
      <c r="L5733">
        <v>212.27180000000001</v>
      </c>
      <c r="M5733">
        <v>0.91523169999999998</v>
      </c>
      <c r="N5733">
        <v>-1.4242919999999999E-2</v>
      </c>
      <c r="O5733">
        <v>-0.40267629999999999</v>
      </c>
      <c r="P5733">
        <v>0.73506579999999999</v>
      </c>
      <c r="Q5733">
        <v>0.11090170000000001</v>
      </c>
      <c r="R5733">
        <v>-0.66886440000000003</v>
      </c>
      <c r="S5733">
        <v>1.803223</v>
      </c>
      <c r="T5733">
        <v>-0.43123339999999999</v>
      </c>
      <c r="U5733">
        <v>-2.5837249999999998</v>
      </c>
      <c r="V5733">
        <v>0.31782440000000001</v>
      </c>
      <c r="W5733">
        <v>0.120107199999999</v>
      </c>
      <c r="X5733">
        <v>0.94051149999999994</v>
      </c>
      <c r="Y5733">
        <v>0.51796169999999997</v>
      </c>
      <c r="Z5733">
        <v>1.0681080000000001E-2</v>
      </c>
      <c r="AA5733">
        <v>0.85533709999999996</v>
      </c>
      <c r="AB5733">
        <v>21</v>
      </c>
      <c r="AC5733">
        <v>4.4850999999999797</v>
      </c>
      <c r="AD5733">
        <v>-1.11611169401</v>
      </c>
      <c r="AE5733">
        <v>-6.5982000000000101</v>
      </c>
      <c r="AF5733">
        <v>4.1520107513905096</v>
      </c>
      <c r="AG5733">
        <v>-1.11611169401</v>
      </c>
      <c r="AH5733">
        <v>6.6327245954089102</v>
      </c>
      <c r="AI5733">
        <v>98.117472248906594</v>
      </c>
      <c r="AJ5733">
        <v>57.953898360910202</v>
      </c>
      <c r="AK5733">
        <v>7.9042984604397803</v>
      </c>
      <c r="AL5733">
        <v>83.101710463381593</v>
      </c>
      <c r="AM5733">
        <v>71.328491258609603</v>
      </c>
      <c r="AN5733">
        <v>0.99999998517972399</v>
      </c>
    </row>
    <row r="5734" spans="1:40" x14ac:dyDescent="0.25">
      <c r="A5734" t="str">
        <f>"20190303162027409"</f>
        <v>20190303162027409</v>
      </c>
      <c r="B5734" t="str">
        <f>"1551601227398348"</f>
        <v>1551601227398348</v>
      </c>
      <c r="C5734" t="s">
        <v>40</v>
      </c>
      <c r="D5734">
        <v>5.4850760000000003</v>
      </c>
      <c r="E5734">
        <v>0.59196539999999997</v>
      </c>
      <c r="F5734" t="s">
        <v>49</v>
      </c>
      <c r="G5734">
        <v>-196.5692</v>
      </c>
      <c r="H5734" s="1">
        <v>4.3866730000000002E-6</v>
      </c>
      <c r="I5734">
        <v>205.53309999999999</v>
      </c>
      <c r="J5734">
        <v>-201.0076</v>
      </c>
      <c r="K5734">
        <v>1.1159110000000001</v>
      </c>
      <c r="L5734">
        <v>212.1771</v>
      </c>
      <c r="M5734">
        <v>0.91122199999999998</v>
      </c>
      <c r="N5734">
        <v>-1.428655E-2</v>
      </c>
      <c r="O5734">
        <v>-0.41166779999999997</v>
      </c>
      <c r="P5734">
        <v>0.73029960000000005</v>
      </c>
      <c r="Q5734">
        <v>0.1087795</v>
      </c>
      <c r="R5734">
        <v>-0.67441099999999998</v>
      </c>
      <c r="S5734">
        <v>1.7826839999999999</v>
      </c>
      <c r="T5734">
        <v>-0.43020049999999999</v>
      </c>
      <c r="U5734">
        <v>-2.5974119999999998</v>
      </c>
      <c r="V5734">
        <v>0.31557879999999999</v>
      </c>
      <c r="W5734">
        <v>0.11791989999999899</v>
      </c>
      <c r="X5734">
        <v>0.94154389999999999</v>
      </c>
      <c r="Y5734">
        <v>0.51632120000000004</v>
      </c>
      <c r="Z5734">
        <v>1.2010699999999999E-2</v>
      </c>
      <c r="AA5734">
        <v>0.85631080000000004</v>
      </c>
      <c r="AB5734">
        <v>20</v>
      </c>
      <c r="AC5734">
        <v>4.4383999999999997</v>
      </c>
      <c r="AD5734">
        <v>-1.1159066133269999</v>
      </c>
      <c r="AE5734">
        <v>-6.6440000000000001</v>
      </c>
      <c r="AF5734">
        <v>4.1465648248192402</v>
      </c>
      <c r="AG5734">
        <v>-1.1159066133269999</v>
      </c>
      <c r="AH5734">
        <v>6.65046252274482</v>
      </c>
      <c r="AI5734">
        <v>98.103577535243502</v>
      </c>
      <c r="AJ5734">
        <v>58.056451704601102</v>
      </c>
      <c r="AK5734">
        <v>7.9163059050625701</v>
      </c>
      <c r="AL5734">
        <v>83.227930735906497</v>
      </c>
      <c r="AM5734">
        <v>71.470309737301903</v>
      </c>
      <c r="AN5734">
        <v>0.99999999872633005</v>
      </c>
    </row>
    <row r="5735" spans="1:40" x14ac:dyDescent="0.25">
      <c r="A5735" t="str">
        <f>"20190303162027431"</f>
        <v>20190303162027431</v>
      </c>
      <c r="B5735" t="str">
        <f>"1551601227428603"</f>
        <v>1551601227428603</v>
      </c>
      <c r="C5735" t="s">
        <v>40</v>
      </c>
      <c r="D5735">
        <v>5.3646969999999996</v>
      </c>
      <c r="E5735">
        <v>0.59224860000000001</v>
      </c>
      <c r="F5735" t="s">
        <v>49</v>
      </c>
      <c r="G5735">
        <v>-196.4769</v>
      </c>
      <c r="H5735" s="1">
        <v>4.4323680000000001E-6</v>
      </c>
      <c r="I5735">
        <v>205.46170000000001</v>
      </c>
      <c r="J5735">
        <v>-200.8194</v>
      </c>
      <c r="K5735">
        <v>1.1157220000000001</v>
      </c>
      <c r="L5735">
        <v>212.0789</v>
      </c>
      <c r="M5735">
        <v>0.90692910000000004</v>
      </c>
      <c r="N5735">
        <v>-1.433221E-2</v>
      </c>
      <c r="O5735">
        <v>-0.42103980000000002</v>
      </c>
      <c r="P5735">
        <v>0.72509419999999902</v>
      </c>
      <c r="Q5735">
        <v>0.1027902</v>
      </c>
      <c r="R5735">
        <v>-0.68093539999999997</v>
      </c>
      <c r="S5735">
        <v>1.7614590000000001</v>
      </c>
      <c r="T5735">
        <v>-0.4338455</v>
      </c>
      <c r="U5735">
        <v>-2.6108549999999999</v>
      </c>
      <c r="V5735">
        <v>0.31391540000000001</v>
      </c>
      <c r="W5735">
        <v>0.11187809999999999</v>
      </c>
      <c r="X5735">
        <v>0.94283629999999996</v>
      </c>
      <c r="Y5735">
        <v>0.51437189999999999</v>
      </c>
      <c r="Z5735">
        <v>1.3666090000000001E-2</v>
      </c>
      <c r="AA5735">
        <v>0.85745839999999995</v>
      </c>
      <c r="AB5735">
        <v>20</v>
      </c>
      <c r="AC5735">
        <v>4.3425000000000002</v>
      </c>
      <c r="AD5735">
        <v>-1.1157175676319999</v>
      </c>
      <c r="AE5735">
        <v>-6.6171999999999898</v>
      </c>
      <c r="AF5735">
        <v>4.0920792784444799</v>
      </c>
      <c r="AG5735">
        <v>-1.1157175676319999</v>
      </c>
      <c r="AH5735">
        <v>6.5941010047353696</v>
      </c>
      <c r="AI5735">
        <v>98.181155066709096</v>
      </c>
      <c r="AJ5735">
        <v>58.177640661670303</v>
      </c>
      <c r="AK5735">
        <v>7.8404149489966102</v>
      </c>
      <c r="AL5735">
        <v>83.576408449058206</v>
      </c>
      <c r="AM5735">
        <v>71.584926954751197</v>
      </c>
      <c r="AN5735">
        <v>0.99999993810722798</v>
      </c>
    </row>
    <row r="5736" spans="1:40" x14ac:dyDescent="0.25">
      <c r="A5736" t="str">
        <f>"20190303162027453"</f>
        <v>20190303162027453</v>
      </c>
      <c r="B5736" t="str">
        <f>"1551601227448123"</f>
        <v>1551601227448123</v>
      </c>
      <c r="C5736" t="s">
        <v>40</v>
      </c>
      <c r="D5736">
        <v>5.4097970000000002</v>
      </c>
      <c r="E5736">
        <v>0.59248970000000001</v>
      </c>
      <c r="F5736" t="s">
        <v>49</v>
      </c>
      <c r="G5736">
        <v>-196.5138</v>
      </c>
      <c r="H5736" s="1">
        <v>4.3937E-6</v>
      </c>
      <c r="I5736">
        <v>205.548</v>
      </c>
      <c r="J5736">
        <v>-200.63929999999999</v>
      </c>
      <c r="K5736">
        <v>1.1155600000000001</v>
      </c>
      <c r="L5736">
        <v>211.98220000000001</v>
      </c>
      <c r="M5736">
        <v>0.90257540000000003</v>
      </c>
      <c r="N5736">
        <v>-1.437517E-2</v>
      </c>
      <c r="O5736">
        <v>-0.4302919</v>
      </c>
      <c r="P5736">
        <v>0.71909219999999996</v>
      </c>
      <c r="Q5736">
        <v>9.8366690000000007E-2</v>
      </c>
      <c r="R5736">
        <v>-0.68791759999999902</v>
      </c>
      <c r="S5736">
        <v>1.7327729999999999</v>
      </c>
      <c r="T5736">
        <v>-0.44900879999999999</v>
      </c>
      <c r="U5736">
        <v>-2.6283110000000001</v>
      </c>
      <c r="V5736">
        <v>0.31310500000000002</v>
      </c>
      <c r="W5736">
        <v>0.1074011</v>
      </c>
      <c r="X5736">
        <v>0.94362610000000002</v>
      </c>
      <c r="Y5736">
        <v>0.51469309999999902</v>
      </c>
      <c r="Z5736">
        <v>1.579388E-2</v>
      </c>
      <c r="AA5736">
        <v>0.85722900000000002</v>
      </c>
      <c r="AB5736">
        <v>20</v>
      </c>
      <c r="AC5736">
        <v>4.1254999999999802</v>
      </c>
      <c r="AD5736">
        <v>-1.1155556063000001</v>
      </c>
      <c r="AE5736">
        <v>-6.4341999999999997</v>
      </c>
      <c r="AF5736">
        <v>3.9484852169576801</v>
      </c>
      <c r="AG5736">
        <v>-1.1155556063000001</v>
      </c>
      <c r="AH5736">
        <v>6.3574008920810501</v>
      </c>
      <c r="AI5736">
        <v>98.478251580034893</v>
      </c>
      <c r="AJ5736">
        <v>58.156211658237702</v>
      </c>
      <c r="AK5736">
        <v>7.5664751319166896</v>
      </c>
      <c r="AL5736">
        <v>83.834477929584594</v>
      </c>
      <c r="AM5736">
        <v>71.643616378186607</v>
      </c>
      <c r="AN5736">
        <v>0.99999997695370901</v>
      </c>
    </row>
    <row r="5737" spans="1:40" x14ac:dyDescent="0.25">
      <c r="A5737" t="str">
        <f>"20190303162027476"</f>
        <v>20190303162027476</v>
      </c>
      <c r="B5737" t="str">
        <f>"1551601227468619"</f>
        <v>1551601227468619</v>
      </c>
      <c r="C5737" t="s">
        <v>40</v>
      </c>
      <c r="D5737">
        <v>5.4058999999999999</v>
      </c>
      <c r="E5737">
        <v>0.59266229999999998</v>
      </c>
      <c r="F5737" t="s">
        <v>49</v>
      </c>
      <c r="G5737">
        <v>-196.50839999999999</v>
      </c>
      <c r="H5737" s="1">
        <v>4.3893529999999996E-6</v>
      </c>
      <c r="I5737">
        <v>205.56370000000001</v>
      </c>
      <c r="J5737">
        <v>-200.4522</v>
      </c>
      <c r="K5737">
        <v>1.115416</v>
      </c>
      <c r="L5737">
        <v>211.87880000000001</v>
      </c>
      <c r="M5737">
        <v>0.89778659999999999</v>
      </c>
      <c r="N5737">
        <v>-1.4419649999999999E-2</v>
      </c>
      <c r="O5737">
        <v>-0.44019459999999999</v>
      </c>
      <c r="P5737">
        <v>0.71251200000000003</v>
      </c>
      <c r="Q5737">
        <v>9.8323869999999994E-2</v>
      </c>
      <c r="R5737">
        <v>-0.69473669999999899</v>
      </c>
      <c r="S5737">
        <v>1.70320099999999</v>
      </c>
      <c r="T5737">
        <v>-0.45994570000000001</v>
      </c>
      <c r="U5737">
        <v>-2.6463779999999999</v>
      </c>
      <c r="V5737">
        <v>0.311747</v>
      </c>
      <c r="W5737">
        <v>0.1073162</v>
      </c>
      <c r="X5737">
        <v>0.94408530000000002</v>
      </c>
      <c r="Y5737">
        <v>0.51469209999999999</v>
      </c>
      <c r="Z5737">
        <v>1.7896700000000001E-2</v>
      </c>
      <c r="AA5737">
        <v>0.85718830000000001</v>
      </c>
      <c r="AB5737">
        <v>20</v>
      </c>
      <c r="AC5737">
        <v>3.9438</v>
      </c>
      <c r="AD5737">
        <v>-1.115411610647</v>
      </c>
      <c r="AE5737">
        <v>-6.3151000000000002</v>
      </c>
      <c r="AF5737">
        <v>3.8476268803473102</v>
      </c>
      <c r="AG5737">
        <v>-1.115411610647</v>
      </c>
      <c r="AH5737">
        <v>6.1824638124652198</v>
      </c>
      <c r="AI5737">
        <v>98.708561103579996</v>
      </c>
      <c r="AJ5737">
        <v>58.104127607035302</v>
      </c>
      <c r="AK5737">
        <v>7.3669012796412101</v>
      </c>
      <c r="AL5737">
        <v>83.839370800457502</v>
      </c>
      <c r="AM5737">
        <v>71.726227786068605</v>
      </c>
      <c r="AN5737">
        <v>1.00000000623376</v>
      </c>
    </row>
    <row r="5738" spans="1:40" x14ac:dyDescent="0.25">
      <c r="A5738" t="str">
        <f>"20190303162027499"</f>
        <v>20190303162027499</v>
      </c>
      <c r="B5738" t="str">
        <f>"1551601227488648"</f>
        <v>1551601227488648</v>
      </c>
      <c r="C5738" t="s">
        <v>40</v>
      </c>
      <c r="D5738">
        <v>5.4212579999999999</v>
      </c>
      <c r="E5738">
        <v>0.59281899999999998</v>
      </c>
      <c r="F5738" t="s">
        <v>49</v>
      </c>
      <c r="G5738">
        <v>-196.3929</v>
      </c>
      <c r="H5738" s="1">
        <v>4.4622750000000004E-6</v>
      </c>
      <c r="I5738">
        <v>205.4298</v>
      </c>
      <c r="J5738">
        <v>-200.26750000000001</v>
      </c>
      <c r="K5738">
        <v>1.115297</v>
      </c>
      <c r="L5738">
        <v>211.77379999999999</v>
      </c>
      <c r="M5738">
        <v>0.89278729999999995</v>
      </c>
      <c r="N5738">
        <v>-1.446539E-2</v>
      </c>
      <c r="O5738">
        <v>-0.45024649999999999</v>
      </c>
      <c r="P5738">
        <v>0.70450900000000005</v>
      </c>
      <c r="Q5738">
        <v>0.1022508</v>
      </c>
      <c r="R5738">
        <v>-0.70229039999999998</v>
      </c>
      <c r="S5738">
        <v>1.6766970000000001</v>
      </c>
      <c r="T5738">
        <v>-0.46072340000000001</v>
      </c>
      <c r="U5738">
        <v>-2.6637879999999998</v>
      </c>
      <c r="V5738">
        <v>0.31155539999999998</v>
      </c>
      <c r="W5738">
        <v>0.1111815</v>
      </c>
      <c r="X5738">
        <v>0.94370109999999996</v>
      </c>
      <c r="Y5738">
        <v>0.51377969999999995</v>
      </c>
      <c r="Z5738">
        <v>1.9528480000000001E-2</v>
      </c>
      <c r="AA5738">
        <v>0.85769989999999996</v>
      </c>
      <c r="AB5738">
        <v>20</v>
      </c>
      <c r="AC5738">
        <v>3.8746000000000098</v>
      </c>
      <c r="AD5738">
        <v>-1.115292537725</v>
      </c>
      <c r="AE5738">
        <v>-6.3439999999999896</v>
      </c>
      <c r="AF5738">
        <v>3.8334363450928199</v>
      </c>
      <c r="AG5738">
        <v>-1.115292537725</v>
      </c>
      <c r="AH5738">
        <v>6.1771691827168498</v>
      </c>
      <c r="AI5738">
        <v>98.721782878023603</v>
      </c>
      <c r="AJ5738">
        <v>58.177030894281998</v>
      </c>
      <c r="AK5738">
        <v>7.3550343825498503</v>
      </c>
      <c r="AL5738">
        <v>83.616571210571806</v>
      </c>
      <c r="AM5738">
        <v>71.729771645177493</v>
      </c>
      <c r="AN5738">
        <v>0.99999992967630702</v>
      </c>
    </row>
    <row r="5739" spans="1:40" x14ac:dyDescent="0.25">
      <c r="A5739" t="str">
        <f>"20190303162027522"</f>
        <v>20190303162027522</v>
      </c>
      <c r="B5739" t="str">
        <f>"1551601227517928"</f>
        <v>1551601227517928</v>
      </c>
      <c r="C5739" t="s">
        <v>40</v>
      </c>
      <c r="D5739">
        <v>5.6702899999999996</v>
      </c>
      <c r="E5739">
        <v>0.59286609999999995</v>
      </c>
      <c r="F5739" t="s">
        <v>49</v>
      </c>
      <c r="G5739">
        <v>-196.18770000000001</v>
      </c>
      <c r="H5739" s="1">
        <v>4.6130590000000003E-6</v>
      </c>
      <c r="I5739">
        <v>205.13200000000001</v>
      </c>
      <c r="J5739">
        <v>-200.07820000000001</v>
      </c>
      <c r="K5739">
        <v>1.1151690000000001</v>
      </c>
      <c r="L5739">
        <v>211.66290000000001</v>
      </c>
      <c r="M5739">
        <v>0.88738879999999998</v>
      </c>
      <c r="N5739">
        <v>-1.451298E-2</v>
      </c>
      <c r="O5739">
        <v>-0.46079340000000002</v>
      </c>
      <c r="P5739">
        <v>0.69422839999999997</v>
      </c>
      <c r="Q5739">
        <v>0.10516159999999999</v>
      </c>
      <c r="R5739">
        <v>-0.71203090000000002</v>
      </c>
      <c r="S5739">
        <v>1.648468</v>
      </c>
      <c r="T5739">
        <v>-0.45063530000000002</v>
      </c>
      <c r="U5739">
        <v>-2.683624</v>
      </c>
      <c r="V5739">
        <v>0.31379459999999998</v>
      </c>
      <c r="W5739">
        <v>0.1139922</v>
      </c>
      <c r="X5739">
        <v>0.9426234</v>
      </c>
      <c r="Y5739">
        <v>0.51313980000000003</v>
      </c>
      <c r="Z5739">
        <v>2.0473249999999998E-2</v>
      </c>
      <c r="AA5739">
        <v>0.85806079999999996</v>
      </c>
      <c r="AB5739">
        <v>20</v>
      </c>
      <c r="AC5739">
        <v>3.8904999999999998</v>
      </c>
      <c r="AD5739">
        <v>-1.115164386941</v>
      </c>
      <c r="AE5739">
        <v>-6.5308999999999999</v>
      </c>
      <c r="AF5739">
        <v>3.9188206045851599</v>
      </c>
      <c r="AG5739">
        <v>-1.115164386941</v>
      </c>
      <c r="AH5739">
        <v>6.3263218926013103</v>
      </c>
      <c r="AI5739">
        <v>98.5225074161295</v>
      </c>
      <c r="AJ5739">
        <v>58.223983058469202</v>
      </c>
      <c r="AK5739">
        <v>7.5248319070680498</v>
      </c>
      <c r="AL5739">
        <v>83.454500370384096</v>
      </c>
      <c r="AM5739">
        <v>71.587658249799006</v>
      </c>
      <c r="AN5739">
        <v>1.00000007343877</v>
      </c>
    </row>
    <row r="5740" spans="1:40" x14ac:dyDescent="0.25">
      <c r="A5740" t="str">
        <f>"20190303162027543"</f>
        <v>20190303162027543</v>
      </c>
      <c r="B5740" t="str">
        <f>"1551601227538424"</f>
        <v>1551601227538424</v>
      </c>
      <c r="C5740" t="s">
        <v>40</v>
      </c>
      <c r="D5740">
        <v>5.436763</v>
      </c>
      <c r="E5740">
        <v>0.59299840000000004</v>
      </c>
      <c r="F5740" t="s">
        <v>49</v>
      </c>
      <c r="G5740">
        <v>-196.04179999999999</v>
      </c>
      <c r="H5740" s="1">
        <v>4.7312989999999997E-6</v>
      </c>
      <c r="I5740">
        <v>204.88900000000001</v>
      </c>
      <c r="J5740">
        <v>-199.91749999999999</v>
      </c>
      <c r="K5740">
        <v>1.1150690000000001</v>
      </c>
      <c r="L5740">
        <v>211.566</v>
      </c>
      <c r="M5740">
        <v>0.88259469999999995</v>
      </c>
      <c r="N5740">
        <v>-1.4550240000000001E-2</v>
      </c>
      <c r="O5740">
        <v>-0.46990969999999999</v>
      </c>
      <c r="P5740">
        <v>0.68439139999999998</v>
      </c>
      <c r="Q5740">
        <v>0.10328469999999999</v>
      </c>
      <c r="R5740">
        <v>-0.72176249999999997</v>
      </c>
      <c r="S5740">
        <v>1.6128229999999999</v>
      </c>
      <c r="T5740">
        <v>-0.44558550000000002</v>
      </c>
      <c r="U5740">
        <v>-2.7066349999999999</v>
      </c>
      <c r="V5740">
        <v>0.31725759999999997</v>
      </c>
      <c r="W5740">
        <v>0.1120189</v>
      </c>
      <c r="X5740">
        <v>0.94170030000000005</v>
      </c>
      <c r="Y5740">
        <v>0.51590959999999997</v>
      </c>
      <c r="Z5740">
        <v>2.12111E-2</v>
      </c>
      <c r="AA5740">
        <v>0.85638040000000004</v>
      </c>
      <c r="AB5740">
        <v>20</v>
      </c>
      <c r="AC5740">
        <v>3.8756999999999899</v>
      </c>
      <c r="AD5740">
        <v>-1.1150642687009999</v>
      </c>
      <c r="AE5740">
        <v>-6.6769999999999596</v>
      </c>
      <c r="AF5740">
        <v>3.9890715602006699</v>
      </c>
      <c r="AG5740">
        <v>-1.1150642687009999</v>
      </c>
      <c r="AH5740">
        <v>6.4249244582573803</v>
      </c>
      <c r="AI5740">
        <v>98.387559824513502</v>
      </c>
      <c r="AJ5740">
        <v>58.164909949789198</v>
      </c>
      <c r="AK5740">
        <v>7.6443256425959198</v>
      </c>
      <c r="AL5740">
        <v>83.5682908092556</v>
      </c>
      <c r="AM5740">
        <v>71.3813962049813</v>
      </c>
      <c r="AN5740">
        <v>1.0000000368675199</v>
      </c>
    </row>
    <row r="5741" spans="1:40" x14ac:dyDescent="0.25">
      <c r="A5741" t="str">
        <f>"20190303162027565"</f>
        <v>20190303162027565</v>
      </c>
      <c r="B5741" t="str">
        <f>"1551601227557944"</f>
        <v>1551601227557944</v>
      </c>
      <c r="C5741" t="s">
        <v>40</v>
      </c>
      <c r="D5741">
        <v>5.6579819999999996</v>
      </c>
      <c r="E5741">
        <v>0.59292979999999995</v>
      </c>
      <c r="F5741" t="s">
        <v>49</v>
      </c>
      <c r="G5741">
        <v>-196.03360000000001</v>
      </c>
      <c r="H5741" s="1">
        <v>4.7541269999999996E-6</v>
      </c>
      <c r="I5741">
        <v>204.8295</v>
      </c>
      <c r="J5741">
        <v>-199.74100000000001</v>
      </c>
      <c r="K5741">
        <v>1.1149899999999999</v>
      </c>
      <c r="L5741">
        <v>211.45670000000001</v>
      </c>
      <c r="M5741">
        <v>0.87712469999999998</v>
      </c>
      <c r="N5741">
        <v>-1.458391E-2</v>
      </c>
      <c r="O5741">
        <v>-0.48004140000000001</v>
      </c>
      <c r="P5741">
        <v>0.67414169999999995</v>
      </c>
      <c r="Q5741">
        <v>9.9436250000000004E-2</v>
      </c>
      <c r="R5741">
        <v>-0.73187809999999998</v>
      </c>
      <c r="S5741">
        <v>1.5734859999999999</v>
      </c>
      <c r="T5741">
        <v>-0.45174500000000001</v>
      </c>
      <c r="U5741">
        <v>-2.7291259999999999</v>
      </c>
      <c r="V5741">
        <v>0.32012279999999999</v>
      </c>
      <c r="W5741">
        <v>0.10810599999999999</v>
      </c>
      <c r="X5741">
        <v>0.94118780000000002</v>
      </c>
      <c r="Y5741">
        <v>0.51836819999999995</v>
      </c>
      <c r="Z5741">
        <v>2.294653E-2</v>
      </c>
      <c r="AA5741">
        <v>0.85484959999999899</v>
      </c>
      <c r="AB5741">
        <v>20</v>
      </c>
      <c r="AC5741">
        <v>3.7073999999999701</v>
      </c>
      <c r="AD5741">
        <v>-1.1149852458730001</v>
      </c>
      <c r="AE5741">
        <v>-6.62720000000001</v>
      </c>
      <c r="AF5741">
        <v>3.9484786226086102</v>
      </c>
      <c r="AG5741">
        <v>-1.1149852458730001</v>
      </c>
      <c r="AH5741">
        <v>6.2980856132495804</v>
      </c>
      <c r="AI5741">
        <v>98.530508254686595</v>
      </c>
      <c r="AJ5741">
        <v>57.915037578043702</v>
      </c>
      <c r="AK5741">
        <v>7.5166187826397799</v>
      </c>
      <c r="AL5741">
        <v>83.793853713081802</v>
      </c>
      <c r="AM5741">
        <v>71.215476276082896</v>
      </c>
      <c r="AN5741">
        <v>0.99999999459234001</v>
      </c>
    </row>
    <row r="5742" spans="1:40" x14ac:dyDescent="0.25">
      <c r="A5742" t="str">
        <f>"20190303162027588"</f>
        <v>20190303162027588</v>
      </c>
      <c r="B5742" t="str">
        <f>"1551601227578441"</f>
        <v>1551601227578441</v>
      </c>
      <c r="C5742" t="s">
        <v>40</v>
      </c>
      <c r="D5742">
        <v>5.4989970000000001</v>
      </c>
      <c r="E5742">
        <v>0.59302080000000001</v>
      </c>
      <c r="F5742" t="s">
        <v>49</v>
      </c>
      <c r="G5742">
        <v>-196.06649999999999</v>
      </c>
      <c r="H5742" s="1">
        <v>4.7362630000000003E-6</v>
      </c>
      <c r="I5742">
        <v>204.8595</v>
      </c>
      <c r="J5742">
        <v>-199.5684</v>
      </c>
      <c r="K5742">
        <v>1.114965</v>
      </c>
      <c r="L5742">
        <v>211.3468</v>
      </c>
      <c r="M5742">
        <v>0.87157759999999995</v>
      </c>
      <c r="N5742">
        <v>-1.4608019999999999E-2</v>
      </c>
      <c r="O5742">
        <v>-0.49003999999999998</v>
      </c>
      <c r="P5742">
        <v>0.66406359999999998</v>
      </c>
      <c r="Q5742">
        <v>9.6480440000000001E-2</v>
      </c>
      <c r="R5742">
        <v>-0.74142519999999901</v>
      </c>
      <c r="S5742">
        <v>1.532181</v>
      </c>
      <c r="T5742">
        <v>-0.46491860000000002</v>
      </c>
      <c r="U5742">
        <v>-2.7508849999999998</v>
      </c>
      <c r="V5742">
        <v>0.32253749999999998</v>
      </c>
      <c r="W5742">
        <v>0.1051214</v>
      </c>
      <c r="X5742">
        <v>0.94070140000000002</v>
      </c>
      <c r="Y5742">
        <v>0.52122000000000002</v>
      </c>
      <c r="Z5742">
        <v>2.5228919999999998E-2</v>
      </c>
      <c r="AA5742">
        <v>0.85304939999999996</v>
      </c>
      <c r="AB5742">
        <v>20</v>
      </c>
      <c r="AC5742">
        <v>3.5019</v>
      </c>
      <c r="AD5742">
        <v>-1.114960263737</v>
      </c>
      <c r="AE5742">
        <v>-6.4873000000000003</v>
      </c>
      <c r="AF5742">
        <v>3.8504608765349699</v>
      </c>
      <c r="AG5742">
        <v>-1.114960263737</v>
      </c>
      <c r="AH5742">
        <v>6.0925215235342698</v>
      </c>
      <c r="AI5742">
        <v>98.793902008307001</v>
      </c>
      <c r="AJ5742">
        <v>57.707199023765597</v>
      </c>
      <c r="AK5742">
        <v>7.2930106174451304</v>
      </c>
      <c r="AL5742">
        <v>83.9658392406552</v>
      </c>
      <c r="AM5742">
        <v>71.074739414888597</v>
      </c>
      <c r="AN5742">
        <v>1.0000000358030801</v>
      </c>
    </row>
    <row r="5743" spans="1:40" x14ac:dyDescent="0.25">
      <c r="A5743" t="str">
        <f>"20190303162027610"</f>
        <v>20190303162027610</v>
      </c>
      <c r="B5743" t="str">
        <f>"1551601227597960"</f>
        <v>1551601227597960</v>
      </c>
      <c r="C5743" t="s">
        <v>40</v>
      </c>
      <c r="D5743">
        <v>5.4783989999999996</v>
      </c>
      <c r="E5743">
        <v>0.59303240000000002</v>
      </c>
      <c r="F5743" t="s">
        <v>49</v>
      </c>
      <c r="G5743">
        <v>-196.0677</v>
      </c>
      <c r="H5743" s="1">
        <v>4.7391839999999999E-6</v>
      </c>
      <c r="I5743">
        <v>204.85040000000001</v>
      </c>
      <c r="J5743">
        <v>-199.3964</v>
      </c>
      <c r="K5743">
        <v>1.1149789999999999</v>
      </c>
      <c r="L5743">
        <v>211.23439999999999</v>
      </c>
      <c r="M5743">
        <v>0.86587409999999998</v>
      </c>
      <c r="N5743">
        <v>-1.462512E-2</v>
      </c>
      <c r="O5743">
        <v>-0.50004819999999905</v>
      </c>
      <c r="P5743">
        <v>0.65352509999999997</v>
      </c>
      <c r="Q5743">
        <v>9.3864489999999995E-2</v>
      </c>
      <c r="R5743">
        <v>-0.75106240000000002</v>
      </c>
      <c r="S5743">
        <v>1.4931179999999999</v>
      </c>
      <c r="T5743">
        <v>-0.47554930000000001</v>
      </c>
      <c r="U5743">
        <v>-2.770813</v>
      </c>
      <c r="V5743">
        <v>0.32522770000000001</v>
      </c>
      <c r="W5743">
        <v>0.1024931</v>
      </c>
      <c r="X5743">
        <v>0.94006500000000004</v>
      </c>
      <c r="Y5743">
        <v>0.52325829999999995</v>
      </c>
      <c r="Z5743">
        <v>2.7479429999999999E-2</v>
      </c>
      <c r="AA5743">
        <v>0.85173099999999902</v>
      </c>
      <c r="AB5743">
        <v>20</v>
      </c>
      <c r="AC5743">
        <v>3.3286999999999898</v>
      </c>
      <c r="AD5743">
        <v>-1.114974260816</v>
      </c>
      <c r="AE5743">
        <v>-6.3839999999999799</v>
      </c>
      <c r="AF5743">
        <v>3.7731520114825901</v>
      </c>
      <c r="AG5743">
        <v>-1.114974260816</v>
      </c>
      <c r="AH5743">
        <v>5.9329044871059402</v>
      </c>
      <c r="AI5743">
        <v>99.010820563140896</v>
      </c>
      <c r="AJ5743">
        <v>57.544844626839598</v>
      </c>
      <c r="AK5743">
        <v>7.1189324590951903</v>
      </c>
      <c r="AL5743">
        <v>84.117247846234505</v>
      </c>
      <c r="AM5743">
        <v>70.916273642964498</v>
      </c>
      <c r="AN5743">
        <v>1.00000004830994</v>
      </c>
    </row>
    <row r="5744" spans="1:40" x14ac:dyDescent="0.25">
      <c r="A5744" t="str">
        <f>"20190303162027632"</f>
        <v>20190303162027632</v>
      </c>
      <c r="B5744" t="str">
        <f>"1551601227628216"</f>
        <v>1551601227628216</v>
      </c>
      <c r="C5744" t="s">
        <v>40</v>
      </c>
      <c r="D5744">
        <v>5.7414310000000004</v>
      </c>
      <c r="E5744">
        <v>0.59305669999999899</v>
      </c>
      <c r="F5744" t="s">
        <v>49</v>
      </c>
      <c r="G5744">
        <v>-196.06610000000001</v>
      </c>
      <c r="H5744" s="1">
        <v>4.7404259999999998E-6</v>
      </c>
      <c r="I5744">
        <v>204.84790000000001</v>
      </c>
      <c r="J5744">
        <v>-199.22649999999999</v>
      </c>
      <c r="K5744">
        <v>1.11501299999999</v>
      </c>
      <c r="L5744">
        <v>211.1206</v>
      </c>
      <c r="M5744">
        <v>0.86008259999999903</v>
      </c>
      <c r="N5744">
        <v>-1.463657E-2</v>
      </c>
      <c r="O5744">
        <v>-0.50994490000000003</v>
      </c>
      <c r="P5744">
        <v>0.64343319999999904</v>
      </c>
      <c r="Q5744">
        <v>9.0717699999999998E-2</v>
      </c>
      <c r="R5744">
        <v>-0.76010809999999995</v>
      </c>
      <c r="S5744">
        <v>1.4546049999999999</v>
      </c>
      <c r="T5744">
        <v>-0.4870043</v>
      </c>
      <c r="U5744">
        <v>-2.78952</v>
      </c>
      <c r="V5744">
        <v>0.32727309999999998</v>
      </c>
      <c r="W5744">
        <v>9.9364389999999997E-2</v>
      </c>
      <c r="X5744">
        <v>0.9396909</v>
      </c>
      <c r="Y5744">
        <v>0.52506200000000003</v>
      </c>
      <c r="Z5744">
        <v>2.9887609999999998E-2</v>
      </c>
      <c r="AA5744">
        <v>0.85053899999999905</v>
      </c>
      <c r="AB5744">
        <v>20</v>
      </c>
      <c r="AC5744">
        <v>3.1603999999999801</v>
      </c>
      <c r="AD5744">
        <v>-1.1150082595739901</v>
      </c>
      <c r="AE5744">
        <v>-6.27269999999998</v>
      </c>
      <c r="AF5744">
        <v>3.6908067433330198</v>
      </c>
      <c r="AG5744">
        <v>-1.1150082595739901</v>
      </c>
      <c r="AH5744">
        <v>5.7721122829579103</v>
      </c>
      <c r="AI5744">
        <v>99.243603146117806</v>
      </c>
      <c r="AJ5744">
        <v>57.404319226878101</v>
      </c>
      <c r="AK5744">
        <v>6.9413671594740203</v>
      </c>
      <c r="AL5744">
        <v>84.297429448088295</v>
      </c>
      <c r="AM5744">
        <v>70.797927841820794</v>
      </c>
      <c r="AN5744">
        <v>0.99999997576324495</v>
      </c>
    </row>
    <row r="5745" spans="1:40" x14ac:dyDescent="0.25">
      <c r="A5745" t="str">
        <f>"20190303162027655"</f>
        <v>20190303162027655</v>
      </c>
      <c r="B5745" t="str">
        <f>"1551601227647736"</f>
        <v>1551601227647736</v>
      </c>
      <c r="C5745" t="s">
        <v>40</v>
      </c>
      <c r="D5745">
        <v>5.6610990000000001</v>
      </c>
      <c r="E5745">
        <v>0.59798530000000005</v>
      </c>
      <c r="F5745" t="s">
        <v>49</v>
      </c>
      <c r="G5745">
        <v>-196.06280000000001</v>
      </c>
      <c r="H5745" s="1">
        <v>4.7432120000000001E-6</v>
      </c>
      <c r="I5745">
        <v>204.84209999999999</v>
      </c>
      <c r="J5745">
        <v>-199.05250000000001</v>
      </c>
      <c r="K5745">
        <v>1.11507</v>
      </c>
      <c r="L5745">
        <v>211.00120000000001</v>
      </c>
      <c r="M5745">
        <v>0.85400309999999902</v>
      </c>
      <c r="N5745">
        <v>-1.4643710000000001E-2</v>
      </c>
      <c r="O5745">
        <v>-0.52006189999999997</v>
      </c>
      <c r="P5745">
        <v>0.63330920000000002</v>
      </c>
      <c r="Q5745">
        <v>9.0124309999999999E-2</v>
      </c>
      <c r="R5745">
        <v>-0.76863369999999998</v>
      </c>
      <c r="S5745">
        <v>1.415146</v>
      </c>
      <c r="T5745">
        <v>-0.4987549</v>
      </c>
      <c r="U5745">
        <v>-2.8084259999999999</v>
      </c>
      <c r="V5745">
        <v>0.3286618</v>
      </c>
      <c r="W5745">
        <v>9.8806370000000004E-2</v>
      </c>
      <c r="X5745">
        <v>0.93926500000000002</v>
      </c>
      <c r="Y5745">
        <v>0.52684240000000004</v>
      </c>
      <c r="Z5745">
        <v>3.2445700000000001E-2</v>
      </c>
      <c r="AA5745">
        <v>0.84934349999999903</v>
      </c>
      <c r="AB5745">
        <v>20</v>
      </c>
      <c r="AC5745">
        <v>2.9896999999999898</v>
      </c>
      <c r="AD5745">
        <v>-1.1150652567879999</v>
      </c>
      <c r="AE5745">
        <v>-6.15910000000002</v>
      </c>
      <c r="AF5745">
        <v>3.6097057789735199</v>
      </c>
      <c r="AG5745">
        <v>-1.1150652567879999</v>
      </c>
      <c r="AH5745">
        <v>5.6081780985336103</v>
      </c>
      <c r="AI5745">
        <v>99.491485618796403</v>
      </c>
      <c r="AJ5745">
        <v>57.232627710425199</v>
      </c>
      <c r="AK5745">
        <v>6.76202690933144</v>
      </c>
      <c r="AL5745">
        <v>84.329559943901003</v>
      </c>
      <c r="AM5745">
        <v>70.7143530107912</v>
      </c>
      <c r="AN5745">
        <v>1.0000000088784</v>
      </c>
    </row>
    <row r="5746" spans="1:40" x14ac:dyDescent="0.25">
      <c r="A5746" t="str">
        <f>"20190303162027677"</f>
        <v>20190303162027677</v>
      </c>
      <c r="B5746" t="str">
        <f>"1551601227668232"</f>
        <v>1551601227668232</v>
      </c>
      <c r="C5746" t="s">
        <v>40</v>
      </c>
      <c r="D5746">
        <v>5.6456589999999904</v>
      </c>
      <c r="E5746">
        <v>0.59809639999999997</v>
      </c>
      <c r="F5746" t="s">
        <v>49</v>
      </c>
      <c r="G5746">
        <v>-196.7921</v>
      </c>
      <c r="H5746" s="1">
        <v>4.0915389999999997E-6</v>
      </c>
      <c r="I5746">
        <v>206.2379</v>
      </c>
      <c r="J5746">
        <v>-198.88679999999999</v>
      </c>
      <c r="K5746">
        <v>1.1151199999999999</v>
      </c>
      <c r="L5746">
        <v>210.88460000000001</v>
      </c>
      <c r="M5746">
        <v>0.84807389999999905</v>
      </c>
      <c r="N5746">
        <v>-1.4646650000000001E-2</v>
      </c>
      <c r="O5746">
        <v>-0.52967569999999997</v>
      </c>
      <c r="P5746">
        <v>0.6214771</v>
      </c>
      <c r="Q5746">
        <v>9.0810370000000001E-2</v>
      </c>
      <c r="R5746">
        <v>-0.77815159999999906</v>
      </c>
      <c r="S5746">
        <v>1.3583369999999999</v>
      </c>
      <c r="T5746">
        <v>-0.67006589999999999</v>
      </c>
      <c r="U5746">
        <v>-2.8623660000000002</v>
      </c>
      <c r="V5746">
        <v>0.3323489</v>
      </c>
      <c r="W5746">
        <v>9.9473039999999999E-2</v>
      </c>
      <c r="X5746">
        <v>0.93789619999999996</v>
      </c>
      <c r="Y5746">
        <v>0.53638599999999903</v>
      </c>
      <c r="Z5746">
        <v>4.7764599999999997E-2</v>
      </c>
      <c r="AA5746">
        <v>0.84262009999999898</v>
      </c>
      <c r="AB5746">
        <v>20</v>
      </c>
      <c r="AC5746">
        <v>2.09469999999998</v>
      </c>
      <c r="AD5746">
        <v>-1.1151159084610001</v>
      </c>
      <c r="AE5746">
        <v>-4.6467000000000098</v>
      </c>
      <c r="AF5746">
        <v>2.7021990507908602</v>
      </c>
      <c r="AG5746">
        <v>-1.1151159084610001</v>
      </c>
      <c r="AH5746">
        <v>4.04456990401094</v>
      </c>
      <c r="AI5746">
        <v>102.911927547262</v>
      </c>
      <c r="AJ5746">
        <v>56.252900561964097</v>
      </c>
      <c r="AK5746">
        <v>4.9903816394970102</v>
      </c>
      <c r="AL5746">
        <v>84.291173287787899</v>
      </c>
      <c r="AM5746">
        <v>70.487926462188298</v>
      </c>
      <c r="AN5746">
        <v>0.99999997949624497</v>
      </c>
    </row>
    <row r="5747" spans="1:40" x14ac:dyDescent="0.25">
      <c r="A5747" t="str">
        <f>"20190303162027700"</f>
        <v>20190303162027700</v>
      </c>
      <c r="B5747" t="str">
        <f>"1551601227688728"</f>
        <v>1551601227688728</v>
      </c>
      <c r="C5747" t="s">
        <v>40</v>
      </c>
      <c r="D5747">
        <v>5.6264409999999998</v>
      </c>
      <c r="E5747">
        <v>0.5981495</v>
      </c>
      <c r="F5747" t="s">
        <v>49</v>
      </c>
      <c r="G5747">
        <v>-196.69200000000001</v>
      </c>
      <c r="H5747" s="1">
        <v>4.163546E-6</v>
      </c>
      <c r="I5747">
        <v>206.0873</v>
      </c>
      <c r="J5747">
        <v>-198.7175</v>
      </c>
      <c r="K5747">
        <v>1.115162</v>
      </c>
      <c r="L5747">
        <v>210.7628</v>
      </c>
      <c r="M5747">
        <v>0.84188390000000002</v>
      </c>
      <c r="N5747">
        <v>-1.464643E-2</v>
      </c>
      <c r="O5747">
        <v>-0.53946019999999995</v>
      </c>
      <c r="P5747">
        <v>0.60813039999999996</v>
      </c>
      <c r="Q5747">
        <v>8.9071659999999997E-2</v>
      </c>
      <c r="R5747">
        <v>-0.78882469999999905</v>
      </c>
      <c r="S5747">
        <v>1.3179780000000001</v>
      </c>
      <c r="T5747">
        <v>-0.66962670000000002</v>
      </c>
      <c r="U5747">
        <v>-2.880814</v>
      </c>
      <c r="V5747">
        <v>0.33759460000000002</v>
      </c>
      <c r="W5747">
        <v>9.7679840000000004E-2</v>
      </c>
      <c r="X5747">
        <v>0.93620970000000003</v>
      </c>
      <c r="Y5747">
        <v>0.53851309999999997</v>
      </c>
      <c r="Z5747">
        <v>4.9770259999999997E-2</v>
      </c>
      <c r="AA5747">
        <v>0.84114599999999995</v>
      </c>
      <c r="AB5747">
        <v>20</v>
      </c>
      <c r="AC5747">
        <v>2.0254999999999899</v>
      </c>
      <c r="AD5747">
        <v>-1.115157836454</v>
      </c>
      <c r="AE5747">
        <v>-4.6755000000000004</v>
      </c>
      <c r="AF5747">
        <v>2.7138669456491198</v>
      </c>
      <c r="AG5747">
        <v>-1.115157836454</v>
      </c>
      <c r="AH5747">
        <v>4.0346811080122897</v>
      </c>
      <c r="AI5747">
        <v>102.916803188355</v>
      </c>
      <c r="AJ5747">
        <v>56.073850037978602</v>
      </c>
      <c r="AK5747">
        <v>4.9887175147770204</v>
      </c>
      <c r="AL5747">
        <v>84.394419260958898</v>
      </c>
      <c r="AM5747">
        <v>70.170837930691306</v>
      </c>
      <c r="AN5747">
        <v>1.0000000337328301</v>
      </c>
    </row>
    <row r="5748" spans="1:40" x14ac:dyDescent="0.25">
      <c r="A5748" t="str">
        <f>"20190303162027722"</f>
        <v>20190303162027722</v>
      </c>
      <c r="B5748" t="str">
        <f>"1551601227718009"</f>
        <v>1551601227718009</v>
      </c>
      <c r="C5748" t="s">
        <v>40</v>
      </c>
      <c r="D5748">
        <v>5.4832460000000003</v>
      </c>
      <c r="E5748">
        <v>0.59910940000000001</v>
      </c>
      <c r="F5748" t="s">
        <v>49</v>
      </c>
      <c r="G5748">
        <v>-196.6097</v>
      </c>
      <c r="H5748" s="1">
        <v>4.2310709999999999E-6</v>
      </c>
      <c r="I5748">
        <v>205.9479</v>
      </c>
      <c r="J5748">
        <v>-198.55500000000001</v>
      </c>
      <c r="K5748">
        <v>1.1151759999999999</v>
      </c>
      <c r="L5748">
        <v>210.643</v>
      </c>
      <c r="M5748">
        <v>0.83580669999999901</v>
      </c>
      <c r="N5748">
        <v>-1.4644010000000001E-2</v>
      </c>
      <c r="O5748">
        <v>-0.54882889999999995</v>
      </c>
      <c r="P5748">
        <v>0.59701719999999903</v>
      </c>
      <c r="Q5748">
        <v>8.3273490000000006E-2</v>
      </c>
      <c r="R5748">
        <v>-0.79789529999999997</v>
      </c>
      <c r="S5748">
        <v>1.2696379999999901</v>
      </c>
      <c r="T5748">
        <v>-0.67170879999999999</v>
      </c>
      <c r="U5748">
        <v>-2.9002379999999999</v>
      </c>
      <c r="V5748">
        <v>0.34068399999999999</v>
      </c>
      <c r="W5748">
        <v>9.1866790000000004E-2</v>
      </c>
      <c r="X5748">
        <v>0.93567880000000003</v>
      </c>
      <c r="Y5748">
        <v>0.54295380000000004</v>
      </c>
      <c r="Z5748">
        <v>5.1676449999999999E-2</v>
      </c>
      <c r="AA5748">
        <v>0.83817109999999995</v>
      </c>
      <c r="AB5748">
        <v>20</v>
      </c>
      <c r="AC5748">
        <v>1.9453</v>
      </c>
      <c r="AD5748">
        <v>-1.1151717689289999</v>
      </c>
      <c r="AE5748">
        <v>-4.6950999999999903</v>
      </c>
      <c r="AF5748">
        <v>2.72562776212781</v>
      </c>
      <c r="AG5748">
        <v>-1.1151717689289999</v>
      </c>
      <c r="AH5748">
        <v>4.0100690164712898</v>
      </c>
      <c r="AI5748">
        <v>102.952487418597</v>
      </c>
      <c r="AJ5748">
        <v>55.796211108847899</v>
      </c>
      <c r="AK5748">
        <v>4.9752696699536898</v>
      </c>
      <c r="AL5748">
        <v>84.728988493520703</v>
      </c>
      <c r="AM5748">
        <v>69.993253912695906</v>
      </c>
      <c r="AN5748">
        <v>0.99999995586517099</v>
      </c>
    </row>
    <row r="5749" spans="1:40" x14ac:dyDescent="0.25">
      <c r="A5749" t="str">
        <f>"20190303162027744"</f>
        <v>20190303162027744</v>
      </c>
      <c r="B5749" t="str">
        <f>"1551601227738504"</f>
        <v>1551601227738504</v>
      </c>
      <c r="C5749" t="s">
        <v>40</v>
      </c>
      <c r="D5749">
        <v>5.605804</v>
      </c>
      <c r="E5749">
        <v>0.59960059999999904</v>
      </c>
      <c r="F5749" t="s">
        <v>49</v>
      </c>
      <c r="G5749">
        <v>-196.53649999999999</v>
      </c>
      <c r="H5749" s="1">
        <v>4.2926469999999996E-6</v>
      </c>
      <c r="I5749">
        <v>205.81960000000001</v>
      </c>
      <c r="J5749">
        <v>-198.3922</v>
      </c>
      <c r="K5749">
        <v>1.115194</v>
      </c>
      <c r="L5749">
        <v>210.52019999999999</v>
      </c>
      <c r="M5749">
        <v>0.82957990000000004</v>
      </c>
      <c r="N5749">
        <v>-1.464031E-2</v>
      </c>
      <c r="O5749">
        <v>-0.55819609999999997</v>
      </c>
      <c r="P5749">
        <v>0.58643409999999996</v>
      </c>
      <c r="Q5749">
        <v>7.8441189999999994E-2</v>
      </c>
      <c r="R5749">
        <v>-0.80619010000000002</v>
      </c>
      <c r="S5749">
        <v>1.2207030000000001</v>
      </c>
      <c r="T5749">
        <v>-0.67440429999999996</v>
      </c>
      <c r="U5749">
        <v>-2.9169770000000002</v>
      </c>
      <c r="V5749">
        <v>0.34282980000000002</v>
      </c>
      <c r="W5749">
        <v>8.7029670000000003E-2</v>
      </c>
      <c r="X5749">
        <v>0.93535749999999995</v>
      </c>
      <c r="Y5749">
        <v>0.54719300000000004</v>
      </c>
      <c r="Z5749">
        <v>5.373112E-2</v>
      </c>
      <c r="AA5749">
        <v>0.83528009999999997</v>
      </c>
      <c r="AB5749">
        <v>20</v>
      </c>
      <c r="AC5749">
        <v>1.8557000000000099</v>
      </c>
      <c r="AD5749">
        <v>-1.1151897073529999</v>
      </c>
      <c r="AE5749">
        <v>-4.7005999999999801</v>
      </c>
      <c r="AF5749">
        <v>2.7309982501136898</v>
      </c>
      <c r="AG5749">
        <v>-1.1151897073529999</v>
      </c>
      <c r="AH5749">
        <v>3.9704128072476399</v>
      </c>
      <c r="AI5749">
        <v>103.029812953356</v>
      </c>
      <c r="AJ5749">
        <v>55.478353740890398</v>
      </c>
      <c r="AK5749">
        <v>4.94632968831095</v>
      </c>
      <c r="AL5749">
        <v>85.007251208908897</v>
      </c>
      <c r="AM5749">
        <v>69.870965674363504</v>
      </c>
      <c r="AN5749">
        <v>1.00000004401729</v>
      </c>
    </row>
    <row r="5750" spans="1:40" x14ac:dyDescent="0.25">
      <c r="A5750" t="str">
        <f>"20190303162027766"</f>
        <v>20190303162027766</v>
      </c>
      <c r="B5750" t="str">
        <f>"1551601227758024"</f>
        <v>1551601227758024</v>
      </c>
      <c r="C5750" t="s">
        <v>40</v>
      </c>
      <c r="D5750">
        <v>5.5633949999999999</v>
      </c>
      <c r="E5750">
        <v>0.60010289999999999</v>
      </c>
      <c r="F5750" t="s">
        <v>49</v>
      </c>
      <c r="G5750">
        <v>-196.46270000000001</v>
      </c>
      <c r="H5750" s="1">
        <v>4.3503350000000004E-6</v>
      </c>
      <c r="I5750">
        <v>205.70269999999999</v>
      </c>
      <c r="J5750">
        <v>-198.23519999999999</v>
      </c>
      <c r="K5750">
        <v>1.1152439999999999</v>
      </c>
      <c r="L5750">
        <v>210.3989</v>
      </c>
      <c r="M5750">
        <v>0.82342549999999903</v>
      </c>
      <c r="N5750">
        <v>-1.4636140000000001E-2</v>
      </c>
      <c r="O5750">
        <v>-0.56723590000000002</v>
      </c>
      <c r="P5750">
        <v>0.57476280000000002</v>
      </c>
      <c r="Q5750">
        <v>7.7456150000000001E-2</v>
      </c>
      <c r="R5750">
        <v>-0.81464650000000005</v>
      </c>
      <c r="S5750">
        <v>1.1746369999999999</v>
      </c>
      <c r="T5750">
        <v>-0.67889829999999995</v>
      </c>
      <c r="U5750">
        <v>-2.9328159999999999</v>
      </c>
      <c r="V5750">
        <v>0.34612789999999999</v>
      </c>
      <c r="W5750">
        <v>8.6004510000000006E-2</v>
      </c>
      <c r="X5750">
        <v>0.93423690000000004</v>
      </c>
      <c r="Y5750">
        <v>0.55091259999999997</v>
      </c>
      <c r="Z5750">
        <v>5.5956989999999998E-2</v>
      </c>
      <c r="AA5750">
        <v>0.83268489999999995</v>
      </c>
      <c r="AB5750">
        <v>20</v>
      </c>
      <c r="AC5750">
        <v>1.77249999999997</v>
      </c>
      <c r="AD5750">
        <v>-1.1152396496649899</v>
      </c>
      <c r="AE5750">
        <v>-4.6962000000000002</v>
      </c>
      <c r="AF5750">
        <v>2.7272264448213202</v>
      </c>
      <c r="AG5750">
        <v>-1.1152396496649899</v>
      </c>
      <c r="AH5750">
        <v>3.9298268487907002</v>
      </c>
      <c r="AI5750">
        <v>103.123838447982</v>
      </c>
      <c r="AJ5750">
        <v>55.240074164712603</v>
      </c>
      <c r="AK5750">
        <v>4.9117270505387296</v>
      </c>
      <c r="AL5750">
        <v>85.066209118676895</v>
      </c>
      <c r="AM5750">
        <v>69.670702695806696</v>
      </c>
      <c r="AN5750">
        <v>0.99999994211017795</v>
      </c>
    </row>
    <row r="5751" spans="1:40" x14ac:dyDescent="0.25">
      <c r="A5751" t="str">
        <f>"20190303162027789"</f>
        <v>20190303162027789</v>
      </c>
      <c r="B5751" t="str">
        <f>"1551601227778521"</f>
        <v>1551601227778521</v>
      </c>
      <c r="C5751" t="s">
        <v>40</v>
      </c>
      <c r="D5751">
        <v>5.5407109999999999</v>
      </c>
      <c r="E5751">
        <v>0.60030569999999905</v>
      </c>
      <c r="F5751" t="s">
        <v>49</v>
      </c>
      <c r="G5751">
        <v>-196.35820000000001</v>
      </c>
      <c r="H5751" s="1">
        <v>4.4528379999999997E-6</v>
      </c>
      <c r="I5751">
        <v>205.47819999999999</v>
      </c>
      <c r="J5751">
        <v>-198.07550000000001</v>
      </c>
      <c r="K5751">
        <v>1.1153010000000001</v>
      </c>
      <c r="L5751">
        <v>210.27269999999999</v>
      </c>
      <c r="M5751">
        <v>0.81701029999999997</v>
      </c>
      <c r="N5751">
        <v>-1.463221E-2</v>
      </c>
      <c r="O5751">
        <v>-0.5764378</v>
      </c>
      <c r="P5751">
        <v>0.56229490000000004</v>
      </c>
      <c r="Q5751">
        <v>8.0397540000000003E-2</v>
      </c>
      <c r="R5751">
        <v>-0.82301959999999996</v>
      </c>
      <c r="S5751">
        <v>1.125931</v>
      </c>
      <c r="T5751">
        <v>-0.66901269999999902</v>
      </c>
      <c r="U5751">
        <v>-2.9518279999999999</v>
      </c>
      <c r="V5751">
        <v>0.34967779999999998</v>
      </c>
      <c r="W5751">
        <v>8.8891170000000005E-2</v>
      </c>
      <c r="X5751">
        <v>0.93264340000000001</v>
      </c>
      <c r="Y5751">
        <v>0.55541549999999995</v>
      </c>
      <c r="Z5751">
        <v>5.6672060000000003E-2</v>
      </c>
      <c r="AA5751">
        <v>0.82963969999999898</v>
      </c>
      <c r="AB5751">
        <v>20</v>
      </c>
      <c r="AC5751">
        <v>1.7172999999999901</v>
      </c>
      <c r="AD5751">
        <v>-1.115296547162</v>
      </c>
      <c r="AE5751">
        <v>-4.7944999999999904</v>
      </c>
      <c r="AF5751">
        <v>2.79357440274531</v>
      </c>
      <c r="AG5751">
        <v>-1.115296547162</v>
      </c>
      <c r="AH5751">
        <v>3.9765174065998199</v>
      </c>
      <c r="AI5751">
        <v>102.92548436614599</v>
      </c>
      <c r="AJ5751">
        <v>54.9112745733945</v>
      </c>
      <c r="AK5751">
        <v>4.9860440247531601</v>
      </c>
      <c r="AL5751">
        <v>84.9001796522235</v>
      </c>
      <c r="AM5751">
        <v>69.447373602903298</v>
      </c>
      <c r="AN5751">
        <v>0.99999995774018302</v>
      </c>
    </row>
    <row r="5752" spans="1:40" x14ac:dyDescent="0.25">
      <c r="A5752" t="str">
        <f>"20190303162027811"</f>
        <v>20190303162027811</v>
      </c>
      <c r="B5752" t="str">
        <f>"1551601227807800"</f>
        <v>1551601227807800</v>
      </c>
      <c r="C5752" t="s">
        <v>40</v>
      </c>
      <c r="D5752">
        <v>5.5220349999999998</v>
      </c>
      <c r="E5752">
        <v>0.59946089999999996</v>
      </c>
      <c r="F5752" t="s">
        <v>49</v>
      </c>
      <c r="G5752">
        <v>-196.21770000000001</v>
      </c>
      <c r="H5752" s="1">
        <v>4.5971149999999998E-6</v>
      </c>
      <c r="I5752">
        <v>205.15819999999999</v>
      </c>
      <c r="J5752">
        <v>-197.91650000000001</v>
      </c>
      <c r="K5752">
        <v>1.115351</v>
      </c>
      <c r="L5752">
        <v>210.14410000000001</v>
      </c>
      <c r="M5752">
        <v>0.81045199999999995</v>
      </c>
      <c r="N5752">
        <v>-1.462897E-2</v>
      </c>
      <c r="O5752">
        <v>-0.58562269999999905</v>
      </c>
      <c r="P5752">
        <v>0.54991909999999999</v>
      </c>
      <c r="Q5752">
        <v>8.3060759999999997E-2</v>
      </c>
      <c r="R5752">
        <v>-0.83107790000000004</v>
      </c>
      <c r="S5752">
        <v>1.0791930000000001</v>
      </c>
      <c r="T5752">
        <v>-0.64789209999999997</v>
      </c>
      <c r="U5752">
        <v>-2.971069</v>
      </c>
      <c r="V5752">
        <v>0.35292859999999998</v>
      </c>
      <c r="W5752">
        <v>9.1498780000000002E-2</v>
      </c>
      <c r="X5752">
        <v>0.93116560000000004</v>
      </c>
      <c r="Y5752">
        <v>0.55944039999999995</v>
      </c>
      <c r="Z5752">
        <v>5.6207899999999998E-2</v>
      </c>
      <c r="AA5752">
        <v>0.82696259999999999</v>
      </c>
      <c r="AB5752">
        <v>20</v>
      </c>
      <c r="AC5752">
        <v>1.6988000000000001</v>
      </c>
      <c r="AD5752">
        <v>-1.115346402885</v>
      </c>
      <c r="AE5752">
        <v>-4.9859000000000098</v>
      </c>
      <c r="AF5752">
        <v>2.9155775002150799</v>
      </c>
      <c r="AG5752">
        <v>-1.115346402885</v>
      </c>
      <c r="AH5752">
        <v>4.1127109665240198</v>
      </c>
      <c r="AI5752">
        <v>102.475201215273</v>
      </c>
      <c r="AJ5752">
        <v>54.666461177834798</v>
      </c>
      <c r="AK5752">
        <v>5.1632336042790001</v>
      </c>
      <c r="AL5752">
        <v>84.750163323487101</v>
      </c>
      <c r="AM5752">
        <v>69.242385915387999</v>
      </c>
      <c r="AN5752">
        <v>0.99999999903140402</v>
      </c>
    </row>
    <row r="5753" spans="1:40" x14ac:dyDescent="0.25">
      <c r="A5753" t="str">
        <f>"20190303162027834"</f>
        <v>20190303162027834</v>
      </c>
      <c r="B5753" t="str">
        <f>"1551601227828296"</f>
        <v>1551601227828296</v>
      </c>
      <c r="C5753" t="s">
        <v>40</v>
      </c>
      <c r="D5753">
        <v>5.4899529999999999</v>
      </c>
      <c r="E5753">
        <v>0.59889199999999998</v>
      </c>
      <c r="F5753" t="s">
        <v>49</v>
      </c>
      <c r="G5753">
        <v>-196.06880000000001</v>
      </c>
      <c r="H5753" s="1">
        <v>4.7418680000000003E-6</v>
      </c>
      <c r="I5753">
        <v>204.84219999999999</v>
      </c>
      <c r="J5753">
        <v>-197.7569</v>
      </c>
      <c r="K5753">
        <v>1.11538</v>
      </c>
      <c r="L5753">
        <v>210.012</v>
      </c>
      <c r="M5753">
        <v>0.80366559999999998</v>
      </c>
      <c r="N5753">
        <v>-1.4628210000000001E-2</v>
      </c>
      <c r="O5753">
        <v>-0.59490120000000002</v>
      </c>
      <c r="P5753">
        <v>0.53790719999999903</v>
      </c>
      <c r="Q5753">
        <v>8.6117059999999995E-2</v>
      </c>
      <c r="R5753">
        <v>-0.83859399999999995</v>
      </c>
      <c r="S5753">
        <v>1.0400700000000001</v>
      </c>
      <c r="T5753">
        <v>-0.62779490000000004</v>
      </c>
      <c r="U5753">
        <v>-2.984299</v>
      </c>
      <c r="V5753">
        <v>0.35541729999999999</v>
      </c>
      <c r="W5753">
        <v>9.4500769999999998E-2</v>
      </c>
      <c r="X5753">
        <v>0.92991829999999998</v>
      </c>
      <c r="Y5753">
        <v>0.56089650000000002</v>
      </c>
      <c r="Z5753">
        <v>5.6103939999999998E-2</v>
      </c>
      <c r="AA5753">
        <v>0.82598269999999996</v>
      </c>
      <c r="AB5753">
        <v>20</v>
      </c>
      <c r="AC5753">
        <v>1.6880999999999899</v>
      </c>
      <c r="AD5753">
        <v>-1.115375258132</v>
      </c>
      <c r="AE5753">
        <v>-5.1698000000000004</v>
      </c>
      <c r="AF5753">
        <v>3.02369113175763</v>
      </c>
      <c r="AG5753">
        <v>-1.115375258132</v>
      </c>
      <c r="AH5753">
        <v>4.2537398961191801</v>
      </c>
      <c r="AI5753">
        <v>102.06365874572499</v>
      </c>
      <c r="AJ5753">
        <v>54.593596754764199</v>
      </c>
      <c r="AK5753">
        <v>5.3367661678734599</v>
      </c>
      <c r="AL5753">
        <v>84.577412948900204</v>
      </c>
      <c r="AM5753">
        <v>69.083008062811203</v>
      </c>
      <c r="AN5753">
        <v>0.99999994867238495</v>
      </c>
    </row>
    <row r="5754" spans="1:40" x14ac:dyDescent="0.25">
      <c r="A5754" t="str">
        <f>"20190303162027856"</f>
        <v>20190303162027856</v>
      </c>
      <c r="B5754" t="str">
        <f>"1551601227847817"</f>
        <v>1551601227847817</v>
      </c>
      <c r="C5754" t="s">
        <v>40</v>
      </c>
      <c r="D5754">
        <v>5.47126</v>
      </c>
      <c r="E5754">
        <v>0.59834670000000001</v>
      </c>
      <c r="F5754" t="s">
        <v>49</v>
      </c>
      <c r="G5754">
        <v>-195.9297</v>
      </c>
      <c r="H5754" s="1">
        <v>4.8737060000000002E-6</v>
      </c>
      <c r="I5754">
        <v>204.53639999999999</v>
      </c>
      <c r="J5754">
        <v>-197.60120000000001</v>
      </c>
      <c r="K5754">
        <v>1.1153770000000001</v>
      </c>
      <c r="L5754">
        <v>209.87989999999999</v>
      </c>
      <c r="M5754">
        <v>0.79680530000000005</v>
      </c>
      <c r="N5754">
        <v>-1.463326E-2</v>
      </c>
      <c r="O5754">
        <v>-0.60405920000000002</v>
      </c>
      <c r="P5754">
        <v>0.52712399999999904</v>
      </c>
      <c r="Q5754">
        <v>9.2015719999999995E-2</v>
      </c>
      <c r="R5754">
        <v>-0.84479210000000005</v>
      </c>
      <c r="S5754">
        <v>1.0005489999999999</v>
      </c>
      <c r="T5754">
        <v>-0.61075519999999905</v>
      </c>
      <c r="U5754">
        <v>-2.9983059999999999</v>
      </c>
      <c r="V5754">
        <v>0.35628700000000002</v>
      </c>
      <c r="W5754">
        <v>0.10034460000000001</v>
      </c>
      <c r="X5754">
        <v>0.92897280000000004</v>
      </c>
      <c r="Y5754">
        <v>0.56253109999999995</v>
      </c>
      <c r="Z5754">
        <v>5.6139340000000003E-2</v>
      </c>
      <c r="AA5754">
        <v>0.82486800000000005</v>
      </c>
      <c r="AB5754">
        <v>20</v>
      </c>
      <c r="AC5754">
        <v>1.6715</v>
      </c>
      <c r="AD5754">
        <v>-1.115372126294</v>
      </c>
      <c r="AE5754">
        <v>-5.3434999999999997</v>
      </c>
      <c r="AF5754">
        <v>3.1243945464902398</v>
      </c>
      <c r="AG5754">
        <v>-1.115372126294</v>
      </c>
      <c r="AH5754">
        <v>4.3860693049790198</v>
      </c>
      <c r="AI5754">
        <v>101.701721845541</v>
      </c>
      <c r="AJ5754">
        <v>54.536018697466901</v>
      </c>
      <c r="AK5754">
        <v>5.4994090782856597</v>
      </c>
      <c r="AL5754">
        <v>84.240985376808098</v>
      </c>
      <c r="AM5754">
        <v>69.016786912753304</v>
      </c>
      <c r="AN5754">
        <v>0.99999996412899905</v>
      </c>
    </row>
    <row r="5755" spans="1:40" x14ac:dyDescent="0.25">
      <c r="A5755" t="str">
        <f>"20190303162027879"</f>
        <v>20190303162027879</v>
      </c>
      <c r="B5755" t="str">
        <f>"1551601227868312"</f>
        <v>1551601227868312</v>
      </c>
      <c r="C5755" t="s">
        <v>40</v>
      </c>
      <c r="D5755">
        <v>5.0859930000000002</v>
      </c>
      <c r="E5755">
        <v>0.63149299999999997</v>
      </c>
      <c r="F5755" t="s">
        <v>49</v>
      </c>
      <c r="G5755">
        <v>-195.76300000000001</v>
      </c>
      <c r="H5755" s="1">
        <v>5.009075E-6</v>
      </c>
      <c r="I5755">
        <v>204.16480000000001</v>
      </c>
      <c r="J5755">
        <v>-197.4504</v>
      </c>
      <c r="K5755">
        <v>1.1153139999999999</v>
      </c>
      <c r="L5755">
        <v>209.749</v>
      </c>
      <c r="M5755">
        <v>0.78987640000000003</v>
      </c>
      <c r="N5755">
        <v>-1.464801E-2</v>
      </c>
      <c r="O5755">
        <v>-0.61309139999999995</v>
      </c>
      <c r="P5755">
        <v>0.51722849999999998</v>
      </c>
      <c r="Q5755">
        <v>9.7479209999999997E-2</v>
      </c>
      <c r="R5755">
        <v>-0.85027839999999999</v>
      </c>
      <c r="S5755">
        <v>0.96844479999999999</v>
      </c>
      <c r="T5755">
        <v>-0.58760690000000004</v>
      </c>
      <c r="U5755">
        <v>-3.0108640000000002</v>
      </c>
      <c r="V5755">
        <v>0.35617779999999999</v>
      </c>
      <c r="W5755">
        <v>0.10573589999999999</v>
      </c>
      <c r="X5755">
        <v>0.92841660000000004</v>
      </c>
      <c r="Y5755">
        <v>0.56229180000000001</v>
      </c>
      <c r="Z5755">
        <v>5.5513640000000003E-2</v>
      </c>
      <c r="AA5755">
        <v>0.82507339999999996</v>
      </c>
      <c r="AB5755">
        <v>20</v>
      </c>
      <c r="AC5755">
        <v>1.68739999999999</v>
      </c>
      <c r="AD5755">
        <v>-1.115308990925</v>
      </c>
      <c r="AE5755">
        <v>-5.5842000000000098</v>
      </c>
      <c r="AF5755">
        <v>3.2575851667169999</v>
      </c>
      <c r="AG5755">
        <v>-1.115308990925</v>
      </c>
      <c r="AH5755">
        <v>4.5892229847391004</v>
      </c>
      <c r="AI5755">
        <v>101.20942741643</v>
      </c>
      <c r="AJ5755">
        <v>54.631583236846097</v>
      </c>
      <c r="AK5755">
        <v>5.7373114668205396</v>
      </c>
      <c r="AL5755">
        <v>83.930433717696303</v>
      </c>
      <c r="AM5755">
        <v>69.011185580570199</v>
      </c>
      <c r="AN5755">
        <v>1.0000000444585999</v>
      </c>
    </row>
    <row r="5756" spans="1:40" x14ac:dyDescent="0.25">
      <c r="A5756" t="str">
        <f>"20190303162027901"</f>
        <v>20190303162027901</v>
      </c>
      <c r="B5756" t="str">
        <f>"1551601227898568"</f>
        <v>1551601227898568</v>
      </c>
      <c r="C5756" t="s">
        <v>40</v>
      </c>
      <c r="D5756">
        <v>5.3994450000000001</v>
      </c>
      <c r="E5756">
        <v>0.62028159999999999</v>
      </c>
      <c r="F5756" t="s">
        <v>41</v>
      </c>
      <c r="G5756">
        <v>-194.53389999999999</v>
      </c>
      <c r="H5756" s="1">
        <v>-4.0405840000000003E-6</v>
      </c>
      <c r="I5756">
        <v>196.49690000000001</v>
      </c>
      <c r="J5756">
        <v>-197.29750000000001</v>
      </c>
      <c r="K5756">
        <v>1.115164</v>
      </c>
      <c r="L5756">
        <v>209.61259999999999</v>
      </c>
      <c r="M5756">
        <v>0.78249409999999997</v>
      </c>
      <c r="N5756">
        <v>-1.46762E-2</v>
      </c>
      <c r="O5756">
        <v>-0.62248510000000001</v>
      </c>
      <c r="P5756">
        <v>0.50805579999999995</v>
      </c>
      <c r="Q5756">
        <v>9.9346530000000002E-2</v>
      </c>
      <c r="R5756">
        <v>-0.8555758</v>
      </c>
      <c r="S5756">
        <v>0.69070430000000005</v>
      </c>
      <c r="T5756">
        <v>-0.26413379999999997</v>
      </c>
      <c r="U5756">
        <v>-3.1383969999999999</v>
      </c>
      <c r="V5756">
        <v>0.35496709999999998</v>
      </c>
      <c r="W5756">
        <v>0.10751769999999999</v>
      </c>
      <c r="X5756">
        <v>0.92867560000000005</v>
      </c>
      <c r="Y5756">
        <v>0.62955169999999905</v>
      </c>
      <c r="Z5756">
        <v>1.5127969999999999E-2</v>
      </c>
      <c r="AA5756">
        <v>0.77681129999999998</v>
      </c>
      <c r="AB5756">
        <v>20</v>
      </c>
      <c r="AC5756">
        <v>2.7636000000000198</v>
      </c>
      <c r="AD5756">
        <v>-1.1151680405840001</v>
      </c>
      <c r="AE5756">
        <v>-13.115699999999901</v>
      </c>
      <c r="AF5756">
        <v>8.4848456553496199</v>
      </c>
      <c r="AG5756">
        <v>-1.1151680405840001</v>
      </c>
      <c r="AH5756">
        <v>10.256941767637199</v>
      </c>
      <c r="AI5756">
        <v>94.788740403905706</v>
      </c>
      <c r="AJ5756">
        <v>50.401441067268401</v>
      </c>
      <c r="AK5756">
        <v>13.358183258907101</v>
      </c>
      <c r="AL5756">
        <v>83.827758684781799</v>
      </c>
      <c r="AM5756">
        <v>69.081675004953198</v>
      </c>
      <c r="AN5756">
        <v>1.00000003396552</v>
      </c>
    </row>
    <row r="5757" spans="1:40" x14ac:dyDescent="0.25">
      <c r="A5757" t="str">
        <f>"20190303162027923"</f>
        <v>20190303162027923</v>
      </c>
      <c r="B5757" t="str">
        <f>"1551601227918089"</f>
        <v>1551601227918089</v>
      </c>
      <c r="C5757" t="s">
        <v>40</v>
      </c>
      <c r="D5757">
        <v>5.2750380000000003</v>
      </c>
      <c r="E5757">
        <v>0.61704199999999998</v>
      </c>
      <c r="F5757" t="s">
        <v>41</v>
      </c>
      <c r="G5757">
        <v>-194.72710000000001</v>
      </c>
      <c r="H5757" s="1">
        <v>-4.8518550000000003E-6</v>
      </c>
      <c r="I5757">
        <v>198.78020000000001</v>
      </c>
      <c r="J5757">
        <v>-197.14940000000001</v>
      </c>
      <c r="K5757">
        <v>1.1149439999999999</v>
      </c>
      <c r="L5757">
        <v>209.4769</v>
      </c>
      <c r="M5757">
        <v>0.77494259999999904</v>
      </c>
      <c r="N5757">
        <v>-1.471722E-2</v>
      </c>
      <c r="O5757">
        <v>-0.63186009999999904</v>
      </c>
      <c r="P5757">
        <v>0.49902079999999999</v>
      </c>
      <c r="Q5757">
        <v>9.7439830000000005E-2</v>
      </c>
      <c r="R5757">
        <v>-0.86109460000000004</v>
      </c>
      <c r="S5757">
        <v>0.73699950000000003</v>
      </c>
      <c r="T5757">
        <v>-0.31974550000000002</v>
      </c>
      <c r="U5757">
        <v>-3.1059109999999999</v>
      </c>
      <c r="V5757">
        <v>0.35375319999999999</v>
      </c>
      <c r="W5757">
        <v>0.1055017</v>
      </c>
      <c r="X5757">
        <v>0.92936969999999997</v>
      </c>
      <c r="Y5757">
        <v>0.60710419999999998</v>
      </c>
      <c r="Z5757">
        <v>2.3778270000000001E-2</v>
      </c>
      <c r="AA5757">
        <v>0.79426640000000004</v>
      </c>
      <c r="AB5757">
        <v>20</v>
      </c>
      <c r="AC5757">
        <v>2.4222999999999999</v>
      </c>
      <c r="AD5757">
        <v>-1.1149488518549999</v>
      </c>
      <c r="AE5757">
        <v>-10.6966999999999</v>
      </c>
      <c r="AF5757">
        <v>6.6903646051885302</v>
      </c>
      <c r="AG5757">
        <v>-1.1149488518549999</v>
      </c>
      <c r="AH5757">
        <v>8.5485521824801705</v>
      </c>
      <c r="AI5757">
        <v>95.864261638020906</v>
      </c>
      <c r="AJ5757">
        <v>51.952153876265101</v>
      </c>
      <c r="AK5757">
        <v>10.9124623210895</v>
      </c>
      <c r="AL5757">
        <v>83.943927517830403</v>
      </c>
      <c r="AM5757">
        <v>69.161285564164601</v>
      </c>
      <c r="AN5757">
        <v>0.99999998724560901</v>
      </c>
    </row>
    <row r="5758" spans="1:40" x14ac:dyDescent="0.25">
      <c r="A5758" t="str">
        <f>"20190303162027946"</f>
        <v>20190303162027946</v>
      </c>
      <c r="B5758" t="str">
        <f>"1551601227938584"</f>
        <v>1551601227938584</v>
      </c>
      <c r="C5758" t="s">
        <v>40</v>
      </c>
      <c r="D5758">
        <v>5.226661</v>
      </c>
      <c r="E5758">
        <v>0.61170089999999999</v>
      </c>
      <c r="F5758" t="s">
        <v>41</v>
      </c>
      <c r="G5758">
        <v>-194.7783</v>
      </c>
      <c r="H5758" s="1">
        <v>-5.056264E-6</v>
      </c>
      <c r="I5758">
        <v>199.35419999999999</v>
      </c>
      <c r="J5758">
        <v>-197.0043</v>
      </c>
      <c r="K5758">
        <v>1.114682</v>
      </c>
      <c r="L5758">
        <v>209.34020000000001</v>
      </c>
      <c r="M5758">
        <v>0.76708969999999999</v>
      </c>
      <c r="N5758">
        <v>-1.4770200000000001E-2</v>
      </c>
      <c r="O5758">
        <v>-0.64136990000000005</v>
      </c>
      <c r="P5758">
        <v>0.48925299999999999</v>
      </c>
      <c r="Q5758">
        <v>9.4709249999999995E-2</v>
      </c>
      <c r="R5758">
        <v>-0.86698430000000004</v>
      </c>
      <c r="S5758">
        <v>0.72650150000000002</v>
      </c>
      <c r="T5758">
        <v>-0.34161649999999999</v>
      </c>
      <c r="U5758">
        <v>-3.1015779999999999</v>
      </c>
      <c r="V5758">
        <v>0.35304530000000001</v>
      </c>
      <c r="W5758">
        <v>0.1026363</v>
      </c>
      <c r="X5758">
        <v>0.9299596</v>
      </c>
      <c r="Y5758">
        <v>0.59953900000000004</v>
      </c>
      <c r="Z5758">
        <v>2.801265E-2</v>
      </c>
      <c r="AA5758">
        <v>0.79985519999999999</v>
      </c>
      <c r="AB5758">
        <v>20</v>
      </c>
      <c r="AC5758">
        <v>2.2259999999999902</v>
      </c>
      <c r="AD5758">
        <v>-1.1146870562640001</v>
      </c>
      <c r="AE5758">
        <v>-9.9860000000000095</v>
      </c>
      <c r="AF5758">
        <v>6.1600265487621897</v>
      </c>
      <c r="AG5758">
        <v>-1.1146870562640001</v>
      </c>
      <c r="AH5758">
        <v>8.0179703113509895</v>
      </c>
      <c r="AI5758">
        <v>96.291122607834595</v>
      </c>
      <c r="AJ5758">
        <v>52.465736253347899</v>
      </c>
      <c r="AK5758">
        <v>10.172330226087</v>
      </c>
      <c r="AL5758">
        <v>84.108999459289606</v>
      </c>
      <c r="AM5758">
        <v>69.211480672569195</v>
      </c>
      <c r="AN5758">
        <v>1.00000002578096</v>
      </c>
    </row>
    <row r="5759" spans="1:40" x14ac:dyDescent="0.25">
      <c r="A5759" t="str">
        <f>"20190303162027967"</f>
        <v>20190303162027967</v>
      </c>
      <c r="B5759" t="str">
        <f>"1551601227958104"</f>
        <v>1551601227958104</v>
      </c>
      <c r="C5759" t="s">
        <v>40</v>
      </c>
      <c r="D5759">
        <v>5.2218450000000001</v>
      </c>
      <c r="E5759">
        <v>0.60839049999999995</v>
      </c>
      <c r="F5759" t="s">
        <v>49</v>
      </c>
      <c r="G5759">
        <v>-194.8682</v>
      </c>
      <c r="H5759" s="1">
        <v>6.39359699999999E-6</v>
      </c>
      <c r="I5759">
        <v>200.30670000000001</v>
      </c>
      <c r="J5759">
        <v>-196.86449999999999</v>
      </c>
      <c r="K5759">
        <v>1.11442</v>
      </c>
      <c r="L5759">
        <v>209.20429999999999</v>
      </c>
      <c r="M5759">
        <v>0.75902689999999995</v>
      </c>
      <c r="N5759">
        <v>-1.483227E-2</v>
      </c>
      <c r="O5759">
        <v>-0.65089039999999998</v>
      </c>
      <c r="P5759">
        <v>0.48066769999999998</v>
      </c>
      <c r="Q5759">
        <v>9.0862860000000004E-2</v>
      </c>
      <c r="R5759">
        <v>-0.87218280000000004</v>
      </c>
      <c r="S5759">
        <v>0.73059079999999998</v>
      </c>
      <c r="T5759">
        <v>-0.38123810000000002</v>
      </c>
      <c r="U5759">
        <v>-3.0896150000000002</v>
      </c>
      <c r="V5759">
        <v>0.35092760000000001</v>
      </c>
      <c r="W5759">
        <v>9.8692489999999994E-2</v>
      </c>
      <c r="X5759">
        <v>0.93118719999999999</v>
      </c>
      <c r="Y5759">
        <v>0.58772769999999996</v>
      </c>
      <c r="Z5759">
        <v>3.5041820000000001E-2</v>
      </c>
      <c r="AA5759">
        <v>0.80829949999999995</v>
      </c>
      <c r="AB5759">
        <v>20</v>
      </c>
      <c r="AC5759">
        <v>1.99629999999999</v>
      </c>
      <c r="AD5759">
        <v>-1.1144136064029999</v>
      </c>
      <c r="AE5759">
        <v>-8.8975999999999793</v>
      </c>
      <c r="AF5759">
        <v>5.3744748410426197</v>
      </c>
      <c r="AG5759">
        <v>-1.1144136064029999</v>
      </c>
      <c r="AH5759">
        <v>7.199877926499</v>
      </c>
      <c r="AI5759">
        <v>97.070617006778406</v>
      </c>
      <c r="AJ5759">
        <v>53.259856621217601</v>
      </c>
      <c r="AK5759">
        <v>9.0534600932253397</v>
      </c>
      <c r="AL5759">
        <v>84.336116754760894</v>
      </c>
      <c r="AM5759">
        <v>69.350559488005104</v>
      </c>
      <c r="AN5759">
        <v>0.99999999473400003</v>
      </c>
    </row>
    <row r="5760" spans="1:40" x14ac:dyDescent="0.25">
      <c r="A5760" t="str">
        <f>"20190303162027990"</f>
        <v>20190303162027990</v>
      </c>
      <c r="B5760" t="str">
        <f>"1551601227978600"</f>
        <v>1551601227978600</v>
      </c>
      <c r="C5760" t="s">
        <v>40</v>
      </c>
      <c r="D5760">
        <v>5.1939739999999999</v>
      </c>
      <c r="E5760">
        <v>0.60580970000000001</v>
      </c>
      <c r="F5760" t="s">
        <v>49</v>
      </c>
      <c r="G5760">
        <v>-194.89789999999999</v>
      </c>
      <c r="H5760" s="1">
        <v>6.2100879999999997E-6</v>
      </c>
      <c r="I5760">
        <v>200.80340000000001</v>
      </c>
      <c r="J5760">
        <v>-196.7209</v>
      </c>
      <c r="K5760">
        <v>1.114195</v>
      </c>
      <c r="L5760">
        <v>209.06049999999999</v>
      </c>
      <c r="M5760">
        <v>0.75024369999999996</v>
      </c>
      <c r="N5760">
        <v>-1.490153E-2</v>
      </c>
      <c r="O5760">
        <v>-0.66099359999999996</v>
      </c>
      <c r="P5760">
        <v>0.47288039999999998</v>
      </c>
      <c r="Q5760">
        <v>8.856087E-2</v>
      </c>
      <c r="R5760">
        <v>-0.87666480000000002</v>
      </c>
      <c r="S5760">
        <v>0.72201539999999997</v>
      </c>
      <c r="T5760">
        <v>-0.40915370000000001</v>
      </c>
      <c r="U5760">
        <v>-3.0843509999999998</v>
      </c>
      <c r="V5760">
        <v>0.34693649999999998</v>
      </c>
      <c r="W5760">
        <v>9.6358589999999994E-2</v>
      </c>
      <c r="X5760">
        <v>0.93292549999999996</v>
      </c>
      <c r="Y5760">
        <v>0.57866099999999998</v>
      </c>
      <c r="Z5760">
        <v>4.0815770000000001E-2</v>
      </c>
      <c r="AA5760">
        <v>0.8145462</v>
      </c>
      <c r="AB5760">
        <v>20</v>
      </c>
      <c r="AC5760">
        <v>1.823</v>
      </c>
      <c r="AD5760">
        <v>-1.114188789912</v>
      </c>
      <c r="AE5760">
        <v>-8.2570999999999799</v>
      </c>
      <c r="AF5760">
        <v>4.9052361064934997</v>
      </c>
      <c r="AG5760">
        <v>-1.114188789912</v>
      </c>
      <c r="AH5760">
        <v>6.7098471884651101</v>
      </c>
      <c r="AI5760">
        <v>97.635073679655406</v>
      </c>
      <c r="AJ5760">
        <v>53.831316325621401</v>
      </c>
      <c r="AK5760">
        <v>8.3859887438850205</v>
      </c>
      <c r="AL5760">
        <v>84.470479668846394</v>
      </c>
      <c r="AM5760">
        <v>69.600829986375402</v>
      </c>
      <c r="AN5760">
        <v>0.99999995072464198</v>
      </c>
    </row>
    <row r="5761" spans="1:40" x14ac:dyDescent="0.25">
      <c r="A5761" t="str">
        <f>"20190303162028013"</f>
        <v>20190303162028013</v>
      </c>
      <c r="B5761" t="str">
        <f>"1551601228008856"</f>
        <v>1551601228008856</v>
      </c>
      <c r="C5761" t="s">
        <v>40</v>
      </c>
      <c r="D5761">
        <v>5.2356769999999999</v>
      </c>
      <c r="E5761">
        <v>0.60325960000000001</v>
      </c>
      <c r="F5761" t="s">
        <v>49</v>
      </c>
      <c r="G5761">
        <v>-194.84950000000001</v>
      </c>
      <c r="H5761" s="1">
        <v>6.1799080000000001E-6</v>
      </c>
      <c r="I5761">
        <v>200.92519999999999</v>
      </c>
      <c r="J5761">
        <v>-196.5779</v>
      </c>
      <c r="K5761">
        <v>1.1140080000000001</v>
      </c>
      <c r="L5761">
        <v>208.9128</v>
      </c>
      <c r="M5761">
        <v>0.74097290000000005</v>
      </c>
      <c r="N5761">
        <v>-1.497104E-2</v>
      </c>
      <c r="O5761">
        <v>-0.67136839999999998</v>
      </c>
      <c r="P5761">
        <v>0.4657211</v>
      </c>
      <c r="Q5761">
        <v>8.7655750000000004E-2</v>
      </c>
      <c r="R5761">
        <v>-0.88058009999999998</v>
      </c>
      <c r="S5761">
        <v>0.7090149</v>
      </c>
      <c r="T5761">
        <v>-0.42214469999999998</v>
      </c>
      <c r="U5761">
        <v>-3.0822910000000001</v>
      </c>
      <c r="V5761">
        <v>0.34164169999999999</v>
      </c>
      <c r="W5761">
        <v>9.5482410000000004E-2</v>
      </c>
      <c r="X5761">
        <v>0.9349674</v>
      </c>
      <c r="Y5761">
        <v>0.57046600000000003</v>
      </c>
      <c r="Z5761">
        <v>4.4798789999999998E-2</v>
      </c>
      <c r="AA5761">
        <v>0.82009849999999995</v>
      </c>
      <c r="AB5761">
        <v>20</v>
      </c>
      <c r="AC5761">
        <v>1.7283999999999899</v>
      </c>
      <c r="AD5761">
        <v>-1.1140018200920001</v>
      </c>
      <c r="AE5761">
        <v>-7.9876000000000102</v>
      </c>
      <c r="AF5761">
        <v>4.67192567791838</v>
      </c>
      <c r="AG5761">
        <v>-1.1140018200920001</v>
      </c>
      <c r="AH5761">
        <v>6.5228622841845603</v>
      </c>
      <c r="AI5761">
        <v>97.904665256745901</v>
      </c>
      <c r="AJ5761">
        <v>54.388300320727197</v>
      </c>
      <c r="AK5761">
        <v>8.1003470279734806</v>
      </c>
      <c r="AL5761">
        <v>84.520913858454506</v>
      </c>
      <c r="AM5761">
        <v>69.927447147846095</v>
      </c>
      <c r="AN5761">
        <v>0.99999999043052901</v>
      </c>
    </row>
    <row r="5762" spans="1:40" x14ac:dyDescent="0.25">
      <c r="A5762" t="str">
        <f>"20190303162028036"</f>
        <v>20190303162028036</v>
      </c>
      <c r="B5762" t="str">
        <f>"1551601228028377"</f>
        <v>1551601228028377</v>
      </c>
      <c r="C5762" t="s">
        <v>40</v>
      </c>
      <c r="D5762">
        <v>5.391718</v>
      </c>
      <c r="E5762">
        <v>0.60437450000000004</v>
      </c>
      <c r="F5762" t="s">
        <v>49</v>
      </c>
      <c r="G5762">
        <v>-194.76490000000001</v>
      </c>
      <c r="H5762" s="1">
        <v>6.2055019999999998E-6</v>
      </c>
      <c r="I5762">
        <v>200.91650000000001</v>
      </c>
      <c r="J5762">
        <v>-196.43780000000001</v>
      </c>
      <c r="K5762">
        <v>1.113842</v>
      </c>
      <c r="L5762">
        <v>208.76329999999999</v>
      </c>
      <c r="M5762">
        <v>0.73134330000000003</v>
      </c>
      <c r="N5762">
        <v>-1.503869E-2</v>
      </c>
      <c r="O5762">
        <v>-0.68184359999999999</v>
      </c>
      <c r="P5762">
        <v>0.45719290000000001</v>
      </c>
      <c r="Q5762">
        <v>8.5162160000000001E-2</v>
      </c>
      <c r="R5762">
        <v>-0.88528079999999998</v>
      </c>
      <c r="S5762">
        <v>0.69837950000000004</v>
      </c>
      <c r="T5762">
        <v>-0.42912230000000001</v>
      </c>
      <c r="U5762">
        <v>-3.0802149999999999</v>
      </c>
      <c r="V5762">
        <v>0.3375302</v>
      </c>
      <c r="W5762">
        <v>9.3020060000000002E-2</v>
      </c>
      <c r="X5762">
        <v>0.93670730000000002</v>
      </c>
      <c r="Y5762">
        <v>0.56138889999999997</v>
      </c>
      <c r="Z5762">
        <v>4.8139399999999999E-2</v>
      </c>
      <c r="AA5762">
        <v>0.82615079999999996</v>
      </c>
      <c r="AB5762">
        <v>19</v>
      </c>
      <c r="AC5762">
        <v>1.6728999999999901</v>
      </c>
      <c r="AD5762">
        <v>-1.113835794498</v>
      </c>
      <c r="AE5762">
        <v>-7.8467999999999698</v>
      </c>
      <c r="AF5762">
        <v>4.5116156609329003</v>
      </c>
      <c r="AG5762">
        <v>-1.113835794498</v>
      </c>
      <c r="AH5762">
        <v>6.4501830268300804</v>
      </c>
      <c r="AI5762">
        <v>98.054079421376002</v>
      </c>
      <c r="AJ5762">
        <v>55.028925099614597</v>
      </c>
      <c r="AK5762">
        <v>7.9498532771798303</v>
      </c>
      <c r="AL5762">
        <v>84.662626876238605</v>
      </c>
      <c r="AM5762">
        <v>70.184037430481794</v>
      </c>
      <c r="AN5762">
        <v>0.99999996667386604</v>
      </c>
    </row>
    <row r="5763" spans="1:40" x14ac:dyDescent="0.25">
      <c r="A5763" t="str">
        <f>"20190303162028057"</f>
        <v>20190303162028057</v>
      </c>
      <c r="B5763" t="str">
        <f>"1551601228047897"</f>
        <v>1551601228047897</v>
      </c>
      <c r="C5763" t="s">
        <v>40</v>
      </c>
      <c r="D5763">
        <v>5.3530689999999996</v>
      </c>
      <c r="E5763">
        <v>0.60422659999999995</v>
      </c>
      <c r="F5763" t="s">
        <v>49</v>
      </c>
      <c r="G5763">
        <v>-194.7287</v>
      </c>
      <c r="H5763" s="1">
        <v>6.2867240000000001E-6</v>
      </c>
      <c r="I5763">
        <v>200.714</v>
      </c>
      <c r="J5763">
        <v>-196.30779999999999</v>
      </c>
      <c r="K5763">
        <v>1.113696</v>
      </c>
      <c r="L5763">
        <v>208.62029999999999</v>
      </c>
      <c r="M5763">
        <v>0.72190209999999999</v>
      </c>
      <c r="N5763">
        <v>-1.5103220000000001E-2</v>
      </c>
      <c r="O5763">
        <v>-0.69183050000000001</v>
      </c>
      <c r="P5763">
        <v>0.4482777</v>
      </c>
      <c r="Q5763">
        <v>8.0988580000000004E-2</v>
      </c>
      <c r="R5763">
        <v>-0.89021819999999896</v>
      </c>
      <c r="S5763">
        <v>0.65631099999999998</v>
      </c>
      <c r="T5763">
        <v>-0.42771769999999998</v>
      </c>
      <c r="U5763">
        <v>-3.090973</v>
      </c>
      <c r="V5763">
        <v>0.33429179999999997</v>
      </c>
      <c r="W5763">
        <v>8.8881650000000006E-2</v>
      </c>
      <c r="X5763">
        <v>0.93826920000000003</v>
      </c>
      <c r="Y5763">
        <v>0.56140419999999902</v>
      </c>
      <c r="Z5763">
        <v>4.9474839999999999E-2</v>
      </c>
      <c r="AA5763">
        <v>0.8260615</v>
      </c>
      <c r="AB5763">
        <v>19</v>
      </c>
      <c r="AC5763">
        <v>1.57909999999998</v>
      </c>
      <c r="AD5763">
        <v>-1.113689713276</v>
      </c>
      <c r="AE5763">
        <v>-7.9062999999999501</v>
      </c>
      <c r="AF5763">
        <v>4.5292105829900304</v>
      </c>
      <c r="AG5763">
        <v>-1.113689713276</v>
      </c>
      <c r="AH5763">
        <v>6.4867566570895496</v>
      </c>
      <c r="AI5763">
        <v>98.012793790888296</v>
      </c>
      <c r="AJ5763">
        <v>55.076321961031198</v>
      </c>
      <c r="AK5763">
        <v>7.9894971813513598</v>
      </c>
      <c r="AL5763">
        <v>84.900727611705307</v>
      </c>
      <c r="AM5763">
        <v>70.389748999528607</v>
      </c>
      <c r="AN5763">
        <v>1.0000000234613</v>
      </c>
    </row>
    <row r="5764" spans="1:40" x14ac:dyDescent="0.25">
      <c r="A5764" t="str">
        <f>"20190303162028080"</f>
        <v>20190303162028080</v>
      </c>
      <c r="B5764" t="str">
        <f>"1551601228068392"</f>
        <v>1551601228068392</v>
      </c>
      <c r="C5764" t="s">
        <v>40</v>
      </c>
      <c r="D5764">
        <v>5.3975519999999904</v>
      </c>
      <c r="E5764">
        <v>0.60366919999999902</v>
      </c>
      <c r="F5764" t="s">
        <v>49</v>
      </c>
      <c r="G5764">
        <v>-194.73589999999999</v>
      </c>
      <c r="H5764" s="1">
        <v>6.2483129999999997E-6</v>
      </c>
      <c r="I5764">
        <v>200.81720000000001</v>
      </c>
      <c r="J5764">
        <v>-196.17490000000001</v>
      </c>
      <c r="K5764">
        <v>1.1135600000000001</v>
      </c>
      <c r="L5764">
        <v>208.46940000000001</v>
      </c>
      <c r="M5764">
        <v>0.71173009999999903</v>
      </c>
      <c r="N5764">
        <v>-1.5172389999999999E-2</v>
      </c>
      <c r="O5764">
        <v>-0.70228919999999995</v>
      </c>
      <c r="P5764">
        <v>0.43615039999999999</v>
      </c>
      <c r="Q5764">
        <v>7.7061260000000006E-2</v>
      </c>
      <c r="R5764">
        <v>-0.89656819999999904</v>
      </c>
      <c r="S5764">
        <v>0.62367249999999996</v>
      </c>
      <c r="T5764">
        <v>-0.4418919</v>
      </c>
      <c r="U5764">
        <v>-3.0960999999999999</v>
      </c>
      <c r="V5764">
        <v>0.33353899999999997</v>
      </c>
      <c r="W5764">
        <v>8.4936979999999995E-2</v>
      </c>
      <c r="X5764">
        <v>0.93890229999999997</v>
      </c>
      <c r="Y5764">
        <v>0.55797319999999995</v>
      </c>
      <c r="Z5764">
        <v>5.3534659999999998E-2</v>
      </c>
      <c r="AA5764">
        <v>0.82813040000000004</v>
      </c>
      <c r="AB5764">
        <v>19</v>
      </c>
      <c r="AC5764">
        <v>1.43900000000002</v>
      </c>
      <c r="AD5764">
        <v>-1.113553751687</v>
      </c>
      <c r="AE5764">
        <v>-7.6521999999999899</v>
      </c>
      <c r="AF5764">
        <v>4.3473020395226198</v>
      </c>
      <c r="AG5764">
        <v>-1.113553751687</v>
      </c>
      <c r="AH5764">
        <v>6.2707183859678901</v>
      </c>
      <c r="AI5764">
        <v>98.3030767826058</v>
      </c>
      <c r="AJ5764">
        <v>55.267584388436703</v>
      </c>
      <c r="AK5764">
        <v>7.7110924035994799</v>
      </c>
      <c r="AL5764">
        <v>85.127599220918597</v>
      </c>
      <c r="AM5764">
        <v>70.442745266242099</v>
      </c>
      <c r="AN5764">
        <v>1.0000000420188999</v>
      </c>
    </row>
    <row r="5765" spans="1:40" x14ac:dyDescent="0.25">
      <c r="A5765" t="str">
        <f>"20190303162028102"</f>
        <v>20190303162028102</v>
      </c>
      <c r="B5765" t="str">
        <f>"1551601228098648"</f>
        <v>1551601228098648</v>
      </c>
      <c r="C5765" t="s">
        <v>40</v>
      </c>
      <c r="D5765">
        <v>5.2740919999999996</v>
      </c>
      <c r="E5765">
        <v>0.60304489999999999</v>
      </c>
      <c r="F5765" t="s">
        <v>49</v>
      </c>
      <c r="G5765">
        <v>-194.7586</v>
      </c>
      <c r="H5765" s="1">
        <v>6.199533E-6</v>
      </c>
      <c r="I5765">
        <v>200.93819999999999</v>
      </c>
      <c r="J5765">
        <v>-196.04349999999999</v>
      </c>
      <c r="K5765">
        <v>1.1134329999999999</v>
      </c>
      <c r="L5765">
        <v>208.3152</v>
      </c>
      <c r="M5765">
        <v>0.70112600000000003</v>
      </c>
      <c r="N5765">
        <v>-1.5243100000000001E-2</v>
      </c>
      <c r="O5765">
        <v>-0.71287460000000002</v>
      </c>
      <c r="P5765">
        <v>0.42304849999999999</v>
      </c>
      <c r="Q5765">
        <v>7.6028440000000003E-2</v>
      </c>
      <c r="R5765">
        <v>-0.9029123</v>
      </c>
      <c r="S5765">
        <v>0.58332819999999996</v>
      </c>
      <c r="T5765">
        <v>-0.45861980000000002</v>
      </c>
      <c r="U5765">
        <v>-3.1017299999999999</v>
      </c>
      <c r="V5765">
        <v>0.33321089999999998</v>
      </c>
      <c r="W5765">
        <v>8.3876489999999998E-2</v>
      </c>
      <c r="X5765">
        <v>0.93911409999999995</v>
      </c>
      <c r="Y5765">
        <v>0.55621080000000001</v>
      </c>
      <c r="Z5765">
        <v>5.8042089999999998E-2</v>
      </c>
      <c r="AA5765">
        <v>0.82901190000000002</v>
      </c>
      <c r="AB5765">
        <v>19</v>
      </c>
      <c r="AC5765">
        <v>1.2848999999999899</v>
      </c>
      <c r="AD5765">
        <v>-1.1134268004669901</v>
      </c>
      <c r="AE5765">
        <v>-7.3769999999999998</v>
      </c>
      <c r="AF5765">
        <v>4.1646485927511003</v>
      </c>
      <c r="AG5765">
        <v>-1.1134268004669901</v>
      </c>
      <c r="AH5765">
        <v>6.0272076053366899</v>
      </c>
      <c r="AI5765">
        <v>98.641746132829596</v>
      </c>
      <c r="AJ5765">
        <v>55.356504044089299</v>
      </c>
      <c r="AK5765">
        <v>7.41021245707101</v>
      </c>
      <c r="AL5765">
        <v>85.188578381400603</v>
      </c>
      <c r="AM5765">
        <v>70.464598729341702</v>
      </c>
      <c r="AN5765">
        <v>1.0000000311361601</v>
      </c>
    </row>
    <row r="5766" spans="1:40" x14ac:dyDescent="0.25">
      <c r="A5766" t="str">
        <f>"20190303162028125"</f>
        <v>20190303162028125</v>
      </c>
      <c r="B5766" t="str">
        <f>"1551601228118168"</f>
        <v>1551601228118168</v>
      </c>
      <c r="C5766" t="s">
        <v>40</v>
      </c>
      <c r="D5766">
        <v>5.3019600000000002</v>
      </c>
      <c r="E5766">
        <v>0.60280369999999905</v>
      </c>
      <c r="F5766" t="s">
        <v>49</v>
      </c>
      <c r="G5766">
        <v>-194.74639999999999</v>
      </c>
      <c r="H5766" s="1">
        <v>6.2281830000000001E-6</v>
      </c>
      <c r="I5766">
        <v>200.8663</v>
      </c>
      <c r="J5766">
        <v>-195.9152</v>
      </c>
      <c r="K5766">
        <v>1.1133200000000001</v>
      </c>
      <c r="L5766">
        <v>208.15950000000001</v>
      </c>
      <c r="M5766">
        <v>0.69021269999999901</v>
      </c>
      <c r="N5766">
        <v>-1.5313220000000001E-2</v>
      </c>
      <c r="O5766">
        <v>-0.72344459999999999</v>
      </c>
      <c r="P5766">
        <v>0.40945740000000003</v>
      </c>
      <c r="Q5766">
        <v>7.736208E-2</v>
      </c>
      <c r="R5766">
        <v>-0.90904370000000001</v>
      </c>
      <c r="S5766">
        <v>0.54121399999999997</v>
      </c>
      <c r="T5766">
        <v>-0.46458729999999998</v>
      </c>
      <c r="U5766">
        <v>-3.108139</v>
      </c>
      <c r="V5766">
        <v>0.33300350000000001</v>
      </c>
      <c r="W5766">
        <v>8.5179290000000005E-2</v>
      </c>
      <c r="X5766">
        <v>0.93907030000000002</v>
      </c>
      <c r="Y5766">
        <v>0.55480299999999905</v>
      </c>
      <c r="Z5766">
        <v>6.094509E-2</v>
      </c>
      <c r="AA5766">
        <v>0.8297466</v>
      </c>
      <c r="AB5766">
        <v>19</v>
      </c>
      <c r="AC5766">
        <v>1.1688000000000001</v>
      </c>
      <c r="AD5766">
        <v>-1.1133137718170001</v>
      </c>
      <c r="AE5766">
        <v>-7.2932000000000103</v>
      </c>
      <c r="AF5766">
        <v>4.0957377093742604</v>
      </c>
      <c r="AG5766">
        <v>-1.1133137718170001</v>
      </c>
      <c r="AH5766">
        <v>5.9485163423537504</v>
      </c>
      <c r="AI5766">
        <v>98.763279680379398</v>
      </c>
      <c r="AJ5766">
        <v>55.4513850824451</v>
      </c>
      <c r="AK5766">
        <v>7.30748805088023</v>
      </c>
      <c r="AL5766">
        <v>85.113664862533199</v>
      </c>
      <c r="AM5766">
        <v>70.474996443099499</v>
      </c>
      <c r="AN5766">
        <v>0.99999993539961995</v>
      </c>
    </row>
    <row r="5767" spans="1:40" x14ac:dyDescent="0.25">
      <c r="A5767" t="str">
        <f>"20190303162028146"</f>
        <v>20190303162028146</v>
      </c>
      <c r="B5767" t="str">
        <f>"1551601228138664"</f>
        <v>1551601228138664</v>
      </c>
      <c r="C5767" t="s">
        <v>40</v>
      </c>
      <c r="D5767">
        <v>5.2872190000000003</v>
      </c>
      <c r="E5767">
        <v>0.60239370000000003</v>
      </c>
      <c r="F5767" t="s">
        <v>49</v>
      </c>
      <c r="G5767">
        <v>-194.71780000000001</v>
      </c>
      <c r="H5767" s="1">
        <v>6.3156579999999996E-6</v>
      </c>
      <c r="I5767">
        <v>200.6404</v>
      </c>
      <c r="J5767">
        <v>-195.79939999999999</v>
      </c>
      <c r="K5767">
        <v>1.113227</v>
      </c>
      <c r="L5767">
        <v>208.01390000000001</v>
      </c>
      <c r="M5767">
        <v>0.67982480000000001</v>
      </c>
      <c r="N5767">
        <v>-1.537708E-2</v>
      </c>
      <c r="O5767">
        <v>-0.73321329999999996</v>
      </c>
      <c r="P5767">
        <v>0.39619529999999997</v>
      </c>
      <c r="Q5767">
        <v>8.0564330000000003E-2</v>
      </c>
      <c r="R5767">
        <v>-0.91462489999999996</v>
      </c>
      <c r="S5767">
        <v>0.49621579999999899</v>
      </c>
      <c r="T5767">
        <v>-0.4613563</v>
      </c>
      <c r="U5767">
        <v>-3.115936</v>
      </c>
      <c r="V5767">
        <v>0.33316750000000001</v>
      </c>
      <c r="W5767">
        <v>8.8344950000000005E-2</v>
      </c>
      <c r="X5767">
        <v>0.93871970000000005</v>
      </c>
      <c r="Y5767">
        <v>0.55499180000000004</v>
      </c>
      <c r="Z5767">
        <v>6.211713E-2</v>
      </c>
      <c r="AA5767">
        <v>0.82953330000000003</v>
      </c>
      <c r="AB5767">
        <v>19</v>
      </c>
      <c r="AC5767">
        <v>1.0815999999999799</v>
      </c>
      <c r="AD5767">
        <v>-1.1132206843420001</v>
      </c>
      <c r="AE5767">
        <v>-7.3734999999999999</v>
      </c>
      <c r="AF5767">
        <v>4.12803248453194</v>
      </c>
      <c r="AG5767">
        <v>-1.1132206843420001</v>
      </c>
      <c r="AH5767">
        <v>6.0083062527494002</v>
      </c>
      <c r="AI5767">
        <v>98.682587219724695</v>
      </c>
      <c r="AJ5767">
        <v>55.508822261454299</v>
      </c>
      <c r="AK5767">
        <v>7.3742563362162397</v>
      </c>
      <c r="AL5767">
        <v>84.931599809255502</v>
      </c>
      <c r="AM5767">
        <v>70.459365415141093</v>
      </c>
      <c r="AN5767">
        <v>1.0000000442074199</v>
      </c>
    </row>
    <row r="5768" spans="1:40" x14ac:dyDescent="0.25">
      <c r="A5768" t="str">
        <f>"20190303162028168"</f>
        <v>20190303162028168</v>
      </c>
      <c r="B5768" t="str">
        <f>"1551601228158185"</f>
        <v>1551601228158185</v>
      </c>
      <c r="C5768" t="s">
        <v>40</v>
      </c>
      <c r="D5768">
        <v>5.3471199999999897</v>
      </c>
      <c r="E5768">
        <v>0.60194789999999998</v>
      </c>
      <c r="F5768" t="s">
        <v>49</v>
      </c>
      <c r="G5768">
        <v>-194.6799</v>
      </c>
      <c r="H5768" s="1">
        <v>6.4332950000000004E-6</v>
      </c>
      <c r="I5768">
        <v>200.33609999999999</v>
      </c>
      <c r="J5768">
        <v>-195.67699999999999</v>
      </c>
      <c r="K5768">
        <v>1.1131519999999999</v>
      </c>
      <c r="L5768">
        <v>207.8546</v>
      </c>
      <c r="M5768">
        <v>0.66829229999999995</v>
      </c>
      <c r="N5768">
        <v>-1.5442229999999999E-2</v>
      </c>
      <c r="O5768">
        <v>-0.74373849999999997</v>
      </c>
      <c r="P5768">
        <v>0.38251210000000002</v>
      </c>
      <c r="Q5768">
        <v>8.5401930000000001E-2</v>
      </c>
      <c r="R5768">
        <v>-0.91999529999999996</v>
      </c>
      <c r="S5768">
        <v>0.45530700000000002</v>
      </c>
      <c r="T5768">
        <v>-0.45276529999999998</v>
      </c>
      <c r="U5768">
        <v>-3.1226959999999999</v>
      </c>
      <c r="V5768">
        <v>0.3323354</v>
      </c>
      <c r="W5768">
        <v>9.3182909999999994E-2</v>
      </c>
      <c r="X5768">
        <v>0.93854680000000001</v>
      </c>
      <c r="Y5768">
        <v>0.55297209999999997</v>
      </c>
      <c r="Z5768">
        <v>6.2661309999999998E-2</v>
      </c>
      <c r="AA5768">
        <v>0.83084020000000003</v>
      </c>
      <c r="AB5768">
        <v>19</v>
      </c>
      <c r="AC5768">
        <v>0.99710000000001697</v>
      </c>
      <c r="AD5768">
        <v>-1.1131455667049901</v>
      </c>
      <c r="AE5768">
        <v>-7.5185000000000102</v>
      </c>
      <c r="AF5768">
        <v>4.1931591081213799</v>
      </c>
      <c r="AG5768">
        <v>-1.1131455667049901</v>
      </c>
      <c r="AH5768">
        <v>6.12691736018472</v>
      </c>
      <c r="AI5768">
        <v>98.526884129054693</v>
      </c>
      <c r="AJ5768">
        <v>55.6129183363377</v>
      </c>
      <c r="AK5768">
        <v>7.5073825463492403</v>
      </c>
      <c r="AL5768">
        <v>84.653255649567299</v>
      </c>
      <c r="AM5768">
        <v>70.501163730349703</v>
      </c>
      <c r="AN5768">
        <v>0.99999998429973302</v>
      </c>
    </row>
    <row r="5769" spans="1:40" x14ac:dyDescent="0.25">
      <c r="A5769" t="str">
        <f>"20190303162028202"</f>
        <v>20190303162028202</v>
      </c>
      <c r="B5769" t="str">
        <f>"1551601228198201"</f>
        <v>1551601228198201</v>
      </c>
      <c r="C5769" t="s">
        <v>40</v>
      </c>
      <c r="D5769">
        <v>5.0023580000000001</v>
      </c>
      <c r="E5769">
        <v>0.63467309999999999</v>
      </c>
      <c r="F5769" t="s">
        <v>49</v>
      </c>
      <c r="G5769">
        <v>-194.62799999999999</v>
      </c>
      <c r="H5769" s="1">
        <v>6.5943269999999901E-6</v>
      </c>
      <c r="I5769">
        <v>199.9196</v>
      </c>
      <c r="J5769">
        <v>-195.5025</v>
      </c>
      <c r="K5769">
        <v>1.1130629999999999</v>
      </c>
      <c r="L5769">
        <v>207.61779999999999</v>
      </c>
      <c r="M5769">
        <v>0.65086129999999998</v>
      </c>
      <c r="N5769">
        <v>-1.5527819999999999E-2</v>
      </c>
      <c r="O5769">
        <v>-0.75903799999999999</v>
      </c>
      <c r="P5769">
        <v>0.36551879999999998</v>
      </c>
      <c r="Q5769">
        <v>8.7153939999999999E-2</v>
      </c>
      <c r="R5769">
        <v>-0.92671499999999996</v>
      </c>
      <c r="S5769">
        <v>0.41372680000000001</v>
      </c>
      <c r="T5769">
        <v>-0.43903829999999999</v>
      </c>
      <c r="U5769">
        <v>-3.129623</v>
      </c>
      <c r="V5769">
        <v>0.32777909999999999</v>
      </c>
      <c r="W5769">
        <v>9.5055219999999996E-2</v>
      </c>
      <c r="X5769">
        <v>0.93996029999999997</v>
      </c>
      <c r="Y5769">
        <v>0.54484030000000006</v>
      </c>
      <c r="Z5769">
        <v>6.3448889999999994E-2</v>
      </c>
      <c r="AA5769">
        <v>0.83613599999999999</v>
      </c>
      <c r="AB5769">
        <v>19</v>
      </c>
      <c r="AC5769">
        <v>0.87450000000001105</v>
      </c>
      <c r="AD5769">
        <v>-1.1130564056729999</v>
      </c>
      <c r="AE5769">
        <v>-7.6981999999999804</v>
      </c>
      <c r="AF5769">
        <v>4.2592979334397798</v>
      </c>
      <c r="AG5769">
        <v>-1.1130564056729999</v>
      </c>
      <c r="AH5769">
        <v>6.2834923520889898</v>
      </c>
      <c r="AI5769">
        <v>98.341703040631998</v>
      </c>
      <c r="AJ5769">
        <v>55.868413614064998</v>
      </c>
      <c r="AK5769">
        <v>7.6722089118307304</v>
      </c>
      <c r="AL5769">
        <v>84.5455019286549</v>
      </c>
      <c r="AM5769">
        <v>70.775524443411499</v>
      </c>
      <c r="AN5769">
        <v>0.99999999941107398</v>
      </c>
    </row>
    <row r="5770" spans="1:40" x14ac:dyDescent="0.25">
      <c r="A5770" t="str">
        <f>"20190303162028225"</f>
        <v>20190303162028225</v>
      </c>
      <c r="B5770" t="str">
        <f>"1551601228218696"</f>
        <v>1551601228218696</v>
      </c>
      <c r="C5770" t="s">
        <v>40</v>
      </c>
      <c r="D5770">
        <v>4.9333349999999996</v>
      </c>
      <c r="E5770">
        <v>0.63257189999999996</v>
      </c>
      <c r="F5770" t="s">
        <v>41</v>
      </c>
      <c r="G5770">
        <v>-194.7808</v>
      </c>
      <c r="H5770" s="1">
        <v>-3.697126E-6</v>
      </c>
      <c r="I5770">
        <v>185.35900000000001</v>
      </c>
      <c r="J5770">
        <v>-195.38489999999999</v>
      </c>
      <c r="K5770">
        <v>1.113019</v>
      </c>
      <c r="L5770">
        <v>207.45099999999999</v>
      </c>
      <c r="M5770">
        <v>0.63837089999999996</v>
      </c>
      <c r="N5770">
        <v>-1.5581579999999999E-2</v>
      </c>
      <c r="O5770">
        <v>-0.76957149999999996</v>
      </c>
      <c r="P5770">
        <v>0.35471999999999998</v>
      </c>
      <c r="Q5770">
        <v>8.6505700000000005E-2</v>
      </c>
      <c r="R5770">
        <v>-0.93096239999999997</v>
      </c>
      <c r="S5770">
        <v>0.104126</v>
      </c>
      <c r="T5770">
        <v>-0.16058149999999999</v>
      </c>
      <c r="U5770">
        <v>-3.2112729999999998</v>
      </c>
      <c r="V5770">
        <v>0.32337450000000001</v>
      </c>
      <c r="W5770">
        <v>9.4539209999999999E-2</v>
      </c>
      <c r="X5770">
        <v>0.9415367</v>
      </c>
      <c r="Y5770">
        <v>0.61273140000000004</v>
      </c>
      <c r="Z5770">
        <v>1.2130419999999999E-2</v>
      </c>
      <c r="AA5770">
        <v>0.79019810000000001</v>
      </c>
      <c r="AB5770">
        <v>19</v>
      </c>
      <c r="AC5770">
        <v>0.60409999999998798</v>
      </c>
      <c r="AD5770">
        <v>-1.113022697126</v>
      </c>
      <c r="AE5770">
        <v>-22.091999999999899</v>
      </c>
      <c r="AF5770">
        <v>13.6051366057099</v>
      </c>
      <c r="AG5770">
        <v>-1.113022697126</v>
      </c>
      <c r="AH5770">
        <v>17.3451265274748</v>
      </c>
      <c r="AI5770">
        <v>92.890419069084601</v>
      </c>
      <c r="AJ5770">
        <v>51.890141175440498</v>
      </c>
      <c r="AK5770">
        <v>22.072425689951999</v>
      </c>
      <c r="AL5770">
        <v>84.575201109987802</v>
      </c>
      <c r="AM5770">
        <v>71.0447633811402</v>
      </c>
      <c r="AN5770">
        <v>1.00000004346228</v>
      </c>
    </row>
    <row r="5771" spans="1:40" x14ac:dyDescent="0.25">
      <c r="A5771" t="str">
        <f>"20190303162028247"</f>
        <v>20190303162028247</v>
      </c>
      <c r="B5771" t="str">
        <f>"1551601228238217"</f>
        <v>1551601228238217</v>
      </c>
      <c r="C5771" t="s">
        <v>40</v>
      </c>
      <c r="D5771">
        <v>4.9098509999999997</v>
      </c>
      <c r="E5771">
        <v>0.63103489999999995</v>
      </c>
      <c r="F5771" t="s">
        <v>41</v>
      </c>
      <c r="G5771">
        <v>-194.83539999999999</v>
      </c>
      <c r="H5771" s="1">
        <v>-3.9193480000000004E-6</v>
      </c>
      <c r="I5771">
        <v>185.98349999999999</v>
      </c>
      <c r="J5771">
        <v>-195.27930000000001</v>
      </c>
      <c r="K5771">
        <v>1.112975</v>
      </c>
      <c r="L5771">
        <v>207.2954</v>
      </c>
      <c r="M5771">
        <v>0.62655909999999904</v>
      </c>
      <c r="N5771">
        <v>-1.5630350000000001E-2</v>
      </c>
      <c r="O5771">
        <v>-0.77921700000000005</v>
      </c>
      <c r="P5771">
        <v>0.34518870000000001</v>
      </c>
      <c r="Q5771">
        <v>8.5709969999999996E-2</v>
      </c>
      <c r="R5771">
        <v>-0.93461159999999999</v>
      </c>
      <c r="S5771">
        <v>8.2077029999999995E-2</v>
      </c>
      <c r="T5771">
        <v>-0.1662537</v>
      </c>
      <c r="U5771">
        <v>-3.2066349999999999</v>
      </c>
      <c r="V5771">
        <v>0.31866369999999999</v>
      </c>
      <c r="W5771">
        <v>9.3886010000000006E-2</v>
      </c>
      <c r="X5771">
        <v>0.94320669999999995</v>
      </c>
      <c r="Y5771">
        <v>0.60604419999999903</v>
      </c>
      <c r="Z5771">
        <v>1.391977E-2</v>
      </c>
      <c r="AA5771">
        <v>0.79530909999999999</v>
      </c>
      <c r="AB5771">
        <v>19</v>
      </c>
      <c r="AC5771">
        <v>0.44390000000001301</v>
      </c>
      <c r="AD5771">
        <v>-1.112978919348</v>
      </c>
      <c r="AE5771">
        <v>-21.311900000000001</v>
      </c>
      <c r="AF5771">
        <v>12.9734942925403</v>
      </c>
      <c r="AG5771">
        <v>-1.112978919348</v>
      </c>
      <c r="AH5771">
        <v>16.8408795625487</v>
      </c>
      <c r="AI5771">
        <v>92.996947989695499</v>
      </c>
      <c r="AJ5771">
        <v>52.390879641401902</v>
      </c>
      <c r="AK5771">
        <v>21.2876842487331</v>
      </c>
      <c r="AL5771">
        <v>84.612793728305107</v>
      </c>
      <c r="AM5771">
        <v>71.332388499890797</v>
      </c>
      <c r="AN5771">
        <v>1.0000000077481499</v>
      </c>
    </row>
    <row r="5772" spans="1:40" x14ac:dyDescent="0.25">
      <c r="A5772" t="str">
        <f>"20190303162028269"</f>
        <v>20190303162028269</v>
      </c>
      <c r="B5772" t="str">
        <f>"1551601228257736"</f>
        <v>1551601228257736</v>
      </c>
      <c r="C5772" t="s">
        <v>40</v>
      </c>
      <c r="D5772">
        <v>4.9327680000000003</v>
      </c>
      <c r="E5772">
        <v>0.62946939999999996</v>
      </c>
      <c r="F5772" t="s">
        <v>41</v>
      </c>
      <c r="G5772">
        <v>-194.88220000000001</v>
      </c>
      <c r="H5772" s="1">
        <v>-4.1793220000000001E-6</v>
      </c>
      <c r="I5772">
        <v>186.72309999999999</v>
      </c>
      <c r="J5772">
        <v>-195.16909999999999</v>
      </c>
      <c r="K5772">
        <v>1.1129450000000001</v>
      </c>
      <c r="L5772">
        <v>207.12690000000001</v>
      </c>
      <c r="M5772">
        <v>0.61362720000000004</v>
      </c>
      <c r="N5772">
        <v>-1.56811E-2</v>
      </c>
      <c r="O5772">
        <v>-0.78944019999999904</v>
      </c>
      <c r="P5772">
        <v>0.3341498</v>
      </c>
      <c r="Q5772">
        <v>8.4708749999999999E-2</v>
      </c>
      <c r="R5772">
        <v>-0.93870580000000003</v>
      </c>
      <c r="S5772">
        <v>6.1813350000000003E-2</v>
      </c>
      <c r="T5772">
        <v>-0.17327960000000001</v>
      </c>
      <c r="U5772">
        <v>-3.2029109999999998</v>
      </c>
      <c r="V5772">
        <v>0.31426379999999998</v>
      </c>
      <c r="W5772">
        <v>9.3024339999999997E-2</v>
      </c>
      <c r="X5772">
        <v>0.94476709999999997</v>
      </c>
      <c r="Y5772">
        <v>0.59789910000000002</v>
      </c>
      <c r="Z5772">
        <v>1.6088930000000001E-2</v>
      </c>
      <c r="AA5772">
        <v>0.80140990000000001</v>
      </c>
      <c r="AB5772">
        <v>19</v>
      </c>
      <c r="AC5772">
        <v>0.28689999999997401</v>
      </c>
      <c r="AD5772">
        <v>-1.1129491793220001</v>
      </c>
      <c r="AE5772">
        <v>-20.4038</v>
      </c>
      <c r="AF5772">
        <v>12.258881192220599</v>
      </c>
      <c r="AG5772">
        <v>-1.1129491793220001</v>
      </c>
      <c r="AH5772">
        <v>16.2373303350663</v>
      </c>
      <c r="AI5772">
        <v>93.131131585966898</v>
      </c>
      <c r="AJ5772">
        <v>52.947876934105302</v>
      </c>
      <c r="AK5772">
        <v>20.375713984319599</v>
      </c>
      <c r="AL5772">
        <v>84.662381127634106</v>
      </c>
      <c r="AM5772">
        <v>71.601003826342406</v>
      </c>
      <c r="AN5772">
        <v>1.00000006853264</v>
      </c>
    </row>
    <row r="5773" spans="1:40" x14ac:dyDescent="0.25">
      <c r="A5773" t="str">
        <f>"20190303162028293"</f>
        <v>20190303162028293</v>
      </c>
      <c r="B5773" t="str">
        <f>"1551601228287992"</f>
        <v>1551601228287992</v>
      </c>
      <c r="C5773" t="s">
        <v>40</v>
      </c>
      <c r="D5773">
        <v>5.0127610000000002</v>
      </c>
      <c r="E5773">
        <v>0.62632880000000002</v>
      </c>
      <c r="F5773" t="s">
        <v>41</v>
      </c>
      <c r="G5773">
        <v>-194.94579999999999</v>
      </c>
      <c r="H5773" s="1">
        <v>-4.3142150000000003E-6</v>
      </c>
      <c r="I5773">
        <v>187.08629999999999</v>
      </c>
      <c r="J5773">
        <v>-195.05709999999999</v>
      </c>
      <c r="K5773">
        <v>1.1129309999999999</v>
      </c>
      <c r="L5773">
        <v>206.94909999999999</v>
      </c>
      <c r="M5773">
        <v>0.59982690000000005</v>
      </c>
      <c r="N5773">
        <v>-1.5730230000000001E-2</v>
      </c>
      <c r="O5773">
        <v>-0.79997529999999994</v>
      </c>
      <c r="P5773">
        <v>0.32153130000000002</v>
      </c>
      <c r="Q5773">
        <v>8.6318809999999996E-2</v>
      </c>
      <c r="R5773">
        <v>-0.94295649999999998</v>
      </c>
      <c r="S5773">
        <v>3.5644530000000001E-2</v>
      </c>
      <c r="T5773">
        <v>-0.1776693</v>
      </c>
      <c r="U5773">
        <v>-3.199249</v>
      </c>
      <c r="V5773">
        <v>0.31047529999999901</v>
      </c>
      <c r="W5773">
        <v>9.4755679999999995E-2</v>
      </c>
      <c r="X5773">
        <v>0.94584699999999999</v>
      </c>
      <c r="Y5773">
        <v>0.59049300000000005</v>
      </c>
      <c r="Z5773">
        <v>1.7844410000000002E-2</v>
      </c>
      <c r="AA5773">
        <v>0.80684540000000005</v>
      </c>
      <c r="AB5773">
        <v>19</v>
      </c>
      <c r="AC5773">
        <v>0.111299999999999</v>
      </c>
      <c r="AD5773">
        <v>-1.11293531421499</v>
      </c>
      <c r="AE5773">
        <v>-19.8628</v>
      </c>
      <c r="AF5773">
        <v>11.7896540982932</v>
      </c>
      <c r="AG5773">
        <v>-1.11293531421499</v>
      </c>
      <c r="AH5773">
        <v>15.908539678008999</v>
      </c>
      <c r="AI5773">
        <v>93.216990996941007</v>
      </c>
      <c r="AJ5773">
        <v>53.458238505641198</v>
      </c>
      <c r="AK5773">
        <v>19.832201175306199</v>
      </c>
      <c r="AL5773">
        <v>84.562742394767199</v>
      </c>
      <c r="AM5773">
        <v>71.827521986418603</v>
      </c>
      <c r="AN5773">
        <v>1.00000004910567</v>
      </c>
    </row>
    <row r="5774" spans="1:40" x14ac:dyDescent="0.25">
      <c r="A5774" t="str">
        <f>"20190303162028318"</f>
        <v>20190303162028318</v>
      </c>
      <c r="B5774" t="str">
        <f>"1551601228308489"</f>
        <v>1551601228308489</v>
      </c>
      <c r="C5774" t="s">
        <v>40</v>
      </c>
      <c r="D5774">
        <v>4.9867749999999997</v>
      </c>
      <c r="E5774">
        <v>0.61088999999999904</v>
      </c>
      <c r="F5774" t="s">
        <v>41</v>
      </c>
      <c r="G5774">
        <v>-194.9468</v>
      </c>
      <c r="H5774" s="1">
        <v>-4.0806509999999999E-6</v>
      </c>
      <c r="I5774">
        <v>186.39940000000001</v>
      </c>
      <c r="J5774">
        <v>-194.94569999999999</v>
      </c>
      <c r="K5774">
        <v>1.112916</v>
      </c>
      <c r="L5774">
        <v>206.7645</v>
      </c>
      <c r="M5774">
        <v>0.58535959999999998</v>
      </c>
      <c r="N5774">
        <v>-1.5775460000000002E-2</v>
      </c>
      <c r="O5774">
        <v>-0.81062040000000002</v>
      </c>
      <c r="P5774">
        <v>0.30479659999999997</v>
      </c>
      <c r="Q5774">
        <v>8.8770310000000005E-2</v>
      </c>
      <c r="R5774">
        <v>-0.9482718</v>
      </c>
      <c r="S5774">
        <v>1.7135620000000001E-2</v>
      </c>
      <c r="T5774">
        <v>-0.17284579999999999</v>
      </c>
      <c r="U5774">
        <v>-3.1914829999999998</v>
      </c>
      <c r="V5774">
        <v>0.31014609999999998</v>
      </c>
      <c r="W5774">
        <v>9.7234710000000002E-2</v>
      </c>
      <c r="X5774">
        <v>0.94570330000000002</v>
      </c>
      <c r="Y5774">
        <v>0.58063759999999998</v>
      </c>
      <c r="Z5774">
        <v>1.7984799999999999E-2</v>
      </c>
      <c r="AA5774">
        <v>0.81396349999999995</v>
      </c>
      <c r="AB5774">
        <v>19</v>
      </c>
      <c r="AC5774">
        <v>-1.1000000000080899E-3</v>
      </c>
      <c r="AD5774">
        <v>-1.112920080651</v>
      </c>
      <c r="AE5774">
        <v>-20.365099999999899</v>
      </c>
      <c r="AF5774">
        <v>11.887779033027501</v>
      </c>
      <c r="AG5774">
        <v>-1.112920080651</v>
      </c>
      <c r="AH5774">
        <v>16.460616015461799</v>
      </c>
      <c r="AI5774">
        <v>93.137334133843197</v>
      </c>
      <c r="AJ5774">
        <v>54.163361927830202</v>
      </c>
      <c r="AK5774">
        <v>20.3349394160023</v>
      </c>
      <c r="AL5774">
        <v>84.420044916035394</v>
      </c>
      <c r="AM5774">
        <v>71.842948245472599</v>
      </c>
      <c r="AN5774">
        <v>0.999999961902441</v>
      </c>
    </row>
    <row r="5775" spans="1:40" x14ac:dyDescent="0.25">
      <c r="A5775" t="str">
        <f>"20190303162028337"</f>
        <v>20190303162028337</v>
      </c>
      <c r="B5775" t="str">
        <f>"1551601228328008"</f>
        <v>1551601228328008</v>
      </c>
      <c r="C5775" t="s">
        <v>40</v>
      </c>
      <c r="D5775">
        <v>5.2081489999999997</v>
      </c>
      <c r="E5775">
        <v>0.61019460000000003</v>
      </c>
      <c r="F5775" t="s">
        <v>41</v>
      </c>
      <c r="G5775">
        <v>-194.35489999999999</v>
      </c>
      <c r="H5775" s="1">
        <v>-2.707005E-6</v>
      </c>
      <c r="I5775">
        <v>183.19820000000001</v>
      </c>
      <c r="J5775">
        <v>-194.85919999999999</v>
      </c>
      <c r="K5775">
        <v>1.112911</v>
      </c>
      <c r="L5775">
        <v>206.6157</v>
      </c>
      <c r="M5775">
        <v>0.57357209999999903</v>
      </c>
      <c r="N5775">
        <v>-1.5808989999999998E-2</v>
      </c>
      <c r="O5775">
        <v>-0.81900249999999997</v>
      </c>
      <c r="P5775">
        <v>0.28982859999999899</v>
      </c>
      <c r="Q5775">
        <v>9.0222789999999997E-2</v>
      </c>
      <c r="R5775">
        <v>-0.9528162</v>
      </c>
      <c r="S5775">
        <v>7.9025269999999995E-2</v>
      </c>
      <c r="T5775">
        <v>-0.14886269999999999</v>
      </c>
      <c r="U5775">
        <v>-3.1522060000000001</v>
      </c>
      <c r="V5775">
        <v>0.311314799999999</v>
      </c>
      <c r="W5775">
        <v>9.8671610000000007E-2</v>
      </c>
      <c r="X5775">
        <v>0.94517030000000002</v>
      </c>
      <c r="Y5775">
        <v>0.55258319999999905</v>
      </c>
      <c r="Z5775">
        <v>1.4805520000000001E-2</v>
      </c>
      <c r="AA5775">
        <v>0.83332619999999902</v>
      </c>
      <c r="AB5775">
        <v>19</v>
      </c>
      <c r="AC5775">
        <v>0.50429999999999997</v>
      </c>
      <c r="AD5775">
        <v>-1.1129137070049999</v>
      </c>
      <c r="AE5775">
        <v>-23.417499999999901</v>
      </c>
      <c r="AF5775">
        <v>12.990901178992001</v>
      </c>
      <c r="AG5775">
        <v>-1.1129137070049999</v>
      </c>
      <c r="AH5775">
        <v>19.426819626216499</v>
      </c>
      <c r="AI5775">
        <v>92.726429583381304</v>
      </c>
      <c r="AJ5775">
        <v>56.228972429099699</v>
      </c>
      <c r="AK5775">
        <v>23.396653845178999</v>
      </c>
      <c r="AL5775">
        <v>84.337318668424999</v>
      </c>
      <c r="AM5775">
        <v>71.769445707980793</v>
      </c>
      <c r="AN5775">
        <v>0.999999943660559</v>
      </c>
    </row>
    <row r="5776" spans="1:40" x14ac:dyDescent="0.25">
      <c r="A5776" t="str">
        <f>"20190303162028359"</f>
        <v>20190303162028359</v>
      </c>
      <c r="B5776" t="str">
        <f>"1551601228348505"</f>
        <v>1551601228348505</v>
      </c>
      <c r="C5776" t="s">
        <v>40</v>
      </c>
      <c r="D5776">
        <v>5.0646250000000004</v>
      </c>
      <c r="E5776">
        <v>0.61019460000000003</v>
      </c>
      <c r="F5776" t="s">
        <v>41</v>
      </c>
      <c r="G5776">
        <v>-194.58840000000001</v>
      </c>
      <c r="H5776" s="1">
        <v>-2.6752569999999999E-6</v>
      </c>
      <c r="I5776">
        <v>182.97929999999999</v>
      </c>
      <c r="J5776">
        <v>-194.76859999999999</v>
      </c>
      <c r="K5776">
        <v>1.1128990000000001</v>
      </c>
      <c r="L5776">
        <v>206.4539</v>
      </c>
      <c r="M5776">
        <v>0.56065489999999996</v>
      </c>
      <c r="N5776">
        <v>-1.5843469999999998E-2</v>
      </c>
      <c r="O5776">
        <v>-0.82789799999999902</v>
      </c>
      <c r="P5776">
        <v>0.27315699999999998</v>
      </c>
      <c r="Q5776">
        <v>9.1501319999999997E-2</v>
      </c>
      <c r="R5776">
        <v>-0.95760789999999996</v>
      </c>
      <c r="S5776">
        <v>3.6102290000000002E-2</v>
      </c>
      <c r="T5776">
        <v>-0.14839459999999999</v>
      </c>
      <c r="U5776">
        <v>-3.1516419999999998</v>
      </c>
      <c r="V5776">
        <v>0.31294939999999999</v>
      </c>
      <c r="W5776">
        <v>9.992471E-2</v>
      </c>
      <c r="X5776">
        <v>0.94449870000000002</v>
      </c>
      <c r="Y5776">
        <v>0.5508554</v>
      </c>
      <c r="Z5776">
        <v>1.525075E-2</v>
      </c>
      <c r="AA5776">
        <v>0.83446139999999902</v>
      </c>
      <c r="AB5776">
        <v>19</v>
      </c>
      <c r="AC5776">
        <v>0.18019999999998501</v>
      </c>
      <c r="AD5776">
        <v>-1.112901675257</v>
      </c>
      <c r="AE5776">
        <v>-23.474599999999999</v>
      </c>
      <c r="AF5776">
        <v>12.984413579903499</v>
      </c>
      <c r="AG5776">
        <v>-1.112901675257</v>
      </c>
      <c r="AH5776">
        <v>19.494243938226798</v>
      </c>
      <c r="AI5776">
        <v>92.7203006053563</v>
      </c>
      <c r="AJ5776">
        <v>56.333845733675197</v>
      </c>
      <c r="AK5776">
        <v>23.449074456700199</v>
      </c>
      <c r="AL5776">
        <v>84.265165235930297</v>
      </c>
      <c r="AM5776">
        <v>71.667944888126002</v>
      </c>
      <c r="AN5776">
        <v>1.0000000344653099</v>
      </c>
    </row>
    <row r="5777" spans="1:40" x14ac:dyDescent="0.25">
      <c r="A5777" t="str">
        <f>"20190303162028380"</f>
        <v>20190303162028380</v>
      </c>
      <c r="B5777" t="str">
        <f>"1551601228368024"</f>
        <v>1551601228368024</v>
      </c>
      <c r="C5777" t="s">
        <v>40</v>
      </c>
      <c r="D5777">
        <v>5.0476609999999997</v>
      </c>
      <c r="E5777">
        <v>0.59565279999999998</v>
      </c>
      <c r="F5777" t="s">
        <v>41</v>
      </c>
      <c r="G5777">
        <v>-194.9057</v>
      </c>
      <c r="H5777" s="1">
        <v>-2.5202539999999998E-6</v>
      </c>
      <c r="I5777">
        <v>182.4212</v>
      </c>
      <c r="J5777">
        <v>-194.67660000000001</v>
      </c>
      <c r="K5777">
        <v>1.112894</v>
      </c>
      <c r="L5777">
        <v>206.28319999999999</v>
      </c>
      <c r="M5777">
        <v>0.54691599999999996</v>
      </c>
      <c r="N5777">
        <v>-1.5876729999999999E-2</v>
      </c>
      <c r="O5777">
        <v>-0.83703680000000003</v>
      </c>
      <c r="P5777">
        <v>0.25555929999999999</v>
      </c>
      <c r="Q5777">
        <v>9.1748869999999996E-2</v>
      </c>
      <c r="R5777">
        <v>-0.96243000000000001</v>
      </c>
      <c r="S5777">
        <v>-1.799011E-2</v>
      </c>
      <c r="T5777">
        <v>-0.14595629999999901</v>
      </c>
      <c r="U5777">
        <v>-3.1518709999999999</v>
      </c>
      <c r="V5777">
        <v>0.31467200000000001</v>
      </c>
      <c r="W5777">
        <v>0.10015010000000001</v>
      </c>
      <c r="X5777">
        <v>0.94390229999999997</v>
      </c>
      <c r="Y5777">
        <v>0.55141070000000003</v>
      </c>
      <c r="Z5777">
        <v>1.522946E-2</v>
      </c>
      <c r="AA5777">
        <v>0.83409489999999997</v>
      </c>
      <c r="AB5777">
        <v>19</v>
      </c>
      <c r="AC5777">
        <v>-0.22909999999998801</v>
      </c>
      <c r="AD5777">
        <v>-1.112896520254</v>
      </c>
      <c r="AE5777">
        <v>-23.861999999999899</v>
      </c>
      <c r="AF5777">
        <v>13.215202608385599</v>
      </c>
      <c r="AG5777">
        <v>-1.112896520254</v>
      </c>
      <c r="AH5777">
        <v>19.807496851667</v>
      </c>
      <c r="AI5777">
        <v>92.675951168027098</v>
      </c>
      <c r="AJ5777">
        <v>56.289501481170703</v>
      </c>
      <c r="AK5777">
        <v>23.837303752192099</v>
      </c>
      <c r="AL5777">
        <v>84.252186213926294</v>
      </c>
      <c r="AM5777">
        <v>71.562980692137998</v>
      </c>
      <c r="AN5777">
        <v>1.00000003102964</v>
      </c>
    </row>
    <row r="5778" spans="1:40" x14ac:dyDescent="0.25">
      <c r="A5778" t="str">
        <f>"20190303162028404"</f>
        <v>20190303162028404</v>
      </c>
      <c r="B5778" t="str">
        <f>"1551601228398282"</f>
        <v>1551601228398282</v>
      </c>
      <c r="C5778" t="s">
        <v>40</v>
      </c>
      <c r="D5778">
        <v>5.0797559999999997</v>
      </c>
      <c r="E5778">
        <v>0.58695900000000001</v>
      </c>
      <c r="F5778" t="s">
        <v>41</v>
      </c>
      <c r="G5778">
        <v>-194.43610000000001</v>
      </c>
      <c r="H5778" s="1">
        <v>-4.0338189999999997E-6</v>
      </c>
      <c r="I5778">
        <v>186.52799999999999</v>
      </c>
      <c r="J5778">
        <v>-194.58519999999999</v>
      </c>
      <c r="K5778">
        <v>1.1128880000000001</v>
      </c>
      <c r="L5778">
        <v>206.10650000000001</v>
      </c>
      <c r="M5778">
        <v>0.53259540000000005</v>
      </c>
      <c r="N5778">
        <v>-1.590565E-2</v>
      </c>
      <c r="O5778">
        <v>-0.84622039999999998</v>
      </c>
      <c r="P5778">
        <v>0.23939869999999999</v>
      </c>
      <c r="Q5778">
        <v>9.0137629999999996E-2</v>
      </c>
      <c r="R5778">
        <v>-0.96672829999999998</v>
      </c>
      <c r="S5778">
        <v>3.80249E-2</v>
      </c>
      <c r="T5778">
        <v>-0.1759772</v>
      </c>
      <c r="U5778">
        <v>-3.1237949999999999</v>
      </c>
      <c r="V5778">
        <v>0.31447309999999901</v>
      </c>
      <c r="W5778">
        <v>9.8576220000000006E-2</v>
      </c>
      <c r="X5778">
        <v>0.94413420000000003</v>
      </c>
      <c r="Y5778">
        <v>0.52193900000000004</v>
      </c>
      <c r="Z5778">
        <v>2.333489E-2</v>
      </c>
      <c r="AA5778">
        <v>0.85266359999999997</v>
      </c>
      <c r="AB5778">
        <v>19</v>
      </c>
      <c r="AC5778">
        <v>0.149099999999975</v>
      </c>
      <c r="AD5778">
        <v>-1.11289203381899</v>
      </c>
      <c r="AE5778">
        <v>-19.578499999999998</v>
      </c>
      <c r="AF5778">
        <v>10.2693726276352</v>
      </c>
      <c r="AG5778">
        <v>-1.11289203381899</v>
      </c>
      <c r="AH5778">
        <v>16.595625166805299</v>
      </c>
      <c r="AI5778">
        <v>93.263731842077704</v>
      </c>
      <c r="AJ5778">
        <v>58.2507784988494</v>
      </c>
      <c r="AK5778">
        <v>19.547718985121101</v>
      </c>
      <c r="AL5778">
        <v>84.342811178573996</v>
      </c>
      <c r="AM5778">
        <v>71.578067500560095</v>
      </c>
      <c r="AN5778">
        <v>0.99999999469136902</v>
      </c>
    </row>
    <row r="5779" spans="1:40" x14ac:dyDescent="0.25">
      <c r="A5779" t="str">
        <f>"20190303162028426"</f>
        <v>20190303162028426</v>
      </c>
      <c r="B5779" t="str">
        <f>"1551601228417801"</f>
        <v>1551601228417801</v>
      </c>
      <c r="C5779" t="s">
        <v>40</v>
      </c>
      <c r="D5779">
        <v>5.0934290000000004</v>
      </c>
      <c r="E5779">
        <v>0.58555210000000002</v>
      </c>
      <c r="F5779" t="s">
        <v>41</v>
      </c>
      <c r="G5779">
        <v>-194.2722</v>
      </c>
      <c r="H5779" s="1">
        <v>-4.5251899999999996E-6</v>
      </c>
      <c r="I5779">
        <v>188.0574</v>
      </c>
      <c r="J5779">
        <v>-194.49799999999999</v>
      </c>
      <c r="K5779">
        <v>1.112911</v>
      </c>
      <c r="L5779">
        <v>205.93020000000001</v>
      </c>
      <c r="M5779">
        <v>0.5182388</v>
      </c>
      <c r="N5779">
        <v>-1.592652E-2</v>
      </c>
      <c r="O5779">
        <v>-0.85508779999999995</v>
      </c>
      <c r="P5779">
        <v>0.22588639999999999</v>
      </c>
      <c r="Q5779">
        <v>8.914511E-2</v>
      </c>
      <c r="R5779">
        <v>-0.9700666</v>
      </c>
      <c r="S5779">
        <v>5.3894039999999997E-2</v>
      </c>
      <c r="T5779">
        <v>-0.19162199999999999</v>
      </c>
      <c r="U5779">
        <v>-3.107758</v>
      </c>
      <c r="V5779">
        <v>0.31173010000000001</v>
      </c>
      <c r="W5779">
        <v>9.7694569999999994E-2</v>
      </c>
      <c r="X5779">
        <v>0.94513499999999995</v>
      </c>
      <c r="Y5779">
        <v>0.50300370000000005</v>
      </c>
      <c r="Z5779">
        <v>2.819872E-2</v>
      </c>
      <c r="AA5779">
        <v>0.86382420000000004</v>
      </c>
      <c r="AB5779">
        <v>19</v>
      </c>
      <c r="AC5779">
        <v>0.22579999999999201</v>
      </c>
      <c r="AD5779">
        <v>-1.11291552519</v>
      </c>
      <c r="AE5779">
        <v>-17.872800000000002</v>
      </c>
      <c r="AF5779">
        <v>9.0354206635697594</v>
      </c>
      <c r="AG5779">
        <v>-1.11291552519</v>
      </c>
      <c r="AH5779">
        <v>15.3423045190381</v>
      </c>
      <c r="AI5779">
        <v>93.576624615033595</v>
      </c>
      <c r="AJ5779">
        <v>59.5052329849796</v>
      </c>
      <c r="AK5779">
        <v>17.839947182903</v>
      </c>
      <c r="AL5779">
        <v>84.393571196057593</v>
      </c>
      <c r="AM5779">
        <v>71.746100742464094</v>
      </c>
      <c r="AN5779">
        <v>1.0000000262392399</v>
      </c>
    </row>
    <row r="5780" spans="1:40" x14ac:dyDescent="0.25">
      <c r="A5780" t="str">
        <f>"20190303162028449"</f>
        <v>20190303162028449</v>
      </c>
      <c r="B5780" t="str">
        <f>"1551601228438297"</f>
        <v>1551601228438297</v>
      </c>
      <c r="C5780" t="s">
        <v>40</v>
      </c>
      <c r="D5780">
        <v>5.0951490000000002</v>
      </c>
      <c r="E5780">
        <v>0.58399109999999999</v>
      </c>
      <c r="F5780" t="s">
        <v>41</v>
      </c>
      <c r="G5780">
        <v>-194.3777</v>
      </c>
      <c r="H5780" s="1">
        <v>-4.5199800000000002E-6</v>
      </c>
      <c r="I5780">
        <v>187.9871</v>
      </c>
      <c r="J5780">
        <v>-194.41630000000001</v>
      </c>
      <c r="K5780">
        <v>1.112951</v>
      </c>
      <c r="L5780">
        <v>205.75739999999999</v>
      </c>
      <c r="M5780">
        <v>0.50412920000000006</v>
      </c>
      <c r="N5780">
        <v>-1.593938E-2</v>
      </c>
      <c r="O5780">
        <v>-0.86348119999999995</v>
      </c>
      <c r="P5780">
        <v>0.216333</v>
      </c>
      <c r="Q5780">
        <v>9.0358599999999997E-2</v>
      </c>
      <c r="R5780">
        <v>-0.97212920000000003</v>
      </c>
      <c r="S5780">
        <v>2.082825E-2</v>
      </c>
      <c r="T5780">
        <v>-0.19261239999999999</v>
      </c>
      <c r="U5780">
        <v>-3.1054080000000002</v>
      </c>
      <c r="V5780">
        <v>0.30545349999999999</v>
      </c>
      <c r="W5780">
        <v>9.9112409999999998E-2</v>
      </c>
      <c r="X5780">
        <v>0.94703479999999995</v>
      </c>
      <c r="Y5780">
        <v>0.49799660000000001</v>
      </c>
      <c r="Z5780">
        <v>2.925583E-2</v>
      </c>
      <c r="AA5780">
        <v>0.86668539999999905</v>
      </c>
      <c r="AB5780">
        <v>19</v>
      </c>
      <c r="AC5780">
        <v>3.8600000000002403E-2</v>
      </c>
      <c r="AD5780">
        <v>-1.1129555199799901</v>
      </c>
      <c r="AE5780">
        <v>-17.770299999999899</v>
      </c>
      <c r="AF5780">
        <v>8.8914535025857404</v>
      </c>
      <c r="AG5780">
        <v>-1.1129555199799901</v>
      </c>
      <c r="AH5780">
        <v>15.3056939374601</v>
      </c>
      <c r="AI5780">
        <v>93.597771036083898</v>
      </c>
      <c r="AJ5780">
        <v>59.846643922309298</v>
      </c>
      <c r="AK5780">
        <v>17.735864294849002</v>
      </c>
      <c r="AL5780">
        <v>84.311938663663796</v>
      </c>
      <c r="AM5780">
        <v>72.1235828533909</v>
      </c>
      <c r="AN5780">
        <v>1.0000000114446399</v>
      </c>
    </row>
    <row r="5781" spans="1:40" x14ac:dyDescent="0.25">
      <c r="A5781" t="str">
        <f>"20190303162028471"</f>
        <v>20190303162028471</v>
      </c>
      <c r="B5781" t="str">
        <f>"1551601228457816"</f>
        <v>1551601228457816</v>
      </c>
      <c r="C5781" t="s">
        <v>40</v>
      </c>
      <c r="D5781">
        <v>5.0785689999999999</v>
      </c>
      <c r="E5781">
        <v>0.57500459999999998</v>
      </c>
      <c r="F5781" t="s">
        <v>41</v>
      </c>
      <c r="G5781">
        <v>-194.40989999999999</v>
      </c>
      <c r="H5781" s="1">
        <v>-4.0996940000000002E-6</v>
      </c>
      <c r="I5781">
        <v>186.7353</v>
      </c>
      <c r="J5781">
        <v>-194.3349</v>
      </c>
      <c r="K5781">
        <v>1.1130199999999999</v>
      </c>
      <c r="L5781">
        <v>205.57740000000001</v>
      </c>
      <c r="M5781">
        <v>0.4893806</v>
      </c>
      <c r="N5781">
        <v>-1.5946579999999998E-2</v>
      </c>
      <c r="O5781">
        <v>-0.87192449999999999</v>
      </c>
      <c r="P5781">
        <v>0.2053605</v>
      </c>
      <c r="Q5781">
        <v>9.3656959999999997E-2</v>
      </c>
      <c r="R5781">
        <v>-0.97419529999999999</v>
      </c>
      <c r="S5781">
        <v>1.052856E-3</v>
      </c>
      <c r="T5781">
        <v>-0.18153150000000001</v>
      </c>
      <c r="U5781">
        <v>-3.1026609999999999</v>
      </c>
      <c r="V5781">
        <v>0.29992390000000002</v>
      </c>
      <c r="W5781">
        <v>0.10259550000000001</v>
      </c>
      <c r="X5781">
        <v>0.9484302</v>
      </c>
      <c r="Y5781">
        <v>0.4887843</v>
      </c>
      <c r="Z5781">
        <v>2.7552770000000001E-2</v>
      </c>
      <c r="AA5781">
        <v>0.87196949999999995</v>
      </c>
      <c r="AB5781">
        <v>19</v>
      </c>
      <c r="AC5781">
        <v>-7.4999999999988604E-2</v>
      </c>
      <c r="AD5781">
        <v>-1.113024099694</v>
      </c>
      <c r="AE5781">
        <v>-18.842099999999999</v>
      </c>
      <c r="AF5781">
        <v>9.2552387993317193</v>
      </c>
      <c r="AG5781">
        <v>-1.113024099694</v>
      </c>
      <c r="AH5781">
        <v>16.337263382956799</v>
      </c>
      <c r="AI5781">
        <v>93.392339642924895</v>
      </c>
      <c r="AJ5781">
        <v>60.4679709973367</v>
      </c>
      <c r="AK5781">
        <v>18.809690128315701</v>
      </c>
      <c r="AL5781">
        <v>84.111349459433598</v>
      </c>
      <c r="AM5781">
        <v>72.451383189650599</v>
      </c>
      <c r="AN5781">
        <v>1.0000000133417499</v>
      </c>
    </row>
    <row r="5782" spans="1:40" x14ac:dyDescent="0.25">
      <c r="A5782" t="str">
        <f>"20190303162028493"</f>
        <v>20190303162028493</v>
      </c>
      <c r="B5782" t="str">
        <f>"1551601228478313"</f>
        <v>1551601228478313</v>
      </c>
      <c r="C5782" t="s">
        <v>40</v>
      </c>
      <c r="D5782">
        <v>5.1514030000000002</v>
      </c>
      <c r="E5782">
        <v>0.57293909999999904</v>
      </c>
      <c r="F5782" t="s">
        <v>41</v>
      </c>
      <c r="G5782">
        <v>-194.11150000000001</v>
      </c>
      <c r="H5782" s="1">
        <v>-3.8599220000000003E-6</v>
      </c>
      <c r="I5782">
        <v>186.18620000000001</v>
      </c>
      <c r="J5782">
        <v>-194.25729999999999</v>
      </c>
      <c r="K5782">
        <v>1.113097</v>
      </c>
      <c r="L5782">
        <v>205.39830000000001</v>
      </c>
      <c r="M5782">
        <v>0.47467769999999998</v>
      </c>
      <c r="N5782">
        <v>-1.594899E-2</v>
      </c>
      <c r="O5782">
        <v>-0.8800154</v>
      </c>
      <c r="P5782">
        <v>0.19465540000000001</v>
      </c>
      <c r="Q5782">
        <v>9.7572099999999995E-2</v>
      </c>
      <c r="R5782">
        <v>-0.97600699999999996</v>
      </c>
      <c r="S5782">
        <v>3.5583499999999997E-2</v>
      </c>
      <c r="T5782">
        <v>-0.17730470000000001</v>
      </c>
      <c r="U5782">
        <v>-3.0890200000000001</v>
      </c>
      <c r="V5782">
        <v>0.29428609999999999</v>
      </c>
      <c r="W5782">
        <v>0.1066947</v>
      </c>
      <c r="X5782">
        <v>0.94974309999999995</v>
      </c>
      <c r="Y5782">
        <v>0.46424090000000001</v>
      </c>
      <c r="Z5782">
        <v>2.7856579999999999E-2</v>
      </c>
      <c r="AA5782">
        <v>0.88527080000000002</v>
      </c>
      <c r="AB5782">
        <v>19</v>
      </c>
      <c r="AC5782">
        <v>0.145799999999979</v>
      </c>
      <c r="AD5782">
        <v>-1.113100859922</v>
      </c>
      <c r="AE5782">
        <v>-19.2120999999999</v>
      </c>
      <c r="AF5782">
        <v>8.9623086749287406</v>
      </c>
      <c r="AG5782">
        <v>-1.113100859922</v>
      </c>
      <c r="AH5782">
        <v>16.9215100059028</v>
      </c>
      <c r="AI5782">
        <v>93.326876170701993</v>
      </c>
      <c r="AJ5782">
        <v>62.092515493814503</v>
      </c>
      <c r="AK5782">
        <v>19.180705701014499</v>
      </c>
      <c r="AL5782">
        <v>83.875185796166406</v>
      </c>
      <c r="AM5782">
        <v>72.783953623536902</v>
      </c>
      <c r="AN5782">
        <v>1.0000000118294501</v>
      </c>
    </row>
    <row r="5783" spans="1:40" x14ac:dyDescent="0.25">
      <c r="A5783" t="str">
        <f>"20190303162028516"</f>
        <v>20190303162028516</v>
      </c>
      <c r="B5783" t="str">
        <f>"1551601228508569"</f>
        <v>1551601228508569</v>
      </c>
      <c r="C5783" t="s">
        <v>40</v>
      </c>
      <c r="D5783">
        <v>4.9096900000000003</v>
      </c>
      <c r="E5783">
        <v>0.57622090000000004</v>
      </c>
      <c r="F5783" t="s">
        <v>41</v>
      </c>
      <c r="G5783">
        <v>-194.14340000000001</v>
      </c>
      <c r="H5783" s="1">
        <v>-3.462874E-6</v>
      </c>
      <c r="I5783">
        <v>185.09129999999999</v>
      </c>
      <c r="J5783">
        <v>-194.18289999999999</v>
      </c>
      <c r="K5783">
        <v>1.1131789999999999</v>
      </c>
      <c r="L5783">
        <v>205.2183</v>
      </c>
      <c r="M5783">
        <v>0.45987670000000003</v>
      </c>
      <c r="N5783">
        <v>-1.594769E-2</v>
      </c>
      <c r="O5783">
        <v>-0.88783979999999996</v>
      </c>
      <c r="P5783">
        <v>0.18544250000000001</v>
      </c>
      <c r="Q5783">
        <v>0.10065789999999999</v>
      </c>
      <c r="R5783">
        <v>-0.97748659999999998</v>
      </c>
      <c r="S5783">
        <v>1.7318730000000001E-2</v>
      </c>
      <c r="T5783">
        <v>-0.1692206</v>
      </c>
      <c r="U5783">
        <v>-3.0872039999999998</v>
      </c>
      <c r="V5783">
        <v>0.28722569999999997</v>
      </c>
      <c r="W5783">
        <v>0.10999630000000001</v>
      </c>
      <c r="X5783">
        <v>0.95152619999999999</v>
      </c>
      <c r="Y5783">
        <v>0.4546405</v>
      </c>
      <c r="Z5783">
        <v>2.6640960000000002E-2</v>
      </c>
      <c r="AA5783">
        <v>0.89027649999999903</v>
      </c>
      <c r="AB5783">
        <v>19</v>
      </c>
      <c r="AC5783">
        <v>3.9499999999975402E-2</v>
      </c>
      <c r="AD5783">
        <v>-1.1131824628739999</v>
      </c>
      <c r="AE5783">
        <v>-20.126999999999999</v>
      </c>
      <c r="AF5783">
        <v>9.1939157633212503</v>
      </c>
      <c r="AG5783">
        <v>-1.1131824628739999</v>
      </c>
      <c r="AH5783">
        <v>17.835430393776999</v>
      </c>
      <c r="AI5783">
        <v>93.175342785046894</v>
      </c>
      <c r="AJ5783">
        <v>62.729525622334997</v>
      </c>
      <c r="AK5783">
        <v>20.096513120189801</v>
      </c>
      <c r="AL5783">
        <v>83.684897396054694</v>
      </c>
      <c r="AM5783">
        <v>73.203145409150395</v>
      </c>
      <c r="AN5783">
        <v>0.99999994902030798</v>
      </c>
    </row>
    <row r="5784" spans="1:40" x14ac:dyDescent="0.25">
      <c r="A5784" t="str">
        <f>"20190303162028538"</f>
        <v>20190303162028538</v>
      </c>
      <c r="B5784" t="str">
        <f>"1551601228528090"</f>
        <v>1551601228528090</v>
      </c>
      <c r="C5784" t="s">
        <v>40</v>
      </c>
      <c r="D5784">
        <v>4.9621459999999997</v>
      </c>
      <c r="E5784">
        <v>0.57587519999999903</v>
      </c>
      <c r="F5784" t="s">
        <v>50</v>
      </c>
      <c r="G5784">
        <v>-195.12450000000001</v>
      </c>
      <c r="H5784" s="1">
        <v>-5.8152970000000002E-6</v>
      </c>
      <c r="I5784">
        <v>130.12629999999999</v>
      </c>
      <c r="J5784">
        <v>-194.11269999999999</v>
      </c>
      <c r="K5784">
        <v>1.1132610000000001</v>
      </c>
      <c r="L5784">
        <v>205.0401</v>
      </c>
      <c r="M5784">
        <v>0.44521290000000002</v>
      </c>
      <c r="N5784">
        <v>-1.59434E-2</v>
      </c>
      <c r="O5784">
        <v>-0.89528289999999999</v>
      </c>
      <c r="P5784">
        <v>0.17689769999999999</v>
      </c>
      <c r="Q5784">
        <v>0.1046721</v>
      </c>
      <c r="R5784">
        <v>-0.97864770000000001</v>
      </c>
      <c r="S5784">
        <v>-3.8635250000000003E-2</v>
      </c>
      <c r="T5784">
        <v>-4.567599E-2</v>
      </c>
      <c r="U5784">
        <v>-3.0811609999999998</v>
      </c>
      <c r="V5784">
        <v>0.279746299999999</v>
      </c>
      <c r="W5784">
        <v>0.1142266</v>
      </c>
      <c r="X5784">
        <v>0.95325459999999995</v>
      </c>
      <c r="Y5784">
        <v>0.45634340000000001</v>
      </c>
      <c r="Z5784">
        <v>-4.3127390000000003E-3</v>
      </c>
      <c r="AA5784">
        <v>0.88979330000000001</v>
      </c>
      <c r="AB5784">
        <v>19</v>
      </c>
      <c r="AC5784">
        <v>-1.01180000000002</v>
      </c>
      <c r="AD5784">
        <v>-1.113266815297</v>
      </c>
      <c r="AE5784">
        <v>-74.913799999999995</v>
      </c>
      <c r="AF5784">
        <v>34.2552255876614</v>
      </c>
      <c r="AG5784">
        <v>-1.113266815297</v>
      </c>
      <c r="AH5784">
        <v>66.612332073876004</v>
      </c>
      <c r="AI5784">
        <v>90.851499440780998</v>
      </c>
      <c r="AJ5784">
        <v>62.785619773935601</v>
      </c>
      <c r="AK5784">
        <v>74.912366318145004</v>
      </c>
      <c r="AL5784">
        <v>83.440981591847901</v>
      </c>
      <c r="AM5784">
        <v>73.644913498182106</v>
      </c>
      <c r="AN5784">
        <v>1.0000000204662001</v>
      </c>
    </row>
    <row r="5785" spans="1:40" x14ac:dyDescent="0.25">
      <c r="A5785" t="str">
        <f>"20190303162028560"</f>
        <v>20190303162028560</v>
      </c>
      <c r="B5785" t="str">
        <f>"1551601228548585"</f>
        <v>1551601228548585</v>
      </c>
      <c r="C5785" t="s">
        <v>40</v>
      </c>
      <c r="D5785">
        <v>4.9740140000000004</v>
      </c>
      <c r="E5785">
        <v>0.57494650000000003</v>
      </c>
      <c r="F5785" t="s">
        <v>41</v>
      </c>
      <c r="G5785">
        <v>-196.6508</v>
      </c>
      <c r="H5785" s="1">
        <v>-2.5282779999999998E-6</v>
      </c>
      <c r="I5785">
        <v>81.357590000000002</v>
      </c>
      <c r="J5785">
        <v>-194.047</v>
      </c>
      <c r="K5785">
        <v>1.113337</v>
      </c>
      <c r="L5785">
        <v>204.86519999999999</v>
      </c>
      <c r="M5785">
        <v>0.43080819999999997</v>
      </c>
      <c r="N5785">
        <v>-1.593673E-2</v>
      </c>
      <c r="O5785">
        <v>-0.90230270000000001</v>
      </c>
      <c r="P5785">
        <v>0.16929379999999999</v>
      </c>
      <c r="Q5785">
        <v>0.1087413</v>
      </c>
      <c r="R5785">
        <v>-0.97954870000000005</v>
      </c>
      <c r="S5785">
        <v>-6.3201900000000005E-2</v>
      </c>
      <c r="T5785">
        <v>-2.7721639999999999E-2</v>
      </c>
      <c r="U5785">
        <v>-3.0798489999999998</v>
      </c>
      <c r="V5785">
        <v>0.27172590000000002</v>
      </c>
      <c r="W5785">
        <v>0.1185151</v>
      </c>
      <c r="X5785">
        <v>0.95504929999999999</v>
      </c>
      <c r="Y5785">
        <v>0.44919439999999999</v>
      </c>
      <c r="Z5785">
        <v>-8.8105019999999996E-3</v>
      </c>
      <c r="AA5785">
        <v>0.89339059999999904</v>
      </c>
      <c r="AB5785">
        <v>19</v>
      </c>
      <c r="AC5785">
        <v>-2.6038000000000001</v>
      </c>
      <c r="AD5785">
        <v>-1.1133395282780001</v>
      </c>
      <c r="AE5785">
        <v>-123.50761</v>
      </c>
      <c r="AF5785">
        <v>55.5600550365073</v>
      </c>
      <c r="AG5785">
        <v>-1.1133395282780001</v>
      </c>
      <c r="AH5785">
        <v>110.324571328784</v>
      </c>
      <c r="AI5785">
        <v>90.516396827939602</v>
      </c>
      <c r="AJ5785">
        <v>63.269925764948297</v>
      </c>
      <c r="AK5785">
        <v>123.530037964233</v>
      </c>
      <c r="AL5785">
        <v>83.193587331725297</v>
      </c>
      <c r="AM5785">
        <v>74.118149564678106</v>
      </c>
      <c r="AN5785">
        <v>0.99999997954465403</v>
      </c>
    </row>
    <row r="5786" spans="1:40" x14ac:dyDescent="0.25">
      <c r="A5786" t="str">
        <f>"20190303162028583"</f>
        <v>20190303162028583</v>
      </c>
      <c r="B5786" t="str">
        <f>"1551601228577865"</f>
        <v>1551601228577865</v>
      </c>
      <c r="C5786" t="s">
        <v>40</v>
      </c>
      <c r="D5786">
        <v>5.0045679999999999</v>
      </c>
      <c r="E5786">
        <v>0.57319719999999996</v>
      </c>
      <c r="F5786" t="s">
        <v>41</v>
      </c>
      <c r="G5786">
        <v>-199.4949</v>
      </c>
      <c r="H5786" s="1">
        <v>-4.7626930000000002E-6</v>
      </c>
      <c r="I5786">
        <v>-3.9670350000000001</v>
      </c>
      <c r="J5786">
        <v>-193.98070000000001</v>
      </c>
      <c r="K5786">
        <v>1.11341</v>
      </c>
      <c r="L5786">
        <v>204.6797</v>
      </c>
      <c r="M5786">
        <v>0.41551969999999999</v>
      </c>
      <c r="N5786">
        <v>-1.592789E-2</v>
      </c>
      <c r="O5786">
        <v>-0.90944460000000005</v>
      </c>
      <c r="P5786">
        <v>0.1601892</v>
      </c>
      <c r="Q5786">
        <v>0.1122913</v>
      </c>
      <c r="R5786">
        <v>-0.98067850000000001</v>
      </c>
      <c r="S5786">
        <v>-8.0307009999999998E-2</v>
      </c>
      <c r="T5786">
        <v>-1.6411539999999999E-2</v>
      </c>
      <c r="U5786">
        <v>-3.078354</v>
      </c>
      <c r="V5786">
        <v>0.264349</v>
      </c>
      <c r="W5786">
        <v>0.1222622</v>
      </c>
      <c r="X5786">
        <v>0.956646</v>
      </c>
      <c r="Y5786">
        <v>0.43907400000000002</v>
      </c>
      <c r="Z5786">
        <v>-1.168374E-2</v>
      </c>
      <c r="AA5786">
        <v>0.89837489999999998</v>
      </c>
      <c r="AB5786">
        <v>18</v>
      </c>
      <c r="AC5786">
        <v>-5.5141999999999802</v>
      </c>
      <c r="AD5786">
        <v>-1.113414762693</v>
      </c>
      <c r="AE5786">
        <v>-208.64673500000001</v>
      </c>
      <c r="AF5786">
        <v>91.720723004310202</v>
      </c>
      <c r="AG5786">
        <v>-1.113414762693</v>
      </c>
      <c r="AH5786">
        <v>187.47985523871199</v>
      </c>
      <c r="AI5786">
        <v>90.305650167109704</v>
      </c>
      <c r="AJ5786">
        <v>63.930744260104902</v>
      </c>
      <c r="AK5786">
        <v>208.71661850747699</v>
      </c>
      <c r="AL5786">
        <v>82.977321415210994</v>
      </c>
      <c r="AM5786">
        <v>74.552982228470299</v>
      </c>
      <c r="AN5786">
        <v>1.00000000433291</v>
      </c>
    </row>
    <row r="5787" spans="1:40" x14ac:dyDescent="0.25">
      <c r="A5787" t="str">
        <f>"20190303162028605"</f>
        <v>20190303162028605</v>
      </c>
      <c r="B5787" t="str">
        <f>"1551601228598361"</f>
        <v>1551601228598361</v>
      </c>
      <c r="C5787" t="s">
        <v>40</v>
      </c>
      <c r="D5787">
        <v>5.0121729999999998</v>
      </c>
      <c r="E5787">
        <v>0.57263149999999996</v>
      </c>
      <c r="F5787" t="s">
        <v>41</v>
      </c>
      <c r="G5787">
        <v>-199.98560000000001</v>
      </c>
      <c r="H5787">
        <v>7.7847150000000004E-2</v>
      </c>
      <c r="I5787">
        <v>10.928750000000001</v>
      </c>
      <c r="J5787">
        <v>-193.92009999999999</v>
      </c>
      <c r="K5787">
        <v>1.113467</v>
      </c>
      <c r="L5787">
        <v>204.5009</v>
      </c>
      <c r="M5787">
        <v>0.40076970000000001</v>
      </c>
      <c r="N5787">
        <v>-1.591822E-2</v>
      </c>
      <c r="O5787">
        <v>-0.91604070000000004</v>
      </c>
      <c r="P5787">
        <v>0.1524316</v>
      </c>
      <c r="Q5787">
        <v>0.1166316</v>
      </c>
      <c r="R5787">
        <v>-0.98140830000000001</v>
      </c>
      <c r="S5787">
        <v>-9.535217E-2</v>
      </c>
      <c r="T5787">
        <v>-1.6443610000000001E-2</v>
      </c>
      <c r="U5787">
        <v>-3.0765530000000001</v>
      </c>
      <c r="V5787">
        <v>0.2563009</v>
      </c>
      <c r="W5787">
        <v>0.126808</v>
      </c>
      <c r="X5787">
        <v>0.95824299999999996</v>
      </c>
      <c r="Y5787">
        <v>0.42893330000000002</v>
      </c>
      <c r="Z5787">
        <v>-1.161036E-2</v>
      </c>
      <c r="AA5787">
        <v>0.90326150000000005</v>
      </c>
      <c r="AB5787">
        <v>18</v>
      </c>
      <c r="AC5787">
        <v>-6.0655000000000099</v>
      </c>
      <c r="AD5787">
        <v>-1.03561985</v>
      </c>
      <c r="AE5787">
        <v>-193.57214999999999</v>
      </c>
      <c r="AF5787">
        <v>83.142241836159599</v>
      </c>
      <c r="AG5787">
        <v>-1.03561985</v>
      </c>
      <c r="AH5787">
        <v>174.906232717373</v>
      </c>
      <c r="AI5787">
        <v>90.306390503885297</v>
      </c>
      <c r="AJ5787">
        <v>64.575771502833305</v>
      </c>
      <c r="AK5787">
        <v>193.66438787087299</v>
      </c>
      <c r="AL5787">
        <v>82.714822737245299</v>
      </c>
      <c r="AM5787">
        <v>75.025639408844896</v>
      </c>
      <c r="AN5787">
        <v>1.0000000336268999</v>
      </c>
    </row>
    <row r="5788" spans="1:40" x14ac:dyDescent="0.25">
      <c r="A5788" t="str">
        <f>"20190303162028626"</f>
        <v>20190303162028626</v>
      </c>
      <c r="B5788" t="str">
        <f>"1551601228617881"</f>
        <v>1551601228617881</v>
      </c>
      <c r="C5788" t="s">
        <v>40</v>
      </c>
      <c r="D5788">
        <v>5.0161660000000001</v>
      </c>
      <c r="E5788">
        <v>0.56458030000000003</v>
      </c>
      <c r="F5788" t="s">
        <v>48</v>
      </c>
      <c r="G5788">
        <v>-204.5429</v>
      </c>
      <c r="H5788">
        <v>0.38290600000000002</v>
      </c>
      <c r="I5788">
        <v>-80.948759999999993</v>
      </c>
      <c r="J5788">
        <v>-193.86340000000001</v>
      </c>
      <c r="K5788">
        <v>1.113523</v>
      </c>
      <c r="L5788">
        <v>204.32400000000001</v>
      </c>
      <c r="M5788">
        <v>0.38616850000000003</v>
      </c>
      <c r="N5788">
        <v>-1.5907080000000001E-2</v>
      </c>
      <c r="O5788">
        <v>-0.92229119999999998</v>
      </c>
      <c r="P5788">
        <v>0.14748159999999999</v>
      </c>
      <c r="Q5788">
        <v>0.1197366</v>
      </c>
      <c r="R5788">
        <v>-0.98179059999999996</v>
      </c>
      <c r="S5788">
        <v>-0.11445619999999999</v>
      </c>
      <c r="T5788">
        <v>-7.8713889999999995E-3</v>
      </c>
      <c r="U5788">
        <v>-3.075577</v>
      </c>
      <c r="V5788">
        <v>0.24578120000000001</v>
      </c>
      <c r="W5788">
        <v>0.13017590000000001</v>
      </c>
      <c r="X5788">
        <v>0.96054459999999997</v>
      </c>
      <c r="Y5788">
        <v>0.42018759999999999</v>
      </c>
      <c r="Z5788">
        <v>-1.3885140000000001E-2</v>
      </c>
      <c r="AA5788">
        <v>0.907331</v>
      </c>
      <c r="AB5788">
        <v>18</v>
      </c>
      <c r="AC5788">
        <v>-10.6794999999999</v>
      </c>
      <c r="AD5788">
        <v>-0.73061699999999996</v>
      </c>
      <c r="AE5788">
        <v>-285.27276000000001</v>
      </c>
      <c r="AF5788">
        <v>120.027350931071</v>
      </c>
      <c r="AG5788">
        <v>-0.73061699999999996</v>
      </c>
      <c r="AH5788">
        <v>259.01151857557397</v>
      </c>
      <c r="AI5788">
        <v>90.146639134146696</v>
      </c>
      <c r="AJ5788">
        <v>65.136736321504401</v>
      </c>
      <c r="AK5788">
        <v>285.47165450803698</v>
      </c>
      <c r="AL5788">
        <v>82.520243326268101</v>
      </c>
      <c r="AM5788">
        <v>75.647281534777093</v>
      </c>
      <c r="AN5788">
        <v>1.0000000459017</v>
      </c>
    </row>
    <row r="5789" spans="1:40" x14ac:dyDescent="0.25">
      <c r="A5789" t="str">
        <f>"20190303162028650"</f>
        <v>20190303162028650</v>
      </c>
      <c r="B5789" t="str">
        <f>"1551601228638378"</f>
        <v>1551601228638378</v>
      </c>
      <c r="C5789" t="s">
        <v>40</v>
      </c>
      <c r="D5789">
        <v>5.0575530000000004</v>
      </c>
      <c r="E5789">
        <v>0.55726379999999998</v>
      </c>
      <c r="F5789" t="s">
        <v>41</v>
      </c>
      <c r="G5789">
        <v>-195.85740000000001</v>
      </c>
      <c r="H5789" s="1">
        <v>-2.5165099999999998E-6</v>
      </c>
      <c r="I5789">
        <v>111.8222</v>
      </c>
      <c r="J5789">
        <v>-193.80709999999999</v>
      </c>
      <c r="K5789">
        <v>1.11358</v>
      </c>
      <c r="L5789">
        <v>204.13749999999999</v>
      </c>
      <c r="M5789">
        <v>0.3707722</v>
      </c>
      <c r="N5789">
        <v>-1.589374E-2</v>
      </c>
      <c r="O5789">
        <v>-0.92858819999999997</v>
      </c>
      <c r="P5789">
        <v>0.1450951</v>
      </c>
      <c r="Q5789">
        <v>0.12103999999999999</v>
      </c>
      <c r="R5789">
        <v>-0.98198629999999998</v>
      </c>
      <c r="S5789">
        <v>-6.6177369999999999E-2</v>
      </c>
      <c r="T5789">
        <v>-3.6957499999999997E-2</v>
      </c>
      <c r="U5789">
        <v>-3.0700989999999999</v>
      </c>
      <c r="V5789">
        <v>0.2320374</v>
      </c>
      <c r="W5789">
        <v>0.1318172</v>
      </c>
      <c r="X5789">
        <v>0.96373390000000003</v>
      </c>
      <c r="Y5789">
        <v>0.39065739999999999</v>
      </c>
      <c r="Z5789">
        <v>-5.6913830000000004E-3</v>
      </c>
      <c r="AA5789">
        <v>0.92051859999999996</v>
      </c>
      <c r="AB5789">
        <v>18</v>
      </c>
      <c r="AC5789">
        <v>-2.05030000000002</v>
      </c>
      <c r="AD5789">
        <v>-1.11358251651</v>
      </c>
      <c r="AE5789">
        <v>-92.315299999999993</v>
      </c>
      <c r="AF5789">
        <v>36.1311285728762</v>
      </c>
      <c r="AG5789">
        <v>-1.11358251651</v>
      </c>
      <c r="AH5789">
        <v>84.9610516716223</v>
      </c>
      <c r="AI5789">
        <v>90.691045055818805</v>
      </c>
      <c r="AJ5789">
        <v>66.961553422695005</v>
      </c>
      <c r="AK5789">
        <v>92.331353391569394</v>
      </c>
      <c r="AL5789">
        <v>82.425386614093895</v>
      </c>
      <c r="AM5789">
        <v>76.462604625661299</v>
      </c>
      <c r="AN5789">
        <v>1.0000000796119</v>
      </c>
    </row>
    <row r="5790" spans="1:40" x14ac:dyDescent="0.25">
      <c r="A5790" t="str">
        <f>"20190303162028671"</f>
        <v>20190303162028671</v>
      </c>
      <c r="B5790" t="str">
        <f>"1551601228668633"</f>
        <v>1551601228668633</v>
      </c>
      <c r="C5790" t="s">
        <v>40</v>
      </c>
      <c r="D5790">
        <v>5.0543120000000004</v>
      </c>
      <c r="E5790">
        <v>0.54021730000000001</v>
      </c>
      <c r="F5790" t="s">
        <v>41</v>
      </c>
      <c r="G5790">
        <v>-193.9983</v>
      </c>
      <c r="H5790" s="1">
        <v>-5.0770069999999998E-6</v>
      </c>
      <c r="I5790">
        <v>168.66</v>
      </c>
      <c r="J5790">
        <v>-193.75530000000001</v>
      </c>
      <c r="K5790">
        <v>1.113637</v>
      </c>
      <c r="L5790">
        <v>203.95590000000001</v>
      </c>
      <c r="M5790">
        <v>0.35576819999999998</v>
      </c>
      <c r="N5790">
        <v>-1.5878670000000001E-2</v>
      </c>
      <c r="O5790">
        <v>-0.93443929999999997</v>
      </c>
      <c r="P5790">
        <v>0.14342179999999999</v>
      </c>
      <c r="Q5790">
        <v>0.1210248</v>
      </c>
      <c r="R5790">
        <v>-0.9822341</v>
      </c>
      <c r="S5790">
        <v>-1.6540530000000001E-2</v>
      </c>
      <c r="T5790">
        <v>-9.6342330000000004E-2</v>
      </c>
      <c r="U5790">
        <v>-3.0693510000000002</v>
      </c>
      <c r="V5790">
        <v>0.2180909</v>
      </c>
      <c r="W5790">
        <v>0.1321415</v>
      </c>
      <c r="X5790">
        <v>0.9669411</v>
      </c>
      <c r="Y5790">
        <v>0.3606993</v>
      </c>
      <c r="Z5790">
        <v>1.1346449999999999E-2</v>
      </c>
      <c r="AA5790">
        <v>0.93261320000000003</v>
      </c>
      <c r="AB5790">
        <v>18</v>
      </c>
      <c r="AC5790">
        <v>-0.242999999999995</v>
      </c>
      <c r="AD5790">
        <v>-1.1136420770069999</v>
      </c>
      <c r="AE5790">
        <v>-35.295900000000003</v>
      </c>
      <c r="AF5790">
        <v>12.7731247580586</v>
      </c>
      <c r="AG5790">
        <v>-1.1136420770069999</v>
      </c>
      <c r="AH5790">
        <v>32.866855510596103</v>
      </c>
      <c r="AI5790">
        <v>91.808928852773704</v>
      </c>
      <c r="AJ5790">
        <v>68.762261063040199</v>
      </c>
      <c r="AK5790">
        <v>35.279216344967402</v>
      </c>
      <c r="AL5790">
        <v>82.406641424427207</v>
      </c>
      <c r="AM5790">
        <v>77.289776097258695</v>
      </c>
      <c r="AN5790">
        <v>1.0000000537771301</v>
      </c>
    </row>
    <row r="5791" spans="1:40" x14ac:dyDescent="0.25">
      <c r="A5791" t="str">
        <f>"20190303162028694"</f>
        <v>20190303162028694</v>
      </c>
      <c r="B5791" t="str">
        <f>"1551601228688153"</f>
        <v>1551601228688153</v>
      </c>
      <c r="C5791" t="s">
        <v>40</v>
      </c>
      <c r="D5791">
        <v>5.0547550000000001</v>
      </c>
      <c r="E5791">
        <v>0.53874169999999999</v>
      </c>
      <c r="F5791" t="s">
        <v>50</v>
      </c>
      <c r="G5791">
        <v>-191.51240000000001</v>
      </c>
      <c r="H5791" s="1">
        <v>-9.1955039999999996E-6</v>
      </c>
      <c r="I5791">
        <v>142.91290000000001</v>
      </c>
      <c r="J5791">
        <v>-193.7063</v>
      </c>
      <c r="K5791">
        <v>1.113702</v>
      </c>
      <c r="L5791">
        <v>203.77279999999999</v>
      </c>
      <c r="M5791">
        <v>0.34066469999999999</v>
      </c>
      <c r="N5791">
        <v>-1.5860039999999999E-2</v>
      </c>
      <c r="O5791">
        <v>-0.94005110000000003</v>
      </c>
      <c r="P5791">
        <v>0.1357641</v>
      </c>
      <c r="Q5791">
        <v>0.11957569999999999</v>
      </c>
      <c r="R5791">
        <v>-0.98349880000000001</v>
      </c>
      <c r="S5791">
        <v>0.1118774</v>
      </c>
      <c r="T5791">
        <v>-5.554771E-2</v>
      </c>
      <c r="U5791">
        <v>-3.0447690000000001</v>
      </c>
      <c r="V5791">
        <v>0.21003230000000001</v>
      </c>
      <c r="W5791">
        <v>0.1308955</v>
      </c>
      <c r="X5791">
        <v>0.96889259999999999</v>
      </c>
      <c r="Y5791">
        <v>0.30586980000000002</v>
      </c>
      <c r="Z5791">
        <v>4.0707889999999999E-4</v>
      </c>
      <c r="AA5791">
        <v>0.95207330000000001</v>
      </c>
      <c r="AB5791">
        <v>18</v>
      </c>
      <c r="AC5791">
        <v>2.1938999999999802</v>
      </c>
      <c r="AD5791">
        <v>-1.113711195504</v>
      </c>
      <c r="AE5791">
        <v>-60.859899999999897</v>
      </c>
      <c r="AF5791">
        <v>18.666546792391301</v>
      </c>
      <c r="AG5791">
        <v>-1.113711195504</v>
      </c>
      <c r="AH5791">
        <v>57.946709956051698</v>
      </c>
      <c r="AI5791">
        <v>91.048042194427794</v>
      </c>
      <c r="AJ5791">
        <v>72.144537911443393</v>
      </c>
      <c r="AK5791">
        <v>60.889256166505398</v>
      </c>
      <c r="AL5791">
        <v>82.478657374267996</v>
      </c>
      <c r="AM5791">
        <v>77.768914471527196</v>
      </c>
      <c r="AN5791">
        <v>1.00000003464914</v>
      </c>
    </row>
    <row r="5792" spans="1:40" x14ac:dyDescent="0.25">
      <c r="A5792" t="str">
        <f>"20190303162028717"</f>
        <v>20190303162028717</v>
      </c>
      <c r="B5792" t="str">
        <f>"1551601228708649"</f>
        <v>1551601228708649</v>
      </c>
      <c r="C5792" t="s">
        <v>40</v>
      </c>
      <c r="D5792">
        <v>5.016159</v>
      </c>
      <c r="E5792">
        <v>0.53800139999999996</v>
      </c>
      <c r="F5792" t="s">
        <v>50</v>
      </c>
      <c r="G5792">
        <v>-191.80350000000001</v>
      </c>
      <c r="H5792" s="1">
        <v>-9.9588470000000005E-6</v>
      </c>
      <c r="I5792">
        <v>145.61170000000001</v>
      </c>
      <c r="J5792">
        <v>-193.65899999999999</v>
      </c>
      <c r="K5792">
        <v>1.113788</v>
      </c>
      <c r="L5792">
        <v>203.58430000000001</v>
      </c>
      <c r="M5792">
        <v>0.32517160000000001</v>
      </c>
      <c r="N5792">
        <v>-1.5835459999999999E-2</v>
      </c>
      <c r="O5792">
        <v>-0.94552270000000005</v>
      </c>
      <c r="P5792">
        <v>0.1333095</v>
      </c>
      <c r="Q5792">
        <v>0.1195335</v>
      </c>
      <c r="R5792">
        <v>-0.98384000000000005</v>
      </c>
      <c r="S5792">
        <v>9.9578860000000005E-2</v>
      </c>
      <c r="T5792">
        <v>-5.8282489999999999E-2</v>
      </c>
      <c r="U5792">
        <v>-3.0436709999999998</v>
      </c>
      <c r="V5792">
        <v>0.1964573</v>
      </c>
      <c r="W5792">
        <v>0.13117719999999999</v>
      </c>
      <c r="X5792">
        <v>0.97169799999999995</v>
      </c>
      <c r="Y5792">
        <v>0.29403249999999997</v>
      </c>
      <c r="Z5792">
        <v>1.4109019999999999E-3</v>
      </c>
      <c r="AA5792">
        <v>0.95579440000000004</v>
      </c>
      <c r="AB5792">
        <v>18</v>
      </c>
      <c r="AC5792">
        <v>1.8554999999999999</v>
      </c>
      <c r="AD5792">
        <v>-1.1137979588469999</v>
      </c>
      <c r="AE5792">
        <v>-57.9726</v>
      </c>
      <c r="AF5792">
        <v>17.092462673401698</v>
      </c>
      <c r="AG5792">
        <v>-1.1137979588469999</v>
      </c>
      <c r="AH5792">
        <v>55.404270869959298</v>
      </c>
      <c r="AI5792">
        <v>91.100501497447496</v>
      </c>
      <c r="AJ5792">
        <v>72.854774189771106</v>
      </c>
      <c r="AK5792">
        <v>57.991603329849298</v>
      </c>
      <c r="AL5792">
        <v>82.462376253781102</v>
      </c>
      <c r="AM5792">
        <v>78.570051344193899</v>
      </c>
      <c r="AN5792">
        <v>0.99999996586356399</v>
      </c>
    </row>
    <row r="5793" spans="1:40" x14ac:dyDescent="0.25">
      <c r="A5793" t="str">
        <f>"20190303162028739"</f>
        <v>20190303162028739</v>
      </c>
      <c r="B5793" t="str">
        <f>"1551601228728169"</f>
        <v>1551601228728169</v>
      </c>
      <c r="C5793" t="s">
        <v>40</v>
      </c>
      <c r="D5793">
        <v>5.0185370000000002</v>
      </c>
      <c r="E5793">
        <v>0.53772030000000004</v>
      </c>
      <c r="F5793" t="s">
        <v>50</v>
      </c>
      <c r="G5793">
        <v>-191.86869999999999</v>
      </c>
      <c r="H5793" s="1">
        <v>-1.05291899999999E-5</v>
      </c>
      <c r="I5793">
        <v>147.73050000000001</v>
      </c>
      <c r="J5793">
        <v>-193.6156</v>
      </c>
      <c r="K5793">
        <v>1.1138939999999999</v>
      </c>
      <c r="L5793">
        <v>203.39940000000001</v>
      </c>
      <c r="M5793">
        <v>0.31004969999999998</v>
      </c>
      <c r="N5793">
        <v>-1.5804260000000001E-2</v>
      </c>
      <c r="O5793">
        <v>-0.95058909999999996</v>
      </c>
      <c r="P5793">
        <v>0.13252809999999901</v>
      </c>
      <c r="Q5793">
        <v>0.120141899999999</v>
      </c>
      <c r="R5793">
        <v>-0.98387150000000001</v>
      </c>
      <c r="S5793">
        <v>9.7549440000000001E-2</v>
      </c>
      <c r="T5793">
        <v>-6.0689930000000003E-2</v>
      </c>
      <c r="U5793">
        <v>-3.0434269999999999</v>
      </c>
      <c r="V5793">
        <v>0.18163609999999999</v>
      </c>
      <c r="W5793">
        <v>0.13213059999999999</v>
      </c>
      <c r="X5793">
        <v>0.97444839999999999</v>
      </c>
      <c r="Y5793">
        <v>0.279391099999999</v>
      </c>
      <c r="Z5793">
        <v>2.3410280000000002E-3</v>
      </c>
      <c r="AA5793">
        <v>0.96017459999999999</v>
      </c>
      <c r="AB5793">
        <v>18</v>
      </c>
      <c r="AC5793">
        <v>1.7469000000000099</v>
      </c>
      <c r="AD5793">
        <v>-1.11390452919</v>
      </c>
      <c r="AE5793">
        <v>-55.668900000000001</v>
      </c>
      <c r="AF5793">
        <v>15.595250556106601</v>
      </c>
      <c r="AG5793">
        <v>-1.11390452919</v>
      </c>
      <c r="AH5793">
        <v>53.445169738721503</v>
      </c>
      <c r="AI5793">
        <v>91.146198869213194</v>
      </c>
      <c r="AJ5793">
        <v>73.732804409065807</v>
      </c>
      <c r="AK5793">
        <v>55.685175689842602</v>
      </c>
      <c r="AL5793">
        <v>82.407270499087204</v>
      </c>
      <c r="AM5793">
        <v>79.441303177734795</v>
      </c>
      <c r="AN5793">
        <v>0.99999992627106205</v>
      </c>
    </row>
    <row r="5794" spans="1:40" x14ac:dyDescent="0.25">
      <c r="A5794" t="str">
        <f>"20190303162028754"</f>
        <v>20190303162028754</v>
      </c>
      <c r="B5794" t="str">
        <f>"1551601228748665"</f>
        <v>1551601228748665</v>
      </c>
      <c r="C5794" t="s">
        <v>40</v>
      </c>
      <c r="D5794">
        <v>5.0036899999999997</v>
      </c>
      <c r="E5794">
        <v>0.53774180000000005</v>
      </c>
      <c r="F5794" t="s">
        <v>50</v>
      </c>
      <c r="G5794">
        <v>-191.85550000000001</v>
      </c>
      <c r="H5794" s="1">
        <v>-1.0629749999999999E-5</v>
      </c>
      <c r="I5794">
        <v>148.1207</v>
      </c>
      <c r="J5794">
        <v>-193.58949999999999</v>
      </c>
      <c r="K5794">
        <v>1.1139779999999999</v>
      </c>
      <c r="L5794">
        <v>203.28149999999999</v>
      </c>
      <c r="M5794">
        <v>0.30047390000000002</v>
      </c>
      <c r="N5794">
        <v>-1.5779599999999901E-2</v>
      </c>
      <c r="O5794">
        <v>-0.95365979999999995</v>
      </c>
      <c r="P5794">
        <v>0.13001079999999901</v>
      </c>
      <c r="Q5794">
        <v>0.120792899999999</v>
      </c>
      <c r="R5794">
        <v>-0.98412750000000004</v>
      </c>
      <c r="S5794">
        <v>9.6908569999999999E-2</v>
      </c>
      <c r="T5794">
        <v>-6.1330559999999999E-2</v>
      </c>
      <c r="U5794">
        <v>-3.0435940000000001</v>
      </c>
      <c r="V5794">
        <v>0.17427179999999901</v>
      </c>
      <c r="W5794">
        <v>0.1329506</v>
      </c>
      <c r="X5794">
        <v>0.97568100000000002</v>
      </c>
      <c r="Y5794">
        <v>0.26992729999999998</v>
      </c>
      <c r="Z5794">
        <v>2.6719059999999999E-3</v>
      </c>
      <c r="AA5794">
        <v>0.96287699999999998</v>
      </c>
      <c r="AB5794">
        <v>18</v>
      </c>
      <c r="AC5794">
        <v>1.73399999999998</v>
      </c>
      <c r="AD5794">
        <v>-1.1139886297499999</v>
      </c>
      <c r="AE5794">
        <v>-55.160800000000002</v>
      </c>
      <c r="AF5794">
        <v>14.9165105772166</v>
      </c>
      <c r="AG5794">
        <v>-1.1139886297499999</v>
      </c>
      <c r="AH5794">
        <v>53.1106194613862</v>
      </c>
      <c r="AI5794">
        <v>91.156847876294805</v>
      </c>
      <c r="AJ5794">
        <v>74.312209638296807</v>
      </c>
      <c r="AK5794">
        <v>55.1768172155626</v>
      </c>
      <c r="AL5794">
        <v>82.359870086644705</v>
      </c>
      <c r="AM5794">
        <v>79.872878423124106</v>
      </c>
      <c r="AN5794">
        <v>0.99999996803829905</v>
      </c>
    </row>
    <row r="5795" spans="1:40" x14ac:dyDescent="0.25">
      <c r="A5795" t="str">
        <f>"20190303162028773"</f>
        <v>20190303162028773</v>
      </c>
      <c r="B5795" t="str">
        <f>"1551601228768185"</f>
        <v>1551601228768185</v>
      </c>
      <c r="C5795" t="s">
        <v>40</v>
      </c>
      <c r="D5795">
        <v>4.9782479999999998</v>
      </c>
      <c r="E5795">
        <v>0.53772010000000003</v>
      </c>
      <c r="F5795" t="s">
        <v>50</v>
      </c>
      <c r="G5795">
        <v>-191.964</v>
      </c>
      <c r="H5795" s="1">
        <v>-1.05468899999999E-5</v>
      </c>
      <c r="I5795">
        <v>147.73349999999999</v>
      </c>
      <c r="J5795">
        <v>-193.55600000000001</v>
      </c>
      <c r="K5795">
        <v>1.1141179999999999</v>
      </c>
      <c r="L5795">
        <v>203.12219999999999</v>
      </c>
      <c r="M5795">
        <v>0.28763369999999999</v>
      </c>
      <c r="N5795">
        <v>-1.574066E-2</v>
      </c>
      <c r="O5795">
        <v>-0.9576112</v>
      </c>
      <c r="P5795">
        <v>0.1309226</v>
      </c>
      <c r="Q5795">
        <v>0.12318900000000001</v>
      </c>
      <c r="R5795">
        <v>-0.98370930000000001</v>
      </c>
      <c r="S5795">
        <v>8.9080809999999996E-2</v>
      </c>
      <c r="T5795">
        <v>-6.1048270000000002E-2</v>
      </c>
      <c r="U5795">
        <v>-3.0441129999999998</v>
      </c>
      <c r="V5795">
        <v>0.16013189999999999</v>
      </c>
      <c r="W5795">
        <v>0.13565669999999999</v>
      </c>
      <c r="X5795">
        <v>0.97772950000000003</v>
      </c>
      <c r="Y5795">
        <v>0.25945699999999999</v>
      </c>
      <c r="Z5795">
        <v>2.7615040000000001E-3</v>
      </c>
      <c r="AA5795">
        <v>0.96575069999999996</v>
      </c>
      <c r="AB5795">
        <v>18</v>
      </c>
      <c r="AC5795">
        <v>1.5919999999999499</v>
      </c>
      <c r="AD5795">
        <v>-1.11412854689</v>
      </c>
      <c r="AE5795">
        <v>-55.3887</v>
      </c>
      <c r="AF5795">
        <v>14.4031012264649</v>
      </c>
      <c r="AG5795">
        <v>-1.11412854689</v>
      </c>
      <c r="AH5795">
        <v>53.483756099720097</v>
      </c>
      <c r="AI5795">
        <v>91.152323507440997</v>
      </c>
      <c r="AJ5795">
        <v>74.927887568200703</v>
      </c>
      <c r="AK5795">
        <v>55.400386044621897</v>
      </c>
      <c r="AL5795">
        <v>82.203404396329503</v>
      </c>
      <c r="AM5795">
        <v>80.698712829615005</v>
      </c>
      <c r="AN5795">
        <v>0.99999997041137401</v>
      </c>
    </row>
    <row r="5796" spans="1:40" x14ac:dyDescent="0.25">
      <c r="A5796" t="str">
        <f>"20190303162028786"</f>
        <v>20190303162028786</v>
      </c>
      <c r="B5796" t="str">
        <f>"1551601228777945"</f>
        <v>1551601228777945</v>
      </c>
      <c r="C5796" t="s">
        <v>40</v>
      </c>
      <c r="D5796">
        <v>4.9696040000000004</v>
      </c>
      <c r="E5796">
        <v>0.53773609999999905</v>
      </c>
      <c r="F5796" t="s">
        <v>50</v>
      </c>
      <c r="G5796">
        <v>-191.70249999999999</v>
      </c>
      <c r="H5796" s="1">
        <v>-9.0116550000000007E-6</v>
      </c>
      <c r="I5796">
        <v>142.08789999999999</v>
      </c>
      <c r="J5796">
        <v>-193.5341</v>
      </c>
      <c r="K5796">
        <v>1.1142209999999999</v>
      </c>
      <c r="L5796">
        <v>203.0129</v>
      </c>
      <c r="M5796">
        <v>0.278891099999999</v>
      </c>
      <c r="N5796">
        <v>-1.571094E-2</v>
      </c>
      <c r="O5796">
        <v>-0.96019429999999995</v>
      </c>
      <c r="P5796">
        <v>0.12856319999999999</v>
      </c>
      <c r="Q5796">
        <v>0.1243649</v>
      </c>
      <c r="R5796">
        <v>-0.98387259999999999</v>
      </c>
      <c r="S5796">
        <v>9.2452999999999994E-2</v>
      </c>
      <c r="T5796">
        <v>-5.5571790000000003E-2</v>
      </c>
      <c r="U5796">
        <v>-3.0443419999999999</v>
      </c>
      <c r="V5796">
        <v>0.1534935</v>
      </c>
      <c r="W5796">
        <v>0.1369766</v>
      </c>
      <c r="X5796">
        <v>0.97860979999999997</v>
      </c>
      <c r="Y5796">
        <v>0.24957879999999999</v>
      </c>
      <c r="Z5796">
        <v>1.2307939999999999E-3</v>
      </c>
      <c r="AA5796">
        <v>0.96835369999999998</v>
      </c>
      <c r="AB5796">
        <v>18</v>
      </c>
      <c r="AC5796">
        <v>1.8315999999999999</v>
      </c>
      <c r="AD5796">
        <v>-1.1142300116549999</v>
      </c>
      <c r="AE5796">
        <v>-60.924999999999997</v>
      </c>
      <c r="AF5796">
        <v>15.2295381534804</v>
      </c>
      <c r="AG5796">
        <v>-1.1142300116549999</v>
      </c>
      <c r="AH5796">
        <v>58.998218432601597</v>
      </c>
      <c r="AI5796">
        <v>91.047616863684198</v>
      </c>
      <c r="AJ5796">
        <v>75.525889611058503</v>
      </c>
      <c r="AK5796">
        <v>60.9423507842302</v>
      </c>
      <c r="AL5796">
        <v>82.127067275982995</v>
      </c>
      <c r="AM5796">
        <v>81.085868440232701</v>
      </c>
      <c r="AN5796">
        <v>0.999999992072924</v>
      </c>
    </row>
    <row r="5797" spans="1:40" x14ac:dyDescent="0.25">
      <c r="A5797" t="str">
        <f>"20190303162028800"</f>
        <v>20190303162028800</v>
      </c>
      <c r="B5797" t="str">
        <f>"1551601228788681"</f>
        <v>1551601228788681</v>
      </c>
      <c r="C5797" t="s">
        <v>40</v>
      </c>
      <c r="D5797">
        <v>4.9828219999999996</v>
      </c>
      <c r="E5797">
        <v>0.53783539999999996</v>
      </c>
      <c r="F5797" t="s">
        <v>50</v>
      </c>
      <c r="G5797">
        <v>-191.68520000000001</v>
      </c>
      <c r="H5797" s="1">
        <v>-7.3070230000000001E-6</v>
      </c>
      <c r="I5797">
        <v>136.517</v>
      </c>
      <c r="J5797">
        <v>-193.51230000000001</v>
      </c>
      <c r="K5797">
        <v>1.114347</v>
      </c>
      <c r="L5797">
        <v>202.8974</v>
      </c>
      <c r="M5797">
        <v>0.26976480000000003</v>
      </c>
      <c r="N5797">
        <v>-1.5673889999999999E-2</v>
      </c>
      <c r="O5797">
        <v>-0.9627985</v>
      </c>
      <c r="P5797">
        <v>0.12598299999999901</v>
      </c>
      <c r="Q5797">
        <v>0.1240595</v>
      </c>
      <c r="R5797">
        <v>-0.98424449999999997</v>
      </c>
      <c r="S5797">
        <v>8.4655759999999997E-2</v>
      </c>
      <c r="T5797">
        <v>-5.1015619999999998E-2</v>
      </c>
      <c r="U5797">
        <v>-3.044556</v>
      </c>
      <c r="V5797">
        <v>0.1467195</v>
      </c>
      <c r="W5797">
        <v>0.13681599999999999</v>
      </c>
      <c r="X5797">
        <v>0.97967079999999995</v>
      </c>
      <c r="Y5797">
        <v>0.24286659999999999</v>
      </c>
      <c r="Z5797" s="1">
        <v>-4.4413409999999903E-5</v>
      </c>
      <c r="AA5797">
        <v>0.97005969999999997</v>
      </c>
      <c r="AB5797">
        <v>18</v>
      </c>
      <c r="AC5797">
        <v>1.8270999999999999</v>
      </c>
      <c r="AD5797">
        <v>-1.114354307023</v>
      </c>
      <c r="AE5797">
        <v>-66.380399999999995</v>
      </c>
      <c r="AF5797">
        <v>16.145406163680999</v>
      </c>
      <c r="AG5797">
        <v>-1.114354307023</v>
      </c>
      <c r="AH5797">
        <v>64.393626517040303</v>
      </c>
      <c r="AI5797">
        <v>90.961663450458303</v>
      </c>
      <c r="AJ5797">
        <v>75.924404268425505</v>
      </c>
      <c r="AK5797">
        <v>66.396197645105303</v>
      </c>
      <c r="AL5797">
        <v>82.136356913874593</v>
      </c>
      <c r="AM5797">
        <v>81.4824543976207</v>
      </c>
      <c r="AN5797">
        <v>1.0000000529544399</v>
      </c>
    </row>
    <row r="5798" spans="1:40" x14ac:dyDescent="0.25">
      <c r="A5798" t="str">
        <f>"20190303162028814"</f>
        <v>20190303162028814</v>
      </c>
      <c r="B5798" t="str">
        <f>"1551601228798442"</f>
        <v>1551601228798442</v>
      </c>
      <c r="C5798" t="s">
        <v>40</v>
      </c>
      <c r="D5798">
        <v>4.9673379999999998</v>
      </c>
      <c r="E5798">
        <v>0.53793709999999995</v>
      </c>
      <c r="F5798" t="s">
        <v>50</v>
      </c>
      <c r="G5798">
        <v>-191.8981</v>
      </c>
      <c r="H5798" s="1">
        <v>-7.5898410000000002E-6</v>
      </c>
      <c r="I5798">
        <v>137.30549999999999</v>
      </c>
      <c r="J5798">
        <v>-193.49250000000001</v>
      </c>
      <c r="K5798">
        <v>1.1144719999999999</v>
      </c>
      <c r="L5798">
        <v>202.78829999999999</v>
      </c>
      <c r="M5798">
        <v>0.26123239999999998</v>
      </c>
      <c r="N5798">
        <v>-1.563546E-2</v>
      </c>
      <c r="O5798">
        <v>-0.96514929999999999</v>
      </c>
      <c r="P5798">
        <v>0.12536989999999901</v>
      </c>
      <c r="Q5798">
        <v>0.1239209</v>
      </c>
      <c r="R5798">
        <v>-0.98434069999999996</v>
      </c>
      <c r="S5798">
        <v>7.4935909999999994E-2</v>
      </c>
      <c r="T5798">
        <v>-5.1731350000000002E-2</v>
      </c>
      <c r="U5798">
        <v>-3.0449519999999999</v>
      </c>
      <c r="V5798">
        <v>0.13859949999999999</v>
      </c>
      <c r="W5798">
        <v>0.1368443</v>
      </c>
      <c r="X5798">
        <v>0.98084850000000001</v>
      </c>
      <c r="Y5798">
        <v>0.2373757</v>
      </c>
      <c r="Z5798">
        <v>2.7348770000000001E-4</v>
      </c>
      <c r="AA5798">
        <v>0.97141789999999995</v>
      </c>
      <c r="AB5798">
        <v>18</v>
      </c>
      <c r="AC5798">
        <v>1.5944</v>
      </c>
      <c r="AD5798">
        <v>-1.11447958984099</v>
      </c>
      <c r="AE5798">
        <v>-65.482799999999997</v>
      </c>
      <c r="AF5798">
        <v>15.5647922859752</v>
      </c>
      <c r="AG5798">
        <v>-1.11447958984099</v>
      </c>
      <c r="AH5798">
        <v>63.606551526229403</v>
      </c>
      <c r="AI5798">
        <v>90.975040359872494</v>
      </c>
      <c r="AJ5798">
        <v>76.249687113053298</v>
      </c>
      <c r="AK5798">
        <v>65.492734106315993</v>
      </c>
      <c r="AL5798">
        <v>82.134719485477305</v>
      </c>
      <c r="AM5798">
        <v>81.957028886443794</v>
      </c>
      <c r="AN5798">
        <v>0.99999998189749395</v>
      </c>
    </row>
    <row r="5799" spans="1:40" x14ac:dyDescent="0.25">
      <c r="A5799" t="str">
        <f>"20190303162028829"</f>
        <v>20190303162028829</v>
      </c>
      <c r="B5799" t="str">
        <f>"1551601228817961"</f>
        <v>1551601228817961</v>
      </c>
      <c r="C5799" t="s">
        <v>40</v>
      </c>
      <c r="D5799">
        <v>4.9920260000000001</v>
      </c>
      <c r="E5799">
        <v>0.53816529999999996</v>
      </c>
      <c r="F5799" t="s">
        <v>50</v>
      </c>
      <c r="G5799">
        <v>-191.97499999999999</v>
      </c>
      <c r="H5799" s="1">
        <v>-7.604954E-6</v>
      </c>
      <c r="I5799">
        <v>137.31829999999999</v>
      </c>
      <c r="J5799">
        <v>-193.47049999999999</v>
      </c>
      <c r="K5799">
        <v>1.1146400000000001</v>
      </c>
      <c r="L5799">
        <v>202.6618</v>
      </c>
      <c r="M5799">
        <v>0.25144450000000002</v>
      </c>
      <c r="N5799">
        <v>-1.558704E-2</v>
      </c>
      <c r="O5799">
        <v>-0.96774629999999995</v>
      </c>
      <c r="P5799">
        <v>0.13272320000000001</v>
      </c>
      <c r="Q5799">
        <v>0.1254769</v>
      </c>
      <c r="R5799">
        <v>-0.98317869999999996</v>
      </c>
      <c r="S5799">
        <v>7.0587159999999996E-2</v>
      </c>
      <c r="T5799">
        <v>-5.1838870000000002E-2</v>
      </c>
      <c r="U5799">
        <v>-3.0452729999999999</v>
      </c>
      <c r="V5799">
        <v>0.121207</v>
      </c>
      <c r="W5799">
        <v>0.13873629999999901</v>
      </c>
      <c r="X5799">
        <v>0.98288399999999998</v>
      </c>
      <c r="Y5799">
        <v>0.22892000000000001</v>
      </c>
      <c r="Z5799">
        <v>4.318665E-4</v>
      </c>
      <c r="AA5799">
        <v>0.97344509999999995</v>
      </c>
      <c r="AB5799">
        <v>18</v>
      </c>
      <c r="AC5799">
        <v>1.4954999999999901</v>
      </c>
      <c r="AD5799">
        <v>-1.1146476049539999</v>
      </c>
      <c r="AE5799">
        <v>-65.343500000000006</v>
      </c>
      <c r="AF5799">
        <v>14.9804612733514</v>
      </c>
      <c r="AG5799">
        <v>-1.1146476049539999</v>
      </c>
      <c r="AH5799">
        <v>63.601191007529003</v>
      </c>
      <c r="AI5799">
        <v>90.9773008605017</v>
      </c>
      <c r="AJ5799">
        <v>76.746271180359898</v>
      </c>
      <c r="AK5799">
        <v>65.351114426777698</v>
      </c>
      <c r="AL5799">
        <v>82.025271441256706</v>
      </c>
      <c r="AM5799">
        <v>82.969908675380793</v>
      </c>
      <c r="AN5799">
        <v>0.99999992762134204</v>
      </c>
    </row>
    <row r="5800" spans="1:40" x14ac:dyDescent="0.25">
      <c r="A5800" t="str">
        <f>"20190303162028844"</f>
        <v>20190303162028844</v>
      </c>
      <c r="B5800" t="str">
        <f>"1551601228838458"</f>
        <v>1551601228838458</v>
      </c>
      <c r="C5800" t="s">
        <v>40</v>
      </c>
      <c r="D5800">
        <v>4.9741239999999998</v>
      </c>
      <c r="E5800">
        <v>0.53848549999999995</v>
      </c>
      <c r="F5800" t="s">
        <v>50</v>
      </c>
      <c r="G5800">
        <v>-191.3416</v>
      </c>
      <c r="H5800" s="1">
        <v>-5.2761220000000004E-6</v>
      </c>
      <c r="I5800">
        <v>130.2945</v>
      </c>
      <c r="J5800">
        <v>-193.44909999999999</v>
      </c>
      <c r="K5800">
        <v>1.114819</v>
      </c>
      <c r="L5800">
        <v>202.53210000000001</v>
      </c>
      <c r="M5800">
        <v>0.2415842</v>
      </c>
      <c r="N5800">
        <v>-1.5531120000000001E-2</v>
      </c>
      <c r="O5800">
        <v>-0.97025570000000005</v>
      </c>
      <c r="P5800">
        <v>0.13143740000000001</v>
      </c>
      <c r="Q5800">
        <v>0.1265482</v>
      </c>
      <c r="R5800">
        <v>-0.98321429999999999</v>
      </c>
      <c r="S5800">
        <v>8.9584349999999993E-2</v>
      </c>
      <c r="T5800">
        <v>-4.6904679999999997E-2</v>
      </c>
      <c r="U5800">
        <v>-3.045242</v>
      </c>
      <c r="V5800">
        <v>0.11239200000000001</v>
      </c>
      <c r="W5800">
        <v>0.1399677</v>
      </c>
      <c r="X5800">
        <v>0.98375659999999998</v>
      </c>
      <c r="Y5800">
        <v>0.2129231</v>
      </c>
      <c r="Z5800">
        <v>-9.3766599999999998E-4</v>
      </c>
      <c r="AA5800">
        <v>0.97706850000000001</v>
      </c>
      <c r="AB5800">
        <v>18</v>
      </c>
      <c r="AC5800">
        <v>2.1074999999999799</v>
      </c>
      <c r="AD5800">
        <v>-1.114824276122</v>
      </c>
      <c r="AE5800">
        <v>-72.2376</v>
      </c>
      <c r="AF5800">
        <v>15.404839533500599</v>
      </c>
      <c r="AG5800">
        <v>-1.114824276122</v>
      </c>
      <c r="AH5800">
        <v>70.589790689604698</v>
      </c>
      <c r="AI5800">
        <v>90.883995118936397</v>
      </c>
      <c r="AJ5800">
        <v>77.689326172482396</v>
      </c>
      <c r="AK5800">
        <v>72.259743037335397</v>
      </c>
      <c r="AL5800">
        <v>81.954022674851203</v>
      </c>
      <c r="AM5800">
        <v>83.482344147289993</v>
      </c>
      <c r="AN5800">
        <v>0.99999998337542395</v>
      </c>
    </row>
    <row r="5801" spans="1:40" x14ac:dyDescent="0.25">
      <c r="A5801" t="str">
        <f>"20190303162028857"</f>
        <v>20190303162028857</v>
      </c>
      <c r="B5801" t="str">
        <f>"1551601228848217"</f>
        <v>1551601228848217</v>
      </c>
      <c r="C5801" t="s">
        <v>40</v>
      </c>
      <c r="D5801">
        <v>4.9601540000000002</v>
      </c>
      <c r="E5801">
        <v>0.53874279999999997</v>
      </c>
      <c r="F5801" t="s">
        <v>50</v>
      </c>
      <c r="G5801">
        <v>-191.37629999999999</v>
      </c>
      <c r="H5801" s="1">
        <v>-4.0798289999999996E-6</v>
      </c>
      <c r="I5801">
        <v>127.0429</v>
      </c>
      <c r="J5801">
        <v>-193.43260000000001</v>
      </c>
      <c r="K5801">
        <v>1.114984</v>
      </c>
      <c r="L5801">
        <v>202.42500000000001</v>
      </c>
      <c r="M5801">
        <v>0.23364670000000001</v>
      </c>
      <c r="N5801">
        <v>-1.547687E-2</v>
      </c>
      <c r="O5801">
        <v>-0.97219829999999996</v>
      </c>
      <c r="P5801">
        <v>0.13144159999999999</v>
      </c>
      <c r="Q5801">
        <v>0.1263649</v>
      </c>
      <c r="R5801">
        <v>-0.98323700000000003</v>
      </c>
      <c r="S5801">
        <v>8.363342E-2</v>
      </c>
      <c r="T5801">
        <v>-4.4980880000000001E-2</v>
      </c>
      <c r="U5801">
        <v>-3.0458370000000001</v>
      </c>
      <c r="V5801">
        <v>0.1042725</v>
      </c>
      <c r="W5801">
        <v>0.13992379999999999</v>
      </c>
      <c r="X5801">
        <v>0.98465659999999999</v>
      </c>
      <c r="Y5801">
        <v>0.20684959999999999</v>
      </c>
      <c r="Z5801">
        <v>-1.4350999999999999E-3</v>
      </c>
      <c r="AA5801">
        <v>0.97837169999999896</v>
      </c>
      <c r="AB5801">
        <v>18</v>
      </c>
      <c r="AC5801">
        <v>2.0563000000000198</v>
      </c>
      <c r="AD5801">
        <v>-1.1149880798289999</v>
      </c>
      <c r="AE5801">
        <v>-75.382099999999994</v>
      </c>
      <c r="AF5801">
        <v>15.6121060069107</v>
      </c>
      <c r="AG5801">
        <v>-1.1149880798289999</v>
      </c>
      <c r="AH5801">
        <v>73.759514195813296</v>
      </c>
      <c r="AI5801">
        <v>90.847278874844307</v>
      </c>
      <c r="AJ5801">
        <v>78.049033266020302</v>
      </c>
      <c r="AK5801">
        <v>75.401903071418303</v>
      </c>
      <c r="AL5801">
        <v>81.956563270779597</v>
      </c>
      <c r="AM5801">
        <v>83.955059512998503</v>
      </c>
      <c r="AN5801">
        <v>1.00000002199312</v>
      </c>
    </row>
    <row r="5802" spans="1:40" x14ac:dyDescent="0.25">
      <c r="A5802" t="str">
        <f>"20190303162028874"</f>
        <v>20190303162028874</v>
      </c>
      <c r="B5802" t="str">
        <f>"1551601228867738"</f>
        <v>1551601228867738</v>
      </c>
      <c r="C5802" t="s">
        <v>40</v>
      </c>
      <c r="D5802">
        <v>4.9566350000000003</v>
      </c>
      <c r="E5802">
        <v>0.53911469999999995</v>
      </c>
      <c r="F5802" t="s">
        <v>50</v>
      </c>
      <c r="G5802">
        <v>-191.48089999999999</v>
      </c>
      <c r="H5802" s="1">
        <v>-5.2419429999999999E-6</v>
      </c>
      <c r="I5802">
        <v>130.11250000000001</v>
      </c>
      <c r="J5802">
        <v>-193.4126</v>
      </c>
      <c r="K5802">
        <v>1.1152070000000001</v>
      </c>
      <c r="L5802">
        <v>202.291</v>
      </c>
      <c r="M5802">
        <v>0.22389439999999999</v>
      </c>
      <c r="N5802">
        <v>-1.540413E-2</v>
      </c>
      <c r="O5802">
        <v>-0.97449180000000002</v>
      </c>
      <c r="P5802">
        <v>0.1355046</v>
      </c>
      <c r="Q5802">
        <v>0.12259059999999999</v>
      </c>
      <c r="R5802">
        <v>-0.98316349999999997</v>
      </c>
      <c r="S5802">
        <v>8.221436E-2</v>
      </c>
      <c r="T5802">
        <v>-4.6969289999999997E-2</v>
      </c>
      <c r="U5802">
        <v>-3.0461879999999999</v>
      </c>
      <c r="V5802">
        <v>9.026671E-2</v>
      </c>
      <c r="W5802">
        <v>0.13638610000000001</v>
      </c>
      <c r="X5802">
        <v>0.98653469999999999</v>
      </c>
      <c r="Y5802">
        <v>0.1974977</v>
      </c>
      <c r="Z5802">
        <v>-6.8091089999999896E-4</v>
      </c>
      <c r="AA5802">
        <v>0.98030309999999998</v>
      </c>
      <c r="AB5802">
        <v>18</v>
      </c>
      <c r="AC5802">
        <v>1.9317</v>
      </c>
      <c r="AD5802">
        <v>-1.1152122419429999</v>
      </c>
      <c r="AE5802">
        <v>-72.1784999999999</v>
      </c>
      <c r="AF5802">
        <v>14.27622292301</v>
      </c>
      <c r="AG5802">
        <v>-1.1152122419429999</v>
      </c>
      <c r="AH5802">
        <v>70.761361485569594</v>
      </c>
      <c r="AI5802">
        <v>90.885086824676605</v>
      </c>
      <c r="AJ5802">
        <v>78.593596887086704</v>
      </c>
      <c r="AK5802">
        <v>72.195737537499497</v>
      </c>
      <c r="AL5802">
        <v>82.161220875439696</v>
      </c>
      <c r="AM5802">
        <v>84.772063782721901</v>
      </c>
      <c r="AN5802">
        <v>0.99999998075576102</v>
      </c>
    </row>
    <row r="5803" spans="1:40" x14ac:dyDescent="0.25">
      <c r="A5803" t="str">
        <f>"20190303162028895"</f>
        <v>20190303162028895</v>
      </c>
      <c r="B5803" t="str">
        <f>"1551601228888233"</f>
        <v>1551601228888233</v>
      </c>
      <c r="C5803" t="s">
        <v>40</v>
      </c>
      <c r="D5803">
        <v>4.9495360000000002</v>
      </c>
      <c r="E5803">
        <v>0.53946910000000003</v>
      </c>
      <c r="F5803" t="s">
        <v>50</v>
      </c>
      <c r="G5803">
        <v>-191.69309999999999</v>
      </c>
      <c r="H5803" s="1">
        <v>-9.8084840000000006E-6</v>
      </c>
      <c r="I5803">
        <v>145.11580000000001</v>
      </c>
      <c r="J5803">
        <v>-193.38730000000001</v>
      </c>
      <c r="K5803">
        <v>1.1155489999999999</v>
      </c>
      <c r="L5803">
        <v>202.1095</v>
      </c>
      <c r="M5803">
        <v>0.2111228</v>
      </c>
      <c r="N5803">
        <v>-1.5294159999999999E-2</v>
      </c>
      <c r="O5803">
        <v>-0.97733990000000004</v>
      </c>
      <c r="P5803">
        <v>0.13469220000000001</v>
      </c>
      <c r="Q5803">
        <v>0.1207492</v>
      </c>
      <c r="R5803">
        <v>-0.98350289999999996</v>
      </c>
      <c r="S5803">
        <v>9.1613769999999997E-2</v>
      </c>
      <c r="T5803">
        <v>-5.9416650000000001E-2</v>
      </c>
      <c r="U5803">
        <v>-3.0461879999999999</v>
      </c>
      <c r="V5803">
        <v>7.8042509999999995E-2</v>
      </c>
      <c r="W5803">
        <v>0.13471459999999999</v>
      </c>
      <c r="X5803">
        <v>0.98780630000000003</v>
      </c>
      <c r="Y5803">
        <v>0.1816197</v>
      </c>
      <c r="Z5803">
        <v>3.4319340000000002E-3</v>
      </c>
      <c r="AA5803">
        <v>0.98336290000000004</v>
      </c>
      <c r="AB5803">
        <v>18</v>
      </c>
      <c r="AC5803">
        <v>1.6942000000000199</v>
      </c>
      <c r="AD5803">
        <v>-1.11555880848399</v>
      </c>
      <c r="AE5803">
        <v>-56.993699999999897</v>
      </c>
      <c r="AF5803">
        <v>10.374102982693399</v>
      </c>
      <c r="AG5803">
        <v>-1.11555880848399</v>
      </c>
      <c r="AH5803">
        <v>56.045005362353102</v>
      </c>
      <c r="AI5803">
        <v>91.121262287754604</v>
      </c>
      <c r="AJ5803">
        <v>79.513071484647</v>
      </c>
      <c r="AK5803">
        <v>57.007974093252102</v>
      </c>
      <c r="AL5803">
        <v>82.257882859612494</v>
      </c>
      <c r="AM5803">
        <v>85.482679625708101</v>
      </c>
      <c r="AN5803">
        <v>0.999999971569974</v>
      </c>
    </row>
    <row r="5804" spans="1:40" x14ac:dyDescent="0.25">
      <c r="A5804" t="str">
        <f>"20190303162028910"</f>
        <v>20190303162028910</v>
      </c>
      <c r="B5804" t="str">
        <f>"1551601228898560"</f>
        <v>1551601228898560</v>
      </c>
      <c r="C5804" t="s">
        <v>40</v>
      </c>
      <c r="D5804">
        <v>4.9235179999999996</v>
      </c>
      <c r="E5804">
        <v>0.53966230000000004</v>
      </c>
      <c r="F5804" t="s">
        <v>50</v>
      </c>
      <c r="G5804">
        <v>-191.93899999999999</v>
      </c>
      <c r="H5804" s="1">
        <v>-1.11971E-5</v>
      </c>
      <c r="I5804">
        <v>149.98490000000001</v>
      </c>
      <c r="J5804">
        <v>-193.37270000000001</v>
      </c>
      <c r="K5804">
        <v>1.1157790000000001</v>
      </c>
      <c r="L5804">
        <v>201.999</v>
      </c>
      <c r="M5804">
        <v>0.20357929999999999</v>
      </c>
      <c r="N5804">
        <v>-1.522308E-2</v>
      </c>
      <c r="O5804">
        <v>-0.97894020000000004</v>
      </c>
      <c r="P5804">
        <v>0.13245760000000001</v>
      </c>
      <c r="Q5804">
        <v>0.1217287</v>
      </c>
      <c r="R5804">
        <v>-0.98368560000000005</v>
      </c>
      <c r="S5804">
        <v>8.4655759999999997E-2</v>
      </c>
      <c r="T5804">
        <v>-6.5205340000000001E-2</v>
      </c>
      <c r="U5804">
        <v>-3.0467219999999999</v>
      </c>
      <c r="V5804">
        <v>7.2569709999999996E-2</v>
      </c>
      <c r="W5804">
        <v>0.1357507</v>
      </c>
      <c r="X5804">
        <v>0.9880816</v>
      </c>
      <c r="Y5804">
        <v>0.17628150000000001</v>
      </c>
      <c r="Z5804">
        <v>5.3752339999999996E-3</v>
      </c>
      <c r="AA5804">
        <v>0.98432509999999995</v>
      </c>
      <c r="AB5804">
        <v>18</v>
      </c>
      <c r="AC5804">
        <v>1.43369999999998</v>
      </c>
      <c r="AD5804">
        <v>-1.1157901970999999</v>
      </c>
      <c r="AE5804">
        <v>-52.014099999999999</v>
      </c>
      <c r="AF5804">
        <v>9.1823288845220095</v>
      </c>
      <c r="AG5804">
        <v>-1.1157901970999999</v>
      </c>
      <c r="AH5804">
        <v>51.192955292771302</v>
      </c>
      <c r="AI5804">
        <v>91.229000921639496</v>
      </c>
      <c r="AJ5804">
        <v>79.831157920012302</v>
      </c>
      <c r="AK5804">
        <v>52.021907146077901</v>
      </c>
      <c r="AL5804">
        <v>82.197968003107405</v>
      </c>
      <c r="AM5804">
        <v>85.799450176828898</v>
      </c>
      <c r="AN5804">
        <v>0.99999993180926405</v>
      </c>
    </row>
    <row r="5805" spans="1:40" x14ac:dyDescent="0.25">
      <c r="A5805" t="str">
        <f>"20190303162028925"</f>
        <v>20190303162028925</v>
      </c>
      <c r="B5805" t="str">
        <f>"1551601228918080"</f>
        <v>1551601228918080</v>
      </c>
      <c r="C5805" t="s">
        <v>40</v>
      </c>
      <c r="D5805">
        <v>4.9266690000000004</v>
      </c>
      <c r="E5805">
        <v>0.54003990000000002</v>
      </c>
      <c r="F5805" t="s">
        <v>50</v>
      </c>
      <c r="G5805">
        <v>-192.00890000000001</v>
      </c>
      <c r="H5805" s="1">
        <v>-1.06517899999999E-5</v>
      </c>
      <c r="I5805">
        <v>148.1011</v>
      </c>
      <c r="J5805">
        <v>-193.35579999999999</v>
      </c>
      <c r="K5805">
        <v>1.116061</v>
      </c>
      <c r="L5805">
        <v>201.86539999999999</v>
      </c>
      <c r="M5805">
        <v>0.19472539999999999</v>
      </c>
      <c r="N5805">
        <v>-1.513396E-2</v>
      </c>
      <c r="O5805">
        <v>-0.98074130000000004</v>
      </c>
      <c r="P5805">
        <v>0.1287788</v>
      </c>
      <c r="Q5805">
        <v>0.1228875</v>
      </c>
      <c r="R5805">
        <v>-0.98403010000000002</v>
      </c>
      <c r="S5805">
        <v>7.7102660000000003E-2</v>
      </c>
      <c r="T5805">
        <v>-6.3082219999999994E-2</v>
      </c>
      <c r="U5805">
        <v>-3.0471650000000001</v>
      </c>
      <c r="V5805">
        <v>6.7215810000000001E-2</v>
      </c>
      <c r="W5805">
        <v>0.13694819999999999</v>
      </c>
      <c r="X5805">
        <v>0.98829509999999998</v>
      </c>
      <c r="Y5805">
        <v>0.16982829999999999</v>
      </c>
      <c r="Z5805">
        <v>4.8546520000000001E-3</v>
      </c>
      <c r="AA5805">
        <v>0.9854617</v>
      </c>
      <c r="AB5805">
        <v>18</v>
      </c>
      <c r="AC5805">
        <v>1.34689999999997</v>
      </c>
      <c r="AD5805">
        <v>-1.11607165179</v>
      </c>
      <c r="AE5805">
        <v>-53.764299999999899</v>
      </c>
      <c r="AF5805">
        <v>9.1454213679641008</v>
      </c>
      <c r="AG5805">
        <v>-1.11607165179</v>
      </c>
      <c r="AH5805">
        <v>52.974387571595798</v>
      </c>
      <c r="AI5805">
        <v>91.189348361140006</v>
      </c>
      <c r="AJ5805">
        <v>80.205087667266596</v>
      </c>
      <c r="AK5805">
        <v>53.769601881687599</v>
      </c>
      <c r="AL5805">
        <v>82.128709937081595</v>
      </c>
      <c r="AM5805">
        <v>86.109197925486797</v>
      </c>
      <c r="AN5805">
        <v>0.99999998964060299</v>
      </c>
    </row>
    <row r="5806" spans="1:40" x14ac:dyDescent="0.25">
      <c r="A5806" t="str">
        <f>"20190303162028940"</f>
        <v>20190303162028940</v>
      </c>
      <c r="B5806" t="str">
        <f>"1551601228927840"</f>
        <v>1551601228927840</v>
      </c>
      <c r="C5806" t="s">
        <v>40</v>
      </c>
      <c r="D5806">
        <v>4.9371070000000001</v>
      </c>
      <c r="E5806">
        <v>0.54021249999999998</v>
      </c>
      <c r="F5806" t="s">
        <v>50</v>
      </c>
      <c r="G5806">
        <v>-192.16380000000001</v>
      </c>
      <c r="H5806" s="1">
        <v>-1.00391E-5</v>
      </c>
      <c r="I5806">
        <v>145.67359999999999</v>
      </c>
      <c r="J5806">
        <v>-193.34010000000001</v>
      </c>
      <c r="K5806">
        <v>1.1163430000000001</v>
      </c>
      <c r="L5806">
        <v>201.7336</v>
      </c>
      <c r="M5806">
        <v>0.18638959999999999</v>
      </c>
      <c r="N5806">
        <v>-1.504114E-2</v>
      </c>
      <c r="O5806">
        <v>-0.98236100000000004</v>
      </c>
      <c r="P5806">
        <v>0.13126679999999999</v>
      </c>
      <c r="Q5806">
        <v>0.1219132</v>
      </c>
      <c r="R5806">
        <v>-0.98382230000000004</v>
      </c>
      <c r="S5806">
        <v>6.4651490000000006E-2</v>
      </c>
      <c r="T5806">
        <v>-6.053472E-2</v>
      </c>
      <c r="U5806">
        <v>-3.0477910000000001</v>
      </c>
      <c r="V5806">
        <v>5.6209160000000001E-2</v>
      </c>
      <c r="W5806">
        <v>0.13608419999999999</v>
      </c>
      <c r="X5806">
        <v>0.98910140000000002</v>
      </c>
      <c r="Y5806">
        <v>0.16548889999999999</v>
      </c>
      <c r="Z5806">
        <v>4.1867270000000003E-3</v>
      </c>
      <c r="AA5806">
        <v>0.98620280000000005</v>
      </c>
      <c r="AB5806">
        <v>18</v>
      </c>
      <c r="AC5806">
        <v>1.1762999999999899</v>
      </c>
      <c r="AD5806">
        <v>-1.1163530391000001</v>
      </c>
      <c r="AE5806">
        <v>-56.06</v>
      </c>
      <c r="AF5806">
        <v>9.2908164162640698</v>
      </c>
      <c r="AG5806">
        <v>-1.1163530391000001</v>
      </c>
      <c r="AH5806">
        <v>55.274741111551002</v>
      </c>
      <c r="AI5806">
        <v>91.141011983619293</v>
      </c>
      <c r="AJ5806">
        <v>80.458666602100806</v>
      </c>
      <c r="AK5806">
        <v>56.061239004660003</v>
      </c>
      <c r="AL5806">
        <v>82.178681251811597</v>
      </c>
      <c r="AM5806">
        <v>86.747464473755699</v>
      </c>
      <c r="AN5806">
        <v>0.99999997931975204</v>
      </c>
    </row>
    <row r="5807" spans="1:40" x14ac:dyDescent="0.25">
      <c r="A5807" t="str">
        <f>"20190303162028963"</f>
        <v>20190303162028963</v>
      </c>
      <c r="B5807" t="str">
        <f>"1551601228958096"</f>
        <v>1551601228958096</v>
      </c>
      <c r="C5807" t="s">
        <v>40</v>
      </c>
      <c r="D5807">
        <v>4.9196619999999998</v>
      </c>
      <c r="E5807">
        <v>0.5406668</v>
      </c>
      <c r="F5807" t="s">
        <v>50</v>
      </c>
      <c r="G5807">
        <v>-192.09909999999999</v>
      </c>
      <c r="H5807" s="1">
        <v>-1.102061E-5</v>
      </c>
      <c r="I5807">
        <v>149.43899999999999</v>
      </c>
      <c r="J5807">
        <v>-193.3193</v>
      </c>
      <c r="K5807">
        <v>1.1167370000000001</v>
      </c>
      <c r="L5807">
        <v>201.5496</v>
      </c>
      <c r="M5807">
        <v>0.17522779999999999</v>
      </c>
      <c r="N5807">
        <v>-1.4911519999999999E-2</v>
      </c>
      <c r="O5807">
        <v>-0.98441500000000004</v>
      </c>
      <c r="P5807">
        <v>0.1336812</v>
      </c>
      <c r="Q5807">
        <v>0.118951399999999</v>
      </c>
      <c r="R5807">
        <v>-0.9838597</v>
      </c>
      <c r="S5807">
        <v>7.2326660000000001E-2</v>
      </c>
      <c r="T5807">
        <v>-6.5061090000000002E-2</v>
      </c>
      <c r="U5807">
        <v>-3.0477289999999999</v>
      </c>
      <c r="V5807">
        <v>4.2415920000000003E-2</v>
      </c>
      <c r="W5807">
        <v>0.1332294</v>
      </c>
      <c r="X5807">
        <v>0.99017719999999998</v>
      </c>
      <c r="Y5807">
        <v>0.1517994</v>
      </c>
      <c r="Z5807">
        <v>5.8416589999999999E-3</v>
      </c>
      <c r="AA5807">
        <v>0.98839410000000005</v>
      </c>
      <c r="AB5807">
        <v>18</v>
      </c>
      <c r="AC5807">
        <v>1.2202</v>
      </c>
      <c r="AD5807">
        <v>-1.11674802061</v>
      </c>
      <c r="AE5807">
        <v>-52.110599999999998</v>
      </c>
      <c r="AF5807">
        <v>7.9272855986621904</v>
      </c>
      <c r="AG5807">
        <v>-1.11674802061</v>
      </c>
      <c r="AH5807">
        <v>51.494360151633003</v>
      </c>
      <c r="AI5807">
        <v>91.227907144002302</v>
      </c>
      <c r="AJ5807">
        <v>81.248320162701901</v>
      </c>
      <c r="AK5807">
        <v>52.1129361150414</v>
      </c>
      <c r="AL5807">
        <v>82.343753159660196</v>
      </c>
      <c r="AM5807">
        <v>87.547137680109003</v>
      </c>
      <c r="AN5807">
        <v>1.0000000353468199</v>
      </c>
    </row>
    <row r="5808" spans="1:40" x14ac:dyDescent="0.25">
      <c r="A5808" t="str">
        <f>"20190303162028977"</f>
        <v>20190303162028977</v>
      </c>
      <c r="B5808" t="str">
        <f>"1551601228967856"</f>
        <v>1551601228967856</v>
      </c>
      <c r="C5808" t="s">
        <v>40</v>
      </c>
      <c r="D5808">
        <v>4.9104330000000003</v>
      </c>
      <c r="E5808">
        <v>0.54815659999999999</v>
      </c>
      <c r="F5808" t="s">
        <v>50</v>
      </c>
      <c r="G5808">
        <v>-192.1908</v>
      </c>
      <c r="H5808" s="1">
        <v>-1.336434E-5</v>
      </c>
      <c r="I5808">
        <v>155.39429999999999</v>
      </c>
      <c r="J5808">
        <v>-193.30719999999999</v>
      </c>
      <c r="K5808">
        <v>1.1169960000000001</v>
      </c>
      <c r="L5808">
        <v>201.43600000000001</v>
      </c>
      <c r="M5808">
        <v>0.1687825</v>
      </c>
      <c r="N5808">
        <v>-1.482644E-2</v>
      </c>
      <c r="O5808">
        <v>-0.98554180000000002</v>
      </c>
      <c r="P5808">
        <v>0.13444120000000001</v>
      </c>
      <c r="Q5808">
        <v>0.1190906</v>
      </c>
      <c r="R5808">
        <v>-0.98373960000000005</v>
      </c>
      <c r="S5808">
        <v>7.4523930000000002E-2</v>
      </c>
      <c r="T5808">
        <v>-7.3747629999999995E-2</v>
      </c>
      <c r="U5808">
        <v>-3.0479889999999998</v>
      </c>
      <c r="V5808">
        <v>3.5067389999999997E-2</v>
      </c>
      <c r="W5808">
        <v>0.13339909999999999</v>
      </c>
      <c r="X5808">
        <v>0.99044180000000004</v>
      </c>
      <c r="Y5808">
        <v>0.1446172</v>
      </c>
      <c r="Z5808">
        <v>8.7435919999999997E-3</v>
      </c>
      <c r="AA5808">
        <v>0.98944900000000002</v>
      </c>
      <c r="AB5808">
        <v>18</v>
      </c>
      <c r="AC5808">
        <v>1.1163999999999901</v>
      </c>
      <c r="AD5808">
        <v>-1.1170093643400001</v>
      </c>
      <c r="AE5808">
        <v>-46.041699999999899</v>
      </c>
      <c r="AF5808">
        <v>6.6675855470985201</v>
      </c>
      <c r="AG5808">
        <v>-1.1170093643400001</v>
      </c>
      <c r="AH5808">
        <v>45.542667588983299</v>
      </c>
      <c r="AI5808">
        <v>91.390178675042307</v>
      </c>
      <c r="AJ5808">
        <v>81.670894901472707</v>
      </c>
      <c r="AK5808">
        <v>46.041709113243499</v>
      </c>
      <c r="AL5808">
        <v>82.333942225328499</v>
      </c>
      <c r="AM5808">
        <v>87.972243788086899</v>
      </c>
      <c r="AN5808">
        <v>1.00000000045473</v>
      </c>
    </row>
    <row r="5809" spans="1:40" x14ac:dyDescent="0.25">
      <c r="A5809" t="str">
        <f>"20190303162028991"</f>
        <v>20190303162028991</v>
      </c>
      <c r="B5809" t="str">
        <f>"1551601228978591"</f>
        <v>1551601228978591</v>
      </c>
      <c r="C5809" t="s">
        <v>40</v>
      </c>
      <c r="D5809">
        <v>4.9066939999999999</v>
      </c>
      <c r="E5809">
        <v>0.54787140000000001</v>
      </c>
      <c r="F5809" t="s">
        <v>41</v>
      </c>
      <c r="G5809">
        <v>-193.1071</v>
      </c>
      <c r="H5809" s="1">
        <v>-3.5395869999999998E-6</v>
      </c>
      <c r="I5809">
        <v>165.3306</v>
      </c>
      <c r="J5809">
        <v>-193.29580000000001</v>
      </c>
      <c r="K5809">
        <v>1.1172599999999999</v>
      </c>
      <c r="L5809">
        <v>201.32689999999999</v>
      </c>
      <c r="M5809">
        <v>0.1628349</v>
      </c>
      <c r="N5809">
        <v>-1.4742949999999999E-2</v>
      </c>
      <c r="O5809">
        <v>-0.98654319999999895</v>
      </c>
      <c r="P5809">
        <v>0.135050799999999</v>
      </c>
      <c r="Q5809">
        <v>0.1194395</v>
      </c>
      <c r="R5809">
        <v>-0.98361359999999998</v>
      </c>
      <c r="S5809">
        <v>1.695251E-2</v>
      </c>
      <c r="T5809">
        <v>-9.4628569999999995E-2</v>
      </c>
      <c r="U5809">
        <v>-3.0587309999999999</v>
      </c>
      <c r="V5809">
        <v>2.837228E-2</v>
      </c>
      <c r="W5809">
        <v>0.13376199999999999</v>
      </c>
      <c r="X5809">
        <v>0.99060729999999997</v>
      </c>
      <c r="Y5809">
        <v>0.15732879999999999</v>
      </c>
      <c r="Z5809">
        <v>1.537811E-2</v>
      </c>
      <c r="AA5809">
        <v>0.98742649999999998</v>
      </c>
      <c r="AB5809">
        <v>18</v>
      </c>
      <c r="AC5809">
        <v>0.188700000000011</v>
      </c>
      <c r="AD5809">
        <v>-1.1172635395870001</v>
      </c>
      <c r="AE5809">
        <v>-35.996299999999898</v>
      </c>
      <c r="AF5809">
        <v>5.6704473391381498</v>
      </c>
      <c r="AG5809">
        <v>-1.1172635395870001</v>
      </c>
      <c r="AH5809">
        <v>35.5122837293396</v>
      </c>
      <c r="AI5809">
        <v>91.779479278360995</v>
      </c>
      <c r="AJ5809">
        <v>80.927843455954701</v>
      </c>
      <c r="AK5809">
        <v>35.979501754692798</v>
      </c>
      <c r="AL5809">
        <v>82.312961869739098</v>
      </c>
      <c r="AM5809">
        <v>88.359422943555302</v>
      </c>
      <c r="AN5809">
        <v>1.00000004086484</v>
      </c>
    </row>
    <row r="5810" spans="1:40" x14ac:dyDescent="0.25">
      <c r="A5810" t="str">
        <f>"20190303162029006"</f>
        <v>20190303162029006</v>
      </c>
      <c r="B5810" t="str">
        <f>"1551601228998112"</f>
        <v>1551601228998112</v>
      </c>
      <c r="C5810" t="s">
        <v>40</v>
      </c>
      <c r="D5810">
        <v>4.8908329999999998</v>
      </c>
      <c r="E5810">
        <v>0.54793780000000003</v>
      </c>
      <c r="F5810" t="s">
        <v>41</v>
      </c>
      <c r="G5810">
        <v>-193.02029999999999</v>
      </c>
      <c r="H5810" s="1">
        <v>-1.987022E-6</v>
      </c>
      <c r="I5810">
        <v>162.095</v>
      </c>
      <c r="J5810">
        <v>-193.2824</v>
      </c>
      <c r="K5810">
        <v>1.1175889999999999</v>
      </c>
      <c r="L5810">
        <v>201.19409999999999</v>
      </c>
      <c r="M5810">
        <v>0.15599669999999999</v>
      </c>
      <c r="N5810">
        <v>-1.463798E-2</v>
      </c>
      <c r="O5810">
        <v>-0.987649</v>
      </c>
      <c r="P5810">
        <v>0.13847000000000001</v>
      </c>
      <c r="Q5810">
        <v>0.1182805</v>
      </c>
      <c r="R5810">
        <v>-0.98327830000000005</v>
      </c>
      <c r="S5810">
        <v>2.1469120000000001E-2</v>
      </c>
      <c r="T5810">
        <v>-8.7075230000000003E-2</v>
      </c>
      <c r="U5810">
        <v>-3.0575869999999998</v>
      </c>
      <c r="V5810">
        <v>1.7935E-2</v>
      </c>
      <c r="W5810">
        <v>0.13263159999999999</v>
      </c>
      <c r="X5810">
        <v>0.99100310000000003</v>
      </c>
      <c r="Y5810">
        <v>0.1490272</v>
      </c>
      <c r="Z5810">
        <v>1.315791E-2</v>
      </c>
      <c r="AA5810">
        <v>0.9887456</v>
      </c>
      <c r="AB5810">
        <v>18</v>
      </c>
      <c r="AC5810">
        <v>0.262100000000003</v>
      </c>
      <c r="AD5810">
        <v>-1.117590987022</v>
      </c>
      <c r="AE5810">
        <v>-39.0990999999999</v>
      </c>
      <c r="AF5810">
        <v>5.8363260334479801</v>
      </c>
      <c r="AG5810">
        <v>-1.117590987022</v>
      </c>
      <c r="AH5810">
        <v>38.629660292946099</v>
      </c>
      <c r="AI5810">
        <v>91.638570942943801</v>
      </c>
      <c r="AJ5810">
        <v>81.408498604038101</v>
      </c>
      <c r="AK5810">
        <v>39.084042338675701</v>
      </c>
      <c r="AL5810">
        <v>82.378310803052301</v>
      </c>
      <c r="AM5810">
        <v>88.963184234982094</v>
      </c>
      <c r="AN5810">
        <v>0.99999997487658399</v>
      </c>
    </row>
    <row r="5811" spans="1:40" x14ac:dyDescent="0.25">
      <c r="A5811" t="str">
        <f>"20190303162029021"</f>
        <v>20190303162029021</v>
      </c>
      <c r="B5811" t="str">
        <f>"1551601229008849"</f>
        <v>1551601229008849</v>
      </c>
      <c r="C5811" t="s">
        <v>40</v>
      </c>
      <c r="D5811">
        <v>4.9256289999999998</v>
      </c>
      <c r="E5811">
        <v>0.54760500000000001</v>
      </c>
      <c r="F5811" t="s">
        <v>41</v>
      </c>
      <c r="G5811">
        <v>-192.85679999999999</v>
      </c>
      <c r="H5811" s="1">
        <v>-1.225854E-6</v>
      </c>
      <c r="I5811">
        <v>160.57689999999999</v>
      </c>
      <c r="J5811">
        <v>-193.27099999999999</v>
      </c>
      <c r="K5811">
        <v>1.1179140000000001</v>
      </c>
      <c r="L5811">
        <v>201.07759999999999</v>
      </c>
      <c r="M5811">
        <v>0.15044759999999999</v>
      </c>
      <c r="N5811">
        <v>-1.454336E-2</v>
      </c>
      <c r="O5811">
        <v>-0.98851089999999997</v>
      </c>
      <c r="P5811">
        <v>0.13715529999999901</v>
      </c>
      <c r="Q5811">
        <v>0.1168921</v>
      </c>
      <c r="R5811">
        <v>-0.98362810000000001</v>
      </c>
      <c r="S5811">
        <v>3.20282E-2</v>
      </c>
      <c r="T5811">
        <v>-8.4103940000000002E-2</v>
      </c>
      <c r="U5811">
        <v>-3.0566409999999999</v>
      </c>
      <c r="V5811">
        <v>1.358646E-2</v>
      </c>
      <c r="W5811">
        <v>0.13120509999999999</v>
      </c>
      <c r="X5811">
        <v>0.99126210000000003</v>
      </c>
      <c r="Y5811">
        <v>0.1400544</v>
      </c>
      <c r="Z5811">
        <v>1.236976E-2</v>
      </c>
      <c r="AA5811">
        <v>0.99006649999999996</v>
      </c>
      <c r="AB5811">
        <v>18</v>
      </c>
      <c r="AC5811">
        <v>0.41419999999999302</v>
      </c>
      <c r="AD5811">
        <v>-1.1179152258539999</v>
      </c>
      <c r="AE5811">
        <v>-40.500700000000002</v>
      </c>
      <c r="AF5811">
        <v>5.6800665435731998</v>
      </c>
      <c r="AG5811">
        <v>-1.1179152258539999</v>
      </c>
      <c r="AH5811">
        <v>40.071417376632603</v>
      </c>
      <c r="AI5811">
        <v>91.582218918321104</v>
      </c>
      <c r="AJ5811">
        <v>81.932152892231997</v>
      </c>
      <c r="AK5811">
        <v>40.487422503339303</v>
      </c>
      <c r="AL5811">
        <v>82.460763724429299</v>
      </c>
      <c r="AM5811">
        <v>89.214740404651096</v>
      </c>
      <c r="AN5811">
        <v>0.99999996052887496</v>
      </c>
    </row>
    <row r="5812" spans="1:40" x14ac:dyDescent="0.25">
      <c r="A5812" t="str">
        <f>"20190303162029036"</f>
        <v>20190303162029036</v>
      </c>
      <c r="B5812" t="str">
        <f>"1551601229028368"</f>
        <v>1551601229028368</v>
      </c>
      <c r="C5812" t="s">
        <v>40</v>
      </c>
      <c r="D5812">
        <v>4.9113220000000002</v>
      </c>
      <c r="E5812">
        <v>0.54780359999999995</v>
      </c>
      <c r="F5812" t="s">
        <v>41</v>
      </c>
      <c r="G5812">
        <v>-192.87379999999999</v>
      </c>
      <c r="H5812" s="1">
        <v>-1.68645E-6</v>
      </c>
      <c r="I5812">
        <v>161.54169999999999</v>
      </c>
      <c r="J5812">
        <v>-193.25960000000001</v>
      </c>
      <c r="K5812">
        <v>1.118249</v>
      </c>
      <c r="L5812">
        <v>200.95820000000001</v>
      </c>
      <c r="M5812">
        <v>0.14511089999999999</v>
      </c>
      <c r="N5812">
        <v>-1.4449210000000001E-2</v>
      </c>
      <c r="O5812">
        <v>-0.98930989999999996</v>
      </c>
      <c r="P5812">
        <v>0.13549829999999999</v>
      </c>
      <c r="Q5812">
        <v>0.1161577</v>
      </c>
      <c r="R5812">
        <v>-0.98394530000000002</v>
      </c>
      <c r="S5812">
        <v>3.0700680000000001E-2</v>
      </c>
      <c r="T5812">
        <v>-8.6408620000000005E-2</v>
      </c>
      <c r="U5812">
        <v>-3.0559080000000001</v>
      </c>
      <c r="V5812">
        <v>9.7931100000000007E-3</v>
      </c>
      <c r="W5812">
        <v>0.13042129999999999</v>
      </c>
      <c r="X5812">
        <v>0.99141029999999997</v>
      </c>
      <c r="Y5812">
        <v>0.13513800000000001</v>
      </c>
      <c r="Z5812">
        <v>1.3249840000000001E-2</v>
      </c>
      <c r="AA5812">
        <v>0.99073820000000001</v>
      </c>
      <c r="AB5812">
        <v>18</v>
      </c>
      <c r="AC5812">
        <v>0.38580000000001702</v>
      </c>
      <c r="AD5812">
        <v>-1.1182506864499999</v>
      </c>
      <c r="AE5812">
        <v>-39.416499999999999</v>
      </c>
      <c r="AF5812">
        <v>5.3343522623789701</v>
      </c>
      <c r="AG5812">
        <v>-1.1182506864499999</v>
      </c>
      <c r="AH5812">
        <v>39.023788213318397</v>
      </c>
      <c r="AI5812">
        <v>91.626281298215503</v>
      </c>
      <c r="AJ5812">
        <v>82.216202105722303</v>
      </c>
      <c r="AK5812">
        <v>39.402561403731397</v>
      </c>
      <c r="AL5812">
        <v>82.506061711315695</v>
      </c>
      <c r="AM5812">
        <v>89.434053062948195</v>
      </c>
      <c r="AN5812">
        <v>1.00000000172162</v>
      </c>
    </row>
    <row r="5813" spans="1:40" x14ac:dyDescent="0.25">
      <c r="A5813" t="str">
        <f>"20190303162029051"</f>
        <v>20190303162029051</v>
      </c>
      <c r="B5813" t="str">
        <f>"1551601229038128"</f>
        <v>1551601229038128</v>
      </c>
      <c r="C5813" t="s">
        <v>40</v>
      </c>
      <c r="D5813">
        <v>4.8818339999999996</v>
      </c>
      <c r="E5813">
        <v>0.54789909999999997</v>
      </c>
      <c r="F5813" t="s">
        <v>50</v>
      </c>
      <c r="G5813">
        <v>-192.92599999999999</v>
      </c>
      <c r="H5813" s="1">
        <v>-1.49029799999999E-5</v>
      </c>
      <c r="I5813">
        <v>159.3202</v>
      </c>
      <c r="J5813">
        <v>-193.24719999999999</v>
      </c>
      <c r="K5813">
        <v>1.118614</v>
      </c>
      <c r="L5813">
        <v>200.82740000000001</v>
      </c>
      <c r="M5813">
        <v>0.13967209999999999</v>
      </c>
      <c r="N5813">
        <v>-1.434946E-2</v>
      </c>
      <c r="O5813">
        <v>-0.99009380000000002</v>
      </c>
      <c r="P5813">
        <v>0.13693060000000001</v>
      </c>
      <c r="Q5813">
        <v>0.11632530000000001</v>
      </c>
      <c r="R5813">
        <v>-0.98372689999999996</v>
      </c>
      <c r="S5813">
        <v>2.44751E-2</v>
      </c>
      <c r="T5813">
        <v>-8.2054730000000006E-2</v>
      </c>
      <c r="U5813">
        <v>-3.0552670000000002</v>
      </c>
      <c r="V5813">
        <v>2.7614660000000002E-3</v>
      </c>
      <c r="W5813">
        <v>0.1305489</v>
      </c>
      <c r="X5813">
        <v>0.99143800000000004</v>
      </c>
      <c r="Y5813">
        <v>0.13171140000000001</v>
      </c>
      <c r="Z5813">
        <v>1.1996110000000001E-2</v>
      </c>
      <c r="AA5813">
        <v>0.99121550000000003</v>
      </c>
      <c r="AB5813">
        <v>18</v>
      </c>
      <c r="AC5813">
        <v>0.32120000000000398</v>
      </c>
      <c r="AD5813">
        <v>-1.1186289029799901</v>
      </c>
      <c r="AE5813">
        <v>-41.507199999999997</v>
      </c>
      <c r="AF5813">
        <v>5.4759670057687799</v>
      </c>
      <c r="AG5813">
        <v>-1.1186289029799901</v>
      </c>
      <c r="AH5813">
        <v>41.115260781944301</v>
      </c>
      <c r="AI5813">
        <v>91.544835607902201</v>
      </c>
      <c r="AJ5813">
        <v>82.413664770835595</v>
      </c>
      <c r="AK5813">
        <v>41.493399649078398</v>
      </c>
      <c r="AL5813">
        <v>82.498687518246697</v>
      </c>
      <c r="AM5813">
        <v>89.8404136840484</v>
      </c>
      <c r="AN5813">
        <v>0.99999997441483901</v>
      </c>
    </row>
    <row r="5814" spans="1:40" x14ac:dyDescent="0.25">
      <c r="A5814" t="str">
        <f>"20190303162029068"</f>
        <v>20190303162029068</v>
      </c>
      <c r="B5814" t="str">
        <f>"1551601229058624"</f>
        <v>1551601229058624</v>
      </c>
      <c r="C5814" t="s">
        <v>40</v>
      </c>
      <c r="D5814">
        <v>4.8849239999999998</v>
      </c>
      <c r="E5814">
        <v>0.54796389999999995</v>
      </c>
      <c r="F5814" t="s">
        <v>50</v>
      </c>
      <c r="G5814">
        <v>-192.83760000000001</v>
      </c>
      <c r="H5814" s="1">
        <v>-1.48556399999999E-5</v>
      </c>
      <c r="I5814">
        <v>159.13200000000001</v>
      </c>
      <c r="J5814">
        <v>-193.23480000000001</v>
      </c>
      <c r="K5814">
        <v>1.119016</v>
      </c>
      <c r="L5814">
        <v>200.69479999999999</v>
      </c>
      <c r="M5814">
        <v>0.1346484</v>
      </c>
      <c r="N5814">
        <v>-1.425189E-2</v>
      </c>
      <c r="O5814">
        <v>-0.99079110000000004</v>
      </c>
      <c r="P5814">
        <v>0.13612460000000001</v>
      </c>
      <c r="Q5814">
        <v>0.1165704</v>
      </c>
      <c r="R5814">
        <v>-0.98380979999999996</v>
      </c>
      <c r="S5814">
        <v>3.0014039999999999E-2</v>
      </c>
      <c r="T5814">
        <v>-8.1965330000000003E-2</v>
      </c>
      <c r="U5814">
        <v>-3.055145</v>
      </c>
      <c r="V5814">
        <v>-1.5967589999999999E-3</v>
      </c>
      <c r="W5814">
        <v>0.1307257</v>
      </c>
      <c r="X5814">
        <v>0.99141729999999995</v>
      </c>
      <c r="Y5814">
        <v>0.1248853</v>
      </c>
      <c r="Z5814">
        <v>1.2107079999999999E-2</v>
      </c>
      <c r="AA5814">
        <v>0.99209729999999996</v>
      </c>
      <c r="AB5814">
        <v>18</v>
      </c>
      <c r="AC5814">
        <v>0.397199999999998</v>
      </c>
      <c r="AD5814">
        <v>-1.1190308556399999</v>
      </c>
      <c r="AE5814">
        <v>-41.562799999999903</v>
      </c>
      <c r="AF5814">
        <v>5.1995811516633301</v>
      </c>
      <c r="AG5814">
        <v>-1.1190308556399999</v>
      </c>
      <c r="AH5814">
        <v>41.2078478901769</v>
      </c>
      <c r="AI5814">
        <v>91.5432976390492</v>
      </c>
      <c r="AJ5814">
        <v>82.808458812087395</v>
      </c>
      <c r="AK5814">
        <v>41.549664282019997</v>
      </c>
      <c r="AL5814">
        <v>82.488470335572799</v>
      </c>
      <c r="AM5814">
        <v>90.092279479583596</v>
      </c>
      <c r="AN5814">
        <v>1.0000000105095399</v>
      </c>
    </row>
    <row r="5815" spans="1:40" x14ac:dyDescent="0.25">
      <c r="A5815" t="str">
        <f>"20190303162029082"</f>
        <v>20190303162029082</v>
      </c>
      <c r="B5815" t="str">
        <f>"1551601229078145"</f>
        <v>1551601229078145</v>
      </c>
      <c r="C5815" t="s">
        <v>40</v>
      </c>
      <c r="D5815">
        <v>4.9174319999999998</v>
      </c>
      <c r="E5815">
        <v>0.54811189999999999</v>
      </c>
      <c r="F5815" t="s">
        <v>50</v>
      </c>
      <c r="G5815">
        <v>-192.85149999999999</v>
      </c>
      <c r="H5815" s="1">
        <v>-1.4742150000000001E-5</v>
      </c>
      <c r="I5815">
        <v>158.68100000000001</v>
      </c>
      <c r="J5815">
        <v>-193.2243</v>
      </c>
      <c r="K5815">
        <v>1.1193610000000001</v>
      </c>
      <c r="L5815">
        <v>200.58160000000001</v>
      </c>
      <c r="M5815">
        <v>0.13080890000000001</v>
      </c>
      <c r="N5815">
        <v>-1.4171700000000001E-2</v>
      </c>
      <c r="O5815">
        <v>-0.99130640000000003</v>
      </c>
      <c r="P5815">
        <v>0.13531770000000001</v>
      </c>
      <c r="Q5815">
        <v>0.116018899999999</v>
      </c>
      <c r="R5815">
        <v>-0.98398640000000004</v>
      </c>
      <c r="S5815">
        <v>2.7877809999999999E-2</v>
      </c>
      <c r="T5815">
        <v>-8.1373570000000006E-2</v>
      </c>
      <c r="U5815">
        <v>-3.055161</v>
      </c>
      <c r="V5815">
        <v>-4.7366300000000004E-3</v>
      </c>
      <c r="W5815">
        <v>0.13011019999999901</v>
      </c>
      <c r="X5815">
        <v>0.99148820000000004</v>
      </c>
      <c r="Y5815">
        <v>0.12173580000000001</v>
      </c>
      <c r="Z5815">
        <v>1.2021840000000001E-2</v>
      </c>
      <c r="AA5815">
        <v>0.99248979999999998</v>
      </c>
      <c r="AB5815">
        <v>18</v>
      </c>
      <c r="AC5815">
        <v>0.37280000000001201</v>
      </c>
      <c r="AD5815">
        <v>-1.1193757421499999</v>
      </c>
      <c r="AE5815">
        <v>-41.900599999999997</v>
      </c>
      <c r="AF5815">
        <v>5.1082798029234997</v>
      </c>
      <c r="AG5815">
        <v>-1.1193757421499999</v>
      </c>
      <c r="AH5815">
        <v>41.559612769656098</v>
      </c>
      <c r="AI5815">
        <v>91.531325397692697</v>
      </c>
      <c r="AJ5815">
        <v>82.992664668874198</v>
      </c>
      <c r="AK5815">
        <v>41.887336250480601</v>
      </c>
      <c r="AL5815">
        <v>82.524039417181697</v>
      </c>
      <c r="AM5815">
        <v>90.273716665058899</v>
      </c>
      <c r="AN5815">
        <v>0.99999997527351803</v>
      </c>
    </row>
    <row r="5816" spans="1:40" x14ac:dyDescent="0.25">
      <c r="A5816" t="str">
        <f>"20190303162029097"</f>
        <v>20190303162029097</v>
      </c>
      <c r="B5816" t="str">
        <f>"1551601229087904"</f>
        <v>1551601229087904</v>
      </c>
      <c r="C5816" t="s">
        <v>40</v>
      </c>
      <c r="D5816">
        <v>4.9001989999999997</v>
      </c>
      <c r="E5816">
        <v>0.54804419999999898</v>
      </c>
      <c r="F5816" t="s">
        <v>50</v>
      </c>
      <c r="G5816">
        <v>-192.8775</v>
      </c>
      <c r="H5816" s="1">
        <v>-1.43093E-5</v>
      </c>
      <c r="I5816">
        <v>157.45509999999999</v>
      </c>
      <c r="J5816">
        <v>-193.2131</v>
      </c>
      <c r="K5816">
        <v>1.119713</v>
      </c>
      <c r="L5816">
        <v>200.4606</v>
      </c>
      <c r="M5816">
        <v>0.12717220000000001</v>
      </c>
      <c r="N5816">
        <v>-1.409027E-2</v>
      </c>
      <c r="O5816">
        <v>-0.99178080000000002</v>
      </c>
      <c r="P5816">
        <v>0.13578489999999999</v>
      </c>
      <c r="Q5816">
        <v>0.11172700000000001</v>
      </c>
      <c r="R5816">
        <v>-0.98441869999999998</v>
      </c>
      <c r="S5816">
        <v>2.4566649999999999E-2</v>
      </c>
      <c r="T5816">
        <v>-7.9289079999999998E-2</v>
      </c>
      <c r="U5816">
        <v>-3.0547939999999998</v>
      </c>
      <c r="V5816">
        <v>-8.9209860000000005E-3</v>
      </c>
      <c r="W5816">
        <v>0.12575839999999999</v>
      </c>
      <c r="X5816">
        <v>0.99202080000000004</v>
      </c>
      <c r="Y5816">
        <v>0.119171</v>
      </c>
      <c r="Z5816">
        <v>1.1457200000000001E-2</v>
      </c>
      <c r="AA5816">
        <v>0.99280760000000001</v>
      </c>
      <c r="AB5816">
        <v>18</v>
      </c>
      <c r="AC5816">
        <v>0.33559999999999901</v>
      </c>
      <c r="AD5816">
        <v>-1.1197273093</v>
      </c>
      <c r="AE5816">
        <v>-43.005499999999998</v>
      </c>
      <c r="AF5816">
        <v>5.1332914383899197</v>
      </c>
      <c r="AG5816">
        <v>-1.1197273093</v>
      </c>
      <c r="AH5816">
        <v>42.6700122517151</v>
      </c>
      <c r="AI5816">
        <v>91.492429206584802</v>
      </c>
      <c r="AJ5816">
        <v>83.140164705238107</v>
      </c>
      <c r="AK5816">
        <v>42.992259952230398</v>
      </c>
      <c r="AL5816">
        <v>82.775445575019106</v>
      </c>
      <c r="AM5816">
        <v>90.515232210026497</v>
      </c>
      <c r="AN5816">
        <v>1.0000000133972</v>
      </c>
    </row>
    <row r="5817" spans="1:40" x14ac:dyDescent="0.25">
      <c r="A5817" t="str">
        <f>"20190303162029122"</f>
        <v>20190303162029122</v>
      </c>
      <c r="B5817" t="str">
        <f>"1551601229108400"</f>
        <v>1551601229108400</v>
      </c>
      <c r="C5817" t="s">
        <v>40</v>
      </c>
      <c r="D5817">
        <v>4.9160879999999896</v>
      </c>
      <c r="E5817">
        <v>0.54789160000000003</v>
      </c>
      <c r="F5817" t="s">
        <v>41</v>
      </c>
      <c r="G5817">
        <v>-192.89019999999999</v>
      </c>
      <c r="H5817" s="1">
        <v>-2.3471669999999999E-6</v>
      </c>
      <c r="I5817">
        <v>162.93020000000001</v>
      </c>
      <c r="J5817">
        <v>-193.19540000000001</v>
      </c>
      <c r="K5817">
        <v>1.120241</v>
      </c>
      <c r="L5817">
        <v>200.27199999999999</v>
      </c>
      <c r="M5817">
        <v>0.1222892</v>
      </c>
      <c r="N5817">
        <v>-1.3971280000000001E-2</v>
      </c>
      <c r="O5817">
        <v>-0.99239619999999995</v>
      </c>
      <c r="P5817">
        <v>0.13258300000000001</v>
      </c>
      <c r="Q5817">
        <v>0.10761370000000001</v>
      </c>
      <c r="R5817">
        <v>-0.98531299999999999</v>
      </c>
      <c r="S5817">
        <v>2.6275630000000001E-2</v>
      </c>
      <c r="T5817">
        <v>-9.1122030000000007E-2</v>
      </c>
      <c r="U5817">
        <v>-3.054214</v>
      </c>
      <c r="V5817">
        <v>-1.070479E-2</v>
      </c>
      <c r="W5817">
        <v>0.1215263</v>
      </c>
      <c r="X5817">
        <v>0.99253049999999998</v>
      </c>
      <c r="Y5817">
        <v>0.1137244</v>
      </c>
      <c r="Z5817">
        <v>1.5428030000000001E-2</v>
      </c>
      <c r="AA5817">
        <v>0.99339250000000001</v>
      </c>
      <c r="AB5817">
        <v>18</v>
      </c>
      <c r="AC5817">
        <v>0.30520000000001302</v>
      </c>
      <c r="AD5817">
        <v>-1.1202433471669999</v>
      </c>
      <c r="AE5817">
        <v>-37.341799999999999</v>
      </c>
      <c r="AF5817">
        <v>4.2602017247971196</v>
      </c>
      <c r="AG5817">
        <v>-1.1202433471669999</v>
      </c>
      <c r="AH5817">
        <v>37.065446837056903</v>
      </c>
      <c r="AI5817">
        <v>91.719829710394094</v>
      </c>
      <c r="AJ5817">
        <v>83.443350183856197</v>
      </c>
      <c r="AK5817">
        <v>37.326285820096302</v>
      </c>
      <c r="AL5817">
        <v>83.019802221336406</v>
      </c>
      <c r="AM5817">
        <v>90.617931143927507</v>
      </c>
      <c r="AN5817">
        <v>1.0000000137754399</v>
      </c>
    </row>
    <row r="5818" spans="1:40" x14ac:dyDescent="0.25">
      <c r="A5818" t="str">
        <f>"20190303162029142"</f>
        <v>20190303162029142</v>
      </c>
      <c r="B5818" t="str">
        <f>"1551601229127920"</f>
        <v>1551601229127920</v>
      </c>
      <c r="C5818" t="s">
        <v>40</v>
      </c>
      <c r="D5818">
        <v>4.953354</v>
      </c>
      <c r="E5818">
        <v>0.54784889999999997</v>
      </c>
      <c r="F5818" t="s">
        <v>41</v>
      </c>
      <c r="G5818">
        <v>-193.00190000000001</v>
      </c>
      <c r="H5818" s="1">
        <v>-4.0988730000000002E-6</v>
      </c>
      <c r="I5818">
        <v>166.57320000000001</v>
      </c>
      <c r="J5818">
        <v>-193.179</v>
      </c>
      <c r="K5818">
        <v>1.1207260000000001</v>
      </c>
      <c r="L5818">
        <v>200.0993</v>
      </c>
      <c r="M5818">
        <v>0.1187589</v>
      </c>
      <c r="N5818">
        <v>-1.387325E-2</v>
      </c>
      <c r="O5818">
        <v>-0.99282630000000005</v>
      </c>
      <c r="P5818">
        <v>0.1291313</v>
      </c>
      <c r="Q5818">
        <v>0.10738399999999999</v>
      </c>
      <c r="R5818">
        <v>-0.98579620000000001</v>
      </c>
      <c r="S5818">
        <v>1.7532349999999999E-2</v>
      </c>
      <c r="T5818">
        <v>-0.1015055</v>
      </c>
      <c r="U5818">
        <v>-3.0534520000000001</v>
      </c>
      <c r="V5818">
        <v>-1.089739E-2</v>
      </c>
      <c r="W5818">
        <v>0.1211874</v>
      </c>
      <c r="X5818">
        <v>0.99256979999999995</v>
      </c>
      <c r="Y5818">
        <v>0.1130311</v>
      </c>
      <c r="Z5818">
        <v>1.8901129999999999E-2</v>
      </c>
      <c r="AA5818">
        <v>0.99341170000000001</v>
      </c>
      <c r="AB5818">
        <v>18</v>
      </c>
      <c r="AC5818">
        <v>0.17709999999999501</v>
      </c>
      <c r="AD5818">
        <v>-1.120730098873</v>
      </c>
      <c r="AE5818">
        <v>-33.5260999999999</v>
      </c>
      <c r="AF5818">
        <v>3.8018108246096598</v>
      </c>
      <c r="AG5818">
        <v>-1.120730098873</v>
      </c>
      <c r="AH5818">
        <v>33.2726481141991</v>
      </c>
      <c r="AI5818">
        <v>91.916715039343302</v>
      </c>
      <c r="AJ5818">
        <v>83.481519904847303</v>
      </c>
      <c r="AK5818">
        <v>33.507893309367503</v>
      </c>
      <c r="AL5818">
        <v>83.039364063522598</v>
      </c>
      <c r="AM5818">
        <v>90.629023137351993</v>
      </c>
      <c r="AN5818">
        <v>0.99999997344980496</v>
      </c>
    </row>
    <row r="5819" spans="1:40" x14ac:dyDescent="0.25">
      <c r="A5819" t="str">
        <f>"20190303162029158"</f>
        <v>20190303162029158</v>
      </c>
      <c r="B5819" t="str">
        <f>"1551601229148416"</f>
        <v>1551601229148416</v>
      </c>
      <c r="C5819" t="s">
        <v>40</v>
      </c>
      <c r="D5819">
        <v>4.9632649999999998</v>
      </c>
      <c r="E5819">
        <v>0.54765059999999999</v>
      </c>
      <c r="F5819" t="s">
        <v>41</v>
      </c>
      <c r="G5819">
        <v>-193.10300000000001</v>
      </c>
      <c r="H5819" s="1">
        <v>-3.6357190000000001E-6</v>
      </c>
      <c r="I5819">
        <v>165.53630000000001</v>
      </c>
      <c r="J5819">
        <v>-193.167</v>
      </c>
      <c r="K5819">
        <v>1.1210519999999999</v>
      </c>
      <c r="L5819">
        <v>199.97640000000001</v>
      </c>
      <c r="M5819">
        <v>0.1168083</v>
      </c>
      <c r="N5819">
        <v>-1.38117E-2</v>
      </c>
      <c r="O5819">
        <v>-0.99305860000000001</v>
      </c>
      <c r="P5819">
        <v>0.1270261</v>
      </c>
      <c r="Q5819">
        <v>0.1091077</v>
      </c>
      <c r="R5819">
        <v>-0.9858806</v>
      </c>
      <c r="S5819">
        <v>6.7138669999999897E-3</v>
      </c>
      <c r="T5819">
        <v>-9.8999980000000001E-2</v>
      </c>
      <c r="U5819">
        <v>-3.053131</v>
      </c>
      <c r="V5819">
        <v>-1.0841689999999999E-2</v>
      </c>
      <c r="W5819">
        <v>0.12283819999999999</v>
      </c>
      <c r="X5819">
        <v>0.99236749999999996</v>
      </c>
      <c r="Y5819">
        <v>0.1145987</v>
      </c>
      <c r="Z5819">
        <v>1.81634E-2</v>
      </c>
      <c r="AA5819">
        <v>0.99324579999999996</v>
      </c>
      <c r="AB5819">
        <v>18</v>
      </c>
      <c r="AC5819">
        <v>6.4000000000021304E-2</v>
      </c>
      <c r="AD5819">
        <v>-1.121055635719</v>
      </c>
      <c r="AE5819">
        <v>-34.440100000000001</v>
      </c>
      <c r="AF5819">
        <v>3.9555197443818999</v>
      </c>
      <c r="AG5819">
        <v>-1.121055635719</v>
      </c>
      <c r="AH5819">
        <v>34.175560058188999</v>
      </c>
      <c r="AI5819">
        <v>91.866340669282707</v>
      </c>
      <c r="AJ5819">
        <v>83.397894776379005</v>
      </c>
      <c r="AK5819">
        <v>34.4219669321417</v>
      </c>
      <c r="AL5819">
        <v>82.944068437703706</v>
      </c>
      <c r="AM5819">
        <v>90.625935822483598</v>
      </c>
      <c r="AN5819">
        <v>1.0000000103387701</v>
      </c>
    </row>
    <row r="5820" spans="1:40" x14ac:dyDescent="0.25">
      <c r="A5820" t="str">
        <f>"20190303162029174"</f>
        <v>20190303162029174</v>
      </c>
      <c r="B5820" t="str">
        <f>"1551601229167937"</f>
        <v>1551601229167937</v>
      </c>
      <c r="C5820" t="s">
        <v>40</v>
      </c>
      <c r="D5820">
        <v>4.946726</v>
      </c>
      <c r="E5820">
        <v>0.54749479999999995</v>
      </c>
      <c r="F5820" t="s">
        <v>41</v>
      </c>
      <c r="G5820">
        <v>-193.14189999999999</v>
      </c>
      <c r="H5820" s="1">
        <v>-2.157473E-6</v>
      </c>
      <c r="I5820">
        <v>162.38720000000001</v>
      </c>
      <c r="J5820">
        <v>-193.15309999999999</v>
      </c>
      <c r="K5820">
        <v>1.121416</v>
      </c>
      <c r="L5820">
        <v>199.8355</v>
      </c>
      <c r="M5820">
        <v>0.1150229</v>
      </c>
      <c r="N5820">
        <v>-1.374863E-2</v>
      </c>
      <c r="O5820">
        <v>-0.99326769999999998</v>
      </c>
      <c r="P5820">
        <v>0.1257894</v>
      </c>
      <c r="Q5820">
        <v>0.1119983</v>
      </c>
      <c r="R5820">
        <v>-0.98571489999999995</v>
      </c>
      <c r="S5820">
        <v>2.0446779999999999E-3</v>
      </c>
      <c r="T5820">
        <v>-9.1044780000000006E-2</v>
      </c>
      <c r="U5820">
        <v>-3.0527500000000001</v>
      </c>
      <c r="V5820">
        <v>-1.1520890000000001E-2</v>
      </c>
      <c r="W5820">
        <v>0.1256524</v>
      </c>
      <c r="X5820">
        <v>0.99200739999999998</v>
      </c>
      <c r="Y5820">
        <v>0.11433400000000001</v>
      </c>
      <c r="Z5820">
        <v>1.5671290000000001E-2</v>
      </c>
      <c r="AA5820">
        <v>0.9933187</v>
      </c>
      <c r="AB5820">
        <v>18</v>
      </c>
      <c r="AC5820">
        <v>1.12000000000023E-2</v>
      </c>
      <c r="AD5820">
        <v>-1.121418157473</v>
      </c>
      <c r="AE5820">
        <v>-37.448299999999897</v>
      </c>
      <c r="AF5820">
        <v>4.2928439394361897</v>
      </c>
      <c r="AG5820">
        <v>-1.121418157473</v>
      </c>
      <c r="AH5820">
        <v>37.1676608226905</v>
      </c>
      <c r="AI5820">
        <v>91.716790763164298</v>
      </c>
      <c r="AJ5820">
        <v>83.411563011925097</v>
      </c>
      <c r="AK5820">
        <v>37.431552182654997</v>
      </c>
      <c r="AL5820">
        <v>82.781567167440599</v>
      </c>
      <c r="AM5820">
        <v>90.665386869066396</v>
      </c>
      <c r="AN5820">
        <v>0.99999996909345501</v>
      </c>
    </row>
    <row r="5821" spans="1:40" x14ac:dyDescent="0.25">
      <c r="A5821" t="str">
        <f>"20190303162029188"</f>
        <v>20190303162029188</v>
      </c>
      <c r="B5821" t="str">
        <f>"1551601229177696"</f>
        <v>1551601229177696</v>
      </c>
      <c r="C5821" t="s">
        <v>40</v>
      </c>
      <c r="D5821">
        <v>4.989973</v>
      </c>
      <c r="E5821">
        <v>0.54273269999999996</v>
      </c>
      <c r="F5821" t="s">
        <v>50</v>
      </c>
      <c r="G5821">
        <v>-193.15600000000001</v>
      </c>
      <c r="H5821" s="1">
        <v>-1.44936999999999E-5</v>
      </c>
      <c r="I5821">
        <v>157.82740000000001</v>
      </c>
      <c r="J5821">
        <v>-193.1422</v>
      </c>
      <c r="K5821">
        <v>1.121667</v>
      </c>
      <c r="L5821">
        <v>199.72800000000001</v>
      </c>
      <c r="M5821">
        <v>0.1139531</v>
      </c>
      <c r="N5821">
        <v>-1.37054E-2</v>
      </c>
      <c r="O5821">
        <v>-0.99339189999999999</v>
      </c>
      <c r="P5821">
        <v>0.12580079999999999</v>
      </c>
      <c r="Q5821">
        <v>0.11165650000000001</v>
      </c>
      <c r="R5821">
        <v>-0.98575230000000003</v>
      </c>
      <c r="S5821">
        <v>-2.13623E-4</v>
      </c>
      <c r="T5821">
        <v>-8.1495289999999998E-2</v>
      </c>
      <c r="U5821">
        <v>-3.052765</v>
      </c>
      <c r="V5821">
        <v>-1.2671440000000001E-2</v>
      </c>
      <c r="W5821">
        <v>0.1252617</v>
      </c>
      <c r="X5821">
        <v>0.9920428</v>
      </c>
      <c r="Y5821">
        <v>0.11400150000000001</v>
      </c>
      <c r="Z5821">
        <v>1.2635260000000001E-2</v>
      </c>
      <c r="AA5821">
        <v>0.99340019999999996</v>
      </c>
      <c r="AB5821">
        <v>18</v>
      </c>
      <c r="AC5821">
        <v>-1.37999999999749E-2</v>
      </c>
      <c r="AD5821">
        <v>-1.1216814936999999</v>
      </c>
      <c r="AE5821">
        <v>-41.900599999999898</v>
      </c>
      <c r="AF5821">
        <v>4.7854309741246404</v>
      </c>
      <c r="AG5821">
        <v>-1.1216814936999999</v>
      </c>
      <c r="AH5821">
        <v>41.596231617913404</v>
      </c>
      <c r="AI5821">
        <v>91.534543418788999</v>
      </c>
      <c r="AJ5821">
        <v>83.437269140808496</v>
      </c>
      <c r="AK5821">
        <v>41.885618102070701</v>
      </c>
      <c r="AL5821">
        <v>82.804131040711297</v>
      </c>
      <c r="AM5821">
        <v>90.731803660548294</v>
      </c>
      <c r="AN5821">
        <v>0.99999998795520095</v>
      </c>
    </row>
    <row r="5822" spans="1:40" x14ac:dyDescent="0.25">
      <c r="A5822" t="str">
        <f>"20190303162029200"</f>
        <v>20190303162029200</v>
      </c>
      <c r="B5822" t="str">
        <f>"1551601229188432"</f>
        <v>1551601229188432</v>
      </c>
      <c r="C5822" t="s">
        <v>40</v>
      </c>
      <c r="D5822">
        <v>4.9930219999999998</v>
      </c>
      <c r="E5822">
        <v>0.54228520000000002</v>
      </c>
      <c r="F5822" t="s">
        <v>50</v>
      </c>
      <c r="G5822">
        <v>-192.40950000000001</v>
      </c>
      <c r="H5822" s="1">
        <v>-8.6101030000000007E-6</v>
      </c>
      <c r="I5822">
        <v>140.3143</v>
      </c>
      <c r="J5822">
        <v>-193.13159999999999</v>
      </c>
      <c r="K5822">
        <v>1.1218729999999999</v>
      </c>
      <c r="L5822">
        <v>199.62549999999999</v>
      </c>
      <c r="M5822">
        <v>0.11320719999999999</v>
      </c>
      <c r="N5822">
        <v>-1.3668629999999999E-2</v>
      </c>
      <c r="O5822">
        <v>-0.99347750000000001</v>
      </c>
      <c r="P5822">
        <v>0.1269353</v>
      </c>
      <c r="Q5822">
        <v>0.11099009999999999</v>
      </c>
      <c r="R5822">
        <v>-0.98568180000000005</v>
      </c>
      <c r="S5822">
        <v>3.7551880000000003E-2</v>
      </c>
      <c r="T5822">
        <v>-5.74888E-2</v>
      </c>
      <c r="U5822">
        <v>-3.045105</v>
      </c>
      <c r="V5822">
        <v>-1.46141E-2</v>
      </c>
      <c r="W5822">
        <v>0.124552</v>
      </c>
      <c r="X5822">
        <v>0.99210540000000003</v>
      </c>
      <c r="Y5822">
        <v>0.1009351</v>
      </c>
      <c r="Z5822">
        <v>4.9864449999999999E-3</v>
      </c>
      <c r="AA5822">
        <v>0.99488049999999995</v>
      </c>
      <c r="AB5822">
        <v>18</v>
      </c>
      <c r="AC5822">
        <v>0.72209999999998298</v>
      </c>
      <c r="AD5822">
        <v>-1.12188161010299</v>
      </c>
      <c r="AE5822">
        <v>-59.3111999999999</v>
      </c>
      <c r="AF5822">
        <v>5.9954795755655796</v>
      </c>
      <c r="AG5822">
        <v>-1.12188161010299</v>
      </c>
      <c r="AH5822">
        <v>58.990492555243598</v>
      </c>
      <c r="AI5822">
        <v>91.083937604358496</v>
      </c>
      <c r="AJ5822">
        <v>84.196689262626805</v>
      </c>
      <c r="AK5822">
        <v>59.304996464027901</v>
      </c>
      <c r="AL5822">
        <v>82.845114539850002</v>
      </c>
      <c r="AM5822">
        <v>90.843928172368805</v>
      </c>
      <c r="AN5822">
        <v>0.99999994866598296</v>
      </c>
    </row>
    <row r="5823" spans="1:40" x14ac:dyDescent="0.25">
      <c r="A5823" t="str">
        <f>"20190303162029219"</f>
        <v>20190303162029219</v>
      </c>
      <c r="B5823" t="str">
        <f>"1551601229208458"</f>
        <v>1551601229208458</v>
      </c>
      <c r="C5823" t="s">
        <v>40</v>
      </c>
      <c r="D5823">
        <v>4.9957729999999998</v>
      </c>
      <c r="E5823">
        <v>0.5415643</v>
      </c>
      <c r="F5823" t="s">
        <v>50</v>
      </c>
      <c r="G5823">
        <v>-192.38800000000001</v>
      </c>
      <c r="H5823" s="1">
        <v>-1.0805360000000001E-5</v>
      </c>
      <c r="I5823">
        <v>148.42850000000001</v>
      </c>
      <c r="J5823">
        <v>-193.11709999999999</v>
      </c>
      <c r="K5823">
        <v>1.122115</v>
      </c>
      <c r="L5823">
        <v>199.48750000000001</v>
      </c>
      <c r="M5823">
        <v>0.1125357</v>
      </c>
      <c r="N5823">
        <v>-1.3624610000000001E-2</v>
      </c>
      <c r="O5823">
        <v>-0.99355450000000001</v>
      </c>
      <c r="P5823">
        <v>0.12878310000000001</v>
      </c>
      <c r="Q5823">
        <v>0.1092812</v>
      </c>
      <c r="R5823">
        <v>-0.98563339999999999</v>
      </c>
      <c r="S5823">
        <v>4.423523E-2</v>
      </c>
      <c r="T5823">
        <v>-6.6734189999999999E-2</v>
      </c>
      <c r="U5823">
        <v>-3.04541</v>
      </c>
      <c r="V5823">
        <v>-1.7193739999999999E-2</v>
      </c>
      <c r="W5823">
        <v>0.12279039999999999</v>
      </c>
      <c r="X5823">
        <v>0.99228369999999999</v>
      </c>
      <c r="Y5823">
        <v>9.8079429999999995E-2</v>
      </c>
      <c r="Z5823">
        <v>8.0329240000000003E-3</v>
      </c>
      <c r="AA5823">
        <v>0.99514619999999998</v>
      </c>
      <c r="AB5823">
        <v>18</v>
      </c>
      <c r="AC5823">
        <v>0.72909999999998798</v>
      </c>
      <c r="AD5823">
        <v>-1.1221258053600001</v>
      </c>
      <c r="AE5823">
        <v>-51.058999999999997</v>
      </c>
      <c r="AF5823">
        <v>5.0196007857508897</v>
      </c>
      <c r="AG5823">
        <v>-1.1221258053600001</v>
      </c>
      <c r="AH5823">
        <v>50.7921270086769</v>
      </c>
      <c r="AI5823">
        <v>91.2594685070314</v>
      </c>
      <c r="AJ5823">
        <v>84.355993672036405</v>
      </c>
      <c r="AK5823">
        <v>51.051892466753202</v>
      </c>
      <c r="AL5823">
        <v>82.946828165199605</v>
      </c>
      <c r="AM5823">
        <v>90.992690056298798</v>
      </c>
      <c r="AN5823">
        <v>1.0000000241565099</v>
      </c>
    </row>
    <row r="5824" spans="1:40" x14ac:dyDescent="0.25">
      <c r="A5824" t="str">
        <f>"20190303162029232"</f>
        <v>20190303162029232</v>
      </c>
      <c r="B5824" t="str">
        <f>"1551601229227978"</f>
        <v>1551601229227978</v>
      </c>
      <c r="C5824" t="s">
        <v>40</v>
      </c>
      <c r="D5824">
        <v>5.0182120000000001</v>
      </c>
      <c r="E5824">
        <v>0.54077909999999996</v>
      </c>
      <c r="F5824" t="s">
        <v>50</v>
      </c>
      <c r="G5824">
        <v>-192.23220000000001</v>
      </c>
      <c r="H5824" s="1">
        <v>-1.168528E-5</v>
      </c>
      <c r="I5824">
        <v>151.0016</v>
      </c>
      <c r="J5824">
        <v>-193.10550000000001</v>
      </c>
      <c r="K5824">
        <v>1.1222639999999999</v>
      </c>
      <c r="L5824">
        <v>199.38030000000001</v>
      </c>
      <c r="M5824">
        <v>0.11223039999999899</v>
      </c>
      <c r="N5824">
        <v>-1.359408E-2</v>
      </c>
      <c r="O5824">
        <v>-0.99358919999999995</v>
      </c>
      <c r="P5824">
        <v>0.12840180000000001</v>
      </c>
      <c r="Q5824">
        <v>0.10945390000000001</v>
      </c>
      <c r="R5824">
        <v>-0.98566339999999997</v>
      </c>
      <c r="S5824">
        <v>5.5557250000000002E-2</v>
      </c>
      <c r="T5824">
        <v>-7.0454959999999997E-2</v>
      </c>
      <c r="U5824">
        <v>-3.0442809999999998</v>
      </c>
      <c r="V5824">
        <v>-1.7158429999999999E-2</v>
      </c>
      <c r="W5824">
        <v>0.1229267</v>
      </c>
      <c r="X5824">
        <v>0.99226740000000002</v>
      </c>
      <c r="Y5824">
        <v>9.4067940000000003E-2</v>
      </c>
      <c r="Z5824">
        <v>9.2861690000000004E-3</v>
      </c>
      <c r="AA5824">
        <v>0.99552249999999998</v>
      </c>
      <c r="AB5824">
        <v>18</v>
      </c>
      <c r="AC5824">
        <v>0.87329999999999997</v>
      </c>
      <c r="AD5824">
        <v>-1.12227568528</v>
      </c>
      <c r="AE5824">
        <v>-48.378700000000002</v>
      </c>
      <c r="AF5824">
        <v>4.5598280664204998</v>
      </c>
      <c r="AG5824">
        <v>-1.12227568528</v>
      </c>
      <c r="AH5824">
        <v>48.1451166826171</v>
      </c>
      <c r="AI5824">
        <v>91.329391423779398</v>
      </c>
      <c r="AJ5824">
        <v>84.589650315452005</v>
      </c>
      <c r="AK5824">
        <v>48.373585716710103</v>
      </c>
      <c r="AL5824">
        <v>82.938958888283096</v>
      </c>
      <c r="AM5824">
        <v>90.990668090896605</v>
      </c>
      <c r="AN5824">
        <v>0.99999998919785704</v>
      </c>
    </row>
    <row r="5825" spans="1:40" x14ac:dyDescent="0.25">
      <c r="A5825" t="str">
        <f>"20190303162029247"</f>
        <v>20190303162029247</v>
      </c>
      <c r="B5825" t="str">
        <f>"1551601229237739"</f>
        <v>1551601229237739</v>
      </c>
      <c r="C5825" t="s">
        <v>40</v>
      </c>
      <c r="D5825">
        <v>5.0502799999999999</v>
      </c>
      <c r="E5825">
        <v>0.54025129999999999</v>
      </c>
      <c r="F5825" t="s">
        <v>50</v>
      </c>
      <c r="G5825">
        <v>-192.08279999999999</v>
      </c>
      <c r="H5825" s="1">
        <v>-1.080356E-5</v>
      </c>
      <c r="I5825">
        <v>148.62690000000001</v>
      </c>
      <c r="J5825">
        <v>-193.09289999999999</v>
      </c>
      <c r="K5825">
        <v>1.12239</v>
      </c>
      <c r="L5825">
        <v>199.26400000000001</v>
      </c>
      <c r="M5825">
        <v>0.11206670000000001</v>
      </c>
      <c r="N5825">
        <v>-1.35639E-2</v>
      </c>
      <c r="O5825">
        <v>-0.9936083</v>
      </c>
      <c r="P5825">
        <v>0.12752359999999999</v>
      </c>
      <c r="Q5825">
        <v>0.11033800000000001</v>
      </c>
      <c r="R5825">
        <v>-0.98567930000000004</v>
      </c>
      <c r="S5825">
        <v>6.1325070000000002E-2</v>
      </c>
      <c r="T5825">
        <v>-6.7290429999999998E-2</v>
      </c>
      <c r="U5825">
        <v>-3.0431210000000002</v>
      </c>
      <c r="V5825">
        <v>-1.64847999999999E-2</v>
      </c>
      <c r="W5825">
        <v>0.1237761</v>
      </c>
      <c r="X5825">
        <v>0.99217330000000004</v>
      </c>
      <c r="Y5825">
        <v>9.2011549999999998E-2</v>
      </c>
      <c r="Z5825">
        <v>8.3017130000000005E-3</v>
      </c>
      <c r="AA5825">
        <v>0.99572329999999998</v>
      </c>
      <c r="AB5825">
        <v>18</v>
      </c>
      <c r="AC5825">
        <v>1.01009999999999</v>
      </c>
      <c r="AD5825">
        <v>-1.1224008035599999</v>
      </c>
      <c r="AE5825">
        <v>-50.637099999999997</v>
      </c>
      <c r="AF5825">
        <v>4.6692246794420296</v>
      </c>
      <c r="AG5825">
        <v>-1.1224008035599999</v>
      </c>
      <c r="AH5825">
        <v>50.406515720452603</v>
      </c>
      <c r="AI5825">
        <v>91.270157195153502</v>
      </c>
      <c r="AJ5825">
        <v>84.707715826576305</v>
      </c>
      <c r="AK5825">
        <v>50.6347535764437</v>
      </c>
      <c r="AL5825">
        <v>82.889917860759695</v>
      </c>
      <c r="AM5825">
        <v>90.951872590189694</v>
      </c>
      <c r="AN5825">
        <v>1.00000006439756</v>
      </c>
    </row>
    <row r="5826" spans="1:40" x14ac:dyDescent="0.25">
      <c r="A5826" t="str">
        <f>"20190303162029264"</f>
        <v>20190303162029264</v>
      </c>
      <c r="B5826" t="str">
        <f>"1551601229258235"</f>
        <v>1551601229258235</v>
      </c>
      <c r="C5826" t="s">
        <v>40</v>
      </c>
      <c r="D5826">
        <v>5.0670109999999999</v>
      </c>
      <c r="E5826">
        <v>0.53938469999999905</v>
      </c>
      <c r="F5826" t="s">
        <v>50</v>
      </c>
      <c r="G5826">
        <v>-192.03049999999999</v>
      </c>
      <c r="H5826" s="1">
        <v>-1.073365E-5</v>
      </c>
      <c r="I5826">
        <v>148.39699999999999</v>
      </c>
      <c r="J5826">
        <v>-193.078</v>
      </c>
      <c r="K5826">
        <v>1.1224780000000001</v>
      </c>
      <c r="L5826">
        <v>199.13059999999999</v>
      </c>
      <c r="M5826">
        <v>0.1121018</v>
      </c>
      <c r="N5826">
        <v>-1.3533949999999999E-2</v>
      </c>
      <c r="O5826">
        <v>-0.99360470000000001</v>
      </c>
      <c r="P5826">
        <v>0.1247661</v>
      </c>
      <c r="Q5826">
        <v>0.1109518</v>
      </c>
      <c r="R5826">
        <v>-0.98596349999999999</v>
      </c>
      <c r="S5826">
        <v>6.3552860000000003E-2</v>
      </c>
      <c r="T5826">
        <v>-6.7142010000000002E-2</v>
      </c>
      <c r="U5826">
        <v>-3.042862</v>
      </c>
      <c r="V5826">
        <v>-1.3705180000000001E-2</v>
      </c>
      <c r="W5826">
        <v>0.1243623</v>
      </c>
      <c r="X5826">
        <v>0.99214219999999997</v>
      </c>
      <c r="Y5826">
        <v>9.1316530000000007E-2</v>
      </c>
      <c r="Z5826">
        <v>8.28629E-3</v>
      </c>
      <c r="AA5826">
        <v>0.99578739999999999</v>
      </c>
      <c r="AB5826">
        <v>18</v>
      </c>
      <c r="AC5826">
        <v>1.0475000000000101</v>
      </c>
      <c r="AD5826">
        <v>-1.12248873365</v>
      </c>
      <c r="AE5826">
        <v>-50.733599999999903</v>
      </c>
      <c r="AF5826">
        <v>4.6446792032984598</v>
      </c>
      <c r="AG5826">
        <v>-1.12248873365</v>
      </c>
      <c r="AH5826">
        <v>50.506477473355702</v>
      </c>
      <c r="AI5826">
        <v>91.267821045946505</v>
      </c>
      <c r="AJ5826">
        <v>84.745741195264301</v>
      </c>
      <c r="AK5826">
        <v>50.732014474346499</v>
      </c>
      <c r="AL5826">
        <v>82.856068938865207</v>
      </c>
      <c r="AM5826">
        <v>90.791417833425299</v>
      </c>
      <c r="AN5826">
        <v>0.99999997932048101</v>
      </c>
    </row>
    <row r="5827" spans="1:40" x14ac:dyDescent="0.25">
      <c r="A5827" t="str">
        <f>"20190303162029277"</f>
        <v>20190303162029277</v>
      </c>
      <c r="B5827" t="str">
        <f>"1551601229267995"</f>
        <v>1551601229267995</v>
      </c>
      <c r="C5827" t="s">
        <v>40</v>
      </c>
      <c r="D5827">
        <v>5.1288340000000003</v>
      </c>
      <c r="E5827">
        <v>0.53891429999999996</v>
      </c>
      <c r="F5827" t="s">
        <v>50</v>
      </c>
      <c r="G5827">
        <v>-192.035</v>
      </c>
      <c r="H5827" s="1">
        <v>-1.0763689999999999E-5</v>
      </c>
      <c r="I5827">
        <v>148.5078</v>
      </c>
      <c r="J5827">
        <v>-193.06610000000001</v>
      </c>
      <c r="K5827">
        <v>1.1224889999999901</v>
      </c>
      <c r="L5827">
        <v>199.02449999999999</v>
      </c>
      <c r="M5827">
        <v>0.1122595</v>
      </c>
      <c r="N5827">
        <v>-1.3513880000000001E-2</v>
      </c>
      <c r="O5827">
        <v>-0.993587</v>
      </c>
      <c r="P5827">
        <v>0.1232355</v>
      </c>
      <c r="Q5827">
        <v>0.1105611</v>
      </c>
      <c r="R5827">
        <v>-0.98619920000000005</v>
      </c>
      <c r="S5827">
        <v>6.268311E-2</v>
      </c>
      <c r="T5827">
        <v>-6.7460060000000002E-2</v>
      </c>
      <c r="U5827">
        <v>-3.0423580000000001</v>
      </c>
      <c r="V5827">
        <v>-1.200738E-2</v>
      </c>
      <c r="W5827">
        <v>0.12395539999999899</v>
      </c>
      <c r="X5827">
        <v>0.99221519999999996</v>
      </c>
      <c r="Y5827">
        <v>9.1755610000000001E-2</v>
      </c>
      <c r="Z5827">
        <v>8.4120419999999998E-3</v>
      </c>
      <c r="AA5827">
        <v>0.99574600000000002</v>
      </c>
      <c r="AB5827">
        <v>18</v>
      </c>
      <c r="AC5827">
        <v>1.0310999999999999</v>
      </c>
      <c r="AD5827">
        <v>-1.12249976368999</v>
      </c>
      <c r="AE5827">
        <v>-50.516699999999901</v>
      </c>
      <c r="AF5827">
        <v>4.6446240880594898</v>
      </c>
      <c r="AG5827">
        <v>-1.12249976368999</v>
      </c>
      <c r="AH5827">
        <v>50.288263701399501</v>
      </c>
      <c r="AI5827">
        <v>91.273286859024793</v>
      </c>
      <c r="AJ5827">
        <v>84.7231323083533</v>
      </c>
      <c r="AK5827">
        <v>50.514770164184299</v>
      </c>
      <c r="AL5827">
        <v>82.879564974423303</v>
      </c>
      <c r="AM5827">
        <v>90.693336098668993</v>
      </c>
      <c r="AN5827">
        <v>1.0000000607373301</v>
      </c>
    </row>
    <row r="5828" spans="1:40" x14ac:dyDescent="0.25">
      <c r="A5828" t="str">
        <f>"20190303162029292"</f>
        <v>20190303162029292</v>
      </c>
      <c r="B5828" t="str">
        <f>"1551601229288491"</f>
        <v>1551601229288491</v>
      </c>
      <c r="C5828" t="s">
        <v>40</v>
      </c>
      <c r="D5828">
        <v>5.1254369999999998</v>
      </c>
      <c r="E5828">
        <v>0.53822060000000005</v>
      </c>
      <c r="F5828" t="s">
        <v>50</v>
      </c>
      <c r="G5828">
        <v>-192.08680000000001</v>
      </c>
      <c r="H5828" s="1">
        <v>-1.153424E-5</v>
      </c>
      <c r="I5828">
        <v>150.7097</v>
      </c>
      <c r="J5828">
        <v>-193.0531</v>
      </c>
      <c r="K5828">
        <v>1.12249</v>
      </c>
      <c r="L5828">
        <v>198.91079999999999</v>
      </c>
      <c r="M5828">
        <v>0.1124869</v>
      </c>
      <c r="N5828">
        <v>-1.349443E-2</v>
      </c>
      <c r="O5828">
        <v>-0.9935619</v>
      </c>
      <c r="P5828">
        <v>0.121838</v>
      </c>
      <c r="Q5828">
        <v>0.1089731</v>
      </c>
      <c r="R5828">
        <v>-0.98655020000000004</v>
      </c>
      <c r="S5828">
        <v>6.1660769999999997E-2</v>
      </c>
      <c r="T5828">
        <v>-7.0680019999999996E-2</v>
      </c>
      <c r="U5828">
        <v>-3.0422210000000001</v>
      </c>
      <c r="V5828">
        <v>-1.035114E-2</v>
      </c>
      <c r="W5828">
        <v>0.12235409999999999</v>
      </c>
      <c r="X5828">
        <v>0.99243250000000005</v>
      </c>
      <c r="Y5828">
        <v>9.2316369999999995E-2</v>
      </c>
      <c r="Z5828">
        <v>9.4762900000000001E-3</v>
      </c>
      <c r="AA5828">
        <v>0.99568460000000003</v>
      </c>
      <c r="AB5828">
        <v>18</v>
      </c>
      <c r="AC5828">
        <v>0.96629999999998895</v>
      </c>
      <c r="AD5828">
        <v>-1.12250153424</v>
      </c>
      <c r="AE5828">
        <v>-48.201099999999997</v>
      </c>
      <c r="AF5828">
        <v>4.4599005638719103</v>
      </c>
      <c r="AG5828">
        <v>-1.12250153424</v>
      </c>
      <c r="AH5828">
        <v>47.977818751730403</v>
      </c>
      <c r="AI5828">
        <v>91.334511128458999</v>
      </c>
      <c r="AJ5828">
        <v>84.689186628309798</v>
      </c>
      <c r="AK5828">
        <v>48.197736616026802</v>
      </c>
      <c r="AL5828">
        <v>82.972015855482994</v>
      </c>
      <c r="AM5828">
        <v>90.597577296529806</v>
      </c>
      <c r="AN5828">
        <v>0.99999996947117897</v>
      </c>
    </row>
    <row r="5829" spans="1:40" x14ac:dyDescent="0.25">
      <c r="A5829" t="str">
        <f>"20190303162029305"</f>
        <v>20190303162029305</v>
      </c>
      <c r="B5829" t="str">
        <f>"1551601229298698"</f>
        <v>1551601229298698</v>
      </c>
      <c r="C5829" t="s">
        <v>40</v>
      </c>
      <c r="D5829">
        <v>5.1529920000000002</v>
      </c>
      <c r="E5829">
        <v>0.5378771</v>
      </c>
      <c r="F5829" t="s">
        <v>50</v>
      </c>
      <c r="G5829">
        <v>-192.13730000000001</v>
      </c>
      <c r="H5829" s="1">
        <v>-1.291825E-5</v>
      </c>
      <c r="I5829">
        <v>154.18879999999999</v>
      </c>
      <c r="J5829">
        <v>-193.041</v>
      </c>
      <c r="K5829">
        <v>1.1224730000000001</v>
      </c>
      <c r="L5829">
        <v>198.8056</v>
      </c>
      <c r="M5829">
        <v>0.11274530000000001</v>
      </c>
      <c r="N5829">
        <v>-1.347829E-2</v>
      </c>
      <c r="O5829">
        <v>-0.99353250000000004</v>
      </c>
      <c r="P5829">
        <v>0.12034980000000001</v>
      </c>
      <c r="Q5829">
        <v>0.10691630000000001</v>
      </c>
      <c r="R5829">
        <v>-0.98695739999999998</v>
      </c>
      <c r="S5829">
        <v>6.2286380000000002E-2</v>
      </c>
      <c r="T5829">
        <v>-7.6343540000000001E-2</v>
      </c>
      <c r="U5829">
        <v>-3.0416259999999999</v>
      </c>
      <c r="V5829">
        <v>-8.5611790000000004E-3</v>
      </c>
      <c r="W5829">
        <v>0.12028850000000001</v>
      </c>
      <c r="X5829">
        <v>0.99270210000000003</v>
      </c>
      <c r="Y5829">
        <v>9.2365939999999994E-2</v>
      </c>
      <c r="Z5829">
        <v>1.1334830000000001E-2</v>
      </c>
      <c r="AA5829">
        <v>0.99566060000000001</v>
      </c>
      <c r="AB5829">
        <v>18</v>
      </c>
      <c r="AC5829">
        <v>0.90369999999998596</v>
      </c>
      <c r="AD5829">
        <v>-1.12248591825</v>
      </c>
      <c r="AE5829">
        <v>-44.616799999999998</v>
      </c>
      <c r="AF5829">
        <v>4.1302414655812498</v>
      </c>
      <c r="AG5829">
        <v>-1.12248591825</v>
      </c>
      <c r="AH5829">
        <v>44.406070098288303</v>
      </c>
      <c r="AI5829">
        <v>91.441780180781805</v>
      </c>
      <c r="AJ5829">
        <v>84.686165249802997</v>
      </c>
      <c r="AK5829">
        <v>44.611858633941402</v>
      </c>
      <c r="AL5829">
        <v>83.091247244891093</v>
      </c>
      <c r="AM5829">
        <v>90.494113253150502</v>
      </c>
      <c r="AN5829">
        <v>1.0000000381812599</v>
      </c>
    </row>
    <row r="5830" spans="1:40" x14ac:dyDescent="0.25">
      <c r="A5830" t="str">
        <f>"20190303162029321"</f>
        <v>20190303162029321</v>
      </c>
      <c r="B5830" t="str">
        <f>"1551601229308459"</f>
        <v>1551601229308459</v>
      </c>
      <c r="C5830" t="s">
        <v>40</v>
      </c>
      <c r="D5830">
        <v>5.1067850000000004</v>
      </c>
      <c r="E5830">
        <v>0.5378771</v>
      </c>
      <c r="F5830" t="s">
        <v>50</v>
      </c>
      <c r="G5830">
        <v>-192.23390000000001</v>
      </c>
      <c r="H5830" s="1">
        <v>-1.4336210000000001E-5</v>
      </c>
      <c r="I5830">
        <v>157.65090000000001</v>
      </c>
      <c r="J5830">
        <v>-193.0266</v>
      </c>
      <c r="K5830">
        <v>1.122428</v>
      </c>
      <c r="L5830">
        <v>198.6814</v>
      </c>
      <c r="M5830">
        <v>0.113097</v>
      </c>
      <c r="N5830">
        <v>-1.3462389999999999E-2</v>
      </c>
      <c r="O5830">
        <v>-0.99349310000000002</v>
      </c>
      <c r="P5830">
        <v>0.1159607</v>
      </c>
      <c r="Q5830">
        <v>0.1051488</v>
      </c>
      <c r="R5830">
        <v>-0.98767300000000002</v>
      </c>
      <c r="S5830">
        <v>5.9646610000000003E-2</v>
      </c>
      <c r="T5830">
        <v>-8.2953100000000002E-2</v>
      </c>
      <c r="U5830">
        <v>-3.041382</v>
      </c>
      <c r="V5830">
        <v>-3.755431E-3</v>
      </c>
      <c r="W5830">
        <v>0.11851929999999999</v>
      </c>
      <c r="X5830">
        <v>0.99294470000000001</v>
      </c>
      <c r="Y5830">
        <v>9.357944E-2</v>
      </c>
      <c r="Z5830">
        <v>1.349507E-2</v>
      </c>
      <c r="AA5830">
        <v>0.99552039999999997</v>
      </c>
      <c r="AB5830">
        <v>18</v>
      </c>
      <c r="AC5830">
        <v>0.79269999999999596</v>
      </c>
      <c r="AD5830">
        <v>-1.12244233621</v>
      </c>
      <c r="AE5830">
        <v>-41.030499999999897</v>
      </c>
      <c r="AF5830">
        <v>3.8503519035540799</v>
      </c>
      <c r="AG5830">
        <v>-1.12244233621</v>
      </c>
      <c r="AH5830">
        <v>40.826317061903801</v>
      </c>
      <c r="AI5830">
        <v>91.5678884879392</v>
      </c>
      <c r="AJ5830">
        <v>84.612340003565194</v>
      </c>
      <c r="AK5830">
        <v>41.022838168737302</v>
      </c>
      <c r="AL5830">
        <v>83.1933454802667</v>
      </c>
      <c r="AM5830">
        <v>90.216698191350304</v>
      </c>
      <c r="AN5830">
        <v>1.00000005249628</v>
      </c>
    </row>
    <row r="5831" spans="1:40" x14ac:dyDescent="0.25">
      <c r="A5831" t="str">
        <f>"20190303162029337"</f>
        <v>20190303162029337</v>
      </c>
      <c r="B5831" t="str">
        <f>"1551601229327979"</f>
        <v>1551601229327979</v>
      </c>
      <c r="C5831" t="s">
        <v>40</v>
      </c>
      <c r="D5831">
        <v>5.1648550000000002</v>
      </c>
      <c r="E5831">
        <v>0.53009609999999996</v>
      </c>
      <c r="F5831" t="s">
        <v>41</v>
      </c>
      <c r="G5831">
        <v>-192.44759999999999</v>
      </c>
      <c r="H5831" s="1">
        <v>-7.7161030000000004E-7</v>
      </c>
      <c r="I5831">
        <v>159.84630000000001</v>
      </c>
      <c r="J5831">
        <v>-193.012</v>
      </c>
      <c r="K5831">
        <v>1.1223829999999999</v>
      </c>
      <c r="L5831">
        <v>198.5565</v>
      </c>
      <c r="M5831">
        <v>0.1134623</v>
      </c>
      <c r="N5831">
        <v>-1.344834E-2</v>
      </c>
      <c r="O5831">
        <v>-0.99345150000000004</v>
      </c>
      <c r="P5831">
        <v>0.11281670000000001</v>
      </c>
      <c r="Q5831">
        <v>0.10515090000000001</v>
      </c>
      <c r="R5831">
        <v>-0.98803669999999999</v>
      </c>
      <c r="S5831">
        <v>4.534912E-2</v>
      </c>
      <c r="T5831">
        <v>-8.7905880000000006E-2</v>
      </c>
      <c r="U5831">
        <v>-3.0414729999999999</v>
      </c>
      <c r="V5831">
        <v>-2.1383780000000001E-4</v>
      </c>
      <c r="W5831">
        <v>0.1185151</v>
      </c>
      <c r="X5831">
        <v>0.99295219999999995</v>
      </c>
      <c r="Y5831">
        <v>9.8621059999999997E-2</v>
      </c>
      <c r="Z5831">
        <v>1.5104640000000001E-2</v>
      </c>
      <c r="AA5831">
        <v>0.99501039999999996</v>
      </c>
      <c r="AB5831">
        <v>18</v>
      </c>
      <c r="AC5831">
        <v>0.56440000000000601</v>
      </c>
      <c r="AD5831">
        <v>-1.1223837716103</v>
      </c>
      <c r="AE5831">
        <v>-38.710199999999901</v>
      </c>
      <c r="AF5831">
        <v>3.8285720583081702</v>
      </c>
      <c r="AG5831">
        <v>-1.1223837716103</v>
      </c>
      <c r="AH5831">
        <v>38.4918673181554</v>
      </c>
      <c r="AI5831">
        <v>91.662017058007805</v>
      </c>
      <c r="AJ5831">
        <v>84.319789937667096</v>
      </c>
      <c r="AK5831">
        <v>38.698082109775299</v>
      </c>
      <c r="AL5831">
        <v>83.193587287445794</v>
      </c>
      <c r="AM5831">
        <v>90.012338965814195</v>
      </c>
      <c r="AN5831">
        <v>0.99999997306972599</v>
      </c>
    </row>
    <row r="5832" spans="1:40" x14ac:dyDescent="0.25">
      <c r="A5832" t="str">
        <f>"20190303162029354"</f>
        <v>20190303162029354</v>
      </c>
      <c r="B5832" t="str">
        <f>"1551601229348475"</f>
        <v>1551601229348475</v>
      </c>
      <c r="C5832" t="s">
        <v>40</v>
      </c>
      <c r="D5832">
        <v>5.1787210000000004</v>
      </c>
      <c r="E5832">
        <v>0.52881659999999997</v>
      </c>
      <c r="F5832" t="s">
        <v>50</v>
      </c>
      <c r="G5832">
        <v>-191.73159999999999</v>
      </c>
      <c r="H5832" s="1">
        <v>-1.482316E-5</v>
      </c>
      <c r="I5832">
        <v>159.00290000000001</v>
      </c>
      <c r="J5832">
        <v>-192.9967</v>
      </c>
      <c r="K5832">
        <v>1.122331</v>
      </c>
      <c r="L5832">
        <v>198.4272</v>
      </c>
      <c r="M5832">
        <v>0.11385000000000001</v>
      </c>
      <c r="N5832">
        <v>-1.343539E-2</v>
      </c>
      <c r="O5832">
        <v>-0.99340720000000005</v>
      </c>
      <c r="P5832">
        <v>0.107074</v>
      </c>
      <c r="Q5832">
        <v>0.10361330000000001</v>
      </c>
      <c r="R5832">
        <v>-0.98883770000000004</v>
      </c>
      <c r="S5832">
        <v>9.8220829999999995E-2</v>
      </c>
      <c r="T5832">
        <v>-8.6102369999999998E-2</v>
      </c>
      <c r="U5832">
        <v>-3.0342709999999999</v>
      </c>
      <c r="V5832">
        <v>5.9879669999999899E-3</v>
      </c>
      <c r="W5832">
        <v>0.1169785</v>
      </c>
      <c r="X5832">
        <v>0.99311640000000001</v>
      </c>
      <c r="Y5832">
        <v>8.1638009999999997E-2</v>
      </c>
      <c r="Z5832">
        <v>1.462632E-2</v>
      </c>
      <c r="AA5832">
        <v>0.99655470000000002</v>
      </c>
      <c r="AB5832">
        <v>18</v>
      </c>
      <c r="AC5832">
        <v>1.2651000000000101</v>
      </c>
      <c r="AD5832">
        <v>-1.1223458231600001</v>
      </c>
      <c r="AE5832">
        <v>-39.424299999999903</v>
      </c>
      <c r="AF5832">
        <v>3.22937395444495</v>
      </c>
      <c r="AG5832">
        <v>-1.1223458231600001</v>
      </c>
      <c r="AH5832">
        <v>39.280157691739298</v>
      </c>
      <c r="AI5832">
        <v>91.631157756464404</v>
      </c>
      <c r="AJ5832">
        <v>85.300062105206393</v>
      </c>
      <c r="AK5832">
        <v>39.428660953325803</v>
      </c>
      <c r="AL5832">
        <v>83.282244938616998</v>
      </c>
      <c r="AM5832">
        <v>89.654540918378501</v>
      </c>
      <c r="AN5832">
        <v>1.0000000045799999</v>
      </c>
    </row>
    <row r="5833" spans="1:40" x14ac:dyDescent="0.25">
      <c r="A5833" t="str">
        <f>"20190303162029377"</f>
        <v>20190303162029377</v>
      </c>
      <c r="B5833" t="str">
        <f>"1551601229367994"</f>
        <v>1551601229367994</v>
      </c>
      <c r="C5833" t="s">
        <v>40</v>
      </c>
      <c r="D5833">
        <v>5.1863380000000001</v>
      </c>
      <c r="E5833">
        <v>0.52749000000000001</v>
      </c>
      <c r="F5833" t="s">
        <v>41</v>
      </c>
      <c r="G5833">
        <v>-191.8391</v>
      </c>
      <c r="H5833" s="1">
        <v>-8.6399680000000005E-7</v>
      </c>
      <c r="I5833">
        <v>160.38419999999999</v>
      </c>
      <c r="J5833">
        <v>-192.9752</v>
      </c>
      <c r="K5833">
        <v>1.1222460000000001</v>
      </c>
      <c r="L5833">
        <v>198.24619999999999</v>
      </c>
      <c r="M5833">
        <v>0.11440500000000001</v>
      </c>
      <c r="N5833">
        <v>-1.341961E-2</v>
      </c>
      <c r="O5833">
        <v>-0.99334370000000005</v>
      </c>
      <c r="P5833">
        <v>0.1020644</v>
      </c>
      <c r="Q5833">
        <v>0.1000234</v>
      </c>
      <c r="R5833">
        <v>-0.98973639999999996</v>
      </c>
      <c r="S5833">
        <v>9.2300419999999994E-2</v>
      </c>
      <c r="T5833">
        <v>-8.9485999999999996E-2</v>
      </c>
      <c r="U5833">
        <v>-3.0332490000000001</v>
      </c>
      <c r="V5833">
        <v>1.165019E-2</v>
      </c>
      <c r="W5833">
        <v>0.11338620000000001</v>
      </c>
      <c r="X5833">
        <v>0.99348270000000005</v>
      </c>
      <c r="Y5833">
        <v>8.4126030000000004E-2</v>
      </c>
      <c r="Z5833">
        <v>1.5746599999999999E-2</v>
      </c>
      <c r="AA5833">
        <v>0.99633070000000001</v>
      </c>
      <c r="AB5833">
        <v>18</v>
      </c>
      <c r="AC5833">
        <v>1.1360999999999899</v>
      </c>
      <c r="AD5833">
        <v>-1.1222468639968</v>
      </c>
      <c r="AE5833">
        <v>-37.862000000000002</v>
      </c>
      <c r="AF5833">
        <v>3.2005429817703899</v>
      </c>
      <c r="AG5833">
        <v>-1.1222468639968</v>
      </c>
      <c r="AH5833">
        <v>37.710246994463603</v>
      </c>
      <c r="AI5833">
        <v>91.698501176512096</v>
      </c>
      <c r="AJ5833">
        <v>85.1488200733843</v>
      </c>
      <c r="AK5833">
        <v>37.8624568905052</v>
      </c>
      <c r="AL5833">
        <v>83.489447825727694</v>
      </c>
      <c r="AM5833">
        <v>89.328145197713297</v>
      </c>
      <c r="AN5833">
        <v>1.00000001623838</v>
      </c>
    </row>
    <row r="5834" spans="1:40" x14ac:dyDescent="0.25">
      <c r="A5834" t="str">
        <f>"20190303162029393"</f>
        <v>20190303162029393</v>
      </c>
      <c r="B5834" t="str">
        <f>"1551601229388490"</f>
        <v>1551601229388490</v>
      </c>
      <c r="C5834" t="s">
        <v>40</v>
      </c>
      <c r="D5834">
        <v>5.1803970000000001</v>
      </c>
      <c r="E5834">
        <v>0.52671950000000001</v>
      </c>
      <c r="F5834" t="s">
        <v>41</v>
      </c>
      <c r="G5834">
        <v>-192.01419999999999</v>
      </c>
      <c r="H5834" s="1">
        <v>-3.0197890000000002E-6</v>
      </c>
      <c r="I5834">
        <v>164.84620000000001</v>
      </c>
      <c r="J5834">
        <v>-192.9607</v>
      </c>
      <c r="K5834">
        <v>1.122196</v>
      </c>
      <c r="L5834">
        <v>198.12459999999999</v>
      </c>
      <c r="M5834">
        <v>0.1147825</v>
      </c>
      <c r="N5834">
        <v>-1.341032E-2</v>
      </c>
      <c r="O5834">
        <v>-0.99330019999999997</v>
      </c>
      <c r="P5834">
        <v>9.9937250000000005E-2</v>
      </c>
      <c r="Q5834">
        <v>9.9447010000000002E-2</v>
      </c>
      <c r="R5834">
        <v>-0.9900118</v>
      </c>
      <c r="S5834">
        <v>8.7249759999999996E-2</v>
      </c>
      <c r="T5834">
        <v>-0.1018896</v>
      </c>
      <c r="U5834">
        <v>-3.03241</v>
      </c>
      <c r="V5834">
        <v>1.418824E-2</v>
      </c>
      <c r="W5834">
        <v>0.1128035</v>
      </c>
      <c r="X5834">
        <v>0.99351599999999995</v>
      </c>
      <c r="Y5834">
        <v>8.6153309999999997E-2</v>
      </c>
      <c r="Z5834">
        <v>1.9795670000000001E-2</v>
      </c>
      <c r="AA5834">
        <v>0.9960852</v>
      </c>
      <c r="AB5834">
        <v>18</v>
      </c>
      <c r="AC5834">
        <v>0.946500000000014</v>
      </c>
      <c r="AD5834">
        <v>-1.1221990197889999</v>
      </c>
      <c r="AE5834">
        <v>-33.278399999999898</v>
      </c>
      <c r="AF5834">
        <v>2.8766095924540598</v>
      </c>
      <c r="AG5834">
        <v>-1.1221990197889999</v>
      </c>
      <c r="AH5834">
        <v>33.129420624745499</v>
      </c>
      <c r="AI5834">
        <v>91.932782075304402</v>
      </c>
      <c r="AJ5834">
        <v>85.037485007252599</v>
      </c>
      <c r="AK5834">
        <v>33.273002935093302</v>
      </c>
      <c r="AL5834">
        <v>83.523049482065503</v>
      </c>
      <c r="AM5834">
        <v>89.181823932248804</v>
      </c>
      <c r="AN5834">
        <v>0.99999998901127296</v>
      </c>
    </row>
    <row r="5835" spans="1:40" x14ac:dyDescent="0.25">
      <c r="A5835" t="str">
        <f>"20190303162029405"</f>
        <v>20190303162029405</v>
      </c>
      <c r="B5835" t="str">
        <f>"1551601229397781"</f>
        <v>1551601229397781</v>
      </c>
      <c r="C5835" t="s">
        <v>40</v>
      </c>
      <c r="D5835">
        <v>5.1808759999999996</v>
      </c>
      <c r="E5835">
        <v>0.5263371</v>
      </c>
      <c r="F5835" t="s">
        <v>41</v>
      </c>
      <c r="G5835">
        <v>-192.03749999999999</v>
      </c>
      <c r="H5835" s="1">
        <v>-3.4441269999999999E-6</v>
      </c>
      <c r="I5835">
        <v>165.73070000000001</v>
      </c>
      <c r="J5835">
        <v>-192.94820000000001</v>
      </c>
      <c r="K5835">
        <v>1.1221620000000001</v>
      </c>
      <c r="L5835">
        <v>198.0205</v>
      </c>
      <c r="M5835">
        <v>0.11510620000000001</v>
      </c>
      <c r="N5835">
        <v>-1.340301E-2</v>
      </c>
      <c r="O5835">
        <v>-0.9932628</v>
      </c>
      <c r="P5835">
        <v>9.7598459999999998E-2</v>
      </c>
      <c r="Q5835">
        <v>0.1003869</v>
      </c>
      <c r="R5835">
        <v>-0.99014999999999997</v>
      </c>
      <c r="S5835">
        <v>8.6410520000000005E-2</v>
      </c>
      <c r="T5835">
        <v>-0.1050392</v>
      </c>
      <c r="U5835">
        <v>-3.0321039999999999</v>
      </c>
      <c r="V5835">
        <v>1.686271E-2</v>
      </c>
      <c r="W5835">
        <v>0.1137368</v>
      </c>
      <c r="X5835">
        <v>0.99336780000000002</v>
      </c>
      <c r="Y5835">
        <v>8.6750369999999993E-2</v>
      </c>
      <c r="Z5835">
        <v>2.0828369999999999E-2</v>
      </c>
      <c r="AA5835">
        <v>0.99601229999999996</v>
      </c>
      <c r="AB5835">
        <v>18</v>
      </c>
      <c r="AC5835">
        <v>0.91070000000001905</v>
      </c>
      <c r="AD5835">
        <v>-1.1221654441269999</v>
      </c>
      <c r="AE5835">
        <v>-32.2897999999999</v>
      </c>
      <c r="AF5835">
        <v>2.8090542896834401</v>
      </c>
      <c r="AG5835">
        <v>-1.1221654441269999</v>
      </c>
      <c r="AH5835">
        <v>32.141185629474101</v>
      </c>
      <c r="AI5835">
        <v>91.992004267827099</v>
      </c>
      <c r="AJ5835">
        <v>85.005192462190195</v>
      </c>
      <c r="AK5835">
        <v>32.283213206784303</v>
      </c>
      <c r="AL5835">
        <v>83.469229013074795</v>
      </c>
      <c r="AM5835">
        <v>89.027480730789506</v>
      </c>
      <c r="AN5835">
        <v>0.99999999836981202</v>
      </c>
    </row>
    <row r="5836" spans="1:40" x14ac:dyDescent="0.25">
      <c r="A5836" t="str">
        <f>"20190303162029419"</f>
        <v>20190303162029419</v>
      </c>
      <c r="B5836" t="str">
        <f>"1551601229408517"</f>
        <v>1551601229408517</v>
      </c>
      <c r="C5836" t="s">
        <v>40</v>
      </c>
      <c r="D5836">
        <v>5.1881709999999996</v>
      </c>
      <c r="E5836">
        <v>0.52582499999999999</v>
      </c>
      <c r="F5836" t="s">
        <v>41</v>
      </c>
      <c r="G5836">
        <v>-192.07509999999999</v>
      </c>
      <c r="H5836" s="1">
        <v>-3.4636729999999999E-6</v>
      </c>
      <c r="I5836">
        <v>165.7509</v>
      </c>
      <c r="J5836">
        <v>-192.93520000000001</v>
      </c>
      <c r="K5836">
        <v>1.122134</v>
      </c>
      <c r="L5836">
        <v>197.91239999999999</v>
      </c>
      <c r="M5836">
        <v>0.1154398</v>
      </c>
      <c r="N5836">
        <v>-1.339629E-2</v>
      </c>
      <c r="O5836">
        <v>-0.99322429999999995</v>
      </c>
      <c r="P5836">
        <v>9.1387579999999996E-2</v>
      </c>
      <c r="Q5836">
        <v>0.105684</v>
      </c>
      <c r="R5836">
        <v>-0.99019199999999996</v>
      </c>
      <c r="S5836">
        <v>8.2046510000000003E-2</v>
      </c>
      <c r="T5836">
        <v>-0.1054523</v>
      </c>
      <c r="U5836">
        <v>-3.0324399999999998</v>
      </c>
      <c r="V5836">
        <v>2.3377120000000001E-2</v>
      </c>
      <c r="W5836">
        <v>0.119024</v>
      </c>
      <c r="X5836">
        <v>0.9926161</v>
      </c>
      <c r="Y5836">
        <v>8.8519600000000004E-2</v>
      </c>
      <c r="Z5836">
        <v>2.0960579999999999E-2</v>
      </c>
      <c r="AA5836">
        <v>0.99585389999999996</v>
      </c>
      <c r="AB5836">
        <v>18</v>
      </c>
      <c r="AC5836">
        <v>0.86010000000001696</v>
      </c>
      <c r="AD5836">
        <v>-1.1221374636729999</v>
      </c>
      <c r="AE5836">
        <v>-32.161499999999897</v>
      </c>
      <c r="AF5836">
        <v>2.8552276163142398</v>
      </c>
      <c r="AG5836">
        <v>-1.1221374636729999</v>
      </c>
      <c r="AH5836">
        <v>32.006807596077998</v>
      </c>
      <c r="AI5836">
        <v>91.9999940554776</v>
      </c>
      <c r="AJ5836">
        <v>84.902315622032006</v>
      </c>
      <c r="AK5836">
        <v>32.153495140041898</v>
      </c>
      <c r="AL5836">
        <v>83.164221534336804</v>
      </c>
      <c r="AM5836">
        <v>88.650875438452701</v>
      </c>
      <c r="AN5836">
        <v>0.99999996214735098</v>
      </c>
    </row>
    <row r="5837" spans="1:40" x14ac:dyDescent="0.25">
      <c r="A5837" t="str">
        <f>"20190303162029436"</f>
        <v>20190303162029436</v>
      </c>
      <c r="B5837" t="str">
        <f>"1551601229428037"</f>
        <v>1551601229428037</v>
      </c>
      <c r="C5837" t="s">
        <v>40</v>
      </c>
      <c r="D5837">
        <v>5.1226399999999996</v>
      </c>
      <c r="E5837">
        <v>0.52546839999999995</v>
      </c>
      <c r="F5837" t="s">
        <v>50</v>
      </c>
      <c r="G5837">
        <v>-192.0753</v>
      </c>
      <c r="H5837" s="1">
        <v>-1.483104E-5</v>
      </c>
      <c r="I5837">
        <v>159.0343</v>
      </c>
      <c r="J5837">
        <v>-192.91919999999999</v>
      </c>
      <c r="K5837">
        <v>1.122088</v>
      </c>
      <c r="L5837">
        <v>197.7799</v>
      </c>
      <c r="M5837">
        <v>0.1158435</v>
      </c>
      <c r="N5837">
        <v>-1.338864E-2</v>
      </c>
      <c r="O5837">
        <v>-0.99317739999999999</v>
      </c>
      <c r="P5837">
        <v>8.8381860000000007E-2</v>
      </c>
      <c r="Q5837">
        <v>0.1092359</v>
      </c>
      <c r="R5837">
        <v>-0.99007900000000004</v>
      </c>
      <c r="S5837">
        <v>6.7077639999999994E-2</v>
      </c>
      <c r="T5837">
        <v>-8.7538480000000002E-2</v>
      </c>
      <c r="U5837">
        <v>-3.032867</v>
      </c>
      <c r="V5837">
        <v>2.6766809999999999E-2</v>
      </c>
      <c r="W5837">
        <v>0.1225628</v>
      </c>
      <c r="X5837">
        <v>0.99209979999999998</v>
      </c>
      <c r="Y5837">
        <v>9.3838729999999995E-2</v>
      </c>
      <c r="Z5837">
        <v>1.5124429999999999E-2</v>
      </c>
      <c r="AA5837">
        <v>0.99547260000000004</v>
      </c>
      <c r="AB5837">
        <v>18</v>
      </c>
      <c r="AC5837">
        <v>0.84389999999998999</v>
      </c>
      <c r="AD5837">
        <v>-1.1221028310400001</v>
      </c>
      <c r="AE5837">
        <v>-38.745600000000003</v>
      </c>
      <c r="AF5837">
        <v>3.64755228313809</v>
      </c>
      <c r="AG5837">
        <v>-1.1221028310400001</v>
      </c>
      <c r="AH5837">
        <v>38.550148929761299</v>
      </c>
      <c r="AI5837">
        <v>91.659863292466397</v>
      </c>
      <c r="AJ5837">
        <v>84.594858452230895</v>
      </c>
      <c r="AK5837">
        <v>38.738581994291302</v>
      </c>
      <c r="AL5837">
        <v>82.959968169649102</v>
      </c>
      <c r="AM5837">
        <v>88.454537246537299</v>
      </c>
      <c r="AN5837">
        <v>1.00000005761072</v>
      </c>
    </row>
    <row r="5838" spans="1:40" x14ac:dyDescent="0.25">
      <c r="A5838" t="str">
        <f>"20190303162029451"</f>
        <v>20190303162029451</v>
      </c>
      <c r="B5838" t="str">
        <f>"1551601229438773"</f>
        <v>1551601229438773</v>
      </c>
      <c r="C5838" t="s">
        <v>40</v>
      </c>
      <c r="D5838">
        <v>5.2181899999999999</v>
      </c>
      <c r="E5838">
        <v>0.51662589999999997</v>
      </c>
      <c r="F5838" t="s">
        <v>50</v>
      </c>
      <c r="G5838">
        <v>-192.0052</v>
      </c>
      <c r="H5838" s="1">
        <v>-1.233648E-5</v>
      </c>
      <c r="I5838">
        <v>152.61340000000001</v>
      </c>
      <c r="J5838">
        <v>-192.90610000000001</v>
      </c>
      <c r="K5838">
        <v>1.1220429999999999</v>
      </c>
      <c r="L5838">
        <v>197.67179999999999</v>
      </c>
      <c r="M5838">
        <v>0.11616410000000001</v>
      </c>
      <c r="N5838">
        <v>-1.338285E-2</v>
      </c>
      <c r="O5838">
        <v>-0.99313989999999996</v>
      </c>
      <c r="P5838">
        <v>8.5295380000000004E-2</v>
      </c>
      <c r="Q5838">
        <v>0.1117364</v>
      </c>
      <c r="R5838">
        <v>-0.99007089999999998</v>
      </c>
      <c r="S5838">
        <v>6.1370849999999998E-2</v>
      </c>
      <c r="T5838">
        <v>-7.534826E-2</v>
      </c>
      <c r="U5838">
        <v>-3.0328979999999999</v>
      </c>
      <c r="V5838">
        <v>3.0164730000000001E-2</v>
      </c>
      <c r="W5838">
        <v>0.125053</v>
      </c>
      <c r="X5838">
        <v>0.9916914</v>
      </c>
      <c r="Y5838">
        <v>9.6033380000000002E-2</v>
      </c>
      <c r="Z5838">
        <v>1.11588E-2</v>
      </c>
      <c r="AA5838">
        <v>0.99531559999999997</v>
      </c>
      <c r="AB5838">
        <v>18</v>
      </c>
      <c r="AC5838">
        <v>0.90090000000000703</v>
      </c>
      <c r="AD5838">
        <v>-1.1220553364799899</v>
      </c>
      <c r="AE5838">
        <v>-45.058399999999899</v>
      </c>
      <c r="AF5838">
        <v>4.3371487832251896</v>
      </c>
      <c r="AG5838">
        <v>-1.1220553364799899</v>
      </c>
      <c r="AH5838">
        <v>44.830173932205</v>
      </c>
      <c r="AI5838">
        <v>91.4270975264171</v>
      </c>
      <c r="AJ5838">
        <v>84.474049123774407</v>
      </c>
      <c r="AK5838">
        <v>45.053461160467002</v>
      </c>
      <c r="AL5838">
        <v>82.816183513853602</v>
      </c>
      <c r="AM5838">
        <v>88.257745311652798</v>
      </c>
      <c r="AN5838">
        <v>0.99999999828946595</v>
      </c>
    </row>
    <row r="5839" spans="1:40" x14ac:dyDescent="0.25">
      <c r="A5839" t="str">
        <f>"20190303162029466"</f>
        <v>20190303162029466</v>
      </c>
      <c r="B5839" t="str">
        <f>"1551601229458293"</f>
        <v>1551601229458293</v>
      </c>
      <c r="C5839" t="s">
        <v>40</v>
      </c>
      <c r="D5839">
        <v>5.213775</v>
      </c>
      <c r="E5839">
        <v>0.51641389999999998</v>
      </c>
      <c r="F5839" t="s">
        <v>50</v>
      </c>
      <c r="G5839">
        <v>-190.22380000000001</v>
      </c>
      <c r="H5839" s="1">
        <v>-5.574416E-6</v>
      </c>
      <c r="I5839">
        <v>131.75659999999999</v>
      </c>
      <c r="J5839">
        <v>-192.89240000000001</v>
      </c>
      <c r="K5839">
        <v>1.1219980000000001</v>
      </c>
      <c r="L5839">
        <v>197.5582</v>
      </c>
      <c r="M5839">
        <v>0.1164901</v>
      </c>
      <c r="N5839">
        <v>-1.3377119999999999E-2</v>
      </c>
      <c r="O5839">
        <v>-0.99310209999999999</v>
      </c>
      <c r="P5839">
        <v>7.790387E-2</v>
      </c>
      <c r="Q5839">
        <v>0.1148298</v>
      </c>
      <c r="R5839">
        <v>-0.99032620000000005</v>
      </c>
      <c r="S5839">
        <v>0.12310790000000001</v>
      </c>
      <c r="T5839">
        <v>-5.1498170000000003E-2</v>
      </c>
      <c r="U5839">
        <v>-3.0252840000000001</v>
      </c>
      <c r="V5839">
        <v>3.7875600000000002E-2</v>
      </c>
      <c r="W5839">
        <v>0.1281351</v>
      </c>
      <c r="X5839">
        <v>0.99103319999999995</v>
      </c>
      <c r="Y5839">
        <v>7.6006379999999998E-2</v>
      </c>
      <c r="Z5839">
        <v>3.4699259999999999E-3</v>
      </c>
      <c r="AA5839">
        <v>0.99710129999999997</v>
      </c>
      <c r="AB5839">
        <v>18</v>
      </c>
      <c r="AC5839">
        <v>2.6685999999999899</v>
      </c>
      <c r="AD5839">
        <v>-1.122003574416</v>
      </c>
      <c r="AE5839">
        <v>-65.801599999999993</v>
      </c>
      <c r="AF5839">
        <v>5.01403436690999</v>
      </c>
      <c r="AG5839">
        <v>-1.122003574416</v>
      </c>
      <c r="AH5839">
        <v>65.645371197643101</v>
      </c>
      <c r="AI5839">
        <v>90.976354581755203</v>
      </c>
      <c r="AJ5839">
        <v>85.632193403285797</v>
      </c>
      <c r="AK5839">
        <v>65.846140299412397</v>
      </c>
      <c r="AL5839">
        <v>82.638159742824698</v>
      </c>
      <c r="AM5839">
        <v>87.811318158930007</v>
      </c>
      <c r="AN5839">
        <v>0.99999998421480396</v>
      </c>
    </row>
    <row r="5840" spans="1:40" x14ac:dyDescent="0.25">
      <c r="A5840" t="str">
        <f>"20190303162029480"</f>
        <v>20190303162029480</v>
      </c>
      <c r="B5840" t="str">
        <f>"1551601229468055"</f>
        <v>1551601229468055</v>
      </c>
      <c r="C5840" t="s">
        <v>40</v>
      </c>
      <c r="D5840">
        <v>5.2473519999999896</v>
      </c>
      <c r="E5840">
        <v>0.51547589999999999</v>
      </c>
      <c r="F5840" t="s">
        <v>50</v>
      </c>
      <c r="G5840">
        <v>-190.2072</v>
      </c>
      <c r="H5840" s="1">
        <v>-3.3852829999999998E-7</v>
      </c>
      <c r="I5840">
        <v>120.1127</v>
      </c>
      <c r="J5840">
        <v>-192.87799999999999</v>
      </c>
      <c r="K5840">
        <v>1.1219349999999999</v>
      </c>
      <c r="L5840">
        <v>197.4391</v>
      </c>
      <c r="M5840">
        <v>0.11680119999999999</v>
      </c>
      <c r="N5840">
        <v>-1.3371559999999999E-2</v>
      </c>
      <c r="O5840">
        <v>-0.99306519999999998</v>
      </c>
      <c r="P5840">
        <v>7.4633699999999997E-2</v>
      </c>
      <c r="Q5840">
        <v>0.1152415</v>
      </c>
      <c r="R5840">
        <v>-0.99052980000000002</v>
      </c>
      <c r="S5840">
        <v>0.1049194</v>
      </c>
      <c r="T5840">
        <v>-4.3841239999999997E-2</v>
      </c>
      <c r="U5840">
        <v>-3.0261230000000001</v>
      </c>
      <c r="V5840">
        <v>4.1476880000000001E-2</v>
      </c>
      <c r="W5840">
        <v>0.12853609999999999</v>
      </c>
      <c r="X5840">
        <v>0.99083710000000003</v>
      </c>
      <c r="Y5840">
        <v>8.2312940000000001E-2</v>
      </c>
      <c r="Z5840">
        <v>9.6424189999999999E-4</v>
      </c>
      <c r="AA5840">
        <v>0.99660610000000005</v>
      </c>
      <c r="AB5840">
        <v>17</v>
      </c>
      <c r="AC5840">
        <v>2.6707999999999799</v>
      </c>
      <c r="AD5840">
        <v>-1.1219353385283</v>
      </c>
      <c r="AE5840">
        <v>-77.326399999999893</v>
      </c>
      <c r="AF5840">
        <v>6.37876756621952</v>
      </c>
      <c r="AG5840">
        <v>-1.1219353385283</v>
      </c>
      <c r="AH5840">
        <v>77.092800895437193</v>
      </c>
      <c r="AI5840">
        <v>90.830930368424205</v>
      </c>
      <c r="AJ5840">
        <v>85.270040386331502</v>
      </c>
      <c r="AK5840">
        <v>77.364380463306404</v>
      </c>
      <c r="AL5840">
        <v>82.614992749513306</v>
      </c>
      <c r="AM5840">
        <v>87.602972731824394</v>
      </c>
      <c r="AN5840">
        <v>1.00000000965707</v>
      </c>
    </row>
    <row r="5841" spans="1:40" x14ac:dyDescent="0.25">
      <c r="A5841" t="str">
        <f>"20190303162029493"</f>
        <v>20190303162029493</v>
      </c>
      <c r="B5841" t="str">
        <f>"1551601229488549"</f>
        <v>1551601229488549</v>
      </c>
      <c r="C5841" t="s">
        <v>40</v>
      </c>
      <c r="D5841">
        <v>4.8389150000000001</v>
      </c>
      <c r="E5841">
        <v>0.51459999999999995</v>
      </c>
      <c r="F5841" t="s">
        <v>50</v>
      </c>
      <c r="G5841">
        <v>-190.41730000000001</v>
      </c>
      <c r="H5841" s="1">
        <v>-3.156814E-6</v>
      </c>
      <c r="I5841">
        <v>125.36</v>
      </c>
      <c r="J5841">
        <v>-192.86609999999999</v>
      </c>
      <c r="K5841">
        <v>1.1218859999999999</v>
      </c>
      <c r="L5841">
        <v>197.34110000000001</v>
      </c>
      <c r="M5841">
        <v>0.11703479999999999</v>
      </c>
      <c r="N5841">
        <v>-1.3367240000000001E-2</v>
      </c>
      <c r="O5841">
        <v>-0.99303779999999997</v>
      </c>
      <c r="P5841">
        <v>7.1354349999999997E-2</v>
      </c>
      <c r="Q5841">
        <v>0.11504830000000001</v>
      </c>
      <c r="R5841">
        <v>-0.99079379999999995</v>
      </c>
      <c r="S5841">
        <v>0.1033173</v>
      </c>
      <c r="T5841">
        <v>-4.7106740000000001E-2</v>
      </c>
      <c r="U5841">
        <v>-3.0263819999999999</v>
      </c>
      <c r="V5841">
        <v>4.5014039999999998E-2</v>
      </c>
      <c r="W5841">
        <v>0.12833419999999901</v>
      </c>
      <c r="X5841">
        <v>0.9907089</v>
      </c>
      <c r="Y5841">
        <v>8.3076609999999995E-2</v>
      </c>
      <c r="Z5841">
        <v>2.0315089999999999E-3</v>
      </c>
      <c r="AA5841">
        <v>0.99654109999999996</v>
      </c>
      <c r="AB5841">
        <v>17</v>
      </c>
      <c r="AC5841">
        <v>2.4487999999999701</v>
      </c>
      <c r="AD5841">
        <v>-1.1218891568139999</v>
      </c>
      <c r="AE5841">
        <v>-71.981099999999998</v>
      </c>
      <c r="AF5841">
        <v>5.99162463116323</v>
      </c>
      <c r="AG5841">
        <v>-1.1218891568139999</v>
      </c>
      <c r="AH5841">
        <v>71.7555535011372</v>
      </c>
      <c r="AI5841">
        <v>90.892633447182405</v>
      </c>
      <c r="AJ5841">
        <v>85.226846522686301</v>
      </c>
      <c r="AK5841">
        <v>72.014010159520396</v>
      </c>
      <c r="AL5841">
        <v>82.626657507916093</v>
      </c>
      <c r="AM5841">
        <v>87.398487193917504</v>
      </c>
      <c r="AN5841">
        <v>1.0000000276129799</v>
      </c>
    </row>
    <row r="5842" spans="1:40" x14ac:dyDescent="0.25">
      <c r="A5842" t="str">
        <f>"20190303162029510"</f>
        <v>20190303162029510</v>
      </c>
      <c r="B5842" t="str">
        <f>"1551601229498816"</f>
        <v>1551601229498816</v>
      </c>
      <c r="C5842" t="s">
        <v>40</v>
      </c>
      <c r="D5842">
        <v>5.2266500000000002</v>
      </c>
      <c r="E5842">
        <v>0.51390789999999997</v>
      </c>
      <c r="F5842" t="s">
        <v>50</v>
      </c>
      <c r="G5842">
        <v>-190.7508</v>
      </c>
      <c r="H5842" s="1">
        <v>-6.399552E-6</v>
      </c>
      <c r="I5842">
        <v>134.09950000000001</v>
      </c>
      <c r="J5842">
        <v>-192.8509</v>
      </c>
      <c r="K5842">
        <v>1.121815</v>
      </c>
      <c r="L5842">
        <v>197.21510000000001</v>
      </c>
      <c r="M5842">
        <v>0.1173015</v>
      </c>
      <c r="N5842">
        <v>-1.336203E-2</v>
      </c>
      <c r="O5842">
        <v>-0.99300639999999996</v>
      </c>
      <c r="P5842">
        <v>6.5150349999999996E-2</v>
      </c>
      <c r="Q5842">
        <v>0.113436999999999</v>
      </c>
      <c r="R5842">
        <v>-0.99140669999999997</v>
      </c>
      <c r="S5842">
        <v>0.1012421</v>
      </c>
      <c r="T5842">
        <v>-5.3695199999999998E-2</v>
      </c>
      <c r="U5842">
        <v>-3.0268250000000001</v>
      </c>
      <c r="V5842">
        <v>5.1535259999999999E-2</v>
      </c>
      <c r="W5842">
        <v>0.12671250000000001</v>
      </c>
      <c r="X5842">
        <v>0.99059989999999998</v>
      </c>
      <c r="Y5842">
        <v>8.4030460000000001E-2</v>
      </c>
      <c r="Z5842">
        <v>4.1819149999999996E-3</v>
      </c>
      <c r="AA5842">
        <v>0.99645439999999996</v>
      </c>
      <c r="AB5842">
        <v>17</v>
      </c>
      <c r="AC5842">
        <v>2.1000999999999901</v>
      </c>
      <c r="AD5842">
        <v>-1.1218213995520001</v>
      </c>
      <c r="AE5842">
        <v>-63.115600000000001</v>
      </c>
      <c r="AF5842">
        <v>5.3169390554888896</v>
      </c>
      <c r="AG5842">
        <v>-1.1218213995520001</v>
      </c>
      <c r="AH5842">
        <v>62.9063094359906</v>
      </c>
      <c r="AI5842">
        <v>91.018030238676403</v>
      </c>
      <c r="AJ5842">
        <v>85.168754453509706</v>
      </c>
      <c r="AK5842">
        <v>63.140574047349901</v>
      </c>
      <c r="AL5842">
        <v>82.720339110628402</v>
      </c>
      <c r="AM5842">
        <v>87.021912368668595</v>
      </c>
      <c r="AN5842">
        <v>1.00000005127976</v>
      </c>
    </row>
    <row r="5843" spans="1:40" x14ac:dyDescent="0.25">
      <c r="A5843" t="str">
        <f>"20190303162029524"</f>
        <v>20190303162029524</v>
      </c>
      <c r="B5843" t="str">
        <f>"1551601229518336"</f>
        <v>1551601229518336</v>
      </c>
      <c r="C5843" t="s">
        <v>40</v>
      </c>
      <c r="D5843">
        <v>5.2361810000000002</v>
      </c>
      <c r="E5843">
        <v>0.50219570000000002</v>
      </c>
      <c r="F5843" t="s">
        <v>50</v>
      </c>
      <c r="G5843">
        <v>-191.27080000000001</v>
      </c>
      <c r="H5843" s="1">
        <v>-9.2069589999999996E-6</v>
      </c>
      <c r="I5843">
        <v>143.11879999999999</v>
      </c>
      <c r="J5843">
        <v>-192.8374</v>
      </c>
      <c r="K5843">
        <v>1.1217520000000001</v>
      </c>
      <c r="L5843">
        <v>197.10290000000001</v>
      </c>
      <c r="M5843">
        <v>0.1174975</v>
      </c>
      <c r="N5843">
        <v>-1.335773E-2</v>
      </c>
      <c r="O5843">
        <v>-0.99298339999999996</v>
      </c>
      <c r="P5843">
        <v>6.1651810000000001E-2</v>
      </c>
      <c r="Q5843">
        <v>0.11367089999999901</v>
      </c>
      <c r="R5843">
        <v>-0.99160400000000004</v>
      </c>
      <c r="S5843">
        <v>8.8424680000000005E-2</v>
      </c>
      <c r="T5843">
        <v>-6.2780020000000006E-2</v>
      </c>
      <c r="U5843">
        <v>-3.0273590000000001</v>
      </c>
      <c r="V5843">
        <v>5.5247299999999999E-2</v>
      </c>
      <c r="W5843">
        <v>0.12693289999999999</v>
      </c>
      <c r="X5843">
        <v>0.99037149999999996</v>
      </c>
      <c r="Y5843">
        <v>8.8444629999999996E-2</v>
      </c>
      <c r="Z5843">
        <v>7.1390689999999996E-3</v>
      </c>
      <c r="AA5843">
        <v>0.99605549999999998</v>
      </c>
      <c r="AB5843">
        <v>17</v>
      </c>
      <c r="AC5843">
        <v>1.56659999999999</v>
      </c>
      <c r="AD5843">
        <v>-1.1217612069589999</v>
      </c>
      <c r="AE5843">
        <v>-53.984099999999998</v>
      </c>
      <c r="AF5843">
        <v>4.7857511754541404</v>
      </c>
      <c r="AG5843">
        <v>-1.1217612069589999</v>
      </c>
      <c r="AH5843">
        <v>53.770984790603798</v>
      </c>
      <c r="AI5843">
        <v>91.190417272660696</v>
      </c>
      <c r="AJ5843">
        <v>84.913934746683395</v>
      </c>
      <c r="AK5843">
        <v>53.995190229039302</v>
      </c>
      <c r="AL5843">
        <v>82.707607704869503</v>
      </c>
      <c r="AM5843">
        <v>86.807097410297899</v>
      </c>
      <c r="AN5843">
        <v>0.99999996663597401</v>
      </c>
    </row>
    <row r="5844" spans="1:40" x14ac:dyDescent="0.25">
      <c r="A5844" t="str">
        <f>"20190303162029560"</f>
        <v>20190303162029560</v>
      </c>
      <c r="B5844" t="str">
        <f>"1551601229548592"</f>
        <v>1551601229548592</v>
      </c>
      <c r="C5844" t="s">
        <v>40</v>
      </c>
      <c r="D5844">
        <v>5.5258209999999996</v>
      </c>
      <c r="E5844">
        <v>0.50207139999999995</v>
      </c>
      <c r="F5844" t="s">
        <v>50</v>
      </c>
      <c r="G5844">
        <v>-189.52670000000001</v>
      </c>
      <c r="H5844" s="1">
        <v>-7.8183519999999999E-6</v>
      </c>
      <c r="I5844">
        <v>138.81280000000001</v>
      </c>
      <c r="J5844">
        <v>-192.80439999999999</v>
      </c>
      <c r="K5844">
        <v>1.1216170000000001</v>
      </c>
      <c r="L5844">
        <v>196.828</v>
      </c>
      <c r="M5844">
        <v>0.1177252</v>
      </c>
      <c r="N5844">
        <v>-1.334839E-2</v>
      </c>
      <c r="O5844">
        <v>-0.99295670000000003</v>
      </c>
      <c r="P5844">
        <v>5.1074769999999999E-2</v>
      </c>
      <c r="Q5844">
        <v>0.11329350000000001</v>
      </c>
      <c r="R5844">
        <v>-0.99224820000000002</v>
      </c>
      <c r="S5844">
        <v>0.17160029999999901</v>
      </c>
      <c r="T5844">
        <v>-5.8144689999999999E-2</v>
      </c>
      <c r="U5844">
        <v>-3.0213779999999999</v>
      </c>
      <c r="V5844">
        <v>6.6101569999999998E-2</v>
      </c>
      <c r="W5844">
        <v>0.12651760000000001</v>
      </c>
      <c r="X5844">
        <v>0.98975950000000001</v>
      </c>
      <c r="Y5844">
        <v>6.122416E-2</v>
      </c>
      <c r="Z5844">
        <v>5.7040619999999898E-3</v>
      </c>
      <c r="AA5844">
        <v>0.99810770000000004</v>
      </c>
      <c r="AB5844">
        <v>17</v>
      </c>
      <c r="AC5844">
        <v>3.2776999999999799</v>
      </c>
      <c r="AD5844">
        <v>-1.1216248183519999</v>
      </c>
      <c r="AE5844">
        <v>-58.015199999999901</v>
      </c>
      <c r="AF5844">
        <v>3.5742229646322401</v>
      </c>
      <c r="AG5844">
        <v>-1.1216248183519999</v>
      </c>
      <c r="AH5844">
        <v>57.976003652845698</v>
      </c>
      <c r="AI5844">
        <v>91.106226976928397</v>
      </c>
      <c r="AJ5844">
        <v>86.472177790405595</v>
      </c>
      <c r="AK5844">
        <v>58.096902771049898</v>
      </c>
      <c r="AL5844">
        <v>82.731596242313501</v>
      </c>
      <c r="AM5844">
        <v>86.179147451740107</v>
      </c>
      <c r="AN5844">
        <v>0.99999999425323705</v>
      </c>
    </row>
    <row r="5845" spans="1:40" x14ac:dyDescent="0.25">
      <c r="A5845" t="str">
        <f>"20190303162029578"</f>
        <v>20190303162029578</v>
      </c>
      <c r="B5845" t="str">
        <f>"1551601229568112"</f>
        <v>1551601229568112</v>
      </c>
      <c r="C5845" t="s">
        <v>40</v>
      </c>
      <c r="D5845">
        <v>5.4225349999999999</v>
      </c>
      <c r="E5845">
        <v>0.50161339999999999</v>
      </c>
      <c r="F5845" t="s">
        <v>50</v>
      </c>
      <c r="G5845">
        <v>-190.1163</v>
      </c>
      <c r="H5845" s="1">
        <v>-7.9338819999999995E-6</v>
      </c>
      <c r="I5845">
        <v>139.18100000000001</v>
      </c>
      <c r="J5845">
        <v>-192.78739999999999</v>
      </c>
      <c r="K5845">
        <v>1.1215469999999901</v>
      </c>
      <c r="L5845">
        <v>196.6842</v>
      </c>
      <c r="M5845">
        <v>0.1176946</v>
      </c>
      <c r="N5845">
        <v>-1.3344200000000001E-2</v>
      </c>
      <c r="O5845">
        <v>-0.99296050000000002</v>
      </c>
      <c r="P5845">
        <v>4.4870439999999998E-2</v>
      </c>
      <c r="Q5845">
        <v>0.1151533</v>
      </c>
      <c r="R5845">
        <v>-0.9923343</v>
      </c>
      <c r="S5845">
        <v>0.14096069999999999</v>
      </c>
      <c r="T5845">
        <v>-5.881596E-2</v>
      </c>
      <c r="U5845">
        <v>-3.0229029999999999</v>
      </c>
      <c r="V5845">
        <v>7.2268730000000003E-2</v>
      </c>
      <c r="W5845">
        <v>0.12834980000000001</v>
      </c>
      <c r="X5845">
        <v>0.98909230000000004</v>
      </c>
      <c r="Y5845">
        <v>7.1305919999999995E-2</v>
      </c>
      <c r="Z5845">
        <v>5.9085400000000003E-3</v>
      </c>
      <c r="AA5845">
        <v>0.99743700000000002</v>
      </c>
      <c r="AB5845">
        <v>17</v>
      </c>
      <c r="AC5845">
        <v>2.6710999999999898</v>
      </c>
      <c r="AD5845">
        <v>-1.1215549338819999</v>
      </c>
      <c r="AE5845">
        <v>-57.5031999999999</v>
      </c>
      <c r="AF5845">
        <v>4.11432270283641</v>
      </c>
      <c r="AG5845">
        <v>-1.1215549338819999</v>
      </c>
      <c r="AH5845">
        <v>57.396086930605499</v>
      </c>
      <c r="AI5845">
        <v>91.116588035368693</v>
      </c>
      <c r="AJ5845">
        <v>85.899880787419093</v>
      </c>
      <c r="AK5845">
        <v>57.554290298103801</v>
      </c>
      <c r="AL5845">
        <v>82.625756103788703</v>
      </c>
      <c r="AM5845">
        <v>85.821069242952504</v>
      </c>
      <c r="AN5845">
        <v>1.00000000920757</v>
      </c>
    </row>
    <row r="5846" spans="1:40" x14ac:dyDescent="0.25">
      <c r="A5846" t="str">
        <f>"20190303162029599"</f>
        <v>20190303162029599</v>
      </c>
      <c r="B5846" t="str">
        <f>"1551601229588607"</f>
        <v>1551601229588607</v>
      </c>
      <c r="C5846" t="s">
        <v>40</v>
      </c>
      <c r="D5846">
        <v>5.42218</v>
      </c>
      <c r="E5846">
        <v>0.50018409999999902</v>
      </c>
      <c r="F5846" t="s">
        <v>50</v>
      </c>
      <c r="G5846">
        <v>-190.4622</v>
      </c>
      <c r="H5846" s="1">
        <v>-8.4359309999999998E-6</v>
      </c>
      <c r="I5846">
        <v>140.739</v>
      </c>
      <c r="J5846">
        <v>-192.76849999999999</v>
      </c>
      <c r="K5846">
        <v>1.121469</v>
      </c>
      <c r="L5846">
        <v>196.52379999999999</v>
      </c>
      <c r="M5846">
        <v>0.117521</v>
      </c>
      <c r="N5846">
        <v>-1.3340060000000001E-2</v>
      </c>
      <c r="O5846">
        <v>-0.992981</v>
      </c>
      <c r="P5846">
        <v>3.9180880000000001E-2</v>
      </c>
      <c r="Q5846">
        <v>0.119594699999999</v>
      </c>
      <c r="R5846">
        <v>-0.99204970000000003</v>
      </c>
      <c r="S5846">
        <v>0.12570190000000001</v>
      </c>
      <c r="T5846">
        <v>-6.0634140000000003E-2</v>
      </c>
      <c r="U5846">
        <v>-3.0245359999999999</v>
      </c>
      <c r="V5846">
        <v>7.7745469999999997E-2</v>
      </c>
      <c r="W5846">
        <v>0.13275399999999901</v>
      </c>
      <c r="X5846">
        <v>0.98809519999999995</v>
      </c>
      <c r="Y5846">
        <v>7.6176820000000006E-2</v>
      </c>
      <c r="Z5846">
        <v>6.4910250000000001E-3</v>
      </c>
      <c r="AA5846">
        <v>0.99707319999999999</v>
      </c>
      <c r="AB5846">
        <v>17</v>
      </c>
      <c r="AC5846">
        <v>2.30629999999999</v>
      </c>
      <c r="AD5846">
        <v>-1.121477435931</v>
      </c>
      <c r="AE5846">
        <v>-55.784799999999898</v>
      </c>
      <c r="AF5846">
        <v>4.2644315851884</v>
      </c>
      <c r="AG5846">
        <v>-1.121477435931</v>
      </c>
      <c r="AH5846">
        <v>55.646775757650303</v>
      </c>
      <c r="AI5846">
        <v>91.1511799003204</v>
      </c>
      <c r="AJ5846">
        <v>85.617763976643303</v>
      </c>
      <c r="AK5846">
        <v>55.821203324599402</v>
      </c>
      <c r="AL5846">
        <v>82.371235834611497</v>
      </c>
      <c r="AM5846">
        <v>85.501112748078498</v>
      </c>
      <c r="AN5846">
        <v>1.0000000534422699</v>
      </c>
    </row>
    <row r="5847" spans="1:40" x14ac:dyDescent="0.25">
      <c r="A5847" t="str">
        <f>"20190303162029613"</f>
        <v>20190303162029613</v>
      </c>
      <c r="B5847" t="str">
        <f>"1551601229608128"</f>
        <v>1551601229608128</v>
      </c>
      <c r="C5847" t="s">
        <v>40</v>
      </c>
      <c r="D5847">
        <v>5.4201990000000002</v>
      </c>
      <c r="E5847">
        <v>0.49923440000000002</v>
      </c>
      <c r="F5847" t="s">
        <v>50</v>
      </c>
      <c r="G5847">
        <v>-190.1378</v>
      </c>
      <c r="H5847" s="1">
        <v>-5.1272900000000002E-6</v>
      </c>
      <c r="I5847">
        <v>130.3974</v>
      </c>
      <c r="J5847">
        <v>-192.75569999999999</v>
      </c>
      <c r="K5847">
        <v>1.121399</v>
      </c>
      <c r="L5847">
        <v>196.41419999999999</v>
      </c>
      <c r="M5847">
        <v>0.1173025</v>
      </c>
      <c r="N5847">
        <v>-1.333762E-2</v>
      </c>
      <c r="O5847">
        <v>-0.99300679999999997</v>
      </c>
      <c r="P5847">
        <v>3.6089610000000001E-2</v>
      </c>
      <c r="Q5847">
        <v>0.122522699999999</v>
      </c>
      <c r="R5847">
        <v>-0.99180979999999996</v>
      </c>
      <c r="S5847">
        <v>0.1203613</v>
      </c>
      <c r="T5847">
        <v>-5.131078E-2</v>
      </c>
      <c r="U5847">
        <v>-3.0254819999999998</v>
      </c>
      <c r="V5847">
        <v>8.0595180000000002E-2</v>
      </c>
      <c r="W5847">
        <v>0.13565579999999999</v>
      </c>
      <c r="X5847">
        <v>0.98747249999999998</v>
      </c>
      <c r="Y5847">
        <v>7.7728099999999994E-2</v>
      </c>
      <c r="Z5847">
        <v>3.4433200000000001E-3</v>
      </c>
      <c r="AA5847">
        <v>0.99696859999999998</v>
      </c>
      <c r="AB5847">
        <v>17</v>
      </c>
      <c r="AC5847">
        <v>2.6178999999999899</v>
      </c>
      <c r="AD5847">
        <v>-1.1214041272899999</v>
      </c>
      <c r="AE5847">
        <v>-66.016799999999904</v>
      </c>
      <c r="AF5847">
        <v>5.1433183519081203</v>
      </c>
      <c r="AG5847">
        <v>-1.1214041272899999</v>
      </c>
      <c r="AH5847">
        <v>65.849096812351604</v>
      </c>
      <c r="AI5847">
        <v>90.972685601508402</v>
      </c>
      <c r="AJ5847">
        <v>85.533828865493902</v>
      </c>
      <c r="AK5847">
        <v>66.059176666745103</v>
      </c>
      <c r="AL5847">
        <v>82.203456743914003</v>
      </c>
      <c r="AM5847">
        <v>85.333995833079399</v>
      </c>
      <c r="AN5847">
        <v>1.00000000868456</v>
      </c>
    </row>
    <row r="5848" spans="1:40" x14ac:dyDescent="0.25">
      <c r="A5848" t="str">
        <f>"20190303162029627"</f>
        <v>20190303162029627</v>
      </c>
      <c r="B5848" t="str">
        <f>"1551601229618864"</f>
        <v>1551601229618864</v>
      </c>
      <c r="C5848" t="s">
        <v>40</v>
      </c>
      <c r="D5848">
        <v>5.3635979999999996</v>
      </c>
      <c r="E5848">
        <v>0.49860640000000001</v>
      </c>
      <c r="F5848" t="s">
        <v>50</v>
      </c>
      <c r="G5848">
        <v>-189.7921</v>
      </c>
      <c r="H5848" s="1">
        <v>-9.1279879999999996E-7</v>
      </c>
      <c r="I5848">
        <v>121.2393</v>
      </c>
      <c r="J5848">
        <v>-192.7432</v>
      </c>
      <c r="K5848">
        <v>1.121329</v>
      </c>
      <c r="L5848">
        <v>196.3066</v>
      </c>
      <c r="M5848">
        <v>0.1170221</v>
      </c>
      <c r="N5848">
        <v>-1.333553E-2</v>
      </c>
      <c r="O5848">
        <v>-0.99304000000000003</v>
      </c>
      <c r="P5848">
        <v>3.2628899999999898E-2</v>
      </c>
      <c r="Q5848">
        <v>0.1248523</v>
      </c>
      <c r="R5848">
        <v>-0.99163900000000005</v>
      </c>
      <c r="S5848">
        <v>0.1192932</v>
      </c>
      <c r="T5848">
        <v>-4.5139550000000001E-2</v>
      </c>
      <c r="U5848">
        <v>-3.0260009999999999</v>
      </c>
      <c r="V5848">
        <v>8.3759940000000005E-2</v>
      </c>
      <c r="W5848">
        <v>0.13795850000000001</v>
      </c>
      <c r="X5848">
        <v>0.98688989999999999</v>
      </c>
      <c r="Y5848">
        <v>7.7805559999999996E-2</v>
      </c>
      <c r="Z5848">
        <v>1.4290710000000001E-3</v>
      </c>
      <c r="AA5848">
        <v>0.99696759999999995</v>
      </c>
      <c r="AB5848">
        <v>17</v>
      </c>
      <c r="AC5848">
        <v>2.9510999999999901</v>
      </c>
      <c r="AD5848">
        <v>-1.1213299127987999</v>
      </c>
      <c r="AE5848">
        <v>-75.067300000000003</v>
      </c>
      <c r="AF5848">
        <v>5.8531879920151404</v>
      </c>
      <c r="AG5848">
        <v>-1.1213299127987999</v>
      </c>
      <c r="AH5848">
        <v>74.880136147226906</v>
      </c>
      <c r="AI5848">
        <v>90.855331342958607</v>
      </c>
      <c r="AJ5848">
        <v>85.530424489130993</v>
      </c>
      <c r="AK5848">
        <v>75.116922060681105</v>
      </c>
      <c r="AL5848">
        <v>82.070269186524598</v>
      </c>
      <c r="AM5848">
        <v>85.148782650979896</v>
      </c>
      <c r="AN5848">
        <v>0.99999997499653104</v>
      </c>
    </row>
    <row r="5849" spans="1:40" x14ac:dyDescent="0.25">
      <c r="A5849" t="str">
        <f>"20190303162029643"</f>
        <v>20190303162029643</v>
      </c>
      <c r="B5849" t="str">
        <f>"1551601229638384"</f>
        <v>1551601229638384</v>
      </c>
      <c r="C5849" t="s">
        <v>40</v>
      </c>
      <c r="D5849">
        <v>5.3640019999999904</v>
      </c>
      <c r="E5849">
        <v>0.49793470000000001</v>
      </c>
      <c r="F5849" t="s">
        <v>41</v>
      </c>
      <c r="G5849">
        <v>-189.40110000000001</v>
      </c>
      <c r="H5849" s="1">
        <v>-3.8396090000000001E-6</v>
      </c>
      <c r="I5849">
        <v>108.33540000000001</v>
      </c>
      <c r="J5849">
        <v>-192.72890000000001</v>
      </c>
      <c r="K5849">
        <v>1.121232</v>
      </c>
      <c r="L5849">
        <v>196.1815</v>
      </c>
      <c r="M5849">
        <v>0.11658209999999999</v>
      </c>
      <c r="N5849">
        <v>-1.333369E-2</v>
      </c>
      <c r="O5849">
        <v>-0.99309179999999997</v>
      </c>
      <c r="P5849">
        <v>2.6662430000000001E-2</v>
      </c>
      <c r="Q5849">
        <v>0.12723899999999999</v>
      </c>
      <c r="R5849">
        <v>-0.99151400000000001</v>
      </c>
      <c r="S5849">
        <v>0.11497499999999999</v>
      </c>
      <c r="T5849">
        <v>-3.8575650000000003E-2</v>
      </c>
      <c r="U5849">
        <v>-3.0263520000000002</v>
      </c>
      <c r="V5849">
        <v>8.9268E-2</v>
      </c>
      <c r="W5849">
        <v>0.14030719999999999</v>
      </c>
      <c r="X5849">
        <v>0.98607560000000005</v>
      </c>
      <c r="Y5849">
        <v>7.8789670000000006E-2</v>
      </c>
      <c r="Z5849">
        <v>-7.1323149999999902E-4</v>
      </c>
      <c r="AA5849">
        <v>0.99689099999999997</v>
      </c>
      <c r="AB5849">
        <v>17</v>
      </c>
      <c r="AC5849">
        <v>3.3277999999999901</v>
      </c>
      <c r="AD5849">
        <v>-1.1212358396089901</v>
      </c>
      <c r="AE5849">
        <v>-87.846099999999893</v>
      </c>
      <c r="AF5849">
        <v>6.9359585696362496</v>
      </c>
      <c r="AG5849">
        <v>-1.1212358396089901</v>
      </c>
      <c r="AH5849">
        <v>87.620718386458407</v>
      </c>
      <c r="AI5849">
        <v>90.730857673031593</v>
      </c>
      <c r="AJ5849">
        <v>85.473967671399905</v>
      </c>
      <c r="AK5849">
        <v>87.901962331035506</v>
      </c>
      <c r="AL5849">
        <v>81.9343769278167</v>
      </c>
      <c r="AM5849">
        <v>84.827196174052801</v>
      </c>
      <c r="AN5849">
        <v>0.99999998755560005</v>
      </c>
    </row>
    <row r="5850" spans="1:40" x14ac:dyDescent="0.25">
      <c r="A5850" t="str">
        <f>"20190303162029657"</f>
        <v>20190303162029657</v>
      </c>
      <c r="B5850" t="str">
        <f>"1551601229648143"</f>
        <v>1551601229648143</v>
      </c>
      <c r="C5850" t="s">
        <v>40</v>
      </c>
      <c r="D5850">
        <v>5.3587239999999996</v>
      </c>
      <c r="E5850">
        <v>0.49753760000000002</v>
      </c>
      <c r="F5850" t="s">
        <v>41</v>
      </c>
      <c r="G5850">
        <v>-189.35239999999999</v>
      </c>
      <c r="H5850" s="1">
        <v>-3.4932849999999999E-6</v>
      </c>
      <c r="I5850">
        <v>97.507919999999999</v>
      </c>
      <c r="J5850">
        <v>-192.71700000000001</v>
      </c>
      <c r="K5850">
        <v>1.1211420000000001</v>
      </c>
      <c r="L5850">
        <v>196.07589999999999</v>
      </c>
      <c r="M5850">
        <v>0.116102</v>
      </c>
      <c r="N5850">
        <v>-1.3332719999999999E-2</v>
      </c>
      <c r="O5850">
        <v>-0.99314789999999997</v>
      </c>
      <c r="P5850">
        <v>2.412723E-2</v>
      </c>
      <c r="Q5850">
        <v>0.12749959999999999</v>
      </c>
      <c r="R5850">
        <v>-0.99154509999999996</v>
      </c>
      <c r="S5850">
        <v>0.1035919</v>
      </c>
      <c r="T5850">
        <v>-3.4399270000000003E-2</v>
      </c>
      <c r="U5850">
        <v>-3.0272830000000002</v>
      </c>
      <c r="V5850">
        <v>9.1341279999999997E-2</v>
      </c>
      <c r="W5850">
        <v>0.1405428</v>
      </c>
      <c r="X5850">
        <v>0.98585219999999996</v>
      </c>
      <c r="Y5850">
        <v>8.206281E-2</v>
      </c>
      <c r="Z5850">
        <v>-2.0816139999999999E-3</v>
      </c>
      <c r="AA5850">
        <v>0.99662499999999998</v>
      </c>
      <c r="AB5850">
        <v>17</v>
      </c>
      <c r="AC5850">
        <v>3.3646000000000198</v>
      </c>
      <c r="AD5850">
        <v>-1.121145493285</v>
      </c>
      <c r="AE5850">
        <v>-98.567980000000006</v>
      </c>
      <c r="AF5850">
        <v>8.1020666845522094</v>
      </c>
      <c r="AG5850">
        <v>-1.121145493285</v>
      </c>
      <c r="AH5850">
        <v>98.279246449370007</v>
      </c>
      <c r="AI5850">
        <v>90.651378303830896</v>
      </c>
      <c r="AJ5850">
        <v>85.287236366653403</v>
      </c>
      <c r="AK5850">
        <v>98.619018117369507</v>
      </c>
      <c r="AL5850">
        <v>81.920743326188102</v>
      </c>
      <c r="AM5850">
        <v>84.706538077704707</v>
      </c>
      <c r="AN5850">
        <v>1.00000003415435</v>
      </c>
    </row>
    <row r="5851" spans="1:40" x14ac:dyDescent="0.25">
      <c r="A5851" t="str">
        <f>"20190303162029671"</f>
        <v>20190303162029671</v>
      </c>
      <c r="B5851" t="str">
        <f>"1551601229657904"</f>
        <v>1551601229657904</v>
      </c>
      <c r="C5851" t="s">
        <v>40</v>
      </c>
      <c r="D5851">
        <v>5.3613179999999998</v>
      </c>
      <c r="E5851">
        <v>0.4970463</v>
      </c>
      <c r="F5851" t="s">
        <v>41</v>
      </c>
      <c r="G5851">
        <v>-189.55350000000001</v>
      </c>
      <c r="H5851" s="1">
        <v>-1.45250399999999E-7</v>
      </c>
      <c r="I5851">
        <v>99.725759999999994</v>
      </c>
      <c r="J5851">
        <v>-192.70529999999999</v>
      </c>
      <c r="K5851">
        <v>1.1210469999999999</v>
      </c>
      <c r="L5851">
        <v>195.97040000000001</v>
      </c>
      <c r="M5851">
        <v>0.1155538</v>
      </c>
      <c r="N5851">
        <v>-1.333205E-2</v>
      </c>
      <c r="O5851">
        <v>-0.99321179999999998</v>
      </c>
      <c r="P5851">
        <v>2.2353399999999999E-2</v>
      </c>
      <c r="Q5851">
        <v>0.1262655</v>
      </c>
      <c r="R5851">
        <v>-0.99174490000000004</v>
      </c>
      <c r="S5851">
        <v>9.9411009999999994E-2</v>
      </c>
      <c r="T5851">
        <v>-3.5230640000000001E-2</v>
      </c>
      <c r="U5851">
        <v>-3.027695</v>
      </c>
      <c r="V5851">
        <v>9.2608590000000005E-2</v>
      </c>
      <c r="W5851">
        <v>0.139288299999999</v>
      </c>
      <c r="X5851">
        <v>0.98591200000000001</v>
      </c>
      <c r="Y5851">
        <v>8.289175E-2</v>
      </c>
      <c r="Z5851">
        <v>-1.8114629999999999E-3</v>
      </c>
      <c r="AA5851">
        <v>0.99655689999999997</v>
      </c>
      <c r="AB5851">
        <v>17</v>
      </c>
      <c r="AC5851">
        <v>3.15179999999997</v>
      </c>
      <c r="AD5851">
        <v>-1.1210471452503901</v>
      </c>
      <c r="AE5851">
        <v>-96.244640000000004</v>
      </c>
      <c r="AF5851">
        <v>7.9906558288310201</v>
      </c>
      <c r="AG5851">
        <v>-1.1210471452503901</v>
      </c>
      <c r="AH5851">
        <v>95.951034433569006</v>
      </c>
      <c r="AI5851">
        <v>90.667077727283498</v>
      </c>
      <c r="AJ5851">
        <v>85.239479793637202</v>
      </c>
      <c r="AK5851">
        <v>96.289710437557403</v>
      </c>
      <c r="AL5851">
        <v>81.993334874996506</v>
      </c>
      <c r="AM5851">
        <v>84.633843681855495</v>
      </c>
      <c r="AN5851">
        <v>1.00000002660133</v>
      </c>
    </row>
    <row r="5852" spans="1:40" x14ac:dyDescent="0.25">
      <c r="A5852" t="str">
        <f>"20190303162029684"</f>
        <v>20190303162029684</v>
      </c>
      <c r="B5852" t="str">
        <f>"1551601229678399"</f>
        <v>1551601229678399</v>
      </c>
      <c r="C5852" t="s">
        <v>40</v>
      </c>
      <c r="D5852">
        <v>5.3048869999999999</v>
      </c>
      <c r="E5852">
        <v>0.49660019999999999</v>
      </c>
      <c r="F5852" t="s">
        <v>41</v>
      </c>
      <c r="G5852">
        <v>-190.00569999999999</v>
      </c>
      <c r="H5852" s="1">
        <v>-1.1675320000000001E-6</v>
      </c>
      <c r="I5852">
        <v>112.30710000000001</v>
      </c>
      <c r="J5852">
        <v>-192.69380000000001</v>
      </c>
      <c r="K5852">
        <v>1.120949</v>
      </c>
      <c r="L5852">
        <v>195.86670000000001</v>
      </c>
      <c r="M5852">
        <v>0.1149473</v>
      </c>
      <c r="N5852">
        <v>-1.333165E-2</v>
      </c>
      <c r="O5852">
        <v>-0.99328229999999995</v>
      </c>
      <c r="P5852">
        <v>2.155381E-2</v>
      </c>
      <c r="Q5852">
        <v>0.123989</v>
      </c>
      <c r="R5852">
        <v>-0.99204970000000003</v>
      </c>
      <c r="S5852">
        <v>9.7702029999999995E-2</v>
      </c>
      <c r="T5852">
        <v>-4.0573119999999997E-2</v>
      </c>
      <c r="U5852">
        <v>-3.0279539999999998</v>
      </c>
      <c r="V5852">
        <v>9.2859919999999999E-2</v>
      </c>
      <c r="W5852">
        <v>0.13699539999999999</v>
      </c>
      <c r="X5852">
        <v>0.98620960000000002</v>
      </c>
      <c r="Y5852">
        <v>8.2846870000000003E-2</v>
      </c>
      <c r="Z5852" s="1">
        <v>-6.8173450000000004E-5</v>
      </c>
      <c r="AA5852">
        <v>0.99656230000000001</v>
      </c>
      <c r="AB5852">
        <v>17</v>
      </c>
      <c r="AC5852">
        <v>2.6881000000000199</v>
      </c>
      <c r="AD5852">
        <v>-1.1209501675319999</v>
      </c>
      <c r="AE5852">
        <v>-83.559600000000003</v>
      </c>
      <c r="AF5852">
        <v>6.9342768209032402</v>
      </c>
      <c r="AG5852">
        <v>-1.1209501675319999</v>
      </c>
      <c r="AH5852">
        <v>83.299676216071305</v>
      </c>
      <c r="AI5852">
        <v>90.768316239871794</v>
      </c>
      <c r="AJ5852">
        <v>85.241387796966904</v>
      </c>
      <c r="AK5852">
        <v>83.595315550629493</v>
      </c>
      <c r="AL5852">
        <v>82.125980242045998</v>
      </c>
      <c r="AM5852">
        <v>84.620979995958194</v>
      </c>
      <c r="AN5852">
        <v>1.0000000397478599</v>
      </c>
    </row>
    <row r="5853" spans="1:40" x14ac:dyDescent="0.25">
      <c r="A5853" t="str">
        <f>"20190303162029698"</f>
        <v>20190303162029698</v>
      </c>
      <c r="B5853" t="str">
        <f>"1551601229688159"</f>
        <v>1551601229688159</v>
      </c>
      <c r="C5853" t="s">
        <v>40</v>
      </c>
      <c r="D5853">
        <v>5.2491580000000004</v>
      </c>
      <c r="E5853">
        <v>0.48806119999999997</v>
      </c>
      <c r="F5853" t="s">
        <v>50</v>
      </c>
      <c r="G5853">
        <v>-190.44589999999999</v>
      </c>
      <c r="H5853" s="1">
        <v>-3.7895209999999998E-6</v>
      </c>
      <c r="I5853">
        <v>126.8438</v>
      </c>
      <c r="J5853">
        <v>-192.68199999999999</v>
      </c>
      <c r="K5853">
        <v>1.120838</v>
      </c>
      <c r="L5853">
        <v>195.75729999999999</v>
      </c>
      <c r="M5853">
        <v>0.1141805</v>
      </c>
      <c r="N5853">
        <v>-1.333176E-2</v>
      </c>
      <c r="O5853">
        <v>-0.99337089999999995</v>
      </c>
      <c r="P5853">
        <v>2.1310889999999999E-2</v>
      </c>
      <c r="Q5853">
        <v>0.11901920000000001</v>
      </c>
      <c r="R5853">
        <v>-0.99266350000000003</v>
      </c>
      <c r="S5853">
        <v>9.8617549999999998E-2</v>
      </c>
      <c r="T5853">
        <v>-4.9176690000000002E-2</v>
      </c>
      <c r="U5853">
        <v>-3.0280610000000001</v>
      </c>
      <c r="V5853">
        <v>9.2427430000000005E-2</v>
      </c>
      <c r="W5853">
        <v>0.13201669999999999</v>
      </c>
      <c r="X5853">
        <v>0.9869289</v>
      </c>
      <c r="Y5853">
        <v>8.1776370000000001E-2</v>
      </c>
      <c r="Z5853">
        <v>2.740925E-3</v>
      </c>
      <c r="AA5853">
        <v>0.9966469</v>
      </c>
      <c r="AB5853">
        <v>17</v>
      </c>
      <c r="AC5853">
        <v>2.23610000000002</v>
      </c>
      <c r="AD5853">
        <v>-1.1208417895209899</v>
      </c>
      <c r="AE5853">
        <v>-68.9134999999999</v>
      </c>
      <c r="AF5853">
        <v>5.6463091984069997</v>
      </c>
      <c r="AG5853">
        <v>-1.1208417895209899</v>
      </c>
      <c r="AH5853">
        <v>68.699914416615101</v>
      </c>
      <c r="AI5853">
        <v>90.931559526054301</v>
      </c>
      <c r="AJ5853">
        <v>85.301534130488093</v>
      </c>
      <c r="AK5853">
        <v>68.940665319761706</v>
      </c>
      <c r="AL5853">
        <v>82.413854315025105</v>
      </c>
      <c r="AM5853">
        <v>84.649766127632006</v>
      </c>
      <c r="AN5853">
        <v>0.99999994627525102</v>
      </c>
    </row>
    <row r="5854" spans="1:40" x14ac:dyDescent="0.25">
      <c r="A5854" t="str">
        <f>"20190303162029724"</f>
        <v>20190303162029724</v>
      </c>
      <c r="B5854" t="str">
        <f>"1551601229718416"</f>
        <v>1551601229718416</v>
      </c>
      <c r="C5854" t="s">
        <v>40</v>
      </c>
      <c r="D5854">
        <v>5.2510240000000001</v>
      </c>
      <c r="E5854">
        <v>0.48800949999999998</v>
      </c>
      <c r="F5854" t="s">
        <v>50</v>
      </c>
      <c r="G5854">
        <v>-190.5324</v>
      </c>
      <c r="H5854" s="1">
        <v>-1.368616E-5</v>
      </c>
      <c r="I5854">
        <v>156.48740000000001</v>
      </c>
      <c r="J5854">
        <v>-192.66220000000001</v>
      </c>
      <c r="K5854">
        <v>1.1206989999999999</v>
      </c>
      <c r="L5854">
        <v>195.57040000000001</v>
      </c>
      <c r="M5854">
        <v>0.11271730000000001</v>
      </c>
      <c r="N5854">
        <v>-1.333223E-2</v>
      </c>
      <c r="O5854">
        <v>-0.99353769999999997</v>
      </c>
      <c r="P5854">
        <v>1.996947E-2</v>
      </c>
      <c r="Q5854">
        <v>0.11657729999999999</v>
      </c>
      <c r="R5854">
        <v>-0.9929808</v>
      </c>
      <c r="S5854">
        <v>0.165802</v>
      </c>
      <c r="T5854">
        <v>-8.6453799999999997E-2</v>
      </c>
      <c r="U5854">
        <v>-3.0289760000000001</v>
      </c>
      <c r="V5854">
        <v>9.2376159999999999E-2</v>
      </c>
      <c r="W5854">
        <v>0.12955039999999901</v>
      </c>
      <c r="X5854">
        <v>0.98726049999999999</v>
      </c>
      <c r="Y5854">
        <v>5.824025E-2</v>
      </c>
      <c r="Z5854">
        <v>1.4924679999999999E-2</v>
      </c>
      <c r="AA5854">
        <v>0.99819100000000005</v>
      </c>
      <c r="AB5854">
        <v>17</v>
      </c>
      <c r="AC5854">
        <v>2.1298000000000101</v>
      </c>
      <c r="AD5854">
        <v>-1.1207126861600001</v>
      </c>
      <c r="AE5854">
        <v>-39.082999999999998</v>
      </c>
      <c r="AF5854">
        <v>2.2876215488838101</v>
      </c>
      <c r="AG5854">
        <v>-1.1207126861600001</v>
      </c>
      <c r="AH5854">
        <v>39.041962253278001</v>
      </c>
      <c r="AI5854">
        <v>91.641429387682606</v>
      </c>
      <c r="AJ5854">
        <v>86.646649892367904</v>
      </c>
      <c r="AK5854">
        <v>39.124979563729099</v>
      </c>
      <c r="AL5854">
        <v>82.556387401747301</v>
      </c>
      <c r="AM5854">
        <v>84.6545023577373</v>
      </c>
      <c r="AN5854">
        <v>0.99999997796837703</v>
      </c>
    </row>
    <row r="5855" spans="1:40" x14ac:dyDescent="0.25">
      <c r="A5855" t="str">
        <f>"20190303162029746"</f>
        <v>20190303162029746</v>
      </c>
      <c r="B5855" t="str">
        <f>"1551601229737935"</f>
        <v>1551601229737935</v>
      </c>
      <c r="C5855" t="s">
        <v>40</v>
      </c>
      <c r="D5855">
        <v>5.1939380000000002</v>
      </c>
      <c r="E5855">
        <v>0.48791410000000002</v>
      </c>
      <c r="F5855" t="s">
        <v>50</v>
      </c>
      <c r="G5855">
        <v>-190.65860000000001</v>
      </c>
      <c r="H5855" s="1">
        <v>-1.44221E-5</v>
      </c>
      <c r="I5855">
        <v>158.17679999999999</v>
      </c>
      <c r="J5855">
        <v>-192.6448</v>
      </c>
      <c r="K5855">
        <v>1.1206240000000001</v>
      </c>
      <c r="L5855">
        <v>195.40219999999999</v>
      </c>
      <c r="M5855">
        <v>0.111222</v>
      </c>
      <c r="N5855">
        <v>-1.3332750000000001E-2</v>
      </c>
      <c r="O5855">
        <v>-0.99370610000000004</v>
      </c>
      <c r="P5855">
        <v>1.727306E-2</v>
      </c>
      <c r="Q5855">
        <v>0.1175737</v>
      </c>
      <c r="R5855">
        <v>-0.99291399999999996</v>
      </c>
      <c r="S5855">
        <v>0.16227720000000001</v>
      </c>
      <c r="T5855">
        <v>-9.0769169999999996E-2</v>
      </c>
      <c r="U5855">
        <v>-3.0285950000000001</v>
      </c>
      <c r="V5855">
        <v>9.3588669999999999E-2</v>
      </c>
      <c r="W5855">
        <v>0.13052239999999901</v>
      </c>
      <c r="X5855">
        <v>0.98701830000000002</v>
      </c>
      <c r="Y5855">
        <v>5.7890079999999997E-2</v>
      </c>
      <c r="Z5855">
        <v>1.6342720000000002E-2</v>
      </c>
      <c r="AA5855">
        <v>0.9981892</v>
      </c>
      <c r="AB5855">
        <v>17</v>
      </c>
      <c r="AC5855">
        <v>1.98619999999999</v>
      </c>
      <c r="AD5855">
        <v>-1.1206384220999901</v>
      </c>
      <c r="AE5855">
        <v>-37.2254</v>
      </c>
      <c r="AF5855">
        <v>2.1648207573964502</v>
      </c>
      <c r="AG5855">
        <v>-1.1206384220999901</v>
      </c>
      <c r="AH5855">
        <v>37.181725165388698</v>
      </c>
      <c r="AI5855">
        <v>91.723426388269303</v>
      </c>
      <c r="AJ5855">
        <v>86.667846320326703</v>
      </c>
      <c r="AK5855">
        <v>37.261548084577001</v>
      </c>
      <c r="AL5855">
        <v>82.500219381542493</v>
      </c>
      <c r="AM5855">
        <v>84.583431982714401</v>
      </c>
      <c r="AN5855">
        <v>1.0000000302945</v>
      </c>
    </row>
    <row r="5856" spans="1:40" x14ac:dyDescent="0.25">
      <c r="A5856" t="str">
        <f>"20190303162029761"</f>
        <v>20190303162029761</v>
      </c>
      <c r="B5856" t="str">
        <f>"1551601229748672"</f>
        <v>1551601229748672</v>
      </c>
      <c r="C5856" t="s">
        <v>40</v>
      </c>
      <c r="D5856">
        <v>5.198499</v>
      </c>
      <c r="E5856">
        <v>0.48788680000000001</v>
      </c>
      <c r="F5856" t="s">
        <v>50</v>
      </c>
      <c r="G5856">
        <v>-190.6387</v>
      </c>
      <c r="H5856" s="1">
        <v>-1.3769479999999999E-5</v>
      </c>
      <c r="I5856">
        <v>156.65960000000001</v>
      </c>
      <c r="J5856">
        <v>-192.6326</v>
      </c>
      <c r="K5856">
        <v>1.1206039999999999</v>
      </c>
      <c r="L5856">
        <v>195.2809</v>
      </c>
      <c r="M5856">
        <v>0.110067899999999</v>
      </c>
      <c r="N5856">
        <v>-1.3332729999999999E-2</v>
      </c>
      <c r="O5856">
        <v>-0.99383480000000002</v>
      </c>
      <c r="P5856">
        <v>1.52458E-2</v>
      </c>
      <c r="Q5856">
        <v>0.118359199999999</v>
      </c>
      <c r="R5856">
        <v>-0.99285389999999996</v>
      </c>
      <c r="S5856">
        <v>0.15684509999999999</v>
      </c>
      <c r="T5856">
        <v>-8.7616319999999998E-2</v>
      </c>
      <c r="U5856">
        <v>-3.0290680000000001</v>
      </c>
      <c r="V5856">
        <v>9.4460500000000003E-2</v>
      </c>
      <c r="W5856">
        <v>0.13129679999999999</v>
      </c>
      <c r="X5856">
        <v>0.9868325</v>
      </c>
      <c r="Y5856">
        <v>5.8523470000000001E-2</v>
      </c>
      <c r="Z5856">
        <v>1.53142E-2</v>
      </c>
      <c r="AA5856">
        <v>0.99816859999999996</v>
      </c>
      <c r="AB5856">
        <v>17</v>
      </c>
      <c r="AC5856">
        <v>1.99389999999999</v>
      </c>
      <c r="AD5856">
        <v>-1.1206177694799999</v>
      </c>
      <c r="AE5856">
        <v>-38.621299999999898</v>
      </c>
      <c r="AF5856">
        <v>2.2676554842007102</v>
      </c>
      <c r="AG5856">
        <v>-1.1206177694799999</v>
      </c>
      <c r="AH5856">
        <v>38.573692860610997</v>
      </c>
      <c r="AI5856">
        <v>91.661185156624299</v>
      </c>
      <c r="AJ5856">
        <v>86.635589872224799</v>
      </c>
      <c r="AK5856">
        <v>38.656536659212698</v>
      </c>
      <c r="AL5856">
        <v>82.455464223859494</v>
      </c>
      <c r="AM5856">
        <v>84.532254913475697</v>
      </c>
      <c r="AN5856">
        <v>1.0000000094033701</v>
      </c>
    </row>
    <row r="5857" spans="1:40" x14ac:dyDescent="0.25">
      <c r="A5857" t="str">
        <f>"20190303162029777"</f>
        <v>20190303162029777</v>
      </c>
      <c r="B5857" t="str">
        <f>"1551601229768191"</f>
        <v>1551601229768191</v>
      </c>
      <c r="C5857" t="s">
        <v>40</v>
      </c>
      <c r="D5857">
        <v>5.1419790000000001</v>
      </c>
      <c r="E5857">
        <v>0.48767149999999998</v>
      </c>
      <c r="F5857" t="s">
        <v>50</v>
      </c>
      <c r="G5857">
        <v>-190.62280000000001</v>
      </c>
      <c r="H5857" s="1">
        <v>-1.3158929999999901E-5</v>
      </c>
      <c r="I5857">
        <v>155.2397</v>
      </c>
      <c r="J5857">
        <v>-192.62020000000001</v>
      </c>
      <c r="K5857">
        <v>1.1206050000000001</v>
      </c>
      <c r="L5857">
        <v>195.15620000000001</v>
      </c>
      <c r="M5857">
        <v>0.1088498</v>
      </c>
      <c r="N5857">
        <v>-1.3332139999999999E-2</v>
      </c>
      <c r="O5857">
        <v>-0.99396879999999999</v>
      </c>
      <c r="P5857">
        <v>1.199416E-2</v>
      </c>
      <c r="Q5857">
        <v>0.1202825</v>
      </c>
      <c r="R5857">
        <v>-0.99266739999999998</v>
      </c>
      <c r="S5857">
        <v>0.15205379999999999</v>
      </c>
      <c r="T5857">
        <v>-8.4781529999999994E-2</v>
      </c>
      <c r="U5857">
        <v>-3.0293580000000002</v>
      </c>
      <c r="V5857">
        <v>9.6468319999999996E-2</v>
      </c>
      <c r="W5857">
        <v>0.13320679999999999</v>
      </c>
      <c r="X5857">
        <v>0.98638219999999999</v>
      </c>
      <c r="Y5857">
        <v>5.8879149999999998E-2</v>
      </c>
      <c r="Z5857">
        <v>1.4391930000000001E-2</v>
      </c>
      <c r="AA5857">
        <v>0.99816139999999998</v>
      </c>
      <c r="AB5857">
        <v>17</v>
      </c>
      <c r="AC5857">
        <v>1.9973999999999901</v>
      </c>
      <c r="AD5857">
        <v>-1.1206181589299999</v>
      </c>
      <c r="AE5857">
        <v>-39.916499999999999</v>
      </c>
      <c r="AF5857">
        <v>2.35790574017157</v>
      </c>
      <c r="AG5857">
        <v>-1.1206181589299999</v>
      </c>
      <c r="AH5857">
        <v>39.865376558457903</v>
      </c>
      <c r="AI5857">
        <v>91.607356229582393</v>
      </c>
      <c r="AJ5857">
        <v>86.615086835098893</v>
      </c>
      <c r="AK5857">
        <v>39.950766609482002</v>
      </c>
      <c r="AL5857">
        <v>82.345059543784402</v>
      </c>
      <c r="AM5857">
        <v>84.414228440269994</v>
      </c>
      <c r="AN5857">
        <v>1.00000001640335</v>
      </c>
    </row>
    <row r="5858" spans="1:40" x14ac:dyDescent="0.25">
      <c r="A5858" t="str">
        <f>"20190303162029791"</f>
        <v>20190303162029791</v>
      </c>
      <c r="B5858" t="str">
        <f>"1551601229777951"</f>
        <v>1551601229777951</v>
      </c>
      <c r="C5858" t="s">
        <v>40</v>
      </c>
      <c r="D5858">
        <v>5.1996149999999997</v>
      </c>
      <c r="E5858">
        <v>0.48757489999999998</v>
      </c>
      <c r="F5858" t="s">
        <v>50</v>
      </c>
      <c r="G5858">
        <v>-190.52699999999999</v>
      </c>
      <c r="H5858" s="1">
        <v>-1.1555929999999999E-5</v>
      </c>
      <c r="I5858">
        <v>151.40520000000001</v>
      </c>
      <c r="J5858">
        <v>-192.60990000000001</v>
      </c>
      <c r="K5858">
        <v>1.1206229999999999</v>
      </c>
      <c r="L5858">
        <v>195.05090000000001</v>
      </c>
      <c r="M5858">
        <v>0.1078099</v>
      </c>
      <c r="N5858">
        <v>-1.3331310000000001E-2</v>
      </c>
      <c r="O5858">
        <v>-0.99408209999999997</v>
      </c>
      <c r="P5858">
        <v>9.7327669999999998E-3</v>
      </c>
      <c r="Q5858">
        <v>0.121175</v>
      </c>
      <c r="R5858">
        <v>-0.99258329999999995</v>
      </c>
      <c r="S5858">
        <v>0.14495849999999999</v>
      </c>
      <c r="T5858">
        <v>-7.7604649999999997E-2</v>
      </c>
      <c r="U5858">
        <v>-3.0298310000000002</v>
      </c>
      <c r="V5858">
        <v>9.767294E-2</v>
      </c>
      <c r="W5858">
        <v>0.13409470000000001</v>
      </c>
      <c r="X5858">
        <v>0.98614329999999994</v>
      </c>
      <c r="Y5858">
        <v>6.0173600000000001E-2</v>
      </c>
      <c r="Z5858">
        <v>1.2048970000000001E-2</v>
      </c>
      <c r="AA5858">
        <v>0.99811519999999998</v>
      </c>
      <c r="AB5858">
        <v>17</v>
      </c>
      <c r="AC5858">
        <v>2.0828999999999902</v>
      </c>
      <c r="AD5858">
        <v>-1.1206345559299999</v>
      </c>
      <c r="AE5858">
        <v>-43.645699999999998</v>
      </c>
      <c r="AF5858">
        <v>2.6333671398960901</v>
      </c>
      <c r="AG5858">
        <v>-1.1206345559299999</v>
      </c>
      <c r="AH5858">
        <v>43.587174841325499</v>
      </c>
      <c r="AI5858">
        <v>91.470081588697695</v>
      </c>
      <c r="AJ5858">
        <v>86.542614940897295</v>
      </c>
      <c r="AK5858">
        <v>43.681028547296201</v>
      </c>
      <c r="AL5858">
        <v>82.293725954255606</v>
      </c>
      <c r="AM5858">
        <v>84.3435659990094</v>
      </c>
      <c r="AN5858">
        <v>0.99999999995561095</v>
      </c>
    </row>
    <row r="5859" spans="1:40" x14ac:dyDescent="0.25">
      <c r="A5859" t="str">
        <f>"20190303162029803"</f>
        <v>20190303162029803</v>
      </c>
      <c r="B5859" t="str">
        <f>"1551601229788687"</f>
        <v>1551601229788687</v>
      </c>
      <c r="C5859" t="s">
        <v>40</v>
      </c>
      <c r="D5859">
        <v>5.1351659999999999</v>
      </c>
      <c r="E5859">
        <v>0.48758010000000002</v>
      </c>
      <c r="F5859" t="s">
        <v>50</v>
      </c>
      <c r="G5859">
        <v>-190.5292</v>
      </c>
      <c r="H5859" s="1">
        <v>-1.081143E-5</v>
      </c>
      <c r="I5859">
        <v>149.66890000000001</v>
      </c>
      <c r="J5859">
        <v>-192.60120000000001</v>
      </c>
      <c r="K5859">
        <v>1.120654</v>
      </c>
      <c r="L5859">
        <v>194.96090000000001</v>
      </c>
      <c r="M5859">
        <v>0.1069161</v>
      </c>
      <c r="N5859">
        <v>-1.3330440000000001E-2</v>
      </c>
      <c r="O5859">
        <v>-0.99417869999999997</v>
      </c>
      <c r="P5859">
        <v>7.4304280000000002E-3</v>
      </c>
      <c r="Q5859">
        <v>0.122058</v>
      </c>
      <c r="R5859">
        <v>-0.99249520000000002</v>
      </c>
      <c r="S5859">
        <v>0.13893129999999901</v>
      </c>
      <c r="T5859">
        <v>-7.4824929999999998E-2</v>
      </c>
      <c r="U5859">
        <v>-3.0301670000000001</v>
      </c>
      <c r="V5859">
        <v>9.9060770000000006E-2</v>
      </c>
      <c r="W5859">
        <v>0.13497400000000001</v>
      </c>
      <c r="X5859">
        <v>0.98588480000000001</v>
      </c>
      <c r="Y5859">
        <v>6.1262039999999997E-2</v>
      </c>
      <c r="Z5859">
        <v>1.114186E-2</v>
      </c>
      <c r="AA5859">
        <v>0.99805949999999999</v>
      </c>
      <c r="AB5859">
        <v>17</v>
      </c>
      <c r="AC5859">
        <v>2.0720000000000001</v>
      </c>
      <c r="AD5859">
        <v>-1.12066481143</v>
      </c>
      <c r="AE5859">
        <v>-45.292000000000002</v>
      </c>
      <c r="AF5859">
        <v>2.7810538730677798</v>
      </c>
      <c r="AG5859">
        <v>-1.12066481143</v>
      </c>
      <c r="AH5859">
        <v>45.226261265688102</v>
      </c>
      <c r="AI5859">
        <v>91.416770839716307</v>
      </c>
      <c r="AJ5859">
        <v>86.481197860998705</v>
      </c>
      <c r="AK5859">
        <v>45.325543111327001</v>
      </c>
      <c r="AL5859">
        <v>82.242882999089304</v>
      </c>
      <c r="AM5859">
        <v>84.262232259576905</v>
      </c>
      <c r="AN5859">
        <v>0.99999992785001302</v>
      </c>
    </row>
    <row r="5860" spans="1:40" x14ac:dyDescent="0.25">
      <c r="A5860" t="str">
        <f>"20190303162029816"</f>
        <v>20190303162029816</v>
      </c>
      <c r="B5860" t="str">
        <f>"1551601229808208"</f>
        <v>1551601229808208</v>
      </c>
      <c r="C5860" t="s">
        <v>40</v>
      </c>
      <c r="D5860">
        <v>5.192558</v>
      </c>
      <c r="E5860">
        <v>0.48723929999999999</v>
      </c>
      <c r="F5860" t="s">
        <v>50</v>
      </c>
      <c r="G5860">
        <v>-190.5453</v>
      </c>
      <c r="H5860" s="1">
        <v>-1.0252409999999999E-5</v>
      </c>
      <c r="I5860">
        <v>147.5711</v>
      </c>
      <c r="J5860">
        <v>-192.59209999999999</v>
      </c>
      <c r="K5860">
        <v>1.120687</v>
      </c>
      <c r="L5860">
        <v>194.86619999999999</v>
      </c>
      <c r="M5860">
        <v>0.1059882</v>
      </c>
      <c r="N5860">
        <v>-1.332933E-2</v>
      </c>
      <c r="O5860">
        <v>-0.994278</v>
      </c>
      <c r="P5860">
        <v>5.2961569999999897E-3</v>
      </c>
      <c r="Q5860">
        <v>0.12307609999999999</v>
      </c>
      <c r="R5860">
        <v>-0.99238349999999997</v>
      </c>
      <c r="S5860">
        <v>0.13146969999999999</v>
      </c>
      <c r="T5860">
        <v>-7.166517E-2</v>
      </c>
      <c r="U5860">
        <v>-3.0305179999999998</v>
      </c>
      <c r="V5860">
        <v>0.1002415</v>
      </c>
      <c r="W5860">
        <v>0.13599259999999999</v>
      </c>
      <c r="X5860">
        <v>0.98562550000000004</v>
      </c>
      <c r="Y5860">
        <v>6.2787679999999998E-2</v>
      </c>
      <c r="Z5860">
        <v>1.0110279999999999E-2</v>
      </c>
      <c r="AA5860">
        <v>0.99797570000000002</v>
      </c>
      <c r="AB5860">
        <v>17</v>
      </c>
      <c r="AC5860">
        <v>2.04679999999999</v>
      </c>
      <c r="AD5860">
        <v>-1.1206972524100001</v>
      </c>
      <c r="AE5860">
        <v>-47.295099999999898</v>
      </c>
      <c r="AF5860">
        <v>2.9762309863940302</v>
      </c>
      <c r="AG5860">
        <v>-1.1206972524100001</v>
      </c>
      <c r="AH5860">
        <v>47.219149810353997</v>
      </c>
      <c r="AI5860">
        <v>91.356908611566993</v>
      </c>
      <c r="AJ5860">
        <v>86.393408384144905</v>
      </c>
      <c r="AK5860">
        <v>47.326124096830299</v>
      </c>
      <c r="AL5860">
        <v>82.183978845440194</v>
      </c>
      <c r="AM5860">
        <v>84.192789887007805</v>
      </c>
      <c r="AN5860">
        <v>0.99999998591363004</v>
      </c>
    </row>
    <row r="5861" spans="1:40" x14ac:dyDescent="0.25">
      <c r="A5861" t="str">
        <f>"20190303162029830"</f>
        <v>20190303162029830</v>
      </c>
      <c r="B5861" t="str">
        <f>"1551601229817968"</f>
        <v>1551601229817968</v>
      </c>
      <c r="C5861" t="s">
        <v>40</v>
      </c>
      <c r="D5861">
        <v>5.0754210000000004</v>
      </c>
      <c r="E5861">
        <v>0.48709950000000002</v>
      </c>
      <c r="F5861" t="s">
        <v>50</v>
      </c>
      <c r="G5861">
        <v>-190.53540000000001</v>
      </c>
      <c r="H5861" s="1">
        <v>-9.8388270000000003E-6</v>
      </c>
      <c r="I5861">
        <v>146.0095</v>
      </c>
      <c r="J5861">
        <v>-192.5812</v>
      </c>
      <c r="K5861">
        <v>1.1207339999999999</v>
      </c>
      <c r="L5861">
        <v>194.7517</v>
      </c>
      <c r="M5861">
        <v>0.10488069999999999</v>
      </c>
      <c r="N5861">
        <v>-1.332788E-2</v>
      </c>
      <c r="O5861">
        <v>-0.99439560000000005</v>
      </c>
      <c r="P5861">
        <v>2.772746E-3</v>
      </c>
      <c r="Q5861">
        <v>0.1235783</v>
      </c>
      <c r="R5861">
        <v>-0.99233110000000002</v>
      </c>
      <c r="S5861">
        <v>0.12759400000000001</v>
      </c>
      <c r="T5861">
        <v>-6.9525840000000005E-2</v>
      </c>
      <c r="U5861">
        <v>-3.0309750000000002</v>
      </c>
      <c r="V5861">
        <v>0.1016329</v>
      </c>
      <c r="W5861">
        <v>0.1364976</v>
      </c>
      <c r="X5861">
        <v>0.98541319999999999</v>
      </c>
      <c r="Y5861">
        <v>6.2956419999999999E-2</v>
      </c>
      <c r="Z5861">
        <v>9.4130659999999994E-3</v>
      </c>
      <c r="AA5861">
        <v>0.99797190000000002</v>
      </c>
      <c r="AB5861">
        <v>17</v>
      </c>
      <c r="AC5861">
        <v>2.0457999999999799</v>
      </c>
      <c r="AD5861">
        <v>-1.1207438388269999</v>
      </c>
      <c r="AE5861">
        <v>-48.742199999999997</v>
      </c>
      <c r="AF5861">
        <v>3.0764309947717501</v>
      </c>
      <c r="AG5861">
        <v>-1.1207438388269999</v>
      </c>
      <c r="AH5861">
        <v>48.662231603411399</v>
      </c>
      <c r="AI5861">
        <v>91.316722771777606</v>
      </c>
      <c r="AJ5861">
        <v>86.382569503189004</v>
      </c>
      <c r="AK5861">
        <v>48.772259318611802</v>
      </c>
      <c r="AL5861">
        <v>82.154772302053104</v>
      </c>
      <c r="AM5861">
        <v>84.1114859107293</v>
      </c>
      <c r="AN5861">
        <v>1.0000000079511999</v>
      </c>
    </row>
    <row r="5862" spans="1:40" x14ac:dyDescent="0.25">
      <c r="A5862" t="str">
        <f>"20190303162029845"</f>
        <v>20190303162029845</v>
      </c>
      <c r="B5862" t="str">
        <f>"1551601229838464"</f>
        <v>1551601229838464</v>
      </c>
      <c r="C5862" t="s">
        <v>40</v>
      </c>
      <c r="D5862">
        <v>5.1865420000000002</v>
      </c>
      <c r="E5862">
        <v>0.4870254</v>
      </c>
      <c r="F5862" t="s">
        <v>50</v>
      </c>
      <c r="G5862">
        <v>-190.5812</v>
      </c>
      <c r="H5862" s="1">
        <v>-9.4849800000000001E-6</v>
      </c>
      <c r="I5862">
        <v>144.6369</v>
      </c>
      <c r="J5862">
        <v>-192.57079999999999</v>
      </c>
      <c r="K5862">
        <v>1.1207849999999999</v>
      </c>
      <c r="L5862">
        <v>194.6414</v>
      </c>
      <c r="M5862">
        <v>0.1038364</v>
      </c>
      <c r="N5862">
        <v>-1.3326380000000001E-2</v>
      </c>
      <c r="O5862">
        <v>-0.99450499999999997</v>
      </c>
      <c r="P5862">
        <v>-2.4259959999999999E-4</v>
      </c>
      <c r="Q5862">
        <v>0.1248797</v>
      </c>
      <c r="R5862">
        <v>-0.99217169999999999</v>
      </c>
      <c r="S5862">
        <v>0.1209717</v>
      </c>
      <c r="T5862">
        <v>-6.7790870000000003E-2</v>
      </c>
      <c r="U5862">
        <v>-3.0313110000000001</v>
      </c>
      <c r="V5862">
        <v>0.1035663</v>
      </c>
      <c r="W5862">
        <v>0.13779939999999999</v>
      </c>
      <c r="X5862">
        <v>0.98503070000000004</v>
      </c>
      <c r="Y5862">
        <v>6.4089259999999995E-2</v>
      </c>
      <c r="Z5862">
        <v>8.8476010000000001E-3</v>
      </c>
      <c r="AA5862">
        <v>0.99790500000000004</v>
      </c>
      <c r="AB5862">
        <v>17</v>
      </c>
      <c r="AC5862">
        <v>1.98959999999999</v>
      </c>
      <c r="AD5862">
        <v>-1.12079448498</v>
      </c>
      <c r="AE5862">
        <v>-50.0045</v>
      </c>
      <c r="AF5862">
        <v>3.2122946088358399</v>
      </c>
      <c r="AG5862">
        <v>-1.12079448498</v>
      </c>
      <c r="AH5862">
        <v>49.915721172701801</v>
      </c>
      <c r="AI5862">
        <v>91.283633797896599</v>
      </c>
      <c r="AJ5862">
        <v>86.317844008340202</v>
      </c>
      <c r="AK5862">
        <v>50.031532428284002</v>
      </c>
      <c r="AL5862">
        <v>82.079473578379506</v>
      </c>
      <c r="AM5862">
        <v>83.997963321955197</v>
      </c>
      <c r="AN5862">
        <v>1.0000000665392601</v>
      </c>
    </row>
    <row r="5863" spans="1:40" x14ac:dyDescent="0.25">
      <c r="A5863" t="str">
        <f>"20190303162029858"</f>
        <v>20190303162029858</v>
      </c>
      <c r="B5863" t="str">
        <f>"1551601229848224"</f>
        <v>1551601229848224</v>
      </c>
      <c r="C5863" t="s">
        <v>40</v>
      </c>
      <c r="D5863">
        <v>5.0064289999999998</v>
      </c>
      <c r="E5863">
        <v>0.4883981</v>
      </c>
      <c r="F5863" t="s">
        <v>50</v>
      </c>
      <c r="G5863">
        <v>-190.61330000000001</v>
      </c>
      <c r="H5863" s="1">
        <v>-8.7224749999999999E-6</v>
      </c>
      <c r="I5863">
        <v>141.72399999999999</v>
      </c>
      <c r="J5863">
        <v>-192.56100000000001</v>
      </c>
      <c r="K5863">
        <v>1.1208260000000001</v>
      </c>
      <c r="L5863">
        <v>194.5369</v>
      </c>
      <c r="M5863">
        <v>0.1028879</v>
      </c>
      <c r="N5863">
        <v>-1.3324799999999999E-2</v>
      </c>
      <c r="O5863">
        <v>-0.99460380000000004</v>
      </c>
      <c r="P5863">
        <v>-1.739134E-3</v>
      </c>
      <c r="Q5863">
        <v>0.1251546</v>
      </c>
      <c r="R5863">
        <v>-0.99213589999999996</v>
      </c>
      <c r="S5863">
        <v>0.1121521</v>
      </c>
      <c r="T5863">
        <v>-6.4213400000000004E-2</v>
      </c>
      <c r="U5863">
        <v>-3.031784</v>
      </c>
      <c r="V5863">
        <v>0.1040961</v>
      </c>
      <c r="W5863">
        <v>0.13808129999999999</v>
      </c>
      <c r="X5863">
        <v>0.98493529999999996</v>
      </c>
      <c r="Y5863">
        <v>6.6041920000000004E-2</v>
      </c>
      <c r="Z5863">
        <v>7.6782669999999999E-3</v>
      </c>
      <c r="AA5863">
        <v>0.99778730000000004</v>
      </c>
      <c r="AB5863">
        <v>17</v>
      </c>
      <c r="AC5863">
        <v>1.94769999999996</v>
      </c>
      <c r="AD5863">
        <v>-1.1208347224749999</v>
      </c>
      <c r="AE5863">
        <v>-52.812899999999999</v>
      </c>
      <c r="AF5863">
        <v>3.4953564884424</v>
      </c>
      <c r="AG5863">
        <v>-1.1208347224749999</v>
      </c>
      <c r="AH5863">
        <v>52.709274116971301</v>
      </c>
      <c r="AI5863">
        <v>91.215511844852301</v>
      </c>
      <c r="AJ5863">
        <v>86.206049373713697</v>
      </c>
      <c r="AK5863">
        <v>52.836931831763501</v>
      </c>
      <c r="AL5863">
        <v>82.063165430650599</v>
      </c>
      <c r="AM5863">
        <v>83.966905363634595</v>
      </c>
      <c r="AN5863">
        <v>0.99999999431549402</v>
      </c>
    </row>
    <row r="5864" spans="1:40" x14ac:dyDescent="0.25">
      <c r="A5864" t="str">
        <f>"20190303162029872"</f>
        <v>20190303162029872</v>
      </c>
      <c r="B5864" t="str">
        <f>"1551601229857985"</f>
        <v>1551601229857985</v>
      </c>
      <c r="C5864" t="s">
        <v>40</v>
      </c>
      <c r="D5864">
        <v>4.8814669999999998</v>
      </c>
      <c r="E5864">
        <v>0.4883981</v>
      </c>
      <c r="F5864" t="s">
        <v>50</v>
      </c>
      <c r="G5864">
        <v>-190.72489999999999</v>
      </c>
      <c r="H5864" s="1">
        <v>-7.2546300000000004E-6</v>
      </c>
      <c r="I5864">
        <v>136.7843</v>
      </c>
      <c r="J5864">
        <v>-192.5513</v>
      </c>
      <c r="K5864">
        <v>1.1208610000000001</v>
      </c>
      <c r="L5864">
        <v>194.43279999999999</v>
      </c>
      <c r="M5864">
        <v>0.10196479999999999</v>
      </c>
      <c r="N5864">
        <v>-1.3323110000000001E-2</v>
      </c>
      <c r="O5864">
        <v>-0.99469879999999999</v>
      </c>
      <c r="P5864">
        <v>-2.8506719999999998E-3</v>
      </c>
      <c r="Q5864">
        <v>0.1249802</v>
      </c>
      <c r="R5864">
        <v>-0.99215509999999996</v>
      </c>
      <c r="S5864">
        <v>9.6374509999999997E-2</v>
      </c>
      <c r="T5864">
        <v>-5.8830979999999998E-2</v>
      </c>
      <c r="U5864">
        <v>-3.0313569999999999</v>
      </c>
      <c r="V5864">
        <v>0.1042746</v>
      </c>
      <c r="W5864">
        <v>0.13791500000000001</v>
      </c>
      <c r="X5864">
        <v>0.98493969999999997</v>
      </c>
      <c r="Y5864">
        <v>7.0296709999999998E-2</v>
      </c>
      <c r="Z5864">
        <v>5.9226410000000002E-3</v>
      </c>
      <c r="AA5864">
        <v>0.99750850000000002</v>
      </c>
      <c r="AB5864">
        <v>17</v>
      </c>
      <c r="AC5864">
        <v>1.8264</v>
      </c>
      <c r="AD5864">
        <v>-1.1208682546299999</v>
      </c>
      <c r="AE5864">
        <v>-57.648499999999899</v>
      </c>
      <c r="AF5864">
        <v>4.0602269619508098</v>
      </c>
      <c r="AG5864">
        <v>-1.1208682546299999</v>
      </c>
      <c r="AH5864">
        <v>57.512508010217701</v>
      </c>
      <c r="AI5864">
        <v>91.113731805668294</v>
      </c>
      <c r="AJ5864">
        <v>85.961773397652394</v>
      </c>
      <c r="AK5864">
        <v>57.666544601286297</v>
      </c>
      <c r="AL5864">
        <v>82.072785615634402</v>
      </c>
      <c r="AM5864">
        <v>83.956663336557995</v>
      </c>
      <c r="AN5864">
        <v>0.99999997603312396</v>
      </c>
    </row>
    <row r="5865" spans="1:40" x14ac:dyDescent="0.25">
      <c r="A5865" t="str">
        <f>"20190303162029890"</f>
        <v>20190303162029890</v>
      </c>
      <c r="B5865" t="str">
        <f>"1551601229878480"</f>
        <v>1551601229878480</v>
      </c>
      <c r="C5865" t="s">
        <v>40</v>
      </c>
      <c r="D5865">
        <v>4.8747069999999999</v>
      </c>
      <c r="E5865">
        <v>0.533111</v>
      </c>
      <c r="F5865" t="s">
        <v>50</v>
      </c>
      <c r="G5865">
        <v>-190.79140000000001</v>
      </c>
      <c r="H5865" s="1">
        <v>-7.390161E-6</v>
      </c>
      <c r="I5865">
        <v>137.1781</v>
      </c>
      <c r="J5865">
        <v>-192.5395</v>
      </c>
      <c r="K5865">
        <v>1.1208910000000001</v>
      </c>
      <c r="L5865">
        <v>194.30430000000001</v>
      </c>
      <c r="M5865">
        <v>0.10086050000000001</v>
      </c>
      <c r="N5865">
        <v>-1.33209E-2</v>
      </c>
      <c r="O5865">
        <v>-0.99481149999999996</v>
      </c>
      <c r="P5865">
        <v>-3.8364829999999999E-3</v>
      </c>
      <c r="Q5865">
        <v>0.1234022</v>
      </c>
      <c r="R5865">
        <v>-0.99234979999999995</v>
      </c>
      <c r="S5865">
        <v>9.3185420000000005E-2</v>
      </c>
      <c r="T5865">
        <v>-5.9346679999999999E-2</v>
      </c>
      <c r="U5865">
        <v>-3.0314640000000002</v>
      </c>
      <c r="V5865">
        <v>0.1041624</v>
      </c>
      <c r="W5865">
        <v>0.13634879999999999</v>
      </c>
      <c r="X5865">
        <v>0.98516959999999998</v>
      </c>
      <c r="Y5865">
        <v>7.0238720000000004E-2</v>
      </c>
      <c r="Z5865">
        <v>6.0953569999999896E-3</v>
      </c>
      <c r="AA5865">
        <v>0.99751160000000005</v>
      </c>
      <c r="AB5865">
        <v>17</v>
      </c>
      <c r="AC5865">
        <v>1.74809999999999</v>
      </c>
      <c r="AD5865">
        <v>-1.1208983901609999</v>
      </c>
      <c r="AE5865">
        <v>-57.126199999999997</v>
      </c>
      <c r="AF5865">
        <v>4.0215567984237</v>
      </c>
      <c r="AG5865">
        <v>-1.1208983901609999</v>
      </c>
      <c r="AH5865">
        <v>56.989247087718397</v>
      </c>
      <c r="AI5865">
        <v>91.123987805122297</v>
      </c>
      <c r="AJ5865">
        <v>85.963503443367699</v>
      </c>
      <c r="AK5865">
        <v>57.1419602035933</v>
      </c>
      <c r="AL5865">
        <v>82.163378082201405</v>
      </c>
      <c r="AM5865">
        <v>83.964516324992303</v>
      </c>
      <c r="AN5865">
        <v>0.99999997079967895</v>
      </c>
    </row>
    <row r="5866" spans="1:40" x14ac:dyDescent="0.25">
      <c r="A5866" t="str">
        <f>"20190303162029903"</f>
        <v>20190303162029903</v>
      </c>
      <c r="B5866" t="str">
        <f>"1551601229898976"</f>
        <v>1551601229898976</v>
      </c>
      <c r="C5866" t="s">
        <v>40</v>
      </c>
      <c r="D5866">
        <v>4.8355839999999999</v>
      </c>
      <c r="E5866">
        <v>0.53679449999999995</v>
      </c>
      <c r="F5866" t="s">
        <v>41</v>
      </c>
      <c r="G5866">
        <v>-201.1874</v>
      </c>
      <c r="H5866">
        <v>7.9986280000000007E-2</v>
      </c>
      <c r="I5866">
        <v>96.625559999999993</v>
      </c>
      <c r="J5866">
        <v>-192.52959999999999</v>
      </c>
      <c r="K5866">
        <v>1.120919</v>
      </c>
      <c r="L5866">
        <v>194.19550000000001</v>
      </c>
      <c r="M5866">
        <v>9.9950410000000003E-2</v>
      </c>
      <c r="N5866">
        <v>-1.3318979999999999E-2</v>
      </c>
      <c r="O5866">
        <v>-0.99490330000000005</v>
      </c>
      <c r="P5866">
        <v>-4.7930469999999999E-3</v>
      </c>
      <c r="Q5866">
        <v>0.1228554</v>
      </c>
      <c r="R5866">
        <v>-0.99241310000000005</v>
      </c>
      <c r="S5866">
        <v>-0.26791379999999998</v>
      </c>
      <c r="T5866">
        <v>-3.2247419999999999E-2</v>
      </c>
      <c r="U5866">
        <v>-3.0261079999999998</v>
      </c>
      <c r="V5866">
        <v>0.10420699999999999</v>
      </c>
      <c r="W5866">
        <v>0.1358084</v>
      </c>
      <c r="X5866">
        <v>0.98523959999999999</v>
      </c>
      <c r="Y5866">
        <v>0.18728710000000001</v>
      </c>
      <c r="Z5866">
        <v>-2.9173609999999998E-3</v>
      </c>
      <c r="AA5866">
        <v>0.98230090000000003</v>
      </c>
      <c r="AB5866">
        <v>17</v>
      </c>
      <c r="AC5866">
        <v>-8.6577999999999999</v>
      </c>
      <c r="AD5866">
        <v>-1.04093272</v>
      </c>
      <c r="AE5866">
        <v>-97.569940000000003</v>
      </c>
      <c r="AF5866">
        <v>18.365384012516898</v>
      </c>
      <c r="AG5866">
        <v>-1.04093272</v>
      </c>
      <c r="AH5866">
        <v>96.204972052887797</v>
      </c>
      <c r="AI5866">
        <v>90.608918084818399</v>
      </c>
      <c r="AJ5866">
        <v>79.192355022300603</v>
      </c>
      <c r="AK5866">
        <v>97.947779548858094</v>
      </c>
      <c r="AL5866">
        <v>82.194632021991893</v>
      </c>
      <c r="AM5866">
        <v>83.962376980118904</v>
      </c>
      <c r="AN5866">
        <v>1.00000004488385</v>
      </c>
    </row>
    <row r="5867" spans="1:40" x14ac:dyDescent="0.25">
      <c r="A5867" t="str">
        <f>"20190303162029917"</f>
        <v>20190303162029917</v>
      </c>
      <c r="B5867" t="str">
        <f>"1551601229908735"</f>
        <v>1551601229908735</v>
      </c>
      <c r="C5867" t="s">
        <v>40</v>
      </c>
      <c r="D5867">
        <v>4.8310629999999897</v>
      </c>
      <c r="E5867">
        <v>0.53770759999999995</v>
      </c>
      <c r="F5867" t="s">
        <v>50</v>
      </c>
      <c r="G5867">
        <v>-199.24610000000001</v>
      </c>
      <c r="H5867" s="1">
        <v>-5.4084339999999901E-6</v>
      </c>
      <c r="I5867">
        <v>126.5449</v>
      </c>
      <c r="J5867">
        <v>-192.52029999999999</v>
      </c>
      <c r="K5867">
        <v>1.1209309999999999</v>
      </c>
      <c r="L5867">
        <v>194.09289999999999</v>
      </c>
      <c r="M5867">
        <v>9.9112270000000002E-2</v>
      </c>
      <c r="N5867">
        <v>-1.331714E-2</v>
      </c>
      <c r="O5867">
        <v>-0.99498719999999996</v>
      </c>
      <c r="P5867">
        <v>-5.3535550000000003E-3</v>
      </c>
      <c r="Q5867">
        <v>0.12249119999999999</v>
      </c>
      <c r="R5867">
        <v>-0.99245519999999998</v>
      </c>
      <c r="S5867">
        <v>-0.30059809999999998</v>
      </c>
      <c r="T5867">
        <v>-5.0167080000000003E-2</v>
      </c>
      <c r="U5867">
        <v>-3.0277099999999999</v>
      </c>
      <c r="V5867">
        <v>0.1039305</v>
      </c>
      <c r="W5867">
        <v>0.1354484</v>
      </c>
      <c r="X5867">
        <v>0.98531829999999998</v>
      </c>
      <c r="Y5867">
        <v>0.19690669999999999</v>
      </c>
      <c r="Z5867">
        <v>2.859931E-3</v>
      </c>
      <c r="AA5867">
        <v>0.98041809999999996</v>
      </c>
      <c r="AB5867">
        <v>17</v>
      </c>
      <c r="AC5867">
        <v>-6.72580000000002</v>
      </c>
      <c r="AD5867">
        <v>-1.1209364084340001</v>
      </c>
      <c r="AE5867">
        <v>-67.547999999999902</v>
      </c>
      <c r="AF5867">
        <v>13.384457295220599</v>
      </c>
      <c r="AG5867">
        <v>-1.1209364084340001</v>
      </c>
      <c r="AH5867">
        <v>66.530542032808398</v>
      </c>
      <c r="AI5867">
        <v>90.946297655055702</v>
      </c>
      <c r="AJ5867">
        <v>78.625203702753694</v>
      </c>
      <c r="AK5867">
        <v>67.872772292714103</v>
      </c>
      <c r="AL5867">
        <v>82.215450404355707</v>
      </c>
      <c r="AM5867">
        <v>83.978756617350996</v>
      </c>
      <c r="AN5867">
        <v>0.99999998510384902</v>
      </c>
    </row>
    <row r="5868" spans="1:40" x14ac:dyDescent="0.25">
      <c r="A5868" t="str">
        <f>"20190303162029934"</f>
        <v>20190303162029934</v>
      </c>
      <c r="B5868" t="str">
        <f>"1551601229928257"</f>
        <v>1551601229928257</v>
      </c>
      <c r="C5868" t="s">
        <v>40</v>
      </c>
      <c r="D5868">
        <v>4.8438970000000001</v>
      </c>
      <c r="E5868">
        <v>0.53867240000000005</v>
      </c>
      <c r="F5868" t="s">
        <v>50</v>
      </c>
      <c r="G5868">
        <v>-198.92580000000001</v>
      </c>
      <c r="H5868" s="1">
        <v>-6.8265709999999998E-6</v>
      </c>
      <c r="I5868">
        <v>131.48509999999999</v>
      </c>
      <c r="J5868">
        <v>-192.51009999999999</v>
      </c>
      <c r="K5868">
        <v>1.1209370000000001</v>
      </c>
      <c r="L5868">
        <v>193.97829999999999</v>
      </c>
      <c r="M5868">
        <v>9.8180459999999997E-2</v>
      </c>
      <c r="N5868">
        <v>-1.3315179999999999E-2</v>
      </c>
      <c r="O5868">
        <v>-0.99507970000000001</v>
      </c>
      <c r="P5868">
        <v>-5.7791759999999996E-3</v>
      </c>
      <c r="Q5868">
        <v>0.122086</v>
      </c>
      <c r="R5868">
        <v>-0.99250289999999997</v>
      </c>
      <c r="S5868">
        <v>-0.3097839</v>
      </c>
      <c r="T5868">
        <v>-5.4210899999999999E-2</v>
      </c>
      <c r="U5868">
        <v>-3.027847</v>
      </c>
      <c r="V5868">
        <v>0.1034286</v>
      </c>
      <c r="W5868">
        <v>0.13504769999999999</v>
      </c>
      <c r="X5868">
        <v>0.98542609999999997</v>
      </c>
      <c r="Y5868">
        <v>0.19892550000000001</v>
      </c>
      <c r="Z5868">
        <v>4.1649640000000002E-3</v>
      </c>
      <c r="AA5868">
        <v>0.98000569999999998</v>
      </c>
      <c r="AB5868">
        <v>17</v>
      </c>
      <c r="AC5868">
        <v>-6.41570000000001</v>
      </c>
      <c r="AD5868">
        <v>-1.1209438265709999</v>
      </c>
      <c r="AE5868">
        <v>-62.493200000000002</v>
      </c>
      <c r="AF5868">
        <v>12.5168668747109</v>
      </c>
      <c r="AG5868">
        <v>-1.1209438265709999</v>
      </c>
      <c r="AH5868">
        <v>61.541672595836403</v>
      </c>
      <c r="AI5868">
        <v>91.022560927646296</v>
      </c>
      <c r="AJ5868">
        <v>78.503511618952302</v>
      </c>
      <c r="AK5868">
        <v>62.811670391056197</v>
      </c>
      <c r="AL5868">
        <v>82.238621668291998</v>
      </c>
      <c r="AM5868">
        <v>84.0082730148537</v>
      </c>
      <c r="AN5868">
        <v>0.99999997756722903</v>
      </c>
    </row>
    <row r="5869" spans="1:40" x14ac:dyDescent="0.25">
      <c r="A5869" t="str">
        <f>"20190303162029948"</f>
        <v>20190303162029948</v>
      </c>
      <c r="B5869" t="str">
        <f>"1551601229938015"</f>
        <v>1551601229938015</v>
      </c>
      <c r="C5869" t="s">
        <v>40</v>
      </c>
      <c r="D5869">
        <v>4.8291440000000003</v>
      </c>
      <c r="E5869">
        <v>0.53888510000000001</v>
      </c>
      <c r="F5869" t="s">
        <v>50</v>
      </c>
      <c r="G5869">
        <v>-198.6379</v>
      </c>
      <c r="H5869" s="1">
        <v>-8.1154129999999907E-6</v>
      </c>
      <c r="I5869">
        <v>135.82560000000001</v>
      </c>
      <c r="J5869">
        <v>-192.49959999999999</v>
      </c>
      <c r="K5869">
        <v>1.1209290000000001</v>
      </c>
      <c r="L5869">
        <v>193.86080000000001</v>
      </c>
      <c r="M5869">
        <v>9.7226889999999996E-2</v>
      </c>
      <c r="N5869">
        <v>-1.331332E-2</v>
      </c>
      <c r="O5869">
        <v>-0.99517350000000004</v>
      </c>
      <c r="P5869">
        <v>-5.1673259999999999E-3</v>
      </c>
      <c r="Q5869">
        <v>0.121299</v>
      </c>
      <c r="R5869">
        <v>-0.99260289999999995</v>
      </c>
      <c r="S5869">
        <v>-0.31907649999999999</v>
      </c>
      <c r="T5869">
        <v>-5.8367370000000002E-2</v>
      </c>
      <c r="U5869">
        <v>-3.028</v>
      </c>
      <c r="V5869">
        <v>0.10187930000000001</v>
      </c>
      <c r="W5869">
        <v>0.13426669999999999</v>
      </c>
      <c r="X5869">
        <v>0.98569419999999996</v>
      </c>
      <c r="Y5869">
        <v>0.20095350000000001</v>
      </c>
      <c r="Z5869">
        <v>5.5053799999999998E-3</v>
      </c>
      <c r="AA5869">
        <v>0.97958529999999999</v>
      </c>
      <c r="AB5869">
        <v>17</v>
      </c>
      <c r="AC5869">
        <v>-6.1383000000000099</v>
      </c>
      <c r="AD5869">
        <v>-1.1209371154129999</v>
      </c>
      <c r="AE5869">
        <v>-58.035200000000003</v>
      </c>
      <c r="AF5869">
        <v>11.7479592755715</v>
      </c>
      <c r="AG5869">
        <v>-1.1209371154129999</v>
      </c>
      <c r="AH5869">
        <v>57.142252394940101</v>
      </c>
      <c r="AI5869">
        <v>91.100787315346494</v>
      </c>
      <c r="AJ5869">
        <v>78.382355943218897</v>
      </c>
      <c r="AK5869">
        <v>58.348162404005699</v>
      </c>
      <c r="AL5869">
        <v>82.283781126749503</v>
      </c>
      <c r="AM5869">
        <v>84.098981258185901</v>
      </c>
      <c r="AN5869">
        <v>0.99999999720551003</v>
      </c>
    </row>
    <row r="5870" spans="1:40" x14ac:dyDescent="0.25">
      <c r="A5870" t="str">
        <f>"20190303162029963"</f>
        <v>20190303162029963</v>
      </c>
      <c r="B5870" t="str">
        <f>"1551601229958512"</f>
        <v>1551601229958512</v>
      </c>
      <c r="C5870" t="s">
        <v>40</v>
      </c>
      <c r="D5870">
        <v>4.7758229999999999</v>
      </c>
      <c r="E5870">
        <v>0.53907389999999999</v>
      </c>
      <c r="F5870" t="s">
        <v>50</v>
      </c>
      <c r="G5870">
        <v>-198.45320000000001</v>
      </c>
      <c r="H5870" s="1">
        <v>-8.5682890000000005E-6</v>
      </c>
      <c r="I5870">
        <v>137.39320000000001</v>
      </c>
      <c r="J5870">
        <v>-192.4897</v>
      </c>
      <c r="K5870">
        <v>1.1209209999999901</v>
      </c>
      <c r="L5870">
        <v>193.74760000000001</v>
      </c>
      <c r="M5870">
        <v>9.630147E-2</v>
      </c>
      <c r="N5870">
        <v>-1.3311709999999999E-2</v>
      </c>
      <c r="O5870">
        <v>-0.99526329999999996</v>
      </c>
      <c r="P5870">
        <v>-4.6567839999999997E-3</v>
      </c>
      <c r="Q5870">
        <v>0.1198017</v>
      </c>
      <c r="R5870">
        <v>-0.99278699999999998</v>
      </c>
      <c r="S5870">
        <v>-0.31925959999999998</v>
      </c>
      <c r="T5870">
        <v>-6.0109969999999999E-2</v>
      </c>
      <c r="U5870">
        <v>-3.0280610000000001</v>
      </c>
      <c r="V5870">
        <v>0.1004678</v>
      </c>
      <c r="W5870">
        <v>0.13277530000000001</v>
      </c>
      <c r="X5870">
        <v>0.9860411</v>
      </c>
      <c r="Y5870">
        <v>0.2000982</v>
      </c>
      <c r="Z5870">
        <v>6.0753159999999999E-3</v>
      </c>
      <c r="AA5870">
        <v>0.97975699999999999</v>
      </c>
      <c r="AB5870">
        <v>17</v>
      </c>
      <c r="AC5870">
        <v>-5.9635000000000096</v>
      </c>
      <c r="AD5870">
        <v>-1.1209295682889999</v>
      </c>
      <c r="AE5870">
        <v>-56.354399999999998</v>
      </c>
      <c r="AF5870">
        <v>11.358825644079401</v>
      </c>
      <c r="AG5870">
        <v>-1.1209295682889999</v>
      </c>
      <c r="AH5870">
        <v>55.496372128874299</v>
      </c>
      <c r="AI5870">
        <v>91.133621841010694</v>
      </c>
      <c r="AJ5870">
        <v>78.432640334870598</v>
      </c>
      <c r="AK5870">
        <v>56.657980219702097</v>
      </c>
      <c r="AL5870">
        <v>82.370004546621402</v>
      </c>
      <c r="AM5870">
        <v>84.1822060332739</v>
      </c>
      <c r="AN5870">
        <v>1.0000000550080601</v>
      </c>
    </row>
    <row r="5871" spans="1:40" x14ac:dyDescent="0.25">
      <c r="A5871" t="str">
        <f>"20190303162029979"</f>
        <v>20190303162029979</v>
      </c>
      <c r="B5871" t="str">
        <f>"1551601229968272"</f>
        <v>1551601229968272</v>
      </c>
      <c r="C5871" t="s">
        <v>40</v>
      </c>
      <c r="D5871">
        <v>4.797339</v>
      </c>
      <c r="E5871">
        <v>0.53909180000000001</v>
      </c>
      <c r="F5871" t="s">
        <v>50</v>
      </c>
      <c r="G5871">
        <v>-198.04519999999999</v>
      </c>
      <c r="H5871" s="1">
        <v>-9.6474099999999992E-6</v>
      </c>
      <c r="I5871">
        <v>141.0806</v>
      </c>
      <c r="J5871">
        <v>-192.47909999999999</v>
      </c>
      <c r="K5871">
        <v>1.1208959999999999</v>
      </c>
      <c r="L5871">
        <v>193.6258</v>
      </c>
      <c r="M5871">
        <v>9.5286880000000004E-2</v>
      </c>
      <c r="N5871">
        <v>-1.3310199999999999E-2</v>
      </c>
      <c r="O5871">
        <v>-0.99536100000000005</v>
      </c>
      <c r="P5871">
        <v>-2.6022850000000002E-3</v>
      </c>
      <c r="Q5871">
        <v>0.117329</v>
      </c>
      <c r="R5871">
        <v>-0.99308960000000002</v>
      </c>
      <c r="S5871">
        <v>-0.31941219999999998</v>
      </c>
      <c r="T5871">
        <v>-6.444764E-2</v>
      </c>
      <c r="U5871">
        <v>-3.028076</v>
      </c>
      <c r="V5871">
        <v>9.7441890000000003E-2</v>
      </c>
      <c r="W5871">
        <v>0.1303135</v>
      </c>
      <c r="X5871">
        <v>0.98667289999999996</v>
      </c>
      <c r="Y5871">
        <v>0.19914499999999999</v>
      </c>
      <c r="Z5871">
        <v>7.4860319999999897E-3</v>
      </c>
      <c r="AA5871">
        <v>0.97994139999999996</v>
      </c>
      <c r="AB5871">
        <v>17</v>
      </c>
      <c r="AC5871">
        <v>-5.5660999999999996</v>
      </c>
      <c r="AD5871">
        <v>-1.1209056474100001</v>
      </c>
      <c r="AE5871">
        <v>-52.545200000000001</v>
      </c>
      <c r="AF5871">
        <v>10.543335349203099</v>
      </c>
      <c r="AG5871">
        <v>-1.1209056474100001</v>
      </c>
      <c r="AH5871">
        <v>51.752356740908603</v>
      </c>
      <c r="AI5871">
        <v>91.215810188901898</v>
      </c>
      <c r="AJ5871">
        <v>78.484905327632802</v>
      </c>
      <c r="AK5871">
        <v>52.827310910119401</v>
      </c>
      <c r="AL5871">
        <v>82.512291129616301</v>
      </c>
      <c r="AM5871">
        <v>84.359869536810706</v>
      </c>
      <c r="AN5871">
        <v>0.999999970901715</v>
      </c>
    </row>
    <row r="5872" spans="1:40" x14ac:dyDescent="0.25">
      <c r="A5872" t="str">
        <f>"20190303162029994"</f>
        <v>20190303162029994</v>
      </c>
      <c r="B5872" t="str">
        <f>"1551601229988768"</f>
        <v>1551601229988768</v>
      </c>
      <c r="C5872" t="s">
        <v>40</v>
      </c>
      <c r="D5872">
        <v>4.8325849999999999</v>
      </c>
      <c r="E5872">
        <v>0.53916909999999996</v>
      </c>
      <c r="F5872" t="s">
        <v>50</v>
      </c>
      <c r="G5872">
        <v>-197.3646</v>
      </c>
      <c r="H5872" s="1">
        <v>-1.11156399999999E-5</v>
      </c>
      <c r="I5872">
        <v>146.34450000000001</v>
      </c>
      <c r="J5872">
        <v>-192.46950000000001</v>
      </c>
      <c r="K5872">
        <v>1.120879</v>
      </c>
      <c r="L5872">
        <v>193.51259999999999</v>
      </c>
      <c r="M5872">
        <v>9.432364E-2</v>
      </c>
      <c r="N5872">
        <v>-1.330894E-2</v>
      </c>
      <c r="O5872">
        <v>-0.99545260000000002</v>
      </c>
      <c r="P5872">
        <v>-1.8700030000000001E-3</v>
      </c>
      <c r="Q5872">
        <v>0.1156389</v>
      </c>
      <c r="R5872">
        <v>-0.99328950000000005</v>
      </c>
      <c r="S5872">
        <v>-0.31292720000000002</v>
      </c>
      <c r="T5872">
        <v>-7.1797730000000004E-2</v>
      </c>
      <c r="U5872">
        <v>-3.0285190000000002</v>
      </c>
      <c r="V5872">
        <v>9.5775020000000002E-2</v>
      </c>
      <c r="W5872">
        <v>0.128627399999999</v>
      </c>
      <c r="X5872">
        <v>0.98705730000000003</v>
      </c>
      <c r="Y5872">
        <v>0.19610040000000001</v>
      </c>
      <c r="Z5872">
        <v>9.8775770000000002E-3</v>
      </c>
      <c r="AA5872">
        <v>0.98053409999999996</v>
      </c>
      <c r="AB5872">
        <v>17</v>
      </c>
      <c r="AC5872">
        <v>-4.8950999999999798</v>
      </c>
      <c r="AD5872">
        <v>-1.12089011564</v>
      </c>
      <c r="AE5872">
        <v>-47.168099999999903</v>
      </c>
      <c r="AF5872">
        <v>9.3175271261042507</v>
      </c>
      <c r="AG5872">
        <v>-1.12089011564</v>
      </c>
      <c r="AH5872">
        <v>46.4700405082489</v>
      </c>
      <c r="AI5872">
        <v>91.354792181655199</v>
      </c>
      <c r="AJ5872">
        <v>78.662187495513905</v>
      </c>
      <c r="AK5872">
        <v>47.408199409335602</v>
      </c>
      <c r="AL5872">
        <v>82.609717696498095</v>
      </c>
      <c r="AM5872">
        <v>84.457890673861897</v>
      </c>
      <c r="AN5872">
        <v>0.99999998798502499</v>
      </c>
    </row>
    <row r="5873" spans="1:40" x14ac:dyDescent="0.25">
      <c r="A5873" t="str">
        <f>"20190303162030008"</f>
        <v>20190303162030008</v>
      </c>
      <c r="B5873" t="str">
        <f>"1551601229998528"</f>
        <v>1551601229998528</v>
      </c>
      <c r="C5873" t="s">
        <v>40</v>
      </c>
      <c r="D5873">
        <v>4.8119239999999897</v>
      </c>
      <c r="E5873">
        <v>0.53917060000000006</v>
      </c>
      <c r="F5873" t="s">
        <v>50</v>
      </c>
      <c r="G5873">
        <v>-196.959</v>
      </c>
      <c r="H5873" s="1">
        <v>-1.2032969999999999E-5</v>
      </c>
      <c r="I5873">
        <v>149.85769999999999</v>
      </c>
      <c r="J5873">
        <v>-192.4605</v>
      </c>
      <c r="K5873">
        <v>1.1208659999999999</v>
      </c>
      <c r="L5873">
        <v>193.4068</v>
      </c>
      <c r="M5873">
        <v>9.3406039999999996E-2</v>
      </c>
      <c r="N5873">
        <v>-1.3307879999999999E-2</v>
      </c>
      <c r="O5873">
        <v>-0.99553939999999996</v>
      </c>
      <c r="P5873">
        <v>-1.6591869999999999E-3</v>
      </c>
      <c r="Q5873">
        <v>0.1144802</v>
      </c>
      <c r="R5873">
        <v>-0.99342470000000005</v>
      </c>
      <c r="S5873">
        <v>-0.31147770000000002</v>
      </c>
      <c r="T5873">
        <v>-7.7766180000000004E-2</v>
      </c>
      <c r="U5873">
        <v>-3.0287320000000002</v>
      </c>
      <c r="V5873">
        <v>9.4667589999999996E-2</v>
      </c>
      <c r="W5873">
        <v>0.12747069999999999</v>
      </c>
      <c r="X5873">
        <v>0.98731420000000003</v>
      </c>
      <c r="Y5873">
        <v>0.19472049999999999</v>
      </c>
      <c r="Z5873">
        <v>1.1817279999999999E-2</v>
      </c>
      <c r="AA5873">
        <v>0.98078759999999998</v>
      </c>
      <c r="AB5873">
        <v>17</v>
      </c>
      <c r="AC5873">
        <v>-4.4984999999999999</v>
      </c>
      <c r="AD5873">
        <v>-1.1208780329700001</v>
      </c>
      <c r="AE5873">
        <v>-43.549100000000003</v>
      </c>
      <c r="AF5873">
        <v>8.5413392180754197</v>
      </c>
      <c r="AG5873">
        <v>-1.1208780329700001</v>
      </c>
      <c r="AH5873">
        <v>42.910323590552601</v>
      </c>
      <c r="AI5873">
        <v>91.467528815729594</v>
      </c>
      <c r="AJ5873">
        <v>78.742364081016106</v>
      </c>
      <c r="AK5873">
        <v>43.766502188876899</v>
      </c>
      <c r="AL5873">
        <v>82.676542151504606</v>
      </c>
      <c r="AM5873">
        <v>84.522997818982105</v>
      </c>
      <c r="AN5873">
        <v>1.0000000307382599</v>
      </c>
    </row>
    <row r="5874" spans="1:40" x14ac:dyDescent="0.25">
      <c r="A5874" t="str">
        <f>"20190303162030022"</f>
        <v>20190303162030022</v>
      </c>
      <c r="B5874" t="str">
        <f>"1551601230018048"</f>
        <v>1551601230018048</v>
      </c>
      <c r="C5874" t="s">
        <v>40</v>
      </c>
      <c r="D5874">
        <v>4.7679710000000002</v>
      </c>
      <c r="E5874">
        <v>0.53909770000000001</v>
      </c>
      <c r="F5874" t="s">
        <v>50</v>
      </c>
      <c r="G5874">
        <v>-196.82640000000001</v>
      </c>
      <c r="H5874" s="1">
        <v>-1.244688E-5</v>
      </c>
      <c r="I5874">
        <v>150.87729999999999</v>
      </c>
      <c r="J5874">
        <v>-192.4512</v>
      </c>
      <c r="K5874">
        <v>1.1208499999999999</v>
      </c>
      <c r="L5874">
        <v>193.29470000000001</v>
      </c>
      <c r="M5874">
        <v>9.2409000000000005E-2</v>
      </c>
      <c r="N5874">
        <v>-1.330687E-2</v>
      </c>
      <c r="O5874">
        <v>-0.99563250000000003</v>
      </c>
      <c r="P5874" s="1">
        <v>6.1940520000000001E-6</v>
      </c>
      <c r="Q5874">
        <v>0.11422110000000001</v>
      </c>
      <c r="R5874">
        <v>-0.9934558</v>
      </c>
      <c r="S5874">
        <v>-0.3108978</v>
      </c>
      <c r="T5874">
        <v>-7.9818009999999995E-2</v>
      </c>
      <c r="U5874">
        <v>-3.0285340000000001</v>
      </c>
      <c r="V5874">
        <v>9.2025700000000002E-2</v>
      </c>
      <c r="W5874">
        <v>0.12721569999999999</v>
      </c>
      <c r="X5874">
        <v>0.98759680000000005</v>
      </c>
      <c r="Y5874">
        <v>0.19355739999999999</v>
      </c>
      <c r="Z5874">
        <v>1.2492E-2</v>
      </c>
      <c r="AA5874">
        <v>0.98100940000000003</v>
      </c>
      <c r="AB5874">
        <v>17</v>
      </c>
      <c r="AC5874">
        <v>-4.3752000000000004</v>
      </c>
      <c r="AD5874">
        <v>-1.1208624468799999</v>
      </c>
      <c r="AE5874">
        <v>-42.417400000000001</v>
      </c>
      <c r="AF5874">
        <v>8.2708568733058101</v>
      </c>
      <c r="AG5874">
        <v>-1.1208624468799999</v>
      </c>
      <c r="AH5874">
        <v>41.802644183912903</v>
      </c>
      <c r="AI5874">
        <v>91.506720406050704</v>
      </c>
      <c r="AJ5874">
        <v>78.8082956494559</v>
      </c>
      <c r="AK5874">
        <v>42.627742924184503</v>
      </c>
      <c r="AL5874">
        <v>82.6912722845465</v>
      </c>
      <c r="AM5874">
        <v>84.676468467468197</v>
      </c>
      <c r="AN5874">
        <v>1.0000000015786099</v>
      </c>
    </row>
    <row r="5875" spans="1:40" x14ac:dyDescent="0.25">
      <c r="A5875" t="str">
        <f>"20190303162030047"</f>
        <v>20190303162030047</v>
      </c>
      <c r="B5875" t="str">
        <f>"1551601230038544"</f>
        <v>1551601230038544</v>
      </c>
      <c r="C5875" t="s">
        <v>40</v>
      </c>
      <c r="D5875">
        <v>4.8001129999999996</v>
      </c>
      <c r="E5875">
        <v>0.53922199999999998</v>
      </c>
      <c r="F5875" t="s">
        <v>50</v>
      </c>
      <c r="G5875">
        <v>-196.8167</v>
      </c>
      <c r="H5875" s="1">
        <v>-1.210323E-5</v>
      </c>
      <c r="I5875">
        <v>150.08029999999999</v>
      </c>
      <c r="J5875">
        <v>-192.43690000000001</v>
      </c>
      <c r="K5875">
        <v>1.1208370000000001</v>
      </c>
      <c r="L5875">
        <v>193.12100000000001</v>
      </c>
      <c r="M5875">
        <v>9.0812820000000002E-2</v>
      </c>
      <c r="N5875">
        <v>-1.3305529999999999E-2</v>
      </c>
      <c r="O5875">
        <v>-0.99577919999999998</v>
      </c>
      <c r="P5875">
        <v>4.037914E-4</v>
      </c>
      <c r="Q5875">
        <v>0.1168452</v>
      </c>
      <c r="R5875">
        <v>-0.99314999999999998</v>
      </c>
      <c r="S5875">
        <v>-0.3059692</v>
      </c>
      <c r="T5875">
        <v>-7.8558439999999993E-2</v>
      </c>
      <c r="U5875">
        <v>-3.0287929999999998</v>
      </c>
      <c r="V5875">
        <v>9.0028590000000006E-2</v>
      </c>
      <c r="W5875">
        <v>0.12983459999999999</v>
      </c>
      <c r="X5875">
        <v>0.98743999999999998</v>
      </c>
      <c r="Y5875">
        <v>0.19039710000000001</v>
      </c>
      <c r="Z5875">
        <v>1.210114E-2</v>
      </c>
      <c r="AA5875">
        <v>0.98163259999999997</v>
      </c>
      <c r="AB5875">
        <v>17</v>
      </c>
      <c r="AC5875">
        <v>-4.3797999999999799</v>
      </c>
      <c r="AD5875">
        <v>-1.1208491032300001</v>
      </c>
      <c r="AE5875">
        <v>-43.040700000000001</v>
      </c>
      <c r="AF5875">
        <v>8.26514462294897</v>
      </c>
      <c r="AG5875">
        <v>-1.1208491032300001</v>
      </c>
      <c r="AH5875">
        <v>42.436562195268301</v>
      </c>
      <c r="AI5875">
        <v>91.485072292378007</v>
      </c>
      <c r="AJ5875">
        <v>78.978778991562194</v>
      </c>
      <c r="AK5875">
        <v>43.248476612516001</v>
      </c>
      <c r="AL5875">
        <v>82.539965123650703</v>
      </c>
      <c r="AM5875">
        <v>84.790532914978996</v>
      </c>
      <c r="AN5875">
        <v>0.99999996198727303</v>
      </c>
    </row>
    <row r="5876" spans="1:40" x14ac:dyDescent="0.25">
      <c r="A5876" t="str">
        <f>"20190303162030061"</f>
        <v>20190303162030061</v>
      </c>
      <c r="B5876" t="str">
        <f>"1551601230048304"</f>
        <v>1551601230048304</v>
      </c>
      <c r="C5876" t="s">
        <v>40</v>
      </c>
      <c r="D5876">
        <v>4.7826649999999997</v>
      </c>
      <c r="E5876">
        <v>0.53927029999999998</v>
      </c>
      <c r="F5876" t="s">
        <v>50</v>
      </c>
      <c r="G5876">
        <v>-197.5016</v>
      </c>
      <c r="H5876" s="1">
        <v>-1.016412E-5</v>
      </c>
      <c r="I5876">
        <v>143.07990000000001</v>
      </c>
      <c r="J5876">
        <v>-192.42760000000001</v>
      </c>
      <c r="K5876">
        <v>1.1208260000000001</v>
      </c>
      <c r="L5876">
        <v>193.0044</v>
      </c>
      <c r="M5876">
        <v>8.9708179999999998E-2</v>
      </c>
      <c r="N5876">
        <v>-1.3304750000000001E-2</v>
      </c>
      <c r="O5876">
        <v>-0.99587950000000003</v>
      </c>
      <c r="P5876" s="1">
        <v>-4.1411610000000002E-5</v>
      </c>
      <c r="Q5876">
        <v>0.1183341</v>
      </c>
      <c r="R5876">
        <v>-0.99297409999999997</v>
      </c>
      <c r="S5876">
        <v>-0.30654910000000002</v>
      </c>
      <c r="T5876">
        <v>-6.7840579999999998E-2</v>
      </c>
      <c r="U5876">
        <v>-3.0287929999999998</v>
      </c>
      <c r="V5876">
        <v>8.936761E-2</v>
      </c>
      <c r="W5876">
        <v>0.1313185</v>
      </c>
      <c r="X5876">
        <v>0.98730390000000001</v>
      </c>
      <c r="Y5876">
        <v>0.18950239999999999</v>
      </c>
      <c r="Z5876">
        <v>8.6343649999999997E-3</v>
      </c>
      <c r="AA5876">
        <v>0.98184229999999995</v>
      </c>
      <c r="AB5876">
        <v>17</v>
      </c>
      <c r="AC5876">
        <v>-5.0739999999999803</v>
      </c>
      <c r="AD5876">
        <v>-1.12083616412</v>
      </c>
      <c r="AE5876">
        <v>-49.924500000000002</v>
      </c>
      <c r="AF5876">
        <v>9.5278165173073095</v>
      </c>
      <c r="AG5876">
        <v>-1.12083616412</v>
      </c>
      <c r="AH5876">
        <v>49.2433875782203</v>
      </c>
      <c r="AI5876">
        <v>91.280158917051097</v>
      </c>
      <c r="AJ5876">
        <v>79.049483302033906</v>
      </c>
      <c r="AK5876">
        <v>50.169181590624902</v>
      </c>
      <c r="AL5876">
        <v>82.454210389075399</v>
      </c>
      <c r="AM5876">
        <v>84.827863087508703</v>
      </c>
      <c r="AN5876">
        <v>1.00000005455728</v>
      </c>
    </row>
    <row r="5877" spans="1:40" x14ac:dyDescent="0.25">
      <c r="A5877" t="str">
        <f>"20190303162030080"</f>
        <v>20190303162030080</v>
      </c>
      <c r="B5877" t="str">
        <f>"1551601230068800"</f>
        <v>1551601230068800</v>
      </c>
      <c r="C5877" t="s">
        <v>40</v>
      </c>
      <c r="D5877">
        <v>4.8244400000000001</v>
      </c>
      <c r="E5877">
        <v>0.5394738</v>
      </c>
      <c r="F5877" t="s">
        <v>50</v>
      </c>
      <c r="G5877">
        <v>-198.078</v>
      </c>
      <c r="H5877" s="1">
        <v>-8.56168E-6</v>
      </c>
      <c r="I5877">
        <v>137.5624</v>
      </c>
      <c r="J5877">
        <v>-192.41679999999999</v>
      </c>
      <c r="K5877">
        <v>1.1208129999999901</v>
      </c>
      <c r="L5877">
        <v>192.86789999999999</v>
      </c>
      <c r="M5877">
        <v>8.8385930000000001E-2</v>
      </c>
      <c r="N5877">
        <v>-1.330392E-2</v>
      </c>
      <c r="O5877">
        <v>-0.99599749999999998</v>
      </c>
      <c r="P5877">
        <v>-3.3534750000000001E-4</v>
      </c>
      <c r="Q5877">
        <v>0.1210357</v>
      </c>
      <c r="R5877">
        <v>-0.99264819999999998</v>
      </c>
      <c r="S5877">
        <v>-0.30865479999999901</v>
      </c>
      <c r="T5877">
        <v>-6.122553E-2</v>
      </c>
      <c r="U5877">
        <v>-3.0285190000000002</v>
      </c>
      <c r="V5877">
        <v>8.8330329999999999E-2</v>
      </c>
      <c r="W5877">
        <v>0.13401299999999999</v>
      </c>
      <c r="X5877">
        <v>0.98703510000000005</v>
      </c>
      <c r="Y5877">
        <v>0.188888</v>
      </c>
      <c r="Z5877">
        <v>6.4970239999999997E-3</v>
      </c>
      <c r="AA5877">
        <v>0.98197719999999999</v>
      </c>
      <c r="AB5877">
        <v>17</v>
      </c>
      <c r="AC5877">
        <v>-5.6612</v>
      </c>
      <c r="AD5877">
        <v>-1.1208215616799999</v>
      </c>
      <c r="AE5877">
        <v>-55.305500000000002</v>
      </c>
      <c r="AF5877">
        <v>10.523423085764</v>
      </c>
      <c r="AG5877">
        <v>-1.1208215616799999</v>
      </c>
      <c r="AH5877">
        <v>54.566419447106497</v>
      </c>
      <c r="AI5877">
        <v>91.155433490909203</v>
      </c>
      <c r="AJ5877">
        <v>79.084219477836299</v>
      </c>
      <c r="AK5877">
        <v>55.583206148014597</v>
      </c>
      <c r="AL5877">
        <v>82.298449733161604</v>
      </c>
      <c r="AM5877">
        <v>84.886190634400293</v>
      </c>
      <c r="AN5877">
        <v>1.0000000099994499</v>
      </c>
    </row>
    <row r="5878" spans="1:40" x14ac:dyDescent="0.25">
      <c r="A5878" t="str">
        <f>"20190303162030096"</f>
        <v>20190303162030096</v>
      </c>
      <c r="B5878" t="str">
        <f>"1551601230088320"</f>
        <v>1551601230088320</v>
      </c>
      <c r="C5878" t="s">
        <v>40</v>
      </c>
      <c r="D5878">
        <v>4.8074919999999999</v>
      </c>
      <c r="E5878">
        <v>0.53938180000000002</v>
      </c>
      <c r="F5878" t="s">
        <v>50</v>
      </c>
      <c r="G5878">
        <v>-199.25470000000001</v>
      </c>
      <c r="H5878" s="1">
        <v>-5.407106E-6</v>
      </c>
      <c r="I5878">
        <v>126.53570000000001</v>
      </c>
      <c r="J5878">
        <v>-192.40770000000001</v>
      </c>
      <c r="K5878">
        <v>1.1208</v>
      </c>
      <c r="L5878">
        <v>192.7499</v>
      </c>
      <c r="M5878">
        <v>8.7221119999999999E-2</v>
      </c>
      <c r="N5878">
        <v>-1.330317E-2</v>
      </c>
      <c r="O5878">
        <v>-0.99609999999999999</v>
      </c>
      <c r="P5878">
        <v>-8.3798569999999999E-4</v>
      </c>
      <c r="Q5878">
        <v>0.1212746</v>
      </c>
      <c r="R5878">
        <v>-0.99261860000000002</v>
      </c>
      <c r="S5878">
        <v>-0.3121796</v>
      </c>
      <c r="T5878">
        <v>-5.1170229999999997E-2</v>
      </c>
      <c r="U5878">
        <v>-3.0283509999999998</v>
      </c>
      <c r="V5878">
        <v>8.767809E-2</v>
      </c>
      <c r="W5878">
        <v>0.13424920000000001</v>
      </c>
      <c r="X5878">
        <v>0.98706110000000002</v>
      </c>
      <c r="Y5878">
        <v>0.1888821</v>
      </c>
      <c r="Z5878">
        <v>3.2392290000000002E-3</v>
      </c>
      <c r="AA5878">
        <v>0.98199449999999999</v>
      </c>
      <c r="AB5878">
        <v>17</v>
      </c>
      <c r="AC5878">
        <v>-6.8470000000000004</v>
      </c>
      <c r="AD5878">
        <v>-1.1208054071060001</v>
      </c>
      <c r="AE5878">
        <v>-66.214199999999906</v>
      </c>
      <c r="AF5878">
        <v>12.5931198840281</v>
      </c>
      <c r="AG5878">
        <v>-1.1208054071060001</v>
      </c>
      <c r="AH5878">
        <v>65.346030335965693</v>
      </c>
      <c r="AI5878">
        <v>90.964881843580002</v>
      </c>
      <c r="AJ5878">
        <v>79.092004024325902</v>
      </c>
      <c r="AK5878">
        <v>66.5578436688198</v>
      </c>
      <c r="AL5878">
        <v>82.284792637199502</v>
      </c>
      <c r="AM5878">
        <v>84.923886509121601</v>
      </c>
      <c r="AN5878">
        <v>0.99999995514994799</v>
      </c>
    </row>
    <row r="5879" spans="1:40" x14ac:dyDescent="0.25">
      <c r="A5879" t="str">
        <f>"20190303162030110"</f>
        <v>20190303162030110</v>
      </c>
      <c r="B5879" t="str">
        <f>"1551601230098080"</f>
        <v>1551601230098080</v>
      </c>
      <c r="C5879" t="s">
        <v>40</v>
      </c>
      <c r="D5879">
        <v>4.8019980000000002</v>
      </c>
      <c r="E5879">
        <v>0.5393097</v>
      </c>
      <c r="F5879" t="s">
        <v>50</v>
      </c>
      <c r="G5879">
        <v>-199.5386</v>
      </c>
      <c r="H5879" s="1">
        <v>-4.5384219999999998E-6</v>
      </c>
      <c r="I5879">
        <v>123.90479999999999</v>
      </c>
      <c r="J5879">
        <v>-192.39930000000001</v>
      </c>
      <c r="K5879">
        <v>1.12079</v>
      </c>
      <c r="L5879">
        <v>192.6403</v>
      </c>
      <c r="M5879">
        <v>8.6123350000000001E-2</v>
      </c>
      <c r="N5879">
        <v>-1.3302420000000001E-2</v>
      </c>
      <c r="O5879">
        <v>-0.99619579999999996</v>
      </c>
      <c r="P5879">
        <v>-8.0494639999999999E-4</v>
      </c>
      <c r="Q5879">
        <v>0.12145450000000001</v>
      </c>
      <c r="R5879">
        <v>-0.9925969</v>
      </c>
      <c r="S5879">
        <v>-0.31364439999999999</v>
      </c>
      <c r="T5879">
        <v>-4.9297090000000002E-2</v>
      </c>
      <c r="U5879">
        <v>-3.0280610000000001</v>
      </c>
      <c r="V5879">
        <v>8.6558540000000003E-2</v>
      </c>
      <c r="W5879">
        <v>0.13442879999999999</v>
      </c>
      <c r="X5879">
        <v>0.98713550000000005</v>
      </c>
      <c r="Y5879">
        <v>0.18828059999999999</v>
      </c>
      <c r="Z5879">
        <v>2.6372119999999999E-3</v>
      </c>
      <c r="AA5879">
        <v>0.98211179999999998</v>
      </c>
      <c r="AB5879">
        <v>17</v>
      </c>
      <c r="AC5879">
        <v>-7.1392999999999898</v>
      </c>
      <c r="AD5879">
        <v>-1.1207945384219999</v>
      </c>
      <c r="AE5879">
        <v>-68.735500000000002</v>
      </c>
      <c r="AF5879">
        <v>13.029596328484301</v>
      </c>
      <c r="AG5879">
        <v>-1.1207945384219999</v>
      </c>
      <c r="AH5879">
        <v>67.847305137414907</v>
      </c>
      <c r="AI5879">
        <v>90.9294233704601</v>
      </c>
      <c r="AJ5879">
        <v>79.129101560651307</v>
      </c>
      <c r="AK5879">
        <v>69.096189296444507</v>
      </c>
      <c r="AL5879">
        <v>82.274408449107796</v>
      </c>
      <c r="AM5879">
        <v>84.988746322338699</v>
      </c>
      <c r="AN5879">
        <v>0.99999998923831002</v>
      </c>
    </row>
    <row r="5880" spans="1:40" x14ac:dyDescent="0.25">
      <c r="A5880" t="str">
        <f>"20190303162030124"</f>
        <v>20190303162030124</v>
      </c>
      <c r="B5880" t="str">
        <f>"1551601230118576"</f>
        <v>1551601230118576</v>
      </c>
      <c r="C5880" t="s">
        <v>40</v>
      </c>
      <c r="D5880">
        <v>4.7749379999999997</v>
      </c>
      <c r="E5880">
        <v>0.53941549999999905</v>
      </c>
      <c r="F5880" t="s">
        <v>50</v>
      </c>
      <c r="G5880">
        <v>-199.60400000000001</v>
      </c>
      <c r="H5880" s="1">
        <v>-4.1390399999999999E-6</v>
      </c>
      <c r="I5880">
        <v>123.00409999999999</v>
      </c>
      <c r="J5880">
        <v>-192.39150000000001</v>
      </c>
      <c r="K5880">
        <v>1.1207819999999999</v>
      </c>
      <c r="L5880">
        <v>192.53569999999999</v>
      </c>
      <c r="M5880">
        <v>8.50633999999999E-2</v>
      </c>
      <c r="N5880">
        <v>-1.330164E-2</v>
      </c>
      <c r="O5880">
        <v>-0.99628700000000003</v>
      </c>
      <c r="P5880">
        <v>4.2672160000000001E-4</v>
      </c>
      <c r="Q5880">
        <v>0.1221809</v>
      </c>
      <c r="R5880">
        <v>-0.99250850000000002</v>
      </c>
      <c r="S5880">
        <v>-0.3132935</v>
      </c>
      <c r="T5880">
        <v>-4.8737049999999997E-2</v>
      </c>
      <c r="U5880">
        <v>-3.0280909999999999</v>
      </c>
      <c r="V5880">
        <v>8.4277030000000003E-2</v>
      </c>
      <c r="W5880">
        <v>0.13515779999999999</v>
      </c>
      <c r="X5880">
        <v>0.98723340000000004</v>
      </c>
      <c r="Y5880">
        <v>0.18712239999999999</v>
      </c>
      <c r="Z5880">
        <v>2.4609749999999998E-3</v>
      </c>
      <c r="AA5880">
        <v>0.98233349999999997</v>
      </c>
      <c r="AB5880">
        <v>17</v>
      </c>
      <c r="AC5880">
        <v>-7.2125000000000004</v>
      </c>
      <c r="AD5880">
        <v>-1.12078613904</v>
      </c>
      <c r="AE5880">
        <v>-69.531599999999997</v>
      </c>
      <c r="AF5880">
        <v>13.0981031114384</v>
      </c>
      <c r="AG5880">
        <v>-1.12078613904</v>
      </c>
      <c r="AH5880">
        <v>68.648320408767006</v>
      </c>
      <c r="AI5880">
        <v>90.918784290851093</v>
      </c>
      <c r="AJ5880">
        <v>79.197796953658397</v>
      </c>
      <c r="AK5880">
        <v>69.895696302648503</v>
      </c>
      <c r="AL5880">
        <v>82.232255342073302</v>
      </c>
      <c r="AM5880">
        <v>85.120668136414807</v>
      </c>
      <c r="AN5880">
        <v>1.00000001738101</v>
      </c>
    </row>
    <row r="5881" spans="1:40" x14ac:dyDescent="0.25">
      <c r="A5881" t="str">
        <f>"20190303162030141"</f>
        <v>20190303162030141</v>
      </c>
      <c r="B5881" t="str">
        <f>"1551601230128336"</f>
        <v>1551601230128336</v>
      </c>
      <c r="C5881" t="s">
        <v>40</v>
      </c>
      <c r="D5881">
        <v>4.8170390000000003</v>
      </c>
      <c r="E5881">
        <v>0.53949099999999905</v>
      </c>
      <c r="F5881" t="s">
        <v>41</v>
      </c>
      <c r="G5881">
        <v>-199.95779999999999</v>
      </c>
      <c r="H5881">
        <v>1.4496790000000001E-2</v>
      </c>
      <c r="I5881">
        <v>118.95050000000001</v>
      </c>
      <c r="J5881">
        <v>-192.3827</v>
      </c>
      <c r="K5881">
        <v>1.1207860000000001</v>
      </c>
      <c r="L5881">
        <v>192.4162</v>
      </c>
      <c r="M5881">
        <v>8.3837809999999999E-2</v>
      </c>
      <c r="N5881">
        <v>-1.330083E-2</v>
      </c>
      <c r="O5881">
        <v>-0.99639080000000002</v>
      </c>
      <c r="P5881">
        <v>5.0386120000000005E-4</v>
      </c>
      <c r="Q5881">
        <v>0.12354999999999999</v>
      </c>
      <c r="R5881">
        <v>-0.99233839999999995</v>
      </c>
      <c r="S5881">
        <v>-0.3113861</v>
      </c>
      <c r="T5881">
        <v>-4.5528649999999997E-2</v>
      </c>
      <c r="U5881">
        <v>-3.0283660000000001</v>
      </c>
      <c r="V5881">
        <v>8.2975309999999997E-2</v>
      </c>
      <c r="W5881">
        <v>0.13652549999999999</v>
      </c>
      <c r="X5881">
        <v>0.98715540000000002</v>
      </c>
      <c r="Y5881">
        <v>0.18529419999999999</v>
      </c>
      <c r="Z5881">
        <v>1.4256900000000001E-3</v>
      </c>
      <c r="AA5881">
        <v>0.98268200000000006</v>
      </c>
      <c r="AB5881">
        <v>17</v>
      </c>
      <c r="AC5881">
        <v>-7.5750999999999902</v>
      </c>
      <c r="AD5881">
        <v>-1.1062892099999999</v>
      </c>
      <c r="AE5881">
        <v>-73.465699999999998</v>
      </c>
      <c r="AF5881">
        <v>13.705098713773699</v>
      </c>
      <c r="AG5881">
        <v>-1.1062892099999999</v>
      </c>
      <c r="AH5881">
        <v>72.555596322335404</v>
      </c>
      <c r="AI5881">
        <v>90.858371215381496</v>
      </c>
      <c r="AJ5881">
        <v>79.303372802230001</v>
      </c>
      <c r="AK5881">
        <v>73.846923864573597</v>
      </c>
      <c r="AL5881">
        <v>82.153158177902696</v>
      </c>
      <c r="AM5881">
        <v>85.1952996170982</v>
      </c>
      <c r="AN5881">
        <v>0.99999994898450095</v>
      </c>
    </row>
    <row r="5882" spans="1:40" x14ac:dyDescent="0.25">
      <c r="A5882" t="str">
        <f>"20190303162030158"</f>
        <v>20190303162030158</v>
      </c>
      <c r="B5882" t="str">
        <f>"1551601230148832"</f>
        <v>1551601230148832</v>
      </c>
      <c r="C5882" t="s">
        <v>40</v>
      </c>
      <c r="D5882">
        <v>4.7793130000000001</v>
      </c>
      <c r="E5882">
        <v>0.53956800000000005</v>
      </c>
      <c r="F5882" t="s">
        <v>41</v>
      </c>
      <c r="G5882">
        <v>-200.26150000000001</v>
      </c>
      <c r="H5882">
        <v>7.9986440000000006E-2</v>
      </c>
      <c r="I5882">
        <v>115.93559999999999</v>
      </c>
      <c r="J5882">
        <v>-192.3732</v>
      </c>
      <c r="K5882">
        <v>1.120795</v>
      </c>
      <c r="L5882">
        <v>192.28319999999999</v>
      </c>
      <c r="M5882">
        <v>8.2466199999999906E-2</v>
      </c>
      <c r="N5882">
        <v>-1.3299770000000001E-2</v>
      </c>
      <c r="O5882">
        <v>-0.99650510000000003</v>
      </c>
      <c r="P5882">
        <v>1.037942E-3</v>
      </c>
      <c r="Q5882">
        <v>0.12682099999999999</v>
      </c>
      <c r="R5882">
        <v>-0.99192499999999995</v>
      </c>
      <c r="S5882">
        <v>-0.31198120000000001</v>
      </c>
      <c r="T5882">
        <v>-4.1213270000000003E-2</v>
      </c>
      <c r="U5882">
        <v>-3.0284580000000001</v>
      </c>
      <c r="V5882">
        <v>8.1056420000000004E-2</v>
      </c>
      <c r="W5882">
        <v>0.13979449999999999</v>
      </c>
      <c r="X5882">
        <v>0.98685730000000005</v>
      </c>
      <c r="Y5882">
        <v>0.18413160000000001</v>
      </c>
      <c r="Z5882" s="1">
        <v>2.9734540000000001E-5</v>
      </c>
      <c r="AA5882">
        <v>0.98290160000000004</v>
      </c>
      <c r="AB5882">
        <v>17</v>
      </c>
      <c r="AC5882">
        <v>-7.8883000000000099</v>
      </c>
      <c r="AD5882">
        <v>-1.0408085600000001</v>
      </c>
      <c r="AE5882">
        <v>-76.3476</v>
      </c>
      <c r="AF5882">
        <v>14.155477112593999</v>
      </c>
      <c r="AG5882">
        <v>-1.0408085600000001</v>
      </c>
      <c r="AH5882">
        <v>75.423058827455307</v>
      </c>
      <c r="AI5882">
        <v>90.777043832676398</v>
      </c>
      <c r="AJ5882">
        <v>79.370325249102393</v>
      </c>
      <c r="AK5882">
        <v>76.746977905540504</v>
      </c>
      <c r="AL5882">
        <v>81.964044876352204</v>
      </c>
      <c r="AM5882">
        <v>85.304499316191297</v>
      </c>
      <c r="AN5882">
        <v>0.99999998800837797</v>
      </c>
    </row>
    <row r="5883" spans="1:40" x14ac:dyDescent="0.25">
      <c r="A5883" t="str">
        <f>"20190303162030180"</f>
        <v>20190303162030180</v>
      </c>
      <c r="B5883" t="str">
        <f>"1551601230168352"</f>
        <v>1551601230168352</v>
      </c>
      <c r="C5883" t="s">
        <v>40</v>
      </c>
      <c r="D5883">
        <v>4.7344660000000003</v>
      </c>
      <c r="E5883">
        <v>0.53962180000000004</v>
      </c>
      <c r="F5883" t="s">
        <v>41</v>
      </c>
      <c r="G5883">
        <v>-202.82849999999999</v>
      </c>
      <c r="H5883">
        <v>7.9986680000000004E-2</v>
      </c>
      <c r="I5883">
        <v>90.509529999999998</v>
      </c>
      <c r="J5883">
        <v>-192.36189999999999</v>
      </c>
      <c r="K5883">
        <v>1.1208089999999999</v>
      </c>
      <c r="L5883">
        <v>192.1242</v>
      </c>
      <c r="M5883">
        <v>8.0820429999999999E-2</v>
      </c>
      <c r="N5883">
        <v>-1.3298300000000001E-2</v>
      </c>
      <c r="O5883">
        <v>-0.99664010000000003</v>
      </c>
      <c r="P5883">
        <v>9.4019709999999996E-4</v>
      </c>
      <c r="Q5883">
        <v>0.1296052</v>
      </c>
      <c r="R5883">
        <v>-0.99156529999999998</v>
      </c>
      <c r="S5883">
        <v>-0.31114199999999997</v>
      </c>
      <c r="T5883">
        <v>-3.097343E-2</v>
      </c>
      <c r="U5883">
        <v>-3.0286870000000001</v>
      </c>
      <c r="V5883">
        <v>7.9497899999999996E-2</v>
      </c>
      <c r="W5883">
        <v>0.142576799999999</v>
      </c>
      <c r="X5883">
        <v>0.98658599999999996</v>
      </c>
      <c r="Y5883">
        <v>0.18223490000000001</v>
      </c>
      <c r="Z5883">
        <v>-3.2899629999999999E-3</v>
      </c>
      <c r="AA5883">
        <v>0.9832495</v>
      </c>
      <c r="AB5883">
        <v>17</v>
      </c>
      <c r="AC5883">
        <v>-10.4666</v>
      </c>
      <c r="AD5883">
        <v>-1.04082232</v>
      </c>
      <c r="AE5883">
        <v>-101.61466999999899</v>
      </c>
      <c r="AF5883">
        <v>18.643685307747699</v>
      </c>
      <c r="AG5883">
        <v>-1.04082232</v>
      </c>
      <c r="AH5883">
        <v>100.42578149087799</v>
      </c>
      <c r="AI5883">
        <v>90.583822951410298</v>
      </c>
      <c r="AJ5883">
        <v>79.4829753396196</v>
      </c>
      <c r="AK5883">
        <v>102.146991639547</v>
      </c>
      <c r="AL5883">
        <v>81.803017865123493</v>
      </c>
      <c r="AM5883">
        <v>85.393129276637396</v>
      </c>
      <c r="AN5883">
        <v>0.99999999769932402</v>
      </c>
    </row>
    <row r="5884" spans="1:40" x14ac:dyDescent="0.25">
      <c r="A5884" t="str">
        <f>"20190303162030193"</f>
        <v>20190303162030193</v>
      </c>
      <c r="B5884" t="str">
        <f>"1551601230188848"</f>
        <v>1551601230188848</v>
      </c>
      <c r="C5884" t="s">
        <v>40</v>
      </c>
      <c r="D5884">
        <v>4.7690700000000001</v>
      </c>
      <c r="E5884">
        <v>0.53978879999999996</v>
      </c>
      <c r="F5884" t="s">
        <v>44</v>
      </c>
      <c r="G5884">
        <v>-208.51429999999999</v>
      </c>
      <c r="H5884">
        <v>-0.05</v>
      </c>
      <c r="I5884">
        <v>35.069020000000002</v>
      </c>
      <c r="J5884">
        <v>-192.35470000000001</v>
      </c>
      <c r="K5884">
        <v>1.120816</v>
      </c>
      <c r="L5884">
        <v>192.01949999999999</v>
      </c>
      <c r="M5884">
        <v>7.9736959999999996E-2</v>
      </c>
      <c r="N5884">
        <v>-1.329722E-2</v>
      </c>
      <c r="O5884">
        <v>-0.99672720000000004</v>
      </c>
      <c r="P5884">
        <v>7.7503979999999999E-4</v>
      </c>
      <c r="Q5884">
        <v>0.1305046</v>
      </c>
      <c r="R5884">
        <v>-0.99144730000000003</v>
      </c>
      <c r="S5884">
        <v>-0.31149290000000002</v>
      </c>
      <c r="T5884">
        <v>-2.257872E-2</v>
      </c>
      <c r="U5884">
        <v>-3.0287630000000001</v>
      </c>
      <c r="V5884">
        <v>7.8579189999999993E-2</v>
      </c>
      <c r="W5884">
        <v>0.14347679999999999</v>
      </c>
      <c r="X5884">
        <v>0.98652910000000005</v>
      </c>
      <c r="Y5884">
        <v>0.1812783</v>
      </c>
      <c r="Z5884">
        <v>-6.0142909999999997E-3</v>
      </c>
      <c r="AA5884">
        <v>0.98341350000000005</v>
      </c>
      <c r="AB5884">
        <v>17</v>
      </c>
      <c r="AC5884">
        <v>-16.159599999999902</v>
      </c>
      <c r="AD5884">
        <v>-1.1708160000000001</v>
      </c>
      <c r="AE5884">
        <v>-156.95048</v>
      </c>
      <c r="AF5884">
        <v>28.622422915371398</v>
      </c>
      <c r="AG5884">
        <v>-1.1708160000000001</v>
      </c>
      <c r="AH5884">
        <v>155.15347678046001</v>
      </c>
      <c r="AI5884">
        <v>90.425181901480002</v>
      </c>
      <c r="AJ5884">
        <v>79.547696129407001</v>
      </c>
      <c r="AK5884">
        <v>157.77583864685101</v>
      </c>
      <c r="AL5884">
        <v>81.750915789044896</v>
      </c>
      <c r="AM5884">
        <v>85.445881371797498</v>
      </c>
      <c r="AN5884">
        <v>0.99999997319305201</v>
      </c>
    </row>
    <row r="5885" spans="1:40" x14ac:dyDescent="0.25">
      <c r="A5885" t="str">
        <f>"20190303162030207"</f>
        <v>20190303162030207</v>
      </c>
      <c r="B5885" t="str">
        <f>"1551601230198608"</f>
        <v>1551601230198608</v>
      </c>
      <c r="C5885" t="s">
        <v>40</v>
      </c>
      <c r="D5885">
        <v>4.7547100000000002</v>
      </c>
      <c r="E5885">
        <v>0.53982419999999998</v>
      </c>
      <c r="F5885" t="s">
        <v>44</v>
      </c>
      <c r="G5885">
        <v>-210.71559999999999</v>
      </c>
      <c r="H5885">
        <v>-0.05</v>
      </c>
      <c r="I5885">
        <v>14.74146</v>
      </c>
      <c r="J5885">
        <v>-192.34800000000001</v>
      </c>
      <c r="K5885">
        <v>1.120825</v>
      </c>
      <c r="L5885">
        <v>191.92060000000001</v>
      </c>
      <c r="M5885">
        <v>7.8715090000000001E-2</v>
      </c>
      <c r="N5885">
        <v>-1.3296189999999999E-2</v>
      </c>
      <c r="O5885">
        <v>-0.99680880000000005</v>
      </c>
      <c r="P5885">
        <v>5.3570359999999999E-4</v>
      </c>
      <c r="Q5885">
        <v>0.13052949999999999</v>
      </c>
      <c r="R5885">
        <v>-0.99144460000000001</v>
      </c>
      <c r="S5885">
        <v>-0.31369019999999997</v>
      </c>
      <c r="T5885">
        <v>-2.0003079999999999E-2</v>
      </c>
      <c r="U5885">
        <v>-3.0287480000000002</v>
      </c>
      <c r="V5885">
        <v>7.7802490000000002E-2</v>
      </c>
      <c r="W5885">
        <v>0.1435042</v>
      </c>
      <c r="X5885">
        <v>0.98658670000000004</v>
      </c>
      <c r="Y5885">
        <v>0.1809771</v>
      </c>
      <c r="Z5885">
        <v>-6.8491610000000003E-3</v>
      </c>
      <c r="AA5885">
        <v>0.98346350000000005</v>
      </c>
      <c r="AB5885">
        <v>17</v>
      </c>
      <c r="AC5885">
        <v>-18.367599999999999</v>
      </c>
      <c r="AD5885">
        <v>-1.170825</v>
      </c>
      <c r="AE5885">
        <v>-177.17913999999999</v>
      </c>
      <c r="AF5885">
        <v>32.257104960425004</v>
      </c>
      <c r="AG5885">
        <v>-1.170825</v>
      </c>
      <c r="AH5885">
        <v>175.17578050567701</v>
      </c>
      <c r="AI5885">
        <v>90.376611301095295</v>
      </c>
      <c r="AJ5885">
        <v>79.566358045978902</v>
      </c>
      <c r="AK5885">
        <v>178.124803796051</v>
      </c>
      <c r="AL5885">
        <v>81.749329689494303</v>
      </c>
      <c r="AM5885">
        <v>85.490971241374695</v>
      </c>
      <c r="AN5885">
        <v>0.99999999974236498</v>
      </c>
    </row>
    <row r="5886" spans="1:40" x14ac:dyDescent="0.25">
      <c r="A5886" t="str">
        <f>"20190303162030219"</f>
        <v>20190303162030219</v>
      </c>
      <c r="B5886" t="str">
        <f>"1551601230208368"</f>
        <v>1551601230208368</v>
      </c>
      <c r="C5886" t="s">
        <v>40</v>
      </c>
      <c r="D5886">
        <v>4.7436069999999999</v>
      </c>
      <c r="E5886">
        <v>0.53987739999999995</v>
      </c>
      <c r="F5886" t="s">
        <v>44</v>
      </c>
      <c r="G5886">
        <v>-210.08160000000001</v>
      </c>
      <c r="H5886">
        <v>-0.05</v>
      </c>
      <c r="I5886">
        <v>21.244890000000002</v>
      </c>
      <c r="J5886">
        <v>-192.34190000000001</v>
      </c>
      <c r="K5886">
        <v>1.1208309999999999</v>
      </c>
      <c r="L5886">
        <v>191.82919999999999</v>
      </c>
      <c r="M5886">
        <v>7.7773640000000005E-2</v>
      </c>
      <c r="N5886">
        <v>-1.329521E-2</v>
      </c>
      <c r="O5886">
        <v>-0.9968823</v>
      </c>
      <c r="P5886">
        <v>2.5197320000000002E-4</v>
      </c>
      <c r="Q5886">
        <v>0.130395699999999</v>
      </c>
      <c r="R5886">
        <v>-0.99146199999999995</v>
      </c>
      <c r="S5886">
        <v>-0.31469730000000001</v>
      </c>
      <c r="T5886">
        <v>-2.0777230000000001E-2</v>
      </c>
      <c r="U5886">
        <v>-3.028778</v>
      </c>
      <c r="V5886">
        <v>7.7150579999999996E-2</v>
      </c>
      <c r="W5886">
        <v>0.143373</v>
      </c>
      <c r="X5886">
        <v>0.98665700000000001</v>
      </c>
      <c r="Y5886">
        <v>0.18037069999999999</v>
      </c>
      <c r="Z5886">
        <v>-6.5951400000000002E-3</v>
      </c>
      <c r="AA5886">
        <v>0.98357660000000002</v>
      </c>
      <c r="AB5886">
        <v>17</v>
      </c>
      <c r="AC5886">
        <v>-17.739699999999999</v>
      </c>
      <c r="AD5886">
        <v>-1.170831</v>
      </c>
      <c r="AE5886">
        <v>-170.58430999999999</v>
      </c>
      <c r="AF5886">
        <v>30.952651727278901</v>
      </c>
      <c r="AG5886">
        <v>-1.170831</v>
      </c>
      <c r="AH5886">
        <v>168.679861354313</v>
      </c>
      <c r="AI5886">
        <v>90.3911609396297</v>
      </c>
      <c r="AJ5886">
        <v>79.601937477545903</v>
      </c>
      <c r="AK5886">
        <v>171.50024233420501</v>
      </c>
      <c r="AL5886">
        <v>81.756925712749194</v>
      </c>
      <c r="AM5886">
        <v>85.528916004892295</v>
      </c>
      <c r="AN5886">
        <v>1.00000003238616</v>
      </c>
    </row>
    <row r="5887" spans="1:40" x14ac:dyDescent="0.25">
      <c r="A5887" t="str">
        <f>"20190303162030236"</f>
        <v>20190303162030236</v>
      </c>
      <c r="B5887" t="str">
        <f>"1551601230228864"</f>
        <v>1551601230228864</v>
      </c>
      <c r="C5887" t="s">
        <v>40</v>
      </c>
      <c r="D5887">
        <v>4.7699999999999996</v>
      </c>
      <c r="E5887">
        <v>0.54004739999999996</v>
      </c>
      <c r="F5887" t="s">
        <v>44</v>
      </c>
      <c r="G5887">
        <v>-209.44300000000001</v>
      </c>
      <c r="H5887">
        <v>-0.05</v>
      </c>
      <c r="I5887">
        <v>28.00638</v>
      </c>
      <c r="J5887">
        <v>-192.3339</v>
      </c>
      <c r="K5887">
        <v>1.120841</v>
      </c>
      <c r="L5887">
        <v>191.70760000000001</v>
      </c>
      <c r="M5887">
        <v>7.6525869999999996E-2</v>
      </c>
      <c r="N5887">
        <v>-1.329382E-2</v>
      </c>
      <c r="O5887">
        <v>-0.9969789</v>
      </c>
      <c r="P5887">
        <v>-4.3988799999999999E-4</v>
      </c>
      <c r="Q5887">
        <v>0.13027830000000001</v>
      </c>
      <c r="R5887">
        <v>-0.99147730000000001</v>
      </c>
      <c r="S5887">
        <v>-0.316162099999999</v>
      </c>
      <c r="T5887">
        <v>-2.1646140000000001E-2</v>
      </c>
      <c r="U5887">
        <v>-3.0287320000000002</v>
      </c>
      <c r="V5887">
        <v>7.6600429999999997E-2</v>
      </c>
      <c r="W5887">
        <v>0.14325829999999901</v>
      </c>
      <c r="X5887">
        <v>0.9867165</v>
      </c>
      <c r="Y5887">
        <v>0.17961170000000001</v>
      </c>
      <c r="Z5887">
        <v>-6.30921E-3</v>
      </c>
      <c r="AA5887">
        <v>0.98371739999999996</v>
      </c>
      <c r="AB5887">
        <v>17</v>
      </c>
      <c r="AC5887">
        <v>-17.109099999999899</v>
      </c>
      <c r="AD5887">
        <v>-1.170841</v>
      </c>
      <c r="AE5887">
        <v>-163.70122000000001</v>
      </c>
      <c r="AF5887">
        <v>29.585909442963501</v>
      </c>
      <c r="AG5887">
        <v>-1.170841</v>
      </c>
      <c r="AH5887">
        <v>161.90349954689501</v>
      </c>
      <c r="AI5887">
        <v>90.407590640884806</v>
      </c>
      <c r="AJ5887">
        <v>79.644150754308001</v>
      </c>
      <c r="AK5887">
        <v>164.58869970853399</v>
      </c>
      <c r="AL5887">
        <v>81.763565891904406</v>
      </c>
      <c r="AM5887">
        <v>85.560937403553595</v>
      </c>
      <c r="AN5887">
        <v>1.00000000888366</v>
      </c>
    </row>
    <row r="5888" spans="1:40" x14ac:dyDescent="0.25">
      <c r="A5888" t="str">
        <f>"20190303162030249"</f>
        <v>20190303162030249</v>
      </c>
      <c r="B5888" t="str">
        <f>"1551601230238624"</f>
        <v>1551601230238624</v>
      </c>
      <c r="C5888" t="s">
        <v>40</v>
      </c>
      <c r="D5888">
        <v>4.7444839999999999</v>
      </c>
      <c r="E5888">
        <v>0.54014309999999999</v>
      </c>
      <c r="F5888" t="s">
        <v>44</v>
      </c>
      <c r="G5888">
        <v>-208.5924</v>
      </c>
      <c r="H5888">
        <v>-0.05</v>
      </c>
      <c r="I5888">
        <v>37.772219999999997</v>
      </c>
      <c r="J5888">
        <v>-192.32759999999999</v>
      </c>
      <c r="K5888">
        <v>1.120849</v>
      </c>
      <c r="L5888">
        <v>191.6104</v>
      </c>
      <c r="M5888">
        <v>7.5535569999999996E-2</v>
      </c>
      <c r="N5888">
        <v>-1.329264E-2</v>
      </c>
      <c r="O5888">
        <v>-0.99705480000000002</v>
      </c>
      <c r="P5888">
        <v>-8.2738440000000005E-4</v>
      </c>
      <c r="Q5888">
        <v>0.12982270000000001</v>
      </c>
      <c r="R5888">
        <v>-0.99153729999999995</v>
      </c>
      <c r="S5888">
        <v>-0.31988529999999998</v>
      </c>
      <c r="T5888">
        <v>-2.3036239999999999E-2</v>
      </c>
      <c r="U5888">
        <v>-3.0286710000000001</v>
      </c>
      <c r="V5888">
        <v>7.6005149999999994E-2</v>
      </c>
      <c r="W5888">
        <v>0.14280570000000001</v>
      </c>
      <c r="X5888">
        <v>0.98682809999999999</v>
      </c>
      <c r="Y5888">
        <v>0.179832399999999</v>
      </c>
      <c r="Z5888">
        <v>-5.8556169999999996E-3</v>
      </c>
      <c r="AA5888">
        <v>0.98367979999999999</v>
      </c>
      <c r="AB5888">
        <v>17</v>
      </c>
      <c r="AC5888">
        <v>-16.264800000000001</v>
      </c>
      <c r="AD5888">
        <v>-1.170849</v>
      </c>
      <c r="AE5888">
        <v>-153.83817999999999</v>
      </c>
      <c r="AF5888">
        <v>27.838008239869598</v>
      </c>
      <c r="AG5888">
        <v>-1.170849</v>
      </c>
      <c r="AH5888">
        <v>152.16120761483899</v>
      </c>
      <c r="AI5888">
        <v>90.433672754779494</v>
      </c>
      <c r="AJ5888">
        <v>79.6323507900712</v>
      </c>
      <c r="AK5888">
        <v>154.69117199423499</v>
      </c>
      <c r="AL5888">
        <v>81.789767082327103</v>
      </c>
      <c r="AM5888">
        <v>85.595794285543803</v>
      </c>
      <c r="AN5888">
        <v>0.99999997486431003</v>
      </c>
    </row>
    <row r="5889" spans="1:40" x14ac:dyDescent="0.25">
      <c r="A5889" t="str">
        <f>"20190303162030262"</f>
        <v>20190303162030262</v>
      </c>
      <c r="B5889" t="str">
        <f>"1551601230248384"</f>
        <v>1551601230248384</v>
      </c>
      <c r="C5889" t="s">
        <v>40</v>
      </c>
      <c r="D5889">
        <v>4.7505499999999996</v>
      </c>
      <c r="E5889">
        <v>0.54018100000000002</v>
      </c>
      <c r="F5889" t="s">
        <v>44</v>
      </c>
      <c r="G5889">
        <v>-207.26339999999999</v>
      </c>
      <c r="H5889">
        <v>-0.05</v>
      </c>
      <c r="I5889">
        <v>51.077800000000003</v>
      </c>
      <c r="J5889">
        <v>-192.3212</v>
      </c>
      <c r="K5889">
        <v>1.1208610000000001</v>
      </c>
      <c r="L5889">
        <v>191.50989999999999</v>
      </c>
      <c r="M5889">
        <v>7.4518639999999997E-2</v>
      </c>
      <c r="N5889">
        <v>-1.329137E-2</v>
      </c>
      <c r="O5889">
        <v>-0.99713130000000005</v>
      </c>
      <c r="P5889">
        <v>-1.8583289999999999E-3</v>
      </c>
      <c r="Q5889">
        <v>0.12961110000000001</v>
      </c>
      <c r="R5889">
        <v>-0.99156339999999998</v>
      </c>
      <c r="S5889">
        <v>-0.32188420000000001</v>
      </c>
      <c r="T5889">
        <v>-2.5233149999999999E-2</v>
      </c>
      <c r="U5889">
        <v>-3.0286409999999999</v>
      </c>
      <c r="V5889">
        <v>7.6022370000000006E-2</v>
      </c>
      <c r="W5889">
        <v>0.14259569999999999</v>
      </c>
      <c r="X5889">
        <v>0.98685719999999999</v>
      </c>
      <c r="Y5889">
        <v>0.17947170000000001</v>
      </c>
      <c r="Z5889">
        <v>-5.1386210000000003E-3</v>
      </c>
      <c r="AA5889">
        <v>0.98374969999999995</v>
      </c>
      <c r="AB5889">
        <v>17</v>
      </c>
      <c r="AC5889">
        <v>-14.9421999999999</v>
      </c>
      <c r="AD5889">
        <v>-1.1708609999999999</v>
      </c>
      <c r="AE5889">
        <v>-140.43209999999999</v>
      </c>
      <c r="AF5889">
        <v>25.364635085149999</v>
      </c>
      <c r="AG5889">
        <v>-1.1708609999999999</v>
      </c>
      <c r="AH5889">
        <v>138.91845734082699</v>
      </c>
      <c r="AI5889">
        <v>90.475047355256905</v>
      </c>
      <c r="AJ5889">
        <v>79.652546526474794</v>
      </c>
      <c r="AK5889">
        <v>141.219946956651</v>
      </c>
      <c r="AL5889">
        <v>81.801924094061803</v>
      </c>
      <c r="AM5889">
        <v>85.594929767379398</v>
      </c>
      <c r="AN5889">
        <v>1.0000000337953701</v>
      </c>
    </row>
    <row r="5890" spans="1:40" x14ac:dyDescent="0.25">
      <c r="A5890" t="str">
        <f>"20190303162030275"</f>
        <v>20190303162030275</v>
      </c>
      <c r="B5890" t="str">
        <f>"1551601230259120"</f>
        <v>1551601230259120</v>
      </c>
      <c r="C5890" t="s">
        <v>40</v>
      </c>
      <c r="D5890">
        <v>4.811401</v>
      </c>
      <c r="E5890">
        <v>0.54018100000000002</v>
      </c>
      <c r="F5890" t="s">
        <v>44</v>
      </c>
      <c r="G5890">
        <v>-206.65940000000001</v>
      </c>
      <c r="H5890">
        <v>-0.05</v>
      </c>
      <c r="I5890">
        <v>58.121780000000001</v>
      </c>
      <c r="J5890">
        <v>-192.31549999999999</v>
      </c>
      <c r="K5890">
        <v>1.120868</v>
      </c>
      <c r="L5890">
        <v>191.41970000000001</v>
      </c>
      <c r="M5890">
        <v>7.3618729999999993E-2</v>
      </c>
      <c r="N5890">
        <v>-1.32902E-2</v>
      </c>
      <c r="O5890">
        <v>-0.99719800000000003</v>
      </c>
      <c r="P5890">
        <v>-2.4341020000000001E-3</v>
      </c>
      <c r="Q5890">
        <v>0.129498</v>
      </c>
      <c r="R5890">
        <v>-0.99157709999999999</v>
      </c>
      <c r="S5890">
        <v>-0.32553100000000001</v>
      </c>
      <c r="T5890">
        <v>-2.6582959999999999E-2</v>
      </c>
      <c r="U5890">
        <v>-3.0284119999999999</v>
      </c>
      <c r="V5890">
        <v>7.5700950000000003E-2</v>
      </c>
      <c r="W5890">
        <v>0.14248429999999901</v>
      </c>
      <c r="X5890">
        <v>0.98689789999999999</v>
      </c>
      <c r="Y5890">
        <v>0.1797627</v>
      </c>
      <c r="Z5890">
        <v>-4.697718E-3</v>
      </c>
      <c r="AA5890">
        <v>0.98369879999999998</v>
      </c>
      <c r="AB5890">
        <v>17</v>
      </c>
      <c r="AC5890">
        <v>-14.3439</v>
      </c>
      <c r="AD5890">
        <v>-1.170868</v>
      </c>
      <c r="AE5890">
        <v>-133.29792</v>
      </c>
      <c r="AF5890">
        <v>24.1172202621499</v>
      </c>
      <c r="AG5890">
        <v>-1.170868</v>
      </c>
      <c r="AH5890">
        <v>131.870015849997</v>
      </c>
      <c r="AI5890">
        <v>90.500413801533696</v>
      </c>
      <c r="AJ5890">
        <v>79.635923967130097</v>
      </c>
      <c r="AK5890">
        <v>134.062344919537</v>
      </c>
      <c r="AL5890">
        <v>81.808371894146106</v>
      </c>
      <c r="AM5890">
        <v>85.613661606277503</v>
      </c>
      <c r="AN5890">
        <v>0.99999993730089898</v>
      </c>
    </row>
    <row r="5891" spans="1:40" x14ac:dyDescent="0.25">
      <c r="A5891" t="str">
        <f>"20190303162030292"</f>
        <v>20190303162030292</v>
      </c>
      <c r="B5891" t="str">
        <f>"1551601230278640"</f>
        <v>1551601230278640</v>
      </c>
      <c r="C5891" t="s">
        <v>40</v>
      </c>
      <c r="D5891">
        <v>4.8452890000000002</v>
      </c>
      <c r="E5891">
        <v>0.50981009999999904</v>
      </c>
      <c r="F5891" t="s">
        <v>44</v>
      </c>
      <c r="G5891">
        <v>-206.56440000000001</v>
      </c>
      <c r="H5891">
        <v>-0.05</v>
      </c>
      <c r="I5891">
        <v>59.553019999999997</v>
      </c>
      <c r="J5891">
        <v>-192.3075</v>
      </c>
      <c r="K5891">
        <v>1.1208849999999999</v>
      </c>
      <c r="L5891">
        <v>191.2902</v>
      </c>
      <c r="M5891">
        <v>7.2340909999999994E-2</v>
      </c>
      <c r="N5891">
        <v>-1.328841E-2</v>
      </c>
      <c r="O5891">
        <v>-0.99729159999999994</v>
      </c>
      <c r="P5891">
        <v>-3.1271300000000001E-3</v>
      </c>
      <c r="Q5891">
        <v>0.1290984</v>
      </c>
      <c r="R5891">
        <v>-0.99162729999999999</v>
      </c>
      <c r="S5891">
        <v>-0.32720949999999999</v>
      </c>
      <c r="T5891">
        <v>-2.6887769999999998E-2</v>
      </c>
      <c r="U5891">
        <v>-3.0281829999999998</v>
      </c>
      <c r="V5891">
        <v>7.5121320000000005E-2</v>
      </c>
      <c r="W5891">
        <v>0.1420892</v>
      </c>
      <c r="X5891">
        <v>0.98699919999999997</v>
      </c>
      <c r="Y5891">
        <v>0.17904909999999999</v>
      </c>
      <c r="Z5891">
        <v>-4.5939259999999999E-3</v>
      </c>
      <c r="AA5891">
        <v>0.98382939999999997</v>
      </c>
      <c r="AB5891">
        <v>17</v>
      </c>
      <c r="AC5891">
        <v>-14.2569</v>
      </c>
      <c r="AD5891">
        <v>-1.170885</v>
      </c>
      <c r="AE5891">
        <v>-131.73718</v>
      </c>
      <c r="AF5891">
        <v>23.748512926189001</v>
      </c>
      <c r="AG5891">
        <v>-1.170885</v>
      </c>
      <c r="AH5891">
        <v>130.350336798585</v>
      </c>
      <c r="AI5891">
        <v>90.506317166382203</v>
      </c>
      <c r="AJ5891">
        <v>79.674539338441505</v>
      </c>
      <c r="AK5891">
        <v>132.501219395872</v>
      </c>
      <c r="AL5891">
        <v>81.831242562025807</v>
      </c>
      <c r="AM5891">
        <v>85.647562554820198</v>
      </c>
      <c r="AN5891">
        <v>0.99999998713791105</v>
      </c>
    </row>
    <row r="5892" spans="1:40" x14ac:dyDescent="0.25">
      <c r="A5892" t="str">
        <f>"20190303162030306"</f>
        <v>20190303162030306</v>
      </c>
      <c r="B5892" t="str">
        <f>"1551601230298160"</f>
        <v>1551601230298160</v>
      </c>
      <c r="C5892" t="s">
        <v>40</v>
      </c>
      <c r="D5892">
        <v>5.0900730000000003</v>
      </c>
      <c r="E5892">
        <v>0.49643860000000001</v>
      </c>
      <c r="F5892" t="s">
        <v>50</v>
      </c>
      <c r="G5892">
        <v>-193.9033</v>
      </c>
      <c r="H5892" s="1">
        <v>-7.3611170000000004E-6</v>
      </c>
      <c r="I5892">
        <v>135.69030000000001</v>
      </c>
      <c r="J5892">
        <v>-192.30119999999999</v>
      </c>
      <c r="K5892">
        <v>1.1209</v>
      </c>
      <c r="L5892">
        <v>191.18549999999999</v>
      </c>
      <c r="M5892">
        <v>7.1321999999999997E-2</v>
      </c>
      <c r="N5892">
        <v>-1.3286839999999999E-2</v>
      </c>
      <c r="O5892">
        <v>-0.9973651</v>
      </c>
      <c r="P5892">
        <v>-3.8210430000000001E-3</v>
      </c>
      <c r="Q5892">
        <v>0.12857959999999999</v>
      </c>
      <c r="R5892">
        <v>-0.99169229999999997</v>
      </c>
      <c r="S5892">
        <v>-8.7051390000000006E-2</v>
      </c>
      <c r="T5892">
        <v>-6.1145190000000002E-2</v>
      </c>
      <c r="U5892">
        <v>-3.0330050000000002</v>
      </c>
      <c r="V5892">
        <v>7.4800749999999999E-2</v>
      </c>
      <c r="W5892">
        <v>0.141573799999999</v>
      </c>
      <c r="X5892">
        <v>0.98709760000000002</v>
      </c>
      <c r="Y5892">
        <v>9.9892529999999993E-2</v>
      </c>
      <c r="Z5892">
        <v>6.7247519999999996E-3</v>
      </c>
      <c r="AA5892">
        <v>0.99497550000000001</v>
      </c>
      <c r="AB5892">
        <v>17</v>
      </c>
      <c r="AC5892">
        <v>-1.6021000000000001</v>
      </c>
      <c r="AD5892">
        <v>-1.120907361117</v>
      </c>
      <c r="AE5892">
        <v>-55.495199999999897</v>
      </c>
      <c r="AF5892">
        <v>5.5541323134060399</v>
      </c>
      <c r="AG5892">
        <v>-1.120907361117</v>
      </c>
      <c r="AH5892">
        <v>55.217064669521797</v>
      </c>
      <c r="AI5892">
        <v>91.157108220027794</v>
      </c>
      <c r="AJ5892">
        <v>84.256095379676907</v>
      </c>
      <c r="AK5892">
        <v>55.5070180228157</v>
      </c>
      <c r="AL5892">
        <v>81.861074344810007</v>
      </c>
      <c r="AM5892">
        <v>85.666495459844597</v>
      </c>
      <c r="AN5892">
        <v>0.999999982486381</v>
      </c>
    </row>
    <row r="5893" spans="1:40" x14ac:dyDescent="0.25">
      <c r="A5893" t="str">
        <f>"20190303162030325"</f>
        <v>20190303162030325</v>
      </c>
      <c r="B5893" t="str">
        <f>"1551601230318656"</f>
        <v>1551601230318656</v>
      </c>
      <c r="C5893" t="s">
        <v>40</v>
      </c>
      <c r="D5893">
        <v>4.9657210000000003</v>
      </c>
      <c r="E5893">
        <v>0.4902146</v>
      </c>
      <c r="F5893" t="s">
        <v>50</v>
      </c>
      <c r="G5893">
        <v>-191.9023</v>
      </c>
      <c r="H5893" s="1">
        <v>-2.430223E-6</v>
      </c>
      <c r="I5893">
        <v>123.1056</v>
      </c>
      <c r="J5893">
        <v>-192.2928</v>
      </c>
      <c r="K5893">
        <v>1.120919</v>
      </c>
      <c r="L5893">
        <v>191.0453</v>
      </c>
      <c r="M5893">
        <v>6.9985950000000005E-2</v>
      </c>
      <c r="N5893">
        <v>-1.328468E-2</v>
      </c>
      <c r="O5893">
        <v>-0.99745950000000005</v>
      </c>
      <c r="P5893">
        <v>-4.7391769999999998E-3</v>
      </c>
      <c r="Q5893">
        <v>0.1275184</v>
      </c>
      <c r="R5893">
        <v>-0.99182499999999996</v>
      </c>
      <c r="S5893">
        <v>1.7761229999999999E-2</v>
      </c>
      <c r="T5893">
        <v>-4.9915080000000001E-2</v>
      </c>
      <c r="U5893">
        <v>-3.0316770000000002</v>
      </c>
      <c r="V5893">
        <v>7.4390199999999906E-2</v>
      </c>
      <c r="W5893">
        <v>0.1405187</v>
      </c>
      <c r="X5893">
        <v>0.98727940000000003</v>
      </c>
      <c r="Y5893">
        <v>6.4134170000000004E-2</v>
      </c>
      <c r="Z5893">
        <v>3.1030419999999999E-3</v>
      </c>
      <c r="AA5893">
        <v>0.9979365</v>
      </c>
      <c r="AB5893">
        <v>16</v>
      </c>
      <c r="AC5893">
        <v>0.39050000000000201</v>
      </c>
      <c r="AD5893">
        <v>-1.1209214302229999</v>
      </c>
      <c r="AE5893">
        <v>-67.939700000000002</v>
      </c>
      <c r="AF5893">
        <v>4.3645138079229797</v>
      </c>
      <c r="AG5893">
        <v>-1.1209214302229999</v>
      </c>
      <c r="AH5893">
        <v>67.781962508571596</v>
      </c>
      <c r="AI5893">
        <v>90.945465711762097</v>
      </c>
      <c r="AJ5893">
        <v>86.315782794696801</v>
      </c>
      <c r="AK5893">
        <v>67.931582398363801</v>
      </c>
      <c r="AL5893">
        <v>81.922137800577204</v>
      </c>
      <c r="AM5893">
        <v>85.690981019076105</v>
      </c>
      <c r="AN5893">
        <v>1.0000000102850399</v>
      </c>
    </row>
    <row r="5894" spans="1:40" x14ac:dyDescent="0.25">
      <c r="A5894" t="str">
        <f>"20190303162030339"</f>
        <v>20190303162030339</v>
      </c>
      <c r="B5894" t="str">
        <f>"1551601230328417"</f>
        <v>1551601230328417</v>
      </c>
      <c r="C5894" t="s">
        <v>40</v>
      </c>
      <c r="D5894">
        <v>4.9024150000000004</v>
      </c>
      <c r="E5894">
        <v>0.48866480000000001</v>
      </c>
      <c r="F5894" t="s">
        <v>41</v>
      </c>
      <c r="G5894">
        <v>-190.7363</v>
      </c>
      <c r="H5894" s="1">
        <v>-4.049401E-6</v>
      </c>
      <c r="I5894">
        <v>118.57170000000001</v>
      </c>
      <c r="J5894">
        <v>-192.28700000000001</v>
      </c>
      <c r="K5894">
        <v>1.1209340000000001</v>
      </c>
      <c r="L5894">
        <v>190.94810000000001</v>
      </c>
      <c r="M5894">
        <v>6.9081980000000001E-2</v>
      </c>
      <c r="N5894">
        <v>-1.3283E-2</v>
      </c>
      <c r="O5894">
        <v>-0.99752249999999998</v>
      </c>
      <c r="P5894">
        <v>-5.2332059999999998E-3</v>
      </c>
      <c r="Q5894">
        <v>0.12677459999999999</v>
      </c>
      <c r="R5894">
        <v>-0.99191770000000001</v>
      </c>
      <c r="S5894">
        <v>6.5093990000000004E-2</v>
      </c>
      <c r="T5894">
        <v>-4.6880360000000003E-2</v>
      </c>
      <c r="U5894">
        <v>-3.0310670000000002</v>
      </c>
      <c r="V5894">
        <v>7.3985029999999993E-2</v>
      </c>
      <c r="W5894">
        <v>0.1397794</v>
      </c>
      <c r="X5894">
        <v>0.98741480000000004</v>
      </c>
      <c r="Y5894">
        <v>4.7643749999999999E-2</v>
      </c>
      <c r="Z5894">
        <v>2.1258929999999998E-3</v>
      </c>
      <c r="AA5894">
        <v>0.99886209999999997</v>
      </c>
      <c r="AB5894">
        <v>16</v>
      </c>
      <c r="AC5894">
        <v>1.5507</v>
      </c>
      <c r="AD5894">
        <v>-1.1209380494009999</v>
      </c>
      <c r="AE5894">
        <v>-72.376400000000004</v>
      </c>
      <c r="AF5894">
        <v>3.4525239566235499</v>
      </c>
      <c r="AG5894">
        <v>-1.1209380494009999</v>
      </c>
      <c r="AH5894">
        <v>72.293263344738094</v>
      </c>
      <c r="AI5894">
        <v>90.887313314220194</v>
      </c>
      <c r="AJ5894">
        <v>87.265791322885804</v>
      </c>
      <c r="AK5894">
        <v>72.384337731399498</v>
      </c>
      <c r="AL5894">
        <v>81.964918931067302</v>
      </c>
      <c r="AM5894">
        <v>85.714948114259002</v>
      </c>
      <c r="AN5894">
        <v>1.0000000262937501</v>
      </c>
    </row>
    <row r="5895" spans="1:40" x14ac:dyDescent="0.25">
      <c r="A5895" t="str">
        <f>"20190303162030353"</f>
        <v>20190303162030353</v>
      </c>
      <c r="B5895" t="str">
        <f>"1551601230338178"</f>
        <v>1551601230338178</v>
      </c>
      <c r="C5895" t="s">
        <v>40</v>
      </c>
      <c r="D5895">
        <v>4.9027260000000004</v>
      </c>
      <c r="E5895">
        <v>0.48742200000000002</v>
      </c>
      <c r="F5895" t="s">
        <v>50</v>
      </c>
      <c r="G5895">
        <v>-190.51599999999999</v>
      </c>
      <c r="H5895" s="1">
        <v>-5.5668509999999995E-7</v>
      </c>
      <c r="I5895">
        <v>120.3609</v>
      </c>
      <c r="J5895">
        <v>-192.2809</v>
      </c>
      <c r="K5895">
        <v>1.1209519999999999</v>
      </c>
      <c r="L5895">
        <v>190.84299999999999</v>
      </c>
      <c r="M5895">
        <v>6.812E-2</v>
      </c>
      <c r="N5895">
        <v>-1.328119E-2</v>
      </c>
      <c r="O5895">
        <v>-0.9975889</v>
      </c>
      <c r="P5895">
        <v>-6.1719849999999996E-3</v>
      </c>
      <c r="Q5895">
        <v>0.12600210000000001</v>
      </c>
      <c r="R5895">
        <v>-0.99201110000000003</v>
      </c>
      <c r="S5895">
        <v>7.6049800000000001E-2</v>
      </c>
      <c r="T5895">
        <v>-4.8132300000000003E-2</v>
      </c>
      <c r="U5895">
        <v>-3.0309750000000002</v>
      </c>
      <c r="V5895">
        <v>7.3965290000000003E-2</v>
      </c>
      <c r="W5895">
        <v>0.1390102</v>
      </c>
      <c r="X5895">
        <v>0.98752479999999998</v>
      </c>
      <c r="Y5895">
        <v>4.307159E-2</v>
      </c>
      <c r="Z5895">
        <v>2.5434110000000002E-3</v>
      </c>
      <c r="AA5895">
        <v>0.99906870000000003</v>
      </c>
      <c r="AB5895">
        <v>16</v>
      </c>
      <c r="AC5895">
        <v>1.7649000000000099</v>
      </c>
      <c r="AD5895">
        <v>-1.1209525566851</v>
      </c>
      <c r="AE5895">
        <v>-70.482099999999903</v>
      </c>
      <c r="AF5895">
        <v>3.04009521098543</v>
      </c>
      <c r="AG5895">
        <v>-1.1209525566851</v>
      </c>
      <c r="AH5895">
        <v>70.420785261334203</v>
      </c>
      <c r="AI5895">
        <v>90.911104254979804</v>
      </c>
      <c r="AJ5895">
        <v>87.528051744339706</v>
      </c>
      <c r="AK5895">
        <v>70.495288568450704</v>
      </c>
      <c r="AL5895">
        <v>82.009424874886903</v>
      </c>
      <c r="AM5895">
        <v>85.716562562609695</v>
      </c>
      <c r="AN5895">
        <v>0.99999996522193102</v>
      </c>
    </row>
    <row r="5896" spans="1:40" x14ac:dyDescent="0.25">
      <c r="A5896" t="str">
        <f>"20190303162030367"</f>
        <v>20190303162030367</v>
      </c>
      <c r="B5896" t="str">
        <f>"1551601230358673"</f>
        <v>1551601230358673</v>
      </c>
      <c r="C5896" t="s">
        <v>40</v>
      </c>
      <c r="D5896">
        <v>4.960896</v>
      </c>
      <c r="E5896">
        <v>0.48560910000000002</v>
      </c>
      <c r="F5896" t="s">
        <v>50</v>
      </c>
      <c r="G5896">
        <v>-190.42779999999999</v>
      </c>
      <c r="H5896" s="1">
        <v>-2.2057310000000001E-6</v>
      </c>
      <c r="I5896">
        <v>123.4117</v>
      </c>
      <c r="J5896">
        <v>-192.2748</v>
      </c>
      <c r="K5896">
        <v>1.120973</v>
      </c>
      <c r="L5896">
        <v>190.73740000000001</v>
      </c>
      <c r="M5896">
        <v>6.7170110000000005E-2</v>
      </c>
      <c r="N5896">
        <v>-1.327937E-2</v>
      </c>
      <c r="O5896">
        <v>-0.99765309999999996</v>
      </c>
      <c r="P5896">
        <v>-6.6646429999999996E-3</v>
      </c>
      <c r="Q5896">
        <v>0.12540960000000001</v>
      </c>
      <c r="R5896">
        <v>-0.99208240000000003</v>
      </c>
      <c r="S5896">
        <v>8.329773E-2</v>
      </c>
      <c r="T5896">
        <v>-5.0387380000000002E-2</v>
      </c>
      <c r="U5896">
        <v>-3.0310670000000002</v>
      </c>
      <c r="V5896">
        <v>7.3511140000000003E-2</v>
      </c>
      <c r="W5896">
        <v>0.1384223</v>
      </c>
      <c r="X5896">
        <v>0.98764130000000006</v>
      </c>
      <c r="Y5896">
        <v>3.9734029999999997E-2</v>
      </c>
      <c r="Z5896">
        <v>3.2886320000000001E-3</v>
      </c>
      <c r="AA5896">
        <v>0.99920489999999995</v>
      </c>
      <c r="AB5896">
        <v>16</v>
      </c>
      <c r="AC5896">
        <v>1.847</v>
      </c>
      <c r="AD5896">
        <v>-1.1209752057310001</v>
      </c>
      <c r="AE5896">
        <v>-67.325699999999998</v>
      </c>
      <c r="AF5896">
        <v>2.6791037112692302</v>
      </c>
      <c r="AG5896">
        <v>-1.1209752057310001</v>
      </c>
      <c r="AH5896">
        <v>67.279057409156295</v>
      </c>
      <c r="AI5896">
        <v>90.953793954011402</v>
      </c>
      <c r="AJ5896">
        <v>87.719642884586193</v>
      </c>
      <c r="AK5896">
        <v>67.3417088287204</v>
      </c>
      <c r="AL5896">
        <v>82.043438009152894</v>
      </c>
      <c r="AM5896">
        <v>85.743266385522105</v>
      </c>
      <c r="AN5896">
        <v>0.999999979153539</v>
      </c>
    </row>
    <row r="5897" spans="1:40" x14ac:dyDescent="0.25">
      <c r="A5897" t="str">
        <f>"20190303162030381"</f>
        <v>20190303162030381</v>
      </c>
      <c r="B5897" t="str">
        <f>"1551601230368432"</f>
        <v>1551601230368432</v>
      </c>
      <c r="C5897" t="s">
        <v>40</v>
      </c>
      <c r="D5897">
        <v>4.9589540000000003</v>
      </c>
      <c r="E5897">
        <v>0.48494150000000003</v>
      </c>
      <c r="F5897" t="s">
        <v>50</v>
      </c>
      <c r="G5897">
        <v>-190.0797</v>
      </c>
      <c r="H5897" s="1">
        <v>-1.0502820000000001E-6</v>
      </c>
      <c r="I5897">
        <v>121.473</v>
      </c>
      <c r="J5897">
        <v>-192.26900000000001</v>
      </c>
      <c r="K5897">
        <v>1.121005</v>
      </c>
      <c r="L5897">
        <v>190.63399999999999</v>
      </c>
      <c r="M5897">
        <v>6.6268869999999994E-2</v>
      </c>
      <c r="N5897">
        <v>-1.3277550000000001E-2</v>
      </c>
      <c r="O5897">
        <v>-0.99771370000000004</v>
      </c>
      <c r="P5897">
        <v>-6.9590540000000001E-3</v>
      </c>
      <c r="Q5897">
        <v>0.1249256</v>
      </c>
      <c r="R5897">
        <v>-0.99214179999999996</v>
      </c>
      <c r="S5897">
        <v>9.605408E-2</v>
      </c>
      <c r="T5897">
        <v>-4.9050570000000002E-2</v>
      </c>
      <c r="U5897">
        <v>-3.0308069999999998</v>
      </c>
      <c r="V5897">
        <v>7.290642E-2</v>
      </c>
      <c r="W5897">
        <v>0.13794239999999999</v>
      </c>
      <c r="X5897">
        <v>0.98775329999999995</v>
      </c>
      <c r="Y5897">
        <v>3.4627770000000002E-2</v>
      </c>
      <c r="Z5897">
        <v>2.856351E-3</v>
      </c>
      <c r="AA5897">
        <v>0.99939619999999996</v>
      </c>
      <c r="AB5897">
        <v>16</v>
      </c>
      <c r="AC5897">
        <v>2.1892999999999998</v>
      </c>
      <c r="AD5897">
        <v>-1.1210060502820001</v>
      </c>
      <c r="AE5897">
        <v>-69.161000000000001</v>
      </c>
      <c r="AF5897">
        <v>2.39850811414468</v>
      </c>
      <c r="AG5897">
        <v>-1.1210060502820001</v>
      </c>
      <c r="AH5897">
        <v>69.135893675388701</v>
      </c>
      <c r="AI5897">
        <v>90.9283843282264</v>
      </c>
      <c r="AJ5897">
        <v>88.013053845646994</v>
      </c>
      <c r="AK5897">
        <v>69.186568711224893</v>
      </c>
      <c r="AL5897">
        <v>82.071200886281602</v>
      </c>
      <c r="AM5897">
        <v>85.778633126416906</v>
      </c>
      <c r="AN5897">
        <v>1.0000000167279299</v>
      </c>
    </row>
    <row r="5898" spans="1:40" x14ac:dyDescent="0.25">
      <c r="A5898" t="str">
        <f>"20190303162030403"</f>
        <v>20190303162030403</v>
      </c>
      <c r="B5898" t="str">
        <f>"1551601230398689"</f>
        <v>1551601230398689</v>
      </c>
      <c r="C5898" t="s">
        <v>40</v>
      </c>
      <c r="D5898">
        <v>4.9056759999999997</v>
      </c>
      <c r="E5898">
        <v>0.4835295</v>
      </c>
      <c r="F5898" t="s">
        <v>50</v>
      </c>
      <c r="G5898">
        <v>-189.9836</v>
      </c>
      <c r="H5898" s="1">
        <v>-1.2930189999999901E-6</v>
      </c>
      <c r="I5898">
        <v>121.9624</v>
      </c>
      <c r="J5898">
        <v>-192.26</v>
      </c>
      <c r="K5898">
        <v>1.1210420000000001</v>
      </c>
      <c r="L5898">
        <v>190.47409999999999</v>
      </c>
      <c r="M5898">
        <v>6.4919270000000001E-2</v>
      </c>
      <c r="N5898">
        <v>-1.327474E-2</v>
      </c>
      <c r="O5898">
        <v>-0.99780239999999998</v>
      </c>
      <c r="P5898">
        <v>-8.0251639999999996E-3</v>
      </c>
      <c r="Q5898">
        <v>0.12618399999999999</v>
      </c>
      <c r="R5898">
        <v>-0.99197480000000005</v>
      </c>
      <c r="S5898">
        <v>0.10086059999999999</v>
      </c>
      <c r="T5898">
        <v>-4.9473639999999999E-2</v>
      </c>
      <c r="U5898">
        <v>-3.0307010000000001</v>
      </c>
      <c r="V5898">
        <v>7.2610259999999996E-2</v>
      </c>
      <c r="W5898">
        <v>0.1392033</v>
      </c>
      <c r="X5898">
        <v>0.98759819999999998</v>
      </c>
      <c r="Y5898">
        <v>3.1691940000000002E-2</v>
      </c>
      <c r="Z5898">
        <v>3.0016909999999999E-3</v>
      </c>
      <c r="AA5898">
        <v>0.99949319999999997</v>
      </c>
      <c r="AB5898">
        <v>16</v>
      </c>
      <c r="AC5898">
        <v>2.27639999999999</v>
      </c>
      <c r="AD5898">
        <v>-1.121043293019</v>
      </c>
      <c r="AE5898">
        <v>-68.511699999999905</v>
      </c>
      <c r="AF5898">
        <v>2.17594160922072</v>
      </c>
      <c r="AG5898">
        <v>-1.121043293019</v>
      </c>
      <c r="AH5898">
        <v>68.4966265140323</v>
      </c>
      <c r="AI5898">
        <v>90.937169351825105</v>
      </c>
      <c r="AJ5898">
        <v>88.180489103163694</v>
      </c>
      <c r="AK5898">
        <v>68.540347998491995</v>
      </c>
      <c r="AL5898">
        <v>81.998252767577796</v>
      </c>
      <c r="AM5898">
        <v>85.7950616189584</v>
      </c>
      <c r="AN5898">
        <v>1.00000000661569</v>
      </c>
    </row>
    <row r="5899" spans="1:40" x14ac:dyDescent="0.25">
      <c r="A5899" t="str">
        <f>"20190303162030426"</f>
        <v>20190303162030426</v>
      </c>
      <c r="B5899" t="str">
        <f>"1551601230418208"</f>
        <v>1551601230418208</v>
      </c>
      <c r="C5899" t="s">
        <v>40</v>
      </c>
      <c r="D5899">
        <v>4.9031010000000004</v>
      </c>
      <c r="E5899">
        <v>0.48285549999999999</v>
      </c>
      <c r="F5899" t="s">
        <v>41</v>
      </c>
      <c r="G5899">
        <v>-189.35329999999999</v>
      </c>
      <c r="H5899" s="1">
        <v>-3.7918700000000002E-7</v>
      </c>
      <c r="I5899">
        <v>110.24930000000001</v>
      </c>
      <c r="J5899">
        <v>-192.2509</v>
      </c>
      <c r="K5899">
        <v>1.1210850000000001</v>
      </c>
      <c r="L5899">
        <v>190.3082</v>
      </c>
      <c r="M5899">
        <v>6.3584379999999996E-2</v>
      </c>
      <c r="N5899">
        <v>-1.327177E-2</v>
      </c>
      <c r="O5899">
        <v>-0.99788860000000001</v>
      </c>
      <c r="P5899">
        <v>-9.4450039999999999E-3</v>
      </c>
      <c r="Q5899">
        <v>0.12645700000000001</v>
      </c>
      <c r="R5899">
        <v>-0.99192760000000002</v>
      </c>
      <c r="S5899">
        <v>0.1098022</v>
      </c>
      <c r="T5899">
        <v>-4.2348150000000001E-2</v>
      </c>
      <c r="U5899">
        <v>-3.030548</v>
      </c>
      <c r="V5899">
        <v>7.2687509999999997E-2</v>
      </c>
      <c r="W5899">
        <v>0.13947950000000001</v>
      </c>
      <c r="X5899">
        <v>0.98755349999999997</v>
      </c>
      <c r="Y5899">
        <v>2.7408539999999999E-2</v>
      </c>
      <c r="Z5899">
        <v>6.6639659999999997E-4</v>
      </c>
      <c r="AA5899">
        <v>0.99962410000000002</v>
      </c>
      <c r="AB5899">
        <v>16</v>
      </c>
      <c r="AC5899">
        <v>2.8976000000000099</v>
      </c>
      <c r="AD5899">
        <v>-1.1210853791869999</v>
      </c>
      <c r="AE5899">
        <v>-80.058899999999994</v>
      </c>
      <c r="AF5899">
        <v>2.1987757604088598</v>
      </c>
      <c r="AG5899">
        <v>-1.1210853791869999</v>
      </c>
      <c r="AH5899">
        <v>80.065448312439699</v>
      </c>
      <c r="AI5899">
        <v>90.8019072087355</v>
      </c>
      <c r="AJ5899">
        <v>88.426925500100694</v>
      </c>
      <c r="AK5899">
        <v>80.103479704342007</v>
      </c>
      <c r="AL5899">
        <v>81.982271394493395</v>
      </c>
      <c r="AM5899">
        <v>85.790414213503098</v>
      </c>
      <c r="AN5899">
        <v>0.99999996019624904</v>
      </c>
    </row>
    <row r="5900" spans="1:40" x14ac:dyDescent="0.25">
      <c r="A5900" t="str">
        <f>"20190303162030437"</f>
        <v>20190303162030437</v>
      </c>
      <c r="B5900" t="str">
        <f>"1551601230428944"</f>
        <v>1551601230428944</v>
      </c>
      <c r="C5900" t="s">
        <v>40</v>
      </c>
      <c r="D5900">
        <v>4.9023969999999997</v>
      </c>
      <c r="E5900">
        <v>0.4825721</v>
      </c>
      <c r="F5900" t="s">
        <v>41</v>
      </c>
      <c r="G5900">
        <v>-189.05670000000001</v>
      </c>
      <c r="H5900" s="1">
        <v>-1.8012499999999999E-6</v>
      </c>
      <c r="I5900">
        <v>103.4415</v>
      </c>
      <c r="J5900">
        <v>-192.24590000000001</v>
      </c>
      <c r="K5900">
        <v>1.121105</v>
      </c>
      <c r="L5900">
        <v>190.21629999999999</v>
      </c>
      <c r="M5900">
        <v>6.2878569999999995E-2</v>
      </c>
      <c r="N5900">
        <v>-1.327011E-2</v>
      </c>
      <c r="O5900">
        <v>-0.99793310000000002</v>
      </c>
      <c r="P5900">
        <v>-1.007869E-2</v>
      </c>
      <c r="Q5900">
        <v>0.12654460000000001</v>
      </c>
      <c r="R5900">
        <v>-0.99190999999999996</v>
      </c>
      <c r="S5900">
        <v>0.1114349</v>
      </c>
      <c r="T5900">
        <v>-3.9110539999999999E-2</v>
      </c>
      <c r="U5900">
        <v>-3.0304570000000002</v>
      </c>
      <c r="V5900">
        <v>7.2611919999999996E-2</v>
      </c>
      <c r="W5900">
        <v>0.1395692</v>
      </c>
      <c r="X5900">
        <v>0.98754640000000005</v>
      </c>
      <c r="Y5900">
        <v>2.6162979999999999E-2</v>
      </c>
      <c r="Z5900">
        <v>-3.9489450000000003E-4</v>
      </c>
      <c r="AA5900">
        <v>0.99965760000000004</v>
      </c>
      <c r="AB5900">
        <v>16</v>
      </c>
      <c r="AC5900">
        <v>3.1892</v>
      </c>
      <c r="AD5900">
        <v>-1.1211068012500001</v>
      </c>
      <c r="AE5900">
        <v>-86.7747999999999</v>
      </c>
      <c r="AF5900">
        <v>2.2734880131221602</v>
      </c>
      <c r="AG5900">
        <v>-1.1211068012500001</v>
      </c>
      <c r="AH5900">
        <v>86.789141206829299</v>
      </c>
      <c r="AI5900">
        <v>90.739828630975794</v>
      </c>
      <c r="AJ5900">
        <v>88.4994495507338</v>
      </c>
      <c r="AK5900">
        <v>86.826151933761196</v>
      </c>
      <c r="AL5900">
        <v>81.977081293679703</v>
      </c>
      <c r="AM5900">
        <v>85.794746055008702</v>
      </c>
      <c r="AN5900">
        <v>0.99999997233384197</v>
      </c>
    </row>
    <row r="5901" spans="1:40" x14ac:dyDescent="0.25">
      <c r="A5901" t="str">
        <f>"20190303162030451"</f>
        <v>20190303162030451</v>
      </c>
      <c r="B5901" t="str">
        <f>"1551601230438705"</f>
        <v>1551601230438705</v>
      </c>
      <c r="C5901" t="s">
        <v>40</v>
      </c>
      <c r="D5901">
        <v>4.9046399999999997</v>
      </c>
      <c r="E5901">
        <v>0.48221530000000001</v>
      </c>
      <c r="F5901" t="s">
        <v>41</v>
      </c>
      <c r="G5901">
        <v>-188.9366</v>
      </c>
      <c r="H5901" s="1">
        <v>-6.3637480000000002E-7</v>
      </c>
      <c r="I5901">
        <v>100.6765</v>
      </c>
      <c r="J5901">
        <v>-192.24080000000001</v>
      </c>
      <c r="K5901">
        <v>1.1211260000000001</v>
      </c>
      <c r="L5901">
        <v>190.1217</v>
      </c>
      <c r="M5901">
        <v>6.2164589999999999E-2</v>
      </c>
      <c r="N5901">
        <v>-1.326841E-2</v>
      </c>
      <c r="O5901">
        <v>-0.99797789999999997</v>
      </c>
      <c r="P5901">
        <v>-1.0547300000000001E-2</v>
      </c>
      <c r="Q5901">
        <v>0.12599649999999901</v>
      </c>
      <c r="R5901">
        <v>-0.99197500000000005</v>
      </c>
      <c r="S5901">
        <v>0.1119995</v>
      </c>
      <c r="T5901">
        <v>-3.7943600000000001E-2</v>
      </c>
      <c r="U5901">
        <v>-3.0304570000000002</v>
      </c>
      <c r="V5901">
        <v>7.2368269999999998E-2</v>
      </c>
      <c r="W5901">
        <v>0.139024799999999</v>
      </c>
      <c r="X5901">
        <v>0.98764110000000005</v>
      </c>
      <c r="Y5901">
        <v>2.5262010000000001E-2</v>
      </c>
      <c r="Z5901">
        <v>-7.7602110000000004E-4</v>
      </c>
      <c r="AA5901">
        <v>0.99968060000000003</v>
      </c>
      <c r="AB5901">
        <v>16</v>
      </c>
      <c r="AC5901">
        <v>3.3041999999999998</v>
      </c>
      <c r="AD5901">
        <v>-1.1211266363748</v>
      </c>
      <c r="AE5901">
        <v>-89.4452</v>
      </c>
      <c r="AF5901">
        <v>2.2626494001134998</v>
      </c>
      <c r="AG5901">
        <v>-1.1211266363748</v>
      </c>
      <c r="AH5901">
        <v>89.463560738360201</v>
      </c>
      <c r="AI5901">
        <v>90.717743968940496</v>
      </c>
      <c r="AJ5901">
        <v>88.551224328332296</v>
      </c>
      <c r="AK5901">
        <v>89.499191098181896</v>
      </c>
      <c r="AL5901">
        <v>82.008580449710905</v>
      </c>
      <c r="AM5901">
        <v>85.809206898588599</v>
      </c>
      <c r="AN5901">
        <v>1.00000000196352</v>
      </c>
    </row>
    <row r="5902" spans="1:40" x14ac:dyDescent="0.25">
      <c r="A5902" t="str">
        <f>"20190303162030465"</f>
        <v>20190303162030465</v>
      </c>
      <c r="B5902" t="str">
        <f>"1551601230458224"</f>
        <v>1551601230458224</v>
      </c>
      <c r="C5902" t="s">
        <v>40</v>
      </c>
      <c r="D5902">
        <v>4.9619530000000003</v>
      </c>
      <c r="E5902">
        <v>0.48172739999999997</v>
      </c>
      <c r="F5902" t="s">
        <v>41</v>
      </c>
      <c r="G5902">
        <v>-189.02109999999999</v>
      </c>
      <c r="H5902" s="1">
        <v>-1.8581499999999999E-6</v>
      </c>
      <c r="I5902">
        <v>103.5594</v>
      </c>
      <c r="J5902">
        <v>-192.2353</v>
      </c>
      <c r="K5902">
        <v>1.1211469999999999</v>
      </c>
      <c r="L5902">
        <v>190.01949999999999</v>
      </c>
      <c r="M5902">
        <v>6.1407549999999998E-2</v>
      </c>
      <c r="N5902">
        <v>-1.326657E-2</v>
      </c>
      <c r="O5902">
        <v>-0.99802480000000005</v>
      </c>
      <c r="P5902">
        <v>-1.111346E-2</v>
      </c>
      <c r="Q5902">
        <v>0.1259296</v>
      </c>
      <c r="R5902">
        <v>-0.99197729999999995</v>
      </c>
      <c r="S5902">
        <v>0.1127167</v>
      </c>
      <c r="T5902">
        <v>-3.9249539999999999E-2</v>
      </c>
      <c r="U5902">
        <v>-3.0304570000000002</v>
      </c>
      <c r="V5902">
        <v>7.2176169999999998E-2</v>
      </c>
      <c r="W5902">
        <v>0.1389601</v>
      </c>
      <c r="X5902">
        <v>0.98766430000000005</v>
      </c>
      <c r="Y5902">
        <v>2.4267529999999999E-2</v>
      </c>
      <c r="Z5902">
        <v>-3.4385429999999999E-4</v>
      </c>
      <c r="AA5902">
        <v>0.99970539999999997</v>
      </c>
      <c r="AB5902">
        <v>16</v>
      </c>
      <c r="AC5902">
        <v>3.2141999999999999</v>
      </c>
      <c r="AD5902">
        <v>-1.12114885815</v>
      </c>
      <c r="AE5902">
        <v>-86.460099999999997</v>
      </c>
      <c r="AF5902">
        <v>2.10128330361314</v>
      </c>
      <c r="AG5902">
        <v>-1.12114885815</v>
      </c>
      <c r="AH5902">
        <v>86.4797737373611</v>
      </c>
      <c r="AI5902">
        <v>90.742538348400899</v>
      </c>
      <c r="AJ5902">
        <v>88.608102510968607</v>
      </c>
      <c r="AK5902">
        <v>86.512563434158807</v>
      </c>
      <c r="AL5902">
        <v>82.012324121286994</v>
      </c>
      <c r="AM5902">
        <v>85.820389623335302</v>
      </c>
      <c r="AN5902">
        <v>1.0000000392011801</v>
      </c>
    </row>
    <row r="5903" spans="1:40" x14ac:dyDescent="0.25">
      <c r="A5903" t="str">
        <f>"20190303162030481"</f>
        <v>20190303162030481</v>
      </c>
      <c r="B5903" t="str">
        <f>"1551601230467984"</f>
        <v>1551601230467984</v>
      </c>
      <c r="C5903" t="s">
        <v>40</v>
      </c>
      <c r="D5903">
        <v>5.02128</v>
      </c>
      <c r="E5903">
        <v>0.4815103</v>
      </c>
      <c r="F5903" t="s">
        <v>41</v>
      </c>
      <c r="G5903">
        <v>-188.8939</v>
      </c>
      <c r="H5903" s="1">
        <v>-1.0590829999999999E-6</v>
      </c>
      <c r="I5903">
        <v>101.6442</v>
      </c>
      <c r="J5903">
        <v>-192.22890000000001</v>
      </c>
      <c r="K5903">
        <v>1.1211679999999999</v>
      </c>
      <c r="L5903">
        <v>189.8991</v>
      </c>
      <c r="M5903">
        <v>6.0544489999999999E-2</v>
      </c>
      <c r="N5903">
        <v>-1.3264430000000001E-2</v>
      </c>
      <c r="O5903">
        <v>-0.99807760000000001</v>
      </c>
      <c r="P5903">
        <v>-1.1105800000000001E-2</v>
      </c>
      <c r="Q5903">
        <v>0.12690290000000001</v>
      </c>
      <c r="R5903">
        <v>-0.9918534</v>
      </c>
      <c r="S5903">
        <v>0.11457820000000001</v>
      </c>
      <c r="T5903">
        <v>-3.8444640000000002E-2</v>
      </c>
      <c r="U5903">
        <v>-3.0304259999999998</v>
      </c>
      <c r="V5903">
        <v>7.1300530000000001E-2</v>
      </c>
      <c r="W5903">
        <v>0.13993420000000001</v>
      </c>
      <c r="X5903">
        <v>0.98759030000000003</v>
      </c>
      <c r="Y5903">
        <v>2.2789690000000001E-2</v>
      </c>
      <c r="Z5903">
        <v>-6.0516249999999997E-4</v>
      </c>
      <c r="AA5903">
        <v>0.99974010000000002</v>
      </c>
      <c r="AB5903">
        <v>16</v>
      </c>
      <c r="AC5903">
        <v>3.335</v>
      </c>
      <c r="AD5903">
        <v>-1.1211690590829999</v>
      </c>
      <c r="AE5903">
        <v>-88.254900000000006</v>
      </c>
      <c r="AF5903">
        <v>2.0146112362944102</v>
      </c>
      <c r="AG5903">
        <v>-1.1211690590829999</v>
      </c>
      <c r="AH5903">
        <v>88.280674601266099</v>
      </c>
      <c r="AI5903">
        <v>90.727430827702605</v>
      </c>
      <c r="AJ5903">
        <v>88.692707203870995</v>
      </c>
      <c r="AK5903">
        <v>88.310776163201496</v>
      </c>
      <c r="AL5903">
        <v>81.9559610794945</v>
      </c>
      <c r="AM5903">
        <v>85.870611806827299</v>
      </c>
      <c r="AN5903">
        <v>0.99999997328100498</v>
      </c>
    </row>
    <row r="5904" spans="1:40" x14ac:dyDescent="0.25">
      <c r="A5904" t="str">
        <f>"20190303162030495"</f>
        <v>20190303162030495</v>
      </c>
      <c r="B5904" t="str">
        <f>"1551601230488480"</f>
        <v>1551601230488480</v>
      </c>
      <c r="C5904" t="s">
        <v>40</v>
      </c>
      <c r="D5904">
        <v>4.9659430000000002</v>
      </c>
      <c r="E5904">
        <v>0.48112169999999999</v>
      </c>
      <c r="F5904" t="s">
        <v>41</v>
      </c>
      <c r="G5904">
        <v>-188.5059</v>
      </c>
      <c r="H5904" s="1">
        <v>-1.382641E-6</v>
      </c>
      <c r="I5904">
        <v>92.237939999999995</v>
      </c>
      <c r="J5904">
        <v>-192.22409999999999</v>
      </c>
      <c r="K5904">
        <v>1.1211819999999999</v>
      </c>
      <c r="L5904">
        <v>189.80549999999999</v>
      </c>
      <c r="M5904">
        <v>5.9887700000000002E-2</v>
      </c>
      <c r="N5904">
        <v>-1.3262899999999999E-2</v>
      </c>
      <c r="O5904">
        <v>-0.99811709999999998</v>
      </c>
      <c r="P5904">
        <v>-1.165017E-2</v>
      </c>
      <c r="Q5904">
        <v>0.1275394</v>
      </c>
      <c r="R5904">
        <v>-0.99176520000000001</v>
      </c>
      <c r="S5904">
        <v>0.1155243</v>
      </c>
      <c r="T5904">
        <v>-3.4789199999999999E-2</v>
      </c>
      <c r="U5904">
        <v>-3.0303650000000002</v>
      </c>
      <c r="V5904">
        <v>7.1184999999999998E-2</v>
      </c>
      <c r="W5904">
        <v>0.14057020000000001</v>
      </c>
      <c r="X5904">
        <v>0.98750839999999995</v>
      </c>
      <c r="Y5904">
        <v>2.1819789999999999E-2</v>
      </c>
      <c r="Z5904">
        <v>-1.804866E-3</v>
      </c>
      <c r="AA5904">
        <v>0.99976030000000005</v>
      </c>
      <c r="AB5904">
        <v>16</v>
      </c>
      <c r="AC5904">
        <v>3.7181999999999902</v>
      </c>
      <c r="AD5904">
        <v>-1.12118338264099</v>
      </c>
      <c r="AE5904">
        <v>-97.56756</v>
      </c>
      <c r="AF5904">
        <v>2.1318039938886302</v>
      </c>
      <c r="AG5904">
        <v>-1.12118338264099</v>
      </c>
      <c r="AH5904">
        <v>97.602231430159605</v>
      </c>
      <c r="AI5904">
        <v>90.657986339477802</v>
      </c>
      <c r="AJ5904">
        <v>88.748758588437695</v>
      </c>
      <c r="AK5904">
        <v>97.631947745562798</v>
      </c>
      <c r="AL5904">
        <v>81.919157912950695</v>
      </c>
      <c r="AM5904">
        <v>85.876938923356704</v>
      </c>
      <c r="AN5904">
        <v>1.00000006271179</v>
      </c>
    </row>
    <row r="5905" spans="1:40" x14ac:dyDescent="0.25">
      <c r="A5905" t="str">
        <f>"20190303162030508"</f>
        <v>20190303162030508</v>
      </c>
      <c r="B5905" t="str">
        <f>"1551601230498240"</f>
        <v>1551601230498240</v>
      </c>
      <c r="C5905" t="s">
        <v>40</v>
      </c>
      <c r="D5905">
        <v>5.024006</v>
      </c>
      <c r="E5905">
        <v>0.48092879999999899</v>
      </c>
      <c r="F5905" t="s">
        <v>41</v>
      </c>
      <c r="G5905">
        <v>-188.2491</v>
      </c>
      <c r="H5905" s="1">
        <v>-3.3381759999999998E-6</v>
      </c>
      <c r="I5905">
        <v>86.690190000000001</v>
      </c>
      <c r="J5905">
        <v>-192.2192</v>
      </c>
      <c r="K5905">
        <v>1.121189</v>
      </c>
      <c r="L5905">
        <v>189.71080000000001</v>
      </c>
      <c r="M5905">
        <v>5.922972E-2</v>
      </c>
      <c r="N5905">
        <v>-1.32614E-2</v>
      </c>
      <c r="O5905">
        <v>-0.99815640000000005</v>
      </c>
      <c r="P5905">
        <v>-1.203504E-2</v>
      </c>
      <c r="Q5905">
        <v>0.128139</v>
      </c>
      <c r="R5905">
        <v>-0.99168339999999999</v>
      </c>
      <c r="S5905">
        <v>0.1168213</v>
      </c>
      <c r="T5905">
        <v>-3.2951000000000001E-2</v>
      </c>
      <c r="U5905">
        <v>-3.0305019999999998</v>
      </c>
      <c r="V5905">
        <v>7.0910329999999994E-2</v>
      </c>
      <c r="W5905">
        <v>0.1411693</v>
      </c>
      <c r="X5905">
        <v>0.98744259999999995</v>
      </c>
      <c r="Y5905">
        <v>2.07355E-2</v>
      </c>
      <c r="Z5905">
        <v>-2.4077790000000001E-3</v>
      </c>
      <c r="AA5905">
        <v>0.99978210000000001</v>
      </c>
      <c r="AB5905">
        <v>16</v>
      </c>
      <c r="AC5905">
        <v>3.9701</v>
      </c>
      <c r="AD5905">
        <v>-1.1211923381760001</v>
      </c>
      <c r="AE5905">
        <v>-103.020609999999</v>
      </c>
      <c r="AF5905">
        <v>2.1390360633375498</v>
      </c>
      <c r="AG5905">
        <v>-1.1211923381760001</v>
      </c>
      <c r="AH5905">
        <v>103.062692594981</v>
      </c>
      <c r="AI5905">
        <v>90.623147170181298</v>
      </c>
      <c r="AJ5905">
        <v>88.811013543836197</v>
      </c>
      <c r="AK5905">
        <v>103.090984826352</v>
      </c>
      <c r="AL5905">
        <v>81.884485492143995</v>
      </c>
      <c r="AM5905">
        <v>85.892520606080893</v>
      </c>
      <c r="AN5905">
        <v>0.99999996722897799</v>
      </c>
    </row>
    <row r="5906" spans="1:40" x14ac:dyDescent="0.25">
      <c r="A5906" t="str">
        <f>"20190303162030521"</f>
        <v>20190303162030521</v>
      </c>
      <c r="B5906" t="str">
        <f>"1551601230508000"</f>
        <v>1551601230508000</v>
      </c>
      <c r="C5906" t="s">
        <v>40</v>
      </c>
      <c r="D5906">
        <v>4.9631169999999996</v>
      </c>
      <c r="E5906">
        <v>0.48076340000000001</v>
      </c>
      <c r="F5906" t="s">
        <v>41</v>
      </c>
      <c r="G5906">
        <v>-187.95769999999999</v>
      </c>
      <c r="H5906" s="1">
        <v>-4.5234120000000001E-6</v>
      </c>
      <c r="I5906">
        <v>79.332480000000004</v>
      </c>
      <c r="J5906">
        <v>-192.2141</v>
      </c>
      <c r="K5906">
        <v>1.121191</v>
      </c>
      <c r="L5906">
        <v>189.61070000000001</v>
      </c>
      <c r="M5906">
        <v>5.8543530000000003E-2</v>
      </c>
      <c r="N5906">
        <v>-1.325989E-2</v>
      </c>
      <c r="O5906">
        <v>-0.99819709999999995</v>
      </c>
      <c r="P5906">
        <v>-1.2653019999999999E-2</v>
      </c>
      <c r="Q5906">
        <v>0.1289506</v>
      </c>
      <c r="R5906">
        <v>-0.99157079999999997</v>
      </c>
      <c r="S5906">
        <v>0.117004399999999</v>
      </c>
      <c r="T5906">
        <v>-3.0783649999999999E-2</v>
      </c>
      <c r="U5906">
        <v>-3.0305629999999999</v>
      </c>
      <c r="V5906">
        <v>7.0840280000000005E-2</v>
      </c>
      <c r="W5906">
        <v>0.14197879999999999</v>
      </c>
      <c r="X5906">
        <v>0.98733159999999998</v>
      </c>
      <c r="Y5906">
        <v>1.9988949999999998E-2</v>
      </c>
      <c r="Z5906">
        <v>-3.1188129999999998E-3</v>
      </c>
      <c r="AA5906">
        <v>0.99979530000000005</v>
      </c>
      <c r="AB5906">
        <v>16</v>
      </c>
      <c r="AC5906">
        <v>4.25640000000001</v>
      </c>
      <c r="AD5906">
        <v>-1.1211955234119999</v>
      </c>
      <c r="AE5906">
        <v>-110.278219999999</v>
      </c>
      <c r="AF5906">
        <v>2.2073157139986499</v>
      </c>
      <c r="AG5906">
        <v>-1.1211955234119999</v>
      </c>
      <c r="AH5906">
        <v>110.326863161484</v>
      </c>
      <c r="AI5906">
        <v>90.582131191642702</v>
      </c>
      <c r="AJ5906">
        <v>88.853833052595107</v>
      </c>
      <c r="AK5906">
        <v>110.354637678332</v>
      </c>
      <c r="AL5906">
        <v>81.8376329620923</v>
      </c>
      <c r="AM5906">
        <v>85.896104633821395</v>
      </c>
      <c r="AN5906">
        <v>1.0000000066392301</v>
      </c>
    </row>
    <row r="5907" spans="1:40" x14ac:dyDescent="0.25">
      <c r="A5907" t="str">
        <f>"20190303162030538"</f>
        <v>20190303162030538</v>
      </c>
      <c r="B5907" t="str">
        <f>"1551601230528497"</f>
        <v>1551601230528497</v>
      </c>
      <c r="C5907" t="s">
        <v>40</v>
      </c>
      <c r="D5907">
        <v>5.0226989999999896</v>
      </c>
      <c r="E5907">
        <v>0.48040189999999999</v>
      </c>
      <c r="F5907" t="s">
        <v>41</v>
      </c>
      <c r="G5907">
        <v>-187.5608</v>
      </c>
      <c r="H5907" s="1">
        <v>-4.2150539999999997E-6</v>
      </c>
      <c r="I5907">
        <v>68.449579999999997</v>
      </c>
      <c r="J5907">
        <v>-192.20820000000001</v>
      </c>
      <c r="K5907">
        <v>1.121191</v>
      </c>
      <c r="L5907">
        <v>189.49379999999999</v>
      </c>
      <c r="M5907">
        <v>5.7746890000000002E-2</v>
      </c>
      <c r="N5907">
        <v>-1.3258229999999999E-2</v>
      </c>
      <c r="O5907">
        <v>-0.99824360000000001</v>
      </c>
      <c r="P5907">
        <v>-1.275538E-2</v>
      </c>
      <c r="Q5907">
        <v>0.12884010000000001</v>
      </c>
      <c r="R5907">
        <v>-0.99158360000000001</v>
      </c>
      <c r="S5907">
        <v>0.116394</v>
      </c>
      <c r="T5907">
        <v>-2.8044940000000001E-2</v>
      </c>
      <c r="U5907">
        <v>-3.0306549999999999</v>
      </c>
      <c r="V5907">
        <v>7.015391E-2</v>
      </c>
      <c r="W5907">
        <v>0.14186789999999999</v>
      </c>
      <c r="X5907">
        <v>0.98739650000000001</v>
      </c>
      <c r="Y5907">
        <v>1.9393589999999999E-2</v>
      </c>
      <c r="Z5907">
        <v>-4.017835E-3</v>
      </c>
      <c r="AA5907">
        <v>0.99980380000000002</v>
      </c>
      <c r="AB5907">
        <v>16</v>
      </c>
      <c r="AC5907">
        <v>4.6474000000000002</v>
      </c>
      <c r="AD5907">
        <v>-1.1211952150540001</v>
      </c>
      <c r="AE5907">
        <v>-121.044219999999</v>
      </c>
      <c r="AF5907">
        <v>2.3506942903274002</v>
      </c>
      <c r="AG5907">
        <v>-1.1211952150540001</v>
      </c>
      <c r="AH5907">
        <v>121.100214385237</v>
      </c>
      <c r="AI5907">
        <v>90.530352656023794</v>
      </c>
      <c r="AJ5907">
        <v>88.887962749056598</v>
      </c>
      <c r="AK5907">
        <v>121.128216227712</v>
      </c>
      <c r="AL5907">
        <v>81.844051658616607</v>
      </c>
      <c r="AM5907">
        <v>85.935999535681503</v>
      </c>
      <c r="AN5907">
        <v>0.99999996017547299</v>
      </c>
    </row>
    <row r="5908" spans="1:40" x14ac:dyDescent="0.25">
      <c r="A5908" t="str">
        <f>"20190303162030552"</f>
        <v>20190303162030552</v>
      </c>
      <c r="B5908" t="str">
        <f>"1551601230538256"</f>
        <v>1551601230538256</v>
      </c>
      <c r="C5908" t="s">
        <v>40</v>
      </c>
      <c r="D5908">
        <v>4.9634999999999998</v>
      </c>
      <c r="E5908">
        <v>0.4802457</v>
      </c>
      <c r="F5908" t="s">
        <v>41</v>
      </c>
      <c r="G5908">
        <v>-187.5977</v>
      </c>
      <c r="H5908" s="1">
        <v>-1.27459E-6</v>
      </c>
      <c r="I5908">
        <v>71.515209999999996</v>
      </c>
      <c r="J5908">
        <v>-192.2028</v>
      </c>
      <c r="K5908">
        <v>1.1211850000000001</v>
      </c>
      <c r="L5908">
        <v>189.38570000000001</v>
      </c>
      <c r="M5908">
        <v>5.7011439999999997E-2</v>
      </c>
      <c r="N5908">
        <v>-1.3256169999999999E-2</v>
      </c>
      <c r="O5908">
        <v>-0.9982858</v>
      </c>
      <c r="P5908">
        <v>-1.230447E-2</v>
      </c>
      <c r="Q5908">
        <v>0.12863550000000001</v>
      </c>
      <c r="R5908">
        <v>-0.9916161</v>
      </c>
      <c r="S5908">
        <v>0.11843869999999999</v>
      </c>
      <c r="T5908">
        <v>-2.8802390000000001E-2</v>
      </c>
      <c r="U5908">
        <v>-3.0307620000000002</v>
      </c>
      <c r="V5908">
        <v>6.897789E-2</v>
      </c>
      <c r="W5908">
        <v>0.1416635</v>
      </c>
      <c r="X5908">
        <v>0.98750870000000002</v>
      </c>
      <c r="Y5908">
        <v>1.7984980000000001E-2</v>
      </c>
      <c r="Z5908">
        <v>-3.7662799999999999E-3</v>
      </c>
      <c r="AA5908">
        <v>0.99983109999999997</v>
      </c>
      <c r="AB5908">
        <v>16</v>
      </c>
      <c r="AC5908">
        <v>4.6050999999999904</v>
      </c>
      <c r="AD5908">
        <v>-1.1211862745899901</v>
      </c>
      <c r="AE5908">
        <v>-117.87049</v>
      </c>
      <c r="AF5908">
        <v>2.12275459274582</v>
      </c>
      <c r="AG5908">
        <v>-1.1211862745899901</v>
      </c>
      <c r="AH5908">
        <v>117.930655451047</v>
      </c>
      <c r="AI5908">
        <v>90.544615839521697</v>
      </c>
      <c r="AJ5908">
        <v>88.968785972801896</v>
      </c>
      <c r="AK5908">
        <v>117.95508738853501</v>
      </c>
      <c r="AL5908">
        <v>81.855882440067901</v>
      </c>
      <c r="AM5908">
        <v>86.004356091154193</v>
      </c>
      <c r="AN5908">
        <v>0.99999996455839502</v>
      </c>
    </row>
    <row r="5909" spans="1:40" x14ac:dyDescent="0.25">
      <c r="A5909" t="str">
        <f>"20190303162030567"</f>
        <v>20190303162030567</v>
      </c>
      <c r="B5909" t="str">
        <f>"1551601230558752"</f>
        <v>1551601230558752</v>
      </c>
      <c r="C5909" t="s">
        <v>40</v>
      </c>
      <c r="D5909">
        <v>4.9661559999999998</v>
      </c>
      <c r="E5909">
        <v>0.47996070000000002</v>
      </c>
      <c r="F5909" t="s">
        <v>41</v>
      </c>
      <c r="G5909">
        <v>-187.6893</v>
      </c>
      <c r="H5909" s="1">
        <v>-3.064735E-6</v>
      </c>
      <c r="I5909">
        <v>75.82132</v>
      </c>
      <c r="J5909">
        <v>-192.19759999999999</v>
      </c>
      <c r="K5909">
        <v>1.121178</v>
      </c>
      <c r="L5909">
        <v>189.2808</v>
      </c>
      <c r="M5909">
        <v>5.6295659999999997E-2</v>
      </c>
      <c r="N5909">
        <v>-1.325349E-2</v>
      </c>
      <c r="O5909">
        <v>-0.99832609999999999</v>
      </c>
      <c r="P5909">
        <v>-1.1890380000000001E-2</v>
      </c>
      <c r="Q5909">
        <v>0.1281458</v>
      </c>
      <c r="R5909">
        <v>-0.99168400000000001</v>
      </c>
      <c r="S5909">
        <v>0.1204529</v>
      </c>
      <c r="T5909">
        <v>-2.9921650000000001E-2</v>
      </c>
      <c r="U5909">
        <v>-3.0307460000000002</v>
      </c>
      <c r="V5909">
        <v>6.7860480000000001E-2</v>
      </c>
      <c r="W5909">
        <v>0.14117299999999999</v>
      </c>
      <c r="X5909">
        <v>0.98765639999999999</v>
      </c>
      <c r="Y5909">
        <v>1.6604589999999999E-2</v>
      </c>
      <c r="Z5909">
        <v>-3.3947119999999998E-3</v>
      </c>
      <c r="AA5909">
        <v>0.99985639999999998</v>
      </c>
      <c r="AB5909">
        <v>16</v>
      </c>
      <c r="AC5909">
        <v>4.5082999999999904</v>
      </c>
      <c r="AD5909">
        <v>-1.121181064735</v>
      </c>
      <c r="AE5909">
        <v>-113.45948</v>
      </c>
      <c r="AF5909">
        <v>1.8865046715478</v>
      </c>
      <c r="AG5909">
        <v>-1.121181064735</v>
      </c>
      <c r="AH5909">
        <v>113.522269817628</v>
      </c>
      <c r="AI5909">
        <v>90.5657743400009</v>
      </c>
      <c r="AJ5909">
        <v>89.047950611218795</v>
      </c>
      <c r="AK5909">
        <v>113.54347929935</v>
      </c>
      <c r="AL5909">
        <v>81.8842717236341</v>
      </c>
      <c r="AM5909">
        <v>86.069465113080497</v>
      </c>
      <c r="AN5909">
        <v>1.0000000125678901</v>
      </c>
    </row>
    <row r="5910" spans="1:40" x14ac:dyDescent="0.25">
      <c r="A5910" t="str">
        <f>"20190303162030582"</f>
        <v>20190303162030582</v>
      </c>
      <c r="B5910" t="str">
        <f>"1551601230568513"</f>
        <v>1551601230568513</v>
      </c>
      <c r="C5910" t="s">
        <v>40</v>
      </c>
      <c r="D5910">
        <v>4.9029819999999997</v>
      </c>
      <c r="E5910">
        <v>0.47989320000000002</v>
      </c>
      <c r="F5910" t="s">
        <v>41</v>
      </c>
      <c r="G5910">
        <v>-187.9085</v>
      </c>
      <c r="H5910" s="1">
        <v>-2.2660310000000002E-6</v>
      </c>
      <c r="I5910">
        <v>84.050129999999996</v>
      </c>
      <c r="J5910">
        <v>-192.19220000000001</v>
      </c>
      <c r="K5910">
        <v>1.121173</v>
      </c>
      <c r="L5910">
        <v>189.1694</v>
      </c>
      <c r="M5910">
        <v>5.5529870000000002E-2</v>
      </c>
      <c r="N5910">
        <v>-1.324961E-2</v>
      </c>
      <c r="O5910">
        <v>-0.99836930000000002</v>
      </c>
      <c r="P5910">
        <v>-9.9675130000000008E-3</v>
      </c>
      <c r="Q5910">
        <v>0.12749059999999901</v>
      </c>
      <c r="R5910">
        <v>-0.9917899</v>
      </c>
      <c r="S5910">
        <v>0.123535199999999</v>
      </c>
      <c r="T5910">
        <v>-3.2291889999999997E-2</v>
      </c>
      <c r="U5910">
        <v>-3.0308229999999998</v>
      </c>
      <c r="V5910">
        <v>6.5189540000000004E-2</v>
      </c>
      <c r="W5910">
        <v>0.14051920000000001</v>
      </c>
      <c r="X5910">
        <v>0.98792950000000002</v>
      </c>
      <c r="Y5910">
        <v>1.482351E-2</v>
      </c>
      <c r="Z5910">
        <v>-2.6105540000000002E-3</v>
      </c>
      <c r="AA5910">
        <v>0.99988670000000002</v>
      </c>
      <c r="AB5910">
        <v>16</v>
      </c>
      <c r="AC5910">
        <v>4.2836999999999996</v>
      </c>
      <c r="AD5910">
        <v>-1.1211752660309999</v>
      </c>
      <c r="AE5910">
        <v>-105.11927</v>
      </c>
      <c r="AF5910">
        <v>1.5605043031584001</v>
      </c>
      <c r="AG5910">
        <v>-1.1211752660309999</v>
      </c>
      <c r="AH5910">
        <v>105.18299386120199</v>
      </c>
      <c r="AI5910">
        <v>90.610641586754198</v>
      </c>
      <c r="AJ5910">
        <v>89.150017050797004</v>
      </c>
      <c r="AK5910">
        <v>105.200543749845</v>
      </c>
      <c r="AL5910">
        <v>81.9221088578457</v>
      </c>
      <c r="AM5910">
        <v>86.224752291165402</v>
      </c>
      <c r="AN5910">
        <v>1.0000000093321499</v>
      </c>
    </row>
    <row r="5911" spans="1:40" x14ac:dyDescent="0.25">
      <c r="A5911" t="str">
        <f>"20190303162030604"</f>
        <v>20190303162030604</v>
      </c>
      <c r="B5911" t="str">
        <f>"1551601230598768"</f>
        <v>1551601230598768</v>
      </c>
      <c r="C5911" t="s">
        <v>40</v>
      </c>
      <c r="D5911">
        <v>4.8448279999999997</v>
      </c>
      <c r="E5911">
        <v>0.47956759999999898</v>
      </c>
      <c r="F5911" t="s">
        <v>41</v>
      </c>
      <c r="G5911">
        <v>-188.0273</v>
      </c>
      <c r="H5911" s="1">
        <v>-1.1830980000000001E-6</v>
      </c>
      <c r="I5911">
        <v>91.574929999999995</v>
      </c>
      <c r="J5911">
        <v>-192.18459999999999</v>
      </c>
      <c r="K5911">
        <v>1.1211599999999999</v>
      </c>
      <c r="L5911">
        <v>189.00800000000001</v>
      </c>
      <c r="M5911">
        <v>5.4409480000000003E-2</v>
      </c>
      <c r="N5911">
        <v>-1.3239549999999999E-2</v>
      </c>
      <c r="O5911">
        <v>-0.99843099999999996</v>
      </c>
      <c r="P5911">
        <v>-8.8716909999999993E-3</v>
      </c>
      <c r="Q5911">
        <v>0.12783639999999999</v>
      </c>
      <c r="R5911">
        <v>-0.99175579999999997</v>
      </c>
      <c r="S5911">
        <v>0.12933349999999999</v>
      </c>
      <c r="T5911">
        <v>-3.4815909999999999E-2</v>
      </c>
      <c r="U5911">
        <v>-3.0306090000000001</v>
      </c>
      <c r="V5911">
        <v>6.2987710000000002E-2</v>
      </c>
      <c r="W5911">
        <v>0.1408567</v>
      </c>
      <c r="X5911">
        <v>0.98802420000000002</v>
      </c>
      <c r="Y5911">
        <v>1.178913E-2</v>
      </c>
      <c r="Z5911">
        <v>-1.7681109999999999E-3</v>
      </c>
      <c r="AA5911">
        <v>0.99992899999999996</v>
      </c>
      <c r="AB5911">
        <v>16</v>
      </c>
      <c r="AC5911">
        <v>4.1572999999999896</v>
      </c>
      <c r="AD5911">
        <v>-1.1211611830979999</v>
      </c>
      <c r="AE5911">
        <v>-97.433069999999901</v>
      </c>
      <c r="AF5911">
        <v>1.15045418837103</v>
      </c>
      <c r="AG5911">
        <v>-1.1211611830979999</v>
      </c>
      <c r="AH5911">
        <v>97.5020472687888</v>
      </c>
      <c r="AI5911">
        <v>90.6587605500211</v>
      </c>
      <c r="AJ5911">
        <v>89.323982289586496</v>
      </c>
      <c r="AK5911">
        <v>97.515279668589201</v>
      </c>
      <c r="AL5911">
        <v>81.9025767112106</v>
      </c>
      <c r="AM5911">
        <v>86.352262749696095</v>
      </c>
      <c r="AN5911">
        <v>0.99999994066578501</v>
      </c>
    </row>
    <row r="5912" spans="1:40" x14ac:dyDescent="0.25">
      <c r="A5912" t="str">
        <f>"20190303162030618"</f>
        <v>20190303162030618</v>
      </c>
      <c r="B5912" t="str">
        <f>"1551601230608529"</f>
        <v>1551601230608529</v>
      </c>
      <c r="C5912" t="s">
        <v>40</v>
      </c>
      <c r="D5912">
        <v>4.8982289999999997</v>
      </c>
      <c r="E5912">
        <v>0.479466</v>
      </c>
      <c r="F5912" t="s">
        <v>41</v>
      </c>
      <c r="G5912">
        <v>-187.71010000000001</v>
      </c>
      <c r="H5912" s="1">
        <v>-4.4923729999999999E-6</v>
      </c>
      <c r="I5912">
        <v>89.157780000000002</v>
      </c>
      <c r="J5912">
        <v>-192.18020000000001</v>
      </c>
      <c r="K5912">
        <v>1.121146</v>
      </c>
      <c r="L5912">
        <v>188.91130000000001</v>
      </c>
      <c r="M5912">
        <v>5.3729970000000002E-2</v>
      </c>
      <c r="N5912">
        <v>-1.323068E-2</v>
      </c>
      <c r="O5912">
        <v>-0.99846820000000003</v>
      </c>
      <c r="P5912">
        <v>-9.0124690000000004E-3</v>
      </c>
      <c r="Q5912">
        <v>0.12837269999999901</v>
      </c>
      <c r="R5912">
        <v>-0.99168540000000005</v>
      </c>
      <c r="S5912">
        <v>0.13580320000000001</v>
      </c>
      <c r="T5912">
        <v>-3.4028049999999997E-2</v>
      </c>
      <c r="U5912">
        <v>-3.0305179999999998</v>
      </c>
      <c r="V5912">
        <v>6.2454120000000002E-2</v>
      </c>
      <c r="W5912">
        <v>0.1413836</v>
      </c>
      <c r="X5912">
        <v>0.9879829</v>
      </c>
      <c r="Y5912">
        <v>8.9771360000000001E-3</v>
      </c>
      <c r="Z5912">
        <v>-2.0173119999999998E-3</v>
      </c>
      <c r="AA5912">
        <v>0.99995769999999995</v>
      </c>
      <c r="AB5912">
        <v>16</v>
      </c>
      <c r="AC5912">
        <v>4.4701000000000004</v>
      </c>
      <c r="AD5912">
        <v>-1.121150492373</v>
      </c>
      <c r="AE5912">
        <v>-99.753519999999995</v>
      </c>
      <c r="AF5912">
        <v>0.89646608167619102</v>
      </c>
      <c r="AG5912">
        <v>-1.121150492373</v>
      </c>
      <c r="AH5912">
        <v>99.837014245323402</v>
      </c>
      <c r="AI5912">
        <v>90.643367619190002</v>
      </c>
      <c r="AJ5912">
        <v>89.485538074585605</v>
      </c>
      <c r="AK5912">
        <v>99.847333681391007</v>
      </c>
      <c r="AL5912">
        <v>81.872083080836305</v>
      </c>
      <c r="AM5912">
        <v>86.382930781663802</v>
      </c>
      <c r="AN5912">
        <v>1.00000002507317</v>
      </c>
    </row>
    <row r="5913" spans="1:40" x14ac:dyDescent="0.25">
      <c r="A5913" t="str">
        <f>"20190303162030631"</f>
        <v>20190303162030631</v>
      </c>
      <c r="B5913" t="str">
        <f>"1551601230618289"</f>
        <v>1551601230618289</v>
      </c>
      <c r="C5913" t="s">
        <v>40</v>
      </c>
      <c r="D5913">
        <v>4.7200490000000004</v>
      </c>
      <c r="E5913">
        <v>0.47936040000000002</v>
      </c>
      <c r="F5913" t="s">
        <v>41</v>
      </c>
      <c r="G5913">
        <v>-187.4803</v>
      </c>
      <c r="H5913" s="1">
        <v>-2.604271E-6</v>
      </c>
      <c r="I5913">
        <v>84.661550000000005</v>
      </c>
      <c r="J5913">
        <v>-192.17590000000001</v>
      </c>
      <c r="K5913">
        <v>1.121135</v>
      </c>
      <c r="L5913">
        <v>188.81720000000001</v>
      </c>
      <c r="M5913">
        <v>5.3065559999999998E-2</v>
      </c>
      <c r="N5913">
        <v>-1.3220620000000001E-2</v>
      </c>
      <c r="O5913">
        <v>-0.99850369999999999</v>
      </c>
      <c r="P5913">
        <v>-9.3223309999999997E-3</v>
      </c>
      <c r="Q5913">
        <v>0.12838269999999999</v>
      </c>
      <c r="R5913">
        <v>-0.99168120000000004</v>
      </c>
      <c r="S5913">
        <v>0.1366272</v>
      </c>
      <c r="T5913">
        <v>-3.2592540000000003E-2</v>
      </c>
      <c r="U5913">
        <v>-3.0306090000000001</v>
      </c>
      <c r="V5913">
        <v>6.2107170000000003E-2</v>
      </c>
      <c r="W5913">
        <v>0.1413826</v>
      </c>
      <c r="X5913">
        <v>0.98800489999999996</v>
      </c>
      <c r="Y5913">
        <v>8.0419949999999997E-3</v>
      </c>
      <c r="Z5913">
        <v>-2.4794970000000002E-3</v>
      </c>
      <c r="AA5913">
        <v>0.99996459999999998</v>
      </c>
      <c r="AB5913">
        <v>16</v>
      </c>
      <c r="AC5913">
        <v>4.6956000000000104</v>
      </c>
      <c r="AD5913">
        <v>-1.121137604271</v>
      </c>
      <c r="AE5913">
        <v>-104.15564999999999</v>
      </c>
      <c r="AF5913">
        <v>0.83848009749212304</v>
      </c>
      <c r="AG5913">
        <v>-1.121137604271</v>
      </c>
      <c r="AH5913">
        <v>104.24601466871</v>
      </c>
      <c r="AI5913">
        <v>90.616156878583794</v>
      </c>
      <c r="AJ5913">
        <v>89.5391638233598</v>
      </c>
      <c r="AK5913">
        <v>104.255415076199</v>
      </c>
      <c r="AL5913">
        <v>81.872140845175593</v>
      </c>
      <c r="AM5913">
        <v>86.403051589191804</v>
      </c>
      <c r="AN5913">
        <v>1.0000000112860801</v>
      </c>
    </row>
    <row r="5914" spans="1:40" x14ac:dyDescent="0.25">
      <c r="A5914" t="str">
        <f>"20190303162030643"</f>
        <v>20190303162030643</v>
      </c>
      <c r="B5914" t="str">
        <f>"1551601230628048"</f>
        <v>1551601230628048</v>
      </c>
      <c r="C5914" t="s">
        <v>40</v>
      </c>
      <c r="D5914">
        <v>4.721946</v>
      </c>
      <c r="E5914">
        <v>0.47924470000000002</v>
      </c>
      <c r="F5914" t="s">
        <v>41</v>
      </c>
      <c r="G5914">
        <v>-187.4427</v>
      </c>
      <c r="H5914" s="1">
        <v>-2.3881789999999999E-6</v>
      </c>
      <c r="I5914">
        <v>84.142290000000003</v>
      </c>
      <c r="J5914">
        <v>-192.17179999999999</v>
      </c>
      <c r="K5914">
        <v>1.1211260000000001</v>
      </c>
      <c r="L5914">
        <v>188.72749999999999</v>
      </c>
      <c r="M5914">
        <v>5.2429080000000003E-2</v>
      </c>
      <c r="N5914">
        <v>-1.320955E-2</v>
      </c>
      <c r="O5914">
        <v>-0.99853729999999996</v>
      </c>
      <c r="P5914">
        <v>-9.6633420000000001E-3</v>
      </c>
      <c r="Q5914">
        <v>0.12770480000000001</v>
      </c>
      <c r="R5914">
        <v>-0.99176529999999996</v>
      </c>
      <c r="S5914">
        <v>0.1370392</v>
      </c>
      <c r="T5914">
        <v>-3.2460330000000003E-2</v>
      </c>
      <c r="U5914">
        <v>-3.0306549999999999</v>
      </c>
      <c r="V5914">
        <v>6.1822540000000002E-2</v>
      </c>
      <c r="W5914">
        <v>0.14069479999999901</v>
      </c>
      <c r="X5914">
        <v>0.98812089999999997</v>
      </c>
      <c r="Y5914">
        <v>7.2697329999999996E-3</v>
      </c>
      <c r="Z5914">
        <v>-2.511714E-3</v>
      </c>
      <c r="AA5914">
        <v>0.99997040000000004</v>
      </c>
      <c r="AB5914">
        <v>16</v>
      </c>
      <c r="AC5914">
        <v>4.7290999999999803</v>
      </c>
      <c r="AD5914">
        <v>-1.121128388179</v>
      </c>
      <c r="AE5914">
        <v>-104.58521</v>
      </c>
      <c r="AF5914">
        <v>0.76110271262663098</v>
      </c>
      <c r="AG5914">
        <v>-1.121128388179</v>
      </c>
      <c r="AH5914">
        <v>104.67730334151901</v>
      </c>
      <c r="AI5914">
        <v>90.6136169843452</v>
      </c>
      <c r="AJ5914">
        <v>89.583412990465007</v>
      </c>
      <c r="AK5914">
        <v>104.686073768455</v>
      </c>
      <c r="AL5914">
        <v>81.911946550080202</v>
      </c>
      <c r="AM5914">
        <v>86.419912246348204</v>
      </c>
      <c r="AN5914">
        <v>0.99999998310795002</v>
      </c>
    </row>
    <row r="5915" spans="1:40" x14ac:dyDescent="0.25">
      <c r="A5915" t="str">
        <f>"20190303162030661"</f>
        <v>20190303162030661</v>
      </c>
      <c r="B5915" t="str">
        <f>"1551601230648544"</f>
        <v>1551601230648544</v>
      </c>
      <c r="C5915" t="s">
        <v>40</v>
      </c>
      <c r="D5915">
        <v>4.8432890000000004</v>
      </c>
      <c r="E5915">
        <v>0.4791088</v>
      </c>
      <c r="F5915" t="s">
        <v>41</v>
      </c>
      <c r="G5915">
        <v>-187.7338</v>
      </c>
      <c r="H5915" s="1">
        <v>-9.7872120000000008E-7</v>
      </c>
      <c r="I5915">
        <v>90.752219999999994</v>
      </c>
      <c r="J5915">
        <v>-192.16650000000001</v>
      </c>
      <c r="K5915">
        <v>1.1211100000000001</v>
      </c>
      <c r="L5915">
        <v>188.60509999999999</v>
      </c>
      <c r="M5915">
        <v>5.1554240000000001E-2</v>
      </c>
      <c r="N5915">
        <v>-1.318925E-2</v>
      </c>
      <c r="O5915">
        <v>-0.99858309999999995</v>
      </c>
      <c r="P5915">
        <v>-9.9657219999999998E-3</v>
      </c>
      <c r="Q5915">
        <v>0.12683929999999999</v>
      </c>
      <c r="R5915">
        <v>-0.99187329999999996</v>
      </c>
      <c r="S5915">
        <v>0.1372833</v>
      </c>
      <c r="T5915">
        <v>-3.4680370000000002E-2</v>
      </c>
      <c r="U5915">
        <v>-3.030716</v>
      </c>
      <c r="V5915">
        <v>6.1264260000000001E-2</v>
      </c>
      <c r="W5915">
        <v>0.13981099999999999</v>
      </c>
      <c r="X5915">
        <v>0.98828110000000002</v>
      </c>
      <c r="Y5915">
        <v>6.3142129999999999E-3</v>
      </c>
      <c r="Z5915">
        <v>-1.76056E-3</v>
      </c>
      <c r="AA5915">
        <v>0.99997849999999999</v>
      </c>
      <c r="AB5915">
        <v>16</v>
      </c>
      <c r="AC5915">
        <v>4.4327000000000103</v>
      </c>
      <c r="AD5915">
        <v>-1.1211109787211999</v>
      </c>
      <c r="AE5915">
        <v>-97.852879999999999</v>
      </c>
      <c r="AF5915">
        <v>0.61828434526329801</v>
      </c>
      <c r="AG5915">
        <v>-1.1211109787211999</v>
      </c>
      <c r="AH5915">
        <v>97.938446956534094</v>
      </c>
      <c r="AI5915">
        <v>90.655828677787298</v>
      </c>
      <c r="AJ5915">
        <v>89.638297175151806</v>
      </c>
      <c r="AK5915">
        <v>97.946814943703203</v>
      </c>
      <c r="AL5915">
        <v>81.963090046352804</v>
      </c>
      <c r="AM5915">
        <v>86.452732423355698</v>
      </c>
      <c r="AN5915">
        <v>0.99999997894577797</v>
      </c>
    </row>
    <row r="5916" spans="1:40" x14ac:dyDescent="0.25">
      <c r="A5916" t="str">
        <f>"20190303162030673"</f>
        <v>20190303162030673</v>
      </c>
      <c r="B5916" t="str">
        <f>"1551601230658304"</f>
        <v>1551601230658304</v>
      </c>
      <c r="C5916" t="s">
        <v>40</v>
      </c>
      <c r="D5916">
        <v>4.839118</v>
      </c>
      <c r="E5916">
        <v>0.47903869999999998</v>
      </c>
      <c r="F5916" t="s">
        <v>41</v>
      </c>
      <c r="G5916">
        <v>-187.97980000000001</v>
      </c>
      <c r="H5916" s="1">
        <v>-3.2904829999999998E-6</v>
      </c>
      <c r="I5916">
        <v>96.467650000000006</v>
      </c>
      <c r="J5916">
        <v>-192.16249999999999</v>
      </c>
      <c r="K5916">
        <v>1.121094</v>
      </c>
      <c r="L5916">
        <v>188.5129</v>
      </c>
      <c r="M5916">
        <v>5.0891480000000003E-2</v>
      </c>
      <c r="N5916">
        <v>-1.3166489999999999E-2</v>
      </c>
      <c r="O5916">
        <v>-0.99861750000000005</v>
      </c>
      <c r="P5916">
        <v>-1.048253E-2</v>
      </c>
      <c r="Q5916">
        <v>0.12647939999999999</v>
      </c>
      <c r="R5916">
        <v>-0.99191419999999997</v>
      </c>
      <c r="S5916">
        <v>0.13771059999999999</v>
      </c>
      <c r="T5916">
        <v>-3.6876680000000002E-2</v>
      </c>
      <c r="U5916">
        <v>-3.0306700000000002</v>
      </c>
      <c r="V5916">
        <v>6.1126550000000002E-2</v>
      </c>
      <c r="W5916">
        <v>0.139429</v>
      </c>
      <c r="X5916">
        <v>0.98834359999999999</v>
      </c>
      <c r="Y5916">
        <v>5.5092169999999899E-3</v>
      </c>
      <c r="Z5916">
        <v>-1.0144139999999999E-3</v>
      </c>
      <c r="AA5916">
        <v>0.99998430000000005</v>
      </c>
      <c r="AB5916">
        <v>16</v>
      </c>
      <c r="AC5916">
        <v>4.1826999999999801</v>
      </c>
      <c r="AD5916">
        <v>-1.1210972904829899</v>
      </c>
      <c r="AE5916">
        <v>-92.045249999999996</v>
      </c>
      <c r="AF5916">
        <v>0.50737040253921795</v>
      </c>
      <c r="AG5916">
        <v>-1.1210972904829899</v>
      </c>
      <c r="AH5916">
        <v>92.125199820435697</v>
      </c>
      <c r="AI5916">
        <v>90.697203357422296</v>
      </c>
      <c r="AJ5916">
        <v>89.684452366305507</v>
      </c>
      <c r="AK5916">
        <v>92.133418073005998</v>
      </c>
      <c r="AL5916">
        <v>81.985193595116101</v>
      </c>
      <c r="AM5916">
        <v>86.460908938657397</v>
      </c>
      <c r="AN5916">
        <v>0.99999998640843102</v>
      </c>
    </row>
    <row r="5917" spans="1:40" x14ac:dyDescent="0.25">
      <c r="A5917" t="str">
        <f>"20190303162030685"</f>
        <v>20190303162030685</v>
      </c>
      <c r="B5917" t="str">
        <f>"1551601230678802"</f>
        <v>1551601230678802</v>
      </c>
      <c r="C5917" t="s">
        <v>40</v>
      </c>
      <c r="D5917">
        <v>4.8406750000000001</v>
      </c>
      <c r="E5917">
        <v>0.47890080000000002</v>
      </c>
      <c r="F5917" t="s">
        <v>41</v>
      </c>
      <c r="G5917">
        <v>-188.08600000000001</v>
      </c>
      <c r="H5917" s="1">
        <v>-4.0009689999999997E-6</v>
      </c>
      <c r="I5917">
        <v>98.167720000000003</v>
      </c>
      <c r="J5917">
        <v>-192.15870000000001</v>
      </c>
      <c r="K5917">
        <v>1.121086</v>
      </c>
      <c r="L5917">
        <v>188.42420000000001</v>
      </c>
      <c r="M5917">
        <v>5.0253100000000002E-2</v>
      </c>
      <c r="N5917">
        <v>-1.314043E-2</v>
      </c>
      <c r="O5917">
        <v>-0.99865009999999999</v>
      </c>
      <c r="P5917">
        <v>-1.134775E-2</v>
      </c>
      <c r="Q5917">
        <v>0.1261719</v>
      </c>
      <c r="R5917">
        <v>-0.99194349999999998</v>
      </c>
      <c r="S5917">
        <v>0.13674929999999999</v>
      </c>
      <c r="T5917">
        <v>-3.760815E-2</v>
      </c>
      <c r="U5917">
        <v>-3.0307010000000001</v>
      </c>
      <c r="V5917">
        <v>6.1360310000000001E-2</v>
      </c>
      <c r="W5917">
        <v>0.1390952</v>
      </c>
      <c r="X5917">
        <v>0.98837609999999998</v>
      </c>
      <c r="Y5917">
        <v>5.1869899999999998E-3</v>
      </c>
      <c r="Z5917">
        <v>-7.4738110000000001E-4</v>
      </c>
      <c r="AA5917">
        <v>0.99998629999999999</v>
      </c>
      <c r="AB5917">
        <v>16</v>
      </c>
      <c r="AC5917">
        <v>4.0727000000000197</v>
      </c>
      <c r="AD5917">
        <v>-1.1210900009689999</v>
      </c>
      <c r="AE5917">
        <v>-90.256479999999996</v>
      </c>
      <c r="AF5917">
        <v>0.46843396195331899</v>
      </c>
      <c r="AG5917">
        <v>-1.1210900009689999</v>
      </c>
      <c r="AH5917">
        <v>90.333197285153602</v>
      </c>
      <c r="AI5917">
        <v>90.711029460068502</v>
      </c>
      <c r="AJ5917">
        <v>89.702888315311199</v>
      </c>
      <c r="AK5917">
        <v>90.341368181611401</v>
      </c>
      <c r="AL5917">
        <v>82.004506742169895</v>
      </c>
      <c r="AM5917">
        <v>86.447525869465494</v>
      </c>
      <c r="AN5917">
        <v>0.99999993867877102</v>
      </c>
    </row>
    <row r="5918" spans="1:40" x14ac:dyDescent="0.25">
      <c r="A5918" t="str">
        <f>"20190303162030698"</f>
        <v>20190303162030698</v>
      </c>
      <c r="B5918" t="str">
        <f>"1551601230688563"</f>
        <v>1551601230688563</v>
      </c>
      <c r="C5918" t="s">
        <v>40</v>
      </c>
      <c r="D5918">
        <v>4.7773539999999999</v>
      </c>
      <c r="E5918">
        <v>0.47884680000000002</v>
      </c>
      <c r="F5918" t="s">
        <v>41</v>
      </c>
      <c r="G5918">
        <v>-188.16489999999999</v>
      </c>
      <c r="H5918" s="1">
        <v>-4.4093229999999999E-6</v>
      </c>
      <c r="I5918">
        <v>99.152209999999997</v>
      </c>
      <c r="J5918">
        <v>-192.15479999999999</v>
      </c>
      <c r="K5918">
        <v>1.1210739999999999</v>
      </c>
      <c r="L5918">
        <v>188.33240000000001</v>
      </c>
      <c r="M5918">
        <v>4.9588920000000002E-2</v>
      </c>
      <c r="N5918">
        <v>-1.3103500000000001E-2</v>
      </c>
      <c r="O5918">
        <v>-0.99868400000000002</v>
      </c>
      <c r="P5918">
        <v>-1.232172E-2</v>
      </c>
      <c r="Q5918">
        <v>0.1264883</v>
      </c>
      <c r="R5918">
        <v>-0.99189170000000004</v>
      </c>
      <c r="S5918">
        <v>0.1355896</v>
      </c>
      <c r="T5918">
        <v>-3.8060900000000002E-2</v>
      </c>
      <c r="U5918">
        <v>-3.0307770000000001</v>
      </c>
      <c r="V5918">
        <v>6.1673819999999997E-2</v>
      </c>
      <c r="W5918">
        <v>0.13937289999999999</v>
      </c>
      <c r="X5918">
        <v>0.98831749999999996</v>
      </c>
      <c r="Y5918">
        <v>4.9049230000000003E-3</v>
      </c>
      <c r="Z5918">
        <v>-5.613762E-4</v>
      </c>
      <c r="AA5918">
        <v>0.99998779999999998</v>
      </c>
      <c r="AB5918">
        <v>16</v>
      </c>
      <c r="AC5918">
        <v>3.9899</v>
      </c>
      <c r="AD5918">
        <v>-1.121078409323</v>
      </c>
      <c r="AE5918">
        <v>-89.180189999999996</v>
      </c>
      <c r="AF5918">
        <v>0.43766846350515198</v>
      </c>
      <c r="AG5918">
        <v>-1.121078409323</v>
      </c>
      <c r="AH5918">
        <v>89.254249185601594</v>
      </c>
      <c r="AI5918">
        <v>90.719617409881494</v>
      </c>
      <c r="AJ5918">
        <v>89.719045815473507</v>
      </c>
      <c r="AK5918">
        <v>89.262362550905294</v>
      </c>
      <c r="AL5918">
        <v>81.988439474556898</v>
      </c>
      <c r="AM5918">
        <v>86.429210787494696</v>
      </c>
      <c r="AN5918">
        <v>0.99999997306702504</v>
      </c>
    </row>
    <row r="5919" spans="1:40" x14ac:dyDescent="0.25">
      <c r="A5919" t="str">
        <f>"20190303162030710"</f>
        <v>20190303162030710</v>
      </c>
      <c r="B5919" t="str">
        <f>"1551601230698321"</f>
        <v>1551601230698321</v>
      </c>
      <c r="C5919" t="s">
        <v>40</v>
      </c>
      <c r="D5919">
        <v>4.8372510000000002</v>
      </c>
      <c r="E5919">
        <v>0.47880899999999998</v>
      </c>
      <c r="F5919" t="s">
        <v>41</v>
      </c>
      <c r="G5919">
        <v>-188.077</v>
      </c>
      <c r="H5919" s="1">
        <v>-2.8981479999999999E-6</v>
      </c>
      <c r="I5919">
        <v>95.593289999999996</v>
      </c>
      <c r="J5919">
        <v>-192.1515</v>
      </c>
      <c r="K5919">
        <v>1.1210709999999999</v>
      </c>
      <c r="L5919">
        <v>188.24950000000001</v>
      </c>
      <c r="M5919">
        <v>4.898955E-2</v>
      </c>
      <c r="N5919">
        <v>-1.306828E-2</v>
      </c>
      <c r="O5919">
        <v>-0.99871379999999998</v>
      </c>
      <c r="P5919">
        <v>-1.3714580000000001E-2</v>
      </c>
      <c r="Q5919">
        <v>0.1267855</v>
      </c>
      <c r="R5919">
        <v>-0.99183529999999998</v>
      </c>
      <c r="S5919">
        <v>0.13327030000000001</v>
      </c>
      <c r="T5919">
        <v>-3.6638499999999997E-2</v>
      </c>
      <c r="U5919">
        <v>-3.030853</v>
      </c>
      <c r="V5919">
        <v>6.2469469999999999E-2</v>
      </c>
      <c r="W5919">
        <v>0.13963249999999999</v>
      </c>
      <c r="X5919">
        <v>0.98823090000000002</v>
      </c>
      <c r="Y5919">
        <v>5.0696270000000002E-3</v>
      </c>
      <c r="Z5919">
        <v>-9.9433190000000008E-4</v>
      </c>
      <c r="AA5919">
        <v>0.99998659999999995</v>
      </c>
      <c r="AB5919">
        <v>16</v>
      </c>
      <c r="AC5919">
        <v>4.0744999999999996</v>
      </c>
      <c r="AD5919">
        <v>-1.121073898148</v>
      </c>
      <c r="AE5919">
        <v>-92.656210000000002</v>
      </c>
      <c r="AF5919">
        <v>0.46989812736740699</v>
      </c>
      <c r="AG5919">
        <v>-1.121073898148</v>
      </c>
      <c r="AH5919">
        <v>92.731013878761999</v>
      </c>
      <c r="AI5919">
        <v>90.692636115825707</v>
      </c>
      <c r="AJ5919">
        <v>89.709666184653798</v>
      </c>
      <c r="AK5919">
        <v>92.738980725034693</v>
      </c>
      <c r="AL5919">
        <v>81.973418753772805</v>
      </c>
      <c r="AM5919">
        <v>86.382949665863805</v>
      </c>
      <c r="AN5919">
        <v>0.99999999072656998</v>
      </c>
    </row>
    <row r="5920" spans="1:40" x14ac:dyDescent="0.25">
      <c r="A5920" t="str">
        <f>"20190303162030727"</f>
        <v>20190303162030727</v>
      </c>
      <c r="B5920" t="str">
        <f>"1551601230718816"</f>
        <v>1551601230718816</v>
      </c>
      <c r="C5920" t="s">
        <v>40</v>
      </c>
      <c r="D5920">
        <v>4.8412410000000001</v>
      </c>
      <c r="E5920">
        <v>0.47869899999999999</v>
      </c>
      <c r="F5920" t="s">
        <v>41</v>
      </c>
      <c r="G5920">
        <v>-188.03870000000001</v>
      </c>
      <c r="H5920" s="1">
        <v>-1.377985E-6</v>
      </c>
      <c r="I5920">
        <v>92.033910000000006</v>
      </c>
      <c r="J5920">
        <v>-192.1464</v>
      </c>
      <c r="K5920">
        <v>1.1210560000000001</v>
      </c>
      <c r="L5920">
        <v>188.12309999999999</v>
      </c>
      <c r="M5920">
        <v>4.8074859999999997E-2</v>
      </c>
      <c r="N5920">
        <v>-1.3009990000000001E-2</v>
      </c>
      <c r="O5920">
        <v>-0.99875910000000001</v>
      </c>
      <c r="P5920">
        <v>-1.682614E-2</v>
      </c>
      <c r="Q5920">
        <v>0.12686249999999999</v>
      </c>
      <c r="R5920">
        <v>-0.99177769999999998</v>
      </c>
      <c r="S5920">
        <v>0.12956239999999999</v>
      </c>
      <c r="T5920">
        <v>-3.5316470000000003E-2</v>
      </c>
      <c r="U5920">
        <v>-3.031021</v>
      </c>
      <c r="V5920">
        <v>6.4669039999999997E-2</v>
      </c>
      <c r="W5920">
        <v>0.13964670000000001</v>
      </c>
      <c r="X5920">
        <v>0.98808739999999995</v>
      </c>
      <c r="Y5920">
        <v>5.3771720000000004E-3</v>
      </c>
      <c r="Z5920">
        <v>-1.3714420000000001E-3</v>
      </c>
      <c r="AA5920">
        <v>0.9999846</v>
      </c>
      <c r="AB5920">
        <v>16</v>
      </c>
      <c r="AC5920">
        <v>4.1076999999999897</v>
      </c>
      <c r="AD5920">
        <v>-1.1210573779849999</v>
      </c>
      <c r="AE5920">
        <v>-96.089190000000002</v>
      </c>
      <c r="AF5920">
        <v>0.51684507831772597</v>
      </c>
      <c r="AG5920">
        <v>-1.1210573779849999</v>
      </c>
      <c r="AH5920">
        <v>96.162495174517304</v>
      </c>
      <c r="AI5920">
        <v>90.667911320320599</v>
      </c>
      <c r="AJ5920">
        <v>89.692055031928803</v>
      </c>
      <c r="AK5920">
        <v>96.170418407474898</v>
      </c>
      <c r="AL5920">
        <v>81.972597160622897</v>
      </c>
      <c r="AM5920">
        <v>86.255406076125695</v>
      </c>
      <c r="AN5920">
        <v>0.99999999779708504</v>
      </c>
    </row>
    <row r="5921" spans="1:40" x14ac:dyDescent="0.25">
      <c r="A5921" t="str">
        <f>"20190303162030740"</f>
        <v>20190303162030740</v>
      </c>
      <c r="B5921" t="str">
        <f>"1551601230728577"</f>
        <v>1551601230728577</v>
      </c>
      <c r="C5921" t="s">
        <v>40</v>
      </c>
      <c r="D5921">
        <v>4.7157260000000001</v>
      </c>
      <c r="E5921">
        <v>0.47862280000000001</v>
      </c>
      <c r="F5921" t="s">
        <v>41</v>
      </c>
      <c r="G5921">
        <v>-188.19399999999999</v>
      </c>
      <c r="H5921" s="1">
        <v>-4.5667569999999999E-6</v>
      </c>
      <c r="I5921">
        <v>89.53125</v>
      </c>
      <c r="J5921">
        <v>-192.14259999999999</v>
      </c>
      <c r="K5921">
        <v>1.121043</v>
      </c>
      <c r="L5921">
        <v>188.02770000000001</v>
      </c>
      <c r="M5921">
        <v>4.7382580000000001E-2</v>
      </c>
      <c r="N5921">
        <v>-1.2962619999999999E-2</v>
      </c>
      <c r="O5921">
        <v>-0.99879269999999998</v>
      </c>
      <c r="P5921">
        <v>-1.8640879999999999E-2</v>
      </c>
      <c r="Q5921">
        <v>0.12623819999999999</v>
      </c>
      <c r="R5921">
        <v>-0.99182499999999996</v>
      </c>
      <c r="S5921">
        <v>0.121521</v>
      </c>
      <c r="T5921">
        <v>-3.4468529999999997E-2</v>
      </c>
      <c r="U5921">
        <v>-3.031342</v>
      </c>
      <c r="V5921">
        <v>6.5797110000000006E-2</v>
      </c>
      <c r="W5921">
        <v>0.1389743</v>
      </c>
      <c r="X5921">
        <v>0.98810770000000003</v>
      </c>
      <c r="Y5921">
        <v>7.3364040000000004E-3</v>
      </c>
      <c r="Z5921">
        <v>-1.604306E-3</v>
      </c>
      <c r="AA5921">
        <v>0.99997179999999997</v>
      </c>
      <c r="AB5921">
        <v>16</v>
      </c>
      <c r="AC5921">
        <v>3.9485999999999701</v>
      </c>
      <c r="AD5921">
        <v>-1.1210475667569999</v>
      </c>
      <c r="AE5921">
        <v>-98.496449999999996</v>
      </c>
      <c r="AF5921">
        <v>0.72315030654809698</v>
      </c>
      <c r="AG5921">
        <v>-1.1210475667569999</v>
      </c>
      <c r="AH5921">
        <v>98.560165129913003</v>
      </c>
      <c r="AI5921">
        <v>90.651650652026404</v>
      </c>
      <c r="AJ5921">
        <v>89.5796200525579</v>
      </c>
      <c r="AK5921">
        <v>98.569193181483001</v>
      </c>
      <c r="AL5921">
        <v>82.011502003331401</v>
      </c>
      <c r="AM5921">
        <v>86.190355103174596</v>
      </c>
      <c r="AN5921">
        <v>0.99999997127206497</v>
      </c>
    </row>
    <row r="5922" spans="1:40" x14ac:dyDescent="0.25">
      <c r="A5922" t="str">
        <f>"20190303162030753"</f>
        <v>20190303162030753</v>
      </c>
      <c r="B5922" t="str">
        <f>"1551601230748097"</f>
        <v>1551601230748097</v>
      </c>
      <c r="C5922" t="s">
        <v>40</v>
      </c>
      <c r="D5922">
        <v>4.7020439999999999</v>
      </c>
      <c r="E5922">
        <v>0.48906680000000002</v>
      </c>
      <c r="F5922" t="s">
        <v>41</v>
      </c>
      <c r="G5922">
        <v>-188.59209999999999</v>
      </c>
      <c r="H5922" s="1">
        <v>-2.8719969999999999E-6</v>
      </c>
      <c r="I5922">
        <v>95.745320000000007</v>
      </c>
      <c r="J5922">
        <v>-192.13900000000001</v>
      </c>
      <c r="K5922">
        <v>1.12103</v>
      </c>
      <c r="L5922">
        <v>187.9342</v>
      </c>
      <c r="M5922">
        <v>4.67032E-2</v>
      </c>
      <c r="N5922">
        <v>-1.291323E-2</v>
      </c>
      <c r="O5922">
        <v>-0.99882550000000003</v>
      </c>
      <c r="P5922">
        <v>-2.0423779999999999E-2</v>
      </c>
      <c r="Q5922">
        <v>0.1254083</v>
      </c>
      <c r="R5922">
        <v>-0.99189539999999998</v>
      </c>
      <c r="S5922">
        <v>0.1166382</v>
      </c>
      <c r="T5922">
        <v>-3.6827680000000002E-2</v>
      </c>
      <c r="U5922">
        <v>-3.0315859999999999</v>
      </c>
      <c r="V5922">
        <v>6.6906569999999999E-2</v>
      </c>
      <c r="W5922">
        <v>0.138095</v>
      </c>
      <c r="X5922">
        <v>0.98815649999999999</v>
      </c>
      <c r="Y5922">
        <v>8.2673179999999992E-3</v>
      </c>
      <c r="Z5922">
        <v>-7.7916019999999995E-4</v>
      </c>
      <c r="AA5922">
        <v>0.99996549999999995</v>
      </c>
      <c r="AB5922">
        <v>16</v>
      </c>
      <c r="AC5922">
        <v>3.5469000000000199</v>
      </c>
      <c r="AD5922">
        <v>-1.121032871997</v>
      </c>
      <c r="AE5922">
        <v>-92.188879999999997</v>
      </c>
      <c r="AF5922">
        <v>0.76273239947257399</v>
      </c>
      <c r="AG5922">
        <v>-1.121032871997</v>
      </c>
      <c r="AH5922">
        <v>92.240313647060205</v>
      </c>
      <c r="AI5922">
        <v>90.696280098648302</v>
      </c>
      <c r="AJ5922">
        <v>89.526233707784598</v>
      </c>
      <c r="AK5922">
        <v>92.250278791564298</v>
      </c>
      <c r="AL5922">
        <v>82.062372877834903</v>
      </c>
      <c r="AM5922">
        <v>86.126502177113693</v>
      </c>
      <c r="AN5922">
        <v>0.99999999331320699</v>
      </c>
    </row>
    <row r="5923" spans="1:40" x14ac:dyDescent="0.25">
      <c r="A5923" t="str">
        <f>"20190303162030768"</f>
        <v>20190303162030768</v>
      </c>
      <c r="B5923" t="str">
        <f>"1551601230758833"</f>
        <v>1551601230758833</v>
      </c>
      <c r="C5923" t="s">
        <v>40</v>
      </c>
      <c r="D5923">
        <v>4.6731449999999999</v>
      </c>
      <c r="E5923">
        <v>0.49264999999999998</v>
      </c>
      <c r="F5923" t="s">
        <v>41</v>
      </c>
      <c r="G5923">
        <v>-191.98269999999999</v>
      </c>
      <c r="H5923" s="1">
        <v>-1.1932390000000001E-6</v>
      </c>
      <c r="I5923">
        <v>171.14089999999999</v>
      </c>
      <c r="J5923">
        <v>-192.13489999999999</v>
      </c>
      <c r="K5923">
        <v>1.1210180000000001</v>
      </c>
      <c r="L5923">
        <v>187.8272</v>
      </c>
      <c r="M5923">
        <v>4.5926649999999999E-2</v>
      </c>
      <c r="N5923">
        <v>-1.285247E-2</v>
      </c>
      <c r="O5923">
        <v>-0.99886220000000003</v>
      </c>
      <c r="P5923">
        <v>-2.193208E-2</v>
      </c>
      <c r="Q5923">
        <v>0.124170699999999</v>
      </c>
      <c r="R5923">
        <v>-0.99201879999999998</v>
      </c>
      <c r="S5923">
        <v>2.8396609999999999E-2</v>
      </c>
      <c r="T5923">
        <v>-0.203656</v>
      </c>
      <c r="U5923">
        <v>-3.0508120000000001</v>
      </c>
      <c r="V5923">
        <v>6.7646990000000004E-2</v>
      </c>
      <c r="W5923">
        <v>0.136798</v>
      </c>
      <c r="X5923">
        <v>0.98828649999999996</v>
      </c>
      <c r="Y5923">
        <v>3.6625449999999997E-2</v>
      </c>
      <c r="Z5923">
        <v>5.3650639999999999E-2</v>
      </c>
      <c r="AA5923">
        <v>0.99788779999999999</v>
      </c>
      <c r="AB5923">
        <v>16</v>
      </c>
      <c r="AC5923">
        <v>0.15219999999999301</v>
      </c>
      <c r="AD5923">
        <v>-1.1210191932389999</v>
      </c>
      <c r="AE5923">
        <v>-16.686299999999999</v>
      </c>
      <c r="AF5923">
        <v>0.61160951289490595</v>
      </c>
      <c r="AG5923">
        <v>-1.1210191932389999</v>
      </c>
      <c r="AH5923">
        <v>16.6007605514123</v>
      </c>
      <c r="AI5923">
        <v>93.860603556590803</v>
      </c>
      <c r="AJ5923">
        <v>87.890048379245002</v>
      </c>
      <c r="AK5923">
        <v>16.6498048370904</v>
      </c>
      <c r="AL5923">
        <v>82.137397663639604</v>
      </c>
      <c r="AM5923">
        <v>86.084282403755594</v>
      </c>
      <c r="AN5923">
        <v>1.0000000070711501</v>
      </c>
    </row>
    <row r="5924" spans="1:40" x14ac:dyDescent="0.25">
      <c r="A5924" t="str">
        <f>"20190303162030783"</f>
        <v>20190303162030783</v>
      </c>
      <c r="B5924" t="str">
        <f>"1551601230778353"</f>
        <v>1551601230778353</v>
      </c>
      <c r="C5924" t="s">
        <v>40</v>
      </c>
      <c r="D5924">
        <v>4.6900490000000001</v>
      </c>
      <c r="E5924">
        <v>0.49264999999999998</v>
      </c>
      <c r="F5924" t="s">
        <v>42</v>
      </c>
      <c r="G5924">
        <v>-192.13630000000001</v>
      </c>
      <c r="H5924">
        <v>1.043685</v>
      </c>
      <c r="I5924">
        <v>186.9794</v>
      </c>
      <c r="J5924">
        <v>-192.1309</v>
      </c>
      <c r="K5924">
        <v>1.1210059999999999</v>
      </c>
      <c r="L5924">
        <v>187.72069999999999</v>
      </c>
      <c r="M5924">
        <v>4.5154960000000001E-2</v>
      </c>
      <c r="N5924">
        <v>-1.278378E-2</v>
      </c>
      <c r="O5924">
        <v>-0.99889839999999996</v>
      </c>
      <c r="P5924">
        <v>-2.406939E-2</v>
      </c>
      <c r="Q5924">
        <v>0.1223474</v>
      </c>
      <c r="R5924">
        <v>-0.99219570000000001</v>
      </c>
      <c r="S5924">
        <v>-4.8828129999999997E-3</v>
      </c>
      <c r="T5924">
        <v>-0.27905360000000001</v>
      </c>
      <c r="U5924">
        <v>-3.0589599999999999</v>
      </c>
      <c r="V5924">
        <v>6.9021890000000002E-2</v>
      </c>
      <c r="W5924">
        <v>0.13490739999999901</v>
      </c>
      <c r="X5924">
        <v>0.98845130000000003</v>
      </c>
      <c r="Y5924">
        <v>4.6717210000000002E-2</v>
      </c>
      <c r="Z5924">
        <v>7.7920500000000004E-2</v>
      </c>
      <c r="AA5924">
        <v>0.99586439999999998</v>
      </c>
      <c r="AB5924">
        <v>16</v>
      </c>
      <c r="AC5924">
        <v>-5.4000000000087303E-3</v>
      </c>
      <c r="AD5924">
        <v>-7.7320999999999904E-2</v>
      </c>
      <c r="AE5924">
        <v>-0.74129999999999496</v>
      </c>
      <c r="AF5924">
        <v>3.8452274221261198E-2</v>
      </c>
      <c r="AG5924">
        <v>-7.7320999999999904E-2</v>
      </c>
      <c r="AH5924">
        <v>0.73233293350999995</v>
      </c>
      <c r="AI5924">
        <v>96.018829789360495</v>
      </c>
      <c r="AJ5924">
        <v>86.994356507020797</v>
      </c>
      <c r="AK5924">
        <v>0.73740669914040602</v>
      </c>
      <c r="AL5924">
        <v>82.246734686088402</v>
      </c>
      <c r="AM5924">
        <v>86.005615963989598</v>
      </c>
      <c r="AN5924">
        <v>1.00000000017281</v>
      </c>
    </row>
    <row r="5925" spans="1:40" x14ac:dyDescent="0.25">
      <c r="A5925" t="str">
        <f>"20190303162030806"</f>
        <v>20190303162030806</v>
      </c>
      <c r="B5925" t="str">
        <f>"1551601230797873"</f>
        <v>1551601230797873</v>
      </c>
      <c r="C5925" t="s">
        <v>40</v>
      </c>
      <c r="D5925">
        <v>4.7065000000000001</v>
      </c>
      <c r="E5925">
        <v>0.51418079999999999</v>
      </c>
      <c r="F5925" t="s">
        <v>42</v>
      </c>
      <c r="G5925">
        <v>-192.13399999999999</v>
      </c>
      <c r="H5925">
        <v>1.0513220000000001</v>
      </c>
      <c r="I5925">
        <v>186.97219999999999</v>
      </c>
      <c r="J5925">
        <v>-192.1249</v>
      </c>
      <c r="K5925">
        <v>1.120989</v>
      </c>
      <c r="L5925">
        <v>187.55600000000001</v>
      </c>
      <c r="M5925">
        <v>4.3965869999999997E-2</v>
      </c>
      <c r="N5925">
        <v>-1.265836E-2</v>
      </c>
      <c r="O5925">
        <v>-0.99895299999999998</v>
      </c>
      <c r="P5925">
        <v>-2.559283E-2</v>
      </c>
      <c r="Q5925">
        <v>0.12259730000000001</v>
      </c>
      <c r="R5925">
        <v>-0.99212670000000003</v>
      </c>
      <c r="S5925">
        <v>-1.231384E-2</v>
      </c>
      <c r="T5925">
        <v>-0.28475440000000002</v>
      </c>
      <c r="U5925">
        <v>-3.058395</v>
      </c>
      <c r="V5925">
        <v>6.9360379999999999E-2</v>
      </c>
      <c r="W5925">
        <v>0.13503309999999999</v>
      </c>
      <c r="X5925">
        <v>0.98841040000000002</v>
      </c>
      <c r="Y5925">
        <v>4.7946290000000003E-2</v>
      </c>
      <c r="Z5925">
        <v>7.9904499999999906E-2</v>
      </c>
      <c r="AA5925">
        <v>0.99564870000000005</v>
      </c>
      <c r="AB5925">
        <v>16</v>
      </c>
      <c r="AC5925">
        <v>-9.1000000000178698E-3</v>
      </c>
      <c r="AD5925">
        <v>-6.9667000000000104E-2</v>
      </c>
      <c r="AE5925">
        <v>-0.58379999999999599</v>
      </c>
      <c r="AF5925">
        <v>3.4272585431197398E-2</v>
      </c>
      <c r="AG5925">
        <v>-6.9667000000000104E-2</v>
      </c>
      <c r="AH5925">
        <v>0.57465388739041301</v>
      </c>
      <c r="AI5925">
        <v>96.900261995781506</v>
      </c>
      <c r="AJ5925">
        <v>86.586899959549399</v>
      </c>
      <c r="AK5925">
        <v>0.57987515147146296</v>
      </c>
      <c r="AL5925">
        <v>82.2394657798107</v>
      </c>
      <c r="AM5925">
        <v>85.985925443062598</v>
      </c>
      <c r="AN5925">
        <v>0.99999995961875598</v>
      </c>
    </row>
    <row r="5926" spans="1:40" x14ac:dyDescent="0.25">
      <c r="A5926" t="str">
        <f>"20190303162030828"</f>
        <v>20190303162030828</v>
      </c>
      <c r="B5926" t="str">
        <f>"1551601230818368"</f>
        <v>1551601230818368</v>
      </c>
      <c r="C5926" t="s">
        <v>40</v>
      </c>
      <c r="D5926">
        <v>4.7038419999999999</v>
      </c>
      <c r="E5926">
        <v>0.51429979999999997</v>
      </c>
      <c r="F5926" t="s">
        <v>42</v>
      </c>
      <c r="G5926">
        <v>-192.17330000000001</v>
      </c>
      <c r="H5926">
        <v>0.90284339999999996</v>
      </c>
      <c r="I5926">
        <v>186.75890000000001</v>
      </c>
      <c r="J5926">
        <v>-192.11940000000001</v>
      </c>
      <c r="K5926">
        <v>1.1209800000000001</v>
      </c>
      <c r="L5926">
        <v>187.40289999999999</v>
      </c>
      <c r="M5926">
        <v>4.2864069999999997E-2</v>
      </c>
      <c r="N5926">
        <v>-1.2528340000000001E-2</v>
      </c>
      <c r="O5926">
        <v>-0.99900250000000002</v>
      </c>
      <c r="P5926">
        <v>-2.6352230000000001E-2</v>
      </c>
      <c r="Q5926">
        <v>0.124249499999999</v>
      </c>
      <c r="R5926">
        <v>-0.99190120000000004</v>
      </c>
      <c r="S5926">
        <v>-0.18936159999999999</v>
      </c>
      <c r="T5926">
        <v>-0.85497309999999904</v>
      </c>
      <c r="U5926">
        <v>-3.1245729999999998</v>
      </c>
      <c r="V5926">
        <v>6.9017480000000006E-2</v>
      </c>
      <c r="W5926">
        <v>0.1365557</v>
      </c>
      <c r="X5926">
        <v>0.98822520000000003</v>
      </c>
      <c r="Y5926">
        <v>0.1011098</v>
      </c>
      <c r="Z5926">
        <v>0.2505405</v>
      </c>
      <c r="AA5926">
        <v>0.96281159999999999</v>
      </c>
      <c r="AB5926">
        <v>16</v>
      </c>
      <c r="AC5926">
        <v>-5.3899999999998699E-2</v>
      </c>
      <c r="AD5926">
        <v>-0.21813659999999899</v>
      </c>
      <c r="AE5926">
        <v>-0.64399999999997704</v>
      </c>
      <c r="AF5926">
        <v>7.3125579988492007E-2</v>
      </c>
      <c r="AG5926">
        <v>-0.21813659999999899</v>
      </c>
      <c r="AH5926">
        <v>0.57552548201931097</v>
      </c>
      <c r="AI5926">
        <v>110.60619636942999</v>
      </c>
      <c r="AJ5926">
        <v>82.758867178180196</v>
      </c>
      <c r="AK5926">
        <v>0.619806830522037</v>
      </c>
      <c r="AL5926">
        <v>82.151411564363997</v>
      </c>
      <c r="AM5926">
        <v>86.004959476011393</v>
      </c>
      <c r="AN5926">
        <v>0.99999995883153903</v>
      </c>
    </row>
    <row r="5927" spans="1:40" x14ac:dyDescent="0.25">
      <c r="A5927" t="str">
        <f>"20190303162030841"</f>
        <v>20190303162030841</v>
      </c>
      <c r="B5927" t="str">
        <f>"1551601230838865"</f>
        <v>1551601230838865</v>
      </c>
      <c r="C5927" t="s">
        <v>40</v>
      </c>
      <c r="D5927">
        <v>4.7325939999999997</v>
      </c>
      <c r="E5927">
        <v>0.51358280000000001</v>
      </c>
      <c r="F5927" t="s">
        <v>42</v>
      </c>
      <c r="G5927">
        <v>-192.16820000000001</v>
      </c>
      <c r="H5927">
        <v>0.9057151</v>
      </c>
      <c r="I5927">
        <v>186.61359999999999</v>
      </c>
      <c r="J5927">
        <v>-192.11590000000001</v>
      </c>
      <c r="K5927">
        <v>1.1209739999999999</v>
      </c>
      <c r="L5927">
        <v>187.2997</v>
      </c>
      <c r="M5927">
        <v>4.2123750000000001E-2</v>
      </c>
      <c r="N5927">
        <v>-1.244143E-2</v>
      </c>
      <c r="O5927">
        <v>-0.99903489999999995</v>
      </c>
      <c r="P5927">
        <v>-2.675452E-2</v>
      </c>
      <c r="Q5927">
        <v>0.1251862</v>
      </c>
      <c r="R5927">
        <v>-0.9917724</v>
      </c>
      <c r="S5927">
        <v>-0.192749</v>
      </c>
      <c r="T5927">
        <v>-0.85254419999999898</v>
      </c>
      <c r="U5927">
        <v>-3.1261749999999999</v>
      </c>
      <c r="V5927">
        <v>6.8680610000000003E-2</v>
      </c>
      <c r="W5927">
        <v>0.1374059</v>
      </c>
      <c r="X5927">
        <v>0.98813090000000003</v>
      </c>
      <c r="Y5927">
        <v>0.1013954</v>
      </c>
      <c r="Z5927">
        <v>0.2498031</v>
      </c>
      <c r="AA5927">
        <v>0.96297319999999997</v>
      </c>
      <c r="AB5927">
        <v>16</v>
      </c>
      <c r="AC5927">
        <v>-5.23000000000024E-2</v>
      </c>
      <c r="AD5927">
        <v>-0.215258899999999</v>
      </c>
      <c r="AE5927">
        <v>-0.68610000000001004</v>
      </c>
      <c r="AF5927">
        <v>7.3922433048680097E-2</v>
      </c>
      <c r="AG5927">
        <v>-0.215258899999999</v>
      </c>
      <c r="AH5927">
        <v>0.62237812147613603</v>
      </c>
      <c r="AI5927">
        <v>108.95508777900601</v>
      </c>
      <c r="AJ5927">
        <v>83.226475522780802</v>
      </c>
      <c r="AK5927">
        <v>0.66268804593806496</v>
      </c>
      <c r="AL5927">
        <v>82.102235794754094</v>
      </c>
      <c r="AM5927">
        <v>86.024018152199005</v>
      </c>
      <c r="AN5927">
        <v>1.0000000415397901</v>
      </c>
    </row>
    <row r="5928" spans="1:40" x14ac:dyDescent="0.25">
      <c r="A5928" t="str">
        <f>"20190303162030854"</f>
        <v>20190303162030854</v>
      </c>
      <c r="B5928" t="str">
        <f>"1551601230848626"</f>
        <v>1551601230848626</v>
      </c>
      <c r="C5928" t="s">
        <v>40</v>
      </c>
      <c r="D5928">
        <v>4.7780300000000002</v>
      </c>
      <c r="E5928">
        <v>0.51324539999999996</v>
      </c>
      <c r="F5928" t="s">
        <v>42</v>
      </c>
      <c r="G5928">
        <v>-192.15790000000001</v>
      </c>
      <c r="H5928">
        <v>0.93113639999999998</v>
      </c>
      <c r="I5928">
        <v>186.60210000000001</v>
      </c>
      <c r="J5928">
        <v>-192.1129</v>
      </c>
      <c r="K5928">
        <v>1.12097</v>
      </c>
      <c r="L5928">
        <v>187.2123</v>
      </c>
      <c r="M5928">
        <v>4.149767E-2</v>
      </c>
      <c r="N5928">
        <v>-1.236902E-2</v>
      </c>
      <c r="O5928">
        <v>-0.99906209999999995</v>
      </c>
      <c r="P5928">
        <v>-2.668922E-2</v>
      </c>
      <c r="Q5928">
        <v>0.12610560000000001</v>
      </c>
      <c r="R5928">
        <v>-0.99165800000000004</v>
      </c>
      <c r="S5928">
        <v>-0.18788150000000001</v>
      </c>
      <c r="T5928">
        <v>-0.85097780000000001</v>
      </c>
      <c r="U5928">
        <v>-3.127243</v>
      </c>
      <c r="V5928">
        <v>6.7991010000000004E-2</v>
      </c>
      <c r="W5928">
        <v>0.13825370000000001</v>
      </c>
      <c r="X5928">
        <v>0.9880603</v>
      </c>
      <c r="Y5928">
        <v>9.9270200000000003E-2</v>
      </c>
      <c r="Z5928">
        <v>0.24939130000000001</v>
      </c>
      <c r="AA5928">
        <v>0.96330130000000003</v>
      </c>
      <c r="AB5928">
        <v>16</v>
      </c>
      <c r="AC5928">
        <v>-4.5000000000015902E-2</v>
      </c>
      <c r="AD5928">
        <v>-0.18983359999999999</v>
      </c>
      <c r="AE5928">
        <v>-0.61019999999999097</v>
      </c>
      <c r="AF5928">
        <v>6.4113476267915998E-2</v>
      </c>
      <c r="AG5928">
        <v>-0.18983359999999999</v>
      </c>
      <c r="AH5928">
        <v>0.55443663784813202</v>
      </c>
      <c r="AI5928">
        <v>108.784379128821</v>
      </c>
      <c r="AJ5928">
        <v>83.403776325623497</v>
      </c>
      <c r="AK5928">
        <v>0.58953144014247205</v>
      </c>
      <c r="AL5928">
        <v>82.053192104817199</v>
      </c>
      <c r="AM5928">
        <v>86.063533219304603</v>
      </c>
      <c r="AN5928">
        <v>1.0000000097202999</v>
      </c>
    </row>
    <row r="5929" spans="1:40" x14ac:dyDescent="0.25">
      <c r="A5929" t="str">
        <f>"20190303162030867"</f>
        <v>20190303162030867</v>
      </c>
      <c r="B5929" t="str">
        <f>"1551601230858385"</f>
        <v>1551601230858385</v>
      </c>
      <c r="C5929" t="s">
        <v>40</v>
      </c>
      <c r="D5929">
        <v>4.7085059999999999</v>
      </c>
      <c r="E5929">
        <v>0.51300380000000001</v>
      </c>
      <c r="F5929" t="s">
        <v>42</v>
      </c>
      <c r="G5929">
        <v>-192.15719999999999</v>
      </c>
      <c r="H5929">
        <v>0.91778519999999997</v>
      </c>
      <c r="I5929">
        <v>186.46430000000001</v>
      </c>
      <c r="J5929">
        <v>-192.10990000000001</v>
      </c>
      <c r="K5929">
        <v>1.1209639999999901</v>
      </c>
      <c r="L5929">
        <v>187.12139999999999</v>
      </c>
      <c r="M5929">
        <v>4.0846790000000001E-2</v>
      </c>
      <c r="N5929">
        <v>-1.2294299999999999E-2</v>
      </c>
      <c r="O5929">
        <v>-0.99909000000000003</v>
      </c>
      <c r="P5929">
        <v>-2.7052949999999999E-2</v>
      </c>
      <c r="Q5929">
        <v>0.12662470000000001</v>
      </c>
      <c r="R5929">
        <v>-0.99158190000000002</v>
      </c>
      <c r="S5929">
        <v>-0.18492130000000001</v>
      </c>
      <c r="T5929">
        <v>-0.84974879999999997</v>
      </c>
      <c r="U5929">
        <v>-3.128342</v>
      </c>
      <c r="V5929">
        <v>6.7706950000000002E-2</v>
      </c>
      <c r="W5929">
        <v>0.13869899999999999</v>
      </c>
      <c r="X5929">
        <v>0.98801740000000005</v>
      </c>
      <c r="Y5929">
        <v>9.7702720000000007E-2</v>
      </c>
      <c r="Z5929">
        <v>0.2490638</v>
      </c>
      <c r="AA5929">
        <v>0.96354629999999997</v>
      </c>
      <c r="AB5929">
        <v>16</v>
      </c>
      <c r="AC5929">
        <v>-4.7299999999978498E-2</v>
      </c>
      <c r="AD5929">
        <v>-0.20317879999999899</v>
      </c>
      <c r="AE5929">
        <v>-0.65709999999998503</v>
      </c>
      <c r="AF5929">
        <v>6.76668314650615E-2</v>
      </c>
      <c r="AG5929">
        <v>-0.20317879999999899</v>
      </c>
      <c r="AH5929">
        <v>0.59776304228464505</v>
      </c>
      <c r="AI5929">
        <v>108.661959781896</v>
      </c>
      <c r="AJ5929">
        <v>83.541605358367704</v>
      </c>
      <c r="AK5929">
        <v>0.63496541604354695</v>
      </c>
      <c r="AL5929">
        <v>82.027430124208195</v>
      </c>
      <c r="AM5929">
        <v>86.079758342179403</v>
      </c>
      <c r="AN5929">
        <v>1.00000001319103</v>
      </c>
    </row>
    <row r="5930" spans="1:40" x14ac:dyDescent="0.25">
      <c r="A5930" t="str">
        <f>"20190303162030879"</f>
        <v>20190303162030879</v>
      </c>
      <c r="B5930" t="str">
        <f>"1551601230868144"</f>
        <v>1551601230868144</v>
      </c>
      <c r="C5930" t="s">
        <v>40</v>
      </c>
      <c r="D5930">
        <v>4.7329689999999998</v>
      </c>
      <c r="E5930">
        <v>0.51302559999999997</v>
      </c>
      <c r="F5930" t="s">
        <v>42</v>
      </c>
      <c r="G5930">
        <v>-192.1567</v>
      </c>
      <c r="H5930">
        <v>0.90514249999999996</v>
      </c>
      <c r="I5930">
        <v>186.32550000000001</v>
      </c>
      <c r="J5930">
        <v>-192.10669999999999</v>
      </c>
      <c r="K5930">
        <v>1.120959</v>
      </c>
      <c r="L5930">
        <v>187.02379999999999</v>
      </c>
      <c r="M5930">
        <v>4.0150520000000002E-2</v>
      </c>
      <c r="N5930">
        <v>-1.221569E-2</v>
      </c>
      <c r="O5930">
        <v>-0.99911930000000004</v>
      </c>
      <c r="P5930">
        <v>-2.7493790000000001E-2</v>
      </c>
      <c r="Q5930">
        <v>0.1274081</v>
      </c>
      <c r="R5930">
        <v>-0.99146970000000001</v>
      </c>
      <c r="S5930">
        <v>-0.18373110000000001</v>
      </c>
      <c r="T5930">
        <v>-0.84847349999999999</v>
      </c>
      <c r="U5930">
        <v>-3.1288299999999998</v>
      </c>
      <c r="V5930">
        <v>6.7454490000000006E-2</v>
      </c>
      <c r="W5930">
        <v>0.13940359999999999</v>
      </c>
      <c r="X5930">
        <v>0.98793549999999997</v>
      </c>
      <c r="Y5930">
        <v>9.6643019999999996E-2</v>
      </c>
      <c r="Z5930">
        <v>0.2487637</v>
      </c>
      <c r="AA5930">
        <v>0.96373059999999999</v>
      </c>
      <c r="AB5930">
        <v>16</v>
      </c>
      <c r="AC5930">
        <v>-5.0000000000011299E-2</v>
      </c>
      <c r="AD5930">
        <v>-0.21581649999999999</v>
      </c>
      <c r="AE5930">
        <v>-0.69829999999998804</v>
      </c>
      <c r="AF5930">
        <v>7.12298396998121E-2</v>
      </c>
      <c r="AG5930">
        <v>-0.21581649999999999</v>
      </c>
      <c r="AH5930">
        <v>0.63535123682361205</v>
      </c>
      <c r="AI5930">
        <v>108.652924818827</v>
      </c>
      <c r="AJ5930">
        <v>83.6032257519811</v>
      </c>
      <c r="AK5930">
        <v>0.67477525582167297</v>
      </c>
      <c r="AL5930">
        <v>81.9866634676209</v>
      </c>
      <c r="AM5930">
        <v>86.094007708017102</v>
      </c>
      <c r="AN5930">
        <v>1.0000000120371799</v>
      </c>
    </row>
    <row r="5931" spans="1:40" x14ac:dyDescent="0.25">
      <c r="A5931" t="str">
        <f>"20190303162030895"</f>
        <v>20190303162030895</v>
      </c>
      <c r="B5931" t="str">
        <f>"1551601230888641"</f>
        <v>1551601230888641</v>
      </c>
      <c r="C5931" t="s">
        <v>40</v>
      </c>
      <c r="D5931">
        <v>4.6702500000000002</v>
      </c>
      <c r="E5931">
        <v>0.51261909999999999</v>
      </c>
      <c r="F5931" t="s">
        <v>42</v>
      </c>
      <c r="G5931">
        <v>-192.14859999999999</v>
      </c>
      <c r="H5931">
        <v>0.92918710000000004</v>
      </c>
      <c r="I5931">
        <v>186.31469999999999</v>
      </c>
      <c r="J5931">
        <v>-192.10329999999999</v>
      </c>
      <c r="K5931">
        <v>1.1209469999999999</v>
      </c>
      <c r="L5931">
        <v>186.9162</v>
      </c>
      <c r="M5931">
        <v>3.9383260000000003E-2</v>
      </c>
      <c r="N5931">
        <v>-1.213173E-2</v>
      </c>
      <c r="O5931">
        <v>-0.99915050000000005</v>
      </c>
      <c r="P5931">
        <v>-2.9020959999999998E-2</v>
      </c>
      <c r="Q5931">
        <v>0.12783510000000001</v>
      </c>
      <c r="R5931">
        <v>-0.99137090000000005</v>
      </c>
      <c r="S5931">
        <v>-0.18444820000000001</v>
      </c>
      <c r="T5931">
        <v>-0.84623930000000003</v>
      </c>
      <c r="U5931">
        <v>-3.1294400000000002</v>
      </c>
      <c r="V5931">
        <v>6.8217890000000003E-2</v>
      </c>
      <c r="W5931">
        <v>0.13974539999999999</v>
      </c>
      <c r="X5931">
        <v>0.98783480000000001</v>
      </c>
      <c r="Y5931">
        <v>9.6099539999999997E-2</v>
      </c>
      <c r="Z5931">
        <v>0.24817349999999999</v>
      </c>
      <c r="AA5931">
        <v>0.96393709999999999</v>
      </c>
      <c r="AB5931">
        <v>16</v>
      </c>
      <c r="AC5931">
        <v>-4.5299999999997398E-2</v>
      </c>
      <c r="AD5931">
        <v>-0.19175990000000001</v>
      </c>
      <c r="AE5931">
        <v>-0.60150000000001502</v>
      </c>
      <c r="AF5931">
        <v>6.2626467072603997E-2</v>
      </c>
      <c r="AG5931">
        <v>-0.19175990000000001</v>
      </c>
      <c r="AH5931">
        <v>0.54424643091023595</v>
      </c>
      <c r="AI5931">
        <v>109.291599472074</v>
      </c>
      <c r="AJ5931">
        <v>83.435842130755603</v>
      </c>
      <c r="AK5931">
        <v>0.58042924735452195</v>
      </c>
      <c r="AL5931">
        <v>81.966886284306497</v>
      </c>
      <c r="AM5931">
        <v>86.049540340452793</v>
      </c>
      <c r="AN5931">
        <v>1.0000000247141201</v>
      </c>
    </row>
    <row r="5932" spans="1:40" x14ac:dyDescent="0.25">
      <c r="A5932" t="str">
        <f>"20190303162030909"</f>
        <v>20190303162030909</v>
      </c>
      <c r="B5932" t="str">
        <f>"1551601230898401"</f>
        <v>1551601230898401</v>
      </c>
      <c r="C5932" t="s">
        <v>40</v>
      </c>
      <c r="D5932">
        <v>4.7461190000000002</v>
      </c>
      <c r="E5932">
        <v>0.51251800000000003</v>
      </c>
      <c r="F5932" t="s">
        <v>42</v>
      </c>
      <c r="G5932">
        <v>-192.14689999999999</v>
      </c>
      <c r="H5932">
        <v>0.92065909999999995</v>
      </c>
      <c r="I5932">
        <v>186.17439999999999</v>
      </c>
      <c r="J5932">
        <v>-192.1002</v>
      </c>
      <c r="K5932">
        <v>1.1209279999999999</v>
      </c>
      <c r="L5932">
        <v>186.81399999999999</v>
      </c>
      <c r="M5932">
        <v>3.8655969999999998E-2</v>
      </c>
      <c r="N5932">
        <v>-1.205527E-2</v>
      </c>
      <c r="O5932">
        <v>-0.99917979999999995</v>
      </c>
      <c r="P5932">
        <v>-3.1134370000000001E-2</v>
      </c>
      <c r="Q5932">
        <v>0.12801709999999999</v>
      </c>
      <c r="R5932">
        <v>-0.99128329999999998</v>
      </c>
      <c r="S5932">
        <v>-0.183197</v>
      </c>
      <c r="T5932">
        <v>-0.84500419999999998</v>
      </c>
      <c r="U5932">
        <v>-3.1297450000000002</v>
      </c>
      <c r="V5932">
        <v>6.9607119999999995E-2</v>
      </c>
      <c r="W5932">
        <v>0.13984829999999901</v>
      </c>
      <c r="X5932">
        <v>0.98772329999999997</v>
      </c>
      <c r="Y5932">
        <v>9.4993030000000006E-2</v>
      </c>
      <c r="Z5932">
        <v>0.24789739999999999</v>
      </c>
      <c r="AA5932">
        <v>0.96411780000000002</v>
      </c>
      <c r="AB5932">
        <v>16</v>
      </c>
      <c r="AC5932">
        <v>-4.6699999999987002E-2</v>
      </c>
      <c r="AD5932">
        <v>-0.2002689</v>
      </c>
      <c r="AE5932">
        <v>-0.63960000000002903</v>
      </c>
      <c r="AF5932">
        <v>6.5047689572106202E-2</v>
      </c>
      <c r="AG5932">
        <v>-0.2002689</v>
      </c>
      <c r="AH5932">
        <v>0.58068696901671202</v>
      </c>
      <c r="AI5932">
        <v>108.91858976591899</v>
      </c>
      <c r="AJ5932">
        <v>83.608457229983003</v>
      </c>
      <c r="AK5932">
        <v>0.61768615834555896</v>
      </c>
      <c r="AL5932">
        <v>81.960931942524198</v>
      </c>
      <c r="AM5932">
        <v>85.968899835777705</v>
      </c>
      <c r="AN5932">
        <v>1.00000000776523</v>
      </c>
    </row>
    <row r="5933" spans="1:40" x14ac:dyDescent="0.25">
      <c r="A5933" t="str">
        <f>"20190303162030921"</f>
        <v>20190303162030921</v>
      </c>
      <c r="B5933" t="str">
        <f>"1551601230917920"</f>
        <v>1551601230917920</v>
      </c>
      <c r="C5933" t="s">
        <v>40</v>
      </c>
      <c r="D5933">
        <v>4.7460849999999999</v>
      </c>
      <c r="E5933">
        <v>0.51223549999999995</v>
      </c>
      <c r="F5933" t="s">
        <v>42</v>
      </c>
      <c r="G5933">
        <v>-192.14689999999999</v>
      </c>
      <c r="H5933">
        <v>0.91045770000000004</v>
      </c>
      <c r="I5933">
        <v>186.03450000000001</v>
      </c>
      <c r="J5933">
        <v>-192.09729999999999</v>
      </c>
      <c r="K5933">
        <v>1.120914</v>
      </c>
      <c r="L5933">
        <v>186.72040000000001</v>
      </c>
      <c r="M5933">
        <v>3.798928E-2</v>
      </c>
      <c r="N5933">
        <v>-1.198931E-2</v>
      </c>
      <c r="O5933">
        <v>-0.99920629999999999</v>
      </c>
      <c r="P5933">
        <v>-3.3497109999999997E-2</v>
      </c>
      <c r="Q5933">
        <v>0.12796950000000001</v>
      </c>
      <c r="R5933">
        <v>-0.99121239999999999</v>
      </c>
      <c r="S5933">
        <v>-0.18722530000000001</v>
      </c>
      <c r="T5933">
        <v>-0.84492919999999905</v>
      </c>
      <c r="U5933">
        <v>-3.129623</v>
      </c>
      <c r="V5933">
        <v>7.1306030000000006E-2</v>
      </c>
      <c r="W5933">
        <v>0.1397312</v>
      </c>
      <c r="X5933">
        <v>0.98761869999999996</v>
      </c>
      <c r="Y5933">
        <v>9.5567009999999994E-2</v>
      </c>
      <c r="Z5933">
        <v>0.24794269999999999</v>
      </c>
      <c r="AA5933">
        <v>0.9640495</v>
      </c>
      <c r="AB5933">
        <v>16</v>
      </c>
      <c r="AC5933">
        <v>-4.9599999999998E-2</v>
      </c>
      <c r="AD5933">
        <v>-0.21045630000000001</v>
      </c>
      <c r="AE5933">
        <v>-0.68590000000000295</v>
      </c>
      <c r="AF5933">
        <v>6.9146867283186697E-2</v>
      </c>
      <c r="AG5933">
        <v>-0.21045630000000001</v>
      </c>
      <c r="AH5933">
        <v>0.62498646842834105</v>
      </c>
      <c r="AI5933">
        <v>108.50514439512899</v>
      </c>
      <c r="AJ5933">
        <v>83.686621259557299</v>
      </c>
      <c r="AK5933">
        <v>0.66308463199149703</v>
      </c>
      <c r="AL5933">
        <v>81.967707967658299</v>
      </c>
      <c r="AM5933">
        <v>85.870412718080203</v>
      </c>
      <c r="AN5933">
        <v>1.0000000273787399</v>
      </c>
    </row>
    <row r="5934" spans="1:40" x14ac:dyDescent="0.25">
      <c r="A5934" t="str">
        <f>"20190303162030934"</f>
        <v>20190303162030934</v>
      </c>
      <c r="B5934" t="str">
        <f>"1551601230928657"</f>
        <v>1551601230928657</v>
      </c>
      <c r="C5934" t="s">
        <v>40</v>
      </c>
      <c r="D5934">
        <v>4.7744689999999999</v>
      </c>
      <c r="E5934">
        <v>0.5124474</v>
      </c>
      <c r="F5934" t="s">
        <v>42</v>
      </c>
      <c r="G5934">
        <v>-192.13990000000001</v>
      </c>
      <c r="H5934">
        <v>0.93310649999999995</v>
      </c>
      <c r="I5934">
        <v>186.0239</v>
      </c>
      <c r="J5934">
        <v>-192.09469999999999</v>
      </c>
      <c r="K5934">
        <v>1.1209039999999999</v>
      </c>
      <c r="L5934">
        <v>186.6327</v>
      </c>
      <c r="M5934">
        <v>3.7366129999999997E-2</v>
      </c>
      <c r="N5934">
        <v>-1.193221E-2</v>
      </c>
      <c r="O5934">
        <v>-0.99923059999999997</v>
      </c>
      <c r="P5934">
        <v>-3.5875110000000002E-2</v>
      </c>
      <c r="Q5934">
        <v>0.12778909999999999</v>
      </c>
      <c r="R5934">
        <v>-0.9911527</v>
      </c>
      <c r="S5934">
        <v>-0.19103999999999999</v>
      </c>
      <c r="T5934">
        <v>-0.84375879999999903</v>
      </c>
      <c r="U5934">
        <v>-3.1290740000000001</v>
      </c>
      <c r="V5934">
        <v>7.3063459999999997E-2</v>
      </c>
      <c r="W5934">
        <v>0.1394909</v>
      </c>
      <c r="X5934">
        <v>0.98752419999999996</v>
      </c>
      <c r="Y5934">
        <v>9.6131289999999994E-2</v>
      </c>
      <c r="Z5934">
        <v>0.24769740000000001</v>
      </c>
      <c r="AA5934">
        <v>0.96405640000000004</v>
      </c>
      <c r="AB5934">
        <v>16</v>
      </c>
      <c r="AC5934">
        <v>-4.52000000000225E-2</v>
      </c>
      <c r="AD5934">
        <v>-0.18779750000000001</v>
      </c>
      <c r="AE5934">
        <v>-0.60880000000000201</v>
      </c>
      <c r="AF5934">
        <v>6.2046859479639102E-2</v>
      </c>
      <c r="AG5934">
        <v>-0.18779750000000001</v>
      </c>
      <c r="AH5934">
        <v>0.55423659538752201</v>
      </c>
      <c r="AI5934">
        <v>108.61025199126399</v>
      </c>
      <c r="AJ5934">
        <v>83.612326584268203</v>
      </c>
      <c r="AK5934">
        <v>0.58846913040896798</v>
      </c>
      <c r="AL5934">
        <v>81.981612200243504</v>
      </c>
      <c r="AM5934">
        <v>85.768595431835493</v>
      </c>
      <c r="AN5934">
        <v>1.0000000129778099</v>
      </c>
    </row>
    <row r="5935" spans="1:40" x14ac:dyDescent="0.25">
      <c r="A5935" t="str">
        <f>"20190303162030951"</f>
        <v>20190303162030951</v>
      </c>
      <c r="B5935" t="str">
        <f>"1551601230938417"</f>
        <v>1551601230938417</v>
      </c>
      <c r="C5935" t="s">
        <v>40</v>
      </c>
      <c r="D5935">
        <v>4.7602000000000002</v>
      </c>
      <c r="E5935">
        <v>0.51283199999999995</v>
      </c>
      <c r="F5935" t="s">
        <v>42</v>
      </c>
      <c r="G5935">
        <v>-192.14240000000001</v>
      </c>
      <c r="H5935">
        <v>0.9185354</v>
      </c>
      <c r="I5935">
        <v>185.8862</v>
      </c>
      <c r="J5935">
        <v>-192.09139999999999</v>
      </c>
      <c r="K5935">
        <v>1.1208880000000001</v>
      </c>
      <c r="L5935">
        <v>186.5164</v>
      </c>
      <c r="M5935">
        <v>3.6540499999999997E-2</v>
      </c>
      <c r="N5935">
        <v>-1.186066E-2</v>
      </c>
      <c r="O5935">
        <v>-0.99926190000000004</v>
      </c>
      <c r="P5935">
        <v>-4.0302560000000001E-2</v>
      </c>
      <c r="Q5935">
        <v>0.12615399999999999</v>
      </c>
      <c r="R5935">
        <v>-0.99119190000000001</v>
      </c>
      <c r="S5935">
        <v>-0.19900509999999999</v>
      </c>
      <c r="T5935">
        <v>-0.84818830000000001</v>
      </c>
      <c r="U5935">
        <v>-3.1289220000000002</v>
      </c>
      <c r="V5935">
        <v>7.6670390000000005E-2</v>
      </c>
      <c r="W5935">
        <v>0.1377795</v>
      </c>
      <c r="X5935">
        <v>0.98749100000000001</v>
      </c>
      <c r="Y5935">
        <v>9.7732189999999997E-2</v>
      </c>
      <c r="Z5935">
        <v>0.24902270000000001</v>
      </c>
      <c r="AA5935">
        <v>0.96355389999999996</v>
      </c>
      <c r="AB5935">
        <v>16</v>
      </c>
      <c r="AC5935">
        <v>-5.1000000000016102E-2</v>
      </c>
      <c r="AD5935">
        <v>-0.20235259999999999</v>
      </c>
      <c r="AE5935">
        <v>-0.63020000000000198</v>
      </c>
      <c r="AF5935">
        <v>6.7120268938536606E-2</v>
      </c>
      <c r="AG5935">
        <v>-0.20235259999999999</v>
      </c>
      <c r="AH5935">
        <v>0.56957408986977398</v>
      </c>
      <c r="AI5935">
        <v>109.434299596922</v>
      </c>
      <c r="AJ5935">
        <v>83.279095119697899</v>
      </c>
      <c r="AK5935">
        <v>0.60816638272772305</v>
      </c>
      <c r="AL5935">
        <v>82.080624271735402</v>
      </c>
      <c r="AM5935">
        <v>85.560370221425202</v>
      </c>
      <c r="AN5935">
        <v>1.0000000072020001</v>
      </c>
    </row>
    <row r="5936" spans="1:40" x14ac:dyDescent="0.25">
      <c r="A5936" t="str">
        <f>"20190303162030974"</f>
        <v>20190303162030974</v>
      </c>
      <c r="B5936" t="str">
        <f>"1551601230968672"</f>
        <v>1551601230968672</v>
      </c>
      <c r="C5936" t="s">
        <v>40</v>
      </c>
      <c r="D5936">
        <v>4.7364949999999997</v>
      </c>
      <c r="E5936">
        <v>0.52256219999999998</v>
      </c>
      <c r="F5936" t="s">
        <v>42</v>
      </c>
      <c r="G5936">
        <v>-192.1447</v>
      </c>
      <c r="H5936">
        <v>0.90958309999999998</v>
      </c>
      <c r="I5936">
        <v>185.74529999999999</v>
      </c>
      <c r="J5936">
        <v>-192.0866</v>
      </c>
      <c r="K5936">
        <v>1.120881</v>
      </c>
      <c r="L5936">
        <v>186.34610000000001</v>
      </c>
      <c r="M5936">
        <v>3.5336090000000001E-2</v>
      </c>
      <c r="N5936">
        <v>-1.1766159999999999E-2</v>
      </c>
      <c r="O5936">
        <v>-0.99930640000000004</v>
      </c>
      <c r="P5936">
        <v>-4.4338919999999997E-2</v>
      </c>
      <c r="Q5936">
        <v>0.12433379999999999</v>
      </c>
      <c r="R5936">
        <v>-0.99124959999999995</v>
      </c>
      <c r="S5936">
        <v>-0.21585080000000001</v>
      </c>
      <c r="T5936">
        <v>-0.85687209999999903</v>
      </c>
      <c r="U5936">
        <v>-3.1269529999999999</v>
      </c>
      <c r="V5936">
        <v>7.9510990000000004E-2</v>
      </c>
      <c r="W5936">
        <v>0.13586319999999999</v>
      </c>
      <c r="X5936">
        <v>0.98753190000000002</v>
      </c>
      <c r="Y5936">
        <v>0.101684</v>
      </c>
      <c r="Z5936">
        <v>0.25167859999999997</v>
      </c>
      <c r="AA5936">
        <v>0.96245429999999998</v>
      </c>
      <c r="AB5936">
        <v>16</v>
      </c>
      <c r="AC5936">
        <v>-5.8099999999996002E-2</v>
      </c>
      <c r="AD5936">
        <v>-0.21129790000000001</v>
      </c>
      <c r="AE5936">
        <v>-0.60080000000001998</v>
      </c>
      <c r="AF5936">
        <v>7.06388173954655E-2</v>
      </c>
      <c r="AG5936">
        <v>-0.21129790000000001</v>
      </c>
      <c r="AH5936">
        <v>0.53305009339016596</v>
      </c>
      <c r="AI5936">
        <v>111.452777350376</v>
      </c>
      <c r="AJ5936">
        <v>82.451251706967597</v>
      </c>
      <c r="AK5936">
        <v>0.57773613971319504</v>
      </c>
      <c r="AL5936">
        <v>82.191462723110504</v>
      </c>
      <c r="AM5936">
        <v>85.3967683862938</v>
      </c>
      <c r="AN5936">
        <v>1.0000000300813101</v>
      </c>
    </row>
    <row r="5937" spans="1:40" x14ac:dyDescent="0.25">
      <c r="A5937" t="str">
        <f>"20190303162030996"</f>
        <v>20190303162030996</v>
      </c>
      <c r="B5937" t="str">
        <f>"1551601230988193"</f>
        <v>1551601230988193</v>
      </c>
      <c r="C5937" t="s">
        <v>40</v>
      </c>
      <c r="D5937">
        <v>4.7930060000000001</v>
      </c>
      <c r="E5937">
        <v>0.52211869999999905</v>
      </c>
      <c r="F5937" t="s">
        <v>42</v>
      </c>
      <c r="G5937">
        <v>-192.15899999999999</v>
      </c>
      <c r="H5937">
        <v>0.89389419999999897</v>
      </c>
      <c r="I5937">
        <v>185.60599999999999</v>
      </c>
      <c r="J5937">
        <v>-192.0823</v>
      </c>
      <c r="K5937">
        <v>1.120878</v>
      </c>
      <c r="L5937">
        <v>186.18450000000001</v>
      </c>
      <c r="M5937">
        <v>3.4203999999999998E-2</v>
      </c>
      <c r="N5937">
        <v>-1.1686129999999999E-2</v>
      </c>
      <c r="O5937">
        <v>-0.99934659999999997</v>
      </c>
      <c r="P5937">
        <v>-4.6937439999999997E-2</v>
      </c>
      <c r="Q5937">
        <v>0.1232723</v>
      </c>
      <c r="R5937">
        <v>-0.99126259999999999</v>
      </c>
      <c r="S5937">
        <v>-0.30560300000000001</v>
      </c>
      <c r="T5937">
        <v>-0.96087370000000005</v>
      </c>
      <c r="U5937">
        <v>-3.1333160000000002</v>
      </c>
      <c r="V5937">
        <v>8.0984319999999999E-2</v>
      </c>
      <c r="W5937">
        <v>0.13472219999999999</v>
      </c>
      <c r="X5937">
        <v>0.98756840000000001</v>
      </c>
      <c r="Y5937">
        <v>0.1269352</v>
      </c>
      <c r="Z5937">
        <v>0.2798947</v>
      </c>
      <c r="AA5937">
        <v>0.95160199999999995</v>
      </c>
      <c r="AB5937">
        <v>16</v>
      </c>
      <c r="AC5937">
        <v>-7.6700000000016602E-2</v>
      </c>
      <c r="AD5937">
        <v>-0.22698380000000001</v>
      </c>
      <c r="AE5937">
        <v>-0.578500000000019</v>
      </c>
      <c r="AF5937">
        <v>8.3769804515674798E-2</v>
      </c>
      <c r="AG5937">
        <v>-0.22698380000000001</v>
      </c>
      <c r="AH5937">
        <v>0.49990618600327302</v>
      </c>
      <c r="AI5937">
        <v>114.12326798573299</v>
      </c>
      <c r="AJ5937">
        <v>80.487268315822305</v>
      </c>
      <c r="AK5937">
        <v>0.55537844792121105</v>
      </c>
      <c r="AL5937">
        <v>82.257443143824105</v>
      </c>
      <c r="AM5937">
        <v>85.312020277751401</v>
      </c>
      <c r="AN5937">
        <v>0.99999993796862896</v>
      </c>
    </row>
    <row r="5938" spans="1:40" x14ac:dyDescent="0.25">
      <c r="A5938" t="str">
        <f>"20190303162031017"</f>
        <v>20190303162031017</v>
      </c>
      <c r="B5938" t="str">
        <f>"1551601231008689"</f>
        <v>1551601231008689</v>
      </c>
      <c r="C5938" t="s">
        <v>40</v>
      </c>
      <c r="D5938">
        <v>4.7724029999999997</v>
      </c>
      <c r="E5938">
        <v>0.52145810000000004</v>
      </c>
      <c r="F5938" t="s">
        <v>42</v>
      </c>
      <c r="G5938">
        <v>-192.1541</v>
      </c>
      <c r="H5938">
        <v>0.89779059999999899</v>
      </c>
      <c r="I5938">
        <v>185.45959999999999</v>
      </c>
      <c r="J5938">
        <v>-192.07830000000001</v>
      </c>
      <c r="K5938">
        <v>1.1208830000000001</v>
      </c>
      <c r="L5938">
        <v>186.03020000000001</v>
      </c>
      <c r="M5938">
        <v>3.3138769999999998E-2</v>
      </c>
      <c r="N5938">
        <v>-1.1618389999999999E-2</v>
      </c>
      <c r="O5938">
        <v>-0.99938329999999997</v>
      </c>
      <c r="P5938">
        <v>-4.8521370000000001E-2</v>
      </c>
      <c r="Q5938">
        <v>0.12240180000000001</v>
      </c>
      <c r="R5938">
        <v>-0.99129400000000001</v>
      </c>
      <c r="S5938">
        <v>-0.30996699999999999</v>
      </c>
      <c r="T5938">
        <v>-0.96367499999999995</v>
      </c>
      <c r="U5938">
        <v>-3.1315919999999999</v>
      </c>
      <c r="V5938">
        <v>8.1509330000000005E-2</v>
      </c>
      <c r="W5938">
        <v>0.13378760000000001</v>
      </c>
      <c r="X5938">
        <v>0.98765230000000004</v>
      </c>
      <c r="Y5938">
        <v>0.12721450000000001</v>
      </c>
      <c r="Z5938">
        <v>0.28087760000000001</v>
      </c>
      <c r="AA5938">
        <v>0.95127510000000004</v>
      </c>
      <c r="AB5938">
        <v>16</v>
      </c>
      <c r="AC5938">
        <v>-7.5799999999986697E-2</v>
      </c>
      <c r="AD5938">
        <v>-0.2230924</v>
      </c>
      <c r="AE5938">
        <v>-0.57060000000001299</v>
      </c>
      <c r="AF5938">
        <v>8.2305262565469495E-2</v>
      </c>
      <c r="AG5938">
        <v>-0.2230924</v>
      </c>
      <c r="AH5938">
        <v>0.493625316636569</v>
      </c>
      <c r="AI5938">
        <v>114.026958020528</v>
      </c>
      <c r="AJ5938">
        <v>80.533795553378894</v>
      </c>
      <c r="AK5938">
        <v>0.54791452655344397</v>
      </c>
      <c r="AL5938">
        <v>82.311481317924802</v>
      </c>
      <c r="AM5938">
        <v>85.282164532953601</v>
      </c>
      <c r="AN5938">
        <v>0.99999997924304895</v>
      </c>
    </row>
    <row r="5939" spans="1:40" x14ac:dyDescent="0.25">
      <c r="A5939" t="str">
        <f>"20190303162031032"</f>
        <v>20190303162031032</v>
      </c>
      <c r="B5939" t="str">
        <f>"1551601231028208"</f>
        <v>1551601231028208</v>
      </c>
      <c r="C5939" t="s">
        <v>40</v>
      </c>
      <c r="D5939">
        <v>4.7790939999999997</v>
      </c>
      <c r="E5939">
        <v>0.52083239999999997</v>
      </c>
      <c r="F5939" t="s">
        <v>42</v>
      </c>
      <c r="G5939">
        <v>-192.149</v>
      </c>
      <c r="H5939">
        <v>0.8996769</v>
      </c>
      <c r="I5939">
        <v>185.31389999999999</v>
      </c>
      <c r="J5939">
        <v>-192.07560000000001</v>
      </c>
      <c r="K5939">
        <v>1.1208899999999999</v>
      </c>
      <c r="L5939">
        <v>185.92519999999999</v>
      </c>
      <c r="M5939">
        <v>3.242743E-2</v>
      </c>
      <c r="N5939">
        <v>-1.1576990000000001E-2</v>
      </c>
      <c r="O5939">
        <v>-0.99940709999999999</v>
      </c>
      <c r="P5939">
        <v>-4.9178149999999997E-2</v>
      </c>
      <c r="Q5939">
        <v>0.1218315</v>
      </c>
      <c r="R5939">
        <v>-0.99133190000000004</v>
      </c>
      <c r="S5939">
        <v>-0.3086853</v>
      </c>
      <c r="T5939">
        <v>-0.96670129999999999</v>
      </c>
      <c r="U5939">
        <v>-3.1305999999999998</v>
      </c>
      <c r="V5939">
        <v>8.1458760000000005E-2</v>
      </c>
      <c r="W5939">
        <v>0.13317889999999999</v>
      </c>
      <c r="X5939">
        <v>0.98773869999999997</v>
      </c>
      <c r="Y5939">
        <v>0.12612619999999999</v>
      </c>
      <c r="Z5939">
        <v>0.281879299999999</v>
      </c>
      <c r="AA5939">
        <v>0.95112370000000002</v>
      </c>
      <c r="AB5939">
        <v>16</v>
      </c>
      <c r="AC5939">
        <v>-7.3399999999992305E-2</v>
      </c>
      <c r="AD5939">
        <v>-0.221213099999999</v>
      </c>
      <c r="AE5939">
        <v>-0.61129999999999995</v>
      </c>
      <c r="AF5939">
        <v>8.2531524459272906E-2</v>
      </c>
      <c r="AG5939">
        <v>-0.221213099999999</v>
      </c>
      <c r="AH5939">
        <v>0.53901597901794196</v>
      </c>
      <c r="AI5939">
        <v>112.08111222810901</v>
      </c>
      <c r="AJ5939">
        <v>81.294756013829598</v>
      </c>
      <c r="AK5939">
        <v>0.58845978093481699</v>
      </c>
      <c r="AL5939">
        <v>82.346671911265105</v>
      </c>
      <c r="AM5939">
        <v>85.285488937943597</v>
      </c>
      <c r="AN5939">
        <v>0.99999994423181704</v>
      </c>
    </row>
    <row r="5940" spans="1:40" x14ac:dyDescent="0.25">
      <c r="A5940" t="str">
        <f>"20190303162031046"</f>
        <v>20190303162031046</v>
      </c>
      <c r="B5940" t="str">
        <f>"1551601231037969"</f>
        <v>1551601231037969</v>
      </c>
      <c r="C5940" t="s">
        <v>40</v>
      </c>
      <c r="D5940">
        <v>4.7838159999999998</v>
      </c>
      <c r="E5940">
        <v>0.52058420000000005</v>
      </c>
      <c r="F5940" t="s">
        <v>42</v>
      </c>
      <c r="G5940">
        <v>-192.149</v>
      </c>
      <c r="H5940">
        <v>0.88884909999999995</v>
      </c>
      <c r="I5940">
        <v>185.17320000000001</v>
      </c>
      <c r="J5940">
        <v>-192.07300000000001</v>
      </c>
      <c r="K5940">
        <v>1.1209009999999999</v>
      </c>
      <c r="L5940">
        <v>185.81800000000001</v>
      </c>
      <c r="M5940">
        <v>3.1714909999999999E-2</v>
      </c>
      <c r="N5940">
        <v>-1.1538029999999999E-2</v>
      </c>
      <c r="O5940">
        <v>-0.99943040000000005</v>
      </c>
      <c r="P5940">
        <v>-4.9635499999999999E-2</v>
      </c>
      <c r="Q5940">
        <v>0.12162770000000001</v>
      </c>
      <c r="R5940">
        <v>-0.9913341</v>
      </c>
      <c r="S5940">
        <v>-0.30503849999999999</v>
      </c>
      <c r="T5940">
        <v>-0.96573419999999999</v>
      </c>
      <c r="U5940">
        <v>-3.129807</v>
      </c>
      <c r="V5940">
        <v>8.1206130000000001E-2</v>
      </c>
      <c r="W5940">
        <v>0.13294020000000001</v>
      </c>
      <c r="X5940">
        <v>0.98779170000000005</v>
      </c>
      <c r="Y5940">
        <v>0.12435259999999999</v>
      </c>
      <c r="Z5940">
        <v>0.28177479999999999</v>
      </c>
      <c r="AA5940">
        <v>0.95138809999999996</v>
      </c>
      <c r="AB5940">
        <v>16</v>
      </c>
      <c r="AC5940">
        <v>-7.60000000000218E-2</v>
      </c>
      <c r="AD5940">
        <v>-0.23205190000000001</v>
      </c>
      <c r="AE5940">
        <v>-0.64479999999997495</v>
      </c>
      <c r="AF5940">
        <v>8.5492101194667006E-2</v>
      </c>
      <c r="AG5940">
        <v>-0.23205190000000001</v>
      </c>
      <c r="AH5940">
        <v>0.56933766840393596</v>
      </c>
      <c r="AI5940">
        <v>111.952557385822</v>
      </c>
      <c r="AJ5940">
        <v>81.4602338761742</v>
      </c>
      <c r="AK5940">
        <v>0.62072728659526399</v>
      </c>
      <c r="AL5940">
        <v>82.360471448756599</v>
      </c>
      <c r="AM5940">
        <v>85.300295607966703</v>
      </c>
      <c r="AN5940">
        <v>0.99999998745725305</v>
      </c>
    </row>
    <row r="5941" spans="1:40" x14ac:dyDescent="0.25">
      <c r="A5941" t="str">
        <f>"20190303162031063"</f>
        <v>20190303162031063</v>
      </c>
      <c r="B5941" t="str">
        <f>"1551601231058465"</f>
        <v>1551601231058465</v>
      </c>
      <c r="C5941" t="s">
        <v>40</v>
      </c>
      <c r="D5941">
        <v>4.8070449999999996</v>
      </c>
      <c r="E5941">
        <v>0.5200728</v>
      </c>
      <c r="F5941" t="s">
        <v>42</v>
      </c>
      <c r="G5941">
        <v>-192.14949999999999</v>
      </c>
      <c r="H5941">
        <v>0.87893679999999996</v>
      </c>
      <c r="I5941">
        <v>185.03190000000001</v>
      </c>
      <c r="J5941">
        <v>-192.0701</v>
      </c>
      <c r="K5941">
        <v>1.120916</v>
      </c>
      <c r="L5941">
        <v>185.69800000000001</v>
      </c>
      <c r="M5941">
        <v>3.0941400000000001E-2</v>
      </c>
      <c r="N5941">
        <v>-1.1498939999999999E-2</v>
      </c>
      <c r="O5941">
        <v>-0.99945510000000004</v>
      </c>
      <c r="P5941">
        <v>-4.9949180000000003E-2</v>
      </c>
      <c r="Q5941">
        <v>0.1214211</v>
      </c>
      <c r="R5941">
        <v>-0.99134370000000005</v>
      </c>
      <c r="S5941">
        <v>-0.30381770000000002</v>
      </c>
      <c r="T5941">
        <v>-0.96307220000000004</v>
      </c>
      <c r="U5941">
        <v>-3.1292270000000002</v>
      </c>
      <c r="V5941">
        <v>8.0748009999999995E-2</v>
      </c>
      <c r="W5941">
        <v>0.13270009999999999</v>
      </c>
      <c r="X5941">
        <v>0.98786160000000001</v>
      </c>
      <c r="Y5941">
        <v>0.12325560000000001</v>
      </c>
      <c r="Z5941">
        <v>0.28115790000000002</v>
      </c>
      <c r="AA5941">
        <v>0.95171329999999998</v>
      </c>
      <c r="AB5941">
        <v>16</v>
      </c>
      <c r="AC5941">
        <v>-7.9399999999992504E-2</v>
      </c>
      <c r="AD5941">
        <v>-0.24197919999999901</v>
      </c>
      <c r="AE5941">
        <v>-0.66609999999997105</v>
      </c>
      <c r="AF5941">
        <v>8.8462513035101095E-2</v>
      </c>
      <c r="AG5941">
        <v>-0.24197919999999901</v>
      </c>
      <c r="AH5941">
        <v>0.58694927585215795</v>
      </c>
      <c r="AI5941">
        <v>112.17884928095199</v>
      </c>
      <c r="AJ5941">
        <v>81.429130348298997</v>
      </c>
      <c r="AK5941">
        <v>0.64100624167670806</v>
      </c>
      <c r="AL5941">
        <v>82.374351611193802</v>
      </c>
      <c r="AM5941">
        <v>85.327020185131403</v>
      </c>
      <c r="AN5941">
        <v>1.00000004920676</v>
      </c>
    </row>
    <row r="5942" spans="1:40" x14ac:dyDescent="0.25">
      <c r="A5942" t="str">
        <f>"20190303162031085"</f>
        <v>20190303162031085</v>
      </c>
      <c r="B5942" t="str">
        <f>"1551601231077986"</f>
        <v>1551601231077986</v>
      </c>
      <c r="C5942" t="s">
        <v>40</v>
      </c>
      <c r="D5942">
        <v>4.802657</v>
      </c>
      <c r="E5942">
        <v>0.51973709999999995</v>
      </c>
      <c r="F5942" t="s">
        <v>42</v>
      </c>
      <c r="G5942">
        <v>-192.13550000000001</v>
      </c>
      <c r="H5942">
        <v>0.91229360000000004</v>
      </c>
      <c r="I5942">
        <v>185.01849999999999</v>
      </c>
      <c r="J5942">
        <v>-192.06630000000001</v>
      </c>
      <c r="K5942">
        <v>1.1209469999999999</v>
      </c>
      <c r="L5942">
        <v>185.536</v>
      </c>
      <c r="M5942">
        <v>2.9937800000000001E-2</v>
      </c>
      <c r="N5942">
        <v>-1.145156E-2</v>
      </c>
      <c r="O5942">
        <v>-0.99948619999999999</v>
      </c>
      <c r="P5942">
        <v>-5.052653E-2</v>
      </c>
      <c r="Q5942">
        <v>0.1222201</v>
      </c>
      <c r="R5942">
        <v>-0.9912164</v>
      </c>
      <c r="S5942">
        <v>-0.30026249999999999</v>
      </c>
      <c r="T5942">
        <v>-0.96050829999999998</v>
      </c>
      <c r="U5942">
        <v>-3.128708</v>
      </c>
      <c r="V5942">
        <v>8.0319429999999997E-2</v>
      </c>
      <c r="W5942">
        <v>0.1334572</v>
      </c>
      <c r="X5942">
        <v>0.98779450000000002</v>
      </c>
      <c r="Y5942">
        <v>0.1212244</v>
      </c>
      <c r="Z5942">
        <v>0.28059959999999901</v>
      </c>
      <c r="AA5942">
        <v>0.95213890000000001</v>
      </c>
      <c r="AB5942">
        <v>16</v>
      </c>
      <c r="AC5942">
        <v>-6.9199999999995002E-2</v>
      </c>
      <c r="AD5942">
        <v>-0.20865339999999999</v>
      </c>
      <c r="AE5942">
        <v>-0.51749999999998397</v>
      </c>
      <c r="AF5942">
        <v>7.3003401715466099E-2</v>
      </c>
      <c r="AG5942">
        <v>-0.20865339999999999</v>
      </c>
      <c r="AH5942">
        <v>0.444245539048367</v>
      </c>
      <c r="AI5942">
        <v>114.866033016025</v>
      </c>
      <c r="AJ5942">
        <v>80.667922828782196</v>
      </c>
      <c r="AK5942">
        <v>0.49620543825915903</v>
      </c>
      <c r="AL5942">
        <v>82.330583339092101</v>
      </c>
      <c r="AM5942">
        <v>85.351399256997297</v>
      </c>
      <c r="AN5942">
        <v>1.0000000046488</v>
      </c>
    </row>
    <row r="5943" spans="1:40" x14ac:dyDescent="0.25">
      <c r="A5943" t="str">
        <f>"20190303162031099"</f>
        <v>20190303162031099</v>
      </c>
      <c r="B5943" t="str">
        <f>"1551601231088721"</f>
        <v>1551601231088721</v>
      </c>
      <c r="C5943" t="s">
        <v>40</v>
      </c>
      <c r="D5943">
        <v>4.805688</v>
      </c>
      <c r="E5943">
        <v>0.51957200000000003</v>
      </c>
      <c r="F5943" t="s">
        <v>42</v>
      </c>
      <c r="G5943">
        <v>-192.1422</v>
      </c>
      <c r="H5943">
        <v>0.87806810000000002</v>
      </c>
      <c r="I5943">
        <v>184.74170000000001</v>
      </c>
      <c r="J5943">
        <v>-192.06389999999999</v>
      </c>
      <c r="K5943">
        <v>1.120968</v>
      </c>
      <c r="L5943">
        <v>185.43049999999999</v>
      </c>
      <c r="M5943">
        <v>2.9320659999999998E-2</v>
      </c>
      <c r="N5943">
        <v>-1.1424399999999999E-2</v>
      </c>
      <c r="O5943">
        <v>-0.99950470000000002</v>
      </c>
      <c r="P5943">
        <v>-5.1256000000000003E-2</v>
      </c>
      <c r="Q5943">
        <v>0.12306010000000001</v>
      </c>
      <c r="R5943">
        <v>-0.99107480000000003</v>
      </c>
      <c r="S5943">
        <v>-0.29869079999999998</v>
      </c>
      <c r="T5943">
        <v>-0.95680920000000003</v>
      </c>
      <c r="U5943">
        <v>-3.1293329999999999</v>
      </c>
      <c r="V5943">
        <v>8.0427310000000002E-2</v>
      </c>
      <c r="W5943">
        <v>0.1342729</v>
      </c>
      <c r="X5943">
        <v>0.98767519999999998</v>
      </c>
      <c r="Y5943">
        <v>0.1201518</v>
      </c>
      <c r="Z5943">
        <v>0.27957579999999999</v>
      </c>
      <c r="AA5943">
        <v>0.95257590000000003</v>
      </c>
      <c r="AB5943">
        <v>16</v>
      </c>
      <c r="AC5943">
        <v>-7.8300000000012901E-2</v>
      </c>
      <c r="AD5943">
        <v>-0.242899899999999</v>
      </c>
      <c r="AE5943">
        <v>-0.68879999999998598</v>
      </c>
      <c r="AF5943">
        <v>8.7697142036107303E-2</v>
      </c>
      <c r="AG5943">
        <v>-0.242899899999999</v>
      </c>
      <c r="AH5943">
        <v>0.61117401787700698</v>
      </c>
      <c r="AI5943">
        <v>111.474792887964</v>
      </c>
      <c r="AJ5943">
        <v>81.834385961248302</v>
      </c>
      <c r="AK5943">
        <v>0.66349440861942099</v>
      </c>
      <c r="AL5943">
        <v>82.283422919128498</v>
      </c>
      <c r="AM5943">
        <v>85.344623189940506</v>
      </c>
      <c r="AN5943">
        <v>1.00000003228164</v>
      </c>
    </row>
    <row r="5944" spans="1:40" x14ac:dyDescent="0.25">
      <c r="A5944" t="str">
        <f>"20190303162031114"</f>
        <v>20190303162031114</v>
      </c>
      <c r="B5944" t="str">
        <f>"1551601231108750"</f>
        <v>1551601231108750</v>
      </c>
      <c r="C5944" t="s">
        <v>40</v>
      </c>
      <c r="D5944">
        <v>4.8410010000000003</v>
      </c>
      <c r="E5944">
        <v>0.51966909999999999</v>
      </c>
      <c r="F5944" t="s">
        <v>42</v>
      </c>
      <c r="G5944">
        <v>-192.131</v>
      </c>
      <c r="H5944">
        <v>0.90755669999999999</v>
      </c>
      <c r="I5944">
        <v>184.73</v>
      </c>
      <c r="J5944">
        <v>-192.0616</v>
      </c>
      <c r="K5944">
        <v>1.1209929999999999</v>
      </c>
      <c r="L5944">
        <v>185.32740000000001</v>
      </c>
      <c r="M5944">
        <v>2.8737209999999999E-2</v>
      </c>
      <c r="N5944">
        <v>-1.139981E-2</v>
      </c>
      <c r="O5944">
        <v>-0.99952209999999997</v>
      </c>
      <c r="P5944">
        <v>-5.2045269999999998E-2</v>
      </c>
      <c r="Q5944">
        <v>0.1235527</v>
      </c>
      <c r="R5944">
        <v>-0.99097259999999998</v>
      </c>
      <c r="S5944">
        <v>-0.299591099999999</v>
      </c>
      <c r="T5944">
        <v>-0.95341670000000001</v>
      </c>
      <c r="U5944">
        <v>-3.1298680000000001</v>
      </c>
      <c r="V5944">
        <v>8.0629419999999993E-2</v>
      </c>
      <c r="W5944">
        <v>0.13474439999999999</v>
      </c>
      <c r="X5944">
        <v>0.98759450000000004</v>
      </c>
      <c r="Y5944">
        <v>0.119857199999999</v>
      </c>
      <c r="Z5944">
        <v>0.27861740000000002</v>
      </c>
      <c r="AA5944">
        <v>0.95289380000000001</v>
      </c>
      <c r="AB5944">
        <v>16</v>
      </c>
      <c r="AC5944">
        <v>-6.9399999999973205E-2</v>
      </c>
      <c r="AD5944">
        <v>-0.2134363</v>
      </c>
      <c r="AE5944">
        <v>-0.59740000000002103</v>
      </c>
      <c r="AF5944">
        <v>7.6859866019298506E-2</v>
      </c>
      <c r="AG5944">
        <v>-0.2134363</v>
      </c>
      <c r="AH5944">
        <v>0.52858552798140601</v>
      </c>
      <c r="AI5944">
        <v>111.780932778451</v>
      </c>
      <c r="AJ5944">
        <v>81.726792933384502</v>
      </c>
      <c r="AK5944">
        <v>0.57520879126937596</v>
      </c>
      <c r="AL5944">
        <v>82.256160163085298</v>
      </c>
      <c r="AM5944">
        <v>85.332596388505706</v>
      </c>
      <c r="AN5944">
        <v>1.00000002656557</v>
      </c>
    </row>
    <row r="5945" spans="1:40" x14ac:dyDescent="0.25">
      <c r="A5945" t="str">
        <f>"20190303162031129"</f>
        <v>20190303162031129</v>
      </c>
      <c r="B5945" t="str">
        <f>"1551601231118510"</f>
        <v>1551601231118510</v>
      </c>
      <c r="C5945" t="s">
        <v>40</v>
      </c>
      <c r="D5945">
        <v>4.8296799999999998</v>
      </c>
      <c r="E5945">
        <v>0.51991719999999997</v>
      </c>
      <c r="F5945" t="s">
        <v>42</v>
      </c>
      <c r="G5945">
        <v>-192.13310000000001</v>
      </c>
      <c r="H5945">
        <v>0.89663530000000002</v>
      </c>
      <c r="I5945">
        <v>184.589</v>
      </c>
      <c r="J5945">
        <v>-192.0592</v>
      </c>
      <c r="K5945">
        <v>1.1210119999999999</v>
      </c>
      <c r="L5945">
        <v>185.21860000000001</v>
      </c>
      <c r="M5945">
        <v>2.8142549999999999E-2</v>
      </c>
      <c r="N5945">
        <v>-1.137584E-2</v>
      </c>
      <c r="O5945">
        <v>-0.99953919999999996</v>
      </c>
      <c r="P5945">
        <v>-5.3607170000000003E-2</v>
      </c>
      <c r="Q5945">
        <v>0.12310739999999901</v>
      </c>
      <c r="R5945">
        <v>-0.99094459999999995</v>
      </c>
      <c r="S5945">
        <v>-0.3027649</v>
      </c>
      <c r="T5945">
        <v>-0.95093799999999995</v>
      </c>
      <c r="U5945">
        <v>-3.1299899999999998</v>
      </c>
      <c r="V5945">
        <v>8.1593830000000006E-2</v>
      </c>
      <c r="W5945">
        <v>0.13427900000000001</v>
      </c>
      <c r="X5945">
        <v>0.98757859999999997</v>
      </c>
      <c r="Y5945">
        <v>0.1202404</v>
      </c>
      <c r="Z5945">
        <v>0.27792640000000002</v>
      </c>
      <c r="AA5945">
        <v>0.95304730000000004</v>
      </c>
      <c r="AB5945">
        <v>16</v>
      </c>
      <c r="AC5945">
        <v>-7.3900000000008903E-2</v>
      </c>
      <c r="AD5945">
        <v>-0.22437670000000001</v>
      </c>
      <c r="AE5945">
        <v>-0.62959999999998195</v>
      </c>
      <c r="AF5945">
        <v>8.1393412098889104E-2</v>
      </c>
      <c r="AG5945">
        <v>-0.22437670000000001</v>
      </c>
      <c r="AH5945">
        <v>0.55743497833265798</v>
      </c>
      <c r="AI5945">
        <v>111.717042452703</v>
      </c>
      <c r="AJ5945">
        <v>81.692709235634297</v>
      </c>
      <c r="AK5945">
        <v>0.60638564140711704</v>
      </c>
      <c r="AL5945">
        <v>82.2830695591595</v>
      </c>
      <c r="AM5945">
        <v>85.276944859771902</v>
      </c>
      <c r="AN5945">
        <v>0.99999994705651296</v>
      </c>
    </row>
    <row r="5946" spans="1:40" x14ac:dyDescent="0.25">
      <c r="A5946" t="str">
        <f>"20190303162031152"</f>
        <v>20190303162031152</v>
      </c>
      <c r="B5946" t="str">
        <f>"1551601231148765"</f>
        <v>1551601231148765</v>
      </c>
      <c r="C5946" t="s">
        <v>40</v>
      </c>
      <c r="D5946">
        <v>4.8411289999999996</v>
      </c>
      <c r="E5946">
        <v>0.52057609999999999</v>
      </c>
      <c r="F5946" t="s">
        <v>42</v>
      </c>
      <c r="G5946">
        <v>-192.13579999999999</v>
      </c>
      <c r="H5946">
        <v>0.88644210000000001</v>
      </c>
      <c r="I5946">
        <v>184.44730000000001</v>
      </c>
      <c r="J5946">
        <v>-192.0556</v>
      </c>
      <c r="K5946">
        <v>1.121041</v>
      </c>
      <c r="L5946">
        <v>185.0531</v>
      </c>
      <c r="M5946">
        <v>2.7289939999999999E-2</v>
      </c>
      <c r="N5946">
        <v>-1.1343890000000001E-2</v>
      </c>
      <c r="O5946">
        <v>-0.99956350000000005</v>
      </c>
      <c r="P5946">
        <v>-5.5369010000000003E-2</v>
      </c>
      <c r="Q5946">
        <v>0.1222169</v>
      </c>
      <c r="R5946">
        <v>-0.99095829999999996</v>
      </c>
      <c r="S5946">
        <v>-0.31034850000000003</v>
      </c>
      <c r="T5946">
        <v>-0.95148920000000003</v>
      </c>
      <c r="U5946">
        <v>-3.1288450000000001</v>
      </c>
      <c r="V5946">
        <v>8.2500899999999905E-2</v>
      </c>
      <c r="W5946">
        <v>0.1333627</v>
      </c>
      <c r="X5946">
        <v>0.98762740000000004</v>
      </c>
      <c r="Y5946">
        <v>0.1217065</v>
      </c>
      <c r="Z5946">
        <v>0.27816069999999998</v>
      </c>
      <c r="AA5946">
        <v>0.9527928</v>
      </c>
      <c r="AB5946">
        <v>16</v>
      </c>
      <c r="AC5946">
        <v>-8.0199999999990695E-2</v>
      </c>
      <c r="AD5946">
        <v>-0.234598899999999</v>
      </c>
      <c r="AE5946">
        <v>-0.60579999999998702</v>
      </c>
      <c r="AF5946">
        <v>8.4281726595882497E-2</v>
      </c>
      <c r="AG5946">
        <v>-0.234598899999999</v>
      </c>
      <c r="AH5946">
        <v>0.52587975218933403</v>
      </c>
      <c r="AI5946">
        <v>113.77283071519901</v>
      </c>
      <c r="AJ5946">
        <v>80.894748482547996</v>
      </c>
      <c r="AK5946">
        <v>0.58197041770343305</v>
      </c>
      <c r="AL5946">
        <v>82.336046165008995</v>
      </c>
      <c r="AM5946">
        <v>85.224915505584804</v>
      </c>
      <c r="AN5946">
        <v>0.99999994474142795</v>
      </c>
    </row>
    <row r="5947" spans="1:40" x14ac:dyDescent="0.25">
      <c r="A5947" t="str">
        <f>"20190303162031167"</f>
        <v>20190303162031167</v>
      </c>
      <c r="B5947" t="str">
        <f>"1551601231158525"</f>
        <v>1551601231158525</v>
      </c>
      <c r="C5947" t="s">
        <v>40</v>
      </c>
      <c r="D5947">
        <v>4.8428899999999997</v>
      </c>
      <c r="E5947">
        <v>0.52075890000000002</v>
      </c>
      <c r="F5947" t="s">
        <v>42</v>
      </c>
      <c r="G5947">
        <v>-192.13319999999999</v>
      </c>
      <c r="H5947">
        <v>0.89176690000000003</v>
      </c>
      <c r="I5947">
        <v>184.29939999999999</v>
      </c>
      <c r="J5947">
        <v>-192.0532</v>
      </c>
      <c r="K5947">
        <v>1.1210580000000001</v>
      </c>
      <c r="L5947">
        <v>184.9434</v>
      </c>
      <c r="M5947">
        <v>2.6749579999999998E-2</v>
      </c>
      <c r="N5947">
        <v>-1.1324799999999999E-2</v>
      </c>
      <c r="O5947">
        <v>-0.99957790000000002</v>
      </c>
      <c r="P5947">
        <v>-5.6387479999999997E-2</v>
      </c>
      <c r="Q5947">
        <v>0.1222158</v>
      </c>
      <c r="R5947">
        <v>-0.99090080000000003</v>
      </c>
      <c r="S5947">
        <v>-0.32203670000000001</v>
      </c>
      <c r="T5947">
        <v>-0.95116520000000004</v>
      </c>
      <c r="U5947">
        <v>-3.1266780000000001</v>
      </c>
      <c r="V5947">
        <v>8.2977110000000007E-2</v>
      </c>
      <c r="W5947">
        <v>0.1333452</v>
      </c>
      <c r="X5947">
        <v>0.98758990000000002</v>
      </c>
      <c r="Y5947">
        <v>0.1247544</v>
      </c>
      <c r="Z5947">
        <v>0.2781729</v>
      </c>
      <c r="AA5947">
        <v>0.95239499999999999</v>
      </c>
      <c r="AB5947">
        <v>16</v>
      </c>
      <c r="AC5947">
        <v>-7.9999999999984001E-2</v>
      </c>
      <c r="AD5947">
        <v>-0.229291099999999</v>
      </c>
      <c r="AE5947">
        <v>-0.64400000000000501</v>
      </c>
      <c r="AF5947">
        <v>8.6411622019991599E-2</v>
      </c>
      <c r="AG5947">
        <v>-0.229291099999999</v>
      </c>
      <c r="AH5947">
        <v>0.57041864212751503</v>
      </c>
      <c r="AI5947">
        <v>111.674625672974</v>
      </c>
      <c r="AJ5947">
        <v>81.385868378619307</v>
      </c>
      <c r="AK5947">
        <v>0.62082107264970798</v>
      </c>
      <c r="AL5947">
        <v>82.337058124975499</v>
      </c>
      <c r="AM5947">
        <v>85.197299906843199</v>
      </c>
      <c r="AN5947">
        <v>0.99999997686450004</v>
      </c>
    </row>
    <row r="5948" spans="1:40" x14ac:dyDescent="0.25">
      <c r="A5948" t="str">
        <f>"20190303162031186"</f>
        <v>20190303162031186</v>
      </c>
      <c r="B5948" t="str">
        <f>"1551601231178045"</f>
        <v>1551601231178045</v>
      </c>
      <c r="C5948" t="s">
        <v>40</v>
      </c>
      <c r="D5948">
        <v>4.8727999999999998</v>
      </c>
      <c r="E5948">
        <v>0.52083900000000005</v>
      </c>
      <c r="F5948" t="s">
        <v>42</v>
      </c>
      <c r="G5948">
        <v>-192.13579999999999</v>
      </c>
      <c r="H5948">
        <v>0.88202619999999898</v>
      </c>
      <c r="I5948">
        <v>184.1574</v>
      </c>
      <c r="J5948">
        <v>-192.05019999999999</v>
      </c>
      <c r="K5948">
        <v>1.1210739999999999</v>
      </c>
      <c r="L5948">
        <v>184.8015</v>
      </c>
      <c r="M5948">
        <v>2.607953E-2</v>
      </c>
      <c r="N5948">
        <v>-1.130272E-2</v>
      </c>
      <c r="O5948">
        <v>-0.99959600000000004</v>
      </c>
      <c r="P5948">
        <v>-5.7656069999999997E-2</v>
      </c>
      <c r="Q5948">
        <v>0.1230832</v>
      </c>
      <c r="R5948">
        <v>-0.99072020000000005</v>
      </c>
      <c r="S5948">
        <v>-0.32768249999999999</v>
      </c>
      <c r="T5948">
        <v>-0.95062829999999998</v>
      </c>
      <c r="U5948">
        <v>-3.12616</v>
      </c>
      <c r="V5948">
        <v>8.3573040000000001E-2</v>
      </c>
      <c r="W5948">
        <v>0.13419159999999999</v>
      </c>
      <c r="X5948">
        <v>0.987425</v>
      </c>
      <c r="Y5948">
        <v>0.1258097</v>
      </c>
      <c r="Z5948">
        <v>0.27805180000000002</v>
      </c>
      <c r="AA5948">
        <v>0.95229149999999996</v>
      </c>
      <c r="AB5948">
        <v>16</v>
      </c>
      <c r="AC5948">
        <v>-8.5599999999999399E-2</v>
      </c>
      <c r="AD5948">
        <v>-0.2390478</v>
      </c>
      <c r="AE5948">
        <v>-0.644100000000008</v>
      </c>
      <c r="AF5948">
        <v>9.0165807134577697E-2</v>
      </c>
      <c r="AG5948">
        <v>-0.2390478</v>
      </c>
      <c r="AH5948">
        <v>0.56515449571255005</v>
      </c>
      <c r="AI5948">
        <v>112.67006300408499</v>
      </c>
      <c r="AJ5948">
        <v>80.935318420506903</v>
      </c>
      <c r="AK5948">
        <v>0.62022038622184605</v>
      </c>
      <c r="AL5948">
        <v>82.288123237410304</v>
      </c>
      <c r="AM5948">
        <v>85.162166710002097</v>
      </c>
      <c r="AN5948">
        <v>0.99999998457520001</v>
      </c>
    </row>
    <row r="5949" spans="1:40" x14ac:dyDescent="0.25">
      <c r="A5949" t="str">
        <f>"20190303162031201"</f>
        <v>20190303162031201</v>
      </c>
      <c r="B5949" t="str">
        <f>"1551601231188782"</f>
        <v>1551601231188782</v>
      </c>
      <c r="C5949" t="s">
        <v>40</v>
      </c>
      <c r="D5949">
        <v>4.8632140000000001</v>
      </c>
      <c r="E5949">
        <v>0.5209239</v>
      </c>
      <c r="F5949" t="s">
        <v>42</v>
      </c>
      <c r="G5949">
        <v>-192.13460000000001</v>
      </c>
      <c r="H5949">
        <v>0.88198840000000001</v>
      </c>
      <c r="I5949">
        <v>184.01140000000001</v>
      </c>
      <c r="J5949">
        <v>-192.048</v>
      </c>
      <c r="K5949">
        <v>1.121081</v>
      </c>
      <c r="L5949">
        <v>184.69409999999999</v>
      </c>
      <c r="M5949">
        <v>2.5587479999999999E-2</v>
      </c>
      <c r="N5949">
        <v>-1.128496E-2</v>
      </c>
      <c r="O5949">
        <v>-0.99960890000000002</v>
      </c>
      <c r="P5949">
        <v>-5.8083530000000001E-2</v>
      </c>
      <c r="Q5949">
        <v>0.1234537</v>
      </c>
      <c r="R5949">
        <v>-0.99064890000000005</v>
      </c>
      <c r="S5949">
        <v>-0.333847</v>
      </c>
      <c r="T5949">
        <v>-0.94600320000000004</v>
      </c>
      <c r="U5949">
        <v>-3.1262050000000001</v>
      </c>
      <c r="V5949">
        <v>8.3509940000000005E-2</v>
      </c>
      <c r="W5949">
        <v>0.13454549999999901</v>
      </c>
      <c r="X5949">
        <v>0.98738219999999999</v>
      </c>
      <c r="Y5949">
        <v>0.12721679999999999</v>
      </c>
      <c r="Z5949">
        <v>0.2767249</v>
      </c>
      <c r="AA5949">
        <v>0.95249099999999998</v>
      </c>
      <c r="AB5949">
        <v>16</v>
      </c>
      <c r="AC5949">
        <v>-8.6600000000004201E-2</v>
      </c>
      <c r="AD5949">
        <v>-0.23909259999999999</v>
      </c>
      <c r="AE5949">
        <v>-0.68269999999998199</v>
      </c>
      <c r="AF5949">
        <v>9.2835266783588596E-2</v>
      </c>
      <c r="AG5949">
        <v>-0.23909259999999999</v>
      </c>
      <c r="AH5949">
        <v>0.60699108860179296</v>
      </c>
      <c r="AI5949">
        <v>111.27446352539999</v>
      </c>
      <c r="AJ5949">
        <v>81.304373934029101</v>
      </c>
      <c r="AK5949">
        <v>0.65895511210971702</v>
      </c>
      <c r="AL5949">
        <v>82.267660855485005</v>
      </c>
      <c r="AM5949">
        <v>85.165593538947903</v>
      </c>
      <c r="AN5949">
        <v>1.0000000052629401</v>
      </c>
    </row>
    <row r="5950" spans="1:40" x14ac:dyDescent="0.25">
      <c r="A5950" t="str">
        <f>"20190303162031218"</f>
        <v>20190303162031218</v>
      </c>
      <c r="B5950" t="str">
        <f>"1551601231208762"</f>
        <v>1551601231208762</v>
      </c>
      <c r="C5950" t="s">
        <v>40</v>
      </c>
      <c r="D5950">
        <v>4.900277</v>
      </c>
      <c r="E5950">
        <v>0.52100859999999904</v>
      </c>
      <c r="F5950" t="s">
        <v>42</v>
      </c>
      <c r="G5950">
        <v>-192.12280000000001</v>
      </c>
      <c r="H5950">
        <v>0.91130040000000001</v>
      </c>
      <c r="I5950">
        <v>183.99959999999999</v>
      </c>
      <c r="J5950">
        <v>-192.0455</v>
      </c>
      <c r="K5950">
        <v>1.121084</v>
      </c>
      <c r="L5950">
        <v>184.56790000000001</v>
      </c>
      <c r="M5950">
        <v>2.5016420000000001E-2</v>
      </c>
      <c r="N5950">
        <v>-1.1257049999999999E-2</v>
      </c>
      <c r="O5950">
        <v>-0.9996237</v>
      </c>
      <c r="P5950">
        <v>-5.7492290000000001E-2</v>
      </c>
      <c r="Q5950">
        <v>0.1234755</v>
      </c>
      <c r="R5950">
        <v>-0.99068109999999998</v>
      </c>
      <c r="S5950">
        <v>-0.33648679999999997</v>
      </c>
      <c r="T5950">
        <v>-0.94428719999999999</v>
      </c>
      <c r="U5950">
        <v>-3.1262660000000002</v>
      </c>
      <c r="V5950">
        <v>8.2354109999999994E-2</v>
      </c>
      <c r="W5950">
        <v>0.1345422</v>
      </c>
      <c r="X5950">
        <v>0.98747969999999896</v>
      </c>
      <c r="Y5950">
        <v>0.12745879999999901</v>
      </c>
      <c r="Z5950">
        <v>0.27625699999999997</v>
      </c>
      <c r="AA5950">
        <v>0.95259450000000001</v>
      </c>
      <c r="AB5950">
        <v>16</v>
      </c>
      <c r="AC5950">
        <v>-7.7300000000008098E-2</v>
      </c>
      <c r="AD5950">
        <v>-0.20978359999999899</v>
      </c>
      <c r="AE5950">
        <v>-0.56830000000002201</v>
      </c>
      <c r="AF5950">
        <v>8.0697020666179203E-2</v>
      </c>
      <c r="AG5950">
        <v>-0.20978359999999899</v>
      </c>
      <c r="AH5950">
        <v>0.49937629368018999</v>
      </c>
      <c r="AI5950">
        <v>112.524343072403</v>
      </c>
      <c r="AJ5950">
        <v>80.820605160617006</v>
      </c>
      <c r="AK5950">
        <v>0.54762930040596003</v>
      </c>
      <c r="AL5950">
        <v>82.267851473552199</v>
      </c>
      <c r="AM5950">
        <v>85.232662736916296</v>
      </c>
      <c r="AN5950">
        <v>0.99999998046340999</v>
      </c>
    </row>
    <row r="5951" spans="1:40" x14ac:dyDescent="0.25">
      <c r="A5951" t="str">
        <f>"20190303162031232"</f>
        <v>20190303162031232</v>
      </c>
      <c r="B5951" t="str">
        <f>"1551601231228282"</f>
        <v>1551601231228282</v>
      </c>
      <c r="C5951" t="s">
        <v>40</v>
      </c>
      <c r="D5951">
        <v>4.8523239999999896</v>
      </c>
      <c r="E5951">
        <v>0.52205970000000002</v>
      </c>
      <c r="F5951" t="s">
        <v>42</v>
      </c>
      <c r="G5951">
        <v>-192.1225</v>
      </c>
      <c r="H5951">
        <v>0.9064101</v>
      </c>
      <c r="I5951">
        <v>183.85570000000001</v>
      </c>
      <c r="J5951">
        <v>-192.04349999999999</v>
      </c>
      <c r="K5951">
        <v>1.1210719999999901</v>
      </c>
      <c r="L5951">
        <v>184.46780000000001</v>
      </c>
      <c r="M5951">
        <v>2.4566000000000001E-2</v>
      </c>
      <c r="N5951">
        <v>-1.121399E-2</v>
      </c>
      <c r="O5951">
        <v>-0.99963559999999996</v>
      </c>
      <c r="P5951">
        <v>-5.70605E-2</v>
      </c>
      <c r="Q5951">
        <v>0.1235581</v>
      </c>
      <c r="R5951">
        <v>-0.99069589999999996</v>
      </c>
      <c r="S5951">
        <v>-0.337387099999999</v>
      </c>
      <c r="T5951">
        <v>-0.9423397</v>
      </c>
      <c r="U5951">
        <v>-3.126099</v>
      </c>
      <c r="V5951">
        <v>8.1477900000000006E-2</v>
      </c>
      <c r="W5951">
        <v>0.1345828</v>
      </c>
      <c r="X5951">
        <v>0.98754690000000001</v>
      </c>
      <c r="Y5951">
        <v>0.12730540000000001</v>
      </c>
      <c r="Z5951">
        <v>0.27577160000000001</v>
      </c>
      <c r="AA5951">
        <v>0.95275569999999998</v>
      </c>
      <c r="AB5951">
        <v>16</v>
      </c>
      <c r="AC5951">
        <v>-7.9000000000007703E-2</v>
      </c>
      <c r="AD5951">
        <v>-0.21466189999999899</v>
      </c>
      <c r="AE5951">
        <v>-0.61209999999999798</v>
      </c>
      <c r="AF5951">
        <v>8.3868119213829001E-2</v>
      </c>
      <c r="AG5951">
        <v>-0.21466189999999899</v>
      </c>
      <c r="AH5951">
        <v>0.54414700689781803</v>
      </c>
      <c r="AI5951">
        <v>111.30024761977501</v>
      </c>
      <c r="AJ5951">
        <v>81.238080742027407</v>
      </c>
      <c r="AK5951">
        <v>0.59093955515596397</v>
      </c>
      <c r="AL5951">
        <v>82.265504291542797</v>
      </c>
      <c r="AM5951">
        <v>85.283474456927905</v>
      </c>
      <c r="AN5951">
        <v>1.00000002897192</v>
      </c>
    </row>
    <row r="5952" spans="1:40" x14ac:dyDescent="0.25">
      <c r="A5952" t="str">
        <f>"20190303162031245"</f>
        <v>20190303162031245</v>
      </c>
      <c r="B5952" t="str">
        <f>"1551601231238041"</f>
        <v>1551601231238041</v>
      </c>
      <c r="C5952" t="s">
        <v>40</v>
      </c>
      <c r="D5952">
        <v>4.8373879999999998</v>
      </c>
      <c r="E5952">
        <v>0.51947840000000001</v>
      </c>
      <c r="F5952" t="s">
        <v>42</v>
      </c>
      <c r="G5952">
        <v>-192.1292</v>
      </c>
      <c r="H5952">
        <v>0.92992989999999998</v>
      </c>
      <c r="I5952">
        <v>183.6978</v>
      </c>
      <c r="J5952">
        <v>-192.04150000000001</v>
      </c>
      <c r="K5952">
        <v>1.121048</v>
      </c>
      <c r="L5952">
        <v>184.36600000000001</v>
      </c>
      <c r="M5952">
        <v>2.4108279999999999E-2</v>
      </c>
      <c r="N5952">
        <v>-1.1148669999999999E-2</v>
      </c>
      <c r="O5952">
        <v>-0.99964730000000002</v>
      </c>
      <c r="P5952">
        <v>-5.6490140000000001E-2</v>
      </c>
      <c r="Q5952">
        <v>0.12341290000000001</v>
      </c>
      <c r="R5952">
        <v>-0.99074649999999997</v>
      </c>
      <c r="S5952">
        <v>-0.34539789999999998</v>
      </c>
      <c r="T5952">
        <v>-0.77071999999999996</v>
      </c>
      <c r="U5952">
        <v>-3.1044010000000002</v>
      </c>
      <c r="V5952">
        <v>8.0457440000000005E-2</v>
      </c>
      <c r="W5952">
        <v>0.1343744</v>
      </c>
      <c r="X5952">
        <v>0.98765890000000001</v>
      </c>
      <c r="Y5952">
        <v>0.13139509999999999</v>
      </c>
      <c r="Z5952">
        <v>0.22825400000000001</v>
      </c>
      <c r="AA5952">
        <v>0.96469450000000001</v>
      </c>
      <c r="AB5952">
        <v>16</v>
      </c>
      <c r="AC5952">
        <v>-8.7699999999983902E-2</v>
      </c>
      <c r="AD5952">
        <v>-0.19111810000000001</v>
      </c>
      <c r="AE5952">
        <v>-0.66819999999998403</v>
      </c>
      <c r="AF5952">
        <v>9.6059399623343394E-2</v>
      </c>
      <c r="AG5952">
        <v>-0.19111810000000001</v>
      </c>
      <c r="AH5952">
        <v>0.61632540560215299</v>
      </c>
      <c r="AI5952">
        <v>107.03473707265999</v>
      </c>
      <c r="AJ5952">
        <v>81.141252807136496</v>
      </c>
      <c r="AK5952">
        <v>0.65238833680122299</v>
      </c>
      <c r="AL5952">
        <v>82.277553891016794</v>
      </c>
      <c r="AM5952">
        <v>85.342810322662004</v>
      </c>
      <c r="AN5952">
        <v>0.99999999088796099</v>
      </c>
    </row>
    <row r="5953" spans="1:40" x14ac:dyDescent="0.25">
      <c r="A5953" t="str">
        <f>"20190303162031258"</f>
        <v>20190303162031258</v>
      </c>
      <c r="B5953" t="str">
        <f>"1551601231248777"</f>
        <v>1551601231248777</v>
      </c>
      <c r="C5953" t="s">
        <v>40</v>
      </c>
      <c r="D5953">
        <v>4.8795809999999999</v>
      </c>
      <c r="E5953">
        <v>0.51947840000000001</v>
      </c>
      <c r="F5953" t="s">
        <v>42</v>
      </c>
      <c r="G5953">
        <v>-192.1277</v>
      </c>
      <c r="H5953">
        <v>0.94408939999999997</v>
      </c>
      <c r="I5953">
        <v>183.54429999999999</v>
      </c>
      <c r="J5953">
        <v>-192.03970000000001</v>
      </c>
      <c r="K5953">
        <v>1.1210150000000001</v>
      </c>
      <c r="L5953">
        <v>184.2698</v>
      </c>
      <c r="M5953">
        <v>2.3671319999999999E-2</v>
      </c>
      <c r="N5953">
        <v>-1.1046220000000001E-2</v>
      </c>
      <c r="O5953">
        <v>-0.99965890000000002</v>
      </c>
      <c r="P5953">
        <v>-5.6172350000000003E-2</v>
      </c>
      <c r="Q5953">
        <v>0.12330770000000001</v>
      </c>
      <c r="R5953">
        <v>-0.99077769999999998</v>
      </c>
      <c r="S5953">
        <v>-0.32373049999999998</v>
      </c>
      <c r="T5953">
        <v>-0.66596540000000004</v>
      </c>
      <c r="U5953">
        <v>-3.092514</v>
      </c>
      <c r="V5953">
        <v>7.9710230000000007E-2</v>
      </c>
      <c r="W5953">
        <v>0.13416800000000001</v>
      </c>
      <c r="X5953">
        <v>0.98774759999999995</v>
      </c>
      <c r="Y5953">
        <v>0.12540270000000001</v>
      </c>
      <c r="Z5953">
        <v>0.19822890000000001</v>
      </c>
      <c r="AA5953">
        <v>0.97210059999999998</v>
      </c>
      <c r="AB5953">
        <v>16</v>
      </c>
      <c r="AC5953">
        <v>-8.7999999999993805E-2</v>
      </c>
      <c r="AD5953">
        <v>-0.17692559999999899</v>
      </c>
      <c r="AE5953">
        <v>-0.72550000000001003</v>
      </c>
      <c r="AF5953">
        <v>9.9328400475593298E-2</v>
      </c>
      <c r="AG5953">
        <v>-0.17692559999999899</v>
      </c>
      <c r="AH5953">
        <v>0.68317345009026398</v>
      </c>
      <c r="AI5953">
        <v>104.37447237375299</v>
      </c>
      <c r="AJ5953">
        <v>81.727579899019304</v>
      </c>
      <c r="AK5953">
        <v>0.71266735717628704</v>
      </c>
      <c r="AL5953">
        <v>82.289488242580205</v>
      </c>
      <c r="AM5953">
        <v>85.386286678269897</v>
      </c>
      <c r="AN5953">
        <v>1.0000000471482</v>
      </c>
    </row>
    <row r="5954" spans="1:40" x14ac:dyDescent="0.25">
      <c r="A5954" t="str">
        <f>"20190303162031276"</f>
        <v>20190303162031276</v>
      </c>
      <c r="B5954" t="str">
        <f>"1551601231268298"</f>
        <v>1551601231268298</v>
      </c>
      <c r="C5954" t="s">
        <v>40</v>
      </c>
      <c r="D5954">
        <v>4.9522240000000002</v>
      </c>
      <c r="E5954">
        <v>0.51178069999999998</v>
      </c>
      <c r="F5954" t="s">
        <v>42</v>
      </c>
      <c r="G5954">
        <v>-192.1165</v>
      </c>
      <c r="H5954">
        <v>0.96287330000000004</v>
      </c>
      <c r="I5954">
        <v>183.53579999999999</v>
      </c>
      <c r="J5954">
        <v>-192.03749999999999</v>
      </c>
      <c r="K5954">
        <v>1.120973</v>
      </c>
      <c r="L5954">
        <v>184.1489</v>
      </c>
      <c r="M5954">
        <v>2.3117329999999998E-2</v>
      </c>
      <c r="N5954">
        <v>-1.0894559999999999E-2</v>
      </c>
      <c r="O5954">
        <v>-0.99967349999999999</v>
      </c>
      <c r="P5954">
        <v>-5.549014E-2</v>
      </c>
      <c r="Q5954">
        <v>0.1232018</v>
      </c>
      <c r="R5954">
        <v>-0.99082910000000002</v>
      </c>
      <c r="S5954">
        <v>-0.3230133</v>
      </c>
      <c r="T5954">
        <v>-0.66627969999999903</v>
      </c>
      <c r="U5954">
        <v>-3.0925449999999999</v>
      </c>
      <c r="V5954">
        <v>7.8484200000000004E-2</v>
      </c>
      <c r="W5954">
        <v>0.1339128</v>
      </c>
      <c r="X5954">
        <v>0.98788030000000004</v>
      </c>
      <c r="Y5954">
        <v>0.1246268</v>
      </c>
      <c r="Z5954">
        <v>0.19848730000000001</v>
      </c>
      <c r="AA5954">
        <v>0.9721476</v>
      </c>
      <c r="AB5954">
        <v>16</v>
      </c>
      <c r="AC5954">
        <v>-7.9000000000007703E-2</v>
      </c>
      <c r="AD5954">
        <v>-0.15809969999999901</v>
      </c>
      <c r="AE5954">
        <v>-0.61310000000000198</v>
      </c>
      <c r="AF5954">
        <v>8.7433860756566895E-2</v>
      </c>
      <c r="AG5954">
        <v>-0.15809969999999901</v>
      </c>
      <c r="AH5954">
        <v>0.57359084844025698</v>
      </c>
      <c r="AI5954">
        <v>105.242144180351</v>
      </c>
      <c r="AJ5954">
        <v>81.332980713392004</v>
      </c>
      <c r="AK5954">
        <v>0.60137064823726005</v>
      </c>
      <c r="AL5954">
        <v>82.304242503863094</v>
      </c>
      <c r="AM5954">
        <v>85.457558941542004</v>
      </c>
      <c r="AN5954">
        <v>0.99999994739078302</v>
      </c>
    </row>
    <row r="5955" spans="1:40" x14ac:dyDescent="0.25">
      <c r="A5955" t="str">
        <f>"20190303162031289"</f>
        <v>20190303162031289</v>
      </c>
      <c r="B5955" t="str">
        <f>"1551601231278058"</f>
        <v>1551601231278058</v>
      </c>
      <c r="C5955" t="s">
        <v>40</v>
      </c>
      <c r="D5955">
        <v>4.9351459999999996</v>
      </c>
      <c r="E5955">
        <v>0.5115864</v>
      </c>
      <c r="F5955" t="s">
        <v>50</v>
      </c>
      <c r="G5955">
        <v>-194.1876</v>
      </c>
      <c r="H5955" s="1">
        <v>-1.48495799999999E-5</v>
      </c>
      <c r="I5955">
        <v>159.108</v>
      </c>
      <c r="J5955">
        <v>-192.03559999999999</v>
      </c>
      <c r="K5955">
        <v>1.1209290000000001</v>
      </c>
      <c r="L5955">
        <v>184.04580000000001</v>
      </c>
      <c r="M5955">
        <v>2.2639659999999999E-2</v>
      </c>
      <c r="N5955">
        <v>-1.0749170000000001E-2</v>
      </c>
      <c r="O5955">
        <v>-0.99968590000000002</v>
      </c>
      <c r="P5955">
        <v>-5.5225320000000001E-2</v>
      </c>
      <c r="Q5955">
        <v>0.12299589999999901</v>
      </c>
      <c r="R5955">
        <v>-0.99086960000000002</v>
      </c>
      <c r="S5955">
        <v>-0.26017760000000001</v>
      </c>
      <c r="T5955">
        <v>-0.1356434</v>
      </c>
      <c r="U5955">
        <v>-3.0300449999999999</v>
      </c>
      <c r="V5955">
        <v>7.775029E-2</v>
      </c>
      <c r="W5955">
        <v>0.1335626</v>
      </c>
      <c r="X5955">
        <v>0.98798580000000003</v>
      </c>
      <c r="Y5955">
        <v>0.1080063</v>
      </c>
      <c r="Z5955">
        <v>3.3740190000000003E-2</v>
      </c>
      <c r="AA5955">
        <v>0.9935775</v>
      </c>
      <c r="AB5955">
        <v>16</v>
      </c>
      <c r="AC5955">
        <v>-2.1520000000000099</v>
      </c>
      <c r="AD5955">
        <v>-1.1209438495799999</v>
      </c>
      <c r="AE5955">
        <v>-24.937799999999999</v>
      </c>
      <c r="AF5955">
        <v>2.7106280432480099</v>
      </c>
      <c r="AG5955">
        <v>-1.1209438495799999</v>
      </c>
      <c r="AH5955">
        <v>24.8328809846439</v>
      </c>
      <c r="AI5955">
        <v>92.569308031002393</v>
      </c>
      <c r="AJ5955">
        <v>83.770553593858594</v>
      </c>
      <c r="AK5955">
        <v>25.005519340742399</v>
      </c>
      <c r="AL5955">
        <v>82.324489840165995</v>
      </c>
      <c r="AM5955">
        <v>85.500338826619299</v>
      </c>
      <c r="AN5955">
        <v>1.0000000083577401</v>
      </c>
    </row>
    <row r="5956" spans="1:40" x14ac:dyDescent="0.25">
      <c r="A5956" t="str">
        <f>"20190303162031308"</f>
        <v>20190303162031308</v>
      </c>
      <c r="B5956" t="str">
        <f>"1551601231298554"</f>
        <v>1551601231298554</v>
      </c>
      <c r="C5956" t="s">
        <v>40</v>
      </c>
      <c r="D5956">
        <v>4.9809679999999998</v>
      </c>
      <c r="E5956">
        <v>0.51321969999999995</v>
      </c>
      <c r="F5956" t="s">
        <v>50</v>
      </c>
      <c r="G5956">
        <v>-194.16040000000001</v>
      </c>
      <c r="H5956" s="1">
        <v>-1.483743E-5</v>
      </c>
      <c r="I5956">
        <v>159.05959999999999</v>
      </c>
      <c r="J5956">
        <v>-192.0333</v>
      </c>
      <c r="K5956">
        <v>1.120868</v>
      </c>
      <c r="L5956">
        <v>183.90960000000001</v>
      </c>
      <c r="M5956">
        <v>2.199953E-2</v>
      </c>
      <c r="N5956">
        <v>-1.0541780000000001E-2</v>
      </c>
      <c r="O5956">
        <v>-0.99970239999999999</v>
      </c>
      <c r="P5956">
        <v>-5.519454E-2</v>
      </c>
      <c r="Q5956">
        <v>0.1224422</v>
      </c>
      <c r="R5956">
        <v>-0.99093989999999998</v>
      </c>
      <c r="S5956">
        <v>-0.25767519999999999</v>
      </c>
      <c r="T5956">
        <v>-0.135940899999999</v>
      </c>
      <c r="U5956">
        <v>-3.0301670000000001</v>
      </c>
      <c r="V5956">
        <v>7.709075E-2</v>
      </c>
      <c r="W5956">
        <v>0.13280359999999999</v>
      </c>
      <c r="X5956">
        <v>0.98813969999999995</v>
      </c>
      <c r="Y5956">
        <v>0.1065518</v>
      </c>
      <c r="Z5956">
        <v>3.4049749999999997E-2</v>
      </c>
      <c r="AA5956">
        <v>0.99372400000000005</v>
      </c>
      <c r="AB5956">
        <v>16</v>
      </c>
      <c r="AC5956">
        <v>-2.1271000000000102</v>
      </c>
      <c r="AD5956">
        <v>-1.1208828374299999</v>
      </c>
      <c r="AE5956">
        <v>-24.85</v>
      </c>
      <c r="AF5956">
        <v>2.6679153277969299</v>
      </c>
      <c r="AG5956">
        <v>-1.1208828374299999</v>
      </c>
      <c r="AH5956">
        <v>24.747204242035</v>
      </c>
      <c r="AI5956">
        <v>92.578423202382794</v>
      </c>
      <c r="AJ5956">
        <v>83.846893295065698</v>
      </c>
      <c r="AK5956">
        <v>24.915823653424301</v>
      </c>
      <c r="AL5956">
        <v>82.368367577507499</v>
      </c>
      <c r="AM5956">
        <v>85.539045856710899</v>
      </c>
      <c r="AN5956">
        <v>0.99999992331230303</v>
      </c>
    </row>
    <row r="5957" spans="1:40" x14ac:dyDescent="0.25">
      <c r="A5957" t="str">
        <f>"20190303162031321"</f>
        <v>20190303162031321</v>
      </c>
      <c r="B5957" t="str">
        <f>"1551601231308314"</f>
        <v>1551601231308314</v>
      </c>
      <c r="C5957" t="s">
        <v>40</v>
      </c>
      <c r="D5957">
        <v>4.8801779999999999</v>
      </c>
      <c r="E5957">
        <v>0.51334859999999904</v>
      </c>
      <c r="F5957" t="s">
        <v>50</v>
      </c>
      <c r="G5957">
        <v>-194.58340000000001</v>
      </c>
      <c r="H5957" s="1">
        <v>-1.3566200000000001E-5</v>
      </c>
      <c r="I5957">
        <v>155.37020000000001</v>
      </c>
      <c r="J5957">
        <v>-192.0316</v>
      </c>
      <c r="K5957">
        <v>1.1208279999999999</v>
      </c>
      <c r="L5957">
        <v>183.8056</v>
      </c>
      <c r="M5957">
        <v>2.1504789999999999E-2</v>
      </c>
      <c r="N5957">
        <v>-1.037834E-2</v>
      </c>
      <c r="O5957">
        <v>-0.99971509999999997</v>
      </c>
      <c r="P5957">
        <v>-5.545075E-2</v>
      </c>
      <c r="Q5957">
        <v>0.12209159999999999</v>
      </c>
      <c r="R5957">
        <v>-0.99096910000000005</v>
      </c>
      <c r="S5957">
        <v>-0.27047729999999998</v>
      </c>
      <c r="T5957">
        <v>-0.1188873</v>
      </c>
      <c r="U5957">
        <v>-3.0270540000000001</v>
      </c>
      <c r="V5957">
        <v>7.6860150000000002E-2</v>
      </c>
      <c r="W5957">
        <v>0.13229079999999999</v>
      </c>
      <c r="X5957">
        <v>0.98822650000000001</v>
      </c>
      <c r="Y5957">
        <v>0.1103339</v>
      </c>
      <c r="Z5957">
        <v>2.865119E-2</v>
      </c>
      <c r="AA5957">
        <v>0.99348150000000002</v>
      </c>
      <c r="AB5957">
        <v>17</v>
      </c>
      <c r="AC5957">
        <v>-2.5518000000000098</v>
      </c>
      <c r="AD5957">
        <v>-1.1208415662</v>
      </c>
      <c r="AE5957">
        <v>-28.435399999999898</v>
      </c>
      <c r="AF5957">
        <v>3.1578727054881699</v>
      </c>
      <c r="AG5957">
        <v>-1.1208415662</v>
      </c>
      <c r="AH5957">
        <v>28.330279238934299</v>
      </c>
      <c r="AI5957">
        <v>92.251702269175894</v>
      </c>
      <c r="AJ5957">
        <v>83.639703796693297</v>
      </c>
      <c r="AK5957">
        <v>28.527761349194201</v>
      </c>
      <c r="AL5957">
        <v>82.398010813083602</v>
      </c>
      <c r="AM5957">
        <v>85.552725286807402</v>
      </c>
      <c r="AN5957">
        <v>0.99999997686245601</v>
      </c>
    </row>
    <row r="5958" spans="1:40" x14ac:dyDescent="0.25">
      <c r="A5958" t="str">
        <f>"20190303162031333"</f>
        <v>20190303162031333</v>
      </c>
      <c r="B5958" t="str">
        <f>"1551601231328810"</f>
        <v>1551601231328810</v>
      </c>
      <c r="C5958" t="s">
        <v>40</v>
      </c>
      <c r="D5958">
        <v>4.9652440000000002</v>
      </c>
      <c r="E5958">
        <v>0.51448379999999905</v>
      </c>
      <c r="F5958" t="s">
        <v>50</v>
      </c>
      <c r="G5958">
        <v>-194.6841</v>
      </c>
      <c r="H5958" s="1">
        <v>-1.3168E-5</v>
      </c>
      <c r="I5958">
        <v>154.28360000000001</v>
      </c>
      <c r="J5958">
        <v>-192.03020000000001</v>
      </c>
      <c r="K5958">
        <v>1.120798</v>
      </c>
      <c r="L5958">
        <v>183.71870000000001</v>
      </c>
      <c r="M5958">
        <v>2.1087829999999998E-2</v>
      </c>
      <c r="N5958">
        <v>-1.024338E-2</v>
      </c>
      <c r="O5958">
        <v>-0.99972530000000004</v>
      </c>
      <c r="P5958">
        <v>-5.5928459999999999E-2</v>
      </c>
      <c r="Q5958">
        <v>0.1222563</v>
      </c>
      <c r="R5958">
        <v>-0.99092170000000002</v>
      </c>
      <c r="S5958">
        <v>-0.27191159999999998</v>
      </c>
      <c r="T5958">
        <v>-0.1148974</v>
      </c>
      <c r="U5958">
        <v>-3.0262910000000001</v>
      </c>
      <c r="V5958">
        <v>7.6926220000000003E-2</v>
      </c>
      <c r="W5958">
        <v>0.13232060000000001</v>
      </c>
      <c r="X5958">
        <v>0.98821740000000002</v>
      </c>
      <c r="Y5958">
        <v>0.11041280000000001</v>
      </c>
      <c r="Z5958">
        <v>2.7486839999999998E-2</v>
      </c>
      <c r="AA5958">
        <v>0.99350570000000005</v>
      </c>
      <c r="AB5958">
        <v>17</v>
      </c>
      <c r="AC5958">
        <v>-2.6538999999999899</v>
      </c>
      <c r="AD5958">
        <v>-1.1208111679999999</v>
      </c>
      <c r="AE5958">
        <v>-29.435099999999998</v>
      </c>
      <c r="AF5958">
        <v>3.26936266154939</v>
      </c>
      <c r="AG5958">
        <v>-1.1208111679999999</v>
      </c>
      <c r="AH5958">
        <v>29.330402986346499</v>
      </c>
      <c r="AI5958">
        <v>92.174938550665104</v>
      </c>
      <c r="AJ5958">
        <v>83.6396848559327</v>
      </c>
      <c r="AK5958">
        <v>29.533328448187699</v>
      </c>
      <c r="AL5958">
        <v>82.396288486907295</v>
      </c>
      <c r="AM5958">
        <v>85.548876883797902</v>
      </c>
      <c r="AN5958">
        <v>1.0000000070852999</v>
      </c>
    </row>
    <row r="5959" spans="1:40" x14ac:dyDescent="0.25">
      <c r="A5959" t="str">
        <f>"20190303162031347"</f>
        <v>20190303162031347</v>
      </c>
      <c r="B5959" t="str">
        <f>"1551601231338570"</f>
        <v>1551601231338570</v>
      </c>
      <c r="C5959" t="s">
        <v>40</v>
      </c>
      <c r="D5959">
        <v>4.9715160000000003</v>
      </c>
      <c r="E5959">
        <v>0.51500069999999998</v>
      </c>
      <c r="F5959" t="s">
        <v>50</v>
      </c>
      <c r="G5959">
        <v>-194.654</v>
      </c>
      <c r="H5959" s="1">
        <v>-1.36809999999999E-5</v>
      </c>
      <c r="I5959">
        <v>155.6232</v>
      </c>
      <c r="J5959">
        <v>-192.02860000000001</v>
      </c>
      <c r="K5959">
        <v>1.1207659999999999</v>
      </c>
      <c r="L5959">
        <v>183.6183</v>
      </c>
      <c r="M5959">
        <v>2.0603679999999999E-2</v>
      </c>
      <c r="N5959">
        <v>-1.0089229999999999E-2</v>
      </c>
      <c r="O5959">
        <v>-0.99973699999999999</v>
      </c>
      <c r="P5959">
        <v>-5.6395929999999997E-2</v>
      </c>
      <c r="Q5959">
        <v>0.1228567</v>
      </c>
      <c r="R5959">
        <v>-0.9908209</v>
      </c>
      <c r="S5959">
        <v>-0.28263850000000001</v>
      </c>
      <c r="T5959">
        <v>-0.12073250000000001</v>
      </c>
      <c r="U5959">
        <v>-3.0264129999999998</v>
      </c>
      <c r="V5959">
        <v>7.6914990000000003E-2</v>
      </c>
      <c r="W5959">
        <v>0.132766299999999</v>
      </c>
      <c r="X5959">
        <v>0.98815850000000005</v>
      </c>
      <c r="Y5959">
        <v>0.1134126</v>
      </c>
      <c r="Z5959">
        <v>2.9540919999999998E-2</v>
      </c>
      <c r="AA5959">
        <v>0.99310869999999996</v>
      </c>
      <c r="AB5959">
        <v>17</v>
      </c>
      <c r="AC5959">
        <v>-2.6254000000000102</v>
      </c>
      <c r="AD5959">
        <v>-1.1207796809999999</v>
      </c>
      <c r="AE5959">
        <v>-27.995100000000001</v>
      </c>
      <c r="AF5959">
        <v>3.1965951599157698</v>
      </c>
      <c r="AG5959">
        <v>-1.1207796809999999</v>
      </c>
      <c r="AH5959">
        <v>27.8907477323244</v>
      </c>
      <c r="AI5959">
        <v>92.286221612960503</v>
      </c>
      <c r="AJ5959">
        <v>83.461784132587297</v>
      </c>
      <c r="AK5959">
        <v>28.095696766193502</v>
      </c>
      <c r="AL5959">
        <v>82.370524496954204</v>
      </c>
      <c r="AM5959">
        <v>85.549259857547796</v>
      </c>
      <c r="AN5959">
        <v>1.0000000136123199</v>
      </c>
    </row>
    <row r="5960" spans="1:40" x14ac:dyDescent="0.25">
      <c r="A5960" t="str">
        <f>"20190303162031360"</f>
        <v>20190303162031360</v>
      </c>
      <c r="B5960" t="str">
        <f>"1551601231348330"</f>
        <v>1551601231348330</v>
      </c>
      <c r="C5960" t="s">
        <v>40</v>
      </c>
      <c r="D5960">
        <v>4.9865199999999996</v>
      </c>
      <c r="E5960">
        <v>0.51539820000000003</v>
      </c>
      <c r="F5960" t="s">
        <v>50</v>
      </c>
      <c r="G5960">
        <v>-194.74270000000001</v>
      </c>
      <c r="H5960" s="1">
        <v>-1.3475709999999999E-5</v>
      </c>
      <c r="I5960">
        <v>155.12639999999999</v>
      </c>
      <c r="J5960">
        <v>-192.02699999999999</v>
      </c>
      <c r="K5960">
        <v>1.1207400000000001</v>
      </c>
      <c r="L5960">
        <v>183.51759999999999</v>
      </c>
      <c r="M5960">
        <v>2.0115210000000001E-2</v>
      </c>
      <c r="N5960">
        <v>-9.941709E-3</v>
      </c>
      <c r="O5960">
        <v>-0.99974850000000004</v>
      </c>
      <c r="P5960">
        <v>-5.7233399999999997E-2</v>
      </c>
      <c r="Q5960">
        <v>0.12365420000000001</v>
      </c>
      <c r="R5960">
        <v>-0.9906739</v>
      </c>
      <c r="S5960">
        <v>-0.288269</v>
      </c>
      <c r="T5960">
        <v>-0.1190397</v>
      </c>
      <c r="U5960">
        <v>-3.0261689999999999</v>
      </c>
      <c r="V5960">
        <v>7.7268429999999999E-2</v>
      </c>
      <c r="W5960">
        <v>0.13341520000000001</v>
      </c>
      <c r="X5960">
        <v>0.98804349999999996</v>
      </c>
      <c r="Y5960">
        <v>0.1147676</v>
      </c>
      <c r="Z5960">
        <v>2.9130759999999999E-2</v>
      </c>
      <c r="AA5960">
        <v>0.99296519999999999</v>
      </c>
      <c r="AB5960">
        <v>17</v>
      </c>
      <c r="AC5960">
        <v>-2.7156999999999898</v>
      </c>
      <c r="AD5960">
        <v>-1.1207534757099999</v>
      </c>
      <c r="AE5960">
        <v>-28.391200000000001</v>
      </c>
      <c r="AF5960">
        <v>3.2812067353894698</v>
      </c>
      <c r="AG5960">
        <v>-1.1207534757099999</v>
      </c>
      <c r="AH5960">
        <v>28.287145075022099</v>
      </c>
      <c r="AI5960">
        <v>92.253809764802398</v>
      </c>
      <c r="AJ5960">
        <v>83.3834661471532</v>
      </c>
      <c r="AK5960">
        <v>28.498859319085501</v>
      </c>
      <c r="AL5960">
        <v>82.333011377167097</v>
      </c>
      <c r="AM5960">
        <v>85.528372253120693</v>
      </c>
      <c r="AN5960">
        <v>0.99999999187897703</v>
      </c>
    </row>
    <row r="5961" spans="1:40" x14ac:dyDescent="0.25">
      <c r="A5961" t="str">
        <f>"20190303162031375"</f>
        <v>20190303162031375</v>
      </c>
      <c r="B5961" t="str">
        <f>"1551601231368826"</f>
        <v>1551601231368826</v>
      </c>
      <c r="C5961" t="s">
        <v>40</v>
      </c>
      <c r="D5961">
        <v>4.979336</v>
      </c>
      <c r="E5961">
        <v>0.51579179999999902</v>
      </c>
      <c r="F5961" t="s">
        <v>50</v>
      </c>
      <c r="G5961">
        <v>-194.82400000000001</v>
      </c>
      <c r="H5961" s="1">
        <v>-1.331333E-5</v>
      </c>
      <c r="I5961">
        <v>154.73099999999999</v>
      </c>
      <c r="J5961">
        <v>-192.02529999999999</v>
      </c>
      <c r="K5961">
        <v>1.1207199999999999</v>
      </c>
      <c r="L5961">
        <v>183.40190000000001</v>
      </c>
      <c r="M5961">
        <v>1.955196E-2</v>
      </c>
      <c r="N5961">
        <v>-9.7804980000000003E-3</v>
      </c>
      <c r="O5961">
        <v>-0.99976129999999996</v>
      </c>
      <c r="P5961">
        <v>-5.8527320000000001E-2</v>
      </c>
      <c r="Q5961">
        <v>0.1242688</v>
      </c>
      <c r="R5961">
        <v>-0.9905214</v>
      </c>
      <c r="S5961">
        <v>-0.2940063</v>
      </c>
      <c r="T5961">
        <v>-0.1178106</v>
      </c>
      <c r="U5961">
        <v>-3.02597</v>
      </c>
      <c r="V5961">
        <v>7.8004270000000001E-2</v>
      </c>
      <c r="W5961">
        <v>0.13386700000000001</v>
      </c>
      <c r="X5961">
        <v>0.98792460000000004</v>
      </c>
      <c r="Y5961">
        <v>0.1160805</v>
      </c>
      <c r="Z5961">
        <v>2.8885890000000001E-2</v>
      </c>
      <c r="AA5961">
        <v>0.99281969999999997</v>
      </c>
      <c r="AB5961">
        <v>17</v>
      </c>
      <c r="AC5961">
        <v>-2.7987000000000202</v>
      </c>
      <c r="AD5961">
        <v>-1.1207333133299999</v>
      </c>
      <c r="AE5961">
        <v>-28.6709</v>
      </c>
      <c r="AF5961">
        <v>3.3536878424033398</v>
      </c>
      <c r="AG5961">
        <v>-1.1207333133299999</v>
      </c>
      <c r="AH5961">
        <v>28.567457217717401</v>
      </c>
      <c r="AI5961">
        <v>92.231318045040297</v>
      </c>
      <c r="AJ5961">
        <v>83.304386193941696</v>
      </c>
      <c r="AK5961">
        <v>28.7854629490304</v>
      </c>
      <c r="AL5961">
        <v>82.306891113086195</v>
      </c>
      <c r="AM5961">
        <v>85.485422341957999</v>
      </c>
      <c r="AN5961">
        <v>1.00000002755619</v>
      </c>
    </row>
    <row r="5962" spans="1:40" x14ac:dyDescent="0.25">
      <c r="A5962" t="str">
        <f>"20190303162031399"</f>
        <v>20190303162031399</v>
      </c>
      <c r="B5962" t="str">
        <f>"1551601231388345"</f>
        <v>1551601231388345</v>
      </c>
      <c r="C5962" t="s">
        <v>40</v>
      </c>
      <c r="D5962">
        <v>5.0034999999999998</v>
      </c>
      <c r="E5962">
        <v>0.51605990000000002</v>
      </c>
      <c r="F5962" t="s">
        <v>50</v>
      </c>
      <c r="G5962">
        <v>-194.99260000000001</v>
      </c>
      <c r="H5962" s="1">
        <v>-1.30254399999999E-5</v>
      </c>
      <c r="I5962">
        <v>153.60830000000001</v>
      </c>
      <c r="J5962">
        <v>-192.02289999999999</v>
      </c>
      <c r="K5962">
        <v>1.1206879999999999</v>
      </c>
      <c r="L5962">
        <v>183.22720000000001</v>
      </c>
      <c r="M5962">
        <v>1.8700330000000001E-2</v>
      </c>
      <c r="N5962">
        <v>-9.5532459999999996E-3</v>
      </c>
      <c r="O5962">
        <v>-0.99977950000000004</v>
      </c>
      <c r="P5962">
        <v>-6.0172789999999997E-2</v>
      </c>
      <c r="Q5962">
        <v>0.125059</v>
      </c>
      <c r="R5962">
        <v>-0.99032319999999996</v>
      </c>
      <c r="S5962">
        <v>-0.30128480000000002</v>
      </c>
      <c r="T5962">
        <v>-0.1137958</v>
      </c>
      <c r="U5962">
        <v>-3.0251459999999999</v>
      </c>
      <c r="V5962">
        <v>7.8806340000000002E-2</v>
      </c>
      <c r="W5962">
        <v>0.1344292</v>
      </c>
      <c r="X5962">
        <v>0.98778460000000001</v>
      </c>
      <c r="Y5962">
        <v>0.11763029999999999</v>
      </c>
      <c r="Z5962">
        <v>2.78003E-2</v>
      </c>
      <c r="AA5962">
        <v>0.99266829999999995</v>
      </c>
      <c r="AB5962">
        <v>17</v>
      </c>
      <c r="AC5962">
        <v>-2.9697000000000102</v>
      </c>
      <c r="AD5962">
        <v>-1.1207010254399901</v>
      </c>
      <c r="AE5962">
        <v>-29.6189</v>
      </c>
      <c r="AF5962">
        <v>3.5181025103280801</v>
      </c>
      <c r="AG5962">
        <v>-1.1207010254399901</v>
      </c>
      <c r="AH5962">
        <v>29.516346302975499</v>
      </c>
      <c r="AI5962">
        <v>92.159140627576093</v>
      </c>
      <c r="AJ5962">
        <v>83.202887575787997</v>
      </c>
      <c r="AK5962">
        <v>29.746389951366801</v>
      </c>
      <c r="AL5962">
        <v>82.274385657261604</v>
      </c>
      <c r="AM5962">
        <v>85.438552884200206</v>
      </c>
      <c r="AN5962">
        <v>1.00000003251699</v>
      </c>
    </row>
    <row r="5963" spans="1:40" x14ac:dyDescent="0.25">
      <c r="A5963" t="str">
        <f>"20190303162031413"</f>
        <v>20190303162031413</v>
      </c>
      <c r="B5963" t="str">
        <f>"1551601231408841"</f>
        <v>1551601231408841</v>
      </c>
      <c r="C5963" t="s">
        <v>40</v>
      </c>
      <c r="D5963">
        <v>4.9705789999999999</v>
      </c>
      <c r="E5963">
        <v>0.51604779999999995</v>
      </c>
      <c r="F5963" t="s">
        <v>50</v>
      </c>
      <c r="G5963">
        <v>-195.11259999999999</v>
      </c>
      <c r="H5963" s="1">
        <v>-1.286948E-5</v>
      </c>
      <c r="I5963">
        <v>152.9462</v>
      </c>
      <c r="J5963">
        <v>-192.0214</v>
      </c>
      <c r="K5963">
        <v>1.120676</v>
      </c>
      <c r="L5963">
        <v>183.11699999999999</v>
      </c>
      <c r="M5963">
        <v>1.8163100000000001E-2</v>
      </c>
      <c r="N5963">
        <v>-9.4208690000000001E-3</v>
      </c>
      <c r="O5963">
        <v>-0.99979070000000003</v>
      </c>
      <c r="P5963">
        <v>-6.1247639999999999E-2</v>
      </c>
      <c r="Q5963">
        <v>0.12508730000000001</v>
      </c>
      <c r="R5963">
        <v>-0.99025359999999996</v>
      </c>
      <c r="S5963">
        <v>-0.30862430000000002</v>
      </c>
      <c r="T5963">
        <v>-0.11194419999999999</v>
      </c>
      <c r="U5963">
        <v>-3.0247039999999998</v>
      </c>
      <c r="V5963">
        <v>7.9349630000000004E-2</v>
      </c>
      <c r="W5963">
        <v>0.13432479999999999</v>
      </c>
      <c r="X5963">
        <v>0.9877553</v>
      </c>
      <c r="Y5963">
        <v>0.1194969</v>
      </c>
      <c r="Z5963">
        <v>2.7322929999999999E-2</v>
      </c>
      <c r="AA5963">
        <v>0.99245850000000002</v>
      </c>
      <c r="AB5963">
        <v>17</v>
      </c>
      <c r="AC5963">
        <v>-3.0911999999999802</v>
      </c>
      <c r="AD5963">
        <v>-1.1206888694799999</v>
      </c>
      <c r="AE5963">
        <v>-30.1708</v>
      </c>
      <c r="AF5963">
        <v>3.6337480379152698</v>
      </c>
      <c r="AG5963">
        <v>-1.1206888694799999</v>
      </c>
      <c r="AH5963">
        <v>30.068618416130299</v>
      </c>
      <c r="AI5963">
        <v>92.119082031510501</v>
      </c>
      <c r="AJ5963">
        <v>83.109304927873396</v>
      </c>
      <c r="AK5963">
        <v>30.308115774493199</v>
      </c>
      <c r="AL5963">
        <v>82.280422020379504</v>
      </c>
      <c r="AM5963">
        <v>85.407104741861204</v>
      </c>
      <c r="AN5963">
        <v>1.0000000241771301</v>
      </c>
    </row>
    <row r="5964" spans="1:40" x14ac:dyDescent="0.25">
      <c r="A5964" t="str">
        <f>"20190303162031427"</f>
        <v>20190303162031427</v>
      </c>
      <c r="B5964" t="str">
        <f>"1551601231418602"</f>
        <v>1551601231418602</v>
      </c>
      <c r="C5964" t="s">
        <v>40</v>
      </c>
      <c r="D5964">
        <v>5.0305609999999996</v>
      </c>
      <c r="E5964">
        <v>0.51610500000000004</v>
      </c>
      <c r="F5964" t="s">
        <v>50</v>
      </c>
      <c r="G5964">
        <v>-195.08969999999999</v>
      </c>
      <c r="H5964" s="1">
        <v>-1.296715E-5</v>
      </c>
      <c r="I5964">
        <v>153.3424</v>
      </c>
      <c r="J5964">
        <v>-192.02010000000001</v>
      </c>
      <c r="K5964">
        <v>1.1206609999999999</v>
      </c>
      <c r="L5964">
        <v>183.01599999999999</v>
      </c>
      <c r="M5964">
        <v>1.7671510000000001E-2</v>
      </c>
      <c r="N5964">
        <v>-9.3053860000000006E-3</v>
      </c>
      <c r="O5964">
        <v>-0.99980049999999998</v>
      </c>
      <c r="P5964">
        <v>-6.2003379999999997E-2</v>
      </c>
      <c r="Q5964">
        <v>0.12520229999999999</v>
      </c>
      <c r="R5964">
        <v>-0.99019219999999997</v>
      </c>
      <c r="S5964">
        <v>-0.3116913</v>
      </c>
      <c r="T5964">
        <v>-0.113845</v>
      </c>
      <c r="U5964">
        <v>-3.0246430000000002</v>
      </c>
      <c r="V5964">
        <v>7.9619090000000003E-2</v>
      </c>
      <c r="W5964">
        <v>0.13432479999999999</v>
      </c>
      <c r="X5964">
        <v>0.98773359999999999</v>
      </c>
      <c r="Y5964">
        <v>0.1200045</v>
      </c>
      <c r="Z5964">
        <v>2.8060100000000001E-2</v>
      </c>
      <c r="AA5964">
        <v>0.9923767</v>
      </c>
      <c r="AB5964">
        <v>17</v>
      </c>
      <c r="AC5964">
        <v>-3.0695999999999799</v>
      </c>
      <c r="AD5964">
        <v>-1.1206739671499999</v>
      </c>
      <c r="AE5964">
        <v>-29.6736</v>
      </c>
      <c r="AF5964">
        <v>3.58845656710692</v>
      </c>
      <c r="AG5964">
        <v>-1.1206739671499999</v>
      </c>
      <c r="AH5964">
        <v>29.572985094887098</v>
      </c>
      <c r="AI5964">
        <v>92.154408451081096</v>
      </c>
      <c r="AJ5964">
        <v>83.081417453866393</v>
      </c>
      <c r="AK5964">
        <v>29.8109774763773</v>
      </c>
      <c r="AL5964">
        <v>82.280421894568505</v>
      </c>
      <c r="AM5964">
        <v>85.391474185011006</v>
      </c>
      <c r="AN5964">
        <v>1.0000000079782101</v>
      </c>
    </row>
    <row r="5965" spans="1:40" x14ac:dyDescent="0.25">
      <c r="A5965" t="str">
        <f>"20190303162031442"</f>
        <v>20190303162031442</v>
      </c>
      <c r="B5965" t="str">
        <f>"1551601231438121"</f>
        <v>1551601231438121</v>
      </c>
      <c r="C5965" t="s">
        <v>40</v>
      </c>
      <c r="D5965">
        <v>5.0096379999999998</v>
      </c>
      <c r="E5965">
        <v>0.5160844</v>
      </c>
      <c r="F5965" t="s">
        <v>50</v>
      </c>
      <c r="G5965">
        <v>-195.03819999999999</v>
      </c>
      <c r="H5965" s="1">
        <v>-1.3126020000000001E-5</v>
      </c>
      <c r="I5965">
        <v>153.99199999999999</v>
      </c>
      <c r="J5965">
        <v>-192.0187</v>
      </c>
      <c r="K5965">
        <v>1.1206480000000001</v>
      </c>
      <c r="L5965">
        <v>182.8981</v>
      </c>
      <c r="M5965">
        <v>1.7099139999999999E-2</v>
      </c>
      <c r="N5965">
        <v>-9.1813910000000006E-3</v>
      </c>
      <c r="O5965">
        <v>-0.99981189999999998</v>
      </c>
      <c r="P5965">
        <v>-6.3204440000000001E-2</v>
      </c>
      <c r="Q5965">
        <v>0.125754</v>
      </c>
      <c r="R5965">
        <v>-0.99004650000000005</v>
      </c>
      <c r="S5965">
        <v>-0.31452940000000001</v>
      </c>
      <c r="T5965">
        <v>-0.1167928</v>
      </c>
      <c r="U5965">
        <v>-3.0247799999999998</v>
      </c>
      <c r="V5965">
        <v>8.0252889999999993E-2</v>
      </c>
      <c r="W5965">
        <v>0.13475100000000001</v>
      </c>
      <c r="X5965">
        <v>0.98762419999999995</v>
      </c>
      <c r="Y5965">
        <v>0.1203494</v>
      </c>
      <c r="Z5965">
        <v>2.9147039999999999E-2</v>
      </c>
      <c r="AA5965">
        <v>0.99230359999999995</v>
      </c>
      <c r="AB5965">
        <v>17</v>
      </c>
      <c r="AC5965">
        <v>-3.0194999999999901</v>
      </c>
      <c r="AD5965">
        <v>-1.1206611260199999</v>
      </c>
      <c r="AE5965">
        <v>-28.906099999999899</v>
      </c>
      <c r="AF5965">
        <v>3.5081327291365301</v>
      </c>
      <c r="AG5965">
        <v>-1.1206611260199999</v>
      </c>
      <c r="AH5965">
        <v>28.807409293347501</v>
      </c>
      <c r="AI5965">
        <v>92.211466324461597</v>
      </c>
      <c r="AJ5965">
        <v>83.056774927961399</v>
      </c>
      <c r="AK5965">
        <v>29.041861283310599</v>
      </c>
      <c r="AL5965">
        <v>82.255778007024702</v>
      </c>
      <c r="AM5965">
        <v>85.354436086130903</v>
      </c>
      <c r="AN5965">
        <v>0.99999995938999497</v>
      </c>
    </row>
    <row r="5966" spans="1:40" x14ac:dyDescent="0.25">
      <c r="A5966" t="str">
        <f>"20190303162031455"</f>
        <v>20190303162031455</v>
      </c>
      <c r="B5966" t="str">
        <f>"1551601231448858"</f>
        <v>1551601231448858</v>
      </c>
      <c r="C5966" t="s">
        <v>40</v>
      </c>
      <c r="D5966">
        <v>4.9915399999999996</v>
      </c>
      <c r="E5966">
        <v>0.51603809999999894</v>
      </c>
      <c r="F5966" t="s">
        <v>50</v>
      </c>
      <c r="G5966">
        <v>-195.04589999999999</v>
      </c>
      <c r="H5966" s="1">
        <v>-1.3166949999999999E-5</v>
      </c>
      <c r="I5966">
        <v>154.15190000000001</v>
      </c>
      <c r="J5966">
        <v>-192.01750000000001</v>
      </c>
      <c r="K5966">
        <v>1.1206370000000001</v>
      </c>
      <c r="L5966">
        <v>182.79689999999999</v>
      </c>
      <c r="M5966">
        <v>1.6608589999999999E-2</v>
      </c>
      <c r="N5966">
        <v>-9.0860579999999993E-3</v>
      </c>
      <c r="O5966">
        <v>-0.99982099999999996</v>
      </c>
      <c r="P5966">
        <v>-6.3731049999999997E-2</v>
      </c>
      <c r="Q5966">
        <v>0.12629899999999999</v>
      </c>
      <c r="R5966">
        <v>-0.98994289999999996</v>
      </c>
      <c r="S5966">
        <v>-0.31854250000000001</v>
      </c>
      <c r="T5966">
        <v>-0.11792229999999999</v>
      </c>
      <c r="U5966">
        <v>-3.0248409999999999</v>
      </c>
      <c r="V5966">
        <v>8.0293809999999993E-2</v>
      </c>
      <c r="W5966">
        <v>0.13520079999999901</v>
      </c>
      <c r="X5966">
        <v>0.98755939999999998</v>
      </c>
      <c r="Y5966">
        <v>0.121161</v>
      </c>
      <c r="Z5966">
        <v>2.9607939999999999E-2</v>
      </c>
      <c r="AA5966">
        <v>0.99219120000000005</v>
      </c>
      <c r="AB5966">
        <v>17</v>
      </c>
      <c r="AC5966">
        <v>-3.0283999999999698</v>
      </c>
      <c r="AD5966">
        <v>-1.12065016695</v>
      </c>
      <c r="AE5966">
        <v>-28.6449999999999</v>
      </c>
      <c r="AF5966">
        <v>3.49845953015123</v>
      </c>
      <c r="AG5966">
        <v>-1.12065016695</v>
      </c>
      <c r="AH5966">
        <v>28.547539124137501</v>
      </c>
      <c r="AI5966">
        <v>92.231348857355997</v>
      </c>
      <c r="AJ5966">
        <v>83.0133219630317</v>
      </c>
      <c r="AK5966">
        <v>28.782930113609901</v>
      </c>
      <c r="AL5966">
        <v>82.229768354413594</v>
      </c>
      <c r="AM5966">
        <v>85.351774100466798</v>
      </c>
      <c r="AN5966">
        <v>0.99999996038665695</v>
      </c>
    </row>
    <row r="5967" spans="1:40" x14ac:dyDescent="0.25">
      <c r="A5967" t="str">
        <f>"20190303162031476"</f>
        <v>20190303162031476</v>
      </c>
      <c r="B5967" t="str">
        <f>"1551601231468378"</f>
        <v>1551601231468378</v>
      </c>
      <c r="C5967" t="s">
        <v>40</v>
      </c>
      <c r="D5967">
        <v>5.0345079999999998</v>
      </c>
      <c r="E5967">
        <v>0.51603619999999994</v>
      </c>
      <c r="F5967" t="s">
        <v>50</v>
      </c>
      <c r="G5967">
        <v>-195.06659999999999</v>
      </c>
      <c r="H5967" s="1">
        <v>-1.312127E-5</v>
      </c>
      <c r="I5967">
        <v>153.9631</v>
      </c>
      <c r="J5967">
        <v>-192.01589999999999</v>
      </c>
      <c r="K5967">
        <v>1.120635</v>
      </c>
      <c r="L5967">
        <v>182.64349999999999</v>
      </c>
      <c r="M5967">
        <v>1.5867719999999998E-2</v>
      </c>
      <c r="N5967">
        <v>-8.9611059999999999E-3</v>
      </c>
      <c r="O5967">
        <v>-0.99983409999999995</v>
      </c>
      <c r="P5967">
        <v>-6.3863149999999994E-2</v>
      </c>
      <c r="Q5967">
        <v>0.1271573</v>
      </c>
      <c r="R5967">
        <v>-0.9898247</v>
      </c>
      <c r="S5967">
        <v>-0.31986999999999999</v>
      </c>
      <c r="T5967">
        <v>-0.1175655</v>
      </c>
      <c r="U5967">
        <v>-3.024902</v>
      </c>
      <c r="V5967">
        <v>7.9693079999999999E-2</v>
      </c>
      <c r="W5967">
        <v>0.135935</v>
      </c>
      <c r="X5967">
        <v>0.98750729999999998</v>
      </c>
      <c r="Y5967">
        <v>0.1208545</v>
      </c>
      <c r="Z5967">
        <v>2.9616090000000001E-2</v>
      </c>
      <c r="AA5967">
        <v>0.99222829999999995</v>
      </c>
      <c r="AB5967">
        <v>17</v>
      </c>
      <c r="AC5967">
        <v>-3.0507</v>
      </c>
      <c r="AD5967">
        <v>-1.1206481212699999</v>
      </c>
      <c r="AE5967">
        <v>-28.680399999999899</v>
      </c>
      <c r="AF5967">
        <v>3.5001425847208001</v>
      </c>
      <c r="AG5967">
        <v>-1.1206481212699999</v>
      </c>
      <c r="AH5967">
        <v>28.585225002654699</v>
      </c>
      <c r="AI5967">
        <v>92.228433608227505</v>
      </c>
      <c r="AJ5967">
        <v>83.019118443519801</v>
      </c>
      <c r="AK5967">
        <v>28.820512465559599</v>
      </c>
      <c r="AL5967">
        <v>82.1873100436095</v>
      </c>
      <c r="AM5967">
        <v>85.386157439671393</v>
      </c>
      <c r="AN5967">
        <v>0.99999998938908796</v>
      </c>
    </row>
    <row r="5968" spans="1:40" x14ac:dyDescent="0.25">
      <c r="A5968" t="str">
        <f>"20190303162031487"</f>
        <v>20190303162031487</v>
      </c>
      <c r="B5968" t="str">
        <f>"1551601231478138"</f>
        <v>1551601231478138</v>
      </c>
      <c r="C5968" t="s">
        <v>40</v>
      </c>
      <c r="D5968">
        <v>4.9610110000000001</v>
      </c>
      <c r="E5968">
        <v>0.51594169999999995</v>
      </c>
      <c r="F5968" t="s">
        <v>50</v>
      </c>
      <c r="G5968">
        <v>-195.0565</v>
      </c>
      <c r="H5968" s="1">
        <v>-1.3122870000000001E-5</v>
      </c>
      <c r="I5968">
        <v>153.97309999999999</v>
      </c>
      <c r="J5968">
        <v>-192.01490000000001</v>
      </c>
      <c r="K5968">
        <v>1.120635</v>
      </c>
      <c r="L5968">
        <v>182.5513</v>
      </c>
      <c r="M5968">
        <v>1.5423350000000001E-2</v>
      </c>
      <c r="N5968">
        <v>-8.8973079999999996E-3</v>
      </c>
      <c r="O5968">
        <v>-0.99984150000000005</v>
      </c>
      <c r="P5968">
        <v>-6.3701759999999996E-2</v>
      </c>
      <c r="Q5968">
        <v>0.12777629999999901</v>
      </c>
      <c r="R5968">
        <v>-0.98975519999999995</v>
      </c>
      <c r="S5968">
        <v>-0.32084659999999998</v>
      </c>
      <c r="T5968">
        <v>-0.1182516</v>
      </c>
      <c r="U5968">
        <v>-3.0253299999999999</v>
      </c>
      <c r="V5968">
        <v>7.9092309999999999E-2</v>
      </c>
      <c r="W5968">
        <v>0.136491</v>
      </c>
      <c r="X5968">
        <v>0.98747890000000005</v>
      </c>
      <c r="Y5968">
        <v>0.12071460000000001</v>
      </c>
      <c r="Z5968">
        <v>2.9899599999999998E-2</v>
      </c>
      <c r="AA5968">
        <v>0.99223689999999998</v>
      </c>
      <c r="AB5968">
        <v>17</v>
      </c>
      <c r="AC5968">
        <v>-3.0415999999999799</v>
      </c>
      <c r="AD5968">
        <v>-1.12064812287</v>
      </c>
      <c r="AE5968">
        <v>-28.578199999999999</v>
      </c>
      <c r="AF5968">
        <v>3.4767409263026599</v>
      </c>
      <c r="AG5968">
        <v>-1.12064812287</v>
      </c>
      <c r="AH5968">
        <v>28.4845770682102</v>
      </c>
      <c r="AI5968">
        <v>92.236404272751301</v>
      </c>
      <c r="AJ5968">
        <v>83.041072821848701</v>
      </c>
      <c r="AK5968">
        <v>28.717846549466898</v>
      </c>
      <c r="AL5968">
        <v>82.155153824028204</v>
      </c>
      <c r="AM5968">
        <v>85.420659486116705</v>
      </c>
      <c r="AN5968">
        <v>0.99999998226367304</v>
      </c>
    </row>
    <row r="5969" spans="1:40" x14ac:dyDescent="0.25">
      <c r="A5969" t="str">
        <f>"20190303162031500"</f>
        <v>20190303162031500</v>
      </c>
      <c r="B5969" t="str">
        <f>"1551601231488873"</f>
        <v>1551601231488873</v>
      </c>
      <c r="C5969" t="s">
        <v>40</v>
      </c>
      <c r="D5969">
        <v>4.9484719999999998</v>
      </c>
      <c r="E5969">
        <v>0.5158547</v>
      </c>
      <c r="F5969" t="s">
        <v>50</v>
      </c>
      <c r="G5969">
        <v>-195.078</v>
      </c>
      <c r="H5969" s="1">
        <v>-1.3011699999999999E-5</v>
      </c>
      <c r="I5969">
        <v>153.52359999999999</v>
      </c>
      <c r="J5969">
        <v>-192.01390000000001</v>
      </c>
      <c r="K5969">
        <v>1.120636</v>
      </c>
      <c r="L5969">
        <v>182.45179999999999</v>
      </c>
      <c r="M5969">
        <v>1.494499E-2</v>
      </c>
      <c r="N5969">
        <v>-8.8404750000000004E-3</v>
      </c>
      <c r="O5969">
        <v>-0.9998494</v>
      </c>
      <c r="P5969">
        <v>-6.3959269999999999E-2</v>
      </c>
      <c r="Q5969">
        <v>0.12822720000000001</v>
      </c>
      <c r="R5969">
        <v>-0.98968049999999996</v>
      </c>
      <c r="S5969">
        <v>-0.31927489999999997</v>
      </c>
      <c r="T5969">
        <v>-0.1168057</v>
      </c>
      <c r="U5969">
        <v>-3.0255740000000002</v>
      </c>
      <c r="V5969">
        <v>7.8876500000000002E-2</v>
      </c>
      <c r="W5969">
        <v>0.13688539999999999</v>
      </c>
      <c r="X5969">
        <v>0.98744160000000003</v>
      </c>
      <c r="Y5969">
        <v>0.1197235</v>
      </c>
      <c r="Z5969">
        <v>2.9483570000000001E-2</v>
      </c>
      <c r="AA5969">
        <v>0.99236939999999996</v>
      </c>
      <c r="AB5969">
        <v>17</v>
      </c>
      <c r="AC5969">
        <v>-3.0640999999999901</v>
      </c>
      <c r="AD5969">
        <v>-1.1206490117000001</v>
      </c>
      <c r="AE5969">
        <v>-28.9282</v>
      </c>
      <c r="AF5969">
        <v>3.4909255120141802</v>
      </c>
      <c r="AG5969">
        <v>-1.1206490117000001</v>
      </c>
      <c r="AH5969">
        <v>28.8363793660995</v>
      </c>
      <c r="AI5969">
        <v>92.209412849970704</v>
      </c>
      <c r="AJ5969">
        <v>83.0973756107893</v>
      </c>
      <c r="AK5969">
        <v>29.0685257638475</v>
      </c>
      <c r="AL5969">
        <v>82.132342514286705</v>
      </c>
      <c r="AM5969">
        <v>85.432929890862894</v>
      </c>
      <c r="AN5969">
        <v>1.0000000141979799</v>
      </c>
    </row>
    <row r="5970" spans="1:40" x14ac:dyDescent="0.25">
      <c r="A5970" t="str">
        <f>"20190303162031513"</f>
        <v>20190303162031513</v>
      </c>
      <c r="B5970" t="str">
        <f>"1551601231509370"</f>
        <v>1551601231509370</v>
      </c>
      <c r="C5970" t="s">
        <v>40</v>
      </c>
      <c r="D5970">
        <v>4.8836899999999996</v>
      </c>
      <c r="E5970">
        <v>0.51578590000000002</v>
      </c>
      <c r="F5970" t="s">
        <v>50</v>
      </c>
      <c r="G5970">
        <v>-195.0942</v>
      </c>
      <c r="H5970" s="1">
        <v>-1.294412E-5</v>
      </c>
      <c r="I5970">
        <v>153.24930000000001</v>
      </c>
      <c r="J5970">
        <v>-192.01300000000001</v>
      </c>
      <c r="K5970">
        <v>1.1206320000000001</v>
      </c>
      <c r="L5970">
        <v>182.35939999999999</v>
      </c>
      <c r="M5970">
        <v>1.450107E-2</v>
      </c>
      <c r="N5970">
        <v>-8.7943469999999992E-3</v>
      </c>
      <c r="O5970">
        <v>-0.99985630000000003</v>
      </c>
      <c r="P5970">
        <v>-6.4293470000000005E-2</v>
      </c>
      <c r="Q5970">
        <v>0.12845319999999999</v>
      </c>
      <c r="R5970">
        <v>-0.9896296</v>
      </c>
      <c r="S5970">
        <v>-0.31915280000000001</v>
      </c>
      <c r="T5970">
        <v>-0.1161112</v>
      </c>
      <c r="U5970">
        <v>-3.0256959999999999</v>
      </c>
      <c r="V5970">
        <v>7.8771579999999994E-2</v>
      </c>
      <c r="W5970">
        <v>0.13706579999999999</v>
      </c>
      <c r="X5970">
        <v>0.98742490000000005</v>
      </c>
      <c r="Y5970">
        <v>0.11923980000000001</v>
      </c>
      <c r="Z5970">
        <v>2.9302350000000001E-2</v>
      </c>
      <c r="AA5970">
        <v>0.99243300000000001</v>
      </c>
      <c r="AB5970">
        <v>17</v>
      </c>
      <c r="AC5970">
        <v>-3.0811999999999902</v>
      </c>
      <c r="AD5970">
        <v>-1.1206449441199999</v>
      </c>
      <c r="AE5970">
        <v>-29.1100999999999</v>
      </c>
      <c r="AF5970">
        <v>3.4978934207385102</v>
      </c>
      <c r="AG5970">
        <v>-1.1206449441199999</v>
      </c>
      <c r="AH5970">
        <v>29.019825598156199</v>
      </c>
      <c r="AI5970">
        <v>92.195589135434403</v>
      </c>
      <c r="AJ5970">
        <v>83.127032309728605</v>
      </c>
      <c r="AK5970">
        <v>29.251348365862199</v>
      </c>
      <c r="AL5970">
        <v>82.121907608456794</v>
      </c>
      <c r="AM5970">
        <v>85.438902456765007</v>
      </c>
      <c r="AN5970">
        <v>0.99999996424267201</v>
      </c>
    </row>
    <row r="5971" spans="1:40" x14ac:dyDescent="0.25">
      <c r="A5971" t="str">
        <f>"20190303162031531"</f>
        <v>20190303162031531</v>
      </c>
      <c r="B5971" t="str">
        <f>"1551601231518154"</f>
        <v>1551601231518154</v>
      </c>
      <c r="C5971" t="s">
        <v>40</v>
      </c>
      <c r="D5971">
        <v>4.833272</v>
      </c>
      <c r="E5971">
        <v>0.51574229999999999</v>
      </c>
      <c r="F5971" t="s">
        <v>50</v>
      </c>
      <c r="G5971">
        <v>-195.0478</v>
      </c>
      <c r="H5971" s="1">
        <v>-1.303507E-5</v>
      </c>
      <c r="I5971">
        <v>153.62719999999999</v>
      </c>
      <c r="J5971">
        <v>-192.01169999999999</v>
      </c>
      <c r="K5971">
        <v>1.120635</v>
      </c>
      <c r="L5971">
        <v>182.214</v>
      </c>
      <c r="M5971">
        <v>1.380379E-2</v>
      </c>
      <c r="N5971">
        <v>-8.7311619999999902E-3</v>
      </c>
      <c r="O5971">
        <v>-0.99986679999999994</v>
      </c>
      <c r="P5971">
        <v>-6.4984459999999994E-2</v>
      </c>
      <c r="Q5971">
        <v>0.1281738</v>
      </c>
      <c r="R5971">
        <v>-0.98962050000000001</v>
      </c>
      <c r="S5971">
        <v>-0.31961060000000002</v>
      </c>
      <c r="T5971">
        <v>-0.1180228</v>
      </c>
      <c r="U5971">
        <v>-3.0259860000000001</v>
      </c>
      <c r="V5971">
        <v>7.8773270000000006E-2</v>
      </c>
      <c r="W5971">
        <v>0.13672379999999901</v>
      </c>
      <c r="X5971">
        <v>0.98747220000000002</v>
      </c>
      <c r="Y5971">
        <v>0.11868380000000001</v>
      </c>
      <c r="Z5971">
        <v>2.9990240000000001E-2</v>
      </c>
      <c r="AA5971">
        <v>0.99247909999999995</v>
      </c>
      <c r="AB5971">
        <v>17</v>
      </c>
      <c r="AC5971">
        <v>-3.0360999999999998</v>
      </c>
      <c r="AD5971">
        <v>-1.1206480350700001</v>
      </c>
      <c r="AE5971">
        <v>-28.5868</v>
      </c>
      <c r="AF5971">
        <v>3.42522680008598</v>
      </c>
      <c r="AG5971">
        <v>-1.1206480350700001</v>
      </c>
      <c r="AH5971">
        <v>28.498857318671899</v>
      </c>
      <c r="AI5971">
        <v>92.235782798629003</v>
      </c>
      <c r="AJ5971">
        <v>83.146595964493997</v>
      </c>
      <c r="AK5971">
        <v>28.7258228623752</v>
      </c>
      <c r="AL5971">
        <v>82.141689165323399</v>
      </c>
      <c r="AM5971">
        <v>85.439022573666094</v>
      </c>
      <c r="AN5971">
        <v>0.99999998566288595</v>
      </c>
    </row>
    <row r="5972" spans="1:40" x14ac:dyDescent="0.25">
      <c r="A5972" t="str">
        <f>"20190303162031546"</f>
        <v>20190303162031546</v>
      </c>
      <c r="B5972" t="str">
        <f>"1551601231538650"</f>
        <v>1551601231538650</v>
      </c>
      <c r="C5972" t="s">
        <v>40</v>
      </c>
      <c r="D5972">
        <v>4.7872300000000001</v>
      </c>
      <c r="E5972">
        <v>0.51563700000000001</v>
      </c>
      <c r="F5972" t="s">
        <v>50</v>
      </c>
      <c r="G5972">
        <v>-195.0172</v>
      </c>
      <c r="H5972" s="1">
        <v>-1.3110039999999999E-5</v>
      </c>
      <c r="I5972">
        <v>153.9359</v>
      </c>
      <c r="J5972">
        <v>-192.01079999999999</v>
      </c>
      <c r="K5972">
        <v>1.1206320000000001</v>
      </c>
      <c r="L5972">
        <v>182.1052</v>
      </c>
      <c r="M5972">
        <v>1.328257E-2</v>
      </c>
      <c r="N5972">
        <v>-8.6891639999999992E-3</v>
      </c>
      <c r="O5972">
        <v>-0.99987420000000005</v>
      </c>
      <c r="P5972">
        <v>-6.538687E-2</v>
      </c>
      <c r="Q5972">
        <v>0.1281458</v>
      </c>
      <c r="R5972">
        <v>-0.98959779999999997</v>
      </c>
      <c r="S5972">
        <v>-0.3215942</v>
      </c>
      <c r="T5972">
        <v>-0.1199137</v>
      </c>
      <c r="U5972">
        <v>-3.0258639999999999</v>
      </c>
      <c r="V5972">
        <v>7.8660350000000004E-2</v>
      </c>
      <c r="W5972">
        <v>0.136654</v>
      </c>
      <c r="X5972">
        <v>0.98749089999999995</v>
      </c>
      <c r="Y5972">
        <v>0.1188115</v>
      </c>
      <c r="Z5972">
        <v>3.065242E-2</v>
      </c>
      <c r="AA5972">
        <v>0.99244359999999998</v>
      </c>
      <c r="AB5972">
        <v>17</v>
      </c>
      <c r="AC5972">
        <v>-3.00640000000001</v>
      </c>
      <c r="AD5972">
        <v>-1.1206451100399999</v>
      </c>
      <c r="AE5972">
        <v>-28.1693</v>
      </c>
      <c r="AF5972">
        <v>3.3750282022442102</v>
      </c>
      <c r="AG5972">
        <v>-1.1206451100399999</v>
      </c>
      <c r="AH5972">
        <v>28.082935751269801</v>
      </c>
      <c r="AI5972">
        <v>92.268857536232403</v>
      </c>
      <c r="AJ5972">
        <v>83.147017764063804</v>
      </c>
      <c r="AK5972">
        <v>28.3072065248153</v>
      </c>
      <c r="AL5972">
        <v>82.145726590320905</v>
      </c>
      <c r="AM5972">
        <v>85.445619007145297</v>
      </c>
      <c r="AN5972">
        <v>1.0000000219804599</v>
      </c>
    </row>
    <row r="5973" spans="1:40" x14ac:dyDescent="0.25">
      <c r="A5973" t="str">
        <f>"20190303162031559"</f>
        <v>20190303162031559</v>
      </c>
      <c r="B5973" t="str">
        <f>"1551601231548410"</f>
        <v>1551601231548410</v>
      </c>
      <c r="C5973" t="s">
        <v>40</v>
      </c>
      <c r="D5973">
        <v>4.5126059999999999</v>
      </c>
      <c r="E5973">
        <v>0.51552580000000003</v>
      </c>
      <c r="F5973" t="s">
        <v>50</v>
      </c>
      <c r="G5973">
        <v>-194.9855</v>
      </c>
      <c r="H5973" s="1">
        <v>-1.3169970000000001E-5</v>
      </c>
      <c r="I5973">
        <v>154.18520000000001</v>
      </c>
      <c r="J5973">
        <v>-192.01</v>
      </c>
      <c r="K5973">
        <v>1.1206309999999999</v>
      </c>
      <c r="L5973">
        <v>181.99680000000001</v>
      </c>
      <c r="M5973">
        <v>1.27638E-2</v>
      </c>
      <c r="N5973">
        <v>-8.6526119999999901E-3</v>
      </c>
      <c r="O5973">
        <v>-0.99988109999999997</v>
      </c>
      <c r="P5973">
        <v>-6.5859790000000001E-2</v>
      </c>
      <c r="Q5973">
        <v>0.1277054</v>
      </c>
      <c r="R5973">
        <v>-0.98962320000000004</v>
      </c>
      <c r="S5973">
        <v>-0.322403</v>
      </c>
      <c r="T5973">
        <v>-0.1214552</v>
      </c>
      <c r="U5973">
        <v>-3.0259550000000002</v>
      </c>
      <c r="V5973">
        <v>7.8620620000000002E-2</v>
      </c>
      <c r="W5973">
        <v>0.1361783</v>
      </c>
      <c r="X5973">
        <v>0.98755970000000004</v>
      </c>
      <c r="Y5973">
        <v>0.11855350000000001</v>
      </c>
      <c r="Z5973">
        <v>3.119357E-2</v>
      </c>
      <c r="AA5973">
        <v>0.99245760000000005</v>
      </c>
      <c r="AB5973">
        <v>17</v>
      </c>
      <c r="AC5973">
        <v>-2.97550000000001</v>
      </c>
      <c r="AD5973">
        <v>-1.1206441699699901</v>
      </c>
      <c r="AE5973">
        <v>-27.811599999999999</v>
      </c>
      <c r="AF5973">
        <v>3.3249152901133399</v>
      </c>
      <c r="AG5973">
        <v>-1.1206441699699901</v>
      </c>
      <c r="AH5973">
        <v>27.7268458590842</v>
      </c>
      <c r="AI5973">
        <v>92.298034715744706</v>
      </c>
      <c r="AJ5973">
        <v>83.161924626260003</v>
      </c>
      <c r="AK5973">
        <v>27.947967481295098</v>
      </c>
      <c r="AL5973">
        <v>82.173238795352802</v>
      </c>
      <c r="AM5973">
        <v>85.448225473290904</v>
      </c>
      <c r="AN5973">
        <v>0.99999994617207999</v>
      </c>
    </row>
    <row r="5974" spans="1:40" x14ac:dyDescent="0.25">
      <c r="A5974" t="str">
        <f>"20190303162031577"</f>
        <v>20190303162031577</v>
      </c>
      <c r="B5974" t="str">
        <f>"1551601231568907"</f>
        <v>1551601231568907</v>
      </c>
      <c r="C5974" t="s">
        <v>40</v>
      </c>
      <c r="D5974">
        <v>4.694801</v>
      </c>
      <c r="E5974">
        <v>0.51527970000000001</v>
      </c>
      <c r="F5974" t="s">
        <v>50</v>
      </c>
      <c r="G5974">
        <v>-194.98169999999999</v>
      </c>
      <c r="H5974" s="1">
        <v>-1.3167770000000001E-5</v>
      </c>
      <c r="I5974">
        <v>154.17779999999999</v>
      </c>
      <c r="J5974">
        <v>-192.00899999999999</v>
      </c>
      <c r="K5974">
        <v>1.120628</v>
      </c>
      <c r="L5974">
        <v>181.85990000000001</v>
      </c>
      <c r="M5974">
        <v>1.2108539999999999E-2</v>
      </c>
      <c r="N5974">
        <v>-8.6110010000000001E-3</v>
      </c>
      <c r="O5974">
        <v>-0.99988969999999999</v>
      </c>
      <c r="P5974">
        <v>-6.688595E-2</v>
      </c>
      <c r="Q5974">
        <v>0.12743109999999999</v>
      </c>
      <c r="R5974">
        <v>-0.98958979999999996</v>
      </c>
      <c r="S5974">
        <v>-0.32321169999999999</v>
      </c>
      <c r="T5974">
        <v>-0.1218848</v>
      </c>
      <c r="U5974">
        <v>-3.0256810000000001</v>
      </c>
      <c r="V5974">
        <v>7.8998680000000002E-2</v>
      </c>
      <c r="W5974">
        <v>0.13586219999999999</v>
      </c>
      <c r="X5974">
        <v>0.98757309999999998</v>
      </c>
      <c r="Y5974">
        <v>0.1181741</v>
      </c>
      <c r="Z5974">
        <v>3.1380690000000003E-2</v>
      </c>
      <c r="AA5974">
        <v>0.99249690000000002</v>
      </c>
      <c r="AB5974">
        <v>17</v>
      </c>
      <c r="AC5974">
        <v>-2.9726999999999699</v>
      </c>
      <c r="AD5974">
        <v>-1.1206411677699999</v>
      </c>
      <c r="AE5974">
        <v>-27.682099999999998</v>
      </c>
      <c r="AF5974">
        <v>3.30233398581233</v>
      </c>
      <c r="AG5974">
        <v>-1.1206411677699999</v>
      </c>
      <c r="AH5974">
        <v>27.599358932186899</v>
      </c>
      <c r="AI5974">
        <v>92.308704125850497</v>
      </c>
      <c r="AJ5974">
        <v>83.176851577474395</v>
      </c>
      <c r="AK5974">
        <v>27.818804069342001</v>
      </c>
      <c r="AL5974">
        <v>82.191520148561693</v>
      </c>
      <c r="AM5974">
        <v>85.4264919597816</v>
      </c>
      <c r="AN5974">
        <v>0.99999997833709597</v>
      </c>
    </row>
    <row r="5975" spans="1:40" x14ac:dyDescent="0.25">
      <c r="A5975" t="str">
        <f>"20190303162031593"</f>
        <v>20190303162031593</v>
      </c>
      <c r="B5975" t="str">
        <f>"1551601231588426"</f>
        <v>1551601231588426</v>
      </c>
      <c r="C5975" t="s">
        <v>40</v>
      </c>
      <c r="D5975">
        <v>6.1413570000000002</v>
      </c>
      <c r="E5975">
        <v>0.51510429999999996</v>
      </c>
      <c r="F5975" t="s">
        <v>50</v>
      </c>
      <c r="G5975">
        <v>-195.00139999999999</v>
      </c>
      <c r="H5975" s="1">
        <v>-1.3107370000000001E-5</v>
      </c>
      <c r="I5975">
        <v>153.9308</v>
      </c>
      <c r="J5975">
        <v>-192.00819999999999</v>
      </c>
      <c r="K5975">
        <v>1.1206210000000001</v>
      </c>
      <c r="L5975">
        <v>181.74350000000001</v>
      </c>
      <c r="M5975">
        <v>1.1551169999999999E-2</v>
      </c>
      <c r="N5975">
        <v>-8.5799489999999999E-3</v>
      </c>
      <c r="O5975">
        <v>-0.99989660000000002</v>
      </c>
      <c r="P5975">
        <v>-6.7779409999999998E-2</v>
      </c>
      <c r="Q5975">
        <v>0.12712490000000001</v>
      </c>
      <c r="R5975">
        <v>-0.98956840000000001</v>
      </c>
      <c r="S5975">
        <v>-0.3241425</v>
      </c>
      <c r="T5975">
        <v>-0.1213872</v>
      </c>
      <c r="U5975">
        <v>-3.0252690000000002</v>
      </c>
      <c r="V5975">
        <v>7.9340830000000001E-2</v>
      </c>
      <c r="W5975">
        <v>0.13552439999999999</v>
      </c>
      <c r="X5975">
        <v>0.98759209999999997</v>
      </c>
      <c r="Y5975">
        <v>0.1179375</v>
      </c>
      <c r="Z5975">
        <v>3.1254619999999997E-2</v>
      </c>
      <c r="AA5975">
        <v>0.99252899999999999</v>
      </c>
      <c r="AB5975">
        <v>17</v>
      </c>
      <c r="AC5975">
        <v>-2.9931999999999999</v>
      </c>
      <c r="AD5975">
        <v>-1.1206341073699999</v>
      </c>
      <c r="AE5975">
        <v>-27.8127</v>
      </c>
      <c r="AF5975">
        <v>3.3089708257819899</v>
      </c>
      <c r="AG5975">
        <v>-1.1206341073699999</v>
      </c>
      <c r="AH5975">
        <v>27.731762139823701</v>
      </c>
      <c r="AI5975">
        <v>92.297768530291407</v>
      </c>
      <c r="AJ5975">
        <v>83.195603162097498</v>
      </c>
      <c r="AK5975">
        <v>27.950952400736401</v>
      </c>
      <c r="AL5975">
        <v>82.211055462605799</v>
      </c>
      <c r="AM5975">
        <v>85.406856275271707</v>
      </c>
      <c r="AN5975">
        <v>0.99999999314142896</v>
      </c>
    </row>
    <row r="5976" spans="1:40" x14ac:dyDescent="0.25">
      <c r="A5976" t="str">
        <f>"20190303162031606"</f>
        <v>20190303162031606</v>
      </c>
      <c r="B5976" t="str">
        <f>"1551601231598032"</f>
        <v>1551601231598032</v>
      </c>
      <c r="C5976" t="s">
        <v>40</v>
      </c>
      <c r="D5976">
        <v>4.5975390000000003</v>
      </c>
      <c r="E5976">
        <v>0.51519320000000002</v>
      </c>
      <c r="F5976" t="s">
        <v>50</v>
      </c>
      <c r="G5976">
        <v>-195.0155</v>
      </c>
      <c r="H5976" s="1">
        <v>-1.3071199999999999E-5</v>
      </c>
      <c r="I5976">
        <v>153.78210000000001</v>
      </c>
      <c r="J5976">
        <v>-192.00749999999999</v>
      </c>
      <c r="K5976">
        <v>1.120609</v>
      </c>
      <c r="L5976">
        <v>181.63159999999999</v>
      </c>
      <c r="M5976">
        <v>1.101501E-2</v>
      </c>
      <c r="N5976">
        <v>-8.5532850000000007E-3</v>
      </c>
      <c r="O5976">
        <v>-0.99990279999999998</v>
      </c>
      <c r="P5976">
        <v>-6.8715670000000006E-2</v>
      </c>
      <c r="Q5976">
        <v>0.1268637</v>
      </c>
      <c r="R5976">
        <v>-0.98953709999999995</v>
      </c>
      <c r="S5976">
        <v>-0.32533260000000003</v>
      </c>
      <c r="T5976">
        <v>-0.121232199999999</v>
      </c>
      <c r="U5976">
        <v>-3.024918</v>
      </c>
      <c r="V5976">
        <v>7.9746719999999993E-2</v>
      </c>
      <c r="W5976">
        <v>0.1352362</v>
      </c>
      <c r="X5976">
        <v>0.98759889999999995</v>
      </c>
      <c r="Y5976">
        <v>0.11780350000000001</v>
      </c>
      <c r="Z5976">
        <v>3.1235120000000002E-2</v>
      </c>
      <c r="AA5976">
        <v>0.99254549999999997</v>
      </c>
      <c r="AB5976">
        <v>17</v>
      </c>
      <c r="AC5976">
        <v>-3.008</v>
      </c>
      <c r="AD5976">
        <v>-1.1206220711999999</v>
      </c>
      <c r="AE5976">
        <v>-27.8494999999999</v>
      </c>
      <c r="AF5976">
        <v>3.30929481464065</v>
      </c>
      <c r="AG5976">
        <v>-1.1206220711999999</v>
      </c>
      <c r="AH5976">
        <v>27.770230664345199</v>
      </c>
      <c r="AI5976">
        <v>92.294605747374007</v>
      </c>
      <c r="AJ5976">
        <v>83.204281614747401</v>
      </c>
      <c r="AK5976">
        <v>27.989157492636501</v>
      </c>
      <c r="AL5976">
        <v>82.227721422425304</v>
      </c>
      <c r="AM5976">
        <v>85.383491735837893</v>
      </c>
      <c r="AN5976">
        <v>0.99999997821120301</v>
      </c>
    </row>
    <row r="5977" spans="1:40" x14ac:dyDescent="0.25">
      <c r="A5977" t="str">
        <f>"20190303162031619"</f>
        <v>20190303162031619</v>
      </c>
      <c r="B5977" t="str">
        <f>"1551601231608750"</f>
        <v>1551601231608750</v>
      </c>
      <c r="C5977" t="s">
        <v>40</v>
      </c>
      <c r="D5977">
        <v>4.5941409999999996</v>
      </c>
      <c r="E5977">
        <v>0.51519320000000002</v>
      </c>
      <c r="F5977" t="s">
        <v>50</v>
      </c>
      <c r="G5977">
        <v>-195.0307</v>
      </c>
      <c r="H5977" s="1">
        <v>-1.307246E-5</v>
      </c>
      <c r="I5977">
        <v>153.7818</v>
      </c>
      <c r="J5977">
        <v>-192.00700000000001</v>
      </c>
      <c r="K5977">
        <v>1.120601</v>
      </c>
      <c r="L5977">
        <v>181.52619999999999</v>
      </c>
      <c r="M5977">
        <v>1.0510149999999999E-2</v>
      </c>
      <c r="N5977">
        <v>-8.5319390000000005E-3</v>
      </c>
      <c r="O5977">
        <v>-0.99990849999999998</v>
      </c>
      <c r="P5977">
        <v>-6.9698419999999997E-2</v>
      </c>
      <c r="Q5977">
        <v>0.1252849</v>
      </c>
      <c r="R5977">
        <v>-0.98966960000000004</v>
      </c>
      <c r="S5977">
        <v>-0.32832339999999999</v>
      </c>
      <c r="T5977">
        <v>-0.1217012</v>
      </c>
      <c r="U5977">
        <v>-3.0245359999999999</v>
      </c>
      <c r="V5977">
        <v>8.0230460000000003E-2</v>
      </c>
      <c r="W5977">
        <v>0.1336368</v>
      </c>
      <c r="X5977">
        <v>0.98777749999999997</v>
      </c>
      <c r="Y5977">
        <v>0.1182848</v>
      </c>
      <c r="Z5977">
        <v>3.141248E-2</v>
      </c>
      <c r="AA5977">
        <v>0.99248270000000005</v>
      </c>
      <c r="AB5977">
        <v>17</v>
      </c>
      <c r="AC5977">
        <v>-3.0236999999999901</v>
      </c>
      <c r="AD5977">
        <v>-1.12061407246</v>
      </c>
      <c r="AE5977">
        <v>-27.744399999999899</v>
      </c>
      <c r="AF5977">
        <v>3.30980511308071</v>
      </c>
      <c r="AG5977">
        <v>-1.12061407246</v>
      </c>
      <c r="AH5977">
        <v>27.666481384950899</v>
      </c>
      <c r="AI5977">
        <v>92.303058820325106</v>
      </c>
      <c r="AJ5977">
        <v>83.177995443102304</v>
      </c>
      <c r="AK5977">
        <v>27.8862829722752</v>
      </c>
      <c r="AL5977">
        <v>82.320200399316093</v>
      </c>
      <c r="AM5977">
        <v>85.356446425271599</v>
      </c>
      <c r="AN5977">
        <v>1.0000000552661401</v>
      </c>
    </row>
    <row r="5978" spans="1:40" x14ac:dyDescent="0.25">
      <c r="A5978" t="str">
        <f>"20190303162031643"</f>
        <v>20190303162031643</v>
      </c>
      <c r="B5978" t="str">
        <f>"1551601231638030"</f>
        <v>1551601231638030</v>
      </c>
      <c r="C5978" t="s">
        <v>40</v>
      </c>
      <c r="D5978">
        <v>4.5194609999999997</v>
      </c>
      <c r="E5978">
        <v>0.5360684</v>
      </c>
      <c r="F5978" t="s">
        <v>50</v>
      </c>
      <c r="G5978">
        <v>-194.93700000000001</v>
      </c>
      <c r="H5978" s="1">
        <v>-1.333601E-5</v>
      </c>
      <c r="I5978">
        <v>154.76060000000001</v>
      </c>
      <c r="J5978">
        <v>-192.006</v>
      </c>
      <c r="K5978">
        <v>1.1205940000000001</v>
      </c>
      <c r="L5978">
        <v>181.34049999999999</v>
      </c>
      <c r="M5978">
        <v>9.6193110000000002E-3</v>
      </c>
      <c r="N5978">
        <v>-8.4985129999999992E-3</v>
      </c>
      <c r="O5978">
        <v>-0.99991759999999996</v>
      </c>
      <c r="P5978">
        <v>-7.0635530000000002E-2</v>
      </c>
      <c r="Q5978">
        <v>0.12418650000000001</v>
      </c>
      <c r="R5978">
        <v>-0.98974169999999995</v>
      </c>
      <c r="S5978">
        <v>-0.33103939999999998</v>
      </c>
      <c r="T5978">
        <v>-0.12660959999999999</v>
      </c>
      <c r="U5978">
        <v>-3.0240480000000001</v>
      </c>
      <c r="V5978">
        <v>8.0286910000000003E-2</v>
      </c>
      <c r="W5978">
        <v>0.1325064</v>
      </c>
      <c r="X5978">
        <v>0.9879251</v>
      </c>
      <c r="Y5978">
        <v>0.1182918</v>
      </c>
      <c r="Z5978">
        <v>3.306021E-2</v>
      </c>
      <c r="AA5978">
        <v>0.99242839999999999</v>
      </c>
      <c r="AB5978">
        <v>17</v>
      </c>
      <c r="AC5978">
        <v>-2.93100000000004</v>
      </c>
      <c r="AD5978">
        <v>-1.12060733601</v>
      </c>
      <c r="AE5978">
        <v>-26.579899999999899</v>
      </c>
      <c r="AF5978">
        <v>3.1809678232274199</v>
      </c>
      <c r="AG5978">
        <v>-1.12060733601</v>
      </c>
      <c r="AH5978">
        <v>26.503931169014201</v>
      </c>
      <c r="AI5978">
        <v>92.403838546501603</v>
      </c>
      <c r="AJ5978">
        <v>83.156169389126802</v>
      </c>
      <c r="AK5978">
        <v>26.717647435838501</v>
      </c>
      <c r="AL5978">
        <v>82.385548064734607</v>
      </c>
      <c r="AM5978">
        <v>85.353884744696003</v>
      </c>
      <c r="AN5978">
        <v>0.99999996858415796</v>
      </c>
    </row>
    <row r="5979" spans="1:40" x14ac:dyDescent="0.25">
      <c r="A5979" t="str">
        <f>"20190303162031657"</f>
        <v>20190303162031657</v>
      </c>
      <c r="B5979" t="str">
        <f>"1551601231648766"</f>
        <v>1551601231648766</v>
      </c>
      <c r="C5979" t="s">
        <v>40</v>
      </c>
      <c r="D5979">
        <v>4.4944810000000004</v>
      </c>
      <c r="E5979">
        <v>0.5369526</v>
      </c>
      <c r="F5979" t="s">
        <v>41</v>
      </c>
      <c r="G5979">
        <v>-204.11529999999999</v>
      </c>
      <c r="H5979">
        <v>7.9985810000000004E-2</v>
      </c>
      <c r="I5979">
        <v>108.6673</v>
      </c>
      <c r="J5979">
        <v>-192.00559999999999</v>
      </c>
      <c r="K5979">
        <v>1.1205909999999999</v>
      </c>
      <c r="L5979">
        <v>181.22989999999999</v>
      </c>
      <c r="M5979">
        <v>9.0889920000000006E-3</v>
      </c>
      <c r="N5979">
        <v>-8.481377E-3</v>
      </c>
      <c r="O5979">
        <v>-0.9999228</v>
      </c>
      <c r="P5979">
        <v>-7.1379280000000003E-2</v>
      </c>
      <c r="Q5979">
        <v>0.1235349</v>
      </c>
      <c r="R5979">
        <v>-0.98976989999999998</v>
      </c>
      <c r="S5979">
        <v>-0.50001530000000005</v>
      </c>
      <c r="T5979">
        <v>-4.2968630000000001E-2</v>
      </c>
      <c r="U5979">
        <v>-3.0008089999999998</v>
      </c>
      <c r="V5979">
        <v>8.0506229999999998E-2</v>
      </c>
      <c r="W5979">
        <v>0.13183800000000001</v>
      </c>
      <c r="X5979">
        <v>0.98799669999999895</v>
      </c>
      <c r="Y5979">
        <v>0.1733006</v>
      </c>
      <c r="Z5979">
        <v>5.6236799999999998E-3</v>
      </c>
      <c r="AA5979">
        <v>0.98485290000000003</v>
      </c>
      <c r="AB5979">
        <v>18</v>
      </c>
      <c r="AC5979">
        <v>-12.1097</v>
      </c>
      <c r="AD5979">
        <v>-1.04060519</v>
      </c>
      <c r="AE5979">
        <v>-72.562599999999904</v>
      </c>
      <c r="AF5979">
        <v>12.7661899952006</v>
      </c>
      <c r="AG5979">
        <v>-1.04060519</v>
      </c>
      <c r="AH5979">
        <v>72.435040397270299</v>
      </c>
      <c r="AI5979">
        <v>90.810566427473205</v>
      </c>
      <c r="AJ5979">
        <v>80.004650474188693</v>
      </c>
      <c r="AK5979">
        <v>73.558776114813099</v>
      </c>
      <c r="AL5979">
        <v>82.424183726807698</v>
      </c>
      <c r="AM5979">
        <v>85.341584861444204</v>
      </c>
      <c r="AN5979">
        <v>0.99999999526185102</v>
      </c>
    </row>
    <row r="5980" spans="1:40" x14ac:dyDescent="0.25">
      <c r="A5980" t="str">
        <f>"20190303162031677"</f>
        <v>20190303162031677</v>
      </c>
      <c r="B5980" t="str">
        <f>"1551601231668286"</f>
        <v>1551601231668286</v>
      </c>
      <c r="C5980" t="s">
        <v>40</v>
      </c>
      <c r="D5980">
        <v>4.4358139999999997</v>
      </c>
      <c r="E5980">
        <v>0.53827409999999998</v>
      </c>
      <c r="F5980" t="s">
        <v>44</v>
      </c>
      <c r="G5980">
        <v>-207.08109999999999</v>
      </c>
      <c r="H5980">
        <v>-0.05</v>
      </c>
      <c r="I5980">
        <v>92.417940000000002</v>
      </c>
      <c r="J5980">
        <v>-192.0051</v>
      </c>
      <c r="K5980">
        <v>1.1205849999999999</v>
      </c>
      <c r="L5980">
        <v>181.07689999999999</v>
      </c>
      <c r="M5980">
        <v>8.3545289999999994E-3</v>
      </c>
      <c r="N5980">
        <v>-8.4596410000000004E-3</v>
      </c>
      <c r="O5980">
        <v>-0.99992919999999996</v>
      </c>
      <c r="P5980">
        <v>-7.2992790000000002E-2</v>
      </c>
      <c r="Q5980">
        <v>0.1235009</v>
      </c>
      <c r="R5980">
        <v>-0.98965630000000004</v>
      </c>
      <c r="S5980">
        <v>-0.50910949999999999</v>
      </c>
      <c r="T5980">
        <v>-3.9531589999999998E-2</v>
      </c>
      <c r="U5980">
        <v>-2.9992369999999999</v>
      </c>
      <c r="V5980">
        <v>8.1392999999999993E-2</v>
      </c>
      <c r="W5980">
        <v>0.13178029999999999</v>
      </c>
      <c r="X5980">
        <v>0.98793169999999997</v>
      </c>
      <c r="Y5980">
        <v>0.175566</v>
      </c>
      <c r="Z5980">
        <v>4.5181750000000001E-3</v>
      </c>
      <c r="AA5980">
        <v>0.98445729999999998</v>
      </c>
      <c r="AB5980">
        <v>18</v>
      </c>
      <c r="AC5980">
        <v>-15.075999999999899</v>
      </c>
      <c r="AD5980">
        <v>-1.170585</v>
      </c>
      <c r="AE5980">
        <v>-88.658959999999993</v>
      </c>
      <c r="AF5980">
        <v>15.813525030159701</v>
      </c>
      <c r="AG5980">
        <v>-1.170585</v>
      </c>
      <c r="AH5980">
        <v>88.514911445697294</v>
      </c>
      <c r="AI5980">
        <v>90.745868374627605</v>
      </c>
      <c r="AJ5980">
        <v>79.870754880077499</v>
      </c>
      <c r="AK5980">
        <v>89.924008981813898</v>
      </c>
      <c r="AL5980">
        <v>82.427518491482999</v>
      </c>
      <c r="AM5980">
        <v>85.290193866903095</v>
      </c>
      <c r="AN5980">
        <v>0.999999955890989</v>
      </c>
    </row>
    <row r="5981" spans="1:40" x14ac:dyDescent="0.25">
      <c r="A5981" t="str">
        <f>"20190303162031691"</f>
        <v>20190303162031691</v>
      </c>
      <c r="B5981" t="str">
        <f>"1551601231678046"</f>
        <v>1551601231678046</v>
      </c>
      <c r="C5981" t="s">
        <v>40</v>
      </c>
      <c r="D5981">
        <v>4.4138109999999999</v>
      </c>
      <c r="E5981">
        <v>0.53852819999999901</v>
      </c>
      <c r="F5981" t="s">
        <v>70</v>
      </c>
      <c r="G5981">
        <v>-211.3587</v>
      </c>
      <c r="H5981">
        <v>5.7722509999999998E-2</v>
      </c>
      <c r="I5981">
        <v>70.452439999999996</v>
      </c>
      <c r="J5981">
        <v>-192.00479999999999</v>
      </c>
      <c r="K5981">
        <v>1.120581</v>
      </c>
      <c r="L5981">
        <v>180.96129999999999</v>
      </c>
      <c r="M5981">
        <v>7.8001140000000004E-3</v>
      </c>
      <c r="N5981">
        <v>-8.4447999999999902E-3</v>
      </c>
      <c r="O5981">
        <v>-0.99993399999999999</v>
      </c>
      <c r="P5981">
        <v>-7.4288110000000004E-2</v>
      </c>
      <c r="Q5981">
        <v>0.12302200000000001</v>
      </c>
      <c r="R5981">
        <v>-0.98961980000000005</v>
      </c>
      <c r="S5981">
        <v>-0.52420040000000001</v>
      </c>
      <c r="T5981">
        <v>-2.8787489999999999E-2</v>
      </c>
      <c r="U5981">
        <v>-2.9963069999999998</v>
      </c>
      <c r="V5981">
        <v>8.2139749999999997E-2</v>
      </c>
      <c r="W5981">
        <v>0.1312854</v>
      </c>
      <c r="X5981">
        <v>0.98793580000000003</v>
      </c>
      <c r="Y5981">
        <v>0.1799963</v>
      </c>
      <c r="Z5981">
        <v>1.006039E-3</v>
      </c>
      <c r="AA5981">
        <v>0.98366679999999995</v>
      </c>
      <c r="AB5981">
        <v>18</v>
      </c>
      <c r="AC5981">
        <v>-19.353899999999999</v>
      </c>
      <c r="AD5981">
        <v>-1.06285849</v>
      </c>
      <c r="AE5981">
        <v>-110.50886</v>
      </c>
      <c r="AF5981">
        <v>20.213509390880802</v>
      </c>
      <c r="AG5981">
        <v>-1.06285849</v>
      </c>
      <c r="AH5981">
        <v>110.344626464557</v>
      </c>
      <c r="AI5981">
        <v>90.542833588340301</v>
      </c>
      <c r="AJ5981">
        <v>79.619350342054403</v>
      </c>
      <c r="AK5981">
        <v>112.185793305871</v>
      </c>
      <c r="AL5981">
        <v>82.456122798952606</v>
      </c>
      <c r="AM5981">
        <v>85.247199869204195</v>
      </c>
      <c r="AN5981">
        <v>0.99999996985243</v>
      </c>
    </row>
    <row r="5982" spans="1:40" x14ac:dyDescent="0.25">
      <c r="A5982" t="str">
        <f>"20190303162031705"</f>
        <v>20190303162031705</v>
      </c>
      <c r="B5982" t="str">
        <f>"1551601231698543"</f>
        <v>1551601231698543</v>
      </c>
      <c r="C5982" t="s">
        <v>40</v>
      </c>
      <c r="D5982">
        <v>4.3980699999999997</v>
      </c>
      <c r="E5982">
        <v>0.53881250000000003</v>
      </c>
      <c r="F5982" t="s">
        <v>70</v>
      </c>
      <c r="G5982">
        <v>-211.53829999999999</v>
      </c>
      <c r="H5982">
        <v>0.10784290000000001</v>
      </c>
      <c r="I5982">
        <v>70.567830000000001</v>
      </c>
      <c r="J5982">
        <v>-192.00450000000001</v>
      </c>
      <c r="K5982">
        <v>1.1205689999999999</v>
      </c>
      <c r="L5982">
        <v>180.8468</v>
      </c>
      <c r="M5982">
        <v>7.2505540000000002E-3</v>
      </c>
      <c r="N5982">
        <v>-8.4311779999999992E-3</v>
      </c>
      <c r="O5982">
        <v>-0.99993829999999995</v>
      </c>
      <c r="P5982">
        <v>-7.5507309999999994E-2</v>
      </c>
      <c r="Q5982">
        <v>0.122833</v>
      </c>
      <c r="R5982">
        <v>-0.98955119999999996</v>
      </c>
      <c r="S5982">
        <v>-0.52996829999999995</v>
      </c>
      <c r="T5982">
        <v>-2.7476190000000001E-2</v>
      </c>
      <c r="U5982">
        <v>-2.9951020000000002</v>
      </c>
      <c r="V5982">
        <v>8.2815280000000005E-2</v>
      </c>
      <c r="W5982">
        <v>0.1310817</v>
      </c>
      <c r="X5982">
        <v>0.98790650000000002</v>
      </c>
      <c r="Y5982">
        <v>0.1813604</v>
      </c>
      <c r="Z5982">
        <v>5.9027629999999895E-4</v>
      </c>
      <c r="AA5982">
        <v>0.98341650000000003</v>
      </c>
      <c r="AB5982">
        <v>18</v>
      </c>
      <c r="AC5982">
        <v>-19.5337999999999</v>
      </c>
      <c r="AD5982">
        <v>-1.0127261000000001</v>
      </c>
      <c r="AE5982">
        <v>-110.27897</v>
      </c>
      <c r="AF5982">
        <v>20.331236011064899</v>
      </c>
      <c r="AG5982">
        <v>-1.0127261000000001</v>
      </c>
      <c r="AH5982">
        <v>110.125430451894</v>
      </c>
      <c r="AI5982">
        <v>90.518128210810701</v>
      </c>
      <c r="AJ5982">
        <v>79.539896039017506</v>
      </c>
      <c r="AK5982">
        <v>111.991049660703</v>
      </c>
      <c r="AL5982">
        <v>82.4678960523554</v>
      </c>
      <c r="AM5982">
        <v>85.208151917997895</v>
      </c>
      <c r="AN5982">
        <v>1.0000000177093</v>
      </c>
    </row>
    <row r="5983" spans="1:40" x14ac:dyDescent="0.25">
      <c r="A5983" t="str">
        <f>"20190303162031720"</f>
        <v>20190303162031720</v>
      </c>
      <c r="B5983" t="str">
        <f>"1551601231708302"</f>
        <v>1551601231708302</v>
      </c>
      <c r="C5983" t="s">
        <v>40</v>
      </c>
      <c r="D5983">
        <v>4.4107539999999998</v>
      </c>
      <c r="E5983">
        <v>0.53887659999999904</v>
      </c>
      <c r="F5983" t="s">
        <v>70</v>
      </c>
      <c r="G5983">
        <v>-211.7296</v>
      </c>
      <c r="H5983">
        <v>0.1639864</v>
      </c>
      <c r="I5983">
        <v>70.567830000000001</v>
      </c>
      <c r="J5983">
        <v>-192.0043</v>
      </c>
      <c r="K5983">
        <v>1.1205579999999999</v>
      </c>
      <c r="L5983">
        <v>180.7235</v>
      </c>
      <c r="M5983">
        <v>6.6597100000000001E-3</v>
      </c>
      <c r="N5983">
        <v>-8.4182359999999904E-3</v>
      </c>
      <c r="O5983">
        <v>-0.99994260000000001</v>
      </c>
      <c r="P5983">
        <v>-7.7232930000000005E-2</v>
      </c>
      <c r="Q5983">
        <v>0.12296070000000001</v>
      </c>
      <c r="R5983">
        <v>-0.98940209999999995</v>
      </c>
      <c r="S5983">
        <v>-0.53553769999999901</v>
      </c>
      <c r="T5983">
        <v>-2.597058E-2</v>
      </c>
      <c r="U5983">
        <v>-2.9940639999999998</v>
      </c>
      <c r="V5983">
        <v>8.3956260000000005E-2</v>
      </c>
      <c r="W5983">
        <v>0.13119420000000001</v>
      </c>
      <c r="X5983">
        <v>0.98779519999999998</v>
      </c>
      <c r="Y5983">
        <v>0.1826112</v>
      </c>
      <c r="Z5983">
        <v>1.095776E-4</v>
      </c>
      <c r="AA5983">
        <v>0.98318519999999998</v>
      </c>
      <c r="AB5983">
        <v>18</v>
      </c>
      <c r="AC5983">
        <v>-19.725300000000001</v>
      </c>
      <c r="AD5983">
        <v>-0.95657159999999997</v>
      </c>
      <c r="AE5983">
        <v>-110.15567</v>
      </c>
      <c r="AF5983">
        <v>20.456998489556</v>
      </c>
      <c r="AG5983">
        <v>-0.95657159999999997</v>
      </c>
      <c r="AH5983">
        <v>110.013819350742</v>
      </c>
      <c r="AI5983">
        <v>90.489779778778399</v>
      </c>
      <c r="AJ5983">
        <v>79.466196926402205</v>
      </c>
      <c r="AK5983">
        <v>111.903727661617</v>
      </c>
      <c r="AL5983">
        <v>82.461393723470195</v>
      </c>
      <c r="AM5983">
        <v>85.141901726051699</v>
      </c>
      <c r="AN5983">
        <v>0.999999964424933</v>
      </c>
    </row>
    <row r="5984" spans="1:40" x14ac:dyDescent="0.25">
      <c r="A5984" t="str">
        <f>"20190303162031735"</f>
        <v>20190303162031735</v>
      </c>
      <c r="B5984" t="str">
        <f>"1551601231728799"</f>
        <v>1551601231728799</v>
      </c>
      <c r="C5984" t="s">
        <v>40</v>
      </c>
      <c r="D5984">
        <v>4.371988</v>
      </c>
      <c r="E5984">
        <v>0.53907159999999998</v>
      </c>
      <c r="F5984" t="s">
        <v>70</v>
      </c>
      <c r="G5984">
        <v>-211.9272</v>
      </c>
      <c r="H5984">
        <v>0.2229158</v>
      </c>
      <c r="I5984">
        <v>70.567830000000001</v>
      </c>
      <c r="J5984">
        <v>-192.0042</v>
      </c>
      <c r="K5984">
        <v>1.1205579999999999</v>
      </c>
      <c r="L5984">
        <v>180.61150000000001</v>
      </c>
      <c r="M5984">
        <v>6.1234590000000004E-3</v>
      </c>
      <c r="N5984">
        <v>-8.4075629999999998E-3</v>
      </c>
      <c r="O5984">
        <v>-0.99994590000000005</v>
      </c>
      <c r="P5984">
        <v>-7.803997E-2</v>
      </c>
      <c r="Q5984">
        <v>0.12258869999999999</v>
      </c>
      <c r="R5984">
        <v>-0.98938490000000001</v>
      </c>
      <c r="S5984">
        <v>-0.54130549999999999</v>
      </c>
      <c r="T5984">
        <v>-2.438831E-2</v>
      </c>
      <c r="U5984">
        <v>-2.9929199999999998</v>
      </c>
      <c r="V5984">
        <v>8.4232989999999994E-2</v>
      </c>
      <c r="W5984">
        <v>0.13081129999999999</v>
      </c>
      <c r="X5984">
        <v>0.98782250000000005</v>
      </c>
      <c r="Y5984">
        <v>0.1839845</v>
      </c>
      <c r="Z5984">
        <v>-3.9857359999999998E-4</v>
      </c>
      <c r="AA5984">
        <v>0.9829291</v>
      </c>
      <c r="AB5984">
        <v>18</v>
      </c>
      <c r="AC5984">
        <v>-19.922999999999998</v>
      </c>
      <c r="AD5984">
        <v>-0.89764219999999895</v>
      </c>
      <c r="AE5984">
        <v>-110.043669999999</v>
      </c>
      <c r="AF5984">
        <v>20.5951712795645</v>
      </c>
      <c r="AG5984">
        <v>-0.89764219999999895</v>
      </c>
      <c r="AH5984">
        <v>109.912523347985</v>
      </c>
      <c r="AI5984">
        <v>90.459913375415795</v>
      </c>
      <c r="AJ5984">
        <v>79.387106382324205</v>
      </c>
      <c r="AK5984">
        <v>111.82901962494</v>
      </c>
      <c r="AL5984">
        <v>82.483523575943195</v>
      </c>
      <c r="AM5984">
        <v>85.126099912991194</v>
      </c>
      <c r="AN5984">
        <v>1.00000004215913</v>
      </c>
    </row>
    <row r="5985" spans="1:40" x14ac:dyDescent="0.25">
      <c r="A5985" t="str">
        <f>"20190303162031748"</f>
        <v>20190303162031748</v>
      </c>
      <c r="B5985" t="str">
        <f>"1551601231738559"</f>
        <v>1551601231738559</v>
      </c>
      <c r="C5985" t="s">
        <v>40</v>
      </c>
      <c r="D5985">
        <v>4.3817959999999996</v>
      </c>
      <c r="E5985">
        <v>0.53912380000000004</v>
      </c>
      <c r="F5985" t="s">
        <v>70</v>
      </c>
      <c r="G5985">
        <v>-212.05770000000001</v>
      </c>
      <c r="H5985">
        <v>0.3023825</v>
      </c>
      <c r="I5985">
        <v>70.567830000000001</v>
      </c>
      <c r="J5985">
        <v>-192.00409999999999</v>
      </c>
      <c r="K5985">
        <v>1.120552</v>
      </c>
      <c r="L5985">
        <v>180.51060000000001</v>
      </c>
      <c r="M5985">
        <v>5.641053E-3</v>
      </c>
      <c r="N5985">
        <v>-8.3985650000000002E-3</v>
      </c>
      <c r="O5985">
        <v>-0.99994890000000003</v>
      </c>
      <c r="P5985">
        <v>-7.8853950000000006E-2</v>
      </c>
      <c r="Q5985">
        <v>0.1226936</v>
      </c>
      <c r="R5985">
        <v>-0.98930720000000005</v>
      </c>
      <c r="S5985">
        <v>-0.54522709999999996</v>
      </c>
      <c r="T5985">
        <v>-2.2244449999999999E-2</v>
      </c>
      <c r="U5985">
        <v>-2.9919280000000001</v>
      </c>
      <c r="V5985">
        <v>8.4569920000000007E-2</v>
      </c>
      <c r="W5985">
        <v>0.1309063</v>
      </c>
      <c r="X5985">
        <v>0.98778109999999997</v>
      </c>
      <c r="Y5985">
        <v>0.1848149</v>
      </c>
      <c r="Z5985">
        <v>-1.0926659999999999E-3</v>
      </c>
      <c r="AA5985">
        <v>0.98277270000000005</v>
      </c>
      <c r="AB5985">
        <v>18</v>
      </c>
      <c r="AC5985">
        <v>-20.053599999999999</v>
      </c>
      <c r="AD5985">
        <v>-0.81816949999999999</v>
      </c>
      <c r="AE5985">
        <v>-109.94277</v>
      </c>
      <c r="AF5985">
        <v>20.672387749081199</v>
      </c>
      <c r="AG5985">
        <v>-0.81816949999999999</v>
      </c>
      <c r="AH5985">
        <v>109.822007074852</v>
      </c>
      <c r="AI5985">
        <v>90.419476729396393</v>
      </c>
      <c r="AJ5985">
        <v>79.339646693673998</v>
      </c>
      <c r="AK5985">
        <v>111.75370353830699</v>
      </c>
      <c r="AL5985">
        <v>82.478033069132096</v>
      </c>
      <c r="AM5985">
        <v>85.106494806493203</v>
      </c>
      <c r="AN5985">
        <v>1.0000000161328499</v>
      </c>
    </row>
    <row r="5986" spans="1:40" x14ac:dyDescent="0.25">
      <c r="A5986" t="str">
        <f>"20190303162031761"</f>
        <v>20190303162031761</v>
      </c>
      <c r="B5986" t="str">
        <f>"1551601231748319"</f>
        <v>1551601231748319</v>
      </c>
      <c r="C5986" t="s">
        <v>40</v>
      </c>
      <c r="D5986">
        <v>4.3533660000000003</v>
      </c>
      <c r="E5986">
        <v>0.53913919999999904</v>
      </c>
      <c r="F5986" t="s">
        <v>70</v>
      </c>
      <c r="G5986">
        <v>-212.15270000000001</v>
      </c>
      <c r="H5986">
        <v>0.32552700000000001</v>
      </c>
      <c r="I5986">
        <v>70.567830000000001</v>
      </c>
      <c r="J5986">
        <v>-192.00409999999999</v>
      </c>
      <c r="K5986">
        <v>1.120549</v>
      </c>
      <c r="L5986">
        <v>180.4041</v>
      </c>
      <c r="M5986">
        <v>5.1329979999999997E-3</v>
      </c>
      <c r="N5986">
        <v>-8.3899890000000005E-3</v>
      </c>
      <c r="O5986">
        <v>-0.9999517</v>
      </c>
      <c r="P5986">
        <v>-7.9418699999999995E-2</v>
      </c>
      <c r="Q5986">
        <v>0.1224157</v>
      </c>
      <c r="R5986">
        <v>-0.98929659999999997</v>
      </c>
      <c r="S5986">
        <v>-0.54821779999999998</v>
      </c>
      <c r="T5986">
        <v>-2.1631000000000001E-2</v>
      </c>
      <c r="U5986">
        <v>-2.9913940000000001</v>
      </c>
      <c r="V5986">
        <v>8.4632219999999994E-2</v>
      </c>
      <c r="W5986">
        <v>0.13061980000000001</v>
      </c>
      <c r="X5986">
        <v>0.98781370000000002</v>
      </c>
      <c r="Y5986">
        <v>0.1852975</v>
      </c>
      <c r="Z5986">
        <v>-1.284997E-3</v>
      </c>
      <c r="AA5986">
        <v>0.98268160000000004</v>
      </c>
      <c r="AB5986">
        <v>18</v>
      </c>
      <c r="AC5986">
        <v>-20.148599999999998</v>
      </c>
      <c r="AD5986">
        <v>-0.79502200000000001</v>
      </c>
      <c r="AE5986">
        <v>-109.83627</v>
      </c>
      <c r="AF5986">
        <v>20.7110939295934</v>
      </c>
      <c r="AG5986">
        <v>-0.79502200000000001</v>
      </c>
      <c r="AH5986">
        <v>109.725834942623</v>
      </c>
      <c r="AI5986">
        <v>90.407928181197406</v>
      </c>
      <c r="AJ5986">
        <v>79.3110003286629</v>
      </c>
      <c r="AK5986">
        <v>111.66620046189701</v>
      </c>
      <c r="AL5986">
        <v>82.494590547121106</v>
      </c>
      <c r="AM5986">
        <v>85.103068268180806</v>
      </c>
      <c r="AN5986">
        <v>1.00000002536092</v>
      </c>
    </row>
    <row r="5987" spans="1:40" x14ac:dyDescent="0.25">
      <c r="A5987" t="str">
        <f>"20190303162031777"</f>
        <v>20190303162031777</v>
      </c>
      <c r="B5987" t="str">
        <f>"1551601231768814"</f>
        <v>1551601231768814</v>
      </c>
      <c r="C5987" t="s">
        <v>40</v>
      </c>
      <c r="D5987">
        <v>4.327299</v>
      </c>
      <c r="E5987">
        <v>0.53905219999999998</v>
      </c>
      <c r="F5987" t="s">
        <v>70</v>
      </c>
      <c r="G5987">
        <v>-212.2</v>
      </c>
      <c r="H5987">
        <v>0.31024879999999999</v>
      </c>
      <c r="I5987">
        <v>70.567830000000001</v>
      </c>
      <c r="J5987">
        <v>-192.00409999999999</v>
      </c>
      <c r="K5987">
        <v>1.1205499999999999</v>
      </c>
      <c r="L5987">
        <v>180.27019999999999</v>
      </c>
      <c r="M5987">
        <v>4.4952560000000004E-3</v>
      </c>
      <c r="N5987">
        <v>-8.3801399999999995E-3</v>
      </c>
      <c r="O5987">
        <v>-0.99995509999999999</v>
      </c>
      <c r="P5987">
        <v>-8.088534E-2</v>
      </c>
      <c r="Q5987">
        <v>0.1226542</v>
      </c>
      <c r="R5987">
        <v>-0.98914829999999998</v>
      </c>
      <c r="S5987">
        <v>-0.54997249999999998</v>
      </c>
      <c r="T5987">
        <v>-2.2065399999999999E-2</v>
      </c>
      <c r="U5987">
        <v>-2.9910429999999999</v>
      </c>
      <c r="V5987">
        <v>8.546803E-2</v>
      </c>
      <c r="W5987">
        <v>0.13084680000000001</v>
      </c>
      <c r="X5987">
        <v>0.98771169999999997</v>
      </c>
      <c r="Y5987">
        <v>0.18524879999999999</v>
      </c>
      <c r="Z5987">
        <v>-1.131384E-3</v>
      </c>
      <c r="AA5987">
        <v>0.98269099999999998</v>
      </c>
      <c r="AB5987">
        <v>18</v>
      </c>
      <c r="AC5987">
        <v>-20.195899999999899</v>
      </c>
      <c r="AD5987">
        <v>-0.81030119999999894</v>
      </c>
      <c r="AE5987">
        <v>-109.70237</v>
      </c>
      <c r="AF5987">
        <v>20.6877616389433</v>
      </c>
      <c r="AG5987">
        <v>-0.81030119999999894</v>
      </c>
      <c r="AH5987">
        <v>109.604688798721</v>
      </c>
      <c r="AI5987">
        <v>90.416227566521997</v>
      </c>
      <c r="AJ5987">
        <v>79.311235336516205</v>
      </c>
      <c r="AK5987">
        <v>111.542941848998</v>
      </c>
      <c r="AL5987">
        <v>82.4814718936275</v>
      </c>
      <c r="AM5987">
        <v>85.054437701957895</v>
      </c>
      <c r="AN5987">
        <v>1.0000000357695999</v>
      </c>
    </row>
    <row r="5988" spans="1:40" x14ac:dyDescent="0.25">
      <c r="A5988" t="str">
        <f>"20190303162031792"</f>
        <v>20190303162031792</v>
      </c>
      <c r="B5988" t="str">
        <f>"1551601231778574"</f>
        <v>1551601231778574</v>
      </c>
      <c r="C5988" t="s">
        <v>40</v>
      </c>
      <c r="D5988">
        <v>4.3231989999999998</v>
      </c>
      <c r="E5988">
        <v>0.5391203</v>
      </c>
      <c r="F5988" t="s">
        <v>70</v>
      </c>
      <c r="G5988">
        <v>-212.2253</v>
      </c>
      <c r="H5988">
        <v>0.3350088</v>
      </c>
      <c r="I5988">
        <v>70.980680000000007</v>
      </c>
      <c r="J5988">
        <v>-192.0042</v>
      </c>
      <c r="K5988">
        <v>1.1205430000000001</v>
      </c>
      <c r="L5988">
        <v>180.15870000000001</v>
      </c>
      <c r="M5988">
        <v>3.9656450000000003E-3</v>
      </c>
      <c r="N5988">
        <v>-8.3725799999999993E-3</v>
      </c>
      <c r="O5988">
        <v>-0.99995710000000004</v>
      </c>
      <c r="P5988">
        <v>-8.1724320000000003E-2</v>
      </c>
      <c r="Q5988">
        <v>0.1233582</v>
      </c>
      <c r="R5988">
        <v>-0.98899190000000003</v>
      </c>
      <c r="S5988">
        <v>-0.55328369999999905</v>
      </c>
      <c r="T5988">
        <v>-2.1493080000000001E-2</v>
      </c>
      <c r="U5988">
        <v>-2.990326</v>
      </c>
      <c r="V5988">
        <v>8.5783620000000005E-2</v>
      </c>
      <c r="W5988">
        <v>0.13154170000000001</v>
      </c>
      <c r="X5988">
        <v>0.98759200000000003</v>
      </c>
      <c r="Y5988">
        <v>0.18582270000000001</v>
      </c>
      <c r="Z5988">
        <v>-1.310936E-3</v>
      </c>
      <c r="AA5988">
        <v>0.98258239999999997</v>
      </c>
      <c r="AB5988">
        <v>18</v>
      </c>
      <c r="AC5988">
        <v>-20.2211</v>
      </c>
      <c r="AD5988">
        <v>-0.78553419999999996</v>
      </c>
      <c r="AE5988">
        <v>-109.17801999999899</v>
      </c>
      <c r="AF5988">
        <v>20.652883730311501</v>
      </c>
      <c r="AG5988">
        <v>-0.78553419999999996</v>
      </c>
      <c r="AH5988">
        <v>109.091508810912</v>
      </c>
      <c r="AI5988">
        <v>90.405361966145506</v>
      </c>
      <c r="AJ5988">
        <v>79.279803849916107</v>
      </c>
      <c r="AK5988">
        <v>111.03204926956199</v>
      </c>
      <c r="AL5988">
        <v>82.441309678077502</v>
      </c>
      <c r="AM5988">
        <v>85.0356687052128</v>
      </c>
      <c r="AN5988">
        <v>1.0000000033815899</v>
      </c>
    </row>
    <row r="5989" spans="1:40" x14ac:dyDescent="0.25">
      <c r="A5989" t="str">
        <f>"20190303162031811"</f>
        <v>20190303162031811</v>
      </c>
      <c r="B5989" t="str">
        <f>"1551601231799070"</f>
        <v>1551601231799070</v>
      </c>
      <c r="C5989" t="s">
        <v>40</v>
      </c>
      <c r="D5989">
        <v>4.3070079999999997</v>
      </c>
      <c r="E5989">
        <v>0.53904580000000002</v>
      </c>
      <c r="F5989" t="s">
        <v>70</v>
      </c>
      <c r="G5989">
        <v>-212.2253</v>
      </c>
      <c r="H5989">
        <v>0.42769659999999898</v>
      </c>
      <c r="I5989">
        <v>71.452179999999998</v>
      </c>
      <c r="J5989">
        <v>-192.00450000000001</v>
      </c>
      <c r="K5989">
        <v>1.1205320000000001</v>
      </c>
      <c r="L5989">
        <v>179.99420000000001</v>
      </c>
      <c r="M5989">
        <v>3.1873829999999998E-3</v>
      </c>
      <c r="N5989">
        <v>-8.3624670000000002E-3</v>
      </c>
      <c r="O5989">
        <v>-0.99995999999999996</v>
      </c>
      <c r="P5989">
        <v>-8.2812010000000005E-2</v>
      </c>
      <c r="Q5989">
        <v>0.1234302</v>
      </c>
      <c r="R5989">
        <v>-0.98889210000000005</v>
      </c>
      <c r="S5989">
        <v>-0.55615230000000004</v>
      </c>
      <c r="T5989">
        <v>-1.905513E-2</v>
      </c>
      <c r="U5989">
        <v>-2.9898069999999999</v>
      </c>
      <c r="V5989">
        <v>8.6101750000000005E-2</v>
      </c>
      <c r="W5989">
        <v>0.1316031</v>
      </c>
      <c r="X5989">
        <v>0.9875562</v>
      </c>
      <c r="Y5989">
        <v>0.1860002</v>
      </c>
      <c r="Z5989">
        <v>-2.101122E-3</v>
      </c>
      <c r="AA5989">
        <v>0.98254750000000002</v>
      </c>
      <c r="AB5989">
        <v>18</v>
      </c>
      <c r="AC5989">
        <v>-20.220800000000001</v>
      </c>
      <c r="AD5989">
        <v>-0.69283539999999899</v>
      </c>
      <c r="AE5989">
        <v>-108.54201999999999</v>
      </c>
      <c r="AF5989">
        <v>20.565864516622</v>
      </c>
      <c r="AG5989">
        <v>-0.69283539999999899</v>
      </c>
      <c r="AH5989">
        <v>108.472743534605</v>
      </c>
      <c r="AI5989">
        <v>90.359548747988299</v>
      </c>
      <c r="AJ5989">
        <v>79.264443755480002</v>
      </c>
      <c r="AK5989">
        <v>110.40729547512601</v>
      </c>
      <c r="AL5989">
        <v>82.437761355246195</v>
      </c>
      <c r="AM5989">
        <v>85.017171192419198</v>
      </c>
      <c r="AN5989">
        <v>1.0000000677205501</v>
      </c>
    </row>
    <row r="5990" spans="1:40" x14ac:dyDescent="0.25">
      <c r="A5990" t="str">
        <f>"20190303162031833"</f>
        <v>20190303162031833</v>
      </c>
      <c r="B5990" t="str">
        <f>"1551601231828350"</f>
        <v>1551601231828350</v>
      </c>
      <c r="C5990" t="s">
        <v>40</v>
      </c>
      <c r="D5990">
        <v>4.3240800000000004</v>
      </c>
      <c r="E5990">
        <v>0.53897269999999997</v>
      </c>
      <c r="F5990" t="s">
        <v>70</v>
      </c>
      <c r="G5990">
        <v>-212.2253</v>
      </c>
      <c r="H5990">
        <v>0.49378030000000001</v>
      </c>
      <c r="I5990">
        <v>71.838509999999999</v>
      </c>
      <c r="J5990">
        <v>-192.00489999999999</v>
      </c>
      <c r="K5990">
        <v>1.1205259999999999</v>
      </c>
      <c r="L5990">
        <v>179.81950000000001</v>
      </c>
      <c r="M5990">
        <v>2.36345E-3</v>
      </c>
      <c r="N5990">
        <v>-8.3529550000000004E-3</v>
      </c>
      <c r="O5990">
        <v>-0.99996240000000003</v>
      </c>
      <c r="P5990">
        <v>-8.3705450000000001E-2</v>
      </c>
      <c r="Q5990">
        <v>0.12291539999999999</v>
      </c>
      <c r="R5990">
        <v>-0.98888089999999995</v>
      </c>
      <c r="S5990">
        <v>-0.5588379</v>
      </c>
      <c r="T5990">
        <v>-1.7320749999999999E-2</v>
      </c>
      <c r="U5990">
        <v>-2.9890590000000001</v>
      </c>
      <c r="V5990">
        <v>8.618017E-2</v>
      </c>
      <c r="W5990">
        <v>0.13107929999999901</v>
      </c>
      <c r="X5990">
        <v>0.98761889999999997</v>
      </c>
      <c r="Y5990">
        <v>0.18608810000000001</v>
      </c>
      <c r="Z5990">
        <v>-2.6601910000000001E-3</v>
      </c>
      <c r="AA5990">
        <v>0.98252949999999994</v>
      </c>
      <c r="AB5990">
        <v>18</v>
      </c>
      <c r="AC5990">
        <v>-20.220400000000001</v>
      </c>
      <c r="AD5990">
        <v>-0.62674569999999896</v>
      </c>
      <c r="AE5990">
        <v>-107.980989999999</v>
      </c>
      <c r="AF5990">
        <v>20.474893665178101</v>
      </c>
      <c r="AG5990">
        <v>-0.62674569999999896</v>
      </c>
      <c r="AH5990">
        <v>107.929383973727</v>
      </c>
      <c r="AI5990">
        <v>90.326882834334896</v>
      </c>
      <c r="AJ5990">
        <v>79.2582703359151</v>
      </c>
      <c r="AK5990">
        <v>109.856115012871</v>
      </c>
      <c r="AL5990">
        <v>82.468034231788593</v>
      </c>
      <c r="AM5990">
        <v>85.012970826198796</v>
      </c>
      <c r="AN5990">
        <v>0.99999994811346304</v>
      </c>
    </row>
    <row r="5991" spans="1:40" x14ac:dyDescent="0.25">
      <c r="A5991" t="str">
        <f>"20190303162031846"</f>
        <v>20190303162031846</v>
      </c>
      <c r="B5991" t="str">
        <f>"1551601231838110"</f>
        <v>1551601231838110</v>
      </c>
      <c r="C5991" t="s">
        <v>40</v>
      </c>
      <c r="D5991">
        <v>4.2848940000000004</v>
      </c>
      <c r="E5991">
        <v>0.53889390000000004</v>
      </c>
      <c r="F5991" t="s">
        <v>70</v>
      </c>
      <c r="G5991">
        <v>-212.22540000000001</v>
      </c>
      <c r="H5991">
        <v>0.52043509999999904</v>
      </c>
      <c r="I5991">
        <v>72.128720000000001</v>
      </c>
      <c r="J5991">
        <v>-192.0052</v>
      </c>
      <c r="K5991">
        <v>1.12052</v>
      </c>
      <c r="L5991">
        <v>179.71430000000001</v>
      </c>
      <c r="M5991">
        <v>1.8687179999999999E-3</v>
      </c>
      <c r="N5991">
        <v>-8.3476680000000008E-3</v>
      </c>
      <c r="O5991">
        <v>-0.99996359999999995</v>
      </c>
      <c r="P5991">
        <v>-8.3966189999999996E-2</v>
      </c>
      <c r="Q5991">
        <v>0.12248239999999901</v>
      </c>
      <c r="R5991">
        <v>-0.98891260000000003</v>
      </c>
      <c r="S5991">
        <v>-0.56109619999999905</v>
      </c>
      <c r="T5991">
        <v>-1.6651269999999999E-2</v>
      </c>
      <c r="U5991">
        <v>-2.9882970000000002</v>
      </c>
      <c r="V5991">
        <v>8.5951509999999995E-2</v>
      </c>
      <c r="W5991">
        <v>0.13064200000000001</v>
      </c>
      <c r="X5991">
        <v>0.98769680000000004</v>
      </c>
      <c r="Y5991">
        <v>0.18636469999999999</v>
      </c>
      <c r="Z5991">
        <v>-2.8737709999999998E-3</v>
      </c>
      <c r="AA5991">
        <v>0.98247640000000003</v>
      </c>
      <c r="AB5991">
        <v>18</v>
      </c>
      <c r="AC5991">
        <v>-20.220199999999998</v>
      </c>
      <c r="AD5991">
        <v>-0.60008490000000003</v>
      </c>
      <c r="AE5991">
        <v>-107.58557999999999</v>
      </c>
      <c r="AF5991">
        <v>20.420605134568799</v>
      </c>
      <c r="AG5991">
        <v>-0.60008490000000003</v>
      </c>
      <c r="AH5991">
        <v>107.54437329122101</v>
      </c>
      <c r="AI5991">
        <v>90.314088435331499</v>
      </c>
      <c r="AJ5991">
        <v>79.248628095549094</v>
      </c>
      <c r="AK5991">
        <v>109.467590831948</v>
      </c>
      <c r="AL5991">
        <v>82.493307255978706</v>
      </c>
      <c r="AM5991">
        <v>85.026526661507702</v>
      </c>
      <c r="AN5991">
        <v>0.99999998148275904</v>
      </c>
    </row>
    <row r="5992" spans="1:40" x14ac:dyDescent="0.25">
      <c r="A5992" t="str">
        <f>"20190303162031858"</f>
        <v>20190303162031858</v>
      </c>
      <c r="B5992" t="str">
        <f>"1551601231848846"</f>
        <v>1551601231848846</v>
      </c>
      <c r="C5992" t="s">
        <v>40</v>
      </c>
      <c r="D5992">
        <v>4.2947850000000001</v>
      </c>
      <c r="E5992">
        <v>0.53890090000000002</v>
      </c>
      <c r="F5992" t="s">
        <v>70</v>
      </c>
      <c r="G5992">
        <v>-212.2253</v>
      </c>
      <c r="H5992">
        <v>0.50362180000000001</v>
      </c>
      <c r="I5992">
        <v>72.045929999999998</v>
      </c>
      <c r="J5992">
        <v>-192.00559999999999</v>
      </c>
      <c r="K5992">
        <v>1.120514</v>
      </c>
      <c r="L5992">
        <v>179.61429999999999</v>
      </c>
      <c r="M5992">
        <v>1.3991520000000001E-3</v>
      </c>
      <c r="N5992">
        <v>-8.3430980000000002E-3</v>
      </c>
      <c r="O5992">
        <v>-0.99996430000000003</v>
      </c>
      <c r="P5992">
        <v>-8.4684049999999997E-2</v>
      </c>
      <c r="Q5992">
        <v>0.1222226</v>
      </c>
      <c r="R5992">
        <v>-0.98888330000000002</v>
      </c>
      <c r="S5992">
        <v>-0.56117249999999996</v>
      </c>
      <c r="T5992">
        <v>-1.7120239999999998E-2</v>
      </c>
      <c r="U5992">
        <v>-2.9881289999999998</v>
      </c>
      <c r="V5992">
        <v>8.6204939999999994E-2</v>
      </c>
      <c r="W5992">
        <v>0.13037679999999999</v>
      </c>
      <c r="X5992">
        <v>0.98770979999999997</v>
      </c>
      <c r="Y5992">
        <v>0.18593750000000001</v>
      </c>
      <c r="Z5992">
        <v>-2.7140939999999998E-3</v>
      </c>
      <c r="AA5992">
        <v>0.98255780000000004</v>
      </c>
      <c r="AB5992">
        <v>18</v>
      </c>
      <c r="AC5992">
        <v>-20.2197</v>
      </c>
      <c r="AD5992">
        <v>-0.6168922</v>
      </c>
      <c r="AE5992">
        <v>-107.56837</v>
      </c>
      <c r="AF5992">
        <v>20.3695428641654</v>
      </c>
      <c r="AG5992">
        <v>-0.6168922</v>
      </c>
      <c r="AH5992">
        <v>107.53655722750401</v>
      </c>
      <c r="AI5992">
        <v>90.322936026178098</v>
      </c>
      <c r="AJ5992">
        <v>79.274126371120602</v>
      </c>
      <c r="AK5992">
        <v>109.450490966581</v>
      </c>
      <c r="AL5992">
        <v>82.508633508968103</v>
      </c>
      <c r="AM5992">
        <v>85.012001457090705</v>
      </c>
      <c r="AN5992">
        <v>1.00000002533734</v>
      </c>
    </row>
    <row r="5993" spans="1:40" x14ac:dyDescent="0.25">
      <c r="A5993" t="str">
        <f>"20190303162031870"</f>
        <v>20190303162031870</v>
      </c>
      <c r="B5993" t="str">
        <f>"1551601231858607"</f>
        <v>1551601231858607</v>
      </c>
      <c r="C5993" t="s">
        <v>40</v>
      </c>
      <c r="D5993">
        <v>4.3132429999999999</v>
      </c>
      <c r="E5993">
        <v>0.53896999999999995</v>
      </c>
      <c r="F5993" t="s">
        <v>70</v>
      </c>
      <c r="G5993">
        <v>-212.2253</v>
      </c>
      <c r="H5993">
        <v>0.47560370000000002</v>
      </c>
      <c r="I5993">
        <v>72.338999999999999</v>
      </c>
      <c r="J5993">
        <v>-192.0059</v>
      </c>
      <c r="K5993">
        <v>1.1205160000000001</v>
      </c>
      <c r="L5993">
        <v>179.52090000000001</v>
      </c>
      <c r="M5993">
        <v>9.6089479999999995E-4</v>
      </c>
      <c r="N5993">
        <v>-8.3389950000000001E-3</v>
      </c>
      <c r="O5993">
        <v>-0.99996499999999999</v>
      </c>
      <c r="P5993">
        <v>-8.5110909999999998E-2</v>
      </c>
      <c r="Q5993">
        <v>0.1219404</v>
      </c>
      <c r="R5993">
        <v>-0.98888180000000003</v>
      </c>
      <c r="S5993">
        <v>-0.56314090000000006</v>
      </c>
      <c r="T5993">
        <v>-1.7960790000000001E-2</v>
      </c>
      <c r="U5993">
        <v>-2.987717</v>
      </c>
      <c r="V5993">
        <v>8.6198339999999998E-2</v>
      </c>
      <c r="W5993">
        <v>0.13009129999999999</v>
      </c>
      <c r="X5993">
        <v>0.98774799999999996</v>
      </c>
      <c r="Y5993">
        <v>0.18615660000000001</v>
      </c>
      <c r="Z5993">
        <v>-2.4329130000000001E-3</v>
      </c>
      <c r="AA5993">
        <v>0.98251710000000003</v>
      </c>
      <c r="AB5993">
        <v>18</v>
      </c>
      <c r="AC5993">
        <v>-20.2194</v>
      </c>
      <c r="AD5993">
        <v>-0.64491229999999999</v>
      </c>
      <c r="AE5993">
        <v>-107.1819</v>
      </c>
      <c r="AF5993">
        <v>20.321674306217002</v>
      </c>
      <c r="AG5993">
        <v>-0.64491229999999999</v>
      </c>
      <c r="AH5993">
        <v>107.15867485757499</v>
      </c>
      <c r="AI5993">
        <v>90.338780674863102</v>
      </c>
      <c r="AJ5993">
        <v>79.261888767058693</v>
      </c>
      <c r="AK5993">
        <v>109.070472428215</v>
      </c>
      <c r="AL5993">
        <v>82.525131819764994</v>
      </c>
      <c r="AM5993">
        <v>85.012573337929197</v>
      </c>
      <c r="AN5993">
        <v>1.00000000582922</v>
      </c>
    </row>
    <row r="5994" spans="1:40" x14ac:dyDescent="0.25">
      <c r="A5994" t="str">
        <f>"20190303162031883"</f>
        <v>20190303162031883</v>
      </c>
      <c r="B5994" t="str">
        <f>"1551601231868367"</f>
        <v>1551601231868367</v>
      </c>
      <c r="C5994" t="s">
        <v>40</v>
      </c>
      <c r="D5994">
        <v>4.352582</v>
      </c>
      <c r="E5994">
        <v>0.53896999999999995</v>
      </c>
      <c r="F5994" t="s">
        <v>70</v>
      </c>
      <c r="G5994">
        <v>-212.2253</v>
      </c>
      <c r="H5994">
        <v>0.4931989</v>
      </c>
      <c r="I5994">
        <v>72.554909999999893</v>
      </c>
      <c r="J5994">
        <v>-192.00640000000001</v>
      </c>
      <c r="K5994">
        <v>1.120511</v>
      </c>
      <c r="L5994">
        <v>179.41550000000001</v>
      </c>
      <c r="M5994">
        <v>4.6714869999999999E-4</v>
      </c>
      <c r="N5994">
        <v>-8.3346140000000006E-3</v>
      </c>
      <c r="O5994">
        <v>-0.99996549999999995</v>
      </c>
      <c r="P5994">
        <v>-8.5066359999999994E-2</v>
      </c>
      <c r="Q5994">
        <v>0.1218583</v>
      </c>
      <c r="R5994">
        <v>-0.98889579999999999</v>
      </c>
      <c r="S5994">
        <v>-0.56468200000000002</v>
      </c>
      <c r="T5994">
        <v>-1.7518880000000001E-2</v>
      </c>
      <c r="U5994">
        <v>-2.9873050000000001</v>
      </c>
      <c r="V5994">
        <v>8.5665779999999997E-2</v>
      </c>
      <c r="W5994">
        <v>0.1300057</v>
      </c>
      <c r="X5994">
        <v>0.98780559999999995</v>
      </c>
      <c r="Y5994">
        <v>0.18618560000000001</v>
      </c>
      <c r="Z5994">
        <v>-2.572983E-3</v>
      </c>
      <c r="AA5994">
        <v>0.98251120000000003</v>
      </c>
      <c r="AB5994">
        <v>18</v>
      </c>
      <c r="AC5994">
        <v>-20.218899999999898</v>
      </c>
      <c r="AD5994">
        <v>-0.62731209999999904</v>
      </c>
      <c r="AE5994">
        <v>-106.86059</v>
      </c>
      <c r="AF5994">
        <v>20.268144969464998</v>
      </c>
      <c r="AG5994">
        <v>-0.62731209999999904</v>
      </c>
      <c r="AH5994">
        <v>106.847577933189</v>
      </c>
      <c r="AI5994">
        <v>90.330491627668707</v>
      </c>
      <c r="AJ5994">
        <v>79.259058751045998</v>
      </c>
      <c r="AK5994">
        <v>108.754752223354</v>
      </c>
      <c r="AL5994">
        <v>82.530078344782297</v>
      </c>
      <c r="AM5994">
        <v>85.043520806256097</v>
      </c>
      <c r="AN5994">
        <v>1.00000000564342</v>
      </c>
    </row>
    <row r="5995" spans="1:40" x14ac:dyDescent="0.25">
      <c r="A5995" t="str">
        <f>"20190303162031895"</f>
        <v>20190303162031895</v>
      </c>
      <c r="B5995" t="str">
        <f>"1551601231888862"</f>
        <v>1551601231888862</v>
      </c>
      <c r="C5995" t="s">
        <v>40</v>
      </c>
      <c r="D5995">
        <v>4.3851839999999997</v>
      </c>
      <c r="E5995">
        <v>0.55236169999999996</v>
      </c>
      <c r="F5995" t="s">
        <v>70</v>
      </c>
      <c r="G5995">
        <v>-212.2253</v>
      </c>
      <c r="H5995">
        <v>0.48235309999999998</v>
      </c>
      <c r="I5995">
        <v>72.41619</v>
      </c>
      <c r="J5995">
        <v>-192.0069</v>
      </c>
      <c r="K5995">
        <v>1.1205069999999999</v>
      </c>
      <c r="L5995">
        <v>179.30869999999999</v>
      </c>
      <c r="M5995" s="1">
        <v>-3.285679E-5</v>
      </c>
      <c r="N5995">
        <v>-8.3304680000000006E-3</v>
      </c>
      <c r="O5995">
        <v>-0.99996529999999995</v>
      </c>
      <c r="P5995">
        <v>-8.5464369999999998E-2</v>
      </c>
      <c r="Q5995">
        <v>0.1217603</v>
      </c>
      <c r="R5995">
        <v>-0.98887329999999996</v>
      </c>
      <c r="S5995">
        <v>-0.56449890000000003</v>
      </c>
      <c r="T5995">
        <v>-1.7816309999999998E-2</v>
      </c>
      <c r="U5995">
        <v>-2.9873349999999999</v>
      </c>
      <c r="V5995">
        <v>8.5569660000000006E-2</v>
      </c>
      <c r="W5995">
        <v>0.12990309999999999</v>
      </c>
      <c r="X5995">
        <v>0.98782740000000002</v>
      </c>
      <c r="Y5995">
        <v>0.1856343</v>
      </c>
      <c r="Z5995">
        <v>-2.4703429999999998E-3</v>
      </c>
      <c r="AA5995">
        <v>0.98261580000000004</v>
      </c>
      <c r="AB5995">
        <v>18</v>
      </c>
      <c r="AC5995">
        <v>-20.218399999999999</v>
      </c>
      <c r="AD5995">
        <v>-0.63815389999999905</v>
      </c>
      <c r="AE5995">
        <v>-106.89251</v>
      </c>
      <c r="AF5995">
        <v>20.214192143235302</v>
      </c>
      <c r="AG5995">
        <v>-0.63815389999999905</v>
      </c>
      <c r="AH5995">
        <v>106.889496162599</v>
      </c>
      <c r="AI5995">
        <v>90.336107110682903</v>
      </c>
      <c r="AJ5995">
        <v>79.291092100462905</v>
      </c>
      <c r="AK5995">
        <v>108.785960465025</v>
      </c>
      <c r="AL5995">
        <v>82.536006954409103</v>
      </c>
      <c r="AM5995">
        <v>85.049163209243602</v>
      </c>
      <c r="AN5995">
        <v>0.99999997714644195</v>
      </c>
    </row>
    <row r="5996" spans="1:40" x14ac:dyDescent="0.25">
      <c r="A5996" t="str">
        <f>"20190303162031911"</f>
        <v>20190303162031911</v>
      </c>
      <c r="B5996" t="str">
        <f>"1551601231898622"</f>
        <v>1551601231898622</v>
      </c>
      <c r="C5996" t="s">
        <v>40</v>
      </c>
      <c r="D5996">
        <v>4.4106529999999999</v>
      </c>
      <c r="E5996">
        <v>0.55191420000000002</v>
      </c>
      <c r="F5996" t="s">
        <v>70</v>
      </c>
      <c r="G5996">
        <v>-212.22540000000001</v>
      </c>
      <c r="H5996">
        <v>0.63473500000000005</v>
      </c>
      <c r="I5996">
        <v>89.728119999999905</v>
      </c>
      <c r="J5996">
        <v>-192.0076</v>
      </c>
      <c r="K5996">
        <v>1.120501</v>
      </c>
      <c r="L5996">
        <v>179.18029999999999</v>
      </c>
      <c r="M5996">
        <v>-6.3341120000000002E-4</v>
      </c>
      <c r="N5996">
        <v>-8.3257509999999993E-3</v>
      </c>
      <c r="O5996">
        <v>-0.99996529999999995</v>
      </c>
      <c r="P5996">
        <v>-8.5111160000000005E-2</v>
      </c>
      <c r="Q5996">
        <v>0.1216037</v>
      </c>
      <c r="R5996">
        <v>-0.98892290000000005</v>
      </c>
      <c r="S5996">
        <v>-0.67205809999999999</v>
      </c>
      <c r="T5996">
        <v>-1.614606E-2</v>
      </c>
      <c r="U5996">
        <v>-2.9776310000000001</v>
      </c>
      <c r="V5996">
        <v>8.4622929999999999E-2</v>
      </c>
      <c r="W5996">
        <v>0.12974379999999999</v>
      </c>
      <c r="X5996">
        <v>0.98792990000000003</v>
      </c>
      <c r="Y5996">
        <v>0.21953300000000001</v>
      </c>
      <c r="Z5996">
        <v>-3.0355209999999998E-3</v>
      </c>
      <c r="AA5996">
        <v>0.97560040000000003</v>
      </c>
      <c r="AB5996">
        <v>18</v>
      </c>
      <c r="AC5996">
        <v>-20.2178</v>
      </c>
      <c r="AD5996">
        <v>-0.48576599999999898</v>
      </c>
      <c r="AE5996">
        <v>-89.452179999999998</v>
      </c>
      <c r="AF5996">
        <v>20.160568339639099</v>
      </c>
      <c r="AG5996">
        <v>-0.48576599999999898</v>
      </c>
      <c r="AH5996">
        <v>89.462458665421707</v>
      </c>
      <c r="AI5996">
        <v>90.303492667352998</v>
      </c>
      <c r="AJ5996">
        <v>77.300406810386704</v>
      </c>
      <c r="AK5996">
        <v>91.707229785040994</v>
      </c>
      <c r="AL5996">
        <v>82.545212175069395</v>
      </c>
      <c r="AM5996">
        <v>85.104176299640301</v>
      </c>
      <c r="AN5996">
        <v>0.99999999061711697</v>
      </c>
    </row>
    <row r="5997" spans="1:40" x14ac:dyDescent="0.25">
      <c r="A5997" t="str">
        <f>"20190303162031933"</f>
        <v>20190303162031933</v>
      </c>
      <c r="B5997" t="str">
        <f>"1551601231927903"</f>
        <v>1551601231927903</v>
      </c>
      <c r="C5997" t="s">
        <v>40</v>
      </c>
      <c r="D5997">
        <v>4.3580569999999996</v>
      </c>
      <c r="E5997">
        <v>0.55316100000000001</v>
      </c>
      <c r="F5997" t="s">
        <v>70</v>
      </c>
      <c r="G5997">
        <v>-212.2253</v>
      </c>
      <c r="H5997">
        <v>0.35740820000000001</v>
      </c>
      <c r="I5997">
        <v>88.981169999999906</v>
      </c>
      <c r="J5997">
        <v>-192.0087</v>
      </c>
      <c r="K5997">
        <v>1.120501</v>
      </c>
      <c r="L5997">
        <v>179.0017</v>
      </c>
      <c r="M5997">
        <v>-1.4681830000000001E-3</v>
      </c>
      <c r="N5997">
        <v>-8.319758E-3</v>
      </c>
      <c r="O5997">
        <v>-0.99996439999999998</v>
      </c>
      <c r="P5997">
        <v>-8.5029800000000003E-2</v>
      </c>
      <c r="Q5997">
        <v>0.1219401</v>
      </c>
      <c r="R5997">
        <v>-0.98888860000000001</v>
      </c>
      <c r="S5997">
        <v>-0.66778559999999998</v>
      </c>
      <c r="T5997">
        <v>-2.5203819999999998E-2</v>
      </c>
      <c r="U5997">
        <v>-2.9792480000000001</v>
      </c>
      <c r="V5997">
        <v>8.3717260000000002E-2</v>
      </c>
      <c r="W5997">
        <v>0.13007469999999999</v>
      </c>
      <c r="X5997">
        <v>0.98796360000000005</v>
      </c>
      <c r="Y5997">
        <v>0.21727099999999999</v>
      </c>
      <c r="Z5997" s="1">
        <v>-6.2386399999999996E-5</v>
      </c>
      <c r="AA5997">
        <v>0.97611139999999996</v>
      </c>
      <c r="AB5997">
        <v>18</v>
      </c>
      <c r="AC5997">
        <v>-20.2166</v>
      </c>
      <c r="AD5997">
        <v>-0.76309279999999902</v>
      </c>
      <c r="AE5997">
        <v>-90.020529999999994</v>
      </c>
      <c r="AF5997">
        <v>20.083033209041499</v>
      </c>
      <c r="AG5997">
        <v>-0.76309279999999902</v>
      </c>
      <c r="AH5997">
        <v>90.043956001580497</v>
      </c>
      <c r="AI5997">
        <v>90.47390752938</v>
      </c>
      <c r="AJ5997">
        <v>77.426774491489795</v>
      </c>
      <c r="AK5997">
        <v>92.259549890032801</v>
      </c>
      <c r="AL5997">
        <v>82.526091345275006</v>
      </c>
      <c r="AM5997">
        <v>85.156487261957906</v>
      </c>
      <c r="AN5997">
        <v>1.00000004106347</v>
      </c>
    </row>
    <row r="5998" spans="1:40" x14ac:dyDescent="0.25">
      <c r="A5998" t="str">
        <f>"20190303162031956"</f>
        <v>20190303162031956</v>
      </c>
      <c r="B5998" t="str">
        <f>"1551601231948401"</f>
        <v>1551601231948401</v>
      </c>
      <c r="C5998" t="s">
        <v>40</v>
      </c>
      <c r="D5998">
        <v>4.3572050000000004</v>
      </c>
      <c r="E5998">
        <v>0.55339519999999998</v>
      </c>
      <c r="F5998" t="s">
        <v>70</v>
      </c>
      <c r="G5998">
        <v>-212.2253</v>
      </c>
      <c r="H5998">
        <v>0.40556579999999998</v>
      </c>
      <c r="I5998">
        <v>90.095889999999997</v>
      </c>
      <c r="J5998">
        <v>-192.01</v>
      </c>
      <c r="K5998">
        <v>1.120492</v>
      </c>
      <c r="L5998">
        <v>178.8169</v>
      </c>
      <c r="M5998">
        <v>-2.3322960000000002E-3</v>
      </c>
      <c r="N5998">
        <v>-8.3141220000000002E-3</v>
      </c>
      <c r="O5998">
        <v>-0.99996269999999998</v>
      </c>
      <c r="P5998">
        <v>-8.558586E-2</v>
      </c>
      <c r="Q5998">
        <v>0.12222760000000001</v>
      </c>
      <c r="R5998">
        <v>-0.98880509999999999</v>
      </c>
      <c r="S5998">
        <v>-0.67727660000000001</v>
      </c>
      <c r="T5998">
        <v>-2.3950099999999998E-2</v>
      </c>
      <c r="U5998">
        <v>-2.978424</v>
      </c>
      <c r="V5998">
        <v>8.3420259999999996E-2</v>
      </c>
      <c r="W5998">
        <v>0.1303561</v>
      </c>
      <c r="X5998">
        <v>0.98795160000000004</v>
      </c>
      <c r="Y5998">
        <v>0.21944430000000001</v>
      </c>
      <c r="Z5998">
        <v>-4.6914869999999998E-4</v>
      </c>
      <c r="AA5998">
        <v>0.97562490000000002</v>
      </c>
      <c r="AB5998">
        <v>18</v>
      </c>
      <c r="AC5998">
        <v>-20.215299999999999</v>
      </c>
      <c r="AD5998">
        <v>-0.71492619999999996</v>
      </c>
      <c r="AE5998">
        <v>-88.721009999999893</v>
      </c>
      <c r="AF5998">
        <v>20.007079188317501</v>
      </c>
      <c r="AG5998">
        <v>-0.71492619999999996</v>
      </c>
      <c r="AH5998">
        <v>88.762439170880398</v>
      </c>
      <c r="AI5998">
        <v>90.450178298459306</v>
      </c>
      <c r="AJ5998">
        <v>77.297788796224594</v>
      </c>
      <c r="AK5998">
        <v>90.9921147390437</v>
      </c>
      <c r="AL5998">
        <v>82.509829611742305</v>
      </c>
      <c r="AM5998">
        <v>85.173530716584906</v>
      </c>
      <c r="AN5998">
        <v>1.0000000082641101</v>
      </c>
    </row>
    <row r="5999" spans="1:40" x14ac:dyDescent="0.25">
      <c r="A5999" t="str">
        <f>"20190303162031978"</f>
        <v>20190303162031978</v>
      </c>
      <c r="B5999" t="str">
        <f>"1551601231968894"</f>
        <v>1551601231968894</v>
      </c>
      <c r="C5999" t="s">
        <v>40</v>
      </c>
      <c r="D5999">
        <v>4.3702959999999997</v>
      </c>
      <c r="E5999">
        <v>0.55336289999999999</v>
      </c>
      <c r="F5999" t="s">
        <v>70</v>
      </c>
      <c r="G5999">
        <v>-212.2252</v>
      </c>
      <c r="H5999">
        <v>0.1858476</v>
      </c>
      <c r="I5999">
        <v>90.348479999999995</v>
      </c>
      <c r="J5999">
        <v>-192.01150000000001</v>
      </c>
      <c r="K5999">
        <v>1.1204909999999999</v>
      </c>
      <c r="L5999">
        <v>178.62520000000001</v>
      </c>
      <c r="M5999">
        <v>-3.2289630000000001E-3</v>
      </c>
      <c r="N5999">
        <v>-8.3088329999999998E-3</v>
      </c>
      <c r="O5999">
        <v>-0.99996030000000002</v>
      </c>
      <c r="P5999">
        <v>-8.6404170000000002E-2</v>
      </c>
      <c r="Q5999">
        <v>0.1224679</v>
      </c>
      <c r="R5999">
        <v>-0.98870429999999998</v>
      </c>
      <c r="S5999">
        <v>-0.68069460000000004</v>
      </c>
      <c r="T5999">
        <v>-3.1470659999999998E-2</v>
      </c>
      <c r="U5999">
        <v>-2.9789279999999998</v>
      </c>
      <c r="V5999">
        <v>8.3353419999999998E-2</v>
      </c>
      <c r="W5999">
        <v>0.13059009999999999</v>
      </c>
      <c r="X5999">
        <v>0.98792639999999998</v>
      </c>
      <c r="Y5999">
        <v>0.21959529999999999</v>
      </c>
      <c r="Z5999">
        <v>1.9963649999999999E-3</v>
      </c>
      <c r="AA5999">
        <v>0.97558900000000004</v>
      </c>
      <c r="AB5999">
        <v>18</v>
      </c>
      <c r="AC5999">
        <v>-20.2136999999999</v>
      </c>
      <c r="AD5999">
        <v>-0.93464340000000001</v>
      </c>
      <c r="AE5999">
        <v>-88.276719999999997</v>
      </c>
      <c r="AF5999">
        <v>19.926420087230699</v>
      </c>
      <c r="AG5999">
        <v>-0.93464340000000001</v>
      </c>
      <c r="AH5999">
        <v>88.332122733936998</v>
      </c>
      <c r="AI5999">
        <v>90.591365696547896</v>
      </c>
      <c r="AJ5999">
        <v>77.287706341975806</v>
      </c>
      <c r="AK5999">
        <v>90.556610374181204</v>
      </c>
      <c r="AL5999">
        <v>82.496307265286106</v>
      </c>
      <c r="AM5999">
        <v>85.177257215501001</v>
      </c>
      <c r="AN5999">
        <v>1.0000000693303299</v>
      </c>
    </row>
    <row r="6000" spans="1:40" x14ac:dyDescent="0.25">
      <c r="A6000" t="str">
        <f>"20190303162032002"</f>
        <v>20190303162032002</v>
      </c>
      <c r="B6000" t="str">
        <f>"1551601231988415"</f>
        <v>1551601231988415</v>
      </c>
      <c r="C6000" t="s">
        <v>40</v>
      </c>
      <c r="D6000">
        <v>4.3634550000000001</v>
      </c>
      <c r="E6000">
        <v>0.55335840000000003</v>
      </c>
      <c r="F6000" t="s">
        <v>70</v>
      </c>
      <c r="G6000">
        <v>-212.2252</v>
      </c>
      <c r="H6000">
        <v>0.1136419</v>
      </c>
      <c r="I6000">
        <v>90.435869999999994</v>
      </c>
      <c r="J6000">
        <v>-192.01320000000001</v>
      </c>
      <c r="K6000">
        <v>1.1204879999999999</v>
      </c>
      <c r="L6000">
        <v>178.42920000000001</v>
      </c>
      <c r="M6000">
        <v>-4.1461429999999997E-3</v>
      </c>
      <c r="N6000">
        <v>-8.3039959999999993E-3</v>
      </c>
      <c r="O6000">
        <v>-0.99995719999999999</v>
      </c>
      <c r="P6000">
        <v>-8.7199799999999994E-2</v>
      </c>
      <c r="Q6000">
        <v>0.12292160000000001</v>
      </c>
      <c r="R6000">
        <v>-0.98857870000000003</v>
      </c>
      <c r="S6000">
        <v>-0.68276979999999998</v>
      </c>
      <c r="T6000">
        <v>-3.4007910000000002E-2</v>
      </c>
      <c r="U6000">
        <v>-2.9788060000000001</v>
      </c>
      <c r="V6000">
        <v>8.3244059999999995E-2</v>
      </c>
      <c r="W6000">
        <v>0.13103770000000001</v>
      </c>
      <c r="X6000">
        <v>0.98787630000000004</v>
      </c>
      <c r="Y6000">
        <v>0.21935379999999999</v>
      </c>
      <c r="Z6000">
        <v>2.8324380000000001E-3</v>
      </c>
      <c r="AA6000">
        <v>0.97564130000000004</v>
      </c>
      <c r="AB6000">
        <v>19</v>
      </c>
      <c r="AC6000">
        <v>-20.2119999999999</v>
      </c>
      <c r="AD6000">
        <v>-1.0068461</v>
      </c>
      <c r="AE6000">
        <v>-87.99333</v>
      </c>
      <c r="AF6000">
        <v>19.844512897783101</v>
      </c>
      <c r="AG6000">
        <v>-1.0068461</v>
      </c>
      <c r="AH6000">
        <v>88.065426112392899</v>
      </c>
      <c r="AI6000">
        <v>90.6390089278609</v>
      </c>
      <c r="AJ6000">
        <v>77.301168989015693</v>
      </c>
      <c r="AK6000">
        <v>90.279220796242498</v>
      </c>
      <c r="AL6000">
        <v>82.470439004766703</v>
      </c>
      <c r="AM6000">
        <v>85.183311769847194</v>
      </c>
      <c r="AN6000">
        <v>1.00000001822413</v>
      </c>
    </row>
    <row r="6001" spans="1:40" x14ac:dyDescent="0.25">
      <c r="A6001" t="str">
        <f>"20190303162032023"</f>
        <v>20190303162032023</v>
      </c>
      <c r="B6001" t="str">
        <f>"1551601232018671"</f>
        <v>1551601232018671</v>
      </c>
      <c r="C6001" t="s">
        <v>40</v>
      </c>
      <c r="D6001">
        <v>4.428674</v>
      </c>
      <c r="E6001">
        <v>0.55333480000000002</v>
      </c>
      <c r="F6001" t="s">
        <v>70</v>
      </c>
      <c r="G6001">
        <v>-212.2252</v>
      </c>
      <c r="H6001">
        <v>0.1154535</v>
      </c>
      <c r="I6001">
        <v>90.503919999999994</v>
      </c>
      <c r="J6001">
        <v>-192.01490000000001</v>
      </c>
      <c r="K6001">
        <v>1.120487</v>
      </c>
      <c r="L6001">
        <v>178.24770000000001</v>
      </c>
      <c r="M6001">
        <v>-4.9959139999999997E-3</v>
      </c>
      <c r="N6001">
        <v>-8.3037919999999904E-3</v>
      </c>
      <c r="O6001">
        <v>-0.99995339999999999</v>
      </c>
      <c r="P6001">
        <v>-8.814081E-2</v>
      </c>
      <c r="Q6001">
        <v>0.1232611</v>
      </c>
      <c r="R6001">
        <v>-0.98845269999999996</v>
      </c>
      <c r="S6001">
        <v>-0.68469239999999998</v>
      </c>
      <c r="T6001">
        <v>-3.4044980000000002E-2</v>
      </c>
      <c r="U6001">
        <v>-2.9784999999999999</v>
      </c>
      <c r="V6001">
        <v>8.334664E-2</v>
      </c>
      <c r="W6001">
        <v>0.1313762</v>
      </c>
      <c r="X6001">
        <v>0.98782270000000005</v>
      </c>
      <c r="Y6001">
        <v>0.2191448</v>
      </c>
      <c r="Z6001">
        <v>2.846108E-3</v>
      </c>
      <c r="AA6001">
        <v>0.97568820000000001</v>
      </c>
      <c r="AB6001">
        <v>19</v>
      </c>
      <c r="AC6001">
        <v>-20.210299999999901</v>
      </c>
      <c r="AD6001">
        <v>-1.0050334999999999</v>
      </c>
      <c r="AE6001">
        <v>-87.743780000000001</v>
      </c>
      <c r="AF6001">
        <v>19.7692094124383</v>
      </c>
      <c r="AG6001">
        <v>-1.0050334999999999</v>
      </c>
      <c r="AH6001">
        <v>87.832714331212202</v>
      </c>
      <c r="AI6001">
        <v>90.639584172581394</v>
      </c>
      <c r="AJ6001">
        <v>77.315364258853407</v>
      </c>
      <c r="AK6001">
        <v>90.035645385132199</v>
      </c>
      <c r="AL6001">
        <v>82.450875325332902</v>
      </c>
      <c r="AM6001">
        <v>85.177143794410298</v>
      </c>
      <c r="AN6001">
        <v>1.0000000274805001</v>
      </c>
    </row>
    <row r="6002" spans="1:40" x14ac:dyDescent="0.25">
      <c r="A6002" t="str">
        <f>"20190303162032046"</f>
        <v>20190303162032046</v>
      </c>
      <c r="B6002" t="str">
        <f>"1551601232038191"</f>
        <v>1551601232038191</v>
      </c>
      <c r="C6002" t="s">
        <v>40</v>
      </c>
      <c r="D6002">
        <v>4.3384519999999904</v>
      </c>
      <c r="E6002">
        <v>0.553701</v>
      </c>
      <c r="F6002" t="s">
        <v>70</v>
      </c>
      <c r="G6002">
        <v>-212.2252</v>
      </c>
      <c r="H6002">
        <v>0.14084430000000001</v>
      </c>
      <c r="I6002">
        <v>90.695400000000006</v>
      </c>
      <c r="J6002">
        <v>-192.01679999999999</v>
      </c>
      <c r="K6002">
        <v>1.1204879999999999</v>
      </c>
      <c r="L6002">
        <v>178.0652</v>
      </c>
      <c r="M6002">
        <v>-5.8509809999999999E-3</v>
      </c>
      <c r="N6002">
        <v>-8.3091180000000008E-3</v>
      </c>
      <c r="O6002">
        <v>-0.99994859999999997</v>
      </c>
      <c r="P6002">
        <v>-8.9177729999999997E-2</v>
      </c>
      <c r="Q6002">
        <v>0.1235631</v>
      </c>
      <c r="R6002">
        <v>-0.98832200000000003</v>
      </c>
      <c r="S6002">
        <v>-0.68740840000000003</v>
      </c>
      <c r="T6002">
        <v>-3.3319349999999998E-2</v>
      </c>
      <c r="U6002">
        <v>-2.9778899999999999</v>
      </c>
      <c r="V6002">
        <v>8.3540030000000001E-2</v>
      </c>
      <c r="W6002">
        <v>0.13168199999999999</v>
      </c>
      <c r="X6002">
        <v>0.98776560000000002</v>
      </c>
      <c r="Y6002">
        <v>0.21919949999999999</v>
      </c>
      <c r="Z6002">
        <v>2.6050159999999999E-3</v>
      </c>
      <c r="AA6002">
        <v>0.9756766</v>
      </c>
      <c r="AB6002">
        <v>19</v>
      </c>
      <c r="AC6002">
        <v>-20.208400000000001</v>
      </c>
      <c r="AD6002">
        <v>-0.97964370000000001</v>
      </c>
      <c r="AE6002">
        <v>-87.369799999999998</v>
      </c>
      <c r="AF6002">
        <v>19.694487194994199</v>
      </c>
      <c r="AG6002">
        <v>-0.97964370000000001</v>
      </c>
      <c r="AH6002">
        <v>87.476108147888397</v>
      </c>
      <c r="AI6002">
        <v>90.625960655284103</v>
      </c>
      <c r="AJ6002">
        <v>77.311909402513194</v>
      </c>
      <c r="AK6002">
        <v>89.671076855103095</v>
      </c>
      <c r="AL6002">
        <v>82.433200387443506</v>
      </c>
      <c r="AM6002">
        <v>85.165728127211196</v>
      </c>
      <c r="AN6002">
        <v>0.99999998313988003</v>
      </c>
    </row>
    <row r="6003" spans="1:40" x14ac:dyDescent="0.25">
      <c r="A6003" t="str">
        <f>"20190303162032067"</f>
        <v>20190303162032067</v>
      </c>
      <c r="B6003" t="str">
        <f>"1551601232058687"</f>
        <v>1551601232058687</v>
      </c>
      <c r="C6003" t="s">
        <v>40</v>
      </c>
      <c r="D6003">
        <v>4.4643090000000001</v>
      </c>
      <c r="E6003">
        <v>0.55394980000000005</v>
      </c>
      <c r="F6003" t="s">
        <v>70</v>
      </c>
      <c r="G6003">
        <v>-211.3587</v>
      </c>
      <c r="H6003">
        <v>0.22049299999999999</v>
      </c>
      <c r="I6003">
        <v>94.996170000000006</v>
      </c>
      <c r="J6003">
        <v>-192.01900000000001</v>
      </c>
      <c r="K6003">
        <v>1.1204829999999999</v>
      </c>
      <c r="L6003">
        <v>177.8783</v>
      </c>
      <c r="M6003">
        <v>-6.7265099999999998E-3</v>
      </c>
      <c r="N6003">
        <v>-8.3161139999999995E-3</v>
      </c>
      <c r="O6003">
        <v>-0.99994289999999997</v>
      </c>
      <c r="P6003">
        <v>-9.0317620000000001E-2</v>
      </c>
      <c r="Q6003">
        <v>0.1236829</v>
      </c>
      <c r="R6003">
        <v>-0.98820330000000001</v>
      </c>
      <c r="S6003">
        <v>-0.69316099999999903</v>
      </c>
      <c r="T6003">
        <v>-3.2252309999999999E-2</v>
      </c>
      <c r="U6003">
        <v>-2.9769589999999999</v>
      </c>
      <c r="V6003">
        <v>8.3816009999999996E-2</v>
      </c>
      <c r="W6003">
        <v>0.1318078</v>
      </c>
      <c r="X6003">
        <v>0.98772539999999998</v>
      </c>
      <c r="Y6003">
        <v>0.22020149999999999</v>
      </c>
      <c r="Z6003">
        <v>2.2492329999999998E-3</v>
      </c>
      <c r="AA6003">
        <v>0.97545179999999998</v>
      </c>
      <c r="AB6003">
        <v>19</v>
      </c>
      <c r="AC6003">
        <v>-19.339700000000001</v>
      </c>
      <c r="AD6003">
        <v>-0.89998999999999896</v>
      </c>
      <c r="AE6003">
        <v>-82.882130000000004</v>
      </c>
      <c r="AF6003">
        <v>18.779635762905901</v>
      </c>
      <c r="AG6003">
        <v>-0.89998999999999896</v>
      </c>
      <c r="AH6003">
        <v>83.001066605924095</v>
      </c>
      <c r="AI6003">
        <v>90.605925611387406</v>
      </c>
      <c r="AJ6003">
        <v>77.2510429027611</v>
      </c>
      <c r="AK6003">
        <v>85.103829285811599</v>
      </c>
      <c r="AL6003">
        <v>82.425928892268999</v>
      </c>
      <c r="AM6003">
        <v>85.1496373935517</v>
      </c>
      <c r="AN6003">
        <v>0.99999994273915804</v>
      </c>
    </row>
    <row r="6004" spans="1:40" x14ac:dyDescent="0.25">
      <c r="A6004" t="str">
        <f>"20190303162032089"</f>
        <v>20190303162032089</v>
      </c>
      <c r="B6004" t="str">
        <f>"1551601232078207"</f>
        <v>1551601232078207</v>
      </c>
      <c r="C6004" t="s">
        <v>40</v>
      </c>
      <c r="D6004">
        <v>4.7530710000000003</v>
      </c>
      <c r="E6004">
        <v>0.52393109999999998</v>
      </c>
      <c r="F6004" t="s">
        <v>70</v>
      </c>
      <c r="G6004">
        <v>-211.3587</v>
      </c>
      <c r="H6004">
        <v>0.14989420000000001</v>
      </c>
      <c r="I6004">
        <v>95.474159999999998</v>
      </c>
      <c r="J6004">
        <v>-192.0213</v>
      </c>
      <c r="K6004">
        <v>1.120479</v>
      </c>
      <c r="L6004">
        <v>177.69059999999999</v>
      </c>
      <c r="M6004">
        <v>-7.6057879999999996E-3</v>
      </c>
      <c r="N6004">
        <v>-8.3214629999999994E-3</v>
      </c>
      <c r="O6004">
        <v>-0.99993650000000001</v>
      </c>
      <c r="P6004">
        <v>-9.0999250000000004E-2</v>
      </c>
      <c r="Q6004">
        <v>0.1235305</v>
      </c>
      <c r="R6004">
        <v>-0.98815980000000003</v>
      </c>
      <c r="S6004">
        <v>-0.69853209999999999</v>
      </c>
      <c r="T6004">
        <v>-3.5055639999999999E-2</v>
      </c>
      <c r="U6004">
        <v>-2.9763489999999999</v>
      </c>
      <c r="V6004">
        <v>8.3629319999999993E-2</v>
      </c>
      <c r="W6004">
        <v>0.13166029999999901</v>
      </c>
      <c r="X6004">
        <v>0.987761</v>
      </c>
      <c r="Y6004">
        <v>0.22105540000000001</v>
      </c>
      <c r="Z6004">
        <v>3.1612110000000001E-3</v>
      </c>
      <c r="AA6004">
        <v>0.97525609999999996</v>
      </c>
      <c r="AB6004">
        <v>19</v>
      </c>
      <c r="AC6004">
        <v>-19.337399999999999</v>
      </c>
      <c r="AD6004">
        <v>-0.97058480000000003</v>
      </c>
      <c r="AE6004">
        <v>-82.216439999999906</v>
      </c>
      <c r="AF6004">
        <v>18.709027522433399</v>
      </c>
      <c r="AG6004">
        <v>-0.97058480000000003</v>
      </c>
      <c r="AH6004">
        <v>82.350267987634595</v>
      </c>
      <c r="AI6004">
        <v>90.658481655701195</v>
      </c>
      <c r="AJ6004">
        <v>77.200327050734202</v>
      </c>
      <c r="AK6004">
        <v>84.454344964154501</v>
      </c>
      <c r="AL6004">
        <v>82.434455100063801</v>
      </c>
      <c r="AM6004">
        <v>85.160563214193701</v>
      </c>
      <c r="AN6004">
        <v>1.0000000454403699</v>
      </c>
    </row>
    <row r="6005" spans="1:40" x14ac:dyDescent="0.25">
      <c r="A6005" t="str">
        <f>"20190303162032112"</f>
        <v>20190303162032112</v>
      </c>
      <c r="B6005" t="str">
        <f>"1551601232098702"</f>
        <v>1551601232098702</v>
      </c>
      <c r="C6005" t="s">
        <v>40</v>
      </c>
      <c r="D6005">
        <v>4.451066</v>
      </c>
      <c r="E6005">
        <v>0.47584349999999997</v>
      </c>
      <c r="F6005" t="s">
        <v>50</v>
      </c>
      <c r="G6005">
        <v>-200.2491</v>
      </c>
      <c r="H6005">
        <v>7.9988459999999997E-2</v>
      </c>
      <c r="I6005">
        <v>124.2383</v>
      </c>
      <c r="J6005">
        <v>-192.02379999999999</v>
      </c>
      <c r="K6005">
        <v>1.1204780000000001</v>
      </c>
      <c r="L6005">
        <v>177.4975</v>
      </c>
      <c r="M6005">
        <v>-8.5101380000000004E-3</v>
      </c>
      <c r="N6005">
        <v>-8.3274000000000004E-3</v>
      </c>
      <c r="O6005">
        <v>-0.99992930000000002</v>
      </c>
      <c r="P6005">
        <v>-9.171356E-2</v>
      </c>
      <c r="Q6005">
        <v>0.124019</v>
      </c>
      <c r="R6005">
        <v>-0.98803269999999999</v>
      </c>
      <c r="S6005">
        <v>-0.4618988</v>
      </c>
      <c r="T6005">
        <v>-5.8411600000000001E-2</v>
      </c>
      <c r="U6005">
        <v>-3.0007320000000002</v>
      </c>
      <c r="V6005">
        <v>8.3451929999999994E-2</v>
      </c>
      <c r="W6005">
        <v>0.1321542</v>
      </c>
      <c r="X6005">
        <v>0.98770999999999998</v>
      </c>
      <c r="Y6005">
        <v>0.1436945</v>
      </c>
      <c r="Z6005">
        <v>1.092567E-2</v>
      </c>
      <c r="AA6005">
        <v>0.98956180000000005</v>
      </c>
      <c r="AB6005">
        <v>19</v>
      </c>
      <c r="AC6005">
        <v>-8.2253000000000007</v>
      </c>
      <c r="AD6005">
        <v>-1.04048954</v>
      </c>
      <c r="AE6005">
        <v>-53.2592</v>
      </c>
      <c r="AF6005">
        <v>7.7688473042755799</v>
      </c>
      <c r="AG6005">
        <v>-1.04048954</v>
      </c>
      <c r="AH6005">
        <v>53.307400325393701</v>
      </c>
      <c r="AI6005">
        <v>91.106509412272004</v>
      </c>
      <c r="AJ6005">
        <v>81.708273651912506</v>
      </c>
      <c r="AK6005">
        <v>53.880576615064001</v>
      </c>
      <c r="AL6005">
        <v>82.405906924234003</v>
      </c>
      <c r="AM6005">
        <v>85.1705315922962</v>
      </c>
      <c r="AN6005">
        <v>1.00000000064918</v>
      </c>
    </row>
    <row r="6006" spans="1:40" x14ac:dyDescent="0.25">
      <c r="A6006" t="str">
        <f>"20190303162032135"</f>
        <v>20190303162032135</v>
      </c>
      <c r="B6006" t="str">
        <f>"1551601232128959"</f>
        <v>1551601232128959</v>
      </c>
      <c r="C6006" t="s">
        <v>40</v>
      </c>
      <c r="D6006">
        <v>4.4913980000000002</v>
      </c>
      <c r="E6006">
        <v>0.46840759999999998</v>
      </c>
      <c r="F6006" t="s">
        <v>48</v>
      </c>
      <c r="G6006">
        <v>-199.05160000000001</v>
      </c>
      <c r="H6006">
        <v>0.12973979999999999</v>
      </c>
      <c r="I6006">
        <v>-81.815209999999993</v>
      </c>
      <c r="J6006">
        <v>-192.0265</v>
      </c>
      <c r="K6006">
        <v>1.1204780000000001</v>
      </c>
      <c r="L6006">
        <v>177.30420000000001</v>
      </c>
      <c r="M6006">
        <v>-9.4145300000000008E-3</v>
      </c>
      <c r="N6006">
        <v>-8.3390549999999997E-3</v>
      </c>
      <c r="O6006">
        <v>-0.99992119999999995</v>
      </c>
      <c r="P6006">
        <v>-9.2829620000000002E-2</v>
      </c>
      <c r="Q6006">
        <v>0.1248968</v>
      </c>
      <c r="R6006">
        <v>-0.98781790000000003</v>
      </c>
      <c r="S6006">
        <v>-8.2122799999999996E-2</v>
      </c>
      <c r="T6006">
        <v>-1.157713E-2</v>
      </c>
      <c r="U6006">
        <v>-3.0301670000000001</v>
      </c>
      <c r="V6006">
        <v>8.3677630000000003E-2</v>
      </c>
      <c r="W6006">
        <v>0.13304089999999999</v>
      </c>
      <c r="X6006">
        <v>0.9875718</v>
      </c>
      <c r="Y6006">
        <v>1.7678030000000001E-2</v>
      </c>
      <c r="Z6006">
        <v>-4.5187179999999997E-3</v>
      </c>
      <c r="AA6006">
        <v>0.99983350000000004</v>
      </c>
      <c r="AB6006">
        <v>19</v>
      </c>
      <c r="AC6006">
        <v>-7.0251000000000001</v>
      </c>
      <c r="AD6006">
        <v>-0.99073820000000001</v>
      </c>
      <c r="AE6006">
        <v>-259.11941000000002</v>
      </c>
      <c r="AF6006">
        <v>4.5851500839394497</v>
      </c>
      <c r="AG6006">
        <v>-0.99073820000000001</v>
      </c>
      <c r="AH6006">
        <v>259.17027990516101</v>
      </c>
      <c r="AI6006">
        <v>90.218991003162799</v>
      </c>
      <c r="AJ6006">
        <v>88.986448814334196</v>
      </c>
      <c r="AK6006">
        <v>259.21272952845698</v>
      </c>
      <c r="AL6006">
        <v>82.3546497158991</v>
      </c>
      <c r="AM6006">
        <v>85.1568576490006</v>
      </c>
      <c r="AN6006">
        <v>0.99999994349523103</v>
      </c>
    </row>
    <row r="6007" spans="1:40" x14ac:dyDescent="0.25">
      <c r="A6007" t="str">
        <f>"20190303162032157"</f>
        <v>20190303162032157</v>
      </c>
      <c r="B6007" t="str">
        <f>"1551601232148479"</f>
        <v>1551601232148479</v>
      </c>
      <c r="C6007" t="s">
        <v>40</v>
      </c>
      <c r="D6007">
        <v>4.4917439999999997</v>
      </c>
      <c r="E6007">
        <v>0.46850049999999999</v>
      </c>
      <c r="F6007" t="s">
        <v>41</v>
      </c>
      <c r="G6007">
        <v>-192.96520000000001</v>
      </c>
      <c r="H6007" s="1">
        <v>-4.5088699999999997E-6</v>
      </c>
      <c r="I6007">
        <v>68.69068</v>
      </c>
      <c r="J6007">
        <v>-192.0292</v>
      </c>
      <c r="K6007">
        <v>1.1204780000000001</v>
      </c>
      <c r="L6007">
        <v>177.1216</v>
      </c>
      <c r="M6007">
        <v>-1.026912E-2</v>
      </c>
      <c r="N6007">
        <v>-8.353549E-3</v>
      </c>
      <c r="O6007">
        <v>-0.99991260000000004</v>
      </c>
      <c r="P6007">
        <v>-9.4327729999999999E-2</v>
      </c>
      <c r="Q6007">
        <v>0.12536939999999999</v>
      </c>
      <c r="R6007">
        <v>-0.98761589999999999</v>
      </c>
      <c r="S6007">
        <v>-2.626038E-2</v>
      </c>
      <c r="T6007">
        <v>-3.134584E-2</v>
      </c>
      <c r="U6007">
        <v>-3.0384980000000001</v>
      </c>
      <c r="V6007">
        <v>8.4334179999999995E-2</v>
      </c>
      <c r="W6007">
        <v>0.133525799999999</v>
      </c>
      <c r="X6007">
        <v>0.98745050000000001</v>
      </c>
      <c r="Y6007">
        <v>-1.6272089999999999E-3</v>
      </c>
      <c r="Z6007">
        <v>1.9615750000000001E-3</v>
      </c>
      <c r="AA6007">
        <v>0.99999680000000002</v>
      </c>
      <c r="AB6007">
        <v>19</v>
      </c>
      <c r="AC6007">
        <v>-0.93600000000000705</v>
      </c>
      <c r="AD6007">
        <v>-1.1204825088699999</v>
      </c>
      <c r="AE6007">
        <v>-108.43092</v>
      </c>
      <c r="AF6007">
        <v>-0.17755913314975499</v>
      </c>
      <c r="AG6007">
        <v>-1.1204825088699999</v>
      </c>
      <c r="AH6007">
        <v>108.423237457667</v>
      </c>
      <c r="AI6007">
        <v>90.592092146475906</v>
      </c>
      <c r="AJ6007">
        <v>90.093830253434604</v>
      </c>
      <c r="AK6007">
        <v>108.429172408075</v>
      </c>
      <c r="AL6007">
        <v>82.326616865919704</v>
      </c>
      <c r="AM6007">
        <v>85.118443652474298</v>
      </c>
      <c r="AN6007">
        <v>0.99999994156607896</v>
      </c>
    </row>
    <row r="6008" spans="1:40" x14ac:dyDescent="0.25">
      <c r="A6008" t="str">
        <f>"20190303162032179"</f>
        <v>20190303162032179</v>
      </c>
      <c r="B6008" t="str">
        <f>"1551601232167999"</f>
        <v>1551601232167999</v>
      </c>
      <c r="C6008" t="s">
        <v>40</v>
      </c>
      <c r="D6008">
        <v>4.5113649999999996</v>
      </c>
      <c r="E6008">
        <v>0.46857700000000002</v>
      </c>
      <c r="F6008" t="s">
        <v>41</v>
      </c>
      <c r="G6008">
        <v>-192.91890000000001</v>
      </c>
      <c r="H6008" s="1">
        <v>-9.681817E-7</v>
      </c>
      <c r="I6008">
        <v>90.035589999999999</v>
      </c>
      <c r="J6008">
        <v>-192.03229999999999</v>
      </c>
      <c r="K6008">
        <v>1.1204750000000001</v>
      </c>
      <c r="L6008">
        <v>176.9271</v>
      </c>
      <c r="M6008">
        <v>-1.1178810000000001E-2</v>
      </c>
      <c r="N6008">
        <v>-8.3709869999999999E-3</v>
      </c>
      <c r="O6008">
        <v>-0.99990259999999997</v>
      </c>
      <c r="P6008">
        <v>-9.5747680000000002E-2</v>
      </c>
      <c r="Q6008">
        <v>0.1257704</v>
      </c>
      <c r="R6008">
        <v>-0.98742819999999998</v>
      </c>
      <c r="S6008">
        <v>-3.1051639999999998E-2</v>
      </c>
      <c r="T6008">
        <v>-3.9109110000000002E-2</v>
      </c>
      <c r="U6008">
        <v>-3.0396420000000002</v>
      </c>
      <c r="V6008">
        <v>8.4858160000000002E-2</v>
      </c>
      <c r="W6008">
        <v>0.13394210000000001</v>
      </c>
      <c r="X6008">
        <v>0.98734929999999999</v>
      </c>
      <c r="Y6008">
        <v>-9.6425220000000004E-4</v>
      </c>
      <c r="Z6008">
        <v>4.4934789999999999E-3</v>
      </c>
      <c r="AA6008">
        <v>0.99998940000000003</v>
      </c>
      <c r="AB6008">
        <v>19</v>
      </c>
      <c r="AC6008">
        <v>-0.88660000000001504</v>
      </c>
      <c r="AD6008">
        <v>-1.1204759681817</v>
      </c>
      <c r="AE6008">
        <v>-86.891509999999997</v>
      </c>
      <c r="AF6008">
        <v>-8.4818894959988594E-2</v>
      </c>
      <c r="AG6008">
        <v>-1.1204759681817</v>
      </c>
      <c r="AH6008">
        <v>86.881546191883899</v>
      </c>
      <c r="AI6008">
        <v>90.738879053041401</v>
      </c>
      <c r="AJ6008">
        <v>90.055935504986493</v>
      </c>
      <c r="AK6008">
        <v>86.888812452079605</v>
      </c>
      <c r="AL6008">
        <v>82.302549014001201</v>
      </c>
      <c r="AM6008">
        <v>85.087760811764397</v>
      </c>
      <c r="AN6008">
        <v>1.0000000168407399</v>
      </c>
    </row>
    <row r="6009" spans="1:40" x14ac:dyDescent="0.25">
      <c r="A6009" t="str">
        <f>"20190303162032203"</f>
        <v>20190303162032203</v>
      </c>
      <c r="B6009" t="str">
        <f>"1551601232188494"</f>
        <v>1551601232188494</v>
      </c>
      <c r="C6009" t="s">
        <v>40</v>
      </c>
      <c r="D6009">
        <v>4.4841790000000001</v>
      </c>
      <c r="E6009">
        <v>0.4688889</v>
      </c>
      <c r="F6009" t="s">
        <v>41</v>
      </c>
      <c r="G6009">
        <v>-193.024</v>
      </c>
      <c r="H6009" s="1">
        <v>-2.2988400000000002E-6</v>
      </c>
      <c r="I6009">
        <v>93.072209999999998</v>
      </c>
      <c r="J6009">
        <v>-192.03559999999999</v>
      </c>
      <c r="K6009">
        <v>1.120474</v>
      </c>
      <c r="L6009">
        <v>176.72909999999999</v>
      </c>
      <c r="M6009">
        <v>-1.210453E-2</v>
      </c>
      <c r="N6009">
        <v>-8.3916080000000001E-3</v>
      </c>
      <c r="O6009">
        <v>-0.99989159999999999</v>
      </c>
      <c r="P6009">
        <v>-9.6729200000000001E-2</v>
      </c>
      <c r="Q6009">
        <v>0.12590460000000001</v>
      </c>
      <c r="R6009">
        <v>-0.98731550000000001</v>
      </c>
      <c r="S6009">
        <v>-3.5949710000000003E-2</v>
      </c>
      <c r="T6009">
        <v>-4.0619250000000003E-2</v>
      </c>
      <c r="U6009">
        <v>-3.0398860000000001</v>
      </c>
      <c r="V6009">
        <v>8.4926929999999998E-2</v>
      </c>
      <c r="W6009">
        <v>0.13409570000000001</v>
      </c>
      <c r="X6009">
        <v>0.98732249999999999</v>
      </c>
      <c r="Y6009">
        <v>-2.7991799999999999E-4</v>
      </c>
      <c r="Z6009">
        <v>4.9682390000000002E-3</v>
      </c>
      <c r="AA6009">
        <v>0.99998759999999998</v>
      </c>
      <c r="AB6009">
        <v>19</v>
      </c>
      <c r="AC6009">
        <v>-0.98840000000001205</v>
      </c>
      <c r="AD6009">
        <v>-1.1204762988400001</v>
      </c>
      <c r="AE6009">
        <v>-83.656889999999905</v>
      </c>
      <c r="AF6009">
        <v>-2.43309681313712E-2</v>
      </c>
      <c r="AG6009">
        <v>-1.1204762988400001</v>
      </c>
      <c r="AH6009">
        <v>83.647721595798401</v>
      </c>
      <c r="AI6009">
        <v>90.7674413565246</v>
      </c>
      <c r="AJ6009">
        <v>90.016665866319897</v>
      </c>
      <c r="AK6009">
        <v>83.6552292884341</v>
      </c>
      <c r="AL6009">
        <v>82.2936679784859</v>
      </c>
      <c r="AM6009">
        <v>85.083666589052399</v>
      </c>
      <c r="AN6009">
        <v>0.99999997960198195</v>
      </c>
    </row>
    <row r="6010" spans="1:40" x14ac:dyDescent="0.25">
      <c r="A6010" t="str">
        <f>"20190303162032224"</f>
        <v>20190303162032224</v>
      </c>
      <c r="B6010" t="str">
        <f>"1551601232218751"</f>
        <v>1551601232218751</v>
      </c>
      <c r="C6010" t="s">
        <v>40</v>
      </c>
      <c r="D6010">
        <v>4.5406879999999896</v>
      </c>
      <c r="E6010">
        <v>0.46892489999999998</v>
      </c>
      <c r="F6010" t="s">
        <v>41</v>
      </c>
      <c r="G6010">
        <v>-193.06049999999999</v>
      </c>
      <c r="H6010" s="1">
        <v>-1.3652479999999999E-6</v>
      </c>
      <c r="I6010">
        <v>100.8733</v>
      </c>
      <c r="J6010">
        <v>-192.03899999999999</v>
      </c>
      <c r="K6010">
        <v>1.120466</v>
      </c>
      <c r="L6010">
        <v>176.53720000000001</v>
      </c>
      <c r="M6010">
        <v>-1.3001540000000001E-2</v>
      </c>
      <c r="N6010">
        <v>-8.4126140000000005E-3</v>
      </c>
      <c r="O6010">
        <v>-0.9998804</v>
      </c>
      <c r="P6010">
        <v>-9.7703460000000006E-2</v>
      </c>
      <c r="Q6010">
        <v>0.12554709999999999</v>
      </c>
      <c r="R6010">
        <v>-0.98726550000000002</v>
      </c>
      <c r="S6010">
        <v>-4.1076660000000001E-2</v>
      </c>
      <c r="T6010">
        <v>-4.4907929999999999E-2</v>
      </c>
      <c r="U6010">
        <v>-3.0402529999999999</v>
      </c>
      <c r="V6010">
        <v>8.5015569999999999E-2</v>
      </c>
      <c r="W6010">
        <v>0.1337583</v>
      </c>
      <c r="X6010">
        <v>0.98736069999999998</v>
      </c>
      <c r="Y6010">
        <v>5.0743459999999995E-4</v>
      </c>
      <c r="Z6010">
        <v>6.3554819999999904E-3</v>
      </c>
      <c r="AA6010">
        <v>0.99997970000000003</v>
      </c>
      <c r="AB6010">
        <v>19</v>
      </c>
      <c r="AC6010">
        <v>-1.0214999999999701</v>
      </c>
      <c r="AD6010">
        <v>-1.1204673652479999</v>
      </c>
      <c r="AE6010">
        <v>-75.663899999999998</v>
      </c>
      <c r="AF6010">
        <v>3.76236770416453E-2</v>
      </c>
      <c r="AG6010">
        <v>-1.1204673652479999</v>
      </c>
      <c r="AH6010">
        <v>75.6541984374892</v>
      </c>
      <c r="AI6010">
        <v>90.848510079109701</v>
      </c>
      <c r="AJ6010">
        <v>89.971506171883902</v>
      </c>
      <c r="AK6010">
        <v>75.662504610121502</v>
      </c>
      <c r="AL6010">
        <v>82.313175786952897</v>
      </c>
      <c r="AM6010">
        <v>85.078749969101494</v>
      </c>
      <c r="AN6010">
        <v>1.0000000409329</v>
      </c>
    </row>
    <row r="6011" spans="1:40" x14ac:dyDescent="0.25">
      <c r="A6011" t="str">
        <f>"20190303162032247"</f>
        <v>20190303162032247</v>
      </c>
      <c r="B6011" t="str">
        <f>"1551601232238270"</f>
        <v>1551601232238270</v>
      </c>
      <c r="C6011" t="s">
        <v>40</v>
      </c>
      <c r="D6011">
        <v>4.5347730000000004</v>
      </c>
      <c r="E6011">
        <v>0.4688601</v>
      </c>
      <c r="F6011" t="s">
        <v>41</v>
      </c>
      <c r="G6011">
        <v>-193.0112</v>
      </c>
      <c r="H6011" s="1">
        <v>-4.6394930000000002E-6</v>
      </c>
      <c r="I6011">
        <v>109.0505</v>
      </c>
      <c r="J6011">
        <v>-192.04239999999999</v>
      </c>
      <c r="K6011">
        <v>1.1204620000000001</v>
      </c>
      <c r="L6011">
        <v>176.35299999999901</v>
      </c>
      <c r="M6011">
        <v>-1.3862050000000001E-2</v>
      </c>
      <c r="N6011">
        <v>-8.4311360000000005E-3</v>
      </c>
      <c r="O6011">
        <v>-0.9998686</v>
      </c>
      <c r="P6011">
        <v>-9.8645839999999999E-2</v>
      </c>
      <c r="Q6011">
        <v>0.1248623</v>
      </c>
      <c r="R6011">
        <v>-0.98725839999999998</v>
      </c>
      <c r="S6011">
        <v>-4.3807980000000003E-2</v>
      </c>
      <c r="T6011">
        <v>-5.0485969999999998E-2</v>
      </c>
      <c r="U6011">
        <v>-3.0408019999999998</v>
      </c>
      <c r="V6011">
        <v>8.5107299999999997E-2</v>
      </c>
      <c r="W6011">
        <v>0.1330924</v>
      </c>
      <c r="X6011">
        <v>0.98744270000000001</v>
      </c>
      <c r="Y6011">
        <v>5.4220349999999995E-4</v>
      </c>
      <c r="Z6011">
        <v>8.1675849999999998E-3</v>
      </c>
      <c r="AA6011">
        <v>0.99996649999999998</v>
      </c>
      <c r="AB6011">
        <v>19</v>
      </c>
      <c r="AC6011">
        <v>-0.96880000000001598</v>
      </c>
      <c r="AD6011">
        <v>-1.1204666394930001</v>
      </c>
      <c r="AE6011">
        <v>-67.302499999999895</v>
      </c>
      <c r="AF6011">
        <v>3.5713444681324001E-2</v>
      </c>
      <c r="AG6011">
        <v>-1.1204666394930001</v>
      </c>
      <c r="AH6011">
        <v>67.290816286825702</v>
      </c>
      <c r="AI6011">
        <v>90.953949912500093</v>
      </c>
      <c r="AJ6011">
        <v>89.969591252225698</v>
      </c>
      <c r="AK6011">
        <v>67.300153621575603</v>
      </c>
      <c r="AL6011">
        <v>82.351672654163707</v>
      </c>
      <c r="AM6011">
        <v>85.073873263640394</v>
      </c>
      <c r="AN6011">
        <v>0.99999996261716895</v>
      </c>
    </row>
    <row r="6012" spans="1:40" x14ac:dyDescent="0.25">
      <c r="A6012" t="str">
        <f>"20190303162032268"</f>
        <v>20190303162032268</v>
      </c>
      <c r="B6012" t="str">
        <f>"1551601232258767"</f>
        <v>1551601232258767</v>
      </c>
      <c r="C6012" t="s">
        <v>40</v>
      </c>
      <c r="D6012">
        <v>4.5761779999999996</v>
      </c>
      <c r="E6012">
        <v>0.46873979999999998</v>
      </c>
      <c r="F6012" t="s">
        <v>41</v>
      </c>
      <c r="G6012">
        <v>-192.9889</v>
      </c>
      <c r="H6012" s="1">
        <v>-2.5063180000000001E-6</v>
      </c>
      <c r="I6012">
        <v>113.5776</v>
      </c>
      <c r="J6012">
        <v>-192.0461</v>
      </c>
      <c r="K6012">
        <v>1.120463</v>
      </c>
      <c r="L6012">
        <v>176.1618</v>
      </c>
      <c r="M6012">
        <v>-1.475482E-2</v>
      </c>
      <c r="N6012">
        <v>-8.4534369999999994E-3</v>
      </c>
      <c r="O6012">
        <v>-0.99985550000000001</v>
      </c>
      <c r="P6012">
        <v>-0.1002977</v>
      </c>
      <c r="Q6012">
        <v>0.12501099999999901</v>
      </c>
      <c r="R6012">
        <v>-0.98707270000000003</v>
      </c>
      <c r="S6012">
        <v>-4.5852660000000003E-2</v>
      </c>
      <c r="T6012">
        <v>-5.4278140000000002E-2</v>
      </c>
      <c r="U6012">
        <v>-3.0409999999999999</v>
      </c>
      <c r="V6012">
        <v>8.5880189999999995E-2</v>
      </c>
      <c r="W6012">
        <v>0.13326060000000001</v>
      </c>
      <c r="X6012">
        <v>0.98735309999999998</v>
      </c>
      <c r="Y6012">
        <v>3.204309E-4</v>
      </c>
      <c r="Z6012">
        <v>9.3902180000000005E-3</v>
      </c>
      <c r="AA6012">
        <v>0.99995579999999995</v>
      </c>
      <c r="AB6012">
        <v>19</v>
      </c>
      <c r="AC6012">
        <v>-0.94280000000000497</v>
      </c>
      <c r="AD6012">
        <v>-1.120465506318</v>
      </c>
      <c r="AE6012">
        <v>-62.584200000000003</v>
      </c>
      <c r="AF6012">
        <v>1.9239679956685199E-2</v>
      </c>
      <c r="AG6012">
        <v>-1.120465506318</v>
      </c>
      <c r="AH6012">
        <v>62.571246686013197</v>
      </c>
      <c r="AI6012">
        <v>91.025887837349998</v>
      </c>
      <c r="AJ6012">
        <v>89.982382444264005</v>
      </c>
      <c r="AK6012">
        <v>62.581280946925702</v>
      </c>
      <c r="AL6012">
        <v>82.341948939218398</v>
      </c>
      <c r="AM6012">
        <v>85.028911645950799</v>
      </c>
      <c r="AN6012">
        <v>0.99999996931320201</v>
      </c>
    </row>
    <row r="6013" spans="1:40" x14ac:dyDescent="0.25">
      <c r="A6013" t="str">
        <f>"20190303162032290"</f>
        <v>20190303162032290</v>
      </c>
      <c r="B6013" t="str">
        <f>"1551601232278287"</f>
        <v>1551601232278287</v>
      </c>
      <c r="C6013" t="s">
        <v>40</v>
      </c>
      <c r="D6013">
        <v>4.5198150000000004</v>
      </c>
      <c r="E6013">
        <v>0.4687576</v>
      </c>
      <c r="F6013" t="s">
        <v>41</v>
      </c>
      <c r="G6013">
        <v>-193.0608</v>
      </c>
      <c r="H6013" s="1">
        <v>-3.0573890000000001E-6</v>
      </c>
      <c r="I6013">
        <v>114.8175</v>
      </c>
      <c r="J6013">
        <v>-192.05009999999999</v>
      </c>
      <c r="K6013">
        <v>1.1204609999999999</v>
      </c>
      <c r="L6013">
        <v>175.96379999999999</v>
      </c>
      <c r="M6013">
        <v>-1.5679180000000001E-2</v>
      </c>
      <c r="N6013">
        <v>-8.4798149999999999E-3</v>
      </c>
      <c r="O6013">
        <v>-0.99984119999999999</v>
      </c>
      <c r="P6013">
        <v>-0.10239189999999999</v>
      </c>
      <c r="Q6013">
        <v>0.12497469999999999</v>
      </c>
      <c r="R6013">
        <v>-0.98686249999999998</v>
      </c>
      <c r="S6013">
        <v>-5.0308230000000002E-2</v>
      </c>
      <c r="T6013">
        <v>-5.5548670000000001E-2</v>
      </c>
      <c r="U6013">
        <v>-3.041229</v>
      </c>
      <c r="V6013">
        <v>8.7064470000000005E-2</v>
      </c>
      <c r="W6013">
        <v>0.13324739999999999</v>
      </c>
      <c r="X6013">
        <v>0.9872512</v>
      </c>
      <c r="Y6013">
        <v>8.5928759999999904E-4</v>
      </c>
      <c r="Z6013">
        <v>9.7795799999999995E-3</v>
      </c>
      <c r="AA6013">
        <v>0.99995179999999995</v>
      </c>
      <c r="AB6013">
        <v>19</v>
      </c>
      <c r="AC6013">
        <v>-1.0107000000000099</v>
      </c>
      <c r="AD6013">
        <v>-1.1204640573889999</v>
      </c>
      <c r="AE6013">
        <v>-61.146299999999997</v>
      </c>
      <c r="AF6013">
        <v>5.1800126761823703E-2</v>
      </c>
      <c r="AG6013">
        <v>-1.1204640573889999</v>
      </c>
      <c r="AH6013">
        <v>61.134108476893303</v>
      </c>
      <c r="AI6013">
        <v>91.049997346237802</v>
      </c>
      <c r="AJ6013">
        <v>89.951452176119602</v>
      </c>
      <c r="AK6013">
        <v>61.144397472062799</v>
      </c>
      <c r="AL6013">
        <v>82.342712375691804</v>
      </c>
      <c r="AM6013">
        <v>84.960193927227095</v>
      </c>
      <c r="AN6013">
        <v>1.00000001172229</v>
      </c>
    </row>
    <row r="6014" spans="1:40" x14ac:dyDescent="0.25">
      <c r="A6014" t="str">
        <f>"20190303162032313"</f>
        <v>20190303162032313</v>
      </c>
      <c r="B6014" t="str">
        <f>"1551601232308543"</f>
        <v>1551601232308543</v>
      </c>
      <c r="C6014" t="s">
        <v>40</v>
      </c>
      <c r="D6014">
        <v>4.4914129999999997</v>
      </c>
      <c r="E6014">
        <v>0.46859060000000002</v>
      </c>
      <c r="F6014" t="s">
        <v>41</v>
      </c>
      <c r="G6014">
        <v>-193.15100000000001</v>
      </c>
      <c r="H6014" s="1">
        <v>-3.7784979999999999E-6</v>
      </c>
      <c r="I6014">
        <v>116.44759999999999</v>
      </c>
      <c r="J6014">
        <v>-192.05420000000001</v>
      </c>
      <c r="K6014">
        <v>1.1204609999999999</v>
      </c>
      <c r="L6014">
        <v>175.7689</v>
      </c>
      <c r="M6014">
        <v>-1.6589070000000001E-2</v>
      </c>
      <c r="N6014">
        <v>-8.5047539999999998E-3</v>
      </c>
      <c r="O6014">
        <v>-0.9998264</v>
      </c>
      <c r="P6014">
        <v>-0.1049278</v>
      </c>
      <c r="Q6014">
        <v>0.1245444</v>
      </c>
      <c r="R6014">
        <v>-0.98665060000000004</v>
      </c>
      <c r="S6014">
        <v>-5.6259160000000002E-2</v>
      </c>
      <c r="T6014">
        <v>-5.7257410000000002E-2</v>
      </c>
      <c r="U6014">
        <v>-3.0413670000000002</v>
      </c>
      <c r="V6014">
        <v>8.8704379999999999E-2</v>
      </c>
      <c r="W6014">
        <v>0.13283909999999999</v>
      </c>
      <c r="X6014">
        <v>0.98716020000000004</v>
      </c>
      <c r="Y6014">
        <v>1.904244E-3</v>
      </c>
      <c r="Z6014">
        <v>1.0314749999999999E-2</v>
      </c>
      <c r="AA6014">
        <v>0.99994499999999997</v>
      </c>
      <c r="AB6014">
        <v>19</v>
      </c>
      <c r="AC6014">
        <v>-1.09679999999997</v>
      </c>
      <c r="AD6014">
        <v>-1.120464778498</v>
      </c>
      <c r="AE6014">
        <v>-59.321300000000001</v>
      </c>
      <c r="AF6014">
        <v>0.11248832936075299</v>
      </c>
      <c r="AG6014">
        <v>-1.120464778498</v>
      </c>
      <c r="AH6014">
        <v>59.310179651042198</v>
      </c>
      <c r="AI6014">
        <v>91.082278830242103</v>
      </c>
      <c r="AJ6014">
        <v>89.891332334064401</v>
      </c>
      <c r="AK6014">
        <v>59.320869052829998</v>
      </c>
      <c r="AL6014">
        <v>82.366315807042298</v>
      </c>
      <c r="AM6014">
        <v>84.865298184382496</v>
      </c>
      <c r="AN6014">
        <v>0.99999997699201604</v>
      </c>
    </row>
    <row r="6015" spans="1:40" x14ac:dyDescent="0.25">
      <c r="A6015" t="str">
        <f>"20190303162032334"</f>
        <v>20190303162032334</v>
      </c>
      <c r="B6015" t="str">
        <f>"1551601232328063"</f>
        <v>1551601232328063</v>
      </c>
      <c r="C6015" t="s">
        <v>40</v>
      </c>
      <c r="D6015">
        <v>4.5027980000000003</v>
      </c>
      <c r="E6015">
        <v>0.46835949999999998</v>
      </c>
      <c r="F6015" t="s">
        <v>41</v>
      </c>
      <c r="G6015">
        <v>-193.2302</v>
      </c>
      <c r="H6015" s="1">
        <v>-4.7120440000000003E-6</v>
      </c>
      <c r="I6015">
        <v>119.14960000000001</v>
      </c>
      <c r="J6015">
        <v>-192.05850000000001</v>
      </c>
      <c r="K6015">
        <v>1.12046</v>
      </c>
      <c r="L6015">
        <v>175.57560000000001</v>
      </c>
      <c r="M6015">
        <v>-1.7491929999999999E-2</v>
      </c>
      <c r="N6015">
        <v>-8.5261179999999992E-3</v>
      </c>
      <c r="O6015">
        <v>-0.99981089999999995</v>
      </c>
      <c r="P6015">
        <v>-0.1075048</v>
      </c>
      <c r="Q6015">
        <v>0.1248489</v>
      </c>
      <c r="R6015">
        <v>-0.98633470000000001</v>
      </c>
      <c r="S6015">
        <v>-6.3171389999999994E-2</v>
      </c>
      <c r="T6015">
        <v>-6.0188770000000003E-2</v>
      </c>
      <c r="U6015">
        <v>-3.041458</v>
      </c>
      <c r="V6015">
        <v>9.0395260000000005E-2</v>
      </c>
      <c r="W6015">
        <v>0.13316</v>
      </c>
      <c r="X6015">
        <v>0.98696360000000005</v>
      </c>
      <c r="Y6015">
        <v>3.2719379999999998E-3</v>
      </c>
      <c r="Z6015">
        <v>1.125523E-2</v>
      </c>
      <c r="AA6015">
        <v>0.99993129999999997</v>
      </c>
      <c r="AB6015">
        <v>19</v>
      </c>
      <c r="AC6015">
        <v>-1.17169999999998</v>
      </c>
      <c r="AD6015">
        <v>-1.1204647120440001</v>
      </c>
      <c r="AE6015">
        <v>-56.426000000000002</v>
      </c>
      <c r="AF6015">
        <v>0.184412764619902</v>
      </c>
      <c r="AG6015">
        <v>-1.1204647120440001</v>
      </c>
      <c r="AH6015">
        <v>56.415626825904603</v>
      </c>
      <c r="AI6015">
        <v>91.137789665629995</v>
      </c>
      <c r="AJ6015">
        <v>89.812710838074494</v>
      </c>
      <c r="AK6015">
        <v>56.427053789812703</v>
      </c>
      <c r="AL6015">
        <v>82.347765102473005</v>
      </c>
      <c r="AM6015">
        <v>84.766922415247606</v>
      </c>
      <c r="AN6015">
        <v>1.00000001817771</v>
      </c>
    </row>
    <row r="6016" spans="1:40" x14ac:dyDescent="0.25">
      <c r="A6016" t="str">
        <f>"20190303162032357"</f>
        <v>20190303162032357</v>
      </c>
      <c r="B6016" t="str">
        <f>"1551601232348559"</f>
        <v>1551601232348559</v>
      </c>
      <c r="C6016" t="s">
        <v>40</v>
      </c>
      <c r="D6016">
        <v>4.477023</v>
      </c>
      <c r="E6016">
        <v>0.46813890000000002</v>
      </c>
      <c r="F6016" t="s">
        <v>41</v>
      </c>
      <c r="G6016">
        <v>-193.34819999999999</v>
      </c>
      <c r="H6016" s="1">
        <v>-4.8291269999999997E-6</v>
      </c>
      <c r="I6016">
        <v>119.43219999999999</v>
      </c>
      <c r="J6016">
        <v>-192.06290000000001</v>
      </c>
      <c r="K6016">
        <v>1.1204620000000001</v>
      </c>
      <c r="L6016">
        <v>175.38229999999999</v>
      </c>
      <c r="M6016">
        <v>-1.8394049999999999E-2</v>
      </c>
      <c r="N6016">
        <v>-8.5448209999999993E-3</v>
      </c>
      <c r="O6016">
        <v>-0.99979470000000004</v>
      </c>
      <c r="P6016">
        <v>-0.1091221</v>
      </c>
      <c r="Q6016">
        <v>0.12478359999999999</v>
      </c>
      <c r="R6016">
        <v>-0.98616559999999998</v>
      </c>
      <c r="S6016">
        <v>-6.9870000000000002E-2</v>
      </c>
      <c r="T6016">
        <v>-6.070292E-2</v>
      </c>
      <c r="U6016">
        <v>-3.0416560000000001</v>
      </c>
      <c r="V6016">
        <v>9.112468E-2</v>
      </c>
      <c r="W6016">
        <v>0.13311129999999999</v>
      </c>
      <c r="X6016">
        <v>0.98690310000000003</v>
      </c>
      <c r="Y6016">
        <v>4.5691730000000002E-3</v>
      </c>
      <c r="Z6016">
        <v>1.1403379999999999E-2</v>
      </c>
      <c r="AA6016">
        <v>0.99992449999999999</v>
      </c>
      <c r="AB6016">
        <v>20</v>
      </c>
      <c r="AC6016">
        <v>-1.2852999999999699</v>
      </c>
      <c r="AD6016">
        <v>-1.1204668291269999</v>
      </c>
      <c r="AE6016">
        <v>-55.9500999999999</v>
      </c>
      <c r="AF6016">
        <v>0.25579389967515898</v>
      </c>
      <c r="AG6016">
        <v>-1.1204668291269999</v>
      </c>
      <c r="AH6016">
        <v>55.941852602763603</v>
      </c>
      <c r="AI6016">
        <v>91.147419399671804</v>
      </c>
      <c r="AJ6016">
        <v>89.738017100696098</v>
      </c>
      <c r="AK6016">
        <v>55.953657155396101</v>
      </c>
      <c r="AL6016">
        <v>82.350580538752197</v>
      </c>
      <c r="AM6016">
        <v>84.724611236483995</v>
      </c>
      <c r="AN6016">
        <v>1.0000000271412</v>
      </c>
    </row>
    <row r="6017" spans="1:40" x14ac:dyDescent="0.25">
      <c r="A6017" t="str">
        <f>"20190303162032380"</f>
        <v>20190303162032380</v>
      </c>
      <c r="B6017" t="str">
        <f>"1551601232368079"</f>
        <v>1551601232368079</v>
      </c>
      <c r="C6017" t="s">
        <v>40</v>
      </c>
      <c r="D6017">
        <v>4.4863099999999996</v>
      </c>
      <c r="E6017">
        <v>0.46786319999999998</v>
      </c>
      <c r="F6017" t="s">
        <v>41</v>
      </c>
      <c r="G6017">
        <v>-193.44569999999999</v>
      </c>
      <c r="H6017" s="1">
        <v>-4.47956E-6</v>
      </c>
      <c r="I6017">
        <v>118.3541</v>
      </c>
      <c r="J6017">
        <v>-192.06780000000001</v>
      </c>
      <c r="K6017">
        <v>1.120449</v>
      </c>
      <c r="L6017">
        <v>175.17740000000001</v>
      </c>
      <c r="M6017">
        <v>-1.935065E-2</v>
      </c>
      <c r="N6017">
        <v>-8.5631619999999992E-3</v>
      </c>
      <c r="O6017">
        <v>-0.99977629999999995</v>
      </c>
      <c r="P6017">
        <v>-0.1099716</v>
      </c>
      <c r="Q6017">
        <v>0.1247683</v>
      </c>
      <c r="R6017">
        <v>-0.98607290000000003</v>
      </c>
      <c r="S6017">
        <v>-7.3745729999999995E-2</v>
      </c>
      <c r="T6017">
        <v>-5.9757589999999999E-2</v>
      </c>
      <c r="U6017">
        <v>-3.0414729999999999</v>
      </c>
      <c r="V6017">
        <v>9.1031379999999995E-2</v>
      </c>
      <c r="W6017">
        <v>0.13311319999999999</v>
      </c>
      <c r="X6017">
        <v>0.98691139999999999</v>
      </c>
      <c r="Y6017">
        <v>4.8872949999999998E-3</v>
      </c>
      <c r="Z6017">
        <v>1.1075049999999999E-2</v>
      </c>
      <c r="AA6017">
        <v>0.99992669999999995</v>
      </c>
      <c r="AB6017">
        <v>20</v>
      </c>
      <c r="AC6017">
        <v>-1.3778999999999799</v>
      </c>
      <c r="AD6017">
        <v>-1.1204534795600001</v>
      </c>
      <c r="AE6017">
        <v>-56.823300000000003</v>
      </c>
      <c r="AF6017">
        <v>0.27792611218840002</v>
      </c>
      <c r="AG6017">
        <v>-1.1204534795600001</v>
      </c>
      <c r="AH6017">
        <v>56.817245789495203</v>
      </c>
      <c r="AI6017">
        <v>91.129730365122697</v>
      </c>
      <c r="AJ6017">
        <v>89.719735337079101</v>
      </c>
      <c r="AK6017">
        <v>56.828972171134701</v>
      </c>
      <c r="AL6017">
        <v>82.350470288866802</v>
      </c>
      <c r="AM6017">
        <v>84.730026202546597</v>
      </c>
      <c r="AN6017">
        <v>0.99999997380445105</v>
      </c>
    </row>
    <row r="6018" spans="1:40" x14ac:dyDescent="0.25">
      <c r="A6018" t="str">
        <f>"20190303162032403"</f>
        <v>20190303162032403</v>
      </c>
      <c r="B6018" t="str">
        <f>"1551601232398335"</f>
        <v>1551601232398335</v>
      </c>
      <c r="C6018" t="s">
        <v>40</v>
      </c>
      <c r="D6018">
        <v>4.4233539999999998</v>
      </c>
      <c r="E6018">
        <v>0.46738429999999997</v>
      </c>
      <c r="F6018" t="s">
        <v>41</v>
      </c>
      <c r="G6018">
        <v>-193.4451</v>
      </c>
      <c r="H6018" s="1">
        <v>-4.6113960000000003E-6</v>
      </c>
      <c r="I6018">
        <v>118.7418</v>
      </c>
      <c r="J6018">
        <v>-192.0727</v>
      </c>
      <c r="K6018">
        <v>1.120449</v>
      </c>
      <c r="L6018">
        <v>174.9795</v>
      </c>
      <c r="M6018">
        <v>-2.0273909999999999E-2</v>
      </c>
      <c r="N6018">
        <v>-8.5794359999999993E-3</v>
      </c>
      <c r="O6018">
        <v>-0.99975769999999997</v>
      </c>
      <c r="P6018">
        <v>-0.1104743</v>
      </c>
      <c r="Q6018">
        <v>0.12504660000000001</v>
      </c>
      <c r="R6018">
        <v>-0.985981</v>
      </c>
      <c r="S6018">
        <v>-7.4234010000000003E-2</v>
      </c>
      <c r="T6018">
        <v>-6.0390230000000003E-2</v>
      </c>
      <c r="U6018">
        <v>-3.041763</v>
      </c>
      <c r="V6018">
        <v>9.0624609999999994E-2</v>
      </c>
      <c r="W6018">
        <v>0.1334081</v>
      </c>
      <c r="X6018">
        <v>0.98690900000000004</v>
      </c>
      <c r="Y6018">
        <v>4.1219710000000003E-3</v>
      </c>
      <c r="Z6018">
        <v>1.126427E-2</v>
      </c>
      <c r="AA6018">
        <v>0.99992809999999999</v>
      </c>
      <c r="AB6018">
        <v>20</v>
      </c>
      <c r="AC6018">
        <v>-1.3723999999999901</v>
      </c>
      <c r="AD6018">
        <v>-1.120453611396</v>
      </c>
      <c r="AE6018">
        <v>-56.237699999999997</v>
      </c>
      <c r="AF6018">
        <v>0.23182595548073701</v>
      </c>
      <c r="AG6018">
        <v>-1.120453611396</v>
      </c>
      <c r="AH6018">
        <v>56.231657458301299</v>
      </c>
      <c r="AI6018">
        <v>91.141496205543405</v>
      </c>
      <c r="AJ6018">
        <v>89.763788332436903</v>
      </c>
      <c r="AK6018">
        <v>56.2432970235268</v>
      </c>
      <c r="AL6018">
        <v>82.333421582760494</v>
      </c>
      <c r="AM6018">
        <v>84.753430468588903</v>
      </c>
      <c r="AN6018">
        <v>0.99999995768213001</v>
      </c>
    </row>
    <row r="6019" spans="1:40" x14ac:dyDescent="0.25">
      <c r="A6019" t="str">
        <f>"20190303162032425"</f>
        <v>20190303162032425</v>
      </c>
      <c r="B6019" t="str">
        <f>"1551601232418831"</f>
        <v>1551601232418831</v>
      </c>
      <c r="C6019" t="s">
        <v>40</v>
      </c>
      <c r="D6019">
        <v>4.3572069999999998</v>
      </c>
      <c r="E6019">
        <v>0.46705469999999999</v>
      </c>
      <c r="F6019" t="s">
        <v>41</v>
      </c>
      <c r="G6019">
        <v>-193.42609999999999</v>
      </c>
      <c r="H6019" s="1">
        <v>-4.104768E-6</v>
      </c>
      <c r="I6019">
        <v>117.26300000000001</v>
      </c>
      <c r="J6019">
        <v>-192.0778</v>
      </c>
      <c r="K6019">
        <v>1.1204459999999901</v>
      </c>
      <c r="L6019">
        <v>174.78129999999999</v>
      </c>
      <c r="M6019">
        <v>-2.119776E-2</v>
      </c>
      <c r="N6019">
        <v>-8.5982699999999999E-3</v>
      </c>
      <c r="O6019">
        <v>-0.99973860000000003</v>
      </c>
      <c r="P6019">
        <v>-0.11115029999999999</v>
      </c>
      <c r="Q6019">
        <v>0.12555630000000001</v>
      </c>
      <c r="R6019">
        <v>-0.98584090000000002</v>
      </c>
      <c r="S6019">
        <v>-7.1334839999999997E-2</v>
      </c>
      <c r="T6019">
        <v>-5.9056999999999998E-2</v>
      </c>
      <c r="U6019">
        <v>-3.0421299999999998</v>
      </c>
      <c r="V6019">
        <v>9.0391920000000001E-2</v>
      </c>
      <c r="W6019">
        <v>0.13393550000000001</v>
      </c>
      <c r="X6019">
        <v>0.98685900000000004</v>
      </c>
      <c r="Y6019">
        <v>2.2429239999999999E-3</v>
      </c>
      <c r="Z6019">
        <v>1.0804930000000001E-2</v>
      </c>
      <c r="AA6019">
        <v>0.99993909999999997</v>
      </c>
      <c r="AB6019">
        <v>20</v>
      </c>
      <c r="AC6019">
        <v>-1.3482999999999901</v>
      </c>
      <c r="AD6019">
        <v>-1.12045010476799</v>
      </c>
      <c r="AE6019">
        <v>-57.518300000000004</v>
      </c>
      <c r="AF6019">
        <v>0.128644368273237</v>
      </c>
      <c r="AG6019">
        <v>-1.12045010476799</v>
      </c>
      <c r="AH6019">
        <v>57.512144884188402</v>
      </c>
      <c r="AI6019">
        <v>91.116090899698605</v>
      </c>
      <c r="AJ6019">
        <v>89.871839816057005</v>
      </c>
      <c r="AK6019">
        <v>57.523201988333703</v>
      </c>
      <c r="AL6019">
        <v>82.30293087375</v>
      </c>
      <c r="AM6019">
        <v>84.766563129188</v>
      </c>
      <c r="AN6019">
        <v>1.0000000516212599</v>
      </c>
    </row>
    <row r="6020" spans="1:40" x14ac:dyDescent="0.25">
      <c r="A6020" t="str">
        <f>"20190303162032447"</f>
        <v>20190303162032447</v>
      </c>
      <c r="B6020" t="str">
        <f>"1551601232438351"</f>
        <v>1551601232438351</v>
      </c>
      <c r="C6020" t="s">
        <v>40</v>
      </c>
      <c r="D6020">
        <v>4.3734970000000004</v>
      </c>
      <c r="E6020">
        <v>0.46677819999999998</v>
      </c>
      <c r="F6020" t="s">
        <v>41</v>
      </c>
      <c r="G6020">
        <v>-193.46379999999999</v>
      </c>
      <c r="H6020" s="1">
        <v>-3.2668350000000001E-6</v>
      </c>
      <c r="I6020">
        <v>115.0558</v>
      </c>
      <c r="J6020">
        <v>-192.0829</v>
      </c>
      <c r="K6020">
        <v>1.1204480000000001</v>
      </c>
      <c r="L6020">
        <v>174.5907</v>
      </c>
      <c r="M6020">
        <v>-2.2086709999999999E-2</v>
      </c>
      <c r="N6020">
        <v>-8.6197719999999995E-3</v>
      </c>
      <c r="O6020">
        <v>-0.99971880000000002</v>
      </c>
      <c r="P6020">
        <v>-0.1118442</v>
      </c>
      <c r="Q6020">
        <v>0.1252741</v>
      </c>
      <c r="R6020">
        <v>-0.9857979</v>
      </c>
      <c r="S6020">
        <v>-7.0602419999999999E-2</v>
      </c>
      <c r="T6020">
        <v>-5.707574E-2</v>
      </c>
      <c r="U6020">
        <v>-3.0424190000000002</v>
      </c>
      <c r="V6020">
        <v>9.0208529999999995E-2</v>
      </c>
      <c r="W6020">
        <v>0.1336746</v>
      </c>
      <c r="X6020">
        <v>0.98691110000000004</v>
      </c>
      <c r="Y6020">
        <v>1.111199E-3</v>
      </c>
      <c r="Z6020">
        <v>1.013055E-2</v>
      </c>
      <c r="AA6020">
        <v>0.99994810000000001</v>
      </c>
      <c r="AB6020">
        <v>20</v>
      </c>
      <c r="AC6020">
        <v>-1.38089999999999</v>
      </c>
      <c r="AD6020">
        <v>-1.120451266835</v>
      </c>
      <c r="AE6020">
        <v>-59.534899999999901</v>
      </c>
      <c r="AF6020">
        <v>6.5560853878504993E-2</v>
      </c>
      <c r="AG6020">
        <v>-1.120451266835</v>
      </c>
      <c r="AH6020">
        <v>59.529802747423403</v>
      </c>
      <c r="AI6020">
        <v>91.078275212304703</v>
      </c>
      <c r="AJ6020">
        <v>89.936899527018895</v>
      </c>
      <c r="AK6020">
        <v>59.540382299864802</v>
      </c>
      <c r="AL6020">
        <v>82.318014572093901</v>
      </c>
      <c r="AM6020">
        <v>84.777396308010694</v>
      </c>
      <c r="AN6020">
        <v>0.99999999843656495</v>
      </c>
    </row>
    <row r="6021" spans="1:40" x14ac:dyDescent="0.25">
      <c r="A6021" t="str">
        <f>"20190303162032457"</f>
        <v>20190303162032457</v>
      </c>
      <c r="B6021" t="str">
        <f>"1551601232449087"</f>
        <v>1551601232449087</v>
      </c>
      <c r="C6021" t="s">
        <v>40</v>
      </c>
      <c r="D6021">
        <v>4.3669149999999997</v>
      </c>
      <c r="E6021">
        <v>0.46666180000000002</v>
      </c>
      <c r="F6021" t="s">
        <v>41</v>
      </c>
      <c r="G6021">
        <v>-193.45410000000001</v>
      </c>
      <c r="H6021" s="1">
        <v>-3.2681429999999998E-6</v>
      </c>
      <c r="I6021">
        <v>115.06489999999999</v>
      </c>
      <c r="J6021">
        <v>-192.08580000000001</v>
      </c>
      <c r="K6021">
        <v>1.1204419999999999</v>
      </c>
      <c r="L6021">
        <v>174.4853</v>
      </c>
      <c r="M6021">
        <v>-2.257793E-2</v>
      </c>
      <c r="N6021">
        <v>-8.6313840000000006E-3</v>
      </c>
      <c r="O6021">
        <v>-0.99970789999999998</v>
      </c>
      <c r="P6021">
        <v>-0.1124102</v>
      </c>
      <c r="Q6021">
        <v>0.1247405</v>
      </c>
      <c r="R6021">
        <v>-0.98580109999999999</v>
      </c>
      <c r="S6021">
        <v>-7.0083619999999999E-2</v>
      </c>
      <c r="T6021">
        <v>-5.7269929999999997E-2</v>
      </c>
      <c r="U6021">
        <v>-3.042557</v>
      </c>
      <c r="V6021">
        <v>9.0288640000000003E-2</v>
      </c>
      <c r="W6021">
        <v>0.133152399999999</v>
      </c>
      <c r="X6021">
        <v>0.98697440000000003</v>
      </c>
      <c r="Y6021">
        <v>4.4843759999999998E-4</v>
      </c>
      <c r="Z6021">
        <v>1.0181630000000001E-2</v>
      </c>
      <c r="AA6021">
        <v>0.99994810000000001</v>
      </c>
      <c r="AB6021">
        <v>20</v>
      </c>
      <c r="AC6021">
        <v>-1.3683000000000001</v>
      </c>
      <c r="AD6021">
        <v>-1.1204452681429999</v>
      </c>
      <c r="AE6021">
        <v>-59.420400000000001</v>
      </c>
      <c r="AF6021">
        <v>2.6302318938449899E-2</v>
      </c>
      <c r="AG6021">
        <v>-1.1204452681429999</v>
      </c>
      <c r="AH6021">
        <v>59.415032035636102</v>
      </c>
      <c r="AI6021">
        <v>91.080352366164405</v>
      </c>
      <c r="AJ6021">
        <v>89.974635850280507</v>
      </c>
      <c r="AK6021">
        <v>59.425601563691004</v>
      </c>
      <c r="AL6021">
        <v>82.348204578478601</v>
      </c>
      <c r="AM6021">
        <v>84.773117430457205</v>
      </c>
      <c r="AN6021">
        <v>1.00000003319708</v>
      </c>
    </row>
    <row r="6022" spans="1:40" x14ac:dyDescent="0.25">
      <c r="A6022" t="str">
        <f>"20190303162032470"</f>
        <v>20190303162032470</v>
      </c>
      <c r="B6022" t="str">
        <f>"1551601232458847"</f>
        <v>1551601232458847</v>
      </c>
      <c r="C6022" t="s">
        <v>40</v>
      </c>
      <c r="D6022">
        <v>4.3673799999999998</v>
      </c>
      <c r="E6022">
        <v>0.46653299999999998</v>
      </c>
      <c r="F6022" t="s">
        <v>41</v>
      </c>
      <c r="G6022">
        <v>-193.44059999999999</v>
      </c>
      <c r="H6022" s="1">
        <v>-3.802645E-6</v>
      </c>
      <c r="I6022">
        <v>116.3676</v>
      </c>
      <c r="J6022">
        <v>-192.08860000000001</v>
      </c>
      <c r="K6022">
        <v>1.1204350000000001</v>
      </c>
      <c r="L6022">
        <v>174.3843</v>
      </c>
      <c r="M6022">
        <v>-2.3048840000000001E-2</v>
      </c>
      <c r="N6022">
        <v>-8.6418769999999992E-3</v>
      </c>
      <c r="O6022">
        <v>-0.99969710000000001</v>
      </c>
      <c r="P6022">
        <v>-0.1128753</v>
      </c>
      <c r="Q6022">
        <v>0.1237528</v>
      </c>
      <c r="R6022">
        <v>-0.98587279999999999</v>
      </c>
      <c r="S6022">
        <v>-7.0922849999999996E-2</v>
      </c>
      <c r="T6022">
        <v>-5.8656930000000003E-2</v>
      </c>
      <c r="U6022">
        <v>-3.0425420000000001</v>
      </c>
      <c r="V6022">
        <v>9.0285799999999999E-2</v>
      </c>
      <c r="W6022">
        <v>0.13217599999999999</v>
      </c>
      <c r="X6022">
        <v>0.98710580000000003</v>
      </c>
      <c r="Y6022">
        <v>2.5308580000000001E-4</v>
      </c>
      <c r="Z6022">
        <v>1.062638E-2</v>
      </c>
      <c r="AA6022">
        <v>0.99994349999999999</v>
      </c>
      <c r="AB6022">
        <v>20</v>
      </c>
      <c r="AC6022">
        <v>-1.3519999999999699</v>
      </c>
      <c r="AD6022">
        <v>-1.1204388026450001</v>
      </c>
      <c r="AE6022">
        <v>-58.0167</v>
      </c>
      <c r="AF6022">
        <v>1.4368022809572299E-2</v>
      </c>
      <c r="AG6022">
        <v>-1.1204388026450001</v>
      </c>
      <c r="AH6022">
        <v>58.010824967569697</v>
      </c>
      <c r="AI6022">
        <v>91.106490586653507</v>
      </c>
      <c r="AJ6022">
        <v>89.985809078726902</v>
      </c>
      <c r="AK6022">
        <v>58.021645986377898</v>
      </c>
      <c r="AL6022">
        <v>82.404646362916495</v>
      </c>
      <c r="AM6022">
        <v>84.773972839154794</v>
      </c>
      <c r="AN6022">
        <v>0.99999994052563801</v>
      </c>
    </row>
    <row r="6023" spans="1:40" x14ac:dyDescent="0.25">
      <c r="A6023" t="str">
        <f>"20190303162032482"</f>
        <v>20190303162032482</v>
      </c>
      <c r="B6023" t="str">
        <f>"1551601232468607"</f>
        <v>1551601232468607</v>
      </c>
      <c r="C6023" t="s">
        <v>40</v>
      </c>
      <c r="D6023">
        <v>4.3767420000000001</v>
      </c>
      <c r="E6023">
        <v>0.46653299999999998</v>
      </c>
      <c r="F6023" t="s">
        <v>41</v>
      </c>
      <c r="G6023">
        <v>-193.39349999999999</v>
      </c>
      <c r="H6023" s="1">
        <v>-4.6057139999999998E-6</v>
      </c>
      <c r="I6023">
        <v>118.752</v>
      </c>
      <c r="J6023">
        <v>-192.09180000000001</v>
      </c>
      <c r="K6023">
        <v>1.1204270000000001</v>
      </c>
      <c r="L6023">
        <v>174.27359999999999</v>
      </c>
      <c r="M6023">
        <v>-2.3565039999999999E-2</v>
      </c>
      <c r="N6023">
        <v>-8.6524569999999901E-3</v>
      </c>
      <c r="O6023">
        <v>-0.99968500000000005</v>
      </c>
      <c r="P6023">
        <v>-0.1139952</v>
      </c>
      <c r="Q6023">
        <v>0.12278890000000001</v>
      </c>
      <c r="R6023">
        <v>-0.98586450000000003</v>
      </c>
      <c r="S6023">
        <v>-7.1365360000000003E-2</v>
      </c>
      <c r="T6023">
        <v>-6.1276789999999998E-2</v>
      </c>
      <c r="U6023">
        <v>-3.0425260000000001</v>
      </c>
      <c r="V6023">
        <v>9.0894559999999999E-2</v>
      </c>
      <c r="W6023">
        <v>0.13122210000000001</v>
      </c>
      <c r="X6023">
        <v>0.98717730000000004</v>
      </c>
      <c r="Y6023">
        <v>-1.1797519999999999E-4</v>
      </c>
      <c r="Z6023">
        <v>1.14758E-2</v>
      </c>
      <c r="AA6023">
        <v>0.99993410000000005</v>
      </c>
      <c r="AB6023">
        <v>20</v>
      </c>
      <c r="AC6023">
        <v>-1.3016999999999801</v>
      </c>
      <c r="AD6023">
        <v>-1.120431605714</v>
      </c>
      <c r="AE6023">
        <v>-55.5215999999999</v>
      </c>
      <c r="AF6023">
        <v>-7.0761442984113004E-3</v>
      </c>
      <c r="AG6023">
        <v>-1.120431605714</v>
      </c>
      <c r="AH6023">
        <v>55.514261567925097</v>
      </c>
      <c r="AI6023">
        <v>91.156230586743007</v>
      </c>
      <c r="AJ6023">
        <v>90.007303226051704</v>
      </c>
      <c r="AK6023">
        <v>55.525567574648903</v>
      </c>
      <c r="AL6023">
        <v>82.459781812422307</v>
      </c>
      <c r="AM6023">
        <v>84.739311878512694</v>
      </c>
      <c r="AN6023">
        <v>1.00000004110064</v>
      </c>
    </row>
    <row r="6024" spans="1:40" x14ac:dyDescent="0.25">
      <c r="A6024" t="str">
        <f>"20190303162032495"</f>
        <v>20190303162032495</v>
      </c>
      <c r="B6024" t="str">
        <f>"1551601232488127"</f>
        <v>1551601232488127</v>
      </c>
      <c r="C6024" t="s">
        <v>40</v>
      </c>
      <c r="D6024">
        <v>4.3327819999999999</v>
      </c>
      <c r="E6024">
        <v>0.45059510000000003</v>
      </c>
      <c r="F6024" t="s">
        <v>50</v>
      </c>
      <c r="G6024">
        <v>-193.39279999999999</v>
      </c>
      <c r="H6024" s="1">
        <v>-1.7471749999999999E-6</v>
      </c>
      <c r="I6024">
        <v>121.1362</v>
      </c>
      <c r="J6024">
        <v>-192.0951</v>
      </c>
      <c r="K6024">
        <v>1.1204209999999999</v>
      </c>
      <c r="L6024">
        <v>174.1575</v>
      </c>
      <c r="M6024">
        <v>-2.4105769999999999E-2</v>
      </c>
      <c r="N6024">
        <v>-8.6623369999999904E-3</v>
      </c>
      <c r="O6024">
        <v>-0.99967209999999995</v>
      </c>
      <c r="P6024">
        <v>-0.1148049</v>
      </c>
      <c r="Q6024">
        <v>0.1223006</v>
      </c>
      <c r="R6024">
        <v>-0.98583120000000002</v>
      </c>
      <c r="S6024">
        <v>-7.4493409999999996E-2</v>
      </c>
      <c r="T6024">
        <v>-6.4149979999999995E-2</v>
      </c>
      <c r="U6024">
        <v>-3.0423740000000001</v>
      </c>
      <c r="V6024">
        <v>9.1170200000000007E-2</v>
      </c>
      <c r="W6024">
        <v>0.1307432</v>
      </c>
      <c r="X6024">
        <v>0.98721539999999997</v>
      </c>
      <c r="Y6024">
        <v>3.6946659999999998E-4</v>
      </c>
      <c r="Z6024">
        <v>1.240983E-2</v>
      </c>
      <c r="AA6024">
        <v>0.99992289999999995</v>
      </c>
      <c r="AB6024">
        <v>20</v>
      </c>
      <c r="AC6024">
        <v>-1.2976999999999901</v>
      </c>
      <c r="AD6024">
        <v>-1.1204227471749999</v>
      </c>
      <c r="AE6024">
        <v>-53.021299999999997</v>
      </c>
      <c r="AF6024">
        <v>1.91473908294344E-2</v>
      </c>
      <c r="AG6024">
        <v>-1.1204227471749999</v>
      </c>
      <c r="AH6024">
        <v>53.0135161801688</v>
      </c>
      <c r="AI6024">
        <v>91.210746608269901</v>
      </c>
      <c r="AJ6024">
        <v>89.979305944699405</v>
      </c>
      <c r="AK6024">
        <v>53.025358193415201</v>
      </c>
      <c r="AL6024">
        <v>82.4874590349051</v>
      </c>
      <c r="AM6024">
        <v>84.723651115517896</v>
      </c>
      <c r="AN6024">
        <v>1.00000001785571</v>
      </c>
    </row>
    <row r="6025" spans="1:40" x14ac:dyDescent="0.25">
      <c r="A6025" t="str">
        <f>"20190303162032508"</f>
        <v>20190303162032508</v>
      </c>
      <c r="B6025" t="str">
        <f>"1551601232498863"</f>
        <v>1551601232498863</v>
      </c>
      <c r="C6025" t="s">
        <v>40</v>
      </c>
      <c r="D6025">
        <v>4.3430150000000003</v>
      </c>
      <c r="E6025">
        <v>0.44875039999999999</v>
      </c>
      <c r="F6025" t="s">
        <v>50</v>
      </c>
      <c r="G6025">
        <v>-191.47219999999999</v>
      </c>
      <c r="H6025" s="1">
        <v>-6.9431609999999998E-6</v>
      </c>
      <c r="I6025">
        <v>135.4751</v>
      </c>
      <c r="J6025">
        <v>-192.0985</v>
      </c>
      <c r="K6025">
        <v>1.120422</v>
      </c>
      <c r="L6025">
        <v>174.0412</v>
      </c>
      <c r="M6025">
        <v>-2.4647809999999999E-2</v>
      </c>
      <c r="N6025">
        <v>-8.6717510000000001E-3</v>
      </c>
      <c r="O6025">
        <v>-0.99965879999999996</v>
      </c>
      <c r="P6025">
        <v>-0.1158396</v>
      </c>
      <c r="Q6025">
        <v>0.12138649999999999</v>
      </c>
      <c r="R6025">
        <v>-0.98582320000000001</v>
      </c>
      <c r="S6025">
        <v>4.9270630000000003E-2</v>
      </c>
      <c r="T6025">
        <v>-8.862805E-2</v>
      </c>
      <c r="U6025">
        <v>-3.05986</v>
      </c>
      <c r="V6025">
        <v>9.1668310000000003E-2</v>
      </c>
      <c r="W6025">
        <v>0.12983829999999999</v>
      </c>
      <c r="X6025">
        <v>0.98728870000000002</v>
      </c>
      <c r="Y6025">
        <v>-4.0730860000000001E-2</v>
      </c>
      <c r="Z6025">
        <v>2.0254600000000001E-2</v>
      </c>
      <c r="AA6025">
        <v>0.99896479999999999</v>
      </c>
      <c r="AB6025">
        <v>20</v>
      </c>
      <c r="AC6025">
        <v>0.62630000000001396</v>
      </c>
      <c r="AD6025">
        <v>-1.1204289431609999</v>
      </c>
      <c r="AE6025">
        <v>-38.566099999999999</v>
      </c>
      <c r="AF6025">
        <v>-1.5753858373106799</v>
      </c>
      <c r="AG6025">
        <v>-1.1204289431609999</v>
      </c>
      <c r="AH6025">
        <v>38.506453129347598</v>
      </c>
      <c r="AI6025">
        <v>91.665282658474894</v>
      </c>
      <c r="AJ6025">
        <v>92.342793004133298</v>
      </c>
      <c r="AK6025">
        <v>38.554949541605097</v>
      </c>
      <c r="AL6025">
        <v>82.539751756072107</v>
      </c>
      <c r="AM6025">
        <v>84.695379338335599</v>
      </c>
      <c r="AN6025">
        <v>1.0000000201764101</v>
      </c>
    </row>
    <row r="6026" spans="1:40" x14ac:dyDescent="0.25">
      <c r="A6026" t="str">
        <f>"20190303162032522"</f>
        <v>20190303162032522</v>
      </c>
      <c r="B6026" t="str">
        <f>"1551601232518383"</f>
        <v>1551601232518383</v>
      </c>
      <c r="C6026" t="s">
        <v>40</v>
      </c>
      <c r="D6026">
        <v>4.2945320000000002</v>
      </c>
      <c r="E6026">
        <v>0.44659989999999999</v>
      </c>
      <c r="F6026" t="s">
        <v>50</v>
      </c>
      <c r="G6026">
        <v>-191.4588</v>
      </c>
      <c r="H6026" s="1">
        <v>-8.9109859999999999E-6</v>
      </c>
      <c r="I6026">
        <v>141.87010000000001</v>
      </c>
      <c r="J6026">
        <v>-192.10230000000001</v>
      </c>
      <c r="K6026">
        <v>1.1204179999999999</v>
      </c>
      <c r="L6026">
        <v>173.91480000000001</v>
      </c>
      <c r="M6026">
        <v>-2.523686E-2</v>
      </c>
      <c r="N6026">
        <v>-8.6814470000000001E-3</v>
      </c>
      <c r="O6026">
        <v>-0.99964399999999998</v>
      </c>
      <c r="P6026">
        <v>-0.1166203</v>
      </c>
      <c r="Q6026">
        <v>0.1208634</v>
      </c>
      <c r="R6026">
        <v>-0.98579530000000004</v>
      </c>
      <c r="S6026">
        <v>6.0913090000000003E-2</v>
      </c>
      <c r="T6026">
        <v>-0.10669140000000001</v>
      </c>
      <c r="U6026">
        <v>-3.0634459999999999</v>
      </c>
      <c r="V6026">
        <v>9.1866859999999995E-2</v>
      </c>
      <c r="W6026">
        <v>0.12932439999999901</v>
      </c>
      <c r="X6026">
        <v>0.98733760000000004</v>
      </c>
      <c r="Y6026">
        <v>-4.5091109999999997E-2</v>
      </c>
      <c r="Z6026">
        <v>2.6088699999999999E-2</v>
      </c>
      <c r="AA6026">
        <v>0.99864209999999998</v>
      </c>
      <c r="AB6026">
        <v>20</v>
      </c>
      <c r="AC6026">
        <v>0.64350000000001695</v>
      </c>
      <c r="AD6026">
        <v>-1.1204269109859999</v>
      </c>
      <c r="AE6026">
        <v>-32.044699999999999</v>
      </c>
      <c r="AF6026">
        <v>-1.4502607025330601</v>
      </c>
      <c r="AG6026">
        <v>-1.1204269109859999</v>
      </c>
      <c r="AH6026">
        <v>31.9791731607753</v>
      </c>
      <c r="AI6026">
        <v>92.004543818047097</v>
      </c>
      <c r="AJ6026">
        <v>92.596593808359202</v>
      </c>
      <c r="AK6026">
        <v>32.0316426149991</v>
      </c>
      <c r="AL6026">
        <v>82.569445732825798</v>
      </c>
      <c r="AM6026">
        <v>84.684217271668103</v>
      </c>
      <c r="AN6026">
        <v>0.99999992838768703</v>
      </c>
    </row>
    <row r="6027" spans="1:40" x14ac:dyDescent="0.25">
      <c r="A6027" t="str">
        <f>"20190303162032537"</f>
        <v>20190303162032537</v>
      </c>
      <c r="B6027" t="str">
        <f>"1551601232528154"</f>
        <v>1551601232528154</v>
      </c>
      <c r="C6027" t="s">
        <v>40</v>
      </c>
      <c r="D6027">
        <v>4.3286670000000003</v>
      </c>
      <c r="E6027">
        <v>0.44616149999999999</v>
      </c>
      <c r="F6027" t="s">
        <v>50</v>
      </c>
      <c r="G6027">
        <v>-191.37719999999999</v>
      </c>
      <c r="H6027" s="1">
        <v>-9.5650379999999997E-6</v>
      </c>
      <c r="I6027">
        <v>144.4051</v>
      </c>
      <c r="J6027">
        <v>-192.1062</v>
      </c>
      <c r="K6027">
        <v>1.120414</v>
      </c>
      <c r="L6027">
        <v>173.78649999999999</v>
      </c>
      <c r="M6027">
        <v>-2.583442E-2</v>
      </c>
      <c r="N6027">
        <v>-8.6909109999999904E-3</v>
      </c>
      <c r="O6027">
        <v>-0.99962870000000004</v>
      </c>
      <c r="P6027">
        <v>-0.118822</v>
      </c>
      <c r="Q6027">
        <v>0.1204239</v>
      </c>
      <c r="R6027">
        <v>-0.98558619999999997</v>
      </c>
      <c r="S6027">
        <v>7.5347899999999995E-2</v>
      </c>
      <c r="T6027">
        <v>-0.1164269</v>
      </c>
      <c r="U6027">
        <v>-3.0664370000000001</v>
      </c>
      <c r="V6027">
        <v>9.3482339999999997E-2</v>
      </c>
      <c r="W6027">
        <v>0.1288908</v>
      </c>
      <c r="X6027">
        <v>0.98724279999999998</v>
      </c>
      <c r="Y6027">
        <v>-5.0363100000000001E-2</v>
      </c>
      <c r="Z6027">
        <v>2.9203199999999999E-2</v>
      </c>
      <c r="AA6027">
        <v>0.99830390000000002</v>
      </c>
      <c r="AB6027">
        <v>20</v>
      </c>
      <c r="AC6027">
        <v>0.72900000000001297</v>
      </c>
      <c r="AD6027">
        <v>-1.1204235650379999</v>
      </c>
      <c r="AE6027">
        <v>-29.3813999999999</v>
      </c>
      <c r="AF6027">
        <v>-1.4856774585196799</v>
      </c>
      <c r="AG6027">
        <v>-1.1204235650379999</v>
      </c>
      <c r="AH6027">
        <v>29.310162641826601</v>
      </c>
      <c r="AI6027">
        <v>92.186344409664599</v>
      </c>
      <c r="AJ6027">
        <v>92.901732735578406</v>
      </c>
      <c r="AK6027">
        <v>29.36917126114</v>
      </c>
      <c r="AL6027">
        <v>82.594499890937897</v>
      </c>
      <c r="AM6027">
        <v>84.590772476369295</v>
      </c>
      <c r="AN6027">
        <v>1.0000000661841699</v>
      </c>
    </row>
    <row r="6028" spans="1:40" x14ac:dyDescent="0.25">
      <c r="A6028" t="str">
        <f>"20190303162032550"</f>
        <v>20190303162032550</v>
      </c>
      <c r="B6028" t="str">
        <f>"1551601232538301"</f>
        <v>1551601232538301</v>
      </c>
      <c r="C6028" t="s">
        <v>40</v>
      </c>
      <c r="D6028">
        <v>4.3497459999999997</v>
      </c>
      <c r="E6028">
        <v>0.44549090000000002</v>
      </c>
      <c r="F6028" t="s">
        <v>50</v>
      </c>
      <c r="G6028">
        <v>-191.44290000000001</v>
      </c>
      <c r="H6028" s="1">
        <v>-9.8763810000000005E-6</v>
      </c>
      <c r="I6028">
        <v>145.54150000000001</v>
      </c>
      <c r="J6028">
        <v>-192.10990000000001</v>
      </c>
      <c r="K6028">
        <v>1.1204130000000001</v>
      </c>
      <c r="L6028">
        <v>173.66640000000001</v>
      </c>
      <c r="M6028">
        <v>-2.6394310000000001E-2</v>
      </c>
      <c r="N6028">
        <v>-8.6994459999999996E-3</v>
      </c>
      <c r="O6028">
        <v>-0.99961369999999905</v>
      </c>
      <c r="P6028">
        <v>-0.1197859</v>
      </c>
      <c r="Q6028">
        <v>0.1203163</v>
      </c>
      <c r="R6028">
        <v>-0.98548219999999997</v>
      </c>
      <c r="S6028">
        <v>7.2036740000000002E-2</v>
      </c>
      <c r="T6028">
        <v>-0.1216788</v>
      </c>
      <c r="U6028">
        <v>-3.0674290000000002</v>
      </c>
      <c r="V6028">
        <v>9.3895430000000002E-2</v>
      </c>
      <c r="W6028">
        <v>0.12879099999999999</v>
      </c>
      <c r="X6028">
        <v>0.98721650000000005</v>
      </c>
      <c r="Y6028">
        <v>-4.983609E-2</v>
      </c>
      <c r="Z6028">
        <v>3.0889260000000002E-2</v>
      </c>
      <c r="AA6028">
        <v>0.99827960000000004</v>
      </c>
      <c r="AB6028">
        <v>20</v>
      </c>
      <c r="AC6028">
        <v>0.66700000000000104</v>
      </c>
      <c r="AD6028">
        <v>-1.12042287638099</v>
      </c>
      <c r="AE6028">
        <v>-28.1249</v>
      </c>
      <c r="AF6028">
        <v>-1.40690154459998</v>
      </c>
      <c r="AG6028">
        <v>-1.12042287638099</v>
      </c>
      <c r="AH6028">
        <v>28.0529995369637</v>
      </c>
      <c r="AI6028">
        <v>92.284281546805602</v>
      </c>
      <c r="AJ6028">
        <v>92.8710669585613</v>
      </c>
      <c r="AK6028">
        <v>28.110594131021202</v>
      </c>
      <c r="AL6028">
        <v>82.600265172035606</v>
      </c>
      <c r="AM6028">
        <v>84.566868430561698</v>
      </c>
      <c r="AN6028">
        <v>0.99999994566406603</v>
      </c>
    </row>
    <row r="6029" spans="1:40" x14ac:dyDescent="0.25">
      <c r="A6029" t="str">
        <f>"20190303162032562"</f>
        <v>20190303162032562</v>
      </c>
      <c r="B6029" t="str">
        <f>"1551601232558797"</f>
        <v>1551601232558797</v>
      </c>
      <c r="C6029" t="s">
        <v>40</v>
      </c>
      <c r="D6029">
        <v>4.3591179999999996</v>
      </c>
      <c r="E6029">
        <v>0.44430419999999998</v>
      </c>
      <c r="F6029" t="s">
        <v>50</v>
      </c>
      <c r="G6029">
        <v>-191.42140000000001</v>
      </c>
      <c r="H6029" s="1">
        <v>-9.7449670000000004E-6</v>
      </c>
      <c r="I6029">
        <v>145.05770000000001</v>
      </c>
      <c r="J6029">
        <v>-192.1138</v>
      </c>
      <c r="K6029">
        <v>1.120411</v>
      </c>
      <c r="L6029">
        <v>173.54509999999999</v>
      </c>
      <c r="M6029">
        <v>-2.6958920000000001E-2</v>
      </c>
      <c r="N6029">
        <v>-8.7076159999999996E-3</v>
      </c>
      <c r="O6029">
        <v>-0.99959889999999996</v>
      </c>
      <c r="P6029">
        <v>-0.1206145</v>
      </c>
      <c r="Q6029">
        <v>0.1206121</v>
      </c>
      <c r="R6029">
        <v>-0.98534540000000004</v>
      </c>
      <c r="S6029">
        <v>7.3837280000000005E-2</v>
      </c>
      <c r="T6029">
        <v>-0.12014809999999999</v>
      </c>
      <c r="U6029">
        <v>-3.067841</v>
      </c>
      <c r="V6029">
        <v>9.4170149999999994E-2</v>
      </c>
      <c r="W6029">
        <v>0.12909269999999901</v>
      </c>
      <c r="X6029">
        <v>0.987151</v>
      </c>
      <c r="Y6029">
        <v>-5.0982850000000003E-2</v>
      </c>
      <c r="Z6029">
        <v>3.0376050000000002E-2</v>
      </c>
      <c r="AA6029">
        <v>0.9982375</v>
      </c>
      <c r="AB6029">
        <v>20</v>
      </c>
      <c r="AC6029">
        <v>0.69239999999999202</v>
      </c>
      <c r="AD6029">
        <v>-1.1204207449670001</v>
      </c>
      <c r="AE6029">
        <v>-28.487399999999901</v>
      </c>
      <c r="AF6029">
        <v>-1.4579128750433299</v>
      </c>
      <c r="AG6029">
        <v>-1.1204207449670001</v>
      </c>
      <c r="AH6029">
        <v>28.414450398582701</v>
      </c>
      <c r="AI6029">
        <v>92.255117939471901</v>
      </c>
      <c r="AJ6029">
        <v>92.9372050748904</v>
      </c>
      <c r="AK6029">
        <v>28.473880031539199</v>
      </c>
      <c r="AL6029">
        <v>82.582834068881894</v>
      </c>
      <c r="AM6029">
        <v>84.550708292804401</v>
      </c>
      <c r="AN6029">
        <v>1.0000000195726499</v>
      </c>
    </row>
    <row r="6030" spans="1:40" x14ac:dyDescent="0.25">
      <c r="A6030" t="str">
        <f>"20190303162032575"</f>
        <v>20190303162032575</v>
      </c>
      <c r="B6030" t="str">
        <f>"1551601232568557"</f>
        <v>1551601232568557</v>
      </c>
      <c r="C6030" t="s">
        <v>40</v>
      </c>
      <c r="D6030">
        <v>4.3085399999999998</v>
      </c>
      <c r="E6030">
        <v>0.4439515</v>
      </c>
      <c r="F6030" t="s">
        <v>50</v>
      </c>
      <c r="G6030">
        <v>-191.3272</v>
      </c>
      <c r="H6030" s="1">
        <v>-9.336212E-6</v>
      </c>
      <c r="I6030">
        <v>143.571</v>
      </c>
      <c r="J6030">
        <v>-192.11709999999999</v>
      </c>
      <c r="K6030">
        <v>1.1204179999999999</v>
      </c>
      <c r="L6030">
        <v>173.4417</v>
      </c>
      <c r="M6030">
        <v>-2.744079E-2</v>
      </c>
      <c r="N6030">
        <v>-8.7139139999999997E-3</v>
      </c>
      <c r="O6030">
        <v>-0.99958559999999996</v>
      </c>
      <c r="P6030">
        <v>-0.12150809999999999</v>
      </c>
      <c r="Q6030">
        <v>0.12077259999999999</v>
      </c>
      <c r="R6030">
        <v>-0.98521590000000003</v>
      </c>
      <c r="S6030">
        <v>8.0520629999999996E-2</v>
      </c>
      <c r="T6030">
        <v>-0.1146998</v>
      </c>
      <c r="U6030">
        <v>-3.0685120000000001</v>
      </c>
      <c r="V6030">
        <v>9.4591149999999999E-2</v>
      </c>
      <c r="W6030">
        <v>0.12925819999999999</v>
      </c>
      <c r="X6030">
        <v>0.98708910000000005</v>
      </c>
      <c r="Y6030">
        <v>-5.3632920000000001E-2</v>
      </c>
      <c r="Z6030">
        <v>2.8586770000000001E-2</v>
      </c>
      <c r="AA6030">
        <v>0.99815140000000002</v>
      </c>
      <c r="AB6030">
        <v>20</v>
      </c>
      <c r="AC6030">
        <v>0.78989999999998795</v>
      </c>
      <c r="AD6030">
        <v>-1.1204273362119901</v>
      </c>
      <c r="AE6030">
        <v>-29.870699999999999</v>
      </c>
      <c r="AF6030">
        <v>-1.60704968175879</v>
      </c>
      <c r="AG6030">
        <v>-1.1204273362119901</v>
      </c>
      <c r="AH6030">
        <v>29.795882635487299</v>
      </c>
      <c r="AI6030">
        <v>92.150380554802496</v>
      </c>
      <c r="AJ6030">
        <v>93.087273373571506</v>
      </c>
      <c r="AK6030">
        <v>29.86021748285</v>
      </c>
      <c r="AL6030">
        <v>82.573271575126299</v>
      </c>
      <c r="AM6030">
        <v>84.526152985550894</v>
      </c>
      <c r="AN6030">
        <v>1.00000002963218</v>
      </c>
    </row>
    <row r="6031" spans="1:40" x14ac:dyDescent="0.25">
      <c r="A6031" t="str">
        <f>"20190303162032589"</f>
        <v>20190303162032589</v>
      </c>
      <c r="B6031" t="str">
        <f>"1551601232578318"</f>
        <v>1551601232578318</v>
      </c>
      <c r="C6031" t="s">
        <v>40</v>
      </c>
      <c r="D6031">
        <v>4.3976730000000002</v>
      </c>
      <c r="E6031">
        <v>0.4437046</v>
      </c>
      <c r="F6031" t="s">
        <v>50</v>
      </c>
      <c r="G6031">
        <v>-191.3186</v>
      </c>
      <c r="H6031" s="1">
        <v>-9.1894050000000008E-6</v>
      </c>
      <c r="I6031">
        <v>143.02010000000001</v>
      </c>
      <c r="J6031">
        <v>-192.12119999999999</v>
      </c>
      <c r="K6031">
        <v>1.120417</v>
      </c>
      <c r="L6031">
        <v>173.3168</v>
      </c>
      <c r="M6031">
        <v>-2.8022289999999998E-2</v>
      </c>
      <c r="N6031">
        <v>-8.7211359999999905E-3</v>
      </c>
      <c r="O6031">
        <v>-0.99956940000000005</v>
      </c>
      <c r="P6031">
        <v>-0.1219377</v>
      </c>
      <c r="Q6031">
        <v>0.1207836</v>
      </c>
      <c r="R6031">
        <v>-0.98516139999999996</v>
      </c>
      <c r="S6031">
        <v>8.0551150000000002E-2</v>
      </c>
      <c r="T6031">
        <v>-0.11302420000000001</v>
      </c>
      <c r="U6031">
        <v>-3.0688019999999998</v>
      </c>
      <c r="V6031">
        <v>9.444777E-2</v>
      </c>
      <c r="W6031">
        <v>0.12927659999999999</v>
      </c>
      <c r="X6031">
        <v>0.98710039999999999</v>
      </c>
      <c r="Y6031">
        <v>-5.4221659999999998E-2</v>
      </c>
      <c r="Z6031">
        <v>2.8030220000000002E-2</v>
      </c>
      <c r="AA6031">
        <v>0.99813540000000001</v>
      </c>
      <c r="AB6031">
        <v>20</v>
      </c>
      <c r="AC6031">
        <v>0.80259999999998399</v>
      </c>
      <c r="AD6031">
        <v>-1.1204261894050001</v>
      </c>
      <c r="AE6031">
        <v>-30.296699999999898</v>
      </c>
      <c r="AF6031">
        <v>-1.6490461302763999</v>
      </c>
      <c r="AG6031">
        <v>-1.1204261894050001</v>
      </c>
      <c r="AH6031">
        <v>30.221007139266401</v>
      </c>
      <c r="AI6031">
        <v>92.120084098903604</v>
      </c>
      <c r="AJ6031">
        <v>93.123316715879795</v>
      </c>
      <c r="AK6031">
        <v>30.286696427594599</v>
      </c>
      <c r="AL6031">
        <v>82.572208266910394</v>
      </c>
      <c r="AM6031">
        <v>84.534462077934506</v>
      </c>
      <c r="AN6031">
        <v>1.0000000101228399</v>
      </c>
    </row>
    <row r="6032" spans="1:40" x14ac:dyDescent="0.25">
      <c r="A6032" t="str">
        <f>"20190303162032605"</f>
        <v>20190303162032605</v>
      </c>
      <c r="B6032" t="str">
        <f>"1551601232598812"</f>
        <v>1551601232598812</v>
      </c>
      <c r="C6032" t="s">
        <v>40</v>
      </c>
      <c r="D6032">
        <v>4.3639809999999999</v>
      </c>
      <c r="E6032">
        <v>0.44338850000000002</v>
      </c>
      <c r="F6032" t="s">
        <v>50</v>
      </c>
      <c r="G6032">
        <v>-191.3005</v>
      </c>
      <c r="H6032" s="1">
        <v>-8.9836139999999998E-6</v>
      </c>
      <c r="I6032">
        <v>142.25200000000001</v>
      </c>
      <c r="J6032">
        <v>-192.12610000000001</v>
      </c>
      <c r="K6032">
        <v>1.1204149999999999</v>
      </c>
      <c r="L6032">
        <v>173.1679</v>
      </c>
      <c r="M6032">
        <v>-2.871597E-2</v>
      </c>
      <c r="N6032">
        <v>-8.7289389999999998E-3</v>
      </c>
      <c r="O6032">
        <v>-0.99954960000000004</v>
      </c>
      <c r="P6032">
        <v>-0.12252159999999999</v>
      </c>
      <c r="Q6032">
        <v>0.1211293</v>
      </c>
      <c r="R6032">
        <v>-0.98504659999999999</v>
      </c>
      <c r="S6032">
        <v>8.1069950000000002E-2</v>
      </c>
      <c r="T6032">
        <v>-0.1106824</v>
      </c>
      <c r="U6032">
        <v>-3.0687709999999999</v>
      </c>
      <c r="V6032">
        <v>9.4349959999999997E-2</v>
      </c>
      <c r="W6032">
        <v>0.12962939999999901</v>
      </c>
      <c r="X6032">
        <v>0.98706349999999998</v>
      </c>
      <c r="Y6032">
        <v>-5.5084069999999999E-2</v>
      </c>
      <c r="Z6032">
        <v>2.7260010000000001E-2</v>
      </c>
      <c r="AA6032">
        <v>0.99810949999999998</v>
      </c>
      <c r="AB6032">
        <v>20</v>
      </c>
      <c r="AC6032">
        <v>0.82560000000000799</v>
      </c>
      <c r="AD6032">
        <v>-1.120423983614</v>
      </c>
      <c r="AE6032">
        <v>-30.915899999999901</v>
      </c>
      <c r="AF6032">
        <v>-1.71082787562386</v>
      </c>
      <c r="AG6032">
        <v>-1.120423983614</v>
      </c>
      <c r="AH6032">
        <v>30.838965458627701</v>
      </c>
      <c r="AI6032">
        <v>92.0775312745712</v>
      </c>
      <c r="AJ6032">
        <v>93.175295980961394</v>
      </c>
      <c r="AK6032">
        <v>30.906699475704301</v>
      </c>
      <c r="AL6032">
        <v>82.551822892468607</v>
      </c>
      <c r="AM6032">
        <v>84.5398850838111</v>
      </c>
      <c r="AN6032">
        <v>1.0000000246642999</v>
      </c>
    </row>
    <row r="6033" spans="1:40" x14ac:dyDescent="0.25">
      <c r="A6033" t="str">
        <f>"20190303162032619"</f>
        <v>20190303162032619</v>
      </c>
      <c r="B6033" t="str">
        <f>"1551601232608573"</f>
        <v>1551601232608573</v>
      </c>
      <c r="C6033" t="s">
        <v>40</v>
      </c>
      <c r="D6033">
        <v>4.4110469999999999</v>
      </c>
      <c r="E6033">
        <v>0.44318400000000002</v>
      </c>
      <c r="F6033" t="s">
        <v>50</v>
      </c>
      <c r="G6033">
        <v>-191.26140000000001</v>
      </c>
      <c r="H6033" s="1">
        <v>-8.5465909999999992E-6</v>
      </c>
      <c r="I6033">
        <v>140.655</v>
      </c>
      <c r="J6033">
        <v>-192.13050000000001</v>
      </c>
      <c r="K6033">
        <v>1.120414</v>
      </c>
      <c r="L6033">
        <v>173.0386</v>
      </c>
      <c r="M6033">
        <v>-2.9317840000000001E-2</v>
      </c>
      <c r="N6033">
        <v>-8.7349850000000007E-3</v>
      </c>
      <c r="O6033">
        <v>-0.99953219999999998</v>
      </c>
      <c r="P6033">
        <v>-0.1228282</v>
      </c>
      <c r="Q6033">
        <v>0.1215661</v>
      </c>
      <c r="R6033">
        <v>-0.98495469999999896</v>
      </c>
      <c r="S6033">
        <v>8.1619259999999999E-2</v>
      </c>
      <c r="T6033">
        <v>-0.1057502</v>
      </c>
      <c r="U6033">
        <v>-3.068695</v>
      </c>
      <c r="V6033">
        <v>9.4065280000000001E-2</v>
      </c>
      <c r="W6033">
        <v>0.1300714</v>
      </c>
      <c r="X6033">
        <v>0.98703249999999998</v>
      </c>
      <c r="Y6033">
        <v>-5.586584E-2</v>
      </c>
      <c r="Z6033">
        <v>2.5650829999999999E-2</v>
      </c>
      <c r="AA6033">
        <v>0.99810869999999996</v>
      </c>
      <c r="AB6033">
        <v>20</v>
      </c>
      <c r="AC6033">
        <v>0.86910000000000298</v>
      </c>
      <c r="AD6033">
        <v>-1.120422546591</v>
      </c>
      <c r="AE6033">
        <v>-32.383600000000001</v>
      </c>
      <c r="AF6033">
        <v>-1.81600729744621</v>
      </c>
      <c r="AG6033">
        <v>-1.120422546591</v>
      </c>
      <c r="AH6033">
        <v>32.305553789261701</v>
      </c>
      <c r="AI6033">
        <v>91.983209972090805</v>
      </c>
      <c r="AJ6033">
        <v>93.217408512322507</v>
      </c>
      <c r="AK6033">
        <v>32.375948400288799</v>
      </c>
      <c r="AL6033">
        <v>82.526281740491399</v>
      </c>
      <c r="AM6033">
        <v>84.556090703686195</v>
      </c>
      <c r="AN6033">
        <v>1.00000000102784</v>
      </c>
    </row>
    <row r="6034" spans="1:40" x14ac:dyDescent="0.25">
      <c r="A6034" t="str">
        <f>"20190303162032636"</f>
        <v>20190303162032636</v>
      </c>
      <c r="B6034" t="str">
        <f>"1551601232628092"</f>
        <v>1551601232628092</v>
      </c>
      <c r="C6034" t="s">
        <v>40</v>
      </c>
      <c r="D6034">
        <v>4.4309849999999997</v>
      </c>
      <c r="E6034">
        <v>0.44268299999999999</v>
      </c>
      <c r="F6034" t="s">
        <v>50</v>
      </c>
      <c r="G6034">
        <v>-191.2483</v>
      </c>
      <c r="H6034" s="1">
        <v>-8.3539270000000003E-6</v>
      </c>
      <c r="I6034">
        <v>140.0137</v>
      </c>
      <c r="J6034">
        <v>-192.136</v>
      </c>
      <c r="K6034">
        <v>1.1204179999999999</v>
      </c>
      <c r="L6034">
        <v>172.88050000000001</v>
      </c>
      <c r="M6034">
        <v>-3.0053719999999999E-2</v>
      </c>
      <c r="N6034">
        <v>-8.7418740000000002E-3</v>
      </c>
      <c r="O6034">
        <v>-0.99951000000000001</v>
      </c>
      <c r="P6034">
        <v>-0.1230416</v>
      </c>
      <c r="Q6034">
        <v>0.12211180000000001</v>
      </c>
      <c r="R6034">
        <v>-0.98486019999999996</v>
      </c>
      <c r="S6034">
        <v>8.1985470000000005E-2</v>
      </c>
      <c r="T6034">
        <v>-0.1041173</v>
      </c>
      <c r="U6034">
        <v>-3.0688930000000001</v>
      </c>
      <c r="V6034">
        <v>9.3555230000000003E-2</v>
      </c>
      <c r="W6034">
        <v>0.13062460000000001</v>
      </c>
      <c r="X6034">
        <v>0.98700790000000005</v>
      </c>
      <c r="Y6034">
        <v>-5.671855E-2</v>
      </c>
      <c r="Z6034">
        <v>2.510919E-2</v>
      </c>
      <c r="AA6034">
        <v>0.99807440000000003</v>
      </c>
      <c r="AB6034">
        <v>20</v>
      </c>
      <c r="AC6034">
        <v>0.88769999999999505</v>
      </c>
      <c r="AD6034">
        <v>-1.1204263539270001</v>
      </c>
      <c r="AE6034">
        <v>-32.866799999999998</v>
      </c>
      <c r="AF6034">
        <v>-1.87293139891314</v>
      </c>
      <c r="AG6034">
        <v>-1.1204263539270001</v>
      </c>
      <c r="AH6034">
        <v>32.7871977721787</v>
      </c>
      <c r="AI6034">
        <v>91.954005593817499</v>
      </c>
      <c r="AJ6034">
        <v>93.269403188898906</v>
      </c>
      <c r="AK6034">
        <v>32.859756009312797</v>
      </c>
      <c r="AL6034">
        <v>82.494312815263299</v>
      </c>
      <c r="AM6034">
        <v>84.585299147872703</v>
      </c>
      <c r="AN6034">
        <v>0.99999998092396103</v>
      </c>
    </row>
    <row r="6035" spans="1:40" x14ac:dyDescent="0.25">
      <c r="A6035" t="str">
        <f>"20190303162032648"</f>
        <v>20190303162032648</v>
      </c>
      <c r="B6035" t="str">
        <f>"1551601232638829"</f>
        <v>1551601232638829</v>
      </c>
      <c r="C6035" t="s">
        <v>40</v>
      </c>
      <c r="D6035">
        <v>4.4071989999999897</v>
      </c>
      <c r="E6035">
        <v>0.44260509999999997</v>
      </c>
      <c r="F6035" t="s">
        <v>50</v>
      </c>
      <c r="G6035">
        <v>-191.1994</v>
      </c>
      <c r="H6035" s="1">
        <v>-8.0826649999999905E-6</v>
      </c>
      <c r="I6035">
        <v>139.15989999999999</v>
      </c>
      <c r="J6035">
        <v>-192.13980000000001</v>
      </c>
      <c r="K6035">
        <v>1.12042</v>
      </c>
      <c r="L6035">
        <v>172.77109999999999</v>
      </c>
      <c r="M6035">
        <v>-3.056277E-2</v>
      </c>
      <c r="N6035">
        <v>-8.7463219999999904E-3</v>
      </c>
      <c r="O6035">
        <v>-0.99949469999999996</v>
      </c>
      <c r="P6035">
        <v>-0.1237289</v>
      </c>
      <c r="Q6035">
        <v>0.1225765</v>
      </c>
      <c r="R6035">
        <v>-0.98471660000000005</v>
      </c>
      <c r="S6035">
        <v>8.5250850000000003E-2</v>
      </c>
      <c r="T6035">
        <v>-0.1019864</v>
      </c>
      <c r="U6035">
        <v>-3.0694119999999998</v>
      </c>
      <c r="V6035">
        <v>9.3744359999999999E-2</v>
      </c>
      <c r="W6035">
        <v>0.13109209999999999</v>
      </c>
      <c r="X6035">
        <v>0.98692800000000003</v>
      </c>
      <c r="Y6035">
        <v>-5.828382E-2</v>
      </c>
      <c r="Z6035">
        <v>2.4403999999999999E-2</v>
      </c>
      <c r="AA6035">
        <v>0.99800169999999999</v>
      </c>
      <c r="AB6035">
        <v>20</v>
      </c>
      <c r="AC6035">
        <v>0.940400000000011</v>
      </c>
      <c r="AD6035">
        <v>-1.1204280826649999</v>
      </c>
      <c r="AE6035">
        <v>-33.611199999999997</v>
      </c>
      <c r="AF6035">
        <v>-1.9650692896637201</v>
      </c>
      <c r="AG6035">
        <v>-1.1204280826649999</v>
      </c>
      <c r="AH6035">
        <v>33.5295254603096</v>
      </c>
      <c r="AI6035">
        <v>91.910616893226404</v>
      </c>
      <c r="AJ6035">
        <v>93.354104543073205</v>
      </c>
      <c r="AK6035">
        <v>33.605742574672497</v>
      </c>
      <c r="AL6035">
        <v>82.467294934611402</v>
      </c>
      <c r="AM6035">
        <v>84.573981491172603</v>
      </c>
      <c r="AN6035">
        <v>1.0000000104491</v>
      </c>
    </row>
    <row r="6036" spans="1:40" x14ac:dyDescent="0.25">
      <c r="A6036" t="str">
        <f>"20190303162032662"</f>
        <v>20190303162032662</v>
      </c>
      <c r="B6036" t="str">
        <f>"1551601232648589"</f>
        <v>1551601232648589</v>
      </c>
      <c r="C6036" t="s">
        <v>40</v>
      </c>
      <c r="D6036">
        <v>4.3941169999999996</v>
      </c>
      <c r="E6036">
        <v>0.4424382</v>
      </c>
      <c r="F6036" t="s">
        <v>50</v>
      </c>
      <c r="G6036">
        <v>-191.2166</v>
      </c>
      <c r="H6036" s="1">
        <v>-7.9952230000000005E-6</v>
      </c>
      <c r="I6036">
        <v>138.87880000000001</v>
      </c>
      <c r="J6036">
        <v>-192.14439999999999</v>
      </c>
      <c r="K6036">
        <v>1.12042</v>
      </c>
      <c r="L6036">
        <v>172.64279999999999</v>
      </c>
      <c r="M6036">
        <v>-3.1159050000000001E-2</v>
      </c>
      <c r="N6036">
        <v>-8.7511220000000001E-3</v>
      </c>
      <c r="O6036">
        <v>-0.99947609999999998</v>
      </c>
      <c r="P6036">
        <v>-0.1245015</v>
      </c>
      <c r="Q6036">
        <v>0.1231843</v>
      </c>
      <c r="R6036">
        <v>-0.98454319999999895</v>
      </c>
      <c r="S6036">
        <v>8.3618159999999997E-2</v>
      </c>
      <c r="T6036">
        <v>-0.1014795</v>
      </c>
      <c r="U6036">
        <v>-3.0697019999999999</v>
      </c>
      <c r="V6036">
        <v>9.3933749999999996E-2</v>
      </c>
      <c r="W6036">
        <v>0.1317033</v>
      </c>
      <c r="X6036">
        <v>0.98682859999999994</v>
      </c>
      <c r="Y6036">
        <v>-5.8346519999999999E-2</v>
      </c>
      <c r="Z6036">
        <v>2.4230740000000001E-2</v>
      </c>
      <c r="AA6036">
        <v>0.99800230000000001</v>
      </c>
      <c r="AB6036">
        <v>20</v>
      </c>
      <c r="AC6036">
        <v>0.92779999999998997</v>
      </c>
      <c r="AD6036">
        <v>-1.1204279952230001</v>
      </c>
      <c r="AE6036">
        <v>-33.763999999999903</v>
      </c>
      <c r="AF6036">
        <v>-1.9772682482201001</v>
      </c>
      <c r="AG6036">
        <v>-1.1204279952230001</v>
      </c>
      <c r="AH6036">
        <v>33.681632075577298</v>
      </c>
      <c r="AI6036">
        <v>91.901983896464799</v>
      </c>
      <c r="AJ6036">
        <v>93.359672519472298</v>
      </c>
      <c r="AK6036">
        <v>33.758218079342598</v>
      </c>
      <c r="AL6036">
        <v>82.431969371998704</v>
      </c>
      <c r="AM6036">
        <v>84.562540667086793</v>
      </c>
      <c r="AN6036">
        <v>0.99999999719895605</v>
      </c>
    </row>
    <row r="6037" spans="1:40" x14ac:dyDescent="0.25">
      <c r="A6037" t="str">
        <f>"20190303162032674"</f>
        <v>20190303162032674</v>
      </c>
      <c r="B6037" t="str">
        <f>"1551601232668108"</f>
        <v>1551601232668108</v>
      </c>
      <c r="C6037" t="s">
        <v>40</v>
      </c>
      <c r="D6037">
        <v>4.4383439999999998</v>
      </c>
      <c r="E6037">
        <v>0.44201649999999998</v>
      </c>
      <c r="F6037" t="s">
        <v>50</v>
      </c>
      <c r="G6037">
        <v>-191.20949999999999</v>
      </c>
      <c r="H6037" s="1">
        <v>-7.6646730000000008E-6</v>
      </c>
      <c r="I6037">
        <v>137.8486</v>
      </c>
      <c r="J6037">
        <v>-192.14859999999999</v>
      </c>
      <c r="K6037">
        <v>1.120422</v>
      </c>
      <c r="L6037">
        <v>172.52719999999999</v>
      </c>
      <c r="M6037">
        <v>-3.1695999999999898E-2</v>
      </c>
      <c r="N6037">
        <v>-8.7550800000000002E-3</v>
      </c>
      <c r="O6037">
        <v>-0.99945919999999999</v>
      </c>
      <c r="P6037">
        <v>-0.12507679999999999</v>
      </c>
      <c r="Q6037">
        <v>0.1235734</v>
      </c>
      <c r="R6037">
        <v>-0.98442180000000001</v>
      </c>
      <c r="S6037">
        <v>8.2489010000000001E-2</v>
      </c>
      <c r="T6037">
        <v>-9.8855020000000002E-2</v>
      </c>
      <c r="U6037">
        <v>-3.0698850000000002</v>
      </c>
      <c r="V6037">
        <v>9.3982689999999994E-2</v>
      </c>
      <c r="W6037">
        <v>0.13209560000000001</v>
      </c>
      <c r="X6037">
        <v>0.98677150000000002</v>
      </c>
      <c r="Y6037">
        <v>-5.8515129999999999E-2</v>
      </c>
      <c r="Z6037">
        <v>2.3371719999999999E-2</v>
      </c>
      <c r="AA6037">
        <v>0.99801289999999998</v>
      </c>
      <c r="AB6037">
        <v>20</v>
      </c>
      <c r="AC6037">
        <v>0.93909999999999605</v>
      </c>
      <c r="AD6037">
        <v>-1.1204296646729901</v>
      </c>
      <c r="AE6037">
        <v>-34.678599999999904</v>
      </c>
      <c r="AF6037">
        <v>-2.0357196957867498</v>
      </c>
      <c r="AG6037">
        <v>-1.1204296646729901</v>
      </c>
      <c r="AH6037">
        <v>34.595321212398098</v>
      </c>
      <c r="AI6037">
        <v>91.851774157383403</v>
      </c>
      <c r="AJ6037">
        <v>93.367617306259007</v>
      </c>
      <c r="AK6037">
        <v>34.673271652705303</v>
      </c>
      <c r="AL6037">
        <v>82.409294097024301</v>
      </c>
      <c r="AM6037">
        <v>84.559411797799996</v>
      </c>
      <c r="AN6037">
        <v>0.99999999338562295</v>
      </c>
    </row>
    <row r="6038" spans="1:40" x14ac:dyDescent="0.25">
      <c r="A6038" t="str">
        <f>"20190303162032687"</f>
        <v>20190303162032687</v>
      </c>
      <c r="B6038" t="str">
        <f>"1551601232678845"</f>
        <v>1551601232678845</v>
      </c>
      <c r="C6038" t="s">
        <v>40</v>
      </c>
      <c r="D6038">
        <v>4.4531640000000001</v>
      </c>
      <c r="E6038">
        <v>0.44180259999999999</v>
      </c>
      <c r="F6038" t="s">
        <v>50</v>
      </c>
      <c r="G6038">
        <v>-191.1823</v>
      </c>
      <c r="H6038" s="1">
        <v>-7.45751E-6</v>
      </c>
      <c r="I6038">
        <v>137.2132</v>
      </c>
      <c r="J6038">
        <v>-192.15289999999999</v>
      </c>
      <c r="K6038">
        <v>1.1204240000000001</v>
      </c>
      <c r="L6038">
        <v>172.41249999999999</v>
      </c>
      <c r="M6038">
        <v>-3.2227869999999999E-2</v>
      </c>
      <c r="N6038">
        <v>-8.7588140000000002E-3</v>
      </c>
      <c r="O6038">
        <v>-0.99944230000000001</v>
      </c>
      <c r="P6038">
        <v>-0.12546849999999901</v>
      </c>
      <c r="Q6038">
        <v>0.123768</v>
      </c>
      <c r="R6038">
        <v>-0.98434750000000004</v>
      </c>
      <c r="S6038">
        <v>8.4014889999999995E-2</v>
      </c>
      <c r="T6038">
        <v>-9.7415689999999999E-2</v>
      </c>
      <c r="U6038">
        <v>-3.0703740000000002</v>
      </c>
      <c r="V6038">
        <v>9.3851400000000001E-2</v>
      </c>
      <c r="W6038">
        <v>0.13229369999999999</v>
      </c>
      <c r="X6038">
        <v>0.98675749999999995</v>
      </c>
      <c r="Y6038">
        <v>-5.9537949999999999E-2</v>
      </c>
      <c r="Z6038">
        <v>2.2893429999999999E-2</v>
      </c>
      <c r="AA6038">
        <v>0.9979635</v>
      </c>
      <c r="AB6038">
        <v>20</v>
      </c>
      <c r="AC6038">
        <v>0.97059999999999003</v>
      </c>
      <c r="AD6038">
        <v>-1.1204314575100001</v>
      </c>
      <c r="AE6038">
        <v>-35.199299999999901</v>
      </c>
      <c r="AF6038">
        <v>-2.1024090334653098</v>
      </c>
      <c r="AG6038">
        <v>-1.1204314575100001</v>
      </c>
      <c r="AH6038">
        <v>35.114181403546603</v>
      </c>
      <c r="AI6038">
        <v>91.824322158383197</v>
      </c>
      <c r="AJ6038">
        <v>93.426408542195404</v>
      </c>
      <c r="AK6038">
        <v>35.194903409956297</v>
      </c>
      <c r="AL6038">
        <v>82.397843634763404</v>
      </c>
      <c r="AM6038">
        <v>84.566889947477904</v>
      </c>
      <c r="AN6038">
        <v>1.0000000360739401</v>
      </c>
    </row>
    <row r="6039" spans="1:40" x14ac:dyDescent="0.25">
      <c r="A6039" t="str">
        <f>"20190303162032704"</f>
        <v>20190303162032704</v>
      </c>
      <c r="B6039" t="str">
        <f>"1551601232698366"</f>
        <v>1551601232698366</v>
      </c>
      <c r="C6039" t="s">
        <v>40</v>
      </c>
      <c r="D6039">
        <v>4.5372560000000002</v>
      </c>
      <c r="E6039">
        <v>0.44207279999999999</v>
      </c>
      <c r="F6039" t="s">
        <v>50</v>
      </c>
      <c r="G6039">
        <v>-191.18</v>
      </c>
      <c r="H6039" s="1">
        <v>-7.3778480000000004E-6</v>
      </c>
      <c r="I6039">
        <v>136.96520000000001</v>
      </c>
      <c r="J6039">
        <v>-192.1585</v>
      </c>
      <c r="K6039">
        <v>1.1204270000000001</v>
      </c>
      <c r="L6039">
        <v>172.2619</v>
      </c>
      <c r="M6039">
        <v>-3.2925320000000001E-2</v>
      </c>
      <c r="N6039">
        <v>-8.7632359999999902E-3</v>
      </c>
      <c r="O6039">
        <v>-0.99941939999999996</v>
      </c>
      <c r="P6039">
        <v>-0.12586649999999999</v>
      </c>
      <c r="Q6039">
        <v>0.1242465</v>
      </c>
      <c r="R6039">
        <v>-0.984236</v>
      </c>
      <c r="S6039">
        <v>8.4274290000000002E-2</v>
      </c>
      <c r="T6039">
        <v>-9.7059010000000001E-2</v>
      </c>
      <c r="U6039">
        <v>-3.0706790000000002</v>
      </c>
      <c r="V6039">
        <v>9.3564419999999995E-2</v>
      </c>
      <c r="W6039">
        <v>0.13277620000000001</v>
      </c>
      <c r="X6039">
        <v>0.98671989999999998</v>
      </c>
      <c r="Y6039">
        <v>-6.0316040000000001E-2</v>
      </c>
      <c r="Z6039">
        <v>2.2768130000000001E-2</v>
      </c>
      <c r="AA6039">
        <v>0.99791960000000002</v>
      </c>
      <c r="AB6039">
        <v>20</v>
      </c>
      <c r="AC6039">
        <v>0.97849999999999604</v>
      </c>
      <c r="AD6039">
        <v>-1.1204343778479999</v>
      </c>
      <c r="AE6039">
        <v>-35.296699999999902</v>
      </c>
      <c r="AF6039">
        <v>-2.1380165018384898</v>
      </c>
      <c r="AG6039">
        <v>-1.1204343778479999</v>
      </c>
      <c r="AH6039">
        <v>35.209890926775202</v>
      </c>
      <c r="AI6039">
        <v>91.819278572263897</v>
      </c>
      <c r="AJ6039">
        <v>93.474850180034196</v>
      </c>
      <c r="AK6039">
        <v>35.2925333014309</v>
      </c>
      <c r="AL6039">
        <v>82.369952024776794</v>
      </c>
      <c r="AM6039">
        <v>84.583199243099799</v>
      </c>
      <c r="AN6039">
        <v>0.99999999051619304</v>
      </c>
    </row>
    <row r="6040" spans="1:40" x14ac:dyDescent="0.25">
      <c r="A6040" t="str">
        <f>"20190303162032716"</f>
        <v>20190303162032716</v>
      </c>
      <c r="B6040" t="str">
        <f>"1551601232708125"</f>
        <v>1551601232708125</v>
      </c>
      <c r="C6040" t="s">
        <v>40</v>
      </c>
      <c r="D6040">
        <v>4.5233530000000002</v>
      </c>
      <c r="E6040">
        <v>0.44207279999999999</v>
      </c>
      <c r="F6040" t="s">
        <v>50</v>
      </c>
      <c r="G6040">
        <v>-191.2105</v>
      </c>
      <c r="H6040" s="1">
        <v>-7.1163260000000002E-6</v>
      </c>
      <c r="I6040">
        <v>136.13390000000001</v>
      </c>
      <c r="J6040">
        <v>-192.1628</v>
      </c>
      <c r="K6040">
        <v>1.1204229999999999</v>
      </c>
      <c r="L6040">
        <v>172.15029999999999</v>
      </c>
      <c r="M6040">
        <v>-3.3440589999999999E-2</v>
      </c>
      <c r="N6040">
        <v>-8.7661849999999993E-3</v>
      </c>
      <c r="O6040">
        <v>-0.99940220000000002</v>
      </c>
      <c r="P6040">
        <v>-0.12632360000000001</v>
      </c>
      <c r="Q6040">
        <v>0.1249089</v>
      </c>
      <c r="R6040">
        <v>-0.98409349999999995</v>
      </c>
      <c r="S6040">
        <v>8.0566410000000005E-2</v>
      </c>
      <c r="T6040">
        <v>-9.5221159999999999E-2</v>
      </c>
      <c r="U6040">
        <v>-3.0703740000000002</v>
      </c>
      <c r="V6040">
        <v>9.3517749999999997E-2</v>
      </c>
      <c r="W6040">
        <v>0.1334407</v>
      </c>
      <c r="X6040">
        <v>0.98663469999999998</v>
      </c>
      <c r="Y6040">
        <v>-5.9629750000000002E-2</v>
      </c>
      <c r="Z6040">
        <v>2.2172069999999999E-2</v>
      </c>
      <c r="AA6040">
        <v>0.99797429999999998</v>
      </c>
      <c r="AB6040">
        <v>20</v>
      </c>
      <c r="AC6040">
        <v>0.95230000000000803</v>
      </c>
      <c r="AD6040">
        <v>-1.120430116326</v>
      </c>
      <c r="AE6040">
        <v>-36.016399999999898</v>
      </c>
      <c r="AF6040">
        <v>-2.1541401237694999</v>
      </c>
      <c r="AG6040">
        <v>-1.120430116326</v>
      </c>
      <c r="AH6040">
        <v>35.929660932605103</v>
      </c>
      <c r="AI6040">
        <v>91.782932630197806</v>
      </c>
      <c r="AJ6040">
        <v>93.431025228897198</v>
      </c>
      <c r="AK6040">
        <v>36.011612266744898</v>
      </c>
      <c r="AL6040">
        <v>82.331537297549602</v>
      </c>
      <c r="AM6040">
        <v>84.585420335362699</v>
      </c>
      <c r="AN6040">
        <v>1.00000001061282</v>
      </c>
    </row>
    <row r="6041" spans="1:40" x14ac:dyDescent="0.25">
      <c r="A6041" t="str">
        <f>"20190303162032730"</f>
        <v>20190303162032730</v>
      </c>
      <c r="B6041" t="str">
        <f>"1551601232718861"</f>
        <v>1551601232718861</v>
      </c>
      <c r="C6041" t="s">
        <v>40</v>
      </c>
      <c r="D6041">
        <v>4.5285380000000002</v>
      </c>
      <c r="E6041">
        <v>0.4579838</v>
      </c>
      <c r="F6041" t="s">
        <v>50</v>
      </c>
      <c r="G6041">
        <v>-191.21350000000001</v>
      </c>
      <c r="H6041" s="1">
        <v>-6.8345700000000002E-6</v>
      </c>
      <c r="I6041">
        <v>135.2518</v>
      </c>
      <c r="J6041">
        <v>-192.16749999999999</v>
      </c>
      <c r="K6041">
        <v>1.1204229999999999</v>
      </c>
      <c r="L6041">
        <v>172.02610000000001</v>
      </c>
      <c r="M6041">
        <v>-3.401245E-2</v>
      </c>
      <c r="N6041">
        <v>-8.7692999999999903E-3</v>
      </c>
      <c r="O6041">
        <v>-0.99938320000000003</v>
      </c>
      <c r="P6041">
        <v>-0.1266526</v>
      </c>
      <c r="Q6041">
        <v>0.1249059</v>
      </c>
      <c r="R6041">
        <v>-0.98405220000000004</v>
      </c>
      <c r="S6041">
        <v>7.8994750000000002E-2</v>
      </c>
      <c r="T6041">
        <v>-9.3235020000000002E-2</v>
      </c>
      <c r="U6041">
        <v>-3.070465</v>
      </c>
      <c r="V6041">
        <v>9.3282740000000003E-2</v>
      </c>
      <c r="W6041">
        <v>0.1334417</v>
      </c>
      <c r="X6041">
        <v>0.9866568</v>
      </c>
      <c r="Y6041">
        <v>-5.9690199999999902E-2</v>
      </c>
      <c r="Z6041">
        <v>2.1522449999999999E-2</v>
      </c>
      <c r="AA6041">
        <v>0.99798489999999995</v>
      </c>
      <c r="AB6041">
        <v>20</v>
      </c>
      <c r="AC6041">
        <v>0.95399999999997898</v>
      </c>
      <c r="AD6041">
        <v>-1.1204298345699999</v>
      </c>
      <c r="AE6041">
        <v>-36.774299999999997</v>
      </c>
      <c r="AF6041">
        <v>-2.20223686329475</v>
      </c>
      <c r="AG6041">
        <v>-1.1204298345699999</v>
      </c>
      <c r="AH6041">
        <v>36.6865393923905</v>
      </c>
      <c r="AI6041">
        <v>91.746163864972999</v>
      </c>
      <c r="AJ6041">
        <v>93.435255772102096</v>
      </c>
      <c r="AK6041">
        <v>36.769653014485598</v>
      </c>
      <c r="AL6041">
        <v>82.331479394633504</v>
      </c>
      <c r="AM6041">
        <v>84.599066864926897</v>
      </c>
      <c r="AN6041">
        <v>0.99999999893351799</v>
      </c>
    </row>
    <row r="6042" spans="1:40" x14ac:dyDescent="0.25">
      <c r="A6042" t="str">
        <f>"20190303162032743"</f>
        <v>20190303162032743</v>
      </c>
      <c r="B6042" t="str">
        <f>"1551601232738381"</f>
        <v>1551601232738381</v>
      </c>
      <c r="C6042" t="s">
        <v>40</v>
      </c>
      <c r="D6042">
        <v>4.5256439999999998</v>
      </c>
      <c r="E6042">
        <v>0.45897949999999998</v>
      </c>
      <c r="F6042" t="s">
        <v>50</v>
      </c>
      <c r="G6042">
        <v>-192.9417</v>
      </c>
      <c r="H6042" s="1">
        <v>-2.5916529999999999E-6</v>
      </c>
      <c r="I6042">
        <v>122.8956</v>
      </c>
      <c r="J6042">
        <v>-192.17259999999999</v>
      </c>
      <c r="K6042">
        <v>1.120425</v>
      </c>
      <c r="L6042">
        <v>171.8981</v>
      </c>
      <c r="M6042">
        <v>-3.4599400000000002E-2</v>
      </c>
      <c r="N6042">
        <v>-8.7722440000000002E-3</v>
      </c>
      <c r="O6042">
        <v>-0.99936290000000005</v>
      </c>
      <c r="P6042">
        <v>-0.12729660000000001</v>
      </c>
      <c r="Q6042">
        <v>0.12507889999999999</v>
      </c>
      <c r="R6042">
        <v>-0.98394700000000002</v>
      </c>
      <c r="S6042">
        <v>-4.8080440000000002E-2</v>
      </c>
      <c r="T6042">
        <v>-6.9585439999999998E-2</v>
      </c>
      <c r="U6042">
        <v>-3.0513150000000002</v>
      </c>
      <c r="V6042">
        <v>9.3349769999999999E-2</v>
      </c>
      <c r="W6042">
        <v>0.13361700000000001</v>
      </c>
      <c r="X6042">
        <v>0.98662669999999997</v>
      </c>
      <c r="Y6042">
        <v>-1.8849479999999998E-2</v>
      </c>
      <c r="Z6042">
        <v>1.400678E-2</v>
      </c>
      <c r="AA6042">
        <v>0.99972419999999995</v>
      </c>
      <c r="AB6042">
        <v>21</v>
      </c>
      <c r="AC6042">
        <v>-0.769100000000008</v>
      </c>
      <c r="AD6042">
        <v>-1.120427591653</v>
      </c>
      <c r="AE6042">
        <v>-49.002499999999998</v>
      </c>
      <c r="AF6042">
        <v>-0.92639843059592897</v>
      </c>
      <c r="AG6042">
        <v>-1.120427591653</v>
      </c>
      <c r="AH6042">
        <v>48.9741723570598</v>
      </c>
      <c r="AI6042">
        <v>91.310345771480101</v>
      </c>
      <c r="AJ6042">
        <v>91.083681217996698</v>
      </c>
      <c r="AK6042">
        <v>48.9957460408488</v>
      </c>
      <c r="AL6042">
        <v>82.321344414548705</v>
      </c>
      <c r="AM6042">
        <v>84.595044987567604</v>
      </c>
      <c r="AN6042">
        <v>0.99999996370046995</v>
      </c>
    </row>
    <row r="6043" spans="1:40" x14ac:dyDescent="0.25">
      <c r="A6043" t="str">
        <f>"20190303162032755"</f>
        <v>20190303162032755</v>
      </c>
      <c r="B6043" t="str">
        <f>"1551601232748141"</f>
        <v>1551601232748141</v>
      </c>
      <c r="C6043" t="s">
        <v>40</v>
      </c>
      <c r="D6043">
        <v>4.5139659999999999</v>
      </c>
      <c r="E6043">
        <v>0.4589414</v>
      </c>
      <c r="F6043" t="s">
        <v>50</v>
      </c>
      <c r="G6043">
        <v>-193.13829999999999</v>
      </c>
      <c r="H6043" s="1">
        <v>-1.5788860000000001E-6</v>
      </c>
      <c r="I6043">
        <v>120.95269999999999</v>
      </c>
      <c r="J6043">
        <v>-192.17699999999999</v>
      </c>
      <c r="K6043">
        <v>1.1204289999999999</v>
      </c>
      <c r="L6043">
        <v>171.78599999999901</v>
      </c>
      <c r="M6043">
        <v>-3.5108380000000002E-2</v>
      </c>
      <c r="N6043">
        <v>-8.7745940000000001E-3</v>
      </c>
      <c r="O6043">
        <v>-0.99934500000000004</v>
      </c>
      <c r="P6043">
        <v>-0.12814629999999999</v>
      </c>
      <c r="Q6043">
        <v>0.124956</v>
      </c>
      <c r="R6043">
        <v>-0.9838519</v>
      </c>
      <c r="S6043">
        <v>-5.781555E-2</v>
      </c>
      <c r="T6043">
        <v>-6.7077520000000002E-2</v>
      </c>
      <c r="U6043">
        <v>-3.0499879999999999</v>
      </c>
      <c r="V6043">
        <v>9.3698489999999995E-2</v>
      </c>
      <c r="W6043">
        <v>0.13349649999999999</v>
      </c>
      <c r="X6043">
        <v>0.98660999999999999</v>
      </c>
      <c r="Y6043">
        <v>-1.6161999999999999E-2</v>
      </c>
      <c r="Z6043">
        <v>1.319326E-2</v>
      </c>
      <c r="AA6043">
        <v>0.99978230000000001</v>
      </c>
      <c r="AB6043">
        <v>21</v>
      </c>
      <c r="AC6043">
        <v>-0.96129999999996496</v>
      </c>
      <c r="AD6043">
        <v>-1.1204305788860001</v>
      </c>
      <c r="AE6043">
        <v>-50.833299999999902</v>
      </c>
      <c r="AF6043">
        <v>-0.82363618532118699</v>
      </c>
      <c r="AG6043">
        <v>-1.1204305788860001</v>
      </c>
      <c r="AH6043">
        <v>50.811034317826497</v>
      </c>
      <c r="AI6043">
        <v>91.263054652067893</v>
      </c>
      <c r="AJ6043">
        <v>90.928671209103399</v>
      </c>
      <c r="AK6043">
        <v>50.830059509066203</v>
      </c>
      <c r="AL6043">
        <v>82.328311305084796</v>
      </c>
      <c r="AM6043">
        <v>84.574883045785199</v>
      </c>
      <c r="AN6043">
        <v>1.00000000732026</v>
      </c>
    </row>
    <row r="6044" spans="1:40" x14ac:dyDescent="0.25">
      <c r="A6044" t="str">
        <f>"20190303162032771"</f>
        <v>20190303162032771</v>
      </c>
      <c r="B6044" t="str">
        <f>"1551601232758876"</f>
        <v>1551601232758876</v>
      </c>
      <c r="C6044" t="s">
        <v>40</v>
      </c>
      <c r="D6044">
        <v>4.5391779999999997</v>
      </c>
      <c r="E6044">
        <v>0.45878160000000001</v>
      </c>
      <c r="F6044" t="s">
        <v>50</v>
      </c>
      <c r="G6044">
        <v>-193.1412</v>
      </c>
      <c r="H6044" s="1">
        <v>-2.6293599999999999E-6</v>
      </c>
      <c r="I6044">
        <v>122.86750000000001</v>
      </c>
      <c r="J6044">
        <v>-192.18279999999999</v>
      </c>
      <c r="K6044">
        <v>1.1204350000000001</v>
      </c>
      <c r="L6044">
        <v>171.64179999999999</v>
      </c>
      <c r="M6044">
        <v>-3.5758199999999997E-2</v>
      </c>
      <c r="N6044">
        <v>-8.7774510000000004E-3</v>
      </c>
      <c r="O6044">
        <v>-0.99932209999999999</v>
      </c>
      <c r="P6044">
        <v>-0.12968879999999999</v>
      </c>
      <c r="Q6044">
        <v>0.124893</v>
      </c>
      <c r="R6044">
        <v>-0.98365809999999998</v>
      </c>
      <c r="S6044">
        <v>-6.011963E-2</v>
      </c>
      <c r="T6044">
        <v>-6.9864029999999994E-2</v>
      </c>
      <c r="U6044">
        <v>-3.0502929999999999</v>
      </c>
      <c r="V6044">
        <v>9.4603259999999995E-2</v>
      </c>
      <c r="W6044">
        <v>0.13343550000000001</v>
      </c>
      <c r="X6044">
        <v>0.98653190000000002</v>
      </c>
      <c r="Y6044">
        <v>-1.605933E-2</v>
      </c>
      <c r="Z6044">
        <v>1.409944E-2</v>
      </c>
      <c r="AA6044">
        <v>0.99977169999999904</v>
      </c>
      <c r="AB6044">
        <v>21</v>
      </c>
      <c r="AC6044">
        <v>-0.95840000000001102</v>
      </c>
      <c r="AD6044">
        <v>-1.12043762936</v>
      </c>
      <c r="AE6044">
        <v>-48.774299999999897</v>
      </c>
      <c r="AF6044">
        <v>-0.78594643806787301</v>
      </c>
      <c r="AG6044">
        <v>-1.12043762936</v>
      </c>
      <c r="AH6044">
        <v>48.751660315743401</v>
      </c>
      <c r="AI6044">
        <v>91.316400537826695</v>
      </c>
      <c r="AJ6044">
        <v>90.923609840415494</v>
      </c>
      <c r="AK6044">
        <v>48.770867080937002</v>
      </c>
      <c r="AL6044">
        <v>82.331837839026505</v>
      </c>
      <c r="AM6044">
        <v>84.522383196443599</v>
      </c>
      <c r="AN6044">
        <v>0.99999999959024299</v>
      </c>
    </row>
    <row r="6045" spans="1:40" x14ac:dyDescent="0.25">
      <c r="A6045" t="str">
        <f>"20190303162032784"</f>
        <v>20190303162032784</v>
      </c>
      <c r="B6045" t="str">
        <f>"1551601232778397"</f>
        <v>1551601232778397</v>
      </c>
      <c r="C6045" t="s">
        <v>40</v>
      </c>
      <c r="D6045">
        <v>4.5343939999999998</v>
      </c>
      <c r="E6045">
        <v>0.45858349999999998</v>
      </c>
      <c r="F6045" t="s">
        <v>50</v>
      </c>
      <c r="G6045">
        <v>-193.15729999999999</v>
      </c>
      <c r="H6045" s="1">
        <v>-3.503348E-6</v>
      </c>
      <c r="I6045">
        <v>124.74160000000001</v>
      </c>
      <c r="J6045">
        <v>-192.1875</v>
      </c>
      <c r="K6045">
        <v>1.1204400000000001</v>
      </c>
      <c r="L6045">
        <v>171.52709999999999</v>
      </c>
      <c r="M6045">
        <v>-3.6269200000000001E-2</v>
      </c>
      <c r="N6045">
        <v>-8.7795700000000004E-3</v>
      </c>
      <c r="O6045">
        <v>-0.99930339999999995</v>
      </c>
      <c r="P6045">
        <v>-0.13072520000000001</v>
      </c>
      <c r="Q6045">
        <v>0.1249744</v>
      </c>
      <c r="R6045">
        <v>-0.98351029999999995</v>
      </c>
      <c r="S6045">
        <v>-6.3385010000000006E-2</v>
      </c>
      <c r="T6045">
        <v>-7.2881699999999994E-2</v>
      </c>
      <c r="U6045">
        <v>-3.050735</v>
      </c>
      <c r="V6045">
        <v>9.5137929999999996E-2</v>
      </c>
      <c r="W6045">
        <v>0.13351869999999999</v>
      </c>
      <c r="X6045">
        <v>0.98646920000000005</v>
      </c>
      <c r="Y6045">
        <v>-1.55041E-2</v>
      </c>
      <c r="Z6045">
        <v>1.508081E-2</v>
      </c>
      <c r="AA6045">
        <v>0.99976609999999999</v>
      </c>
      <c r="AB6045">
        <v>21</v>
      </c>
      <c r="AC6045">
        <v>-0.969799999999992</v>
      </c>
      <c r="AD6045">
        <v>-1.12044350334799</v>
      </c>
      <c r="AE6045">
        <v>-46.7854999999999</v>
      </c>
      <c r="AF6045">
        <v>-0.72735934935320201</v>
      </c>
      <c r="AG6045">
        <v>-1.12044350334799</v>
      </c>
      <c r="AH6045">
        <v>46.763082028727602</v>
      </c>
      <c r="AI6045">
        <v>91.3723784004669</v>
      </c>
      <c r="AJ6045">
        <v>90.891114502955503</v>
      </c>
      <c r="AK6045">
        <v>46.782157775083398</v>
      </c>
      <c r="AL6045">
        <v>82.327027605412496</v>
      </c>
      <c r="AM6045">
        <v>84.491267222491302</v>
      </c>
      <c r="AN6045">
        <v>0.99999997576150701</v>
      </c>
    </row>
    <row r="6046" spans="1:40" x14ac:dyDescent="0.25">
      <c r="A6046" t="str">
        <f>"20190303162032806"</f>
        <v>20190303162032806</v>
      </c>
      <c r="B6046" t="str">
        <f>"1551601232798892"</f>
        <v>1551601232798892</v>
      </c>
      <c r="C6046" t="s">
        <v>40</v>
      </c>
      <c r="D6046">
        <v>4.5670729999999997</v>
      </c>
      <c r="E6046">
        <v>0.45821699999999999</v>
      </c>
      <c r="F6046" t="s">
        <v>50</v>
      </c>
      <c r="G6046">
        <v>-193.1816</v>
      </c>
      <c r="H6046" s="1">
        <v>-3.6082410000000001E-6</v>
      </c>
      <c r="I6046">
        <v>124.9773</v>
      </c>
      <c r="J6046">
        <v>-192.1961</v>
      </c>
      <c r="K6046">
        <v>1.1204459999999901</v>
      </c>
      <c r="L6046">
        <v>171.32060000000001</v>
      </c>
      <c r="M6046">
        <v>-3.716651E-2</v>
      </c>
      <c r="N6046">
        <v>-8.7829459999999998E-3</v>
      </c>
      <c r="O6046">
        <v>-0.99927069999999996</v>
      </c>
      <c r="P6046">
        <v>-0.132969</v>
      </c>
      <c r="Q6046">
        <v>0.12513379999999999</v>
      </c>
      <c r="R6046">
        <v>-0.9831896</v>
      </c>
      <c r="S6046">
        <v>-6.5155030000000003E-2</v>
      </c>
      <c r="T6046">
        <v>-7.3435780000000006E-2</v>
      </c>
      <c r="U6046">
        <v>-3.0509490000000001</v>
      </c>
      <c r="V6046">
        <v>9.6501110000000001E-2</v>
      </c>
      <c r="W6046">
        <v>0.1336812</v>
      </c>
      <c r="X6046">
        <v>0.98631480000000005</v>
      </c>
      <c r="Y6046">
        <v>-1.5823630000000002E-2</v>
      </c>
      <c r="Z6046">
        <v>1.525583E-2</v>
      </c>
      <c r="AA6046">
        <v>0.99975840000000005</v>
      </c>
      <c r="AB6046">
        <v>21</v>
      </c>
      <c r="AC6046">
        <v>-0.98550000000000104</v>
      </c>
      <c r="AD6046">
        <v>-1.12044960824099</v>
      </c>
      <c r="AE6046">
        <v>-46.343299999999999</v>
      </c>
      <c r="AF6046">
        <v>-0.73723499983948804</v>
      </c>
      <c r="AG6046">
        <v>-1.12044960824099</v>
      </c>
      <c r="AH6046">
        <v>46.320843405829997</v>
      </c>
      <c r="AI6046">
        <v>91.385475480873296</v>
      </c>
      <c r="AJ6046">
        <v>90.911833307403896</v>
      </c>
      <c r="AK6046">
        <v>46.340257407539497</v>
      </c>
      <c r="AL6046">
        <v>82.317633054320794</v>
      </c>
      <c r="AM6046">
        <v>84.411962408681802</v>
      </c>
      <c r="AN6046">
        <v>1.0000000060818499</v>
      </c>
    </row>
    <row r="6047" spans="1:40" x14ac:dyDescent="0.25">
      <c r="A6047" t="str">
        <f>"20190303162032820"</f>
        <v>20190303162032820</v>
      </c>
      <c r="B6047" t="str">
        <f>"1551601232808653"</f>
        <v>1551601232808653</v>
      </c>
      <c r="C6047" t="s">
        <v>40</v>
      </c>
      <c r="D6047">
        <v>4.5772510000000004</v>
      </c>
      <c r="E6047">
        <v>0.45805899999999999</v>
      </c>
      <c r="F6047" t="s">
        <v>50</v>
      </c>
      <c r="G6047">
        <v>-193.21180000000001</v>
      </c>
      <c r="H6047" s="1">
        <v>-4.2314239999999997E-6</v>
      </c>
      <c r="I6047">
        <v>126.4378</v>
      </c>
      <c r="J6047">
        <v>-192.20179999999999</v>
      </c>
      <c r="K6047">
        <v>1.12046</v>
      </c>
      <c r="L6047">
        <v>171.18450000000001</v>
      </c>
      <c r="M6047">
        <v>-3.7736499999999999E-2</v>
      </c>
      <c r="N6047">
        <v>-8.7848979999999993E-3</v>
      </c>
      <c r="O6047">
        <v>-0.99924939999999995</v>
      </c>
      <c r="P6047">
        <v>-0.13447519999999999</v>
      </c>
      <c r="Q6047">
        <v>0.12516579999999999</v>
      </c>
      <c r="R6047">
        <v>-0.98298050000000003</v>
      </c>
      <c r="S6047">
        <v>-6.9061280000000003E-2</v>
      </c>
      <c r="T6047">
        <v>-7.6181170000000006E-2</v>
      </c>
      <c r="U6047">
        <v>-3.0516510000000001</v>
      </c>
      <c r="V6047">
        <v>9.744659E-2</v>
      </c>
      <c r="W6047">
        <v>0.13371620000000001</v>
      </c>
      <c r="X6047">
        <v>0.98621709999999996</v>
      </c>
      <c r="Y6047">
        <v>-1.5120110000000001E-2</v>
      </c>
      <c r="Z6047">
        <v>1.61455E-2</v>
      </c>
      <c r="AA6047">
        <v>0.99975530000000001</v>
      </c>
      <c r="AB6047">
        <v>21</v>
      </c>
      <c r="AC6047">
        <v>-1.01000000000001</v>
      </c>
      <c r="AD6047">
        <v>-1.1204642314239901</v>
      </c>
      <c r="AE6047">
        <v>-44.746699999999997</v>
      </c>
      <c r="AF6047">
        <v>-0.67894248205624996</v>
      </c>
      <c r="AG6047">
        <v>-1.1204642314239901</v>
      </c>
      <c r="AH6047">
        <v>44.724912254277399</v>
      </c>
      <c r="AI6047">
        <v>91.434928580728695</v>
      </c>
      <c r="AJ6047">
        <v>90.869706592227601</v>
      </c>
      <c r="AK6047">
        <v>44.744096584249498</v>
      </c>
      <c r="AL6047">
        <v>82.315609597620096</v>
      </c>
      <c r="AM6047">
        <v>84.357009242380201</v>
      </c>
      <c r="AN6047">
        <v>1.00000001418873</v>
      </c>
    </row>
    <row r="6048" spans="1:40" x14ac:dyDescent="0.25">
      <c r="A6048" t="str">
        <f>"20190303162032838"</f>
        <v>20190303162032838</v>
      </c>
      <c r="B6048" t="str">
        <f>"1551601232828173"</f>
        <v>1551601232828173</v>
      </c>
      <c r="C6048" t="s">
        <v>40</v>
      </c>
      <c r="D6048">
        <v>4.5407929999999999</v>
      </c>
      <c r="E6048">
        <v>0.45784750000000002</v>
      </c>
      <c r="F6048" t="s">
        <v>50</v>
      </c>
      <c r="G6048">
        <v>-193.23929999999999</v>
      </c>
      <c r="H6048" s="1">
        <v>-4.59874E-6</v>
      </c>
      <c r="I6048">
        <v>127.2936</v>
      </c>
      <c r="J6048">
        <v>-192.20869999999999</v>
      </c>
      <c r="K6048">
        <v>1.120474</v>
      </c>
      <c r="L6048">
        <v>171.02119999999999</v>
      </c>
      <c r="M6048">
        <v>-3.8401369999999997E-2</v>
      </c>
      <c r="N6048">
        <v>-8.7870510000000006E-3</v>
      </c>
      <c r="O6048">
        <v>-0.9992238</v>
      </c>
      <c r="P6048">
        <v>-0.1368935</v>
      </c>
      <c r="Q6048">
        <v>0.1260493</v>
      </c>
      <c r="R6048">
        <v>-0.98253349999999995</v>
      </c>
      <c r="S6048">
        <v>-7.2143550000000001E-2</v>
      </c>
      <c r="T6048">
        <v>-7.7913049999999998E-2</v>
      </c>
      <c r="U6048">
        <v>-3.0520170000000002</v>
      </c>
      <c r="V6048">
        <v>9.9218500000000001E-2</v>
      </c>
      <c r="W6048">
        <v>0.1346012</v>
      </c>
      <c r="X6048">
        <v>0.98592000000000002</v>
      </c>
      <c r="Y6048">
        <v>-1.4779250000000001E-2</v>
      </c>
      <c r="Z6048">
        <v>1.67057E-2</v>
      </c>
      <c r="AA6048">
        <v>0.99975119999999895</v>
      </c>
      <c r="AB6048">
        <v>21</v>
      </c>
      <c r="AC6048">
        <v>-1.03059999999999</v>
      </c>
      <c r="AD6048">
        <v>-1.1204785987400001</v>
      </c>
      <c r="AE6048">
        <v>-43.727600000000002</v>
      </c>
      <c r="AF6048">
        <v>-0.64899885368804999</v>
      </c>
      <c r="AG6048">
        <v>-1.1204785987400001</v>
      </c>
      <c r="AH6048">
        <v>43.706240555489799</v>
      </c>
      <c r="AI6048">
        <v>91.468384445292301</v>
      </c>
      <c r="AJ6048">
        <v>90.850728913591396</v>
      </c>
      <c r="AK6048">
        <v>43.725417497111103</v>
      </c>
      <c r="AL6048">
        <v>82.264440299592394</v>
      </c>
      <c r="AM6048">
        <v>84.253361178008106</v>
      </c>
      <c r="AN6048">
        <v>1.00000002009184</v>
      </c>
    </row>
    <row r="6049" spans="1:40" x14ac:dyDescent="0.25">
      <c r="A6049" t="str">
        <f>"20190303162032850"</f>
        <v>20190303162032850</v>
      </c>
      <c r="B6049" t="str">
        <f>"1551601232838908"</f>
        <v>1551601232838908</v>
      </c>
      <c r="C6049" t="s">
        <v>40</v>
      </c>
      <c r="D6049">
        <v>4.5645449999999999</v>
      </c>
      <c r="E6049">
        <v>0.45785520000000002</v>
      </c>
      <c r="F6049" t="s">
        <v>50</v>
      </c>
      <c r="G6049">
        <v>-193.37569999999999</v>
      </c>
      <c r="H6049" s="1">
        <v>-3.7064100000000001E-6</v>
      </c>
      <c r="I6049">
        <v>125.1079</v>
      </c>
      <c r="J6049">
        <v>-192.21369999999999</v>
      </c>
      <c r="K6049">
        <v>1.12049</v>
      </c>
      <c r="L6049">
        <v>170.90549999999999</v>
      </c>
      <c r="M6049">
        <v>-3.8856799999999997E-2</v>
      </c>
      <c r="N6049">
        <v>-8.7884250000000008E-3</v>
      </c>
      <c r="O6049">
        <v>-0.99920640000000005</v>
      </c>
      <c r="P6049">
        <v>-0.13820669999999999</v>
      </c>
      <c r="Q6049">
        <v>0.12589510000000001</v>
      </c>
      <c r="R6049">
        <v>-0.98236970000000001</v>
      </c>
      <c r="S6049">
        <v>-7.7575679999999994E-2</v>
      </c>
      <c r="T6049">
        <v>-7.448399E-2</v>
      </c>
      <c r="U6049">
        <v>-3.0520939999999999</v>
      </c>
      <c r="V6049">
        <v>0.1000823</v>
      </c>
      <c r="W6049">
        <v>0.1344505</v>
      </c>
      <c r="X6049">
        <v>0.98585330000000004</v>
      </c>
      <c r="Y6049">
        <v>-1.345707E-2</v>
      </c>
      <c r="Z6049">
        <v>1.5581889999999999E-2</v>
      </c>
      <c r="AA6049">
        <v>0.99978800000000001</v>
      </c>
      <c r="AB6049">
        <v>21</v>
      </c>
      <c r="AC6049">
        <v>-1.1619999999999999</v>
      </c>
      <c r="AD6049">
        <v>-1.12049370641</v>
      </c>
      <c r="AE6049">
        <v>-45.797599999999903</v>
      </c>
      <c r="AF6049">
        <v>-0.61812430420301201</v>
      </c>
      <c r="AG6049">
        <v>-1.12049370641</v>
      </c>
      <c r="AH6049">
        <v>45.780777310862398</v>
      </c>
      <c r="AI6049">
        <v>91.401918053468506</v>
      </c>
      <c r="AJ6049">
        <v>90.773550910677301</v>
      </c>
      <c r="AK6049">
        <v>45.798658877617001</v>
      </c>
      <c r="AL6049">
        <v>82.273154340188995</v>
      </c>
      <c r="AM6049">
        <v>84.203280432396895</v>
      </c>
      <c r="AN6049">
        <v>1.00000006642221</v>
      </c>
    </row>
    <row r="6050" spans="1:40" x14ac:dyDescent="0.25">
      <c r="A6050" t="str">
        <f>"20190303162032863"</f>
        <v>20190303162032863</v>
      </c>
      <c r="B6050" t="str">
        <f>"1551601232858429"</f>
        <v>1551601232858429</v>
      </c>
      <c r="C6050" t="s">
        <v>40</v>
      </c>
      <c r="D6050">
        <v>4.5662839999999996</v>
      </c>
      <c r="E6050">
        <v>0.45751459999999999</v>
      </c>
      <c r="F6050" t="s">
        <v>50</v>
      </c>
      <c r="G6050">
        <v>-193.42930000000001</v>
      </c>
      <c r="H6050" s="1">
        <v>-3.795129E-6</v>
      </c>
      <c r="I6050">
        <v>125.29</v>
      </c>
      <c r="J6050">
        <v>-192.21899999999999</v>
      </c>
      <c r="K6050">
        <v>1.1205039999999999</v>
      </c>
      <c r="L6050">
        <v>170.78399999999999</v>
      </c>
      <c r="M6050">
        <v>-3.9321299999999997E-2</v>
      </c>
      <c r="N6050">
        <v>-8.7897210000000003E-3</v>
      </c>
      <c r="O6050">
        <v>-0.99918799999999997</v>
      </c>
      <c r="P6050">
        <v>-0.13896929999999999</v>
      </c>
      <c r="Q6050">
        <v>0.12604769999999901</v>
      </c>
      <c r="R6050">
        <v>-0.98224219999999896</v>
      </c>
      <c r="S6050">
        <v>-8.1329349999999995E-2</v>
      </c>
      <c r="T6050">
        <v>-7.4969049999999995E-2</v>
      </c>
      <c r="U6050">
        <v>-3.0520019999999999</v>
      </c>
      <c r="V6050">
        <v>0.1003853</v>
      </c>
      <c r="W6050">
        <v>0.1346079</v>
      </c>
      <c r="X6050">
        <v>0.98580100000000004</v>
      </c>
      <c r="Y6050">
        <v>-1.2692500000000001E-2</v>
      </c>
      <c r="Z6050">
        <v>1.573925E-2</v>
      </c>
      <c r="AA6050">
        <v>0.99979560000000001</v>
      </c>
      <c r="AB6050">
        <v>21</v>
      </c>
      <c r="AC6050">
        <v>-1.2102999999999799</v>
      </c>
      <c r="AD6050">
        <v>-1.1205077951289999</v>
      </c>
      <c r="AE6050">
        <v>-45.494</v>
      </c>
      <c r="AF6050">
        <v>-0.57923721914612003</v>
      </c>
      <c r="AG6050">
        <v>-1.1205077951289999</v>
      </c>
      <c r="AH6050">
        <v>45.478836312773304</v>
      </c>
      <c r="AI6050">
        <v>91.411253751926196</v>
      </c>
      <c r="AJ6050">
        <v>90.729703227338703</v>
      </c>
      <c r="AK6050">
        <v>45.4963251904922</v>
      </c>
      <c r="AL6050">
        <v>82.2640531514824</v>
      </c>
      <c r="AM6050">
        <v>84.185544518448395</v>
      </c>
      <c r="AN6050">
        <v>1.00000005339974</v>
      </c>
    </row>
    <row r="6051" spans="1:40" x14ac:dyDescent="0.25">
      <c r="A6051" t="str">
        <f>"20190303162032875"</f>
        <v>20190303162032875</v>
      </c>
      <c r="B6051" t="str">
        <f>"1551601232868189"</f>
        <v>1551601232868189</v>
      </c>
      <c r="C6051" t="s">
        <v>40</v>
      </c>
      <c r="D6051">
        <v>4.555364</v>
      </c>
      <c r="E6051">
        <v>0.45728540000000001</v>
      </c>
      <c r="F6051" t="s">
        <v>50</v>
      </c>
      <c r="G6051">
        <v>-193.41470000000001</v>
      </c>
      <c r="H6051" s="1">
        <v>-3.8385709999999998E-6</v>
      </c>
      <c r="I6051">
        <v>125.40049999999999</v>
      </c>
      <c r="J6051">
        <v>-192.22399999999999</v>
      </c>
      <c r="K6051">
        <v>1.1205259999999999</v>
      </c>
      <c r="L6051">
        <v>170.66990000000001</v>
      </c>
      <c r="M6051">
        <v>-3.973401E-2</v>
      </c>
      <c r="N6051">
        <v>-8.7908780000000002E-3</v>
      </c>
      <c r="O6051">
        <v>-0.99917160000000005</v>
      </c>
      <c r="P6051">
        <v>-0.1398141</v>
      </c>
      <c r="Q6051">
        <v>0.12552569999999999</v>
      </c>
      <c r="R6051">
        <v>-0.98218859999999997</v>
      </c>
      <c r="S6051">
        <v>-8.042908E-2</v>
      </c>
      <c r="T6051">
        <v>-7.5366500000000003E-2</v>
      </c>
      <c r="U6051">
        <v>-3.0525359999999999</v>
      </c>
      <c r="V6051">
        <v>0.1008177</v>
      </c>
      <c r="W6051">
        <v>0.13409090000000001</v>
      </c>
      <c r="X6051">
        <v>0.98582729999999996</v>
      </c>
      <c r="Y6051">
        <v>-1.340477E-2</v>
      </c>
      <c r="Z6051">
        <v>1.586311E-2</v>
      </c>
      <c r="AA6051">
        <v>0.99978429999999996</v>
      </c>
      <c r="AB6051">
        <v>21</v>
      </c>
      <c r="AC6051">
        <v>-1.1906999999999901</v>
      </c>
      <c r="AD6051">
        <v>-1.1205298385710001</v>
      </c>
      <c r="AE6051">
        <v>-45.269399999999997</v>
      </c>
      <c r="AF6051">
        <v>-0.60867204844501499</v>
      </c>
      <c r="AG6051">
        <v>-1.1205298385710001</v>
      </c>
      <c r="AH6051">
        <v>45.253253930643098</v>
      </c>
      <c r="AI6051">
        <v>91.418300466624302</v>
      </c>
      <c r="AJ6051">
        <v>90.770601749531295</v>
      </c>
      <c r="AK6051">
        <v>45.271216684477899</v>
      </c>
      <c r="AL6051">
        <v>82.293945831502697</v>
      </c>
      <c r="AM6051">
        <v>84.160826716755295</v>
      </c>
      <c r="AN6051">
        <v>1.0000000217606899</v>
      </c>
    </row>
    <row r="6052" spans="1:40" x14ac:dyDescent="0.25">
      <c r="A6052" t="str">
        <f>"20190303162032888"</f>
        <v>20190303162032888</v>
      </c>
      <c r="B6052" t="str">
        <f>"1551601232878925"</f>
        <v>1551601232878925</v>
      </c>
      <c r="C6052" t="s">
        <v>40</v>
      </c>
      <c r="D6052">
        <v>4.5544409999999997</v>
      </c>
      <c r="E6052">
        <v>0.45710020000000001</v>
      </c>
      <c r="F6052" t="s">
        <v>50</v>
      </c>
      <c r="G6052">
        <v>-193.3903</v>
      </c>
      <c r="H6052" s="1">
        <v>-4.4512039999999999E-6</v>
      </c>
      <c r="I6052">
        <v>126.8647</v>
      </c>
      <c r="J6052">
        <v>-192.22919999999999</v>
      </c>
      <c r="K6052">
        <v>1.1205419999999999</v>
      </c>
      <c r="L6052">
        <v>170.55009999999999</v>
      </c>
      <c r="M6052">
        <v>-4.0156299999999999E-2</v>
      </c>
      <c r="N6052">
        <v>-8.7920949999999998E-3</v>
      </c>
      <c r="O6052">
        <v>-0.99915480000000001</v>
      </c>
      <c r="P6052">
        <v>-0.1404493</v>
      </c>
      <c r="Q6052">
        <v>0.12514120000000001</v>
      </c>
      <c r="R6052">
        <v>-0.98214760000000001</v>
      </c>
      <c r="S6052">
        <v>-8.1283569999999999E-2</v>
      </c>
      <c r="T6052">
        <v>-7.8090549999999995E-2</v>
      </c>
      <c r="U6052">
        <v>-3.0528110000000002</v>
      </c>
      <c r="V6052">
        <v>0.1010305</v>
      </c>
      <c r="W6052">
        <v>0.13371189999999999</v>
      </c>
      <c r="X6052">
        <v>0.98585699999999998</v>
      </c>
      <c r="Y6052">
        <v>-1.3550410000000001E-2</v>
      </c>
      <c r="Z6052">
        <v>1.6749389999999999E-2</v>
      </c>
      <c r="AA6052">
        <v>0.99976790000000004</v>
      </c>
      <c r="AB6052">
        <v>21</v>
      </c>
      <c r="AC6052">
        <v>-1.1611</v>
      </c>
      <c r="AD6052">
        <v>-1.120546451204</v>
      </c>
      <c r="AE6052">
        <v>-43.685399999999902</v>
      </c>
      <c r="AF6052">
        <v>-0.59375792955380902</v>
      </c>
      <c r="AG6052">
        <v>-1.120546451204</v>
      </c>
      <c r="AH6052">
        <v>43.668077627194101</v>
      </c>
      <c r="AI6052">
        <v>91.469782266656907</v>
      </c>
      <c r="AJ6052">
        <v>90.779006747372705</v>
      </c>
      <c r="AK6052">
        <v>43.686487344290597</v>
      </c>
      <c r="AL6052">
        <v>82.315858318690601</v>
      </c>
      <c r="AM6052">
        <v>84.148762224791994</v>
      </c>
      <c r="AN6052">
        <v>1.0000000292904201</v>
      </c>
    </row>
    <row r="6053" spans="1:40" x14ac:dyDescent="0.25">
      <c r="A6053" t="str">
        <f>"20190303162032902"</f>
        <v>20190303162032902</v>
      </c>
      <c r="B6053" t="str">
        <f>"1551601232888686"</f>
        <v>1551601232888686</v>
      </c>
      <c r="C6053" t="s">
        <v>40</v>
      </c>
      <c r="D6053">
        <v>4.5100720000000001</v>
      </c>
      <c r="E6053">
        <v>0.45689190000000002</v>
      </c>
      <c r="F6053" t="s">
        <v>50</v>
      </c>
      <c r="G6053">
        <v>-193.38720000000001</v>
      </c>
      <c r="H6053" s="1">
        <v>-4.6518049999999996E-6</v>
      </c>
      <c r="I6053">
        <v>127.3416</v>
      </c>
      <c r="J6053">
        <v>-192.23480000000001</v>
      </c>
      <c r="K6053">
        <v>1.1205609999999999</v>
      </c>
      <c r="L6053">
        <v>170.42240000000001</v>
      </c>
      <c r="M6053">
        <v>-4.0584700000000001E-2</v>
      </c>
      <c r="N6053">
        <v>-8.7934060000000001E-3</v>
      </c>
      <c r="O6053">
        <v>-0.99913730000000001</v>
      </c>
      <c r="P6053">
        <v>-0.14144499999999999</v>
      </c>
      <c r="Q6053">
        <v>0.1248455</v>
      </c>
      <c r="R6053">
        <v>-0.98204219999999998</v>
      </c>
      <c r="S6053">
        <v>-8.1817630000000002E-2</v>
      </c>
      <c r="T6053">
        <v>-7.9172370000000006E-2</v>
      </c>
      <c r="U6053">
        <v>-3.052902</v>
      </c>
      <c r="V6053">
        <v>0.1015997</v>
      </c>
      <c r="W6053">
        <v>0.13342179999999901</v>
      </c>
      <c r="X6053">
        <v>0.98583779999999999</v>
      </c>
      <c r="Y6053">
        <v>-1.380526E-2</v>
      </c>
      <c r="Z6053">
        <v>1.710018E-2</v>
      </c>
      <c r="AA6053">
        <v>0.99975849999999999</v>
      </c>
      <c r="AB6053">
        <v>21</v>
      </c>
      <c r="AC6053">
        <v>-1.1524000000000001</v>
      </c>
      <c r="AD6053">
        <v>-1.120565651805</v>
      </c>
      <c r="AE6053">
        <v>-43.080800000000004</v>
      </c>
      <c r="AF6053">
        <v>-0.59663529457933495</v>
      </c>
      <c r="AG6053">
        <v>-1.120565651805</v>
      </c>
      <c r="AH6053">
        <v>43.0629607720671</v>
      </c>
      <c r="AI6053">
        <v>91.490446518441104</v>
      </c>
      <c r="AJ6053">
        <v>90.793779539682603</v>
      </c>
      <c r="AK6053">
        <v>43.0816693213173</v>
      </c>
      <c r="AL6053">
        <v>82.332630044803906</v>
      </c>
      <c r="AM6053">
        <v>84.115913543114601</v>
      </c>
      <c r="AN6053">
        <v>1.0000000218320799</v>
      </c>
    </row>
    <row r="6054" spans="1:40" x14ac:dyDescent="0.25">
      <c r="A6054" t="str">
        <f>"20190303162032917"</f>
        <v>20190303162032917</v>
      </c>
      <c r="B6054" t="str">
        <f>"1551601232908204"</f>
        <v>1551601232908204</v>
      </c>
      <c r="C6054" t="s">
        <v>40</v>
      </c>
      <c r="D6054">
        <v>4.5141780000000002</v>
      </c>
      <c r="E6054">
        <v>0.45644479999999998</v>
      </c>
      <c r="F6054" t="s">
        <v>50</v>
      </c>
      <c r="G6054">
        <v>-193.39930000000001</v>
      </c>
      <c r="H6054" s="1">
        <v>-4.8858249999999999E-6</v>
      </c>
      <c r="I6054">
        <v>127.8896</v>
      </c>
      <c r="J6054">
        <v>-192.24109999999999</v>
      </c>
      <c r="K6054">
        <v>1.1205830000000001</v>
      </c>
      <c r="L6054">
        <v>170.28129999999999</v>
      </c>
      <c r="M6054">
        <v>-4.1035229999999999E-2</v>
      </c>
      <c r="N6054">
        <v>-8.7948109999999996E-3</v>
      </c>
      <c r="O6054">
        <v>-0.99911899999999998</v>
      </c>
      <c r="P6054">
        <v>-0.1418962</v>
      </c>
      <c r="Q6054">
        <v>0.1246025</v>
      </c>
      <c r="R6054">
        <v>-0.98200790000000004</v>
      </c>
      <c r="S6054">
        <v>-8.3587649999999999E-2</v>
      </c>
      <c r="T6054">
        <v>-8.0434800000000001E-2</v>
      </c>
      <c r="U6054">
        <v>-3.0530240000000002</v>
      </c>
      <c r="V6054">
        <v>0.1016002</v>
      </c>
      <c r="W6054">
        <v>0.133185</v>
      </c>
      <c r="X6054">
        <v>0.98586980000000002</v>
      </c>
      <c r="Y6054">
        <v>-1.36782E-2</v>
      </c>
      <c r="Z6054">
        <v>1.7509540000000001E-2</v>
      </c>
      <c r="AA6054">
        <v>0.99975309999999995</v>
      </c>
      <c r="AB6054">
        <v>21</v>
      </c>
      <c r="AC6054">
        <v>-1.1582000000000201</v>
      </c>
      <c r="AD6054">
        <v>-1.12058788582499</v>
      </c>
      <c r="AE6054">
        <v>-42.391699999999901</v>
      </c>
      <c r="AF6054">
        <v>-0.58198968387705596</v>
      </c>
      <c r="AG6054">
        <v>-1.12058788582499</v>
      </c>
      <c r="AH6054">
        <v>42.373932289272098</v>
      </c>
      <c r="AI6054">
        <v>91.514703528598801</v>
      </c>
      <c r="AJ6054">
        <v>90.786886047092594</v>
      </c>
      <c r="AK6054">
        <v>42.392741912476097</v>
      </c>
      <c r="AL6054">
        <v>82.346320108401599</v>
      </c>
      <c r="AM6054">
        <v>84.116074439516794</v>
      </c>
      <c r="AN6054">
        <v>1.0000000537085301</v>
      </c>
    </row>
    <row r="6055" spans="1:40" x14ac:dyDescent="0.25">
      <c r="A6055" t="str">
        <f>"20190303162032932"</f>
        <v>20190303162032932</v>
      </c>
      <c r="B6055" t="str">
        <f>"1551601232918941"</f>
        <v>1551601232918941</v>
      </c>
      <c r="C6055" t="s">
        <v>40</v>
      </c>
      <c r="D6055">
        <v>4.5969930000000003</v>
      </c>
      <c r="E6055">
        <v>0.45644479999999998</v>
      </c>
      <c r="F6055" t="s">
        <v>50</v>
      </c>
      <c r="G6055">
        <v>-193.3563</v>
      </c>
      <c r="H6055" s="1">
        <v>-5.0789020000000003E-6</v>
      </c>
      <c r="I6055">
        <v>128.5735</v>
      </c>
      <c r="J6055">
        <v>-192.2474</v>
      </c>
      <c r="K6055">
        <v>1.120601</v>
      </c>
      <c r="L6055">
        <v>170.1397</v>
      </c>
      <c r="M6055">
        <v>-4.147091E-2</v>
      </c>
      <c r="N6055">
        <v>-8.7961480000000002E-3</v>
      </c>
      <c r="O6055">
        <v>-0.99910100000000002</v>
      </c>
      <c r="P6055">
        <v>-0.14241319999999999</v>
      </c>
      <c r="Q6055">
        <v>0.1249981</v>
      </c>
      <c r="R6055">
        <v>-0.9818829</v>
      </c>
      <c r="S6055">
        <v>-8.1649780000000005E-2</v>
      </c>
      <c r="T6055">
        <v>-8.2041619999999996E-2</v>
      </c>
      <c r="U6055">
        <v>-3.0535580000000002</v>
      </c>
      <c r="V6055">
        <v>0.1016862</v>
      </c>
      <c r="W6055">
        <v>0.1335858</v>
      </c>
      <c r="X6055">
        <v>0.98580659999999998</v>
      </c>
      <c r="Y6055">
        <v>-1.475306E-2</v>
      </c>
      <c r="Z6055">
        <v>1.802782E-2</v>
      </c>
      <c r="AA6055">
        <v>0.99972859999999997</v>
      </c>
      <c r="AB6055">
        <v>21</v>
      </c>
      <c r="AC6055">
        <v>-1.1089</v>
      </c>
      <c r="AD6055">
        <v>-1.120606078902</v>
      </c>
      <c r="AE6055">
        <v>-41.566200000000002</v>
      </c>
      <c r="AF6055">
        <v>-0.61546185252086905</v>
      </c>
      <c r="AG6055">
        <v>-1.120606078902</v>
      </c>
      <c r="AH6055">
        <v>41.5462521283863</v>
      </c>
      <c r="AI6055">
        <v>91.544866101379398</v>
      </c>
      <c r="AJ6055">
        <v>90.848711631036096</v>
      </c>
      <c r="AK6055">
        <v>41.565918938373301</v>
      </c>
      <c r="AL6055">
        <v>82.323148115005097</v>
      </c>
      <c r="AM6055">
        <v>84.110754065839501</v>
      </c>
      <c r="AN6055">
        <v>0.99999995091781801</v>
      </c>
    </row>
    <row r="6056" spans="1:40" x14ac:dyDescent="0.25">
      <c r="A6056" t="str">
        <f>"20190303162032945"</f>
        <v>20190303162032945</v>
      </c>
      <c r="B6056" t="str">
        <f>"1551601232938461"</f>
        <v>1551601232938461</v>
      </c>
      <c r="C6056" t="s">
        <v>40</v>
      </c>
      <c r="D6056">
        <v>4.5563039999999999</v>
      </c>
      <c r="E6056">
        <v>0.45081320000000003</v>
      </c>
      <c r="F6056" t="s">
        <v>50</v>
      </c>
      <c r="G6056">
        <v>-193.40299999999999</v>
      </c>
      <c r="H6056" s="1">
        <v>-4.8902070000000002E-6</v>
      </c>
      <c r="I6056">
        <v>127.9</v>
      </c>
      <c r="J6056">
        <v>-192.25299999999999</v>
      </c>
      <c r="K6056">
        <v>1.1206149999999999</v>
      </c>
      <c r="L6056">
        <v>170.01519999999999</v>
      </c>
      <c r="M6056">
        <v>-4.1843060000000001E-2</v>
      </c>
      <c r="N6056">
        <v>-8.7972650000000003E-3</v>
      </c>
      <c r="O6056">
        <v>-0.99908580000000002</v>
      </c>
      <c r="P6056">
        <v>-0.142530399999999</v>
      </c>
      <c r="Q6056">
        <v>0.1254342</v>
      </c>
      <c r="R6056">
        <v>-0.98181079999999998</v>
      </c>
      <c r="S6056">
        <v>-8.3541870000000004E-2</v>
      </c>
      <c r="T6056">
        <v>-8.1009150000000002E-2</v>
      </c>
      <c r="U6056">
        <v>-3.053528</v>
      </c>
      <c r="V6056">
        <v>0.10143480000000001</v>
      </c>
      <c r="W6056">
        <v>0.13402620000000001</v>
      </c>
      <c r="X6056">
        <v>0.9857728</v>
      </c>
      <c r="Y6056">
        <v>-1.4506099999999999E-2</v>
      </c>
      <c r="Z6056">
        <v>1.7689030000000001E-2</v>
      </c>
      <c r="AA6056">
        <v>0.99973829999999997</v>
      </c>
      <c r="AB6056">
        <v>21</v>
      </c>
      <c r="AC6056">
        <v>-1.1499999999999999</v>
      </c>
      <c r="AD6056">
        <v>-1.1206198902069999</v>
      </c>
      <c r="AE6056">
        <v>-42.115199999999902</v>
      </c>
      <c r="AF6056">
        <v>-0.61287010368850103</v>
      </c>
      <c r="AG6056">
        <v>-1.1206198902069999</v>
      </c>
      <c r="AH6056">
        <v>42.096651247224699</v>
      </c>
      <c r="AI6056">
        <v>91.524701604225896</v>
      </c>
      <c r="AJ6056">
        <v>90.834089854963395</v>
      </c>
      <c r="AK6056">
        <v>42.116023612549</v>
      </c>
      <c r="AL6056">
        <v>82.297686676253804</v>
      </c>
      <c r="AM6056">
        <v>84.125012133869404</v>
      </c>
      <c r="AN6056">
        <v>1.00000002707865</v>
      </c>
    </row>
    <row r="6057" spans="1:40" x14ac:dyDescent="0.25">
      <c r="A6057" t="str">
        <f>"20190303162032960"</f>
        <v>20190303162032960</v>
      </c>
      <c r="B6057" t="str">
        <f>"1551601232948221"</f>
        <v>1551601232948221</v>
      </c>
      <c r="C6057" t="s">
        <v>40</v>
      </c>
      <c r="D6057">
        <v>4.5892019999999896</v>
      </c>
      <c r="E6057">
        <v>0.45084069999999998</v>
      </c>
      <c r="F6057" t="s">
        <v>50</v>
      </c>
      <c r="G6057">
        <v>-192.6695</v>
      </c>
      <c r="H6057" s="1">
        <v>-7.9062769999999996E-6</v>
      </c>
      <c r="I6057">
        <v>137.94839999999999</v>
      </c>
      <c r="J6057">
        <v>-192.25980000000001</v>
      </c>
      <c r="K6057">
        <v>1.1206210000000001</v>
      </c>
      <c r="L6057">
        <v>169.8656</v>
      </c>
      <c r="M6057">
        <v>-4.2272480000000001E-2</v>
      </c>
      <c r="N6057">
        <v>-8.7986460000000002E-3</v>
      </c>
      <c r="O6057">
        <v>-0.99906740000000005</v>
      </c>
      <c r="P6057">
        <v>-0.14250199999999999</v>
      </c>
      <c r="Q6057">
        <v>0.1258408</v>
      </c>
      <c r="R6057">
        <v>-0.98176249999999998</v>
      </c>
      <c r="S6057">
        <v>-3.9794919999999998E-2</v>
      </c>
      <c r="T6057">
        <v>-0.107058</v>
      </c>
      <c r="U6057">
        <v>-3.0634769999999998</v>
      </c>
      <c r="V6057">
        <v>0.1009814</v>
      </c>
      <c r="W6057">
        <v>0.13443729999999901</v>
      </c>
      <c r="X6057">
        <v>0.98576339999999996</v>
      </c>
      <c r="Y6057">
        <v>-2.9291919999999999E-2</v>
      </c>
      <c r="Z6057">
        <v>2.607727E-2</v>
      </c>
      <c r="AA6057">
        <v>0.99923070000000003</v>
      </c>
      <c r="AB6057">
        <v>21</v>
      </c>
      <c r="AC6057">
        <v>-0.40969999999998602</v>
      </c>
      <c r="AD6057">
        <v>-1.1206289062769901</v>
      </c>
      <c r="AE6057">
        <v>-31.917200000000001</v>
      </c>
      <c r="AF6057">
        <v>-0.938780557409571</v>
      </c>
      <c r="AG6057">
        <v>-1.1206289062769901</v>
      </c>
      <c r="AH6057">
        <v>31.866710194268201</v>
      </c>
      <c r="AI6057">
        <v>92.013168264165202</v>
      </c>
      <c r="AJ6057">
        <v>91.687422744767701</v>
      </c>
      <c r="AK6057">
        <v>31.900224712155701</v>
      </c>
      <c r="AL6057">
        <v>82.273917490929406</v>
      </c>
      <c r="AM6057">
        <v>84.151034695249606</v>
      </c>
      <c r="AN6057">
        <v>1.0000000557783999</v>
      </c>
    </row>
    <row r="6058" spans="1:40" x14ac:dyDescent="0.25">
      <c r="A6058" t="str">
        <f>"20190303162032975"</f>
        <v>20190303162032975</v>
      </c>
      <c r="B6058" t="str">
        <f>"1551601232968718"</f>
        <v>1551601232968718</v>
      </c>
      <c r="C6058" t="s">
        <v>40</v>
      </c>
      <c r="D6058">
        <v>4.58711</v>
      </c>
      <c r="E6058">
        <v>0.45058809999999999</v>
      </c>
      <c r="F6058" t="s">
        <v>50</v>
      </c>
      <c r="G6058">
        <v>-192.69759999999999</v>
      </c>
      <c r="H6058" s="1">
        <v>-7.4431459999999999E-6</v>
      </c>
      <c r="I6058">
        <v>136.488</v>
      </c>
      <c r="J6058">
        <v>-192.26570000000001</v>
      </c>
      <c r="K6058">
        <v>1.1206229999999999</v>
      </c>
      <c r="L6058">
        <v>169.73609999999999</v>
      </c>
      <c r="M6058">
        <v>-4.2637080000000001E-2</v>
      </c>
      <c r="N6058">
        <v>-8.7997999999999896E-3</v>
      </c>
      <c r="O6058">
        <v>-0.99905189999999999</v>
      </c>
      <c r="P6058">
        <v>-0.14250090000000001</v>
      </c>
      <c r="Q6058">
        <v>0.1253156</v>
      </c>
      <c r="R6058">
        <v>-0.98182970000000003</v>
      </c>
      <c r="S6058">
        <v>-4.0176389999999999E-2</v>
      </c>
      <c r="T6058">
        <v>-0.1028408</v>
      </c>
      <c r="U6058">
        <v>-3.0630799999999998</v>
      </c>
      <c r="V6058">
        <v>0.1006155</v>
      </c>
      <c r="W6058">
        <v>0.13391520000000001</v>
      </c>
      <c r="X6058">
        <v>0.98587190000000002</v>
      </c>
      <c r="Y6058">
        <v>-2.9530270000000001E-2</v>
      </c>
      <c r="Z6058">
        <v>2.4707199999999999E-2</v>
      </c>
      <c r="AA6058">
        <v>0.99925850000000005</v>
      </c>
      <c r="AB6058">
        <v>21</v>
      </c>
      <c r="AC6058">
        <v>-0.43189999999998402</v>
      </c>
      <c r="AD6058">
        <v>-1.1206304431459999</v>
      </c>
      <c r="AE6058">
        <v>-33.248099999999901</v>
      </c>
      <c r="AF6058">
        <v>-0.98503069990369896</v>
      </c>
      <c r="AG6058">
        <v>-1.1206304431459999</v>
      </c>
      <c r="AH6058">
        <v>33.198570049058702</v>
      </c>
      <c r="AI6058">
        <v>91.932457113797199</v>
      </c>
      <c r="AJ6058">
        <v>91.6995174336584</v>
      </c>
      <c r="AK6058">
        <v>33.232080154153998</v>
      </c>
      <c r="AL6058">
        <v>82.304104781896896</v>
      </c>
      <c r="AM6058">
        <v>84.172718903208207</v>
      </c>
      <c r="AN6058">
        <v>1.0000000814204399</v>
      </c>
    </row>
    <row r="6059" spans="1:40" x14ac:dyDescent="0.25">
      <c r="A6059" t="str">
        <f>"20190303162032988"</f>
        <v>20190303162032988</v>
      </c>
      <c r="B6059" t="str">
        <f>"1551601232978477"</f>
        <v>1551601232978477</v>
      </c>
      <c r="C6059" t="s">
        <v>40</v>
      </c>
      <c r="D6059">
        <v>4.5817300000000003</v>
      </c>
      <c r="E6059">
        <v>0.45050089999999998</v>
      </c>
      <c r="F6059" t="s">
        <v>50</v>
      </c>
      <c r="G6059">
        <v>-192.69710000000001</v>
      </c>
      <c r="H6059" s="1">
        <v>-7.0158259999999899E-6</v>
      </c>
      <c r="I6059">
        <v>135.1523</v>
      </c>
      <c r="J6059">
        <v>-192.27119999999999</v>
      </c>
      <c r="K6059">
        <v>1.1206229999999999</v>
      </c>
      <c r="L6059">
        <v>169.6147</v>
      </c>
      <c r="M6059">
        <v>-4.2975470000000002E-2</v>
      </c>
      <c r="N6059">
        <v>-8.8008700000000006E-3</v>
      </c>
      <c r="O6059">
        <v>-0.99903759999999997</v>
      </c>
      <c r="P6059">
        <v>-0.1422475</v>
      </c>
      <c r="Q6059">
        <v>0.12492209999999999</v>
      </c>
      <c r="R6059">
        <v>-0.98191660000000003</v>
      </c>
      <c r="S6059">
        <v>-3.8208010000000001E-2</v>
      </c>
      <c r="T6059">
        <v>-9.9238870000000007E-2</v>
      </c>
      <c r="U6059">
        <v>-3.0626069999999999</v>
      </c>
      <c r="V6059">
        <v>0.10002320000000001</v>
      </c>
      <c r="W6059">
        <v>0.133524799999999</v>
      </c>
      <c r="X6059">
        <v>0.985985</v>
      </c>
      <c r="Y6059">
        <v>-3.0508549999999999E-2</v>
      </c>
      <c r="Z6059">
        <v>2.3537590000000001E-2</v>
      </c>
      <c r="AA6059">
        <v>0.99925730000000001</v>
      </c>
      <c r="AB6059">
        <v>21</v>
      </c>
      <c r="AC6059">
        <v>-0.42590000000001199</v>
      </c>
      <c r="AD6059">
        <v>-1.1206300158260001</v>
      </c>
      <c r="AE6059">
        <v>-34.462400000000002</v>
      </c>
      <c r="AF6059">
        <v>-1.0544735402685499</v>
      </c>
      <c r="AG6059">
        <v>-1.1206300158260001</v>
      </c>
      <c r="AH6059">
        <v>34.412480937512797</v>
      </c>
      <c r="AI6059">
        <v>91.864282847096206</v>
      </c>
      <c r="AJ6059">
        <v>91.755118582607196</v>
      </c>
      <c r="AK6059">
        <v>34.446865900313497</v>
      </c>
      <c r="AL6059">
        <v>82.326674871793301</v>
      </c>
      <c r="AM6059">
        <v>84.207448749422298</v>
      </c>
      <c r="AN6059">
        <v>0.99999996648913902</v>
      </c>
    </row>
    <row r="6060" spans="1:40" x14ac:dyDescent="0.25">
      <c r="A6060" t="str">
        <f>"20190303162033000"</f>
        <v>20190303162033000</v>
      </c>
      <c r="B6060" t="str">
        <f>"1551601232988237"</f>
        <v>1551601232988237</v>
      </c>
      <c r="C6060" t="s">
        <v>40</v>
      </c>
      <c r="D6060">
        <v>4.5973660000000001</v>
      </c>
      <c r="E6060">
        <v>0.45019910000000002</v>
      </c>
      <c r="F6060" t="s">
        <v>50</v>
      </c>
      <c r="G6060">
        <v>-192.68029999999999</v>
      </c>
      <c r="H6060" s="1">
        <v>-7.0826949999999996E-6</v>
      </c>
      <c r="I6060">
        <v>135.3689</v>
      </c>
      <c r="J6060">
        <v>-192.27719999999999</v>
      </c>
      <c r="K6060">
        <v>1.1206210000000001</v>
      </c>
      <c r="L6060">
        <v>169.48580000000001</v>
      </c>
      <c r="M6060">
        <v>-4.3331139999999997E-2</v>
      </c>
      <c r="N6060">
        <v>-8.8020040000000004E-3</v>
      </c>
      <c r="O6060">
        <v>-0.99902210000000002</v>
      </c>
      <c r="P6060">
        <v>-0.14234469999999999</v>
      </c>
      <c r="Q6060">
        <v>0.1245135</v>
      </c>
      <c r="R6060">
        <v>-0.98195460000000001</v>
      </c>
      <c r="S6060">
        <v>-3.6590579999999998E-2</v>
      </c>
      <c r="T6060">
        <v>-0.1002213</v>
      </c>
      <c r="U6060">
        <v>-3.0626980000000001</v>
      </c>
      <c r="V6060">
        <v>9.9767250000000002E-2</v>
      </c>
      <c r="W6060">
        <v>0.1331174</v>
      </c>
      <c r="X6060">
        <v>0.986066</v>
      </c>
      <c r="Y6060">
        <v>-3.1392290000000003E-2</v>
      </c>
      <c r="Z6060">
        <v>2.3854119999999999E-2</v>
      </c>
      <c r="AA6060">
        <v>0.99922250000000001</v>
      </c>
      <c r="AB6060">
        <v>21</v>
      </c>
      <c r="AC6060">
        <v>-0.40309999999999402</v>
      </c>
      <c r="AD6060">
        <v>-1.1206280826949999</v>
      </c>
      <c r="AE6060">
        <v>-34.116900000000001</v>
      </c>
      <c r="AF6060">
        <v>-1.074500788905</v>
      </c>
      <c r="AG6060">
        <v>-1.1206280826949999</v>
      </c>
      <c r="AH6060">
        <v>34.0655727526593</v>
      </c>
      <c r="AI6060">
        <v>91.883198394624699</v>
      </c>
      <c r="AJ6060">
        <v>91.806632050334201</v>
      </c>
      <c r="AK6060">
        <v>34.100932629648199</v>
      </c>
      <c r="AL6060">
        <v>82.350227313018607</v>
      </c>
      <c r="AM6060">
        <v>84.222642340533596</v>
      </c>
      <c r="AN6060">
        <v>0.99999995135566</v>
      </c>
    </row>
    <row r="6061" spans="1:40" x14ac:dyDescent="0.25">
      <c r="A6061" t="str">
        <f>"20190303162033018"</f>
        <v>20190303162033018</v>
      </c>
      <c r="B6061" t="str">
        <f>"1551601233008733"</f>
        <v>1551601233008733</v>
      </c>
      <c r="C6061" t="s">
        <v>40</v>
      </c>
      <c r="D6061">
        <v>4.5435239999999997</v>
      </c>
      <c r="E6061">
        <v>0.4501309</v>
      </c>
      <c r="F6061" t="s">
        <v>50</v>
      </c>
      <c r="G6061">
        <v>-192.6541</v>
      </c>
      <c r="H6061" s="1">
        <v>-7.2824159999999902E-6</v>
      </c>
      <c r="I6061">
        <v>136.0051</v>
      </c>
      <c r="J6061">
        <v>-192.28469999999999</v>
      </c>
      <c r="K6061">
        <v>1.120614</v>
      </c>
      <c r="L6061">
        <v>169.3244</v>
      </c>
      <c r="M6061">
        <v>-4.3776839999999997E-2</v>
      </c>
      <c r="N6061">
        <v>-8.8033829999999997E-3</v>
      </c>
      <c r="O6061">
        <v>-0.99900250000000002</v>
      </c>
      <c r="P6061">
        <v>-0.14265749999999999</v>
      </c>
      <c r="Q6061">
        <v>0.1241188</v>
      </c>
      <c r="R6061">
        <v>-0.98195909999999997</v>
      </c>
      <c r="S6061">
        <v>-3.4484859999999999E-2</v>
      </c>
      <c r="T6061">
        <v>-0.1025258</v>
      </c>
      <c r="U6061">
        <v>-3.0631409999999999</v>
      </c>
      <c r="V6061">
        <v>9.9640030000000004E-2</v>
      </c>
      <c r="W6061">
        <v>0.13272419999999999</v>
      </c>
      <c r="X6061">
        <v>0.98613189999999995</v>
      </c>
      <c r="Y6061">
        <v>-3.2526609999999997E-2</v>
      </c>
      <c r="Z6061">
        <v>2.4596509999999999E-2</v>
      </c>
      <c r="AA6061">
        <v>0.99916819999999895</v>
      </c>
      <c r="AB6061">
        <v>21</v>
      </c>
      <c r="AC6061">
        <v>-0.369400000000013</v>
      </c>
      <c r="AD6061">
        <v>-1.120621282416</v>
      </c>
      <c r="AE6061">
        <v>-33.319299999999998</v>
      </c>
      <c r="AF6061">
        <v>-1.08839341476367</v>
      </c>
      <c r="AG6061">
        <v>-1.120621282416</v>
      </c>
      <c r="AH6061">
        <v>33.2659026495826</v>
      </c>
      <c r="AI6061">
        <v>91.928349896751598</v>
      </c>
      <c r="AJ6061">
        <v>91.873934174970699</v>
      </c>
      <c r="AK6061">
        <v>33.302562534667103</v>
      </c>
      <c r="AL6061">
        <v>82.372957979075906</v>
      </c>
      <c r="AM6061">
        <v>84.230342692858002</v>
      </c>
      <c r="AN6061">
        <v>0.999999986520825</v>
      </c>
    </row>
    <row r="6062" spans="1:40" x14ac:dyDescent="0.25">
      <c r="A6062" t="str">
        <f>"20190303162033040"</f>
        <v>20190303162033040</v>
      </c>
      <c r="B6062" t="str">
        <f>"1551601233028760"</f>
        <v>1551601233028760</v>
      </c>
      <c r="C6062" t="s">
        <v>40</v>
      </c>
      <c r="D6062">
        <v>4.7059819999999997</v>
      </c>
      <c r="E6062">
        <v>0.4505923</v>
      </c>
      <c r="F6062" t="s">
        <v>50</v>
      </c>
      <c r="G6062">
        <v>-192.67019999999999</v>
      </c>
      <c r="H6062" s="1">
        <v>-7.0642890000000002E-6</v>
      </c>
      <c r="I6062">
        <v>135.3159</v>
      </c>
      <c r="J6062">
        <v>-192.2946</v>
      </c>
      <c r="K6062">
        <v>1.1206050000000001</v>
      </c>
      <c r="L6062">
        <v>169.1155</v>
      </c>
      <c r="M6062">
        <v>-4.4357800000000003E-2</v>
      </c>
      <c r="N6062">
        <v>-8.8051959999999995E-3</v>
      </c>
      <c r="O6062">
        <v>-0.99897720000000001</v>
      </c>
      <c r="P6062">
        <v>-0.1437802</v>
      </c>
      <c r="Q6062">
        <v>0.12344720000000001</v>
      </c>
      <c r="R6062">
        <v>-0.98188039999999999</v>
      </c>
      <c r="S6062">
        <v>-3.4713750000000002E-2</v>
      </c>
      <c r="T6062">
        <v>-0.10092379999999999</v>
      </c>
      <c r="U6062">
        <v>-3.0628199999999999</v>
      </c>
      <c r="V6062">
        <v>0.1001929</v>
      </c>
      <c r="W6062">
        <v>0.13205220000000001</v>
      </c>
      <c r="X6062">
        <v>0.98616610000000005</v>
      </c>
      <c r="Y6062">
        <v>-3.3031829999999998E-2</v>
      </c>
      <c r="Z6062">
        <v>2.4075249999999999E-2</v>
      </c>
      <c r="AA6062">
        <v>0.99916430000000001</v>
      </c>
      <c r="AB6062">
        <v>21</v>
      </c>
      <c r="AC6062">
        <v>-0.375599999999991</v>
      </c>
      <c r="AD6062">
        <v>-1.1206120642889901</v>
      </c>
      <c r="AE6062">
        <v>-33.799599999999998</v>
      </c>
      <c r="AF6062">
        <v>-1.1228691694119599</v>
      </c>
      <c r="AG6062">
        <v>-1.1206120642889901</v>
      </c>
      <c r="AH6062">
        <v>33.7459003749264</v>
      </c>
      <c r="AI6062">
        <v>91.900891091488106</v>
      </c>
      <c r="AJ6062">
        <v>91.905770353891597</v>
      </c>
      <c r="AK6062">
        <v>33.783167386802397</v>
      </c>
      <c r="AL6062">
        <v>82.411802674348493</v>
      </c>
      <c r="AM6062">
        <v>84.198746339047503</v>
      </c>
      <c r="AN6062">
        <v>0.99999998876222995</v>
      </c>
    </row>
    <row r="6063" spans="1:40" x14ac:dyDescent="0.25">
      <c r="A6063" t="str">
        <f>"20190303162033055"</f>
        <v>20190303162033055</v>
      </c>
      <c r="B6063" t="str">
        <f>"1551601233049256"</f>
        <v>1551601233049256</v>
      </c>
      <c r="C6063" t="s">
        <v>40</v>
      </c>
      <c r="D6063">
        <v>4.6323619999999996</v>
      </c>
      <c r="E6063">
        <v>0.4870797</v>
      </c>
      <c r="F6063" t="s">
        <v>50</v>
      </c>
      <c r="G6063">
        <v>-192.74109999999999</v>
      </c>
      <c r="H6063" s="1">
        <v>-7.2214939999999996E-6</v>
      </c>
      <c r="I6063">
        <v>135.77549999999999</v>
      </c>
      <c r="J6063">
        <v>-192.3014</v>
      </c>
      <c r="K6063">
        <v>1.120598</v>
      </c>
      <c r="L6063">
        <v>168.97229999999999</v>
      </c>
      <c r="M6063">
        <v>-4.476136E-2</v>
      </c>
      <c r="N6063">
        <v>-8.8065019999999904E-3</v>
      </c>
      <c r="O6063">
        <v>-0.99895889999999998</v>
      </c>
      <c r="P6063">
        <v>-0.14449770000000001</v>
      </c>
      <c r="Q6063">
        <v>0.123249499999999</v>
      </c>
      <c r="R6063">
        <v>-0.98179939999999999</v>
      </c>
      <c r="S6063">
        <v>-4.1015629999999997E-2</v>
      </c>
      <c r="T6063">
        <v>-0.1029292</v>
      </c>
      <c r="U6063">
        <v>-3.0623019999999999</v>
      </c>
      <c r="V6063">
        <v>0.1005161</v>
      </c>
      <c r="W6063">
        <v>0.1318541</v>
      </c>
      <c r="X6063">
        <v>0.98615969999999997</v>
      </c>
      <c r="Y6063">
        <v>-3.1378219999999998E-2</v>
      </c>
      <c r="Z6063">
        <v>2.4732290000000001E-2</v>
      </c>
      <c r="AA6063">
        <v>0.99920149999999996</v>
      </c>
      <c r="AB6063">
        <v>21</v>
      </c>
      <c r="AC6063">
        <v>-0.43969999999998699</v>
      </c>
      <c r="AD6063">
        <v>-1.1206052214940001</v>
      </c>
      <c r="AE6063">
        <v>-33.196800000000003</v>
      </c>
      <c r="AF6063">
        <v>-1.0455410872153399</v>
      </c>
      <c r="AG6063">
        <v>-1.1206052214940001</v>
      </c>
      <c r="AH6063">
        <v>33.1454443862782</v>
      </c>
      <c r="AI6063">
        <v>91.935397804409405</v>
      </c>
      <c r="AJ6063">
        <v>91.806741032509294</v>
      </c>
      <c r="AK6063">
        <v>33.180858876637899</v>
      </c>
      <c r="AL6063">
        <v>82.423252963455099</v>
      </c>
      <c r="AM6063">
        <v>84.180123524305898</v>
      </c>
      <c r="AN6063">
        <v>0.99999997197505397</v>
      </c>
    </row>
    <row r="6064" spans="1:40" x14ac:dyDescent="0.25">
      <c r="A6064" t="str">
        <f>"20190303162033068"</f>
        <v>20190303162033068</v>
      </c>
      <c r="B6064" t="str">
        <f>"1551601233058039"</f>
        <v>1551601233058039</v>
      </c>
      <c r="C6064" t="s">
        <v>40</v>
      </c>
      <c r="D6064">
        <v>4.6363260000000004</v>
      </c>
      <c r="E6064">
        <v>0.49054429999999999</v>
      </c>
      <c r="F6064" t="s">
        <v>50</v>
      </c>
      <c r="G6064">
        <v>-197.04179999999999</v>
      </c>
      <c r="H6064" s="1">
        <v>-4.7943370000000004E-6</v>
      </c>
      <c r="I6064">
        <v>125.7595</v>
      </c>
      <c r="J6064">
        <v>-192.30770000000001</v>
      </c>
      <c r="K6064">
        <v>1.120592</v>
      </c>
      <c r="L6064">
        <v>168.84119999999999</v>
      </c>
      <c r="M6064">
        <v>-4.5133890000000003E-2</v>
      </c>
      <c r="N6064">
        <v>-8.8076999999999999E-3</v>
      </c>
      <c r="O6064">
        <v>-0.99894229999999995</v>
      </c>
      <c r="P6064">
        <v>-0.14548710000000001</v>
      </c>
      <c r="Q6064">
        <v>0.1231569</v>
      </c>
      <c r="R6064">
        <v>-0.98166509999999996</v>
      </c>
      <c r="S6064">
        <v>-0.33093260000000002</v>
      </c>
      <c r="T6064">
        <v>-7.8230019999999997E-2</v>
      </c>
      <c r="U6064">
        <v>-3.0167079999999999</v>
      </c>
      <c r="V6064">
        <v>0.10114380000000001</v>
      </c>
      <c r="W6064">
        <v>0.13176099999999999</v>
      </c>
      <c r="X6064">
        <v>0.98610799999999998</v>
      </c>
      <c r="Y6064">
        <v>6.4042639999999998E-2</v>
      </c>
      <c r="Z6064">
        <v>1.6996020000000001E-2</v>
      </c>
      <c r="AA6064">
        <v>0.99780239999999998</v>
      </c>
      <c r="AB6064">
        <v>21</v>
      </c>
      <c r="AC6064">
        <v>-4.7340999999999802</v>
      </c>
      <c r="AD6064">
        <v>-1.1205967943369901</v>
      </c>
      <c r="AE6064">
        <v>-43.081699999999898</v>
      </c>
      <c r="AF6064">
        <v>2.7828951847473999</v>
      </c>
      <c r="AG6064">
        <v>-1.1205967943369901</v>
      </c>
      <c r="AH6064">
        <v>43.222576437225001</v>
      </c>
      <c r="AI6064">
        <v>91.482061299777897</v>
      </c>
      <c r="AJ6064">
        <v>86.316083399798501</v>
      </c>
      <c r="AK6064">
        <v>43.326566407419399</v>
      </c>
      <c r="AL6064">
        <v>82.428634428190705</v>
      </c>
      <c r="AM6064">
        <v>84.143726641222798</v>
      </c>
      <c r="AN6064">
        <v>1.00000000853172</v>
      </c>
    </row>
    <row r="6065" spans="1:40" x14ac:dyDescent="0.25">
      <c r="A6065" t="str">
        <f>"20190303162033084"</f>
        <v>20190303162033084</v>
      </c>
      <c r="B6065" t="str">
        <f>"1551601233078536"</f>
        <v>1551601233078536</v>
      </c>
      <c r="C6065" t="s">
        <v>40</v>
      </c>
      <c r="D6065">
        <v>4.6324820000000004</v>
      </c>
      <c r="E6065">
        <v>0.49443009999999898</v>
      </c>
      <c r="F6065" t="s">
        <v>50</v>
      </c>
      <c r="G6065">
        <v>-197.45249999999999</v>
      </c>
      <c r="H6065" s="1">
        <v>-4.9375819999999999E-6</v>
      </c>
      <c r="I6065">
        <v>125.8896</v>
      </c>
      <c r="J6065">
        <v>-192.31489999999999</v>
      </c>
      <c r="K6065">
        <v>1.1205849999999999</v>
      </c>
      <c r="L6065">
        <v>168.69220000000001</v>
      </c>
      <c r="M6065">
        <v>-4.5562169999999999E-2</v>
      </c>
      <c r="N6065">
        <v>-8.8090240000000004E-3</v>
      </c>
      <c r="O6065">
        <v>-0.99892270000000005</v>
      </c>
      <c r="P6065">
        <v>-0.14712600000000001</v>
      </c>
      <c r="Q6065">
        <v>0.1225531</v>
      </c>
      <c r="R6065">
        <v>-0.98149620000000004</v>
      </c>
      <c r="S6065">
        <v>-0.36083979999999999</v>
      </c>
      <c r="T6065">
        <v>-7.8593969999999999E-2</v>
      </c>
      <c r="U6065">
        <v>-3.012451</v>
      </c>
      <c r="V6065">
        <v>0.1023667</v>
      </c>
      <c r="W6065">
        <v>0.13115499999999999</v>
      </c>
      <c r="X6065">
        <v>0.98606260000000001</v>
      </c>
      <c r="Y6065">
        <v>7.3539889999999997E-2</v>
      </c>
      <c r="Z6065">
        <v>1.712926E-2</v>
      </c>
      <c r="AA6065">
        <v>0.99714519999999995</v>
      </c>
      <c r="AB6065">
        <v>21</v>
      </c>
      <c r="AC6065">
        <v>-5.1375999999999902</v>
      </c>
      <c r="AD6065">
        <v>-1.1205899375820001</v>
      </c>
      <c r="AE6065">
        <v>-42.802599999999998</v>
      </c>
      <c r="AF6065">
        <v>3.1798607088282802</v>
      </c>
      <c r="AG6065">
        <v>-1.1205899375820001</v>
      </c>
      <c r="AH6065">
        <v>42.963206187173697</v>
      </c>
      <c r="AI6065">
        <v>91.490007520495993</v>
      </c>
      <c r="AJ6065">
        <v>85.7670523429681</v>
      </c>
      <c r="AK6065">
        <v>43.095293499608097</v>
      </c>
      <c r="AL6065">
        <v>82.463659664036996</v>
      </c>
      <c r="AM6065">
        <v>84.073150237144603</v>
      </c>
      <c r="AN6065">
        <v>1.00000001320632</v>
      </c>
    </row>
    <row r="6066" spans="1:40" x14ac:dyDescent="0.25">
      <c r="A6066" t="str">
        <f>"20190303162033099"</f>
        <v>20190303162033099</v>
      </c>
      <c r="B6066" t="str">
        <f>"1551601233088296"</f>
        <v>1551601233088296</v>
      </c>
      <c r="C6066" t="s">
        <v>40</v>
      </c>
      <c r="D6066">
        <v>4.6093390000000003</v>
      </c>
      <c r="E6066">
        <v>0.49506040000000001</v>
      </c>
      <c r="F6066" t="s">
        <v>50</v>
      </c>
      <c r="G6066">
        <v>-197.49789999999999</v>
      </c>
      <c r="H6066" s="1">
        <v>-5.9578699999999896E-6</v>
      </c>
      <c r="I6066">
        <v>129.37100000000001</v>
      </c>
      <c r="J6066">
        <v>-192.32140000000001</v>
      </c>
      <c r="K6066">
        <v>1.120581</v>
      </c>
      <c r="L6066">
        <v>168.56039999999999</v>
      </c>
      <c r="M6066">
        <v>-4.5945449999999999E-2</v>
      </c>
      <c r="N6066">
        <v>-8.8101869999999902E-3</v>
      </c>
      <c r="O6066">
        <v>-0.99890509999999999</v>
      </c>
      <c r="P6066">
        <v>-0.14796790000000001</v>
      </c>
      <c r="Q6066">
        <v>0.12313789999999999</v>
      </c>
      <c r="R6066">
        <v>-0.9812961</v>
      </c>
      <c r="S6066">
        <v>-0.39646910000000002</v>
      </c>
      <c r="T6066">
        <v>-8.5718630000000004E-2</v>
      </c>
      <c r="U6066">
        <v>-3.0078429999999998</v>
      </c>
      <c r="V6066">
        <v>0.10284</v>
      </c>
      <c r="W6066">
        <v>0.13173879999999999</v>
      </c>
      <c r="X6066">
        <v>0.98593549999999996</v>
      </c>
      <c r="Y6066">
        <v>8.4951550000000001E-2</v>
      </c>
      <c r="Z6066">
        <v>1.9486880000000002E-2</v>
      </c>
      <c r="AA6066">
        <v>0.99619449999999998</v>
      </c>
      <c r="AB6066">
        <v>21</v>
      </c>
      <c r="AC6066">
        <v>-5.1764999999999697</v>
      </c>
      <c r="AD6066">
        <v>-1.1205869578700001</v>
      </c>
      <c r="AE6066">
        <v>-39.1893999999999</v>
      </c>
      <c r="AF6066">
        <v>3.3676821524858398</v>
      </c>
      <c r="AG6066">
        <v>-1.1205869578700001</v>
      </c>
      <c r="AH6066">
        <v>39.354231479227103</v>
      </c>
      <c r="AI6066">
        <v>91.625084471490595</v>
      </c>
      <c r="AJ6066">
        <v>85.108911155001806</v>
      </c>
      <c r="AK6066">
        <v>39.513953656030303</v>
      </c>
      <c r="AL6066">
        <v>82.429917465979997</v>
      </c>
      <c r="AM6066">
        <v>84.045181378694593</v>
      </c>
      <c r="AN6066">
        <v>0.99999999359284497</v>
      </c>
    </row>
    <row r="6067" spans="1:40" x14ac:dyDescent="0.25">
      <c r="A6067" t="str">
        <f>"20190303162033111"</f>
        <v>20190303162033111</v>
      </c>
      <c r="B6067" t="str">
        <f>"1551601233099031"</f>
        <v>1551601233099031</v>
      </c>
      <c r="C6067" t="s">
        <v>40</v>
      </c>
      <c r="D6067">
        <v>4.5717420000000004</v>
      </c>
      <c r="E6067">
        <v>0.49556679999999997</v>
      </c>
      <c r="F6067" t="s">
        <v>50</v>
      </c>
      <c r="G6067">
        <v>-197.76439999999999</v>
      </c>
      <c r="H6067" s="1">
        <v>-5.6143980000000003E-6</v>
      </c>
      <c r="I6067">
        <v>128.04769999999999</v>
      </c>
      <c r="J6067">
        <v>-192.3278</v>
      </c>
      <c r="K6067">
        <v>1.120576</v>
      </c>
      <c r="L6067">
        <v>168.4297</v>
      </c>
      <c r="M6067">
        <v>-4.6326890000000003E-2</v>
      </c>
      <c r="N6067">
        <v>-8.8113289999999997E-3</v>
      </c>
      <c r="O6067">
        <v>-0.99888739999999998</v>
      </c>
      <c r="P6067">
        <v>-0.1490784</v>
      </c>
      <c r="Q6067">
        <v>0.1233988</v>
      </c>
      <c r="R6067">
        <v>-0.98109559999999996</v>
      </c>
      <c r="S6067">
        <v>-0.40396120000000002</v>
      </c>
      <c r="T6067">
        <v>-8.3165409999999995E-2</v>
      </c>
      <c r="U6067">
        <v>-3.0066830000000002</v>
      </c>
      <c r="V6067">
        <v>0.1035831</v>
      </c>
      <c r="W6067">
        <v>0.13199830000000001</v>
      </c>
      <c r="X6067">
        <v>0.985823</v>
      </c>
      <c r="Y6067">
        <v>8.706187E-2</v>
      </c>
      <c r="Z6067">
        <v>1.8647710000000001E-2</v>
      </c>
      <c r="AA6067">
        <v>0.99602840000000004</v>
      </c>
      <c r="AB6067">
        <v>21</v>
      </c>
      <c r="AC6067">
        <v>-5.4365999999999897</v>
      </c>
      <c r="AD6067">
        <v>-1.1205816143979901</v>
      </c>
      <c r="AE6067">
        <v>-40.381999999999998</v>
      </c>
      <c r="AF6067">
        <v>3.55722678674943</v>
      </c>
      <c r="AG6067">
        <v>-1.1205816143979901</v>
      </c>
      <c r="AH6067">
        <v>40.5598338401267</v>
      </c>
      <c r="AI6067">
        <v>91.576509040456401</v>
      </c>
      <c r="AJ6067">
        <v>84.987802170993007</v>
      </c>
      <c r="AK6067">
        <v>40.730942619899899</v>
      </c>
      <c r="AL6067">
        <v>82.414918263834906</v>
      </c>
      <c r="AM6067">
        <v>84.001786200947805</v>
      </c>
      <c r="AN6067">
        <v>0.99999999856874999</v>
      </c>
    </row>
    <row r="6068" spans="1:40" x14ac:dyDescent="0.25">
      <c r="A6068" t="str">
        <f>"20190303162033128"</f>
        <v>20190303162033128</v>
      </c>
      <c r="B6068" t="str">
        <f>"1551601233118084"</f>
        <v>1551601233118084</v>
      </c>
      <c r="C6068" t="s">
        <v>40</v>
      </c>
      <c r="D6068">
        <v>4.6104510000000003</v>
      </c>
      <c r="E6068">
        <v>0.4962028</v>
      </c>
      <c r="F6068" t="s">
        <v>50</v>
      </c>
      <c r="G6068">
        <v>-197.92619999999999</v>
      </c>
      <c r="H6068" s="1">
        <v>-5.4886719999999997E-6</v>
      </c>
      <c r="I6068">
        <v>127.52889999999999</v>
      </c>
      <c r="J6068">
        <v>-192.33600000000001</v>
      </c>
      <c r="K6068">
        <v>1.120574</v>
      </c>
      <c r="L6068">
        <v>168.2653</v>
      </c>
      <c r="M6068">
        <v>-4.680861E-2</v>
      </c>
      <c r="N6068">
        <v>-8.8127529999999996E-3</v>
      </c>
      <c r="O6068">
        <v>-0.998865</v>
      </c>
      <c r="P6068">
        <v>-0.15040479999999901</v>
      </c>
      <c r="Q6068">
        <v>0.1244706</v>
      </c>
      <c r="R6068">
        <v>-0.98075769999999995</v>
      </c>
      <c r="S6068">
        <v>-0.41140749999999998</v>
      </c>
      <c r="T6068">
        <v>-8.234727E-2</v>
      </c>
      <c r="U6068">
        <v>-3.005646</v>
      </c>
      <c r="V6068">
        <v>0.10445</v>
      </c>
      <c r="W6068">
        <v>0.1330674</v>
      </c>
      <c r="X6068">
        <v>0.98558780000000001</v>
      </c>
      <c r="Y6068">
        <v>8.9050130000000005E-2</v>
      </c>
      <c r="Z6068">
        <v>1.837888E-2</v>
      </c>
      <c r="AA6068">
        <v>0.99585749999999995</v>
      </c>
      <c r="AB6068">
        <v>22</v>
      </c>
      <c r="AC6068">
        <v>-5.5902000000000003</v>
      </c>
      <c r="AD6068">
        <v>-1.120579488672</v>
      </c>
      <c r="AE6068">
        <v>-40.736400000000003</v>
      </c>
      <c r="AF6068">
        <v>3.6744546174100701</v>
      </c>
      <c r="AG6068">
        <v>-1.120579488672</v>
      </c>
      <c r="AH6068">
        <v>40.923030222163703</v>
      </c>
      <c r="AI6068">
        <v>91.562234492359295</v>
      </c>
      <c r="AJ6068">
        <v>84.869204805485097</v>
      </c>
      <c r="AK6068">
        <v>41.102940499311799</v>
      </c>
      <c r="AL6068">
        <v>82.353118371911407</v>
      </c>
      <c r="AM6068">
        <v>83.950524341631393</v>
      </c>
      <c r="AN6068">
        <v>1.00000002347579</v>
      </c>
    </row>
    <row r="6069" spans="1:40" x14ac:dyDescent="0.25">
      <c r="A6069" t="str">
        <f>"20190303162033143"</f>
        <v>20190303162033143</v>
      </c>
      <c r="B6069" t="str">
        <f>"1551601233138579"</f>
        <v>1551601233138579</v>
      </c>
      <c r="C6069" t="s">
        <v>40</v>
      </c>
      <c r="D6069">
        <v>4.6529179999999997</v>
      </c>
      <c r="E6069">
        <v>0.49743100000000001</v>
      </c>
      <c r="F6069" t="s">
        <v>50</v>
      </c>
      <c r="G6069">
        <v>-198.03299999999999</v>
      </c>
      <c r="H6069" s="1">
        <v>-5.505857E-6</v>
      </c>
      <c r="I6069">
        <v>127.5307</v>
      </c>
      <c r="J6069">
        <v>-192.3432</v>
      </c>
      <c r="K6069">
        <v>1.1205750000000001</v>
      </c>
      <c r="L6069">
        <v>168.12029999999999</v>
      </c>
      <c r="M6069">
        <v>-4.7233700000000003E-2</v>
      </c>
      <c r="N6069">
        <v>-8.8139669999999903E-3</v>
      </c>
      <c r="O6069">
        <v>-0.99884499999999998</v>
      </c>
      <c r="P6069">
        <v>-0.151138299999999</v>
      </c>
      <c r="Q6069">
        <v>0.1246785</v>
      </c>
      <c r="R6069">
        <v>-0.98061869999999995</v>
      </c>
      <c r="S6069">
        <v>-0.42025760000000001</v>
      </c>
      <c r="T6069">
        <v>-8.2662459999999993E-2</v>
      </c>
      <c r="U6069">
        <v>-3.0048979999999998</v>
      </c>
      <c r="V6069">
        <v>0.1047704</v>
      </c>
      <c r="W6069">
        <v>0.13327530000000001</v>
      </c>
      <c r="X6069">
        <v>0.98552569999999995</v>
      </c>
      <c r="Y6069">
        <v>9.153646E-2</v>
      </c>
      <c r="Z6069">
        <v>1.847977E-2</v>
      </c>
      <c r="AA6069">
        <v>0.99563029999999997</v>
      </c>
      <c r="AB6069">
        <v>22</v>
      </c>
      <c r="AC6069">
        <v>-5.6897999999999902</v>
      </c>
      <c r="AD6069">
        <v>-1.120580505857</v>
      </c>
      <c r="AE6069">
        <v>-40.589599999999898</v>
      </c>
      <c r="AF6069">
        <v>3.7633644265243502</v>
      </c>
      <c r="AG6069">
        <v>-1.120580505857</v>
      </c>
      <c r="AH6069">
        <v>40.782569219219603</v>
      </c>
      <c r="AI6069">
        <v>91.567261684629202</v>
      </c>
      <c r="AJ6069">
        <v>84.727748424168794</v>
      </c>
      <c r="AK6069">
        <v>40.971167479062302</v>
      </c>
      <c r="AL6069">
        <v>82.341099530870594</v>
      </c>
      <c r="AM6069">
        <v>83.931726331620595</v>
      </c>
      <c r="AN6069">
        <v>1.00000002383336</v>
      </c>
    </row>
    <row r="6070" spans="1:40" x14ac:dyDescent="0.25">
      <c r="A6070" t="str">
        <f>"20190303162033155"</f>
        <v>20190303162033155</v>
      </c>
      <c r="B6070" t="str">
        <f>"1551601233148339"</f>
        <v>1551601233148339</v>
      </c>
      <c r="C6070" t="s">
        <v>40</v>
      </c>
      <c r="D6070">
        <v>4.653842</v>
      </c>
      <c r="E6070">
        <v>0.49792510000000001</v>
      </c>
      <c r="F6070" t="s">
        <v>50</v>
      </c>
      <c r="G6070">
        <v>-198.38570000000001</v>
      </c>
      <c r="H6070" s="1">
        <v>-5.1517119999999996E-6</v>
      </c>
      <c r="I6070">
        <v>126.1245</v>
      </c>
      <c r="J6070">
        <v>-192.3492</v>
      </c>
      <c r="K6070">
        <v>1.1205750000000001</v>
      </c>
      <c r="L6070">
        <v>168.00149999999999</v>
      </c>
      <c r="M6070">
        <v>-4.758138E-2</v>
      </c>
      <c r="N6070">
        <v>-8.814924E-3</v>
      </c>
      <c r="O6070">
        <v>-0.99882850000000001</v>
      </c>
      <c r="P6070">
        <v>-0.151527</v>
      </c>
      <c r="Q6070">
        <v>0.1247457</v>
      </c>
      <c r="R6070">
        <v>-0.98055020000000004</v>
      </c>
      <c r="S6070">
        <v>-0.4320679</v>
      </c>
      <c r="T6070">
        <v>-8.0127359999999995E-2</v>
      </c>
      <c r="U6070">
        <v>-3.0029140000000001</v>
      </c>
      <c r="V6070">
        <v>0.104819</v>
      </c>
      <c r="W6070">
        <v>0.13334289999999999</v>
      </c>
      <c r="X6070">
        <v>0.98551140000000004</v>
      </c>
      <c r="Y6070">
        <v>9.5119860000000001E-2</v>
      </c>
      <c r="Z6070">
        <v>1.7649109999999999E-2</v>
      </c>
      <c r="AA6070">
        <v>0.99530940000000001</v>
      </c>
      <c r="AB6070">
        <v>22</v>
      </c>
      <c r="AC6070">
        <v>-6.03650000000001</v>
      </c>
      <c r="AD6070">
        <v>-1.120580151712</v>
      </c>
      <c r="AE6070">
        <v>-41.877000000000002</v>
      </c>
      <c r="AF6070">
        <v>4.03418968586469</v>
      </c>
      <c r="AG6070">
        <v>-1.120580151712</v>
      </c>
      <c r="AH6070">
        <v>42.0872785420638</v>
      </c>
      <c r="AI6070">
        <v>91.518193271864106</v>
      </c>
      <c r="AJ6070">
        <v>84.524758239419</v>
      </c>
      <c r="AK6070">
        <v>42.295028092852903</v>
      </c>
      <c r="AL6070">
        <v>82.337191545755502</v>
      </c>
      <c r="AM6070">
        <v>83.928845015398906</v>
      </c>
      <c r="AN6070">
        <v>1.00000003563568</v>
      </c>
    </row>
    <row r="6071" spans="1:40" x14ac:dyDescent="0.25">
      <c r="A6071" t="str">
        <f>"20190303162033167"</f>
        <v>20190303162033167</v>
      </c>
      <c r="B6071" t="str">
        <f>"1551601233158098"</f>
        <v>1551601233158098</v>
      </c>
      <c r="C6071" t="s">
        <v>40</v>
      </c>
      <c r="D6071">
        <v>4.6702649999999997</v>
      </c>
      <c r="E6071">
        <v>0.49838329999999997</v>
      </c>
      <c r="F6071" t="s">
        <v>50</v>
      </c>
      <c r="G6071">
        <v>-198.47980000000001</v>
      </c>
      <c r="H6071" s="1">
        <v>-5.1027749999999996E-6</v>
      </c>
      <c r="I6071">
        <v>125.9059</v>
      </c>
      <c r="J6071">
        <v>-192.35499999999999</v>
      </c>
      <c r="K6071">
        <v>1.120574</v>
      </c>
      <c r="L6071">
        <v>167.88749999999999</v>
      </c>
      <c r="M6071">
        <v>-4.7914650000000003E-2</v>
      </c>
      <c r="N6071">
        <v>-8.8158539999999997E-3</v>
      </c>
      <c r="O6071">
        <v>-0.99881260000000005</v>
      </c>
      <c r="P6071">
        <v>-0.15202560000000001</v>
      </c>
      <c r="Q6071">
        <v>0.12514149999999999</v>
      </c>
      <c r="R6071">
        <v>-0.98042229999999997</v>
      </c>
      <c r="S6071">
        <v>-0.43721009999999999</v>
      </c>
      <c r="T6071">
        <v>-7.991529E-2</v>
      </c>
      <c r="U6071">
        <v>-3.0020899999999999</v>
      </c>
      <c r="V6071">
        <v>0.1049948</v>
      </c>
      <c r="W6071">
        <v>0.13373840000000001</v>
      </c>
      <c r="X6071">
        <v>0.98543910000000001</v>
      </c>
      <c r="Y6071">
        <v>9.6495960000000006E-2</v>
      </c>
      <c r="Z6071">
        <v>1.7580390000000001E-2</v>
      </c>
      <c r="AA6071">
        <v>0.99517809999999995</v>
      </c>
      <c r="AB6071">
        <v>22</v>
      </c>
      <c r="AC6071">
        <v>-6.12480000000002</v>
      </c>
      <c r="AD6071">
        <v>-1.1205791027750001</v>
      </c>
      <c r="AE6071">
        <v>-41.981599999999901</v>
      </c>
      <c r="AF6071">
        <v>4.1032904689967902</v>
      </c>
      <c r="AG6071">
        <v>-1.1205791027750001</v>
      </c>
      <c r="AH6071">
        <v>42.197418776992102</v>
      </c>
      <c r="AI6071">
        <v>91.514030193856001</v>
      </c>
      <c r="AJ6071">
        <v>84.446001800380103</v>
      </c>
      <c r="AK6071">
        <v>42.411258430272703</v>
      </c>
      <c r="AL6071">
        <v>82.314326331658407</v>
      </c>
      <c r="AM6071">
        <v>83.918296023146695</v>
      </c>
      <c r="AN6071">
        <v>1.0000000437351999</v>
      </c>
    </row>
    <row r="6072" spans="1:40" x14ac:dyDescent="0.25">
      <c r="A6072" t="str">
        <f>"20190303162033180"</f>
        <v>20190303162033180</v>
      </c>
      <c r="B6072" t="str">
        <f>"1551601233168835"</f>
        <v>1551601233168835</v>
      </c>
      <c r="C6072" t="s">
        <v>40</v>
      </c>
      <c r="D6072">
        <v>4.6484690000000004</v>
      </c>
      <c r="E6072">
        <v>0.49868790000000002</v>
      </c>
      <c r="F6072" t="s">
        <v>50</v>
      </c>
      <c r="G6072">
        <v>-198.57859999999999</v>
      </c>
      <c r="H6072" s="1">
        <v>-5.0467250000000004E-6</v>
      </c>
      <c r="I6072">
        <v>125.6602</v>
      </c>
      <c r="J6072">
        <v>-192.36160000000001</v>
      </c>
      <c r="K6072">
        <v>1.1205750000000001</v>
      </c>
      <c r="L6072">
        <v>167.75819999999999</v>
      </c>
      <c r="M6072">
        <v>-4.8290329999999999E-2</v>
      </c>
      <c r="N6072">
        <v>-8.8169819999999993E-3</v>
      </c>
      <c r="O6072">
        <v>-0.99879459999999998</v>
      </c>
      <c r="P6072">
        <v>-0.15254089999999901</v>
      </c>
      <c r="Q6072">
        <v>0.12538440000000001</v>
      </c>
      <c r="R6072">
        <v>-0.98031120000000005</v>
      </c>
      <c r="S6072">
        <v>-0.44236760000000003</v>
      </c>
      <c r="T6072">
        <v>-7.9649570000000003E-2</v>
      </c>
      <c r="U6072">
        <v>-3.001465</v>
      </c>
      <c r="V6072">
        <v>0.1051443</v>
      </c>
      <c r="W6072">
        <v>0.13398180000000001</v>
      </c>
      <c r="X6072">
        <v>0.98539010000000005</v>
      </c>
      <c r="Y6072">
        <v>9.7825200000000001E-2</v>
      </c>
      <c r="Z6072">
        <v>1.7491989999999999E-2</v>
      </c>
      <c r="AA6072">
        <v>0.99504990000000004</v>
      </c>
      <c r="AB6072">
        <v>22</v>
      </c>
      <c r="AC6072">
        <v>-6.2169999999999801</v>
      </c>
      <c r="AD6072">
        <v>-1.120580046725</v>
      </c>
      <c r="AE6072">
        <v>-42.0979999999999</v>
      </c>
      <c r="AF6072">
        <v>4.1738471331423304</v>
      </c>
      <c r="AG6072">
        <v>-1.120580046725</v>
      </c>
      <c r="AH6072">
        <v>42.319769654096099</v>
      </c>
      <c r="AI6072">
        <v>91.509453400186899</v>
      </c>
      <c r="AJ6072">
        <v>84.367338864480402</v>
      </c>
      <c r="AK6072">
        <v>42.539858992569698</v>
      </c>
      <c r="AL6072">
        <v>82.300253922902897</v>
      </c>
      <c r="AM6072">
        <v>83.909400869091897</v>
      </c>
      <c r="AN6072">
        <v>1.0000000478658599</v>
      </c>
    </row>
    <row r="6073" spans="1:40" x14ac:dyDescent="0.25">
      <c r="A6073" t="str">
        <f>"20190303162033197"</f>
        <v>20190303162033197</v>
      </c>
      <c r="B6073" t="str">
        <f>"1551601233188355"</f>
        <v>1551601233188355</v>
      </c>
      <c r="C6073" t="s">
        <v>40</v>
      </c>
      <c r="D6073">
        <v>4.6626779999999997</v>
      </c>
      <c r="E6073">
        <v>0.49906070000000002</v>
      </c>
      <c r="F6073" t="s">
        <v>50</v>
      </c>
      <c r="G6073">
        <v>-198.65870000000001</v>
      </c>
      <c r="H6073" s="1">
        <v>-4.9945290000000004E-6</v>
      </c>
      <c r="I6073">
        <v>125.4379</v>
      </c>
      <c r="J6073">
        <v>-192.36920000000001</v>
      </c>
      <c r="K6073">
        <v>1.1205750000000001</v>
      </c>
      <c r="L6073">
        <v>167.61070000000001</v>
      </c>
      <c r="M6073">
        <v>-4.8716280000000001E-2</v>
      </c>
      <c r="N6073">
        <v>-8.8182609999999904E-3</v>
      </c>
      <c r="O6073">
        <v>-0.99877380000000004</v>
      </c>
      <c r="P6073">
        <v>-0.15267890000000001</v>
      </c>
      <c r="Q6073">
        <v>0.12554399999999999</v>
      </c>
      <c r="R6073">
        <v>-0.98026950000000002</v>
      </c>
      <c r="S6073">
        <v>-0.44653320000000002</v>
      </c>
      <c r="T6073">
        <v>-7.9461100000000007E-2</v>
      </c>
      <c r="U6073">
        <v>-3.0009610000000002</v>
      </c>
      <c r="V6073">
        <v>0.1048637</v>
      </c>
      <c r="W6073">
        <v>0.13414289999999901</v>
      </c>
      <c r="X6073">
        <v>0.98539810000000005</v>
      </c>
      <c r="Y6073">
        <v>9.8776439999999993E-2</v>
      </c>
      <c r="Z6073">
        <v>1.742879E-2</v>
      </c>
      <c r="AA6073">
        <v>0.99495699999999998</v>
      </c>
      <c r="AB6073">
        <v>22</v>
      </c>
      <c r="AC6073">
        <v>-6.2895000000000003</v>
      </c>
      <c r="AD6073">
        <v>-1.120579994529</v>
      </c>
      <c r="AE6073">
        <v>-42.172800000000002</v>
      </c>
      <c r="AF6073">
        <v>4.2245322180870097</v>
      </c>
      <c r="AG6073">
        <v>-1.120579994529</v>
      </c>
      <c r="AH6073">
        <v>42.399851391110801</v>
      </c>
      <c r="AI6073">
        <v>91.506454528492</v>
      </c>
      <c r="AJ6073">
        <v>84.310082702472002</v>
      </c>
      <c r="AK6073">
        <v>42.624520759465099</v>
      </c>
      <c r="AL6073">
        <v>82.290939618722007</v>
      </c>
      <c r="AM6073">
        <v>83.925582194022795</v>
      </c>
      <c r="AN6073">
        <v>1.00000006434085</v>
      </c>
    </row>
    <row r="6074" spans="1:40" x14ac:dyDescent="0.25">
      <c r="A6074" t="str">
        <f>"20190303162033211"</f>
        <v>20190303162033211</v>
      </c>
      <c r="B6074" t="str">
        <f>"1551601233198116"</f>
        <v>1551601233198116</v>
      </c>
      <c r="C6074" t="s">
        <v>40</v>
      </c>
      <c r="D6074">
        <v>4.679182</v>
      </c>
      <c r="E6074">
        <v>0.49919920000000001</v>
      </c>
      <c r="F6074" t="s">
        <v>50</v>
      </c>
      <c r="G6074">
        <v>-198.727</v>
      </c>
      <c r="H6074" s="1">
        <v>-4.9341989999999999E-6</v>
      </c>
      <c r="I6074">
        <v>125.20569999999999</v>
      </c>
      <c r="J6074">
        <v>-192.3768</v>
      </c>
      <c r="K6074">
        <v>1.1205750000000001</v>
      </c>
      <c r="L6074">
        <v>167.465</v>
      </c>
      <c r="M6074">
        <v>-4.9134219999999999E-2</v>
      </c>
      <c r="N6074">
        <v>-8.8195310000000002E-3</v>
      </c>
      <c r="O6074">
        <v>-0.99875349999999996</v>
      </c>
      <c r="P6074">
        <v>-0.15285209999999999</v>
      </c>
      <c r="Q6074">
        <v>0.12543770000000001</v>
      </c>
      <c r="R6074">
        <v>-0.98025609999999996</v>
      </c>
      <c r="S6074">
        <v>-0.44985960000000003</v>
      </c>
      <c r="T6074">
        <v>-7.9289440000000003E-2</v>
      </c>
      <c r="U6074">
        <v>-3.0004729999999999</v>
      </c>
      <c r="V6074">
        <v>0.10462440000000001</v>
      </c>
      <c r="W6074">
        <v>0.13403799999999999</v>
      </c>
      <c r="X6074">
        <v>0.98543780000000003</v>
      </c>
      <c r="Y6074">
        <v>9.9462629999999996E-2</v>
      </c>
      <c r="Z6074">
        <v>1.737182E-2</v>
      </c>
      <c r="AA6074">
        <v>0.99488960000000004</v>
      </c>
      <c r="AB6074">
        <v>22</v>
      </c>
      <c r="AC6074">
        <v>-6.3502000000000001</v>
      </c>
      <c r="AD6074">
        <v>-1.1205799341989999</v>
      </c>
      <c r="AE6074">
        <v>-42.259300000000003</v>
      </c>
      <c r="AF6074">
        <v>4.2631401775324704</v>
      </c>
      <c r="AG6074">
        <v>-1.1205799341989999</v>
      </c>
      <c r="AH6074">
        <v>42.491061430719498</v>
      </c>
      <c r="AI6074">
        <v>91.503118890357797</v>
      </c>
      <c r="AJ6074">
        <v>84.270671072926405</v>
      </c>
      <c r="AK6074">
        <v>42.719086660079697</v>
      </c>
      <c r="AL6074">
        <v>82.297004639524005</v>
      </c>
      <c r="AM6074">
        <v>83.939583135513999</v>
      </c>
      <c r="AN6074">
        <v>1.0000000540940901</v>
      </c>
    </row>
    <row r="6075" spans="1:40" x14ac:dyDescent="0.25">
      <c r="A6075" t="str">
        <f>"20190303162033230"</f>
        <v>20190303162033230</v>
      </c>
      <c r="B6075" t="str">
        <f>"1551601233218611"</f>
        <v>1551601233218611</v>
      </c>
      <c r="C6075" t="s">
        <v>40</v>
      </c>
      <c r="D6075">
        <v>4.6853089999999904</v>
      </c>
      <c r="E6075">
        <v>0.49951400000000001</v>
      </c>
      <c r="F6075" t="s">
        <v>50</v>
      </c>
      <c r="G6075">
        <v>-198.76320000000001</v>
      </c>
      <c r="H6075" s="1">
        <v>-4.8681150000000002E-6</v>
      </c>
      <c r="I6075">
        <v>125.0301</v>
      </c>
      <c r="J6075">
        <v>-192.38650000000001</v>
      </c>
      <c r="K6075">
        <v>1.120574</v>
      </c>
      <c r="L6075">
        <v>167.28039999999999</v>
      </c>
      <c r="M6075">
        <v>-4.9659340000000003E-2</v>
      </c>
      <c r="N6075">
        <v>-8.8211250000000008E-3</v>
      </c>
      <c r="O6075">
        <v>-0.99872729999999998</v>
      </c>
      <c r="P6075">
        <v>-0.1530639</v>
      </c>
      <c r="Q6075">
        <v>0.12536169999999999</v>
      </c>
      <c r="R6075">
        <v>-0.98023269999999996</v>
      </c>
      <c r="S6075">
        <v>-0.4515228</v>
      </c>
      <c r="T6075">
        <v>-7.922506E-2</v>
      </c>
      <c r="U6075">
        <v>-3.0001530000000001</v>
      </c>
      <c r="V6075">
        <v>0.1043182</v>
      </c>
      <c r="W6075">
        <v>0.13396429999999901</v>
      </c>
      <c r="X6075">
        <v>0.98548020000000003</v>
      </c>
      <c r="Y6075">
        <v>9.9494460000000007E-2</v>
      </c>
      <c r="Z6075">
        <v>1.73500999999999E-2</v>
      </c>
      <c r="AA6075">
        <v>0.99488679999999996</v>
      </c>
      <c r="AB6075">
        <v>22</v>
      </c>
      <c r="AC6075">
        <v>-6.3766999999999996</v>
      </c>
      <c r="AD6075">
        <v>-1.120578868115</v>
      </c>
      <c r="AE6075">
        <v>-42.250299999999903</v>
      </c>
      <c r="AF6075">
        <v>4.2676931494730503</v>
      </c>
      <c r="AG6075">
        <v>-1.120578868115</v>
      </c>
      <c r="AH6075">
        <v>42.485622776211997</v>
      </c>
      <c r="AI6075">
        <v>91.503291866889299</v>
      </c>
      <c r="AJ6075">
        <v>84.263863701434602</v>
      </c>
      <c r="AK6075">
        <v>42.714131672086097</v>
      </c>
      <c r="AL6075">
        <v>82.301265137091406</v>
      </c>
      <c r="AM6075">
        <v>83.957446553659494</v>
      </c>
      <c r="AN6075">
        <v>0.99999997255888395</v>
      </c>
    </row>
    <row r="6076" spans="1:40" x14ac:dyDescent="0.25">
      <c r="A6076" t="str">
        <f>"20190303162033244"</f>
        <v>20190303162033244</v>
      </c>
      <c r="B6076" t="str">
        <f>"1551601233239107"</f>
        <v>1551601233239107</v>
      </c>
      <c r="C6076" t="s">
        <v>40</v>
      </c>
      <c r="D6076">
        <v>4.6994800000000003</v>
      </c>
      <c r="E6076">
        <v>0.49973400000000001</v>
      </c>
      <c r="F6076" t="s">
        <v>50</v>
      </c>
      <c r="G6076">
        <v>-198.6994</v>
      </c>
      <c r="H6076" s="1">
        <v>-5.0502490000000002E-6</v>
      </c>
      <c r="I6076">
        <v>125.6075</v>
      </c>
      <c r="J6076">
        <v>-192.39420000000001</v>
      </c>
      <c r="K6076">
        <v>1.1205689999999999</v>
      </c>
      <c r="L6076">
        <v>167.13419999999999</v>
      </c>
      <c r="M6076">
        <v>-5.0072499999999999E-2</v>
      </c>
      <c r="N6076">
        <v>-8.82229E-3</v>
      </c>
      <c r="O6076">
        <v>-0.9987066</v>
      </c>
      <c r="P6076">
        <v>-0.15314330000000001</v>
      </c>
      <c r="Q6076">
        <v>0.1251989</v>
      </c>
      <c r="R6076">
        <v>-0.98024109999999998</v>
      </c>
      <c r="S6076">
        <v>-0.45443729999999899</v>
      </c>
      <c r="T6076">
        <v>-8.0665109999999998E-2</v>
      </c>
      <c r="U6076">
        <v>-2.9998320000000001</v>
      </c>
      <c r="V6076">
        <v>0.1039885</v>
      </c>
      <c r="W6076">
        <v>0.13380359999999999</v>
      </c>
      <c r="X6076">
        <v>0.98553690000000005</v>
      </c>
      <c r="Y6076">
        <v>0.1000419</v>
      </c>
      <c r="Z6076">
        <v>1.782359E-2</v>
      </c>
      <c r="AA6076">
        <v>0.99482360000000003</v>
      </c>
      <c r="AB6076">
        <v>22</v>
      </c>
      <c r="AC6076">
        <v>-6.3051999999999797</v>
      </c>
      <c r="AD6076">
        <v>-1.120574050249</v>
      </c>
      <c r="AE6076">
        <v>-41.526699999999899</v>
      </c>
      <c r="AF6076">
        <v>4.2148634668895797</v>
      </c>
      <c r="AG6076">
        <v>-1.120574050249</v>
      </c>
      <c r="AH6076">
        <v>41.7606105336722</v>
      </c>
      <c r="AI6076">
        <v>91.529298915293595</v>
      </c>
      <c r="AJ6076">
        <v>84.236701708724297</v>
      </c>
      <c r="AK6076">
        <v>41.987728592907501</v>
      </c>
      <c r="AL6076">
        <v>82.3105564008616</v>
      </c>
      <c r="AM6076">
        <v>83.976747552337201</v>
      </c>
      <c r="AN6076">
        <v>0.99999999638340997</v>
      </c>
    </row>
    <row r="6077" spans="1:40" x14ac:dyDescent="0.25">
      <c r="A6077" t="str">
        <f>"20190303162033263"</f>
        <v>20190303162033263</v>
      </c>
      <c r="B6077" t="str">
        <f>"1551601233258627"</f>
        <v>1551601233258627</v>
      </c>
      <c r="C6077" t="s">
        <v>40</v>
      </c>
      <c r="D6077">
        <v>4.7034699999999896</v>
      </c>
      <c r="E6077">
        <v>0.49970900000000001</v>
      </c>
      <c r="F6077" t="s">
        <v>50</v>
      </c>
      <c r="G6077">
        <v>-198.68180000000001</v>
      </c>
      <c r="H6077" s="1">
        <v>-5.1120990000000003E-6</v>
      </c>
      <c r="I6077">
        <v>125.8295</v>
      </c>
      <c r="J6077">
        <v>-192.40350000000001</v>
      </c>
      <c r="K6077">
        <v>1.1205689999999999</v>
      </c>
      <c r="L6077">
        <v>166.9599</v>
      </c>
      <c r="M6077">
        <v>-5.0561399999999999E-2</v>
      </c>
      <c r="N6077">
        <v>-8.8237679999999992E-3</v>
      </c>
      <c r="O6077">
        <v>-0.99868199999999996</v>
      </c>
      <c r="P6077">
        <v>-0.1530889</v>
      </c>
      <c r="Q6077">
        <v>0.1253927</v>
      </c>
      <c r="R6077">
        <v>-0.98022469999999995</v>
      </c>
      <c r="S6077">
        <v>-0.45660400000000001</v>
      </c>
      <c r="T6077">
        <v>-8.137548E-2</v>
      </c>
      <c r="U6077">
        <v>-2.9995270000000001</v>
      </c>
      <c r="V6077">
        <v>0.103452</v>
      </c>
      <c r="W6077">
        <v>0.13400020000000001</v>
      </c>
      <c r="X6077">
        <v>0.98556670000000002</v>
      </c>
      <c r="Y6077">
        <v>0.1002715</v>
      </c>
      <c r="Z6077">
        <v>1.805677E-2</v>
      </c>
      <c r="AA6077">
        <v>0.99479629999999997</v>
      </c>
      <c r="AB6077">
        <v>22</v>
      </c>
      <c r="AC6077">
        <v>-6.2782999999999998</v>
      </c>
      <c r="AD6077">
        <v>-1.120574112099</v>
      </c>
      <c r="AE6077">
        <v>-41.130400000000002</v>
      </c>
      <c r="AF6077">
        <v>4.1875401619719703</v>
      </c>
      <c r="AG6077">
        <v>-1.120574112099</v>
      </c>
      <c r="AH6077">
        <v>41.365235640399199</v>
      </c>
      <c r="AI6077">
        <v>91.543862255609199</v>
      </c>
      <c r="AJ6077">
        <v>84.219451017734301</v>
      </c>
      <c r="AK6077">
        <v>41.591752770646501</v>
      </c>
      <c r="AL6077">
        <v>82.299190065529302</v>
      </c>
      <c r="AM6077">
        <v>84.007776038114599</v>
      </c>
      <c r="AN6077">
        <v>1.0000000450264599</v>
      </c>
    </row>
    <row r="6078" spans="1:40" x14ac:dyDescent="0.25">
      <c r="A6078" t="str">
        <f>"20190303162033275"</f>
        <v>20190303162033275</v>
      </c>
      <c r="B6078" t="str">
        <f>"1551601233268387"</f>
        <v>1551601233268387</v>
      </c>
      <c r="C6078" t="s">
        <v>40</v>
      </c>
      <c r="D6078">
        <v>4.6637019999999998</v>
      </c>
      <c r="E6078">
        <v>0.49967800000000001</v>
      </c>
      <c r="F6078" t="s">
        <v>50</v>
      </c>
      <c r="G6078">
        <v>-198.96600000000001</v>
      </c>
      <c r="H6078" s="1">
        <v>-4.387373E-6</v>
      </c>
      <c r="I6078">
        <v>123.8524</v>
      </c>
      <c r="J6078">
        <v>-192.4101</v>
      </c>
      <c r="K6078">
        <v>1.120574</v>
      </c>
      <c r="L6078">
        <v>166.83670000000001</v>
      </c>
      <c r="M6078">
        <v>-5.0904909999999998E-2</v>
      </c>
      <c r="N6078">
        <v>-8.8248230000000007E-3</v>
      </c>
      <c r="O6078">
        <v>-0.99866460000000001</v>
      </c>
      <c r="P6078">
        <v>-0.15271670000000001</v>
      </c>
      <c r="Q6078">
        <v>0.12532699999999999</v>
      </c>
      <c r="R6078">
        <v>-0.98029140000000003</v>
      </c>
      <c r="S6078">
        <v>-0.45658870000000001</v>
      </c>
      <c r="T6078">
        <v>-7.7964309999999995E-2</v>
      </c>
      <c r="U6078">
        <v>-2.9992220000000001</v>
      </c>
      <c r="V6078">
        <v>0.1027373</v>
      </c>
      <c r="W6078">
        <v>0.1339369</v>
      </c>
      <c r="X6078">
        <v>0.98565000000000003</v>
      </c>
      <c r="Y6078">
        <v>9.9942829999999996E-2</v>
      </c>
      <c r="Z6078">
        <v>1.693354E-2</v>
      </c>
      <c r="AA6078">
        <v>0.99484910000000004</v>
      </c>
      <c r="AB6078">
        <v>22</v>
      </c>
      <c r="AC6078">
        <v>-6.5558999999999799</v>
      </c>
      <c r="AD6078">
        <v>-1.120578387373</v>
      </c>
      <c r="AE6078">
        <v>-42.984299999999998</v>
      </c>
      <c r="AF6078">
        <v>4.3563093800302299</v>
      </c>
      <c r="AG6078">
        <v>-1.120578387373</v>
      </c>
      <c r="AH6078">
        <v>43.233592816309198</v>
      </c>
      <c r="AI6078">
        <v>91.477249042931902</v>
      </c>
      <c r="AJ6078">
        <v>84.246175015166301</v>
      </c>
      <c r="AK6078">
        <v>43.466960730458403</v>
      </c>
      <c r="AL6078">
        <v>82.302849408622905</v>
      </c>
      <c r="AM6078">
        <v>84.049374644034899</v>
      </c>
      <c r="AN6078">
        <v>0.99999998424644998</v>
      </c>
    </row>
    <row r="6079" spans="1:40" x14ac:dyDescent="0.25">
      <c r="A6079" t="str">
        <f>"20190303162033289"</f>
        <v>20190303162033289</v>
      </c>
      <c r="B6079" t="str">
        <f>"1551601233278148"</f>
        <v>1551601233278148</v>
      </c>
      <c r="C6079" t="s">
        <v>40</v>
      </c>
      <c r="D6079">
        <v>4.6691399999999996</v>
      </c>
      <c r="E6079">
        <v>0.4996871</v>
      </c>
      <c r="F6079" t="s">
        <v>50</v>
      </c>
      <c r="G6079">
        <v>-199.0634</v>
      </c>
      <c r="H6079" s="1">
        <v>-4.0246899999999999E-6</v>
      </c>
      <c r="I6079">
        <v>123.01609999999999</v>
      </c>
      <c r="J6079">
        <v>-192.41749999999999</v>
      </c>
      <c r="K6079">
        <v>1.1205719999999999</v>
      </c>
      <c r="L6079">
        <v>166.69820000000001</v>
      </c>
      <c r="M6079">
        <v>-5.1289550000000003E-2</v>
      </c>
      <c r="N6079">
        <v>-8.8260109999999999E-3</v>
      </c>
      <c r="O6079">
        <v>-0.9986448</v>
      </c>
      <c r="P6079">
        <v>-0.1527297</v>
      </c>
      <c r="Q6079">
        <v>0.12564710000000001</v>
      </c>
      <c r="R6079">
        <v>-0.98024860000000003</v>
      </c>
      <c r="S6079">
        <v>-0.45536799999999999</v>
      </c>
      <c r="T6079">
        <v>-7.6694369999999998E-2</v>
      </c>
      <c r="U6079">
        <v>-2.999161</v>
      </c>
      <c r="V6079">
        <v>0.1023727</v>
      </c>
      <c r="W6079">
        <v>0.13425819999999999</v>
      </c>
      <c r="X6079">
        <v>0.98564419999999997</v>
      </c>
      <c r="Y6079">
        <v>9.9168149999999997E-2</v>
      </c>
      <c r="Z6079">
        <v>1.6515249999999999E-2</v>
      </c>
      <c r="AA6079">
        <v>0.99493359999999997</v>
      </c>
      <c r="AB6079">
        <v>22</v>
      </c>
      <c r="AC6079">
        <v>-6.6459000000000099</v>
      </c>
      <c r="AD6079">
        <v>-1.1205760246899901</v>
      </c>
      <c r="AE6079">
        <v>-43.682099999999998</v>
      </c>
      <c r="AF6079">
        <v>4.3938035376594797</v>
      </c>
      <c r="AG6079">
        <v>-1.1205760246899901</v>
      </c>
      <c r="AH6079">
        <v>43.937220864488701</v>
      </c>
      <c r="AI6079">
        <v>91.453708748637098</v>
      </c>
      <c r="AJ6079">
        <v>84.289301698732103</v>
      </c>
      <c r="AK6079">
        <v>44.170584979707002</v>
      </c>
      <c r="AL6079">
        <v>82.284272313382701</v>
      </c>
      <c r="AM6079">
        <v>84.0703071862836</v>
      </c>
      <c r="AN6079">
        <v>0.99999996148308401</v>
      </c>
    </row>
    <row r="6080" spans="1:40" x14ac:dyDescent="0.25">
      <c r="A6080" t="str">
        <f>"20190303162033302"</f>
        <v>20190303162033302</v>
      </c>
      <c r="B6080" t="str">
        <f>"1551601233298644"</f>
        <v>1551601233298644</v>
      </c>
      <c r="C6080" t="s">
        <v>40</v>
      </c>
      <c r="D6080">
        <v>4.6874229999999999</v>
      </c>
      <c r="E6080">
        <v>0.49974489999999999</v>
      </c>
      <c r="F6080" t="s">
        <v>50</v>
      </c>
      <c r="G6080">
        <v>-199.2458</v>
      </c>
      <c r="H6080" s="1">
        <v>-3.48977E-6</v>
      </c>
      <c r="I6080">
        <v>121.764</v>
      </c>
      <c r="J6080">
        <v>-192.4248</v>
      </c>
      <c r="K6080">
        <v>1.1205719999999999</v>
      </c>
      <c r="L6080">
        <v>166.565</v>
      </c>
      <c r="M6080">
        <v>-5.1657979999999999E-2</v>
      </c>
      <c r="N6080">
        <v>-8.8271719999999994E-3</v>
      </c>
      <c r="O6080">
        <v>-0.99862600000000001</v>
      </c>
      <c r="P6080">
        <v>-0.15270980000000001</v>
      </c>
      <c r="Q6080">
        <v>0.12539990000000001</v>
      </c>
      <c r="R6080">
        <v>-0.98028340000000003</v>
      </c>
      <c r="S6080">
        <v>-0.45573429999999998</v>
      </c>
      <c r="T6080">
        <v>-7.4789640000000004E-2</v>
      </c>
      <c r="U6080">
        <v>-2.9990079999999999</v>
      </c>
      <c r="V6080">
        <v>0.1019866</v>
      </c>
      <c r="W6080">
        <v>0.1340134</v>
      </c>
      <c r="X6080">
        <v>0.98571759999999997</v>
      </c>
      <c r="Y6080">
        <v>9.8929139999999999E-2</v>
      </c>
      <c r="Z6080">
        <v>1.588678E-2</v>
      </c>
      <c r="AA6080">
        <v>0.99496759999999995</v>
      </c>
      <c r="AB6080">
        <v>22</v>
      </c>
      <c r="AC6080">
        <v>-6.82099999999999</v>
      </c>
      <c r="AD6080">
        <v>-1.12057548977</v>
      </c>
      <c r="AE6080">
        <v>-44.801000000000002</v>
      </c>
      <c r="AF6080">
        <v>4.4947249516773899</v>
      </c>
      <c r="AG6080">
        <v>-1.12057548977</v>
      </c>
      <c r="AH6080">
        <v>45.0659961857735</v>
      </c>
      <c r="AI6080">
        <v>91.417349009169797</v>
      </c>
      <c r="AJ6080">
        <v>84.304354929625006</v>
      </c>
      <c r="AK6080">
        <v>45.303446381436103</v>
      </c>
      <c r="AL6080">
        <v>82.298426702739505</v>
      </c>
      <c r="AM6080">
        <v>84.092949428473801</v>
      </c>
      <c r="AN6080">
        <v>1.0000000224544301</v>
      </c>
    </row>
    <row r="6081" spans="1:40" x14ac:dyDescent="0.25">
      <c r="A6081" t="str">
        <f>"20190303162033318"</f>
        <v>20190303162033318</v>
      </c>
      <c r="B6081" t="str">
        <f>"1551601233308403"</f>
        <v>1551601233308403</v>
      </c>
      <c r="C6081" t="s">
        <v>40</v>
      </c>
      <c r="D6081">
        <v>4.6948339999999904</v>
      </c>
      <c r="E6081">
        <v>0.49963849999999999</v>
      </c>
      <c r="F6081" t="s">
        <v>50</v>
      </c>
      <c r="G6081">
        <v>-199.3904</v>
      </c>
      <c r="H6081" s="1">
        <v>-3.0658899999999999E-6</v>
      </c>
      <c r="I6081">
        <v>120.7718</v>
      </c>
      <c r="J6081">
        <v>-192.43289999999999</v>
      </c>
      <c r="K6081">
        <v>1.120573</v>
      </c>
      <c r="L6081">
        <v>166.41810000000001</v>
      </c>
      <c r="M6081">
        <v>-5.2063190000000002E-2</v>
      </c>
      <c r="N6081">
        <v>-8.8285310000000006E-3</v>
      </c>
      <c r="O6081">
        <v>-0.99860479999999996</v>
      </c>
      <c r="P6081">
        <v>-0.1526131</v>
      </c>
      <c r="Q6081">
        <v>0.12522939999999999</v>
      </c>
      <c r="R6081">
        <v>-0.98031970000000002</v>
      </c>
      <c r="S6081">
        <v>-0.45613100000000001</v>
      </c>
      <c r="T6081">
        <v>-7.3378799999999994E-2</v>
      </c>
      <c r="U6081">
        <v>-2.998688</v>
      </c>
      <c r="V6081">
        <v>0.1014877</v>
      </c>
      <c r="W6081">
        <v>0.1338452</v>
      </c>
      <c r="X6081">
        <v>0.98579190000000005</v>
      </c>
      <c r="Y6081">
        <v>9.8671140000000004E-2</v>
      </c>
      <c r="Z6081">
        <v>1.542226E-2</v>
      </c>
      <c r="AA6081">
        <v>0.99500060000000001</v>
      </c>
      <c r="AB6081">
        <v>22</v>
      </c>
      <c r="AC6081">
        <v>-6.9574999999999996</v>
      </c>
      <c r="AD6081">
        <v>-1.1205760658899999</v>
      </c>
      <c r="AE6081">
        <v>-45.646299999999997</v>
      </c>
      <c r="AF6081">
        <v>4.5687880137124397</v>
      </c>
      <c r="AG6081">
        <v>-1.1205760658899999</v>
      </c>
      <c r="AH6081">
        <v>45.919587558676</v>
      </c>
      <c r="AI6081">
        <v>91.391046382281004</v>
      </c>
      <c r="AJ6081">
        <v>84.318033140598004</v>
      </c>
      <c r="AK6081">
        <v>46.159918069604501</v>
      </c>
      <c r="AL6081">
        <v>82.308151139127702</v>
      </c>
      <c r="AM6081">
        <v>84.122082764843597</v>
      </c>
      <c r="AN6081">
        <v>0.99999998045996896</v>
      </c>
    </row>
    <row r="6082" spans="1:40" x14ac:dyDescent="0.25">
      <c r="A6082" t="str">
        <f>"20190303162033330"</f>
        <v>20190303162033330</v>
      </c>
      <c r="B6082" t="str">
        <f>"1551601233318164"</f>
        <v>1551601233318164</v>
      </c>
      <c r="C6082" t="s">
        <v>40</v>
      </c>
      <c r="D6082">
        <v>4.6589989999999997</v>
      </c>
      <c r="E6082">
        <v>0.49963639999999998</v>
      </c>
      <c r="F6082" t="s">
        <v>50</v>
      </c>
      <c r="G6082">
        <v>-199.40780000000001</v>
      </c>
      <c r="H6082" s="1">
        <v>-2.9141289999999999E-6</v>
      </c>
      <c r="I6082">
        <v>120.4331</v>
      </c>
      <c r="J6082">
        <v>-192.43960000000001</v>
      </c>
      <c r="K6082">
        <v>1.1205689999999999</v>
      </c>
      <c r="L6082">
        <v>166.29580000000001</v>
      </c>
      <c r="M6082">
        <v>-5.240011E-2</v>
      </c>
      <c r="N6082">
        <v>-8.8296690000000001E-3</v>
      </c>
      <c r="O6082">
        <v>-0.99858709999999995</v>
      </c>
      <c r="P6082">
        <v>-0.15330849999999999</v>
      </c>
      <c r="Q6082">
        <v>0.12526880000000001</v>
      </c>
      <c r="R6082">
        <v>-0.98020629999999997</v>
      </c>
      <c r="S6082">
        <v>-0.45484920000000001</v>
      </c>
      <c r="T6082">
        <v>-7.3074699999999895E-2</v>
      </c>
      <c r="U6082">
        <v>-2.998764</v>
      </c>
      <c r="V6082">
        <v>0.10185520000000001</v>
      </c>
      <c r="W6082">
        <v>0.1338849</v>
      </c>
      <c r="X6082">
        <v>0.98574859999999997</v>
      </c>
      <c r="Y6082">
        <v>9.7916299999999998E-2</v>
      </c>
      <c r="Z6082">
        <v>1.5321370000000001E-2</v>
      </c>
      <c r="AA6082">
        <v>0.99507670000000004</v>
      </c>
      <c r="AB6082">
        <v>22</v>
      </c>
      <c r="AC6082">
        <v>-6.9681999999999897</v>
      </c>
      <c r="AD6082">
        <v>-1.120571914129</v>
      </c>
      <c r="AE6082">
        <v>-45.862699999999997</v>
      </c>
      <c r="AF6082">
        <v>4.5526653115480302</v>
      </c>
      <c r="AG6082">
        <v>-1.120571914129</v>
      </c>
      <c r="AH6082">
        <v>46.137914286003301</v>
      </c>
      <c r="AI6082">
        <v>91.384572718013303</v>
      </c>
      <c r="AJ6082">
        <v>84.364573795824796</v>
      </c>
      <c r="AK6082">
        <v>46.375527786929702</v>
      </c>
      <c r="AL6082">
        <v>82.305855798062595</v>
      </c>
      <c r="AM6082">
        <v>84.100690607147499</v>
      </c>
      <c r="AN6082">
        <v>0.99999997530850404</v>
      </c>
    </row>
    <row r="6083" spans="1:40" x14ac:dyDescent="0.25">
      <c r="A6083" t="str">
        <f>"20190303162033341"</f>
        <v>20190303162033341</v>
      </c>
      <c r="B6083" t="str">
        <f>"1551601233328899"</f>
        <v>1551601233328899</v>
      </c>
      <c r="C6083" t="s">
        <v>40</v>
      </c>
      <c r="D6083">
        <v>4.7018709999999997</v>
      </c>
      <c r="E6083">
        <v>0.4994808</v>
      </c>
      <c r="F6083" t="s">
        <v>50</v>
      </c>
      <c r="G6083">
        <v>-199.50360000000001</v>
      </c>
      <c r="H6083" s="1">
        <v>-2.7113939999999998E-6</v>
      </c>
      <c r="I6083">
        <v>119.9457</v>
      </c>
      <c r="J6083">
        <v>-192.4462</v>
      </c>
      <c r="K6083">
        <v>1.120566</v>
      </c>
      <c r="L6083">
        <v>166.17590000000001</v>
      </c>
      <c r="M6083">
        <v>-5.2729669999999999E-2</v>
      </c>
      <c r="N6083">
        <v>-8.8307630000000002E-3</v>
      </c>
      <c r="O6083">
        <v>-0.9985697</v>
      </c>
      <c r="P6083">
        <v>-0.15377829999999901</v>
      </c>
      <c r="Q6083">
        <v>0.12484199999999999</v>
      </c>
      <c r="R6083">
        <v>-0.98018709999999998</v>
      </c>
      <c r="S6083">
        <v>-0.45697019999999999</v>
      </c>
      <c r="T6083">
        <v>-7.248926E-2</v>
      </c>
      <c r="U6083">
        <v>-2.998367</v>
      </c>
      <c r="V6083">
        <v>0.1019994</v>
      </c>
      <c r="W6083">
        <v>0.1334591</v>
      </c>
      <c r="X6083">
        <v>0.98579139999999998</v>
      </c>
      <c r="Y6083">
        <v>9.8295789999999994E-2</v>
      </c>
      <c r="Z6083">
        <v>1.5128340000000001E-2</v>
      </c>
      <c r="AA6083">
        <v>0.99504230000000005</v>
      </c>
      <c r="AB6083">
        <v>22</v>
      </c>
      <c r="AC6083">
        <v>-7.0574000000000003</v>
      </c>
      <c r="AD6083">
        <v>-1.1205687113939999</v>
      </c>
      <c r="AE6083">
        <v>-46.230200000000004</v>
      </c>
      <c r="AF6083">
        <v>4.6071375506222401</v>
      </c>
      <c r="AG6083">
        <v>-1.1205687113939999</v>
      </c>
      <c r="AH6083">
        <v>46.511325320544898</v>
      </c>
      <c r="AI6083">
        <v>91.373406241230995</v>
      </c>
      <c r="AJ6083">
        <v>84.343071256644606</v>
      </c>
      <c r="AK6083">
        <v>46.752377198607498</v>
      </c>
      <c r="AL6083">
        <v>82.330473046942103</v>
      </c>
      <c r="AM6083">
        <v>84.092652448421603</v>
      </c>
      <c r="AN6083">
        <v>0.99999994664356295</v>
      </c>
    </row>
    <row r="6084" spans="1:40" x14ac:dyDescent="0.25">
      <c r="A6084" t="str">
        <f>"20190303162033354"</f>
        <v>20190303162033354</v>
      </c>
      <c r="B6084" t="str">
        <f>"1551601233348419"</f>
        <v>1551601233348419</v>
      </c>
      <c r="C6084" t="s">
        <v>40</v>
      </c>
      <c r="D6084">
        <v>4.684704</v>
      </c>
      <c r="E6084">
        <v>0.49925819999999999</v>
      </c>
      <c r="F6084" t="s">
        <v>50</v>
      </c>
      <c r="G6084">
        <v>-199.38290000000001</v>
      </c>
      <c r="H6084" s="1">
        <v>-3.0152419999999998E-6</v>
      </c>
      <c r="I6084">
        <v>120.6652</v>
      </c>
      <c r="J6084">
        <v>-192.45249999999999</v>
      </c>
      <c r="K6084">
        <v>1.1205639999999999</v>
      </c>
      <c r="L6084">
        <v>166.0635</v>
      </c>
      <c r="M6084">
        <v>-5.303861E-2</v>
      </c>
      <c r="N6084">
        <v>-8.8317940000000004E-3</v>
      </c>
      <c r="O6084">
        <v>-0.99855349999999998</v>
      </c>
      <c r="P6084">
        <v>-0.15427399999999999</v>
      </c>
      <c r="Q6084">
        <v>0.12477679999999999</v>
      </c>
      <c r="R6084">
        <v>-0.98011789999999999</v>
      </c>
      <c r="S6084">
        <v>-0.45700069999999998</v>
      </c>
      <c r="T6084">
        <v>-7.3825600000000005E-2</v>
      </c>
      <c r="U6084">
        <v>-2.9983520000000001</v>
      </c>
      <c r="V6084">
        <v>0.1021929</v>
      </c>
      <c r="W6084">
        <v>0.13339489999999901</v>
      </c>
      <c r="X6084">
        <v>0.98578010000000005</v>
      </c>
      <c r="Y6084">
        <v>9.7997429999999996E-2</v>
      </c>
      <c r="Z6084">
        <v>1.5568210000000001E-2</v>
      </c>
      <c r="AA6084">
        <v>0.99506490000000003</v>
      </c>
      <c r="AB6084">
        <v>22</v>
      </c>
      <c r="AC6084">
        <v>-6.9304000000000103</v>
      </c>
      <c r="AD6084">
        <v>-1.120567015242</v>
      </c>
      <c r="AE6084">
        <v>-45.398299999999999</v>
      </c>
      <c r="AF6084">
        <v>4.5100028759096302</v>
      </c>
      <c r="AG6084">
        <v>-1.120567015242</v>
      </c>
      <c r="AH6084">
        <v>45.674794594488901</v>
      </c>
      <c r="AI6084">
        <v>91.398590852204194</v>
      </c>
      <c r="AJ6084">
        <v>84.360802140600001</v>
      </c>
      <c r="AK6084">
        <v>45.910594176345803</v>
      </c>
      <c r="AL6084">
        <v>82.334185009942203</v>
      </c>
      <c r="AM6084">
        <v>84.081457908854006</v>
      </c>
      <c r="AN6084">
        <v>0.99999999685621499</v>
      </c>
    </row>
    <row r="6085" spans="1:40" x14ac:dyDescent="0.25">
      <c r="A6085" t="str">
        <f>"20190303162033366"</f>
        <v>20190303162033366</v>
      </c>
      <c r="B6085" t="str">
        <f>"1551601233358180"</f>
        <v>1551601233358180</v>
      </c>
      <c r="C6085" t="s">
        <v>40</v>
      </c>
      <c r="D6085">
        <v>4.7547940000000004</v>
      </c>
      <c r="E6085">
        <v>0.49918499999999999</v>
      </c>
      <c r="F6085" t="s">
        <v>50</v>
      </c>
      <c r="G6085">
        <v>-199.3639</v>
      </c>
      <c r="H6085" s="1">
        <v>-3.03004E-6</v>
      </c>
      <c r="I6085">
        <v>120.70659999999999</v>
      </c>
      <c r="J6085">
        <v>-192.45959999999999</v>
      </c>
      <c r="K6085">
        <v>1.120565</v>
      </c>
      <c r="L6085">
        <v>165.9365</v>
      </c>
      <c r="M6085">
        <v>-5.3387530000000002E-2</v>
      </c>
      <c r="N6085">
        <v>-8.8329710000000002E-3</v>
      </c>
      <c r="O6085">
        <v>-0.9985349</v>
      </c>
      <c r="P6085">
        <v>-0.15481029999999901</v>
      </c>
      <c r="Q6085">
        <v>0.1244426</v>
      </c>
      <c r="R6085">
        <v>-0.98007549999999999</v>
      </c>
      <c r="S6085">
        <v>-0.45687870000000003</v>
      </c>
      <c r="T6085">
        <v>-7.4075820000000001E-2</v>
      </c>
      <c r="U6085">
        <v>-2.9983520000000001</v>
      </c>
      <c r="V6085">
        <v>0.1023857</v>
      </c>
      <c r="W6085">
        <v>0.1330617</v>
      </c>
      <c r="X6085">
        <v>0.98580520000000005</v>
      </c>
      <c r="Y6085">
        <v>9.7609909999999994E-2</v>
      </c>
      <c r="Z6085">
        <v>1.5649670000000001E-2</v>
      </c>
      <c r="AA6085">
        <v>0.99510169999999998</v>
      </c>
      <c r="AB6085">
        <v>22</v>
      </c>
      <c r="AC6085">
        <v>-6.9043000000000001</v>
      </c>
      <c r="AD6085">
        <v>-1.1205680300399901</v>
      </c>
      <c r="AE6085">
        <v>-45.229900000000001</v>
      </c>
      <c r="AF6085">
        <v>4.4769608107726899</v>
      </c>
      <c r="AG6085">
        <v>-1.1205680300399901</v>
      </c>
      <c r="AH6085">
        <v>45.5067132048543</v>
      </c>
      <c r="AI6085">
        <v>91.403805326767397</v>
      </c>
      <c r="AJ6085">
        <v>84.381308761709505</v>
      </c>
      <c r="AK6085">
        <v>45.7401333351795</v>
      </c>
      <c r="AL6085">
        <v>82.3534482456745</v>
      </c>
      <c r="AM6085">
        <v>84.070521206851197</v>
      </c>
      <c r="AN6085">
        <v>1.0000000699592</v>
      </c>
    </row>
    <row r="6086" spans="1:40" x14ac:dyDescent="0.25">
      <c r="A6086" t="str">
        <f>"20190303162033378"</f>
        <v>20190303162033378</v>
      </c>
      <c r="B6086" t="str">
        <f>"1551601233368916"</f>
        <v>1551601233368916</v>
      </c>
      <c r="C6086" t="s">
        <v>40</v>
      </c>
      <c r="D6086">
        <v>4.6640959999999998</v>
      </c>
      <c r="E6086">
        <v>0.49908659999999999</v>
      </c>
      <c r="F6086" t="s">
        <v>50</v>
      </c>
      <c r="G6086">
        <v>-199.32839999999999</v>
      </c>
      <c r="H6086" s="1">
        <v>-3.1489309999999998E-6</v>
      </c>
      <c r="I6086">
        <v>120.9824</v>
      </c>
      <c r="J6086">
        <v>-192.46680000000001</v>
      </c>
      <c r="K6086">
        <v>1.120566</v>
      </c>
      <c r="L6086">
        <v>165.8092</v>
      </c>
      <c r="M6086">
        <v>-5.3737529999999999E-2</v>
      </c>
      <c r="N6086">
        <v>-8.8342260000000006E-3</v>
      </c>
      <c r="O6086">
        <v>-0.99851630000000002</v>
      </c>
      <c r="P6086">
        <v>-0.1552231</v>
      </c>
      <c r="Q6086">
        <v>0.12447999999999999</v>
      </c>
      <c r="R6086">
        <v>-0.98000560000000003</v>
      </c>
      <c r="S6086">
        <v>-0.45809939999999999</v>
      </c>
      <c r="T6086">
        <v>-7.4734330000000002E-2</v>
      </c>
      <c r="U6086">
        <v>-2.998138</v>
      </c>
      <c r="V6086">
        <v>0.10245609999999999</v>
      </c>
      <c r="W6086">
        <v>0.13309949999999901</v>
      </c>
      <c r="X6086">
        <v>0.98579269999999997</v>
      </c>
      <c r="Y6086">
        <v>9.7666939999999994E-2</v>
      </c>
      <c r="Z6086">
        <v>1.5866180000000001E-2</v>
      </c>
      <c r="AA6086">
        <v>0.99509270000000005</v>
      </c>
      <c r="AB6086">
        <v>22</v>
      </c>
      <c r="AC6086">
        <v>-6.8615999999999797</v>
      </c>
      <c r="AD6086">
        <v>-1.1205691489309999</v>
      </c>
      <c r="AE6086">
        <v>-44.826799999999999</v>
      </c>
      <c r="AF6086">
        <v>4.4399990591838296</v>
      </c>
      <c r="AG6086">
        <v>-1.1205691489309999</v>
      </c>
      <c r="AH6086">
        <v>45.103225039063702</v>
      </c>
      <c r="AI6086">
        <v>91.416351562526401</v>
      </c>
      <c r="AJ6086">
        <v>84.377869625854501</v>
      </c>
      <c r="AK6086">
        <v>45.335087689200698</v>
      </c>
      <c r="AL6086">
        <v>82.351262400392898</v>
      </c>
      <c r="AM6086">
        <v>84.066398497297399</v>
      </c>
      <c r="AN6086">
        <v>0.99999998835037496</v>
      </c>
    </row>
    <row r="6087" spans="1:40" x14ac:dyDescent="0.25">
      <c r="A6087" t="str">
        <f>"20190303162033392"</f>
        <v>20190303162033392</v>
      </c>
      <c r="B6087" t="str">
        <f>"1551601233378675"</f>
        <v>1551601233378675</v>
      </c>
      <c r="C6087" t="s">
        <v>40</v>
      </c>
      <c r="D6087">
        <v>4.6606870000000002</v>
      </c>
      <c r="E6087">
        <v>0.4989788</v>
      </c>
      <c r="F6087" t="s">
        <v>50</v>
      </c>
      <c r="G6087">
        <v>-199.3921</v>
      </c>
      <c r="H6087" s="1">
        <v>-2.9639859999999999E-6</v>
      </c>
      <c r="I6087">
        <v>120.5492</v>
      </c>
      <c r="J6087">
        <v>-192.47399999999999</v>
      </c>
      <c r="K6087">
        <v>1.120565</v>
      </c>
      <c r="L6087">
        <v>165.68389999999999</v>
      </c>
      <c r="M6087">
        <v>-5.408201E-2</v>
      </c>
      <c r="N6087">
        <v>-8.8354450000000008E-3</v>
      </c>
      <c r="O6087">
        <v>-0.99849750000000004</v>
      </c>
      <c r="P6087">
        <v>-0.155499</v>
      </c>
      <c r="Q6087">
        <v>0.1248611</v>
      </c>
      <c r="R6087">
        <v>-0.97991340000000005</v>
      </c>
      <c r="S6087">
        <v>-0.45872499999999999</v>
      </c>
      <c r="T6087">
        <v>-7.4225540000000007E-2</v>
      </c>
      <c r="U6087">
        <v>-2.997986</v>
      </c>
      <c r="V6087">
        <v>0.10239669999999999</v>
      </c>
      <c r="W6087">
        <v>0.13348180000000001</v>
      </c>
      <c r="X6087">
        <v>0.98574720000000005</v>
      </c>
      <c r="Y6087">
        <v>9.7534570000000001E-2</v>
      </c>
      <c r="Z6087">
        <v>1.569775E-2</v>
      </c>
      <c r="AA6087">
        <v>0.99510829999999995</v>
      </c>
      <c r="AB6087">
        <v>22</v>
      </c>
      <c r="AC6087">
        <v>-6.9180999999999804</v>
      </c>
      <c r="AD6087">
        <v>-1.120567963986</v>
      </c>
      <c r="AE6087">
        <v>-45.134700000000002</v>
      </c>
      <c r="AF6087">
        <v>4.4642156674506897</v>
      </c>
      <c r="AG6087">
        <v>-1.120567963986</v>
      </c>
      <c r="AH6087">
        <v>45.4154483835799</v>
      </c>
      <c r="AI6087">
        <v>91.406636492562697</v>
      </c>
      <c r="AJ6087">
        <v>84.3860150237509</v>
      </c>
      <c r="AK6087">
        <v>45.648086991340897</v>
      </c>
      <c r="AL6087">
        <v>82.329161169682394</v>
      </c>
      <c r="AM6087">
        <v>84.069542268788993</v>
      </c>
      <c r="AN6087">
        <v>1.0000000087049801</v>
      </c>
    </row>
    <row r="6088" spans="1:40" x14ac:dyDescent="0.25">
      <c r="A6088" t="str">
        <f>"20190303162033406"</f>
        <v>20190303162033406</v>
      </c>
      <c r="B6088" t="str">
        <f>"1551601233398195"</f>
        <v>1551601233398195</v>
      </c>
      <c r="C6088" t="s">
        <v>40</v>
      </c>
      <c r="D6088">
        <v>4.6775359999999999</v>
      </c>
      <c r="E6088">
        <v>0.49886330000000001</v>
      </c>
      <c r="F6088" t="s">
        <v>41</v>
      </c>
      <c r="G6088">
        <v>-199.53280000000001</v>
      </c>
      <c r="H6088" s="1">
        <v>-5.9726040000000003E-6</v>
      </c>
      <c r="I6088">
        <v>119.5686</v>
      </c>
      <c r="J6088">
        <v>-192.48169999999999</v>
      </c>
      <c r="K6088">
        <v>1.120565</v>
      </c>
      <c r="L6088">
        <v>165.54900000000001</v>
      </c>
      <c r="M6088">
        <v>-5.4452779999999999E-2</v>
      </c>
      <c r="N6088">
        <v>-8.8367510000000003E-3</v>
      </c>
      <c r="O6088">
        <v>-0.99847750000000002</v>
      </c>
      <c r="P6088">
        <v>-0.15581</v>
      </c>
      <c r="Q6088">
        <v>0.12484629999999999</v>
      </c>
      <c r="R6088">
        <v>-0.97986580000000001</v>
      </c>
      <c r="S6088">
        <v>-0.45889279999999999</v>
      </c>
      <c r="T6088">
        <v>-7.2847960000000003E-2</v>
      </c>
      <c r="U6088">
        <v>-2.9979399999999998</v>
      </c>
      <c r="V6088">
        <v>0.1023437</v>
      </c>
      <c r="W6088">
        <v>0.13346810000000001</v>
      </c>
      <c r="X6088">
        <v>0.98575449999999998</v>
      </c>
      <c r="Y6088">
        <v>9.7222980000000001E-2</v>
      </c>
      <c r="Z6088">
        <v>1.5242169999999999E-2</v>
      </c>
      <c r="AA6088">
        <v>0.99514590000000003</v>
      </c>
      <c r="AB6088">
        <v>22</v>
      </c>
      <c r="AC6088">
        <v>-7.0511000000000204</v>
      </c>
      <c r="AD6088">
        <v>-1.1205709726040001</v>
      </c>
      <c r="AE6088">
        <v>-45.980400000000003</v>
      </c>
      <c r="AF6088">
        <v>4.5341489910501096</v>
      </c>
      <c r="AG6088">
        <v>-1.1205709726040001</v>
      </c>
      <c r="AH6088">
        <v>46.269293423812897</v>
      </c>
      <c r="AI6088">
        <v>91.380733116913206</v>
      </c>
      <c r="AJ6088">
        <v>84.403182706334803</v>
      </c>
      <c r="AK6088">
        <v>46.504426674420799</v>
      </c>
      <c r="AL6088">
        <v>82.329952759434093</v>
      </c>
      <c r="AM6088">
        <v>84.072633565643301</v>
      </c>
      <c r="AN6088">
        <v>0.99999995045877299</v>
      </c>
    </row>
    <row r="6089" spans="1:40" x14ac:dyDescent="0.25">
      <c r="A6089" t="str">
        <f>"20190303162033418"</f>
        <v>20190303162033418</v>
      </c>
      <c r="B6089" t="str">
        <f>"1551601233408931"</f>
        <v>1551601233408931</v>
      </c>
      <c r="C6089" t="s">
        <v>40</v>
      </c>
      <c r="D6089">
        <v>4.6533509999999998</v>
      </c>
      <c r="E6089">
        <v>0.49872899999999998</v>
      </c>
      <c r="F6089" t="s">
        <v>41</v>
      </c>
      <c r="G6089">
        <v>-199.6414</v>
      </c>
      <c r="H6089" s="1">
        <v>-5.7152099999999998E-6</v>
      </c>
      <c r="I6089">
        <v>118.7556</v>
      </c>
      <c r="J6089">
        <v>-192.4896</v>
      </c>
      <c r="K6089">
        <v>1.12056</v>
      </c>
      <c r="L6089">
        <v>165.41149999999999</v>
      </c>
      <c r="M6089">
        <v>-5.483114E-2</v>
      </c>
      <c r="N6089">
        <v>-8.8381280000000007E-3</v>
      </c>
      <c r="O6089">
        <v>-0.99845669999999997</v>
      </c>
      <c r="P6089">
        <v>-0.15611510000000001</v>
      </c>
      <c r="Q6089">
        <v>0.12514239999999999</v>
      </c>
      <c r="R6089">
        <v>-0.97977950000000003</v>
      </c>
      <c r="S6089">
        <v>-0.45869450000000001</v>
      </c>
      <c r="T6089">
        <v>-7.1789980000000003E-2</v>
      </c>
      <c r="U6089">
        <v>-2.997849</v>
      </c>
      <c r="V6089">
        <v>0.1022798</v>
      </c>
      <c r="W6089">
        <v>0.13376489999999999</v>
      </c>
      <c r="X6089">
        <v>0.98572090000000001</v>
      </c>
      <c r="Y6089">
        <v>9.6787079999999998E-2</v>
      </c>
      <c r="Z6089">
        <v>1.489264E-2</v>
      </c>
      <c r="AA6089">
        <v>0.99519369999999996</v>
      </c>
      <c r="AB6089">
        <v>22</v>
      </c>
      <c r="AC6089">
        <v>-7.1517999999999997</v>
      </c>
      <c r="AD6089">
        <v>-1.1205657152099999</v>
      </c>
      <c r="AE6089">
        <v>-46.655899999999903</v>
      </c>
      <c r="AF6089">
        <v>4.58016322995908</v>
      </c>
      <c r="AG6089">
        <v>-1.1205657152099999</v>
      </c>
      <c r="AH6089">
        <v>46.951401888546599</v>
      </c>
      <c r="AI6089">
        <v>91.360733524713197</v>
      </c>
      <c r="AJ6089">
        <v>84.428359876884798</v>
      </c>
      <c r="AK6089">
        <v>47.187579955269896</v>
      </c>
      <c r="AL6089">
        <v>82.312793497320897</v>
      </c>
      <c r="AM6089">
        <v>84.076107608355898</v>
      </c>
      <c r="AN6089">
        <v>0.99999994932842795</v>
      </c>
    </row>
    <row r="6090" spans="1:40" x14ac:dyDescent="0.25">
      <c r="A6090" t="str">
        <f>"20190303162033434"</f>
        <v>20190303162033434</v>
      </c>
      <c r="B6090" t="str">
        <f>"1551601233428451"</f>
        <v>1551601233428451</v>
      </c>
      <c r="C6090" t="s">
        <v>40</v>
      </c>
      <c r="D6090">
        <v>4.6878650000000004</v>
      </c>
      <c r="E6090">
        <v>0.49856319999999998</v>
      </c>
      <c r="F6090" t="s">
        <v>41</v>
      </c>
      <c r="G6090">
        <v>-199.76480000000001</v>
      </c>
      <c r="H6090" s="1">
        <v>-5.4132070000000001E-6</v>
      </c>
      <c r="I6090">
        <v>117.8039</v>
      </c>
      <c r="J6090">
        <v>-192.49789999999999</v>
      </c>
      <c r="K6090">
        <v>1.1205579999999999</v>
      </c>
      <c r="L6090">
        <v>165.26769999999999</v>
      </c>
      <c r="M6090">
        <v>-5.5227110000000003E-2</v>
      </c>
      <c r="N6090">
        <v>-8.8395809999999991E-3</v>
      </c>
      <c r="O6090">
        <v>-0.99843490000000001</v>
      </c>
      <c r="P6090">
        <v>-0.156306</v>
      </c>
      <c r="Q6090">
        <v>0.12517229999999999</v>
      </c>
      <c r="R6090">
        <v>-0.97974559999999999</v>
      </c>
      <c r="S6090">
        <v>-0.45812989999999998</v>
      </c>
      <c r="T6090">
        <v>-7.0563669999999995E-2</v>
      </c>
      <c r="U6090">
        <v>-2.997925</v>
      </c>
      <c r="V6090">
        <v>0.1020814</v>
      </c>
      <c r="W6090">
        <v>0.1337961</v>
      </c>
      <c r="X6090">
        <v>0.98573730000000004</v>
      </c>
      <c r="Y6090">
        <v>9.6206539999999993E-2</v>
      </c>
      <c r="Z6090">
        <v>1.4486489999999999E-2</v>
      </c>
      <c r="AA6090">
        <v>0.99525589999999997</v>
      </c>
      <c r="AB6090">
        <v>22</v>
      </c>
      <c r="AC6090">
        <v>-7.2669000000000201</v>
      </c>
      <c r="AD6090">
        <v>-1.1205634132069999</v>
      </c>
      <c r="AE6090">
        <v>-47.4637999999999</v>
      </c>
      <c r="AF6090">
        <v>4.63189558693304</v>
      </c>
      <c r="AG6090">
        <v>-1.1205634132069999</v>
      </c>
      <c r="AH6090">
        <v>47.766687289820702</v>
      </c>
      <c r="AI6090">
        <v>91.337589160517993</v>
      </c>
      <c r="AJ6090">
        <v>84.461392893877502</v>
      </c>
      <c r="AK6090">
        <v>48.003817907899602</v>
      </c>
      <c r="AL6090">
        <v>82.310990174566996</v>
      </c>
      <c r="AM6090">
        <v>84.087614828632795</v>
      </c>
      <c r="AN6090">
        <v>1.0000000166062299</v>
      </c>
    </row>
    <row r="6091" spans="1:40" x14ac:dyDescent="0.25">
      <c r="A6091" t="str">
        <f>"20190303162033452"</f>
        <v>20190303162033452</v>
      </c>
      <c r="B6091" t="str">
        <f>"1551601233438211"</f>
        <v>1551601233438211</v>
      </c>
      <c r="C6091" t="s">
        <v>40</v>
      </c>
      <c r="D6091">
        <v>4.7048370000000004</v>
      </c>
      <c r="E6091">
        <v>0.4985231</v>
      </c>
      <c r="F6091" t="s">
        <v>41</v>
      </c>
      <c r="G6091">
        <v>-199.83670000000001</v>
      </c>
      <c r="H6091" s="1">
        <v>-5.2136609999999997E-6</v>
      </c>
      <c r="I6091">
        <v>117.18</v>
      </c>
      <c r="J6091">
        <v>-192.50890000000001</v>
      </c>
      <c r="K6091">
        <v>1.1205560000000001</v>
      </c>
      <c r="L6091">
        <v>165.0806</v>
      </c>
      <c r="M6091">
        <v>-5.5742199999999999E-2</v>
      </c>
      <c r="N6091">
        <v>-8.8415049999999995E-3</v>
      </c>
      <c r="O6091">
        <v>-0.99840609999999996</v>
      </c>
      <c r="P6091">
        <v>-0.15675539999999999</v>
      </c>
      <c r="Q6091">
        <v>0.1247938</v>
      </c>
      <c r="R6091">
        <v>-0.97972150000000002</v>
      </c>
      <c r="S6091">
        <v>-0.45751950000000002</v>
      </c>
      <c r="T6091">
        <v>-6.9859149999999995E-2</v>
      </c>
      <c r="U6091">
        <v>-2.997925</v>
      </c>
      <c r="V6091">
        <v>0.1020225</v>
      </c>
      <c r="W6091">
        <v>0.13341939999999999</v>
      </c>
      <c r="X6091">
        <v>0.98579439999999996</v>
      </c>
      <c r="Y6091">
        <v>9.5495689999999994E-2</v>
      </c>
      <c r="Z6091">
        <v>1.4252590000000001E-2</v>
      </c>
      <c r="AA6091">
        <v>0.99532779999999998</v>
      </c>
      <c r="AB6091">
        <v>22</v>
      </c>
      <c r="AC6091">
        <v>-7.3277999999999901</v>
      </c>
      <c r="AD6091">
        <v>-1.1205612136609999</v>
      </c>
      <c r="AE6091">
        <v>-47.900599999999997</v>
      </c>
      <c r="AF6091">
        <v>4.6437335646500104</v>
      </c>
      <c r="AG6091">
        <v>-1.1205612136609999</v>
      </c>
      <c r="AH6091">
        <v>48.2088225310385</v>
      </c>
      <c r="AI6091">
        <v>91.325405259188599</v>
      </c>
      <c r="AJ6091">
        <v>84.497936982491893</v>
      </c>
      <c r="AK6091">
        <v>48.444922217732802</v>
      </c>
      <c r="AL6091">
        <v>82.332768340891306</v>
      </c>
      <c r="AM6091">
        <v>84.091341918403799</v>
      </c>
      <c r="AN6091">
        <v>0.99999996293698401</v>
      </c>
    </row>
    <row r="6092" spans="1:40" x14ac:dyDescent="0.25">
      <c r="A6092" t="str">
        <f>"20190303162033465"</f>
        <v>20190303162033465</v>
      </c>
      <c r="B6092" t="str">
        <f>"1551601233458708"</f>
        <v>1551601233458708</v>
      </c>
      <c r="C6092" t="s">
        <v>40</v>
      </c>
      <c r="D6092">
        <v>4.6672729999999998</v>
      </c>
      <c r="E6092">
        <v>0.49845430000000002</v>
      </c>
      <c r="F6092" t="s">
        <v>41</v>
      </c>
      <c r="G6092">
        <v>-199.7602</v>
      </c>
      <c r="H6092" s="1">
        <v>-5.3650350000000002E-6</v>
      </c>
      <c r="I6092">
        <v>117.6647</v>
      </c>
      <c r="J6092">
        <v>-192.51660000000001</v>
      </c>
      <c r="K6092">
        <v>1.1205560000000001</v>
      </c>
      <c r="L6092">
        <v>164.94909999999999</v>
      </c>
      <c r="M6092">
        <v>-5.61045999999999E-2</v>
      </c>
      <c r="N6092">
        <v>-8.8428829999999993E-3</v>
      </c>
      <c r="O6092">
        <v>-0.998386</v>
      </c>
      <c r="P6092">
        <v>-0.15746959999999999</v>
      </c>
      <c r="Q6092">
        <v>0.12442689999999999</v>
      </c>
      <c r="R6092">
        <v>-0.97965400000000002</v>
      </c>
      <c r="S6092">
        <v>-0.45845029999999998</v>
      </c>
      <c r="T6092">
        <v>-7.0844770000000001E-2</v>
      </c>
      <c r="U6092">
        <v>-2.997757</v>
      </c>
      <c r="V6092">
        <v>0.10238120000000001</v>
      </c>
      <c r="W6092">
        <v>0.1330537</v>
      </c>
      <c r="X6092">
        <v>0.98580670000000004</v>
      </c>
      <c r="Y6092">
        <v>9.5443849999999997E-2</v>
      </c>
      <c r="Z6092">
        <v>1.4576799999999999E-2</v>
      </c>
      <c r="AA6092">
        <v>0.99532810000000005</v>
      </c>
      <c r="AB6092">
        <v>22</v>
      </c>
      <c r="AC6092">
        <v>-7.2435999999999803</v>
      </c>
      <c r="AD6092">
        <v>-1.1205613650349999</v>
      </c>
      <c r="AE6092">
        <v>-47.284399999999899</v>
      </c>
      <c r="AF6092">
        <v>4.5767029266592303</v>
      </c>
      <c r="AG6092">
        <v>-1.1205613650349999</v>
      </c>
      <c r="AH6092">
        <v>47.590217110745499</v>
      </c>
      <c r="AI6092">
        <v>91.342647584164695</v>
      </c>
      <c r="AJ6092">
        <v>84.506815937117693</v>
      </c>
      <c r="AK6092">
        <v>47.822909071904</v>
      </c>
      <c r="AL6092">
        <v>82.353910366599493</v>
      </c>
      <c r="AM6092">
        <v>84.070788917011996</v>
      </c>
      <c r="AN6092">
        <v>1.000000023481</v>
      </c>
    </row>
    <row r="6093" spans="1:40" x14ac:dyDescent="0.25">
      <c r="A6093" t="str">
        <f>"20190303162033477"</f>
        <v>20190303162033477</v>
      </c>
      <c r="B6093" t="str">
        <f>"1551601233468468"</f>
        <v>1551601233468468</v>
      </c>
      <c r="C6093" t="s">
        <v>40</v>
      </c>
      <c r="D6093">
        <v>4.6567309999999997</v>
      </c>
      <c r="E6093">
        <v>0.49840950000000001</v>
      </c>
      <c r="F6093" t="s">
        <v>41</v>
      </c>
      <c r="G6093">
        <v>-199.7047</v>
      </c>
      <c r="H6093" s="1">
        <v>-5.5127949999999996E-6</v>
      </c>
      <c r="I6093">
        <v>118.12779999999999</v>
      </c>
      <c r="J6093">
        <v>-192.52440000000001</v>
      </c>
      <c r="K6093">
        <v>1.120552</v>
      </c>
      <c r="L6093">
        <v>164.8184</v>
      </c>
      <c r="M6093">
        <v>-5.6464750000000001E-2</v>
      </c>
      <c r="N6093">
        <v>-8.8442829999999997E-3</v>
      </c>
      <c r="O6093">
        <v>-0.99836550000000002</v>
      </c>
      <c r="P6093">
        <v>-0.15817139999999999</v>
      </c>
      <c r="Q6093">
        <v>0.12466389999999999</v>
      </c>
      <c r="R6093">
        <v>-0.97951080000000001</v>
      </c>
      <c r="S6093">
        <v>-0.46017459999999999</v>
      </c>
      <c r="T6093">
        <v>-7.1737289999999995E-2</v>
      </c>
      <c r="U6093">
        <v>-2.997452</v>
      </c>
      <c r="V6093">
        <v>0.1027346</v>
      </c>
      <c r="W6093">
        <v>0.13329089999999999</v>
      </c>
      <c r="X6093">
        <v>0.98573789999999994</v>
      </c>
      <c r="Y6093">
        <v>9.5658499999999994E-2</v>
      </c>
      <c r="Z6093">
        <v>1.4870619999999999E-2</v>
      </c>
      <c r="AA6093">
        <v>0.99530320000000005</v>
      </c>
      <c r="AB6093">
        <v>22</v>
      </c>
      <c r="AC6093">
        <v>-7.1802999999999804</v>
      </c>
      <c r="AD6093">
        <v>-1.1205575127949901</v>
      </c>
      <c r="AE6093">
        <v>-46.690600000000003</v>
      </c>
      <c r="AF6093">
        <v>4.5298188278749398</v>
      </c>
      <c r="AG6093">
        <v>-1.1205575127949901</v>
      </c>
      <c r="AH6093">
        <v>46.995110357756097</v>
      </c>
      <c r="AI6093">
        <v>91.359610189955902</v>
      </c>
      <c r="AJ6093">
        <v>84.494317227022506</v>
      </c>
      <c r="AK6093">
        <v>47.226214174868304</v>
      </c>
      <c r="AL6093">
        <v>82.340197754676396</v>
      </c>
      <c r="AM6093">
        <v>84.050056715335401</v>
      </c>
      <c r="AN6093">
        <v>1.0000000347781799</v>
      </c>
    </row>
    <row r="6094" spans="1:40" x14ac:dyDescent="0.25">
      <c r="A6094" t="str">
        <f>"20190303162033491"</f>
        <v>20190303162033491</v>
      </c>
      <c r="B6094" t="str">
        <f>"1551601233478735"</f>
        <v>1551601233478735</v>
      </c>
      <c r="C6094" t="s">
        <v>40</v>
      </c>
      <c r="D6094">
        <v>4.7123879999999998</v>
      </c>
      <c r="E6094">
        <v>0.49837670000000001</v>
      </c>
      <c r="F6094" t="s">
        <v>41</v>
      </c>
      <c r="G6094">
        <v>-199.83959999999999</v>
      </c>
      <c r="H6094" s="1">
        <v>-5.274974E-6</v>
      </c>
      <c r="I6094">
        <v>117.3586</v>
      </c>
      <c r="J6094">
        <v>-192.53229999999999</v>
      </c>
      <c r="K6094">
        <v>1.1205510000000001</v>
      </c>
      <c r="L6094">
        <v>164.68450000000001</v>
      </c>
      <c r="M6094">
        <v>-5.6833849999999998E-2</v>
      </c>
      <c r="N6094">
        <v>-8.8457350000000004E-3</v>
      </c>
      <c r="O6094">
        <v>-0.99834449999999997</v>
      </c>
      <c r="P6094">
        <v>-0.15870209999999901</v>
      </c>
      <c r="Q6094">
        <v>0.1245448</v>
      </c>
      <c r="R6094">
        <v>-0.97943990000000003</v>
      </c>
      <c r="S6094">
        <v>-0.46197510000000003</v>
      </c>
      <c r="T6094">
        <v>-7.0765380000000003E-2</v>
      </c>
      <c r="U6094">
        <v>-2.9971770000000002</v>
      </c>
      <c r="V6094">
        <v>0.10290390000000001</v>
      </c>
      <c r="W6094">
        <v>0.13317219999999999</v>
      </c>
      <c r="X6094">
        <v>0.98573630000000001</v>
      </c>
      <c r="Y6094">
        <v>9.5889080000000002E-2</v>
      </c>
      <c r="Z6094">
        <v>1.4548999999999999E-2</v>
      </c>
      <c r="AA6094">
        <v>0.99528570000000005</v>
      </c>
      <c r="AB6094">
        <v>22</v>
      </c>
      <c r="AC6094">
        <v>-7.3072999999999899</v>
      </c>
      <c r="AD6094">
        <v>-1.1205562749739999</v>
      </c>
      <c r="AE6094">
        <v>-47.325899999999997</v>
      </c>
      <c r="AF6094">
        <v>4.6031491532117101</v>
      </c>
      <c r="AG6094">
        <v>-1.1205562749739999</v>
      </c>
      <c r="AH6094">
        <v>47.638631701478602</v>
      </c>
      <c r="AI6094">
        <v>91.341218901490507</v>
      </c>
      <c r="AJ6094">
        <v>84.480849737214598</v>
      </c>
      <c r="AK6094">
        <v>47.873623832766398</v>
      </c>
      <c r="AL6094">
        <v>82.347060059877094</v>
      </c>
      <c r="AM6094">
        <v>84.040312501377798</v>
      </c>
      <c r="AN6094">
        <v>1.0000000503128601</v>
      </c>
    </row>
    <row r="6095" spans="1:40" x14ac:dyDescent="0.25">
      <c r="A6095" t="str">
        <f>"20190303162033504"</f>
        <v>20190303162033504</v>
      </c>
      <c r="B6095" t="str">
        <f>"1551601233498254"</f>
        <v>1551601233498254</v>
      </c>
      <c r="C6095" t="s">
        <v>40</v>
      </c>
      <c r="D6095">
        <v>4.7087240000000001</v>
      </c>
      <c r="E6095">
        <v>0.4983765</v>
      </c>
      <c r="F6095" t="s">
        <v>41</v>
      </c>
      <c r="G6095">
        <v>-199.8629</v>
      </c>
      <c r="H6095" s="1">
        <v>-5.2493120000000002E-6</v>
      </c>
      <c r="I6095">
        <v>117.2711</v>
      </c>
      <c r="J6095">
        <v>-192.53970000000001</v>
      </c>
      <c r="K6095">
        <v>1.1205499999999999</v>
      </c>
      <c r="L6095">
        <v>164.56129999999999</v>
      </c>
      <c r="M6095">
        <v>-5.7173359999999999E-2</v>
      </c>
      <c r="N6095">
        <v>-8.8470860000000005E-3</v>
      </c>
      <c r="O6095">
        <v>-0.99832520000000002</v>
      </c>
      <c r="P6095">
        <v>-0.15959499999999999</v>
      </c>
      <c r="Q6095">
        <v>0.1246622</v>
      </c>
      <c r="R6095">
        <v>-0.97927980000000003</v>
      </c>
      <c r="S6095">
        <v>-0.46334839999999999</v>
      </c>
      <c r="T6095">
        <v>-7.0828080000000002E-2</v>
      </c>
      <c r="U6095">
        <v>-2.996902</v>
      </c>
      <c r="V6095">
        <v>0.1034693</v>
      </c>
      <c r="W6095">
        <v>0.13328950000000001</v>
      </c>
      <c r="X6095">
        <v>0.98566120000000002</v>
      </c>
      <c r="Y6095">
        <v>9.6009709999999998E-2</v>
      </c>
      <c r="Z6095">
        <v>1.4569169999999999E-2</v>
      </c>
      <c r="AA6095">
        <v>0.99527379999999999</v>
      </c>
      <c r="AB6095">
        <v>22</v>
      </c>
      <c r="AC6095">
        <v>-7.3231999999999804</v>
      </c>
      <c r="AD6095">
        <v>-1.1205552493119999</v>
      </c>
      <c r="AE6095">
        <v>-47.290199999999899</v>
      </c>
      <c r="AF6095">
        <v>4.6048502487535803</v>
      </c>
      <c r="AG6095">
        <v>-1.1205552493119999</v>
      </c>
      <c r="AH6095">
        <v>47.605445111886901</v>
      </c>
      <c r="AI6095">
        <v>91.342139070528106</v>
      </c>
      <c r="AJ6095">
        <v>84.474997631418603</v>
      </c>
      <c r="AK6095">
        <v>47.8407639381008</v>
      </c>
      <c r="AL6095">
        <v>82.340278376878402</v>
      </c>
      <c r="AM6095">
        <v>84.007351684059103</v>
      </c>
      <c r="AN6095">
        <v>0.99999999401909001</v>
      </c>
    </row>
    <row r="6096" spans="1:40" x14ac:dyDescent="0.25">
      <c r="A6096" t="str">
        <f>"20190303162033519"</f>
        <v>20190303162033519</v>
      </c>
      <c r="B6096" t="str">
        <f>"1551601233508015"</f>
        <v>1551601233508015</v>
      </c>
      <c r="C6096" t="s">
        <v>40</v>
      </c>
      <c r="D6096">
        <v>4.7546089999999896</v>
      </c>
      <c r="E6096">
        <v>0.49832209999999899</v>
      </c>
      <c r="F6096" t="s">
        <v>41</v>
      </c>
      <c r="G6096">
        <v>-199.95779999999999</v>
      </c>
      <c r="H6096">
        <v>1.218033E-2</v>
      </c>
      <c r="I6096">
        <v>116.8456</v>
      </c>
      <c r="J6096">
        <v>-192.54920000000001</v>
      </c>
      <c r="K6096">
        <v>1.1205499999999999</v>
      </c>
      <c r="L6096">
        <v>164.40369999999999</v>
      </c>
      <c r="M6096">
        <v>-5.7607829999999999E-2</v>
      </c>
      <c r="N6096">
        <v>-8.8488260000000006E-3</v>
      </c>
      <c r="O6096">
        <v>-0.99830019999999997</v>
      </c>
      <c r="P6096">
        <v>-0.16109409999999999</v>
      </c>
      <c r="Q6096">
        <v>0.12550799999999901</v>
      </c>
      <c r="R6096">
        <v>-0.97892650000000003</v>
      </c>
      <c r="S6096">
        <v>-0.46583560000000002</v>
      </c>
      <c r="T6096">
        <v>-6.9602849999999994E-2</v>
      </c>
      <c r="U6096">
        <v>-2.996429</v>
      </c>
      <c r="V6096">
        <v>0.1045581</v>
      </c>
      <c r="W6096">
        <v>0.1341339</v>
      </c>
      <c r="X6096">
        <v>0.98543170000000002</v>
      </c>
      <c r="Y6096">
        <v>9.6407939999999998E-2</v>
      </c>
      <c r="Z6096">
        <v>1.416455E-2</v>
      </c>
      <c r="AA6096">
        <v>0.99524109999999999</v>
      </c>
      <c r="AB6096">
        <v>22</v>
      </c>
      <c r="AC6096">
        <v>-7.4085999999999697</v>
      </c>
      <c r="AD6096">
        <v>-1.1083696700000001</v>
      </c>
      <c r="AE6096">
        <v>-47.558099999999897</v>
      </c>
      <c r="AF6096">
        <v>4.6540017072718296</v>
      </c>
      <c r="AG6096">
        <v>-1.1083696700000001</v>
      </c>
      <c r="AH6096">
        <v>47.880533455414103</v>
      </c>
      <c r="AI6096">
        <v>91.319864966490499</v>
      </c>
      <c r="AJ6096">
        <v>84.448273862274206</v>
      </c>
      <c r="AK6096">
        <v>48.118953637747502</v>
      </c>
      <c r="AL6096">
        <v>82.291459231512505</v>
      </c>
      <c r="AM6096">
        <v>83.943357826707398</v>
      </c>
      <c r="AN6096">
        <v>0.99999996738485397</v>
      </c>
    </row>
    <row r="6097" spans="1:40" x14ac:dyDescent="0.25">
      <c r="A6097" t="str">
        <f>"20190303162033543"</f>
        <v>20190303162033543</v>
      </c>
      <c r="B6097" t="str">
        <f>"1551601233538270"</f>
        <v>1551601233538270</v>
      </c>
      <c r="C6097" t="s">
        <v>40</v>
      </c>
      <c r="D6097">
        <v>4.8127610000000001</v>
      </c>
      <c r="E6097">
        <v>0.53878549999999903</v>
      </c>
      <c r="F6097" t="s">
        <v>41</v>
      </c>
      <c r="G6097">
        <v>-199.97329999999999</v>
      </c>
      <c r="H6097">
        <v>6.5534679999999998E-2</v>
      </c>
      <c r="I6097">
        <v>117.04300000000001</v>
      </c>
      <c r="J6097">
        <v>-192.56379999999999</v>
      </c>
      <c r="K6097">
        <v>1.120541</v>
      </c>
      <c r="L6097">
        <v>164.1651</v>
      </c>
      <c r="M6097">
        <v>-5.8265560000000001E-2</v>
      </c>
      <c r="N6097">
        <v>-8.8515109999999994E-3</v>
      </c>
      <c r="O6097">
        <v>-0.99826199999999998</v>
      </c>
      <c r="P6097">
        <v>-0.1631176</v>
      </c>
      <c r="Q6097">
        <v>0.1246121</v>
      </c>
      <c r="R6097">
        <v>-0.97870570000000001</v>
      </c>
      <c r="S6097">
        <v>-0.46961979999999998</v>
      </c>
      <c r="T6097">
        <v>-6.6736459999999997E-2</v>
      </c>
      <c r="U6097">
        <v>-2.9958650000000002</v>
      </c>
      <c r="V6097">
        <v>0.1059409</v>
      </c>
      <c r="W6097">
        <v>0.13323840000000001</v>
      </c>
      <c r="X6097">
        <v>0.98540550000000005</v>
      </c>
      <c r="Y6097">
        <v>9.7010139999999995E-2</v>
      </c>
      <c r="Z6097">
        <v>1.321697E-2</v>
      </c>
      <c r="AA6097">
        <v>0.99519559999999996</v>
      </c>
      <c r="AB6097">
        <v>23</v>
      </c>
      <c r="AC6097">
        <v>-7.4095000000000004</v>
      </c>
      <c r="AD6097">
        <v>-1.0550063199999999</v>
      </c>
      <c r="AE6097">
        <v>-47.122100000000003</v>
      </c>
      <c r="AF6097">
        <v>4.6489342991675304</v>
      </c>
      <c r="AG6097">
        <v>-1.0550063199999999</v>
      </c>
      <c r="AH6097">
        <v>47.450563370509997</v>
      </c>
      <c r="AI6097">
        <v>91.267625613736499</v>
      </c>
      <c r="AJ6097">
        <v>84.404346384500698</v>
      </c>
      <c r="AK6097">
        <v>47.689428520710997</v>
      </c>
      <c r="AL6097">
        <v>82.3432323747341</v>
      </c>
      <c r="AM6097">
        <v>83.863702852351906</v>
      </c>
      <c r="AN6097">
        <v>0.99999997247880901</v>
      </c>
    </row>
    <row r="6098" spans="1:40" x14ac:dyDescent="0.25">
      <c r="A6098" t="str">
        <f>"20190303162033555"</f>
        <v>20190303162033555</v>
      </c>
      <c r="B6098" t="str">
        <f>"1551601233549006"</f>
        <v>1551601233549006</v>
      </c>
      <c r="C6098" t="s">
        <v>40</v>
      </c>
      <c r="D6098">
        <v>4.7663900000000003</v>
      </c>
      <c r="E6098">
        <v>0.54813500000000004</v>
      </c>
      <c r="F6098" t="s">
        <v>50</v>
      </c>
      <c r="G6098">
        <v>-201.952</v>
      </c>
      <c r="H6098">
        <v>4.5619980000000003E-3</v>
      </c>
      <c r="I6098">
        <v>129.32589999999999</v>
      </c>
      <c r="J6098">
        <v>-192.57140000000001</v>
      </c>
      <c r="K6098">
        <v>1.1205369999999999</v>
      </c>
      <c r="L6098">
        <v>164.04079999999999</v>
      </c>
      <c r="M6098">
        <v>-5.8607880000000001E-2</v>
      </c>
      <c r="N6098">
        <v>-8.8529360000000005E-3</v>
      </c>
      <c r="O6098">
        <v>-0.99824199999999996</v>
      </c>
      <c r="P6098">
        <v>-0.16395599999999999</v>
      </c>
      <c r="Q6098">
        <v>0.1238669</v>
      </c>
      <c r="R6098">
        <v>-0.97866030000000004</v>
      </c>
      <c r="S6098">
        <v>-0.79360959999999903</v>
      </c>
      <c r="T6098">
        <v>-9.4335790000000003E-2</v>
      </c>
      <c r="U6098">
        <v>-2.9450229999999999</v>
      </c>
      <c r="V6098">
        <v>0.10644190000000001</v>
      </c>
      <c r="W6098">
        <v>0.132494</v>
      </c>
      <c r="X6098">
        <v>0.98545190000000005</v>
      </c>
      <c r="Y6098">
        <v>0.20305500000000001</v>
      </c>
      <c r="Z6098">
        <v>2.2265589999999998E-2</v>
      </c>
      <c r="AA6098">
        <v>0.97891410000000001</v>
      </c>
      <c r="AB6098">
        <v>23</v>
      </c>
      <c r="AC6098">
        <v>-9.3805999999999798</v>
      </c>
      <c r="AD6098">
        <v>-1.1159750020000001</v>
      </c>
      <c r="AE6098">
        <v>-34.7149</v>
      </c>
      <c r="AF6098">
        <v>7.3227756305780902</v>
      </c>
      <c r="AG6098">
        <v>-1.1159750020000001</v>
      </c>
      <c r="AH6098">
        <v>35.171148527354902</v>
      </c>
      <c r="AI6098">
        <v>91.779246533793994</v>
      </c>
      <c r="AJ6098">
        <v>78.238810412912997</v>
      </c>
      <c r="AK6098">
        <v>35.9427062402671</v>
      </c>
      <c r="AL6098">
        <v>82.386265036768805</v>
      </c>
      <c r="AM6098">
        <v>83.835194983259996</v>
      </c>
      <c r="AN6098">
        <v>0.99999999266260997</v>
      </c>
    </row>
    <row r="6099" spans="1:40" x14ac:dyDescent="0.25">
      <c r="A6099" t="str">
        <f>"20190303162033567"</f>
        <v>20190303162033567</v>
      </c>
      <c r="B6099" t="str">
        <f>"1551601233558767"</f>
        <v>1551601233558767</v>
      </c>
      <c r="C6099" t="s">
        <v>40</v>
      </c>
      <c r="D6099">
        <v>4.7687540000000004</v>
      </c>
      <c r="E6099">
        <v>0.55445230000000001</v>
      </c>
      <c r="F6099" t="s">
        <v>50</v>
      </c>
      <c r="G6099">
        <v>-202.8048</v>
      </c>
      <c r="H6099">
        <v>4.4188100000000001E-2</v>
      </c>
      <c r="I6099">
        <v>129.5453</v>
      </c>
      <c r="J6099">
        <v>-192.57910000000001</v>
      </c>
      <c r="K6099">
        <v>1.12053799999999</v>
      </c>
      <c r="L6099">
        <v>163.9153</v>
      </c>
      <c r="M6099">
        <v>-5.8954430000000002E-2</v>
      </c>
      <c r="N6099">
        <v>-8.854397E-3</v>
      </c>
      <c r="O6099">
        <v>-0.99822149999999998</v>
      </c>
      <c r="P6099">
        <v>-0.16483429999999999</v>
      </c>
      <c r="Q6099">
        <v>0.12350179999999999</v>
      </c>
      <c r="R6099">
        <v>-0.97855879999999995</v>
      </c>
      <c r="S6099">
        <v>-0.86959839999999999</v>
      </c>
      <c r="T6099">
        <v>-9.1464039999999996E-2</v>
      </c>
      <c r="U6099">
        <v>-2.931305</v>
      </c>
      <c r="V6099">
        <v>0.1069822</v>
      </c>
      <c r="W6099">
        <v>0.1321292</v>
      </c>
      <c r="X6099">
        <v>0.98544240000000005</v>
      </c>
      <c r="Y6099">
        <v>0.22728889999999999</v>
      </c>
      <c r="Z6099">
        <v>2.1275570000000001E-2</v>
      </c>
      <c r="AA6099">
        <v>0.97359490000000004</v>
      </c>
      <c r="AB6099">
        <v>23</v>
      </c>
      <c r="AC6099">
        <v>-10.2256999999999</v>
      </c>
      <c r="AD6099">
        <v>-1.0763499000000001</v>
      </c>
      <c r="AE6099">
        <v>-34.369999999999997</v>
      </c>
      <c r="AF6099">
        <v>8.1742050359690293</v>
      </c>
      <c r="AG6099">
        <v>-1.0763499000000001</v>
      </c>
      <c r="AH6099">
        <v>34.881661112460101</v>
      </c>
      <c r="AI6099">
        <v>91.720835876465102</v>
      </c>
      <c r="AJ6099">
        <v>76.811233290227904</v>
      </c>
      <c r="AK6099">
        <v>35.842801774439998</v>
      </c>
      <c r="AL6099">
        <v>82.407352139785203</v>
      </c>
      <c r="AM6099">
        <v>83.804085891304098</v>
      </c>
      <c r="AN6099">
        <v>1.0000000201636099</v>
      </c>
    </row>
    <row r="6100" spans="1:40" x14ac:dyDescent="0.25">
      <c r="A6100" t="str">
        <f>"20190303162033581"</f>
        <v>20190303162033581</v>
      </c>
      <c r="B6100" t="str">
        <f>"1551601233568527"</f>
        <v>1551601233568527</v>
      </c>
      <c r="C6100" t="s">
        <v>40</v>
      </c>
      <c r="D6100">
        <v>4.7869489999999999</v>
      </c>
      <c r="E6100">
        <v>0.5582606</v>
      </c>
      <c r="F6100" t="s">
        <v>50</v>
      </c>
      <c r="G6100">
        <v>-203.29490000000001</v>
      </c>
      <c r="H6100" s="1">
        <v>-5.1821729999999996E-6</v>
      </c>
      <c r="I6100">
        <v>129.95670000000001</v>
      </c>
      <c r="J6100">
        <v>-192.58770000000001</v>
      </c>
      <c r="K6100">
        <v>1.120536</v>
      </c>
      <c r="L6100">
        <v>163.77690000000001</v>
      </c>
      <c r="M6100">
        <v>-5.9339549999999998E-2</v>
      </c>
      <c r="N6100">
        <v>-8.8560369999999902E-3</v>
      </c>
      <c r="O6100">
        <v>-0.99819860000000005</v>
      </c>
      <c r="P6100">
        <v>-0.165605</v>
      </c>
      <c r="Q6100">
        <v>0.1229111</v>
      </c>
      <c r="R6100">
        <v>-0.97850320000000002</v>
      </c>
      <c r="S6100">
        <v>-0.92222599999999999</v>
      </c>
      <c r="T6100">
        <v>-9.6436740000000007E-2</v>
      </c>
      <c r="U6100">
        <v>-2.9225620000000001</v>
      </c>
      <c r="V6100">
        <v>0.1073746</v>
      </c>
      <c r="W6100">
        <v>0.13153970000000001</v>
      </c>
      <c r="X6100">
        <v>0.98547859999999998</v>
      </c>
      <c r="Y6100">
        <v>0.24368480000000001</v>
      </c>
      <c r="Z6100">
        <v>2.285558E-2</v>
      </c>
      <c r="AA6100">
        <v>0.96958520000000004</v>
      </c>
      <c r="AB6100">
        <v>23</v>
      </c>
      <c r="AC6100">
        <v>-10.7072</v>
      </c>
      <c r="AD6100">
        <v>-1.120541182173</v>
      </c>
      <c r="AE6100">
        <v>-33.8202</v>
      </c>
      <c r="AF6100">
        <v>8.6727236308128592</v>
      </c>
      <c r="AG6100">
        <v>-1.120541182173</v>
      </c>
      <c r="AH6100">
        <v>34.3617003795258</v>
      </c>
      <c r="AI6100">
        <v>91.811010202659602</v>
      </c>
      <c r="AJ6100">
        <v>75.834674514145206</v>
      </c>
      <c r="AK6100">
        <v>35.456990857794402</v>
      </c>
      <c r="AL6100">
        <v>82.441425508605406</v>
      </c>
      <c r="AM6100">
        <v>83.781764257987902</v>
      </c>
      <c r="AN6100">
        <v>1.0000000342296</v>
      </c>
    </row>
    <row r="6101" spans="1:40" x14ac:dyDescent="0.25">
      <c r="A6101" t="str">
        <f>"20190303162033592"</f>
        <v>20190303162033592</v>
      </c>
      <c r="B6101" t="str">
        <f>"1551601233589022"</f>
        <v>1551601233589022</v>
      </c>
      <c r="C6101" t="s">
        <v>40</v>
      </c>
      <c r="D6101">
        <v>4.7699689999999997</v>
      </c>
      <c r="E6101">
        <v>0.562834099999999</v>
      </c>
      <c r="F6101" t="s">
        <v>50</v>
      </c>
      <c r="G6101">
        <v>-202.89070000000001</v>
      </c>
      <c r="H6101" s="1">
        <v>-6.0902999999999999E-6</v>
      </c>
      <c r="I6101">
        <v>132.28819999999999</v>
      </c>
      <c r="J6101">
        <v>-192.595</v>
      </c>
      <c r="K6101">
        <v>1.1205309999999999</v>
      </c>
      <c r="L6101">
        <v>163.661</v>
      </c>
      <c r="M6101">
        <v>-5.9666259999999999E-2</v>
      </c>
      <c r="N6101">
        <v>-8.8574380000000005E-3</v>
      </c>
      <c r="O6101">
        <v>-0.99817929999999999</v>
      </c>
      <c r="P6101">
        <v>-0.16666600000000001</v>
      </c>
      <c r="Q6101">
        <v>0.1234051</v>
      </c>
      <c r="R6101">
        <v>-0.97826060000000004</v>
      </c>
      <c r="S6101">
        <v>-0.9545593</v>
      </c>
      <c r="T6101">
        <v>-0.10381749999999999</v>
      </c>
      <c r="U6101">
        <v>-2.9174039999999999</v>
      </c>
      <c r="V6101">
        <v>0.108127</v>
      </c>
      <c r="W6101">
        <v>0.1320318</v>
      </c>
      <c r="X6101">
        <v>0.9853305</v>
      </c>
      <c r="Y6101">
        <v>0.25356250000000002</v>
      </c>
      <c r="Z6101">
        <v>2.5231980000000001E-2</v>
      </c>
      <c r="AA6101">
        <v>0.96698989999999996</v>
      </c>
      <c r="AB6101">
        <v>23</v>
      </c>
      <c r="AC6101">
        <v>-10.2957</v>
      </c>
      <c r="AD6101">
        <v>-1.1205370903</v>
      </c>
      <c r="AE6101">
        <v>-31.372800000000002</v>
      </c>
      <c r="AF6101">
        <v>8.3957158669877998</v>
      </c>
      <c r="AG6101">
        <v>-1.1205370903</v>
      </c>
      <c r="AH6101">
        <v>31.8944994961048</v>
      </c>
      <c r="AI6101">
        <v>91.945888146162204</v>
      </c>
      <c r="AJ6101">
        <v>75.252360512482397</v>
      </c>
      <c r="AK6101">
        <v>33.000041612048904</v>
      </c>
      <c r="AL6101">
        <v>82.412982065773093</v>
      </c>
      <c r="AM6101">
        <v>83.737602815983607</v>
      </c>
      <c r="AN6101">
        <v>1.0000000192852401</v>
      </c>
    </row>
    <row r="6102" spans="1:40" x14ac:dyDescent="0.25">
      <c r="A6102" t="str">
        <f>"20190303162033609"</f>
        <v>20190303162033609</v>
      </c>
      <c r="B6102" t="str">
        <f>"1551601233598783"</f>
        <v>1551601233598783</v>
      </c>
      <c r="C6102" t="s">
        <v>40</v>
      </c>
      <c r="D6102">
        <v>4.7692449999999997</v>
      </c>
      <c r="E6102">
        <v>0.56416829999999996</v>
      </c>
      <c r="F6102" t="s">
        <v>50</v>
      </c>
      <c r="G6102">
        <v>-202.92779999999999</v>
      </c>
      <c r="H6102" s="1">
        <v>-6.4266420000000003E-6</v>
      </c>
      <c r="I6102">
        <v>133.38640000000001</v>
      </c>
      <c r="J6102">
        <v>-192.60509999999999</v>
      </c>
      <c r="K6102">
        <v>1.1205229999999999</v>
      </c>
      <c r="L6102">
        <v>163.50020000000001</v>
      </c>
      <c r="M6102">
        <v>-6.0127130000000001E-2</v>
      </c>
      <c r="N6102">
        <v>-8.8594299999999997E-3</v>
      </c>
      <c r="O6102">
        <v>-0.99815160000000003</v>
      </c>
      <c r="P6102">
        <v>-0.1698151</v>
      </c>
      <c r="Q6102">
        <v>0.1240748</v>
      </c>
      <c r="R6102">
        <v>-0.97763409999999995</v>
      </c>
      <c r="S6102">
        <v>-0.99353029999999998</v>
      </c>
      <c r="T6102">
        <v>-0.1077423</v>
      </c>
      <c r="U6102">
        <v>-2.9109799999999999</v>
      </c>
      <c r="V6102">
        <v>0.110856</v>
      </c>
      <c r="W6102">
        <v>0.13269539999999999</v>
      </c>
      <c r="X6102">
        <v>0.98493799999999998</v>
      </c>
      <c r="Y6102">
        <v>0.26535540000000002</v>
      </c>
      <c r="Z6102">
        <v>2.6460770000000002E-2</v>
      </c>
      <c r="AA6102">
        <v>0.96378750000000002</v>
      </c>
      <c r="AB6102">
        <v>23</v>
      </c>
      <c r="AC6102">
        <v>-10.3226999999999</v>
      </c>
      <c r="AD6102">
        <v>-1.1205294266419901</v>
      </c>
      <c r="AE6102">
        <v>-30.113800000000001</v>
      </c>
      <c r="AF6102">
        <v>8.4827848304900204</v>
      </c>
      <c r="AG6102">
        <v>-1.1205294266419901</v>
      </c>
      <c r="AH6102">
        <v>30.642045201275199</v>
      </c>
      <c r="AI6102">
        <v>92.018429971305096</v>
      </c>
      <c r="AJ6102">
        <v>74.526058938253399</v>
      </c>
      <c r="AK6102">
        <v>31.814276021832701</v>
      </c>
      <c r="AL6102">
        <v>82.374622871983703</v>
      </c>
      <c r="AM6102">
        <v>83.578313753515999</v>
      </c>
      <c r="AN6102">
        <v>0.99999999288057995</v>
      </c>
    </row>
    <row r="6103" spans="1:40" x14ac:dyDescent="0.25">
      <c r="A6103" t="str">
        <f>"20190303162033622"</f>
        <v>20190303162033622</v>
      </c>
      <c r="B6103" t="str">
        <f>"1551601233609519"</f>
        <v>1551601233609519</v>
      </c>
      <c r="C6103" t="s">
        <v>40</v>
      </c>
      <c r="D6103">
        <v>4.7735799999999999</v>
      </c>
      <c r="E6103">
        <v>0.56527380000000005</v>
      </c>
      <c r="F6103" t="s">
        <v>50</v>
      </c>
      <c r="G6103">
        <v>-203.0865</v>
      </c>
      <c r="H6103" s="1">
        <v>-6.3816639999999899E-6</v>
      </c>
      <c r="I6103">
        <v>133.44499999999999</v>
      </c>
      <c r="J6103">
        <v>-192.61429999999999</v>
      </c>
      <c r="K6103">
        <v>1.1205099999999999</v>
      </c>
      <c r="L6103">
        <v>163.3561</v>
      </c>
      <c r="M6103">
        <v>-6.0552929999999998E-2</v>
      </c>
      <c r="N6103">
        <v>-8.8612819999999998E-3</v>
      </c>
      <c r="O6103">
        <v>-0.99812559999999995</v>
      </c>
      <c r="P6103">
        <v>-0.17164869999999999</v>
      </c>
      <c r="Q6103">
        <v>0.1246234</v>
      </c>
      <c r="R6103">
        <v>-0.977244</v>
      </c>
      <c r="S6103">
        <v>-1.01355</v>
      </c>
      <c r="T6103">
        <v>-0.1083548</v>
      </c>
      <c r="U6103">
        <v>-2.906326</v>
      </c>
      <c r="V6103">
        <v>0.1122935</v>
      </c>
      <c r="W6103">
        <v>0.13323889999999999</v>
      </c>
      <c r="X6103">
        <v>0.98470179999999996</v>
      </c>
      <c r="Y6103">
        <v>0.27133930000000001</v>
      </c>
      <c r="Z6103">
        <v>2.6644830000000001E-2</v>
      </c>
      <c r="AA6103">
        <v>0.9621149</v>
      </c>
      <c r="AB6103">
        <v>23</v>
      </c>
      <c r="AC6103">
        <v>-10.472200000000001</v>
      </c>
      <c r="AD6103">
        <v>-1.120516381664</v>
      </c>
      <c r="AE6103">
        <v>-29.911100000000001</v>
      </c>
      <c r="AF6103">
        <v>8.6309161462902892</v>
      </c>
      <c r="AG6103">
        <v>-1.120516381664</v>
      </c>
      <c r="AH6103">
        <v>30.452286442816298</v>
      </c>
      <c r="AI6103">
        <v>92.027503113112203</v>
      </c>
      <c r="AJ6103">
        <v>74.175984650452904</v>
      </c>
      <c r="AK6103">
        <v>31.671596424575799</v>
      </c>
      <c r="AL6103">
        <v>82.343203948926202</v>
      </c>
      <c r="AM6103">
        <v>83.494204262069601</v>
      </c>
      <c r="AN6103">
        <v>1.0000000347693401</v>
      </c>
    </row>
    <row r="6104" spans="1:40" x14ac:dyDescent="0.25">
      <c r="A6104" t="str">
        <f>"20190303162033636"</f>
        <v>20190303162033636</v>
      </c>
      <c r="B6104" t="str">
        <f>"1551601233629038"</f>
        <v>1551601233629038</v>
      </c>
      <c r="C6104" t="s">
        <v>40</v>
      </c>
      <c r="D6104">
        <v>4.7532230000000002</v>
      </c>
      <c r="E6104">
        <v>0.56689100000000003</v>
      </c>
      <c r="F6104" t="s">
        <v>50</v>
      </c>
      <c r="G6104">
        <v>-203.2834</v>
      </c>
      <c r="H6104" s="1">
        <v>-6.2299069999999901E-6</v>
      </c>
      <c r="I6104">
        <v>133.21780000000001</v>
      </c>
      <c r="J6104">
        <v>-192.6232</v>
      </c>
      <c r="K6104">
        <v>1.1205000000000001</v>
      </c>
      <c r="L6104">
        <v>163.2158</v>
      </c>
      <c r="M6104">
        <v>-6.0984789999999997E-2</v>
      </c>
      <c r="N6104">
        <v>-8.8631719999999903E-3</v>
      </c>
      <c r="O6104">
        <v>-0.99809939999999997</v>
      </c>
      <c r="P6104">
        <v>-0.17342589999999999</v>
      </c>
      <c r="Q6104">
        <v>0.12481150000000001</v>
      </c>
      <c r="R6104">
        <v>-0.97690619999999995</v>
      </c>
      <c r="S6104">
        <v>-1.027725</v>
      </c>
      <c r="T6104">
        <v>-0.1079355</v>
      </c>
      <c r="U6104">
        <v>-2.9031220000000002</v>
      </c>
      <c r="V6104">
        <v>0.113667</v>
      </c>
      <c r="W6104">
        <v>0.13342129999999999</v>
      </c>
      <c r="X6104">
        <v>0.98451949999999999</v>
      </c>
      <c r="Y6104">
        <v>0.27543230000000002</v>
      </c>
      <c r="Z6104">
        <v>2.649464E-2</v>
      </c>
      <c r="AA6104">
        <v>0.96095529999999996</v>
      </c>
      <c r="AB6104">
        <v>23</v>
      </c>
      <c r="AC6104">
        <v>-10.6602</v>
      </c>
      <c r="AD6104">
        <v>-1.1205062299070001</v>
      </c>
      <c r="AE6104">
        <v>-29.997999999999902</v>
      </c>
      <c r="AF6104">
        <v>8.7999618065980503</v>
      </c>
      <c r="AG6104">
        <v>-1.1205062299070001</v>
      </c>
      <c r="AH6104">
        <v>30.554445341708401</v>
      </c>
      <c r="AI6104">
        <v>92.018267649556606</v>
      </c>
      <c r="AJ6104">
        <v>73.933111943163198</v>
      </c>
      <c r="AK6104">
        <v>31.8161750081353</v>
      </c>
      <c r="AL6104">
        <v>82.3326590760865</v>
      </c>
      <c r="AM6104">
        <v>83.414115757294397</v>
      </c>
      <c r="AN6104">
        <v>1.00000003803146</v>
      </c>
    </row>
    <row r="6105" spans="1:40" x14ac:dyDescent="0.25">
      <c r="A6105" t="str">
        <f>"20190303162033650"</f>
        <v>20190303162033650</v>
      </c>
      <c r="B6105" t="str">
        <f>"1551601233638799"</f>
        <v>1551601233638799</v>
      </c>
      <c r="C6105" t="s">
        <v>40</v>
      </c>
      <c r="D6105">
        <v>4.7753680000000003</v>
      </c>
      <c r="E6105">
        <v>0.56756379999999995</v>
      </c>
      <c r="F6105" t="s">
        <v>50</v>
      </c>
      <c r="G6105">
        <v>-203.2963</v>
      </c>
      <c r="H6105" s="1">
        <v>-6.3588260000000003E-6</v>
      </c>
      <c r="I6105">
        <v>133.637</v>
      </c>
      <c r="J6105">
        <v>-192.63239999999999</v>
      </c>
      <c r="K6105">
        <v>1.120479</v>
      </c>
      <c r="L6105">
        <v>163.07429999999999</v>
      </c>
      <c r="M6105">
        <v>-6.143643E-2</v>
      </c>
      <c r="N6105">
        <v>-8.8651400000000005E-3</v>
      </c>
      <c r="O6105">
        <v>-0.99807179999999995</v>
      </c>
      <c r="P6105">
        <v>-0.17499139999999999</v>
      </c>
      <c r="Q6105">
        <v>0.12505649999999999</v>
      </c>
      <c r="R6105">
        <v>-0.97659580000000001</v>
      </c>
      <c r="S6105">
        <v>-1.046143</v>
      </c>
      <c r="T6105">
        <v>-0.10982840000000001</v>
      </c>
      <c r="U6105">
        <v>-2.899216</v>
      </c>
      <c r="V6105">
        <v>0.11480949999999999</v>
      </c>
      <c r="W6105">
        <v>0.13365949999999999</v>
      </c>
      <c r="X6105">
        <v>0.98435459999999997</v>
      </c>
      <c r="Y6105">
        <v>0.28080519999999998</v>
      </c>
      <c r="Z6105">
        <v>2.709102E-2</v>
      </c>
      <c r="AA6105">
        <v>0.95938239999999997</v>
      </c>
      <c r="AB6105">
        <v>23</v>
      </c>
      <c r="AC6105">
        <v>-10.6639</v>
      </c>
      <c r="AD6105">
        <v>-1.120485358826</v>
      </c>
      <c r="AE6105">
        <v>-29.4373</v>
      </c>
      <c r="AF6105">
        <v>8.8238597378964698</v>
      </c>
      <c r="AG6105">
        <v>-1.120485358826</v>
      </c>
      <c r="AH6105">
        <v>29.998445536863699</v>
      </c>
      <c r="AI6105">
        <v>92.052226534904094</v>
      </c>
      <c r="AJ6105">
        <v>73.609075298997695</v>
      </c>
      <c r="AK6105">
        <v>31.289338803202501</v>
      </c>
      <c r="AL6105">
        <v>82.318887823162598</v>
      </c>
      <c r="AM6105">
        <v>83.347405090045797</v>
      </c>
      <c r="AN6105">
        <v>1.0000000308858199</v>
      </c>
    </row>
    <row r="6106" spans="1:40" x14ac:dyDescent="0.25">
      <c r="A6106" t="str">
        <f>"20190303162033666"</f>
        <v>20190303162033666</v>
      </c>
      <c r="B6106" t="str">
        <f>"1551601233658319"</f>
        <v>1551601233658319</v>
      </c>
      <c r="C6106" t="s">
        <v>40</v>
      </c>
      <c r="D6106">
        <v>4.8024490000000002</v>
      </c>
      <c r="E6106">
        <v>0.56847329999999996</v>
      </c>
      <c r="F6106" t="s">
        <v>50</v>
      </c>
      <c r="G6106">
        <v>-203.4982</v>
      </c>
      <c r="H6106" s="1">
        <v>-6.1620700000000003E-6</v>
      </c>
      <c r="I6106">
        <v>133.27529999999999</v>
      </c>
      <c r="J6106">
        <v>-192.64269999999999</v>
      </c>
      <c r="K6106">
        <v>1.120447</v>
      </c>
      <c r="L6106">
        <v>162.91540000000001</v>
      </c>
      <c r="M6106">
        <v>-6.1969000000000003E-2</v>
      </c>
      <c r="N6106">
        <v>-8.8674689999999994E-3</v>
      </c>
      <c r="O6106">
        <v>-0.99803889999999995</v>
      </c>
      <c r="P6106">
        <v>-0.1774867</v>
      </c>
      <c r="Q6106">
        <v>0.12524830000000001</v>
      </c>
      <c r="R6106">
        <v>-0.97612109999999996</v>
      </c>
      <c r="S6106">
        <v>-1.0562129999999901</v>
      </c>
      <c r="T6106">
        <v>-0.10891679999999999</v>
      </c>
      <c r="U6106">
        <v>-2.8966059999999998</v>
      </c>
      <c r="V6106">
        <v>0.1168131</v>
      </c>
      <c r="W6106">
        <v>0.1338414</v>
      </c>
      <c r="X6106">
        <v>0.98409409999999997</v>
      </c>
      <c r="Y6106">
        <v>0.28351789999999999</v>
      </c>
      <c r="Z6106">
        <v>2.6786529999999999E-2</v>
      </c>
      <c r="AA6106">
        <v>0.95859280000000002</v>
      </c>
      <c r="AB6106">
        <v>23</v>
      </c>
      <c r="AC6106">
        <v>-10.855499999999999</v>
      </c>
      <c r="AD6106">
        <v>-1.12045316207</v>
      </c>
      <c r="AE6106">
        <v>-29.6401</v>
      </c>
      <c r="AF6106">
        <v>8.9864729564865602</v>
      </c>
      <c r="AG6106">
        <v>-1.12045316207</v>
      </c>
      <c r="AH6106">
        <v>30.217786466239001</v>
      </c>
      <c r="AI6106">
        <v>92.035487783509794</v>
      </c>
      <c r="AJ6106">
        <v>73.438039133368903</v>
      </c>
      <c r="AK6106">
        <v>31.5456293391854</v>
      </c>
      <c r="AL6106">
        <v>82.308371062014203</v>
      </c>
      <c r="AM6106">
        <v>83.230600107615004</v>
      </c>
      <c r="AN6106">
        <v>1.0000000091701899</v>
      </c>
    </row>
    <row r="6107" spans="1:40" x14ac:dyDescent="0.25">
      <c r="A6107" t="str">
        <f>"20190303162033686"</f>
        <v>20190303162033686</v>
      </c>
      <c r="B6107" t="str">
        <f>"1551601233678815"</f>
        <v>1551601233678815</v>
      </c>
      <c r="C6107" t="s">
        <v>40</v>
      </c>
      <c r="D6107">
        <v>4.808853</v>
      </c>
      <c r="E6107">
        <v>0.56909019999999899</v>
      </c>
      <c r="F6107" t="s">
        <v>50</v>
      </c>
      <c r="G6107">
        <v>-203.50200000000001</v>
      </c>
      <c r="H6107" s="1">
        <v>-6.2590910000000003E-6</v>
      </c>
      <c r="I6107">
        <v>133.58340000000001</v>
      </c>
      <c r="J6107">
        <v>-192.6568</v>
      </c>
      <c r="K6107">
        <v>1.120401</v>
      </c>
      <c r="L6107">
        <v>162.7021</v>
      </c>
      <c r="M6107">
        <v>-6.2746499999999997E-2</v>
      </c>
      <c r="N6107">
        <v>-8.8707739999999997E-3</v>
      </c>
      <c r="O6107">
        <v>-0.99799000000000004</v>
      </c>
      <c r="P6107">
        <v>-0.1805128</v>
      </c>
      <c r="Q6107">
        <v>0.12598879999999901</v>
      </c>
      <c r="R6107">
        <v>-0.97547030000000001</v>
      </c>
      <c r="S6107">
        <v>-1.0709839999999999</v>
      </c>
      <c r="T6107">
        <v>-0.11050359999999999</v>
      </c>
      <c r="U6107">
        <v>-2.8928379999999998</v>
      </c>
      <c r="V6107">
        <v>0.1191234</v>
      </c>
      <c r="W6107">
        <v>0.13456479999999901</v>
      </c>
      <c r="X6107">
        <v>0.98371839999999999</v>
      </c>
      <c r="Y6107">
        <v>0.2874757</v>
      </c>
      <c r="Z6107">
        <v>2.7292170000000001E-2</v>
      </c>
      <c r="AA6107">
        <v>0.957399</v>
      </c>
      <c r="AB6107">
        <v>23</v>
      </c>
      <c r="AC6107">
        <v>-10.8452</v>
      </c>
      <c r="AD6107">
        <v>-1.1204072590909999</v>
      </c>
      <c r="AE6107">
        <v>-29.118699999999901</v>
      </c>
      <c r="AF6107">
        <v>8.9849775026507199</v>
      </c>
      <c r="AG6107">
        <v>-1.1204072590909999</v>
      </c>
      <c r="AH6107">
        <v>29.7032236456904</v>
      </c>
      <c r="AI6107">
        <v>92.067732018106</v>
      </c>
      <c r="AJ6107">
        <v>73.169871672354702</v>
      </c>
      <c r="AK6107">
        <v>31.052642852022501</v>
      </c>
      <c r="AL6107">
        <v>82.266544703252706</v>
      </c>
      <c r="AM6107">
        <v>83.095385190016898</v>
      </c>
      <c r="AN6107">
        <v>0.99999998016257896</v>
      </c>
    </row>
    <row r="6108" spans="1:40" x14ac:dyDescent="0.25">
      <c r="A6108" t="str">
        <f>"20190303162033699"</f>
        <v>20190303162033699</v>
      </c>
      <c r="B6108" t="str">
        <f>"1551601233688575"</f>
        <v>1551601233688575</v>
      </c>
      <c r="C6108" t="s">
        <v>40</v>
      </c>
      <c r="D6108">
        <v>4.8173820000000003</v>
      </c>
      <c r="E6108">
        <v>0.56928369999999995</v>
      </c>
      <c r="F6108" t="s">
        <v>50</v>
      </c>
      <c r="G6108">
        <v>-203.62729999999999</v>
      </c>
      <c r="H6108" s="1">
        <v>-6.1744669999999996E-6</v>
      </c>
      <c r="I6108">
        <v>133.47620000000001</v>
      </c>
      <c r="J6108">
        <v>-192.66560000000001</v>
      </c>
      <c r="K6108">
        <v>1.120368</v>
      </c>
      <c r="L6108">
        <v>162.57069999999999</v>
      </c>
      <c r="M6108">
        <v>-6.3264099999999907E-2</v>
      </c>
      <c r="N6108">
        <v>-8.8730130000000008E-3</v>
      </c>
      <c r="O6108">
        <v>-0.9979576</v>
      </c>
      <c r="P6108">
        <v>-0.18253050000000001</v>
      </c>
      <c r="Q6108">
        <v>0.12614690000000001</v>
      </c>
      <c r="R6108">
        <v>-0.97507469999999996</v>
      </c>
      <c r="S6108">
        <v>-1.084457</v>
      </c>
      <c r="T6108">
        <v>-0.1107548</v>
      </c>
      <c r="U6108">
        <v>-2.8890530000000001</v>
      </c>
      <c r="V6108">
        <v>0.1206627</v>
      </c>
      <c r="W6108">
        <v>0.13471129999999901</v>
      </c>
      <c r="X6108">
        <v>0.98351069999999996</v>
      </c>
      <c r="Y6108">
        <v>0.29130289999999998</v>
      </c>
      <c r="Z6108">
        <v>2.736661E-2</v>
      </c>
      <c r="AA6108">
        <v>0.95623930000000001</v>
      </c>
      <c r="AB6108">
        <v>23</v>
      </c>
      <c r="AC6108">
        <v>-10.961699999999899</v>
      </c>
      <c r="AD6108">
        <v>-1.1203741744669999</v>
      </c>
      <c r="AE6108">
        <v>-29.094499999999901</v>
      </c>
      <c r="AF6108">
        <v>9.0872304296232809</v>
      </c>
      <c r="AG6108">
        <v>-1.1203741744669999</v>
      </c>
      <c r="AH6108">
        <v>29.691167797511302</v>
      </c>
      <c r="AI6108">
        <v>92.066458005387801</v>
      </c>
      <c r="AJ6108">
        <v>72.982831309601394</v>
      </c>
      <c r="AK6108">
        <v>31.070861596548198</v>
      </c>
      <c r="AL6108">
        <v>82.258073579202005</v>
      </c>
      <c r="AM6108">
        <v>83.005580176706601</v>
      </c>
      <c r="AN6108">
        <v>0.99999995926673402</v>
      </c>
    </row>
    <row r="6109" spans="1:40" x14ac:dyDescent="0.25">
      <c r="A6109" t="str">
        <f>"20190303162033712"</f>
        <v>20190303162033712</v>
      </c>
      <c r="B6109" t="str">
        <f>"1551601233698335"</f>
        <v>1551601233698335</v>
      </c>
      <c r="C6109" t="s">
        <v>40</v>
      </c>
      <c r="D6109">
        <v>4.7929649999999997</v>
      </c>
      <c r="E6109">
        <v>0.56945190000000001</v>
      </c>
      <c r="F6109" t="s">
        <v>50</v>
      </c>
      <c r="G6109">
        <v>-203.54349999999999</v>
      </c>
      <c r="H6109" s="1">
        <v>-6.3101309999999997E-6</v>
      </c>
      <c r="I6109">
        <v>133.79499999999999</v>
      </c>
      <c r="J6109">
        <v>-192.67429999999999</v>
      </c>
      <c r="K6109">
        <v>1.1203320000000001</v>
      </c>
      <c r="L6109">
        <v>162.44309999999999</v>
      </c>
      <c r="M6109">
        <v>-6.3791109999999998E-2</v>
      </c>
      <c r="N6109">
        <v>-8.8752129999999999E-3</v>
      </c>
      <c r="O6109">
        <v>-0.99792369999999997</v>
      </c>
      <c r="P6109">
        <v>-0.184333</v>
      </c>
      <c r="Q6109">
        <v>0.1255751</v>
      </c>
      <c r="R6109">
        <v>-0.97480880000000003</v>
      </c>
      <c r="S6109">
        <v>-1.091324</v>
      </c>
      <c r="T6109">
        <v>-0.1124024</v>
      </c>
      <c r="U6109">
        <v>-2.8869479999999998</v>
      </c>
      <c r="V6109">
        <v>0.12196899999999999</v>
      </c>
      <c r="W6109">
        <v>0.1341292</v>
      </c>
      <c r="X6109">
        <v>0.98342909999999994</v>
      </c>
      <c r="Y6109">
        <v>0.293012099999999</v>
      </c>
      <c r="Z6109">
        <v>2.790134E-2</v>
      </c>
      <c r="AA6109">
        <v>0.95570149999999998</v>
      </c>
      <c r="AB6109">
        <v>23</v>
      </c>
      <c r="AC6109">
        <v>-10.869199999999999</v>
      </c>
      <c r="AD6109">
        <v>-1.1203383101309901</v>
      </c>
      <c r="AE6109">
        <v>-28.648099999999999</v>
      </c>
      <c r="AF6109">
        <v>9.0074522707546496</v>
      </c>
      <c r="AG6109">
        <v>-1.1203383101309901</v>
      </c>
      <c r="AH6109">
        <v>29.244036231442301</v>
      </c>
      <c r="AI6109">
        <v>92.096810912447694</v>
      </c>
      <c r="AJ6109">
        <v>72.880650308725194</v>
      </c>
      <c r="AK6109">
        <v>30.6203038757779</v>
      </c>
      <c r="AL6109">
        <v>82.291730741592701</v>
      </c>
      <c r="AM6109">
        <v>82.930039749730796</v>
      </c>
      <c r="AN6109">
        <v>0.99999993699022305</v>
      </c>
    </row>
    <row r="6110" spans="1:40" x14ac:dyDescent="0.25">
      <c r="A6110" t="str">
        <f>"20190303162033732"</f>
        <v>20190303162033732</v>
      </c>
      <c r="B6110" t="str">
        <f>"1551601233718831"</f>
        <v>1551601233718831</v>
      </c>
      <c r="C6110" t="s">
        <v>40</v>
      </c>
      <c r="D6110">
        <v>4.8351949999999997</v>
      </c>
      <c r="E6110">
        <v>0.56978109999999904</v>
      </c>
      <c r="F6110" t="s">
        <v>50</v>
      </c>
      <c r="G6110">
        <v>-203.28309999999999</v>
      </c>
      <c r="H6110" s="1">
        <v>-6.6581340000000003E-6</v>
      </c>
      <c r="I6110">
        <v>134.55600000000001</v>
      </c>
      <c r="J6110">
        <v>-192.68860000000001</v>
      </c>
      <c r="K6110">
        <v>1.120266</v>
      </c>
      <c r="L6110">
        <v>162.23560000000001</v>
      </c>
      <c r="M6110">
        <v>-6.4714160000000007E-2</v>
      </c>
      <c r="N6110">
        <v>-8.8789309999999996E-3</v>
      </c>
      <c r="O6110">
        <v>-0.99786450000000004</v>
      </c>
      <c r="P6110">
        <v>-0.1877731</v>
      </c>
      <c r="Q6110">
        <v>0.1238267</v>
      </c>
      <c r="R6110">
        <v>-0.97437609999999997</v>
      </c>
      <c r="S6110">
        <v>-1.0974729999999999</v>
      </c>
      <c r="T6110">
        <v>-0.1158988</v>
      </c>
      <c r="U6110">
        <v>-2.8849179999999999</v>
      </c>
      <c r="V6110">
        <v>0.1245362</v>
      </c>
      <c r="W6110">
        <v>0.13236120000000001</v>
      </c>
      <c r="X6110">
        <v>0.98334690000000002</v>
      </c>
      <c r="Y6110">
        <v>0.29411749999999998</v>
      </c>
      <c r="Z6110">
        <v>2.9040099999999999E-2</v>
      </c>
      <c r="AA6110">
        <v>0.95532799999999995</v>
      </c>
      <c r="AB6110">
        <v>23</v>
      </c>
      <c r="AC6110">
        <v>-10.594499999999901</v>
      </c>
      <c r="AD6110">
        <v>-1.1202726581339999</v>
      </c>
      <c r="AE6110">
        <v>-27.679599999999901</v>
      </c>
      <c r="AF6110">
        <v>8.7684303061531406</v>
      </c>
      <c r="AG6110">
        <v>-1.1202726581339999</v>
      </c>
      <c r="AH6110">
        <v>28.266829743426499</v>
      </c>
      <c r="AI6110">
        <v>92.167764256969093</v>
      </c>
      <c r="AJ6110">
        <v>72.7659994958574</v>
      </c>
      <c r="AK6110">
        <v>29.616786534097301</v>
      </c>
      <c r="AL6110">
        <v>82.393941115503793</v>
      </c>
      <c r="AM6110">
        <v>82.782187688083894</v>
      </c>
      <c r="AN6110">
        <v>0.99999993905774298</v>
      </c>
    </row>
    <row r="6111" spans="1:40" x14ac:dyDescent="0.25">
      <c r="A6111" t="str">
        <f>"20190303162033743"</f>
        <v>20190303162033743</v>
      </c>
      <c r="B6111" t="str">
        <f>"1551601233738350"</f>
        <v>1551601233738350</v>
      </c>
      <c r="C6111" t="s">
        <v>40</v>
      </c>
      <c r="D6111">
        <v>4.8454410000000001</v>
      </c>
      <c r="E6111">
        <v>0.57000629999999997</v>
      </c>
      <c r="F6111" t="s">
        <v>50</v>
      </c>
      <c r="G6111">
        <v>-202.73400000000001</v>
      </c>
      <c r="H6111" s="1">
        <v>-7.375723E-6</v>
      </c>
      <c r="I6111">
        <v>136.14850000000001</v>
      </c>
      <c r="J6111">
        <v>-192.69710000000001</v>
      </c>
      <c r="K6111">
        <v>1.120225</v>
      </c>
      <c r="L6111">
        <v>162.1129</v>
      </c>
      <c r="M6111">
        <v>-6.5297359999999999E-2</v>
      </c>
      <c r="N6111">
        <v>-8.8812219999999994E-3</v>
      </c>
      <c r="O6111">
        <v>-0.99782630000000005</v>
      </c>
      <c r="P6111">
        <v>-0.1895124</v>
      </c>
      <c r="Q6111">
        <v>0.12315719999999999</v>
      </c>
      <c r="R6111">
        <v>-0.97412399999999999</v>
      </c>
      <c r="S6111">
        <v>-1.109329</v>
      </c>
      <c r="T6111">
        <v>-0.1237128</v>
      </c>
      <c r="U6111">
        <v>-2.880814</v>
      </c>
      <c r="V6111">
        <v>0.12572459999999999</v>
      </c>
      <c r="W6111">
        <v>0.13167870000000001</v>
      </c>
      <c r="X6111">
        <v>0.98328729999999998</v>
      </c>
      <c r="Y6111">
        <v>0.29740650000000002</v>
      </c>
      <c r="Z6111">
        <v>3.1587240000000003E-2</v>
      </c>
      <c r="AA6111">
        <v>0.95422830000000003</v>
      </c>
      <c r="AB6111">
        <v>23</v>
      </c>
      <c r="AC6111">
        <v>-10.036899999999999</v>
      </c>
      <c r="AD6111">
        <v>-1.1202323757229999</v>
      </c>
      <c r="AE6111">
        <v>-25.964399999999898</v>
      </c>
      <c r="AF6111">
        <v>8.3065520478834909</v>
      </c>
      <c r="AG6111">
        <v>-1.1202323757229999</v>
      </c>
      <c r="AH6111">
        <v>26.5214416034474</v>
      </c>
      <c r="AI6111">
        <v>92.308227491714902</v>
      </c>
      <c r="AJ6111">
        <v>72.609371962740298</v>
      </c>
      <c r="AK6111">
        <v>27.814395413614299</v>
      </c>
      <c r="AL6111">
        <v>82.433390755817996</v>
      </c>
      <c r="AM6111">
        <v>82.713610749803706</v>
      </c>
      <c r="AN6111">
        <v>0.99999993471006698</v>
      </c>
    </row>
    <row r="6112" spans="1:40" x14ac:dyDescent="0.25">
      <c r="A6112" t="str">
        <f>"20190303162033755"</f>
        <v>20190303162033755</v>
      </c>
      <c r="B6112" t="str">
        <f>"1551601233749087"</f>
        <v>1551601233749087</v>
      </c>
      <c r="C6112" t="s">
        <v>40</v>
      </c>
      <c r="D6112">
        <v>4.8538990000000002</v>
      </c>
      <c r="E6112">
        <v>0.57005240000000001</v>
      </c>
      <c r="F6112" t="s">
        <v>50</v>
      </c>
      <c r="G6112">
        <v>-202.56909999999999</v>
      </c>
      <c r="H6112" s="1">
        <v>-7.5919659999999998E-6</v>
      </c>
      <c r="I6112">
        <v>136.65029999999999</v>
      </c>
      <c r="J6112">
        <v>-192.7062</v>
      </c>
      <c r="K6112">
        <v>1.120179</v>
      </c>
      <c r="L6112">
        <v>161.9845</v>
      </c>
      <c r="M6112">
        <v>-6.5962389999999996E-2</v>
      </c>
      <c r="N6112">
        <v>-8.8838319999999995E-3</v>
      </c>
      <c r="O6112">
        <v>-0.99778259999999996</v>
      </c>
      <c r="P6112">
        <v>-0.19137170000000001</v>
      </c>
      <c r="Q6112">
        <v>0.1224446</v>
      </c>
      <c r="R6112">
        <v>-0.9738504</v>
      </c>
      <c r="S6112">
        <v>-1.1160429999999999</v>
      </c>
      <c r="T6112">
        <v>-0.1266438</v>
      </c>
      <c r="U6112">
        <v>-2.8785859999999999</v>
      </c>
      <c r="V6112">
        <v>0.12695480000000001</v>
      </c>
      <c r="W6112">
        <v>0.13095219999999999</v>
      </c>
      <c r="X6112">
        <v>0.9832263</v>
      </c>
      <c r="Y6112">
        <v>0.29894120000000002</v>
      </c>
      <c r="Z6112">
        <v>3.254129E-2</v>
      </c>
      <c r="AA6112">
        <v>0.95371649999999997</v>
      </c>
      <c r="AB6112">
        <v>23</v>
      </c>
      <c r="AC6112">
        <v>-9.8628999999999891</v>
      </c>
      <c r="AD6112">
        <v>-1.1201865919659999</v>
      </c>
      <c r="AE6112">
        <v>-25.334199999999999</v>
      </c>
      <c r="AF6112">
        <v>8.1564000501441392</v>
      </c>
      <c r="AG6112">
        <v>-1.1201865919659999</v>
      </c>
      <c r="AH6112">
        <v>25.8856787626701</v>
      </c>
      <c r="AI6112">
        <v>92.363481035250103</v>
      </c>
      <c r="AJ6112">
        <v>72.510717497105404</v>
      </c>
      <c r="AK6112">
        <v>27.163395310287701</v>
      </c>
      <c r="AL6112">
        <v>82.475380072556106</v>
      </c>
      <c r="AM6112">
        <v>82.6426402368688</v>
      </c>
      <c r="AN6112">
        <v>0.99999997846978395</v>
      </c>
    </row>
    <row r="6113" spans="1:40" x14ac:dyDescent="0.25">
      <c r="A6113" t="str">
        <f>"20190303162033769"</f>
        <v>20190303162033769</v>
      </c>
      <c r="B6113" t="str">
        <f>"1551601233758846"</f>
        <v>1551601233758846</v>
      </c>
      <c r="C6113" t="s">
        <v>40</v>
      </c>
      <c r="D6113">
        <v>4.8559099999999997</v>
      </c>
      <c r="E6113">
        <v>0.57009119999999902</v>
      </c>
      <c r="F6113" t="s">
        <v>50</v>
      </c>
      <c r="G6113">
        <v>-202.3734</v>
      </c>
      <c r="H6113" s="1">
        <v>-7.8315350000000002E-6</v>
      </c>
      <c r="I6113">
        <v>137.1901</v>
      </c>
      <c r="J6113">
        <v>-192.71610000000001</v>
      </c>
      <c r="K6113">
        <v>1.120126</v>
      </c>
      <c r="L6113">
        <v>161.84710000000001</v>
      </c>
      <c r="M6113">
        <v>-6.6706539999999995E-2</v>
      </c>
      <c r="N6113">
        <v>-8.8867400000000006E-3</v>
      </c>
      <c r="O6113">
        <v>-0.99773319999999999</v>
      </c>
      <c r="P6113">
        <v>-0.19291230000000001</v>
      </c>
      <c r="Q6113">
        <v>0.1221704</v>
      </c>
      <c r="R6113">
        <v>-0.97358100000000003</v>
      </c>
      <c r="S6113">
        <v>-1.121521</v>
      </c>
      <c r="T6113">
        <v>-0.12995660000000001</v>
      </c>
      <c r="U6113">
        <v>-2.8764799999999999</v>
      </c>
      <c r="V6113">
        <v>0.12779160000000001</v>
      </c>
      <c r="W6113">
        <v>0.1306629</v>
      </c>
      <c r="X6113">
        <v>0.98315640000000004</v>
      </c>
      <c r="Y6113">
        <v>0.30002760000000001</v>
      </c>
      <c r="Z6113">
        <v>3.3623350000000003E-2</v>
      </c>
      <c r="AA6113">
        <v>0.95333780000000001</v>
      </c>
      <c r="AB6113">
        <v>23</v>
      </c>
      <c r="AC6113">
        <v>-9.6572999999999904</v>
      </c>
      <c r="AD6113">
        <v>-1.120133831535</v>
      </c>
      <c r="AE6113">
        <v>-24.657</v>
      </c>
      <c r="AF6113">
        <v>7.9766676182481904</v>
      </c>
      <c r="AG6113">
        <v>-1.120133831535</v>
      </c>
      <c r="AH6113">
        <v>25.201213966756399</v>
      </c>
      <c r="AI6113">
        <v>92.426490496460303</v>
      </c>
      <c r="AJ6113">
        <v>72.436421677341301</v>
      </c>
      <c r="AK6113">
        <v>26.457193945896801</v>
      </c>
      <c r="AL6113">
        <v>82.4920995355168</v>
      </c>
      <c r="AM6113">
        <v>82.594161383697099</v>
      </c>
      <c r="AN6113">
        <v>0.999999996663965</v>
      </c>
    </row>
    <row r="6114" spans="1:40" x14ac:dyDescent="0.25">
      <c r="A6114" t="str">
        <f>"20190303162033787"</f>
        <v>20190303162033787</v>
      </c>
      <c r="B6114" t="str">
        <f>"1551601233778368"</f>
        <v>1551601233778368</v>
      </c>
      <c r="C6114" t="s">
        <v>40</v>
      </c>
      <c r="D6114">
        <v>4.8231270000000004</v>
      </c>
      <c r="E6114">
        <v>0.57018719999999901</v>
      </c>
      <c r="F6114" t="s">
        <v>50</v>
      </c>
      <c r="G6114">
        <v>-202.2944</v>
      </c>
      <c r="H6114" s="1">
        <v>-7.9244089999999995E-6</v>
      </c>
      <c r="I6114">
        <v>137.3955</v>
      </c>
      <c r="J6114">
        <v>-192.72970000000001</v>
      </c>
      <c r="K6114">
        <v>1.120045</v>
      </c>
      <c r="L6114">
        <v>161.6602</v>
      </c>
      <c r="M6114">
        <v>-6.7803740000000001E-2</v>
      </c>
      <c r="N6114">
        <v>-8.8910859999999994E-3</v>
      </c>
      <c r="O6114">
        <v>-0.99765899999999996</v>
      </c>
      <c r="P6114">
        <v>-0.19703480000000001</v>
      </c>
      <c r="Q6114">
        <v>0.12154619999999999</v>
      </c>
      <c r="R6114">
        <v>-0.97283269999999999</v>
      </c>
      <c r="S6114">
        <v>-1.1261289999999999</v>
      </c>
      <c r="T6114">
        <v>-0.13169549999999999</v>
      </c>
      <c r="U6114">
        <v>-2.8748019999999999</v>
      </c>
      <c r="V6114">
        <v>0.13089609999999999</v>
      </c>
      <c r="W6114">
        <v>0.13000999999999999</v>
      </c>
      <c r="X6114">
        <v>0.98283450000000006</v>
      </c>
      <c r="Y6114">
        <v>0.30048469999999999</v>
      </c>
      <c r="Z6114">
        <v>3.4190940000000003E-2</v>
      </c>
      <c r="AA6114">
        <v>0.95317359999999896</v>
      </c>
      <c r="AB6114">
        <v>23</v>
      </c>
      <c r="AC6114">
        <v>-9.5646999999999807</v>
      </c>
      <c r="AD6114">
        <v>-1.1200529244090001</v>
      </c>
      <c r="AE6114">
        <v>-24.264700000000001</v>
      </c>
      <c r="AF6114">
        <v>7.8828468935030402</v>
      </c>
      <c r="AG6114">
        <v>-1.1200529244090001</v>
      </c>
      <c r="AH6114">
        <v>24.8116457246139</v>
      </c>
      <c r="AI6114">
        <v>92.463521832643906</v>
      </c>
      <c r="AJ6114">
        <v>72.374555182515493</v>
      </c>
      <c r="AK6114">
        <v>26.057850204183001</v>
      </c>
      <c r="AL6114">
        <v>82.529829985017798</v>
      </c>
      <c r="AM6114">
        <v>82.413862610722404</v>
      </c>
      <c r="AN6114">
        <v>1.0000000217427201</v>
      </c>
    </row>
    <row r="6115" spans="1:40" x14ac:dyDescent="0.25">
      <c r="A6115" t="str">
        <f>"20190303162033798"</f>
        <v>20190303162033798</v>
      </c>
      <c r="B6115" t="str">
        <f>"1551601233788127"</f>
        <v>1551601233788127</v>
      </c>
      <c r="C6115" t="s">
        <v>40</v>
      </c>
      <c r="D6115">
        <v>4.823353</v>
      </c>
      <c r="E6115">
        <v>0.57021949999999999</v>
      </c>
      <c r="F6115" t="s">
        <v>50</v>
      </c>
      <c r="G6115">
        <v>-202.2131</v>
      </c>
      <c r="H6115" s="1">
        <v>-8.0597330000000004E-6</v>
      </c>
      <c r="I6115">
        <v>137.7363</v>
      </c>
      <c r="J6115">
        <v>-192.7389</v>
      </c>
      <c r="K6115">
        <v>1.1199870000000001</v>
      </c>
      <c r="L6115">
        <v>161.5376</v>
      </c>
      <c r="M6115">
        <v>-6.8584820000000005E-2</v>
      </c>
      <c r="N6115">
        <v>-8.8942399999999994E-3</v>
      </c>
      <c r="O6115">
        <v>-0.99760590000000005</v>
      </c>
      <c r="P6115">
        <v>-0.1993132</v>
      </c>
      <c r="Q6115">
        <v>0.12146170000000001</v>
      </c>
      <c r="R6115">
        <v>-0.97237960000000001</v>
      </c>
      <c r="S6115">
        <v>-1.1377109999999999</v>
      </c>
      <c r="T6115">
        <v>-0.13437180000000001</v>
      </c>
      <c r="U6115">
        <v>-2.8701319999999999</v>
      </c>
      <c r="V6115">
        <v>0.13244690000000001</v>
      </c>
      <c r="W6115">
        <v>0.12990599999999999</v>
      </c>
      <c r="X6115">
        <v>0.98264039999999997</v>
      </c>
      <c r="Y6115">
        <v>0.30357830000000002</v>
      </c>
      <c r="Z6115">
        <v>3.5071379999999999E-2</v>
      </c>
      <c r="AA6115">
        <v>0.95216080000000003</v>
      </c>
      <c r="AB6115">
        <v>23</v>
      </c>
      <c r="AC6115">
        <v>-9.4741999999999909</v>
      </c>
      <c r="AD6115">
        <v>-1.119995059733</v>
      </c>
      <c r="AE6115">
        <v>-23.801300000000001</v>
      </c>
      <c r="AF6115">
        <v>7.8044995859575499</v>
      </c>
      <c r="AG6115">
        <v>-1.119995059733</v>
      </c>
      <c r="AH6115">
        <v>24.348522139059799</v>
      </c>
      <c r="AI6115">
        <v>92.5081400678894</v>
      </c>
      <c r="AJ6115">
        <v>72.227641919704098</v>
      </c>
      <c r="AK6115">
        <v>25.593263431561901</v>
      </c>
      <c r="AL6115">
        <v>82.535839194919504</v>
      </c>
      <c r="AM6115">
        <v>82.323552540761796</v>
      </c>
      <c r="AN6115">
        <v>0.999999952933883</v>
      </c>
    </row>
    <row r="6116" spans="1:40" x14ac:dyDescent="0.25">
      <c r="A6116" t="str">
        <f>"20190303162033812"</f>
        <v>20190303162033812</v>
      </c>
      <c r="B6116" t="str">
        <f>"1551601233798862"</f>
        <v>1551601233798862</v>
      </c>
      <c r="C6116" t="s">
        <v>40</v>
      </c>
      <c r="D6116">
        <v>4.8241160000000001</v>
      </c>
      <c r="E6116">
        <v>0.57023959999999996</v>
      </c>
      <c r="F6116" t="s">
        <v>50</v>
      </c>
      <c r="G6116">
        <v>-202.21530000000001</v>
      </c>
      <c r="H6116" s="1">
        <v>-8.0756609999999996E-6</v>
      </c>
      <c r="I6116">
        <v>137.79079999999999</v>
      </c>
      <c r="J6116">
        <v>-192.74889999999999</v>
      </c>
      <c r="K6116">
        <v>1.119926</v>
      </c>
      <c r="L6116">
        <v>161.405</v>
      </c>
      <c r="M6116">
        <v>-6.9468169999999996E-2</v>
      </c>
      <c r="N6116">
        <v>-8.8977120000000003E-3</v>
      </c>
      <c r="O6116">
        <v>-0.9975446</v>
      </c>
      <c r="P6116">
        <v>-0.20224919999999999</v>
      </c>
      <c r="Q6116">
        <v>0.1209134</v>
      </c>
      <c r="R6116">
        <v>-0.97184119999999996</v>
      </c>
      <c r="S6116">
        <v>-1.144333</v>
      </c>
      <c r="T6116">
        <v>-0.13524630000000001</v>
      </c>
      <c r="U6116">
        <v>-2.867569</v>
      </c>
      <c r="V6116">
        <v>0.1345594</v>
      </c>
      <c r="W6116">
        <v>0.12933430000000001</v>
      </c>
      <c r="X6116">
        <v>0.98242879999999999</v>
      </c>
      <c r="Y6116">
        <v>0.30491980000000002</v>
      </c>
      <c r="Z6116">
        <v>3.5359670000000003E-2</v>
      </c>
      <c r="AA6116">
        <v>0.95172140000000005</v>
      </c>
      <c r="AB6116">
        <v>23</v>
      </c>
      <c r="AC6116">
        <v>-9.4664000000000197</v>
      </c>
      <c r="AD6116">
        <v>-1.1199340756609999</v>
      </c>
      <c r="AE6116">
        <v>-23.6142</v>
      </c>
      <c r="AF6116">
        <v>7.7879371904004699</v>
      </c>
      <c r="AG6116">
        <v>-1.1199340756609999</v>
      </c>
      <c r="AH6116">
        <v>24.167953431545499</v>
      </c>
      <c r="AI6116">
        <v>92.525461481133107</v>
      </c>
      <c r="AJ6116">
        <v>72.138863145173303</v>
      </c>
      <c r="AK6116">
        <v>25.4164551242852</v>
      </c>
      <c r="AL6116">
        <v>82.568874012760105</v>
      </c>
      <c r="AM6116">
        <v>82.200950614519897</v>
      </c>
      <c r="AN6116">
        <v>0.99999997017714404</v>
      </c>
    </row>
    <row r="6117" spans="1:40" x14ac:dyDescent="0.25">
      <c r="A6117" t="str">
        <f>"20190303162033827"</f>
        <v>20190303162033827</v>
      </c>
      <c r="B6117" t="str">
        <f>"1551601233819359"</f>
        <v>1551601233819359</v>
      </c>
      <c r="C6117" t="s">
        <v>40</v>
      </c>
      <c r="D6117">
        <v>4.8425690000000001</v>
      </c>
      <c r="E6117">
        <v>0.57013069999999999</v>
      </c>
      <c r="F6117" t="s">
        <v>50</v>
      </c>
      <c r="G6117">
        <v>-202.0966</v>
      </c>
      <c r="H6117" s="1">
        <v>-8.2383959999999997E-6</v>
      </c>
      <c r="I6117">
        <v>138.17500000000001</v>
      </c>
      <c r="J6117">
        <v>-192.76060000000001</v>
      </c>
      <c r="K6117">
        <v>1.1198549999999901</v>
      </c>
      <c r="L6117">
        <v>161.25210000000001</v>
      </c>
      <c r="M6117">
        <v>-7.0535870000000001E-2</v>
      </c>
      <c r="N6117">
        <v>-8.9018069999999994E-3</v>
      </c>
      <c r="O6117">
        <v>-0.99746950000000001</v>
      </c>
      <c r="P6117">
        <v>-0.20498</v>
      </c>
      <c r="Q6117">
        <v>0.12030879999999999</v>
      </c>
      <c r="R6117">
        <v>-0.97134419999999999</v>
      </c>
      <c r="S6117">
        <v>-1.1525570000000001</v>
      </c>
      <c r="T6117">
        <v>-0.1380864</v>
      </c>
      <c r="U6117">
        <v>-2.8642270000000001</v>
      </c>
      <c r="V6117">
        <v>0.13628609999999999</v>
      </c>
      <c r="W6117">
        <v>0.1287054</v>
      </c>
      <c r="X6117">
        <v>0.98227339999999996</v>
      </c>
      <c r="Y6117">
        <v>0.30662240000000002</v>
      </c>
      <c r="Z6117">
        <v>3.629127E-2</v>
      </c>
      <c r="AA6117">
        <v>0.95113910000000002</v>
      </c>
      <c r="AB6117">
        <v>23</v>
      </c>
      <c r="AC6117">
        <v>-9.3359999999999808</v>
      </c>
      <c r="AD6117">
        <v>-1.1198632383960001</v>
      </c>
      <c r="AE6117">
        <v>-23.077100000000002</v>
      </c>
      <c r="AF6117">
        <v>7.6693962872129902</v>
      </c>
      <c r="AG6117">
        <v>-1.1198632383960001</v>
      </c>
      <c r="AH6117">
        <v>23.6303450412186</v>
      </c>
      <c r="AI6117">
        <v>92.580930194236799</v>
      </c>
      <c r="AJ6117">
        <v>72.018793314729805</v>
      </c>
      <c r="AK6117">
        <v>24.868995553702501</v>
      </c>
      <c r="AL6117">
        <v>82.605211306197603</v>
      </c>
      <c r="AM6117">
        <v>82.100892631860802</v>
      </c>
      <c r="AN6117">
        <v>1.0000000066949599</v>
      </c>
    </row>
    <row r="6118" spans="1:40" x14ac:dyDescent="0.25">
      <c r="A6118" t="str">
        <f>"20190303162033841"</f>
        <v>20190303162033841</v>
      </c>
      <c r="B6118" t="str">
        <f>"1551601233828143"</f>
        <v>1551601233828143</v>
      </c>
      <c r="C6118" t="s">
        <v>40</v>
      </c>
      <c r="D6118">
        <v>4.8038189999999998</v>
      </c>
      <c r="E6118">
        <v>0.57010450000000001</v>
      </c>
      <c r="F6118" t="s">
        <v>50</v>
      </c>
      <c r="G6118">
        <v>-201.95089999999999</v>
      </c>
      <c r="H6118" s="1">
        <v>-8.4129489999999994E-6</v>
      </c>
      <c r="I6118">
        <v>138.56450000000001</v>
      </c>
      <c r="J6118">
        <v>-192.7732</v>
      </c>
      <c r="K6118">
        <v>1.119767</v>
      </c>
      <c r="L6118">
        <v>161.09299999999999</v>
      </c>
      <c r="M6118">
        <v>-7.1744920000000004E-2</v>
      </c>
      <c r="N6118">
        <v>-8.9064039999999997E-3</v>
      </c>
      <c r="O6118">
        <v>-0.99738340000000003</v>
      </c>
      <c r="P6118">
        <v>-0.20889199999999999</v>
      </c>
      <c r="Q6118">
        <v>0.12032610000000001</v>
      </c>
      <c r="R6118">
        <v>-0.97050820000000004</v>
      </c>
      <c r="S6118">
        <v>-1.1590879999999999</v>
      </c>
      <c r="T6118">
        <v>-0.14123920000000001</v>
      </c>
      <c r="U6118">
        <v>-2.8614039999999998</v>
      </c>
      <c r="V6118">
        <v>0.1390806</v>
      </c>
      <c r="W6118">
        <v>0.12868979999999999</v>
      </c>
      <c r="X6118">
        <v>0.98188359999999997</v>
      </c>
      <c r="Y6118">
        <v>0.30764399999999997</v>
      </c>
      <c r="Z6118">
        <v>3.7325850000000001E-2</v>
      </c>
      <c r="AA6118">
        <v>0.95076910000000003</v>
      </c>
      <c r="AB6118">
        <v>23</v>
      </c>
      <c r="AC6118">
        <v>-9.1776999999999802</v>
      </c>
      <c r="AD6118">
        <v>-1.1197754129489901</v>
      </c>
      <c r="AE6118">
        <v>-22.528499999999902</v>
      </c>
      <c r="AF6118">
        <v>7.5217400854705296</v>
      </c>
      <c r="AG6118">
        <v>-1.1197754129489901</v>
      </c>
      <c r="AH6118">
        <v>23.080014513044699</v>
      </c>
      <c r="AI6118">
        <v>92.641137272913099</v>
      </c>
      <c r="AJ6118">
        <v>71.949293109044206</v>
      </c>
      <c r="AK6118">
        <v>24.300566676750002</v>
      </c>
      <c r="AL6118">
        <v>82.606112126804405</v>
      </c>
      <c r="AM6118">
        <v>81.937873717777194</v>
      </c>
      <c r="AN6118">
        <v>0.99999994093467803</v>
      </c>
    </row>
    <row r="6119" spans="1:40" x14ac:dyDescent="0.25">
      <c r="A6119" t="str">
        <f>"20190303162033856"</f>
        <v>20190303162033856</v>
      </c>
      <c r="B6119" t="str">
        <f>"1551601233848639"</f>
        <v>1551601233848639</v>
      </c>
      <c r="C6119" t="s">
        <v>40</v>
      </c>
      <c r="D6119">
        <v>4.7890940000000004</v>
      </c>
      <c r="E6119">
        <v>0.5699883</v>
      </c>
      <c r="F6119" t="s">
        <v>50</v>
      </c>
      <c r="G6119">
        <v>-201.97190000000001</v>
      </c>
      <c r="H6119" s="1">
        <v>-8.4238760000000001E-6</v>
      </c>
      <c r="I6119">
        <v>138.6258</v>
      </c>
      <c r="J6119">
        <v>-192.78489999999999</v>
      </c>
      <c r="K6119">
        <v>1.1196919999999999</v>
      </c>
      <c r="L6119">
        <v>160.94710000000001</v>
      </c>
      <c r="M6119">
        <v>-7.2930690000000006E-2</v>
      </c>
      <c r="N6119">
        <v>-8.9109619999999997E-3</v>
      </c>
      <c r="O6119">
        <v>-0.99729719999999999</v>
      </c>
      <c r="P6119">
        <v>-0.21483569999999999</v>
      </c>
      <c r="Q6119">
        <v>0.1212792</v>
      </c>
      <c r="R6119">
        <v>-0.96909080000000003</v>
      </c>
      <c r="S6119">
        <v>-1.169754</v>
      </c>
      <c r="T6119">
        <v>-0.14239649999999901</v>
      </c>
      <c r="U6119">
        <v>-2.85704</v>
      </c>
      <c r="V6119">
        <v>0.1439696</v>
      </c>
      <c r="W6119">
        <v>0.12959999999999999</v>
      </c>
      <c r="X6119">
        <v>0.98105889999999996</v>
      </c>
      <c r="Y6119">
        <v>0.3100542</v>
      </c>
      <c r="Z6119">
        <v>3.7711019999999998E-2</v>
      </c>
      <c r="AA6119">
        <v>0.94997069999999995</v>
      </c>
      <c r="AB6119">
        <v>23</v>
      </c>
      <c r="AC6119">
        <v>-9.18700000000001</v>
      </c>
      <c r="AD6119">
        <v>-1.119700423876</v>
      </c>
      <c r="AE6119">
        <v>-22.321300000000001</v>
      </c>
      <c r="AF6119">
        <v>7.5183826566706902</v>
      </c>
      <c r="AG6119">
        <v>-1.119700423876</v>
      </c>
      <c r="AH6119">
        <v>22.882655812033999</v>
      </c>
      <c r="AI6119">
        <v>92.661612091651506</v>
      </c>
      <c r="AJ6119">
        <v>71.811415896342695</v>
      </c>
      <c r="AK6119">
        <v>24.1121492991266</v>
      </c>
      <c r="AL6119">
        <v>82.553521425590006</v>
      </c>
      <c r="AM6119">
        <v>81.651479738061795</v>
      </c>
      <c r="AN6119">
        <v>0.99999998549668401</v>
      </c>
    </row>
    <row r="6120" spans="1:40" x14ac:dyDescent="0.25">
      <c r="A6120" t="str">
        <f>"20190303162033870"</f>
        <v>20190303162033870</v>
      </c>
      <c r="B6120" t="str">
        <f>"1551601233858399"</f>
        <v>1551601233858399</v>
      </c>
      <c r="C6120" t="s">
        <v>40</v>
      </c>
      <c r="D6120">
        <v>4.784618</v>
      </c>
      <c r="E6120">
        <v>0.56991610000000004</v>
      </c>
      <c r="F6120" t="s">
        <v>50</v>
      </c>
      <c r="G6120">
        <v>-202.22329999999999</v>
      </c>
      <c r="H6120" s="1">
        <v>-8.2155880000000003E-6</v>
      </c>
      <c r="I6120">
        <v>138.2559</v>
      </c>
      <c r="J6120">
        <v>-192.7971</v>
      </c>
      <c r="K6120">
        <v>1.119613</v>
      </c>
      <c r="L6120">
        <v>160.7988</v>
      </c>
      <c r="M6120">
        <v>-7.4203420000000006E-2</v>
      </c>
      <c r="N6120">
        <v>-8.9157950000000007E-3</v>
      </c>
      <c r="O6120">
        <v>-0.99720330000000001</v>
      </c>
      <c r="P6120">
        <v>-0.21823119999999999</v>
      </c>
      <c r="Q6120">
        <v>0.1218737</v>
      </c>
      <c r="R6120">
        <v>-0.96825740000000005</v>
      </c>
      <c r="S6120">
        <v>-1.1856230000000001</v>
      </c>
      <c r="T6120">
        <v>-0.14065429999999901</v>
      </c>
      <c r="U6120">
        <v>-2.8504179999999999</v>
      </c>
      <c r="V6120">
        <v>0.14619179999999901</v>
      </c>
      <c r="W6120">
        <v>0.13015979999999999</v>
      </c>
      <c r="X6120">
        <v>0.98065610000000003</v>
      </c>
      <c r="Y6120">
        <v>0.31413720000000001</v>
      </c>
      <c r="Z6120">
        <v>3.715599E-2</v>
      </c>
      <c r="AA6120">
        <v>0.9486502</v>
      </c>
      <c r="AB6120">
        <v>23</v>
      </c>
      <c r="AC6120">
        <v>-9.4261999999999908</v>
      </c>
      <c r="AD6120">
        <v>-1.1196212155880001</v>
      </c>
      <c r="AE6120">
        <v>-22.542899999999999</v>
      </c>
      <c r="AF6120">
        <v>7.7111937467060301</v>
      </c>
      <c r="AG6120">
        <v>-1.1196212155880001</v>
      </c>
      <c r="AH6120">
        <v>23.131663330627301</v>
      </c>
      <c r="AI6120">
        <v>92.629054514307995</v>
      </c>
      <c r="AJ6120">
        <v>71.563626023945503</v>
      </c>
      <c r="AK6120">
        <v>24.408808023070701</v>
      </c>
      <c r="AL6120">
        <v>82.521173367690693</v>
      </c>
      <c r="AM6120">
        <v>81.521045663629494</v>
      </c>
      <c r="AN6120">
        <v>1.0000000011952399</v>
      </c>
    </row>
    <row r="6121" spans="1:40" x14ac:dyDescent="0.25">
      <c r="A6121" t="str">
        <f>"20190303162033883"</f>
        <v>20190303162033883</v>
      </c>
      <c r="B6121" t="str">
        <f>"1551601233878895"</f>
        <v>1551601233878895</v>
      </c>
      <c r="C6121" t="s">
        <v>40</v>
      </c>
      <c r="D6121">
        <v>4.755433</v>
      </c>
      <c r="E6121">
        <v>0.56985330000000001</v>
      </c>
      <c r="F6121" t="s">
        <v>50</v>
      </c>
      <c r="G6121">
        <v>-202.47970000000001</v>
      </c>
      <c r="H6121" s="1">
        <v>-7.9615809999999998E-6</v>
      </c>
      <c r="I6121">
        <v>137.74350000000001</v>
      </c>
      <c r="J6121">
        <v>-192.80959999999999</v>
      </c>
      <c r="K6121">
        <v>1.119526</v>
      </c>
      <c r="L6121">
        <v>160.64940000000001</v>
      </c>
      <c r="M6121">
        <v>-7.5570429999999994E-2</v>
      </c>
      <c r="N6121">
        <v>-8.9208840000000005E-3</v>
      </c>
      <c r="O6121">
        <v>-0.9971006</v>
      </c>
      <c r="P6121">
        <v>-0.22181590000000001</v>
      </c>
      <c r="Q6121">
        <v>0.1224954</v>
      </c>
      <c r="R6121">
        <v>-0.967364</v>
      </c>
      <c r="S6121">
        <v>-1.1953739999999999</v>
      </c>
      <c r="T6121">
        <v>-0.1382235</v>
      </c>
      <c r="U6121">
        <v>-2.8463129999999999</v>
      </c>
      <c r="V6121">
        <v>0.14851879999999901</v>
      </c>
      <c r="W6121">
        <v>0.13074230000000001</v>
      </c>
      <c r="X6121">
        <v>0.98022880000000001</v>
      </c>
      <c r="Y6121">
        <v>0.31609769999999998</v>
      </c>
      <c r="Z6121">
        <v>3.6371309999999997E-2</v>
      </c>
      <c r="AA6121">
        <v>0.94802920000000002</v>
      </c>
      <c r="AB6121">
        <v>23</v>
      </c>
      <c r="AC6121">
        <v>-9.6701000000000192</v>
      </c>
      <c r="AD6121">
        <v>-1.119533961581</v>
      </c>
      <c r="AE6121">
        <v>-22.905899999999999</v>
      </c>
      <c r="AF6121">
        <v>7.8953607867378599</v>
      </c>
      <c r="AG6121">
        <v>-1.119533961581</v>
      </c>
      <c r="AH6121">
        <v>23.523504354360199</v>
      </c>
      <c r="AI6121">
        <v>92.5833528027254</v>
      </c>
      <c r="AJ6121">
        <v>71.446336890341399</v>
      </c>
      <c r="AK6121">
        <v>24.838384314473799</v>
      </c>
      <c r="AL6121">
        <v>82.487510471813195</v>
      </c>
      <c r="AM6121">
        <v>81.384392679374599</v>
      </c>
      <c r="AN6121">
        <v>0.99999994165608297</v>
      </c>
    </row>
    <row r="6122" spans="1:40" x14ac:dyDescent="0.25">
      <c r="A6122" t="str">
        <f>"20190303162033899"</f>
        <v>20190303162033899</v>
      </c>
      <c r="B6122" t="str">
        <f>"1551601233888655"</f>
        <v>1551601233888655</v>
      </c>
      <c r="C6122" t="s">
        <v>40</v>
      </c>
      <c r="D6122">
        <v>4.7614669999999997</v>
      </c>
      <c r="E6122">
        <v>0.56980719999999996</v>
      </c>
      <c r="F6122" t="s">
        <v>50</v>
      </c>
      <c r="G6122">
        <v>-202.85380000000001</v>
      </c>
      <c r="H6122" s="1">
        <v>-7.58814899999999E-6</v>
      </c>
      <c r="I6122">
        <v>136.98660000000001</v>
      </c>
      <c r="J6122">
        <v>-192.82300000000001</v>
      </c>
      <c r="K6122">
        <v>1.1194280000000001</v>
      </c>
      <c r="L6122">
        <v>160.4939</v>
      </c>
      <c r="M6122">
        <v>-7.7122309999999999E-2</v>
      </c>
      <c r="N6122">
        <v>-8.9274709999999993E-3</v>
      </c>
      <c r="O6122">
        <v>-0.99698180000000003</v>
      </c>
      <c r="P6122">
        <v>-0.2276861</v>
      </c>
      <c r="Q6122">
        <v>0.1231767</v>
      </c>
      <c r="R6122">
        <v>-0.9659124</v>
      </c>
      <c r="S6122">
        <v>-1.206207</v>
      </c>
      <c r="T6122">
        <v>-0.13444410000000001</v>
      </c>
      <c r="U6122">
        <v>-2.8416600000000001</v>
      </c>
      <c r="V6122">
        <v>0.15299179999999901</v>
      </c>
      <c r="W6122">
        <v>0.13136909999999999</v>
      </c>
      <c r="X6122">
        <v>0.97945680000000002</v>
      </c>
      <c r="Y6122">
        <v>0.31825940000000003</v>
      </c>
      <c r="Z6122">
        <v>3.5147089999999999E-2</v>
      </c>
      <c r="AA6122">
        <v>0.94735190000000002</v>
      </c>
      <c r="AB6122">
        <v>23</v>
      </c>
      <c r="AC6122">
        <v>-10.030799999999999</v>
      </c>
      <c r="AD6122">
        <v>-1.1194355881489999</v>
      </c>
      <c r="AE6122">
        <v>-23.507299999999901</v>
      </c>
      <c r="AF6122">
        <v>8.1722351526783203</v>
      </c>
      <c r="AG6122">
        <v>-1.1194355881489999</v>
      </c>
      <c r="AH6122">
        <v>24.164552472873901</v>
      </c>
      <c r="AI6122">
        <v>92.512748977061094</v>
      </c>
      <c r="AJ6122">
        <v>71.314923756772401</v>
      </c>
      <c r="AK6122">
        <v>25.533588851568901</v>
      </c>
      <c r="AL6122">
        <v>82.451285300008607</v>
      </c>
      <c r="AM6122">
        <v>81.122100391081801</v>
      </c>
      <c r="AN6122">
        <v>0.99999997718414402</v>
      </c>
    </row>
    <row r="6123" spans="1:40" x14ac:dyDescent="0.25">
      <c r="A6123" t="str">
        <f>"20190303162033912"</f>
        <v>20190303162033912</v>
      </c>
      <c r="B6123" t="str">
        <f>"1551601233898416"</f>
        <v>1551601233898416</v>
      </c>
      <c r="C6123" t="s">
        <v>40</v>
      </c>
      <c r="D6123">
        <v>4.770696</v>
      </c>
      <c r="E6123">
        <v>0.56976959999999999</v>
      </c>
      <c r="F6123" t="s">
        <v>50</v>
      </c>
      <c r="G6123">
        <v>-203.24510000000001</v>
      </c>
      <c r="H6123" s="1">
        <v>-7.2456179999999998E-6</v>
      </c>
      <c r="I6123">
        <v>136.35120000000001</v>
      </c>
      <c r="J6123">
        <v>-192.83529999999999</v>
      </c>
      <c r="K6123">
        <v>1.119326</v>
      </c>
      <c r="L6123">
        <v>160.3552</v>
      </c>
      <c r="M6123">
        <v>-7.8588959999999999E-2</v>
      </c>
      <c r="N6123">
        <v>-8.9341430000000003E-3</v>
      </c>
      <c r="O6123">
        <v>-0.99686699999999995</v>
      </c>
      <c r="P6123">
        <v>-0.23106370000000001</v>
      </c>
      <c r="Q6123">
        <v>0.12334729999999999</v>
      </c>
      <c r="R6123">
        <v>-0.96508839999999996</v>
      </c>
      <c r="S6123">
        <v>-1.223495</v>
      </c>
      <c r="T6123">
        <v>-0.13141539999999999</v>
      </c>
      <c r="U6123">
        <v>-2.8342130000000001</v>
      </c>
      <c r="V6123">
        <v>0.15501419999999999</v>
      </c>
      <c r="W6123">
        <v>0.13149720000000001</v>
      </c>
      <c r="X6123">
        <v>0.97912160000000004</v>
      </c>
      <c r="Y6123">
        <v>0.32265169999999999</v>
      </c>
      <c r="Z6123">
        <v>3.4171069999999998E-2</v>
      </c>
      <c r="AA6123">
        <v>0.94590070000000004</v>
      </c>
      <c r="AB6123">
        <v>23</v>
      </c>
      <c r="AC6123">
        <v>-10.409800000000001</v>
      </c>
      <c r="AD6123">
        <v>-1.1193332456180001</v>
      </c>
      <c r="AE6123">
        <v>-24.003999999999898</v>
      </c>
      <c r="AF6123">
        <v>8.4755637987722103</v>
      </c>
      <c r="AG6123">
        <v>-1.1193332456180001</v>
      </c>
      <c r="AH6123">
        <v>24.702668259594098</v>
      </c>
      <c r="AI6123">
        <v>92.454177584713804</v>
      </c>
      <c r="AJ6123">
        <v>71.062742934422602</v>
      </c>
      <c r="AK6123">
        <v>26.140197163857799</v>
      </c>
      <c r="AL6123">
        <v>82.443881744941606</v>
      </c>
      <c r="AM6123">
        <v>81.003620777256202</v>
      </c>
      <c r="AN6123">
        <v>1.0000000116980099</v>
      </c>
    </row>
    <row r="6124" spans="1:40" x14ac:dyDescent="0.25">
      <c r="A6124" t="str">
        <f>"20190303162033925"</f>
        <v>20190303162033925</v>
      </c>
      <c r="B6124" t="str">
        <f>"1551601233918911"</f>
        <v>1551601233918911</v>
      </c>
      <c r="C6124" t="s">
        <v>40</v>
      </c>
      <c r="D6124">
        <v>4.7735379999999896</v>
      </c>
      <c r="E6124">
        <v>0.56964780000000004</v>
      </c>
      <c r="F6124" t="s">
        <v>50</v>
      </c>
      <c r="G6124">
        <v>-203.4485</v>
      </c>
      <c r="H6124" s="1">
        <v>-7.0535789999999997E-6</v>
      </c>
      <c r="I6124">
        <v>135.9999</v>
      </c>
      <c r="J6124">
        <v>-192.84790000000001</v>
      </c>
      <c r="K6124">
        <v>1.119219</v>
      </c>
      <c r="L6124">
        <v>160.21420000000001</v>
      </c>
      <c r="M6124">
        <v>-8.015195E-2</v>
      </c>
      <c r="N6124">
        <v>-8.9415139999999994E-3</v>
      </c>
      <c r="O6124">
        <v>-0.99674269999999998</v>
      </c>
      <c r="P6124">
        <v>-0.2343953</v>
      </c>
      <c r="Q6124">
        <v>0.12315189999999999</v>
      </c>
      <c r="R6124">
        <v>-0.96430939999999998</v>
      </c>
      <c r="S6124">
        <v>-1.2331700000000001</v>
      </c>
      <c r="T6124">
        <v>-0.1300577</v>
      </c>
      <c r="U6124">
        <v>-2.829895</v>
      </c>
      <c r="V6124">
        <v>0.156894799999999</v>
      </c>
      <c r="W6124">
        <v>0.1312575</v>
      </c>
      <c r="X6124">
        <v>0.97885420000000001</v>
      </c>
      <c r="Y6124">
        <v>0.32441920000000002</v>
      </c>
      <c r="Z6124">
        <v>3.3735260000000003E-2</v>
      </c>
      <c r="AA6124">
        <v>0.94531169999999998</v>
      </c>
      <c r="AB6124">
        <v>24</v>
      </c>
      <c r="AC6124">
        <v>-10.600599999999901</v>
      </c>
      <c r="AD6124">
        <v>-1.119226053579</v>
      </c>
      <c r="AE6124">
        <v>-24.214300000000001</v>
      </c>
      <c r="AF6124">
        <v>8.6101542085545706</v>
      </c>
      <c r="AG6124">
        <v>-1.119226053579</v>
      </c>
      <c r="AH6124">
        <v>24.9413647755045</v>
      </c>
      <c r="AI6124">
        <v>92.428908523870206</v>
      </c>
      <c r="AJ6124">
        <v>70.954515010300995</v>
      </c>
      <c r="AK6124">
        <v>26.4094509469409</v>
      </c>
      <c r="AL6124">
        <v>82.457735740298403</v>
      </c>
      <c r="AM6124">
        <v>80.893850333317403</v>
      </c>
      <c r="AN6124">
        <v>1.0000000272154601</v>
      </c>
    </row>
    <row r="6125" spans="1:40" x14ac:dyDescent="0.25">
      <c r="A6125" t="str">
        <f>"20190303162033937"</f>
        <v>20190303162033937</v>
      </c>
      <c r="B6125" t="str">
        <f>"1551601233928671"</f>
        <v>1551601233928671</v>
      </c>
      <c r="C6125" t="s">
        <v>40</v>
      </c>
      <c r="D6125">
        <v>4.8258130000000001</v>
      </c>
      <c r="E6125">
        <v>0.56962080000000004</v>
      </c>
      <c r="F6125" t="s">
        <v>50</v>
      </c>
      <c r="G6125">
        <v>-203.56700000000001</v>
      </c>
      <c r="H6125" s="1">
        <v>-6.9476419999999899E-6</v>
      </c>
      <c r="I6125">
        <v>135.8175</v>
      </c>
      <c r="J6125">
        <v>-192.86009999999999</v>
      </c>
      <c r="K6125">
        <v>1.119111</v>
      </c>
      <c r="L6125">
        <v>160.08340000000001</v>
      </c>
      <c r="M6125">
        <v>-8.1734009999999996E-2</v>
      </c>
      <c r="N6125">
        <v>-8.9495110000000003E-3</v>
      </c>
      <c r="O6125">
        <v>-0.99661409999999995</v>
      </c>
      <c r="P6125">
        <v>-0.23788319999999999</v>
      </c>
      <c r="Q6125">
        <v>0.1235733</v>
      </c>
      <c r="R6125">
        <v>-0.96340119999999896</v>
      </c>
      <c r="S6125">
        <v>-1.2415620000000001</v>
      </c>
      <c r="T6125">
        <v>-0.12963720000000001</v>
      </c>
      <c r="U6125">
        <v>-2.825806</v>
      </c>
      <c r="V6125">
        <v>0.15892609999999999</v>
      </c>
      <c r="W6125">
        <v>0.1316329</v>
      </c>
      <c r="X6125">
        <v>0.97847600000000001</v>
      </c>
      <c r="Y6125">
        <v>0.3257757</v>
      </c>
      <c r="Z6125">
        <v>3.3607640000000001E-2</v>
      </c>
      <c r="AA6125">
        <v>0.94484959999999996</v>
      </c>
      <c r="AB6125">
        <v>24</v>
      </c>
      <c r="AC6125">
        <v>-10.706899999999999</v>
      </c>
      <c r="AD6125">
        <v>-1.1191179476419999</v>
      </c>
      <c r="AE6125">
        <v>-24.265899999999998</v>
      </c>
      <c r="AF6125">
        <v>8.6722056644659808</v>
      </c>
      <c r="AG6125">
        <v>-1.1191179476419999</v>
      </c>
      <c r="AH6125">
        <v>25.0153209611378</v>
      </c>
      <c r="AI6125">
        <v>92.420411809376205</v>
      </c>
      <c r="AJ6125">
        <v>70.879808029246504</v>
      </c>
      <c r="AK6125">
        <v>26.499544502807399</v>
      </c>
      <c r="AL6125">
        <v>82.436038473110003</v>
      </c>
      <c r="AM6125">
        <v>80.774463847572093</v>
      </c>
      <c r="AN6125">
        <v>1.0000000040998001</v>
      </c>
    </row>
    <row r="6126" spans="1:40" x14ac:dyDescent="0.25">
      <c r="A6126" t="str">
        <f>"20190303162033950"</f>
        <v>20190303162033950</v>
      </c>
      <c r="B6126" t="str">
        <f>"1551601233938431"</f>
        <v>1551601233938431</v>
      </c>
      <c r="C6126" t="s">
        <v>40</v>
      </c>
      <c r="D6126">
        <v>4.7955500000000004</v>
      </c>
      <c r="E6126">
        <v>0.56962080000000004</v>
      </c>
      <c r="F6126" t="s">
        <v>50</v>
      </c>
      <c r="G6126">
        <v>-203.87700000000001</v>
      </c>
      <c r="H6126" s="1">
        <v>-6.6422550000000002E-6</v>
      </c>
      <c r="I6126">
        <v>135.25210000000001</v>
      </c>
      <c r="J6126">
        <v>-192.87260000000001</v>
      </c>
      <c r="K6126">
        <v>1.1190009999999999</v>
      </c>
      <c r="L6126">
        <v>159.95150000000001</v>
      </c>
      <c r="M6126">
        <v>-8.3383540000000006E-2</v>
      </c>
      <c r="N6126">
        <v>-8.9576020000000003E-3</v>
      </c>
      <c r="O6126">
        <v>-0.99647719999999995</v>
      </c>
      <c r="P6126">
        <v>-0.24101069999999999</v>
      </c>
      <c r="Q6126">
        <v>0.12389600000000001</v>
      </c>
      <c r="R6126">
        <v>-0.96258200000000005</v>
      </c>
      <c r="S6126">
        <v>-1.2516780000000001</v>
      </c>
      <c r="T6126">
        <v>-0.12714780000000001</v>
      </c>
      <c r="U6126">
        <v>-2.8211979999999999</v>
      </c>
      <c r="V6126">
        <v>0.1605259</v>
      </c>
      <c r="W6126">
        <v>0.13191129999999901</v>
      </c>
      <c r="X6126">
        <v>0.97817730000000003</v>
      </c>
      <c r="Y6126">
        <v>0.32762469999999999</v>
      </c>
      <c r="Z6126">
        <v>3.2801999999999998E-2</v>
      </c>
      <c r="AA6126">
        <v>0.94423840000000003</v>
      </c>
      <c r="AB6126">
        <v>24</v>
      </c>
      <c r="AC6126">
        <v>-11.0044</v>
      </c>
      <c r="AD6126">
        <v>-1.1190076422549999</v>
      </c>
      <c r="AE6126">
        <v>-24.699400000000001</v>
      </c>
      <c r="AF6126">
        <v>8.8912411092366206</v>
      </c>
      <c r="AG6126">
        <v>-1.1190076422549999</v>
      </c>
      <c r="AH6126">
        <v>25.487351251620101</v>
      </c>
      <c r="AI6126">
        <v>92.373803999737007</v>
      </c>
      <c r="AJ6126">
        <v>70.768717115996793</v>
      </c>
      <c r="AK6126">
        <v>27.016872883245799</v>
      </c>
      <c r="AL6126">
        <v>82.419946926055005</v>
      </c>
      <c r="AM6126">
        <v>80.680422113289396</v>
      </c>
      <c r="AN6126">
        <v>0.99999999293689501</v>
      </c>
    </row>
    <row r="6127" spans="1:40" x14ac:dyDescent="0.25">
      <c r="A6127" t="str">
        <f>"20190303162033966"</f>
        <v>20190303162033966</v>
      </c>
      <c r="B6127" t="str">
        <f>"1551601233958929"</f>
        <v>1551601233958929</v>
      </c>
      <c r="C6127" t="s">
        <v>40</v>
      </c>
      <c r="D6127">
        <v>5.0124360000000001</v>
      </c>
      <c r="E6127">
        <v>0.58380600000000005</v>
      </c>
      <c r="F6127" t="s">
        <v>50</v>
      </c>
      <c r="G6127">
        <v>-204.07650000000001</v>
      </c>
      <c r="H6127" s="1">
        <v>-6.4572849999999998E-6</v>
      </c>
      <c r="I6127">
        <v>134.92429999999999</v>
      </c>
      <c r="J6127">
        <v>-192.88929999999999</v>
      </c>
      <c r="K6127">
        <v>1.1188579999999999</v>
      </c>
      <c r="L6127">
        <v>159.77979999999999</v>
      </c>
      <c r="M6127">
        <v>-8.5648920000000003E-2</v>
      </c>
      <c r="N6127">
        <v>-8.9684229999999997E-3</v>
      </c>
      <c r="O6127">
        <v>-0.99628519999999998</v>
      </c>
      <c r="P6127">
        <v>-0.24632490000000001</v>
      </c>
      <c r="Q6127">
        <v>0.1232861</v>
      </c>
      <c r="R6127">
        <v>-0.96131429999999995</v>
      </c>
      <c r="S6127">
        <v>-1.2611239999999999</v>
      </c>
      <c r="T6127">
        <v>-0.12595619999999999</v>
      </c>
      <c r="U6127">
        <v>-2.817078</v>
      </c>
      <c r="V6127">
        <v>0.16374459999999999</v>
      </c>
      <c r="W6127">
        <v>0.131236299999999</v>
      </c>
      <c r="X6127">
        <v>0.97773449999999995</v>
      </c>
      <c r="Y6127">
        <v>0.32863439999999999</v>
      </c>
      <c r="Z6127">
        <v>3.2416189999999998E-2</v>
      </c>
      <c r="AA6127">
        <v>0.94390079999999998</v>
      </c>
      <c r="AB6127">
        <v>24</v>
      </c>
      <c r="AC6127">
        <v>-11.187200000000001</v>
      </c>
      <c r="AD6127">
        <v>-1.1188644572849999</v>
      </c>
      <c r="AE6127">
        <v>-24.855499999999999</v>
      </c>
      <c r="AF6127">
        <v>9.0019878299678808</v>
      </c>
      <c r="AG6127">
        <v>-1.1188644572849999</v>
      </c>
      <c r="AH6127">
        <v>25.679099239355899</v>
      </c>
      <c r="AI6127">
        <v>92.354545610949998</v>
      </c>
      <c r="AJ6127">
        <v>70.681528085131404</v>
      </c>
      <c r="AK6127">
        <v>27.2342391175034</v>
      </c>
      <c r="AL6127">
        <v>82.458960852436803</v>
      </c>
      <c r="AM6127">
        <v>80.492706020730196</v>
      </c>
      <c r="AN6127">
        <v>1.0000000064785499</v>
      </c>
    </row>
    <row r="6128" spans="1:40" x14ac:dyDescent="0.25">
      <c r="A6128" t="str">
        <f>"20190303162033980"</f>
        <v>20190303162033980</v>
      </c>
      <c r="B6128" t="str">
        <f>"1551601233968687"</f>
        <v>1551601233968687</v>
      </c>
      <c r="C6128" t="s">
        <v>40</v>
      </c>
      <c r="D6128">
        <v>4.9821099999999996</v>
      </c>
      <c r="E6128">
        <v>0.58202399999999999</v>
      </c>
      <c r="F6128" t="s">
        <v>50</v>
      </c>
      <c r="G6128">
        <v>-202.31299999999999</v>
      </c>
      <c r="H6128" s="1">
        <v>-8.9236629999999994E-6</v>
      </c>
      <c r="I6128">
        <v>140.84299999999999</v>
      </c>
      <c r="J6128">
        <v>-192.9041</v>
      </c>
      <c r="K6128">
        <v>1.1187320000000001</v>
      </c>
      <c r="L6128">
        <v>159.63380000000001</v>
      </c>
      <c r="M6128">
        <v>-8.7720859999999998E-2</v>
      </c>
      <c r="N6128">
        <v>-8.9780740000000008E-3</v>
      </c>
      <c r="O6128">
        <v>-0.99610469999999895</v>
      </c>
      <c r="P6128">
        <v>-0.2498109</v>
      </c>
      <c r="Q6128">
        <v>0.1222184</v>
      </c>
      <c r="R6128">
        <v>-0.96055089999999999</v>
      </c>
      <c r="S6128">
        <v>-1.386673</v>
      </c>
      <c r="T6128">
        <v>-0.16463900000000001</v>
      </c>
      <c r="U6128">
        <v>-2.7865139999999999</v>
      </c>
      <c r="V6128">
        <v>0.1652807</v>
      </c>
      <c r="W6128">
        <v>0.1301206</v>
      </c>
      <c r="X6128">
        <v>0.97762510000000002</v>
      </c>
      <c r="Y6128">
        <v>0.3647263</v>
      </c>
      <c r="Z6128">
        <v>4.4711029999999999E-2</v>
      </c>
      <c r="AA6128">
        <v>0.93004070000000005</v>
      </c>
      <c r="AB6128">
        <v>24</v>
      </c>
      <c r="AC6128">
        <v>-9.4088999999999796</v>
      </c>
      <c r="AD6128">
        <v>-1.1187409236629999</v>
      </c>
      <c r="AE6128">
        <v>-18.790800000000001</v>
      </c>
      <c r="AF6128">
        <v>7.7023861827965296</v>
      </c>
      <c r="AG6128">
        <v>-1.1187409236629999</v>
      </c>
      <c r="AH6128">
        <v>19.488515836946799</v>
      </c>
      <c r="AI6128">
        <v>93.055934241315001</v>
      </c>
      <c r="AJ6128">
        <v>68.434733935154298</v>
      </c>
      <c r="AK6128">
        <v>20.985246810322302</v>
      </c>
      <c r="AL6128">
        <v>82.523438303944403</v>
      </c>
      <c r="AM6128">
        <v>80.404114294361904</v>
      </c>
      <c r="AN6128">
        <v>0.99999995824342902</v>
      </c>
    </row>
    <row r="6129" spans="1:40" x14ac:dyDescent="0.25">
      <c r="A6129" t="str">
        <f>"20190303162033999"</f>
        <v>20190303162033999</v>
      </c>
      <c r="B6129" t="str">
        <f>"1551601233988207"</f>
        <v>1551601233988207</v>
      </c>
      <c r="C6129" t="s">
        <v>40</v>
      </c>
      <c r="D6129">
        <v>4.9431539999999998</v>
      </c>
      <c r="E6129">
        <v>0.58174720000000002</v>
      </c>
      <c r="F6129" t="s">
        <v>50</v>
      </c>
      <c r="G6129">
        <v>-196.47790000000001</v>
      </c>
      <c r="H6129" s="1">
        <v>-1.283999E-5</v>
      </c>
      <c r="I6129">
        <v>152.3477</v>
      </c>
      <c r="J6129">
        <v>-192.9254</v>
      </c>
      <c r="K6129">
        <v>1.118554</v>
      </c>
      <c r="L6129">
        <v>159.42920000000001</v>
      </c>
      <c r="M6129">
        <v>-9.0785939999999996E-2</v>
      </c>
      <c r="N6129">
        <v>-8.9919289999999992E-3</v>
      </c>
      <c r="O6129">
        <v>-0.99582990000000005</v>
      </c>
      <c r="P6129">
        <v>-0.25663419999999998</v>
      </c>
      <c r="Q6129">
        <v>0.11943579999999999</v>
      </c>
      <c r="R6129">
        <v>-0.95910079999999998</v>
      </c>
      <c r="S6129">
        <v>-1.382568</v>
      </c>
      <c r="T6129">
        <v>-0.43279469999999998</v>
      </c>
      <c r="U6129">
        <v>-2.818695</v>
      </c>
      <c r="V6129">
        <v>0.16923070000000001</v>
      </c>
      <c r="W6129">
        <v>0.1272607</v>
      </c>
      <c r="X6129">
        <v>0.97732580000000002</v>
      </c>
      <c r="Y6129">
        <v>0.35312369999999998</v>
      </c>
      <c r="Z6129">
        <v>0.12955169999999999</v>
      </c>
      <c r="AA6129">
        <v>0.92656360000000004</v>
      </c>
      <c r="AB6129">
        <v>24</v>
      </c>
      <c r="AC6129">
        <v>-3.5525000000000002</v>
      </c>
      <c r="AD6129">
        <v>-1.11856683999</v>
      </c>
      <c r="AE6129">
        <v>-7.0815000000000001</v>
      </c>
      <c r="AF6129">
        <v>2.83832384679816</v>
      </c>
      <c r="AG6129">
        <v>-1.11856683999</v>
      </c>
      <c r="AH6129">
        <v>7.2306510637353298</v>
      </c>
      <c r="AI6129">
        <v>98.194311056713701</v>
      </c>
      <c r="AJ6129">
        <v>68.567978831815594</v>
      </c>
      <c r="AK6129">
        <v>7.8479034678266304</v>
      </c>
      <c r="AL6129">
        <v>82.688672963529399</v>
      </c>
      <c r="AM6129">
        <v>80.176250686570697</v>
      </c>
      <c r="AN6129">
        <v>1.00000001746631</v>
      </c>
    </row>
    <row r="6130" spans="1:40" x14ac:dyDescent="0.25">
      <c r="A6130" t="str">
        <f>"20190303162034011"</f>
        <v>20190303162034011</v>
      </c>
      <c r="B6130" t="str">
        <f>"1551601233998943"</f>
        <v>1551601233998943</v>
      </c>
      <c r="C6130" t="s">
        <v>40</v>
      </c>
      <c r="D6130">
        <v>4.9809679999999998</v>
      </c>
      <c r="E6130">
        <v>0.58173940000000002</v>
      </c>
      <c r="F6130" t="s">
        <v>50</v>
      </c>
      <c r="G6130">
        <v>-196.50909999999999</v>
      </c>
      <c r="H6130" s="1">
        <v>-1.2815639999999999E-5</v>
      </c>
      <c r="I6130">
        <v>152.24</v>
      </c>
      <c r="J6130">
        <v>-192.93960000000001</v>
      </c>
      <c r="K6130">
        <v>1.1184419999999999</v>
      </c>
      <c r="L6130">
        <v>159.29750000000001</v>
      </c>
      <c r="M6130">
        <v>-9.2872010000000005E-2</v>
      </c>
      <c r="N6130">
        <v>-9.0013569999999998E-3</v>
      </c>
      <c r="O6130">
        <v>-0.99563740000000001</v>
      </c>
      <c r="P6130">
        <v>-0.2604667</v>
      </c>
      <c r="Q6130">
        <v>0.11827169999999999</v>
      </c>
      <c r="R6130">
        <v>-0.95821149999999999</v>
      </c>
      <c r="S6130">
        <v>-1.399643</v>
      </c>
      <c r="T6130">
        <v>-0.43686950000000002</v>
      </c>
      <c r="U6130">
        <v>-2.8078310000000002</v>
      </c>
      <c r="V6130">
        <v>0.1711047</v>
      </c>
      <c r="W6130">
        <v>0.1260493</v>
      </c>
      <c r="X6130">
        <v>0.97715649999999998</v>
      </c>
      <c r="Y6130">
        <v>0.357016</v>
      </c>
      <c r="Z6130">
        <v>0.1309777</v>
      </c>
      <c r="AA6130">
        <v>0.92486999999999997</v>
      </c>
      <c r="AB6130">
        <v>24</v>
      </c>
      <c r="AC6130">
        <v>-3.5694999999999699</v>
      </c>
      <c r="AD6130">
        <v>-1.11845481564</v>
      </c>
      <c r="AE6130">
        <v>-7.0575000000000001</v>
      </c>
      <c r="AF6130">
        <v>2.8417678089046099</v>
      </c>
      <c r="AG6130">
        <v>-1.11845481564</v>
      </c>
      <c r="AH6130">
        <v>7.2142366724090401</v>
      </c>
      <c r="AI6130">
        <v>98.208110259992296</v>
      </c>
      <c r="AJ6130">
        <v>68.499969679654001</v>
      </c>
      <c r="AK6130">
        <v>7.8340153318643901</v>
      </c>
      <c r="AL6130">
        <v>82.758644694664596</v>
      </c>
      <c r="AM6130">
        <v>80.067933745205593</v>
      </c>
      <c r="AN6130">
        <v>1.0000000349424101</v>
      </c>
    </row>
    <row r="6131" spans="1:40" x14ac:dyDescent="0.25">
      <c r="A6131" t="str">
        <f>"20190303162034026"</f>
        <v>20190303162034026</v>
      </c>
      <c r="B6131" t="str">
        <f>"1551601234018463"</f>
        <v>1551601234018463</v>
      </c>
      <c r="C6131" t="s">
        <v>40</v>
      </c>
      <c r="D6131">
        <v>4.9420789999999997</v>
      </c>
      <c r="E6131">
        <v>0.58238769999999995</v>
      </c>
      <c r="F6131" t="s">
        <v>50</v>
      </c>
      <c r="G6131">
        <v>-196.5412</v>
      </c>
      <c r="H6131" s="1">
        <v>-1.279412E-5</v>
      </c>
      <c r="I6131">
        <v>152.1431</v>
      </c>
      <c r="J6131">
        <v>-192.95519999999999</v>
      </c>
      <c r="K6131">
        <v>1.11832</v>
      </c>
      <c r="L6131">
        <v>159.1549</v>
      </c>
      <c r="M6131">
        <v>-9.5205570000000003E-2</v>
      </c>
      <c r="N6131">
        <v>-9.0117740000000002E-3</v>
      </c>
      <c r="O6131">
        <v>-0.995417</v>
      </c>
      <c r="P6131">
        <v>-0.26498080000000002</v>
      </c>
      <c r="Q6131">
        <v>0.11705790000000001</v>
      </c>
      <c r="R6131">
        <v>-0.95712229999999998</v>
      </c>
      <c r="S6131">
        <v>-1.410309</v>
      </c>
      <c r="T6131">
        <v>-0.43795679999999998</v>
      </c>
      <c r="U6131">
        <v>-2.801498</v>
      </c>
      <c r="V6131">
        <v>0.1734359</v>
      </c>
      <c r="W6131">
        <v>0.124782</v>
      </c>
      <c r="X6131">
        <v>0.97690809999999995</v>
      </c>
      <c r="Y6131">
        <v>0.35845090000000002</v>
      </c>
      <c r="Z6131">
        <v>0.1313947</v>
      </c>
      <c r="AA6131">
        <v>0.92425559999999995</v>
      </c>
      <c r="AB6131">
        <v>24</v>
      </c>
      <c r="AC6131">
        <v>-3.5860000000000101</v>
      </c>
      <c r="AD6131">
        <v>-1.1183327941200001</v>
      </c>
      <c r="AE6131">
        <v>-7.0117999999999903</v>
      </c>
      <c r="AF6131">
        <v>2.84475855373997</v>
      </c>
      <c r="AG6131">
        <v>-1.1183327941200001</v>
      </c>
      <c r="AH6131">
        <v>7.1766579322248401</v>
      </c>
      <c r="AI6131">
        <v>98.242720347526799</v>
      </c>
      <c r="AJ6131">
        <v>68.377099094163299</v>
      </c>
      <c r="AK6131">
        <v>7.8004960447170699</v>
      </c>
      <c r="AL6131">
        <v>82.831833246026406</v>
      </c>
      <c r="AM6131">
        <v>79.932856965298896</v>
      </c>
      <c r="AN6131">
        <v>0.99999999738920997</v>
      </c>
    </row>
    <row r="6132" spans="1:40" x14ac:dyDescent="0.25">
      <c r="A6132" t="str">
        <f>"20190303162034040"</f>
        <v>20190303162034040</v>
      </c>
      <c r="B6132" t="str">
        <f>"1551601234028223"</f>
        <v>1551601234028223</v>
      </c>
      <c r="C6132" t="s">
        <v>40</v>
      </c>
      <c r="D6132">
        <v>4.9467019999999904</v>
      </c>
      <c r="E6132">
        <v>0.58259249999999996</v>
      </c>
      <c r="F6132" t="s">
        <v>50</v>
      </c>
      <c r="G6132">
        <v>-196.64230000000001</v>
      </c>
      <c r="H6132" s="1">
        <v>-1.2752169999999999E-5</v>
      </c>
      <c r="I6132">
        <v>151.94069999999999</v>
      </c>
      <c r="J6132">
        <v>-192.97499999999999</v>
      </c>
      <c r="K6132">
        <v>1.1181700000000001</v>
      </c>
      <c r="L6132">
        <v>158.982</v>
      </c>
      <c r="M6132">
        <v>-9.8223500000000005E-2</v>
      </c>
      <c r="N6132">
        <v>-9.0258890000000005E-3</v>
      </c>
      <c r="O6132">
        <v>-0.99512339999999999</v>
      </c>
      <c r="P6132">
        <v>-0.27037830000000002</v>
      </c>
      <c r="Q6132">
        <v>0.1158448</v>
      </c>
      <c r="R6132">
        <v>-0.95575920000000003</v>
      </c>
      <c r="S6132">
        <v>-1.4270780000000001</v>
      </c>
      <c r="T6132">
        <v>-0.43284919999999999</v>
      </c>
      <c r="U6132">
        <v>-2.792252</v>
      </c>
      <c r="V6132">
        <v>0.17600959999999999</v>
      </c>
      <c r="W6132">
        <v>0.1235035</v>
      </c>
      <c r="X6132">
        <v>0.97661019999999998</v>
      </c>
      <c r="Y6132">
        <v>0.36135509999999998</v>
      </c>
      <c r="Z6132">
        <v>0.12987190000000001</v>
      </c>
      <c r="AA6132">
        <v>0.92333949999999998</v>
      </c>
      <c r="AB6132">
        <v>24</v>
      </c>
      <c r="AC6132">
        <v>-3.6673000000000102</v>
      </c>
      <c r="AD6132">
        <v>-1.1181827521700001</v>
      </c>
      <c r="AE6132">
        <v>-7.0412999999999997</v>
      </c>
      <c r="AF6132">
        <v>2.9003794974498902</v>
      </c>
      <c r="AG6132">
        <v>-1.1181827521700001</v>
      </c>
      <c r="AH6132">
        <v>7.2241690226981898</v>
      </c>
      <c r="AI6132">
        <v>98.174020403614506</v>
      </c>
      <c r="AJ6132">
        <v>68.125388918269195</v>
      </c>
      <c r="AK6132">
        <v>7.86455033457033</v>
      </c>
      <c r="AL6132">
        <v>82.905656913805203</v>
      </c>
      <c r="AM6132">
        <v>79.783538278374706</v>
      </c>
      <c r="AN6132">
        <v>0.99999998827422398</v>
      </c>
    </row>
    <row r="6133" spans="1:40" x14ac:dyDescent="0.25">
      <c r="A6133" t="str">
        <f>"20190303162034057"</f>
        <v>20190303162034057</v>
      </c>
      <c r="B6133" t="str">
        <f>"1551601234048719"</f>
        <v>1551601234048719</v>
      </c>
      <c r="C6133" t="s">
        <v>40</v>
      </c>
      <c r="D6133">
        <v>4.8116500000000002</v>
      </c>
      <c r="E6133">
        <v>0.58489729999999995</v>
      </c>
      <c r="F6133" t="s">
        <v>50</v>
      </c>
      <c r="G6133">
        <v>-196.70009999999999</v>
      </c>
      <c r="H6133" s="1">
        <v>-1.272125E-5</v>
      </c>
      <c r="I6133">
        <v>151.79750000000001</v>
      </c>
      <c r="J6133">
        <v>-192.99459999999999</v>
      </c>
      <c r="K6133">
        <v>1.1180289999999999</v>
      </c>
      <c r="L6133">
        <v>158.8167</v>
      </c>
      <c r="M6133">
        <v>-0.1012296</v>
      </c>
      <c r="N6133">
        <v>-9.0397640000000005E-3</v>
      </c>
      <c r="O6133">
        <v>-0.99482210000000004</v>
      </c>
      <c r="P6133">
        <v>-0.27913189999999999</v>
      </c>
      <c r="Q6133">
        <v>0.1146445</v>
      </c>
      <c r="R6133">
        <v>-0.95338460000000003</v>
      </c>
      <c r="S6133">
        <v>-1.4430240000000001</v>
      </c>
      <c r="T6133">
        <v>-0.43316080000000001</v>
      </c>
      <c r="U6133">
        <v>-2.7831419999999998</v>
      </c>
      <c r="V6133">
        <v>0.18203459999999999</v>
      </c>
      <c r="W6133">
        <v>0.1222111</v>
      </c>
      <c r="X6133">
        <v>0.97566790000000003</v>
      </c>
      <c r="Y6133">
        <v>0.3639309</v>
      </c>
      <c r="Z6133">
        <v>0.1300569</v>
      </c>
      <c r="AA6133">
        <v>0.92230120000000004</v>
      </c>
      <c r="AB6133">
        <v>24</v>
      </c>
      <c r="AC6133">
        <v>-3.7054999999999998</v>
      </c>
      <c r="AD6133">
        <v>-1.11804172125</v>
      </c>
      <c r="AE6133">
        <v>-7.0191999999999801</v>
      </c>
      <c r="AF6133">
        <v>2.9179863893206699</v>
      </c>
      <c r="AG6133">
        <v>-1.11804172125</v>
      </c>
      <c r="AH6133">
        <v>7.2151026256288802</v>
      </c>
      <c r="AI6133">
        <v>98.174897847897398</v>
      </c>
      <c r="AJ6133">
        <v>67.980234590093403</v>
      </c>
      <c r="AK6133">
        <v>7.8627201245544303</v>
      </c>
      <c r="AL6133">
        <v>82.980271319350194</v>
      </c>
      <c r="AM6133">
        <v>79.431588164685607</v>
      </c>
      <c r="AN6133">
        <v>0.99999999982539001</v>
      </c>
    </row>
    <row r="6134" spans="1:40" x14ac:dyDescent="0.25">
      <c r="A6134" t="str">
        <f>"20190303162034078"</f>
        <v>20190303162034078</v>
      </c>
      <c r="B6134" t="str">
        <f>"1551601234068239"</f>
        <v>1551601234068239</v>
      </c>
      <c r="C6134" t="s">
        <v>40</v>
      </c>
      <c r="D6134">
        <v>4.8286290000000003</v>
      </c>
      <c r="E6134">
        <v>0.58640179999999997</v>
      </c>
      <c r="F6134" t="s">
        <v>50</v>
      </c>
      <c r="G6134">
        <v>-197.1891</v>
      </c>
      <c r="H6134" s="1">
        <v>-1.25687899999999E-5</v>
      </c>
      <c r="I6134">
        <v>151.01920000000001</v>
      </c>
      <c r="J6134">
        <v>-193.0241</v>
      </c>
      <c r="K6134">
        <v>1.1178360000000001</v>
      </c>
      <c r="L6134">
        <v>158.57570000000001</v>
      </c>
      <c r="M6134">
        <v>-0.10581409999999999</v>
      </c>
      <c r="N6134">
        <v>-9.0602010000000004E-3</v>
      </c>
      <c r="O6134">
        <v>-0.99434469999999997</v>
      </c>
      <c r="P6134">
        <v>-0.28982540000000001</v>
      </c>
      <c r="Q6134">
        <v>0.1133808</v>
      </c>
      <c r="R6134">
        <v>-0.95034030000000003</v>
      </c>
      <c r="S6134">
        <v>-1.484497</v>
      </c>
      <c r="T6134">
        <v>-0.39569149999999997</v>
      </c>
      <c r="U6134">
        <v>-2.7596440000000002</v>
      </c>
      <c r="V6134">
        <v>0.1885318</v>
      </c>
      <c r="W6134">
        <v>0.1208272</v>
      </c>
      <c r="X6134">
        <v>0.97460590000000002</v>
      </c>
      <c r="Y6134">
        <v>0.3743475</v>
      </c>
      <c r="Z6134">
        <v>0.11841210000000001</v>
      </c>
      <c r="AA6134">
        <v>0.91969699999999999</v>
      </c>
      <c r="AB6134">
        <v>24</v>
      </c>
      <c r="AC6134">
        <v>-4.1649999999999903</v>
      </c>
      <c r="AD6134">
        <v>-1.1178485687899999</v>
      </c>
      <c r="AE6134">
        <v>-7.5564999999999998</v>
      </c>
      <c r="AF6134">
        <v>3.28683001115719</v>
      </c>
      <c r="AG6134">
        <v>-1.1178485687899999</v>
      </c>
      <c r="AH6134">
        <v>7.8234926601334998</v>
      </c>
      <c r="AI6134">
        <v>97.5043820579032</v>
      </c>
      <c r="AJ6134">
        <v>67.211598892742998</v>
      </c>
      <c r="AK6134">
        <v>8.5591982304508107</v>
      </c>
      <c r="AL6134">
        <v>83.060155358486099</v>
      </c>
      <c r="AM6134">
        <v>79.051694724453995</v>
      </c>
      <c r="AN6134">
        <v>1.0000000560929401</v>
      </c>
    </row>
    <row r="6135" spans="1:40" x14ac:dyDescent="0.25">
      <c r="A6135" t="str">
        <f>"20190303162034100"</f>
        <v>20190303162034100</v>
      </c>
      <c r="B6135" t="str">
        <f>"1551601234088735"</f>
        <v>1551601234088735</v>
      </c>
      <c r="C6135" t="s">
        <v>40</v>
      </c>
      <c r="D6135">
        <v>4.8574140000000003</v>
      </c>
      <c r="E6135">
        <v>0.59562789999999999</v>
      </c>
      <c r="F6135" t="s">
        <v>50</v>
      </c>
      <c r="G6135">
        <v>-197.63460000000001</v>
      </c>
      <c r="H6135" s="1">
        <v>-1.234716E-5</v>
      </c>
      <c r="I6135">
        <v>150.3107</v>
      </c>
      <c r="J6135">
        <v>-193.05359999999999</v>
      </c>
      <c r="K6135">
        <v>1.1176469999999901</v>
      </c>
      <c r="L6135">
        <v>158.3459</v>
      </c>
      <c r="M6135">
        <v>-0.1104171</v>
      </c>
      <c r="N6135">
        <v>-9.0795159999999993E-3</v>
      </c>
      <c r="O6135">
        <v>-0.99384410000000001</v>
      </c>
      <c r="P6135">
        <v>-0.29995300000000003</v>
      </c>
      <c r="Q6135">
        <v>0.11128639999999999</v>
      </c>
      <c r="R6135">
        <v>-0.94744099999999998</v>
      </c>
      <c r="S6135">
        <v>-1.5259860000000001</v>
      </c>
      <c r="T6135">
        <v>-0.36998429999999999</v>
      </c>
      <c r="U6135">
        <v>-2.735535</v>
      </c>
      <c r="V6135">
        <v>0.1944311</v>
      </c>
      <c r="W6135">
        <v>0.118620699999999</v>
      </c>
      <c r="X6135">
        <v>0.97371750000000001</v>
      </c>
      <c r="Y6135">
        <v>0.38457590000000003</v>
      </c>
      <c r="Z6135">
        <v>0.11042390000000001</v>
      </c>
      <c r="AA6135">
        <v>0.91646490000000003</v>
      </c>
      <c r="AB6135">
        <v>24</v>
      </c>
      <c r="AC6135">
        <v>-4.5810000000000102</v>
      </c>
      <c r="AD6135">
        <v>-1.11765934715999</v>
      </c>
      <c r="AE6135">
        <v>-8.0351999999999997</v>
      </c>
      <c r="AF6135">
        <v>3.61297160346043</v>
      </c>
      <c r="AG6135">
        <v>-1.11765934715999</v>
      </c>
      <c r="AH6135">
        <v>8.3696943977415099</v>
      </c>
      <c r="AI6135">
        <v>96.989653934514493</v>
      </c>
      <c r="AJ6135">
        <v>66.651443534852106</v>
      </c>
      <c r="AK6135">
        <v>9.1844711625270605</v>
      </c>
      <c r="AL6135">
        <v>83.187494372015095</v>
      </c>
      <c r="AM6135">
        <v>78.707743938379295</v>
      </c>
      <c r="AN6135">
        <v>1.00000004646097</v>
      </c>
    </row>
    <row r="6136" spans="1:40" x14ac:dyDescent="0.25">
      <c r="A6136" t="str">
        <f>"20190303162034114"</f>
        <v>20190303162034114</v>
      </c>
      <c r="B6136" t="str">
        <f>"1551601234108584"</f>
        <v>1551601234108584</v>
      </c>
      <c r="C6136" t="s">
        <v>40</v>
      </c>
      <c r="D6136">
        <v>4.87873</v>
      </c>
      <c r="E6136">
        <v>0.59280630000000001</v>
      </c>
      <c r="F6136" t="s">
        <v>50</v>
      </c>
      <c r="G6136">
        <v>-202.32400000000001</v>
      </c>
      <c r="H6136" s="1">
        <v>-9.511994E-6</v>
      </c>
      <c r="I6136">
        <v>143.0874</v>
      </c>
      <c r="J6136">
        <v>-193.0727</v>
      </c>
      <c r="K6136">
        <v>1.1175409999999999</v>
      </c>
      <c r="L6136">
        <v>158.20269999999999</v>
      </c>
      <c r="M6136">
        <v>-0.11340600000000001</v>
      </c>
      <c r="N6136">
        <v>-9.0916720000000003E-3</v>
      </c>
      <c r="O6136">
        <v>-0.99350729999999998</v>
      </c>
      <c r="P6136">
        <v>-0.30538759999999998</v>
      </c>
      <c r="Q6136">
        <v>0.10977089999999901</v>
      </c>
      <c r="R6136">
        <v>-0.94588000000000005</v>
      </c>
      <c r="S6136">
        <v>-1.6251679999999999</v>
      </c>
      <c r="T6136">
        <v>-0.19593260000000001</v>
      </c>
      <c r="U6136">
        <v>-2.6749269999999998</v>
      </c>
      <c r="V6136">
        <v>0.19709170000000001</v>
      </c>
      <c r="W6136">
        <v>0.1170443</v>
      </c>
      <c r="X6136">
        <v>0.97337320000000005</v>
      </c>
      <c r="Y6136">
        <v>0.4180586</v>
      </c>
      <c r="Z6136">
        <v>5.4837619999999997E-2</v>
      </c>
      <c r="AA6136">
        <v>0.9067634</v>
      </c>
      <c r="AB6136">
        <v>24</v>
      </c>
      <c r="AC6136">
        <v>-9.2513000000000094</v>
      </c>
      <c r="AD6136">
        <v>-1.1175505119939999</v>
      </c>
      <c r="AE6136">
        <v>-15.1152999999999</v>
      </c>
      <c r="AF6136">
        <v>7.4477586294255698</v>
      </c>
      <c r="AG6136">
        <v>-1.1175505119939999</v>
      </c>
      <c r="AH6136">
        <v>16.003334653086299</v>
      </c>
      <c r="AI6136">
        <v>93.622668924460498</v>
      </c>
      <c r="AJ6136">
        <v>65.043300322659107</v>
      </c>
      <c r="AK6136">
        <v>17.686852398539202</v>
      </c>
      <c r="AL6136">
        <v>83.278448406336594</v>
      </c>
      <c r="AM6136">
        <v>78.553329541467306</v>
      </c>
      <c r="AN6136">
        <v>0.99999994642480805</v>
      </c>
    </row>
    <row r="6137" spans="1:40" x14ac:dyDescent="0.25">
      <c r="A6137" t="str">
        <f>"20190303162034128"</f>
        <v>20190303162034128</v>
      </c>
      <c r="B6137" t="str">
        <f>"1551601234118345"</f>
        <v>1551601234118345</v>
      </c>
      <c r="C6137" t="s">
        <v>40</v>
      </c>
      <c r="D6137">
        <v>4.8548980000000004</v>
      </c>
      <c r="E6137">
        <v>0.59281640000000002</v>
      </c>
      <c r="F6137" t="s">
        <v>50</v>
      </c>
      <c r="G6137">
        <v>-201.67160000000001</v>
      </c>
      <c r="H6137" s="1">
        <v>-1.0030709999999999E-5</v>
      </c>
      <c r="I6137">
        <v>144.00059999999999</v>
      </c>
      <c r="J6137">
        <v>-193.09309999999999</v>
      </c>
      <c r="K6137">
        <v>1.1174309999999901</v>
      </c>
      <c r="L6137">
        <v>158.05279999999999</v>
      </c>
      <c r="M6137">
        <v>-0.11660760000000001</v>
      </c>
      <c r="N6137">
        <v>-9.1044109999999998E-3</v>
      </c>
      <c r="O6137">
        <v>-0.99313629999999997</v>
      </c>
      <c r="P6137">
        <v>-0.31090649999999997</v>
      </c>
      <c r="Q6137">
        <v>0.108475</v>
      </c>
      <c r="R6137">
        <v>-0.94423000000000001</v>
      </c>
      <c r="S6137">
        <v>-1.618698</v>
      </c>
      <c r="T6137">
        <v>-0.210371</v>
      </c>
      <c r="U6137">
        <v>-2.6734469999999999</v>
      </c>
      <c r="V6137">
        <v>0.19964270000000001</v>
      </c>
      <c r="W6137">
        <v>0.115686999999999</v>
      </c>
      <c r="X6137">
        <v>0.97301559999999998</v>
      </c>
      <c r="Y6137">
        <v>0.41359750000000001</v>
      </c>
      <c r="Z6137">
        <v>5.9606529999999998E-2</v>
      </c>
      <c r="AA6137">
        <v>0.90850660000000005</v>
      </c>
      <c r="AB6137">
        <v>24</v>
      </c>
      <c r="AC6137">
        <v>-8.5785000000000196</v>
      </c>
      <c r="AD6137">
        <v>-1.11744103070999</v>
      </c>
      <c r="AE6137">
        <v>-14.052199999999999</v>
      </c>
      <c r="AF6137">
        <v>6.8497569530527302</v>
      </c>
      <c r="AG6137">
        <v>-1.11744103070999</v>
      </c>
      <c r="AH6137">
        <v>14.888103282528</v>
      </c>
      <c r="AI6137">
        <v>93.900703381218605</v>
      </c>
      <c r="AJ6137">
        <v>65.293664792276601</v>
      </c>
      <c r="AK6137">
        <v>16.426304031163902</v>
      </c>
      <c r="AL6137">
        <v>83.356748426578406</v>
      </c>
      <c r="AM6137">
        <v>78.405013029133698</v>
      </c>
      <c r="AN6137">
        <v>1.0000000237378199</v>
      </c>
    </row>
    <row r="6138" spans="1:40" x14ac:dyDescent="0.25">
      <c r="A6138" t="str">
        <f>"20190303162034142"</f>
        <v>20190303162034142</v>
      </c>
      <c r="B6138" t="str">
        <f>"1551601234128104"</f>
        <v>1551601234128104</v>
      </c>
      <c r="C6138" t="s">
        <v>40</v>
      </c>
      <c r="D6138">
        <v>4.7895620000000001</v>
      </c>
      <c r="E6138">
        <v>0.59280429999999995</v>
      </c>
      <c r="F6138" t="s">
        <v>50</v>
      </c>
      <c r="G6138">
        <v>-201.8021</v>
      </c>
      <c r="H6138" s="1">
        <v>-9.9319799999999994E-6</v>
      </c>
      <c r="I6138">
        <v>143.86320000000001</v>
      </c>
      <c r="J6138">
        <v>-193.11619999999999</v>
      </c>
      <c r="K6138">
        <v>1.1173200000000001</v>
      </c>
      <c r="L6138">
        <v>157.8887</v>
      </c>
      <c r="M6138">
        <v>-0.1202257</v>
      </c>
      <c r="N6138">
        <v>-9.1189649999999997E-3</v>
      </c>
      <c r="O6138">
        <v>-0.9927047</v>
      </c>
      <c r="P6138">
        <v>-0.31672840000000002</v>
      </c>
      <c r="Q6138">
        <v>0.1073378</v>
      </c>
      <c r="R6138">
        <v>-0.94242349999999997</v>
      </c>
      <c r="S6138">
        <v>-1.634506</v>
      </c>
      <c r="T6138">
        <v>-0.2097214</v>
      </c>
      <c r="U6138">
        <v>-2.6631010000000002</v>
      </c>
      <c r="V6138">
        <v>0.20211080000000001</v>
      </c>
      <c r="W6138">
        <v>0.1144848</v>
      </c>
      <c r="X6138">
        <v>0.97264810000000002</v>
      </c>
      <c r="Y6138">
        <v>0.41577459999999999</v>
      </c>
      <c r="Z6138">
        <v>5.9441460000000002E-2</v>
      </c>
      <c r="AA6138">
        <v>0.90752310000000003</v>
      </c>
      <c r="AB6138">
        <v>24</v>
      </c>
      <c r="AC6138">
        <v>-8.6859000000000002</v>
      </c>
      <c r="AD6138">
        <v>-1.1173299319800001</v>
      </c>
      <c r="AE6138">
        <v>-14.0254999999999</v>
      </c>
      <c r="AF6138">
        <v>6.9049229711715796</v>
      </c>
      <c r="AG6138">
        <v>-1.1173299319800001</v>
      </c>
      <c r="AH6138">
        <v>14.8997238566532</v>
      </c>
      <c r="AI6138">
        <v>93.892342903942094</v>
      </c>
      <c r="AJ6138">
        <v>65.135756125658204</v>
      </c>
      <c r="AK6138">
        <v>16.459895455902199</v>
      </c>
      <c r="AL6138">
        <v>83.426089572019904</v>
      </c>
      <c r="AM6138">
        <v>78.261309988819406</v>
      </c>
      <c r="AN6138">
        <v>0.99999993567064205</v>
      </c>
    </row>
    <row r="6139" spans="1:40" x14ac:dyDescent="0.25">
      <c r="A6139" t="str">
        <f>"20190303162034157"</f>
        <v>20190303162034157</v>
      </c>
      <c r="B6139" t="str">
        <f>"1551601234148601"</f>
        <v>1551601234148601</v>
      </c>
      <c r="C6139" t="s">
        <v>40</v>
      </c>
      <c r="D6139">
        <v>4.9613019999999999</v>
      </c>
      <c r="E6139">
        <v>0.55346219999999902</v>
      </c>
      <c r="F6139" t="s">
        <v>50</v>
      </c>
      <c r="G6139">
        <v>-202.20869999999999</v>
      </c>
      <c r="H6139" s="1">
        <v>-9.6074709999999998E-6</v>
      </c>
      <c r="I6139">
        <v>143.28450000000001</v>
      </c>
      <c r="J6139">
        <v>-193.1378</v>
      </c>
      <c r="K6139">
        <v>1.117218</v>
      </c>
      <c r="L6139">
        <v>157.7407</v>
      </c>
      <c r="M6139">
        <v>-0.1235984</v>
      </c>
      <c r="N6139">
        <v>-9.1327939999999996E-3</v>
      </c>
      <c r="O6139">
        <v>-0.99229029999999996</v>
      </c>
      <c r="P6139">
        <v>-0.32340960000000002</v>
      </c>
      <c r="Q6139">
        <v>0.1058969</v>
      </c>
      <c r="R6139">
        <v>-0.94031480000000001</v>
      </c>
      <c r="S6139">
        <v>-1.6508480000000001</v>
      </c>
      <c r="T6139">
        <v>-0.2028645</v>
      </c>
      <c r="U6139">
        <v>-2.6515659999999999</v>
      </c>
      <c r="V6139">
        <v>0.20570630000000001</v>
      </c>
      <c r="W6139">
        <v>0.11297260000000001</v>
      </c>
      <c r="X6139">
        <v>0.97207109999999997</v>
      </c>
      <c r="Y6139">
        <v>0.41855320000000001</v>
      </c>
      <c r="Z6139">
        <v>5.7276800000000003E-2</v>
      </c>
      <c r="AA6139">
        <v>0.90638430000000003</v>
      </c>
      <c r="AB6139">
        <v>24</v>
      </c>
      <c r="AC6139">
        <v>-9.0708999999999893</v>
      </c>
      <c r="AD6139">
        <v>-1.1172276074709999</v>
      </c>
      <c r="AE6139">
        <v>-14.4561999999999</v>
      </c>
      <c r="AF6139">
        <v>7.1837181471987597</v>
      </c>
      <c r="AG6139">
        <v>-1.1172276074709999</v>
      </c>
      <c r="AH6139">
        <v>15.400542194935401</v>
      </c>
      <c r="AI6139">
        <v>93.761441450039101</v>
      </c>
      <c r="AJ6139">
        <v>64.992888183075806</v>
      </c>
      <c r="AK6139">
        <v>17.030287837945501</v>
      </c>
      <c r="AL6139">
        <v>83.513298875964495</v>
      </c>
      <c r="AM6139">
        <v>78.051542211274395</v>
      </c>
      <c r="AN6139">
        <v>1.00000005683282</v>
      </c>
    </row>
    <row r="6140" spans="1:40" x14ac:dyDescent="0.25">
      <c r="A6140" t="str">
        <f>"20190303162034170"</f>
        <v>20190303162034170</v>
      </c>
      <c r="B6140" t="str">
        <f>"1551601234158361"</f>
        <v>1551601234158361</v>
      </c>
      <c r="C6140" t="s">
        <v>40</v>
      </c>
      <c r="D6140">
        <v>4.9343870000000001</v>
      </c>
      <c r="E6140">
        <v>0.54078879999999996</v>
      </c>
      <c r="F6140" t="s">
        <v>50</v>
      </c>
      <c r="G6140">
        <v>-199.0025</v>
      </c>
      <c r="H6140" s="1">
        <v>-1.124887E-5</v>
      </c>
      <c r="I6140">
        <v>146.0017</v>
      </c>
      <c r="J6140">
        <v>-193.15860000000001</v>
      </c>
      <c r="K6140">
        <v>1.117127</v>
      </c>
      <c r="L6140">
        <v>157.60079999999999</v>
      </c>
      <c r="M6140">
        <v>-0.12684899999999999</v>
      </c>
      <c r="N6140">
        <v>-9.1461049999999999E-3</v>
      </c>
      <c r="O6140">
        <v>-0.99187979999999998</v>
      </c>
      <c r="P6140">
        <v>-0.32790160000000002</v>
      </c>
      <c r="Q6140">
        <v>0.1057437</v>
      </c>
      <c r="R6140">
        <v>-0.93877509999999997</v>
      </c>
      <c r="S6140">
        <v>-1.372757</v>
      </c>
      <c r="T6140">
        <v>-0.26151259999999998</v>
      </c>
      <c r="U6140">
        <v>-2.747757</v>
      </c>
      <c r="V6140">
        <v>0.20719280000000001</v>
      </c>
      <c r="W6140">
        <v>0.1127684</v>
      </c>
      <c r="X6140">
        <v>0.97177899999999995</v>
      </c>
      <c r="Y6140">
        <v>0.32836599999999999</v>
      </c>
      <c r="Z6140">
        <v>7.7123339999999999E-2</v>
      </c>
      <c r="AA6140">
        <v>0.94139669999999998</v>
      </c>
      <c r="AB6140">
        <v>24</v>
      </c>
      <c r="AC6140">
        <v>-5.8438999999999899</v>
      </c>
      <c r="AD6140">
        <v>-1.1171382488699999</v>
      </c>
      <c r="AE6140">
        <v>-11.5990999999999</v>
      </c>
      <c r="AF6140">
        <v>4.2935291283010697</v>
      </c>
      <c r="AG6140">
        <v>-1.1171382488699999</v>
      </c>
      <c r="AH6140">
        <v>12.156781146982601</v>
      </c>
      <c r="AI6140">
        <v>94.952246900800006</v>
      </c>
      <c r="AJ6140">
        <v>70.547810112250602</v>
      </c>
      <c r="AK6140">
        <v>12.941009160737501</v>
      </c>
      <c r="AL6140">
        <v>83.525073527960004</v>
      </c>
      <c r="AM6140">
        <v>77.964195215192703</v>
      </c>
      <c r="AN6140">
        <v>0.99999999662569905</v>
      </c>
    </row>
    <row r="6141" spans="1:40" x14ac:dyDescent="0.25">
      <c r="A6141" t="str">
        <f>"20190303162034182"</f>
        <v>20190303162034182</v>
      </c>
      <c r="B6141" t="str">
        <f>"1551601234178857"</f>
        <v>1551601234178857</v>
      </c>
      <c r="C6141" t="s">
        <v>40</v>
      </c>
      <c r="D6141">
        <v>4.9352390000000002</v>
      </c>
      <c r="E6141">
        <v>0.53012199999999998</v>
      </c>
      <c r="F6141" t="s">
        <v>50</v>
      </c>
      <c r="G6141">
        <v>-197.1095</v>
      </c>
      <c r="H6141" s="1">
        <v>-1.181188E-5</v>
      </c>
      <c r="I6141">
        <v>149.0693</v>
      </c>
      <c r="J6141">
        <v>-193.18010000000001</v>
      </c>
      <c r="K6141">
        <v>1.1170310000000001</v>
      </c>
      <c r="L6141">
        <v>157.4597</v>
      </c>
      <c r="M6141">
        <v>-0.1302112</v>
      </c>
      <c r="N6141">
        <v>-9.1600620000000001E-3</v>
      </c>
      <c r="O6141">
        <v>-0.99144399999999999</v>
      </c>
      <c r="P6141">
        <v>-0.3325359</v>
      </c>
      <c r="Q6141">
        <v>0.10603600000000001</v>
      </c>
      <c r="R6141">
        <v>-0.93711080000000002</v>
      </c>
      <c r="S6141">
        <v>-1.290222</v>
      </c>
      <c r="T6141">
        <v>-0.36482100000000001</v>
      </c>
      <c r="U6141">
        <v>-2.7860870000000002</v>
      </c>
      <c r="V6141">
        <v>0.20873549999999999</v>
      </c>
      <c r="W6141">
        <v>0.1130058</v>
      </c>
      <c r="X6141">
        <v>0.97142119999999998</v>
      </c>
      <c r="Y6141">
        <v>0.29574129999999998</v>
      </c>
      <c r="Z6141">
        <v>0.110483</v>
      </c>
      <c r="AA6141">
        <v>0.94885750000000002</v>
      </c>
      <c r="AB6141">
        <v>24</v>
      </c>
      <c r="AC6141">
        <v>-3.9293999999999798</v>
      </c>
      <c r="AD6141">
        <v>-1.11704281188</v>
      </c>
      <c r="AE6141">
        <v>-8.3903999999999996</v>
      </c>
      <c r="AF6141">
        <v>2.7632066140090101</v>
      </c>
      <c r="AG6141">
        <v>-1.11704281188</v>
      </c>
      <c r="AH6141">
        <v>8.7041079542822999</v>
      </c>
      <c r="AI6141">
        <v>96.9737388980746</v>
      </c>
      <c r="AJ6141">
        <v>72.387435673950506</v>
      </c>
      <c r="AK6141">
        <v>9.2002494920016407</v>
      </c>
      <c r="AL6141">
        <v>83.511383920372495</v>
      </c>
      <c r="AM6141">
        <v>77.872888324085494</v>
      </c>
      <c r="AN6141">
        <v>0.99999998380166399</v>
      </c>
    </row>
    <row r="6142" spans="1:40" x14ac:dyDescent="0.25">
      <c r="A6142" t="str">
        <f>"20190303162034195"</f>
        <v>20190303162034195</v>
      </c>
      <c r="B6142" t="str">
        <f>"1551601234188617"</f>
        <v>1551601234188617</v>
      </c>
      <c r="C6142" t="s">
        <v>40</v>
      </c>
      <c r="D6142">
        <v>4.9305260000000004</v>
      </c>
      <c r="E6142">
        <v>0.48979990000000001</v>
      </c>
      <c r="F6142" t="s">
        <v>50</v>
      </c>
      <c r="G6142">
        <v>-196.47020000000001</v>
      </c>
      <c r="H6142" s="1">
        <v>-1.1962839999999999E-5</v>
      </c>
      <c r="I6142">
        <v>149.8963</v>
      </c>
      <c r="J6142">
        <v>-193.20060000000001</v>
      </c>
      <c r="K6142">
        <v>1.116938</v>
      </c>
      <c r="L6142">
        <v>157.33029999999999</v>
      </c>
      <c r="M6142">
        <v>-0.13339909999999999</v>
      </c>
      <c r="N6142">
        <v>-9.1740299999999997E-3</v>
      </c>
      <c r="O6142">
        <v>-0.99102000000000001</v>
      </c>
      <c r="P6142">
        <v>-0.3371014</v>
      </c>
      <c r="Q6142">
        <v>0.1076997</v>
      </c>
      <c r="R6142">
        <v>-0.93528829999999996</v>
      </c>
      <c r="S6142">
        <v>-1.224091</v>
      </c>
      <c r="T6142">
        <v>-0.41559970000000002</v>
      </c>
      <c r="U6142">
        <v>-2.8140109999999998</v>
      </c>
      <c r="V6142">
        <v>0.2104173</v>
      </c>
      <c r="W6142">
        <v>0.1146132</v>
      </c>
      <c r="X6142">
        <v>0.97086989999999995</v>
      </c>
      <c r="Y6142">
        <v>0.2696038</v>
      </c>
      <c r="Z6142">
        <v>0.12664010000000001</v>
      </c>
      <c r="AA6142">
        <v>0.95460780000000001</v>
      </c>
      <c r="AB6142">
        <v>24</v>
      </c>
      <c r="AC6142">
        <v>-3.2695999999999898</v>
      </c>
      <c r="AD6142">
        <v>-1.1169499628399999</v>
      </c>
      <c r="AE6142">
        <v>-7.4339999999999904</v>
      </c>
      <c r="AF6142">
        <v>2.2068995547757799</v>
      </c>
      <c r="AG6142">
        <v>-1.1169499628399999</v>
      </c>
      <c r="AH6142">
        <v>7.6588597155986502</v>
      </c>
      <c r="AI6142">
        <v>97.977244913106503</v>
      </c>
      <c r="AJ6142">
        <v>73.925669692717605</v>
      </c>
      <c r="AK6142">
        <v>8.0483610137454509</v>
      </c>
      <c r="AL6142">
        <v>83.418684434480795</v>
      </c>
      <c r="AM6142">
        <v>77.771373774623697</v>
      </c>
      <c r="AN6142">
        <v>0.99999999423976904</v>
      </c>
    </row>
    <row r="6143" spans="1:40" x14ac:dyDescent="0.25">
      <c r="A6143" t="str">
        <f>"20190303162034213"</f>
        <v>20190303162034213</v>
      </c>
      <c r="B6143" t="str">
        <f>"1551601234208137"</f>
        <v>1551601234208137</v>
      </c>
      <c r="C6143" t="s">
        <v>40</v>
      </c>
      <c r="D6143">
        <v>4.825717</v>
      </c>
      <c r="E6143">
        <v>0.49232419999999999</v>
      </c>
      <c r="F6143" t="s">
        <v>42</v>
      </c>
      <c r="G6143">
        <v>-193.4393</v>
      </c>
      <c r="H6143">
        <v>0.91533699999999996</v>
      </c>
      <c r="I6143">
        <v>156.57499999999999</v>
      </c>
      <c r="J6143">
        <v>-193.23099999999999</v>
      </c>
      <c r="K6143">
        <v>1.116808</v>
      </c>
      <c r="L6143">
        <v>157.14189999999999</v>
      </c>
      <c r="M6143">
        <v>-0.1381539</v>
      </c>
      <c r="N6143">
        <v>-9.1969909999999998E-3</v>
      </c>
      <c r="O6143">
        <v>-0.99036800000000003</v>
      </c>
      <c r="P6143">
        <v>-0.34502189999999999</v>
      </c>
      <c r="Q6143">
        <v>0.11177239999999999</v>
      </c>
      <c r="R6143">
        <v>-0.93191610000000003</v>
      </c>
      <c r="S6143">
        <v>-0.93580629999999998</v>
      </c>
      <c r="T6143">
        <v>-0.79035949999999999</v>
      </c>
      <c r="U6143">
        <v>-2.9613040000000002</v>
      </c>
      <c r="V6143">
        <v>0.21414259999999999</v>
      </c>
      <c r="W6143">
        <v>0.1185837</v>
      </c>
      <c r="X6143">
        <v>0.96957769999999999</v>
      </c>
      <c r="Y6143">
        <v>0.15776019999999999</v>
      </c>
      <c r="Z6143">
        <v>0.23834540000000001</v>
      </c>
      <c r="AA6143">
        <v>0.95828139999999995</v>
      </c>
      <c r="AB6143">
        <v>24</v>
      </c>
      <c r="AC6143">
        <v>-0.20830000000000801</v>
      </c>
      <c r="AD6143">
        <v>-0.20147100000000001</v>
      </c>
      <c r="AE6143">
        <v>-0.56690000000000396</v>
      </c>
      <c r="AF6143">
        <v>0.115164284231886</v>
      </c>
      <c r="AG6143">
        <v>-0.20147100000000001</v>
      </c>
      <c r="AH6143">
        <v>0.53113770318749998</v>
      </c>
      <c r="AI6143">
        <v>110.340031798222</v>
      </c>
      <c r="AJ6143">
        <v>77.766176313151604</v>
      </c>
      <c r="AK6143">
        <v>0.57962111413485995</v>
      </c>
      <c r="AL6143">
        <v>83.189629283918507</v>
      </c>
      <c r="AM6143">
        <v>77.545496323265098</v>
      </c>
      <c r="AN6143">
        <v>1.00000003168886</v>
      </c>
    </row>
    <row r="6144" spans="1:40" x14ac:dyDescent="0.25">
      <c r="A6144" t="str">
        <f>"20190303162034225"</f>
        <v>20190303162034225</v>
      </c>
      <c r="B6144" t="str">
        <f>"1551601234218873"</f>
        <v>1551601234218873</v>
      </c>
      <c r="C6144" t="s">
        <v>40</v>
      </c>
      <c r="D6144">
        <v>4.8065699999999998</v>
      </c>
      <c r="E6144">
        <v>0.49276120000000001</v>
      </c>
      <c r="F6144" t="s">
        <v>42</v>
      </c>
      <c r="G6144">
        <v>-193.49119999999999</v>
      </c>
      <c r="H6144">
        <v>0.91423270000000001</v>
      </c>
      <c r="I6144">
        <v>156.3613</v>
      </c>
      <c r="J6144">
        <v>-193.25409999999999</v>
      </c>
      <c r="K6144">
        <v>1.1166969999999901</v>
      </c>
      <c r="L6144">
        <v>157.00280000000001</v>
      </c>
      <c r="M6144">
        <v>-0.14175019999999999</v>
      </c>
      <c r="N6144">
        <v>-9.2163590000000004E-3</v>
      </c>
      <c r="O6144">
        <v>-0.98985970000000001</v>
      </c>
      <c r="P6144">
        <v>-0.35034460000000001</v>
      </c>
      <c r="Q6144">
        <v>0.1133801</v>
      </c>
      <c r="R6144">
        <v>-0.92973309999999998</v>
      </c>
      <c r="S6144">
        <v>-0.98179629999999996</v>
      </c>
      <c r="T6144">
        <v>-0.76462959999999902</v>
      </c>
      <c r="U6144">
        <v>-2.9474179999999999</v>
      </c>
      <c r="V6144">
        <v>0.2162443</v>
      </c>
      <c r="W6144">
        <v>0.1201219</v>
      </c>
      <c r="X6144">
        <v>0.9689217</v>
      </c>
      <c r="Y6144">
        <v>0.16955609999999999</v>
      </c>
      <c r="Z6144">
        <v>0.2308277</v>
      </c>
      <c r="AA6144">
        <v>0.95810720000000005</v>
      </c>
      <c r="AB6144">
        <v>24</v>
      </c>
      <c r="AC6144">
        <v>-0.23709999999999801</v>
      </c>
      <c r="AD6144">
        <v>-0.20246429999999899</v>
      </c>
      <c r="AE6144">
        <v>-0.64150000000000695</v>
      </c>
      <c r="AF6144">
        <v>0.132184638101497</v>
      </c>
      <c r="AG6144">
        <v>-0.20246429999999899</v>
      </c>
      <c r="AH6144">
        <v>0.61475612733225504</v>
      </c>
      <c r="AI6144">
        <v>107.84761245790099</v>
      </c>
      <c r="AJ6144">
        <v>77.865044537704094</v>
      </c>
      <c r="AK6144">
        <v>0.660597962014012</v>
      </c>
      <c r="AL6144">
        <v>83.100862622558907</v>
      </c>
      <c r="AM6144">
        <v>77.4188887186438</v>
      </c>
      <c r="AN6144">
        <v>1.0000000644364899</v>
      </c>
    </row>
    <row r="6145" spans="1:40" x14ac:dyDescent="0.25">
      <c r="A6145" t="str">
        <f>"20190303162034239"</f>
        <v>20190303162034239</v>
      </c>
      <c r="B6145" t="str">
        <f>"1551601234228633"</f>
        <v>1551601234228633</v>
      </c>
      <c r="C6145" t="s">
        <v>40</v>
      </c>
      <c r="D6145">
        <v>4.8111940000000004</v>
      </c>
      <c r="E6145">
        <v>0.4929383</v>
      </c>
      <c r="F6145" t="s">
        <v>42</v>
      </c>
      <c r="G6145">
        <v>-193.54339999999999</v>
      </c>
      <c r="H6145">
        <v>0.8976923</v>
      </c>
      <c r="I6145">
        <v>156.1542</v>
      </c>
      <c r="J6145">
        <v>-193.28110000000001</v>
      </c>
      <c r="K6145">
        <v>1.1165719999999999</v>
      </c>
      <c r="L6145">
        <v>156.8466</v>
      </c>
      <c r="M6145">
        <v>-0.14595859999999999</v>
      </c>
      <c r="N6145">
        <v>-9.2463530000000006E-3</v>
      </c>
      <c r="O6145">
        <v>-0.9892476</v>
      </c>
      <c r="P6145">
        <v>-0.35583999999999999</v>
      </c>
      <c r="Q6145">
        <v>0.1143096</v>
      </c>
      <c r="R6145">
        <v>-0.92752990000000002</v>
      </c>
      <c r="S6145">
        <v>-1.0028079999999999</v>
      </c>
      <c r="T6145">
        <v>-0.75909689999999996</v>
      </c>
      <c r="U6145">
        <v>-2.941452</v>
      </c>
      <c r="V6145">
        <v>0.2179258</v>
      </c>
      <c r="W6145">
        <v>0.1209853</v>
      </c>
      <c r="X6145">
        <v>0.9684374</v>
      </c>
      <c r="Y6145">
        <v>0.17222599999999999</v>
      </c>
      <c r="Z6145">
        <v>0.22908580000000001</v>
      </c>
      <c r="AA6145">
        <v>0.95804900000000004</v>
      </c>
      <c r="AB6145">
        <v>24</v>
      </c>
      <c r="AC6145">
        <v>-0.26229999999998199</v>
      </c>
      <c r="AD6145">
        <v>-0.21887969999999901</v>
      </c>
      <c r="AE6145">
        <v>-0.69239999999999202</v>
      </c>
      <c r="AF6145">
        <v>0.14569272210189599</v>
      </c>
      <c r="AG6145">
        <v>-0.21887969999999901</v>
      </c>
      <c r="AH6145">
        <v>0.66514449482151605</v>
      </c>
      <c r="AI6145">
        <v>107.81999920243599</v>
      </c>
      <c r="AJ6145">
        <v>77.645100091350002</v>
      </c>
      <c r="AK6145">
        <v>0.71522855880964398</v>
      </c>
      <c r="AL6145">
        <v>83.051029891067401</v>
      </c>
      <c r="AM6145">
        <v>77.318074404890197</v>
      </c>
      <c r="AN6145">
        <v>1.00000004742024</v>
      </c>
    </row>
    <row r="6146" spans="1:40" x14ac:dyDescent="0.25">
      <c r="A6146" t="str">
        <f>"20190303162034254"</f>
        <v>20190303162034254</v>
      </c>
      <c r="B6146" t="str">
        <f>"1551601234248152"</f>
        <v>1551601234248152</v>
      </c>
      <c r="C6146" t="s">
        <v>40</v>
      </c>
      <c r="D6146">
        <v>4.8016180000000004</v>
      </c>
      <c r="E6146">
        <v>0.49346479999999998</v>
      </c>
      <c r="F6146" t="s">
        <v>42</v>
      </c>
      <c r="G6146">
        <v>-193.5283</v>
      </c>
      <c r="H6146">
        <v>0.93355929999999998</v>
      </c>
      <c r="I6146">
        <v>156.13669999999999</v>
      </c>
      <c r="J6146">
        <v>-193.30699999999999</v>
      </c>
      <c r="K6146">
        <v>1.1164529999999999</v>
      </c>
      <c r="L6146">
        <v>156.70009999999999</v>
      </c>
      <c r="M6146">
        <v>-0.1500012</v>
      </c>
      <c r="N6146">
        <v>-9.2787660000000008E-3</v>
      </c>
      <c r="O6146">
        <v>-0.98864240000000003</v>
      </c>
      <c r="P6146">
        <v>-0.36119259999999997</v>
      </c>
      <c r="Q6146">
        <v>0.1152325</v>
      </c>
      <c r="R6146">
        <v>-0.92534419999999995</v>
      </c>
      <c r="S6146">
        <v>-1.0221100000000001</v>
      </c>
      <c r="T6146">
        <v>-0.75672039999999996</v>
      </c>
      <c r="U6146">
        <v>-2.9355319999999998</v>
      </c>
      <c r="V6146">
        <v>0.2196302</v>
      </c>
      <c r="W6146">
        <v>0.1218463</v>
      </c>
      <c r="X6146">
        <v>0.96794429999999998</v>
      </c>
      <c r="Y6146">
        <v>0.17448029999999901</v>
      </c>
      <c r="Z6146">
        <v>0.22829679999999999</v>
      </c>
      <c r="AA6146">
        <v>0.95782940000000005</v>
      </c>
      <c r="AB6146">
        <v>24</v>
      </c>
      <c r="AC6146">
        <v>-0.22129999999998501</v>
      </c>
      <c r="AD6146">
        <v>-0.18289369999999999</v>
      </c>
      <c r="AE6146">
        <v>-0.56340000000000101</v>
      </c>
      <c r="AF6146">
        <v>0.123047913134385</v>
      </c>
      <c r="AG6146">
        <v>-0.18289369999999999</v>
      </c>
      <c r="AH6146">
        <v>0.540844943851013</v>
      </c>
      <c r="AI6146">
        <v>108.24929014786601</v>
      </c>
      <c r="AJ6146">
        <v>77.182779390705605</v>
      </c>
      <c r="AK6146">
        <v>0.58404122090450294</v>
      </c>
      <c r="AL6146">
        <v>83.001330602196205</v>
      </c>
      <c r="AM6146">
        <v>77.215837545057795</v>
      </c>
      <c r="AN6146">
        <v>1.0000000567391001</v>
      </c>
    </row>
    <row r="6147" spans="1:40" x14ac:dyDescent="0.25">
      <c r="A6147" t="str">
        <f>"20190303162034269"</f>
        <v>20190303162034269</v>
      </c>
      <c r="B6147" t="str">
        <f>"1551601234258889"</f>
        <v>1551601234258889</v>
      </c>
      <c r="C6147" t="s">
        <v>40</v>
      </c>
      <c r="D6147">
        <v>4.7734959999999997</v>
      </c>
      <c r="E6147">
        <v>0.49343160000000003</v>
      </c>
      <c r="F6147" t="s">
        <v>42</v>
      </c>
      <c r="G6147">
        <v>-193.58170000000001</v>
      </c>
      <c r="H6147">
        <v>0.91699390000000003</v>
      </c>
      <c r="I6147">
        <v>155.9297</v>
      </c>
      <c r="J6147">
        <v>-193.3389</v>
      </c>
      <c r="K6147">
        <v>1.1163099999999999</v>
      </c>
      <c r="L6147">
        <v>156.52500000000001</v>
      </c>
      <c r="M6147">
        <v>-0.15497230000000001</v>
      </c>
      <c r="N6147">
        <v>-9.3251559999999994E-3</v>
      </c>
      <c r="O6147">
        <v>-0.9878749</v>
      </c>
      <c r="P6147">
        <v>-0.36873149999999999</v>
      </c>
      <c r="Q6147">
        <v>0.118089</v>
      </c>
      <c r="R6147">
        <v>-0.92200470000000001</v>
      </c>
      <c r="S6147">
        <v>-1.0440670000000001</v>
      </c>
      <c r="T6147">
        <v>-0.75792299999999901</v>
      </c>
      <c r="U6147">
        <v>-2.9288789999999998</v>
      </c>
      <c r="V6147">
        <v>0.22279979999999999</v>
      </c>
      <c r="W6147">
        <v>0.1246145</v>
      </c>
      <c r="X6147">
        <v>0.96686689999999997</v>
      </c>
      <c r="Y6147">
        <v>0.17657039999999999</v>
      </c>
      <c r="Z6147">
        <v>0.22851640000000001</v>
      </c>
      <c r="AA6147">
        <v>0.95739390000000002</v>
      </c>
      <c r="AB6147">
        <v>24</v>
      </c>
      <c r="AC6147">
        <v>-0.242800000000016</v>
      </c>
      <c r="AD6147">
        <v>-0.1993161</v>
      </c>
      <c r="AE6147">
        <v>-0.59530000000000804</v>
      </c>
      <c r="AF6147">
        <v>0.13466437553747901</v>
      </c>
      <c r="AG6147">
        <v>-0.1993161</v>
      </c>
      <c r="AH6147">
        <v>0.57086828778263898</v>
      </c>
      <c r="AI6147">
        <v>108.768723152775</v>
      </c>
      <c r="AJ6147">
        <v>76.7269194654871</v>
      </c>
      <c r="AK6147">
        <v>0.61947720196468203</v>
      </c>
      <c r="AL6147">
        <v>82.841506261126696</v>
      </c>
      <c r="AM6147">
        <v>77.0235760893312</v>
      </c>
      <c r="AN6147">
        <v>1.00000006340294</v>
      </c>
    </row>
    <row r="6148" spans="1:40" x14ac:dyDescent="0.25">
      <c r="A6148" t="str">
        <f>"20190303162034284"</f>
        <v>20190303162034284</v>
      </c>
      <c r="B6148" t="str">
        <f>"1551601234278409"</f>
        <v>1551601234278409</v>
      </c>
      <c r="C6148" t="s">
        <v>40</v>
      </c>
      <c r="D6148">
        <v>4.8077529999999999</v>
      </c>
      <c r="E6148">
        <v>0.4932416</v>
      </c>
      <c r="F6148" t="s">
        <v>42</v>
      </c>
      <c r="G6148">
        <v>-193.6343</v>
      </c>
      <c r="H6148">
        <v>0.91008310000000003</v>
      </c>
      <c r="I6148">
        <v>155.7182</v>
      </c>
      <c r="J6148">
        <v>-193.37</v>
      </c>
      <c r="K6148">
        <v>1.1161620000000001</v>
      </c>
      <c r="L6148">
        <v>156.35900000000001</v>
      </c>
      <c r="M6148">
        <v>-0.15984609999999999</v>
      </c>
      <c r="N6148">
        <v>-9.3803419999999998E-3</v>
      </c>
      <c r="O6148">
        <v>-0.98709740000000001</v>
      </c>
      <c r="P6148">
        <v>-0.3745175</v>
      </c>
      <c r="Q6148">
        <v>0.1200191</v>
      </c>
      <c r="R6148">
        <v>-0.91941949999999995</v>
      </c>
      <c r="S6148">
        <v>-1.0696410000000001</v>
      </c>
      <c r="T6148">
        <v>-0.74672590000000005</v>
      </c>
      <c r="U6148">
        <v>-2.921646</v>
      </c>
      <c r="V6148">
        <v>0.22421820000000001</v>
      </c>
      <c r="W6148">
        <v>0.1264855</v>
      </c>
      <c r="X6148">
        <v>0.96629580000000004</v>
      </c>
      <c r="Y6148">
        <v>0.1801558</v>
      </c>
      <c r="Z6148">
        <v>0.2250142</v>
      </c>
      <c r="AA6148">
        <v>0.9575555</v>
      </c>
      <c r="AB6148">
        <v>24</v>
      </c>
      <c r="AC6148">
        <v>-0.26429999999999099</v>
      </c>
      <c r="AD6148">
        <v>-0.20607890000000001</v>
      </c>
      <c r="AE6148">
        <v>-0.64080000000001203</v>
      </c>
      <c r="AF6148">
        <v>0.14559831016607799</v>
      </c>
      <c r="AG6148">
        <v>-0.20607890000000001</v>
      </c>
      <c r="AH6148">
        <v>0.62000785664018399</v>
      </c>
      <c r="AI6148">
        <v>107.93047687791299</v>
      </c>
      <c r="AJ6148">
        <v>76.784516327397995</v>
      </c>
      <c r="AK6148">
        <v>0.66938563119025996</v>
      </c>
      <c r="AL6148">
        <v>82.733450213170102</v>
      </c>
      <c r="AM6148">
        <v>76.936334781303202</v>
      </c>
      <c r="AN6148">
        <v>0.99999997800956397</v>
      </c>
    </row>
    <row r="6149" spans="1:40" x14ac:dyDescent="0.25">
      <c r="A6149" t="str">
        <f>"20190303162034298"</f>
        <v>20190303162034298</v>
      </c>
      <c r="B6149" t="str">
        <f>"1551601234288169"</f>
        <v>1551601234288169</v>
      </c>
      <c r="C6149" t="s">
        <v>40</v>
      </c>
      <c r="D6149">
        <v>4.7668949999999999</v>
      </c>
      <c r="E6149">
        <v>0.49304239999999999</v>
      </c>
      <c r="F6149" t="s">
        <v>42</v>
      </c>
      <c r="G6149">
        <v>-193.6163</v>
      </c>
      <c r="H6149">
        <v>0.94842959999999998</v>
      </c>
      <c r="I6149">
        <v>155.6986</v>
      </c>
      <c r="J6149">
        <v>-193.40039999999999</v>
      </c>
      <c r="K6149">
        <v>1.116018</v>
      </c>
      <c r="L6149">
        <v>156.20359999999999</v>
      </c>
      <c r="M6149">
        <v>-0.164608</v>
      </c>
      <c r="N6149">
        <v>-9.4488560000000003E-3</v>
      </c>
      <c r="O6149">
        <v>-0.98631380000000002</v>
      </c>
      <c r="P6149">
        <v>-0.38047160000000002</v>
      </c>
      <c r="Q6149">
        <v>0.1216523</v>
      </c>
      <c r="R6149">
        <v>-0.91675629999999997</v>
      </c>
      <c r="S6149">
        <v>-1.0875699999999999</v>
      </c>
      <c r="T6149">
        <v>-0.74074219999999902</v>
      </c>
      <c r="U6149">
        <v>-2.9166409999999998</v>
      </c>
      <c r="V6149">
        <v>0.22592860000000001</v>
      </c>
      <c r="W6149">
        <v>0.12806989999999999</v>
      </c>
      <c r="X6149">
        <v>0.96568860000000001</v>
      </c>
      <c r="Y6149">
        <v>0.1812801</v>
      </c>
      <c r="Z6149">
        <v>0.22302179999999999</v>
      </c>
      <c r="AA6149">
        <v>0.95780940000000003</v>
      </c>
      <c r="AB6149">
        <v>24</v>
      </c>
      <c r="AC6149">
        <v>-0.21590000000000401</v>
      </c>
      <c r="AD6149">
        <v>-0.167588399999999</v>
      </c>
      <c r="AE6149">
        <v>-0.50499999999999501</v>
      </c>
      <c r="AF6149">
        <v>0.118765502132102</v>
      </c>
      <c r="AG6149">
        <v>-0.167588399999999</v>
      </c>
      <c r="AH6149">
        <v>0.488194742770165</v>
      </c>
      <c r="AI6149">
        <v>108.446298253473</v>
      </c>
      <c r="AJ6149">
        <v>76.3269831849789</v>
      </c>
      <c r="AK6149">
        <v>0.529646318952259</v>
      </c>
      <c r="AL6149">
        <v>82.641926962576804</v>
      </c>
      <c r="AM6149">
        <v>76.832150633503502</v>
      </c>
      <c r="AN6149">
        <v>1.0000000518769601</v>
      </c>
    </row>
    <row r="6150" spans="1:40" x14ac:dyDescent="0.25">
      <c r="A6150" t="str">
        <f>"20190303162034313"</f>
        <v>20190303162034313</v>
      </c>
      <c r="B6150" t="str">
        <f>"1551601234308665"</f>
        <v>1551601234308665</v>
      </c>
      <c r="C6150" t="s">
        <v>40</v>
      </c>
      <c r="D6150">
        <v>4.8368010000000004</v>
      </c>
      <c r="E6150">
        <v>0.49280449999999998</v>
      </c>
      <c r="F6150" t="s">
        <v>42</v>
      </c>
      <c r="G6150">
        <v>-193.67160000000001</v>
      </c>
      <c r="H6150">
        <v>0.93576550000000003</v>
      </c>
      <c r="I6150">
        <v>155.49</v>
      </c>
      <c r="J6150">
        <v>-193.43199999999999</v>
      </c>
      <c r="K6150">
        <v>1.115882</v>
      </c>
      <c r="L6150">
        <v>156.04669999999999</v>
      </c>
      <c r="M6150">
        <v>-0.16955249999999999</v>
      </c>
      <c r="N6150">
        <v>-9.5291379999999995E-3</v>
      </c>
      <c r="O6150">
        <v>-0.9854752</v>
      </c>
      <c r="P6150">
        <v>-0.3882816</v>
      </c>
      <c r="Q6150">
        <v>0.12325319999999999</v>
      </c>
      <c r="R6150">
        <v>-0.91326169999999995</v>
      </c>
      <c r="S6150">
        <v>-1.10585</v>
      </c>
      <c r="T6150">
        <v>-0.7351645</v>
      </c>
      <c r="U6150">
        <v>-2.9110109999999998</v>
      </c>
      <c r="V6150">
        <v>0.22944000000000001</v>
      </c>
      <c r="W6150">
        <v>0.12960099999999999</v>
      </c>
      <c r="X6150">
        <v>0.96465579999999995</v>
      </c>
      <c r="Y6150">
        <v>0.1823748</v>
      </c>
      <c r="Z6150">
        <v>0.22115679999999999</v>
      </c>
      <c r="AA6150">
        <v>0.95803400000000005</v>
      </c>
      <c r="AB6150">
        <v>24</v>
      </c>
      <c r="AC6150">
        <v>-0.23959999999999501</v>
      </c>
      <c r="AD6150">
        <v>-0.18011649999999901</v>
      </c>
      <c r="AE6150">
        <v>-0.55669999999997799</v>
      </c>
      <c r="AF6150">
        <v>0.13023412875443199</v>
      </c>
      <c r="AG6150">
        <v>-0.18011649999999901</v>
      </c>
      <c r="AH6150">
        <v>0.54144510630257303</v>
      </c>
      <c r="AI6150">
        <v>107.922983550786</v>
      </c>
      <c r="AJ6150">
        <v>76.4755235298733</v>
      </c>
      <c r="AK6150">
        <v>0.58529111133151501</v>
      </c>
      <c r="AL6150">
        <v>82.553463546183295</v>
      </c>
      <c r="AM6150">
        <v>76.620990394251606</v>
      </c>
      <c r="AN6150">
        <v>0.99999997263731899</v>
      </c>
    </row>
    <row r="6151" spans="1:40" x14ac:dyDescent="0.25">
      <c r="A6151" t="str">
        <f>"20190303162034327"</f>
        <v>20190303162034327</v>
      </c>
      <c r="B6151" t="str">
        <f>"1551601234318425"</f>
        <v>1551601234318425</v>
      </c>
      <c r="C6151" t="s">
        <v>40</v>
      </c>
      <c r="D6151">
        <v>4.832573</v>
      </c>
      <c r="E6151">
        <v>0.48461090000000001</v>
      </c>
      <c r="F6151" t="s">
        <v>42</v>
      </c>
      <c r="G6151">
        <v>-193.73</v>
      </c>
      <c r="H6151">
        <v>0.92303919999999995</v>
      </c>
      <c r="I6151">
        <v>155.2818</v>
      </c>
      <c r="J6151">
        <v>-193.4633</v>
      </c>
      <c r="K6151">
        <v>1.115729</v>
      </c>
      <c r="L6151">
        <v>155.89439999999999</v>
      </c>
      <c r="M6151">
        <v>-0.17447850000000001</v>
      </c>
      <c r="N6151">
        <v>-9.6164790000000007E-3</v>
      </c>
      <c r="O6151">
        <v>-0.98461399999999999</v>
      </c>
      <c r="P6151">
        <v>-0.39420110000000003</v>
      </c>
      <c r="Q6151">
        <v>0.1235957</v>
      </c>
      <c r="R6151">
        <v>-0.91067529999999997</v>
      </c>
      <c r="S6151">
        <v>-1.1307830000000001</v>
      </c>
      <c r="T6151">
        <v>-0.73159669999999999</v>
      </c>
      <c r="U6151">
        <v>-2.9029240000000001</v>
      </c>
      <c r="V6151">
        <v>0.23094609999999999</v>
      </c>
      <c r="W6151">
        <v>0.12991069999999999</v>
      </c>
      <c r="X6151">
        <v>0.96425470000000002</v>
      </c>
      <c r="Y6151">
        <v>0.18560979999999999</v>
      </c>
      <c r="Z6151">
        <v>0.21990950000000001</v>
      </c>
      <c r="AA6151">
        <v>0.95769979999999999</v>
      </c>
      <c r="AB6151">
        <v>24</v>
      </c>
      <c r="AC6151">
        <v>-0.266699999999985</v>
      </c>
      <c r="AD6151">
        <v>-0.19268979999999999</v>
      </c>
      <c r="AE6151">
        <v>-0.61259999999998604</v>
      </c>
      <c r="AF6151">
        <v>0.14376109220547401</v>
      </c>
      <c r="AG6151">
        <v>-0.19268979999999999</v>
      </c>
      <c r="AH6151">
        <v>0.59984657492542404</v>
      </c>
      <c r="AI6151">
        <v>107.34805284776201</v>
      </c>
      <c r="AJ6151">
        <v>76.522519538049494</v>
      </c>
      <c r="AK6151">
        <v>0.646229467067166</v>
      </c>
      <c r="AL6151">
        <v>82.535568022480305</v>
      </c>
      <c r="AM6151">
        <v>76.530958475929197</v>
      </c>
      <c r="AN6151">
        <v>1.00000000877589</v>
      </c>
    </row>
    <row r="6152" spans="1:40" x14ac:dyDescent="0.25">
      <c r="A6152" t="str">
        <f>"20190303162034338"</f>
        <v>20190303162034338</v>
      </c>
      <c r="B6152" t="str">
        <f>"1551601234328185"</f>
        <v>1551601234328185</v>
      </c>
      <c r="C6152" t="s">
        <v>40</v>
      </c>
      <c r="D6152">
        <v>4.8553800000000003</v>
      </c>
      <c r="E6152">
        <v>0.48406529999999998</v>
      </c>
      <c r="F6152" t="s">
        <v>42</v>
      </c>
      <c r="G6152">
        <v>-193.7655</v>
      </c>
      <c r="H6152">
        <v>0.87991909999999895</v>
      </c>
      <c r="I6152">
        <v>155.08349999999999</v>
      </c>
      <c r="J6152">
        <v>-193.49270000000001</v>
      </c>
      <c r="K6152">
        <v>1.1155900000000001</v>
      </c>
      <c r="L6152">
        <v>155.7568</v>
      </c>
      <c r="M6152">
        <v>-0.17909149999999999</v>
      </c>
      <c r="N6152">
        <v>-9.70501E-3</v>
      </c>
      <c r="O6152">
        <v>-0.98378480000000001</v>
      </c>
      <c r="P6152">
        <v>-0.39907179999999998</v>
      </c>
      <c r="Q6152">
        <v>0.123561</v>
      </c>
      <c r="R6152">
        <v>-0.9085569</v>
      </c>
      <c r="S6152">
        <v>-1.0940859999999999</v>
      </c>
      <c r="T6152">
        <v>-0.85379699999999903</v>
      </c>
      <c r="U6152">
        <v>-2.9365389999999998</v>
      </c>
      <c r="V6152">
        <v>0.23163880000000001</v>
      </c>
      <c r="W6152">
        <v>0.12986389999999901</v>
      </c>
      <c r="X6152">
        <v>0.96409480000000003</v>
      </c>
      <c r="Y6152">
        <v>0.16386500000000001</v>
      </c>
      <c r="Z6152">
        <v>0.25363750000000002</v>
      </c>
      <c r="AA6152">
        <v>0.95331860000000002</v>
      </c>
      <c r="AB6152">
        <v>24</v>
      </c>
      <c r="AC6152">
        <v>-0.272799999999989</v>
      </c>
      <c r="AD6152">
        <v>-0.23567089999999999</v>
      </c>
      <c r="AE6152">
        <v>-0.673300000000011</v>
      </c>
      <c r="AF6152">
        <v>0.13372759949739299</v>
      </c>
      <c r="AG6152">
        <v>-0.23567089999999999</v>
      </c>
      <c r="AH6152">
        <v>0.64354502112916201</v>
      </c>
      <c r="AI6152">
        <v>109.725196300726</v>
      </c>
      <c r="AJ6152">
        <v>78.261090929019403</v>
      </c>
      <c r="AK6152">
        <v>0.69826502002769697</v>
      </c>
      <c r="AL6152">
        <v>82.5382721190865</v>
      </c>
      <c r="AM6152">
        <v>76.489879506808705</v>
      </c>
      <c r="AN6152">
        <v>0.99999997478784397</v>
      </c>
    </row>
    <row r="6153" spans="1:40" x14ac:dyDescent="0.25">
      <c r="A6153" t="str">
        <f>"20190303162034351"</f>
        <v>20190303162034351</v>
      </c>
      <c r="B6153" t="str">
        <f>"1551601234348681"</f>
        <v>1551601234348681</v>
      </c>
      <c r="C6153" t="s">
        <v>40</v>
      </c>
      <c r="D6153">
        <v>4.7553739999999998</v>
      </c>
      <c r="E6153">
        <v>0.48284860000000002</v>
      </c>
      <c r="F6153" t="s">
        <v>42</v>
      </c>
      <c r="G6153">
        <v>-193.75299999999999</v>
      </c>
      <c r="H6153">
        <v>0.91046740000000004</v>
      </c>
      <c r="I6153">
        <v>155.0686</v>
      </c>
      <c r="J6153">
        <v>-193.51990000000001</v>
      </c>
      <c r="K6153">
        <v>1.115469</v>
      </c>
      <c r="L6153">
        <v>155.6328</v>
      </c>
      <c r="M6153">
        <v>-0.18333840000000001</v>
      </c>
      <c r="N6153">
        <v>-9.7867389999999992E-3</v>
      </c>
      <c r="O6153">
        <v>-0.98300120000000002</v>
      </c>
      <c r="P6153">
        <v>-0.40366839999999998</v>
      </c>
      <c r="Q6153">
        <v>0.1237181</v>
      </c>
      <c r="R6153">
        <v>-0.90650209999999998</v>
      </c>
      <c r="S6153">
        <v>-1.1090549999999999</v>
      </c>
      <c r="T6153">
        <v>-0.87414360000000002</v>
      </c>
      <c r="U6153">
        <v>-2.9337010000000001</v>
      </c>
      <c r="V6153">
        <v>0.23240920000000001</v>
      </c>
      <c r="W6153">
        <v>0.1300114</v>
      </c>
      <c r="X6153">
        <v>0.96388949999999995</v>
      </c>
      <c r="Y6153">
        <v>0.16364400000000001</v>
      </c>
      <c r="Z6153">
        <v>0.25909019999999999</v>
      </c>
      <c r="AA6153">
        <v>0.95188910000000004</v>
      </c>
      <c r="AB6153">
        <v>24</v>
      </c>
      <c r="AC6153">
        <v>-0.23309999999997899</v>
      </c>
      <c r="AD6153">
        <v>-0.20500160000000001</v>
      </c>
      <c r="AE6153">
        <v>-0.56419999999999904</v>
      </c>
      <c r="AF6153">
        <v>0.11296470514168799</v>
      </c>
      <c r="AG6153">
        <v>-0.20500160000000001</v>
      </c>
      <c r="AH6153">
        <v>0.53683371505128896</v>
      </c>
      <c r="AI6153">
        <v>110.490106907846</v>
      </c>
      <c r="AJ6153">
        <v>78.1167503704377</v>
      </c>
      <c r="AK6153">
        <v>0.58564248328316904</v>
      </c>
      <c r="AL6153">
        <v>82.529748802931394</v>
      </c>
      <c r="AM6153">
        <v>76.443821348041894</v>
      </c>
      <c r="AN6153">
        <v>0.99999998429242398</v>
      </c>
    </row>
    <row r="6154" spans="1:40" x14ac:dyDescent="0.25">
      <c r="A6154" t="str">
        <f>"20190303162034364"</f>
        <v>20190303162034364</v>
      </c>
      <c r="B6154" t="str">
        <f>"1551601234358442"</f>
        <v>1551601234358442</v>
      </c>
      <c r="C6154" t="s">
        <v>40</v>
      </c>
      <c r="D6154">
        <v>4.809787</v>
      </c>
      <c r="E6154">
        <v>0.4825547</v>
      </c>
      <c r="F6154" t="s">
        <v>42</v>
      </c>
      <c r="G6154">
        <v>-193.8125</v>
      </c>
      <c r="H6154">
        <v>0.88525499999999901</v>
      </c>
      <c r="I6154">
        <v>154.86539999999999</v>
      </c>
      <c r="J6154">
        <v>-193.55179999999999</v>
      </c>
      <c r="K6154">
        <v>1.115324</v>
      </c>
      <c r="L6154">
        <v>155.48949999999999</v>
      </c>
      <c r="M6154">
        <v>-0.18832779999999999</v>
      </c>
      <c r="N6154">
        <v>-9.8826169999999998E-3</v>
      </c>
      <c r="O6154">
        <v>-0.9820565</v>
      </c>
      <c r="P6154">
        <v>-0.40844619999999998</v>
      </c>
      <c r="Q6154">
        <v>0.1233669</v>
      </c>
      <c r="R6154">
        <v>-0.90440759999999998</v>
      </c>
      <c r="S6154">
        <v>-1.117767</v>
      </c>
      <c r="T6154">
        <v>-0.87916919999999898</v>
      </c>
      <c r="U6154">
        <v>-2.9316710000000001</v>
      </c>
      <c r="V6154">
        <v>0.2326366</v>
      </c>
      <c r="W6154">
        <v>0.12966340000000001</v>
      </c>
      <c r="X6154">
        <v>0.96388160000000001</v>
      </c>
      <c r="Y6154">
        <v>0.16121859999999999</v>
      </c>
      <c r="Z6154">
        <v>0.26015509999999997</v>
      </c>
      <c r="AA6154">
        <v>0.95201250000000004</v>
      </c>
      <c r="AB6154">
        <v>24</v>
      </c>
      <c r="AC6154">
        <v>-0.26070000000001398</v>
      </c>
      <c r="AD6154">
        <v>-0.230069</v>
      </c>
      <c r="AE6154">
        <v>-0.62409999999999799</v>
      </c>
      <c r="AF6154">
        <v>0.12413076676410301</v>
      </c>
      <c r="AG6154">
        <v>-0.230069</v>
      </c>
      <c r="AH6154">
        <v>0.59337361898497598</v>
      </c>
      <c r="AI6154">
        <v>110.782508244845</v>
      </c>
      <c r="AJ6154">
        <v>78.184405549754203</v>
      </c>
      <c r="AK6154">
        <v>0.64840762158211196</v>
      </c>
      <c r="AL6154">
        <v>82.549858533947699</v>
      </c>
      <c r="AM6154">
        <v>76.430940433580901</v>
      </c>
      <c r="AN6154">
        <v>1.0000000618888301</v>
      </c>
    </row>
    <row r="6155" spans="1:40" x14ac:dyDescent="0.25">
      <c r="A6155" t="str">
        <f>"20190303162034378"</f>
        <v>20190303162034378</v>
      </c>
      <c r="B6155" t="str">
        <f>"1551601234368202"</f>
        <v>1551601234368202</v>
      </c>
      <c r="C6155" t="s">
        <v>40</v>
      </c>
      <c r="D6155">
        <v>4.8103610000000003</v>
      </c>
      <c r="E6155">
        <v>0.48228860000000001</v>
      </c>
      <c r="F6155" t="s">
        <v>42</v>
      </c>
      <c r="G6155">
        <v>-193.8005</v>
      </c>
      <c r="H6155">
        <v>0.9210024</v>
      </c>
      <c r="I6155">
        <v>154.84799999999899</v>
      </c>
      <c r="J6155">
        <v>-193.58860000000001</v>
      </c>
      <c r="K6155">
        <v>1.115175</v>
      </c>
      <c r="L6155">
        <v>155.33090000000001</v>
      </c>
      <c r="M6155">
        <v>-0.1940518</v>
      </c>
      <c r="N6155">
        <v>-9.9948039999999995E-3</v>
      </c>
      <c r="O6155">
        <v>-0.98094049999999999</v>
      </c>
      <c r="P6155">
        <v>-0.41540899999999997</v>
      </c>
      <c r="Q6155">
        <v>0.1219401</v>
      </c>
      <c r="R6155">
        <v>-0.90142480000000003</v>
      </c>
      <c r="S6155">
        <v>-1.1338349999999999</v>
      </c>
      <c r="T6155">
        <v>-0.88584979999999902</v>
      </c>
      <c r="U6155">
        <v>-2.9258730000000002</v>
      </c>
      <c r="V6155">
        <v>0.2344453</v>
      </c>
      <c r="W6155">
        <v>0.12822500000000001</v>
      </c>
      <c r="X6155">
        <v>0.96363569999999998</v>
      </c>
      <c r="Y6155">
        <v>0.1604807</v>
      </c>
      <c r="Z6155">
        <v>0.26175789999999999</v>
      </c>
      <c r="AA6155">
        <v>0.95169780000000004</v>
      </c>
      <c r="AB6155">
        <v>24</v>
      </c>
      <c r="AC6155">
        <v>-0.21189999999998499</v>
      </c>
      <c r="AD6155">
        <v>-0.1941726</v>
      </c>
      <c r="AE6155">
        <v>-0.48290000000002897</v>
      </c>
      <c r="AF6155">
        <v>0.10052988108275</v>
      </c>
      <c r="AG6155">
        <v>-0.1941726</v>
      </c>
      <c r="AH6155">
        <v>0.45337449077375602</v>
      </c>
      <c r="AI6155">
        <v>112.691134875571</v>
      </c>
      <c r="AJ6155">
        <v>77.497690119536699</v>
      </c>
      <c r="AK6155">
        <v>0.50334648550043004</v>
      </c>
      <c r="AL6155">
        <v>82.632966168617997</v>
      </c>
      <c r="AM6155">
        <v>76.326030511419901</v>
      </c>
      <c r="AN6155">
        <v>1.0000000058157801</v>
      </c>
    </row>
    <row r="6156" spans="1:40" x14ac:dyDescent="0.25">
      <c r="A6156" t="str">
        <f>"20190303162034392"</f>
        <v>20190303162034392</v>
      </c>
      <c r="B6156" t="str">
        <f>"1551601234388697"</f>
        <v>1551601234388697</v>
      </c>
      <c r="C6156" t="s">
        <v>40</v>
      </c>
      <c r="D6156">
        <v>4.7625289999999998</v>
      </c>
      <c r="E6156">
        <v>0.48189739999999998</v>
      </c>
      <c r="F6156" t="s">
        <v>42</v>
      </c>
      <c r="G6156">
        <v>-193.86170000000001</v>
      </c>
      <c r="H6156">
        <v>0.90411830000000004</v>
      </c>
      <c r="I6156">
        <v>154.64169999999999</v>
      </c>
      <c r="J6156">
        <v>-193.6225</v>
      </c>
      <c r="K6156">
        <v>1.1150420000000001</v>
      </c>
      <c r="L6156">
        <v>155.18879999999999</v>
      </c>
      <c r="M6156">
        <v>-0.19928689999999999</v>
      </c>
      <c r="N6156">
        <v>-1.0101199999999999E-2</v>
      </c>
      <c r="O6156">
        <v>-0.97988909999999996</v>
      </c>
      <c r="P6156">
        <v>-0.42191610000000002</v>
      </c>
      <c r="Q6156">
        <v>0.1212671</v>
      </c>
      <c r="R6156">
        <v>-0.89848850000000002</v>
      </c>
      <c r="S6156">
        <v>-1.1546940000000001</v>
      </c>
      <c r="T6156">
        <v>-0.8922833</v>
      </c>
      <c r="U6156">
        <v>-2.9166409999999998</v>
      </c>
      <c r="V6156">
        <v>0.23628660000000001</v>
      </c>
      <c r="W6156">
        <v>0.12754399999999999</v>
      </c>
      <c r="X6156">
        <v>0.96327629999999997</v>
      </c>
      <c r="Y6156">
        <v>0.16194159999999999</v>
      </c>
      <c r="Z6156">
        <v>0.26346770000000003</v>
      </c>
      <c r="AA6156">
        <v>0.95097830000000005</v>
      </c>
      <c r="AB6156">
        <v>24</v>
      </c>
      <c r="AC6156">
        <v>-0.23920000000000999</v>
      </c>
      <c r="AD6156">
        <v>-0.21092369999999999</v>
      </c>
      <c r="AE6156">
        <v>-0.54710000000000003</v>
      </c>
      <c r="AF6156">
        <v>0.11145814744371101</v>
      </c>
      <c r="AG6156">
        <v>-0.21092369999999999</v>
      </c>
      <c r="AH6156">
        <v>0.51903129707228102</v>
      </c>
      <c r="AI6156">
        <v>111.668996585793</v>
      </c>
      <c r="AJ6156">
        <v>77.880215087445507</v>
      </c>
      <c r="AK6156">
        <v>0.571231313211915</v>
      </c>
      <c r="AL6156">
        <v>82.672307801119203</v>
      </c>
      <c r="AM6156">
        <v>76.217769842173993</v>
      </c>
      <c r="AN6156">
        <v>1.00000002970862</v>
      </c>
    </row>
    <row r="6157" spans="1:40" x14ac:dyDescent="0.25">
      <c r="A6157" t="str">
        <f>"20190303162034405"</f>
        <v>20190303162034405</v>
      </c>
      <c r="B6157" t="str">
        <f>"1551601234398457"</f>
        <v>1551601234398457</v>
      </c>
      <c r="C6157" t="s">
        <v>40</v>
      </c>
      <c r="D6157">
        <v>4.8035649999999999</v>
      </c>
      <c r="E6157">
        <v>0.48187489999999999</v>
      </c>
      <c r="F6157" t="s">
        <v>42</v>
      </c>
      <c r="G6157">
        <v>-193.92500000000001</v>
      </c>
      <c r="H6157">
        <v>0.88284889999999905</v>
      </c>
      <c r="I6157">
        <v>154.4376</v>
      </c>
      <c r="J6157">
        <v>-193.65620000000001</v>
      </c>
      <c r="K6157">
        <v>1.1149089999999999</v>
      </c>
      <c r="L6157">
        <v>155.05000000000001</v>
      </c>
      <c r="M6157">
        <v>-0.20447100000000001</v>
      </c>
      <c r="N6157">
        <v>-1.020916E-2</v>
      </c>
      <c r="O6157">
        <v>-0.97881929999999995</v>
      </c>
      <c r="P6157">
        <v>-0.42910949999999998</v>
      </c>
      <c r="Q6157">
        <v>0.1201308</v>
      </c>
      <c r="R6157">
        <v>-0.89522809999999897</v>
      </c>
      <c r="S6157">
        <v>-1.171646</v>
      </c>
      <c r="T6157">
        <v>-0.89932990000000002</v>
      </c>
      <c r="U6157">
        <v>-2.9101409999999999</v>
      </c>
      <c r="V6157">
        <v>0.23891119999999999</v>
      </c>
      <c r="W6157">
        <v>0.1263908</v>
      </c>
      <c r="X6157">
        <v>0.96278079999999999</v>
      </c>
      <c r="Y6157">
        <v>0.1620345</v>
      </c>
      <c r="Z6157">
        <v>0.26520129999999997</v>
      </c>
      <c r="AA6157">
        <v>0.95048049999999995</v>
      </c>
      <c r="AB6157">
        <v>24</v>
      </c>
      <c r="AC6157">
        <v>-0.26879999999999798</v>
      </c>
      <c r="AD6157">
        <v>-0.23206009999999999</v>
      </c>
      <c r="AE6157">
        <v>-0.61240000000000705</v>
      </c>
      <c r="AF6157">
        <v>0.12307764606541099</v>
      </c>
      <c r="AG6157">
        <v>-0.23206009999999999</v>
      </c>
      <c r="AH6157">
        <v>0.58410107673582101</v>
      </c>
      <c r="AI6157">
        <v>111.243978120159</v>
      </c>
      <c r="AJ6157">
        <v>78.101104222972793</v>
      </c>
      <c r="AK6157">
        <v>0.64044833110638799</v>
      </c>
      <c r="AL6157">
        <v>82.738920418146293</v>
      </c>
      <c r="AM6157">
        <v>76.063722015917904</v>
      </c>
      <c r="AN6157">
        <v>1.0000000323293501</v>
      </c>
    </row>
    <row r="6158" spans="1:40" x14ac:dyDescent="0.25">
      <c r="A6158" t="str">
        <f>"20190303162034417"</f>
        <v>20190303162034417</v>
      </c>
      <c r="B6158" t="str">
        <f>"1551601234408218"</f>
        <v>1551601234408218</v>
      </c>
      <c r="C6158" t="s">
        <v>40</v>
      </c>
      <c r="D6158">
        <v>4.8361150000000004</v>
      </c>
      <c r="E6158">
        <v>0.48193019999999998</v>
      </c>
      <c r="F6158" t="s">
        <v>42</v>
      </c>
      <c r="G6158">
        <v>-193.99160000000001</v>
      </c>
      <c r="H6158">
        <v>0.86086509999999905</v>
      </c>
      <c r="I6158">
        <v>154.23429999999999</v>
      </c>
      <c r="J6158">
        <v>-193.6917</v>
      </c>
      <c r="K6158">
        <v>1.1147910000000001</v>
      </c>
      <c r="L6158">
        <v>154.90940000000001</v>
      </c>
      <c r="M6158">
        <v>-0.20989279999999999</v>
      </c>
      <c r="N6158">
        <v>-1.032479E-2</v>
      </c>
      <c r="O6158">
        <v>-0.97767009999999999</v>
      </c>
      <c r="P6158">
        <v>-0.43668709999999999</v>
      </c>
      <c r="Q6158">
        <v>0.1189322</v>
      </c>
      <c r="R6158">
        <v>-0.8917176</v>
      </c>
      <c r="S6158">
        <v>-1.192383</v>
      </c>
      <c r="T6158">
        <v>-0.90305279999999999</v>
      </c>
      <c r="U6158">
        <v>-2.9007420000000002</v>
      </c>
      <c r="V6158">
        <v>0.2417309</v>
      </c>
      <c r="W6158">
        <v>0.12518270000000001</v>
      </c>
      <c r="X6158">
        <v>0.96223460000000005</v>
      </c>
      <c r="Y6158">
        <v>0.1633558</v>
      </c>
      <c r="Z6158">
        <v>0.26609850000000002</v>
      </c>
      <c r="AA6158">
        <v>0.95000340000000005</v>
      </c>
      <c r="AB6158">
        <v>24</v>
      </c>
      <c r="AC6158">
        <v>-0.29990000000000799</v>
      </c>
      <c r="AD6158">
        <v>-0.25392589999999998</v>
      </c>
      <c r="AE6158">
        <v>-0.67510000000001402</v>
      </c>
      <c r="AF6158">
        <v>0.13550213174973499</v>
      </c>
      <c r="AG6158">
        <v>-0.25392589999999998</v>
      </c>
      <c r="AH6158">
        <v>0.64660885954427105</v>
      </c>
      <c r="AI6158">
        <v>111.024527997251</v>
      </c>
      <c r="AJ6158">
        <v>78.164471977161298</v>
      </c>
      <c r="AK6158">
        <v>0.70777270902506295</v>
      </c>
      <c r="AL6158">
        <v>82.808693267414299</v>
      </c>
      <c r="AM6158">
        <v>75.898080288708996</v>
      </c>
      <c r="AN6158">
        <v>0.99999998091562903</v>
      </c>
    </row>
    <row r="6159" spans="1:40" x14ac:dyDescent="0.25">
      <c r="A6159" t="str">
        <f>"20190303162034430"</f>
        <v>20190303162034430</v>
      </c>
      <c r="B6159" t="str">
        <f>"1551601234428712"</f>
        <v>1551601234428712</v>
      </c>
      <c r="C6159" t="s">
        <v>40</v>
      </c>
      <c r="D6159">
        <v>4.7921480000000001</v>
      </c>
      <c r="E6159">
        <v>0.48174699999999998</v>
      </c>
      <c r="F6159" t="s">
        <v>42</v>
      </c>
      <c r="G6159">
        <v>-193.9829</v>
      </c>
      <c r="H6159">
        <v>0.89709689999999997</v>
      </c>
      <c r="I6159">
        <v>154.2174</v>
      </c>
      <c r="J6159">
        <v>-193.726</v>
      </c>
      <c r="K6159">
        <v>1.114682</v>
      </c>
      <c r="L6159">
        <v>154.7758</v>
      </c>
      <c r="M6159">
        <v>-0.2150977</v>
      </c>
      <c r="N6159">
        <v>-1.043229E-2</v>
      </c>
      <c r="O6159">
        <v>-0.97653690000000004</v>
      </c>
      <c r="P6159">
        <v>-0.4443068</v>
      </c>
      <c r="Q6159">
        <v>0.11757579999999999</v>
      </c>
      <c r="R6159">
        <v>-0.88812590000000002</v>
      </c>
      <c r="S6159">
        <v>-1.2156979999999999</v>
      </c>
      <c r="T6159">
        <v>-0.90884219999999905</v>
      </c>
      <c r="U6159">
        <v>-2.8901520000000001</v>
      </c>
      <c r="V6159">
        <v>0.24482290000000001</v>
      </c>
      <c r="W6159">
        <v>0.12380969999999999</v>
      </c>
      <c r="X6159">
        <v>0.96163030000000005</v>
      </c>
      <c r="Y6159">
        <v>0.16567889999999999</v>
      </c>
      <c r="Z6159">
        <v>0.2676152</v>
      </c>
      <c r="AA6159">
        <v>0.94917470000000004</v>
      </c>
      <c r="AB6159">
        <v>24</v>
      </c>
      <c r="AC6159">
        <v>-0.25690000000000102</v>
      </c>
      <c r="AD6159">
        <v>-0.217585099999999</v>
      </c>
      <c r="AE6159">
        <v>-0.558400000000006</v>
      </c>
      <c r="AF6159">
        <v>0.116206945418797</v>
      </c>
      <c r="AG6159">
        <v>-0.217585099999999</v>
      </c>
      <c r="AH6159">
        <v>0.53371004121689603</v>
      </c>
      <c r="AI6159">
        <v>111.71990896896401</v>
      </c>
      <c r="AJ6159">
        <v>77.716466010462298</v>
      </c>
      <c r="AK6159">
        <v>0.58795725865178095</v>
      </c>
      <c r="AL6159">
        <v>82.887977082375897</v>
      </c>
      <c r="AM6159">
        <v>75.716426647178096</v>
      </c>
      <c r="AN6159">
        <v>0.99999996402829405</v>
      </c>
    </row>
    <row r="6160" spans="1:40" x14ac:dyDescent="0.25">
      <c r="A6160" t="str">
        <f>"20190303162034448"</f>
        <v>20190303162034448</v>
      </c>
      <c r="B6160" t="str">
        <f>"1551601234438473"</f>
        <v>1551601234438473</v>
      </c>
      <c r="C6160" t="s">
        <v>40</v>
      </c>
      <c r="D6160">
        <v>4.7596049999999996</v>
      </c>
      <c r="E6160">
        <v>0.48144379999999998</v>
      </c>
      <c r="F6160" t="s">
        <v>42</v>
      </c>
      <c r="G6160">
        <v>-194.05279999999999</v>
      </c>
      <c r="H6160">
        <v>0.87358380000000002</v>
      </c>
      <c r="I6160">
        <v>154.01560000000001</v>
      </c>
      <c r="J6160">
        <v>-193.7747</v>
      </c>
      <c r="K6160">
        <v>1.1145320000000001</v>
      </c>
      <c r="L6160">
        <v>154.59219999999999</v>
      </c>
      <c r="M6160">
        <v>-0.2223831</v>
      </c>
      <c r="N6160">
        <v>-1.057545E-2</v>
      </c>
      <c r="O6160">
        <v>-0.97490220000000005</v>
      </c>
      <c r="P6160">
        <v>-0.4572543</v>
      </c>
      <c r="Q6160">
        <v>0.11430700000000001</v>
      </c>
      <c r="R6160">
        <v>-0.88195979999999996</v>
      </c>
      <c r="S6160">
        <v>-1.2379</v>
      </c>
      <c r="T6160">
        <v>-0.91333089999999995</v>
      </c>
      <c r="U6160">
        <v>-2.8795320000000002</v>
      </c>
      <c r="V6160">
        <v>0.25161220000000001</v>
      </c>
      <c r="W6160">
        <v>0.1204727</v>
      </c>
      <c r="X6160">
        <v>0.96030079999999995</v>
      </c>
      <c r="Y6160">
        <v>0.16564039999999999</v>
      </c>
      <c r="Z6160">
        <v>0.26859690000000003</v>
      </c>
      <c r="AA6160">
        <v>0.94890410000000003</v>
      </c>
      <c r="AB6160">
        <v>24</v>
      </c>
      <c r="AC6160">
        <v>-0.27809999999999402</v>
      </c>
      <c r="AD6160">
        <v>-0.2409482</v>
      </c>
      <c r="AE6160">
        <v>-0.57659999999998401</v>
      </c>
      <c r="AF6160">
        <v>0.12516977905375901</v>
      </c>
      <c r="AG6160">
        <v>-0.2409482</v>
      </c>
      <c r="AH6160">
        <v>0.546576437022807</v>
      </c>
      <c r="AI6160">
        <v>113.25357457093</v>
      </c>
      <c r="AJ6160">
        <v>77.101288474465804</v>
      </c>
      <c r="AK6160">
        <v>0.61030263818875496</v>
      </c>
      <c r="AL6160">
        <v>83.0806157751543</v>
      </c>
      <c r="AM6160">
        <v>75.317752905689105</v>
      </c>
      <c r="AN6160">
        <v>0.99999999855738497</v>
      </c>
    </row>
    <row r="6161" spans="1:40" x14ac:dyDescent="0.25">
      <c r="A6161" t="str">
        <f>"20190303162034462"</f>
        <v>20190303162034462</v>
      </c>
      <c r="B6161" t="str">
        <f>"1551601234458969"</f>
        <v>1551601234458969</v>
      </c>
      <c r="C6161" t="s">
        <v>40</v>
      </c>
      <c r="D6161">
        <v>4.9296559999999996</v>
      </c>
      <c r="E6161">
        <v>0.48137580000000002</v>
      </c>
      <c r="F6161" t="s">
        <v>42</v>
      </c>
      <c r="G6161">
        <v>-194.1233</v>
      </c>
      <c r="H6161">
        <v>0.86166559999999903</v>
      </c>
      <c r="I6161">
        <v>153.8092</v>
      </c>
      <c r="J6161">
        <v>-193.8192</v>
      </c>
      <c r="K6161">
        <v>1.1144179999999999</v>
      </c>
      <c r="L6161">
        <v>154.42920000000001</v>
      </c>
      <c r="M6161">
        <v>-0.22897790000000001</v>
      </c>
      <c r="N6161">
        <v>-1.069443E-2</v>
      </c>
      <c r="O6161">
        <v>-0.97337300000000004</v>
      </c>
      <c r="P6161">
        <v>-0.46656760000000003</v>
      </c>
      <c r="Q6161">
        <v>0.1136765</v>
      </c>
      <c r="R6161">
        <v>-0.87715019999999999</v>
      </c>
      <c r="S6161">
        <v>-1.27359</v>
      </c>
      <c r="T6161">
        <v>-0.92368050000000002</v>
      </c>
      <c r="U6161">
        <v>-2.8609010000000001</v>
      </c>
      <c r="V6161">
        <v>0.25528849999999997</v>
      </c>
      <c r="W6161">
        <v>0.11981749999999999</v>
      </c>
      <c r="X6161">
        <v>0.95941209999999999</v>
      </c>
      <c r="Y6161">
        <v>0.17076340000000001</v>
      </c>
      <c r="Z6161">
        <v>0.27158169999999998</v>
      </c>
      <c r="AA6161">
        <v>0.94714469999999995</v>
      </c>
      <c r="AB6161">
        <v>25</v>
      </c>
      <c r="AC6161">
        <v>-0.30410000000000498</v>
      </c>
      <c r="AD6161">
        <v>-0.25275239999999999</v>
      </c>
      <c r="AE6161">
        <v>-0.62000000000000399</v>
      </c>
      <c r="AF6161">
        <v>0.13584679774872099</v>
      </c>
      <c r="AG6161">
        <v>-0.25275239999999999</v>
      </c>
      <c r="AH6161">
        <v>0.59363660245182204</v>
      </c>
      <c r="AI6161">
        <v>112.540454541405</v>
      </c>
      <c r="AJ6161">
        <v>77.110467242743297</v>
      </c>
      <c r="AK6161">
        <v>0.65935009208680995</v>
      </c>
      <c r="AL6161">
        <v>83.118429993927094</v>
      </c>
      <c r="AM6161">
        <v>75.099515992596295</v>
      </c>
      <c r="AN6161">
        <v>1.0000000145824499</v>
      </c>
    </row>
    <row r="6162" spans="1:40" x14ac:dyDescent="0.25">
      <c r="A6162" t="str">
        <f>"20190303162034481"</f>
        <v>20190303162034481</v>
      </c>
      <c r="B6162" t="str">
        <f>"1551601234468729"</f>
        <v>1551601234468729</v>
      </c>
      <c r="C6162" t="s">
        <v>40</v>
      </c>
      <c r="D6162">
        <v>4.8765580000000002</v>
      </c>
      <c r="E6162">
        <v>0.50448879999999996</v>
      </c>
      <c r="F6162" t="s">
        <v>42</v>
      </c>
      <c r="G6162">
        <v>-194.1122</v>
      </c>
      <c r="H6162">
        <v>0.90612479999999995</v>
      </c>
      <c r="I6162">
        <v>153.7878</v>
      </c>
      <c r="J6162">
        <v>-193.8758</v>
      </c>
      <c r="K6162">
        <v>1.1142810000000001</v>
      </c>
      <c r="L6162">
        <v>154.22919999999999</v>
      </c>
      <c r="M6162">
        <v>-0.2372099</v>
      </c>
      <c r="N6162">
        <v>-1.083099E-2</v>
      </c>
      <c r="O6162">
        <v>-0.97139819999999999</v>
      </c>
      <c r="P6162">
        <v>-0.48391669999999998</v>
      </c>
      <c r="Q6162">
        <v>0.1132503</v>
      </c>
      <c r="R6162">
        <v>-0.86775559999999996</v>
      </c>
      <c r="S6162">
        <v>-1.3005519999999999</v>
      </c>
      <c r="T6162">
        <v>-0.92477120000000002</v>
      </c>
      <c r="U6162">
        <v>-2.8482509999999999</v>
      </c>
      <c r="V6162">
        <v>0.26625929999999998</v>
      </c>
      <c r="W6162">
        <v>0.1192304</v>
      </c>
      <c r="X6162">
        <v>0.95649890000000004</v>
      </c>
      <c r="Y6162">
        <v>0.171426</v>
      </c>
      <c r="Z6162">
        <v>0.2715205</v>
      </c>
      <c r="AA6162">
        <v>0.94704259999999996</v>
      </c>
      <c r="AB6162">
        <v>25</v>
      </c>
      <c r="AC6162">
        <v>-0.236400000000003</v>
      </c>
      <c r="AD6162">
        <v>-0.20815619999999899</v>
      </c>
      <c r="AE6162">
        <v>-0.44139999999998702</v>
      </c>
      <c r="AF6162">
        <v>0.106530836762363</v>
      </c>
      <c r="AG6162">
        <v>-0.20815619999999899</v>
      </c>
      <c r="AH6162">
        <v>0.41343117294366899</v>
      </c>
      <c r="AI6162">
        <v>115.99194551358801</v>
      </c>
      <c r="AJ6162">
        <v>75.550637302976995</v>
      </c>
      <c r="AK6162">
        <v>0.47497700738173299</v>
      </c>
      <c r="AL6162">
        <v>83.152311297534794</v>
      </c>
      <c r="AM6162">
        <v>74.444464834499797</v>
      </c>
      <c r="AN6162">
        <v>1.00000002441092</v>
      </c>
    </row>
    <row r="6163" spans="1:40" x14ac:dyDescent="0.25">
      <c r="A6163" t="str">
        <f>"20190303162034502"</f>
        <v>20190303162034502</v>
      </c>
      <c r="B6163" t="str">
        <f>"1551601234498985"</f>
        <v>1551601234498985</v>
      </c>
      <c r="C6163" t="s">
        <v>40</v>
      </c>
      <c r="D6163">
        <v>4.8489839999999997</v>
      </c>
      <c r="E6163">
        <v>0.5676175</v>
      </c>
      <c r="F6163" t="s">
        <v>42</v>
      </c>
      <c r="G6163">
        <v>-194.24889999999999</v>
      </c>
      <c r="H6163">
        <v>0.97112390000000004</v>
      </c>
      <c r="I6163">
        <v>153.55959999999999</v>
      </c>
      <c r="J6163">
        <v>-193.9436</v>
      </c>
      <c r="K6163">
        <v>1.1141209999999999</v>
      </c>
      <c r="L6163">
        <v>153.99780000000001</v>
      </c>
      <c r="M6163">
        <v>-0.2469285</v>
      </c>
      <c r="N6163">
        <v>-1.0979879999999999E-2</v>
      </c>
      <c r="O6163">
        <v>-0.96897180000000005</v>
      </c>
      <c r="P6163">
        <v>-0.5027199</v>
      </c>
      <c r="Q6163">
        <v>0.11143749999999999</v>
      </c>
      <c r="R6163">
        <v>-0.85723700000000003</v>
      </c>
      <c r="S6163">
        <v>-1.501266</v>
      </c>
      <c r="T6163">
        <v>-0.57585909999999996</v>
      </c>
      <c r="U6163">
        <v>-2.69516</v>
      </c>
      <c r="V6163">
        <v>0.27748129999999999</v>
      </c>
      <c r="W6163">
        <v>0.11724560000000001</v>
      </c>
      <c r="X6163">
        <v>0.95355000000000001</v>
      </c>
      <c r="Y6163">
        <v>0.2480057</v>
      </c>
      <c r="Z6163">
        <v>0.17352719999999999</v>
      </c>
      <c r="AA6163">
        <v>0.95309049999999995</v>
      </c>
      <c r="AB6163">
        <v>25</v>
      </c>
      <c r="AC6163">
        <v>-0.30529999999998803</v>
      </c>
      <c r="AD6163">
        <v>-0.14299709999999999</v>
      </c>
      <c r="AE6163">
        <v>-0.43820000000002302</v>
      </c>
      <c r="AF6163">
        <v>0.17508247723440101</v>
      </c>
      <c r="AG6163">
        <v>-0.14299709999999999</v>
      </c>
      <c r="AH6163">
        <v>0.46657180930980802</v>
      </c>
      <c r="AI6163">
        <v>106.01065484543101</v>
      </c>
      <c r="AJ6163">
        <v>69.431246508813601</v>
      </c>
      <c r="AK6163">
        <v>0.51845086332802304</v>
      </c>
      <c r="AL6163">
        <v>83.266835183160694</v>
      </c>
      <c r="AM6163">
        <v>73.775101066375001</v>
      </c>
      <c r="AN6163">
        <v>1.0000000025345199</v>
      </c>
    </row>
    <row r="6164" spans="1:40" x14ac:dyDescent="0.25">
      <c r="A6164" t="str">
        <f>"20190303162034515"</f>
        <v>20190303162034515</v>
      </c>
      <c r="B6164" t="str">
        <f>"1551601234508745"</f>
        <v>1551601234508745</v>
      </c>
      <c r="C6164" t="s">
        <v>40</v>
      </c>
      <c r="D6164">
        <v>4.8949389999999999</v>
      </c>
      <c r="E6164">
        <v>0.574573</v>
      </c>
      <c r="F6164" t="s">
        <v>50</v>
      </c>
      <c r="G6164">
        <v>-203.56549999999999</v>
      </c>
      <c r="H6164" s="1">
        <v>-8.8929389999999992E-6</v>
      </c>
      <c r="I6164">
        <v>142.51259999999999</v>
      </c>
      <c r="J6164">
        <v>-193.98410000000001</v>
      </c>
      <c r="K6164">
        <v>1.1140270000000001</v>
      </c>
      <c r="L6164">
        <v>153.8646</v>
      </c>
      <c r="M6164">
        <v>-0.25263600000000003</v>
      </c>
      <c r="N6164">
        <v>-1.106146E-2</v>
      </c>
      <c r="O6164">
        <v>-0.96749810000000003</v>
      </c>
      <c r="P6164">
        <v>-0.51243279999999902</v>
      </c>
      <c r="Q6164">
        <v>0.109588</v>
      </c>
      <c r="R6164">
        <v>-0.85170610000000002</v>
      </c>
      <c r="S6164">
        <v>-1.9827269999999999</v>
      </c>
      <c r="T6164">
        <v>-0.22958339999999999</v>
      </c>
      <c r="U6164">
        <v>-2.3666839999999998</v>
      </c>
      <c r="V6164">
        <v>0.28263579999999999</v>
      </c>
      <c r="W6164">
        <v>0.11531470000000001</v>
      </c>
      <c r="X6164">
        <v>0.95227070000000003</v>
      </c>
      <c r="Y6164">
        <v>0.42609269999999999</v>
      </c>
      <c r="Z6164">
        <v>6.5901329999999994E-2</v>
      </c>
      <c r="AA6164">
        <v>0.90227610000000003</v>
      </c>
      <c r="AB6164">
        <v>25</v>
      </c>
      <c r="AC6164">
        <v>-9.5813999999999702</v>
      </c>
      <c r="AD6164">
        <v>-1.114035892939</v>
      </c>
      <c r="AE6164">
        <v>-11.352</v>
      </c>
      <c r="AF6164">
        <v>6.3666478663216202</v>
      </c>
      <c r="AG6164">
        <v>-1.114035892939</v>
      </c>
      <c r="AH6164">
        <v>13.3294994967963</v>
      </c>
      <c r="AI6164">
        <v>94.312840481047004</v>
      </c>
      <c r="AJ6164">
        <v>64.469182894259404</v>
      </c>
      <c r="AK6164">
        <v>14.8138731552416</v>
      </c>
      <c r="AL6164">
        <v>83.378223082763895</v>
      </c>
      <c r="AM6164">
        <v>73.469008708013007</v>
      </c>
      <c r="AN6164">
        <v>0.99999998077810903</v>
      </c>
    </row>
    <row r="6165" spans="1:40" x14ac:dyDescent="0.25">
      <c r="A6165" t="str">
        <f>"20190303162034529"</f>
        <v>20190303162034529</v>
      </c>
      <c r="B6165" t="str">
        <f>"1551601234518506"</f>
        <v>1551601234518506</v>
      </c>
      <c r="C6165" t="s">
        <v>40</v>
      </c>
      <c r="D6165">
        <v>4.8806770000000004</v>
      </c>
      <c r="E6165">
        <v>0.58083359999999995</v>
      </c>
      <c r="F6165" t="s">
        <v>50</v>
      </c>
      <c r="G6165">
        <v>-203.71170000000001</v>
      </c>
      <c r="H6165" s="1">
        <v>-8.9421420000000002E-6</v>
      </c>
      <c r="I6165">
        <v>142.9075</v>
      </c>
      <c r="J6165">
        <v>-194.03049999999999</v>
      </c>
      <c r="K6165">
        <v>1.11392</v>
      </c>
      <c r="L6165">
        <v>153.7148</v>
      </c>
      <c r="M6165">
        <v>-0.25911859999999998</v>
      </c>
      <c r="N6165">
        <v>-1.115065E-2</v>
      </c>
      <c r="O6165">
        <v>-0.96578120000000001</v>
      </c>
      <c r="P6165">
        <v>-0.52253050000000001</v>
      </c>
      <c r="Q6165">
        <v>0.1071583</v>
      </c>
      <c r="R6165">
        <v>-0.84586019999999895</v>
      </c>
      <c r="S6165">
        <v>-2.0558779999999999</v>
      </c>
      <c r="T6165">
        <v>-0.23544609999999999</v>
      </c>
      <c r="U6165">
        <v>-2.3157350000000001</v>
      </c>
      <c r="V6165">
        <v>0.28748780000000002</v>
      </c>
      <c r="W6165">
        <v>0.1128063</v>
      </c>
      <c r="X6165">
        <v>0.95111809999999997</v>
      </c>
      <c r="Y6165">
        <v>0.44570320000000002</v>
      </c>
      <c r="Z6165">
        <v>6.7795460000000002E-2</v>
      </c>
      <c r="AA6165">
        <v>0.89260989999999996</v>
      </c>
      <c r="AB6165">
        <v>25</v>
      </c>
      <c r="AC6165">
        <v>-9.6812000000000094</v>
      </c>
      <c r="AD6165">
        <v>-1.113928942142</v>
      </c>
      <c r="AE6165">
        <v>-10.8072999999999</v>
      </c>
      <c r="AF6165">
        <v>6.5115757256125599</v>
      </c>
      <c r="AG6165">
        <v>-1.113928942142</v>
      </c>
      <c r="AH6165">
        <v>12.871007826872001</v>
      </c>
      <c r="AI6165">
        <v>94.415918948104306</v>
      </c>
      <c r="AJ6165">
        <v>63.16468053565</v>
      </c>
      <c r="AK6165">
        <v>14.467352853854401</v>
      </c>
      <c r="AL6165">
        <v>83.522888539128601</v>
      </c>
      <c r="AM6165">
        <v>73.181876098234795</v>
      </c>
      <c r="AN6165">
        <v>1.0000000683080601</v>
      </c>
    </row>
    <row r="6166" spans="1:40" x14ac:dyDescent="0.25">
      <c r="A6166" t="str">
        <f>"20190303162034541"</f>
        <v>20190303162034541</v>
      </c>
      <c r="B6166" t="str">
        <f>"1551601234528265"</f>
        <v>1551601234528265</v>
      </c>
      <c r="C6166" t="s">
        <v>40</v>
      </c>
      <c r="D6166">
        <v>4.9320250000000003</v>
      </c>
      <c r="E6166">
        <v>0.584383599999999</v>
      </c>
      <c r="F6166" t="s">
        <v>50</v>
      </c>
      <c r="G6166">
        <v>-203.71440000000001</v>
      </c>
      <c r="H6166" s="1">
        <v>-9.0691719999999996E-6</v>
      </c>
      <c r="I6166">
        <v>143.39259999999999</v>
      </c>
      <c r="J6166">
        <v>-194.07390000000001</v>
      </c>
      <c r="K6166">
        <v>1.113815</v>
      </c>
      <c r="L6166">
        <v>153.578</v>
      </c>
      <c r="M6166">
        <v>-0.26512459999999999</v>
      </c>
      <c r="N6166">
        <v>-1.122926E-2</v>
      </c>
      <c r="O6166">
        <v>-0.96414889999999998</v>
      </c>
      <c r="P6166">
        <v>-0.53146990000000005</v>
      </c>
      <c r="Q6166">
        <v>0.10462009999999999</v>
      </c>
      <c r="R6166">
        <v>-0.84059200000000001</v>
      </c>
      <c r="S6166">
        <v>-2.124924</v>
      </c>
      <c r="T6166">
        <v>-0.2444259</v>
      </c>
      <c r="U6166">
        <v>-2.2649689999999998</v>
      </c>
      <c r="V6166">
        <v>0.29155180000000003</v>
      </c>
      <c r="W6166">
        <v>0.1101968</v>
      </c>
      <c r="X6166">
        <v>0.95018639999999999</v>
      </c>
      <c r="Y6166">
        <v>0.46440910000000002</v>
      </c>
      <c r="Z6166">
        <v>7.0727719999999994E-2</v>
      </c>
      <c r="AA6166">
        <v>0.88279209999999997</v>
      </c>
      <c r="AB6166">
        <v>25</v>
      </c>
      <c r="AC6166">
        <v>-9.6404999999999994</v>
      </c>
      <c r="AD6166">
        <v>-1.1138240691720001</v>
      </c>
      <c r="AE6166">
        <v>-10.1854</v>
      </c>
      <c r="AF6166">
        <v>6.5535546452891698</v>
      </c>
      <c r="AG6166">
        <v>-1.1138240691720001</v>
      </c>
      <c r="AH6166">
        <v>12.299374248388601</v>
      </c>
      <c r="AI6166">
        <v>94.569471780272394</v>
      </c>
      <c r="AJ6166">
        <v>61.949683297580101</v>
      </c>
      <c r="AK6166">
        <v>13.9808543890487</v>
      </c>
      <c r="AL6166">
        <v>83.6733395942436</v>
      </c>
      <c r="AM6166">
        <v>72.942078995863795</v>
      </c>
      <c r="AN6166">
        <v>0.99999999077921897</v>
      </c>
    </row>
    <row r="6167" spans="1:40" x14ac:dyDescent="0.25">
      <c r="A6167" t="str">
        <f>"20190303162034558"</f>
        <v>20190303162034558</v>
      </c>
      <c r="B6167" t="str">
        <f>"1551601234548761"</f>
        <v>1551601234548761</v>
      </c>
      <c r="C6167" t="s">
        <v>40</v>
      </c>
      <c r="D6167">
        <v>4.7783290000000003</v>
      </c>
      <c r="E6167">
        <v>0.58965679999999998</v>
      </c>
      <c r="F6167" t="s">
        <v>50</v>
      </c>
      <c r="G6167">
        <v>-203.5718</v>
      </c>
      <c r="H6167" s="1">
        <v>-9.2401509999999993E-6</v>
      </c>
      <c r="I6167">
        <v>143.83690000000001</v>
      </c>
      <c r="J6167">
        <v>-194.12979999999999</v>
      </c>
      <c r="K6167">
        <v>1.113667</v>
      </c>
      <c r="L6167">
        <v>153.40710000000001</v>
      </c>
      <c r="M6167">
        <v>-0.27274120000000002</v>
      </c>
      <c r="N6167">
        <v>-1.1322570000000001E-2</v>
      </c>
      <c r="O6167">
        <v>-0.96202100000000002</v>
      </c>
      <c r="P6167">
        <v>-0.54434569999999904</v>
      </c>
      <c r="Q6167">
        <v>9.8990629999999996E-2</v>
      </c>
      <c r="R6167">
        <v>-0.83300010000000002</v>
      </c>
      <c r="S6167">
        <v>-2.1718440000000001</v>
      </c>
      <c r="T6167">
        <v>-0.25469340000000001</v>
      </c>
      <c r="U6167">
        <v>-2.2274479999999999</v>
      </c>
      <c r="V6167">
        <v>0.29840719999999998</v>
      </c>
      <c r="W6167">
        <v>0.10443479999999999</v>
      </c>
      <c r="X6167">
        <v>0.94870779999999999</v>
      </c>
      <c r="Y6167">
        <v>0.47419339999999999</v>
      </c>
      <c r="Z6167">
        <v>7.4052209999999993E-2</v>
      </c>
      <c r="AA6167">
        <v>0.87730090000000005</v>
      </c>
      <c r="AB6167">
        <v>25</v>
      </c>
      <c r="AC6167">
        <v>-9.4420000000000002</v>
      </c>
      <c r="AD6167">
        <v>-1.1136762401510001</v>
      </c>
      <c r="AE6167">
        <v>-9.5701999999999998</v>
      </c>
      <c r="AF6167">
        <v>6.4295076645311102</v>
      </c>
      <c r="AG6167">
        <v>-1.1136762401510001</v>
      </c>
      <c r="AH6167">
        <v>11.7024046720807</v>
      </c>
      <c r="AI6167">
        <v>94.767825051164195</v>
      </c>
      <c r="AJ6167">
        <v>61.214829634924499</v>
      </c>
      <c r="AK6167">
        <v>13.398698395190401</v>
      </c>
      <c r="AL6167">
        <v>84.005395965988001</v>
      </c>
      <c r="AM6167">
        <v>72.539517138508202</v>
      </c>
      <c r="AN6167">
        <v>0.999999987121859</v>
      </c>
    </row>
    <row r="6168" spans="1:40" x14ac:dyDescent="0.25">
      <c r="A6168" t="str">
        <f>"20190303162034572"</f>
        <v>20190303162034572</v>
      </c>
      <c r="B6168" t="str">
        <f>"1551601234558521"</f>
        <v>1551601234558521</v>
      </c>
      <c r="C6168" t="s">
        <v>40</v>
      </c>
      <c r="D6168">
        <v>4.7284040000000003</v>
      </c>
      <c r="E6168">
        <v>0.59184720000000002</v>
      </c>
      <c r="F6168" t="s">
        <v>50</v>
      </c>
      <c r="G6168">
        <v>-203.70079999999999</v>
      </c>
      <c r="H6168" s="1">
        <v>-9.2713340000000002E-6</v>
      </c>
      <c r="I6168">
        <v>144.13890000000001</v>
      </c>
      <c r="J6168">
        <v>-194.17850000000001</v>
      </c>
      <c r="K6168">
        <v>1.113551</v>
      </c>
      <c r="L6168">
        <v>153.26169999999999</v>
      </c>
      <c r="M6168">
        <v>-0.27930820000000001</v>
      </c>
      <c r="N6168">
        <v>-1.139824E-2</v>
      </c>
      <c r="O6168">
        <v>-0.96013369999999998</v>
      </c>
      <c r="P6168">
        <v>-0.55261519999999897</v>
      </c>
      <c r="Q6168">
        <v>9.5151459999999993E-2</v>
      </c>
      <c r="R6168">
        <v>-0.82798700000000003</v>
      </c>
      <c r="S6168">
        <v>-2.2396850000000001</v>
      </c>
      <c r="T6168">
        <v>-0.26060870000000003</v>
      </c>
      <c r="U6168">
        <v>-2.1688230000000002</v>
      </c>
      <c r="V6168">
        <v>0.3012069</v>
      </c>
      <c r="W6168">
        <v>0.10053910000000001</v>
      </c>
      <c r="X6168">
        <v>0.94824379999999997</v>
      </c>
      <c r="Y6168">
        <v>0.49313459999999998</v>
      </c>
      <c r="Z6168">
        <v>7.607324E-2</v>
      </c>
      <c r="AA6168">
        <v>0.86662050000000002</v>
      </c>
      <c r="AB6168">
        <v>25</v>
      </c>
      <c r="AC6168">
        <v>-9.5222999999999693</v>
      </c>
      <c r="AD6168">
        <v>-1.113560271334</v>
      </c>
      <c r="AE6168">
        <v>-9.1227999999999803</v>
      </c>
      <c r="AF6168">
        <v>6.5483437601512602</v>
      </c>
      <c r="AG6168">
        <v>-1.113560271334</v>
      </c>
      <c r="AH6168">
        <v>11.338655764497201</v>
      </c>
      <c r="AI6168">
        <v>94.861037927299506</v>
      </c>
      <c r="AJ6168">
        <v>59.992542879778398</v>
      </c>
      <c r="AK6168">
        <v>13.141002131678199</v>
      </c>
      <c r="AL6168">
        <v>84.229784945596904</v>
      </c>
      <c r="AM6168">
        <v>72.377700253071694</v>
      </c>
      <c r="AN6168">
        <v>1.0000000057374201</v>
      </c>
    </row>
    <row r="6169" spans="1:40" x14ac:dyDescent="0.25">
      <c r="A6169" t="str">
        <f>"20190303162034584"</f>
        <v>20190303162034584</v>
      </c>
      <c r="B6169" t="str">
        <f>"1551601234579017"</f>
        <v>1551601234579017</v>
      </c>
      <c r="C6169" t="s">
        <v>40</v>
      </c>
      <c r="D6169">
        <v>4.7781580000000003</v>
      </c>
      <c r="E6169">
        <v>0.59362890000000001</v>
      </c>
      <c r="F6169" t="s">
        <v>50</v>
      </c>
      <c r="G6169">
        <v>-203.78530000000001</v>
      </c>
      <c r="H6169" s="1">
        <v>-9.2674709999999996E-6</v>
      </c>
      <c r="I6169">
        <v>144.2448</v>
      </c>
      <c r="J6169">
        <v>-194.2269</v>
      </c>
      <c r="K6169">
        <v>1.113437</v>
      </c>
      <c r="L6169">
        <v>153.1198</v>
      </c>
      <c r="M6169">
        <v>-0.2857788</v>
      </c>
      <c r="N6169">
        <v>-1.146903E-2</v>
      </c>
      <c r="O6169">
        <v>-0.95822719999999995</v>
      </c>
      <c r="P6169">
        <v>-0.56001780000000001</v>
      </c>
      <c r="Q6169">
        <v>9.1675419999999994E-2</v>
      </c>
      <c r="R6169">
        <v>-0.82339329999999999</v>
      </c>
      <c r="S6169">
        <v>-2.274918</v>
      </c>
      <c r="T6169">
        <v>-0.26369429999999999</v>
      </c>
      <c r="U6169">
        <v>-2.1352229999999999</v>
      </c>
      <c r="V6169">
        <v>0.30316310000000002</v>
      </c>
      <c r="W6169">
        <v>9.70197E-2</v>
      </c>
      <c r="X6169">
        <v>0.94798700000000002</v>
      </c>
      <c r="Y6169">
        <v>0.5007007</v>
      </c>
      <c r="Z6169">
        <v>7.7114119999999994E-2</v>
      </c>
      <c r="AA6169">
        <v>0.86217880000000002</v>
      </c>
      <c r="AB6169">
        <v>25</v>
      </c>
      <c r="AC6169">
        <v>-9.5584000000000007</v>
      </c>
      <c r="AD6169">
        <v>-1.113446267471</v>
      </c>
      <c r="AE6169">
        <v>-8.875</v>
      </c>
      <c r="AF6169">
        <v>6.5753502842115497</v>
      </c>
      <c r="AG6169">
        <v>-1.113446267471</v>
      </c>
      <c r="AH6169">
        <v>11.1553001427338</v>
      </c>
      <c r="AI6169">
        <v>94.914615619916603</v>
      </c>
      <c r="AJ6169">
        <v>59.483315332903999</v>
      </c>
      <c r="AK6169">
        <v>12.996757873604601</v>
      </c>
      <c r="AL6169">
        <v>84.432422927346394</v>
      </c>
      <c r="AM6169">
        <v>72.265896027533302</v>
      </c>
      <c r="AN6169">
        <v>1.0000000197793399</v>
      </c>
    </row>
    <row r="6170" spans="1:40" x14ac:dyDescent="0.25">
      <c r="A6170" t="str">
        <f>"20190303162034597"</f>
        <v>20190303162034597</v>
      </c>
      <c r="B6170" t="str">
        <f>"1551601234588777"</f>
        <v>1551601234588777</v>
      </c>
      <c r="C6170" t="s">
        <v>40</v>
      </c>
      <c r="D6170">
        <v>4.8143960000000003</v>
      </c>
      <c r="E6170">
        <v>0.59437659999999903</v>
      </c>
      <c r="F6170" t="s">
        <v>50</v>
      </c>
      <c r="G6170">
        <v>-204.0889</v>
      </c>
      <c r="H6170" s="1">
        <v>-9.1186370000000006E-6</v>
      </c>
      <c r="I6170">
        <v>144.114</v>
      </c>
      <c r="J6170">
        <v>-194.27340000000001</v>
      </c>
      <c r="K6170">
        <v>1.113335</v>
      </c>
      <c r="L6170">
        <v>152.9879</v>
      </c>
      <c r="M6170">
        <v>-0.29190339999999998</v>
      </c>
      <c r="N6170">
        <v>-1.153119E-2</v>
      </c>
      <c r="O6170">
        <v>-0.95637830000000001</v>
      </c>
      <c r="P6170">
        <v>-0.56636070000000005</v>
      </c>
      <c r="Q6170">
        <v>8.8444809999999999E-2</v>
      </c>
      <c r="R6170">
        <v>-0.81939830000000002</v>
      </c>
      <c r="S6170">
        <v>-2.3049010000000001</v>
      </c>
      <c r="T6170">
        <v>-0.26023030000000003</v>
      </c>
      <c r="U6170">
        <v>-2.104797</v>
      </c>
      <c r="V6170">
        <v>0.30427939999999998</v>
      </c>
      <c r="W6170">
        <v>9.3761159999999996E-2</v>
      </c>
      <c r="X6170">
        <v>0.94795720000000006</v>
      </c>
      <c r="Y6170">
        <v>0.50701490000000005</v>
      </c>
      <c r="Z6170">
        <v>7.6016650000000005E-2</v>
      </c>
      <c r="AA6170">
        <v>0.85857870000000003</v>
      </c>
      <c r="AB6170">
        <v>25</v>
      </c>
      <c r="AC6170">
        <v>-9.8154999999999806</v>
      </c>
      <c r="AD6170">
        <v>-1.1133441186369999</v>
      </c>
      <c r="AE6170">
        <v>-8.8738999999999901</v>
      </c>
      <c r="AF6170">
        <v>6.7496777616389299</v>
      </c>
      <c r="AG6170">
        <v>-1.1133441186369999</v>
      </c>
      <c r="AH6170">
        <v>11.2729322071068</v>
      </c>
      <c r="AI6170">
        <v>94.843382075958203</v>
      </c>
      <c r="AJ6170">
        <v>59.088898145878801</v>
      </c>
      <c r="AK6170">
        <v>13.186230907977199</v>
      </c>
      <c r="AL6170">
        <v>84.619978654950401</v>
      </c>
      <c r="AM6170">
        <v>72.204184121968098</v>
      </c>
      <c r="AN6170">
        <v>0.99999998071037199</v>
      </c>
    </row>
    <row r="6171" spans="1:40" x14ac:dyDescent="0.25">
      <c r="A6171" t="str">
        <f>"20190303162034610"</f>
        <v>20190303162034610</v>
      </c>
      <c r="B6171" t="str">
        <f>"1551601234598538"</f>
        <v>1551601234598538</v>
      </c>
      <c r="C6171" t="s">
        <v>40</v>
      </c>
      <c r="D6171">
        <v>4.7869739999999998</v>
      </c>
      <c r="E6171">
        <v>0.59467209999999904</v>
      </c>
      <c r="F6171" t="s">
        <v>50</v>
      </c>
      <c r="G6171">
        <v>-204.3706</v>
      </c>
      <c r="H6171" s="1">
        <v>-8.9697349999999904E-6</v>
      </c>
      <c r="I6171">
        <v>143.95169999999999</v>
      </c>
      <c r="J6171">
        <v>-194.3212</v>
      </c>
      <c r="K6171">
        <v>1.1132340000000001</v>
      </c>
      <c r="L6171">
        <v>152.85470000000001</v>
      </c>
      <c r="M6171">
        <v>-0.2981357</v>
      </c>
      <c r="N6171">
        <v>-1.159162E-2</v>
      </c>
      <c r="O6171">
        <v>-0.95445329999999995</v>
      </c>
      <c r="P6171">
        <v>-0.57192860000000001</v>
      </c>
      <c r="Q6171">
        <v>8.5551230000000006E-2</v>
      </c>
      <c r="R6171">
        <v>-0.81583050000000001</v>
      </c>
      <c r="S6171">
        <v>-2.3257289999999999</v>
      </c>
      <c r="T6171">
        <v>-0.25644159999999999</v>
      </c>
      <c r="U6171">
        <v>-2.0813600000000001</v>
      </c>
      <c r="V6171">
        <v>0.30442730000000001</v>
      </c>
      <c r="W6171">
        <v>9.0860590000000005E-2</v>
      </c>
      <c r="X6171">
        <v>0.94819219999999904</v>
      </c>
      <c r="Y6171">
        <v>0.51009090000000001</v>
      </c>
      <c r="Z6171">
        <v>7.4801960000000001E-2</v>
      </c>
      <c r="AA6171">
        <v>0.85686169999999995</v>
      </c>
      <c r="AB6171">
        <v>25</v>
      </c>
      <c r="AC6171">
        <v>-10.049399999999901</v>
      </c>
      <c r="AD6171">
        <v>-1.1132429697349999</v>
      </c>
      <c r="AE6171">
        <v>-8.9030000000000094</v>
      </c>
      <c r="AF6171">
        <v>6.8904712529066297</v>
      </c>
      <c r="AG6171">
        <v>-1.1132429697349999</v>
      </c>
      <c r="AH6171">
        <v>11.4158646286976</v>
      </c>
      <c r="AI6171">
        <v>94.7724350164642</v>
      </c>
      <c r="AJ6171">
        <v>58.885351097874199</v>
      </c>
      <c r="AK6171">
        <v>13.3805780599175</v>
      </c>
      <c r="AL6171">
        <v>84.786882073947595</v>
      </c>
      <c r="AM6171">
        <v>72.200214224620893</v>
      </c>
      <c r="AN6171">
        <v>1.00000003797063</v>
      </c>
    </row>
    <row r="6172" spans="1:40" x14ac:dyDescent="0.25">
      <c r="A6172" t="str">
        <f>"20190303162034626"</f>
        <v>20190303162034626</v>
      </c>
      <c r="B6172" t="str">
        <f>"1551601234618057"</f>
        <v>1551601234618057</v>
      </c>
      <c r="C6172" t="s">
        <v>40</v>
      </c>
      <c r="D6172">
        <v>4.8154919999999999</v>
      </c>
      <c r="E6172">
        <v>0.59467099999999995</v>
      </c>
      <c r="F6172" t="s">
        <v>50</v>
      </c>
      <c r="G6172">
        <v>-204.3656</v>
      </c>
      <c r="H6172" s="1">
        <v>-8.9860970000000004E-6</v>
      </c>
      <c r="I6172">
        <v>144.00649999999999</v>
      </c>
      <c r="J6172">
        <v>-194.3826</v>
      </c>
      <c r="K6172">
        <v>1.1131180000000001</v>
      </c>
      <c r="L6172">
        <v>152.6874</v>
      </c>
      <c r="M6172">
        <v>-0.3060427</v>
      </c>
      <c r="N6172">
        <v>-1.166362E-2</v>
      </c>
      <c r="O6172">
        <v>-0.95194639999999997</v>
      </c>
      <c r="P6172">
        <v>-0.57734859999999999</v>
      </c>
      <c r="Q6172">
        <v>8.2994589999999993E-2</v>
      </c>
      <c r="R6172">
        <v>-0.81226919999999903</v>
      </c>
      <c r="S6172">
        <v>-2.3417210000000002</v>
      </c>
      <c r="T6172">
        <v>-0.25953890000000002</v>
      </c>
      <c r="U6172">
        <v>-2.0628359999999999</v>
      </c>
      <c r="V6172">
        <v>0.3027685</v>
      </c>
      <c r="W6172">
        <v>8.8335919999999998E-2</v>
      </c>
      <c r="X6172">
        <v>0.94896159999999996</v>
      </c>
      <c r="Y6172">
        <v>0.50962059999999998</v>
      </c>
      <c r="Z6172">
        <v>7.5787339999999995E-2</v>
      </c>
      <c r="AA6172">
        <v>0.85705489999999995</v>
      </c>
      <c r="AB6172">
        <v>25</v>
      </c>
      <c r="AC6172">
        <v>-9.9830000000000005</v>
      </c>
      <c r="AD6172">
        <v>-1.1131269860969999</v>
      </c>
      <c r="AE6172">
        <v>-8.6808999999999994</v>
      </c>
      <c r="AF6172">
        <v>6.7988870754053599</v>
      </c>
      <c r="AG6172">
        <v>-1.1131269860969999</v>
      </c>
      <c r="AH6172">
        <v>11.2401696849951</v>
      </c>
      <c r="AI6172">
        <v>94.843431504457797</v>
      </c>
      <c r="AJ6172">
        <v>58.831344440331101</v>
      </c>
      <c r="AK6172">
        <v>13.183525010359499</v>
      </c>
      <c r="AL6172">
        <v>84.932119295064297</v>
      </c>
      <c r="AM6172">
        <v>72.304590852318299</v>
      </c>
      <c r="AN6172">
        <v>1.0000000588145199</v>
      </c>
    </row>
    <row r="6173" spans="1:40" x14ac:dyDescent="0.25">
      <c r="A6173" t="str">
        <f>"20190303162034639"</f>
        <v>20190303162034639</v>
      </c>
      <c r="B6173" t="str">
        <f>"1551601234628324"</f>
        <v>1551601234628324</v>
      </c>
      <c r="C6173" t="s">
        <v>40</v>
      </c>
      <c r="D6173">
        <v>4.8290280000000001</v>
      </c>
      <c r="E6173">
        <v>0.59454069999999903</v>
      </c>
      <c r="F6173" t="s">
        <v>50</v>
      </c>
      <c r="G6173">
        <v>-204.67679999999999</v>
      </c>
      <c r="H6173" s="1">
        <v>-8.8018650000000005E-6</v>
      </c>
      <c r="I6173">
        <v>143.75239999999999</v>
      </c>
      <c r="J6173">
        <v>-194.43530000000001</v>
      </c>
      <c r="K6173">
        <v>1.1130389999999999</v>
      </c>
      <c r="L6173">
        <v>152.548</v>
      </c>
      <c r="M6173">
        <v>-0.31272820000000001</v>
      </c>
      <c r="N6173">
        <v>-1.1719510000000001E-2</v>
      </c>
      <c r="O6173">
        <v>-0.94977029999999996</v>
      </c>
      <c r="P6173">
        <v>-0.58209789999999995</v>
      </c>
      <c r="Q6173">
        <v>8.3450029999999994E-2</v>
      </c>
      <c r="R6173">
        <v>-0.80882529999999997</v>
      </c>
      <c r="S6173">
        <v>-2.3559109999999999</v>
      </c>
      <c r="T6173">
        <v>-0.25474730000000001</v>
      </c>
      <c r="U6173">
        <v>-2.0448460000000002</v>
      </c>
      <c r="V6173">
        <v>0.30169639999999998</v>
      </c>
      <c r="W6173">
        <v>8.8811360000000006E-2</v>
      </c>
      <c r="X6173">
        <v>0.94925859999999995</v>
      </c>
      <c r="Y6173">
        <v>0.50995690000000005</v>
      </c>
      <c r="Z6173">
        <v>7.4218660000000006E-2</v>
      </c>
      <c r="AA6173">
        <v>0.85699210000000003</v>
      </c>
      <c r="AB6173">
        <v>25</v>
      </c>
      <c r="AC6173">
        <v>-10.241499999999901</v>
      </c>
      <c r="AD6173">
        <v>-1.1130478018650001</v>
      </c>
      <c r="AE6173">
        <v>-8.7956000000000092</v>
      </c>
      <c r="AF6173">
        <v>6.92981352297579</v>
      </c>
      <c r="AG6173">
        <v>-1.1130478018650001</v>
      </c>
      <c r="AH6173">
        <v>11.479367253894001</v>
      </c>
      <c r="AI6173">
        <v>94.745142689405697</v>
      </c>
      <c r="AJ6173">
        <v>58.881645702639702</v>
      </c>
      <c r="AK6173">
        <v>13.455001427804801</v>
      </c>
      <c r="AL6173">
        <v>84.904770968374294</v>
      </c>
      <c r="AM6173">
        <v>72.368536378953706</v>
      </c>
      <c r="AN6173">
        <v>1.0000000325559799</v>
      </c>
    </row>
    <row r="6174" spans="1:40" x14ac:dyDescent="0.25">
      <c r="A6174" t="str">
        <f>"20190303162034652"</f>
        <v>20190303162034652</v>
      </c>
      <c r="B6174" t="str">
        <f>"1551601234639060"</f>
        <v>1551601234639060</v>
      </c>
      <c r="C6174" t="s">
        <v>40</v>
      </c>
      <c r="D6174">
        <v>4.8252940000000004</v>
      </c>
      <c r="E6174">
        <v>0.59435869999999902</v>
      </c>
      <c r="F6174" t="s">
        <v>50</v>
      </c>
      <c r="G6174">
        <v>-204.98570000000001</v>
      </c>
      <c r="H6174" s="1">
        <v>-8.6157279999999994E-6</v>
      </c>
      <c r="I6174">
        <v>143.4949</v>
      </c>
      <c r="J6174">
        <v>-194.4853</v>
      </c>
      <c r="K6174">
        <v>1.1129819999999999</v>
      </c>
      <c r="L6174">
        <v>152.41839999999999</v>
      </c>
      <c r="M6174">
        <v>-0.31899379999999999</v>
      </c>
      <c r="N6174">
        <v>-1.176868E-2</v>
      </c>
      <c r="O6174">
        <v>-0.94768379999999997</v>
      </c>
      <c r="P6174">
        <v>-0.58683799999999997</v>
      </c>
      <c r="Q6174">
        <v>8.4841559999999996E-2</v>
      </c>
      <c r="R6174">
        <v>-0.80524709999999999</v>
      </c>
      <c r="S6174">
        <v>-2.3671570000000002</v>
      </c>
      <c r="T6174">
        <v>-0.24973000000000001</v>
      </c>
      <c r="U6174">
        <v>-2.0312190000000001</v>
      </c>
      <c r="V6174">
        <v>0.30109019999999997</v>
      </c>
      <c r="W6174">
        <v>9.0213340000000003E-2</v>
      </c>
      <c r="X6174">
        <v>0.94931880000000002</v>
      </c>
      <c r="Y6174">
        <v>0.50923350000000001</v>
      </c>
      <c r="Z6174">
        <v>7.2536970000000006E-2</v>
      </c>
      <c r="AA6174">
        <v>0.8575661</v>
      </c>
      <c r="AB6174">
        <v>25</v>
      </c>
      <c r="AC6174">
        <v>-10.500400000000001</v>
      </c>
      <c r="AD6174">
        <v>-1.1129906157279901</v>
      </c>
      <c r="AE6174">
        <v>-8.92349999999999</v>
      </c>
      <c r="AF6174">
        <v>7.0589595641764902</v>
      </c>
      <c r="AG6174">
        <v>-1.1129906157279901</v>
      </c>
      <c r="AH6174">
        <v>11.7305106529578</v>
      </c>
      <c r="AI6174">
        <v>94.647679488802595</v>
      </c>
      <c r="AJ6174">
        <v>58.962126759143999</v>
      </c>
      <c r="AK6174">
        <v>13.735812259147</v>
      </c>
      <c r="AL6174">
        <v>84.824119343218499</v>
      </c>
      <c r="AM6174">
        <v>72.402822039186603</v>
      </c>
      <c r="AN6174">
        <v>0.999999969641717</v>
      </c>
    </row>
    <row r="6175" spans="1:40" x14ac:dyDescent="0.25">
      <c r="A6175" t="str">
        <f>"20190303162034667"</f>
        <v>20190303162034667</v>
      </c>
      <c r="B6175" t="str">
        <f>"1551601234658580"</f>
        <v>1551601234658580</v>
      </c>
      <c r="C6175" t="s">
        <v>40</v>
      </c>
      <c r="D6175">
        <v>4.836608</v>
      </c>
      <c r="E6175">
        <v>0.593792599999999</v>
      </c>
      <c r="F6175" t="s">
        <v>50</v>
      </c>
      <c r="G6175">
        <v>-205.41730000000001</v>
      </c>
      <c r="H6175" s="1">
        <v>-8.3309319999999993E-6</v>
      </c>
      <c r="I6175">
        <v>143.14099999999999</v>
      </c>
      <c r="J6175">
        <v>-194.5461</v>
      </c>
      <c r="K6175">
        <v>1.112919</v>
      </c>
      <c r="L6175">
        <v>152.2636</v>
      </c>
      <c r="M6175">
        <v>-0.32651849999999999</v>
      </c>
      <c r="N6175">
        <v>-1.1824009999999999E-2</v>
      </c>
      <c r="O6175">
        <v>-0.94511710000000004</v>
      </c>
      <c r="P6175">
        <v>-0.59329160000000003</v>
      </c>
      <c r="Q6175">
        <v>8.7349590000000005E-2</v>
      </c>
      <c r="R6175">
        <v>-0.80023469999999997</v>
      </c>
      <c r="S6175">
        <v>-2.3780060000000001</v>
      </c>
      <c r="T6175">
        <v>-0.24210690000000001</v>
      </c>
      <c r="U6175">
        <v>-2.018097</v>
      </c>
      <c r="V6175">
        <v>0.3013265</v>
      </c>
      <c r="W6175">
        <v>9.2713370000000003E-2</v>
      </c>
      <c r="X6175">
        <v>0.94900289999999998</v>
      </c>
      <c r="Y6175">
        <v>0.5072257</v>
      </c>
      <c r="Z6175">
        <v>6.9965189999999997E-2</v>
      </c>
      <c r="AA6175">
        <v>0.85896859999999997</v>
      </c>
      <c r="AB6175">
        <v>25</v>
      </c>
      <c r="AC6175">
        <v>-10.8712</v>
      </c>
      <c r="AD6175">
        <v>-1.112927330932</v>
      </c>
      <c r="AE6175">
        <v>-9.1226000000000003</v>
      </c>
      <c r="AF6175">
        <v>7.2517704703081103</v>
      </c>
      <c r="AG6175">
        <v>-1.112927330932</v>
      </c>
      <c r="AH6175">
        <v>12.098020355197599</v>
      </c>
      <c r="AI6175">
        <v>94.511472663238706</v>
      </c>
      <c r="AJ6175">
        <v>59.060771408341303</v>
      </c>
      <c r="AK6175">
        <v>14.1488119187705</v>
      </c>
      <c r="AL6175">
        <v>84.680275184327201</v>
      </c>
      <c r="AM6175">
        <v>72.3843651326155</v>
      </c>
      <c r="AN6175">
        <v>0.99999996639370703</v>
      </c>
    </row>
    <row r="6176" spans="1:40" x14ac:dyDescent="0.25">
      <c r="A6176" t="str">
        <f>"20190303162034682"</f>
        <v>20190303162034682</v>
      </c>
      <c r="B6176" t="str">
        <f>"1551601234668339"</f>
        <v>1551601234668339</v>
      </c>
      <c r="C6176" t="s">
        <v>40</v>
      </c>
      <c r="D6176">
        <v>4.8721459999999999</v>
      </c>
      <c r="E6176">
        <v>0.59351799999999999</v>
      </c>
      <c r="F6176" t="s">
        <v>50</v>
      </c>
      <c r="G6176">
        <v>-206.21129999999999</v>
      </c>
      <c r="H6176" s="1">
        <v>-7.8090869999999904E-6</v>
      </c>
      <c r="I6176">
        <v>142.49809999999999</v>
      </c>
      <c r="J6176">
        <v>-194.61420000000001</v>
      </c>
      <c r="K6176">
        <v>1.1128769999999999</v>
      </c>
      <c r="L6176">
        <v>152.09530000000001</v>
      </c>
      <c r="M6176">
        <v>-0.33478999999999998</v>
      </c>
      <c r="N6176">
        <v>-1.187913E-2</v>
      </c>
      <c r="O6176">
        <v>-0.942218</v>
      </c>
      <c r="P6176">
        <v>-0.60118559999999999</v>
      </c>
      <c r="Q6176">
        <v>9.3006779999999997E-2</v>
      </c>
      <c r="R6176">
        <v>-0.79367860000000001</v>
      </c>
      <c r="S6176">
        <v>-2.3906559999999999</v>
      </c>
      <c r="T6176">
        <v>-0.2280819</v>
      </c>
      <c r="U6176">
        <v>-2.0013429999999999</v>
      </c>
      <c r="V6176">
        <v>0.3027473</v>
      </c>
      <c r="W6176">
        <v>9.8336149999999997E-2</v>
      </c>
      <c r="X6176">
        <v>0.94798419999999906</v>
      </c>
      <c r="Y6176">
        <v>0.50571080000000002</v>
      </c>
      <c r="Z6176">
        <v>6.5314460000000005E-2</v>
      </c>
      <c r="AA6176">
        <v>0.86022710000000002</v>
      </c>
      <c r="AB6176">
        <v>25</v>
      </c>
      <c r="AC6176">
        <v>-11.5970999999999</v>
      </c>
      <c r="AD6176">
        <v>-1.112884809087</v>
      </c>
      <c r="AE6176">
        <v>-9.5972000000000097</v>
      </c>
      <c r="AF6176">
        <v>7.6725576916092999</v>
      </c>
      <c r="AG6176">
        <v>-1.112884809087</v>
      </c>
      <c r="AH6176">
        <v>12.855892438597101</v>
      </c>
      <c r="AI6176">
        <v>94.251215473234197</v>
      </c>
      <c r="AJ6176">
        <v>59.170718044058702</v>
      </c>
      <c r="AK6176">
        <v>15.0126821228636</v>
      </c>
      <c r="AL6176">
        <v>84.356633276697906</v>
      </c>
      <c r="AM6176">
        <v>72.288648936132205</v>
      </c>
      <c r="AN6176">
        <v>0.99999998475187601</v>
      </c>
    </row>
    <row r="6177" spans="1:40" x14ac:dyDescent="0.25">
      <c r="A6177" t="str">
        <f>"20190303162034698"</f>
        <v>20190303162034698</v>
      </c>
      <c r="B6177" t="str">
        <f>"1551601234688836"</f>
        <v>1551601234688836</v>
      </c>
      <c r="C6177" t="s">
        <v>40</v>
      </c>
      <c r="D6177">
        <v>4.8761720000000004</v>
      </c>
      <c r="E6177">
        <v>0.59283850000000005</v>
      </c>
      <c r="F6177" t="s">
        <v>50</v>
      </c>
      <c r="G6177">
        <v>-207.48689999999999</v>
      </c>
      <c r="H6177" s="1">
        <v>-6.9870180000000003E-6</v>
      </c>
      <c r="I6177">
        <v>141.52680000000001</v>
      </c>
      <c r="J6177">
        <v>-194.6781</v>
      </c>
      <c r="K6177">
        <v>1.1128359999999999</v>
      </c>
      <c r="L6177">
        <v>151.94149999999999</v>
      </c>
      <c r="M6177">
        <v>-0.3424044</v>
      </c>
      <c r="N6177">
        <v>-1.19249E-2</v>
      </c>
      <c r="O6177">
        <v>-0.93947709999999995</v>
      </c>
      <c r="P6177">
        <v>-0.6079852</v>
      </c>
      <c r="Q6177">
        <v>9.533142E-2</v>
      </c>
      <c r="R6177">
        <v>-0.78820459999999903</v>
      </c>
      <c r="S6177">
        <v>-2.41011</v>
      </c>
      <c r="T6177">
        <v>-0.20836080000000001</v>
      </c>
      <c r="U6177">
        <v>-1.978683</v>
      </c>
      <c r="V6177">
        <v>0.30337730000000002</v>
      </c>
      <c r="W6177">
        <v>0.10065109999999999</v>
      </c>
      <c r="X6177">
        <v>0.94753969999999998</v>
      </c>
      <c r="Y6177">
        <v>0.50730909999999996</v>
      </c>
      <c r="Z6177">
        <v>5.8806650000000002E-2</v>
      </c>
      <c r="AA6177">
        <v>0.8597553</v>
      </c>
      <c r="AB6177">
        <v>25</v>
      </c>
      <c r="AC6177">
        <v>-12.8087999999999</v>
      </c>
      <c r="AD6177">
        <v>-1.1128429870180001</v>
      </c>
      <c r="AE6177">
        <v>-10.4146999999999</v>
      </c>
      <c r="AF6177">
        <v>8.4298301589903097</v>
      </c>
      <c r="AG6177">
        <v>-1.1128429870180001</v>
      </c>
      <c r="AH6177">
        <v>14.107063440794899</v>
      </c>
      <c r="AI6177">
        <v>93.873957216439294</v>
      </c>
      <c r="AJ6177">
        <v>59.139109609576998</v>
      </c>
      <c r="AK6177">
        <v>16.471481261434601</v>
      </c>
      <c r="AL6177">
        <v>84.2233348162261</v>
      </c>
      <c r="AM6177">
        <v>72.246300544621405</v>
      </c>
      <c r="AN6177">
        <v>0.99999995658129404</v>
      </c>
    </row>
    <row r="6178" spans="1:40" x14ac:dyDescent="0.25">
      <c r="A6178" t="str">
        <f>"20190303162034713"</f>
        <v>20190303162034713</v>
      </c>
      <c r="B6178" t="str">
        <f>"1551601234708355"</f>
        <v>1551601234708355</v>
      </c>
      <c r="C6178" t="s">
        <v>40</v>
      </c>
      <c r="D6178">
        <v>4.8850709999999999</v>
      </c>
      <c r="E6178">
        <v>0.59209829999999997</v>
      </c>
      <c r="F6178" t="s">
        <v>50</v>
      </c>
      <c r="G6178">
        <v>-208.4273</v>
      </c>
      <c r="H6178" s="1">
        <v>-6.3828499999999901E-6</v>
      </c>
      <c r="I6178">
        <v>140.81790000000001</v>
      </c>
      <c r="J6178">
        <v>-194.74289999999999</v>
      </c>
      <c r="K6178">
        <v>1.112803</v>
      </c>
      <c r="L6178">
        <v>151.78870000000001</v>
      </c>
      <c r="M6178">
        <v>-0.35001159999999998</v>
      </c>
      <c r="N6178">
        <v>-1.196754E-2</v>
      </c>
      <c r="O6178">
        <v>-0.93666910000000003</v>
      </c>
      <c r="P6178">
        <v>-0.61460000000000004</v>
      </c>
      <c r="Q6178">
        <v>9.6672469999999996E-2</v>
      </c>
      <c r="R6178">
        <v>-0.78289319999999996</v>
      </c>
      <c r="S6178">
        <v>-2.4233549999999999</v>
      </c>
      <c r="T6178">
        <v>-0.19614319999999999</v>
      </c>
      <c r="U6178">
        <v>-1.9605870000000001</v>
      </c>
      <c r="V6178">
        <v>0.30376750000000002</v>
      </c>
      <c r="W6178">
        <v>0.1019888</v>
      </c>
      <c r="X6178">
        <v>0.94727159999999999</v>
      </c>
      <c r="Y6178">
        <v>0.50669439999999999</v>
      </c>
      <c r="Z6178">
        <v>5.4770569999999998E-2</v>
      </c>
      <c r="AA6178">
        <v>0.86038419999999904</v>
      </c>
      <c r="AB6178">
        <v>25</v>
      </c>
      <c r="AC6178">
        <v>-13.6844</v>
      </c>
      <c r="AD6178">
        <v>-1.1128093828499901</v>
      </c>
      <c r="AE6178">
        <v>-10.970799999999899</v>
      </c>
      <c r="AF6178">
        <v>8.9424903619494192</v>
      </c>
      <c r="AG6178">
        <v>-1.1128093828499901</v>
      </c>
      <c r="AH6178">
        <v>15.006375574036101</v>
      </c>
      <c r="AI6178">
        <v>93.644966796641697</v>
      </c>
      <c r="AJ6178">
        <v>59.208747270950703</v>
      </c>
      <c r="AK6178">
        <v>17.5042219611482</v>
      </c>
      <c r="AL6178">
        <v>84.146293723610697</v>
      </c>
      <c r="AM6178">
        <v>72.220188321905198</v>
      </c>
      <c r="AN6178">
        <v>0.99999994677412296</v>
      </c>
    </row>
    <row r="6179" spans="1:40" x14ac:dyDescent="0.25">
      <c r="A6179" t="str">
        <f>"20190303162034726"</f>
        <v>20190303162034726</v>
      </c>
      <c r="B6179" t="str">
        <f>"1551601234718116"</f>
        <v>1551601234718116</v>
      </c>
      <c r="C6179" t="s">
        <v>40</v>
      </c>
      <c r="D6179">
        <v>4.9407220000000001</v>
      </c>
      <c r="E6179">
        <v>0.59178509999999995</v>
      </c>
      <c r="F6179" t="s">
        <v>50</v>
      </c>
      <c r="G6179">
        <v>-209.02590000000001</v>
      </c>
      <c r="H6179" s="1">
        <v>-6.0038059999999998E-6</v>
      </c>
      <c r="I6179">
        <v>140.3877</v>
      </c>
      <c r="J6179">
        <v>-194.8075</v>
      </c>
      <c r="K6179">
        <v>1.112768</v>
      </c>
      <c r="L6179">
        <v>151.63939999999999</v>
      </c>
      <c r="M6179">
        <v>-0.35748340000000001</v>
      </c>
      <c r="N6179">
        <v>-1.2006930000000001E-2</v>
      </c>
      <c r="O6179">
        <v>-0.93384259999999997</v>
      </c>
      <c r="P6179">
        <v>-0.62146369999999995</v>
      </c>
      <c r="Q6179">
        <v>9.7921030000000006E-2</v>
      </c>
      <c r="R6179">
        <v>-0.77729989999999904</v>
      </c>
      <c r="S6179">
        <v>-2.4350890000000001</v>
      </c>
      <c r="T6179">
        <v>-0.1897209</v>
      </c>
      <c r="U6179">
        <v>-1.9437409999999999</v>
      </c>
      <c r="V6179">
        <v>0.30462610000000001</v>
      </c>
      <c r="W6179">
        <v>0.1032216</v>
      </c>
      <c r="X6179">
        <v>0.94686230000000005</v>
      </c>
      <c r="Y6179">
        <v>0.50556179999999995</v>
      </c>
      <c r="Z6179">
        <v>5.2640999999999903E-2</v>
      </c>
      <c r="AA6179">
        <v>0.86118300000000003</v>
      </c>
      <c r="AB6179">
        <v>25</v>
      </c>
      <c r="AC6179">
        <v>-14.218400000000001</v>
      </c>
      <c r="AD6179">
        <v>-1.1127740038059999</v>
      </c>
      <c r="AE6179">
        <v>-11.2517</v>
      </c>
      <c r="AF6179">
        <v>9.2213846250151192</v>
      </c>
      <c r="AG6179">
        <v>-1.1127740038059999</v>
      </c>
      <c r="AH6179">
        <v>15.532775240758999</v>
      </c>
      <c r="AI6179">
        <v>93.525103829570398</v>
      </c>
      <c r="AJ6179">
        <v>59.303552089981103</v>
      </c>
      <c r="AK6179">
        <v>18.098047051158499</v>
      </c>
      <c r="AL6179">
        <v>84.075284944991594</v>
      </c>
      <c r="AM6179">
        <v>72.165892746630803</v>
      </c>
      <c r="AN6179">
        <v>0.99999998733452899</v>
      </c>
    </row>
    <row r="6180" spans="1:40" x14ac:dyDescent="0.25">
      <c r="A6180" t="str">
        <f>"20190303162034740"</f>
        <v>20190303162034740</v>
      </c>
      <c r="B6180" t="str">
        <f>"1551601234728852"</f>
        <v>1551601234728852</v>
      </c>
      <c r="C6180" t="s">
        <v>40</v>
      </c>
      <c r="D6180">
        <v>4.9575800000000001</v>
      </c>
      <c r="E6180">
        <v>0.59161709999999901</v>
      </c>
      <c r="F6180" t="s">
        <v>50</v>
      </c>
      <c r="G6180">
        <v>-209.5018</v>
      </c>
      <c r="H6180" s="1">
        <v>-5.7165729999999999E-6</v>
      </c>
      <c r="I6180">
        <v>140.09899999999999</v>
      </c>
      <c r="J6180">
        <v>-194.8681</v>
      </c>
      <c r="K6180">
        <v>1.1127309999999999</v>
      </c>
      <c r="L6180">
        <v>151.50309999999999</v>
      </c>
      <c r="M6180">
        <v>-0.36436600000000002</v>
      </c>
      <c r="N6180">
        <v>-1.2041329999999999E-2</v>
      </c>
      <c r="O6180">
        <v>-0.93117799999999995</v>
      </c>
      <c r="P6180">
        <v>-0.62761409999999995</v>
      </c>
      <c r="Q6180">
        <v>9.8746849999999997E-2</v>
      </c>
      <c r="R6180">
        <v>-0.77223679999999995</v>
      </c>
      <c r="S6180">
        <v>-2.449951</v>
      </c>
      <c r="T6180">
        <v>-0.1855309</v>
      </c>
      <c r="U6180">
        <v>-1.924118</v>
      </c>
      <c r="V6180">
        <v>0.3052203</v>
      </c>
      <c r="W6180">
        <v>0.1040335</v>
      </c>
      <c r="X6180">
        <v>0.94658209999999998</v>
      </c>
      <c r="Y6180">
        <v>0.50606090000000004</v>
      </c>
      <c r="Z6180">
        <v>5.125768E-2</v>
      </c>
      <c r="AA6180">
        <v>0.86097330000000005</v>
      </c>
      <c r="AB6180">
        <v>25</v>
      </c>
      <c r="AC6180">
        <v>-14.633699999999999</v>
      </c>
      <c r="AD6180">
        <v>-1.112736716573</v>
      </c>
      <c r="AE6180">
        <v>-11.4041</v>
      </c>
      <c r="AF6180">
        <v>9.4380482957130507</v>
      </c>
      <c r="AG6180">
        <v>-1.112736716573</v>
      </c>
      <c r="AH6180">
        <v>15.895246125148701</v>
      </c>
      <c r="AI6180">
        <v>93.444659056885797</v>
      </c>
      <c r="AJ6180">
        <v>59.299622093808701</v>
      </c>
      <c r="AK6180">
        <v>18.519551506763701</v>
      </c>
      <c r="AL6180">
        <v>84.028514990477504</v>
      </c>
      <c r="AM6180">
        <v>72.128363097034807</v>
      </c>
      <c r="AN6180">
        <v>1.00000003634737</v>
      </c>
    </row>
    <row r="6181" spans="1:40" x14ac:dyDescent="0.25">
      <c r="A6181" t="str">
        <f>"20190303162034753"</f>
        <v>20190303162034753</v>
      </c>
      <c r="B6181" t="str">
        <f>"1551601234748372"</f>
        <v>1551601234748372</v>
      </c>
      <c r="C6181" t="s">
        <v>40</v>
      </c>
      <c r="D6181">
        <v>5.0673209999999997</v>
      </c>
      <c r="E6181">
        <v>0.59353959999999995</v>
      </c>
      <c r="F6181" t="s">
        <v>41</v>
      </c>
      <c r="G6181">
        <v>-210.07230000000001</v>
      </c>
      <c r="H6181" s="1">
        <v>-4.7070519999999997E-6</v>
      </c>
      <c r="I6181">
        <v>139.74889999999999</v>
      </c>
      <c r="J6181">
        <v>-194.9264</v>
      </c>
      <c r="K6181">
        <v>1.112687</v>
      </c>
      <c r="L6181">
        <v>151.37440000000001</v>
      </c>
      <c r="M6181">
        <v>-0.37089800000000001</v>
      </c>
      <c r="N6181">
        <v>-1.207335E-2</v>
      </c>
      <c r="O6181">
        <v>-0.92859510000000001</v>
      </c>
      <c r="P6181">
        <v>-0.63312139999999995</v>
      </c>
      <c r="Q6181">
        <v>9.9196519999999996E-2</v>
      </c>
      <c r="R6181">
        <v>-0.76767019999999997</v>
      </c>
      <c r="S6181">
        <v>-2.4643099999999998</v>
      </c>
      <c r="T6181">
        <v>-0.18035329999999999</v>
      </c>
      <c r="U6181">
        <v>-1.9051210000000001</v>
      </c>
      <c r="V6181">
        <v>0.30538359999999998</v>
      </c>
      <c r="W6181">
        <v>0.104477</v>
      </c>
      <c r="X6181">
        <v>0.94648060000000001</v>
      </c>
      <c r="Y6181">
        <v>0.50666049999999996</v>
      </c>
      <c r="Z6181">
        <v>4.9548040000000002E-2</v>
      </c>
      <c r="AA6181">
        <v>0.86072070000000001</v>
      </c>
      <c r="AB6181">
        <v>25</v>
      </c>
      <c r="AC6181">
        <v>-15.145899999999999</v>
      </c>
      <c r="AD6181">
        <v>-1.1126917070519999</v>
      </c>
      <c r="AE6181">
        <v>-11.625500000000001</v>
      </c>
      <c r="AF6181">
        <v>9.7202331738438303</v>
      </c>
      <c r="AG6181">
        <v>-1.1126917070519999</v>
      </c>
      <c r="AH6181">
        <v>16.358606170762201</v>
      </c>
      <c r="AI6181">
        <v>93.346545992076003</v>
      </c>
      <c r="AJ6181">
        <v>59.281349488181498</v>
      </c>
      <c r="AK6181">
        <v>19.061086318437798</v>
      </c>
      <c r="AL6181">
        <v>84.002965201479498</v>
      </c>
      <c r="AM6181">
        <v>72.117614654148397</v>
      </c>
      <c r="AN6181">
        <v>1.0000000564271501</v>
      </c>
    </row>
    <row r="6182" spans="1:40" x14ac:dyDescent="0.25">
      <c r="A6182" t="str">
        <f>"20190303162034765"</f>
        <v>20190303162034765</v>
      </c>
      <c r="B6182" t="str">
        <f>"1551601234758132"</f>
        <v>1551601234758132</v>
      </c>
      <c r="C6182" t="s">
        <v>40</v>
      </c>
      <c r="D6182">
        <v>5.0113899999999996</v>
      </c>
      <c r="E6182">
        <v>0.59449059999999998</v>
      </c>
      <c r="F6182" t="s">
        <v>41</v>
      </c>
      <c r="G6182">
        <v>-210.50360000000001</v>
      </c>
      <c r="H6182" s="1">
        <v>-4.4738390000000003E-6</v>
      </c>
      <c r="I6182">
        <v>139.6328</v>
      </c>
      <c r="J6182">
        <v>-194.989</v>
      </c>
      <c r="K6182">
        <v>1.112636</v>
      </c>
      <c r="L6182">
        <v>151.23820000000001</v>
      </c>
      <c r="M6182">
        <v>-0.3778437</v>
      </c>
      <c r="N6182">
        <v>-1.210674E-2</v>
      </c>
      <c r="O6182">
        <v>-0.92579029999999995</v>
      </c>
      <c r="P6182">
        <v>-0.63894410000000001</v>
      </c>
      <c r="Q6182">
        <v>9.937435E-2</v>
      </c>
      <c r="R6182">
        <v>-0.76280749999999997</v>
      </c>
      <c r="S6182">
        <v>-2.490265</v>
      </c>
      <c r="T6182">
        <v>-0.17788090000000001</v>
      </c>
      <c r="U6182">
        <v>-1.8770899999999999</v>
      </c>
      <c r="V6182">
        <v>0.30552079999999998</v>
      </c>
      <c r="W6182">
        <v>0.1046463</v>
      </c>
      <c r="X6182">
        <v>0.94641759999999997</v>
      </c>
      <c r="Y6182">
        <v>0.51073710000000005</v>
      </c>
      <c r="Z6182">
        <v>4.8709750000000003E-2</v>
      </c>
      <c r="AA6182">
        <v>0.85835609999999996</v>
      </c>
      <c r="AB6182">
        <v>25</v>
      </c>
      <c r="AC6182">
        <v>-15.5146</v>
      </c>
      <c r="AD6182">
        <v>-1.1126404738390001</v>
      </c>
      <c r="AE6182">
        <v>-11.605399999999999</v>
      </c>
      <c r="AF6182">
        <v>9.9461688498620404</v>
      </c>
      <c r="AG6182">
        <v>-1.1126404738390001</v>
      </c>
      <c r="AH6182">
        <v>16.552888089571901</v>
      </c>
      <c r="AI6182">
        <v>93.297518371974704</v>
      </c>
      <c r="AJ6182">
        <v>58.999516119333599</v>
      </c>
      <c r="AK6182">
        <v>19.3432765507781</v>
      </c>
      <c r="AL6182">
        <v>83.993211464813797</v>
      </c>
      <c r="AM6182">
        <v>72.108977636149902</v>
      </c>
      <c r="AN6182">
        <v>1.00000004046304</v>
      </c>
    </row>
    <row r="6183" spans="1:40" x14ac:dyDescent="0.25">
      <c r="A6183" t="str">
        <f>"20190303162034784"</f>
        <v>20190303162034784</v>
      </c>
      <c r="B6183" t="str">
        <f>"1551601234778628"</f>
        <v>1551601234778628</v>
      </c>
      <c r="C6183" t="s">
        <v>40</v>
      </c>
      <c r="D6183">
        <v>4.6315249999999999</v>
      </c>
      <c r="E6183">
        <v>0.59884930000000003</v>
      </c>
      <c r="F6183" t="s">
        <v>41</v>
      </c>
      <c r="G6183">
        <v>-210.2764</v>
      </c>
      <c r="H6183" s="1">
        <v>-4.6659529999999996E-6</v>
      </c>
      <c r="I6183">
        <v>139.95910000000001</v>
      </c>
      <c r="J6183">
        <v>-195.07689999999999</v>
      </c>
      <c r="K6183">
        <v>1.112541</v>
      </c>
      <c r="L6183">
        <v>151.0522</v>
      </c>
      <c r="M6183">
        <v>-0.38743240000000001</v>
      </c>
      <c r="N6183">
        <v>-1.215281E-2</v>
      </c>
      <c r="O6183">
        <v>-0.92181820000000003</v>
      </c>
      <c r="P6183">
        <v>-0.64605619999999997</v>
      </c>
      <c r="Q6183">
        <v>9.8883230000000003E-2</v>
      </c>
      <c r="R6183">
        <v>-0.75685809999999998</v>
      </c>
      <c r="S6183">
        <v>-2.5114899999999998</v>
      </c>
      <c r="T6183">
        <v>-0.18279020000000001</v>
      </c>
      <c r="U6183">
        <v>-1.8529819999999999</v>
      </c>
      <c r="V6183">
        <v>0.30454290000000001</v>
      </c>
      <c r="W6183">
        <v>0.10415919999999999</v>
      </c>
      <c r="X6183">
        <v>0.94678640000000003</v>
      </c>
      <c r="Y6183">
        <v>0.51055729999999999</v>
      </c>
      <c r="Z6183">
        <v>5.0235929999999998E-2</v>
      </c>
      <c r="AA6183">
        <v>0.858375</v>
      </c>
      <c r="AB6183">
        <v>25</v>
      </c>
      <c r="AC6183">
        <v>-15.1995</v>
      </c>
      <c r="AD6183">
        <v>-1.112545665953</v>
      </c>
      <c r="AE6183">
        <v>-11.0930999999999</v>
      </c>
      <c r="AF6183">
        <v>9.6802260259275492</v>
      </c>
      <c r="AG6183">
        <v>-1.112545665953</v>
      </c>
      <c r="AH6183">
        <v>16.059648079126902</v>
      </c>
      <c r="AI6183">
        <v>93.395435195430906</v>
      </c>
      <c r="AJ6183">
        <v>58.919813778034303</v>
      </c>
      <c r="AK6183">
        <v>18.7844837617987</v>
      </c>
      <c r="AL6183">
        <v>84.021273364418093</v>
      </c>
      <c r="AM6183">
        <v>72.169116365084705</v>
      </c>
      <c r="AN6183">
        <v>1.0000000020549999</v>
      </c>
    </row>
    <row r="6184" spans="1:40" x14ac:dyDescent="0.25">
      <c r="A6184" t="str">
        <f>"20190303162034796"</f>
        <v>20190303162034796</v>
      </c>
      <c r="B6184" t="str">
        <f>"1551601234788388"</f>
        <v>1551601234788388</v>
      </c>
      <c r="C6184" t="s">
        <v>40</v>
      </c>
      <c r="D6184">
        <v>4.677352</v>
      </c>
      <c r="E6184">
        <v>0.60071140000000001</v>
      </c>
      <c r="F6184" t="s">
        <v>41</v>
      </c>
      <c r="G6184">
        <v>-210.6215</v>
      </c>
      <c r="H6184" s="1">
        <v>-4.5361359999999998E-6</v>
      </c>
      <c r="I6184">
        <v>140.0763</v>
      </c>
      <c r="J6184">
        <v>-195.13730000000001</v>
      </c>
      <c r="K6184">
        <v>1.1124700000000001</v>
      </c>
      <c r="L6184">
        <v>150.928</v>
      </c>
      <c r="M6184">
        <v>-0.39391700000000002</v>
      </c>
      <c r="N6184">
        <v>-1.2186789999999999E-2</v>
      </c>
      <c r="O6184">
        <v>-0.91906540000000003</v>
      </c>
      <c r="P6184">
        <v>-0.65114759999999905</v>
      </c>
      <c r="Q6184">
        <v>9.8666710000000005E-2</v>
      </c>
      <c r="R6184">
        <v>-0.75251060000000003</v>
      </c>
      <c r="S6184">
        <v>-2.556702</v>
      </c>
      <c r="T6184">
        <v>-0.18298610000000001</v>
      </c>
      <c r="U6184">
        <v>-1.805267</v>
      </c>
      <c r="V6184">
        <v>0.30426189999999997</v>
      </c>
      <c r="W6184">
        <v>0.1039321</v>
      </c>
      <c r="X6184">
        <v>0.94690169999999996</v>
      </c>
      <c r="Y6184">
        <v>0.5223409</v>
      </c>
      <c r="Z6184">
        <v>5.0310239999999999E-2</v>
      </c>
      <c r="AA6184">
        <v>0.85125139999999999</v>
      </c>
      <c r="AB6184">
        <v>25</v>
      </c>
      <c r="AC6184">
        <v>-15.4841999999999</v>
      </c>
      <c r="AD6184">
        <v>-1.112474536136</v>
      </c>
      <c r="AE6184">
        <v>-10.8516999999999</v>
      </c>
      <c r="AF6184">
        <v>9.9227124332222694</v>
      </c>
      <c r="AG6184">
        <v>-1.112474536136</v>
      </c>
      <c r="AH6184">
        <v>16.018652083211499</v>
      </c>
      <c r="AI6184">
        <v>93.378777305137206</v>
      </c>
      <c r="AJ6184">
        <v>58.223963012978103</v>
      </c>
      <c r="AK6184">
        <v>18.875779088264199</v>
      </c>
      <c r="AL6184">
        <v>84.034356274573</v>
      </c>
      <c r="AM6184">
        <v>72.186560447634804</v>
      </c>
      <c r="AN6184">
        <v>1.00000000733245</v>
      </c>
    </row>
    <row r="6185" spans="1:40" x14ac:dyDescent="0.25">
      <c r="A6185" t="str">
        <f>"20190303162034808"</f>
        <v>20190303162034808</v>
      </c>
      <c r="B6185" t="str">
        <f>"1551601234798147"</f>
        <v>1551601234798147</v>
      </c>
      <c r="C6185" t="s">
        <v>40</v>
      </c>
      <c r="D6185">
        <v>4.6965399999999997</v>
      </c>
      <c r="E6185">
        <v>0.60238029999999998</v>
      </c>
      <c r="F6185" t="s">
        <v>41</v>
      </c>
      <c r="G6185">
        <v>-210.9</v>
      </c>
      <c r="H6185" s="1">
        <v>-4.4041949999999998E-6</v>
      </c>
      <c r="I6185">
        <v>140.0752</v>
      </c>
      <c r="J6185">
        <v>-195.19749999999999</v>
      </c>
      <c r="K6185">
        <v>1.1123890000000001</v>
      </c>
      <c r="L6185">
        <v>150.8057</v>
      </c>
      <c r="M6185">
        <v>-0.40033220000000003</v>
      </c>
      <c r="N6185">
        <v>-1.222266E-2</v>
      </c>
      <c r="O6185">
        <v>-0.91628869999999896</v>
      </c>
      <c r="P6185">
        <v>-0.65585139999999997</v>
      </c>
      <c r="Q6185">
        <v>9.7535830000000004E-2</v>
      </c>
      <c r="R6185">
        <v>-0.74856290000000003</v>
      </c>
      <c r="S6185">
        <v>-2.5810849999999999</v>
      </c>
      <c r="T6185">
        <v>-0.18216370000000001</v>
      </c>
      <c r="U6185">
        <v>-1.777115</v>
      </c>
      <c r="V6185">
        <v>0.30351230000000001</v>
      </c>
      <c r="W6185">
        <v>0.1028023</v>
      </c>
      <c r="X6185">
        <v>0.94726549999999998</v>
      </c>
      <c r="Y6185">
        <v>0.52645659999999905</v>
      </c>
      <c r="Z6185">
        <v>5.0011020000000003E-2</v>
      </c>
      <c r="AA6185">
        <v>0.84872979999999998</v>
      </c>
      <c r="AB6185">
        <v>25</v>
      </c>
      <c r="AC6185">
        <v>-15.702500000000001</v>
      </c>
      <c r="AD6185">
        <v>-1.1123934041950001</v>
      </c>
      <c r="AE6185">
        <v>-10.730499999999999</v>
      </c>
      <c r="AF6185">
        <v>10.058600818108101</v>
      </c>
      <c r="AG6185">
        <v>-1.1123934041950001</v>
      </c>
      <c r="AH6185">
        <v>16.064697005579202</v>
      </c>
      <c r="AI6185">
        <v>93.358805010898394</v>
      </c>
      <c r="AJ6185">
        <v>57.948051830518203</v>
      </c>
      <c r="AK6185">
        <v>18.986504664756101</v>
      </c>
      <c r="AL6185">
        <v>84.0994375014361</v>
      </c>
      <c r="AM6185">
        <v>72.234078690242995</v>
      </c>
      <c r="AN6185">
        <v>0.99999997831341403</v>
      </c>
    </row>
    <row r="6186" spans="1:40" x14ac:dyDescent="0.25">
      <c r="A6186" t="str">
        <f>"20190303162034824"</f>
        <v>20190303162034824</v>
      </c>
      <c r="B6186" t="str">
        <f>"1551601234818643"</f>
        <v>1551601234818643</v>
      </c>
      <c r="C6186" t="s">
        <v>40</v>
      </c>
      <c r="D6186">
        <v>5.0794810000000004</v>
      </c>
      <c r="E6186">
        <v>0.60249919999999901</v>
      </c>
      <c r="F6186" t="s">
        <v>41</v>
      </c>
      <c r="G6186">
        <v>-210.97</v>
      </c>
      <c r="H6186" s="1">
        <v>-4.4024030000000003E-6</v>
      </c>
      <c r="I6186">
        <v>140.19280000000001</v>
      </c>
      <c r="J6186">
        <v>-195.2766</v>
      </c>
      <c r="K6186">
        <v>1.112282</v>
      </c>
      <c r="L6186">
        <v>150.64830000000001</v>
      </c>
      <c r="M6186">
        <v>-0.40867490000000001</v>
      </c>
      <c r="N6186">
        <v>-1.227663E-2</v>
      </c>
      <c r="O6186">
        <v>-0.9125974</v>
      </c>
      <c r="P6186">
        <v>-0.66178019999999904</v>
      </c>
      <c r="Q6186">
        <v>9.6125550000000004E-2</v>
      </c>
      <c r="R6186">
        <v>-0.74351</v>
      </c>
      <c r="S6186">
        <v>-2.6026760000000002</v>
      </c>
      <c r="T6186">
        <v>-0.1835598</v>
      </c>
      <c r="U6186">
        <v>-1.751266</v>
      </c>
      <c r="V6186">
        <v>0.30231989999999997</v>
      </c>
      <c r="W6186">
        <v>0.1013978</v>
      </c>
      <c r="X6186">
        <v>0.94779809999999998</v>
      </c>
      <c r="Y6186">
        <v>0.52775729999999998</v>
      </c>
      <c r="Z6186">
        <v>5.0383570000000003E-2</v>
      </c>
      <c r="AA6186">
        <v>0.84789959999999898</v>
      </c>
      <c r="AB6186">
        <v>25</v>
      </c>
      <c r="AC6186">
        <v>-15.693399999999899</v>
      </c>
      <c r="AD6186">
        <v>-1.1122864024029999</v>
      </c>
      <c r="AE6186">
        <v>-10.455500000000001</v>
      </c>
      <c r="AF6186">
        <v>10.014770718643399</v>
      </c>
      <c r="AG6186">
        <v>-1.1122864024029999</v>
      </c>
      <c r="AH6186">
        <v>15.901042182674001</v>
      </c>
      <c r="AI6186">
        <v>93.387350671043805</v>
      </c>
      <c r="AJ6186">
        <v>57.796516887072499</v>
      </c>
      <c r="AK6186">
        <v>18.824875991175801</v>
      </c>
      <c r="AL6186">
        <v>84.1803325202075</v>
      </c>
      <c r="AM6186">
        <v>72.308836649645798</v>
      </c>
      <c r="AN6186">
        <v>1.00000003707222</v>
      </c>
    </row>
    <row r="6187" spans="1:40" x14ac:dyDescent="0.25">
      <c r="A6187" t="str">
        <f>"20190303162034840"</f>
        <v>20190303162034840</v>
      </c>
      <c r="B6187" t="str">
        <f>"1551601234828912"</f>
        <v>1551601234828912</v>
      </c>
      <c r="C6187" t="s">
        <v>40</v>
      </c>
      <c r="D6187">
        <v>4.9638249999999999</v>
      </c>
      <c r="E6187">
        <v>0.60287480000000004</v>
      </c>
      <c r="F6187" t="s">
        <v>50</v>
      </c>
      <c r="G6187">
        <v>-209.73949999999999</v>
      </c>
      <c r="H6187" s="1">
        <v>-5.8727139999999997E-6</v>
      </c>
      <c r="I6187">
        <v>141.0898</v>
      </c>
      <c r="J6187">
        <v>-195.3579</v>
      </c>
      <c r="K6187">
        <v>1.112168</v>
      </c>
      <c r="L6187">
        <v>150.49119999999999</v>
      </c>
      <c r="M6187">
        <v>-0.41713600000000001</v>
      </c>
      <c r="N6187">
        <v>-1.234269E-2</v>
      </c>
      <c r="O6187">
        <v>-0.90876020000000002</v>
      </c>
      <c r="P6187">
        <v>-0.66640889999999997</v>
      </c>
      <c r="Q6187">
        <v>9.2934669999999997E-2</v>
      </c>
      <c r="R6187">
        <v>-0.73977230000000005</v>
      </c>
      <c r="S6187">
        <v>-2.6183010000000002</v>
      </c>
      <c r="T6187">
        <v>-0.2013643</v>
      </c>
      <c r="U6187">
        <v>-1.7304379999999999</v>
      </c>
      <c r="V6187">
        <v>0.29921740000000002</v>
      </c>
      <c r="W6187">
        <v>9.8267820000000006E-2</v>
      </c>
      <c r="X6187">
        <v>0.94911129999999999</v>
      </c>
      <c r="Y6187">
        <v>0.52661040000000003</v>
      </c>
      <c r="Z6187">
        <v>5.6081770000000003E-2</v>
      </c>
      <c r="AA6187">
        <v>0.84825490000000003</v>
      </c>
      <c r="AB6187">
        <v>25</v>
      </c>
      <c r="AC6187">
        <v>-14.381599999999899</v>
      </c>
      <c r="AD6187">
        <v>-1.112173872714</v>
      </c>
      <c r="AE6187">
        <v>-9.40139999999999</v>
      </c>
      <c r="AF6187">
        <v>9.1102894326312391</v>
      </c>
      <c r="AG6187">
        <v>-1.112173872714</v>
      </c>
      <c r="AH6187">
        <v>14.483126975749901</v>
      </c>
      <c r="AI6187">
        <v>93.719034051187606</v>
      </c>
      <c r="AJ6187">
        <v>57.828966072320902</v>
      </c>
      <c r="AK6187">
        <v>17.146290306219399</v>
      </c>
      <c r="AL6187">
        <v>84.360567089016001</v>
      </c>
      <c r="AM6187">
        <v>72.501990115104505</v>
      </c>
      <c r="AN6187">
        <v>0.99999993834899903</v>
      </c>
    </row>
    <row r="6188" spans="1:40" x14ac:dyDescent="0.25">
      <c r="A6188" t="str">
        <f>"20190303162034854"</f>
        <v>20190303162034854</v>
      </c>
      <c r="B6188" t="str">
        <f>"1551601234848431"</f>
        <v>1551601234848431</v>
      </c>
      <c r="C6188" t="s">
        <v>40</v>
      </c>
      <c r="D6188">
        <v>4.9734740000000004</v>
      </c>
      <c r="E6188">
        <v>0.60340919999999998</v>
      </c>
      <c r="F6188" t="s">
        <v>50</v>
      </c>
      <c r="G6188">
        <v>-209.20609999999999</v>
      </c>
      <c r="H6188" s="1">
        <v>-6.2151360000000002E-6</v>
      </c>
      <c r="I6188">
        <v>141.49080000000001</v>
      </c>
      <c r="J6188">
        <v>-195.43270000000001</v>
      </c>
      <c r="K6188">
        <v>1.1120650000000001</v>
      </c>
      <c r="L6188">
        <v>150.34989999999999</v>
      </c>
      <c r="M6188">
        <v>-0.4248498</v>
      </c>
      <c r="N6188">
        <v>-1.240636E-2</v>
      </c>
      <c r="O6188">
        <v>-0.90517890000000001</v>
      </c>
      <c r="P6188">
        <v>-0.67133920000000002</v>
      </c>
      <c r="Q6188">
        <v>9.1996590000000003E-2</v>
      </c>
      <c r="R6188">
        <v>-0.73541889999999999</v>
      </c>
      <c r="S6188">
        <v>-2.6321720000000002</v>
      </c>
      <c r="T6188">
        <v>-0.211395</v>
      </c>
      <c r="U6188">
        <v>-1.710739</v>
      </c>
      <c r="V6188">
        <v>0.29744470000000001</v>
      </c>
      <c r="W6188">
        <v>9.7357139999999995E-2</v>
      </c>
      <c r="X6188">
        <v>0.9497622</v>
      </c>
      <c r="Y6188">
        <v>0.52571919999999905</v>
      </c>
      <c r="Z6188">
        <v>5.9242450000000002E-2</v>
      </c>
      <c r="AA6188">
        <v>0.84859280000000004</v>
      </c>
      <c r="AB6188">
        <v>25</v>
      </c>
      <c r="AC6188">
        <v>-13.773399999999899</v>
      </c>
      <c r="AD6188">
        <v>-1.1120712151359999</v>
      </c>
      <c r="AE6188">
        <v>-8.8590999999999802</v>
      </c>
      <c r="AF6188">
        <v>8.6643199315813</v>
      </c>
      <c r="AG6188">
        <v>-1.1120712151359999</v>
      </c>
      <c r="AH6188">
        <v>13.8080903642304</v>
      </c>
      <c r="AI6188">
        <v>93.902648749850698</v>
      </c>
      <c r="AJ6188">
        <v>57.892493316153796</v>
      </c>
      <c r="AK6188">
        <v>16.3392319822898</v>
      </c>
      <c r="AL6188">
        <v>84.412996963652105</v>
      </c>
      <c r="AM6188">
        <v>72.610587706879798</v>
      </c>
      <c r="AN6188">
        <v>0.99999999940795403</v>
      </c>
    </row>
    <row r="6189" spans="1:40" x14ac:dyDescent="0.25">
      <c r="A6189" t="str">
        <f>"20190303162034873"</f>
        <v>20190303162034873</v>
      </c>
      <c r="B6189" t="str">
        <f>"1551601234868927"</f>
        <v>1551601234868927</v>
      </c>
      <c r="C6189" t="s">
        <v>40</v>
      </c>
      <c r="D6189">
        <v>4.6885570000000003</v>
      </c>
      <c r="E6189">
        <v>0.60441659999999997</v>
      </c>
      <c r="F6189" t="s">
        <v>50</v>
      </c>
      <c r="G6189">
        <v>-208.82499999999999</v>
      </c>
      <c r="H6189" s="1">
        <v>-6.4669849999999999E-6</v>
      </c>
      <c r="I6189">
        <v>141.80459999999999</v>
      </c>
      <c r="J6189">
        <v>-195.53479999999999</v>
      </c>
      <c r="K6189">
        <v>1.1119349999999999</v>
      </c>
      <c r="L6189">
        <v>150.1617</v>
      </c>
      <c r="M6189">
        <v>-0.43527120000000002</v>
      </c>
      <c r="N6189">
        <v>-1.2494389999999999E-2</v>
      </c>
      <c r="O6189">
        <v>-0.90021260000000003</v>
      </c>
      <c r="P6189">
        <v>-0.6761028</v>
      </c>
      <c r="Q6189">
        <v>9.3790079999999998E-2</v>
      </c>
      <c r="R6189">
        <v>-0.73081359999999995</v>
      </c>
      <c r="S6189">
        <v>-2.6479490000000001</v>
      </c>
      <c r="T6189">
        <v>-0.21988150000000001</v>
      </c>
      <c r="U6189">
        <v>-1.6895899999999999</v>
      </c>
      <c r="V6189">
        <v>0.29281879999999999</v>
      </c>
      <c r="W6189">
        <v>9.9241029999999994E-2</v>
      </c>
      <c r="X6189">
        <v>0.95100390000000001</v>
      </c>
      <c r="Y6189">
        <v>0.52286790000000005</v>
      </c>
      <c r="Z6189">
        <v>6.1786189999999998E-2</v>
      </c>
      <c r="AA6189">
        <v>0.85017160000000003</v>
      </c>
      <c r="AB6189">
        <v>25</v>
      </c>
      <c r="AC6189">
        <v>-13.2902</v>
      </c>
      <c r="AD6189">
        <v>-1.1119414669850001</v>
      </c>
      <c r="AE6189">
        <v>-8.3571000000000009</v>
      </c>
      <c r="AF6189">
        <v>8.2854871998714099</v>
      </c>
      <c r="AG6189">
        <v>-1.1119414669850001</v>
      </c>
      <c r="AH6189">
        <v>13.242616595755599</v>
      </c>
      <c r="AI6189">
        <v>94.071583329390805</v>
      </c>
      <c r="AJ6189">
        <v>57.967084570540997</v>
      </c>
      <c r="AK6189">
        <v>15.6605429748593</v>
      </c>
      <c r="AL6189">
        <v>84.304532844288204</v>
      </c>
      <c r="AM6189">
        <v>72.886142353804502</v>
      </c>
      <c r="AN6189">
        <v>1.00000002474205</v>
      </c>
    </row>
    <row r="6190" spans="1:40" x14ac:dyDescent="0.25">
      <c r="A6190" t="str">
        <f>"20190303162034888"</f>
        <v>20190303162034888</v>
      </c>
      <c r="B6190" t="str">
        <f>"1551601234878687"</f>
        <v>1551601234878687</v>
      </c>
      <c r="C6190" t="s">
        <v>40</v>
      </c>
      <c r="D6190">
        <v>4.6374009999999997</v>
      </c>
      <c r="E6190">
        <v>0.60549379999999997</v>
      </c>
      <c r="F6190" t="s">
        <v>50</v>
      </c>
      <c r="G6190">
        <v>-209.42939999999999</v>
      </c>
      <c r="H6190" s="1">
        <v>-6.1170029999999999E-6</v>
      </c>
      <c r="I6190">
        <v>141.49420000000001</v>
      </c>
      <c r="J6190">
        <v>-195.6165</v>
      </c>
      <c r="K6190">
        <v>1.111826</v>
      </c>
      <c r="L6190">
        <v>150.0146</v>
      </c>
      <c r="M6190">
        <v>-0.44352720000000001</v>
      </c>
      <c r="N6190">
        <v>-1.2563309999999999E-2</v>
      </c>
      <c r="O6190">
        <v>-0.896173</v>
      </c>
      <c r="P6190">
        <v>-0.681114</v>
      </c>
      <c r="Q6190">
        <v>9.5335690000000001E-2</v>
      </c>
      <c r="R6190">
        <v>-0.72594429999999999</v>
      </c>
      <c r="S6190">
        <v>-2.6679529999999998</v>
      </c>
      <c r="T6190">
        <v>-0.21350749999999999</v>
      </c>
      <c r="U6190">
        <v>-1.664261</v>
      </c>
      <c r="V6190">
        <v>0.2907711</v>
      </c>
      <c r="W6190">
        <v>0.10081710000000001</v>
      </c>
      <c r="X6190">
        <v>0.95146629999999999</v>
      </c>
      <c r="Y6190">
        <v>0.52384579999999903</v>
      </c>
      <c r="Z6190">
        <v>5.9579409999999999E-2</v>
      </c>
      <c r="AA6190">
        <v>0.84972689999999995</v>
      </c>
      <c r="AB6190">
        <v>25</v>
      </c>
      <c r="AC6190">
        <v>-13.8128999999999</v>
      </c>
      <c r="AD6190">
        <v>-1.1118321170030001</v>
      </c>
      <c r="AE6190">
        <v>-8.5203999999999898</v>
      </c>
      <c r="AF6190">
        <v>8.5602212740986605</v>
      </c>
      <c r="AG6190">
        <v>-1.1118321170030001</v>
      </c>
      <c r="AH6190">
        <v>13.6989411883923</v>
      </c>
      <c r="AI6190">
        <v>93.937390259983104</v>
      </c>
      <c r="AJ6190">
        <v>57.999480306655002</v>
      </c>
      <c r="AK6190">
        <v>16.191804982798001</v>
      </c>
      <c r="AL6190">
        <v>84.213775458767898</v>
      </c>
      <c r="AM6190">
        <v>73.006682551953801</v>
      </c>
      <c r="AN6190">
        <v>1.0000000201416499</v>
      </c>
    </row>
    <row r="6191" spans="1:40" x14ac:dyDescent="0.25">
      <c r="A6191" t="str">
        <f>"20190303162034906"</f>
        <v>20190303162034906</v>
      </c>
      <c r="B6191" t="str">
        <f>"1551601234898207"</f>
        <v>1551601234898207</v>
      </c>
      <c r="C6191" t="s">
        <v>40</v>
      </c>
      <c r="D6191">
        <v>5.1086609999999997</v>
      </c>
      <c r="E6191">
        <v>0.60628930000000003</v>
      </c>
      <c r="F6191" t="s">
        <v>41</v>
      </c>
      <c r="G6191">
        <v>-210.14230000000001</v>
      </c>
      <c r="H6191" s="1">
        <v>-4.9290870000000002E-6</v>
      </c>
      <c r="I6191">
        <v>141.1523</v>
      </c>
      <c r="J6191">
        <v>-195.71690000000001</v>
      </c>
      <c r="K6191">
        <v>1.1117049999999999</v>
      </c>
      <c r="L6191">
        <v>149.83850000000001</v>
      </c>
      <c r="M6191">
        <v>-0.45356340000000001</v>
      </c>
      <c r="N6191">
        <v>-1.264472E-2</v>
      </c>
      <c r="O6191">
        <v>-0.89113439999999999</v>
      </c>
      <c r="P6191">
        <v>-0.68712340000000005</v>
      </c>
      <c r="Q6191">
        <v>9.7865629999999995E-2</v>
      </c>
      <c r="R6191">
        <v>-0.71991939999999999</v>
      </c>
      <c r="S6191">
        <v>-2.6864469999999998</v>
      </c>
      <c r="T6191">
        <v>-0.2056241</v>
      </c>
      <c r="U6191">
        <v>-1.639008</v>
      </c>
      <c r="V6191">
        <v>0.28823700000000002</v>
      </c>
      <c r="W6191">
        <v>0.1033881</v>
      </c>
      <c r="X6191">
        <v>0.95196130000000001</v>
      </c>
      <c r="Y6191">
        <v>0.522864</v>
      </c>
      <c r="Z6191">
        <v>5.6849980000000001E-2</v>
      </c>
      <c r="AA6191">
        <v>0.850518199999999</v>
      </c>
      <c r="AB6191">
        <v>25</v>
      </c>
      <c r="AC6191">
        <v>-14.4253999999999</v>
      </c>
      <c r="AD6191">
        <v>-1.1117099290869901</v>
      </c>
      <c r="AE6191">
        <v>-8.6862000000000101</v>
      </c>
      <c r="AF6191">
        <v>8.8772458539827994</v>
      </c>
      <c r="AG6191">
        <v>-1.1117099290869901</v>
      </c>
      <c r="AH6191">
        <v>14.2225529123863</v>
      </c>
      <c r="AI6191">
        <v>93.793663597209303</v>
      </c>
      <c r="AJ6191">
        <v>58.028957211352498</v>
      </c>
      <c r="AK6191">
        <v>16.802452328874899</v>
      </c>
      <c r="AL6191">
        <v>84.065693910954906</v>
      </c>
      <c r="AM6191">
        <v>73.154618332795096</v>
      </c>
      <c r="AN6191">
        <v>0.99999999204415002</v>
      </c>
    </row>
    <row r="6192" spans="1:40" x14ac:dyDescent="0.25">
      <c r="A6192" t="str">
        <f>"20190303162034919"</f>
        <v>20190303162034919</v>
      </c>
      <c r="B6192" t="str">
        <f>"1551601234908944"</f>
        <v>1551601234908944</v>
      </c>
      <c r="C6192" t="s">
        <v>40</v>
      </c>
      <c r="D6192">
        <v>5.1284289999999997</v>
      </c>
      <c r="E6192">
        <v>0.60602829999999996</v>
      </c>
      <c r="F6192" t="s">
        <v>41</v>
      </c>
      <c r="G6192">
        <v>-210.78219999999999</v>
      </c>
      <c r="H6192" s="1">
        <v>-4.6331270000000003E-6</v>
      </c>
      <c r="I6192">
        <v>140.869</v>
      </c>
      <c r="J6192">
        <v>-195.798</v>
      </c>
      <c r="K6192">
        <v>1.111607</v>
      </c>
      <c r="L6192">
        <v>149.7004</v>
      </c>
      <c r="M6192">
        <v>-0.46156399999999997</v>
      </c>
      <c r="N6192">
        <v>-1.270694E-2</v>
      </c>
      <c r="O6192">
        <v>-0.88701600000000003</v>
      </c>
      <c r="P6192">
        <v>-0.69274539999999996</v>
      </c>
      <c r="Q6192">
        <v>9.8544599999999996E-2</v>
      </c>
      <c r="R6192">
        <v>-0.714418</v>
      </c>
      <c r="S6192">
        <v>-2.7062840000000001</v>
      </c>
      <c r="T6192">
        <v>-0.19970489999999999</v>
      </c>
      <c r="U6192">
        <v>-1.611267</v>
      </c>
      <c r="V6192">
        <v>0.28721770000000002</v>
      </c>
      <c r="W6192">
        <v>0.10407909999999999</v>
      </c>
      <c r="X6192">
        <v>0.95219410000000004</v>
      </c>
      <c r="Y6192">
        <v>0.52448919999999999</v>
      </c>
      <c r="Z6192">
        <v>5.4839409999999998E-2</v>
      </c>
      <c r="AA6192">
        <v>0.84964919999999999</v>
      </c>
      <c r="AB6192">
        <v>25</v>
      </c>
      <c r="AC6192">
        <v>-14.9841999999999</v>
      </c>
      <c r="AD6192">
        <v>-1.1116116331270001</v>
      </c>
      <c r="AE6192">
        <v>-8.8314000000000004</v>
      </c>
      <c r="AF6192">
        <v>9.1782224647718795</v>
      </c>
      <c r="AG6192">
        <v>-1.1116116331270001</v>
      </c>
      <c r="AH6192">
        <v>14.6909430252368</v>
      </c>
      <c r="AI6192">
        <v>93.671757467320802</v>
      </c>
      <c r="AJ6192">
        <v>58.0047617580747</v>
      </c>
      <c r="AK6192">
        <v>17.357973816275301</v>
      </c>
      <c r="AL6192">
        <v>84.025888035294599</v>
      </c>
      <c r="AM6192">
        <v>73.214705616860201</v>
      </c>
      <c r="AN6192">
        <v>1.0000000351624501</v>
      </c>
    </row>
    <row r="6193" spans="1:40" x14ac:dyDescent="0.25">
      <c r="A6193" t="str">
        <f>"20190303162034933"</f>
        <v>20190303162034933</v>
      </c>
      <c r="B6193" t="str">
        <f>"1551601234928463"</f>
        <v>1551601234928463</v>
      </c>
      <c r="C6193" t="s">
        <v>40</v>
      </c>
      <c r="D6193">
        <v>4.6686839999999998</v>
      </c>
      <c r="E6193">
        <v>0.60754419999999898</v>
      </c>
      <c r="F6193" t="s">
        <v>41</v>
      </c>
      <c r="G6193">
        <v>-210.78110000000001</v>
      </c>
      <c r="H6193" s="1">
        <v>-4.6444120000000003E-6</v>
      </c>
      <c r="I6193">
        <v>140.93020000000001</v>
      </c>
      <c r="J6193">
        <v>-195.87710000000001</v>
      </c>
      <c r="K6193">
        <v>1.1115189999999999</v>
      </c>
      <c r="L6193">
        <v>149.5685</v>
      </c>
      <c r="M6193">
        <v>-0.46928259999999999</v>
      </c>
      <c r="N6193">
        <v>-1.276236E-2</v>
      </c>
      <c r="O6193">
        <v>-0.88295579999999996</v>
      </c>
      <c r="P6193">
        <v>-0.69849629999999996</v>
      </c>
      <c r="Q6193">
        <v>9.9150169999999996E-2</v>
      </c>
      <c r="R6193">
        <v>-0.70871200000000001</v>
      </c>
      <c r="S6193">
        <v>-2.718353</v>
      </c>
      <c r="T6193">
        <v>-0.20167850000000001</v>
      </c>
      <c r="U6193">
        <v>-1.5911709999999999</v>
      </c>
      <c r="V6193">
        <v>0.28668559999999998</v>
      </c>
      <c r="W6193">
        <v>0.1046866</v>
      </c>
      <c r="X6193">
        <v>0.95228789999999996</v>
      </c>
      <c r="Y6193">
        <v>0.52336000000000005</v>
      </c>
      <c r="Z6193">
        <v>5.5363669999999997E-2</v>
      </c>
      <c r="AA6193">
        <v>0.85031119999999905</v>
      </c>
      <c r="AB6193">
        <v>25</v>
      </c>
      <c r="AC6193">
        <v>-14.9039999999999</v>
      </c>
      <c r="AD6193">
        <v>-1.111523644412</v>
      </c>
      <c r="AE6193">
        <v>-8.6382999999999797</v>
      </c>
      <c r="AF6193">
        <v>9.0687543035061893</v>
      </c>
      <c r="AG6193">
        <v>-1.111523644412</v>
      </c>
      <c r="AH6193">
        <v>14.5619886986262</v>
      </c>
      <c r="AI6193">
        <v>93.707183878272005</v>
      </c>
      <c r="AJ6193">
        <v>58.086631800732903</v>
      </c>
      <c r="AK6193">
        <v>17.190965775324099</v>
      </c>
      <c r="AL6193">
        <v>83.990889936733595</v>
      </c>
      <c r="AM6193">
        <v>73.245615634938602</v>
      </c>
      <c r="AN6193">
        <v>1.00000008097666</v>
      </c>
    </row>
    <row r="6194" spans="1:40" x14ac:dyDescent="0.25">
      <c r="A6194" t="str">
        <f>"20190303162034950"</f>
        <v>20190303162034950</v>
      </c>
      <c r="B6194" t="str">
        <f>"1551601234938224"</f>
        <v>1551601234938224</v>
      </c>
      <c r="C6194" t="s">
        <v>40</v>
      </c>
      <c r="D6194">
        <v>5.1228850000000001</v>
      </c>
      <c r="E6194">
        <v>0.60725189999999996</v>
      </c>
      <c r="F6194" t="s">
        <v>41</v>
      </c>
      <c r="G6194">
        <v>-211.35159999999999</v>
      </c>
      <c r="H6194" s="1">
        <v>-4.3725309999999999E-6</v>
      </c>
      <c r="I6194">
        <v>140.7585</v>
      </c>
      <c r="J6194">
        <v>-195.97839999999999</v>
      </c>
      <c r="K6194">
        <v>1.1114189999999999</v>
      </c>
      <c r="L6194">
        <v>149.40309999999999</v>
      </c>
      <c r="M6194">
        <v>-0.47904079999999899</v>
      </c>
      <c r="N6194">
        <v>-1.2824800000000001E-2</v>
      </c>
      <c r="O6194">
        <v>-0.87769900000000001</v>
      </c>
      <c r="P6194">
        <v>-0.70556969999999997</v>
      </c>
      <c r="Q6194">
        <v>0.1000839</v>
      </c>
      <c r="R6194">
        <v>-0.70153769999999904</v>
      </c>
      <c r="S6194">
        <v>-2.740097</v>
      </c>
      <c r="T6194">
        <v>-0.19681969999999999</v>
      </c>
      <c r="U6194">
        <v>-1.559998</v>
      </c>
      <c r="V6194">
        <v>0.28579379999999999</v>
      </c>
      <c r="W6194">
        <v>0.10562970000000001</v>
      </c>
      <c r="X6194">
        <v>0.95245170000000001</v>
      </c>
      <c r="Y6194">
        <v>0.52422729999999995</v>
      </c>
      <c r="Z6194">
        <v>5.3659190000000002E-2</v>
      </c>
      <c r="AA6194">
        <v>0.84988619999999904</v>
      </c>
      <c r="AB6194">
        <v>25</v>
      </c>
      <c r="AC6194">
        <v>-15.373199999999899</v>
      </c>
      <c r="AD6194">
        <v>-1.1114233725309901</v>
      </c>
      <c r="AE6194">
        <v>-8.6445999999999898</v>
      </c>
      <c r="AF6194">
        <v>9.3157014780660408</v>
      </c>
      <c r="AG6194">
        <v>-1.1114233725309901</v>
      </c>
      <c r="AH6194">
        <v>14.893831205853299</v>
      </c>
      <c r="AI6194">
        <v>93.6200933491412</v>
      </c>
      <c r="AJ6194">
        <v>57.9750989307853</v>
      </c>
      <c r="AK6194">
        <v>17.602379496247</v>
      </c>
      <c r="AL6194">
        <v>83.936552436276202</v>
      </c>
      <c r="AM6194">
        <v>73.297538848583699</v>
      </c>
      <c r="AN6194">
        <v>0.99999998523670897</v>
      </c>
    </row>
    <row r="6195" spans="1:40" x14ac:dyDescent="0.25">
      <c r="A6195" t="str">
        <f>"20190303162034964"</f>
        <v>20190303162034964</v>
      </c>
      <c r="B6195" t="str">
        <f>"1551601234958720"</f>
        <v>1551601234958720</v>
      </c>
      <c r="C6195" t="s">
        <v>40</v>
      </c>
      <c r="D6195">
        <v>4.7226019999999904</v>
      </c>
      <c r="E6195">
        <v>0.60844980000000004</v>
      </c>
      <c r="F6195" t="s">
        <v>41</v>
      </c>
      <c r="G6195">
        <v>-211.3272</v>
      </c>
      <c r="H6195" s="1">
        <v>-4.4091150000000001E-6</v>
      </c>
      <c r="I6195">
        <v>140.8526</v>
      </c>
      <c r="J6195">
        <v>-196.0599</v>
      </c>
      <c r="K6195">
        <v>1.111345</v>
      </c>
      <c r="L6195">
        <v>149.27260000000001</v>
      </c>
      <c r="M6195">
        <v>-0.48680250000000003</v>
      </c>
      <c r="N6195">
        <v>-1.2867770000000001E-2</v>
      </c>
      <c r="O6195">
        <v>-0.87341759999999902</v>
      </c>
      <c r="P6195">
        <v>-0.71145909999999901</v>
      </c>
      <c r="Q6195">
        <v>0.1004683</v>
      </c>
      <c r="R6195">
        <v>-0.69550900000000004</v>
      </c>
      <c r="S6195">
        <v>-2.7544710000000001</v>
      </c>
      <c r="T6195">
        <v>-0.19945450000000001</v>
      </c>
      <c r="U6195">
        <v>-1.53447</v>
      </c>
      <c r="V6195">
        <v>0.28543590000000002</v>
      </c>
      <c r="W6195">
        <v>0.1060133</v>
      </c>
      <c r="X6195">
        <v>0.95251640000000004</v>
      </c>
      <c r="Y6195">
        <v>0.52453509999999903</v>
      </c>
      <c r="Z6195">
        <v>5.4430340000000001E-2</v>
      </c>
      <c r="AA6195">
        <v>0.84964709999999999</v>
      </c>
      <c r="AB6195">
        <v>25</v>
      </c>
      <c r="AC6195">
        <v>-15.267300000000001</v>
      </c>
      <c r="AD6195">
        <v>-1.111349409115</v>
      </c>
      <c r="AE6195">
        <v>-8.4200000000000106</v>
      </c>
      <c r="AF6195">
        <v>9.1992371596534497</v>
      </c>
      <c r="AG6195">
        <v>-1.111349409115</v>
      </c>
      <c r="AH6195">
        <v>14.727717521711201</v>
      </c>
      <c r="AI6195">
        <v>93.661971001800694</v>
      </c>
      <c r="AJ6195">
        <v>58.010247360374997</v>
      </c>
      <c r="AK6195">
        <v>17.400193252605199</v>
      </c>
      <c r="AL6195">
        <v>83.914449654341098</v>
      </c>
      <c r="AM6195">
        <v>73.318362613602801</v>
      </c>
      <c r="AN6195">
        <v>0.99999998252733002</v>
      </c>
    </row>
    <row r="6196" spans="1:40" x14ac:dyDescent="0.25">
      <c r="A6196" t="str">
        <f>"20190303162034977"</f>
        <v>20190303162034977</v>
      </c>
      <c r="B6196" t="str">
        <f>"1551601234968479"</f>
        <v>1551601234968479</v>
      </c>
      <c r="C6196" t="s">
        <v>40</v>
      </c>
      <c r="D6196">
        <v>4.715376</v>
      </c>
      <c r="E6196">
        <v>0.6089734</v>
      </c>
      <c r="F6196" t="s">
        <v>41</v>
      </c>
      <c r="G6196">
        <v>-211.7329</v>
      </c>
      <c r="H6196" s="1">
        <v>-4.1964719999999996E-6</v>
      </c>
      <c r="I6196">
        <v>140.77420000000001</v>
      </c>
      <c r="J6196">
        <v>-196.13740000000001</v>
      </c>
      <c r="K6196">
        <v>1.111283</v>
      </c>
      <c r="L6196">
        <v>149.15209999999999</v>
      </c>
      <c r="M6196">
        <v>-0.4940602</v>
      </c>
      <c r="N6196">
        <v>-1.2900729999999999E-2</v>
      </c>
      <c r="O6196">
        <v>-0.86933209999999905</v>
      </c>
      <c r="P6196">
        <v>-0.7175262</v>
      </c>
      <c r="Q6196">
        <v>0.1010238</v>
      </c>
      <c r="R6196">
        <v>-0.68916650000000002</v>
      </c>
      <c r="S6196">
        <v>-2.7740330000000002</v>
      </c>
      <c r="T6196">
        <v>-0.19670260000000001</v>
      </c>
      <c r="U6196">
        <v>-1.5041659999999999</v>
      </c>
      <c r="V6196">
        <v>0.28591739999999999</v>
      </c>
      <c r="W6196">
        <v>0.10654859999999999</v>
      </c>
      <c r="X6196">
        <v>0.9523123</v>
      </c>
      <c r="Y6196">
        <v>0.52718619999999905</v>
      </c>
      <c r="Z6196">
        <v>5.3492360000000003E-2</v>
      </c>
      <c r="AA6196">
        <v>0.8480645</v>
      </c>
      <c r="AB6196">
        <v>25</v>
      </c>
      <c r="AC6196">
        <v>-15.5954999999999</v>
      </c>
      <c r="AD6196">
        <v>-1.1112871964719999</v>
      </c>
      <c r="AE6196">
        <v>-8.3778999999999808</v>
      </c>
      <c r="AF6196">
        <v>9.3822945914503304</v>
      </c>
      <c r="AG6196">
        <v>-1.1112871964719999</v>
      </c>
      <c r="AH6196">
        <v>14.9307059714437</v>
      </c>
      <c r="AI6196">
        <v>93.606013227286596</v>
      </c>
      <c r="AJ6196">
        <v>57.855188882555801</v>
      </c>
      <c r="AK6196">
        <v>17.668853721719099</v>
      </c>
      <c r="AL6196">
        <v>83.883604874577401</v>
      </c>
      <c r="AM6196">
        <v>73.288408407629007</v>
      </c>
      <c r="AN6196">
        <v>1.000000040258</v>
      </c>
    </row>
    <row r="6197" spans="1:40" x14ac:dyDescent="0.25">
      <c r="A6197" t="str">
        <f>"20190303162034992"</f>
        <v>20190303162034992</v>
      </c>
      <c r="B6197" t="str">
        <f>"1551601234988976"</f>
        <v>1551601234988976</v>
      </c>
      <c r="C6197" t="s">
        <v>40</v>
      </c>
      <c r="D6197">
        <v>4.950755</v>
      </c>
      <c r="E6197">
        <v>0.60930509999999904</v>
      </c>
      <c r="F6197" t="s">
        <v>41</v>
      </c>
      <c r="G6197">
        <v>-212.09190000000001</v>
      </c>
      <c r="H6197" s="1">
        <v>-4.0098280000000001E-6</v>
      </c>
      <c r="I6197">
        <v>140.7105</v>
      </c>
      <c r="J6197">
        <v>-196.2302</v>
      </c>
      <c r="K6197">
        <v>1.1112200000000001</v>
      </c>
      <c r="L6197">
        <v>149.00989999999999</v>
      </c>
      <c r="M6197">
        <v>-0.50263429999999998</v>
      </c>
      <c r="N6197">
        <v>-1.293566E-2</v>
      </c>
      <c r="O6197">
        <v>-0.86440239999999902</v>
      </c>
      <c r="P6197">
        <v>-0.72511389999999998</v>
      </c>
      <c r="Q6197">
        <v>0.1009775</v>
      </c>
      <c r="R6197">
        <v>-0.68118540000000005</v>
      </c>
      <c r="S6197">
        <v>-2.790359</v>
      </c>
      <c r="T6197">
        <v>-0.19435920000000001</v>
      </c>
      <c r="U6197">
        <v>-1.4763949999999999</v>
      </c>
      <c r="V6197">
        <v>0.2870548</v>
      </c>
      <c r="W6197">
        <v>0.1064676</v>
      </c>
      <c r="X6197">
        <v>0.95197909999999997</v>
      </c>
      <c r="Y6197">
        <v>0.52747900000000003</v>
      </c>
      <c r="Z6197">
        <v>5.2644639999999999E-2</v>
      </c>
      <c r="AA6197">
        <v>0.84793539999999901</v>
      </c>
      <c r="AB6197">
        <v>25</v>
      </c>
      <c r="AC6197">
        <v>-15.861700000000001</v>
      </c>
      <c r="AD6197">
        <v>-1.111224009828</v>
      </c>
      <c r="AE6197">
        <v>-8.2993999999999897</v>
      </c>
      <c r="AF6197">
        <v>9.5035082416390892</v>
      </c>
      <c r="AG6197">
        <v>-1.111224009828</v>
      </c>
      <c r="AH6197">
        <v>15.0897800327647</v>
      </c>
      <c r="AI6197">
        <v>93.565637194244403</v>
      </c>
      <c r="AJ6197">
        <v>57.797372051002903</v>
      </c>
      <c r="AK6197">
        <v>17.8676509126451</v>
      </c>
      <c r="AL6197">
        <v>83.888272180775004</v>
      </c>
      <c r="AM6197">
        <v>73.220114740136196</v>
      </c>
      <c r="AN6197">
        <v>1.0000000074448001</v>
      </c>
    </row>
    <row r="6198" spans="1:40" x14ac:dyDescent="0.25">
      <c r="A6198" t="str">
        <f>"20190303162035010"</f>
        <v>20190303162035010</v>
      </c>
      <c r="B6198" t="str">
        <f>"1551601234998736"</f>
        <v>1551601234998736</v>
      </c>
      <c r="C6198" t="s">
        <v>40</v>
      </c>
      <c r="D6198">
        <v>4.9682019999999998</v>
      </c>
      <c r="E6198">
        <v>0.60903809999999903</v>
      </c>
      <c r="F6198" t="s">
        <v>41</v>
      </c>
      <c r="G6198">
        <v>-212.00389999999999</v>
      </c>
      <c r="H6198" s="1">
        <v>-4.1017729999999997E-6</v>
      </c>
      <c r="I6198">
        <v>140.8997</v>
      </c>
      <c r="J6198">
        <v>-196.34100000000001</v>
      </c>
      <c r="K6198">
        <v>1.1111599999999999</v>
      </c>
      <c r="L6198">
        <v>148.8442</v>
      </c>
      <c r="M6198">
        <v>-0.51268349999999996</v>
      </c>
      <c r="N6198">
        <v>-1.297064E-2</v>
      </c>
      <c r="O6198">
        <v>-0.85847989999999996</v>
      </c>
      <c r="P6198">
        <v>-0.73517779999999999</v>
      </c>
      <c r="Q6198">
        <v>9.9924089999999993E-2</v>
      </c>
      <c r="R6198">
        <v>-0.67046919999999899</v>
      </c>
      <c r="S6198">
        <v>-2.8083499999999999</v>
      </c>
      <c r="T6198">
        <v>-0.19784280000000001</v>
      </c>
      <c r="U6198">
        <v>-1.443954</v>
      </c>
      <c r="V6198">
        <v>0.29003459999999998</v>
      </c>
      <c r="W6198">
        <v>0.1053357</v>
      </c>
      <c r="X6198">
        <v>0.95120150000000003</v>
      </c>
      <c r="Y6198">
        <v>0.52747569999999999</v>
      </c>
      <c r="Z6198">
        <v>5.3631779999999997E-2</v>
      </c>
      <c r="AA6198">
        <v>0.84787559999999995</v>
      </c>
      <c r="AB6198">
        <v>25</v>
      </c>
      <c r="AC6198">
        <v>-15.6629</v>
      </c>
      <c r="AD6198">
        <v>-1.1111641017729901</v>
      </c>
      <c r="AE6198">
        <v>-7.9444999999999997</v>
      </c>
      <c r="AF6198">
        <v>9.3366831297300994</v>
      </c>
      <c r="AG6198">
        <v>-1.1111641017729901</v>
      </c>
      <c r="AH6198">
        <v>14.792337273079401</v>
      </c>
      <c r="AI6198">
        <v>93.634681005860301</v>
      </c>
      <c r="AJ6198">
        <v>57.740544451713298</v>
      </c>
      <c r="AK6198">
        <v>17.527737433182601</v>
      </c>
      <c r="AL6198">
        <v>83.953491904819799</v>
      </c>
      <c r="AM6198">
        <v>73.042805280579699</v>
      </c>
      <c r="AN6198">
        <v>0.99999998624694997</v>
      </c>
    </row>
    <row r="6199" spans="1:40" x14ac:dyDescent="0.25">
      <c r="A6199" t="str">
        <f>"20190303162035023"</f>
        <v>20190303162035023</v>
      </c>
      <c r="B6199" t="str">
        <f>"1551601235018256"</f>
        <v>1551601235018256</v>
      </c>
      <c r="C6199" t="s">
        <v>40</v>
      </c>
      <c r="D6199">
        <v>4.9283729999999997</v>
      </c>
      <c r="E6199">
        <v>0.60835939999999999</v>
      </c>
      <c r="F6199" t="s">
        <v>41</v>
      </c>
      <c r="G6199">
        <v>-211.50020000000001</v>
      </c>
      <c r="H6199" s="1">
        <v>-4.4354139999999999E-6</v>
      </c>
      <c r="I6199">
        <v>141.30889999999999</v>
      </c>
      <c r="J6199">
        <v>-196.43010000000001</v>
      </c>
      <c r="K6199">
        <v>1.111129</v>
      </c>
      <c r="L6199">
        <v>148.71360000000001</v>
      </c>
      <c r="M6199">
        <v>-0.52061780000000002</v>
      </c>
      <c r="N6199">
        <v>-1.299435E-2</v>
      </c>
      <c r="O6199">
        <v>-0.85369089999999903</v>
      </c>
      <c r="P6199">
        <v>-0.74260439999999905</v>
      </c>
      <c r="Q6199">
        <v>9.8351560000000005E-2</v>
      </c>
      <c r="R6199">
        <v>-0.66246949999999905</v>
      </c>
      <c r="S6199">
        <v>-2.8271639999999998</v>
      </c>
      <c r="T6199">
        <v>-0.2072302</v>
      </c>
      <c r="U6199">
        <v>-1.405319</v>
      </c>
      <c r="V6199">
        <v>0.29166639999999999</v>
      </c>
      <c r="W6199">
        <v>0.10372770000000001</v>
      </c>
      <c r="X6199">
        <v>0.95087920000000004</v>
      </c>
      <c r="Y6199">
        <v>0.5309644</v>
      </c>
      <c r="Z6199">
        <v>5.6620749999999997E-2</v>
      </c>
      <c r="AA6199">
        <v>0.84550040000000004</v>
      </c>
      <c r="AB6199">
        <v>25</v>
      </c>
      <c r="AC6199">
        <v>-15.070099999999901</v>
      </c>
      <c r="AD6199">
        <v>-1.1111334354139999</v>
      </c>
      <c r="AE6199">
        <v>-7.4047000000000098</v>
      </c>
      <c r="AF6199">
        <v>8.9716625259560399</v>
      </c>
      <c r="AG6199">
        <v>-1.1111334354139999</v>
      </c>
      <c r="AH6199">
        <v>14.1065111830295</v>
      </c>
      <c r="AI6199">
        <v>93.8025225492148</v>
      </c>
      <c r="AJ6199">
        <v>57.543866911932597</v>
      </c>
      <c r="AK6199">
        <v>16.754671102348599</v>
      </c>
      <c r="AL6199">
        <v>84.046131063705005</v>
      </c>
      <c r="AM6199">
        <v>72.947474778643297</v>
      </c>
      <c r="AN6199">
        <v>0.99999998881444496</v>
      </c>
    </row>
    <row r="6200" spans="1:40" x14ac:dyDescent="0.25">
      <c r="A6200" t="str">
        <f>"20190303162035041"</f>
        <v>20190303162035041</v>
      </c>
      <c r="B6200" t="str">
        <f>"1551601235028992"</f>
        <v>1551601235028992</v>
      </c>
      <c r="C6200" t="s">
        <v>40</v>
      </c>
      <c r="D6200">
        <v>4.9124480000000004</v>
      </c>
      <c r="E6200">
        <v>0.60807480000000003</v>
      </c>
      <c r="F6200" t="s">
        <v>41</v>
      </c>
      <c r="G6200">
        <v>-210.75129999999999</v>
      </c>
      <c r="H6200" s="1">
        <v>-4.8023380000000004E-6</v>
      </c>
      <c r="I6200">
        <v>141.756</v>
      </c>
      <c r="J6200">
        <v>-196.5419</v>
      </c>
      <c r="K6200">
        <v>1.1111040000000001</v>
      </c>
      <c r="L6200">
        <v>148.55410000000001</v>
      </c>
      <c r="M6200">
        <v>-0.53034680000000001</v>
      </c>
      <c r="N6200">
        <v>-1.3017549999999999E-2</v>
      </c>
      <c r="O6200">
        <v>-0.84768099999999902</v>
      </c>
      <c r="P6200">
        <v>-0.75208359999999996</v>
      </c>
      <c r="Q6200">
        <v>9.5329250000000004E-2</v>
      </c>
      <c r="R6200">
        <v>-0.65213739999999998</v>
      </c>
      <c r="S6200">
        <v>-2.8386990000000001</v>
      </c>
      <c r="T6200">
        <v>-0.22024630000000001</v>
      </c>
      <c r="U6200">
        <v>-1.3791199999999999</v>
      </c>
      <c r="V6200">
        <v>0.29420180000000001</v>
      </c>
      <c r="W6200">
        <v>0.1006553</v>
      </c>
      <c r="X6200">
        <v>0.95042819999999995</v>
      </c>
      <c r="Y6200">
        <v>0.5286904</v>
      </c>
      <c r="Z6200">
        <v>6.0576699999999997E-2</v>
      </c>
      <c r="AA6200">
        <v>0.84665040000000003</v>
      </c>
      <c r="AB6200">
        <v>25</v>
      </c>
      <c r="AC6200">
        <v>-14.209399999999899</v>
      </c>
      <c r="AD6200">
        <v>-1.111108802338</v>
      </c>
      <c r="AE6200">
        <v>-6.7980999999999998</v>
      </c>
      <c r="AF6200">
        <v>8.3986133744840892</v>
      </c>
      <c r="AG6200">
        <v>-1.111108802338</v>
      </c>
      <c r="AH6200">
        <v>13.2338084672514</v>
      </c>
      <c r="AI6200">
        <v>94.054869722719701</v>
      </c>
      <c r="AJ6200">
        <v>57.599434746391402</v>
      </c>
      <c r="AK6200">
        <v>15.713209599970099</v>
      </c>
      <c r="AL6200">
        <v>84.223093057881002</v>
      </c>
      <c r="AM6200">
        <v>72.800268136161606</v>
      </c>
      <c r="AN6200">
        <v>0.99999997594828405</v>
      </c>
    </row>
    <row r="6201" spans="1:40" x14ac:dyDescent="0.25">
      <c r="A6201" t="str">
        <f>"20190303162035064"</f>
        <v>20190303162035064</v>
      </c>
      <c r="B6201" t="str">
        <f>"1551601235058271"</f>
        <v>1551601235058271</v>
      </c>
      <c r="C6201" t="s">
        <v>40</v>
      </c>
      <c r="D6201">
        <v>4.8913900000000003</v>
      </c>
      <c r="E6201">
        <v>0.60724679999999998</v>
      </c>
      <c r="F6201" t="s">
        <v>41</v>
      </c>
      <c r="G6201">
        <v>-210.22980000000001</v>
      </c>
      <c r="H6201" s="1">
        <v>-5.0691630000000001E-6</v>
      </c>
      <c r="I6201">
        <v>142.13140000000001</v>
      </c>
      <c r="J6201">
        <v>-196.69450000000001</v>
      </c>
      <c r="K6201">
        <v>1.1111089999999999</v>
      </c>
      <c r="L6201">
        <v>148.34180000000001</v>
      </c>
      <c r="M6201">
        <v>-0.54327990000000004</v>
      </c>
      <c r="N6201">
        <v>-1.3040929999999999E-2</v>
      </c>
      <c r="O6201">
        <v>-0.83945020000000004</v>
      </c>
      <c r="P6201">
        <v>-0.76250180000000001</v>
      </c>
      <c r="Q6201">
        <v>9.3351279999999995E-2</v>
      </c>
      <c r="R6201">
        <v>-0.64021609999999995</v>
      </c>
      <c r="S6201">
        <v>-2.8561860000000001</v>
      </c>
      <c r="T6201">
        <v>-0.23185</v>
      </c>
      <c r="U6201">
        <v>-1.3402099999999999</v>
      </c>
      <c r="V6201">
        <v>0.29474909999999999</v>
      </c>
      <c r="W6201">
        <v>9.8696770000000003E-2</v>
      </c>
      <c r="X6201">
        <v>0.95046410000000003</v>
      </c>
      <c r="Y6201">
        <v>0.52689390000000003</v>
      </c>
      <c r="Z6201">
        <v>6.4010010000000006E-2</v>
      </c>
      <c r="AA6201">
        <v>0.84751730000000003</v>
      </c>
      <c r="AB6201">
        <v>25</v>
      </c>
      <c r="AC6201">
        <v>-13.535299999999999</v>
      </c>
      <c r="AD6201">
        <v>-1.1111140691629999</v>
      </c>
      <c r="AE6201">
        <v>-6.2103999999999902</v>
      </c>
      <c r="AF6201">
        <v>7.9446784737897502</v>
      </c>
      <c r="AG6201">
        <v>-1.1111140691629999</v>
      </c>
      <c r="AH6201">
        <v>12.4982724911261</v>
      </c>
      <c r="AI6201">
        <v>94.290664714012493</v>
      </c>
      <c r="AJ6201">
        <v>57.5574251385286</v>
      </c>
      <c r="AK6201">
        <v>14.8512392004515</v>
      </c>
      <c r="AL6201">
        <v>84.335870610627595</v>
      </c>
      <c r="AM6201">
        <v>72.770776740938203</v>
      </c>
      <c r="AN6201">
        <v>1.0000000448740201</v>
      </c>
    </row>
    <row r="6202" spans="1:40" x14ac:dyDescent="0.25">
      <c r="A6202" t="str">
        <f>"20190303162035087"</f>
        <v>20190303162035087</v>
      </c>
      <c r="B6202" t="str">
        <f>"1551601235078768"</f>
        <v>1551601235078768</v>
      </c>
      <c r="C6202" t="s">
        <v>40</v>
      </c>
      <c r="D6202">
        <v>4.8878019999999998</v>
      </c>
      <c r="E6202">
        <v>0.60675310000000005</v>
      </c>
      <c r="F6202" t="s">
        <v>50</v>
      </c>
      <c r="G6202">
        <v>-209.76179999999999</v>
      </c>
      <c r="H6202" s="1">
        <v>-6.2175360000000003E-6</v>
      </c>
      <c r="I6202">
        <v>142.43350000000001</v>
      </c>
      <c r="J6202">
        <v>-196.84530000000001</v>
      </c>
      <c r="K6202">
        <v>1.1111420000000001</v>
      </c>
      <c r="L6202">
        <v>148.1388</v>
      </c>
      <c r="M6202">
        <v>-0.55562619999999996</v>
      </c>
      <c r="N6202">
        <v>-1.305451E-2</v>
      </c>
      <c r="O6202">
        <v>-0.83132989999999996</v>
      </c>
      <c r="P6202">
        <v>-0.77225290000000002</v>
      </c>
      <c r="Q6202">
        <v>9.3874449999999998E-2</v>
      </c>
      <c r="R6202">
        <v>-0.62834190000000001</v>
      </c>
      <c r="S6202">
        <v>-2.873459</v>
      </c>
      <c r="T6202">
        <v>-0.2443302</v>
      </c>
      <c r="U6202">
        <v>-1.2992250000000001</v>
      </c>
      <c r="V6202">
        <v>0.29536069999999998</v>
      </c>
      <c r="W6202">
        <v>9.9241010000000004E-2</v>
      </c>
      <c r="X6202">
        <v>0.95021750000000005</v>
      </c>
      <c r="Y6202">
        <v>0.52601609999999999</v>
      </c>
      <c r="Z6202">
        <v>6.7716680000000001E-2</v>
      </c>
      <c r="AA6202">
        <v>0.84777449999999999</v>
      </c>
      <c r="AB6202">
        <v>25</v>
      </c>
      <c r="AC6202">
        <v>-12.9164999999999</v>
      </c>
      <c r="AD6202">
        <v>-1.1111482175359999</v>
      </c>
      <c r="AE6202">
        <v>-5.7052999999999896</v>
      </c>
      <c r="AF6202">
        <v>7.5219246803826403</v>
      </c>
      <c r="AG6202">
        <v>-1.1111482175359999</v>
      </c>
      <c r="AH6202">
        <v>11.847384377862699</v>
      </c>
      <c r="AI6202">
        <v>94.527127289765005</v>
      </c>
      <c r="AJ6202">
        <v>57.588465901416399</v>
      </c>
      <c r="AK6202">
        <v>14.0774471355963</v>
      </c>
      <c r="AL6202">
        <v>84.304533907295493</v>
      </c>
      <c r="AM6202">
        <v>72.7329352783659</v>
      </c>
      <c r="AN6202">
        <v>1.0000000092382799</v>
      </c>
    </row>
    <row r="6203" spans="1:40" x14ac:dyDescent="0.25">
      <c r="A6203" t="str">
        <f>"20190303162035111"</f>
        <v>20190303162035111</v>
      </c>
      <c r="B6203" t="str">
        <f>"1551601235098288"</f>
        <v>1551601235098288</v>
      </c>
      <c r="C6203" t="s">
        <v>40</v>
      </c>
      <c r="D6203">
        <v>4.516743</v>
      </c>
      <c r="E6203">
        <v>0.6073868</v>
      </c>
      <c r="F6203" t="s">
        <v>50</v>
      </c>
      <c r="G6203">
        <v>-209.7654</v>
      </c>
      <c r="H6203" s="1">
        <v>-6.2366599999999997E-6</v>
      </c>
      <c r="I6203">
        <v>142.512</v>
      </c>
      <c r="J6203">
        <v>-197.01769999999999</v>
      </c>
      <c r="K6203">
        <v>1.1111960000000001</v>
      </c>
      <c r="L6203">
        <v>147.91409999999999</v>
      </c>
      <c r="M6203">
        <v>-0.56922950000000005</v>
      </c>
      <c r="N6203">
        <v>-1.306092E-2</v>
      </c>
      <c r="O6203">
        <v>-0.822075</v>
      </c>
      <c r="P6203">
        <v>-0.78339959999999997</v>
      </c>
      <c r="Q6203">
        <v>9.5627199999999996E-2</v>
      </c>
      <c r="R6203">
        <v>-0.61411800000000005</v>
      </c>
      <c r="S6203">
        <v>-2.8906559999999999</v>
      </c>
      <c r="T6203">
        <v>-0.2485995</v>
      </c>
      <c r="U6203">
        <v>-1.258896</v>
      </c>
      <c r="V6203">
        <v>0.29695389999999999</v>
      </c>
      <c r="W6203">
        <v>0.1009941</v>
      </c>
      <c r="X6203">
        <v>0.94953600000000005</v>
      </c>
      <c r="Y6203">
        <v>0.52373389999999997</v>
      </c>
      <c r="Z6203">
        <v>6.8733260000000004E-2</v>
      </c>
      <c r="AA6203">
        <v>0.84910459999999999</v>
      </c>
      <c r="AB6203">
        <v>25</v>
      </c>
      <c r="AC6203">
        <v>-12.7477</v>
      </c>
      <c r="AD6203">
        <v>-1.1112022366599901</v>
      </c>
      <c r="AE6203">
        <v>-5.4020999999999901</v>
      </c>
      <c r="AF6203">
        <v>7.35776612577581</v>
      </c>
      <c r="AG6203">
        <v>-1.1112022366599901</v>
      </c>
      <c r="AH6203">
        <v>11.623421826118101</v>
      </c>
      <c r="AI6203">
        <v>94.6181347839062</v>
      </c>
      <c r="AJ6203">
        <v>57.665696513196302</v>
      </c>
      <c r="AK6203">
        <v>13.8012835533602</v>
      </c>
      <c r="AL6203">
        <v>84.203582084759802</v>
      </c>
      <c r="AM6203">
        <v>72.633667865679598</v>
      </c>
      <c r="AN6203">
        <v>1.000000021128</v>
      </c>
    </row>
    <row r="6204" spans="1:40" x14ac:dyDescent="0.25">
      <c r="A6204" t="str">
        <f>"20190303162035129"</f>
        <v>20190303162035129</v>
      </c>
      <c r="B6204" t="str">
        <f>"1551601235118784"</f>
        <v>1551601235118784</v>
      </c>
      <c r="C6204" t="s">
        <v>40</v>
      </c>
      <c r="D6204">
        <v>4.9027390000000004</v>
      </c>
      <c r="E6204">
        <v>0.60715019999999997</v>
      </c>
      <c r="F6204" t="s">
        <v>41</v>
      </c>
      <c r="G6204">
        <v>-210.04589999999999</v>
      </c>
      <c r="H6204" s="1">
        <v>-5.2108460000000002E-6</v>
      </c>
      <c r="I6204">
        <v>142.53200000000001</v>
      </c>
      <c r="J6204">
        <v>-197.13980000000001</v>
      </c>
      <c r="K6204">
        <v>1.1112390000000001</v>
      </c>
      <c r="L6204">
        <v>147.75909999999999</v>
      </c>
      <c r="M6204">
        <v>-0.57856909999999995</v>
      </c>
      <c r="N6204">
        <v>-1.3062249999999999E-2</v>
      </c>
      <c r="O6204">
        <v>-0.8155289</v>
      </c>
      <c r="P6204">
        <v>-0.7909079</v>
      </c>
      <c r="Q6204">
        <v>9.5992540000000001E-2</v>
      </c>
      <c r="R6204">
        <v>-0.6043596</v>
      </c>
      <c r="S6204">
        <v>-2.9156040000000001</v>
      </c>
      <c r="T6204">
        <v>-0.24867819999999999</v>
      </c>
      <c r="U6204">
        <v>-1.204483</v>
      </c>
      <c r="V6204">
        <v>0.2978575</v>
      </c>
      <c r="W6204">
        <v>0.1013651</v>
      </c>
      <c r="X6204">
        <v>0.94921339999999998</v>
      </c>
      <c r="Y6204">
        <v>0.53011519999999901</v>
      </c>
      <c r="Z6204">
        <v>6.8745399999999998E-2</v>
      </c>
      <c r="AA6204">
        <v>0.8451343</v>
      </c>
      <c r="AB6204">
        <v>25</v>
      </c>
      <c r="AC6204">
        <v>-12.906099999999901</v>
      </c>
      <c r="AD6204">
        <v>-1.1112442108459999</v>
      </c>
      <c r="AE6204">
        <v>-5.2270999999999699</v>
      </c>
      <c r="AF6204">
        <v>7.4542230882228599</v>
      </c>
      <c r="AG6204">
        <v>-1.1112442108459999</v>
      </c>
      <c r="AH6204">
        <v>11.656681248565899</v>
      </c>
      <c r="AI6204">
        <v>94.591773711500196</v>
      </c>
      <c r="AJ6204">
        <v>57.401868399129299</v>
      </c>
      <c r="AK6204">
        <v>13.8808689668839</v>
      </c>
      <c r="AL6204">
        <v>84.182215732412701</v>
      </c>
      <c r="AM6204">
        <v>72.578454013279298</v>
      </c>
      <c r="AN6204">
        <v>1.0000000262719</v>
      </c>
    </row>
    <row r="6205" spans="1:40" x14ac:dyDescent="0.25">
      <c r="A6205" t="str">
        <f>"20190303162035152"</f>
        <v>20190303162035152</v>
      </c>
      <c r="B6205" t="str">
        <f>"1551601235149039"</f>
        <v>1551601235149039</v>
      </c>
      <c r="C6205" t="s">
        <v>40</v>
      </c>
      <c r="D6205">
        <v>4.514348</v>
      </c>
      <c r="E6205">
        <v>0.60875000000000001</v>
      </c>
      <c r="F6205" t="s">
        <v>50</v>
      </c>
      <c r="G6205">
        <v>-209.905</v>
      </c>
      <c r="H6205" s="1">
        <v>-6.2135919999999999E-6</v>
      </c>
      <c r="I6205">
        <v>142.6591</v>
      </c>
      <c r="J6205">
        <v>-197.30940000000001</v>
      </c>
      <c r="K6205">
        <v>1.1113059999999999</v>
      </c>
      <c r="L6205">
        <v>147.54990000000001</v>
      </c>
      <c r="M6205">
        <v>-0.59111380000000002</v>
      </c>
      <c r="N6205">
        <v>-1.3060399999999899E-2</v>
      </c>
      <c r="O6205">
        <v>-0.806482699999999</v>
      </c>
      <c r="P6205">
        <v>-0.79974100000000004</v>
      </c>
      <c r="Q6205">
        <v>9.5860970000000004E-2</v>
      </c>
      <c r="R6205">
        <v>-0.59264300000000003</v>
      </c>
      <c r="S6205">
        <v>-2.9296570000000002</v>
      </c>
      <c r="T6205">
        <v>-0.25503419999999999</v>
      </c>
      <c r="U6205">
        <v>-1.1704559999999999</v>
      </c>
      <c r="V6205">
        <v>0.29715370000000002</v>
      </c>
      <c r="W6205">
        <v>0.10129249999999999</v>
      </c>
      <c r="X6205">
        <v>0.94944170000000006</v>
      </c>
      <c r="Y6205">
        <v>0.52673729999999996</v>
      </c>
      <c r="Z6205">
        <v>7.0315320000000001E-2</v>
      </c>
      <c r="AA6205">
        <v>0.84711479999999995</v>
      </c>
      <c r="AB6205">
        <v>25</v>
      </c>
      <c r="AC6205">
        <v>-12.5955999999999</v>
      </c>
      <c r="AD6205">
        <v>-1.1113122135919999</v>
      </c>
      <c r="AE6205">
        <v>-4.8908000000000103</v>
      </c>
      <c r="AF6205">
        <v>7.2188990923266303</v>
      </c>
      <c r="AG6205">
        <v>-1.1113122135919999</v>
      </c>
      <c r="AH6205">
        <v>11.314210947696701</v>
      </c>
      <c r="AI6205">
        <v>94.733511551315303</v>
      </c>
      <c r="AJ6205">
        <v>57.4605678320397</v>
      </c>
      <c r="AK6205">
        <v>13.466955420964799</v>
      </c>
      <c r="AL6205">
        <v>84.186396871512699</v>
      </c>
      <c r="AM6205">
        <v>72.621064493966202</v>
      </c>
      <c r="AN6205">
        <v>1.0000000168394101</v>
      </c>
    </row>
    <row r="6206" spans="1:40" x14ac:dyDescent="0.25">
      <c r="A6206" t="str">
        <f>"20190303162035174"</f>
        <v>20190303162035174</v>
      </c>
      <c r="B6206" t="str">
        <f>"1551601235168560"</f>
        <v>1551601235168560</v>
      </c>
      <c r="C6206" t="s">
        <v>40</v>
      </c>
      <c r="D6206">
        <v>4.8233420000000002</v>
      </c>
      <c r="E6206">
        <v>0.60908640000000003</v>
      </c>
      <c r="F6206" t="s">
        <v>41</v>
      </c>
      <c r="G6206">
        <v>-210.35769999999999</v>
      </c>
      <c r="H6206" s="1">
        <v>-5.1068050000000003E-6</v>
      </c>
      <c r="I6206">
        <v>142.62049999999999</v>
      </c>
      <c r="J6206">
        <v>-197.46850000000001</v>
      </c>
      <c r="K6206">
        <v>1.1113599999999999</v>
      </c>
      <c r="L6206">
        <v>147.35910000000001</v>
      </c>
      <c r="M6206">
        <v>-0.60247729999999999</v>
      </c>
      <c r="N6206">
        <v>-1.305535E-2</v>
      </c>
      <c r="O6206">
        <v>-0.79802949999999995</v>
      </c>
      <c r="P6206">
        <v>-0.80768050000000002</v>
      </c>
      <c r="Q6206">
        <v>9.6725720000000001E-2</v>
      </c>
      <c r="R6206">
        <v>-0.58163339999999997</v>
      </c>
      <c r="S6206">
        <v>-2.9543149999999998</v>
      </c>
      <c r="T6206">
        <v>-0.25161499999999998</v>
      </c>
      <c r="U6206">
        <v>-1.116074</v>
      </c>
      <c r="V6206">
        <v>0.29663460000000003</v>
      </c>
      <c r="W6206">
        <v>0.10220509999999999</v>
      </c>
      <c r="X6206">
        <v>0.94950619999999997</v>
      </c>
      <c r="Y6206">
        <v>0.53079589999999999</v>
      </c>
      <c r="Z6206">
        <v>6.9072449999999994E-2</v>
      </c>
      <c r="AA6206">
        <v>0.84468029999999905</v>
      </c>
      <c r="AB6206">
        <v>25</v>
      </c>
      <c r="AC6206">
        <v>-12.889199999999899</v>
      </c>
      <c r="AD6206">
        <v>-1.1113651068049999</v>
      </c>
      <c r="AE6206">
        <v>-4.7386000000000204</v>
      </c>
      <c r="AF6206">
        <v>7.3833379263288403</v>
      </c>
      <c r="AG6206">
        <v>-1.1113651068049999</v>
      </c>
      <c r="AH6206">
        <v>11.472834042053201</v>
      </c>
      <c r="AI6206">
        <v>94.656956305296603</v>
      </c>
      <c r="AJ6206">
        <v>57.2367087831663</v>
      </c>
      <c r="AK6206">
        <v>13.688489043407399</v>
      </c>
      <c r="AL6206">
        <v>84.133835835447897</v>
      </c>
      <c r="AM6206">
        <v>72.650708072480995</v>
      </c>
      <c r="AN6206">
        <v>0.99999999611080503</v>
      </c>
    </row>
    <row r="6207" spans="1:40" x14ac:dyDescent="0.25">
      <c r="A6207" t="str">
        <f>"20190303162035187"</f>
        <v>20190303162035187</v>
      </c>
      <c r="B6207" t="str">
        <f>"1551601235178320"</f>
        <v>1551601235178320</v>
      </c>
      <c r="C6207" t="s">
        <v>40</v>
      </c>
      <c r="D6207">
        <v>4.8552949999999999</v>
      </c>
      <c r="E6207">
        <v>0.60900129999999997</v>
      </c>
      <c r="F6207" t="s">
        <v>41</v>
      </c>
      <c r="G6207">
        <v>-210.6224</v>
      </c>
      <c r="H6207" s="1">
        <v>-5.0021629999999998E-6</v>
      </c>
      <c r="I6207">
        <v>142.6035</v>
      </c>
      <c r="J6207">
        <v>-197.5608</v>
      </c>
      <c r="K6207">
        <v>1.111394</v>
      </c>
      <c r="L6207">
        <v>147.25049999999999</v>
      </c>
      <c r="M6207">
        <v>-0.60891430000000002</v>
      </c>
      <c r="N6207">
        <v>-1.305124E-2</v>
      </c>
      <c r="O6207">
        <v>-0.79312869999999902</v>
      </c>
      <c r="P6207">
        <v>-0.81245480000000003</v>
      </c>
      <c r="Q6207">
        <v>9.7264959999999998E-2</v>
      </c>
      <c r="R6207">
        <v>-0.57485350000000002</v>
      </c>
      <c r="S6207">
        <v>-2.9709319999999999</v>
      </c>
      <c r="T6207">
        <v>-0.25101220000000002</v>
      </c>
      <c r="U6207">
        <v>-1.0740970000000001</v>
      </c>
      <c r="V6207">
        <v>0.2968518</v>
      </c>
      <c r="W6207">
        <v>0.10275629999999999</v>
      </c>
      <c r="X6207">
        <v>0.94937879999999997</v>
      </c>
      <c r="Y6207">
        <v>0.53601509999999997</v>
      </c>
      <c r="Z6207">
        <v>6.8901569999999995E-2</v>
      </c>
      <c r="AA6207">
        <v>0.84139189999999997</v>
      </c>
      <c r="AB6207">
        <v>25</v>
      </c>
      <c r="AC6207">
        <v>-13.0616</v>
      </c>
      <c r="AD6207">
        <v>-1.111399002163</v>
      </c>
      <c r="AE6207">
        <v>-4.6469999999999896</v>
      </c>
      <c r="AF6207">
        <v>7.4824587439647399</v>
      </c>
      <c r="AG6207">
        <v>-1.111399002163</v>
      </c>
      <c r="AH6207">
        <v>11.5657257287079</v>
      </c>
      <c r="AI6207">
        <v>94.612733605937507</v>
      </c>
      <c r="AJ6207">
        <v>57.099108704081601</v>
      </c>
      <c r="AK6207">
        <v>13.81985557916</v>
      </c>
      <c r="AL6207">
        <v>84.102087132287494</v>
      </c>
      <c r="AM6207">
        <v>72.6365781290516</v>
      </c>
      <c r="AN6207">
        <v>0.99999997712118405</v>
      </c>
    </row>
    <row r="6208" spans="1:40" x14ac:dyDescent="0.25">
      <c r="A6208" t="str">
        <f>"20190303162035199"</f>
        <v>20190303162035199</v>
      </c>
      <c r="B6208" t="str">
        <f>"1551601235189056"</f>
        <v>1551601235189056</v>
      </c>
      <c r="C6208" t="s">
        <v>40</v>
      </c>
      <c r="D6208">
        <v>4.8254539999999997</v>
      </c>
      <c r="E6208">
        <v>0.60882369999999997</v>
      </c>
      <c r="F6208" t="s">
        <v>41</v>
      </c>
      <c r="G6208">
        <v>-210.69</v>
      </c>
      <c r="H6208" s="1">
        <v>-4.9792779999999997E-6</v>
      </c>
      <c r="I6208">
        <v>142.6208</v>
      </c>
      <c r="J6208">
        <v>-197.65629999999999</v>
      </c>
      <c r="K6208">
        <v>1.111426</v>
      </c>
      <c r="L6208">
        <v>147.1404</v>
      </c>
      <c r="M6208">
        <v>-0.61541429999999997</v>
      </c>
      <c r="N6208">
        <v>-1.304543E-2</v>
      </c>
      <c r="O6208">
        <v>-0.78809629999999997</v>
      </c>
      <c r="P6208">
        <v>-0.81693139999999997</v>
      </c>
      <c r="Q6208">
        <v>9.811272E-2</v>
      </c>
      <c r="R6208">
        <v>-0.56832890000000003</v>
      </c>
      <c r="S6208">
        <v>-2.9793699999999999</v>
      </c>
      <c r="T6208">
        <v>-0.25220730000000002</v>
      </c>
      <c r="U6208">
        <v>-1.0505979999999999</v>
      </c>
      <c r="V6208">
        <v>0.29658119999999999</v>
      </c>
      <c r="W6208">
        <v>0.1036295</v>
      </c>
      <c r="X6208">
        <v>0.94936849999999995</v>
      </c>
      <c r="Y6208">
        <v>0.53570960000000001</v>
      </c>
      <c r="Z6208">
        <v>6.9098699999999999E-2</v>
      </c>
      <c r="AA6208">
        <v>0.84157029999999999</v>
      </c>
      <c r="AB6208">
        <v>25</v>
      </c>
      <c r="AC6208">
        <v>-13.0337</v>
      </c>
      <c r="AD6208">
        <v>-1.1114309792779999</v>
      </c>
      <c r="AE6208">
        <v>-4.5195999999999898</v>
      </c>
      <c r="AF6208">
        <v>7.4427078262355399</v>
      </c>
      <c r="AG6208">
        <v>-1.1114309792779999</v>
      </c>
      <c r="AH6208">
        <v>11.509279333605701</v>
      </c>
      <c r="AI6208">
        <v>94.635982069204204</v>
      </c>
      <c r="AJ6208">
        <v>57.1104555171909</v>
      </c>
      <c r="AK6208">
        <v>13.751097752084</v>
      </c>
      <c r="AL6208">
        <v>84.051788152441404</v>
      </c>
      <c r="AM6208">
        <v>72.651278885982194</v>
      </c>
      <c r="AN6208">
        <v>1.00000001512796</v>
      </c>
    </row>
    <row r="6209" spans="1:40" x14ac:dyDescent="0.25">
      <c r="A6209" t="str">
        <f>"20190303162035218"</f>
        <v>20190303162035218</v>
      </c>
      <c r="B6209" t="str">
        <f>"1551601235208576"</f>
        <v>1551601235208576</v>
      </c>
      <c r="C6209" t="s">
        <v>40</v>
      </c>
      <c r="D6209">
        <v>4.8488150000000001</v>
      </c>
      <c r="E6209">
        <v>0.60848329999999995</v>
      </c>
      <c r="F6209" t="s">
        <v>41</v>
      </c>
      <c r="G6209">
        <v>-210.8031</v>
      </c>
      <c r="H6209" s="1">
        <v>-4.934327E-6</v>
      </c>
      <c r="I6209">
        <v>142.61240000000001</v>
      </c>
      <c r="J6209">
        <v>-197.79300000000001</v>
      </c>
      <c r="K6209">
        <v>1.11148</v>
      </c>
      <c r="L6209">
        <v>146.98570000000001</v>
      </c>
      <c r="M6209">
        <v>-0.62451429999999997</v>
      </c>
      <c r="N6209">
        <v>-1.303618E-2</v>
      </c>
      <c r="O6209">
        <v>-0.78090470000000001</v>
      </c>
      <c r="P6209">
        <v>-0.82281150000000003</v>
      </c>
      <c r="Q6209">
        <v>9.7819020000000007E-2</v>
      </c>
      <c r="R6209">
        <v>-0.55983280000000002</v>
      </c>
      <c r="S6209">
        <v>-2.986923</v>
      </c>
      <c r="T6209">
        <v>-0.25251390000000001</v>
      </c>
      <c r="U6209">
        <v>-1.0287630000000001</v>
      </c>
      <c r="V6209">
        <v>0.29541329999999999</v>
      </c>
      <c r="W6209">
        <v>0.10339329999999999</v>
      </c>
      <c r="X6209">
        <v>0.94975830000000006</v>
      </c>
      <c r="Y6209">
        <v>0.53208659999999997</v>
      </c>
      <c r="Z6209">
        <v>6.8830849999999999E-2</v>
      </c>
      <c r="AA6209">
        <v>0.84388759999999996</v>
      </c>
      <c r="AB6209">
        <v>25</v>
      </c>
      <c r="AC6209">
        <v>-13.0100999999999</v>
      </c>
      <c r="AD6209">
        <v>-1.1114849343269999</v>
      </c>
      <c r="AE6209">
        <v>-4.3733000000000004</v>
      </c>
      <c r="AF6209">
        <v>7.3806898793380098</v>
      </c>
      <c r="AG6209">
        <v>-1.1114849343269999</v>
      </c>
      <c r="AH6209">
        <v>11.4659132957623</v>
      </c>
      <c r="AI6209">
        <v>94.659922499809198</v>
      </c>
      <c r="AJ6209">
        <v>57.230328288734903</v>
      </c>
      <c r="AK6209">
        <v>13.681270027308701</v>
      </c>
      <c r="AL6209">
        <v>84.0653944766823</v>
      </c>
      <c r="AM6209">
        <v>72.722190200059103</v>
      </c>
      <c r="AN6209">
        <v>1.0000000103603299</v>
      </c>
    </row>
    <row r="6210" spans="1:40" x14ac:dyDescent="0.25">
      <c r="A6210" t="str">
        <f>"20190303162035240"</f>
        <v>20190303162035240</v>
      </c>
      <c r="B6210" t="str">
        <f>"1551601235229071"</f>
        <v>1551601235229071</v>
      </c>
      <c r="C6210" t="s">
        <v>40</v>
      </c>
      <c r="D6210">
        <v>4.8402940000000001</v>
      </c>
      <c r="E6210">
        <v>0.60810739999999996</v>
      </c>
      <c r="F6210" t="s">
        <v>41</v>
      </c>
      <c r="G6210">
        <v>-210.75049999999999</v>
      </c>
      <c r="H6210" s="1">
        <v>-4.9632859999999996E-6</v>
      </c>
      <c r="I6210">
        <v>142.6618</v>
      </c>
      <c r="J6210">
        <v>-197.9674</v>
      </c>
      <c r="K6210">
        <v>1.111537</v>
      </c>
      <c r="L6210">
        <v>146.79320000000001</v>
      </c>
      <c r="M6210">
        <v>-0.63577099999999998</v>
      </c>
      <c r="N6210">
        <v>-1.302333E-2</v>
      </c>
      <c r="O6210">
        <v>-0.77176789999999995</v>
      </c>
      <c r="P6210">
        <v>-0.83003309999999997</v>
      </c>
      <c r="Q6210">
        <v>9.7000790000000003E-2</v>
      </c>
      <c r="R6210">
        <v>-0.54921390000000003</v>
      </c>
      <c r="S6210">
        <v>-2.9963069999999998</v>
      </c>
      <c r="T6210">
        <v>-0.25702150000000001</v>
      </c>
      <c r="U6210">
        <v>-0.99987789999999999</v>
      </c>
      <c r="V6210">
        <v>0.29388409999999998</v>
      </c>
      <c r="W6210">
        <v>0.1026482</v>
      </c>
      <c r="X6210">
        <v>0.95031339999999997</v>
      </c>
      <c r="Y6210">
        <v>0.52784039999999999</v>
      </c>
      <c r="Z6210">
        <v>6.9733039999999996E-2</v>
      </c>
      <c r="AA6210">
        <v>0.84647609999999995</v>
      </c>
      <c r="AB6210">
        <v>25</v>
      </c>
      <c r="AC6210">
        <v>-12.7830999999999</v>
      </c>
      <c r="AD6210">
        <v>-1.111541963286</v>
      </c>
      <c r="AE6210">
        <v>-4.13140000000001</v>
      </c>
      <c r="AF6210">
        <v>7.1903510839467897</v>
      </c>
      <c r="AG6210">
        <v>-1.111541963286</v>
      </c>
      <c r="AH6210">
        <v>11.2396199700383</v>
      </c>
      <c r="AI6210">
        <v>94.762116244595504</v>
      </c>
      <c r="AJ6210">
        <v>57.391628017093602</v>
      </c>
      <c r="AK6210">
        <v>13.3890153229222</v>
      </c>
      <c r="AL6210">
        <v>84.108314089785395</v>
      </c>
      <c r="AM6210">
        <v>72.815793973061304</v>
      </c>
      <c r="AN6210">
        <v>1.0000000377078</v>
      </c>
    </row>
    <row r="6211" spans="1:40" x14ac:dyDescent="0.25">
      <c r="A6211" t="str">
        <f>"20190303162035264"</f>
        <v>20190303162035264</v>
      </c>
      <c r="B6211" t="str">
        <f>"1551601235258352"</f>
        <v>1551601235258352</v>
      </c>
      <c r="C6211" t="s">
        <v>40</v>
      </c>
      <c r="D6211">
        <v>4.6521100000000004</v>
      </c>
      <c r="E6211">
        <v>0.60802100000000003</v>
      </c>
      <c r="F6211" t="s">
        <v>41</v>
      </c>
      <c r="G6211">
        <v>-210.75720000000001</v>
      </c>
      <c r="H6211" s="1">
        <v>-4.9675840000000001E-6</v>
      </c>
      <c r="I6211">
        <v>142.70050000000001</v>
      </c>
      <c r="J6211">
        <v>-198.14250000000001</v>
      </c>
      <c r="K6211">
        <v>1.1115870000000001</v>
      </c>
      <c r="L6211">
        <v>146.60509999999999</v>
      </c>
      <c r="M6211">
        <v>-0.64671290000000003</v>
      </c>
      <c r="N6211">
        <v>-1.3010249999999999E-2</v>
      </c>
      <c r="O6211">
        <v>-0.76262249999999998</v>
      </c>
      <c r="P6211">
        <v>-0.83727289999999999</v>
      </c>
      <c r="Q6211">
        <v>9.6046060000000003E-2</v>
      </c>
      <c r="R6211">
        <v>-0.53828369999999903</v>
      </c>
      <c r="S6211">
        <v>-3.007965</v>
      </c>
      <c r="T6211">
        <v>-0.26141569999999997</v>
      </c>
      <c r="U6211">
        <v>-0.96252439999999995</v>
      </c>
      <c r="V6211">
        <v>0.29283799999999999</v>
      </c>
      <c r="W6211">
        <v>0.1017498</v>
      </c>
      <c r="X6211">
        <v>0.95073280000000004</v>
      </c>
      <c r="Y6211">
        <v>0.52613120000000002</v>
      </c>
      <c r="Z6211">
        <v>7.0668830000000002E-2</v>
      </c>
      <c r="AA6211">
        <v>0.84746200000000005</v>
      </c>
      <c r="AB6211">
        <v>25</v>
      </c>
      <c r="AC6211">
        <v>-12.614699999999999</v>
      </c>
      <c r="AD6211">
        <v>-1.111591967584</v>
      </c>
      <c r="AE6211">
        <v>-3.9045999999999799</v>
      </c>
      <c r="AF6211">
        <v>7.0457731789894096</v>
      </c>
      <c r="AG6211">
        <v>-1.111591967584</v>
      </c>
      <c r="AH6211">
        <v>11.0584079062083</v>
      </c>
      <c r="AI6211">
        <v>94.845664948351697</v>
      </c>
      <c r="AJ6211">
        <v>57.497087239154702</v>
      </c>
      <c r="AK6211">
        <v>13.159291083194899</v>
      </c>
      <c r="AL6211">
        <v>84.160059258578201</v>
      </c>
      <c r="AM6211">
        <v>72.880490767179694</v>
      </c>
      <c r="AN6211">
        <v>0.99999998651994004</v>
      </c>
    </row>
    <row r="6212" spans="1:40" x14ac:dyDescent="0.25">
      <c r="A6212" t="str">
        <f>"20190303162035278"</f>
        <v>20190303162035278</v>
      </c>
      <c r="B6212" t="str">
        <f>"1551601235269088"</f>
        <v>1551601235269088</v>
      </c>
      <c r="C6212" t="s">
        <v>40</v>
      </c>
      <c r="D6212">
        <v>5.0008339999999896</v>
      </c>
      <c r="E6212">
        <v>0.60782349999999996</v>
      </c>
      <c r="F6212" t="s">
        <v>41</v>
      </c>
      <c r="G6212">
        <v>-210.798</v>
      </c>
      <c r="H6212" s="1">
        <v>-4.9587609999999998E-6</v>
      </c>
      <c r="I6212">
        <v>142.739</v>
      </c>
      <c r="J6212">
        <v>-198.2569</v>
      </c>
      <c r="K6212">
        <v>1.1116090000000001</v>
      </c>
      <c r="L6212">
        <v>146.4855</v>
      </c>
      <c r="M6212">
        <v>-0.65365709999999999</v>
      </c>
      <c r="N6212">
        <v>-1.300219E-2</v>
      </c>
      <c r="O6212">
        <v>-0.7566792</v>
      </c>
      <c r="P6212">
        <v>-0.84227919999999901</v>
      </c>
      <c r="Q6212">
        <v>9.5596360000000005E-2</v>
      </c>
      <c r="R6212">
        <v>-0.53049769999999996</v>
      </c>
      <c r="S6212">
        <v>-3.0203090000000001</v>
      </c>
      <c r="T6212">
        <v>-0.26528819999999997</v>
      </c>
      <c r="U6212">
        <v>-0.9226685</v>
      </c>
      <c r="V6212">
        <v>0.2929833</v>
      </c>
      <c r="W6212">
        <v>0.1013105</v>
      </c>
      <c r="X6212">
        <v>0.950735</v>
      </c>
      <c r="Y6212">
        <v>0.52945659999999894</v>
      </c>
      <c r="Z6212">
        <v>7.1736190000000005E-2</v>
      </c>
      <c r="AA6212">
        <v>0.84529859999999901</v>
      </c>
      <c r="AB6212">
        <v>25</v>
      </c>
      <c r="AC6212">
        <v>-12.5411</v>
      </c>
      <c r="AD6212">
        <v>-1.1116139587610001</v>
      </c>
      <c r="AE6212">
        <v>-3.7464999999999899</v>
      </c>
      <c r="AF6212">
        <v>6.9908337813123103</v>
      </c>
      <c r="AG6212">
        <v>-1.1116139587610001</v>
      </c>
      <c r="AH6212">
        <v>10.9543967057058</v>
      </c>
      <c r="AI6212">
        <v>94.889266335400194</v>
      </c>
      <c r="AJ6212">
        <v>57.454955529226901</v>
      </c>
      <c r="AK6212">
        <v>13.0424786653928</v>
      </c>
      <c r="AL6212">
        <v>84.185360325661506</v>
      </c>
      <c r="AM6212">
        <v>72.872530700515199</v>
      </c>
      <c r="AN6212">
        <v>1.00000003585706</v>
      </c>
    </row>
    <row r="6213" spans="1:40" x14ac:dyDescent="0.25">
      <c r="A6213" t="str">
        <f>"20190303162035299"</f>
        <v>20190303162035299</v>
      </c>
      <c r="B6213" t="str">
        <f>"1551601235288608"</f>
        <v>1551601235288608</v>
      </c>
      <c r="C6213" t="s">
        <v>40</v>
      </c>
      <c r="D6213">
        <v>4.9431310000000002</v>
      </c>
      <c r="E6213">
        <v>0.60763469999999997</v>
      </c>
      <c r="F6213" t="s">
        <v>41</v>
      </c>
      <c r="G6213">
        <v>-210.81540000000001</v>
      </c>
      <c r="H6213" s="1">
        <v>-4.9576169999999996E-6</v>
      </c>
      <c r="I6213">
        <v>142.77019999999999</v>
      </c>
      <c r="J6213">
        <v>-198.41720000000001</v>
      </c>
      <c r="K6213">
        <v>1.1116349999999999</v>
      </c>
      <c r="L6213">
        <v>146.3211</v>
      </c>
      <c r="M6213">
        <v>-0.66317329999999997</v>
      </c>
      <c r="N6213">
        <v>-1.2992180000000001E-2</v>
      </c>
      <c r="O6213">
        <v>-0.7483533</v>
      </c>
      <c r="P6213">
        <v>-0.84910599999999903</v>
      </c>
      <c r="Q6213">
        <v>9.4601959999999999E-2</v>
      </c>
      <c r="R6213">
        <v>-0.51968270000000005</v>
      </c>
      <c r="S6213">
        <v>-3.0279850000000001</v>
      </c>
      <c r="T6213">
        <v>-0.26802239999999999</v>
      </c>
      <c r="U6213">
        <v>-0.89579769999999903</v>
      </c>
      <c r="V6213">
        <v>0.29317189999999999</v>
      </c>
      <c r="W6213">
        <v>0.100327</v>
      </c>
      <c r="X6213">
        <v>0.95078110000000005</v>
      </c>
      <c r="Y6213">
        <v>0.52616879999999999</v>
      </c>
      <c r="Z6213">
        <v>7.2099029999999995E-2</v>
      </c>
      <c r="AA6213">
        <v>0.84731819999999902</v>
      </c>
      <c r="AB6213">
        <v>25</v>
      </c>
      <c r="AC6213">
        <v>-12.398199999999999</v>
      </c>
      <c r="AD6213">
        <v>-1.111639957617</v>
      </c>
      <c r="AE6213">
        <v>-3.5509000000000102</v>
      </c>
      <c r="AF6213">
        <v>6.8728915333028002</v>
      </c>
      <c r="AG6213">
        <v>-1.111639957617</v>
      </c>
      <c r="AH6213">
        <v>10.800157525953299</v>
      </c>
      <c r="AI6213">
        <v>94.962901960220407</v>
      </c>
      <c r="AJ6213">
        <v>57.5285659840793</v>
      </c>
      <c r="AK6213">
        <v>12.8497386747483</v>
      </c>
      <c r="AL6213">
        <v>84.241999017731402</v>
      </c>
      <c r="AM6213">
        <v>72.862933387133694</v>
      </c>
      <c r="AN6213">
        <v>0.99999998499790999</v>
      </c>
    </row>
    <row r="6214" spans="1:40" x14ac:dyDescent="0.25">
      <c r="A6214" t="str">
        <f>"20190303162035319"</f>
        <v>20190303162035319</v>
      </c>
      <c r="B6214" t="str">
        <f>"1551601235309103"</f>
        <v>1551601235309103</v>
      </c>
      <c r="C6214" t="s">
        <v>40</v>
      </c>
      <c r="D6214">
        <v>4.9518589999999998</v>
      </c>
      <c r="E6214">
        <v>0.60761750000000003</v>
      </c>
      <c r="F6214" t="s">
        <v>41</v>
      </c>
      <c r="G6214">
        <v>-210.7116</v>
      </c>
      <c r="H6214" s="1">
        <v>-5.0115649999999997E-6</v>
      </c>
      <c r="I6214">
        <v>142.84960000000001</v>
      </c>
      <c r="J6214">
        <v>-198.58680000000001</v>
      </c>
      <c r="K6214">
        <v>1.1116490000000001</v>
      </c>
      <c r="L6214">
        <v>146.15129999999999</v>
      </c>
      <c r="M6214">
        <v>-0.67297859999999998</v>
      </c>
      <c r="N6214">
        <v>-1.2983420000000001E-2</v>
      </c>
      <c r="O6214">
        <v>-0.73954809999999904</v>
      </c>
      <c r="P6214">
        <v>-0.85563230000000001</v>
      </c>
      <c r="Q6214">
        <v>9.2308799999999996E-2</v>
      </c>
      <c r="R6214">
        <v>-0.50928649999999998</v>
      </c>
      <c r="S6214">
        <v>-3.0386199999999999</v>
      </c>
      <c r="T6214">
        <v>-0.27474700000000002</v>
      </c>
      <c r="U6214">
        <v>-0.85798649999999999</v>
      </c>
      <c r="V6214">
        <v>0.29236469999999998</v>
      </c>
      <c r="W6214">
        <v>9.8066600000000004E-2</v>
      </c>
      <c r="X6214">
        <v>0.95126540000000004</v>
      </c>
      <c r="Y6214">
        <v>0.52535100000000001</v>
      </c>
      <c r="Z6214">
        <v>7.3689329999999997E-2</v>
      </c>
      <c r="AA6214">
        <v>0.84768869999999896</v>
      </c>
      <c r="AB6214">
        <v>25</v>
      </c>
      <c r="AC6214">
        <v>-12.124799999999899</v>
      </c>
      <c r="AD6214">
        <v>-1.111654011565</v>
      </c>
      <c r="AE6214">
        <v>-3.3016999999999799</v>
      </c>
      <c r="AF6214">
        <v>6.6930891679322499</v>
      </c>
      <c r="AG6214">
        <v>-1.111654011565</v>
      </c>
      <c r="AH6214">
        <v>10.520062676389401</v>
      </c>
      <c r="AI6214">
        <v>95.094756112240404</v>
      </c>
      <c r="AJ6214">
        <v>57.534608004832798</v>
      </c>
      <c r="AK6214">
        <v>12.5181842120365</v>
      </c>
      <c r="AL6214">
        <v>84.372152555637598</v>
      </c>
      <c r="AM6214">
        <v>72.915559156774904</v>
      </c>
      <c r="AN6214">
        <v>1.0000000185394</v>
      </c>
    </row>
    <row r="6215" spans="1:40" x14ac:dyDescent="0.25">
      <c r="A6215" t="str">
        <f>"20190303162035342"</f>
        <v>20190303162035342</v>
      </c>
      <c r="B6215" t="str">
        <f>"1551601235338384"</f>
        <v>1551601235338384</v>
      </c>
      <c r="C6215" t="s">
        <v>40</v>
      </c>
      <c r="D6215">
        <v>4.9302479999999997</v>
      </c>
      <c r="E6215">
        <v>0.60741579999999995</v>
      </c>
      <c r="F6215" t="s">
        <v>41</v>
      </c>
      <c r="G6215">
        <v>-210.4374</v>
      </c>
      <c r="H6215" s="1">
        <v>-5.1367170000000001E-6</v>
      </c>
      <c r="I6215">
        <v>142.96170000000001</v>
      </c>
      <c r="J6215">
        <v>-198.7664</v>
      </c>
      <c r="K6215">
        <v>1.11165</v>
      </c>
      <c r="L6215">
        <v>145.97620000000001</v>
      </c>
      <c r="M6215">
        <v>-0.68308549999999901</v>
      </c>
      <c r="N6215">
        <v>-1.2976089999999999E-2</v>
      </c>
      <c r="O6215">
        <v>-0.73022339999999997</v>
      </c>
      <c r="P6215">
        <v>-0.86170800000000003</v>
      </c>
      <c r="Q6215">
        <v>9.0716350000000001E-2</v>
      </c>
      <c r="R6215">
        <v>-0.4992296</v>
      </c>
      <c r="S6215">
        <v>-3.0486300000000002</v>
      </c>
      <c r="T6215">
        <v>-0.2859777</v>
      </c>
      <c r="U6215">
        <v>-0.82055659999999897</v>
      </c>
      <c r="V6215">
        <v>0.2905065</v>
      </c>
      <c r="W6215">
        <v>9.6527559999999998E-2</v>
      </c>
      <c r="X6215">
        <v>0.95199180000000005</v>
      </c>
      <c r="Y6215">
        <v>0.52377589999999996</v>
      </c>
      <c r="Z6215">
        <v>7.6495980000000005E-2</v>
      </c>
      <c r="AA6215">
        <v>0.84841449999999996</v>
      </c>
      <c r="AB6215">
        <v>25</v>
      </c>
      <c r="AC6215">
        <v>-11.6709999999999</v>
      </c>
      <c r="AD6215">
        <v>-1.111655136717</v>
      </c>
      <c r="AE6215">
        <v>-3.0144999999999902</v>
      </c>
      <c r="AF6215">
        <v>6.4093076038922598</v>
      </c>
      <c r="AG6215">
        <v>-1.111655136717</v>
      </c>
      <c r="AH6215">
        <v>10.088600011497499</v>
      </c>
      <c r="AI6215">
        <v>95.313628684728698</v>
      </c>
      <c r="AJ6215">
        <v>57.572123892630401</v>
      </c>
      <c r="AK6215">
        <v>12.003951486751699</v>
      </c>
      <c r="AL6215">
        <v>84.460753288293503</v>
      </c>
      <c r="AM6215">
        <v>73.030090039967604</v>
      </c>
      <c r="AN6215">
        <v>0.99999999182452104</v>
      </c>
    </row>
    <row r="6216" spans="1:40" x14ac:dyDescent="0.25">
      <c r="A6216" t="str">
        <f>"20190303162035364"</f>
        <v>20190303162035364</v>
      </c>
      <c r="B6216" t="str">
        <f>"1551601235358880"</f>
        <v>1551601235358880</v>
      </c>
      <c r="C6216" t="s">
        <v>40</v>
      </c>
      <c r="D6216">
        <v>4.9599169999999999</v>
      </c>
      <c r="E6216">
        <v>0.60716199999999998</v>
      </c>
      <c r="F6216" t="s">
        <v>41</v>
      </c>
      <c r="G6216">
        <v>-210.24770000000001</v>
      </c>
      <c r="H6216" s="1">
        <v>-5.2210100000000003E-6</v>
      </c>
      <c r="I6216">
        <v>143.02600000000001</v>
      </c>
      <c r="J6216">
        <v>-198.9529</v>
      </c>
      <c r="K6216">
        <v>1.111656</v>
      </c>
      <c r="L6216">
        <v>145.79929999999999</v>
      </c>
      <c r="M6216">
        <v>-0.69329430000000003</v>
      </c>
      <c r="N6216">
        <v>-1.2970539999999999E-2</v>
      </c>
      <c r="O6216">
        <v>-0.72053800000000001</v>
      </c>
      <c r="P6216">
        <v>-0.86733059999999995</v>
      </c>
      <c r="Q6216">
        <v>8.9295689999999997E-2</v>
      </c>
      <c r="R6216">
        <v>-0.48965740000000002</v>
      </c>
      <c r="S6216">
        <v>-3.0574490000000001</v>
      </c>
      <c r="T6216">
        <v>-0.29603429999999997</v>
      </c>
      <c r="U6216">
        <v>-0.78562929999999997</v>
      </c>
      <c r="V6216">
        <v>0.28771950000000002</v>
      </c>
      <c r="W6216">
        <v>9.5178620000000005E-2</v>
      </c>
      <c r="X6216">
        <v>0.95297350000000003</v>
      </c>
      <c r="Y6216">
        <v>0.52122159999999995</v>
      </c>
      <c r="Z6216">
        <v>7.8839560000000003E-2</v>
      </c>
      <c r="AA6216">
        <v>0.84977190000000002</v>
      </c>
      <c r="AB6216">
        <v>25</v>
      </c>
      <c r="AC6216">
        <v>-11.2948</v>
      </c>
      <c r="AD6216">
        <v>-1.1116612210100001</v>
      </c>
      <c r="AE6216">
        <v>-2.7732999999999701</v>
      </c>
      <c r="AF6216">
        <v>6.1598642120292002</v>
      </c>
      <c r="AG6216">
        <v>-1.1116612210100001</v>
      </c>
      <c r="AH6216">
        <v>9.7407214659394992</v>
      </c>
      <c r="AI6216">
        <v>95.509507171504595</v>
      </c>
      <c r="AJ6216">
        <v>57.691445571253396</v>
      </c>
      <c r="AK6216">
        <v>11.5784874857621</v>
      </c>
      <c r="AL6216">
        <v>84.538399354249904</v>
      </c>
      <c r="AM6216">
        <v>73.200008977481502</v>
      </c>
      <c r="AN6216">
        <v>0.99999998604380202</v>
      </c>
    </row>
    <row r="6217" spans="1:40" x14ac:dyDescent="0.25">
      <c r="A6217" t="str">
        <f>"20190303162035387"</f>
        <v>20190303162035387</v>
      </c>
      <c r="B6217" t="str">
        <f>"1551601235378400"</f>
        <v>1551601235378400</v>
      </c>
      <c r="C6217" t="s">
        <v>40</v>
      </c>
      <c r="D6217">
        <v>5.014106</v>
      </c>
      <c r="E6217">
        <v>0.60689899999999997</v>
      </c>
      <c r="F6217" t="s">
        <v>41</v>
      </c>
      <c r="G6217">
        <v>-210.23660000000001</v>
      </c>
      <c r="H6217" s="1">
        <v>-5.2263000000000003E-6</v>
      </c>
      <c r="I6217">
        <v>143.0318</v>
      </c>
      <c r="J6217">
        <v>-199.13589999999999</v>
      </c>
      <c r="K6217">
        <v>1.111653</v>
      </c>
      <c r="L6217">
        <v>145.63079999999999</v>
      </c>
      <c r="M6217">
        <v>-0.70305169999999995</v>
      </c>
      <c r="N6217">
        <v>-1.2967289999999999E-2</v>
      </c>
      <c r="O6217">
        <v>-0.7110206</v>
      </c>
      <c r="P6217">
        <v>-0.87246880000000004</v>
      </c>
      <c r="Q6217">
        <v>8.8844950000000006E-2</v>
      </c>
      <c r="R6217">
        <v>-0.48052600000000001</v>
      </c>
      <c r="S6217">
        <v>-3.0655209999999999</v>
      </c>
      <c r="T6217">
        <v>-0.30201460000000002</v>
      </c>
      <c r="U6217">
        <v>-0.75187680000000001</v>
      </c>
      <c r="V6217">
        <v>0.28475260000000002</v>
      </c>
      <c r="W6217">
        <v>9.4797930000000002E-2</v>
      </c>
      <c r="X6217">
        <v>0.95390209999999998</v>
      </c>
      <c r="Y6217">
        <v>0.51879969999999997</v>
      </c>
      <c r="Z6217">
        <v>7.9972109999999999E-2</v>
      </c>
      <c r="AA6217">
        <v>0.85114709999999905</v>
      </c>
      <c r="AB6217">
        <v>25</v>
      </c>
      <c r="AC6217">
        <v>-11.1007</v>
      </c>
      <c r="AD6217">
        <v>-1.1116582262999899</v>
      </c>
      <c r="AE6217">
        <v>-2.5989999999999802</v>
      </c>
      <c r="AF6217">
        <v>6.0089744851825904</v>
      </c>
      <c r="AG6217">
        <v>-1.1116582262999899</v>
      </c>
      <c r="AH6217">
        <v>9.5622071231329109</v>
      </c>
      <c r="AI6217">
        <v>95.621702121763306</v>
      </c>
      <c r="AJ6217">
        <v>57.854387036289999</v>
      </c>
      <c r="AK6217">
        <v>11.348099551967699</v>
      </c>
      <c r="AL6217">
        <v>84.560310180755593</v>
      </c>
      <c r="AM6217">
        <v>73.3789284825978</v>
      </c>
      <c r="AN6217">
        <v>0.999999953561726</v>
      </c>
    </row>
    <row r="6218" spans="1:40" x14ac:dyDescent="0.25">
      <c r="A6218" t="str">
        <f>"20190303162035399"</f>
        <v>20190303162035399</v>
      </c>
      <c r="B6218" t="str">
        <f>"1551601235389136"</f>
        <v>1551601235389136</v>
      </c>
      <c r="C6218" t="s">
        <v>40</v>
      </c>
      <c r="D6218">
        <v>4.9923830000000002</v>
      </c>
      <c r="E6218">
        <v>0.60677190000000003</v>
      </c>
      <c r="F6218" t="s">
        <v>41</v>
      </c>
      <c r="G6218">
        <v>-210.35390000000001</v>
      </c>
      <c r="H6218" s="1">
        <v>-5.1760209999999899E-6</v>
      </c>
      <c r="I6218">
        <v>143.00239999999999</v>
      </c>
      <c r="J6218">
        <v>-199.25380000000001</v>
      </c>
      <c r="K6218">
        <v>1.1116469999999901</v>
      </c>
      <c r="L6218">
        <v>145.5248</v>
      </c>
      <c r="M6218">
        <v>-0.70920539999999999</v>
      </c>
      <c r="N6218">
        <v>-1.2966709999999999E-2</v>
      </c>
      <c r="O6218">
        <v>-0.70488269999999997</v>
      </c>
      <c r="P6218">
        <v>-0.87596790000000002</v>
      </c>
      <c r="Q6218">
        <v>8.9377209999999999E-2</v>
      </c>
      <c r="R6218">
        <v>-0.47401729999999997</v>
      </c>
      <c r="S6218">
        <v>-3.0729679999999999</v>
      </c>
      <c r="T6218">
        <v>-0.30452010000000002</v>
      </c>
      <c r="U6218">
        <v>-0.72000120000000001</v>
      </c>
      <c r="V6218">
        <v>0.28353810000000002</v>
      </c>
      <c r="W6218">
        <v>9.5353759999999996E-2</v>
      </c>
      <c r="X6218">
        <v>0.95420850000000002</v>
      </c>
      <c r="Y6218">
        <v>0.52014020000000005</v>
      </c>
      <c r="Z6218">
        <v>8.0437529999999993E-2</v>
      </c>
      <c r="AA6218">
        <v>0.8502847</v>
      </c>
      <c r="AB6218">
        <v>25</v>
      </c>
      <c r="AC6218">
        <v>-11.1000999999999</v>
      </c>
      <c r="AD6218">
        <v>-1.1116521760210001</v>
      </c>
      <c r="AE6218">
        <v>-2.5224000000000002</v>
      </c>
      <c r="AF6218">
        <v>5.97885493515634</v>
      </c>
      <c r="AG6218">
        <v>-1.1116521760210001</v>
      </c>
      <c r="AH6218">
        <v>9.5598842622539095</v>
      </c>
      <c r="AI6218">
        <v>95.630571767774001</v>
      </c>
      <c r="AJ6218">
        <v>57.977694052260802</v>
      </c>
      <c r="AK6218">
        <v>11.330219062479999</v>
      </c>
      <c r="AL6218">
        <v>84.528318950876397</v>
      </c>
      <c r="AM6218">
        <v>73.450956521751607</v>
      </c>
      <c r="AN6218">
        <v>1.0000000275849901</v>
      </c>
    </row>
    <row r="6219" spans="1:40" x14ac:dyDescent="0.25">
      <c r="A6219" t="str">
        <f>"20190303162035419"</f>
        <v>20190303162035419</v>
      </c>
      <c r="B6219" t="str">
        <f>"1551601235408656"</f>
        <v>1551601235408656</v>
      </c>
      <c r="C6219" t="s">
        <v>40</v>
      </c>
      <c r="D6219">
        <v>5.0479019999999997</v>
      </c>
      <c r="E6219">
        <v>0.60650559999999998</v>
      </c>
      <c r="F6219" t="s">
        <v>41</v>
      </c>
      <c r="G6219">
        <v>-210.52430000000001</v>
      </c>
      <c r="H6219" s="1">
        <v>-5.1048940000000003E-6</v>
      </c>
      <c r="I6219">
        <v>142.97040000000001</v>
      </c>
      <c r="J6219">
        <v>-199.41560000000001</v>
      </c>
      <c r="K6219">
        <v>1.1116330000000001</v>
      </c>
      <c r="L6219">
        <v>145.38210000000001</v>
      </c>
      <c r="M6219">
        <v>-0.7175127</v>
      </c>
      <c r="N6219">
        <v>-1.2967390000000001E-2</v>
      </c>
      <c r="O6219">
        <v>-0.69642490000000001</v>
      </c>
      <c r="P6219">
        <v>-0.87955149999999904</v>
      </c>
      <c r="Q6219">
        <v>9.0310719999999997E-2</v>
      </c>
      <c r="R6219">
        <v>-0.46715449999999997</v>
      </c>
      <c r="S6219">
        <v>-3.0782319999999999</v>
      </c>
      <c r="T6219">
        <v>-0.30361569999999999</v>
      </c>
      <c r="U6219">
        <v>-0.69767760000000001</v>
      </c>
      <c r="V6219">
        <v>0.27963789999999999</v>
      </c>
      <c r="W6219">
        <v>9.6377089999999999E-2</v>
      </c>
      <c r="X6219">
        <v>0.95525599999999999</v>
      </c>
      <c r="Y6219">
        <v>0.51627029999999996</v>
      </c>
      <c r="Z6219">
        <v>7.9540020000000003E-2</v>
      </c>
      <c r="AA6219">
        <v>0.85272409999999998</v>
      </c>
      <c r="AB6219">
        <v>25</v>
      </c>
      <c r="AC6219">
        <v>-11.108700000000001</v>
      </c>
      <c r="AD6219">
        <v>-1.1116381048940001</v>
      </c>
      <c r="AE6219">
        <v>-2.41169999999999</v>
      </c>
      <c r="AF6219">
        <v>5.9495578986710997</v>
      </c>
      <c r="AG6219">
        <v>-1.1116381048940001</v>
      </c>
      <c r="AH6219">
        <v>9.5595920745472398</v>
      </c>
      <c r="AI6219">
        <v>95.638328770583996</v>
      </c>
      <c r="AJ6219">
        <v>58.103300960899297</v>
      </c>
      <c r="AK6219">
        <v>11.314538395252301</v>
      </c>
      <c r="AL6219">
        <v>84.469414803383501</v>
      </c>
      <c r="AM6219">
        <v>73.683342285523295</v>
      </c>
      <c r="AN6219">
        <v>0.99999996206463804</v>
      </c>
    </row>
    <row r="6220" spans="1:40" x14ac:dyDescent="0.25">
      <c r="A6220" t="str">
        <f>"20190303162035443"</f>
        <v>20190303162035443</v>
      </c>
      <c r="B6220" t="str">
        <f>"1551601235438912"</f>
        <v>1551601235438912</v>
      </c>
      <c r="C6220" t="s">
        <v>40</v>
      </c>
      <c r="D6220">
        <v>4.7822899999999997</v>
      </c>
      <c r="E6220">
        <v>0.60714760000000001</v>
      </c>
      <c r="F6220" t="s">
        <v>41</v>
      </c>
      <c r="G6220">
        <v>-210.81909999999999</v>
      </c>
      <c r="H6220" s="1">
        <v>-4.9776189999999999E-6</v>
      </c>
      <c r="I6220">
        <v>142.89109999999999</v>
      </c>
      <c r="J6220">
        <v>-199.62110000000001</v>
      </c>
      <c r="K6220">
        <v>1.111605</v>
      </c>
      <c r="L6220">
        <v>145.2054</v>
      </c>
      <c r="M6220">
        <v>-0.7278346</v>
      </c>
      <c r="N6220">
        <v>-1.2970539999999999E-2</v>
      </c>
      <c r="O6220">
        <v>-0.68563019999999997</v>
      </c>
      <c r="P6220">
        <v>-0.88426260000000001</v>
      </c>
      <c r="Q6220">
        <v>9.2416579999999998E-2</v>
      </c>
      <c r="R6220">
        <v>-0.45775490000000002</v>
      </c>
      <c r="S6220">
        <v>-3.0839080000000001</v>
      </c>
      <c r="T6220">
        <v>-0.3006238</v>
      </c>
      <c r="U6220">
        <v>-0.67364499999999905</v>
      </c>
      <c r="V6220">
        <v>0.27544950000000001</v>
      </c>
      <c r="W6220">
        <v>9.8573400000000005E-2</v>
      </c>
      <c r="X6220">
        <v>0.95624830000000005</v>
      </c>
      <c r="Y6220">
        <v>0.51030089999999995</v>
      </c>
      <c r="Z6220">
        <v>7.7818830000000005E-2</v>
      </c>
      <c r="AA6220">
        <v>0.85646789999999995</v>
      </c>
      <c r="AB6220">
        <v>25</v>
      </c>
      <c r="AC6220">
        <v>-11.197999999999899</v>
      </c>
      <c r="AD6220">
        <v>-1.1116099776189901</v>
      </c>
      <c r="AE6220">
        <v>-2.3142999999999998</v>
      </c>
      <c r="AF6220">
        <v>5.9376486116519098</v>
      </c>
      <c r="AG6220">
        <v>-1.1116099776189901</v>
      </c>
      <c r="AH6220">
        <v>9.6466969125145994</v>
      </c>
      <c r="AI6220">
        <v>95.604656537703093</v>
      </c>
      <c r="AJ6220">
        <v>58.387243411034497</v>
      </c>
      <c r="AK6220">
        <v>11.3820081312443</v>
      </c>
      <c r="AL6220">
        <v>84.342973441595603</v>
      </c>
      <c r="AM6220">
        <v>73.930833672393504</v>
      </c>
      <c r="AN6220">
        <v>0.99999997674534902</v>
      </c>
    </row>
    <row r="6221" spans="1:40" x14ac:dyDescent="0.25">
      <c r="A6221" t="str">
        <f>"20190303162035465"</f>
        <v>20190303162035465</v>
      </c>
      <c r="B6221" t="str">
        <f>"1551601235458432"</f>
        <v>1551601235458432</v>
      </c>
      <c r="C6221" t="s">
        <v>40</v>
      </c>
      <c r="D6221">
        <v>5.0338159999999998</v>
      </c>
      <c r="E6221">
        <v>0.60680210000000001</v>
      </c>
      <c r="F6221" t="s">
        <v>41</v>
      </c>
      <c r="G6221">
        <v>-211.50049999999999</v>
      </c>
      <c r="H6221" s="1">
        <v>-4.6937700000000003E-6</v>
      </c>
      <c r="I6221">
        <v>142.76599999999999</v>
      </c>
      <c r="J6221">
        <v>-199.809</v>
      </c>
      <c r="K6221">
        <v>1.1115679999999999</v>
      </c>
      <c r="L6221">
        <v>145.04859999999999</v>
      </c>
      <c r="M6221">
        <v>-0.73704890000000001</v>
      </c>
      <c r="N6221">
        <v>-1.2975830000000001E-2</v>
      </c>
      <c r="O6221">
        <v>-0.67571499999999995</v>
      </c>
      <c r="P6221">
        <v>-0.88838459999999997</v>
      </c>
      <c r="Q6221">
        <v>9.4041490000000005E-2</v>
      </c>
      <c r="R6221">
        <v>-0.44936530000000002</v>
      </c>
      <c r="S6221">
        <v>-3.0940249999999998</v>
      </c>
      <c r="T6221">
        <v>-0.28952260000000002</v>
      </c>
      <c r="U6221">
        <v>-0.63534550000000001</v>
      </c>
      <c r="V6221">
        <v>0.27148030000000001</v>
      </c>
      <c r="W6221">
        <v>0.100282</v>
      </c>
      <c r="X6221">
        <v>0.95720530000000004</v>
      </c>
      <c r="Y6221">
        <v>0.50976390000000005</v>
      </c>
      <c r="Z6221">
        <v>7.4136690000000005E-2</v>
      </c>
      <c r="AA6221">
        <v>0.85711409999999999</v>
      </c>
      <c r="AB6221">
        <v>25</v>
      </c>
      <c r="AC6221">
        <v>-11.6914999999999</v>
      </c>
      <c r="AD6221">
        <v>-1.1115726937699999</v>
      </c>
      <c r="AE6221">
        <v>-2.2826</v>
      </c>
      <c r="AF6221">
        <v>6.1645794341272699</v>
      </c>
      <c r="AG6221">
        <v>-1.1115726937699999</v>
      </c>
      <c r="AH6221">
        <v>10.072741110419299</v>
      </c>
      <c r="AI6221">
        <v>95.377180842083106</v>
      </c>
      <c r="AJ6221">
        <v>58.533111685502298</v>
      </c>
      <c r="AK6221">
        <v>11.8616081089678</v>
      </c>
      <c r="AL6221">
        <v>84.244590538684307</v>
      </c>
      <c r="AM6221">
        <v>74.165728571674194</v>
      </c>
      <c r="AN6221">
        <v>1.0000000095800801</v>
      </c>
    </row>
    <row r="6222" spans="1:40" x14ac:dyDescent="0.25">
      <c r="A6222" t="str">
        <f>"20190303162035491"</f>
        <v>20190303162035491</v>
      </c>
      <c r="B6222" t="str">
        <f>"1551601235478928"</f>
        <v>1551601235478928</v>
      </c>
      <c r="C6222" t="s">
        <v>40</v>
      </c>
      <c r="D6222">
        <v>5.0417209999999999</v>
      </c>
      <c r="E6222">
        <v>0.60641319999999999</v>
      </c>
      <c r="F6222" t="s">
        <v>41</v>
      </c>
      <c r="G6222">
        <v>-211.9075</v>
      </c>
      <c r="H6222" s="1">
        <v>-4.5219209999999998E-6</v>
      </c>
      <c r="I6222">
        <v>142.6782</v>
      </c>
      <c r="J6222">
        <v>-200.04150000000001</v>
      </c>
      <c r="K6222">
        <v>1.111521</v>
      </c>
      <c r="L6222">
        <v>144.86109999999999</v>
      </c>
      <c r="M6222">
        <v>-0.74817319999999998</v>
      </c>
      <c r="N6222">
        <v>-1.298585E-2</v>
      </c>
      <c r="O6222">
        <v>-0.66337650000000004</v>
      </c>
      <c r="P6222">
        <v>-0.89450429999999903</v>
      </c>
      <c r="Q6222">
        <v>9.4781679999999993E-2</v>
      </c>
      <c r="R6222">
        <v>-0.43689670000000003</v>
      </c>
      <c r="S6222">
        <v>-3.0998380000000001</v>
      </c>
      <c r="T6222">
        <v>-0.28480429999999901</v>
      </c>
      <c r="U6222">
        <v>-0.60734560000000004</v>
      </c>
      <c r="V6222">
        <v>0.268939599999999</v>
      </c>
      <c r="W6222">
        <v>0.1010629</v>
      </c>
      <c r="X6222">
        <v>0.95784009999999997</v>
      </c>
      <c r="Y6222">
        <v>0.50342399999999998</v>
      </c>
      <c r="Z6222">
        <v>7.1885889999999994E-2</v>
      </c>
      <c r="AA6222">
        <v>0.86104400000000003</v>
      </c>
      <c r="AB6222">
        <v>25</v>
      </c>
      <c r="AC6222">
        <v>-11.8659999999999</v>
      </c>
      <c r="AD6222">
        <v>-1.1115255219210001</v>
      </c>
      <c r="AE6222">
        <v>-2.1828999999999801</v>
      </c>
      <c r="AF6222">
        <v>6.1864567850106802</v>
      </c>
      <c r="AG6222">
        <v>-1.1115255219210001</v>
      </c>
      <c r="AH6222">
        <v>10.2398676252154</v>
      </c>
      <c r="AI6222">
        <v>95.308063432805298</v>
      </c>
      <c r="AJ6222">
        <v>58.861560062477103</v>
      </c>
      <c r="AK6222">
        <v>12.0150998964062</v>
      </c>
      <c r="AL6222">
        <v>84.199619376975903</v>
      </c>
      <c r="AM6222">
        <v>74.316472365987096</v>
      </c>
      <c r="AN6222">
        <v>0.99999993768628803</v>
      </c>
    </row>
    <row r="6223" spans="1:40" x14ac:dyDescent="0.25">
      <c r="A6223" t="str">
        <f>"20190303162035521"</f>
        <v>20190303162035521</v>
      </c>
      <c r="B6223" t="str">
        <f>"1551601235508208"</f>
        <v>1551601235508208</v>
      </c>
      <c r="C6223" t="s">
        <v>40</v>
      </c>
      <c r="D6223">
        <v>4.9235899999999999</v>
      </c>
      <c r="E6223">
        <v>0.60626910000000001</v>
      </c>
      <c r="F6223" t="s">
        <v>41</v>
      </c>
      <c r="G6223">
        <v>-212.16829999999999</v>
      </c>
      <c r="H6223" s="1">
        <v>-4.4168050000000001E-6</v>
      </c>
      <c r="I6223">
        <v>142.65029999999999</v>
      </c>
      <c r="J6223">
        <v>-200.316</v>
      </c>
      <c r="K6223">
        <v>1.111462</v>
      </c>
      <c r="L6223">
        <v>144.6474</v>
      </c>
      <c r="M6223">
        <v>-0.76092280000000001</v>
      </c>
      <c r="N6223">
        <v>-1.2999119999999999E-2</v>
      </c>
      <c r="O6223">
        <v>-0.64871210000000001</v>
      </c>
      <c r="P6223">
        <v>-0.90390990000000004</v>
      </c>
      <c r="Q6223">
        <v>9.4995570000000001E-2</v>
      </c>
      <c r="R6223">
        <v>-0.41704049999999998</v>
      </c>
      <c r="S6223">
        <v>-3.1073300000000001</v>
      </c>
      <c r="T6223">
        <v>-0.28481420000000002</v>
      </c>
      <c r="U6223">
        <v>-0.56646730000000001</v>
      </c>
      <c r="V6223">
        <v>0.27148260000000002</v>
      </c>
      <c r="W6223">
        <v>0.10118050000000001</v>
      </c>
      <c r="X6223">
        <v>0.95711000000000002</v>
      </c>
      <c r="Y6223">
        <v>0.49802950000000001</v>
      </c>
      <c r="Z6223">
        <v>7.0854379999999995E-2</v>
      </c>
      <c r="AA6223">
        <v>0.86426049999999999</v>
      </c>
      <c r="AB6223">
        <v>25</v>
      </c>
      <c r="AC6223">
        <v>-11.8523</v>
      </c>
      <c r="AD6223">
        <v>-1.1114664168049999</v>
      </c>
      <c r="AE6223">
        <v>-1.9971000000000101</v>
      </c>
      <c r="AF6223">
        <v>6.1173026886413497</v>
      </c>
      <c r="AG6223">
        <v>-1.1114664168049999</v>
      </c>
      <c r="AH6223">
        <v>10.227641483084</v>
      </c>
      <c r="AI6223">
        <v>95.328200090271096</v>
      </c>
      <c r="AJ6223">
        <v>59.115735927571997</v>
      </c>
      <c r="AK6223">
        <v>11.969185439562899</v>
      </c>
      <c r="AL6223">
        <v>84.192846596058601</v>
      </c>
      <c r="AM6223">
        <v>74.164103581443698</v>
      </c>
      <c r="AN6223">
        <v>0.99999992389150205</v>
      </c>
    </row>
    <row r="6224" spans="1:40" x14ac:dyDescent="0.25">
      <c r="A6224" t="str">
        <f>"20190303162035543"</f>
        <v>20190303162035543</v>
      </c>
      <c r="B6224" t="str">
        <f>"1551601235538464"</f>
        <v>1551601235538464</v>
      </c>
      <c r="C6224" t="s">
        <v>40</v>
      </c>
      <c r="D6224">
        <v>5.1483930000000004</v>
      </c>
      <c r="E6224">
        <v>0.60624100000000003</v>
      </c>
      <c r="F6224" t="s">
        <v>41</v>
      </c>
      <c r="G6224">
        <v>-212.31020000000001</v>
      </c>
      <c r="H6224" s="1">
        <v>-4.3737269999999998E-6</v>
      </c>
      <c r="I6224">
        <v>142.71469999999999</v>
      </c>
      <c r="J6224">
        <v>-200.51169999999999</v>
      </c>
      <c r="K6224">
        <v>1.111423</v>
      </c>
      <c r="L6224">
        <v>144.50030000000001</v>
      </c>
      <c r="M6224">
        <v>-0.76976250000000002</v>
      </c>
      <c r="N6224">
        <v>-1.300786E-2</v>
      </c>
      <c r="O6224">
        <v>-0.63819809999999999</v>
      </c>
      <c r="P6224">
        <v>-0.91148700000000005</v>
      </c>
      <c r="Q6224">
        <v>9.4537850000000007E-2</v>
      </c>
      <c r="R6224">
        <v>-0.40031810000000001</v>
      </c>
      <c r="S6224">
        <v>-3.1174930000000001</v>
      </c>
      <c r="T6224">
        <v>-0.28888770000000003</v>
      </c>
      <c r="U6224">
        <v>-0.50234990000000002</v>
      </c>
      <c r="V6224">
        <v>0.27599780000000002</v>
      </c>
      <c r="W6224">
        <v>0.1005861</v>
      </c>
      <c r="X6224">
        <v>0.95588050000000002</v>
      </c>
      <c r="Y6224">
        <v>0.50377039999999995</v>
      </c>
      <c r="Z6224">
        <v>7.1674440000000006E-2</v>
      </c>
      <c r="AA6224">
        <v>0.86085900000000004</v>
      </c>
      <c r="AB6224">
        <v>25</v>
      </c>
      <c r="AC6224">
        <v>-11.798500000000001</v>
      </c>
      <c r="AD6224">
        <v>-1.111427373727</v>
      </c>
      <c r="AE6224">
        <v>-1.7856000000000101</v>
      </c>
      <c r="AF6224">
        <v>6.1028692811605199</v>
      </c>
      <c r="AG6224">
        <v>-1.111427373727</v>
      </c>
      <c r="AH6224">
        <v>10.134554499434399</v>
      </c>
      <c r="AI6224">
        <v>95.367077549385201</v>
      </c>
      <c r="AJ6224">
        <v>58.944310572551203</v>
      </c>
      <c r="AK6224">
        <v>11.882317920843899</v>
      </c>
      <c r="AL6224">
        <v>84.227077940855295</v>
      </c>
      <c r="AM6224">
        <v>73.894629162794701</v>
      </c>
      <c r="AN6224">
        <v>0.99999993969914802</v>
      </c>
    </row>
    <row r="6225" spans="1:40" x14ac:dyDescent="0.25">
      <c r="A6225" t="str">
        <f>"20190303162035565"</f>
        <v>20190303162035565</v>
      </c>
      <c r="B6225" t="str">
        <f>"1551601235558960"</f>
        <v>1551601235558960</v>
      </c>
      <c r="C6225" t="s">
        <v>40</v>
      </c>
      <c r="D6225">
        <v>5.1503310000000004</v>
      </c>
      <c r="E6225">
        <v>0.60618559999999999</v>
      </c>
      <c r="F6225" t="s">
        <v>41</v>
      </c>
      <c r="G6225">
        <v>-212.3398</v>
      </c>
      <c r="H6225" s="1">
        <v>-4.3788450000000001E-6</v>
      </c>
      <c r="I6225">
        <v>142.80770000000001</v>
      </c>
      <c r="J6225">
        <v>-200.7175</v>
      </c>
      <c r="K6225">
        <v>1.111381</v>
      </c>
      <c r="L6225">
        <v>144.35</v>
      </c>
      <c r="M6225">
        <v>-0.77883029999999998</v>
      </c>
      <c r="N6225">
        <v>-1.301592E-2</v>
      </c>
      <c r="O6225">
        <v>-0.62709969999999904</v>
      </c>
      <c r="P6225">
        <v>-0.91906520000000003</v>
      </c>
      <c r="Q6225">
        <v>9.1790679999999999E-2</v>
      </c>
      <c r="R6225">
        <v>-0.38326729999999998</v>
      </c>
      <c r="S6225">
        <v>-3.1253660000000001</v>
      </c>
      <c r="T6225">
        <v>-0.29367379999999998</v>
      </c>
      <c r="U6225">
        <v>-0.4472351</v>
      </c>
      <c r="V6225">
        <v>0.28022609999999998</v>
      </c>
      <c r="W6225">
        <v>9.7714960000000003E-2</v>
      </c>
      <c r="X6225">
        <v>0.95494769999999896</v>
      </c>
      <c r="Y6225">
        <v>0.50646059999999904</v>
      </c>
      <c r="Z6225">
        <v>7.2472930000000005E-2</v>
      </c>
      <c r="AA6225">
        <v>0.85921199999999998</v>
      </c>
      <c r="AB6225">
        <v>25</v>
      </c>
      <c r="AC6225">
        <v>-11.6222999999999</v>
      </c>
      <c r="AD6225">
        <v>-1.1113853788450001</v>
      </c>
      <c r="AE6225">
        <v>-1.54229999999998</v>
      </c>
      <c r="AF6225">
        <v>6.0334500340968402</v>
      </c>
      <c r="AG6225">
        <v>-1.1113853788450001</v>
      </c>
      <c r="AH6225">
        <v>9.9305878755186896</v>
      </c>
      <c r="AI6225">
        <v>95.463495665860805</v>
      </c>
      <c r="AJ6225">
        <v>58.718715357538301</v>
      </c>
      <c r="AK6225">
        <v>11.6728005349038</v>
      </c>
      <c r="AL6225">
        <v>84.392397143666102</v>
      </c>
      <c r="AM6225">
        <v>73.645856174868399</v>
      </c>
      <c r="AN6225">
        <v>0.99999999513214999</v>
      </c>
    </row>
    <row r="6226" spans="1:40" x14ac:dyDescent="0.25">
      <c r="A6226" t="str">
        <f>"20190303162035588"</f>
        <v>20190303162035588</v>
      </c>
      <c r="B6226" t="str">
        <f>"1551601235578484"</f>
        <v>1551601235578484</v>
      </c>
      <c r="C6226" t="s">
        <v>40</v>
      </c>
      <c r="D6226">
        <v>5.1348149999999997</v>
      </c>
      <c r="E6226">
        <v>0.60610900000000001</v>
      </c>
      <c r="F6226" t="s">
        <v>41</v>
      </c>
      <c r="G6226">
        <v>-212.0215</v>
      </c>
      <c r="H6226" s="1">
        <v>-4.5241399999999999E-6</v>
      </c>
      <c r="I6226">
        <v>142.9375</v>
      </c>
      <c r="J6226">
        <v>-200.92519999999999</v>
      </c>
      <c r="K6226">
        <v>1.111351</v>
      </c>
      <c r="L6226">
        <v>144.20310000000001</v>
      </c>
      <c r="M6226">
        <v>-0.787744</v>
      </c>
      <c r="N6226">
        <v>-1.3022870000000001E-2</v>
      </c>
      <c r="O6226">
        <v>-0.615865199999999</v>
      </c>
      <c r="P6226">
        <v>-0.92574210000000001</v>
      </c>
      <c r="Q6226">
        <v>8.8010089999999999E-2</v>
      </c>
      <c r="R6226">
        <v>-0.36777140000000003</v>
      </c>
      <c r="S6226">
        <v>-3.1317599999999999</v>
      </c>
      <c r="T6226">
        <v>-0.30790840000000003</v>
      </c>
      <c r="U6226">
        <v>-0.39132689999999998</v>
      </c>
      <c r="V6226">
        <v>0.28271960000000002</v>
      </c>
      <c r="W6226">
        <v>9.3862749999999995E-2</v>
      </c>
      <c r="X6226">
        <v>0.95459910000000003</v>
      </c>
      <c r="Y6226">
        <v>0.50901850000000004</v>
      </c>
      <c r="Z6226">
        <v>7.5718190000000005E-2</v>
      </c>
      <c r="AA6226">
        <v>0.85741880000000004</v>
      </c>
      <c r="AB6226">
        <v>25</v>
      </c>
      <c r="AC6226">
        <v>-11.096299999999999</v>
      </c>
      <c r="AD6226">
        <v>-1.1113555241399999</v>
      </c>
      <c r="AE6226">
        <v>-1.2656000000000001</v>
      </c>
      <c r="AF6226">
        <v>5.7801143178652099</v>
      </c>
      <c r="AG6226">
        <v>-1.1113555241399999</v>
      </c>
      <c r="AH6226">
        <v>9.4279311707051399</v>
      </c>
      <c r="AI6226">
        <v>95.738713425289603</v>
      </c>
      <c r="AJ6226">
        <v>58.488202158475197</v>
      </c>
      <c r="AK6226">
        <v>11.114437403133801</v>
      </c>
      <c r="AL6226">
        <v>84.614132377951194</v>
      </c>
      <c r="AM6226">
        <v>73.502512656875396</v>
      </c>
      <c r="AN6226">
        <v>1.00000001489126</v>
      </c>
    </row>
    <row r="6227" spans="1:40" x14ac:dyDescent="0.25">
      <c r="A6227" t="str">
        <f>"20190303162035610"</f>
        <v>20190303162035610</v>
      </c>
      <c r="B6227" t="str">
        <f>"1551601235598980"</f>
        <v>1551601235598980</v>
      </c>
      <c r="C6227" t="s">
        <v>40</v>
      </c>
      <c r="D6227">
        <v>5.1066039999999999</v>
      </c>
      <c r="E6227">
        <v>0.60596539999999999</v>
      </c>
      <c r="F6227" t="s">
        <v>41</v>
      </c>
      <c r="G6227">
        <v>-211.7627</v>
      </c>
      <c r="H6227" s="1">
        <v>-4.6403819999999996E-6</v>
      </c>
      <c r="I6227">
        <v>143.03270000000001</v>
      </c>
      <c r="J6227">
        <v>-201.12950000000001</v>
      </c>
      <c r="K6227">
        <v>1.1113280000000001</v>
      </c>
      <c r="L6227">
        <v>144.06290000000001</v>
      </c>
      <c r="M6227">
        <v>-0.79627819999999905</v>
      </c>
      <c r="N6227">
        <v>-1.3028939999999999E-2</v>
      </c>
      <c r="O6227">
        <v>-0.60479059999999996</v>
      </c>
      <c r="P6227">
        <v>-0.93142829999999999</v>
      </c>
      <c r="Q6227">
        <v>8.7225090000000005E-2</v>
      </c>
      <c r="R6227">
        <v>-0.35331790000000002</v>
      </c>
      <c r="S6227">
        <v>-3.1366580000000002</v>
      </c>
      <c r="T6227">
        <v>-0.321656</v>
      </c>
      <c r="U6227">
        <v>-0.33876040000000002</v>
      </c>
      <c r="V6227">
        <v>0.28426109999999999</v>
      </c>
      <c r="W6227">
        <v>9.3032879999999998E-2</v>
      </c>
      <c r="X6227">
        <v>0.95422249999999997</v>
      </c>
      <c r="Y6227">
        <v>0.51093719999999998</v>
      </c>
      <c r="Z6227">
        <v>7.8743019999999997E-2</v>
      </c>
      <c r="AA6227">
        <v>0.85600390000000004</v>
      </c>
      <c r="AB6227">
        <v>25</v>
      </c>
      <c r="AC6227">
        <v>-10.633199999999899</v>
      </c>
      <c r="AD6227">
        <v>-1.1113326403820001</v>
      </c>
      <c r="AE6227">
        <v>-1.0302</v>
      </c>
      <c r="AF6227">
        <v>5.5509372047146304</v>
      </c>
      <c r="AG6227">
        <v>-1.1113326403820001</v>
      </c>
      <c r="AH6227">
        <v>8.9934840925034099</v>
      </c>
      <c r="AI6227">
        <v>96.002821828802695</v>
      </c>
      <c r="AJ6227">
        <v>58.316382630744798</v>
      </c>
      <c r="AK6227">
        <v>10.6268866659231</v>
      </c>
      <c r="AL6227">
        <v>84.661889509009001</v>
      </c>
      <c r="AM6227">
        <v>73.411304150639694</v>
      </c>
      <c r="AN6227">
        <v>1.00000003462027</v>
      </c>
    </row>
    <row r="6228" spans="1:40" x14ac:dyDescent="0.25">
      <c r="A6228" t="str">
        <f>"20190303162035633"</f>
        <v>20190303162035633</v>
      </c>
      <c r="B6228" t="str">
        <f>"1551601235618496"</f>
        <v>1551601235618496</v>
      </c>
      <c r="C6228" t="s">
        <v>40</v>
      </c>
      <c r="D6228">
        <v>5.128984</v>
      </c>
      <c r="E6228">
        <v>0.60575749999999995</v>
      </c>
      <c r="F6228" t="s">
        <v>41</v>
      </c>
      <c r="G6228">
        <v>-211.7859</v>
      </c>
      <c r="H6228" s="1">
        <v>-4.6383530000000001E-6</v>
      </c>
      <c r="I6228">
        <v>143.07149999999999</v>
      </c>
      <c r="J6228">
        <v>-201.3485</v>
      </c>
      <c r="K6228">
        <v>1.111326</v>
      </c>
      <c r="L6228">
        <v>143.91720000000001</v>
      </c>
      <c r="M6228">
        <v>-0.80517459999999996</v>
      </c>
      <c r="N6228">
        <v>-1.303459E-2</v>
      </c>
      <c r="O6228">
        <v>-0.59289480000000006</v>
      </c>
      <c r="P6228">
        <v>-0.93677779999999999</v>
      </c>
      <c r="Q6228">
        <v>8.8073780000000004E-2</v>
      </c>
      <c r="R6228">
        <v>-0.33866030000000003</v>
      </c>
      <c r="S6228">
        <v>-3.1406710000000002</v>
      </c>
      <c r="T6228">
        <v>-0.32753470000000001</v>
      </c>
      <c r="U6228">
        <v>-0.29220580000000002</v>
      </c>
      <c r="V6228">
        <v>0.28503339999999999</v>
      </c>
      <c r="W6228">
        <v>9.385802E-2</v>
      </c>
      <c r="X6228">
        <v>0.95391119999999996</v>
      </c>
      <c r="Y6228">
        <v>0.51072039999999996</v>
      </c>
      <c r="Z6228">
        <v>7.9480659999999995E-2</v>
      </c>
      <c r="AA6228">
        <v>0.85606510000000002</v>
      </c>
      <c r="AB6228">
        <v>25</v>
      </c>
      <c r="AC6228">
        <v>-10.437399999999901</v>
      </c>
      <c r="AD6228">
        <v>-1.1113306383529999</v>
      </c>
      <c r="AE6228">
        <v>-0.84570000000002199</v>
      </c>
      <c r="AF6228">
        <v>5.4464667705721697</v>
      </c>
      <c r="AG6228">
        <v>-1.1113306383529999</v>
      </c>
      <c r="AH6228">
        <v>8.8069023644302504</v>
      </c>
      <c r="AI6228">
        <v>96.125727025269299</v>
      </c>
      <c r="AJ6228">
        <v>58.266043473511203</v>
      </c>
      <c r="AK6228">
        <v>10.414441191311999</v>
      </c>
      <c r="AL6228">
        <v>84.614404358418895</v>
      </c>
      <c r="AM6228">
        <v>73.363593496629804</v>
      </c>
      <c r="AN6228">
        <v>0.99999997225965898</v>
      </c>
    </row>
    <row r="6229" spans="1:40" x14ac:dyDescent="0.25">
      <c r="A6229" t="str">
        <f>"20190303162035655"</f>
        <v>20190303162035655</v>
      </c>
      <c r="B6229" t="str">
        <f>"1551601235648752"</f>
        <v>1551601235648752</v>
      </c>
      <c r="C6229" t="s">
        <v>40</v>
      </c>
      <c r="D6229">
        <v>5.1525919999999896</v>
      </c>
      <c r="E6229">
        <v>0.60535810000000001</v>
      </c>
      <c r="F6229" t="s">
        <v>41</v>
      </c>
      <c r="G6229">
        <v>-211.9742</v>
      </c>
      <c r="H6229" s="1">
        <v>-4.5682989999999997E-6</v>
      </c>
      <c r="I6229">
        <v>143.084</v>
      </c>
      <c r="J6229">
        <v>-201.56460000000001</v>
      </c>
      <c r="K6229">
        <v>1.1113150000000001</v>
      </c>
      <c r="L6229">
        <v>143.77789999999999</v>
      </c>
      <c r="M6229">
        <v>-0.81371070000000001</v>
      </c>
      <c r="N6229">
        <v>-1.304021E-2</v>
      </c>
      <c r="O6229">
        <v>-0.58112390000000003</v>
      </c>
      <c r="P6229">
        <v>-0.94153940000000003</v>
      </c>
      <c r="Q6229">
        <v>8.9012720000000004E-2</v>
      </c>
      <c r="R6229">
        <v>-0.32493109999999997</v>
      </c>
      <c r="S6229">
        <v>-3.1442570000000001</v>
      </c>
      <c r="T6229">
        <v>-0.32885560000000003</v>
      </c>
      <c r="U6229">
        <v>-0.24655150000000001</v>
      </c>
      <c r="V6229">
        <v>0.28507969999999999</v>
      </c>
      <c r="W6229">
        <v>9.4790810000000003E-2</v>
      </c>
      <c r="X6229">
        <v>0.95380509999999996</v>
      </c>
      <c r="Y6229">
        <v>0.51066979999999995</v>
      </c>
      <c r="Z6229">
        <v>7.9029740000000001E-2</v>
      </c>
      <c r="AA6229">
        <v>0.85613709999999899</v>
      </c>
      <c r="AB6229">
        <v>25</v>
      </c>
      <c r="AC6229">
        <v>-10.4095999999999</v>
      </c>
      <c r="AD6229">
        <v>-1.111319568299</v>
      </c>
      <c r="AE6229">
        <v>-0.69389999999998497</v>
      </c>
      <c r="AF6229">
        <v>5.4235579247529699</v>
      </c>
      <c r="AG6229">
        <v>-1.111319568299</v>
      </c>
      <c r="AH6229">
        <v>8.7748299859562593</v>
      </c>
      <c r="AI6229">
        <v>96.148841004696393</v>
      </c>
      <c r="AJ6229">
        <v>58.280566014816102</v>
      </c>
      <c r="AK6229">
        <v>10.3753386946389</v>
      </c>
      <c r="AL6229">
        <v>84.560719957541096</v>
      </c>
      <c r="AM6229">
        <v>73.359291952149505</v>
      </c>
      <c r="AN6229">
        <v>0.99999995089927596</v>
      </c>
    </row>
    <row r="6230" spans="1:40" x14ac:dyDescent="0.25">
      <c r="A6230" t="str">
        <f>"20190303162035678"</f>
        <v>20190303162035678</v>
      </c>
      <c r="B6230" t="str">
        <f>"1551601235668272"</f>
        <v>1551601235668272</v>
      </c>
      <c r="C6230" t="s">
        <v>40</v>
      </c>
      <c r="D6230">
        <v>5.0314249999999996</v>
      </c>
      <c r="E6230">
        <v>0.60523660000000001</v>
      </c>
      <c r="F6230" t="s">
        <v>41</v>
      </c>
      <c r="G6230">
        <v>-212.191</v>
      </c>
      <c r="H6230" s="1">
        <v>-4.4853150000000003E-6</v>
      </c>
      <c r="I6230">
        <v>143.0857</v>
      </c>
      <c r="J6230">
        <v>-201.7842</v>
      </c>
      <c r="K6230">
        <v>1.1113040000000001</v>
      </c>
      <c r="L6230">
        <v>143.64080000000001</v>
      </c>
      <c r="M6230">
        <v>-0.82215090000000002</v>
      </c>
      <c r="N6230">
        <v>-1.3047649999999999E-2</v>
      </c>
      <c r="O6230">
        <v>-0.56912010000000002</v>
      </c>
      <c r="P6230">
        <v>-0.94558050000000005</v>
      </c>
      <c r="Q6230">
        <v>9.1812690000000002E-2</v>
      </c>
      <c r="R6230">
        <v>-0.3121662</v>
      </c>
      <c r="S6230">
        <v>-3.146652</v>
      </c>
      <c r="T6230">
        <v>-0.32907950000000002</v>
      </c>
      <c r="U6230">
        <v>-0.2049561</v>
      </c>
      <c r="V6230">
        <v>0.28390169999999998</v>
      </c>
      <c r="W6230">
        <v>9.7611030000000001E-2</v>
      </c>
      <c r="X6230">
        <v>0.9538721</v>
      </c>
      <c r="Y6230">
        <v>0.50942719999999997</v>
      </c>
      <c r="Z6230">
        <v>7.8206020000000001E-2</v>
      </c>
      <c r="AA6230">
        <v>0.85695250000000001</v>
      </c>
      <c r="AB6230">
        <v>25</v>
      </c>
      <c r="AC6230">
        <v>-10.406799999999899</v>
      </c>
      <c r="AD6230">
        <v>-1.1113084853149999</v>
      </c>
      <c r="AE6230">
        <v>-0.55510000000001003</v>
      </c>
      <c r="AF6230">
        <v>5.4053438725799898</v>
      </c>
      <c r="AG6230">
        <v>-1.1113084853149999</v>
      </c>
      <c r="AH6230">
        <v>8.7728767789075199</v>
      </c>
      <c r="AI6230">
        <v>96.155428360711397</v>
      </c>
      <c r="AJ6230">
        <v>58.361004555505602</v>
      </c>
      <c r="AK6230">
        <v>10.364174637097999</v>
      </c>
      <c r="AL6230">
        <v>84.398380725756894</v>
      </c>
      <c r="AM6230">
        <v>73.425374569476304</v>
      </c>
      <c r="AN6230">
        <v>1.0000000357994701</v>
      </c>
    </row>
    <row r="6231" spans="1:40" x14ac:dyDescent="0.25">
      <c r="A6231" t="str">
        <f>"20190303162035701"</f>
        <v>20190303162035701</v>
      </c>
      <c r="B6231" t="str">
        <f>"1551601235688768"</f>
        <v>1551601235688768</v>
      </c>
      <c r="C6231" t="s">
        <v>40</v>
      </c>
      <c r="D6231">
        <v>5.0226259999999998</v>
      </c>
      <c r="E6231">
        <v>0.60513649999999997</v>
      </c>
      <c r="F6231" t="s">
        <v>41</v>
      </c>
      <c r="G6231">
        <v>-212.72380000000001</v>
      </c>
      <c r="H6231" s="1">
        <v>-4.2782050000000003E-6</v>
      </c>
      <c r="I6231">
        <v>143.07149999999999</v>
      </c>
      <c r="J6231">
        <v>-202.00739999999999</v>
      </c>
      <c r="K6231">
        <v>1.111273</v>
      </c>
      <c r="L6231">
        <v>143.5059</v>
      </c>
      <c r="M6231">
        <v>-0.83051169999999996</v>
      </c>
      <c r="N6231">
        <v>-1.305576E-2</v>
      </c>
      <c r="O6231">
        <v>-0.55684809999999996</v>
      </c>
      <c r="P6231">
        <v>-0.94981470000000001</v>
      </c>
      <c r="Q6231">
        <v>9.4409309999999996E-2</v>
      </c>
      <c r="R6231">
        <v>-0.2982264</v>
      </c>
      <c r="S6231">
        <v>-3.1496119999999999</v>
      </c>
      <c r="T6231">
        <v>-0.31995820000000003</v>
      </c>
      <c r="U6231">
        <v>-0.1639099</v>
      </c>
      <c r="V6231">
        <v>0.28369529999999998</v>
      </c>
      <c r="W6231">
        <v>0.1001866</v>
      </c>
      <c r="X6231">
        <v>0.95366640000000003</v>
      </c>
      <c r="Y6231">
        <v>0.50819309999999995</v>
      </c>
      <c r="Z6231">
        <v>7.5017299999999995E-2</v>
      </c>
      <c r="AA6231">
        <v>0.8579698</v>
      </c>
      <c r="AB6231">
        <v>25</v>
      </c>
      <c r="AC6231">
        <v>-10.7164</v>
      </c>
      <c r="AD6231">
        <v>-1.111277278205</v>
      </c>
      <c r="AE6231">
        <v>-0.43440000000001</v>
      </c>
      <c r="AF6231">
        <v>5.5475533823568703</v>
      </c>
      <c r="AG6231">
        <v>-1.111277278205</v>
      </c>
      <c r="AH6231">
        <v>9.0456576152411206</v>
      </c>
      <c r="AI6231">
        <v>95.978566444901901</v>
      </c>
      <c r="AJ6231">
        <v>58.479893784470804</v>
      </c>
      <c r="AK6231">
        <v>10.6693114778472</v>
      </c>
      <c r="AL6231">
        <v>84.250084111580506</v>
      </c>
      <c r="AM6231">
        <v>73.433387310438704</v>
      </c>
      <c r="AN6231">
        <v>0.99999999027530495</v>
      </c>
    </row>
    <row r="6232" spans="1:40" x14ac:dyDescent="0.25">
      <c r="A6232" t="str">
        <f>"20190303162035722"</f>
        <v>20190303162035722</v>
      </c>
      <c r="B6232" t="str">
        <f>"1551601235708289"</f>
        <v>1551601235708289</v>
      </c>
      <c r="C6232" t="s">
        <v>40</v>
      </c>
      <c r="D6232">
        <v>5.024451</v>
      </c>
      <c r="E6232">
        <v>0.60496340000000004</v>
      </c>
      <c r="F6232" t="s">
        <v>41</v>
      </c>
      <c r="G6232">
        <v>-213.3563</v>
      </c>
      <c r="H6232" s="1">
        <v>-4.0370459999999996E-6</v>
      </c>
      <c r="I6232">
        <v>143.0813</v>
      </c>
      <c r="J6232">
        <v>-202.21690000000001</v>
      </c>
      <c r="K6232">
        <v>1.111202</v>
      </c>
      <c r="L6232">
        <v>143.3835</v>
      </c>
      <c r="M6232">
        <v>-0.83818320000000002</v>
      </c>
      <c r="N6232">
        <v>-1.3064950000000001E-2</v>
      </c>
      <c r="O6232">
        <v>-0.54523259999999996</v>
      </c>
      <c r="P6232">
        <v>-0.95372809999999997</v>
      </c>
      <c r="Q6232">
        <v>9.612598E-2</v>
      </c>
      <c r="R6232">
        <v>-0.28489109999999901</v>
      </c>
      <c r="S6232">
        <v>-3.152161</v>
      </c>
      <c r="T6232">
        <v>-0.3086584</v>
      </c>
      <c r="U6232">
        <v>-0.1179352</v>
      </c>
      <c r="V6232">
        <v>0.28374539999999998</v>
      </c>
      <c r="W6232">
        <v>0.1018579</v>
      </c>
      <c r="X6232">
        <v>0.9534745</v>
      </c>
      <c r="Y6232">
        <v>0.50912609999999903</v>
      </c>
      <c r="Z6232">
        <v>7.1519369999999999E-2</v>
      </c>
      <c r="AA6232">
        <v>0.85771540000000002</v>
      </c>
      <c r="AB6232">
        <v>25</v>
      </c>
      <c r="AC6232">
        <v>-11.139399999999901</v>
      </c>
      <c r="AD6232">
        <v>-1.111206037046</v>
      </c>
      <c r="AE6232">
        <v>-0.30219999999999902</v>
      </c>
      <c r="AF6232">
        <v>5.7634510504840604</v>
      </c>
      <c r="AG6232">
        <v>-1.111206037046</v>
      </c>
      <c r="AH6232">
        <v>9.4088779224302801</v>
      </c>
      <c r="AI6232">
        <v>95.7508357718106</v>
      </c>
      <c r="AJ6232">
        <v>58.510257565220897</v>
      </c>
      <c r="AK6232">
        <v>11.089595602513601</v>
      </c>
      <c r="AL6232">
        <v>84.153833627280505</v>
      </c>
      <c r="AM6232">
        <v>73.427470155001402</v>
      </c>
      <c r="AN6232">
        <v>1.0000000529819</v>
      </c>
    </row>
    <row r="6233" spans="1:40" x14ac:dyDescent="0.25">
      <c r="A6233" t="str">
        <f>"20190303162035745"</f>
        <v>20190303162035745</v>
      </c>
      <c r="B6233" t="str">
        <f>"1551601235738544"</f>
        <v>1551601235738544</v>
      </c>
      <c r="C6233" t="s">
        <v>40</v>
      </c>
      <c r="D6233">
        <v>5.0292870000000001</v>
      </c>
      <c r="E6233">
        <v>0.60456359999999998</v>
      </c>
      <c r="F6233" t="s">
        <v>41</v>
      </c>
      <c r="G6233">
        <v>-213.93559999999999</v>
      </c>
      <c r="H6233" s="1">
        <v>-3.7767939999999998E-6</v>
      </c>
      <c r="I6233">
        <v>143.11019999999999</v>
      </c>
      <c r="J6233">
        <v>-202.4452</v>
      </c>
      <c r="K6233">
        <v>1.111081</v>
      </c>
      <c r="L6233">
        <v>143.25460000000001</v>
      </c>
      <c r="M6233">
        <v>-0.84637759999999995</v>
      </c>
      <c r="N6233">
        <v>-1.3082180000000001E-2</v>
      </c>
      <c r="O6233">
        <v>-0.53242279999999997</v>
      </c>
      <c r="P6233">
        <v>-0.95782319999999999</v>
      </c>
      <c r="Q6233">
        <v>9.7418489999999996E-2</v>
      </c>
      <c r="R6233">
        <v>-0.27034209999999997</v>
      </c>
      <c r="S6233">
        <v>-3.1537320000000002</v>
      </c>
      <c r="T6233">
        <v>-0.29904839999999999</v>
      </c>
      <c r="U6233">
        <v>-7.3562619999999995E-2</v>
      </c>
      <c r="V6233">
        <v>0.28374959999999999</v>
      </c>
      <c r="W6233">
        <v>0.1030826</v>
      </c>
      <c r="X6233">
        <v>0.95334160000000001</v>
      </c>
      <c r="Y6233">
        <v>0.50845439999999997</v>
      </c>
      <c r="Z6233">
        <v>6.832415E-2</v>
      </c>
      <c r="AA6233">
        <v>0.85837399999999997</v>
      </c>
      <c r="AB6233">
        <v>25</v>
      </c>
      <c r="AC6233">
        <v>-11.4903999999999</v>
      </c>
      <c r="AD6233">
        <v>-1.111084776794</v>
      </c>
      <c r="AE6233">
        <v>-0.14440000000001799</v>
      </c>
      <c r="AF6233">
        <v>5.9405098668497196</v>
      </c>
      <c r="AG6233">
        <v>-1.111084776794</v>
      </c>
      <c r="AH6233">
        <v>9.7121400421687092</v>
      </c>
      <c r="AI6233">
        <v>95.574019925346306</v>
      </c>
      <c r="AJ6233">
        <v>58.5476183044211</v>
      </c>
      <c r="AK6233">
        <v>11.438961100469699</v>
      </c>
      <c r="AL6233">
        <v>84.083292035956802</v>
      </c>
      <c r="AM6233">
        <v>73.425054735432298</v>
      </c>
      <c r="AN6233">
        <v>1.0000000321067299</v>
      </c>
    </row>
    <row r="6234" spans="1:40" x14ac:dyDescent="0.25">
      <c r="A6234" t="str">
        <f>"20190303162035767"</f>
        <v>20190303162035767</v>
      </c>
      <c r="B6234" t="str">
        <f>"1551601235759040"</f>
        <v>1551601235759040</v>
      </c>
      <c r="C6234" t="s">
        <v>40</v>
      </c>
      <c r="D6234">
        <v>5.0576489999999996</v>
      </c>
      <c r="E6234">
        <v>0.60425830000000003</v>
      </c>
      <c r="F6234" t="s">
        <v>41</v>
      </c>
      <c r="G6234">
        <v>-214.50239999999999</v>
      </c>
      <c r="H6234" s="1">
        <v>-3.5196230000000001E-6</v>
      </c>
      <c r="I6234">
        <v>143.1506</v>
      </c>
      <c r="J6234">
        <v>-202.66720000000001</v>
      </c>
      <c r="K6234">
        <v>1.11094</v>
      </c>
      <c r="L6234">
        <v>143.13419999999999</v>
      </c>
      <c r="M6234">
        <v>-0.85421780000000003</v>
      </c>
      <c r="N6234">
        <v>-1.31121E-2</v>
      </c>
      <c r="O6234">
        <v>-0.51975020000000005</v>
      </c>
      <c r="P6234">
        <v>-0.96105280000000004</v>
      </c>
      <c r="Q6234">
        <v>0.1006026</v>
      </c>
      <c r="R6234">
        <v>-0.25740479999999999</v>
      </c>
      <c r="S6234">
        <v>-3.1539609999999998</v>
      </c>
      <c r="T6234">
        <v>-0.29064020000000002</v>
      </c>
      <c r="U6234">
        <v>-2.7206419999999999E-2</v>
      </c>
      <c r="V6234">
        <v>0.28234179999999998</v>
      </c>
      <c r="W6234">
        <v>0.106221</v>
      </c>
      <c r="X6234">
        <v>0.95341500000000001</v>
      </c>
      <c r="Y6234">
        <v>0.50852659999999905</v>
      </c>
      <c r="Z6234">
        <v>6.5534090000000003E-2</v>
      </c>
      <c r="AA6234">
        <v>0.8585488</v>
      </c>
      <c r="AB6234">
        <v>25</v>
      </c>
      <c r="AC6234">
        <v>-11.835199999999899</v>
      </c>
      <c r="AD6234">
        <v>-1.110943519623</v>
      </c>
      <c r="AE6234">
        <v>1.6400000000004401E-2</v>
      </c>
      <c r="AF6234">
        <v>6.1120320922891498</v>
      </c>
      <c r="AG6234">
        <v>-1.110943519623</v>
      </c>
      <c r="AH6234">
        <v>10.013947553012301</v>
      </c>
      <c r="AI6234">
        <v>95.409477999693095</v>
      </c>
      <c r="AJ6234">
        <v>58.602115960729897</v>
      </c>
      <c r="AK6234">
        <v>11.784323374527901</v>
      </c>
      <c r="AL6234">
        <v>83.902481715031101</v>
      </c>
      <c r="AM6234">
        <v>73.504010478463002</v>
      </c>
      <c r="AN6234">
        <v>0.99999997754661896</v>
      </c>
    </row>
    <row r="6235" spans="1:40" x14ac:dyDescent="0.25">
      <c r="A6235" t="str">
        <f>"20190303162035789"</f>
        <v>20190303162035789</v>
      </c>
      <c r="B6235" t="str">
        <f>"1551601235778560"</f>
        <v>1551601235778560</v>
      </c>
      <c r="C6235" t="s">
        <v>40</v>
      </c>
      <c r="D6235">
        <v>5.0737889999999997</v>
      </c>
      <c r="E6235">
        <v>0.60387609999999903</v>
      </c>
      <c r="F6235" t="s">
        <v>41</v>
      </c>
      <c r="G6235">
        <v>-215.21119999999999</v>
      </c>
      <c r="H6235" s="1">
        <v>-3.1930670000000001E-6</v>
      </c>
      <c r="I6235">
        <v>143.18260000000001</v>
      </c>
      <c r="J6235">
        <v>-202.8844</v>
      </c>
      <c r="K6235">
        <v>1.1107819999999999</v>
      </c>
      <c r="L6235">
        <v>143.02070000000001</v>
      </c>
      <c r="M6235">
        <v>-0.86175020000000002</v>
      </c>
      <c r="N6235">
        <v>-1.3149620000000001E-2</v>
      </c>
      <c r="O6235">
        <v>-0.50716249999999996</v>
      </c>
      <c r="P6235">
        <v>-0.96383410000000003</v>
      </c>
      <c r="Q6235">
        <v>0.1027401</v>
      </c>
      <c r="R6235">
        <v>-0.24590390000000001</v>
      </c>
      <c r="S6235">
        <v>-3.154099</v>
      </c>
      <c r="T6235">
        <v>-0.2793388</v>
      </c>
      <c r="U6235">
        <v>1.216125E-2</v>
      </c>
      <c r="V6235">
        <v>0.27972659999999899</v>
      </c>
      <c r="W6235">
        <v>0.1083501</v>
      </c>
      <c r="X6235">
        <v>0.95394619999999997</v>
      </c>
      <c r="Y6235">
        <v>0.50697389999999998</v>
      </c>
      <c r="Z6235">
        <v>6.2015699999999903E-2</v>
      </c>
      <c r="AA6235">
        <v>0.85972760000000004</v>
      </c>
      <c r="AB6235">
        <v>25</v>
      </c>
      <c r="AC6235">
        <v>-12.326799999999899</v>
      </c>
      <c r="AD6235">
        <v>-1.1107851930670001</v>
      </c>
      <c r="AE6235">
        <v>0.16190000000000199</v>
      </c>
      <c r="AF6235">
        <v>6.3402856595006796</v>
      </c>
      <c r="AG6235">
        <v>-1.1107851930670001</v>
      </c>
      <c r="AH6235">
        <v>10.456530474714601</v>
      </c>
      <c r="AI6235">
        <v>95.190227039130306</v>
      </c>
      <c r="AJ6235">
        <v>58.769598596701101</v>
      </c>
      <c r="AK6235">
        <v>12.2789289255147</v>
      </c>
      <c r="AL6235">
        <v>83.779785420169404</v>
      </c>
      <c r="AM6235">
        <v>73.657227237561798</v>
      </c>
      <c r="AN6235">
        <v>1.000000033706</v>
      </c>
    </row>
    <row r="6236" spans="1:40" x14ac:dyDescent="0.25">
      <c r="A6236" t="str">
        <f>"20190303162035811"</f>
        <v>20190303162035811</v>
      </c>
      <c r="B6236" t="str">
        <f>"1551601235799056"</f>
        <v>1551601235799056</v>
      </c>
      <c r="C6236" t="s">
        <v>40</v>
      </c>
      <c r="D6236">
        <v>5.1053709999999999</v>
      </c>
      <c r="E6236">
        <v>0.60348489999999999</v>
      </c>
      <c r="F6236" t="s">
        <v>41</v>
      </c>
      <c r="G6236">
        <v>-215.92910000000001</v>
      </c>
      <c r="H6236" s="1">
        <v>-2.8641159999999998E-6</v>
      </c>
      <c r="I6236">
        <v>143.2218</v>
      </c>
      <c r="J6236">
        <v>-203.1163</v>
      </c>
      <c r="K6236">
        <v>1.1105929999999999</v>
      </c>
      <c r="L6236">
        <v>142.90430000000001</v>
      </c>
      <c r="M6236">
        <v>-0.86966690000000002</v>
      </c>
      <c r="N6236">
        <v>-1.319625E-2</v>
      </c>
      <c r="O6236">
        <v>-0.49346240000000002</v>
      </c>
      <c r="P6236">
        <v>-0.96695260000000005</v>
      </c>
      <c r="Q6236">
        <v>0.1029994</v>
      </c>
      <c r="R6236">
        <v>-0.23322480000000001</v>
      </c>
      <c r="S6236">
        <v>-3.1535950000000001</v>
      </c>
      <c r="T6236">
        <v>-0.26853389999999999</v>
      </c>
      <c r="U6236">
        <v>4.8599240000000002E-2</v>
      </c>
      <c r="V6236">
        <v>0.27720220000000001</v>
      </c>
      <c r="W6236">
        <v>0.1085923</v>
      </c>
      <c r="X6236">
        <v>0.95465520000000004</v>
      </c>
      <c r="Y6236">
        <v>0.50360629999999995</v>
      </c>
      <c r="Z6236">
        <v>5.8526420000000003E-2</v>
      </c>
      <c r="AA6236">
        <v>0.86194859999999895</v>
      </c>
      <c r="AB6236">
        <v>25</v>
      </c>
      <c r="AC6236">
        <v>-12.812799999999999</v>
      </c>
      <c r="AD6236">
        <v>-1.1105958641160001</v>
      </c>
      <c r="AE6236">
        <v>0.31749999999999501</v>
      </c>
      <c r="AF6236">
        <v>6.5501473172525699</v>
      </c>
      <c r="AG6236">
        <v>-1.1105958641160001</v>
      </c>
      <c r="AH6236">
        <v>10.905268545164599</v>
      </c>
      <c r="AI6236">
        <v>94.989423357049702</v>
      </c>
      <c r="AJ6236">
        <v>59.0092620354716</v>
      </c>
      <c r="AK6236">
        <v>12.769601994316799</v>
      </c>
      <c r="AL6236">
        <v>83.765825487064902</v>
      </c>
      <c r="AM6236">
        <v>73.808345081088802</v>
      </c>
      <c r="AN6236">
        <v>0.99999994909558299</v>
      </c>
    </row>
    <row r="6237" spans="1:40" x14ac:dyDescent="0.25">
      <c r="A6237" t="str">
        <f>"20190303162035834"</f>
        <v>20190303162035834</v>
      </c>
      <c r="B6237" t="str">
        <f>"1551601235828337"</f>
        <v>1551601235828337</v>
      </c>
      <c r="C6237" t="s">
        <v>40</v>
      </c>
      <c r="D6237">
        <v>5.1054709999999996</v>
      </c>
      <c r="E6237">
        <v>0.57362829999999998</v>
      </c>
      <c r="F6237" t="s">
        <v>41</v>
      </c>
      <c r="G6237">
        <v>-216.4057</v>
      </c>
      <c r="H6237" s="1">
        <v>-2.6541370000000001E-6</v>
      </c>
      <c r="I6237">
        <v>143.27930000000001</v>
      </c>
      <c r="J6237">
        <v>-203.35409999999999</v>
      </c>
      <c r="K6237">
        <v>1.1103749999999999</v>
      </c>
      <c r="L6237">
        <v>142.78989999999999</v>
      </c>
      <c r="M6237">
        <v>-0.87765709999999997</v>
      </c>
      <c r="N6237">
        <v>-1.3252709999999999E-2</v>
      </c>
      <c r="O6237">
        <v>-0.47910589999999997</v>
      </c>
      <c r="P6237">
        <v>-0.97011219999999998</v>
      </c>
      <c r="Q6237">
        <v>0.1033053</v>
      </c>
      <c r="R6237">
        <v>-0.2195696</v>
      </c>
      <c r="S6237">
        <v>-3.1520389999999998</v>
      </c>
      <c r="T6237">
        <v>-0.26341520000000002</v>
      </c>
      <c r="U6237">
        <v>8.8958739999999994E-2</v>
      </c>
      <c r="V6237">
        <v>0.27502450000000001</v>
      </c>
      <c r="W6237">
        <v>0.1088673</v>
      </c>
      <c r="X6237">
        <v>0.95525360000000004</v>
      </c>
      <c r="Y6237">
        <v>0.50063259999999998</v>
      </c>
      <c r="Z6237">
        <v>5.6393600000000002E-2</v>
      </c>
      <c r="AA6237">
        <v>0.86382099999999995</v>
      </c>
      <c r="AB6237">
        <v>25</v>
      </c>
      <c r="AC6237">
        <v>-13.051600000000001</v>
      </c>
      <c r="AD6237">
        <v>-1.1103776541369901</v>
      </c>
      <c r="AE6237">
        <v>0.48940000000001699</v>
      </c>
      <c r="AF6237">
        <v>6.6352525871461401</v>
      </c>
      <c r="AG6237">
        <v>-1.1103776541369901</v>
      </c>
      <c r="AH6237">
        <v>11.1408168361141</v>
      </c>
      <c r="AI6237">
        <v>94.894338746726902</v>
      </c>
      <c r="AJ6237">
        <v>59.222799327187303</v>
      </c>
      <c r="AK6237">
        <v>13.0145040322664</v>
      </c>
      <c r="AL6237">
        <v>83.749975510607001</v>
      </c>
      <c r="AM6237">
        <v>73.938503261704398</v>
      </c>
      <c r="AN6237">
        <v>1.0000000024612401</v>
      </c>
    </row>
    <row r="6238" spans="1:40" x14ac:dyDescent="0.25">
      <c r="A6238" t="str">
        <f>"20190303162035856"</f>
        <v>20190303162035856</v>
      </c>
      <c r="B6238" t="str">
        <f>"1551601235848876"</f>
        <v>1551601235848876</v>
      </c>
      <c r="C6238" t="s">
        <v>40</v>
      </c>
      <c r="D6238">
        <v>5.0728400000000002</v>
      </c>
      <c r="E6238">
        <v>0.57356949999999995</v>
      </c>
      <c r="F6238" t="s">
        <v>41</v>
      </c>
      <c r="G6238">
        <v>-221.28270000000001</v>
      </c>
      <c r="H6238" s="1">
        <v>-4.3021589999999996E-6</v>
      </c>
      <c r="I6238">
        <v>142.22450000000001</v>
      </c>
      <c r="J6238">
        <v>-203.58330000000001</v>
      </c>
      <c r="K6238">
        <v>1.11015</v>
      </c>
      <c r="L6238">
        <v>142.68450000000001</v>
      </c>
      <c r="M6238">
        <v>-0.88523750000000001</v>
      </c>
      <c r="N6238">
        <v>-1.331798E-2</v>
      </c>
      <c r="O6238">
        <v>-0.46494869999999999</v>
      </c>
      <c r="P6238">
        <v>-0.97314579999999995</v>
      </c>
      <c r="Q6238">
        <v>0.1037008</v>
      </c>
      <c r="R6238">
        <v>-0.2055082</v>
      </c>
      <c r="S6238">
        <v>-3.0907749999999998</v>
      </c>
      <c r="T6238">
        <v>-0.1914228</v>
      </c>
      <c r="U6238">
        <v>-9.747314E-2</v>
      </c>
      <c r="V6238">
        <v>0.27355800000000002</v>
      </c>
      <c r="W6238">
        <v>0.1092176</v>
      </c>
      <c r="X6238">
        <v>0.95563469999999995</v>
      </c>
      <c r="Y6238">
        <v>0.43536209999999997</v>
      </c>
      <c r="Z6238">
        <v>3.7816500000000003E-2</v>
      </c>
      <c r="AA6238">
        <v>0.89946090000000001</v>
      </c>
      <c r="AB6238">
        <v>25</v>
      </c>
      <c r="AC6238">
        <v>-17.699399999999901</v>
      </c>
      <c r="AD6238">
        <v>-1.1101543021589999</v>
      </c>
      <c r="AE6238">
        <v>-0.46000000000000801</v>
      </c>
      <c r="AF6238">
        <v>7.7921624436760499</v>
      </c>
      <c r="AG6238">
        <v>-1.1101543021589999</v>
      </c>
      <c r="AH6238">
        <v>15.8212559494219</v>
      </c>
      <c r="AI6238">
        <v>93.601904898202093</v>
      </c>
      <c r="AJ6238">
        <v>63.779188677190596</v>
      </c>
      <c r="AK6238">
        <v>17.670947284748301</v>
      </c>
      <c r="AL6238">
        <v>83.7297848370482</v>
      </c>
      <c r="AM6238">
        <v>74.025811157968405</v>
      </c>
      <c r="AN6238">
        <v>1.0000000716789199</v>
      </c>
    </row>
    <row r="6239" spans="1:40" x14ac:dyDescent="0.25">
      <c r="A6239" t="str">
        <f>"20190303162035880"</f>
        <v>20190303162035880</v>
      </c>
      <c r="B6239" t="str">
        <f>"1551601235868395"</f>
        <v>1551601235868395</v>
      </c>
      <c r="C6239" t="s">
        <v>40</v>
      </c>
      <c r="D6239">
        <v>4.9588159999999997</v>
      </c>
      <c r="E6239">
        <v>0.57292159999999903</v>
      </c>
      <c r="F6239" t="s">
        <v>41</v>
      </c>
      <c r="G6239">
        <v>-222.56870000000001</v>
      </c>
      <c r="H6239" s="1">
        <v>-3.8871119999999999E-6</v>
      </c>
      <c r="I6239">
        <v>142.3518</v>
      </c>
      <c r="J6239">
        <v>-203.8261</v>
      </c>
      <c r="K6239">
        <v>1.1099030000000001</v>
      </c>
      <c r="L6239">
        <v>142.57810000000001</v>
      </c>
      <c r="M6239">
        <v>-0.89313189999999998</v>
      </c>
      <c r="N6239">
        <v>-1.339796E-2</v>
      </c>
      <c r="O6239">
        <v>-0.44959569999999999</v>
      </c>
      <c r="P6239">
        <v>-0.97614440000000002</v>
      </c>
      <c r="Q6239">
        <v>0.1030689</v>
      </c>
      <c r="R6239">
        <v>-0.19110070000000001</v>
      </c>
      <c r="S6239">
        <v>-3.0906069999999999</v>
      </c>
      <c r="T6239">
        <v>-0.1807204</v>
      </c>
      <c r="U6239">
        <v>-5.4153439999999997E-2</v>
      </c>
      <c r="V6239">
        <v>0.27126489999999998</v>
      </c>
      <c r="W6239">
        <v>0.1085658</v>
      </c>
      <c r="X6239">
        <v>0.9563623</v>
      </c>
      <c r="Y6239">
        <v>0.43260959999999898</v>
      </c>
      <c r="Z6239">
        <v>3.4840900000000001E-2</v>
      </c>
      <c r="AA6239">
        <v>0.90090789999999998</v>
      </c>
      <c r="AB6239">
        <v>25</v>
      </c>
      <c r="AC6239">
        <v>-18.742599999999999</v>
      </c>
      <c r="AD6239">
        <v>-1.1099068871119999</v>
      </c>
      <c r="AE6239">
        <v>-0.22630000000000899</v>
      </c>
      <c r="AF6239">
        <v>8.1964739181852995</v>
      </c>
      <c r="AG6239">
        <v>-1.1099068871119999</v>
      </c>
      <c r="AH6239">
        <v>16.784015998551801</v>
      </c>
      <c r="AI6239">
        <v>93.400614632443407</v>
      </c>
      <c r="AJ6239">
        <v>63.971430696344697</v>
      </c>
      <c r="AK6239">
        <v>18.711420871467599</v>
      </c>
      <c r="AL6239">
        <v>83.767353260767607</v>
      </c>
      <c r="AM6239">
        <v>74.164414993231802</v>
      </c>
      <c r="AN6239">
        <v>1.00000001388147</v>
      </c>
    </row>
    <row r="6240" spans="1:40" x14ac:dyDescent="0.25">
      <c r="A6240" t="str">
        <f>"20190303162035905"</f>
        <v>20190303162035905</v>
      </c>
      <c r="B6240" t="str">
        <f>"1551601235899628"</f>
        <v>1551601235899628</v>
      </c>
      <c r="C6240" t="s">
        <v>40</v>
      </c>
      <c r="D6240">
        <v>4.9585179999999998</v>
      </c>
      <c r="E6240">
        <v>0.57530340000000002</v>
      </c>
      <c r="F6240" t="s">
        <v>41</v>
      </c>
      <c r="G6240">
        <v>-222.58080000000001</v>
      </c>
      <c r="H6240" s="1">
        <v>-3.9079100000000002E-6</v>
      </c>
      <c r="I6240">
        <v>142.4923</v>
      </c>
      <c r="J6240">
        <v>-204.07740000000001</v>
      </c>
      <c r="K6240">
        <v>1.1096410000000001</v>
      </c>
      <c r="L6240">
        <v>142.4734</v>
      </c>
      <c r="M6240">
        <v>-0.90113620000000005</v>
      </c>
      <c r="N6240">
        <v>-1.3488180000000001E-2</v>
      </c>
      <c r="O6240">
        <v>-0.4333265</v>
      </c>
      <c r="P6240">
        <v>-0.97866339999999996</v>
      </c>
      <c r="Q6240">
        <v>0.1032145</v>
      </c>
      <c r="R6240">
        <v>-0.17766489999999999</v>
      </c>
      <c r="S6240">
        <v>-3.089874</v>
      </c>
      <c r="T6240">
        <v>-0.1828592</v>
      </c>
      <c r="U6240">
        <v>-1.4114379999999999E-2</v>
      </c>
      <c r="V6240">
        <v>0.26713170000000003</v>
      </c>
      <c r="W6240">
        <v>0.108754</v>
      </c>
      <c r="X6240">
        <v>0.95750360000000001</v>
      </c>
      <c r="Y6240">
        <v>0.42792210000000003</v>
      </c>
      <c r="Z6240">
        <v>3.4495320000000003E-2</v>
      </c>
      <c r="AA6240">
        <v>0.90315710000000005</v>
      </c>
      <c r="AB6240">
        <v>25</v>
      </c>
      <c r="AC6240">
        <v>-18.503399999999999</v>
      </c>
      <c r="AD6240">
        <v>-1.1096449079099999</v>
      </c>
      <c r="AE6240">
        <v>1.8900000000002099E-2</v>
      </c>
      <c r="AF6240">
        <v>8.0069790218573509</v>
      </c>
      <c r="AG6240">
        <v>-1.1096449079099999</v>
      </c>
      <c r="AH6240">
        <v>16.6076805549787</v>
      </c>
      <c r="AI6240">
        <v>93.444216295234796</v>
      </c>
      <c r="AJ6240">
        <v>64.260118913076298</v>
      </c>
      <c r="AK6240">
        <v>18.470465026477601</v>
      </c>
      <c r="AL6240">
        <v>83.756505635703107</v>
      </c>
      <c r="AM6240">
        <v>74.411553034719603</v>
      </c>
      <c r="AN6240">
        <v>0.999999960836924</v>
      </c>
    </row>
    <row r="6241" spans="1:40" x14ac:dyDescent="0.25">
      <c r="A6241" t="str">
        <f>"20190303162035924"</f>
        <v>20190303162035924</v>
      </c>
      <c r="B6241" t="str">
        <f>"1551601235919148"</f>
        <v>1551601235919148</v>
      </c>
      <c r="C6241" t="s">
        <v>40</v>
      </c>
      <c r="D6241">
        <v>5.0138490000000004</v>
      </c>
      <c r="E6241">
        <v>0.57424839999999999</v>
      </c>
      <c r="F6241" t="s">
        <v>41</v>
      </c>
      <c r="G6241">
        <v>-237.547</v>
      </c>
      <c r="H6241" s="1">
        <v>-1.9395409999999999E-6</v>
      </c>
      <c r="I6241">
        <v>143.0171</v>
      </c>
      <c r="J6241">
        <v>-204.2946</v>
      </c>
      <c r="K6241">
        <v>1.109434</v>
      </c>
      <c r="L6241">
        <v>142.3877</v>
      </c>
      <c r="M6241">
        <v>-0.90790439999999994</v>
      </c>
      <c r="N6241">
        <v>-1.356923E-2</v>
      </c>
      <c r="O6241">
        <v>-0.41895769999999999</v>
      </c>
      <c r="P6241">
        <v>-0.97980840000000002</v>
      </c>
      <c r="Q6241">
        <v>0.1062616</v>
      </c>
      <c r="R6241">
        <v>-0.16936389999999901</v>
      </c>
      <c r="S6241">
        <v>-3.0852970000000002</v>
      </c>
      <c r="T6241">
        <v>-0.1022893</v>
      </c>
      <c r="U6241">
        <v>5.0125120000000002E-2</v>
      </c>
      <c r="V6241">
        <v>0.26003379999999998</v>
      </c>
      <c r="W6241">
        <v>0.11196059999999999</v>
      </c>
      <c r="X6241">
        <v>0.95908669999999996</v>
      </c>
      <c r="Y6241">
        <v>0.43329010000000001</v>
      </c>
      <c r="Z6241">
        <v>1.7867439999999998E-2</v>
      </c>
      <c r="AA6241">
        <v>0.90107740000000003</v>
      </c>
      <c r="AB6241">
        <v>25</v>
      </c>
      <c r="AC6241">
        <v>-33.252399999999902</v>
      </c>
      <c r="AD6241">
        <v>-1.1094359395410001</v>
      </c>
      <c r="AE6241">
        <v>0.62940000000000396</v>
      </c>
      <c r="AF6241">
        <v>14.487997111768401</v>
      </c>
      <c r="AG6241">
        <v>-1.1094359395410001</v>
      </c>
      <c r="AH6241">
        <v>29.895795631533801</v>
      </c>
      <c r="AI6241">
        <v>91.912694955971801</v>
      </c>
      <c r="AJ6241">
        <v>64.144404090483604</v>
      </c>
      <c r="AK6241">
        <v>33.239908316013597</v>
      </c>
      <c r="AL6241">
        <v>83.571652226293097</v>
      </c>
      <c r="AM6241">
        <v>74.830284906013901</v>
      </c>
      <c r="AN6241">
        <v>1.0000000256058399</v>
      </c>
    </row>
    <row r="6242" spans="1:40" x14ac:dyDescent="0.25">
      <c r="A6242" t="str">
        <f>"20190303162035946"</f>
        <v>20190303162035946</v>
      </c>
      <c r="B6242" t="str">
        <f>"1551601235938668"</f>
        <v>1551601235938668</v>
      </c>
      <c r="C6242" t="s">
        <v>40</v>
      </c>
      <c r="D6242">
        <v>4.925916</v>
      </c>
      <c r="E6242">
        <v>0.57168189999999997</v>
      </c>
      <c r="F6242" t="s">
        <v>41</v>
      </c>
      <c r="G6242">
        <v>-241.91540000000001</v>
      </c>
      <c r="H6242" s="1">
        <v>-4.2681739999999998E-6</v>
      </c>
      <c r="I6242">
        <v>143.2467</v>
      </c>
      <c r="J6242">
        <v>-204.53319999999999</v>
      </c>
      <c r="K6242">
        <v>1.1092360000000001</v>
      </c>
      <c r="L6242">
        <v>142.29849999999999</v>
      </c>
      <c r="M6242">
        <v>-0.91514609999999996</v>
      </c>
      <c r="N6242">
        <v>-1.36567999999999E-2</v>
      </c>
      <c r="O6242">
        <v>-0.402891</v>
      </c>
      <c r="P6242">
        <v>-0.98099369999999997</v>
      </c>
      <c r="Q6242">
        <v>0.111180399999999</v>
      </c>
      <c r="R6242">
        <v>-0.15902959999999999</v>
      </c>
      <c r="S6242">
        <v>-3.0838619999999999</v>
      </c>
      <c r="T6242">
        <v>-9.0943220000000005E-2</v>
      </c>
      <c r="U6242">
        <v>7.0419309999999999E-2</v>
      </c>
      <c r="V6242">
        <v>0.2532085</v>
      </c>
      <c r="W6242">
        <v>0.11704050000000001</v>
      </c>
      <c r="X6242">
        <v>0.96030570000000004</v>
      </c>
      <c r="Y6242">
        <v>0.42340859999999902</v>
      </c>
      <c r="Z6242">
        <v>1.514502E-2</v>
      </c>
      <c r="AA6242">
        <v>0.90581230000000001</v>
      </c>
      <c r="AB6242">
        <v>25</v>
      </c>
      <c r="AC6242">
        <v>-37.382199999999997</v>
      </c>
      <c r="AD6242">
        <v>-1.1092402681739999</v>
      </c>
      <c r="AE6242">
        <v>0.94820000000001403</v>
      </c>
      <c r="AF6242">
        <v>15.916173766147899</v>
      </c>
      <c r="AG6242">
        <v>-1.1092402681739999</v>
      </c>
      <c r="AH6242">
        <v>33.801564889285203</v>
      </c>
      <c r="AI6242">
        <v>91.700584269609294</v>
      </c>
      <c r="AJ6242">
        <v>64.785617924188301</v>
      </c>
      <c r="AK6242">
        <v>37.377811470059498</v>
      </c>
      <c r="AL6242">
        <v>83.278668203336593</v>
      </c>
      <c r="AM6242">
        <v>75.228737533618201</v>
      </c>
      <c r="AN6242">
        <v>1.0000000302824901</v>
      </c>
    </row>
    <row r="6243" spans="1:40" x14ac:dyDescent="0.25">
      <c r="A6243" t="str">
        <f>"20190303162035968"</f>
        <v>20190303162035968</v>
      </c>
      <c r="B6243" t="str">
        <f>"1551601235958188"</f>
        <v>1551601235958188</v>
      </c>
      <c r="C6243" t="s">
        <v>40</v>
      </c>
      <c r="D6243">
        <v>4.9798530000000003</v>
      </c>
      <c r="E6243">
        <v>0.57063189999999997</v>
      </c>
      <c r="F6243" t="s">
        <v>41</v>
      </c>
      <c r="G6243">
        <v>-262.15339999999998</v>
      </c>
      <c r="H6243" s="1">
        <v>-4.2909849999999999E-6</v>
      </c>
      <c r="I6243">
        <v>143.83170000000001</v>
      </c>
      <c r="J6243">
        <v>-204.7758</v>
      </c>
      <c r="K6243">
        <v>1.1090450000000001</v>
      </c>
      <c r="L6243">
        <v>142.2132</v>
      </c>
      <c r="M6243">
        <v>-0.92227959999999998</v>
      </c>
      <c r="N6243">
        <v>-1.3740779999999999E-2</v>
      </c>
      <c r="O6243">
        <v>-0.38627929999999999</v>
      </c>
      <c r="P6243">
        <v>-0.98294820000000005</v>
      </c>
      <c r="Q6243">
        <v>0.1130956</v>
      </c>
      <c r="R6243">
        <v>-0.1449906</v>
      </c>
      <c r="S6243">
        <v>-3.078125</v>
      </c>
      <c r="T6243">
        <v>-5.9256669999999997E-2</v>
      </c>
      <c r="U6243">
        <v>8.1909179999999998E-2</v>
      </c>
      <c r="V6243">
        <v>0.24959629999999999</v>
      </c>
      <c r="W6243">
        <v>0.1190359</v>
      </c>
      <c r="X6243">
        <v>0.96100580000000002</v>
      </c>
      <c r="Y6243">
        <v>0.41058349999999999</v>
      </c>
      <c r="Z6243">
        <v>8.6592879999999994E-3</v>
      </c>
      <c r="AA6243">
        <v>0.91178190000000003</v>
      </c>
      <c r="AB6243">
        <v>25</v>
      </c>
      <c r="AC6243">
        <v>-57.377599999999902</v>
      </c>
      <c r="AD6243">
        <v>-1.109049290985</v>
      </c>
      <c r="AE6243">
        <v>1.61850000000001</v>
      </c>
      <c r="AF6243">
        <v>23.649891534022998</v>
      </c>
      <c r="AG6243">
        <v>-1.109049290985</v>
      </c>
      <c r="AH6243">
        <v>52.278413811084597</v>
      </c>
      <c r="AI6243">
        <v>91.107302839045303</v>
      </c>
      <c r="AJ6243">
        <v>65.6587891479588</v>
      </c>
      <c r="AK6243">
        <v>57.389719554149202</v>
      </c>
      <c r="AL6243">
        <v>83.163535113491605</v>
      </c>
      <c r="AM6243">
        <v>75.440595466199895</v>
      </c>
      <c r="AN6243">
        <v>1.00000000304807</v>
      </c>
    </row>
    <row r="6244" spans="1:40" x14ac:dyDescent="0.25">
      <c r="A6244" t="str">
        <f>"20190303162035990"</f>
        <v>20190303162035990</v>
      </c>
      <c r="B6244" t="str">
        <f>"1551601235978684"</f>
        <v>1551601235978684</v>
      </c>
      <c r="C6244" t="s">
        <v>40</v>
      </c>
      <c r="D6244">
        <v>4.9872690000000004</v>
      </c>
      <c r="E6244">
        <v>0.56933590000000001</v>
      </c>
      <c r="F6244" t="s">
        <v>50</v>
      </c>
      <c r="G6244">
        <v>-281.47340000000003</v>
      </c>
      <c r="H6244" s="1">
        <v>-6.0567819999999899E-6</v>
      </c>
      <c r="I6244">
        <v>145.13509999999999</v>
      </c>
      <c r="J6244">
        <v>-205.011</v>
      </c>
      <c r="K6244">
        <v>1.108894</v>
      </c>
      <c r="L6244">
        <v>142.1353</v>
      </c>
      <c r="M6244">
        <v>-0.92894399999999999</v>
      </c>
      <c r="N6244">
        <v>-1.381368E-2</v>
      </c>
      <c r="O6244">
        <v>-0.36996250000000003</v>
      </c>
      <c r="P6244">
        <v>-0.98463820000000002</v>
      </c>
      <c r="Q6244">
        <v>0.11213910000000001</v>
      </c>
      <c r="R6244">
        <v>-0.1338386</v>
      </c>
      <c r="S6244">
        <v>-3.0744319999999998</v>
      </c>
      <c r="T6244">
        <v>-4.445636E-2</v>
      </c>
      <c r="U6244">
        <v>0.11712649999999999</v>
      </c>
      <c r="V6244">
        <v>0.2435966</v>
      </c>
      <c r="W6244">
        <v>0.1182599</v>
      </c>
      <c r="X6244">
        <v>0.96263969999999999</v>
      </c>
      <c r="Y6244">
        <v>0.40501749999999997</v>
      </c>
      <c r="Z6244">
        <v>5.7904840000000003E-3</v>
      </c>
      <c r="AA6244">
        <v>0.91429059999999995</v>
      </c>
      <c r="AB6244">
        <v>25</v>
      </c>
      <c r="AC6244">
        <v>-76.462400000000002</v>
      </c>
      <c r="AD6244">
        <v>-1.108900056782</v>
      </c>
      <c r="AE6244">
        <v>2.9997999999999898</v>
      </c>
      <c r="AF6244">
        <v>31.071306735809699</v>
      </c>
      <c r="AG6244">
        <v>-1.108900056782</v>
      </c>
      <c r="AH6244">
        <v>69.911463776185897</v>
      </c>
      <c r="AI6244">
        <v>90.830412586773505</v>
      </c>
      <c r="AJ6244">
        <v>66.037822372701598</v>
      </c>
      <c r="AK6244">
        <v>76.513191862159701</v>
      </c>
      <c r="AL6244">
        <v>83.208312568754494</v>
      </c>
      <c r="AM6244">
        <v>75.799367440635194</v>
      </c>
      <c r="AN6244">
        <v>0.99999994974782802</v>
      </c>
    </row>
    <row r="6245" spans="1:40" x14ac:dyDescent="0.25">
      <c r="A6245" t="str">
        <f>"20190303162036006"</f>
        <v>20190303162036006</v>
      </c>
      <c r="B6245" t="str">
        <f>"1551601235999180"</f>
        <v>1551601235999180</v>
      </c>
      <c r="C6245" t="s">
        <v>40</v>
      </c>
      <c r="D6245">
        <v>4.9689230000000002</v>
      </c>
      <c r="E6245">
        <v>0.56809229999999999</v>
      </c>
      <c r="F6245" t="s">
        <v>50</v>
      </c>
      <c r="G6245">
        <v>-288.83600000000001</v>
      </c>
      <c r="H6245" s="1">
        <v>-1.010092E-5</v>
      </c>
      <c r="I6245">
        <v>146.0401</v>
      </c>
      <c r="J6245">
        <v>-205.18350000000001</v>
      </c>
      <c r="K6245">
        <v>1.1088</v>
      </c>
      <c r="L6245">
        <v>142.08080000000001</v>
      </c>
      <c r="M6245">
        <v>-0.93366090000000002</v>
      </c>
      <c r="N6245">
        <v>-1.386156E-2</v>
      </c>
      <c r="O6245">
        <v>-0.35788999999999999</v>
      </c>
      <c r="P6245">
        <v>-0.98599990000000004</v>
      </c>
      <c r="Q6245">
        <v>0.1114328</v>
      </c>
      <c r="R6245">
        <v>-0.1240433</v>
      </c>
      <c r="S6245">
        <v>-3.0708769999999999</v>
      </c>
      <c r="T6245">
        <v>-4.0624019999999997E-2</v>
      </c>
      <c r="U6245">
        <v>0.14305109999999999</v>
      </c>
      <c r="V6245">
        <v>0.2407185</v>
      </c>
      <c r="W6245">
        <v>0.11764479999999999</v>
      </c>
      <c r="X6245">
        <v>0.96343880000000004</v>
      </c>
      <c r="Y6245">
        <v>0.40091739999999998</v>
      </c>
      <c r="Z6245">
        <v>5.0582279999999997E-3</v>
      </c>
      <c r="AA6245">
        <v>0.91610029999999998</v>
      </c>
      <c r="AB6245">
        <v>25</v>
      </c>
      <c r="AC6245">
        <v>-83.652500000000003</v>
      </c>
      <c r="AD6245">
        <v>-1.10881010092</v>
      </c>
      <c r="AE6245">
        <v>3.9592999999999798</v>
      </c>
      <c r="AF6245">
        <v>33.632371668795997</v>
      </c>
      <c r="AG6245">
        <v>-1.10881010092</v>
      </c>
      <c r="AH6245">
        <v>76.679998144354002</v>
      </c>
      <c r="AI6245">
        <v>90.758692379910798</v>
      </c>
      <c r="AJ6245">
        <v>66.317415002053806</v>
      </c>
      <c r="AK6245">
        <v>83.738808203401504</v>
      </c>
      <c r="AL6245">
        <v>83.243803351687006</v>
      </c>
      <c r="AM6245">
        <v>75.971660027964504</v>
      </c>
      <c r="AN6245">
        <v>1.0000000082773599</v>
      </c>
    </row>
    <row r="6246" spans="1:40" x14ac:dyDescent="0.25">
      <c r="A6246" t="str">
        <f>"20190303162036024"</f>
        <v>20190303162036024</v>
      </c>
      <c r="B6246" t="str">
        <f>"1551601236018700"</f>
        <v>1551601236018700</v>
      </c>
      <c r="C6246" t="s">
        <v>40</v>
      </c>
      <c r="D6246">
        <v>5.009582</v>
      </c>
      <c r="E6246">
        <v>0.56688079999999996</v>
      </c>
      <c r="F6246" t="s">
        <v>50</v>
      </c>
      <c r="G6246">
        <v>-288.91820000000001</v>
      </c>
      <c r="H6246" s="1">
        <v>-1.028387E-5</v>
      </c>
      <c r="I6246">
        <v>146.5513</v>
      </c>
      <c r="J6246">
        <v>-205.39250000000001</v>
      </c>
      <c r="K6246">
        <v>1.108711</v>
      </c>
      <c r="L6246">
        <v>142.01840000000001</v>
      </c>
      <c r="M6246">
        <v>-0.93917229999999996</v>
      </c>
      <c r="N6246">
        <v>-1.3915500000000001E-2</v>
      </c>
      <c r="O6246">
        <v>-0.34316469999999999</v>
      </c>
      <c r="P6246">
        <v>-0.98753619999999998</v>
      </c>
      <c r="Q6246">
        <v>0.1092934</v>
      </c>
      <c r="R6246">
        <v>-0.113258</v>
      </c>
      <c r="S6246">
        <v>-3.0678100000000001</v>
      </c>
      <c r="T6246">
        <v>-4.0623779999999998E-2</v>
      </c>
      <c r="U6246">
        <v>0.16378779999999901</v>
      </c>
      <c r="V6246">
        <v>0.23613400000000001</v>
      </c>
      <c r="W6246">
        <v>0.11566800000000001</v>
      </c>
      <c r="X6246">
        <v>0.96481170000000005</v>
      </c>
      <c r="Y6246">
        <v>0.39271669999999997</v>
      </c>
      <c r="Z6246">
        <v>4.9770099999999996E-3</v>
      </c>
      <c r="AA6246">
        <v>0.91964599999999996</v>
      </c>
      <c r="AB6246">
        <v>25</v>
      </c>
      <c r="AC6246">
        <v>-83.525700000000001</v>
      </c>
      <c r="AD6246">
        <v>-1.10872128387</v>
      </c>
      <c r="AE6246">
        <v>4.5328999999999802</v>
      </c>
      <c r="AF6246">
        <v>32.917646376231801</v>
      </c>
      <c r="AG6246">
        <v>-1.10872128387</v>
      </c>
      <c r="AH6246">
        <v>76.883420982063299</v>
      </c>
      <c r="AI6246">
        <v>90.759516383544195</v>
      </c>
      <c r="AJ6246">
        <v>66.821805773803007</v>
      </c>
      <c r="AK6246">
        <v>83.641264503480201</v>
      </c>
      <c r="AL6246">
        <v>83.357844140841706</v>
      </c>
      <c r="AM6246">
        <v>76.247418199186896</v>
      </c>
      <c r="AN6246">
        <v>0.99999998431844495</v>
      </c>
    </row>
    <row r="6247" spans="1:40" x14ac:dyDescent="0.25">
      <c r="A6247" t="str">
        <f>"20190303162036048"</f>
        <v>20190303162036048</v>
      </c>
      <c r="B6247" t="str">
        <f>"1551601236038220"</f>
        <v>1551601236038220</v>
      </c>
      <c r="C6247" t="s">
        <v>40</v>
      </c>
      <c r="D6247">
        <v>5.0048450000000004</v>
      </c>
      <c r="E6247">
        <v>0.56585240000000003</v>
      </c>
      <c r="F6247" t="s">
        <v>41</v>
      </c>
      <c r="G6247">
        <v>-275.8716</v>
      </c>
      <c r="H6247" s="1">
        <v>-3.4690530000000001E-6</v>
      </c>
      <c r="I6247">
        <v>146.3313</v>
      </c>
      <c r="J6247">
        <v>-205.6523</v>
      </c>
      <c r="K6247">
        <v>1.1086229999999999</v>
      </c>
      <c r="L6247">
        <v>141.94640000000001</v>
      </c>
      <c r="M6247">
        <v>-0.94569720000000002</v>
      </c>
      <c r="N6247">
        <v>-1.397631E-2</v>
      </c>
      <c r="O6247">
        <v>-0.32474819999999999</v>
      </c>
      <c r="P6247">
        <v>-0.98954710000000001</v>
      </c>
      <c r="Q6247">
        <v>0.1062007</v>
      </c>
      <c r="R6247">
        <v>-9.7559960000000001E-2</v>
      </c>
      <c r="S6247">
        <v>-3.0647280000000001</v>
      </c>
      <c r="T6247">
        <v>-4.8211570000000002E-2</v>
      </c>
      <c r="U6247">
        <v>0.18754580000000001</v>
      </c>
      <c r="V6247">
        <v>0.23263339999999999</v>
      </c>
      <c r="W6247">
        <v>0.1127215</v>
      </c>
      <c r="X6247">
        <v>0.96601020000000004</v>
      </c>
      <c r="Y6247">
        <v>0.38185590000000003</v>
      </c>
      <c r="Z6247">
        <v>6.130422E-3</v>
      </c>
      <c r="AA6247">
        <v>0.92420150000000001</v>
      </c>
      <c r="AB6247">
        <v>25</v>
      </c>
      <c r="AC6247">
        <v>-70.219300000000004</v>
      </c>
      <c r="AD6247">
        <v>-1.1086264690530001</v>
      </c>
      <c r="AE6247">
        <v>4.3848999999999796</v>
      </c>
      <c r="AF6247">
        <v>26.946321912999601</v>
      </c>
      <c r="AG6247">
        <v>-1.1086264690530001</v>
      </c>
      <c r="AH6247">
        <v>64.972424810557996</v>
      </c>
      <c r="AI6247">
        <v>90.902979991648095</v>
      </c>
      <c r="AJ6247">
        <v>67.474516349942903</v>
      </c>
      <c r="AK6247">
        <v>70.347347519650697</v>
      </c>
      <c r="AL6247">
        <v>83.527778426462802</v>
      </c>
      <c r="AM6247">
        <v>76.459917208450804</v>
      </c>
      <c r="AN6247">
        <v>1.00000007093092</v>
      </c>
    </row>
    <row r="6248" spans="1:40" x14ac:dyDescent="0.25">
      <c r="A6248" t="str">
        <f>"20190303162036070"</f>
        <v>20190303162036070</v>
      </c>
      <c r="B6248" t="str">
        <f>"1551601236058717"</f>
        <v>1551601236058717</v>
      </c>
      <c r="C6248" t="s">
        <v>40</v>
      </c>
      <c r="D6248">
        <v>5.0359749999999996</v>
      </c>
      <c r="E6248">
        <v>0.56483399999999995</v>
      </c>
      <c r="F6248" t="s">
        <v>41</v>
      </c>
      <c r="G6248">
        <v>-264.70929999999998</v>
      </c>
      <c r="H6248" s="1">
        <v>-3.8704820000000004E-6</v>
      </c>
      <c r="I6248">
        <v>146.36449999999999</v>
      </c>
      <c r="J6248">
        <v>-205.8955</v>
      </c>
      <c r="K6248">
        <v>1.1085700000000001</v>
      </c>
      <c r="L6248">
        <v>141.8837</v>
      </c>
      <c r="M6248">
        <v>-0.9514667</v>
      </c>
      <c r="N6248">
        <v>-1.4024979999999999E-2</v>
      </c>
      <c r="O6248">
        <v>-0.30743189999999998</v>
      </c>
      <c r="P6248">
        <v>-0.99099499999999996</v>
      </c>
      <c r="Q6248">
        <v>0.10222349999999999</v>
      </c>
      <c r="R6248">
        <v>-8.6482229999999993E-2</v>
      </c>
      <c r="S6248">
        <v>-3.060425</v>
      </c>
      <c r="T6248">
        <v>-5.7450769999999998E-2</v>
      </c>
      <c r="U6248">
        <v>0.2289581</v>
      </c>
      <c r="V6248">
        <v>0.22581180000000001</v>
      </c>
      <c r="W6248">
        <v>0.10901039999999999</v>
      </c>
      <c r="X6248">
        <v>0.96805260000000004</v>
      </c>
      <c r="Y6248">
        <v>0.3774788</v>
      </c>
      <c r="Z6248">
        <v>7.5498559999999998E-3</v>
      </c>
      <c r="AA6248">
        <v>0.92598740000000002</v>
      </c>
      <c r="AB6248">
        <v>25</v>
      </c>
      <c r="AC6248">
        <v>-58.813799999999901</v>
      </c>
      <c r="AD6248">
        <v>-1.1085738704820001</v>
      </c>
      <c r="AE6248">
        <v>4.4807999999999799</v>
      </c>
      <c r="AF6248">
        <v>22.338877935945</v>
      </c>
      <c r="AG6248">
        <v>-1.1085738704820001</v>
      </c>
      <c r="AH6248">
        <v>54.567926488621403</v>
      </c>
      <c r="AI6248">
        <v>91.077093718160796</v>
      </c>
      <c r="AJ6248">
        <v>67.736914436966899</v>
      </c>
      <c r="AK6248">
        <v>58.973833220598401</v>
      </c>
      <c r="AL6248">
        <v>83.741727608441593</v>
      </c>
      <c r="AM6248">
        <v>76.869746362430405</v>
      </c>
      <c r="AN6248">
        <v>1.00000003634707</v>
      </c>
    </row>
    <row r="6249" spans="1:40" x14ac:dyDescent="0.25">
      <c r="A6249" t="str">
        <f>"20190303162036093"</f>
        <v>20190303162036093</v>
      </c>
      <c r="B6249" t="str">
        <f>"1551601236088973"</f>
        <v>1551601236088973</v>
      </c>
      <c r="C6249" t="s">
        <v>40</v>
      </c>
      <c r="D6249">
        <v>5.0778720000000002</v>
      </c>
      <c r="E6249">
        <v>0.55262519999999904</v>
      </c>
      <c r="F6249" t="s">
        <v>41</v>
      </c>
      <c r="G6249">
        <v>-256.15589999999997</v>
      </c>
      <c r="H6249" s="1">
        <v>-3.33177E-6</v>
      </c>
      <c r="I6249">
        <v>146.1028</v>
      </c>
      <c r="J6249">
        <v>-206.15309999999999</v>
      </c>
      <c r="K6249">
        <v>1.1085400000000001</v>
      </c>
      <c r="L6249">
        <v>141.82239999999999</v>
      </c>
      <c r="M6249">
        <v>-0.95721409999999996</v>
      </c>
      <c r="N6249">
        <v>-1.4066999999999901E-2</v>
      </c>
      <c r="O6249">
        <v>-0.28903899999999999</v>
      </c>
      <c r="P6249">
        <v>-0.99191079999999998</v>
      </c>
      <c r="Q6249">
        <v>0.1004071</v>
      </c>
      <c r="R6249">
        <v>-7.7664869999999997E-2</v>
      </c>
      <c r="S6249">
        <v>-3.0565950000000002</v>
      </c>
      <c r="T6249">
        <v>-6.7418099999999995E-2</v>
      </c>
      <c r="U6249">
        <v>0.25659179999999998</v>
      </c>
      <c r="V6249">
        <v>0.21574499999999999</v>
      </c>
      <c r="W6249">
        <v>0.10757079999999999</v>
      </c>
      <c r="X6249">
        <v>0.97050639999999999</v>
      </c>
      <c r="Y6249">
        <v>0.36798320000000001</v>
      </c>
      <c r="Z6249">
        <v>8.8664309999999993E-3</v>
      </c>
      <c r="AA6249">
        <v>0.92979020000000001</v>
      </c>
      <c r="AB6249">
        <v>25</v>
      </c>
      <c r="AC6249">
        <v>-50.002799999999901</v>
      </c>
      <c r="AD6249">
        <v>-1.10854333176999</v>
      </c>
      <c r="AE6249">
        <v>4.28040000000001</v>
      </c>
      <c r="AF6249">
        <v>18.542804424881101</v>
      </c>
      <c r="AG6249">
        <v>-1.10854333176999</v>
      </c>
      <c r="AH6249">
        <v>46.608049701859898</v>
      </c>
      <c r="AI6249">
        <v>91.266008756598595</v>
      </c>
      <c r="AJ6249">
        <v>68.305084857612599</v>
      </c>
      <c r="AK6249">
        <v>50.173446774851399</v>
      </c>
      <c r="AL6249">
        <v>83.824698489318493</v>
      </c>
      <c r="AM6249">
        <v>77.466865438072404</v>
      </c>
      <c r="AN6249">
        <v>1.0000000272392899</v>
      </c>
    </row>
    <row r="6250" spans="1:40" x14ac:dyDescent="0.25">
      <c r="A6250" t="str">
        <f>"20190303162036116"</f>
        <v>20190303162036116</v>
      </c>
      <c r="B6250" t="str">
        <f>"1551601236108492"</f>
        <v>1551601236108492</v>
      </c>
      <c r="C6250" t="s">
        <v>40</v>
      </c>
      <c r="D6250">
        <v>5.0353279999999998</v>
      </c>
      <c r="E6250">
        <v>0.55148330000000001</v>
      </c>
      <c r="F6250" t="s">
        <v>41</v>
      </c>
      <c r="G6250">
        <v>-249.98990000000001</v>
      </c>
      <c r="H6250" s="1">
        <v>-5.1506189999999998E-6</v>
      </c>
      <c r="I6250">
        <v>144.5274</v>
      </c>
      <c r="J6250">
        <v>-206.3998</v>
      </c>
      <c r="K6250">
        <v>1.1085290000000001</v>
      </c>
      <c r="L6250">
        <v>141.76849999999999</v>
      </c>
      <c r="M6250">
        <v>-0.96236279999999996</v>
      </c>
      <c r="N6250">
        <v>-1.409942E-2</v>
      </c>
      <c r="O6250">
        <v>-0.27140219999999998</v>
      </c>
      <c r="P6250">
        <v>-0.992452</v>
      </c>
      <c r="Q6250">
        <v>0.1004946</v>
      </c>
      <c r="R6250">
        <v>-7.0283929999999994E-2</v>
      </c>
      <c r="S6250">
        <v>-3.0469819999999999</v>
      </c>
      <c r="T6250">
        <v>-7.7052120000000002E-2</v>
      </c>
      <c r="U6250">
        <v>0.18801880000000001</v>
      </c>
      <c r="V6250">
        <v>0.20510790000000001</v>
      </c>
      <c r="W6250">
        <v>0.1080472</v>
      </c>
      <c r="X6250">
        <v>0.97275719999999999</v>
      </c>
      <c r="Y6250">
        <v>0.33001259999999999</v>
      </c>
      <c r="Z6250">
        <v>9.4503820000000002E-3</v>
      </c>
      <c r="AA6250">
        <v>0.94392920000000002</v>
      </c>
      <c r="AB6250">
        <v>25</v>
      </c>
      <c r="AC6250">
        <v>-43.5901</v>
      </c>
      <c r="AD6250">
        <v>-1.1085341506190001</v>
      </c>
      <c r="AE6250">
        <v>2.7589000000000099</v>
      </c>
      <c r="AF6250">
        <v>14.477625278788199</v>
      </c>
      <c r="AG6250">
        <v>-1.1085341506190001</v>
      </c>
      <c r="AH6250">
        <v>41.178287849613099</v>
      </c>
      <c r="AI6250">
        <v>91.454795789403306</v>
      </c>
      <c r="AJ6250">
        <v>70.629143942175702</v>
      </c>
      <c r="AK6250">
        <v>43.663278299982103</v>
      </c>
      <c r="AL6250">
        <v>83.797242645250606</v>
      </c>
      <c r="AM6250">
        <v>78.093469178333507</v>
      </c>
      <c r="AN6250">
        <v>1.0000000091110399</v>
      </c>
    </row>
    <row r="6251" spans="1:40" x14ac:dyDescent="0.25">
      <c r="A6251" t="str">
        <f>"20190303162036137"</f>
        <v>20190303162036137</v>
      </c>
      <c r="B6251" t="str">
        <f>"1551601236128988"</f>
        <v>1551601236128988</v>
      </c>
      <c r="C6251" t="s">
        <v>40</v>
      </c>
      <c r="D6251">
        <v>5.1021789999999996</v>
      </c>
      <c r="E6251">
        <v>0.55100740000000004</v>
      </c>
      <c r="F6251" t="s">
        <v>41</v>
      </c>
      <c r="G6251">
        <v>-249.80410000000001</v>
      </c>
      <c r="H6251" s="1">
        <v>-1.4066189999999999E-6</v>
      </c>
      <c r="I6251">
        <v>144.6534</v>
      </c>
      <c r="J6251">
        <v>-206.64400000000001</v>
      </c>
      <c r="K6251">
        <v>1.1085240000000001</v>
      </c>
      <c r="L6251">
        <v>141.71979999999999</v>
      </c>
      <c r="M6251">
        <v>-0.9671189</v>
      </c>
      <c r="N6251">
        <v>-1.412542E-2</v>
      </c>
      <c r="O6251">
        <v>-0.25393300000000002</v>
      </c>
      <c r="P6251">
        <v>-0.99309780000000003</v>
      </c>
      <c r="Q6251">
        <v>9.9759169999999994E-2</v>
      </c>
      <c r="R6251">
        <v>-6.1687230000000003E-2</v>
      </c>
      <c r="S6251">
        <v>-3.045029</v>
      </c>
      <c r="T6251">
        <v>-7.7768920000000005E-2</v>
      </c>
      <c r="U6251">
        <v>0.20239260000000001</v>
      </c>
      <c r="V6251">
        <v>0.1958944</v>
      </c>
      <c r="W6251">
        <v>0.10764899999999999</v>
      </c>
      <c r="X6251">
        <v>0.97469850000000002</v>
      </c>
      <c r="Y6251">
        <v>0.31737029999999999</v>
      </c>
      <c r="Z6251">
        <v>9.123964E-3</v>
      </c>
      <c r="AA6251">
        <v>0.94825780000000004</v>
      </c>
      <c r="AB6251">
        <v>25</v>
      </c>
      <c r="AC6251">
        <v>-43.1601</v>
      </c>
      <c r="AD6251">
        <v>-1.108525406619</v>
      </c>
      <c r="AE6251">
        <v>2.93360000000001</v>
      </c>
      <c r="AF6251">
        <v>13.7892326180087</v>
      </c>
      <c r="AG6251">
        <v>-1.108525406619</v>
      </c>
      <c r="AH6251">
        <v>40.973187161648397</v>
      </c>
      <c r="AI6251">
        <v>91.468841273323903</v>
      </c>
      <c r="AJ6251">
        <v>71.399708961539901</v>
      </c>
      <c r="AK6251">
        <v>43.245506482802803</v>
      </c>
      <c r="AL6251">
        <v>83.820191897212297</v>
      </c>
      <c r="AM6251">
        <v>78.636115967721196</v>
      </c>
      <c r="AN6251">
        <v>1.0000000445273001</v>
      </c>
    </row>
    <row r="6252" spans="1:40" x14ac:dyDescent="0.25">
      <c r="A6252" t="str">
        <f>"20190303162036161"</f>
        <v>20190303162036161</v>
      </c>
      <c r="B6252" t="str">
        <f>"1551601236148508"</f>
        <v>1551601236148508</v>
      </c>
      <c r="C6252" t="s">
        <v>40</v>
      </c>
      <c r="D6252">
        <v>5.0691319999999997</v>
      </c>
      <c r="E6252">
        <v>0.54974049999999997</v>
      </c>
      <c r="F6252" t="s">
        <v>41</v>
      </c>
      <c r="G6252">
        <v>-248.9709</v>
      </c>
      <c r="H6252" s="1">
        <v>-1.8171919999999999E-6</v>
      </c>
      <c r="I6252">
        <v>144.85299999999901</v>
      </c>
      <c r="J6252">
        <v>-206.9084</v>
      </c>
      <c r="K6252">
        <v>1.1085259999999999</v>
      </c>
      <c r="L6252">
        <v>141.672</v>
      </c>
      <c r="M6252">
        <v>-0.97188799999999997</v>
      </c>
      <c r="N6252">
        <v>-1.41481E-2</v>
      </c>
      <c r="O6252">
        <v>-0.23501839999999999</v>
      </c>
      <c r="P6252">
        <v>-0.99370720000000001</v>
      </c>
      <c r="Q6252">
        <v>9.8563739999999997E-2</v>
      </c>
      <c r="R6252">
        <v>-5.3212339999999997E-2</v>
      </c>
      <c r="S6252">
        <v>-3.0428470000000001</v>
      </c>
      <c r="T6252">
        <v>-7.9691170000000006E-2</v>
      </c>
      <c r="U6252">
        <v>0.22525020000000001</v>
      </c>
      <c r="V6252">
        <v>0.1851621</v>
      </c>
      <c r="W6252">
        <v>0.1068374</v>
      </c>
      <c r="X6252">
        <v>0.97688319999999995</v>
      </c>
      <c r="Y6252">
        <v>0.30598009999999998</v>
      </c>
      <c r="Z6252">
        <v>8.9472830000000003E-3</v>
      </c>
      <c r="AA6252">
        <v>0.95199579999999995</v>
      </c>
      <c r="AB6252">
        <v>25</v>
      </c>
      <c r="AC6252">
        <v>-42.0625</v>
      </c>
      <c r="AD6252">
        <v>-1.1085278171920001</v>
      </c>
      <c r="AE6252">
        <v>3.1809999999999801</v>
      </c>
      <c r="AF6252">
        <v>12.969378865125799</v>
      </c>
      <c r="AG6252">
        <v>-1.1085278171920001</v>
      </c>
      <c r="AH6252">
        <v>40.108761571681299</v>
      </c>
      <c r="AI6252">
        <v>91.506383353897206</v>
      </c>
      <c r="AJ6252">
        <v>72.081113604218302</v>
      </c>
      <c r="AK6252">
        <v>42.168072956712699</v>
      </c>
      <c r="AL6252">
        <v>83.866962674613703</v>
      </c>
      <c r="AM6252">
        <v>79.267265689052394</v>
      </c>
      <c r="AN6252">
        <v>1.0000000098787001</v>
      </c>
    </row>
    <row r="6253" spans="1:40" x14ac:dyDescent="0.25">
      <c r="A6253" t="str">
        <f>"20190303162036180"</f>
        <v>20190303162036180</v>
      </c>
      <c r="B6253" t="str">
        <f>"1551601236169004"</f>
        <v>1551601236169004</v>
      </c>
      <c r="C6253" t="s">
        <v>40</v>
      </c>
      <c r="D6253">
        <v>5.0669230000000001</v>
      </c>
      <c r="E6253">
        <v>0.54923880000000003</v>
      </c>
      <c r="F6253" t="s">
        <v>41</v>
      </c>
      <c r="G6253">
        <v>-248.4409</v>
      </c>
      <c r="H6253" s="1">
        <v>-2.0783469999999999E-6</v>
      </c>
      <c r="I6253">
        <v>144.97999999999999</v>
      </c>
      <c r="J6253">
        <v>-207.13069999999999</v>
      </c>
      <c r="K6253">
        <v>1.108541</v>
      </c>
      <c r="L6253">
        <v>141.636</v>
      </c>
      <c r="M6253">
        <v>-0.9755952</v>
      </c>
      <c r="N6253">
        <v>-1.4163419999999999E-2</v>
      </c>
      <c r="O6253">
        <v>-0.21911949999999999</v>
      </c>
      <c r="P6253">
        <v>-0.99370029999999998</v>
      </c>
      <c r="Q6253">
        <v>9.8850549999999995E-2</v>
      </c>
      <c r="R6253">
        <v>-5.2806039999999999E-2</v>
      </c>
      <c r="S6253">
        <v>-3.0400239999999998</v>
      </c>
      <c r="T6253">
        <v>-8.1140160000000003E-2</v>
      </c>
      <c r="U6253">
        <v>0.24214169999999999</v>
      </c>
      <c r="V6253">
        <v>0.16957439999999999</v>
      </c>
      <c r="W6253">
        <v>0.10765379999999999</v>
      </c>
      <c r="X6253">
        <v>0.97961989999999999</v>
      </c>
      <c r="Y6253">
        <v>0.29574299999999998</v>
      </c>
      <c r="Z6253">
        <v>8.7424110000000003E-3</v>
      </c>
      <c r="AA6253">
        <v>0.95522759999999995</v>
      </c>
      <c r="AB6253">
        <v>25</v>
      </c>
      <c r="AC6253">
        <v>-41.310200000000002</v>
      </c>
      <c r="AD6253">
        <v>-1.1085430783470001</v>
      </c>
      <c r="AE6253">
        <v>3.3439999999999901</v>
      </c>
      <c r="AF6253">
        <v>12.3066920234923</v>
      </c>
      <c r="AG6253">
        <v>-1.1085430783470001</v>
      </c>
      <c r="AH6253">
        <v>39.544976809695001</v>
      </c>
      <c r="AI6253">
        <v>91.533227368088305</v>
      </c>
      <c r="AJ6253">
        <v>72.713468236785303</v>
      </c>
      <c r="AK6253">
        <v>41.430528927313397</v>
      </c>
      <c r="AL6253">
        <v>83.819914889018605</v>
      </c>
      <c r="AM6253">
        <v>80.179290948226793</v>
      </c>
      <c r="AN6253">
        <v>0.99999998313290395</v>
      </c>
    </row>
    <row r="6254" spans="1:40" x14ac:dyDescent="0.25">
      <c r="A6254" t="str">
        <f>"20190303162036203"</f>
        <v>20190303162036203</v>
      </c>
      <c r="B6254" t="str">
        <f>"1551601236198284"</f>
        <v>1551601236198284</v>
      </c>
      <c r="C6254" t="s">
        <v>40</v>
      </c>
      <c r="D6254">
        <v>5.0814389999999996</v>
      </c>
      <c r="E6254">
        <v>0.54422340000000002</v>
      </c>
      <c r="F6254" t="s">
        <v>41</v>
      </c>
      <c r="G6254">
        <v>-249.87469999999999</v>
      </c>
      <c r="H6254" s="1">
        <v>-1.4727150000000001E-6</v>
      </c>
      <c r="I6254">
        <v>145.01570000000001</v>
      </c>
      <c r="J6254">
        <v>-207.3871</v>
      </c>
      <c r="K6254">
        <v>1.1085659999999999</v>
      </c>
      <c r="L6254">
        <v>141.59889999999999</v>
      </c>
      <c r="M6254">
        <v>-0.97953210000000002</v>
      </c>
      <c r="N6254">
        <v>-1.4178100000000001E-2</v>
      </c>
      <c r="O6254">
        <v>-0.20078850000000001</v>
      </c>
      <c r="P6254">
        <v>-0.99347470000000004</v>
      </c>
      <c r="Q6254">
        <v>0.10023079999999999</v>
      </c>
      <c r="R6254">
        <v>-5.4423270000000003E-2</v>
      </c>
      <c r="S6254">
        <v>-3.0396269999999999</v>
      </c>
      <c r="T6254">
        <v>-7.8831079999999998E-2</v>
      </c>
      <c r="U6254">
        <v>0.2403412</v>
      </c>
      <c r="V6254">
        <v>0.14957010000000001</v>
      </c>
      <c r="W6254">
        <v>0.10970100000000001</v>
      </c>
      <c r="X6254">
        <v>0.98264660000000004</v>
      </c>
      <c r="Y6254">
        <v>0.27724510000000002</v>
      </c>
      <c r="Z6254">
        <v>7.8886340000000003E-3</v>
      </c>
      <c r="AA6254">
        <v>0.96076689999999998</v>
      </c>
      <c r="AB6254">
        <v>25</v>
      </c>
      <c r="AC6254">
        <v>-42.487599999999901</v>
      </c>
      <c r="AD6254">
        <v>-1.1085674727149999</v>
      </c>
      <c r="AE6254">
        <v>3.4168000000000198</v>
      </c>
      <c r="AF6254">
        <v>11.871050212392699</v>
      </c>
      <c r="AG6254">
        <v>-1.1085674727149999</v>
      </c>
      <c r="AH6254">
        <v>40.908354777888597</v>
      </c>
      <c r="AI6254">
        <v>91.490796585702697</v>
      </c>
      <c r="AJ6254">
        <v>73.817987451461903</v>
      </c>
      <c r="AK6254">
        <v>42.6103772057971</v>
      </c>
      <c r="AL6254">
        <v>83.701919749665706</v>
      </c>
      <c r="AM6254">
        <v>81.345354126398306</v>
      </c>
      <c r="AN6254">
        <v>0.999999932353282</v>
      </c>
    </row>
    <row r="6255" spans="1:40" x14ac:dyDescent="0.25">
      <c r="A6255" t="str">
        <f>"20190303162036226"</f>
        <v>20190303162036226</v>
      </c>
      <c r="B6255" t="str">
        <f>"1551601236218780"</f>
        <v>1551601236218780</v>
      </c>
      <c r="C6255" t="s">
        <v>40</v>
      </c>
      <c r="D6255">
        <v>5.0863350000000001</v>
      </c>
      <c r="E6255">
        <v>0.54404540000000001</v>
      </c>
      <c r="F6255" t="s">
        <v>41</v>
      </c>
      <c r="G6255">
        <v>-246.64769999999999</v>
      </c>
      <c r="H6255" s="1">
        <v>-2.6212719999999999E-6</v>
      </c>
      <c r="I6255">
        <v>144.1293</v>
      </c>
      <c r="J6255">
        <v>-207.65530000000001</v>
      </c>
      <c r="K6255">
        <v>1.108589</v>
      </c>
      <c r="L6255">
        <v>141.56540000000001</v>
      </c>
      <c r="M6255">
        <v>-0.98326910000000001</v>
      </c>
      <c r="N6255">
        <v>-1.419046E-2</v>
      </c>
      <c r="O6255">
        <v>-0.1816055</v>
      </c>
      <c r="P6255">
        <v>-0.99333099999999996</v>
      </c>
      <c r="Q6255">
        <v>0.1022603</v>
      </c>
      <c r="R6255">
        <v>-5.3257690000000003E-2</v>
      </c>
      <c r="S6255">
        <v>-3.0391080000000001</v>
      </c>
      <c r="T6255">
        <v>-8.5812810000000003E-2</v>
      </c>
      <c r="U6255">
        <v>0.1958771</v>
      </c>
      <c r="V6255">
        <v>0.13149669999999999</v>
      </c>
      <c r="W6255">
        <v>0.11232490000000001</v>
      </c>
      <c r="X6255">
        <v>0.98493240000000004</v>
      </c>
      <c r="Y6255">
        <v>0.24433369999999999</v>
      </c>
      <c r="Z6255">
        <v>7.7075090000000004E-3</v>
      </c>
      <c r="AA6255">
        <v>0.96966059999999998</v>
      </c>
      <c r="AB6255">
        <v>25</v>
      </c>
      <c r="AC6255">
        <v>-38.992399999999897</v>
      </c>
      <c r="AD6255">
        <v>-1.1085916212719999</v>
      </c>
      <c r="AE6255">
        <v>2.5638999999999799</v>
      </c>
      <c r="AF6255">
        <v>9.5954818194703506</v>
      </c>
      <c r="AG6255">
        <v>-1.1085916212719999</v>
      </c>
      <c r="AH6255">
        <v>37.847755323948597</v>
      </c>
      <c r="AI6255">
        <v>91.626335597048097</v>
      </c>
      <c r="AJ6255">
        <v>75.773643164922404</v>
      </c>
      <c r="AK6255">
        <v>39.060911789050898</v>
      </c>
      <c r="AL6255">
        <v>83.550647025729106</v>
      </c>
      <c r="AM6255">
        <v>82.3955042739845</v>
      </c>
      <c r="AN6255">
        <v>1.00000004892032</v>
      </c>
    </row>
    <row r="6256" spans="1:40" x14ac:dyDescent="0.25">
      <c r="A6256" t="str">
        <f>"20190303162036248"</f>
        <v>20190303162036248</v>
      </c>
      <c r="B6256" t="str">
        <f>"1551601236238826"</f>
        <v>1551601236238826</v>
      </c>
      <c r="C6256" t="s">
        <v>40</v>
      </c>
      <c r="D6256">
        <v>5.0529479999999998</v>
      </c>
      <c r="E6256">
        <v>0.54391210000000001</v>
      </c>
      <c r="F6256" t="s">
        <v>41</v>
      </c>
      <c r="G6256">
        <v>-250.46039999999999</v>
      </c>
      <c r="H6256" s="1">
        <v>-4.960602E-6</v>
      </c>
      <c r="I6256">
        <v>144.3588</v>
      </c>
      <c r="J6256">
        <v>-207.90049999999999</v>
      </c>
      <c r="K6256">
        <v>1.1086240000000001</v>
      </c>
      <c r="L6256">
        <v>141.53960000000001</v>
      </c>
      <c r="M6256">
        <v>-0.9863459</v>
      </c>
      <c r="N6256">
        <v>-1.41992E-2</v>
      </c>
      <c r="O6256">
        <v>-0.16407379999999999</v>
      </c>
      <c r="P6256">
        <v>-0.99300310000000003</v>
      </c>
      <c r="Q6256">
        <v>0.10626140000000001</v>
      </c>
      <c r="R6256">
        <v>-5.1512759999999998E-2</v>
      </c>
      <c r="S6256">
        <v>-3.0388639999999998</v>
      </c>
      <c r="T6256">
        <v>-7.8702449999999993E-2</v>
      </c>
      <c r="U6256">
        <v>0.19831850000000001</v>
      </c>
      <c r="V6256">
        <v>0.1157112</v>
      </c>
      <c r="W6256">
        <v>0.116836</v>
      </c>
      <c r="X6256">
        <v>0.98638749999999997</v>
      </c>
      <c r="Y6256">
        <v>0.22785279999999999</v>
      </c>
      <c r="Z6256">
        <v>6.4700529999999999E-3</v>
      </c>
      <c r="AA6256">
        <v>0.97367409999999999</v>
      </c>
      <c r="AB6256">
        <v>25</v>
      </c>
      <c r="AC6256">
        <v>-42.559899999999999</v>
      </c>
      <c r="AD6256">
        <v>-1.1086289606019999</v>
      </c>
      <c r="AE6256">
        <v>2.8191999999999902</v>
      </c>
      <c r="AF6256">
        <v>9.7580627367459307</v>
      </c>
      <c r="AG6256">
        <v>-1.1086289606019999</v>
      </c>
      <c r="AH6256">
        <v>41.492379548907401</v>
      </c>
      <c r="AI6256">
        <v>91.489885608520893</v>
      </c>
      <c r="AJ6256">
        <v>76.765826290595001</v>
      </c>
      <c r="AK6256">
        <v>42.638789935657698</v>
      </c>
      <c r="AL6256">
        <v>83.2904660399157</v>
      </c>
      <c r="AM6256">
        <v>83.309322214972795</v>
      </c>
      <c r="AN6256">
        <v>1.0000000164288401</v>
      </c>
    </row>
    <row r="6257" spans="1:40" x14ac:dyDescent="0.25">
      <c r="A6257" t="str">
        <f>"20190303162036270"</f>
        <v>20190303162036270</v>
      </c>
      <c r="B6257" t="str">
        <f>"1551601236258346"</f>
        <v>1551601236258346</v>
      </c>
      <c r="C6257" t="s">
        <v>40</v>
      </c>
      <c r="D6257">
        <v>5.0740160000000003</v>
      </c>
      <c r="E6257">
        <v>0.54410819999999904</v>
      </c>
      <c r="F6257" t="s">
        <v>41</v>
      </c>
      <c r="G6257">
        <v>-258.99619999999999</v>
      </c>
      <c r="H6257" s="1">
        <v>-1.8309549999999999E-6</v>
      </c>
      <c r="I6257">
        <v>144.94560000000001</v>
      </c>
      <c r="J6257">
        <v>-208.15430000000001</v>
      </c>
      <c r="K6257">
        <v>1.108652</v>
      </c>
      <c r="L6257">
        <v>141.51750000000001</v>
      </c>
      <c r="M6257">
        <v>-0.98919190000000001</v>
      </c>
      <c r="N6257">
        <v>-1.4205509999999999E-2</v>
      </c>
      <c r="O6257">
        <v>-0.14593719999999999</v>
      </c>
      <c r="P6257">
        <v>-0.99244449999999995</v>
      </c>
      <c r="Q6257">
        <v>0.11153440000000001</v>
      </c>
      <c r="R6257">
        <v>-5.1130460000000003E-2</v>
      </c>
      <c r="S6257">
        <v>-3.0387119999999999</v>
      </c>
      <c r="T6257">
        <v>-6.5931199999999995E-2</v>
      </c>
      <c r="U6257">
        <v>0.2025604</v>
      </c>
      <c r="V6257">
        <v>9.8015379999999999E-2</v>
      </c>
      <c r="W6257">
        <v>0.12267260000000001</v>
      </c>
      <c r="X6257">
        <v>0.98759529999999995</v>
      </c>
      <c r="Y6257">
        <v>0.211343</v>
      </c>
      <c r="Z6257">
        <v>4.8770790000000003E-3</v>
      </c>
      <c r="AA6257">
        <v>0.97739980000000004</v>
      </c>
      <c r="AB6257">
        <v>25</v>
      </c>
      <c r="AC6257">
        <v>-50.841899999999903</v>
      </c>
      <c r="AD6257">
        <v>-1.108653830955</v>
      </c>
      <c r="AE6257">
        <v>3.4281000000000001</v>
      </c>
      <c r="AF6257">
        <v>10.8067484857796</v>
      </c>
      <c r="AG6257">
        <v>-1.108653830955</v>
      </c>
      <c r="AH6257">
        <v>49.773570999444601</v>
      </c>
      <c r="AI6257">
        <v>91.246949252644797</v>
      </c>
      <c r="AJ6257">
        <v>77.750168343680201</v>
      </c>
      <c r="AK6257">
        <v>50.945297095890503</v>
      </c>
      <c r="AL6257">
        <v>82.953629057566602</v>
      </c>
      <c r="AM6257">
        <v>84.332154788690701</v>
      </c>
      <c r="AN6257">
        <v>1.00000002904469</v>
      </c>
    </row>
    <row r="6258" spans="1:40" x14ac:dyDescent="0.25">
      <c r="A6258" t="str">
        <f>"20190303162036293"</f>
        <v>20190303162036293</v>
      </c>
      <c r="B6258" t="str">
        <f>"1551601236288601"</f>
        <v>1551601236288601</v>
      </c>
      <c r="C6258" t="s">
        <v>40</v>
      </c>
      <c r="D6258">
        <v>5.0897110000000003</v>
      </c>
      <c r="E6258">
        <v>0.54420609999999903</v>
      </c>
      <c r="F6258" t="s">
        <v>41</v>
      </c>
      <c r="G6258">
        <v>-279.85980000000001</v>
      </c>
      <c r="H6258" s="1">
        <v>-1.840568E-6</v>
      </c>
      <c r="I6258">
        <v>146.374</v>
      </c>
      <c r="J6258">
        <v>-208.41849999999999</v>
      </c>
      <c r="K6258">
        <v>1.1087020000000001</v>
      </c>
      <c r="L6258">
        <v>141.49950000000001</v>
      </c>
      <c r="M6258">
        <v>-0.99178999999999995</v>
      </c>
      <c r="N6258">
        <v>-1.420747E-2</v>
      </c>
      <c r="O6258">
        <v>-0.12708610000000001</v>
      </c>
      <c r="P6258">
        <v>-0.99213949999999995</v>
      </c>
      <c r="Q6258">
        <v>0.1136422</v>
      </c>
      <c r="R6258">
        <v>-5.2392309999999997E-2</v>
      </c>
      <c r="S6258">
        <v>-3.0387420000000001</v>
      </c>
      <c r="T6258">
        <v>-4.6982650000000001E-2</v>
      </c>
      <c r="U6258">
        <v>0.20581050000000001</v>
      </c>
      <c r="V6258">
        <v>7.7948050000000005E-2</v>
      </c>
      <c r="W6258">
        <v>0.12541449999999901</v>
      </c>
      <c r="X6258">
        <v>0.98903759999999996</v>
      </c>
      <c r="Y6258">
        <v>0.1937902</v>
      </c>
      <c r="Z6258">
        <v>3.030086E-3</v>
      </c>
      <c r="AA6258">
        <v>0.98103830000000003</v>
      </c>
      <c r="AB6258">
        <v>25</v>
      </c>
      <c r="AC6258">
        <v>-71.441299999999998</v>
      </c>
      <c r="AD6258">
        <v>-1.1087038405679901</v>
      </c>
      <c r="AE6258">
        <v>4.8744999999999798</v>
      </c>
      <c r="AF6258">
        <v>13.911745082384099</v>
      </c>
      <c r="AG6258">
        <v>-1.1087038405679901</v>
      </c>
      <c r="AH6258">
        <v>70.225535811692794</v>
      </c>
      <c r="AI6258">
        <v>90.887257432661102</v>
      </c>
      <c r="AJ6258">
        <v>78.794728493047202</v>
      </c>
      <c r="AK6258">
        <v>71.598825098479693</v>
      </c>
      <c r="AL6258">
        <v>82.795306996173395</v>
      </c>
      <c r="AM6258">
        <v>85.4937185466638</v>
      </c>
      <c r="AN6258">
        <v>1.0000000347614</v>
      </c>
    </row>
    <row r="6259" spans="1:40" x14ac:dyDescent="0.25">
      <c r="A6259" t="str">
        <f>"20190303162036317"</f>
        <v>20190303162036317</v>
      </c>
      <c r="B6259" t="str">
        <f>"1551601236309098"</f>
        <v>1551601236309098</v>
      </c>
      <c r="C6259" t="s">
        <v>40</v>
      </c>
      <c r="D6259">
        <v>5.1061040000000002</v>
      </c>
      <c r="E6259">
        <v>0.54447639999999997</v>
      </c>
      <c r="F6259" t="s">
        <v>50</v>
      </c>
      <c r="G6259">
        <v>-286.82060000000001</v>
      </c>
      <c r="H6259" s="1">
        <v>-9.2549229999999997E-6</v>
      </c>
      <c r="I6259">
        <v>146.79949999999999</v>
      </c>
      <c r="J6259">
        <v>-208.6909</v>
      </c>
      <c r="K6259">
        <v>1.108762</v>
      </c>
      <c r="L6259">
        <v>141.48599999999999</v>
      </c>
      <c r="M6259">
        <v>-0.99407880000000004</v>
      </c>
      <c r="N6259">
        <v>-1.4200320000000001E-2</v>
      </c>
      <c r="O6259">
        <v>-0.1077301</v>
      </c>
      <c r="P6259">
        <v>-0.99205189999999999</v>
      </c>
      <c r="Q6259">
        <v>0.1137514</v>
      </c>
      <c r="R6259">
        <v>-5.3795830000000003E-2</v>
      </c>
      <c r="S6259">
        <v>-3.0395660000000002</v>
      </c>
      <c r="T6259">
        <v>-4.2983529999999999E-2</v>
      </c>
      <c r="U6259">
        <v>0.20547489999999999</v>
      </c>
      <c r="V6259">
        <v>5.72135E-2</v>
      </c>
      <c r="W6259">
        <v>0.126168</v>
      </c>
      <c r="X6259">
        <v>0.99035759999999995</v>
      </c>
      <c r="Y6259">
        <v>0.17451439999999999</v>
      </c>
      <c r="Z6259">
        <v>2.464969E-3</v>
      </c>
      <c r="AA6259">
        <v>0.98465159999999996</v>
      </c>
      <c r="AB6259">
        <v>25</v>
      </c>
      <c r="AC6259">
        <v>-78.1297</v>
      </c>
      <c r="AD6259">
        <v>-1.108771254923</v>
      </c>
      <c r="AE6259">
        <v>5.3135000000000003</v>
      </c>
      <c r="AF6259">
        <v>13.6975929766052</v>
      </c>
      <c r="AG6259">
        <v>-1.108771254923</v>
      </c>
      <c r="AH6259">
        <v>77.086971939184906</v>
      </c>
      <c r="AI6259">
        <v>90.811342876267204</v>
      </c>
      <c r="AJ6259">
        <v>79.9242708653737</v>
      </c>
      <c r="AK6259">
        <v>78.302328635878794</v>
      </c>
      <c r="AL6259">
        <v>82.751788423566794</v>
      </c>
      <c r="AM6259">
        <v>86.693666450564606</v>
      </c>
      <c r="AN6259">
        <v>0.99999996234200395</v>
      </c>
    </row>
    <row r="6260" spans="1:40" x14ac:dyDescent="0.25">
      <c r="A6260" t="str">
        <f>"20190303162036338"</f>
        <v>20190303162036338</v>
      </c>
      <c r="B6260" t="str">
        <f>"1551601236328620"</f>
        <v>1551601236328620</v>
      </c>
      <c r="C6260" t="s">
        <v>40</v>
      </c>
      <c r="D6260">
        <v>5.1083829999999999</v>
      </c>
      <c r="E6260">
        <v>0.54486099999999904</v>
      </c>
      <c r="F6260" t="s">
        <v>50</v>
      </c>
      <c r="G6260">
        <v>-284.33679999999998</v>
      </c>
      <c r="H6260" s="1">
        <v>-7.797474E-6</v>
      </c>
      <c r="I6260">
        <v>146.59049999999999</v>
      </c>
      <c r="J6260">
        <v>-208.93809999999999</v>
      </c>
      <c r="K6260">
        <v>1.1088469999999999</v>
      </c>
      <c r="L6260">
        <v>141.47819999999999</v>
      </c>
      <c r="M6260">
        <v>-0.995811</v>
      </c>
      <c r="N6260">
        <v>-1.4179300000000001E-2</v>
      </c>
      <c r="O6260">
        <v>-9.0328809999999995E-2</v>
      </c>
      <c r="P6260">
        <v>-0.99194709999999997</v>
      </c>
      <c r="Q6260">
        <v>0.11245330000000001</v>
      </c>
      <c r="R6260">
        <v>-5.8270589999999997E-2</v>
      </c>
      <c r="S6260">
        <v>-3.0402830000000001</v>
      </c>
      <c r="T6260">
        <v>-4.4562579999999997E-2</v>
      </c>
      <c r="U6260">
        <v>0.20515439999999999</v>
      </c>
      <c r="V6260">
        <v>3.5329010000000001E-2</v>
      </c>
      <c r="W6260">
        <v>0.12552849999999999</v>
      </c>
      <c r="X6260">
        <v>0.99146069999999997</v>
      </c>
      <c r="Y6260">
        <v>0.15715019999999999</v>
      </c>
      <c r="Z6260">
        <v>2.3082329999999998E-3</v>
      </c>
      <c r="AA6260">
        <v>0.98757200000000001</v>
      </c>
      <c r="AB6260">
        <v>25</v>
      </c>
      <c r="AC6260">
        <v>-75.398699999999906</v>
      </c>
      <c r="AD6260">
        <v>-1.108854797474</v>
      </c>
      <c r="AE6260">
        <v>5.1123000000000003</v>
      </c>
      <c r="AF6260">
        <v>11.9001946246422</v>
      </c>
      <c r="AG6260">
        <v>-1.108854797474</v>
      </c>
      <c r="AH6260">
        <v>74.612509788035993</v>
      </c>
      <c r="AI6260">
        <v>90.840813661014295</v>
      </c>
      <c r="AJ6260">
        <v>80.938033010317497</v>
      </c>
      <c r="AK6260">
        <v>75.563687098605797</v>
      </c>
      <c r="AL6260">
        <v>82.788722498698206</v>
      </c>
      <c r="AM6260">
        <v>87.959226131805295</v>
      </c>
      <c r="AN6260">
        <v>0.99999993145215704</v>
      </c>
    </row>
    <row r="6261" spans="1:40" x14ac:dyDescent="0.25">
      <c r="A6261" t="str">
        <f>"20190303162036359"</f>
        <v>20190303162036359</v>
      </c>
      <c r="B6261" t="str">
        <f>"1551601236349113"</f>
        <v>1551601236349113</v>
      </c>
      <c r="C6261" t="s">
        <v>40</v>
      </c>
      <c r="D6261">
        <v>5.0835970000000001</v>
      </c>
      <c r="E6261">
        <v>0.54917499999999997</v>
      </c>
      <c r="F6261" t="s">
        <v>41</v>
      </c>
      <c r="G6261">
        <v>-274.25650000000002</v>
      </c>
      <c r="H6261" s="1">
        <v>-3.9041020000000001E-6</v>
      </c>
      <c r="I6261">
        <v>145.68539999999999</v>
      </c>
      <c r="J6261">
        <v>-209.1808</v>
      </c>
      <c r="K6261">
        <v>1.1090230000000001</v>
      </c>
      <c r="L6261">
        <v>141.47450000000001</v>
      </c>
      <c r="M6261">
        <v>-0.99719539999999995</v>
      </c>
      <c r="N6261">
        <v>-1.413858E-2</v>
      </c>
      <c r="O6261">
        <v>-7.3495840000000007E-2</v>
      </c>
      <c r="P6261">
        <v>-0.9919038</v>
      </c>
      <c r="Q6261">
        <v>0.1097347</v>
      </c>
      <c r="R6261">
        <v>-6.3917409999999994E-2</v>
      </c>
      <c r="S6261">
        <v>-3.0417019999999999</v>
      </c>
      <c r="T6261">
        <v>-5.1636219999999997E-2</v>
      </c>
      <c r="U6261">
        <v>0.19592290000000001</v>
      </c>
      <c r="V6261">
        <v>1.2789999999999999E-2</v>
      </c>
      <c r="W6261">
        <v>0.1234543</v>
      </c>
      <c r="X6261">
        <v>0.99226780000000003</v>
      </c>
      <c r="Y6261">
        <v>0.13741989999999901</v>
      </c>
      <c r="Z6261">
        <v>2.3457840000000001E-3</v>
      </c>
      <c r="AA6261">
        <v>0.99051009999999995</v>
      </c>
      <c r="AB6261">
        <v>25</v>
      </c>
      <c r="AC6261">
        <v>-65.075699999999998</v>
      </c>
      <c r="AD6261">
        <v>-1.10902690410199</v>
      </c>
      <c r="AE6261">
        <v>4.2108999999999801</v>
      </c>
      <c r="AF6261">
        <v>8.9801830315861899</v>
      </c>
      <c r="AG6261">
        <v>-1.10902690410199</v>
      </c>
      <c r="AH6261">
        <v>64.571479055684705</v>
      </c>
      <c r="AI6261">
        <v>90.974590672750693</v>
      </c>
      <c r="AJ6261">
        <v>82.082459046529493</v>
      </c>
      <c r="AK6261">
        <v>65.202373694471802</v>
      </c>
      <c r="AL6261">
        <v>82.908497458096306</v>
      </c>
      <c r="AM6261">
        <v>89.261517465362303</v>
      </c>
      <c r="AN6261">
        <v>0.99999996760266396</v>
      </c>
    </row>
    <row r="6262" spans="1:40" x14ac:dyDescent="0.25">
      <c r="A6262" t="str">
        <f>"20190303162036382"</f>
        <v>20190303162036382</v>
      </c>
      <c r="B6262" t="str">
        <f>"1551601236368634"</f>
        <v>1551601236368634</v>
      </c>
      <c r="C6262" t="s">
        <v>40</v>
      </c>
      <c r="D6262">
        <v>5.0799669999999999</v>
      </c>
      <c r="E6262">
        <v>0.54980019999999996</v>
      </c>
      <c r="F6262" t="s">
        <v>41</v>
      </c>
      <c r="G6262">
        <v>-240.54570000000001</v>
      </c>
      <c r="H6262" s="1">
        <v>-4.8151010000000001E-6</v>
      </c>
      <c r="I6262">
        <v>143.7022</v>
      </c>
      <c r="J6262">
        <v>-209.43889999999999</v>
      </c>
      <c r="K6262">
        <v>1.1093189999999999</v>
      </c>
      <c r="L6262">
        <v>141.47460000000001</v>
      </c>
      <c r="M6262">
        <v>-0.99833090000000002</v>
      </c>
      <c r="N6262">
        <v>-1.4068779999999999E-2</v>
      </c>
      <c r="O6262">
        <v>-5.6016009999999998E-2</v>
      </c>
      <c r="P6262">
        <v>-0.99186980000000002</v>
      </c>
      <c r="Q6262">
        <v>0.10989309999999999</v>
      </c>
      <c r="R6262">
        <v>-6.4171430000000002E-2</v>
      </c>
      <c r="S6262">
        <v>-3.0503689999999999</v>
      </c>
      <c r="T6262">
        <v>-0.10785790000000001</v>
      </c>
      <c r="U6262">
        <v>0.2166595</v>
      </c>
      <c r="V6262">
        <v>-4.9556160000000004E-3</v>
      </c>
      <c r="W6262">
        <v>0.1240581</v>
      </c>
      <c r="X6262">
        <v>0.99226259999999999</v>
      </c>
      <c r="Y6262">
        <v>0.12649560000000001</v>
      </c>
      <c r="Z6262">
        <v>4.3151109999999999E-3</v>
      </c>
      <c r="AA6262">
        <v>0.9919578</v>
      </c>
      <c r="AB6262">
        <v>25</v>
      </c>
      <c r="AC6262">
        <v>-31.1068</v>
      </c>
      <c r="AD6262">
        <v>-1.1093238151010001</v>
      </c>
      <c r="AE6262">
        <v>2.22759999999999</v>
      </c>
      <c r="AF6262">
        <v>3.9617400221279002</v>
      </c>
      <c r="AG6262">
        <v>-1.1093238151010001</v>
      </c>
      <c r="AH6262">
        <v>30.894065588900201</v>
      </c>
      <c r="AI6262">
        <v>92.039766854073207</v>
      </c>
      <c r="AJ6262">
        <v>82.692484511961297</v>
      </c>
      <c r="AK6262">
        <v>31.1667975887955</v>
      </c>
      <c r="AL6262">
        <v>82.873634626225893</v>
      </c>
      <c r="AM6262">
        <v>90.286147559145405</v>
      </c>
      <c r="AN6262">
        <v>1.0000000188321501</v>
      </c>
    </row>
    <row r="6263" spans="1:40" x14ac:dyDescent="0.25">
      <c r="A6263" t="str">
        <f>"20190303162036403"</f>
        <v>20190303162036403</v>
      </c>
      <c r="B6263" t="str">
        <f>"1551601236398890"</f>
        <v>1551601236398890</v>
      </c>
      <c r="C6263" t="s">
        <v>40</v>
      </c>
      <c r="D6263">
        <v>5.0882860000000001</v>
      </c>
      <c r="E6263">
        <v>0.56215130000000002</v>
      </c>
      <c r="F6263" t="s">
        <v>41</v>
      </c>
      <c r="G6263">
        <v>-238.31309999999999</v>
      </c>
      <c r="H6263" s="1">
        <v>-1.749596E-6</v>
      </c>
      <c r="I6263">
        <v>143.5385</v>
      </c>
      <c r="J6263">
        <v>-209.6919</v>
      </c>
      <c r="K6263">
        <v>1.109753</v>
      </c>
      <c r="L6263">
        <v>141.4785</v>
      </c>
      <c r="M6263">
        <v>-0.99912319999999999</v>
      </c>
      <c r="N6263">
        <v>-1.397489E-2</v>
      </c>
      <c r="O6263">
        <v>-3.9464829999999999E-2</v>
      </c>
      <c r="P6263">
        <v>-0.99236619999999998</v>
      </c>
      <c r="Q6263">
        <v>0.1084258</v>
      </c>
      <c r="R6263">
        <v>-5.87629E-2</v>
      </c>
      <c r="S6263">
        <v>-3.0516969999999999</v>
      </c>
      <c r="T6263">
        <v>-0.1172435</v>
      </c>
      <c r="U6263">
        <v>0.21813959999999999</v>
      </c>
      <c r="V6263">
        <v>-1.6164120000000001E-2</v>
      </c>
      <c r="W6263">
        <v>0.1227984</v>
      </c>
      <c r="X6263">
        <v>0.99229999999999996</v>
      </c>
      <c r="Y6263">
        <v>0.1104897</v>
      </c>
      <c r="Z6263">
        <v>3.855753E-3</v>
      </c>
      <c r="AA6263">
        <v>0.99386980000000003</v>
      </c>
      <c r="AB6263">
        <v>25</v>
      </c>
      <c r="AC6263">
        <v>-28.621199999999899</v>
      </c>
      <c r="AD6263">
        <v>-1.1097547495960001</v>
      </c>
      <c r="AE6263">
        <v>2.06</v>
      </c>
      <c r="AF6263">
        <v>3.18327489128139</v>
      </c>
      <c r="AG6263">
        <v>-1.1097547495960001</v>
      </c>
      <c r="AH6263">
        <v>28.475004024280199</v>
      </c>
      <c r="AI6263">
        <v>92.218052692899406</v>
      </c>
      <c r="AJ6263">
        <v>83.621280318928697</v>
      </c>
      <c r="AK6263">
        <v>28.6738670015135</v>
      </c>
      <c r="AL6263">
        <v>82.946366188480496</v>
      </c>
      <c r="AM6263">
        <v>90.933239899268202</v>
      </c>
      <c r="AN6263">
        <v>1.0000000079089599</v>
      </c>
    </row>
    <row r="6264" spans="1:40" x14ac:dyDescent="0.25">
      <c r="A6264" t="str">
        <f>"20190303162036427"</f>
        <v>20190303162036427</v>
      </c>
      <c r="B6264" t="str">
        <f>"1551601236418410"</f>
        <v>1551601236418410</v>
      </c>
      <c r="C6264" t="s">
        <v>40</v>
      </c>
      <c r="D6264">
        <v>5.0725189999999998</v>
      </c>
      <c r="E6264">
        <v>0.56357199999999996</v>
      </c>
      <c r="F6264" t="s">
        <v>41</v>
      </c>
      <c r="G6264">
        <v>-243.67609999999999</v>
      </c>
      <c r="H6264" s="1">
        <v>-4.0020330000000002E-6</v>
      </c>
      <c r="I6264">
        <v>145.124</v>
      </c>
      <c r="J6264">
        <v>-209.94970000000001</v>
      </c>
      <c r="K6264">
        <v>1.110352</v>
      </c>
      <c r="L6264">
        <v>141.48599999999999</v>
      </c>
      <c r="M6264">
        <v>-0.99962949999999995</v>
      </c>
      <c r="N6264">
        <v>-1.385174E-2</v>
      </c>
      <c r="O6264">
        <v>-2.3438759999999999E-2</v>
      </c>
      <c r="P6264">
        <v>-0.99273460000000002</v>
      </c>
      <c r="Q6264">
        <v>0.1072623</v>
      </c>
      <c r="R6264">
        <v>-5.4526369999999998E-2</v>
      </c>
      <c r="S6264">
        <v>-3.0533600000000001</v>
      </c>
      <c r="T6264">
        <v>-9.9707840000000006E-2</v>
      </c>
      <c r="U6264">
        <v>0.32754519999999998</v>
      </c>
      <c r="V6264">
        <v>-2.80573E-2</v>
      </c>
      <c r="W6264">
        <v>0.12179420000000001</v>
      </c>
      <c r="X6264">
        <v>0.99215869999999995</v>
      </c>
      <c r="Y6264">
        <v>0.1298378</v>
      </c>
      <c r="Z6264">
        <v>3.455072E-3</v>
      </c>
      <c r="AA6264">
        <v>0.9915292</v>
      </c>
      <c r="AB6264">
        <v>25</v>
      </c>
      <c r="AC6264">
        <v>-33.726399999999899</v>
      </c>
      <c r="AD6264">
        <v>-1.1103560020329999</v>
      </c>
      <c r="AE6264">
        <v>3.6379999999999999</v>
      </c>
      <c r="AF6264">
        <v>4.4228423198651701</v>
      </c>
      <c r="AG6264">
        <v>-1.1103560020329999</v>
      </c>
      <c r="AH6264">
        <v>33.595859016467799</v>
      </c>
      <c r="AI6264">
        <v>91.876776499818405</v>
      </c>
      <c r="AJ6264">
        <v>82.500228706517603</v>
      </c>
      <c r="AK6264">
        <v>33.903925549883198</v>
      </c>
      <c r="AL6264">
        <v>83.004337449752398</v>
      </c>
      <c r="AM6264">
        <v>91.619838191699401</v>
      </c>
      <c r="AN6264">
        <v>0.99999996261130897</v>
      </c>
    </row>
    <row r="6265" spans="1:40" x14ac:dyDescent="0.25">
      <c r="A6265" t="str">
        <f>"20190303162036448"</f>
        <v>20190303162036448</v>
      </c>
      <c r="B6265" t="str">
        <f>"1551601236438906"</f>
        <v>1551601236438906</v>
      </c>
      <c r="C6265" t="s">
        <v>40</v>
      </c>
      <c r="D6265">
        <v>5.1015090000000001</v>
      </c>
      <c r="E6265">
        <v>0.56438619999999995</v>
      </c>
      <c r="F6265" t="s">
        <v>41</v>
      </c>
      <c r="G6265">
        <v>-242.67250000000001</v>
      </c>
      <c r="H6265" s="1">
        <v>-4.3734119999999998E-6</v>
      </c>
      <c r="I6265">
        <v>145.29230000000001</v>
      </c>
      <c r="J6265">
        <v>-210.1962</v>
      </c>
      <c r="K6265">
        <v>1.111049</v>
      </c>
      <c r="L6265">
        <v>141.49619999999999</v>
      </c>
      <c r="M6265">
        <v>-0.99986509999999995</v>
      </c>
      <c r="N6265">
        <v>-1.371088E-2</v>
      </c>
      <c r="O6265">
        <v>-9.0558129999999994E-3</v>
      </c>
      <c r="P6265">
        <v>-0.99217250000000001</v>
      </c>
      <c r="Q6265">
        <v>0.11275639999999899</v>
      </c>
      <c r="R6265">
        <v>-5.3663849999999999E-2</v>
      </c>
      <c r="S6265">
        <v>-3.052673</v>
      </c>
      <c r="T6265">
        <v>-0.1035842</v>
      </c>
      <c r="U6265">
        <v>0.35508729999999999</v>
      </c>
      <c r="V6265">
        <v>-4.1559550000000001E-2</v>
      </c>
      <c r="W6265">
        <v>0.1274149</v>
      </c>
      <c r="X6265">
        <v>0.99097840000000004</v>
      </c>
      <c r="Y6265">
        <v>0.1244309</v>
      </c>
      <c r="Z6265">
        <v>3.1421840000000001E-3</v>
      </c>
      <c r="AA6265">
        <v>0.99222330000000003</v>
      </c>
      <c r="AB6265">
        <v>25</v>
      </c>
      <c r="AC6265">
        <v>-32.476300000000002</v>
      </c>
      <c r="AD6265">
        <v>-1.1110533734119901</v>
      </c>
      <c r="AE6265">
        <v>3.79610000000002</v>
      </c>
      <c r="AF6265">
        <v>4.0853541519482501</v>
      </c>
      <c r="AG6265">
        <v>-1.1110533734119901</v>
      </c>
      <c r="AH6265">
        <v>32.4031743591473</v>
      </c>
      <c r="AI6265">
        <v>91.948399221637899</v>
      </c>
      <c r="AJ6265">
        <v>82.814130585996097</v>
      </c>
      <c r="AK6265">
        <v>32.678590341303199</v>
      </c>
      <c r="AL6265">
        <v>82.679765100721298</v>
      </c>
      <c r="AM6265">
        <v>92.401457271399494</v>
      </c>
      <c r="AN6265">
        <v>0.99999997110238503</v>
      </c>
    </row>
    <row r="6266" spans="1:40" x14ac:dyDescent="0.25">
      <c r="A6266" t="str">
        <f>"20190303162036470"</f>
        <v>20190303162036470</v>
      </c>
      <c r="B6266" t="str">
        <f>"1551601236458426"</f>
        <v>1551601236458426</v>
      </c>
      <c r="C6266" t="s">
        <v>40</v>
      </c>
      <c r="D6266">
        <v>5.1034090000000001</v>
      </c>
      <c r="E6266">
        <v>0.56459759999999903</v>
      </c>
      <c r="F6266" t="s">
        <v>41</v>
      </c>
      <c r="G6266">
        <v>-251.5686</v>
      </c>
      <c r="H6266" s="1">
        <v>-4.9542589999999997E-6</v>
      </c>
      <c r="I6266">
        <v>146.44899999999899</v>
      </c>
      <c r="J6266">
        <v>-210.44749999999999</v>
      </c>
      <c r="K6266">
        <v>1.1117649999999999</v>
      </c>
      <c r="L6266">
        <v>141.50909999999999</v>
      </c>
      <c r="M6266">
        <v>-0.99989700000000004</v>
      </c>
      <c r="N6266">
        <v>-1.356068E-2</v>
      </c>
      <c r="O6266">
        <v>4.7168970000000003E-3</v>
      </c>
      <c r="P6266">
        <v>-0.99167380000000005</v>
      </c>
      <c r="Q6266">
        <v>0.11898930000000001</v>
      </c>
      <c r="R6266">
        <v>-4.9243889999999998E-2</v>
      </c>
      <c r="S6266">
        <v>-3.0527500000000001</v>
      </c>
      <c r="T6266">
        <v>-8.1981659999999998E-2</v>
      </c>
      <c r="U6266">
        <v>0.36546329999999999</v>
      </c>
      <c r="V6266">
        <v>-5.0884579999999999E-2</v>
      </c>
      <c r="W6266">
        <v>0.13361879999999901</v>
      </c>
      <c r="X6266">
        <v>0.98972559999999998</v>
      </c>
      <c r="Y6266">
        <v>0.11412120000000001</v>
      </c>
      <c r="Z6266">
        <v>2.240967E-3</v>
      </c>
      <c r="AA6266">
        <v>0.99346429999999997</v>
      </c>
      <c r="AB6266">
        <v>25</v>
      </c>
      <c r="AC6266">
        <v>-41.121099999999998</v>
      </c>
      <c r="AD6266">
        <v>-1.1117699542589901</v>
      </c>
      <c r="AE6266">
        <v>4.93989999999999</v>
      </c>
      <c r="AF6266">
        <v>4.7424459434930304</v>
      </c>
      <c r="AG6266">
        <v>-1.1117699542589901</v>
      </c>
      <c r="AH6266">
        <v>41.114319746522</v>
      </c>
      <c r="AI6266">
        <v>91.538756526779807</v>
      </c>
      <c r="AJ6266">
        <v>83.420137538690298</v>
      </c>
      <c r="AK6266">
        <v>41.401861240497297</v>
      </c>
      <c r="AL6266">
        <v>82.321240581076097</v>
      </c>
      <c r="AM6266">
        <v>92.943146001573297</v>
      </c>
      <c r="AN6266">
        <v>0.99999999374528803</v>
      </c>
    </row>
    <row r="6267" spans="1:40" x14ac:dyDescent="0.25">
      <c r="A6267" t="str">
        <f>"20190303162036494"</f>
        <v>20190303162036494</v>
      </c>
      <c r="B6267" t="str">
        <f>"1551601236489659"</f>
        <v>1551601236489659</v>
      </c>
      <c r="C6267" t="s">
        <v>40</v>
      </c>
      <c r="D6267">
        <v>5.1168269999999998</v>
      </c>
      <c r="E6267">
        <v>0.56443719999999997</v>
      </c>
      <c r="F6267" t="s">
        <v>41</v>
      </c>
      <c r="G6267">
        <v>-259.31200000000001</v>
      </c>
      <c r="H6267" s="1">
        <v>-2.386449E-6</v>
      </c>
      <c r="I6267">
        <v>147.54239999999999</v>
      </c>
      <c r="J6267">
        <v>-210.7217</v>
      </c>
      <c r="K6267">
        <v>1.112549</v>
      </c>
      <c r="L6267">
        <v>141.5258</v>
      </c>
      <c r="M6267">
        <v>-0.99973840000000003</v>
      </c>
      <c r="N6267">
        <v>-1.3394440000000001E-2</v>
      </c>
      <c r="O6267">
        <v>1.8541149999999999E-2</v>
      </c>
      <c r="P6267">
        <v>-0.99191859999999998</v>
      </c>
      <c r="Q6267">
        <v>0.1204851</v>
      </c>
      <c r="R6267">
        <v>-3.9764580000000001E-2</v>
      </c>
      <c r="S6267">
        <v>-3.0522</v>
      </c>
      <c r="T6267">
        <v>-6.9443939999999996E-2</v>
      </c>
      <c r="U6267">
        <v>0.37686160000000002</v>
      </c>
      <c r="V6267">
        <v>-5.5343820000000002E-2</v>
      </c>
      <c r="W6267">
        <v>0.1349339</v>
      </c>
      <c r="X6267">
        <v>0.98930779999999996</v>
      </c>
      <c r="Y6267">
        <v>0.1040758</v>
      </c>
      <c r="Z6267">
        <v>1.706597E-3</v>
      </c>
      <c r="AA6267">
        <v>0.99456789999999995</v>
      </c>
      <c r="AB6267">
        <v>25</v>
      </c>
      <c r="AC6267">
        <v>-48.590299999999999</v>
      </c>
      <c r="AD6267">
        <v>-1.112551386449</v>
      </c>
      <c r="AE6267">
        <v>6.01659999999998</v>
      </c>
      <c r="AF6267">
        <v>5.1119252307006198</v>
      </c>
      <c r="AG6267">
        <v>-1.112551386449</v>
      </c>
      <c r="AH6267">
        <v>48.668381161799097</v>
      </c>
      <c r="AI6267">
        <v>91.302382158591897</v>
      </c>
      <c r="AJ6267">
        <v>84.003874882969598</v>
      </c>
      <c r="AK6267">
        <v>48.948757645745403</v>
      </c>
      <c r="AL6267">
        <v>82.245202409224007</v>
      </c>
      <c r="AM6267">
        <v>93.201901020769199</v>
      </c>
      <c r="AN6267">
        <v>1.0000000094611201</v>
      </c>
    </row>
    <row r="6268" spans="1:40" x14ac:dyDescent="0.25">
      <c r="A6268" t="str">
        <f>"20190303162036516"</f>
        <v>20190303162036516</v>
      </c>
      <c r="B6268" t="str">
        <f>"1551601236509178"</f>
        <v>1551601236509178</v>
      </c>
      <c r="C6268" t="s">
        <v>40</v>
      </c>
      <c r="D6268">
        <v>5.1277439999999999</v>
      </c>
      <c r="E6268">
        <v>0.56106089999999997</v>
      </c>
      <c r="F6268" t="s">
        <v>41</v>
      </c>
      <c r="G6268">
        <v>-257.4443</v>
      </c>
      <c r="H6268" s="1">
        <v>-3.17679E-6</v>
      </c>
      <c r="I6268">
        <v>147.70089999999999</v>
      </c>
      <c r="J6268">
        <v>-210.98419999999999</v>
      </c>
      <c r="K6268">
        <v>1.113343</v>
      </c>
      <c r="L6268">
        <v>141.54390000000001</v>
      </c>
      <c r="M6268">
        <v>-0.99945130000000004</v>
      </c>
      <c r="N6268">
        <v>-1.322361E-2</v>
      </c>
      <c r="O6268">
        <v>3.0366770000000001E-2</v>
      </c>
      <c r="P6268">
        <v>-0.99194380000000004</v>
      </c>
      <c r="Q6268">
        <v>0.1209398</v>
      </c>
      <c r="R6268">
        <v>-3.7694659999999998E-2</v>
      </c>
      <c r="S6268">
        <v>-3.049423</v>
      </c>
      <c r="T6268">
        <v>-7.261252E-2</v>
      </c>
      <c r="U6268">
        <v>0.40303040000000001</v>
      </c>
      <c r="V6268">
        <v>-6.5262189999999998E-2</v>
      </c>
      <c r="W6268">
        <v>0.13528019999999999</v>
      </c>
      <c r="X6268">
        <v>0.98865570000000003</v>
      </c>
      <c r="Y6268">
        <v>0.1008164</v>
      </c>
      <c r="Z6268">
        <v>1.54523299999999E-3</v>
      </c>
      <c r="AA6268">
        <v>0.99490389999999995</v>
      </c>
      <c r="AB6268">
        <v>25</v>
      </c>
      <c r="AC6268">
        <v>-46.460099999999997</v>
      </c>
      <c r="AD6268">
        <v>-1.1133461767899999</v>
      </c>
      <c r="AE6268">
        <v>6.1569999999999796</v>
      </c>
      <c r="AF6268">
        <v>4.7405181776378598</v>
      </c>
      <c r="AG6268">
        <v>-1.1133461767899999</v>
      </c>
      <c r="AH6268">
        <v>46.599356712067099</v>
      </c>
      <c r="AI6268">
        <v>91.361618647162004</v>
      </c>
      <c r="AJ6268">
        <v>84.191325309552695</v>
      </c>
      <c r="AK6268">
        <v>46.8530905947555</v>
      </c>
      <c r="AL6268">
        <v>82.225177114742706</v>
      </c>
      <c r="AM6268">
        <v>93.776674731094502</v>
      </c>
      <c r="AN6268">
        <v>0.999999989549063</v>
      </c>
    </row>
    <row r="6269" spans="1:40" x14ac:dyDescent="0.25">
      <c r="A6269" t="str">
        <f>"20190303162036550"</f>
        <v>20190303162036550</v>
      </c>
      <c r="B6269" t="str">
        <f>"1551601236538457"</f>
        <v>1551601236538457</v>
      </c>
      <c r="C6269" t="s">
        <v>40</v>
      </c>
      <c r="D6269">
        <v>5.1566689999999999</v>
      </c>
      <c r="E6269">
        <v>0.55987880000000001</v>
      </c>
      <c r="F6269" t="s">
        <v>41</v>
      </c>
      <c r="G6269">
        <v>-241.63509999999999</v>
      </c>
      <c r="H6269" s="1">
        <v>-4.7460989999999999E-6</v>
      </c>
      <c r="I6269">
        <v>145.40309999999999</v>
      </c>
      <c r="J6269">
        <v>-211.34899999999999</v>
      </c>
      <c r="K6269">
        <v>1.114617</v>
      </c>
      <c r="L6269">
        <v>141.57159999999999</v>
      </c>
      <c r="M6269">
        <v>-0.99894150000000004</v>
      </c>
      <c r="N6269">
        <v>-1.296454E-2</v>
      </c>
      <c r="O6269">
        <v>4.413392E-2</v>
      </c>
      <c r="P6269">
        <v>-0.99276450000000005</v>
      </c>
      <c r="Q6269">
        <v>0.11684369999999999</v>
      </c>
      <c r="R6269">
        <v>-2.7678870000000001E-2</v>
      </c>
      <c r="S6269">
        <v>-3.0524900000000001</v>
      </c>
      <c r="T6269">
        <v>-0.1108773</v>
      </c>
      <c r="U6269">
        <v>0.38433840000000002</v>
      </c>
      <c r="V6269">
        <v>-6.9447850000000005E-2</v>
      </c>
      <c r="W6269">
        <v>0.13077069999999999</v>
      </c>
      <c r="X6269">
        <v>0.98897729999999995</v>
      </c>
      <c r="Y6269">
        <v>8.0950149999999998E-2</v>
      </c>
      <c r="Z6269">
        <v>9.6658180000000005E-4</v>
      </c>
      <c r="AA6269">
        <v>0.99671770000000004</v>
      </c>
      <c r="AB6269">
        <v>25</v>
      </c>
      <c r="AC6269">
        <v>-30.286099999999902</v>
      </c>
      <c r="AD6269">
        <v>-1.114621746099</v>
      </c>
      <c r="AE6269">
        <v>3.8315000000000001</v>
      </c>
      <c r="AF6269">
        <v>2.4876929733392901</v>
      </c>
      <c r="AG6269">
        <v>-1.114621746099</v>
      </c>
      <c r="AH6269">
        <v>30.385190896365099</v>
      </c>
      <c r="AI6269">
        <v>92.093842925959507</v>
      </c>
      <c r="AJ6269">
        <v>85.319525427605996</v>
      </c>
      <c r="AK6269">
        <v>30.507225763333999</v>
      </c>
      <c r="AL6269">
        <v>82.485869922633199</v>
      </c>
      <c r="AM6269">
        <v>94.016823815539595</v>
      </c>
      <c r="AN6269">
        <v>1.0000000398816999</v>
      </c>
    </row>
    <row r="6270" spans="1:40" x14ac:dyDescent="0.25">
      <c r="A6270" t="str">
        <f>"20190303162036571"</f>
        <v>20190303162036571</v>
      </c>
      <c r="B6270" t="str">
        <f>"1551601236558954"</f>
        <v>1551601236558954</v>
      </c>
      <c r="C6270" t="s">
        <v>40</v>
      </c>
      <c r="D6270">
        <v>5.1431820000000004</v>
      </c>
      <c r="E6270">
        <v>0.55890669999999898</v>
      </c>
      <c r="F6270" t="s">
        <v>41</v>
      </c>
      <c r="G6270">
        <v>-237.06989999999999</v>
      </c>
      <c r="H6270" s="1">
        <v>-2.6567459999999999E-6</v>
      </c>
      <c r="I6270">
        <v>144.9435</v>
      </c>
      <c r="J6270">
        <v>-211.596</v>
      </c>
      <c r="K6270">
        <v>1.115645</v>
      </c>
      <c r="L6270">
        <v>141.59129999999999</v>
      </c>
      <c r="M6270">
        <v>-0.99858840000000004</v>
      </c>
      <c r="N6270">
        <v>-1.2794440000000001E-2</v>
      </c>
      <c r="O6270">
        <v>5.1550329999999998E-2</v>
      </c>
      <c r="P6270">
        <v>-0.99367879999999997</v>
      </c>
      <c r="Q6270">
        <v>0.1109472</v>
      </c>
      <c r="R6270">
        <v>-1.7120920000000001E-2</v>
      </c>
      <c r="S6270">
        <v>-3.0485380000000002</v>
      </c>
      <c r="T6270">
        <v>-0.1321088</v>
      </c>
      <c r="U6270">
        <v>0.39965820000000002</v>
      </c>
      <c r="V6270">
        <v>-6.6715750000000004E-2</v>
      </c>
      <c r="W6270">
        <v>0.1245</v>
      </c>
      <c r="X6270">
        <v>0.98997409999999997</v>
      </c>
      <c r="Y6270">
        <v>7.8625399999999901E-2</v>
      </c>
      <c r="Z6270">
        <v>6.3757739999999999E-4</v>
      </c>
      <c r="AA6270">
        <v>0.99690400000000001</v>
      </c>
      <c r="AB6270">
        <v>25</v>
      </c>
      <c r="AC6270">
        <v>-25.4739</v>
      </c>
      <c r="AD6270">
        <v>-1.1156476567460001</v>
      </c>
      <c r="AE6270">
        <v>3.3522000000000101</v>
      </c>
      <c r="AF6270">
        <v>2.0306181232451901</v>
      </c>
      <c r="AG6270">
        <v>-1.1156476567460001</v>
      </c>
      <c r="AH6270">
        <v>25.564645493344202</v>
      </c>
      <c r="AI6270">
        <v>92.490981130843196</v>
      </c>
      <c r="AJ6270">
        <v>85.458490287905406</v>
      </c>
      <c r="AK6270">
        <v>25.669421085346201</v>
      </c>
      <c r="AL6270">
        <v>82.848117518090902</v>
      </c>
      <c r="AM6270">
        <v>93.8554138084328</v>
      </c>
      <c r="AN6270">
        <v>0.99999997998443502</v>
      </c>
    </row>
    <row r="6271" spans="1:40" x14ac:dyDescent="0.25">
      <c r="A6271" t="str">
        <f>"20190303162036594"</f>
        <v>20190303162036594</v>
      </c>
      <c r="B6271" t="str">
        <f>"1551601236589211"</f>
        <v>1551601236589211</v>
      </c>
      <c r="C6271" t="s">
        <v>40</v>
      </c>
      <c r="D6271">
        <v>5.1752229999999999</v>
      </c>
      <c r="E6271">
        <v>0.55292209999999997</v>
      </c>
      <c r="F6271" t="s">
        <v>41</v>
      </c>
      <c r="G6271">
        <v>-233.31360000000001</v>
      </c>
      <c r="H6271" s="1">
        <v>-4.0330979999999999E-6</v>
      </c>
      <c r="I6271">
        <v>144.60380000000001</v>
      </c>
      <c r="J6271">
        <v>-211.8586</v>
      </c>
      <c r="K6271">
        <v>1.1167309999999999</v>
      </c>
      <c r="L6271">
        <v>141.61259999999999</v>
      </c>
      <c r="M6271">
        <v>-0.99823759999999995</v>
      </c>
      <c r="N6271">
        <v>-1.26348E-2</v>
      </c>
      <c r="O6271">
        <v>5.7984679999999997E-2</v>
      </c>
      <c r="P6271">
        <v>-0.99397199999999997</v>
      </c>
      <c r="Q6271">
        <v>0.1093113</v>
      </c>
      <c r="R6271">
        <v>-8.3996820000000003E-3</v>
      </c>
      <c r="S6271">
        <v>-3.0438079999999998</v>
      </c>
      <c r="T6271">
        <v>-0.1563629</v>
      </c>
      <c r="U6271">
        <v>0.42222599999999999</v>
      </c>
      <c r="V6271">
        <v>-6.4755709999999994E-2</v>
      </c>
      <c r="W6271">
        <v>0.1225131</v>
      </c>
      <c r="X6271">
        <v>0.99035209999999996</v>
      </c>
      <c r="Y6271">
        <v>7.9644060000000003E-2</v>
      </c>
      <c r="Z6271">
        <v>3.120431E-4</v>
      </c>
      <c r="AA6271">
        <v>0.99682329999999997</v>
      </c>
      <c r="AB6271">
        <v>25</v>
      </c>
      <c r="AC6271">
        <v>-21.454999999999998</v>
      </c>
      <c r="AD6271">
        <v>-1.1167350330979999</v>
      </c>
      <c r="AE6271">
        <v>2.9912000000000201</v>
      </c>
      <c r="AF6271">
        <v>1.7373886934792</v>
      </c>
      <c r="AG6271">
        <v>-1.1167350330979999</v>
      </c>
      <c r="AH6271">
        <v>21.53512238842</v>
      </c>
      <c r="AI6271">
        <v>92.958900249099798</v>
      </c>
      <c r="AJ6271">
        <v>85.387539242166795</v>
      </c>
      <c r="AK6271">
        <v>21.6339342906141</v>
      </c>
      <c r="AL6271">
        <v>82.962837139484293</v>
      </c>
      <c r="AM6271">
        <v>93.741048090389498</v>
      </c>
      <c r="AN6271">
        <v>1.0000000218118099</v>
      </c>
    </row>
    <row r="6272" spans="1:40" x14ac:dyDescent="0.25">
      <c r="A6272" t="str">
        <f>"20190303162036616"</f>
        <v>20190303162036616</v>
      </c>
      <c r="B6272" t="str">
        <f>"1551601236608730"</f>
        <v>1551601236608730</v>
      </c>
      <c r="C6272" t="s">
        <v>40</v>
      </c>
      <c r="D6272">
        <v>5.2207339999999904</v>
      </c>
      <c r="E6272">
        <v>0.55217740000000004</v>
      </c>
      <c r="F6272" t="s">
        <v>41</v>
      </c>
      <c r="G6272">
        <v>-232.35409999999999</v>
      </c>
      <c r="H6272" s="1">
        <v>-4.3092299999999997E-6</v>
      </c>
      <c r="I6272">
        <v>144.31979999999999</v>
      </c>
      <c r="J6272">
        <v>-212.10499999999999</v>
      </c>
      <c r="K6272">
        <v>1.1177269999999999</v>
      </c>
      <c r="L6272">
        <v>141.6327</v>
      </c>
      <c r="M6272">
        <v>-0.99796019999999996</v>
      </c>
      <c r="N6272">
        <v>-1.24977E-2</v>
      </c>
      <c r="O6272">
        <v>6.2603370000000005E-2</v>
      </c>
      <c r="P6272">
        <v>-0.9938207</v>
      </c>
      <c r="Q6272">
        <v>0.1109518</v>
      </c>
      <c r="R6272">
        <v>-3.2027890000000002E-3</v>
      </c>
      <c r="S6272">
        <v>-3.0398100000000001</v>
      </c>
      <c r="T6272">
        <v>-0.16562959999999999</v>
      </c>
      <c r="U6272">
        <v>0.40151979999999998</v>
      </c>
      <c r="V6272">
        <v>-6.4419959999999998E-2</v>
      </c>
      <c r="W6272">
        <v>0.12386079999999999</v>
      </c>
      <c r="X6272">
        <v>0.99020640000000004</v>
      </c>
      <c r="Y6272">
        <v>6.8554610000000002E-2</v>
      </c>
      <c r="Z6272">
        <v>-3.2000879999999999E-4</v>
      </c>
      <c r="AA6272">
        <v>0.99764730000000001</v>
      </c>
      <c r="AB6272">
        <v>25</v>
      </c>
      <c r="AC6272">
        <v>-20.249099999999999</v>
      </c>
      <c r="AD6272">
        <v>-1.1177313092299901</v>
      </c>
      <c r="AE6272">
        <v>2.6870999999999801</v>
      </c>
      <c r="AF6272">
        <v>1.4098460640577399</v>
      </c>
      <c r="AG6272">
        <v>-1.1177313092299901</v>
      </c>
      <c r="AH6272">
        <v>20.316776868029201</v>
      </c>
      <c r="AI6272">
        <v>93.141424348799006</v>
      </c>
      <c r="AJ6272">
        <v>86.030426339395007</v>
      </c>
      <c r="AK6272">
        <v>20.396284257414599</v>
      </c>
      <c r="AL6272">
        <v>82.885027327973205</v>
      </c>
      <c r="AM6272">
        <v>93.722251971033202</v>
      </c>
      <c r="AN6272">
        <v>1.0000000718119899</v>
      </c>
    </row>
    <row r="6273" spans="1:40" x14ac:dyDescent="0.25">
      <c r="A6273" t="str">
        <f>"20190303162036639"</f>
        <v>20190303162036639</v>
      </c>
      <c r="B6273" t="str">
        <f>"1551601236628250"</f>
        <v>1551601236628250</v>
      </c>
      <c r="C6273" t="s">
        <v>40</v>
      </c>
      <c r="D6273">
        <v>5.2364920000000001</v>
      </c>
      <c r="E6273">
        <v>0.54024850000000002</v>
      </c>
      <c r="F6273" t="s">
        <v>41</v>
      </c>
      <c r="G6273">
        <v>-233.8614</v>
      </c>
      <c r="H6273" s="1">
        <v>-3.8409930000000002E-6</v>
      </c>
      <c r="I6273">
        <v>144.57169999999999</v>
      </c>
      <c r="J6273">
        <v>-212.36859999999999</v>
      </c>
      <c r="K6273">
        <v>1.1188009999999999</v>
      </c>
      <c r="L6273">
        <v>141.65379999999999</v>
      </c>
      <c r="M6273">
        <v>-0.99774960000000001</v>
      </c>
      <c r="N6273">
        <v>-1.236139E-2</v>
      </c>
      <c r="O6273">
        <v>6.5902279999999994E-2</v>
      </c>
      <c r="P6273">
        <v>-0.9936199</v>
      </c>
      <c r="Q6273">
        <v>0.1127803</v>
      </c>
      <c r="R6273">
        <v>2.7903519999999997E-4</v>
      </c>
      <c r="S6273">
        <v>-3.0373990000000002</v>
      </c>
      <c r="T6273">
        <v>-0.1560465</v>
      </c>
      <c r="U6273">
        <v>0.41032410000000002</v>
      </c>
      <c r="V6273">
        <v>-6.4506140000000003E-2</v>
      </c>
      <c r="W6273">
        <v>0.12539130000000001</v>
      </c>
      <c r="X6273">
        <v>0.99000809999999995</v>
      </c>
      <c r="Y6273">
        <v>6.8208669999999999E-2</v>
      </c>
      <c r="Z6273">
        <v>-3.8384159999999999E-4</v>
      </c>
      <c r="AA6273">
        <v>0.99767099999999997</v>
      </c>
      <c r="AB6273">
        <v>25</v>
      </c>
      <c r="AC6273">
        <v>-21.492799999999999</v>
      </c>
      <c r="AD6273">
        <v>-1.118804840993</v>
      </c>
      <c r="AE6273">
        <v>2.9178999999999999</v>
      </c>
      <c r="AF6273">
        <v>1.49105592041693</v>
      </c>
      <c r="AG6273">
        <v>-1.118804840993</v>
      </c>
      <c r="AH6273">
        <v>21.580960402518599</v>
      </c>
      <c r="AI6273">
        <v>92.960638055691305</v>
      </c>
      <c r="AJ6273">
        <v>86.047642947512202</v>
      </c>
      <c r="AK6273">
        <v>21.661320918289199</v>
      </c>
      <c r="AL6273">
        <v>82.796646794324602</v>
      </c>
      <c r="AM6273">
        <v>93.727961975323097</v>
      </c>
      <c r="AN6273">
        <v>1.0000000291394899</v>
      </c>
    </row>
    <row r="6274" spans="1:40" x14ac:dyDescent="0.25">
      <c r="A6274" t="str">
        <f>"20190303162036661"</f>
        <v>20190303162036661</v>
      </c>
      <c r="B6274" t="str">
        <f>"1551601236648746"</f>
        <v>1551601236648746</v>
      </c>
      <c r="C6274" t="s">
        <v>40</v>
      </c>
      <c r="D6274">
        <v>5.2310239999999997</v>
      </c>
      <c r="E6274">
        <v>0.53925290000000003</v>
      </c>
      <c r="F6274" t="s">
        <v>41</v>
      </c>
      <c r="G6274">
        <v>-234.69479999999999</v>
      </c>
      <c r="H6274" s="1">
        <v>-3.4376229999999999E-6</v>
      </c>
      <c r="I6274">
        <v>144.0488</v>
      </c>
      <c r="J6274">
        <v>-212.61369999999999</v>
      </c>
      <c r="K6274">
        <v>1.1198140000000001</v>
      </c>
      <c r="L6274">
        <v>141.6728</v>
      </c>
      <c r="M6274">
        <v>-0.99764719999999996</v>
      </c>
      <c r="N6274">
        <v>-1.2252849999999999E-2</v>
      </c>
      <c r="O6274">
        <v>6.7455210000000002E-2</v>
      </c>
      <c r="P6274">
        <v>-0.99355660000000001</v>
      </c>
      <c r="Q6274">
        <v>0.1133308</v>
      </c>
      <c r="R6274">
        <v>1.33251299999999E-3</v>
      </c>
      <c r="S6274">
        <v>-3.036438</v>
      </c>
      <c r="T6274">
        <v>-0.15216089999999999</v>
      </c>
      <c r="U6274">
        <v>0.3257446</v>
      </c>
      <c r="V6274">
        <v>-6.5286380000000005E-2</v>
      </c>
      <c r="W6274">
        <v>0.12568319999999999</v>
      </c>
      <c r="X6274">
        <v>0.98991989999999996</v>
      </c>
      <c r="Y6274">
        <v>3.9334889999999997E-2</v>
      </c>
      <c r="Z6274">
        <v>-1.3145520000000001E-3</v>
      </c>
      <c r="AA6274">
        <v>0.99922520000000004</v>
      </c>
      <c r="AB6274">
        <v>25</v>
      </c>
      <c r="AC6274">
        <v>-22.0810999999999</v>
      </c>
      <c r="AD6274">
        <v>-1.1198174376229999</v>
      </c>
      <c r="AE6274">
        <v>2.3759999999999999</v>
      </c>
      <c r="AF6274">
        <v>0.87875632493616596</v>
      </c>
      <c r="AG6274">
        <v>-1.1198174376229999</v>
      </c>
      <c r="AH6274">
        <v>22.134807220194901</v>
      </c>
      <c r="AI6274">
        <v>92.893893962102695</v>
      </c>
      <c r="AJ6274">
        <v>87.726539864480102</v>
      </c>
      <c r="AK6274">
        <v>22.1805296250431</v>
      </c>
      <c r="AL6274">
        <v>82.779788531306707</v>
      </c>
      <c r="AM6274">
        <v>93.773259610115701</v>
      </c>
      <c r="AN6274">
        <v>0.99999999329587697</v>
      </c>
    </row>
    <row r="6275" spans="1:40" x14ac:dyDescent="0.25">
      <c r="A6275" t="str">
        <f>"20190303162036683"</f>
        <v>20190303162036683</v>
      </c>
      <c r="B6275" t="str">
        <f>"1551601236679003"</f>
        <v>1551601236679003</v>
      </c>
      <c r="C6275" t="s">
        <v>40</v>
      </c>
      <c r="D6275">
        <v>5.2658699999999996</v>
      </c>
      <c r="E6275">
        <v>0.53232080000000004</v>
      </c>
      <c r="F6275" t="s">
        <v>41</v>
      </c>
      <c r="G6275">
        <v>-234.87129999999999</v>
      </c>
      <c r="H6275" s="1">
        <v>-3.359832E-6</v>
      </c>
      <c r="I6275">
        <v>144.0411</v>
      </c>
      <c r="J6275">
        <v>-212.86490000000001</v>
      </c>
      <c r="K6275">
        <v>1.1208199999999999</v>
      </c>
      <c r="L6275">
        <v>141.69110000000001</v>
      </c>
      <c r="M6275">
        <v>-0.99763049999999998</v>
      </c>
      <c r="N6275">
        <v>-1.216597E-2</v>
      </c>
      <c r="O6275">
        <v>6.7715310000000001E-2</v>
      </c>
      <c r="P6275">
        <v>-0.99348890000000001</v>
      </c>
      <c r="Q6275">
        <v>0.1139182</v>
      </c>
      <c r="R6275">
        <v>1.580442E-3</v>
      </c>
      <c r="S6275">
        <v>-3.0364689999999999</v>
      </c>
      <c r="T6275">
        <v>-0.15276999999999999</v>
      </c>
      <c r="U6275">
        <v>0.32310489999999997</v>
      </c>
      <c r="V6275">
        <v>-6.5591739999999996E-2</v>
      </c>
      <c r="W6275">
        <v>0.126028</v>
      </c>
      <c r="X6275">
        <v>0.98985590000000001</v>
      </c>
      <c r="Y6275">
        <v>3.8216760000000002E-2</v>
      </c>
      <c r="Z6275">
        <v>-1.376419E-3</v>
      </c>
      <c r="AA6275">
        <v>0.9992685</v>
      </c>
      <c r="AB6275">
        <v>25</v>
      </c>
      <c r="AC6275">
        <v>-22.0063999999999</v>
      </c>
      <c r="AD6275">
        <v>-1.1208233598319901</v>
      </c>
      <c r="AE6275">
        <v>2.3499999999999899</v>
      </c>
      <c r="AF6275">
        <v>0.85213915050214695</v>
      </c>
      <c r="AG6275">
        <v>-1.1208233598319901</v>
      </c>
      <c r="AH6275">
        <v>22.0584483336111</v>
      </c>
      <c r="AI6275">
        <v>92.9066199235954</v>
      </c>
      <c r="AJ6275">
        <v>87.787708801795702</v>
      </c>
      <c r="AK6275">
        <v>22.103337508673999</v>
      </c>
      <c r="AL6275">
        <v>82.759874781578404</v>
      </c>
      <c r="AM6275">
        <v>93.791101093275898</v>
      </c>
      <c r="AN6275">
        <v>1.0000000179525099</v>
      </c>
    </row>
    <row r="6276" spans="1:40" x14ac:dyDescent="0.25">
      <c r="A6276" t="str">
        <f>"20190303162036707"</f>
        <v>20190303162036707</v>
      </c>
      <c r="B6276" t="str">
        <f>"1551601236698522"</f>
        <v>1551601236698522</v>
      </c>
      <c r="C6276" t="s">
        <v>40</v>
      </c>
      <c r="D6276">
        <v>5.2831070000000002</v>
      </c>
      <c r="E6276">
        <v>0.53158190000000005</v>
      </c>
      <c r="F6276" t="s">
        <v>41</v>
      </c>
      <c r="G6276">
        <v>-232.316</v>
      </c>
      <c r="H6276" s="1">
        <v>-4.159639E-6</v>
      </c>
      <c r="I6276">
        <v>143.4034</v>
      </c>
      <c r="J6276">
        <v>-213.12700000000001</v>
      </c>
      <c r="K6276">
        <v>1.121777</v>
      </c>
      <c r="L6276">
        <v>141.7089</v>
      </c>
      <c r="M6276">
        <v>-0.9976988</v>
      </c>
      <c r="N6276">
        <v>-1.2094870000000001E-2</v>
      </c>
      <c r="O6276">
        <v>6.6714830000000003E-2</v>
      </c>
      <c r="P6276">
        <v>-0.9933959</v>
      </c>
      <c r="Q6276">
        <v>0.1147089</v>
      </c>
      <c r="R6276">
        <v>2.532444E-3</v>
      </c>
      <c r="S6276">
        <v>-3.039307</v>
      </c>
      <c r="T6276">
        <v>-0.1751326</v>
      </c>
      <c r="U6276">
        <v>0.267547599999999</v>
      </c>
      <c r="V6276">
        <v>-6.3928319999999997E-2</v>
      </c>
      <c r="W6276">
        <v>0.1266023</v>
      </c>
      <c r="X6276">
        <v>0.98989139999999998</v>
      </c>
      <c r="Y6276">
        <v>2.105831E-2</v>
      </c>
      <c r="Z6276">
        <v>-2.2900860000000002E-3</v>
      </c>
      <c r="AA6276">
        <v>0.99977559999999999</v>
      </c>
      <c r="AB6276">
        <v>25</v>
      </c>
      <c r="AC6276">
        <v>-19.188999999999901</v>
      </c>
      <c r="AD6276">
        <v>-1.1217811596389999</v>
      </c>
      <c r="AE6276">
        <v>1.6944999999999999</v>
      </c>
      <c r="AF6276">
        <v>0.409052624831311</v>
      </c>
      <c r="AG6276">
        <v>-1.1217811596389999</v>
      </c>
      <c r="AH6276">
        <v>19.194209688285898</v>
      </c>
      <c r="AI6276">
        <v>93.3440166051044</v>
      </c>
      <c r="AJ6276">
        <v>88.779140051745102</v>
      </c>
      <c r="AK6276">
        <v>19.2313130747199</v>
      </c>
      <c r="AL6276">
        <v>82.7267038327346</v>
      </c>
      <c r="AM6276">
        <v>93.6950956683351</v>
      </c>
      <c r="AN6276">
        <v>0.99999997812863595</v>
      </c>
    </row>
    <row r="6277" spans="1:40" x14ac:dyDescent="0.25">
      <c r="A6277" t="str">
        <f>"20190303162036730"</f>
        <v>20190303162036730</v>
      </c>
      <c r="B6277" t="str">
        <f>"1551601236719018"</f>
        <v>1551601236719018</v>
      </c>
      <c r="C6277" t="s">
        <v>40</v>
      </c>
      <c r="D6277">
        <v>5.3033960000000002</v>
      </c>
      <c r="E6277">
        <v>0.53019019999999994</v>
      </c>
      <c r="F6277" t="s">
        <v>41</v>
      </c>
      <c r="G6277">
        <v>-233.90610000000001</v>
      </c>
      <c r="H6277" s="1">
        <v>-3.629731E-6</v>
      </c>
      <c r="I6277">
        <v>143.4992</v>
      </c>
      <c r="J6277">
        <v>-213.39080000000001</v>
      </c>
      <c r="K6277">
        <v>1.1225540000000001</v>
      </c>
      <c r="L6277">
        <v>141.72499999999999</v>
      </c>
      <c r="M6277">
        <v>-0.99783379999999999</v>
      </c>
      <c r="N6277">
        <v>-1.2028830000000001E-2</v>
      </c>
      <c r="O6277">
        <v>6.4675060000000006E-2</v>
      </c>
      <c r="P6277">
        <v>-0.99333939999999998</v>
      </c>
      <c r="Q6277">
        <v>0.11516989999999901</v>
      </c>
      <c r="R6277">
        <v>3.5721860000000002E-3</v>
      </c>
      <c r="S6277">
        <v>-3.0382229999999999</v>
      </c>
      <c r="T6277">
        <v>-0.16402149999999999</v>
      </c>
      <c r="U6277">
        <v>0.26177979999999901</v>
      </c>
      <c r="V6277">
        <v>-6.1094629999999997E-2</v>
      </c>
      <c r="W6277">
        <v>0.12689130000000001</v>
      </c>
      <c r="X6277">
        <v>0.9900333</v>
      </c>
      <c r="Y6277">
        <v>2.124204E-2</v>
      </c>
      <c r="Z6277">
        <v>-2.0012350000000001E-3</v>
      </c>
      <c r="AA6277">
        <v>0.99977240000000001</v>
      </c>
      <c r="AB6277">
        <v>25</v>
      </c>
      <c r="AC6277">
        <v>-20.5153</v>
      </c>
      <c r="AD6277">
        <v>-1.122557629731</v>
      </c>
      <c r="AE6277">
        <v>1.7742</v>
      </c>
      <c r="AF6277">
        <v>0.44224630878727</v>
      </c>
      <c r="AG6277">
        <v>-1.122557629731</v>
      </c>
      <c r="AH6277">
        <v>20.526096976342401</v>
      </c>
      <c r="AI6277">
        <v>93.129622129151002</v>
      </c>
      <c r="AJ6277">
        <v>88.765721156818202</v>
      </c>
      <c r="AK6277">
        <v>20.5615265608348</v>
      </c>
      <c r="AL6277">
        <v>82.710010484446599</v>
      </c>
      <c r="AM6277">
        <v>93.531225890110903</v>
      </c>
      <c r="AN6277">
        <v>0.99999994546970705</v>
      </c>
    </row>
    <row r="6278" spans="1:40" x14ac:dyDescent="0.25">
      <c r="A6278" t="str">
        <f>"20190303162036750"</f>
        <v>20190303162036750</v>
      </c>
      <c r="B6278" t="str">
        <f>"1551601236738538"</f>
        <v>1551601236738538</v>
      </c>
      <c r="C6278" t="s">
        <v>40</v>
      </c>
      <c r="D6278">
        <v>5.3280240000000001</v>
      </c>
      <c r="E6278">
        <v>0.52949780000000002</v>
      </c>
      <c r="F6278" t="s">
        <v>41</v>
      </c>
      <c r="G6278">
        <v>-234.3039</v>
      </c>
      <c r="H6278" s="1">
        <v>-3.456775E-6</v>
      </c>
      <c r="I6278">
        <v>143.4905</v>
      </c>
      <c r="J6278">
        <v>-213.61019999999999</v>
      </c>
      <c r="K6278">
        <v>1.123014</v>
      </c>
      <c r="L6278">
        <v>141.73740000000001</v>
      </c>
      <c r="M6278">
        <v>-0.99797760000000002</v>
      </c>
      <c r="N6278">
        <v>-1.197197E-2</v>
      </c>
      <c r="O6278">
        <v>6.2430989999999999E-2</v>
      </c>
      <c r="P6278">
        <v>-0.99329190000000001</v>
      </c>
      <c r="Q6278">
        <v>0.11563610000000001</v>
      </c>
      <c r="R6278" s="1">
        <v>-6.5370000000000006E-5</v>
      </c>
      <c r="S6278">
        <v>-3.0380859999999998</v>
      </c>
      <c r="T6278">
        <v>-0.1630762</v>
      </c>
      <c r="U6278">
        <v>0.25648500000000002</v>
      </c>
      <c r="V6278">
        <v>-6.2637460000000006E-2</v>
      </c>
      <c r="W6278">
        <v>0.1272238</v>
      </c>
      <c r="X6278">
        <v>0.9898943</v>
      </c>
      <c r="Y6278">
        <v>2.1761320000000001E-2</v>
      </c>
      <c r="Z6278">
        <v>-1.879188E-3</v>
      </c>
      <c r="AA6278">
        <v>0.99976140000000002</v>
      </c>
      <c r="AB6278">
        <v>25</v>
      </c>
      <c r="AC6278">
        <v>-20.6937</v>
      </c>
      <c r="AD6278">
        <v>-1.123017456775</v>
      </c>
      <c r="AE6278">
        <v>1.7530999999999799</v>
      </c>
      <c r="AF6278">
        <v>0.45632475986319199</v>
      </c>
      <c r="AG6278">
        <v>-1.123017456775</v>
      </c>
      <c r="AH6278">
        <v>20.702247002062599</v>
      </c>
      <c r="AI6278">
        <v>93.104280326892905</v>
      </c>
      <c r="AJ6278">
        <v>88.737274765790801</v>
      </c>
      <c r="AK6278">
        <v>20.737705548808801</v>
      </c>
      <c r="AL6278">
        <v>82.690804639287407</v>
      </c>
      <c r="AM6278">
        <v>93.620673111346093</v>
      </c>
      <c r="AN6278">
        <v>1.00000003592709</v>
      </c>
    </row>
    <row r="6279" spans="1:40" x14ac:dyDescent="0.25">
      <c r="A6279" t="str">
        <f>"20190303162036772"</f>
        <v>20190303162036772</v>
      </c>
      <c r="B6279" t="str">
        <f>"1551601236759033"</f>
        <v>1551601236759033</v>
      </c>
      <c r="C6279" t="s">
        <v>40</v>
      </c>
      <c r="D6279">
        <v>5.3442350000000003</v>
      </c>
      <c r="E6279">
        <v>0.51991989999999999</v>
      </c>
      <c r="F6279" t="s">
        <v>41</v>
      </c>
      <c r="G6279">
        <v>-234.84800000000001</v>
      </c>
      <c r="H6279" s="1">
        <v>-3.21067E-6</v>
      </c>
      <c r="I6279">
        <v>143.44280000000001</v>
      </c>
      <c r="J6279">
        <v>-213.8604</v>
      </c>
      <c r="K6279">
        <v>1.123362</v>
      </c>
      <c r="L6279">
        <v>141.7501</v>
      </c>
      <c r="M6279">
        <v>-0.99816450000000001</v>
      </c>
      <c r="N6279">
        <v>-1.190926E-2</v>
      </c>
      <c r="O6279">
        <v>5.9379029999999999E-2</v>
      </c>
      <c r="P6279">
        <v>-0.99369819999999998</v>
      </c>
      <c r="Q6279">
        <v>0.1117896</v>
      </c>
      <c r="R6279">
        <v>-8.1887560000000002E-3</v>
      </c>
      <c r="S6279">
        <v>-3.038986</v>
      </c>
      <c r="T6279">
        <v>-0.16069639999999999</v>
      </c>
      <c r="U6279">
        <v>0.24404909999999999</v>
      </c>
      <c r="V6279">
        <v>-6.7829219999999996E-2</v>
      </c>
      <c r="W6279">
        <v>0.1232357</v>
      </c>
      <c r="X6279">
        <v>0.99005659999999895</v>
      </c>
      <c r="Y6279">
        <v>2.0728489999999999E-2</v>
      </c>
      <c r="Z6279">
        <v>-1.7524699999999999E-3</v>
      </c>
      <c r="AA6279">
        <v>0.99978359999999999</v>
      </c>
      <c r="AB6279">
        <v>25</v>
      </c>
      <c r="AC6279">
        <v>-20.987599999999901</v>
      </c>
      <c r="AD6279">
        <v>-1.1233652106700001</v>
      </c>
      <c r="AE6279">
        <v>1.6927000000000001</v>
      </c>
      <c r="AF6279">
        <v>0.442142620810626</v>
      </c>
      <c r="AG6279">
        <v>-1.1233652106700001</v>
      </c>
      <c r="AH6279">
        <v>20.9913299616559</v>
      </c>
      <c r="AI6279">
        <v>93.0626222354379</v>
      </c>
      <c r="AJ6279">
        <v>88.793351311887093</v>
      </c>
      <c r="AK6279">
        <v>21.026016575965901</v>
      </c>
      <c r="AL6279">
        <v>82.921118611184198</v>
      </c>
      <c r="AM6279">
        <v>93.919235228602901</v>
      </c>
      <c r="AN6279">
        <v>0.99999995602192804</v>
      </c>
    </row>
    <row r="6280" spans="1:40" x14ac:dyDescent="0.25">
      <c r="A6280" t="str">
        <f>"20190303162036796"</f>
        <v>20190303162036796</v>
      </c>
      <c r="B6280" t="str">
        <f>"1551601236788315"</f>
        <v>1551601236788315</v>
      </c>
      <c r="C6280" t="s">
        <v>40</v>
      </c>
      <c r="D6280">
        <v>5.3376260000000002</v>
      </c>
      <c r="E6280">
        <v>0.51760410000000001</v>
      </c>
      <c r="F6280" t="s">
        <v>41</v>
      </c>
      <c r="G6280">
        <v>-231.71129999999999</v>
      </c>
      <c r="H6280" s="1">
        <v>-4.2250969999999997E-6</v>
      </c>
      <c r="I6280">
        <v>142.6122</v>
      </c>
      <c r="J6280">
        <v>-214.12289999999999</v>
      </c>
      <c r="K6280">
        <v>1.1235599999999999</v>
      </c>
      <c r="L6280">
        <v>141.76230000000001</v>
      </c>
      <c r="M6280">
        <v>-0.99837180000000003</v>
      </c>
      <c r="N6280">
        <v>-1.185285E-2</v>
      </c>
      <c r="O6280">
        <v>5.5796940000000003E-2</v>
      </c>
      <c r="P6280">
        <v>-0.99437889999999995</v>
      </c>
      <c r="Q6280">
        <v>0.10459160000000001</v>
      </c>
      <c r="R6280">
        <v>-1.647148E-2</v>
      </c>
      <c r="S6280">
        <v>-3.0417480000000001</v>
      </c>
      <c r="T6280">
        <v>-0.19141839999999999</v>
      </c>
      <c r="U6280">
        <v>0.1469116</v>
      </c>
      <c r="V6280">
        <v>-7.2609549999999995E-2</v>
      </c>
      <c r="W6280">
        <v>0.1159205</v>
      </c>
      <c r="X6280">
        <v>0.99060099999999995</v>
      </c>
      <c r="Y6280">
        <v>-7.478943E-3</v>
      </c>
      <c r="Z6280">
        <v>-3.1216880000000001E-3</v>
      </c>
      <c r="AA6280">
        <v>0.99996719999999895</v>
      </c>
      <c r="AB6280">
        <v>25</v>
      </c>
      <c r="AC6280">
        <v>-17.5884</v>
      </c>
      <c r="AD6280">
        <v>-1.1235642250969999</v>
      </c>
      <c r="AE6280">
        <v>0.84989999999999</v>
      </c>
      <c r="AF6280">
        <v>-0.13233327305885201</v>
      </c>
      <c r="AG6280">
        <v>-1.1235642250969999</v>
      </c>
      <c r="AH6280">
        <v>17.5370229728067</v>
      </c>
      <c r="AI6280">
        <v>93.665718978817395</v>
      </c>
      <c r="AJ6280">
        <v>90.432342144967606</v>
      </c>
      <c r="AK6280">
        <v>17.5734767024578</v>
      </c>
      <c r="AL6280">
        <v>83.343279252566106</v>
      </c>
      <c r="AM6280">
        <v>94.192196654994305</v>
      </c>
      <c r="AN6280">
        <v>1.00000002513622</v>
      </c>
    </row>
    <row r="6281" spans="1:40" x14ac:dyDescent="0.25">
      <c r="A6281" t="str">
        <f>"20190303162036818"</f>
        <v>20190303162036818</v>
      </c>
      <c r="B6281" t="str">
        <f>"1551601236808810"</f>
        <v>1551601236808810</v>
      </c>
      <c r="C6281" t="s">
        <v>40</v>
      </c>
      <c r="D6281">
        <v>5.3619120000000002</v>
      </c>
      <c r="E6281">
        <v>0.51667940000000001</v>
      </c>
      <c r="F6281" t="s">
        <v>41</v>
      </c>
      <c r="G6281">
        <v>-230.40809999999999</v>
      </c>
      <c r="H6281" s="1">
        <v>-4.6164539999999998E-6</v>
      </c>
      <c r="I6281">
        <v>142.3185</v>
      </c>
      <c r="J6281">
        <v>-214.3733</v>
      </c>
      <c r="K6281">
        <v>1.1236660000000001</v>
      </c>
      <c r="L6281">
        <v>141.77260000000001</v>
      </c>
      <c r="M6281">
        <v>-0.99856929999999999</v>
      </c>
      <c r="N6281">
        <v>-1.1809989999999999E-2</v>
      </c>
      <c r="O6281">
        <v>5.215359E-2</v>
      </c>
      <c r="P6281">
        <v>-0.99525229999999998</v>
      </c>
      <c r="Q6281">
        <v>9.4753039999999997E-2</v>
      </c>
      <c r="R6281">
        <v>-2.2242169999999999E-2</v>
      </c>
      <c r="S6281">
        <v>-3.040756</v>
      </c>
      <c r="T6281">
        <v>-0.20979030000000001</v>
      </c>
      <c r="U6281">
        <v>0.1038666</v>
      </c>
      <c r="V6281">
        <v>-7.478137E-2</v>
      </c>
      <c r="W6281">
        <v>0.10600809999999999</v>
      </c>
      <c r="X6281">
        <v>0.99154929999999997</v>
      </c>
      <c r="Y6281">
        <v>-1.7900349999999999E-2</v>
      </c>
      <c r="Z6281">
        <v>-3.6978369999999998E-3</v>
      </c>
      <c r="AA6281">
        <v>0.99983290000000002</v>
      </c>
      <c r="AB6281">
        <v>25</v>
      </c>
      <c r="AC6281">
        <v>-16.034799999999901</v>
      </c>
      <c r="AD6281">
        <v>-1.123670616454</v>
      </c>
      <c r="AE6281">
        <v>0.54589999999998895</v>
      </c>
      <c r="AF6281">
        <v>-0.28975242850725003</v>
      </c>
      <c r="AG6281">
        <v>-1.123670616454</v>
      </c>
      <c r="AH6281">
        <v>15.963146599567001</v>
      </c>
      <c r="AI6281">
        <v>94.025836083752793</v>
      </c>
      <c r="AJ6281">
        <v>91.039880719407705</v>
      </c>
      <c r="AK6281">
        <v>16.005269178722902</v>
      </c>
      <c r="AL6281">
        <v>83.914749341393403</v>
      </c>
      <c r="AM6281">
        <v>94.313008758916595</v>
      </c>
      <c r="AN6281">
        <v>0.99999999244758797</v>
      </c>
    </row>
    <row r="6282" spans="1:40" x14ac:dyDescent="0.25">
      <c r="A6282" t="str">
        <f>"20190303162036862"</f>
        <v>20190303162036862</v>
      </c>
      <c r="B6282" t="str">
        <f>"1551601236848826"</f>
        <v>1551601236848826</v>
      </c>
      <c r="C6282" t="s">
        <v>40</v>
      </c>
      <c r="D6282">
        <v>5.3596240000000002</v>
      </c>
      <c r="E6282">
        <v>0.51583900000000005</v>
      </c>
      <c r="F6282" t="s">
        <v>41</v>
      </c>
      <c r="G6282">
        <v>-228.76949999999999</v>
      </c>
      <c r="H6282" s="1">
        <v>-1.181875E-6</v>
      </c>
      <c r="I6282">
        <v>142.14070000000001</v>
      </c>
      <c r="J6282">
        <v>-214.86940000000001</v>
      </c>
      <c r="K6282">
        <v>1.123818</v>
      </c>
      <c r="L6282">
        <v>141.78970000000001</v>
      </c>
      <c r="M6282">
        <v>-0.99893900000000002</v>
      </c>
      <c r="N6282">
        <v>-1.1748079999999999E-2</v>
      </c>
      <c r="O6282">
        <v>4.4531210000000002E-2</v>
      </c>
      <c r="P6282">
        <v>-0.99676410000000004</v>
      </c>
      <c r="Q6282">
        <v>7.3808330000000005E-2</v>
      </c>
      <c r="R6282">
        <v>-3.1840630000000002E-2</v>
      </c>
      <c r="S6282">
        <v>-3.0386350000000002</v>
      </c>
      <c r="T6282">
        <v>-0.23717550000000001</v>
      </c>
      <c r="U6282">
        <v>7.7697749999999996E-2</v>
      </c>
      <c r="V6282">
        <v>-7.6779319999999998E-2</v>
      </c>
      <c r="W6282">
        <v>8.4964540000000005E-2</v>
      </c>
      <c r="X6282">
        <v>0.99342129999999995</v>
      </c>
      <c r="Y6282">
        <v>-1.8820099999999999E-2</v>
      </c>
      <c r="Z6282">
        <v>-3.7900070000000002E-3</v>
      </c>
      <c r="AA6282">
        <v>0.99981569999999997</v>
      </c>
      <c r="AB6282">
        <v>25</v>
      </c>
      <c r="AC6282">
        <v>-13.900099999999901</v>
      </c>
      <c r="AD6282">
        <v>-1.1238191818750001</v>
      </c>
      <c r="AE6282">
        <v>0.35099999999999898</v>
      </c>
      <c r="AF6282">
        <v>-0.266637369475478</v>
      </c>
      <c r="AG6282">
        <v>-1.1238191818750001</v>
      </c>
      <c r="AH6282">
        <v>13.811715449952599</v>
      </c>
      <c r="AI6282">
        <v>94.650880706665106</v>
      </c>
      <c r="AJ6282">
        <v>91.105966780821404</v>
      </c>
      <c r="AK6282">
        <v>13.859925999470899</v>
      </c>
      <c r="AL6282">
        <v>85.126014010797505</v>
      </c>
      <c r="AM6282">
        <v>94.419477409961104</v>
      </c>
      <c r="AN6282">
        <v>0.99999995816538101</v>
      </c>
    </row>
    <row r="6283" spans="1:40" x14ac:dyDescent="0.25">
      <c r="A6283" t="str">
        <f>"20190303162036885"</f>
        <v>20190303162036885</v>
      </c>
      <c r="B6283" t="str">
        <f>"1551601236878107"</f>
        <v>1551601236878107</v>
      </c>
      <c r="C6283" t="s">
        <v>40</v>
      </c>
      <c r="D6283">
        <v>5.322813</v>
      </c>
      <c r="E6283">
        <v>0.51585389999999998</v>
      </c>
      <c r="F6283" t="s">
        <v>41</v>
      </c>
      <c r="G6283">
        <v>-226.52799999999999</v>
      </c>
      <c r="H6283" s="1">
        <v>-2.095643E-6</v>
      </c>
      <c r="I6283">
        <v>141.96090000000001</v>
      </c>
      <c r="J6283">
        <v>-215.1224</v>
      </c>
      <c r="K6283">
        <v>1.123923</v>
      </c>
      <c r="L6283">
        <v>141.79660000000001</v>
      </c>
      <c r="M6283">
        <v>-0.99911249999999996</v>
      </c>
      <c r="N6283">
        <v>-1.172553E-2</v>
      </c>
      <c r="O6283">
        <v>4.0455480000000002E-2</v>
      </c>
      <c r="P6283">
        <v>-0.99678239999999996</v>
      </c>
      <c r="Q6283">
        <v>7.2354260000000004E-2</v>
      </c>
      <c r="R6283">
        <v>-3.449613E-2</v>
      </c>
      <c r="S6283">
        <v>-3.0328059999999999</v>
      </c>
      <c r="T6283">
        <v>-0.29234549999999998</v>
      </c>
      <c r="U6283">
        <v>4.4540410000000002E-2</v>
      </c>
      <c r="V6283">
        <v>-7.538897E-2</v>
      </c>
      <c r="W6283">
        <v>8.3479719999999993E-2</v>
      </c>
      <c r="X6283">
        <v>0.99365369999999997</v>
      </c>
      <c r="Y6283">
        <v>-2.5504160000000001E-2</v>
      </c>
      <c r="Z6283">
        <v>-4.7920949999999997E-3</v>
      </c>
      <c r="AA6283">
        <v>0.99966319999999997</v>
      </c>
      <c r="AB6283">
        <v>25</v>
      </c>
      <c r="AC6283">
        <v>-11.4055999999999</v>
      </c>
      <c r="AD6283">
        <v>-1.123925095643</v>
      </c>
      <c r="AE6283">
        <v>0.164299999999997</v>
      </c>
      <c r="AF6283">
        <v>-0.29442686951778002</v>
      </c>
      <c r="AG6283">
        <v>-1.123925095643</v>
      </c>
      <c r="AH6283">
        <v>11.293268974359499</v>
      </c>
      <c r="AI6283">
        <v>95.681539555209199</v>
      </c>
      <c r="AJ6283">
        <v>91.493420245502406</v>
      </c>
      <c r="AK6283">
        <v>11.352877121212099</v>
      </c>
      <c r="AL6283">
        <v>85.211391573961905</v>
      </c>
      <c r="AM6283">
        <v>94.338745195097005</v>
      </c>
      <c r="AN6283">
        <v>1.00000001798631</v>
      </c>
    </row>
    <row r="6284" spans="1:40" x14ac:dyDescent="0.25">
      <c r="A6284" t="str">
        <f>"20190303162036909"</f>
        <v>20190303162036909</v>
      </c>
      <c r="B6284" t="str">
        <f>"1551601236898602"</f>
        <v>1551601236898602</v>
      </c>
      <c r="C6284" t="s">
        <v>40</v>
      </c>
      <c r="D6284">
        <v>5.3374519999999999</v>
      </c>
      <c r="E6284">
        <v>0.51566959999999995</v>
      </c>
      <c r="F6284" t="s">
        <v>42</v>
      </c>
      <c r="G6284">
        <v>-216.0812</v>
      </c>
      <c r="H6284">
        <v>1.0348660000000001</v>
      </c>
      <c r="I6284">
        <v>141.80850000000001</v>
      </c>
      <c r="J6284">
        <v>-215.3852</v>
      </c>
      <c r="K6284">
        <v>1.124047</v>
      </c>
      <c r="L6284">
        <v>141.8023</v>
      </c>
      <c r="M6284">
        <v>-0.99928159999999999</v>
      </c>
      <c r="N6284">
        <v>-1.170877E-2</v>
      </c>
      <c r="O6284">
        <v>3.6045639999999997E-2</v>
      </c>
      <c r="P6284">
        <v>-0.99635510000000005</v>
      </c>
      <c r="Q6284">
        <v>7.7890600000000004E-2</v>
      </c>
      <c r="R6284">
        <v>-3.4779940000000002E-2</v>
      </c>
      <c r="S6284">
        <v>-3.0314480000000001</v>
      </c>
      <c r="T6284">
        <v>-0.2818966</v>
      </c>
      <c r="U6284">
        <v>3.7124629999999999E-2</v>
      </c>
      <c r="V6284">
        <v>-7.1329999999999893E-2</v>
      </c>
      <c r="W6284">
        <v>8.9007520000000007E-2</v>
      </c>
      <c r="X6284">
        <v>0.99347350000000001</v>
      </c>
      <c r="Y6284">
        <v>-2.3574520000000002E-2</v>
      </c>
      <c r="Z6284">
        <v>-4.1545599999999999E-3</v>
      </c>
      <c r="AA6284">
        <v>0.99971339999999997</v>
      </c>
      <c r="AB6284">
        <v>25</v>
      </c>
      <c r="AC6284">
        <v>-0.69599999999999795</v>
      </c>
      <c r="AD6284">
        <v>-8.9180999999999899E-2</v>
      </c>
      <c r="AE6284">
        <v>6.2000000000068597E-3</v>
      </c>
      <c r="AF6284">
        <v>-1.85883502335915E-2</v>
      </c>
      <c r="AG6284">
        <v>-8.9180999999999899E-2</v>
      </c>
      <c r="AH6284">
        <v>0.68453320873664003</v>
      </c>
      <c r="AI6284">
        <v>97.419984197839099</v>
      </c>
      <c r="AJ6284">
        <v>91.555472166466203</v>
      </c>
      <c r="AK6284">
        <v>0.69056823803928802</v>
      </c>
      <c r="AL6284">
        <v>84.893486725698295</v>
      </c>
      <c r="AM6284">
        <v>94.106709310785803</v>
      </c>
      <c r="AN6284">
        <v>0.99999995135939901</v>
      </c>
    </row>
    <row r="6285" spans="1:40" x14ac:dyDescent="0.25">
      <c r="A6285" t="str">
        <f>"20190303162036931"</f>
        <v>20190303162036931</v>
      </c>
      <c r="B6285" t="str">
        <f>"1551601236919099"</f>
        <v>1551601236919099</v>
      </c>
      <c r="C6285" t="s">
        <v>40</v>
      </c>
      <c r="D6285">
        <v>5.3394329999999997</v>
      </c>
      <c r="E6285">
        <v>0.51539349999999995</v>
      </c>
      <c r="F6285" t="s">
        <v>41</v>
      </c>
      <c r="G6285">
        <v>-228.5676</v>
      </c>
      <c r="H6285" s="1">
        <v>-1.215675E-6</v>
      </c>
      <c r="I6285">
        <v>141.94210000000001</v>
      </c>
      <c r="J6285">
        <v>-215.63509999999999</v>
      </c>
      <c r="K6285">
        <v>1.1241540000000001</v>
      </c>
      <c r="L6285">
        <v>141.8065</v>
      </c>
      <c r="M6285">
        <v>-0.9994286</v>
      </c>
      <c r="N6285">
        <v>-1.169681E-2</v>
      </c>
      <c r="O6285">
        <v>3.1711669999999997E-2</v>
      </c>
      <c r="P6285">
        <v>-0.99594899999999997</v>
      </c>
      <c r="Q6285">
        <v>8.4353419999999998E-2</v>
      </c>
      <c r="R6285">
        <v>-3.1148550000000001E-2</v>
      </c>
      <c r="S6285">
        <v>-3.0323030000000002</v>
      </c>
      <c r="T6285">
        <v>-0.25856200000000001</v>
      </c>
      <c r="U6285">
        <v>3.2180790000000001E-2</v>
      </c>
      <c r="V6285">
        <v>-6.3441789999999998E-2</v>
      </c>
      <c r="W6285">
        <v>9.5502820000000002E-2</v>
      </c>
      <c r="X6285">
        <v>0.99340550000000005</v>
      </c>
      <c r="Y6285">
        <v>-2.093331E-2</v>
      </c>
      <c r="Z6285">
        <v>-3.3417199999999998E-3</v>
      </c>
      <c r="AA6285">
        <v>0.99977530000000003</v>
      </c>
      <c r="AB6285">
        <v>25</v>
      </c>
      <c r="AC6285">
        <v>-12.932499999999999</v>
      </c>
      <c r="AD6285">
        <v>-1.1241552156749901</v>
      </c>
      <c r="AE6285">
        <v>0.13560000000000999</v>
      </c>
      <c r="AF6285">
        <v>-0.27254831587581102</v>
      </c>
      <c r="AG6285">
        <v>-1.1241552156749901</v>
      </c>
      <c r="AH6285">
        <v>12.833338146309201</v>
      </c>
      <c r="AI6285">
        <v>95.005007454031698</v>
      </c>
      <c r="AJ6285">
        <v>91.216637551049004</v>
      </c>
      <c r="AK6285">
        <v>12.885362839708099</v>
      </c>
      <c r="AL6285">
        <v>84.519739511558797</v>
      </c>
      <c r="AM6285">
        <v>93.654114246627501</v>
      </c>
      <c r="AN6285">
        <v>1.0000000683882999</v>
      </c>
    </row>
    <row r="6286" spans="1:40" x14ac:dyDescent="0.25">
      <c r="A6286" t="str">
        <f>"20190303162036951"</f>
        <v>20190303162036951</v>
      </c>
      <c r="B6286" t="str">
        <f>"1551601236938619"</f>
        <v>1551601236938619</v>
      </c>
      <c r="C6286" t="s">
        <v>40</v>
      </c>
      <c r="D6286">
        <v>5.3440180000000002</v>
      </c>
      <c r="E6286">
        <v>0.51512910000000001</v>
      </c>
      <c r="F6286" t="s">
        <v>41</v>
      </c>
      <c r="G6286">
        <v>-230.34450000000001</v>
      </c>
      <c r="H6286" s="1">
        <v>-4.5785359999999996E-6</v>
      </c>
      <c r="I6286">
        <v>141.98259999999999</v>
      </c>
      <c r="J6286">
        <v>-215.8639</v>
      </c>
      <c r="K6286">
        <v>1.1242350000000001</v>
      </c>
      <c r="L6286">
        <v>141.8092</v>
      </c>
      <c r="M6286">
        <v>-0.99955050000000001</v>
      </c>
      <c r="N6286">
        <v>-1.16886E-2</v>
      </c>
      <c r="O6286">
        <v>2.760632E-2</v>
      </c>
      <c r="P6286">
        <v>-0.99614159999999996</v>
      </c>
      <c r="Q6286">
        <v>8.3900669999999997E-2</v>
      </c>
      <c r="R6286">
        <v>-2.5745500000000001E-2</v>
      </c>
      <c r="S6286">
        <v>-3.032959</v>
      </c>
      <c r="T6286">
        <v>-0.23179379999999999</v>
      </c>
      <c r="U6286">
        <v>3.6315920000000002E-2</v>
      </c>
      <c r="V6286">
        <v>-5.3974800000000003E-2</v>
      </c>
      <c r="W6286">
        <v>9.5110739999999999E-2</v>
      </c>
      <c r="X6286">
        <v>0.99400230000000001</v>
      </c>
      <c r="Y6286">
        <v>-1.552795E-2</v>
      </c>
      <c r="Z6286">
        <v>-2.4674380000000002E-3</v>
      </c>
      <c r="AA6286">
        <v>0.9998764</v>
      </c>
      <c r="AB6286">
        <v>25</v>
      </c>
      <c r="AC6286">
        <v>-14.480600000000001</v>
      </c>
      <c r="AD6286">
        <v>-1.124239578536</v>
      </c>
      <c r="AE6286">
        <v>0.17339999999998601</v>
      </c>
      <c r="AF6286">
        <v>-0.225092921599375</v>
      </c>
      <c r="AG6286">
        <v>-1.124239578536</v>
      </c>
      <c r="AH6286">
        <v>14.3931239635469</v>
      </c>
      <c r="AI6286">
        <v>94.465731956094601</v>
      </c>
      <c r="AJ6286">
        <v>90.895971102004196</v>
      </c>
      <c r="AK6286">
        <v>14.4387187410563</v>
      </c>
      <c r="AL6286">
        <v>84.542306130393598</v>
      </c>
      <c r="AM6286">
        <v>93.108135788971296</v>
      </c>
      <c r="AN6286">
        <v>0.99999995215183701</v>
      </c>
    </row>
    <row r="6287" spans="1:40" x14ac:dyDescent="0.25">
      <c r="A6287" t="str">
        <f>"20190303162036974"</f>
        <v>20190303162036974</v>
      </c>
      <c r="B6287" t="str">
        <f>"1551601236968875"</f>
        <v>1551601236968875</v>
      </c>
      <c r="C6287" t="s">
        <v>40</v>
      </c>
      <c r="D6287">
        <v>5.3466319999999996</v>
      </c>
      <c r="E6287">
        <v>0.51474509999999996</v>
      </c>
      <c r="F6287" t="s">
        <v>41</v>
      </c>
      <c r="G6287">
        <v>-230.8246</v>
      </c>
      <c r="H6287" s="1">
        <v>-4.4273550000000004E-6</v>
      </c>
      <c r="I6287">
        <v>142.0513</v>
      </c>
      <c r="J6287">
        <v>-216.12979999999999</v>
      </c>
      <c r="K6287">
        <v>1.1243289999999999</v>
      </c>
      <c r="L6287">
        <v>141.81110000000001</v>
      </c>
      <c r="M6287">
        <v>-0.9996756</v>
      </c>
      <c r="N6287">
        <v>-1.168303E-2</v>
      </c>
      <c r="O6287">
        <v>2.263772E-2</v>
      </c>
      <c r="P6287">
        <v>-0.99648919999999996</v>
      </c>
      <c r="Q6287">
        <v>8.1338919999999995E-2</v>
      </c>
      <c r="R6287">
        <v>-1.9832059999999999E-2</v>
      </c>
      <c r="S6287">
        <v>-3.0320589999999998</v>
      </c>
      <c r="T6287">
        <v>-0.22784850000000001</v>
      </c>
      <c r="U6287">
        <v>4.9072270000000001E-2</v>
      </c>
      <c r="V6287">
        <v>-4.3124549999999998E-2</v>
      </c>
      <c r="W6287">
        <v>9.262695E-2</v>
      </c>
      <c r="X6287">
        <v>0.99476659999999995</v>
      </c>
      <c r="Y6287">
        <v>-6.391781E-3</v>
      </c>
      <c r="Z6287">
        <v>-1.71147799999999E-3</v>
      </c>
      <c r="AA6287">
        <v>0.99997809999999998</v>
      </c>
      <c r="AB6287">
        <v>25</v>
      </c>
      <c r="AC6287">
        <v>-14.694800000000001</v>
      </c>
      <c r="AD6287">
        <v>-1.1243334273549901</v>
      </c>
      <c r="AE6287">
        <v>0.24019999999998701</v>
      </c>
      <c r="AF6287">
        <v>-9.2002540691238102E-2</v>
      </c>
      <c r="AG6287">
        <v>-1.1243334273549901</v>
      </c>
      <c r="AH6287">
        <v>14.610959945356999</v>
      </c>
      <c r="AI6287">
        <v>94.400230164651404</v>
      </c>
      <c r="AJ6287">
        <v>90.360776269174394</v>
      </c>
      <c r="AK6287">
        <v>14.654444399163999</v>
      </c>
      <c r="AL6287">
        <v>84.685248442929804</v>
      </c>
      <c r="AM6287">
        <v>92.482299453701899</v>
      </c>
      <c r="AN6287">
        <v>1.0000000335772801</v>
      </c>
    </row>
    <row r="6288" spans="1:40" x14ac:dyDescent="0.25">
      <c r="A6288" t="str">
        <f>"20190303162036996"</f>
        <v>20190303162036996</v>
      </c>
      <c r="B6288" t="str">
        <f>"1551601236988395"</f>
        <v>1551601236988395</v>
      </c>
      <c r="C6288" t="s">
        <v>40</v>
      </c>
      <c r="D6288">
        <v>5.3462560000000003</v>
      </c>
      <c r="E6288">
        <v>0.51456179999999996</v>
      </c>
      <c r="F6288" t="s">
        <v>41</v>
      </c>
      <c r="G6288">
        <v>-230.92349999999999</v>
      </c>
      <c r="H6288" s="1">
        <v>-4.4055730000000001E-6</v>
      </c>
      <c r="I6288">
        <v>142.1183</v>
      </c>
      <c r="J6288">
        <v>-216.3683</v>
      </c>
      <c r="K6288">
        <v>1.1244289999999999</v>
      </c>
      <c r="L6288">
        <v>141.81139999999999</v>
      </c>
      <c r="M6288">
        <v>-0.99976989999999999</v>
      </c>
      <c r="N6288">
        <v>-1.1682140000000001E-2</v>
      </c>
      <c r="O6288">
        <v>1.799572E-2</v>
      </c>
      <c r="P6288">
        <v>-0.99654469999999995</v>
      </c>
      <c r="Q6288">
        <v>8.2198370000000007E-2</v>
      </c>
      <c r="R6288">
        <v>-1.193964E-2</v>
      </c>
      <c r="S6288">
        <v>-3.0306090000000001</v>
      </c>
      <c r="T6288">
        <v>-0.23032859999999999</v>
      </c>
      <c r="U6288">
        <v>6.2957760000000001E-2</v>
      </c>
      <c r="V6288">
        <v>-3.0639280000000001E-2</v>
      </c>
      <c r="W6288">
        <v>9.3582180000000001E-2</v>
      </c>
      <c r="X6288">
        <v>0.99514000000000002</v>
      </c>
      <c r="Y6288">
        <v>2.800875E-3</v>
      </c>
      <c r="Z6288">
        <v>-1.0328189999999999E-3</v>
      </c>
      <c r="AA6288">
        <v>0.99999550000000004</v>
      </c>
      <c r="AB6288">
        <v>25</v>
      </c>
      <c r="AC6288">
        <v>-14.5551999999999</v>
      </c>
      <c r="AD6288">
        <v>-1.1244334055730001</v>
      </c>
      <c r="AE6288">
        <v>0.306900000000013</v>
      </c>
      <c r="AF6288">
        <v>4.4634874736444702E-2</v>
      </c>
      <c r="AG6288">
        <v>-1.1244334055730001</v>
      </c>
      <c r="AH6288">
        <v>14.472034748562001</v>
      </c>
      <c r="AI6288">
        <v>94.442762284055306</v>
      </c>
      <c r="AJ6288">
        <v>89.823288025698403</v>
      </c>
      <c r="AK6288">
        <v>14.5157201860327</v>
      </c>
      <c r="AL6288">
        <v>84.630278871235902</v>
      </c>
      <c r="AM6288">
        <v>91.763517729351094</v>
      </c>
      <c r="AN6288">
        <v>1.0000000047462301</v>
      </c>
    </row>
    <row r="6289" spans="1:40" x14ac:dyDescent="0.25">
      <c r="A6289" t="str">
        <f>"20190303162037018"</f>
        <v>20190303162037018</v>
      </c>
      <c r="B6289" t="str">
        <f>"1551601237008894"</f>
        <v>1551601237008894</v>
      </c>
      <c r="C6289" t="s">
        <v>40</v>
      </c>
      <c r="D6289">
        <v>5.3219440000000002</v>
      </c>
      <c r="E6289">
        <v>0.51407409999999998</v>
      </c>
      <c r="F6289" t="s">
        <v>41</v>
      </c>
      <c r="G6289">
        <v>-231.34350000000001</v>
      </c>
      <c r="H6289" s="1">
        <v>-4.2804959999999998E-6</v>
      </c>
      <c r="I6289">
        <v>142.21899999999999</v>
      </c>
      <c r="J6289">
        <v>-216.6139</v>
      </c>
      <c r="K6289">
        <v>1.124557</v>
      </c>
      <c r="L6289">
        <v>141.81049999999999</v>
      </c>
      <c r="M6289">
        <v>-0.99984669999999998</v>
      </c>
      <c r="N6289">
        <v>-1.168453E-2</v>
      </c>
      <c r="O6289">
        <v>1.3037760000000001E-2</v>
      </c>
      <c r="P6289">
        <v>-0.99649259999999995</v>
      </c>
      <c r="Q6289">
        <v>8.3628240000000006E-2</v>
      </c>
      <c r="R6289">
        <v>-2.9435210000000002E-3</v>
      </c>
      <c r="S6289">
        <v>-3.030151</v>
      </c>
      <c r="T6289">
        <v>-0.22752269999999999</v>
      </c>
      <c r="U6289">
        <v>8.2489010000000001E-2</v>
      </c>
      <c r="V6289">
        <v>-1.674177E-2</v>
      </c>
      <c r="W6289">
        <v>9.5126409999999995E-2</v>
      </c>
      <c r="X6289">
        <v>0.9953244</v>
      </c>
      <c r="Y6289">
        <v>1.415662E-2</v>
      </c>
      <c r="Z6289">
        <v>-2.1169179999999999E-4</v>
      </c>
      <c r="AA6289">
        <v>0.99989969999999995</v>
      </c>
      <c r="AB6289">
        <v>25</v>
      </c>
      <c r="AC6289">
        <v>-14.7296</v>
      </c>
      <c r="AD6289">
        <v>-1.1245612804959999</v>
      </c>
      <c r="AE6289">
        <v>0.40850000000000303</v>
      </c>
      <c r="AF6289">
        <v>0.21515800380294101</v>
      </c>
      <c r="AG6289">
        <v>-1.1245612804959999</v>
      </c>
      <c r="AH6289">
        <v>14.648356432339799</v>
      </c>
      <c r="AI6289">
        <v>94.389541605853907</v>
      </c>
      <c r="AJ6289">
        <v>89.158488586578898</v>
      </c>
      <c r="AK6289">
        <v>14.6930349897175</v>
      </c>
      <c r="AL6289">
        <v>84.541404428799595</v>
      </c>
      <c r="AM6289">
        <v>90.963647946185603</v>
      </c>
      <c r="AN6289">
        <v>0.99999999098879</v>
      </c>
    </row>
    <row r="6290" spans="1:40" x14ac:dyDescent="0.25">
      <c r="A6290" t="str">
        <f>"20190303162037042"</f>
        <v>20190303162037042</v>
      </c>
      <c r="B6290" t="str">
        <f>"1551601237028410"</f>
        <v>1551601237028410</v>
      </c>
      <c r="C6290" t="s">
        <v>40</v>
      </c>
      <c r="D6290">
        <v>5.291868</v>
      </c>
      <c r="E6290">
        <v>0.50626229999999905</v>
      </c>
      <c r="F6290" t="s">
        <v>41</v>
      </c>
      <c r="G6290">
        <v>-231.98140000000001</v>
      </c>
      <c r="H6290" s="1">
        <v>-4.0832960000000002E-6</v>
      </c>
      <c r="I6290">
        <v>142.33090000000001</v>
      </c>
      <c r="J6290">
        <v>-216.87299999999999</v>
      </c>
      <c r="K6290">
        <v>1.1246929999999999</v>
      </c>
      <c r="L6290">
        <v>141.80789999999999</v>
      </c>
      <c r="M6290">
        <v>-0.99990250000000003</v>
      </c>
      <c r="N6290">
        <v>-1.1688810000000001E-2</v>
      </c>
      <c r="O6290">
        <v>7.63664599999999E-3</v>
      </c>
      <c r="P6290">
        <v>-0.99642850000000005</v>
      </c>
      <c r="Q6290">
        <v>8.4441420000000003E-2</v>
      </c>
      <c r="R6290">
        <v>3.867187E-4</v>
      </c>
      <c r="S6290">
        <v>-3.0294650000000001</v>
      </c>
      <c r="T6290">
        <v>-0.22169140000000001</v>
      </c>
      <c r="U6290">
        <v>0.1026154</v>
      </c>
      <c r="V6290">
        <v>-8.0637709999999904E-3</v>
      </c>
      <c r="W6290">
        <v>9.6015439999999994E-2</v>
      </c>
      <c r="X6290">
        <v>0.99534719999999999</v>
      </c>
      <c r="Y6290">
        <v>2.6152600000000002E-2</v>
      </c>
      <c r="Z6290">
        <v>6.3971839999999998E-4</v>
      </c>
      <c r="AA6290">
        <v>0.99965780000000004</v>
      </c>
      <c r="AB6290">
        <v>25</v>
      </c>
      <c r="AC6290">
        <v>-15.1084</v>
      </c>
      <c r="AD6290">
        <v>-1.1246970832959999</v>
      </c>
      <c r="AE6290">
        <v>0.523000000000024</v>
      </c>
      <c r="AF6290">
        <v>0.40535573406647901</v>
      </c>
      <c r="AG6290">
        <v>-1.1246970832959999</v>
      </c>
      <c r="AH6290">
        <v>15.028770059525799</v>
      </c>
      <c r="AI6290">
        <v>94.278274476466294</v>
      </c>
      <c r="AJ6290">
        <v>88.454993780731101</v>
      </c>
      <c r="AK6290">
        <v>15.0762457628686</v>
      </c>
      <c r="AL6290">
        <v>84.490232680543897</v>
      </c>
      <c r="AM6290">
        <v>90.464169626059103</v>
      </c>
      <c r="AN6290">
        <v>1.00000001883448</v>
      </c>
    </row>
    <row r="6291" spans="1:40" x14ac:dyDescent="0.25">
      <c r="A6291" t="str">
        <f>"20190303162037064"</f>
        <v>20190303162037064</v>
      </c>
      <c r="B6291" t="str">
        <f>"1551601237048907"</f>
        <v>1551601237048907</v>
      </c>
      <c r="C6291" t="s">
        <v>40</v>
      </c>
      <c r="D6291">
        <v>5.5281320000000003</v>
      </c>
      <c r="E6291">
        <v>0.50425029999999904</v>
      </c>
      <c r="F6291" t="s">
        <v>41</v>
      </c>
      <c r="G6291">
        <v>-240.91139999999999</v>
      </c>
      <c r="H6291" s="1">
        <v>-4.4240719999999998E-6</v>
      </c>
      <c r="I6291">
        <v>142.19929999999999</v>
      </c>
      <c r="J6291">
        <v>-217.1292</v>
      </c>
      <c r="K6291">
        <v>1.1247940000000001</v>
      </c>
      <c r="L6291">
        <v>141.8039</v>
      </c>
      <c r="M6291">
        <v>-0.99992939999999997</v>
      </c>
      <c r="N6291">
        <v>-1.169282E-2</v>
      </c>
      <c r="O6291">
        <v>2.1592629999999998E-3</v>
      </c>
      <c r="P6291">
        <v>-0.9962704</v>
      </c>
      <c r="Q6291">
        <v>8.589956E-2</v>
      </c>
      <c r="R6291">
        <v>8.1621619999999902E-3</v>
      </c>
      <c r="S6291">
        <v>-3.0227050000000002</v>
      </c>
      <c r="T6291">
        <v>-0.1414253</v>
      </c>
      <c r="U6291">
        <v>4.9224850000000001E-2</v>
      </c>
      <c r="V6291">
        <v>5.1336029999999996E-3</v>
      </c>
      <c r="W6291">
        <v>9.7592990000000004E-2</v>
      </c>
      <c r="X6291">
        <v>0.99521320000000002</v>
      </c>
      <c r="Y6291">
        <v>1.410575E-2</v>
      </c>
      <c r="Z6291">
        <v>3.3659039999999997E-4</v>
      </c>
      <c r="AA6291">
        <v>0.99990049999999997</v>
      </c>
      <c r="AB6291">
        <v>25</v>
      </c>
      <c r="AC6291">
        <v>-23.7821999999999</v>
      </c>
      <c r="AD6291">
        <v>-1.1247984240719999</v>
      </c>
      <c r="AE6291">
        <v>0.39539999999999498</v>
      </c>
      <c r="AF6291">
        <v>0.34327588815143201</v>
      </c>
      <c r="AG6291">
        <v>-1.1247984240719999</v>
      </c>
      <c r="AH6291">
        <v>23.7299317161606</v>
      </c>
      <c r="AI6291">
        <v>92.713504457602895</v>
      </c>
      <c r="AJ6291">
        <v>89.171220210108103</v>
      </c>
      <c r="AK6291">
        <v>23.759054465273401</v>
      </c>
      <c r="AL6291">
        <v>84.399419264922699</v>
      </c>
      <c r="AM6291">
        <v>89.704454104038902</v>
      </c>
      <c r="AN6291">
        <v>1.00000002951557</v>
      </c>
    </row>
    <row r="6292" spans="1:40" x14ac:dyDescent="0.25">
      <c r="A6292" t="str">
        <f>"20190303162037086"</f>
        <v>20190303162037086</v>
      </c>
      <c r="B6292" t="str">
        <f>"1551601237078187"</f>
        <v>1551601237078187</v>
      </c>
      <c r="C6292" t="s">
        <v>40</v>
      </c>
      <c r="D6292">
        <v>5.5887409999999997</v>
      </c>
      <c r="E6292">
        <v>0.50156040000000002</v>
      </c>
      <c r="F6292" t="s">
        <v>41</v>
      </c>
      <c r="G6292">
        <v>-243.1293</v>
      </c>
      <c r="H6292" s="1">
        <v>-3.6397110000000002E-6</v>
      </c>
      <c r="I6292">
        <v>142.2843</v>
      </c>
      <c r="J6292">
        <v>-217.38069999999999</v>
      </c>
      <c r="K6292">
        <v>1.1248499999999999</v>
      </c>
      <c r="L6292">
        <v>141.79839999999999</v>
      </c>
      <c r="M6292">
        <v>-0.99992630000000005</v>
      </c>
      <c r="N6292">
        <v>-1.1694599999999999E-2</v>
      </c>
      <c r="O6292">
        <v>-3.2941839999999999E-3</v>
      </c>
      <c r="P6292">
        <v>-0.99594000000000005</v>
      </c>
      <c r="Q6292">
        <v>8.891425E-2</v>
      </c>
      <c r="R6292">
        <v>1.4072619999999999E-2</v>
      </c>
      <c r="S6292">
        <v>-3.022049</v>
      </c>
      <c r="T6292">
        <v>-0.13073779999999999</v>
      </c>
      <c r="U6292">
        <v>5.5847170000000002E-2</v>
      </c>
      <c r="V6292">
        <v>1.643644E-2</v>
      </c>
      <c r="W6292">
        <v>0.10070850000000001</v>
      </c>
      <c r="X6292">
        <v>0.9947802</v>
      </c>
      <c r="Y6292">
        <v>2.1743019999999998E-2</v>
      </c>
      <c r="Z6292">
        <v>7.0120839999999996E-4</v>
      </c>
      <c r="AA6292">
        <v>0.99976339999999997</v>
      </c>
      <c r="AB6292">
        <v>25</v>
      </c>
      <c r="AC6292">
        <v>-25.7486</v>
      </c>
      <c r="AD6292">
        <v>-1.1248536397109901</v>
      </c>
      <c r="AE6292">
        <v>0.48590000000001499</v>
      </c>
      <c r="AF6292">
        <v>0.56963703396065701</v>
      </c>
      <c r="AG6292">
        <v>-1.1248536397109901</v>
      </c>
      <c r="AH6292">
        <v>25.6978334956402</v>
      </c>
      <c r="AI6292">
        <v>92.505754169508293</v>
      </c>
      <c r="AJ6292">
        <v>88.730147667868593</v>
      </c>
      <c r="AK6292">
        <v>25.728747121282002</v>
      </c>
      <c r="AL6292">
        <v>84.220029508180701</v>
      </c>
      <c r="AM6292">
        <v>89.053406010379604</v>
      </c>
      <c r="AN6292">
        <v>1.0000000024220801</v>
      </c>
    </row>
    <row r="6293" spans="1:40" x14ac:dyDescent="0.25">
      <c r="A6293" t="str">
        <f>"20190303162037110"</f>
        <v>20190303162037110</v>
      </c>
      <c r="B6293" t="str">
        <f>"1551601237098683"</f>
        <v>1551601237098683</v>
      </c>
      <c r="C6293" t="s">
        <v>40</v>
      </c>
      <c r="D6293">
        <v>5.5486389999999997</v>
      </c>
      <c r="E6293">
        <v>0.50078820000000002</v>
      </c>
      <c r="F6293" t="s">
        <v>41</v>
      </c>
      <c r="G6293">
        <v>-246.3261</v>
      </c>
      <c r="H6293" s="1">
        <v>-2.2719639999999999E-6</v>
      </c>
      <c r="I6293">
        <v>142.298</v>
      </c>
      <c r="J6293">
        <v>-217.643</v>
      </c>
      <c r="K6293">
        <v>1.1248309999999999</v>
      </c>
      <c r="L6293">
        <v>141.7911</v>
      </c>
      <c r="M6293">
        <v>-0.99989130000000004</v>
      </c>
      <c r="N6293">
        <v>-1.169307E-2</v>
      </c>
      <c r="O6293">
        <v>-8.9789729999999995E-3</v>
      </c>
      <c r="P6293">
        <v>-0.99561750000000004</v>
      </c>
      <c r="Q6293">
        <v>9.1912820000000006E-2</v>
      </c>
      <c r="R6293">
        <v>1.726869E-2</v>
      </c>
      <c r="S6293">
        <v>-3.021973</v>
      </c>
      <c r="T6293">
        <v>-0.1174374</v>
      </c>
      <c r="U6293">
        <v>5.2169800000000002E-2</v>
      </c>
      <c r="V6293">
        <v>2.5265659999999999E-2</v>
      </c>
      <c r="W6293">
        <v>0.10377980000000001</v>
      </c>
      <c r="X6293">
        <v>0.99427929999999998</v>
      </c>
      <c r="Y6293">
        <v>2.6209429999999999E-2</v>
      </c>
      <c r="Z6293">
        <v>9.0618070000000005E-4</v>
      </c>
      <c r="AA6293">
        <v>0.99965610000000005</v>
      </c>
      <c r="AB6293">
        <v>25</v>
      </c>
      <c r="AC6293">
        <v>-28.6831</v>
      </c>
      <c r="AD6293">
        <v>-1.124833271964</v>
      </c>
      <c r="AE6293">
        <v>0.50690000000000102</v>
      </c>
      <c r="AF6293">
        <v>0.76326850370121402</v>
      </c>
      <c r="AG6293">
        <v>-1.124833271964</v>
      </c>
      <c r="AH6293">
        <v>28.633370711463701</v>
      </c>
      <c r="AI6293">
        <v>92.248852481164207</v>
      </c>
      <c r="AJ6293">
        <v>88.473050537684799</v>
      </c>
      <c r="AK6293">
        <v>28.6656195990697</v>
      </c>
      <c r="AL6293">
        <v>84.043129603822095</v>
      </c>
      <c r="AM6293">
        <v>88.544368548869897</v>
      </c>
      <c r="AN6293">
        <v>0.99999996343588204</v>
      </c>
    </row>
    <row r="6294" spans="1:40" x14ac:dyDescent="0.25">
      <c r="A6294" t="str">
        <f>"20190303162037131"</f>
        <v>20190303162037131</v>
      </c>
      <c r="B6294" t="str">
        <f>"1551601237119179"</f>
        <v>1551601237119179</v>
      </c>
      <c r="C6294" t="s">
        <v>40</v>
      </c>
      <c r="D6294">
        <v>5.4394739999999997</v>
      </c>
      <c r="E6294">
        <v>0.48459010000000002</v>
      </c>
      <c r="F6294" t="s">
        <v>41</v>
      </c>
      <c r="G6294">
        <v>-248.81469999999999</v>
      </c>
      <c r="H6294" s="1">
        <v>-1.220141E-6</v>
      </c>
      <c r="I6294">
        <v>142.35730000000001</v>
      </c>
      <c r="J6294">
        <v>-217.88130000000001</v>
      </c>
      <c r="K6294">
        <v>1.1247750000000001</v>
      </c>
      <c r="L6294">
        <v>141.7833</v>
      </c>
      <c r="M6294">
        <v>-0.99983230000000001</v>
      </c>
      <c r="N6294">
        <v>-1.168954E-2</v>
      </c>
      <c r="O6294">
        <v>-1.409699E-2</v>
      </c>
      <c r="P6294">
        <v>-0.99548380000000003</v>
      </c>
      <c r="Q6294">
        <v>9.2865329999999996E-2</v>
      </c>
      <c r="R6294">
        <v>1.9703680000000001E-2</v>
      </c>
      <c r="S6294">
        <v>-3.0223390000000001</v>
      </c>
      <c r="T6294">
        <v>-0.1090612</v>
      </c>
      <c r="U6294">
        <v>5.4901119999999998E-2</v>
      </c>
      <c r="V6294">
        <v>3.2796560000000002E-2</v>
      </c>
      <c r="W6294">
        <v>0.10479040000000001</v>
      </c>
      <c r="X6294">
        <v>0.99395339999999999</v>
      </c>
      <c r="Y6294">
        <v>3.2223979999999999E-2</v>
      </c>
      <c r="Z6294">
        <v>1.1133549999999999E-3</v>
      </c>
      <c r="AA6294">
        <v>0.99948009999999998</v>
      </c>
      <c r="AB6294">
        <v>25</v>
      </c>
      <c r="AC6294">
        <v>-30.933399999999899</v>
      </c>
      <c r="AD6294">
        <v>-1.1247762201410001</v>
      </c>
      <c r="AE6294">
        <v>0.57400000000001195</v>
      </c>
      <c r="AF6294">
        <v>1.0087073906253099</v>
      </c>
      <c r="AG6294">
        <v>-1.1247762201410001</v>
      </c>
      <c r="AH6294">
        <v>30.8814181234331</v>
      </c>
      <c r="AI6294">
        <v>92.084818422779094</v>
      </c>
      <c r="AJ6294">
        <v>88.129161851574693</v>
      </c>
      <c r="AK6294">
        <v>30.9183537313939</v>
      </c>
      <c r="AL6294">
        <v>83.984909265169506</v>
      </c>
      <c r="AM6294">
        <v>88.110149869148501</v>
      </c>
      <c r="AN6294">
        <v>1.00000000182577</v>
      </c>
    </row>
    <row r="6295" spans="1:40" x14ac:dyDescent="0.25">
      <c r="A6295" t="str">
        <f>"20190303162037153"</f>
        <v>20190303162037153</v>
      </c>
      <c r="B6295" t="str">
        <f>"1551601237138699"</f>
        <v>1551601237138699</v>
      </c>
      <c r="C6295" t="s">
        <v>40</v>
      </c>
      <c r="D6295">
        <v>5.4353499999999997</v>
      </c>
      <c r="E6295">
        <v>0.48255910000000002</v>
      </c>
      <c r="F6295" t="s">
        <v>41</v>
      </c>
      <c r="G6295">
        <v>-272.18130000000002</v>
      </c>
      <c r="H6295" s="1">
        <v>-3.591805E-6</v>
      </c>
      <c r="I6295">
        <v>140.57560000000001</v>
      </c>
      <c r="J6295">
        <v>-218.1242</v>
      </c>
      <c r="K6295">
        <v>1.124676</v>
      </c>
      <c r="L6295">
        <v>141.77420000000001</v>
      </c>
      <c r="M6295">
        <v>-0.99974750000000001</v>
      </c>
      <c r="N6295">
        <v>-1.168407E-2</v>
      </c>
      <c r="O6295">
        <v>-1.9192319999999999E-2</v>
      </c>
      <c r="P6295">
        <v>-0.99547920000000001</v>
      </c>
      <c r="Q6295">
        <v>9.2530890000000005E-2</v>
      </c>
      <c r="R6295">
        <v>2.143436E-2</v>
      </c>
      <c r="S6295">
        <v>-3.0207670000000002</v>
      </c>
      <c r="T6295">
        <v>-6.2572719999999998E-2</v>
      </c>
      <c r="U6295">
        <v>-6.7184450000000007E-2</v>
      </c>
      <c r="V6295">
        <v>3.9623730000000003E-2</v>
      </c>
      <c r="W6295">
        <v>0.1044997</v>
      </c>
      <c r="X6295">
        <v>0.99373529999999999</v>
      </c>
      <c r="Y6295">
        <v>-3.0421340000000002E-3</v>
      </c>
      <c r="Z6295">
        <v>1.239073E-4</v>
      </c>
      <c r="AA6295">
        <v>0.99999539999999998</v>
      </c>
      <c r="AB6295">
        <v>25</v>
      </c>
      <c r="AC6295">
        <v>-54.057099999999998</v>
      </c>
      <c r="AD6295">
        <v>-1.1246795918050001</v>
      </c>
      <c r="AE6295">
        <v>-1.1985999999999899</v>
      </c>
      <c r="AF6295">
        <v>-0.16075762408136501</v>
      </c>
      <c r="AG6295">
        <v>-1.1246795918050001</v>
      </c>
      <c r="AH6295">
        <v>54.046763934865801</v>
      </c>
      <c r="AI6295">
        <v>91.192112261868104</v>
      </c>
      <c r="AJ6295">
        <v>90.170421049310505</v>
      </c>
      <c r="AK6295">
        <v>54.058703638073197</v>
      </c>
      <c r="AL6295">
        <v>84.001657311030499</v>
      </c>
      <c r="AM6295">
        <v>87.716624863039598</v>
      </c>
      <c r="AN6295">
        <v>1.0000000368726401</v>
      </c>
    </row>
    <row r="6296" spans="1:40" x14ac:dyDescent="0.25">
      <c r="A6296" t="str">
        <f>"20190303162037175"</f>
        <v>20190303162037175</v>
      </c>
      <c r="B6296" t="str">
        <f>"1551601237168955"</f>
        <v>1551601237168955</v>
      </c>
      <c r="C6296" t="s">
        <v>40</v>
      </c>
      <c r="D6296">
        <v>5.3758280000000003</v>
      </c>
      <c r="E6296">
        <v>0.48044890000000001</v>
      </c>
      <c r="F6296" t="s">
        <v>41</v>
      </c>
      <c r="G6296">
        <v>-275.17230000000001</v>
      </c>
      <c r="H6296" s="1">
        <v>-2.240164E-6</v>
      </c>
      <c r="I6296">
        <v>140.31809999999999</v>
      </c>
      <c r="J6296">
        <v>-218.38079999999999</v>
      </c>
      <c r="K6296">
        <v>1.124522</v>
      </c>
      <c r="L6296">
        <v>141.76349999999999</v>
      </c>
      <c r="M6296">
        <v>-0.99963579999999996</v>
      </c>
      <c r="N6296">
        <v>-1.167517E-2</v>
      </c>
      <c r="O6296">
        <v>-2.4335989999999998E-2</v>
      </c>
      <c r="P6296">
        <v>-0.99556560000000005</v>
      </c>
      <c r="Q6296">
        <v>9.1688649999999997E-2</v>
      </c>
      <c r="R6296">
        <v>2.1039309999999999E-2</v>
      </c>
      <c r="S6296">
        <v>-3.0208439999999999</v>
      </c>
      <c r="T6296">
        <v>-5.9554700000000002E-2</v>
      </c>
      <c r="U6296">
        <v>-7.7102660000000003E-2</v>
      </c>
      <c r="V6296">
        <v>4.4394200000000002E-2</v>
      </c>
      <c r="W6296">
        <v>0.1036726</v>
      </c>
      <c r="X6296">
        <v>0.99362019999999995</v>
      </c>
      <c r="Y6296">
        <v>-1.1783900000000001E-3</v>
      </c>
      <c r="Z6296">
        <v>1.7696039999999999E-4</v>
      </c>
      <c r="AA6296">
        <v>0.99999930000000004</v>
      </c>
      <c r="AB6296">
        <v>25</v>
      </c>
      <c r="AC6296">
        <v>-56.791499999999999</v>
      </c>
      <c r="AD6296">
        <v>-1.1245242401639901</v>
      </c>
      <c r="AE6296">
        <v>-1.4454</v>
      </c>
      <c r="AF6296">
        <v>-6.2775883634651197E-2</v>
      </c>
      <c r="AG6296">
        <v>-1.1245242401639901</v>
      </c>
      <c r="AH6296">
        <v>56.787605062487899</v>
      </c>
      <c r="AI6296">
        <v>91.134438294422495</v>
      </c>
      <c r="AJ6296">
        <v>90.063337619510307</v>
      </c>
      <c r="AK6296">
        <v>56.7987727359613</v>
      </c>
      <c r="AL6296">
        <v>84.049305105999906</v>
      </c>
      <c r="AM6296">
        <v>87.441769221306998</v>
      </c>
      <c r="AN6296">
        <v>0.99999997741621904</v>
      </c>
    </row>
    <row r="6297" spans="1:40" x14ac:dyDescent="0.25">
      <c r="A6297" t="str">
        <f>"20190303162037198"</f>
        <v>20190303162037198</v>
      </c>
      <c r="B6297" t="str">
        <f>"1551601237188475"</f>
        <v>1551601237188475</v>
      </c>
      <c r="C6297" t="s">
        <v>40</v>
      </c>
      <c r="D6297">
        <v>5.3787729999999998</v>
      </c>
      <c r="E6297">
        <v>0.479632</v>
      </c>
      <c r="F6297" t="s">
        <v>41</v>
      </c>
      <c r="G6297">
        <v>-273.31830000000002</v>
      </c>
      <c r="H6297" s="1">
        <v>-2.9679500000000001E-6</v>
      </c>
      <c r="I6297">
        <v>140.0641</v>
      </c>
      <c r="J6297">
        <v>-218.62520000000001</v>
      </c>
      <c r="K6297">
        <v>1.124322</v>
      </c>
      <c r="L6297">
        <v>141.75239999999999</v>
      </c>
      <c r="M6297">
        <v>-0.9995134</v>
      </c>
      <c r="N6297">
        <v>-1.166322E-2</v>
      </c>
      <c r="O6297">
        <v>-2.8932619999999999E-2</v>
      </c>
      <c r="P6297">
        <v>-0.99558329999999995</v>
      </c>
      <c r="Q6297">
        <v>9.1531989999999994E-2</v>
      </c>
      <c r="R6297">
        <v>2.0886689999999999E-2</v>
      </c>
      <c r="S6297">
        <v>-3.0210270000000001</v>
      </c>
      <c r="T6297">
        <v>-6.1838030000000002E-2</v>
      </c>
      <c r="U6297">
        <v>-9.3444819999999998E-2</v>
      </c>
      <c r="V6297">
        <v>4.886691E-2</v>
      </c>
      <c r="W6297">
        <v>0.1035157</v>
      </c>
      <c r="X6297">
        <v>0.9934267</v>
      </c>
      <c r="Y6297">
        <v>-1.9834689999999999E-3</v>
      </c>
      <c r="Z6297">
        <v>2.2259499999999999E-4</v>
      </c>
      <c r="AA6297">
        <v>0.99999800000000005</v>
      </c>
      <c r="AB6297">
        <v>25</v>
      </c>
      <c r="AC6297">
        <v>-54.693100000000001</v>
      </c>
      <c r="AD6297">
        <v>-1.12432496795</v>
      </c>
      <c r="AE6297">
        <v>-1.6882999999999899</v>
      </c>
      <c r="AF6297">
        <v>-0.105026591485605</v>
      </c>
      <c r="AG6297">
        <v>-1.12432496795</v>
      </c>
      <c r="AH6297">
        <v>54.695958724716299</v>
      </c>
      <c r="AI6297">
        <v>91.177598623938906</v>
      </c>
      <c r="AJ6297">
        <v>90.110018604175295</v>
      </c>
      <c r="AK6297">
        <v>54.707614077332501</v>
      </c>
      <c r="AL6297">
        <v>84.058343826487103</v>
      </c>
      <c r="AM6297">
        <v>87.183876060908304</v>
      </c>
      <c r="AN6297">
        <v>1.0000000416561601</v>
      </c>
    </row>
    <row r="6298" spans="1:40" x14ac:dyDescent="0.25">
      <c r="A6298" t="str">
        <f>"20190303162037219"</f>
        <v>20190303162037219</v>
      </c>
      <c r="B6298" t="str">
        <f>"1551601237208970"</f>
        <v>1551601237208970</v>
      </c>
      <c r="C6298" t="s">
        <v>40</v>
      </c>
      <c r="D6298">
        <v>5.3738130000000002</v>
      </c>
      <c r="E6298">
        <v>0.47900799999999999</v>
      </c>
      <c r="F6298" t="s">
        <v>41</v>
      </c>
      <c r="G6298">
        <v>-272.27420000000001</v>
      </c>
      <c r="H6298" s="1">
        <v>-3.3869079999999999E-6</v>
      </c>
      <c r="I6298">
        <v>139.95529999999999</v>
      </c>
      <c r="J6298">
        <v>-218.87289999999999</v>
      </c>
      <c r="K6298">
        <v>1.124066</v>
      </c>
      <c r="L6298">
        <v>141.74029999999999</v>
      </c>
      <c r="M6298">
        <v>-0.99937989999999999</v>
      </c>
      <c r="N6298">
        <v>-1.1648560000000001E-2</v>
      </c>
      <c r="O6298">
        <v>-3.3229620000000001E-2</v>
      </c>
      <c r="P6298">
        <v>-0.99568820000000002</v>
      </c>
      <c r="Q6298">
        <v>9.0404990000000005E-2</v>
      </c>
      <c r="R6298">
        <v>2.0787380000000001E-2</v>
      </c>
      <c r="S6298">
        <v>-3.021255</v>
      </c>
      <c r="T6298">
        <v>-6.3316699999999906E-2</v>
      </c>
      <c r="U6298">
        <v>-0.1011963</v>
      </c>
      <c r="V6298">
        <v>5.3117129999999999E-2</v>
      </c>
      <c r="W6298">
        <v>0.10237400000000001</v>
      </c>
      <c r="X6298">
        <v>0.99332679999999995</v>
      </c>
      <c r="Y6298">
        <v>-2.4562130000000001E-4</v>
      </c>
      <c r="Z6298">
        <v>3.0485720000000003E-4</v>
      </c>
      <c r="AA6298">
        <v>0.99999990000000005</v>
      </c>
      <c r="AB6298">
        <v>25</v>
      </c>
      <c r="AC6298">
        <v>-53.401299999999999</v>
      </c>
      <c r="AD6298">
        <v>-1.1240693869080001</v>
      </c>
      <c r="AE6298">
        <v>-1.7849999999999899</v>
      </c>
      <c r="AF6298">
        <v>-9.3846980810709992E-3</v>
      </c>
      <c r="AG6298">
        <v>-1.1240693869080001</v>
      </c>
      <c r="AH6298">
        <v>53.407486285344604</v>
      </c>
      <c r="AI6298">
        <v>91.205728407199999</v>
      </c>
      <c r="AJ6298">
        <v>90.010067944101294</v>
      </c>
      <c r="AK6298">
        <v>53.419314965454397</v>
      </c>
      <c r="AL6298">
        <v>84.124107564154798</v>
      </c>
      <c r="AM6298">
        <v>86.939082369519298</v>
      </c>
      <c r="AN6298">
        <v>0.99999999848683796</v>
      </c>
    </row>
    <row r="6299" spans="1:40" x14ac:dyDescent="0.25">
      <c r="A6299" t="str">
        <f>"20190303162037241"</f>
        <v>20190303162037241</v>
      </c>
      <c r="B6299" t="str">
        <f>"1551601237228491"</f>
        <v>1551601237228491</v>
      </c>
      <c r="C6299" t="s">
        <v>40</v>
      </c>
      <c r="D6299">
        <v>5.3731869999999997</v>
      </c>
      <c r="E6299">
        <v>0.47830420000000001</v>
      </c>
      <c r="F6299" t="s">
        <v>41</v>
      </c>
      <c r="G6299">
        <v>-269.66809999999998</v>
      </c>
      <c r="H6299" s="1">
        <v>-2.0427240000000001E-7</v>
      </c>
      <c r="I6299">
        <v>139.9152</v>
      </c>
      <c r="J6299">
        <v>-219.1189</v>
      </c>
      <c r="K6299">
        <v>1.1237779999999999</v>
      </c>
      <c r="L6299">
        <v>141.7277</v>
      </c>
      <c r="M6299">
        <v>-0.99924460000000004</v>
      </c>
      <c r="N6299">
        <v>-1.163266E-2</v>
      </c>
      <c r="O6299">
        <v>-3.7080490000000001E-2</v>
      </c>
      <c r="P6299">
        <v>-0.99575080000000005</v>
      </c>
      <c r="Q6299">
        <v>9.0094919999999995E-2</v>
      </c>
      <c r="R6299">
        <v>1.906213E-2</v>
      </c>
      <c r="S6299">
        <v>-3.0213169999999998</v>
      </c>
      <c r="T6299">
        <v>-6.6859840000000004E-2</v>
      </c>
      <c r="U6299">
        <v>-0.10855099999999999</v>
      </c>
      <c r="V6299">
        <v>5.5301330000000003E-2</v>
      </c>
      <c r="W6299">
        <v>0.1020235</v>
      </c>
      <c r="X6299">
        <v>0.9932436</v>
      </c>
      <c r="Y6299">
        <v>1.176084E-3</v>
      </c>
      <c r="Z6299">
        <v>4.0843569999999998E-4</v>
      </c>
      <c r="AA6299">
        <v>0.99999919999999998</v>
      </c>
      <c r="AB6299">
        <v>25</v>
      </c>
      <c r="AC6299">
        <v>-50.5491999999999</v>
      </c>
      <c r="AD6299">
        <v>-1.1237782042724</v>
      </c>
      <c r="AE6299">
        <v>-1.8125</v>
      </c>
      <c r="AF6299">
        <v>6.3231335458205196E-2</v>
      </c>
      <c r="AG6299">
        <v>-1.1237782042724</v>
      </c>
      <c r="AH6299">
        <v>50.556689889866597</v>
      </c>
      <c r="AI6299">
        <v>91.273364549106105</v>
      </c>
      <c r="AJ6299">
        <v>89.928340111395997</v>
      </c>
      <c r="AK6299">
        <v>50.569217596027002</v>
      </c>
      <c r="AL6299">
        <v>84.144295096788397</v>
      </c>
      <c r="AM6299">
        <v>86.813203979295096</v>
      </c>
      <c r="AN6299">
        <v>0.99999994029648698</v>
      </c>
    </row>
    <row r="6300" spans="1:40" x14ac:dyDescent="0.25">
      <c r="A6300" t="str">
        <f>"20190303162037264"</f>
        <v>20190303162037264</v>
      </c>
      <c r="B6300" t="str">
        <f>"1551601237258747"</f>
        <v>1551601237258747</v>
      </c>
      <c r="C6300" t="s">
        <v>40</v>
      </c>
      <c r="D6300">
        <v>5.3194499999999998</v>
      </c>
      <c r="E6300">
        <v>0.4784756</v>
      </c>
      <c r="F6300" t="s">
        <v>41</v>
      </c>
      <c r="G6300">
        <v>-268.22719999999998</v>
      </c>
      <c r="H6300" s="1">
        <v>-7.8474829999999996E-7</v>
      </c>
      <c r="I6300">
        <v>139.77369999999999</v>
      </c>
      <c r="J6300">
        <v>-219.37809999999999</v>
      </c>
      <c r="K6300">
        <v>1.1234500000000001</v>
      </c>
      <c r="L6300">
        <v>141.71379999999999</v>
      </c>
      <c r="M6300">
        <v>-0.99910589999999999</v>
      </c>
      <c r="N6300">
        <v>-1.161563E-2</v>
      </c>
      <c r="O6300">
        <v>-4.065386E-2</v>
      </c>
      <c r="P6300">
        <v>-0.99569149999999995</v>
      </c>
      <c r="Q6300">
        <v>9.1106010000000001E-2</v>
      </c>
      <c r="R6300">
        <v>1.7279180000000002E-2</v>
      </c>
      <c r="S6300">
        <v>-3.0213619999999999</v>
      </c>
      <c r="T6300">
        <v>-6.9139839999999994E-2</v>
      </c>
      <c r="U6300">
        <v>-0.1202087</v>
      </c>
      <c r="V6300">
        <v>5.7151340000000002E-2</v>
      </c>
      <c r="W6300">
        <v>0.10298019999999999</v>
      </c>
      <c r="X6300">
        <v>0.99304020000000004</v>
      </c>
      <c r="Y6300">
        <v>8.9959320000000003E-4</v>
      </c>
      <c r="Z6300">
        <v>4.7274300000000002E-4</v>
      </c>
      <c r="AA6300">
        <v>0.99999950000000004</v>
      </c>
      <c r="AB6300">
        <v>25</v>
      </c>
      <c r="AC6300">
        <v>-48.8490999999999</v>
      </c>
      <c r="AD6300">
        <v>-1.1234507847483</v>
      </c>
      <c r="AE6300">
        <v>-1.9400999999999999</v>
      </c>
      <c r="AF6300">
        <v>4.7517223652764097E-2</v>
      </c>
      <c r="AG6300">
        <v>-1.1234507847483</v>
      </c>
      <c r="AH6300">
        <v>48.861784819833403</v>
      </c>
      <c r="AI6300">
        <v>91.317136059372203</v>
      </c>
      <c r="AJ6300">
        <v>89.944280882876697</v>
      </c>
      <c r="AK6300">
        <v>48.874721639432401</v>
      </c>
      <c r="AL6300">
        <v>84.0891904312153</v>
      </c>
      <c r="AM6300">
        <v>86.7061530625665</v>
      </c>
      <c r="AN6300">
        <v>1.0000000180359301</v>
      </c>
    </row>
    <row r="6301" spans="1:40" x14ac:dyDescent="0.25">
      <c r="A6301" t="str">
        <f>"20190303162037288"</f>
        <v>20190303162037288</v>
      </c>
      <c r="B6301" t="str">
        <f>"1551601237279242"</f>
        <v>1551601237279242</v>
      </c>
      <c r="C6301" t="s">
        <v>40</v>
      </c>
      <c r="D6301">
        <v>5.3194749999999997</v>
      </c>
      <c r="E6301">
        <v>0.47855740000000002</v>
      </c>
      <c r="F6301" t="s">
        <v>41</v>
      </c>
      <c r="G6301">
        <v>-272.47579999999999</v>
      </c>
      <c r="H6301" s="1">
        <v>-3.2280950000000001E-6</v>
      </c>
      <c r="I6301">
        <v>139.51509999999999</v>
      </c>
      <c r="J6301">
        <v>-219.64320000000001</v>
      </c>
      <c r="K6301">
        <v>1.1230880000000001</v>
      </c>
      <c r="L6301">
        <v>141.69929999999999</v>
      </c>
      <c r="M6301">
        <v>-0.99897650000000004</v>
      </c>
      <c r="N6301">
        <v>-1.1598229999999999E-2</v>
      </c>
      <c r="O6301">
        <v>-4.3719380000000002E-2</v>
      </c>
      <c r="P6301">
        <v>-0.99558630000000004</v>
      </c>
      <c r="Q6301">
        <v>9.2401609999999995E-2</v>
      </c>
      <c r="R6301">
        <v>1.642915E-2</v>
      </c>
      <c r="S6301">
        <v>-3.0210110000000001</v>
      </c>
      <c r="T6301">
        <v>-6.3919309999999993E-2</v>
      </c>
      <c r="U6301">
        <v>-0.1250916</v>
      </c>
      <c r="V6301">
        <v>5.9432499999999999E-2</v>
      </c>
      <c r="W6301">
        <v>0.10421610000000001</v>
      </c>
      <c r="X6301">
        <v>0.99277729999999997</v>
      </c>
      <c r="Y6301">
        <v>2.3499200000000001E-3</v>
      </c>
      <c r="Z6301">
        <v>4.5550080000000001E-4</v>
      </c>
      <c r="AA6301">
        <v>0.99999709999999997</v>
      </c>
      <c r="AB6301">
        <v>25</v>
      </c>
      <c r="AC6301">
        <v>-52.8325999999999</v>
      </c>
      <c r="AD6301">
        <v>-1.1230912280949901</v>
      </c>
      <c r="AE6301">
        <v>-2.1842000000000001</v>
      </c>
      <c r="AF6301">
        <v>0.127794997363947</v>
      </c>
      <c r="AG6301">
        <v>-1.1230912280949901</v>
      </c>
      <c r="AH6301">
        <v>52.8537326875609</v>
      </c>
      <c r="AI6301">
        <v>91.217293723958903</v>
      </c>
      <c r="AJ6301">
        <v>89.861464851191499</v>
      </c>
      <c r="AK6301">
        <v>52.865818110345302</v>
      </c>
      <c r="AL6301">
        <v>84.017995337221095</v>
      </c>
      <c r="AM6301">
        <v>86.574083386025094</v>
      </c>
      <c r="AN6301">
        <v>0.99999999247537497</v>
      </c>
    </row>
    <row r="6302" spans="1:40" x14ac:dyDescent="0.25">
      <c r="A6302" t="str">
        <f>"20190303162037310"</f>
        <v>20190303162037310</v>
      </c>
      <c r="B6302" t="str">
        <f>"1551601237298763"</f>
        <v>1551601237298763</v>
      </c>
      <c r="C6302" t="s">
        <v>40</v>
      </c>
      <c r="D6302">
        <v>5.2010430000000003</v>
      </c>
      <c r="E6302">
        <v>0.47857529999999998</v>
      </c>
      <c r="F6302" t="s">
        <v>41</v>
      </c>
      <c r="G6302">
        <v>-277.11009999999999</v>
      </c>
      <c r="H6302" s="1">
        <v>-1.281542E-6</v>
      </c>
      <c r="I6302">
        <v>139.2809</v>
      </c>
      <c r="J6302">
        <v>-219.8954</v>
      </c>
      <c r="K6302">
        <v>1.1227579999999999</v>
      </c>
      <c r="L6302">
        <v>141.68520000000001</v>
      </c>
      <c r="M6302">
        <v>-0.99886830000000004</v>
      </c>
      <c r="N6302">
        <v>-1.1582530000000001E-2</v>
      </c>
      <c r="O6302">
        <v>-4.6132220000000002E-2</v>
      </c>
      <c r="P6302">
        <v>-0.99551420000000002</v>
      </c>
      <c r="Q6302">
        <v>9.3217019999999998E-2</v>
      </c>
      <c r="R6302">
        <v>1.620415E-2</v>
      </c>
      <c r="S6302">
        <v>-3.0208590000000002</v>
      </c>
      <c r="T6302">
        <v>-5.9037449999999998E-2</v>
      </c>
      <c r="U6302">
        <v>-0.12712100000000001</v>
      </c>
      <c r="V6302">
        <v>6.168709E-2</v>
      </c>
      <c r="W6302">
        <v>0.104973499999999</v>
      </c>
      <c r="X6302">
        <v>0.99256</v>
      </c>
      <c r="Y6302">
        <v>4.0927289999999998E-3</v>
      </c>
      <c r="Z6302">
        <v>4.2995849999999999E-4</v>
      </c>
      <c r="AA6302">
        <v>0.99999150000000003</v>
      </c>
      <c r="AB6302">
        <v>25</v>
      </c>
      <c r="AC6302">
        <v>-57.214699999999901</v>
      </c>
      <c r="AD6302">
        <v>-1.122759281542</v>
      </c>
      <c r="AE6302">
        <v>-2.4043000000000001</v>
      </c>
      <c r="AF6302">
        <v>0.237786597929071</v>
      </c>
      <c r="AG6302">
        <v>-1.122759281542</v>
      </c>
      <c r="AH6302">
        <v>57.242696375164897</v>
      </c>
      <c r="AI6302">
        <v>91.123646683938205</v>
      </c>
      <c r="AJ6302">
        <v>89.761994263295804</v>
      </c>
      <c r="AK6302">
        <v>57.254200013359402</v>
      </c>
      <c r="AL6302">
        <v>83.974360476763295</v>
      </c>
      <c r="AM6302">
        <v>86.443671109640405</v>
      </c>
      <c r="AN6302">
        <v>1.0000000431874501</v>
      </c>
    </row>
    <row r="6303" spans="1:40" x14ac:dyDescent="0.25">
      <c r="A6303" t="str">
        <f>"20190303162037331"</f>
        <v>20190303162037331</v>
      </c>
      <c r="B6303" t="str">
        <f>"1551601237319259"</f>
        <v>1551601237319259</v>
      </c>
      <c r="C6303" t="s">
        <v>40</v>
      </c>
      <c r="D6303">
        <v>5.2625380000000002</v>
      </c>
      <c r="E6303">
        <v>0.47852539999999999</v>
      </c>
      <c r="F6303" t="s">
        <v>41</v>
      </c>
      <c r="G6303">
        <v>-279.3476</v>
      </c>
      <c r="H6303" s="1">
        <v>-3.3905639999999998E-7</v>
      </c>
      <c r="I6303">
        <v>139.18279999999999</v>
      </c>
      <c r="J6303">
        <v>-220.14670000000001</v>
      </c>
      <c r="K6303">
        <v>1.1224749999999999</v>
      </c>
      <c r="L6303">
        <v>141.6711</v>
      </c>
      <c r="M6303">
        <v>-0.99877389999999999</v>
      </c>
      <c r="N6303">
        <v>-1.156796E-2</v>
      </c>
      <c r="O6303">
        <v>-4.8136440000000003E-2</v>
      </c>
      <c r="P6303">
        <v>-0.99537569999999997</v>
      </c>
      <c r="Q6303">
        <v>9.4789860000000004E-2</v>
      </c>
      <c r="R6303">
        <v>1.55672E-2</v>
      </c>
      <c r="S6303">
        <v>-3.02095</v>
      </c>
      <c r="T6303">
        <v>-5.7050820000000002E-2</v>
      </c>
      <c r="U6303">
        <v>-0.1271515</v>
      </c>
      <c r="V6303">
        <v>6.3107280000000002E-2</v>
      </c>
      <c r="W6303">
        <v>0.1064898</v>
      </c>
      <c r="X6303">
        <v>0.99230910000000005</v>
      </c>
      <c r="Y6303">
        <v>6.0901369999999998E-3</v>
      </c>
      <c r="Z6303">
        <v>4.4390990000000002E-4</v>
      </c>
      <c r="AA6303">
        <v>0.99998129999999996</v>
      </c>
      <c r="AB6303">
        <v>25</v>
      </c>
      <c r="AC6303">
        <v>-59.200899999999898</v>
      </c>
      <c r="AD6303">
        <v>-1.1224753390564</v>
      </c>
      <c r="AE6303">
        <v>-2.4883000000000002</v>
      </c>
      <c r="AF6303">
        <v>0.36436506321654799</v>
      </c>
      <c r="AG6303">
        <v>-1.1224753390564</v>
      </c>
      <c r="AH6303">
        <v>59.230793425659002</v>
      </c>
      <c r="AI6303">
        <v>91.085654640499499</v>
      </c>
      <c r="AJ6303">
        <v>89.647542844133397</v>
      </c>
      <c r="AK6303">
        <v>59.2425489206801</v>
      </c>
      <c r="AL6303">
        <v>83.886992762027006</v>
      </c>
      <c r="AM6303">
        <v>86.361095631200897</v>
      </c>
      <c r="AN6303">
        <v>0.99999997811792396</v>
      </c>
    </row>
    <row r="6304" spans="1:40" x14ac:dyDescent="0.25">
      <c r="A6304" t="str">
        <f>"20190303162037353"</f>
        <v>20190303162037353</v>
      </c>
      <c r="B6304" t="str">
        <f>"1551601237338778"</f>
        <v>1551601237338778</v>
      </c>
      <c r="C6304" t="s">
        <v>40</v>
      </c>
      <c r="D6304">
        <v>5.260275</v>
      </c>
      <c r="E6304">
        <v>0.4781938</v>
      </c>
      <c r="F6304" t="s">
        <v>50</v>
      </c>
      <c r="G6304">
        <v>-286.59399999999999</v>
      </c>
      <c r="H6304" s="1">
        <v>-6.5595329999999999E-6</v>
      </c>
      <c r="I6304">
        <v>138.82929999999999</v>
      </c>
      <c r="J6304">
        <v>-220.38939999999999</v>
      </c>
      <c r="K6304">
        <v>1.1222240000000001</v>
      </c>
      <c r="L6304">
        <v>141.6574</v>
      </c>
      <c r="M6304">
        <v>-0.99869779999999997</v>
      </c>
      <c r="N6304">
        <v>-1.155456E-2</v>
      </c>
      <c r="O6304">
        <v>-4.969171E-2</v>
      </c>
      <c r="P6304">
        <v>-0.99530660000000004</v>
      </c>
      <c r="Q6304">
        <v>9.5608139999999994E-2</v>
      </c>
      <c r="R6304">
        <v>1.4974309999999999E-2</v>
      </c>
      <c r="S6304">
        <v>-3.0208279999999998</v>
      </c>
      <c r="T6304">
        <v>-5.1030279999999997E-2</v>
      </c>
      <c r="U6304">
        <v>-0.12919620000000001</v>
      </c>
      <c r="V6304">
        <v>6.4122330000000005E-2</v>
      </c>
      <c r="W6304">
        <v>0.1072565</v>
      </c>
      <c r="X6304">
        <v>0.99216150000000003</v>
      </c>
      <c r="Y6304">
        <v>6.9706639999999997E-3</v>
      </c>
      <c r="Z6304">
        <v>3.6340960000000002E-4</v>
      </c>
      <c r="AA6304">
        <v>0.99997559999999996</v>
      </c>
      <c r="AB6304">
        <v>25</v>
      </c>
      <c r="AC6304">
        <v>-66.204599999999999</v>
      </c>
      <c r="AD6304">
        <v>-1.122230559533</v>
      </c>
      <c r="AE6304">
        <v>-2.8281000000000001</v>
      </c>
      <c r="AF6304">
        <v>0.46530013675883503</v>
      </c>
      <c r="AG6304">
        <v>-1.122230559533</v>
      </c>
      <c r="AH6304">
        <v>66.244343055933498</v>
      </c>
      <c r="AI6304">
        <v>90.970518177102903</v>
      </c>
      <c r="AJ6304">
        <v>89.597561174385504</v>
      </c>
      <c r="AK6304">
        <v>66.255481981178207</v>
      </c>
      <c r="AL6304">
        <v>83.842811400222502</v>
      </c>
      <c r="AM6304">
        <v>86.302178183213499</v>
      </c>
      <c r="AN6304">
        <v>1.00000003603956</v>
      </c>
    </row>
    <row r="6305" spans="1:40" x14ac:dyDescent="0.25">
      <c r="A6305" t="str">
        <f>"20190303162037375"</f>
        <v>20190303162037375</v>
      </c>
      <c r="B6305" t="str">
        <f>"1551601237369034"</f>
        <v>1551601237369034</v>
      </c>
      <c r="C6305" t="s">
        <v>40</v>
      </c>
      <c r="D6305">
        <v>5.2545539999999997</v>
      </c>
      <c r="E6305">
        <v>0.47812640000000001</v>
      </c>
      <c r="F6305" t="s">
        <v>50</v>
      </c>
      <c r="G6305">
        <v>-289.92020000000002</v>
      </c>
      <c r="H6305" s="1">
        <v>-8.5382769999999996E-6</v>
      </c>
      <c r="I6305">
        <v>138.56630000000001</v>
      </c>
      <c r="J6305">
        <v>-220.6465</v>
      </c>
      <c r="K6305">
        <v>1.1219509999999999</v>
      </c>
      <c r="L6305">
        <v>141.64279999999999</v>
      </c>
      <c r="M6305">
        <v>-0.99863610000000003</v>
      </c>
      <c r="N6305">
        <v>-1.1541279999999999E-2</v>
      </c>
      <c r="O6305">
        <v>-5.092203E-2</v>
      </c>
      <c r="P6305">
        <v>-0.9954153</v>
      </c>
      <c r="Q6305">
        <v>9.4463649999999996E-2</v>
      </c>
      <c r="R6305">
        <v>1.501601E-2</v>
      </c>
      <c r="S6305">
        <v>-3.0208439999999999</v>
      </c>
      <c r="T6305">
        <v>-4.8756599999999997E-2</v>
      </c>
      <c r="U6305">
        <v>-0.13429260000000001</v>
      </c>
      <c r="V6305">
        <v>6.5464839999999996E-2</v>
      </c>
      <c r="W6305">
        <v>0.1060603</v>
      </c>
      <c r="X6305">
        <v>0.99220240000000004</v>
      </c>
      <c r="Y6305">
        <v>6.5193359999999997E-3</v>
      </c>
      <c r="Z6305">
        <v>3.2337209999999997E-4</v>
      </c>
      <c r="AA6305">
        <v>0.9999787</v>
      </c>
      <c r="AB6305">
        <v>25</v>
      </c>
      <c r="AC6305">
        <v>-69.273700000000005</v>
      </c>
      <c r="AD6305">
        <v>-1.121959538277</v>
      </c>
      <c r="AE6305">
        <v>-3.0764999999999798</v>
      </c>
      <c r="AF6305">
        <v>0.45516455957060498</v>
      </c>
      <c r="AG6305">
        <v>-1.121959538277</v>
      </c>
      <c r="AH6305">
        <v>69.322338326445802</v>
      </c>
      <c r="AI6305">
        <v>90.927212650456198</v>
      </c>
      <c r="AJ6305">
        <v>89.623806205611203</v>
      </c>
      <c r="AK6305">
        <v>69.332911081448501</v>
      </c>
      <c r="AL6305">
        <v>83.911741698519407</v>
      </c>
      <c r="AM6305">
        <v>86.225134734618194</v>
      </c>
      <c r="AN6305">
        <v>1.00000001753903</v>
      </c>
    </row>
    <row r="6306" spans="1:40" x14ac:dyDescent="0.25">
      <c r="A6306" t="str">
        <f>"20190303162037399"</f>
        <v>20190303162037399</v>
      </c>
      <c r="B6306" t="str">
        <f>"1551601237388555"</f>
        <v>1551601237388555</v>
      </c>
      <c r="C6306" t="s">
        <v>40</v>
      </c>
      <c r="D6306">
        <v>5.202032</v>
      </c>
      <c r="E6306">
        <v>0.47818490000000002</v>
      </c>
      <c r="F6306" t="s">
        <v>50</v>
      </c>
      <c r="G6306">
        <v>-285.3689</v>
      </c>
      <c r="H6306" s="1">
        <v>-5.7728099999999999E-6</v>
      </c>
      <c r="I6306">
        <v>138.76320000000001</v>
      </c>
      <c r="J6306">
        <v>-220.8963</v>
      </c>
      <c r="K6306">
        <v>1.1216729999999999</v>
      </c>
      <c r="L6306">
        <v>141.62880000000001</v>
      </c>
      <c r="M6306">
        <v>-0.99859489999999995</v>
      </c>
      <c r="N6306">
        <v>-1.153004E-2</v>
      </c>
      <c r="O6306">
        <v>-5.1726960000000002E-2</v>
      </c>
      <c r="P6306">
        <v>-0.99551639999999997</v>
      </c>
      <c r="Q6306">
        <v>9.3564030000000006E-2</v>
      </c>
      <c r="R6306">
        <v>1.390753E-2</v>
      </c>
      <c r="S6306">
        <v>-3.020813</v>
      </c>
      <c r="T6306">
        <v>-5.2365540000000002E-2</v>
      </c>
      <c r="U6306">
        <v>-0.1343994</v>
      </c>
      <c r="V6306">
        <v>6.5234899999999998E-2</v>
      </c>
      <c r="W6306">
        <v>0.1051077</v>
      </c>
      <c r="X6306">
        <v>0.9923189</v>
      </c>
      <c r="Y6306">
        <v>7.2889259999999899E-3</v>
      </c>
      <c r="Z6306">
        <v>4.043079E-4</v>
      </c>
      <c r="AA6306">
        <v>0.99997340000000001</v>
      </c>
      <c r="AB6306">
        <v>25</v>
      </c>
      <c r="AC6306">
        <v>-64.4726</v>
      </c>
      <c r="AD6306">
        <v>-1.1216787728099999</v>
      </c>
      <c r="AE6306">
        <v>-2.8656000000000001</v>
      </c>
      <c r="AF6306">
        <v>0.47328645993339902</v>
      </c>
      <c r="AG6306">
        <v>-1.1216787728099999</v>
      </c>
      <c r="AH6306">
        <v>64.515026368023101</v>
      </c>
      <c r="AI6306">
        <v>90.996035497324499</v>
      </c>
      <c r="AJ6306">
        <v>89.579681948037901</v>
      </c>
      <c r="AK6306">
        <v>64.526512307804495</v>
      </c>
      <c r="AL6306">
        <v>83.966628409538998</v>
      </c>
      <c r="AM6306">
        <v>86.238795868019096</v>
      </c>
      <c r="AN6306">
        <v>1.0000000100372499</v>
      </c>
    </row>
    <row r="6307" spans="1:40" x14ac:dyDescent="0.25">
      <c r="A6307" t="str">
        <f>"20190303162037419"</f>
        <v>20190303162037419</v>
      </c>
      <c r="B6307" t="str">
        <f>"1551601237409052"</f>
        <v>1551601237409052</v>
      </c>
      <c r="C6307" t="s">
        <v>40</v>
      </c>
      <c r="D6307">
        <v>5.1382370000000002</v>
      </c>
      <c r="E6307">
        <v>0.47826610000000003</v>
      </c>
      <c r="F6307" t="s">
        <v>50</v>
      </c>
      <c r="G6307">
        <v>-282.07990000000001</v>
      </c>
      <c r="H6307" s="1">
        <v>-4.2593680000000002E-6</v>
      </c>
      <c r="I6307">
        <v>138.87710000000001</v>
      </c>
      <c r="J6307">
        <v>-221.1397</v>
      </c>
      <c r="K6307">
        <v>1.1214059999999999</v>
      </c>
      <c r="L6307">
        <v>141.61529999999999</v>
      </c>
      <c r="M6307">
        <v>-0.99857119999999999</v>
      </c>
      <c r="N6307">
        <v>-1.1521099999999999E-2</v>
      </c>
      <c r="O6307">
        <v>-5.218366E-2</v>
      </c>
      <c r="P6307">
        <v>-0.99563029999999997</v>
      </c>
      <c r="Q6307">
        <v>9.2756439999999996E-2</v>
      </c>
      <c r="R6307">
        <v>1.080271E-2</v>
      </c>
      <c r="S6307">
        <v>-3.0206149999999998</v>
      </c>
      <c r="T6307">
        <v>-5.5376889999999998E-2</v>
      </c>
      <c r="U6307">
        <v>-0.135849</v>
      </c>
      <c r="V6307">
        <v>6.266294E-2</v>
      </c>
      <c r="W6307">
        <v>0.1042493</v>
      </c>
      <c r="X6307">
        <v>0.99257519999999999</v>
      </c>
      <c r="Y6307">
        <v>7.2639119999999904E-3</v>
      </c>
      <c r="Z6307">
        <v>4.6263860000000001E-4</v>
      </c>
      <c r="AA6307">
        <v>0.99997349999999996</v>
      </c>
      <c r="AB6307">
        <v>25</v>
      </c>
      <c r="AC6307">
        <v>-60.940199999999997</v>
      </c>
      <c r="AD6307">
        <v>-1.121410259368</v>
      </c>
      <c r="AE6307">
        <v>-2.7381999999999702</v>
      </c>
      <c r="AF6307">
        <v>0.445673924191892</v>
      </c>
      <c r="AG6307">
        <v>-1.121410259368</v>
      </c>
      <c r="AH6307">
        <v>60.979449345470599</v>
      </c>
      <c r="AI6307">
        <v>91.053520794059907</v>
      </c>
      <c r="AJ6307">
        <v>89.581255971895303</v>
      </c>
      <c r="AK6307">
        <v>60.9913881518804</v>
      </c>
      <c r="AL6307">
        <v>84.016083009276599</v>
      </c>
      <c r="AM6307">
        <v>86.387615271101396</v>
      </c>
      <c r="AN6307">
        <v>1.0000000441274799</v>
      </c>
    </row>
    <row r="6308" spans="1:40" x14ac:dyDescent="0.25">
      <c r="A6308" t="str">
        <f>"20190303162037443"</f>
        <v>20190303162037443</v>
      </c>
      <c r="B6308" t="str">
        <f>"1551601237428571"</f>
        <v>1551601237428571</v>
      </c>
      <c r="C6308" t="s">
        <v>40</v>
      </c>
      <c r="D6308">
        <v>5.2042159999999997</v>
      </c>
      <c r="E6308">
        <v>0.4784099</v>
      </c>
      <c r="F6308" t="s">
        <v>41</v>
      </c>
      <c r="G6308">
        <v>-279.65480000000002</v>
      </c>
      <c r="H6308" s="1">
        <v>-3.092472E-7</v>
      </c>
      <c r="I6308">
        <v>138.84299999999999</v>
      </c>
      <c r="J6308">
        <v>-221.4068</v>
      </c>
      <c r="K6308">
        <v>1.1211359999999999</v>
      </c>
      <c r="L6308">
        <v>141.6009</v>
      </c>
      <c r="M6308">
        <v>-0.9985619</v>
      </c>
      <c r="N6308">
        <v>-1.151289E-2</v>
      </c>
      <c r="O6308">
        <v>-5.2359990000000002E-2</v>
      </c>
      <c r="P6308">
        <v>-0.995618</v>
      </c>
      <c r="Q6308">
        <v>9.3232200000000001E-2</v>
      </c>
      <c r="R6308">
        <v>7.2470879999999996E-3</v>
      </c>
      <c r="S6308">
        <v>-3.0200960000000001</v>
      </c>
      <c r="T6308">
        <v>-5.787838E-2</v>
      </c>
      <c r="U6308">
        <v>-0.14308170000000001</v>
      </c>
      <c r="V6308">
        <v>5.9355980000000003E-2</v>
      </c>
      <c r="W6308">
        <v>0.10467659999999999</v>
      </c>
      <c r="X6308">
        <v>0.99273339999999999</v>
      </c>
      <c r="Y6308">
        <v>5.0432669999999997E-3</v>
      </c>
      <c r="Z6308">
        <v>4.7661779999999998E-4</v>
      </c>
      <c r="AA6308">
        <v>0.99998719999999996</v>
      </c>
      <c r="AB6308">
        <v>25</v>
      </c>
      <c r="AC6308">
        <v>-58.247999999999998</v>
      </c>
      <c r="AD6308">
        <v>-1.1211363092472</v>
      </c>
      <c r="AE6308">
        <v>-2.7578999999999998</v>
      </c>
      <c r="AF6308">
        <v>0.29584109470569397</v>
      </c>
      <c r="AG6308">
        <v>-1.1211363092472</v>
      </c>
      <c r="AH6308">
        <v>58.290955511006501</v>
      </c>
      <c r="AI6308">
        <v>91.101845596707307</v>
      </c>
      <c r="AJ6308">
        <v>89.709212167660496</v>
      </c>
      <c r="AK6308">
        <v>58.302486764831599</v>
      </c>
      <c r="AL6308">
        <v>83.991465349628498</v>
      </c>
      <c r="AM6308">
        <v>86.578332861242998</v>
      </c>
      <c r="AN6308">
        <v>0.999999963212439</v>
      </c>
    </row>
    <row r="6309" spans="1:40" x14ac:dyDescent="0.25">
      <c r="A6309" t="str">
        <f>"20190303162037465"</f>
        <v>20190303162037465</v>
      </c>
      <c r="B6309" t="str">
        <f>"1551601237458827"</f>
        <v>1551601237458827</v>
      </c>
      <c r="C6309" t="s">
        <v>40</v>
      </c>
      <c r="D6309">
        <v>5.0826919999999998</v>
      </c>
      <c r="E6309">
        <v>0.47851329999999997</v>
      </c>
      <c r="F6309" t="s">
        <v>50</v>
      </c>
      <c r="G6309">
        <v>-282.38819999999998</v>
      </c>
      <c r="H6309" s="1">
        <v>-4.2634609999999999E-6</v>
      </c>
      <c r="I6309">
        <v>138.5275</v>
      </c>
      <c r="J6309">
        <v>-221.6576</v>
      </c>
      <c r="K6309">
        <v>1.120914</v>
      </c>
      <c r="L6309">
        <v>141.58760000000001</v>
      </c>
      <c r="M6309">
        <v>-0.99856940000000005</v>
      </c>
      <c r="N6309">
        <v>-1.150614E-2</v>
      </c>
      <c r="O6309">
        <v>-5.2220009999999997E-2</v>
      </c>
      <c r="P6309">
        <v>-0.99561350000000004</v>
      </c>
      <c r="Q6309">
        <v>9.3469049999999998E-2</v>
      </c>
      <c r="R6309">
        <v>4.164648E-3</v>
      </c>
      <c r="S6309">
        <v>-3.019501</v>
      </c>
      <c r="T6309">
        <v>-5.5513380000000001E-2</v>
      </c>
      <c r="U6309">
        <v>-0.1521759</v>
      </c>
      <c r="V6309">
        <v>5.6195429999999998E-2</v>
      </c>
      <c r="W6309">
        <v>0.1048781</v>
      </c>
      <c r="X6309">
        <v>0.99289609999999995</v>
      </c>
      <c r="Y6309">
        <v>1.8903850000000001E-3</v>
      </c>
      <c r="Z6309">
        <v>3.861054E-4</v>
      </c>
      <c r="AA6309">
        <v>0.99999819999999995</v>
      </c>
      <c r="AB6309">
        <v>25</v>
      </c>
      <c r="AC6309">
        <v>-60.730599999999903</v>
      </c>
      <c r="AD6309">
        <v>-1.120918263461</v>
      </c>
      <c r="AE6309">
        <v>-3.0600999999999998</v>
      </c>
      <c r="AF6309">
        <v>0.115598682506156</v>
      </c>
      <c r="AG6309">
        <v>-1.120918263461</v>
      </c>
      <c r="AH6309">
        <v>60.786881726938098</v>
      </c>
      <c r="AI6309">
        <v>91.056420229350707</v>
      </c>
      <c r="AJ6309">
        <v>89.891040493403096</v>
      </c>
      <c r="AK6309">
        <v>60.797325688664301</v>
      </c>
      <c r="AL6309">
        <v>83.979856595516907</v>
      </c>
      <c r="AM6309">
        <v>86.760658409753603</v>
      </c>
      <c r="AN6309">
        <v>1.0000000038038499</v>
      </c>
    </row>
    <row r="6310" spans="1:40" x14ac:dyDescent="0.25">
      <c r="A6310" t="str">
        <f>"20190303162037488"</f>
        <v>20190303162037488</v>
      </c>
      <c r="B6310" t="str">
        <f>"1551601237478347"</f>
        <v>1551601237478347</v>
      </c>
      <c r="C6310" t="s">
        <v>40</v>
      </c>
      <c r="D6310">
        <v>5.1387229999999997</v>
      </c>
      <c r="E6310">
        <v>0.47843409999999897</v>
      </c>
      <c r="F6310" t="s">
        <v>50</v>
      </c>
      <c r="G6310">
        <v>-284.72699999999998</v>
      </c>
      <c r="H6310" s="1">
        <v>-5.1862239999999901E-6</v>
      </c>
      <c r="I6310">
        <v>138.2261</v>
      </c>
      <c r="J6310">
        <v>-221.9119</v>
      </c>
      <c r="K6310">
        <v>1.1207199999999999</v>
      </c>
      <c r="L6310">
        <v>141.5746</v>
      </c>
      <c r="M6310">
        <v>-0.99859200000000004</v>
      </c>
      <c r="N6310">
        <v>-1.1500420000000001E-2</v>
      </c>
      <c r="O6310">
        <v>-5.1785159999999997E-2</v>
      </c>
      <c r="P6310">
        <v>-0.99566189999999999</v>
      </c>
      <c r="Q6310">
        <v>9.3041780000000004E-2</v>
      </c>
      <c r="R6310">
        <v>9.4669060000000002E-4</v>
      </c>
      <c r="S6310">
        <v>-3.0189210000000002</v>
      </c>
      <c r="T6310">
        <v>-5.3654670000000002E-2</v>
      </c>
      <c r="U6310">
        <v>-0.16090389999999999</v>
      </c>
      <c r="V6310">
        <v>5.259867E-2</v>
      </c>
      <c r="W6310">
        <v>0.1044253</v>
      </c>
      <c r="X6310">
        <v>0.99314089999999999</v>
      </c>
      <c r="Y6310">
        <v>-1.436971E-3</v>
      </c>
      <c r="Z6310">
        <v>3.024495E-4</v>
      </c>
      <c r="AA6310">
        <v>0.99999890000000002</v>
      </c>
      <c r="AB6310">
        <v>26</v>
      </c>
      <c r="AC6310">
        <v>-62.815100000000001</v>
      </c>
      <c r="AD6310">
        <v>-1.120725186224</v>
      </c>
      <c r="AE6310">
        <v>-3.3485</v>
      </c>
      <c r="AF6310">
        <v>-9.0872477101350005E-2</v>
      </c>
      <c r="AG6310">
        <v>-1.120725186224</v>
      </c>
      <c r="AH6310">
        <v>62.884259780431201</v>
      </c>
      <c r="AI6310">
        <v>91.021017964303994</v>
      </c>
      <c r="AJ6310">
        <v>90.082796645865997</v>
      </c>
      <c r="AK6310">
        <v>62.894311435001001</v>
      </c>
      <c r="AL6310">
        <v>84.005943678639198</v>
      </c>
      <c r="AM6310">
        <v>86.968336746375996</v>
      </c>
      <c r="AN6310">
        <v>1.00000005530933</v>
      </c>
    </row>
    <row r="6311" spans="1:40" x14ac:dyDescent="0.25">
      <c r="A6311" t="str">
        <f>"20190303162037509"</f>
        <v>20190303162037509</v>
      </c>
      <c r="B6311" t="str">
        <f>"1551601237498843"</f>
        <v>1551601237498843</v>
      </c>
      <c r="C6311" t="s">
        <v>40</v>
      </c>
      <c r="D6311">
        <v>4.9142609999999998</v>
      </c>
      <c r="E6311">
        <v>0.47842299999999899</v>
      </c>
      <c r="F6311" t="s">
        <v>50</v>
      </c>
      <c r="G6311">
        <v>-283.45030000000003</v>
      </c>
      <c r="H6311" s="1">
        <v>-4.5621349999999998E-6</v>
      </c>
      <c r="I6311">
        <v>138.0735</v>
      </c>
      <c r="J6311">
        <v>-222.1601</v>
      </c>
      <c r="K6311">
        <v>1.1205860000000001</v>
      </c>
      <c r="L6311">
        <v>141.56219999999999</v>
      </c>
      <c r="M6311">
        <v>-0.99862390000000001</v>
      </c>
      <c r="N6311">
        <v>-1.1495669999999999E-2</v>
      </c>
      <c r="O6311">
        <v>-5.1170220000000002E-2</v>
      </c>
      <c r="P6311">
        <v>-0.99568100000000004</v>
      </c>
      <c r="Q6311">
        <v>9.2792849999999996E-2</v>
      </c>
      <c r="R6311">
        <v>-3.0357420000000001E-3</v>
      </c>
      <c r="S6311">
        <v>-3.0183559999999998</v>
      </c>
      <c r="T6311">
        <v>-5.4969669999999998E-2</v>
      </c>
      <c r="U6311">
        <v>-0.1717224</v>
      </c>
      <c r="V6311">
        <v>4.8044620000000003E-2</v>
      </c>
      <c r="W6311">
        <v>0.10416250000000001</v>
      </c>
      <c r="X6311">
        <v>0.99339909999999998</v>
      </c>
      <c r="Y6311">
        <v>-5.6350630000000001E-3</v>
      </c>
      <c r="Z6311">
        <v>2.5857119999999999E-4</v>
      </c>
      <c r="AA6311">
        <v>0.99998410000000004</v>
      </c>
      <c r="AB6311">
        <v>26</v>
      </c>
      <c r="AC6311">
        <v>-61.290199999999999</v>
      </c>
      <c r="AD6311">
        <v>-1.1205905621349901</v>
      </c>
      <c r="AE6311">
        <v>-3.4886999999999899</v>
      </c>
      <c r="AF6311">
        <v>-0.34757330357466598</v>
      </c>
      <c r="AG6311">
        <v>-1.1205905621349901</v>
      </c>
      <c r="AH6311">
        <v>61.367977356126502</v>
      </c>
      <c r="AI6311">
        <v>91.046098445490102</v>
      </c>
      <c r="AJ6311">
        <v>90.324505895231098</v>
      </c>
      <c r="AK6311">
        <v>61.379191711779299</v>
      </c>
      <c r="AL6311">
        <v>84.021082893255993</v>
      </c>
      <c r="AM6311">
        <v>87.231112175602803</v>
      </c>
      <c r="AN6311">
        <v>0.99999994189899999</v>
      </c>
    </row>
    <row r="6312" spans="1:40" x14ac:dyDescent="0.25">
      <c r="A6312" t="str">
        <f>"20190303162037526"</f>
        <v>20190303162037526</v>
      </c>
      <c r="B6312" t="str">
        <f>"1551601237519339"</f>
        <v>1551601237519339</v>
      </c>
      <c r="C6312" t="s">
        <v>40</v>
      </c>
      <c r="D6312">
        <v>5.0790569999999997</v>
      </c>
      <c r="E6312">
        <v>0.47843350000000001</v>
      </c>
      <c r="F6312" t="s">
        <v>50</v>
      </c>
      <c r="G6312">
        <v>-282.42410000000001</v>
      </c>
      <c r="H6312" s="1">
        <v>-4.0399489999999999E-6</v>
      </c>
      <c r="I6312">
        <v>137.89670000000001</v>
      </c>
      <c r="J6312">
        <v>-222.34569999999999</v>
      </c>
      <c r="K6312">
        <v>1.1205050000000001</v>
      </c>
      <c r="L6312">
        <v>141.5531</v>
      </c>
      <c r="M6312">
        <v>-0.99865170000000003</v>
      </c>
      <c r="N6312">
        <v>-1.149243E-2</v>
      </c>
      <c r="O6312">
        <v>-5.0624460000000003E-2</v>
      </c>
      <c r="P6312">
        <v>-0.99557819999999997</v>
      </c>
      <c r="Q6312">
        <v>9.3795859999999995E-2</v>
      </c>
      <c r="R6312">
        <v>-5.1607880000000004E-3</v>
      </c>
      <c r="S6312">
        <v>-3.0176539999999998</v>
      </c>
      <c r="T6312">
        <v>-5.6112410000000001E-2</v>
      </c>
      <c r="U6312">
        <v>-0.18354799999999999</v>
      </c>
      <c r="V6312">
        <v>4.5395070000000003E-2</v>
      </c>
      <c r="W6312">
        <v>0.105157399999999</v>
      </c>
      <c r="X6312">
        <v>0.99341889999999999</v>
      </c>
      <c r="Y6312">
        <v>-1.00987E-2</v>
      </c>
      <c r="Z6312">
        <v>2.0617319999999999E-4</v>
      </c>
      <c r="AA6312">
        <v>0.99994899999999998</v>
      </c>
      <c r="AB6312">
        <v>26</v>
      </c>
      <c r="AC6312">
        <v>-60.078400000000002</v>
      </c>
      <c r="AD6312">
        <v>-1.1205090399490001</v>
      </c>
      <c r="AE6312">
        <v>-3.6563999999999899</v>
      </c>
      <c r="AF6312">
        <v>-0.60986240923576895</v>
      </c>
      <c r="AG6312">
        <v>-1.1205090399490001</v>
      </c>
      <c r="AH6312">
        <v>60.165618912563502</v>
      </c>
      <c r="AI6312">
        <v>91.066883750295105</v>
      </c>
      <c r="AJ6312">
        <v>90.580752697256699</v>
      </c>
      <c r="AK6312">
        <v>60.179142331862998</v>
      </c>
      <c r="AL6312">
        <v>83.963764583015305</v>
      </c>
      <c r="AM6312">
        <v>87.383643661124296</v>
      </c>
      <c r="AN6312">
        <v>0.99999995101613603</v>
      </c>
    </row>
    <row r="6313" spans="1:40" x14ac:dyDescent="0.25">
      <c r="A6313" t="str">
        <f>"20190303162037543"</f>
        <v>20190303162037543</v>
      </c>
      <c r="B6313" t="str">
        <f>"1551601237529099"</f>
        <v>1551601237529099</v>
      </c>
      <c r="C6313" t="s">
        <v>40</v>
      </c>
      <c r="D6313">
        <v>5.0219459999999998</v>
      </c>
      <c r="E6313">
        <v>0.4784853</v>
      </c>
      <c r="F6313" t="s">
        <v>50</v>
      </c>
      <c r="G6313">
        <v>-285.73009999999999</v>
      </c>
      <c r="H6313" s="1">
        <v>-5.5653830000000003E-6</v>
      </c>
      <c r="I6313">
        <v>137.56729999999999</v>
      </c>
      <c r="J6313">
        <v>-222.55420000000001</v>
      </c>
      <c r="K6313">
        <v>1.1204430000000001</v>
      </c>
      <c r="L6313">
        <v>141.54320000000001</v>
      </c>
      <c r="M6313">
        <v>-0.99868659999999998</v>
      </c>
      <c r="N6313">
        <v>-1.148913E-2</v>
      </c>
      <c r="O6313">
        <v>-4.9931610000000001E-2</v>
      </c>
      <c r="P6313">
        <v>-0.99526729999999997</v>
      </c>
      <c r="Q6313">
        <v>9.6881110000000006E-2</v>
      </c>
      <c r="R6313">
        <v>-7.5651619999999899E-3</v>
      </c>
      <c r="S6313">
        <v>-3.0173649999999999</v>
      </c>
      <c r="T6313">
        <v>-5.3341029999999998E-2</v>
      </c>
      <c r="U6313">
        <v>-0.18974299999999999</v>
      </c>
      <c r="V6313">
        <v>4.2310739999999999E-2</v>
      </c>
      <c r="W6313">
        <v>0.108234</v>
      </c>
      <c r="X6313">
        <v>0.99322460000000001</v>
      </c>
      <c r="Y6313">
        <v>-1.2842620000000001E-2</v>
      </c>
      <c r="Z6313">
        <v>1.203643E-4</v>
      </c>
      <c r="AA6313">
        <v>0.99991750000000001</v>
      </c>
      <c r="AB6313">
        <v>26</v>
      </c>
      <c r="AC6313">
        <v>-63.175899999999899</v>
      </c>
      <c r="AD6313">
        <v>-1.1204485653829901</v>
      </c>
      <c r="AE6313">
        <v>-3.9759000000000202</v>
      </c>
      <c r="AF6313">
        <v>-0.81600183483458599</v>
      </c>
      <c r="AG6313">
        <v>-1.1204485653829901</v>
      </c>
      <c r="AH6313">
        <v>63.275798154769802</v>
      </c>
      <c r="AI6313">
        <v>91.014367761282003</v>
      </c>
      <c r="AJ6313">
        <v>90.738842828452704</v>
      </c>
      <c r="AK6313">
        <v>63.290977999279598</v>
      </c>
      <c r="AL6313">
        <v>83.786476300014201</v>
      </c>
      <c r="AM6313">
        <v>87.560710835277703</v>
      </c>
      <c r="AN6313">
        <v>0.99999995176025203</v>
      </c>
    </row>
    <row r="6314" spans="1:40" x14ac:dyDescent="0.25">
      <c r="A6314" t="str">
        <f>"20190303162037568"</f>
        <v>20190303162037568</v>
      </c>
      <c r="B6314" t="str">
        <f>"1551601237558379"</f>
        <v>1551601237558379</v>
      </c>
      <c r="C6314" t="s">
        <v>40</v>
      </c>
      <c r="D6314">
        <v>4.9560199999999996</v>
      </c>
      <c r="E6314">
        <v>0.47866150000000002</v>
      </c>
      <c r="F6314" t="s">
        <v>50</v>
      </c>
      <c r="G6314">
        <v>-299.81720000000001</v>
      </c>
      <c r="H6314" s="1">
        <v>-7.0613230000000001E-6</v>
      </c>
      <c r="I6314">
        <v>136.49889999999999</v>
      </c>
      <c r="J6314">
        <v>-222.81780000000001</v>
      </c>
      <c r="K6314">
        <v>1.1203879999999999</v>
      </c>
      <c r="L6314">
        <v>141.5309</v>
      </c>
      <c r="M6314">
        <v>-0.9987338</v>
      </c>
      <c r="N6314">
        <v>-1.148562E-2</v>
      </c>
      <c r="O6314">
        <v>-4.8981219999999999E-2</v>
      </c>
      <c r="P6314">
        <v>-0.99495719999999999</v>
      </c>
      <c r="Q6314">
        <v>9.9864530000000007E-2</v>
      </c>
      <c r="R6314">
        <v>-9.3433720000000008E-3</v>
      </c>
      <c r="S6314">
        <v>-3.0170439999999998</v>
      </c>
      <c r="T6314">
        <v>-4.3752430000000002E-2</v>
      </c>
      <c r="U6314">
        <v>-0.1969757</v>
      </c>
      <c r="V6314">
        <v>3.9595529999999997E-2</v>
      </c>
      <c r="W6314">
        <v>0.1112095</v>
      </c>
      <c r="X6314">
        <v>0.99300790000000005</v>
      </c>
      <c r="Y6314">
        <v>-1.618754E-2</v>
      </c>
      <c r="Z6314" s="1">
        <v>-6.3678090000000002E-5</v>
      </c>
      <c r="AA6314">
        <v>0.99986900000000001</v>
      </c>
      <c r="AB6314">
        <v>26</v>
      </c>
      <c r="AC6314">
        <v>-76.999399999999994</v>
      </c>
      <c r="AD6314">
        <v>-1.120395061323</v>
      </c>
      <c r="AE6314">
        <v>-5.0320000000000098</v>
      </c>
      <c r="AF6314">
        <v>-1.25392212667137</v>
      </c>
      <c r="AG6314">
        <v>-1.120395061323</v>
      </c>
      <c r="AH6314">
        <v>77.137192891478193</v>
      </c>
      <c r="AI6314">
        <v>90.832035937241898</v>
      </c>
      <c r="AJ6314">
        <v>90.931303249841093</v>
      </c>
      <c r="AK6314">
        <v>77.155519134863596</v>
      </c>
      <c r="AL6314">
        <v>83.614957523560903</v>
      </c>
      <c r="AM6314">
        <v>87.716578546359699</v>
      </c>
      <c r="AN6314">
        <v>1.0000000241743201</v>
      </c>
    </row>
    <row r="6315" spans="1:40" x14ac:dyDescent="0.25">
      <c r="A6315" t="str">
        <f>"20190303162037589"</f>
        <v>20190303162037589</v>
      </c>
      <c r="B6315" t="str">
        <f>"1551601237578875"</f>
        <v>1551601237578875</v>
      </c>
      <c r="C6315" t="s">
        <v>40</v>
      </c>
      <c r="D6315">
        <v>5.0790569999999997</v>
      </c>
      <c r="E6315">
        <v>0.47882720000000001</v>
      </c>
      <c r="F6315" t="s">
        <v>41</v>
      </c>
      <c r="G6315">
        <v>-323.11720000000003</v>
      </c>
      <c r="H6315" s="1">
        <v>-3.7843930000000002E-6</v>
      </c>
      <c r="I6315">
        <v>134.828</v>
      </c>
      <c r="J6315">
        <v>-223.0641</v>
      </c>
      <c r="K6315">
        <v>1.120349</v>
      </c>
      <c r="L6315">
        <v>141.51990000000001</v>
      </c>
      <c r="M6315">
        <v>-0.99877939999999998</v>
      </c>
      <c r="N6315">
        <v>-1.148302E-2</v>
      </c>
      <c r="O6315">
        <v>-4.804427E-2</v>
      </c>
      <c r="P6315">
        <v>-0.99501649999999997</v>
      </c>
      <c r="Q6315">
        <v>9.9310930000000006E-2</v>
      </c>
      <c r="R6315">
        <v>-8.9308219999999997E-3</v>
      </c>
      <c r="S6315">
        <v>-3.0166629999999999</v>
      </c>
      <c r="T6315">
        <v>-3.3697610000000003E-2</v>
      </c>
      <c r="U6315">
        <v>-0.2015991</v>
      </c>
      <c r="V6315">
        <v>3.9087339999999998E-2</v>
      </c>
      <c r="W6315">
        <v>0.11065170000000001</v>
      </c>
      <c r="X6315">
        <v>0.99309029999999998</v>
      </c>
      <c r="Y6315">
        <v>-1.865994E-2</v>
      </c>
      <c r="Z6315">
        <v>-2.2715119999999999E-4</v>
      </c>
      <c r="AA6315">
        <v>0.99982579999999999</v>
      </c>
      <c r="AB6315">
        <v>26</v>
      </c>
      <c r="AC6315">
        <v>-100.0531</v>
      </c>
      <c r="AD6315">
        <v>-1.1203527843929999</v>
      </c>
      <c r="AE6315">
        <v>-6.6919000000000004</v>
      </c>
      <c r="AF6315">
        <v>-1.87664282915542</v>
      </c>
      <c r="AG6315">
        <v>-1.1203527843929999</v>
      </c>
      <c r="AH6315">
        <v>100.24655927340901</v>
      </c>
      <c r="AI6315">
        <v>90.640197236424498</v>
      </c>
      <c r="AJ6315">
        <v>91.072467291376995</v>
      </c>
      <c r="AK6315">
        <v>100.270382590408</v>
      </c>
      <c r="AL6315">
        <v>83.647115310772307</v>
      </c>
      <c r="AM6315">
        <v>87.746041599856795</v>
      </c>
      <c r="AN6315">
        <v>0.99999998140762703</v>
      </c>
    </row>
    <row r="6316" spans="1:40" x14ac:dyDescent="0.25">
      <c r="A6316" t="str">
        <f>"20190303162037610"</f>
        <v>20190303162037610</v>
      </c>
      <c r="B6316" t="str">
        <f>"1551601237598395"</f>
        <v>1551601237598395</v>
      </c>
      <c r="C6316" t="s">
        <v>40</v>
      </c>
      <c r="D6316">
        <v>4.9550109999999998</v>
      </c>
      <c r="E6316">
        <v>0.47896569999999999</v>
      </c>
      <c r="F6316" t="s">
        <v>41</v>
      </c>
      <c r="G6316">
        <v>-321.23779999999999</v>
      </c>
      <c r="H6316" s="1">
        <v>-4.5510049999999996E-6</v>
      </c>
      <c r="I6316">
        <v>135.0514</v>
      </c>
      <c r="J6316">
        <v>-223.31209999999999</v>
      </c>
      <c r="K6316">
        <v>1.1203399999999999</v>
      </c>
      <c r="L6316">
        <v>141.50899999999999</v>
      </c>
      <c r="M6316">
        <v>-0.99882530000000003</v>
      </c>
      <c r="N6316">
        <v>-1.148069E-2</v>
      </c>
      <c r="O6316">
        <v>-4.7079419999999997E-2</v>
      </c>
      <c r="P6316">
        <v>-0.99510129999999997</v>
      </c>
      <c r="Q6316">
        <v>9.8440899999999998E-2</v>
      </c>
      <c r="R6316">
        <v>-9.1226180000000007E-3</v>
      </c>
      <c r="S6316">
        <v>-3.0166780000000002</v>
      </c>
      <c r="T6316">
        <v>-3.4426209999999999E-2</v>
      </c>
      <c r="U6316">
        <v>-0.19876099999999999</v>
      </c>
      <c r="V6316">
        <v>3.7943020000000001E-2</v>
      </c>
      <c r="W6316">
        <v>0.10978110000000001</v>
      </c>
      <c r="X6316">
        <v>0.99323130000000004</v>
      </c>
      <c r="Y6316">
        <v>-1.868883E-2</v>
      </c>
      <c r="Z6316">
        <v>-2.1791010000000001E-4</v>
      </c>
      <c r="AA6316">
        <v>0.99982530000000003</v>
      </c>
      <c r="AB6316">
        <v>26</v>
      </c>
      <c r="AC6316">
        <v>-97.925700000000006</v>
      </c>
      <c r="AD6316">
        <v>-1.1203445510050001</v>
      </c>
      <c r="AE6316">
        <v>-6.4575999999999798</v>
      </c>
      <c r="AF6316">
        <v>-1.8396103708214999</v>
      </c>
      <c r="AG6316">
        <v>-1.1203445510050001</v>
      </c>
      <c r="AH6316">
        <v>98.108354887647195</v>
      </c>
      <c r="AI6316">
        <v>90.654143516226398</v>
      </c>
      <c r="AJ6316">
        <v>91.074215953157307</v>
      </c>
      <c r="AK6316">
        <v>98.131995990043606</v>
      </c>
      <c r="AL6316">
        <v>83.697302828440797</v>
      </c>
      <c r="AM6316">
        <v>87.8122736422836</v>
      </c>
      <c r="AN6316">
        <v>0.99999998899180997</v>
      </c>
    </row>
    <row r="6317" spans="1:40" x14ac:dyDescent="0.25">
      <c r="A6317" t="str">
        <f>"20190303162037632"</f>
        <v>20190303162037632</v>
      </c>
      <c r="B6317" t="str">
        <f>"1551601237618891"</f>
        <v>1551601237618891</v>
      </c>
      <c r="C6317" t="s">
        <v>40</v>
      </c>
      <c r="D6317">
        <v>5.0184959999999998</v>
      </c>
      <c r="E6317">
        <v>0.47912060000000001</v>
      </c>
      <c r="F6317" t="s">
        <v>50</v>
      </c>
      <c r="G6317">
        <v>-314.79250000000002</v>
      </c>
      <c r="H6317" s="1">
        <v>-6.3632009999999997E-6</v>
      </c>
      <c r="I6317">
        <v>135.5291</v>
      </c>
      <c r="J6317">
        <v>-223.5634</v>
      </c>
      <c r="K6317">
        <v>1.12035</v>
      </c>
      <c r="L6317">
        <v>141.4982</v>
      </c>
      <c r="M6317">
        <v>-0.99887110000000001</v>
      </c>
      <c r="N6317">
        <v>-1.147871E-2</v>
      </c>
      <c r="O6317">
        <v>-4.6097010000000001E-2</v>
      </c>
      <c r="P6317">
        <v>-0.99487329999999996</v>
      </c>
      <c r="Q6317">
        <v>0.1006977</v>
      </c>
      <c r="R6317">
        <v>-9.3383979999999995E-3</v>
      </c>
      <c r="S6317">
        <v>-3.0165860000000002</v>
      </c>
      <c r="T6317">
        <v>-3.6943669999999998E-2</v>
      </c>
      <c r="U6317">
        <v>-0.19718930000000001</v>
      </c>
      <c r="V6317">
        <v>3.6743570000000003E-2</v>
      </c>
      <c r="W6317">
        <v>0.11203589999999999</v>
      </c>
      <c r="X6317">
        <v>0.99302460000000004</v>
      </c>
      <c r="Y6317">
        <v>-1.9155180000000001E-2</v>
      </c>
      <c r="Z6317">
        <v>-1.9260109999999999E-4</v>
      </c>
      <c r="AA6317">
        <v>0.9998165</v>
      </c>
      <c r="AB6317">
        <v>26</v>
      </c>
      <c r="AC6317">
        <v>-91.229100000000003</v>
      </c>
      <c r="AD6317">
        <v>-1.1203563632009901</v>
      </c>
      <c r="AE6317">
        <v>-5.9690999999999903</v>
      </c>
      <c r="AF6317">
        <v>-1.75682453387636</v>
      </c>
      <c r="AG6317">
        <v>-1.1203563632009901</v>
      </c>
      <c r="AH6317">
        <v>91.393558732503394</v>
      </c>
      <c r="AI6317">
        <v>90.702200704966899</v>
      </c>
      <c r="AJ6317">
        <v>91.101239925148306</v>
      </c>
      <c r="AK6317">
        <v>91.417308036361106</v>
      </c>
      <c r="AL6317">
        <v>83.567310337216597</v>
      </c>
      <c r="AM6317">
        <v>87.880927128589406</v>
      </c>
      <c r="AN6317">
        <v>0.99999999451515698</v>
      </c>
    </row>
    <row r="6318" spans="1:40" x14ac:dyDescent="0.25">
      <c r="A6318" t="str">
        <f>"20190303162037656"</f>
        <v>20190303162037656</v>
      </c>
      <c r="B6318" t="str">
        <f>"1551601237649147"</f>
        <v>1551601237649147</v>
      </c>
      <c r="C6318" t="s">
        <v>40</v>
      </c>
      <c r="D6318">
        <v>4.819623</v>
      </c>
      <c r="E6318">
        <v>0.46697529999999998</v>
      </c>
      <c r="F6318" t="s">
        <v>41</v>
      </c>
      <c r="G6318">
        <v>-335.01760000000002</v>
      </c>
      <c r="H6318" s="1">
        <v>-3.3205619999999998E-6</v>
      </c>
      <c r="I6318">
        <v>134.2681</v>
      </c>
      <c r="J6318">
        <v>-223.8408</v>
      </c>
      <c r="K6318">
        <v>1.1203829999999999</v>
      </c>
      <c r="L6318">
        <v>141.48660000000001</v>
      </c>
      <c r="M6318">
        <v>-0.99892029999999998</v>
      </c>
      <c r="N6318">
        <v>-1.147688E-2</v>
      </c>
      <c r="O6318">
        <v>-4.5018919999999997E-2</v>
      </c>
      <c r="P6318">
        <v>-0.99431899999999995</v>
      </c>
      <c r="Q6318">
        <v>0.1061347</v>
      </c>
      <c r="R6318">
        <v>-8.093411E-3</v>
      </c>
      <c r="S6318">
        <v>-3.0166930000000001</v>
      </c>
      <c r="T6318">
        <v>-3.0324219999999999E-2</v>
      </c>
      <c r="U6318">
        <v>-0.19569400000000001</v>
      </c>
      <c r="V6318">
        <v>3.6896110000000003E-2</v>
      </c>
      <c r="W6318">
        <v>0.11746429999999999</v>
      </c>
      <c r="X6318">
        <v>0.99239149999999998</v>
      </c>
      <c r="Y6318">
        <v>-1.9739130000000001E-2</v>
      </c>
      <c r="Z6318">
        <v>-2.7720650000000001E-4</v>
      </c>
      <c r="AA6318">
        <v>0.99980519999999995</v>
      </c>
      <c r="AB6318">
        <v>26</v>
      </c>
      <c r="AC6318">
        <v>-111.1768</v>
      </c>
      <c r="AD6318">
        <v>-1.1203863205619999</v>
      </c>
      <c r="AE6318">
        <v>-7.2184999999999997</v>
      </c>
      <c r="AF6318">
        <v>-2.2055687410637201</v>
      </c>
      <c r="AG6318">
        <v>-1.1203863205619999</v>
      </c>
      <c r="AH6318">
        <v>111.377793643022</v>
      </c>
      <c r="AI6318">
        <v>90.576224926595302</v>
      </c>
      <c r="AJ6318">
        <v>91.134456534993504</v>
      </c>
      <c r="AK6318">
        <v>111.405263411414</v>
      </c>
      <c r="AL6318">
        <v>83.254217641297402</v>
      </c>
      <c r="AM6318">
        <v>87.870781692590498</v>
      </c>
      <c r="AN6318">
        <v>1.00000003698993</v>
      </c>
    </row>
    <row r="6319" spans="1:40" x14ac:dyDescent="0.25">
      <c r="A6319" t="str">
        <f>"20190303162037678"</f>
        <v>20190303162037678</v>
      </c>
      <c r="B6319" t="str">
        <f>"1551601237668667"</f>
        <v>1551601237668667</v>
      </c>
      <c r="C6319" t="s">
        <v>40</v>
      </c>
      <c r="D6319">
        <v>4.773072</v>
      </c>
      <c r="E6319">
        <v>0.43829810000000002</v>
      </c>
      <c r="F6319" t="s">
        <v>64</v>
      </c>
      <c r="G6319">
        <v>-450.47519999999997</v>
      </c>
      <c r="H6319">
        <v>1.7630129999999999</v>
      </c>
      <c r="I6319">
        <v>119.8177</v>
      </c>
      <c r="J6319">
        <v>-224.0908</v>
      </c>
      <c r="K6319">
        <v>1.120414</v>
      </c>
      <c r="L6319">
        <v>141.47640000000001</v>
      </c>
      <c r="M6319">
        <v>-0.99896309999999999</v>
      </c>
      <c r="N6319">
        <v>-1.1475580000000001E-2</v>
      </c>
      <c r="O6319">
        <v>-4.4058899999999998E-2</v>
      </c>
      <c r="P6319">
        <v>-0.99386209999999997</v>
      </c>
      <c r="Q6319">
        <v>0.1103556</v>
      </c>
      <c r="R6319">
        <v>-7.76946699999999E-3</v>
      </c>
      <c r="S6319">
        <v>-3.0138850000000001</v>
      </c>
      <c r="T6319">
        <v>8.5463520000000001E-3</v>
      </c>
      <c r="U6319">
        <v>-0.28816219999999998</v>
      </c>
      <c r="V6319">
        <v>3.6247670000000003E-2</v>
      </c>
      <c r="W6319">
        <v>0.1216815</v>
      </c>
      <c r="X6319">
        <v>0.99190710000000004</v>
      </c>
      <c r="Y6319">
        <v>-5.1228379999999997E-2</v>
      </c>
      <c r="Z6319">
        <v>-8.5155440000000005E-4</v>
      </c>
      <c r="AA6319">
        <v>0.99868659999999998</v>
      </c>
      <c r="AB6319">
        <v>26</v>
      </c>
      <c r="AC6319">
        <v>-226.3844</v>
      </c>
      <c r="AD6319">
        <v>0.64259900000000003</v>
      </c>
      <c r="AE6319">
        <v>-21.6587</v>
      </c>
      <c r="AF6319">
        <v>-11.662668410408299</v>
      </c>
      <c r="AG6319">
        <v>0.64259900000000003</v>
      </c>
      <c r="AH6319">
        <v>227.11704506165901</v>
      </c>
      <c r="AI6319">
        <v>89.838102572765195</v>
      </c>
      <c r="AJ6319">
        <v>92.939608767976097</v>
      </c>
      <c r="AK6319">
        <v>227.41720015307899</v>
      </c>
      <c r="AL6319">
        <v>83.010843249807905</v>
      </c>
      <c r="AM6319">
        <v>87.907147994348307</v>
      </c>
      <c r="AN6319">
        <v>0.999999988026544</v>
      </c>
    </row>
    <row r="6320" spans="1:40" x14ac:dyDescent="0.25">
      <c r="A6320" t="str">
        <f>"20190303162037723"</f>
        <v>20190303162037723</v>
      </c>
      <c r="B6320" t="str">
        <f>"1551601237708683"</f>
        <v>1551601237708683</v>
      </c>
      <c r="C6320" t="s">
        <v>40</v>
      </c>
      <c r="D6320">
        <v>4.7308859999999999</v>
      </c>
      <c r="E6320">
        <v>0.43039569999999999</v>
      </c>
      <c r="F6320" t="s">
        <v>50</v>
      </c>
      <c r="G6320">
        <v>-286.69499999999999</v>
      </c>
      <c r="H6320" s="1">
        <v>-3.6541089999999999E-6</v>
      </c>
      <c r="I6320">
        <v>130.7963</v>
      </c>
      <c r="J6320">
        <v>-224.5966</v>
      </c>
      <c r="K6320">
        <v>1.1204670000000001</v>
      </c>
      <c r="L6320">
        <v>141.45650000000001</v>
      </c>
      <c r="M6320">
        <v>-0.99904459999999995</v>
      </c>
      <c r="N6320">
        <v>-1.14737E-2</v>
      </c>
      <c r="O6320">
        <v>-4.2169659999999998E-2</v>
      </c>
      <c r="P6320">
        <v>-0.99359260000000005</v>
      </c>
      <c r="Q6320">
        <v>0.1124787</v>
      </c>
      <c r="R6320">
        <v>-1.1065699999999999E-2</v>
      </c>
      <c r="S6320">
        <v>-3.020508</v>
      </c>
      <c r="T6320">
        <v>-5.4057599999999997E-2</v>
      </c>
      <c r="U6320">
        <v>-0.51528929999999995</v>
      </c>
      <c r="V6320">
        <v>3.1057600000000001E-2</v>
      </c>
      <c r="W6320">
        <v>0.1238139</v>
      </c>
      <c r="X6320">
        <v>0.99181929999999996</v>
      </c>
      <c r="Y6320">
        <v>-0.1264141</v>
      </c>
      <c r="Z6320">
        <v>-1.5860640000000001E-3</v>
      </c>
      <c r="AA6320">
        <v>0.99197630000000003</v>
      </c>
      <c r="AB6320">
        <v>26</v>
      </c>
      <c r="AC6320">
        <v>-62.098399999999998</v>
      </c>
      <c r="AD6320">
        <v>-1.1204706541089999</v>
      </c>
      <c r="AE6320">
        <v>-10.6602</v>
      </c>
      <c r="AF6320">
        <v>-8.0293361177992502</v>
      </c>
      <c r="AG6320">
        <v>-1.1204706541089999</v>
      </c>
      <c r="AH6320">
        <v>62.472963670166799</v>
      </c>
      <c r="AI6320">
        <v>91.019125166144704</v>
      </c>
      <c r="AJ6320">
        <v>97.323788355066895</v>
      </c>
      <c r="AK6320">
        <v>62.996800575214102</v>
      </c>
      <c r="AL6320">
        <v>82.887734760566204</v>
      </c>
      <c r="AM6320">
        <v>88.206439295008906</v>
      </c>
      <c r="AN6320">
        <v>0.99999999010173002</v>
      </c>
    </row>
    <row r="6321" spans="1:40" x14ac:dyDescent="0.25">
      <c r="A6321" t="str">
        <f>"20190303162037746"</f>
        <v>20190303162037746</v>
      </c>
      <c r="B6321" t="str">
        <f>"1551601237738939"</f>
        <v>1551601237738939</v>
      </c>
      <c r="C6321" t="s">
        <v>40</v>
      </c>
      <c r="D6321">
        <v>4.7464700000000004</v>
      </c>
      <c r="E6321">
        <v>0.42833529999999997</v>
      </c>
      <c r="F6321" t="s">
        <v>41</v>
      </c>
      <c r="G6321">
        <v>-272.11669999999998</v>
      </c>
      <c r="H6321" s="1">
        <v>-4.6742479999999997E-6</v>
      </c>
      <c r="I6321">
        <v>132.23070000000001</v>
      </c>
      <c r="J6321">
        <v>-224.8629</v>
      </c>
      <c r="K6321">
        <v>1.120492</v>
      </c>
      <c r="L6321">
        <v>141.44630000000001</v>
      </c>
      <c r="M6321">
        <v>-0.99908470000000005</v>
      </c>
      <c r="N6321">
        <v>-1.147304E-2</v>
      </c>
      <c r="O6321">
        <v>-4.1211240000000003E-2</v>
      </c>
      <c r="P6321">
        <v>-0.99338000000000004</v>
      </c>
      <c r="Q6321">
        <v>0.11410090000000001</v>
      </c>
      <c r="R6321">
        <v>-1.3320820000000001E-2</v>
      </c>
      <c r="S6321">
        <v>-3.020905</v>
      </c>
      <c r="T6321">
        <v>-7.1229700000000007E-2</v>
      </c>
      <c r="U6321">
        <v>-0.58648679999999997</v>
      </c>
      <c r="V6321">
        <v>2.7839570000000001E-2</v>
      </c>
      <c r="W6321">
        <v>0.12544140000000001</v>
      </c>
      <c r="X6321">
        <v>0.99171039999999999</v>
      </c>
      <c r="Y6321">
        <v>-0.1499065</v>
      </c>
      <c r="Z6321">
        <v>-2.126391E-3</v>
      </c>
      <c r="AA6321">
        <v>0.98869790000000002</v>
      </c>
      <c r="AB6321">
        <v>26</v>
      </c>
      <c r="AC6321">
        <v>-47.253799999999899</v>
      </c>
      <c r="AD6321">
        <v>-1.120496674248</v>
      </c>
      <c r="AE6321">
        <v>-9.2155999999999896</v>
      </c>
      <c r="AF6321">
        <v>-7.2563237240914704</v>
      </c>
      <c r="AG6321">
        <v>-1.120496674248</v>
      </c>
      <c r="AH6321">
        <v>47.567695729048502</v>
      </c>
      <c r="AI6321">
        <v>91.333973934639999</v>
      </c>
      <c r="AJ6321">
        <v>98.673450135314894</v>
      </c>
      <c r="AK6321">
        <v>48.1310235062289</v>
      </c>
      <c r="AL6321">
        <v>82.793753595893804</v>
      </c>
      <c r="AM6321">
        <v>88.391999259601704</v>
      </c>
      <c r="AN6321">
        <v>1.0000000519799499</v>
      </c>
    </row>
    <row r="6322" spans="1:40" x14ac:dyDescent="0.25">
      <c r="A6322" t="str">
        <f>"20190303162037768"</f>
        <v>20190303162037768</v>
      </c>
      <c r="B6322" t="str">
        <f>"1551601237758459"</f>
        <v>1551601237758459</v>
      </c>
      <c r="C6322" t="s">
        <v>40</v>
      </c>
      <c r="D6322">
        <v>4.6770259999999997</v>
      </c>
      <c r="E6322">
        <v>0.42800080000000001</v>
      </c>
      <c r="F6322" t="s">
        <v>41</v>
      </c>
      <c r="G6322">
        <v>-266.20519999999999</v>
      </c>
      <c r="H6322" s="1">
        <v>-3.0087550000000001E-6</v>
      </c>
      <c r="I6322">
        <v>133.10929999999999</v>
      </c>
      <c r="J6322">
        <v>-225.1173</v>
      </c>
      <c r="K6322">
        <v>1.1205290000000001</v>
      </c>
      <c r="L6322">
        <v>141.43690000000001</v>
      </c>
      <c r="M6322">
        <v>-0.99912089999999998</v>
      </c>
      <c r="N6322">
        <v>-1.14725E-2</v>
      </c>
      <c r="O6322">
        <v>-4.0322829999999997E-2</v>
      </c>
      <c r="P6322">
        <v>-0.99301680000000003</v>
      </c>
      <c r="Q6322">
        <v>0.1169592</v>
      </c>
      <c r="R6322">
        <v>-1.543626E-2</v>
      </c>
      <c r="S6322">
        <v>-3.0212249999999998</v>
      </c>
      <c r="T6322">
        <v>-8.1884029999999997E-2</v>
      </c>
      <c r="U6322">
        <v>-0.60925289999999999</v>
      </c>
      <c r="V6322">
        <v>2.48261E-2</v>
      </c>
      <c r="W6322">
        <v>0.128302</v>
      </c>
      <c r="X6322">
        <v>0.99142439999999998</v>
      </c>
      <c r="Y6322">
        <v>-0.15791240000000001</v>
      </c>
      <c r="Z6322">
        <v>-2.4114039999999998E-3</v>
      </c>
      <c r="AA6322">
        <v>0.98745019999999994</v>
      </c>
      <c r="AB6322">
        <v>26</v>
      </c>
      <c r="AC6322">
        <v>-41.087899999999898</v>
      </c>
      <c r="AD6322">
        <v>-1.1205320087549999</v>
      </c>
      <c r="AE6322">
        <v>-8.3276000000000092</v>
      </c>
      <c r="AF6322">
        <v>-6.65917968461748</v>
      </c>
      <c r="AG6322">
        <v>-1.1205320087549999</v>
      </c>
      <c r="AH6322">
        <v>41.3607456234853</v>
      </c>
      <c r="AI6322">
        <v>91.532137990310801</v>
      </c>
      <c r="AJ6322">
        <v>99.1462683484895</v>
      </c>
      <c r="AK6322">
        <v>41.908370817598303</v>
      </c>
      <c r="AL6322">
        <v>82.628517900423702</v>
      </c>
      <c r="AM6322">
        <v>88.565565307009194</v>
      </c>
      <c r="AN6322">
        <v>1.00000003968028</v>
      </c>
    </row>
    <row r="6323" spans="1:40" x14ac:dyDescent="0.25">
      <c r="A6323" t="str">
        <f>"20190303162037788"</f>
        <v>20190303162037788</v>
      </c>
      <c r="B6323" t="str">
        <f>"1551601237778955"</f>
        <v>1551601237778955</v>
      </c>
      <c r="C6323" t="s">
        <v>40</v>
      </c>
      <c r="D6323">
        <v>4.6996640000000003</v>
      </c>
      <c r="E6323">
        <v>0.42768889999999998</v>
      </c>
      <c r="F6323" t="s">
        <v>41</v>
      </c>
      <c r="G6323">
        <v>-270.56049999999999</v>
      </c>
      <c r="H6323" s="1">
        <v>-5.359022E-6</v>
      </c>
      <c r="I6323">
        <v>132.13399999999999</v>
      </c>
      <c r="J6323">
        <v>-225.36109999999999</v>
      </c>
      <c r="K6323">
        <v>1.120568</v>
      </c>
      <c r="L6323">
        <v>141.428</v>
      </c>
      <c r="M6323">
        <v>-0.99915419999999999</v>
      </c>
      <c r="N6323">
        <v>-1.1472100000000001E-2</v>
      </c>
      <c r="O6323">
        <v>-3.9490900000000002E-2</v>
      </c>
      <c r="P6323">
        <v>-0.99281410000000003</v>
      </c>
      <c r="Q6323">
        <v>0.1183743</v>
      </c>
      <c r="R6323">
        <v>-1.7541879999999999E-2</v>
      </c>
      <c r="S6323">
        <v>-3.0202640000000001</v>
      </c>
      <c r="T6323">
        <v>-7.4473499999999998E-2</v>
      </c>
      <c r="U6323">
        <v>-0.61828609999999995</v>
      </c>
      <c r="V6323">
        <v>2.188302E-2</v>
      </c>
      <c r="W6323">
        <v>0.12972159999999999</v>
      </c>
      <c r="X6323">
        <v>0.991309</v>
      </c>
      <c r="Y6323">
        <v>-0.16163939999999999</v>
      </c>
      <c r="Z6323">
        <v>-2.3954649999999998E-3</v>
      </c>
      <c r="AA6323">
        <v>0.98684700000000003</v>
      </c>
      <c r="AB6323">
        <v>26</v>
      </c>
      <c r="AC6323">
        <v>-45.199399999999997</v>
      </c>
      <c r="AD6323">
        <v>-1.1205733590219999</v>
      </c>
      <c r="AE6323">
        <v>-9.2940000000000094</v>
      </c>
      <c r="AF6323">
        <v>-7.4972457295621604</v>
      </c>
      <c r="AG6323">
        <v>-1.1205733590219999</v>
      </c>
      <c r="AH6323">
        <v>45.504355321315401</v>
      </c>
      <c r="AI6323">
        <v>91.391901596414897</v>
      </c>
      <c r="AJ6323">
        <v>99.355934477822103</v>
      </c>
      <c r="AK6323">
        <v>46.131450566732902</v>
      </c>
      <c r="AL6323">
        <v>82.546495403344096</v>
      </c>
      <c r="AM6323">
        <v>88.735408345078696</v>
      </c>
      <c r="AN6323">
        <v>1.00000004677593</v>
      </c>
    </row>
    <row r="6324" spans="1:40" x14ac:dyDescent="0.25">
      <c r="A6324" t="str">
        <f>"20190303162037811"</f>
        <v>20190303162037811</v>
      </c>
      <c r="B6324" t="str">
        <f>"1551601237798475"</f>
        <v>1551601237798475</v>
      </c>
      <c r="C6324" t="s">
        <v>40</v>
      </c>
      <c r="D6324">
        <v>4.6531969999999996</v>
      </c>
      <c r="E6324">
        <v>0.42768139999999999</v>
      </c>
      <c r="F6324" t="s">
        <v>41</v>
      </c>
      <c r="G6324">
        <v>-270.09539999999998</v>
      </c>
      <c r="H6324" s="1">
        <v>-5.5596960000000002E-6</v>
      </c>
      <c r="I6324">
        <v>132.1276</v>
      </c>
      <c r="J6324">
        <v>-225.61609999999999</v>
      </c>
      <c r="K6324">
        <v>1.1206</v>
      </c>
      <c r="L6324">
        <v>141.41890000000001</v>
      </c>
      <c r="M6324">
        <v>-0.99918739999999995</v>
      </c>
      <c r="N6324">
        <v>-1.1471840000000001E-2</v>
      </c>
      <c r="O6324">
        <v>-3.8640609999999999E-2</v>
      </c>
      <c r="P6324">
        <v>-0.99281870000000005</v>
      </c>
      <c r="Q6324">
        <v>0.118023</v>
      </c>
      <c r="R6324">
        <v>-1.9538900000000001E-2</v>
      </c>
      <c r="S6324">
        <v>-3.019638</v>
      </c>
      <c r="T6324">
        <v>-7.5640680000000002E-2</v>
      </c>
      <c r="U6324">
        <v>-0.62779240000000003</v>
      </c>
      <c r="V6324">
        <v>1.9036290000000001E-2</v>
      </c>
      <c r="W6324">
        <v>0.1293764</v>
      </c>
      <c r="X6324">
        <v>0.99141279999999998</v>
      </c>
      <c r="Y6324">
        <v>-0.16549449999999999</v>
      </c>
      <c r="Z6324">
        <v>-2.4927719999999999E-3</v>
      </c>
      <c r="AA6324">
        <v>0.98620750000000001</v>
      </c>
      <c r="AB6324">
        <v>26</v>
      </c>
      <c r="AC6324">
        <v>-44.479300000000002</v>
      </c>
      <c r="AD6324">
        <v>-1.1206055596960001</v>
      </c>
      <c r="AE6324">
        <v>-9.2912999999999997</v>
      </c>
      <c r="AF6324">
        <v>-7.5609413335039202</v>
      </c>
      <c r="AG6324">
        <v>-1.1206055596960001</v>
      </c>
      <c r="AH6324">
        <v>44.777888807522501</v>
      </c>
      <c r="AI6324">
        <v>91.413575551894297</v>
      </c>
      <c r="AJ6324">
        <v>99.584236123009603</v>
      </c>
      <c r="AK6324">
        <v>45.425575579490001</v>
      </c>
      <c r="AL6324">
        <v>82.566441545317801</v>
      </c>
      <c r="AM6324">
        <v>88.899988922138903</v>
      </c>
      <c r="AN6324">
        <v>0.99999998660888201</v>
      </c>
    </row>
    <row r="6325" spans="1:40" x14ac:dyDescent="0.25">
      <c r="A6325" t="str">
        <f>"20190303162037833"</f>
        <v>20190303162037833</v>
      </c>
      <c r="B6325" t="str">
        <f>"1551601237828731"</f>
        <v>1551601237828731</v>
      </c>
      <c r="C6325" t="s">
        <v>40</v>
      </c>
      <c r="D6325">
        <v>4.6991420000000002</v>
      </c>
      <c r="E6325">
        <v>0.42757339999999999</v>
      </c>
      <c r="F6325" t="s">
        <v>41</v>
      </c>
      <c r="G6325">
        <v>-268.36090000000002</v>
      </c>
      <c r="H6325" s="1">
        <v>-2.4525299999999998E-6</v>
      </c>
      <c r="I6325">
        <v>132.4427</v>
      </c>
      <c r="J6325">
        <v>-225.87190000000001</v>
      </c>
      <c r="K6325">
        <v>1.120617</v>
      </c>
      <c r="L6325">
        <v>141.41</v>
      </c>
      <c r="M6325">
        <v>-0.99921939999999998</v>
      </c>
      <c r="N6325">
        <v>-1.14717E-2</v>
      </c>
      <c r="O6325">
        <v>-3.78053E-2</v>
      </c>
      <c r="P6325">
        <v>-0.99280089999999999</v>
      </c>
      <c r="Q6325">
        <v>0.1175736</v>
      </c>
      <c r="R6325">
        <v>-2.287577E-2</v>
      </c>
      <c r="S6325">
        <v>-3.0186310000000001</v>
      </c>
      <c r="T6325">
        <v>-7.9136730000000002E-2</v>
      </c>
      <c r="U6325">
        <v>-0.63389589999999996</v>
      </c>
      <c r="V6325">
        <v>1.48652E-2</v>
      </c>
      <c r="W6325">
        <v>0.12893479999999999</v>
      </c>
      <c r="X6325">
        <v>0.99154160000000002</v>
      </c>
      <c r="Y6325">
        <v>-0.16828789999999999</v>
      </c>
      <c r="Z6325">
        <v>-2.608094E-3</v>
      </c>
      <c r="AA6325">
        <v>0.98573449999999996</v>
      </c>
      <c r="AB6325">
        <v>26</v>
      </c>
      <c r="AC6325">
        <v>-42.488999999999997</v>
      </c>
      <c r="AD6325">
        <v>-1.1206194525299999</v>
      </c>
      <c r="AE6325">
        <v>-8.9672999999999892</v>
      </c>
      <c r="AF6325">
        <v>-7.3495793503749098</v>
      </c>
      <c r="AG6325">
        <v>-1.1206194525299999</v>
      </c>
      <c r="AH6325">
        <v>42.769173529228702</v>
      </c>
      <c r="AI6325">
        <v>91.479223934566093</v>
      </c>
      <c r="AJ6325">
        <v>99.750639213597694</v>
      </c>
      <c r="AK6325">
        <v>43.410532235370297</v>
      </c>
      <c r="AL6325">
        <v>82.591956803812707</v>
      </c>
      <c r="AM6325">
        <v>89.141085538138299</v>
      </c>
      <c r="AN6325">
        <v>0.99999995067631797</v>
      </c>
    </row>
    <row r="6326" spans="1:40" x14ac:dyDescent="0.25">
      <c r="A6326" t="str">
        <f>"20190303162037855"</f>
        <v>20190303162037855</v>
      </c>
      <c r="B6326" t="str">
        <f>"1551601237849227"</f>
        <v>1551601237849227</v>
      </c>
      <c r="C6326" t="s">
        <v>40</v>
      </c>
      <c r="D6326">
        <v>4.6623289999999997</v>
      </c>
      <c r="E6326">
        <v>0.42762679999999997</v>
      </c>
      <c r="F6326" t="s">
        <v>41</v>
      </c>
      <c r="G6326">
        <v>-263.60539999999997</v>
      </c>
      <c r="H6326" s="1">
        <v>-3.8356610000000004E-6</v>
      </c>
      <c r="I6326">
        <v>133.358</v>
      </c>
      <c r="J6326">
        <v>-226.125</v>
      </c>
      <c r="K6326">
        <v>1.120627</v>
      </c>
      <c r="L6326">
        <v>141.4014</v>
      </c>
      <c r="M6326">
        <v>-0.99924979999999997</v>
      </c>
      <c r="N6326">
        <v>-1.147167E-2</v>
      </c>
      <c r="O6326">
        <v>-3.6992459999999998E-2</v>
      </c>
      <c r="P6326">
        <v>-0.99279740000000005</v>
      </c>
      <c r="Q6326">
        <v>0.1165099</v>
      </c>
      <c r="R6326">
        <v>-2.7912050000000001E-2</v>
      </c>
      <c r="S6326">
        <v>-3.0175169999999998</v>
      </c>
      <c r="T6326">
        <v>-8.9615349999999996E-2</v>
      </c>
      <c r="U6326">
        <v>-0.64390559999999997</v>
      </c>
      <c r="V6326">
        <v>9.0192190000000002E-3</v>
      </c>
      <c r="W6326">
        <v>0.12788260000000001</v>
      </c>
      <c r="X6326">
        <v>0.99174830000000003</v>
      </c>
      <c r="Y6326">
        <v>-0.172271799999999</v>
      </c>
      <c r="Z6326">
        <v>-2.8637089999999999E-3</v>
      </c>
      <c r="AA6326">
        <v>0.98504530000000001</v>
      </c>
      <c r="AB6326">
        <v>26</v>
      </c>
      <c r="AC6326">
        <v>-37.480399999999896</v>
      </c>
      <c r="AD6326">
        <v>-1.120630835661</v>
      </c>
      <c r="AE6326">
        <v>-8.0433999999999894</v>
      </c>
      <c r="AF6326">
        <v>-6.6456312820563301</v>
      </c>
      <c r="AG6326">
        <v>-1.120630835661</v>
      </c>
      <c r="AH6326">
        <v>37.720072131820999</v>
      </c>
      <c r="AI6326">
        <v>91.675911037461503</v>
      </c>
      <c r="AJ6326">
        <v>99.991992901090697</v>
      </c>
      <c r="AK6326">
        <v>38.3174121025502</v>
      </c>
      <c r="AL6326">
        <v>82.652747038643398</v>
      </c>
      <c r="AM6326">
        <v>89.478951526806298</v>
      </c>
      <c r="AN6326">
        <v>0.99999999812350904</v>
      </c>
    </row>
    <row r="6327" spans="1:40" x14ac:dyDescent="0.25">
      <c r="A6327" t="str">
        <f>"20190303162037878"</f>
        <v>20190303162037878</v>
      </c>
      <c r="B6327" t="str">
        <f>"1551601237868751"</f>
        <v>1551601237868751</v>
      </c>
      <c r="C6327" t="s">
        <v>40</v>
      </c>
      <c r="D6327">
        <v>4.6769889999999998</v>
      </c>
      <c r="E6327">
        <v>0.4276913</v>
      </c>
      <c r="F6327" t="s">
        <v>41</v>
      </c>
      <c r="G6327">
        <v>-260.96390000000002</v>
      </c>
      <c r="H6327" s="1">
        <v>-4.8902369999999997E-6</v>
      </c>
      <c r="I6327">
        <v>133.8013</v>
      </c>
      <c r="J6327">
        <v>-226.38399999999999</v>
      </c>
      <c r="K6327">
        <v>1.120625</v>
      </c>
      <c r="L6327">
        <v>141.39269999999999</v>
      </c>
      <c r="M6327">
        <v>-0.9992799</v>
      </c>
      <c r="N6327">
        <v>-1.1471739999999999E-2</v>
      </c>
      <c r="O6327">
        <v>-3.6169189999999997E-2</v>
      </c>
      <c r="P6327">
        <v>-0.99269560000000001</v>
      </c>
      <c r="Q6327">
        <v>0.1164345</v>
      </c>
      <c r="R6327">
        <v>-3.1603230000000003E-2</v>
      </c>
      <c r="S6327">
        <v>-3.0146480000000002</v>
      </c>
      <c r="T6327">
        <v>-9.6969719999999995E-2</v>
      </c>
      <c r="U6327">
        <v>-0.65763850000000001</v>
      </c>
      <c r="V6327">
        <v>4.5061750000000003E-3</v>
      </c>
      <c r="W6327">
        <v>0.12781400000000001</v>
      </c>
      <c r="X6327">
        <v>0.99178789999999994</v>
      </c>
      <c r="Y6327">
        <v>-0.17754259999999999</v>
      </c>
      <c r="Z6327">
        <v>-3.114337E-3</v>
      </c>
      <c r="AA6327">
        <v>0.98410819999999999</v>
      </c>
      <c r="AB6327">
        <v>26</v>
      </c>
      <c r="AC6327">
        <v>-34.579900000000002</v>
      </c>
      <c r="AD6327">
        <v>-1.120629890237</v>
      </c>
      <c r="AE6327">
        <v>-7.5913999999999904</v>
      </c>
      <c r="AF6327">
        <v>-6.3292814851494903</v>
      </c>
      <c r="AG6327">
        <v>-1.120629890237</v>
      </c>
      <c r="AH6327">
        <v>34.7969995947809</v>
      </c>
      <c r="AI6327">
        <v>91.814804435897599</v>
      </c>
      <c r="AJ6327">
        <v>100.308917647036</v>
      </c>
      <c r="AK6327">
        <v>35.385686319023598</v>
      </c>
      <c r="AL6327">
        <v>82.656709927155305</v>
      </c>
      <c r="AM6327">
        <v>89.739679186773202</v>
      </c>
      <c r="AN6327">
        <v>0.99999998139777002</v>
      </c>
    </row>
    <row r="6328" spans="1:40" x14ac:dyDescent="0.25">
      <c r="A6328" t="str">
        <f>"20190303162037899"</f>
        <v>20190303162037899</v>
      </c>
      <c r="B6328" t="str">
        <f>"1551601237889243"</f>
        <v>1551601237889243</v>
      </c>
      <c r="C6328" t="s">
        <v>40</v>
      </c>
      <c r="D6328">
        <v>4.6767409999999998</v>
      </c>
      <c r="E6328">
        <v>0.4280274</v>
      </c>
      <c r="F6328" t="s">
        <v>41</v>
      </c>
      <c r="G6328">
        <v>-260.02890000000002</v>
      </c>
      <c r="H6328" s="1">
        <v>-5.2686029999999997E-6</v>
      </c>
      <c r="I6328">
        <v>133.92949999999999</v>
      </c>
      <c r="J6328">
        <v>-226.62819999999999</v>
      </c>
      <c r="K6328">
        <v>1.1206179999999999</v>
      </c>
      <c r="L6328">
        <v>141.38480000000001</v>
      </c>
      <c r="M6328">
        <v>-0.99930759999999996</v>
      </c>
      <c r="N6328">
        <v>-1.147191E-2</v>
      </c>
      <c r="O6328">
        <v>-3.539689E-2</v>
      </c>
      <c r="P6328">
        <v>-0.99239359999999999</v>
      </c>
      <c r="Q6328">
        <v>0.1184062</v>
      </c>
      <c r="R6328">
        <v>-3.3700910000000001E-2</v>
      </c>
      <c r="S6328">
        <v>-3.0125730000000002</v>
      </c>
      <c r="T6328">
        <v>-0.1003416</v>
      </c>
      <c r="U6328">
        <v>-0.66825869999999998</v>
      </c>
      <c r="V6328">
        <v>1.6336600000000001E-3</v>
      </c>
      <c r="W6328">
        <v>0.12978729999999999</v>
      </c>
      <c r="X6328">
        <v>0.99154050000000005</v>
      </c>
      <c r="Y6328">
        <v>-0.18174199999999999</v>
      </c>
      <c r="Z6328">
        <v>-3.2833350000000001E-3</v>
      </c>
      <c r="AA6328">
        <v>0.98334080000000001</v>
      </c>
      <c r="AB6328">
        <v>26</v>
      </c>
      <c r="AC6328">
        <v>-33.400700000000001</v>
      </c>
      <c r="AD6328">
        <v>-1.120623268603</v>
      </c>
      <c r="AE6328">
        <v>-7.4553000000000198</v>
      </c>
      <c r="AF6328">
        <v>-6.2615549266736998</v>
      </c>
      <c r="AG6328">
        <v>-1.120623268603</v>
      </c>
      <c r="AH6328">
        <v>33.607642423167398</v>
      </c>
      <c r="AI6328">
        <v>91.877495258663203</v>
      </c>
      <c r="AJ6328">
        <v>100.553964331418</v>
      </c>
      <c r="AK6328">
        <v>34.204334460026601</v>
      </c>
      <c r="AL6328">
        <v>82.542698532711398</v>
      </c>
      <c r="AM6328">
        <v>89.905599682047296</v>
      </c>
      <c r="AN6328">
        <v>0.99999998761326703</v>
      </c>
    </row>
    <row r="6329" spans="1:40" x14ac:dyDescent="0.25">
      <c r="A6329" t="str">
        <f>"20190303162037923"</f>
        <v>20190303162037923</v>
      </c>
      <c r="B6329" t="str">
        <f>"1551601237918523"</f>
        <v>1551601237918523</v>
      </c>
      <c r="C6329" t="s">
        <v>40</v>
      </c>
      <c r="D6329">
        <v>4.6050319999999996</v>
      </c>
      <c r="E6329">
        <v>0.4283342</v>
      </c>
      <c r="F6329" t="s">
        <v>41</v>
      </c>
      <c r="G6329">
        <v>-262.46359999999999</v>
      </c>
      <c r="H6329" s="1">
        <v>-4.3239339999999999E-6</v>
      </c>
      <c r="I6329">
        <v>133.36670000000001</v>
      </c>
      <c r="J6329">
        <v>-226.8946</v>
      </c>
      <c r="K6329">
        <v>1.120611</v>
      </c>
      <c r="L6329">
        <v>141.37629999999999</v>
      </c>
      <c r="M6329">
        <v>-0.99933689999999997</v>
      </c>
      <c r="N6329">
        <v>-1.147219E-2</v>
      </c>
      <c r="O6329">
        <v>-3.4554830000000002E-2</v>
      </c>
      <c r="P6329">
        <v>-0.99199519999999997</v>
      </c>
      <c r="Q6329">
        <v>0.1217965</v>
      </c>
      <c r="R6329">
        <v>-3.333626E-2</v>
      </c>
      <c r="S6329">
        <v>-3.011368</v>
      </c>
      <c r="T6329">
        <v>-9.4169619999999996E-2</v>
      </c>
      <c r="U6329">
        <v>-0.67378229999999995</v>
      </c>
      <c r="V6329">
        <v>1.1521890000000001E-3</v>
      </c>
      <c r="W6329">
        <v>0.13317419999999999</v>
      </c>
      <c r="X6329">
        <v>0.99109199999999997</v>
      </c>
      <c r="Y6329">
        <v>-0.18438170000000001</v>
      </c>
      <c r="Z6329">
        <v>-3.244004E-3</v>
      </c>
      <c r="AA6329">
        <v>0.98284939999999998</v>
      </c>
      <c r="AB6329">
        <v>26</v>
      </c>
      <c r="AC6329">
        <v>-35.568999999999903</v>
      </c>
      <c r="AD6329">
        <v>-1.120615323934</v>
      </c>
      <c r="AE6329">
        <v>-8.0095999999999705</v>
      </c>
      <c r="AF6329">
        <v>-6.7692595313094799</v>
      </c>
      <c r="AG6329">
        <v>-1.120615323934</v>
      </c>
      <c r="AH6329">
        <v>35.790733097033304</v>
      </c>
      <c r="AI6329">
        <v>91.762136667066301</v>
      </c>
      <c r="AJ6329">
        <v>100.71009336420801</v>
      </c>
      <c r="AK6329">
        <v>36.442492079021399</v>
      </c>
      <c r="AL6329">
        <v>82.346944234142896</v>
      </c>
      <c r="AM6329">
        <v>89.933391110854302</v>
      </c>
      <c r="AN6329">
        <v>1.0000000237745601</v>
      </c>
    </row>
    <row r="6330" spans="1:40" x14ac:dyDescent="0.25">
      <c r="A6330" t="str">
        <f>"20190303162037946"</f>
        <v>20190303162037946</v>
      </c>
      <c r="B6330" t="str">
        <f>"1551601237939019"</f>
        <v>1551601237939019</v>
      </c>
      <c r="C6330" t="s">
        <v>40</v>
      </c>
      <c r="D6330">
        <v>4.7163309999999896</v>
      </c>
      <c r="E6330">
        <v>0.42837449999999999</v>
      </c>
      <c r="F6330" t="s">
        <v>41</v>
      </c>
      <c r="G6330">
        <v>-267.48450000000003</v>
      </c>
      <c r="H6330" s="1">
        <v>-2.786463E-6</v>
      </c>
      <c r="I6330">
        <v>132.30860000000001</v>
      </c>
      <c r="J6330">
        <v>-227.16730000000001</v>
      </c>
      <c r="K6330">
        <v>1.1206039999999999</v>
      </c>
      <c r="L6330">
        <v>141.36789999999999</v>
      </c>
      <c r="M6330">
        <v>-0.99936659999999999</v>
      </c>
      <c r="N6330">
        <v>-1.147254E-2</v>
      </c>
      <c r="O6330">
        <v>-3.3690699999999997E-2</v>
      </c>
      <c r="P6330">
        <v>-0.99166719999999997</v>
      </c>
      <c r="Q6330">
        <v>0.1253843</v>
      </c>
      <c r="R6330">
        <v>-2.9591349999999999E-2</v>
      </c>
      <c r="S6330">
        <v>-3.0118260000000001</v>
      </c>
      <c r="T6330">
        <v>-8.3151100000000006E-2</v>
      </c>
      <c r="U6330">
        <v>-0.67283630000000005</v>
      </c>
      <c r="V6330">
        <v>4.0312359999999997E-3</v>
      </c>
      <c r="W6330">
        <v>0.13675219999999999</v>
      </c>
      <c r="X6330">
        <v>0.99059710000000001</v>
      </c>
      <c r="Y6330">
        <v>-0.1849259</v>
      </c>
      <c r="Z6330">
        <v>-3.059745E-3</v>
      </c>
      <c r="AA6330">
        <v>0.9827477</v>
      </c>
      <c r="AB6330">
        <v>26</v>
      </c>
      <c r="AC6330">
        <v>-40.3172</v>
      </c>
      <c r="AD6330">
        <v>-1.120606786463</v>
      </c>
      <c r="AE6330">
        <v>-9.0592999999999808</v>
      </c>
      <c r="AF6330">
        <v>-7.6900971003054401</v>
      </c>
      <c r="AG6330">
        <v>-1.120606786463</v>
      </c>
      <c r="AH6330">
        <v>40.569707758190397</v>
      </c>
      <c r="AI6330">
        <v>91.554540942811101</v>
      </c>
      <c r="AJ6330">
        <v>100.733228867555</v>
      </c>
      <c r="AK6330">
        <v>41.307318244676303</v>
      </c>
      <c r="AL6330">
        <v>82.140046766806194</v>
      </c>
      <c r="AM6330">
        <v>89.766836048682805</v>
      </c>
      <c r="AN6330">
        <v>1.00000001479846</v>
      </c>
    </row>
    <row r="6331" spans="1:40" x14ac:dyDescent="0.25">
      <c r="A6331" t="str">
        <f>"20190303162037969"</f>
        <v>20190303162037969</v>
      </c>
      <c r="B6331" t="str">
        <f>"1551601237958539"</f>
        <v>1551601237958539</v>
      </c>
      <c r="C6331" t="s">
        <v>40</v>
      </c>
      <c r="D6331">
        <v>4.7260519999999904</v>
      </c>
      <c r="E6331">
        <v>0.42844300000000002</v>
      </c>
      <c r="F6331" t="s">
        <v>41</v>
      </c>
      <c r="G6331">
        <v>-277.27730000000003</v>
      </c>
      <c r="H6331" s="1">
        <v>-3.3813670000000001E-6</v>
      </c>
      <c r="I6331">
        <v>130.33770000000001</v>
      </c>
      <c r="J6331">
        <v>-227.4271</v>
      </c>
      <c r="K6331">
        <v>1.120587</v>
      </c>
      <c r="L6331">
        <v>141.36009999999999</v>
      </c>
      <c r="M6331">
        <v>-0.99939409999999895</v>
      </c>
      <c r="N6331">
        <v>-1.1472939999999999E-2</v>
      </c>
      <c r="O6331">
        <v>-3.2863749999999997E-2</v>
      </c>
      <c r="P6331">
        <v>-0.99205370000000004</v>
      </c>
      <c r="Q6331">
        <v>0.1235057</v>
      </c>
      <c r="R6331">
        <v>-2.4001330000000001E-2</v>
      </c>
      <c r="S6331">
        <v>-3.0139309999999999</v>
      </c>
      <c r="T6331">
        <v>-6.7400459999999995E-2</v>
      </c>
      <c r="U6331">
        <v>-0.66342159999999994</v>
      </c>
      <c r="V6331">
        <v>8.8076390000000008E-3</v>
      </c>
      <c r="W6331">
        <v>0.13487009999999999</v>
      </c>
      <c r="X6331">
        <v>0.99082420000000004</v>
      </c>
      <c r="Y6331">
        <v>-0.18269340000000001</v>
      </c>
      <c r="Z6331">
        <v>-2.7265789999999998E-3</v>
      </c>
      <c r="AA6331">
        <v>0.98316619999999999</v>
      </c>
      <c r="AB6331">
        <v>26</v>
      </c>
      <c r="AC6331">
        <v>-49.850200000000001</v>
      </c>
      <c r="AD6331">
        <v>-1.120590381367</v>
      </c>
      <c r="AE6331">
        <v>-11.0223999999999</v>
      </c>
      <c r="AF6331">
        <v>-9.3735574108847395</v>
      </c>
      <c r="AG6331">
        <v>-1.120590381367</v>
      </c>
      <c r="AH6331">
        <v>50.161364927227801</v>
      </c>
      <c r="AI6331">
        <v>91.257989630011707</v>
      </c>
      <c r="AJ6331">
        <v>100.5846739776</v>
      </c>
      <c r="AK6331">
        <v>51.041961489547802</v>
      </c>
      <c r="AL6331">
        <v>82.248891972555995</v>
      </c>
      <c r="AM6331">
        <v>89.490699509643903</v>
      </c>
      <c r="AN6331">
        <v>1.0000000568422001</v>
      </c>
    </row>
    <row r="6332" spans="1:40" x14ac:dyDescent="0.25">
      <c r="A6332" t="str">
        <f>"20190303162037989"</f>
        <v>20190303162037989</v>
      </c>
      <c r="B6332" t="str">
        <f>"1551601237979034"</f>
        <v>1551601237979034</v>
      </c>
      <c r="C6332" t="s">
        <v>40</v>
      </c>
      <c r="D6332">
        <v>4.725301</v>
      </c>
      <c r="E6332">
        <v>0.4285291</v>
      </c>
      <c r="F6332" t="s">
        <v>41</v>
      </c>
      <c r="G6332">
        <v>-273.40969999999999</v>
      </c>
      <c r="H6332" s="1">
        <v>-4.3830990000000002E-6</v>
      </c>
      <c r="I6332">
        <v>131.51939999999999</v>
      </c>
      <c r="J6332">
        <v>-227.66300000000001</v>
      </c>
      <c r="K6332">
        <v>1.12056</v>
      </c>
      <c r="L6332">
        <v>141.35329999999999</v>
      </c>
      <c r="M6332">
        <v>-0.99941860000000005</v>
      </c>
      <c r="N6332">
        <v>-1.147336E-2</v>
      </c>
      <c r="O6332">
        <v>-3.2110010000000001E-2</v>
      </c>
      <c r="P6332">
        <v>-0.9928534</v>
      </c>
      <c r="Q6332">
        <v>0.1176788</v>
      </c>
      <c r="R6332">
        <v>-1.9862500000000002E-2</v>
      </c>
      <c r="S6332">
        <v>-3.017563</v>
      </c>
      <c r="T6332">
        <v>-7.3537710000000006E-2</v>
      </c>
      <c r="U6332">
        <v>-0.64578250000000004</v>
      </c>
      <c r="V6332">
        <v>1.221384E-2</v>
      </c>
      <c r="W6332">
        <v>0.12904640000000001</v>
      </c>
      <c r="X6332">
        <v>0.99156330000000004</v>
      </c>
      <c r="Y6332">
        <v>-0.17768789999999901</v>
      </c>
      <c r="Z6332">
        <v>-2.7633150000000001E-3</v>
      </c>
      <c r="AA6332">
        <v>0.98408300000000004</v>
      </c>
      <c r="AB6332">
        <v>26</v>
      </c>
      <c r="AC6332">
        <v>-45.746699999999997</v>
      </c>
      <c r="AD6332">
        <v>-1.120564383099</v>
      </c>
      <c r="AE6332">
        <v>-9.8338999999999999</v>
      </c>
      <c r="AF6332">
        <v>-8.3550132500389491</v>
      </c>
      <c r="AG6332">
        <v>-1.120564383099</v>
      </c>
      <c r="AH6332">
        <v>46.012506271101699</v>
      </c>
      <c r="AI6332">
        <v>91.372638668544198</v>
      </c>
      <c r="AJ6332">
        <v>100.291710975342</v>
      </c>
      <c r="AK6332">
        <v>46.778335202240498</v>
      </c>
      <c r="AL6332">
        <v>82.585508829690198</v>
      </c>
      <c r="AM6332">
        <v>89.294279957833595</v>
      </c>
      <c r="AN6332">
        <v>0.999999964573697</v>
      </c>
    </row>
    <row r="6333" spans="1:40" x14ac:dyDescent="0.25">
      <c r="A6333" t="str">
        <f>"20190303162038012"</f>
        <v>20190303162038012</v>
      </c>
      <c r="B6333" t="str">
        <f>"1551601237998556"</f>
        <v>1551601237998556</v>
      </c>
      <c r="C6333" t="s">
        <v>40</v>
      </c>
      <c r="D6333">
        <v>4.8966310000000002</v>
      </c>
      <c r="E6333">
        <v>0.46539599999999998</v>
      </c>
      <c r="F6333" t="s">
        <v>41</v>
      </c>
      <c r="G6333">
        <v>-264.6044</v>
      </c>
      <c r="H6333" s="1">
        <v>-3.4169299999999998E-6</v>
      </c>
      <c r="I6333">
        <v>133.62270000000001</v>
      </c>
      <c r="J6333">
        <v>-227.92490000000001</v>
      </c>
      <c r="K6333">
        <v>1.1205510000000001</v>
      </c>
      <c r="L6333">
        <v>141.3458</v>
      </c>
      <c r="M6333">
        <v>-0.99944509999999998</v>
      </c>
      <c r="N6333">
        <v>-1.1473840000000001E-2</v>
      </c>
      <c r="O6333">
        <v>-3.127162E-2</v>
      </c>
      <c r="P6333">
        <v>-0.9934269</v>
      </c>
      <c r="Q6333">
        <v>0.1134574</v>
      </c>
      <c r="R6333">
        <v>-1.5199539999999999E-2</v>
      </c>
      <c r="S6333">
        <v>-3.0198209999999999</v>
      </c>
      <c r="T6333">
        <v>-9.1602089999999997E-2</v>
      </c>
      <c r="U6333">
        <v>-0.63194269999999997</v>
      </c>
      <c r="V6333">
        <v>1.6053919999999999E-2</v>
      </c>
      <c r="W6333">
        <v>0.12482550000000001</v>
      </c>
      <c r="X6333">
        <v>0.99204879999999995</v>
      </c>
      <c r="Y6333">
        <v>-0.174016</v>
      </c>
      <c r="Z6333">
        <v>-3.0376859999999999E-3</v>
      </c>
      <c r="AA6333">
        <v>0.98473820000000001</v>
      </c>
      <c r="AB6333">
        <v>26</v>
      </c>
      <c r="AC6333">
        <v>-36.679499999999898</v>
      </c>
      <c r="AD6333">
        <v>-1.1205544169299999</v>
      </c>
      <c r="AE6333">
        <v>-7.7230999999999801</v>
      </c>
      <c r="AF6333">
        <v>-6.5663512744882198</v>
      </c>
      <c r="AG6333">
        <v>-1.1205544169299999</v>
      </c>
      <c r="AH6333">
        <v>36.870138361543397</v>
      </c>
      <c r="AI6333">
        <v>91.713842342783906</v>
      </c>
      <c r="AJ6333">
        <v>100.098161432414</v>
      </c>
      <c r="AK6333">
        <v>37.467048376682001</v>
      </c>
      <c r="AL6333">
        <v>82.829321097351396</v>
      </c>
      <c r="AM6333">
        <v>89.072886757095702</v>
      </c>
      <c r="AN6333">
        <v>0.99999997768952698</v>
      </c>
    </row>
    <row r="6334" spans="1:40" x14ac:dyDescent="0.25">
      <c r="A6334" t="str">
        <f>"20190303162038035"</f>
        <v>20190303162038035</v>
      </c>
      <c r="B6334" t="str">
        <f>"1551601238028811"</f>
        <v>1551601238028811</v>
      </c>
      <c r="C6334" t="s">
        <v>40</v>
      </c>
      <c r="D6334">
        <v>4.6913159999999996</v>
      </c>
      <c r="E6334">
        <v>0.48869000000000001</v>
      </c>
      <c r="F6334" t="s">
        <v>50</v>
      </c>
      <c r="G6334">
        <v>-310.65719999999999</v>
      </c>
      <c r="H6334" s="1">
        <v>-7.0350000000000004E-6</v>
      </c>
      <c r="I6334">
        <v>132.4957</v>
      </c>
      <c r="J6334">
        <v>-228.18989999999999</v>
      </c>
      <c r="K6334">
        <v>1.1205510000000001</v>
      </c>
      <c r="L6334">
        <v>141.33850000000001</v>
      </c>
      <c r="M6334">
        <v>-0.99947140000000001</v>
      </c>
      <c r="N6334">
        <v>-1.1474349999999999E-2</v>
      </c>
      <c r="O6334">
        <v>-3.0421790000000001E-2</v>
      </c>
      <c r="P6334">
        <v>-0.99335379999999995</v>
      </c>
      <c r="Q6334">
        <v>0.114519</v>
      </c>
      <c r="R6334">
        <v>-1.157101E-2</v>
      </c>
      <c r="S6334">
        <v>-3.0195620000000001</v>
      </c>
      <c r="T6334">
        <v>-4.0898080000000003E-2</v>
      </c>
      <c r="U6334">
        <v>-0.3230133</v>
      </c>
      <c r="V6334">
        <v>1.8835620000000001E-2</v>
      </c>
      <c r="W6334">
        <v>0.12588139999999901</v>
      </c>
      <c r="X6334">
        <v>0.99186649999999998</v>
      </c>
      <c r="Y6334">
        <v>-7.6053529999999994E-2</v>
      </c>
      <c r="Z6334">
        <v>-8.8881470000000005E-4</v>
      </c>
      <c r="AA6334">
        <v>0.99710330000000003</v>
      </c>
      <c r="AB6334">
        <v>26</v>
      </c>
      <c r="AC6334">
        <v>-82.467299999999994</v>
      </c>
      <c r="AD6334">
        <v>-1.120558035</v>
      </c>
      <c r="AE6334">
        <v>-8.8428000000000093</v>
      </c>
      <c r="AF6334">
        <v>-6.3285836304196499</v>
      </c>
      <c r="AG6334">
        <v>-1.120558035</v>
      </c>
      <c r="AH6334">
        <v>82.683064149599801</v>
      </c>
      <c r="AI6334">
        <v>90.774186449612898</v>
      </c>
      <c r="AJ6334">
        <v>94.376900223516699</v>
      </c>
      <c r="AK6334">
        <v>82.932476860659705</v>
      </c>
      <c r="AL6334">
        <v>82.768341866088505</v>
      </c>
      <c r="AM6334">
        <v>88.9120795688887</v>
      </c>
      <c r="AN6334">
        <v>1.0000000306344901</v>
      </c>
    </row>
    <row r="6335" spans="1:40" x14ac:dyDescent="0.25">
      <c r="A6335" t="str">
        <f>"20190303162038058"</f>
        <v>20190303162038058</v>
      </c>
      <c r="B6335" t="str">
        <f>"1551601238049312"</f>
        <v>1551601238049312</v>
      </c>
      <c r="C6335" t="s">
        <v>40</v>
      </c>
      <c r="D6335">
        <v>4.5874249999999996</v>
      </c>
      <c r="E6335">
        <v>0.49456620000000001</v>
      </c>
      <c r="F6335" t="s">
        <v>58</v>
      </c>
      <c r="G6335">
        <v>0</v>
      </c>
      <c r="H6335">
        <v>0</v>
      </c>
      <c r="I6335">
        <v>0</v>
      </c>
      <c r="J6335">
        <v>-228.44900000000001</v>
      </c>
      <c r="K6335">
        <v>1.1205849999999999</v>
      </c>
      <c r="L6335">
        <v>141.33160000000001</v>
      </c>
      <c r="M6335">
        <v>-0.9994963</v>
      </c>
      <c r="N6335">
        <v>-1.1474969999999999E-2</v>
      </c>
      <c r="O6335">
        <v>-2.9591389999999999E-2</v>
      </c>
      <c r="P6335">
        <v>-0.99257499999999999</v>
      </c>
      <c r="Q6335">
        <v>0.1213394</v>
      </c>
      <c r="R6335">
        <v>-8.4604299999999997E-3</v>
      </c>
      <c r="S6335">
        <v>-3.0191499999999998</v>
      </c>
      <c r="T6335">
        <v>-4.5872930000000001E-3</v>
      </c>
      <c r="U6335">
        <v>-0.12583920000000001</v>
      </c>
      <c r="V6335">
        <v>2.1106550000000002E-2</v>
      </c>
      <c r="W6335">
        <v>0.1326888</v>
      </c>
      <c r="X6335">
        <v>0.99093299999999995</v>
      </c>
      <c r="Y6335">
        <v>-1.205964E-2</v>
      </c>
      <c r="Z6335">
        <v>-3.7296760000000002E-4</v>
      </c>
      <c r="AA6335">
        <v>0.99992720000000002</v>
      </c>
      <c r="AB6335">
        <v>26</v>
      </c>
      <c r="AC6335">
        <v>-3.0191499999999998</v>
      </c>
      <c r="AD6335">
        <v>-4.5872930000000001E-3</v>
      </c>
      <c r="AE6335">
        <v>-0.12583920000000001</v>
      </c>
      <c r="AF6335">
        <v>-3.6437281465505102E-2</v>
      </c>
      <c r="AG6335">
        <v>-4.5872930000000001E-3</v>
      </c>
      <c r="AH6335">
        <v>3.0215447150269599</v>
      </c>
      <c r="AI6335">
        <v>90.086979754492404</v>
      </c>
      <c r="AJ6335">
        <v>90.690905298599006</v>
      </c>
      <c r="AK6335">
        <v>3.0217678904318599</v>
      </c>
      <c r="AL6335">
        <v>82.375004508400593</v>
      </c>
      <c r="AM6335">
        <v>88.779803068877598</v>
      </c>
      <c r="AN6335">
        <v>1.0000000072936699</v>
      </c>
    </row>
    <row r="6336" spans="1:40" x14ac:dyDescent="0.25">
      <c r="A6336" t="str">
        <f>"20190303162038081"</f>
        <v>20190303162038081</v>
      </c>
      <c r="B6336" t="str">
        <f>"1551601238068832"</f>
        <v>1551601238068832</v>
      </c>
      <c r="C6336" t="s">
        <v>40</v>
      </c>
      <c r="D6336">
        <v>4.5684930000000001</v>
      </c>
      <c r="E6336">
        <v>0.49746879999999999</v>
      </c>
      <c r="F6336" t="s">
        <v>58</v>
      </c>
      <c r="G6336">
        <v>0</v>
      </c>
      <c r="H6336">
        <v>0</v>
      </c>
      <c r="I6336">
        <v>0</v>
      </c>
      <c r="J6336">
        <v>-228.7174</v>
      </c>
      <c r="K6336">
        <v>1.120606</v>
      </c>
      <c r="L6336">
        <v>141.3246</v>
      </c>
      <c r="M6336">
        <v>-0.9995214</v>
      </c>
      <c r="N6336">
        <v>-1.1475549999999999E-2</v>
      </c>
      <c r="O6336">
        <v>-2.873096E-2</v>
      </c>
      <c r="P6336">
        <v>-0.99192939999999996</v>
      </c>
      <c r="Q6336">
        <v>0.1266147</v>
      </c>
      <c r="R6336">
        <v>-6.7265069999999996E-3</v>
      </c>
      <c r="S6336">
        <v>-3.0192410000000001</v>
      </c>
      <c r="T6336">
        <v>2.130783E-2</v>
      </c>
      <c r="U6336">
        <v>-6.9702150000000004E-2</v>
      </c>
      <c r="V6336">
        <v>2.1975020000000001E-2</v>
      </c>
      <c r="W6336">
        <v>0.13795569999999999</v>
      </c>
      <c r="X6336">
        <v>0.99019460000000004</v>
      </c>
      <c r="Y6336">
        <v>5.6500489999999999E-3</v>
      </c>
      <c r="Z6336">
        <v>-5.1992870000000004E-4</v>
      </c>
      <c r="AA6336">
        <v>0.99998390000000004</v>
      </c>
      <c r="AB6336">
        <v>26</v>
      </c>
      <c r="AC6336">
        <v>-3.0192410000000001</v>
      </c>
      <c r="AD6336">
        <v>2.130783E-2</v>
      </c>
      <c r="AE6336">
        <v>-6.9702150000000004E-2</v>
      </c>
      <c r="AF6336">
        <v>1.7077174696900999E-2</v>
      </c>
      <c r="AG6336">
        <v>2.130783E-2</v>
      </c>
      <c r="AH6336">
        <v>3.0198468498353002</v>
      </c>
      <c r="AI6336">
        <v>89.595738124733799</v>
      </c>
      <c r="AJ6336">
        <v>89.675996944511695</v>
      </c>
      <c r="AK6336">
        <v>3.0199703061412899</v>
      </c>
      <c r="AL6336">
        <v>82.070431452968194</v>
      </c>
      <c r="AM6336">
        <v>88.728664791602895</v>
      </c>
      <c r="AN6336">
        <v>1.00000001126782</v>
      </c>
    </row>
    <row r="6337" spans="1:40" x14ac:dyDescent="0.25">
      <c r="A6337" t="str">
        <f>"20190303162038102"</f>
        <v>20190303162038102</v>
      </c>
      <c r="B6337" t="str">
        <f>"1551601238089327"</f>
        <v>1551601238089327</v>
      </c>
      <c r="C6337" t="s">
        <v>40</v>
      </c>
      <c r="D6337">
        <v>4.612133</v>
      </c>
      <c r="E6337">
        <v>0.498948</v>
      </c>
      <c r="F6337" t="s">
        <v>58</v>
      </c>
      <c r="G6337">
        <v>0</v>
      </c>
      <c r="H6337">
        <v>0</v>
      </c>
      <c r="I6337">
        <v>0</v>
      </c>
      <c r="J6337">
        <v>-228.9633</v>
      </c>
      <c r="K6337">
        <v>1.1206259999999999</v>
      </c>
      <c r="L6337">
        <v>141.3184</v>
      </c>
      <c r="M6337">
        <v>-0.99954370000000003</v>
      </c>
      <c r="N6337">
        <v>-1.147598E-2</v>
      </c>
      <c r="O6337">
        <v>-2.794288E-2</v>
      </c>
      <c r="P6337">
        <v>-0.99146650000000003</v>
      </c>
      <c r="Q6337">
        <v>0.13027359999999999</v>
      </c>
      <c r="R6337">
        <v>-4.8109019999999997E-3</v>
      </c>
      <c r="S6337">
        <v>-3.019806</v>
      </c>
      <c r="T6337">
        <v>3.3702849999999999E-2</v>
      </c>
      <c r="U6337">
        <v>-4.1473389999999999E-2</v>
      </c>
      <c r="V6337">
        <v>2.3100550000000001E-2</v>
      </c>
      <c r="W6337">
        <v>0.14160729999999999</v>
      </c>
      <c r="X6337">
        <v>0.98965329999999996</v>
      </c>
      <c r="Y6337">
        <v>1.4207819999999999E-2</v>
      </c>
      <c r="Z6337">
        <v>-6.3023039999999999E-4</v>
      </c>
      <c r="AA6337">
        <v>0.99989890000000003</v>
      </c>
      <c r="AB6337">
        <v>26</v>
      </c>
      <c r="AC6337">
        <v>-3.019806</v>
      </c>
      <c r="AD6337">
        <v>3.3702849999999999E-2</v>
      </c>
      <c r="AE6337">
        <v>-4.1473389999999999E-2</v>
      </c>
      <c r="AF6337">
        <v>4.2925089932333099E-2</v>
      </c>
      <c r="AG6337">
        <v>3.3702849999999999E-2</v>
      </c>
      <c r="AH6337">
        <v>3.0194096138938602</v>
      </c>
      <c r="AI6337">
        <v>89.360551883845204</v>
      </c>
      <c r="AJ6337">
        <v>89.185515999831694</v>
      </c>
      <c r="AK6337">
        <v>3.01990279014383</v>
      </c>
      <c r="AL6337">
        <v>81.859135205415697</v>
      </c>
      <c r="AM6337">
        <v>88.662841102180494</v>
      </c>
      <c r="AN6337">
        <v>0.99999995851223999</v>
      </c>
    </row>
    <row r="6338" spans="1:40" x14ac:dyDescent="0.25">
      <c r="A6338" t="str">
        <f>"20190303162038126"</f>
        <v>20190303162038126</v>
      </c>
      <c r="B6338" t="str">
        <f>"1551601238118608"</f>
        <v>1551601238118608</v>
      </c>
      <c r="C6338" t="s">
        <v>40</v>
      </c>
      <c r="D6338">
        <v>4.6105349999999996</v>
      </c>
      <c r="E6338">
        <v>0.49980560000000002</v>
      </c>
      <c r="F6338" t="s">
        <v>58</v>
      </c>
      <c r="G6338">
        <v>0</v>
      </c>
      <c r="H6338">
        <v>0</v>
      </c>
      <c r="I6338">
        <v>0</v>
      </c>
      <c r="J6338">
        <v>-229.23240000000001</v>
      </c>
      <c r="K6338">
        <v>1.1206339999999999</v>
      </c>
      <c r="L6338">
        <v>141.31190000000001</v>
      </c>
      <c r="M6338">
        <v>-0.99956750000000005</v>
      </c>
      <c r="N6338">
        <v>-1.147668E-2</v>
      </c>
      <c r="O6338">
        <v>-2.7080779999999999E-2</v>
      </c>
      <c r="P6338">
        <v>-0.99120350000000002</v>
      </c>
      <c r="Q6338">
        <v>0.13229099999999999</v>
      </c>
      <c r="R6338">
        <v>-3.8831120000000002E-3</v>
      </c>
      <c r="S6338">
        <v>-3.019714</v>
      </c>
      <c r="T6338">
        <v>4.5582770000000002E-2</v>
      </c>
      <c r="U6338">
        <v>-2.3712159999999999E-2</v>
      </c>
      <c r="V6338">
        <v>2.3168959999999999E-2</v>
      </c>
      <c r="W6338">
        <v>0.14362169999999999</v>
      </c>
      <c r="X6338">
        <v>0.98936139999999995</v>
      </c>
      <c r="Y6338">
        <v>1.9222320000000001E-2</v>
      </c>
      <c r="Z6338">
        <v>-7.5427589999999998E-4</v>
      </c>
      <c r="AA6338">
        <v>0.99981489999999995</v>
      </c>
      <c r="AB6338">
        <v>26</v>
      </c>
      <c r="AC6338">
        <v>-3.019714</v>
      </c>
      <c r="AD6338">
        <v>4.5582770000000002E-2</v>
      </c>
      <c r="AE6338">
        <v>-2.3712159999999999E-2</v>
      </c>
      <c r="AF6338">
        <v>5.8064893247785201E-2</v>
      </c>
      <c r="AG6338">
        <v>4.5582770000000002E-2</v>
      </c>
      <c r="AH6338">
        <v>3.0185607859507901</v>
      </c>
      <c r="AI6338">
        <v>89.135011986467404</v>
      </c>
      <c r="AJ6338">
        <v>88.897996989529602</v>
      </c>
      <c r="AK6338">
        <v>3.0194632866171101</v>
      </c>
      <c r="AL6338">
        <v>81.7425268581068</v>
      </c>
      <c r="AM6338">
        <v>88.6584871450127</v>
      </c>
      <c r="AN6338">
        <v>0.999999986614165</v>
      </c>
    </row>
    <row r="6339" spans="1:40" x14ac:dyDescent="0.25">
      <c r="A6339" t="str">
        <f>"20190303162038148"</f>
        <v>20190303162038148</v>
      </c>
      <c r="B6339" t="str">
        <f>"1551601238139103"</f>
        <v>1551601238139103</v>
      </c>
      <c r="C6339" t="s">
        <v>40</v>
      </c>
      <c r="D6339">
        <v>4.5828249999999997</v>
      </c>
      <c r="E6339">
        <v>0.50007429999999997</v>
      </c>
      <c r="F6339" t="s">
        <v>58</v>
      </c>
      <c r="G6339">
        <v>0</v>
      </c>
      <c r="H6339">
        <v>0</v>
      </c>
      <c r="I6339">
        <v>0</v>
      </c>
      <c r="J6339">
        <v>-229.4854</v>
      </c>
      <c r="K6339">
        <v>1.1206430000000001</v>
      </c>
      <c r="L6339">
        <v>141.30600000000001</v>
      </c>
      <c r="M6339">
        <v>-0.99958899999999995</v>
      </c>
      <c r="N6339">
        <v>-1.1477589999999999E-2</v>
      </c>
      <c r="O6339">
        <v>-2.627007E-2</v>
      </c>
      <c r="P6339">
        <v>-0.99090440000000002</v>
      </c>
      <c r="Q6339">
        <v>0.1345285</v>
      </c>
      <c r="R6339">
        <v>-3.2519459999999999E-3</v>
      </c>
      <c r="S6339">
        <v>-3.0199889999999998</v>
      </c>
      <c r="T6339">
        <v>4.9204709999999999E-2</v>
      </c>
      <c r="U6339">
        <v>-1.428223E-2</v>
      </c>
      <c r="V6339">
        <v>2.2991749999999998E-2</v>
      </c>
      <c r="W6339">
        <v>0.14585709999999999</v>
      </c>
      <c r="X6339">
        <v>0.98903850000000004</v>
      </c>
      <c r="Y6339">
        <v>2.1532989999999998E-2</v>
      </c>
      <c r="Z6339">
        <v>-7.8129149999999999E-4</v>
      </c>
      <c r="AA6339">
        <v>0.99976779999999998</v>
      </c>
      <c r="AB6339">
        <v>26</v>
      </c>
      <c r="AC6339">
        <v>-3.0199889999999998</v>
      </c>
      <c r="AD6339">
        <v>4.9204709999999999E-2</v>
      </c>
      <c r="AE6339">
        <v>-1.428223E-2</v>
      </c>
      <c r="AF6339">
        <v>6.5045980592852798E-2</v>
      </c>
      <c r="AG6339">
        <v>4.9204709999999999E-2</v>
      </c>
      <c r="AH6339">
        <v>3.0185205454095998</v>
      </c>
      <c r="AI6339">
        <v>89.066324597742806</v>
      </c>
      <c r="AJ6339">
        <v>88.765526554661406</v>
      </c>
      <c r="AK6339">
        <v>3.0196222224207698</v>
      </c>
      <c r="AL6339">
        <v>81.613085195494193</v>
      </c>
      <c r="AM6339">
        <v>88.668309657130493</v>
      </c>
      <c r="AN6339">
        <v>1.0000000343353601</v>
      </c>
    </row>
    <row r="6340" spans="1:40" x14ac:dyDescent="0.25">
      <c r="A6340" t="str">
        <f>"20190303162038170"</f>
        <v>20190303162038170</v>
      </c>
      <c r="B6340" t="str">
        <f>"1551601238159131"</f>
        <v>1551601238159131</v>
      </c>
      <c r="C6340" t="s">
        <v>40</v>
      </c>
      <c r="D6340">
        <v>4.6096940000000002</v>
      </c>
      <c r="E6340">
        <v>0.5004402</v>
      </c>
      <c r="F6340" t="s">
        <v>58</v>
      </c>
      <c r="G6340">
        <v>0</v>
      </c>
      <c r="H6340">
        <v>0</v>
      </c>
      <c r="I6340">
        <v>0</v>
      </c>
      <c r="J6340">
        <v>-229.74979999999999</v>
      </c>
      <c r="K6340">
        <v>1.12064599999999</v>
      </c>
      <c r="L6340">
        <v>141.30000000000001</v>
      </c>
      <c r="M6340">
        <v>-0.99961089999999997</v>
      </c>
      <c r="N6340">
        <v>-1.1478479999999999E-2</v>
      </c>
      <c r="O6340">
        <v>-2.5422989999999999E-2</v>
      </c>
      <c r="P6340">
        <v>-0.99066100000000001</v>
      </c>
      <c r="Q6340">
        <v>0.1363412</v>
      </c>
      <c r="R6340">
        <v>-1.344479E-3</v>
      </c>
      <c r="S6340">
        <v>-3.0203700000000002</v>
      </c>
      <c r="T6340">
        <v>5.2571890000000003E-2</v>
      </c>
      <c r="U6340">
        <v>-1.0848999999999999E-2</v>
      </c>
      <c r="V6340">
        <v>2.4055699999999999E-2</v>
      </c>
      <c r="W6340">
        <v>0.14766550000000001</v>
      </c>
      <c r="X6340">
        <v>0.98874479999999998</v>
      </c>
      <c r="Y6340">
        <v>2.1822009999999999E-2</v>
      </c>
      <c r="Z6340">
        <v>-7.9889749999999997E-4</v>
      </c>
      <c r="AA6340">
        <v>0.99976160000000003</v>
      </c>
      <c r="AB6340">
        <v>26</v>
      </c>
      <c r="AC6340">
        <v>-3.0203700000000002</v>
      </c>
      <c r="AD6340">
        <v>5.2571890000000003E-2</v>
      </c>
      <c r="AE6340">
        <v>-1.0848999999999999E-2</v>
      </c>
      <c r="AF6340">
        <v>6.5926428144919599E-2</v>
      </c>
      <c r="AG6340">
        <v>5.2571890000000003E-2</v>
      </c>
      <c r="AH6340">
        <v>3.0187549167603902</v>
      </c>
      <c r="AI6340">
        <v>89.002527462036696</v>
      </c>
      <c r="AJ6340">
        <v>88.748919388494301</v>
      </c>
      <c r="AK6340">
        <v>3.0199323411313599</v>
      </c>
      <c r="AL6340">
        <v>81.5083372253482</v>
      </c>
      <c r="AM6340">
        <v>88.606295344259195</v>
      </c>
      <c r="AN6340">
        <v>1.00000002805988</v>
      </c>
    </row>
    <row r="6341" spans="1:40" x14ac:dyDescent="0.25">
      <c r="A6341" t="str">
        <f>"20190303162038192"</f>
        <v>20190303162038192</v>
      </c>
      <c r="B6341" t="str">
        <f>"1551601238178651"</f>
        <v>1551601238178651</v>
      </c>
      <c r="C6341" t="s">
        <v>40</v>
      </c>
      <c r="D6341">
        <v>4.5964090000000004</v>
      </c>
      <c r="E6341">
        <v>0.50073380000000001</v>
      </c>
      <c r="F6341" t="s">
        <v>58</v>
      </c>
      <c r="G6341">
        <v>0</v>
      </c>
      <c r="H6341">
        <v>0</v>
      </c>
      <c r="I6341">
        <v>0</v>
      </c>
      <c r="J6341">
        <v>-229.99549999999999</v>
      </c>
      <c r="K6341">
        <v>1.12064599999999</v>
      </c>
      <c r="L6341">
        <v>141.29470000000001</v>
      </c>
      <c r="M6341">
        <v>-0.99963060000000004</v>
      </c>
      <c r="N6341">
        <v>-1.147928E-2</v>
      </c>
      <c r="O6341">
        <v>-2.4636709999999999E-2</v>
      </c>
      <c r="P6341">
        <v>-0.99066080000000001</v>
      </c>
      <c r="Q6341">
        <v>0.13634859999999999</v>
      </c>
      <c r="R6341">
        <v>5.9116029999999996E-4</v>
      </c>
      <c r="S6341">
        <v>-3.0207670000000002</v>
      </c>
      <c r="T6341">
        <v>5.4538009999999998E-2</v>
      </c>
      <c r="U6341">
        <v>-2.6702879999999998E-3</v>
      </c>
      <c r="V6341">
        <v>2.521199E-2</v>
      </c>
      <c r="W6341">
        <v>0.1476721</v>
      </c>
      <c r="X6341">
        <v>0.98871500000000001</v>
      </c>
      <c r="Y6341">
        <v>2.374246E-2</v>
      </c>
      <c r="Z6341">
        <v>-8.0556240000000004E-4</v>
      </c>
      <c r="AA6341">
        <v>0.99971779999999999</v>
      </c>
      <c r="AB6341">
        <v>26</v>
      </c>
      <c r="AC6341">
        <v>-3.0207670000000002</v>
      </c>
      <c r="AD6341">
        <v>5.4538009999999998E-2</v>
      </c>
      <c r="AE6341">
        <v>-2.6702879999999998E-3</v>
      </c>
      <c r="AF6341">
        <v>7.1733801864405505E-2</v>
      </c>
      <c r="AG6341">
        <v>5.4538009999999998E-2</v>
      </c>
      <c r="AH6341">
        <v>3.0189317280556902</v>
      </c>
      <c r="AI6341">
        <v>88.965337165085202</v>
      </c>
      <c r="AJ6341">
        <v>88.638832800267807</v>
      </c>
      <c r="AK6341">
        <v>3.0202762972162001</v>
      </c>
      <c r="AL6341">
        <v>81.507954833037203</v>
      </c>
      <c r="AM6341">
        <v>88.539288223536701</v>
      </c>
      <c r="AN6341">
        <v>1.0000000223915799</v>
      </c>
    </row>
    <row r="6342" spans="1:40" x14ac:dyDescent="0.25">
      <c r="A6342" t="str">
        <f>"20190303162038212"</f>
        <v>20190303162038212</v>
      </c>
      <c r="B6342" t="str">
        <f>"1551601238199147"</f>
        <v>1551601238199147</v>
      </c>
      <c r="C6342" t="s">
        <v>40</v>
      </c>
      <c r="D6342">
        <v>4.6458269999999997</v>
      </c>
      <c r="E6342">
        <v>0.51778999999999997</v>
      </c>
      <c r="F6342" t="s">
        <v>58</v>
      </c>
      <c r="G6342">
        <v>0</v>
      </c>
      <c r="H6342">
        <v>0</v>
      </c>
      <c r="I6342">
        <v>0</v>
      </c>
      <c r="J6342">
        <v>-230.24289999999999</v>
      </c>
      <c r="K6342">
        <v>1.120649</v>
      </c>
      <c r="L6342">
        <v>141.2895</v>
      </c>
      <c r="M6342">
        <v>-0.99964980000000003</v>
      </c>
      <c r="N6342">
        <v>-1.148004E-2</v>
      </c>
      <c r="O6342">
        <v>-2.3846030000000001E-2</v>
      </c>
      <c r="P6342">
        <v>-0.99080849999999998</v>
      </c>
      <c r="Q6342">
        <v>0.13524420000000001</v>
      </c>
      <c r="R6342">
        <v>2.7735820000000001E-3</v>
      </c>
      <c r="S6342">
        <v>-3.0211329999999998</v>
      </c>
      <c r="T6342">
        <v>5.1910159999999997E-2</v>
      </c>
      <c r="U6342">
        <v>5.111694E-3</v>
      </c>
      <c r="V6342">
        <v>2.6612179999999999E-2</v>
      </c>
      <c r="W6342">
        <v>0.14656749999999999</v>
      </c>
      <c r="X6342">
        <v>0.98884260000000002</v>
      </c>
      <c r="Y6342">
        <v>2.5528019999999998E-2</v>
      </c>
      <c r="Z6342">
        <v>-7.5617909999999998E-4</v>
      </c>
      <c r="AA6342">
        <v>0.99967379999999995</v>
      </c>
      <c r="AB6342">
        <v>26</v>
      </c>
      <c r="AC6342">
        <v>-3.0211329999999998</v>
      </c>
      <c r="AD6342">
        <v>5.1910159999999997E-2</v>
      </c>
      <c r="AE6342">
        <v>5.111694E-3</v>
      </c>
      <c r="AF6342">
        <v>7.7134238325857904E-2</v>
      </c>
      <c r="AG6342">
        <v>5.1910159999999997E-2</v>
      </c>
      <c r="AH6342">
        <v>3.0192605218292501</v>
      </c>
      <c r="AI6342">
        <v>89.015331662215999</v>
      </c>
      <c r="AJ6342">
        <v>88.536560468024106</v>
      </c>
      <c r="AK6342">
        <v>3.0206917178206001</v>
      </c>
      <c r="AL6342">
        <v>81.571939499391405</v>
      </c>
      <c r="AM6342">
        <v>88.458402137617696</v>
      </c>
      <c r="AN6342">
        <v>0.99999996387767998</v>
      </c>
    </row>
    <row r="6343" spans="1:40" x14ac:dyDescent="0.25">
      <c r="A6343" t="str">
        <f>"20190303162038235"</f>
        <v>20190303162038235</v>
      </c>
      <c r="B6343" t="str">
        <f>"1551601238228427"</f>
        <v>1551601238228427</v>
      </c>
      <c r="C6343" t="s">
        <v>40</v>
      </c>
      <c r="D6343">
        <v>4.5827980000000004</v>
      </c>
      <c r="E6343">
        <v>0.52720369999999905</v>
      </c>
      <c r="F6343" t="s">
        <v>50</v>
      </c>
      <c r="G6343">
        <v>-289.98050000000001</v>
      </c>
      <c r="H6343" s="1">
        <v>-1.017582E-5</v>
      </c>
      <c r="I6343">
        <v>144.17920000000001</v>
      </c>
      <c r="J6343">
        <v>-230.50530000000001</v>
      </c>
      <c r="K6343">
        <v>1.12064599999999</v>
      </c>
      <c r="L6343">
        <v>141.2842</v>
      </c>
      <c r="M6343">
        <v>-0.99966929999999998</v>
      </c>
      <c r="N6343">
        <v>-1.1480809999999999E-2</v>
      </c>
      <c r="O6343">
        <v>-2.301425E-2</v>
      </c>
      <c r="P6343">
        <v>-0.99086799999999997</v>
      </c>
      <c r="Q6343">
        <v>0.13475599999999999</v>
      </c>
      <c r="R6343">
        <v>4.6706400000000002E-3</v>
      </c>
      <c r="S6343">
        <v>-3.0351720000000002</v>
      </c>
      <c r="T6343">
        <v>-5.6938889999999999E-2</v>
      </c>
      <c r="U6343">
        <v>0.14682010000000001</v>
      </c>
      <c r="V6343">
        <v>2.7684279999999999E-2</v>
      </c>
      <c r="W6343">
        <v>0.1460793</v>
      </c>
      <c r="X6343">
        <v>0.98888549999999997</v>
      </c>
      <c r="Y6343">
        <v>7.1271699999999993E-2</v>
      </c>
      <c r="Z6343">
        <v>1.2449410000000001E-3</v>
      </c>
      <c r="AA6343">
        <v>0.99745609999999996</v>
      </c>
      <c r="AB6343">
        <v>26</v>
      </c>
      <c r="AC6343">
        <v>-59.475200000000001</v>
      </c>
      <c r="AD6343">
        <v>-1.12065617581999</v>
      </c>
      <c r="AE6343">
        <v>2.8950000000000098</v>
      </c>
      <c r="AF6343">
        <v>4.2615908970211596</v>
      </c>
      <c r="AG6343">
        <v>-1.12065617581999</v>
      </c>
      <c r="AH6343">
        <v>59.371785187789797</v>
      </c>
      <c r="AI6343">
        <v>91.078568470121596</v>
      </c>
      <c r="AJ6343">
        <v>85.894461777337398</v>
      </c>
      <c r="AK6343">
        <v>59.535081285096403</v>
      </c>
      <c r="AL6343">
        <v>81.600216426973702</v>
      </c>
      <c r="AM6343">
        <v>88.396398564027095</v>
      </c>
      <c r="AN6343">
        <v>1.00000005667892</v>
      </c>
    </row>
    <row r="6344" spans="1:40" x14ac:dyDescent="0.25">
      <c r="A6344" t="str">
        <f>"20190303162038258"</f>
        <v>20190303162038258</v>
      </c>
      <c r="B6344" t="str">
        <f>"1551601238249282"</f>
        <v>1551601238249282</v>
      </c>
      <c r="C6344" t="s">
        <v>40</v>
      </c>
      <c r="D6344">
        <v>4.5288370000000002</v>
      </c>
      <c r="E6344">
        <v>0.52892939999999999</v>
      </c>
      <c r="F6344" t="s">
        <v>50</v>
      </c>
      <c r="G6344">
        <v>-286.44900000000001</v>
      </c>
      <c r="H6344" s="1">
        <v>-8.6442529999999993E-6</v>
      </c>
      <c r="I6344">
        <v>145.48740000000001</v>
      </c>
      <c r="J6344">
        <v>-230.7646</v>
      </c>
      <c r="K6344">
        <v>1.1206499999999999</v>
      </c>
      <c r="L6344">
        <v>141.2792</v>
      </c>
      <c r="M6344">
        <v>-0.99968760000000001</v>
      </c>
      <c r="N6344">
        <v>-1.148158E-2</v>
      </c>
      <c r="O6344">
        <v>-2.220422E-2</v>
      </c>
      <c r="P6344">
        <v>-0.99098489999999995</v>
      </c>
      <c r="Q6344">
        <v>0.13381289999999901</v>
      </c>
      <c r="R6344">
        <v>6.5533409999999999E-3</v>
      </c>
      <c r="S6344">
        <v>-3.0348359999999999</v>
      </c>
      <c r="T6344">
        <v>-6.0793399999999997E-2</v>
      </c>
      <c r="U6344">
        <v>0.2280121</v>
      </c>
      <c r="V6344">
        <v>2.876246E-2</v>
      </c>
      <c r="W6344">
        <v>0.14513719999999999</v>
      </c>
      <c r="X6344">
        <v>0.98899340000000002</v>
      </c>
      <c r="Y6344">
        <v>9.7013940000000007E-2</v>
      </c>
      <c r="Z6344">
        <v>1.717692E-3</v>
      </c>
      <c r="AA6344">
        <v>0.99528150000000004</v>
      </c>
      <c r="AB6344">
        <v>26</v>
      </c>
      <c r="AC6344">
        <v>-55.684399999999997</v>
      </c>
      <c r="AD6344">
        <v>-1.120658644253</v>
      </c>
      <c r="AE6344">
        <v>4.2081999999999997</v>
      </c>
      <c r="AF6344">
        <v>5.4414810271098704</v>
      </c>
      <c r="AG6344">
        <v>-1.120658644253</v>
      </c>
      <c r="AH6344">
        <v>55.5548503709012</v>
      </c>
      <c r="AI6344">
        <v>91.150117795212296</v>
      </c>
      <c r="AJ6344">
        <v>84.405842802629095</v>
      </c>
      <c r="AK6344">
        <v>55.831953138848299</v>
      </c>
      <c r="AL6344">
        <v>81.654775915462693</v>
      </c>
      <c r="AM6344">
        <v>88.334161595371597</v>
      </c>
      <c r="AN6344">
        <v>1.00000001558632</v>
      </c>
    </row>
    <row r="6345" spans="1:40" x14ac:dyDescent="0.25">
      <c r="A6345" t="str">
        <f>"20190303162038279"</f>
        <v>20190303162038279</v>
      </c>
      <c r="B6345" t="str">
        <f>"1551601238268802"</f>
        <v>1551601238268802</v>
      </c>
      <c r="C6345" t="s">
        <v>40</v>
      </c>
      <c r="D6345">
        <v>4.479914</v>
      </c>
      <c r="E6345">
        <v>0.53036839999999996</v>
      </c>
      <c r="F6345" t="s">
        <v>50</v>
      </c>
      <c r="G6345">
        <v>-281.07769999999999</v>
      </c>
      <c r="H6345" s="1">
        <v>-5.9601809999999998E-6</v>
      </c>
      <c r="I6345">
        <v>145.37889999999999</v>
      </c>
      <c r="J6345">
        <v>-231.01410000000001</v>
      </c>
      <c r="K6345">
        <v>1.12066</v>
      </c>
      <c r="L6345">
        <v>141.27449999999999</v>
      </c>
      <c r="M6345">
        <v>-0.99970420000000004</v>
      </c>
      <c r="N6345">
        <v>-1.1482330000000001E-2</v>
      </c>
      <c r="O6345">
        <v>-2.144277E-2</v>
      </c>
      <c r="P6345">
        <v>-0.99104820000000005</v>
      </c>
      <c r="Q6345">
        <v>0.1332566</v>
      </c>
      <c r="R6345">
        <v>8.148087E-3</v>
      </c>
      <c r="S6345">
        <v>-3.0347749999999998</v>
      </c>
      <c r="T6345">
        <v>-6.7595359999999993E-2</v>
      </c>
      <c r="U6345">
        <v>0.2472839</v>
      </c>
      <c r="V6345">
        <v>2.9598820000000001E-2</v>
      </c>
      <c r="W6345">
        <v>0.144582399999999</v>
      </c>
      <c r="X6345">
        <v>0.98904999999999998</v>
      </c>
      <c r="Y6345">
        <v>0.1025293</v>
      </c>
      <c r="Z6345">
        <v>1.960636E-3</v>
      </c>
      <c r="AA6345">
        <v>0.99472799999999995</v>
      </c>
      <c r="AB6345">
        <v>26</v>
      </c>
      <c r="AC6345">
        <v>-50.063599999999902</v>
      </c>
      <c r="AD6345">
        <v>-1.1206659601809901</v>
      </c>
      <c r="AE6345">
        <v>4.1043999999999903</v>
      </c>
      <c r="AF6345">
        <v>5.1744536381442803</v>
      </c>
      <c r="AG6345">
        <v>-1.1206659601809901</v>
      </c>
      <c r="AH6345">
        <v>49.939215688095103</v>
      </c>
      <c r="AI6345">
        <v>91.278692451249498</v>
      </c>
      <c r="AJ6345">
        <v>84.084405554747505</v>
      </c>
      <c r="AK6345">
        <v>50.219081295755402</v>
      </c>
      <c r="AL6345">
        <v>81.686902612100894</v>
      </c>
      <c r="AM6345">
        <v>88.285848582389605</v>
      </c>
      <c r="AN6345">
        <v>1.0000000315175701</v>
      </c>
    </row>
    <row r="6346" spans="1:40" x14ac:dyDescent="0.25">
      <c r="A6346" t="str">
        <f>"20190303162038301"</f>
        <v>20190303162038301</v>
      </c>
      <c r="B6346" t="str">
        <f>"1551601238288322"</f>
        <v>1551601238288322</v>
      </c>
      <c r="C6346" t="s">
        <v>40</v>
      </c>
      <c r="D6346">
        <v>4.5063940000000002</v>
      </c>
      <c r="E6346">
        <v>0.53069909999999998</v>
      </c>
      <c r="F6346" t="s">
        <v>50</v>
      </c>
      <c r="G6346">
        <v>-285.68799999999999</v>
      </c>
      <c r="H6346" s="1">
        <v>-8.3437269999999999E-6</v>
      </c>
      <c r="I6346">
        <v>146.02279999999999</v>
      </c>
      <c r="J6346">
        <v>-231.26910000000001</v>
      </c>
      <c r="K6346">
        <v>1.1206689999999999</v>
      </c>
      <c r="L6346">
        <v>141.27000000000001</v>
      </c>
      <c r="M6346">
        <v>-0.99972000000000005</v>
      </c>
      <c r="N6346">
        <v>-1.148299E-2</v>
      </c>
      <c r="O6346">
        <v>-2.0690449999999999E-2</v>
      </c>
      <c r="P6346">
        <v>-0.99113399999999996</v>
      </c>
      <c r="Q6346">
        <v>0.13251669999999999</v>
      </c>
      <c r="R6346">
        <v>9.6383609999999998E-3</v>
      </c>
      <c r="S6346">
        <v>-3.033264</v>
      </c>
      <c r="T6346">
        <v>-6.2173840000000001E-2</v>
      </c>
      <c r="U6346">
        <v>0.26342769999999999</v>
      </c>
      <c r="V6346">
        <v>3.0337659999999999E-2</v>
      </c>
      <c r="W6346">
        <v>0.1438439</v>
      </c>
      <c r="X6346">
        <v>0.98913530000000005</v>
      </c>
      <c r="Y6346">
        <v>0.1070806</v>
      </c>
      <c r="Z6346">
        <v>1.8975680000000001E-3</v>
      </c>
      <c r="AA6346">
        <v>0.99424849999999998</v>
      </c>
      <c r="AB6346">
        <v>26</v>
      </c>
      <c r="AC6346">
        <v>-54.418899999999901</v>
      </c>
      <c r="AD6346">
        <v>-1.1206773437269999</v>
      </c>
      <c r="AE6346">
        <v>4.7527999999999704</v>
      </c>
      <c r="AF6346">
        <v>5.8753353552660403</v>
      </c>
      <c r="AG6346">
        <v>-1.1206773437269999</v>
      </c>
      <c r="AH6346">
        <v>54.2860568561576</v>
      </c>
      <c r="AI6346">
        <v>91.175777577066199</v>
      </c>
      <c r="AJ6346">
        <v>83.822968289322503</v>
      </c>
      <c r="AK6346">
        <v>54.614571793941202</v>
      </c>
      <c r="AL6346">
        <v>81.729662612115405</v>
      </c>
      <c r="AM6346">
        <v>88.243238173891299</v>
      </c>
      <c r="AN6346">
        <v>1.00000004144378</v>
      </c>
    </row>
    <row r="6347" spans="1:40" x14ac:dyDescent="0.25">
      <c r="A6347" t="str">
        <f>"20190303162038325"</f>
        <v>20190303162038325</v>
      </c>
      <c r="B6347" t="str">
        <f>"1551601238318578"</f>
        <v>1551601238318578</v>
      </c>
      <c r="C6347" t="s">
        <v>40</v>
      </c>
      <c r="D6347">
        <v>4.4894040000000004</v>
      </c>
      <c r="E6347">
        <v>0.53056510000000001</v>
      </c>
      <c r="F6347" t="s">
        <v>50</v>
      </c>
      <c r="G6347">
        <v>-281.91399999999999</v>
      </c>
      <c r="H6347" s="1">
        <v>-6.457452E-6</v>
      </c>
      <c r="I6347">
        <v>145.76949999999999</v>
      </c>
      <c r="J6347">
        <v>-231.54390000000001</v>
      </c>
      <c r="K6347">
        <v>1.120681</v>
      </c>
      <c r="L6347">
        <v>141.26519999999999</v>
      </c>
      <c r="M6347">
        <v>-0.99973579999999995</v>
      </c>
      <c r="N6347">
        <v>-1.1483480000000001E-2</v>
      </c>
      <c r="O6347">
        <v>-1.991617E-2</v>
      </c>
      <c r="P6347">
        <v>-0.99134299999999997</v>
      </c>
      <c r="Q6347">
        <v>0.13085719999999901</v>
      </c>
      <c r="R6347">
        <v>1.075974E-2</v>
      </c>
      <c r="S6347">
        <v>-3.033188</v>
      </c>
      <c r="T6347">
        <v>-6.7118639999999993E-2</v>
      </c>
      <c r="U6347">
        <v>0.26948549999999999</v>
      </c>
      <c r="V6347">
        <v>3.068446E-2</v>
      </c>
      <c r="W6347">
        <v>0.1421888</v>
      </c>
      <c r="X6347">
        <v>0.98936380000000002</v>
      </c>
      <c r="Y6347">
        <v>0.1082776</v>
      </c>
      <c r="Z6347">
        <v>2.030198E-3</v>
      </c>
      <c r="AA6347">
        <v>0.99411859999999996</v>
      </c>
      <c r="AB6347">
        <v>26</v>
      </c>
      <c r="AC6347">
        <v>-50.370099999999901</v>
      </c>
      <c r="AD6347">
        <v>-1.1206874574519901</v>
      </c>
      <c r="AE6347">
        <v>4.5042999999999997</v>
      </c>
      <c r="AF6347">
        <v>5.5039490440535301</v>
      </c>
      <c r="AG6347">
        <v>-1.1206874574519901</v>
      </c>
      <c r="AH6347">
        <v>50.245718283332202</v>
      </c>
      <c r="AI6347">
        <v>91.270126162649603</v>
      </c>
      <c r="AJ6347">
        <v>83.7487065180851</v>
      </c>
      <c r="AK6347">
        <v>50.558694615909602</v>
      </c>
      <c r="AL6347">
        <v>81.825477141926001</v>
      </c>
      <c r="AM6347">
        <v>88.223578946449607</v>
      </c>
      <c r="AN6347">
        <v>0.99999995984068502</v>
      </c>
    </row>
    <row r="6348" spans="1:40" x14ac:dyDescent="0.25">
      <c r="A6348" t="str">
        <f>"20190303162038348"</f>
        <v>20190303162038348</v>
      </c>
      <c r="B6348" t="str">
        <f>"1551601238339074"</f>
        <v>1551601238339074</v>
      </c>
      <c r="C6348" t="s">
        <v>40</v>
      </c>
      <c r="D6348">
        <v>4.4630839999999896</v>
      </c>
      <c r="E6348">
        <v>0.5307018</v>
      </c>
      <c r="F6348" t="s">
        <v>41</v>
      </c>
      <c r="G6348">
        <v>-279.59780000000001</v>
      </c>
      <c r="H6348" s="1">
        <v>-1.7375789999999999E-6</v>
      </c>
      <c r="I6348">
        <v>145.56460000000001</v>
      </c>
      <c r="J6348">
        <v>-231.8064</v>
      </c>
      <c r="K6348">
        <v>1.1207039999999999</v>
      </c>
      <c r="L6348">
        <v>141.26079999999999</v>
      </c>
      <c r="M6348">
        <v>-0.99974949999999996</v>
      </c>
      <c r="N6348">
        <v>-1.1483989999999999E-2</v>
      </c>
      <c r="O6348">
        <v>-1.9218929999999999E-2</v>
      </c>
      <c r="P6348">
        <v>-0.99156299999999997</v>
      </c>
      <c r="Q6348">
        <v>0.12913849999999999</v>
      </c>
      <c r="R6348">
        <v>1.124868E-2</v>
      </c>
      <c r="S6348">
        <v>-3.0325929999999999</v>
      </c>
      <c r="T6348">
        <v>-7.0724250000000002E-2</v>
      </c>
      <c r="U6348">
        <v>0.27133180000000001</v>
      </c>
      <c r="V6348">
        <v>3.0475019999999998E-2</v>
      </c>
      <c r="W6348">
        <v>0.14047579999999901</v>
      </c>
      <c r="X6348">
        <v>0.98961500000000002</v>
      </c>
      <c r="Y6348">
        <v>0.10819819999999999</v>
      </c>
      <c r="Z6348">
        <v>2.1087459999999999E-3</v>
      </c>
      <c r="AA6348">
        <v>0.99412710000000004</v>
      </c>
      <c r="AB6348">
        <v>26</v>
      </c>
      <c r="AC6348">
        <v>-47.791400000000003</v>
      </c>
      <c r="AD6348">
        <v>-1.1207057375789999</v>
      </c>
      <c r="AE6348">
        <v>4.3038000000000203</v>
      </c>
      <c r="AF6348">
        <v>5.21871829401202</v>
      </c>
      <c r="AG6348">
        <v>-1.1207057375789999</v>
      </c>
      <c r="AH6348">
        <v>47.673846906848702</v>
      </c>
      <c r="AI6348">
        <v>91.338654117396004</v>
      </c>
      <c r="AJ6348">
        <v>83.752870518234403</v>
      </c>
      <c r="AK6348">
        <v>47.971727933024702</v>
      </c>
      <c r="AL6348">
        <v>81.924620434222106</v>
      </c>
      <c r="AM6348">
        <v>88.236143966063807</v>
      </c>
      <c r="AN6348">
        <v>1.0000000127273201</v>
      </c>
    </row>
    <row r="6349" spans="1:40" x14ac:dyDescent="0.25">
      <c r="A6349" t="str">
        <f>"20190303162038370"</f>
        <v>20190303162038370</v>
      </c>
      <c r="B6349" t="str">
        <f>"1551601238359101"</f>
        <v>1551601238359101</v>
      </c>
      <c r="C6349" t="s">
        <v>40</v>
      </c>
      <c r="D6349">
        <v>4.4542260000000002</v>
      </c>
      <c r="E6349">
        <v>0.53078590000000003</v>
      </c>
      <c r="F6349" t="s">
        <v>41</v>
      </c>
      <c r="G6349">
        <v>-277.57150000000001</v>
      </c>
      <c r="H6349" s="1">
        <v>-2.563666E-6</v>
      </c>
      <c r="I6349">
        <v>145.40219999999999</v>
      </c>
      <c r="J6349">
        <v>-232.06440000000001</v>
      </c>
      <c r="K6349">
        <v>1.1207279999999999</v>
      </c>
      <c r="L6349">
        <v>141.25659999999999</v>
      </c>
      <c r="M6349">
        <v>-0.99976180000000003</v>
      </c>
      <c r="N6349">
        <v>-1.148455E-2</v>
      </c>
      <c r="O6349">
        <v>-1.8563240000000002E-2</v>
      </c>
      <c r="P6349">
        <v>-0.99168069999999997</v>
      </c>
      <c r="Q6349">
        <v>0.12821959999999999</v>
      </c>
      <c r="R6349">
        <v>1.1367850000000001E-2</v>
      </c>
      <c r="S6349">
        <v>-3.0320740000000002</v>
      </c>
      <c r="T6349">
        <v>-7.4250220000000006E-2</v>
      </c>
      <c r="U6349">
        <v>0.2743835</v>
      </c>
      <c r="V6349">
        <v>2.9937140000000001E-2</v>
      </c>
      <c r="W6349">
        <v>0.1395612</v>
      </c>
      <c r="X6349">
        <v>0.9897608</v>
      </c>
      <c r="Y6349">
        <v>0.1085497</v>
      </c>
      <c r="Z6349">
        <v>2.1918910000000001E-3</v>
      </c>
      <c r="AA6349">
        <v>0.99408859999999999</v>
      </c>
      <c r="AB6349">
        <v>26</v>
      </c>
      <c r="AC6349">
        <v>-45.507100000000001</v>
      </c>
      <c r="AD6349">
        <v>-1.1207305636660001</v>
      </c>
      <c r="AE6349">
        <v>4.1456</v>
      </c>
      <c r="AF6349">
        <v>4.9867008096051899</v>
      </c>
      <c r="AG6349">
        <v>-1.1207305636660001</v>
      </c>
      <c r="AH6349">
        <v>45.394990424223302</v>
      </c>
      <c r="AI6349">
        <v>91.405801676995594</v>
      </c>
      <c r="AJ6349">
        <v>83.731117054249907</v>
      </c>
      <c r="AK6349">
        <v>45.6818167061708</v>
      </c>
      <c r="AL6349">
        <v>81.977544422298195</v>
      </c>
      <c r="AM6349">
        <v>88.267511730920404</v>
      </c>
      <c r="AN6349">
        <v>1.00000000105672</v>
      </c>
    </row>
    <row r="6350" spans="1:40" x14ac:dyDescent="0.25">
      <c r="A6350" t="str">
        <f>"20190303162038392"</f>
        <v>20190303162038392</v>
      </c>
      <c r="B6350" t="str">
        <f>"1551601238378622"</f>
        <v>1551601238378622</v>
      </c>
      <c r="C6350" t="s">
        <v>40</v>
      </c>
      <c r="D6350">
        <v>4.4362389999999996</v>
      </c>
      <c r="E6350">
        <v>0.53075620000000001</v>
      </c>
      <c r="F6350" t="s">
        <v>41</v>
      </c>
      <c r="G6350">
        <v>-276.8716</v>
      </c>
      <c r="H6350" s="1">
        <v>-2.8433989999999999E-6</v>
      </c>
      <c r="I6350">
        <v>145.3252</v>
      </c>
      <c r="J6350">
        <v>-232.3151</v>
      </c>
      <c r="K6350">
        <v>1.1207400000000001</v>
      </c>
      <c r="L6350">
        <v>141.2526</v>
      </c>
      <c r="M6350">
        <v>-0.99977289999999996</v>
      </c>
      <c r="N6350">
        <v>-1.148508E-2</v>
      </c>
      <c r="O6350">
        <v>-1.795014E-2</v>
      </c>
      <c r="P6350">
        <v>-0.99178180000000005</v>
      </c>
      <c r="Q6350">
        <v>0.12742029999999999</v>
      </c>
      <c r="R6350">
        <v>1.153972E-2</v>
      </c>
      <c r="S6350">
        <v>-3.0317989999999999</v>
      </c>
      <c r="T6350">
        <v>-7.5832250000000004E-2</v>
      </c>
      <c r="U6350">
        <v>0.27529910000000002</v>
      </c>
      <c r="V6350">
        <v>2.94963E-2</v>
      </c>
      <c r="W6350">
        <v>0.13876559999999999</v>
      </c>
      <c r="X6350">
        <v>0.98988589999999999</v>
      </c>
      <c r="Y6350">
        <v>0.1082443</v>
      </c>
      <c r="Z6350">
        <v>2.2161289999999998E-3</v>
      </c>
      <c r="AA6350">
        <v>0.99412180000000006</v>
      </c>
      <c r="AB6350">
        <v>26</v>
      </c>
      <c r="AC6350">
        <v>-44.5565</v>
      </c>
      <c r="AD6350">
        <v>-1.1207428433990001</v>
      </c>
      <c r="AE6350">
        <v>4.0725999999999898</v>
      </c>
      <c r="AF6350">
        <v>4.8687370593032302</v>
      </c>
      <c r="AG6350">
        <v>-1.1207428433990001</v>
      </c>
      <c r="AH6350">
        <v>44.4483227555098</v>
      </c>
      <c r="AI6350">
        <v>91.435794889937299</v>
      </c>
      <c r="AJ6350">
        <v>83.748912184007295</v>
      </c>
      <c r="AK6350">
        <v>44.728224432137203</v>
      </c>
      <c r="AL6350">
        <v>82.023576933245295</v>
      </c>
      <c r="AM6350">
        <v>88.293223916992702</v>
      </c>
      <c r="AN6350">
        <v>1.00000000923793</v>
      </c>
    </row>
    <row r="6351" spans="1:40" x14ac:dyDescent="0.25">
      <c r="A6351" t="str">
        <f>"20190303162038414"</f>
        <v>20190303162038414</v>
      </c>
      <c r="B6351" t="str">
        <f>"1551601238408877"</f>
        <v>1551601238408877</v>
      </c>
      <c r="C6351" t="s">
        <v>40</v>
      </c>
      <c r="D6351">
        <v>4.4197490000000004</v>
      </c>
      <c r="E6351">
        <v>0.5306594</v>
      </c>
      <c r="F6351" t="s">
        <v>41</v>
      </c>
      <c r="G6351">
        <v>-276.13330000000002</v>
      </c>
      <c r="H6351" s="1">
        <v>-3.1352340000000002E-6</v>
      </c>
      <c r="I6351">
        <v>145.23150000000001</v>
      </c>
      <c r="J6351">
        <v>-232.57490000000001</v>
      </c>
      <c r="K6351">
        <v>1.1207480000000001</v>
      </c>
      <c r="L6351">
        <v>141.24870000000001</v>
      </c>
      <c r="M6351">
        <v>-0.99978389999999995</v>
      </c>
      <c r="N6351">
        <v>-1.148569E-2</v>
      </c>
      <c r="O6351">
        <v>-1.7333879999999999E-2</v>
      </c>
      <c r="P6351">
        <v>-0.99193180000000003</v>
      </c>
      <c r="Q6351">
        <v>0.12631600000000001</v>
      </c>
      <c r="R6351">
        <v>1.07657E-2</v>
      </c>
      <c r="S6351">
        <v>-3.0316010000000002</v>
      </c>
      <c r="T6351">
        <v>-7.753968E-2</v>
      </c>
      <c r="U6351">
        <v>0.27528380000000002</v>
      </c>
      <c r="V6351">
        <v>2.810876E-2</v>
      </c>
      <c r="W6351">
        <v>0.1376666</v>
      </c>
      <c r="X6351">
        <v>0.99007970000000001</v>
      </c>
      <c r="Y6351">
        <v>0.1076307</v>
      </c>
      <c r="Z6351">
        <v>2.2367340000000002E-3</v>
      </c>
      <c r="AA6351">
        <v>0.99418839999999997</v>
      </c>
      <c r="AB6351">
        <v>26</v>
      </c>
      <c r="AC6351">
        <v>-43.558399999999999</v>
      </c>
      <c r="AD6351">
        <v>-1.1207511352339901</v>
      </c>
      <c r="AE6351">
        <v>3.9827999999999899</v>
      </c>
      <c r="AF6351">
        <v>4.7341791720387301</v>
      </c>
      <c r="AG6351">
        <v>-1.1207511352339901</v>
      </c>
      <c r="AH6351">
        <v>43.454283558483802</v>
      </c>
      <c r="AI6351">
        <v>91.468729710887501</v>
      </c>
      <c r="AJ6351">
        <v>83.782364635288999</v>
      </c>
      <c r="AK6351">
        <v>43.725773808146698</v>
      </c>
      <c r="AL6351">
        <v>82.087155172359999</v>
      </c>
      <c r="AM6351">
        <v>88.3737866504609</v>
      </c>
      <c r="AN6351">
        <v>1.00000000374819</v>
      </c>
    </row>
    <row r="6352" spans="1:40" x14ac:dyDescent="0.25">
      <c r="A6352" t="str">
        <f>"20190303162038438"</f>
        <v>20190303162038438</v>
      </c>
      <c r="B6352" t="str">
        <f>"1551601238429374"</f>
        <v>1551601238429374</v>
      </c>
      <c r="C6352" t="s">
        <v>40</v>
      </c>
      <c r="D6352">
        <v>4.4077460000000004</v>
      </c>
      <c r="E6352">
        <v>0.53068349999999997</v>
      </c>
      <c r="F6352" t="s">
        <v>41</v>
      </c>
      <c r="G6352">
        <v>-276.61989999999997</v>
      </c>
      <c r="H6352" s="1">
        <v>-2.919556E-6</v>
      </c>
      <c r="I6352">
        <v>145.2055</v>
      </c>
      <c r="J6352">
        <v>-232.83949999999999</v>
      </c>
      <c r="K6352">
        <v>1.1207450000000001</v>
      </c>
      <c r="L6352">
        <v>141.2448</v>
      </c>
      <c r="M6352">
        <v>-0.99979419999999997</v>
      </c>
      <c r="N6352">
        <v>-1.148627E-2</v>
      </c>
      <c r="O6352">
        <v>-1.6717309999999999E-2</v>
      </c>
      <c r="P6352">
        <v>-0.99206749999999999</v>
      </c>
      <c r="Q6352">
        <v>0.1254122</v>
      </c>
      <c r="R6352">
        <v>8.5974750000000003E-3</v>
      </c>
      <c r="S6352">
        <v>-3.0312809999999999</v>
      </c>
      <c r="T6352">
        <v>-7.7132699999999998E-2</v>
      </c>
      <c r="U6352">
        <v>0.2723236</v>
      </c>
      <c r="V6352">
        <v>2.5328549999999998E-2</v>
      </c>
      <c r="W6352">
        <v>0.13676869999999999</v>
      </c>
      <c r="X6352">
        <v>0.99027909999999997</v>
      </c>
      <c r="Y6352">
        <v>0.1060651</v>
      </c>
      <c r="Z6352">
        <v>2.1899789999999999E-3</v>
      </c>
      <c r="AA6352">
        <v>0.99435680000000004</v>
      </c>
      <c r="AB6352">
        <v>26</v>
      </c>
      <c r="AC6352">
        <v>-43.780399999999901</v>
      </c>
      <c r="AD6352">
        <v>-1.1207479195559999</v>
      </c>
      <c r="AE6352">
        <v>3.9607000000000001</v>
      </c>
      <c r="AF6352">
        <v>4.6890374075524797</v>
      </c>
      <c r="AG6352">
        <v>-1.1207479195559999</v>
      </c>
      <c r="AH6352">
        <v>43.679672529527103</v>
      </c>
      <c r="AI6352">
        <v>91.461399249110499</v>
      </c>
      <c r="AJ6352">
        <v>83.872731127176607</v>
      </c>
      <c r="AK6352">
        <v>43.944930765622303</v>
      </c>
      <c r="AL6352">
        <v>82.139091941138602</v>
      </c>
      <c r="AM6352">
        <v>88.534854788338805</v>
      </c>
      <c r="AN6352">
        <v>0.99999995432080002</v>
      </c>
    </row>
    <row r="6353" spans="1:40" x14ac:dyDescent="0.25">
      <c r="A6353" t="str">
        <f>"20190303162038452"</f>
        <v>20190303162038452</v>
      </c>
      <c r="B6353" t="str">
        <f>"1551601238439133"</f>
        <v>1551601238439133</v>
      </c>
      <c r="C6353" t="s">
        <v>40</v>
      </c>
      <c r="D6353">
        <v>4.3562379999999896</v>
      </c>
      <c r="E6353">
        <v>0.52444550000000001</v>
      </c>
      <c r="F6353" t="s">
        <v>41</v>
      </c>
      <c r="G6353">
        <v>-275.9513</v>
      </c>
      <c r="H6353" s="1">
        <v>-3.1619609999999999E-6</v>
      </c>
      <c r="I6353">
        <v>145.0386</v>
      </c>
      <c r="J6353">
        <v>-233.0147</v>
      </c>
      <c r="K6353">
        <v>1.1207450000000001</v>
      </c>
      <c r="L6353">
        <v>141.2423</v>
      </c>
      <c r="M6353">
        <v>-0.99980100000000005</v>
      </c>
      <c r="N6353">
        <v>-1.1486669999999999E-2</v>
      </c>
      <c r="O6353">
        <v>-1.6311679999999999E-2</v>
      </c>
      <c r="P6353">
        <v>-0.99213309999999999</v>
      </c>
      <c r="Q6353">
        <v>0.1249662</v>
      </c>
      <c r="R6353">
        <v>7.4630209999999898E-3</v>
      </c>
      <c r="S6353">
        <v>-3.031631</v>
      </c>
      <c r="T6353">
        <v>-7.8811290000000006E-2</v>
      </c>
      <c r="U6353">
        <v>0.26678469999999999</v>
      </c>
      <c r="V6353">
        <v>2.3791759999999999E-2</v>
      </c>
      <c r="W6353">
        <v>0.13632610000000001</v>
      </c>
      <c r="X6353">
        <v>0.99037830000000004</v>
      </c>
      <c r="Y6353">
        <v>0.10384790000000001</v>
      </c>
      <c r="Z6353">
        <v>2.1810000000000002E-3</v>
      </c>
      <c r="AA6353">
        <v>0.9945908</v>
      </c>
      <c r="AB6353">
        <v>26</v>
      </c>
      <c r="AC6353">
        <v>-42.936599999999999</v>
      </c>
      <c r="AD6353">
        <v>-1.120748161961</v>
      </c>
      <c r="AE6353">
        <v>3.7963</v>
      </c>
      <c r="AF6353">
        <v>4.49317151782859</v>
      </c>
      <c r="AG6353">
        <v>-1.120748161961</v>
      </c>
      <c r="AH6353">
        <v>42.839996677098</v>
      </c>
      <c r="AI6353">
        <v>91.490416366230605</v>
      </c>
      <c r="AJ6353">
        <v>84.012558608869497</v>
      </c>
      <c r="AK6353">
        <v>43.089557691219497</v>
      </c>
      <c r="AL6353">
        <v>82.164691305901798</v>
      </c>
      <c r="AM6353">
        <v>88.623853836383205</v>
      </c>
      <c r="AN6353">
        <v>1.00000001524799</v>
      </c>
    </row>
    <row r="6354" spans="1:40" x14ac:dyDescent="0.25">
      <c r="A6354" t="str">
        <f>"20190303162038468"</f>
        <v>20190303162038468</v>
      </c>
      <c r="B6354" t="str">
        <f>"1551601238459159"</f>
        <v>1551601238459159</v>
      </c>
      <c r="C6354" t="s">
        <v>40</v>
      </c>
      <c r="D6354">
        <v>4.3782139999999998</v>
      </c>
      <c r="E6354">
        <v>0.51770450000000001</v>
      </c>
      <c r="F6354" t="s">
        <v>41</v>
      </c>
      <c r="G6354">
        <v>-248.48589999999999</v>
      </c>
      <c r="H6354" s="1">
        <v>-1.3518680000000001E-6</v>
      </c>
      <c r="I6354">
        <v>142.32220000000001</v>
      </c>
      <c r="J6354">
        <v>-233.20859999999999</v>
      </c>
      <c r="K6354">
        <v>1.120746</v>
      </c>
      <c r="L6354">
        <v>141.2396</v>
      </c>
      <c r="M6354">
        <v>-0.99980829999999998</v>
      </c>
      <c r="N6354">
        <v>-1.148621E-2</v>
      </c>
      <c r="O6354">
        <v>-1.5862399999999999E-2</v>
      </c>
      <c r="P6354">
        <v>-0.99216769999999999</v>
      </c>
      <c r="Q6354">
        <v>0.12480719999999999</v>
      </c>
      <c r="R6354">
        <v>5.1462069999999999E-3</v>
      </c>
      <c r="S6354">
        <v>-3.0500180000000001</v>
      </c>
      <c r="T6354">
        <v>-0.22094710000000001</v>
      </c>
      <c r="U6354">
        <v>0.21290590000000001</v>
      </c>
      <c r="V6354">
        <v>2.1029699999999998E-2</v>
      </c>
      <c r="W6354">
        <v>0.13617070000000001</v>
      </c>
      <c r="X6354">
        <v>0.99046219999999996</v>
      </c>
      <c r="Y6354">
        <v>8.5164630000000005E-2</v>
      </c>
      <c r="Z6354">
        <v>4.5319669999999996E-3</v>
      </c>
      <c r="AA6354">
        <v>0.99635660000000004</v>
      </c>
      <c r="AB6354">
        <v>26</v>
      </c>
      <c r="AC6354">
        <v>-15.277299999999901</v>
      </c>
      <c r="AD6354">
        <v>-1.120747351868</v>
      </c>
      <c r="AE6354">
        <v>1.08260000000001</v>
      </c>
      <c r="AF6354">
        <v>1.31775799388851</v>
      </c>
      <c r="AG6354">
        <v>-1.120747351868</v>
      </c>
      <c r="AH6354">
        <v>15.176933741934899</v>
      </c>
      <c r="AI6354">
        <v>94.207593118631493</v>
      </c>
      <c r="AJ6354">
        <v>85.037660801502298</v>
      </c>
      <c r="AK6354">
        <v>15.2752046979495</v>
      </c>
      <c r="AL6354">
        <v>82.173679066581897</v>
      </c>
      <c r="AM6354">
        <v>88.783666814914</v>
      </c>
      <c r="AN6354">
        <v>1.0000000387246999</v>
      </c>
    </row>
    <row r="6355" spans="1:40" x14ac:dyDescent="0.25">
      <c r="A6355" t="str">
        <f>"20190303162038483"</f>
        <v>20190303162038483</v>
      </c>
      <c r="B6355" t="str">
        <f>"1551601238478679"</f>
        <v>1551601238478679</v>
      </c>
      <c r="C6355" t="s">
        <v>40</v>
      </c>
      <c r="D6355">
        <v>4.3627770000000003</v>
      </c>
      <c r="E6355">
        <v>0.51888900000000004</v>
      </c>
      <c r="F6355" t="s">
        <v>42</v>
      </c>
      <c r="G6355">
        <v>-234.0839</v>
      </c>
      <c r="H6355">
        <v>0.96307830000000005</v>
      </c>
      <c r="I6355">
        <v>141.28270000000001</v>
      </c>
      <c r="J6355">
        <v>-233.38560000000001</v>
      </c>
      <c r="K6355">
        <v>1.120746</v>
      </c>
      <c r="L6355">
        <v>141.2373</v>
      </c>
      <c r="M6355">
        <v>-0.99981469999999995</v>
      </c>
      <c r="N6355">
        <v>-1.148302E-2</v>
      </c>
      <c r="O6355">
        <v>-1.5451370000000001E-2</v>
      </c>
      <c r="P6355">
        <v>-0.99218200000000001</v>
      </c>
      <c r="Q6355">
        <v>0.1247254</v>
      </c>
      <c r="R6355">
        <v>4.3316190000000001E-3</v>
      </c>
      <c r="S6355">
        <v>-3.0930019999999998</v>
      </c>
      <c r="T6355">
        <v>-0.55717649999999996</v>
      </c>
      <c r="U6355">
        <v>0.15144349999999901</v>
      </c>
      <c r="V6355">
        <v>1.9807490000000001E-2</v>
      </c>
      <c r="W6355">
        <v>0.1360876</v>
      </c>
      <c r="X6355">
        <v>0.99049880000000001</v>
      </c>
      <c r="Y6355">
        <v>6.3037090000000004E-2</v>
      </c>
      <c r="Z6355">
        <v>8.5781590000000001E-3</v>
      </c>
      <c r="AA6355">
        <v>0.99797429999999998</v>
      </c>
      <c r="AB6355">
        <v>26</v>
      </c>
      <c r="AC6355">
        <v>-0.69829999999998804</v>
      </c>
      <c r="AD6355">
        <v>-0.15766769999999899</v>
      </c>
      <c r="AE6355">
        <v>4.5400000000000697E-2</v>
      </c>
      <c r="AF6355">
        <v>5.34705194537414E-2</v>
      </c>
      <c r="AG6355">
        <v>-0.15766769999999899</v>
      </c>
      <c r="AH6355">
        <v>0.66381606818068595</v>
      </c>
      <c r="AI6355">
        <v>103.319552287272</v>
      </c>
      <c r="AJ6355">
        <v>85.3947562410183</v>
      </c>
      <c r="AK6355">
        <v>0.68437560772488704</v>
      </c>
      <c r="AL6355">
        <v>82.178484954103297</v>
      </c>
      <c r="AM6355">
        <v>88.854380907948396</v>
      </c>
      <c r="AN6355">
        <v>1.0000000221676399</v>
      </c>
    </row>
    <row r="6356" spans="1:40" x14ac:dyDescent="0.25">
      <c r="A6356" t="str">
        <f>"20190303162038505"</f>
        <v>20190303162038505</v>
      </c>
      <c r="B6356" t="str">
        <f>"1551601238499175"</f>
        <v>1551601238499175</v>
      </c>
      <c r="C6356" t="s">
        <v>40</v>
      </c>
      <c r="D6356">
        <v>4.4462080000000004</v>
      </c>
      <c r="E6356">
        <v>0.52033980000000002</v>
      </c>
      <c r="F6356" t="s">
        <v>42</v>
      </c>
      <c r="G6356">
        <v>-234.09030000000001</v>
      </c>
      <c r="H6356">
        <v>0.97608510000000004</v>
      </c>
      <c r="I6356">
        <v>141.27350000000001</v>
      </c>
      <c r="J6356">
        <v>-233.6104</v>
      </c>
      <c r="K6356">
        <v>1.1207389999999999</v>
      </c>
      <c r="L6356">
        <v>141.23439999999999</v>
      </c>
      <c r="M6356">
        <v>-0.99982269999999895</v>
      </c>
      <c r="N6356">
        <v>-1.147512E-2</v>
      </c>
      <c r="O6356">
        <v>-1.492574E-2</v>
      </c>
      <c r="P6356">
        <v>-0.99209000000000003</v>
      </c>
      <c r="Q6356">
        <v>0.12549769999999999</v>
      </c>
      <c r="R6356">
        <v>2.7862160000000002E-3</v>
      </c>
      <c r="S6356">
        <v>-3.103027</v>
      </c>
      <c r="T6356">
        <v>-0.63699510000000004</v>
      </c>
      <c r="U6356">
        <v>0.1588135</v>
      </c>
      <c r="V6356">
        <v>1.7740260000000001E-2</v>
      </c>
      <c r="W6356">
        <v>0.136853799999999</v>
      </c>
      <c r="X6356">
        <v>0.99043239999999999</v>
      </c>
      <c r="Y6356">
        <v>6.4323420000000006E-2</v>
      </c>
      <c r="Z6356">
        <v>9.7644250000000002E-3</v>
      </c>
      <c r="AA6356">
        <v>0.99788140000000003</v>
      </c>
      <c r="AB6356">
        <v>26</v>
      </c>
      <c r="AC6356">
        <v>-0.47990000000001398</v>
      </c>
      <c r="AD6356">
        <v>-0.144653899999999</v>
      </c>
      <c r="AE6356">
        <v>3.9100000000019002E-2</v>
      </c>
      <c r="AF6356">
        <v>4.2429389610768801E-2</v>
      </c>
      <c r="AG6356">
        <v>-0.144653899999999</v>
      </c>
      <c r="AH6356">
        <v>0.439586712213268</v>
      </c>
      <c r="AI6356">
        <v>108.135987759391</v>
      </c>
      <c r="AJ6356">
        <v>84.486827280403602</v>
      </c>
      <c r="AK6356">
        <v>0.46471656032728498</v>
      </c>
      <c r="AL6356">
        <v>82.134170222004997</v>
      </c>
      <c r="AM6356">
        <v>88.973848850401595</v>
      </c>
      <c r="AN6356">
        <v>1.00000000918453</v>
      </c>
    </row>
    <row r="6357" spans="1:40" x14ac:dyDescent="0.25">
      <c r="A6357" t="str">
        <f>"20190303162038526"</f>
        <v>20190303162038526</v>
      </c>
      <c r="B6357" t="str">
        <f>"1551601238518696"</f>
        <v>1551601238518696</v>
      </c>
      <c r="C6357" t="s">
        <v>40</v>
      </c>
      <c r="D6357">
        <v>4.4146729999999996</v>
      </c>
      <c r="E6357">
        <v>0.52061639999999998</v>
      </c>
      <c r="F6357" t="s">
        <v>42</v>
      </c>
      <c r="G6357">
        <v>-234.32079999999999</v>
      </c>
      <c r="H6357">
        <v>0.97268520000000003</v>
      </c>
      <c r="I6357">
        <v>141.27260000000001</v>
      </c>
      <c r="J6357">
        <v>-233.87299999999999</v>
      </c>
      <c r="K6357">
        <v>1.120736</v>
      </c>
      <c r="L6357">
        <v>141.2311</v>
      </c>
      <c r="M6357">
        <v>-0.99983200000000005</v>
      </c>
      <c r="N6357">
        <v>-1.146526E-2</v>
      </c>
      <c r="O6357">
        <v>-1.43076E-2</v>
      </c>
      <c r="P6357">
        <v>-0.99205589999999999</v>
      </c>
      <c r="Q6357">
        <v>0.12578889999999901</v>
      </c>
      <c r="R6357">
        <v>1.676996E-3</v>
      </c>
      <c r="S6357">
        <v>-3.1053160000000002</v>
      </c>
      <c r="T6357">
        <v>-0.64718619999999905</v>
      </c>
      <c r="U6357">
        <v>0.16674800000000001</v>
      </c>
      <c r="V6357">
        <v>1.6018190000000002E-2</v>
      </c>
      <c r="W6357">
        <v>0.13713620000000001</v>
      </c>
      <c r="X6357">
        <v>0.99042269999999999</v>
      </c>
      <c r="Y6357">
        <v>6.6131990000000002E-2</v>
      </c>
      <c r="Z6357">
        <v>9.9830549999999994E-3</v>
      </c>
      <c r="AA6357">
        <v>0.99776100000000001</v>
      </c>
      <c r="AB6357">
        <v>26</v>
      </c>
      <c r="AC6357">
        <v>-0.44779999999999998</v>
      </c>
      <c r="AD6357">
        <v>-0.14805080000000001</v>
      </c>
      <c r="AE6357">
        <v>4.1500000000013401E-2</v>
      </c>
      <c r="AF6357">
        <v>4.3219132667772699E-2</v>
      </c>
      <c r="AG6357">
        <v>-0.14805080000000001</v>
      </c>
      <c r="AH6357">
        <v>0.40343686382245503</v>
      </c>
      <c r="AI6357">
        <v>110.04632356355999</v>
      </c>
      <c r="AJ6357">
        <v>83.885373363319502</v>
      </c>
      <c r="AK6357">
        <v>0.43191230116783202</v>
      </c>
      <c r="AL6357">
        <v>82.117835993001293</v>
      </c>
      <c r="AM6357">
        <v>89.0734312989497</v>
      </c>
      <c r="AN6357">
        <v>1.0000000222183001</v>
      </c>
    </row>
    <row r="6358" spans="1:40" x14ac:dyDescent="0.25">
      <c r="A6358" t="str">
        <f>"20190303162038549"</f>
        <v>20190303162038549</v>
      </c>
      <c r="B6358" t="str">
        <f>"1551601238539192"</f>
        <v>1551601238539192</v>
      </c>
      <c r="C6358" t="s">
        <v>40</v>
      </c>
      <c r="D6358">
        <v>4.4772910000000001</v>
      </c>
      <c r="E6358">
        <v>0.52155439999999997</v>
      </c>
      <c r="F6358" t="s">
        <v>42</v>
      </c>
      <c r="G6358">
        <v>-234.76740000000001</v>
      </c>
      <c r="H6358">
        <v>0.93606389999999995</v>
      </c>
      <c r="I6358">
        <v>141.27940000000001</v>
      </c>
      <c r="J6358">
        <v>-234.13740000000001</v>
      </c>
      <c r="K6358">
        <v>1.120744</v>
      </c>
      <c r="L6358">
        <v>141.22810000000001</v>
      </c>
      <c r="M6358">
        <v>-0.99984079999999997</v>
      </c>
      <c r="N6358">
        <v>-1.145651E-2</v>
      </c>
      <c r="O6358">
        <v>-1.3681469999999999E-2</v>
      </c>
      <c r="P6358">
        <v>-0.99204840000000005</v>
      </c>
      <c r="Q6358">
        <v>0.125852399999999</v>
      </c>
      <c r="R6358">
        <v>1.082368E-3</v>
      </c>
      <c r="S6358">
        <v>-3.1050420000000001</v>
      </c>
      <c r="T6358">
        <v>-0.64110210000000001</v>
      </c>
      <c r="U6358">
        <v>0.167099</v>
      </c>
      <c r="V6358">
        <v>1.480274E-2</v>
      </c>
      <c r="W6358">
        <v>0.13719289999999901</v>
      </c>
      <c r="X6358">
        <v>0.99043380000000003</v>
      </c>
      <c r="Y6358">
        <v>6.5678349999999996E-2</v>
      </c>
      <c r="Z6358">
        <v>9.7240269999999997E-3</v>
      </c>
      <c r="AA6358">
        <v>0.99779340000000005</v>
      </c>
      <c r="AB6358">
        <v>26</v>
      </c>
      <c r="AC6358">
        <v>-0.62999999999999501</v>
      </c>
      <c r="AD6358">
        <v>-0.18468009999999899</v>
      </c>
      <c r="AE6358">
        <v>5.1299999999997598E-2</v>
      </c>
      <c r="AF6358">
        <v>5.5202618884961301E-2</v>
      </c>
      <c r="AG6358">
        <v>-0.18468009999999899</v>
      </c>
      <c r="AH6358">
        <v>0.57974790200473503</v>
      </c>
      <c r="AI6358">
        <v>107.594763038458</v>
      </c>
      <c r="AJ6358">
        <v>84.560791056033693</v>
      </c>
      <c r="AK6358">
        <v>0.61095146971478898</v>
      </c>
      <c r="AL6358">
        <v>82.114556643920693</v>
      </c>
      <c r="AM6358">
        <v>89.1437374358688</v>
      </c>
      <c r="AN6358">
        <v>1.0000000625521701</v>
      </c>
    </row>
    <row r="6359" spans="1:40" x14ac:dyDescent="0.25">
      <c r="A6359" t="str">
        <f>"20190303162038572"</f>
        <v>20190303162038572</v>
      </c>
      <c r="B6359" t="str">
        <f>"1551601238568982"</f>
        <v>1551601238568982</v>
      </c>
      <c r="C6359" t="s">
        <v>40</v>
      </c>
      <c r="D6359">
        <v>4.5374629999999998</v>
      </c>
      <c r="E6359">
        <v>0.52155439999999997</v>
      </c>
      <c r="F6359" t="s">
        <v>42</v>
      </c>
      <c r="G6359">
        <v>-235.00309999999999</v>
      </c>
      <c r="H6359">
        <v>0.94267920000000005</v>
      </c>
      <c r="I6359">
        <v>141.27680000000001</v>
      </c>
      <c r="J6359">
        <v>-234.41050000000001</v>
      </c>
      <c r="K6359">
        <v>1.1207450000000001</v>
      </c>
      <c r="L6359">
        <v>141.22499999999999</v>
      </c>
      <c r="M6359">
        <v>-0.99984960000000001</v>
      </c>
      <c r="N6359">
        <v>-1.1446410000000001E-2</v>
      </c>
      <c r="O6359">
        <v>-1.303351E-2</v>
      </c>
      <c r="P6359">
        <v>-0.99203540000000001</v>
      </c>
      <c r="Q6359">
        <v>0.1259605</v>
      </c>
      <c r="R6359">
        <v>3.675614E-4</v>
      </c>
      <c r="S6359">
        <v>-3.104889</v>
      </c>
      <c r="T6359">
        <v>-0.638679</v>
      </c>
      <c r="U6359">
        <v>0.1742706</v>
      </c>
      <c r="V6359">
        <v>1.3445800000000001E-2</v>
      </c>
      <c r="W6359">
        <v>0.1372921</v>
      </c>
      <c r="X6359">
        <v>0.99043939999999997</v>
      </c>
      <c r="Y6359">
        <v>6.7320649999999996E-2</v>
      </c>
      <c r="Z6359">
        <v>9.7406049999999994E-3</v>
      </c>
      <c r="AA6359">
        <v>0.99768380000000001</v>
      </c>
      <c r="AB6359">
        <v>26</v>
      </c>
      <c r="AC6359">
        <v>-0.59259999999997603</v>
      </c>
      <c r="AD6359">
        <v>-0.1780658</v>
      </c>
      <c r="AE6359">
        <v>5.1800000000014203E-2</v>
      </c>
      <c r="AF6359">
        <v>5.4625085025208298E-2</v>
      </c>
      <c r="AG6359">
        <v>-0.1780658</v>
      </c>
      <c r="AH6359">
        <v>0.54320098027153296</v>
      </c>
      <c r="AI6359">
        <v>108.064424886019</v>
      </c>
      <c r="AJ6359">
        <v>84.257557712060006</v>
      </c>
      <c r="AK6359">
        <v>0.57424614409815999</v>
      </c>
      <c r="AL6359">
        <v>82.108818567849795</v>
      </c>
      <c r="AM6359">
        <v>89.222223721321896</v>
      </c>
      <c r="AN6359">
        <v>1.0000000576662</v>
      </c>
    </row>
    <row r="6360" spans="1:40" x14ac:dyDescent="0.25">
      <c r="A6360" t="str">
        <f>"20190303162038605"</f>
        <v>20190303162038605</v>
      </c>
      <c r="B6360" t="str">
        <f>"1551601238599238"</f>
        <v>1551601238599238</v>
      </c>
      <c r="C6360" t="s">
        <v>40</v>
      </c>
      <c r="D6360">
        <v>4.503387</v>
      </c>
      <c r="E6360">
        <v>0.52272269999999998</v>
      </c>
      <c r="F6360" t="s">
        <v>42</v>
      </c>
      <c r="G6360">
        <v>-235.239</v>
      </c>
      <c r="H6360">
        <v>0.94946889999999995</v>
      </c>
      <c r="I6360">
        <v>141.2715</v>
      </c>
      <c r="J6360">
        <v>-234.7861</v>
      </c>
      <c r="K6360">
        <v>1.120735</v>
      </c>
      <c r="L6360">
        <v>141.22110000000001</v>
      </c>
      <c r="M6360">
        <v>-0.99986109999999995</v>
      </c>
      <c r="N6360">
        <v>-1.1423890000000001E-2</v>
      </c>
      <c r="O6360">
        <v>-1.214003E-2</v>
      </c>
      <c r="P6360">
        <v>-0.99210759999999998</v>
      </c>
      <c r="Q6360">
        <v>0.12538489999999999</v>
      </c>
      <c r="R6360">
        <v>1.1956569999999999E-3</v>
      </c>
      <c r="S6360">
        <v>-3.1055450000000002</v>
      </c>
      <c r="T6360">
        <v>-0.64201409999999903</v>
      </c>
      <c r="U6360">
        <v>0.17343140000000001</v>
      </c>
      <c r="V6360">
        <v>1.338866E-2</v>
      </c>
      <c r="W6360">
        <v>0.1366955</v>
      </c>
      <c r="X6360">
        <v>0.99052260000000003</v>
      </c>
      <c r="Y6360">
        <v>6.6174079999999996E-2</v>
      </c>
      <c r="Z6360">
        <v>9.4904729999999993E-3</v>
      </c>
      <c r="AA6360">
        <v>0.99776299999999996</v>
      </c>
      <c r="AB6360">
        <v>26</v>
      </c>
      <c r="AC6360">
        <v>-0.45289999999999903</v>
      </c>
      <c r="AD6360">
        <v>-0.17126609999999901</v>
      </c>
      <c r="AE6360">
        <v>5.0399999999996198E-2</v>
      </c>
      <c r="AF6360">
        <v>4.8976816475852801E-2</v>
      </c>
      <c r="AG6360">
        <v>-0.17126609999999901</v>
      </c>
      <c r="AH6360">
        <v>0.396279643030791</v>
      </c>
      <c r="AI6360">
        <v>113.21553408390299</v>
      </c>
      <c r="AJ6360">
        <v>82.954453940197695</v>
      </c>
      <c r="AK6360">
        <v>0.43447481059542498</v>
      </c>
      <c r="AL6360">
        <v>82.143325868415403</v>
      </c>
      <c r="AM6360">
        <v>89.225593642700403</v>
      </c>
      <c r="AN6360">
        <v>0.99999996852380202</v>
      </c>
    </row>
    <row r="6361" spans="1:40" x14ac:dyDescent="0.25">
      <c r="A6361" t="str">
        <f>"20190303162038626"</f>
        <v>20190303162038626</v>
      </c>
      <c r="B6361" t="str">
        <f>"1551601238618758"</f>
        <v>1551601238618758</v>
      </c>
      <c r="C6361" t="s">
        <v>40</v>
      </c>
      <c r="D6361">
        <v>4.4837899999999999</v>
      </c>
      <c r="E6361">
        <v>0.53648499999999999</v>
      </c>
      <c r="F6361" t="s">
        <v>42</v>
      </c>
      <c r="G6361">
        <v>-235.4837</v>
      </c>
      <c r="H6361">
        <v>0.97406040000000005</v>
      </c>
      <c r="I6361">
        <v>141.26310000000001</v>
      </c>
      <c r="J6361">
        <v>-235.03280000000001</v>
      </c>
      <c r="K6361">
        <v>1.1207290000000001</v>
      </c>
      <c r="L6361">
        <v>141.21879999999999</v>
      </c>
      <c r="M6361">
        <v>-0.99986819999999998</v>
      </c>
      <c r="N6361">
        <v>-1.140768E-2</v>
      </c>
      <c r="O6361">
        <v>-1.154985E-2</v>
      </c>
      <c r="P6361">
        <v>-0.99217230000000001</v>
      </c>
      <c r="Q6361">
        <v>0.1248708</v>
      </c>
      <c r="R6361">
        <v>1.113167E-3</v>
      </c>
      <c r="S6361">
        <v>-3.1061860000000001</v>
      </c>
      <c r="T6361">
        <v>-0.65308900000000003</v>
      </c>
      <c r="U6361">
        <v>0.18684390000000001</v>
      </c>
      <c r="V6361">
        <v>1.272155E-2</v>
      </c>
      <c r="W6361">
        <v>0.13616639999999999</v>
      </c>
      <c r="X6361">
        <v>0.99060429999999999</v>
      </c>
      <c r="Y6361">
        <v>6.9740150000000001E-2</v>
      </c>
      <c r="Z6361">
        <v>9.9185660000000002E-3</v>
      </c>
      <c r="AA6361">
        <v>0.99751590000000001</v>
      </c>
      <c r="AB6361">
        <v>26</v>
      </c>
      <c r="AC6361">
        <v>-0.45089999999998998</v>
      </c>
      <c r="AD6361">
        <v>-0.14666860000000001</v>
      </c>
      <c r="AE6361">
        <v>4.43000000000211E-2</v>
      </c>
      <c r="AF6361">
        <v>4.4809396688730602E-2</v>
      </c>
      <c r="AG6361">
        <v>-0.14666860000000001</v>
      </c>
      <c r="AH6361">
        <v>0.40763952044427698</v>
      </c>
      <c r="AI6361">
        <v>109.679360196413</v>
      </c>
      <c r="AJ6361">
        <v>83.726999793557297</v>
      </c>
      <c r="AK6361">
        <v>0.43553362543620899</v>
      </c>
      <c r="AL6361">
        <v>82.173927471486905</v>
      </c>
      <c r="AM6361">
        <v>89.264235923797202</v>
      </c>
      <c r="AN6361">
        <v>1.0000000027509199</v>
      </c>
    </row>
    <row r="6362" spans="1:40" x14ac:dyDescent="0.25">
      <c r="A6362" t="str">
        <f>"20190303162038648"</f>
        <v>20190303162038648</v>
      </c>
      <c r="B6362" t="str">
        <f>"1551601238639254"</f>
        <v>1551601238639254</v>
      </c>
      <c r="C6362" t="s">
        <v>40</v>
      </c>
      <c r="D6362">
        <v>4.5374569999999999</v>
      </c>
      <c r="E6362">
        <v>0.53572369999999903</v>
      </c>
      <c r="F6362" t="s">
        <v>42</v>
      </c>
      <c r="G6362">
        <v>-235.89750000000001</v>
      </c>
      <c r="H6362">
        <v>0.85795589999999999</v>
      </c>
      <c r="I6362">
        <v>141.30170000000001</v>
      </c>
      <c r="J6362">
        <v>-235.292</v>
      </c>
      <c r="K6362">
        <v>1.120725</v>
      </c>
      <c r="L6362">
        <v>141.2165</v>
      </c>
      <c r="M6362">
        <v>-0.99987570000000003</v>
      </c>
      <c r="N6362">
        <v>-1.1392630000000001E-2</v>
      </c>
      <c r="O6362">
        <v>-1.092304E-2</v>
      </c>
      <c r="P6362">
        <v>-0.99220109999999995</v>
      </c>
      <c r="Q6362">
        <v>0.1246497</v>
      </c>
      <c r="R6362">
        <v>-3.3572780000000002E-4</v>
      </c>
      <c r="S6362">
        <v>-3.14357</v>
      </c>
      <c r="T6362">
        <v>-0.95520190000000005</v>
      </c>
      <c r="U6362">
        <v>0.3013458</v>
      </c>
      <c r="V6362">
        <v>1.065285E-2</v>
      </c>
      <c r="W6362">
        <v>0.13593350000000001</v>
      </c>
      <c r="X6362">
        <v>0.99066069999999995</v>
      </c>
      <c r="Y6362">
        <v>0.101134</v>
      </c>
      <c r="Z6362">
        <v>1.8702099999999999E-2</v>
      </c>
      <c r="AA6362">
        <v>0.99469700000000005</v>
      </c>
      <c r="AB6362">
        <v>26</v>
      </c>
      <c r="AC6362">
        <v>-0.60550000000000603</v>
      </c>
      <c r="AD6362">
        <v>-0.26276909999999898</v>
      </c>
      <c r="AE6362">
        <v>8.5200000000014597E-2</v>
      </c>
      <c r="AF6362">
        <v>7.7497481258202203E-2</v>
      </c>
      <c r="AG6362">
        <v>-0.26276909999999898</v>
      </c>
      <c r="AH6362">
        <v>0.51029499356561703</v>
      </c>
      <c r="AI6362">
        <v>116.98056494981201</v>
      </c>
      <c r="AJ6362">
        <v>81.364589688228605</v>
      </c>
      <c r="AK6362">
        <v>0.57918428843875702</v>
      </c>
      <c r="AL6362">
        <v>82.187396963015004</v>
      </c>
      <c r="AM6362">
        <v>89.383906295695397</v>
      </c>
      <c r="AN6362">
        <v>1.0000000110799301</v>
      </c>
    </row>
    <row r="6363" spans="1:40" x14ac:dyDescent="0.25">
      <c r="A6363" t="str">
        <f>"20190303162038670"</f>
        <v>20190303162038670</v>
      </c>
      <c r="B6363" t="str">
        <f>"1551601238658774"</f>
        <v>1551601238658774</v>
      </c>
      <c r="C6363" t="s">
        <v>40</v>
      </c>
      <c r="D6363">
        <v>4.5587689999999998</v>
      </c>
      <c r="E6363">
        <v>0.53526509999999905</v>
      </c>
      <c r="F6363" t="s">
        <v>42</v>
      </c>
      <c r="G6363">
        <v>-236.13329999999999</v>
      </c>
      <c r="H6363">
        <v>0.8650525</v>
      </c>
      <c r="I6363">
        <v>141.29570000000001</v>
      </c>
      <c r="J6363">
        <v>-235.54480000000001</v>
      </c>
      <c r="K6363">
        <v>1.120706</v>
      </c>
      <c r="L6363">
        <v>141.21440000000001</v>
      </c>
      <c r="M6363">
        <v>-0.9998823</v>
      </c>
      <c r="N6363">
        <v>-1.137818E-2</v>
      </c>
      <c r="O6363">
        <v>-1.030469E-2</v>
      </c>
      <c r="P6363">
        <v>-0.99210589999999999</v>
      </c>
      <c r="Q6363">
        <v>0.12536019999999901</v>
      </c>
      <c r="R6363">
        <v>-3.3015119999999999E-3</v>
      </c>
      <c r="S6363">
        <v>-3.1436920000000002</v>
      </c>
      <c r="T6363">
        <v>-0.95529439999999999</v>
      </c>
      <c r="U6363">
        <v>0.295929</v>
      </c>
      <c r="V6363">
        <v>7.0753069999999899E-3</v>
      </c>
      <c r="W6363">
        <v>0.1366327</v>
      </c>
      <c r="X6363">
        <v>0.99059649999999999</v>
      </c>
      <c r="Y6363">
        <v>9.8942790000000003E-2</v>
      </c>
      <c r="Z6363">
        <v>1.8189629999999998E-2</v>
      </c>
      <c r="AA6363">
        <v>0.99492689999999995</v>
      </c>
      <c r="AB6363">
        <v>26</v>
      </c>
      <c r="AC6363">
        <v>-0.58849999999998204</v>
      </c>
      <c r="AD6363">
        <v>-0.25565349999999998</v>
      </c>
      <c r="AE6363">
        <v>8.1299999999998804E-2</v>
      </c>
      <c r="AF6363">
        <v>7.3710484317955405E-2</v>
      </c>
      <c r="AG6363">
        <v>-0.25565349999999998</v>
      </c>
      <c r="AH6363">
        <v>0.49581466679891201</v>
      </c>
      <c r="AI6363">
        <v>117.02239350024701</v>
      </c>
      <c r="AJ6363">
        <v>81.544033456295907</v>
      </c>
      <c r="AK6363">
        <v>0.56269363900221303</v>
      </c>
      <c r="AL6363">
        <v>82.146958294970005</v>
      </c>
      <c r="AM6363">
        <v>89.590773502118495</v>
      </c>
      <c r="AN6363">
        <v>0.99999999024534203</v>
      </c>
    </row>
    <row r="6364" spans="1:40" x14ac:dyDescent="0.25">
      <c r="A6364" t="str">
        <f>"20190303162038693"</f>
        <v>20190303162038693</v>
      </c>
      <c r="B6364" t="str">
        <f>"1551601238689030"</f>
        <v>1551601238689030</v>
      </c>
      <c r="C6364" t="s">
        <v>40</v>
      </c>
      <c r="D6364">
        <v>4.6027399999999998</v>
      </c>
      <c r="E6364">
        <v>0.53488040000000003</v>
      </c>
      <c r="F6364" t="s">
        <v>42</v>
      </c>
      <c r="G6364">
        <v>-236.36940000000001</v>
      </c>
      <c r="H6364">
        <v>0.87290619999999997</v>
      </c>
      <c r="I6364">
        <v>141.29040000000001</v>
      </c>
      <c r="J6364">
        <v>-235.81780000000001</v>
      </c>
      <c r="K6364">
        <v>1.120695</v>
      </c>
      <c r="L6364">
        <v>141.2123</v>
      </c>
      <c r="M6364">
        <v>-0.99988909999999998</v>
      </c>
      <c r="N6364">
        <v>-1.135773E-2</v>
      </c>
      <c r="O6364">
        <v>-9.6278809999999996E-3</v>
      </c>
      <c r="P6364">
        <v>-0.99200670000000002</v>
      </c>
      <c r="Q6364">
        <v>0.1258812</v>
      </c>
      <c r="R6364">
        <v>-8.7451619999999904E-3</v>
      </c>
      <c r="S6364">
        <v>-3.144196</v>
      </c>
      <c r="T6364">
        <v>-0.94477219999999995</v>
      </c>
      <c r="U6364">
        <v>0.2893829</v>
      </c>
      <c r="V6364">
        <v>9.6266570000000005E-4</v>
      </c>
      <c r="W6364">
        <v>0.1371395</v>
      </c>
      <c r="X6364">
        <v>0.99055130000000002</v>
      </c>
      <c r="Y6364">
        <v>9.6449129999999994E-2</v>
      </c>
      <c r="Z6364">
        <v>1.7428869999999999E-2</v>
      </c>
      <c r="AA6364">
        <v>0.99518530000000005</v>
      </c>
      <c r="AB6364">
        <v>26</v>
      </c>
      <c r="AC6364">
        <v>-0.55160000000000697</v>
      </c>
      <c r="AD6364">
        <v>-0.2477888</v>
      </c>
      <c r="AE6364">
        <v>7.8100000000006206E-2</v>
      </c>
      <c r="AF6364">
        <v>6.9632072221131297E-2</v>
      </c>
      <c r="AG6364">
        <v>-0.2477888</v>
      </c>
      <c r="AH6364">
        <v>0.45984984410877</v>
      </c>
      <c r="AI6364">
        <v>118.047522207881</v>
      </c>
      <c r="AJ6364">
        <v>81.389485362863596</v>
      </c>
      <c r="AK6364">
        <v>0.52698177768695997</v>
      </c>
      <c r="AL6364">
        <v>82.117645124130206</v>
      </c>
      <c r="AM6364">
        <v>89.944317205654002</v>
      </c>
      <c r="AN6364">
        <v>1.00000002355859</v>
      </c>
    </row>
    <row r="6365" spans="1:40" x14ac:dyDescent="0.25">
      <c r="A6365" t="str">
        <f>"20190303162038714"</f>
        <v>20190303162038714</v>
      </c>
      <c r="B6365" t="str">
        <f>"1551601238708550"</f>
        <v>1551601238708550</v>
      </c>
      <c r="C6365" t="s">
        <v>40</v>
      </c>
      <c r="D6365">
        <v>4.5929919999999997</v>
      </c>
      <c r="E6365">
        <v>0.53470079999999998</v>
      </c>
      <c r="F6365" t="s">
        <v>42</v>
      </c>
      <c r="G6365">
        <v>-236.60730000000001</v>
      </c>
      <c r="H6365">
        <v>0.884833599999999</v>
      </c>
      <c r="I6365">
        <v>141.28200000000001</v>
      </c>
      <c r="J6365">
        <v>-236.06880000000001</v>
      </c>
      <c r="K6365">
        <v>1.1206910000000001</v>
      </c>
      <c r="L6365">
        <v>141.2105</v>
      </c>
      <c r="M6365">
        <v>-0.99989539999999999</v>
      </c>
      <c r="N6365">
        <v>-1.1334749999999999E-2</v>
      </c>
      <c r="O6365">
        <v>-8.9946780000000007E-3</v>
      </c>
      <c r="P6365">
        <v>-0.99185849999999998</v>
      </c>
      <c r="Q6365">
        <v>0.12631819999999999</v>
      </c>
      <c r="R6365">
        <v>-1.615287E-2</v>
      </c>
      <c r="S6365">
        <v>-3.1458740000000001</v>
      </c>
      <c r="T6365">
        <v>-0.93979550000000001</v>
      </c>
      <c r="U6365">
        <v>0.27706910000000001</v>
      </c>
      <c r="V6365">
        <v>-7.0706299999999996E-3</v>
      </c>
      <c r="W6365">
        <v>0.137562299999999</v>
      </c>
      <c r="X6365">
        <v>0.99046789999999996</v>
      </c>
      <c r="Y6365">
        <v>9.2175480000000004E-2</v>
      </c>
      <c r="Z6365">
        <v>1.650998E-2</v>
      </c>
      <c r="AA6365">
        <v>0.99560590000000004</v>
      </c>
      <c r="AB6365">
        <v>26</v>
      </c>
      <c r="AC6365">
        <v>-0.53849999999999898</v>
      </c>
      <c r="AD6365">
        <v>-0.23585739999999999</v>
      </c>
      <c r="AE6365">
        <v>7.1500000000014496E-2</v>
      </c>
      <c r="AF6365">
        <v>6.4232488022627598E-2</v>
      </c>
      <c r="AG6365">
        <v>-0.23585739999999999</v>
      </c>
      <c r="AH6365">
        <v>0.452528261535251</v>
      </c>
      <c r="AI6365">
        <v>117.29495140408601</v>
      </c>
      <c r="AJ6365">
        <v>81.921323925524703</v>
      </c>
      <c r="AK6365">
        <v>0.51433097625989199</v>
      </c>
      <c r="AL6365">
        <v>82.093188658002902</v>
      </c>
      <c r="AM6365">
        <v>90.409009091584096</v>
      </c>
      <c r="AN6365">
        <v>1.00000002056014</v>
      </c>
    </row>
    <row r="6366" spans="1:40" x14ac:dyDescent="0.25">
      <c r="A6366" t="str">
        <f>"20190303162038737"</f>
        <v>20190303162038737</v>
      </c>
      <c r="B6366" t="str">
        <f>"1551601238729046"</f>
        <v>1551601238729046</v>
      </c>
      <c r="C6366" t="s">
        <v>40</v>
      </c>
      <c r="D6366">
        <v>4.6221269999999999</v>
      </c>
      <c r="E6366">
        <v>0.53461409999999998</v>
      </c>
      <c r="F6366" t="s">
        <v>42</v>
      </c>
      <c r="G6366">
        <v>-236.84289999999999</v>
      </c>
      <c r="H6366">
        <v>0.89061389999999996</v>
      </c>
      <c r="I6366">
        <v>141.27510000000001</v>
      </c>
      <c r="J6366">
        <v>-236.33189999999999</v>
      </c>
      <c r="K6366">
        <v>1.120682</v>
      </c>
      <c r="L6366">
        <v>141.2088</v>
      </c>
      <c r="M6366">
        <v>-0.9999015</v>
      </c>
      <c r="N6366">
        <v>-1.130688E-2</v>
      </c>
      <c r="O6366">
        <v>-8.3172090000000008E-3</v>
      </c>
      <c r="P6366">
        <v>-0.99158559999999996</v>
      </c>
      <c r="Q6366">
        <v>0.12714549999999999</v>
      </c>
      <c r="R6366">
        <v>-2.433217E-2</v>
      </c>
      <c r="S6366">
        <v>-3.1480709999999998</v>
      </c>
      <c r="T6366">
        <v>-0.93562959999999995</v>
      </c>
      <c r="U6366">
        <v>0.26197809999999999</v>
      </c>
      <c r="V6366">
        <v>-1.5920119999999999E-2</v>
      </c>
      <c r="W6366">
        <v>0.13836989999999999</v>
      </c>
      <c r="X6366">
        <v>0.99025269999999999</v>
      </c>
      <c r="Y6366">
        <v>8.7001980000000007E-2</v>
      </c>
      <c r="Z6366">
        <v>1.5462170000000001E-2</v>
      </c>
      <c r="AA6366">
        <v>0.99608810000000003</v>
      </c>
      <c r="AB6366">
        <v>26</v>
      </c>
      <c r="AC6366">
        <v>-0.51099999999999501</v>
      </c>
      <c r="AD6366">
        <v>-0.230068099999999</v>
      </c>
      <c r="AE6366">
        <v>6.6300000000012405E-2</v>
      </c>
      <c r="AF6366">
        <v>5.8821814953318202E-2</v>
      </c>
      <c r="AG6366">
        <v>-0.230068099999999</v>
      </c>
      <c r="AH6366">
        <v>0.42558880188190801</v>
      </c>
      <c r="AI6366">
        <v>118.168925698641</v>
      </c>
      <c r="AJ6366">
        <v>82.130845393069393</v>
      </c>
      <c r="AK6366">
        <v>0.48735732767579298</v>
      </c>
      <c r="AL6366">
        <v>82.046470004350894</v>
      </c>
      <c r="AM6366">
        <v>90.921054909478599</v>
      </c>
      <c r="AN6366">
        <v>1.0000000446520501</v>
      </c>
    </row>
    <row r="6367" spans="1:40" x14ac:dyDescent="0.25">
      <c r="A6367" t="str">
        <f>"20190303162038761"</f>
        <v>20190303162038761</v>
      </c>
      <c r="B6367" t="str">
        <f>"1551601238748566"</f>
        <v>1551601238748566</v>
      </c>
      <c r="C6367" t="s">
        <v>40</v>
      </c>
      <c r="D6367">
        <v>4.6110259999999998</v>
      </c>
      <c r="E6367">
        <v>0.53480380000000005</v>
      </c>
      <c r="F6367" t="s">
        <v>42</v>
      </c>
      <c r="G6367">
        <v>-237.08009999999999</v>
      </c>
      <c r="H6367">
        <v>0.89958379999999905</v>
      </c>
      <c r="I6367">
        <v>141.26679999999999</v>
      </c>
      <c r="J6367">
        <v>-236.60149999999999</v>
      </c>
      <c r="K6367">
        <v>1.120676</v>
      </c>
      <c r="L6367">
        <v>141.2073</v>
      </c>
      <c r="M6367">
        <v>-0.99990760000000001</v>
      </c>
      <c r="N6367">
        <v>-1.1274569999999999E-2</v>
      </c>
      <c r="O6367">
        <v>-7.610637E-3</v>
      </c>
      <c r="P6367">
        <v>-0.99124769999999895</v>
      </c>
      <c r="Q6367">
        <v>0.12804479999999999</v>
      </c>
      <c r="R6367">
        <v>-3.2137510000000001E-2</v>
      </c>
      <c r="S6367">
        <v>-3.1508180000000001</v>
      </c>
      <c r="T6367">
        <v>-0.93112439999999996</v>
      </c>
      <c r="U6367">
        <v>0.24301149999999999</v>
      </c>
      <c r="V6367">
        <v>-2.4423830000000001E-2</v>
      </c>
      <c r="W6367">
        <v>0.13924439999999999</v>
      </c>
      <c r="X6367">
        <v>0.98995679999999997</v>
      </c>
      <c r="Y6367">
        <v>8.0620929999999993E-2</v>
      </c>
      <c r="Z6367">
        <v>1.422707E-2</v>
      </c>
      <c r="AA6367">
        <v>0.99664330000000001</v>
      </c>
      <c r="AB6367">
        <v>26</v>
      </c>
      <c r="AC6367">
        <v>-0.47860000000000003</v>
      </c>
      <c r="AD6367">
        <v>-0.22109219999999999</v>
      </c>
      <c r="AE6367">
        <v>5.9499999999985599E-2</v>
      </c>
      <c r="AF6367">
        <v>5.2175911078465198E-2</v>
      </c>
      <c r="AG6367">
        <v>-0.22109219999999999</v>
      </c>
      <c r="AH6367">
        <v>0.39510073743151503</v>
      </c>
      <c r="AI6367">
        <v>119.020109312185</v>
      </c>
      <c r="AJ6367">
        <v>82.477206514285598</v>
      </c>
      <c r="AK6367">
        <v>0.45575067670452801</v>
      </c>
      <c r="AL6367">
        <v>81.995874666960702</v>
      </c>
      <c r="AM6367">
        <v>91.4132925324665</v>
      </c>
      <c r="AN6367">
        <v>0.999999996134734</v>
      </c>
    </row>
    <row r="6368" spans="1:40" x14ac:dyDescent="0.25">
      <c r="A6368" t="str">
        <f>"20190303162038783"</f>
        <v>20190303162038783</v>
      </c>
      <c r="B6368" t="str">
        <f>"1551601238778822"</f>
        <v>1551601238778822</v>
      </c>
      <c r="C6368" t="s">
        <v>40</v>
      </c>
      <c r="D6368">
        <v>4.7590019999999997</v>
      </c>
      <c r="E6368">
        <v>0.5362403</v>
      </c>
      <c r="F6368" t="s">
        <v>42</v>
      </c>
      <c r="G6368">
        <v>-237.31880000000001</v>
      </c>
      <c r="H6368">
        <v>0.91017009999999998</v>
      </c>
      <c r="I6368">
        <v>141.25810000000001</v>
      </c>
      <c r="J6368">
        <v>-236.8674</v>
      </c>
      <c r="K6368">
        <v>1.1206769999999999</v>
      </c>
      <c r="L6368">
        <v>141.20599999999999</v>
      </c>
      <c r="M6368">
        <v>-0.99991300000000005</v>
      </c>
      <c r="N6368">
        <v>-1.123967E-2</v>
      </c>
      <c r="O6368">
        <v>-6.9053919999999998E-3</v>
      </c>
      <c r="P6368">
        <v>-0.99072640000000001</v>
      </c>
      <c r="Q6368">
        <v>0.13019169999999999</v>
      </c>
      <c r="R6368">
        <v>-3.8877740000000001E-2</v>
      </c>
      <c r="S6368">
        <v>-3.1532589999999998</v>
      </c>
      <c r="T6368">
        <v>-0.92543920000000002</v>
      </c>
      <c r="U6368">
        <v>0.22270200000000001</v>
      </c>
      <c r="V6368">
        <v>-3.186187E-2</v>
      </c>
      <c r="W6368">
        <v>0.1413604</v>
      </c>
      <c r="X6368">
        <v>0.98944529999999997</v>
      </c>
      <c r="Y6368">
        <v>7.3845289999999994E-2</v>
      </c>
      <c r="Z6368">
        <v>1.2931069999999999E-2</v>
      </c>
      <c r="AA6368">
        <v>0.99718589999999996</v>
      </c>
      <c r="AB6368">
        <v>26</v>
      </c>
      <c r="AC6368">
        <v>-0.45140000000000602</v>
      </c>
      <c r="AD6368">
        <v>-0.2105069</v>
      </c>
      <c r="AE6368">
        <v>5.2099999999995802E-2</v>
      </c>
      <c r="AF6368">
        <v>4.5459670840864302E-2</v>
      </c>
      <c r="AG6368">
        <v>-0.2105069</v>
      </c>
      <c r="AH6368">
        <v>0.37133497528455001</v>
      </c>
      <c r="AI6368">
        <v>119.366078712285</v>
      </c>
      <c r="AJ6368">
        <v>83.020450302332407</v>
      </c>
      <c r="AK6368">
        <v>0.42926611849777702</v>
      </c>
      <c r="AL6368">
        <v>81.873425390980998</v>
      </c>
      <c r="AM6368">
        <v>91.844387019137699</v>
      </c>
      <c r="AN6368">
        <v>0.99999997157007303</v>
      </c>
    </row>
    <row r="6369" spans="1:40" x14ac:dyDescent="0.25">
      <c r="A6369" t="str">
        <f>"20190303162038805"</f>
        <v>20190303162038805</v>
      </c>
      <c r="B6369" t="str">
        <f>"1551601238799317"</f>
        <v>1551601238799317</v>
      </c>
      <c r="C6369" t="s">
        <v>40</v>
      </c>
      <c r="D6369">
        <v>4.6426689999999997</v>
      </c>
      <c r="E6369">
        <v>0.51754369999999905</v>
      </c>
      <c r="F6369" t="s">
        <v>42</v>
      </c>
      <c r="G6369">
        <v>-237.5641</v>
      </c>
      <c r="H6369">
        <v>0.93463739999999995</v>
      </c>
      <c r="I6369">
        <v>141.2533</v>
      </c>
      <c r="J6369">
        <v>-237.12260000000001</v>
      </c>
      <c r="K6369">
        <v>1.120682</v>
      </c>
      <c r="L6369">
        <v>141.20500000000001</v>
      </c>
      <c r="M6369">
        <v>-0.99991799999999997</v>
      </c>
      <c r="N6369">
        <v>-1.1202230000000001E-2</v>
      </c>
      <c r="O6369">
        <v>-6.2230590000000004E-3</v>
      </c>
      <c r="P6369">
        <v>-0.99024889999999999</v>
      </c>
      <c r="Q6369">
        <v>0.1318657</v>
      </c>
      <c r="R6369">
        <v>-4.4934259999999997E-2</v>
      </c>
      <c r="S6369">
        <v>-3.1468349999999998</v>
      </c>
      <c r="T6369">
        <v>-0.8403214</v>
      </c>
      <c r="U6369">
        <v>0.21232599999999999</v>
      </c>
      <c r="V6369">
        <v>-3.8593969999999998E-2</v>
      </c>
      <c r="W6369">
        <v>0.14300160000000001</v>
      </c>
      <c r="X6369">
        <v>0.98896969999999995</v>
      </c>
      <c r="Y6369">
        <v>7.0752549999999997E-2</v>
      </c>
      <c r="Z6369">
        <v>1.124095E-2</v>
      </c>
      <c r="AA6369">
        <v>0.99743059999999995</v>
      </c>
      <c r="AB6369">
        <v>26</v>
      </c>
      <c r="AC6369">
        <v>-0.44149999999999001</v>
      </c>
      <c r="AD6369">
        <v>-0.1860446</v>
      </c>
      <c r="AE6369">
        <v>4.8299999999983301E-2</v>
      </c>
      <c r="AF6369">
        <v>4.3426600263853601E-2</v>
      </c>
      <c r="AG6369">
        <v>-0.1860446</v>
      </c>
      <c r="AH6369">
        <v>0.37533106977221398</v>
      </c>
      <c r="AI6369">
        <v>116.215470126139</v>
      </c>
      <c r="AJ6369">
        <v>83.400103366439396</v>
      </c>
      <c r="AK6369">
        <v>0.421155404495765</v>
      </c>
      <c r="AL6369">
        <v>81.778426734757602</v>
      </c>
      <c r="AM6369">
        <v>92.234800622358406</v>
      </c>
      <c r="AN6369">
        <v>1.0000000098205</v>
      </c>
    </row>
    <row r="6370" spans="1:40" x14ac:dyDescent="0.25">
      <c r="A6370" t="str">
        <f>"20190303162038827"</f>
        <v>20190303162038827</v>
      </c>
      <c r="B6370" t="str">
        <f>"1551601238818838"</f>
        <v>1551601238818838</v>
      </c>
      <c r="C6370" t="s">
        <v>40</v>
      </c>
      <c r="D6370">
        <v>4.6901440000000001</v>
      </c>
      <c r="E6370">
        <v>0.49053200000000002</v>
      </c>
      <c r="F6370" t="s">
        <v>42</v>
      </c>
      <c r="G6370">
        <v>-237.827</v>
      </c>
      <c r="H6370">
        <v>0.99300650000000001</v>
      </c>
      <c r="I6370">
        <v>141.21369999999999</v>
      </c>
      <c r="J6370">
        <v>-237.38200000000001</v>
      </c>
      <c r="K6370">
        <v>1.1206799999999999</v>
      </c>
      <c r="L6370">
        <v>141.20410000000001</v>
      </c>
      <c r="M6370">
        <v>-0.99992250000000005</v>
      </c>
      <c r="N6370">
        <v>-1.116206E-2</v>
      </c>
      <c r="O6370">
        <v>-5.5256039999999999E-3</v>
      </c>
      <c r="P6370">
        <v>-0.9897551</v>
      </c>
      <c r="Q6370">
        <v>0.13395170000000001</v>
      </c>
      <c r="R6370">
        <v>-4.9417549999999998E-2</v>
      </c>
      <c r="S6370">
        <v>-3.1062620000000001</v>
      </c>
      <c r="T6370">
        <v>-0.56303760000000003</v>
      </c>
      <c r="U6370">
        <v>3.8299560000000003E-2</v>
      </c>
      <c r="V6370">
        <v>-4.3767590000000002E-2</v>
      </c>
      <c r="W6370">
        <v>0.14504800000000001</v>
      </c>
      <c r="X6370">
        <v>0.98845609999999995</v>
      </c>
      <c r="Y6370">
        <v>1.7472419999999999E-2</v>
      </c>
      <c r="Z6370">
        <v>2.6012489999999999E-3</v>
      </c>
      <c r="AA6370">
        <v>0.99984399999999996</v>
      </c>
      <c r="AB6370">
        <v>26</v>
      </c>
      <c r="AC6370">
        <v>-0.44499999999999301</v>
      </c>
      <c r="AD6370">
        <v>-0.127673499999999</v>
      </c>
      <c r="AE6370">
        <v>9.5999999999776195E-3</v>
      </c>
      <c r="AF6370">
        <v>1.1142155064175201E-2</v>
      </c>
      <c r="AG6370">
        <v>-0.127673499999999</v>
      </c>
      <c r="AH6370">
        <v>0.41111478829076697</v>
      </c>
      <c r="AI6370">
        <v>107.24645360533501</v>
      </c>
      <c r="AJ6370">
        <v>88.447532809999004</v>
      </c>
      <c r="AK6370">
        <v>0.43062749491072499</v>
      </c>
      <c r="AL6370">
        <v>81.659941168949899</v>
      </c>
      <c r="AM6370">
        <v>92.535328824079897</v>
      </c>
      <c r="AN6370">
        <v>0.99999999293280895</v>
      </c>
    </row>
    <row r="6371" spans="1:40" x14ac:dyDescent="0.25">
      <c r="A6371" t="str">
        <f>"20190303162038849"</f>
        <v>20190303162038849</v>
      </c>
      <c r="B6371" t="str">
        <f>"1551601238838358"</f>
        <v>1551601238838358</v>
      </c>
      <c r="C6371" t="s">
        <v>40</v>
      </c>
      <c r="D6371">
        <v>4.5890899999999997</v>
      </c>
      <c r="E6371">
        <v>0.48771039999999999</v>
      </c>
      <c r="F6371" t="s">
        <v>41</v>
      </c>
      <c r="G6371">
        <v>-251.7225</v>
      </c>
      <c r="H6371" s="1">
        <v>-3.7035179999999999E-6</v>
      </c>
      <c r="I6371">
        <v>140.25579999999999</v>
      </c>
      <c r="J6371">
        <v>-237.63460000000001</v>
      </c>
      <c r="K6371">
        <v>1.120682</v>
      </c>
      <c r="L6371">
        <v>141.20349999999999</v>
      </c>
      <c r="M6371">
        <v>-0.9999266</v>
      </c>
      <c r="N6371">
        <v>-1.1119749999999999E-2</v>
      </c>
      <c r="O6371">
        <v>-4.8460320000000001E-3</v>
      </c>
      <c r="P6371">
        <v>-0.98944650000000001</v>
      </c>
      <c r="Q6371">
        <v>0.13525680000000001</v>
      </c>
      <c r="R6371">
        <v>-5.1978620000000003E-2</v>
      </c>
      <c r="S6371">
        <v>-3.0532680000000001</v>
      </c>
      <c r="T6371">
        <v>-0.2386086</v>
      </c>
      <c r="U6371">
        <v>-0.20188900000000001</v>
      </c>
      <c r="V6371">
        <v>-4.7001279999999999E-2</v>
      </c>
      <c r="W6371">
        <v>0.14631229999999901</v>
      </c>
      <c r="X6371">
        <v>0.98812120000000003</v>
      </c>
      <c r="Y6371">
        <v>-6.094099E-2</v>
      </c>
      <c r="Z6371">
        <v>-2.3908660000000002E-3</v>
      </c>
      <c r="AA6371">
        <v>0.99813850000000004</v>
      </c>
      <c r="AB6371">
        <v>26</v>
      </c>
      <c r="AC6371">
        <v>-14.0878999999999</v>
      </c>
      <c r="AD6371">
        <v>-1.120685703518</v>
      </c>
      <c r="AE6371">
        <v>-0.94769999999999699</v>
      </c>
      <c r="AF6371">
        <v>-0.87390895374001298</v>
      </c>
      <c r="AG6371">
        <v>-1.120685703518</v>
      </c>
      <c r="AH6371">
        <v>14.004106894049499</v>
      </c>
      <c r="AI6371">
        <v>94.566527964909199</v>
      </c>
      <c r="AJ6371">
        <v>93.570841766663307</v>
      </c>
      <c r="AK6371">
        <v>14.0760315147936</v>
      </c>
      <c r="AL6371">
        <v>81.586720678357494</v>
      </c>
      <c r="AM6371">
        <v>92.723296219185599</v>
      </c>
      <c r="AN6371">
        <v>0.99999995767118299</v>
      </c>
    </row>
    <row r="6372" spans="1:40" x14ac:dyDescent="0.25">
      <c r="A6372" t="str">
        <f>"20190303162038871"</f>
        <v>20190303162038871</v>
      </c>
      <c r="B6372" t="str">
        <f>"1551601238858854"</f>
        <v>1551601238858854</v>
      </c>
      <c r="C6372" t="s">
        <v>40</v>
      </c>
      <c r="D6372">
        <v>4.704707</v>
      </c>
      <c r="E6372">
        <v>0.4886335</v>
      </c>
      <c r="F6372" t="s">
        <v>41</v>
      </c>
      <c r="G6372">
        <v>-256.14980000000003</v>
      </c>
      <c r="H6372" s="1">
        <v>-1.6775860000000001E-6</v>
      </c>
      <c r="I6372">
        <v>139.7799</v>
      </c>
      <c r="J6372">
        <v>-237.8956</v>
      </c>
      <c r="K6372">
        <v>1.120679</v>
      </c>
      <c r="L6372">
        <v>141.203</v>
      </c>
      <c r="M6372">
        <v>-0.99993019999999999</v>
      </c>
      <c r="N6372">
        <v>-1.107446E-2</v>
      </c>
      <c r="O6372">
        <v>-4.1445170000000003E-3</v>
      </c>
      <c r="P6372">
        <v>-0.98933179999999998</v>
      </c>
      <c r="Q6372">
        <v>0.1357032</v>
      </c>
      <c r="R6372">
        <v>-5.2984290000000003E-2</v>
      </c>
      <c r="S6372">
        <v>-3.0448909999999998</v>
      </c>
      <c r="T6372">
        <v>-0.1843003</v>
      </c>
      <c r="U6372">
        <v>-0.23410030000000001</v>
      </c>
      <c r="V6372">
        <v>-4.8701099999999997E-2</v>
      </c>
      <c r="W6372">
        <v>0.14671419999999999</v>
      </c>
      <c r="X6372">
        <v>0.9879793</v>
      </c>
      <c r="Y6372">
        <v>-7.2372640000000002E-2</v>
      </c>
      <c r="Z6372">
        <v>-2.3823849999999999E-3</v>
      </c>
      <c r="AA6372">
        <v>0.99737480000000001</v>
      </c>
      <c r="AB6372">
        <v>26</v>
      </c>
      <c r="AC6372">
        <v>-18.254200000000001</v>
      </c>
      <c r="AD6372">
        <v>-1.1206806775860001</v>
      </c>
      <c r="AE6372">
        <v>-1.4231</v>
      </c>
      <c r="AF6372">
        <v>-1.3423992256416899</v>
      </c>
      <c r="AG6372">
        <v>-1.1206806775860001</v>
      </c>
      <c r="AH6372">
        <v>18.191789092246601</v>
      </c>
      <c r="AI6372">
        <v>93.515639925630893</v>
      </c>
      <c r="AJ6372">
        <v>94.220291952118799</v>
      </c>
      <c r="AK6372">
        <v>18.275643661411799</v>
      </c>
      <c r="AL6372">
        <v>81.563442450498002</v>
      </c>
      <c r="AM6372">
        <v>92.822033524761906</v>
      </c>
      <c r="AN6372">
        <v>0.99999997542566899</v>
      </c>
    </row>
    <row r="6373" spans="1:40" x14ac:dyDescent="0.25">
      <c r="A6373" t="str">
        <f>"20190303162038894"</f>
        <v>20190303162038894</v>
      </c>
      <c r="B6373" t="str">
        <f>"1551601238889110"</f>
        <v>1551601238889110</v>
      </c>
      <c r="C6373" t="s">
        <v>40</v>
      </c>
      <c r="D6373">
        <v>4.7430960000000004</v>
      </c>
      <c r="E6373">
        <v>0.4883363</v>
      </c>
      <c r="F6373" t="s">
        <v>41</v>
      </c>
      <c r="G6373">
        <v>-256.32780000000002</v>
      </c>
      <c r="H6373" s="1">
        <v>-1.610772E-6</v>
      </c>
      <c r="I6373">
        <v>139.81569999999999</v>
      </c>
      <c r="J6373">
        <v>-238.1746</v>
      </c>
      <c r="K6373">
        <v>1.120679</v>
      </c>
      <c r="L6373">
        <v>141.20269999999999</v>
      </c>
      <c r="M6373">
        <v>-0.99993350000000003</v>
      </c>
      <c r="N6373">
        <v>-1.102355E-2</v>
      </c>
      <c r="O6373">
        <v>-3.396484E-3</v>
      </c>
      <c r="P6373">
        <v>-0.98919210000000002</v>
      </c>
      <c r="Q6373">
        <v>0.13647999999999999</v>
      </c>
      <c r="R6373">
        <v>-5.3592300000000002E-2</v>
      </c>
      <c r="S6373">
        <v>-3.0454859999999999</v>
      </c>
      <c r="T6373">
        <v>-0.185167</v>
      </c>
      <c r="U6373">
        <v>-0.2292023</v>
      </c>
      <c r="V6373">
        <v>-5.0049059999999999E-2</v>
      </c>
      <c r="W6373">
        <v>0.1474406</v>
      </c>
      <c r="X6373">
        <v>0.98780380000000001</v>
      </c>
      <c r="Y6373">
        <v>-7.1508799999999997E-2</v>
      </c>
      <c r="Z6373">
        <v>-2.3952999999999999E-3</v>
      </c>
      <c r="AA6373">
        <v>0.99743709999999997</v>
      </c>
      <c r="AB6373">
        <v>26</v>
      </c>
      <c r="AC6373">
        <v>-18.153199999999998</v>
      </c>
      <c r="AD6373">
        <v>-1.120680610772</v>
      </c>
      <c r="AE6373">
        <v>-1.387</v>
      </c>
      <c r="AF6373">
        <v>-1.32032842105768</v>
      </c>
      <c r="AG6373">
        <v>-1.120680610772</v>
      </c>
      <c r="AH6373">
        <v>18.089265505008498</v>
      </c>
      <c r="AI6373">
        <v>93.535721158291807</v>
      </c>
      <c r="AJ6373">
        <v>94.174593702566497</v>
      </c>
      <c r="AK6373">
        <v>18.171976190868801</v>
      </c>
      <c r="AL6373">
        <v>81.521365354662294</v>
      </c>
      <c r="AM6373">
        <v>92.900525216330195</v>
      </c>
      <c r="AN6373">
        <v>0.999999993114841</v>
      </c>
    </row>
    <row r="6374" spans="1:40" x14ac:dyDescent="0.25">
      <c r="A6374" t="str">
        <f>"20190303162038916"</f>
        <v>20190303162038916</v>
      </c>
      <c r="B6374" t="str">
        <f>"1551601238908630"</f>
        <v>1551601238908630</v>
      </c>
      <c r="C6374" t="s">
        <v>40</v>
      </c>
      <c r="D6374">
        <v>4.8933839999999904</v>
      </c>
      <c r="E6374">
        <v>0.48847049999999997</v>
      </c>
      <c r="F6374" t="s">
        <v>41</v>
      </c>
      <c r="G6374">
        <v>-255.185</v>
      </c>
      <c r="H6374" s="1">
        <v>-2.12514E-6</v>
      </c>
      <c r="I6374">
        <v>139.90639999999999</v>
      </c>
      <c r="J6374">
        <v>-238.43389999999999</v>
      </c>
      <c r="K6374">
        <v>1.120671</v>
      </c>
      <c r="L6374">
        <v>141.20259999999999</v>
      </c>
      <c r="M6374">
        <v>-0.99993620000000005</v>
      </c>
      <c r="N6374">
        <v>-1.0974630000000001E-2</v>
      </c>
      <c r="O6374">
        <v>-2.7035340000000001E-3</v>
      </c>
      <c r="P6374">
        <v>-0.98911610000000005</v>
      </c>
      <c r="Q6374">
        <v>0.1371009</v>
      </c>
      <c r="R6374">
        <v>-5.3409150000000002E-2</v>
      </c>
      <c r="S6374">
        <v>-3.0479129999999999</v>
      </c>
      <c r="T6374">
        <v>-0.2008028</v>
      </c>
      <c r="U6374">
        <v>-0.2322388</v>
      </c>
      <c r="V6374">
        <v>-5.0550579999999998E-2</v>
      </c>
      <c r="W6374">
        <v>0.14801210000000001</v>
      </c>
      <c r="X6374">
        <v>0.98769280000000004</v>
      </c>
      <c r="Y6374">
        <v>-7.3099689999999995E-2</v>
      </c>
      <c r="Z6374">
        <v>-2.6560630000000002E-3</v>
      </c>
      <c r="AA6374">
        <v>0.99732109999999996</v>
      </c>
      <c r="AB6374">
        <v>26</v>
      </c>
      <c r="AC6374">
        <v>-16.751100000000001</v>
      </c>
      <c r="AD6374">
        <v>-1.1206731251399999</v>
      </c>
      <c r="AE6374">
        <v>-1.29619999999999</v>
      </c>
      <c r="AF6374">
        <v>-1.2453645366457</v>
      </c>
      <c r="AG6374">
        <v>-1.1206731251399999</v>
      </c>
      <c r="AH6374">
        <v>16.6803297525368</v>
      </c>
      <c r="AI6374">
        <v>93.833022134736098</v>
      </c>
      <c r="AJ6374">
        <v>94.269819214094497</v>
      </c>
      <c r="AK6374">
        <v>16.764254881619699</v>
      </c>
      <c r="AL6374">
        <v>81.488257668508098</v>
      </c>
      <c r="AM6374">
        <v>92.929868404090399</v>
      </c>
      <c r="AN6374">
        <v>1.00000000502829</v>
      </c>
    </row>
    <row r="6375" spans="1:40" x14ac:dyDescent="0.25">
      <c r="A6375" t="str">
        <f>"20190303162038937"</f>
        <v>20190303162038937</v>
      </c>
      <c r="B6375" t="str">
        <f>"1551601238929126"</f>
        <v>1551601238929126</v>
      </c>
      <c r="C6375" t="s">
        <v>40</v>
      </c>
      <c r="D6375">
        <v>4.7863870000000004</v>
      </c>
      <c r="E6375">
        <v>0.48878660000000002</v>
      </c>
      <c r="F6375" t="s">
        <v>41</v>
      </c>
      <c r="G6375">
        <v>-255.10140000000001</v>
      </c>
      <c r="H6375" s="1">
        <v>-2.1704750000000002E-6</v>
      </c>
      <c r="I6375">
        <v>139.94200000000001</v>
      </c>
      <c r="J6375">
        <v>-238.6883</v>
      </c>
      <c r="K6375">
        <v>1.120668</v>
      </c>
      <c r="L6375">
        <v>141.20259999999999</v>
      </c>
      <c r="M6375">
        <v>-0.99993840000000001</v>
      </c>
      <c r="N6375">
        <v>-1.092226E-2</v>
      </c>
      <c r="O6375">
        <v>-2.0246370000000001E-3</v>
      </c>
      <c r="P6375">
        <v>-0.98920989999999998</v>
      </c>
      <c r="Q6375">
        <v>0.13729349999999901</v>
      </c>
      <c r="R6375">
        <v>-5.1133770000000002E-2</v>
      </c>
      <c r="S6375">
        <v>-3.0489809999999999</v>
      </c>
      <c r="T6375">
        <v>-0.20500579999999999</v>
      </c>
      <c r="U6375">
        <v>-0.23059080000000001</v>
      </c>
      <c r="V6375">
        <v>-4.8946290000000003E-2</v>
      </c>
      <c r="W6375">
        <v>0.1481517</v>
      </c>
      <c r="X6375">
        <v>0.98775270000000004</v>
      </c>
      <c r="Y6375">
        <v>-7.3206279999999999E-2</v>
      </c>
      <c r="Z6375">
        <v>-2.7420080000000002E-3</v>
      </c>
      <c r="AA6375">
        <v>0.99731300000000001</v>
      </c>
      <c r="AB6375">
        <v>26</v>
      </c>
      <c r="AC6375">
        <v>-16.4131</v>
      </c>
      <c r="AD6375">
        <v>-1.1206701704749999</v>
      </c>
      <c r="AE6375">
        <v>-1.26059999999998</v>
      </c>
      <c r="AF6375">
        <v>-1.2217026627270799</v>
      </c>
      <c r="AG6375">
        <v>-1.1206701704749999</v>
      </c>
      <c r="AH6375">
        <v>16.339888559698299</v>
      </c>
      <c r="AI6375">
        <v>93.912596111167005</v>
      </c>
      <c r="AJ6375">
        <v>94.275941370018003</v>
      </c>
      <c r="AK6375">
        <v>16.423775971757099</v>
      </c>
      <c r="AL6375">
        <v>81.480170234512599</v>
      </c>
      <c r="AM6375">
        <v>92.836867755131706</v>
      </c>
      <c r="AN6375">
        <v>1.0000000309374699</v>
      </c>
    </row>
    <row r="6376" spans="1:40" x14ac:dyDescent="0.25">
      <c r="A6376" t="str">
        <f>"20190303162038962"</f>
        <v>20190303162038962</v>
      </c>
      <c r="B6376" t="str">
        <f>"1551601238948647"</f>
        <v>1551601238948647</v>
      </c>
      <c r="C6376" t="s">
        <v>40</v>
      </c>
      <c r="D6376">
        <v>4.8488829999999998</v>
      </c>
      <c r="E6376">
        <v>0.48905920000000003</v>
      </c>
      <c r="F6376" t="s">
        <v>41</v>
      </c>
      <c r="G6376">
        <v>-255.4006</v>
      </c>
      <c r="H6376" s="1">
        <v>-2.054095E-6</v>
      </c>
      <c r="I6376">
        <v>139.98699999999999</v>
      </c>
      <c r="J6376">
        <v>-238.95920000000001</v>
      </c>
      <c r="K6376">
        <v>1.120655</v>
      </c>
      <c r="L6376">
        <v>141.2029</v>
      </c>
      <c r="M6376">
        <v>-0.99994019999999995</v>
      </c>
      <c r="N6376">
        <v>-1.08634E-2</v>
      </c>
      <c r="O6376">
        <v>-1.3023170000000001E-3</v>
      </c>
      <c r="P6376">
        <v>-0.9893035</v>
      </c>
      <c r="Q6376">
        <v>0.13744799999999999</v>
      </c>
      <c r="R6376">
        <v>-4.8853960000000002E-2</v>
      </c>
      <c r="S6376">
        <v>-3.0496370000000002</v>
      </c>
      <c r="T6376">
        <v>-0.20449829999999999</v>
      </c>
      <c r="U6376">
        <v>-0.22180179999999999</v>
      </c>
      <c r="V6376">
        <v>-4.7380899999999997E-2</v>
      </c>
      <c r="W6376">
        <v>0.14824699999999999</v>
      </c>
      <c r="X6376">
        <v>0.98781470000000005</v>
      </c>
      <c r="Y6376">
        <v>-7.1057339999999997E-2</v>
      </c>
      <c r="Z6376">
        <v>-2.6906170000000002E-3</v>
      </c>
      <c r="AA6376">
        <v>0.99746860000000004</v>
      </c>
      <c r="AB6376">
        <v>26</v>
      </c>
      <c r="AC6376">
        <v>-16.441399999999899</v>
      </c>
      <c r="AD6376">
        <v>-1.120657054095</v>
      </c>
      <c r="AE6376">
        <v>-1.2159</v>
      </c>
      <c r="AF6376">
        <v>-1.1889919260834301</v>
      </c>
      <c r="AG6376">
        <v>-1.120657054095</v>
      </c>
      <c r="AH6376">
        <v>16.367342562196601</v>
      </c>
      <c r="AI6376">
        <v>93.906614355955696</v>
      </c>
      <c r="AJ6376">
        <v>94.154905570158604</v>
      </c>
      <c r="AK6376">
        <v>16.4486922453269</v>
      </c>
      <c r="AL6376">
        <v>81.474648730918204</v>
      </c>
      <c r="AM6376">
        <v>92.746108725127797</v>
      </c>
      <c r="AN6376">
        <v>1.00000000211495</v>
      </c>
    </row>
    <row r="6377" spans="1:40" x14ac:dyDescent="0.25">
      <c r="A6377" t="str">
        <f>"20190303162038984"</f>
        <v>20190303162038984</v>
      </c>
      <c r="B6377" t="str">
        <f>"1551601238969142"</f>
        <v>1551601238969142</v>
      </c>
      <c r="C6377" t="s">
        <v>40</v>
      </c>
      <c r="D6377">
        <v>4.8040520000000004</v>
      </c>
      <c r="E6377">
        <v>0.48941639999999997</v>
      </c>
      <c r="F6377" t="s">
        <v>41</v>
      </c>
      <c r="G6377">
        <v>-255.60239999999999</v>
      </c>
      <c r="H6377" s="1">
        <v>-1.9825270000000002E-6</v>
      </c>
      <c r="I6377">
        <v>140.04339999999999</v>
      </c>
      <c r="J6377">
        <v>-239.22579999999999</v>
      </c>
      <c r="K6377">
        <v>1.120635</v>
      </c>
      <c r="L6377">
        <v>141.20330000000001</v>
      </c>
      <c r="M6377">
        <v>-0.99994150000000004</v>
      </c>
      <c r="N6377">
        <v>-1.080394E-2</v>
      </c>
      <c r="O6377">
        <v>-5.9251110000000003E-4</v>
      </c>
      <c r="P6377">
        <v>-0.98951250000000002</v>
      </c>
      <c r="Q6377">
        <v>0.13689589999999999</v>
      </c>
      <c r="R6377">
        <v>-4.609564E-2</v>
      </c>
      <c r="S6377">
        <v>-3.0504910000000001</v>
      </c>
      <c r="T6377">
        <v>-0.20540310000000001</v>
      </c>
      <c r="U6377">
        <v>-0.21249390000000001</v>
      </c>
      <c r="V6377">
        <v>-4.5324709999999997E-2</v>
      </c>
      <c r="W6377">
        <v>0.14763579999999901</v>
      </c>
      <c r="X6377">
        <v>0.98800270000000001</v>
      </c>
      <c r="Y6377">
        <v>-6.8720470000000006E-2</v>
      </c>
      <c r="Z6377">
        <v>-2.6469800000000002E-3</v>
      </c>
      <c r="AA6377">
        <v>0.99763239999999997</v>
      </c>
      <c r="AB6377">
        <v>26</v>
      </c>
      <c r="AC6377">
        <v>-16.3765999999999</v>
      </c>
      <c r="AD6377">
        <v>-1.1206369825269999</v>
      </c>
      <c r="AE6377">
        <v>-1.1599000000000199</v>
      </c>
      <c r="AF6377">
        <v>-1.14486179870751</v>
      </c>
      <c r="AG6377">
        <v>-1.1206369825269999</v>
      </c>
      <c r="AH6377">
        <v>16.301333610810399</v>
      </c>
      <c r="AI6377">
        <v>93.922984733769894</v>
      </c>
      <c r="AJ6377">
        <v>94.017353442374102</v>
      </c>
      <c r="AK6377">
        <v>16.379866094558999</v>
      </c>
      <c r="AL6377">
        <v>81.510057502118002</v>
      </c>
      <c r="AM6377">
        <v>92.626607327615503</v>
      </c>
      <c r="AN6377">
        <v>0.99999999699275699</v>
      </c>
    </row>
    <row r="6378" spans="1:40" x14ac:dyDescent="0.25">
      <c r="A6378" t="str">
        <f>"20190303162039007"</f>
        <v>20190303162039007</v>
      </c>
      <c r="B6378" t="str">
        <f>"1551601238998422"</f>
        <v>1551601238998422</v>
      </c>
      <c r="C6378" t="s">
        <v>40</v>
      </c>
      <c r="D6378">
        <v>4.8424160000000001</v>
      </c>
      <c r="E6378">
        <v>0.48967929999999998</v>
      </c>
      <c r="F6378" t="s">
        <v>41</v>
      </c>
      <c r="G6378">
        <v>-255.6388</v>
      </c>
      <c r="H6378" s="1">
        <v>-1.9881200000000002E-6</v>
      </c>
      <c r="I6378">
        <v>140.12309999999999</v>
      </c>
      <c r="J6378">
        <v>-239.49510000000001</v>
      </c>
      <c r="K6378">
        <v>1.120625</v>
      </c>
      <c r="L6378">
        <v>141.20400000000001</v>
      </c>
      <c r="M6378">
        <v>-0.9999422</v>
      </c>
      <c r="N6378">
        <v>-1.074494E-2</v>
      </c>
      <c r="O6378">
        <v>1.2515660000000001E-4</v>
      </c>
      <c r="P6378">
        <v>-0.98961869999999996</v>
      </c>
      <c r="Q6378">
        <v>0.13709470000000001</v>
      </c>
      <c r="R6378">
        <v>-4.3125620000000003E-2</v>
      </c>
      <c r="S6378">
        <v>-3.0512700000000001</v>
      </c>
      <c r="T6378">
        <v>-0.20833299999999999</v>
      </c>
      <c r="U6378">
        <v>-0.2008057</v>
      </c>
      <c r="V6378">
        <v>-4.3064699999999997E-2</v>
      </c>
      <c r="W6378">
        <v>0.14777399999999999</v>
      </c>
      <c r="X6378">
        <v>0.98808309999999999</v>
      </c>
      <c r="Y6378">
        <v>-6.561699E-2</v>
      </c>
      <c r="Z6378">
        <v>-2.595642E-3</v>
      </c>
      <c r="AA6378">
        <v>0.99784150000000005</v>
      </c>
      <c r="AB6378">
        <v>26</v>
      </c>
      <c r="AC6378">
        <v>-16.1436999999999</v>
      </c>
      <c r="AD6378">
        <v>-1.1206269881199999</v>
      </c>
      <c r="AE6378">
        <v>-1.08090000000001</v>
      </c>
      <c r="AF6378">
        <v>-1.0777505852417599</v>
      </c>
      <c r="AG6378">
        <v>-1.1206269881199999</v>
      </c>
      <c r="AH6378">
        <v>16.066492959622099</v>
      </c>
      <c r="AI6378">
        <v>93.980962051032506</v>
      </c>
      <c r="AJ6378">
        <v>93.837687998068304</v>
      </c>
      <c r="AK6378">
        <v>16.141547236621399</v>
      </c>
      <c r="AL6378">
        <v>81.502051162016699</v>
      </c>
      <c r="AM6378">
        <v>92.495604856403901</v>
      </c>
      <c r="AN6378">
        <v>0.99999996798384905</v>
      </c>
    </row>
    <row r="6379" spans="1:40" x14ac:dyDescent="0.25">
      <c r="A6379" t="str">
        <f>"20190303162039028"</f>
        <v>20190303162039028</v>
      </c>
      <c r="B6379" t="str">
        <f>"1551601239018918"</f>
        <v>1551601239018918</v>
      </c>
      <c r="C6379" t="s">
        <v>40</v>
      </c>
      <c r="D6379">
        <v>4.8577019999999997</v>
      </c>
      <c r="E6379">
        <v>0.4897512</v>
      </c>
      <c r="F6379" t="s">
        <v>41</v>
      </c>
      <c r="G6379">
        <v>-255.81970000000001</v>
      </c>
      <c r="H6379" s="1">
        <v>-1.9283959999999999E-6</v>
      </c>
      <c r="I6379">
        <v>140.19030000000001</v>
      </c>
      <c r="J6379">
        <v>-239.7499</v>
      </c>
      <c r="K6379">
        <v>1.1206240000000001</v>
      </c>
      <c r="L6379">
        <v>141.20480000000001</v>
      </c>
      <c r="M6379">
        <v>-0.99994249999999996</v>
      </c>
      <c r="N6379">
        <v>-1.069315E-2</v>
      </c>
      <c r="O6379">
        <v>8.0111729999999995E-4</v>
      </c>
      <c r="P6379">
        <v>-0.98958970000000002</v>
      </c>
      <c r="Q6379">
        <v>0.1384107</v>
      </c>
      <c r="R6379">
        <v>-3.9431899999999999E-2</v>
      </c>
      <c r="S6379">
        <v>-3.0522309999999999</v>
      </c>
      <c r="T6379">
        <v>-0.20952489999999999</v>
      </c>
      <c r="U6379">
        <v>-0.18951419999999999</v>
      </c>
      <c r="V6379">
        <v>-4.0038619999999997E-2</v>
      </c>
      <c r="W6379">
        <v>0.14903449999999999</v>
      </c>
      <c r="X6379">
        <v>0.98802109999999999</v>
      </c>
      <c r="Y6379">
        <v>-6.2599550000000004E-2</v>
      </c>
      <c r="Z6379">
        <v>-2.5258419999999999E-3</v>
      </c>
      <c r="AA6379">
        <v>0.99803560000000002</v>
      </c>
      <c r="AB6379">
        <v>26</v>
      </c>
      <c r="AC6379">
        <v>-16.069800000000001</v>
      </c>
      <c r="AD6379">
        <v>-1.1206259283960001</v>
      </c>
      <c r="AE6379">
        <v>-1.01449999999999</v>
      </c>
      <c r="AF6379">
        <v>-1.02242194906662</v>
      </c>
      <c r="AG6379">
        <v>-1.1206259283960001</v>
      </c>
      <c r="AH6379">
        <v>15.991524679542399</v>
      </c>
      <c r="AI6379">
        <v>94.000378607487306</v>
      </c>
      <c r="AJ6379">
        <v>93.658240152879401</v>
      </c>
      <c r="AK6379">
        <v>16.063312569010801</v>
      </c>
      <c r="AL6379">
        <v>81.429021714197901</v>
      </c>
      <c r="AM6379">
        <v>92.320587506252593</v>
      </c>
      <c r="AN6379">
        <v>1.00000003366348</v>
      </c>
    </row>
    <row r="6380" spans="1:40" x14ac:dyDescent="0.25">
      <c r="A6380" t="str">
        <f>"20190303162039052"</f>
        <v>20190303162039052</v>
      </c>
      <c r="B6380" t="str">
        <f>"1551601239038440"</f>
        <v>1551601239038440</v>
      </c>
      <c r="C6380" t="s">
        <v>40</v>
      </c>
      <c r="D6380">
        <v>4.8009930000000001</v>
      </c>
      <c r="E6380">
        <v>0.48981649999999999</v>
      </c>
      <c r="F6380" t="s">
        <v>41</v>
      </c>
      <c r="G6380">
        <v>-256.3177</v>
      </c>
      <c r="H6380" s="1">
        <v>-1.725928E-6</v>
      </c>
      <c r="I6380">
        <v>140.23230000000001</v>
      </c>
      <c r="J6380">
        <v>-240.024</v>
      </c>
      <c r="K6380">
        <v>1.120628</v>
      </c>
      <c r="L6380">
        <v>141.20590000000001</v>
      </c>
      <c r="M6380">
        <v>-0.9999422</v>
      </c>
      <c r="N6380">
        <v>-1.064298E-2</v>
      </c>
      <c r="O6380">
        <v>1.523787E-3</v>
      </c>
      <c r="P6380">
        <v>-0.98967830000000001</v>
      </c>
      <c r="Q6380">
        <v>0.1388723</v>
      </c>
      <c r="R6380">
        <v>-3.5376110000000002E-2</v>
      </c>
      <c r="S6380">
        <v>-3.0533139999999999</v>
      </c>
      <c r="T6380">
        <v>-0.2065227</v>
      </c>
      <c r="U6380">
        <v>-0.1791992</v>
      </c>
      <c r="V6380">
        <v>-3.6698189999999999E-2</v>
      </c>
      <c r="W6380">
        <v>0.14944279999999999</v>
      </c>
      <c r="X6380">
        <v>0.98808910000000005</v>
      </c>
      <c r="Y6380">
        <v>-5.9949870000000002E-2</v>
      </c>
      <c r="Z6380">
        <v>-2.4298229999999998E-3</v>
      </c>
      <c r="AA6380">
        <v>0.99819840000000004</v>
      </c>
      <c r="AB6380">
        <v>26</v>
      </c>
      <c r="AC6380">
        <v>-16.293700000000001</v>
      </c>
      <c r="AD6380">
        <v>-1.120629725928</v>
      </c>
      <c r="AE6380">
        <v>-0.97360000000000402</v>
      </c>
      <c r="AF6380">
        <v>-0.99374445999960903</v>
      </c>
      <c r="AG6380">
        <v>-1.120629725928</v>
      </c>
      <c r="AH6380">
        <v>16.215765576025898</v>
      </c>
      <c r="AI6380">
        <v>93.945898971505102</v>
      </c>
      <c r="AJ6380">
        <v>93.506849318258602</v>
      </c>
      <c r="AK6380">
        <v>16.2847902120672</v>
      </c>
      <c r="AL6380">
        <v>81.4053625074351</v>
      </c>
      <c r="AM6380">
        <v>92.1270201116496</v>
      </c>
      <c r="AN6380">
        <v>0.99999998857996297</v>
      </c>
    </row>
    <row r="6381" spans="1:40" x14ac:dyDescent="0.25">
      <c r="A6381" t="str">
        <f>"20190303162039074"</f>
        <v>20190303162039074</v>
      </c>
      <c r="B6381" t="str">
        <f>"1551601239058934"</f>
        <v>1551601239058934</v>
      </c>
      <c r="C6381" t="s">
        <v>40</v>
      </c>
      <c r="D6381">
        <v>5.0161429999999996</v>
      </c>
      <c r="E6381">
        <v>0.48975800000000003</v>
      </c>
      <c r="F6381" t="s">
        <v>41</v>
      </c>
      <c r="G6381">
        <v>-256.65199999999999</v>
      </c>
      <c r="H6381" s="1">
        <v>-1.5984649999999999E-6</v>
      </c>
      <c r="I6381">
        <v>140.29220000000001</v>
      </c>
      <c r="J6381">
        <v>-240.28960000000001</v>
      </c>
      <c r="K6381">
        <v>1.120627</v>
      </c>
      <c r="L6381">
        <v>141.2071</v>
      </c>
      <c r="M6381">
        <v>-0.99994150000000004</v>
      </c>
      <c r="N6381">
        <v>-1.059938E-2</v>
      </c>
      <c r="O6381">
        <v>2.2162969999999999E-3</v>
      </c>
      <c r="P6381">
        <v>-0.98976450000000005</v>
      </c>
      <c r="Q6381">
        <v>0.13909170000000001</v>
      </c>
      <c r="R6381">
        <v>-3.1941410000000003E-2</v>
      </c>
      <c r="S6381">
        <v>-3.0541839999999998</v>
      </c>
      <c r="T6381">
        <v>-0.2058345</v>
      </c>
      <c r="U6381">
        <v>-0.1678009</v>
      </c>
      <c r="V6381">
        <v>-3.394983E-2</v>
      </c>
      <c r="W6381">
        <v>0.14961629999999901</v>
      </c>
      <c r="X6381">
        <v>0.98816110000000001</v>
      </c>
      <c r="Y6381">
        <v>-5.691889E-2</v>
      </c>
      <c r="Z6381">
        <v>-2.3423089999999999E-3</v>
      </c>
      <c r="AA6381">
        <v>0.99837609999999999</v>
      </c>
      <c r="AB6381">
        <v>26</v>
      </c>
      <c r="AC6381">
        <v>-16.362399999999901</v>
      </c>
      <c r="AD6381">
        <v>-1.120628598465</v>
      </c>
      <c r="AE6381">
        <v>-0.91489999999998795</v>
      </c>
      <c r="AF6381">
        <v>-0.94673679018069201</v>
      </c>
      <c r="AG6381">
        <v>-1.120628598465</v>
      </c>
      <c r="AH6381">
        <v>16.284187285931399</v>
      </c>
      <c r="AI6381">
        <v>93.930100334875902</v>
      </c>
      <c r="AJ6381">
        <v>93.327340124297805</v>
      </c>
      <c r="AK6381">
        <v>16.3501337783172</v>
      </c>
      <c r="AL6381">
        <v>81.395308702548803</v>
      </c>
      <c r="AM6381">
        <v>91.967712722390999</v>
      </c>
      <c r="AN6381">
        <v>0.99999999386796401</v>
      </c>
    </row>
    <row r="6382" spans="1:40" x14ac:dyDescent="0.25">
      <c r="A6382" t="str">
        <f>"20190303162039096"</f>
        <v>20190303162039096</v>
      </c>
      <c r="B6382" t="str">
        <f>"1551601239089190"</f>
        <v>1551601239089190</v>
      </c>
      <c r="C6382" t="s">
        <v>40</v>
      </c>
      <c r="D6382">
        <v>4.7724129999999896</v>
      </c>
      <c r="E6382">
        <v>0.48965449999999999</v>
      </c>
      <c r="F6382" t="s">
        <v>41</v>
      </c>
      <c r="G6382">
        <v>-256.88209999999998</v>
      </c>
      <c r="H6382" s="1">
        <v>-1.51387E-6</v>
      </c>
      <c r="I6382">
        <v>140.34530000000001</v>
      </c>
      <c r="J6382">
        <v>-240.55289999999999</v>
      </c>
      <c r="K6382">
        <v>1.120635</v>
      </c>
      <c r="L6382">
        <v>141.20840000000001</v>
      </c>
      <c r="M6382">
        <v>-0.99994000000000005</v>
      </c>
      <c r="N6382">
        <v>-1.0560770000000001E-2</v>
      </c>
      <c r="O6382">
        <v>2.8856590000000001E-3</v>
      </c>
      <c r="P6382">
        <v>-0.98982230000000004</v>
      </c>
      <c r="Q6382">
        <v>0.13921040000000001</v>
      </c>
      <c r="R6382">
        <v>-2.952873E-2</v>
      </c>
      <c r="S6382">
        <v>-3.0549010000000001</v>
      </c>
      <c r="T6382">
        <v>-0.2063229</v>
      </c>
      <c r="U6382">
        <v>-0.1586456</v>
      </c>
      <c r="V6382">
        <v>-3.2203160000000002E-2</v>
      </c>
      <c r="W6382">
        <v>0.1496941</v>
      </c>
      <c r="X6382">
        <v>0.98820779999999997</v>
      </c>
      <c r="Y6382">
        <v>-5.4595150000000002E-2</v>
      </c>
      <c r="Z6382">
        <v>-2.2932809999999999E-3</v>
      </c>
      <c r="AA6382">
        <v>0.99850589999999995</v>
      </c>
      <c r="AB6382">
        <v>26</v>
      </c>
      <c r="AC6382">
        <v>-16.329199999999901</v>
      </c>
      <c r="AD6382">
        <v>-1.1206365138700001</v>
      </c>
      <c r="AE6382">
        <v>-0.86310000000000198</v>
      </c>
      <c r="AF6382">
        <v>-0.90596454287052497</v>
      </c>
      <c r="AG6382">
        <v>-1.1206365138700001</v>
      </c>
      <c r="AH6382">
        <v>16.250319211289298</v>
      </c>
      <c r="AI6382">
        <v>93.938825360291403</v>
      </c>
      <c r="AJ6382">
        <v>93.190969068331398</v>
      </c>
      <c r="AK6382">
        <v>16.3140881577229</v>
      </c>
      <c r="AL6382">
        <v>81.390800471819304</v>
      </c>
      <c r="AM6382">
        <v>91.866462134612803</v>
      </c>
      <c r="AN6382">
        <v>1.00000001153481</v>
      </c>
    </row>
    <row r="6383" spans="1:40" x14ac:dyDescent="0.25">
      <c r="A6383" t="str">
        <f>"20190303162039118"</f>
        <v>20190303162039118</v>
      </c>
      <c r="B6383" t="str">
        <f>"1551601239108710"</f>
        <v>1551601239108710</v>
      </c>
      <c r="C6383" t="s">
        <v>40</v>
      </c>
      <c r="D6383">
        <v>4.7500070000000001</v>
      </c>
      <c r="E6383">
        <v>0.48980420000000002</v>
      </c>
      <c r="F6383" t="s">
        <v>41</v>
      </c>
      <c r="G6383">
        <v>-257.01830000000001</v>
      </c>
      <c r="H6383" s="1">
        <v>-1.4662700000000001E-6</v>
      </c>
      <c r="I6383">
        <v>140.38589999999999</v>
      </c>
      <c r="J6383">
        <v>-240.8228</v>
      </c>
      <c r="K6383">
        <v>1.1206590000000001</v>
      </c>
      <c r="L6383">
        <v>141.21</v>
      </c>
      <c r="M6383">
        <v>-0.99993849999999995</v>
      </c>
      <c r="N6383">
        <v>-1.052579E-2</v>
      </c>
      <c r="O6383">
        <v>3.5414919999999998E-3</v>
      </c>
      <c r="P6383">
        <v>-0.98977800000000005</v>
      </c>
      <c r="Q6383">
        <v>0.14018989999999901</v>
      </c>
      <c r="R6383">
        <v>-2.620598E-2</v>
      </c>
      <c r="S6383">
        <v>-3.0555270000000001</v>
      </c>
      <c r="T6383">
        <v>-0.20796100000000001</v>
      </c>
      <c r="U6383">
        <v>-0.15261839999999999</v>
      </c>
      <c r="V6383">
        <v>-2.9534999999999999E-2</v>
      </c>
      <c r="W6383">
        <v>0.15063409999999999</v>
      </c>
      <c r="X6383">
        <v>0.98814829999999998</v>
      </c>
      <c r="Y6383">
        <v>-5.3275200000000002E-2</v>
      </c>
      <c r="Z6383">
        <v>-2.294085E-3</v>
      </c>
      <c r="AA6383">
        <v>0.99857720000000005</v>
      </c>
      <c r="AB6383">
        <v>27</v>
      </c>
      <c r="AC6383">
        <v>-16.195499999999999</v>
      </c>
      <c r="AD6383">
        <v>-1.1206604662699999</v>
      </c>
      <c r="AE6383">
        <v>-0.82410000000001504</v>
      </c>
      <c r="AF6383">
        <v>-0.87726468668310897</v>
      </c>
      <c r="AG6383">
        <v>-1.1206604662699999</v>
      </c>
      <c r="AH6383">
        <v>16.115516968549802</v>
      </c>
      <c r="AI6383">
        <v>93.972038121312707</v>
      </c>
      <c r="AJ6383">
        <v>93.115879180023796</v>
      </c>
      <c r="AK6383">
        <v>16.1782372455956</v>
      </c>
      <c r="AL6383">
        <v>81.336324689683806</v>
      </c>
      <c r="AM6383">
        <v>91.712017508277896</v>
      </c>
      <c r="AN6383">
        <v>1.00000000555035</v>
      </c>
    </row>
    <row r="6384" spans="1:40" x14ac:dyDescent="0.25">
      <c r="A6384" t="str">
        <f>"20190303162039139"</f>
        <v>20190303162039139</v>
      </c>
      <c r="B6384" t="str">
        <f>"1551601239129206"</f>
        <v>1551601239129206</v>
      </c>
      <c r="C6384" t="s">
        <v>40</v>
      </c>
      <c r="D6384">
        <v>4.6808829999999997</v>
      </c>
      <c r="E6384">
        <v>0.51487490000000002</v>
      </c>
      <c r="F6384" t="s">
        <v>41</v>
      </c>
      <c r="G6384">
        <v>-257.56549999999999</v>
      </c>
      <c r="H6384" s="1">
        <v>-1.242793E-6</v>
      </c>
      <c r="I6384">
        <v>140.42830000000001</v>
      </c>
      <c r="J6384">
        <v>-241.07339999999999</v>
      </c>
      <c r="K6384">
        <v>1.120682</v>
      </c>
      <c r="L6384">
        <v>141.2115</v>
      </c>
      <c r="M6384">
        <v>-0.99993650000000001</v>
      </c>
      <c r="N6384">
        <v>-1.049741E-2</v>
      </c>
      <c r="O6384">
        <v>4.1088560000000001E-3</v>
      </c>
      <c r="P6384">
        <v>-0.98975170000000001</v>
      </c>
      <c r="Q6384">
        <v>0.14104539999999999</v>
      </c>
      <c r="R6384">
        <v>-2.2309180000000001E-2</v>
      </c>
      <c r="S6384">
        <v>-3.0561980000000002</v>
      </c>
      <c r="T6384">
        <v>-0.20456540000000001</v>
      </c>
      <c r="U6384">
        <v>-0.14266970000000001</v>
      </c>
      <c r="V6384">
        <v>-2.6208720000000001E-2</v>
      </c>
      <c r="W6384">
        <v>0.15145520000000001</v>
      </c>
      <c r="X6384">
        <v>0.98811660000000001</v>
      </c>
      <c r="Y6384">
        <v>-5.0598219999999999E-2</v>
      </c>
      <c r="Z6384">
        <v>-2.1881510000000002E-3</v>
      </c>
      <c r="AA6384">
        <v>0.99871670000000001</v>
      </c>
      <c r="AB6384">
        <v>27</v>
      </c>
      <c r="AC6384">
        <v>-16.492099999999901</v>
      </c>
      <c r="AD6384">
        <v>-1.120683242793</v>
      </c>
      <c r="AE6384">
        <v>-0.78319999999999301</v>
      </c>
      <c r="AF6384">
        <v>-0.84705823055044804</v>
      </c>
      <c r="AG6384">
        <v>-1.120683242793</v>
      </c>
      <c r="AH6384">
        <v>16.413124261747299</v>
      </c>
      <c r="AI6384">
        <v>93.900900709942505</v>
      </c>
      <c r="AJ6384">
        <v>92.954333455070795</v>
      </c>
      <c r="AK6384">
        <v>16.473132264635598</v>
      </c>
      <c r="AL6384">
        <v>81.288733009406798</v>
      </c>
      <c r="AM6384">
        <v>91.519352114198995</v>
      </c>
      <c r="AN6384">
        <v>0.99999999490331903</v>
      </c>
    </row>
    <row r="6385" spans="1:40" x14ac:dyDescent="0.25">
      <c r="A6385" t="str">
        <f>"20190303162039162"</f>
        <v>20190303162039162</v>
      </c>
      <c r="B6385" t="str">
        <f>"1551601239148726"</f>
        <v>1551601239148726</v>
      </c>
      <c r="C6385" t="s">
        <v>40</v>
      </c>
      <c r="D6385">
        <v>4.6392189999999998</v>
      </c>
      <c r="E6385">
        <v>0.51673429999999998</v>
      </c>
      <c r="F6385" t="s">
        <v>41</v>
      </c>
      <c r="G6385">
        <v>-268.81509999999997</v>
      </c>
      <c r="H6385" s="1">
        <v>-1.0733139999999999E-6</v>
      </c>
      <c r="I6385">
        <v>141.80600000000001</v>
      </c>
      <c r="J6385">
        <v>-241.33799999999999</v>
      </c>
      <c r="K6385">
        <v>1.1207210000000001</v>
      </c>
      <c r="L6385">
        <v>141.2133</v>
      </c>
      <c r="M6385">
        <v>-0.9999344</v>
      </c>
      <c r="N6385">
        <v>-1.0471009999999999E-2</v>
      </c>
      <c r="O6385">
        <v>4.6485060000000002E-3</v>
      </c>
      <c r="P6385">
        <v>-0.98979459999999997</v>
      </c>
      <c r="Q6385">
        <v>0.14135300000000001</v>
      </c>
      <c r="R6385">
        <v>-1.806191E-2</v>
      </c>
      <c r="S6385">
        <v>-3.0500790000000002</v>
      </c>
      <c r="T6385">
        <v>-0.1232145</v>
      </c>
      <c r="U6385">
        <v>6.536865E-2</v>
      </c>
      <c r="V6385">
        <v>-2.2510769999999999E-2</v>
      </c>
      <c r="W6385">
        <v>0.15173139999999999</v>
      </c>
      <c r="X6385">
        <v>0.98816539999999997</v>
      </c>
      <c r="Y6385">
        <v>1.6763810000000001E-2</v>
      </c>
      <c r="Z6385">
        <v>2.8722349999999998E-4</v>
      </c>
      <c r="AA6385">
        <v>0.99985950000000001</v>
      </c>
      <c r="AB6385">
        <v>27</v>
      </c>
      <c r="AC6385">
        <v>-27.477099999999901</v>
      </c>
      <c r="AD6385">
        <v>-1.12072207331399</v>
      </c>
      <c r="AE6385">
        <v>0.592700000000007</v>
      </c>
      <c r="AF6385">
        <v>0.46418726018677903</v>
      </c>
      <c r="AG6385">
        <v>-1.12072207331399</v>
      </c>
      <c r="AH6385">
        <v>27.433939997503899</v>
      </c>
      <c r="AI6385">
        <v>92.338992700873106</v>
      </c>
      <c r="AJ6385">
        <v>89.030637477717804</v>
      </c>
      <c r="AK6385">
        <v>27.4607456483755</v>
      </c>
      <c r="AL6385">
        <v>81.272722975198107</v>
      </c>
      <c r="AM6385">
        <v>91.304993148980401</v>
      </c>
      <c r="AN6385">
        <v>1.0000000051345499</v>
      </c>
    </row>
    <row r="6386" spans="1:40" x14ac:dyDescent="0.25">
      <c r="A6386" t="str">
        <f>"20190303162039186"</f>
        <v>20190303162039186</v>
      </c>
      <c r="B6386" t="str">
        <f>"1551601239178982"</f>
        <v>1551601239178982</v>
      </c>
      <c r="C6386" t="s">
        <v>40</v>
      </c>
      <c r="D6386">
        <v>4.5766640000000001</v>
      </c>
      <c r="E6386">
        <v>0.51712389999999997</v>
      </c>
      <c r="F6386" t="s">
        <v>41</v>
      </c>
      <c r="G6386">
        <v>-273.69889999999998</v>
      </c>
      <c r="H6386" s="1">
        <v>-3.3662979999999998E-6</v>
      </c>
      <c r="I6386">
        <v>142.17490000000001</v>
      </c>
      <c r="J6386">
        <v>-241.6233</v>
      </c>
      <c r="K6386">
        <v>1.120781</v>
      </c>
      <c r="L6386">
        <v>141.21520000000001</v>
      </c>
      <c r="M6386">
        <v>-0.99993220000000005</v>
      </c>
      <c r="N6386">
        <v>-1.0446510000000001E-2</v>
      </c>
      <c r="O6386">
        <v>5.140482E-3</v>
      </c>
      <c r="P6386">
        <v>-0.98994119999999997</v>
      </c>
      <c r="Q6386">
        <v>0.14081669999999999</v>
      </c>
      <c r="R6386">
        <v>-1.367609E-2</v>
      </c>
      <c r="S6386">
        <v>-3.0476380000000001</v>
      </c>
      <c r="T6386">
        <v>-0.10554620000000001</v>
      </c>
      <c r="U6386">
        <v>9.0576169999999998E-2</v>
      </c>
      <c r="V6386">
        <v>-1.8635260000000001E-2</v>
      </c>
      <c r="W6386">
        <v>0.15116579999999999</v>
      </c>
      <c r="X6386">
        <v>0.98833269999999995</v>
      </c>
      <c r="Y6386">
        <v>2.455048E-2</v>
      </c>
      <c r="Z6386">
        <v>4.2896219999999998E-4</v>
      </c>
      <c r="AA6386">
        <v>0.99969850000000005</v>
      </c>
      <c r="AB6386">
        <v>27</v>
      </c>
      <c r="AC6386">
        <v>-32.075599999999902</v>
      </c>
      <c r="AD6386">
        <v>-1.1207843662979999</v>
      </c>
      <c r="AE6386">
        <v>0.959699999999997</v>
      </c>
      <c r="AF6386">
        <v>0.79382592579838396</v>
      </c>
      <c r="AG6386">
        <v>-1.1207843662979999</v>
      </c>
      <c r="AH6386">
        <v>32.0410245491464</v>
      </c>
      <c r="AI6386">
        <v>92.002756390279103</v>
      </c>
      <c r="AJ6386">
        <v>88.580770332643596</v>
      </c>
      <c r="AK6386">
        <v>32.070447008970902</v>
      </c>
      <c r="AL6386">
        <v>81.305507142738705</v>
      </c>
      <c r="AM6386">
        <v>91.080198239730905</v>
      </c>
      <c r="AN6386">
        <v>0.99999994894709698</v>
      </c>
    </row>
    <row r="6387" spans="1:40" x14ac:dyDescent="0.25">
      <c r="A6387" t="str">
        <f>"20190303162039208"</f>
        <v>20190303162039208</v>
      </c>
      <c r="B6387" t="str">
        <f>"1551601239198502"</f>
        <v>1551601239198502</v>
      </c>
      <c r="C6387" t="s">
        <v>40</v>
      </c>
      <c r="D6387">
        <v>4.5111359999999996</v>
      </c>
      <c r="E6387">
        <v>0.51657779999999998</v>
      </c>
      <c r="F6387" t="s">
        <v>41</v>
      </c>
      <c r="G6387">
        <v>-275.27999999999997</v>
      </c>
      <c r="H6387" s="1">
        <v>-2.7416920000000001E-6</v>
      </c>
      <c r="I6387">
        <v>142.3767</v>
      </c>
      <c r="J6387">
        <v>-241.8895</v>
      </c>
      <c r="K6387">
        <v>1.1208469999999999</v>
      </c>
      <c r="L6387">
        <v>141.21709999999999</v>
      </c>
      <c r="M6387">
        <v>-0.9999306</v>
      </c>
      <c r="N6387">
        <v>-1.042738E-2</v>
      </c>
      <c r="O6387">
        <v>5.4974119999999897E-3</v>
      </c>
      <c r="P6387">
        <v>-0.99003149999999995</v>
      </c>
      <c r="Q6387">
        <v>0.14052129999999999</v>
      </c>
      <c r="R6387">
        <v>-9.5667649999999996E-3</v>
      </c>
      <c r="S6387">
        <v>-3.0463559999999998</v>
      </c>
      <c r="T6387">
        <v>-0.1014453</v>
      </c>
      <c r="U6387">
        <v>0.10513309999999999</v>
      </c>
      <c r="V6387">
        <v>-1.4904789999999999E-2</v>
      </c>
      <c r="W6387">
        <v>0.1508467</v>
      </c>
      <c r="X6387">
        <v>0.98844480000000001</v>
      </c>
      <c r="Y6387">
        <v>2.8975959999999999E-2</v>
      </c>
      <c r="Z6387">
        <v>5.0769819999999996E-4</v>
      </c>
      <c r="AA6387">
        <v>0.99958000000000002</v>
      </c>
      <c r="AB6387">
        <v>27</v>
      </c>
      <c r="AC6387">
        <v>-33.390499999999903</v>
      </c>
      <c r="AD6387">
        <v>-1.120849741692</v>
      </c>
      <c r="AE6387">
        <v>1.15960000000001</v>
      </c>
      <c r="AF6387">
        <v>0.97491395928567703</v>
      </c>
      <c r="AG6387">
        <v>-1.120849741692</v>
      </c>
      <c r="AH6387">
        <v>33.358826901650602</v>
      </c>
      <c r="AI6387">
        <v>91.923581798074295</v>
      </c>
      <c r="AJ6387">
        <v>88.326003471950997</v>
      </c>
      <c r="AK6387">
        <v>33.391886643700502</v>
      </c>
      <c r="AL6387">
        <v>81.324002771172104</v>
      </c>
      <c r="AM6387">
        <v>90.863899375109696</v>
      </c>
      <c r="AN6387">
        <v>1.0000000011564301</v>
      </c>
    </row>
    <row r="6388" spans="1:40" x14ac:dyDescent="0.25">
      <c r="A6388" t="str">
        <f>"20190303162039229"</f>
        <v>20190303162039229</v>
      </c>
      <c r="B6388" t="str">
        <f>"1551601239218998"</f>
        <v>1551601239218998</v>
      </c>
      <c r="C6388" t="s">
        <v>40</v>
      </c>
      <c r="D6388">
        <v>4.3671170000000004</v>
      </c>
      <c r="E6388">
        <v>0.5161348</v>
      </c>
      <c r="F6388" t="s">
        <v>41</v>
      </c>
      <c r="G6388">
        <v>-275.38479999999998</v>
      </c>
      <c r="H6388" s="1">
        <v>-2.7151399999999999E-6</v>
      </c>
      <c r="I6388">
        <v>142.44579999999999</v>
      </c>
      <c r="J6388">
        <v>-242.13890000000001</v>
      </c>
      <c r="K6388">
        <v>1.120906</v>
      </c>
      <c r="L6388">
        <v>141.21879999999999</v>
      </c>
      <c r="M6388">
        <v>-0.99992910000000002</v>
      </c>
      <c r="N6388">
        <v>-1.0412050000000001E-2</v>
      </c>
      <c r="O6388">
        <v>5.7611850000000003E-3</v>
      </c>
      <c r="P6388">
        <v>-0.99002429999999997</v>
      </c>
      <c r="Q6388">
        <v>0.1408047</v>
      </c>
      <c r="R6388">
        <v>-5.1115630000000004E-3</v>
      </c>
      <c r="S6388">
        <v>-3.045731</v>
      </c>
      <c r="T6388">
        <v>-0.1019192</v>
      </c>
      <c r="U6388">
        <v>0.11174009999999999</v>
      </c>
      <c r="V6388">
        <v>-1.0731579999999999E-2</v>
      </c>
      <c r="W6388">
        <v>0.1511111</v>
      </c>
      <c r="X6388">
        <v>0.98845850000000002</v>
      </c>
      <c r="Y6388">
        <v>3.088345E-2</v>
      </c>
      <c r="Z6388">
        <v>5.4460079999999996E-4</v>
      </c>
      <c r="AA6388">
        <v>0.99952289999999999</v>
      </c>
      <c r="AB6388">
        <v>27</v>
      </c>
      <c r="AC6388">
        <v>-33.245899999999899</v>
      </c>
      <c r="AD6388">
        <v>-1.1209087151399999</v>
      </c>
      <c r="AE6388">
        <v>1.2270000000000001</v>
      </c>
      <c r="AF6388">
        <v>1.0342593595037299</v>
      </c>
      <c r="AG6388">
        <v>-1.1209087151399999</v>
      </c>
      <c r="AH6388">
        <v>33.214712149161699</v>
      </c>
      <c r="AI6388">
        <v>91.931911862479396</v>
      </c>
      <c r="AJ6388">
        <v>88.2164664126974</v>
      </c>
      <c r="AK6388">
        <v>33.249710253204697</v>
      </c>
      <c r="AL6388">
        <v>81.308677816604501</v>
      </c>
      <c r="AM6388">
        <v>90.622029234821298</v>
      </c>
      <c r="AN6388">
        <v>0.99999996878737696</v>
      </c>
    </row>
    <row r="6389" spans="1:40" x14ac:dyDescent="0.25">
      <c r="A6389" t="str">
        <f>"20190303162039252"</f>
        <v>20190303162039252</v>
      </c>
      <c r="B6389" t="str">
        <f>"1551601239238518"</f>
        <v>1551601239238518</v>
      </c>
      <c r="C6389" t="s">
        <v>40</v>
      </c>
      <c r="D6389">
        <v>4.474259</v>
      </c>
      <c r="E6389">
        <v>0.51589309999999999</v>
      </c>
      <c r="F6389" t="s">
        <v>41</v>
      </c>
      <c r="G6389">
        <v>-276.25240000000002</v>
      </c>
      <c r="H6389" s="1">
        <v>-2.3748760000000001E-6</v>
      </c>
      <c r="I6389">
        <v>142.5659</v>
      </c>
      <c r="J6389">
        <v>-242.40649999999999</v>
      </c>
      <c r="K6389">
        <v>1.1209549999999999</v>
      </c>
      <c r="L6389">
        <v>141.22059999999999</v>
      </c>
      <c r="M6389">
        <v>-0.99992809999999999</v>
      </c>
      <c r="N6389">
        <v>-1.0397959999999999E-2</v>
      </c>
      <c r="O6389">
        <v>5.9719019999999899E-3</v>
      </c>
      <c r="P6389">
        <v>-0.99014979999999997</v>
      </c>
      <c r="Q6389">
        <v>0.14000889999999999</v>
      </c>
      <c r="R6389">
        <v>-1.0403789999999999E-3</v>
      </c>
      <c r="S6389">
        <v>-3.0450740000000001</v>
      </c>
      <c r="T6389">
        <v>-0.1000559</v>
      </c>
      <c r="U6389">
        <v>0.1202545</v>
      </c>
      <c r="V6389">
        <v>-6.8905260000000001E-3</v>
      </c>
      <c r="W6389">
        <v>0.1502994</v>
      </c>
      <c r="X6389">
        <v>0.98861650000000001</v>
      </c>
      <c r="Y6389">
        <v>3.3470199999999999E-2</v>
      </c>
      <c r="Z6389">
        <v>5.8964279999999998E-4</v>
      </c>
      <c r="AA6389">
        <v>0.99943950000000004</v>
      </c>
      <c r="AB6389">
        <v>27</v>
      </c>
      <c r="AC6389">
        <v>-33.8459</v>
      </c>
      <c r="AD6389">
        <v>-1.120957374876</v>
      </c>
      <c r="AE6389">
        <v>1.3452999999999999</v>
      </c>
      <c r="AF6389">
        <v>1.1418901205743399</v>
      </c>
      <c r="AG6389">
        <v>-1.120957374876</v>
      </c>
      <c r="AH6389">
        <v>33.816296327987502</v>
      </c>
      <c r="AI6389">
        <v>91.897489659148206</v>
      </c>
      <c r="AJ6389">
        <v>88.066002438383293</v>
      </c>
      <c r="AK6389">
        <v>33.854133511670497</v>
      </c>
      <c r="AL6389">
        <v>81.355722263303704</v>
      </c>
      <c r="AM6389">
        <v>90.399337524347999</v>
      </c>
      <c r="AN6389">
        <v>0.99999998653058297</v>
      </c>
    </row>
    <row r="6390" spans="1:40" x14ac:dyDescent="0.25">
      <c r="A6390" t="str">
        <f>"20190303162039274"</f>
        <v>20190303162039274</v>
      </c>
      <c r="B6390" t="str">
        <f>"1551601239268774"</f>
        <v>1551601239268774</v>
      </c>
      <c r="C6390" t="s">
        <v>40</v>
      </c>
      <c r="D6390">
        <v>4.4706219999999997</v>
      </c>
      <c r="E6390">
        <v>0.51610590000000001</v>
      </c>
      <c r="F6390" t="s">
        <v>41</v>
      </c>
      <c r="G6390">
        <v>-274.96010000000001</v>
      </c>
      <c r="H6390" s="1">
        <v>-2.9383750000000001E-6</v>
      </c>
      <c r="I6390">
        <v>142.6</v>
      </c>
      <c r="J6390">
        <v>-242.68170000000001</v>
      </c>
      <c r="K6390">
        <v>1.120994</v>
      </c>
      <c r="L6390">
        <v>141.2225</v>
      </c>
      <c r="M6390">
        <v>-0.99992740000000002</v>
      </c>
      <c r="N6390">
        <v>-1.038563E-2</v>
      </c>
      <c r="O6390">
        <v>6.1270860000000003E-3</v>
      </c>
      <c r="P6390">
        <v>-0.99032560000000003</v>
      </c>
      <c r="Q6390">
        <v>0.1387562</v>
      </c>
      <c r="R6390">
        <v>1.484759E-3</v>
      </c>
      <c r="S6390">
        <v>-3.0448149999999998</v>
      </c>
      <c r="T6390">
        <v>-0.1048461</v>
      </c>
      <c r="U6390">
        <v>0.12902830000000001</v>
      </c>
      <c r="V6390">
        <v>-4.5352830000000002E-3</v>
      </c>
      <c r="W6390">
        <v>0.14903540000000001</v>
      </c>
      <c r="X6390">
        <v>0.98882139999999996</v>
      </c>
      <c r="Y6390">
        <v>3.6189569999999997E-2</v>
      </c>
      <c r="Z6390">
        <v>6.6348429999999901E-4</v>
      </c>
      <c r="AA6390">
        <v>0.99934469999999997</v>
      </c>
      <c r="AB6390">
        <v>27</v>
      </c>
      <c r="AC6390">
        <v>-32.278399999999998</v>
      </c>
      <c r="AD6390">
        <v>-1.120996938375</v>
      </c>
      <c r="AE6390">
        <v>1.37749999999999</v>
      </c>
      <c r="AF6390">
        <v>1.1782724254691499</v>
      </c>
      <c r="AG6390">
        <v>-1.120996938375</v>
      </c>
      <c r="AH6390">
        <v>32.247411523791499</v>
      </c>
      <c r="AI6390">
        <v>91.989609630714995</v>
      </c>
      <c r="AJ6390">
        <v>87.907428392864105</v>
      </c>
      <c r="AK6390">
        <v>32.288395903624902</v>
      </c>
      <c r="AL6390">
        <v>81.428968758244906</v>
      </c>
      <c r="AM6390">
        <v>90.262788358638403</v>
      </c>
      <c r="AN6390">
        <v>0.99999994017150295</v>
      </c>
    </row>
    <row r="6391" spans="1:40" x14ac:dyDescent="0.25">
      <c r="A6391" t="str">
        <f>"20190303162039296"</f>
        <v>20190303162039296</v>
      </c>
      <c r="B6391" t="str">
        <f>"1551601239288294"</f>
        <v>1551601239288294</v>
      </c>
      <c r="C6391" t="s">
        <v>40</v>
      </c>
      <c r="D6391">
        <v>4.4133740000000001</v>
      </c>
      <c r="E6391">
        <v>0.51643130000000004</v>
      </c>
      <c r="F6391" t="s">
        <v>41</v>
      </c>
      <c r="G6391">
        <v>-273.13220000000001</v>
      </c>
      <c r="H6391" s="1">
        <v>-3.7242159999999999E-6</v>
      </c>
      <c r="I6391">
        <v>142.60650000000001</v>
      </c>
      <c r="J6391">
        <v>-242.93799999999999</v>
      </c>
      <c r="K6391">
        <v>1.1210150000000001</v>
      </c>
      <c r="L6391">
        <v>141.2242</v>
      </c>
      <c r="M6391">
        <v>-0.9999268</v>
      </c>
      <c r="N6391">
        <v>-1.037592E-2</v>
      </c>
      <c r="O6391">
        <v>6.2347130000000002E-3</v>
      </c>
      <c r="P6391">
        <v>-0.99044169999999998</v>
      </c>
      <c r="Q6391">
        <v>0.13791389999999901</v>
      </c>
      <c r="R6391">
        <v>2.2899589999999998E-3</v>
      </c>
      <c r="S6391">
        <v>-3.0447690000000001</v>
      </c>
      <c r="T6391">
        <v>-0.1120893</v>
      </c>
      <c r="U6391">
        <v>0.1383972</v>
      </c>
      <c r="V6391">
        <v>-3.846908E-3</v>
      </c>
      <c r="W6391">
        <v>0.1481847</v>
      </c>
      <c r="X6391">
        <v>0.98895219999999995</v>
      </c>
      <c r="Y6391">
        <v>3.9145939999999997E-2</v>
      </c>
      <c r="Z6391">
        <v>7.5855289999999902E-4</v>
      </c>
      <c r="AA6391">
        <v>0.99923320000000004</v>
      </c>
      <c r="AB6391">
        <v>27</v>
      </c>
      <c r="AC6391">
        <v>-30.194199999999999</v>
      </c>
      <c r="AD6391">
        <v>-1.1210187242159999</v>
      </c>
      <c r="AE6391">
        <v>1.3823000000000101</v>
      </c>
      <c r="AF6391">
        <v>1.1923706986857801</v>
      </c>
      <c r="AG6391">
        <v>-1.1210187242159999</v>
      </c>
      <c r="AH6391">
        <v>30.1607448415965</v>
      </c>
      <c r="AI6391">
        <v>92.126937651526205</v>
      </c>
      <c r="AJ6391">
        <v>87.7360555765284</v>
      </c>
      <c r="AK6391">
        <v>30.205114803010101</v>
      </c>
      <c r="AL6391">
        <v>81.478257924715507</v>
      </c>
      <c r="AM6391">
        <v>90.222872734282603</v>
      </c>
      <c r="AN6391">
        <v>0.999999978950045</v>
      </c>
    </row>
    <row r="6392" spans="1:40" x14ac:dyDescent="0.25">
      <c r="A6392" t="str">
        <f>"20190303162039429"</f>
        <v>20190303162039429</v>
      </c>
      <c r="B6392" t="str">
        <f>"1551601239419078"</f>
        <v>1551601239419078</v>
      </c>
      <c r="C6392" t="s">
        <v>40</v>
      </c>
      <c r="D6392">
        <v>4.0627760000000004</v>
      </c>
      <c r="E6392">
        <v>0.51983829999999998</v>
      </c>
      <c r="F6392" t="s">
        <v>41</v>
      </c>
      <c r="G6392">
        <v>-272.01979999999998</v>
      </c>
      <c r="H6392" s="1">
        <v>-4.1181770000000002E-6</v>
      </c>
      <c r="I6392">
        <v>142.60120000000001</v>
      </c>
      <c r="J6392">
        <v>-244.54599999999999</v>
      </c>
      <c r="K6392">
        <v>1.1209229999999999</v>
      </c>
      <c r="L6392">
        <v>141.23580000000001</v>
      </c>
      <c r="M6392">
        <v>-0.99992139999999996</v>
      </c>
      <c r="N6392">
        <v>-1.0344320000000001E-2</v>
      </c>
      <c r="O6392">
        <v>7.1072790000000002E-3</v>
      </c>
      <c r="P6392">
        <v>-0.99093249999999999</v>
      </c>
      <c r="Q6392">
        <v>0.134211</v>
      </c>
      <c r="R6392">
        <v>6.3537159999999997E-3</v>
      </c>
      <c r="S6392">
        <v>-3.0449519999999999</v>
      </c>
      <c r="T6392">
        <v>-0.11737450000000001</v>
      </c>
      <c r="U6392">
        <v>0.14418029999999901</v>
      </c>
      <c r="V6392">
        <v>-6.3161510000000001E-4</v>
      </c>
      <c r="W6392">
        <v>0.144455</v>
      </c>
      <c r="X6392">
        <v>0.98951120000000004</v>
      </c>
      <c r="Y6392">
        <v>4.0161759999999998E-2</v>
      </c>
      <c r="Z6392">
        <v>7.8105149999999903E-4</v>
      </c>
      <c r="AA6392">
        <v>0.99919290000000005</v>
      </c>
      <c r="AB6392">
        <v>27</v>
      </c>
      <c r="AC6392">
        <v>-27.473799999999901</v>
      </c>
      <c r="AD6392">
        <v>-1.120927118177</v>
      </c>
      <c r="AE6392">
        <v>1.36539999999999</v>
      </c>
      <c r="AF6392">
        <v>1.1681513854318599</v>
      </c>
      <c r="AG6392">
        <v>-1.120927118177</v>
      </c>
      <c r="AH6392">
        <v>27.4372505209179</v>
      </c>
      <c r="AI6392">
        <v>92.3373575392432</v>
      </c>
      <c r="AJ6392">
        <v>87.562082706016398</v>
      </c>
      <c r="AK6392">
        <v>27.484973556675701</v>
      </c>
      <c r="AL6392">
        <v>81.694279527643403</v>
      </c>
      <c r="AM6392">
        <v>90.036572475977806</v>
      </c>
      <c r="AN6392">
        <v>1.00000003044403</v>
      </c>
    </row>
    <row r="6393" spans="1:40" x14ac:dyDescent="0.25">
      <c r="A6393" t="str">
        <f>"20190303162039452"</f>
        <v>20190303162039452</v>
      </c>
      <c r="B6393" t="str">
        <f>"1551601239449334"</f>
        <v>1551601239449334</v>
      </c>
      <c r="C6393" t="s">
        <v>40</v>
      </c>
      <c r="D6393">
        <v>7.3132210000000004</v>
      </c>
      <c r="E6393">
        <v>0.52744559999999996</v>
      </c>
      <c r="F6393" t="s">
        <v>42</v>
      </c>
      <c r="G6393">
        <v>-245.38249999999999</v>
      </c>
      <c r="H6393">
        <v>0.87401240000000002</v>
      </c>
      <c r="I6393">
        <v>141.2841</v>
      </c>
      <c r="J6393">
        <v>-244.8185</v>
      </c>
      <c r="K6393">
        <v>1.1208880000000001</v>
      </c>
      <c r="L6393">
        <v>141.238</v>
      </c>
      <c r="M6393">
        <v>-0.99991940000000001</v>
      </c>
      <c r="N6393">
        <v>-1.03424E-2</v>
      </c>
      <c r="O6393">
        <v>7.3684659999999997E-3</v>
      </c>
      <c r="P6393">
        <v>-0.99108390000000002</v>
      </c>
      <c r="Q6393">
        <v>0.1329661</v>
      </c>
      <c r="R6393">
        <v>8.5306280000000002E-3</v>
      </c>
      <c r="S6393">
        <v>-3.1523439999999998</v>
      </c>
      <c r="T6393">
        <v>-0.93058669999999999</v>
      </c>
      <c r="U6393">
        <v>0.1812897</v>
      </c>
      <c r="V6393">
        <v>1.2936950000000001E-3</v>
      </c>
      <c r="W6393">
        <v>0.14320920000000001</v>
      </c>
      <c r="X6393">
        <v>0.9896916</v>
      </c>
      <c r="Y6393">
        <v>4.8222500000000001E-2</v>
      </c>
      <c r="Z6393">
        <v>5.1652770000000002E-3</v>
      </c>
      <c r="AA6393">
        <v>0.99882329999999997</v>
      </c>
      <c r="AB6393">
        <v>27</v>
      </c>
      <c r="AC6393">
        <v>-0.56399999999999295</v>
      </c>
      <c r="AD6393">
        <v>-0.246875599999999</v>
      </c>
      <c r="AE6393">
        <v>4.6099999999995499E-2</v>
      </c>
      <c r="AF6393">
        <v>3.5236217616279701E-2</v>
      </c>
      <c r="AG6393">
        <v>-0.246875599999999</v>
      </c>
      <c r="AH6393">
        <v>0.47409088269024302</v>
      </c>
      <c r="AI6393">
        <v>117.44296102996501</v>
      </c>
      <c r="AJ6393">
        <v>85.749377505037302</v>
      </c>
      <c r="AK6393">
        <v>0.53567837174677402</v>
      </c>
      <c r="AL6393">
        <v>81.766408399266297</v>
      </c>
      <c r="AM6393">
        <v>89.925104728322097</v>
      </c>
      <c r="AN6393">
        <v>1.0000000058609699</v>
      </c>
    </row>
    <row r="6394" spans="1:40" x14ac:dyDescent="0.25">
      <c r="A6394" t="str">
        <f>"20190303162039465"</f>
        <v>20190303162039465</v>
      </c>
      <c r="B6394" t="str">
        <f>"1551601239459095"</f>
        <v>1551601239459095</v>
      </c>
      <c r="C6394" t="s">
        <v>40</v>
      </c>
      <c r="D6394">
        <v>4.4804329999999997</v>
      </c>
      <c r="E6394">
        <v>0.52825429999999995</v>
      </c>
      <c r="F6394" t="s">
        <v>42</v>
      </c>
      <c r="G6394">
        <v>-245.64150000000001</v>
      </c>
      <c r="H6394">
        <v>0.91556939999999998</v>
      </c>
      <c r="I6394">
        <v>141.30350000000001</v>
      </c>
      <c r="J6394">
        <v>-244.98500000000001</v>
      </c>
      <c r="K6394">
        <v>1.1208689999999999</v>
      </c>
      <c r="L6394">
        <v>141.23939999999999</v>
      </c>
      <c r="M6394">
        <v>-0.99991810000000003</v>
      </c>
      <c r="N6394">
        <v>-1.034148E-2</v>
      </c>
      <c r="O6394">
        <v>7.5431140000000001E-3</v>
      </c>
      <c r="P6394">
        <v>-0.99116669999999996</v>
      </c>
      <c r="Q6394">
        <v>0.1322836</v>
      </c>
      <c r="R6394">
        <v>9.4826919999999992E-3</v>
      </c>
      <c r="S6394">
        <v>-3.129578</v>
      </c>
      <c r="T6394">
        <v>-0.78070969999999995</v>
      </c>
      <c r="U6394">
        <v>0.24821470000000001</v>
      </c>
      <c r="V6394">
        <v>2.0770290000000002E-3</v>
      </c>
      <c r="W6394">
        <v>0.14252629999999999</v>
      </c>
      <c r="X6394">
        <v>0.98978880000000002</v>
      </c>
      <c r="Y6394">
        <v>6.9544369999999994E-2</v>
      </c>
      <c r="Z6394">
        <v>7.1227900000000004E-3</v>
      </c>
      <c r="AA6394">
        <v>0.99755340000000003</v>
      </c>
      <c r="AB6394">
        <v>27</v>
      </c>
      <c r="AC6394">
        <v>-0.65649999999999398</v>
      </c>
      <c r="AD6394">
        <v>-0.2052996</v>
      </c>
      <c r="AE6394">
        <v>6.4100000000024596E-2</v>
      </c>
      <c r="AF6394">
        <v>5.3922430231611702E-2</v>
      </c>
      <c r="AG6394">
        <v>-0.2052996</v>
      </c>
      <c r="AH6394">
        <v>0.59894544692520801</v>
      </c>
      <c r="AI6394">
        <v>108.849274979009</v>
      </c>
      <c r="AJ6394">
        <v>84.855590010152895</v>
      </c>
      <c r="AK6394">
        <v>0.63544567244940797</v>
      </c>
      <c r="AL6394">
        <v>81.805940881922595</v>
      </c>
      <c r="AM6394">
        <v>89.879767460546702</v>
      </c>
      <c r="AN6394">
        <v>0.99999996442329697</v>
      </c>
    </row>
    <row r="6395" spans="1:40" x14ac:dyDescent="0.25">
      <c r="A6395" t="str">
        <f>"20190303162039486"</f>
        <v>20190303162039486</v>
      </c>
      <c r="B6395" t="str">
        <f>"1551601239478615"</f>
        <v>1551601239478615</v>
      </c>
      <c r="C6395" t="s">
        <v>40</v>
      </c>
      <c r="D6395">
        <v>4.4780559999999996</v>
      </c>
      <c r="E6395">
        <v>0.52964259999999996</v>
      </c>
      <c r="F6395" t="s">
        <v>42</v>
      </c>
      <c r="G6395">
        <v>-245.8827</v>
      </c>
      <c r="H6395">
        <v>0.91406770000000004</v>
      </c>
      <c r="I6395">
        <v>141.31379999999999</v>
      </c>
      <c r="J6395">
        <v>-245.23050000000001</v>
      </c>
      <c r="K6395">
        <v>1.1208469999999999</v>
      </c>
      <c r="L6395">
        <v>141.24160000000001</v>
      </c>
      <c r="M6395">
        <v>-0.99991600000000003</v>
      </c>
      <c r="N6395">
        <v>-1.034063E-2</v>
      </c>
      <c r="O6395">
        <v>7.8303969999999994E-3</v>
      </c>
      <c r="P6395">
        <v>-0.99129469999999997</v>
      </c>
      <c r="Q6395">
        <v>0.13123609999999999</v>
      </c>
      <c r="R6395">
        <v>1.058448E-2</v>
      </c>
      <c r="S6395">
        <v>-3.1202239999999999</v>
      </c>
      <c r="T6395">
        <v>-0.71886799999999995</v>
      </c>
      <c r="U6395">
        <v>0.2579651</v>
      </c>
      <c r="V6395">
        <v>2.9006930000000002E-3</v>
      </c>
      <c r="W6395">
        <v>0.14147889999999999</v>
      </c>
      <c r="X6395">
        <v>0.98993699999999996</v>
      </c>
      <c r="Y6395">
        <v>7.2791649999999999E-2</v>
      </c>
      <c r="Z6395">
        <v>6.9475259999999999E-3</v>
      </c>
      <c r="AA6395">
        <v>0.99732299999999996</v>
      </c>
      <c r="AB6395">
        <v>27</v>
      </c>
      <c r="AC6395">
        <v>-0.65219999999999301</v>
      </c>
      <c r="AD6395">
        <v>-0.206779299999999</v>
      </c>
      <c r="AE6395">
        <v>7.2199999999980904E-2</v>
      </c>
      <c r="AF6395">
        <v>6.1030057745457202E-2</v>
      </c>
      <c r="AG6395">
        <v>-0.206779299999999</v>
      </c>
      <c r="AH6395">
        <v>0.59378110952435004</v>
      </c>
      <c r="AI6395">
        <v>109.10693651836699</v>
      </c>
      <c r="AJ6395">
        <v>84.131627488858001</v>
      </c>
      <c r="AK6395">
        <v>0.63171065598489995</v>
      </c>
      <c r="AL6395">
        <v>81.866566968681298</v>
      </c>
      <c r="AM6395">
        <v>89.832113567922804</v>
      </c>
      <c r="AN6395">
        <v>0.99999997856704403</v>
      </c>
    </row>
    <row r="6396" spans="1:40" x14ac:dyDescent="0.25">
      <c r="A6396" t="str">
        <f>"20190303162039499"</f>
        <v>20190303162039499</v>
      </c>
      <c r="B6396" t="str">
        <f>"1551601239489351"</f>
        <v>1551601239489351</v>
      </c>
      <c r="C6396" t="s">
        <v>40</v>
      </c>
      <c r="D6396">
        <v>4.5886209999999998</v>
      </c>
      <c r="E6396">
        <v>0.53024759999999904</v>
      </c>
      <c r="F6396" t="s">
        <v>42</v>
      </c>
      <c r="G6396">
        <v>-246.137</v>
      </c>
      <c r="H6396">
        <v>0.93901400000000002</v>
      </c>
      <c r="I6396">
        <v>141.32140000000001</v>
      </c>
      <c r="J6396">
        <v>-245.39420000000001</v>
      </c>
      <c r="K6396">
        <v>1.1208290000000001</v>
      </c>
      <c r="L6396">
        <v>141.2431</v>
      </c>
      <c r="M6396">
        <v>-0.99991430000000003</v>
      </c>
      <c r="N6396">
        <v>-1.034035E-2</v>
      </c>
      <c r="O6396">
        <v>8.0409990000000001E-3</v>
      </c>
      <c r="P6396">
        <v>-0.99124140000000005</v>
      </c>
      <c r="Q6396">
        <v>0.13159650000000001</v>
      </c>
      <c r="R6396">
        <v>1.1083809999999999E-2</v>
      </c>
      <c r="S6396">
        <v>-3.1059109999999999</v>
      </c>
      <c r="T6396">
        <v>-0.6230021</v>
      </c>
      <c r="U6396">
        <v>0.27250669999999999</v>
      </c>
      <c r="V6396">
        <v>3.1977500000000001E-3</v>
      </c>
      <c r="W6396">
        <v>0.14183760000000001</v>
      </c>
      <c r="X6396">
        <v>0.98988480000000001</v>
      </c>
      <c r="Y6396">
        <v>7.7910450000000006E-2</v>
      </c>
      <c r="Z6396">
        <v>6.6185030000000004E-3</v>
      </c>
      <c r="AA6396">
        <v>0.9969384</v>
      </c>
      <c r="AB6396">
        <v>27</v>
      </c>
      <c r="AC6396">
        <v>-0.74279999999998803</v>
      </c>
      <c r="AD6396">
        <v>-0.181815</v>
      </c>
      <c r="AE6396">
        <v>7.8300000000012901E-2</v>
      </c>
      <c r="AF6396">
        <v>6.8278530363872894E-2</v>
      </c>
      <c r="AG6396">
        <v>-0.181815</v>
      </c>
      <c r="AH6396">
        <v>0.70182009135935197</v>
      </c>
      <c r="AI6396">
        <v>104.458488193024</v>
      </c>
      <c r="AJ6396">
        <v>84.443307030565293</v>
      </c>
      <c r="AK6396">
        <v>0.728196465639115</v>
      </c>
      <c r="AL6396">
        <v>81.845805978147595</v>
      </c>
      <c r="AM6396">
        <v>89.814910844564693</v>
      </c>
      <c r="AN6396">
        <v>1.00000002382493</v>
      </c>
    </row>
    <row r="6397" spans="1:40" x14ac:dyDescent="0.25">
      <c r="A6397" t="str">
        <f>"20190303162039520"</f>
        <v>20190303162039520</v>
      </c>
      <c r="B6397" t="str">
        <f>"1551601239508870"</f>
        <v>1551601239508870</v>
      </c>
      <c r="C6397" t="s">
        <v>40</v>
      </c>
      <c r="D6397">
        <v>4.5429550000000001</v>
      </c>
      <c r="E6397">
        <v>0.53096189999999999</v>
      </c>
      <c r="F6397" t="s">
        <v>42</v>
      </c>
      <c r="G6397">
        <v>-246.1566</v>
      </c>
      <c r="H6397">
        <v>0.97861549999999997</v>
      </c>
      <c r="I6397">
        <v>141.31200000000001</v>
      </c>
      <c r="J6397">
        <v>-245.63990000000001</v>
      </c>
      <c r="K6397">
        <v>1.120803</v>
      </c>
      <c r="L6397">
        <v>141.24539999999999</v>
      </c>
      <c r="M6397">
        <v>-0.99991149999999995</v>
      </c>
      <c r="N6397">
        <v>-1.0340200000000001E-2</v>
      </c>
      <c r="O6397">
        <v>8.3764489999999994E-3</v>
      </c>
      <c r="P6397">
        <v>-0.99119639999999998</v>
      </c>
      <c r="Q6397">
        <v>0.1319814</v>
      </c>
      <c r="R6397">
        <v>1.0523309999999999E-2</v>
      </c>
      <c r="S6397">
        <v>-3.100174</v>
      </c>
      <c r="T6397">
        <v>-0.57832280000000003</v>
      </c>
      <c r="U6397">
        <v>0.27911380000000002</v>
      </c>
      <c r="V6397">
        <v>2.3141469999999999E-3</v>
      </c>
      <c r="W6397">
        <v>0.14222279999999901</v>
      </c>
      <c r="X6397">
        <v>0.98983200000000005</v>
      </c>
      <c r="Y6397">
        <v>8.0003959999999999E-2</v>
      </c>
      <c r="Z6397">
        <v>6.3417319999999897E-3</v>
      </c>
      <c r="AA6397">
        <v>0.99677439999999995</v>
      </c>
      <c r="AB6397">
        <v>27</v>
      </c>
      <c r="AC6397">
        <v>-0.51669999999998595</v>
      </c>
      <c r="AD6397">
        <v>-0.142187499999999</v>
      </c>
      <c r="AE6397">
        <v>6.6600000000022405E-2</v>
      </c>
      <c r="AF6397">
        <v>5.7952518279735799E-2</v>
      </c>
      <c r="AG6397">
        <v>-0.142187499999999</v>
      </c>
      <c r="AH6397">
        <v>0.48138227530716299</v>
      </c>
      <c r="AI6397">
        <v>106.344086121581</v>
      </c>
      <c r="AJ6397">
        <v>83.135327789173303</v>
      </c>
      <c r="AK6397">
        <v>0.50527682958069098</v>
      </c>
      <c r="AL6397">
        <v>81.823509696107607</v>
      </c>
      <c r="AM6397">
        <v>89.866047354804493</v>
      </c>
      <c r="AN6397">
        <v>1.0000000341700801</v>
      </c>
    </row>
    <row r="6398" spans="1:40" x14ac:dyDescent="0.25">
      <c r="A6398" t="str">
        <f>"20190303162039542"</f>
        <v>20190303162039542</v>
      </c>
      <c r="B6398" t="str">
        <f>"1551601239539126"</f>
        <v>1551601239539126</v>
      </c>
      <c r="C6398" t="s">
        <v>40</v>
      </c>
      <c r="D6398">
        <v>4.5877879999999998</v>
      </c>
      <c r="E6398">
        <v>0.53193349999999995</v>
      </c>
      <c r="F6398" t="s">
        <v>42</v>
      </c>
      <c r="G6398">
        <v>-246.40090000000001</v>
      </c>
      <c r="H6398">
        <v>0.98205589999999998</v>
      </c>
      <c r="I6398">
        <v>141.31540000000001</v>
      </c>
      <c r="J6398">
        <v>-245.9084</v>
      </c>
      <c r="K6398">
        <v>1.120776</v>
      </c>
      <c r="L6398">
        <v>141.24799999999999</v>
      </c>
      <c r="M6398">
        <v>-0.99990809999999997</v>
      </c>
      <c r="N6398">
        <v>-1.0340419999999999E-2</v>
      </c>
      <c r="O6398">
        <v>8.7722300000000007E-3</v>
      </c>
      <c r="P6398">
        <v>-0.99125810000000003</v>
      </c>
      <c r="Q6398">
        <v>0.13166340000000001</v>
      </c>
      <c r="R6398">
        <v>8.5013229999999999E-3</v>
      </c>
      <c r="S6398">
        <v>-3.098862</v>
      </c>
      <c r="T6398">
        <v>-0.56498839999999995</v>
      </c>
      <c r="U6398">
        <v>0.28440860000000001</v>
      </c>
      <c r="V6398" s="1">
        <v>-9.1507859999999996E-5</v>
      </c>
      <c r="W6398">
        <v>0.14190710000000001</v>
      </c>
      <c r="X6398">
        <v>0.98987999999999998</v>
      </c>
      <c r="Y6398">
        <v>8.1375080000000002E-2</v>
      </c>
      <c r="Z6398">
        <v>6.2747009999999997E-3</v>
      </c>
      <c r="AA6398">
        <v>0.99666379999999999</v>
      </c>
      <c r="AB6398">
        <v>27</v>
      </c>
      <c r="AC6398">
        <v>-0.49250000000000599</v>
      </c>
      <c r="AD6398">
        <v>-0.13872009999999901</v>
      </c>
      <c r="AE6398">
        <v>6.7400000000020499E-2</v>
      </c>
      <c r="AF6398">
        <v>5.8519541036948598E-2</v>
      </c>
      <c r="AG6398">
        <v>-0.13872009999999901</v>
      </c>
      <c r="AH6398">
        <v>0.45744778443404099</v>
      </c>
      <c r="AI6398">
        <v>106.741110786099</v>
      </c>
      <c r="AJ6398">
        <v>82.709965934585895</v>
      </c>
      <c r="AK6398">
        <v>0.48158724890802301</v>
      </c>
      <c r="AL6398">
        <v>81.841783231960406</v>
      </c>
      <c r="AM6398">
        <v>90.005296615908307</v>
      </c>
      <c r="AN6398">
        <v>1.0000000239020399</v>
      </c>
    </row>
    <row r="6399" spans="1:40" x14ac:dyDescent="0.25">
      <c r="A6399" t="str">
        <f>"20190303162039555"</f>
        <v>20190303162039555</v>
      </c>
      <c r="B6399" t="str">
        <f>"1551601239549863"</f>
        <v>1551601239549863</v>
      </c>
      <c r="C6399" t="s">
        <v>40</v>
      </c>
      <c r="D6399">
        <v>4.588908</v>
      </c>
      <c r="E6399">
        <v>0.53235379999999999</v>
      </c>
      <c r="F6399" t="s">
        <v>42</v>
      </c>
      <c r="G6399">
        <v>-246.642</v>
      </c>
      <c r="H6399">
        <v>0.97814440000000002</v>
      </c>
      <c r="I6399">
        <v>141.31630000000001</v>
      </c>
      <c r="J6399">
        <v>-246.07509999999999</v>
      </c>
      <c r="K6399">
        <v>1.1207609999999999</v>
      </c>
      <c r="L6399">
        <v>141.24969999999999</v>
      </c>
      <c r="M6399">
        <v>-0.99990570000000001</v>
      </c>
      <c r="N6399">
        <v>-1.0340759999999999E-2</v>
      </c>
      <c r="O6399">
        <v>9.0331639999999998E-3</v>
      </c>
      <c r="P6399">
        <v>-0.99134140000000004</v>
      </c>
      <c r="Q6399">
        <v>0.13111900000000001</v>
      </c>
      <c r="R6399">
        <v>7.0849320000000004E-3</v>
      </c>
      <c r="S6399">
        <v>-3.1041560000000001</v>
      </c>
      <c r="T6399">
        <v>-0.60356469999999995</v>
      </c>
      <c r="U6399">
        <v>0.2876282</v>
      </c>
      <c r="V6399">
        <v>-1.762928E-3</v>
      </c>
      <c r="W6399">
        <v>0.14136470000000001</v>
      </c>
      <c r="X6399">
        <v>0.98995599999999995</v>
      </c>
      <c r="Y6399">
        <v>8.1813479999999994E-2</v>
      </c>
      <c r="Z6399">
        <v>6.6477990000000002E-3</v>
      </c>
      <c r="AA6399">
        <v>0.99662550000000005</v>
      </c>
      <c r="AB6399">
        <v>27</v>
      </c>
      <c r="AC6399">
        <v>-0.56690000000000396</v>
      </c>
      <c r="AD6399">
        <v>-0.14261660000000001</v>
      </c>
      <c r="AE6399">
        <v>6.6600000000022405E-2</v>
      </c>
      <c r="AF6399">
        <v>5.7863828258258899E-2</v>
      </c>
      <c r="AG6399">
        <v>-0.14261660000000001</v>
      </c>
      <c r="AH6399">
        <v>0.53413399388188798</v>
      </c>
      <c r="AI6399">
        <v>104.86643227738401</v>
      </c>
      <c r="AJ6399">
        <v>83.817142751766696</v>
      </c>
      <c r="AK6399">
        <v>0.55586584769751601</v>
      </c>
      <c r="AL6399">
        <v>81.873176622683303</v>
      </c>
      <c r="AM6399">
        <v>90.102033047135095</v>
      </c>
      <c r="AN6399">
        <v>0.99999998412861102</v>
      </c>
    </row>
    <row r="6400" spans="1:40" x14ac:dyDescent="0.25">
      <c r="A6400" t="str">
        <f>"20190303162039577"</f>
        <v>20190303162039577</v>
      </c>
      <c r="B6400" t="str">
        <f>"1551601239569383"</f>
        <v>1551601239569383</v>
      </c>
      <c r="C6400" t="s">
        <v>40</v>
      </c>
      <c r="D6400">
        <v>4.606757</v>
      </c>
      <c r="E6400">
        <v>0.53296769999999904</v>
      </c>
      <c r="F6400" t="s">
        <v>42</v>
      </c>
      <c r="G6400">
        <v>-246.8759</v>
      </c>
      <c r="H6400">
        <v>0.95934160000000002</v>
      </c>
      <c r="I6400">
        <v>141.32380000000001</v>
      </c>
      <c r="J6400">
        <v>-246.3321</v>
      </c>
      <c r="K6400">
        <v>1.1207389999999999</v>
      </c>
      <c r="L6400">
        <v>141.2525</v>
      </c>
      <c r="M6400">
        <v>-0.99990179999999995</v>
      </c>
      <c r="N6400">
        <v>-1.034147E-2</v>
      </c>
      <c r="O6400">
        <v>9.4503669999999994E-3</v>
      </c>
      <c r="P6400">
        <v>-0.99134250000000002</v>
      </c>
      <c r="Q6400">
        <v>0.13124420000000001</v>
      </c>
      <c r="R6400">
        <v>3.8762779999999999E-3</v>
      </c>
      <c r="S6400">
        <v>-3.1069640000000001</v>
      </c>
      <c r="T6400">
        <v>-0.62633509999999903</v>
      </c>
      <c r="U6400">
        <v>0.2869873</v>
      </c>
      <c r="V6400">
        <v>-5.3782209999999999E-3</v>
      </c>
      <c r="W6400">
        <v>0.14149349999999999</v>
      </c>
      <c r="X6400">
        <v>0.98992460000000004</v>
      </c>
      <c r="Y6400">
        <v>8.1030950000000004E-2</v>
      </c>
      <c r="Z6400">
        <v>6.7083849999999999E-3</v>
      </c>
      <c r="AA6400">
        <v>0.99668900000000005</v>
      </c>
      <c r="AB6400">
        <v>27</v>
      </c>
      <c r="AC6400">
        <v>-0.54380000000000395</v>
      </c>
      <c r="AD6400">
        <v>-0.1613974</v>
      </c>
      <c r="AE6400">
        <v>7.1300000000007899E-2</v>
      </c>
      <c r="AF6400">
        <v>6.0884870728524498E-2</v>
      </c>
      <c r="AG6400">
        <v>-0.1613974</v>
      </c>
      <c r="AH6400">
        <v>0.50105846993813496</v>
      </c>
      <c r="AI6400">
        <v>107.732242594553</v>
      </c>
      <c r="AJ6400">
        <v>83.071811871001998</v>
      </c>
      <c r="AK6400">
        <v>0.52992044545114003</v>
      </c>
      <c r="AL6400">
        <v>81.865722327745203</v>
      </c>
      <c r="AM6400">
        <v>90.311282629762701</v>
      </c>
      <c r="AN6400">
        <v>1.00000002474426</v>
      </c>
    </row>
    <row r="6401" spans="1:40" x14ac:dyDescent="0.25">
      <c r="A6401" t="str">
        <f>"20190303162039598"</f>
        <v>20190303162039598</v>
      </c>
      <c r="B6401" t="str">
        <f>"1551601239588902"</f>
        <v>1551601239588902</v>
      </c>
      <c r="C6401" t="s">
        <v>40</v>
      </c>
      <c r="D6401">
        <v>4.6069100000000001</v>
      </c>
      <c r="E6401">
        <v>0.53354539999999995</v>
      </c>
      <c r="F6401" t="s">
        <v>42</v>
      </c>
      <c r="G6401">
        <v>-247.11660000000001</v>
      </c>
      <c r="H6401">
        <v>0.95373070000000004</v>
      </c>
      <c r="I6401">
        <v>141.3237</v>
      </c>
      <c r="J6401">
        <v>-246.5951</v>
      </c>
      <c r="K6401">
        <v>1.1207229999999999</v>
      </c>
      <c r="L6401">
        <v>141.25540000000001</v>
      </c>
      <c r="M6401">
        <v>-0.99989760000000005</v>
      </c>
      <c r="N6401">
        <v>-1.034245E-2</v>
      </c>
      <c r="O6401">
        <v>9.8919400000000001E-3</v>
      </c>
      <c r="P6401">
        <v>-0.99117739999999999</v>
      </c>
      <c r="Q6401">
        <v>0.1325276</v>
      </c>
      <c r="R6401">
        <v>1.9874960000000001E-3</v>
      </c>
      <c r="S6401">
        <v>-3.1128230000000001</v>
      </c>
      <c r="T6401">
        <v>-0.66267730000000002</v>
      </c>
      <c r="U6401">
        <v>0.28169250000000001</v>
      </c>
      <c r="V6401">
        <v>-7.6972840000000004E-3</v>
      </c>
      <c r="W6401">
        <v>0.14277790000000001</v>
      </c>
      <c r="X6401">
        <v>0.98972479999999996</v>
      </c>
      <c r="Y6401">
        <v>7.8633350000000005E-2</v>
      </c>
      <c r="Z6401">
        <v>6.6959569999999998E-3</v>
      </c>
      <c r="AA6401">
        <v>0.99688109999999996</v>
      </c>
      <c r="AB6401">
        <v>27</v>
      </c>
      <c r="AC6401">
        <v>-0.52150000000000296</v>
      </c>
      <c r="AD6401">
        <v>-0.16699229999999901</v>
      </c>
      <c r="AE6401">
        <v>6.8299999999993505E-2</v>
      </c>
      <c r="AF6401">
        <v>5.7355773244797098E-2</v>
      </c>
      <c r="AG6401">
        <v>-0.16699229999999901</v>
      </c>
      <c r="AH6401">
        <v>0.47433321308540699</v>
      </c>
      <c r="AI6401">
        <v>109.265085094409</v>
      </c>
      <c r="AJ6401">
        <v>83.105339716247499</v>
      </c>
      <c r="AK6401">
        <v>0.50613052666256497</v>
      </c>
      <c r="AL6401">
        <v>81.791376424662801</v>
      </c>
      <c r="AM6401">
        <v>90.445591537700196</v>
      </c>
      <c r="AN6401">
        <v>0.99999997832221299</v>
      </c>
    </row>
    <row r="6402" spans="1:40" x14ac:dyDescent="0.25">
      <c r="A6402" t="str">
        <f>"20190303162039620"</f>
        <v>20190303162039620</v>
      </c>
      <c r="B6402" t="str">
        <f>"1551601239609399"</f>
        <v>1551601239609399</v>
      </c>
      <c r="C6402" t="s">
        <v>40</v>
      </c>
      <c r="D6402">
        <v>4.624784</v>
      </c>
      <c r="E6402">
        <v>0.53403959999999995</v>
      </c>
      <c r="F6402" t="s">
        <v>42</v>
      </c>
      <c r="G6402">
        <v>-247.35990000000001</v>
      </c>
      <c r="H6402">
        <v>0.95284970000000002</v>
      </c>
      <c r="I6402">
        <v>141.32399999999899</v>
      </c>
      <c r="J6402">
        <v>-246.85599999999999</v>
      </c>
      <c r="K6402">
        <v>1.120714</v>
      </c>
      <c r="L6402">
        <v>141.2585</v>
      </c>
      <c r="M6402">
        <v>-0.99989309999999998</v>
      </c>
      <c r="N6402">
        <v>-1.034361E-2</v>
      </c>
      <c r="O6402">
        <v>1.0338989999999999E-2</v>
      </c>
      <c r="P6402">
        <v>-0.99114040000000003</v>
      </c>
      <c r="Q6402">
        <v>0.1328145</v>
      </c>
      <c r="R6402">
        <v>1.1462099999999999E-3</v>
      </c>
      <c r="S6402">
        <v>-3.117661</v>
      </c>
      <c r="T6402">
        <v>-0.68440069999999997</v>
      </c>
      <c r="U6402">
        <v>0.27943420000000002</v>
      </c>
      <c r="V6402">
        <v>-8.9777380000000007E-3</v>
      </c>
      <c r="W6402">
        <v>0.14306669999999999</v>
      </c>
      <c r="X6402">
        <v>0.98967229999999995</v>
      </c>
      <c r="Y6402">
        <v>7.7276449999999997E-2</v>
      </c>
      <c r="Z6402">
        <v>6.6386099999999997E-3</v>
      </c>
      <c r="AA6402">
        <v>0.99698759999999997</v>
      </c>
      <c r="AB6402">
        <v>27</v>
      </c>
      <c r="AC6402">
        <v>-0.503900000000015</v>
      </c>
      <c r="AD6402">
        <v>-0.16786429999999999</v>
      </c>
      <c r="AE6402">
        <v>6.5499999999985903E-2</v>
      </c>
      <c r="AF6402">
        <v>5.4354589702527503E-2</v>
      </c>
      <c r="AG6402">
        <v>-0.16786429999999999</v>
      </c>
      <c r="AH6402">
        <v>0.45490563909464699</v>
      </c>
      <c r="AI6402">
        <v>110.12297560051999</v>
      </c>
      <c r="AJ6402">
        <v>83.186293288630594</v>
      </c>
      <c r="AK6402">
        <v>0.487926208679478</v>
      </c>
      <c r="AL6402">
        <v>81.774657706498203</v>
      </c>
      <c r="AM6402">
        <v>90.519740107832106</v>
      </c>
      <c r="AN6402">
        <v>0.99999997090788695</v>
      </c>
    </row>
    <row r="6403" spans="1:40" x14ac:dyDescent="0.25">
      <c r="A6403" t="str">
        <f>"20190303162039641"</f>
        <v>20190303162039641</v>
      </c>
      <c r="B6403" t="str">
        <f>"1551601239638679"</f>
        <v>1551601239638679</v>
      </c>
      <c r="C6403" t="s">
        <v>40</v>
      </c>
      <c r="D6403">
        <v>4.6324630000000004</v>
      </c>
      <c r="E6403">
        <v>0.53464679999999998</v>
      </c>
      <c r="F6403" t="s">
        <v>42</v>
      </c>
      <c r="G6403">
        <v>-247.6036</v>
      </c>
      <c r="H6403">
        <v>0.95235749999999997</v>
      </c>
      <c r="I6403">
        <v>141.32560000000001</v>
      </c>
      <c r="J6403">
        <v>-247.12270000000001</v>
      </c>
      <c r="K6403">
        <v>1.120706</v>
      </c>
      <c r="L6403">
        <v>141.26169999999999</v>
      </c>
      <c r="M6403">
        <v>-0.99988829999999995</v>
      </c>
      <c r="N6403">
        <v>-1.0344910000000001E-2</v>
      </c>
      <c r="O6403">
        <v>1.079982E-2</v>
      </c>
      <c r="P6403">
        <v>-0.99114530000000001</v>
      </c>
      <c r="Q6403">
        <v>0.1327826</v>
      </c>
      <c r="R6403">
        <v>1.9948510000000001E-4</v>
      </c>
      <c r="S6403">
        <v>-3.1206670000000001</v>
      </c>
      <c r="T6403">
        <v>-0.70278560000000001</v>
      </c>
      <c r="U6403">
        <v>0.27958680000000002</v>
      </c>
      <c r="V6403">
        <v>-1.0380769999999999E-2</v>
      </c>
      <c r="W6403">
        <v>0.14303740000000001</v>
      </c>
      <c r="X6403">
        <v>0.98966279999999995</v>
      </c>
      <c r="Y6403">
        <v>7.6720070000000001E-2</v>
      </c>
      <c r="Z6403">
        <v>6.6313609999999997E-3</v>
      </c>
      <c r="AA6403">
        <v>0.99703059999999999</v>
      </c>
      <c r="AB6403">
        <v>27</v>
      </c>
      <c r="AC6403">
        <v>-0.480899999999991</v>
      </c>
      <c r="AD6403">
        <v>-0.16834849999999901</v>
      </c>
      <c r="AE6403">
        <v>6.3900000000017998E-2</v>
      </c>
      <c r="AF6403">
        <v>5.2393055056352097E-2</v>
      </c>
      <c r="AG6403">
        <v>-0.16834849999999901</v>
      </c>
      <c r="AH6403">
        <v>0.429803988144972</v>
      </c>
      <c r="AI6403">
        <v>111.24650814879099</v>
      </c>
      <c r="AJ6403">
        <v>83.049940918528904</v>
      </c>
      <c r="AK6403">
        <v>0.46456185583376403</v>
      </c>
      <c r="AL6403">
        <v>81.776353810795001</v>
      </c>
      <c r="AM6403">
        <v>90.600964790761196</v>
      </c>
      <c r="AN6403">
        <v>0.99999995794419505</v>
      </c>
    </row>
    <row r="6404" spans="1:40" x14ac:dyDescent="0.25">
      <c r="A6404" t="str">
        <f>"20190303162039664"</f>
        <v>20190303162039664</v>
      </c>
      <c r="B6404" t="str">
        <f>"1551601239659178"</f>
        <v>1551601239659178</v>
      </c>
      <c r="C6404" t="s">
        <v>40</v>
      </c>
      <c r="D6404">
        <v>4.6879339999999896</v>
      </c>
      <c r="E6404">
        <v>0.53503109999999998</v>
      </c>
      <c r="F6404" t="s">
        <v>42</v>
      </c>
      <c r="G6404">
        <v>-247.84780000000001</v>
      </c>
      <c r="H6404">
        <v>0.95225629999999994</v>
      </c>
      <c r="I6404">
        <v>141.327</v>
      </c>
      <c r="J6404">
        <v>-247.40209999999999</v>
      </c>
      <c r="K6404">
        <v>1.1207039999999999</v>
      </c>
      <c r="L6404">
        <v>141.26519999999999</v>
      </c>
      <c r="M6404">
        <v>-0.99988290000000002</v>
      </c>
      <c r="N6404">
        <v>-1.034644E-2</v>
      </c>
      <c r="O6404">
        <v>1.128267E-2</v>
      </c>
      <c r="P6404">
        <v>-0.99121800000000004</v>
      </c>
      <c r="Q6404">
        <v>0.13223750000000001</v>
      </c>
      <c r="R6404">
        <v>-7.5599499999999997E-4</v>
      </c>
      <c r="S6404">
        <v>-3.1239620000000001</v>
      </c>
      <c r="T6404">
        <v>-0.72583039999999999</v>
      </c>
      <c r="U6404">
        <v>0.2814026</v>
      </c>
      <c r="V6404">
        <v>-1.1815350000000001E-2</v>
      </c>
      <c r="W6404">
        <v>0.1424956</v>
      </c>
      <c r="X6404">
        <v>0.98972490000000002</v>
      </c>
      <c r="Y6404">
        <v>7.662658E-2</v>
      </c>
      <c r="Z6404">
        <v>6.7038439999999996E-3</v>
      </c>
      <c r="AA6404">
        <v>0.99703739999999996</v>
      </c>
      <c r="AB6404">
        <v>27</v>
      </c>
      <c r="AC6404">
        <v>-0.44570000000001597</v>
      </c>
      <c r="AD6404">
        <v>-0.16844770000000001</v>
      </c>
      <c r="AE6404">
        <v>6.1800000000005101E-2</v>
      </c>
      <c r="AF6404">
        <v>4.9789424469559099E-2</v>
      </c>
      <c r="AG6404">
        <v>-0.16844770000000001</v>
      </c>
      <c r="AH6404">
        <v>0.39150226025246698</v>
      </c>
      <c r="AI6404">
        <v>113.113859030764</v>
      </c>
      <c r="AJ6404">
        <v>82.752297626811597</v>
      </c>
      <c r="AK6404">
        <v>0.429100960389382</v>
      </c>
      <c r="AL6404">
        <v>81.807718196350393</v>
      </c>
      <c r="AM6404">
        <v>90.683965343811295</v>
      </c>
      <c r="AN6404">
        <v>0.99999998809749602</v>
      </c>
    </row>
    <row r="6405" spans="1:40" x14ac:dyDescent="0.25">
      <c r="A6405" t="str">
        <f>"20190303162039687"</f>
        <v>20190303162039687</v>
      </c>
      <c r="B6405" t="str">
        <f>"1551601239678698"</f>
        <v>1551601239678698</v>
      </c>
      <c r="C6405" t="s">
        <v>40</v>
      </c>
      <c r="D6405">
        <v>4.7060149999999998</v>
      </c>
      <c r="E6405">
        <v>0.53538540000000001</v>
      </c>
      <c r="F6405" t="s">
        <v>42</v>
      </c>
      <c r="G6405">
        <v>-248.09450000000001</v>
      </c>
      <c r="H6405">
        <v>0.95681930000000004</v>
      </c>
      <c r="I6405">
        <v>141.32839999999999</v>
      </c>
      <c r="J6405">
        <v>-247.6764</v>
      </c>
      <c r="K6405">
        <v>1.1207069999999999</v>
      </c>
      <c r="L6405">
        <v>141.2688</v>
      </c>
      <c r="M6405">
        <v>-0.99987749999999997</v>
      </c>
      <c r="N6405">
        <v>-1.0348069999999999E-2</v>
      </c>
      <c r="O6405">
        <v>1.175347E-2</v>
      </c>
      <c r="P6405">
        <v>-0.99121219999999999</v>
      </c>
      <c r="Q6405">
        <v>0.13226689999999999</v>
      </c>
      <c r="R6405">
        <v>-2.005288E-3</v>
      </c>
      <c r="S6405">
        <v>-3.1255039999999998</v>
      </c>
      <c r="T6405">
        <v>-0.73986589999999997</v>
      </c>
      <c r="U6405">
        <v>0.28390500000000002</v>
      </c>
      <c r="V6405">
        <v>-1.353123E-2</v>
      </c>
      <c r="W6405">
        <v>0.14252819999999999</v>
      </c>
      <c r="X6405">
        <v>0.98969819999999997</v>
      </c>
      <c r="Y6405">
        <v>7.6843729999999999E-2</v>
      </c>
      <c r="Z6405">
        <v>6.7388639999999998E-3</v>
      </c>
      <c r="AA6405">
        <v>0.99702040000000003</v>
      </c>
      <c r="AB6405">
        <v>27</v>
      </c>
      <c r="AC6405">
        <v>-0.41810000000000902</v>
      </c>
      <c r="AD6405">
        <v>-0.163887699999999</v>
      </c>
      <c r="AE6405">
        <v>5.9599999999989002E-2</v>
      </c>
      <c r="AF6405">
        <v>4.7524747818113201E-2</v>
      </c>
      <c r="AG6405">
        <v>-0.163887699999999</v>
      </c>
      <c r="AH6405">
        <v>0.36396257662407999</v>
      </c>
      <c r="AI6405">
        <v>114.060614431603</v>
      </c>
      <c r="AJ6405">
        <v>82.560640946029906</v>
      </c>
      <c r="AK6405">
        <v>0.40197827932526897</v>
      </c>
      <c r="AL6405">
        <v>81.805830815480107</v>
      </c>
      <c r="AM6405">
        <v>90.783303505358802</v>
      </c>
      <c r="AN6405">
        <v>0.99999995453189505</v>
      </c>
    </row>
    <row r="6406" spans="1:40" x14ac:dyDescent="0.25">
      <c r="A6406" t="str">
        <f>"20190303162039708"</f>
        <v>20190303162039708</v>
      </c>
      <c r="B6406" t="str">
        <f>"1551601239699194"</f>
        <v>1551601239699194</v>
      </c>
      <c r="C6406" t="s">
        <v>40</v>
      </c>
      <c r="D6406">
        <v>4.7078049999999996</v>
      </c>
      <c r="E6406">
        <v>0.53564809999999996</v>
      </c>
      <c r="F6406" t="s">
        <v>42</v>
      </c>
      <c r="G6406">
        <v>-248.56049999999999</v>
      </c>
      <c r="H6406">
        <v>0.90850960000000003</v>
      </c>
      <c r="I6406">
        <v>141.34960000000001</v>
      </c>
      <c r="J6406">
        <v>-247.941</v>
      </c>
      <c r="K6406">
        <v>1.1207129999999901</v>
      </c>
      <c r="L6406">
        <v>141.2724</v>
      </c>
      <c r="M6406">
        <v>-0.99987199999999998</v>
      </c>
      <c r="N6406">
        <v>-1.0349769999999999E-2</v>
      </c>
      <c r="O6406">
        <v>1.2204410000000001E-2</v>
      </c>
      <c r="P6406">
        <v>-0.99108419999999997</v>
      </c>
      <c r="Q6406">
        <v>0.13320499999999999</v>
      </c>
      <c r="R6406">
        <v>-2.974371E-3</v>
      </c>
      <c r="S6406">
        <v>-3.127319</v>
      </c>
      <c r="T6406">
        <v>-0.75050850000000002</v>
      </c>
      <c r="U6406">
        <v>0.28489690000000001</v>
      </c>
      <c r="V6406">
        <v>-1.494494E-2</v>
      </c>
      <c r="W6406">
        <v>0.14346739999999999</v>
      </c>
      <c r="X6406">
        <v>0.98954219999999904</v>
      </c>
      <c r="Y6406">
        <v>7.6623159999999996E-2</v>
      </c>
      <c r="Z6406">
        <v>6.6933210000000003E-3</v>
      </c>
      <c r="AA6406">
        <v>0.99703759999999997</v>
      </c>
      <c r="AB6406">
        <v>27</v>
      </c>
      <c r="AC6406">
        <v>-0.61950000000001604</v>
      </c>
      <c r="AD6406">
        <v>-0.21220339999999999</v>
      </c>
      <c r="AE6406">
        <v>7.7200000000004806E-2</v>
      </c>
      <c r="AF6406">
        <v>6.2421122600068803E-2</v>
      </c>
      <c r="AG6406">
        <v>-0.21220339999999999</v>
      </c>
      <c r="AH6406">
        <v>0.55614007321082803</v>
      </c>
      <c r="AI6406">
        <v>110.765910806321</v>
      </c>
      <c r="AJ6406">
        <v>83.595928404521402</v>
      </c>
      <c r="AK6406">
        <v>0.59851354249436794</v>
      </c>
      <c r="AL6406">
        <v>81.751460270737994</v>
      </c>
      <c r="AM6406">
        <v>90.865265666129901</v>
      </c>
      <c r="AN6406">
        <v>1.0000000058376</v>
      </c>
    </row>
    <row r="6407" spans="1:40" x14ac:dyDescent="0.25">
      <c r="A6407" t="str">
        <f>"20190303162039730"</f>
        <v>20190303162039730</v>
      </c>
      <c r="B6407" t="str">
        <f>"1551601239718714"</f>
        <v>1551601239718714</v>
      </c>
      <c r="C6407" t="s">
        <v>40</v>
      </c>
      <c r="D6407">
        <v>4.7290530000000004</v>
      </c>
      <c r="E6407">
        <v>0.53593930000000001</v>
      </c>
      <c r="F6407" t="s">
        <v>42</v>
      </c>
      <c r="G6407">
        <v>-248.80690000000001</v>
      </c>
      <c r="H6407">
        <v>0.9114217</v>
      </c>
      <c r="I6407">
        <v>141.35149999999999</v>
      </c>
      <c r="J6407">
        <v>-248.21360000000001</v>
      </c>
      <c r="K6407">
        <v>1.1207129999999901</v>
      </c>
      <c r="L6407">
        <v>141.27619999999999</v>
      </c>
      <c r="M6407">
        <v>-0.99986620000000004</v>
      </c>
      <c r="N6407">
        <v>-1.0351630000000001E-2</v>
      </c>
      <c r="O6407">
        <v>1.266489E-2</v>
      </c>
      <c r="P6407">
        <v>-0.99096589999999996</v>
      </c>
      <c r="Q6407">
        <v>0.13406760000000001</v>
      </c>
      <c r="R6407">
        <v>-3.497366E-3</v>
      </c>
      <c r="S6407">
        <v>-3.129486</v>
      </c>
      <c r="T6407">
        <v>-0.75639429999999996</v>
      </c>
      <c r="U6407">
        <v>0.28474429999999901</v>
      </c>
      <c r="V6407">
        <v>-1.5921999999999999E-2</v>
      </c>
      <c r="W6407">
        <v>0.1443314</v>
      </c>
      <c r="X6407">
        <v>0.98940130000000004</v>
      </c>
      <c r="Y6407">
        <v>7.6055789999999998E-2</v>
      </c>
      <c r="Z6407">
        <v>6.5611130000000004E-3</v>
      </c>
      <c r="AA6407">
        <v>0.99708200000000002</v>
      </c>
      <c r="AB6407">
        <v>27</v>
      </c>
      <c r="AC6407">
        <v>-0.59329999999999905</v>
      </c>
      <c r="AD6407">
        <v>-0.20929130000000001</v>
      </c>
      <c r="AE6407">
        <v>7.5299999999998493E-2</v>
      </c>
      <c r="AF6407">
        <v>6.0384464028041103E-2</v>
      </c>
      <c r="AG6407">
        <v>-0.20929130000000001</v>
      </c>
      <c r="AH6407">
        <v>0.52937584575885299</v>
      </c>
      <c r="AI6407">
        <v>111.445278005117</v>
      </c>
      <c r="AJ6407">
        <v>83.492552428131006</v>
      </c>
      <c r="AK6407">
        <v>0.57244031813329299</v>
      </c>
      <c r="AL6407">
        <v>81.701436012793707</v>
      </c>
      <c r="AM6407">
        <v>90.921956201061505</v>
      </c>
      <c r="AN6407">
        <v>0.99999999777582405</v>
      </c>
    </row>
    <row r="6408" spans="1:40" x14ac:dyDescent="0.25">
      <c r="A6408" t="str">
        <f>"20190303162039753"</f>
        <v>20190303162039753</v>
      </c>
      <c r="B6408" t="str">
        <f>"1551601239748970"</f>
        <v>1551601239748970</v>
      </c>
      <c r="C6408" t="s">
        <v>40</v>
      </c>
      <c r="D6408">
        <v>4.8114100000000004</v>
      </c>
      <c r="E6408">
        <v>0.53632290000000005</v>
      </c>
      <c r="F6408" t="s">
        <v>42</v>
      </c>
      <c r="G6408">
        <v>-249.05459999999999</v>
      </c>
      <c r="H6408">
        <v>0.91615139999999995</v>
      </c>
      <c r="I6408">
        <v>141.35339999999999</v>
      </c>
      <c r="J6408">
        <v>-248.49809999999999</v>
      </c>
      <c r="K6408">
        <v>1.1207199999999999</v>
      </c>
      <c r="L6408">
        <v>141.28039999999999</v>
      </c>
      <c r="M6408">
        <v>-0.99985999999999997</v>
      </c>
      <c r="N6408">
        <v>-1.035584E-2</v>
      </c>
      <c r="O6408">
        <v>1.314325E-2</v>
      </c>
      <c r="P6408">
        <v>-0.99085760000000001</v>
      </c>
      <c r="Q6408">
        <v>0.13486119999999999</v>
      </c>
      <c r="R6408">
        <v>-3.7606039999999999E-3</v>
      </c>
      <c r="S6408">
        <v>-3.1313930000000001</v>
      </c>
      <c r="T6408">
        <v>-0.76173219999999997</v>
      </c>
      <c r="U6408">
        <v>0.2865143</v>
      </c>
      <c r="V6408">
        <v>-1.6656959999999998E-2</v>
      </c>
      <c r="W6408">
        <v>0.14512820000000001</v>
      </c>
      <c r="X6408">
        <v>0.9892727</v>
      </c>
      <c r="Y6408">
        <v>7.6071390000000003E-2</v>
      </c>
      <c r="Z6408">
        <v>6.4914319999999897E-3</v>
      </c>
      <c r="AA6408">
        <v>0.9970812</v>
      </c>
      <c r="AB6408">
        <v>27</v>
      </c>
      <c r="AC6408">
        <v>-0.556499999999999</v>
      </c>
      <c r="AD6408">
        <v>-0.20456859999999999</v>
      </c>
      <c r="AE6408">
        <v>7.3000000000007503E-2</v>
      </c>
      <c r="AF6408">
        <v>5.7977224823835799E-2</v>
      </c>
      <c r="AG6408">
        <v>-0.20456859999999999</v>
      </c>
      <c r="AH6408">
        <v>0.49204657868167301</v>
      </c>
      <c r="AI6408">
        <v>112.43544290589099</v>
      </c>
      <c r="AJ6408">
        <v>83.279896363549796</v>
      </c>
      <c r="AK6408">
        <v>0.53602192706695695</v>
      </c>
      <c r="AL6408">
        <v>81.655297484502796</v>
      </c>
      <c r="AM6408">
        <v>90.964631221741499</v>
      </c>
      <c r="AN6408">
        <v>1.0000000618584799</v>
      </c>
    </row>
    <row r="6409" spans="1:40" x14ac:dyDescent="0.25">
      <c r="A6409" t="str">
        <f>"20190303162039776"</f>
        <v>20190303162039776</v>
      </c>
      <c r="B6409" t="str">
        <f>"1551601239769467"</f>
        <v>1551601239769467</v>
      </c>
      <c r="C6409" t="s">
        <v>40</v>
      </c>
      <c r="D6409">
        <v>4.8154729999999999</v>
      </c>
      <c r="E6409">
        <v>0.53652999999999995</v>
      </c>
      <c r="F6409" t="s">
        <v>42</v>
      </c>
      <c r="G6409">
        <v>-249.30350000000001</v>
      </c>
      <c r="H6409">
        <v>0.92300499999999996</v>
      </c>
      <c r="I6409">
        <v>141.35499999999999</v>
      </c>
      <c r="J6409">
        <v>-248.774</v>
      </c>
      <c r="K6409">
        <v>1.1207199999999999</v>
      </c>
      <c r="L6409">
        <v>141.28450000000001</v>
      </c>
      <c r="M6409">
        <v>-0.99985369999999996</v>
      </c>
      <c r="N6409">
        <v>-1.0365350000000001E-2</v>
      </c>
      <c r="O6409">
        <v>1.360638E-2</v>
      </c>
      <c r="P6409">
        <v>-0.99078710000000003</v>
      </c>
      <c r="Q6409">
        <v>0.13538800000000001</v>
      </c>
      <c r="R6409">
        <v>-3.3116740000000001E-3</v>
      </c>
      <c r="S6409">
        <v>-3.133499</v>
      </c>
      <c r="T6409">
        <v>-0.76927469999999998</v>
      </c>
      <c r="U6409">
        <v>0.29020689999999999</v>
      </c>
      <c r="V6409">
        <v>-1.666554E-2</v>
      </c>
      <c r="W6409">
        <v>0.14566419999999999</v>
      </c>
      <c r="X6409">
        <v>0.98919369999999995</v>
      </c>
      <c r="Y6409">
        <v>7.667359E-2</v>
      </c>
      <c r="Z6409">
        <v>6.513914E-3</v>
      </c>
      <c r="AA6409">
        <v>0.997035</v>
      </c>
      <c r="AB6409">
        <v>27</v>
      </c>
      <c r="AC6409">
        <v>-0.52950000000001296</v>
      </c>
      <c r="AD6409">
        <v>-0.197715</v>
      </c>
      <c r="AE6409">
        <v>7.04999999999813E-2</v>
      </c>
      <c r="AF6409">
        <v>5.5662789005672897E-2</v>
      </c>
      <c r="AG6409">
        <v>-0.197715</v>
      </c>
      <c r="AH6409">
        <v>0.466500420602178</v>
      </c>
      <c r="AI6409">
        <v>112.82334240476899</v>
      </c>
      <c r="AJ6409">
        <v>83.195642712377605</v>
      </c>
      <c r="AK6409">
        <v>0.509717774584033</v>
      </c>
      <c r="AL6409">
        <v>81.624256472756898</v>
      </c>
      <c r="AM6409">
        <v>90.965205072776897</v>
      </c>
      <c r="AN6409">
        <v>0.99999998775240995</v>
      </c>
    </row>
    <row r="6410" spans="1:40" x14ac:dyDescent="0.25">
      <c r="A6410" t="str">
        <f>"20190303162039799"</f>
        <v>20190303162039799</v>
      </c>
      <c r="B6410" t="str">
        <f>"1551601239788987"</f>
        <v>1551601239788987</v>
      </c>
      <c r="C6410" t="s">
        <v>40</v>
      </c>
      <c r="D6410">
        <v>4.8153879999999996</v>
      </c>
      <c r="E6410">
        <v>0.53672699999999995</v>
      </c>
      <c r="F6410" t="s">
        <v>42</v>
      </c>
      <c r="G6410">
        <v>-249.55199999999999</v>
      </c>
      <c r="H6410">
        <v>0.92845270000000002</v>
      </c>
      <c r="I6410">
        <v>141.35740000000001</v>
      </c>
      <c r="J6410">
        <v>-249.0573</v>
      </c>
      <c r="K6410">
        <v>1.1207240000000001</v>
      </c>
      <c r="L6410">
        <v>141.28890000000001</v>
      </c>
      <c r="M6410">
        <v>-0.99984700000000004</v>
      </c>
      <c r="N6410">
        <v>-1.0381049999999999E-2</v>
      </c>
      <c r="O6410">
        <v>1.408122E-2</v>
      </c>
      <c r="P6410">
        <v>-0.99083089999999996</v>
      </c>
      <c r="Q6410">
        <v>0.1350962</v>
      </c>
      <c r="R6410">
        <v>-1.8484910000000001E-3</v>
      </c>
      <c r="S6410">
        <v>-3.1347499999999999</v>
      </c>
      <c r="T6410">
        <v>-0.77466979999999996</v>
      </c>
      <c r="U6410">
        <v>0.2927399</v>
      </c>
      <c r="V6410">
        <v>-1.5674230000000001E-2</v>
      </c>
      <c r="W6410">
        <v>0.145387299999999</v>
      </c>
      <c r="X6410">
        <v>0.98925070000000004</v>
      </c>
      <c r="Y6410">
        <v>7.6941809999999999E-2</v>
      </c>
      <c r="Z6410">
        <v>6.4764590000000004E-3</v>
      </c>
      <c r="AA6410">
        <v>0.99701450000000003</v>
      </c>
      <c r="AB6410">
        <v>27</v>
      </c>
      <c r="AC6410">
        <v>-0.49470000000002201</v>
      </c>
      <c r="AD6410">
        <v>-0.19227130000000001</v>
      </c>
      <c r="AE6410">
        <v>6.85000000000002E-2</v>
      </c>
      <c r="AF6410">
        <v>5.3584706293968602E-2</v>
      </c>
      <c r="AG6410">
        <v>-0.19227130000000001</v>
      </c>
      <c r="AH6410">
        <v>0.43163940657040301</v>
      </c>
      <c r="AI6410">
        <v>113.84787315969599</v>
      </c>
      <c r="AJ6410">
        <v>82.923375613032704</v>
      </c>
      <c r="AK6410">
        <v>0.47555457190184902</v>
      </c>
      <c r="AL6410">
        <v>81.6402928922314</v>
      </c>
      <c r="AM6410">
        <v>90.907749758749603</v>
      </c>
      <c r="AN6410">
        <v>1.0000000479689299</v>
      </c>
    </row>
    <row r="6411" spans="1:40" x14ac:dyDescent="0.25">
      <c r="A6411" t="str">
        <f>"20190303162039823"</f>
        <v>20190303162039823</v>
      </c>
      <c r="B6411" t="str">
        <f>"1551601239808506"</f>
        <v>1551601239808506</v>
      </c>
      <c r="C6411" t="s">
        <v>40</v>
      </c>
      <c r="D6411">
        <v>4.8461360000000004</v>
      </c>
      <c r="E6411">
        <v>0.53690680000000002</v>
      </c>
      <c r="F6411" t="s">
        <v>42</v>
      </c>
      <c r="G6411">
        <v>-249.8013</v>
      </c>
      <c r="H6411">
        <v>0.93520530000000002</v>
      </c>
      <c r="I6411">
        <v>141.36000000000001</v>
      </c>
      <c r="J6411">
        <v>-249.3432</v>
      </c>
      <c r="K6411">
        <v>1.120736</v>
      </c>
      <c r="L6411">
        <v>141.29339999999999</v>
      </c>
      <c r="M6411">
        <v>-0.9998399</v>
      </c>
      <c r="N6411">
        <v>-1.0406260000000001E-2</v>
      </c>
      <c r="O6411">
        <v>1.45606E-2</v>
      </c>
      <c r="P6411">
        <v>-0.99089749999999999</v>
      </c>
      <c r="Q6411">
        <v>0.1346195</v>
      </c>
      <c r="R6411">
        <v>-2.6096449999999998E-4</v>
      </c>
      <c r="S6411">
        <v>-3.1349179999999999</v>
      </c>
      <c r="T6411">
        <v>-0.78164669999999903</v>
      </c>
      <c r="U6411">
        <v>0.29931639999999998</v>
      </c>
      <c r="V6411">
        <v>-1.45628999999999E-2</v>
      </c>
      <c r="W6411">
        <v>0.14493529999999999</v>
      </c>
      <c r="X6411">
        <v>0.98933389999999999</v>
      </c>
      <c r="Y6411">
        <v>7.8462870000000004E-2</v>
      </c>
      <c r="Z6411">
        <v>6.6107400000000004E-3</v>
      </c>
      <c r="AA6411">
        <v>0.99689510000000003</v>
      </c>
      <c r="AB6411">
        <v>27</v>
      </c>
      <c r="AC6411">
        <v>-0.45810000000000101</v>
      </c>
      <c r="AD6411">
        <v>-0.18553069999999899</v>
      </c>
      <c r="AE6411">
        <v>6.6600000000022405E-2</v>
      </c>
      <c r="AF6411">
        <v>5.1629162799707702E-2</v>
      </c>
      <c r="AG6411">
        <v>-0.18553069999999899</v>
      </c>
      <c r="AH6411">
        <v>0.39549307458529498</v>
      </c>
      <c r="AI6411">
        <v>114.94622518156299</v>
      </c>
      <c r="AJ6411">
        <v>82.562451228238302</v>
      </c>
      <c r="AK6411">
        <v>0.43988860310176098</v>
      </c>
      <c r="AL6411">
        <v>81.666466942913203</v>
      </c>
      <c r="AM6411">
        <v>90.843327466219307</v>
      </c>
      <c r="AN6411">
        <v>0.999999942465853</v>
      </c>
    </row>
    <row r="6412" spans="1:40" x14ac:dyDescent="0.25">
      <c r="A6412" t="str">
        <f>"20190303162039843"</f>
        <v>20190303162039843</v>
      </c>
      <c r="B6412" t="str">
        <f>"1551601239838763"</f>
        <v>1551601239838763</v>
      </c>
      <c r="C6412" t="s">
        <v>40</v>
      </c>
      <c r="D6412">
        <v>4.8744239999999897</v>
      </c>
      <c r="E6412">
        <v>0.53711260000000005</v>
      </c>
      <c r="F6412" t="s">
        <v>42</v>
      </c>
      <c r="G6412">
        <v>-250.05119999999999</v>
      </c>
      <c r="H6412">
        <v>0.94252049999999998</v>
      </c>
      <c r="I6412">
        <v>141.36259999999999</v>
      </c>
      <c r="J6412">
        <v>-249.6</v>
      </c>
      <c r="K6412">
        <v>1.1207370000000001</v>
      </c>
      <c r="L6412">
        <v>141.29759999999999</v>
      </c>
      <c r="M6412">
        <v>-0.99983319999999998</v>
      </c>
      <c r="N6412">
        <v>-1.0434489999999999E-2</v>
      </c>
      <c r="O6412">
        <v>1.499086E-2</v>
      </c>
      <c r="P6412">
        <v>-0.99091209999999996</v>
      </c>
      <c r="Q6412">
        <v>0.13450190000000001</v>
      </c>
      <c r="R6412">
        <v>1.5890399999999999E-3</v>
      </c>
      <c r="S6412">
        <v>-3.134811</v>
      </c>
      <c r="T6412">
        <v>-0.78902240000000001</v>
      </c>
      <c r="U6412">
        <v>0.30477910000000002</v>
      </c>
      <c r="V6412">
        <v>-1.313978E-2</v>
      </c>
      <c r="W6412">
        <v>0.14484520000000001</v>
      </c>
      <c r="X6412">
        <v>0.98936710000000005</v>
      </c>
      <c r="Y6412">
        <v>7.9693200000000006E-2</v>
      </c>
      <c r="Z6412">
        <v>6.7241559999999898E-3</v>
      </c>
      <c r="AA6412">
        <v>0.99679680000000004</v>
      </c>
      <c r="AB6412">
        <v>28</v>
      </c>
      <c r="AC6412">
        <v>-0.45119999999999999</v>
      </c>
      <c r="AD6412">
        <v>-0.1782165</v>
      </c>
      <c r="AE6412">
        <v>6.4999999999997699E-2</v>
      </c>
      <c r="AF6412">
        <v>5.0508704397035697E-2</v>
      </c>
      <c r="AG6412">
        <v>-0.1782165</v>
      </c>
      <c r="AH6412">
        <v>0.39218259385819199</v>
      </c>
      <c r="AI6412">
        <v>114.261082704701</v>
      </c>
      <c r="AJ6412">
        <v>82.661344796776902</v>
      </c>
      <c r="AK6412">
        <v>0.43372737637536402</v>
      </c>
      <c r="AL6412">
        <v>81.6716850169434</v>
      </c>
      <c r="AM6412">
        <v>90.7609002547253</v>
      </c>
      <c r="AN6412">
        <v>1.0000000221719401</v>
      </c>
    </row>
    <row r="6413" spans="1:40" x14ac:dyDescent="0.25">
      <c r="A6413" t="str">
        <f>"20190303162039866"</f>
        <v>20190303162039866</v>
      </c>
      <c r="B6413" t="str">
        <f>"1551601239859258"</f>
        <v>1551601239859258</v>
      </c>
      <c r="C6413" t="s">
        <v>40</v>
      </c>
      <c r="D6413">
        <v>4.8989129999999896</v>
      </c>
      <c r="E6413">
        <v>0.53716589999999997</v>
      </c>
      <c r="F6413" t="s">
        <v>42</v>
      </c>
      <c r="G6413">
        <v>-250.2979</v>
      </c>
      <c r="H6413">
        <v>0.94303239999999999</v>
      </c>
      <c r="I6413">
        <v>141.36709999999999</v>
      </c>
      <c r="J6413">
        <v>-249.8766</v>
      </c>
      <c r="K6413">
        <v>1.1207530000000001</v>
      </c>
      <c r="L6413">
        <v>141.3023</v>
      </c>
      <c r="M6413">
        <v>-0.99982590000000005</v>
      </c>
      <c r="N6413">
        <v>-1.0464930000000001E-2</v>
      </c>
      <c r="O6413">
        <v>1.5454310000000001E-2</v>
      </c>
      <c r="P6413">
        <v>-0.9908612</v>
      </c>
      <c r="Q6413">
        <v>0.13486139999999999</v>
      </c>
      <c r="R6413">
        <v>2.5853719999999998E-3</v>
      </c>
      <c r="S6413">
        <v>-3.1353759999999999</v>
      </c>
      <c r="T6413">
        <v>-0.79834579999999999</v>
      </c>
      <c r="U6413">
        <v>0.31161499999999998</v>
      </c>
      <c r="V6413">
        <v>-1.260171E-2</v>
      </c>
      <c r="W6413">
        <v>0.14523339999999901</v>
      </c>
      <c r="X6413">
        <v>0.98931720000000001</v>
      </c>
      <c r="Y6413">
        <v>8.1279900000000002E-2</v>
      </c>
      <c r="Z6413">
        <v>6.8904489999999999E-3</v>
      </c>
      <c r="AA6413">
        <v>0.99666750000000004</v>
      </c>
      <c r="AB6413">
        <v>28</v>
      </c>
      <c r="AC6413">
        <v>-0.42130000000000201</v>
      </c>
      <c r="AD6413">
        <v>-0.17772060000000001</v>
      </c>
      <c r="AE6413">
        <v>6.4799999999991004E-2</v>
      </c>
      <c r="AF6413">
        <v>4.9650068675551003E-2</v>
      </c>
      <c r="AG6413">
        <v>-0.17772060000000001</v>
      </c>
      <c r="AH6413">
        <v>0.35971926551126598</v>
      </c>
      <c r="AI6413">
        <v>116.07776136282099</v>
      </c>
      <c r="AJ6413">
        <v>82.141432047373002</v>
      </c>
      <c r="AK6413">
        <v>0.40428664455286101</v>
      </c>
      <c r="AL6413">
        <v>81.649205180753896</v>
      </c>
      <c r="AM6413">
        <v>90.729781865370299</v>
      </c>
      <c r="AN6413">
        <v>1.00000003289316</v>
      </c>
    </row>
    <row r="6414" spans="1:40" x14ac:dyDescent="0.25">
      <c r="A6414" t="str">
        <f>"20190303162039887"</f>
        <v>20190303162039887</v>
      </c>
      <c r="B6414" t="str">
        <f>"1551601239878778"</f>
        <v>1551601239878778</v>
      </c>
      <c r="C6414" t="s">
        <v>40</v>
      </c>
      <c r="D6414">
        <v>4.8901599999999998</v>
      </c>
      <c r="E6414">
        <v>0.53876709999999906</v>
      </c>
      <c r="F6414" t="s">
        <v>42</v>
      </c>
      <c r="G6414">
        <v>-250.7681</v>
      </c>
      <c r="H6414">
        <v>0.8932099</v>
      </c>
      <c r="I6414">
        <v>141.39269999999999</v>
      </c>
      <c r="J6414">
        <v>-250.14359999999999</v>
      </c>
      <c r="K6414">
        <v>1.12076</v>
      </c>
      <c r="L6414">
        <v>141.30690000000001</v>
      </c>
      <c r="M6414">
        <v>-0.99981850000000005</v>
      </c>
      <c r="N6414">
        <v>-1.0492319999999999E-2</v>
      </c>
      <c r="O6414">
        <v>1.5901740000000001E-2</v>
      </c>
      <c r="P6414">
        <v>-0.99068840000000002</v>
      </c>
      <c r="Q6414">
        <v>0.13613900000000001</v>
      </c>
      <c r="R6414">
        <v>1.560835E-3</v>
      </c>
      <c r="S6414">
        <v>-3.1357729999999999</v>
      </c>
      <c r="T6414">
        <v>-0.80035230000000002</v>
      </c>
      <c r="U6414">
        <v>0.31771850000000001</v>
      </c>
      <c r="V6414">
        <v>-1.406514E-2</v>
      </c>
      <c r="W6414">
        <v>0.1465378</v>
      </c>
      <c r="X6414">
        <v>0.98910500000000001</v>
      </c>
      <c r="Y6414">
        <v>8.2698170000000001E-2</v>
      </c>
      <c r="Z6414">
        <v>6.983876E-3</v>
      </c>
      <c r="AA6414">
        <v>0.99655009999999999</v>
      </c>
      <c r="AB6414">
        <v>28</v>
      </c>
      <c r="AC6414">
        <v>-0.62450000000001105</v>
      </c>
      <c r="AD6414">
        <v>-0.22755010000000001</v>
      </c>
      <c r="AE6414">
        <v>8.5799999999977603E-2</v>
      </c>
      <c r="AF6414">
        <v>6.7112708997792203E-2</v>
      </c>
      <c r="AG6414">
        <v>-0.22755010000000001</v>
      </c>
      <c r="AH6414">
        <v>0.55364202513816696</v>
      </c>
      <c r="AI6414">
        <v>112.19639123021101</v>
      </c>
      <c r="AJ6414">
        <v>83.088305282229896</v>
      </c>
      <c r="AK6414">
        <v>0.602331018392813</v>
      </c>
      <c r="AL6414">
        <v>81.573659453515006</v>
      </c>
      <c r="AM6414">
        <v>90.814694949702798</v>
      </c>
      <c r="AN6414">
        <v>0.99999992800852699</v>
      </c>
    </row>
    <row r="6415" spans="1:40" x14ac:dyDescent="0.25">
      <c r="A6415" t="str">
        <f>"20190303162039910"</f>
        <v>20190303162039910</v>
      </c>
      <c r="B6415" t="str">
        <f>"1551601239898299"</f>
        <v>1551601239898299</v>
      </c>
      <c r="C6415" t="s">
        <v>40</v>
      </c>
      <c r="D6415">
        <v>4.9236760000000004</v>
      </c>
      <c r="E6415">
        <v>0.53882439999999998</v>
      </c>
      <c r="F6415" t="s">
        <v>42</v>
      </c>
      <c r="G6415">
        <v>-250.9983</v>
      </c>
      <c r="H6415">
        <v>0.85100629999999999</v>
      </c>
      <c r="I6415">
        <v>141.3964</v>
      </c>
      <c r="J6415">
        <v>-250.41970000000001</v>
      </c>
      <c r="K6415">
        <v>1.1207640000000001</v>
      </c>
      <c r="L6415">
        <v>141.31180000000001</v>
      </c>
      <c r="M6415">
        <v>-0.99981089999999995</v>
      </c>
      <c r="N6415">
        <v>-1.0518960000000001E-2</v>
      </c>
      <c r="O6415">
        <v>1.6364489999999999E-2</v>
      </c>
      <c r="P6415">
        <v>-0.99065110000000001</v>
      </c>
      <c r="Q6415">
        <v>0.13642070000000001</v>
      </c>
      <c r="R6415">
        <v>-2.586399E-4</v>
      </c>
      <c r="S6415">
        <v>-3.1649630000000002</v>
      </c>
      <c r="T6415">
        <v>-0.99891600000000003</v>
      </c>
      <c r="U6415">
        <v>0.33076480000000003</v>
      </c>
      <c r="V6415">
        <v>-1.6341899999999999E-2</v>
      </c>
      <c r="W6415">
        <v>0.1468467</v>
      </c>
      <c r="X6415">
        <v>0.98902429999999997</v>
      </c>
      <c r="Y6415">
        <v>8.4195069999999997E-2</v>
      </c>
      <c r="Z6415">
        <v>8.5327900000000002E-3</v>
      </c>
      <c r="AA6415">
        <v>0.99641279999999999</v>
      </c>
      <c r="AB6415">
        <v>28</v>
      </c>
      <c r="AC6415">
        <v>-0.57859999999999401</v>
      </c>
      <c r="AD6415">
        <v>-0.26975769999999899</v>
      </c>
      <c r="AE6415">
        <v>8.4599999999994596E-2</v>
      </c>
      <c r="AF6415">
        <v>6.1938218483956302E-2</v>
      </c>
      <c r="AG6415">
        <v>-0.26975769999999899</v>
      </c>
      <c r="AH6415">
        <v>0.47814927557644499</v>
      </c>
      <c r="AI6415">
        <v>119.226831552363</v>
      </c>
      <c r="AJ6415">
        <v>82.619153416179103</v>
      </c>
      <c r="AK6415">
        <v>0.55247831573061401</v>
      </c>
      <c r="AL6415">
        <v>81.555768170763599</v>
      </c>
      <c r="AM6415">
        <v>90.946626591774304</v>
      </c>
      <c r="AN6415">
        <v>1.00000003849349</v>
      </c>
    </row>
    <row r="6416" spans="1:40" x14ac:dyDescent="0.25">
      <c r="A6416" t="str">
        <f>"20190303162039932"</f>
        <v>20190303162039932</v>
      </c>
      <c r="B6416" t="str">
        <f>"1551601239918795"</f>
        <v>1551601239918795</v>
      </c>
      <c r="C6416" t="s">
        <v>40</v>
      </c>
      <c r="D6416">
        <v>4.9390199999999904</v>
      </c>
      <c r="E6416">
        <v>0.53883239999999999</v>
      </c>
      <c r="F6416" t="s">
        <v>42</v>
      </c>
      <c r="G6416">
        <v>-251.24850000000001</v>
      </c>
      <c r="H6416">
        <v>0.85848869999999899</v>
      </c>
      <c r="I6416">
        <v>141.39699999999999</v>
      </c>
      <c r="J6416">
        <v>-250.69800000000001</v>
      </c>
      <c r="K6416">
        <v>1.1207670000000001</v>
      </c>
      <c r="L6416">
        <v>141.3168</v>
      </c>
      <c r="M6416">
        <v>-0.99980279999999999</v>
      </c>
      <c r="N6416">
        <v>-1.0544130000000001E-2</v>
      </c>
      <c r="O6416">
        <v>1.6831780000000001E-2</v>
      </c>
      <c r="P6416">
        <v>-0.99069019999999997</v>
      </c>
      <c r="Q6416">
        <v>0.13612009999999999</v>
      </c>
      <c r="R6416">
        <v>-2.0202950000000001E-3</v>
      </c>
      <c r="S6416">
        <v>-3.1663969999999999</v>
      </c>
      <c r="T6416">
        <v>-1.0019800000000001</v>
      </c>
      <c r="U6416">
        <v>0.32518010000000003</v>
      </c>
      <c r="V6416">
        <v>-1.8567170000000001E-2</v>
      </c>
      <c r="W6416">
        <v>0.14657319999999999</v>
      </c>
      <c r="X6416">
        <v>0.9890255</v>
      </c>
      <c r="Y6416">
        <v>8.2053730000000005E-2</v>
      </c>
      <c r="Z6416">
        <v>8.0740540000000006E-3</v>
      </c>
      <c r="AA6416">
        <v>0.99659520000000001</v>
      </c>
      <c r="AB6416">
        <v>28</v>
      </c>
      <c r="AC6416">
        <v>-0.55050000000002797</v>
      </c>
      <c r="AD6416">
        <v>-0.26227830000000002</v>
      </c>
      <c r="AE6416">
        <v>8.0200000000019103E-2</v>
      </c>
      <c r="AF6416">
        <v>5.80248130081088E-2</v>
      </c>
      <c r="AG6416">
        <v>-0.26227830000000002</v>
      </c>
      <c r="AH6416">
        <v>0.45143063687250101</v>
      </c>
      <c r="AI6416">
        <v>119.952819049966</v>
      </c>
      <c r="AJ6416">
        <v>82.675624623869695</v>
      </c>
      <c r="AK6416">
        <v>0.52530601127593002</v>
      </c>
      <c r="AL6416">
        <v>81.571609155398605</v>
      </c>
      <c r="AM6416">
        <v>91.0754985890744</v>
      </c>
      <c r="AN6416">
        <v>0.99999994120514701</v>
      </c>
    </row>
    <row r="6417" spans="1:40" x14ac:dyDescent="0.25">
      <c r="A6417" t="str">
        <f>"20190303162039954"</f>
        <v>20190303162039954</v>
      </c>
      <c r="B6417" t="str">
        <f>"1551601239949051"</f>
        <v>1551601239949051</v>
      </c>
      <c r="C6417" t="s">
        <v>40</v>
      </c>
      <c r="D6417">
        <v>5.0026349999999997</v>
      </c>
      <c r="E6417">
        <v>0.53940100000000002</v>
      </c>
      <c r="F6417" t="s">
        <v>42</v>
      </c>
      <c r="G6417">
        <v>-251.49889999999999</v>
      </c>
      <c r="H6417">
        <v>0.8659154</v>
      </c>
      <c r="I6417">
        <v>141.39769999999999</v>
      </c>
      <c r="J6417">
        <v>-250.9778</v>
      </c>
      <c r="K6417">
        <v>1.1207689999999999</v>
      </c>
      <c r="L6417">
        <v>141.32210000000001</v>
      </c>
      <c r="M6417">
        <v>-0.99979459999999998</v>
      </c>
      <c r="N6417">
        <v>-1.056736E-2</v>
      </c>
      <c r="O6417">
        <v>1.7301449999999999E-2</v>
      </c>
      <c r="P6417">
        <v>-0.99064920000000001</v>
      </c>
      <c r="Q6417">
        <v>0.13638620000000001</v>
      </c>
      <c r="R6417">
        <v>-3.6632359999999998E-3</v>
      </c>
      <c r="S6417">
        <v>-3.167313</v>
      </c>
      <c r="T6417">
        <v>-1.0078419999999999</v>
      </c>
      <c r="U6417">
        <v>0.31916809999999901</v>
      </c>
      <c r="V6417">
        <v>-2.0673830000000001E-2</v>
      </c>
      <c r="W6417">
        <v>0.146863299999999</v>
      </c>
      <c r="X6417">
        <v>0.98894070000000001</v>
      </c>
      <c r="Y6417">
        <v>7.9783610000000005E-2</v>
      </c>
      <c r="Z6417">
        <v>7.6110880000000002E-3</v>
      </c>
      <c r="AA6417">
        <v>0.99678310000000003</v>
      </c>
      <c r="AB6417">
        <v>28</v>
      </c>
      <c r="AC6417">
        <v>-0.52109999999998902</v>
      </c>
      <c r="AD6417">
        <v>-0.25485360000000001</v>
      </c>
      <c r="AE6417">
        <v>7.55999999999801E-2</v>
      </c>
      <c r="AF6417">
        <v>5.39372027222568E-2</v>
      </c>
      <c r="AG6417">
        <v>-0.25485360000000001</v>
      </c>
      <c r="AH6417">
        <v>0.42319375898033201</v>
      </c>
      <c r="AI6417">
        <v>120.85335484274</v>
      </c>
      <c r="AJ6417">
        <v>82.736656240760496</v>
      </c>
      <c r="AK6417">
        <v>0.49694319284035399</v>
      </c>
      <c r="AL6417">
        <v>81.554806071341304</v>
      </c>
      <c r="AM6417">
        <v>91.197595262417494</v>
      </c>
      <c r="AN6417">
        <v>0.99999997212512404</v>
      </c>
    </row>
    <row r="6418" spans="1:40" x14ac:dyDescent="0.25">
      <c r="A6418" t="str">
        <f>"20190303162039977"</f>
        <v>20190303162039977</v>
      </c>
      <c r="B6418" t="str">
        <f>"1551601239968571"</f>
        <v>1551601239968571</v>
      </c>
      <c r="C6418" t="s">
        <v>40</v>
      </c>
      <c r="D6418">
        <v>5.036092</v>
      </c>
      <c r="E6418">
        <v>0.52310449999999997</v>
      </c>
      <c r="F6418" t="s">
        <v>42</v>
      </c>
      <c r="G6418">
        <v>-251.7508</v>
      </c>
      <c r="H6418">
        <v>0.87693750000000004</v>
      </c>
      <c r="I6418">
        <v>141.3999</v>
      </c>
      <c r="J6418">
        <v>-251.25229999999999</v>
      </c>
      <c r="K6418">
        <v>1.120779</v>
      </c>
      <c r="L6418">
        <v>141.32730000000001</v>
      </c>
      <c r="M6418">
        <v>-0.99978639999999996</v>
      </c>
      <c r="N6418">
        <v>-1.0587930000000001E-2</v>
      </c>
      <c r="O6418">
        <v>1.7760229999999998E-2</v>
      </c>
      <c r="P6418">
        <v>-0.99052130000000005</v>
      </c>
      <c r="Q6418">
        <v>0.13730229999999999</v>
      </c>
      <c r="R6418">
        <v>-4.0069290000000002E-3</v>
      </c>
      <c r="S6418">
        <v>-3.1670069999999999</v>
      </c>
      <c r="T6418">
        <v>-0.9988939</v>
      </c>
      <c r="U6418">
        <v>0.31874079999999999</v>
      </c>
      <c r="V6418">
        <v>-2.146963E-2</v>
      </c>
      <c r="W6418">
        <v>0.14779900000000001</v>
      </c>
      <c r="X6418">
        <v>0.98878440000000001</v>
      </c>
      <c r="Y6418">
        <v>7.9300930000000006E-2</v>
      </c>
      <c r="Z6418">
        <v>7.3406890000000001E-3</v>
      </c>
      <c r="AA6418">
        <v>0.99682369999999998</v>
      </c>
      <c r="AB6418">
        <v>28</v>
      </c>
      <c r="AC6418">
        <v>-0.49850000000000699</v>
      </c>
      <c r="AD6418">
        <v>-0.24384149999999999</v>
      </c>
      <c r="AE6418">
        <v>7.2599999999994197E-2</v>
      </c>
      <c r="AF6418">
        <v>5.1636269605912097E-2</v>
      </c>
      <c r="AG6418">
        <v>-0.24384149999999999</v>
      </c>
      <c r="AH6418">
        <v>0.40485406375073801</v>
      </c>
      <c r="AI6418">
        <v>120.856415140609</v>
      </c>
      <c r="AJ6418">
        <v>82.731571748346397</v>
      </c>
      <c r="AK6418">
        <v>0.47542801179206001</v>
      </c>
      <c r="AL6418">
        <v>81.500603476895193</v>
      </c>
      <c r="AM6418">
        <v>91.243876747624</v>
      </c>
      <c r="AN6418">
        <v>1.0000000395483399</v>
      </c>
    </row>
    <row r="6419" spans="1:40" x14ac:dyDescent="0.25">
      <c r="A6419" t="str">
        <f>"20190303162039999"</f>
        <v>20190303162039999</v>
      </c>
      <c r="B6419" t="str">
        <f>"1551601239989067"</f>
        <v>1551601239989067</v>
      </c>
      <c r="C6419" t="s">
        <v>40</v>
      </c>
      <c r="D6419">
        <v>5.165724</v>
      </c>
      <c r="E6419">
        <v>0.49221579999999898</v>
      </c>
      <c r="F6419" t="s">
        <v>42</v>
      </c>
      <c r="G6419">
        <v>-252.02969999999999</v>
      </c>
      <c r="H6419">
        <v>0.9438086</v>
      </c>
      <c r="I6419">
        <v>141.3734</v>
      </c>
      <c r="J6419">
        <v>-251.53460000000001</v>
      </c>
      <c r="K6419">
        <v>1.12079</v>
      </c>
      <c r="L6419">
        <v>141.3329</v>
      </c>
      <c r="M6419">
        <v>-0.99977769999999999</v>
      </c>
      <c r="N6419">
        <v>-1.060681E-2</v>
      </c>
      <c r="O6419">
        <v>1.822464E-2</v>
      </c>
      <c r="P6419">
        <v>-0.99040819999999996</v>
      </c>
      <c r="Q6419">
        <v>0.1381336</v>
      </c>
      <c r="R6419">
        <v>-3.3234279999999998E-3</v>
      </c>
      <c r="S6419">
        <v>-3.1281430000000001</v>
      </c>
      <c r="T6419">
        <v>-0.71208739999999904</v>
      </c>
      <c r="U6419">
        <v>0.18466189999999999</v>
      </c>
      <c r="V6419">
        <v>-2.124436E-2</v>
      </c>
      <c r="W6419">
        <v>0.1486469</v>
      </c>
      <c r="X6419">
        <v>0.98866209999999999</v>
      </c>
      <c r="Y6419">
        <v>4.0077750000000002E-2</v>
      </c>
      <c r="Z6419">
        <v>8.1454659999999996E-4</v>
      </c>
      <c r="AA6419">
        <v>0.99919619999999998</v>
      </c>
      <c r="AB6419">
        <v>28</v>
      </c>
      <c r="AC6419">
        <v>-0.495099999999979</v>
      </c>
      <c r="AD6419">
        <v>-0.17698140000000001</v>
      </c>
      <c r="AE6419">
        <v>4.0500000000008599E-2</v>
      </c>
      <c r="AF6419">
        <v>2.7925137608816E-2</v>
      </c>
      <c r="AG6419">
        <v>-0.17698140000000001</v>
      </c>
      <c r="AH6419">
        <v>0.43991621696188399</v>
      </c>
      <c r="AI6419">
        <v>111.875408917694</v>
      </c>
      <c r="AJ6419">
        <v>86.367834164319405</v>
      </c>
      <c r="AK6419">
        <v>0.47500369177774499</v>
      </c>
      <c r="AL6419">
        <v>81.451479301341394</v>
      </c>
      <c r="AM6419">
        <v>91.230981622267606</v>
      </c>
      <c r="AN6419">
        <v>0.99999998584391403</v>
      </c>
    </row>
    <row r="6420" spans="1:40" x14ac:dyDescent="0.25">
      <c r="A6420" t="str">
        <f>"20190303162040023"</f>
        <v>20190303162040023</v>
      </c>
      <c r="B6420" t="str">
        <f>"1551601240008587"</f>
        <v>1551601240008587</v>
      </c>
      <c r="C6420" t="s">
        <v>40</v>
      </c>
      <c r="D6420">
        <v>5.1412909999999998</v>
      </c>
      <c r="E6420">
        <v>0.48772140000000003</v>
      </c>
      <c r="F6420" t="s">
        <v>41</v>
      </c>
      <c r="G6420">
        <v>-266.82990000000001</v>
      </c>
      <c r="H6420" s="1">
        <v>-1.7127430000000001E-6</v>
      </c>
      <c r="I6420">
        <v>141.0085</v>
      </c>
      <c r="J6420">
        <v>-251.8169</v>
      </c>
      <c r="K6420">
        <v>1.120798</v>
      </c>
      <c r="L6420">
        <v>141.33850000000001</v>
      </c>
      <c r="M6420">
        <v>-0.99976920000000002</v>
      </c>
      <c r="N6420">
        <v>-1.062368E-2</v>
      </c>
      <c r="O6420">
        <v>1.868117E-2</v>
      </c>
      <c r="P6420">
        <v>-0.99031279999999999</v>
      </c>
      <c r="Q6420">
        <v>0.13883199999999901</v>
      </c>
      <c r="R6420">
        <v>-2.5989849999999998E-3</v>
      </c>
      <c r="S6420">
        <v>-3.06012</v>
      </c>
      <c r="T6420">
        <v>-0.22423779999999999</v>
      </c>
      <c r="U6420">
        <v>-6.4895629999999996E-2</v>
      </c>
      <c r="V6420">
        <v>-2.0971469999999999E-2</v>
      </c>
      <c r="W6420">
        <v>0.14936070000000001</v>
      </c>
      <c r="X6420">
        <v>0.98856040000000001</v>
      </c>
      <c r="Y6420">
        <v>-3.9717919999999997E-2</v>
      </c>
      <c r="Z6420">
        <v>-2.8331440000000001E-3</v>
      </c>
      <c r="AA6420">
        <v>0.99920690000000001</v>
      </c>
      <c r="AB6420">
        <v>28</v>
      </c>
      <c r="AC6420">
        <v>-15.013</v>
      </c>
      <c r="AD6420">
        <v>-1.1207997127429901</v>
      </c>
      <c r="AE6420">
        <v>-0.33000000000001201</v>
      </c>
      <c r="AF6420">
        <v>-0.60703696424486198</v>
      </c>
      <c r="AG6420">
        <v>-1.1207997127429901</v>
      </c>
      <c r="AH6420">
        <v>14.921093457114999</v>
      </c>
      <c r="AI6420">
        <v>94.292174944826897</v>
      </c>
      <c r="AJ6420">
        <v>92.329687599347693</v>
      </c>
      <c r="AK6420">
        <v>14.9754370830371</v>
      </c>
      <c r="AL6420">
        <v>81.410120354782094</v>
      </c>
      <c r="AM6420">
        <v>91.215299052263106</v>
      </c>
      <c r="AN6420">
        <v>1.0000000428533</v>
      </c>
    </row>
    <row r="6421" spans="1:40" x14ac:dyDescent="0.25">
      <c r="A6421" t="str">
        <f>"20190303162040045"</f>
        <v>20190303162040045</v>
      </c>
      <c r="B6421" t="str">
        <f>"1551601240038842"</f>
        <v>1551601240038842</v>
      </c>
      <c r="C6421" t="s">
        <v>40</v>
      </c>
      <c r="D6421">
        <v>5.1222960000000004</v>
      </c>
      <c r="E6421">
        <v>0.48761510000000002</v>
      </c>
      <c r="F6421" t="s">
        <v>41</v>
      </c>
      <c r="G6421">
        <v>-277.05399999999997</v>
      </c>
      <c r="H6421" s="1">
        <v>-1.484617E-6</v>
      </c>
      <c r="I6421">
        <v>140.51249999999999</v>
      </c>
      <c r="J6421">
        <v>-252.09569999999999</v>
      </c>
      <c r="K6421">
        <v>1.1208039999999999</v>
      </c>
      <c r="L6421">
        <v>141.3442</v>
      </c>
      <c r="M6421">
        <v>-0.9997606</v>
      </c>
      <c r="N6421">
        <v>-1.063849E-2</v>
      </c>
      <c r="O6421">
        <v>1.912519E-2</v>
      </c>
      <c r="P6421">
        <v>-0.99032149999999997</v>
      </c>
      <c r="Q6421">
        <v>0.13877919999999999</v>
      </c>
      <c r="R6421">
        <v>-1.984647E-3</v>
      </c>
      <c r="S6421">
        <v>-3.0480649999999998</v>
      </c>
      <c r="T6421">
        <v>-0.1353674</v>
      </c>
      <c r="U6421">
        <v>-9.9761959999999997E-2</v>
      </c>
      <c r="V6421">
        <v>-2.0799539999999998E-2</v>
      </c>
      <c r="W6421">
        <v>0.14932210000000001</v>
      </c>
      <c r="X6421">
        <v>0.98856980000000005</v>
      </c>
      <c r="Y6421">
        <v>-5.174807E-2</v>
      </c>
      <c r="Z6421">
        <v>-2.0691450000000001E-3</v>
      </c>
      <c r="AA6421">
        <v>0.99865800000000005</v>
      </c>
      <c r="AB6421">
        <v>28</v>
      </c>
      <c r="AC6421">
        <v>-24.958300000000001</v>
      </c>
      <c r="AD6421">
        <v>-1.1208054846169999</v>
      </c>
      <c r="AE6421">
        <v>-0.83170000000001199</v>
      </c>
      <c r="AF6421">
        <v>-1.3062756775895099</v>
      </c>
      <c r="AG6421">
        <v>-1.1208054846169999</v>
      </c>
      <c r="AH6421">
        <v>24.887693122765</v>
      </c>
      <c r="AI6421">
        <v>92.575006395196397</v>
      </c>
      <c r="AJ6421">
        <v>93.004515836687006</v>
      </c>
      <c r="AK6421">
        <v>24.947140718990902</v>
      </c>
      <c r="AL6421">
        <v>81.412356510476599</v>
      </c>
      <c r="AM6421">
        <v>91.205327183040097</v>
      </c>
      <c r="AN6421">
        <v>0.99999997994233003</v>
      </c>
    </row>
    <row r="6422" spans="1:40" x14ac:dyDescent="0.25">
      <c r="A6422" t="str">
        <f>"20190303162040068"</f>
        <v>20190303162040068</v>
      </c>
      <c r="B6422" t="str">
        <f>"1551601240059339"</f>
        <v>1551601240059339</v>
      </c>
      <c r="C6422" t="s">
        <v>40</v>
      </c>
      <c r="D6422">
        <v>5.1698360000000001</v>
      </c>
      <c r="E6422">
        <v>0.4879772</v>
      </c>
      <c r="F6422" t="s">
        <v>50</v>
      </c>
      <c r="G6422">
        <v>-281.16500000000002</v>
      </c>
      <c r="H6422" s="1">
        <v>-4.3887790000000003E-6</v>
      </c>
      <c r="I6422">
        <v>140.40299999999999</v>
      </c>
      <c r="J6422">
        <v>-252.37180000000001</v>
      </c>
      <c r="K6422">
        <v>1.120808</v>
      </c>
      <c r="L6422">
        <v>141.35</v>
      </c>
      <c r="M6422">
        <v>-0.99975210000000003</v>
      </c>
      <c r="N6422">
        <v>-1.0651529999999999E-2</v>
      </c>
      <c r="O6422">
        <v>1.955892E-2</v>
      </c>
      <c r="P6422">
        <v>-0.99035459999999997</v>
      </c>
      <c r="Q6422">
        <v>0.1385555</v>
      </c>
      <c r="R6422">
        <v>-8.5145839999999995E-4</v>
      </c>
      <c r="S6422">
        <v>-3.045563</v>
      </c>
      <c r="T6422">
        <v>-0.117426</v>
      </c>
      <c r="U6422">
        <v>-9.8602289999999995E-2</v>
      </c>
      <c r="V6422">
        <v>-2.009876E-2</v>
      </c>
      <c r="W6422">
        <v>0.14911089999999999</v>
      </c>
      <c r="X6422">
        <v>0.98861619999999995</v>
      </c>
      <c r="Y6422">
        <v>-5.1845629999999997E-2</v>
      </c>
      <c r="Z6422">
        <v>-1.820634E-3</v>
      </c>
      <c r="AA6422">
        <v>0.99865349999999997</v>
      </c>
      <c r="AB6422">
        <v>28</v>
      </c>
      <c r="AC6422">
        <v>-28.793199999999999</v>
      </c>
      <c r="AD6422">
        <v>-1.120812388779</v>
      </c>
      <c r="AE6422">
        <v>-0.94700000000000195</v>
      </c>
      <c r="AF6422">
        <v>-1.5077324618004999</v>
      </c>
      <c r="AG6422">
        <v>-1.120812388779</v>
      </c>
      <c r="AH6422">
        <v>28.725688330604399</v>
      </c>
      <c r="AI6422">
        <v>92.231351935700403</v>
      </c>
      <c r="AJ6422">
        <v>93.004540999080703</v>
      </c>
      <c r="AK6422">
        <v>28.787056946729201</v>
      </c>
      <c r="AL6422">
        <v>81.424594611155399</v>
      </c>
      <c r="AM6422">
        <v>91.164673920772898</v>
      </c>
      <c r="AN6422">
        <v>1.0000000057773899</v>
      </c>
    </row>
    <row r="6423" spans="1:40" x14ac:dyDescent="0.25">
      <c r="A6423" t="str">
        <f>"20190303162040090"</f>
        <v>20190303162040090</v>
      </c>
      <c r="B6423" t="str">
        <f>"1551601240078858"</f>
        <v>1551601240078858</v>
      </c>
      <c r="C6423" t="s">
        <v>40</v>
      </c>
      <c r="D6423">
        <v>5.1583110000000003</v>
      </c>
      <c r="E6423">
        <v>0.48834689999999997</v>
      </c>
      <c r="F6423" t="s">
        <v>50</v>
      </c>
      <c r="G6423">
        <v>-281.16950000000003</v>
      </c>
      <c r="H6423" s="1">
        <v>-4.4158719999999996E-6</v>
      </c>
      <c r="I6423">
        <v>140.48070000000001</v>
      </c>
      <c r="J6423">
        <v>-252.6508</v>
      </c>
      <c r="K6423">
        <v>1.1208100000000001</v>
      </c>
      <c r="L6423">
        <v>141.35589999999999</v>
      </c>
      <c r="M6423">
        <v>-0.99974339999999995</v>
      </c>
      <c r="N6423">
        <v>-1.0663270000000001E-2</v>
      </c>
      <c r="O6423">
        <v>1.9992449999999998E-2</v>
      </c>
      <c r="P6423">
        <v>-0.99032699999999996</v>
      </c>
      <c r="Q6423">
        <v>0.13875309999999999</v>
      </c>
      <c r="R6423">
        <v>-3.7716520000000001E-4</v>
      </c>
      <c r="S6423">
        <v>-3.045731</v>
      </c>
      <c r="T6423">
        <v>-0.1185408</v>
      </c>
      <c r="U6423">
        <v>-9.1934199999999994E-2</v>
      </c>
      <c r="V6423">
        <v>-2.0053809999999998E-2</v>
      </c>
      <c r="W6423">
        <v>0.1493197</v>
      </c>
      <c r="X6423">
        <v>0.98858559999999995</v>
      </c>
      <c r="Y6423">
        <v>-5.009305E-2</v>
      </c>
      <c r="Z6423">
        <v>-1.806085E-3</v>
      </c>
      <c r="AA6423">
        <v>0.99874289999999999</v>
      </c>
      <c r="AB6423">
        <v>28</v>
      </c>
      <c r="AC6423">
        <v>-28.518699999999999</v>
      </c>
      <c r="AD6423">
        <v>-1.1208144158719999</v>
      </c>
      <c r="AE6423">
        <v>-0.875199999999978</v>
      </c>
      <c r="AF6423">
        <v>-1.4429893767399999</v>
      </c>
      <c r="AG6423">
        <v>-1.1208144158719999</v>
      </c>
      <c r="AH6423">
        <v>28.451596792566001</v>
      </c>
      <c r="AI6423">
        <v>92.253034939014697</v>
      </c>
      <c r="AJ6423">
        <v>92.903401949614704</v>
      </c>
      <c r="AK6423">
        <v>28.510205249050099</v>
      </c>
      <c r="AL6423">
        <v>81.412495824977896</v>
      </c>
      <c r="AM6423">
        <v>91.162105853465107</v>
      </c>
      <c r="AN6423">
        <v>1.0000000083154801</v>
      </c>
    </row>
    <row r="6424" spans="1:40" x14ac:dyDescent="0.25">
      <c r="A6424" t="str">
        <f>"20190303162040111"</f>
        <v>20190303162040111</v>
      </c>
      <c r="B6424" t="str">
        <f>"1551601240099355"</f>
        <v>1551601240099355</v>
      </c>
      <c r="C6424" t="s">
        <v>40</v>
      </c>
      <c r="D6424">
        <v>5.1638060000000001</v>
      </c>
      <c r="E6424">
        <v>0.4887283</v>
      </c>
      <c r="F6424" t="s">
        <v>50</v>
      </c>
      <c r="G6424">
        <v>-281.30869999999999</v>
      </c>
      <c r="H6424" s="1">
        <v>-4.4938689999999996E-6</v>
      </c>
      <c r="I6424">
        <v>140.5309</v>
      </c>
      <c r="J6424">
        <v>-252.9135</v>
      </c>
      <c r="K6424">
        <v>1.1208129999999901</v>
      </c>
      <c r="L6424">
        <v>141.36160000000001</v>
      </c>
      <c r="M6424">
        <v>-0.99973500000000004</v>
      </c>
      <c r="N6424">
        <v>-1.0673200000000001E-2</v>
      </c>
      <c r="O6424">
        <v>2.0397390000000001E-2</v>
      </c>
      <c r="P6424">
        <v>-0.99030240000000003</v>
      </c>
      <c r="Q6424">
        <v>0.13892589999999999</v>
      </c>
      <c r="R6424">
        <v>8.9877329999999995E-4</v>
      </c>
      <c r="S6424">
        <v>-3.0459749999999999</v>
      </c>
      <c r="T6424">
        <v>-0.11912830000000001</v>
      </c>
      <c r="U6424">
        <v>-8.7692259999999994E-2</v>
      </c>
      <c r="V6424">
        <v>-1.91793E-2</v>
      </c>
      <c r="W6424">
        <v>0.14950169999999999</v>
      </c>
      <c r="X6424">
        <v>0.98857550000000005</v>
      </c>
      <c r="Y6424">
        <v>-4.9105740000000002E-2</v>
      </c>
      <c r="Z6424">
        <v>-1.8016359999999999E-3</v>
      </c>
      <c r="AA6424">
        <v>0.99879189999999995</v>
      </c>
      <c r="AB6424">
        <v>28</v>
      </c>
      <c r="AC6424">
        <v>-28.3951999999999</v>
      </c>
      <c r="AD6424">
        <v>-1.1208174938690001</v>
      </c>
      <c r="AE6424">
        <v>-0.83070000000000699</v>
      </c>
      <c r="AF6424">
        <v>-1.40755694228346</v>
      </c>
      <c r="AG6424">
        <v>-1.1208174938690001</v>
      </c>
      <c r="AH6424">
        <v>28.328247737849299</v>
      </c>
      <c r="AI6424">
        <v>92.2629578994719</v>
      </c>
      <c r="AJ6424">
        <v>92.844538883114097</v>
      </c>
      <c r="AK6424">
        <v>28.385331921562901</v>
      </c>
      <c r="AL6424">
        <v>81.401950075293101</v>
      </c>
      <c r="AM6424">
        <v>91.111452895519193</v>
      </c>
      <c r="AN6424">
        <v>1.00000006152581</v>
      </c>
    </row>
    <row r="6425" spans="1:40" x14ac:dyDescent="0.25">
      <c r="A6425" t="str">
        <f>"20190303162040134"</f>
        <v>20190303162040134</v>
      </c>
      <c r="B6425" t="str">
        <f>"1551601240128634"</f>
        <v>1551601240128634</v>
      </c>
      <c r="C6425" t="s">
        <v>40</v>
      </c>
      <c r="D6425">
        <v>5.161702</v>
      </c>
      <c r="E6425">
        <v>0.48901620000000001</v>
      </c>
      <c r="F6425" t="s">
        <v>50</v>
      </c>
      <c r="G6425">
        <v>-281.3218</v>
      </c>
      <c r="H6425" s="1">
        <v>-4.5243349999999999E-6</v>
      </c>
      <c r="I6425">
        <v>140.60720000000001</v>
      </c>
      <c r="J6425">
        <v>-253.2081</v>
      </c>
      <c r="K6425">
        <v>1.1208089999999999</v>
      </c>
      <c r="L6425">
        <v>141.3681</v>
      </c>
      <c r="M6425">
        <v>-0.99972559999999999</v>
      </c>
      <c r="N6425">
        <v>-1.068319E-2</v>
      </c>
      <c r="O6425">
        <v>2.0849960000000001E-2</v>
      </c>
      <c r="P6425">
        <v>-0.99025430000000003</v>
      </c>
      <c r="Q6425">
        <v>0.13925360000000001</v>
      </c>
      <c r="R6425">
        <v>2.2385259999999998E-3</v>
      </c>
      <c r="S6425">
        <v>-3.0463100000000001</v>
      </c>
      <c r="T6425">
        <v>-0.1201887</v>
      </c>
      <c r="U6425">
        <v>-8.0902100000000005E-2</v>
      </c>
      <c r="V6425">
        <v>-1.8286480000000001E-2</v>
      </c>
      <c r="W6425">
        <v>0.14983829999999901</v>
      </c>
      <c r="X6425">
        <v>0.98854140000000001</v>
      </c>
      <c r="Y6425">
        <v>-4.7330690000000002E-2</v>
      </c>
      <c r="Z6425">
        <v>-1.7856739999999999E-3</v>
      </c>
      <c r="AA6425">
        <v>0.99887769999999998</v>
      </c>
      <c r="AB6425">
        <v>28</v>
      </c>
      <c r="AC6425">
        <v>-28.113699999999898</v>
      </c>
      <c r="AD6425">
        <v>-1.1208135243349999</v>
      </c>
      <c r="AE6425">
        <v>-0.76089999999999203</v>
      </c>
      <c r="AF6425">
        <v>-1.3448016588045399</v>
      </c>
      <c r="AG6425">
        <v>-1.1208135243349999</v>
      </c>
      <c r="AH6425">
        <v>28.0471768978482</v>
      </c>
      <c r="AI6425">
        <v>92.285797232584997</v>
      </c>
      <c r="AJ6425">
        <v>92.745106715582494</v>
      </c>
      <c r="AK6425">
        <v>28.101758777646701</v>
      </c>
      <c r="AL6425">
        <v>81.382444121138093</v>
      </c>
      <c r="AM6425">
        <v>91.059762030502597</v>
      </c>
      <c r="AN6425">
        <v>1.00000000550582</v>
      </c>
    </row>
    <row r="6426" spans="1:40" x14ac:dyDescent="0.25">
      <c r="A6426" t="str">
        <f>"20190303162040156"</f>
        <v>20190303162040156</v>
      </c>
      <c r="B6426" t="str">
        <f>"1551601240149131"</f>
        <v>1551601240149131</v>
      </c>
      <c r="C6426" t="s">
        <v>40</v>
      </c>
      <c r="D6426">
        <v>5.221349</v>
      </c>
      <c r="E6426">
        <v>0.48915140000000001</v>
      </c>
      <c r="F6426" t="s">
        <v>50</v>
      </c>
      <c r="G6426">
        <v>-281.40309999999999</v>
      </c>
      <c r="H6426" s="1">
        <v>-4.5822489999999998E-6</v>
      </c>
      <c r="I6426">
        <v>140.6747</v>
      </c>
      <c r="J6426">
        <v>-253.4776</v>
      </c>
      <c r="K6426">
        <v>1.1208100000000001</v>
      </c>
      <c r="L6426">
        <v>141.3742</v>
      </c>
      <c r="M6426">
        <v>-0.99971690000000002</v>
      </c>
      <c r="N6426">
        <v>-1.0691330000000001E-2</v>
      </c>
      <c r="O6426">
        <v>2.1264109999999999E-2</v>
      </c>
      <c r="P6426">
        <v>-0.99023680000000003</v>
      </c>
      <c r="Q6426">
        <v>0.139352</v>
      </c>
      <c r="R6426">
        <v>3.561299E-3</v>
      </c>
      <c r="S6426">
        <v>-3.0467529999999998</v>
      </c>
      <c r="T6426">
        <v>-0.1211151</v>
      </c>
      <c r="U6426">
        <v>-7.4935909999999994E-2</v>
      </c>
      <c r="V6426">
        <v>-1.7373610000000001E-2</v>
      </c>
      <c r="W6426">
        <v>0.14994350000000001</v>
      </c>
      <c r="X6426">
        <v>0.98854189999999997</v>
      </c>
      <c r="Y6426">
        <v>-4.5786399999999998E-2</v>
      </c>
      <c r="Z6426">
        <v>-1.7720779999999901E-3</v>
      </c>
      <c r="AA6426">
        <v>0.99894970000000005</v>
      </c>
      <c r="AB6426">
        <v>28</v>
      </c>
      <c r="AC6426">
        <v>-27.9255</v>
      </c>
      <c r="AD6426">
        <v>-1.1208145822490001</v>
      </c>
      <c r="AE6426">
        <v>-0.69950000000000001</v>
      </c>
      <c r="AF6426">
        <v>-1.29110803395504</v>
      </c>
      <c r="AG6426">
        <v>-1.1208145822490001</v>
      </c>
      <c r="AH6426">
        <v>27.859459686151101</v>
      </c>
      <c r="AI6426">
        <v>92.301358094323803</v>
      </c>
      <c r="AJ6426">
        <v>92.653394959211596</v>
      </c>
      <c r="AK6426">
        <v>27.911873446392001</v>
      </c>
      <c r="AL6426">
        <v>81.3763476122474</v>
      </c>
      <c r="AM6426">
        <v>91.006868861010204</v>
      </c>
      <c r="AN6426">
        <v>0.99999999178614596</v>
      </c>
    </row>
    <row r="6427" spans="1:40" x14ac:dyDescent="0.25">
      <c r="A6427" t="str">
        <f>"20190303162040170"</f>
        <v>20190303162040170</v>
      </c>
      <c r="B6427" t="str">
        <f>"1551601240159398"</f>
        <v>1551601240159398</v>
      </c>
      <c r="C6427" t="s">
        <v>40</v>
      </c>
      <c r="D6427">
        <v>5.1629509999999996</v>
      </c>
      <c r="E6427">
        <v>0.48924040000000002</v>
      </c>
      <c r="F6427" t="s">
        <v>50</v>
      </c>
      <c r="G6427">
        <v>-281.57330000000002</v>
      </c>
      <c r="H6427" s="1">
        <v>-4.6750579999999996E-6</v>
      </c>
      <c r="I6427">
        <v>140.72829999999999</v>
      </c>
      <c r="J6427">
        <v>-253.6455</v>
      </c>
      <c r="K6427">
        <v>1.120803</v>
      </c>
      <c r="L6427">
        <v>141.37809999999999</v>
      </c>
      <c r="M6427">
        <v>-0.99971129999999997</v>
      </c>
      <c r="N6427">
        <v>-1.0696020000000001E-2</v>
      </c>
      <c r="O6427">
        <v>2.1522409999999999E-2</v>
      </c>
      <c r="P6427">
        <v>-0.99022290000000002</v>
      </c>
      <c r="Q6427">
        <v>0.1394339</v>
      </c>
      <c r="R6427">
        <v>4.1242140000000002E-3</v>
      </c>
      <c r="S6427">
        <v>-3.0469210000000002</v>
      </c>
      <c r="T6427">
        <v>-0.12155009999999999</v>
      </c>
      <c r="U6427">
        <v>-7.0053099999999993E-2</v>
      </c>
      <c r="V6427">
        <v>-1.7066049999999999E-2</v>
      </c>
      <c r="W6427">
        <v>0.1500302</v>
      </c>
      <c r="X6427">
        <v>0.98853409999999997</v>
      </c>
      <c r="Y6427">
        <v>-4.4444009999999999E-2</v>
      </c>
      <c r="Z6427">
        <v>-1.7518970000000001E-3</v>
      </c>
      <c r="AA6427">
        <v>0.99901030000000002</v>
      </c>
      <c r="AB6427">
        <v>28</v>
      </c>
      <c r="AC6427">
        <v>-27.927800000000001</v>
      </c>
      <c r="AD6427">
        <v>-1.1208076750579901</v>
      </c>
      <c r="AE6427">
        <v>-0.64979999999999905</v>
      </c>
      <c r="AF6427">
        <v>-1.2487471752225501</v>
      </c>
      <c r="AG6427">
        <v>-1.1208076750579901</v>
      </c>
      <c r="AH6427">
        <v>27.8624930179305</v>
      </c>
      <c r="AI6427">
        <v>92.301253148964804</v>
      </c>
      <c r="AJ6427">
        <v>92.566177225027502</v>
      </c>
      <c r="AK6427">
        <v>27.912973623860299</v>
      </c>
      <c r="AL6427">
        <v>81.3713232073613</v>
      </c>
      <c r="AM6427">
        <v>90.989055927433895</v>
      </c>
      <c r="AN6427">
        <v>0.99999998891872599</v>
      </c>
    </row>
    <row r="6428" spans="1:40" x14ac:dyDescent="0.25">
      <c r="A6428" t="str">
        <f>"20190303162040190"</f>
        <v>20190303162040190</v>
      </c>
      <c r="B6428" t="str">
        <f>"1551601240178918"</f>
        <v>1551601240178918</v>
      </c>
      <c r="C6428" t="s">
        <v>40</v>
      </c>
      <c r="D6428">
        <v>4.9564380000000003</v>
      </c>
      <c r="E6428">
        <v>0.48918640000000002</v>
      </c>
      <c r="F6428" t="s">
        <v>50</v>
      </c>
      <c r="G6428">
        <v>-281.35680000000002</v>
      </c>
      <c r="H6428" s="1">
        <v>-4.5902569999999998E-6</v>
      </c>
      <c r="I6428">
        <v>140.76300000000001</v>
      </c>
      <c r="J6428">
        <v>-253.9033</v>
      </c>
      <c r="K6428">
        <v>1.1208009999999999</v>
      </c>
      <c r="L6428">
        <v>141.38409999999999</v>
      </c>
      <c r="M6428">
        <v>-0.99970250000000005</v>
      </c>
      <c r="N6428">
        <v>-1.0702629999999999E-2</v>
      </c>
      <c r="O6428">
        <v>2.1920350000000002E-2</v>
      </c>
      <c r="P6428">
        <v>-0.99026630000000004</v>
      </c>
      <c r="Q6428">
        <v>0.1390884</v>
      </c>
      <c r="R6428">
        <v>5.2214459999999898E-3</v>
      </c>
      <c r="S6428">
        <v>-3.047272</v>
      </c>
      <c r="T6428">
        <v>-0.1232499</v>
      </c>
      <c r="U6428">
        <v>-6.7642209999999994E-2</v>
      </c>
      <c r="V6428">
        <v>-1.636456E-2</v>
      </c>
      <c r="W6428">
        <v>0.1496912</v>
      </c>
      <c r="X6428">
        <v>0.98859730000000001</v>
      </c>
      <c r="Y6428">
        <v>-4.404781E-2</v>
      </c>
      <c r="Z6428">
        <v>-1.77778299999999E-3</v>
      </c>
      <c r="AA6428">
        <v>0.99902780000000002</v>
      </c>
      <c r="AB6428">
        <v>28</v>
      </c>
      <c r="AC6428">
        <v>-27.453499999999998</v>
      </c>
      <c r="AD6428">
        <v>-1.120805590257</v>
      </c>
      <c r="AE6428">
        <v>-0.621099999999984</v>
      </c>
      <c r="AF6428">
        <v>-1.22074189645895</v>
      </c>
      <c r="AG6428">
        <v>-1.120805590257</v>
      </c>
      <c r="AH6428">
        <v>27.387662742078899</v>
      </c>
      <c r="AI6428">
        <v>92.341128092096696</v>
      </c>
      <c r="AJ6428">
        <v>92.552137980149695</v>
      </c>
      <c r="AK6428">
        <v>27.437756585092298</v>
      </c>
      <c r="AL6428">
        <v>81.390967884121395</v>
      </c>
      <c r="AM6428">
        <v>90.948348327359398</v>
      </c>
      <c r="AN6428">
        <v>0.99999993787436003</v>
      </c>
    </row>
    <row r="6429" spans="1:40" x14ac:dyDescent="0.25">
      <c r="A6429" t="str">
        <f>"20190303162040213"</f>
        <v>20190303162040213</v>
      </c>
      <c r="B6429" t="str">
        <f>"1551601240198438"</f>
        <v>1551601240198438</v>
      </c>
      <c r="C6429" t="s">
        <v>40</v>
      </c>
      <c r="D6429">
        <v>5.1134089999999999</v>
      </c>
      <c r="E6429">
        <v>0.48923440000000001</v>
      </c>
      <c r="F6429" t="s">
        <v>50</v>
      </c>
      <c r="G6429">
        <v>-281.12830000000002</v>
      </c>
      <c r="H6429" s="1">
        <v>-4.5027339999999998E-6</v>
      </c>
      <c r="I6429">
        <v>140.80549999999999</v>
      </c>
      <c r="J6429">
        <v>-254.18190000000001</v>
      </c>
      <c r="K6429">
        <v>1.120798</v>
      </c>
      <c r="L6429">
        <v>141.39070000000001</v>
      </c>
      <c r="M6429">
        <v>-0.99969280000000005</v>
      </c>
      <c r="N6429">
        <v>-1.0709110000000001E-2</v>
      </c>
      <c r="O6429">
        <v>2.235125E-2</v>
      </c>
      <c r="P6429">
        <v>-0.99038150000000003</v>
      </c>
      <c r="Q6429">
        <v>0.1382572</v>
      </c>
      <c r="R6429">
        <v>5.4604429999999997E-3</v>
      </c>
      <c r="S6429">
        <v>-3.0474399999999999</v>
      </c>
      <c r="T6429">
        <v>-0.12545780000000001</v>
      </c>
      <c r="U6429">
        <v>-6.4758300000000005E-2</v>
      </c>
      <c r="V6429">
        <v>-1.655473E-2</v>
      </c>
      <c r="W6429">
        <v>0.14886750000000001</v>
      </c>
      <c r="X6429">
        <v>0.9887186</v>
      </c>
      <c r="Y6429">
        <v>-4.3530630000000001E-2</v>
      </c>
      <c r="Z6429">
        <v>-1.8092029999999999E-3</v>
      </c>
      <c r="AA6429">
        <v>0.99905040000000001</v>
      </c>
      <c r="AB6429">
        <v>28</v>
      </c>
      <c r="AC6429">
        <v>-26.946400000000001</v>
      </c>
      <c r="AD6429">
        <v>-1.1208025027339901</v>
      </c>
      <c r="AE6429">
        <v>-0.58520000000001404</v>
      </c>
      <c r="AF6429">
        <v>-1.18532436920722</v>
      </c>
      <c r="AG6429">
        <v>-1.1208025027339901</v>
      </c>
      <c r="AH6429">
        <v>26.880104973768201</v>
      </c>
      <c r="AI6429">
        <v>92.385326965510998</v>
      </c>
      <c r="AJ6429">
        <v>92.524920008910698</v>
      </c>
      <c r="AK6429">
        <v>26.9295606260327</v>
      </c>
      <c r="AL6429">
        <v>81.438698028117699</v>
      </c>
      <c r="AM6429">
        <v>90.959249210453294</v>
      </c>
      <c r="AN6429">
        <v>1.00000003081379</v>
      </c>
    </row>
    <row r="6430" spans="1:40" x14ac:dyDescent="0.25">
      <c r="A6430" t="str">
        <f>"20190303162040234"</f>
        <v>20190303162040234</v>
      </c>
      <c r="B6430" t="str">
        <f>"1551601240228695"</f>
        <v>1551601240228695</v>
      </c>
      <c r="C6430" t="s">
        <v>40</v>
      </c>
      <c r="D6430">
        <v>4.7453469999999998</v>
      </c>
      <c r="E6430">
        <v>0.48943179999999997</v>
      </c>
      <c r="F6430" t="s">
        <v>50</v>
      </c>
      <c r="G6430">
        <v>-281.52300000000002</v>
      </c>
      <c r="H6430" s="1">
        <v>-4.682335E-6</v>
      </c>
      <c r="I6430">
        <v>140.81970000000001</v>
      </c>
      <c r="J6430">
        <v>-254.45490000000001</v>
      </c>
      <c r="K6430">
        <v>1.1207849999999999</v>
      </c>
      <c r="L6430">
        <v>141.3972</v>
      </c>
      <c r="M6430">
        <v>-0.99968330000000005</v>
      </c>
      <c r="N6430">
        <v>-1.071486E-2</v>
      </c>
      <c r="O6430">
        <v>2.2773930000000001E-2</v>
      </c>
      <c r="P6430">
        <v>-0.99051040000000001</v>
      </c>
      <c r="Q6430">
        <v>0.13729240000000001</v>
      </c>
      <c r="R6430">
        <v>6.3284169999999898E-3</v>
      </c>
      <c r="S6430">
        <v>-3.0469360000000001</v>
      </c>
      <c r="T6430">
        <v>-0.12490420000000001</v>
      </c>
      <c r="U6430">
        <v>-6.3629149999999995E-2</v>
      </c>
      <c r="V6430">
        <v>-1.610965E-2</v>
      </c>
      <c r="W6430">
        <v>0.14791029999999999</v>
      </c>
      <c r="X6430">
        <v>0.98886949999999996</v>
      </c>
      <c r="Y6430">
        <v>-4.3586699999999999E-2</v>
      </c>
      <c r="Z6430">
        <v>-1.815735E-3</v>
      </c>
      <c r="AA6430">
        <v>0.99904800000000005</v>
      </c>
      <c r="AB6430">
        <v>28</v>
      </c>
      <c r="AC6430">
        <v>-27.068099999999902</v>
      </c>
      <c r="AD6430">
        <v>-1.1207896823350001</v>
      </c>
      <c r="AE6430">
        <v>-0.57749999999998602</v>
      </c>
      <c r="AF6430">
        <v>-1.19179018539079</v>
      </c>
      <c r="AG6430">
        <v>-1.1207896823350001</v>
      </c>
      <c r="AH6430">
        <v>27.0016533634928</v>
      </c>
      <c r="AI6430">
        <v>92.374570287359901</v>
      </c>
      <c r="AJ6430">
        <v>92.527262165708194</v>
      </c>
      <c r="AK6430">
        <v>27.051170357680299</v>
      </c>
      <c r="AL6430">
        <v>81.494154674516395</v>
      </c>
      <c r="AM6430">
        <v>90.933321649248199</v>
      </c>
      <c r="AN6430">
        <v>0.99999993284972899</v>
      </c>
    </row>
    <row r="6431" spans="1:40" x14ac:dyDescent="0.25">
      <c r="A6431" t="str">
        <f>"20190303162040256"</f>
        <v>20190303162040256</v>
      </c>
      <c r="B6431" t="str">
        <f>"1551601240249192"</f>
        <v>1551601240249192</v>
      </c>
      <c r="C6431" t="s">
        <v>40</v>
      </c>
      <c r="D6431">
        <v>4.8802079999999997</v>
      </c>
      <c r="E6431">
        <v>0.48952050000000003</v>
      </c>
      <c r="F6431" t="s">
        <v>50</v>
      </c>
      <c r="G6431">
        <v>-283.56130000000002</v>
      </c>
      <c r="H6431" s="1">
        <v>-5.5892130000000004E-6</v>
      </c>
      <c r="I6431">
        <v>140.8289</v>
      </c>
      <c r="J6431">
        <v>-254.7372</v>
      </c>
      <c r="K6431">
        <v>1.1207769999999999</v>
      </c>
      <c r="L6431">
        <v>141.4042</v>
      </c>
      <c r="M6431">
        <v>-0.99967309999999998</v>
      </c>
      <c r="N6431">
        <v>-1.072028E-2</v>
      </c>
      <c r="O6431">
        <v>2.321115E-2</v>
      </c>
      <c r="P6431">
        <v>-0.99061909999999997</v>
      </c>
      <c r="Q6431">
        <v>0.13643429999999901</v>
      </c>
      <c r="R6431">
        <v>7.7273289999999998E-3</v>
      </c>
      <c r="S6431">
        <v>-3.0453640000000002</v>
      </c>
      <c r="T6431">
        <v>-0.117267</v>
      </c>
      <c r="U6431">
        <v>-5.9463500000000002E-2</v>
      </c>
      <c r="V6431">
        <v>-1.5147320000000001E-2</v>
      </c>
      <c r="W6431">
        <v>0.14705760000000001</v>
      </c>
      <c r="X6431">
        <v>0.98901190000000005</v>
      </c>
      <c r="Y6431">
        <v>-4.2675600000000001E-2</v>
      </c>
      <c r="Z6431">
        <v>-1.69476E-3</v>
      </c>
      <c r="AA6431">
        <v>0.99908759999999996</v>
      </c>
      <c r="AB6431">
        <v>28</v>
      </c>
      <c r="AC6431">
        <v>-28.824100000000001</v>
      </c>
      <c r="AD6431">
        <v>-1.1207825892129999</v>
      </c>
      <c r="AE6431">
        <v>-0.57529999999999804</v>
      </c>
      <c r="AF6431">
        <v>-1.2423463571996001</v>
      </c>
      <c r="AG6431">
        <v>-1.1207825892129999</v>
      </c>
      <c r="AH6431">
        <v>28.7595143061111</v>
      </c>
      <c r="AI6431">
        <v>92.229658379450697</v>
      </c>
      <c r="AJ6431">
        <v>92.473511058514106</v>
      </c>
      <c r="AK6431">
        <v>28.808145396865498</v>
      </c>
      <c r="AL6431">
        <v>81.543551186381094</v>
      </c>
      <c r="AM6431">
        <v>90.877451179050794</v>
      </c>
      <c r="AN6431">
        <v>0.999999958681275</v>
      </c>
    </row>
    <row r="6432" spans="1:40" x14ac:dyDescent="0.25">
      <c r="A6432" t="str">
        <f>"20190303162040278"</f>
        <v>20190303162040278</v>
      </c>
      <c r="B6432" t="str">
        <f>"1551601240269217"</f>
        <v>1551601240269217</v>
      </c>
      <c r="C6432" t="s">
        <v>40</v>
      </c>
      <c r="D6432">
        <v>4.7628459999999997</v>
      </c>
      <c r="E6432">
        <v>0.49159229999999998</v>
      </c>
      <c r="F6432" t="s">
        <v>50</v>
      </c>
      <c r="G6432">
        <v>-284.70760000000001</v>
      </c>
      <c r="H6432" s="1">
        <v>-6.1072940000000002E-6</v>
      </c>
      <c r="I6432">
        <v>140.85910000000001</v>
      </c>
      <c r="J6432">
        <v>-255.00790000000001</v>
      </c>
      <c r="K6432">
        <v>1.120776</v>
      </c>
      <c r="L6432">
        <v>141.4109</v>
      </c>
      <c r="M6432">
        <v>-0.99966339999999998</v>
      </c>
      <c r="N6432">
        <v>-1.072507E-2</v>
      </c>
      <c r="O6432">
        <v>2.3630269999999998E-2</v>
      </c>
      <c r="P6432">
        <v>-0.99070040000000004</v>
      </c>
      <c r="Q6432">
        <v>0.13574249999999999</v>
      </c>
      <c r="R6432">
        <v>9.3320590000000002E-3</v>
      </c>
      <c r="S6432">
        <v>-3.0445099999999998</v>
      </c>
      <c r="T6432">
        <v>-0.1138536</v>
      </c>
      <c r="U6432">
        <v>-5.5374149999999997E-2</v>
      </c>
      <c r="V6432">
        <v>-1.3960790000000001E-2</v>
      </c>
      <c r="W6432">
        <v>0.14637130000000001</v>
      </c>
      <c r="X6432">
        <v>0.98913119999999999</v>
      </c>
      <c r="Y6432">
        <v>-4.1761859999999998E-2</v>
      </c>
      <c r="Z6432">
        <v>-1.6345349999999999E-3</v>
      </c>
      <c r="AA6432">
        <v>0.99912630000000002</v>
      </c>
      <c r="AB6432">
        <v>28</v>
      </c>
      <c r="AC6432">
        <v>-29.6997</v>
      </c>
      <c r="AD6432">
        <v>-1.1207821072939901</v>
      </c>
      <c r="AE6432">
        <v>-0.55179999999998497</v>
      </c>
      <c r="AF6432">
        <v>-1.25171613768627</v>
      </c>
      <c r="AG6432">
        <v>-1.1207821072939901</v>
      </c>
      <c r="AH6432">
        <v>29.636175859793301</v>
      </c>
      <c r="AI6432">
        <v>92.163854676263995</v>
      </c>
      <c r="AJ6432">
        <v>92.418512163205406</v>
      </c>
      <c r="AK6432">
        <v>29.683764340359001</v>
      </c>
      <c r="AL6432">
        <v>81.583303762164704</v>
      </c>
      <c r="AM6432">
        <v>90.808630074793697</v>
      </c>
      <c r="AN6432">
        <v>0.99999999596727696</v>
      </c>
    </row>
    <row r="6433" spans="1:40" x14ac:dyDescent="0.25">
      <c r="A6433" t="str">
        <f>"20190303162040301"</f>
        <v>20190303162040301</v>
      </c>
      <c r="B6433" t="str">
        <f>"1551601240288737"</f>
        <v>1551601240288737</v>
      </c>
      <c r="C6433" t="s">
        <v>40</v>
      </c>
      <c r="D6433">
        <v>4.5815049999999999</v>
      </c>
      <c r="E6433">
        <v>0.49174760000000001</v>
      </c>
      <c r="F6433" t="s">
        <v>41</v>
      </c>
      <c r="G6433">
        <v>-385.52910000000003</v>
      </c>
      <c r="H6433" s="1">
        <v>-1.9746230000000001E-6</v>
      </c>
      <c r="I6433">
        <v>139.8955</v>
      </c>
      <c r="J6433">
        <v>-255.28729999999999</v>
      </c>
      <c r="K6433">
        <v>1.1207659999999999</v>
      </c>
      <c r="L6433">
        <v>141.41800000000001</v>
      </c>
      <c r="M6433">
        <v>-0.99965289999999996</v>
      </c>
      <c r="N6433">
        <v>-1.0729570000000001E-2</v>
      </c>
      <c r="O6433">
        <v>2.4062790000000001E-2</v>
      </c>
      <c r="P6433">
        <v>-0.99075789999999997</v>
      </c>
      <c r="Q6433">
        <v>0.1352082</v>
      </c>
      <c r="R6433">
        <v>1.0845830000000001E-2</v>
      </c>
      <c r="S6433">
        <v>-3.0320740000000002</v>
      </c>
      <c r="T6433">
        <v>-2.6036259999999999E-2</v>
      </c>
      <c r="U6433">
        <v>-3.5202030000000002E-2</v>
      </c>
      <c r="V6433">
        <v>-1.287746E-2</v>
      </c>
      <c r="W6433">
        <v>0.1458411</v>
      </c>
      <c r="X6433">
        <v>0.9892242</v>
      </c>
      <c r="Y6433">
        <v>-3.5665280000000001E-2</v>
      </c>
      <c r="Z6433">
        <v>-2.9289080000000002E-4</v>
      </c>
      <c r="AA6433">
        <v>0.99936369999999997</v>
      </c>
      <c r="AB6433">
        <v>28</v>
      </c>
      <c r="AC6433">
        <v>-130.24180000000001</v>
      </c>
      <c r="AD6433">
        <v>-1.1207679746229999</v>
      </c>
      <c r="AE6433">
        <v>-1.5225</v>
      </c>
      <c r="AF6433">
        <v>-4.6558757818793799</v>
      </c>
      <c r="AG6433">
        <v>-1.1207679746229999</v>
      </c>
      <c r="AH6433">
        <v>130.15780933725401</v>
      </c>
      <c r="AI6433">
        <v>90.493037234294306</v>
      </c>
      <c r="AJ6433">
        <v>92.048654176762696</v>
      </c>
      <c r="AK6433">
        <v>130.245877599339</v>
      </c>
      <c r="AL6433">
        <v>81.614011433841199</v>
      </c>
      <c r="AM6433">
        <v>90.745819234407094</v>
      </c>
      <c r="AN6433">
        <v>0.99999998664544998</v>
      </c>
    </row>
    <row r="6434" spans="1:40" x14ac:dyDescent="0.25">
      <c r="A6434" t="str">
        <f>"20190303162040315"</f>
        <v>20190303162040315</v>
      </c>
      <c r="B6434" t="str">
        <f>"1551601240309233"</f>
        <v>1551601240309233</v>
      </c>
      <c r="C6434" t="s">
        <v>40</v>
      </c>
      <c r="D6434">
        <v>4.5133210000000004</v>
      </c>
      <c r="E6434">
        <v>0.4922241</v>
      </c>
      <c r="F6434" t="s">
        <v>41</v>
      </c>
      <c r="G6434">
        <v>-384.72919999999999</v>
      </c>
      <c r="H6434" s="1">
        <v>-2.386955E-6</v>
      </c>
      <c r="I6434">
        <v>140.15539999999999</v>
      </c>
      <c r="J6434">
        <v>-255.4648</v>
      </c>
      <c r="K6434">
        <v>1.1207640000000001</v>
      </c>
      <c r="L6434">
        <v>141.42259999999999</v>
      </c>
      <c r="M6434">
        <v>-0.99964640000000005</v>
      </c>
      <c r="N6434">
        <v>-1.073226E-2</v>
      </c>
      <c r="O6434">
        <v>2.4337370000000001E-2</v>
      </c>
      <c r="P6434">
        <v>-0.99076189999999997</v>
      </c>
      <c r="Q6434">
        <v>0.13509699999999999</v>
      </c>
      <c r="R6434">
        <v>1.1823409999999999E-2</v>
      </c>
      <c r="S6434">
        <v>-3.0319060000000002</v>
      </c>
      <c r="T6434">
        <v>-2.6251670000000001E-2</v>
      </c>
      <c r="U6434">
        <v>-2.9571529999999999E-2</v>
      </c>
      <c r="V6434">
        <v>-1.217294E-2</v>
      </c>
      <c r="W6434">
        <v>0.14573259999999999</v>
      </c>
      <c r="X6434">
        <v>0.98924909999999999</v>
      </c>
      <c r="Y6434">
        <v>-3.4084789999999997E-2</v>
      </c>
      <c r="Z6434">
        <v>-2.7997260000000001E-4</v>
      </c>
      <c r="AA6434">
        <v>0.9994189</v>
      </c>
      <c r="AB6434">
        <v>28</v>
      </c>
      <c r="AC6434">
        <v>-129.26439999999999</v>
      </c>
      <c r="AD6434">
        <v>-1.120766386955</v>
      </c>
      <c r="AE6434">
        <v>-1.2672000000000001</v>
      </c>
      <c r="AF6434">
        <v>-4.41262900130031</v>
      </c>
      <c r="AG6434">
        <v>-1.120766386955</v>
      </c>
      <c r="AH6434">
        <v>129.185555141192</v>
      </c>
      <c r="AI6434">
        <v>90.496774950408707</v>
      </c>
      <c r="AJ6434">
        <v>91.956308206683204</v>
      </c>
      <c r="AK6434">
        <v>129.26575365941</v>
      </c>
      <c r="AL6434">
        <v>81.620295075666704</v>
      </c>
      <c r="AM6434">
        <v>90.705002295904706</v>
      </c>
      <c r="AN6434">
        <v>0.999999976510906</v>
      </c>
    </row>
    <row r="6435" spans="1:40" x14ac:dyDescent="0.25">
      <c r="A6435" t="str">
        <f>"20190303162040334"</f>
        <v>20190303162040334</v>
      </c>
      <c r="B6435" t="str">
        <f>"1551601240328753"</f>
        <v>1551601240328753</v>
      </c>
      <c r="C6435" t="s">
        <v>40</v>
      </c>
      <c r="D6435">
        <v>4.4408890000000003</v>
      </c>
      <c r="E6435">
        <v>0.4920562</v>
      </c>
      <c r="F6435" t="s">
        <v>41</v>
      </c>
      <c r="G6435">
        <v>-368.16849999999999</v>
      </c>
      <c r="H6435" s="1">
        <v>-1.0253139999999999E-6</v>
      </c>
      <c r="I6435">
        <v>140.58320000000001</v>
      </c>
      <c r="J6435">
        <v>-255.71539999999999</v>
      </c>
      <c r="K6435">
        <v>1.1207659999999999</v>
      </c>
      <c r="L6435">
        <v>141.42910000000001</v>
      </c>
      <c r="M6435">
        <v>-0.99963659999999999</v>
      </c>
      <c r="N6435">
        <v>-1.073588E-2</v>
      </c>
      <c r="O6435">
        <v>2.472448E-2</v>
      </c>
      <c r="P6435">
        <v>-0.99065449999999999</v>
      </c>
      <c r="Q6435">
        <v>0.13571849999999999</v>
      </c>
      <c r="R6435">
        <v>1.358057E-2</v>
      </c>
      <c r="S6435">
        <v>-3.0323790000000002</v>
      </c>
      <c r="T6435">
        <v>-3.0155060000000001E-2</v>
      </c>
      <c r="U6435">
        <v>-2.2583010000000001E-2</v>
      </c>
      <c r="V6435">
        <v>-1.079594E-2</v>
      </c>
      <c r="W6435">
        <v>0.14635570000000001</v>
      </c>
      <c r="X6435">
        <v>0.98917310000000003</v>
      </c>
      <c r="Y6435">
        <v>-3.2166710000000001E-2</v>
      </c>
      <c r="Z6435">
        <v>-3.1300639999999998E-4</v>
      </c>
      <c r="AA6435">
        <v>0.99948250000000005</v>
      </c>
      <c r="AB6435">
        <v>28</v>
      </c>
      <c r="AC6435">
        <v>-112.45310000000001</v>
      </c>
      <c r="AD6435">
        <v>-1.1207670253140001</v>
      </c>
      <c r="AE6435">
        <v>-0.84589999999999999</v>
      </c>
      <c r="AF6435">
        <v>-3.6257860634513901</v>
      </c>
      <c r="AG6435">
        <v>-1.1207670253140001</v>
      </c>
      <c r="AH6435">
        <v>112.38664092603899</v>
      </c>
      <c r="AI6435">
        <v>90.5710616710263</v>
      </c>
      <c r="AJ6435">
        <v>91.847819350549997</v>
      </c>
      <c r="AK6435">
        <v>112.45069809450401</v>
      </c>
      <c r="AL6435">
        <v>81.584207192580095</v>
      </c>
      <c r="AM6435">
        <v>90.625307379544594</v>
      </c>
      <c r="AN6435">
        <v>0.99999998250329103</v>
      </c>
    </row>
    <row r="6436" spans="1:40" x14ac:dyDescent="0.25">
      <c r="A6436" t="str">
        <f>"20190303162040358"</f>
        <v>20190303162040358</v>
      </c>
      <c r="B6436" t="str">
        <f>"1551601240349249"</f>
        <v>1551601240349249</v>
      </c>
      <c r="C6436" t="s">
        <v>40</v>
      </c>
      <c r="D6436">
        <v>4.3628130000000001</v>
      </c>
      <c r="E6436">
        <v>0.4918264</v>
      </c>
      <c r="F6436" t="s">
        <v>41</v>
      </c>
      <c r="G6436">
        <v>-389.86009999999999</v>
      </c>
      <c r="H6436" s="1">
        <v>-3.0661410000000001E-7</v>
      </c>
      <c r="I6436">
        <v>140.6095</v>
      </c>
      <c r="J6436">
        <v>-256.0027</v>
      </c>
      <c r="K6436">
        <v>1.1207720000000001</v>
      </c>
      <c r="L6436">
        <v>141.4367</v>
      </c>
      <c r="M6436">
        <v>-0.99962569999999995</v>
      </c>
      <c r="N6436">
        <v>-1.0739780000000001E-2</v>
      </c>
      <c r="O6436">
        <v>2.5163769999999999E-2</v>
      </c>
      <c r="P6436">
        <v>-0.99050660000000001</v>
      </c>
      <c r="Q6436">
        <v>0.1366705</v>
      </c>
      <c r="R6436">
        <v>1.477059E-2</v>
      </c>
      <c r="S6436">
        <v>-3.0320429999999998</v>
      </c>
      <c r="T6436">
        <v>-2.5332449999999999E-2</v>
      </c>
      <c r="U6436">
        <v>-1.852417E-2</v>
      </c>
      <c r="V6436">
        <v>-1.003794E-2</v>
      </c>
      <c r="W6436">
        <v>0.14730950000000001</v>
      </c>
      <c r="X6436">
        <v>0.98903949999999996</v>
      </c>
      <c r="Y6436">
        <v>-3.1269610000000003E-2</v>
      </c>
      <c r="Z6436">
        <v>-2.3849790000000001E-4</v>
      </c>
      <c r="AA6436">
        <v>0.99951089999999998</v>
      </c>
      <c r="AB6436">
        <v>28</v>
      </c>
      <c r="AC6436">
        <v>-133.85739999999899</v>
      </c>
      <c r="AD6436">
        <v>-1.1207723066141</v>
      </c>
      <c r="AE6436">
        <v>-0.82720000000000404</v>
      </c>
      <c r="AF6436">
        <v>-4.1951948724878596</v>
      </c>
      <c r="AG6436">
        <v>-1.1207723066141</v>
      </c>
      <c r="AH6436">
        <v>133.784812806253</v>
      </c>
      <c r="AI6436">
        <v>90.479744098150405</v>
      </c>
      <c r="AJ6436">
        <v>91.796079963968197</v>
      </c>
      <c r="AK6436">
        <v>133.855264850455</v>
      </c>
      <c r="AL6436">
        <v>81.528959737317706</v>
      </c>
      <c r="AM6436">
        <v>90.581485219668494</v>
      </c>
      <c r="AN6436">
        <v>0.99999999079497104</v>
      </c>
    </row>
    <row r="6437" spans="1:40" x14ac:dyDescent="0.25">
      <c r="A6437" t="str">
        <f>"20190303162040379"</f>
        <v>20190303162040379</v>
      </c>
      <c r="B6437" t="str">
        <f>"1551601240369276"</f>
        <v>1551601240369276</v>
      </c>
      <c r="C6437" t="s">
        <v>40</v>
      </c>
      <c r="D6437">
        <v>4.2989459999999999</v>
      </c>
      <c r="E6437">
        <v>0.49172729999999998</v>
      </c>
      <c r="F6437" t="s">
        <v>41</v>
      </c>
      <c r="G6437">
        <v>-453.89440000000002</v>
      </c>
      <c r="H6437" s="1">
        <v>-1.7811059999999999E-6</v>
      </c>
      <c r="I6437">
        <v>140.3409</v>
      </c>
      <c r="J6437">
        <v>-256.27080000000001</v>
      </c>
      <c r="K6437">
        <v>1.120787</v>
      </c>
      <c r="L6437">
        <v>141.44390000000001</v>
      </c>
      <c r="M6437">
        <v>-0.99961560000000005</v>
      </c>
      <c r="N6437">
        <v>-1.074321E-2</v>
      </c>
      <c r="O6437">
        <v>2.5564460000000001E-2</v>
      </c>
      <c r="P6437">
        <v>-0.99036150000000001</v>
      </c>
      <c r="Q6437">
        <v>0.13770260000000001</v>
      </c>
      <c r="R6437">
        <v>1.4916830000000001E-2</v>
      </c>
      <c r="S6437">
        <v>-3.0313720000000002</v>
      </c>
      <c r="T6437">
        <v>-1.71684E-2</v>
      </c>
      <c r="U6437">
        <v>-1.6784670000000002E-2</v>
      </c>
      <c r="V6437">
        <v>-1.0285809999999999E-2</v>
      </c>
      <c r="W6437">
        <v>0.1483437</v>
      </c>
      <c r="X6437">
        <v>0.98888240000000005</v>
      </c>
      <c r="Y6437">
        <v>-3.1098870000000001E-2</v>
      </c>
      <c r="Z6437">
        <v>-1.252297E-4</v>
      </c>
      <c r="AA6437">
        <v>0.99951630000000002</v>
      </c>
      <c r="AB6437">
        <v>28</v>
      </c>
      <c r="AC6437">
        <v>-197.62360000000001</v>
      </c>
      <c r="AD6437">
        <v>-1.120788781106</v>
      </c>
      <c r="AE6437">
        <v>-1.103</v>
      </c>
      <c r="AF6437">
        <v>-6.1548729321557598</v>
      </c>
      <c r="AG6437">
        <v>-1.120788781106</v>
      </c>
      <c r="AH6437">
        <v>197.52445218596699</v>
      </c>
      <c r="AI6437">
        <v>90.324945216836198</v>
      </c>
      <c r="AJ6437">
        <v>91.784762192736594</v>
      </c>
      <c r="AK6437">
        <v>197.62350022117599</v>
      </c>
      <c r="AL6437">
        <v>81.469046489786095</v>
      </c>
      <c r="AM6437">
        <v>90.595937646270201</v>
      </c>
      <c r="AN6437">
        <v>1.0000000261234001</v>
      </c>
    </row>
    <row r="6438" spans="1:40" x14ac:dyDescent="0.25">
      <c r="A6438" t="str">
        <f>"20190303162040402"</f>
        <v>20190303162040402</v>
      </c>
      <c r="B6438" t="str">
        <f>"1551601240388796"</f>
        <v>1551601240388796</v>
      </c>
      <c r="C6438" t="s">
        <v>40</v>
      </c>
      <c r="D6438">
        <v>4.2148309999999896</v>
      </c>
      <c r="E6438">
        <v>0.49018339999999999</v>
      </c>
      <c r="F6438" t="s">
        <v>58</v>
      </c>
      <c r="G6438">
        <v>0</v>
      </c>
      <c r="H6438">
        <v>0</v>
      </c>
      <c r="I6438">
        <v>0</v>
      </c>
      <c r="J6438">
        <v>-256.5573</v>
      </c>
      <c r="K6438">
        <v>1.1208070000000001</v>
      </c>
      <c r="L6438">
        <v>141.45169999999999</v>
      </c>
      <c r="M6438">
        <v>-0.99960499999999997</v>
      </c>
      <c r="N6438">
        <v>-1.0746439999999999E-2</v>
      </c>
      <c r="O6438">
        <v>2.59706E-2</v>
      </c>
      <c r="P6438">
        <v>-0.99032659999999995</v>
      </c>
      <c r="Q6438">
        <v>0.13799600000000001</v>
      </c>
      <c r="R6438">
        <v>1.4507880000000001E-2</v>
      </c>
      <c r="S6438">
        <v>-3.030945</v>
      </c>
      <c r="T6438">
        <v>-1.0798449999999999E-2</v>
      </c>
      <c r="U6438">
        <v>-1.6998289999999999E-2</v>
      </c>
      <c r="V6438">
        <v>-1.1101069999999999E-2</v>
      </c>
      <c r="W6438">
        <v>0.14863979999999999</v>
      </c>
      <c r="X6438">
        <v>0.98882910000000002</v>
      </c>
      <c r="Y6438">
        <v>-3.1576479999999997E-2</v>
      </c>
      <c r="Z6438" s="1">
        <v>-3.9326109999999997E-5</v>
      </c>
      <c r="AA6438">
        <v>0.99950130000000004</v>
      </c>
      <c r="AB6438">
        <v>28</v>
      </c>
      <c r="AC6438">
        <v>-3.030945</v>
      </c>
      <c r="AD6438">
        <v>-1.0798449999999999E-2</v>
      </c>
      <c r="AE6438">
        <v>-1.6998289999999999E-2</v>
      </c>
      <c r="AF6438">
        <v>-9.5711342489294304E-2</v>
      </c>
      <c r="AG6438">
        <v>-1.0798449999999999E-2</v>
      </c>
      <c r="AH6438">
        <v>3.02944263276301</v>
      </c>
      <c r="AI6438">
        <v>90.204128123671495</v>
      </c>
      <c r="AJ6438">
        <v>91.809584514093501</v>
      </c>
      <c r="AK6438">
        <v>3.0309734299075499</v>
      </c>
      <c r="AL6438">
        <v>81.451890848831795</v>
      </c>
      <c r="AM6438">
        <v>90.643202895278506</v>
      </c>
      <c r="AN6438">
        <v>1.0000000064529899</v>
      </c>
    </row>
    <row r="6439" spans="1:40" x14ac:dyDescent="0.25">
      <c r="A6439" t="str">
        <f>"20190303162040425"</f>
        <v>20190303162040425</v>
      </c>
      <c r="B6439" t="str">
        <f>"1551601240419051"</f>
        <v>1551601240419051</v>
      </c>
      <c r="C6439" t="s">
        <v>40</v>
      </c>
      <c r="D6439">
        <v>4.1594829999999998</v>
      </c>
      <c r="E6439">
        <v>0.49081540000000001</v>
      </c>
      <c r="F6439" t="s">
        <v>58</v>
      </c>
      <c r="G6439">
        <v>0</v>
      </c>
      <c r="H6439">
        <v>0</v>
      </c>
      <c r="I6439">
        <v>0</v>
      </c>
      <c r="J6439">
        <v>-256.85660000000001</v>
      </c>
      <c r="K6439">
        <v>1.1208419999999999</v>
      </c>
      <c r="L6439">
        <v>141.4599</v>
      </c>
      <c r="M6439">
        <v>-0.99959500000000001</v>
      </c>
      <c r="N6439">
        <v>-1.074987E-2</v>
      </c>
      <c r="O6439">
        <v>2.6353390000000001E-2</v>
      </c>
      <c r="P6439">
        <v>-0.99026040000000004</v>
      </c>
      <c r="Q6439">
        <v>0.13853379999999901</v>
      </c>
      <c r="R6439">
        <v>1.389494E-2</v>
      </c>
      <c r="S6439">
        <v>-3.0256349999999999</v>
      </c>
      <c r="T6439">
        <v>2.9585480000000001E-2</v>
      </c>
      <c r="U6439">
        <v>-3.056335E-2</v>
      </c>
      <c r="V6439">
        <v>-1.2100609999999999E-2</v>
      </c>
      <c r="W6439">
        <v>0.14918020000000001</v>
      </c>
      <c r="X6439">
        <v>0.98873599999999995</v>
      </c>
      <c r="Y6439">
        <v>-3.644563E-2</v>
      </c>
      <c r="Z6439">
        <v>5.2323729999999996E-4</v>
      </c>
      <c r="AA6439">
        <v>0.99933550000000004</v>
      </c>
      <c r="AB6439">
        <v>28</v>
      </c>
      <c r="AC6439">
        <v>-3.0256349999999999</v>
      </c>
      <c r="AD6439">
        <v>2.9585480000000001E-2</v>
      </c>
      <c r="AE6439">
        <v>-3.056335E-2</v>
      </c>
      <c r="AF6439">
        <v>-0.11028252795167701</v>
      </c>
      <c r="AG6439">
        <v>2.9585480000000001E-2</v>
      </c>
      <c r="AH6439">
        <v>3.0234894882205299</v>
      </c>
      <c r="AI6439">
        <v>89.439739200521402</v>
      </c>
      <c r="AJ6439">
        <v>92.088951666556795</v>
      </c>
      <c r="AK6439">
        <v>3.02564476136547</v>
      </c>
      <c r="AL6439">
        <v>81.4205792004975</v>
      </c>
      <c r="AM6439">
        <v>90.7011773322631</v>
      </c>
      <c r="AN6439">
        <v>1.0000000172651999</v>
      </c>
    </row>
    <row r="6440" spans="1:40" x14ac:dyDescent="0.25">
      <c r="A6440" t="str">
        <f>"20190303162040446"</f>
        <v>20190303162040446</v>
      </c>
      <c r="B6440" t="str">
        <f>"1551601240438571"</f>
        <v>1551601240438571</v>
      </c>
      <c r="C6440" t="s">
        <v>40</v>
      </c>
      <c r="D6440">
        <v>4.0960760000000001</v>
      </c>
      <c r="E6440">
        <v>0.49092780000000003</v>
      </c>
      <c r="F6440" t="s">
        <v>58</v>
      </c>
      <c r="G6440">
        <v>0</v>
      </c>
      <c r="H6440">
        <v>0</v>
      </c>
      <c r="I6440">
        <v>0</v>
      </c>
      <c r="J6440">
        <v>-257.11750000000001</v>
      </c>
      <c r="K6440">
        <v>1.1208880000000001</v>
      </c>
      <c r="L6440">
        <v>141.46709999999999</v>
      </c>
      <c r="M6440">
        <v>-0.99958749999999996</v>
      </c>
      <c r="N6440">
        <v>-1.075256E-2</v>
      </c>
      <c r="O6440">
        <v>2.6632889999999999E-2</v>
      </c>
      <c r="P6440">
        <v>-0.99008499999999999</v>
      </c>
      <c r="Q6440">
        <v>0.13974929999999999</v>
      </c>
      <c r="R6440">
        <v>1.422708E-2</v>
      </c>
      <c r="S6440">
        <v>-3.0256349999999999</v>
      </c>
      <c r="T6440">
        <v>3.0412910000000001E-2</v>
      </c>
      <c r="U6440">
        <v>-2.708435E-2</v>
      </c>
      <c r="V6440">
        <v>-1.205263E-2</v>
      </c>
      <c r="W6440">
        <v>0.15039559999999999</v>
      </c>
      <c r="X6440">
        <v>0.98855249999999995</v>
      </c>
      <c r="Y6440">
        <v>-3.5575809999999999E-2</v>
      </c>
      <c r="Z6440">
        <v>5.4157209999999996E-4</v>
      </c>
      <c r="AA6440">
        <v>0.9993668</v>
      </c>
      <c r="AB6440">
        <v>28</v>
      </c>
      <c r="AC6440">
        <v>-3.0256349999999999</v>
      </c>
      <c r="AD6440">
        <v>3.0412910000000001E-2</v>
      </c>
      <c r="AE6440">
        <v>-2.708435E-2</v>
      </c>
      <c r="AF6440">
        <v>-0.107649924640078</v>
      </c>
      <c r="AG6440">
        <v>3.0412910000000001E-2</v>
      </c>
      <c r="AH6440">
        <v>3.0235347854916301</v>
      </c>
      <c r="AI6440">
        <v>89.424061752407496</v>
      </c>
      <c r="AJ6440">
        <v>92.0390974588734</v>
      </c>
      <c r="AK6440">
        <v>3.0256034192285699</v>
      </c>
      <c r="AL6440">
        <v>81.3501477976763</v>
      </c>
      <c r="AM6440">
        <v>90.698527004539798</v>
      </c>
      <c r="AN6440">
        <v>1.0000000738227599</v>
      </c>
    </row>
    <row r="6441" spans="1:40" x14ac:dyDescent="0.25">
      <c r="A6441" t="str">
        <f>"20190303162040467"</f>
        <v>20190303162040467</v>
      </c>
      <c r="B6441" t="str">
        <f>"1551601240459067"</f>
        <v>1551601240459067</v>
      </c>
      <c r="C6441" t="s">
        <v>40</v>
      </c>
      <c r="D6441">
        <v>4.057582</v>
      </c>
      <c r="E6441">
        <v>0.49092520000000001</v>
      </c>
      <c r="F6441" t="s">
        <v>58</v>
      </c>
      <c r="G6441">
        <v>0</v>
      </c>
      <c r="H6441">
        <v>0</v>
      </c>
      <c r="I6441">
        <v>0</v>
      </c>
      <c r="J6441">
        <v>-257.39030000000002</v>
      </c>
      <c r="K6441">
        <v>1.1209290000000001</v>
      </c>
      <c r="L6441">
        <v>141.47470000000001</v>
      </c>
      <c r="M6441">
        <v>-0.99958089999999999</v>
      </c>
      <c r="N6441">
        <v>-1.0755239999999999E-2</v>
      </c>
      <c r="O6441">
        <v>2.6875119999999999E-2</v>
      </c>
      <c r="P6441">
        <v>-0.9898344</v>
      </c>
      <c r="Q6441">
        <v>0.14134550000000001</v>
      </c>
      <c r="R6441">
        <v>1.5789899999999999E-2</v>
      </c>
      <c r="S6441">
        <v>-3.02536</v>
      </c>
      <c r="T6441">
        <v>3.5697220000000002E-2</v>
      </c>
      <c r="U6441">
        <v>-2.5344849999999999E-2</v>
      </c>
      <c r="V6441">
        <v>-1.073813E-2</v>
      </c>
      <c r="W6441">
        <v>0.15198970000000001</v>
      </c>
      <c r="X6441">
        <v>0.98832370000000003</v>
      </c>
      <c r="Y6441">
        <v>-3.5242820000000001E-2</v>
      </c>
      <c r="Z6441">
        <v>6.2450050000000001E-4</v>
      </c>
      <c r="AA6441">
        <v>0.99937860000000001</v>
      </c>
      <c r="AB6441">
        <v>28</v>
      </c>
      <c r="AC6441">
        <v>-3.02536</v>
      </c>
      <c r="AD6441">
        <v>3.5697220000000002E-2</v>
      </c>
      <c r="AE6441">
        <v>-2.5344849999999999E-2</v>
      </c>
      <c r="AF6441">
        <v>-0.106632468753798</v>
      </c>
      <c r="AG6441">
        <v>3.5697220000000002E-2</v>
      </c>
      <c r="AH6441">
        <v>3.0231650561452899</v>
      </c>
      <c r="AI6441">
        <v>89.323909199667796</v>
      </c>
      <c r="AJ6441">
        <v>92.020087738559198</v>
      </c>
      <c r="AK6441">
        <v>3.0252556473141601</v>
      </c>
      <c r="AL6441">
        <v>81.257749384129994</v>
      </c>
      <c r="AM6441">
        <v>90.622493744614204</v>
      </c>
      <c r="AN6441">
        <v>0.99999995616183701</v>
      </c>
    </row>
    <row r="6442" spans="1:40" x14ac:dyDescent="0.25">
      <c r="A6442" t="str">
        <f>"20190303162040481"</f>
        <v>20190303162040481</v>
      </c>
      <c r="B6442" t="str">
        <f>"1551601240468828"</f>
        <v>1551601240468828</v>
      </c>
      <c r="C6442" t="s">
        <v>40</v>
      </c>
      <c r="D6442">
        <v>4.0194029999999996</v>
      </c>
      <c r="E6442">
        <v>0.49102879999999899</v>
      </c>
      <c r="F6442" t="s">
        <v>58</v>
      </c>
      <c r="G6442">
        <v>0</v>
      </c>
      <c r="H6442">
        <v>0</v>
      </c>
      <c r="I6442">
        <v>0</v>
      </c>
      <c r="J6442">
        <v>-257.56630000000001</v>
      </c>
      <c r="K6442">
        <v>1.120965</v>
      </c>
      <c r="L6442">
        <v>141.4796</v>
      </c>
      <c r="M6442">
        <v>-0.99957779999999996</v>
      </c>
      <c r="N6442">
        <v>-1.075683E-2</v>
      </c>
      <c r="O6442">
        <v>2.6997509999999999E-2</v>
      </c>
      <c r="P6442">
        <v>-0.98984530000000004</v>
      </c>
      <c r="Q6442">
        <v>0.1411606</v>
      </c>
      <c r="R6442">
        <v>1.6738719999999999E-2</v>
      </c>
      <c r="S6442">
        <v>-3.0252690000000002</v>
      </c>
      <c r="T6442">
        <v>4.1086909999999997E-2</v>
      </c>
      <c r="U6442">
        <v>-2.139282E-2</v>
      </c>
      <c r="V6442">
        <v>-9.9226390000000005E-3</v>
      </c>
      <c r="W6442">
        <v>0.15180539999999901</v>
      </c>
      <c r="X6442">
        <v>0.98836060000000003</v>
      </c>
      <c r="Y6442">
        <v>-3.4058369999999998E-2</v>
      </c>
      <c r="Z6442">
        <v>7.0509589999999997E-4</v>
      </c>
      <c r="AA6442">
        <v>0.99941959999999996</v>
      </c>
      <c r="AB6442">
        <v>28</v>
      </c>
      <c r="AC6442">
        <v>-3.0252690000000002</v>
      </c>
      <c r="AD6442">
        <v>4.1086909999999997E-2</v>
      </c>
      <c r="AE6442">
        <v>-2.139282E-2</v>
      </c>
      <c r="AF6442">
        <v>-0.10304545696784401</v>
      </c>
      <c r="AG6442">
        <v>4.1086909999999997E-2</v>
      </c>
      <c r="AH6442">
        <v>3.0230310078484899</v>
      </c>
      <c r="AI6442">
        <v>89.221775957219506</v>
      </c>
      <c r="AJ6442">
        <v>91.952273957432894</v>
      </c>
      <c r="AK6442">
        <v>3.0250657802415701</v>
      </c>
      <c r="AL6442">
        <v>81.268433413248701</v>
      </c>
      <c r="AM6442">
        <v>90.575201233904806</v>
      </c>
      <c r="AN6442">
        <v>1.0000000069331201</v>
      </c>
    </row>
    <row r="6443" spans="1:40" x14ac:dyDescent="0.25">
      <c r="A6443" t="str">
        <f>"20190303162040502"</f>
        <v>20190303162040502</v>
      </c>
      <c r="B6443" t="str">
        <f>"1551601240489324"</f>
        <v>1551601240489324</v>
      </c>
      <c r="C6443" t="s">
        <v>40</v>
      </c>
      <c r="D6443">
        <v>4.0336189999999998</v>
      </c>
      <c r="E6443">
        <v>0.49110530000000002</v>
      </c>
      <c r="F6443" t="s">
        <v>58</v>
      </c>
      <c r="G6443">
        <v>0</v>
      </c>
      <c r="H6443">
        <v>0</v>
      </c>
      <c r="I6443">
        <v>0</v>
      </c>
      <c r="J6443">
        <v>-257.82029999999997</v>
      </c>
      <c r="K6443">
        <v>1.121016</v>
      </c>
      <c r="L6443">
        <v>141.48660000000001</v>
      </c>
      <c r="M6443">
        <v>-0.99957419999999997</v>
      </c>
      <c r="N6443">
        <v>-1.075919E-2</v>
      </c>
      <c r="O6443">
        <v>2.7121889999999999E-2</v>
      </c>
      <c r="P6443">
        <v>-0.98981129999999995</v>
      </c>
      <c r="Q6443">
        <v>0.14112359999999999</v>
      </c>
      <c r="R6443">
        <v>1.8918259999999999E-2</v>
      </c>
      <c r="S6443">
        <v>-3.0253299999999999</v>
      </c>
      <c r="T6443">
        <v>4.0439009999999997E-2</v>
      </c>
      <c r="U6443">
        <v>-1.826477E-2</v>
      </c>
      <c r="V6443">
        <v>-7.8838759999999997E-3</v>
      </c>
      <c r="W6443">
        <v>0.15176909999999999</v>
      </c>
      <c r="X6443">
        <v>0.9883845</v>
      </c>
      <c r="Y6443">
        <v>-3.3149440000000002E-2</v>
      </c>
      <c r="Z6443">
        <v>6.9750080000000004E-4</v>
      </c>
      <c r="AA6443">
        <v>0.99945010000000001</v>
      </c>
      <c r="AB6443">
        <v>28</v>
      </c>
      <c r="AC6443">
        <v>-3.0253299999999999</v>
      </c>
      <c r="AD6443">
        <v>4.0439009999999997E-2</v>
      </c>
      <c r="AE6443">
        <v>-1.826477E-2</v>
      </c>
      <c r="AF6443">
        <v>-0.10029755019042599</v>
      </c>
      <c r="AG6443">
        <v>4.0439009999999997E-2</v>
      </c>
      <c r="AH6443">
        <v>3.0231814139083499</v>
      </c>
      <c r="AI6443">
        <v>89.234060982375794</v>
      </c>
      <c r="AJ6443">
        <v>91.900157010187598</v>
      </c>
      <c r="AK6443">
        <v>3.0251150016990902</v>
      </c>
      <c r="AL6443">
        <v>81.270537284534896</v>
      </c>
      <c r="AM6443">
        <v>90.457011660235295</v>
      </c>
      <c r="AN6443">
        <v>0.99999996752792097</v>
      </c>
    </row>
    <row r="6444" spans="1:40" x14ac:dyDescent="0.25">
      <c r="A6444" t="str">
        <f>"20190303162040524"</f>
        <v>20190303162040524</v>
      </c>
      <c r="B6444" t="str">
        <f>"1551601240518604"</f>
        <v>1551601240518604</v>
      </c>
      <c r="C6444" t="s">
        <v>40</v>
      </c>
      <c r="D6444">
        <v>3.9691339999999999</v>
      </c>
      <c r="E6444">
        <v>0.49109120000000001</v>
      </c>
      <c r="F6444" t="s">
        <v>58</v>
      </c>
      <c r="G6444">
        <v>0</v>
      </c>
      <c r="H6444">
        <v>0</v>
      </c>
      <c r="I6444">
        <v>0</v>
      </c>
      <c r="J6444">
        <v>-258.10840000000002</v>
      </c>
      <c r="K6444">
        <v>1.121076</v>
      </c>
      <c r="L6444">
        <v>141.49459999999999</v>
      </c>
      <c r="M6444">
        <v>-0.99957280000000004</v>
      </c>
      <c r="N6444">
        <v>-1.076184E-2</v>
      </c>
      <c r="O6444">
        <v>2.7177659999999999E-2</v>
      </c>
      <c r="P6444">
        <v>-0.98991229999999997</v>
      </c>
      <c r="Q6444">
        <v>0.1402108</v>
      </c>
      <c r="R6444">
        <v>2.0370070000000001E-2</v>
      </c>
      <c r="S6444">
        <v>-3.0254210000000001</v>
      </c>
      <c r="T6444">
        <v>3.9741039999999998E-2</v>
      </c>
      <c r="U6444">
        <v>-1.1169429999999999E-2</v>
      </c>
      <c r="V6444">
        <v>-6.5133069999999899E-3</v>
      </c>
      <c r="W6444">
        <v>0.1508594</v>
      </c>
      <c r="X6444">
        <v>0.98853380000000002</v>
      </c>
      <c r="Y6444">
        <v>-3.0861280000000001E-2</v>
      </c>
      <c r="Z6444">
        <v>6.8605610000000003E-4</v>
      </c>
      <c r="AA6444">
        <v>0.99952350000000001</v>
      </c>
      <c r="AB6444">
        <v>28</v>
      </c>
      <c r="AC6444">
        <v>-3.0254210000000001</v>
      </c>
      <c r="AD6444">
        <v>3.9741039999999998E-2</v>
      </c>
      <c r="AE6444">
        <v>-1.1169429999999999E-2</v>
      </c>
      <c r="AF6444">
        <v>-9.3377807860115805E-2</v>
      </c>
      <c r="AG6444">
        <v>3.9741039999999998E-2</v>
      </c>
      <c r="AH6444">
        <v>3.0234780775164101</v>
      </c>
      <c r="AI6444">
        <v>89.247298073954795</v>
      </c>
      <c r="AJ6444">
        <v>91.768974032470297</v>
      </c>
      <c r="AK6444">
        <v>3.0251807302181799</v>
      </c>
      <c r="AL6444">
        <v>81.323266923653307</v>
      </c>
      <c r="AM6444">
        <v>90.377508185911594</v>
      </c>
      <c r="AN6444">
        <v>1.0000000277394301</v>
      </c>
    </row>
    <row r="6445" spans="1:40" x14ac:dyDescent="0.25">
      <c r="A6445" t="str">
        <f>"20190303162040546"</f>
        <v>20190303162040546</v>
      </c>
      <c r="B6445" t="str">
        <f>"1551601240539099"</f>
        <v>1551601240539099</v>
      </c>
      <c r="C6445" t="s">
        <v>40</v>
      </c>
      <c r="D6445">
        <v>3.9045209999999999</v>
      </c>
      <c r="E6445">
        <v>0.4909887</v>
      </c>
      <c r="F6445" t="s">
        <v>58</v>
      </c>
      <c r="G6445">
        <v>0</v>
      </c>
      <c r="H6445">
        <v>0</v>
      </c>
      <c r="I6445">
        <v>0</v>
      </c>
      <c r="J6445">
        <v>-258.38080000000002</v>
      </c>
      <c r="K6445">
        <v>1.12114</v>
      </c>
      <c r="L6445">
        <v>141.50200000000001</v>
      </c>
      <c r="M6445">
        <v>-0.99957410000000002</v>
      </c>
      <c r="N6445">
        <v>-1.07644E-2</v>
      </c>
      <c r="O6445">
        <v>2.7127720000000001E-2</v>
      </c>
      <c r="P6445">
        <v>-0.98992930000000001</v>
      </c>
      <c r="Q6445">
        <v>0.13990150000000001</v>
      </c>
      <c r="R6445">
        <v>2.1633179999999998E-2</v>
      </c>
      <c r="S6445">
        <v>-3.0256349999999999</v>
      </c>
      <c r="T6445">
        <v>3.5938980000000002E-2</v>
      </c>
      <c r="U6445">
        <v>-6.7749019999999898E-3</v>
      </c>
      <c r="V6445">
        <v>-5.2262389999999997E-3</v>
      </c>
      <c r="W6445">
        <v>0.15055209999999999</v>
      </c>
      <c r="X6445">
        <v>0.98858829999999998</v>
      </c>
      <c r="Y6445">
        <v>-2.9360420000000002E-2</v>
      </c>
      <c r="Z6445">
        <v>6.3055390000000004E-4</v>
      </c>
      <c r="AA6445">
        <v>0.99956869999999998</v>
      </c>
      <c r="AB6445">
        <v>28</v>
      </c>
      <c r="AC6445">
        <v>-3.0256349999999999</v>
      </c>
      <c r="AD6445">
        <v>3.5938980000000002E-2</v>
      </c>
      <c r="AE6445">
        <v>-6.7749019999999898E-3</v>
      </c>
      <c r="AF6445">
        <v>-8.8843201477494999E-2</v>
      </c>
      <c r="AG6445">
        <v>3.5938980000000002E-2</v>
      </c>
      <c r="AH6445">
        <v>3.02391092198555</v>
      </c>
      <c r="AI6445">
        <v>89.319369202690297</v>
      </c>
      <c r="AJ6445">
        <v>91.682879130796806</v>
      </c>
      <c r="AK6445">
        <v>3.0254292239012499</v>
      </c>
      <c r="AL6445">
        <v>81.341077421357795</v>
      </c>
      <c r="AM6445">
        <v>90.302895197016895</v>
      </c>
      <c r="AN6445">
        <v>1.0000000376426901</v>
      </c>
    </row>
    <row r="6446" spans="1:40" x14ac:dyDescent="0.25">
      <c r="A6446" t="str">
        <f>"20190303162040559"</f>
        <v>20190303162040559</v>
      </c>
      <c r="B6446" t="str">
        <f>"1551601240548860"</f>
        <v>1551601240548860</v>
      </c>
      <c r="C6446" t="s">
        <v>40</v>
      </c>
      <c r="D6446">
        <v>3.9557519999999999</v>
      </c>
      <c r="E6446">
        <v>0.49103330000000001</v>
      </c>
      <c r="F6446" t="s">
        <v>58</v>
      </c>
      <c r="G6446">
        <v>0</v>
      </c>
      <c r="H6446">
        <v>0</v>
      </c>
      <c r="I6446">
        <v>0</v>
      </c>
      <c r="J6446">
        <v>-258.55459999999999</v>
      </c>
      <c r="K6446">
        <v>1.1211869999999999</v>
      </c>
      <c r="L6446">
        <v>141.5067</v>
      </c>
      <c r="M6446">
        <v>-0.99957640000000003</v>
      </c>
      <c r="N6446">
        <v>-1.0766059999999999E-2</v>
      </c>
      <c r="O6446">
        <v>2.704198E-2</v>
      </c>
      <c r="P6446">
        <v>-0.98992829999999998</v>
      </c>
      <c r="Q6446">
        <v>0.13977049999999999</v>
      </c>
      <c r="R6446">
        <v>2.2499709999999999E-2</v>
      </c>
      <c r="S6446">
        <v>-3.025665</v>
      </c>
      <c r="T6446">
        <v>3.4863470000000001E-2</v>
      </c>
      <c r="U6446">
        <v>-3.90625E-3</v>
      </c>
      <c r="V6446">
        <v>-4.2920170000000004E-3</v>
      </c>
      <c r="W6446">
        <v>0.15042249999999999</v>
      </c>
      <c r="X6446">
        <v>0.98861250000000001</v>
      </c>
      <c r="Y6446">
        <v>-2.8327249999999998E-2</v>
      </c>
      <c r="Z6446">
        <v>6.1341110000000005E-4</v>
      </c>
      <c r="AA6446">
        <v>0.99959849999999995</v>
      </c>
      <c r="AB6446">
        <v>28</v>
      </c>
      <c r="AC6446">
        <v>-3.025665</v>
      </c>
      <c r="AD6446">
        <v>3.4863470000000001E-2</v>
      </c>
      <c r="AE6446">
        <v>-3.90625E-3</v>
      </c>
      <c r="AF6446">
        <v>-8.5718148781205594E-2</v>
      </c>
      <c r="AG6446">
        <v>3.4863470000000001E-2</v>
      </c>
      <c r="AH6446">
        <v>3.0240512414551102</v>
      </c>
      <c r="AI6446">
        <v>89.339746864014799</v>
      </c>
      <c r="AJ6446">
        <v>91.6236409518947</v>
      </c>
      <c r="AK6446">
        <v>3.02546673647507</v>
      </c>
      <c r="AL6446">
        <v>81.348588271719507</v>
      </c>
      <c r="AM6446">
        <v>90.248745504126305</v>
      </c>
      <c r="AN6446">
        <v>1.0000000125362101</v>
      </c>
    </row>
    <row r="6447" spans="1:40" x14ac:dyDescent="0.25">
      <c r="A6447" t="str">
        <f>"20190303162040580"</f>
        <v>20190303162040580</v>
      </c>
      <c r="B6447" t="str">
        <f>"1551601240569355"</f>
        <v>1551601240569355</v>
      </c>
      <c r="C6447" t="s">
        <v>40</v>
      </c>
      <c r="D6447">
        <v>3.8978899999999999</v>
      </c>
      <c r="E6447">
        <v>0.51033649999999997</v>
      </c>
      <c r="F6447" t="s">
        <v>58</v>
      </c>
      <c r="G6447">
        <v>0</v>
      </c>
      <c r="H6447">
        <v>0</v>
      </c>
      <c r="I6447">
        <v>0</v>
      </c>
      <c r="J6447">
        <v>-258.803</v>
      </c>
      <c r="K6447">
        <v>1.1212519999999999</v>
      </c>
      <c r="L6447">
        <v>141.51320000000001</v>
      </c>
      <c r="M6447">
        <v>-0.99958100000000005</v>
      </c>
      <c r="N6447">
        <v>-1.076831E-2</v>
      </c>
      <c r="O6447">
        <v>2.686999E-2</v>
      </c>
      <c r="P6447">
        <v>-0.98980539999999995</v>
      </c>
      <c r="Q6447">
        <v>0.14027909999999999</v>
      </c>
      <c r="R6447">
        <v>2.4638650000000002E-2</v>
      </c>
      <c r="S6447">
        <v>-3.025665</v>
      </c>
      <c r="T6447">
        <v>3.4301400000000003E-2</v>
      </c>
      <c r="U6447">
        <v>-1.0986329999999999E-3</v>
      </c>
      <c r="V6447">
        <v>-2.0041109999999998E-3</v>
      </c>
      <c r="W6447">
        <v>0.1509325</v>
      </c>
      <c r="X6447">
        <v>0.98854200000000003</v>
      </c>
      <c r="Y6447">
        <v>-2.7227870000000001E-2</v>
      </c>
      <c r="Z6447">
        <v>6.0167369999999996E-4</v>
      </c>
      <c r="AA6447">
        <v>0.99962910000000005</v>
      </c>
      <c r="AB6447">
        <v>28</v>
      </c>
      <c r="AC6447">
        <v>-3.025665</v>
      </c>
      <c r="AD6447">
        <v>3.4301400000000003E-2</v>
      </c>
      <c r="AE6447">
        <v>-1.0986329999999999E-3</v>
      </c>
      <c r="AF6447">
        <v>-8.2391944081200902E-2</v>
      </c>
      <c r="AG6447">
        <v>3.4301400000000003E-2</v>
      </c>
      <c r="AH6447">
        <v>3.0241542203175702</v>
      </c>
      <c r="AI6447">
        <v>89.350392826274799</v>
      </c>
      <c r="AJ6447">
        <v>91.560615902691893</v>
      </c>
      <c r="AK6447">
        <v>3.0254708338961098</v>
      </c>
      <c r="AL6447">
        <v>81.319029504258793</v>
      </c>
      <c r="AM6447">
        <v>90.116157881666894</v>
      </c>
      <c r="AN6447">
        <v>0.99999996089057397</v>
      </c>
    </row>
    <row r="6448" spans="1:40" x14ac:dyDescent="0.25">
      <c r="A6448" t="str">
        <f>"20190303162040604"</f>
        <v>20190303162040604</v>
      </c>
      <c r="B6448" t="str">
        <f>"1551601240588875"</f>
        <v>1551601240588875</v>
      </c>
      <c r="C6448" t="s">
        <v>40</v>
      </c>
      <c r="D6448">
        <v>3.9106529999999999</v>
      </c>
      <c r="E6448">
        <v>0.51371140000000004</v>
      </c>
      <c r="F6448" t="s">
        <v>71</v>
      </c>
      <c r="G6448">
        <v>-511.92700000000002</v>
      </c>
      <c r="H6448">
        <v>5.4119960000000003</v>
      </c>
      <c r="I6448">
        <v>154.8475</v>
      </c>
      <c r="J6448">
        <v>-259.10649999999998</v>
      </c>
      <c r="K6448">
        <v>1.1213310000000001</v>
      </c>
      <c r="L6448">
        <v>141.52109999999999</v>
      </c>
      <c r="M6448">
        <v>-0.9995889</v>
      </c>
      <c r="N6448">
        <v>-1.07755E-2</v>
      </c>
      <c r="O6448">
        <v>2.656822E-2</v>
      </c>
      <c r="P6448">
        <v>-0.98977349999999997</v>
      </c>
      <c r="Q6448">
        <v>0.14047799999999999</v>
      </c>
      <c r="R6448">
        <v>2.478528E-2</v>
      </c>
      <c r="S6448">
        <v>-3.0196839999999998</v>
      </c>
      <c r="T6448">
        <v>5.1187629999999998E-2</v>
      </c>
      <c r="U6448">
        <v>0.15907289999999999</v>
      </c>
      <c r="V6448">
        <v>-1.5859520000000001E-3</v>
      </c>
      <c r="W6448">
        <v>0.15113799999999999</v>
      </c>
      <c r="X6448">
        <v>0.98851140000000004</v>
      </c>
      <c r="Y6448">
        <v>2.6062990000000001E-2</v>
      </c>
      <c r="Z6448">
        <v>6.5583500000000001E-4</v>
      </c>
      <c r="AA6448">
        <v>0.99966010000000005</v>
      </c>
      <c r="AB6448">
        <v>28</v>
      </c>
      <c r="AC6448">
        <v>-252.82050000000001</v>
      </c>
      <c r="AD6448">
        <v>4.2906649999999997</v>
      </c>
      <c r="AE6448">
        <v>13.3264</v>
      </c>
      <c r="AF6448">
        <v>6.6024180761734304</v>
      </c>
      <c r="AG6448">
        <v>4.2906649999999997</v>
      </c>
      <c r="AH6448">
        <v>253.012652801348</v>
      </c>
      <c r="AI6448">
        <v>89.028784548590096</v>
      </c>
      <c r="AJ6448">
        <v>88.505193893311898</v>
      </c>
      <c r="AK6448">
        <v>253.135150084239</v>
      </c>
      <c r="AL6448">
        <v>81.307118918288893</v>
      </c>
      <c r="AM6448">
        <v>90.091924360350205</v>
      </c>
      <c r="AN6448">
        <v>0.99999999910885295</v>
      </c>
    </row>
    <row r="6449" spans="1:40" x14ac:dyDescent="0.25">
      <c r="A6449" t="str">
        <f>"20190303162040626"</f>
        <v>20190303162040626</v>
      </c>
      <c r="B6449" t="str">
        <f>"1551601240619132"</f>
        <v>1551601240619132</v>
      </c>
      <c r="C6449" t="s">
        <v>40</v>
      </c>
      <c r="D6449">
        <v>3.8484159999999998</v>
      </c>
      <c r="E6449">
        <v>0.51536599999999999</v>
      </c>
      <c r="F6449" t="s">
        <v>71</v>
      </c>
      <c r="G6449">
        <v>-511.92680000000001</v>
      </c>
      <c r="H6449">
        <v>4.6898470000000003</v>
      </c>
      <c r="I6449">
        <v>157.1525</v>
      </c>
      <c r="J6449">
        <v>-259.39269999999999</v>
      </c>
      <c r="K6449">
        <v>1.1214059999999999</v>
      </c>
      <c r="L6449">
        <v>141.5284</v>
      </c>
      <c r="M6449">
        <v>-0.99959920000000002</v>
      </c>
      <c r="N6449">
        <v>-1.078759E-2</v>
      </c>
      <c r="O6449">
        <v>2.6176430000000001E-2</v>
      </c>
      <c r="P6449">
        <v>-0.98987579999999997</v>
      </c>
      <c r="Q6449">
        <v>0.1399753</v>
      </c>
      <c r="R6449">
        <v>2.35198E-2</v>
      </c>
      <c r="S6449">
        <v>-3.0202640000000001</v>
      </c>
      <c r="T6449">
        <v>4.263103E-2</v>
      </c>
      <c r="U6449">
        <v>0.18673709999999999</v>
      </c>
      <c r="V6449">
        <v>-2.4911479999999999E-3</v>
      </c>
      <c r="W6449">
        <v>0.15064729999999901</v>
      </c>
      <c r="X6449">
        <v>0.98858449999999998</v>
      </c>
      <c r="Y6449">
        <v>3.5568280000000001E-2</v>
      </c>
      <c r="Z6449">
        <v>5.9244699999999996E-4</v>
      </c>
      <c r="AA6449">
        <v>0.99936709999999995</v>
      </c>
      <c r="AB6449">
        <v>28</v>
      </c>
      <c r="AC6449">
        <v>-252.5341</v>
      </c>
      <c r="AD6449">
        <v>3.568441</v>
      </c>
      <c r="AE6449">
        <v>15.6241</v>
      </c>
      <c r="AF6449">
        <v>9.0061287836012998</v>
      </c>
      <c r="AG6449">
        <v>3.568441</v>
      </c>
      <c r="AH6449">
        <v>252.80627733946901</v>
      </c>
      <c r="AI6449">
        <v>89.191818164003706</v>
      </c>
      <c r="AJ6449">
        <v>87.959722173864094</v>
      </c>
      <c r="AK6449">
        <v>252.991814075234</v>
      </c>
      <c r="AL6449">
        <v>81.335560167588795</v>
      </c>
      <c r="AM6449">
        <v>90.144380135869497</v>
      </c>
      <c r="AN6449">
        <v>1.0000000642279401</v>
      </c>
    </row>
    <row r="6450" spans="1:40" x14ac:dyDescent="0.25">
      <c r="A6450" t="str">
        <f>"20190303162040649"</f>
        <v>20190303162040649</v>
      </c>
      <c r="B6450" t="str">
        <f>"1551601240638652"</f>
        <v>1551601240638652</v>
      </c>
      <c r="C6450" t="s">
        <v>40</v>
      </c>
      <c r="D6450">
        <v>3.8809650000000002</v>
      </c>
      <c r="E6450">
        <v>0.51542219999999905</v>
      </c>
      <c r="F6450" t="s">
        <v>71</v>
      </c>
      <c r="G6450">
        <v>-511.92689999999999</v>
      </c>
      <c r="H6450">
        <v>5.1512580000000003</v>
      </c>
      <c r="I6450">
        <v>157.99010000000001</v>
      </c>
      <c r="J6450">
        <v>-259.67849999999999</v>
      </c>
      <c r="K6450">
        <v>1.1214679999999999</v>
      </c>
      <c r="L6450">
        <v>141.53540000000001</v>
      </c>
      <c r="M6450">
        <v>-0.99961160000000004</v>
      </c>
      <c r="N6450">
        <v>-1.080043E-2</v>
      </c>
      <c r="O6450">
        <v>2.5696940000000001E-2</v>
      </c>
      <c r="P6450">
        <v>-0.98995379999999999</v>
      </c>
      <c r="Q6450">
        <v>0.13978789999999999</v>
      </c>
      <c r="R6450">
        <v>2.1241570000000001E-2</v>
      </c>
      <c r="S6450">
        <v>-3.0191650000000001</v>
      </c>
      <c r="T6450">
        <v>4.8179270000000003E-2</v>
      </c>
      <c r="U6450">
        <v>0.19680790000000001</v>
      </c>
      <c r="V6450">
        <v>-4.3197979999999997E-3</v>
      </c>
      <c r="W6450">
        <v>0.15047049999999901</v>
      </c>
      <c r="X6450">
        <v>0.98860510000000001</v>
      </c>
      <c r="Y6450">
        <v>3.93902E-2</v>
      </c>
      <c r="Z6450">
        <v>5.8580379999999895E-4</v>
      </c>
      <c r="AA6450">
        <v>0.99922370000000005</v>
      </c>
      <c r="AB6450">
        <v>28</v>
      </c>
      <c r="AC6450">
        <v>-252.2484</v>
      </c>
      <c r="AD6450">
        <v>4.0297900000000002</v>
      </c>
      <c r="AE6450">
        <v>16.454699999999999</v>
      </c>
      <c r="AF6450">
        <v>9.9643443819930404</v>
      </c>
      <c r="AG6450">
        <v>4.0297900000000002</v>
      </c>
      <c r="AH6450">
        <v>252.523777608052</v>
      </c>
      <c r="AI6450">
        <v>89.086458824815793</v>
      </c>
      <c r="AJ6450">
        <v>87.740336166103603</v>
      </c>
      <c r="AK6450">
        <v>252.752419620165</v>
      </c>
      <c r="AL6450">
        <v>81.345806632690795</v>
      </c>
      <c r="AM6450">
        <v>90.2503574162522</v>
      </c>
      <c r="AN6450">
        <v>1.0000000378855001</v>
      </c>
    </row>
    <row r="6451" spans="1:40" x14ac:dyDescent="0.25">
      <c r="A6451" t="str">
        <f>"20190303162040668"</f>
        <v>20190303162040668</v>
      </c>
      <c r="B6451" t="str">
        <f>"1551601240659149"</f>
        <v>1551601240659149</v>
      </c>
      <c r="C6451" t="s">
        <v>40</v>
      </c>
      <c r="D6451">
        <v>3.8546490000000002</v>
      </c>
      <c r="E6451">
        <v>0.51564350000000003</v>
      </c>
      <c r="F6451" t="s">
        <v>71</v>
      </c>
      <c r="G6451">
        <v>-511.92680000000001</v>
      </c>
      <c r="H6451">
        <v>4.9233630000000002</v>
      </c>
      <c r="I6451">
        <v>157.45939999999999</v>
      </c>
      <c r="J6451">
        <v>-259.92930000000001</v>
      </c>
      <c r="K6451">
        <v>1.121518</v>
      </c>
      <c r="L6451">
        <v>141.54130000000001</v>
      </c>
      <c r="M6451">
        <v>-0.99962340000000005</v>
      </c>
      <c r="N6451">
        <v>-1.081088E-2</v>
      </c>
      <c r="O6451">
        <v>2.5227900000000001E-2</v>
      </c>
      <c r="P6451">
        <v>-0.98992460000000004</v>
      </c>
      <c r="Q6451">
        <v>0.14021620000000001</v>
      </c>
      <c r="R6451">
        <v>1.9720990000000001E-2</v>
      </c>
      <c r="S6451">
        <v>-3.0199280000000002</v>
      </c>
      <c r="T6451">
        <v>4.5516969999999997E-2</v>
      </c>
      <c r="U6451">
        <v>0.19064329999999999</v>
      </c>
      <c r="V6451">
        <v>-5.3928169999999899E-3</v>
      </c>
      <c r="W6451">
        <v>0.15090700000000001</v>
      </c>
      <c r="X6451">
        <v>0.98853329999999995</v>
      </c>
      <c r="Y6451">
        <v>3.781093E-2</v>
      </c>
      <c r="Z6451">
        <v>5.7220630000000001E-4</v>
      </c>
      <c r="AA6451">
        <v>0.99928470000000003</v>
      </c>
      <c r="AB6451">
        <v>28</v>
      </c>
      <c r="AC6451">
        <v>-251.9975</v>
      </c>
      <c r="AD6451">
        <v>3.8018449999999899</v>
      </c>
      <c r="AE6451">
        <v>15.9180999999999</v>
      </c>
      <c r="AF6451">
        <v>9.5531288858987207</v>
      </c>
      <c r="AG6451">
        <v>3.8018449999999899</v>
      </c>
      <c r="AH6451">
        <v>252.26170026205199</v>
      </c>
      <c r="AI6451">
        <v>89.137177036020802</v>
      </c>
      <c r="AJ6451">
        <v>87.8312501197166</v>
      </c>
      <c r="AK6451">
        <v>252.47115026476899</v>
      </c>
      <c r="AL6451">
        <v>81.320508212469406</v>
      </c>
      <c r="AM6451">
        <v>90.312566697137697</v>
      </c>
      <c r="AN6451">
        <v>1.0000000451665401</v>
      </c>
    </row>
    <row r="6452" spans="1:40" x14ac:dyDescent="0.25">
      <c r="A6452" t="str">
        <f>"20190303162040692"</f>
        <v>20190303162040692</v>
      </c>
      <c r="B6452" t="str">
        <f>"1551601240678667"</f>
        <v>1551601240678667</v>
      </c>
      <c r="C6452" t="s">
        <v>40</v>
      </c>
      <c r="D6452">
        <v>3.85318</v>
      </c>
      <c r="E6452">
        <v>0.51578889999999999</v>
      </c>
      <c r="F6452" t="s">
        <v>71</v>
      </c>
      <c r="G6452">
        <v>-511.92680000000001</v>
      </c>
      <c r="H6452">
        <v>4.9739969999999998</v>
      </c>
      <c r="I6452">
        <v>157.17660000000001</v>
      </c>
      <c r="J6452">
        <v>-260.2303</v>
      </c>
      <c r="K6452">
        <v>1.1215599999999999</v>
      </c>
      <c r="L6452">
        <v>141.54830000000001</v>
      </c>
      <c r="M6452">
        <v>-0.99963840000000004</v>
      </c>
      <c r="N6452">
        <v>-1.082281E-2</v>
      </c>
      <c r="O6452">
        <v>2.4617420000000001E-2</v>
      </c>
      <c r="P6452">
        <v>-0.98992749999999996</v>
      </c>
      <c r="Q6452">
        <v>0.14044899999999999</v>
      </c>
      <c r="R6452">
        <v>1.7820229999999999E-2</v>
      </c>
      <c r="S6452">
        <v>-3.0202640000000001</v>
      </c>
      <c r="T6452">
        <v>4.6173569999999997E-2</v>
      </c>
      <c r="U6452">
        <v>0.18739320000000001</v>
      </c>
      <c r="V6452">
        <v>-6.7039119999999898E-3</v>
      </c>
      <c r="W6452">
        <v>0.15114929999999999</v>
      </c>
      <c r="X6452">
        <v>0.98848820000000004</v>
      </c>
      <c r="Y6452">
        <v>3.7342939999999998E-2</v>
      </c>
      <c r="Z6452">
        <v>5.5921589999999896E-4</v>
      </c>
      <c r="AA6452">
        <v>0.99930229999999998</v>
      </c>
      <c r="AB6452">
        <v>28</v>
      </c>
      <c r="AC6452">
        <v>-251.69649999999999</v>
      </c>
      <c r="AD6452">
        <v>3.8524370000000001</v>
      </c>
      <c r="AE6452">
        <v>15.6282999999999</v>
      </c>
      <c r="AF6452">
        <v>9.4248826110112809</v>
      </c>
      <c r="AG6452">
        <v>3.8524370000000001</v>
      </c>
      <c r="AH6452">
        <v>251.94616747736799</v>
      </c>
      <c r="AI6452">
        <v>89.124587052594293</v>
      </c>
      <c r="AJ6452">
        <v>87.857660145858901</v>
      </c>
      <c r="AK6452">
        <v>252.15182130931399</v>
      </c>
      <c r="AL6452">
        <v>81.306463849306198</v>
      </c>
      <c r="AM6452">
        <v>90.388573151369698</v>
      </c>
      <c r="AN6452">
        <v>0.99999998743291596</v>
      </c>
    </row>
    <row r="6453" spans="1:40" x14ac:dyDescent="0.25">
      <c r="A6453" t="str">
        <f>"20190303162040714"</f>
        <v>20190303162040714</v>
      </c>
      <c r="B6453" t="str">
        <f>"1551601240708924"</f>
        <v>1551601240708924</v>
      </c>
      <c r="C6453" t="s">
        <v>40</v>
      </c>
      <c r="D6453">
        <v>3.8263090000000002</v>
      </c>
      <c r="E6453">
        <v>0.51589180000000001</v>
      </c>
      <c r="F6453" t="s">
        <v>71</v>
      </c>
      <c r="G6453">
        <v>-511.92689999999999</v>
      </c>
      <c r="H6453">
        <v>5.2010189999999996</v>
      </c>
      <c r="I6453">
        <v>156.7516</v>
      </c>
      <c r="J6453">
        <v>-260.50979999999998</v>
      </c>
      <c r="K6453">
        <v>1.1215820000000001</v>
      </c>
      <c r="L6453">
        <v>141.55459999999999</v>
      </c>
      <c r="M6453">
        <v>-0.99965280000000001</v>
      </c>
      <c r="N6453">
        <v>-1.0835559999999999E-2</v>
      </c>
      <c r="O6453">
        <v>2.4020509999999998E-2</v>
      </c>
      <c r="P6453">
        <v>-0.99003450000000004</v>
      </c>
      <c r="Q6453">
        <v>0.13996810000000001</v>
      </c>
      <c r="R6453">
        <v>1.551049E-2</v>
      </c>
      <c r="S6453">
        <v>-3.0202640000000001</v>
      </c>
      <c r="T6453">
        <v>4.8952460000000003E-2</v>
      </c>
      <c r="U6453">
        <v>0.18243409999999999</v>
      </c>
      <c r="V6453">
        <v>-8.4343590000000006E-3</v>
      </c>
      <c r="W6453">
        <v>0.150679799999999</v>
      </c>
      <c r="X6453">
        <v>0.98854660000000005</v>
      </c>
      <c r="Y6453">
        <v>3.6305039999999997E-2</v>
      </c>
      <c r="Z6453">
        <v>5.5188280000000001E-4</v>
      </c>
      <c r="AA6453">
        <v>0.99934060000000002</v>
      </c>
      <c r="AB6453">
        <v>28</v>
      </c>
      <c r="AC6453">
        <v>-251.4171</v>
      </c>
      <c r="AD6453">
        <v>4.0794370000000004</v>
      </c>
      <c r="AE6453">
        <v>15.196999999999999</v>
      </c>
      <c r="AF6453">
        <v>9.1506930713128103</v>
      </c>
      <c r="AG6453">
        <v>4.0794370000000004</v>
      </c>
      <c r="AH6453">
        <v>251.643599713908</v>
      </c>
      <c r="AI6453">
        <v>89.071863107502296</v>
      </c>
      <c r="AJ6453">
        <v>87.917430918819406</v>
      </c>
      <c r="AK6453">
        <v>251.842963504832</v>
      </c>
      <c r="AL6453">
        <v>81.333675647360906</v>
      </c>
      <c r="AM6453">
        <v>90.488840331601295</v>
      </c>
      <c r="AN6453">
        <v>0.99999996045566897</v>
      </c>
    </row>
    <row r="6454" spans="1:40" x14ac:dyDescent="0.25">
      <c r="A6454" t="str">
        <f>"20190303162040736"</f>
        <v>20190303162040736</v>
      </c>
      <c r="B6454" t="str">
        <f>"1551601240728444"</f>
        <v>1551601240728444</v>
      </c>
      <c r="C6454" t="s">
        <v>40</v>
      </c>
      <c r="D6454">
        <v>3.8574350000000002</v>
      </c>
      <c r="E6454">
        <v>0.5160749</v>
      </c>
      <c r="F6454" t="s">
        <v>71</v>
      </c>
      <c r="G6454">
        <v>-511.92700000000002</v>
      </c>
      <c r="H6454">
        <v>5.3527630000000004</v>
      </c>
      <c r="I6454">
        <v>156.2739</v>
      </c>
      <c r="J6454">
        <v>-260.79039999999998</v>
      </c>
      <c r="K6454">
        <v>1.12159599999999</v>
      </c>
      <c r="L6454">
        <v>141.56059999999999</v>
      </c>
      <c r="M6454">
        <v>-0.99966719999999998</v>
      </c>
      <c r="N6454">
        <v>-1.08527E-2</v>
      </c>
      <c r="O6454">
        <v>2.3404350000000001E-2</v>
      </c>
      <c r="P6454">
        <v>-0.98993880000000001</v>
      </c>
      <c r="Q6454">
        <v>0.14087549999999999</v>
      </c>
      <c r="R6454">
        <v>1.32505E-2</v>
      </c>
      <c r="S6454">
        <v>-3.020203</v>
      </c>
      <c r="T6454">
        <v>5.0828459999999999E-2</v>
      </c>
      <c r="U6454">
        <v>0.1768188</v>
      </c>
      <c r="V6454">
        <v>-1.008791E-2</v>
      </c>
      <c r="W6454">
        <v>0.15159990000000001</v>
      </c>
      <c r="X6454">
        <v>0.9883904</v>
      </c>
      <c r="Y6454">
        <v>3.5070740000000003E-2</v>
      </c>
      <c r="Z6454">
        <v>5.4288769999999995E-4</v>
      </c>
      <c r="AA6454">
        <v>0.99938470000000001</v>
      </c>
      <c r="AB6454">
        <v>28</v>
      </c>
      <c r="AC6454">
        <v>-251.13659999999999</v>
      </c>
      <c r="AD6454">
        <v>4.2311669999999904</v>
      </c>
      <c r="AE6454">
        <v>14.7133</v>
      </c>
      <c r="AF6454">
        <v>8.8287368459796607</v>
      </c>
      <c r="AG6454">
        <v>4.2311669999999904</v>
      </c>
      <c r="AH6454">
        <v>251.34107523725601</v>
      </c>
      <c r="AI6454">
        <v>89.036147465654395</v>
      </c>
      <c r="AJ6454">
        <v>87.988225911936098</v>
      </c>
      <c r="AK6454">
        <v>251.53167885953701</v>
      </c>
      <c r="AL6454">
        <v>81.2803449699</v>
      </c>
      <c r="AM6454">
        <v>90.584763468297496</v>
      </c>
      <c r="AN6454">
        <v>0.99999993921016705</v>
      </c>
    </row>
    <row r="6455" spans="1:40" x14ac:dyDescent="0.25">
      <c r="A6455" t="str">
        <f>"20190303162040758"</f>
        <v>20190303162040758</v>
      </c>
      <c r="B6455" t="str">
        <f>"1551601240748939"</f>
        <v>1551601240748939</v>
      </c>
      <c r="C6455" t="s">
        <v>40</v>
      </c>
      <c r="D6455">
        <v>3.8469720000000001</v>
      </c>
      <c r="E6455">
        <v>0.5159686</v>
      </c>
      <c r="F6455" t="s">
        <v>71</v>
      </c>
      <c r="G6455">
        <v>-510.17559999999997</v>
      </c>
      <c r="H6455">
        <v>5.6567970000000001</v>
      </c>
      <c r="I6455">
        <v>155.7533</v>
      </c>
      <c r="J6455">
        <v>-261.0684</v>
      </c>
      <c r="K6455">
        <v>1.1216109999999999</v>
      </c>
      <c r="L6455">
        <v>141.56649999999999</v>
      </c>
      <c r="M6455">
        <v>-0.99968129999999999</v>
      </c>
      <c r="N6455">
        <v>-1.0871199999999999E-2</v>
      </c>
      <c r="O6455">
        <v>2.278931E-2</v>
      </c>
      <c r="P6455">
        <v>-0.98982570000000003</v>
      </c>
      <c r="Q6455">
        <v>0.14183589999999999</v>
      </c>
      <c r="R6455">
        <v>1.131148E-2</v>
      </c>
      <c r="S6455">
        <v>-3.0203549999999999</v>
      </c>
      <c r="T6455">
        <v>5.492723E-2</v>
      </c>
      <c r="U6455">
        <v>0.171890299999999</v>
      </c>
      <c r="V6455">
        <v>-1.141901E-2</v>
      </c>
      <c r="W6455">
        <v>0.1525755</v>
      </c>
      <c r="X6455">
        <v>0.98822580000000004</v>
      </c>
      <c r="Y6455">
        <v>3.405743E-2</v>
      </c>
      <c r="Z6455">
        <v>5.3743469999999996E-4</v>
      </c>
      <c r="AA6455">
        <v>0.99941970000000002</v>
      </c>
      <c r="AB6455">
        <v>28</v>
      </c>
      <c r="AC6455">
        <v>-249.10720000000001</v>
      </c>
      <c r="AD6455">
        <v>4.5351860000000004</v>
      </c>
      <c r="AE6455">
        <v>14.1868</v>
      </c>
      <c r="AF6455">
        <v>8.5029898868822098</v>
      </c>
      <c r="AG6455">
        <v>4.5351860000000004</v>
      </c>
      <c r="AH6455">
        <v>249.28346535930899</v>
      </c>
      <c r="AI6455">
        <v>88.958344976986893</v>
      </c>
      <c r="AJ6455">
        <v>88.046414259963797</v>
      </c>
      <c r="AK6455">
        <v>249.469667195466</v>
      </c>
      <c r="AL6455">
        <v>81.223789423656996</v>
      </c>
      <c r="AM6455">
        <v>90.662026798623003</v>
      </c>
      <c r="AN6455">
        <v>0.999999954387634</v>
      </c>
    </row>
    <row r="6456" spans="1:40" x14ac:dyDescent="0.25">
      <c r="A6456" t="str">
        <f>"20190303162040780"</f>
        <v>20190303162040780</v>
      </c>
      <c r="B6456" t="str">
        <f>"1551601240768460"</f>
        <v>1551601240768460</v>
      </c>
      <c r="C6456" t="s">
        <v>40</v>
      </c>
      <c r="D6456">
        <v>3.8920499999999998</v>
      </c>
      <c r="E6456">
        <v>0.51589629999999997</v>
      </c>
      <c r="F6456" t="s">
        <v>71</v>
      </c>
      <c r="G6456">
        <v>-510.17570000000001</v>
      </c>
      <c r="H6456">
        <v>5.7826500000000003</v>
      </c>
      <c r="I6456">
        <v>155.1498</v>
      </c>
      <c r="J6456">
        <v>-261.34859999999998</v>
      </c>
      <c r="K6456">
        <v>1.1216269999999999</v>
      </c>
      <c r="L6456">
        <v>141.57220000000001</v>
      </c>
      <c r="M6456">
        <v>-0.99969490000000005</v>
      </c>
      <c r="N6456">
        <v>-1.0888729999999999E-2</v>
      </c>
      <c r="O6456">
        <v>2.2171110000000001E-2</v>
      </c>
      <c r="P6456">
        <v>-0.98976169999999997</v>
      </c>
      <c r="Q6456">
        <v>0.14238709999999999</v>
      </c>
      <c r="R6456">
        <v>9.8981680000000006E-3</v>
      </c>
      <c r="S6456">
        <v>-3.020813</v>
      </c>
      <c r="T6456">
        <v>5.6522849999999999E-2</v>
      </c>
      <c r="U6456">
        <v>0.16471859999999999</v>
      </c>
      <c r="V6456">
        <v>-1.2220409999999999E-2</v>
      </c>
      <c r="W6456">
        <v>0.1531419</v>
      </c>
      <c r="X6456">
        <v>0.98812869999999997</v>
      </c>
      <c r="Y6456">
        <v>3.2301440000000001E-2</v>
      </c>
      <c r="Z6456">
        <v>5.2973120000000004E-4</v>
      </c>
      <c r="AA6456">
        <v>0.99947799999999998</v>
      </c>
      <c r="AB6456">
        <v>28</v>
      </c>
      <c r="AC6456">
        <v>-248.8271</v>
      </c>
      <c r="AD6456">
        <v>4.6610230000000001</v>
      </c>
      <c r="AE6456">
        <v>13.577599999999901</v>
      </c>
      <c r="AF6456">
        <v>8.0543442928639806</v>
      </c>
      <c r="AG6456">
        <v>4.6610230000000001</v>
      </c>
      <c r="AH6456">
        <v>248.97987262837501</v>
      </c>
      <c r="AI6456">
        <v>88.928081310907004</v>
      </c>
      <c r="AJ6456">
        <v>88.147163246607306</v>
      </c>
      <c r="AK6456">
        <v>249.153716752202</v>
      </c>
      <c r="AL6456">
        <v>81.190952062123003</v>
      </c>
      <c r="AM6456">
        <v>90.708553676457399</v>
      </c>
      <c r="AN6456">
        <v>1.0000000538599301</v>
      </c>
    </row>
    <row r="6457" spans="1:40" x14ac:dyDescent="0.25">
      <c r="A6457" t="str">
        <f>"20190303162040805"</f>
        <v>20190303162040805</v>
      </c>
      <c r="B6457" t="str">
        <f>"1551601240798715"</f>
        <v>1551601240798715</v>
      </c>
      <c r="C6457" t="s">
        <v>40</v>
      </c>
      <c r="D6457">
        <v>3.841132</v>
      </c>
      <c r="E6457">
        <v>0.51623799999999997</v>
      </c>
      <c r="F6457" t="s">
        <v>71</v>
      </c>
      <c r="G6457">
        <v>-510.17559999999997</v>
      </c>
      <c r="H6457">
        <v>5.6031779999999998</v>
      </c>
      <c r="I6457">
        <v>154.70939999999999</v>
      </c>
      <c r="J6457">
        <v>-261.65730000000002</v>
      </c>
      <c r="K6457">
        <v>1.121631</v>
      </c>
      <c r="L6457">
        <v>141.57830000000001</v>
      </c>
      <c r="M6457">
        <v>-0.99970939999999997</v>
      </c>
      <c r="N6457">
        <v>-1.090642E-2</v>
      </c>
      <c r="O6457">
        <v>2.150293E-2</v>
      </c>
      <c r="P6457">
        <v>-0.98971430000000005</v>
      </c>
      <c r="Q6457">
        <v>0.142854799999999</v>
      </c>
      <c r="R6457">
        <v>7.6421079999999999E-3</v>
      </c>
      <c r="S6457">
        <v>-3.0216059999999998</v>
      </c>
      <c r="T6457">
        <v>5.4421780000000003E-2</v>
      </c>
      <c r="U6457">
        <v>0.15953059999999999</v>
      </c>
      <c r="V6457">
        <v>-1.3813809999999999E-2</v>
      </c>
      <c r="W6457">
        <v>0.15362439999999999</v>
      </c>
      <c r="X6457">
        <v>0.98803280000000004</v>
      </c>
      <c r="Y6457">
        <v>3.1243679999999999E-2</v>
      </c>
      <c r="Z6457">
        <v>5.1065189999999997E-4</v>
      </c>
      <c r="AA6457">
        <v>0.9995117</v>
      </c>
      <c r="AB6457">
        <v>28</v>
      </c>
      <c r="AC6457">
        <v>-248.51829999999899</v>
      </c>
      <c r="AD6457">
        <v>4.4815469999999999</v>
      </c>
      <c r="AE6457">
        <v>13.131099999999901</v>
      </c>
      <c r="AF6457">
        <v>7.7813512499882496</v>
      </c>
      <c r="AG6457">
        <v>4.4815469999999999</v>
      </c>
      <c r="AH6457">
        <v>248.662568149083</v>
      </c>
      <c r="AI6457">
        <v>88.967997691328407</v>
      </c>
      <c r="AJ6457">
        <v>88.207638782892701</v>
      </c>
      <c r="AK6457">
        <v>248.824650083721</v>
      </c>
      <c r="AL6457">
        <v>81.162975728575503</v>
      </c>
      <c r="AM6457">
        <v>90.801007261915501</v>
      </c>
      <c r="AN6457">
        <v>1.00000004574895</v>
      </c>
    </row>
    <row r="6458" spans="1:40" x14ac:dyDescent="0.25">
      <c r="A6458" t="str">
        <f>"20190303162040828"</f>
        <v>20190303162040828</v>
      </c>
      <c r="B6458" t="str">
        <f>"1551601240819212"</f>
        <v>1551601240819212</v>
      </c>
      <c r="C6458" t="s">
        <v>40</v>
      </c>
      <c r="D6458">
        <v>3.8933749999999998</v>
      </c>
      <c r="E6458">
        <v>0.51646009999999998</v>
      </c>
      <c r="F6458" t="s">
        <v>71</v>
      </c>
      <c r="G6458">
        <v>-510.17570000000001</v>
      </c>
      <c r="H6458">
        <v>5.7325900000000001</v>
      </c>
      <c r="I6458">
        <v>154.33279999999999</v>
      </c>
      <c r="J6458">
        <v>-261.9529</v>
      </c>
      <c r="K6458">
        <v>1.121618</v>
      </c>
      <c r="L6458">
        <v>141.584</v>
      </c>
      <c r="M6458">
        <v>-0.99972209999999995</v>
      </c>
      <c r="N6458">
        <v>-1.092192E-2</v>
      </c>
      <c r="O6458">
        <v>2.0892560000000001E-2</v>
      </c>
      <c r="P6458">
        <v>-0.98977009999999999</v>
      </c>
      <c r="Q6458">
        <v>0.1425824</v>
      </c>
      <c r="R6458">
        <v>5.076438E-3</v>
      </c>
      <c r="S6458">
        <v>-3.0219119999999999</v>
      </c>
      <c r="T6458">
        <v>5.6068420000000001E-2</v>
      </c>
      <c r="U6458">
        <v>0.15509029999999999</v>
      </c>
      <c r="V6458">
        <v>-1.5771500000000001E-2</v>
      </c>
      <c r="W6458">
        <v>0.15336569999999999</v>
      </c>
      <c r="X6458">
        <v>0.98804360000000002</v>
      </c>
      <c r="Y6458">
        <v>3.038385E-2</v>
      </c>
      <c r="Z6458">
        <v>4.9971789999999998E-4</v>
      </c>
      <c r="AA6458">
        <v>0.99953820000000004</v>
      </c>
      <c r="AB6458">
        <v>29</v>
      </c>
      <c r="AC6458">
        <v>-248.22280000000001</v>
      </c>
      <c r="AD6458">
        <v>4.6109720000000003</v>
      </c>
      <c r="AE6458">
        <v>12.7487999999999</v>
      </c>
      <c r="AF6458">
        <v>7.5570971937932097</v>
      </c>
      <c r="AG6458">
        <v>4.6109720000000003</v>
      </c>
      <c r="AH6458">
        <v>248.34951266133399</v>
      </c>
      <c r="AI6458">
        <v>88.936834233757807</v>
      </c>
      <c r="AJ6458">
        <v>88.257068422987402</v>
      </c>
      <c r="AK6458">
        <v>248.50724580966099</v>
      </c>
      <c r="AL6458">
        <v>81.177975205125094</v>
      </c>
      <c r="AM6458">
        <v>90.914497751038894</v>
      </c>
      <c r="AN6458">
        <v>0.99999996682484904</v>
      </c>
    </row>
    <row r="6459" spans="1:40" x14ac:dyDescent="0.25">
      <c r="A6459" t="str">
        <f>"20190303162040849"</f>
        <v>20190303162040849</v>
      </c>
      <c r="B6459" t="str">
        <f>"1551601240838732"</f>
        <v>1551601240838732</v>
      </c>
      <c r="C6459" t="s">
        <v>40</v>
      </c>
      <c r="D6459">
        <v>3.8959419999999998</v>
      </c>
      <c r="E6459">
        <v>0.51666219999999996</v>
      </c>
      <c r="F6459" t="s">
        <v>71</v>
      </c>
      <c r="G6459">
        <v>-510.17559999999997</v>
      </c>
      <c r="H6459">
        <v>5.6309420000000001</v>
      </c>
      <c r="I6459">
        <v>153.87280000000001</v>
      </c>
      <c r="J6459">
        <v>-262.22719999999998</v>
      </c>
      <c r="K6459">
        <v>1.1215900000000001</v>
      </c>
      <c r="L6459">
        <v>141.5891</v>
      </c>
      <c r="M6459">
        <v>-0.99973299999999998</v>
      </c>
      <c r="N6459">
        <v>-1.0935189999999999E-2</v>
      </c>
      <c r="O6459">
        <v>2.036048E-2</v>
      </c>
      <c r="P6459">
        <v>-0.98987979999999998</v>
      </c>
      <c r="Q6459">
        <v>0.14187620000000001</v>
      </c>
      <c r="R6459">
        <v>3.0958930000000002E-3</v>
      </c>
      <c r="S6459">
        <v>-3.0223390000000001</v>
      </c>
      <c r="T6459">
        <v>5.490565E-2</v>
      </c>
      <c r="U6459">
        <v>0.1496277</v>
      </c>
      <c r="V6459">
        <v>-1.7217860000000001E-2</v>
      </c>
      <c r="W6459">
        <v>0.152673</v>
      </c>
      <c r="X6459">
        <v>0.98812679999999997</v>
      </c>
      <c r="Y6459">
        <v>2.910635E-2</v>
      </c>
      <c r="Z6459">
        <v>4.871354E-4</v>
      </c>
      <c r="AA6459">
        <v>0.99957620000000003</v>
      </c>
      <c r="AB6459">
        <v>29</v>
      </c>
      <c r="AC6459">
        <v>-247.94839999999999</v>
      </c>
      <c r="AD6459">
        <v>4.5093519999999998</v>
      </c>
      <c r="AE6459">
        <v>12.2837</v>
      </c>
      <c r="AF6459">
        <v>7.2301179937782196</v>
      </c>
      <c r="AG6459">
        <v>4.5093519999999998</v>
      </c>
      <c r="AH6459">
        <v>248.065264295124</v>
      </c>
      <c r="AI6459">
        <v>88.959028980815305</v>
      </c>
      <c r="AJ6459">
        <v>88.330528035439599</v>
      </c>
      <c r="AK6459">
        <v>248.21157146973101</v>
      </c>
      <c r="AL6459">
        <v>81.218137585741104</v>
      </c>
      <c r="AM6459">
        <v>90.998263468181094</v>
      </c>
      <c r="AN6459">
        <v>1.0000000362551</v>
      </c>
    </row>
    <row r="6460" spans="1:40" x14ac:dyDescent="0.25">
      <c r="A6460" t="str">
        <f>"20190303162040870"</f>
        <v>20190303162040870</v>
      </c>
      <c r="B6460" t="str">
        <f>"1551601240859227"</f>
        <v>1551601240859227</v>
      </c>
      <c r="C6460" t="s">
        <v>40</v>
      </c>
      <c r="D6460">
        <v>3.9071769999999999</v>
      </c>
      <c r="E6460">
        <v>0.51682689999999998</v>
      </c>
      <c r="F6460" t="s">
        <v>71</v>
      </c>
      <c r="G6460">
        <v>-511.92700000000002</v>
      </c>
      <c r="H6460">
        <v>5.516985</v>
      </c>
      <c r="I6460">
        <v>153.65899999999999</v>
      </c>
      <c r="J6460">
        <v>-262.49340000000001</v>
      </c>
      <c r="K6460">
        <v>1.1215729999999999</v>
      </c>
      <c r="L6460">
        <v>141.59389999999999</v>
      </c>
      <c r="M6460">
        <v>-0.99974260000000004</v>
      </c>
      <c r="N6460">
        <v>-1.0946859999999999E-2</v>
      </c>
      <c r="O6460">
        <v>1.9874300000000001E-2</v>
      </c>
      <c r="P6460">
        <v>-0.98995520000000004</v>
      </c>
      <c r="Q6460">
        <v>0.14136879999999999</v>
      </c>
      <c r="R6460">
        <v>1.8594309999999999E-3</v>
      </c>
      <c r="S6460">
        <v>-3.0225520000000001</v>
      </c>
      <c r="T6460">
        <v>5.320561E-2</v>
      </c>
      <c r="U6460">
        <v>0.14610290000000001</v>
      </c>
      <c r="V6460">
        <v>-1.7965109999999999E-2</v>
      </c>
      <c r="W6460">
        <v>0.15217820000000001</v>
      </c>
      <c r="X6460">
        <v>0.98818980000000001</v>
      </c>
      <c r="Y6460">
        <v>2.8425800000000001E-2</v>
      </c>
      <c r="Z6460">
        <v>4.726687E-4</v>
      </c>
      <c r="AA6460">
        <v>0.99959580000000003</v>
      </c>
      <c r="AB6460">
        <v>29</v>
      </c>
      <c r="AC6460">
        <v>-249.43360000000001</v>
      </c>
      <c r="AD6460">
        <v>4.3954120000000003</v>
      </c>
      <c r="AE6460">
        <v>12.065099999999999</v>
      </c>
      <c r="AF6460">
        <v>7.1029012200280599</v>
      </c>
      <c r="AG6460">
        <v>4.3954120000000003</v>
      </c>
      <c r="AH6460">
        <v>249.54681904585101</v>
      </c>
      <c r="AI6460">
        <v>88.991329166625803</v>
      </c>
      <c r="AJ6460">
        <v>88.369618914003894</v>
      </c>
      <c r="AK6460">
        <v>249.68657502616</v>
      </c>
      <c r="AL6460">
        <v>81.246822538985796</v>
      </c>
      <c r="AM6460">
        <v>91.041512070548805</v>
      </c>
      <c r="AN6460">
        <v>1.00000001527829</v>
      </c>
    </row>
    <row r="6461" spans="1:40" x14ac:dyDescent="0.25">
      <c r="A6461" t="str">
        <f>"20190303162040893"</f>
        <v>20190303162040893</v>
      </c>
      <c r="B6461" t="str">
        <f>"1551601240878748"</f>
        <v>1551601240878748</v>
      </c>
      <c r="C6461" t="s">
        <v>40</v>
      </c>
      <c r="D6461">
        <v>3.972785</v>
      </c>
      <c r="E6461">
        <v>0.51698599999999995</v>
      </c>
      <c r="F6461" t="s">
        <v>71</v>
      </c>
      <c r="G6461">
        <v>-511.06049999999999</v>
      </c>
      <c r="H6461">
        <v>5.3893319999999996</v>
      </c>
      <c r="I6461">
        <v>153.44399999999999</v>
      </c>
      <c r="J6461">
        <v>-262.78719999999998</v>
      </c>
      <c r="K6461">
        <v>1.12154</v>
      </c>
      <c r="L6461">
        <v>141.5992</v>
      </c>
      <c r="M6461">
        <v>-0.99975219999999998</v>
      </c>
      <c r="N6461">
        <v>-1.095838E-2</v>
      </c>
      <c r="O6461">
        <v>1.9384479999999999E-2</v>
      </c>
      <c r="P6461">
        <v>-0.98990009999999995</v>
      </c>
      <c r="Q6461">
        <v>0.14175689999999999</v>
      </c>
      <c r="R6461">
        <v>1.778522E-3</v>
      </c>
      <c r="S6461">
        <v>-3.0227360000000001</v>
      </c>
      <c r="T6461">
        <v>5.1899189999999998E-2</v>
      </c>
      <c r="U6461">
        <v>0.14410400000000001</v>
      </c>
      <c r="V6461">
        <v>-1.7546989999999998E-2</v>
      </c>
      <c r="W6461">
        <v>0.15257879999999999</v>
      </c>
      <c r="X6461">
        <v>0.98813550000000006</v>
      </c>
      <c r="Y6461">
        <v>2.8252840000000001E-2</v>
      </c>
      <c r="Z6461">
        <v>4.5738339999999998E-4</v>
      </c>
      <c r="AA6461">
        <v>0.99960070000000001</v>
      </c>
      <c r="AB6461">
        <v>29</v>
      </c>
      <c r="AC6461">
        <v>-248.27330000000001</v>
      </c>
      <c r="AD6461">
        <v>4.267792</v>
      </c>
      <c r="AE6461">
        <v>11.8447999999999</v>
      </c>
      <c r="AF6461">
        <v>7.0275651826789103</v>
      </c>
      <c r="AG6461">
        <v>4.267792</v>
      </c>
      <c r="AH6461">
        <v>248.38303507640899</v>
      </c>
      <c r="AI6461">
        <v>89.016017239309704</v>
      </c>
      <c r="AJ6461">
        <v>88.379348109880098</v>
      </c>
      <c r="AK6461">
        <v>248.5190794179</v>
      </c>
      <c r="AL6461">
        <v>81.223598305054395</v>
      </c>
      <c r="AM6461">
        <v>91.017332961090602</v>
      </c>
      <c r="AN6461">
        <v>0.99999997671387397</v>
      </c>
    </row>
    <row r="6462" spans="1:40" x14ac:dyDescent="0.25">
      <c r="A6462" t="str">
        <f>"20190303162040914"</f>
        <v>20190303162040914</v>
      </c>
      <c r="B6462" t="str">
        <f>"1551601240909005"</f>
        <v>1551601240909005</v>
      </c>
      <c r="C6462" t="s">
        <v>40</v>
      </c>
      <c r="D6462">
        <v>3.9544139999999999</v>
      </c>
      <c r="E6462">
        <v>0.51745920000000001</v>
      </c>
      <c r="F6462" t="s">
        <v>71</v>
      </c>
      <c r="G6462">
        <v>-511.06040000000002</v>
      </c>
      <c r="H6462">
        <v>5.3507400000000001</v>
      </c>
      <c r="I6462">
        <v>153.52330000000001</v>
      </c>
      <c r="J6462">
        <v>-263.06760000000003</v>
      </c>
      <c r="K6462">
        <v>1.1215059999999999</v>
      </c>
      <c r="L6462">
        <v>141.60419999999999</v>
      </c>
      <c r="M6462">
        <v>-0.99975990000000003</v>
      </c>
      <c r="N6462">
        <v>-1.0968230000000001E-2</v>
      </c>
      <c r="O6462">
        <v>1.8973589999999999E-2</v>
      </c>
      <c r="P6462">
        <v>-0.9898614</v>
      </c>
      <c r="Q6462">
        <v>0.14201739999999999</v>
      </c>
      <c r="R6462">
        <v>2.3269150000000001E-3</v>
      </c>
      <c r="S6462">
        <v>-3.02298</v>
      </c>
      <c r="T6462">
        <v>5.1495310000000002E-2</v>
      </c>
      <c r="U6462">
        <v>0.14518739999999999</v>
      </c>
      <c r="V6462">
        <v>-1.657753E-2</v>
      </c>
      <c r="W6462">
        <v>0.1528516</v>
      </c>
      <c r="X6462">
        <v>0.98811009999999999</v>
      </c>
      <c r="Y6462">
        <v>2.9017009999999999E-2</v>
      </c>
      <c r="Z6462">
        <v>4.4319489999999998E-4</v>
      </c>
      <c r="AA6462">
        <v>0.99957879999999999</v>
      </c>
      <c r="AB6462">
        <v>29</v>
      </c>
      <c r="AC6462">
        <v>-247.99279999999999</v>
      </c>
      <c r="AD6462">
        <v>4.2292339999999999</v>
      </c>
      <c r="AE6462">
        <v>11.9191</v>
      </c>
      <c r="AF6462">
        <v>7.2092658641069596</v>
      </c>
      <c r="AG6462">
        <v>4.2292339999999999</v>
      </c>
      <c r="AH6462">
        <v>248.10232366072299</v>
      </c>
      <c r="AI6462">
        <v>89.023823786570404</v>
      </c>
      <c r="AJ6462">
        <v>88.335588700470396</v>
      </c>
      <c r="AK6462">
        <v>248.24307229080199</v>
      </c>
      <c r="AL6462">
        <v>81.207782688338298</v>
      </c>
      <c r="AM6462">
        <v>90.961161518266195</v>
      </c>
      <c r="AN6462">
        <v>0.99999999792273497</v>
      </c>
    </row>
    <row r="6463" spans="1:40" x14ac:dyDescent="0.25">
      <c r="A6463" t="str">
        <f>"20190303162040937"</f>
        <v>20190303162040937</v>
      </c>
      <c r="B6463" t="str">
        <f>"1551601240928524"</f>
        <v>1551601240928524</v>
      </c>
      <c r="C6463" t="s">
        <v>40</v>
      </c>
      <c r="D6463">
        <v>3.9715419999999999</v>
      </c>
      <c r="E6463">
        <v>0.51760720000000005</v>
      </c>
      <c r="F6463" t="s">
        <v>71</v>
      </c>
      <c r="G6463">
        <v>-511.92700000000002</v>
      </c>
      <c r="H6463">
        <v>5.3501390000000004</v>
      </c>
      <c r="I6463">
        <v>153.99340000000001</v>
      </c>
      <c r="J6463">
        <v>-263.34660000000002</v>
      </c>
      <c r="K6463">
        <v>1.1214599999999999</v>
      </c>
      <c r="L6463">
        <v>141.60910000000001</v>
      </c>
      <c r="M6463">
        <v>-0.9997663</v>
      </c>
      <c r="N6463">
        <v>-1.097709E-2</v>
      </c>
      <c r="O6463">
        <v>1.8625849999999999E-2</v>
      </c>
      <c r="P6463">
        <v>-0.98994459999999995</v>
      </c>
      <c r="Q6463">
        <v>0.14141999999999999</v>
      </c>
      <c r="R6463">
        <v>3.1987740000000001E-3</v>
      </c>
      <c r="S6463">
        <v>-3.0230100000000002</v>
      </c>
      <c r="T6463">
        <v>5.1367639999999999E-2</v>
      </c>
      <c r="U6463">
        <v>0.1504974</v>
      </c>
      <c r="V6463">
        <v>-1.534635E-2</v>
      </c>
      <c r="W6463">
        <v>0.15226679999999901</v>
      </c>
      <c r="X6463">
        <v>0.98822030000000005</v>
      </c>
      <c r="Y6463">
        <v>3.1115520000000001E-2</v>
      </c>
      <c r="Z6463">
        <v>4.2728699999999999E-4</v>
      </c>
      <c r="AA6463">
        <v>0.99951570000000001</v>
      </c>
      <c r="AB6463">
        <v>29</v>
      </c>
      <c r="AC6463">
        <v>-248.5804</v>
      </c>
      <c r="AD6463">
        <v>4.2286789999999996</v>
      </c>
      <c r="AE6463">
        <v>12.3842999999999</v>
      </c>
      <c r="AF6463">
        <v>7.7496142429215</v>
      </c>
      <c r="AG6463">
        <v>4.2286789999999996</v>
      </c>
      <c r="AH6463">
        <v>248.69616333443699</v>
      </c>
      <c r="AI6463">
        <v>89.026343630946698</v>
      </c>
      <c r="AJ6463">
        <v>88.215185344064693</v>
      </c>
      <c r="AK6463">
        <v>248.852807708228</v>
      </c>
      <c r="AL6463">
        <v>81.241686362855702</v>
      </c>
      <c r="AM6463">
        <v>90.889690703689098</v>
      </c>
      <c r="AN6463">
        <v>1.0000000250863199</v>
      </c>
    </row>
    <row r="6464" spans="1:40" x14ac:dyDescent="0.25">
      <c r="A6464" t="str">
        <f>"20190303162040959"</f>
        <v>20190303162040959</v>
      </c>
      <c r="B6464" t="str">
        <f>"1551601240949021"</f>
        <v>1551601240949021</v>
      </c>
      <c r="C6464" t="s">
        <v>40</v>
      </c>
      <c r="D6464">
        <v>3.9653170000000002</v>
      </c>
      <c r="E6464">
        <v>0.51777519999999999</v>
      </c>
      <c r="F6464" t="s">
        <v>71</v>
      </c>
      <c r="G6464">
        <v>-511.92689999999999</v>
      </c>
      <c r="H6464">
        <v>5.0760239999999897</v>
      </c>
      <c r="I6464">
        <v>154.31399999999999</v>
      </c>
      <c r="J6464">
        <v>-263.63339999999999</v>
      </c>
      <c r="K6464">
        <v>1.1214059999999999</v>
      </c>
      <c r="L6464">
        <v>141.61410000000001</v>
      </c>
      <c r="M6464">
        <v>-0.99977169999999904</v>
      </c>
      <c r="N6464">
        <v>-1.098527E-2</v>
      </c>
      <c r="O6464">
        <v>1.833187E-2</v>
      </c>
      <c r="P6464">
        <v>-0.99014400000000002</v>
      </c>
      <c r="Q6464">
        <v>0.1400023</v>
      </c>
      <c r="R6464">
        <v>3.8035859999999999E-3</v>
      </c>
      <c r="S6464">
        <v>-3.0231020000000002</v>
      </c>
      <c r="T6464">
        <v>4.8093799999999999E-2</v>
      </c>
      <c r="U6464">
        <v>0.1545105</v>
      </c>
      <c r="V6464">
        <v>-1.443579E-2</v>
      </c>
      <c r="W6464">
        <v>0.150861299999999</v>
      </c>
      <c r="X6464">
        <v>0.98844949999999998</v>
      </c>
      <c r="Y6464">
        <v>3.2730990000000001E-2</v>
      </c>
      <c r="Z6464">
        <v>4.1238510000000001E-4</v>
      </c>
      <c r="AA6464">
        <v>0.99946409999999997</v>
      </c>
      <c r="AB6464">
        <v>29</v>
      </c>
      <c r="AC6464">
        <v>-248.29349999999999</v>
      </c>
      <c r="AD6464">
        <v>3.954618</v>
      </c>
      <c r="AE6464">
        <v>12.6998999999999</v>
      </c>
      <c r="AF6464">
        <v>8.1437467319306904</v>
      </c>
      <c r="AG6464">
        <v>3.954618</v>
      </c>
      <c r="AH6464">
        <v>248.42174391749001</v>
      </c>
      <c r="AI6464">
        <v>89.088476877510701</v>
      </c>
      <c r="AJ6464">
        <v>88.122405583738299</v>
      </c>
      <c r="AK6464">
        <v>248.58664981323199</v>
      </c>
      <c r="AL6464">
        <v>81.323156287383497</v>
      </c>
      <c r="AM6464">
        <v>90.836715526171204</v>
      </c>
      <c r="AN6464">
        <v>0.99999996896043097</v>
      </c>
    </row>
    <row r="6465" spans="1:40" x14ac:dyDescent="0.25">
      <c r="A6465" t="str">
        <f>"20190303162040981"</f>
        <v>20190303162040981</v>
      </c>
      <c r="B6465" t="str">
        <f>"1551601240968540"</f>
        <v>1551601240968540</v>
      </c>
      <c r="C6465" t="s">
        <v>40</v>
      </c>
      <c r="D6465">
        <v>3.9448780000000001</v>
      </c>
      <c r="E6465">
        <v>0.51767770000000002</v>
      </c>
      <c r="F6465" t="s">
        <v>71</v>
      </c>
      <c r="G6465">
        <v>-511.92669999999998</v>
      </c>
      <c r="H6465">
        <v>4.5678549999999998</v>
      </c>
      <c r="I6465">
        <v>154.59180000000001</v>
      </c>
      <c r="J6465">
        <v>-263.9162</v>
      </c>
      <c r="K6465">
        <v>1.121351</v>
      </c>
      <c r="L6465">
        <v>141.619</v>
      </c>
      <c r="M6465">
        <v>-0.99977590000000005</v>
      </c>
      <c r="N6465">
        <v>-1.099267E-2</v>
      </c>
      <c r="O6465">
        <v>1.8101289999999999E-2</v>
      </c>
      <c r="P6465">
        <v>-0.99027880000000001</v>
      </c>
      <c r="Q6465">
        <v>0.139014</v>
      </c>
      <c r="R6465">
        <v>4.8303249999999999E-3</v>
      </c>
      <c r="S6465">
        <v>-3.023285</v>
      </c>
      <c r="T6465">
        <v>4.1965370000000002E-2</v>
      </c>
      <c r="U6465">
        <v>0.15801999999999999</v>
      </c>
      <c r="V6465">
        <v>-1.316517E-2</v>
      </c>
      <c r="W6465">
        <v>0.1498845</v>
      </c>
      <c r="X6465">
        <v>0.98861589999999999</v>
      </c>
      <c r="Y6465">
        <v>3.4115050000000001E-2</v>
      </c>
      <c r="Z6465">
        <v>4.009471E-4</v>
      </c>
      <c r="AA6465">
        <v>0.99941780000000002</v>
      </c>
      <c r="AB6465">
        <v>29</v>
      </c>
      <c r="AC6465">
        <v>-248.01050000000001</v>
      </c>
      <c r="AD6465">
        <v>3.446504</v>
      </c>
      <c r="AE6465">
        <v>12.972799999999999</v>
      </c>
      <c r="AF6465">
        <v>8.4794607356072298</v>
      </c>
      <c r="AG6465">
        <v>3.446504</v>
      </c>
      <c r="AH6465">
        <v>248.15690697066699</v>
      </c>
      <c r="AI6465">
        <v>89.204768130942</v>
      </c>
      <c r="AJ6465">
        <v>88.042978663772203</v>
      </c>
      <c r="AK6465">
        <v>248.32565336959601</v>
      </c>
      <c r="AL6465">
        <v>81.379767133092898</v>
      </c>
      <c r="AM6465">
        <v>90.762949587937896</v>
      </c>
      <c r="AN6465">
        <v>1.00000004138709</v>
      </c>
    </row>
    <row r="6466" spans="1:40" x14ac:dyDescent="0.25">
      <c r="A6466" t="str">
        <f>"20190303162041004"</f>
        <v>20190303162041004</v>
      </c>
      <c r="B6466" t="str">
        <f>"1551601240998796"</f>
        <v>1551601240998796</v>
      </c>
      <c r="C6466" t="s">
        <v>40</v>
      </c>
      <c r="D6466">
        <v>3.9803359999999999</v>
      </c>
      <c r="E6466">
        <v>0.5060635</v>
      </c>
      <c r="F6466" t="s">
        <v>71</v>
      </c>
      <c r="G6466">
        <v>-511.92660000000001</v>
      </c>
      <c r="H6466">
        <v>4.2573040000000004</v>
      </c>
      <c r="I6466">
        <v>154.73830000000001</v>
      </c>
      <c r="J6466">
        <v>-264.22039999999998</v>
      </c>
      <c r="K6466">
        <v>1.121302</v>
      </c>
      <c r="L6466">
        <v>141.62430000000001</v>
      </c>
      <c r="M6466">
        <v>-0.99977919999999998</v>
      </c>
      <c r="N6466">
        <v>-1.0999719999999999E-2</v>
      </c>
      <c r="O6466">
        <v>1.791044E-2</v>
      </c>
      <c r="P6466">
        <v>-0.9902881</v>
      </c>
      <c r="Q6466">
        <v>0.13883679999999901</v>
      </c>
      <c r="R6466">
        <v>7.3584050000000002E-3</v>
      </c>
      <c r="S6466">
        <v>-3.0233150000000002</v>
      </c>
      <c r="T6466">
        <v>3.822863E-2</v>
      </c>
      <c r="U6466">
        <v>0.1599274</v>
      </c>
      <c r="V6466">
        <v>-1.043169E-2</v>
      </c>
      <c r="W6466">
        <v>0.14971719999999999</v>
      </c>
      <c r="X6466">
        <v>0.98867380000000005</v>
      </c>
      <c r="Y6466">
        <v>3.4933800000000001E-2</v>
      </c>
      <c r="Z6466">
        <v>3.9473509999999999E-4</v>
      </c>
      <c r="AA6466">
        <v>0.99938950000000004</v>
      </c>
      <c r="AB6466">
        <v>29</v>
      </c>
      <c r="AC6466">
        <v>-247.7062</v>
      </c>
      <c r="AD6466">
        <v>3.136002</v>
      </c>
      <c r="AE6466">
        <v>13.114000000000001</v>
      </c>
      <c r="AF6466">
        <v>8.6737149105401592</v>
      </c>
      <c r="AG6466">
        <v>3.136002</v>
      </c>
      <c r="AH6466">
        <v>247.861737429562</v>
      </c>
      <c r="AI6466">
        <v>89.275563079251498</v>
      </c>
      <c r="AJ6466">
        <v>87.995799793504702</v>
      </c>
      <c r="AK6466">
        <v>248.033281477495</v>
      </c>
      <c r="AL6466">
        <v>81.389461506313694</v>
      </c>
      <c r="AM6466">
        <v>90.604516506639897</v>
      </c>
      <c r="AN6466">
        <v>0.999999971469267</v>
      </c>
    </row>
    <row r="6467" spans="1:40" x14ac:dyDescent="0.25">
      <c r="A6467" t="str">
        <f>"20190303162041028"</f>
        <v>20190303162041028</v>
      </c>
      <c r="B6467" t="str">
        <f>"1551601241019293"</f>
        <v>1551601241019293</v>
      </c>
      <c r="C6467" t="s">
        <v>40</v>
      </c>
      <c r="D6467">
        <v>4.0092939999999997</v>
      </c>
      <c r="E6467">
        <v>0.50621579999999999</v>
      </c>
      <c r="F6467" t="s">
        <v>58</v>
      </c>
      <c r="G6467">
        <v>0</v>
      </c>
      <c r="H6467">
        <v>0</v>
      </c>
      <c r="I6467">
        <v>0</v>
      </c>
      <c r="J6467">
        <v>-264.51089999999999</v>
      </c>
      <c r="K6467">
        <v>1.1212660000000001</v>
      </c>
      <c r="L6467">
        <v>141.6293</v>
      </c>
      <c r="M6467">
        <v>-0.99978149999999999</v>
      </c>
      <c r="N6467">
        <v>-1.100568E-2</v>
      </c>
      <c r="O6467">
        <v>1.7776879999999998E-2</v>
      </c>
      <c r="P6467">
        <v>-0.99041670000000004</v>
      </c>
      <c r="Q6467">
        <v>0.1376338</v>
      </c>
      <c r="R6467">
        <v>1.147799E-2</v>
      </c>
      <c r="S6467">
        <v>-3.0236510000000001</v>
      </c>
      <c r="T6467">
        <v>3.7094000000000002E-2</v>
      </c>
      <c r="U6467">
        <v>7.388306E-2</v>
      </c>
      <c r="V6467">
        <v>-6.1699989999999998E-3</v>
      </c>
      <c r="W6467">
        <v>0.14852470000000001</v>
      </c>
      <c r="X6467">
        <v>0.98888949999999998</v>
      </c>
      <c r="Y6467">
        <v>6.6560069999999898E-3</v>
      </c>
      <c r="Z6467">
        <v>4.0946599999999999E-4</v>
      </c>
      <c r="AA6467">
        <v>0.99997780000000003</v>
      </c>
      <c r="AB6467">
        <v>29</v>
      </c>
      <c r="AC6467">
        <v>-3.0236510000000001</v>
      </c>
      <c r="AD6467">
        <v>3.7094000000000002E-2</v>
      </c>
      <c r="AE6467">
        <v>7.388306E-2</v>
      </c>
      <c r="AF6467">
        <v>2.0114026618094499E-2</v>
      </c>
      <c r="AG6467">
        <v>3.7094000000000002E-2</v>
      </c>
      <c r="AH6467">
        <v>3.0240317778391201</v>
      </c>
      <c r="AI6467">
        <v>89.297237525746198</v>
      </c>
      <c r="AJ6467">
        <v>89.618908819692905</v>
      </c>
      <c r="AK6467">
        <v>3.02432616169017</v>
      </c>
      <c r="AL6467">
        <v>81.458559984720495</v>
      </c>
      <c r="AM6467">
        <v>90.357482120160995</v>
      </c>
      <c r="AN6467">
        <v>1.00000004930399</v>
      </c>
    </row>
    <row r="6468" spans="1:40" x14ac:dyDescent="0.25">
      <c r="A6468" t="str">
        <f>"20190303162041050"</f>
        <v>20190303162041050</v>
      </c>
      <c r="B6468" t="str">
        <f>"1551601241038814"</f>
        <v>1551601241038814</v>
      </c>
      <c r="C6468" t="s">
        <v>40</v>
      </c>
      <c r="D6468">
        <v>4.0320650000000002</v>
      </c>
      <c r="E6468">
        <v>0.50622559999999905</v>
      </c>
      <c r="F6468" t="s">
        <v>71</v>
      </c>
      <c r="G6468">
        <v>-553.54960000000005</v>
      </c>
      <c r="H6468">
        <v>3.859064</v>
      </c>
      <c r="I6468">
        <v>149.8432</v>
      </c>
      <c r="J6468">
        <v>-264.7971</v>
      </c>
      <c r="K6468">
        <v>1.1212359999999999</v>
      </c>
      <c r="L6468">
        <v>141.6343</v>
      </c>
      <c r="M6468">
        <v>-0.99978330000000004</v>
      </c>
      <c r="N6468">
        <v>-1.101094E-2</v>
      </c>
      <c r="O6468">
        <v>1.7671429999999998E-2</v>
      </c>
      <c r="P6468">
        <v>-0.99063690000000004</v>
      </c>
      <c r="Q6468">
        <v>0.13565739999999901</v>
      </c>
      <c r="R6468">
        <v>1.535594E-2</v>
      </c>
      <c r="S6468">
        <v>-3.0240480000000001</v>
      </c>
      <c r="T6468">
        <v>2.864444E-2</v>
      </c>
      <c r="U6468">
        <v>8.59375E-2</v>
      </c>
      <c r="V6468">
        <v>-2.1832710000000001E-3</v>
      </c>
      <c r="W6468">
        <v>0.14655760000000001</v>
      </c>
      <c r="X6468">
        <v>0.98919970000000002</v>
      </c>
      <c r="Y6468">
        <v>1.074055E-2</v>
      </c>
      <c r="Z6468">
        <v>3.701776E-4</v>
      </c>
      <c r="AA6468">
        <v>0.9999422</v>
      </c>
      <c r="AB6468">
        <v>29</v>
      </c>
      <c r="AC6468">
        <v>-288.7525</v>
      </c>
      <c r="AD6468">
        <v>2.7378279999999999</v>
      </c>
      <c r="AE6468">
        <v>8.2088999999999999</v>
      </c>
      <c r="AF6468">
        <v>3.1043606335577398</v>
      </c>
      <c r="AG6468">
        <v>2.7378279999999999</v>
      </c>
      <c r="AH6468">
        <v>288.82653246528997</v>
      </c>
      <c r="AI6468">
        <v>89.456932745263103</v>
      </c>
      <c r="AJ6468">
        <v>89.384198147984705</v>
      </c>
      <c r="AK6468">
        <v>288.85619019336201</v>
      </c>
      <c r="AL6468">
        <v>81.572512985614793</v>
      </c>
      <c r="AM6468">
        <v>90.126457792811806</v>
      </c>
      <c r="AN6468">
        <v>0.99999997163505405</v>
      </c>
    </row>
    <row r="6469" spans="1:40" x14ac:dyDescent="0.25">
      <c r="A6469" t="str">
        <f>"20190303162041071"</f>
        <v>20190303162041071</v>
      </c>
      <c r="B6469" t="str">
        <f>"1551601241059308"</f>
        <v>1551601241059308</v>
      </c>
      <c r="C6469" t="s">
        <v>40</v>
      </c>
      <c r="D6469">
        <v>3.9890919999999999</v>
      </c>
      <c r="E6469">
        <v>0.50578900000000004</v>
      </c>
      <c r="F6469" t="s">
        <v>71</v>
      </c>
      <c r="G6469">
        <v>-546.13520000000005</v>
      </c>
      <c r="H6469">
        <v>3.0846330000000002</v>
      </c>
      <c r="I6469">
        <v>150.69999999999999</v>
      </c>
      <c r="J6469">
        <v>-265.07369999999997</v>
      </c>
      <c r="K6469">
        <v>1.121216</v>
      </c>
      <c r="L6469">
        <v>141.63910000000001</v>
      </c>
      <c r="M6469">
        <v>-0.99978460000000002</v>
      </c>
      <c r="N6469">
        <v>-1.1017000000000001E-2</v>
      </c>
      <c r="O6469">
        <v>1.7584019999999999E-2</v>
      </c>
      <c r="P6469">
        <v>-0.99075480000000005</v>
      </c>
      <c r="Q6469">
        <v>0.13431609999999999</v>
      </c>
      <c r="R6469">
        <v>1.9083070000000001E-2</v>
      </c>
      <c r="S6469">
        <v>-3.0239560000000001</v>
      </c>
      <c r="T6469">
        <v>2.1103980000000001E-2</v>
      </c>
      <c r="U6469">
        <v>9.7442630000000002E-2</v>
      </c>
      <c r="V6469">
        <v>1.6327100000000001E-3</v>
      </c>
      <c r="W6469">
        <v>0.14522550000000001</v>
      </c>
      <c r="X6469">
        <v>0.98939719999999998</v>
      </c>
      <c r="Y6469">
        <v>1.462894E-2</v>
      </c>
      <c r="Z6469">
        <v>3.4593789999999997E-4</v>
      </c>
      <c r="AA6469">
        <v>0.99989300000000003</v>
      </c>
      <c r="AB6469">
        <v>29</v>
      </c>
      <c r="AC6469">
        <v>-281.06150000000002</v>
      </c>
      <c r="AD6469">
        <v>1.963417</v>
      </c>
      <c r="AE6469">
        <v>9.06089999999997</v>
      </c>
      <c r="AF6469">
        <v>4.1168067829003903</v>
      </c>
      <c r="AG6469">
        <v>1.963417</v>
      </c>
      <c r="AH6469">
        <v>281.16366967318902</v>
      </c>
      <c r="AI6469">
        <v>89.599942543339495</v>
      </c>
      <c r="AJ6469">
        <v>89.161133443062496</v>
      </c>
      <c r="AK6469">
        <v>281.20066189199798</v>
      </c>
      <c r="AL6469">
        <v>81.649662100729799</v>
      </c>
      <c r="AM6469">
        <v>89.905450200128499</v>
      </c>
      <c r="AN6469">
        <v>0.99999996548001602</v>
      </c>
    </row>
    <row r="6470" spans="1:40" x14ac:dyDescent="0.25">
      <c r="A6470" t="str">
        <f>"20190303162041095"</f>
        <v>20190303162041095</v>
      </c>
      <c r="B6470" t="str">
        <f>"1551601241088588"</f>
        <v>1551601241088588</v>
      </c>
      <c r="C6470" t="s">
        <v>40</v>
      </c>
      <c r="D6470">
        <v>4.071091</v>
      </c>
      <c r="E6470">
        <v>0.50518549999999995</v>
      </c>
      <c r="F6470" t="s">
        <v>71</v>
      </c>
      <c r="G6470">
        <v>-511.05959999999999</v>
      </c>
      <c r="H6470">
        <v>2.709508</v>
      </c>
      <c r="I6470">
        <v>150.18559999999999</v>
      </c>
      <c r="J6470">
        <v>-265.37189999999998</v>
      </c>
      <c r="K6470">
        <v>1.1212120000000001</v>
      </c>
      <c r="L6470">
        <v>141.64420000000001</v>
      </c>
      <c r="M6470">
        <v>-0.99978610000000001</v>
      </c>
      <c r="N6470">
        <v>-1.102877E-2</v>
      </c>
      <c r="O6470">
        <v>1.7495480000000001E-2</v>
      </c>
      <c r="P6470">
        <v>-0.99059719999999996</v>
      </c>
      <c r="Q6470">
        <v>0.13525329999999999</v>
      </c>
      <c r="R6470">
        <v>2.0591100000000001E-2</v>
      </c>
      <c r="S6470">
        <v>-3.0233150000000002</v>
      </c>
      <c r="T6470">
        <v>1.9521589999999998E-2</v>
      </c>
      <c r="U6470">
        <v>0.1050415</v>
      </c>
      <c r="V6470">
        <v>3.2333689999999998E-3</v>
      </c>
      <c r="W6470">
        <v>0.1461732</v>
      </c>
      <c r="X6470">
        <v>0.98925379999999996</v>
      </c>
      <c r="Y6470">
        <v>1.723448E-2</v>
      </c>
      <c r="Z6470">
        <v>3.4528260000000002E-4</v>
      </c>
      <c r="AA6470">
        <v>0.99985139999999995</v>
      </c>
      <c r="AB6470">
        <v>29</v>
      </c>
      <c r="AC6470">
        <v>-245.68770000000001</v>
      </c>
      <c r="AD6470">
        <v>1.5882959999999999</v>
      </c>
      <c r="AE6470">
        <v>8.5413999999999799</v>
      </c>
      <c r="AF6470">
        <v>4.2412297340257599</v>
      </c>
      <c r="AG6470">
        <v>1.5882959999999999</v>
      </c>
      <c r="AH6470">
        <v>245.789276338722</v>
      </c>
      <c r="AI6470">
        <v>89.629813604972099</v>
      </c>
      <c r="AJ6470">
        <v>89.011427784408099</v>
      </c>
      <c r="AK6470">
        <v>245.83099698157099</v>
      </c>
      <c r="AL6470">
        <v>81.594778089292404</v>
      </c>
      <c r="AM6470">
        <v>89.812729819582501</v>
      </c>
      <c r="AN6470">
        <v>1.00000006994388</v>
      </c>
    </row>
    <row r="6471" spans="1:40" x14ac:dyDescent="0.25">
      <c r="A6471" t="str">
        <f>"20190303162041116"</f>
        <v>20190303162041116</v>
      </c>
      <c r="B6471" t="str">
        <f>"1551601241109084"</f>
        <v>1551601241109084</v>
      </c>
      <c r="C6471" t="s">
        <v>40</v>
      </c>
      <c r="D6471">
        <v>4.0874730000000001</v>
      </c>
      <c r="E6471">
        <v>0.50457350000000001</v>
      </c>
      <c r="F6471" t="s">
        <v>71</v>
      </c>
      <c r="G6471">
        <v>-511.05959999999999</v>
      </c>
      <c r="H6471">
        <v>2.8330500000000001</v>
      </c>
      <c r="I6471">
        <v>150.17259999999999</v>
      </c>
      <c r="J6471">
        <v>-265.65859999999998</v>
      </c>
      <c r="K6471">
        <v>1.1212040000000001</v>
      </c>
      <c r="L6471">
        <v>141.64920000000001</v>
      </c>
      <c r="M6471">
        <v>-0.99978750000000005</v>
      </c>
      <c r="N6471">
        <v>-1.1042389999999999E-2</v>
      </c>
      <c r="O6471">
        <v>1.741009E-2</v>
      </c>
      <c r="P6471">
        <v>-0.99049710000000002</v>
      </c>
      <c r="Q6471">
        <v>0.13571269999999999</v>
      </c>
      <c r="R6471">
        <v>2.230963E-2</v>
      </c>
      <c r="S6471">
        <v>-3.0234380000000001</v>
      </c>
      <c r="T6471">
        <v>2.1066430000000001E-2</v>
      </c>
      <c r="U6471">
        <v>0.10495</v>
      </c>
      <c r="V6471">
        <v>5.0388300000000002E-3</v>
      </c>
      <c r="W6471">
        <v>0.14664539999999901</v>
      </c>
      <c r="X6471">
        <v>0.98917630000000001</v>
      </c>
      <c r="Y6471">
        <v>1.7288379999999999E-2</v>
      </c>
      <c r="Z6471">
        <v>3.4874150000000002E-4</v>
      </c>
      <c r="AA6471">
        <v>0.99985049999999998</v>
      </c>
      <c r="AB6471">
        <v>29</v>
      </c>
      <c r="AC6471">
        <v>-245.40099999999899</v>
      </c>
      <c r="AD6471">
        <v>1.711846</v>
      </c>
      <c r="AE6471">
        <v>8.5233999999999792</v>
      </c>
      <c r="AF6471">
        <v>4.2491876515200202</v>
      </c>
      <c r="AG6471">
        <v>1.711846</v>
      </c>
      <c r="AH6471">
        <v>245.50027117428999</v>
      </c>
      <c r="AI6471">
        <v>89.600549223484506</v>
      </c>
      <c r="AJ6471">
        <v>89.008407565884397</v>
      </c>
      <c r="AK6471">
        <v>245.54300877662101</v>
      </c>
      <c r="AL6471">
        <v>81.567427777565896</v>
      </c>
      <c r="AM6471">
        <v>89.708139797140603</v>
      </c>
      <c r="AN6471">
        <v>1.0000000078153</v>
      </c>
    </row>
    <row r="6472" spans="1:40" x14ac:dyDescent="0.25">
      <c r="A6472" t="str">
        <f>"20190303162041138"</f>
        <v>20190303162041138</v>
      </c>
      <c r="B6472" t="str">
        <f>"1551601241128604"</f>
        <v>1551601241128604</v>
      </c>
      <c r="C6472" t="s">
        <v>40</v>
      </c>
      <c r="D6472">
        <v>4.1694969999999998</v>
      </c>
      <c r="E6472">
        <v>0.50415730000000003</v>
      </c>
      <c r="F6472" t="s">
        <v>71</v>
      </c>
      <c r="G6472">
        <v>-511.05970000000002</v>
      </c>
      <c r="H6472">
        <v>3.0412140000000001</v>
      </c>
      <c r="I6472">
        <v>150.1832</v>
      </c>
      <c r="J6472">
        <v>-265.93239999999997</v>
      </c>
      <c r="K6472">
        <v>1.1212070000000001</v>
      </c>
      <c r="L6472">
        <v>141.65389999999999</v>
      </c>
      <c r="M6472">
        <v>-0.99978869999999997</v>
      </c>
      <c r="N6472">
        <v>-1.1058220000000001E-2</v>
      </c>
      <c r="O6472">
        <v>1.732477E-2</v>
      </c>
      <c r="P6472">
        <v>-0.99054779999999998</v>
      </c>
      <c r="Q6472">
        <v>0.1351426</v>
      </c>
      <c r="R6472">
        <v>2.3483589999999999E-2</v>
      </c>
      <c r="S6472">
        <v>-3.0231629999999998</v>
      </c>
      <c r="T6472">
        <v>2.3653629999999998E-2</v>
      </c>
      <c r="U6472">
        <v>0.10513309999999999</v>
      </c>
      <c r="V6472">
        <v>6.2964190000000001E-3</v>
      </c>
      <c r="W6472">
        <v>0.1460921</v>
      </c>
      <c r="X6472">
        <v>0.98925099999999999</v>
      </c>
      <c r="Y6472">
        <v>1.7437560000000001E-2</v>
      </c>
      <c r="Z6472">
        <v>3.5528699999999997E-4</v>
      </c>
      <c r="AA6472">
        <v>0.99984790000000001</v>
      </c>
      <c r="AB6472">
        <v>29</v>
      </c>
      <c r="AC6472">
        <v>-245.12729999999999</v>
      </c>
      <c r="AD6472">
        <v>1.920007</v>
      </c>
      <c r="AE6472">
        <v>8.5292999999999992</v>
      </c>
      <c r="AF6472">
        <v>4.2807233770577797</v>
      </c>
      <c r="AG6472">
        <v>1.920007</v>
      </c>
      <c r="AH6472">
        <v>245.22325622789501</v>
      </c>
      <c r="AI6472">
        <v>89.551472828616497</v>
      </c>
      <c r="AJ6472">
        <v>88.999921631038603</v>
      </c>
      <c r="AK6472">
        <v>245.26813167332401</v>
      </c>
      <c r="AL6472">
        <v>81.599474978832504</v>
      </c>
      <c r="AM6472">
        <v>89.635326764096206</v>
      </c>
      <c r="AN6472">
        <v>1.00000004378781</v>
      </c>
    </row>
    <row r="6473" spans="1:40" x14ac:dyDescent="0.25">
      <c r="A6473" t="str">
        <f>"20190303162041153"</f>
        <v>20190303162041153</v>
      </c>
      <c r="B6473" t="str">
        <f>"1551601241139340"</f>
        <v>1551601241139340</v>
      </c>
      <c r="C6473" t="s">
        <v>40</v>
      </c>
      <c r="D6473">
        <v>4.1525660000000002</v>
      </c>
      <c r="E6473">
        <v>0.50415730000000003</v>
      </c>
      <c r="F6473" t="s">
        <v>71</v>
      </c>
      <c r="G6473">
        <v>-511.05959999999999</v>
      </c>
      <c r="H6473">
        <v>2.728192</v>
      </c>
      <c r="I6473">
        <v>150.15770000000001</v>
      </c>
      <c r="J6473">
        <v>-266.12029999999999</v>
      </c>
      <c r="K6473">
        <v>1.1212070000000001</v>
      </c>
      <c r="L6473">
        <v>141.65700000000001</v>
      </c>
      <c r="M6473">
        <v>-0.9997897</v>
      </c>
      <c r="N6473">
        <v>-1.1071269999999999E-2</v>
      </c>
      <c r="O6473">
        <v>1.7263179999999999E-2</v>
      </c>
      <c r="P6473">
        <v>-0.9905581</v>
      </c>
      <c r="Q6473">
        <v>0.134993</v>
      </c>
      <c r="R6473">
        <v>2.3912619999999999E-2</v>
      </c>
      <c r="S6473">
        <v>-3.0234679999999998</v>
      </c>
      <c r="T6473">
        <v>1.9821519999999999E-2</v>
      </c>
      <c r="U6473">
        <v>0.10488889999999999</v>
      </c>
      <c r="V6473">
        <v>6.786289E-3</v>
      </c>
      <c r="W6473">
        <v>0.14595520000000001</v>
      </c>
      <c r="X6473">
        <v>0.98926789999999998</v>
      </c>
      <c r="Y6473">
        <v>1.741465E-2</v>
      </c>
      <c r="Z6473">
        <v>3.4358320000000002E-4</v>
      </c>
      <c r="AA6473">
        <v>0.99984830000000002</v>
      </c>
      <c r="AB6473">
        <v>29</v>
      </c>
      <c r="AC6473">
        <v>-244.9393</v>
      </c>
      <c r="AD6473">
        <v>1.6069850000000001</v>
      </c>
      <c r="AE6473">
        <v>8.5006999999999895</v>
      </c>
      <c r="AF6473">
        <v>4.27055915249833</v>
      </c>
      <c r="AG6473">
        <v>1.6069850000000001</v>
      </c>
      <c r="AH6473">
        <v>245.03901820112301</v>
      </c>
      <c r="AI6473">
        <v>89.624312243577805</v>
      </c>
      <c r="AJ6473">
        <v>89.001545759783497</v>
      </c>
      <c r="AK6473">
        <v>245.08149770481501</v>
      </c>
      <c r="AL6473">
        <v>81.607403185889893</v>
      </c>
      <c r="AM6473">
        <v>89.606962260414704</v>
      </c>
      <c r="AN6473">
        <v>0.99999997604792001</v>
      </c>
    </row>
    <row r="6474" spans="1:40" x14ac:dyDescent="0.25">
      <c r="A6474" t="str">
        <f>"20190303162041172"</f>
        <v>20190303162041172</v>
      </c>
      <c r="B6474" t="str">
        <f>"1551601241158860"</f>
        <v>1551601241158860</v>
      </c>
      <c r="C6474" t="s">
        <v>40</v>
      </c>
      <c r="D6474">
        <v>4.1486609999999997</v>
      </c>
      <c r="E6474">
        <v>0.4941914</v>
      </c>
      <c r="F6474" t="s">
        <v>71</v>
      </c>
      <c r="G6474">
        <v>-511.05950000000001</v>
      </c>
      <c r="H6474">
        <v>2.688059</v>
      </c>
      <c r="I6474">
        <v>150.2424</v>
      </c>
      <c r="J6474">
        <v>-266.36770000000001</v>
      </c>
      <c r="K6474">
        <v>1.121208</v>
      </c>
      <c r="L6474">
        <v>141.66120000000001</v>
      </c>
      <c r="M6474">
        <v>-0.99979099999999999</v>
      </c>
      <c r="N6474">
        <v>-1.1089709999999999E-2</v>
      </c>
      <c r="O6474">
        <v>1.7178969999999998E-2</v>
      </c>
      <c r="P6474">
        <v>-0.99055420000000005</v>
      </c>
      <c r="Q6474">
        <v>0.13487279999999999</v>
      </c>
      <c r="R6474">
        <v>2.473446E-2</v>
      </c>
      <c r="S6474">
        <v>-3.0233759999999998</v>
      </c>
      <c r="T6474">
        <v>1.934075E-2</v>
      </c>
      <c r="U6474">
        <v>0.10597230000000001</v>
      </c>
      <c r="V6474">
        <v>7.691275E-3</v>
      </c>
      <c r="W6474">
        <v>0.14585379999999901</v>
      </c>
      <c r="X6474">
        <v>0.98927619999999905</v>
      </c>
      <c r="Y6474">
        <v>1.7857700000000001E-2</v>
      </c>
      <c r="Z6474">
        <v>3.4227189999999998E-4</v>
      </c>
      <c r="AA6474">
        <v>0.99984050000000002</v>
      </c>
      <c r="AB6474">
        <v>29</v>
      </c>
      <c r="AC6474">
        <v>-244.6918</v>
      </c>
      <c r="AD6474">
        <v>1.566851</v>
      </c>
      <c r="AE6474">
        <v>8.5811999999999902</v>
      </c>
      <c r="AF6474">
        <v>4.3759430191459803</v>
      </c>
      <c r="AG6474">
        <v>1.566851</v>
      </c>
      <c r="AH6474">
        <v>244.79308683225401</v>
      </c>
      <c r="AI6474">
        <v>89.633329581254102</v>
      </c>
      <c r="AJ6474">
        <v>88.975884620828396</v>
      </c>
      <c r="AK6474">
        <v>244.83720971336601</v>
      </c>
      <c r="AL6474">
        <v>81.613275546306497</v>
      </c>
      <c r="AM6474">
        <v>89.554554412657097</v>
      </c>
      <c r="AN6474">
        <v>0.99999994328600095</v>
      </c>
    </row>
    <row r="6475" spans="1:40" x14ac:dyDescent="0.25">
      <c r="A6475" t="str">
        <f>"20190303162041187"</f>
        <v>20190303162041187</v>
      </c>
      <c r="B6475" t="str">
        <f>"1551601241179356"</f>
        <v>1551601241179356</v>
      </c>
      <c r="C6475" t="s">
        <v>40</v>
      </c>
      <c r="D6475">
        <v>4.1505910000000004</v>
      </c>
      <c r="E6475">
        <v>0.49337609999999898</v>
      </c>
      <c r="F6475" t="s">
        <v>58</v>
      </c>
      <c r="G6475">
        <v>0</v>
      </c>
      <c r="H6475">
        <v>0</v>
      </c>
      <c r="I6475">
        <v>0</v>
      </c>
      <c r="J6475">
        <v>-266.55309999999997</v>
      </c>
      <c r="K6475">
        <v>1.1212120000000001</v>
      </c>
      <c r="L6475">
        <v>141.6644</v>
      </c>
      <c r="M6475">
        <v>-0.99979189999999996</v>
      </c>
      <c r="N6475">
        <v>-1.110385E-2</v>
      </c>
      <c r="O6475">
        <v>1.711439E-2</v>
      </c>
      <c r="P6475">
        <v>-0.99052099999999998</v>
      </c>
      <c r="Q6475">
        <v>0.13511280000000001</v>
      </c>
      <c r="R6475">
        <v>2.4755530000000001E-2</v>
      </c>
      <c r="S6475">
        <v>-3.0243229999999999</v>
      </c>
      <c r="T6475">
        <v>2.6168940000000002E-2</v>
      </c>
      <c r="U6475">
        <v>2.870178E-2</v>
      </c>
      <c r="V6475">
        <v>7.7766989999999998E-3</v>
      </c>
      <c r="W6475">
        <v>0.14610709999999999</v>
      </c>
      <c r="X6475">
        <v>0.98923819999999996</v>
      </c>
      <c r="Y6475">
        <v>-7.6229189999999997E-3</v>
      </c>
      <c r="Z6475">
        <v>3.2876800000000001E-4</v>
      </c>
      <c r="AA6475">
        <v>0.9999709</v>
      </c>
      <c r="AB6475">
        <v>29</v>
      </c>
      <c r="AC6475">
        <v>-3.0243229999999999</v>
      </c>
      <c r="AD6475">
        <v>2.6168940000000002E-2</v>
      </c>
      <c r="AE6475">
        <v>2.870178E-2</v>
      </c>
      <c r="AF6475">
        <v>-2.30633309982969E-2</v>
      </c>
      <c r="AG6475">
        <v>2.6168940000000002E-2</v>
      </c>
      <c r="AH6475">
        <v>3.0241448394902601</v>
      </c>
      <c r="AI6475">
        <v>89.504227186445206</v>
      </c>
      <c r="AJ6475">
        <v>90.436951925168003</v>
      </c>
      <c r="AK6475">
        <v>3.02434600217518</v>
      </c>
      <c r="AL6475">
        <v>81.598605756919497</v>
      </c>
      <c r="AM6475">
        <v>89.549589924051901</v>
      </c>
      <c r="AN6475">
        <v>0.99999998902849296</v>
      </c>
    </row>
    <row r="6476" spans="1:40" x14ac:dyDescent="0.25">
      <c r="A6476" t="str">
        <f>"20190303162041205"</f>
        <v>20190303162041205</v>
      </c>
      <c r="B6476" t="str">
        <f>"1551601241198877"</f>
        <v>1551601241198877</v>
      </c>
      <c r="C6476" t="s">
        <v>40</v>
      </c>
      <c r="D6476">
        <v>4.1629639999999997</v>
      </c>
      <c r="E6476">
        <v>0.49282860000000001</v>
      </c>
      <c r="F6476" t="s">
        <v>58</v>
      </c>
      <c r="G6476">
        <v>0</v>
      </c>
      <c r="H6476">
        <v>0</v>
      </c>
      <c r="I6476">
        <v>0</v>
      </c>
      <c r="J6476">
        <v>-266.80259999999998</v>
      </c>
      <c r="K6476">
        <v>1.1212200000000001</v>
      </c>
      <c r="L6476">
        <v>141.66849999999999</v>
      </c>
      <c r="M6476">
        <v>-0.99979320000000005</v>
      </c>
      <c r="N6476">
        <v>-1.1126209999999999E-2</v>
      </c>
      <c r="O6476">
        <v>1.7025499999999999E-2</v>
      </c>
      <c r="P6476">
        <v>-0.99043029999999999</v>
      </c>
      <c r="Q6476">
        <v>0.13586909999999999</v>
      </c>
      <c r="R6476">
        <v>2.4243230000000001E-2</v>
      </c>
      <c r="S6476">
        <v>-3.0247190000000002</v>
      </c>
      <c r="T6476">
        <v>2.5259139999999999E-2</v>
      </c>
      <c r="U6476">
        <v>2.2064210000000001E-2</v>
      </c>
      <c r="V6476">
        <v>7.3536540000000003E-3</v>
      </c>
      <c r="W6476">
        <v>0.1468845</v>
      </c>
      <c r="X6476">
        <v>0.98912630000000001</v>
      </c>
      <c r="Y6476">
        <v>-9.7296080000000007E-3</v>
      </c>
      <c r="Z6476">
        <v>3.1809669999999999E-4</v>
      </c>
      <c r="AA6476">
        <v>0.99995259999999997</v>
      </c>
      <c r="AB6476">
        <v>29</v>
      </c>
      <c r="AC6476">
        <v>-3.0247190000000002</v>
      </c>
      <c r="AD6476">
        <v>2.5259139999999999E-2</v>
      </c>
      <c r="AE6476">
        <v>2.2064210000000001E-2</v>
      </c>
      <c r="AF6476">
        <v>-2.9437474161023599E-2</v>
      </c>
      <c r="AG6476">
        <v>2.5259139999999999E-2</v>
      </c>
      <c r="AH6476">
        <v>3.02444530097589</v>
      </c>
      <c r="AI6476">
        <v>89.521518896002704</v>
      </c>
      <c r="AJ6476">
        <v>90.557652595060105</v>
      </c>
      <c r="AK6476">
        <v>3.0246940287628599</v>
      </c>
      <c r="AL6476">
        <v>81.553578192725496</v>
      </c>
      <c r="AM6476">
        <v>89.5740426921693</v>
      </c>
      <c r="AN6476">
        <v>0.99999998495954501</v>
      </c>
    </row>
    <row r="6477" spans="1:40" x14ac:dyDescent="0.25">
      <c r="A6477" t="str">
        <f>"20190303162041220"</f>
        <v>20190303162041220</v>
      </c>
      <c r="B6477" t="str">
        <f>"1551601241208636"</f>
        <v>1551601241208636</v>
      </c>
      <c r="C6477" t="s">
        <v>40</v>
      </c>
      <c r="D6477">
        <v>4.1681489999999997</v>
      </c>
      <c r="E6477">
        <v>0.49281589999999997</v>
      </c>
      <c r="F6477" t="s">
        <v>58</v>
      </c>
      <c r="G6477">
        <v>0</v>
      </c>
      <c r="H6477">
        <v>0</v>
      </c>
      <c r="I6477">
        <v>0</v>
      </c>
      <c r="J6477">
        <v>-266.99810000000002</v>
      </c>
      <c r="K6477">
        <v>1.121224</v>
      </c>
      <c r="L6477">
        <v>141.67179999999999</v>
      </c>
      <c r="M6477">
        <v>-0.99979410000000002</v>
      </c>
      <c r="N6477">
        <v>-1.114537E-2</v>
      </c>
      <c r="O6477">
        <v>1.6955169999999999E-2</v>
      </c>
      <c r="P6477">
        <v>-0.9903594</v>
      </c>
      <c r="Q6477">
        <v>0.13648679999999999</v>
      </c>
      <c r="R6477">
        <v>2.3656650000000001E-2</v>
      </c>
      <c r="S6477">
        <v>-3.0244450000000001</v>
      </c>
      <c r="T6477">
        <v>3.0298829999999999E-2</v>
      </c>
      <c r="U6477">
        <v>1.6098020000000001E-2</v>
      </c>
      <c r="V6477">
        <v>6.8376219999999998E-3</v>
      </c>
      <c r="W6477">
        <v>0.14752029999999999</v>
      </c>
      <c r="X6477">
        <v>0.98903540000000001</v>
      </c>
      <c r="Y6477">
        <v>-1.1630450000000001E-2</v>
      </c>
      <c r="Z6477">
        <v>3.5225790000000001E-4</v>
      </c>
      <c r="AA6477">
        <v>0.9999323</v>
      </c>
      <c r="AB6477">
        <v>29</v>
      </c>
      <c r="AC6477">
        <v>-3.0244450000000001</v>
      </c>
      <c r="AD6477">
        <v>3.0298829999999999E-2</v>
      </c>
      <c r="AE6477">
        <v>1.6098020000000001E-2</v>
      </c>
      <c r="AF6477">
        <v>-3.5183929369915698E-2</v>
      </c>
      <c r="AG6477">
        <v>3.0298829999999999E-2</v>
      </c>
      <c r="AH6477">
        <v>3.02397966817577</v>
      </c>
      <c r="AI6477">
        <v>89.425981750840805</v>
      </c>
      <c r="AJ6477">
        <v>90.666604912292996</v>
      </c>
      <c r="AK6477">
        <v>3.0243361191384999</v>
      </c>
      <c r="AL6477">
        <v>81.516748514946499</v>
      </c>
      <c r="AM6477">
        <v>89.603896239581104</v>
      </c>
      <c r="AN6477">
        <v>1.00000000721993</v>
      </c>
    </row>
    <row r="6478" spans="1:40" x14ac:dyDescent="0.25">
      <c r="A6478" t="str">
        <f>"20190303162041239"</f>
        <v>20190303162041239</v>
      </c>
      <c r="B6478" t="str">
        <f>"1551601241229132"</f>
        <v>1551601241229132</v>
      </c>
      <c r="C6478" t="s">
        <v>40</v>
      </c>
      <c r="D6478">
        <v>4.1743100000000002</v>
      </c>
      <c r="E6478">
        <v>0.49242970000000003</v>
      </c>
      <c r="F6478" t="s">
        <v>58</v>
      </c>
      <c r="G6478">
        <v>0</v>
      </c>
      <c r="H6478">
        <v>0</v>
      </c>
      <c r="I6478">
        <v>0</v>
      </c>
      <c r="J6478">
        <v>-267.245</v>
      </c>
      <c r="K6478">
        <v>1.1212340000000001</v>
      </c>
      <c r="L6478">
        <v>141.67590000000001</v>
      </c>
      <c r="M6478">
        <v>-0.99979530000000005</v>
      </c>
      <c r="N6478">
        <v>-1.1169119999999999E-2</v>
      </c>
      <c r="O6478">
        <v>1.686609E-2</v>
      </c>
      <c r="P6478">
        <v>-0.99022140000000003</v>
      </c>
      <c r="Q6478">
        <v>0.13762249999999901</v>
      </c>
      <c r="R6478">
        <v>2.2842580000000001E-2</v>
      </c>
      <c r="S6478">
        <v>-3.024597</v>
      </c>
      <c r="T6478">
        <v>3.1062599999999999E-2</v>
      </c>
      <c r="U6478">
        <v>1.4068600000000001E-2</v>
      </c>
      <c r="V6478">
        <v>6.1136510000000003E-3</v>
      </c>
      <c r="W6478">
        <v>0.14867749999999999</v>
      </c>
      <c r="X6478">
        <v>0.98886680000000005</v>
      </c>
      <c r="Y6478">
        <v>-1.221246E-2</v>
      </c>
      <c r="Z6478">
        <v>3.5608919999999999E-4</v>
      </c>
      <c r="AA6478">
        <v>0.99992539999999996</v>
      </c>
      <c r="AB6478">
        <v>29</v>
      </c>
      <c r="AC6478">
        <v>-3.024597</v>
      </c>
      <c r="AD6478">
        <v>3.1062599999999999E-2</v>
      </c>
      <c r="AE6478">
        <v>1.4068600000000001E-2</v>
      </c>
      <c r="AF6478">
        <v>-3.6945815817157002E-2</v>
      </c>
      <c r="AG6478">
        <v>3.1062599999999999E-2</v>
      </c>
      <c r="AH6478">
        <v>3.0240850648797801</v>
      </c>
      <c r="AI6478">
        <v>89.411537552907006</v>
      </c>
      <c r="AJ6478">
        <v>90.699958487086207</v>
      </c>
      <c r="AK6478">
        <v>3.0244702607323002</v>
      </c>
      <c r="AL6478">
        <v>81.449706143558799</v>
      </c>
      <c r="AM6478">
        <v>89.645774398726104</v>
      </c>
      <c r="AN6478">
        <v>0.99999996193851903</v>
      </c>
    </row>
    <row r="6479" spans="1:40" x14ac:dyDescent="0.25">
      <c r="A6479" t="str">
        <f>"20190303162041261"</f>
        <v>20190303162041261</v>
      </c>
      <c r="B6479" t="str">
        <f>"1551601241248652"</f>
        <v>1551601241248652</v>
      </c>
      <c r="C6479" t="s">
        <v>40</v>
      </c>
      <c r="D6479">
        <v>4.1702620000000001</v>
      </c>
      <c r="E6479">
        <v>0.49224079999999898</v>
      </c>
      <c r="F6479" t="s">
        <v>58</v>
      </c>
      <c r="G6479">
        <v>0</v>
      </c>
      <c r="H6479">
        <v>0</v>
      </c>
      <c r="I6479">
        <v>0</v>
      </c>
      <c r="J6479">
        <v>-267.51679999999999</v>
      </c>
      <c r="K6479">
        <v>1.121243</v>
      </c>
      <c r="L6479">
        <v>141.68039999999999</v>
      </c>
      <c r="M6479">
        <v>-0.99979680000000004</v>
      </c>
      <c r="N6479">
        <v>-1.119357E-2</v>
      </c>
      <c r="O6479">
        <v>1.6768000000000002E-2</v>
      </c>
      <c r="P6479">
        <v>-0.99002049999999997</v>
      </c>
      <c r="Q6479">
        <v>0.1391635</v>
      </c>
      <c r="R6479">
        <v>2.2201970000000001E-2</v>
      </c>
      <c r="S6479">
        <v>-3.0245669999999998</v>
      </c>
      <c r="T6479">
        <v>3.5343050000000001E-2</v>
      </c>
      <c r="U6479">
        <v>8.1329350000000009E-3</v>
      </c>
      <c r="V6479">
        <v>5.572876E-3</v>
      </c>
      <c r="W6479">
        <v>0.15024000000000001</v>
      </c>
      <c r="X6479">
        <v>0.98863389999999995</v>
      </c>
      <c r="Y6479">
        <v>-1.4075999999999899E-2</v>
      </c>
      <c r="Z6479">
        <v>3.8707439999999997E-4</v>
      </c>
      <c r="AA6479">
        <v>0.99990089999999998</v>
      </c>
      <c r="AB6479">
        <v>29</v>
      </c>
      <c r="AC6479">
        <v>-3.0245669999999998</v>
      </c>
      <c r="AD6479">
        <v>3.5343050000000001E-2</v>
      </c>
      <c r="AE6479">
        <v>8.1329350000000009E-3</v>
      </c>
      <c r="AF6479">
        <v>-4.2581508638658602E-2</v>
      </c>
      <c r="AG6479">
        <v>3.5343050000000001E-2</v>
      </c>
      <c r="AH6479">
        <v>3.0238651997855399</v>
      </c>
      <c r="AI6479">
        <v>89.330421648465702</v>
      </c>
      <c r="AJ6479">
        <v>90.806775211019598</v>
      </c>
      <c r="AK6479">
        <v>3.0243715152962398</v>
      </c>
      <c r="AL6479">
        <v>81.3591652863376</v>
      </c>
      <c r="AM6479">
        <v>89.677030200305893</v>
      </c>
      <c r="AN6479">
        <v>1.00000005138805</v>
      </c>
    </row>
    <row r="6480" spans="1:40" x14ac:dyDescent="0.25">
      <c r="A6480" t="str">
        <f>"20190303162041276"</f>
        <v>20190303162041276</v>
      </c>
      <c r="B6480" t="str">
        <f>"1551601241270124"</f>
        <v>1551601241270124</v>
      </c>
      <c r="C6480" t="s">
        <v>40</v>
      </c>
      <c r="D6480">
        <v>4.1551229999999997</v>
      </c>
      <c r="E6480">
        <v>0.49209999999999998</v>
      </c>
      <c r="F6480" t="s">
        <v>58</v>
      </c>
      <c r="G6480">
        <v>0</v>
      </c>
      <c r="H6480">
        <v>0</v>
      </c>
      <c r="I6480">
        <v>0</v>
      </c>
      <c r="J6480">
        <v>-267.7081</v>
      </c>
      <c r="K6480">
        <v>1.121254</v>
      </c>
      <c r="L6480">
        <v>141.68350000000001</v>
      </c>
      <c r="M6480">
        <v>-0.99979779999999996</v>
      </c>
      <c r="N6480">
        <v>-1.120958E-2</v>
      </c>
      <c r="O6480">
        <v>1.6698999999999999E-2</v>
      </c>
      <c r="P6480">
        <v>-0.98992230000000003</v>
      </c>
      <c r="Q6480">
        <v>0.13989949999999901</v>
      </c>
      <c r="R6480">
        <v>2.1965080000000001E-2</v>
      </c>
      <c r="S6480">
        <v>-3.024292</v>
      </c>
      <c r="T6480">
        <v>4.1592360000000002E-2</v>
      </c>
      <c r="U6480">
        <v>4.2419429999999998E-3</v>
      </c>
      <c r="V6480">
        <v>5.4057180000000003E-3</v>
      </c>
      <c r="W6480">
        <v>0.15099089999999901</v>
      </c>
      <c r="X6480">
        <v>0.98852039999999997</v>
      </c>
      <c r="Y6480">
        <v>-1.5292139999999999E-2</v>
      </c>
      <c r="Z6480">
        <v>4.3626009999999998E-4</v>
      </c>
      <c r="AA6480">
        <v>0.99988299999999997</v>
      </c>
      <c r="AB6480">
        <v>29</v>
      </c>
      <c r="AC6480">
        <v>-3.024292</v>
      </c>
      <c r="AD6480">
        <v>4.1592360000000002E-2</v>
      </c>
      <c r="AE6480">
        <v>4.2419429999999998E-3</v>
      </c>
      <c r="AF6480">
        <v>-4.6255721358215401E-2</v>
      </c>
      <c r="AG6480">
        <v>4.1592360000000002E-2</v>
      </c>
      <c r="AH6480">
        <v>3.0233692523575799</v>
      </c>
      <c r="AI6480">
        <v>89.211926374503506</v>
      </c>
      <c r="AJ6480">
        <v>90.876522394964894</v>
      </c>
      <c r="AK6480">
        <v>3.0240091190784999</v>
      </c>
      <c r="AL6480">
        <v>81.315645221161901</v>
      </c>
      <c r="AM6480">
        <v>89.686681489514996</v>
      </c>
      <c r="AN6480">
        <v>1.0000000274430301</v>
      </c>
    </row>
    <row r="6481" spans="1:40" x14ac:dyDescent="0.25">
      <c r="A6481" t="str">
        <f>"20190303162041294"</f>
        <v>20190303162041294</v>
      </c>
      <c r="B6481" t="str">
        <f>"1551601241288880"</f>
        <v>1551601241288880</v>
      </c>
      <c r="C6481" t="s">
        <v>40</v>
      </c>
      <c r="D6481">
        <v>4.1616169999999997</v>
      </c>
      <c r="E6481">
        <v>0.49202889999999999</v>
      </c>
      <c r="F6481" t="s">
        <v>58</v>
      </c>
      <c r="G6481">
        <v>0</v>
      </c>
      <c r="H6481">
        <v>0</v>
      </c>
      <c r="I6481">
        <v>0</v>
      </c>
      <c r="J6481">
        <v>-267.95069999999998</v>
      </c>
      <c r="K6481">
        <v>1.121262</v>
      </c>
      <c r="L6481">
        <v>141.6875</v>
      </c>
      <c r="M6481">
        <v>-0.99979899999999999</v>
      </c>
      <c r="N6481">
        <v>-1.1231059999999999E-2</v>
      </c>
      <c r="O6481">
        <v>1.661197E-2</v>
      </c>
      <c r="P6481">
        <v>-0.98978160000000004</v>
      </c>
      <c r="Q6481">
        <v>0.14098269999999999</v>
      </c>
      <c r="R6481">
        <v>2.136623E-2</v>
      </c>
      <c r="S6481">
        <v>-3.0241090000000002</v>
      </c>
      <c r="T6481">
        <v>4.533446E-2</v>
      </c>
      <c r="U6481">
        <v>2.2888180000000002E-3</v>
      </c>
      <c r="V6481">
        <v>4.8951430000000002E-3</v>
      </c>
      <c r="W6481">
        <v>0.15209339999999999</v>
      </c>
      <c r="X6481">
        <v>0.98835399999999995</v>
      </c>
      <c r="Y6481">
        <v>-1.5850099999999999E-2</v>
      </c>
      <c r="Z6481">
        <v>4.6535869999999999E-4</v>
      </c>
      <c r="AA6481">
        <v>0.99987429999999999</v>
      </c>
      <c r="AB6481">
        <v>29</v>
      </c>
      <c r="AC6481">
        <v>-3.0241090000000002</v>
      </c>
      <c r="AD6481">
        <v>4.533446E-2</v>
      </c>
      <c r="AE6481">
        <v>2.2888180000000002E-3</v>
      </c>
      <c r="AF6481">
        <v>-4.7940297458273398E-2</v>
      </c>
      <c r="AG6481">
        <v>4.533446E-2</v>
      </c>
      <c r="AH6481">
        <v>3.02305030873005</v>
      </c>
      <c r="AI6481">
        <v>89.140949770804596</v>
      </c>
      <c r="AJ6481">
        <v>90.908534827484601</v>
      </c>
      <c r="AK6481">
        <v>3.0237702714486701</v>
      </c>
      <c r="AL6481">
        <v>81.251738283244507</v>
      </c>
      <c r="AM6481">
        <v>89.716226432345593</v>
      </c>
      <c r="AN6481">
        <v>0.99999999703227505</v>
      </c>
    </row>
    <row r="6482" spans="1:40" x14ac:dyDescent="0.25">
      <c r="A6482" t="str">
        <f>"20190303162041317"</f>
        <v>20190303162041317</v>
      </c>
      <c r="B6482" t="str">
        <f>"1551601241308400"</f>
        <v>1551601241308400</v>
      </c>
      <c r="C6482" t="s">
        <v>40</v>
      </c>
      <c r="D6482">
        <v>4.1526990000000001</v>
      </c>
      <c r="E6482">
        <v>0.49197809999999997</v>
      </c>
      <c r="F6482" t="s">
        <v>58</v>
      </c>
      <c r="G6482">
        <v>0</v>
      </c>
      <c r="H6482">
        <v>0</v>
      </c>
      <c r="I6482">
        <v>0</v>
      </c>
      <c r="J6482">
        <v>-268.24079999999998</v>
      </c>
      <c r="K6482">
        <v>1.1212690000000001</v>
      </c>
      <c r="L6482">
        <v>141.69220000000001</v>
      </c>
      <c r="M6482">
        <v>-0.99980040000000003</v>
      </c>
      <c r="N6482">
        <v>-1.1259699999999999E-2</v>
      </c>
      <c r="O6482">
        <v>1.650749E-2</v>
      </c>
      <c r="P6482">
        <v>-0.98969609999999997</v>
      </c>
      <c r="Q6482">
        <v>0.14165549999999999</v>
      </c>
      <c r="R6482">
        <v>2.086418E-2</v>
      </c>
      <c r="S6482">
        <v>-3.0239259999999999</v>
      </c>
      <c r="T6482">
        <v>4.9308060000000001E-2</v>
      </c>
      <c r="U6482" s="1">
        <v>1.525879E-5</v>
      </c>
      <c r="V6482">
        <v>4.4976080000000002E-3</v>
      </c>
      <c r="W6482">
        <v>0.1527937</v>
      </c>
      <c r="X6482">
        <v>0.98824789999999996</v>
      </c>
      <c r="Y6482">
        <v>-1.6496540000000001E-2</v>
      </c>
      <c r="Z6482">
        <v>4.9661370000000005E-4</v>
      </c>
      <c r="AA6482">
        <v>0.99986379999999997</v>
      </c>
      <c r="AB6482">
        <v>29</v>
      </c>
      <c r="AC6482">
        <v>-3.0239259999999999</v>
      </c>
      <c r="AD6482">
        <v>4.9308060000000001E-2</v>
      </c>
      <c r="AE6482" s="1">
        <v>1.525879E-5</v>
      </c>
      <c r="AF6482">
        <v>-4.9892067596933903E-2</v>
      </c>
      <c r="AG6482">
        <v>4.9308060000000001E-2</v>
      </c>
      <c r="AH6482">
        <v>3.02271047313095</v>
      </c>
      <c r="AI6482">
        <v>89.065570933500396</v>
      </c>
      <c r="AJ6482">
        <v>90.945623265430001</v>
      </c>
      <c r="AK6482">
        <v>3.0235242859229001</v>
      </c>
      <c r="AL6482">
        <v>81.211139807273</v>
      </c>
      <c r="AM6482">
        <v>89.739243385016096</v>
      </c>
      <c r="AN6482">
        <v>1.00000002754591</v>
      </c>
    </row>
    <row r="6483" spans="1:40" x14ac:dyDescent="0.25">
      <c r="A6483" t="str">
        <f>"20190303162041332"</f>
        <v>20190303162041332</v>
      </c>
      <c r="B6483" t="str">
        <f>"1551601241319136"</f>
        <v>1551601241319136</v>
      </c>
      <c r="C6483" t="s">
        <v>40</v>
      </c>
      <c r="D6483">
        <v>4.1358930000000003</v>
      </c>
      <c r="E6483">
        <v>0.4919636</v>
      </c>
      <c r="F6483" t="s">
        <v>58</v>
      </c>
      <c r="G6483">
        <v>0</v>
      </c>
      <c r="H6483">
        <v>0</v>
      </c>
      <c r="I6483">
        <v>0</v>
      </c>
      <c r="J6483">
        <v>-268.42959999999999</v>
      </c>
      <c r="K6483">
        <v>1.121273</v>
      </c>
      <c r="L6483">
        <v>141.6953</v>
      </c>
      <c r="M6483">
        <v>-0.99980139999999995</v>
      </c>
      <c r="N6483">
        <v>-1.127863E-2</v>
      </c>
      <c r="O6483">
        <v>1.643967E-2</v>
      </c>
      <c r="P6483">
        <v>-0.98963420000000002</v>
      </c>
      <c r="Q6483">
        <v>0.14215829999999999</v>
      </c>
      <c r="R6483">
        <v>2.0390229999999999E-2</v>
      </c>
      <c r="S6483">
        <v>-3.0238649999999998</v>
      </c>
      <c r="T6483">
        <v>5.1414609999999999E-2</v>
      </c>
      <c r="U6483">
        <v>-1.3885499999999999E-3</v>
      </c>
      <c r="V6483">
        <v>4.0918220000000002E-3</v>
      </c>
      <c r="W6483">
        <v>0.1533139</v>
      </c>
      <c r="X6483">
        <v>0.98816910000000002</v>
      </c>
      <c r="Y6483">
        <v>-1.689245E-2</v>
      </c>
      <c r="Z6483">
        <v>5.1323299999999998E-4</v>
      </c>
      <c r="AA6483">
        <v>0.9998572</v>
      </c>
      <c r="AB6483">
        <v>29</v>
      </c>
      <c r="AC6483">
        <v>-3.0238649999999998</v>
      </c>
      <c r="AD6483">
        <v>5.1414609999999999E-2</v>
      </c>
      <c r="AE6483">
        <v>-1.3885499999999999E-3</v>
      </c>
      <c r="AF6483">
        <v>-5.10880899112231E-2</v>
      </c>
      <c r="AG6483">
        <v>5.1414609999999999E-2</v>
      </c>
      <c r="AH6483">
        <v>3.0225596505138199</v>
      </c>
      <c r="AI6483">
        <v>89.025615425149596</v>
      </c>
      <c r="AJ6483">
        <v>90.968335971568706</v>
      </c>
      <c r="AK6483">
        <v>3.0234285663740201</v>
      </c>
      <c r="AL6483">
        <v>81.180979231156897</v>
      </c>
      <c r="AM6483">
        <v>89.762750331718294</v>
      </c>
      <c r="AN6483">
        <v>1.0000000325676399</v>
      </c>
    </row>
    <row r="6484" spans="1:40" x14ac:dyDescent="0.25">
      <c r="A6484" t="str">
        <f>"20190303162041350"</f>
        <v>20190303162041350</v>
      </c>
      <c r="B6484" t="str">
        <f>"1551601241338657"</f>
        <v>1551601241338657</v>
      </c>
      <c r="C6484" t="s">
        <v>40</v>
      </c>
      <c r="D6484">
        <v>4.1323059999999998</v>
      </c>
      <c r="E6484">
        <v>0.49196079999999998</v>
      </c>
      <c r="F6484" t="s">
        <v>58</v>
      </c>
      <c r="G6484">
        <v>0</v>
      </c>
      <c r="H6484">
        <v>0</v>
      </c>
      <c r="I6484">
        <v>0</v>
      </c>
      <c r="J6484">
        <v>-268.66719999999998</v>
      </c>
      <c r="K6484">
        <v>1.121278</v>
      </c>
      <c r="L6484">
        <v>141.69909999999999</v>
      </c>
      <c r="M6484">
        <v>-0.99980239999999998</v>
      </c>
      <c r="N6484">
        <v>-1.130252E-2</v>
      </c>
      <c r="O6484">
        <v>1.635441E-2</v>
      </c>
      <c r="P6484">
        <v>-0.98949430000000005</v>
      </c>
      <c r="Q6484">
        <v>0.1431037</v>
      </c>
      <c r="R6484">
        <v>2.0558710000000001E-2</v>
      </c>
      <c r="S6484">
        <v>-3.0239259999999999</v>
      </c>
      <c r="T6484">
        <v>5.2574160000000002E-2</v>
      </c>
      <c r="U6484">
        <v>-2.792358E-3</v>
      </c>
      <c r="V6484">
        <v>4.3466390000000002E-3</v>
      </c>
      <c r="W6484">
        <v>0.15428169999999999</v>
      </c>
      <c r="X6484">
        <v>0.98801729999999999</v>
      </c>
      <c r="Y6484">
        <v>-1.72710999999999E-2</v>
      </c>
      <c r="Z6484">
        <v>5.2166050000000002E-4</v>
      </c>
      <c r="AA6484">
        <v>0.99985069999999998</v>
      </c>
      <c r="AB6484">
        <v>29</v>
      </c>
      <c r="AC6484">
        <v>-3.0239259999999999</v>
      </c>
      <c r="AD6484">
        <v>5.2574160000000002E-2</v>
      </c>
      <c r="AE6484">
        <v>-2.792358E-3</v>
      </c>
      <c r="AF6484">
        <v>-5.2233878953447499E-2</v>
      </c>
      <c r="AG6484">
        <v>5.2574160000000002E-2</v>
      </c>
      <c r="AH6484">
        <v>3.0225622067247402</v>
      </c>
      <c r="AI6484">
        <v>89.003651875579806</v>
      </c>
      <c r="AJ6484">
        <v>90.990048420779303</v>
      </c>
      <c r="AK6484">
        <v>3.0234706404942902</v>
      </c>
      <c r="AL6484">
        <v>81.124860052711</v>
      </c>
      <c r="AM6484">
        <v>89.7479371433149</v>
      </c>
      <c r="AN6484">
        <v>0.99999996066238706</v>
      </c>
    </row>
    <row r="6485" spans="1:40" x14ac:dyDescent="0.25">
      <c r="A6485" t="str">
        <f>"20190303162041365"</f>
        <v>20190303162041365</v>
      </c>
      <c r="B6485" t="str">
        <f>"1551601241359152"</f>
        <v>1551601241359152</v>
      </c>
      <c r="C6485" t="s">
        <v>40</v>
      </c>
      <c r="D6485">
        <v>4.0999359999999996</v>
      </c>
      <c r="E6485">
        <v>0.49209609999999898</v>
      </c>
      <c r="F6485" t="s">
        <v>58</v>
      </c>
      <c r="G6485">
        <v>0</v>
      </c>
      <c r="H6485">
        <v>0</v>
      </c>
      <c r="I6485">
        <v>0</v>
      </c>
      <c r="J6485">
        <v>-268.85950000000003</v>
      </c>
      <c r="K6485">
        <v>1.1212819999999999</v>
      </c>
      <c r="L6485">
        <v>141.7022</v>
      </c>
      <c r="M6485">
        <v>-0.99980340000000001</v>
      </c>
      <c r="N6485">
        <v>-1.1323110000000001E-2</v>
      </c>
      <c r="O6485">
        <v>1.628539E-2</v>
      </c>
      <c r="P6485">
        <v>-0.98943510000000001</v>
      </c>
      <c r="Q6485">
        <v>0.14348749999999999</v>
      </c>
      <c r="R6485">
        <v>2.0723720000000001E-2</v>
      </c>
      <c r="S6485">
        <v>-3.0239560000000001</v>
      </c>
      <c r="T6485">
        <v>5.497324E-2</v>
      </c>
      <c r="U6485">
        <v>-2.3040769999999999E-3</v>
      </c>
      <c r="V6485">
        <v>4.5806960000000004E-3</v>
      </c>
      <c r="W6485">
        <v>0.15468489999999999</v>
      </c>
      <c r="X6485">
        <v>0.98795319999999998</v>
      </c>
      <c r="Y6485">
        <v>-1.7040119999999999E-2</v>
      </c>
      <c r="Z6485">
        <v>5.388061E-4</v>
      </c>
      <c r="AA6485">
        <v>0.99985469999999999</v>
      </c>
      <c r="AB6485">
        <v>29</v>
      </c>
      <c r="AC6485">
        <v>-3.0239560000000001</v>
      </c>
      <c r="AD6485">
        <v>5.497324E-2</v>
      </c>
      <c r="AE6485">
        <v>-2.3040769999999999E-3</v>
      </c>
      <c r="AF6485">
        <v>-5.15361930497975E-2</v>
      </c>
      <c r="AG6485">
        <v>5.497324E-2</v>
      </c>
      <c r="AH6485">
        <v>3.02251850287018</v>
      </c>
      <c r="AI6485">
        <v>88.958176835894903</v>
      </c>
      <c r="AJ6485">
        <v>90.976841083558597</v>
      </c>
      <c r="AK6485">
        <v>3.0234576458919902</v>
      </c>
      <c r="AL6485">
        <v>81.101477720488901</v>
      </c>
      <c r="AM6485">
        <v>89.734347064879699</v>
      </c>
      <c r="AN6485">
        <v>0.99999996322704598</v>
      </c>
    </row>
    <row r="6486" spans="1:40" x14ac:dyDescent="0.25">
      <c r="A6486" t="str">
        <f>"20190303162041383"</f>
        <v>20190303162041383</v>
      </c>
      <c r="B6486" t="str">
        <f>"1551601241378672"</f>
        <v>1551601241378672</v>
      </c>
      <c r="C6486" t="s">
        <v>40</v>
      </c>
      <c r="D6486">
        <v>4.1141199999999998</v>
      </c>
      <c r="E6486">
        <v>0.49210730000000003</v>
      </c>
      <c r="F6486" t="s">
        <v>58</v>
      </c>
      <c r="G6486">
        <v>0</v>
      </c>
      <c r="H6486">
        <v>0</v>
      </c>
      <c r="I6486">
        <v>0</v>
      </c>
      <c r="J6486">
        <v>-269.10789999999997</v>
      </c>
      <c r="K6486">
        <v>1.1212899999999999</v>
      </c>
      <c r="L6486">
        <v>141.70609999999999</v>
      </c>
      <c r="M6486">
        <v>-0.99980449999999998</v>
      </c>
      <c r="N6486">
        <v>-1.1351470000000001E-2</v>
      </c>
      <c r="O6486">
        <v>1.6196289999999999E-2</v>
      </c>
      <c r="P6486">
        <v>-0.98939480000000002</v>
      </c>
      <c r="Q6486">
        <v>0.14377110000000001</v>
      </c>
      <c r="R6486">
        <v>2.069286E-2</v>
      </c>
      <c r="S6486">
        <v>-3.0240480000000001</v>
      </c>
      <c r="T6486">
        <v>5.5346609999999997E-2</v>
      </c>
      <c r="U6486">
        <v>-5.9509280000000003E-4</v>
      </c>
      <c r="V6486">
        <v>4.6386989999999996E-3</v>
      </c>
      <c r="W6486">
        <v>0.15499589999999999</v>
      </c>
      <c r="X6486">
        <v>0.98790429999999996</v>
      </c>
      <c r="Y6486">
        <v>-1.638593E-2</v>
      </c>
      <c r="Z6486">
        <v>5.3715960000000004E-4</v>
      </c>
      <c r="AA6486">
        <v>0.99986560000000002</v>
      </c>
      <c r="AB6486">
        <v>29</v>
      </c>
      <c r="AC6486">
        <v>-3.0240480000000001</v>
      </c>
      <c r="AD6486">
        <v>5.5346609999999997E-2</v>
      </c>
      <c r="AE6486">
        <v>-5.9509280000000003E-4</v>
      </c>
      <c r="AF6486">
        <v>-4.9559922714768903E-2</v>
      </c>
      <c r="AG6486">
        <v>5.5346609999999997E-2</v>
      </c>
      <c r="AH6486">
        <v>3.0226291629850399</v>
      </c>
      <c r="AI6486">
        <v>88.951129423134503</v>
      </c>
      <c r="AJ6486">
        <v>90.939354393197405</v>
      </c>
      <c r="AK6486">
        <v>3.0235420437139</v>
      </c>
      <c r="AL6486">
        <v>81.083442218849697</v>
      </c>
      <c r="AM6486">
        <v>89.730969971588607</v>
      </c>
      <c r="AN6486">
        <v>1.0000000762518499</v>
      </c>
    </row>
    <row r="6487" spans="1:40" x14ac:dyDescent="0.25">
      <c r="A6487" t="str">
        <f>"20190303162041406"</f>
        <v>20190303162041406</v>
      </c>
      <c r="B6487" t="str">
        <f>"1551601241399168"</f>
        <v>1551601241399168</v>
      </c>
      <c r="C6487" t="s">
        <v>40</v>
      </c>
      <c r="D6487">
        <v>4.1052860000000004</v>
      </c>
      <c r="E6487">
        <v>0.49230750000000001</v>
      </c>
      <c r="F6487" t="s">
        <v>58</v>
      </c>
      <c r="G6487">
        <v>0</v>
      </c>
      <c r="H6487">
        <v>0</v>
      </c>
      <c r="I6487">
        <v>0</v>
      </c>
      <c r="J6487">
        <v>-269.39499999999998</v>
      </c>
      <c r="K6487">
        <v>1.121297</v>
      </c>
      <c r="L6487">
        <v>141.7106</v>
      </c>
      <c r="M6487">
        <v>-0.99980579999999997</v>
      </c>
      <c r="N6487">
        <v>-1.1383310000000001E-2</v>
      </c>
      <c r="O6487">
        <v>1.6093409999999999E-2</v>
      </c>
      <c r="P6487">
        <v>-0.9894115</v>
      </c>
      <c r="Q6487">
        <v>0.14372460000000001</v>
      </c>
      <c r="R6487">
        <v>2.020659E-2</v>
      </c>
      <c r="S6487">
        <v>-3.0241389999999999</v>
      </c>
      <c r="T6487">
        <v>5.5378320000000002E-2</v>
      </c>
      <c r="U6487">
        <v>-4.1198729999999999E-4</v>
      </c>
      <c r="V6487">
        <v>4.2538410000000004E-3</v>
      </c>
      <c r="W6487">
        <v>0.15498129999999999</v>
      </c>
      <c r="X6487">
        <v>0.98790820000000001</v>
      </c>
      <c r="Y6487">
        <v>-1.6222540000000001E-2</v>
      </c>
      <c r="Z6487">
        <v>5.340357E-4</v>
      </c>
      <c r="AA6487">
        <v>0.99986830000000004</v>
      </c>
      <c r="AB6487">
        <v>29</v>
      </c>
      <c r="AC6487">
        <v>-3.0241389999999999</v>
      </c>
      <c r="AD6487">
        <v>5.5378320000000002E-2</v>
      </c>
      <c r="AE6487">
        <v>-4.1198729999999999E-4</v>
      </c>
      <c r="AF6487">
        <v>-4.9067337179326799E-2</v>
      </c>
      <c r="AG6487">
        <v>5.5378320000000002E-2</v>
      </c>
      <c r="AH6487">
        <v>3.02272705095909</v>
      </c>
      <c r="AI6487">
        <v>88.950559803707193</v>
      </c>
      <c r="AJ6487">
        <v>90.929989506135001</v>
      </c>
      <c r="AK6487">
        <v>3.0236324489765098</v>
      </c>
      <c r="AL6487">
        <v>81.084287879848702</v>
      </c>
      <c r="AM6487">
        <v>89.753291217002896</v>
      </c>
      <c r="AN6487">
        <v>0.99999995507008999</v>
      </c>
    </row>
    <row r="6488" spans="1:40" x14ac:dyDescent="0.25">
      <c r="A6488" t="str">
        <f>"20190303162041429"</f>
        <v>20190303162041429</v>
      </c>
      <c r="B6488" t="str">
        <f>"1551601241418689"</f>
        <v>1551601241418689</v>
      </c>
      <c r="C6488" t="s">
        <v>40</v>
      </c>
      <c r="D6488">
        <v>4.0974309999999896</v>
      </c>
      <c r="E6488">
        <v>0.49243199999999998</v>
      </c>
      <c r="F6488" t="s">
        <v>58</v>
      </c>
      <c r="G6488">
        <v>0</v>
      </c>
      <c r="H6488">
        <v>0</v>
      </c>
      <c r="I6488">
        <v>0</v>
      </c>
      <c r="J6488">
        <v>-269.68520000000001</v>
      </c>
      <c r="K6488">
        <v>1.1213040000000001</v>
      </c>
      <c r="L6488">
        <v>141.71520000000001</v>
      </c>
      <c r="M6488">
        <v>-0.99980709999999995</v>
      </c>
      <c r="N6488">
        <v>-1.141854E-2</v>
      </c>
      <c r="O6488">
        <v>1.5989550000000002E-2</v>
      </c>
      <c r="P6488">
        <v>-0.98946679999999998</v>
      </c>
      <c r="Q6488">
        <v>0.1434272</v>
      </c>
      <c r="R6488">
        <v>1.9602060000000001E-2</v>
      </c>
      <c r="S6488">
        <v>-3.0243229999999999</v>
      </c>
      <c r="T6488">
        <v>5.3710340000000002E-2</v>
      </c>
      <c r="U6488">
        <v>-2.2888180000000001E-4</v>
      </c>
      <c r="V6488">
        <v>3.7513469999999999E-3</v>
      </c>
      <c r="W6488">
        <v>0.15471879999999999</v>
      </c>
      <c r="X6488">
        <v>0.98795140000000004</v>
      </c>
      <c r="Y6488">
        <v>-1.6058550000000001E-2</v>
      </c>
      <c r="Z6488">
        <v>5.1739590000000001E-4</v>
      </c>
      <c r="AA6488">
        <v>0.99987090000000001</v>
      </c>
      <c r="AB6488">
        <v>29</v>
      </c>
      <c r="AC6488">
        <v>-3.0243229999999999</v>
      </c>
      <c r="AD6488">
        <v>5.3710340000000002E-2</v>
      </c>
      <c r="AE6488">
        <v>-2.2888180000000001E-4</v>
      </c>
      <c r="AF6488">
        <v>-4.8574242019085202E-2</v>
      </c>
      <c r="AG6488">
        <v>5.3710340000000002E-2</v>
      </c>
      <c r="AH6488">
        <v>3.0229792144371701</v>
      </c>
      <c r="AI6488">
        <v>88.982244088773498</v>
      </c>
      <c r="AJ6488">
        <v>90.9205685439333</v>
      </c>
      <c r="AK6488">
        <v>3.0238464889160301</v>
      </c>
      <c r="AL6488">
        <v>81.099511823907804</v>
      </c>
      <c r="AM6488">
        <v>89.782443430296297</v>
      </c>
      <c r="AN6488">
        <v>0.99999997421985698</v>
      </c>
    </row>
    <row r="6489" spans="1:40" x14ac:dyDescent="0.25">
      <c r="A6489" t="str">
        <f>"20190303162041451"</f>
        <v>20190303162041451</v>
      </c>
      <c r="B6489" t="str">
        <f>"1551601241439184"</f>
        <v>1551601241439184</v>
      </c>
      <c r="C6489" t="s">
        <v>40</v>
      </c>
      <c r="D6489">
        <v>4.1189049999999998</v>
      </c>
      <c r="E6489">
        <v>0.49258439999999998</v>
      </c>
      <c r="F6489" t="s">
        <v>58</v>
      </c>
      <c r="G6489">
        <v>0</v>
      </c>
      <c r="H6489">
        <v>0</v>
      </c>
      <c r="I6489">
        <v>0</v>
      </c>
      <c r="J6489">
        <v>-269.98180000000002</v>
      </c>
      <c r="K6489">
        <v>1.1213070000000001</v>
      </c>
      <c r="L6489">
        <v>141.71979999999999</v>
      </c>
      <c r="M6489">
        <v>-0.99980820000000004</v>
      </c>
      <c r="N6489">
        <v>-1.145552E-2</v>
      </c>
      <c r="O6489">
        <v>1.5883120000000001E-2</v>
      </c>
      <c r="P6489">
        <v>-0.9895777</v>
      </c>
      <c r="Q6489">
        <v>0.1427262</v>
      </c>
      <c r="R6489">
        <v>1.911142E-2</v>
      </c>
      <c r="S6489">
        <v>-3.0244140000000002</v>
      </c>
      <c r="T6489">
        <v>5.2005290000000003E-2</v>
      </c>
      <c r="U6489">
        <v>-5.9509280000000003E-4</v>
      </c>
      <c r="V6489">
        <v>3.364574E-3</v>
      </c>
      <c r="W6489">
        <v>0.15405550000000001</v>
      </c>
      <c r="X6489">
        <v>0.9880565</v>
      </c>
      <c r="Y6489">
        <v>-1.6073589999999999E-2</v>
      </c>
      <c r="Z6489">
        <v>5.0113570000000001E-4</v>
      </c>
      <c r="AA6489">
        <v>0.9998707</v>
      </c>
      <c r="AB6489">
        <v>29</v>
      </c>
      <c r="AC6489">
        <v>-3.0244140000000002</v>
      </c>
      <c r="AD6489">
        <v>5.2005290000000003E-2</v>
      </c>
      <c r="AE6489">
        <v>-5.9509280000000003E-4</v>
      </c>
      <c r="AF6489">
        <v>-4.8620925990855997E-2</v>
      </c>
      <c r="AG6489">
        <v>5.2005290000000003E-2</v>
      </c>
      <c r="AH6489">
        <v>3.02312912406303</v>
      </c>
      <c r="AI6489">
        <v>89.014595651990604</v>
      </c>
      <c r="AJ6489">
        <v>90.921407451265495</v>
      </c>
      <c r="AK6489">
        <v>3.0239673023017799</v>
      </c>
      <c r="AL6489">
        <v>81.137977819781497</v>
      </c>
      <c r="AM6489">
        <v>89.804894613879398</v>
      </c>
      <c r="AN6489">
        <v>1.00000003231535</v>
      </c>
    </row>
    <row r="6490" spans="1:40" x14ac:dyDescent="0.25">
      <c r="A6490" t="str">
        <f>"20190303162041474"</f>
        <v>20190303162041474</v>
      </c>
      <c r="B6490" t="str">
        <f>"1551601241468464"</f>
        <v>1551601241468464</v>
      </c>
      <c r="C6490" t="s">
        <v>40</v>
      </c>
      <c r="D6490">
        <v>4.1367269999999996</v>
      </c>
      <c r="E6490">
        <v>0.5055596</v>
      </c>
      <c r="F6490" t="s">
        <v>58</v>
      </c>
      <c r="G6490">
        <v>0</v>
      </c>
      <c r="H6490">
        <v>0</v>
      </c>
      <c r="I6490">
        <v>0</v>
      </c>
      <c r="J6490">
        <v>-270.2672</v>
      </c>
      <c r="K6490">
        <v>1.121302</v>
      </c>
      <c r="L6490">
        <v>141.7242</v>
      </c>
      <c r="M6490">
        <v>-0.99980959999999997</v>
      </c>
      <c r="N6490">
        <v>-1.149088E-2</v>
      </c>
      <c r="O6490">
        <v>1.578075E-2</v>
      </c>
      <c r="P6490">
        <v>-0.98971229999999999</v>
      </c>
      <c r="Q6490">
        <v>0.14178949999999901</v>
      </c>
      <c r="R6490">
        <v>1.9112259999999999E-2</v>
      </c>
      <c r="S6490">
        <v>-3.0245060000000001</v>
      </c>
      <c r="T6490">
        <v>4.9129010000000001E-2</v>
      </c>
      <c r="U6490">
        <v>-6.1035159999999996E-4</v>
      </c>
      <c r="V6490">
        <v>3.4645140000000001E-3</v>
      </c>
      <c r="W6490">
        <v>0.1531556</v>
      </c>
      <c r="X6490">
        <v>0.98819599999999996</v>
      </c>
      <c r="Y6490">
        <v>-1.5976879999999999E-2</v>
      </c>
      <c r="Z6490">
        <v>4.7559190000000002E-4</v>
      </c>
      <c r="AA6490">
        <v>0.99987230000000005</v>
      </c>
      <c r="AB6490">
        <v>29</v>
      </c>
      <c r="AC6490">
        <v>-3.0245060000000001</v>
      </c>
      <c r="AD6490">
        <v>4.9129010000000001E-2</v>
      </c>
      <c r="AE6490">
        <v>-6.1035159999999996E-4</v>
      </c>
      <c r="AF6490">
        <v>-4.8329640596114401E-2</v>
      </c>
      <c r="AG6490">
        <v>4.9129010000000001E-2</v>
      </c>
      <c r="AH6490">
        <v>3.0233219731054302</v>
      </c>
      <c r="AI6490">
        <v>89.069143899792905</v>
      </c>
      <c r="AJ6490">
        <v>90.915829879193396</v>
      </c>
      <c r="AK6490">
        <v>3.0241073338831499</v>
      </c>
      <c r="AL6490">
        <v>81.190157150583701</v>
      </c>
      <c r="AM6490">
        <v>89.799127686221993</v>
      </c>
      <c r="AN6490">
        <v>0.99999998754230801</v>
      </c>
    </row>
    <row r="6491" spans="1:40" x14ac:dyDescent="0.25">
      <c r="A6491" t="str">
        <f>"20190303162041496"</f>
        <v>20190303162041496</v>
      </c>
      <c r="B6491" t="str">
        <f>"1551601241488962"</f>
        <v>1551601241488962</v>
      </c>
      <c r="C6491" t="s">
        <v>40</v>
      </c>
      <c r="D6491">
        <v>4.160272</v>
      </c>
      <c r="E6491">
        <v>0.52991540000000004</v>
      </c>
      <c r="F6491" t="s">
        <v>50</v>
      </c>
      <c r="G6491">
        <v>-293.4785</v>
      </c>
      <c r="H6491" s="1">
        <v>-9.3834220000000008E-6</v>
      </c>
      <c r="I6491">
        <v>142.5129</v>
      </c>
      <c r="J6491">
        <v>-270.55849999999998</v>
      </c>
      <c r="K6491">
        <v>1.121308</v>
      </c>
      <c r="L6491">
        <v>141.7287</v>
      </c>
      <c r="M6491">
        <v>-0.99981059999999999</v>
      </c>
      <c r="N6491">
        <v>-1.153451E-2</v>
      </c>
      <c r="O6491">
        <v>1.5675290000000001E-2</v>
      </c>
      <c r="P6491">
        <v>-0.98989859999999996</v>
      </c>
      <c r="Q6491">
        <v>0.14046059999999999</v>
      </c>
      <c r="R6491">
        <v>1.927885E-2</v>
      </c>
      <c r="S6491">
        <v>-3.0503230000000001</v>
      </c>
      <c r="T6491">
        <v>-0.14735760000000001</v>
      </c>
      <c r="U6491">
        <v>0.103653</v>
      </c>
      <c r="V6491">
        <v>3.7327139999999998E-3</v>
      </c>
      <c r="W6491">
        <v>0.1518719</v>
      </c>
      <c r="X6491">
        <v>0.98839310000000002</v>
      </c>
      <c r="Y6491">
        <v>1.827411E-2</v>
      </c>
      <c r="Z6491" s="1">
        <v>-2.9306310000000002E-5</v>
      </c>
      <c r="AA6491">
        <v>0.99983299999999997</v>
      </c>
      <c r="AB6491">
        <v>29</v>
      </c>
      <c r="AC6491">
        <v>-22.92</v>
      </c>
      <c r="AD6491">
        <v>-1.121317383422</v>
      </c>
      <c r="AE6491">
        <v>0.78419999999999801</v>
      </c>
      <c r="AF6491">
        <v>0.42378894663411998</v>
      </c>
      <c r="AG6491">
        <v>-1.121317383422</v>
      </c>
      <c r="AH6491">
        <v>22.874790847349299</v>
      </c>
      <c r="AI6491">
        <v>92.805899789905993</v>
      </c>
      <c r="AJ6491">
        <v>88.938633329745599</v>
      </c>
      <c r="AK6491">
        <v>22.906178338073499</v>
      </c>
      <c r="AL6491">
        <v>81.264578166812498</v>
      </c>
      <c r="AM6491">
        <v>89.783620766288607</v>
      </c>
      <c r="AN6491">
        <v>0.99999996364551202</v>
      </c>
    </row>
    <row r="6492" spans="1:40" x14ac:dyDescent="0.25">
      <c r="A6492" t="str">
        <f>"20190303162041518"</f>
        <v>20190303162041518</v>
      </c>
      <c r="B6492" t="str">
        <f>"1551601241508480"</f>
        <v>1551601241508480</v>
      </c>
      <c r="C6492" t="s">
        <v>40</v>
      </c>
      <c r="D6492">
        <v>4.2259349999999998</v>
      </c>
      <c r="E6492">
        <v>0.5334795</v>
      </c>
      <c r="F6492" t="s">
        <v>42</v>
      </c>
      <c r="G6492">
        <v>-271.36660000000001</v>
      </c>
      <c r="H6492">
        <v>0.98498070000000004</v>
      </c>
      <c r="I6492">
        <v>141.80680000000001</v>
      </c>
      <c r="J6492">
        <v>-270.83640000000003</v>
      </c>
      <c r="K6492">
        <v>1.1213229999999901</v>
      </c>
      <c r="L6492">
        <v>141.7329</v>
      </c>
      <c r="M6492">
        <v>-0.99981149999999996</v>
      </c>
      <c r="N6492">
        <v>-1.1594490000000001E-2</v>
      </c>
      <c r="O6492">
        <v>1.557269E-2</v>
      </c>
      <c r="P6492">
        <v>-0.98995979999999995</v>
      </c>
      <c r="Q6492">
        <v>0.13989480000000001</v>
      </c>
      <c r="R6492">
        <v>2.0228510000000002E-2</v>
      </c>
      <c r="S6492">
        <v>-3.0989689999999999</v>
      </c>
      <c r="T6492">
        <v>-0.52282969999999995</v>
      </c>
      <c r="U6492">
        <v>0.29939270000000001</v>
      </c>
      <c r="V6492">
        <v>4.7825510000000003E-3</v>
      </c>
      <c r="W6492">
        <v>0.15136659999999999</v>
      </c>
      <c r="X6492">
        <v>0.98846610000000001</v>
      </c>
      <c r="Y6492">
        <v>7.9645430000000003E-2</v>
      </c>
      <c r="Z6492">
        <v>4.6991239999999998E-3</v>
      </c>
      <c r="AA6492">
        <v>0.99681220000000004</v>
      </c>
      <c r="AB6492">
        <v>29</v>
      </c>
      <c r="AC6492">
        <v>-0.53019999999997902</v>
      </c>
      <c r="AD6492">
        <v>-0.136342299999999</v>
      </c>
      <c r="AE6492">
        <v>7.3900000000008903E-2</v>
      </c>
      <c r="AF6492">
        <v>6.1635702759922098E-2</v>
      </c>
      <c r="AG6492">
        <v>-0.136342299999999</v>
      </c>
      <c r="AH6492">
        <v>0.49892283794292203</v>
      </c>
      <c r="AI6492">
        <v>105.174258343741</v>
      </c>
      <c r="AJ6492">
        <v>82.957501806290594</v>
      </c>
      <c r="AK6492">
        <v>0.52087635850076697</v>
      </c>
      <c r="AL6492">
        <v>81.293868455277305</v>
      </c>
      <c r="AM6492">
        <v>89.722784777955297</v>
      </c>
      <c r="AN6492">
        <v>0.999999975619418</v>
      </c>
    </row>
    <row r="6493" spans="1:40" x14ac:dyDescent="0.25">
      <c r="A6493" t="str">
        <f>"20190303162041541"</f>
        <v>20190303162041541</v>
      </c>
      <c r="B6493" t="str">
        <f>"1551601241528976"</f>
        <v>1551601241528976</v>
      </c>
      <c r="C6493" t="s">
        <v>40</v>
      </c>
      <c r="D6493">
        <v>4.1622000000000003</v>
      </c>
      <c r="E6493">
        <v>0.53552319999999998</v>
      </c>
      <c r="F6493" t="s">
        <v>42</v>
      </c>
      <c r="G6493">
        <v>-271.61329999999998</v>
      </c>
      <c r="H6493">
        <v>0.96068600000000004</v>
      </c>
      <c r="I6493">
        <v>141.8152</v>
      </c>
      <c r="J6493">
        <v>-271.13440000000003</v>
      </c>
      <c r="K6493">
        <v>1.121335</v>
      </c>
      <c r="L6493">
        <v>141.73750000000001</v>
      </c>
      <c r="M6493">
        <v>-0.99981220000000004</v>
      </c>
      <c r="N6493">
        <v>-1.168691E-2</v>
      </c>
      <c r="O6493">
        <v>1.5467089999999999E-2</v>
      </c>
      <c r="P6493">
        <v>-0.99005989999999999</v>
      </c>
      <c r="Q6493">
        <v>0.13881370000000001</v>
      </c>
      <c r="R6493">
        <v>2.2636570000000002E-2</v>
      </c>
      <c r="S6493">
        <v>-3.114716</v>
      </c>
      <c r="T6493">
        <v>-0.64402499999999996</v>
      </c>
      <c r="U6493">
        <v>0.33016970000000001</v>
      </c>
      <c r="V6493">
        <v>7.2926609999999998E-3</v>
      </c>
      <c r="W6493">
        <v>0.15037909999999999</v>
      </c>
      <c r="X6493">
        <v>0.98860150000000002</v>
      </c>
      <c r="Y6493">
        <v>8.8350680000000001E-2</v>
      </c>
      <c r="Z6493">
        <v>6.560598E-3</v>
      </c>
      <c r="AA6493">
        <v>0.99606779999999995</v>
      </c>
      <c r="AB6493">
        <v>29</v>
      </c>
      <c r="AC6493">
        <v>-0.47889999999995297</v>
      </c>
      <c r="AD6493">
        <v>-0.16064899999999899</v>
      </c>
      <c r="AE6493">
        <v>7.7699999999992997E-2</v>
      </c>
      <c r="AF6493">
        <v>6.3338383731083997E-2</v>
      </c>
      <c r="AG6493">
        <v>-0.16064899999999899</v>
      </c>
      <c r="AH6493">
        <v>0.43261163600136499</v>
      </c>
      <c r="AI6493">
        <v>110.174833782012</v>
      </c>
      <c r="AJ6493">
        <v>81.670542253769497</v>
      </c>
      <c r="AK6493">
        <v>0.46580326282502998</v>
      </c>
      <c r="AL6493">
        <v>81.351103333346401</v>
      </c>
      <c r="AM6493">
        <v>89.577351321154595</v>
      </c>
      <c r="AN6493">
        <v>0.99999999121175998</v>
      </c>
    </row>
    <row r="6494" spans="1:40" x14ac:dyDescent="0.25">
      <c r="A6494" t="str">
        <f>"20190303162041555"</f>
        <v>20190303162041555</v>
      </c>
      <c r="B6494" t="str">
        <f>"1551601241548496"</f>
        <v>1551601241548496</v>
      </c>
      <c r="C6494" t="s">
        <v>40</v>
      </c>
      <c r="D6494">
        <v>4.1904430000000001</v>
      </c>
      <c r="E6494">
        <v>0.53639899999999996</v>
      </c>
      <c r="F6494" t="s">
        <v>42</v>
      </c>
      <c r="G6494">
        <v>-271.86700000000002</v>
      </c>
      <c r="H6494">
        <v>0.95104310000000003</v>
      </c>
      <c r="I6494">
        <v>141.82060000000001</v>
      </c>
      <c r="J6494">
        <v>-271.31020000000001</v>
      </c>
      <c r="K6494">
        <v>1.121346</v>
      </c>
      <c r="L6494">
        <v>141.74010000000001</v>
      </c>
      <c r="M6494">
        <v>-0.99981220000000004</v>
      </c>
      <c r="N6494">
        <v>-1.1755150000000001E-2</v>
      </c>
      <c r="O6494">
        <v>1.540713E-2</v>
      </c>
      <c r="P6494">
        <v>-0.99012650000000002</v>
      </c>
      <c r="Q6494">
        <v>0.13821459999999999</v>
      </c>
      <c r="R6494">
        <v>2.3373359999999999E-2</v>
      </c>
      <c r="S6494">
        <v>-3.1237789999999999</v>
      </c>
      <c r="T6494">
        <v>-0.72612679999999996</v>
      </c>
      <c r="U6494">
        <v>0.35328670000000001</v>
      </c>
      <c r="V6494">
        <v>8.087838E-3</v>
      </c>
      <c r="W6494">
        <v>0.14984819999999999</v>
      </c>
      <c r="X6494">
        <v>0.988676</v>
      </c>
      <c r="Y6494">
        <v>9.4795389999999993E-2</v>
      </c>
      <c r="Z6494">
        <v>8.0617980000000002E-3</v>
      </c>
      <c r="AA6494">
        <v>0.99546409999999996</v>
      </c>
      <c r="AB6494">
        <v>29</v>
      </c>
      <c r="AC6494">
        <v>-0.55680000000000895</v>
      </c>
      <c r="AD6494">
        <v>-0.17030289999999901</v>
      </c>
      <c r="AE6494">
        <v>8.0500000000000599E-2</v>
      </c>
      <c r="AF6494">
        <v>6.5874728878979896E-2</v>
      </c>
      <c r="AG6494">
        <v>-0.17030289999999901</v>
      </c>
      <c r="AH6494">
        <v>0.51113627830959196</v>
      </c>
      <c r="AI6494">
        <v>108.28623362749499</v>
      </c>
      <c r="AJ6494">
        <v>82.656258433777097</v>
      </c>
      <c r="AK6494">
        <v>0.54277329766438298</v>
      </c>
      <c r="AL6494">
        <v>81.381870928563202</v>
      </c>
      <c r="AM6494">
        <v>89.531303838374896</v>
      </c>
      <c r="AN6494">
        <v>1.00000006457137</v>
      </c>
    </row>
    <row r="6495" spans="1:40" x14ac:dyDescent="0.25">
      <c r="A6495" t="str">
        <f>"20190303162041573"</f>
        <v>20190303162041573</v>
      </c>
      <c r="B6495" t="str">
        <f>"1551601241568992"</f>
        <v>1551601241568992</v>
      </c>
      <c r="C6495" t="s">
        <v>40</v>
      </c>
      <c r="D6495">
        <v>4.2332689999999999</v>
      </c>
      <c r="E6495">
        <v>0.53727819999999904</v>
      </c>
      <c r="F6495" t="s">
        <v>42</v>
      </c>
      <c r="G6495">
        <v>-272.11320000000001</v>
      </c>
      <c r="H6495">
        <v>0.92610680000000001</v>
      </c>
      <c r="I6495">
        <v>141.833</v>
      </c>
      <c r="J6495">
        <v>-271.55680000000001</v>
      </c>
      <c r="K6495">
        <v>1.1213500000000001</v>
      </c>
      <c r="L6495">
        <v>141.74379999999999</v>
      </c>
      <c r="M6495">
        <v>-0.99981220000000004</v>
      </c>
      <c r="N6495">
        <v>-1.1861760000000001E-2</v>
      </c>
      <c r="O6495">
        <v>1.532216E-2</v>
      </c>
      <c r="P6495">
        <v>-0.99033179999999998</v>
      </c>
      <c r="Q6495">
        <v>0.13636619999999999</v>
      </c>
      <c r="R6495">
        <v>2.5452909999999999E-2</v>
      </c>
      <c r="S6495">
        <v>-3.127472</v>
      </c>
      <c r="T6495">
        <v>-0.76037379999999999</v>
      </c>
      <c r="U6495">
        <v>0.36183169999999998</v>
      </c>
      <c r="V6495">
        <v>1.0249070000000001E-2</v>
      </c>
      <c r="W6495">
        <v>0.14810879999999901</v>
      </c>
      <c r="X6495">
        <v>0.98891790000000002</v>
      </c>
      <c r="Y6495">
        <v>9.7157259999999995E-2</v>
      </c>
      <c r="Z6495">
        <v>8.7104929999999997E-3</v>
      </c>
      <c r="AA6495">
        <v>0.99523090000000003</v>
      </c>
      <c r="AB6495">
        <v>29</v>
      </c>
      <c r="AC6495">
        <v>-0.55639999999999601</v>
      </c>
      <c r="AD6495">
        <v>-0.19524319999999901</v>
      </c>
      <c r="AE6495">
        <v>8.9200000000005206E-2</v>
      </c>
      <c r="AF6495">
        <v>7.20180228036474E-2</v>
      </c>
      <c r="AG6495">
        <v>-0.19524319999999901</v>
      </c>
      <c r="AH6495">
        <v>0.49792621994092301</v>
      </c>
      <c r="AI6495">
        <v>111.209965433962</v>
      </c>
      <c r="AJ6495">
        <v>81.770043854836501</v>
      </c>
      <c r="AK6495">
        <v>0.539663805771188</v>
      </c>
      <c r="AL6495">
        <v>81.482654832471098</v>
      </c>
      <c r="AM6495">
        <v>89.406212152320705</v>
      </c>
      <c r="AN6495">
        <v>0.99999993650685504</v>
      </c>
    </row>
    <row r="6496" spans="1:40" x14ac:dyDescent="0.25">
      <c r="A6496" t="str">
        <f>"20190303162041596"</f>
        <v>20190303162041596</v>
      </c>
      <c r="B6496" t="str">
        <f>"1551601241588512"</f>
        <v>1551601241588512</v>
      </c>
      <c r="C6496" t="s">
        <v>40</v>
      </c>
      <c r="D6496">
        <v>4.1975540000000002</v>
      </c>
      <c r="E6496">
        <v>0.53730940000000005</v>
      </c>
      <c r="F6496" t="s">
        <v>42</v>
      </c>
      <c r="G6496">
        <v>-272.36790000000002</v>
      </c>
      <c r="H6496">
        <v>0.91857889999999998</v>
      </c>
      <c r="I6496">
        <v>141.84119999999999</v>
      </c>
      <c r="J6496">
        <v>-271.84719999999999</v>
      </c>
      <c r="K6496">
        <v>1.121362</v>
      </c>
      <c r="L6496">
        <v>141.74809999999999</v>
      </c>
      <c r="M6496">
        <v>-0.99981209999999998</v>
      </c>
      <c r="N6496">
        <v>-1.199954E-2</v>
      </c>
      <c r="O6496">
        <v>1.521868E-2</v>
      </c>
      <c r="P6496">
        <v>-0.99057740000000005</v>
      </c>
      <c r="Q6496">
        <v>0.1345055</v>
      </c>
      <c r="R6496">
        <v>2.578308E-2</v>
      </c>
      <c r="S6496">
        <v>-3.127319</v>
      </c>
      <c r="T6496">
        <v>-0.7817944</v>
      </c>
      <c r="U6496">
        <v>0.3748474</v>
      </c>
      <c r="V6496">
        <v>1.067946E-2</v>
      </c>
      <c r="W6496">
        <v>0.1463874</v>
      </c>
      <c r="X6496">
        <v>0.98916970000000004</v>
      </c>
      <c r="Y6496">
        <v>0.1010839</v>
      </c>
      <c r="Z6496">
        <v>9.4655090000000004E-3</v>
      </c>
      <c r="AA6496">
        <v>0.99483290000000002</v>
      </c>
      <c r="AB6496">
        <v>29</v>
      </c>
      <c r="AC6496">
        <v>-0.52070000000003303</v>
      </c>
      <c r="AD6496">
        <v>-0.20278309999999899</v>
      </c>
      <c r="AE6496">
        <v>9.3099999999992605E-2</v>
      </c>
      <c r="AF6496">
        <v>7.4251680768605194E-2</v>
      </c>
      <c r="AG6496">
        <v>-0.20278309999999899</v>
      </c>
      <c r="AH6496">
        <v>0.45516247386813502</v>
      </c>
      <c r="AI6496">
        <v>113.735366651185</v>
      </c>
      <c r="AJ6496">
        <v>80.734823719165703</v>
      </c>
      <c r="AK6496">
        <v>0.50379279010356304</v>
      </c>
      <c r="AL6496">
        <v>81.582371362511907</v>
      </c>
      <c r="AM6496">
        <v>89.381436559524303</v>
      </c>
      <c r="AN6496">
        <v>1.0000000085713701</v>
      </c>
    </row>
    <row r="6497" spans="1:40" x14ac:dyDescent="0.25">
      <c r="A6497" t="str">
        <f>"20190303162041617"</f>
        <v>20190303162041617</v>
      </c>
      <c r="B6497" t="str">
        <f>"1551601241609008"</f>
        <v>1551601241609008</v>
      </c>
      <c r="C6497" t="s">
        <v>40</v>
      </c>
      <c r="D6497">
        <v>4.2452030000000001</v>
      </c>
      <c r="E6497">
        <v>0.53728809999999905</v>
      </c>
      <c r="F6497" t="s">
        <v>42</v>
      </c>
      <c r="G6497">
        <v>-272.62709999999998</v>
      </c>
      <c r="H6497">
        <v>0.92117059999999995</v>
      </c>
      <c r="I6497">
        <v>141.84190000000001</v>
      </c>
      <c r="J6497">
        <v>-272.12240000000003</v>
      </c>
      <c r="K6497">
        <v>1.121378</v>
      </c>
      <c r="L6497">
        <v>141.75219999999999</v>
      </c>
      <c r="M6497">
        <v>-0.99981220000000004</v>
      </c>
      <c r="N6497">
        <v>-1.213297E-2</v>
      </c>
      <c r="O6497">
        <v>1.5118360000000001E-2</v>
      </c>
      <c r="P6497">
        <v>-0.99075820000000003</v>
      </c>
      <c r="Q6497">
        <v>0.1333809</v>
      </c>
      <c r="R6497">
        <v>2.4657620000000002E-2</v>
      </c>
      <c r="S6497">
        <v>-3.127777</v>
      </c>
      <c r="T6497">
        <v>-0.80285430000000002</v>
      </c>
      <c r="U6497">
        <v>0.37652590000000002</v>
      </c>
      <c r="V6497">
        <v>9.6520240000000004E-3</v>
      </c>
      <c r="W6497">
        <v>0.1453962</v>
      </c>
      <c r="X6497">
        <v>0.98932640000000005</v>
      </c>
      <c r="Y6497">
        <v>0.1015283</v>
      </c>
      <c r="Z6497">
        <v>9.7822840000000005E-3</v>
      </c>
      <c r="AA6497">
        <v>0.99478449999999996</v>
      </c>
      <c r="AB6497">
        <v>29</v>
      </c>
      <c r="AC6497">
        <v>-0.50469999999995696</v>
      </c>
      <c r="AD6497">
        <v>-0.20020739999999901</v>
      </c>
      <c r="AE6497">
        <v>8.9700000000021804E-2</v>
      </c>
      <c r="AF6497">
        <v>7.1198271785734998E-2</v>
      </c>
      <c r="AG6497">
        <v>-0.20020739999999901</v>
      </c>
      <c r="AH6497">
        <v>0.43902853725003099</v>
      </c>
      <c r="AI6497">
        <v>114.234545647506</v>
      </c>
      <c r="AJ6497">
        <v>80.788406962175202</v>
      </c>
      <c r="AK6497">
        <v>0.48774814550127898</v>
      </c>
      <c r="AL6497">
        <v>81.639776836257099</v>
      </c>
      <c r="AM6497">
        <v>89.441031095509103</v>
      </c>
      <c r="AN6497">
        <v>0.99999997113934702</v>
      </c>
    </row>
    <row r="6498" spans="1:40" x14ac:dyDescent="0.25">
      <c r="A6498" t="str">
        <f>"20190303162041642"</f>
        <v>20190303162041642</v>
      </c>
      <c r="B6498" t="str">
        <f>"1551601241628530"</f>
        <v>1551601241628530</v>
      </c>
      <c r="C6498" t="s">
        <v>40</v>
      </c>
      <c r="D6498">
        <v>4.3093539999999999</v>
      </c>
      <c r="E6498">
        <v>0.53749959999999997</v>
      </c>
      <c r="F6498" t="s">
        <v>42</v>
      </c>
      <c r="G6498">
        <v>-272.88569999999999</v>
      </c>
      <c r="H6498">
        <v>0.92265439999999999</v>
      </c>
      <c r="I6498">
        <v>141.8433</v>
      </c>
      <c r="J6498">
        <v>-272.43279999999999</v>
      </c>
      <c r="K6498">
        <v>1.1214</v>
      </c>
      <c r="L6498">
        <v>141.7568</v>
      </c>
      <c r="M6498">
        <v>-0.99981200000000003</v>
      </c>
      <c r="N6498">
        <v>-1.227645E-2</v>
      </c>
      <c r="O6498">
        <v>1.500685E-2</v>
      </c>
      <c r="P6498">
        <v>-0.99077029999999999</v>
      </c>
      <c r="Q6498">
        <v>0.1336359</v>
      </c>
      <c r="R6498">
        <v>2.2710259999999999E-2</v>
      </c>
      <c r="S6498">
        <v>-3.1283569999999998</v>
      </c>
      <c r="T6498">
        <v>-0.81459689999999996</v>
      </c>
      <c r="U6498">
        <v>0.37289430000000001</v>
      </c>
      <c r="V6498">
        <v>7.8155150000000003E-3</v>
      </c>
      <c r="W6498">
        <v>0.14579300000000001</v>
      </c>
      <c r="X6498">
        <v>0.98928430000000001</v>
      </c>
      <c r="Y6498">
        <v>0.1004284</v>
      </c>
      <c r="Z6498">
        <v>9.7979069999999998E-3</v>
      </c>
      <c r="AA6498">
        <v>0.99489609999999995</v>
      </c>
      <c r="AB6498">
        <v>29</v>
      </c>
      <c r="AC6498">
        <v>-0.45289999999999903</v>
      </c>
      <c r="AD6498">
        <v>-0.19874559999999999</v>
      </c>
      <c r="AE6498">
        <v>8.6500000000000896E-2</v>
      </c>
      <c r="AF6498">
        <v>6.7206596572227897E-2</v>
      </c>
      <c r="AG6498">
        <v>-0.19874559999999999</v>
      </c>
      <c r="AH6498">
        <v>0.38299012012287198</v>
      </c>
      <c r="AI6498">
        <v>117.072558696524</v>
      </c>
      <c r="AJ6498">
        <v>80.047145891283506</v>
      </c>
      <c r="AK6498">
        <v>0.43668978950041198</v>
      </c>
      <c r="AL6498">
        <v>81.616797701612498</v>
      </c>
      <c r="AM6498">
        <v>89.547362968848105</v>
      </c>
      <c r="AN6498">
        <v>1.0000000536750999</v>
      </c>
    </row>
    <row r="6499" spans="1:40" x14ac:dyDescent="0.25">
      <c r="A6499" t="str">
        <f>"20190303162041663"</f>
        <v>20190303162041663</v>
      </c>
      <c r="B6499" t="str">
        <f>"1551601241658784"</f>
        <v>1551601241658784</v>
      </c>
      <c r="C6499" t="s">
        <v>40</v>
      </c>
      <c r="D6499">
        <v>4.3084410000000002</v>
      </c>
      <c r="E6499">
        <v>0.53785119999999997</v>
      </c>
      <c r="F6499" t="s">
        <v>42</v>
      </c>
      <c r="G6499">
        <v>-273.14879999999999</v>
      </c>
      <c r="H6499">
        <v>0.93398809999999999</v>
      </c>
      <c r="I6499">
        <v>141.84139999999999</v>
      </c>
      <c r="J6499">
        <v>-272.71859999999998</v>
      </c>
      <c r="K6499">
        <v>1.1214150000000001</v>
      </c>
      <c r="L6499">
        <v>141.76089999999999</v>
      </c>
      <c r="M6499">
        <v>-0.99981220000000004</v>
      </c>
      <c r="N6499">
        <v>-1.239821E-2</v>
      </c>
      <c r="O6499">
        <v>1.4906529999999999E-2</v>
      </c>
      <c r="P6499">
        <v>-0.99067839999999996</v>
      </c>
      <c r="Q6499">
        <v>0.13451250000000001</v>
      </c>
      <c r="R6499">
        <v>2.1518099999999998E-2</v>
      </c>
      <c r="S6499">
        <v>-3.1300050000000001</v>
      </c>
      <c r="T6499">
        <v>-0.81929839999999998</v>
      </c>
      <c r="U6499">
        <v>0.36906430000000001</v>
      </c>
      <c r="V6499">
        <v>6.7238080000000004E-3</v>
      </c>
      <c r="W6499">
        <v>0.14678820000000001</v>
      </c>
      <c r="X6499">
        <v>0.9891451</v>
      </c>
      <c r="Y6499">
        <v>9.9270549999999999E-2</v>
      </c>
      <c r="Z6499">
        <v>9.7208780000000005E-3</v>
      </c>
      <c r="AA6499">
        <v>0.99501300000000004</v>
      </c>
      <c r="AB6499">
        <v>29</v>
      </c>
      <c r="AC6499">
        <v>-0.43020000000001302</v>
      </c>
      <c r="AD6499">
        <v>-0.18742690000000001</v>
      </c>
      <c r="AE6499">
        <v>8.0500000000000599E-2</v>
      </c>
      <c r="AF6499">
        <v>6.2597918735753696E-2</v>
      </c>
      <c r="AG6499">
        <v>-0.18742690000000001</v>
      </c>
      <c r="AH6499">
        <v>0.36450547272121198</v>
      </c>
      <c r="AI6499">
        <v>116.874810061437</v>
      </c>
      <c r="AJ6499">
        <v>80.255431932152504</v>
      </c>
      <c r="AK6499">
        <v>0.41462221589945297</v>
      </c>
      <c r="AL6499">
        <v>81.559156425786597</v>
      </c>
      <c r="AM6499">
        <v>89.610532481940496</v>
      </c>
      <c r="AN6499">
        <v>1.0000000070536299</v>
      </c>
    </row>
    <row r="6500" spans="1:40" x14ac:dyDescent="0.25">
      <c r="A6500" t="str">
        <f>"20190303162041686"</f>
        <v>20190303162041686</v>
      </c>
      <c r="B6500" t="str">
        <f>"1551601241679280"</f>
        <v>1551601241679280</v>
      </c>
      <c r="C6500" t="s">
        <v>40</v>
      </c>
      <c r="D6500">
        <v>4.3093820000000003</v>
      </c>
      <c r="E6500">
        <v>0.53823359999999998</v>
      </c>
      <c r="F6500" t="s">
        <v>42</v>
      </c>
      <c r="G6500">
        <v>-273.40899999999999</v>
      </c>
      <c r="H6500">
        <v>0.9394846</v>
      </c>
      <c r="I6500">
        <v>141.8424</v>
      </c>
      <c r="J6500">
        <v>-272.99610000000001</v>
      </c>
      <c r="K6500">
        <v>1.1214309999999901</v>
      </c>
      <c r="L6500">
        <v>141.76499999999999</v>
      </c>
      <c r="M6500">
        <v>-0.99981209999999998</v>
      </c>
      <c r="N6500">
        <v>-1.250593E-2</v>
      </c>
      <c r="O6500">
        <v>1.481064E-2</v>
      </c>
      <c r="P6500">
        <v>-0.99064419999999997</v>
      </c>
      <c r="Q6500">
        <v>0.13486770000000001</v>
      </c>
      <c r="R6500">
        <v>2.0855499999999999E-2</v>
      </c>
      <c r="S6500">
        <v>-3.1322939999999999</v>
      </c>
      <c r="T6500">
        <v>-0.82539669999999898</v>
      </c>
      <c r="U6500">
        <v>0.36901859999999997</v>
      </c>
      <c r="V6500">
        <v>6.1562319999999898E-3</v>
      </c>
      <c r="W6500">
        <v>0.14724949999999901</v>
      </c>
      <c r="X6500">
        <v>0.98908019999999996</v>
      </c>
      <c r="Y6500">
        <v>9.9225289999999994E-2</v>
      </c>
      <c r="Z6500">
        <v>9.8033240000000004E-3</v>
      </c>
      <c r="AA6500">
        <v>0.99501669999999998</v>
      </c>
      <c r="AB6500">
        <v>29</v>
      </c>
      <c r="AC6500">
        <v>-0.41289999999997901</v>
      </c>
      <c r="AD6500">
        <v>-0.18194639999999901</v>
      </c>
      <c r="AE6500">
        <v>7.7400000000011404E-2</v>
      </c>
      <c r="AF6500">
        <v>6.0017354497995098E-2</v>
      </c>
      <c r="AG6500">
        <v>-0.18194639999999901</v>
      </c>
      <c r="AH6500">
        <v>0.34860754662101701</v>
      </c>
      <c r="AI6500">
        <v>117.219303807646</v>
      </c>
      <c r="AJ6500">
        <v>80.231542780353294</v>
      </c>
      <c r="AK6500">
        <v>0.39778611951025</v>
      </c>
      <c r="AL6500">
        <v>81.53243527926</v>
      </c>
      <c r="AM6500">
        <v>89.643384271100899</v>
      </c>
      <c r="AN6500">
        <v>0.99999997823736297</v>
      </c>
    </row>
    <row r="6501" spans="1:40" x14ac:dyDescent="0.25">
      <c r="A6501" t="str">
        <f>"20190303162041706"</f>
        <v>20190303162041706</v>
      </c>
      <c r="B6501" t="str">
        <f>"1551601241698800"</f>
        <v>1551601241698800</v>
      </c>
      <c r="C6501" t="s">
        <v>40</v>
      </c>
      <c r="D6501">
        <v>4.28491</v>
      </c>
      <c r="E6501">
        <v>0.53850419999999999</v>
      </c>
      <c r="F6501" t="s">
        <v>42</v>
      </c>
      <c r="G6501">
        <v>-273.89729999999997</v>
      </c>
      <c r="H6501">
        <v>0.88157700000000006</v>
      </c>
      <c r="I6501">
        <v>141.8717</v>
      </c>
      <c r="J6501">
        <v>-273.2724</v>
      </c>
      <c r="K6501">
        <v>1.1214360000000001</v>
      </c>
      <c r="L6501">
        <v>141.7689</v>
      </c>
      <c r="M6501">
        <v>-0.99981229999999999</v>
      </c>
      <c r="N6501">
        <v>-1.260288E-2</v>
      </c>
      <c r="O6501">
        <v>1.471427E-2</v>
      </c>
      <c r="P6501">
        <v>-0.99074890000000004</v>
      </c>
      <c r="Q6501">
        <v>0.1341782</v>
      </c>
      <c r="R6501">
        <v>2.0325679999999999E-2</v>
      </c>
      <c r="S6501">
        <v>-3.1340940000000002</v>
      </c>
      <c r="T6501">
        <v>-0.83418910000000002</v>
      </c>
      <c r="U6501">
        <v>0.37031560000000002</v>
      </c>
      <c r="V6501">
        <v>5.7203009999999997E-3</v>
      </c>
      <c r="W6501">
        <v>0.14665710000000001</v>
      </c>
      <c r="X6501">
        <v>0.98917080000000002</v>
      </c>
      <c r="Y6501">
        <v>9.9584619999999999E-2</v>
      </c>
      <c r="Z6501">
        <v>9.9702409999999995E-3</v>
      </c>
      <c r="AA6501">
        <v>0.99497910000000001</v>
      </c>
      <c r="AB6501">
        <v>29</v>
      </c>
      <c r="AC6501">
        <v>-0.62489999999996804</v>
      </c>
      <c r="AD6501">
        <v>-0.23985899999999999</v>
      </c>
      <c r="AE6501">
        <v>0.102800000000001</v>
      </c>
      <c r="AF6501">
        <v>8.1851732363529606E-2</v>
      </c>
      <c r="AG6501">
        <v>-0.23985899999999999</v>
      </c>
      <c r="AH6501">
        <v>0.54776880131075101</v>
      </c>
      <c r="AI6501">
        <v>113.41624752605</v>
      </c>
      <c r="AJ6501">
        <v>81.501316110948807</v>
      </c>
      <c r="AK6501">
        <v>0.60355836972187504</v>
      </c>
      <c r="AL6501">
        <v>81.566749592034895</v>
      </c>
      <c r="AM6501">
        <v>89.668666471589603</v>
      </c>
      <c r="AN6501">
        <v>0.99999994919828905</v>
      </c>
    </row>
    <row r="6502" spans="1:40" x14ac:dyDescent="0.25">
      <c r="A6502" t="str">
        <f>"20190303162041729"</f>
        <v>20190303162041729</v>
      </c>
      <c r="B6502" t="str">
        <f>"1551601241719296"</f>
        <v>1551601241719296</v>
      </c>
      <c r="C6502" t="s">
        <v>40</v>
      </c>
      <c r="D6502">
        <v>4.2764040000000003</v>
      </c>
      <c r="E6502">
        <v>0.53872189999999998</v>
      </c>
      <c r="F6502" t="s">
        <v>42</v>
      </c>
      <c r="G6502">
        <v>-274.1549</v>
      </c>
      <c r="H6502">
        <v>0.88328180000000001</v>
      </c>
      <c r="I6502">
        <v>141.87370000000001</v>
      </c>
      <c r="J6502">
        <v>-273.55700000000002</v>
      </c>
      <c r="K6502">
        <v>1.12144</v>
      </c>
      <c r="L6502">
        <v>141.773</v>
      </c>
      <c r="M6502">
        <v>-0.9998127</v>
      </c>
      <c r="N6502">
        <v>-1.2691829999999999E-2</v>
      </c>
      <c r="O6502">
        <v>1.4613620000000001E-2</v>
      </c>
      <c r="P6502">
        <v>-0.99082340000000002</v>
      </c>
      <c r="Q6502">
        <v>0.1337544</v>
      </c>
      <c r="R6502">
        <v>1.9466489999999999E-2</v>
      </c>
      <c r="S6502">
        <v>-3.1349179999999999</v>
      </c>
      <c r="T6502">
        <v>-0.84603379999999995</v>
      </c>
      <c r="U6502">
        <v>0.37191770000000002</v>
      </c>
      <c r="V6502">
        <v>4.9596880000000003E-3</v>
      </c>
      <c r="W6502">
        <v>0.14632229999999999</v>
      </c>
      <c r="X6502">
        <v>0.98922460000000001</v>
      </c>
      <c r="Y6502">
        <v>0.1000505</v>
      </c>
      <c r="Z6502">
        <v>1.018906E-2</v>
      </c>
      <c r="AA6502">
        <v>0.99493019999999999</v>
      </c>
      <c r="AB6502">
        <v>29</v>
      </c>
      <c r="AC6502">
        <v>-0.597899999999981</v>
      </c>
      <c r="AD6502">
        <v>-0.23815819999999899</v>
      </c>
      <c r="AE6502">
        <v>0.100700000000017</v>
      </c>
      <c r="AF6502">
        <v>7.9660559322540306E-2</v>
      </c>
      <c r="AG6502">
        <v>-0.23815819999999899</v>
      </c>
      <c r="AH6502">
        <v>0.51920227717086598</v>
      </c>
      <c r="AI6502">
        <v>114.389288700611</v>
      </c>
      <c r="AJ6502">
        <v>81.277201404615894</v>
      </c>
      <c r="AK6502">
        <v>0.57674616388688005</v>
      </c>
      <c r="AL6502">
        <v>81.586142368012901</v>
      </c>
      <c r="AM6502">
        <v>89.712737826117504</v>
      </c>
      <c r="AN6502">
        <v>1.0000000616137501</v>
      </c>
    </row>
    <row r="6503" spans="1:40" x14ac:dyDescent="0.25">
      <c r="A6503" t="str">
        <f>"20190303162041752"</f>
        <v>20190303162041752</v>
      </c>
      <c r="B6503" t="str">
        <f>"1551601241748576"</f>
        <v>1551601241748576</v>
      </c>
      <c r="C6503" t="s">
        <v>40</v>
      </c>
      <c r="D6503">
        <v>4.2840949999999998</v>
      </c>
      <c r="E6503">
        <v>0.53892709999999999</v>
      </c>
      <c r="F6503" t="s">
        <v>42</v>
      </c>
      <c r="G6503">
        <v>-274.41329999999999</v>
      </c>
      <c r="H6503">
        <v>0.88761190000000001</v>
      </c>
      <c r="I6503">
        <v>141.87469999999999</v>
      </c>
      <c r="J6503">
        <v>-273.85669999999999</v>
      </c>
      <c r="K6503">
        <v>1.1214519999999999</v>
      </c>
      <c r="L6503">
        <v>141.7773</v>
      </c>
      <c r="M6503">
        <v>-0.99981319999999996</v>
      </c>
      <c r="N6503">
        <v>-1.277443E-2</v>
      </c>
      <c r="O6503">
        <v>1.450597E-2</v>
      </c>
      <c r="P6503">
        <v>-0.9908709</v>
      </c>
      <c r="Q6503">
        <v>0.13348650000000001</v>
      </c>
      <c r="R6503">
        <v>1.8879360000000001E-2</v>
      </c>
      <c r="S6503">
        <v>-3.1360779999999999</v>
      </c>
      <c r="T6503">
        <v>-0.85637919999999901</v>
      </c>
      <c r="U6503">
        <v>0.37191770000000002</v>
      </c>
      <c r="V6503">
        <v>4.4786679999999999E-3</v>
      </c>
      <c r="W6503">
        <v>0.1461364</v>
      </c>
      <c r="X6503">
        <v>0.98925430000000003</v>
      </c>
      <c r="Y6503">
        <v>0.10003670000000001</v>
      </c>
      <c r="Z6503">
        <v>1.032724E-2</v>
      </c>
      <c r="AA6503">
        <v>0.99493010000000004</v>
      </c>
      <c r="AB6503">
        <v>29</v>
      </c>
      <c r="AC6503">
        <v>-0.55660000000000298</v>
      </c>
      <c r="AD6503">
        <v>-0.2338401</v>
      </c>
      <c r="AE6503">
        <v>9.73999999999932E-2</v>
      </c>
      <c r="AF6503">
        <v>7.6255639503048103E-2</v>
      </c>
      <c r="AG6503">
        <v>-0.2338401</v>
      </c>
      <c r="AH6503">
        <v>0.476371703408493</v>
      </c>
      <c r="AI6503">
        <v>115.859771597852</v>
      </c>
      <c r="AJ6503">
        <v>80.905481715651902</v>
      </c>
      <c r="AK6503">
        <v>0.53612136194367199</v>
      </c>
      <c r="AL6503">
        <v>81.596908767255698</v>
      </c>
      <c r="AM6503">
        <v>89.740605604585895</v>
      </c>
      <c r="AN6503">
        <v>0.99999998797025202</v>
      </c>
    </row>
    <row r="6504" spans="1:40" x14ac:dyDescent="0.25">
      <c r="A6504" t="str">
        <f>"20190303162041773"</f>
        <v>20190303162041773</v>
      </c>
      <c r="B6504" t="str">
        <f>"1551601241769072"</f>
        <v>1551601241769072</v>
      </c>
      <c r="C6504" t="s">
        <v>40</v>
      </c>
      <c r="D6504">
        <v>4.2465849999999996</v>
      </c>
      <c r="E6504">
        <v>0.53906949999999998</v>
      </c>
      <c r="F6504" t="s">
        <v>42</v>
      </c>
      <c r="G6504">
        <v>-274.67309999999998</v>
      </c>
      <c r="H6504">
        <v>0.89577079999999998</v>
      </c>
      <c r="I6504">
        <v>141.87379999999999</v>
      </c>
      <c r="J6504">
        <v>-274.13260000000002</v>
      </c>
      <c r="K6504">
        <v>1.1214569999999999</v>
      </c>
      <c r="L6504">
        <v>141.78120000000001</v>
      </c>
      <c r="M6504">
        <v>-0.99981379999999997</v>
      </c>
      <c r="N6504">
        <v>-1.2841299999999899E-2</v>
      </c>
      <c r="O6504">
        <v>1.4406479999999999E-2</v>
      </c>
      <c r="P6504">
        <v>-0.99081680000000005</v>
      </c>
      <c r="Q6504">
        <v>0.1339919</v>
      </c>
      <c r="R6504">
        <v>1.8123150000000001E-2</v>
      </c>
      <c r="S6504">
        <v>-3.1374209999999998</v>
      </c>
      <c r="T6504">
        <v>-0.86727730000000003</v>
      </c>
      <c r="U6504">
        <v>0.37060549999999998</v>
      </c>
      <c r="V6504">
        <v>3.8219019999999999E-3</v>
      </c>
      <c r="W6504">
        <v>0.1467067</v>
      </c>
      <c r="X6504">
        <v>0.98917259999999996</v>
      </c>
      <c r="Y6504">
        <v>9.9609470000000006E-2</v>
      </c>
      <c r="Z6504">
        <v>1.040964E-2</v>
      </c>
      <c r="AA6504">
        <v>0.99497219999999997</v>
      </c>
      <c r="AB6504">
        <v>29</v>
      </c>
      <c r="AC6504">
        <v>-0.54049999999995102</v>
      </c>
      <c r="AD6504">
        <v>-0.225686199999999</v>
      </c>
      <c r="AE6504">
        <v>9.2599999999975993E-2</v>
      </c>
      <c r="AF6504">
        <v>7.2519838441938406E-2</v>
      </c>
      <c r="AG6504">
        <v>-0.225686199999999</v>
      </c>
      <c r="AH6504">
        <v>0.46330478896057498</v>
      </c>
      <c r="AI6504">
        <v>115.699769673067</v>
      </c>
      <c r="AJ6504">
        <v>81.103833152039101</v>
      </c>
      <c r="AK6504">
        <v>0.52042743520291801</v>
      </c>
      <c r="AL6504">
        <v>81.563876633682199</v>
      </c>
      <c r="AM6504">
        <v>89.778625323173898</v>
      </c>
      <c r="AN6504">
        <v>0.99999994767527201</v>
      </c>
    </row>
    <row r="6505" spans="1:40" x14ac:dyDescent="0.25">
      <c r="A6505" t="str">
        <f>"20190303162041796"</f>
        <v>20190303162041796</v>
      </c>
      <c r="B6505" t="str">
        <f>"1551601241788592"</f>
        <v>1551601241788592</v>
      </c>
      <c r="C6505" t="s">
        <v>40</v>
      </c>
      <c r="D6505">
        <v>4.2803709999999997</v>
      </c>
      <c r="E6505">
        <v>0.5391667</v>
      </c>
      <c r="F6505" t="s">
        <v>42</v>
      </c>
      <c r="G6505">
        <v>-274.93110000000001</v>
      </c>
      <c r="H6505">
        <v>0.90000369999999996</v>
      </c>
      <c r="I6505">
        <v>141.8758</v>
      </c>
      <c r="J6505">
        <v>-274.4194</v>
      </c>
      <c r="K6505">
        <v>1.1214599999999999</v>
      </c>
      <c r="L6505">
        <v>141.7852</v>
      </c>
      <c r="M6505">
        <v>-0.9998146</v>
      </c>
      <c r="N6505">
        <v>-1.2899590000000001E-2</v>
      </c>
      <c r="O6505">
        <v>1.4303160000000001E-2</v>
      </c>
      <c r="P6505">
        <v>-0.99085400000000001</v>
      </c>
      <c r="Q6505">
        <v>0.13380159999999999</v>
      </c>
      <c r="R6505">
        <v>1.749481E-2</v>
      </c>
      <c r="S6505">
        <v>-3.138763</v>
      </c>
      <c r="T6505">
        <v>-0.87050939999999999</v>
      </c>
      <c r="U6505">
        <v>0.37039179999999999</v>
      </c>
      <c r="V6505">
        <v>3.2955760000000001E-3</v>
      </c>
      <c r="W6505">
        <v>0.1465746</v>
      </c>
      <c r="X6505">
        <v>0.98919420000000002</v>
      </c>
      <c r="Y6505">
        <v>9.9571549999999995E-2</v>
      </c>
      <c r="Z6505">
        <v>1.04653E-2</v>
      </c>
      <c r="AA6505">
        <v>0.99497539999999995</v>
      </c>
      <c r="AB6505">
        <v>29</v>
      </c>
      <c r="AC6505">
        <v>-0.51170000000001803</v>
      </c>
      <c r="AD6505">
        <v>-0.22145629999999999</v>
      </c>
      <c r="AE6505">
        <v>9.0599999999994907E-2</v>
      </c>
      <c r="AF6505">
        <v>7.04726617349513E-2</v>
      </c>
      <c r="AG6505">
        <v>-0.22145629999999999</v>
      </c>
      <c r="AH6505">
        <v>0.43410572098542199</v>
      </c>
      <c r="AI6505">
        <v>116.727608474554</v>
      </c>
      <c r="AJ6505">
        <v>80.779053305996001</v>
      </c>
      <c r="AK6505">
        <v>0.49239929513959702</v>
      </c>
      <c r="AL6505">
        <v>81.571529156829001</v>
      </c>
      <c r="AM6505">
        <v>89.809115442383899</v>
      </c>
      <c r="AN6505">
        <v>1.00000006974998</v>
      </c>
    </row>
    <row r="6506" spans="1:40" x14ac:dyDescent="0.25">
      <c r="A6506" t="str">
        <f>"20190303162041819"</f>
        <v>20190303162041819</v>
      </c>
      <c r="B6506" t="str">
        <f>"1551601241809088"</f>
        <v>1551601241809088</v>
      </c>
      <c r="C6506" t="s">
        <v>40</v>
      </c>
      <c r="D6506">
        <v>4.2591199999999896</v>
      </c>
      <c r="E6506">
        <v>0.53926160000000001</v>
      </c>
      <c r="F6506" t="s">
        <v>42</v>
      </c>
      <c r="G6506">
        <v>-275.19009999999997</v>
      </c>
      <c r="H6506">
        <v>0.90654230000000002</v>
      </c>
      <c r="I6506">
        <v>141.8759</v>
      </c>
      <c r="J6506">
        <v>-274.71820000000002</v>
      </c>
      <c r="K6506">
        <v>1.121461</v>
      </c>
      <c r="L6506">
        <v>141.7893</v>
      </c>
      <c r="M6506">
        <v>-0.99981560000000003</v>
      </c>
      <c r="N6506">
        <v>-1.2943059999999999E-2</v>
      </c>
      <c r="O6506">
        <v>1.4195879999999999E-2</v>
      </c>
      <c r="P6506">
        <v>-0.99079689999999998</v>
      </c>
      <c r="Q6506">
        <v>0.13420689999999999</v>
      </c>
      <c r="R6506">
        <v>1.762551E-2</v>
      </c>
      <c r="S6506">
        <v>-3.1393740000000001</v>
      </c>
      <c r="T6506">
        <v>-0.87535450000000004</v>
      </c>
      <c r="U6506">
        <v>0.36920170000000002</v>
      </c>
      <c r="V6506">
        <v>3.533174E-3</v>
      </c>
      <c r="W6506">
        <v>0.14702219999999999</v>
      </c>
      <c r="X6506">
        <v>0.98912690000000003</v>
      </c>
      <c r="Y6506">
        <v>9.9256670000000005E-2</v>
      </c>
      <c r="Z6506">
        <v>1.0501109999999999E-2</v>
      </c>
      <c r="AA6506">
        <v>0.99500639999999996</v>
      </c>
      <c r="AB6506">
        <v>29</v>
      </c>
      <c r="AC6506">
        <v>-0.47189999999994803</v>
      </c>
      <c r="AD6506">
        <v>-0.21491869999999999</v>
      </c>
      <c r="AE6506">
        <v>8.6600000000004201E-2</v>
      </c>
      <c r="AF6506">
        <v>6.6539730364003902E-2</v>
      </c>
      <c r="AG6506">
        <v>-0.21491869999999999</v>
      </c>
      <c r="AH6506">
        <v>0.39401780024973798</v>
      </c>
      <c r="AI6506">
        <v>118.27309523118301</v>
      </c>
      <c r="AJ6506">
        <v>80.414617179267793</v>
      </c>
      <c r="AK6506">
        <v>0.45372636053049298</v>
      </c>
      <c r="AL6506">
        <v>81.545602246043302</v>
      </c>
      <c r="AM6506">
        <v>89.795339609595899</v>
      </c>
      <c r="AN6506">
        <v>1.0000000174574799</v>
      </c>
    </row>
    <row r="6507" spans="1:40" x14ac:dyDescent="0.25">
      <c r="A6507" t="str">
        <f>"20190303162041843"</f>
        <v>20190303162041843</v>
      </c>
      <c r="B6507" t="str">
        <f>"1551601241828608"</f>
        <v>1551601241828608</v>
      </c>
      <c r="C6507" t="s">
        <v>40</v>
      </c>
      <c r="D6507">
        <v>4.275417</v>
      </c>
      <c r="E6507">
        <v>0.53936439999999997</v>
      </c>
      <c r="F6507" t="s">
        <v>42</v>
      </c>
      <c r="G6507">
        <v>-275.45069999999998</v>
      </c>
      <c r="H6507">
        <v>0.91650310000000001</v>
      </c>
      <c r="I6507">
        <v>141.8759</v>
      </c>
      <c r="J6507">
        <v>-275.01299999999998</v>
      </c>
      <c r="K6507">
        <v>1.1214649999999999</v>
      </c>
      <c r="L6507">
        <v>141.79339999999999</v>
      </c>
      <c r="M6507">
        <v>-0.9998167</v>
      </c>
      <c r="N6507">
        <v>-1.2971069999999999E-2</v>
      </c>
      <c r="O6507">
        <v>1.409126E-2</v>
      </c>
      <c r="P6507">
        <v>-0.99066770000000004</v>
      </c>
      <c r="Q6507">
        <v>0.135078</v>
      </c>
      <c r="R6507">
        <v>1.820925E-2</v>
      </c>
      <c r="S6507">
        <v>-3.14032</v>
      </c>
      <c r="T6507">
        <v>-0.87864259999999905</v>
      </c>
      <c r="U6507">
        <v>0.37025449999999999</v>
      </c>
      <c r="V6507">
        <v>4.2219759999999997E-3</v>
      </c>
      <c r="W6507">
        <v>0.14791969999999999</v>
      </c>
      <c r="X6507">
        <v>0.98899040000000005</v>
      </c>
      <c r="Y6507">
        <v>9.9614250000000001E-2</v>
      </c>
      <c r="Z6507">
        <v>1.0613559999999999E-2</v>
      </c>
      <c r="AA6507">
        <v>0.99496949999999995</v>
      </c>
      <c r="AB6507">
        <v>29</v>
      </c>
      <c r="AC6507">
        <v>-0.43770000000000597</v>
      </c>
      <c r="AD6507">
        <v>-0.2049619</v>
      </c>
      <c r="AE6507">
        <v>8.2500000000010204E-2</v>
      </c>
      <c r="AF6507">
        <v>6.2985999441399099E-2</v>
      </c>
      <c r="AG6507">
        <v>-0.2049619</v>
      </c>
      <c r="AH6507">
        <v>0.362135479079427</v>
      </c>
      <c r="AI6507">
        <v>119.14446879168899</v>
      </c>
      <c r="AJ6507">
        <v>80.133284511291393</v>
      </c>
      <c r="AK6507">
        <v>0.42085475141113499</v>
      </c>
      <c r="AL6507">
        <v>81.493610996519905</v>
      </c>
      <c r="AM6507">
        <v>89.7554071945098</v>
      </c>
      <c r="AN6507">
        <v>1.00000003701079</v>
      </c>
    </row>
    <row r="6508" spans="1:40" x14ac:dyDescent="0.25">
      <c r="A6508" t="str">
        <f>"20190303162041865"</f>
        <v>20190303162041865</v>
      </c>
      <c r="B6508" t="str">
        <f>"1551601241858864"</f>
        <v>1551601241858864</v>
      </c>
      <c r="C6508" t="s">
        <v>40</v>
      </c>
      <c r="D6508">
        <v>4.2649879999999998</v>
      </c>
      <c r="E6508">
        <v>0.53950769999999904</v>
      </c>
      <c r="F6508" t="s">
        <v>42</v>
      </c>
      <c r="G6508">
        <v>-275.71109999999999</v>
      </c>
      <c r="H6508">
        <v>0.92596290000000003</v>
      </c>
      <c r="I6508">
        <v>141.8759</v>
      </c>
      <c r="J6508">
        <v>-275.29360000000003</v>
      </c>
      <c r="K6508">
        <v>1.121467</v>
      </c>
      <c r="L6508">
        <v>141.7972</v>
      </c>
      <c r="M6508">
        <v>-0.99981770000000003</v>
      </c>
      <c r="N6508">
        <v>-1.298617E-2</v>
      </c>
      <c r="O6508">
        <v>1.3992569999999999E-2</v>
      </c>
      <c r="P6508">
        <v>-0.99061639999999995</v>
      </c>
      <c r="Q6508">
        <v>0.1352691</v>
      </c>
      <c r="R6508">
        <v>1.9523990000000001E-2</v>
      </c>
      <c r="S6508">
        <v>-3.1413880000000001</v>
      </c>
      <c r="T6508">
        <v>-0.87981469999999995</v>
      </c>
      <c r="U6508">
        <v>0.37109379999999997</v>
      </c>
      <c r="V6508">
        <v>5.6347069999999897E-3</v>
      </c>
      <c r="W6508">
        <v>0.14812529999999999</v>
      </c>
      <c r="X6508">
        <v>0.98895250000000001</v>
      </c>
      <c r="Y6508">
        <v>9.991324E-2</v>
      </c>
      <c r="Z6508">
        <v>1.0692490000000001E-2</v>
      </c>
      <c r="AA6508">
        <v>0.99493869999999895</v>
      </c>
      <c r="AB6508">
        <v>29</v>
      </c>
      <c r="AC6508">
        <v>-0.41749999999996101</v>
      </c>
      <c r="AD6508">
        <v>-0.19550409999999999</v>
      </c>
      <c r="AE6508">
        <v>7.8699999999997702E-2</v>
      </c>
      <c r="AF6508">
        <v>6.0119309158201503E-2</v>
      </c>
      <c r="AG6508">
        <v>-0.19550409999999999</v>
      </c>
      <c r="AH6508">
        <v>0.345416572406541</v>
      </c>
      <c r="AI6508">
        <v>119.144574542718</v>
      </c>
      <c r="AJ6508">
        <v>80.126648261057696</v>
      </c>
      <c r="AK6508">
        <v>0.40143342280327499</v>
      </c>
      <c r="AL6508">
        <v>81.481699031044698</v>
      </c>
      <c r="AM6508">
        <v>89.673552130733796</v>
      </c>
      <c r="AN6508">
        <v>0.99999995083965598</v>
      </c>
    </row>
    <row r="6509" spans="1:40" x14ac:dyDescent="0.25">
      <c r="A6509" t="str">
        <f>"20190303162041887"</f>
        <v>20190303162041887</v>
      </c>
      <c r="B6509" t="str">
        <f>"1551601241879360"</f>
        <v>1551601241879360</v>
      </c>
      <c r="C6509" t="s">
        <v>40</v>
      </c>
      <c r="D6509">
        <v>4.2857669999999999</v>
      </c>
      <c r="E6509">
        <v>0.5395529</v>
      </c>
      <c r="F6509" t="s">
        <v>42</v>
      </c>
      <c r="G6509">
        <v>-275.96949999999998</v>
      </c>
      <c r="H6509">
        <v>0.93130670000000004</v>
      </c>
      <c r="I6509">
        <v>141.8784</v>
      </c>
      <c r="J6509">
        <v>-275.572</v>
      </c>
      <c r="K6509">
        <v>1.121467</v>
      </c>
      <c r="L6509">
        <v>141.80099999999999</v>
      </c>
      <c r="M6509">
        <v>-0.99981900000000001</v>
      </c>
      <c r="N6509">
        <v>-1.299225E-2</v>
      </c>
      <c r="O6509">
        <v>1.3895070000000001E-2</v>
      </c>
      <c r="P6509">
        <v>-0.99054419999999999</v>
      </c>
      <c r="Q6509">
        <v>0.1356697</v>
      </c>
      <c r="R6509">
        <v>2.0400600000000001E-2</v>
      </c>
      <c r="S6509">
        <v>-3.141724</v>
      </c>
      <c r="T6509">
        <v>-0.88391779999999998</v>
      </c>
      <c r="U6509">
        <v>0.3762817</v>
      </c>
      <c r="V6509">
        <v>6.6088040000000002E-3</v>
      </c>
      <c r="W6509">
        <v>0.14853139999999901</v>
      </c>
      <c r="X6509">
        <v>0.98888560000000003</v>
      </c>
      <c r="Y6509">
        <v>0.1015202</v>
      </c>
      <c r="Z6509">
        <v>1.09926E-2</v>
      </c>
      <c r="AA6509">
        <v>0.99477269999999896</v>
      </c>
      <c r="AB6509">
        <v>29</v>
      </c>
      <c r="AC6509">
        <v>-0.39749999999997898</v>
      </c>
      <c r="AD6509">
        <v>-0.1901603</v>
      </c>
      <c r="AE6509">
        <v>7.7399999999982996E-2</v>
      </c>
      <c r="AF6509">
        <v>5.8884812477902698E-2</v>
      </c>
      <c r="AG6509">
        <v>-0.1901603</v>
      </c>
      <c r="AH6509">
        <v>0.32653665392609998</v>
      </c>
      <c r="AI6509">
        <v>119.817499748209</v>
      </c>
      <c r="AJ6509">
        <v>79.777635329434005</v>
      </c>
      <c r="AK6509">
        <v>0.38243240866053901</v>
      </c>
      <c r="AL6509">
        <v>81.458171299718998</v>
      </c>
      <c r="AM6509">
        <v>89.617093281980402</v>
      </c>
      <c r="AN6509">
        <v>0.99999999148181495</v>
      </c>
    </row>
    <row r="6510" spans="1:40" x14ac:dyDescent="0.25">
      <c r="A6510" t="str">
        <f>"20190303162041908"</f>
        <v>20190303162041908</v>
      </c>
      <c r="B6510" t="str">
        <f>"1551601241898880"</f>
        <v>1551601241898880</v>
      </c>
      <c r="C6510" t="s">
        <v>40</v>
      </c>
      <c r="D6510">
        <v>4.3127230000000001</v>
      </c>
      <c r="E6510">
        <v>0.53959489999999999</v>
      </c>
      <c r="F6510" t="s">
        <v>42</v>
      </c>
      <c r="G6510">
        <v>-276.45479999999998</v>
      </c>
      <c r="H6510">
        <v>0.872444199999999</v>
      </c>
      <c r="I6510">
        <v>141.90790000000001</v>
      </c>
      <c r="J6510">
        <v>-275.84899999999999</v>
      </c>
      <c r="K6510">
        <v>1.1214630000000001</v>
      </c>
      <c r="L6510">
        <v>141.8048</v>
      </c>
      <c r="M6510">
        <v>-0.9998205</v>
      </c>
      <c r="N6510">
        <v>-1.2994169999999999E-2</v>
      </c>
      <c r="O6510">
        <v>1.379815E-2</v>
      </c>
      <c r="P6510">
        <v>-0.99042390000000002</v>
      </c>
      <c r="Q6510">
        <v>0.1364582</v>
      </c>
      <c r="R6510">
        <v>2.096752E-2</v>
      </c>
      <c r="S6510">
        <v>-3.1422119999999998</v>
      </c>
      <c r="T6510">
        <v>-0.88631769999999999</v>
      </c>
      <c r="U6510">
        <v>0.37988280000000002</v>
      </c>
      <c r="V6510">
        <v>7.2731489999999996E-3</v>
      </c>
      <c r="W6510">
        <v>0.14932019999999999</v>
      </c>
      <c r="X6510">
        <v>0.98876209999999998</v>
      </c>
      <c r="Y6510">
        <v>0.10265589999999999</v>
      </c>
      <c r="Z6510">
        <v>1.120676E-2</v>
      </c>
      <c r="AA6510">
        <v>0.99465380000000003</v>
      </c>
      <c r="AB6510">
        <v>29</v>
      </c>
      <c r="AC6510">
        <v>-0.60579999999998702</v>
      </c>
      <c r="AD6510">
        <v>-0.24901880000000001</v>
      </c>
      <c r="AE6510">
        <v>0.103100000000011</v>
      </c>
      <c r="AF6510">
        <v>8.1368805017004206E-2</v>
      </c>
      <c r="AG6510">
        <v>-0.24901880000000001</v>
      </c>
      <c r="AH6510">
        <v>0.52152434316688701</v>
      </c>
      <c r="AI6510">
        <v>115.25676749785301</v>
      </c>
      <c r="AJ6510">
        <v>81.132143384510996</v>
      </c>
      <c r="AK6510">
        <v>0.58362563831533998</v>
      </c>
      <c r="AL6510">
        <v>81.412466396246998</v>
      </c>
      <c r="AM6510">
        <v>89.578550567683706</v>
      </c>
      <c r="AN6510">
        <v>0.99999995561041199</v>
      </c>
    </row>
    <row r="6511" spans="1:40" x14ac:dyDescent="0.25">
      <c r="A6511" t="str">
        <f>"20190303162041930"</f>
        <v>20190303162041930</v>
      </c>
      <c r="B6511" t="str">
        <f>"1551601241918401"</f>
        <v>1551601241918401</v>
      </c>
      <c r="C6511" t="s">
        <v>40</v>
      </c>
      <c r="D6511">
        <v>4.2880729999999998</v>
      </c>
      <c r="E6511">
        <v>0.53963439999999996</v>
      </c>
      <c r="F6511" t="s">
        <v>42</v>
      </c>
      <c r="G6511">
        <v>-276.71230000000003</v>
      </c>
      <c r="H6511">
        <v>0.877756599999999</v>
      </c>
      <c r="I6511">
        <v>141.90960000000001</v>
      </c>
      <c r="J6511">
        <v>-276.13040000000001</v>
      </c>
      <c r="K6511">
        <v>1.121459</v>
      </c>
      <c r="L6511">
        <v>141.80850000000001</v>
      </c>
      <c r="M6511">
        <v>-0.99982170000000004</v>
      </c>
      <c r="N6511">
        <v>-1.299375E-2</v>
      </c>
      <c r="O6511">
        <v>1.369839E-2</v>
      </c>
      <c r="P6511">
        <v>-0.99034420000000001</v>
      </c>
      <c r="Q6511">
        <v>0.13691429999999999</v>
      </c>
      <c r="R6511">
        <v>2.174193E-2</v>
      </c>
      <c r="S6511">
        <v>-3.1432500000000001</v>
      </c>
      <c r="T6511">
        <v>-0.88738249999999996</v>
      </c>
      <c r="U6511">
        <v>0.3809052</v>
      </c>
      <c r="V6511">
        <v>8.1477169999999901E-3</v>
      </c>
      <c r="W6511">
        <v>0.1497752</v>
      </c>
      <c r="X6511">
        <v>0.98868650000000002</v>
      </c>
      <c r="Y6511">
        <v>0.10301109999999999</v>
      </c>
      <c r="Z6511">
        <v>1.129287E-2</v>
      </c>
      <c r="AA6511">
        <v>0.9946161</v>
      </c>
      <c r="AB6511">
        <v>29</v>
      </c>
      <c r="AC6511">
        <v>-0.58190000000001796</v>
      </c>
      <c r="AD6511">
        <v>-0.24370240000000001</v>
      </c>
      <c r="AE6511">
        <v>0.10110000000000199</v>
      </c>
      <c r="AF6511">
        <v>7.9571132626918006E-2</v>
      </c>
      <c r="AG6511">
        <v>-0.24370240000000001</v>
      </c>
      <c r="AH6511">
        <v>0.49837768286218898</v>
      </c>
      <c r="AI6511">
        <v>115.77476014078201</v>
      </c>
      <c r="AJ6511">
        <v>80.928701381013497</v>
      </c>
      <c r="AK6511">
        <v>0.56044869496535998</v>
      </c>
      <c r="AL6511">
        <v>81.386100662395194</v>
      </c>
      <c r="AM6511">
        <v>89.5278389770491</v>
      </c>
      <c r="AN6511">
        <v>0.99999999555480101</v>
      </c>
    </row>
    <row r="6512" spans="1:40" x14ac:dyDescent="0.25">
      <c r="A6512" t="str">
        <f>"20190303162041953"</f>
        <v>20190303162041953</v>
      </c>
      <c r="B6512" t="str">
        <f>"1551601241948656"</f>
        <v>1551601241948656</v>
      </c>
      <c r="C6512" t="s">
        <v>40</v>
      </c>
      <c r="D6512">
        <v>4.3042730000000002</v>
      </c>
      <c r="E6512">
        <v>0.5396649</v>
      </c>
      <c r="F6512" t="s">
        <v>42</v>
      </c>
      <c r="G6512">
        <v>-276.97000000000003</v>
      </c>
      <c r="H6512">
        <v>0.88391379999999997</v>
      </c>
      <c r="I6512">
        <v>141.91069999999999</v>
      </c>
      <c r="J6512">
        <v>-276.42419999999998</v>
      </c>
      <c r="K6512">
        <v>1.121461</v>
      </c>
      <c r="L6512">
        <v>141.8124</v>
      </c>
      <c r="M6512">
        <v>-0.99982320000000002</v>
      </c>
      <c r="N6512">
        <v>-1.299151E-2</v>
      </c>
      <c r="O6512">
        <v>1.359311E-2</v>
      </c>
      <c r="P6512">
        <v>-0.99028380000000005</v>
      </c>
      <c r="Q6512">
        <v>0.13727159999999999</v>
      </c>
      <c r="R6512">
        <v>2.223719E-2</v>
      </c>
      <c r="S6512">
        <v>-3.1438600000000001</v>
      </c>
      <c r="T6512">
        <v>-0.88956930000000001</v>
      </c>
      <c r="U6512">
        <v>0.38166810000000001</v>
      </c>
      <c r="V6512">
        <v>8.7484940000000008E-3</v>
      </c>
      <c r="W6512">
        <v>0.1501297</v>
      </c>
      <c r="X6512">
        <v>0.98862760000000005</v>
      </c>
      <c r="Y6512">
        <v>0.1032995</v>
      </c>
      <c r="Z6512">
        <v>1.1384999999999999E-2</v>
      </c>
      <c r="AA6512">
        <v>0.99458519999999995</v>
      </c>
      <c r="AB6512">
        <v>29</v>
      </c>
      <c r="AC6512">
        <v>-0.54580000000004203</v>
      </c>
      <c r="AD6512">
        <v>-0.23754719999999999</v>
      </c>
      <c r="AE6512">
        <v>9.8299999999994697E-2</v>
      </c>
      <c r="AF6512">
        <v>7.6783556436528899E-2</v>
      </c>
      <c r="AG6512">
        <v>-0.23754719999999999</v>
      </c>
      <c r="AH6512">
        <v>0.462272018623411</v>
      </c>
      <c r="AI6512">
        <v>116.881526194191</v>
      </c>
      <c r="AJ6512">
        <v>80.569249792894993</v>
      </c>
      <c r="AK6512">
        <v>0.525375871133272</v>
      </c>
      <c r="AL6512">
        <v>81.365557040292202</v>
      </c>
      <c r="AM6512">
        <v>89.492995441304103</v>
      </c>
      <c r="AN6512">
        <v>0.99999999722555899</v>
      </c>
    </row>
    <row r="6513" spans="1:40" x14ac:dyDescent="0.25">
      <c r="A6513" t="str">
        <f>"20190303162042145"</f>
        <v>20190303162042145</v>
      </c>
      <c r="B6513" t="str">
        <f>"1551601242138976"</f>
        <v>1551601242138976</v>
      </c>
      <c r="C6513" t="s">
        <v>40</v>
      </c>
      <c r="D6513">
        <v>4.7915390000000002</v>
      </c>
      <c r="E6513">
        <v>0.45478079999999999</v>
      </c>
      <c r="F6513" t="s">
        <v>50</v>
      </c>
      <c r="G6513">
        <v>-307.37090000000001</v>
      </c>
      <c r="H6513" s="1">
        <v>-9.1167270000000008E-6</v>
      </c>
      <c r="I6513">
        <v>139.6223</v>
      </c>
      <c r="J6513">
        <v>-278.87759999999997</v>
      </c>
      <c r="K6513">
        <v>1.121464</v>
      </c>
      <c r="L6513">
        <v>141.84379999999999</v>
      </c>
      <c r="M6513">
        <v>-0.99983599999999995</v>
      </c>
      <c r="N6513">
        <v>-1.2919689999999999E-2</v>
      </c>
      <c r="O6513">
        <v>1.268961E-2</v>
      </c>
      <c r="P6513">
        <v>-0.99020960000000002</v>
      </c>
      <c r="Q6513">
        <v>0.13629069999999999</v>
      </c>
      <c r="R6513">
        <v>3.0162379999999999E-2</v>
      </c>
      <c r="S6513">
        <v>-3.0530400000000002</v>
      </c>
      <c r="T6513">
        <v>-0.1194204</v>
      </c>
      <c r="U6513">
        <v>-0.23632810000000001</v>
      </c>
      <c r="V6513">
        <v>1.7565420000000002E-2</v>
      </c>
      <c r="W6513">
        <v>0.14907970000000001</v>
      </c>
      <c r="X6513">
        <v>0.98866920000000003</v>
      </c>
      <c r="Y6513">
        <v>-8.9728020000000006E-2</v>
      </c>
      <c r="Z6513">
        <v>-2.664221E-3</v>
      </c>
      <c r="AA6513">
        <v>0.99596269999999998</v>
      </c>
      <c r="AB6513">
        <v>28</v>
      </c>
      <c r="AC6513">
        <v>-28.493300000000001</v>
      </c>
      <c r="AD6513">
        <v>-1.121473116727</v>
      </c>
      <c r="AE6513">
        <v>-2.22149999999999</v>
      </c>
      <c r="AF6513">
        <v>-2.5789491237207098</v>
      </c>
      <c r="AG6513">
        <v>-1.121473116727</v>
      </c>
      <c r="AH6513">
        <v>28.4190538639842</v>
      </c>
      <c r="AI6513">
        <v>92.250596009523605</v>
      </c>
      <c r="AJ6513">
        <v>95.185228255732696</v>
      </c>
      <c r="AK6513">
        <v>28.5578588668394</v>
      </c>
      <c r="AL6513">
        <v>81.426402775943004</v>
      </c>
      <c r="AM6513">
        <v>88.9821483702123</v>
      </c>
      <c r="AN6513">
        <v>1.0000000439802501</v>
      </c>
    </row>
    <row r="6514" spans="1:40" x14ac:dyDescent="0.25">
      <c r="A6514" t="str">
        <f>"20190303162042166"</f>
        <v>20190303162042166</v>
      </c>
      <c r="B6514" t="str">
        <f>"1551601242159473"</f>
        <v>1551601242159473</v>
      </c>
      <c r="C6514" t="s">
        <v>40</v>
      </c>
      <c r="D6514">
        <v>4.4574490000000004</v>
      </c>
      <c r="E6514">
        <v>0.4587927</v>
      </c>
      <c r="F6514" t="s">
        <v>50</v>
      </c>
      <c r="G6514">
        <v>-312.61680000000001</v>
      </c>
      <c r="H6514" s="1">
        <v>-8.2489369999999995E-6</v>
      </c>
      <c r="I6514">
        <v>138.8466</v>
      </c>
      <c r="J6514">
        <v>-279.12619999999998</v>
      </c>
      <c r="K6514">
        <v>1.121464</v>
      </c>
      <c r="L6514">
        <v>141.84690000000001</v>
      </c>
      <c r="M6514">
        <v>-0.99983759999999999</v>
      </c>
      <c r="N6514">
        <v>-1.2909729999999999E-2</v>
      </c>
      <c r="O6514">
        <v>1.257841E-2</v>
      </c>
      <c r="P6514">
        <v>-0.99031880000000005</v>
      </c>
      <c r="Q6514">
        <v>0.135341299999999</v>
      </c>
      <c r="R6514">
        <v>3.085034E-2</v>
      </c>
      <c r="S6514">
        <v>-3.0518800000000001</v>
      </c>
      <c r="T6514">
        <v>-0.1014428</v>
      </c>
      <c r="U6514">
        <v>-0.27111819999999998</v>
      </c>
      <c r="V6514">
        <v>1.8361209999999999E-2</v>
      </c>
      <c r="W6514">
        <v>0.14812249999999999</v>
      </c>
      <c r="X6514">
        <v>0.98879859999999997</v>
      </c>
      <c r="Y6514">
        <v>-0.1009316</v>
      </c>
      <c r="Z6514">
        <v>-2.5819419999999998E-3</v>
      </c>
      <c r="AA6514">
        <v>0.99489000000000005</v>
      </c>
      <c r="AB6514">
        <v>28</v>
      </c>
      <c r="AC6514">
        <v>-33.490600000000001</v>
      </c>
      <c r="AD6514">
        <v>-1.1214722489369999</v>
      </c>
      <c r="AE6514">
        <v>-3.0003000000000002</v>
      </c>
      <c r="AF6514">
        <v>-3.4175545113632899</v>
      </c>
      <c r="AG6514">
        <v>-1.1214722489369999</v>
      </c>
      <c r="AH6514">
        <v>33.413039379381203</v>
      </c>
      <c r="AI6514">
        <v>91.912378945063693</v>
      </c>
      <c r="AJ6514">
        <v>95.840021523406193</v>
      </c>
      <c r="AK6514">
        <v>33.6060795007593</v>
      </c>
      <c r="AL6514">
        <v>81.481862015534404</v>
      </c>
      <c r="AM6514">
        <v>88.936184833650302</v>
      </c>
      <c r="AN6514">
        <v>1.0000000402004301</v>
      </c>
    </row>
    <row r="6515" spans="1:40" x14ac:dyDescent="0.25">
      <c r="A6515" t="str">
        <f>"20190303162042179"</f>
        <v>20190303162042179</v>
      </c>
      <c r="B6515" t="str">
        <f>"1551601242169238"</f>
        <v>1551601242169238</v>
      </c>
      <c r="C6515" t="s">
        <v>40</v>
      </c>
      <c r="D6515">
        <v>4.4619099999999996</v>
      </c>
      <c r="E6515">
        <v>0.45883689999999999</v>
      </c>
      <c r="F6515" t="s">
        <v>41</v>
      </c>
      <c r="G6515">
        <v>-337.1841</v>
      </c>
      <c r="H6515" s="1">
        <v>-1.716215E-6</v>
      </c>
      <c r="I6515">
        <v>137.33519999999999</v>
      </c>
      <c r="J6515">
        <v>-279.30549999999999</v>
      </c>
      <c r="K6515">
        <v>1.1214630000000001</v>
      </c>
      <c r="L6515">
        <v>141.84899999999999</v>
      </c>
      <c r="M6515">
        <v>-0.99983869999999997</v>
      </c>
      <c r="N6515">
        <v>-1.2903070000000001E-2</v>
      </c>
      <c r="O6515">
        <v>1.249395E-2</v>
      </c>
      <c r="P6515">
        <v>-0.99043079999999994</v>
      </c>
      <c r="Q6515">
        <v>0.13440460000000001</v>
      </c>
      <c r="R6515">
        <v>3.133851E-2</v>
      </c>
      <c r="S6515">
        <v>-3.044708</v>
      </c>
      <c r="T6515">
        <v>-5.8812620000000003E-2</v>
      </c>
      <c r="U6515">
        <v>-0.2366028</v>
      </c>
      <c r="V6515">
        <v>1.8930590000000001E-2</v>
      </c>
      <c r="W6515">
        <v>0.14718120000000001</v>
      </c>
      <c r="X6515">
        <v>0.98892840000000004</v>
      </c>
      <c r="Y6515">
        <v>-8.9899199999999999E-2</v>
      </c>
      <c r="Z6515">
        <v>-1.5278729999999999E-3</v>
      </c>
      <c r="AA6515">
        <v>0.99594970000000005</v>
      </c>
      <c r="AB6515">
        <v>28</v>
      </c>
      <c r="AC6515">
        <v>-57.878599999999999</v>
      </c>
      <c r="AD6515">
        <v>-1.12146471621499</v>
      </c>
      <c r="AE6515">
        <v>-4.5137999999999998</v>
      </c>
      <c r="AF6515">
        <v>-5.2346867560997499</v>
      </c>
      <c r="AG6515">
        <v>-1.12146471621499</v>
      </c>
      <c r="AH6515">
        <v>57.796114264011997</v>
      </c>
      <c r="AI6515">
        <v>91.107086394919406</v>
      </c>
      <c r="AJ6515">
        <v>95.175250228387497</v>
      </c>
      <c r="AK6515">
        <v>58.043522055117599</v>
      </c>
      <c r="AL6515">
        <v>81.536392100601802</v>
      </c>
      <c r="AM6515">
        <v>88.903347850460406</v>
      </c>
      <c r="AN6515">
        <v>1.00000002659887</v>
      </c>
    </row>
    <row r="6516" spans="1:40" x14ac:dyDescent="0.25">
      <c r="A6516" t="str">
        <f>"20190303162042198"</f>
        <v>20190303162042198</v>
      </c>
      <c r="B6516" t="str">
        <f>"1551601242188758"</f>
        <v>1551601242188758</v>
      </c>
      <c r="C6516" t="s">
        <v>40</v>
      </c>
      <c r="D6516">
        <v>4.5285169999999999</v>
      </c>
      <c r="E6516">
        <v>0.45917730000000001</v>
      </c>
      <c r="F6516" t="s">
        <v>41</v>
      </c>
      <c r="G6516">
        <v>-335.91739999999999</v>
      </c>
      <c r="H6516" s="1">
        <v>-2.2875359999999998E-6</v>
      </c>
      <c r="I6516">
        <v>137.48990000000001</v>
      </c>
      <c r="J6516">
        <v>-279.54250000000002</v>
      </c>
      <c r="K6516">
        <v>1.121461</v>
      </c>
      <c r="L6516">
        <v>141.8519</v>
      </c>
      <c r="M6516">
        <v>-0.99984019999999996</v>
      </c>
      <c r="N6516">
        <v>-1.289477E-2</v>
      </c>
      <c r="O6516">
        <v>1.237973E-2</v>
      </c>
      <c r="P6516">
        <v>-0.99073619999999996</v>
      </c>
      <c r="Q6516">
        <v>0.13188989999999901</v>
      </c>
      <c r="R6516">
        <v>3.2356459999999997E-2</v>
      </c>
      <c r="S6516">
        <v>-3.0445859999999998</v>
      </c>
      <c r="T6516">
        <v>-6.031239E-2</v>
      </c>
      <c r="U6516">
        <v>-0.23443600000000001</v>
      </c>
      <c r="V6516">
        <v>2.005682E-2</v>
      </c>
      <c r="W6516">
        <v>0.1446626</v>
      </c>
      <c r="X6516">
        <v>0.98927770000000004</v>
      </c>
      <c r="Y6516">
        <v>-8.9082999999999996E-2</v>
      </c>
      <c r="Z6516">
        <v>-1.5417759999999999E-3</v>
      </c>
      <c r="AA6516">
        <v>0.99602299999999999</v>
      </c>
      <c r="AB6516">
        <v>28</v>
      </c>
      <c r="AC6516">
        <v>-56.374899999999897</v>
      </c>
      <c r="AD6516">
        <v>-1.121463287536</v>
      </c>
      <c r="AE6516">
        <v>-4.3619999999999903</v>
      </c>
      <c r="AF6516">
        <v>-5.0576402143992798</v>
      </c>
      <c r="AG6516">
        <v>-1.121463287536</v>
      </c>
      <c r="AH6516">
        <v>56.294429503288796</v>
      </c>
      <c r="AI6516">
        <v>91.136683557456294</v>
      </c>
      <c r="AJ6516">
        <v>95.133820862788795</v>
      </c>
      <c r="AK6516">
        <v>56.532293404251298</v>
      </c>
      <c r="AL6516">
        <v>81.682258034178204</v>
      </c>
      <c r="AM6516">
        <v>88.838532676728803</v>
      </c>
      <c r="AN6516">
        <v>0.99999995579227996</v>
      </c>
    </row>
    <row r="6517" spans="1:40" x14ac:dyDescent="0.25">
      <c r="A6517" t="str">
        <f>"20190303162042221"</f>
        <v>20190303162042221</v>
      </c>
      <c r="B6517" t="str">
        <f>"1551601242209254"</f>
        <v>1551601242209254</v>
      </c>
      <c r="C6517" t="s">
        <v>40</v>
      </c>
      <c r="D6517">
        <v>4.4863530000000003</v>
      </c>
      <c r="E6517">
        <v>0.45945259999999999</v>
      </c>
      <c r="F6517" t="s">
        <v>41</v>
      </c>
      <c r="G6517">
        <v>-332.63639999999998</v>
      </c>
      <c r="H6517" s="1">
        <v>-3.770128E-6</v>
      </c>
      <c r="I6517">
        <v>137.87520000000001</v>
      </c>
      <c r="J6517">
        <v>-279.83539999999999</v>
      </c>
      <c r="K6517">
        <v>1.1214459999999999</v>
      </c>
      <c r="L6517">
        <v>141.8553</v>
      </c>
      <c r="M6517">
        <v>-0.99984220000000001</v>
      </c>
      <c r="N6517">
        <v>-1.288536E-2</v>
      </c>
      <c r="O6517">
        <v>1.223427E-2</v>
      </c>
      <c r="P6517">
        <v>-0.99127019999999999</v>
      </c>
      <c r="Q6517">
        <v>0.12791810000000001</v>
      </c>
      <c r="R6517">
        <v>3.19452E-2</v>
      </c>
      <c r="S6517">
        <v>-3.0440670000000001</v>
      </c>
      <c r="T6517">
        <v>-6.4297679999999996E-2</v>
      </c>
      <c r="U6517">
        <v>-0.2279968</v>
      </c>
      <c r="V6517">
        <v>1.9782129999999998E-2</v>
      </c>
      <c r="W6517">
        <v>0.1406887</v>
      </c>
      <c r="X6517">
        <v>0.98985619999999996</v>
      </c>
      <c r="Y6517">
        <v>-8.6853589999999994E-2</v>
      </c>
      <c r="Z6517">
        <v>-1.577008E-3</v>
      </c>
      <c r="AA6517">
        <v>0.99621979999999999</v>
      </c>
      <c r="AB6517">
        <v>28</v>
      </c>
      <c r="AC6517">
        <v>-52.800999999999902</v>
      </c>
      <c r="AD6517">
        <v>-1.121449770128</v>
      </c>
      <c r="AE6517">
        <v>-3.98009999999999</v>
      </c>
      <c r="AF6517">
        <v>-4.6237633471580102</v>
      </c>
      <c r="AG6517">
        <v>-1.121449770128</v>
      </c>
      <c r="AH6517">
        <v>52.724700110148</v>
      </c>
      <c r="AI6517">
        <v>91.213835251480106</v>
      </c>
      <c r="AJ6517">
        <v>95.011808515518695</v>
      </c>
      <c r="AK6517">
        <v>52.938934998566801</v>
      </c>
      <c r="AL6517">
        <v>81.912299457494797</v>
      </c>
      <c r="AM6517">
        <v>88.855104711756098</v>
      </c>
      <c r="AN6517">
        <v>0.999999969826733</v>
      </c>
    </row>
    <row r="6518" spans="1:40" x14ac:dyDescent="0.25">
      <c r="A6518" t="str">
        <f>"20190303162042246"</f>
        <v>20190303162042246</v>
      </c>
      <c r="B6518" t="str">
        <f>"1551601242238534"</f>
        <v>1551601242238534</v>
      </c>
      <c r="C6518" t="s">
        <v>40</v>
      </c>
      <c r="D6518">
        <v>4.5151110000000001</v>
      </c>
      <c r="E6518">
        <v>0.4576365</v>
      </c>
      <c r="F6518" t="s">
        <v>41</v>
      </c>
      <c r="G6518">
        <v>-328.10550000000001</v>
      </c>
      <c r="H6518" s="1">
        <v>-1.0329680000000001E-6</v>
      </c>
      <c r="I6518">
        <v>138.27510000000001</v>
      </c>
      <c r="J6518">
        <v>-280.13510000000002</v>
      </c>
      <c r="K6518">
        <v>1.121426</v>
      </c>
      <c r="L6518">
        <v>141.8588</v>
      </c>
      <c r="M6518">
        <v>-0.99984410000000001</v>
      </c>
      <c r="N6518">
        <v>-1.28767E-2</v>
      </c>
      <c r="O6518">
        <v>1.208127E-2</v>
      </c>
      <c r="P6518">
        <v>-0.99196569999999995</v>
      </c>
      <c r="Q6518">
        <v>0.1228844</v>
      </c>
      <c r="R6518">
        <v>3.0062450000000001E-2</v>
      </c>
      <c r="S6518">
        <v>-3.042786</v>
      </c>
      <c r="T6518">
        <v>-7.0692420000000006E-2</v>
      </c>
      <c r="U6518">
        <v>-0.2256775</v>
      </c>
      <c r="V6518">
        <v>1.804279E-2</v>
      </c>
      <c r="W6518">
        <v>0.13565579999999999</v>
      </c>
      <c r="X6518">
        <v>0.99059169999999996</v>
      </c>
      <c r="Y6518">
        <v>-8.5972090000000001E-2</v>
      </c>
      <c r="Z6518">
        <v>-1.6765479999999999E-3</v>
      </c>
      <c r="AA6518">
        <v>0.99629610000000002</v>
      </c>
      <c r="AB6518">
        <v>28</v>
      </c>
      <c r="AC6518">
        <v>-47.970399999999898</v>
      </c>
      <c r="AD6518">
        <v>-1.1214270329680001</v>
      </c>
      <c r="AE6518">
        <v>-3.5836999999999901</v>
      </c>
      <c r="AF6518">
        <v>-4.1607685568408899</v>
      </c>
      <c r="AG6518">
        <v>-1.1214270329680001</v>
      </c>
      <c r="AH6518">
        <v>47.897568191038097</v>
      </c>
      <c r="AI6518">
        <v>91.336192383429207</v>
      </c>
      <c r="AJ6518">
        <v>94.964709921512807</v>
      </c>
      <c r="AK6518">
        <v>48.091024445202002</v>
      </c>
      <c r="AL6518">
        <v>82.203456497126794</v>
      </c>
      <c r="AM6518">
        <v>88.956521218418402</v>
      </c>
      <c r="AN6518">
        <v>0.99999997722675604</v>
      </c>
    </row>
    <row r="6519" spans="1:40" x14ac:dyDescent="0.25">
      <c r="A6519" t="str">
        <f>"20190303162042267"</f>
        <v>20190303162042267</v>
      </c>
      <c r="B6519" t="str">
        <f>"1551601242259029"</f>
        <v>1551601242259029</v>
      </c>
      <c r="C6519" t="s">
        <v>40</v>
      </c>
      <c r="D6519">
        <v>4.5352680000000003</v>
      </c>
      <c r="E6519">
        <v>0.45702930000000003</v>
      </c>
      <c r="F6519" t="s">
        <v>50</v>
      </c>
      <c r="G6519">
        <v>-317.09160000000003</v>
      </c>
      <c r="H6519" s="1">
        <v>-6.4237009999999901E-6</v>
      </c>
      <c r="I6519">
        <v>138.88390000000001</v>
      </c>
      <c r="J6519">
        <v>-280.41660000000002</v>
      </c>
      <c r="K6519">
        <v>1.1214040000000001</v>
      </c>
      <c r="L6519">
        <v>141.86199999999999</v>
      </c>
      <c r="M6519">
        <v>-0.99984589999999995</v>
      </c>
      <c r="N6519">
        <v>-1.2869530000000001E-2</v>
      </c>
      <c r="O6519">
        <v>1.193402E-2</v>
      </c>
      <c r="P6519">
        <v>-0.99270809999999998</v>
      </c>
      <c r="Q6519">
        <v>0.117357</v>
      </c>
      <c r="R6519">
        <v>2.7531969999999999E-2</v>
      </c>
      <c r="S6519">
        <v>-3.0431520000000001</v>
      </c>
      <c r="T6519">
        <v>-9.2343449999999994E-2</v>
      </c>
      <c r="U6519">
        <v>-0.2449646</v>
      </c>
      <c r="V6519">
        <v>1.5650629999999999E-2</v>
      </c>
      <c r="W6519">
        <v>0.1301301</v>
      </c>
      <c r="X6519">
        <v>0.99137339999999996</v>
      </c>
      <c r="Y6519">
        <v>-9.2066389999999998E-2</v>
      </c>
      <c r="Z6519">
        <v>-2.1960830000000001E-3</v>
      </c>
      <c r="AA6519">
        <v>0.99575040000000004</v>
      </c>
      <c r="AB6519">
        <v>28</v>
      </c>
      <c r="AC6519">
        <v>-36.674999999999997</v>
      </c>
      <c r="AD6519">
        <v>-1.1214104237010001</v>
      </c>
      <c r="AE6519">
        <v>-2.97809999999998</v>
      </c>
      <c r="AF6519">
        <v>-3.41243478713954</v>
      </c>
      <c r="AG6519">
        <v>-1.1214104237010001</v>
      </c>
      <c r="AH6519">
        <v>36.602846482091003</v>
      </c>
      <c r="AI6519">
        <v>91.747263902372197</v>
      </c>
      <c r="AJ6519">
        <v>95.326213986057496</v>
      </c>
      <c r="AK6519">
        <v>36.778671035076698</v>
      </c>
      <c r="AL6519">
        <v>82.522889653047102</v>
      </c>
      <c r="AM6519">
        <v>89.095557170808405</v>
      </c>
      <c r="AN6519">
        <v>1.0000000016864801</v>
      </c>
    </row>
    <row r="6520" spans="1:40" x14ac:dyDescent="0.25">
      <c r="A6520" t="str">
        <f>"20190303162042289"</f>
        <v>20190303162042289</v>
      </c>
      <c r="B6520" t="str">
        <f>"1551601242279056"</f>
        <v>1551601242279056</v>
      </c>
      <c r="C6520" t="s">
        <v>40</v>
      </c>
      <c r="D6520">
        <v>4.5139570000000004</v>
      </c>
      <c r="E6520">
        <v>0.45674399999999998</v>
      </c>
      <c r="F6520" t="s">
        <v>50</v>
      </c>
      <c r="G6520">
        <v>-311.10860000000002</v>
      </c>
      <c r="H6520" s="1">
        <v>-8.9451979999999999E-6</v>
      </c>
      <c r="I6520">
        <v>139.2647</v>
      </c>
      <c r="J6520">
        <v>-280.68209999999999</v>
      </c>
      <c r="K6520">
        <v>1.121397</v>
      </c>
      <c r="L6520">
        <v>141.86500000000001</v>
      </c>
      <c r="M6520">
        <v>-0.99984779999999995</v>
      </c>
      <c r="N6520">
        <v>-1.286343E-2</v>
      </c>
      <c r="O6520">
        <v>1.1793629999999999E-2</v>
      </c>
      <c r="P6520">
        <v>-0.99298629999999999</v>
      </c>
      <c r="Q6520">
        <v>0.11555219999999999</v>
      </c>
      <c r="R6520">
        <v>2.5019610000000001E-2</v>
      </c>
      <c r="S6520">
        <v>-3.0423580000000001</v>
      </c>
      <c r="T6520">
        <v>-0.1111606</v>
      </c>
      <c r="U6520">
        <v>-0.25746149999999901</v>
      </c>
      <c r="V6520">
        <v>1.32748E-2</v>
      </c>
      <c r="W6520">
        <v>0.1283224</v>
      </c>
      <c r="X6520">
        <v>0.99164370000000002</v>
      </c>
      <c r="Y6520">
        <v>-9.5981570000000002E-2</v>
      </c>
      <c r="Z6520">
        <v>-2.6471450000000001E-3</v>
      </c>
      <c r="AA6520">
        <v>0.99537960000000003</v>
      </c>
      <c r="AB6520">
        <v>28</v>
      </c>
      <c r="AC6520">
        <v>-30.426500000000001</v>
      </c>
      <c r="AD6520">
        <v>-1.1214059451980001</v>
      </c>
      <c r="AE6520">
        <v>-2.6002999999999998</v>
      </c>
      <c r="AF6520">
        <v>-2.95500275290305</v>
      </c>
      <c r="AG6520">
        <v>-1.1214059451980001</v>
      </c>
      <c r="AH6520">
        <v>30.352782358377901</v>
      </c>
      <c r="AI6520">
        <v>92.105925035182395</v>
      </c>
      <c r="AJ6520">
        <v>95.560521568810401</v>
      </c>
      <c r="AK6520">
        <v>30.516896786184699</v>
      </c>
      <c r="AL6520">
        <v>82.627339350369596</v>
      </c>
      <c r="AM6520">
        <v>89.2330465211529</v>
      </c>
      <c r="AN6520">
        <v>1.0000000432032401</v>
      </c>
    </row>
    <row r="6521" spans="1:40" x14ac:dyDescent="0.25">
      <c r="A6521" t="str">
        <f>"20190303162042303"</f>
        <v>20190303162042303</v>
      </c>
      <c r="B6521" t="str">
        <f>"1551601242298577"</f>
        <v>1551601242298577</v>
      </c>
      <c r="C6521" t="s">
        <v>40</v>
      </c>
      <c r="D6521">
        <v>4.5748879999999996</v>
      </c>
      <c r="E6521">
        <v>0.45639800000000003</v>
      </c>
      <c r="F6521" t="s">
        <v>50</v>
      </c>
      <c r="G6521">
        <v>-309.85750000000002</v>
      </c>
      <c r="H6521" s="1">
        <v>-9.3705469999999997E-6</v>
      </c>
      <c r="I6521">
        <v>139.2902</v>
      </c>
      <c r="J6521">
        <v>-280.86840000000001</v>
      </c>
      <c r="K6521">
        <v>1.1213979999999999</v>
      </c>
      <c r="L6521">
        <v>141.86709999999999</v>
      </c>
      <c r="M6521">
        <v>-0.99984910000000005</v>
      </c>
      <c r="N6521">
        <v>-1.285945E-2</v>
      </c>
      <c r="O6521">
        <v>1.169513E-2</v>
      </c>
      <c r="P6521">
        <v>-0.99296200000000001</v>
      </c>
      <c r="Q6521">
        <v>0.1160815</v>
      </c>
      <c r="R6521">
        <v>2.3503059999999999E-2</v>
      </c>
      <c r="S6521">
        <v>-3.0415649999999999</v>
      </c>
      <c r="T6521">
        <v>-0.1169081</v>
      </c>
      <c r="U6521">
        <v>-0.26843260000000002</v>
      </c>
      <c r="V6521">
        <v>1.1856480000000001E-2</v>
      </c>
      <c r="W6521">
        <v>0.1288463</v>
      </c>
      <c r="X6521">
        <v>0.99159370000000002</v>
      </c>
      <c r="Y6521">
        <v>-9.9456630000000004E-2</v>
      </c>
      <c r="Z6521">
        <v>-2.846533E-3</v>
      </c>
      <c r="AA6521">
        <v>0.99503790000000003</v>
      </c>
      <c r="AB6521">
        <v>28</v>
      </c>
      <c r="AC6521">
        <v>-28.989100000000001</v>
      </c>
      <c r="AD6521">
        <v>-1.12140737054699</v>
      </c>
      <c r="AE6521">
        <v>-2.57689999999999</v>
      </c>
      <c r="AF6521">
        <v>-2.9114603532121501</v>
      </c>
      <c r="AG6521">
        <v>-1.12140737054699</v>
      </c>
      <c r="AH6521">
        <v>28.914048700612099</v>
      </c>
      <c r="AI6521">
        <v>92.209892176684207</v>
      </c>
      <c r="AJ6521">
        <v>95.749938684427406</v>
      </c>
      <c r="AK6521">
        <v>29.081890724992601</v>
      </c>
      <c r="AL6521">
        <v>82.597070539925198</v>
      </c>
      <c r="AM6521">
        <v>89.314947349605902</v>
      </c>
      <c r="AN6521">
        <v>1.0000000055106799</v>
      </c>
    </row>
    <row r="6522" spans="1:40" x14ac:dyDescent="0.25">
      <c r="A6522" t="str">
        <f>"20190303162042322"</f>
        <v>20190303162042322</v>
      </c>
      <c r="B6522" t="str">
        <f>"1551601242319072"</f>
        <v>1551601242319072</v>
      </c>
      <c r="C6522" t="s">
        <v>40</v>
      </c>
      <c r="D6522">
        <v>4.6261089999999996</v>
      </c>
      <c r="E6522">
        <v>0.45605610000000002</v>
      </c>
      <c r="F6522" t="s">
        <v>50</v>
      </c>
      <c r="G6522">
        <v>-311.79750000000001</v>
      </c>
      <c r="H6522" s="1">
        <v>-8.6222089999999998E-6</v>
      </c>
      <c r="I6522">
        <v>139.05760000000001</v>
      </c>
      <c r="J6522">
        <v>-281.10700000000003</v>
      </c>
      <c r="K6522">
        <v>1.1214040000000001</v>
      </c>
      <c r="L6522">
        <v>141.86969999999999</v>
      </c>
      <c r="M6522">
        <v>-0.99985049999999998</v>
      </c>
      <c r="N6522">
        <v>-1.285479E-2</v>
      </c>
      <c r="O6522">
        <v>1.157012E-2</v>
      </c>
      <c r="P6522">
        <v>-0.99278279999999997</v>
      </c>
      <c r="Q6522">
        <v>0.1180527</v>
      </c>
      <c r="R6522">
        <v>2.1119849999999999E-2</v>
      </c>
      <c r="S6522">
        <v>-3.0406490000000002</v>
      </c>
      <c r="T6522">
        <v>-0.11024589999999899</v>
      </c>
      <c r="U6522">
        <v>-0.27619929999999998</v>
      </c>
      <c r="V6522">
        <v>9.5990559999999999E-3</v>
      </c>
      <c r="W6522">
        <v>0.13080990000000001</v>
      </c>
      <c r="X6522">
        <v>0.99136100000000005</v>
      </c>
      <c r="Y6522">
        <v>-0.10188750000000001</v>
      </c>
      <c r="Z6522">
        <v>-2.7693919999999999E-3</v>
      </c>
      <c r="AA6522">
        <v>0.99479200000000001</v>
      </c>
      <c r="AB6522">
        <v>28</v>
      </c>
      <c r="AC6522">
        <v>-30.690499999999901</v>
      </c>
      <c r="AD6522">
        <v>-1.121412622209</v>
      </c>
      <c r="AE6522">
        <v>-2.8120999999999801</v>
      </c>
      <c r="AF6522">
        <v>-3.1628461771352701</v>
      </c>
      <c r="AG6522">
        <v>-1.121412622209</v>
      </c>
      <c r="AH6522">
        <v>30.615371212465998</v>
      </c>
      <c r="AI6522">
        <v>92.086657606960202</v>
      </c>
      <c r="AJ6522">
        <v>95.898250746424907</v>
      </c>
      <c r="AK6522">
        <v>30.798735634544499</v>
      </c>
      <c r="AL6522">
        <v>82.483604182169401</v>
      </c>
      <c r="AM6522">
        <v>89.445239212398207</v>
      </c>
      <c r="AN6522">
        <v>1.0000000020675499</v>
      </c>
    </row>
    <row r="6523" spans="1:40" x14ac:dyDescent="0.25">
      <c r="A6523" t="str">
        <f>"20190303162042344"</f>
        <v>20190303162042344</v>
      </c>
      <c r="B6523" t="str">
        <f>"1551601242339568"</f>
        <v>1551601242339568</v>
      </c>
      <c r="C6523" t="s">
        <v>40</v>
      </c>
      <c r="D6523">
        <v>4.5409680000000003</v>
      </c>
      <c r="E6523">
        <v>0.45603850000000001</v>
      </c>
      <c r="F6523" t="s">
        <v>50</v>
      </c>
      <c r="G6523">
        <v>-315.57929999999999</v>
      </c>
      <c r="H6523" s="1">
        <v>-7.0095749999999997E-6</v>
      </c>
      <c r="I6523">
        <v>138.61879999999999</v>
      </c>
      <c r="J6523">
        <v>-281.3852</v>
      </c>
      <c r="K6523">
        <v>1.1214059999999999</v>
      </c>
      <c r="L6523">
        <v>141.87280000000001</v>
      </c>
      <c r="M6523">
        <v>-0.99985230000000003</v>
      </c>
      <c r="N6523">
        <v>-1.284971E-2</v>
      </c>
      <c r="O6523">
        <v>1.14252E-2</v>
      </c>
      <c r="P6523">
        <v>-0.99275049999999998</v>
      </c>
      <c r="Q6523">
        <v>0.11872480000000001</v>
      </c>
      <c r="R6523">
        <v>1.8746039999999999E-2</v>
      </c>
      <c r="S6523">
        <v>-3.0396420000000002</v>
      </c>
      <c r="T6523">
        <v>-9.8882200000000003E-2</v>
      </c>
      <c r="U6523">
        <v>-0.28665159999999901</v>
      </c>
      <c r="V6523">
        <v>7.3695569999999997E-3</v>
      </c>
      <c r="W6523">
        <v>0.13147500000000001</v>
      </c>
      <c r="X6523">
        <v>0.99129210000000001</v>
      </c>
      <c r="Y6523">
        <v>-0.1051781</v>
      </c>
      <c r="Z6523">
        <v>-2.6084010000000002E-3</v>
      </c>
      <c r="AA6523">
        <v>0.99444999999999995</v>
      </c>
      <c r="AB6523">
        <v>28</v>
      </c>
      <c r="AC6523">
        <v>-34.194099999999899</v>
      </c>
      <c r="AD6523">
        <v>-1.1214130095749999</v>
      </c>
      <c r="AE6523">
        <v>-3.2540000000000102</v>
      </c>
      <c r="AF6523">
        <v>-3.6406137080817502</v>
      </c>
      <c r="AG6523">
        <v>-1.1214130095749999</v>
      </c>
      <c r="AH6523">
        <v>34.118320649628203</v>
      </c>
      <c r="AI6523">
        <v>91.871921060433195</v>
      </c>
      <c r="AJ6523">
        <v>96.090730166251006</v>
      </c>
      <c r="AK6523">
        <v>34.330328271957498</v>
      </c>
      <c r="AL6523">
        <v>82.445164813609296</v>
      </c>
      <c r="AM6523">
        <v>89.574054172058197</v>
      </c>
      <c r="AN6523">
        <v>1.0000000067588899</v>
      </c>
    </row>
    <row r="6524" spans="1:40" x14ac:dyDescent="0.25">
      <c r="A6524" t="str">
        <f>"20190303162042359"</f>
        <v>20190303162042359</v>
      </c>
      <c r="B6524" t="str">
        <f>"1551601242349328"</f>
        <v>1551601242349328</v>
      </c>
      <c r="C6524" t="s">
        <v>40</v>
      </c>
      <c r="D6524">
        <v>4.5653439999999996</v>
      </c>
      <c r="E6524">
        <v>0.45608310000000002</v>
      </c>
      <c r="F6524" t="s">
        <v>50</v>
      </c>
      <c r="G6524">
        <v>-318.33580000000001</v>
      </c>
      <c r="H6524" s="1">
        <v>-5.6843989999999999E-6</v>
      </c>
      <c r="I6524">
        <v>138.29759999999999</v>
      </c>
      <c r="J6524">
        <v>-281.5675</v>
      </c>
      <c r="K6524">
        <v>1.12141</v>
      </c>
      <c r="L6524">
        <v>141.87469999999999</v>
      </c>
      <c r="M6524">
        <v>-0.99985329999999994</v>
      </c>
      <c r="N6524">
        <v>-1.2846679999999999E-2</v>
      </c>
      <c r="O6524">
        <v>1.133052E-2</v>
      </c>
      <c r="P6524">
        <v>-0.99276730000000002</v>
      </c>
      <c r="Q6524">
        <v>0.1187756</v>
      </c>
      <c r="R6524">
        <v>1.747891E-2</v>
      </c>
      <c r="S6524">
        <v>-3.0384829999999998</v>
      </c>
      <c r="T6524">
        <v>-9.2214820000000003E-2</v>
      </c>
      <c r="U6524">
        <v>-0.29399109999999901</v>
      </c>
      <c r="V6524">
        <v>6.1964659999999899E-3</v>
      </c>
      <c r="W6524">
        <v>0.13152269999999999</v>
      </c>
      <c r="X6524">
        <v>0.9912938</v>
      </c>
      <c r="Y6524">
        <v>-0.10750709999999999</v>
      </c>
      <c r="Z6524">
        <v>-2.5174500000000001E-3</v>
      </c>
      <c r="AA6524">
        <v>0.99420109999999995</v>
      </c>
      <c r="AB6524">
        <v>28</v>
      </c>
      <c r="AC6524">
        <v>-36.768300000000004</v>
      </c>
      <c r="AD6524">
        <v>-1.121415684399</v>
      </c>
      <c r="AE6524">
        <v>-3.5771000000000002</v>
      </c>
      <c r="AF6524">
        <v>-3.9898320447778199</v>
      </c>
      <c r="AG6524">
        <v>-1.121415684399</v>
      </c>
      <c r="AH6524">
        <v>36.691594344906001</v>
      </c>
      <c r="AI6524">
        <v>91.740349711274106</v>
      </c>
      <c r="AJ6524">
        <v>96.205940760163003</v>
      </c>
      <c r="AK6524">
        <v>36.924916092712898</v>
      </c>
      <c r="AL6524">
        <v>82.442407869076703</v>
      </c>
      <c r="AM6524">
        <v>89.641855194002204</v>
      </c>
      <c r="AN6524">
        <v>1.0000000073623001</v>
      </c>
    </row>
    <row r="6525" spans="1:40" x14ac:dyDescent="0.25">
      <c r="A6525" t="str">
        <f>"20190303162042378"</f>
        <v>20190303162042378</v>
      </c>
      <c r="B6525" t="str">
        <f>"1551601242369271"</f>
        <v>1551601242369271</v>
      </c>
      <c r="C6525" t="s">
        <v>40</v>
      </c>
      <c r="D6525">
        <v>4.5783310000000004</v>
      </c>
      <c r="E6525">
        <v>0.45616129999999999</v>
      </c>
      <c r="F6525" t="s">
        <v>50</v>
      </c>
      <c r="G6525">
        <v>-318.9273</v>
      </c>
      <c r="H6525" s="1">
        <v>-5.3956319999999997E-6</v>
      </c>
      <c r="I6525">
        <v>138.2149</v>
      </c>
      <c r="J6525">
        <v>-281.8098</v>
      </c>
      <c r="K6525">
        <v>1.121418</v>
      </c>
      <c r="L6525">
        <v>141.87729999999999</v>
      </c>
      <c r="M6525">
        <v>-0.99985469999999999</v>
      </c>
      <c r="N6525">
        <v>-1.284296E-2</v>
      </c>
      <c r="O6525">
        <v>1.1205150000000001E-2</v>
      </c>
      <c r="P6525">
        <v>-0.99256670000000002</v>
      </c>
      <c r="Q6525">
        <v>0.1206212</v>
      </c>
      <c r="R6525">
        <v>1.618957E-2</v>
      </c>
      <c r="S6525">
        <v>-3.0380250000000002</v>
      </c>
      <c r="T6525">
        <v>-9.1191170000000002E-2</v>
      </c>
      <c r="U6525">
        <v>-0.29760740000000002</v>
      </c>
      <c r="V6525">
        <v>5.0338259999999999E-3</v>
      </c>
      <c r="W6525">
        <v>0.13336129999999999</v>
      </c>
      <c r="X6525">
        <v>0.99105469999999896</v>
      </c>
      <c r="Y6525">
        <v>-0.10856970000000001</v>
      </c>
      <c r="Z6525">
        <v>-2.516257E-3</v>
      </c>
      <c r="AA6525">
        <v>0.99408569999999996</v>
      </c>
      <c r="AB6525">
        <v>28</v>
      </c>
      <c r="AC6525">
        <v>-37.1175</v>
      </c>
      <c r="AD6525">
        <v>-1.1214233956319899</v>
      </c>
      <c r="AE6525">
        <v>-3.6623999999999901</v>
      </c>
      <c r="AF6525">
        <v>-4.0744281839931098</v>
      </c>
      <c r="AG6525">
        <v>-1.1214233956319899</v>
      </c>
      <c r="AH6525">
        <v>37.040643091631999</v>
      </c>
      <c r="AI6525">
        <v>91.723737039970302</v>
      </c>
      <c r="AJ6525">
        <v>96.277233449313997</v>
      </c>
      <c r="AK6525">
        <v>37.280930730072399</v>
      </c>
      <c r="AL6525">
        <v>82.336127505509296</v>
      </c>
      <c r="AM6525">
        <v>89.7089822546005</v>
      </c>
      <c r="AN6525">
        <v>0.99999999706698905</v>
      </c>
    </row>
    <row r="6526" spans="1:40" x14ac:dyDescent="0.25">
      <c r="A6526" t="str">
        <f>"20190303162042392"</f>
        <v>20190303162042392</v>
      </c>
      <c r="B6526" t="str">
        <f>"1551601242379031"</f>
        <v>1551601242379031</v>
      </c>
      <c r="C6526" t="s">
        <v>40</v>
      </c>
      <c r="D6526">
        <v>4.6168649999999998</v>
      </c>
      <c r="E6526">
        <v>0.45612979999999997</v>
      </c>
      <c r="F6526" t="s">
        <v>41</v>
      </c>
      <c r="G6526">
        <v>-323.0865</v>
      </c>
      <c r="H6526" s="1">
        <v>-3.2720850000000002E-6</v>
      </c>
      <c r="I6526">
        <v>137.7902</v>
      </c>
      <c r="J6526">
        <v>-281.9966</v>
      </c>
      <c r="K6526">
        <v>1.1214230000000001</v>
      </c>
      <c r="L6526">
        <v>141.8793</v>
      </c>
      <c r="M6526">
        <v>-0.99985599999999997</v>
      </c>
      <c r="N6526">
        <v>-1.284033E-2</v>
      </c>
      <c r="O6526">
        <v>1.110862E-2</v>
      </c>
      <c r="P6526">
        <v>-0.99240859999999997</v>
      </c>
      <c r="Q6526">
        <v>0.1219727</v>
      </c>
      <c r="R6526">
        <v>1.5746889999999999E-2</v>
      </c>
      <c r="S6526">
        <v>-3.0374150000000002</v>
      </c>
      <c r="T6526">
        <v>-8.2521559999999994E-2</v>
      </c>
      <c r="U6526">
        <v>-0.30075069999999998</v>
      </c>
      <c r="V6526">
        <v>4.6883580000000001E-3</v>
      </c>
      <c r="W6526">
        <v>0.13470799999999999</v>
      </c>
      <c r="X6526">
        <v>0.99087420000000004</v>
      </c>
      <c r="Y6526">
        <v>-0.1095227</v>
      </c>
      <c r="Z6526">
        <v>-2.347745E-3</v>
      </c>
      <c r="AA6526">
        <v>0.99398149999999996</v>
      </c>
      <c r="AB6526">
        <v>28</v>
      </c>
      <c r="AC6526">
        <v>-41.0899</v>
      </c>
      <c r="AD6526">
        <v>-1.1214262720849999</v>
      </c>
      <c r="AE6526">
        <v>-4.0891000000000002</v>
      </c>
      <c r="AF6526">
        <v>-4.5419873582283801</v>
      </c>
      <c r="AG6526">
        <v>-1.1214262720849999</v>
      </c>
      <c r="AH6526">
        <v>41.011688063013302</v>
      </c>
      <c r="AI6526">
        <v>91.556795808313893</v>
      </c>
      <c r="AJ6526">
        <v>96.319674314633602</v>
      </c>
      <c r="AK6526">
        <v>41.277667131560797</v>
      </c>
      <c r="AL6526">
        <v>82.258264346470796</v>
      </c>
      <c r="AM6526">
        <v>89.728904918829897</v>
      </c>
      <c r="AN6526">
        <v>0.99999995309518697</v>
      </c>
    </row>
    <row r="6527" spans="1:40" x14ac:dyDescent="0.25">
      <c r="A6527" t="str">
        <f>"20190303162042411"</f>
        <v>20190303162042411</v>
      </c>
      <c r="B6527" t="str">
        <f>"1551601242398551"</f>
        <v>1551601242398551</v>
      </c>
      <c r="C6527" t="s">
        <v>40</v>
      </c>
      <c r="D6527">
        <v>4.5956679999999999</v>
      </c>
      <c r="E6527">
        <v>0.45617570000000002</v>
      </c>
      <c r="F6527" t="s">
        <v>41</v>
      </c>
      <c r="G6527">
        <v>-326.8073</v>
      </c>
      <c r="H6527" s="1">
        <v>-1.741484E-6</v>
      </c>
      <c r="I6527">
        <v>137.4204</v>
      </c>
      <c r="J6527">
        <v>-282.22890000000001</v>
      </c>
      <c r="K6527">
        <v>1.121437</v>
      </c>
      <c r="L6527">
        <v>141.8817</v>
      </c>
      <c r="M6527">
        <v>-0.9998572</v>
      </c>
      <c r="N6527">
        <v>-1.283727E-2</v>
      </c>
      <c r="O6527">
        <v>1.0988960000000001E-2</v>
      </c>
      <c r="P6527">
        <v>-0.99206289999999997</v>
      </c>
      <c r="Q6527">
        <v>0.1248345</v>
      </c>
      <c r="R6527">
        <v>1.507793E-2</v>
      </c>
      <c r="S6527">
        <v>-3.0370789999999999</v>
      </c>
      <c r="T6527">
        <v>-7.6005459999999997E-2</v>
      </c>
      <c r="U6527">
        <v>-0.30220029999999998</v>
      </c>
      <c r="V6527">
        <v>4.1414779999999997E-3</v>
      </c>
      <c r="W6527">
        <v>0.1375622</v>
      </c>
      <c r="X6527">
        <v>0.99048449999999999</v>
      </c>
      <c r="Y6527">
        <v>-0.109892</v>
      </c>
      <c r="Z6527">
        <v>-2.2123820000000002E-3</v>
      </c>
      <c r="AA6527">
        <v>0.99394110000000002</v>
      </c>
      <c r="AB6527">
        <v>28</v>
      </c>
      <c r="AC6527">
        <v>-44.578399999999903</v>
      </c>
      <c r="AD6527">
        <v>-1.1214387414839999</v>
      </c>
      <c r="AE6527">
        <v>-4.4612999999999898</v>
      </c>
      <c r="AF6527">
        <v>-4.9478410096351704</v>
      </c>
      <c r="AG6527">
        <v>-1.1214387414839999</v>
      </c>
      <c r="AH6527">
        <v>44.498796904103997</v>
      </c>
      <c r="AI6527">
        <v>91.434798531455797</v>
      </c>
      <c r="AJ6527">
        <v>96.344681745359495</v>
      </c>
      <c r="AK6527">
        <v>44.7870704715125</v>
      </c>
      <c r="AL6527">
        <v>82.093194499583902</v>
      </c>
      <c r="AM6527">
        <v>89.760432568585998</v>
      </c>
      <c r="AN6527">
        <v>1.00000002772455</v>
      </c>
    </row>
    <row r="6528" spans="1:40" x14ac:dyDescent="0.25">
      <c r="A6528" t="str">
        <f>"20190303162042433"</f>
        <v>20190303162042433</v>
      </c>
      <c r="B6528" t="str">
        <f>"1551601242428808"</f>
        <v>1551601242428808</v>
      </c>
      <c r="C6528" t="s">
        <v>40</v>
      </c>
      <c r="D6528">
        <v>4.5510820000000001</v>
      </c>
      <c r="E6528">
        <v>0.45618789999999998</v>
      </c>
      <c r="F6528" t="s">
        <v>41</v>
      </c>
      <c r="G6528">
        <v>-335.8768</v>
      </c>
      <c r="H6528" s="1">
        <v>-2.4801549999999998E-6</v>
      </c>
      <c r="I6528">
        <v>136.51230000000001</v>
      </c>
      <c r="J6528">
        <v>-282.51499999999999</v>
      </c>
      <c r="K6528">
        <v>1.121448</v>
      </c>
      <c r="L6528">
        <v>141.88470000000001</v>
      </c>
      <c r="M6528">
        <v>-0.99985900000000005</v>
      </c>
      <c r="N6528">
        <v>-1.2833789999999999E-2</v>
      </c>
      <c r="O6528">
        <v>1.0841119999999999E-2</v>
      </c>
      <c r="P6528">
        <v>-0.99184240000000001</v>
      </c>
      <c r="Q6528">
        <v>0.126633</v>
      </c>
      <c r="R6528">
        <v>1.45916E-2</v>
      </c>
      <c r="S6528">
        <v>-3.0366209999999998</v>
      </c>
      <c r="T6528">
        <v>-6.3476679999999994E-2</v>
      </c>
      <c r="U6528">
        <v>-0.30392459999999999</v>
      </c>
      <c r="V6528">
        <v>3.8040389999999999E-3</v>
      </c>
      <c r="W6528">
        <v>0.1393539</v>
      </c>
      <c r="X6528">
        <v>0.99023530000000004</v>
      </c>
      <c r="Y6528">
        <v>-0.1103321</v>
      </c>
      <c r="Z6528">
        <v>-1.947374E-3</v>
      </c>
      <c r="AA6528">
        <v>0.99389280000000002</v>
      </c>
      <c r="AB6528">
        <v>28</v>
      </c>
      <c r="AC6528">
        <v>-53.361800000000002</v>
      </c>
      <c r="AD6528">
        <v>-1.121450480155</v>
      </c>
      <c r="AE6528">
        <v>-5.3723999999999901</v>
      </c>
      <c r="AF6528">
        <v>-5.94803276601424</v>
      </c>
      <c r="AG6528">
        <v>-1.121450480155</v>
      </c>
      <c r="AH6528">
        <v>53.2771211082053</v>
      </c>
      <c r="AI6528">
        <v>91.198419318916095</v>
      </c>
      <c r="AJ6528">
        <v>96.370309403493096</v>
      </c>
      <c r="AK6528">
        <v>53.619850601651201</v>
      </c>
      <c r="AL6528">
        <v>81.989538755635607</v>
      </c>
      <c r="AM6528">
        <v>89.779896447184797</v>
      </c>
      <c r="AN6528">
        <v>0.99999996476200603</v>
      </c>
    </row>
    <row r="6529" spans="1:40" x14ac:dyDescent="0.25">
      <c r="A6529" t="str">
        <f>"20190303162042449"</f>
        <v>20190303162042449</v>
      </c>
      <c r="B6529" t="str">
        <f>"1551601242438567"</f>
        <v>1551601242438567</v>
      </c>
      <c r="C6529" t="s">
        <v>40</v>
      </c>
      <c r="D6529">
        <v>4.5863209999999999</v>
      </c>
      <c r="E6529">
        <v>0.45584209999999897</v>
      </c>
      <c r="F6529" t="s">
        <v>41</v>
      </c>
      <c r="G6529">
        <v>-345.74919999999997</v>
      </c>
      <c r="H6529" s="1">
        <v>-2.5304860000000002E-6</v>
      </c>
      <c r="I6529">
        <v>135.53129999999999</v>
      </c>
      <c r="J6529">
        <v>-282.70549999999997</v>
      </c>
      <c r="K6529">
        <v>1.121451</v>
      </c>
      <c r="L6529">
        <v>141.88659999999999</v>
      </c>
      <c r="M6529">
        <v>-0.99985999999999997</v>
      </c>
      <c r="N6529">
        <v>-1.28316E-2</v>
      </c>
      <c r="O6529">
        <v>1.0742679999999999E-2</v>
      </c>
      <c r="P6529">
        <v>-0.99175570000000002</v>
      </c>
      <c r="Q6529">
        <v>0.1273629</v>
      </c>
      <c r="R6529">
        <v>1.4128379999999999E-2</v>
      </c>
      <c r="S6529">
        <v>-3.0360719999999999</v>
      </c>
      <c r="T6529">
        <v>-5.3844330000000003E-2</v>
      </c>
      <c r="U6529">
        <v>-0.30503849999999999</v>
      </c>
      <c r="V6529">
        <v>3.439438E-3</v>
      </c>
      <c r="W6529">
        <v>0.14008010000000001</v>
      </c>
      <c r="X6529">
        <v>0.99013419999999996</v>
      </c>
      <c r="Y6529">
        <v>-0.1106222</v>
      </c>
      <c r="Z6529">
        <v>-1.7425959999999999E-3</v>
      </c>
      <c r="AA6529">
        <v>0.99386099999999999</v>
      </c>
      <c r="AB6529">
        <v>28</v>
      </c>
      <c r="AC6529">
        <v>-63.043700000000001</v>
      </c>
      <c r="AD6529">
        <v>-1.121453530486</v>
      </c>
      <c r="AE6529">
        <v>-6.3552999999999997</v>
      </c>
      <c r="AF6529">
        <v>-7.0300450974815103</v>
      </c>
      <c r="AG6529">
        <v>-1.121453530486</v>
      </c>
      <c r="AH6529">
        <v>62.952063342258697</v>
      </c>
      <c r="AI6529">
        <v>91.014278712141504</v>
      </c>
      <c r="AJ6529">
        <v>96.371990431164605</v>
      </c>
      <c r="AK6529">
        <v>63.353306710395202</v>
      </c>
      <c r="AL6529">
        <v>81.947518678599906</v>
      </c>
      <c r="AM6529">
        <v>89.800971940305502</v>
      </c>
      <c r="AN6529">
        <v>0.99999999907970205</v>
      </c>
    </row>
    <row r="6530" spans="1:40" x14ac:dyDescent="0.25">
      <c r="A6530" t="str">
        <f>"20190303162042467"</f>
        <v>20190303162042467</v>
      </c>
      <c r="B6530" t="str">
        <f>"1551601242459063"</f>
        <v>1551601242459063</v>
      </c>
      <c r="C6530" t="s">
        <v>40</v>
      </c>
      <c r="D6530">
        <v>4.513636</v>
      </c>
      <c r="E6530">
        <v>0.43592750000000002</v>
      </c>
      <c r="F6530" t="s">
        <v>41</v>
      </c>
      <c r="G6530">
        <v>-349.03019999999998</v>
      </c>
      <c r="H6530" s="1">
        <v>-1.5083339999999999E-6</v>
      </c>
      <c r="I6530">
        <v>135.1354</v>
      </c>
      <c r="J6530">
        <v>-282.94209999999998</v>
      </c>
      <c r="K6530">
        <v>1.1214630000000001</v>
      </c>
      <c r="L6530">
        <v>141.88900000000001</v>
      </c>
      <c r="M6530">
        <v>-0.99986140000000001</v>
      </c>
      <c r="N6530">
        <v>-1.282907E-2</v>
      </c>
      <c r="O6530">
        <v>1.062081E-2</v>
      </c>
      <c r="P6530">
        <v>-0.99159200000000003</v>
      </c>
      <c r="Q6530">
        <v>0.1287027</v>
      </c>
      <c r="R6530">
        <v>1.34561E-2</v>
      </c>
      <c r="S6530">
        <v>-3.0359189999999998</v>
      </c>
      <c r="T6530">
        <v>-5.1332950000000002E-2</v>
      </c>
      <c r="U6530">
        <v>-0.30902099999999999</v>
      </c>
      <c r="V6530">
        <v>2.8895689999999998E-3</v>
      </c>
      <c r="W6530">
        <v>0.14141519999999999</v>
      </c>
      <c r="X6530">
        <v>0.9899462</v>
      </c>
      <c r="Y6530">
        <v>-0.11179840000000001</v>
      </c>
      <c r="Z6530">
        <v>-1.705011E-3</v>
      </c>
      <c r="AA6530">
        <v>0.99372950000000004</v>
      </c>
      <c r="AB6530">
        <v>28</v>
      </c>
      <c r="AC6530">
        <v>-66.088099999999997</v>
      </c>
      <c r="AD6530">
        <v>-1.12146450833399</v>
      </c>
      <c r="AE6530">
        <v>-6.7535999999999996</v>
      </c>
      <c r="AF6530">
        <v>-7.4530619027849596</v>
      </c>
      <c r="AG6530">
        <v>-1.12146450833399</v>
      </c>
      <c r="AH6530">
        <v>65.993830411539406</v>
      </c>
      <c r="AI6530">
        <v>90.967411999076504</v>
      </c>
      <c r="AJ6530">
        <v>96.443439424764307</v>
      </c>
      <c r="AK6530">
        <v>66.422823387426305</v>
      </c>
      <c r="AL6530">
        <v>81.8702543104135</v>
      </c>
      <c r="AM6530">
        <v>89.832758953850302</v>
      </c>
      <c r="AN6530">
        <v>1.00000004364724</v>
      </c>
    </row>
    <row r="6531" spans="1:40" x14ac:dyDescent="0.25">
      <c r="A6531" t="str">
        <f>"20190303162042489"</f>
        <v>20190303162042489</v>
      </c>
      <c r="B6531" t="str">
        <f>"1551601242479002"</f>
        <v>1551601242479002</v>
      </c>
      <c r="C6531" t="s">
        <v>40</v>
      </c>
      <c r="D6531">
        <v>4.4861440000000004</v>
      </c>
      <c r="E6531">
        <v>0.43570350000000002</v>
      </c>
      <c r="F6531" t="s">
        <v>64</v>
      </c>
      <c r="G6531">
        <v>-440.20710000000003</v>
      </c>
      <c r="H6531">
        <v>0.85447629999999997</v>
      </c>
      <c r="I6531">
        <v>117.548</v>
      </c>
      <c r="J6531">
        <v>-283.22620000000001</v>
      </c>
      <c r="K6531">
        <v>1.1214679999999999</v>
      </c>
      <c r="L6531">
        <v>141.89179999999999</v>
      </c>
      <c r="M6531">
        <v>-0.99986280000000005</v>
      </c>
      <c r="N6531">
        <v>-1.2826250000000001E-2</v>
      </c>
      <c r="O6531">
        <v>1.047409E-2</v>
      </c>
      <c r="P6531">
        <v>-0.99139149999999998</v>
      </c>
      <c r="Q6531">
        <v>0.1304072</v>
      </c>
      <c r="R6531">
        <v>1.1719230000000001E-2</v>
      </c>
      <c r="S6531">
        <v>-3.0325009999999999</v>
      </c>
      <c r="T6531">
        <v>-5.1476959999999898E-3</v>
      </c>
      <c r="U6531">
        <v>-0.46936040000000001</v>
      </c>
      <c r="V6531">
        <v>1.3002860000000001E-3</v>
      </c>
      <c r="W6531">
        <v>0.14311389999999999</v>
      </c>
      <c r="X6531">
        <v>0.98970539999999996</v>
      </c>
      <c r="Y6531">
        <v>-0.163296</v>
      </c>
      <c r="Z6531">
        <v>-1.075412E-3</v>
      </c>
      <c r="AA6531">
        <v>0.98657660000000003</v>
      </c>
      <c r="AB6531">
        <v>28</v>
      </c>
      <c r="AC6531">
        <v>-156.98089999999999</v>
      </c>
      <c r="AD6531">
        <v>-0.2669917</v>
      </c>
      <c r="AE6531">
        <v>-24.343800000000002</v>
      </c>
      <c r="AF6531">
        <v>-25.986758473038101</v>
      </c>
      <c r="AG6531">
        <v>-0.2669917</v>
      </c>
      <c r="AH6531">
        <v>156.71684459170999</v>
      </c>
      <c r="AI6531">
        <v>90.096297317775594</v>
      </c>
      <c r="AJ6531">
        <v>99.415106192496197</v>
      </c>
      <c r="AK6531">
        <v>158.85701835073601</v>
      </c>
      <c r="AL6531">
        <v>81.771925708333896</v>
      </c>
      <c r="AM6531">
        <v>89.924724208744607</v>
      </c>
      <c r="AN6531">
        <v>1.00000002895302</v>
      </c>
    </row>
    <row r="6532" spans="1:40" x14ac:dyDescent="0.25">
      <c r="A6532" t="str">
        <f>"20190303162042522"</f>
        <v>20190303162042522</v>
      </c>
      <c r="B6532" t="str">
        <f>"1551601242509257"</f>
        <v>1551601242509257</v>
      </c>
      <c r="C6532" t="s">
        <v>40</v>
      </c>
      <c r="D6532">
        <v>4.3485009999999997</v>
      </c>
      <c r="E6532">
        <v>0.43635010000000002</v>
      </c>
      <c r="F6532" t="s">
        <v>64</v>
      </c>
      <c r="G6532">
        <v>-440.20710000000003</v>
      </c>
      <c r="H6532">
        <v>1.2667999999999999</v>
      </c>
      <c r="I6532">
        <v>117.2376</v>
      </c>
      <c r="J6532">
        <v>-283.6413</v>
      </c>
      <c r="K6532">
        <v>1.121461</v>
      </c>
      <c r="L6532">
        <v>141.89580000000001</v>
      </c>
      <c r="M6532">
        <v>-0.99986520000000001</v>
      </c>
      <c r="N6532">
        <v>-1.2822470000000001E-2</v>
      </c>
      <c r="O6532">
        <v>1.025997E-2</v>
      </c>
      <c r="P6532">
        <v>-0.99127540000000003</v>
      </c>
      <c r="Q6532">
        <v>0.13150249999999999</v>
      </c>
      <c r="R6532">
        <v>8.9651820000000004E-3</v>
      </c>
      <c r="S6532">
        <v>-3.0313110000000001</v>
      </c>
      <c r="T6532">
        <v>2.806902E-3</v>
      </c>
      <c r="U6532">
        <v>-0.4760742</v>
      </c>
      <c r="V6532">
        <v>-1.2408009999999999E-3</v>
      </c>
      <c r="W6532">
        <v>0.14420250000000001</v>
      </c>
      <c r="X6532">
        <v>0.98954739999999997</v>
      </c>
      <c r="Y6532">
        <v>-0.165278799999999</v>
      </c>
      <c r="Z6532">
        <v>-8.499003E-4</v>
      </c>
      <c r="AA6532">
        <v>0.98624650000000003</v>
      </c>
      <c r="AB6532">
        <v>28</v>
      </c>
      <c r="AC6532">
        <v>-156.5658</v>
      </c>
      <c r="AD6532">
        <v>0.145338999999999</v>
      </c>
      <c r="AE6532">
        <v>-24.658200000000001</v>
      </c>
      <c r="AF6532">
        <v>-26.263372222969899</v>
      </c>
      <c r="AG6532">
        <v>0.145338999999999</v>
      </c>
      <c r="AH6532">
        <v>156.30441321204299</v>
      </c>
      <c r="AI6532">
        <v>89.947460292713501</v>
      </c>
      <c r="AJ6532">
        <v>99.538144047494498</v>
      </c>
      <c r="AK6532">
        <v>158.49560067556499</v>
      </c>
      <c r="AL6532">
        <v>81.708899356849898</v>
      </c>
      <c r="AM6532">
        <v>90.0718435754127</v>
      </c>
      <c r="AN6532">
        <v>0.99999997872006496</v>
      </c>
    </row>
    <row r="6533" spans="1:40" x14ac:dyDescent="0.25">
      <c r="A6533" t="str">
        <f>"20190303162042546"</f>
        <v>20190303162042546</v>
      </c>
      <c r="B6533" t="str">
        <f>"1551601242539514"</f>
        <v>1551601242539514</v>
      </c>
      <c r="C6533" t="s">
        <v>40</v>
      </c>
      <c r="D6533">
        <v>4.285196</v>
      </c>
      <c r="E6533">
        <v>0.43695289999999998</v>
      </c>
      <c r="F6533" t="s">
        <v>64</v>
      </c>
      <c r="G6533">
        <v>-440.20710000000003</v>
      </c>
      <c r="H6533">
        <v>1.525309</v>
      </c>
      <c r="I6533">
        <v>117.15089999999999</v>
      </c>
      <c r="J6533">
        <v>-283.92509999999999</v>
      </c>
      <c r="K6533">
        <v>1.121472</v>
      </c>
      <c r="L6533">
        <v>141.89859999999999</v>
      </c>
      <c r="M6533">
        <v>-0.9998667</v>
      </c>
      <c r="N6533">
        <v>-1.2820120000000001E-2</v>
      </c>
      <c r="O6533">
        <v>1.011342E-2</v>
      </c>
      <c r="P6533">
        <v>-0.99112630000000002</v>
      </c>
      <c r="Q6533">
        <v>0.13275899999999999</v>
      </c>
      <c r="R6533">
        <v>6.628765E-3</v>
      </c>
      <c r="S6533">
        <v>-3.0296940000000001</v>
      </c>
      <c r="T6533">
        <v>7.8153609999999998E-3</v>
      </c>
      <c r="U6533">
        <v>-0.47883609999999999</v>
      </c>
      <c r="V6533">
        <v>-3.4300310000000001E-3</v>
      </c>
      <c r="W6533">
        <v>0.14545369999999999</v>
      </c>
      <c r="X6533">
        <v>0.98935910000000005</v>
      </c>
      <c r="Y6533">
        <v>-0.1660932</v>
      </c>
      <c r="Z6533">
        <v>-7.0359920000000002E-4</v>
      </c>
      <c r="AA6533">
        <v>0.98610980000000004</v>
      </c>
      <c r="AB6533">
        <v>28</v>
      </c>
      <c r="AC6533">
        <v>-156.28200000000001</v>
      </c>
      <c r="AD6533">
        <v>0.403837</v>
      </c>
      <c r="AE6533">
        <v>-24.747699999999899</v>
      </c>
      <c r="AF6533">
        <v>-26.3269380196745</v>
      </c>
      <c r="AG6533">
        <v>0.403837</v>
      </c>
      <c r="AH6533">
        <v>156.022685364468</v>
      </c>
      <c r="AI6533">
        <v>89.853767565049395</v>
      </c>
      <c r="AJ6533">
        <v>99.577748027421706</v>
      </c>
      <c r="AK6533">
        <v>158.22878719801301</v>
      </c>
      <c r="AL6533">
        <v>81.636447057716396</v>
      </c>
      <c r="AM6533">
        <v>90.198639212515303</v>
      </c>
      <c r="AN6533">
        <v>0.99999998635457998</v>
      </c>
    </row>
    <row r="6534" spans="1:40" x14ac:dyDescent="0.25">
      <c r="A6534" t="str">
        <f>"20190303162042566"</f>
        <v>20190303162042566</v>
      </c>
      <c r="B6534" t="str">
        <f>"1551601242559033"</f>
        <v>1551601242559033</v>
      </c>
      <c r="C6534" t="s">
        <v>40</v>
      </c>
      <c r="D6534">
        <v>4.2859569999999998</v>
      </c>
      <c r="E6534">
        <v>0.43715140000000002</v>
      </c>
      <c r="F6534" t="s">
        <v>64</v>
      </c>
      <c r="G6534">
        <v>-440.75</v>
      </c>
      <c r="H6534">
        <v>1.4049849999999999</v>
      </c>
      <c r="I6534">
        <v>116.98569999999999</v>
      </c>
      <c r="J6534">
        <v>-284.19619999999998</v>
      </c>
      <c r="K6534">
        <v>1.1214660000000001</v>
      </c>
      <c r="L6534">
        <v>141.90110000000001</v>
      </c>
      <c r="M6534">
        <v>-0.99986819999999998</v>
      </c>
      <c r="N6534">
        <v>-1.2818029999999999E-2</v>
      </c>
      <c r="O6534">
        <v>9.9735529999999996E-3</v>
      </c>
      <c r="P6534">
        <v>-0.99104539999999997</v>
      </c>
      <c r="Q6534">
        <v>0.13343039999999901</v>
      </c>
      <c r="R6534">
        <v>5.0618399999999997E-3</v>
      </c>
      <c r="S6534">
        <v>-3.0293269999999999</v>
      </c>
      <c r="T6534">
        <v>5.477071E-3</v>
      </c>
      <c r="U6534">
        <v>-0.48123169999999998</v>
      </c>
      <c r="V6534">
        <v>-4.8575720000000001E-3</v>
      </c>
      <c r="W6534">
        <v>0.14612130000000001</v>
      </c>
      <c r="X6534">
        <v>0.98925479999999999</v>
      </c>
      <c r="Y6534">
        <v>-0.16673389999999999</v>
      </c>
      <c r="Z6534">
        <v>-7.8055899999999903E-4</v>
      </c>
      <c r="AA6534">
        <v>0.98600160000000003</v>
      </c>
      <c r="AB6534">
        <v>28</v>
      </c>
      <c r="AC6534">
        <v>-156.5538</v>
      </c>
      <c r="AD6534">
        <v>0.28351899999999902</v>
      </c>
      <c r="AE6534">
        <v>-24.915400000000002</v>
      </c>
      <c r="AF6534">
        <v>-26.4756016473976</v>
      </c>
      <c r="AG6534">
        <v>0.28351899999999902</v>
      </c>
      <c r="AH6534">
        <v>156.296996784112</v>
      </c>
      <c r="AI6534">
        <v>89.897526726317096</v>
      </c>
      <c r="AJ6534">
        <v>99.614234725931695</v>
      </c>
      <c r="AK6534">
        <v>158.52378076915701</v>
      </c>
      <c r="AL6534">
        <v>81.597783802508999</v>
      </c>
      <c r="AM6534">
        <v>90.281339183224304</v>
      </c>
      <c r="AN6534">
        <v>1.0000000448212301</v>
      </c>
    </row>
    <row r="6535" spans="1:40" x14ac:dyDescent="0.25">
      <c r="A6535" t="str">
        <f>"20190303162042590"</f>
        <v>20190303162042590</v>
      </c>
      <c r="B6535" t="str">
        <f>"1551601242578554"</f>
        <v>1551601242578554</v>
      </c>
      <c r="C6535" t="s">
        <v>40</v>
      </c>
      <c r="D6535">
        <v>4.2549989999999998</v>
      </c>
      <c r="E6535">
        <v>0.43757570000000001</v>
      </c>
      <c r="F6535" t="s">
        <v>64</v>
      </c>
      <c r="G6535">
        <v>-440.75</v>
      </c>
      <c r="H6535">
        <v>1.4615689999999999</v>
      </c>
      <c r="I6535">
        <v>116.8352</v>
      </c>
      <c r="J6535">
        <v>-284.47770000000003</v>
      </c>
      <c r="K6535">
        <v>1.1214599999999999</v>
      </c>
      <c r="L6535">
        <v>141.90369999999999</v>
      </c>
      <c r="M6535">
        <v>-0.99986960000000003</v>
      </c>
      <c r="N6535">
        <v>-1.281617E-2</v>
      </c>
      <c r="O6535">
        <v>9.8281370000000007E-3</v>
      </c>
      <c r="P6535">
        <v>-0.9910736</v>
      </c>
      <c r="Q6535">
        <v>0.13326160000000001</v>
      </c>
      <c r="R6535">
        <v>3.812785E-3</v>
      </c>
      <c r="S6535">
        <v>-3.0286870000000001</v>
      </c>
      <c r="T6535">
        <v>6.5801139999999998E-3</v>
      </c>
      <c r="U6535">
        <v>-0.48492429999999997</v>
      </c>
      <c r="V6535">
        <v>-5.9629440000000004E-3</v>
      </c>
      <c r="W6535">
        <v>0.14595050000000001</v>
      </c>
      <c r="X6535">
        <v>0.98927390000000004</v>
      </c>
      <c r="Y6535">
        <v>-0.16779530000000001</v>
      </c>
      <c r="Z6535">
        <v>-7.5460269999999996E-4</v>
      </c>
      <c r="AA6535">
        <v>0.98582150000000002</v>
      </c>
      <c r="AB6535">
        <v>28</v>
      </c>
      <c r="AC6535">
        <v>-156.27229999999901</v>
      </c>
      <c r="AD6535">
        <v>0.34010899999999999</v>
      </c>
      <c r="AE6535">
        <v>-25.068499999999901</v>
      </c>
      <c r="AF6535">
        <v>-26.603157888019499</v>
      </c>
      <c r="AG6535">
        <v>0.34010899999999999</v>
      </c>
      <c r="AH6535">
        <v>156.01763388560801</v>
      </c>
      <c r="AI6535">
        <v>89.8768759486601</v>
      </c>
      <c r="AJ6535">
        <v>99.676653960193605</v>
      </c>
      <c r="AK6535">
        <v>158.26985109935001</v>
      </c>
      <c r="AL6535">
        <v>81.607675400577904</v>
      </c>
      <c r="AM6535">
        <v>90.345351663623504</v>
      </c>
      <c r="AN6535">
        <v>0.99999997718630296</v>
      </c>
    </row>
    <row r="6536" spans="1:40" x14ac:dyDescent="0.25">
      <c r="A6536" t="str">
        <f>"20190303162042612"</f>
        <v>20190303162042612</v>
      </c>
      <c r="B6536" t="str">
        <f>"1551601242599050"</f>
        <v>1551601242599050</v>
      </c>
      <c r="C6536" t="s">
        <v>40</v>
      </c>
      <c r="D6536">
        <v>4.3360130000000003</v>
      </c>
      <c r="E6536">
        <v>0.45359339999999998</v>
      </c>
      <c r="F6536" t="s">
        <v>64</v>
      </c>
      <c r="G6536">
        <v>-440.75</v>
      </c>
      <c r="H6536">
        <v>1.4132849999999999</v>
      </c>
      <c r="I6536">
        <v>116.886</v>
      </c>
      <c r="J6536">
        <v>-284.77269999999999</v>
      </c>
      <c r="K6536">
        <v>1.1214679999999999</v>
      </c>
      <c r="L6536">
        <v>141.90639999999999</v>
      </c>
      <c r="M6536">
        <v>-0.99987110000000001</v>
      </c>
      <c r="N6536">
        <v>-1.281418E-2</v>
      </c>
      <c r="O6536">
        <v>9.6756889999999995E-3</v>
      </c>
      <c r="P6536">
        <v>-0.991151</v>
      </c>
      <c r="Q6536">
        <v>0.13271429999999901</v>
      </c>
      <c r="R6536">
        <v>2.6288679999999999E-3</v>
      </c>
      <c r="S6536">
        <v>-3.0281069999999999</v>
      </c>
      <c r="T6536">
        <v>5.655289E-3</v>
      </c>
      <c r="U6536">
        <v>-0.48477170000000003</v>
      </c>
      <c r="V6536">
        <v>-6.9961140000000003E-3</v>
      </c>
      <c r="W6536">
        <v>0.14540239999999999</v>
      </c>
      <c r="X6536">
        <v>0.98934789999999995</v>
      </c>
      <c r="Y6536">
        <v>-0.16762589999999999</v>
      </c>
      <c r="Z6536">
        <v>-7.8414659999999998E-4</v>
      </c>
      <c r="AA6536">
        <v>0.98585040000000002</v>
      </c>
      <c r="AB6536">
        <v>28</v>
      </c>
      <c r="AC6536">
        <v>-155.97730000000001</v>
      </c>
      <c r="AD6536">
        <v>0.29181699999999999</v>
      </c>
      <c r="AE6536">
        <v>-25.020399999999899</v>
      </c>
      <c r="AF6536">
        <v>-26.5284498003181</v>
      </c>
      <c r="AG6536">
        <v>0.29181699999999999</v>
      </c>
      <c r="AH6536">
        <v>155.727356521552</v>
      </c>
      <c r="AI6536">
        <v>89.894158507191193</v>
      </c>
      <c r="AJ6536">
        <v>99.6676397824112</v>
      </c>
      <c r="AK6536">
        <v>157.97105233288801</v>
      </c>
      <c r="AL6536">
        <v>81.639418327796704</v>
      </c>
      <c r="AM6536">
        <v>90.405156895661605</v>
      </c>
      <c r="AN6536">
        <v>1.00000003538563</v>
      </c>
    </row>
    <row r="6537" spans="1:40" x14ac:dyDescent="0.25">
      <c r="A6537" t="str">
        <f>"20190303162042634"</f>
        <v>20190303162042634</v>
      </c>
      <c r="B6537" t="str">
        <f>"1551601242629307"</f>
        <v>1551601242629307</v>
      </c>
      <c r="C6537" t="s">
        <v>40</v>
      </c>
      <c r="D6537">
        <v>4.2198710000000004</v>
      </c>
      <c r="E6537">
        <v>0.49069190000000001</v>
      </c>
      <c r="F6537" t="s">
        <v>64</v>
      </c>
      <c r="G6537">
        <v>-470.8775</v>
      </c>
      <c r="H6537">
        <v>1.201247</v>
      </c>
      <c r="I6537">
        <v>119.7405</v>
      </c>
      <c r="J6537">
        <v>-285.03989999999999</v>
      </c>
      <c r="K6537">
        <v>1.12147</v>
      </c>
      <c r="L6537">
        <v>141.90889999999999</v>
      </c>
      <c r="M6537">
        <v>-0.9998726</v>
      </c>
      <c r="N6537">
        <v>-1.281245E-2</v>
      </c>
      <c r="O6537">
        <v>9.5374259999999999E-3</v>
      </c>
      <c r="P6537">
        <v>-0.99113879999999999</v>
      </c>
      <c r="Q6537">
        <v>0.13281109999999999</v>
      </c>
      <c r="R6537">
        <v>2.313084E-3</v>
      </c>
      <c r="S6537">
        <v>-3.0275569999999998</v>
      </c>
      <c r="T6537">
        <v>1.298308E-3</v>
      </c>
      <c r="U6537">
        <v>-0.36059570000000002</v>
      </c>
      <c r="V6537">
        <v>-7.1748069999999897E-3</v>
      </c>
      <c r="W6537">
        <v>0.14549719999999999</v>
      </c>
      <c r="X6537">
        <v>0.98933269999999995</v>
      </c>
      <c r="Y6537">
        <v>-0.12773399999999999</v>
      </c>
      <c r="Z6537">
        <v>-6.6808259999999995E-4</v>
      </c>
      <c r="AA6537">
        <v>0.99180820000000003</v>
      </c>
      <c r="AB6537">
        <v>28</v>
      </c>
      <c r="AC6537">
        <v>-185.83760000000001</v>
      </c>
      <c r="AD6537">
        <v>7.9776999999999904E-2</v>
      </c>
      <c r="AE6537">
        <v>-22.168399999999899</v>
      </c>
      <c r="AF6537">
        <v>-23.939944770806701</v>
      </c>
      <c r="AG6537">
        <v>7.9776999999999904E-2</v>
      </c>
      <c r="AH6537">
        <v>185.61766577552501</v>
      </c>
      <c r="AI6537">
        <v>89.975577023303302</v>
      </c>
      <c r="AJ6537">
        <v>97.349123975627293</v>
      </c>
      <c r="AK6537">
        <v>187.15513663256399</v>
      </c>
      <c r="AL6537">
        <v>81.633928446656299</v>
      </c>
      <c r="AM6537">
        <v>90.415511337356804</v>
      </c>
      <c r="AN6537">
        <v>1.0000000521762999</v>
      </c>
    </row>
    <row r="6538" spans="1:40" x14ac:dyDescent="0.25">
      <c r="A6538" t="str">
        <f>"20190303162042657"</f>
        <v>20190303162042657</v>
      </c>
      <c r="B6538" t="str">
        <f>"1551601242648825"</f>
        <v>1551601242648825</v>
      </c>
      <c r="C6538" t="s">
        <v>40</v>
      </c>
      <c r="D6538">
        <v>4.1537119999999996</v>
      </c>
      <c r="E6538">
        <v>0.49211959999999999</v>
      </c>
      <c r="F6538" t="s">
        <v>58</v>
      </c>
      <c r="G6538">
        <v>0</v>
      </c>
      <c r="H6538">
        <v>0</v>
      </c>
      <c r="I6538">
        <v>0</v>
      </c>
      <c r="J6538">
        <v>-285.3306</v>
      </c>
      <c r="K6538">
        <v>1.1214679999999999</v>
      </c>
      <c r="L6538">
        <v>141.91149999999999</v>
      </c>
      <c r="M6538">
        <v>-0.99987389999999998</v>
      </c>
      <c r="N6538">
        <v>-1.281066E-2</v>
      </c>
      <c r="O6538">
        <v>9.3873010000000007E-3</v>
      </c>
      <c r="P6538">
        <v>-0.99107190000000001</v>
      </c>
      <c r="Q6538">
        <v>0.13328129999999999</v>
      </c>
      <c r="R6538">
        <v>3.5891159999999998E-3</v>
      </c>
      <c r="S6538">
        <v>-3.0185240000000002</v>
      </c>
      <c r="T6538">
        <v>6.3325409999999999E-2</v>
      </c>
      <c r="U6538">
        <v>-6.6329959999999993E-2</v>
      </c>
      <c r="V6538">
        <v>-5.7492410000000004E-3</v>
      </c>
      <c r="W6538">
        <v>0.1459656</v>
      </c>
      <c r="X6538">
        <v>0.98927299999999996</v>
      </c>
      <c r="Y6538">
        <v>-3.13458E-2</v>
      </c>
      <c r="Z6538">
        <v>4.4502149999999999E-4</v>
      </c>
      <c r="AA6538">
        <v>0.99950850000000002</v>
      </c>
      <c r="AB6538">
        <v>28</v>
      </c>
      <c r="AC6538">
        <v>-3.0185240000000002</v>
      </c>
      <c r="AD6538">
        <v>6.3325409999999999E-2</v>
      </c>
      <c r="AE6538">
        <v>-6.6329959999999993E-2</v>
      </c>
      <c r="AF6538">
        <v>-9.4623529792524294E-2</v>
      </c>
      <c r="AG6538">
        <v>6.3325409999999999E-2</v>
      </c>
      <c r="AH6538">
        <v>3.0164413244335799</v>
      </c>
      <c r="AI6538">
        <v>88.797933594336698</v>
      </c>
      <c r="AJ6538">
        <v>91.796736965706899</v>
      </c>
      <c r="AK6538">
        <v>3.01858940296502</v>
      </c>
      <c r="AL6538">
        <v>81.606801394184103</v>
      </c>
      <c r="AM6538">
        <v>90.332975362977507</v>
      </c>
      <c r="AN6538">
        <v>1.0000000393422099</v>
      </c>
    </row>
    <row r="6539" spans="1:40" x14ac:dyDescent="0.25">
      <c r="A6539" t="str">
        <f>"20190303162042680"</f>
        <v>20190303162042680</v>
      </c>
      <c r="B6539" t="str">
        <f>"1551601242668815"</f>
        <v>1551601242668815</v>
      </c>
      <c r="C6539" t="s">
        <v>40</v>
      </c>
      <c r="D6539">
        <v>4.1751149999999999</v>
      </c>
      <c r="E6539">
        <v>0.49233929999999998</v>
      </c>
      <c r="F6539" t="s">
        <v>58</v>
      </c>
      <c r="G6539">
        <v>0</v>
      </c>
      <c r="H6539">
        <v>0</v>
      </c>
      <c r="I6539">
        <v>0</v>
      </c>
      <c r="J6539">
        <v>-285.60980000000001</v>
      </c>
      <c r="K6539">
        <v>1.121472</v>
      </c>
      <c r="L6539">
        <v>141.91390000000001</v>
      </c>
      <c r="M6539">
        <v>-0.99987519999999996</v>
      </c>
      <c r="N6539">
        <v>-1.2809020000000001E-2</v>
      </c>
      <c r="O6539">
        <v>9.2434920000000007E-3</v>
      </c>
      <c r="P6539">
        <v>-0.99097780000000002</v>
      </c>
      <c r="Q6539">
        <v>0.13390729999999901</v>
      </c>
      <c r="R6539">
        <v>5.6614119999999898E-3</v>
      </c>
      <c r="S6539">
        <v>-3.0176699999999999</v>
      </c>
      <c r="T6539">
        <v>7.1050639999999998E-2</v>
      </c>
      <c r="U6539">
        <v>-5.1574710000000003E-2</v>
      </c>
      <c r="V6539">
        <v>-3.5336920000000002E-3</v>
      </c>
      <c r="W6539">
        <v>0.1465892</v>
      </c>
      <c r="X6539">
        <v>0.98919109999999999</v>
      </c>
      <c r="Y6539">
        <v>-2.6321150000000001E-2</v>
      </c>
      <c r="Z6539">
        <v>4.771574E-4</v>
      </c>
      <c r="AA6539">
        <v>0.99965340000000003</v>
      </c>
      <c r="AB6539">
        <v>28</v>
      </c>
      <c r="AC6539">
        <v>-3.0176699999999999</v>
      </c>
      <c r="AD6539">
        <v>7.1050639999999998E-2</v>
      </c>
      <c r="AE6539">
        <v>-5.1574710000000003E-2</v>
      </c>
      <c r="AF6539">
        <v>-7.9424587307561995E-2</v>
      </c>
      <c r="AG6539">
        <v>7.1050639999999998E-2</v>
      </c>
      <c r="AH6539">
        <v>3.0153931608607598</v>
      </c>
      <c r="AI6539">
        <v>88.6506774364275</v>
      </c>
      <c r="AJ6539">
        <v>91.508805466944693</v>
      </c>
      <c r="AK6539">
        <v>3.0172756541422001</v>
      </c>
      <c r="AL6539">
        <v>81.570682542039705</v>
      </c>
      <c r="AM6539">
        <v>90.204677110883793</v>
      </c>
      <c r="AN6539">
        <v>0.99999995642749895</v>
      </c>
    </row>
    <row r="6540" spans="1:40" x14ac:dyDescent="0.25">
      <c r="A6540" t="str">
        <f>"20190303162042702"</f>
        <v>20190303162042702</v>
      </c>
      <c r="B6540" t="str">
        <f>"1551601242689311"</f>
        <v>1551601242689311</v>
      </c>
      <c r="C6540" t="s">
        <v>40</v>
      </c>
      <c r="D6540">
        <v>4.1478590000000004</v>
      </c>
      <c r="E6540">
        <v>0.49238850000000001</v>
      </c>
      <c r="F6540" t="s">
        <v>58</v>
      </c>
      <c r="G6540">
        <v>0</v>
      </c>
      <c r="H6540">
        <v>0</v>
      </c>
      <c r="I6540">
        <v>0</v>
      </c>
      <c r="J6540">
        <v>-285.89260000000002</v>
      </c>
      <c r="K6540">
        <v>1.1214789999999999</v>
      </c>
      <c r="L6540">
        <v>141.91640000000001</v>
      </c>
      <c r="M6540">
        <v>-0.9998766</v>
      </c>
      <c r="N6540">
        <v>-1.280745E-2</v>
      </c>
      <c r="O6540">
        <v>9.0975369999999993E-3</v>
      </c>
      <c r="P6540">
        <v>-0.99095230000000001</v>
      </c>
      <c r="Q6540">
        <v>0.13401080000000001</v>
      </c>
      <c r="R6540">
        <v>7.3831460000000002E-3</v>
      </c>
      <c r="S6540">
        <v>-3.018005</v>
      </c>
      <c r="T6540">
        <v>7.0613739999999994E-2</v>
      </c>
      <c r="U6540">
        <v>-4.3502810000000003E-2</v>
      </c>
      <c r="V6540">
        <v>-1.6676830000000001E-3</v>
      </c>
      <c r="W6540">
        <v>0.14669160000000001</v>
      </c>
      <c r="X6540">
        <v>0.98918090000000003</v>
      </c>
      <c r="Y6540">
        <v>-2.3500799999999999E-2</v>
      </c>
      <c r="Z6540">
        <v>4.5367230000000001E-4</v>
      </c>
      <c r="AA6540">
        <v>0.99972369999999999</v>
      </c>
      <c r="AB6540">
        <v>28</v>
      </c>
      <c r="AC6540">
        <v>-3.018005</v>
      </c>
      <c r="AD6540">
        <v>7.0613739999999994E-2</v>
      </c>
      <c r="AE6540">
        <v>-4.3502810000000003E-2</v>
      </c>
      <c r="AF6540">
        <v>-7.0920856507475996E-2</v>
      </c>
      <c r="AG6540">
        <v>7.0613739999999994E-2</v>
      </c>
      <c r="AH6540">
        <v>3.0158336306115698</v>
      </c>
      <c r="AI6540">
        <v>88.659073068454404</v>
      </c>
      <c r="AJ6540">
        <v>91.347129005544801</v>
      </c>
      <c r="AK6540">
        <v>3.01749375404362</v>
      </c>
      <c r="AL6540">
        <v>81.564751960271096</v>
      </c>
      <c r="AM6540">
        <v>90.096596190783998</v>
      </c>
      <c r="AN6540">
        <v>1.0000000298009699</v>
      </c>
    </row>
    <row r="6541" spans="1:40" x14ac:dyDescent="0.25">
      <c r="A6541" t="str">
        <f>"20190303162042724"</f>
        <v>20190303162042724</v>
      </c>
      <c r="B6541" t="str">
        <f>"1551601242719567"</f>
        <v>1551601242719567</v>
      </c>
      <c r="C6541" t="s">
        <v>40</v>
      </c>
      <c r="D6541">
        <v>4.1957199999999997</v>
      </c>
      <c r="E6541">
        <v>0.49286419999999997</v>
      </c>
      <c r="F6541" t="s">
        <v>58</v>
      </c>
      <c r="G6541">
        <v>0</v>
      </c>
      <c r="H6541">
        <v>0</v>
      </c>
      <c r="I6541">
        <v>0</v>
      </c>
      <c r="J6541">
        <v>-286.16629999999998</v>
      </c>
      <c r="K6541">
        <v>1.121478</v>
      </c>
      <c r="L6541">
        <v>141.9187</v>
      </c>
      <c r="M6541">
        <v>-0.99987800000000004</v>
      </c>
      <c r="N6541">
        <v>-1.280596E-2</v>
      </c>
      <c r="O6541">
        <v>8.9560560000000004E-3</v>
      </c>
      <c r="P6541">
        <v>-0.99082539999999997</v>
      </c>
      <c r="Q6541">
        <v>0.13479169999999999</v>
      </c>
      <c r="R6541">
        <v>9.8183469999999998E-3</v>
      </c>
      <c r="S6541">
        <v>-3.0177</v>
      </c>
      <c r="T6541">
        <v>7.3805330000000002E-2</v>
      </c>
      <c r="U6541">
        <v>-3.7734990000000003E-2</v>
      </c>
      <c r="V6541">
        <v>9.0884169999999999E-4</v>
      </c>
      <c r="W6541">
        <v>0.1474703</v>
      </c>
      <c r="X6541">
        <v>0.98906609999999995</v>
      </c>
      <c r="Y6541">
        <v>-2.1449889999999999E-2</v>
      </c>
      <c r="Z6541">
        <v>4.5855830000000002E-4</v>
      </c>
      <c r="AA6541">
        <v>0.99976980000000004</v>
      </c>
      <c r="AB6541">
        <v>28</v>
      </c>
      <c r="AC6541">
        <v>-3.0177</v>
      </c>
      <c r="AD6541">
        <v>7.3805330000000002E-2</v>
      </c>
      <c r="AE6541">
        <v>-3.7734990000000003E-2</v>
      </c>
      <c r="AF6541">
        <v>-6.4723670353170795E-2</v>
      </c>
      <c r="AG6541">
        <v>7.3805330000000002E-2</v>
      </c>
      <c r="AH6541">
        <v>3.01543751025467</v>
      </c>
      <c r="AI6541">
        <v>88.598241022404693</v>
      </c>
      <c r="AJ6541">
        <v>91.229613877031397</v>
      </c>
      <c r="AK6541">
        <v>3.01703492828493</v>
      </c>
      <c r="AL6541">
        <v>81.519645201569801</v>
      </c>
      <c r="AM6541">
        <v>89.947351568313195</v>
      </c>
      <c r="AN6541">
        <v>1.00000003277226</v>
      </c>
    </row>
    <row r="6542" spans="1:40" x14ac:dyDescent="0.25">
      <c r="A6542" t="str">
        <f>"20190303162042746"</f>
        <v>20190303162042746</v>
      </c>
      <c r="B6542" t="str">
        <f>"1551601242739087"</f>
        <v>1551601242739087</v>
      </c>
      <c r="C6542" t="s">
        <v>40</v>
      </c>
      <c r="D6542">
        <v>4.0653030000000001</v>
      </c>
      <c r="E6542">
        <v>0.52395769999999997</v>
      </c>
      <c r="F6542" t="s">
        <v>58</v>
      </c>
      <c r="G6542">
        <v>0</v>
      </c>
      <c r="H6542">
        <v>0</v>
      </c>
      <c r="I6542">
        <v>0</v>
      </c>
      <c r="J6542">
        <v>-286.44220000000001</v>
      </c>
      <c r="K6542">
        <v>1.12148</v>
      </c>
      <c r="L6542">
        <v>141.92099999999999</v>
      </c>
      <c r="M6542">
        <v>-0.99987919999999997</v>
      </c>
      <c r="N6542">
        <v>-1.2804499999999899E-2</v>
      </c>
      <c r="O6542">
        <v>8.8130840000000005E-3</v>
      </c>
      <c r="P6542">
        <v>-0.99065020000000004</v>
      </c>
      <c r="Q6542">
        <v>0.13579869999999999</v>
      </c>
      <c r="R6542">
        <v>1.3075120000000001E-2</v>
      </c>
      <c r="S6542">
        <v>-3.0175169999999998</v>
      </c>
      <c r="T6542">
        <v>7.7468629999999997E-2</v>
      </c>
      <c r="U6542">
        <v>-2.7130129999999999E-2</v>
      </c>
      <c r="V6542">
        <v>4.3086399999999999E-3</v>
      </c>
      <c r="W6542">
        <v>0.1484743</v>
      </c>
      <c r="X6542">
        <v>0.98890690000000003</v>
      </c>
      <c r="Y6542">
        <v>-1.779416E-2</v>
      </c>
      <c r="Z6542">
        <v>4.53471E-4</v>
      </c>
      <c r="AA6542">
        <v>0.9998416</v>
      </c>
      <c r="AB6542">
        <v>28</v>
      </c>
      <c r="AC6542">
        <v>-3.0175169999999998</v>
      </c>
      <c r="AD6542">
        <v>7.7468629999999997E-2</v>
      </c>
      <c r="AE6542">
        <v>-2.7130129999999999E-2</v>
      </c>
      <c r="AF6542">
        <v>-5.3689502837855903E-2</v>
      </c>
      <c r="AG6542">
        <v>7.7468629999999997E-2</v>
      </c>
      <c r="AH6542">
        <v>3.01517352808344</v>
      </c>
      <c r="AI6542">
        <v>88.528460747033904</v>
      </c>
      <c r="AJ6542">
        <v>91.020125982482796</v>
      </c>
      <c r="AK6542">
        <v>3.01664637566358</v>
      </c>
      <c r="AL6542">
        <v>81.461479811986393</v>
      </c>
      <c r="AM6542">
        <v>89.750365453663406</v>
      </c>
      <c r="AN6542">
        <v>1.00000001950337</v>
      </c>
    </row>
    <row r="6543" spans="1:40" x14ac:dyDescent="0.25">
      <c r="A6543" t="str">
        <f>"20190303162042767"</f>
        <v>20190303162042767</v>
      </c>
      <c r="B6543" t="str">
        <f>"1551601242758607"</f>
        <v>1551601242758607</v>
      </c>
      <c r="C6543" t="s">
        <v>40</v>
      </c>
      <c r="D6543">
        <v>4.0857289999999997</v>
      </c>
      <c r="E6543">
        <v>0.53197150000000004</v>
      </c>
      <c r="F6543" t="s">
        <v>71</v>
      </c>
      <c r="G6543">
        <v>-511.92770000000002</v>
      </c>
      <c r="H6543">
        <v>7.7107779999999897</v>
      </c>
      <c r="I6543">
        <v>159.16290000000001</v>
      </c>
      <c r="J6543">
        <v>-286.71789999999999</v>
      </c>
      <c r="K6543">
        <v>1.1214789999999999</v>
      </c>
      <c r="L6543">
        <v>141.92330000000001</v>
      </c>
      <c r="M6543">
        <v>-0.99988060000000001</v>
      </c>
      <c r="N6543">
        <v>-1.2803210000000001E-2</v>
      </c>
      <c r="O6543">
        <v>8.6709409999999997E-3</v>
      </c>
      <c r="P6543">
        <v>-0.99063889999999999</v>
      </c>
      <c r="Q6543">
        <v>0.13566500000000001</v>
      </c>
      <c r="R6543">
        <v>1.515767E-2</v>
      </c>
      <c r="S6543">
        <v>-3.0132140000000001</v>
      </c>
      <c r="T6543">
        <v>8.8054779999999999E-2</v>
      </c>
      <c r="U6543">
        <v>0.23040769999999999</v>
      </c>
      <c r="V6543">
        <v>6.5321069999999997E-3</v>
      </c>
      <c r="W6543">
        <v>0.1483399</v>
      </c>
      <c r="X6543">
        <v>0.98891479999999998</v>
      </c>
      <c r="Y6543">
        <v>6.758546E-2</v>
      </c>
      <c r="Z6543">
        <v>-1.887383E-4</v>
      </c>
      <c r="AA6543">
        <v>0.99771339999999997</v>
      </c>
      <c r="AB6543">
        <v>28</v>
      </c>
      <c r="AC6543">
        <v>-225.2098</v>
      </c>
      <c r="AD6543">
        <v>6.5892989999999996</v>
      </c>
      <c r="AE6543">
        <v>17.2395999999999</v>
      </c>
      <c r="AF6543">
        <v>15.2730127170526</v>
      </c>
      <c r="AG6543">
        <v>6.5892989999999996</v>
      </c>
      <c r="AH6543">
        <v>225.15920126928199</v>
      </c>
      <c r="AI6543">
        <v>88.327554653447294</v>
      </c>
      <c r="AJ6543">
        <v>86.119453601796593</v>
      </c>
      <c r="AK6543">
        <v>225.77278333534301</v>
      </c>
      <c r="AL6543">
        <v>81.469265892250405</v>
      </c>
      <c r="AM6543">
        <v>89.6215480651056</v>
      </c>
      <c r="AN6543">
        <v>0.99999993800645204</v>
      </c>
    </row>
    <row r="6544" spans="1:40" x14ac:dyDescent="0.25">
      <c r="A6544" t="str">
        <f>"20190303162042791"</f>
        <v>20190303162042791</v>
      </c>
      <c r="B6544" t="str">
        <f>"1551601242778589"</f>
        <v>1551601242778589</v>
      </c>
      <c r="C6544" t="s">
        <v>40</v>
      </c>
      <c r="D6544">
        <v>4.040089</v>
      </c>
      <c r="E6544">
        <v>0.53427279999999999</v>
      </c>
      <c r="F6544" t="s">
        <v>71</v>
      </c>
      <c r="G6544">
        <v>-510.17610000000002</v>
      </c>
      <c r="H6544">
        <v>6.9502709999999999</v>
      </c>
      <c r="I6544">
        <v>164.1876</v>
      </c>
      <c r="J6544">
        <v>-287.00409999999999</v>
      </c>
      <c r="K6544">
        <v>1.1214770000000001</v>
      </c>
      <c r="L6544">
        <v>141.9256</v>
      </c>
      <c r="M6544">
        <v>-0.99988169999999998</v>
      </c>
      <c r="N6544">
        <v>-1.2801750000000001E-2</v>
      </c>
      <c r="O6544">
        <v>8.5234360000000006E-3</v>
      </c>
      <c r="P6544">
        <v>-0.9907089</v>
      </c>
      <c r="Q6544">
        <v>0.13493450000000001</v>
      </c>
      <c r="R6544">
        <v>1.6989529999999999E-2</v>
      </c>
      <c r="S6544">
        <v>-3.0129999999999999</v>
      </c>
      <c r="T6544">
        <v>7.8593129999999997E-2</v>
      </c>
      <c r="U6544">
        <v>0.30020140000000001</v>
      </c>
      <c r="V6544">
        <v>8.5097560000000003E-3</v>
      </c>
      <c r="W6544">
        <v>0.14760989999999999</v>
      </c>
      <c r="X6544">
        <v>0.98900909999999997</v>
      </c>
      <c r="Y6544">
        <v>9.0649670000000002E-2</v>
      </c>
      <c r="Z6544">
        <v>-2.6686720000000002E-4</v>
      </c>
      <c r="AA6544">
        <v>0.99588279999999996</v>
      </c>
      <c r="AB6544">
        <v>28</v>
      </c>
      <c r="AC6544">
        <v>-223.172</v>
      </c>
      <c r="AD6544">
        <v>5.8287940000000003</v>
      </c>
      <c r="AE6544">
        <v>22.261999999999901</v>
      </c>
      <c r="AF6544">
        <v>20.345101385464901</v>
      </c>
      <c r="AG6544">
        <v>5.8287940000000003</v>
      </c>
      <c r="AH6544">
        <v>223.202899128051</v>
      </c>
      <c r="AI6544">
        <v>88.510272197288302</v>
      </c>
      <c r="AJ6544">
        <v>84.791841453064904</v>
      </c>
      <c r="AK6544">
        <v>224.203996773131</v>
      </c>
      <c r="AL6544">
        <v>81.511558348061499</v>
      </c>
      <c r="AM6544">
        <v>89.507020641544798</v>
      </c>
      <c r="AN6544">
        <v>1.00000004920399</v>
      </c>
    </row>
    <row r="6545" spans="1:40" x14ac:dyDescent="0.25">
      <c r="A6545" t="str">
        <f>"20190303162042814"</f>
        <v>20190303162042814</v>
      </c>
      <c r="B6545" t="str">
        <f>"1551601242808844"</f>
        <v>1551601242808844</v>
      </c>
      <c r="C6545" t="s">
        <v>40</v>
      </c>
      <c r="D6545">
        <v>4.0723089999999997</v>
      </c>
      <c r="E6545">
        <v>0.53603719999999999</v>
      </c>
      <c r="F6545" t="s">
        <v>63</v>
      </c>
      <c r="G6545">
        <v>-465.5607</v>
      </c>
      <c r="H6545">
        <v>4.7263679999999999</v>
      </c>
      <c r="I6545">
        <v>161.0916</v>
      </c>
      <c r="J6545">
        <v>-287.29140000000001</v>
      </c>
      <c r="K6545">
        <v>1.1214740000000001</v>
      </c>
      <c r="L6545">
        <v>141.92789999999999</v>
      </c>
      <c r="M6545">
        <v>-0.99988310000000002</v>
      </c>
      <c r="N6545">
        <v>-1.280032E-2</v>
      </c>
      <c r="O6545">
        <v>8.3750390000000008E-3</v>
      </c>
      <c r="P6545">
        <v>-0.99061779999999999</v>
      </c>
      <c r="Q6545">
        <v>0.135275799999999</v>
      </c>
      <c r="R6545">
        <v>1.942232E-2</v>
      </c>
      <c r="S6545">
        <v>-3.0142820000000001</v>
      </c>
      <c r="T6545">
        <v>6.0855510000000002E-2</v>
      </c>
      <c r="U6545">
        <v>0.32354739999999999</v>
      </c>
      <c r="V6545">
        <v>1.1090259999999999E-2</v>
      </c>
      <c r="W6545">
        <v>0.14794889999999999</v>
      </c>
      <c r="X6545">
        <v>0.98893279999999995</v>
      </c>
      <c r="Y6545">
        <v>9.8390770000000002E-2</v>
      </c>
      <c r="Z6545" s="1">
        <v>-8.3236719999999902E-5</v>
      </c>
      <c r="AA6545">
        <v>0.99514780000000003</v>
      </c>
      <c r="AB6545">
        <v>28</v>
      </c>
      <c r="AC6545">
        <v>-178.26929999999999</v>
      </c>
      <c r="AD6545">
        <v>3.6048939999999998</v>
      </c>
      <c r="AE6545">
        <v>19.163699999999999</v>
      </c>
      <c r="AF6545">
        <v>17.662753242428899</v>
      </c>
      <c r="AG6545">
        <v>3.6048939999999998</v>
      </c>
      <c r="AH6545">
        <v>178.35145947761299</v>
      </c>
      <c r="AI6545">
        <v>88.847713203016895</v>
      </c>
      <c r="AJ6545">
        <v>84.344245279323403</v>
      </c>
      <c r="AK6545">
        <v>179.26017742557499</v>
      </c>
      <c r="AL6545">
        <v>81.491918831677097</v>
      </c>
      <c r="AM6545">
        <v>89.357490765559504</v>
      </c>
      <c r="AN6545">
        <v>0.99999997689695796</v>
      </c>
    </row>
    <row r="6546" spans="1:40" x14ac:dyDescent="0.25">
      <c r="A6546" t="str">
        <f>"20190303162042835"</f>
        <v>20190303162042835</v>
      </c>
      <c r="B6546" t="str">
        <f>"1551601242829341"</f>
        <v>1551601242829341</v>
      </c>
      <c r="C6546" t="s">
        <v>40</v>
      </c>
      <c r="D6546">
        <v>4.0737870000000003</v>
      </c>
      <c r="E6546">
        <v>0.53638759999999996</v>
      </c>
      <c r="F6546" t="s">
        <v>63</v>
      </c>
      <c r="G6546">
        <v>-459.58620000000002</v>
      </c>
      <c r="H6546">
        <v>3.7275049999999998</v>
      </c>
      <c r="I6546">
        <v>161.6044</v>
      </c>
      <c r="J6546">
        <v>-287.55919999999998</v>
      </c>
      <c r="K6546">
        <v>1.121469</v>
      </c>
      <c r="L6546">
        <v>141.93</v>
      </c>
      <c r="M6546">
        <v>-0.9998842</v>
      </c>
      <c r="N6546">
        <v>-1.279899E-2</v>
      </c>
      <c r="O6546">
        <v>8.2367150000000004E-3</v>
      </c>
      <c r="P6546">
        <v>-0.99045030000000001</v>
      </c>
      <c r="Q6546">
        <v>0.13618659999999999</v>
      </c>
      <c r="R6546">
        <v>2.1493459999999999E-2</v>
      </c>
      <c r="S6546">
        <v>-3.0154719999999999</v>
      </c>
      <c r="T6546">
        <v>4.5610310000000001E-2</v>
      </c>
      <c r="U6546">
        <v>0.3443756</v>
      </c>
      <c r="V6546">
        <v>1.329965E-2</v>
      </c>
      <c r="W6546">
        <v>0.1488572</v>
      </c>
      <c r="X6546">
        <v>0.98876929999999996</v>
      </c>
      <c r="Y6546">
        <v>0.1052787</v>
      </c>
      <c r="Z6546">
        <v>1.116224E-4</v>
      </c>
      <c r="AA6546">
        <v>0.99444279999999996</v>
      </c>
      <c r="AB6546">
        <v>28</v>
      </c>
      <c r="AC6546">
        <v>-172.02699999999999</v>
      </c>
      <c r="AD6546">
        <v>2.606036</v>
      </c>
      <c r="AE6546">
        <v>19.674399999999899</v>
      </c>
      <c r="AF6546">
        <v>18.252544366369602</v>
      </c>
      <c r="AG6546">
        <v>2.606036</v>
      </c>
      <c r="AH6546">
        <v>172.14423352298701</v>
      </c>
      <c r="AI6546">
        <v>89.137517865723595</v>
      </c>
      <c r="AJ6546">
        <v>83.947512157562102</v>
      </c>
      <c r="AK6546">
        <v>173.12880735075899</v>
      </c>
      <c r="AL6546">
        <v>81.439294883154403</v>
      </c>
      <c r="AM6546">
        <v>89.229377505891804</v>
      </c>
      <c r="AN6546">
        <v>1.00000003765222</v>
      </c>
    </row>
    <row r="6547" spans="1:40" x14ac:dyDescent="0.25">
      <c r="A6547" t="str">
        <f>"20190303162042858"</f>
        <v>20190303162042858</v>
      </c>
      <c r="B6547" t="str">
        <f>"1551601242848862"</f>
        <v>1551601242848862</v>
      </c>
      <c r="C6547" t="s">
        <v>40</v>
      </c>
      <c r="D6547">
        <v>4.0612440000000003</v>
      </c>
      <c r="E6547">
        <v>0.53649709999999995</v>
      </c>
      <c r="F6547" t="s">
        <v>63</v>
      </c>
      <c r="G6547">
        <v>-459.875</v>
      </c>
      <c r="H6547">
        <v>3.3462070000000002</v>
      </c>
      <c r="I6547">
        <v>162.09630000000001</v>
      </c>
      <c r="J6547">
        <v>-287.84359999999998</v>
      </c>
      <c r="K6547">
        <v>1.1214729999999999</v>
      </c>
      <c r="L6547">
        <v>141.93209999999999</v>
      </c>
      <c r="M6547">
        <v>-0.99988540000000004</v>
      </c>
      <c r="N6547">
        <v>-1.2797630000000001E-2</v>
      </c>
      <c r="O6547">
        <v>8.0898659999999994E-3</v>
      </c>
      <c r="P6547">
        <v>-0.99035779999999995</v>
      </c>
      <c r="Q6547">
        <v>0.13662859999999999</v>
      </c>
      <c r="R6547">
        <v>2.2898040000000001E-2</v>
      </c>
      <c r="S6547">
        <v>-3.0158689999999999</v>
      </c>
      <c r="T6547">
        <v>3.8937329999999999E-2</v>
      </c>
      <c r="U6547">
        <v>0.35295100000000001</v>
      </c>
      <c r="V6547">
        <v>1.485027E-2</v>
      </c>
      <c r="W6547">
        <v>0.14929709999999999</v>
      </c>
      <c r="X6547">
        <v>0.98868080000000003</v>
      </c>
      <c r="Y6547">
        <v>0.10820109999999999</v>
      </c>
      <c r="Z6547">
        <v>2.0592550000000001E-4</v>
      </c>
      <c r="AA6547">
        <v>0.99412900000000004</v>
      </c>
      <c r="AB6547">
        <v>28</v>
      </c>
      <c r="AC6547">
        <v>-172.03139999999999</v>
      </c>
      <c r="AD6547">
        <v>2.2247340000000002</v>
      </c>
      <c r="AE6547">
        <v>20.164200000000001</v>
      </c>
      <c r="AF6547">
        <v>18.768618792527601</v>
      </c>
      <c r="AG6547">
        <v>2.2247340000000002</v>
      </c>
      <c r="AH6547">
        <v>172.160506686415</v>
      </c>
      <c r="AI6547">
        <v>89.264000135712706</v>
      </c>
      <c r="AJ6547">
        <v>83.778291106222497</v>
      </c>
      <c r="AK6547">
        <v>173.194834089453</v>
      </c>
      <c r="AL6547">
        <v>81.413804793047603</v>
      </c>
      <c r="AM6547">
        <v>89.1394656220494</v>
      </c>
      <c r="AN6547">
        <v>0.99999993943805898</v>
      </c>
    </row>
    <row r="6548" spans="1:40" x14ac:dyDescent="0.25">
      <c r="A6548" t="str">
        <f>"20190303162042881"</f>
        <v>20190303162042881</v>
      </c>
      <c r="B6548" t="str">
        <f>"1551601242869356"</f>
        <v>1551601242869356</v>
      </c>
      <c r="C6548" t="s">
        <v>40</v>
      </c>
      <c r="D6548">
        <v>4.0463310000000003</v>
      </c>
      <c r="E6548">
        <v>0.53621189999999996</v>
      </c>
      <c r="F6548" t="s">
        <v>63</v>
      </c>
      <c r="G6548">
        <v>-459.875</v>
      </c>
      <c r="H6548">
        <v>3.1254309999999998</v>
      </c>
      <c r="I6548">
        <v>162.34729999999999</v>
      </c>
      <c r="J6548">
        <v>-288.12849999999997</v>
      </c>
      <c r="K6548">
        <v>1.12148</v>
      </c>
      <c r="L6548">
        <v>141.93430000000001</v>
      </c>
      <c r="M6548">
        <v>-0.99988659999999996</v>
      </c>
      <c r="N6548">
        <v>-1.279629E-2</v>
      </c>
      <c r="O6548">
        <v>7.9429559999999993E-3</v>
      </c>
      <c r="P6548">
        <v>-0.99021550000000003</v>
      </c>
      <c r="Q6548">
        <v>0.13754060000000001</v>
      </c>
      <c r="R6548">
        <v>2.3574560000000001E-2</v>
      </c>
      <c r="S6548">
        <v>-3.0161129999999998</v>
      </c>
      <c r="T6548">
        <v>3.5134079999999998E-2</v>
      </c>
      <c r="U6548">
        <v>0.3579254</v>
      </c>
      <c r="V6548">
        <v>1.5673220000000002E-2</v>
      </c>
      <c r="W6548">
        <v>0.15020610000000001</v>
      </c>
      <c r="X6548">
        <v>0.98853049999999998</v>
      </c>
      <c r="Y6548">
        <v>0.10995530000000001</v>
      </c>
      <c r="Z6548">
        <v>2.6131610000000002E-4</v>
      </c>
      <c r="AA6548">
        <v>0.9939365</v>
      </c>
      <c r="AB6548">
        <v>28</v>
      </c>
      <c r="AC6548">
        <v>-171.7465</v>
      </c>
      <c r="AD6548">
        <v>2.0039509999999998</v>
      </c>
      <c r="AE6548">
        <v>20.412999999999901</v>
      </c>
      <c r="AF6548">
        <v>19.045512576386699</v>
      </c>
      <c r="AG6548">
        <v>2.0039509999999998</v>
      </c>
      <c r="AH6548">
        <v>171.880159587381</v>
      </c>
      <c r="AI6548">
        <v>89.336081749699602</v>
      </c>
      <c r="AJ6548">
        <v>83.677024659575196</v>
      </c>
      <c r="AK6548">
        <v>172.94373833328399</v>
      </c>
      <c r="AL6548">
        <v>81.3611297723089</v>
      </c>
      <c r="AM6548">
        <v>89.091647530792798</v>
      </c>
      <c r="AN6548">
        <v>1.0000000358663099</v>
      </c>
    </row>
    <row r="6549" spans="1:40" x14ac:dyDescent="0.25">
      <c r="A6549" t="str">
        <f>"20190303162042902"</f>
        <v>20190303162042902</v>
      </c>
      <c r="B6549" t="str">
        <f>"1551601242898637"</f>
        <v>1551601242898637</v>
      </c>
      <c r="C6549" t="s">
        <v>40</v>
      </c>
      <c r="D6549">
        <v>4.0671879999999998</v>
      </c>
      <c r="E6549">
        <v>0.53616819999999998</v>
      </c>
      <c r="F6549" t="s">
        <v>63</v>
      </c>
      <c r="G6549">
        <v>-459.875</v>
      </c>
      <c r="H6549">
        <v>3.095459</v>
      </c>
      <c r="I6549">
        <v>162.2818</v>
      </c>
      <c r="J6549">
        <v>-288.39870000000002</v>
      </c>
      <c r="K6549">
        <v>1.121486</v>
      </c>
      <c r="L6549">
        <v>141.93629999999999</v>
      </c>
      <c r="M6549">
        <v>-0.99988770000000005</v>
      </c>
      <c r="N6549">
        <v>-1.2795050000000001E-2</v>
      </c>
      <c r="O6549">
        <v>7.8034369999999999E-3</v>
      </c>
      <c r="P6549">
        <v>-0.99006240000000001</v>
      </c>
      <c r="Q6549">
        <v>0.1385506</v>
      </c>
      <c r="R6549">
        <v>2.409594E-2</v>
      </c>
      <c r="S6549">
        <v>-3.0163570000000002</v>
      </c>
      <c r="T6549">
        <v>3.466868E-2</v>
      </c>
      <c r="U6549">
        <v>0.35736079999999998</v>
      </c>
      <c r="V6549">
        <v>1.6334020000000001E-2</v>
      </c>
      <c r="W6549">
        <v>0.15121289999999901</v>
      </c>
      <c r="X6549">
        <v>0.98836619999999997</v>
      </c>
      <c r="Y6549">
        <v>0.1099012</v>
      </c>
      <c r="Z6549">
        <v>2.6508489999999999E-4</v>
      </c>
      <c r="AA6549">
        <v>0.99394249999999995</v>
      </c>
      <c r="AB6549">
        <v>28</v>
      </c>
      <c r="AC6549">
        <v>-171.47629999999899</v>
      </c>
      <c r="AD6549">
        <v>1.973973</v>
      </c>
      <c r="AE6549">
        <v>20.345500000000001</v>
      </c>
      <c r="AF6549">
        <v>19.004182964601501</v>
      </c>
      <c r="AG6549">
        <v>1.973973</v>
      </c>
      <c r="AH6549">
        <v>171.60743063836699</v>
      </c>
      <c r="AI6549">
        <v>89.344968825013396</v>
      </c>
      <c r="AJ6549">
        <v>83.680688854559406</v>
      </c>
      <c r="AK6549">
        <v>172.66779025011701</v>
      </c>
      <c r="AL6549">
        <v>81.302777080062</v>
      </c>
      <c r="AM6549">
        <v>89.0531998955354</v>
      </c>
      <c r="AN6549">
        <v>0.99999994331910302</v>
      </c>
    </row>
    <row r="6550" spans="1:40" x14ac:dyDescent="0.25">
      <c r="A6550" t="str">
        <f>"20190303162042925"</f>
        <v>20190303162042925</v>
      </c>
      <c r="B6550" t="str">
        <f>"1551601242919133"</f>
        <v>1551601242919133</v>
      </c>
      <c r="C6550" t="s">
        <v>40</v>
      </c>
      <c r="D6550">
        <v>4.0311149999999998</v>
      </c>
      <c r="E6550">
        <v>0.53603269999999903</v>
      </c>
      <c r="F6550" t="s">
        <v>63</v>
      </c>
      <c r="G6550">
        <v>-459.875</v>
      </c>
      <c r="H6550">
        <v>3.093235</v>
      </c>
      <c r="I6550">
        <v>162.27510000000001</v>
      </c>
      <c r="J6550">
        <v>-288.6823</v>
      </c>
      <c r="K6550">
        <v>1.121491</v>
      </c>
      <c r="L6550">
        <v>141.9383</v>
      </c>
      <c r="M6550">
        <v>-0.99988900000000003</v>
      </c>
      <c r="N6550">
        <v>-1.279374E-2</v>
      </c>
      <c r="O6550">
        <v>7.6570029999999999E-3</v>
      </c>
      <c r="P6550">
        <v>-0.98982969999999904</v>
      </c>
      <c r="Q6550">
        <v>0.14011989999999999</v>
      </c>
      <c r="R6550">
        <v>2.4572819999999999E-2</v>
      </c>
      <c r="S6550">
        <v>-3.0165099999999998</v>
      </c>
      <c r="T6550">
        <v>3.4685849999999997E-2</v>
      </c>
      <c r="U6550">
        <v>0.3577881</v>
      </c>
      <c r="V6550">
        <v>1.6957070000000001E-2</v>
      </c>
      <c r="W6550">
        <v>0.1527781</v>
      </c>
      <c r="X6550">
        <v>0.98811499999999997</v>
      </c>
      <c r="Y6550">
        <v>0.1101796</v>
      </c>
      <c r="Z6550">
        <v>2.6141910000000002E-4</v>
      </c>
      <c r="AA6550">
        <v>0.99391169999999995</v>
      </c>
      <c r="AB6550">
        <v>28</v>
      </c>
      <c r="AC6550">
        <v>-171.1927</v>
      </c>
      <c r="AD6550">
        <v>1.9717439999999999</v>
      </c>
      <c r="AE6550">
        <v>20.3368</v>
      </c>
      <c r="AF6550">
        <v>19.0227852350889</v>
      </c>
      <c r="AG6550">
        <v>1.9717439999999999</v>
      </c>
      <c r="AH6550">
        <v>171.321001590734</v>
      </c>
      <c r="AI6550">
        <v>89.344635698718704</v>
      </c>
      <c r="AJ6550">
        <v>83.664063815553206</v>
      </c>
      <c r="AK6550">
        <v>172.385149356185</v>
      </c>
      <c r="AL6550">
        <v>81.212043744916798</v>
      </c>
      <c r="AM6550">
        <v>89.016841982140605</v>
      </c>
      <c r="AN6550">
        <v>0.99999997164379695</v>
      </c>
    </row>
    <row r="6551" spans="1:40" x14ac:dyDescent="0.25">
      <c r="A6551" t="str">
        <f>"20190303162042947"</f>
        <v>20190303162042947</v>
      </c>
      <c r="B6551" t="str">
        <f>"1551601242938653"</f>
        <v>1551601242938653</v>
      </c>
      <c r="C6551" t="s">
        <v>40</v>
      </c>
      <c r="D6551">
        <v>4.006761</v>
      </c>
      <c r="E6551">
        <v>0.53612579999999999</v>
      </c>
      <c r="F6551" t="s">
        <v>63</v>
      </c>
      <c r="G6551">
        <v>-459.875</v>
      </c>
      <c r="H6551">
        <v>3.3198829999999999</v>
      </c>
      <c r="I6551">
        <v>162.2465</v>
      </c>
      <c r="J6551">
        <v>-288.95319999999998</v>
      </c>
      <c r="K6551">
        <v>1.1214980000000001</v>
      </c>
      <c r="L6551">
        <v>141.9402</v>
      </c>
      <c r="M6551">
        <v>-0.99988999999999995</v>
      </c>
      <c r="N6551">
        <v>-1.279249E-2</v>
      </c>
      <c r="O6551">
        <v>7.5169499999999997E-3</v>
      </c>
      <c r="P6551">
        <v>-0.98970009999999997</v>
      </c>
      <c r="Q6551">
        <v>0.1410989</v>
      </c>
      <c r="R6551">
        <v>2.418501E-2</v>
      </c>
      <c r="S6551">
        <v>-3.0164490000000002</v>
      </c>
      <c r="T6551">
        <v>3.8736100000000002E-2</v>
      </c>
      <c r="U6551">
        <v>0.35783389999999998</v>
      </c>
      <c r="V6551">
        <v>1.6708839999999999E-2</v>
      </c>
      <c r="W6551">
        <v>0.153754</v>
      </c>
      <c r="X6551">
        <v>0.98796779999999995</v>
      </c>
      <c r="Y6551">
        <v>0.1103354</v>
      </c>
      <c r="Z6551">
        <v>1.9429690000000001E-4</v>
      </c>
      <c r="AA6551">
        <v>0.99389439999999996</v>
      </c>
      <c r="AB6551">
        <v>28</v>
      </c>
      <c r="AC6551">
        <v>-170.92179999999999</v>
      </c>
      <c r="AD6551">
        <v>2.198385</v>
      </c>
      <c r="AE6551">
        <v>20.3063</v>
      </c>
      <c r="AF6551">
        <v>19.017708239308099</v>
      </c>
      <c r="AG6551">
        <v>2.198385</v>
      </c>
      <c r="AH6551">
        <v>171.04172262828101</v>
      </c>
      <c r="AI6551">
        <v>89.268132198876003</v>
      </c>
      <c r="AJ6551">
        <v>83.655482686062896</v>
      </c>
      <c r="AK6551">
        <v>172.10978183396099</v>
      </c>
      <c r="AL6551">
        <v>81.155459845163094</v>
      </c>
      <c r="AM6551">
        <v>89.031087093506301</v>
      </c>
      <c r="AN6551">
        <v>0.99999992584348996</v>
      </c>
    </row>
    <row r="6552" spans="1:40" x14ac:dyDescent="0.25">
      <c r="A6552" t="str">
        <f>"20190303162042969"</f>
        <v>20190303162042969</v>
      </c>
      <c r="B6552" t="str">
        <f>"1551601242959149"</f>
        <v>1551601242959149</v>
      </c>
      <c r="C6552" t="s">
        <v>40</v>
      </c>
      <c r="D6552">
        <v>3.9652229999999999</v>
      </c>
      <c r="E6552">
        <v>0.53611019999999998</v>
      </c>
      <c r="F6552" t="s">
        <v>63</v>
      </c>
      <c r="G6552">
        <v>-459.875</v>
      </c>
      <c r="H6552">
        <v>3.5761440000000002</v>
      </c>
      <c r="I6552">
        <v>162.20320000000001</v>
      </c>
      <c r="J6552">
        <v>-289.22919999999999</v>
      </c>
      <c r="K6552">
        <v>1.121499</v>
      </c>
      <c r="L6552">
        <v>141.94210000000001</v>
      </c>
      <c r="M6552">
        <v>-0.99989099999999997</v>
      </c>
      <c r="N6552">
        <v>-1.2791240000000001E-2</v>
      </c>
      <c r="O6552">
        <v>7.3742139999999996E-3</v>
      </c>
      <c r="P6552">
        <v>-0.98964129999999995</v>
      </c>
      <c r="Q6552">
        <v>0.1415825</v>
      </c>
      <c r="R6552">
        <v>2.37641E-2</v>
      </c>
      <c r="S6552">
        <v>-3.016327</v>
      </c>
      <c r="T6552">
        <v>4.331815E-2</v>
      </c>
      <c r="U6552">
        <v>0.35758970000000001</v>
      </c>
      <c r="V6552">
        <v>1.6429740000000002E-2</v>
      </c>
      <c r="W6552">
        <v>0.15423510000000001</v>
      </c>
      <c r="X6552">
        <v>0.98789760000000004</v>
      </c>
      <c r="Y6552">
        <v>0.11040179999999999</v>
      </c>
      <c r="Z6552">
        <v>1.181549E-4</v>
      </c>
      <c r="AA6552">
        <v>0.99388699999999996</v>
      </c>
      <c r="AB6552">
        <v>28</v>
      </c>
      <c r="AC6552">
        <v>-170.64580000000001</v>
      </c>
      <c r="AD6552">
        <v>2.4546450000000002</v>
      </c>
      <c r="AE6552">
        <v>20.261099999999999</v>
      </c>
      <c r="AF6552">
        <v>18.998191098920401</v>
      </c>
      <c r="AG6552">
        <v>2.4546450000000002</v>
      </c>
      <c r="AH6552">
        <v>170.75574101266699</v>
      </c>
      <c r="AI6552">
        <v>89.181469303692793</v>
      </c>
      <c r="AJ6552">
        <v>83.651412426486402</v>
      </c>
      <c r="AK6552">
        <v>171.82688857071301</v>
      </c>
      <c r="AL6552">
        <v>81.127563048742402</v>
      </c>
      <c r="AM6552">
        <v>89.047200858755602</v>
      </c>
      <c r="AN6552">
        <v>1.0000000352571099</v>
      </c>
    </row>
    <row r="6553" spans="1:40" x14ac:dyDescent="0.25">
      <c r="A6553" t="str">
        <f>"20190303162042992"</f>
        <v>20190303162042992</v>
      </c>
      <c r="B6553" t="str">
        <f>"1551601242978669"</f>
        <v>1551601242978669</v>
      </c>
      <c r="C6553" t="s">
        <v>40</v>
      </c>
      <c r="D6553">
        <v>3.961535</v>
      </c>
      <c r="E6553">
        <v>0.53603880000000004</v>
      </c>
      <c r="F6553" t="s">
        <v>63</v>
      </c>
      <c r="G6553">
        <v>-459.875</v>
      </c>
      <c r="H6553">
        <v>3.689924</v>
      </c>
      <c r="I6553">
        <v>162.10730000000001</v>
      </c>
      <c r="J6553">
        <v>-289.51729999999998</v>
      </c>
      <c r="K6553">
        <v>1.121499</v>
      </c>
      <c r="L6553">
        <v>141.94409999999999</v>
      </c>
      <c r="M6553">
        <v>-0.99989220000000001</v>
      </c>
      <c r="N6553">
        <v>-1.278989E-2</v>
      </c>
      <c r="O6553">
        <v>7.2253969999999997E-3</v>
      </c>
      <c r="P6553">
        <v>-0.98970880000000006</v>
      </c>
      <c r="Q6553">
        <v>0.14118220000000001</v>
      </c>
      <c r="R6553">
        <v>2.3334959999999998E-2</v>
      </c>
      <c r="S6553">
        <v>-3.0163880000000001</v>
      </c>
      <c r="T6553">
        <v>4.5400259999999998E-2</v>
      </c>
      <c r="U6553">
        <v>0.35644530000000002</v>
      </c>
      <c r="V6553">
        <v>1.6147479999999999E-2</v>
      </c>
      <c r="W6553">
        <v>0.15383459999999999</v>
      </c>
      <c r="X6553">
        <v>0.98796470000000003</v>
      </c>
      <c r="Y6553">
        <v>0.11017490000000001</v>
      </c>
      <c r="Z6553" s="1">
        <v>8.1279780000000006E-5</v>
      </c>
      <c r="AA6553">
        <v>0.99391220000000002</v>
      </c>
      <c r="AB6553">
        <v>28</v>
      </c>
      <c r="AC6553">
        <v>-170.35769999999999</v>
      </c>
      <c r="AD6553">
        <v>2.568425</v>
      </c>
      <c r="AE6553">
        <v>20.1632</v>
      </c>
      <c r="AF6553">
        <v>18.9274281283761</v>
      </c>
      <c r="AG6553">
        <v>2.568425</v>
      </c>
      <c r="AH6553">
        <v>170.46073996382799</v>
      </c>
      <c r="AI6553">
        <v>89.142030578785906</v>
      </c>
      <c r="AJ6553">
        <v>83.664009749373193</v>
      </c>
      <c r="AK6553">
        <v>171.52757274430101</v>
      </c>
      <c r="AL6553">
        <v>81.150787192384996</v>
      </c>
      <c r="AM6553">
        <v>89.063630426383895</v>
      </c>
      <c r="AN6553">
        <v>1.0000000368567901</v>
      </c>
    </row>
    <row r="6554" spans="1:40" x14ac:dyDescent="0.25">
      <c r="A6554" t="str">
        <f>"20190303162043013"</f>
        <v>20190303162043013</v>
      </c>
      <c r="B6554" t="str">
        <f>"1551601243008925"</f>
        <v>1551601243008925</v>
      </c>
      <c r="C6554" t="s">
        <v>40</v>
      </c>
      <c r="D6554">
        <v>4.003622</v>
      </c>
      <c r="E6554">
        <v>0.51874979999999904</v>
      </c>
      <c r="F6554" t="s">
        <v>63</v>
      </c>
      <c r="G6554">
        <v>-459.58620000000002</v>
      </c>
      <c r="H6554">
        <v>3.6035750000000002</v>
      </c>
      <c r="I6554">
        <v>161.92859999999999</v>
      </c>
      <c r="J6554">
        <v>-289.78919999999999</v>
      </c>
      <c r="K6554">
        <v>1.1214959999999901</v>
      </c>
      <c r="L6554">
        <v>141.94579999999999</v>
      </c>
      <c r="M6554">
        <v>-0.99989309999999998</v>
      </c>
      <c r="N6554">
        <v>-1.278863E-2</v>
      </c>
      <c r="O6554">
        <v>7.0851610000000004E-3</v>
      </c>
      <c r="P6554">
        <v>-0.98973979999999995</v>
      </c>
      <c r="Q6554">
        <v>0.14108950000000001</v>
      </c>
      <c r="R6554">
        <v>2.2558109999999999E-2</v>
      </c>
      <c r="S6554">
        <v>-3.0166019999999998</v>
      </c>
      <c r="T6554">
        <v>4.40259E-2</v>
      </c>
      <c r="U6554">
        <v>0.35447689999999998</v>
      </c>
      <c r="V6554">
        <v>1.5509139999999999E-2</v>
      </c>
      <c r="W6554">
        <v>0.15374079999999901</v>
      </c>
      <c r="X6554">
        <v>0.98798949999999996</v>
      </c>
      <c r="Y6554">
        <v>0.10966670000000001</v>
      </c>
      <c r="Z6554" s="1">
        <v>9.9535679999999995E-5</v>
      </c>
      <c r="AA6554">
        <v>0.99396839999999997</v>
      </c>
      <c r="AB6554">
        <v>28</v>
      </c>
      <c r="AC6554">
        <v>-169.797</v>
      </c>
      <c r="AD6554">
        <v>2.4820790000000001</v>
      </c>
      <c r="AE6554">
        <v>19.982800000000001</v>
      </c>
      <c r="AF6554">
        <v>18.775203705755999</v>
      </c>
      <c r="AG6554">
        <v>2.4820790000000001</v>
      </c>
      <c r="AH6554">
        <v>169.89852174933401</v>
      </c>
      <c r="AI6554">
        <v>89.168078496294498</v>
      </c>
      <c r="AJ6554">
        <v>83.693925541285907</v>
      </c>
      <c r="AK6554">
        <v>170.95080193717601</v>
      </c>
      <c r="AL6554">
        <v>81.156225996331898</v>
      </c>
      <c r="AM6554">
        <v>89.100663228450699</v>
      </c>
      <c r="AN6554">
        <v>1.0000000095592101</v>
      </c>
    </row>
    <row r="6555" spans="1:40" x14ac:dyDescent="0.25">
      <c r="A6555" t="str">
        <f>"20190303162043036"</f>
        <v>20190303162043036</v>
      </c>
      <c r="B6555" t="str">
        <f>"1551601243029421"</f>
        <v>1551601243029421</v>
      </c>
      <c r="C6555" t="s">
        <v>40</v>
      </c>
      <c r="D6555">
        <v>3.9711539999999999</v>
      </c>
      <c r="E6555">
        <v>0.51553090000000001</v>
      </c>
      <c r="F6555" t="s">
        <v>71</v>
      </c>
      <c r="G6555">
        <v>-511.92649999999998</v>
      </c>
      <c r="H6555">
        <v>3.7758660000000002</v>
      </c>
      <c r="I6555">
        <v>157.678</v>
      </c>
      <c r="J6555">
        <v>-290.06369999999998</v>
      </c>
      <c r="K6555">
        <v>1.1214919999999999</v>
      </c>
      <c r="L6555">
        <v>141.94759999999999</v>
      </c>
      <c r="M6555">
        <v>-0.99989419999999996</v>
      </c>
      <c r="N6555">
        <v>-1.2787339999999999E-2</v>
      </c>
      <c r="O6555">
        <v>6.9433769999999997E-3</v>
      </c>
      <c r="P6555">
        <v>-0.9897494</v>
      </c>
      <c r="Q6555">
        <v>0.14112529999999901</v>
      </c>
      <c r="R6555">
        <v>2.1907780000000002E-2</v>
      </c>
      <c r="S6555">
        <v>-3.0210880000000002</v>
      </c>
      <c r="T6555">
        <v>3.6100269999999997E-2</v>
      </c>
      <c r="U6555">
        <v>0.2139587</v>
      </c>
      <c r="V6555">
        <v>1.4999200000000001E-2</v>
      </c>
      <c r="W6555">
        <v>0.1537752</v>
      </c>
      <c r="X6555">
        <v>0.98799199999999998</v>
      </c>
      <c r="Y6555">
        <v>6.371897E-2</v>
      </c>
      <c r="Z6555">
        <v>1.992467E-4</v>
      </c>
      <c r="AA6555">
        <v>0.99796779999999996</v>
      </c>
      <c r="AB6555">
        <v>28</v>
      </c>
      <c r="AC6555">
        <v>-221.86279999999999</v>
      </c>
      <c r="AD6555">
        <v>2.6543739999999998</v>
      </c>
      <c r="AE6555">
        <v>15.730399999999999</v>
      </c>
      <c r="AF6555">
        <v>14.187397230490999</v>
      </c>
      <c r="AG6555">
        <v>2.6543739999999998</v>
      </c>
      <c r="AH6555">
        <v>221.935073557517</v>
      </c>
      <c r="AI6555">
        <v>89.316162968690506</v>
      </c>
      <c r="AJ6555">
        <v>86.342293279511097</v>
      </c>
      <c r="AK6555">
        <v>222.403922664345</v>
      </c>
      <c r="AL6555">
        <v>81.154231128180996</v>
      </c>
      <c r="AM6555">
        <v>89.130230971849201</v>
      </c>
      <c r="AN6555">
        <v>0.99999999009983997</v>
      </c>
    </row>
    <row r="6556" spans="1:40" x14ac:dyDescent="0.25">
      <c r="A6556" t="str">
        <f>"20190303162043052"</f>
        <v>20190303162043052</v>
      </c>
      <c r="B6556" t="str">
        <f>"1551601243039182"</f>
        <v>1551601243039182</v>
      </c>
      <c r="C6556" t="s">
        <v>40</v>
      </c>
      <c r="D6556">
        <v>3.9236369999999998</v>
      </c>
      <c r="E6556">
        <v>0.51518509999999995</v>
      </c>
      <c r="F6556" t="s">
        <v>71</v>
      </c>
      <c r="G6556">
        <v>-511.92680000000001</v>
      </c>
      <c r="H6556">
        <v>5.0123639999999998</v>
      </c>
      <c r="I6556">
        <v>155.6499</v>
      </c>
      <c r="J6556">
        <v>-290.2611</v>
      </c>
      <c r="K6556">
        <v>1.1214919999999999</v>
      </c>
      <c r="L6556">
        <v>141.94890000000001</v>
      </c>
      <c r="M6556">
        <v>-0.99989490000000003</v>
      </c>
      <c r="N6556">
        <v>-1.278641E-2</v>
      </c>
      <c r="O6556">
        <v>6.8414050000000001E-3</v>
      </c>
      <c r="P6556">
        <v>-0.98977119999999996</v>
      </c>
      <c r="Q6556">
        <v>0.1410537</v>
      </c>
      <c r="R6556">
        <v>2.1379220000000001E-2</v>
      </c>
      <c r="S6556">
        <v>-3.0193789999999998</v>
      </c>
      <c r="T6556">
        <v>5.295217E-2</v>
      </c>
      <c r="U6556">
        <v>0.1864777</v>
      </c>
      <c r="V6556">
        <v>1.457165E-2</v>
      </c>
      <c r="W6556">
        <v>0.15370259999999999</v>
      </c>
      <c r="X6556">
        <v>0.98800969999999999</v>
      </c>
      <c r="Y6556">
        <v>5.4813309999999997E-2</v>
      </c>
      <c r="Z6556" s="1">
        <v>7.7880510000000002E-5</v>
      </c>
      <c r="AA6556">
        <v>0.99849659999999996</v>
      </c>
      <c r="AB6556">
        <v>28</v>
      </c>
      <c r="AC6556">
        <v>-221.66569999999999</v>
      </c>
      <c r="AD6556">
        <v>3.8908719999999999</v>
      </c>
      <c r="AE6556">
        <v>13.700999999999899</v>
      </c>
      <c r="AF6556">
        <v>12.180312061052399</v>
      </c>
      <c r="AG6556">
        <v>3.8908719999999999</v>
      </c>
      <c r="AH6556">
        <v>221.686210937499</v>
      </c>
      <c r="AI6556">
        <v>88.996004197263204</v>
      </c>
      <c r="AJ6556">
        <v>86.855106691463703</v>
      </c>
      <c r="AK6556">
        <v>222.054666707661</v>
      </c>
      <c r="AL6556">
        <v>81.158440890606798</v>
      </c>
      <c r="AM6556">
        <v>89.155035098709007</v>
      </c>
      <c r="AN6556">
        <v>0.99999999476228596</v>
      </c>
    </row>
    <row r="6557" spans="1:40" x14ac:dyDescent="0.25">
      <c r="A6557" t="str">
        <f>"20190303162043072"</f>
        <v>20190303162043072</v>
      </c>
      <c r="B6557" t="str">
        <f>"1551601243058702"</f>
        <v>1551601243058702</v>
      </c>
      <c r="C6557" t="s">
        <v>40</v>
      </c>
      <c r="D6557">
        <v>4.0191039999999996</v>
      </c>
      <c r="E6557">
        <v>0.51461590000000001</v>
      </c>
      <c r="F6557" t="s">
        <v>71</v>
      </c>
      <c r="G6557">
        <v>-511.92689999999999</v>
      </c>
      <c r="H6557">
        <v>5.1389120000000004</v>
      </c>
      <c r="I6557">
        <v>155.3236</v>
      </c>
      <c r="J6557">
        <v>-290.49689999999998</v>
      </c>
      <c r="K6557">
        <v>1.121491</v>
      </c>
      <c r="L6557">
        <v>141.9503</v>
      </c>
      <c r="M6557">
        <v>-0.99989570000000005</v>
      </c>
      <c r="N6557">
        <v>-1.2785309999999999E-2</v>
      </c>
      <c r="O6557">
        <v>6.7196469999999996E-3</v>
      </c>
      <c r="P6557">
        <v>-0.98978949999999999</v>
      </c>
      <c r="Q6557">
        <v>0.141018</v>
      </c>
      <c r="R6557">
        <v>2.0754450000000001E-2</v>
      </c>
      <c r="S6557">
        <v>-3.0192570000000001</v>
      </c>
      <c r="T6557">
        <v>5.472088E-2</v>
      </c>
      <c r="U6557">
        <v>0.18217469999999999</v>
      </c>
      <c r="V6557">
        <v>1.4067349999999999E-2</v>
      </c>
      <c r="W6557">
        <v>0.15366629999999901</v>
      </c>
      <c r="X6557">
        <v>0.98802259999999997</v>
      </c>
      <c r="Y6557">
        <v>5.3519339999999999E-2</v>
      </c>
      <c r="Z6557" s="1">
        <v>6.5443219999999897E-5</v>
      </c>
      <c r="AA6557">
        <v>0.99856679999999998</v>
      </c>
      <c r="AB6557">
        <v>28</v>
      </c>
      <c r="AC6557">
        <v>-221.43</v>
      </c>
      <c r="AD6557">
        <v>4.0174209999999997</v>
      </c>
      <c r="AE6557">
        <v>13.3733</v>
      </c>
      <c r="AF6557">
        <v>11.8810482951117</v>
      </c>
      <c r="AG6557">
        <v>4.0174209999999997</v>
      </c>
      <c r="AH6557">
        <v>221.44224365417199</v>
      </c>
      <c r="AI6557">
        <v>88.962142307515407</v>
      </c>
      <c r="AJ6557">
        <v>86.928852235431705</v>
      </c>
      <c r="AK6557">
        <v>221.79712859880701</v>
      </c>
      <c r="AL6557">
        <v>81.160545245945201</v>
      </c>
      <c r="AM6557">
        <v>89.184284522248504</v>
      </c>
      <c r="AN6557">
        <v>0.99999994010123405</v>
      </c>
    </row>
    <row r="6558" spans="1:40" x14ac:dyDescent="0.25">
      <c r="A6558" t="str">
        <f>"20190303162043093"</f>
        <v>20190303162043093</v>
      </c>
      <c r="B6558" t="str">
        <f>"1551601243079197"</f>
        <v>1551601243079197</v>
      </c>
      <c r="C6558" t="s">
        <v>40</v>
      </c>
      <c r="D6558">
        <v>3.9769220000000001</v>
      </c>
      <c r="E6558">
        <v>0.51427449999999997</v>
      </c>
      <c r="F6558" t="s">
        <v>71</v>
      </c>
      <c r="G6558">
        <v>-511.92680000000001</v>
      </c>
      <c r="H6558">
        <v>4.7819940000000001</v>
      </c>
      <c r="I6558">
        <v>154.8304</v>
      </c>
      <c r="J6558">
        <v>-290.77949999999998</v>
      </c>
      <c r="K6558">
        <v>1.1214839999999999</v>
      </c>
      <c r="L6558">
        <v>141.9521</v>
      </c>
      <c r="M6558">
        <v>-0.99989680000000003</v>
      </c>
      <c r="N6558">
        <v>-1.278403E-2</v>
      </c>
      <c r="O6558">
        <v>6.5734549999999997E-3</v>
      </c>
      <c r="P6558">
        <v>-0.98987829999999999</v>
      </c>
      <c r="Q6558">
        <v>0.1403856</v>
      </c>
      <c r="R6558">
        <v>2.081301E-2</v>
      </c>
      <c r="S6558">
        <v>-3.0201419999999999</v>
      </c>
      <c r="T6558">
        <v>4.9927119999999998E-2</v>
      </c>
      <c r="U6558">
        <v>0.17567439999999901</v>
      </c>
      <c r="V6558">
        <v>1.427031E-2</v>
      </c>
      <c r="W6558">
        <v>0.15303349999999999</v>
      </c>
      <c r="X6558">
        <v>0.98811789999999999</v>
      </c>
      <c r="Y6558">
        <v>5.1506549999999998E-2</v>
      </c>
      <c r="Z6558" s="1">
        <v>9.6703820000000002E-5</v>
      </c>
      <c r="AA6558">
        <v>0.99867269999999997</v>
      </c>
      <c r="AB6558">
        <v>28</v>
      </c>
      <c r="AC6558">
        <v>-221.1473</v>
      </c>
      <c r="AD6558">
        <v>3.6605099999999999</v>
      </c>
      <c r="AE6558">
        <v>12.8782999999999</v>
      </c>
      <c r="AF6558">
        <v>11.4210826875692</v>
      </c>
      <c r="AG6558">
        <v>3.6605099999999999</v>
      </c>
      <c r="AH6558">
        <v>221.16679245257501</v>
      </c>
      <c r="AI6558">
        <v>89.053051264663907</v>
      </c>
      <c r="AJ6558">
        <v>87.043864143559404</v>
      </c>
      <c r="AK6558">
        <v>221.491739229654</v>
      </c>
      <c r="AL6558">
        <v>81.197235989043605</v>
      </c>
      <c r="AM6558">
        <v>89.172597016479898</v>
      </c>
      <c r="AN6558">
        <v>0.99999993908507601</v>
      </c>
    </row>
    <row r="6559" spans="1:40" x14ac:dyDescent="0.25">
      <c r="A6559" t="str">
        <f>"20190303162043116"</f>
        <v>20190303162043116</v>
      </c>
      <c r="B6559" t="str">
        <f>"1551601243109454"</f>
        <v>1551601243109454</v>
      </c>
      <c r="C6559" t="s">
        <v>40</v>
      </c>
      <c r="D6559">
        <v>3.8918490000000001</v>
      </c>
      <c r="E6559">
        <v>0.51441000000000003</v>
      </c>
      <c r="F6559" t="s">
        <v>71</v>
      </c>
      <c r="G6559">
        <v>-511.92669999999998</v>
      </c>
      <c r="H6559">
        <v>4.4517199999999999</v>
      </c>
      <c r="I6559">
        <v>154.61369999999999</v>
      </c>
      <c r="J6559">
        <v>-291.05619999999999</v>
      </c>
      <c r="K6559">
        <v>1.1214850000000001</v>
      </c>
      <c r="L6559">
        <v>141.9537</v>
      </c>
      <c r="M6559">
        <v>-0.9998977</v>
      </c>
      <c r="N6559">
        <v>-1.27828E-2</v>
      </c>
      <c r="O6559">
        <v>6.4304779999999999E-3</v>
      </c>
      <c r="P6559">
        <v>-0.98993489999999995</v>
      </c>
      <c r="Q6559">
        <v>0.1399611</v>
      </c>
      <c r="R6559">
        <v>2.0979879999999999E-2</v>
      </c>
      <c r="S6559">
        <v>-3.0205989999999998</v>
      </c>
      <c r="T6559">
        <v>4.5487519999999997E-2</v>
      </c>
      <c r="U6559">
        <v>0.17294309999999999</v>
      </c>
      <c r="V6559">
        <v>1.457845E-2</v>
      </c>
      <c r="W6559">
        <v>0.15260899999999999</v>
      </c>
      <c r="X6559">
        <v>0.98817909999999998</v>
      </c>
      <c r="Y6559">
        <v>5.0740920000000002E-2</v>
      </c>
      <c r="Z6559">
        <v>1.217435E-4</v>
      </c>
      <c r="AA6559">
        <v>0.99871180000000004</v>
      </c>
      <c r="AB6559">
        <v>28</v>
      </c>
      <c r="AC6559">
        <v>-220.87049999999999</v>
      </c>
      <c r="AD6559">
        <v>3.3302350000000001</v>
      </c>
      <c r="AE6559">
        <v>12.659999999999901</v>
      </c>
      <c r="AF6559">
        <v>11.2367731793658</v>
      </c>
      <c r="AG6559">
        <v>3.3302350000000001</v>
      </c>
      <c r="AH6559">
        <v>220.897294925268</v>
      </c>
      <c r="AI6559">
        <v>89.137392698792794</v>
      </c>
      <c r="AJ6559">
        <v>87.087944347014997</v>
      </c>
      <c r="AK6559">
        <v>221.207980059357</v>
      </c>
      <c r="AL6559">
        <v>81.221847549489794</v>
      </c>
      <c r="AM6559">
        <v>89.154785740820003</v>
      </c>
      <c r="AN6559">
        <v>0.99999998588110595</v>
      </c>
    </row>
    <row r="6560" spans="1:40" x14ac:dyDescent="0.25">
      <c r="A6560" t="str">
        <f>"20190303162043138"</f>
        <v>20190303162043138</v>
      </c>
      <c r="B6560" t="str">
        <f>"1551601243128974"</f>
        <v>1551601243128974</v>
      </c>
      <c r="C6560" t="s">
        <v>40</v>
      </c>
      <c r="D6560">
        <v>3.957449</v>
      </c>
      <c r="E6560">
        <v>0.51427129999999999</v>
      </c>
      <c r="F6560" t="s">
        <v>71</v>
      </c>
      <c r="G6560">
        <v>-511.92680000000001</v>
      </c>
      <c r="H6560">
        <v>4.8155010000000003</v>
      </c>
      <c r="I6560">
        <v>154.7242</v>
      </c>
      <c r="J6560">
        <v>-291.33629999999999</v>
      </c>
      <c r="K6560">
        <v>1.121483</v>
      </c>
      <c r="L6560">
        <v>141.95529999999999</v>
      </c>
      <c r="M6560">
        <v>-0.99989870000000003</v>
      </c>
      <c r="N6560">
        <v>-1.2781570000000001E-2</v>
      </c>
      <c r="O6560">
        <v>6.2857729999999997E-3</v>
      </c>
      <c r="P6560">
        <v>-0.98998589999999997</v>
      </c>
      <c r="Q6560">
        <v>0.13965079999999999</v>
      </c>
      <c r="R6560">
        <v>2.0632009999999999E-2</v>
      </c>
      <c r="S6560">
        <v>-3.0196230000000002</v>
      </c>
      <c r="T6560">
        <v>5.050313E-2</v>
      </c>
      <c r="U6560">
        <v>0.1745911</v>
      </c>
      <c r="V6560">
        <v>1.437343E-2</v>
      </c>
      <c r="W6560">
        <v>0.15229790000000001</v>
      </c>
      <c r="X6560">
        <v>0.9882301</v>
      </c>
      <c r="Y6560">
        <v>5.1446529999999997E-2</v>
      </c>
      <c r="Z6560" s="1">
        <v>8.4546049999999895E-5</v>
      </c>
      <c r="AA6560">
        <v>0.9986758</v>
      </c>
      <c r="AB6560">
        <v>28</v>
      </c>
      <c r="AC6560">
        <v>-220.59049999999999</v>
      </c>
      <c r="AD6560">
        <v>3.6940179999999998</v>
      </c>
      <c r="AE6560">
        <v>12.7689</v>
      </c>
      <c r="AF6560">
        <v>11.378772524365001</v>
      </c>
      <c r="AG6560">
        <v>3.6940179999999998</v>
      </c>
      <c r="AH6560">
        <v>220.60475274294799</v>
      </c>
      <c r="AI6560">
        <v>89.0419474166805</v>
      </c>
      <c r="AJ6560">
        <v>87.047305728219996</v>
      </c>
      <c r="AK6560">
        <v>220.92890070319601</v>
      </c>
      <c r="AL6560">
        <v>81.239883110928901</v>
      </c>
      <c r="AM6560">
        <v>89.166713489563307</v>
      </c>
      <c r="AN6560">
        <v>0.99999998819019198</v>
      </c>
    </row>
    <row r="6561" spans="1:40" x14ac:dyDescent="0.25">
      <c r="A6561" t="str">
        <f>"20190303162043160"</f>
        <v>20190303162043160</v>
      </c>
      <c r="B6561" t="str">
        <f>"1551601243149469"</f>
        <v>1551601243149469</v>
      </c>
      <c r="C6561" t="s">
        <v>40</v>
      </c>
      <c r="D6561">
        <v>3.9464169999999998</v>
      </c>
      <c r="E6561">
        <v>0.51390479999999905</v>
      </c>
      <c r="F6561" t="s">
        <v>71</v>
      </c>
      <c r="G6561">
        <v>-511.92680000000001</v>
      </c>
      <c r="H6561">
        <v>4.7744140000000002</v>
      </c>
      <c r="I6561">
        <v>154.5598</v>
      </c>
      <c r="J6561">
        <v>-291.60270000000003</v>
      </c>
      <c r="K6561">
        <v>1.121483</v>
      </c>
      <c r="L6561">
        <v>141.95679999999999</v>
      </c>
      <c r="M6561">
        <v>-0.99989939999999999</v>
      </c>
      <c r="N6561">
        <v>-1.2780420000000001E-2</v>
      </c>
      <c r="O6561">
        <v>6.1483390000000001E-3</v>
      </c>
      <c r="P6561">
        <v>-0.99002500000000004</v>
      </c>
      <c r="Q6561">
        <v>0.13941139999999999</v>
      </c>
      <c r="R6561">
        <v>2.0366840000000001E-2</v>
      </c>
      <c r="S6561">
        <v>-3.019714</v>
      </c>
      <c r="T6561">
        <v>5.0006389999999998E-2</v>
      </c>
      <c r="U6561">
        <v>0.17254639999999999</v>
      </c>
      <c r="V6561">
        <v>1.424426E-2</v>
      </c>
      <c r="W6561">
        <v>0.15205759999999999</v>
      </c>
      <c r="X6561">
        <v>0.98826899999999995</v>
      </c>
      <c r="Y6561">
        <v>5.0908080000000001E-2</v>
      </c>
      <c r="Z6561" s="1">
        <v>8.4684169999999894E-5</v>
      </c>
      <c r="AA6561">
        <v>0.99870340000000002</v>
      </c>
      <c r="AB6561">
        <v>28</v>
      </c>
      <c r="AC6561">
        <v>-220.32409999999999</v>
      </c>
      <c r="AD6561">
        <v>3.6529309999999899</v>
      </c>
      <c r="AE6561">
        <v>12.603</v>
      </c>
      <c r="AF6561">
        <v>11.244942773224199</v>
      </c>
      <c r="AG6561">
        <v>3.6529309999999899</v>
      </c>
      <c r="AH6561">
        <v>220.33705786017401</v>
      </c>
      <c r="AI6561">
        <v>89.051424224946103</v>
      </c>
      <c r="AJ6561">
        <v>87.078433959228093</v>
      </c>
      <c r="AK6561">
        <v>220.65405436869199</v>
      </c>
      <c r="AL6561">
        <v>81.253813764608395</v>
      </c>
      <c r="AM6561">
        <v>89.174233461312099</v>
      </c>
      <c r="AN6561">
        <v>1.0000000145108501</v>
      </c>
    </row>
    <row r="6562" spans="1:40" x14ac:dyDescent="0.25">
      <c r="A6562" t="str">
        <f>"20190303162043182"</f>
        <v>20190303162043182</v>
      </c>
      <c r="B6562" t="str">
        <f>"1551601243168990"</f>
        <v>1551601243168990</v>
      </c>
      <c r="C6562" t="s">
        <v>40</v>
      </c>
      <c r="D6562">
        <v>3.947241</v>
      </c>
      <c r="E6562">
        <v>0.51337149999999998</v>
      </c>
      <c r="F6562" t="s">
        <v>71</v>
      </c>
      <c r="G6562">
        <v>-511.92680000000001</v>
      </c>
      <c r="H6562">
        <v>4.7677250000000004</v>
      </c>
      <c r="I6562">
        <v>154.29900000000001</v>
      </c>
      <c r="J6562">
        <v>-291.87779999999998</v>
      </c>
      <c r="K6562">
        <v>1.1214850000000001</v>
      </c>
      <c r="L6562">
        <v>141.95830000000001</v>
      </c>
      <c r="M6562">
        <v>-0.99990029999999996</v>
      </c>
      <c r="N6562">
        <v>-1.277929E-2</v>
      </c>
      <c r="O6562">
        <v>6.0066729999999997E-3</v>
      </c>
      <c r="P6562">
        <v>-0.99007149999999999</v>
      </c>
      <c r="Q6562">
        <v>0.13916099999999901</v>
      </c>
      <c r="R6562">
        <v>1.9820299999999999E-2</v>
      </c>
      <c r="S6562">
        <v>-3.019714</v>
      </c>
      <c r="T6562">
        <v>4.9975159999999998E-2</v>
      </c>
      <c r="U6562">
        <v>0.1691589</v>
      </c>
      <c r="V6562">
        <v>1.383785E-2</v>
      </c>
      <c r="W6562">
        <v>0.15180639999999901</v>
      </c>
      <c r="X6562">
        <v>0.98831340000000001</v>
      </c>
      <c r="Y6562">
        <v>4.9932770000000001E-2</v>
      </c>
      <c r="Z6562" s="1">
        <v>8.2505110000000005E-5</v>
      </c>
      <c r="AA6562">
        <v>0.99875259999999999</v>
      </c>
      <c r="AB6562">
        <v>28</v>
      </c>
      <c r="AC6562">
        <v>-220.04900000000001</v>
      </c>
      <c r="AD6562">
        <v>3.6462400000000001</v>
      </c>
      <c r="AE6562">
        <v>12.340699999999901</v>
      </c>
      <c r="AF6562">
        <v>11.015591947320599</v>
      </c>
      <c r="AG6562">
        <v>3.6462400000000001</v>
      </c>
      <c r="AH6562">
        <v>220.05893027139501</v>
      </c>
      <c r="AI6562">
        <v>89.051918200101298</v>
      </c>
      <c r="AJ6562">
        <v>87.1343105576873</v>
      </c>
      <c r="AK6562">
        <v>220.36463219917701</v>
      </c>
      <c r="AL6562">
        <v>81.268375586119802</v>
      </c>
      <c r="AM6562">
        <v>89.197826723670204</v>
      </c>
      <c r="AN6562">
        <v>1.00000002289657</v>
      </c>
    </row>
    <row r="6563" spans="1:40" x14ac:dyDescent="0.25">
      <c r="A6563" t="str">
        <f>"20190303162043198"</f>
        <v>20190303162043198</v>
      </c>
      <c r="B6563" t="str">
        <f>"1551601243189485"</f>
        <v>1551601243189485</v>
      </c>
      <c r="C6563" t="s">
        <v>40</v>
      </c>
      <c r="D6563">
        <v>3.9271880000000001</v>
      </c>
      <c r="E6563">
        <v>0.50126700000000002</v>
      </c>
      <c r="F6563" t="s">
        <v>71</v>
      </c>
      <c r="G6563">
        <v>-511.92680000000001</v>
      </c>
      <c r="H6563">
        <v>4.7547839999999999</v>
      </c>
      <c r="I6563">
        <v>153.8544</v>
      </c>
      <c r="J6563">
        <v>-292.07159999999999</v>
      </c>
      <c r="K6563">
        <v>1.1214850000000001</v>
      </c>
      <c r="L6563">
        <v>141.95930000000001</v>
      </c>
      <c r="M6563">
        <v>-0.99990089999999998</v>
      </c>
      <c r="N6563">
        <v>-1.277849E-2</v>
      </c>
      <c r="O6563">
        <v>5.9064879999999997E-3</v>
      </c>
      <c r="P6563">
        <v>-0.99009139999999995</v>
      </c>
      <c r="Q6563">
        <v>0.13905100000000001</v>
      </c>
      <c r="R6563">
        <v>1.9602000000000001E-2</v>
      </c>
      <c r="S6563">
        <v>-3.019806</v>
      </c>
      <c r="T6563">
        <v>4.9861549999999998E-2</v>
      </c>
      <c r="U6563">
        <v>0.16325379999999901</v>
      </c>
      <c r="V6563">
        <v>1.371882E-2</v>
      </c>
      <c r="W6563">
        <v>0.1516961</v>
      </c>
      <c r="X6563">
        <v>0.98833199999999999</v>
      </c>
      <c r="Y6563">
        <v>4.8083960000000002E-2</v>
      </c>
      <c r="Z6563" s="1">
        <v>8.3669899999999997E-5</v>
      </c>
      <c r="AA6563">
        <v>0.99884329999999999</v>
      </c>
      <c r="AB6563">
        <v>28</v>
      </c>
      <c r="AC6563">
        <v>-219.8552</v>
      </c>
      <c r="AD6563">
        <v>3.6332989999999898</v>
      </c>
      <c r="AE6563">
        <v>11.8950999999999</v>
      </c>
      <c r="AF6563">
        <v>10.5933296887628</v>
      </c>
      <c r="AG6563">
        <v>3.6332989999999898</v>
      </c>
      <c r="AH6563">
        <v>219.86175837118401</v>
      </c>
      <c r="AI6563">
        <v>89.054348495311601</v>
      </c>
      <c r="AJ6563">
        <v>87.241520932943203</v>
      </c>
      <c r="AK6563">
        <v>220.14679713679001</v>
      </c>
      <c r="AL6563">
        <v>81.274769399035506</v>
      </c>
      <c r="AM6563">
        <v>89.204740908273607</v>
      </c>
      <c r="AN6563">
        <v>1.0000000275006999</v>
      </c>
    </row>
    <row r="6564" spans="1:40" x14ac:dyDescent="0.25">
      <c r="A6564" t="str">
        <f>"20190303162043215"</f>
        <v>20190303162043215</v>
      </c>
      <c r="B6564" t="str">
        <f>"1551601243209005"</f>
        <v>1551601243209005</v>
      </c>
      <c r="C6564" t="s">
        <v>40</v>
      </c>
      <c r="D6564">
        <v>3.9038789999999999</v>
      </c>
      <c r="E6564">
        <v>0.50192429999999999</v>
      </c>
      <c r="F6564" t="s">
        <v>58</v>
      </c>
      <c r="G6564">
        <v>0</v>
      </c>
      <c r="H6564">
        <v>0</v>
      </c>
      <c r="I6564">
        <v>0</v>
      </c>
      <c r="J6564">
        <v>-292.29199999999997</v>
      </c>
      <c r="K6564">
        <v>1.121478</v>
      </c>
      <c r="L6564">
        <v>141.9605</v>
      </c>
      <c r="M6564">
        <v>-0.9999017</v>
      </c>
      <c r="N6564">
        <v>-1.277759E-2</v>
      </c>
      <c r="O6564">
        <v>5.7925370000000004E-3</v>
      </c>
      <c r="P6564">
        <v>-0.99011009999999999</v>
      </c>
      <c r="Q6564">
        <v>0.139023799999999</v>
      </c>
      <c r="R6564">
        <v>1.8831009999999999E-2</v>
      </c>
      <c r="S6564">
        <v>-3.0205690000000001</v>
      </c>
      <c r="T6564">
        <v>5.7969809999999997E-2</v>
      </c>
      <c r="U6564">
        <v>6.6253660000000006E-2</v>
      </c>
      <c r="V6564">
        <v>1.306058E-2</v>
      </c>
      <c r="W6564">
        <v>0.15166830000000001</v>
      </c>
      <c r="X6564">
        <v>0.98834509999999998</v>
      </c>
      <c r="Y6564">
        <v>1.613887E-2</v>
      </c>
      <c r="Z6564">
        <v>1.3343609999999999E-4</v>
      </c>
      <c r="AA6564">
        <v>0.99986980000000003</v>
      </c>
      <c r="AB6564">
        <v>28</v>
      </c>
      <c r="AC6564">
        <v>-3.0205690000000001</v>
      </c>
      <c r="AD6564">
        <v>5.7969809999999997E-2</v>
      </c>
      <c r="AE6564">
        <v>6.6253660000000006E-2</v>
      </c>
      <c r="AF6564">
        <v>4.8736422107305298E-2</v>
      </c>
      <c r="AG6564">
        <v>5.7969809999999997E-2</v>
      </c>
      <c r="AH6564">
        <v>3.0197904073395399</v>
      </c>
      <c r="AI6564">
        <v>88.900392152189994</v>
      </c>
      <c r="AJ6564">
        <v>89.075383217345205</v>
      </c>
      <c r="AK6564">
        <v>3.0207399494115901</v>
      </c>
      <c r="AL6564">
        <v>81.276380136285297</v>
      </c>
      <c r="AM6564">
        <v>89.2429035584898</v>
      </c>
      <c r="AN6564">
        <v>0.99999994433441597</v>
      </c>
    </row>
    <row r="6565" spans="1:40" x14ac:dyDescent="0.25">
      <c r="A6565" t="str">
        <f>"20190303162043237"</f>
        <v>20190303162043237</v>
      </c>
      <c r="B6565" t="str">
        <f>"1551601243228525"</f>
        <v>1551601243228525</v>
      </c>
      <c r="C6565" t="s">
        <v>40</v>
      </c>
      <c r="D6565">
        <v>3.9671599999999998</v>
      </c>
      <c r="E6565">
        <v>0.50242229999999999</v>
      </c>
      <c r="F6565" t="s">
        <v>58</v>
      </c>
      <c r="G6565">
        <v>0</v>
      </c>
      <c r="H6565">
        <v>0</v>
      </c>
      <c r="I6565">
        <v>0</v>
      </c>
      <c r="J6565">
        <v>-292.55970000000002</v>
      </c>
      <c r="K6565">
        <v>1.1214820000000001</v>
      </c>
      <c r="L6565">
        <v>141.96190000000001</v>
      </c>
      <c r="M6565">
        <v>-0.99990250000000003</v>
      </c>
      <c r="N6565">
        <v>-1.277649E-2</v>
      </c>
      <c r="O6565">
        <v>5.6540330000000001E-3</v>
      </c>
      <c r="P6565">
        <v>-0.99015679999999995</v>
      </c>
      <c r="Q6565">
        <v>0.1387852</v>
      </c>
      <c r="R6565">
        <v>1.811747E-2</v>
      </c>
      <c r="S6565">
        <v>-3.0198969999999998</v>
      </c>
      <c r="T6565">
        <v>6.2424060000000003E-2</v>
      </c>
      <c r="U6565">
        <v>6.9305420000000006E-2</v>
      </c>
      <c r="V6565">
        <v>1.2483920000000001E-2</v>
      </c>
      <c r="W6565">
        <v>0.15142829999999999</v>
      </c>
      <c r="X6565">
        <v>0.98838939999999997</v>
      </c>
      <c r="Y6565">
        <v>1.729193E-2</v>
      </c>
      <c r="Z6565">
        <v>1.2087610000000001E-4</v>
      </c>
      <c r="AA6565">
        <v>0.99985049999999998</v>
      </c>
      <c r="AB6565">
        <v>28</v>
      </c>
      <c r="AC6565">
        <v>-3.0198969999999998</v>
      </c>
      <c r="AD6565">
        <v>6.2424060000000003E-2</v>
      </c>
      <c r="AE6565">
        <v>6.9305420000000006E-2</v>
      </c>
      <c r="AF6565">
        <v>5.2206027575296403E-2</v>
      </c>
      <c r="AG6565">
        <v>6.2424060000000003E-2</v>
      </c>
      <c r="AH6565">
        <v>3.01895132879622</v>
      </c>
      <c r="AI6565">
        <v>88.815618155559804</v>
      </c>
      <c r="AJ6565">
        <v>89.009296072783798</v>
      </c>
      <c r="AK6565">
        <v>3.0200479066105101</v>
      </c>
      <c r="AL6565">
        <v>81.290292225849498</v>
      </c>
      <c r="AM6565">
        <v>89.276360212756899</v>
      </c>
      <c r="AN6565">
        <v>0.99999999216590796</v>
      </c>
    </row>
    <row r="6566" spans="1:40" x14ac:dyDescent="0.25">
      <c r="A6566" t="str">
        <f>"20190303162043260"</f>
        <v>20190303162043260</v>
      </c>
      <c r="B6566" t="str">
        <f>"1551601243249023"</f>
        <v>1551601243249023</v>
      </c>
      <c r="C6566" t="s">
        <v>40</v>
      </c>
      <c r="D6566">
        <v>3.9696790000000002</v>
      </c>
      <c r="E6566">
        <v>0.50282199999999999</v>
      </c>
      <c r="F6566" t="s">
        <v>58</v>
      </c>
      <c r="G6566">
        <v>0</v>
      </c>
      <c r="H6566">
        <v>0</v>
      </c>
      <c r="I6566">
        <v>0</v>
      </c>
      <c r="J6566">
        <v>-292.84370000000001</v>
      </c>
      <c r="K6566">
        <v>1.12148</v>
      </c>
      <c r="L6566">
        <v>141.9633</v>
      </c>
      <c r="M6566">
        <v>-0.99990330000000005</v>
      </c>
      <c r="N6566">
        <v>-1.277533E-2</v>
      </c>
      <c r="O6566">
        <v>5.5073020000000004E-3</v>
      </c>
      <c r="P6566">
        <v>-0.99016490000000001</v>
      </c>
      <c r="Q6566">
        <v>0.13876659999999999</v>
      </c>
      <c r="R6566">
        <v>1.7819060000000001E-2</v>
      </c>
      <c r="S6566">
        <v>-3.0203250000000001</v>
      </c>
      <c r="T6566">
        <v>5.8428880000000002E-2</v>
      </c>
      <c r="U6566">
        <v>7.1319579999999994E-2</v>
      </c>
      <c r="V6566">
        <v>1.233105E-2</v>
      </c>
      <c r="W6566">
        <v>0.15140899999999999</v>
      </c>
      <c r="X6566">
        <v>0.98839429999999995</v>
      </c>
      <c r="Y6566">
        <v>1.810175E-2</v>
      </c>
      <c r="Z6566">
        <v>1.174561E-4</v>
      </c>
      <c r="AA6566">
        <v>0.99983610000000001</v>
      </c>
      <c r="AB6566">
        <v>28</v>
      </c>
      <c r="AC6566">
        <v>-3.0203250000000001</v>
      </c>
      <c r="AD6566">
        <v>5.8428880000000002E-2</v>
      </c>
      <c r="AE6566">
        <v>7.1319579999999994E-2</v>
      </c>
      <c r="AF6566">
        <v>5.46628544903352E-2</v>
      </c>
      <c r="AG6566">
        <v>5.8428880000000002E-2</v>
      </c>
      <c r="AH6566">
        <v>3.0195426013295799</v>
      </c>
      <c r="AI6566">
        <v>88.891632703536999</v>
      </c>
      <c r="AJ6566">
        <v>88.962886368777106</v>
      </c>
      <c r="AK6566">
        <v>3.0206025032968702</v>
      </c>
      <c r="AL6566">
        <v>81.291411144111393</v>
      </c>
      <c r="AM6566">
        <v>89.285224055092399</v>
      </c>
      <c r="AN6566">
        <v>1.0000000161737901</v>
      </c>
    </row>
    <row r="6567" spans="1:40" x14ac:dyDescent="0.25">
      <c r="A6567" t="str">
        <f>"20190303162043284"</f>
        <v>20190303162043284</v>
      </c>
      <c r="B6567" t="str">
        <f>"1551601243268541"</f>
        <v>1551601243268541</v>
      </c>
      <c r="C6567" t="s">
        <v>40</v>
      </c>
      <c r="D6567">
        <v>3.988747</v>
      </c>
      <c r="E6567">
        <v>0.50299870000000002</v>
      </c>
      <c r="F6567" t="s">
        <v>58</v>
      </c>
      <c r="G6567">
        <v>0</v>
      </c>
      <c r="H6567">
        <v>0</v>
      </c>
      <c r="I6567">
        <v>0</v>
      </c>
      <c r="J6567">
        <v>-293.13029999999998</v>
      </c>
      <c r="K6567">
        <v>1.12148</v>
      </c>
      <c r="L6567">
        <v>141.96469999999999</v>
      </c>
      <c r="M6567">
        <v>-0.99990420000000002</v>
      </c>
      <c r="N6567">
        <v>-1.277418E-2</v>
      </c>
      <c r="O6567">
        <v>5.3595550000000002E-3</v>
      </c>
      <c r="P6567">
        <v>-0.99020220000000003</v>
      </c>
      <c r="Q6567">
        <v>0.13854320000000001</v>
      </c>
      <c r="R6567">
        <v>1.748332E-2</v>
      </c>
      <c r="S6567">
        <v>-3.020508</v>
      </c>
      <c r="T6567">
        <v>5.679095E-2</v>
      </c>
      <c r="U6567">
        <v>7.3562619999999995E-2</v>
      </c>
      <c r="V6567">
        <v>1.214143E-2</v>
      </c>
      <c r="W6567">
        <v>0.15118470000000001</v>
      </c>
      <c r="X6567">
        <v>0.98843099999999995</v>
      </c>
      <c r="Y6567">
        <v>1.8990010000000002E-2</v>
      </c>
      <c r="Z6567">
        <v>1.120275E-4</v>
      </c>
      <c r="AA6567">
        <v>0.99981969999999998</v>
      </c>
      <c r="AB6567">
        <v>28</v>
      </c>
      <c r="AC6567">
        <v>-3.020508</v>
      </c>
      <c r="AD6567">
        <v>5.679095E-2</v>
      </c>
      <c r="AE6567">
        <v>7.3562619999999995E-2</v>
      </c>
      <c r="AF6567">
        <v>5.7351403966865097E-2</v>
      </c>
      <c r="AG6567">
        <v>5.679095E-2</v>
      </c>
      <c r="AH6567">
        <v>3.0197920203806299</v>
      </c>
      <c r="AI6567">
        <v>88.922802713425597</v>
      </c>
      <c r="AJ6567">
        <v>88.911978578384407</v>
      </c>
      <c r="AK6567">
        <v>3.02087044440727</v>
      </c>
      <c r="AL6567">
        <v>81.304412414380593</v>
      </c>
      <c r="AM6567">
        <v>89.296240494788194</v>
      </c>
      <c r="AN6567">
        <v>1.0000000347987601</v>
      </c>
    </row>
    <row r="6568" spans="1:40" x14ac:dyDescent="0.25">
      <c r="A6568" t="str">
        <f>"20190303162043306"</f>
        <v>20190303162043306</v>
      </c>
      <c r="B6568" t="str">
        <f>"1551601243298797"</f>
        <v>1551601243298797</v>
      </c>
      <c r="C6568" t="s">
        <v>40</v>
      </c>
      <c r="D6568">
        <v>3.9785590000000002</v>
      </c>
      <c r="E6568">
        <v>0.50286629999999999</v>
      </c>
      <c r="F6568" t="s">
        <v>58</v>
      </c>
      <c r="G6568">
        <v>0</v>
      </c>
      <c r="H6568">
        <v>0</v>
      </c>
      <c r="I6568">
        <v>0</v>
      </c>
      <c r="J6568">
        <v>-293.40809999999999</v>
      </c>
      <c r="K6568">
        <v>1.1214789999999999</v>
      </c>
      <c r="L6568">
        <v>141.96600000000001</v>
      </c>
      <c r="M6568">
        <v>-0.99990489999999999</v>
      </c>
      <c r="N6568">
        <v>-1.2773029999999999E-2</v>
      </c>
      <c r="O6568">
        <v>5.2162800000000002E-3</v>
      </c>
      <c r="P6568">
        <v>-0.99026939999999997</v>
      </c>
      <c r="Q6568">
        <v>0.13810620000000001</v>
      </c>
      <c r="R6568">
        <v>1.7134449999999999E-2</v>
      </c>
      <c r="S6568">
        <v>-3.020721</v>
      </c>
      <c r="T6568">
        <v>5.4775240000000003E-2</v>
      </c>
      <c r="U6568">
        <v>7.3959349999999993E-2</v>
      </c>
      <c r="V6568">
        <v>1.19342999999999E-2</v>
      </c>
      <c r="W6568">
        <v>0.1507472</v>
      </c>
      <c r="X6568">
        <v>0.9885003</v>
      </c>
      <c r="Y6568">
        <v>1.9262749999999999E-2</v>
      </c>
      <c r="Z6568">
        <v>1.0961780000000001E-4</v>
      </c>
      <c r="AA6568">
        <v>0.99981450000000005</v>
      </c>
      <c r="AB6568">
        <v>28</v>
      </c>
      <c r="AC6568">
        <v>-3.020721</v>
      </c>
      <c r="AD6568">
        <v>5.4775240000000003E-2</v>
      </c>
      <c r="AE6568">
        <v>7.3959349999999993E-2</v>
      </c>
      <c r="AF6568">
        <v>5.8181013749604903E-2</v>
      </c>
      <c r="AG6568">
        <v>5.4775240000000003E-2</v>
      </c>
      <c r="AH6568">
        <v>3.02007328018016</v>
      </c>
      <c r="AI6568">
        <v>88.961129847100395</v>
      </c>
      <c r="AJ6568">
        <v>88.896346569703695</v>
      </c>
      <c r="AK6568">
        <v>3.0211302479264499</v>
      </c>
      <c r="AL6568">
        <v>81.329769588363405</v>
      </c>
      <c r="AM6568">
        <v>89.3082937846699</v>
      </c>
      <c r="AN6568">
        <v>0.99999999446221</v>
      </c>
    </row>
    <row r="6569" spans="1:40" x14ac:dyDescent="0.25">
      <c r="A6569" t="str">
        <f>"20190303162043327"</f>
        <v>20190303162043327</v>
      </c>
      <c r="B6569" t="str">
        <f>"1551601243319294"</f>
        <v>1551601243319294</v>
      </c>
      <c r="C6569" t="s">
        <v>40</v>
      </c>
      <c r="D6569">
        <v>3.992972</v>
      </c>
      <c r="E6569">
        <v>0.50264279999999995</v>
      </c>
      <c r="F6569" t="s">
        <v>58</v>
      </c>
      <c r="G6569">
        <v>0</v>
      </c>
      <c r="H6569">
        <v>0</v>
      </c>
      <c r="I6569">
        <v>0</v>
      </c>
      <c r="J6569">
        <v>-293.67329999999998</v>
      </c>
      <c r="K6569">
        <v>1.121472</v>
      </c>
      <c r="L6569">
        <v>141.96719999999999</v>
      </c>
      <c r="M6569">
        <v>-0.9999055</v>
      </c>
      <c r="N6569">
        <v>-1.2771940000000001E-2</v>
      </c>
      <c r="O6569">
        <v>5.0792629999999997E-3</v>
      </c>
      <c r="P6569">
        <v>-0.99032560000000003</v>
      </c>
      <c r="Q6569">
        <v>0.13771369999999999</v>
      </c>
      <c r="R6569">
        <v>1.7036289999999999E-2</v>
      </c>
      <c r="S6569">
        <v>-3.020721</v>
      </c>
      <c r="T6569">
        <v>5.440354E-2</v>
      </c>
      <c r="U6569">
        <v>7.1792599999999998E-2</v>
      </c>
      <c r="V6569">
        <v>1.197173E-2</v>
      </c>
      <c r="W6569">
        <v>0.1503546</v>
      </c>
      <c r="X6569">
        <v>0.98855970000000004</v>
      </c>
      <c r="Y6569">
        <v>1.868297E-2</v>
      </c>
      <c r="Z6569">
        <v>1.074435E-4</v>
      </c>
      <c r="AA6569">
        <v>0.99982550000000003</v>
      </c>
      <c r="AB6569">
        <v>28</v>
      </c>
      <c r="AC6569">
        <v>-3.020721</v>
      </c>
      <c r="AD6569">
        <v>5.440354E-2</v>
      </c>
      <c r="AE6569">
        <v>7.1792599999999998E-2</v>
      </c>
      <c r="AF6569">
        <v>5.64290920122891E-2</v>
      </c>
      <c r="AG6569">
        <v>5.440354E-2</v>
      </c>
      <c r="AH6569">
        <v>3.0200676617815998</v>
      </c>
      <c r="AI6569">
        <v>88.968164730645597</v>
      </c>
      <c r="AJ6569">
        <v>88.929569465231197</v>
      </c>
      <c r="AK6569">
        <v>3.0210846842365799</v>
      </c>
      <c r="AL6569">
        <v>81.352523773133001</v>
      </c>
      <c r="AM6569">
        <v>89.306166260984398</v>
      </c>
      <c r="AN6569">
        <v>1.0000000542622201</v>
      </c>
    </row>
    <row r="6570" spans="1:40" x14ac:dyDescent="0.25">
      <c r="A6570" t="str">
        <f>"20190303162043340"</f>
        <v>20190303162043340</v>
      </c>
      <c r="B6570" t="str">
        <f>"1551601243329053"</f>
        <v>1551601243329053</v>
      </c>
      <c r="C6570" t="s">
        <v>40</v>
      </c>
      <c r="D6570">
        <v>3.9946730000000001</v>
      </c>
      <c r="E6570">
        <v>0.50259759999999998</v>
      </c>
      <c r="F6570" t="s">
        <v>58</v>
      </c>
      <c r="G6570">
        <v>0</v>
      </c>
      <c r="H6570">
        <v>0</v>
      </c>
      <c r="I6570">
        <v>0</v>
      </c>
      <c r="J6570">
        <v>-293.84460000000001</v>
      </c>
      <c r="K6570">
        <v>1.1214660000000001</v>
      </c>
      <c r="L6570">
        <v>141.96789999999999</v>
      </c>
      <c r="M6570">
        <v>-0.99990610000000002</v>
      </c>
      <c r="N6570">
        <v>-1.277121E-2</v>
      </c>
      <c r="O6570">
        <v>4.99082E-3</v>
      </c>
      <c r="P6570">
        <v>-0.99040790000000001</v>
      </c>
      <c r="Q6570">
        <v>0.13714189999999901</v>
      </c>
      <c r="R6570">
        <v>1.6867420000000001E-2</v>
      </c>
      <c r="S6570">
        <v>-3.020813</v>
      </c>
      <c r="T6570">
        <v>5.2186009999999998E-2</v>
      </c>
      <c r="U6570">
        <v>6.9824220000000006E-2</v>
      </c>
      <c r="V6570">
        <v>1.1890019999999999E-2</v>
      </c>
      <c r="W6570">
        <v>0.14978320000000001</v>
      </c>
      <c r="X6570">
        <v>0.98864739999999995</v>
      </c>
      <c r="Y6570">
        <v>1.811958E-2</v>
      </c>
      <c r="Z6570">
        <v>1.091723E-4</v>
      </c>
      <c r="AA6570">
        <v>0.99983580000000005</v>
      </c>
      <c r="AB6570">
        <v>28</v>
      </c>
      <c r="AC6570">
        <v>-3.020813</v>
      </c>
      <c r="AD6570">
        <v>5.2186009999999998E-2</v>
      </c>
      <c r="AE6570">
        <v>6.9824220000000006E-2</v>
      </c>
      <c r="AF6570">
        <v>5.4729463457312097E-2</v>
      </c>
      <c r="AG6570">
        <v>5.2186009999999998E-2</v>
      </c>
      <c r="AH6570">
        <v>3.0202229992606</v>
      </c>
      <c r="AI6570">
        <v>89.010255217584998</v>
      </c>
      <c r="AJ6570">
        <v>88.961856754232599</v>
      </c>
      <c r="AK6570">
        <v>3.02116958462658</v>
      </c>
      <c r="AL6570">
        <v>81.385637370323906</v>
      </c>
      <c r="AM6570">
        <v>89.310962510595402</v>
      </c>
      <c r="AN6570">
        <v>1.00000003055229</v>
      </c>
    </row>
    <row r="6571" spans="1:40" x14ac:dyDescent="0.25">
      <c r="A6571" t="str">
        <f>"20190303162043360"</f>
        <v>20190303162043360</v>
      </c>
      <c r="B6571" t="str">
        <f>"1551601243348574"</f>
        <v>1551601243348574</v>
      </c>
      <c r="C6571" t="s">
        <v>40</v>
      </c>
      <c r="D6571">
        <v>4.0160239999999998</v>
      </c>
      <c r="E6571">
        <v>0.50250870000000003</v>
      </c>
      <c r="F6571" t="s">
        <v>58</v>
      </c>
      <c r="G6571">
        <v>0</v>
      </c>
      <c r="H6571">
        <v>0</v>
      </c>
      <c r="I6571">
        <v>0</v>
      </c>
      <c r="J6571">
        <v>-294.08589999999998</v>
      </c>
      <c r="K6571">
        <v>1.121464</v>
      </c>
      <c r="L6571">
        <v>141.96899999999999</v>
      </c>
      <c r="M6571">
        <v>-0.99990659999999998</v>
      </c>
      <c r="N6571">
        <v>-1.2770220000000001E-2</v>
      </c>
      <c r="O6571">
        <v>4.8662599999999999E-3</v>
      </c>
      <c r="P6571">
        <v>-0.99051060000000002</v>
      </c>
      <c r="Q6571">
        <v>0.1364668</v>
      </c>
      <c r="R6571">
        <v>1.6291090000000001E-2</v>
      </c>
      <c r="S6571">
        <v>-3.0208740000000001</v>
      </c>
      <c r="T6571">
        <v>5.0671340000000002E-2</v>
      </c>
      <c r="U6571">
        <v>6.9107059999999998E-2</v>
      </c>
      <c r="V6571">
        <v>1.143684E-2</v>
      </c>
      <c r="W6571">
        <v>0.1491085</v>
      </c>
      <c r="X6571">
        <v>0.98875469999999999</v>
      </c>
      <c r="Y6571">
        <v>1.8006390000000001E-2</v>
      </c>
      <c r="Z6571">
        <v>1.077462E-4</v>
      </c>
      <c r="AA6571">
        <v>0.99983789999999995</v>
      </c>
      <c r="AB6571">
        <v>28</v>
      </c>
      <c r="AC6571">
        <v>-3.0208740000000001</v>
      </c>
      <c r="AD6571">
        <v>5.0671340000000002E-2</v>
      </c>
      <c r="AE6571">
        <v>6.9107059999999998E-2</v>
      </c>
      <c r="AF6571">
        <v>5.4389389370212503E-2</v>
      </c>
      <c r="AG6571">
        <v>5.0671340000000002E-2</v>
      </c>
      <c r="AH6571">
        <v>3.0203251976955099</v>
      </c>
      <c r="AI6571">
        <v>89.039007090634996</v>
      </c>
      <c r="AJ6571">
        <v>88.9683409987977</v>
      </c>
      <c r="AK6571">
        <v>3.0212398266618701</v>
      </c>
      <c r="AL6571">
        <v>81.424733638086096</v>
      </c>
      <c r="AM6571">
        <v>89.337294233718097</v>
      </c>
      <c r="AN6571">
        <v>1.00000000142676</v>
      </c>
    </row>
    <row r="6572" spans="1:40" x14ac:dyDescent="0.25">
      <c r="A6572" t="str">
        <f>"20190303162043376"</f>
        <v>20190303162043376</v>
      </c>
      <c r="B6572" t="str">
        <f>"1551601243370045"</f>
        <v>1551601243370045</v>
      </c>
      <c r="C6572" t="s">
        <v>40</v>
      </c>
      <c r="D6572">
        <v>4.0614270000000001</v>
      </c>
      <c r="E6572">
        <v>0.50235459999999998</v>
      </c>
      <c r="F6572" t="s">
        <v>58</v>
      </c>
      <c r="G6572">
        <v>0</v>
      </c>
      <c r="H6572">
        <v>0</v>
      </c>
      <c r="I6572">
        <v>0</v>
      </c>
      <c r="J6572">
        <v>-294.27929999999998</v>
      </c>
      <c r="K6572">
        <v>1.121462</v>
      </c>
      <c r="L6572">
        <v>141.96979999999999</v>
      </c>
      <c r="M6572">
        <v>-0.99990710000000005</v>
      </c>
      <c r="N6572">
        <v>-1.276943E-2</v>
      </c>
      <c r="O6572">
        <v>4.7663719999999996E-3</v>
      </c>
      <c r="P6572">
        <v>-0.99053670000000005</v>
      </c>
      <c r="Q6572">
        <v>0.1362815</v>
      </c>
      <c r="R6572">
        <v>1.626551E-2</v>
      </c>
      <c r="S6572">
        <v>-3.0209350000000001</v>
      </c>
      <c r="T6572">
        <v>4.8637989999999999E-2</v>
      </c>
      <c r="U6572">
        <v>6.6848749999999998E-2</v>
      </c>
      <c r="V6572">
        <v>1.1510100000000001E-2</v>
      </c>
      <c r="W6572">
        <v>0.1489222</v>
      </c>
      <c r="X6572">
        <v>0.98878189999999999</v>
      </c>
      <c r="Y6572">
        <v>1.7358760000000001E-2</v>
      </c>
      <c r="Z6572">
        <v>1.0871289999999999E-4</v>
      </c>
      <c r="AA6572">
        <v>0.99984930000000005</v>
      </c>
      <c r="AB6572">
        <v>28</v>
      </c>
      <c r="AC6572">
        <v>-3.0209350000000001</v>
      </c>
      <c r="AD6572">
        <v>4.8637989999999999E-2</v>
      </c>
      <c r="AE6572">
        <v>6.6848749999999998E-2</v>
      </c>
      <c r="AF6572">
        <v>5.2434330974977003E-2</v>
      </c>
      <c r="AG6572">
        <v>4.8637989999999999E-2</v>
      </c>
      <c r="AH6572">
        <v>3.0204367565855899</v>
      </c>
      <c r="AI6572">
        <v>89.077586710306505</v>
      </c>
      <c r="AJ6572">
        <v>89.005453724026594</v>
      </c>
      <c r="AK6572">
        <v>3.0212833719579</v>
      </c>
      <c r="AL6572">
        <v>81.435528137417094</v>
      </c>
      <c r="AM6572">
        <v>89.333067922816497</v>
      </c>
      <c r="AN6572">
        <v>0.99999997491122905</v>
      </c>
    </row>
    <row r="6573" spans="1:40" x14ac:dyDescent="0.25">
      <c r="A6573" t="str">
        <f>"20190303162043394"</f>
        <v>20190303162043394</v>
      </c>
      <c r="B6573" t="str">
        <f>"1551601243388590"</f>
        <v>1551601243388590</v>
      </c>
      <c r="C6573" t="s">
        <v>40</v>
      </c>
      <c r="D6573">
        <v>4.0308029999999997</v>
      </c>
      <c r="E6573">
        <v>0.50223090000000004</v>
      </c>
      <c r="F6573" t="s">
        <v>58</v>
      </c>
      <c r="G6573">
        <v>0</v>
      </c>
      <c r="H6573">
        <v>0</v>
      </c>
      <c r="I6573">
        <v>0</v>
      </c>
      <c r="J6573">
        <v>-294.5059</v>
      </c>
      <c r="K6573">
        <v>1.1214569999999999</v>
      </c>
      <c r="L6573">
        <v>141.97069999999999</v>
      </c>
      <c r="M6573">
        <v>-0.99990780000000001</v>
      </c>
      <c r="N6573">
        <v>-1.276849E-2</v>
      </c>
      <c r="O6573">
        <v>4.6493209999999997E-3</v>
      </c>
      <c r="P6573">
        <v>-0.99054679999999995</v>
      </c>
      <c r="Q6573">
        <v>0.13627210000000001</v>
      </c>
      <c r="R6573">
        <v>1.5719150000000001E-2</v>
      </c>
      <c r="S6573">
        <v>-3.020905</v>
      </c>
      <c r="T6573">
        <v>4.8556450000000001E-2</v>
      </c>
      <c r="U6573">
        <v>6.5475459999999999E-2</v>
      </c>
      <c r="V6573">
        <v>1.1079749999999999E-2</v>
      </c>
      <c r="W6573">
        <v>0.14891190000000001</v>
      </c>
      <c r="X6573">
        <v>0.98878840000000001</v>
      </c>
      <c r="Y6573">
        <v>1.7021680000000001E-2</v>
      </c>
      <c r="Z6573">
        <v>1.059855E-4</v>
      </c>
      <c r="AA6573">
        <v>0.9998551</v>
      </c>
      <c r="AB6573">
        <v>28</v>
      </c>
      <c r="AC6573">
        <v>-3.020905</v>
      </c>
      <c r="AD6573">
        <v>4.8556450000000001E-2</v>
      </c>
      <c r="AE6573">
        <v>6.5475459999999999E-2</v>
      </c>
      <c r="AF6573">
        <v>5.1415174701243301E-2</v>
      </c>
      <c r="AG6573">
        <v>4.8556450000000001E-2</v>
      </c>
      <c r="AH6573">
        <v>3.0203968121660401</v>
      </c>
      <c r="AI6573">
        <v>89.079115327565603</v>
      </c>
      <c r="AJ6573">
        <v>89.024767868814294</v>
      </c>
      <c r="AK6573">
        <v>3.0212246113072898</v>
      </c>
      <c r="AL6573">
        <v>81.436125218781299</v>
      </c>
      <c r="AM6573">
        <v>89.3580058731565</v>
      </c>
      <c r="AN6573">
        <v>1.0000000073981099</v>
      </c>
    </row>
    <row r="6574" spans="1:40" x14ac:dyDescent="0.25">
      <c r="A6574" t="str">
        <f>"20190303162043416"</f>
        <v>20190303162043416</v>
      </c>
      <c r="B6574" t="str">
        <f>"1551601243409086"</f>
        <v>1551601243409086</v>
      </c>
      <c r="C6574" t="s">
        <v>40</v>
      </c>
      <c r="D6574">
        <v>4.1015860000000002</v>
      </c>
      <c r="E6574">
        <v>0.50218640000000003</v>
      </c>
      <c r="F6574" t="s">
        <v>58</v>
      </c>
      <c r="G6574">
        <v>0</v>
      </c>
      <c r="H6574">
        <v>0</v>
      </c>
      <c r="I6574">
        <v>0</v>
      </c>
      <c r="J6574">
        <v>-294.7758</v>
      </c>
      <c r="K6574">
        <v>1.1214580000000001</v>
      </c>
      <c r="L6574">
        <v>141.9718</v>
      </c>
      <c r="M6574">
        <v>-0.99990840000000003</v>
      </c>
      <c r="N6574">
        <v>-1.276735E-2</v>
      </c>
      <c r="O6574">
        <v>4.5098630000000002E-3</v>
      </c>
      <c r="P6574">
        <v>-0.99061889999999997</v>
      </c>
      <c r="Q6574">
        <v>0.13587080000000001</v>
      </c>
      <c r="R6574">
        <v>1.4609749999999999E-2</v>
      </c>
      <c r="S6574">
        <v>-3.020905</v>
      </c>
      <c r="T6574">
        <v>4.892266E-2</v>
      </c>
      <c r="U6574">
        <v>6.3125609999999999E-2</v>
      </c>
      <c r="V6574">
        <v>1.0108280000000001E-2</v>
      </c>
      <c r="W6574">
        <v>0.14851059999999999</v>
      </c>
      <c r="X6574">
        <v>0.98885919999999905</v>
      </c>
      <c r="Y6574">
        <v>1.6383680000000001E-2</v>
      </c>
      <c r="Z6574">
        <v>1.025552E-4</v>
      </c>
      <c r="AA6574">
        <v>0.99986580000000003</v>
      </c>
      <c r="AB6574">
        <v>28</v>
      </c>
      <c r="AC6574">
        <v>-3.020905</v>
      </c>
      <c r="AD6574">
        <v>4.892266E-2</v>
      </c>
      <c r="AE6574">
        <v>6.3125609999999999E-2</v>
      </c>
      <c r="AF6574">
        <v>4.9487017560148699E-2</v>
      </c>
      <c r="AG6574">
        <v>4.892266E-2</v>
      </c>
      <c r="AH6574">
        <v>3.0203671838228301</v>
      </c>
      <c r="AI6574">
        <v>89.072152290285004</v>
      </c>
      <c r="AJ6574">
        <v>89.061324867278501</v>
      </c>
      <c r="AK6574">
        <v>3.0211687004671401</v>
      </c>
      <c r="AL6574">
        <v>81.459376891265507</v>
      </c>
      <c r="AM6574">
        <v>89.414333597047104</v>
      </c>
      <c r="AN6574">
        <v>1.0000000465307699</v>
      </c>
    </row>
    <row r="6575" spans="1:40" x14ac:dyDescent="0.25">
      <c r="A6575" t="str">
        <f>"20190303162043438"</f>
        <v>20190303162043438</v>
      </c>
      <c r="B6575" t="str">
        <f>"1551601243428605"</f>
        <v>1551601243428605</v>
      </c>
      <c r="C6575" t="s">
        <v>40</v>
      </c>
      <c r="D6575">
        <v>4.1395160000000004</v>
      </c>
      <c r="E6575">
        <v>0.50070230000000004</v>
      </c>
      <c r="F6575" t="s">
        <v>58</v>
      </c>
      <c r="G6575">
        <v>0</v>
      </c>
      <c r="H6575">
        <v>0</v>
      </c>
      <c r="I6575">
        <v>0</v>
      </c>
      <c r="J6575">
        <v>-295.04759999999999</v>
      </c>
      <c r="K6575">
        <v>1.121459</v>
      </c>
      <c r="L6575">
        <v>141.97280000000001</v>
      </c>
      <c r="M6575">
        <v>-0.9999091</v>
      </c>
      <c r="N6575">
        <v>-1.276621E-2</v>
      </c>
      <c r="O6575">
        <v>4.3690949999999999E-3</v>
      </c>
      <c r="P6575">
        <v>-0.99059470000000005</v>
      </c>
      <c r="Q6575">
        <v>0.136156</v>
      </c>
      <c r="R6575">
        <v>1.3560910000000001E-2</v>
      </c>
      <c r="S6575">
        <v>-3.0210569999999999</v>
      </c>
      <c r="T6575">
        <v>4.7222020000000003E-2</v>
      </c>
      <c r="U6575">
        <v>5.9844969999999997E-2</v>
      </c>
      <c r="V6575">
        <v>9.1990409999999998E-3</v>
      </c>
      <c r="W6575">
        <v>0.14879400000000001</v>
      </c>
      <c r="X6575">
        <v>0.98882539999999997</v>
      </c>
      <c r="Y6575">
        <v>1.543803E-2</v>
      </c>
      <c r="Z6575">
        <v>1.019704E-4</v>
      </c>
      <c r="AA6575">
        <v>0.99988089999999996</v>
      </c>
      <c r="AB6575">
        <v>28</v>
      </c>
      <c r="AC6575">
        <v>-3.0210569999999999</v>
      </c>
      <c r="AD6575">
        <v>4.7222020000000003E-2</v>
      </c>
      <c r="AE6575">
        <v>5.9844969999999997E-2</v>
      </c>
      <c r="AF6575">
        <v>4.6632650628121601E-2</v>
      </c>
      <c r="AG6575">
        <v>4.7222020000000003E-2</v>
      </c>
      <c r="AH6575">
        <v>3.0205519377338299</v>
      </c>
      <c r="AI6575">
        <v>89.104441900748796</v>
      </c>
      <c r="AJ6575">
        <v>89.115512039250206</v>
      </c>
      <c r="AK6575">
        <v>3.02128094222055</v>
      </c>
      <c r="AL6575">
        <v>81.442956210180299</v>
      </c>
      <c r="AM6575">
        <v>89.466992837624602</v>
      </c>
      <c r="AN6575">
        <v>0.99999997423823905</v>
      </c>
    </row>
    <row r="6576" spans="1:40" x14ac:dyDescent="0.25">
      <c r="A6576" t="str">
        <f>"20190303162043460"</f>
        <v>20190303162043460</v>
      </c>
      <c r="B6576" t="str">
        <f>"1551601243449101"</f>
        <v>1551601243449101</v>
      </c>
      <c r="C6576" t="s">
        <v>40</v>
      </c>
      <c r="D6576">
        <v>4.1403509999999999</v>
      </c>
      <c r="E6576">
        <v>0.49953350000000002</v>
      </c>
      <c r="F6576" t="s">
        <v>58</v>
      </c>
      <c r="G6576">
        <v>0</v>
      </c>
      <c r="H6576">
        <v>0</v>
      </c>
      <c r="I6576">
        <v>0</v>
      </c>
      <c r="J6576">
        <v>-295.31810000000002</v>
      </c>
      <c r="K6576">
        <v>1.1214599999999999</v>
      </c>
      <c r="L6576">
        <v>141.97380000000001</v>
      </c>
      <c r="M6576">
        <v>-0.99990979999999996</v>
      </c>
      <c r="N6576">
        <v>-1.27651E-2</v>
      </c>
      <c r="O6576">
        <v>4.2291580000000002E-3</v>
      </c>
      <c r="P6576">
        <v>-0.99060320000000002</v>
      </c>
      <c r="Q6576">
        <v>0.13615369999999999</v>
      </c>
      <c r="R6576">
        <v>1.294756E-2</v>
      </c>
      <c r="S6576">
        <v>-3.02182</v>
      </c>
      <c r="T6576">
        <v>4.4051649999999998E-2</v>
      </c>
      <c r="U6576">
        <v>4.4662479999999997E-2</v>
      </c>
      <c r="V6576">
        <v>8.7244379999999993E-3</v>
      </c>
      <c r="W6576">
        <v>0.14879020000000001</v>
      </c>
      <c r="X6576">
        <v>0.98883030000000005</v>
      </c>
      <c r="Y6576">
        <v>1.055065E-2</v>
      </c>
      <c r="Z6576">
        <v>1.0607719999999999E-4</v>
      </c>
      <c r="AA6576">
        <v>0.99994430000000001</v>
      </c>
      <c r="AB6576">
        <v>28</v>
      </c>
      <c r="AC6576">
        <v>-3.02182</v>
      </c>
      <c r="AD6576">
        <v>4.4051649999999998E-2</v>
      </c>
      <c r="AE6576">
        <v>4.4662479999999997E-2</v>
      </c>
      <c r="AF6576">
        <v>3.1874515478007202E-2</v>
      </c>
      <c r="AG6576">
        <v>4.4051649999999998E-2</v>
      </c>
      <c r="AH6576">
        <v>3.0213399354601802</v>
      </c>
      <c r="AI6576">
        <v>89.164723454776194</v>
      </c>
      <c r="AJ6576">
        <v>89.395563723130806</v>
      </c>
      <c r="AK6576">
        <v>3.02182917091804</v>
      </c>
      <c r="AL6576">
        <v>81.443176614153899</v>
      </c>
      <c r="AM6576">
        <v>89.494493134235597</v>
      </c>
      <c r="AN6576">
        <v>1.0000000008162699</v>
      </c>
    </row>
    <row r="6577" spans="1:40" x14ac:dyDescent="0.25">
      <c r="A6577" t="str">
        <f>"20190303162043477"</f>
        <v>20190303162043477</v>
      </c>
      <c r="B6577" t="str">
        <f>"1551601243468622"</f>
        <v>1551601243468622</v>
      </c>
      <c r="C6577" t="s">
        <v>40</v>
      </c>
      <c r="D6577">
        <v>4.1261190000000001</v>
      </c>
      <c r="E6577">
        <v>0.49860480000000001</v>
      </c>
      <c r="F6577" t="s">
        <v>58</v>
      </c>
      <c r="G6577">
        <v>0</v>
      </c>
      <c r="H6577">
        <v>0</v>
      </c>
      <c r="I6577">
        <v>0</v>
      </c>
      <c r="J6577">
        <v>-295.52629999999999</v>
      </c>
      <c r="K6577">
        <v>1.1214599999999999</v>
      </c>
      <c r="L6577">
        <v>141.97460000000001</v>
      </c>
      <c r="M6577">
        <v>-0.99991019999999997</v>
      </c>
      <c r="N6577">
        <v>-1.276425E-2</v>
      </c>
      <c r="O6577">
        <v>4.12182E-3</v>
      </c>
      <c r="P6577">
        <v>-0.99060490000000001</v>
      </c>
      <c r="Q6577">
        <v>0.13614809999999999</v>
      </c>
      <c r="R6577">
        <v>1.2886959999999999E-2</v>
      </c>
      <c r="S6577">
        <v>-3.0223689999999999</v>
      </c>
      <c r="T6577">
        <v>4.117179E-2</v>
      </c>
      <c r="U6577">
        <v>3.3050540000000003E-2</v>
      </c>
      <c r="V6577">
        <v>8.7702830000000002E-3</v>
      </c>
      <c r="W6577">
        <v>0.1487841</v>
      </c>
      <c r="X6577">
        <v>0.98883080000000001</v>
      </c>
      <c r="Y6577">
        <v>6.8140469999999898E-3</v>
      </c>
      <c r="Z6577">
        <v>1.058355E-4</v>
      </c>
      <c r="AA6577">
        <v>0.9999768</v>
      </c>
      <c r="AB6577">
        <v>28</v>
      </c>
      <c r="AC6577">
        <v>-3.0223689999999999</v>
      </c>
      <c r="AD6577">
        <v>4.117179E-2</v>
      </c>
      <c r="AE6577">
        <v>3.3050540000000003E-2</v>
      </c>
      <c r="AF6577">
        <v>2.0587765273693801E-2</v>
      </c>
      <c r="AG6577">
        <v>4.117179E-2</v>
      </c>
      <c r="AH6577">
        <v>3.0219188548052802</v>
      </c>
      <c r="AI6577">
        <v>89.219446570817297</v>
      </c>
      <c r="AJ6577">
        <v>89.609660660345398</v>
      </c>
      <c r="AK6577">
        <v>3.0222694349442798</v>
      </c>
      <c r="AL6577">
        <v>81.443529947585503</v>
      </c>
      <c r="AM6577">
        <v>89.491837202873299</v>
      </c>
      <c r="AN6577">
        <v>0.99999998865267403</v>
      </c>
    </row>
    <row r="6578" spans="1:40" x14ac:dyDescent="0.25">
      <c r="A6578" t="str">
        <f>"20190303162043495"</f>
        <v>20190303162043495</v>
      </c>
      <c r="B6578" t="str">
        <f>"1551601243489118"</f>
        <v>1551601243489118</v>
      </c>
      <c r="C6578" t="s">
        <v>40</v>
      </c>
      <c r="D6578">
        <v>4.1191879999999896</v>
      </c>
      <c r="E6578">
        <v>0.49781320000000001</v>
      </c>
      <c r="F6578" t="s">
        <v>58</v>
      </c>
      <c r="G6578">
        <v>0</v>
      </c>
      <c r="H6578">
        <v>0</v>
      </c>
      <c r="I6578">
        <v>0</v>
      </c>
      <c r="J6578">
        <v>-295.75400000000002</v>
      </c>
      <c r="K6578">
        <v>1.121461</v>
      </c>
      <c r="L6578">
        <v>141.97540000000001</v>
      </c>
      <c r="M6578">
        <v>-0.99991059999999998</v>
      </c>
      <c r="N6578">
        <v>-1.276334E-2</v>
      </c>
      <c r="O6578">
        <v>4.0045870000000004E-3</v>
      </c>
      <c r="P6578">
        <v>-0.99056350000000004</v>
      </c>
      <c r="Q6578">
        <v>0.1364581</v>
      </c>
      <c r="R6578">
        <v>1.277673E-2</v>
      </c>
      <c r="S6578">
        <v>-3.0228579999999998</v>
      </c>
      <c r="T6578">
        <v>3.8297299999999999E-2</v>
      </c>
      <c r="U6578">
        <v>2.5512699999999999E-2</v>
      </c>
      <c r="V6578">
        <v>8.7762029999999998E-3</v>
      </c>
      <c r="W6578">
        <v>0.14909249999999999</v>
      </c>
      <c r="X6578">
        <v>0.98878429999999995</v>
      </c>
      <c r="Y6578">
        <v>4.4360859999999997E-3</v>
      </c>
      <c r="Z6578">
        <v>1.020531E-4</v>
      </c>
      <c r="AA6578">
        <v>0.99999020000000005</v>
      </c>
      <c r="AB6578">
        <v>28</v>
      </c>
      <c r="AC6578">
        <v>-3.0228579999999998</v>
      </c>
      <c r="AD6578">
        <v>3.8297299999999999E-2</v>
      </c>
      <c r="AE6578">
        <v>2.5512699999999999E-2</v>
      </c>
      <c r="AF6578">
        <v>1.34040609990839E-2</v>
      </c>
      <c r="AG6578">
        <v>3.8297299999999999E-2</v>
      </c>
      <c r="AH6578">
        <v>3.02245083613413</v>
      </c>
      <c r="AI6578">
        <v>89.274054474213202</v>
      </c>
      <c r="AJ6578">
        <v>89.745904522400394</v>
      </c>
      <c r="AK6578">
        <v>3.02272317768043</v>
      </c>
      <c r="AL6578">
        <v>81.425660666066307</v>
      </c>
      <c r="AM6578">
        <v>89.491470295101294</v>
      </c>
      <c r="AN6578">
        <v>0.99999999361091796</v>
      </c>
    </row>
    <row r="6579" spans="1:40" x14ac:dyDescent="0.25">
      <c r="A6579" t="str">
        <f>"20190303162043517"</f>
        <v>20190303162043517</v>
      </c>
      <c r="B6579" t="str">
        <f>"1551601243508638"</f>
        <v>1551601243508638</v>
      </c>
      <c r="C6579" t="s">
        <v>40</v>
      </c>
      <c r="D6579">
        <v>4.132282</v>
      </c>
      <c r="E6579">
        <v>0.49711949999999999</v>
      </c>
      <c r="F6579" t="s">
        <v>58</v>
      </c>
      <c r="G6579">
        <v>0</v>
      </c>
      <c r="H6579">
        <v>0</v>
      </c>
      <c r="I6579">
        <v>0</v>
      </c>
      <c r="J6579">
        <v>-296.02269999999999</v>
      </c>
      <c r="K6579">
        <v>1.1214599999999999</v>
      </c>
      <c r="L6579">
        <v>141.97630000000001</v>
      </c>
      <c r="M6579">
        <v>-0.99991110000000005</v>
      </c>
      <c r="N6579">
        <v>-1.2762259999999999E-2</v>
      </c>
      <c r="O6579">
        <v>3.8661400000000001E-3</v>
      </c>
      <c r="P6579">
        <v>-0.99054500000000001</v>
      </c>
      <c r="Q6579">
        <v>0.1365469</v>
      </c>
      <c r="R6579">
        <v>1.325017E-2</v>
      </c>
      <c r="S6579">
        <v>-3.0231319999999999</v>
      </c>
      <c r="T6579">
        <v>3.7829399999999999E-2</v>
      </c>
      <c r="U6579">
        <v>1.9180300000000001E-2</v>
      </c>
      <c r="V6579">
        <v>9.3868070000000005E-3</v>
      </c>
      <c r="W6579">
        <v>0.14918020000000001</v>
      </c>
      <c r="X6579">
        <v>0.98876549999999996</v>
      </c>
      <c r="Y6579">
        <v>2.4791980000000002E-3</v>
      </c>
      <c r="Z6579" s="1">
        <v>9.8024330000000005E-5</v>
      </c>
      <c r="AA6579">
        <v>0.99999689999999997</v>
      </c>
      <c r="AB6579">
        <v>28</v>
      </c>
      <c r="AC6579">
        <v>-3.0231319999999999</v>
      </c>
      <c r="AD6579">
        <v>3.7829399999999999E-2</v>
      </c>
      <c r="AE6579">
        <v>1.9180300000000001E-2</v>
      </c>
      <c r="AF6579">
        <v>7.4901805226835301E-3</v>
      </c>
      <c r="AG6579">
        <v>3.7829399999999999E-2</v>
      </c>
      <c r="AH6579">
        <v>3.0227102764890401</v>
      </c>
      <c r="AI6579">
        <v>89.282979525154602</v>
      </c>
      <c r="AJ6579">
        <v>89.858023159977805</v>
      </c>
      <c r="AK6579">
        <v>3.02295626529745</v>
      </c>
      <c r="AL6579">
        <v>81.420579302833303</v>
      </c>
      <c r="AM6579">
        <v>89.456081075046896</v>
      </c>
      <c r="AN6579">
        <v>1.0000000291039699</v>
      </c>
    </row>
    <row r="6580" spans="1:40" x14ac:dyDescent="0.25">
      <c r="A6580" t="str">
        <f>"20190303162043538"</f>
        <v>20190303162043538</v>
      </c>
      <c r="B6580" t="str">
        <f>"1551601243529133"</f>
        <v>1551601243529133</v>
      </c>
      <c r="C6580" t="s">
        <v>40</v>
      </c>
      <c r="D6580">
        <v>4.1770849999999999</v>
      </c>
      <c r="E6580">
        <v>0.49651810000000002</v>
      </c>
      <c r="F6580" t="s">
        <v>58</v>
      </c>
      <c r="G6580">
        <v>0</v>
      </c>
      <c r="H6580">
        <v>0</v>
      </c>
      <c r="I6580">
        <v>0</v>
      </c>
      <c r="J6580">
        <v>-296.28100000000001</v>
      </c>
      <c r="K6580">
        <v>1.1214519999999999</v>
      </c>
      <c r="L6580">
        <v>141.97710000000001</v>
      </c>
      <c r="M6580">
        <v>-0.99991169999999996</v>
      </c>
      <c r="N6580">
        <v>-1.276123E-2</v>
      </c>
      <c r="O6580">
        <v>3.7328790000000001E-3</v>
      </c>
      <c r="P6580">
        <v>-0.99052510000000005</v>
      </c>
      <c r="Q6580">
        <v>0.13658029999999999</v>
      </c>
      <c r="R6580">
        <v>1.4349570000000001E-2</v>
      </c>
      <c r="S6580">
        <v>-3.0234070000000002</v>
      </c>
      <c r="T6580">
        <v>3.6767719999999997E-2</v>
      </c>
      <c r="U6580">
        <v>1.516724E-2</v>
      </c>
      <c r="V6580">
        <v>1.0618290000000001E-2</v>
      </c>
      <c r="W6580">
        <v>0.1492127</v>
      </c>
      <c r="X6580">
        <v>0.98874810000000002</v>
      </c>
      <c r="Y6580">
        <v>1.2845350000000001E-3</v>
      </c>
      <c r="Z6580" s="1">
        <v>9.3413999999999997E-5</v>
      </c>
      <c r="AA6580">
        <v>0.99999919999999998</v>
      </c>
      <c r="AB6580">
        <v>28</v>
      </c>
      <c r="AC6580">
        <v>-3.0234070000000002</v>
      </c>
      <c r="AD6580">
        <v>3.6767719999999997E-2</v>
      </c>
      <c r="AE6580">
        <v>1.516724E-2</v>
      </c>
      <c r="AF6580">
        <v>3.8796300736791099E-3</v>
      </c>
      <c r="AG6580">
        <v>3.6767719999999997E-2</v>
      </c>
      <c r="AH6580">
        <v>3.0229954929624498</v>
      </c>
      <c r="AI6580">
        <v>89.303164831325304</v>
      </c>
      <c r="AJ6580">
        <v>89.926468197596407</v>
      </c>
      <c r="AK6580">
        <v>3.0232215709793402</v>
      </c>
      <c r="AL6580">
        <v>81.418695788229101</v>
      </c>
      <c r="AM6580">
        <v>89.384717081908207</v>
      </c>
      <c r="AN6580">
        <v>0.999999991588712</v>
      </c>
    </row>
    <row r="6581" spans="1:40" x14ac:dyDescent="0.25">
      <c r="A6581" t="str">
        <f>"20190303162043562"</f>
        <v>20190303162043562</v>
      </c>
      <c r="B6581" t="str">
        <f>"1551601243548653"</f>
        <v>1551601243548653</v>
      </c>
      <c r="C6581" t="s">
        <v>40</v>
      </c>
      <c r="D6581">
        <v>4.1687969999999996</v>
      </c>
      <c r="E6581">
        <v>0.49597089999999999</v>
      </c>
      <c r="F6581" t="s">
        <v>58</v>
      </c>
      <c r="G6581">
        <v>0</v>
      </c>
      <c r="H6581">
        <v>0</v>
      </c>
      <c r="I6581">
        <v>0</v>
      </c>
      <c r="J6581">
        <v>-296.56439999999998</v>
      </c>
      <c r="K6581">
        <v>1.1214489999999999</v>
      </c>
      <c r="L6581">
        <v>141.97799999999901</v>
      </c>
      <c r="M6581">
        <v>-0.99991220000000003</v>
      </c>
      <c r="N6581">
        <v>-1.27601E-2</v>
      </c>
      <c r="O6581">
        <v>3.5865060000000002E-3</v>
      </c>
      <c r="P6581">
        <v>-0.99057700000000004</v>
      </c>
      <c r="Q6581">
        <v>0.13608700000000001</v>
      </c>
      <c r="R6581">
        <v>1.5426580000000001E-2</v>
      </c>
      <c r="S6581">
        <v>-3.0236209999999999</v>
      </c>
      <c r="T6581">
        <v>3.5305740000000002E-2</v>
      </c>
      <c r="U6581">
        <v>1.351929E-2</v>
      </c>
      <c r="V6581">
        <v>1.1840460000000001E-2</v>
      </c>
      <c r="W6581">
        <v>0.14871899999999999</v>
      </c>
      <c r="X6581">
        <v>0.98880860000000004</v>
      </c>
      <c r="Y6581">
        <v>8.8546640000000004E-4</v>
      </c>
      <c r="Z6581" s="1">
        <v>8.8119390000000001E-5</v>
      </c>
      <c r="AA6581">
        <v>0.99999959999999999</v>
      </c>
      <c r="AB6581">
        <v>28</v>
      </c>
      <c r="AC6581">
        <v>-3.0236209999999999</v>
      </c>
      <c r="AD6581">
        <v>3.5305740000000002E-2</v>
      </c>
      <c r="AE6581">
        <v>1.351929E-2</v>
      </c>
      <c r="AF6581">
        <v>2.6737211944972599E-3</v>
      </c>
      <c r="AG6581">
        <v>3.5305740000000002E-2</v>
      </c>
      <c r="AH6581">
        <v>3.0232378492698202</v>
      </c>
      <c r="AI6581">
        <v>89.330923581502702</v>
      </c>
      <c r="AJ6581">
        <v>89.949328201174495</v>
      </c>
      <c r="AK6581">
        <v>3.02344517683381</v>
      </c>
      <c r="AL6581">
        <v>81.447301899653297</v>
      </c>
      <c r="AM6581">
        <v>89.313946133675302</v>
      </c>
      <c r="AN6581">
        <v>0.99999999244398496</v>
      </c>
    </row>
    <row r="6582" spans="1:40" x14ac:dyDescent="0.25">
      <c r="A6582" t="str">
        <f>"20190303162043584"</f>
        <v>20190303162043584</v>
      </c>
      <c r="B6582" t="str">
        <f>"1551601243578909"</f>
        <v>1551601243578909</v>
      </c>
      <c r="C6582" t="s">
        <v>40</v>
      </c>
      <c r="D6582">
        <v>4.209022</v>
      </c>
      <c r="E6582">
        <v>0.49517800000000001</v>
      </c>
      <c r="F6582" t="s">
        <v>58</v>
      </c>
      <c r="G6582">
        <v>0</v>
      </c>
      <c r="H6582">
        <v>0</v>
      </c>
      <c r="I6582">
        <v>0</v>
      </c>
      <c r="J6582">
        <v>-296.8467</v>
      </c>
      <c r="K6582">
        <v>1.121451</v>
      </c>
      <c r="L6582">
        <v>141.97890000000001</v>
      </c>
      <c r="M6582">
        <v>-0.99991260000000004</v>
      </c>
      <c r="N6582">
        <v>-1.275899E-2</v>
      </c>
      <c r="O6582">
        <v>3.4410830000000002E-3</v>
      </c>
      <c r="P6582">
        <v>-0.99058310000000005</v>
      </c>
      <c r="Q6582">
        <v>0.13596329999999901</v>
      </c>
      <c r="R6582">
        <v>1.6094830000000001E-2</v>
      </c>
      <c r="S6582">
        <v>-3.0238339999999999</v>
      </c>
      <c r="T6582">
        <v>3.25352E-2</v>
      </c>
      <c r="U6582">
        <v>1.2252809999999999E-2</v>
      </c>
      <c r="V6582">
        <v>1.265261E-2</v>
      </c>
      <c r="W6582">
        <v>0.14859449999999999</v>
      </c>
      <c r="X6582">
        <v>0.98881730000000001</v>
      </c>
      <c r="Y6582">
        <v>6.1164260000000001E-4</v>
      </c>
      <c r="Z6582" s="1">
        <v>8.1538750000000003E-5</v>
      </c>
      <c r="AA6582">
        <v>0.99999979999999999</v>
      </c>
      <c r="AB6582">
        <v>28</v>
      </c>
      <c r="AC6582">
        <v>-3.0238339999999999</v>
      </c>
      <c r="AD6582">
        <v>3.25352E-2</v>
      </c>
      <c r="AE6582">
        <v>1.2252809999999999E-2</v>
      </c>
      <c r="AF6582">
        <v>1.84641204018973E-3</v>
      </c>
      <c r="AG6582">
        <v>3.25352E-2</v>
      </c>
      <c r="AH6582">
        <v>3.0235082389118202</v>
      </c>
      <c r="AI6582">
        <v>89.383478659783606</v>
      </c>
      <c r="AJ6582">
        <v>89.965010313968193</v>
      </c>
      <c r="AK6582">
        <v>3.0236838490893998</v>
      </c>
      <c r="AL6582">
        <v>81.454515726602594</v>
      </c>
      <c r="AM6582">
        <v>89.266900374971598</v>
      </c>
      <c r="AN6582">
        <v>1.0000000333746699</v>
      </c>
    </row>
    <row r="6583" spans="1:40" x14ac:dyDescent="0.25">
      <c r="A6583" t="str">
        <f>"20190303162043607"</f>
        <v>20190303162043607</v>
      </c>
      <c r="B6583" t="str">
        <f>"1551601243599405"</f>
        <v>1551601243599405</v>
      </c>
      <c r="C6583" t="s">
        <v>40</v>
      </c>
      <c r="D6583">
        <v>4.2322629999999997</v>
      </c>
      <c r="E6583">
        <v>0.4947182</v>
      </c>
      <c r="F6583" t="s">
        <v>58</v>
      </c>
      <c r="G6583">
        <v>0</v>
      </c>
      <c r="H6583">
        <v>0</v>
      </c>
      <c r="I6583">
        <v>0</v>
      </c>
      <c r="J6583">
        <v>-297.12060000000002</v>
      </c>
      <c r="K6583">
        <v>1.121451</v>
      </c>
      <c r="L6583">
        <v>141.9796</v>
      </c>
      <c r="M6583">
        <v>-0.99991319999999995</v>
      </c>
      <c r="N6583">
        <v>-1.2757920000000001E-2</v>
      </c>
      <c r="O6583">
        <v>3.299775E-3</v>
      </c>
      <c r="P6583">
        <v>-0.99055870000000001</v>
      </c>
      <c r="Q6583">
        <v>0.1360857</v>
      </c>
      <c r="R6583">
        <v>1.6555170000000001E-2</v>
      </c>
      <c r="S6583">
        <v>-3.0241090000000002</v>
      </c>
      <c r="T6583">
        <v>3.110301E-2</v>
      </c>
      <c r="U6583">
        <v>7.7819819999999998E-3</v>
      </c>
      <c r="V6583">
        <v>1.325312E-2</v>
      </c>
      <c r="W6583">
        <v>0.14871519999999999</v>
      </c>
      <c r="X6583">
        <v>0.98879119999999998</v>
      </c>
      <c r="Y6583">
        <v>-7.2587390000000002E-4</v>
      </c>
      <c r="Z6583" s="1">
        <v>7.5136940000000005E-5</v>
      </c>
      <c r="AA6583">
        <v>0.99999979999999999</v>
      </c>
      <c r="AB6583">
        <v>28</v>
      </c>
      <c r="AC6583">
        <v>-3.0241090000000002</v>
      </c>
      <c r="AD6583">
        <v>3.110301E-2</v>
      </c>
      <c r="AE6583">
        <v>7.7819819999999998E-3</v>
      </c>
      <c r="AF6583">
        <v>-2.1975190947617E-3</v>
      </c>
      <c r="AG6583">
        <v>3.110301E-2</v>
      </c>
      <c r="AH6583">
        <v>3.0237983541442599</v>
      </c>
      <c r="AI6583">
        <v>89.410672380160605</v>
      </c>
      <c r="AJ6583">
        <v>90.041639200970593</v>
      </c>
      <c r="AK6583">
        <v>3.0239591122974501</v>
      </c>
      <c r="AL6583">
        <v>81.4475216765249</v>
      </c>
      <c r="AM6583">
        <v>89.232090279508199</v>
      </c>
      <c r="AN6583">
        <v>0.99999994654910496</v>
      </c>
    </row>
    <row r="6584" spans="1:40" x14ac:dyDescent="0.25">
      <c r="A6584" t="str">
        <f>"20190303162043627"</f>
        <v>20190303162043627</v>
      </c>
      <c r="B6584" t="str">
        <f>"1551601243618925"</f>
        <v>1551601243618925</v>
      </c>
      <c r="C6584" t="s">
        <v>40</v>
      </c>
      <c r="D6584">
        <v>4.2357199999999997</v>
      </c>
      <c r="E6584">
        <v>0.49430010000000002</v>
      </c>
      <c r="F6584" t="s">
        <v>58</v>
      </c>
      <c r="G6584">
        <v>0</v>
      </c>
      <c r="H6584">
        <v>0</v>
      </c>
      <c r="I6584">
        <v>0</v>
      </c>
      <c r="J6584">
        <v>-297.3775</v>
      </c>
      <c r="K6584">
        <v>1.121454</v>
      </c>
      <c r="L6584">
        <v>141.9803</v>
      </c>
      <c r="M6584">
        <v>-0.99991379999999996</v>
      </c>
      <c r="N6584">
        <v>-1.275693E-2</v>
      </c>
      <c r="O6584">
        <v>3.167109E-3</v>
      </c>
      <c r="P6584">
        <v>-0.99056449999999996</v>
      </c>
      <c r="Q6584">
        <v>0.13598859999999999</v>
      </c>
      <c r="R6584">
        <v>1.7009409999999999E-2</v>
      </c>
      <c r="S6584">
        <v>-3.024292</v>
      </c>
      <c r="T6584">
        <v>3.0721660000000001E-2</v>
      </c>
      <c r="U6584">
        <v>5.1879880000000001E-3</v>
      </c>
      <c r="V6584">
        <v>1.383888E-2</v>
      </c>
      <c r="W6584">
        <v>0.1486181</v>
      </c>
      <c r="X6584">
        <v>0.98879779999999995</v>
      </c>
      <c r="Y6584">
        <v>-1.4511210000000001E-3</v>
      </c>
      <c r="Z6584" s="1">
        <v>7.068745E-5</v>
      </c>
      <c r="AA6584">
        <v>0.99999890000000002</v>
      </c>
      <c r="AB6584">
        <v>28</v>
      </c>
      <c r="AC6584">
        <v>-3.024292</v>
      </c>
      <c r="AD6584">
        <v>3.0721660000000001E-2</v>
      </c>
      <c r="AE6584">
        <v>5.1879880000000001E-3</v>
      </c>
      <c r="AF6584">
        <v>-4.3906250312010604E-3</v>
      </c>
      <c r="AG6584">
        <v>3.0721660000000001E-2</v>
      </c>
      <c r="AH6584">
        <v>3.0239812152606498</v>
      </c>
      <c r="AI6584">
        <v>89.417933207215199</v>
      </c>
      <c r="AJ6584">
        <v>90.083189705566696</v>
      </c>
      <c r="AK6584">
        <v>3.0241404544482799</v>
      </c>
      <c r="AL6584">
        <v>81.453147833154105</v>
      </c>
      <c r="AM6584">
        <v>89.198159975726796</v>
      </c>
      <c r="AN6584">
        <v>0.99999997176605104</v>
      </c>
    </row>
    <row r="6585" spans="1:40" x14ac:dyDescent="0.25">
      <c r="A6585" t="str">
        <f>"20190303162043651"</f>
        <v>20190303162043651</v>
      </c>
      <c r="B6585" t="str">
        <f>"1551601243639421"</f>
        <v>1551601243639421</v>
      </c>
      <c r="C6585" t="s">
        <v>40</v>
      </c>
      <c r="D6585">
        <v>4.2668419999999996</v>
      </c>
      <c r="E6585">
        <v>0.49394290000000002</v>
      </c>
      <c r="F6585" t="s">
        <v>58</v>
      </c>
      <c r="G6585">
        <v>0</v>
      </c>
      <c r="H6585">
        <v>0</v>
      </c>
      <c r="I6585">
        <v>0</v>
      </c>
      <c r="J6585">
        <v>-297.65570000000002</v>
      </c>
      <c r="K6585">
        <v>1.121459</v>
      </c>
      <c r="L6585">
        <v>141.98099999999999</v>
      </c>
      <c r="M6585">
        <v>-0.99991419999999998</v>
      </c>
      <c r="N6585">
        <v>-1.2755860000000001E-2</v>
      </c>
      <c r="O6585">
        <v>3.0234189999999998E-3</v>
      </c>
      <c r="P6585">
        <v>-0.99040550000000005</v>
      </c>
      <c r="Q6585">
        <v>0.1371134</v>
      </c>
      <c r="R6585">
        <v>1.7240289999999998E-2</v>
      </c>
      <c r="S6585">
        <v>-3.0244450000000001</v>
      </c>
      <c r="T6585">
        <v>2.9380920000000001E-2</v>
      </c>
      <c r="U6585">
        <v>3.1890870000000002E-3</v>
      </c>
      <c r="V6585">
        <v>1.421246E-2</v>
      </c>
      <c r="W6585">
        <v>0.14973929999999999</v>
      </c>
      <c r="X6585">
        <v>0.98862340000000004</v>
      </c>
      <c r="Y6585">
        <v>-1.968497E-3</v>
      </c>
      <c r="Z6585" s="1">
        <v>6.4941889999999995E-5</v>
      </c>
      <c r="AA6585">
        <v>0.99999800000000005</v>
      </c>
      <c r="AB6585">
        <v>27</v>
      </c>
      <c r="AC6585">
        <v>-3.0244450000000001</v>
      </c>
      <c r="AD6585">
        <v>2.9380920000000001E-2</v>
      </c>
      <c r="AE6585">
        <v>3.1890870000000002E-3</v>
      </c>
      <c r="AF6585">
        <v>-5.9552728826283499E-3</v>
      </c>
      <c r="AG6585">
        <v>2.9380920000000001E-2</v>
      </c>
      <c r="AH6585">
        <v>3.02415542432415</v>
      </c>
      <c r="AI6585">
        <v>89.4433664106935</v>
      </c>
      <c r="AJ6585">
        <v>90.112828711850995</v>
      </c>
      <c r="AK6585">
        <v>3.0243040082313701</v>
      </c>
      <c r="AL6585">
        <v>81.388181423125999</v>
      </c>
      <c r="AM6585">
        <v>89.176372030588695</v>
      </c>
      <c r="AN6585">
        <v>1.0000000395056501</v>
      </c>
    </row>
    <row r="6586" spans="1:40" x14ac:dyDescent="0.25">
      <c r="A6586" t="str">
        <f>"20190303162043674"</f>
        <v>20190303162043674</v>
      </c>
      <c r="B6586" t="str">
        <f>"1551601243668702"</f>
        <v>1551601243668702</v>
      </c>
      <c r="C6586" t="s">
        <v>40</v>
      </c>
      <c r="D6586">
        <v>4.2743500000000001</v>
      </c>
      <c r="E6586">
        <v>0.49343540000000002</v>
      </c>
      <c r="F6586" t="s">
        <v>58</v>
      </c>
      <c r="G6586">
        <v>0</v>
      </c>
      <c r="H6586">
        <v>0</v>
      </c>
      <c r="I6586">
        <v>0</v>
      </c>
      <c r="J6586">
        <v>-297.94240000000002</v>
      </c>
      <c r="K6586">
        <v>1.1214679999999999</v>
      </c>
      <c r="L6586">
        <v>141.98169999999999</v>
      </c>
      <c r="M6586">
        <v>-0.99991470000000005</v>
      </c>
      <c r="N6586">
        <v>-1.275475E-2</v>
      </c>
      <c r="O6586">
        <v>2.8751409999999999E-3</v>
      </c>
      <c r="P6586">
        <v>-0.99029750000000005</v>
      </c>
      <c r="Q6586">
        <v>0.13781209999999999</v>
      </c>
      <c r="R6586">
        <v>1.7863319999999999E-2</v>
      </c>
      <c r="S6586">
        <v>-3.0247190000000002</v>
      </c>
      <c r="T6586">
        <v>3.1347750000000001E-2</v>
      </c>
      <c r="U6586">
        <v>6.5612789999999895E-4</v>
      </c>
      <c r="V6586">
        <v>1.498266E-2</v>
      </c>
      <c r="W6586">
        <v>0.15043609999999999</v>
      </c>
      <c r="X6586">
        <v>0.9885062</v>
      </c>
      <c r="Y6586">
        <v>-2.6577179999999999E-3</v>
      </c>
      <c r="Z6586" s="1">
        <v>6.328963E-5</v>
      </c>
      <c r="AA6586">
        <v>0.99999649999999995</v>
      </c>
      <c r="AB6586">
        <v>27</v>
      </c>
      <c r="AC6586">
        <v>-3.0247190000000002</v>
      </c>
      <c r="AD6586">
        <v>3.1347750000000001E-2</v>
      </c>
      <c r="AE6586">
        <v>6.5612789999999895E-4</v>
      </c>
      <c r="AF6586">
        <v>-8.0402107485046392E-3</v>
      </c>
      <c r="AG6586">
        <v>3.1347750000000001E-2</v>
      </c>
      <c r="AH6586">
        <v>3.0243835352379498</v>
      </c>
      <c r="AI6586">
        <v>89.406152331812507</v>
      </c>
      <c r="AJ6586">
        <v>90.152318332536794</v>
      </c>
      <c r="AK6586">
        <v>3.0245566773722898</v>
      </c>
      <c r="AL6586">
        <v>81.347800004480007</v>
      </c>
      <c r="AM6586">
        <v>89.131641808601103</v>
      </c>
      <c r="AN6586">
        <v>1.0000000038611601</v>
      </c>
    </row>
    <row r="6587" spans="1:40" x14ac:dyDescent="0.25">
      <c r="A6587" t="str">
        <f>"20190303162043697"</f>
        <v>20190303162043697</v>
      </c>
      <c r="B6587" t="str">
        <f>"1551601243689197"</f>
        <v>1551601243689197</v>
      </c>
      <c r="C6587" t="s">
        <v>40</v>
      </c>
      <c r="D6587">
        <v>4.3233709999999999</v>
      </c>
      <c r="E6587">
        <v>0.49310680000000001</v>
      </c>
      <c r="F6587" t="s">
        <v>58</v>
      </c>
      <c r="G6587">
        <v>0</v>
      </c>
      <c r="H6587">
        <v>0</v>
      </c>
      <c r="I6587">
        <v>0</v>
      </c>
      <c r="J6587">
        <v>-298.22629999999998</v>
      </c>
      <c r="K6587">
        <v>1.12147</v>
      </c>
      <c r="L6587">
        <v>141.98230000000001</v>
      </c>
      <c r="M6587">
        <v>-0.99991509999999995</v>
      </c>
      <c r="N6587">
        <v>-1.275363E-2</v>
      </c>
      <c r="O6587">
        <v>2.7285289999999999E-3</v>
      </c>
      <c r="P6587">
        <v>-0.99017650000000001</v>
      </c>
      <c r="Q6587">
        <v>0.13867850000000001</v>
      </c>
      <c r="R6587">
        <v>1.7859750000000001E-2</v>
      </c>
      <c r="S6587">
        <v>-3.0250849999999998</v>
      </c>
      <c r="T6587">
        <v>3.1371709999999997E-2</v>
      </c>
      <c r="U6587">
        <v>-1.846313E-3</v>
      </c>
      <c r="V6587">
        <v>1.5124540000000001E-2</v>
      </c>
      <c r="W6587">
        <v>0.15129970000000001</v>
      </c>
      <c r="X6587">
        <v>0.98837220000000003</v>
      </c>
      <c r="Y6587">
        <v>-3.3383940000000002E-3</v>
      </c>
      <c r="Z6587" s="1">
        <v>5.9114399999999998E-5</v>
      </c>
      <c r="AA6587">
        <v>0.99999439999999995</v>
      </c>
      <c r="AB6587">
        <v>27</v>
      </c>
      <c r="AC6587">
        <v>-3.0250849999999998</v>
      </c>
      <c r="AD6587">
        <v>3.1371709999999997E-2</v>
      </c>
      <c r="AE6587">
        <v>-1.846313E-3</v>
      </c>
      <c r="AF6587">
        <v>-1.00999221469068E-2</v>
      </c>
      <c r="AG6587">
        <v>3.1371709999999997E-2</v>
      </c>
      <c r="AH6587">
        <v>3.0247433951969098</v>
      </c>
      <c r="AI6587">
        <v>89.405770382239297</v>
      </c>
      <c r="AJ6587">
        <v>90.191315654302699</v>
      </c>
      <c r="AK6587">
        <v>3.0249229410685801</v>
      </c>
      <c r="AL6587">
        <v>81.297746227550704</v>
      </c>
      <c r="AM6587">
        <v>89.123301244135604</v>
      </c>
      <c r="AN6587">
        <v>0.99999997833156995</v>
      </c>
    </row>
    <row r="6588" spans="1:40" x14ac:dyDescent="0.25">
      <c r="A6588" t="str">
        <f>"20190303162043717"</f>
        <v>20190303162043717</v>
      </c>
      <c r="B6588" t="str">
        <f>"1551601243708717"</f>
        <v>1551601243708717</v>
      </c>
      <c r="C6588" t="s">
        <v>40</v>
      </c>
      <c r="D6588">
        <v>4.3180889999999996</v>
      </c>
      <c r="E6588">
        <v>0.4927552</v>
      </c>
      <c r="F6588" t="s">
        <v>58</v>
      </c>
      <c r="G6588">
        <v>0</v>
      </c>
      <c r="H6588">
        <v>0</v>
      </c>
      <c r="I6588">
        <v>0</v>
      </c>
      <c r="J6588">
        <v>-298.47309999999999</v>
      </c>
      <c r="K6588">
        <v>1.12147</v>
      </c>
      <c r="L6588">
        <v>141.9829</v>
      </c>
      <c r="M6588">
        <v>-0.99991529999999995</v>
      </c>
      <c r="N6588">
        <v>-1.2752640000000001E-2</v>
      </c>
      <c r="O6588">
        <v>2.601047E-3</v>
      </c>
      <c r="P6588">
        <v>-0.9900293</v>
      </c>
      <c r="Q6588">
        <v>0.13974839999999999</v>
      </c>
      <c r="R6588">
        <v>1.7676040000000001E-2</v>
      </c>
      <c r="S6588">
        <v>-3.02536</v>
      </c>
      <c r="T6588">
        <v>3.2085660000000002E-2</v>
      </c>
      <c r="U6588">
        <v>-4.8217770000000002E-3</v>
      </c>
      <c r="V6588">
        <v>1.5066990000000001E-2</v>
      </c>
      <c r="W6588">
        <v>0.15236669999999999</v>
      </c>
      <c r="X6588">
        <v>0.98820920000000001</v>
      </c>
      <c r="Y6588">
        <v>-4.1943730000000004E-3</v>
      </c>
      <c r="Z6588" s="1">
        <v>5.6249879999999997E-5</v>
      </c>
      <c r="AA6588">
        <v>0.99999119999999997</v>
      </c>
      <c r="AB6588">
        <v>27</v>
      </c>
      <c r="AC6588">
        <v>-3.02536</v>
      </c>
      <c r="AD6588">
        <v>3.2085660000000002E-2</v>
      </c>
      <c r="AE6588">
        <v>-4.8217770000000002E-3</v>
      </c>
      <c r="AF6588">
        <v>-1.2690076830758099E-2</v>
      </c>
      <c r="AG6588">
        <v>3.2085660000000002E-2</v>
      </c>
      <c r="AH6588">
        <v>3.0249969767357099</v>
      </c>
      <c r="AI6588">
        <v>89.392300949978704</v>
      </c>
      <c r="AJ6588">
        <v>90.240358448120205</v>
      </c>
      <c r="AK6588">
        <v>3.0251937519583398</v>
      </c>
      <c r="AL6588">
        <v>81.235894930988394</v>
      </c>
      <c r="AM6588">
        <v>89.126492595978704</v>
      </c>
      <c r="AN6588">
        <v>1.00000002421059</v>
      </c>
    </row>
    <row r="6589" spans="1:40" x14ac:dyDescent="0.25">
      <c r="A6589" t="str">
        <f>"20190303162043739"</f>
        <v>20190303162043739</v>
      </c>
      <c r="B6589" t="str">
        <f>"1551601243729214"</f>
        <v>1551601243729214</v>
      </c>
      <c r="C6589" t="s">
        <v>40</v>
      </c>
      <c r="D6589">
        <v>4.3022429999999998</v>
      </c>
      <c r="E6589">
        <v>0.49242340000000001</v>
      </c>
      <c r="F6589" t="s">
        <v>58</v>
      </c>
      <c r="G6589">
        <v>0</v>
      </c>
      <c r="H6589">
        <v>0</v>
      </c>
      <c r="I6589">
        <v>0</v>
      </c>
      <c r="J6589">
        <v>-298.75240000000002</v>
      </c>
      <c r="K6589">
        <v>1.1214759999999999</v>
      </c>
      <c r="L6589">
        <v>141.98339999999999</v>
      </c>
      <c r="M6589">
        <v>-0.99991569999999996</v>
      </c>
      <c r="N6589">
        <v>-1.275154E-2</v>
      </c>
      <c r="O6589">
        <v>2.4571160000000001E-3</v>
      </c>
      <c r="P6589">
        <v>-0.98997080000000004</v>
      </c>
      <c r="Q6589">
        <v>0.14015610000000001</v>
      </c>
      <c r="R6589">
        <v>1.7723269999999999E-2</v>
      </c>
      <c r="S6589">
        <v>-3.0255130000000001</v>
      </c>
      <c r="T6589">
        <v>3.4198279999999998E-2</v>
      </c>
      <c r="U6589">
        <v>-8.5144039999999997E-3</v>
      </c>
      <c r="V6589">
        <v>1.525697E-2</v>
      </c>
      <c r="W6589">
        <v>0.15277249999999901</v>
      </c>
      <c r="X6589">
        <v>0.98814360000000001</v>
      </c>
      <c r="Y6589">
        <v>-5.2708219999999997E-3</v>
      </c>
      <c r="Z6589" s="1">
        <v>5.5284680000000001E-5</v>
      </c>
      <c r="AA6589">
        <v>0.99998609999999999</v>
      </c>
      <c r="AB6589">
        <v>27</v>
      </c>
      <c r="AC6589">
        <v>-3.0255130000000001</v>
      </c>
      <c r="AD6589">
        <v>3.4198279999999998E-2</v>
      </c>
      <c r="AE6589">
        <v>-8.5144039999999997E-3</v>
      </c>
      <c r="AF6589">
        <v>-1.5946981545802898E-2</v>
      </c>
      <c r="AG6589">
        <v>3.4198279999999998E-2</v>
      </c>
      <c r="AH6589">
        <v>3.0250964456534</v>
      </c>
      <c r="AI6589">
        <v>89.352316046856799</v>
      </c>
      <c r="AJ6589">
        <v>90.3020354198418</v>
      </c>
      <c r="AK6589">
        <v>3.0253317725631699</v>
      </c>
      <c r="AL6589">
        <v>81.212368602227599</v>
      </c>
      <c r="AM6589">
        <v>89.115421549987602</v>
      </c>
      <c r="AN6589">
        <v>0.999999993055395</v>
      </c>
    </row>
    <row r="6590" spans="1:40" x14ac:dyDescent="0.25">
      <c r="A6590" t="str">
        <f>"20190303162043763"</f>
        <v>20190303162043763</v>
      </c>
      <c r="B6590" t="str">
        <f>"1551601243748734"</f>
        <v>1551601243748734</v>
      </c>
      <c r="C6590" t="s">
        <v>40</v>
      </c>
      <c r="D6590">
        <v>4.3612799999999998</v>
      </c>
      <c r="E6590">
        <v>0.49214859999999999</v>
      </c>
      <c r="F6590" t="s">
        <v>58</v>
      </c>
      <c r="G6590">
        <v>0</v>
      </c>
      <c r="H6590">
        <v>0</v>
      </c>
      <c r="I6590">
        <v>0</v>
      </c>
      <c r="J6590">
        <v>-299.03489999999999</v>
      </c>
      <c r="K6590">
        <v>1.1214759999999999</v>
      </c>
      <c r="L6590">
        <v>141.98390000000001</v>
      </c>
      <c r="M6590">
        <v>-0.99991600000000003</v>
      </c>
      <c r="N6590">
        <v>-1.275043E-2</v>
      </c>
      <c r="O6590">
        <v>2.3116360000000002E-3</v>
      </c>
      <c r="P6590">
        <v>-0.98992219999999997</v>
      </c>
      <c r="Q6590">
        <v>0.14046139999999999</v>
      </c>
      <c r="R6590">
        <v>1.8016049999999999E-2</v>
      </c>
      <c r="S6590">
        <v>-3.025757</v>
      </c>
      <c r="T6590">
        <v>3.3816930000000002E-2</v>
      </c>
      <c r="U6590">
        <v>-1.0848999999999999E-2</v>
      </c>
      <c r="V6590">
        <v>1.569388E-2</v>
      </c>
      <c r="W6590">
        <v>0.1530764</v>
      </c>
      <c r="X6590">
        <v>0.98808969999999896</v>
      </c>
      <c r="Y6590">
        <v>-5.8967159999999998E-3</v>
      </c>
      <c r="Z6590" s="1">
        <v>5.0664709999999997E-5</v>
      </c>
      <c r="AA6590">
        <v>0.99998260000000005</v>
      </c>
      <c r="AB6590">
        <v>27</v>
      </c>
      <c r="AC6590">
        <v>-3.025757</v>
      </c>
      <c r="AD6590">
        <v>3.3816930000000002E-2</v>
      </c>
      <c r="AE6590">
        <v>-1.0848999999999999E-2</v>
      </c>
      <c r="AF6590">
        <v>-1.7841760106166501E-2</v>
      </c>
      <c r="AG6590">
        <v>3.3816930000000002E-2</v>
      </c>
      <c r="AH6590">
        <v>3.0253459396238802</v>
      </c>
      <c r="AI6590">
        <v>89.359592911161798</v>
      </c>
      <c r="AJ6590">
        <v>90.337893821916595</v>
      </c>
      <c r="AK6590">
        <v>3.0255875408847501</v>
      </c>
      <c r="AL6590">
        <v>81.194748956468501</v>
      </c>
      <c r="AM6590">
        <v>89.090044672988697</v>
      </c>
      <c r="AN6590">
        <v>0.99999996867625096</v>
      </c>
    </row>
    <row r="6591" spans="1:40" x14ac:dyDescent="0.25">
      <c r="A6591" t="str">
        <f>"20190303162043785"</f>
        <v>20190303162043785</v>
      </c>
      <c r="B6591" t="str">
        <f>"1551601243778520"</f>
        <v>1551601243778520</v>
      </c>
      <c r="C6591" t="s">
        <v>40</v>
      </c>
      <c r="D6591">
        <v>4.3649620000000002</v>
      </c>
      <c r="E6591">
        <v>0.49183700000000002</v>
      </c>
      <c r="F6591" t="s">
        <v>58</v>
      </c>
      <c r="G6591">
        <v>0</v>
      </c>
      <c r="H6591">
        <v>0</v>
      </c>
      <c r="I6591">
        <v>0</v>
      </c>
      <c r="J6591">
        <v>-299.30669999999998</v>
      </c>
      <c r="K6591">
        <v>1.1214759999999999</v>
      </c>
      <c r="L6591">
        <v>141.98439999999999</v>
      </c>
      <c r="M6591">
        <v>-0.99991640000000004</v>
      </c>
      <c r="N6591">
        <v>-1.2749389999999999E-2</v>
      </c>
      <c r="O6591">
        <v>2.1714009999999999E-3</v>
      </c>
      <c r="P6591">
        <v>-0.98997670000000004</v>
      </c>
      <c r="Q6591">
        <v>0.13999149999999999</v>
      </c>
      <c r="R6591">
        <v>1.8665910000000001E-2</v>
      </c>
      <c r="S6591">
        <v>-3.0260929999999999</v>
      </c>
      <c r="T6591">
        <v>3.3041239999999999E-2</v>
      </c>
      <c r="U6591">
        <v>-1.24054E-2</v>
      </c>
      <c r="V6591">
        <v>1.6482420000000001E-2</v>
      </c>
      <c r="W6591">
        <v>0.15260570000000001</v>
      </c>
      <c r="X6591">
        <v>0.98814970000000002</v>
      </c>
      <c r="Y6591">
        <v>-6.2704469999999898E-3</v>
      </c>
      <c r="Z6591" s="1">
        <v>4.5649380000000002E-5</v>
      </c>
      <c r="AA6591">
        <v>0.99998030000000004</v>
      </c>
      <c r="AB6591">
        <v>27</v>
      </c>
      <c r="AC6591">
        <v>-3.0260929999999999</v>
      </c>
      <c r="AD6591">
        <v>3.3041239999999999E-2</v>
      </c>
      <c r="AE6591">
        <v>-1.24054E-2</v>
      </c>
      <c r="AF6591">
        <v>-1.8974503894033198E-2</v>
      </c>
      <c r="AG6591">
        <v>3.3041239999999999E-2</v>
      </c>
      <c r="AH6591">
        <v>3.0256982086974502</v>
      </c>
      <c r="AI6591">
        <v>89.374355601683206</v>
      </c>
      <c r="AJ6591">
        <v>90.359303759100996</v>
      </c>
      <c r="AK6591">
        <v>3.0259381033745099</v>
      </c>
      <c r="AL6591">
        <v>81.222038988968194</v>
      </c>
      <c r="AM6591">
        <v>89.044390203244802</v>
      </c>
      <c r="AN6591">
        <v>0.99999999972581799</v>
      </c>
    </row>
    <row r="6592" spans="1:40" x14ac:dyDescent="0.25">
      <c r="A6592" t="str">
        <f>"20190303162043806"</f>
        <v>20190303162043806</v>
      </c>
      <c r="B6592" t="str">
        <f>"1551601243799015"</f>
        <v>1551601243799015</v>
      </c>
      <c r="C6592" t="s">
        <v>40</v>
      </c>
      <c r="D6592">
        <v>4.3282910000000001</v>
      </c>
      <c r="E6592">
        <v>0.4723232</v>
      </c>
      <c r="F6592" t="s">
        <v>58</v>
      </c>
      <c r="G6592">
        <v>0</v>
      </c>
      <c r="H6592">
        <v>0</v>
      </c>
      <c r="I6592">
        <v>0</v>
      </c>
      <c r="J6592">
        <v>-299.57279999999997</v>
      </c>
      <c r="K6592">
        <v>1.1214759999999999</v>
      </c>
      <c r="L6592">
        <v>141.98480000000001</v>
      </c>
      <c r="M6592">
        <v>-0.99991680000000005</v>
      </c>
      <c r="N6592">
        <v>-1.274835E-2</v>
      </c>
      <c r="O6592">
        <v>2.034325E-3</v>
      </c>
      <c r="P6592">
        <v>-0.99004190000000003</v>
      </c>
      <c r="Q6592">
        <v>0.13947699999999999</v>
      </c>
      <c r="R6592">
        <v>1.9058990000000001E-2</v>
      </c>
      <c r="S6592">
        <v>-3.026367</v>
      </c>
      <c r="T6592">
        <v>3.0287979999999999E-2</v>
      </c>
      <c r="U6592">
        <v>-1.3153079999999999E-2</v>
      </c>
      <c r="V6592">
        <v>1.701124E-2</v>
      </c>
      <c r="W6592">
        <v>0.15209149999999999</v>
      </c>
      <c r="X6592">
        <v>0.98821999999999999</v>
      </c>
      <c r="Y6592">
        <v>-6.3801419999999897E-3</v>
      </c>
      <c r="Z6592" s="1">
        <v>3.7548400000000001E-5</v>
      </c>
      <c r="AA6592">
        <v>0.99997970000000003</v>
      </c>
      <c r="AB6592">
        <v>27</v>
      </c>
      <c r="AC6592">
        <v>-3.026367</v>
      </c>
      <c r="AD6592">
        <v>3.0287979999999999E-2</v>
      </c>
      <c r="AE6592">
        <v>-1.3153079999999999E-2</v>
      </c>
      <c r="AF6592">
        <v>-1.9308232466304299E-2</v>
      </c>
      <c r="AG6592">
        <v>3.0287979999999999E-2</v>
      </c>
      <c r="AH6592">
        <v>3.0260308931842301</v>
      </c>
      <c r="AI6592">
        <v>89.4265490951164</v>
      </c>
      <c r="AJ6592">
        <v>90.365582922344203</v>
      </c>
      <c r="AK6592">
        <v>3.0262440641955499</v>
      </c>
      <c r="AL6592">
        <v>81.251848342818207</v>
      </c>
      <c r="AM6592">
        <v>89.0138066412851</v>
      </c>
      <c r="AN6592">
        <v>0.99999998752929298</v>
      </c>
    </row>
    <row r="6593" spans="1:40" x14ac:dyDescent="0.25">
      <c r="A6593" t="str">
        <f>"20190303162043829"</f>
        <v>20190303162043829</v>
      </c>
      <c r="B6593" t="str">
        <f>"1551601243818535"</f>
        <v>1551601243818535</v>
      </c>
      <c r="C6593" t="s">
        <v>40</v>
      </c>
      <c r="D6593">
        <v>4.418933</v>
      </c>
      <c r="E6593">
        <v>0.47087830000000003</v>
      </c>
      <c r="F6593" t="s">
        <v>58</v>
      </c>
      <c r="G6593">
        <v>0</v>
      </c>
      <c r="H6593">
        <v>0</v>
      </c>
      <c r="I6593">
        <v>0</v>
      </c>
      <c r="J6593">
        <v>-299.84769999999997</v>
      </c>
      <c r="K6593">
        <v>1.1214759999999999</v>
      </c>
      <c r="L6593">
        <v>141.98519999999999</v>
      </c>
      <c r="M6593">
        <v>-0.99991699999999994</v>
      </c>
      <c r="N6593">
        <v>-1.27473E-2</v>
      </c>
      <c r="O6593">
        <v>1.892896E-3</v>
      </c>
      <c r="P6593">
        <v>-0.99009809999999998</v>
      </c>
      <c r="Q6593">
        <v>0.13911750000000001</v>
      </c>
      <c r="R6593">
        <v>1.8770510000000001E-2</v>
      </c>
      <c r="S6593">
        <v>-3.0346679999999999</v>
      </c>
      <c r="T6593">
        <v>-8.9921949999999997E-3</v>
      </c>
      <c r="U6593">
        <v>-0.1682129</v>
      </c>
      <c r="V6593">
        <v>1.6863099999999898E-2</v>
      </c>
      <c r="W6593">
        <v>0.15173139999999999</v>
      </c>
      <c r="X6593">
        <v>0.98827790000000004</v>
      </c>
      <c r="Y6593">
        <v>-5.7234069999999998E-2</v>
      </c>
      <c r="Z6593">
        <v>-4.3131339999999998E-4</v>
      </c>
      <c r="AA6593">
        <v>0.99836069999999999</v>
      </c>
      <c r="AB6593">
        <v>27</v>
      </c>
      <c r="AC6593">
        <v>-3.0346679999999999</v>
      </c>
      <c r="AD6593">
        <v>-8.9921949999999997E-3</v>
      </c>
      <c r="AE6593">
        <v>-0.1682129</v>
      </c>
      <c r="AF6593">
        <v>-0.17395585333001101</v>
      </c>
      <c r="AG6593">
        <v>-8.9921949999999997E-3</v>
      </c>
      <c r="AH6593">
        <v>3.03431756644293</v>
      </c>
      <c r="AI6593">
        <v>90.169517105866205</v>
      </c>
      <c r="AJ6593">
        <v>93.281145806356307</v>
      </c>
      <c r="AK6593">
        <v>3.0393131777595501</v>
      </c>
      <c r="AL6593">
        <v>81.272722883932104</v>
      </c>
      <c r="AM6593">
        <v>89.022450357626596</v>
      </c>
      <c r="AN6593">
        <v>0.99999999475798995</v>
      </c>
    </row>
    <row r="6594" spans="1:40" x14ac:dyDescent="0.25">
      <c r="A6594" t="str">
        <f>"20190303162043852"</f>
        <v>20190303162043852</v>
      </c>
      <c r="B6594" t="str">
        <f>"1551601243839031"</f>
        <v>1551601243839031</v>
      </c>
      <c r="C6594" t="s">
        <v>40</v>
      </c>
      <c r="D6594">
        <v>4.3717649999999999</v>
      </c>
      <c r="E6594">
        <v>0.47040720000000003</v>
      </c>
      <c r="F6594" t="s">
        <v>58</v>
      </c>
      <c r="G6594">
        <v>0</v>
      </c>
      <c r="H6594">
        <v>0</v>
      </c>
      <c r="I6594">
        <v>0</v>
      </c>
      <c r="J6594">
        <v>-300.13170000000002</v>
      </c>
      <c r="K6594">
        <v>1.1214710000000001</v>
      </c>
      <c r="L6594">
        <v>141.9855</v>
      </c>
      <c r="M6594">
        <v>-0.99991730000000001</v>
      </c>
      <c r="N6594">
        <v>-1.2746179999999999E-2</v>
      </c>
      <c r="O6594">
        <v>1.7463419999999999E-3</v>
      </c>
      <c r="P6594">
        <v>-0.99014769999999996</v>
      </c>
      <c r="Q6594">
        <v>0.1388009</v>
      </c>
      <c r="R6594">
        <v>1.8496410000000001E-2</v>
      </c>
      <c r="S6594">
        <v>-3.034332</v>
      </c>
      <c r="T6594">
        <v>-6.1777830000000001E-3</v>
      </c>
      <c r="U6594">
        <v>-0.18054200000000001</v>
      </c>
      <c r="V6594">
        <v>1.6733950000000001E-2</v>
      </c>
      <c r="W6594">
        <v>0.1514142</v>
      </c>
      <c r="X6594">
        <v>0.98832880000000001</v>
      </c>
      <c r="Y6594">
        <v>-6.1136990000000002E-2</v>
      </c>
      <c r="Z6594">
        <v>-4.3348779999999998E-4</v>
      </c>
      <c r="AA6594">
        <v>0.9981293</v>
      </c>
      <c r="AB6594">
        <v>27</v>
      </c>
      <c r="AC6594">
        <v>-3.034332</v>
      </c>
      <c r="AD6594">
        <v>-6.1777830000000001E-3</v>
      </c>
      <c r="AE6594">
        <v>-0.18054200000000001</v>
      </c>
      <c r="AF6594">
        <v>-0.185840368631431</v>
      </c>
      <c r="AG6594">
        <v>-6.1777830000000001E-3</v>
      </c>
      <c r="AH6594">
        <v>3.0339995266713902</v>
      </c>
      <c r="AI6594">
        <v>90.116446379145401</v>
      </c>
      <c r="AJ6594">
        <v>93.505136396954796</v>
      </c>
      <c r="AK6594">
        <v>3.0396920790530899</v>
      </c>
      <c r="AL6594">
        <v>81.291110036463607</v>
      </c>
      <c r="AM6594">
        <v>89.029985664100906</v>
      </c>
      <c r="AN6594">
        <v>1.0000000509768401</v>
      </c>
    </row>
    <row r="6595" spans="1:40" x14ac:dyDescent="0.25">
      <c r="A6595" t="str">
        <f>"20190303162043875"</f>
        <v>20190303162043875</v>
      </c>
      <c r="B6595" t="str">
        <f>"1551601243869288"</f>
        <v>1551601243869288</v>
      </c>
      <c r="C6595" t="s">
        <v>40</v>
      </c>
      <c r="D6595">
        <v>4.4221019999999998</v>
      </c>
      <c r="E6595">
        <v>0.46987240000000002</v>
      </c>
      <c r="F6595" t="s">
        <v>58</v>
      </c>
      <c r="G6595">
        <v>0</v>
      </c>
      <c r="H6595">
        <v>0</v>
      </c>
      <c r="I6595">
        <v>0</v>
      </c>
      <c r="J6595">
        <v>-300.40469999999999</v>
      </c>
      <c r="K6595">
        <v>1.1214710000000001</v>
      </c>
      <c r="L6595">
        <v>141.98580000000001</v>
      </c>
      <c r="M6595">
        <v>-0.99991759999999996</v>
      </c>
      <c r="N6595">
        <v>-1.2745080000000001E-2</v>
      </c>
      <c r="O6595">
        <v>1.60557E-3</v>
      </c>
      <c r="P6595">
        <v>-0.99010310000000001</v>
      </c>
      <c r="Q6595">
        <v>0.13916700000000001</v>
      </c>
      <c r="R6595">
        <v>1.8121979999999999E-2</v>
      </c>
      <c r="S6595">
        <v>-3.034424</v>
      </c>
      <c r="T6595">
        <v>-7.8456399999999992E-3</v>
      </c>
      <c r="U6595">
        <v>-0.18531800000000001</v>
      </c>
      <c r="V6595">
        <v>1.649898E-2</v>
      </c>
      <c r="W6595">
        <v>0.15177850000000001</v>
      </c>
      <c r="X6595">
        <v>0.98827679999999996</v>
      </c>
      <c r="Y6595">
        <v>-6.2559619999999996E-2</v>
      </c>
      <c r="Z6595">
        <v>-4.6355769999999999E-4</v>
      </c>
      <c r="AA6595">
        <v>0.99804110000000001</v>
      </c>
      <c r="AB6595">
        <v>27</v>
      </c>
      <c r="AC6595">
        <v>-3.034424</v>
      </c>
      <c r="AD6595">
        <v>-7.8456399999999992E-3</v>
      </c>
      <c r="AE6595">
        <v>-0.18531800000000001</v>
      </c>
      <c r="AF6595">
        <v>-0.190188869748046</v>
      </c>
      <c r="AG6595">
        <v>-7.8456399999999992E-3</v>
      </c>
      <c r="AH6595">
        <v>3.03410231531829</v>
      </c>
      <c r="AI6595">
        <v>90.147865980954407</v>
      </c>
      <c r="AJ6595">
        <v>93.586820612932399</v>
      </c>
      <c r="AK6595">
        <v>3.0400674696563601</v>
      </c>
      <c r="AL6595">
        <v>81.269992513888795</v>
      </c>
      <c r="AM6595">
        <v>89.043553273233599</v>
      </c>
      <c r="AN6595">
        <v>0.99999998141076496</v>
      </c>
    </row>
    <row r="6596" spans="1:40" x14ac:dyDescent="0.25">
      <c r="A6596" t="str">
        <f>"20190303162043897"</f>
        <v>20190303162043897</v>
      </c>
      <c r="B6596" t="str">
        <f>"1551601243888807"</f>
        <v>1551601243888807</v>
      </c>
      <c r="C6596" t="s">
        <v>40</v>
      </c>
      <c r="D6596">
        <v>4.4153180000000001</v>
      </c>
      <c r="E6596">
        <v>0.46958169999999999</v>
      </c>
      <c r="F6596" t="s">
        <v>58</v>
      </c>
      <c r="G6596">
        <v>0</v>
      </c>
      <c r="H6596">
        <v>0</v>
      </c>
      <c r="I6596">
        <v>0</v>
      </c>
      <c r="J6596">
        <v>-300.67579999999998</v>
      </c>
      <c r="K6596">
        <v>1.121472</v>
      </c>
      <c r="L6596">
        <v>141.98609999999999</v>
      </c>
      <c r="M6596">
        <v>-0.99991790000000003</v>
      </c>
      <c r="N6596">
        <v>-1.274401E-2</v>
      </c>
      <c r="O6596">
        <v>1.465573E-3</v>
      </c>
      <c r="P6596">
        <v>-0.99018189999999995</v>
      </c>
      <c r="Q6596">
        <v>0.1386677</v>
      </c>
      <c r="R6596">
        <v>1.765268E-2</v>
      </c>
      <c r="S6596">
        <v>-3.0346980000000001</v>
      </c>
      <c r="T6596">
        <v>-8.4601639999999992E-3</v>
      </c>
      <c r="U6596">
        <v>-0.19058230000000001</v>
      </c>
      <c r="V6596">
        <v>1.6168330000000002E-2</v>
      </c>
      <c r="W6596">
        <v>0.15127889999999999</v>
      </c>
      <c r="X6596">
        <v>0.98835890000000004</v>
      </c>
      <c r="Y6596">
        <v>-6.4138860000000006E-2</v>
      </c>
      <c r="Z6596">
        <v>-4.8385380000000002E-4</v>
      </c>
      <c r="AA6596">
        <v>0.99794079999999996</v>
      </c>
      <c r="AB6596">
        <v>27</v>
      </c>
      <c r="AC6596">
        <v>-3.0346980000000001</v>
      </c>
      <c r="AD6596">
        <v>-8.4601639999999992E-3</v>
      </c>
      <c r="AE6596">
        <v>-0.19058230000000001</v>
      </c>
      <c r="AF6596">
        <v>-0.19502851735486401</v>
      </c>
      <c r="AG6596">
        <v>-8.4601639999999992E-3</v>
      </c>
      <c r="AH6596">
        <v>3.0343919151302798</v>
      </c>
      <c r="AI6596">
        <v>90.159416561797997</v>
      </c>
      <c r="AJ6596">
        <v>93.677495301313002</v>
      </c>
      <c r="AK6596">
        <v>3.0406647285691601</v>
      </c>
      <c r="AL6596">
        <v>81.298952203629597</v>
      </c>
      <c r="AM6596">
        <v>89.062795459850193</v>
      </c>
      <c r="AN6596">
        <v>1.0000000178446999</v>
      </c>
    </row>
    <row r="6597" spans="1:40" x14ac:dyDescent="0.25">
      <c r="A6597" t="str">
        <f>"20190303162043922"</f>
        <v>20190303162043922</v>
      </c>
      <c r="B6597" t="str">
        <f>"1551601243909303"</f>
        <v>1551601243909303</v>
      </c>
      <c r="C6597" t="s">
        <v>40</v>
      </c>
      <c r="D6597">
        <v>4.3943009999999996</v>
      </c>
      <c r="E6597">
        <v>0.46953859999999997</v>
      </c>
      <c r="F6597" t="s">
        <v>58</v>
      </c>
      <c r="G6597">
        <v>0</v>
      </c>
      <c r="H6597">
        <v>0</v>
      </c>
      <c r="I6597">
        <v>0</v>
      </c>
      <c r="J6597">
        <v>-300.94389999999999</v>
      </c>
      <c r="K6597">
        <v>1.1214710000000001</v>
      </c>
      <c r="L6597">
        <v>141.9863</v>
      </c>
      <c r="M6597">
        <v>-0.99991799999999997</v>
      </c>
      <c r="N6597">
        <v>-1.2742939999999999E-2</v>
      </c>
      <c r="O6597">
        <v>1.327483E-3</v>
      </c>
      <c r="P6597">
        <v>-0.9902244</v>
      </c>
      <c r="Q6597">
        <v>0.13840259999999999</v>
      </c>
      <c r="R6597">
        <v>1.7336750000000001E-2</v>
      </c>
      <c r="S6597">
        <v>-3.0347599999999999</v>
      </c>
      <c r="T6597">
        <v>-1.12319E-2</v>
      </c>
      <c r="U6597">
        <v>-0.19454959999999999</v>
      </c>
      <c r="V6597">
        <v>1.5989260000000002E-2</v>
      </c>
      <c r="W6597">
        <v>0.1510136</v>
      </c>
      <c r="X6597">
        <v>0.98840240000000001</v>
      </c>
      <c r="Y6597">
        <v>-6.5298529999999994E-2</v>
      </c>
      <c r="Z6597">
        <v>-5.2521960000000004E-4</v>
      </c>
      <c r="AA6597">
        <v>0.99786560000000002</v>
      </c>
      <c r="AB6597">
        <v>27</v>
      </c>
      <c r="AC6597">
        <v>-3.0347599999999999</v>
      </c>
      <c r="AD6597">
        <v>-1.12319E-2</v>
      </c>
      <c r="AE6597">
        <v>-0.19454959999999999</v>
      </c>
      <c r="AF6597">
        <v>-0.19857563872388401</v>
      </c>
      <c r="AG6597">
        <v>-1.12319E-2</v>
      </c>
      <c r="AH6597">
        <v>3.0344576474509002</v>
      </c>
      <c r="AI6597">
        <v>90.211623978126994</v>
      </c>
      <c r="AJ6597">
        <v>93.744111064915899</v>
      </c>
      <c r="AK6597">
        <v>3.0409688676547599</v>
      </c>
      <c r="AL6597">
        <v>81.314329578445395</v>
      </c>
      <c r="AM6597">
        <v>89.073214295296097</v>
      </c>
      <c r="AN6597">
        <v>1.00000003407303</v>
      </c>
    </row>
    <row r="6598" spans="1:40" x14ac:dyDescent="0.25">
      <c r="A6598" t="str">
        <f>"20190303162043941"</f>
        <v>20190303162043941</v>
      </c>
      <c r="B6598" t="str">
        <f>"1551601243928824"</f>
        <v>1551601243928824</v>
      </c>
      <c r="C6598" t="s">
        <v>40</v>
      </c>
      <c r="D6598">
        <v>4.4031039999999999</v>
      </c>
      <c r="E6598">
        <v>0.46959630000000002</v>
      </c>
      <c r="F6598" t="s">
        <v>58</v>
      </c>
      <c r="G6598">
        <v>0</v>
      </c>
      <c r="H6598">
        <v>0</v>
      </c>
      <c r="I6598">
        <v>0</v>
      </c>
      <c r="J6598">
        <v>-301.21890000000002</v>
      </c>
      <c r="K6598">
        <v>1.1214630000000001</v>
      </c>
      <c r="L6598">
        <v>141.98650000000001</v>
      </c>
      <c r="M6598">
        <v>-0.99991819999999998</v>
      </c>
      <c r="N6598">
        <v>-1.2741870000000001E-2</v>
      </c>
      <c r="O6598">
        <v>1.1856379999999999E-3</v>
      </c>
      <c r="P6598">
        <v>-0.99022220000000005</v>
      </c>
      <c r="Q6598">
        <v>0.13843610000000001</v>
      </c>
      <c r="R6598">
        <v>1.7193880000000002E-2</v>
      </c>
      <c r="S6598">
        <v>-3.0346980000000001</v>
      </c>
      <c r="T6598">
        <v>-1.185489E-2</v>
      </c>
      <c r="U6598">
        <v>-0.19581599999999999</v>
      </c>
      <c r="V6598">
        <v>1.5986899999999998E-2</v>
      </c>
      <c r="W6598">
        <v>0.1510456</v>
      </c>
      <c r="X6598">
        <v>0.98839750000000004</v>
      </c>
      <c r="Y6598">
        <v>-6.5572859999999997E-2</v>
      </c>
      <c r="Z6598">
        <v>-5.3569760000000001E-4</v>
      </c>
      <c r="AA6598">
        <v>0.99784759999999995</v>
      </c>
      <c r="AB6598">
        <v>27</v>
      </c>
      <c r="AC6598">
        <v>-3.0346980000000001</v>
      </c>
      <c r="AD6598">
        <v>-1.185489E-2</v>
      </c>
      <c r="AE6598">
        <v>-0.19581599999999999</v>
      </c>
      <c r="AF6598">
        <v>-0.19941117696320601</v>
      </c>
      <c r="AG6598">
        <v>-1.185489E-2</v>
      </c>
      <c r="AH6598">
        <v>3.0344175667062498</v>
      </c>
      <c r="AI6598">
        <v>90.223360746608407</v>
      </c>
      <c r="AJ6598">
        <v>93.759869428488699</v>
      </c>
      <c r="AK6598">
        <v>3.04098591332651</v>
      </c>
      <c r="AL6598">
        <v>81.312474418547097</v>
      </c>
      <c r="AM6598">
        <v>89.073346471076107</v>
      </c>
      <c r="AN6598">
        <v>0.99999998612860996</v>
      </c>
    </row>
    <row r="6599" spans="1:40" x14ac:dyDescent="0.25">
      <c r="A6599" t="str">
        <f>"20190303162043962"</f>
        <v>20190303162043962</v>
      </c>
      <c r="B6599" t="str">
        <f>"1551601243959079"</f>
        <v>1551601243959079</v>
      </c>
      <c r="C6599" t="s">
        <v>40</v>
      </c>
      <c r="D6599">
        <v>4.3903540000000003</v>
      </c>
      <c r="E6599">
        <v>0.46972399999999997</v>
      </c>
      <c r="F6599" t="s">
        <v>58</v>
      </c>
      <c r="G6599">
        <v>0</v>
      </c>
      <c r="H6599">
        <v>0</v>
      </c>
      <c r="I6599">
        <v>0</v>
      </c>
      <c r="J6599">
        <v>-301.48439999999999</v>
      </c>
      <c r="K6599">
        <v>1.121464</v>
      </c>
      <c r="L6599">
        <v>141.98660000000001</v>
      </c>
      <c r="M6599">
        <v>-0.99991830000000004</v>
      </c>
      <c r="N6599">
        <v>-1.274083E-2</v>
      </c>
      <c r="O6599">
        <v>1.0489760000000001E-3</v>
      </c>
      <c r="P6599">
        <v>-0.99018629999999996</v>
      </c>
      <c r="Q6599">
        <v>0.1386782</v>
      </c>
      <c r="R6599">
        <v>1.7315629999999999E-2</v>
      </c>
      <c r="S6599">
        <v>-3.0345759999999999</v>
      </c>
      <c r="T6599">
        <v>-1.078117E-2</v>
      </c>
      <c r="U6599">
        <v>-0.19581599999999999</v>
      </c>
      <c r="V6599">
        <v>1.624393E-2</v>
      </c>
      <c r="W6599">
        <v>0.15128649999999999</v>
      </c>
      <c r="X6599">
        <v>0.98835649999999997</v>
      </c>
      <c r="Y6599">
        <v>-6.5439280000000002E-2</v>
      </c>
      <c r="Z6599">
        <v>-5.2382739999999996E-4</v>
      </c>
      <c r="AA6599">
        <v>0.99785639999999998</v>
      </c>
      <c r="AB6599">
        <v>27</v>
      </c>
      <c r="AC6599">
        <v>-3.0345759999999999</v>
      </c>
      <c r="AD6599">
        <v>-1.078117E-2</v>
      </c>
      <c r="AE6599">
        <v>-0.19581599999999999</v>
      </c>
      <c r="AF6599">
        <v>-0.19899684661369199</v>
      </c>
      <c r="AG6599">
        <v>-1.078117E-2</v>
      </c>
      <c r="AH6599">
        <v>3.03433076605035</v>
      </c>
      <c r="AI6599">
        <v>90.203138314621299</v>
      </c>
      <c r="AJ6599">
        <v>93.752186653232698</v>
      </c>
      <c r="AK6599">
        <v>3.0408681616256299</v>
      </c>
      <c r="AL6599">
        <v>81.298511710785306</v>
      </c>
      <c r="AM6599">
        <v>89.058411772856203</v>
      </c>
      <c r="AN6599">
        <v>1.0000000207181701</v>
      </c>
    </row>
    <row r="6600" spans="1:40" x14ac:dyDescent="0.25">
      <c r="A6600" t="str">
        <f>"20190303162043986"</f>
        <v>20190303162043986</v>
      </c>
      <c r="B6600" t="str">
        <f>"1551601243978600"</f>
        <v>1551601243978600</v>
      </c>
      <c r="C6600" t="s">
        <v>40</v>
      </c>
      <c r="D6600">
        <v>4.4087230000000002</v>
      </c>
      <c r="E6600">
        <v>0.46973009999999898</v>
      </c>
      <c r="F6600" t="s">
        <v>58</v>
      </c>
      <c r="G6600">
        <v>0</v>
      </c>
      <c r="H6600">
        <v>0</v>
      </c>
      <c r="I6600">
        <v>0</v>
      </c>
      <c r="J6600">
        <v>-301.75970000000001</v>
      </c>
      <c r="K6600">
        <v>1.1214649999999999</v>
      </c>
      <c r="L6600">
        <v>141.98679999999999</v>
      </c>
      <c r="M6600">
        <v>-0.99991850000000004</v>
      </c>
      <c r="N6600">
        <v>-1.2739729999999999E-2</v>
      </c>
      <c r="O6600">
        <v>9.0695320000000002E-4</v>
      </c>
      <c r="P6600">
        <v>-0.99010869999999995</v>
      </c>
      <c r="Q6600">
        <v>0.1391983</v>
      </c>
      <c r="R6600">
        <v>1.757235E-2</v>
      </c>
      <c r="S6600">
        <v>-3.0343629999999999</v>
      </c>
      <c r="T6600">
        <v>-8.8998080000000004E-3</v>
      </c>
      <c r="U6600">
        <v>-0.1941833</v>
      </c>
      <c r="V6600">
        <v>1.664127E-2</v>
      </c>
      <c r="W6600">
        <v>0.15180450000000001</v>
      </c>
      <c r="X6600">
        <v>0.98827050000000005</v>
      </c>
      <c r="Y6600">
        <v>-6.4767740000000004E-2</v>
      </c>
      <c r="Z6600">
        <v>-4.9900400000000005E-4</v>
      </c>
      <c r="AA6600">
        <v>0.99790020000000001</v>
      </c>
      <c r="AB6600">
        <v>27</v>
      </c>
      <c r="AC6600">
        <v>-3.0343629999999999</v>
      </c>
      <c r="AD6600">
        <v>-8.8998080000000004E-3</v>
      </c>
      <c r="AE6600">
        <v>-0.1941833</v>
      </c>
      <c r="AF6600">
        <v>-0.196933781312848</v>
      </c>
      <c r="AG6600">
        <v>-8.8998080000000004E-3</v>
      </c>
      <c r="AH6600">
        <v>3.0341596273789899</v>
      </c>
      <c r="AI6600">
        <v>90.167706827368406</v>
      </c>
      <c r="AJ6600">
        <v>93.713604781442797</v>
      </c>
      <c r="AK6600">
        <v>3.0405569827288499</v>
      </c>
      <c r="AL6600">
        <v>81.268486047794198</v>
      </c>
      <c r="AM6600">
        <v>89.035300118165793</v>
      </c>
      <c r="AN6600">
        <v>1.0000000596288501</v>
      </c>
    </row>
    <row r="6601" spans="1:40" x14ac:dyDescent="0.25">
      <c r="A6601" t="str">
        <f>"20190303162044007"</f>
        <v>20190303162044007</v>
      </c>
      <c r="B6601" t="str">
        <f>"1551601243999095"</f>
        <v>1551601243999095</v>
      </c>
      <c r="C6601" t="s">
        <v>40</v>
      </c>
      <c r="D6601">
        <v>4.391527</v>
      </c>
      <c r="E6601">
        <v>0.4697848</v>
      </c>
      <c r="F6601" t="s">
        <v>58</v>
      </c>
      <c r="G6601">
        <v>0</v>
      </c>
      <c r="H6601">
        <v>0</v>
      </c>
      <c r="I6601">
        <v>0</v>
      </c>
      <c r="J6601">
        <v>-302.02319999999997</v>
      </c>
      <c r="K6601">
        <v>1.121469</v>
      </c>
      <c r="L6601">
        <v>141.98679999999999</v>
      </c>
      <c r="M6601">
        <v>-0.9999188</v>
      </c>
      <c r="N6601">
        <v>-1.2738670000000001E-2</v>
      </c>
      <c r="O6601">
        <v>7.7112899999999996E-4</v>
      </c>
      <c r="P6601">
        <v>-0.99006039999999995</v>
      </c>
      <c r="Q6601">
        <v>0.13954140000000001</v>
      </c>
      <c r="R6601">
        <v>1.7587829999999999E-2</v>
      </c>
      <c r="S6601">
        <v>-3.034332</v>
      </c>
      <c r="T6601">
        <v>-6.4834360000000004E-3</v>
      </c>
      <c r="U6601">
        <v>-0.19320680000000001</v>
      </c>
      <c r="V6601">
        <v>1.6791360000000002E-2</v>
      </c>
      <c r="W6601">
        <v>0.15214620000000001</v>
      </c>
      <c r="X6601">
        <v>0.98821539999999997</v>
      </c>
      <c r="Y6601">
        <v>-6.4313439999999999E-2</v>
      </c>
      <c r="Z6601">
        <v>-4.7053969999999998E-4</v>
      </c>
      <c r="AA6601">
        <v>0.99792959999999997</v>
      </c>
      <c r="AB6601">
        <v>27</v>
      </c>
      <c r="AC6601">
        <v>-3.034332</v>
      </c>
      <c r="AD6601">
        <v>-6.4834360000000004E-3</v>
      </c>
      <c r="AE6601">
        <v>-0.19320680000000001</v>
      </c>
      <c r="AF6601">
        <v>-0.195545904112084</v>
      </c>
      <c r="AG6601">
        <v>-6.4834360000000004E-3</v>
      </c>
      <c r="AH6601">
        <v>3.0341683018355901</v>
      </c>
      <c r="AI6601">
        <v>90.122176442167998</v>
      </c>
      <c r="AJ6601">
        <v>93.687495360254999</v>
      </c>
      <c r="AK6601">
        <v>3.0404699504223398</v>
      </c>
      <c r="AL6601">
        <v>81.248677879392702</v>
      </c>
      <c r="AM6601">
        <v>89.026546754791696</v>
      </c>
      <c r="AN6601">
        <v>1.0000000463711201</v>
      </c>
    </row>
    <row r="6602" spans="1:40" x14ac:dyDescent="0.25">
      <c r="A6602" t="str">
        <f>"20190303162044030"</f>
        <v>20190303162044030</v>
      </c>
      <c r="B6602" t="str">
        <f>"1551601244018616"</f>
        <v>1551601244018616</v>
      </c>
      <c r="C6602" t="s">
        <v>40</v>
      </c>
      <c r="D6602">
        <v>4.3606199999999999</v>
      </c>
      <c r="E6602">
        <v>0.46983799999999998</v>
      </c>
      <c r="F6602" t="s">
        <v>58</v>
      </c>
      <c r="G6602">
        <v>0</v>
      </c>
      <c r="H6602">
        <v>0</v>
      </c>
      <c r="I6602">
        <v>0</v>
      </c>
      <c r="J6602">
        <v>-302.2998</v>
      </c>
      <c r="K6602">
        <v>1.121472</v>
      </c>
      <c r="L6602">
        <v>141.98679999999999</v>
      </c>
      <c r="M6602">
        <v>-0.9999188</v>
      </c>
      <c r="N6602">
        <v>-1.273756E-2</v>
      </c>
      <c r="O6602">
        <v>6.2856879999999998E-4</v>
      </c>
      <c r="P6602">
        <v>-0.9900177</v>
      </c>
      <c r="Q6602">
        <v>0.13985529999999999</v>
      </c>
      <c r="R6602">
        <v>1.7487539999999999E-2</v>
      </c>
      <c r="S6602">
        <v>-3.034027</v>
      </c>
      <c r="T6602">
        <v>-3.50666E-3</v>
      </c>
      <c r="U6602">
        <v>-0.1926727</v>
      </c>
      <c r="V6602">
        <v>1.6832119999999999E-2</v>
      </c>
      <c r="W6602">
        <v>0.15245810000000001</v>
      </c>
      <c r="X6602">
        <v>0.98816660000000001</v>
      </c>
      <c r="Y6602">
        <v>-6.4003080000000004E-2</v>
      </c>
      <c r="Z6602">
        <v>-4.377262E-4</v>
      </c>
      <c r="AA6602">
        <v>0.99794959999999999</v>
      </c>
      <c r="AB6602">
        <v>27</v>
      </c>
      <c r="AC6602">
        <v>-3.034027</v>
      </c>
      <c r="AD6602">
        <v>-3.50666E-3</v>
      </c>
      <c r="AE6602">
        <v>-0.1926727</v>
      </c>
      <c r="AF6602">
        <v>-0.19457965225415499</v>
      </c>
      <c r="AG6602">
        <v>-3.50666E-3</v>
      </c>
      <c r="AH6602">
        <v>3.0339012462015398</v>
      </c>
      <c r="AI6602">
        <v>90.066088104500807</v>
      </c>
      <c r="AJ6602">
        <v>93.669646331070595</v>
      </c>
      <c r="AK6602">
        <v>3.0401365609852098</v>
      </c>
      <c r="AL6602">
        <v>81.230596074295093</v>
      </c>
      <c r="AM6602">
        <v>89.024136032163099</v>
      </c>
      <c r="AN6602">
        <v>1.0000000109374301</v>
      </c>
    </row>
    <row r="6603" spans="1:40" x14ac:dyDescent="0.25">
      <c r="A6603" t="str">
        <f>"20190303162044045"</f>
        <v>20190303162044045</v>
      </c>
      <c r="B6603" t="str">
        <f>"1551601244040088"</f>
        <v>1551601244040088</v>
      </c>
      <c r="C6603" t="s">
        <v>40</v>
      </c>
      <c r="D6603">
        <v>4.3357089999999996</v>
      </c>
      <c r="E6603">
        <v>0.46984399999999998</v>
      </c>
      <c r="F6603" t="s">
        <v>58</v>
      </c>
      <c r="G6603">
        <v>0</v>
      </c>
      <c r="H6603">
        <v>0</v>
      </c>
      <c r="I6603">
        <v>0</v>
      </c>
      <c r="J6603">
        <v>-302.48689999999999</v>
      </c>
      <c r="K6603">
        <v>1.12147</v>
      </c>
      <c r="L6603">
        <v>141.98679999999999</v>
      </c>
      <c r="M6603">
        <v>-0.9999188</v>
      </c>
      <c r="N6603">
        <v>-1.2736809999999999E-2</v>
      </c>
      <c r="O6603">
        <v>5.3237610000000002E-4</v>
      </c>
      <c r="P6603">
        <v>-0.98996850000000003</v>
      </c>
      <c r="Q6603">
        <v>0.1402204</v>
      </c>
      <c r="R6603">
        <v>1.7337579999999998E-2</v>
      </c>
      <c r="S6603">
        <v>-3.0338129999999999</v>
      </c>
      <c r="T6603">
        <v>-1.3478989999999901E-3</v>
      </c>
      <c r="U6603">
        <v>-0.1923523</v>
      </c>
      <c r="V6603">
        <v>1.6777500000000001E-2</v>
      </c>
      <c r="W6603">
        <v>0.15282200000000001</v>
      </c>
      <c r="X6603">
        <v>0.98811130000000003</v>
      </c>
      <c r="Y6603">
        <v>-6.3806860000000007E-2</v>
      </c>
      <c r="Z6603">
        <v>-4.1439489999999999E-4</v>
      </c>
      <c r="AA6603">
        <v>0.99796220000000002</v>
      </c>
      <c r="AB6603">
        <v>27</v>
      </c>
      <c r="AC6603">
        <v>-3.0338129999999999</v>
      </c>
      <c r="AD6603">
        <v>-1.3478989999999901E-3</v>
      </c>
      <c r="AE6603">
        <v>-0.1923523</v>
      </c>
      <c r="AF6603">
        <v>-0.19396749506522001</v>
      </c>
      <c r="AG6603">
        <v>-1.3478989999999901E-3</v>
      </c>
      <c r="AH6603">
        <v>3.0337095614906899</v>
      </c>
      <c r="AI6603">
        <v>90.025405050836696</v>
      </c>
      <c r="AJ6603">
        <v>93.658363351618505</v>
      </c>
      <c r="AK6603">
        <v>3.0399044243945599</v>
      </c>
      <c r="AL6603">
        <v>81.209498776663807</v>
      </c>
      <c r="AM6603">
        <v>89.027247661114203</v>
      </c>
      <c r="AN6603">
        <v>0.99999999468897005</v>
      </c>
    </row>
    <row r="6604" spans="1:40" x14ac:dyDescent="0.25">
      <c r="A6604" t="str">
        <f>"20190303162044065"</f>
        <v>20190303162044065</v>
      </c>
      <c r="B6604" t="str">
        <f>"1551601244058632"</f>
        <v>1551601244058632</v>
      </c>
      <c r="C6604" t="s">
        <v>40</v>
      </c>
      <c r="D6604">
        <v>4.3216340000000004</v>
      </c>
      <c r="E6604">
        <v>0.46990530000000003</v>
      </c>
      <c r="F6604" t="s">
        <v>58</v>
      </c>
      <c r="G6604">
        <v>0</v>
      </c>
      <c r="H6604">
        <v>0</v>
      </c>
      <c r="I6604">
        <v>0</v>
      </c>
      <c r="J6604">
        <v>-302.72399999999999</v>
      </c>
      <c r="K6604">
        <v>1.12147</v>
      </c>
      <c r="L6604">
        <v>141.98679999999999</v>
      </c>
      <c r="M6604">
        <v>-0.9999188</v>
      </c>
      <c r="N6604">
        <v>-1.273583E-2</v>
      </c>
      <c r="O6604">
        <v>4.1001939999999999E-4</v>
      </c>
      <c r="P6604">
        <v>-0.98989340000000003</v>
      </c>
      <c r="Q6604">
        <v>0.1407639</v>
      </c>
      <c r="R6604">
        <v>1.7228839999999999E-2</v>
      </c>
      <c r="S6604">
        <v>-3.0336609999999999</v>
      </c>
      <c r="T6604">
        <v>7.202625E-4</v>
      </c>
      <c r="U6604">
        <v>-0.1926727</v>
      </c>
      <c r="V6604">
        <v>1.6789749999999999E-2</v>
      </c>
      <c r="W6604">
        <v>0.15336340000000001</v>
      </c>
      <c r="X6604">
        <v>0.98802719999999999</v>
      </c>
      <c r="Y6604">
        <v>-6.379319E-2</v>
      </c>
      <c r="Z6604">
        <v>-3.9377519999999998E-4</v>
      </c>
      <c r="AA6604">
        <v>0.99796309999999999</v>
      </c>
      <c r="AB6604">
        <v>27</v>
      </c>
      <c r="AC6604">
        <v>-3.0336609999999999</v>
      </c>
      <c r="AD6604">
        <v>7.202625E-4</v>
      </c>
      <c r="AE6604">
        <v>-0.1926727</v>
      </c>
      <c r="AF6604">
        <v>-0.193916633682611</v>
      </c>
      <c r="AG6604">
        <v>7.202625E-4</v>
      </c>
      <c r="AH6604">
        <v>3.0335815686859999</v>
      </c>
      <c r="AI6604">
        <v>89.986423986724503</v>
      </c>
      <c r="AJ6604">
        <v>93.657560568626707</v>
      </c>
      <c r="AK6604">
        <v>3.0397732338890502</v>
      </c>
      <c r="AL6604">
        <v>81.178108751849607</v>
      </c>
      <c r="AM6604">
        <v>89.026454703616594</v>
      </c>
      <c r="AN6604">
        <v>0.999999988052231</v>
      </c>
    </row>
    <row r="6605" spans="1:40" x14ac:dyDescent="0.25">
      <c r="A6605" t="str">
        <f>"20190303162044087"</f>
        <v>20190303162044087</v>
      </c>
      <c r="B6605" t="str">
        <f>"1551601244079128"</f>
        <v>1551601244079128</v>
      </c>
      <c r="C6605" t="s">
        <v>40</v>
      </c>
      <c r="D6605">
        <v>4.3323919999999996</v>
      </c>
      <c r="E6605">
        <v>0.46990939999999998</v>
      </c>
      <c r="F6605" t="s">
        <v>58</v>
      </c>
      <c r="G6605">
        <v>0</v>
      </c>
      <c r="H6605">
        <v>0</v>
      </c>
      <c r="I6605">
        <v>0</v>
      </c>
      <c r="J6605">
        <v>-303.00299999999999</v>
      </c>
      <c r="K6605">
        <v>1.1214679999999999</v>
      </c>
      <c r="L6605">
        <v>141.98670000000001</v>
      </c>
      <c r="M6605">
        <v>-0.99991890000000005</v>
      </c>
      <c r="N6605">
        <v>-1.273472E-2</v>
      </c>
      <c r="O6605">
        <v>2.6608760000000002E-4</v>
      </c>
      <c r="P6605">
        <v>-0.98984629999999996</v>
      </c>
      <c r="Q6605">
        <v>0.14107140000000001</v>
      </c>
      <c r="R6605">
        <v>1.7419899999999999E-2</v>
      </c>
      <c r="S6605">
        <v>-3.0334780000000001</v>
      </c>
      <c r="T6605">
        <v>3.5827160000000001E-3</v>
      </c>
      <c r="U6605">
        <v>-0.19247439999999999</v>
      </c>
      <c r="V6605">
        <v>1.7123220000000001E-2</v>
      </c>
      <c r="W6605">
        <v>0.15366920000000001</v>
      </c>
      <c r="X6605">
        <v>0.98797400000000002</v>
      </c>
      <c r="Y6605">
        <v>-6.3588710000000007E-2</v>
      </c>
      <c r="Z6605">
        <v>-3.6410160000000002E-4</v>
      </c>
      <c r="AA6605">
        <v>0.99797610000000003</v>
      </c>
      <c r="AB6605">
        <v>27</v>
      </c>
      <c r="AC6605">
        <v>-3.0334780000000001</v>
      </c>
      <c r="AD6605">
        <v>3.5827160000000001E-3</v>
      </c>
      <c r="AE6605">
        <v>-0.19247439999999999</v>
      </c>
      <c r="AF6605">
        <v>-0.19328136097690901</v>
      </c>
      <c r="AG6605">
        <v>3.5827160000000001E-3</v>
      </c>
      <c r="AH6605">
        <v>3.0334224590359802</v>
      </c>
      <c r="AI6605">
        <v>89.932466056882205</v>
      </c>
      <c r="AJ6605">
        <v>93.645801437283097</v>
      </c>
      <c r="AK6605">
        <v>3.0395760124298401</v>
      </c>
      <c r="AL6605">
        <v>81.160377857959503</v>
      </c>
      <c r="AM6605">
        <v>89.007068991407294</v>
      </c>
      <c r="AN6605">
        <v>1.0000000261838999</v>
      </c>
    </row>
    <row r="6606" spans="1:40" x14ac:dyDescent="0.25">
      <c r="A6606" t="str">
        <f>"20190303162044110"</f>
        <v>20190303162044110</v>
      </c>
      <c r="B6606" t="str">
        <f>"1551601244098648"</f>
        <v>1551601244098648</v>
      </c>
      <c r="C6606" t="s">
        <v>40</v>
      </c>
      <c r="D6606">
        <v>4.310295</v>
      </c>
      <c r="E6606">
        <v>0.469945</v>
      </c>
      <c r="F6606" t="s">
        <v>58</v>
      </c>
      <c r="G6606">
        <v>0</v>
      </c>
      <c r="H6606">
        <v>0</v>
      </c>
      <c r="I6606">
        <v>0</v>
      </c>
      <c r="J6606">
        <v>-303.2715</v>
      </c>
      <c r="K6606">
        <v>1.12147</v>
      </c>
      <c r="L6606">
        <v>141.98660000000001</v>
      </c>
      <c r="M6606">
        <v>-0.999919</v>
      </c>
      <c r="N6606">
        <v>-1.2733639999999999E-2</v>
      </c>
      <c r="O6606">
        <v>1.278772E-4</v>
      </c>
      <c r="P6606">
        <v>-0.98977660000000001</v>
      </c>
      <c r="Q6606">
        <v>0.14154939999999999</v>
      </c>
      <c r="R6606">
        <v>1.7495750000000001E-2</v>
      </c>
      <c r="S6606">
        <v>-3.0335390000000002</v>
      </c>
      <c r="T6606">
        <v>4.2576790000000003E-3</v>
      </c>
      <c r="U6606">
        <v>-0.1918793</v>
      </c>
      <c r="V6606">
        <v>1.7335710000000001E-2</v>
      </c>
      <c r="W6606">
        <v>0.154145</v>
      </c>
      <c r="X6606">
        <v>0.98789610000000005</v>
      </c>
      <c r="Y6606">
        <v>-6.3254589999999999E-2</v>
      </c>
      <c r="Z6606">
        <v>-3.5699560000000002E-4</v>
      </c>
      <c r="AA6606">
        <v>0.99799729999999998</v>
      </c>
      <c r="AB6606">
        <v>27</v>
      </c>
      <c r="AC6606">
        <v>-3.0335390000000002</v>
      </c>
      <c r="AD6606">
        <v>4.2576790000000003E-3</v>
      </c>
      <c r="AE6606">
        <v>-0.1918793</v>
      </c>
      <c r="AF6606">
        <v>-0.19226687308584101</v>
      </c>
      <c r="AG6606">
        <v>4.2576790000000003E-3</v>
      </c>
      <c r="AH6606">
        <v>3.0335084842882898</v>
      </c>
      <c r="AI6606">
        <v>89.919743635409006</v>
      </c>
      <c r="AJ6606">
        <v>93.626614126853596</v>
      </c>
      <c r="AK6606">
        <v>3.0395983949472201</v>
      </c>
      <c r="AL6606">
        <v>81.132787173687902</v>
      </c>
      <c r="AM6606">
        <v>88.994670509559597</v>
      </c>
      <c r="AN6606">
        <v>0.99999995613070602</v>
      </c>
    </row>
    <row r="6607" spans="1:40" x14ac:dyDescent="0.25">
      <c r="A6607" t="str">
        <f>"20190303162044131"</f>
        <v>20190303162044131</v>
      </c>
      <c r="B6607" t="str">
        <f>"1551601244119144"</f>
        <v>1551601244119144</v>
      </c>
      <c r="C6607" t="s">
        <v>40</v>
      </c>
      <c r="D6607">
        <v>4.3118589999999903</v>
      </c>
      <c r="E6607">
        <v>0.46993180000000001</v>
      </c>
      <c r="F6607" t="s">
        <v>58</v>
      </c>
      <c r="G6607">
        <v>0</v>
      </c>
      <c r="H6607">
        <v>0</v>
      </c>
      <c r="I6607">
        <v>0</v>
      </c>
      <c r="J6607">
        <v>-303.53280000000001</v>
      </c>
      <c r="K6607">
        <v>1.12148</v>
      </c>
      <c r="L6607">
        <v>141.98650000000001</v>
      </c>
      <c r="M6607">
        <v>-0.999919</v>
      </c>
      <c r="N6607">
        <v>-1.27326E-2</v>
      </c>
      <c r="O6607" s="1">
        <v>-6.6389909999999998E-6</v>
      </c>
      <c r="P6607">
        <v>-0.98972660000000001</v>
      </c>
      <c r="Q6607">
        <v>0.1419204</v>
      </c>
      <c r="R6607">
        <v>1.731823E-2</v>
      </c>
      <c r="S6607">
        <v>-3.0335999999999999</v>
      </c>
      <c r="T6607">
        <v>5.4274800000000002E-3</v>
      </c>
      <c r="U6607">
        <v>-0.19114690000000001</v>
      </c>
      <c r="V6607">
        <v>1.729122E-2</v>
      </c>
      <c r="W6607">
        <v>0.1545144</v>
      </c>
      <c r="X6607">
        <v>0.98783920000000003</v>
      </c>
      <c r="Y6607">
        <v>-6.2879190000000001E-2</v>
      </c>
      <c r="Z6607">
        <v>-3.4462149999999999E-4</v>
      </c>
      <c r="AA6607">
        <v>0.99802109999999999</v>
      </c>
      <c r="AB6607">
        <v>27</v>
      </c>
      <c r="AC6607">
        <v>-3.0335999999999999</v>
      </c>
      <c r="AD6607">
        <v>5.4274800000000002E-3</v>
      </c>
      <c r="AE6607">
        <v>-0.19114690000000001</v>
      </c>
      <c r="AF6607">
        <v>-0.191126148953981</v>
      </c>
      <c r="AG6607">
        <v>5.4274800000000002E-3</v>
      </c>
      <c r="AH6607">
        <v>3.0335915970626401</v>
      </c>
      <c r="AI6607">
        <v>89.897693541850202</v>
      </c>
      <c r="AJ6607">
        <v>93.605055739401195</v>
      </c>
      <c r="AK6607">
        <v>3.0396112646393099</v>
      </c>
      <c r="AL6607">
        <v>81.111365730701493</v>
      </c>
      <c r="AM6607">
        <v>88.997192291373807</v>
      </c>
      <c r="AN6607">
        <v>0.99999998557654401</v>
      </c>
    </row>
    <row r="6608" spans="1:40" x14ac:dyDescent="0.25">
      <c r="A6608" t="str">
        <f>"20190303162044154"</f>
        <v>20190303162044154</v>
      </c>
      <c r="B6608" t="str">
        <f>"1551601244149400"</f>
        <v>1551601244149400</v>
      </c>
      <c r="C6608" t="s">
        <v>40</v>
      </c>
      <c r="D6608">
        <v>4.2805559999999998</v>
      </c>
      <c r="E6608">
        <v>0.46983269999999999</v>
      </c>
      <c r="F6608" t="s">
        <v>58</v>
      </c>
      <c r="G6608">
        <v>0</v>
      </c>
      <c r="H6608">
        <v>0</v>
      </c>
      <c r="I6608">
        <v>0</v>
      </c>
      <c r="J6608">
        <v>-303.80090000000001</v>
      </c>
      <c r="K6608">
        <v>1.1214839999999999</v>
      </c>
      <c r="L6608">
        <v>141.9863</v>
      </c>
      <c r="M6608">
        <v>-0.99991890000000005</v>
      </c>
      <c r="N6608">
        <v>-1.273153E-2</v>
      </c>
      <c r="O6608">
        <v>-1.4466939999999999E-4</v>
      </c>
      <c r="P6608">
        <v>-0.98963210000000001</v>
      </c>
      <c r="Q6608">
        <v>0.1426665</v>
      </c>
      <c r="R6608">
        <v>1.65621E-2</v>
      </c>
      <c r="S6608">
        <v>-3.0335390000000002</v>
      </c>
      <c r="T6608">
        <v>6.7114829999999999E-3</v>
      </c>
      <c r="U6608">
        <v>-0.19145200000000001</v>
      </c>
      <c r="V6608">
        <v>1.6671660000000001E-2</v>
      </c>
      <c r="W6608">
        <v>0.15525829999999999</v>
      </c>
      <c r="X6608">
        <v>0.98773319999999998</v>
      </c>
      <c r="Y6608">
        <v>-6.2842819999999994E-2</v>
      </c>
      <c r="Z6608">
        <v>-3.331656E-4</v>
      </c>
      <c r="AA6608">
        <v>0.9980234</v>
      </c>
      <c r="AB6608">
        <v>27</v>
      </c>
      <c r="AC6608">
        <v>-3.0335390000000002</v>
      </c>
      <c r="AD6608">
        <v>6.7114829999999999E-3</v>
      </c>
      <c r="AE6608">
        <v>-0.19145200000000001</v>
      </c>
      <c r="AF6608">
        <v>-0.19101217087608799</v>
      </c>
      <c r="AG6608">
        <v>6.7114829999999999E-3</v>
      </c>
      <c r="AH6608">
        <v>3.03355187792345</v>
      </c>
      <c r="AI6608">
        <v>89.873488572653201</v>
      </c>
      <c r="AJ6608">
        <v>93.602958578694498</v>
      </c>
      <c r="AK6608">
        <v>3.03956702335707</v>
      </c>
      <c r="AL6608">
        <v>81.0682227043186</v>
      </c>
      <c r="AM6608">
        <v>89.033013104894394</v>
      </c>
      <c r="AN6608">
        <v>0.99999997917414196</v>
      </c>
    </row>
    <row r="6609" spans="1:40" x14ac:dyDescent="0.25">
      <c r="A6609" t="str">
        <f>"20190303162044175"</f>
        <v>20190303162044175</v>
      </c>
      <c r="B6609" t="str">
        <f>"1551601244168920"</f>
        <v>1551601244168920</v>
      </c>
      <c r="C6609" t="s">
        <v>40</v>
      </c>
      <c r="D6609">
        <v>4.2741699999999998</v>
      </c>
      <c r="E6609">
        <v>0.46976020000000002</v>
      </c>
      <c r="F6609" t="s">
        <v>58</v>
      </c>
      <c r="G6609">
        <v>0</v>
      </c>
      <c r="H6609">
        <v>0</v>
      </c>
      <c r="I6609">
        <v>0</v>
      </c>
      <c r="J6609">
        <v>-304.07209999999998</v>
      </c>
      <c r="K6609">
        <v>1.12148799999999</v>
      </c>
      <c r="L6609">
        <v>141.98609999999999</v>
      </c>
      <c r="M6609">
        <v>-0.99991909999999895</v>
      </c>
      <c r="N6609">
        <v>-1.2730460000000001E-2</v>
      </c>
      <c r="O6609">
        <v>-2.8460680000000002E-4</v>
      </c>
      <c r="P6609">
        <v>-0.98958959999999996</v>
      </c>
      <c r="Q6609">
        <v>0.14305789999999999</v>
      </c>
      <c r="R6609">
        <v>1.5720560000000001E-2</v>
      </c>
      <c r="S6609">
        <v>-3.033417</v>
      </c>
      <c r="T6609">
        <v>8.6376669999999999E-3</v>
      </c>
      <c r="U6609">
        <v>-0.1945038</v>
      </c>
      <c r="V6609">
        <v>1.5968510000000002E-2</v>
      </c>
      <c r="W6609">
        <v>0.155647799999999</v>
      </c>
      <c r="X6609">
        <v>0.98768350000000005</v>
      </c>
      <c r="Y6609">
        <v>-6.370584E-2</v>
      </c>
      <c r="Z6609">
        <v>-3.1975290000000001E-4</v>
      </c>
      <c r="AA6609">
        <v>0.99796870000000004</v>
      </c>
      <c r="AB6609">
        <v>27</v>
      </c>
      <c r="AC6609">
        <v>-3.033417</v>
      </c>
      <c r="AD6609">
        <v>8.6376669999999999E-3</v>
      </c>
      <c r="AE6609">
        <v>-0.1945038</v>
      </c>
      <c r="AF6609">
        <v>-0.193638827552811</v>
      </c>
      <c r="AG6609">
        <v>8.6376669999999999E-3</v>
      </c>
      <c r="AH6609">
        <v>3.0334477433759099</v>
      </c>
      <c r="AI6609">
        <v>89.837183521362405</v>
      </c>
      <c r="AJ6609">
        <v>93.652495610984005</v>
      </c>
      <c r="AK6609">
        <v>3.0396341583518902</v>
      </c>
      <c r="AL6609">
        <v>81.045631220044996</v>
      </c>
      <c r="AM6609">
        <v>89.073743236430403</v>
      </c>
      <c r="AN6609">
        <v>0.99999996356435406</v>
      </c>
    </row>
    <row r="6610" spans="1:40" x14ac:dyDescent="0.25">
      <c r="A6610" t="str">
        <f>"20190303162044191"</f>
        <v>20190303162044191</v>
      </c>
      <c r="B6610" t="str">
        <f>"1551601244179655"</f>
        <v>1551601244179655</v>
      </c>
      <c r="C6610" t="s">
        <v>40</v>
      </c>
      <c r="D6610">
        <v>4.2730090000000001</v>
      </c>
      <c r="E6610">
        <v>0.46969840000000002</v>
      </c>
      <c r="F6610" t="s">
        <v>58</v>
      </c>
      <c r="G6610">
        <v>0</v>
      </c>
      <c r="H6610">
        <v>0</v>
      </c>
      <c r="I6610">
        <v>0</v>
      </c>
      <c r="J6610">
        <v>-304.25409999999999</v>
      </c>
      <c r="K6610">
        <v>1.12148799999999</v>
      </c>
      <c r="L6610">
        <v>141.98589999999999</v>
      </c>
      <c r="M6610">
        <v>-0.99991890000000005</v>
      </c>
      <c r="N6610">
        <v>-1.272973E-2</v>
      </c>
      <c r="O6610">
        <v>-3.7841490000000002E-4</v>
      </c>
      <c r="P6610">
        <v>-0.98953159999999896</v>
      </c>
      <c r="Q6610">
        <v>0.14351630000000001</v>
      </c>
      <c r="R6610">
        <v>1.5182289999999999E-2</v>
      </c>
      <c r="S6610">
        <v>-3.0333559999999999</v>
      </c>
      <c r="T6610">
        <v>9.5574860000000005E-3</v>
      </c>
      <c r="U6610">
        <v>-0.1977081</v>
      </c>
      <c r="V6610">
        <v>1.552305E-2</v>
      </c>
      <c r="W6610">
        <v>0.15610470000000001</v>
      </c>
      <c r="X6610">
        <v>0.98761849999999995</v>
      </c>
      <c r="Y6610">
        <v>-6.4663399999999996E-2</v>
      </c>
      <c r="Z6610">
        <v>-3.1626449999999997E-4</v>
      </c>
      <c r="AA6610">
        <v>0.99790710000000005</v>
      </c>
      <c r="AB6610">
        <v>27</v>
      </c>
      <c r="AC6610">
        <v>-3.0333559999999999</v>
      </c>
      <c r="AD6610">
        <v>9.5574860000000005E-3</v>
      </c>
      <c r="AE6610">
        <v>-0.1977081</v>
      </c>
      <c r="AF6610">
        <v>-0.19655818263737501</v>
      </c>
      <c r="AG6610">
        <v>9.5574860000000005E-3</v>
      </c>
      <c r="AH6610">
        <v>3.03340061779046</v>
      </c>
      <c r="AI6610">
        <v>89.819853737139496</v>
      </c>
      <c r="AJ6610">
        <v>93.707466688313801</v>
      </c>
      <c r="AK6610">
        <v>3.0397772570883999</v>
      </c>
      <c r="AL6610">
        <v>81.019128903908495</v>
      </c>
      <c r="AM6610">
        <v>89.099518670366606</v>
      </c>
      <c r="AN6610">
        <v>0.99999997199281998</v>
      </c>
    </row>
    <row r="6611" spans="1:40" x14ac:dyDescent="0.25">
      <c r="A6611" t="str">
        <f>"20190303162044208"</f>
        <v>20190303162044208</v>
      </c>
      <c r="B6611" t="str">
        <f>"1551601244199176"</f>
        <v>1551601244199176</v>
      </c>
      <c r="C6611" t="s">
        <v>40</v>
      </c>
      <c r="D6611">
        <v>4.2539069999999999</v>
      </c>
      <c r="E6611">
        <v>0.46368350000000003</v>
      </c>
      <c r="F6611" t="s">
        <v>58</v>
      </c>
      <c r="G6611">
        <v>0</v>
      </c>
      <c r="H6611">
        <v>0</v>
      </c>
      <c r="I6611">
        <v>0</v>
      </c>
      <c r="J6611">
        <v>-304.4699</v>
      </c>
      <c r="K6611">
        <v>1.121489</v>
      </c>
      <c r="L6611">
        <v>141.98570000000001</v>
      </c>
      <c r="M6611">
        <v>-0.999919</v>
      </c>
      <c r="N6611">
        <v>-1.27289E-2</v>
      </c>
      <c r="O6611">
        <v>-4.8950679999999996E-4</v>
      </c>
      <c r="P6611">
        <v>-0.98949609999999999</v>
      </c>
      <c r="Q6611">
        <v>0.1438836</v>
      </c>
      <c r="R6611">
        <v>1.396935E-2</v>
      </c>
      <c r="S6611">
        <v>-3.033325</v>
      </c>
      <c r="T6611">
        <v>1.0443569999999999E-2</v>
      </c>
      <c r="U6611">
        <v>-0.19984440000000001</v>
      </c>
      <c r="V6611">
        <v>1.441981E-2</v>
      </c>
      <c r="W6611">
        <v>0.1564701</v>
      </c>
      <c r="X6611">
        <v>0.98757740000000005</v>
      </c>
      <c r="Y6611">
        <v>-6.5253030000000004E-2</v>
      </c>
      <c r="Z6611">
        <v>-3.1146119999999998E-4</v>
      </c>
      <c r="AA6611">
        <v>0.99786870000000005</v>
      </c>
      <c r="AB6611">
        <v>27</v>
      </c>
      <c r="AC6611">
        <v>-3.033325</v>
      </c>
      <c r="AD6611">
        <v>1.0443569999999999E-2</v>
      </c>
      <c r="AE6611">
        <v>-0.19984440000000001</v>
      </c>
      <c r="AF6611">
        <v>-0.19835708159892501</v>
      </c>
      <c r="AG6611">
        <v>1.0443569999999999E-2</v>
      </c>
      <c r="AH6611">
        <v>3.0333866676652099</v>
      </c>
      <c r="AI6611">
        <v>89.803158989672099</v>
      </c>
      <c r="AJ6611">
        <v>93.741318618851395</v>
      </c>
      <c r="AK6611">
        <v>3.03988310228269</v>
      </c>
      <c r="AL6611">
        <v>80.997932557163907</v>
      </c>
      <c r="AM6611">
        <v>89.163472606374398</v>
      </c>
      <c r="AN6611">
        <v>0.99999997205260205</v>
      </c>
    </row>
    <row r="6612" spans="1:40" x14ac:dyDescent="0.25">
      <c r="A6612" t="str">
        <f>"20190303162044232"</f>
        <v>20190303162044232</v>
      </c>
      <c r="B6612" t="str">
        <f>"1551601244218695"</f>
        <v>1551601244218695</v>
      </c>
      <c r="C6612" t="s">
        <v>40</v>
      </c>
      <c r="D6612">
        <v>4.2338990000000001</v>
      </c>
      <c r="E6612">
        <v>0.46350659999999999</v>
      </c>
      <c r="F6612" t="s">
        <v>58</v>
      </c>
      <c r="G6612">
        <v>0</v>
      </c>
      <c r="H6612">
        <v>0</v>
      </c>
      <c r="I6612">
        <v>0</v>
      </c>
      <c r="J6612">
        <v>-304.74939999999998</v>
      </c>
      <c r="K6612">
        <v>1.121494</v>
      </c>
      <c r="L6612">
        <v>141.9854</v>
      </c>
      <c r="M6612">
        <v>-0.99991890000000005</v>
      </c>
      <c r="N6612">
        <v>-1.2727799999999999E-2</v>
      </c>
      <c r="O6612">
        <v>-6.3349710000000004E-4</v>
      </c>
      <c r="P6612">
        <v>-0.9894328</v>
      </c>
      <c r="Q6612">
        <v>0.14438139999999999</v>
      </c>
      <c r="R6612">
        <v>1.33058E-2</v>
      </c>
      <c r="S6612">
        <v>-3.0372919999999999</v>
      </c>
      <c r="T6612">
        <v>-1.319242E-2</v>
      </c>
      <c r="U6612">
        <v>-0.25152590000000002</v>
      </c>
      <c r="V6612">
        <v>1.3898779999999999E-2</v>
      </c>
      <c r="W6612">
        <v>0.1569661</v>
      </c>
      <c r="X6612">
        <v>0.9875062</v>
      </c>
      <c r="Y6612">
        <v>-8.1895599999999999E-2</v>
      </c>
      <c r="Z6612">
        <v>-7.0495080000000003E-4</v>
      </c>
      <c r="AA6612">
        <v>0.99664070000000005</v>
      </c>
      <c r="AB6612">
        <v>27</v>
      </c>
      <c r="AC6612">
        <v>-3.0372919999999999</v>
      </c>
      <c r="AD6612">
        <v>-1.319242E-2</v>
      </c>
      <c r="AE6612">
        <v>-0.25152590000000002</v>
      </c>
      <c r="AF6612">
        <v>-0.24959690139574001</v>
      </c>
      <c r="AG6612">
        <v>-1.319242E-2</v>
      </c>
      <c r="AH6612">
        <v>3.0373938316162401</v>
      </c>
      <c r="AI6612">
        <v>90.2480172485742</v>
      </c>
      <c r="AJ6612">
        <v>94.697707946117802</v>
      </c>
      <c r="AK6612">
        <v>3.0476604045517002</v>
      </c>
      <c r="AL6612">
        <v>80.969158677157694</v>
      </c>
      <c r="AM6612">
        <v>89.193636600098998</v>
      </c>
      <c r="AN6612">
        <v>1.0000000138365599</v>
      </c>
    </row>
    <row r="6613" spans="1:40" x14ac:dyDescent="0.25">
      <c r="A6613" t="str">
        <f>"20190303162044254"</f>
        <v>20190303162044254</v>
      </c>
      <c r="B6613" t="str">
        <f>"1551601244248952"</f>
        <v>1551601244248952</v>
      </c>
      <c r="C6613" t="s">
        <v>40</v>
      </c>
      <c r="D6613">
        <v>4.2213599999999998</v>
      </c>
      <c r="E6613">
        <v>0.46421279999999998</v>
      </c>
      <c r="F6613" t="s">
        <v>58</v>
      </c>
      <c r="G6613">
        <v>0</v>
      </c>
      <c r="H6613">
        <v>0</v>
      </c>
      <c r="I6613">
        <v>0</v>
      </c>
      <c r="J6613">
        <v>-305.02569999999997</v>
      </c>
      <c r="K6613">
        <v>1.1214930000000001</v>
      </c>
      <c r="L6613">
        <v>141.98500000000001</v>
      </c>
      <c r="M6613">
        <v>-0.99991870000000005</v>
      </c>
      <c r="N6613">
        <v>-1.272673E-2</v>
      </c>
      <c r="O6613">
        <v>-7.7581869999999997E-4</v>
      </c>
      <c r="P6613">
        <v>-0.9893227</v>
      </c>
      <c r="Q6613">
        <v>0.14515839999999999</v>
      </c>
      <c r="R6613">
        <v>1.30142E-2</v>
      </c>
      <c r="S6613">
        <v>-3.0369570000000001</v>
      </c>
      <c r="T6613">
        <v>-1.0204080000000001E-2</v>
      </c>
      <c r="U6613">
        <v>-0.25489810000000002</v>
      </c>
      <c r="V6613">
        <v>1.374763E-2</v>
      </c>
      <c r="W6613">
        <v>0.15774070000000001</v>
      </c>
      <c r="X6613">
        <v>0.98738490000000001</v>
      </c>
      <c r="Y6613">
        <v>-8.2862599999999995E-2</v>
      </c>
      <c r="Z6613">
        <v>-6.7445669999999995E-4</v>
      </c>
      <c r="AA6613">
        <v>0.99656080000000002</v>
      </c>
      <c r="AB6613">
        <v>27</v>
      </c>
      <c r="AC6613">
        <v>-3.0369570000000001</v>
      </c>
      <c r="AD6613">
        <v>-1.0204080000000001E-2</v>
      </c>
      <c r="AE6613">
        <v>-0.25489810000000002</v>
      </c>
      <c r="AF6613">
        <v>-0.25253887331963998</v>
      </c>
      <c r="AG6613">
        <v>-1.0204080000000001E-2</v>
      </c>
      <c r="AH6613">
        <v>3.0371198092435301</v>
      </c>
      <c r="AI6613">
        <v>90.191838928074205</v>
      </c>
      <c r="AJ6613">
        <v>94.753253987476896</v>
      </c>
      <c r="AK6613">
        <v>3.0476182079593999</v>
      </c>
      <c r="AL6613">
        <v>80.924217682433905</v>
      </c>
      <c r="AM6613">
        <v>89.202306735788696</v>
      </c>
      <c r="AN6613">
        <v>1.00000003325755</v>
      </c>
    </row>
    <row r="6614" spans="1:40" x14ac:dyDescent="0.25">
      <c r="A6614" t="str">
        <f>"20190303162044276"</f>
        <v>20190303162044276</v>
      </c>
      <c r="B6614" t="str">
        <f>"1551601244269448"</f>
        <v>1551601244269448</v>
      </c>
      <c r="C6614" t="s">
        <v>40</v>
      </c>
      <c r="D6614">
        <v>4.2369110000000001</v>
      </c>
      <c r="E6614">
        <v>0.46418019999999999</v>
      </c>
      <c r="F6614" t="s">
        <v>58</v>
      </c>
      <c r="G6614">
        <v>0</v>
      </c>
      <c r="H6614">
        <v>0</v>
      </c>
      <c r="I6614">
        <v>0</v>
      </c>
      <c r="J6614">
        <v>-305.29059999999998</v>
      </c>
      <c r="K6614">
        <v>1.121497</v>
      </c>
      <c r="L6614">
        <v>141.9846</v>
      </c>
      <c r="M6614">
        <v>-0.9999188</v>
      </c>
      <c r="N6614">
        <v>-1.272568E-2</v>
      </c>
      <c r="O6614">
        <v>-9.121814E-4</v>
      </c>
      <c r="P6614">
        <v>-0.98930819999999997</v>
      </c>
      <c r="Q6614">
        <v>0.14521789999999901</v>
      </c>
      <c r="R6614">
        <v>1.3460939999999999E-2</v>
      </c>
      <c r="S6614">
        <v>-3.035736</v>
      </c>
      <c r="T6614">
        <v>-2.372265E-4</v>
      </c>
      <c r="U6614">
        <v>-0.25042720000000002</v>
      </c>
      <c r="V6614">
        <v>1.432948E-2</v>
      </c>
      <c r="W6614">
        <v>0.1577991</v>
      </c>
      <c r="X6614">
        <v>0.98736729999999995</v>
      </c>
      <c r="Y6614">
        <v>-8.1304650000000006E-2</v>
      </c>
      <c r="Z6614">
        <v>-5.3291600000000003E-4</v>
      </c>
      <c r="AA6614">
        <v>0.99668909999999999</v>
      </c>
      <c r="AB6614">
        <v>27</v>
      </c>
      <c r="AC6614">
        <v>-3.035736</v>
      </c>
      <c r="AD6614">
        <v>-2.372265E-4</v>
      </c>
      <c r="AE6614">
        <v>-0.25042720000000002</v>
      </c>
      <c r="AF6614">
        <v>-0.24765772865918001</v>
      </c>
      <c r="AG6614">
        <v>-2.372265E-4</v>
      </c>
      <c r="AH6614">
        <v>3.0359631718909799</v>
      </c>
      <c r="AI6614">
        <v>90.004462201004898</v>
      </c>
      <c r="AJ6614">
        <v>94.663558815396101</v>
      </c>
      <c r="AK6614">
        <v>3.0460477323770601</v>
      </c>
      <c r="AL6614">
        <v>80.920829210128204</v>
      </c>
      <c r="AM6614">
        <v>89.168535263005396</v>
      </c>
      <c r="AN6614">
        <v>1.00000003753358</v>
      </c>
    </row>
    <row r="6615" spans="1:40" x14ac:dyDescent="0.25">
      <c r="A6615" t="str">
        <f>"20190303162044294"</f>
        <v>20190303162044294</v>
      </c>
      <c r="B6615" t="str">
        <f>"1551601244289539"</f>
        <v>1551601244289539</v>
      </c>
      <c r="C6615" t="s">
        <v>40</v>
      </c>
      <c r="D6615">
        <v>4.2789679999999999</v>
      </c>
      <c r="E6615">
        <v>0.4641689</v>
      </c>
      <c r="F6615" t="s">
        <v>58</v>
      </c>
      <c r="G6615">
        <v>0</v>
      </c>
      <c r="H6615">
        <v>0</v>
      </c>
      <c r="I6615">
        <v>0</v>
      </c>
      <c r="J6615">
        <v>-305.49579999999997</v>
      </c>
      <c r="K6615">
        <v>1.121499</v>
      </c>
      <c r="L6615">
        <v>141.98429999999999</v>
      </c>
      <c r="M6615">
        <v>-0.99991850000000004</v>
      </c>
      <c r="N6615">
        <v>-1.2724869999999999E-2</v>
      </c>
      <c r="O6615">
        <v>-1.0177910000000001E-3</v>
      </c>
      <c r="P6615">
        <v>-0.98928479999999996</v>
      </c>
      <c r="Q6615">
        <v>0.1453489</v>
      </c>
      <c r="R6615">
        <v>1.375271E-2</v>
      </c>
      <c r="S6615">
        <v>-3.035828</v>
      </c>
      <c r="T6615">
        <v>-5.3012369999999999E-4</v>
      </c>
      <c r="U6615">
        <v>-0.24964900000000001</v>
      </c>
      <c r="V6615">
        <v>1.4725530000000001E-2</v>
      </c>
      <c r="W6615">
        <v>0.15792900000000001</v>
      </c>
      <c r="X6615">
        <v>0.98734060000000001</v>
      </c>
      <c r="Y6615">
        <v>-8.0943109999999999E-2</v>
      </c>
      <c r="Z6615">
        <v>-5.3569220000000001E-4</v>
      </c>
      <c r="AA6615">
        <v>0.99671860000000001</v>
      </c>
      <c r="AB6615">
        <v>27</v>
      </c>
      <c r="AC6615">
        <v>-3.035828</v>
      </c>
      <c r="AD6615">
        <v>-5.3012369999999999E-4</v>
      </c>
      <c r="AE6615">
        <v>-0.24964900000000001</v>
      </c>
      <c r="AF6615">
        <v>-0.246558774548156</v>
      </c>
      <c r="AG6615">
        <v>-5.3012369999999999E-4</v>
      </c>
      <c r="AH6615">
        <v>3.0360804464664701</v>
      </c>
      <c r="AI6615">
        <v>90.009971470084693</v>
      </c>
      <c r="AJ6615">
        <v>94.642776898410503</v>
      </c>
      <c r="AK6615">
        <v>3.04607550591804</v>
      </c>
      <c r="AL6615">
        <v>80.913291041758796</v>
      </c>
      <c r="AM6615">
        <v>89.145534812581403</v>
      </c>
      <c r="AN6615">
        <v>0.99999993534156795</v>
      </c>
    </row>
    <row r="6616" spans="1:40" x14ac:dyDescent="0.25">
      <c r="A6616" t="str">
        <f>"20190303162044311"</f>
        <v>20190303162044311</v>
      </c>
      <c r="B6616" t="str">
        <f>"1551601244299298"</f>
        <v>1551601244299298</v>
      </c>
      <c r="C6616" t="s">
        <v>40</v>
      </c>
      <c r="D6616">
        <v>4.2579549999999999</v>
      </c>
      <c r="E6616">
        <v>0.46406249999999999</v>
      </c>
      <c r="F6616" t="s">
        <v>58</v>
      </c>
      <c r="G6616">
        <v>0</v>
      </c>
      <c r="H6616">
        <v>0</v>
      </c>
      <c r="I6616">
        <v>0</v>
      </c>
      <c r="J6616">
        <v>-305.70150000000001</v>
      </c>
      <c r="K6616">
        <v>1.1214999999999999</v>
      </c>
      <c r="L6616">
        <v>141.98400000000001</v>
      </c>
      <c r="M6616">
        <v>-0.99991850000000004</v>
      </c>
      <c r="N6616">
        <v>-1.2724060000000001E-2</v>
      </c>
      <c r="O6616">
        <v>-1.123757E-3</v>
      </c>
      <c r="P6616">
        <v>-0.989255</v>
      </c>
      <c r="Q6616">
        <v>0.1454443</v>
      </c>
      <c r="R6616">
        <v>1.4846740000000001E-2</v>
      </c>
      <c r="S6616">
        <v>-3.0361940000000001</v>
      </c>
      <c r="T6616">
        <v>-1.730561E-3</v>
      </c>
      <c r="U6616">
        <v>-0.2487183</v>
      </c>
      <c r="V6616">
        <v>1.5924299999999999E-2</v>
      </c>
      <c r="W6616">
        <v>0.1580232</v>
      </c>
      <c r="X6616">
        <v>0.98730700000000005</v>
      </c>
      <c r="Y6616">
        <v>-8.0523910000000004E-2</v>
      </c>
      <c r="Z6616">
        <v>-5.4972029999999996E-4</v>
      </c>
      <c r="AA6616">
        <v>0.99675250000000004</v>
      </c>
      <c r="AB6616">
        <v>27</v>
      </c>
      <c r="AC6616">
        <v>-3.0361940000000001</v>
      </c>
      <c r="AD6616">
        <v>-1.730561E-3</v>
      </c>
      <c r="AE6616">
        <v>-0.2487183</v>
      </c>
      <c r="AF6616">
        <v>-0.24530584356576399</v>
      </c>
      <c r="AG6616">
        <v>-1.730561E-3</v>
      </c>
      <c r="AH6616">
        <v>3.0364706242319399</v>
      </c>
      <c r="AI6616">
        <v>90.032548262955203</v>
      </c>
      <c r="AJ6616">
        <v>94.618695189879901</v>
      </c>
      <c r="AK6616">
        <v>3.0463637017848599</v>
      </c>
      <c r="AL6616">
        <v>80.907825861444607</v>
      </c>
      <c r="AM6616">
        <v>89.075955021532394</v>
      </c>
      <c r="AN6616">
        <v>1.00000001365886</v>
      </c>
    </row>
    <row r="6617" spans="1:40" x14ac:dyDescent="0.25">
      <c r="A6617" t="str">
        <f>"20190303162044333"</f>
        <v>20190303162044333</v>
      </c>
      <c r="B6617" t="str">
        <f>"1551601244318819"</f>
        <v>1551601244318819</v>
      </c>
      <c r="C6617" t="s">
        <v>40</v>
      </c>
      <c r="D6617">
        <v>4.4479689999999996</v>
      </c>
      <c r="E6617">
        <v>0.46414030000000001</v>
      </c>
      <c r="F6617" t="s">
        <v>58</v>
      </c>
      <c r="G6617">
        <v>0</v>
      </c>
      <c r="H6617">
        <v>0</v>
      </c>
      <c r="I6617">
        <v>0</v>
      </c>
      <c r="J6617">
        <v>-305.97949999999997</v>
      </c>
      <c r="K6617">
        <v>1.1214949999999999</v>
      </c>
      <c r="L6617">
        <v>141.98349999999999</v>
      </c>
      <c r="M6617">
        <v>-0.99991830000000004</v>
      </c>
      <c r="N6617">
        <v>-1.272298E-2</v>
      </c>
      <c r="O6617">
        <v>-1.2671500000000001E-3</v>
      </c>
      <c r="P6617">
        <v>-0.98925770000000002</v>
      </c>
      <c r="Q6617">
        <v>0.14535609999999999</v>
      </c>
      <c r="R6617">
        <v>1.552832E-2</v>
      </c>
      <c r="S6617">
        <v>-3.036438</v>
      </c>
      <c r="T6617">
        <v>-8.5306170000000003E-4</v>
      </c>
      <c r="U6617">
        <v>-0.24603269999999999</v>
      </c>
      <c r="V6617">
        <v>1.6748019999999999E-2</v>
      </c>
      <c r="W6617">
        <v>0.1579342</v>
      </c>
      <c r="X6617">
        <v>0.98730759999999995</v>
      </c>
      <c r="Y6617">
        <v>-7.9498849999999996E-2</v>
      </c>
      <c r="Z6617">
        <v>-5.3346939999999999E-4</v>
      </c>
      <c r="AA6617">
        <v>0.99683480000000002</v>
      </c>
      <c r="AB6617">
        <v>27</v>
      </c>
      <c r="AC6617">
        <v>-3.036438</v>
      </c>
      <c r="AD6617">
        <v>-8.5306170000000003E-4</v>
      </c>
      <c r="AE6617">
        <v>-0.24603269999999999</v>
      </c>
      <c r="AF6617">
        <v>-0.24218454975552001</v>
      </c>
      <c r="AG6617">
        <v>-8.5306170000000003E-4</v>
      </c>
      <c r="AH6617">
        <v>3.0367471092839802</v>
      </c>
      <c r="AI6617">
        <v>90.016044186308406</v>
      </c>
      <c r="AJ6617">
        <v>94.559762511824601</v>
      </c>
      <c r="AK6617">
        <v>3.0463891887936998</v>
      </c>
      <c r="AL6617">
        <v>80.912989931218206</v>
      </c>
      <c r="AM6617">
        <v>89.028166262547899</v>
      </c>
      <c r="AN6617">
        <v>1.0000000023606599</v>
      </c>
    </row>
    <row r="6618" spans="1:40" x14ac:dyDescent="0.25">
      <c r="A6618" t="str">
        <f>"20190303162044354"</f>
        <v>20190303162044354</v>
      </c>
      <c r="B6618" t="str">
        <f>"1551601244349075"</f>
        <v>1551601244349075</v>
      </c>
      <c r="C6618" t="s">
        <v>40</v>
      </c>
      <c r="D6618">
        <v>4.2890569999999997</v>
      </c>
      <c r="E6618">
        <v>0.51030750000000002</v>
      </c>
      <c r="F6618" t="s">
        <v>58</v>
      </c>
      <c r="G6618">
        <v>0</v>
      </c>
      <c r="H6618">
        <v>0</v>
      </c>
      <c r="I6618">
        <v>0</v>
      </c>
      <c r="J6618">
        <v>-306.23880000000003</v>
      </c>
      <c r="K6618">
        <v>1.1214900000000001</v>
      </c>
      <c r="L6618">
        <v>141.983</v>
      </c>
      <c r="M6618">
        <v>-0.99991810000000003</v>
      </c>
      <c r="N6618">
        <v>-1.2721959999999999E-2</v>
      </c>
      <c r="O6618">
        <v>-1.40065E-3</v>
      </c>
      <c r="P6618">
        <v>-0.98927969999999998</v>
      </c>
      <c r="Q6618">
        <v>0.1450835</v>
      </c>
      <c r="R6618">
        <v>1.663413E-2</v>
      </c>
      <c r="S6618">
        <v>-3.036591</v>
      </c>
      <c r="T6618">
        <v>-1.311064E-3</v>
      </c>
      <c r="U6618">
        <v>-0.2434692</v>
      </c>
      <c r="V6618">
        <v>1.7986060000000002E-2</v>
      </c>
      <c r="W6618">
        <v>0.1576611</v>
      </c>
      <c r="X6618">
        <v>0.98732949999999997</v>
      </c>
      <c r="Y6618">
        <v>-7.8525510000000007E-2</v>
      </c>
      <c r="Z6618">
        <v>-5.3443290000000003E-4</v>
      </c>
      <c r="AA6618">
        <v>0.99691189999999996</v>
      </c>
      <c r="AB6618">
        <v>27</v>
      </c>
      <c r="AC6618">
        <v>-3.036591</v>
      </c>
      <c r="AD6618">
        <v>-1.311064E-3</v>
      </c>
      <c r="AE6618">
        <v>-0.2434692</v>
      </c>
      <c r="AF6618">
        <v>-0.239215371455058</v>
      </c>
      <c r="AG6618">
        <v>-1.311064E-3</v>
      </c>
      <c r="AH6618">
        <v>3.0369285011196001</v>
      </c>
      <c r="AI6618">
        <v>90.024658621595705</v>
      </c>
      <c r="AJ6618">
        <v>94.503823429315105</v>
      </c>
      <c r="AK6618">
        <v>3.0463355747096799</v>
      </c>
      <c r="AL6618">
        <v>80.928836199494597</v>
      </c>
      <c r="AM6618">
        <v>88.956365270253897</v>
      </c>
      <c r="AN6618">
        <v>1.0000000311888899</v>
      </c>
    </row>
    <row r="6619" spans="1:40" x14ac:dyDescent="0.25">
      <c r="A6619" t="str">
        <f>"20190303162044377"</f>
        <v>20190303162044377</v>
      </c>
      <c r="B6619" t="str">
        <f>"1551601244369574"</f>
        <v>1551601244369574</v>
      </c>
      <c r="C6619" t="s">
        <v>40</v>
      </c>
      <c r="D6619">
        <v>4.2828010000000001</v>
      </c>
      <c r="E6619">
        <v>0.51539729999999995</v>
      </c>
      <c r="F6619" t="s">
        <v>71</v>
      </c>
      <c r="G6619">
        <v>-511.0598</v>
      </c>
      <c r="H6619">
        <v>3.4568310000000002</v>
      </c>
      <c r="I6619">
        <v>150.6669</v>
      </c>
      <c r="J6619">
        <v>-306.50360000000001</v>
      </c>
      <c r="K6619">
        <v>1.1214900000000001</v>
      </c>
      <c r="L6619">
        <v>141.98249999999999</v>
      </c>
      <c r="M6619">
        <v>-0.99991790000000003</v>
      </c>
      <c r="N6619">
        <v>-1.272093E-2</v>
      </c>
      <c r="O6619">
        <v>-1.5373699999999999E-3</v>
      </c>
      <c r="P6619">
        <v>-0.98929009999999995</v>
      </c>
      <c r="Q6619">
        <v>0.1449569</v>
      </c>
      <c r="R6619">
        <v>1.711302E-2</v>
      </c>
      <c r="S6619">
        <v>-3.025299</v>
      </c>
      <c r="T6619">
        <v>3.449464E-2</v>
      </c>
      <c r="U6619">
        <v>0.1282654</v>
      </c>
      <c r="V6619">
        <v>1.8600249999999999E-2</v>
      </c>
      <c r="W6619">
        <v>0.15753349999999999</v>
      </c>
      <c r="X6619">
        <v>0.98733850000000001</v>
      </c>
      <c r="Y6619">
        <v>4.3895480000000001E-2</v>
      </c>
      <c r="Z6619" s="1">
        <v>-7.8658339999999998E-6</v>
      </c>
      <c r="AA6619">
        <v>0.99903609999999998</v>
      </c>
      <c r="AB6619">
        <v>27</v>
      </c>
      <c r="AC6619">
        <v>-204.55619999999999</v>
      </c>
      <c r="AD6619">
        <v>2.3353410000000001</v>
      </c>
      <c r="AE6619">
        <v>8.6844000000000001</v>
      </c>
      <c r="AF6619">
        <v>8.9977231030414302</v>
      </c>
      <c r="AG6619">
        <v>2.3353410000000001</v>
      </c>
      <c r="AH6619">
        <v>204.51599750122799</v>
      </c>
      <c r="AI6619">
        <v>89.346407719641107</v>
      </c>
      <c r="AJ6619">
        <v>87.480884948392003</v>
      </c>
      <c r="AK6619">
        <v>204.72715030632199</v>
      </c>
      <c r="AL6619">
        <v>80.936239768584301</v>
      </c>
      <c r="AM6619">
        <v>88.920745240143802</v>
      </c>
      <c r="AN6619">
        <v>1.00000004325228</v>
      </c>
    </row>
    <row r="6620" spans="1:40" x14ac:dyDescent="0.25">
      <c r="A6620" t="str">
        <f>"20190303162044398"</f>
        <v>20190303162044398</v>
      </c>
      <c r="B6620" t="str">
        <f>"1551601244389150"</f>
        <v>1551601244389150</v>
      </c>
      <c r="C6620" t="s">
        <v>40</v>
      </c>
      <c r="D6620">
        <v>4.2530000000000001</v>
      </c>
      <c r="E6620">
        <v>0.5171694</v>
      </c>
      <c r="F6620" t="s">
        <v>71</v>
      </c>
      <c r="G6620">
        <v>-511.05950000000001</v>
      </c>
      <c r="H6620">
        <v>2.6324749999999999</v>
      </c>
      <c r="I6620">
        <v>153.4836</v>
      </c>
      <c r="J6620">
        <v>-306.76859999999999</v>
      </c>
      <c r="K6620">
        <v>1.121489</v>
      </c>
      <c r="L6620">
        <v>141.9819</v>
      </c>
      <c r="M6620">
        <v>-0.99991779999999997</v>
      </c>
      <c r="N6620">
        <v>-1.2719899999999999E-2</v>
      </c>
      <c r="O6620">
        <v>-1.6736120000000001E-3</v>
      </c>
      <c r="P6620">
        <v>-0.98927940000000003</v>
      </c>
      <c r="Q6620">
        <v>0.14499329999999999</v>
      </c>
      <c r="R6620">
        <v>1.742049E-2</v>
      </c>
      <c r="S6620">
        <v>-3.0262449999999999</v>
      </c>
      <c r="T6620">
        <v>2.2354479999999999E-2</v>
      </c>
      <c r="U6620">
        <v>0.17015079999999999</v>
      </c>
      <c r="V6620">
        <v>1.904262E-2</v>
      </c>
      <c r="W6620">
        <v>0.1575693</v>
      </c>
      <c r="X6620">
        <v>0.98732430000000004</v>
      </c>
      <c r="Y6620">
        <v>5.780822E-2</v>
      </c>
      <c r="Z6620">
        <v>1.209949E-4</v>
      </c>
      <c r="AA6620">
        <v>0.99832770000000004</v>
      </c>
      <c r="AB6620">
        <v>27</v>
      </c>
      <c r="AC6620">
        <v>-204.29089999999999</v>
      </c>
      <c r="AD6620">
        <v>1.5109859999999999</v>
      </c>
      <c r="AE6620">
        <v>11.5017</v>
      </c>
      <c r="AF6620">
        <v>11.842969402645</v>
      </c>
      <c r="AG6620">
        <v>1.5109859999999999</v>
      </c>
      <c r="AH6620">
        <v>204.26022426678199</v>
      </c>
      <c r="AI6620">
        <v>89.576880907235704</v>
      </c>
      <c r="AJ6620">
        <v>86.681716460012893</v>
      </c>
      <c r="AK6620">
        <v>204.60884198997999</v>
      </c>
      <c r="AL6620">
        <v>80.934162146853495</v>
      </c>
      <c r="AM6620">
        <v>88.895067711526806</v>
      </c>
      <c r="AN6620">
        <v>0.99999998952472202</v>
      </c>
    </row>
    <row r="6621" spans="1:40" x14ac:dyDescent="0.25">
      <c r="A6621" t="str">
        <f>"20190303162044414"</f>
        <v>20190303162044414</v>
      </c>
      <c r="B6621" t="str">
        <f>"1551601244409646"</f>
        <v>1551601244409646</v>
      </c>
      <c r="C6621" t="s">
        <v>40</v>
      </c>
      <c r="D6621">
        <v>4.2701580000000003</v>
      </c>
      <c r="E6621">
        <v>0.51789649999999998</v>
      </c>
      <c r="F6621" t="s">
        <v>71</v>
      </c>
      <c r="G6621">
        <v>-511.92590000000001</v>
      </c>
      <c r="H6621">
        <v>2.2718150000000001</v>
      </c>
      <c r="I6621">
        <v>154.53469999999999</v>
      </c>
      <c r="J6621">
        <v>-306.95319999999998</v>
      </c>
      <c r="K6621">
        <v>1.1214900000000001</v>
      </c>
      <c r="L6621">
        <v>141.98150000000001</v>
      </c>
      <c r="M6621">
        <v>-0.99991759999999996</v>
      </c>
      <c r="N6621">
        <v>-1.271917E-2</v>
      </c>
      <c r="O6621">
        <v>-1.768611E-3</v>
      </c>
      <c r="P6621">
        <v>-0.98930370000000001</v>
      </c>
      <c r="Q6621">
        <v>0.14480899999999999</v>
      </c>
      <c r="R6621">
        <v>1.7568250000000001E-2</v>
      </c>
      <c r="S6621">
        <v>-3.026764</v>
      </c>
      <c r="T6621">
        <v>1.697183E-2</v>
      </c>
      <c r="U6621">
        <v>0.1851959</v>
      </c>
      <c r="V6621">
        <v>1.928446E-2</v>
      </c>
      <c r="W6621">
        <v>0.1573842</v>
      </c>
      <c r="X6621">
        <v>0.98734920000000004</v>
      </c>
      <c r="Y6621">
        <v>6.283822E-2</v>
      </c>
      <c r="Z6621">
        <v>1.916194E-4</v>
      </c>
      <c r="AA6621">
        <v>0.99802369999999996</v>
      </c>
      <c r="AB6621">
        <v>27</v>
      </c>
      <c r="AC6621">
        <v>-204.9727</v>
      </c>
      <c r="AD6621">
        <v>1.150325</v>
      </c>
      <c r="AE6621">
        <v>12.553199999999901</v>
      </c>
      <c r="AF6621">
        <v>12.915321387338601</v>
      </c>
      <c r="AG6621">
        <v>1.150325</v>
      </c>
      <c r="AH6621">
        <v>204.94374515543799</v>
      </c>
      <c r="AI6621">
        <v>89.679045614465096</v>
      </c>
      <c r="AJ6621">
        <v>86.394053714400599</v>
      </c>
      <c r="AK6621">
        <v>205.353518237407</v>
      </c>
      <c r="AL6621">
        <v>80.944902236605998</v>
      </c>
      <c r="AM6621">
        <v>88.8810669027567</v>
      </c>
      <c r="AN6621">
        <v>1.0000000597738801</v>
      </c>
    </row>
    <row r="6622" spans="1:40" x14ac:dyDescent="0.25">
      <c r="A6622" t="str">
        <f>"20190303162044433"</f>
        <v>20190303162044433</v>
      </c>
      <c r="B6622" t="str">
        <f>"1551601244429166"</f>
        <v>1551601244429166</v>
      </c>
      <c r="C6622" t="s">
        <v>40</v>
      </c>
      <c r="D6622">
        <v>4.2911760000000001</v>
      </c>
      <c r="E6622">
        <v>0.51843249999999996</v>
      </c>
      <c r="F6622" t="s">
        <v>71</v>
      </c>
      <c r="G6622">
        <v>-511.92590000000001</v>
      </c>
      <c r="H6622">
        <v>2.1851940000000001</v>
      </c>
      <c r="I6622">
        <v>154.94049999999999</v>
      </c>
      <c r="J6622">
        <v>-307.18180000000001</v>
      </c>
      <c r="K6622">
        <v>1.1214900000000001</v>
      </c>
      <c r="L6622">
        <v>141.98089999999999</v>
      </c>
      <c r="M6622">
        <v>-0.99991739999999996</v>
      </c>
      <c r="N6622">
        <v>-1.271825E-2</v>
      </c>
      <c r="O6622">
        <v>-1.8866149999999999E-3</v>
      </c>
      <c r="P6622">
        <v>-0.98928649999999996</v>
      </c>
      <c r="Q6622">
        <v>0.14492169999999999</v>
      </c>
      <c r="R6622">
        <v>1.761209E-2</v>
      </c>
      <c r="S6622">
        <v>-3.0267330000000001</v>
      </c>
      <c r="T6622">
        <v>1.5707849999999999E-2</v>
      </c>
      <c r="U6622">
        <v>0.19136049999999999</v>
      </c>
      <c r="V6622">
        <v>1.9444949999999999E-2</v>
      </c>
      <c r="W6622">
        <v>0.15749579999999999</v>
      </c>
      <c r="X6622">
        <v>0.98732819999999999</v>
      </c>
      <c r="Y6622">
        <v>6.498131E-2</v>
      </c>
      <c r="Z6622">
        <v>2.1144959999999999E-4</v>
      </c>
      <c r="AA6622">
        <v>0.99788650000000001</v>
      </c>
      <c r="AB6622">
        <v>27</v>
      </c>
      <c r="AC6622">
        <v>-204.7441</v>
      </c>
      <c r="AD6622">
        <v>1.063704</v>
      </c>
      <c r="AE6622">
        <v>12.959599999999901</v>
      </c>
      <c r="AF6622">
        <v>13.345522672572701</v>
      </c>
      <c r="AG6622">
        <v>1.063704</v>
      </c>
      <c r="AH6622">
        <v>204.71378043604099</v>
      </c>
      <c r="AI6622">
        <v>89.702921269470806</v>
      </c>
      <c r="AJ6622">
        <v>86.270101292786407</v>
      </c>
      <c r="AK6622">
        <v>205.15108174713501</v>
      </c>
      <c r="AL6622">
        <v>80.938426764460402</v>
      </c>
      <c r="AM6622">
        <v>88.871733273537799</v>
      </c>
      <c r="AN6622">
        <v>1.0000000038066901</v>
      </c>
    </row>
    <row r="6623" spans="1:40" x14ac:dyDescent="0.25">
      <c r="A6623" t="str">
        <f>"20190303162044455"</f>
        <v>20190303162044455</v>
      </c>
      <c r="B6623" t="str">
        <f>"1551601244449661"</f>
        <v>1551601244449661</v>
      </c>
      <c r="C6623" t="s">
        <v>40</v>
      </c>
      <c r="D6623">
        <v>4.2632289999999999</v>
      </c>
      <c r="E6623">
        <v>0.5186326</v>
      </c>
      <c r="F6623" t="s">
        <v>71</v>
      </c>
      <c r="G6623">
        <v>-511.92579999999998</v>
      </c>
      <c r="H6623">
        <v>1.8224769999999999</v>
      </c>
      <c r="I6623">
        <v>155.20590000000001</v>
      </c>
      <c r="J6623">
        <v>-307.45080000000002</v>
      </c>
      <c r="K6623">
        <v>1.1214869999999999</v>
      </c>
      <c r="L6623">
        <v>141.9802</v>
      </c>
      <c r="M6623">
        <v>-0.99991699999999994</v>
      </c>
      <c r="N6623">
        <v>-1.271718E-2</v>
      </c>
      <c r="O6623">
        <v>-2.0251230000000002E-3</v>
      </c>
      <c r="P6623">
        <v>-0.98929860000000003</v>
      </c>
      <c r="Q6623">
        <v>0.1448757</v>
      </c>
      <c r="R6623">
        <v>1.729843E-2</v>
      </c>
      <c r="S6623">
        <v>-3.0275270000000001</v>
      </c>
      <c r="T6623">
        <v>1.036608E-2</v>
      </c>
      <c r="U6623">
        <v>0.1955566</v>
      </c>
      <c r="V6623">
        <v>1.926841E-2</v>
      </c>
      <c r="W6623">
        <v>0.1574487</v>
      </c>
      <c r="X6623">
        <v>0.98733910000000003</v>
      </c>
      <c r="Y6623">
        <v>6.6480289999999997E-2</v>
      </c>
      <c r="Z6623">
        <v>2.7682690000000002E-4</v>
      </c>
      <c r="AA6623">
        <v>0.99778770000000006</v>
      </c>
      <c r="AB6623">
        <v>27</v>
      </c>
      <c r="AC6623">
        <v>-204.47499999999999</v>
      </c>
      <c r="AD6623">
        <v>0.70099</v>
      </c>
      <c r="AE6623">
        <v>13.2257</v>
      </c>
      <c r="AF6623">
        <v>13.639633786939701</v>
      </c>
      <c r="AG6623">
        <v>0.70099</v>
      </c>
      <c r="AH6623">
        <v>204.44540199999801</v>
      </c>
      <c r="AI6623">
        <v>89.803984213065903</v>
      </c>
      <c r="AJ6623">
        <v>86.183151728491296</v>
      </c>
      <c r="AK6623">
        <v>204.90108197801899</v>
      </c>
      <c r="AL6623">
        <v>80.941158830895404</v>
      </c>
      <c r="AM6623">
        <v>88.881986494130203</v>
      </c>
      <c r="AN6623">
        <v>0.99999993157221101</v>
      </c>
    </row>
    <row r="6624" spans="1:40" x14ac:dyDescent="0.25">
      <c r="A6624" t="str">
        <f>"20190303162044476"</f>
        <v>20190303162044476</v>
      </c>
      <c r="B6624" t="str">
        <f>"1551601244469183"</f>
        <v>1551601244469183</v>
      </c>
      <c r="C6624" t="s">
        <v>40</v>
      </c>
      <c r="D6624">
        <v>4.253965</v>
      </c>
      <c r="E6624">
        <v>0.51874719999999996</v>
      </c>
      <c r="F6624" t="s">
        <v>71</v>
      </c>
      <c r="G6624">
        <v>-511.92570000000001</v>
      </c>
      <c r="H6624">
        <v>1.586433</v>
      </c>
      <c r="I6624">
        <v>155.2278</v>
      </c>
      <c r="J6624">
        <v>-307.71159999999998</v>
      </c>
      <c r="K6624">
        <v>1.121481</v>
      </c>
      <c r="L6624">
        <v>141.9795</v>
      </c>
      <c r="M6624">
        <v>-0.9999169</v>
      </c>
      <c r="N6624">
        <v>-1.2716170000000001E-2</v>
      </c>
      <c r="O6624">
        <v>-2.1592209999999998E-3</v>
      </c>
      <c r="P6624">
        <v>-0.98929699999999998</v>
      </c>
      <c r="Q6624">
        <v>0.14496609999999999</v>
      </c>
      <c r="R6624">
        <v>1.6616249999999999E-2</v>
      </c>
      <c r="S6624">
        <v>-3.0280459999999998</v>
      </c>
      <c r="T6624">
        <v>6.8860049999999997E-3</v>
      </c>
      <c r="U6624">
        <v>0.1961823</v>
      </c>
      <c r="V6624">
        <v>1.871892E-2</v>
      </c>
      <c r="W6624">
        <v>0.15753819999999999</v>
      </c>
      <c r="X6624">
        <v>0.98733539999999997</v>
      </c>
      <c r="Y6624">
        <v>6.6808129999999993E-2</v>
      </c>
      <c r="Z6624">
        <v>3.170135E-4</v>
      </c>
      <c r="AA6624">
        <v>0.99776580000000004</v>
      </c>
      <c r="AB6624">
        <v>27</v>
      </c>
      <c r="AC6624">
        <v>-204.2141</v>
      </c>
      <c r="AD6624">
        <v>0.46495199999999998</v>
      </c>
      <c r="AE6624">
        <v>13.2483</v>
      </c>
      <c r="AF6624">
        <v>13.6891774381497</v>
      </c>
      <c r="AG6624">
        <v>0.46495199999999998</v>
      </c>
      <c r="AH6624">
        <v>204.183961552787</v>
      </c>
      <c r="AI6624">
        <v>89.869822918473105</v>
      </c>
      <c r="AJ6624">
        <v>86.164438657264498</v>
      </c>
      <c r="AK6624">
        <v>204.64285942755299</v>
      </c>
      <c r="AL6624">
        <v>80.93596610454</v>
      </c>
      <c r="AM6624">
        <v>88.913857806134999</v>
      </c>
      <c r="AN6624">
        <v>0.99999993725918102</v>
      </c>
    </row>
    <row r="6625" spans="1:40" x14ac:dyDescent="0.25">
      <c r="A6625" t="str">
        <f>"20190303162044511"</f>
        <v>20190303162044511</v>
      </c>
      <c r="B6625" t="str">
        <f>"1551601244499438"</f>
        <v>1551601244499438</v>
      </c>
      <c r="C6625" t="s">
        <v>40</v>
      </c>
      <c r="D6625">
        <v>4.2967309999999896</v>
      </c>
      <c r="E6625">
        <v>0.51902170000000003</v>
      </c>
      <c r="F6625" t="s">
        <v>71</v>
      </c>
      <c r="G6625">
        <v>-511.92570000000001</v>
      </c>
      <c r="H6625">
        <v>1.520051</v>
      </c>
      <c r="I6625">
        <v>155.16059999999999</v>
      </c>
      <c r="J6625">
        <v>-308.1223</v>
      </c>
      <c r="K6625">
        <v>1.1214839999999999</v>
      </c>
      <c r="L6625">
        <v>141.97829999999999</v>
      </c>
      <c r="M6625">
        <v>-0.99991629999999998</v>
      </c>
      <c r="N6625">
        <v>-1.271456E-2</v>
      </c>
      <c r="O6625">
        <v>-2.370558E-3</v>
      </c>
      <c r="P6625">
        <v>-0.9890506</v>
      </c>
      <c r="Q6625">
        <v>0.14682200000000001</v>
      </c>
      <c r="R6625">
        <v>1.4910420000000001E-2</v>
      </c>
      <c r="S6625">
        <v>-3.0283199999999999</v>
      </c>
      <c r="T6625">
        <v>5.9111119999999996E-3</v>
      </c>
      <c r="U6625">
        <v>0.1954651</v>
      </c>
      <c r="V6625">
        <v>1.7221279999999999E-2</v>
      </c>
      <c r="W6625">
        <v>0.159389</v>
      </c>
      <c r="X6625">
        <v>0.98706559999999999</v>
      </c>
      <c r="Y6625">
        <v>6.677777E-2</v>
      </c>
      <c r="Z6625">
        <v>3.251436E-4</v>
      </c>
      <c r="AA6625">
        <v>0.99776779999999998</v>
      </c>
      <c r="AB6625">
        <v>27</v>
      </c>
      <c r="AC6625">
        <v>-203.80340000000001</v>
      </c>
      <c r="AD6625">
        <v>0.398567</v>
      </c>
      <c r="AE6625">
        <v>13.1822999999999</v>
      </c>
      <c r="AF6625">
        <v>13.6653777722389</v>
      </c>
      <c r="AG6625">
        <v>0.398567</v>
      </c>
      <c r="AH6625">
        <v>203.77079924685</v>
      </c>
      <c r="AI6625">
        <v>89.888183198241293</v>
      </c>
      <c r="AJ6625">
        <v>86.163346939310401</v>
      </c>
      <c r="AK6625">
        <v>204.22889127401001</v>
      </c>
      <c r="AL6625">
        <v>80.828566264237907</v>
      </c>
      <c r="AM6625">
        <v>89.000465051561804</v>
      </c>
      <c r="AN6625">
        <v>0.99999996225459797</v>
      </c>
    </row>
    <row r="6626" spans="1:40" x14ac:dyDescent="0.25">
      <c r="A6626" t="str">
        <f>"20190303162044533"</f>
        <v>20190303162044533</v>
      </c>
      <c r="B6626" t="str">
        <f>"1551601244528718"</f>
        <v>1551601244528718</v>
      </c>
      <c r="C6626" t="s">
        <v>40</v>
      </c>
      <c r="D6626">
        <v>4.2912339999999896</v>
      </c>
      <c r="E6626">
        <v>0.51914329999999997</v>
      </c>
      <c r="F6626" t="s">
        <v>71</v>
      </c>
      <c r="G6626">
        <v>-511.92579999999998</v>
      </c>
      <c r="H6626">
        <v>1.7331759999999901</v>
      </c>
      <c r="I6626">
        <v>154.89920000000001</v>
      </c>
      <c r="J6626">
        <v>-308.3895</v>
      </c>
      <c r="K6626">
        <v>1.121494</v>
      </c>
      <c r="L6626">
        <v>141.97749999999999</v>
      </c>
      <c r="M6626">
        <v>-0.99991600000000003</v>
      </c>
      <c r="N6626">
        <v>-1.2713510000000001E-2</v>
      </c>
      <c r="O6626">
        <v>-2.5081109999999999E-3</v>
      </c>
      <c r="P6626">
        <v>-0.98876730000000002</v>
      </c>
      <c r="Q6626">
        <v>0.14873529999999999</v>
      </c>
      <c r="R6626">
        <v>1.472919E-2</v>
      </c>
      <c r="S6626">
        <v>-3.0289609999999998</v>
      </c>
      <c r="T6626">
        <v>9.0917350000000001E-3</v>
      </c>
      <c r="U6626">
        <v>0.19203190000000001</v>
      </c>
      <c r="V6626">
        <v>1.7174950000000001E-2</v>
      </c>
      <c r="W6626">
        <v>0.1612971</v>
      </c>
      <c r="X6626">
        <v>0.98675639999999998</v>
      </c>
      <c r="Y6626">
        <v>6.577529E-2</v>
      </c>
      <c r="Z6626">
        <v>2.8055819999999999E-4</v>
      </c>
      <c r="AA6626">
        <v>0.99783440000000001</v>
      </c>
      <c r="AB6626">
        <v>27</v>
      </c>
      <c r="AC6626">
        <v>-203.53630000000001</v>
      </c>
      <c r="AD6626">
        <v>0.61168199999999895</v>
      </c>
      <c r="AE6626">
        <v>12.9217</v>
      </c>
      <c r="AF6626">
        <v>13.432071435449799</v>
      </c>
      <c r="AG6626">
        <v>0.61168199999999895</v>
      </c>
      <c r="AH6626">
        <v>203.501417454256</v>
      </c>
      <c r="AI6626">
        <v>89.828155508255307</v>
      </c>
      <c r="AJ6626">
        <v>86.223680886419899</v>
      </c>
      <c r="AK6626">
        <v>203.94514361417799</v>
      </c>
      <c r="AL6626">
        <v>80.7178070988912</v>
      </c>
      <c r="AM6626">
        <v>89.002841234657495</v>
      </c>
      <c r="AN6626">
        <v>0.99999996315843498</v>
      </c>
    </row>
    <row r="6627" spans="1:40" x14ac:dyDescent="0.25">
      <c r="A6627" t="str">
        <f>"20190303162044556"</f>
        <v>20190303162044556</v>
      </c>
      <c r="B6627" t="str">
        <f>"1551601244549214"</f>
        <v>1551601244549214</v>
      </c>
      <c r="C6627" t="s">
        <v>40</v>
      </c>
      <c r="D6627">
        <v>4.2830389999999996</v>
      </c>
      <c r="E6627">
        <v>0.51918719999999996</v>
      </c>
      <c r="F6627" t="s">
        <v>71</v>
      </c>
      <c r="G6627">
        <v>-511.92579999999998</v>
      </c>
      <c r="H6627">
        <v>1.970618</v>
      </c>
      <c r="I6627">
        <v>154.9024</v>
      </c>
      <c r="J6627">
        <v>-308.66829999999999</v>
      </c>
      <c r="K6627">
        <v>1.1214999999999999</v>
      </c>
      <c r="L6627">
        <v>141.97659999999999</v>
      </c>
      <c r="M6627">
        <v>-0.99991569999999996</v>
      </c>
      <c r="N6627">
        <v>-1.271245E-2</v>
      </c>
      <c r="O6627">
        <v>-2.6518620000000001E-3</v>
      </c>
      <c r="P6627">
        <v>-0.98867490000000002</v>
      </c>
      <c r="Q6627">
        <v>0.14943670000000001</v>
      </c>
      <c r="R6627">
        <v>1.381142E-2</v>
      </c>
      <c r="S6627">
        <v>-3.0293269999999999</v>
      </c>
      <c r="T6627">
        <v>1.263857E-2</v>
      </c>
      <c r="U6627">
        <v>0.1923676</v>
      </c>
      <c r="V6627">
        <v>1.6399090000000002E-2</v>
      </c>
      <c r="W6627">
        <v>0.16199630000000001</v>
      </c>
      <c r="X6627">
        <v>0.98665510000000001</v>
      </c>
      <c r="Y6627">
        <v>6.6021410000000003E-2</v>
      </c>
      <c r="Z6627">
        <v>2.377678E-4</v>
      </c>
      <c r="AA6627">
        <v>0.99781819999999999</v>
      </c>
      <c r="AB6627">
        <v>27</v>
      </c>
      <c r="AC6627">
        <v>-203.25749999999999</v>
      </c>
      <c r="AD6627">
        <v>0.84911800000000004</v>
      </c>
      <c r="AE6627">
        <v>12.925800000000001</v>
      </c>
      <c r="AF6627">
        <v>13.4645748941678</v>
      </c>
      <c r="AG6627">
        <v>0.84911800000000004</v>
      </c>
      <c r="AH6627">
        <v>203.21897271084001</v>
      </c>
      <c r="AI6627">
        <v>89.761123878709796</v>
      </c>
      <c r="AJ6627">
        <v>86.209323468397002</v>
      </c>
      <c r="AK6627">
        <v>203.66631201086599</v>
      </c>
      <c r="AL6627">
        <v>80.677212438853701</v>
      </c>
      <c r="AM6627">
        <v>89.047780590677306</v>
      </c>
      <c r="AN6627">
        <v>1.0000000088612599</v>
      </c>
    </row>
    <row r="6628" spans="1:40" x14ac:dyDescent="0.25">
      <c r="A6628" t="str">
        <f>"20190303162044577"</f>
        <v>20190303162044577</v>
      </c>
      <c r="B6628" t="str">
        <f>"1551601244568734"</f>
        <v>1551601244568734</v>
      </c>
      <c r="C6628" t="s">
        <v>40</v>
      </c>
      <c r="D6628">
        <v>4.2033620000000003</v>
      </c>
      <c r="E6628">
        <v>0.51923699999999995</v>
      </c>
      <c r="F6628" t="s">
        <v>71</v>
      </c>
      <c r="G6628">
        <v>-511.92590000000001</v>
      </c>
      <c r="H6628">
        <v>2.082214</v>
      </c>
      <c r="I6628">
        <v>154.72640000000001</v>
      </c>
      <c r="J6628">
        <v>-308.91730000000001</v>
      </c>
      <c r="K6628">
        <v>1.121502</v>
      </c>
      <c r="L6628">
        <v>141.97579999999999</v>
      </c>
      <c r="M6628">
        <v>-0.99991529999999995</v>
      </c>
      <c r="N6628">
        <v>-1.2711500000000001E-2</v>
      </c>
      <c r="O6628">
        <v>-2.7801169999999999E-3</v>
      </c>
      <c r="P6628">
        <v>-0.98854880000000001</v>
      </c>
      <c r="Q6628">
        <v>0.1502637</v>
      </c>
      <c r="R6628">
        <v>1.3864919999999999E-2</v>
      </c>
      <c r="S6628">
        <v>-3.0295100000000001</v>
      </c>
      <c r="T6628">
        <v>1.4319899999999899E-2</v>
      </c>
      <c r="U6628">
        <v>0.19003300000000001</v>
      </c>
      <c r="V6628">
        <v>1.6579010000000002E-2</v>
      </c>
      <c r="W6628">
        <v>0.1628202</v>
      </c>
      <c r="X6628">
        <v>0.98651650000000002</v>
      </c>
      <c r="Y6628">
        <v>6.5379690000000004E-2</v>
      </c>
      <c r="Z6628">
        <v>2.131588E-4</v>
      </c>
      <c r="AA6628">
        <v>0.99786039999999998</v>
      </c>
      <c r="AB6628">
        <v>27</v>
      </c>
      <c r="AC6628">
        <v>-203.0086</v>
      </c>
      <c r="AD6628">
        <v>0.96071200000000001</v>
      </c>
      <c r="AE6628">
        <v>12.7506</v>
      </c>
      <c r="AF6628">
        <v>13.314686987793101</v>
      </c>
      <c r="AG6628">
        <v>0.96071200000000001</v>
      </c>
      <c r="AH6628">
        <v>202.96783664267599</v>
      </c>
      <c r="AI6628">
        <v>89.729384331623905</v>
      </c>
      <c r="AJ6628">
        <v>86.246775396557894</v>
      </c>
      <c r="AK6628">
        <v>203.40635823036101</v>
      </c>
      <c r="AL6628">
        <v>80.629371611368299</v>
      </c>
      <c r="AM6628">
        <v>89.037200199186202</v>
      </c>
      <c r="AN6628">
        <v>1.00000004293643</v>
      </c>
    </row>
    <row r="6629" spans="1:40" x14ac:dyDescent="0.25">
      <c r="A6629" t="str">
        <f>"20190303162044599"</f>
        <v>20190303162044599</v>
      </c>
      <c r="B6629" t="str">
        <f>"1551601244589230"</f>
        <v>1551601244589230</v>
      </c>
      <c r="C6629" t="s">
        <v>40</v>
      </c>
      <c r="D6629">
        <v>4.2292920000000001</v>
      </c>
      <c r="E6629">
        <v>0.51929799999999904</v>
      </c>
      <c r="F6629" t="s">
        <v>71</v>
      </c>
      <c r="G6629">
        <v>-511.92590000000001</v>
      </c>
      <c r="H6629">
        <v>2.179271</v>
      </c>
      <c r="I6629">
        <v>154.7296</v>
      </c>
      <c r="J6629">
        <v>-309.18830000000003</v>
      </c>
      <c r="K6629">
        <v>1.1215029999999999</v>
      </c>
      <c r="L6629">
        <v>141.97489999999999</v>
      </c>
      <c r="M6629">
        <v>-0.99991490000000005</v>
      </c>
      <c r="N6629">
        <v>-1.271044E-2</v>
      </c>
      <c r="O6629">
        <v>-2.9199349999999998E-3</v>
      </c>
      <c r="P6629">
        <v>-0.98843899999999996</v>
      </c>
      <c r="Q6629">
        <v>0.15095999999999901</v>
      </c>
      <c r="R6629">
        <v>1.412163E-2</v>
      </c>
      <c r="S6629">
        <v>-3.0296940000000001</v>
      </c>
      <c r="T6629">
        <v>1.5786769999999999E-2</v>
      </c>
      <c r="U6629">
        <v>0.19033810000000001</v>
      </c>
      <c r="V6629">
        <v>1.6973479999999999E-2</v>
      </c>
      <c r="W6629">
        <v>0.16351459999999901</v>
      </c>
      <c r="X6629">
        <v>0.98639489999999996</v>
      </c>
      <c r="Y6629">
        <v>6.5615580000000007E-2</v>
      </c>
      <c r="Z6629">
        <v>1.943665E-4</v>
      </c>
      <c r="AA6629">
        <v>0.99784490000000003</v>
      </c>
      <c r="AB6629">
        <v>27</v>
      </c>
      <c r="AC6629">
        <v>-202.73759999999999</v>
      </c>
      <c r="AD6629">
        <v>1.05776799999999</v>
      </c>
      <c r="AE6629">
        <v>12.7547</v>
      </c>
      <c r="AF6629">
        <v>13.346312214808201</v>
      </c>
      <c r="AG6629">
        <v>1.05776799999999</v>
      </c>
      <c r="AH6629">
        <v>202.69399379567199</v>
      </c>
      <c r="AI6629">
        <v>89.701648077152797</v>
      </c>
      <c r="AJ6629">
        <v>86.232818206707805</v>
      </c>
      <c r="AK6629">
        <v>203.13566413536699</v>
      </c>
      <c r="AL6629">
        <v>80.589044679092297</v>
      </c>
      <c r="AM6629">
        <v>89.014174953967398</v>
      </c>
      <c r="AN6629">
        <v>1.0000000110912399</v>
      </c>
    </row>
    <row r="6630" spans="1:40" x14ac:dyDescent="0.25">
      <c r="A6630" t="str">
        <f>"20190303162044622"</f>
        <v>20190303162044622</v>
      </c>
      <c r="B6630" t="str">
        <f>"1551601244608750"</f>
        <v>1551601244608750</v>
      </c>
      <c r="C6630" t="s">
        <v>40</v>
      </c>
      <c r="D6630">
        <v>4.2907669999999998</v>
      </c>
      <c r="E6630">
        <v>0.51937129999999998</v>
      </c>
      <c r="F6630" t="s">
        <v>71</v>
      </c>
      <c r="G6630">
        <v>-511.92590000000001</v>
      </c>
      <c r="H6630">
        <v>2.282775</v>
      </c>
      <c r="I6630">
        <v>154.76689999999999</v>
      </c>
      <c r="J6630">
        <v>-309.4667</v>
      </c>
      <c r="K6630">
        <v>1.1215059999999999</v>
      </c>
      <c r="L6630">
        <v>141.97389999999999</v>
      </c>
      <c r="M6630">
        <v>-0.99991450000000004</v>
      </c>
      <c r="N6630">
        <v>-1.2709349999999999E-2</v>
      </c>
      <c r="O6630">
        <v>-3.0632099999999998E-3</v>
      </c>
      <c r="P6630">
        <v>-0.98837719999999996</v>
      </c>
      <c r="Q6630">
        <v>0.15135789999999999</v>
      </c>
      <c r="R6630">
        <v>1.4190029999999999E-2</v>
      </c>
      <c r="S6630">
        <v>-3.0296940000000001</v>
      </c>
      <c r="T6630">
        <v>1.7354609999999999E-2</v>
      </c>
      <c r="U6630">
        <v>0.1911621</v>
      </c>
      <c r="V6630">
        <v>1.718341E-2</v>
      </c>
      <c r="W6630">
        <v>0.16391020000000001</v>
      </c>
      <c r="X6630">
        <v>0.98632560000000002</v>
      </c>
      <c r="Y6630">
        <v>6.6028829999999997E-2</v>
      </c>
      <c r="Z6630">
        <v>1.7467679999999999E-4</v>
      </c>
      <c r="AA6630">
        <v>0.99781770000000003</v>
      </c>
      <c r="AB6630">
        <v>27</v>
      </c>
      <c r="AC6630">
        <v>-202.45920000000001</v>
      </c>
      <c r="AD6630">
        <v>1.1612690000000001</v>
      </c>
      <c r="AE6630">
        <v>12.792999999999999</v>
      </c>
      <c r="AF6630">
        <v>13.4127256168949</v>
      </c>
      <c r="AG6630">
        <v>1.1612690000000001</v>
      </c>
      <c r="AH6630">
        <v>202.41242636347599</v>
      </c>
      <c r="AI6630">
        <v>89.672008829964994</v>
      </c>
      <c r="AJ6630">
        <v>86.208875462086795</v>
      </c>
      <c r="AK6630">
        <v>202.859656167791</v>
      </c>
      <c r="AL6630">
        <v>80.566068430113603</v>
      </c>
      <c r="AM6630">
        <v>89.001914497590207</v>
      </c>
      <c r="AN6630">
        <v>1.00000000622931</v>
      </c>
    </row>
    <row r="6631" spans="1:40" x14ac:dyDescent="0.25">
      <c r="A6631" t="str">
        <f>"20190303162044645"</f>
        <v>20190303162044645</v>
      </c>
      <c r="B6631" t="str">
        <f>"1551601244639006"</f>
        <v>1551601244639006</v>
      </c>
      <c r="C6631" t="s">
        <v>40</v>
      </c>
      <c r="D6631">
        <v>4.231617</v>
      </c>
      <c r="E6631">
        <v>0.51955649999999998</v>
      </c>
      <c r="F6631" t="s">
        <v>71</v>
      </c>
      <c r="G6631">
        <v>-511.92599999999999</v>
      </c>
      <c r="H6631">
        <v>2.2921140000000002</v>
      </c>
      <c r="I6631">
        <v>154.77099999999999</v>
      </c>
      <c r="J6631">
        <v>-309.73790000000002</v>
      </c>
      <c r="K6631">
        <v>1.12151</v>
      </c>
      <c r="L6631">
        <v>141.97290000000001</v>
      </c>
      <c r="M6631">
        <v>-0.99991419999999998</v>
      </c>
      <c r="N6631">
        <v>-1.2708250000000001E-2</v>
      </c>
      <c r="O6631">
        <v>-3.2026699999999999E-3</v>
      </c>
      <c r="P6631">
        <v>-0.98831899999999995</v>
      </c>
      <c r="Q6631">
        <v>0.15167610000000001</v>
      </c>
      <c r="R6631">
        <v>1.482983E-2</v>
      </c>
      <c r="S6631">
        <v>-3.0298769999999999</v>
      </c>
      <c r="T6631">
        <v>1.7519239999999998E-2</v>
      </c>
      <c r="U6631">
        <v>0.19151309999999999</v>
      </c>
      <c r="V6631">
        <v>1.7960650000000002E-2</v>
      </c>
      <c r="W6631">
        <v>0.16422719999999999</v>
      </c>
      <c r="X6631">
        <v>0.986259</v>
      </c>
      <c r="Y6631">
        <v>6.6279320000000003E-2</v>
      </c>
      <c r="Z6631">
        <v>1.7099380000000001E-4</v>
      </c>
      <c r="AA6631">
        <v>0.9978011</v>
      </c>
      <c r="AB6631">
        <v>27</v>
      </c>
      <c r="AC6631">
        <v>-202.18809999999999</v>
      </c>
      <c r="AD6631">
        <v>1.17060399999999</v>
      </c>
      <c r="AE6631">
        <v>12.7981</v>
      </c>
      <c r="AF6631">
        <v>13.445179468996599</v>
      </c>
      <c r="AG6631">
        <v>1.17060399999999</v>
      </c>
      <c r="AH6631">
        <v>202.13932275552199</v>
      </c>
      <c r="AI6631">
        <v>89.668931074368601</v>
      </c>
      <c r="AJ6631">
        <v>86.194609843967797</v>
      </c>
      <c r="AK6631">
        <v>202.58936045295999</v>
      </c>
      <c r="AL6631">
        <v>80.547655974815001</v>
      </c>
      <c r="AM6631">
        <v>88.956708424466598</v>
      </c>
      <c r="AN6631">
        <v>0.99999998662463097</v>
      </c>
    </row>
    <row r="6632" spans="1:40" x14ac:dyDescent="0.25">
      <c r="A6632" t="str">
        <f>"20190303162044667"</f>
        <v>20190303162044667</v>
      </c>
      <c r="B6632" t="str">
        <f>"1551601244659507"</f>
        <v>1551601244659507</v>
      </c>
      <c r="C6632" t="s">
        <v>40</v>
      </c>
      <c r="D6632">
        <v>4.188612</v>
      </c>
      <c r="E6632">
        <v>0.51955169999999995</v>
      </c>
      <c r="F6632" t="s">
        <v>71</v>
      </c>
      <c r="G6632">
        <v>-511.92590000000001</v>
      </c>
      <c r="H6632">
        <v>2.2100460000000002</v>
      </c>
      <c r="I6632">
        <v>154.965</v>
      </c>
      <c r="J6632">
        <v>-309.99759999999998</v>
      </c>
      <c r="K6632">
        <v>1.1215109999999999</v>
      </c>
      <c r="L6632">
        <v>141.97190000000001</v>
      </c>
      <c r="M6632">
        <v>-0.99991379999999996</v>
      </c>
      <c r="N6632">
        <v>-1.270717E-2</v>
      </c>
      <c r="O6632">
        <v>-3.3364089999999998E-3</v>
      </c>
      <c r="P6632">
        <v>-0.98839710000000003</v>
      </c>
      <c r="Q6632">
        <v>0.1511323</v>
      </c>
      <c r="R6632">
        <v>1.5175299999999999E-2</v>
      </c>
      <c r="S6632">
        <v>-3.0300289999999999</v>
      </c>
      <c r="T6632">
        <v>1.6313669999999999E-2</v>
      </c>
      <c r="U6632">
        <v>0.19470209999999999</v>
      </c>
      <c r="V6632">
        <v>1.843881E-2</v>
      </c>
      <c r="W6632">
        <v>0.16368339999999901</v>
      </c>
      <c r="X6632">
        <v>0.98634060000000001</v>
      </c>
      <c r="Y6632">
        <v>6.7455520000000005E-2</v>
      </c>
      <c r="Z6632">
        <v>1.8733979999999999E-4</v>
      </c>
      <c r="AA6632">
        <v>0.99772229999999995</v>
      </c>
      <c r="AB6632">
        <v>27</v>
      </c>
      <c r="AC6632">
        <v>-201.92830000000001</v>
      </c>
      <c r="AD6632">
        <v>1.08853499999999</v>
      </c>
      <c r="AE6632">
        <v>12.993099999999901</v>
      </c>
      <c r="AF6632">
        <v>13.666401893622499</v>
      </c>
      <c r="AG6632">
        <v>1.08853499999999</v>
      </c>
      <c r="AH6632">
        <v>201.87797981394201</v>
      </c>
      <c r="AI6632">
        <v>89.691767078836804</v>
      </c>
      <c r="AJ6632">
        <v>86.1271938744256</v>
      </c>
      <c r="AK6632">
        <v>202.342961782521</v>
      </c>
      <c r="AL6632">
        <v>80.579241077112897</v>
      </c>
      <c r="AM6632">
        <v>88.929028218309398</v>
      </c>
      <c r="AN6632">
        <v>1.00000001217906</v>
      </c>
    </row>
    <row r="6633" spans="1:40" x14ac:dyDescent="0.25">
      <c r="A6633" t="str">
        <f>"20190303162044689"</f>
        <v>20190303162044689</v>
      </c>
      <c r="B6633" t="str">
        <f>"1551601244679022"</f>
        <v>1551601244679022</v>
      </c>
      <c r="C6633" t="s">
        <v>40</v>
      </c>
      <c r="D6633">
        <v>4.1498080000000002</v>
      </c>
      <c r="E6633">
        <v>0.51925159999999904</v>
      </c>
      <c r="F6633" t="s">
        <v>71</v>
      </c>
      <c r="G6633">
        <v>-511.92590000000001</v>
      </c>
      <c r="H6633">
        <v>2.0437409999999998</v>
      </c>
      <c r="I6633">
        <v>155.00880000000001</v>
      </c>
      <c r="J6633">
        <v>-310.2672</v>
      </c>
      <c r="K6633">
        <v>1.1215059999999999</v>
      </c>
      <c r="L6633">
        <v>141.9708</v>
      </c>
      <c r="M6633">
        <v>-0.9999133</v>
      </c>
      <c r="N6633">
        <v>-1.270603E-2</v>
      </c>
      <c r="O6633">
        <v>-3.4753919999999999E-3</v>
      </c>
      <c r="P6633">
        <v>-0.98839860000000002</v>
      </c>
      <c r="Q6633">
        <v>0.15107200000000001</v>
      </c>
      <c r="R6633">
        <v>1.5675040000000001E-2</v>
      </c>
      <c r="S6633">
        <v>-3.030151</v>
      </c>
      <c r="T6633">
        <v>1.383972E-2</v>
      </c>
      <c r="U6633">
        <v>0.1956329</v>
      </c>
      <c r="V6633">
        <v>1.9075959999999999E-2</v>
      </c>
      <c r="W6633">
        <v>0.16362179999999901</v>
      </c>
      <c r="X6633">
        <v>0.98633870000000001</v>
      </c>
      <c r="Y6633">
        <v>6.7896769999999995E-2</v>
      </c>
      <c r="Z6633">
        <v>2.169502E-4</v>
      </c>
      <c r="AA6633">
        <v>0.99769229999999998</v>
      </c>
      <c r="AB6633">
        <v>27</v>
      </c>
      <c r="AC6633">
        <v>-201.65870000000001</v>
      </c>
      <c r="AD6633">
        <v>0.92223500000000003</v>
      </c>
      <c r="AE6633">
        <v>13.038</v>
      </c>
      <c r="AF6633">
        <v>13.738534676121301</v>
      </c>
      <c r="AG6633">
        <v>0.92223500000000003</v>
      </c>
      <c r="AH6633">
        <v>201.607967136702</v>
      </c>
      <c r="AI6633">
        <v>89.738514572175703</v>
      </c>
      <c r="AJ6633">
        <v>86.101617412341398</v>
      </c>
      <c r="AK6633">
        <v>202.07763425336199</v>
      </c>
      <c r="AL6633">
        <v>80.582818695004406</v>
      </c>
      <c r="AM6633">
        <v>88.892027904646497</v>
      </c>
      <c r="AN6633">
        <v>1.00000000840142</v>
      </c>
    </row>
    <row r="6634" spans="1:40" x14ac:dyDescent="0.25">
      <c r="A6634" t="str">
        <f>"20190303162044713"</f>
        <v>20190303162044713</v>
      </c>
      <c r="B6634" t="str">
        <f>"1551601244699518"</f>
        <v>1551601244699518</v>
      </c>
      <c r="C6634" t="s">
        <v>40</v>
      </c>
      <c r="D6634">
        <v>4.1620309999999998</v>
      </c>
      <c r="E6634">
        <v>0.51905659999999998</v>
      </c>
      <c r="F6634" t="s">
        <v>71</v>
      </c>
      <c r="G6634">
        <v>-511.92590000000001</v>
      </c>
      <c r="H6634">
        <v>2.1164740000000002</v>
      </c>
      <c r="I6634">
        <v>154.94290000000001</v>
      </c>
      <c r="J6634">
        <v>-310.54849999999999</v>
      </c>
      <c r="K6634">
        <v>1.1215010000000001</v>
      </c>
      <c r="L6634">
        <v>141.96969999999999</v>
      </c>
      <c r="M6634">
        <v>-0.99991289999999999</v>
      </c>
      <c r="N6634">
        <v>-1.270487E-2</v>
      </c>
      <c r="O6634">
        <v>-3.620336E-3</v>
      </c>
      <c r="P6634">
        <v>-0.98859169999999996</v>
      </c>
      <c r="Q6634">
        <v>0.14973349999999999</v>
      </c>
      <c r="R6634">
        <v>1.6323890000000001E-2</v>
      </c>
      <c r="S6634">
        <v>-3.029846</v>
      </c>
      <c r="T6634">
        <v>1.494968E-2</v>
      </c>
      <c r="U6634">
        <v>0.1949005</v>
      </c>
      <c r="V6634">
        <v>1.9869069999999999E-2</v>
      </c>
      <c r="W6634">
        <v>0.1622847</v>
      </c>
      <c r="X6634">
        <v>0.98654390000000003</v>
      </c>
      <c r="Y6634">
        <v>6.7807660000000006E-2</v>
      </c>
      <c r="Z6634">
        <v>2.0029619999999999E-4</v>
      </c>
      <c r="AA6634">
        <v>0.99769839999999999</v>
      </c>
      <c r="AB6634">
        <v>27</v>
      </c>
      <c r="AC6634">
        <v>-201.37739999999999</v>
      </c>
      <c r="AD6634">
        <v>0.994973</v>
      </c>
      <c r="AE6634">
        <v>12.9732</v>
      </c>
      <c r="AF6634">
        <v>13.7018944387153</v>
      </c>
      <c r="AG6634">
        <v>0.994973</v>
      </c>
      <c r="AH6634">
        <v>201.32421455813</v>
      </c>
      <c r="AI6634">
        <v>89.717491909324593</v>
      </c>
      <c r="AJ6634">
        <v>86.106519295409797</v>
      </c>
      <c r="AK6634">
        <v>201.79239641257101</v>
      </c>
      <c r="AL6634">
        <v>80.660466529023395</v>
      </c>
      <c r="AM6634">
        <v>88.846214578860796</v>
      </c>
      <c r="AN6634">
        <v>0.99999998521198197</v>
      </c>
    </row>
    <row r="6635" spans="1:40" x14ac:dyDescent="0.25">
      <c r="A6635" t="str">
        <f>"20190303162044734"</f>
        <v>20190303162044734</v>
      </c>
      <c r="B6635" t="str">
        <f>"1551601244729774"</f>
        <v>1551601244729774</v>
      </c>
      <c r="C6635" t="s">
        <v>40</v>
      </c>
      <c r="D6635">
        <v>4.1674309999999997</v>
      </c>
      <c r="E6635">
        <v>0.51878369999999996</v>
      </c>
      <c r="F6635" t="s">
        <v>71</v>
      </c>
      <c r="G6635">
        <v>-511.92579999999998</v>
      </c>
      <c r="H6635">
        <v>1.8884669999999999</v>
      </c>
      <c r="I6635">
        <v>154.99469999999999</v>
      </c>
      <c r="J6635">
        <v>-310.81360000000001</v>
      </c>
      <c r="K6635">
        <v>1.121502</v>
      </c>
      <c r="L6635">
        <v>141.96850000000001</v>
      </c>
      <c r="M6635">
        <v>-0.99991229999999998</v>
      </c>
      <c r="N6635">
        <v>-1.270378E-2</v>
      </c>
      <c r="O6635">
        <v>-3.7565789999999999E-3</v>
      </c>
      <c r="P6635">
        <v>-0.98866339999999997</v>
      </c>
      <c r="Q6635">
        <v>0.14921489999999901</v>
      </c>
      <c r="R6635">
        <v>1.6722109999999998E-2</v>
      </c>
      <c r="S6635">
        <v>-3.0296020000000001</v>
      </c>
      <c r="T6635">
        <v>1.1539219999999999E-2</v>
      </c>
      <c r="U6635">
        <v>0.1959534</v>
      </c>
      <c r="V6635">
        <v>2.0402380000000001E-2</v>
      </c>
      <c r="W6635">
        <v>0.1617662</v>
      </c>
      <c r="X6635">
        <v>0.9866182</v>
      </c>
      <c r="Y6635">
        <v>6.8293939999999997E-2</v>
      </c>
      <c r="Z6635">
        <v>2.423724E-4</v>
      </c>
      <c r="AA6635">
        <v>0.99766520000000003</v>
      </c>
      <c r="AB6635">
        <v>27</v>
      </c>
      <c r="AC6635">
        <v>-201.1122</v>
      </c>
      <c r="AD6635">
        <v>0.76696499999999901</v>
      </c>
      <c r="AE6635">
        <v>13.0261999999999</v>
      </c>
      <c r="AF6635">
        <v>13.781463274634</v>
      </c>
      <c r="AG6635">
        <v>0.76696499999999901</v>
      </c>
      <c r="AH6635">
        <v>201.05893091386099</v>
      </c>
      <c r="AI6635">
        <v>89.781950612407499</v>
      </c>
      <c r="AJ6635">
        <v>86.078828632304095</v>
      </c>
      <c r="AK6635">
        <v>201.53215789428299</v>
      </c>
      <c r="AL6635">
        <v>80.690572484819299</v>
      </c>
      <c r="AM6635">
        <v>88.815343481739802</v>
      </c>
      <c r="AN6635">
        <v>1.00000001657167</v>
      </c>
    </row>
    <row r="6636" spans="1:40" x14ac:dyDescent="0.25">
      <c r="A6636" t="str">
        <f>"20190303162044756"</f>
        <v>20190303162044756</v>
      </c>
      <c r="B6636" t="str">
        <f>"1551601244749294"</f>
        <v>1551601244749294</v>
      </c>
      <c r="C6636" t="s">
        <v>40</v>
      </c>
      <c r="D6636">
        <v>4.1537550000000003</v>
      </c>
      <c r="E6636">
        <v>0.51856979999999997</v>
      </c>
      <c r="F6636" t="s">
        <v>71</v>
      </c>
      <c r="G6636">
        <v>-511.92579999999998</v>
      </c>
      <c r="H6636">
        <v>1.824503</v>
      </c>
      <c r="I6636">
        <v>154.90309999999999</v>
      </c>
      <c r="J6636">
        <v>-311.06610000000001</v>
      </c>
      <c r="K6636">
        <v>1.121505</v>
      </c>
      <c r="L6636">
        <v>141.9674</v>
      </c>
      <c r="M6636">
        <v>-0.99991180000000002</v>
      </c>
      <c r="N6636">
        <v>-1.270275E-2</v>
      </c>
      <c r="O6636">
        <v>-3.886624E-3</v>
      </c>
      <c r="P6636">
        <v>-0.98864609999999997</v>
      </c>
      <c r="Q6636">
        <v>0.1493382</v>
      </c>
      <c r="R6636">
        <v>1.664771E-2</v>
      </c>
      <c r="S6636">
        <v>-3.0294490000000001</v>
      </c>
      <c r="T6636">
        <v>1.059031E-2</v>
      </c>
      <c r="U6636">
        <v>0.1948395</v>
      </c>
      <c r="V6636">
        <v>2.0456499999999999E-2</v>
      </c>
      <c r="W6636">
        <v>0.16188810000000001</v>
      </c>
      <c r="X6636">
        <v>0.9865971</v>
      </c>
      <c r="Y6636">
        <v>6.8061570000000002E-2</v>
      </c>
      <c r="Z6636">
        <v>2.5101049999999998E-4</v>
      </c>
      <c r="AA6636">
        <v>0.99768109999999999</v>
      </c>
      <c r="AB6636">
        <v>27</v>
      </c>
      <c r="AC6636">
        <v>-200.8597</v>
      </c>
      <c r="AD6636">
        <v>0.70299800000000001</v>
      </c>
      <c r="AE6636">
        <v>12.935699999999899</v>
      </c>
      <c r="AF6636">
        <v>13.7161640514102</v>
      </c>
      <c r="AG6636">
        <v>0.70299800000000001</v>
      </c>
      <c r="AH6636">
        <v>200.80545278454201</v>
      </c>
      <c r="AI6636">
        <v>89.799880839572097</v>
      </c>
      <c r="AJ6636">
        <v>86.092439257475405</v>
      </c>
      <c r="AK6636">
        <v>201.27458168004699</v>
      </c>
      <c r="AL6636">
        <v>80.683494980331105</v>
      </c>
      <c r="AM6636">
        <v>88.812176527663397</v>
      </c>
      <c r="AN6636">
        <v>1.0000000315211299</v>
      </c>
    </row>
    <row r="6637" spans="1:40" x14ac:dyDescent="0.25">
      <c r="A6637" t="str">
        <f>"20190303162044778"</f>
        <v>20190303162044778</v>
      </c>
      <c r="B6637" t="str">
        <f>"1551601244768814"</f>
        <v>1551601244768814</v>
      </c>
      <c r="C6637" t="s">
        <v>40</v>
      </c>
      <c r="D6637">
        <v>4.1652589999999998</v>
      </c>
      <c r="E6637">
        <v>0.51840459999999899</v>
      </c>
      <c r="F6637" t="s">
        <v>71</v>
      </c>
      <c r="G6637">
        <v>-511.92579999999998</v>
      </c>
      <c r="H6637">
        <v>1.8932100000000001</v>
      </c>
      <c r="I6637">
        <v>154.77760000000001</v>
      </c>
      <c r="J6637">
        <v>-311.33539999999999</v>
      </c>
      <c r="K6637">
        <v>1.1215059999999999</v>
      </c>
      <c r="L6637">
        <v>141.96619999999999</v>
      </c>
      <c r="M6637">
        <v>-0.99991129999999995</v>
      </c>
      <c r="N6637">
        <v>-1.270169E-2</v>
      </c>
      <c r="O6637">
        <v>-4.0252500000000002E-3</v>
      </c>
      <c r="P6637">
        <v>-0.98859909999999995</v>
      </c>
      <c r="Q6637">
        <v>0.14972969999999999</v>
      </c>
      <c r="R6637">
        <v>1.5908350000000002E-2</v>
      </c>
      <c r="S6637">
        <v>-3.0294189999999999</v>
      </c>
      <c r="T6637">
        <v>1.1639709999999999E-2</v>
      </c>
      <c r="U6637">
        <v>0.19320680000000001</v>
      </c>
      <c r="V6637">
        <v>1.9853840000000001E-2</v>
      </c>
      <c r="W6637">
        <v>0.16227820000000001</v>
      </c>
      <c r="X6637">
        <v>0.98654529999999996</v>
      </c>
      <c r="Y6637">
        <v>6.7665039999999996E-2</v>
      </c>
      <c r="Z6637">
        <v>2.3379419999999999E-4</v>
      </c>
      <c r="AA6637">
        <v>0.99770809999999999</v>
      </c>
      <c r="AB6637">
        <v>27</v>
      </c>
      <c r="AC6637">
        <v>-200.59039999999999</v>
      </c>
      <c r="AD6637">
        <v>0.77170399999999995</v>
      </c>
      <c r="AE6637">
        <v>12.811400000000001</v>
      </c>
      <c r="AF6637">
        <v>13.6185870381535</v>
      </c>
      <c r="AG6637">
        <v>0.77170399999999995</v>
      </c>
      <c r="AH6637">
        <v>200.53424545800499</v>
      </c>
      <c r="AI6637">
        <v>89.780019833670494</v>
      </c>
      <c r="AJ6637">
        <v>86.114921363208495</v>
      </c>
      <c r="AK6637">
        <v>200.997624467034</v>
      </c>
      <c r="AL6637">
        <v>80.660844179222906</v>
      </c>
      <c r="AM6637">
        <v>88.8471003730033</v>
      </c>
      <c r="AN6637">
        <v>1.0000000090550301</v>
      </c>
    </row>
    <row r="6638" spans="1:40" x14ac:dyDescent="0.25">
      <c r="A6638" t="str">
        <f>"20190303162044801"</f>
        <v>20190303162044801</v>
      </c>
      <c r="B6638" t="str">
        <f>"1551601244789310"</f>
        <v>1551601244789310</v>
      </c>
      <c r="C6638" t="s">
        <v>40</v>
      </c>
      <c r="D6638">
        <v>4.1750059999999998</v>
      </c>
      <c r="E6638">
        <v>0.51844820000000003</v>
      </c>
      <c r="F6638" t="s">
        <v>71</v>
      </c>
      <c r="G6638">
        <v>-511.92590000000001</v>
      </c>
      <c r="H6638">
        <v>2.0472419999999998</v>
      </c>
      <c r="I6638">
        <v>154.52379999999999</v>
      </c>
      <c r="J6638">
        <v>-311.60590000000002</v>
      </c>
      <c r="K6638">
        <v>1.1215120000000001</v>
      </c>
      <c r="L6638">
        <v>141.9649</v>
      </c>
      <c r="M6638">
        <v>-0.99991079999999999</v>
      </c>
      <c r="N6638">
        <v>-1.2700650000000001E-2</v>
      </c>
      <c r="O6638">
        <v>-4.1645909999999996E-3</v>
      </c>
      <c r="P6638">
        <v>-0.98860170000000003</v>
      </c>
      <c r="Q6638">
        <v>0.14983350000000001</v>
      </c>
      <c r="R6638">
        <v>1.473386E-2</v>
      </c>
      <c r="S6638">
        <v>-3.0294189999999999</v>
      </c>
      <c r="T6638">
        <v>1.398158E-2</v>
      </c>
      <c r="U6638">
        <v>0.1896515</v>
      </c>
      <c r="V6638">
        <v>1.8817400000000001E-2</v>
      </c>
      <c r="W6638">
        <v>0.16238029999999901</v>
      </c>
      <c r="X6638">
        <v>0.9865488</v>
      </c>
      <c r="Y6638">
        <v>6.6637799999999997E-2</v>
      </c>
      <c r="Z6638">
        <v>1.9793100000000001E-4</v>
      </c>
      <c r="AA6638">
        <v>0.99777720000000003</v>
      </c>
      <c r="AB6638">
        <v>27</v>
      </c>
      <c r="AC6638">
        <v>-200.32</v>
      </c>
      <c r="AD6638">
        <v>0.92572999999999905</v>
      </c>
      <c r="AE6638">
        <v>12.5588999999999</v>
      </c>
      <c r="AF6638">
        <v>13.392824229451801</v>
      </c>
      <c r="AG6638">
        <v>0.92572999999999905</v>
      </c>
      <c r="AH6638">
        <v>200.26169561598999</v>
      </c>
      <c r="AI6638">
        <v>89.735736623189098</v>
      </c>
      <c r="AJ6638">
        <v>86.173949430612794</v>
      </c>
      <c r="AK6638">
        <v>200.711164233246</v>
      </c>
      <c r="AL6638">
        <v>80.654915520905604</v>
      </c>
      <c r="AM6638">
        <v>88.907274653289804</v>
      </c>
      <c r="AN6638">
        <v>0.99999999557614505</v>
      </c>
    </row>
    <row r="6639" spans="1:40" x14ac:dyDescent="0.25">
      <c r="A6639" t="str">
        <f>"20190303162044824"</f>
        <v>20190303162044824</v>
      </c>
      <c r="B6639" t="str">
        <f>"1551601244819566"</f>
        <v>1551601244819566</v>
      </c>
      <c r="C6639" t="s">
        <v>40</v>
      </c>
      <c r="D6639">
        <v>4.2163149999999998</v>
      </c>
      <c r="E6639">
        <v>0.51849619999999996</v>
      </c>
      <c r="F6639" t="s">
        <v>71</v>
      </c>
      <c r="G6639">
        <v>-511.92590000000001</v>
      </c>
      <c r="H6639">
        <v>2.176177</v>
      </c>
      <c r="I6639">
        <v>154.28270000000001</v>
      </c>
      <c r="J6639">
        <v>-311.8843</v>
      </c>
      <c r="K6639">
        <v>1.121521</v>
      </c>
      <c r="L6639">
        <v>141.96350000000001</v>
      </c>
      <c r="M6639">
        <v>-0.99991019999999997</v>
      </c>
      <c r="N6639">
        <v>-1.26996E-2</v>
      </c>
      <c r="O6639">
        <v>-4.3081049999999996E-3</v>
      </c>
      <c r="P6639">
        <v>-0.98853709999999995</v>
      </c>
      <c r="Q6639">
        <v>0.15039129999999901</v>
      </c>
      <c r="R6639">
        <v>1.331243E-2</v>
      </c>
      <c r="S6639">
        <v>-3.029388</v>
      </c>
      <c r="T6639">
        <v>1.5950079999999998E-2</v>
      </c>
      <c r="U6639">
        <v>0.18627930000000001</v>
      </c>
      <c r="V6639">
        <v>1.7537460000000001E-2</v>
      </c>
      <c r="W6639">
        <v>0.16293589999999999</v>
      </c>
      <c r="X6639">
        <v>0.98648080000000005</v>
      </c>
      <c r="Y6639">
        <v>6.5675159999999996E-2</v>
      </c>
      <c r="Z6639">
        <v>1.67380299999999E-4</v>
      </c>
      <c r="AA6639">
        <v>0.99784110000000004</v>
      </c>
      <c r="AB6639">
        <v>27</v>
      </c>
      <c r="AC6639">
        <v>-200.04159999999999</v>
      </c>
      <c r="AD6639">
        <v>1.054656</v>
      </c>
      <c r="AE6639">
        <v>12.319199999999899</v>
      </c>
      <c r="AF6639">
        <v>13.180590292223201</v>
      </c>
      <c r="AG6639">
        <v>1.054656</v>
      </c>
      <c r="AH6639">
        <v>199.981128991188</v>
      </c>
      <c r="AI6639">
        <v>89.698491759244305</v>
      </c>
      <c r="AJ6639">
        <v>86.229136632131201</v>
      </c>
      <c r="AK6639">
        <v>200.41779415091801</v>
      </c>
      <c r="AL6639">
        <v>80.622652545140198</v>
      </c>
      <c r="AM6639">
        <v>88.981514284589096</v>
      </c>
      <c r="AN6639">
        <v>1.00000001939035</v>
      </c>
    </row>
    <row r="6640" spans="1:40" x14ac:dyDescent="0.25">
      <c r="A6640" t="str">
        <f>"20190303162044845"</f>
        <v>20190303162044845</v>
      </c>
      <c r="B6640" t="str">
        <f>"1551601244839085"</f>
        <v>1551601244839085</v>
      </c>
      <c r="C6640" t="s">
        <v>40</v>
      </c>
      <c r="D6640">
        <v>4.2129770000000004</v>
      </c>
      <c r="E6640">
        <v>0.51853249999999995</v>
      </c>
      <c r="F6640" t="s">
        <v>71</v>
      </c>
      <c r="G6640">
        <v>-511.92599999999999</v>
      </c>
      <c r="H6640">
        <v>2.3577340000000002</v>
      </c>
      <c r="I6640">
        <v>154.00190000000001</v>
      </c>
      <c r="J6640">
        <v>-312.14460000000003</v>
      </c>
      <c r="K6640">
        <v>1.1215219999999999</v>
      </c>
      <c r="L6640">
        <v>141.9622</v>
      </c>
      <c r="M6640">
        <v>-0.99990959999999995</v>
      </c>
      <c r="N6640">
        <v>-1.2698579999999999E-2</v>
      </c>
      <c r="O6640">
        <v>-4.4423179999999998E-3</v>
      </c>
      <c r="P6640">
        <v>-0.98844980000000005</v>
      </c>
      <c r="Q6640">
        <v>0.15105469999999999</v>
      </c>
      <c r="R6640">
        <v>1.2219890000000001E-2</v>
      </c>
      <c r="S6640">
        <v>-3.02948</v>
      </c>
      <c r="T6640">
        <v>1.8722180000000001E-2</v>
      </c>
      <c r="U6640">
        <v>0.182312</v>
      </c>
      <c r="V6640">
        <v>1.657699E-2</v>
      </c>
      <c r="W6640">
        <v>0.16359689999999999</v>
      </c>
      <c r="X6640">
        <v>0.98638800000000004</v>
      </c>
      <c r="Y6640">
        <v>6.4505199999999999E-2</v>
      </c>
      <c r="Z6640">
        <v>1.270175E-4</v>
      </c>
      <c r="AA6640">
        <v>0.99791739999999995</v>
      </c>
      <c r="AB6640">
        <v>27</v>
      </c>
      <c r="AC6640">
        <v>-199.78139999999999</v>
      </c>
      <c r="AD6640">
        <v>1.2362120000000001</v>
      </c>
      <c r="AE6640">
        <v>12.0397</v>
      </c>
      <c r="AF6640">
        <v>12.9266520105064</v>
      </c>
      <c r="AG6640">
        <v>1.2362120000000001</v>
      </c>
      <c r="AH6640">
        <v>199.71832055304799</v>
      </c>
      <c r="AI6640">
        <v>89.646096893476695</v>
      </c>
      <c r="AJ6640">
        <v>86.296729576308493</v>
      </c>
      <c r="AK6640">
        <v>200.14003626670899</v>
      </c>
      <c r="AL6640">
        <v>80.584264903639095</v>
      </c>
      <c r="AM6640">
        <v>89.037192097212994</v>
      </c>
      <c r="AN6640">
        <v>1.0000000144155301</v>
      </c>
    </row>
    <row r="6641" spans="1:40" x14ac:dyDescent="0.25">
      <c r="A6641" t="str">
        <f>"20190303162044868"</f>
        <v>20190303162044868</v>
      </c>
      <c r="B6641" t="str">
        <f>"1551601244859583"</f>
        <v>1551601244859583</v>
      </c>
      <c r="C6641" t="s">
        <v>40</v>
      </c>
      <c r="D6641">
        <v>4.21828</v>
      </c>
      <c r="E6641">
        <v>0.51850829999999903</v>
      </c>
      <c r="F6641" t="s">
        <v>71</v>
      </c>
      <c r="G6641">
        <v>-511.92599999999999</v>
      </c>
      <c r="H6641">
        <v>2.5277530000000001</v>
      </c>
      <c r="I6641">
        <v>153.77430000000001</v>
      </c>
      <c r="J6641">
        <v>-312.41039999999998</v>
      </c>
      <c r="K6641">
        <v>1.121521</v>
      </c>
      <c r="L6641">
        <v>141.96090000000001</v>
      </c>
      <c r="M6641">
        <v>-0.99990889999999999</v>
      </c>
      <c r="N6641">
        <v>-1.269755E-2</v>
      </c>
      <c r="O6641">
        <v>-4.5790379999999997E-3</v>
      </c>
      <c r="P6641">
        <v>-0.98845170000000004</v>
      </c>
      <c r="Q6641">
        <v>0.15110479999999901</v>
      </c>
      <c r="R6641">
        <v>1.143712E-2</v>
      </c>
      <c r="S6641">
        <v>-3.0295719999999999</v>
      </c>
      <c r="T6641">
        <v>2.132535E-2</v>
      </c>
      <c r="U6641">
        <v>0.1791229</v>
      </c>
      <c r="V6641">
        <v>1.5929639999999998E-2</v>
      </c>
      <c r="W6641">
        <v>0.16364579999999901</v>
      </c>
      <c r="X6641">
        <v>0.98639049999999995</v>
      </c>
      <c r="Y6641">
        <v>6.3592949999999995E-2</v>
      </c>
      <c r="Z6641" s="1">
        <v>9.0187239999999999E-5</v>
      </c>
      <c r="AA6641">
        <v>0.99797590000000003</v>
      </c>
      <c r="AB6641">
        <v>27</v>
      </c>
      <c r="AC6641">
        <v>-199.51560000000001</v>
      </c>
      <c r="AD6641">
        <v>1.4062319999999899</v>
      </c>
      <c r="AE6641">
        <v>11.8134</v>
      </c>
      <c r="AF6641">
        <v>12.7263092960976</v>
      </c>
      <c r="AG6641">
        <v>1.4062319999999899</v>
      </c>
      <c r="AH6641">
        <v>199.44953605211899</v>
      </c>
      <c r="AI6641">
        <v>89.596858856858105</v>
      </c>
      <c r="AJ6641">
        <v>86.349068166412096</v>
      </c>
      <c r="AK6641">
        <v>199.86008573035099</v>
      </c>
      <c r="AL6641">
        <v>80.581424347241807</v>
      </c>
      <c r="AM6641">
        <v>89.074786498629905</v>
      </c>
      <c r="AN6641">
        <v>0.99999995988920898</v>
      </c>
    </row>
    <row r="6642" spans="1:40" x14ac:dyDescent="0.25">
      <c r="A6642" t="str">
        <f>"20190303162044890"</f>
        <v>20190303162044890</v>
      </c>
      <c r="B6642" t="str">
        <f>"1551601244879102"</f>
        <v>1551601244879102</v>
      </c>
      <c r="C6642" t="s">
        <v>40</v>
      </c>
      <c r="D6642">
        <v>4.2316849999999997</v>
      </c>
      <c r="E6642">
        <v>0.51836510000000002</v>
      </c>
      <c r="F6642" t="s">
        <v>71</v>
      </c>
      <c r="G6642">
        <v>-511.05950000000001</v>
      </c>
      <c r="H6642">
        <v>2.5562420000000001</v>
      </c>
      <c r="I6642">
        <v>153.55459999999999</v>
      </c>
      <c r="J6642">
        <v>-312.67399999999998</v>
      </c>
      <c r="K6642">
        <v>1.1215269999999999</v>
      </c>
      <c r="L6642">
        <v>141.95949999999999</v>
      </c>
      <c r="M6642">
        <v>-0.99990829999999997</v>
      </c>
      <c r="N6642">
        <v>-1.2696529999999999E-2</v>
      </c>
      <c r="O6642">
        <v>-4.7146849999999997E-3</v>
      </c>
      <c r="P6642">
        <v>-0.98843060000000005</v>
      </c>
      <c r="Q6642">
        <v>0.15126579999999901</v>
      </c>
      <c r="R6642">
        <v>1.113484E-2</v>
      </c>
      <c r="S6642">
        <v>-3.0296630000000002</v>
      </c>
      <c r="T6642">
        <v>2.1882059999999998E-2</v>
      </c>
      <c r="U6642">
        <v>0.1768188</v>
      </c>
      <c r="V6642">
        <v>1.5761190000000001E-2</v>
      </c>
      <c r="W6642">
        <v>0.1638057</v>
      </c>
      <c r="X6642">
        <v>0.98636670000000004</v>
      </c>
      <c r="Y6642">
        <v>6.2970120000000004E-2</v>
      </c>
      <c r="Z6642" s="1">
        <v>7.9063820000000002E-5</v>
      </c>
      <c r="AA6642">
        <v>0.9980154</v>
      </c>
      <c r="AB6642">
        <v>27</v>
      </c>
      <c r="AC6642">
        <v>-198.38550000000001</v>
      </c>
      <c r="AD6642">
        <v>1.43471499999999</v>
      </c>
      <c r="AE6642">
        <v>11.5951</v>
      </c>
      <c r="AF6642">
        <v>12.5297185413683</v>
      </c>
      <c r="AG6642">
        <v>1.43471499999999</v>
      </c>
      <c r="AH6642">
        <v>198.318286133984</v>
      </c>
      <c r="AI6642">
        <v>89.586331068261202</v>
      </c>
      <c r="AJ6642">
        <v>86.384866599767804</v>
      </c>
      <c r="AK6642">
        <v>198.71888402710499</v>
      </c>
      <c r="AL6642">
        <v>80.572137763965301</v>
      </c>
      <c r="AM6642">
        <v>89.084546527744394</v>
      </c>
      <c r="AN6642">
        <v>0.99999999466579803</v>
      </c>
    </row>
    <row r="6643" spans="1:40" x14ac:dyDescent="0.25">
      <c r="A6643" t="str">
        <f>"20190303162044913"</f>
        <v>20190303162044913</v>
      </c>
      <c r="B6643" t="str">
        <f>"1551601244899598"</f>
        <v>1551601244899598</v>
      </c>
      <c r="C6643" t="s">
        <v>40</v>
      </c>
      <c r="D6643">
        <v>4.2525360000000001</v>
      </c>
      <c r="E6643">
        <v>0.51828469999999904</v>
      </c>
      <c r="F6643" t="s">
        <v>71</v>
      </c>
      <c r="G6643">
        <v>-511.05950000000001</v>
      </c>
      <c r="H6643">
        <v>2.556994</v>
      </c>
      <c r="I6643">
        <v>153.37960000000001</v>
      </c>
      <c r="J6643">
        <v>-312.95080000000002</v>
      </c>
      <c r="K6643">
        <v>1.1215189999999999</v>
      </c>
      <c r="L6643">
        <v>141.958</v>
      </c>
      <c r="M6643">
        <v>-0.99990760000000001</v>
      </c>
      <c r="N6643">
        <v>-1.269551E-2</v>
      </c>
      <c r="O6643">
        <v>-4.8570059999999997E-3</v>
      </c>
      <c r="P6643">
        <v>-0.98842609999999997</v>
      </c>
      <c r="Q6643">
        <v>0.15128520000000001</v>
      </c>
      <c r="R6643">
        <v>1.125381E-2</v>
      </c>
      <c r="S6643">
        <v>-3.0297550000000002</v>
      </c>
      <c r="T6643">
        <v>2.192318E-2</v>
      </c>
      <c r="U6643">
        <v>0.17440799999999901</v>
      </c>
      <c r="V6643">
        <v>1.6020759999999998E-2</v>
      </c>
      <c r="W6643">
        <v>0.1638241</v>
      </c>
      <c r="X6643">
        <v>0.98635949999999994</v>
      </c>
      <c r="Y6643">
        <v>6.2318859999999997E-2</v>
      </c>
      <c r="Z6643" s="1">
        <v>7.3918900000000001E-5</v>
      </c>
      <c r="AA6643">
        <v>0.99805630000000001</v>
      </c>
      <c r="AB6643">
        <v>27</v>
      </c>
      <c r="AC6643">
        <v>-198.1087</v>
      </c>
      <c r="AD6643">
        <v>1.4354749999999901</v>
      </c>
      <c r="AE6643">
        <v>11.4216</v>
      </c>
      <c r="AF6643">
        <v>12.3831099691171</v>
      </c>
      <c r="AG6643">
        <v>1.4354749999999901</v>
      </c>
      <c r="AH6643">
        <v>198.040520339285</v>
      </c>
      <c r="AI6643">
        <v>89.585514549522301</v>
      </c>
      <c r="AJ6643">
        <v>86.422058276029404</v>
      </c>
      <c r="AK6643">
        <v>198.432481457139</v>
      </c>
      <c r="AL6643">
        <v>80.5710694388912</v>
      </c>
      <c r="AM6643">
        <v>89.069465823025894</v>
      </c>
      <c r="AN6643">
        <v>1.0000000318660101</v>
      </c>
    </row>
    <row r="6644" spans="1:40" x14ac:dyDescent="0.25">
      <c r="A6644" t="str">
        <f>"20190303162044935"</f>
        <v>20190303162044935</v>
      </c>
      <c r="B6644" t="str">
        <f>"1551601244928878"</f>
        <v>1551601244928878</v>
      </c>
      <c r="C6644" t="s">
        <v>40</v>
      </c>
      <c r="D6644">
        <v>4.2744099999999996</v>
      </c>
      <c r="E6644">
        <v>0.51807840000000005</v>
      </c>
      <c r="F6644" t="s">
        <v>71</v>
      </c>
      <c r="G6644">
        <v>-511.05950000000001</v>
      </c>
      <c r="H6644">
        <v>2.5467689999999998</v>
      </c>
      <c r="I6644">
        <v>153.351</v>
      </c>
      <c r="J6644">
        <v>-313.21300000000002</v>
      </c>
      <c r="K6644">
        <v>1.1215120000000001</v>
      </c>
      <c r="L6644">
        <v>141.95660000000001</v>
      </c>
      <c r="M6644">
        <v>-0.99990690000000004</v>
      </c>
      <c r="N6644">
        <v>-1.2694510000000001E-2</v>
      </c>
      <c r="O6644">
        <v>-4.9919370000000001E-3</v>
      </c>
      <c r="P6644">
        <v>-0.98848270000000005</v>
      </c>
      <c r="Q6644">
        <v>0.15091689999999999</v>
      </c>
      <c r="R6644">
        <v>1.1219430000000001E-2</v>
      </c>
      <c r="S6644">
        <v>-3.0298159999999998</v>
      </c>
      <c r="T6644">
        <v>2.179801E-2</v>
      </c>
      <c r="U6644">
        <v>0.17424010000000001</v>
      </c>
      <c r="V6644">
        <v>1.6120300000000001E-2</v>
      </c>
      <c r="W6644">
        <v>0.16345580000000001</v>
      </c>
      <c r="X6644">
        <v>0.98641900000000005</v>
      </c>
      <c r="Y6644">
        <v>6.2397260000000003E-2</v>
      </c>
      <c r="Z6644" s="1">
        <v>7.2918369999999994E-5</v>
      </c>
      <c r="AA6644">
        <v>0.99805140000000003</v>
      </c>
      <c r="AB6644">
        <v>27</v>
      </c>
      <c r="AC6644">
        <v>-197.84649999999999</v>
      </c>
      <c r="AD6644">
        <v>1.42525699999999</v>
      </c>
      <c r="AE6644">
        <v>11.3943999999999</v>
      </c>
      <c r="AF6644">
        <v>12.381334506304199</v>
      </c>
      <c r="AG6644">
        <v>1.42525699999999</v>
      </c>
      <c r="AH6644">
        <v>197.77691996188099</v>
      </c>
      <c r="AI6644">
        <v>89.587918266183493</v>
      </c>
      <c r="AJ6644">
        <v>86.417814289789106</v>
      </c>
      <c r="AK6644">
        <v>198.16921776926301</v>
      </c>
      <c r="AL6644">
        <v>80.5924600149078</v>
      </c>
      <c r="AM6644">
        <v>89.063741732677101</v>
      </c>
      <c r="AN6644">
        <v>1.0000000530933599</v>
      </c>
    </row>
    <row r="6645" spans="1:40" x14ac:dyDescent="0.25">
      <c r="A6645" t="str">
        <f>"20190303162044957"</f>
        <v>20190303162044957</v>
      </c>
      <c r="B6645" t="str">
        <f>"1551601244949375"</f>
        <v>1551601244949375</v>
      </c>
      <c r="C6645" t="s">
        <v>40</v>
      </c>
      <c r="D6645">
        <v>4.275055</v>
      </c>
      <c r="E6645">
        <v>0.51792280000000002</v>
      </c>
      <c r="F6645" t="s">
        <v>71</v>
      </c>
      <c r="G6645">
        <v>-511.05939999999998</v>
      </c>
      <c r="H6645">
        <v>2.4222610000000002</v>
      </c>
      <c r="I6645">
        <v>153.21729999999999</v>
      </c>
      <c r="J6645">
        <v>-313.47739999999999</v>
      </c>
      <c r="K6645">
        <v>1.1215120000000001</v>
      </c>
      <c r="L6645">
        <v>141.95509999999999</v>
      </c>
      <c r="M6645">
        <v>-0.99990639999999997</v>
      </c>
      <c r="N6645">
        <v>-1.26935E-2</v>
      </c>
      <c r="O6645">
        <v>-5.1281790000000001E-3</v>
      </c>
      <c r="P6645">
        <v>-0.98857320000000004</v>
      </c>
      <c r="Q6645">
        <v>0.150284</v>
      </c>
      <c r="R6645">
        <v>1.174861E-2</v>
      </c>
      <c r="S6645">
        <v>-3.0299680000000002</v>
      </c>
      <c r="T6645">
        <v>1.9921299999999999E-2</v>
      </c>
      <c r="U6645">
        <v>0.17245479999999899</v>
      </c>
      <c r="V6645">
        <v>1.6784779999999999E-2</v>
      </c>
      <c r="W6645">
        <v>0.162823</v>
      </c>
      <c r="X6645">
        <v>0.98651250000000001</v>
      </c>
      <c r="Y6645">
        <v>6.1944270000000003E-2</v>
      </c>
      <c r="Z6645" s="1">
        <v>9.1276709999999994E-5</v>
      </c>
      <c r="AA6645">
        <v>0.99807959999999996</v>
      </c>
      <c r="AB6645">
        <v>27</v>
      </c>
      <c r="AC6645">
        <v>-197.58199999999999</v>
      </c>
      <c r="AD6645">
        <v>1.3007489999999999</v>
      </c>
      <c r="AE6645">
        <v>11.2622</v>
      </c>
      <c r="AF6645">
        <v>12.274838998844499</v>
      </c>
      <c r="AG6645">
        <v>1.3007489999999999</v>
      </c>
      <c r="AH6645">
        <v>197.51310975156599</v>
      </c>
      <c r="AI6645">
        <v>89.623402969083301</v>
      </c>
      <c r="AJ6645">
        <v>86.443815158069498</v>
      </c>
      <c r="AK6645">
        <v>197.89843896337999</v>
      </c>
      <c r="AL6645">
        <v>80.629208469504903</v>
      </c>
      <c r="AM6645">
        <v>89.025248771605604</v>
      </c>
      <c r="AN6645">
        <v>0.99999998541244906</v>
      </c>
    </row>
    <row r="6646" spans="1:40" x14ac:dyDescent="0.25">
      <c r="A6646" t="str">
        <f>"20190303162044979"</f>
        <v>20190303162044979</v>
      </c>
      <c r="B6646" t="str">
        <f>"1551601244968894"</f>
        <v>1551601244968894</v>
      </c>
      <c r="C6646" t="s">
        <v>40</v>
      </c>
      <c r="D6646">
        <v>4.289758</v>
      </c>
      <c r="E6646">
        <v>0.51799019999999996</v>
      </c>
      <c r="F6646" t="s">
        <v>71</v>
      </c>
      <c r="G6646">
        <v>-511.05939999999998</v>
      </c>
      <c r="H6646">
        <v>2.2396250000000002</v>
      </c>
      <c r="I6646">
        <v>153.2115</v>
      </c>
      <c r="J6646">
        <v>-313.73989999999998</v>
      </c>
      <c r="K6646">
        <v>1.1215109999999999</v>
      </c>
      <c r="L6646">
        <v>141.95359999999999</v>
      </c>
      <c r="M6646">
        <v>-0.99990570000000001</v>
      </c>
      <c r="N6646">
        <v>-1.2692480000000001E-2</v>
      </c>
      <c r="O6646">
        <v>-5.2632299999999998E-3</v>
      </c>
      <c r="P6646">
        <v>-0.98865930000000002</v>
      </c>
      <c r="Q6646">
        <v>0.14970069999999999</v>
      </c>
      <c r="R6646">
        <v>1.194637E-2</v>
      </c>
      <c r="S6646">
        <v>-3.0300289999999999</v>
      </c>
      <c r="T6646">
        <v>1.7147539999999999E-2</v>
      </c>
      <c r="U6646">
        <v>0.17262269999999999</v>
      </c>
      <c r="V6646">
        <v>1.7116610000000001E-2</v>
      </c>
      <c r="W6646">
        <v>0.16223959999999901</v>
      </c>
      <c r="X6646">
        <v>0.98660289999999995</v>
      </c>
      <c r="Y6646">
        <v>6.2133099999999997E-2</v>
      </c>
      <c r="Z6646">
        <v>1.2246460000000001E-4</v>
      </c>
      <c r="AA6646">
        <v>0.99806790000000001</v>
      </c>
      <c r="AB6646">
        <v>27</v>
      </c>
      <c r="AC6646">
        <v>-197.31950000000001</v>
      </c>
      <c r="AD6646">
        <v>1.1181140000000001</v>
      </c>
      <c r="AE6646">
        <v>11.257899999999999</v>
      </c>
      <c r="AF6646">
        <v>12.295971974736201</v>
      </c>
      <c r="AG6646">
        <v>1.1181140000000001</v>
      </c>
      <c r="AH6646">
        <v>197.25119575823601</v>
      </c>
      <c r="AI6646">
        <v>89.675852801508697</v>
      </c>
      <c r="AJ6646">
        <v>86.4329905289366</v>
      </c>
      <c r="AK6646">
        <v>197.63723164873201</v>
      </c>
      <c r="AL6646">
        <v>80.663085169564198</v>
      </c>
      <c r="AM6646">
        <v>89.006073126226099</v>
      </c>
      <c r="AN6646">
        <v>0.99999997421722997</v>
      </c>
    </row>
    <row r="6647" spans="1:40" x14ac:dyDescent="0.25">
      <c r="A6647" t="str">
        <f>"20190303162045003"</f>
        <v>20190303162045003</v>
      </c>
      <c r="B6647" t="str">
        <f>"1551601244989390"</f>
        <v>1551601244989390</v>
      </c>
      <c r="C6647" t="s">
        <v>40</v>
      </c>
      <c r="D6647">
        <v>4.2938190000000001</v>
      </c>
      <c r="E6647">
        <v>0.49670029999999998</v>
      </c>
      <c r="F6647" t="s">
        <v>71</v>
      </c>
      <c r="G6647">
        <v>-511.05939999999998</v>
      </c>
      <c r="H6647">
        <v>2.1292499999999999</v>
      </c>
      <c r="I6647">
        <v>153.27670000000001</v>
      </c>
      <c r="J6647">
        <v>-314.02600000000001</v>
      </c>
      <c r="K6647">
        <v>1.121507</v>
      </c>
      <c r="L6647">
        <v>141.95179999999999</v>
      </c>
      <c r="M6647">
        <v>-0.99990480000000004</v>
      </c>
      <c r="N6647">
        <v>-1.269139E-2</v>
      </c>
      <c r="O6647">
        <v>-5.4103190000000002E-3</v>
      </c>
      <c r="P6647">
        <v>-0.98861980000000005</v>
      </c>
      <c r="Q6647">
        <v>0.1500061</v>
      </c>
      <c r="R6647">
        <v>1.1363349999999999E-2</v>
      </c>
      <c r="S6647">
        <v>-3.0299680000000002</v>
      </c>
      <c r="T6647">
        <v>1.547515E-2</v>
      </c>
      <c r="U6647">
        <v>0.1738739</v>
      </c>
      <c r="V6647">
        <v>1.667882E-2</v>
      </c>
      <c r="W6647">
        <v>0.16254350000000001</v>
      </c>
      <c r="X6647">
        <v>0.9865604</v>
      </c>
      <c r="Y6647">
        <v>6.2691869999999997E-2</v>
      </c>
      <c r="Z6647">
        <v>1.419828E-4</v>
      </c>
      <c r="AA6647">
        <v>0.9980329</v>
      </c>
      <c r="AB6647">
        <v>27</v>
      </c>
      <c r="AC6647">
        <v>-197.0334</v>
      </c>
      <c r="AD6647">
        <v>1.0077429999999901</v>
      </c>
      <c r="AE6647">
        <v>11.3249</v>
      </c>
      <c r="AF6647">
        <v>12.390510603959401</v>
      </c>
      <c r="AG6647">
        <v>1.0077429999999901</v>
      </c>
      <c r="AH6647">
        <v>196.96410411561399</v>
      </c>
      <c r="AI6647">
        <v>89.707433947727196</v>
      </c>
      <c r="AJ6647">
        <v>86.400411577244896</v>
      </c>
      <c r="AK6647">
        <v>197.35601994630699</v>
      </c>
      <c r="AL6647">
        <v>80.645438971149005</v>
      </c>
      <c r="AM6647">
        <v>89.031448084526602</v>
      </c>
      <c r="AN6647">
        <v>0.999999997638501</v>
      </c>
    </row>
    <row r="6648" spans="1:40" x14ac:dyDescent="0.25">
      <c r="A6648" t="str">
        <f>"20190303162045024"</f>
        <v>20190303162045024</v>
      </c>
      <c r="B6648" t="str">
        <f>"1551601245019647"</f>
        <v>1551601245019647</v>
      </c>
      <c r="C6648" t="s">
        <v>40</v>
      </c>
      <c r="D6648">
        <v>4.3242339999999997</v>
      </c>
      <c r="E6648">
        <v>0.4924251</v>
      </c>
      <c r="F6648" t="s">
        <v>58</v>
      </c>
      <c r="G6648">
        <v>0</v>
      </c>
      <c r="H6648">
        <v>0</v>
      </c>
      <c r="I6648">
        <v>0</v>
      </c>
      <c r="J6648">
        <v>-314.27800000000002</v>
      </c>
      <c r="K6648">
        <v>1.1215090000000001</v>
      </c>
      <c r="L6648">
        <v>141.9503</v>
      </c>
      <c r="M6648">
        <v>-0.99990420000000002</v>
      </c>
      <c r="N6648">
        <v>-1.2690420000000001E-2</v>
      </c>
      <c r="O6648">
        <v>-5.5398869999999899E-3</v>
      </c>
      <c r="P6648">
        <v>-0.98868610000000001</v>
      </c>
      <c r="Q6648">
        <v>0.1496372</v>
      </c>
      <c r="R6648">
        <v>1.0433619999999999E-2</v>
      </c>
      <c r="S6648">
        <v>-3.0315859999999999</v>
      </c>
      <c r="T6648">
        <v>1.93007E-2</v>
      </c>
      <c r="U6648">
        <v>2.3651119999999999E-3</v>
      </c>
      <c r="V6648">
        <v>1.5877760000000001E-2</v>
      </c>
      <c r="W6648">
        <v>0.1621746</v>
      </c>
      <c r="X6648">
        <v>0.98663429999999996</v>
      </c>
      <c r="Y6648">
        <v>6.3195969999999997E-3</v>
      </c>
      <c r="Z6648" s="1">
        <v>-8.5590199999999999E-5</v>
      </c>
      <c r="AA6648">
        <v>0.99997999999999998</v>
      </c>
      <c r="AB6648">
        <v>27</v>
      </c>
      <c r="AC6648">
        <v>-3.0315859999999999</v>
      </c>
      <c r="AD6648">
        <v>1.93007E-2</v>
      </c>
      <c r="AE6648">
        <v>2.3651119999999999E-3</v>
      </c>
      <c r="AF6648">
        <v>1.9160294248343201E-2</v>
      </c>
      <c r="AG6648">
        <v>1.93007E-2</v>
      </c>
      <c r="AH6648">
        <v>3.0314034973142499</v>
      </c>
      <c r="AI6648">
        <v>89.635214638242303</v>
      </c>
      <c r="AJ6648">
        <v>89.637861018208298</v>
      </c>
      <c r="AK6648">
        <v>3.0315254901493498</v>
      </c>
      <c r="AL6648">
        <v>80.666859367106198</v>
      </c>
      <c r="AM6648">
        <v>89.0780270719209</v>
      </c>
      <c r="AN6648">
        <v>0.99999997304213295</v>
      </c>
    </row>
    <row r="6649" spans="1:40" x14ac:dyDescent="0.25">
      <c r="A6649" t="str">
        <f>"20190303162045047"</f>
        <v>20190303162045047</v>
      </c>
      <c r="B6649" t="str">
        <f>"1551601245039166"</f>
        <v>1551601245039166</v>
      </c>
      <c r="C6649" t="s">
        <v>40</v>
      </c>
      <c r="D6649">
        <v>4.3168490000000004</v>
      </c>
      <c r="E6649">
        <v>0.49188730000000003</v>
      </c>
      <c r="F6649" t="s">
        <v>58</v>
      </c>
      <c r="G6649">
        <v>0</v>
      </c>
      <c r="H6649">
        <v>0</v>
      </c>
      <c r="I6649">
        <v>0</v>
      </c>
      <c r="J6649">
        <v>-314.54809999999998</v>
      </c>
      <c r="K6649">
        <v>1.121515</v>
      </c>
      <c r="L6649">
        <v>141.9487</v>
      </c>
      <c r="M6649">
        <v>-0.9999034</v>
      </c>
      <c r="N6649">
        <v>-1.268937E-2</v>
      </c>
      <c r="O6649">
        <v>-5.6788699999999999E-3</v>
      </c>
      <c r="P6649">
        <v>-0.98865309999999995</v>
      </c>
      <c r="Q6649">
        <v>0.14991270000000001</v>
      </c>
      <c r="R6649">
        <v>9.5628429999999997E-3</v>
      </c>
      <c r="S6649">
        <v>-3.0315859999999999</v>
      </c>
      <c r="T6649">
        <v>2.0520449999999999E-2</v>
      </c>
      <c r="U6649">
        <v>-3.4576419999999997E-2</v>
      </c>
      <c r="V6649">
        <v>1.5144329999999999E-2</v>
      </c>
      <c r="W6649">
        <v>0.1624485</v>
      </c>
      <c r="X6649">
        <v>0.98660079999999994</v>
      </c>
      <c r="Y6649">
        <v>-5.7266959999999999E-3</v>
      </c>
      <c r="Z6649">
        <v>-1.274534E-4</v>
      </c>
      <c r="AA6649">
        <v>0.99998359999999997</v>
      </c>
      <c r="AB6649">
        <v>27</v>
      </c>
      <c r="AC6649">
        <v>-3.0315859999999999</v>
      </c>
      <c r="AD6649">
        <v>2.0520449999999999E-2</v>
      </c>
      <c r="AE6649">
        <v>-3.4576419999999997E-2</v>
      </c>
      <c r="AF6649">
        <v>-1.7357698846148399E-2</v>
      </c>
      <c r="AG6649">
        <v>2.0520449999999999E-2</v>
      </c>
      <c r="AH6649">
        <v>3.0315945960235799</v>
      </c>
      <c r="AI6649">
        <v>89.612184968955702</v>
      </c>
      <c r="AJ6649">
        <v>90.328049146087395</v>
      </c>
      <c r="AK6649">
        <v>3.03171373536764</v>
      </c>
      <c r="AL6649">
        <v>80.650955431031605</v>
      </c>
      <c r="AM6649">
        <v>89.120578402379607</v>
      </c>
      <c r="AN6649">
        <v>1.0000000022220099</v>
      </c>
    </row>
    <row r="6650" spans="1:40" x14ac:dyDescent="0.25">
      <c r="A6650" t="str">
        <f>"20190303162045069"</f>
        <v>20190303162045069</v>
      </c>
      <c r="B6650" t="str">
        <f>"1551601245059662"</f>
        <v>1551601245059662</v>
      </c>
      <c r="C6650" t="s">
        <v>40</v>
      </c>
      <c r="D6650">
        <v>4.2862730000000004</v>
      </c>
      <c r="E6650">
        <v>0.49170570000000002</v>
      </c>
      <c r="F6650" t="s">
        <v>58</v>
      </c>
      <c r="G6650">
        <v>0</v>
      </c>
      <c r="H6650">
        <v>0</v>
      </c>
      <c r="I6650">
        <v>0</v>
      </c>
      <c r="J6650">
        <v>-314.80810000000002</v>
      </c>
      <c r="K6650">
        <v>1.1215109999999999</v>
      </c>
      <c r="L6650">
        <v>141.947</v>
      </c>
      <c r="M6650">
        <v>-0.99990270000000003</v>
      </c>
      <c r="N6650">
        <v>-1.2688369999999999E-2</v>
      </c>
      <c r="O6650">
        <v>-5.812729E-3</v>
      </c>
      <c r="P6650">
        <v>-0.98864770000000002</v>
      </c>
      <c r="Q6650">
        <v>0.14999989999999999</v>
      </c>
      <c r="R6650">
        <v>8.7273469999999999E-3</v>
      </c>
      <c r="S6650">
        <v>-3.032349</v>
      </c>
      <c r="T6650">
        <v>1.6591789999999999E-2</v>
      </c>
      <c r="U6650">
        <v>-4.1839599999999998E-2</v>
      </c>
      <c r="V6650">
        <v>1.444111E-2</v>
      </c>
      <c r="W6650">
        <v>0.1625346</v>
      </c>
      <c r="X6650">
        <v>0.98659719999999995</v>
      </c>
      <c r="Y6650">
        <v>-7.9846810000000004E-3</v>
      </c>
      <c r="Z6650">
        <v>-1.3437240000000001E-4</v>
      </c>
      <c r="AA6650">
        <v>0.99996810000000003</v>
      </c>
      <c r="AB6650">
        <v>27</v>
      </c>
      <c r="AC6650">
        <v>-3.032349</v>
      </c>
      <c r="AD6650">
        <v>1.6591789999999999E-2</v>
      </c>
      <c r="AE6650">
        <v>-4.1839599999999998E-2</v>
      </c>
      <c r="AF6650">
        <v>-2.42105280466135E-2</v>
      </c>
      <c r="AG6650">
        <v>1.6591789999999999E-2</v>
      </c>
      <c r="AH6650">
        <v>3.03245021558299</v>
      </c>
      <c r="AI6650">
        <v>89.686524198992998</v>
      </c>
      <c r="AJ6650">
        <v>90.457429308381094</v>
      </c>
      <c r="AK6650">
        <v>3.0325922487457802</v>
      </c>
      <c r="AL6650">
        <v>80.645956161196196</v>
      </c>
      <c r="AM6650">
        <v>89.161404906880094</v>
      </c>
      <c r="AN6650">
        <v>1.00000003845151</v>
      </c>
    </row>
    <row r="6651" spans="1:40" x14ac:dyDescent="0.25">
      <c r="A6651" t="str">
        <f>"20190303162045091"</f>
        <v>20190303162045091</v>
      </c>
      <c r="B6651" t="str">
        <f>"1551601245079182"</f>
        <v>1551601245079182</v>
      </c>
      <c r="C6651" t="s">
        <v>40</v>
      </c>
      <c r="D6651">
        <v>4.2970350000000002</v>
      </c>
      <c r="E6651">
        <v>0.49174020000000002</v>
      </c>
      <c r="F6651" t="s">
        <v>58</v>
      </c>
      <c r="G6651">
        <v>0</v>
      </c>
      <c r="H6651">
        <v>0</v>
      </c>
      <c r="I6651">
        <v>0</v>
      </c>
      <c r="J6651">
        <v>-315.08159999999998</v>
      </c>
      <c r="K6651">
        <v>1.121515</v>
      </c>
      <c r="L6651">
        <v>141.9452</v>
      </c>
      <c r="M6651">
        <v>-0.99990179999999995</v>
      </c>
      <c r="N6651">
        <v>-1.268734E-2</v>
      </c>
      <c r="O6651">
        <v>-5.9532630000000003E-3</v>
      </c>
      <c r="P6651">
        <v>-0.98860619999999999</v>
      </c>
      <c r="Q6651">
        <v>0.1502771</v>
      </c>
      <c r="R6651">
        <v>8.6334549999999999E-3</v>
      </c>
      <c r="S6651">
        <v>-3.0325009999999999</v>
      </c>
      <c r="T6651">
        <v>1.5630600000000001E-2</v>
      </c>
      <c r="U6651">
        <v>-4.6325680000000001E-2</v>
      </c>
      <c r="V6651">
        <v>1.44856E-2</v>
      </c>
      <c r="W6651">
        <v>0.1628098</v>
      </c>
      <c r="X6651">
        <v>0.98655110000000001</v>
      </c>
      <c r="Y6651">
        <v>-9.3224229999999998E-3</v>
      </c>
      <c r="Z6651">
        <v>-1.4133160000000001E-4</v>
      </c>
      <c r="AA6651">
        <v>0.99995650000000003</v>
      </c>
      <c r="AB6651">
        <v>27</v>
      </c>
      <c r="AC6651">
        <v>-3.0325009999999999</v>
      </c>
      <c r="AD6651">
        <v>1.5630600000000001E-2</v>
      </c>
      <c r="AE6651">
        <v>-4.6325680000000001E-2</v>
      </c>
      <c r="AF6651">
        <v>-2.8269379064554699E-2</v>
      </c>
      <c r="AG6651">
        <v>1.5630600000000001E-2</v>
      </c>
      <c r="AH6651">
        <v>3.0326425133850301</v>
      </c>
      <c r="AI6651">
        <v>89.704706185769297</v>
      </c>
      <c r="AJ6651">
        <v>90.534078510929206</v>
      </c>
      <c r="AK6651">
        <v>3.0328145488043501</v>
      </c>
      <c r="AL6651">
        <v>80.629974839835597</v>
      </c>
      <c r="AM6651">
        <v>89.158782442435694</v>
      </c>
      <c r="AN6651">
        <v>0.99999996824730397</v>
      </c>
    </row>
    <row r="6652" spans="1:40" x14ac:dyDescent="0.25">
      <c r="A6652" t="str">
        <f>"20190303162045115"</f>
        <v>20190303162045115</v>
      </c>
      <c r="B6652" t="str">
        <f>"1551601245109438"</f>
        <v>1551601245109438</v>
      </c>
      <c r="C6652" t="s">
        <v>40</v>
      </c>
      <c r="D6652">
        <v>4.2863829999999998</v>
      </c>
      <c r="E6652">
        <v>0.4918498</v>
      </c>
      <c r="F6652" t="s">
        <v>58</v>
      </c>
      <c r="G6652">
        <v>0</v>
      </c>
      <c r="H6652">
        <v>0</v>
      </c>
      <c r="I6652">
        <v>0</v>
      </c>
      <c r="J6652">
        <v>-315.35660000000001</v>
      </c>
      <c r="K6652">
        <v>1.121523</v>
      </c>
      <c r="L6652">
        <v>141.9434</v>
      </c>
      <c r="M6652">
        <v>-0.99990100000000004</v>
      </c>
      <c r="N6652">
        <v>-1.2686309999999999E-2</v>
      </c>
      <c r="O6652">
        <v>-6.094393E-3</v>
      </c>
      <c r="P6652">
        <v>-0.98856180000000005</v>
      </c>
      <c r="Q6652">
        <v>0.15057690000000001</v>
      </c>
      <c r="R6652">
        <v>8.5024200000000001E-3</v>
      </c>
      <c r="S6652">
        <v>-3.0327449999999998</v>
      </c>
      <c r="T6652">
        <v>1.467299E-2</v>
      </c>
      <c r="U6652">
        <v>-4.6066280000000001E-2</v>
      </c>
      <c r="V6652">
        <v>1.449402E-2</v>
      </c>
      <c r="W6652">
        <v>0.16310759999999999</v>
      </c>
      <c r="X6652">
        <v>0.98650179999999998</v>
      </c>
      <c r="Y6652">
        <v>-9.0945260000000003E-3</v>
      </c>
      <c r="Z6652">
        <v>-1.4249099999999999E-4</v>
      </c>
      <c r="AA6652">
        <v>0.99995860000000003</v>
      </c>
      <c r="AB6652">
        <v>27</v>
      </c>
      <c r="AC6652">
        <v>-3.0327449999999998</v>
      </c>
      <c r="AD6652">
        <v>1.467299E-2</v>
      </c>
      <c r="AE6652">
        <v>-4.6066280000000001E-2</v>
      </c>
      <c r="AF6652">
        <v>-2.75805523685097E-2</v>
      </c>
      <c r="AG6652">
        <v>1.467299E-2</v>
      </c>
      <c r="AH6652">
        <v>3.0328984605741498</v>
      </c>
      <c r="AI6652">
        <v>89.7228199054355</v>
      </c>
      <c r="AJ6652">
        <v>90.521021626470997</v>
      </c>
      <c r="AK6652">
        <v>3.0330593557755399</v>
      </c>
      <c r="AL6652">
        <v>80.612681132670701</v>
      </c>
      <c r="AM6652">
        <v>89.158251482966406</v>
      </c>
      <c r="AN6652">
        <v>0.99999998359838005</v>
      </c>
    </row>
    <row r="6653" spans="1:40" x14ac:dyDescent="0.25">
      <c r="A6653" t="str">
        <f>"20190303162045137"</f>
        <v>20190303162045137</v>
      </c>
      <c r="B6653" t="str">
        <f>"1551601245128958"</f>
        <v>1551601245128958</v>
      </c>
      <c r="C6653" t="s">
        <v>40</v>
      </c>
      <c r="D6653">
        <v>4.2883310000000003</v>
      </c>
      <c r="E6653">
        <v>0.4919231</v>
      </c>
      <c r="F6653" t="s">
        <v>58</v>
      </c>
      <c r="G6653">
        <v>0</v>
      </c>
      <c r="H6653">
        <v>0</v>
      </c>
      <c r="I6653">
        <v>0</v>
      </c>
      <c r="J6653">
        <v>-315.61799999999999</v>
      </c>
      <c r="K6653">
        <v>1.121524</v>
      </c>
      <c r="L6653">
        <v>141.94159999999999</v>
      </c>
      <c r="M6653">
        <v>-0.99990020000000002</v>
      </c>
      <c r="N6653">
        <v>-1.268534E-2</v>
      </c>
      <c r="O6653">
        <v>-6.2288480000000004E-3</v>
      </c>
      <c r="P6653">
        <v>-0.98850720000000003</v>
      </c>
      <c r="Q6653">
        <v>0.15091209999999999</v>
      </c>
      <c r="R6653">
        <v>8.9005730000000002E-3</v>
      </c>
      <c r="S6653">
        <v>-3.0328059999999999</v>
      </c>
      <c r="T6653">
        <v>1.5159489999999999E-2</v>
      </c>
      <c r="U6653">
        <v>-4.5578E-2</v>
      </c>
      <c r="V6653">
        <v>1.5024829999999999E-2</v>
      </c>
      <c r="W6653">
        <v>0.16344159999999999</v>
      </c>
      <c r="X6653">
        <v>0.98643860000000005</v>
      </c>
      <c r="Y6653">
        <v>-8.7988349999999996E-3</v>
      </c>
      <c r="Z6653">
        <v>-1.4396959999999999E-4</v>
      </c>
      <c r="AA6653">
        <v>0.99996130000000005</v>
      </c>
      <c r="AB6653">
        <v>27</v>
      </c>
      <c r="AC6653">
        <v>-3.0328059999999999</v>
      </c>
      <c r="AD6653">
        <v>1.5159489999999999E-2</v>
      </c>
      <c r="AE6653">
        <v>-4.5578E-2</v>
      </c>
      <c r="AF6653">
        <v>-2.6684042600329801E-2</v>
      </c>
      <c r="AG6653">
        <v>1.5159489999999999E-2</v>
      </c>
      <c r="AH6653">
        <v>3.03295531561831</v>
      </c>
      <c r="AI6653">
        <v>89.713634439078902</v>
      </c>
      <c r="AJ6653">
        <v>90.504077184182094</v>
      </c>
      <c r="AK6653">
        <v>3.03311058070818</v>
      </c>
      <c r="AL6653">
        <v>80.593284266544998</v>
      </c>
      <c r="AM6653">
        <v>89.127373174145404</v>
      </c>
      <c r="AN6653">
        <v>1.00000000684852</v>
      </c>
    </row>
    <row r="6654" spans="1:40" x14ac:dyDescent="0.25">
      <c r="A6654" t="str">
        <f>"20190303162045160"</f>
        <v>20190303162045160</v>
      </c>
      <c r="B6654" t="str">
        <f>"1551601245149454"</f>
        <v>1551601245149454</v>
      </c>
      <c r="C6654" t="s">
        <v>40</v>
      </c>
      <c r="D6654">
        <v>4.2661290000000003</v>
      </c>
      <c r="E6654">
        <v>0.4920022</v>
      </c>
      <c r="F6654" t="s">
        <v>58</v>
      </c>
      <c r="G6654">
        <v>0</v>
      </c>
      <c r="H6654">
        <v>0</v>
      </c>
      <c r="I6654">
        <v>0</v>
      </c>
      <c r="J6654">
        <v>-315.89299999999997</v>
      </c>
      <c r="K6654">
        <v>1.121526</v>
      </c>
      <c r="L6654">
        <v>141.93969999999999</v>
      </c>
      <c r="M6654">
        <v>-0.99989930000000005</v>
      </c>
      <c r="N6654">
        <v>-1.2684279999999999E-2</v>
      </c>
      <c r="O6654">
        <v>-6.370573E-3</v>
      </c>
      <c r="P6654">
        <v>-0.98846800000000001</v>
      </c>
      <c r="Q6654">
        <v>0.15118239999999999</v>
      </c>
      <c r="R6654">
        <v>8.6724799999999998E-3</v>
      </c>
      <c r="S6654">
        <v>-3.0328369999999998</v>
      </c>
      <c r="T6654">
        <v>1.599658E-2</v>
      </c>
      <c r="U6654">
        <v>-4.3823239999999999E-2</v>
      </c>
      <c r="V6654">
        <v>1.493659E-2</v>
      </c>
      <c r="W6654">
        <v>0.16371069999999999</v>
      </c>
      <c r="X6654">
        <v>0.98639529999999997</v>
      </c>
      <c r="Y6654">
        <v>-8.0785530000000005E-3</v>
      </c>
      <c r="Z6654">
        <v>-1.4433919999999999E-4</v>
      </c>
      <c r="AA6654">
        <v>0.9999673</v>
      </c>
      <c r="AB6654">
        <v>27</v>
      </c>
      <c r="AC6654">
        <v>-3.0328369999999998</v>
      </c>
      <c r="AD6654">
        <v>1.599658E-2</v>
      </c>
      <c r="AE6654">
        <v>-4.3823239999999999E-2</v>
      </c>
      <c r="AF6654">
        <v>-2.4499206009505201E-2</v>
      </c>
      <c r="AG6654">
        <v>1.599658E-2</v>
      </c>
      <c r="AH6654">
        <v>3.0329702890146999</v>
      </c>
      <c r="AI6654">
        <v>89.697821595320207</v>
      </c>
      <c r="AJ6654">
        <v>90.462803932648697</v>
      </c>
      <c r="AK6654">
        <v>3.0331114182820098</v>
      </c>
      <c r="AL6654">
        <v>80.577655316944799</v>
      </c>
      <c r="AM6654">
        <v>89.132459202850896</v>
      </c>
      <c r="AN6654">
        <v>0.99999999143870399</v>
      </c>
    </row>
    <row r="6655" spans="1:40" x14ac:dyDescent="0.25">
      <c r="A6655" t="str">
        <f>"20190303162045180"</f>
        <v>20190303162045180</v>
      </c>
      <c r="B6655" t="str">
        <f>"1551601245168974"</f>
        <v>1551601245168974</v>
      </c>
      <c r="C6655" t="s">
        <v>40</v>
      </c>
      <c r="D6655">
        <v>4.2683819999999999</v>
      </c>
      <c r="E6655">
        <v>0.4919984</v>
      </c>
      <c r="F6655" t="s">
        <v>58</v>
      </c>
      <c r="G6655">
        <v>0</v>
      </c>
      <c r="H6655">
        <v>0</v>
      </c>
      <c r="I6655">
        <v>0</v>
      </c>
      <c r="J6655">
        <v>-316.13369999999998</v>
      </c>
      <c r="K6655">
        <v>1.1215280000000001</v>
      </c>
      <c r="L6655">
        <v>141.93799999999999</v>
      </c>
      <c r="M6655">
        <v>-0.99989839999999997</v>
      </c>
      <c r="N6655">
        <v>-1.2683349999999999E-2</v>
      </c>
      <c r="O6655">
        <v>-6.4940629999999996E-3</v>
      </c>
      <c r="P6655">
        <v>-0.98841029999999996</v>
      </c>
      <c r="Q6655">
        <v>0.15158559999999999</v>
      </c>
      <c r="R6655">
        <v>8.1830849999999997E-3</v>
      </c>
      <c r="S6655">
        <v>-3.0329280000000001</v>
      </c>
      <c r="T6655">
        <v>1.6098379999999999E-2</v>
      </c>
      <c r="U6655">
        <v>-4.3914790000000002E-2</v>
      </c>
      <c r="V6655">
        <v>1.4568630000000001E-2</v>
      </c>
      <c r="W6655">
        <v>0.1641119</v>
      </c>
      <c r="X6655">
        <v>0.98633409999999999</v>
      </c>
      <c r="Y6655">
        <v>-7.984817E-3</v>
      </c>
      <c r="Z6655">
        <v>-1.462833E-4</v>
      </c>
      <c r="AA6655">
        <v>0.99996810000000003</v>
      </c>
      <c r="AB6655">
        <v>27</v>
      </c>
      <c r="AC6655">
        <v>-3.0329280000000001</v>
      </c>
      <c r="AD6655">
        <v>1.6098379999999999E-2</v>
      </c>
      <c r="AE6655">
        <v>-4.3914790000000002E-2</v>
      </c>
      <c r="AF6655">
        <v>-2.4215570348036099E-2</v>
      </c>
      <c r="AG6655">
        <v>1.6098379999999999E-2</v>
      </c>
      <c r="AH6655">
        <v>3.0330638098033602</v>
      </c>
      <c r="AI6655">
        <v>89.695907757631005</v>
      </c>
      <c r="AJ6655">
        <v>90.457432018552595</v>
      </c>
      <c r="AK6655">
        <v>3.0332031956373799</v>
      </c>
      <c r="AL6655">
        <v>80.554352777612394</v>
      </c>
      <c r="AM6655">
        <v>89.153775259990695</v>
      </c>
      <c r="AN6655">
        <v>0.99999995876224701</v>
      </c>
    </row>
    <row r="6656" spans="1:40" x14ac:dyDescent="0.25">
      <c r="A6656" t="str">
        <f>"20190303162045203"</f>
        <v>20190303162045203</v>
      </c>
      <c r="B6656" t="str">
        <f>"1551601245189471"</f>
        <v>1551601245189471</v>
      </c>
      <c r="C6656" t="s">
        <v>40</v>
      </c>
      <c r="D6656">
        <v>4.2689859999999999</v>
      </c>
      <c r="E6656">
        <v>0.49204150000000002</v>
      </c>
      <c r="F6656" t="s">
        <v>58</v>
      </c>
      <c r="G6656">
        <v>0</v>
      </c>
      <c r="H6656">
        <v>0</v>
      </c>
      <c r="I6656">
        <v>0</v>
      </c>
      <c r="J6656">
        <v>-316.40539999999999</v>
      </c>
      <c r="K6656">
        <v>1.1215269999999999</v>
      </c>
      <c r="L6656">
        <v>141.93610000000001</v>
      </c>
      <c r="M6656">
        <v>-0.9998977</v>
      </c>
      <c r="N6656">
        <v>-1.2682300000000001E-2</v>
      </c>
      <c r="O6656">
        <v>-6.6336440000000002E-3</v>
      </c>
      <c r="P6656">
        <v>-0.98834040000000001</v>
      </c>
      <c r="Q6656">
        <v>0.15204309999999999</v>
      </c>
      <c r="R6656">
        <v>8.1580230000000004E-3</v>
      </c>
      <c r="S6656">
        <v>-3.0329280000000001</v>
      </c>
      <c r="T6656">
        <v>1.6646500000000002E-2</v>
      </c>
      <c r="U6656">
        <v>-4.5303339999999998E-2</v>
      </c>
      <c r="V6656">
        <v>1.4681140000000001E-2</v>
      </c>
      <c r="W6656">
        <v>0.1645672</v>
      </c>
      <c r="X6656">
        <v>0.98625660000000004</v>
      </c>
      <c r="Y6656">
        <v>-8.3029899999999997E-3</v>
      </c>
      <c r="Z6656">
        <v>-1.5040499999999999E-4</v>
      </c>
      <c r="AA6656">
        <v>0.99996549999999995</v>
      </c>
      <c r="AB6656">
        <v>27</v>
      </c>
      <c r="AC6656">
        <v>-3.0329280000000001</v>
      </c>
      <c r="AD6656">
        <v>1.6646500000000002E-2</v>
      </c>
      <c r="AE6656">
        <v>-4.5303339999999998E-2</v>
      </c>
      <c r="AF6656">
        <v>-2.51806043985566E-2</v>
      </c>
      <c r="AG6656">
        <v>1.6646500000000002E-2</v>
      </c>
      <c r="AH6656">
        <v>3.03307045682643</v>
      </c>
      <c r="AI6656">
        <v>89.685555688563198</v>
      </c>
      <c r="AJ6656">
        <v>90.475659643667896</v>
      </c>
      <c r="AK6656">
        <v>3.0332206587838999</v>
      </c>
      <c r="AL6656">
        <v>80.527906738595803</v>
      </c>
      <c r="AM6656">
        <v>89.147174032834499</v>
      </c>
      <c r="AN6656">
        <v>0.99999999011554896</v>
      </c>
    </row>
    <row r="6657" spans="1:40" x14ac:dyDescent="0.25">
      <c r="A6657" t="str">
        <f>"20190303162045227"</f>
        <v>20190303162045227</v>
      </c>
      <c r="B6657" t="str">
        <f>"1551601245218751"</f>
        <v>1551601245218751</v>
      </c>
      <c r="C6657" t="s">
        <v>40</v>
      </c>
      <c r="D6657">
        <v>4.2403529999999998</v>
      </c>
      <c r="E6657">
        <v>0.49205159999999998</v>
      </c>
      <c r="F6657" t="s">
        <v>58</v>
      </c>
      <c r="G6657">
        <v>0</v>
      </c>
      <c r="H6657">
        <v>0</v>
      </c>
      <c r="I6657">
        <v>0</v>
      </c>
      <c r="J6657">
        <v>-316.68329999999997</v>
      </c>
      <c r="K6657">
        <v>1.1215310000000001</v>
      </c>
      <c r="L6657">
        <v>141.9341</v>
      </c>
      <c r="M6657">
        <v>-0.99989680000000003</v>
      </c>
      <c r="N6657">
        <v>-1.268127E-2</v>
      </c>
      <c r="O6657">
        <v>-6.7765619999999999E-3</v>
      </c>
      <c r="P6657">
        <v>-0.98830200000000001</v>
      </c>
      <c r="Q6657">
        <v>0.15230450000000001</v>
      </c>
      <c r="R6657">
        <v>7.9473089999999996E-3</v>
      </c>
      <c r="S6657">
        <v>-3.0330509999999999</v>
      </c>
      <c r="T6657">
        <v>1.7536159999999999E-2</v>
      </c>
      <c r="U6657">
        <v>-4.5043949999999999E-2</v>
      </c>
      <c r="V6657">
        <v>1.4611590000000001E-2</v>
      </c>
      <c r="W6657">
        <v>0.1648269</v>
      </c>
      <c r="X6657">
        <v>0.98621429999999999</v>
      </c>
      <c r="Y6657">
        <v>-8.0740180000000005E-3</v>
      </c>
      <c r="Z6657">
        <v>-1.5296959999999999E-4</v>
      </c>
      <c r="AA6657">
        <v>0.99996739999999995</v>
      </c>
      <c r="AB6657">
        <v>27</v>
      </c>
      <c r="AC6657">
        <v>-3.0330509999999999</v>
      </c>
      <c r="AD6657">
        <v>1.7536159999999999E-2</v>
      </c>
      <c r="AE6657">
        <v>-4.5043949999999999E-2</v>
      </c>
      <c r="AF6657">
        <v>-2.44867897634834E-2</v>
      </c>
      <c r="AG6657">
        <v>1.7536159999999999E-2</v>
      </c>
      <c r="AH6657">
        <v>3.0331852433004101</v>
      </c>
      <c r="AI6657">
        <v>89.6687627218393</v>
      </c>
      <c r="AJ6657">
        <v>90.4625366131785</v>
      </c>
      <c r="AK6657">
        <v>3.03333477215355</v>
      </c>
      <c r="AL6657">
        <v>80.512821355908301</v>
      </c>
      <c r="AM6657">
        <v>89.151177192748605</v>
      </c>
      <c r="AN6657">
        <v>1.0000000255252099</v>
      </c>
    </row>
    <row r="6658" spans="1:40" x14ac:dyDescent="0.25">
      <c r="A6658" t="str">
        <f>"20190303162045247"</f>
        <v>20190303162045247</v>
      </c>
      <c r="B6658" t="str">
        <f>"1551601245239247"</f>
        <v>1551601245239247</v>
      </c>
      <c r="C6658" t="s">
        <v>40</v>
      </c>
      <c r="D6658">
        <v>4.2295189999999998</v>
      </c>
      <c r="E6658">
        <v>0.4921025</v>
      </c>
      <c r="F6658" t="s">
        <v>58</v>
      </c>
      <c r="G6658">
        <v>0</v>
      </c>
      <c r="H6658">
        <v>0</v>
      </c>
      <c r="I6658">
        <v>0</v>
      </c>
      <c r="J6658">
        <v>-316.92930000000001</v>
      </c>
      <c r="K6658">
        <v>1.121532</v>
      </c>
      <c r="L6658">
        <v>141.9323</v>
      </c>
      <c r="M6658">
        <v>-0.9998958</v>
      </c>
      <c r="N6658">
        <v>-1.268033E-2</v>
      </c>
      <c r="O6658">
        <v>-6.9031479999999996E-3</v>
      </c>
      <c r="P6658">
        <v>-0.98832869999999995</v>
      </c>
      <c r="Q6658">
        <v>0.15213550000000001</v>
      </c>
      <c r="R6658">
        <v>7.8275240000000006E-3</v>
      </c>
      <c r="S6658">
        <v>-3.0331730000000001</v>
      </c>
      <c r="T6658">
        <v>1.7670040000000001E-2</v>
      </c>
      <c r="U6658">
        <v>-4.5761110000000001E-2</v>
      </c>
      <c r="V6658">
        <v>1.4617099999999999E-2</v>
      </c>
      <c r="W6658">
        <v>0.164658</v>
      </c>
      <c r="X6658">
        <v>0.98624239999999996</v>
      </c>
      <c r="Y6658">
        <v>-8.1832329999999998E-3</v>
      </c>
      <c r="Z6658">
        <v>-1.557966E-4</v>
      </c>
      <c r="AA6658">
        <v>0.99996649999999998</v>
      </c>
      <c r="AB6658">
        <v>27</v>
      </c>
      <c r="AC6658">
        <v>-3.0331730000000001</v>
      </c>
      <c r="AD6658">
        <v>1.7670040000000001E-2</v>
      </c>
      <c r="AE6658">
        <v>-4.5761110000000001E-2</v>
      </c>
      <c r="AF6658">
        <v>-2.4819052258749998E-2</v>
      </c>
      <c r="AG6658">
        <v>1.7670040000000001E-2</v>
      </c>
      <c r="AH6658">
        <v>3.0333137181827299</v>
      </c>
      <c r="AI6658">
        <v>89.666248376704601</v>
      </c>
      <c r="AJ6658">
        <v>90.468792662254401</v>
      </c>
      <c r="AK6658">
        <v>3.0334667178962298</v>
      </c>
      <c r="AL6658">
        <v>80.522632367643993</v>
      </c>
      <c r="AM6658">
        <v>89.150881340523995</v>
      </c>
      <c r="AN6658">
        <v>0.99999999406708495</v>
      </c>
    </row>
    <row r="6659" spans="1:40" x14ac:dyDescent="0.25">
      <c r="A6659" t="str">
        <f>"20190303162045270"</f>
        <v>20190303162045270</v>
      </c>
      <c r="B6659" t="str">
        <f>"1551601245258767"</f>
        <v>1551601245258767</v>
      </c>
      <c r="C6659" t="s">
        <v>40</v>
      </c>
      <c r="D6659">
        <v>4.2365079999999997</v>
      </c>
      <c r="E6659">
        <v>0.49222109999999902</v>
      </c>
      <c r="F6659" t="s">
        <v>58</v>
      </c>
      <c r="G6659">
        <v>0</v>
      </c>
      <c r="H6659">
        <v>0</v>
      </c>
      <c r="I6659">
        <v>0</v>
      </c>
      <c r="J6659">
        <v>-317.19319999999999</v>
      </c>
      <c r="K6659">
        <v>1.1215329999999999</v>
      </c>
      <c r="L6659">
        <v>141.93029999999999</v>
      </c>
      <c r="M6659">
        <v>-0.99989490000000003</v>
      </c>
      <c r="N6659">
        <v>-1.2679320000000001E-2</v>
      </c>
      <c r="O6659">
        <v>-7.0389140000000003E-3</v>
      </c>
      <c r="P6659">
        <v>-0.98833579999999999</v>
      </c>
      <c r="Q6659">
        <v>0.15210309999999999</v>
      </c>
      <c r="R6659">
        <v>7.5292689999999999E-3</v>
      </c>
      <c r="S6659">
        <v>-3.0332029999999999</v>
      </c>
      <c r="T6659">
        <v>1.6757129999999999E-2</v>
      </c>
      <c r="U6659">
        <v>-4.579163E-2</v>
      </c>
      <c r="V6659">
        <v>1.445285E-2</v>
      </c>
      <c r="W6659">
        <v>0.1646242</v>
      </c>
      <c r="X6659">
        <v>0.98625050000000003</v>
      </c>
      <c r="Y6659">
        <v>-8.0573439999999993E-3</v>
      </c>
      <c r="Z6659">
        <v>-1.5696030000000001E-4</v>
      </c>
      <c r="AA6659">
        <v>0.99996750000000001</v>
      </c>
      <c r="AB6659">
        <v>27</v>
      </c>
      <c r="AC6659">
        <v>-3.0332029999999999</v>
      </c>
      <c r="AD6659">
        <v>1.6757129999999999E-2</v>
      </c>
      <c r="AE6659">
        <v>-4.579163E-2</v>
      </c>
      <c r="AF6659">
        <v>-2.4437579550337499E-2</v>
      </c>
      <c r="AG6659">
        <v>1.6757129999999999E-2</v>
      </c>
      <c r="AH6659">
        <v>3.03335763473169</v>
      </c>
      <c r="AI6659">
        <v>89.683495314507795</v>
      </c>
      <c r="AJ6659">
        <v>90.461580877521499</v>
      </c>
      <c r="AK6659">
        <v>3.03350235485077</v>
      </c>
      <c r="AL6659">
        <v>80.524596106010307</v>
      </c>
      <c r="AM6659">
        <v>89.160428271101495</v>
      </c>
      <c r="AN6659">
        <v>1.0000000304245</v>
      </c>
    </row>
    <row r="6660" spans="1:40" x14ac:dyDescent="0.25">
      <c r="A6660" t="str">
        <f>"20190303162045292"</f>
        <v>20190303162045292</v>
      </c>
      <c r="B6660" t="str">
        <f>"1551601245279262"</f>
        <v>1551601245279262</v>
      </c>
      <c r="C6660" t="s">
        <v>40</v>
      </c>
      <c r="D6660">
        <v>4.2145169999999998</v>
      </c>
      <c r="E6660">
        <v>0.49241449999999998</v>
      </c>
      <c r="F6660" t="s">
        <v>58</v>
      </c>
      <c r="G6660">
        <v>0</v>
      </c>
      <c r="H6660">
        <v>0</v>
      </c>
      <c r="I6660">
        <v>0</v>
      </c>
      <c r="J6660">
        <v>-317.46469999999999</v>
      </c>
      <c r="K6660">
        <v>1.121534</v>
      </c>
      <c r="L6660">
        <v>141.9281</v>
      </c>
      <c r="M6660">
        <v>-0.9998939</v>
      </c>
      <c r="N6660">
        <v>-1.2678299999999899E-2</v>
      </c>
      <c r="O6660">
        <v>-7.1788520000000003E-3</v>
      </c>
      <c r="P6660">
        <v>-0.98830030000000002</v>
      </c>
      <c r="Q6660">
        <v>0.152369899999999</v>
      </c>
      <c r="R6660">
        <v>6.7828819999999996E-3</v>
      </c>
      <c r="S6660">
        <v>-3.033264</v>
      </c>
      <c r="T6660">
        <v>1.6237379999999999E-2</v>
      </c>
      <c r="U6660">
        <v>-4.5486449999999998E-2</v>
      </c>
      <c r="V6660">
        <v>1.384462E-2</v>
      </c>
      <c r="W6660">
        <v>0.16488939999999999</v>
      </c>
      <c r="X6660">
        <v>0.98621490000000001</v>
      </c>
      <c r="Y6660">
        <v>-7.816501E-3</v>
      </c>
      <c r="Z6660">
        <v>-1.5807399999999999E-4</v>
      </c>
      <c r="AA6660">
        <v>0.99996940000000001</v>
      </c>
      <c r="AB6660">
        <v>27</v>
      </c>
      <c r="AC6660">
        <v>-3.033264</v>
      </c>
      <c r="AD6660">
        <v>1.6237379999999999E-2</v>
      </c>
      <c r="AE6660">
        <v>-4.5486449999999998E-2</v>
      </c>
      <c r="AF6660">
        <v>-2.3707495821007198E-2</v>
      </c>
      <c r="AG6660">
        <v>1.6237379999999999E-2</v>
      </c>
      <c r="AH6660">
        <v>3.0334254866590098</v>
      </c>
      <c r="AI6660">
        <v>89.693318312104907</v>
      </c>
      <c r="AJ6660">
        <v>90.447781494617999</v>
      </c>
      <c r="AK6660">
        <v>3.03356158351529</v>
      </c>
      <c r="AL6660">
        <v>80.509190528024305</v>
      </c>
      <c r="AM6660">
        <v>89.1957268203046</v>
      </c>
      <c r="AN6660">
        <v>1.00000000835865</v>
      </c>
    </row>
    <row r="6661" spans="1:40" x14ac:dyDescent="0.25">
      <c r="A6661" t="str">
        <f>"20190303162045316"</f>
        <v>20190303162045316</v>
      </c>
      <c r="B6661" t="str">
        <f>"1551601245309518"</f>
        <v>1551601245309518</v>
      </c>
      <c r="C6661" t="s">
        <v>40</v>
      </c>
      <c r="D6661">
        <v>4.1977029999999997</v>
      </c>
      <c r="E6661">
        <v>0.49273119999999998</v>
      </c>
      <c r="F6661" t="s">
        <v>58</v>
      </c>
      <c r="G6661">
        <v>0</v>
      </c>
      <c r="H6661">
        <v>0</v>
      </c>
      <c r="I6661">
        <v>0</v>
      </c>
      <c r="J6661">
        <v>-317.74209999999999</v>
      </c>
      <c r="K6661">
        <v>1.1215360000000001</v>
      </c>
      <c r="L6661">
        <v>141.92599999999999</v>
      </c>
      <c r="M6661">
        <v>-0.99989289999999997</v>
      </c>
      <c r="N6661">
        <v>-1.2677269999999999E-2</v>
      </c>
      <c r="O6661">
        <v>-7.3211750000000001E-3</v>
      </c>
      <c r="P6661">
        <v>-0.98821550000000002</v>
      </c>
      <c r="Q6661">
        <v>0.15294449999999901</v>
      </c>
      <c r="R6661">
        <v>6.1799439999999997E-3</v>
      </c>
      <c r="S6661">
        <v>-3.0334780000000001</v>
      </c>
      <c r="T6661">
        <v>1.506972E-2</v>
      </c>
      <c r="U6661">
        <v>-4.6493529999999998E-2</v>
      </c>
      <c r="V6661">
        <v>1.338173E-2</v>
      </c>
      <c r="W6661">
        <v>0.16546229999999901</v>
      </c>
      <c r="X6661">
        <v>0.98612529999999998</v>
      </c>
      <c r="Y6661">
        <v>-8.0049890000000005E-3</v>
      </c>
      <c r="Z6661">
        <v>-1.6004060000000001E-4</v>
      </c>
      <c r="AA6661">
        <v>0.99996790000000002</v>
      </c>
      <c r="AB6661">
        <v>27</v>
      </c>
      <c r="AC6661">
        <v>-3.0334780000000001</v>
      </c>
      <c r="AD6661">
        <v>1.506972E-2</v>
      </c>
      <c r="AE6661">
        <v>-4.6493529999999998E-2</v>
      </c>
      <c r="AF6661">
        <v>-2.4281277926394E-2</v>
      </c>
      <c r="AG6661">
        <v>1.506972E-2</v>
      </c>
      <c r="AH6661">
        <v>3.0336622534892399</v>
      </c>
      <c r="AI6661">
        <v>89.7153946203305</v>
      </c>
      <c r="AJ6661">
        <v>90.458582703909201</v>
      </c>
      <c r="AK6661">
        <v>3.03379685298209</v>
      </c>
      <c r="AL6661">
        <v>80.475908302620596</v>
      </c>
      <c r="AM6661">
        <v>89.222543428918897</v>
      </c>
      <c r="AN6661">
        <v>0.99999997535958596</v>
      </c>
    </row>
    <row r="6662" spans="1:40" x14ac:dyDescent="0.25">
      <c r="A6662" t="str">
        <f>"20190303162045337"</f>
        <v>20190303162045337</v>
      </c>
      <c r="B6662" t="str">
        <f>"1551601245329038"</f>
        <v>1551601245329038</v>
      </c>
      <c r="C6662" t="s">
        <v>40</v>
      </c>
      <c r="D6662">
        <v>4.1682399999999999</v>
      </c>
      <c r="E6662">
        <v>0.49297249999999998</v>
      </c>
      <c r="F6662" t="s">
        <v>58</v>
      </c>
      <c r="G6662">
        <v>0</v>
      </c>
      <c r="H6662">
        <v>0</v>
      </c>
      <c r="I6662">
        <v>0</v>
      </c>
      <c r="J6662">
        <v>-318.0059</v>
      </c>
      <c r="K6662">
        <v>1.1215349999999999</v>
      </c>
      <c r="L6662">
        <v>141.9239</v>
      </c>
      <c r="M6662">
        <v>-0.99989189999999994</v>
      </c>
      <c r="N6662">
        <v>-1.267629E-2</v>
      </c>
      <c r="O6662">
        <v>-7.4567030000000003E-3</v>
      </c>
      <c r="P6662">
        <v>-0.98814049999999998</v>
      </c>
      <c r="Q6662">
        <v>0.1534249</v>
      </c>
      <c r="R6662">
        <v>6.25868E-3</v>
      </c>
      <c r="S6662">
        <v>-3.0338129999999999</v>
      </c>
      <c r="T6662">
        <v>1.441216E-2</v>
      </c>
      <c r="U6662">
        <v>-4.6157839999999999E-2</v>
      </c>
      <c r="V6662">
        <v>1.35937E-2</v>
      </c>
      <c r="W6662">
        <v>0.16594049999999999</v>
      </c>
      <c r="X6662">
        <v>0.98604210000000003</v>
      </c>
      <c r="Y6662">
        <v>-7.7571180000000003E-3</v>
      </c>
      <c r="Z6662">
        <v>-1.60688E-4</v>
      </c>
      <c r="AA6662">
        <v>0.99996989999999997</v>
      </c>
      <c r="AB6662">
        <v>27</v>
      </c>
      <c r="AC6662">
        <v>-3.0338129999999999</v>
      </c>
      <c r="AD6662">
        <v>1.441216E-2</v>
      </c>
      <c r="AE6662">
        <v>-4.6157839999999999E-2</v>
      </c>
      <c r="AF6662">
        <v>-2.3531966477209398E-2</v>
      </c>
      <c r="AG6662">
        <v>1.441216E-2</v>
      </c>
      <c r="AH6662">
        <v>3.0340044009630498</v>
      </c>
      <c r="AI6662">
        <v>89.727843211147302</v>
      </c>
      <c r="AJ6662">
        <v>90.444381467364096</v>
      </c>
      <c r="AK6662">
        <v>3.0341298866174702</v>
      </c>
      <c r="AL6662">
        <v>80.448125920615098</v>
      </c>
      <c r="AM6662">
        <v>89.210163236615003</v>
      </c>
      <c r="AN6662">
        <v>1.00000003059617</v>
      </c>
    </row>
    <row r="6663" spans="1:40" x14ac:dyDescent="0.25">
      <c r="A6663" t="str">
        <f>"20190303162045360"</f>
        <v>20190303162045360</v>
      </c>
      <c r="B6663" t="str">
        <f>"1551601245349535"</f>
        <v>1551601245349535</v>
      </c>
      <c r="C6663" t="s">
        <v>40</v>
      </c>
      <c r="D6663">
        <v>4.1775190000000002</v>
      </c>
      <c r="E6663">
        <v>0.493174</v>
      </c>
      <c r="F6663" t="s">
        <v>58</v>
      </c>
      <c r="G6663">
        <v>0</v>
      </c>
      <c r="H6663">
        <v>0</v>
      </c>
      <c r="I6663">
        <v>0</v>
      </c>
      <c r="J6663">
        <v>-318.26659999999998</v>
      </c>
      <c r="K6663">
        <v>1.121537</v>
      </c>
      <c r="L6663">
        <v>141.92179999999999</v>
      </c>
      <c r="M6663">
        <v>-0.99989099999999997</v>
      </c>
      <c r="N6663">
        <v>-1.267534E-2</v>
      </c>
      <c r="O6663">
        <v>-7.5907989999999996E-3</v>
      </c>
      <c r="P6663">
        <v>-0.98815469999999905</v>
      </c>
      <c r="Q6663">
        <v>0.15333959999999999</v>
      </c>
      <c r="R6663">
        <v>6.1445249999999996E-3</v>
      </c>
      <c r="S6663">
        <v>-3.034119</v>
      </c>
      <c r="T6663">
        <v>1.412535E-2</v>
      </c>
      <c r="U6663">
        <v>-4.3960569999999997E-2</v>
      </c>
      <c r="V6663">
        <v>1.3612340000000001E-2</v>
      </c>
      <c r="W6663">
        <v>0.16585440000000001</v>
      </c>
      <c r="X6663">
        <v>0.9860563</v>
      </c>
      <c r="Y6663">
        <v>-6.8974659999999997E-3</v>
      </c>
      <c r="Z6663">
        <v>-1.5921379999999901E-4</v>
      </c>
      <c r="AA6663">
        <v>0.99997619999999998</v>
      </c>
      <c r="AB6663">
        <v>27</v>
      </c>
      <c r="AC6663">
        <v>-3.034119</v>
      </c>
      <c r="AD6663">
        <v>1.412535E-2</v>
      </c>
      <c r="AE6663">
        <v>-4.3960569999999997E-2</v>
      </c>
      <c r="AF6663">
        <v>-2.0925615388326602E-2</v>
      </c>
      <c r="AG6663">
        <v>1.412535E-2</v>
      </c>
      <c r="AH6663">
        <v>3.0342995432951798</v>
      </c>
      <c r="AI6663">
        <v>89.733283468931006</v>
      </c>
      <c r="AJ6663">
        <v>90.395125933235803</v>
      </c>
      <c r="AK6663">
        <v>3.0344045750910298</v>
      </c>
      <c r="AL6663">
        <v>80.453128133658495</v>
      </c>
      <c r="AM6663">
        <v>89.2090917198516</v>
      </c>
      <c r="AN6663">
        <v>1.00000000228466</v>
      </c>
    </row>
    <row r="6664" spans="1:40" x14ac:dyDescent="0.25">
      <c r="A6664" t="str">
        <f>"20190303162045382"</f>
        <v>20190303162045382</v>
      </c>
      <c r="B6664" t="str">
        <f>"1551601245369055"</f>
        <v>1551601245369055</v>
      </c>
      <c r="C6664" t="s">
        <v>40</v>
      </c>
      <c r="D6664">
        <v>4.1602360000000003</v>
      </c>
      <c r="E6664">
        <v>0.49333050000000001</v>
      </c>
      <c r="F6664" t="s">
        <v>58</v>
      </c>
      <c r="G6664">
        <v>0</v>
      </c>
      <c r="H6664">
        <v>0</v>
      </c>
      <c r="I6664">
        <v>0</v>
      </c>
      <c r="J6664">
        <v>-318.52980000000002</v>
      </c>
      <c r="K6664">
        <v>1.1215360000000001</v>
      </c>
      <c r="L6664">
        <v>141.9196</v>
      </c>
      <c r="M6664">
        <v>-0.9998899</v>
      </c>
      <c r="N6664">
        <v>-1.2674380000000001E-2</v>
      </c>
      <c r="O6664">
        <v>-7.7260879999999999E-3</v>
      </c>
      <c r="P6664">
        <v>-0.98812960000000005</v>
      </c>
      <c r="Q6664">
        <v>0.15349670000000001</v>
      </c>
      <c r="R6664">
        <v>6.21107E-3</v>
      </c>
      <c r="S6664">
        <v>-3.0342410000000002</v>
      </c>
      <c r="T6664">
        <v>1.2912989999999999E-2</v>
      </c>
      <c r="U6664">
        <v>-4.2617799999999997E-2</v>
      </c>
      <c r="V6664">
        <v>1.3812130000000001E-2</v>
      </c>
      <c r="W6664">
        <v>0.16601009999999999</v>
      </c>
      <c r="X6664">
        <v>0.98602730000000005</v>
      </c>
      <c r="Y6664">
        <v>-6.3190919999999897E-3</v>
      </c>
      <c r="Z6664">
        <v>-1.5740369999999999E-4</v>
      </c>
      <c r="AA6664">
        <v>0.99997999999999998</v>
      </c>
      <c r="AB6664">
        <v>27</v>
      </c>
      <c r="AC6664">
        <v>-3.0342410000000002</v>
      </c>
      <c r="AD6664">
        <v>1.2912989999999999E-2</v>
      </c>
      <c r="AE6664">
        <v>-4.2617799999999997E-2</v>
      </c>
      <c r="AF6664">
        <v>-1.9171486203546001E-2</v>
      </c>
      <c r="AG6664">
        <v>1.2912989999999999E-2</v>
      </c>
      <c r="AH6664">
        <v>3.0344247717666502</v>
      </c>
      <c r="AI6664">
        <v>89.7561842353429</v>
      </c>
      <c r="AJ6664">
        <v>90.361989739027095</v>
      </c>
      <c r="AK6664">
        <v>3.0345128087890898</v>
      </c>
      <c r="AL6664">
        <v>80.444081579649193</v>
      </c>
      <c r="AM6664">
        <v>89.197461368621404</v>
      </c>
      <c r="AN6664">
        <v>0.999999982291218</v>
      </c>
    </row>
    <row r="6665" spans="1:40" x14ac:dyDescent="0.25">
      <c r="A6665" t="str">
        <f>"20190303162045405"</f>
        <v>20190303162045405</v>
      </c>
      <c r="B6665" t="str">
        <f>"1551601245399311"</f>
        <v>1551601245399311</v>
      </c>
      <c r="C6665" t="s">
        <v>40</v>
      </c>
      <c r="D6665">
        <v>4.1370139999999997</v>
      </c>
      <c r="E6665">
        <v>0.49359259999999999</v>
      </c>
      <c r="F6665" t="s">
        <v>58</v>
      </c>
      <c r="G6665">
        <v>0</v>
      </c>
      <c r="H6665">
        <v>0</v>
      </c>
      <c r="I6665">
        <v>0</v>
      </c>
      <c r="J6665">
        <v>-318.78919999999999</v>
      </c>
      <c r="K6665">
        <v>1.1215280000000001</v>
      </c>
      <c r="L6665">
        <v>141.91739999999999</v>
      </c>
      <c r="M6665">
        <v>-0.99988889999999997</v>
      </c>
      <c r="N6665">
        <v>-1.267363E-2</v>
      </c>
      <c r="O6665">
        <v>-7.859352E-3</v>
      </c>
      <c r="P6665">
        <v>-0.98811420000000005</v>
      </c>
      <c r="Q6665">
        <v>0.15358949999999999</v>
      </c>
      <c r="R6665">
        <v>6.3819649999999999E-3</v>
      </c>
      <c r="S6665">
        <v>-3.034332</v>
      </c>
      <c r="T6665">
        <v>1.259387E-2</v>
      </c>
      <c r="U6665">
        <v>-4.1259770000000001E-2</v>
      </c>
      <c r="V6665">
        <v>1.411489E-2</v>
      </c>
      <c r="W6665">
        <v>0.16610179999999999</v>
      </c>
      <c r="X6665">
        <v>0.98600759999999998</v>
      </c>
      <c r="Y6665">
        <v>-5.7379240000000001E-3</v>
      </c>
      <c r="Z6665">
        <v>-1.5667989999999999E-4</v>
      </c>
      <c r="AA6665">
        <v>0.99998350000000003</v>
      </c>
      <c r="AB6665">
        <v>26</v>
      </c>
      <c r="AC6665">
        <v>-3.034332</v>
      </c>
      <c r="AD6665">
        <v>1.259387E-2</v>
      </c>
      <c r="AE6665">
        <v>-4.1259770000000001E-2</v>
      </c>
      <c r="AF6665">
        <v>-1.74083993321398E-2</v>
      </c>
      <c r="AG6665">
        <v>1.259387E-2</v>
      </c>
      <c r="AH6665">
        <v>3.03451030638369</v>
      </c>
      <c r="AI6665">
        <v>89.762215478057598</v>
      </c>
      <c r="AJ6665">
        <v>90.328691211174402</v>
      </c>
      <c r="AK6665">
        <v>3.0345863733757401</v>
      </c>
      <c r="AL6665">
        <v>80.438753877646107</v>
      </c>
      <c r="AM6665">
        <v>89.179855825066696</v>
      </c>
      <c r="AN6665">
        <v>1.0000000126703501</v>
      </c>
    </row>
    <row r="6666" spans="1:40" x14ac:dyDescent="0.25">
      <c r="A6666" t="str">
        <f>"20190303162045419"</f>
        <v>20190303162045419</v>
      </c>
      <c r="B6666" t="str">
        <f>"1551601245409071"</f>
        <v>1551601245409071</v>
      </c>
      <c r="C6666" t="s">
        <v>40</v>
      </c>
      <c r="D6666">
        <v>4.1443000000000003</v>
      </c>
      <c r="E6666">
        <v>0.49365940000000003</v>
      </c>
      <c r="F6666" t="s">
        <v>58</v>
      </c>
      <c r="G6666">
        <v>0</v>
      </c>
      <c r="H6666">
        <v>0</v>
      </c>
      <c r="I6666">
        <v>0</v>
      </c>
      <c r="J6666">
        <v>-318.97059999999999</v>
      </c>
      <c r="K6666">
        <v>1.121529</v>
      </c>
      <c r="L6666">
        <v>141.91579999999999</v>
      </c>
      <c r="M6666">
        <v>-0.9998882</v>
      </c>
      <c r="N6666">
        <v>-1.267297E-2</v>
      </c>
      <c r="O6666">
        <v>-7.9528029999999996E-3</v>
      </c>
      <c r="P6666">
        <v>-0.98807670000000003</v>
      </c>
      <c r="Q6666">
        <v>0.15383769999999999</v>
      </c>
      <c r="R6666">
        <v>6.2094200000000002E-3</v>
      </c>
      <c r="S6666">
        <v>-3.0346069999999998</v>
      </c>
      <c r="T6666">
        <v>1.116991E-2</v>
      </c>
      <c r="U6666">
        <v>-3.8925170000000002E-2</v>
      </c>
      <c r="V6666">
        <v>1.40343E-2</v>
      </c>
      <c r="W6666">
        <v>0.1663491</v>
      </c>
      <c r="X6666">
        <v>0.98596700000000004</v>
      </c>
      <c r="Y6666">
        <v>-4.8739859999999899E-3</v>
      </c>
      <c r="Z6666">
        <v>-1.519736E-4</v>
      </c>
      <c r="AA6666">
        <v>0.99998810000000005</v>
      </c>
      <c r="AB6666">
        <v>26</v>
      </c>
      <c r="AC6666">
        <v>-3.0346069999999998</v>
      </c>
      <c r="AD6666">
        <v>1.116991E-2</v>
      </c>
      <c r="AE6666">
        <v>-3.8925170000000002E-2</v>
      </c>
      <c r="AF6666">
        <v>-1.47881718209686E-2</v>
      </c>
      <c r="AG6666">
        <v>1.116991E-2</v>
      </c>
      <c r="AH6666">
        <v>3.0347794968620398</v>
      </c>
      <c r="AI6666">
        <v>89.789118710876295</v>
      </c>
      <c r="AJ6666">
        <v>90.2791942961952</v>
      </c>
      <c r="AK6666">
        <v>3.0348360831335501</v>
      </c>
      <c r="AL6666">
        <v>80.424384165922106</v>
      </c>
      <c r="AM6666">
        <v>89.184504289811599</v>
      </c>
      <c r="AN6666">
        <v>0.99999995486814897</v>
      </c>
    </row>
    <row r="6667" spans="1:40" x14ac:dyDescent="0.25">
      <c r="A6667" t="str">
        <f>"20190303162045437"</f>
        <v>20190303162045437</v>
      </c>
      <c r="B6667" t="str">
        <f>"1551601245428591"</f>
        <v>1551601245428591</v>
      </c>
      <c r="C6667" t="s">
        <v>40</v>
      </c>
      <c r="D6667">
        <v>4.150493</v>
      </c>
      <c r="E6667">
        <v>0.49382239999999999</v>
      </c>
      <c r="F6667" t="s">
        <v>58</v>
      </c>
      <c r="G6667">
        <v>0</v>
      </c>
      <c r="H6667">
        <v>0</v>
      </c>
      <c r="I6667">
        <v>0</v>
      </c>
      <c r="J6667">
        <v>-319.17779999999999</v>
      </c>
      <c r="K6667">
        <v>1.1215349999999999</v>
      </c>
      <c r="L6667">
        <v>141.91409999999999</v>
      </c>
      <c r="M6667">
        <v>-0.99988719999999998</v>
      </c>
      <c r="N6667">
        <v>-1.267217E-2</v>
      </c>
      <c r="O6667">
        <v>-8.0588869999999903E-3</v>
      </c>
      <c r="P6667">
        <v>-0.98804740000000002</v>
      </c>
      <c r="Q6667">
        <v>0.15403020000000001</v>
      </c>
      <c r="R6667">
        <v>6.0771239999999997E-3</v>
      </c>
      <c r="S6667">
        <v>-3.0346679999999999</v>
      </c>
      <c r="T6667">
        <v>1.132214E-2</v>
      </c>
      <c r="U6667">
        <v>-3.887939E-2</v>
      </c>
      <c r="V6667">
        <v>1.400669E-2</v>
      </c>
      <c r="W6667">
        <v>0.16654050000000001</v>
      </c>
      <c r="X6667">
        <v>0.98593520000000001</v>
      </c>
      <c r="Y6667">
        <v>-4.7525700000000002E-3</v>
      </c>
      <c r="Z6667">
        <v>-1.5343870000000001E-4</v>
      </c>
      <c r="AA6667">
        <v>0.99998869999999895</v>
      </c>
      <c r="AB6667">
        <v>26</v>
      </c>
      <c r="AC6667">
        <v>-3.0346679999999999</v>
      </c>
      <c r="AD6667">
        <v>1.132214E-2</v>
      </c>
      <c r="AE6667">
        <v>-3.887939E-2</v>
      </c>
      <c r="AF6667">
        <v>-1.4419915502025499E-2</v>
      </c>
      <c r="AG6667">
        <v>1.132214E-2</v>
      </c>
      <c r="AH6667">
        <v>3.0348405504855598</v>
      </c>
      <c r="AI6667">
        <v>89.7862489003587</v>
      </c>
      <c r="AJ6667">
        <v>90.272236405179498</v>
      </c>
      <c r="AK6667">
        <v>3.0348959276536598</v>
      </c>
      <c r="AL6667">
        <v>80.413263750196194</v>
      </c>
      <c r="AM6667">
        <v>89.186082169749497</v>
      </c>
      <c r="AN6667">
        <v>1.0000000720520199</v>
      </c>
    </row>
    <row r="6668" spans="1:40" x14ac:dyDescent="0.25">
      <c r="A6668" t="str">
        <f>"20190303162045459"</f>
        <v>20190303162045459</v>
      </c>
      <c r="B6668" t="str">
        <f>"1551601245449086"</f>
        <v>1551601245449086</v>
      </c>
      <c r="C6668" t="s">
        <v>40</v>
      </c>
      <c r="D6668">
        <v>4.1321240000000001</v>
      </c>
      <c r="E6668">
        <v>0.49395840000000002</v>
      </c>
      <c r="F6668" t="s">
        <v>58</v>
      </c>
      <c r="G6668">
        <v>0</v>
      </c>
      <c r="H6668">
        <v>0</v>
      </c>
      <c r="I6668">
        <v>0</v>
      </c>
      <c r="J6668">
        <v>-319.4427</v>
      </c>
      <c r="K6668">
        <v>1.1215360000000001</v>
      </c>
      <c r="L6668">
        <v>141.9118</v>
      </c>
      <c r="M6668">
        <v>-0.99988619999999995</v>
      </c>
      <c r="N6668">
        <v>-1.2671129999999999E-2</v>
      </c>
      <c r="O6668">
        <v>-8.1939349999999994E-3</v>
      </c>
      <c r="P6668">
        <v>-0.98804119999999995</v>
      </c>
      <c r="Q6668">
        <v>0.15407170000000001</v>
      </c>
      <c r="R6668">
        <v>6.0575639999999997E-3</v>
      </c>
      <c r="S6668">
        <v>-3.034729</v>
      </c>
      <c r="T6668">
        <v>1.1338350000000001E-2</v>
      </c>
      <c r="U6668">
        <v>-3.8177490000000001E-2</v>
      </c>
      <c r="V6668">
        <v>1.4120600000000001E-2</v>
      </c>
      <c r="W6668">
        <v>0.1665809</v>
      </c>
      <c r="X6668">
        <v>0.98592670000000004</v>
      </c>
      <c r="Y6668">
        <v>-4.3860100000000001E-3</v>
      </c>
      <c r="Z6668">
        <v>-1.54036E-4</v>
      </c>
      <c r="AA6668">
        <v>0.9999903</v>
      </c>
      <c r="AB6668">
        <v>26</v>
      </c>
      <c r="AC6668">
        <v>-3.034729</v>
      </c>
      <c r="AD6668">
        <v>1.1338350000000001E-2</v>
      </c>
      <c r="AE6668">
        <v>-3.8177490000000001E-2</v>
      </c>
      <c r="AF6668">
        <v>-1.3307655139402999E-2</v>
      </c>
      <c r="AG6668">
        <v>1.1338350000000001E-2</v>
      </c>
      <c r="AH6668">
        <v>3.03489759621633</v>
      </c>
      <c r="AI6668">
        <v>89.785946539079802</v>
      </c>
      <c r="AJ6668">
        <v>90.251233382300995</v>
      </c>
      <c r="AK6668">
        <v>3.0349479520060498</v>
      </c>
      <c r="AL6668">
        <v>80.410915730649506</v>
      </c>
      <c r="AM6668">
        <v>89.179456776706004</v>
      </c>
      <c r="AN6668">
        <v>1.00000002268102</v>
      </c>
    </row>
    <row r="6669" spans="1:40" x14ac:dyDescent="0.25">
      <c r="A6669" t="str">
        <f>"20190303162045482"</f>
        <v>20190303162045482</v>
      </c>
      <c r="B6669" t="str">
        <f>"1551601245468607"</f>
        <v>1551601245468607</v>
      </c>
      <c r="C6669" t="s">
        <v>40</v>
      </c>
      <c r="D6669">
        <v>4.1112169999999999</v>
      </c>
      <c r="E6669">
        <v>0.49407129999999999</v>
      </c>
      <c r="F6669" t="s">
        <v>58</v>
      </c>
      <c r="G6669">
        <v>0</v>
      </c>
      <c r="H6669">
        <v>0</v>
      </c>
      <c r="I6669">
        <v>0</v>
      </c>
      <c r="J6669">
        <v>-319.7131</v>
      </c>
      <c r="K6669">
        <v>1.1215360000000001</v>
      </c>
      <c r="L6669">
        <v>141.90940000000001</v>
      </c>
      <c r="M6669">
        <v>-0.99988500000000002</v>
      </c>
      <c r="N6669">
        <v>-1.267006E-2</v>
      </c>
      <c r="O6669">
        <v>-8.3308889999999993E-3</v>
      </c>
      <c r="P6669">
        <v>-0.98804530000000002</v>
      </c>
      <c r="Q6669">
        <v>0.15403020000000001</v>
      </c>
      <c r="R6669">
        <v>6.4169240000000001E-3</v>
      </c>
      <c r="S6669">
        <v>-3.0349119999999998</v>
      </c>
      <c r="T6669">
        <v>1.06138E-2</v>
      </c>
      <c r="U6669">
        <v>-3.7506100000000001E-2</v>
      </c>
      <c r="V6669">
        <v>1.461545E-2</v>
      </c>
      <c r="W6669">
        <v>0.16653860000000001</v>
      </c>
      <c r="X6669">
        <v>0.98592659999999999</v>
      </c>
      <c r="Y6669">
        <v>-4.0270760000000001E-3</v>
      </c>
      <c r="Z6669">
        <v>-1.531591E-4</v>
      </c>
      <c r="AA6669">
        <v>0.99999190000000004</v>
      </c>
      <c r="AB6669">
        <v>26</v>
      </c>
      <c r="AC6669">
        <v>-3.0349119999999998</v>
      </c>
      <c r="AD6669">
        <v>1.06138E-2</v>
      </c>
      <c r="AE6669">
        <v>-3.7506100000000001E-2</v>
      </c>
      <c r="AF6669">
        <v>-1.22191035188811E-2</v>
      </c>
      <c r="AG6669">
        <v>1.06138E-2</v>
      </c>
      <c r="AH6669">
        <v>3.0350820330630701</v>
      </c>
      <c r="AI6669">
        <v>89.799636869520896</v>
      </c>
      <c r="AJ6669">
        <v>90.230668980600498</v>
      </c>
      <c r="AK6669">
        <v>3.0351251879722301</v>
      </c>
      <c r="AL6669">
        <v>80.413373346681297</v>
      </c>
      <c r="AM6669">
        <v>89.150705267447805</v>
      </c>
      <c r="AN6669">
        <v>0.99999998862811101</v>
      </c>
    </row>
    <row r="6670" spans="1:40" x14ac:dyDescent="0.25">
      <c r="A6670" t="str">
        <f>"20190303162045505"</f>
        <v>20190303162045505</v>
      </c>
      <c r="B6670" t="str">
        <f>"1551601245498863"</f>
        <v>1551601245498863</v>
      </c>
      <c r="C6670" t="s">
        <v>40</v>
      </c>
      <c r="D6670">
        <v>4.1319939999999997</v>
      </c>
      <c r="E6670">
        <v>0.49426399999999998</v>
      </c>
      <c r="F6670" t="s">
        <v>58</v>
      </c>
      <c r="G6670">
        <v>0</v>
      </c>
      <c r="H6670">
        <v>0</v>
      </c>
      <c r="I6670">
        <v>0</v>
      </c>
      <c r="J6670">
        <v>-319.98140000000001</v>
      </c>
      <c r="K6670">
        <v>1.1215299999999999</v>
      </c>
      <c r="L6670">
        <v>141.90700000000001</v>
      </c>
      <c r="M6670">
        <v>-0.99988390000000005</v>
      </c>
      <c r="N6670">
        <v>-1.266901E-2</v>
      </c>
      <c r="O6670">
        <v>-8.4658149999999998E-3</v>
      </c>
      <c r="P6670">
        <v>-0.98808059999999998</v>
      </c>
      <c r="Q6670">
        <v>0.15378220000000001</v>
      </c>
      <c r="R6670">
        <v>6.9124679999999997E-3</v>
      </c>
      <c r="S6670">
        <v>-3.0350039999999998</v>
      </c>
      <c r="T6670">
        <v>9.6950530000000004E-3</v>
      </c>
      <c r="U6670">
        <v>-3.5629269999999998E-2</v>
      </c>
      <c r="V6670">
        <v>1.5244809999999999E-2</v>
      </c>
      <c r="W6670">
        <v>0.16628989999999999</v>
      </c>
      <c r="X6670">
        <v>0.98595909999999998</v>
      </c>
      <c r="Y6670">
        <v>-3.2734230000000001E-3</v>
      </c>
      <c r="Z6670">
        <v>-1.4980549999999999E-4</v>
      </c>
      <c r="AA6670">
        <v>0.99999459999999996</v>
      </c>
      <c r="AB6670">
        <v>26</v>
      </c>
      <c r="AC6670">
        <v>-3.0350039999999998</v>
      </c>
      <c r="AD6670">
        <v>9.6950530000000004E-3</v>
      </c>
      <c r="AE6670">
        <v>-3.5629269999999998E-2</v>
      </c>
      <c r="AF6670">
        <v>-9.9320468870061403E-3</v>
      </c>
      <c r="AG6670">
        <v>9.6950530000000004E-3</v>
      </c>
      <c r="AH6670">
        <v>3.0351659088282101</v>
      </c>
      <c r="AI6670">
        <v>89.816985043826804</v>
      </c>
      <c r="AJ6670">
        <v>90.187489697254705</v>
      </c>
      <c r="AK6670">
        <v>3.0351976432715202</v>
      </c>
      <c r="AL6670">
        <v>80.427824818303407</v>
      </c>
      <c r="AM6670">
        <v>89.114168451826202</v>
      </c>
      <c r="AN6670">
        <v>1.00000004097337</v>
      </c>
    </row>
    <row r="6671" spans="1:40" x14ac:dyDescent="0.25">
      <c r="A6671" t="str">
        <f>"20190303162045538"</f>
        <v>20190303162045538</v>
      </c>
      <c r="B6671" t="str">
        <f>"1551601245529118"</f>
        <v>1551601245529118</v>
      </c>
      <c r="C6671" t="s">
        <v>40</v>
      </c>
      <c r="D6671">
        <v>4.2182380000000004</v>
      </c>
      <c r="E6671">
        <v>0.49383880000000002</v>
      </c>
      <c r="F6671" t="s">
        <v>58</v>
      </c>
      <c r="G6671">
        <v>0</v>
      </c>
      <c r="H6671">
        <v>0</v>
      </c>
      <c r="I6671">
        <v>0</v>
      </c>
      <c r="J6671">
        <v>-320.37430000000001</v>
      </c>
      <c r="K6671">
        <v>1.1215329999999999</v>
      </c>
      <c r="L6671">
        <v>141.9034</v>
      </c>
      <c r="M6671">
        <v>-0.9998823</v>
      </c>
      <c r="N6671">
        <v>-1.2667370000000001E-2</v>
      </c>
      <c r="O6671">
        <v>-8.6631980000000004E-3</v>
      </c>
      <c r="P6671">
        <v>-0.98809789999999997</v>
      </c>
      <c r="Q6671">
        <v>0.15365509999999999</v>
      </c>
      <c r="R6671">
        <v>7.2903150000000003E-3</v>
      </c>
      <c r="S6671">
        <v>-3.0351870000000001</v>
      </c>
      <c r="T6671">
        <v>7.9343319999999901E-3</v>
      </c>
      <c r="U6671">
        <v>-3.2684329999999998E-2</v>
      </c>
      <c r="V6671">
        <v>1.5818240000000001E-2</v>
      </c>
      <c r="W6671">
        <v>0.166161</v>
      </c>
      <c r="X6671">
        <v>0.98597170000000001</v>
      </c>
      <c r="Y6671">
        <v>-2.1050930000000002E-3</v>
      </c>
      <c r="Z6671">
        <v>-1.4297020000000001E-4</v>
      </c>
      <c r="AA6671">
        <v>0.99999780000000005</v>
      </c>
      <c r="AB6671">
        <v>26</v>
      </c>
      <c r="AC6671">
        <v>-3.0351870000000001</v>
      </c>
      <c r="AD6671">
        <v>7.9343319999999901E-3</v>
      </c>
      <c r="AE6671">
        <v>-3.2684329999999998E-2</v>
      </c>
      <c r="AF6671">
        <v>-6.3865254846791897E-3</v>
      </c>
      <c r="AG6671">
        <v>7.9343319999999901E-3</v>
      </c>
      <c r="AH6671">
        <v>3.0353355163359801</v>
      </c>
      <c r="AI6671">
        <v>89.850230166412501</v>
      </c>
      <c r="AJ6671">
        <v>90.120553531585401</v>
      </c>
      <c r="AK6671">
        <v>3.03535260522772</v>
      </c>
      <c r="AL6671">
        <v>80.435313504286199</v>
      </c>
      <c r="AM6671">
        <v>89.080865459936604</v>
      </c>
      <c r="AN6671">
        <v>0.99999994391929203</v>
      </c>
    </row>
    <row r="6672" spans="1:40" x14ac:dyDescent="0.25">
      <c r="A6672" t="str">
        <f>"20190303162045562"</f>
        <v>20190303162045562</v>
      </c>
      <c r="B6672" t="str">
        <f>"1551601245549616"</f>
        <v>1551601245549616</v>
      </c>
      <c r="C6672" t="s">
        <v>40</v>
      </c>
      <c r="D6672">
        <v>4.2381869999999999</v>
      </c>
      <c r="E6672">
        <v>0.45919870000000002</v>
      </c>
      <c r="F6672" t="s">
        <v>58</v>
      </c>
      <c r="G6672">
        <v>0</v>
      </c>
      <c r="H6672">
        <v>0</v>
      </c>
      <c r="I6672">
        <v>0</v>
      </c>
      <c r="J6672">
        <v>-320.64359999999999</v>
      </c>
      <c r="K6672">
        <v>1.1215310000000001</v>
      </c>
      <c r="L6672">
        <v>141.90090000000001</v>
      </c>
      <c r="M6672">
        <v>-0.99988109999999997</v>
      </c>
      <c r="N6672">
        <v>-1.266631E-2</v>
      </c>
      <c r="O6672">
        <v>-8.7977719999999902E-3</v>
      </c>
      <c r="P6672">
        <v>-0.98814429999999998</v>
      </c>
      <c r="Q6672">
        <v>0.1533562</v>
      </c>
      <c r="R6672">
        <v>7.2716769999999998E-3</v>
      </c>
      <c r="S6672">
        <v>-3.0354000000000001</v>
      </c>
      <c r="T6672">
        <v>6.6032410000000001E-3</v>
      </c>
      <c r="U6672">
        <v>-3.4942630000000002E-2</v>
      </c>
      <c r="V6672">
        <v>1.5932890000000002E-2</v>
      </c>
      <c r="W6672">
        <v>0.16586189999999901</v>
      </c>
      <c r="X6672">
        <v>0.98602029999999996</v>
      </c>
      <c r="Y6672">
        <v>-2.7136009999999999E-3</v>
      </c>
      <c r="Z6672">
        <v>-1.4481070000000001E-4</v>
      </c>
      <c r="AA6672">
        <v>0.99999629999999995</v>
      </c>
      <c r="AB6672">
        <v>26</v>
      </c>
      <c r="AC6672">
        <v>-3.0354000000000001</v>
      </c>
      <c r="AD6672">
        <v>6.6032410000000001E-3</v>
      </c>
      <c r="AE6672">
        <v>-3.4942630000000002E-2</v>
      </c>
      <c r="AF6672">
        <v>-8.2343395915509092E-3</v>
      </c>
      <c r="AG6672">
        <v>6.6032410000000001E-3</v>
      </c>
      <c r="AH6672">
        <v>3.03557558596032</v>
      </c>
      <c r="AI6672">
        <v>89.8753660249902</v>
      </c>
      <c r="AJ6672">
        <v>90.155420853517199</v>
      </c>
      <c r="AK6672">
        <v>3.0355939361545898</v>
      </c>
      <c r="AL6672">
        <v>80.4526926415855</v>
      </c>
      <c r="AM6672">
        <v>89.074250386796805</v>
      </c>
      <c r="AN6672">
        <v>1.0000000294337199</v>
      </c>
    </row>
    <row r="6673" spans="1:40" x14ac:dyDescent="0.25">
      <c r="A6673" t="str">
        <f>"20190303162045582"</f>
        <v>20190303162045582</v>
      </c>
      <c r="B6673" t="str">
        <f>"1551601245569135"</f>
        <v>1551601245569135</v>
      </c>
      <c r="C6673" t="s">
        <v>40</v>
      </c>
      <c r="D6673">
        <v>4.1808300000000003</v>
      </c>
      <c r="E6673">
        <v>0.45834269999999999</v>
      </c>
      <c r="F6673" t="s">
        <v>58</v>
      </c>
      <c r="G6673">
        <v>0</v>
      </c>
      <c r="H6673">
        <v>0</v>
      </c>
      <c r="I6673">
        <v>0</v>
      </c>
      <c r="J6673">
        <v>-320.89030000000002</v>
      </c>
      <c r="K6673">
        <v>1.121529</v>
      </c>
      <c r="L6673">
        <v>141.89850000000001</v>
      </c>
      <c r="M6673">
        <v>-0.99987999999999999</v>
      </c>
      <c r="N6673">
        <v>-1.2665360000000001E-2</v>
      </c>
      <c r="O6673">
        <v>-8.920664E-3</v>
      </c>
      <c r="P6673">
        <v>-0.98817169999999999</v>
      </c>
      <c r="Q6673">
        <v>0.15318850000000001</v>
      </c>
      <c r="R6673">
        <v>7.0905129999999997E-3</v>
      </c>
      <c r="S6673">
        <v>-3.0404049999999998</v>
      </c>
      <c r="T6673">
        <v>-1.358962E-2</v>
      </c>
      <c r="U6673">
        <v>-0.31164550000000002</v>
      </c>
      <c r="V6673">
        <v>1.587361E-2</v>
      </c>
      <c r="W6673">
        <v>0.1656936</v>
      </c>
      <c r="X6673">
        <v>0.98604950000000002</v>
      </c>
      <c r="Y6673">
        <v>-9.3084829999999993E-2</v>
      </c>
      <c r="Z6673">
        <v>-8.7148110000000005E-4</v>
      </c>
      <c r="AA6673">
        <v>0.99565780000000004</v>
      </c>
      <c r="AB6673">
        <v>26</v>
      </c>
      <c r="AC6673">
        <v>-3.0404049999999998</v>
      </c>
      <c r="AD6673">
        <v>-1.358962E-2</v>
      </c>
      <c r="AE6673">
        <v>-0.31164550000000002</v>
      </c>
      <c r="AF6673">
        <v>-0.28450286595441998</v>
      </c>
      <c r="AG6673">
        <v>-1.358962E-2</v>
      </c>
      <c r="AH6673">
        <v>3.0430041499098501</v>
      </c>
      <c r="AI6673">
        <v>90.254762012775899</v>
      </c>
      <c r="AJ6673">
        <v>95.341289174384997</v>
      </c>
      <c r="AK6673">
        <v>3.0563050919168</v>
      </c>
      <c r="AL6673">
        <v>80.462470330098</v>
      </c>
      <c r="AM6673">
        <v>89.077721447555504</v>
      </c>
      <c r="AN6673">
        <v>0.99999997851281996</v>
      </c>
    </row>
    <row r="6674" spans="1:40" x14ac:dyDescent="0.25">
      <c r="A6674" t="str">
        <f>"20190303162045606"</f>
        <v>20190303162045606</v>
      </c>
      <c r="B6674" t="str">
        <f>"1551601245599391"</f>
        <v>1551601245599391</v>
      </c>
      <c r="C6674" t="s">
        <v>40</v>
      </c>
      <c r="D6674">
        <v>4.1652149999999999</v>
      </c>
      <c r="E6674">
        <v>0.45804119999999998</v>
      </c>
      <c r="F6674" t="s">
        <v>58</v>
      </c>
      <c r="G6674">
        <v>0</v>
      </c>
      <c r="H6674">
        <v>0</v>
      </c>
      <c r="I6674">
        <v>0</v>
      </c>
      <c r="J6674">
        <v>-321.16329999999999</v>
      </c>
      <c r="K6674">
        <v>1.121534</v>
      </c>
      <c r="L6674">
        <v>141.89590000000001</v>
      </c>
      <c r="M6674">
        <v>-0.99987879999999996</v>
      </c>
      <c r="N6674">
        <v>-1.266431E-2</v>
      </c>
      <c r="O6674">
        <v>-9.0559509999999996E-3</v>
      </c>
      <c r="P6674">
        <v>-0.98817560000000004</v>
      </c>
      <c r="Q6674">
        <v>0.15318870000000001</v>
      </c>
      <c r="R6674">
        <v>6.5171869999999998E-3</v>
      </c>
      <c r="S6674">
        <v>-3.0396730000000001</v>
      </c>
      <c r="T6674">
        <v>-9.4906090000000005E-3</v>
      </c>
      <c r="U6674">
        <v>-0.318573</v>
      </c>
      <c r="V6674">
        <v>1.5434160000000001E-2</v>
      </c>
      <c r="W6674">
        <v>0.1656927</v>
      </c>
      <c r="X6674">
        <v>0.98605659999999895</v>
      </c>
      <c r="Y6674">
        <v>-9.5220570000000004E-2</v>
      </c>
      <c r="Z6674">
        <v>-8.3907459999999997E-4</v>
      </c>
      <c r="AA6674">
        <v>0.99545589999999995</v>
      </c>
      <c r="AB6674">
        <v>26</v>
      </c>
      <c r="AC6674">
        <v>-3.0396730000000001</v>
      </c>
      <c r="AD6674">
        <v>-9.4906090000000005E-3</v>
      </c>
      <c r="AE6674">
        <v>-0.318573</v>
      </c>
      <c r="AF6674">
        <v>-0.29102779093070602</v>
      </c>
      <c r="AG6674">
        <v>-9.4906090000000005E-3</v>
      </c>
      <c r="AH6674">
        <v>3.0424042117133401</v>
      </c>
      <c r="AI6674">
        <v>90.177918241944496</v>
      </c>
      <c r="AJ6674">
        <v>95.464126734552295</v>
      </c>
      <c r="AK6674">
        <v>3.0563066983214102</v>
      </c>
      <c r="AL6674">
        <v>80.462522356778194</v>
      </c>
      <c r="AM6674">
        <v>89.103256323481006</v>
      </c>
      <c r="AN6674">
        <v>0.99999995126587604</v>
      </c>
    </row>
    <row r="6675" spans="1:40" x14ac:dyDescent="0.25">
      <c r="A6675" t="str">
        <f>"20190303162045626"</f>
        <v>20190303162045626</v>
      </c>
      <c r="B6675" t="str">
        <f>"1551601245618911"</f>
        <v>1551601245618911</v>
      </c>
      <c r="C6675" t="s">
        <v>40</v>
      </c>
      <c r="D6675">
        <v>4.1702110000000001</v>
      </c>
      <c r="E6675">
        <v>0.45822099999999999</v>
      </c>
      <c r="F6675" t="s">
        <v>58</v>
      </c>
      <c r="G6675">
        <v>0</v>
      </c>
      <c r="H6675">
        <v>0</v>
      </c>
      <c r="I6675">
        <v>0</v>
      </c>
      <c r="J6675">
        <v>-321.41649999999998</v>
      </c>
      <c r="K6675">
        <v>1.1215349999999999</v>
      </c>
      <c r="L6675">
        <v>141.89340000000001</v>
      </c>
      <c r="M6675">
        <v>-0.99987769999999998</v>
      </c>
      <c r="N6675">
        <v>-1.266337E-2</v>
      </c>
      <c r="O6675">
        <v>-9.1801439999999995E-3</v>
      </c>
      <c r="P6675">
        <v>-0.98809100000000005</v>
      </c>
      <c r="Q6675">
        <v>0.15376719999999999</v>
      </c>
      <c r="R6675">
        <v>5.6499019999999896E-3</v>
      </c>
      <c r="S6675">
        <v>-3.0396420000000002</v>
      </c>
      <c r="T6675">
        <v>-1.0719899999999999E-2</v>
      </c>
      <c r="U6675">
        <v>-0.32261659999999998</v>
      </c>
      <c r="V6675">
        <v>1.468884E-2</v>
      </c>
      <c r="W6675">
        <v>0.16626869999999999</v>
      </c>
      <c r="X6675">
        <v>0.98597109999999999</v>
      </c>
      <c r="Y6675">
        <v>-9.6407140000000002E-2</v>
      </c>
      <c r="Z6675">
        <v>-8.6535149999999897E-4</v>
      </c>
      <c r="AA6675">
        <v>0.99534160000000005</v>
      </c>
      <c r="AB6675">
        <v>26</v>
      </c>
      <c r="AC6675">
        <v>-3.0396420000000002</v>
      </c>
      <c r="AD6675">
        <v>-1.0719899999999999E-2</v>
      </c>
      <c r="AE6675">
        <v>-0.32261659999999998</v>
      </c>
      <c r="AF6675">
        <v>-0.29469279061707399</v>
      </c>
      <c r="AG6675">
        <v>-1.0719899999999999E-2</v>
      </c>
      <c r="AH6675">
        <v>3.0424383789398002</v>
      </c>
      <c r="AI6675">
        <v>90.200937973110797</v>
      </c>
      <c r="AJ6675">
        <v>95.532452061502894</v>
      </c>
      <c r="AK6675">
        <v>3.0566959362592101</v>
      </c>
      <c r="AL6675">
        <v>80.429056495813697</v>
      </c>
      <c r="AM6675">
        <v>89.146479767561502</v>
      </c>
      <c r="AN6675">
        <v>1.00000002632772</v>
      </c>
    </row>
    <row r="6676" spans="1:40" x14ac:dyDescent="0.25">
      <c r="A6676" t="str">
        <f>"20190303162045650"</f>
        <v>20190303162045650</v>
      </c>
      <c r="B6676" t="str">
        <f>"1551601245639407"</f>
        <v>1551601245639407</v>
      </c>
      <c r="C6676" t="s">
        <v>40</v>
      </c>
      <c r="D6676">
        <v>4.1624530000000002</v>
      </c>
      <c r="E6676">
        <v>0.45832600000000001</v>
      </c>
      <c r="F6676" t="s">
        <v>58</v>
      </c>
      <c r="G6676">
        <v>0</v>
      </c>
      <c r="H6676">
        <v>0</v>
      </c>
      <c r="I6676">
        <v>0</v>
      </c>
      <c r="J6676">
        <v>-321.6823</v>
      </c>
      <c r="K6676">
        <v>1.121537</v>
      </c>
      <c r="L6676">
        <v>141.89080000000001</v>
      </c>
      <c r="M6676">
        <v>-0.9998766</v>
      </c>
      <c r="N6676">
        <v>-1.26625E-2</v>
      </c>
      <c r="O6676">
        <v>-9.3090970000000006E-3</v>
      </c>
      <c r="P6676">
        <v>-0.98804519999999996</v>
      </c>
      <c r="Q6676">
        <v>0.15410019999999999</v>
      </c>
      <c r="R6676">
        <v>4.5021979999999998E-3</v>
      </c>
      <c r="S6676">
        <v>-3.0394589999999999</v>
      </c>
      <c r="T6676">
        <v>-9.3182330000000004E-3</v>
      </c>
      <c r="U6676">
        <v>-0.32388309999999998</v>
      </c>
      <c r="V6676">
        <v>1.366888E-2</v>
      </c>
      <c r="W6676">
        <v>0.1666002</v>
      </c>
      <c r="X6676">
        <v>0.98592979999999997</v>
      </c>
      <c r="Y6676">
        <v>-9.6695610000000001E-2</v>
      </c>
      <c r="Z6676">
        <v>-8.508783E-4</v>
      </c>
      <c r="AA6676">
        <v>0.99531360000000002</v>
      </c>
      <c r="AB6676">
        <v>26</v>
      </c>
      <c r="AC6676">
        <v>-3.0394589999999999</v>
      </c>
      <c r="AD6676">
        <v>-9.3182330000000004E-3</v>
      </c>
      <c r="AE6676">
        <v>-0.32388309999999998</v>
      </c>
      <c r="AF6676">
        <v>-0.29556943261192797</v>
      </c>
      <c r="AG6676">
        <v>-9.3182330000000004E-3</v>
      </c>
      <c r="AH6676">
        <v>3.04231430479172</v>
      </c>
      <c r="AI6676">
        <v>90.174666977035002</v>
      </c>
      <c r="AJ6676">
        <v>95.549032132984706</v>
      </c>
      <c r="AK6676">
        <v>3.0566524905689101</v>
      </c>
      <c r="AL6676">
        <v>80.4097942027649</v>
      </c>
      <c r="AM6676">
        <v>89.2057051495417</v>
      </c>
      <c r="AN6676">
        <v>1.0000000177242601</v>
      </c>
    </row>
    <row r="6677" spans="1:40" x14ac:dyDescent="0.25">
      <c r="A6677" t="str">
        <f>"20190303162045672"</f>
        <v>20190303162045672</v>
      </c>
      <c r="B6677" t="str">
        <f>"1551601245658926"</f>
        <v>1551601245658926</v>
      </c>
      <c r="C6677" t="s">
        <v>40</v>
      </c>
      <c r="D6677">
        <v>4.157794</v>
      </c>
      <c r="E6677">
        <v>0.45826460000000002</v>
      </c>
      <c r="F6677" t="s">
        <v>58</v>
      </c>
      <c r="G6677">
        <v>0</v>
      </c>
      <c r="H6677">
        <v>0</v>
      </c>
      <c r="I6677">
        <v>0</v>
      </c>
      <c r="J6677">
        <v>-321.95339999999999</v>
      </c>
      <c r="K6677">
        <v>1.121532</v>
      </c>
      <c r="L6677">
        <v>141.88810000000001</v>
      </c>
      <c r="M6677">
        <v>-0.99987539999999997</v>
      </c>
      <c r="N6677">
        <v>-1.266169E-2</v>
      </c>
      <c r="O6677">
        <v>-9.4398380000000007E-3</v>
      </c>
      <c r="P6677">
        <v>-0.98808090000000004</v>
      </c>
      <c r="Q6677">
        <v>0.15389929999999999</v>
      </c>
      <c r="R6677">
        <v>3.3351269999999998E-3</v>
      </c>
      <c r="S6677">
        <v>-3.0390320000000002</v>
      </c>
      <c r="T6677">
        <v>-7.9476830000000005E-3</v>
      </c>
      <c r="U6677">
        <v>-0.32662960000000002</v>
      </c>
      <c r="V6677">
        <v>1.2631659999999999E-2</v>
      </c>
      <c r="W6677">
        <v>0.1663994</v>
      </c>
      <c r="X6677">
        <v>0.98597749999999995</v>
      </c>
      <c r="Y6677">
        <v>-9.7469979999999998E-2</v>
      </c>
      <c r="Z6677">
        <v>-8.4054629999999995E-4</v>
      </c>
      <c r="AA6677">
        <v>0.99523810000000001</v>
      </c>
      <c r="AB6677">
        <v>26</v>
      </c>
      <c r="AC6677">
        <v>-3.0390320000000002</v>
      </c>
      <c r="AD6677">
        <v>-7.9476830000000005E-3</v>
      </c>
      <c r="AE6677">
        <v>-0.32662960000000002</v>
      </c>
      <c r="AF6677">
        <v>-0.29792276383542399</v>
      </c>
      <c r="AG6677">
        <v>-7.9476830000000005E-3</v>
      </c>
      <c r="AH6677">
        <v>3.0419595804941002</v>
      </c>
      <c r="AI6677">
        <v>90.148982700439007</v>
      </c>
      <c r="AJ6677">
        <v>95.593582692127896</v>
      </c>
      <c r="AK6677">
        <v>3.0565240434579102</v>
      </c>
      <c r="AL6677">
        <v>80.421461646308899</v>
      </c>
      <c r="AM6677">
        <v>89.266006359794204</v>
      </c>
      <c r="AN6677">
        <v>0.99999997483048197</v>
      </c>
    </row>
    <row r="6678" spans="1:40" x14ac:dyDescent="0.25">
      <c r="A6678" t="str">
        <f>"20190303162045694"</f>
        <v>20190303162045694</v>
      </c>
      <c r="B6678" t="str">
        <f>"1551601245689183"</f>
        <v>1551601245689183</v>
      </c>
      <c r="C6678" t="s">
        <v>40</v>
      </c>
      <c r="D6678">
        <v>4.2381820000000001</v>
      </c>
      <c r="E6678">
        <v>0.4584377</v>
      </c>
      <c r="F6678" t="s">
        <v>58</v>
      </c>
      <c r="G6678">
        <v>0</v>
      </c>
      <c r="H6678">
        <v>0</v>
      </c>
      <c r="I6678">
        <v>0</v>
      </c>
      <c r="J6678">
        <v>-322.2063</v>
      </c>
      <c r="K6678">
        <v>1.1215349999999999</v>
      </c>
      <c r="L6678">
        <v>141.88560000000001</v>
      </c>
      <c r="M6678">
        <v>-0.99987429999999999</v>
      </c>
      <c r="N6678">
        <v>-1.2660960000000001E-2</v>
      </c>
      <c r="O6678">
        <v>-9.560575E-3</v>
      </c>
      <c r="P6678">
        <v>-0.98803700000000005</v>
      </c>
      <c r="Q6678">
        <v>0.15419749999999999</v>
      </c>
      <c r="R6678">
        <v>2.5004010000000002E-3</v>
      </c>
      <c r="S6678">
        <v>-3.0386350000000002</v>
      </c>
      <c r="T6678">
        <v>-8.519769E-3</v>
      </c>
      <c r="U6678">
        <v>-0.330841099999999</v>
      </c>
      <c r="V6678">
        <v>1.1916349999999999E-2</v>
      </c>
      <c r="W6678">
        <v>0.16669610000000001</v>
      </c>
      <c r="X6678">
        <v>0.98593629999999999</v>
      </c>
      <c r="Y6678">
        <v>-9.8726690000000006E-2</v>
      </c>
      <c r="Z6678">
        <v>-8.5884729999999895E-4</v>
      </c>
      <c r="AA6678">
        <v>0.99511419999999995</v>
      </c>
      <c r="AB6678">
        <v>26</v>
      </c>
      <c r="AC6678">
        <v>-3.0386350000000002</v>
      </c>
      <c r="AD6678">
        <v>-8.519769E-3</v>
      </c>
      <c r="AE6678">
        <v>-0.330841099999999</v>
      </c>
      <c r="AF6678">
        <v>-0.30177021061534598</v>
      </c>
      <c r="AG6678">
        <v>-8.519769E-3</v>
      </c>
      <c r="AH6678">
        <v>3.0416357548897199</v>
      </c>
      <c r="AI6678">
        <v>90.159703759641999</v>
      </c>
      <c r="AJ6678">
        <v>95.665951849652004</v>
      </c>
      <c r="AK6678">
        <v>3.05658075501076</v>
      </c>
      <c r="AL6678">
        <v>80.404221328889093</v>
      </c>
      <c r="AM6678">
        <v>89.307538104061607</v>
      </c>
      <c r="AN6678">
        <v>0.99999998840511095</v>
      </c>
    </row>
    <row r="6679" spans="1:40" x14ac:dyDescent="0.25">
      <c r="A6679" t="str">
        <f>"20190303162045716"</f>
        <v>20190303162045716</v>
      </c>
      <c r="B6679" t="str">
        <f>"1551601245708703"</f>
        <v>1551601245708703</v>
      </c>
      <c r="C6679" t="s">
        <v>40</v>
      </c>
      <c r="D6679">
        <v>4.239357</v>
      </c>
      <c r="E6679">
        <v>0.45846510000000001</v>
      </c>
      <c r="F6679" t="s">
        <v>58</v>
      </c>
      <c r="G6679">
        <v>0</v>
      </c>
      <c r="H6679">
        <v>0</v>
      </c>
      <c r="I6679">
        <v>0</v>
      </c>
      <c r="J6679">
        <v>-322.46640000000002</v>
      </c>
      <c r="K6679">
        <v>1.121537</v>
      </c>
      <c r="L6679">
        <v>141.88290000000001</v>
      </c>
      <c r="M6679">
        <v>-0.99987300000000001</v>
      </c>
      <c r="N6679">
        <v>-1.266013E-2</v>
      </c>
      <c r="O6679">
        <v>-9.6832229999999995E-3</v>
      </c>
      <c r="P6679">
        <v>-0.98796459999999997</v>
      </c>
      <c r="Q6679">
        <v>0.1546652</v>
      </c>
      <c r="R6679">
        <v>2.2433269999999998E-3</v>
      </c>
      <c r="S6679">
        <v>-3.038116</v>
      </c>
      <c r="T6679">
        <v>-6.0417650000000002E-3</v>
      </c>
      <c r="U6679">
        <v>-0.331955</v>
      </c>
      <c r="V6679">
        <v>1.177988E-2</v>
      </c>
      <c r="W6679">
        <v>0.16716149999999999</v>
      </c>
      <c r="X6679">
        <v>0.98585919999999905</v>
      </c>
      <c r="Y6679">
        <v>-9.8984249999999996E-2</v>
      </c>
      <c r="Z6679">
        <v>-8.2964989999999999E-4</v>
      </c>
      <c r="AA6679">
        <v>0.99508859999999999</v>
      </c>
      <c r="AB6679">
        <v>26</v>
      </c>
      <c r="AC6679">
        <v>-3.038116</v>
      </c>
      <c r="AD6679">
        <v>-6.0417650000000002E-3</v>
      </c>
      <c r="AE6679">
        <v>-0.331955</v>
      </c>
      <c r="AF6679">
        <v>-0.30251714029409199</v>
      </c>
      <c r="AG6679">
        <v>-6.0417650000000002E-3</v>
      </c>
      <c r="AH6679">
        <v>3.0411763062816002</v>
      </c>
      <c r="AI6679">
        <v>90.113267726007393</v>
      </c>
      <c r="AJ6679">
        <v>95.680736884191006</v>
      </c>
      <c r="AK6679">
        <v>3.0561914941614199</v>
      </c>
      <c r="AL6679">
        <v>80.377176977378696</v>
      </c>
      <c r="AM6679">
        <v>89.315414119437705</v>
      </c>
      <c r="AN6679">
        <v>1.00000004743985</v>
      </c>
    </row>
    <row r="6680" spans="1:40" x14ac:dyDescent="0.25">
      <c r="A6680" t="str">
        <f>"20190303162045739"</f>
        <v>20190303162045739</v>
      </c>
      <c r="B6680" t="str">
        <f>"1551601245729199"</f>
        <v>1551601245729199</v>
      </c>
      <c r="C6680" t="s">
        <v>40</v>
      </c>
      <c r="D6680">
        <v>4.2252739999999998</v>
      </c>
      <c r="E6680">
        <v>0.45867780000000002</v>
      </c>
      <c r="F6680" t="s">
        <v>58</v>
      </c>
      <c r="G6680">
        <v>0</v>
      </c>
      <c r="H6680">
        <v>0</v>
      </c>
      <c r="I6680">
        <v>0</v>
      </c>
      <c r="J6680">
        <v>-322.73719999999997</v>
      </c>
      <c r="K6680">
        <v>1.121543</v>
      </c>
      <c r="L6680">
        <v>141.8801</v>
      </c>
      <c r="M6680">
        <v>-0.99987179999999998</v>
      </c>
      <c r="N6680">
        <v>-1.265929E-2</v>
      </c>
      <c r="O6680">
        <v>-9.810282E-3</v>
      </c>
      <c r="P6680">
        <v>-0.98801430000000001</v>
      </c>
      <c r="Q6680">
        <v>0.15434639999999999</v>
      </c>
      <c r="R6680">
        <v>2.206792E-3</v>
      </c>
      <c r="S6680">
        <v>-3.0380859999999998</v>
      </c>
      <c r="T6680">
        <v>-5.0563810000000004E-3</v>
      </c>
      <c r="U6680">
        <v>-0.33221440000000002</v>
      </c>
      <c r="V6680">
        <v>1.186953E-2</v>
      </c>
      <c r="W6680">
        <v>0.16684280000000001</v>
      </c>
      <c r="X6680">
        <v>0.98591209999999996</v>
      </c>
      <c r="Y6680">
        <v>-9.8943149999999994E-2</v>
      </c>
      <c r="Z6680">
        <v>-8.1782689999999999E-4</v>
      </c>
      <c r="AA6680">
        <v>0.99509270000000005</v>
      </c>
      <c r="AB6680">
        <v>26</v>
      </c>
      <c r="AC6680">
        <v>-3.0380859999999998</v>
      </c>
      <c r="AD6680">
        <v>-5.0563810000000004E-3</v>
      </c>
      <c r="AE6680">
        <v>-0.33221440000000002</v>
      </c>
      <c r="AF6680">
        <v>-0.30239071574184101</v>
      </c>
      <c r="AG6680">
        <v>-5.0563810000000004E-3</v>
      </c>
      <c r="AH6680">
        <v>3.0411908312746099</v>
      </c>
      <c r="AI6680">
        <v>90.094794259171593</v>
      </c>
      <c r="AJ6680">
        <v>95.678351429460093</v>
      </c>
      <c r="AK6680">
        <v>3.0561916471622701</v>
      </c>
      <c r="AL6680">
        <v>80.395697131689005</v>
      </c>
      <c r="AM6680">
        <v>89.310241633266003</v>
      </c>
      <c r="AN6680">
        <v>1.0000000372903299</v>
      </c>
    </row>
    <row r="6681" spans="1:40" x14ac:dyDescent="0.25">
      <c r="A6681" t="str">
        <f>"20190303162045762"</f>
        <v>20190303162045762</v>
      </c>
      <c r="B6681" t="str">
        <f>"1551601245748719"</f>
        <v>1551601245748719</v>
      </c>
      <c r="C6681" t="s">
        <v>40</v>
      </c>
      <c r="D6681">
        <v>4.226426</v>
      </c>
      <c r="E6681">
        <v>0.45880310000000002</v>
      </c>
      <c r="F6681" t="s">
        <v>58</v>
      </c>
      <c r="G6681">
        <v>0</v>
      </c>
      <c r="H6681">
        <v>0</v>
      </c>
      <c r="I6681">
        <v>0</v>
      </c>
      <c r="J6681">
        <v>-323.00290000000001</v>
      </c>
      <c r="K6681">
        <v>1.121542</v>
      </c>
      <c r="L6681">
        <v>141.87729999999999</v>
      </c>
      <c r="M6681">
        <v>-0.99987060000000005</v>
      </c>
      <c r="N6681">
        <v>-1.2658549999999999E-2</v>
      </c>
      <c r="O6681">
        <v>-9.934722E-3</v>
      </c>
      <c r="P6681">
        <v>-0.98801459999999997</v>
      </c>
      <c r="Q6681">
        <v>0.15434619999999999</v>
      </c>
      <c r="R6681">
        <v>2.143734E-3</v>
      </c>
      <c r="S6681">
        <v>-3.0379330000000002</v>
      </c>
      <c r="T6681">
        <v>-5.0585270000000002E-3</v>
      </c>
      <c r="U6681">
        <v>-0.33045960000000002</v>
      </c>
      <c r="V6681">
        <v>1.192973E-2</v>
      </c>
      <c r="W6681">
        <v>0.16684179999999901</v>
      </c>
      <c r="X6681">
        <v>0.98591150000000005</v>
      </c>
      <c r="Y6681">
        <v>-9.8256659999999996E-2</v>
      </c>
      <c r="Z6681">
        <v>-8.1423699999999999E-4</v>
      </c>
      <c r="AA6681">
        <v>0.99516079999999996</v>
      </c>
      <c r="AB6681">
        <v>26</v>
      </c>
      <c r="AC6681">
        <v>-3.0379330000000002</v>
      </c>
      <c r="AD6681">
        <v>-5.0585270000000002E-3</v>
      </c>
      <c r="AE6681">
        <v>-0.33045960000000002</v>
      </c>
      <c r="AF6681">
        <v>-0.30025903039109297</v>
      </c>
      <c r="AG6681">
        <v>-5.0585270000000002E-3</v>
      </c>
      <c r="AH6681">
        <v>3.04105800622238</v>
      </c>
      <c r="AI6681">
        <v>90.094845115940103</v>
      </c>
      <c r="AJ6681">
        <v>95.638825777751094</v>
      </c>
      <c r="AK6681">
        <v>3.05584928804352</v>
      </c>
      <c r="AL6681">
        <v>80.395754834457307</v>
      </c>
      <c r="AM6681">
        <v>89.306743228648799</v>
      </c>
      <c r="AN6681">
        <v>0.999999995258681</v>
      </c>
    </row>
    <row r="6682" spans="1:40" x14ac:dyDescent="0.25">
      <c r="A6682" t="str">
        <f>"20190303162045783"</f>
        <v>20190303162045783</v>
      </c>
      <c r="B6682" t="str">
        <f>"1551601245778975"</f>
        <v>1551601245778975</v>
      </c>
      <c r="C6682" t="s">
        <v>40</v>
      </c>
      <c r="D6682">
        <v>4.2912160000000004</v>
      </c>
      <c r="E6682">
        <v>0.45888689999999999</v>
      </c>
      <c r="F6682" t="s">
        <v>58</v>
      </c>
      <c r="G6682">
        <v>0</v>
      </c>
      <c r="H6682">
        <v>0</v>
      </c>
      <c r="I6682">
        <v>0</v>
      </c>
      <c r="J6682">
        <v>-323.26100000000002</v>
      </c>
      <c r="K6682">
        <v>1.12154</v>
      </c>
      <c r="L6682">
        <v>141.87459999999999</v>
      </c>
      <c r="M6682">
        <v>-0.99986940000000002</v>
      </c>
      <c r="N6682">
        <v>-1.265782E-2</v>
      </c>
      <c r="O6682">
        <v>-1.0055349999999999E-2</v>
      </c>
      <c r="P6682">
        <v>-0.988008</v>
      </c>
      <c r="Q6682">
        <v>0.15439169999999999</v>
      </c>
      <c r="R6682">
        <v>1.8624100000000001E-3</v>
      </c>
      <c r="S6682">
        <v>-3.0378419999999999</v>
      </c>
      <c r="T6682">
        <v>-4.5982599999999998E-3</v>
      </c>
      <c r="U6682">
        <v>-0.32968140000000001</v>
      </c>
      <c r="V6682">
        <v>1.176748E-2</v>
      </c>
      <c r="W6682">
        <v>0.16688649999999999</v>
      </c>
      <c r="X6682">
        <v>0.9859059</v>
      </c>
      <c r="Y6682">
        <v>-9.7888020000000006E-2</v>
      </c>
      <c r="Z6682">
        <v>-8.069908E-4</v>
      </c>
      <c r="AA6682">
        <v>0.99519709999999995</v>
      </c>
      <c r="AB6682">
        <v>26</v>
      </c>
      <c r="AC6682">
        <v>-3.0378419999999999</v>
      </c>
      <c r="AD6682">
        <v>-4.5982599999999998E-3</v>
      </c>
      <c r="AE6682">
        <v>-0.32968140000000001</v>
      </c>
      <c r="AF6682">
        <v>-0.299115042825083</v>
      </c>
      <c r="AG6682">
        <v>-4.5982599999999998E-3</v>
      </c>
      <c r="AH6682">
        <v>3.0409968342271001</v>
      </c>
      <c r="AI6682">
        <v>90.086220212657594</v>
      </c>
      <c r="AJ6682">
        <v>95.617591788606006</v>
      </c>
      <c r="AK6682">
        <v>3.0556754897434</v>
      </c>
      <c r="AL6682">
        <v>80.393157443735106</v>
      </c>
      <c r="AM6682">
        <v>89.3161670650058</v>
      </c>
      <c r="AN6682">
        <v>1.0000000105613001</v>
      </c>
    </row>
    <row r="6683" spans="1:40" x14ac:dyDescent="0.25">
      <c r="A6683" t="str">
        <f>"20190303162045806"</f>
        <v>20190303162045806</v>
      </c>
      <c r="B6683" t="str">
        <f>"1551601245799471"</f>
        <v>1551601245799471</v>
      </c>
      <c r="C6683" t="s">
        <v>40</v>
      </c>
      <c r="D6683">
        <v>4.2946519999999904</v>
      </c>
      <c r="E6683">
        <v>0.45888210000000001</v>
      </c>
      <c r="F6683" t="s">
        <v>58</v>
      </c>
      <c r="G6683">
        <v>0</v>
      </c>
      <c r="H6683">
        <v>0</v>
      </c>
      <c r="I6683">
        <v>0</v>
      </c>
      <c r="J6683">
        <v>-323.52170000000001</v>
      </c>
      <c r="K6683">
        <v>1.121534</v>
      </c>
      <c r="L6683">
        <v>141.87180000000001</v>
      </c>
      <c r="M6683">
        <v>-0.99986810000000004</v>
      </c>
      <c r="N6683">
        <v>-1.2657059999999999E-2</v>
      </c>
      <c r="O6683">
        <v>-1.0176330000000001E-2</v>
      </c>
      <c r="P6683">
        <v>-0.98799760000000003</v>
      </c>
      <c r="Q6683">
        <v>0.15446260000000001</v>
      </c>
      <c r="R6683">
        <v>1.481972E-3</v>
      </c>
      <c r="S6683">
        <v>-3.0379330000000002</v>
      </c>
      <c r="T6683">
        <v>-5.9792999999999999E-3</v>
      </c>
      <c r="U6683">
        <v>-0.32991029999999999</v>
      </c>
      <c r="V6683">
        <v>1.1506799999999999E-2</v>
      </c>
      <c r="W6683">
        <v>0.16695699999999999</v>
      </c>
      <c r="X6683">
        <v>0.98589700000000002</v>
      </c>
      <c r="Y6683">
        <v>-9.7838099999999997E-2</v>
      </c>
      <c r="Z6683">
        <v>-8.2549879999999998E-4</v>
      </c>
      <c r="AA6683">
        <v>0.99520200000000003</v>
      </c>
      <c r="AB6683">
        <v>26</v>
      </c>
      <c r="AC6683">
        <v>-3.0379330000000002</v>
      </c>
      <c r="AD6683">
        <v>-5.9792999999999999E-3</v>
      </c>
      <c r="AE6683">
        <v>-0.32991029999999999</v>
      </c>
      <c r="AF6683">
        <v>-0.29897458405759803</v>
      </c>
      <c r="AG6683">
        <v>-5.9792999999999999E-3</v>
      </c>
      <c r="AH6683">
        <v>3.0411215715548598</v>
      </c>
      <c r="AI6683">
        <v>90.112111456192295</v>
      </c>
      <c r="AJ6683">
        <v>95.614741897904096</v>
      </c>
      <c r="AK6683">
        <v>3.0557882725930501</v>
      </c>
      <c r="AL6683">
        <v>80.389060224248297</v>
      </c>
      <c r="AM6683">
        <v>89.331308299364196</v>
      </c>
      <c r="AN6683">
        <v>0.99999997045211897</v>
      </c>
    </row>
    <row r="6684" spans="1:40" x14ac:dyDescent="0.25">
      <c r="A6684" t="str">
        <f>"20190303162045828"</f>
        <v>20190303162045828</v>
      </c>
      <c r="B6684" t="str">
        <f>"1551601245818991"</f>
        <v>1551601245818991</v>
      </c>
      <c r="C6684" t="s">
        <v>40</v>
      </c>
      <c r="D6684">
        <v>4.3050850000000001</v>
      </c>
      <c r="E6684">
        <v>0.45887529999999999</v>
      </c>
      <c r="F6684" t="s">
        <v>58</v>
      </c>
      <c r="G6684">
        <v>0</v>
      </c>
      <c r="H6684">
        <v>0</v>
      </c>
      <c r="I6684">
        <v>0</v>
      </c>
      <c r="J6684">
        <v>-323.78190000000001</v>
      </c>
      <c r="K6684">
        <v>1.1215379999999999</v>
      </c>
      <c r="L6684">
        <v>141.869</v>
      </c>
      <c r="M6684">
        <v>-0.99986710000000001</v>
      </c>
      <c r="N6684">
        <v>-1.2656290000000001E-2</v>
      </c>
      <c r="O6684">
        <v>-1.029419E-2</v>
      </c>
      <c r="P6684">
        <v>-0.9879793</v>
      </c>
      <c r="Q6684">
        <v>0.15458440000000001</v>
      </c>
      <c r="R6684">
        <v>1.020527E-3</v>
      </c>
      <c r="S6684">
        <v>-3.0381469999999999</v>
      </c>
      <c r="T6684">
        <v>-7.5048210000000001E-3</v>
      </c>
      <c r="U6684">
        <v>-0.330841099999999</v>
      </c>
      <c r="V6684">
        <v>1.1162190000000001E-2</v>
      </c>
      <c r="W6684">
        <v>0.16707739999999999</v>
      </c>
      <c r="X6684">
        <v>0.9858806</v>
      </c>
      <c r="Y6684">
        <v>-9.8014130000000005E-2</v>
      </c>
      <c r="Z6684">
        <v>-8.4738490000000005E-4</v>
      </c>
      <c r="AA6684">
        <v>0.99518470000000003</v>
      </c>
      <c r="AB6684">
        <v>26</v>
      </c>
      <c r="AC6684">
        <v>-3.0381469999999999</v>
      </c>
      <c r="AD6684">
        <v>-7.5048210000000001E-3</v>
      </c>
      <c r="AE6684">
        <v>-0.330841099999999</v>
      </c>
      <c r="AF6684">
        <v>-0.299543998854922</v>
      </c>
      <c r="AG6684">
        <v>-7.5048210000000001E-3</v>
      </c>
      <c r="AH6684">
        <v>3.0413736659855899</v>
      </c>
      <c r="AI6684">
        <v>90.140700645685598</v>
      </c>
      <c r="AJ6684">
        <v>95.624903695148305</v>
      </c>
      <c r="AK6684">
        <v>3.0560982814266402</v>
      </c>
      <c r="AL6684">
        <v>80.382063869748094</v>
      </c>
      <c r="AM6684">
        <v>89.351322004248999</v>
      </c>
      <c r="AN6684">
        <v>1.00000000476635</v>
      </c>
    </row>
    <row r="6685" spans="1:40" x14ac:dyDescent="0.25">
      <c r="A6685" t="str">
        <f>"20190303162045850"</f>
        <v>20190303162045850</v>
      </c>
      <c r="B6685" t="str">
        <f>"1551601245839487"</f>
        <v>1551601245839487</v>
      </c>
      <c r="C6685" t="s">
        <v>40</v>
      </c>
      <c r="D6685">
        <v>4.2981569999999998</v>
      </c>
      <c r="E6685">
        <v>0.45898949999999999</v>
      </c>
      <c r="F6685" t="s">
        <v>58</v>
      </c>
      <c r="G6685">
        <v>0</v>
      </c>
      <c r="H6685">
        <v>0</v>
      </c>
      <c r="I6685">
        <v>0</v>
      </c>
      <c r="J6685">
        <v>-324.04259999999999</v>
      </c>
      <c r="K6685">
        <v>1.1215349999999999</v>
      </c>
      <c r="L6685">
        <v>141.86619999999999</v>
      </c>
      <c r="M6685">
        <v>-0.99986580000000003</v>
      </c>
      <c r="N6685">
        <v>-1.265551E-2</v>
      </c>
      <c r="O6685">
        <v>-1.0410259999999999E-2</v>
      </c>
      <c r="P6685">
        <v>-0.98792570000000002</v>
      </c>
      <c r="Q6685">
        <v>0.1549237</v>
      </c>
      <c r="R6685">
        <v>1.270361E-3</v>
      </c>
      <c r="S6685">
        <v>-3.0381469999999999</v>
      </c>
      <c r="T6685">
        <v>-8.3348750000000003E-3</v>
      </c>
      <c r="U6685">
        <v>-0.33236690000000002</v>
      </c>
      <c r="V6685">
        <v>1.152691E-2</v>
      </c>
      <c r="W6685">
        <v>0.16741539999999999</v>
      </c>
      <c r="X6685">
        <v>0.985819</v>
      </c>
      <c r="Y6685">
        <v>-9.8392279999999999E-2</v>
      </c>
      <c r="Z6685">
        <v>-8.6196059999999895E-4</v>
      </c>
      <c r="AA6685">
        <v>0.99514729999999996</v>
      </c>
      <c r="AB6685">
        <v>26</v>
      </c>
      <c r="AC6685">
        <v>-3.0381469999999999</v>
      </c>
      <c r="AD6685">
        <v>-8.3348750000000003E-3</v>
      </c>
      <c r="AE6685">
        <v>-0.33236690000000002</v>
      </c>
      <c r="AF6685">
        <v>-0.30071621937794002</v>
      </c>
      <c r="AG6685">
        <v>-8.3348750000000003E-3</v>
      </c>
      <c r="AH6685">
        <v>3.0414200246751601</v>
      </c>
      <c r="AI6685">
        <v>90.156254209094996</v>
      </c>
      <c r="AJ6685">
        <v>95.646688411799204</v>
      </c>
      <c r="AK6685">
        <v>3.05626168402401</v>
      </c>
      <c r="AL6685">
        <v>80.362420634077793</v>
      </c>
      <c r="AM6685">
        <v>89.330086762644896</v>
      </c>
      <c r="AN6685">
        <v>0.99999994328615205</v>
      </c>
    </row>
    <row r="6686" spans="1:40" x14ac:dyDescent="0.25">
      <c r="A6686" t="str">
        <f>"20190303162045872"</f>
        <v>20190303162045872</v>
      </c>
      <c r="B6686" t="str">
        <f>"1551601245868767"</f>
        <v>1551601245868767</v>
      </c>
      <c r="C6686" t="s">
        <v>40</v>
      </c>
      <c r="D6686">
        <v>4.275156</v>
      </c>
      <c r="E6686">
        <v>0.45927190000000001</v>
      </c>
      <c r="F6686" t="s">
        <v>58</v>
      </c>
      <c r="G6686">
        <v>0</v>
      </c>
      <c r="H6686">
        <v>0</v>
      </c>
      <c r="I6686">
        <v>0</v>
      </c>
      <c r="J6686">
        <v>-324.30360000000002</v>
      </c>
      <c r="K6686">
        <v>1.121534</v>
      </c>
      <c r="L6686">
        <v>141.86330000000001</v>
      </c>
      <c r="M6686">
        <v>-0.99986459999999999</v>
      </c>
      <c r="N6686">
        <v>-1.265469E-2</v>
      </c>
      <c r="O6686">
        <v>-1.052287E-2</v>
      </c>
      <c r="P6686">
        <v>-0.98799400000000004</v>
      </c>
      <c r="Q6686">
        <v>0.15448529999999999</v>
      </c>
      <c r="R6686">
        <v>1.5807690000000001E-3</v>
      </c>
      <c r="S6686">
        <v>-3.038208</v>
      </c>
      <c r="T6686">
        <v>-7.2968009999999899E-3</v>
      </c>
      <c r="U6686">
        <v>-0.33111570000000001</v>
      </c>
      <c r="V6686">
        <v>1.195039E-2</v>
      </c>
      <c r="W6686">
        <v>0.16697679999999901</v>
      </c>
      <c r="X6686">
        <v>0.9858884</v>
      </c>
      <c r="Y6686">
        <v>-9.7873370000000001E-2</v>
      </c>
      <c r="Z6686">
        <v>-8.4592390000000003E-4</v>
      </c>
      <c r="AA6686">
        <v>0.99519849999999999</v>
      </c>
      <c r="AB6686">
        <v>26</v>
      </c>
      <c r="AC6686">
        <v>-3.038208</v>
      </c>
      <c r="AD6686">
        <v>-7.2968009999999899E-3</v>
      </c>
      <c r="AE6686">
        <v>-0.33111570000000001</v>
      </c>
      <c r="AF6686">
        <v>-0.299122432510252</v>
      </c>
      <c r="AG6686">
        <v>-7.2968009999999899E-3</v>
      </c>
      <c r="AH6686">
        <v>3.0415069854794798</v>
      </c>
      <c r="AI6686">
        <v>90.136796603809401</v>
      </c>
      <c r="AJ6686">
        <v>95.616793449670396</v>
      </c>
      <c r="AK6686">
        <v>3.0561891655550601</v>
      </c>
      <c r="AL6686">
        <v>80.387909906780294</v>
      </c>
      <c r="AM6686">
        <v>89.305526488626001</v>
      </c>
      <c r="AN6686">
        <v>1.00000000040697</v>
      </c>
    </row>
    <row r="6687" spans="1:40" x14ac:dyDescent="0.25">
      <c r="A6687" t="str">
        <f>"20190303162045895"</f>
        <v>20190303162045895</v>
      </c>
      <c r="B6687" t="str">
        <f>"1551601245889263"</f>
        <v>1551601245889263</v>
      </c>
      <c r="C6687" t="s">
        <v>40</v>
      </c>
      <c r="D6687">
        <v>4.2743190000000002</v>
      </c>
      <c r="E6687">
        <v>0.45933309999999999</v>
      </c>
      <c r="F6687" t="s">
        <v>58</v>
      </c>
      <c r="G6687">
        <v>0</v>
      </c>
      <c r="H6687">
        <v>0</v>
      </c>
      <c r="I6687">
        <v>0</v>
      </c>
      <c r="J6687">
        <v>-324.57069999999999</v>
      </c>
      <c r="K6687">
        <v>1.121534</v>
      </c>
      <c r="L6687">
        <v>141.8604</v>
      </c>
      <c r="M6687">
        <v>-0.99986339999999996</v>
      </c>
      <c r="N6687">
        <v>-1.265383E-2</v>
      </c>
      <c r="O6687">
        <v>-1.063367E-2</v>
      </c>
      <c r="P6687">
        <v>-0.98802469999999998</v>
      </c>
      <c r="Q6687">
        <v>0.15428620000000001</v>
      </c>
      <c r="R6687">
        <v>1.7444120000000001E-3</v>
      </c>
      <c r="S6687">
        <v>-3.0382690000000001</v>
      </c>
      <c r="T6687">
        <v>-7.9748630000000004E-3</v>
      </c>
      <c r="U6687">
        <v>-0.32832339999999999</v>
      </c>
      <c r="V6687">
        <v>1.2225069999999999E-2</v>
      </c>
      <c r="W6687">
        <v>0.16677739999999999</v>
      </c>
      <c r="X6687">
        <v>0.98591879999999998</v>
      </c>
      <c r="Y6687">
        <v>-9.6856700000000004E-2</v>
      </c>
      <c r="Z6687">
        <v>-8.4772690000000002E-4</v>
      </c>
      <c r="AA6687">
        <v>0.99529800000000002</v>
      </c>
      <c r="AB6687">
        <v>26</v>
      </c>
      <c r="AC6687">
        <v>-3.0382690000000001</v>
      </c>
      <c r="AD6687">
        <v>-7.9748630000000004E-3</v>
      </c>
      <c r="AE6687">
        <v>-0.32832339999999999</v>
      </c>
      <c r="AF6687">
        <v>-0.29599228161623298</v>
      </c>
      <c r="AG6687">
        <v>-7.9748630000000004E-3</v>
      </c>
      <c r="AH6687">
        <v>3.04156804050012</v>
      </c>
      <c r="AI6687">
        <v>90.149520437544695</v>
      </c>
      <c r="AJ6687">
        <v>95.558275945284095</v>
      </c>
      <c r="AK6687">
        <v>3.0559468539567201</v>
      </c>
      <c r="AL6687">
        <v>80.399497324456604</v>
      </c>
      <c r="AM6687">
        <v>89.289587519454699</v>
      </c>
      <c r="AN6687">
        <v>1.00000001684035</v>
      </c>
    </row>
    <row r="6688" spans="1:40" x14ac:dyDescent="0.25">
      <c r="A6688" t="str">
        <f>"20190303162045917"</f>
        <v>20190303162045917</v>
      </c>
      <c r="B6688" t="str">
        <f>"1551601245908783"</f>
        <v>1551601245908783</v>
      </c>
      <c r="C6688" t="s">
        <v>40</v>
      </c>
      <c r="D6688">
        <v>4.2845719999999998</v>
      </c>
      <c r="E6688">
        <v>0.45936510000000003</v>
      </c>
      <c r="F6688" t="s">
        <v>58</v>
      </c>
      <c r="G6688">
        <v>0</v>
      </c>
      <c r="H6688">
        <v>0</v>
      </c>
      <c r="I6688">
        <v>0</v>
      </c>
      <c r="J6688">
        <v>-324.82260000000002</v>
      </c>
      <c r="K6688">
        <v>1.1215299999999999</v>
      </c>
      <c r="L6688">
        <v>141.85749999999999</v>
      </c>
      <c r="M6688">
        <v>-0.99986249999999999</v>
      </c>
      <c r="N6688">
        <v>-1.2652999999999999E-2</v>
      </c>
      <c r="O6688">
        <v>-1.0734459999999999E-2</v>
      </c>
      <c r="P6688">
        <v>-0.98798850000000005</v>
      </c>
      <c r="Q6688">
        <v>0.15451870000000001</v>
      </c>
      <c r="R6688">
        <v>1.8131379999999999E-3</v>
      </c>
      <c r="S6688">
        <v>-3.0383610000000001</v>
      </c>
      <c r="T6688">
        <v>-9.0377329999999992E-3</v>
      </c>
      <c r="U6688">
        <v>-0.32705689999999998</v>
      </c>
      <c r="V6688">
        <v>1.2394209999999999E-2</v>
      </c>
      <c r="W6688">
        <v>0.1670083</v>
      </c>
      <c r="X6688">
        <v>0.98587760000000002</v>
      </c>
      <c r="Y6688">
        <v>-9.6342730000000001E-2</v>
      </c>
      <c r="Z6688">
        <v>-8.5780109999999998E-4</v>
      </c>
      <c r="AA6688">
        <v>0.99534789999999995</v>
      </c>
      <c r="AB6688">
        <v>26</v>
      </c>
      <c r="AC6688">
        <v>-3.0383610000000001</v>
      </c>
      <c r="AD6688">
        <v>-9.0377329999999992E-3</v>
      </c>
      <c r="AE6688">
        <v>-0.32705689999999998</v>
      </c>
      <c r="AF6688">
        <v>-0.29441770803721401</v>
      </c>
      <c r="AG6688">
        <v>-9.0377329999999992E-3</v>
      </c>
      <c r="AH6688">
        <v>3.04167036942868</v>
      </c>
      <c r="AI6688">
        <v>90.169450828617201</v>
      </c>
      <c r="AJ6688">
        <v>95.5287067401797</v>
      </c>
      <c r="AK6688">
        <v>3.0558995571981802</v>
      </c>
      <c r="AL6688">
        <v>80.386079531796597</v>
      </c>
      <c r="AM6688">
        <v>89.279729537561593</v>
      </c>
      <c r="AN6688">
        <v>1.00000001544608</v>
      </c>
    </row>
    <row r="6689" spans="1:40" x14ac:dyDescent="0.25">
      <c r="A6689" t="str">
        <f>"20190303162045940"</f>
        <v>20190303162045940</v>
      </c>
      <c r="B6689" t="str">
        <f>"1551601245929279"</f>
        <v>1551601245929279</v>
      </c>
      <c r="C6689" t="s">
        <v>40</v>
      </c>
      <c r="D6689">
        <v>4.2716810000000001</v>
      </c>
      <c r="E6689">
        <v>0.4594472</v>
      </c>
      <c r="F6689" t="s">
        <v>58</v>
      </c>
      <c r="G6689">
        <v>0</v>
      </c>
      <c r="H6689">
        <v>0</v>
      </c>
      <c r="I6689">
        <v>0</v>
      </c>
      <c r="J6689">
        <v>-325.09320000000002</v>
      </c>
      <c r="K6689">
        <v>1.1215200000000001</v>
      </c>
      <c r="L6689">
        <v>141.8545</v>
      </c>
      <c r="M6689">
        <v>-0.99986129999999995</v>
      </c>
      <c r="N6689">
        <v>-1.2652099999999999E-2</v>
      </c>
      <c r="O6689">
        <v>-1.083727E-2</v>
      </c>
      <c r="P6689">
        <v>-0.98799000000000003</v>
      </c>
      <c r="Q6689">
        <v>0.1545097</v>
      </c>
      <c r="R6689">
        <v>1.624487E-3</v>
      </c>
      <c r="S6689">
        <v>-3.0384220000000002</v>
      </c>
      <c r="T6689">
        <v>-8.6052419999999904E-3</v>
      </c>
      <c r="U6689">
        <v>-0.32670589999999999</v>
      </c>
      <c r="V6689">
        <v>1.230879E-2</v>
      </c>
      <c r="W6689">
        <v>0.16699839999999999</v>
      </c>
      <c r="X6689">
        <v>0.98588030000000004</v>
      </c>
      <c r="Y6689">
        <v>-9.612474E-2</v>
      </c>
      <c r="Z6689">
        <v>-8.5174539999999905E-4</v>
      </c>
      <c r="AA6689">
        <v>0.99536899999999995</v>
      </c>
      <c r="AB6689">
        <v>26</v>
      </c>
      <c r="AC6689">
        <v>-3.0384220000000002</v>
      </c>
      <c r="AD6689">
        <v>-8.6052419999999904E-3</v>
      </c>
      <c r="AE6689">
        <v>-0.32670589999999999</v>
      </c>
      <c r="AF6689">
        <v>-0.29375354879438897</v>
      </c>
      <c r="AG6689">
        <v>-8.6052419999999904E-3</v>
      </c>
      <c r="AH6689">
        <v>3.0417603043519401</v>
      </c>
      <c r="AI6689">
        <v>90.161340633576998</v>
      </c>
      <c r="AJ6689">
        <v>95.516149783702403</v>
      </c>
      <c r="AK6689">
        <v>3.0559239104975102</v>
      </c>
      <c r="AL6689">
        <v>80.386654387929497</v>
      </c>
      <c r="AM6689">
        <v>89.284695030766699</v>
      </c>
      <c r="AN6689">
        <v>0.99999996892095599</v>
      </c>
    </row>
    <row r="6690" spans="1:40" x14ac:dyDescent="0.25">
      <c r="A6690" t="str">
        <f>"20190303162045963"</f>
        <v>20190303162045963</v>
      </c>
      <c r="B6690" t="str">
        <f>"1551601245948799"</f>
        <v>1551601245948799</v>
      </c>
      <c r="C6690" t="s">
        <v>40</v>
      </c>
      <c r="D6690">
        <v>4.2658230000000001</v>
      </c>
      <c r="E6690">
        <v>0.45953640000000001</v>
      </c>
      <c r="F6690" t="s">
        <v>58</v>
      </c>
      <c r="G6690">
        <v>0</v>
      </c>
      <c r="H6690">
        <v>0</v>
      </c>
      <c r="I6690">
        <v>0</v>
      </c>
      <c r="J6690">
        <v>-325.35950000000003</v>
      </c>
      <c r="K6690">
        <v>1.1215090000000001</v>
      </c>
      <c r="L6690">
        <v>141.85140000000001</v>
      </c>
      <c r="M6690">
        <v>-0.99986030000000004</v>
      </c>
      <c r="N6690">
        <v>-1.265119E-2</v>
      </c>
      <c r="O6690">
        <v>-1.0931110000000001E-2</v>
      </c>
      <c r="P6690">
        <v>-0.98800220000000005</v>
      </c>
      <c r="Q6690">
        <v>0.15443850000000001</v>
      </c>
      <c r="R6690">
        <v>7.1962320000000003E-4</v>
      </c>
      <c r="S6690">
        <v>-3.0383610000000001</v>
      </c>
      <c r="T6690">
        <v>-8.4229709999999996E-3</v>
      </c>
      <c r="U6690">
        <v>-0.32664490000000002</v>
      </c>
      <c r="V6690">
        <v>1.14991E-2</v>
      </c>
      <c r="W6690">
        <v>0.16692599999999999</v>
      </c>
      <c r="X6690">
        <v>0.98590239999999996</v>
      </c>
      <c r="Y6690">
        <v>-9.6013749999999995E-2</v>
      </c>
      <c r="Z6690">
        <v>-8.4953380000000003E-4</v>
      </c>
      <c r="AA6690">
        <v>0.99537960000000003</v>
      </c>
      <c r="AB6690">
        <v>26</v>
      </c>
      <c r="AC6690">
        <v>-3.0383610000000001</v>
      </c>
      <c r="AD6690">
        <v>-8.4229709999999996E-3</v>
      </c>
      <c r="AE6690">
        <v>-0.32664490000000002</v>
      </c>
      <c r="AF6690">
        <v>-0.29340783807848803</v>
      </c>
      <c r="AG6690">
        <v>-8.4229709999999996E-3</v>
      </c>
      <c r="AH6690">
        <v>3.04172720774022</v>
      </c>
      <c r="AI6690">
        <v>90.157926650817501</v>
      </c>
      <c r="AJ6690">
        <v>95.509757525580795</v>
      </c>
      <c r="AK6690">
        <v>3.0558572466974798</v>
      </c>
      <c r="AL6690">
        <v>80.390862256538597</v>
      </c>
      <c r="AM6690">
        <v>89.331759386673298</v>
      </c>
      <c r="AN6690">
        <v>1.00000003055128</v>
      </c>
    </row>
    <row r="6691" spans="1:40" x14ac:dyDescent="0.25">
      <c r="A6691" t="str">
        <f>"20190303162045984"</f>
        <v>20190303162045984</v>
      </c>
      <c r="B6691" t="str">
        <f>"1551601245979054"</f>
        <v>1551601245979054</v>
      </c>
      <c r="C6691" t="s">
        <v>40</v>
      </c>
      <c r="D6691">
        <v>4.310575</v>
      </c>
      <c r="E6691">
        <v>0.45966879999999999</v>
      </c>
      <c r="F6691" t="s">
        <v>58</v>
      </c>
      <c r="G6691">
        <v>0</v>
      </c>
      <c r="H6691">
        <v>0</v>
      </c>
      <c r="I6691">
        <v>0</v>
      </c>
      <c r="J6691">
        <v>-325.6157</v>
      </c>
      <c r="K6691">
        <v>1.121502</v>
      </c>
      <c r="L6691">
        <v>141.8485</v>
      </c>
      <c r="M6691">
        <v>-0.99985930000000001</v>
      </c>
      <c r="N6691">
        <v>-1.265026E-2</v>
      </c>
      <c r="O6691">
        <v>-1.1011480000000001E-2</v>
      </c>
      <c r="P6691">
        <v>-0.98807219999999996</v>
      </c>
      <c r="Q6691">
        <v>0.15399119999999999</v>
      </c>
      <c r="R6691" s="1">
        <v>3.3597460000000002E-6</v>
      </c>
      <c r="S6691">
        <v>-3.0380250000000002</v>
      </c>
      <c r="T6691">
        <v>-8.9324709999999904E-3</v>
      </c>
      <c r="U6691">
        <v>-0.32852170000000003</v>
      </c>
      <c r="V6691">
        <v>1.086545E-2</v>
      </c>
      <c r="W6691">
        <v>0.16647890000000001</v>
      </c>
      <c r="X6691">
        <v>0.98598520000000001</v>
      </c>
      <c r="Y6691">
        <v>-9.6553100000000003E-2</v>
      </c>
      <c r="Z6691">
        <v>-8.6069469999999998E-4</v>
      </c>
      <c r="AA6691">
        <v>0.99532750000000003</v>
      </c>
      <c r="AB6691">
        <v>26</v>
      </c>
      <c r="AC6691">
        <v>-3.0380250000000002</v>
      </c>
      <c r="AD6691">
        <v>-8.9324709999999904E-3</v>
      </c>
      <c r="AE6691">
        <v>-0.32852170000000003</v>
      </c>
      <c r="AF6691">
        <v>-0.295043427759137</v>
      </c>
      <c r="AG6691">
        <v>-8.9324709999999904E-3</v>
      </c>
      <c r="AH6691">
        <v>3.0414325913459002</v>
      </c>
      <c r="AI6691">
        <v>90.167486918690301</v>
      </c>
      <c r="AJ6691">
        <v>95.540814201211106</v>
      </c>
      <c r="AK6691">
        <v>3.0557229293578101</v>
      </c>
      <c r="AL6691">
        <v>80.416842909922295</v>
      </c>
      <c r="AM6691">
        <v>89.368632278495696</v>
      </c>
      <c r="AN6691">
        <v>1.0000000483839699</v>
      </c>
    </row>
    <row r="6692" spans="1:40" x14ac:dyDescent="0.25">
      <c r="A6692" t="str">
        <f>"20190303162046007"</f>
        <v>20190303162046007</v>
      </c>
      <c r="B6692" t="str">
        <f>"1551601245999551"</f>
        <v>1551601245999551</v>
      </c>
      <c r="C6692" t="s">
        <v>40</v>
      </c>
      <c r="D6692">
        <v>4.2711730000000001</v>
      </c>
      <c r="E6692">
        <v>0.45972049999999998</v>
      </c>
      <c r="F6692" t="s">
        <v>58</v>
      </c>
      <c r="G6692">
        <v>0</v>
      </c>
      <c r="H6692">
        <v>0</v>
      </c>
      <c r="I6692">
        <v>0</v>
      </c>
      <c r="J6692">
        <v>-325.87349999999998</v>
      </c>
      <c r="K6692">
        <v>1.1214900000000001</v>
      </c>
      <c r="L6692">
        <v>141.84559999999999</v>
      </c>
      <c r="M6692">
        <v>-0.99985860000000004</v>
      </c>
      <c r="N6692">
        <v>-1.264934E-2</v>
      </c>
      <c r="O6692">
        <v>-1.108404E-2</v>
      </c>
      <c r="P6692">
        <v>-0.98810450000000005</v>
      </c>
      <c r="Q6692">
        <v>0.15378320000000001</v>
      </c>
      <c r="R6692">
        <v>-5.1246769999999998E-4</v>
      </c>
      <c r="S6692">
        <v>-3.037903</v>
      </c>
      <c r="T6692">
        <v>-1.071751E-2</v>
      </c>
      <c r="U6692">
        <v>-0.3298645</v>
      </c>
      <c r="V6692">
        <v>1.042563E-2</v>
      </c>
      <c r="W6692">
        <v>0.1662701</v>
      </c>
      <c r="X6692">
        <v>0.98602520000000005</v>
      </c>
      <c r="Y6692">
        <v>-9.6919370000000005E-2</v>
      </c>
      <c r="Z6692">
        <v>-8.8611579999999998E-4</v>
      </c>
      <c r="AA6692">
        <v>0.99529179999999995</v>
      </c>
      <c r="AB6692">
        <v>26</v>
      </c>
      <c r="AC6692">
        <v>-3.037903</v>
      </c>
      <c r="AD6692">
        <v>-1.071751E-2</v>
      </c>
      <c r="AE6692">
        <v>-0.3298645</v>
      </c>
      <c r="AF6692">
        <v>-0.29616565882769202</v>
      </c>
      <c r="AG6692">
        <v>-1.071751E-2</v>
      </c>
      <c r="AH6692">
        <v>3.0413354636570502</v>
      </c>
      <c r="AI6692">
        <v>90.200955983333102</v>
      </c>
      <c r="AJ6692">
        <v>95.561933927346004</v>
      </c>
      <c r="AK6692">
        <v>3.0557405591750602</v>
      </c>
      <c r="AL6692">
        <v>80.428975546938105</v>
      </c>
      <c r="AM6692">
        <v>89.394211893475401</v>
      </c>
      <c r="AN6692">
        <v>1.0000000674749701</v>
      </c>
    </row>
    <row r="6693" spans="1:40" x14ac:dyDescent="0.25">
      <c r="A6693" t="str">
        <f>"20190303162046029"</f>
        <v>20190303162046029</v>
      </c>
      <c r="B6693" t="str">
        <f>"1551601246019071"</f>
        <v>1551601246019071</v>
      </c>
      <c r="C6693" t="s">
        <v>40</v>
      </c>
      <c r="D6693">
        <v>4.3053800000000004</v>
      </c>
      <c r="E6693">
        <v>0.45982319999999999</v>
      </c>
      <c r="F6693" t="s">
        <v>58</v>
      </c>
      <c r="G6693">
        <v>0</v>
      </c>
      <c r="H6693">
        <v>0</v>
      </c>
      <c r="I6693">
        <v>0</v>
      </c>
      <c r="J6693">
        <v>-326.13130000000001</v>
      </c>
      <c r="K6693">
        <v>1.121486</v>
      </c>
      <c r="L6693">
        <v>141.8426</v>
      </c>
      <c r="M6693">
        <v>-0.99985789999999997</v>
      </c>
      <c r="N6693">
        <v>-1.264844E-2</v>
      </c>
      <c r="O6693">
        <v>-1.1147280000000001E-2</v>
      </c>
      <c r="P6693">
        <v>-0.9880911</v>
      </c>
      <c r="Q6693">
        <v>0.15386949999999999</v>
      </c>
      <c r="R6693">
        <v>-7.9511109999999996E-4</v>
      </c>
      <c r="S6693">
        <v>-3.03775</v>
      </c>
      <c r="T6693">
        <v>-1.1539819999999999E-2</v>
      </c>
      <c r="U6693">
        <v>-0.3309937</v>
      </c>
      <c r="V6693">
        <v>1.02098E-2</v>
      </c>
      <c r="W6693">
        <v>0.16635520000000001</v>
      </c>
      <c r="X6693">
        <v>0.98601309999999998</v>
      </c>
      <c r="Y6693">
        <v>-9.7227099999999997E-2</v>
      </c>
      <c r="Z6693">
        <v>-8.9925770000000001E-4</v>
      </c>
      <c r="AA6693">
        <v>0.99526179999999997</v>
      </c>
      <c r="AB6693">
        <v>26</v>
      </c>
      <c r="AC6693">
        <v>-3.03775</v>
      </c>
      <c r="AD6693">
        <v>-1.1539819999999999E-2</v>
      </c>
      <c r="AE6693">
        <v>-0.3309937</v>
      </c>
      <c r="AF6693">
        <v>-0.29710353618678398</v>
      </c>
      <c r="AG6693">
        <v>-1.1539819999999999E-2</v>
      </c>
      <c r="AH6693">
        <v>3.04120782774396</v>
      </c>
      <c r="AI6693">
        <v>90.216376907683397</v>
      </c>
      <c r="AJ6693">
        <v>95.579668804858898</v>
      </c>
      <c r="AK6693">
        <v>3.0557075662097399</v>
      </c>
      <c r="AL6693">
        <v>80.424030767986395</v>
      </c>
      <c r="AM6693">
        <v>89.406744652570595</v>
      </c>
      <c r="AN6693">
        <v>1.00000006297734</v>
      </c>
    </row>
    <row r="6694" spans="1:40" x14ac:dyDescent="0.25">
      <c r="A6694" t="str">
        <f>"20190303162046052"</f>
        <v>20190303162046052</v>
      </c>
      <c r="B6694" t="str">
        <f>"1551601246039567"</f>
        <v>1551601246039567</v>
      </c>
      <c r="C6694" t="s">
        <v>40</v>
      </c>
      <c r="D6694">
        <v>4.3093399999999997</v>
      </c>
      <c r="E6694">
        <v>0.45985219999999999</v>
      </c>
      <c r="F6694" t="s">
        <v>58</v>
      </c>
      <c r="G6694">
        <v>0</v>
      </c>
      <c r="H6694">
        <v>0</v>
      </c>
      <c r="I6694">
        <v>0</v>
      </c>
      <c r="J6694">
        <v>-326.40249999999997</v>
      </c>
      <c r="K6694">
        <v>1.12148</v>
      </c>
      <c r="L6694">
        <v>141.83949999999999</v>
      </c>
      <c r="M6694">
        <v>-0.99985740000000001</v>
      </c>
      <c r="N6694">
        <v>-1.2647479999999999E-2</v>
      </c>
      <c r="O6694">
        <v>-1.120019E-2</v>
      </c>
      <c r="P6694">
        <v>-0.98802749999999995</v>
      </c>
      <c r="Q6694">
        <v>0.15427099999999999</v>
      </c>
      <c r="R6694">
        <v>-1.6007829999999999E-3</v>
      </c>
      <c r="S6694">
        <v>-3.03775</v>
      </c>
      <c r="T6694">
        <v>-1.177871E-2</v>
      </c>
      <c r="U6694">
        <v>-0.3311615</v>
      </c>
      <c r="V6694">
        <v>9.4593070000000001E-3</v>
      </c>
      <c r="W6694">
        <v>0.16675490000000001</v>
      </c>
      <c r="X6694">
        <v>0.98595299999999997</v>
      </c>
      <c r="Y6694">
        <v>-9.7228709999999996E-2</v>
      </c>
      <c r="Z6694">
        <v>-9.0261569999999997E-4</v>
      </c>
      <c r="AA6694">
        <v>0.99526170000000003</v>
      </c>
      <c r="AB6694">
        <v>26</v>
      </c>
      <c r="AC6694">
        <v>-3.03775</v>
      </c>
      <c r="AD6694">
        <v>-1.177871E-2</v>
      </c>
      <c r="AE6694">
        <v>-0.3311615</v>
      </c>
      <c r="AF6694">
        <v>-0.29711021554355099</v>
      </c>
      <c r="AG6694">
        <v>-1.177871E-2</v>
      </c>
      <c r="AH6694">
        <v>3.0412236109117901</v>
      </c>
      <c r="AI6694">
        <v>90.220854978343596</v>
      </c>
      <c r="AJ6694">
        <v>95.579764678074895</v>
      </c>
      <c r="AK6694">
        <v>3.0557248354125299</v>
      </c>
      <c r="AL6694">
        <v>80.400804593281606</v>
      </c>
      <c r="AM6694">
        <v>89.450316860837205</v>
      </c>
      <c r="AN6694">
        <v>0.99999999668596495</v>
      </c>
    </row>
    <row r="6695" spans="1:40" x14ac:dyDescent="0.25">
      <c r="A6695" t="str">
        <f>"20190303162046074"</f>
        <v>20190303162046074</v>
      </c>
      <c r="B6695" t="str">
        <f>"1551601246068847"</f>
        <v>1551601246068847</v>
      </c>
      <c r="C6695" t="s">
        <v>40</v>
      </c>
      <c r="D6695">
        <v>4.3203230000000001</v>
      </c>
      <c r="E6695">
        <v>0.45997139999999997</v>
      </c>
      <c r="F6695" t="s">
        <v>58</v>
      </c>
      <c r="G6695">
        <v>0</v>
      </c>
      <c r="H6695">
        <v>0</v>
      </c>
      <c r="I6695">
        <v>0</v>
      </c>
      <c r="J6695">
        <v>-326.66149999999999</v>
      </c>
      <c r="K6695">
        <v>1.121469</v>
      </c>
      <c r="L6695">
        <v>141.8365</v>
      </c>
      <c r="M6695">
        <v>-0.999857</v>
      </c>
      <c r="N6695">
        <v>-1.2644300000000001E-2</v>
      </c>
      <c r="O6695">
        <v>-1.123329E-2</v>
      </c>
      <c r="P6695">
        <v>-0.98793410000000004</v>
      </c>
      <c r="Q6695">
        <v>0.154861</v>
      </c>
      <c r="R6695">
        <v>-2.1334129999999998E-3</v>
      </c>
      <c r="S6695">
        <v>-3.0376590000000001</v>
      </c>
      <c r="T6695">
        <v>-1.180339E-2</v>
      </c>
      <c r="U6695">
        <v>-0.33300780000000002</v>
      </c>
      <c r="V6695">
        <v>8.9618649999999994E-3</v>
      </c>
      <c r="W6695">
        <v>0.16734019999999999</v>
      </c>
      <c r="X6695">
        <v>0.98585849999999997</v>
      </c>
      <c r="Y6695">
        <v>-9.7796750000000002E-2</v>
      </c>
      <c r="Z6695">
        <v>-9.0773510000000004E-4</v>
      </c>
      <c r="AA6695">
        <v>0.99520600000000004</v>
      </c>
      <c r="AB6695">
        <v>26</v>
      </c>
      <c r="AC6695">
        <v>-3.0376590000000001</v>
      </c>
      <c r="AD6695">
        <v>-1.180339E-2</v>
      </c>
      <c r="AE6695">
        <v>-0.33300780000000002</v>
      </c>
      <c r="AF6695">
        <v>-0.298856695572358</v>
      </c>
      <c r="AG6695">
        <v>-1.180339E-2</v>
      </c>
      <c r="AH6695">
        <v>3.0411630072815798</v>
      </c>
      <c r="AI6695">
        <v>90.221309766222006</v>
      </c>
      <c r="AJ6695">
        <v>95.612466108459401</v>
      </c>
      <c r="AK6695">
        <v>3.0558349237748201</v>
      </c>
      <c r="AL6695">
        <v>80.366791673463595</v>
      </c>
      <c r="AM6695">
        <v>89.479171810229204</v>
      </c>
      <c r="AN6695">
        <v>1.0000000197912799</v>
      </c>
    </row>
    <row r="6696" spans="1:40" x14ac:dyDescent="0.25">
      <c r="A6696" t="str">
        <f>"20190303162046097"</f>
        <v>20190303162046097</v>
      </c>
      <c r="B6696" t="str">
        <f>"1551601246089344"</f>
        <v>1551601246089344</v>
      </c>
      <c r="C6696" t="s">
        <v>40</v>
      </c>
      <c r="D6696">
        <v>4.3567119999999999</v>
      </c>
      <c r="E6696">
        <v>0.46006409999999998</v>
      </c>
      <c r="F6696" t="s">
        <v>58</v>
      </c>
      <c r="G6696">
        <v>0</v>
      </c>
      <c r="H6696">
        <v>0</v>
      </c>
      <c r="I6696">
        <v>0</v>
      </c>
      <c r="J6696">
        <v>-326.92340000000002</v>
      </c>
      <c r="K6696">
        <v>1.121454</v>
      </c>
      <c r="L6696">
        <v>141.83349999999999</v>
      </c>
      <c r="M6696">
        <v>-0.99985690000000005</v>
      </c>
      <c r="N6696">
        <v>-1.263274E-2</v>
      </c>
      <c r="O6696">
        <v>-1.125077E-2</v>
      </c>
      <c r="P6696">
        <v>-0.98780469999999998</v>
      </c>
      <c r="Q6696">
        <v>0.15567979999999901</v>
      </c>
      <c r="R6696">
        <v>-2.3879980000000001E-3</v>
      </c>
      <c r="S6696">
        <v>-3.0377200000000002</v>
      </c>
      <c r="T6696">
        <v>-1.1235E-2</v>
      </c>
      <c r="U6696">
        <v>-0.3333893</v>
      </c>
      <c r="V6696">
        <v>8.7285839999999993E-3</v>
      </c>
      <c r="W6696">
        <v>0.16814589999999999</v>
      </c>
      <c r="X6696">
        <v>0.98572349999999997</v>
      </c>
      <c r="Y6696">
        <v>-9.7900860000000006E-2</v>
      </c>
      <c r="Z6696">
        <v>-9.0101829999999995E-4</v>
      </c>
      <c r="AA6696">
        <v>0.99519570000000002</v>
      </c>
      <c r="AB6696">
        <v>26</v>
      </c>
      <c r="AC6696">
        <v>-3.0377200000000002</v>
      </c>
      <c r="AD6696">
        <v>-1.1235E-2</v>
      </c>
      <c r="AE6696">
        <v>-0.3333893</v>
      </c>
      <c r="AF6696">
        <v>-0.29918473531309198</v>
      </c>
      <c r="AG6696">
        <v>-1.1235E-2</v>
      </c>
      <c r="AH6696">
        <v>3.0412377862604298</v>
      </c>
      <c r="AI6696">
        <v>90.210645392402</v>
      </c>
      <c r="AJ6696">
        <v>95.618449961196404</v>
      </c>
      <c r="AK6696">
        <v>3.0559392997321799</v>
      </c>
      <c r="AL6696">
        <v>80.319965016597294</v>
      </c>
      <c r="AM6696">
        <v>89.492658992580402</v>
      </c>
      <c r="AN6696">
        <v>1.0000000251588499</v>
      </c>
    </row>
    <row r="6697" spans="1:40" x14ac:dyDescent="0.25">
      <c r="A6697" t="str">
        <f>"20190303162046118"</f>
        <v>20190303162046118</v>
      </c>
      <c r="B6697" t="str">
        <f>"1551601246108863"</f>
        <v>1551601246108863</v>
      </c>
      <c r="C6697" t="s">
        <v>40</v>
      </c>
      <c r="D6697">
        <v>4.3603719999999999</v>
      </c>
      <c r="E6697">
        <v>0.46011669999999999</v>
      </c>
      <c r="F6697" t="s">
        <v>58</v>
      </c>
      <c r="G6697">
        <v>0</v>
      </c>
      <c r="H6697">
        <v>0</v>
      </c>
      <c r="I6697">
        <v>0</v>
      </c>
      <c r="J6697">
        <v>-327.17340000000002</v>
      </c>
      <c r="K6697">
        <v>1.1214379999999999</v>
      </c>
      <c r="L6697">
        <v>141.83070000000001</v>
      </c>
      <c r="M6697">
        <v>-0.9998572</v>
      </c>
      <c r="N6697">
        <v>-1.261425E-2</v>
      </c>
      <c r="O6697">
        <v>-1.125724E-2</v>
      </c>
      <c r="P6697">
        <v>-0.98776359999999996</v>
      </c>
      <c r="Q6697">
        <v>0.15593950000000001</v>
      </c>
      <c r="R6697">
        <v>-2.5009350000000001E-3</v>
      </c>
      <c r="S6697">
        <v>-3.0375369999999999</v>
      </c>
      <c r="T6697">
        <v>-8.6507800000000003E-3</v>
      </c>
      <c r="U6697">
        <v>-0.33398440000000001</v>
      </c>
      <c r="V6697">
        <v>8.6271860000000002E-3</v>
      </c>
      <c r="W6697">
        <v>0.16838610000000001</v>
      </c>
      <c r="X6697">
        <v>0.98568339999999999</v>
      </c>
      <c r="Y6697">
        <v>-9.8094440000000005E-2</v>
      </c>
      <c r="Z6697">
        <v>-8.6949589999999995E-4</v>
      </c>
      <c r="AA6697">
        <v>0.99517670000000003</v>
      </c>
      <c r="AB6697">
        <v>26</v>
      </c>
      <c r="AC6697">
        <v>-3.0375369999999999</v>
      </c>
      <c r="AD6697">
        <v>-8.6507800000000003E-3</v>
      </c>
      <c r="AE6697">
        <v>-0.33398440000000001</v>
      </c>
      <c r="AF6697">
        <v>-0.29976383220903902</v>
      </c>
      <c r="AG6697">
        <v>-8.6507800000000003E-3</v>
      </c>
      <c r="AH6697">
        <v>3.0410801667370801</v>
      </c>
      <c r="AI6697">
        <v>90.162199375816002</v>
      </c>
      <c r="AJ6697">
        <v>95.6295450469852</v>
      </c>
      <c r="AK6697">
        <v>3.0558307825560198</v>
      </c>
      <c r="AL6697">
        <v>80.306003608522204</v>
      </c>
      <c r="AM6697">
        <v>89.498531957334393</v>
      </c>
      <c r="AN6697">
        <v>1.0000000360235199</v>
      </c>
    </row>
    <row r="6698" spans="1:40" x14ac:dyDescent="0.25">
      <c r="A6698" t="str">
        <f>"20190303162046141"</f>
        <v>20190303162046141</v>
      </c>
      <c r="B6698" t="str">
        <f>"1551601246129359"</f>
        <v>1551601246129359</v>
      </c>
      <c r="C6698" t="s">
        <v>40</v>
      </c>
      <c r="D6698">
        <v>4.2559559999999896</v>
      </c>
      <c r="E6698">
        <v>0.45968540000000002</v>
      </c>
      <c r="F6698" t="s">
        <v>58</v>
      </c>
      <c r="G6698">
        <v>0</v>
      </c>
      <c r="H6698">
        <v>0</v>
      </c>
      <c r="I6698">
        <v>0</v>
      </c>
      <c r="J6698">
        <v>-327.43849999999998</v>
      </c>
      <c r="K6698">
        <v>1.1214280000000001</v>
      </c>
      <c r="L6698">
        <v>141.82769999999999</v>
      </c>
      <c r="M6698">
        <v>-0.99985740000000001</v>
      </c>
      <c r="N6698">
        <v>-1.259299E-2</v>
      </c>
      <c r="O6698">
        <v>-1.125601E-2</v>
      </c>
      <c r="P6698">
        <v>-0.987757</v>
      </c>
      <c r="Q6698">
        <v>0.15598199999999901</v>
      </c>
      <c r="R6698">
        <v>-2.4841389999999998E-3</v>
      </c>
      <c r="S6698">
        <v>-3.037598</v>
      </c>
      <c r="T6698">
        <v>-8.1692929999999993E-3</v>
      </c>
      <c r="U6698">
        <v>-0.3338623</v>
      </c>
      <c r="V6698">
        <v>8.6466379999999999E-3</v>
      </c>
      <c r="W6698">
        <v>0.16840720000000001</v>
      </c>
      <c r="X6698">
        <v>0.98567959999999999</v>
      </c>
      <c r="Y6698">
        <v>-9.8054139999999998E-2</v>
      </c>
      <c r="Z6698">
        <v>-8.6191489999999996E-4</v>
      </c>
      <c r="AA6698">
        <v>0.99518070000000003</v>
      </c>
      <c r="AB6698">
        <v>26</v>
      </c>
      <c r="AC6698">
        <v>-3.037598</v>
      </c>
      <c r="AD6698">
        <v>-8.1692929999999993E-3</v>
      </c>
      <c r="AE6698">
        <v>-0.3338623</v>
      </c>
      <c r="AF6698">
        <v>-0.29964506162898502</v>
      </c>
      <c r="AG6698">
        <v>-8.1692929999999993E-3</v>
      </c>
      <c r="AH6698">
        <v>3.0411420566526002</v>
      </c>
      <c r="AI6698">
        <v>90.153169188540105</v>
      </c>
      <c r="AJ6698">
        <v>95.627215076424605</v>
      </c>
      <c r="AK6698">
        <v>3.0558794002787399</v>
      </c>
      <c r="AL6698">
        <v>80.304776913998396</v>
      </c>
      <c r="AM6698">
        <v>89.497399401259699</v>
      </c>
      <c r="AN6698">
        <v>1.0000000116083501</v>
      </c>
    </row>
    <row r="6699" spans="1:40" x14ac:dyDescent="0.25">
      <c r="A6699" t="str">
        <f>"20190303162046164"</f>
        <v>20190303162046164</v>
      </c>
      <c r="B6699" t="str">
        <f>"1551601246159615"</f>
        <v>1551601246159615</v>
      </c>
      <c r="C6699" t="s">
        <v>40</v>
      </c>
      <c r="D6699">
        <v>4.3630040000000001</v>
      </c>
      <c r="E6699">
        <v>0.42831219999999998</v>
      </c>
      <c r="F6699" t="s">
        <v>58</v>
      </c>
      <c r="G6699">
        <v>0</v>
      </c>
      <c r="H6699">
        <v>0</v>
      </c>
      <c r="I6699">
        <v>0</v>
      </c>
      <c r="J6699">
        <v>-327.70769999999999</v>
      </c>
      <c r="K6699">
        <v>1.121418</v>
      </c>
      <c r="L6699">
        <v>141.82470000000001</v>
      </c>
      <c r="M6699">
        <v>-0.99985780000000002</v>
      </c>
      <c r="N6699">
        <v>-1.257311E-2</v>
      </c>
      <c r="O6699">
        <v>-1.1244250000000001E-2</v>
      </c>
      <c r="P6699">
        <v>-0.98777879999999996</v>
      </c>
      <c r="Q6699">
        <v>0.15584970000000001</v>
      </c>
      <c r="R6699">
        <v>-2.0588289999999999E-3</v>
      </c>
      <c r="S6699">
        <v>-3.037811</v>
      </c>
      <c r="T6699">
        <v>-9.4003679999999992E-3</v>
      </c>
      <c r="U6699">
        <v>-0.33668520000000002</v>
      </c>
      <c r="V6699">
        <v>9.062591E-3</v>
      </c>
      <c r="W6699">
        <v>0.1682554</v>
      </c>
      <c r="X6699">
        <v>0.98570179999999996</v>
      </c>
      <c r="Y6699">
        <v>-9.8971429999999999E-2</v>
      </c>
      <c r="Z6699">
        <v>-8.8307610000000003E-4</v>
      </c>
      <c r="AA6699">
        <v>0.99508989999999997</v>
      </c>
      <c r="AB6699">
        <v>26</v>
      </c>
      <c r="AC6699">
        <v>-3.037811</v>
      </c>
      <c r="AD6699">
        <v>-9.4003679999999992E-3</v>
      </c>
      <c r="AE6699">
        <v>-0.33668520000000002</v>
      </c>
      <c r="AF6699">
        <v>-0.30250044617027899</v>
      </c>
      <c r="AG6699">
        <v>-9.4003679999999992E-3</v>
      </c>
      <c r="AH6699">
        <v>3.0413762253883401</v>
      </c>
      <c r="AI6699">
        <v>90.176221287687795</v>
      </c>
      <c r="AJ6699">
        <v>95.680054497994504</v>
      </c>
      <c r="AK6699">
        <v>3.0563972633165899</v>
      </c>
      <c r="AL6699">
        <v>80.313600443663503</v>
      </c>
      <c r="AM6699">
        <v>89.473234617490505</v>
      </c>
      <c r="AN6699">
        <v>1.0000000243540099</v>
      </c>
    </row>
    <row r="6700" spans="1:40" x14ac:dyDescent="0.25">
      <c r="A6700" t="str">
        <f>"20190303162046185"</f>
        <v>20190303162046185</v>
      </c>
      <c r="B6700" t="str">
        <f>"1551601246179135"</f>
        <v>1551601246179135</v>
      </c>
      <c r="C6700" t="s">
        <v>40</v>
      </c>
      <c r="D6700">
        <v>4.2657379999999998</v>
      </c>
      <c r="E6700">
        <v>0.42676360000000002</v>
      </c>
      <c r="F6700" t="s">
        <v>41</v>
      </c>
      <c r="G6700">
        <v>-358.79539999999997</v>
      </c>
      <c r="H6700" s="1">
        <v>-1.400263E-6</v>
      </c>
      <c r="I6700">
        <v>135.84180000000001</v>
      </c>
      <c r="J6700">
        <v>-327.95859999999999</v>
      </c>
      <c r="K6700">
        <v>1.121418</v>
      </c>
      <c r="L6700">
        <v>141.8219</v>
      </c>
      <c r="M6700">
        <v>-0.99985840000000004</v>
      </c>
      <c r="N6700">
        <v>-1.255597E-2</v>
      </c>
      <c r="O6700">
        <v>-1.1214379999999999E-2</v>
      </c>
      <c r="P6700">
        <v>-0.98778169999999998</v>
      </c>
      <c r="Q6700">
        <v>0.15584249999999999</v>
      </c>
      <c r="R6700">
        <v>-8.8557039999999896E-4</v>
      </c>
      <c r="S6700">
        <v>-3.0532840000000001</v>
      </c>
      <c r="T6700">
        <v>-0.11014060000000001</v>
      </c>
      <c r="U6700">
        <v>-0.58760069999999998</v>
      </c>
      <c r="V6700">
        <v>1.02083E-2</v>
      </c>
      <c r="W6700">
        <v>0.168231399999999</v>
      </c>
      <c r="X6700">
        <v>0.98569459999999998</v>
      </c>
      <c r="Y6700">
        <v>-0.17780739999999901</v>
      </c>
      <c r="Z6700">
        <v>-4.042716E-3</v>
      </c>
      <c r="AA6700">
        <v>0.98405699999999996</v>
      </c>
      <c r="AB6700">
        <v>26</v>
      </c>
      <c r="AC6700">
        <v>-30.836799999999901</v>
      </c>
      <c r="AD6700">
        <v>-1.121419400263</v>
      </c>
      <c r="AE6700">
        <v>-5.9800999999999904</v>
      </c>
      <c r="AF6700">
        <v>-5.6267094334439101</v>
      </c>
      <c r="AG6700">
        <v>-1.121419400263</v>
      </c>
      <c r="AH6700">
        <v>30.862592385174899</v>
      </c>
      <c r="AI6700">
        <v>92.047260364934701</v>
      </c>
      <c r="AJ6700">
        <v>100.33239138197099</v>
      </c>
      <c r="AK6700">
        <v>31.391353096882401</v>
      </c>
      <c r="AL6700">
        <v>80.314994493792597</v>
      </c>
      <c r="AM6700">
        <v>89.406640153808098</v>
      </c>
      <c r="AN6700">
        <v>0.99999992890200196</v>
      </c>
    </row>
    <row r="6701" spans="1:40" x14ac:dyDescent="0.25">
      <c r="A6701" t="str">
        <f>"20190303162046208"</f>
        <v>20190303162046208</v>
      </c>
      <c r="B6701" t="str">
        <f>"1551601246199631"</f>
        <v>1551601246199631</v>
      </c>
      <c r="C6701" t="s">
        <v>40</v>
      </c>
      <c r="D6701">
        <v>4.3372089999999996</v>
      </c>
      <c r="E6701">
        <v>0.42664289999999999</v>
      </c>
      <c r="F6701" t="s">
        <v>41</v>
      </c>
      <c r="G6701">
        <v>-357.82510000000002</v>
      </c>
      <c r="H6701" s="1">
        <v>-1.6921329999999999E-6</v>
      </c>
      <c r="I6701">
        <v>135.98589999999999</v>
      </c>
      <c r="J6701">
        <v>-328.21660000000003</v>
      </c>
      <c r="K6701">
        <v>1.1214059999999999</v>
      </c>
      <c r="L6701">
        <v>141.81909999999999</v>
      </c>
      <c r="M6701">
        <v>-0.99985919999999895</v>
      </c>
      <c r="N6701">
        <v>-1.253891E-2</v>
      </c>
      <c r="O6701">
        <v>-1.116199E-2</v>
      </c>
      <c r="P6701">
        <v>-0.98775880000000005</v>
      </c>
      <c r="Q6701">
        <v>0.15598789999999901</v>
      </c>
      <c r="R6701">
        <v>-4.6708989999999999E-4</v>
      </c>
      <c r="S6701">
        <v>-3.0546570000000002</v>
      </c>
      <c r="T6701">
        <v>-0.1146954</v>
      </c>
      <c r="U6701">
        <v>-0.59687809999999997</v>
      </c>
      <c r="V6701">
        <v>1.0579939999999999E-2</v>
      </c>
      <c r="W6701">
        <v>0.1683588</v>
      </c>
      <c r="X6701">
        <v>0.98566900000000002</v>
      </c>
      <c r="Y6701">
        <v>-0.18064359999999999</v>
      </c>
      <c r="Z6701">
        <v>-4.2259089999999999E-3</v>
      </c>
      <c r="AA6701">
        <v>0.98353950000000001</v>
      </c>
      <c r="AB6701">
        <v>26</v>
      </c>
      <c r="AC6701">
        <v>-29.6084999999999</v>
      </c>
      <c r="AD6701">
        <v>-1.1214076921329901</v>
      </c>
      <c r="AE6701">
        <v>-5.8331999999999997</v>
      </c>
      <c r="AF6701">
        <v>-5.4947332454378799</v>
      </c>
      <c r="AG6701">
        <v>-1.1214076921329901</v>
      </c>
      <c r="AH6701">
        <v>29.630853694423099</v>
      </c>
      <c r="AI6701">
        <v>92.131081015784403</v>
      </c>
      <c r="AJ6701">
        <v>100.505569177521</v>
      </c>
      <c r="AK6701">
        <v>30.156875489858098</v>
      </c>
      <c r="AL6701">
        <v>80.307590076502393</v>
      </c>
      <c r="AM6701">
        <v>89.385024150299103</v>
      </c>
      <c r="AN6701">
        <v>0.99999999911442095</v>
      </c>
    </row>
    <row r="6702" spans="1:40" x14ac:dyDescent="0.25">
      <c r="A6702" t="str">
        <f>"20190303162046230"</f>
        <v>20190303162046230</v>
      </c>
      <c r="B6702" t="str">
        <f>"1551601246219151"</f>
        <v>1551601246219151</v>
      </c>
      <c r="C6702" t="s">
        <v>40</v>
      </c>
      <c r="D6702">
        <v>4.3422919999999996</v>
      </c>
      <c r="E6702">
        <v>0.4273092</v>
      </c>
      <c r="F6702" t="s">
        <v>41</v>
      </c>
      <c r="G6702">
        <v>-356.17680000000001</v>
      </c>
      <c r="H6702" s="1">
        <v>-2.1994309999999999E-6</v>
      </c>
      <c r="I6702">
        <v>136.36349999999999</v>
      </c>
      <c r="J6702">
        <v>-328.476</v>
      </c>
      <c r="K6702">
        <v>1.1213900000000001</v>
      </c>
      <c r="L6702">
        <v>141.81620000000001</v>
      </c>
      <c r="M6702">
        <v>-0.99986019999999998</v>
      </c>
      <c r="N6702">
        <v>-1.252169E-2</v>
      </c>
      <c r="O6702">
        <v>-1.10944999999999E-2</v>
      </c>
      <c r="P6702">
        <v>-0.98782159999999997</v>
      </c>
      <c r="Q6702">
        <v>0.1555887</v>
      </c>
      <c r="R6702">
        <v>-8.2074250000000002E-4</v>
      </c>
      <c r="S6702">
        <v>-3.0562130000000001</v>
      </c>
      <c r="T6702">
        <v>-0.1225768</v>
      </c>
      <c r="U6702">
        <v>-0.59631350000000005</v>
      </c>
      <c r="V6702">
        <v>1.016774E-2</v>
      </c>
      <c r="W6702">
        <v>0.167943799999999</v>
      </c>
      <c r="X6702">
        <v>0.98574410000000001</v>
      </c>
      <c r="Y6702">
        <v>-0.18042150000000001</v>
      </c>
      <c r="Z6702">
        <v>-4.4208049999999999E-3</v>
      </c>
      <c r="AA6702">
        <v>0.98357950000000005</v>
      </c>
      <c r="AB6702">
        <v>26</v>
      </c>
      <c r="AC6702">
        <v>-27.700800000000001</v>
      </c>
      <c r="AD6702">
        <v>-1.1213921994310001</v>
      </c>
      <c r="AE6702">
        <v>-5.4527000000000196</v>
      </c>
      <c r="AF6702">
        <v>-5.1369093496115399</v>
      </c>
      <c r="AG6702">
        <v>-1.1213921994310001</v>
      </c>
      <c r="AH6702">
        <v>27.715867634921199</v>
      </c>
      <c r="AI6702">
        <v>92.278183140769997</v>
      </c>
      <c r="AJ6702">
        <v>100.500153717841</v>
      </c>
      <c r="AK6702">
        <v>28.210187466366499</v>
      </c>
      <c r="AL6702">
        <v>80.331710966753207</v>
      </c>
      <c r="AM6702">
        <v>89.409027221421098</v>
      </c>
      <c r="AN6702">
        <v>0.99999996678997805</v>
      </c>
    </row>
    <row r="6703" spans="1:40" x14ac:dyDescent="0.25">
      <c r="A6703" t="str">
        <f>"20190303162046253"</f>
        <v>20190303162046253</v>
      </c>
      <c r="B6703" t="str">
        <f>"1551601246249407"</f>
        <v>1551601246249407</v>
      </c>
      <c r="C6703" t="s">
        <v>40</v>
      </c>
      <c r="D6703">
        <v>4.3751730000000002</v>
      </c>
      <c r="E6703">
        <v>0.42769170000000001</v>
      </c>
      <c r="F6703" t="s">
        <v>41</v>
      </c>
      <c r="G6703">
        <v>-354.29410000000001</v>
      </c>
      <c r="H6703" s="1">
        <v>-2.9266519999999998E-6</v>
      </c>
      <c r="I6703">
        <v>136.81710000000001</v>
      </c>
      <c r="J6703">
        <v>-328.74869999999999</v>
      </c>
      <c r="K6703">
        <v>1.121364</v>
      </c>
      <c r="L6703">
        <v>141.8133</v>
      </c>
      <c r="M6703">
        <v>-0.99986149999999996</v>
      </c>
      <c r="N6703">
        <v>-1.2499140000000001E-2</v>
      </c>
      <c r="O6703">
        <v>-1.099463E-2</v>
      </c>
      <c r="P6703">
        <v>-0.98782440000000005</v>
      </c>
      <c r="Q6703">
        <v>0.1555696</v>
      </c>
      <c r="R6703">
        <v>-1.000033E-3</v>
      </c>
      <c r="S6703">
        <v>-3.057404</v>
      </c>
      <c r="T6703">
        <v>-0.13279639999999901</v>
      </c>
      <c r="U6703">
        <v>-0.59199519999999906</v>
      </c>
      <c r="V6703">
        <v>9.8984959999999997E-3</v>
      </c>
      <c r="W6703">
        <v>0.16790150000000001</v>
      </c>
      <c r="X6703">
        <v>0.98575409999999997</v>
      </c>
      <c r="Y6703">
        <v>-0.17908370000000001</v>
      </c>
      <c r="Z6703">
        <v>-4.6451970000000002E-3</v>
      </c>
      <c r="AA6703">
        <v>0.98382289999999994</v>
      </c>
      <c r="AB6703">
        <v>26</v>
      </c>
      <c r="AC6703">
        <v>-25.545400000000001</v>
      </c>
      <c r="AD6703">
        <v>-1.1213669266519899</v>
      </c>
      <c r="AE6703">
        <v>-4.9961999999999804</v>
      </c>
      <c r="AF6703">
        <v>-4.7062791843931198</v>
      </c>
      <c r="AG6703">
        <v>-1.1213669266519899</v>
      </c>
      <c r="AH6703">
        <v>25.551369207359201</v>
      </c>
      <c r="AI6703">
        <v>92.471394663081597</v>
      </c>
      <c r="AJ6703">
        <v>100.43627821071</v>
      </c>
      <c r="AK6703">
        <v>26.0053647526125</v>
      </c>
      <c r="AL6703">
        <v>80.334170006159795</v>
      </c>
      <c r="AM6703">
        <v>89.424681080877406</v>
      </c>
      <c r="AN6703">
        <v>1.0000000197960599</v>
      </c>
    </row>
    <row r="6704" spans="1:40" x14ac:dyDescent="0.25">
      <c r="A6704" t="str">
        <f>"20190303162046275"</f>
        <v>20190303162046275</v>
      </c>
      <c r="B6704" t="str">
        <f>"1551601246268927"</f>
        <v>1551601246268927</v>
      </c>
      <c r="C6704" t="s">
        <v>40</v>
      </c>
      <c r="D6704">
        <v>4.3628790000000004</v>
      </c>
      <c r="E6704">
        <v>0.42782880000000001</v>
      </c>
      <c r="F6704" t="s">
        <v>41</v>
      </c>
      <c r="G6704">
        <v>-355.19499999999999</v>
      </c>
      <c r="H6704" s="1">
        <v>-2.5586890000000001E-6</v>
      </c>
      <c r="I6704">
        <v>136.71270000000001</v>
      </c>
      <c r="J6704">
        <v>-329.0059</v>
      </c>
      <c r="K6704">
        <v>1.1213329999999999</v>
      </c>
      <c r="L6704">
        <v>141.81059999999999</v>
      </c>
      <c r="M6704">
        <v>-0.99986319999999995</v>
      </c>
      <c r="N6704">
        <v>-1.247622E-2</v>
      </c>
      <c r="O6704">
        <v>-1.0861610000000001E-2</v>
      </c>
      <c r="P6704">
        <v>-0.98790630000000001</v>
      </c>
      <c r="Q6704">
        <v>0.15504589999999999</v>
      </c>
      <c r="R6704">
        <v>-1.328437E-3</v>
      </c>
      <c r="S6704">
        <v>-3.0568240000000002</v>
      </c>
      <c r="T6704">
        <v>-0.12961449999999999</v>
      </c>
      <c r="U6704">
        <v>-0.58955380000000002</v>
      </c>
      <c r="V6704">
        <v>9.4482239999999999E-3</v>
      </c>
      <c r="W6704">
        <v>0.16735620000000001</v>
      </c>
      <c r="X6704">
        <v>0.98585120000000004</v>
      </c>
      <c r="Y6704">
        <v>-0.17850099999999999</v>
      </c>
      <c r="Z6704">
        <v>-4.5507869999999997E-3</v>
      </c>
      <c r="AA6704">
        <v>0.98392919999999995</v>
      </c>
      <c r="AB6704">
        <v>26</v>
      </c>
      <c r="AC6704">
        <v>-26.1891</v>
      </c>
      <c r="AD6704">
        <v>-1.1213355586889999</v>
      </c>
      <c r="AE6704">
        <v>-5.0978999999999797</v>
      </c>
      <c r="AF6704">
        <v>-4.8046346159614801</v>
      </c>
      <c r="AG6704">
        <v>-1.1213355586889999</v>
      </c>
      <c r="AH6704">
        <v>26.196657991242802</v>
      </c>
      <c r="AI6704">
        <v>92.410858434236403</v>
      </c>
      <c r="AJ6704">
        <v>100.392907790075</v>
      </c>
      <c r="AK6704">
        <v>26.6572091025715</v>
      </c>
      <c r="AL6704">
        <v>80.365861417634804</v>
      </c>
      <c r="AM6704">
        <v>89.450904166940106</v>
      </c>
      <c r="AN6704">
        <v>0.99999997757831605</v>
      </c>
    </row>
    <row r="6705" spans="1:40" x14ac:dyDescent="0.25">
      <c r="A6705" t="str">
        <f>"20190303162046298"</f>
        <v>20190303162046298</v>
      </c>
      <c r="B6705" t="str">
        <f>"1551601246289423"</f>
        <v>1551601246289423</v>
      </c>
      <c r="C6705" t="s">
        <v>40</v>
      </c>
      <c r="D6705">
        <v>4.4188269999999896</v>
      </c>
      <c r="E6705">
        <v>0.42766660000000001</v>
      </c>
      <c r="F6705" t="s">
        <v>41</v>
      </c>
      <c r="G6705">
        <v>-356.0566</v>
      </c>
      <c r="H6705" s="1">
        <v>-2.2110830000000001E-6</v>
      </c>
      <c r="I6705">
        <v>136.58860000000001</v>
      </c>
      <c r="J6705">
        <v>-329.26119999999997</v>
      </c>
      <c r="K6705">
        <v>1.1213040000000001</v>
      </c>
      <c r="L6705">
        <v>141.80799999999999</v>
      </c>
      <c r="M6705">
        <v>-0.99986549999999996</v>
      </c>
      <c r="N6705">
        <v>-1.2452339999999999E-2</v>
      </c>
      <c r="O6705">
        <v>-1.0687520000000001E-2</v>
      </c>
      <c r="P6705">
        <v>-0.98795929999999998</v>
      </c>
      <c r="Q6705">
        <v>0.1547087</v>
      </c>
      <c r="R6705">
        <v>-1.3740060000000001E-3</v>
      </c>
      <c r="S6705">
        <v>-3.0558169999999998</v>
      </c>
      <c r="T6705">
        <v>-0.12667310000000001</v>
      </c>
      <c r="U6705">
        <v>-0.58990480000000001</v>
      </c>
      <c r="V6705">
        <v>9.2416589999999993E-3</v>
      </c>
      <c r="W6705">
        <v>0.16699510000000001</v>
      </c>
      <c r="X6705">
        <v>0.98591439999999997</v>
      </c>
      <c r="Y6705">
        <v>-0.178848799999999</v>
      </c>
      <c r="Z6705">
        <v>-4.489051E-3</v>
      </c>
      <c r="AA6705">
        <v>0.98386629999999997</v>
      </c>
      <c r="AB6705">
        <v>26</v>
      </c>
      <c r="AC6705">
        <v>-26.795400000000001</v>
      </c>
      <c r="AD6705">
        <v>-1.1213062110830001</v>
      </c>
      <c r="AE6705">
        <v>-5.2193999999999701</v>
      </c>
      <c r="AF6705">
        <v>-4.92439510620585</v>
      </c>
      <c r="AG6705">
        <v>-1.1213062110830001</v>
      </c>
      <c r="AH6705">
        <v>26.804432930994501</v>
      </c>
      <c r="AI6705">
        <v>92.356065082719695</v>
      </c>
      <c r="AJ6705">
        <v>100.41005185681701</v>
      </c>
      <c r="AK6705">
        <v>27.276081454879499</v>
      </c>
      <c r="AL6705">
        <v>80.386846341174802</v>
      </c>
      <c r="AM6705">
        <v>89.462942676757606</v>
      </c>
      <c r="AN6705">
        <v>0.99999998790622102</v>
      </c>
    </row>
    <row r="6706" spans="1:40" x14ac:dyDescent="0.25">
      <c r="A6706" t="str">
        <f>"20190303162046314"</f>
        <v>20190303162046314</v>
      </c>
      <c r="B6706" t="str">
        <f>"1551601246308943"</f>
        <v>1551601246308943</v>
      </c>
      <c r="C6706" t="s">
        <v>40</v>
      </c>
      <c r="D6706">
        <v>4.4219530000000002</v>
      </c>
      <c r="E6706">
        <v>0.42741279999999998</v>
      </c>
      <c r="F6706" t="s">
        <v>41</v>
      </c>
      <c r="G6706">
        <v>-355.67759999999998</v>
      </c>
      <c r="H6706" s="1">
        <v>-2.3544580000000002E-6</v>
      </c>
      <c r="I6706">
        <v>136.6969</v>
      </c>
      <c r="J6706">
        <v>-329.45190000000002</v>
      </c>
      <c r="K6706">
        <v>1.1212770000000001</v>
      </c>
      <c r="L6706">
        <v>141.80619999999999</v>
      </c>
      <c r="M6706">
        <v>-0.99986739999999996</v>
      </c>
      <c r="N6706">
        <v>-1.243262E-2</v>
      </c>
      <c r="O6706">
        <v>-1.052925E-2</v>
      </c>
      <c r="P6706">
        <v>-0.9880369</v>
      </c>
      <c r="Q6706">
        <v>0.1542134</v>
      </c>
      <c r="R6706">
        <v>-1.2616610000000001E-3</v>
      </c>
      <c r="S6706">
        <v>-3.0560610000000001</v>
      </c>
      <c r="T6706">
        <v>-0.129722</v>
      </c>
      <c r="U6706">
        <v>-0.59129330000000002</v>
      </c>
      <c r="V6706">
        <v>9.2076169999999995E-3</v>
      </c>
      <c r="W6706">
        <v>0.1664812</v>
      </c>
      <c r="X6706">
        <v>0.98600160000000003</v>
      </c>
      <c r="Y6706">
        <v>-0.179412299999999</v>
      </c>
      <c r="Z6706">
        <v>-4.5845469999999996E-3</v>
      </c>
      <c r="AA6706">
        <v>0.98376330000000001</v>
      </c>
      <c r="AB6706">
        <v>26</v>
      </c>
      <c r="AC6706">
        <v>-26.2256999999999</v>
      </c>
      <c r="AD6706">
        <v>-1.121279354458</v>
      </c>
      <c r="AE6706">
        <v>-5.1092999999999904</v>
      </c>
      <c r="AF6706">
        <v>-4.8243620681910802</v>
      </c>
      <c r="AG6706">
        <v>-1.121279354458</v>
      </c>
      <c r="AH6706">
        <v>26.231849152465202</v>
      </c>
      <c r="AI6706">
        <v>92.407291270848305</v>
      </c>
      <c r="AJ6706">
        <v>100.42095314053699</v>
      </c>
      <c r="AK6706">
        <v>26.695348784262499</v>
      </c>
      <c r="AL6706">
        <v>80.416708435552707</v>
      </c>
      <c r="AM6706">
        <v>89.464968151034796</v>
      </c>
      <c r="AN6706">
        <v>0.99999996268340796</v>
      </c>
    </row>
    <row r="6707" spans="1:40" x14ac:dyDescent="0.25">
      <c r="A6707" t="str">
        <f>"20190303162046331"</f>
        <v>20190303162046331</v>
      </c>
      <c r="B6707" t="str">
        <f>"1551601246318704"</f>
        <v>1551601246318704</v>
      </c>
      <c r="C6707" t="s">
        <v>40</v>
      </c>
      <c r="D6707">
        <v>4.3671430000000004</v>
      </c>
      <c r="E6707">
        <v>0.42742229999999998</v>
      </c>
      <c r="F6707" t="s">
        <v>41</v>
      </c>
      <c r="G6707">
        <v>-356.4264</v>
      </c>
      <c r="H6707" s="1">
        <v>-2.0552499999999999E-6</v>
      </c>
      <c r="I6707">
        <v>136.5728</v>
      </c>
      <c r="J6707">
        <v>-329.65050000000002</v>
      </c>
      <c r="K6707">
        <v>1.1212359999999999</v>
      </c>
      <c r="L6707">
        <v>141.80420000000001</v>
      </c>
      <c r="M6707">
        <v>-0.99986949999999997</v>
      </c>
      <c r="N6707">
        <v>-1.241137E-2</v>
      </c>
      <c r="O6707">
        <v>-1.033944E-2</v>
      </c>
      <c r="P6707">
        <v>-0.98813790000000001</v>
      </c>
      <c r="Q6707">
        <v>0.15356789999999901</v>
      </c>
      <c r="R6707">
        <v>-5.9663969999999996E-4</v>
      </c>
      <c r="S6707">
        <v>-3.0554199999999998</v>
      </c>
      <c r="T6707">
        <v>-0.12700829999999999</v>
      </c>
      <c r="U6707">
        <v>-0.59277340000000001</v>
      </c>
      <c r="V6707">
        <v>9.6962980000000008E-3</v>
      </c>
      <c r="W6707">
        <v>0.16581489999999999</v>
      </c>
      <c r="X6707">
        <v>0.98610920000000002</v>
      </c>
      <c r="Y6707">
        <v>-0.18010309999999999</v>
      </c>
      <c r="Z6707">
        <v>-4.5373990000000001E-3</v>
      </c>
      <c r="AA6707">
        <v>0.98363730000000005</v>
      </c>
      <c r="AB6707">
        <v>26</v>
      </c>
      <c r="AC6707">
        <v>-26.775899999999901</v>
      </c>
      <c r="AD6707">
        <v>-1.1212380552500001</v>
      </c>
      <c r="AE6707">
        <v>-5.2313999999999998</v>
      </c>
      <c r="AF6707">
        <v>-4.9458973953617598</v>
      </c>
      <c r="AG6707">
        <v>-1.1212380552500001</v>
      </c>
      <c r="AH6707">
        <v>26.783324515154199</v>
      </c>
      <c r="AI6707">
        <v>92.357379144672706</v>
      </c>
      <c r="AJ6707">
        <v>100.46256456604701</v>
      </c>
      <c r="AK6707">
        <v>27.259228674084799</v>
      </c>
      <c r="AL6707">
        <v>80.455422848340604</v>
      </c>
      <c r="AM6707">
        <v>89.436635365991606</v>
      </c>
      <c r="AN6707">
        <v>0.99999997679077701</v>
      </c>
    </row>
    <row r="6708" spans="1:40" x14ac:dyDescent="0.25">
      <c r="A6708" t="str">
        <f>"20190303162046354"</f>
        <v>20190303162046354</v>
      </c>
      <c r="B6708" t="str">
        <f>"1551601246348959"</f>
        <v>1551601246348959</v>
      </c>
      <c r="C6708" t="s">
        <v>40</v>
      </c>
      <c r="D6708">
        <v>4.9224230000000002</v>
      </c>
      <c r="E6708">
        <v>0.45399469999999997</v>
      </c>
      <c r="F6708" t="s">
        <v>41</v>
      </c>
      <c r="G6708">
        <v>-356.09</v>
      </c>
      <c r="H6708" s="1">
        <v>-2.1775069999999999E-6</v>
      </c>
      <c r="I6708">
        <v>136.69710000000001</v>
      </c>
      <c r="J6708">
        <v>-329.92059999999998</v>
      </c>
      <c r="K6708">
        <v>1.1211930000000001</v>
      </c>
      <c r="L6708">
        <v>141.80179999999999</v>
      </c>
      <c r="M6708">
        <v>-0.99987309999999996</v>
      </c>
      <c r="N6708">
        <v>-1.238384E-2</v>
      </c>
      <c r="O6708">
        <v>-1.0037030000000001E-2</v>
      </c>
      <c r="P6708">
        <v>-0.98825819999999998</v>
      </c>
      <c r="Q6708">
        <v>0.15279239999999999</v>
      </c>
      <c r="R6708">
        <v>7.4594750000000001E-4</v>
      </c>
      <c r="S6708">
        <v>-3.0557859999999999</v>
      </c>
      <c r="T6708">
        <v>-0.12958900000000001</v>
      </c>
      <c r="U6708">
        <v>-0.59025569999999905</v>
      </c>
      <c r="V6708">
        <v>1.075575E-2</v>
      </c>
      <c r="W6708">
        <v>0.16501260000000001</v>
      </c>
      <c r="X6708">
        <v>0.98623280000000002</v>
      </c>
      <c r="Y6708">
        <v>-0.1795911</v>
      </c>
      <c r="Z6708">
        <v>-4.5960719999999997E-3</v>
      </c>
      <c r="AA6708">
        <v>0.98373060000000001</v>
      </c>
      <c r="AB6708">
        <v>26</v>
      </c>
      <c r="AC6708">
        <v>-26.1694</v>
      </c>
      <c r="AD6708">
        <v>-1.1211951775069999</v>
      </c>
      <c r="AE6708">
        <v>-5.1046999999999798</v>
      </c>
      <c r="AF6708">
        <v>-4.83321308540798</v>
      </c>
      <c r="AG6708">
        <v>-1.1211951775069999</v>
      </c>
      <c r="AH6708">
        <v>26.173039668112299</v>
      </c>
      <c r="AI6708">
        <v>92.412190333837103</v>
      </c>
      <c r="AJ6708">
        <v>100.462591897255</v>
      </c>
      <c r="AK6708">
        <v>26.639163515838899</v>
      </c>
      <c r="AL6708">
        <v>80.502033476007298</v>
      </c>
      <c r="AM6708">
        <v>89.375163095439703</v>
      </c>
      <c r="AN6708">
        <v>0.999999990056331</v>
      </c>
    </row>
    <row r="6709" spans="1:40" x14ac:dyDescent="0.25">
      <c r="A6709" t="str">
        <f>"20190303162046377"</f>
        <v>20190303162046377</v>
      </c>
      <c r="B6709" t="str">
        <f>"1551601246369456"</f>
        <v>1551601246369456</v>
      </c>
      <c r="C6709" t="s">
        <v>40</v>
      </c>
      <c r="D6709">
        <v>4.6356460000000004</v>
      </c>
      <c r="E6709">
        <v>0.51178539999999995</v>
      </c>
      <c r="F6709" t="s">
        <v>50</v>
      </c>
      <c r="G6709">
        <v>-422.24700000000001</v>
      </c>
      <c r="H6709" s="1">
        <v>-6.4289149999999998E-6</v>
      </c>
      <c r="I6709">
        <v>130.49170000000001</v>
      </c>
      <c r="J6709">
        <v>-330.18529999999998</v>
      </c>
      <c r="K6709">
        <v>1.121157</v>
      </c>
      <c r="L6709">
        <v>141.79949999999999</v>
      </c>
      <c r="M6709">
        <v>-0.9998766</v>
      </c>
      <c r="N6709">
        <v>-1.2359480000000001E-2</v>
      </c>
      <c r="O6709">
        <v>-9.6949960000000009E-3</v>
      </c>
      <c r="P6709">
        <v>-0.98829330000000004</v>
      </c>
      <c r="Q6709">
        <v>0.15255539999999901</v>
      </c>
      <c r="R6709">
        <v>1.765714E-3</v>
      </c>
      <c r="S6709">
        <v>-3.0416560000000001</v>
      </c>
      <c r="T6709">
        <v>-3.6937480000000002E-2</v>
      </c>
      <c r="U6709">
        <v>-0.3726044</v>
      </c>
      <c r="V6709">
        <v>1.14515E-2</v>
      </c>
      <c r="W6709">
        <v>0.1647507</v>
      </c>
      <c r="X6709">
        <v>0.98626879999999995</v>
      </c>
      <c r="Y6709">
        <v>-0.1119455</v>
      </c>
      <c r="Z6709">
        <v>-1.373747E-3</v>
      </c>
      <c r="AA6709">
        <v>0.99371339999999997</v>
      </c>
      <c r="AB6709">
        <v>26</v>
      </c>
      <c r="AC6709">
        <v>-92.061699999999902</v>
      </c>
      <c r="AD6709">
        <v>-1.1211634289150001</v>
      </c>
      <c r="AE6709">
        <v>-11.307799999999901</v>
      </c>
      <c r="AF6709">
        <v>-10.413141019692301</v>
      </c>
      <c r="AG6709">
        <v>-1.1211634289150001</v>
      </c>
      <c r="AH6709">
        <v>92.153545660695599</v>
      </c>
      <c r="AI6709">
        <v>90.692633128845102</v>
      </c>
      <c r="AJ6709">
        <v>96.446946304236405</v>
      </c>
      <c r="AK6709">
        <v>92.746786958731093</v>
      </c>
      <c r="AL6709">
        <v>80.517247927479602</v>
      </c>
      <c r="AM6709">
        <v>89.334772491336196</v>
      </c>
      <c r="AN6709">
        <v>1.00000003792808</v>
      </c>
    </row>
    <row r="6710" spans="1:40" x14ac:dyDescent="0.25">
      <c r="A6710" t="str">
        <f>"20190303162046398"</f>
        <v>20190303162046398</v>
      </c>
      <c r="B6710" t="str">
        <f>"1551601246388976"</f>
        <v>1551601246388976</v>
      </c>
      <c r="C6710" t="s">
        <v>40</v>
      </c>
      <c r="D6710">
        <v>4.5355819999999998</v>
      </c>
      <c r="E6710">
        <v>0.51900049999999998</v>
      </c>
      <c r="F6710" t="s">
        <v>58</v>
      </c>
      <c r="G6710">
        <v>0</v>
      </c>
      <c r="H6710">
        <v>0</v>
      </c>
      <c r="I6710">
        <v>0</v>
      </c>
      <c r="J6710">
        <v>-330.43220000000002</v>
      </c>
      <c r="K6710">
        <v>1.1211249999999999</v>
      </c>
      <c r="L6710">
        <v>141.79750000000001</v>
      </c>
      <c r="M6710">
        <v>-0.9998802</v>
      </c>
      <c r="N6710">
        <v>-1.233886E-2</v>
      </c>
      <c r="O6710">
        <v>-9.3385359999999997E-3</v>
      </c>
      <c r="P6710">
        <v>-0.98835850000000003</v>
      </c>
      <c r="Q6710">
        <v>0.15211160000000001</v>
      </c>
      <c r="R6710">
        <v>3.0980299999999999E-3</v>
      </c>
      <c r="S6710">
        <v>-3.0290530000000002</v>
      </c>
      <c r="T6710">
        <v>4.1046260000000001E-2</v>
      </c>
      <c r="U6710">
        <v>9.2803960000000005E-2</v>
      </c>
      <c r="V6710">
        <v>1.24428E-2</v>
      </c>
      <c r="W6710">
        <v>0.16428599999999999</v>
      </c>
      <c r="X6710">
        <v>0.9863343</v>
      </c>
      <c r="Y6710">
        <v>3.9953660000000002E-2</v>
      </c>
      <c r="Z6710">
        <v>-2.6577190000000002E-4</v>
      </c>
      <c r="AA6710">
        <v>0.99920149999999996</v>
      </c>
      <c r="AB6710">
        <v>26</v>
      </c>
      <c r="AC6710">
        <v>-3.0290530000000002</v>
      </c>
      <c r="AD6710">
        <v>4.1046260000000001E-2</v>
      </c>
      <c r="AE6710">
        <v>9.2803960000000005E-2</v>
      </c>
      <c r="AF6710">
        <v>0.12106677841334</v>
      </c>
      <c r="AG6710">
        <v>4.1046260000000001E-2</v>
      </c>
      <c r="AH6710">
        <v>3.02749877342062</v>
      </c>
      <c r="AI6710">
        <v>89.223862414638901</v>
      </c>
      <c r="AJ6710">
        <v>87.7100167487786</v>
      </c>
      <c r="AK6710">
        <v>3.0301964925328999</v>
      </c>
      <c r="AL6710">
        <v>80.544241029037906</v>
      </c>
      <c r="AM6710">
        <v>89.277240880540901</v>
      </c>
      <c r="AN6710">
        <v>1.0000000322121601</v>
      </c>
    </row>
    <row r="6711" spans="1:40" x14ac:dyDescent="0.25">
      <c r="A6711" t="str">
        <f>"20190303162046420"</f>
        <v>20190303162046420</v>
      </c>
      <c r="B6711" t="str">
        <f>"1551601246409472"</f>
        <v>1551601246409472</v>
      </c>
      <c r="C6711" t="s">
        <v>40</v>
      </c>
      <c r="D6711">
        <v>4.4872800000000002</v>
      </c>
      <c r="E6711">
        <v>0.5216828</v>
      </c>
      <c r="F6711" t="s">
        <v>71</v>
      </c>
      <c r="G6711">
        <v>-511.05959999999999</v>
      </c>
      <c r="H6711">
        <v>2.7464189999999999</v>
      </c>
      <c r="I6711">
        <v>150.99180000000001</v>
      </c>
      <c r="J6711">
        <v>-330.68709999999999</v>
      </c>
      <c r="K6711">
        <v>1.1211009999999999</v>
      </c>
      <c r="L6711">
        <v>141.79560000000001</v>
      </c>
      <c r="M6711">
        <v>-0.99988429999999995</v>
      </c>
      <c r="N6711">
        <v>-1.231583E-2</v>
      </c>
      <c r="O6711">
        <v>-8.938026E-3</v>
      </c>
      <c r="P6711">
        <v>-0.98842969999999997</v>
      </c>
      <c r="Q6711">
        <v>0.15163009999999999</v>
      </c>
      <c r="R6711">
        <v>3.9525189999999998E-3</v>
      </c>
      <c r="S6711">
        <v>-3.03064</v>
      </c>
      <c r="T6711">
        <v>2.7270559999999999E-2</v>
      </c>
      <c r="U6711">
        <v>0.1542664</v>
      </c>
      <c r="V6711">
        <v>1.291103E-2</v>
      </c>
      <c r="W6711">
        <v>0.16378129999999999</v>
      </c>
      <c r="X6711">
        <v>0.98641219999999996</v>
      </c>
      <c r="Y6711">
        <v>5.9760420000000002E-2</v>
      </c>
      <c r="Z6711" s="1">
        <v>-9.0821180000000002E-5</v>
      </c>
      <c r="AA6711">
        <v>0.99821280000000001</v>
      </c>
      <c r="AB6711">
        <v>26</v>
      </c>
      <c r="AC6711">
        <v>-180.3725</v>
      </c>
      <c r="AD6711">
        <v>1.62531799999999</v>
      </c>
      <c r="AE6711">
        <v>9.1961999999999993</v>
      </c>
      <c r="AF6711">
        <v>10.807253598447399</v>
      </c>
      <c r="AG6711">
        <v>1.62531799999999</v>
      </c>
      <c r="AH6711">
        <v>180.268492657167</v>
      </c>
      <c r="AI6711">
        <v>89.484355519382504</v>
      </c>
      <c r="AJ6711">
        <v>86.569174290454995</v>
      </c>
      <c r="AK6711">
        <v>180.599467977703</v>
      </c>
      <c r="AL6711">
        <v>80.573555148022507</v>
      </c>
      <c r="AM6711">
        <v>89.250105292391893</v>
      </c>
      <c r="AN6711">
        <v>1.0000000186170901</v>
      </c>
    </row>
    <row r="6712" spans="1:40" x14ac:dyDescent="0.25">
      <c r="A6712" t="str">
        <f>"20190303162046442"</f>
        <v>20190303162046442</v>
      </c>
      <c r="B6712" t="str">
        <f>"1551601246439727"</f>
        <v>1551601246439727</v>
      </c>
      <c r="C6712" t="s">
        <v>40</v>
      </c>
      <c r="D6712">
        <v>4.4736339999999997</v>
      </c>
      <c r="E6712">
        <v>0.52278950000000002</v>
      </c>
      <c r="F6712" t="s">
        <v>71</v>
      </c>
      <c r="G6712">
        <v>-511.05939999999998</v>
      </c>
      <c r="H6712">
        <v>2.4233739999999999</v>
      </c>
      <c r="I6712">
        <v>152.39779999999999</v>
      </c>
      <c r="J6712">
        <v>-330.95100000000002</v>
      </c>
      <c r="K6712">
        <v>1.1210830000000001</v>
      </c>
      <c r="L6712">
        <v>141.7937</v>
      </c>
      <c r="M6712">
        <v>-0.99988849999999996</v>
      </c>
      <c r="N6712">
        <v>-1.2288769999999999E-2</v>
      </c>
      <c r="O6712">
        <v>-8.4962159999999991E-3</v>
      </c>
      <c r="P6712">
        <v>-0.98843329999999996</v>
      </c>
      <c r="Q6712">
        <v>0.15158659999999999</v>
      </c>
      <c r="R6712">
        <v>4.6500270000000002E-3</v>
      </c>
      <c r="S6712">
        <v>-3.0310060000000001</v>
      </c>
      <c r="T6712">
        <v>2.1884319999999999E-2</v>
      </c>
      <c r="U6712">
        <v>0.1781616</v>
      </c>
      <c r="V6712">
        <v>1.31787E-2</v>
      </c>
      <c r="W6712">
        <v>0.16371069999999999</v>
      </c>
      <c r="X6712">
        <v>0.98642030000000003</v>
      </c>
      <c r="Y6712">
        <v>6.7158159999999995E-2</v>
      </c>
      <c r="Z6712" s="1">
        <v>5.1729729999999997E-6</v>
      </c>
      <c r="AA6712">
        <v>0.99774240000000003</v>
      </c>
      <c r="AB6712">
        <v>26</v>
      </c>
      <c r="AC6712">
        <v>-180.10839999999999</v>
      </c>
      <c r="AD6712">
        <v>1.3022910000000001</v>
      </c>
      <c r="AE6712">
        <v>10.604099999999899</v>
      </c>
      <c r="AF6712">
        <v>12.133440304365299</v>
      </c>
      <c r="AG6712">
        <v>1.3022910000000001</v>
      </c>
      <c r="AH6712">
        <v>180.002418470192</v>
      </c>
      <c r="AI6712">
        <v>89.586419201233696</v>
      </c>
      <c r="AJ6712">
        <v>86.143691486805807</v>
      </c>
      <c r="AK6712">
        <v>180.415595197827</v>
      </c>
      <c r="AL6712">
        <v>80.577654826334495</v>
      </c>
      <c r="AM6712">
        <v>89.234566676542201</v>
      </c>
      <c r="AN6712">
        <v>0.99999993984013302</v>
      </c>
    </row>
    <row r="6713" spans="1:40" x14ac:dyDescent="0.25">
      <c r="A6713" t="str">
        <f>"20190303162046466"</f>
        <v>20190303162046466</v>
      </c>
      <c r="B6713" t="str">
        <f>"1551601246459247"</f>
        <v>1551601246459247</v>
      </c>
      <c r="C6713" t="s">
        <v>40</v>
      </c>
      <c r="D6713">
        <v>4.600403</v>
      </c>
      <c r="E6713">
        <v>0.52200360000000001</v>
      </c>
      <c r="F6713" t="s">
        <v>71</v>
      </c>
      <c r="G6713">
        <v>-511.05930000000001</v>
      </c>
      <c r="H6713">
        <v>2.0317219999999998</v>
      </c>
      <c r="I6713">
        <v>153.00389999999999</v>
      </c>
      <c r="J6713">
        <v>-331.21640000000002</v>
      </c>
      <c r="K6713">
        <v>1.1210719999999901</v>
      </c>
      <c r="L6713">
        <v>141.792</v>
      </c>
      <c r="M6713">
        <v>-0.99989260000000002</v>
      </c>
      <c r="N6713">
        <v>-1.226213E-2</v>
      </c>
      <c r="O6713">
        <v>-8.0332839999999999E-3</v>
      </c>
      <c r="P6713">
        <v>-0.98836409999999997</v>
      </c>
      <c r="Q6713">
        <v>0.15201329999999999</v>
      </c>
      <c r="R6713">
        <v>5.3271869999999997E-3</v>
      </c>
      <c r="S6713">
        <v>-3.0318299999999998</v>
      </c>
      <c r="T6713">
        <v>1.5329840000000001E-2</v>
      </c>
      <c r="U6713">
        <v>0.1887054</v>
      </c>
      <c r="V6713">
        <v>1.340189E-2</v>
      </c>
      <c r="W6713">
        <v>0.16410910000000001</v>
      </c>
      <c r="X6713">
        <v>0.98635110000000004</v>
      </c>
      <c r="Y6713">
        <v>7.0137679999999994E-2</v>
      </c>
      <c r="Z6713">
        <v>1.1431309999999999E-4</v>
      </c>
      <c r="AA6713">
        <v>0.99753729999999996</v>
      </c>
      <c r="AB6713">
        <v>26</v>
      </c>
      <c r="AC6713">
        <v>-179.84289999999999</v>
      </c>
      <c r="AD6713">
        <v>0.91064999999999996</v>
      </c>
      <c r="AE6713">
        <v>11.211899999999901</v>
      </c>
      <c r="AF6713">
        <v>12.656052565791599</v>
      </c>
      <c r="AG6713">
        <v>0.91064999999999996</v>
      </c>
      <c r="AH6713">
        <v>179.74243019433601</v>
      </c>
      <c r="AI6713">
        <v>89.710435118541994</v>
      </c>
      <c r="AJ6713">
        <v>85.972327915787801</v>
      </c>
      <c r="AK6713">
        <v>180.18975043585701</v>
      </c>
      <c r="AL6713">
        <v>80.554515326454805</v>
      </c>
      <c r="AM6713">
        <v>89.221550535136302</v>
      </c>
      <c r="AN6713">
        <v>0.99999994991479402</v>
      </c>
    </row>
    <row r="6714" spans="1:40" x14ac:dyDescent="0.25">
      <c r="A6714" t="str">
        <f>"20190303162046487"</f>
        <v>20190303162046487</v>
      </c>
      <c r="B6714" t="str">
        <f>"1551601246479748"</f>
        <v>1551601246479748</v>
      </c>
      <c r="C6714" t="s">
        <v>40</v>
      </c>
      <c r="D6714">
        <v>4.4993749999999997</v>
      </c>
      <c r="E6714">
        <v>0.52140869999999995</v>
      </c>
      <c r="F6714" t="s">
        <v>71</v>
      </c>
      <c r="G6714">
        <v>-511.05919999999998</v>
      </c>
      <c r="H6714">
        <v>1.7177099999999901</v>
      </c>
      <c r="I6714">
        <v>152.7106</v>
      </c>
      <c r="J6714">
        <v>-331.46820000000002</v>
      </c>
      <c r="K6714">
        <v>1.1210659999999999</v>
      </c>
      <c r="L6714">
        <v>141.79040000000001</v>
      </c>
      <c r="M6714">
        <v>-0.99989629999999996</v>
      </c>
      <c r="N6714">
        <v>-1.223982E-2</v>
      </c>
      <c r="O6714">
        <v>-7.5866669999999897E-3</v>
      </c>
      <c r="P6714">
        <v>-0.98827949999999998</v>
      </c>
      <c r="Q6714">
        <v>0.15252739999999901</v>
      </c>
      <c r="R6714">
        <v>6.2587540000000001E-3</v>
      </c>
      <c r="S6714">
        <v>-3.0328059999999999</v>
      </c>
      <c r="T6714">
        <v>1.006222E-2</v>
      </c>
      <c r="U6714">
        <v>0.18412780000000001</v>
      </c>
      <c r="V6714">
        <v>1.3893880000000001E-2</v>
      </c>
      <c r="W6714">
        <v>0.1646002</v>
      </c>
      <c r="X6714">
        <v>0.98626250000000004</v>
      </c>
      <c r="Y6714">
        <v>6.8172090000000005E-2</v>
      </c>
      <c r="Z6714">
        <v>1.8669659999999999E-4</v>
      </c>
      <c r="AA6714">
        <v>0.99767360000000005</v>
      </c>
      <c r="AB6714">
        <v>26</v>
      </c>
      <c r="AC6714">
        <v>-179.59099999999901</v>
      </c>
      <c r="AD6714">
        <v>0.59664399999999995</v>
      </c>
      <c r="AE6714">
        <v>10.9201999999999</v>
      </c>
      <c r="AF6714">
        <v>12.282349811754001</v>
      </c>
      <c r="AG6714">
        <v>0.59664399999999995</v>
      </c>
      <c r="AH6714">
        <v>179.50100271519301</v>
      </c>
      <c r="AI6714">
        <v>89.809999329470202</v>
      </c>
      <c r="AJ6714">
        <v>86.085639669002305</v>
      </c>
      <c r="AK6714">
        <v>179.92171096541099</v>
      </c>
      <c r="AL6714">
        <v>80.525989858415301</v>
      </c>
      <c r="AM6714">
        <v>89.1929044949092</v>
      </c>
      <c r="AN6714">
        <v>0.99999999232387204</v>
      </c>
    </row>
    <row r="6715" spans="1:40" x14ac:dyDescent="0.25">
      <c r="A6715" t="str">
        <f>"20190303162046509"</f>
        <v>20190303162046509</v>
      </c>
      <c r="B6715" t="str">
        <f>"1551601246499263"</f>
        <v>1551601246499263</v>
      </c>
      <c r="C6715" t="s">
        <v>40</v>
      </c>
      <c r="D6715">
        <v>4.5041979999999997</v>
      </c>
      <c r="E6715">
        <v>0.52096500000000001</v>
      </c>
      <c r="F6715" t="s">
        <v>71</v>
      </c>
      <c r="G6715">
        <v>-511.0591</v>
      </c>
      <c r="H6715">
        <v>1.5100499999999999</v>
      </c>
      <c r="I6715">
        <v>152.55969999999999</v>
      </c>
      <c r="J6715">
        <v>-331.72399999999999</v>
      </c>
      <c r="K6715">
        <v>1.1210610000000001</v>
      </c>
      <c r="L6715">
        <v>141.78899999999999</v>
      </c>
      <c r="M6715">
        <v>-0.99989989999999995</v>
      </c>
      <c r="N6715">
        <v>-1.2219320000000001E-2</v>
      </c>
      <c r="O6715">
        <v>-7.1323539999999996E-3</v>
      </c>
      <c r="P6715">
        <v>-0.98831950000000002</v>
      </c>
      <c r="Q6715">
        <v>0.15225359999999999</v>
      </c>
      <c r="R6715">
        <v>6.586204E-3</v>
      </c>
      <c r="S6715">
        <v>-3.033417</v>
      </c>
      <c r="T6715">
        <v>6.570935E-3</v>
      </c>
      <c r="U6715">
        <v>0.18190000000000001</v>
      </c>
      <c r="V6715">
        <v>1.3773179999999999E-2</v>
      </c>
      <c r="W6715">
        <v>0.16430620000000001</v>
      </c>
      <c r="X6715">
        <v>0.9863132</v>
      </c>
      <c r="Y6715">
        <v>6.6976439999999998E-2</v>
      </c>
      <c r="Z6715">
        <v>2.3459730000000001E-4</v>
      </c>
      <c r="AA6715">
        <v>0.99775449999999999</v>
      </c>
      <c r="AB6715">
        <v>26</v>
      </c>
      <c r="AC6715">
        <v>-179.33510000000001</v>
      </c>
      <c r="AD6715">
        <v>0.38898899999999897</v>
      </c>
      <c r="AE6715">
        <v>10.7707</v>
      </c>
      <c r="AF6715">
        <v>12.049546437394699</v>
      </c>
      <c r="AG6715">
        <v>0.38898899999999897</v>
      </c>
      <c r="AH6715">
        <v>179.25287132538901</v>
      </c>
      <c r="AI6715">
        <v>89.875945035195599</v>
      </c>
      <c r="AJ6715">
        <v>86.154309351846393</v>
      </c>
      <c r="AK6715">
        <v>179.65782688262101</v>
      </c>
      <c r="AL6715">
        <v>80.543067194412401</v>
      </c>
      <c r="AM6715">
        <v>89.1999561644772</v>
      </c>
      <c r="AN6715">
        <v>0.99999997816999497</v>
      </c>
    </row>
    <row r="6716" spans="1:40" x14ac:dyDescent="0.25">
      <c r="A6716" t="str">
        <f>"20190303162046525"</f>
        <v>20190303162046525</v>
      </c>
      <c r="B6716" t="str">
        <f>"1551601246519760"</f>
        <v>1551601246519760</v>
      </c>
      <c r="C6716" t="s">
        <v>40</v>
      </c>
      <c r="D6716">
        <v>4.507301</v>
      </c>
      <c r="E6716">
        <v>0.52051499999999995</v>
      </c>
      <c r="F6716" t="s">
        <v>71</v>
      </c>
      <c r="G6716">
        <v>-511.0591</v>
      </c>
      <c r="H6716">
        <v>1.3702559999999999</v>
      </c>
      <c r="I6716">
        <v>152.43129999999999</v>
      </c>
      <c r="J6716">
        <v>-331.91419999999999</v>
      </c>
      <c r="K6716">
        <v>1.1210580000000001</v>
      </c>
      <c r="L6716">
        <v>141.78799999999899</v>
      </c>
      <c r="M6716">
        <v>-0.99990250000000003</v>
      </c>
      <c r="N6716">
        <v>-1.220511E-2</v>
      </c>
      <c r="O6716">
        <v>-6.7968289999999999E-3</v>
      </c>
      <c r="P6716">
        <v>-0.98829940000000005</v>
      </c>
      <c r="Q6716">
        <v>0.15237300000000001</v>
      </c>
      <c r="R6716">
        <v>6.86902E-3</v>
      </c>
      <c r="S6716">
        <v>-3.0335999999999999</v>
      </c>
      <c r="T6716">
        <v>4.2160749999999997E-3</v>
      </c>
      <c r="U6716">
        <v>0.18002319999999999</v>
      </c>
      <c r="V6716">
        <v>1.3724419999999999E-2</v>
      </c>
      <c r="W6716">
        <v>0.16441210000000001</v>
      </c>
      <c r="X6716">
        <v>0.98629619999999996</v>
      </c>
      <c r="Y6716">
        <v>6.6022789999999998E-2</v>
      </c>
      <c r="Z6716">
        <v>2.6511599999999997E-4</v>
      </c>
      <c r="AA6716">
        <v>0.99781810000000004</v>
      </c>
      <c r="AB6716">
        <v>26</v>
      </c>
      <c r="AC6716">
        <v>-179.14490000000001</v>
      </c>
      <c r="AD6716">
        <v>0.249198</v>
      </c>
      <c r="AE6716">
        <v>10.6433</v>
      </c>
      <c r="AF6716">
        <v>11.860739095624</v>
      </c>
      <c r="AG6716">
        <v>0.249198</v>
      </c>
      <c r="AH6716">
        <v>179.06807001829799</v>
      </c>
      <c r="AI6716">
        <v>89.920439378191205</v>
      </c>
      <c r="AJ6716">
        <v>86.210496395080298</v>
      </c>
      <c r="AK6716">
        <v>179.46061665896499</v>
      </c>
      <c r="AL6716">
        <v>80.536915612309798</v>
      </c>
      <c r="AM6716">
        <v>89.202774385271198</v>
      </c>
      <c r="AN6716">
        <v>0.99999994623259103</v>
      </c>
    </row>
    <row r="6717" spans="1:40" x14ac:dyDescent="0.25">
      <c r="A6717" t="str">
        <f>"20190303162046543"</f>
        <v>20190303162046543</v>
      </c>
      <c r="B6717" t="str">
        <f>"1551601246529520"</f>
        <v>1551601246529520</v>
      </c>
      <c r="C6717" t="s">
        <v>40</v>
      </c>
      <c r="D6717">
        <v>4.5335380000000001</v>
      </c>
      <c r="E6717">
        <v>0.52035739999999997</v>
      </c>
      <c r="F6717" t="s">
        <v>71</v>
      </c>
      <c r="G6717">
        <v>-511.0591</v>
      </c>
      <c r="H6717">
        <v>1.4114199999999999</v>
      </c>
      <c r="I6717">
        <v>152.2731</v>
      </c>
      <c r="J6717">
        <v>-332.12310000000002</v>
      </c>
      <c r="K6717">
        <v>1.1210560000000001</v>
      </c>
      <c r="L6717">
        <v>141.78700000000001</v>
      </c>
      <c r="M6717">
        <v>-0.99990500000000004</v>
      </c>
      <c r="N6717">
        <v>-1.219073E-2</v>
      </c>
      <c r="O6717">
        <v>-6.4309199999999997E-3</v>
      </c>
      <c r="P6717">
        <v>-0.98833700000000002</v>
      </c>
      <c r="Q6717">
        <v>0.15213380000000001</v>
      </c>
      <c r="R6717">
        <v>6.7428899999999996E-3</v>
      </c>
      <c r="S6717">
        <v>-3.033569</v>
      </c>
      <c r="T6717">
        <v>4.917622E-3</v>
      </c>
      <c r="U6717">
        <v>0.1775513</v>
      </c>
      <c r="V6717">
        <v>1.323627E-2</v>
      </c>
      <c r="W6717">
        <v>0.16415950000000001</v>
      </c>
      <c r="X6717">
        <v>0.98634500000000003</v>
      </c>
      <c r="Y6717">
        <v>6.4847989999999994E-2</v>
      </c>
      <c r="Z6717">
        <v>2.5436030000000002E-4</v>
      </c>
      <c r="AA6717">
        <v>0.99789510000000003</v>
      </c>
      <c r="AB6717">
        <v>26</v>
      </c>
      <c r="AC6717">
        <v>-178.93599999999901</v>
      </c>
      <c r="AD6717">
        <v>0.29036400000000001</v>
      </c>
      <c r="AE6717">
        <v>10.486099999999899</v>
      </c>
      <c r="AF6717">
        <v>11.636661221968</v>
      </c>
      <c r="AG6717">
        <v>0.29036400000000001</v>
      </c>
      <c r="AH6717">
        <v>178.86438964470699</v>
      </c>
      <c r="AI6717">
        <v>89.907183758826704</v>
      </c>
      <c r="AJ6717">
        <v>86.2776644056907</v>
      </c>
      <c r="AK6717">
        <v>179.24275739516199</v>
      </c>
      <c r="AL6717">
        <v>80.551588391770693</v>
      </c>
      <c r="AM6717">
        <v>89.231164665100707</v>
      </c>
      <c r="AN6717">
        <v>0.99999999965438102</v>
      </c>
    </row>
    <row r="6718" spans="1:40" x14ac:dyDescent="0.25">
      <c r="A6718" t="str">
        <f>"20190303162046567"</f>
        <v>20190303162046567</v>
      </c>
      <c r="B6718" t="str">
        <f>"1551601246559776"</f>
        <v>1551601246559776</v>
      </c>
      <c r="C6718" t="s">
        <v>40</v>
      </c>
      <c r="D6718">
        <v>4.5240169999999997</v>
      </c>
      <c r="E6718">
        <v>0.51996439999999999</v>
      </c>
      <c r="F6718" t="s">
        <v>71</v>
      </c>
      <c r="G6718">
        <v>-511.0591</v>
      </c>
      <c r="H6718">
        <v>1.375467</v>
      </c>
      <c r="I6718">
        <v>152.16999999999999</v>
      </c>
      <c r="J6718">
        <v>-332.392</v>
      </c>
      <c r="K6718">
        <v>1.1210530000000001</v>
      </c>
      <c r="L6718">
        <v>141.78579999999999</v>
      </c>
      <c r="M6718">
        <v>-0.99990829999999997</v>
      </c>
      <c r="N6718">
        <v>-1.2173959999999999E-2</v>
      </c>
      <c r="O6718">
        <v>-5.9636940000000003E-3</v>
      </c>
      <c r="P6718">
        <v>-0.98833099999999996</v>
      </c>
      <c r="Q6718">
        <v>0.15219250000000001</v>
      </c>
      <c r="R6718">
        <v>6.3315899999999998E-3</v>
      </c>
      <c r="S6718">
        <v>-3.0335390000000002</v>
      </c>
      <c r="T6718">
        <v>4.3138270000000001E-3</v>
      </c>
      <c r="U6718">
        <v>0.1760254</v>
      </c>
      <c r="V6718">
        <v>1.2362379999999999E-2</v>
      </c>
      <c r="W6718">
        <v>0.1642023</v>
      </c>
      <c r="X6718">
        <v>0.98634920000000004</v>
      </c>
      <c r="Y6718">
        <v>6.3881999999999994E-2</v>
      </c>
      <c r="Z6718">
        <v>2.6279070000000002E-4</v>
      </c>
      <c r="AA6718">
        <v>0.99795739999999999</v>
      </c>
      <c r="AB6718">
        <v>26</v>
      </c>
      <c r="AC6718">
        <v>-178.6671</v>
      </c>
      <c r="AD6718">
        <v>0.25441399999999897</v>
      </c>
      <c r="AE6718">
        <v>10.3841999999999</v>
      </c>
      <c r="AF6718">
        <v>11.4495868495249</v>
      </c>
      <c r="AG6718">
        <v>0.25441399999999897</v>
      </c>
      <c r="AH6718">
        <v>178.60162860525801</v>
      </c>
      <c r="AI6718">
        <v>89.918550700651195</v>
      </c>
      <c r="AJ6718">
        <v>86.331967694007304</v>
      </c>
      <c r="AK6718">
        <v>178.968431590487</v>
      </c>
      <c r="AL6718">
        <v>80.549102249283195</v>
      </c>
      <c r="AM6718">
        <v>89.281922555281596</v>
      </c>
      <c r="AN6718">
        <v>0.99999998405259705</v>
      </c>
    </row>
    <row r="6719" spans="1:40" x14ac:dyDescent="0.25">
      <c r="A6719" t="str">
        <f>"20190303162046588"</f>
        <v>20190303162046588</v>
      </c>
      <c r="B6719" t="str">
        <f>"1551601246579295"</f>
        <v>1551601246579295</v>
      </c>
      <c r="C6719" t="s">
        <v>40</v>
      </c>
      <c r="D6719">
        <v>4.440048</v>
      </c>
      <c r="E6719">
        <v>0.51974529999999997</v>
      </c>
      <c r="F6719" t="s">
        <v>71</v>
      </c>
      <c r="G6719">
        <v>-511.0591</v>
      </c>
      <c r="H6719">
        <v>1.4540409999999999</v>
      </c>
      <c r="I6719">
        <v>151.90469999999999</v>
      </c>
      <c r="J6719">
        <v>-332.64440000000002</v>
      </c>
      <c r="K6719">
        <v>1.1210500000000001</v>
      </c>
      <c r="L6719">
        <v>141.78479999999999</v>
      </c>
      <c r="M6719">
        <v>-0.99991099999999999</v>
      </c>
      <c r="N6719">
        <v>-1.216012E-2</v>
      </c>
      <c r="O6719">
        <v>-5.5284369999999998E-3</v>
      </c>
      <c r="P6719">
        <v>-0.98830180000000001</v>
      </c>
      <c r="Q6719">
        <v>0.15240699999999999</v>
      </c>
      <c r="R6719">
        <v>5.6610940000000002E-3</v>
      </c>
      <c r="S6719">
        <v>-3.033417</v>
      </c>
      <c r="T6719">
        <v>5.6542160000000001E-3</v>
      </c>
      <c r="U6719">
        <v>0.1717987</v>
      </c>
      <c r="V6719">
        <v>1.12604E-2</v>
      </c>
      <c r="W6719">
        <v>0.1644041</v>
      </c>
      <c r="X6719">
        <v>0.98632880000000001</v>
      </c>
      <c r="Y6719">
        <v>6.2063960000000001E-2</v>
      </c>
      <c r="Z6719">
        <v>2.42401E-4</v>
      </c>
      <c r="AA6719">
        <v>0.99807210000000002</v>
      </c>
      <c r="AB6719">
        <v>26</v>
      </c>
      <c r="AC6719">
        <v>-178.41469999999899</v>
      </c>
      <c r="AD6719">
        <v>0.33299099999999898</v>
      </c>
      <c r="AE6719">
        <v>10.119899999999999</v>
      </c>
      <c r="AF6719">
        <v>11.1061339077994</v>
      </c>
      <c r="AG6719">
        <v>0.33299099999999898</v>
      </c>
      <c r="AH6719">
        <v>178.355402432516</v>
      </c>
      <c r="AI6719">
        <v>89.893235223911304</v>
      </c>
      <c r="AJ6719">
        <v>86.436810806420695</v>
      </c>
      <c r="AK6719">
        <v>178.70116583349099</v>
      </c>
      <c r="AL6719">
        <v>80.537380845963597</v>
      </c>
      <c r="AM6719">
        <v>89.3459124705074</v>
      </c>
      <c r="AN6719">
        <v>1.0000000032072001</v>
      </c>
    </row>
    <row r="6720" spans="1:40" x14ac:dyDescent="0.25">
      <c r="A6720" t="str">
        <f>"20190303162046610"</f>
        <v>20190303162046610</v>
      </c>
      <c r="B6720" t="str">
        <f>"1551601246599792"</f>
        <v>1551601246599792</v>
      </c>
      <c r="C6720" t="s">
        <v>40</v>
      </c>
      <c r="D6720">
        <v>4.448976</v>
      </c>
      <c r="E6720">
        <v>0.51953640000000001</v>
      </c>
      <c r="F6720" t="s">
        <v>71</v>
      </c>
      <c r="G6720">
        <v>-511.05919999999998</v>
      </c>
      <c r="H6720">
        <v>1.545056</v>
      </c>
      <c r="I6720">
        <v>151.6883</v>
      </c>
      <c r="J6720">
        <v>-332.90050000000002</v>
      </c>
      <c r="K6720">
        <v>1.1210519999999999</v>
      </c>
      <c r="L6720">
        <v>141.78389999999999</v>
      </c>
      <c r="M6720">
        <v>-0.9999133</v>
      </c>
      <c r="N6720">
        <v>-1.2147700000000001E-2</v>
      </c>
      <c r="O6720">
        <v>-5.0886580000000002E-3</v>
      </c>
      <c r="P6720">
        <v>-0.98833530000000003</v>
      </c>
      <c r="Q6720">
        <v>0.15222439999999901</v>
      </c>
      <c r="R6720">
        <v>4.6166469999999998E-3</v>
      </c>
      <c r="S6720">
        <v>-3.0334469999999998</v>
      </c>
      <c r="T6720">
        <v>7.209778E-3</v>
      </c>
      <c r="U6720">
        <v>0.16838069999999999</v>
      </c>
      <c r="V6720">
        <v>9.7801750000000003E-3</v>
      </c>
      <c r="W6720">
        <v>0.16421069999999999</v>
      </c>
      <c r="X6720">
        <v>0.98637680000000005</v>
      </c>
      <c r="Y6720">
        <v>6.0503389999999997E-2</v>
      </c>
      <c r="Z6720">
        <v>2.220837E-4</v>
      </c>
      <c r="AA6720">
        <v>0.99816800000000006</v>
      </c>
      <c r="AB6720">
        <v>26</v>
      </c>
      <c r="AC6720">
        <v>-178.15869999999899</v>
      </c>
      <c r="AD6720">
        <v>0.42400399999999999</v>
      </c>
      <c r="AE6720">
        <v>9.9044000000000096</v>
      </c>
      <c r="AF6720">
        <v>10.810866262808</v>
      </c>
      <c r="AG6720">
        <v>0.42400399999999999</v>
      </c>
      <c r="AH6720">
        <v>178.10498347872999</v>
      </c>
      <c r="AI6720">
        <v>89.863850169066794</v>
      </c>
      <c r="AJ6720">
        <v>86.526442187956107</v>
      </c>
      <c r="AK6720">
        <v>178.433292153407</v>
      </c>
      <c r="AL6720">
        <v>80.548614481552704</v>
      </c>
      <c r="AM6720">
        <v>89.431916496841396</v>
      </c>
      <c r="AN6720">
        <v>0.99999999869788003</v>
      </c>
    </row>
    <row r="6721" spans="1:40" x14ac:dyDescent="0.25">
      <c r="A6721" t="str">
        <f>"20190303162046632"</f>
        <v>20190303162046632</v>
      </c>
      <c r="B6721" t="str">
        <f>"1551601246629071"</f>
        <v>1551601246629071</v>
      </c>
      <c r="C6721" t="s">
        <v>40</v>
      </c>
      <c r="D6721">
        <v>4.5051350000000001</v>
      </c>
      <c r="E6721">
        <v>0.51921779999999995</v>
      </c>
      <c r="F6721" t="s">
        <v>71</v>
      </c>
      <c r="G6721">
        <v>-511.05919999999998</v>
      </c>
      <c r="H6721">
        <v>1.610074</v>
      </c>
      <c r="I6721">
        <v>151.41</v>
      </c>
      <c r="J6721">
        <v>-333.16539999999998</v>
      </c>
      <c r="K6721">
        <v>1.1210530000000001</v>
      </c>
      <c r="L6721">
        <v>141.78309999999999</v>
      </c>
      <c r="M6721">
        <v>-0.99991560000000002</v>
      </c>
      <c r="N6721">
        <v>-1.213641E-2</v>
      </c>
      <c r="O6721">
        <v>-4.635887E-3</v>
      </c>
      <c r="P6721">
        <v>-0.98829860000000003</v>
      </c>
      <c r="Q6721">
        <v>0.1524809</v>
      </c>
      <c r="R6721">
        <v>3.9292499999999996E-3</v>
      </c>
      <c r="S6721">
        <v>-3.0333559999999999</v>
      </c>
      <c r="T6721">
        <v>8.3268879999999993E-3</v>
      </c>
      <c r="U6721">
        <v>0.1638947</v>
      </c>
      <c r="V6721">
        <v>8.6443219999999994E-3</v>
      </c>
      <c r="W6721">
        <v>0.16445670000000001</v>
      </c>
      <c r="X6721">
        <v>0.98634639999999996</v>
      </c>
      <c r="Y6721">
        <v>5.858124E-2</v>
      </c>
      <c r="Z6721">
        <v>2.0646670000000001E-4</v>
      </c>
      <c r="AA6721">
        <v>0.99828260000000002</v>
      </c>
      <c r="AB6721">
        <v>26</v>
      </c>
      <c r="AC6721">
        <v>-177.8938</v>
      </c>
      <c r="AD6721">
        <v>0.48902099999999898</v>
      </c>
      <c r="AE6721">
        <v>9.6268999999999991</v>
      </c>
      <c r="AF6721">
        <v>10.4514740888629</v>
      </c>
      <c r="AG6721">
        <v>0.48902099999999898</v>
      </c>
      <c r="AH6721">
        <v>177.84591559478699</v>
      </c>
      <c r="AI6721">
        <v>89.842726150872096</v>
      </c>
      <c r="AJ6721">
        <v>86.636766058546598</v>
      </c>
      <c r="AK6721">
        <v>178.15342305416701</v>
      </c>
      <c r="AL6721">
        <v>80.534325237326001</v>
      </c>
      <c r="AM6721">
        <v>89.497873680616493</v>
      </c>
      <c r="AN6721">
        <v>0.99999997563534404</v>
      </c>
    </row>
    <row r="6722" spans="1:40" x14ac:dyDescent="0.25">
      <c r="A6722" t="str">
        <f>"20190303162046655"</f>
        <v>20190303162046655</v>
      </c>
      <c r="B6722" t="str">
        <f>"1551601246649568"</f>
        <v>1551601246649568</v>
      </c>
      <c r="C6722" t="s">
        <v>40</v>
      </c>
      <c r="D6722">
        <v>4.4646600000000003</v>
      </c>
      <c r="E6722">
        <v>0.51901920000000001</v>
      </c>
      <c r="F6722" t="s">
        <v>71</v>
      </c>
      <c r="G6722">
        <v>-511.05919999999998</v>
      </c>
      <c r="H6722">
        <v>1.5321610000000001</v>
      </c>
      <c r="I6722">
        <v>151.1097</v>
      </c>
      <c r="J6722">
        <v>-333.41879999999998</v>
      </c>
      <c r="K6722">
        <v>1.1210549999999999</v>
      </c>
      <c r="L6722">
        <v>141.7824</v>
      </c>
      <c r="M6722">
        <v>-0.99991759999999996</v>
      </c>
      <c r="N6722">
        <v>-1.2126919999999999E-2</v>
      </c>
      <c r="O6722">
        <v>-4.2038570000000001E-3</v>
      </c>
      <c r="P6722">
        <v>-0.98828459999999996</v>
      </c>
      <c r="Q6722">
        <v>0.15254529999999999</v>
      </c>
      <c r="R6722">
        <v>4.8539550000000001E-3</v>
      </c>
      <c r="S6722">
        <v>-3.0338440000000002</v>
      </c>
      <c r="T6722">
        <v>7.0118899999999998E-3</v>
      </c>
      <c r="U6722">
        <v>0.15905759999999999</v>
      </c>
      <c r="V6722">
        <v>9.1413350000000004E-3</v>
      </c>
      <c r="W6722">
        <v>0.164511299999999</v>
      </c>
      <c r="X6722">
        <v>0.98633280000000001</v>
      </c>
      <c r="Y6722">
        <v>5.6553999999999903E-2</v>
      </c>
      <c r="Z6722">
        <v>2.171946E-4</v>
      </c>
      <c r="AA6722">
        <v>0.9983995</v>
      </c>
      <c r="AB6722">
        <v>26</v>
      </c>
      <c r="AC6722">
        <v>-177.6404</v>
      </c>
      <c r="AD6722">
        <v>0.41110600000000003</v>
      </c>
      <c r="AE6722">
        <v>9.3272999999999993</v>
      </c>
      <c r="AF6722">
        <v>10.073993541767001</v>
      </c>
      <c r="AG6722">
        <v>0.41110600000000003</v>
      </c>
      <c r="AH6722">
        <v>177.59866800736901</v>
      </c>
      <c r="AI6722">
        <v>89.867584625867707</v>
      </c>
      <c r="AJ6722">
        <v>86.753469720052394</v>
      </c>
      <c r="AK6722">
        <v>177.884628993105</v>
      </c>
      <c r="AL6722">
        <v>80.531153561032497</v>
      </c>
      <c r="AM6722">
        <v>89.468997767167096</v>
      </c>
      <c r="AN6722">
        <v>0.99999996209455499</v>
      </c>
    </row>
    <row r="6723" spans="1:40" x14ac:dyDescent="0.25">
      <c r="A6723" t="str">
        <f>"20190303162046676"</f>
        <v>20190303162046676</v>
      </c>
      <c r="B6723" t="str">
        <f>"1551601246669087"</f>
        <v>1551601246669087</v>
      </c>
      <c r="C6723" t="s">
        <v>40</v>
      </c>
      <c r="D6723">
        <v>4.4954479999999997</v>
      </c>
      <c r="E6723">
        <v>0.51915230000000001</v>
      </c>
      <c r="F6723" t="s">
        <v>71</v>
      </c>
      <c r="G6723">
        <v>-511.0591</v>
      </c>
      <c r="H6723">
        <v>1.4806729999999999</v>
      </c>
      <c r="I6723">
        <v>151.1163</v>
      </c>
      <c r="J6723">
        <v>-333.67669999999998</v>
      </c>
      <c r="K6723">
        <v>1.1210599999999999</v>
      </c>
      <c r="L6723">
        <v>141.78190000000001</v>
      </c>
      <c r="M6723">
        <v>-0.99991969999999997</v>
      </c>
      <c r="N6723">
        <v>-1.2118449999999999E-2</v>
      </c>
      <c r="O6723">
        <v>-3.7644369999999998E-3</v>
      </c>
      <c r="P6723">
        <v>-0.98830399999999996</v>
      </c>
      <c r="Q6723">
        <v>0.1523871</v>
      </c>
      <c r="R6723">
        <v>5.8177059999999997E-3</v>
      </c>
      <c r="S6723">
        <v>-3.0338440000000002</v>
      </c>
      <c r="T6723">
        <v>6.1424969999999898E-3</v>
      </c>
      <c r="U6723">
        <v>0.15940860000000001</v>
      </c>
      <c r="V6723">
        <v>9.6702400000000001E-3</v>
      </c>
      <c r="W6723">
        <v>0.16434480000000001</v>
      </c>
      <c r="X6723">
        <v>0.98635550000000005</v>
      </c>
      <c r="Y6723">
        <v>5.62304E-2</v>
      </c>
      <c r="Z6723">
        <v>2.3086919999999999E-4</v>
      </c>
      <c r="AA6723">
        <v>0.99841780000000002</v>
      </c>
      <c r="AB6723">
        <v>26</v>
      </c>
      <c r="AC6723">
        <v>-177.38239999999999</v>
      </c>
      <c r="AD6723">
        <v>0.35961300000000002</v>
      </c>
      <c r="AE6723">
        <v>9.3343999999999792</v>
      </c>
      <c r="AF6723">
        <v>10.002086616992999</v>
      </c>
      <c r="AG6723">
        <v>0.35961300000000002</v>
      </c>
      <c r="AH6723">
        <v>177.34527474673999</v>
      </c>
      <c r="AI6723">
        <v>89.884002618412694</v>
      </c>
      <c r="AJ6723">
        <v>86.771998100041898</v>
      </c>
      <c r="AK6723">
        <v>177.62746840846501</v>
      </c>
      <c r="AL6723">
        <v>80.540824825913404</v>
      </c>
      <c r="AM6723">
        <v>89.438289553870703</v>
      </c>
      <c r="AN6723">
        <v>0.99999994960447203</v>
      </c>
    </row>
    <row r="6724" spans="1:40" x14ac:dyDescent="0.25">
      <c r="A6724" t="str">
        <f>"20190303162046699"</f>
        <v>20190303162046699</v>
      </c>
      <c r="B6724" t="str">
        <f>"1551601246689584"</f>
        <v>1551601246689584</v>
      </c>
      <c r="C6724" t="s">
        <v>40</v>
      </c>
      <c r="D6724">
        <v>4.427778</v>
      </c>
      <c r="E6724">
        <v>0.51940329999999901</v>
      </c>
      <c r="F6724" t="s">
        <v>71</v>
      </c>
      <c r="G6724">
        <v>-511.0591</v>
      </c>
      <c r="H6724">
        <v>1.28394599999999</v>
      </c>
      <c r="I6724">
        <v>151.36009999999999</v>
      </c>
      <c r="J6724">
        <v>-333.93189999999998</v>
      </c>
      <c r="K6724">
        <v>1.121057</v>
      </c>
      <c r="L6724">
        <v>141.78139999999999</v>
      </c>
      <c r="M6724">
        <v>-0.99992119999999995</v>
      </c>
      <c r="N6724">
        <v>-1.211112E-2</v>
      </c>
      <c r="O6724">
        <v>-3.3290720000000002E-3</v>
      </c>
      <c r="P6724">
        <v>-0.98831950000000002</v>
      </c>
      <c r="Q6724">
        <v>0.15223780000000001</v>
      </c>
      <c r="R6724">
        <v>6.9651330000000001E-3</v>
      </c>
      <c r="S6724">
        <v>-3.0340880000000001</v>
      </c>
      <c r="T6724">
        <v>2.7868749999999999E-3</v>
      </c>
      <c r="U6724">
        <v>0.1638336</v>
      </c>
      <c r="V6724">
        <v>1.038701E-2</v>
      </c>
      <c r="W6724">
        <v>0.16418769999999999</v>
      </c>
      <c r="X6724">
        <v>0.98637439999999998</v>
      </c>
      <c r="Y6724">
        <v>5.7243299999999997E-2</v>
      </c>
      <c r="Z6724">
        <v>2.7728810000000003E-4</v>
      </c>
      <c r="AA6724">
        <v>0.99836020000000003</v>
      </c>
      <c r="AB6724">
        <v>26</v>
      </c>
      <c r="AC6724">
        <v>-177.12719999999999</v>
      </c>
      <c r="AD6724">
        <v>0.16288899999999901</v>
      </c>
      <c r="AE6724">
        <v>9.5786999999999907</v>
      </c>
      <c r="AF6724">
        <v>10.1683507420532</v>
      </c>
      <c r="AG6724">
        <v>0.16288899999999901</v>
      </c>
      <c r="AH6724">
        <v>177.09417847894099</v>
      </c>
      <c r="AI6724">
        <v>89.947386733113902</v>
      </c>
      <c r="AJ6724">
        <v>86.713812908445703</v>
      </c>
      <c r="AK6724">
        <v>177.385935013943</v>
      </c>
      <c r="AL6724">
        <v>80.549950180296094</v>
      </c>
      <c r="AM6724">
        <v>89.396669420954694</v>
      </c>
      <c r="AN6724">
        <v>0.99999997389169404</v>
      </c>
    </row>
    <row r="6725" spans="1:40" x14ac:dyDescent="0.25">
      <c r="A6725" t="str">
        <f>"20190303162046721"</f>
        <v>20190303162046721</v>
      </c>
      <c r="B6725" t="str">
        <f>"1551601246709104"</f>
        <v>1551601246709104</v>
      </c>
      <c r="C6725" t="s">
        <v>40</v>
      </c>
      <c r="D6725">
        <v>4.389964</v>
      </c>
      <c r="E6725">
        <v>0.51961029999999997</v>
      </c>
      <c r="F6725" t="s">
        <v>71</v>
      </c>
      <c r="G6725">
        <v>-511.05900000000003</v>
      </c>
      <c r="H6725">
        <v>1.1128290000000001</v>
      </c>
      <c r="I6725">
        <v>151.68629999999999</v>
      </c>
      <c r="J6725">
        <v>-334.19420000000002</v>
      </c>
      <c r="K6725">
        <v>1.1210530000000001</v>
      </c>
      <c r="L6725">
        <v>141.78110000000001</v>
      </c>
      <c r="M6725">
        <v>-0.99992270000000005</v>
      </c>
      <c r="N6725">
        <v>-1.210456E-2</v>
      </c>
      <c r="O6725">
        <v>-2.8813089999999999E-3</v>
      </c>
      <c r="P6725">
        <v>-0.9882592</v>
      </c>
      <c r="Q6725">
        <v>0.1525831</v>
      </c>
      <c r="R6725">
        <v>7.9081940000000003E-3</v>
      </c>
      <c r="S6725">
        <v>-3.0343019999999998</v>
      </c>
      <c r="T6725">
        <v>-1.401901E-4</v>
      </c>
      <c r="U6725">
        <v>0.16967769999999999</v>
      </c>
      <c r="V6725">
        <v>1.088738E-2</v>
      </c>
      <c r="W6725">
        <v>0.16452539999999999</v>
      </c>
      <c r="X6725">
        <v>0.98631270000000004</v>
      </c>
      <c r="Y6725">
        <v>5.8709209999999998E-2</v>
      </c>
      <c r="Z6725">
        <v>3.2225290000000001E-4</v>
      </c>
      <c r="AA6725">
        <v>0.99827509999999997</v>
      </c>
      <c r="AB6725">
        <v>26</v>
      </c>
      <c r="AC6725">
        <v>-176.8648</v>
      </c>
      <c r="AD6725">
        <v>-8.2240000000000004E-3</v>
      </c>
      <c r="AE6725">
        <v>9.9051999999999794</v>
      </c>
      <c r="AF6725">
        <v>10.414798274748</v>
      </c>
      <c r="AG6725">
        <v>-8.2240000000000004E-3</v>
      </c>
      <c r="AH6725">
        <v>176.835523319575</v>
      </c>
      <c r="AI6725">
        <v>90.002660016395097</v>
      </c>
      <c r="AJ6725">
        <v>86.629435867545098</v>
      </c>
      <c r="AK6725">
        <v>177.14194985504</v>
      </c>
      <c r="AL6725">
        <v>80.530334340621195</v>
      </c>
      <c r="AM6725">
        <v>89.367568125644993</v>
      </c>
      <c r="AN6725">
        <v>0.999999942234855</v>
      </c>
    </row>
    <row r="6726" spans="1:40" x14ac:dyDescent="0.25">
      <c r="A6726" t="str">
        <f>"20190303162046744"</f>
        <v>20190303162046744</v>
      </c>
      <c r="B6726" t="str">
        <f>"1551601246739359"</f>
        <v>1551601246739359</v>
      </c>
      <c r="C6726" t="s">
        <v>40</v>
      </c>
      <c r="D6726">
        <v>4.3499999999999996</v>
      </c>
      <c r="E6726">
        <v>0.51990670000000005</v>
      </c>
      <c r="F6726" t="s">
        <v>71</v>
      </c>
      <c r="G6726">
        <v>-511.05900000000003</v>
      </c>
      <c r="H6726">
        <v>1.022861</v>
      </c>
      <c r="I6726">
        <v>151.9365</v>
      </c>
      <c r="J6726">
        <v>-334.45310000000001</v>
      </c>
      <c r="K6726">
        <v>1.1210549999999999</v>
      </c>
      <c r="L6726">
        <v>141.7808</v>
      </c>
      <c r="M6726">
        <v>-0.99992389999999998</v>
      </c>
      <c r="N6726">
        <v>-1.2098970000000001E-2</v>
      </c>
      <c r="O6726">
        <v>-2.43903E-3</v>
      </c>
      <c r="P6726">
        <v>-0.98816859999999995</v>
      </c>
      <c r="Q6726">
        <v>0.1531284</v>
      </c>
      <c r="R6726">
        <v>8.6405949999999992E-3</v>
      </c>
      <c r="S6726">
        <v>-3.0345149999999999</v>
      </c>
      <c r="T6726">
        <v>-1.68395E-3</v>
      </c>
      <c r="U6726">
        <v>0.17424010000000001</v>
      </c>
      <c r="V6726">
        <v>1.118271E-2</v>
      </c>
      <c r="W6726">
        <v>0.16506390000000001</v>
      </c>
      <c r="X6726">
        <v>0.98621950000000003</v>
      </c>
      <c r="Y6726">
        <v>5.9759649999999997E-2</v>
      </c>
      <c r="Z6726">
        <v>3.502604E-4</v>
      </c>
      <c r="AA6726">
        <v>0.99821280000000001</v>
      </c>
      <c r="AB6726">
        <v>26</v>
      </c>
      <c r="AC6726">
        <v>-176.60589999999999</v>
      </c>
      <c r="AD6726">
        <v>-9.8193999999999795E-2</v>
      </c>
      <c r="AE6726">
        <v>10.1556999999999</v>
      </c>
      <c r="AF6726">
        <v>10.586445115250999</v>
      </c>
      <c r="AG6726">
        <v>-9.8193999999999795E-2</v>
      </c>
      <c r="AH6726">
        <v>176.58054834269601</v>
      </c>
      <c r="AI6726">
        <v>90.031804281216907</v>
      </c>
      <c r="AJ6726">
        <v>86.569081499999299</v>
      </c>
      <c r="AK6726">
        <v>176.897632870672</v>
      </c>
      <c r="AL6726">
        <v>80.499053653504603</v>
      </c>
      <c r="AM6726">
        <v>89.350352909304902</v>
      </c>
      <c r="AN6726">
        <v>1.0000000231332</v>
      </c>
    </row>
    <row r="6727" spans="1:40" x14ac:dyDescent="0.25">
      <c r="A6727" t="str">
        <f>"20190303162046767"</f>
        <v>20190303162046767</v>
      </c>
      <c r="B6727" t="str">
        <f>"1551601246758883"</f>
        <v>1551601246758883</v>
      </c>
      <c r="C6727" t="s">
        <v>40</v>
      </c>
      <c r="D6727">
        <v>4.3612869999999999</v>
      </c>
      <c r="E6727">
        <v>0.52005859999999904</v>
      </c>
      <c r="F6727" t="s">
        <v>71</v>
      </c>
      <c r="G6727">
        <v>-511.05900000000003</v>
      </c>
      <c r="H6727">
        <v>0.96917220000000004</v>
      </c>
      <c r="I6727">
        <v>152.1987</v>
      </c>
      <c r="J6727">
        <v>-334.72789999999998</v>
      </c>
      <c r="K6727">
        <v>1.1210599999999999</v>
      </c>
      <c r="L6727">
        <v>141.7807</v>
      </c>
      <c r="M6727">
        <v>-0.99992490000000001</v>
      </c>
      <c r="N6727">
        <v>-1.2093799999999899E-2</v>
      </c>
      <c r="O6727">
        <v>-1.9694529999999999E-3</v>
      </c>
      <c r="P6727">
        <v>-0.98807560000000005</v>
      </c>
      <c r="Q6727">
        <v>0.1537337</v>
      </c>
      <c r="R6727">
        <v>8.5109569999999996E-3</v>
      </c>
      <c r="S6727">
        <v>-3.034729</v>
      </c>
      <c r="T6727">
        <v>-2.6091339999999999E-3</v>
      </c>
      <c r="U6727">
        <v>0.17901610000000001</v>
      </c>
      <c r="V6727">
        <v>1.058923E-2</v>
      </c>
      <c r="W6727">
        <v>0.16566349999999999</v>
      </c>
      <c r="X6727">
        <v>0.98612549999999999</v>
      </c>
      <c r="Y6727">
        <v>6.0852400000000001E-2</v>
      </c>
      <c r="Z6727">
        <v>3.7233250000000002E-4</v>
      </c>
      <c r="AA6727">
        <v>0.99814669999999905</v>
      </c>
      <c r="AB6727">
        <v>26</v>
      </c>
      <c r="AC6727">
        <v>-176.33109999999999</v>
      </c>
      <c r="AD6727">
        <v>-0.15188779999999999</v>
      </c>
      <c r="AE6727">
        <v>10.417999999999999</v>
      </c>
      <c r="AF6727">
        <v>10.7652730555</v>
      </c>
      <c r="AG6727">
        <v>-0.15188779999999999</v>
      </c>
      <c r="AH6727">
        <v>176.31010835313401</v>
      </c>
      <c r="AI6727">
        <v>90.049267457235203</v>
      </c>
      <c r="AJ6727">
        <v>86.505929752627793</v>
      </c>
      <c r="AK6727">
        <v>176.638524907103</v>
      </c>
      <c r="AL6727">
        <v>80.464219446736095</v>
      </c>
      <c r="AM6727">
        <v>89.384769110198604</v>
      </c>
      <c r="AN6727">
        <v>1.0000000143872401</v>
      </c>
    </row>
    <row r="6728" spans="1:40" x14ac:dyDescent="0.25">
      <c r="A6728" t="str">
        <f>"20190303162046790"</f>
        <v>20190303162046790</v>
      </c>
      <c r="B6728" t="str">
        <f>"1551601246779376"</f>
        <v>1551601246779376</v>
      </c>
      <c r="C6728" t="s">
        <v>40</v>
      </c>
      <c r="D6728">
        <v>4.3352209999999998</v>
      </c>
      <c r="E6728">
        <v>0.5201654</v>
      </c>
      <c r="F6728" t="s">
        <v>71</v>
      </c>
      <c r="G6728">
        <v>-511.05900000000003</v>
      </c>
      <c r="H6728">
        <v>0.97769899999999998</v>
      </c>
      <c r="I6728">
        <v>152.22380000000001</v>
      </c>
      <c r="J6728">
        <v>-334.98540000000003</v>
      </c>
      <c r="K6728">
        <v>1.121062</v>
      </c>
      <c r="L6728">
        <v>141.7807</v>
      </c>
      <c r="M6728">
        <v>-0.99992590000000003</v>
      </c>
      <c r="N6728">
        <v>-1.2089600000000001E-2</v>
      </c>
      <c r="O6728">
        <v>-1.529444E-3</v>
      </c>
      <c r="P6728">
        <v>-0.98796390000000001</v>
      </c>
      <c r="Q6728">
        <v>0.1544402</v>
      </c>
      <c r="R6728">
        <v>8.7075759999999999E-3</v>
      </c>
      <c r="S6728">
        <v>-3.035034</v>
      </c>
      <c r="T6728">
        <v>-2.4667980000000001E-3</v>
      </c>
      <c r="U6728">
        <v>0.17974849999999901</v>
      </c>
      <c r="V6728">
        <v>1.0351580000000001E-2</v>
      </c>
      <c r="W6728">
        <v>0.1663646</v>
      </c>
      <c r="X6728">
        <v>0.98601000000000005</v>
      </c>
      <c r="Y6728">
        <v>6.0647350000000003E-2</v>
      </c>
      <c r="Z6728">
        <v>3.7432840000000003E-4</v>
      </c>
      <c r="AA6728">
        <v>0.99815920000000002</v>
      </c>
      <c r="AB6728">
        <v>26</v>
      </c>
      <c r="AC6728">
        <v>-176.0736</v>
      </c>
      <c r="AD6728">
        <v>-0.14336299999999999</v>
      </c>
      <c r="AE6728">
        <v>10.443099999999999</v>
      </c>
      <c r="AF6728">
        <v>10.712395059258499</v>
      </c>
      <c r="AG6728">
        <v>-0.14336299999999999</v>
      </c>
      <c r="AH6728">
        <v>176.05730442332001</v>
      </c>
      <c r="AI6728">
        <v>90.046569665811504</v>
      </c>
      <c r="AJ6728">
        <v>86.518069743538405</v>
      </c>
      <c r="AK6728">
        <v>176.38296516858099</v>
      </c>
      <c r="AL6728">
        <v>80.423484235757599</v>
      </c>
      <c r="AM6728">
        <v>89.398505028690494</v>
      </c>
      <c r="AN6728">
        <v>1.0000000277208201</v>
      </c>
    </row>
    <row r="6729" spans="1:40" x14ac:dyDescent="0.25">
      <c r="A6729" t="str">
        <f>"20190303162046811"</f>
        <v>20190303162046811</v>
      </c>
      <c r="B6729" t="str">
        <f>"1551601246798896"</f>
        <v>1551601246798896</v>
      </c>
      <c r="C6729" t="s">
        <v>40</v>
      </c>
      <c r="D6729">
        <v>4.3147900000000003</v>
      </c>
      <c r="E6729">
        <v>0.52030129999999997</v>
      </c>
      <c r="F6729" t="s">
        <v>71</v>
      </c>
      <c r="G6729">
        <v>-511.05900000000003</v>
      </c>
      <c r="H6729">
        <v>1.0172620000000001</v>
      </c>
      <c r="I6729">
        <v>152.2901</v>
      </c>
      <c r="J6729">
        <v>-335.23930000000001</v>
      </c>
      <c r="K6729">
        <v>1.121068</v>
      </c>
      <c r="L6729">
        <v>141.7808</v>
      </c>
      <c r="M6729">
        <v>-0.99992639999999999</v>
      </c>
      <c r="N6729">
        <v>-1.208597E-2</v>
      </c>
      <c r="O6729">
        <v>-1.094802E-3</v>
      </c>
      <c r="P6729">
        <v>-0.98790040000000001</v>
      </c>
      <c r="Q6729">
        <v>0.15482679999999999</v>
      </c>
      <c r="R6729">
        <v>9.0479270000000007E-3</v>
      </c>
      <c r="S6729">
        <v>-3.0352779999999999</v>
      </c>
      <c r="T6729">
        <v>-1.788616E-3</v>
      </c>
      <c r="U6729">
        <v>0.18116760000000001</v>
      </c>
      <c r="V6729">
        <v>1.026287E-2</v>
      </c>
      <c r="W6729">
        <v>0.1667469</v>
      </c>
      <c r="X6729">
        <v>0.98594630000000005</v>
      </c>
      <c r="Y6729">
        <v>6.0673869999999998E-2</v>
      </c>
      <c r="Z6729">
        <v>3.7227650000000001E-4</v>
      </c>
      <c r="AA6729">
        <v>0.99815759999999998</v>
      </c>
      <c r="AB6729">
        <v>26</v>
      </c>
      <c r="AC6729">
        <v>-175.81970000000001</v>
      </c>
      <c r="AD6729">
        <v>-0.103805999999999</v>
      </c>
      <c r="AE6729">
        <v>10.5092999999999</v>
      </c>
      <c r="AF6729">
        <v>10.7017917956458</v>
      </c>
      <c r="AG6729">
        <v>-0.103805999999999</v>
      </c>
      <c r="AH6729">
        <v>175.80802710792901</v>
      </c>
      <c r="AI6729">
        <v>90.033767834218907</v>
      </c>
      <c r="AJ6729">
        <v>86.516587734811793</v>
      </c>
      <c r="AK6729">
        <v>176.13347642883099</v>
      </c>
      <c r="AL6729">
        <v>80.401269314492396</v>
      </c>
      <c r="AM6729">
        <v>89.403620764465103</v>
      </c>
      <c r="AN6729">
        <v>0.99999998082196795</v>
      </c>
    </row>
    <row r="6730" spans="1:40" x14ac:dyDescent="0.25">
      <c r="A6730" t="str">
        <f>"20190303162046844"</f>
        <v>20190303162046844</v>
      </c>
      <c r="B6730" t="str">
        <f>"1551601246838915"</f>
        <v>1551601246838915</v>
      </c>
      <c r="C6730" t="s">
        <v>40</v>
      </c>
      <c r="D6730">
        <v>4.2620430000000002</v>
      </c>
      <c r="E6730">
        <v>0.52099059999999997</v>
      </c>
      <c r="F6730" t="s">
        <v>71</v>
      </c>
      <c r="G6730">
        <v>-511.05900000000003</v>
      </c>
      <c r="H6730">
        <v>1.0085409999999999</v>
      </c>
      <c r="I6730">
        <v>152.4091</v>
      </c>
      <c r="J6730">
        <v>-335.6266</v>
      </c>
      <c r="K6730">
        <v>1.1210719999999901</v>
      </c>
      <c r="L6730">
        <v>141.78120000000001</v>
      </c>
      <c r="M6730">
        <v>-0.99992700000000001</v>
      </c>
      <c r="N6730">
        <v>-1.208128E-2</v>
      </c>
      <c r="O6730">
        <v>-4.323528E-4</v>
      </c>
      <c r="P6730">
        <v>-0.98777429999999999</v>
      </c>
      <c r="Q6730">
        <v>0.15560470000000001</v>
      </c>
      <c r="R6730">
        <v>9.4597280000000006E-3</v>
      </c>
      <c r="S6730">
        <v>-3.0353699999999999</v>
      </c>
      <c r="T6730">
        <v>-1.9419190000000001E-3</v>
      </c>
      <c r="U6730">
        <v>0.18348690000000001</v>
      </c>
      <c r="V6730">
        <v>1.002069E-2</v>
      </c>
      <c r="W6730">
        <v>0.1675188</v>
      </c>
      <c r="X6730">
        <v>0.98581799999999997</v>
      </c>
      <c r="Y6730">
        <v>6.0770780000000003E-2</v>
      </c>
      <c r="Z6730">
        <v>3.8192260000000002E-4</v>
      </c>
      <c r="AA6730">
        <v>0.99815169999999998</v>
      </c>
      <c r="AB6730">
        <v>26</v>
      </c>
      <c r="AC6730">
        <v>-175.4324</v>
      </c>
      <c r="AD6730">
        <v>-0.11253099999999901</v>
      </c>
      <c r="AE6730">
        <v>10.627899999999901</v>
      </c>
      <c r="AF6730">
        <v>10.703748838111601</v>
      </c>
      <c r="AG6730">
        <v>-0.11253099999999901</v>
      </c>
      <c r="AH6730">
        <v>175.42771634648901</v>
      </c>
      <c r="AI6730">
        <v>90.036685093986705</v>
      </c>
      <c r="AJ6730">
        <v>86.508417868712399</v>
      </c>
      <c r="AK6730">
        <v>175.75399444951299</v>
      </c>
      <c r="AL6730">
        <v>80.356412384063603</v>
      </c>
      <c r="AM6730">
        <v>89.417617175025597</v>
      </c>
      <c r="AN6730">
        <v>1.00000004585275</v>
      </c>
    </row>
    <row r="6731" spans="1:40" x14ac:dyDescent="0.25">
      <c r="A6731" t="str">
        <f>"20190303162046867"</f>
        <v>20190303162046867</v>
      </c>
      <c r="B6731" t="str">
        <f>"1551601246859408"</f>
        <v>1551601246859408</v>
      </c>
      <c r="C6731" t="s">
        <v>40</v>
      </c>
      <c r="D6731">
        <v>4.2641090000000004</v>
      </c>
      <c r="E6731">
        <v>0.52128640000000004</v>
      </c>
      <c r="F6731" t="s">
        <v>71</v>
      </c>
      <c r="G6731">
        <v>-511.0591</v>
      </c>
      <c r="H6731">
        <v>1.2655019999999999</v>
      </c>
      <c r="I6731">
        <v>152.78630000000001</v>
      </c>
      <c r="J6731">
        <v>-335.88099999999997</v>
      </c>
      <c r="K6731">
        <v>1.121068</v>
      </c>
      <c r="L6731">
        <v>141.7816</v>
      </c>
      <c r="M6731">
        <v>-0.99992709999999996</v>
      </c>
      <c r="N6731">
        <v>-1.2078719999999999E-2</v>
      </c>
      <c r="O6731" s="1">
        <v>3.296595E-6</v>
      </c>
      <c r="P6731">
        <v>-0.98772740000000003</v>
      </c>
      <c r="Q6731">
        <v>0.15590309999999999</v>
      </c>
      <c r="R6731">
        <v>9.4219089999999991E-3</v>
      </c>
      <c r="S6731">
        <v>-3.0349119999999998</v>
      </c>
      <c r="T6731">
        <v>2.4993419999999999E-3</v>
      </c>
      <c r="U6731">
        <v>0.19038389999999999</v>
      </c>
      <c r="V6731">
        <v>9.5527100000000007E-3</v>
      </c>
      <c r="W6731">
        <v>0.16781450000000001</v>
      </c>
      <c r="X6731">
        <v>0.98577230000000005</v>
      </c>
      <c r="Y6731">
        <v>6.26052E-2</v>
      </c>
      <c r="Z6731">
        <v>3.5276870000000002E-4</v>
      </c>
      <c r="AA6731">
        <v>0.99803830000000004</v>
      </c>
      <c r="AB6731">
        <v>26</v>
      </c>
      <c r="AC6731">
        <v>-175.1781</v>
      </c>
      <c r="AD6731">
        <v>0.14443400000000001</v>
      </c>
      <c r="AE6731">
        <v>11.0047</v>
      </c>
      <c r="AF6731">
        <v>11.0041150154298</v>
      </c>
      <c r="AG6731">
        <v>0.14443400000000001</v>
      </c>
      <c r="AH6731">
        <v>175.17801766234501</v>
      </c>
      <c r="AI6731">
        <v>89.952852659406304</v>
      </c>
      <c r="AJ6731">
        <v>86.405587745222803</v>
      </c>
      <c r="AK6731">
        <v>175.52335821924601</v>
      </c>
      <c r="AL6731">
        <v>80.339226233327494</v>
      </c>
      <c r="AM6731">
        <v>89.4447877729027</v>
      </c>
      <c r="AN6731">
        <v>0.99999999406294204</v>
      </c>
    </row>
    <row r="6732" spans="1:40" x14ac:dyDescent="0.25">
      <c r="A6732" t="str">
        <f>"20190303162046888"</f>
        <v>20190303162046888</v>
      </c>
      <c r="B6732" t="str">
        <f>"1551601246878928"</f>
        <v>1551601246878928</v>
      </c>
      <c r="C6732" t="s">
        <v>40</v>
      </c>
      <c r="D6732">
        <v>4.2966389999999999</v>
      </c>
      <c r="E6732">
        <v>0.52160050000000002</v>
      </c>
      <c r="F6732" t="s">
        <v>71</v>
      </c>
      <c r="G6732">
        <v>-511.0591</v>
      </c>
      <c r="H6732">
        <v>1.3586990000000001</v>
      </c>
      <c r="I6732">
        <v>152.91919999999999</v>
      </c>
      <c r="J6732">
        <v>-336.1413</v>
      </c>
      <c r="K6732">
        <v>1.1210709999999999</v>
      </c>
      <c r="L6732">
        <v>141.78210000000001</v>
      </c>
      <c r="M6732">
        <v>-0.99992689999999995</v>
      </c>
      <c r="N6732">
        <v>-1.2076470000000001E-2</v>
      </c>
      <c r="O6732">
        <v>4.4848069999999998E-4</v>
      </c>
      <c r="P6732">
        <v>-0.98754699999999995</v>
      </c>
      <c r="Q6732">
        <v>0.15702189999999999</v>
      </c>
      <c r="R6732">
        <v>9.7620390000000001E-3</v>
      </c>
      <c r="S6732">
        <v>-3.0347900000000001</v>
      </c>
      <c r="T6732">
        <v>4.1174890000000002E-3</v>
      </c>
      <c r="U6732">
        <v>0.19294739999999999</v>
      </c>
      <c r="V6732">
        <v>9.4542559999999994E-3</v>
      </c>
      <c r="W6732">
        <v>0.16892889999999999</v>
      </c>
      <c r="X6732">
        <v>0.98558290000000004</v>
      </c>
      <c r="Y6732">
        <v>6.3003260000000005E-2</v>
      </c>
      <c r="Z6732">
        <v>3.4414619999999999E-4</v>
      </c>
      <c r="AA6732">
        <v>0.99801329999999999</v>
      </c>
      <c r="AB6732">
        <v>26</v>
      </c>
      <c r="AC6732">
        <v>-174.9178</v>
      </c>
      <c r="AD6732">
        <v>0.23762799999999901</v>
      </c>
      <c r="AE6732">
        <v>11.137099999999901</v>
      </c>
      <c r="AF6732">
        <v>11.0586255684889</v>
      </c>
      <c r="AG6732">
        <v>0.23762799999999901</v>
      </c>
      <c r="AH6732">
        <v>174.922456019701</v>
      </c>
      <c r="AI6732">
        <v>89.922320172803396</v>
      </c>
      <c r="AJ6732">
        <v>86.382565928136302</v>
      </c>
      <c r="AK6732">
        <v>175.27183255302299</v>
      </c>
      <c r="AL6732">
        <v>80.274451157127302</v>
      </c>
      <c r="AM6732">
        <v>89.450404067200793</v>
      </c>
      <c r="AN6732">
        <v>1.0000000044920601</v>
      </c>
    </row>
    <row r="6733" spans="1:40" x14ac:dyDescent="0.25">
      <c r="A6733" t="str">
        <f>"20190303162046912"</f>
        <v>20190303162046912</v>
      </c>
      <c r="B6733" t="str">
        <f>"1551601246899424"</f>
        <v>1551601246899424</v>
      </c>
      <c r="C6733" t="s">
        <v>40</v>
      </c>
      <c r="D6733">
        <v>4.2346139999999997</v>
      </c>
      <c r="E6733">
        <v>0.52187819999999996</v>
      </c>
      <c r="F6733" t="s">
        <v>71</v>
      </c>
      <c r="G6733">
        <v>-511.05919999999998</v>
      </c>
      <c r="H6733">
        <v>1.569642</v>
      </c>
      <c r="I6733">
        <v>153.09440000000001</v>
      </c>
      <c r="J6733">
        <v>-336.40910000000002</v>
      </c>
      <c r="K6733">
        <v>1.121067</v>
      </c>
      <c r="L6733">
        <v>141.78280000000001</v>
      </c>
      <c r="M6733">
        <v>-0.9999268</v>
      </c>
      <c r="N6733">
        <v>-1.207445E-2</v>
      </c>
      <c r="O6733">
        <v>9.0635840000000004E-4</v>
      </c>
      <c r="P6733">
        <v>-0.98745269999999996</v>
      </c>
      <c r="Q6733">
        <v>0.1576082</v>
      </c>
      <c r="R6733">
        <v>9.8463460000000006E-3</v>
      </c>
      <c r="S6733">
        <v>-3.0346679999999999</v>
      </c>
      <c r="T6733">
        <v>7.7830549999999997E-3</v>
      </c>
      <c r="U6733">
        <v>0.1962585</v>
      </c>
      <c r="V6733">
        <v>9.0867359999999998E-3</v>
      </c>
      <c r="W6733">
        <v>0.16951260000000001</v>
      </c>
      <c r="X6733">
        <v>0.98548610000000003</v>
      </c>
      <c r="Y6733">
        <v>6.363365E-2</v>
      </c>
      <c r="Z6733">
        <v>3.1632220000000003E-4</v>
      </c>
      <c r="AA6733">
        <v>0.99797329999999995</v>
      </c>
      <c r="AB6733">
        <v>26</v>
      </c>
      <c r="AC6733">
        <v>-174.65009999999899</v>
      </c>
      <c r="AD6733">
        <v>0.448575</v>
      </c>
      <c r="AE6733">
        <v>11.3116</v>
      </c>
      <c r="AF6733">
        <v>11.1532149768785</v>
      </c>
      <c r="AG6733">
        <v>0.448575</v>
      </c>
      <c r="AH6733">
        <v>174.65913398718601</v>
      </c>
      <c r="AI6733">
        <v>89.853147352922406</v>
      </c>
      <c r="AJ6733">
        <v>86.346222197231299</v>
      </c>
      <c r="AK6733">
        <v>175.01545220066899</v>
      </c>
      <c r="AL6733">
        <v>80.240517913504206</v>
      </c>
      <c r="AM6733">
        <v>89.471715665380103</v>
      </c>
      <c r="AN6733">
        <v>0.99999997181155098</v>
      </c>
    </row>
    <row r="6734" spans="1:40" x14ac:dyDescent="0.25">
      <c r="A6734" t="str">
        <f>"20190303162046933"</f>
        <v>20190303162046933</v>
      </c>
      <c r="B6734" t="str">
        <f>"1551601246929680"</f>
        <v>1551601246929680</v>
      </c>
      <c r="C6734" t="s">
        <v>40</v>
      </c>
      <c r="D6734">
        <v>4.2561369999999998</v>
      </c>
      <c r="E6734">
        <v>0.52227129999999999</v>
      </c>
      <c r="F6734" t="s">
        <v>71</v>
      </c>
      <c r="G6734">
        <v>-511.05919999999998</v>
      </c>
      <c r="H6734">
        <v>1.6855519999999999</v>
      </c>
      <c r="I6734">
        <v>153.2028</v>
      </c>
      <c r="J6734">
        <v>-336.65870000000001</v>
      </c>
      <c r="K6734">
        <v>1.1210789999999999</v>
      </c>
      <c r="L6734">
        <v>141.7835</v>
      </c>
      <c r="M6734">
        <v>-0.99992630000000005</v>
      </c>
      <c r="N6734">
        <v>-1.207278E-2</v>
      </c>
      <c r="O6734">
        <v>1.333299E-3</v>
      </c>
      <c r="P6734">
        <v>-0.98739849999999996</v>
      </c>
      <c r="Q6734">
        <v>0.157918</v>
      </c>
      <c r="R6734">
        <v>1.0320029999999999E-2</v>
      </c>
      <c r="S6734">
        <v>-3.0345759999999999</v>
      </c>
      <c r="T6734">
        <v>9.8087790000000001E-3</v>
      </c>
      <c r="U6734">
        <v>0.1984253</v>
      </c>
      <c r="V6734">
        <v>9.1392209999999995E-3</v>
      </c>
      <c r="W6734">
        <v>0.16982</v>
      </c>
      <c r="X6734">
        <v>0.98543270000000005</v>
      </c>
      <c r="Y6734">
        <v>6.3919249999999997E-2</v>
      </c>
      <c r="Z6734">
        <v>3.0345550000000001E-4</v>
      </c>
      <c r="AA6734">
        <v>0.99795500000000004</v>
      </c>
      <c r="AB6734">
        <v>26</v>
      </c>
      <c r="AC6734">
        <v>-174.400499999999</v>
      </c>
      <c r="AD6734">
        <v>0.564472999999999</v>
      </c>
      <c r="AE6734">
        <v>11.4192999999999</v>
      </c>
      <c r="AF6734">
        <v>11.1866282148557</v>
      </c>
      <c r="AG6734">
        <v>0.564472999999999</v>
      </c>
      <c r="AH6734">
        <v>174.41375207350401</v>
      </c>
      <c r="AI6734">
        <v>89.814948710532406</v>
      </c>
      <c r="AJ6734">
        <v>86.330164089978098</v>
      </c>
      <c r="AK6734">
        <v>174.773041951392</v>
      </c>
      <c r="AL6734">
        <v>80.2226461772823</v>
      </c>
      <c r="AM6734">
        <v>89.468635677653893</v>
      </c>
      <c r="AN6734">
        <v>0.99999998199488804</v>
      </c>
    </row>
    <row r="6735" spans="1:40" x14ac:dyDescent="0.25">
      <c r="A6735" t="str">
        <f>"20190303162046956"</f>
        <v>20190303162046956</v>
      </c>
      <c r="B6735" t="str">
        <f>"1551601246949200"</f>
        <v>1551601246949200</v>
      </c>
      <c r="C6735" t="s">
        <v>40</v>
      </c>
      <c r="D6735">
        <v>4.2183590000000004</v>
      </c>
      <c r="E6735">
        <v>0.52252460000000001</v>
      </c>
      <c r="F6735" t="s">
        <v>71</v>
      </c>
      <c r="G6735">
        <v>-511.05919999999998</v>
      </c>
      <c r="H6735">
        <v>1.759822</v>
      </c>
      <c r="I6735">
        <v>153.4615</v>
      </c>
      <c r="J6735">
        <v>-336.92779999999999</v>
      </c>
      <c r="K6735">
        <v>1.121078</v>
      </c>
      <c r="L6735">
        <v>141.78440000000001</v>
      </c>
      <c r="M6735">
        <v>-0.99992559999999997</v>
      </c>
      <c r="N6735">
        <v>-1.2071190000000001E-2</v>
      </c>
      <c r="O6735">
        <v>1.7940320000000001E-3</v>
      </c>
      <c r="P6735">
        <v>-0.98738219999999999</v>
      </c>
      <c r="Q6735">
        <v>0.15797659999999999</v>
      </c>
      <c r="R6735">
        <v>1.0944519999999999E-2</v>
      </c>
      <c r="S6735">
        <v>-3.034424</v>
      </c>
      <c r="T6735">
        <v>1.111436E-2</v>
      </c>
      <c r="U6735">
        <v>0.20318600000000001</v>
      </c>
      <c r="V6735">
        <v>9.3086039999999998E-3</v>
      </c>
      <c r="W6735">
        <v>0.16987729999999901</v>
      </c>
      <c r="X6735">
        <v>0.9854212</v>
      </c>
      <c r="Y6735">
        <v>6.5021679999999998E-2</v>
      </c>
      <c r="Z6735">
        <v>3.0214530000000002E-4</v>
      </c>
      <c r="AA6735">
        <v>0.99788379999999999</v>
      </c>
      <c r="AB6735">
        <v>26</v>
      </c>
      <c r="AC6735">
        <v>-174.13140000000001</v>
      </c>
      <c r="AD6735">
        <v>0.63874399999999998</v>
      </c>
      <c r="AE6735">
        <v>11.6770999999999</v>
      </c>
      <c r="AF6735">
        <v>11.364508930074599</v>
      </c>
      <c r="AG6735">
        <v>0.63874399999999998</v>
      </c>
      <c r="AH6735">
        <v>174.149737570139</v>
      </c>
      <c r="AI6735">
        <v>89.790298302322199</v>
      </c>
      <c r="AJ6735">
        <v>86.266336817042102</v>
      </c>
      <c r="AK6735">
        <v>174.52132005250101</v>
      </c>
      <c r="AL6735">
        <v>80.219314351127295</v>
      </c>
      <c r="AM6735">
        <v>89.458781829271302</v>
      </c>
      <c r="AN6735">
        <v>0.99999994428657701</v>
      </c>
    </row>
    <row r="6736" spans="1:40" x14ac:dyDescent="0.25">
      <c r="A6736" t="str">
        <f>"20190303162046979"</f>
        <v>20190303162046979</v>
      </c>
      <c r="B6736" t="str">
        <f>"1551601246969696"</f>
        <v>1551601246969696</v>
      </c>
      <c r="C6736" t="s">
        <v>40</v>
      </c>
      <c r="D6736">
        <v>4.2469739999999998</v>
      </c>
      <c r="E6736">
        <v>0.52274849999999995</v>
      </c>
      <c r="F6736" t="s">
        <v>71</v>
      </c>
      <c r="G6736">
        <v>-511.92579999999998</v>
      </c>
      <c r="H6736">
        <v>1.789439</v>
      </c>
      <c r="I6736">
        <v>153.732</v>
      </c>
      <c r="J6736">
        <v>-337.18779999999998</v>
      </c>
      <c r="K6736">
        <v>1.121076</v>
      </c>
      <c r="L6736">
        <v>141.78540000000001</v>
      </c>
      <c r="M6736">
        <v>-0.9999247</v>
      </c>
      <c r="N6736">
        <v>-1.206983E-2</v>
      </c>
      <c r="O6736">
        <v>2.2389710000000002E-3</v>
      </c>
      <c r="P6736">
        <v>-0.98741440000000003</v>
      </c>
      <c r="Q6736">
        <v>0.15769140000000001</v>
      </c>
      <c r="R6736">
        <v>1.2114929999999999E-2</v>
      </c>
      <c r="S6736">
        <v>-3.0342099999999999</v>
      </c>
      <c r="T6736">
        <v>1.1589169999999999E-2</v>
      </c>
      <c r="U6736">
        <v>0.20715330000000001</v>
      </c>
      <c r="V6736">
        <v>1.003947E-2</v>
      </c>
      <c r="W6736">
        <v>0.1695902</v>
      </c>
      <c r="X6736">
        <v>0.9854636</v>
      </c>
      <c r="Y6736">
        <v>6.5881229999999999E-2</v>
      </c>
      <c r="Z6736">
        <v>3.0792630000000003E-4</v>
      </c>
      <c r="AA6736">
        <v>0.99782740000000003</v>
      </c>
      <c r="AB6736">
        <v>26</v>
      </c>
      <c r="AC6736">
        <v>-174.738</v>
      </c>
      <c r="AD6736">
        <v>0.66836300000000004</v>
      </c>
      <c r="AE6736">
        <v>11.946599999999901</v>
      </c>
      <c r="AF6736">
        <v>11.5551399882503</v>
      </c>
      <c r="AG6736">
        <v>0.66836300000000004</v>
      </c>
      <c r="AH6736">
        <v>174.76176709088</v>
      </c>
      <c r="AI6736">
        <v>89.781355152539902</v>
      </c>
      <c r="AJ6736">
        <v>86.217144666001502</v>
      </c>
      <c r="AK6736">
        <v>175.14463510474599</v>
      </c>
      <c r="AL6736">
        <v>80.236007378459604</v>
      </c>
      <c r="AM6736">
        <v>89.416315974724</v>
      </c>
      <c r="AN6736">
        <v>1.00000006690943</v>
      </c>
    </row>
    <row r="6737" spans="1:40" x14ac:dyDescent="0.25">
      <c r="A6737" t="str">
        <f>"20190303162047000"</f>
        <v>20190303162047000</v>
      </c>
      <c r="B6737" t="str">
        <f>"1551601246989216"</f>
        <v>1551601246989216</v>
      </c>
      <c r="C6737" t="s">
        <v>40</v>
      </c>
      <c r="D6737">
        <v>4.2201300000000002</v>
      </c>
      <c r="E6737">
        <v>0.52294059999999998</v>
      </c>
      <c r="F6737" t="s">
        <v>71</v>
      </c>
      <c r="G6737">
        <v>-511.92579999999998</v>
      </c>
      <c r="H6737">
        <v>1.7490190000000001</v>
      </c>
      <c r="I6737">
        <v>154.01249999999999</v>
      </c>
      <c r="J6737">
        <v>-337.44529999999997</v>
      </c>
      <c r="K6737">
        <v>1.121075</v>
      </c>
      <c r="L6737">
        <v>141.78649999999999</v>
      </c>
      <c r="M6737">
        <v>-0.99992360000000002</v>
      </c>
      <c r="N6737">
        <v>-1.206865E-2</v>
      </c>
      <c r="O6737">
        <v>2.679439E-3</v>
      </c>
      <c r="P6737">
        <v>-0.98747039999999997</v>
      </c>
      <c r="Q6737">
        <v>0.15726209999999999</v>
      </c>
      <c r="R6737">
        <v>1.3083539999999999E-2</v>
      </c>
      <c r="S6737">
        <v>-3.0339360000000002</v>
      </c>
      <c r="T6737">
        <v>1.0903599999999999E-2</v>
      </c>
      <c r="U6737">
        <v>0.2122955</v>
      </c>
      <c r="V6737">
        <v>1.05725E-2</v>
      </c>
      <c r="W6737">
        <v>0.16916020000000001</v>
      </c>
      <c r="X6737">
        <v>0.98553190000000002</v>
      </c>
      <c r="Y6737">
        <v>6.7130949999999995E-2</v>
      </c>
      <c r="Z6737">
        <v>3.2703069999999999E-4</v>
      </c>
      <c r="AA6737">
        <v>0.99774410000000002</v>
      </c>
      <c r="AB6737">
        <v>26</v>
      </c>
      <c r="AC6737">
        <v>-174.48050000000001</v>
      </c>
      <c r="AD6737">
        <v>0.62794399999999895</v>
      </c>
      <c r="AE6737">
        <v>12.226000000000001</v>
      </c>
      <c r="AF6737">
        <v>11.758260654764101</v>
      </c>
      <c r="AG6737">
        <v>0.62794399999999895</v>
      </c>
      <c r="AH6737">
        <v>174.51038550910599</v>
      </c>
      <c r="AI6737">
        <v>89.794298805324999</v>
      </c>
      <c r="AJ6737">
        <v>86.145318377093105</v>
      </c>
      <c r="AK6737">
        <v>174.90719155549201</v>
      </c>
      <c r="AL6737">
        <v>80.261005467838203</v>
      </c>
      <c r="AM6737">
        <v>89.385371094726196</v>
      </c>
      <c r="AN6737">
        <v>1.00000003846894</v>
      </c>
    </row>
    <row r="6738" spans="1:40" x14ac:dyDescent="0.25">
      <c r="A6738" t="str">
        <f>"20190303162047023"</f>
        <v>20190303162047023</v>
      </c>
      <c r="B6738" t="str">
        <f>"1551601247019472"</f>
        <v>1551601247019472</v>
      </c>
      <c r="C6738" t="s">
        <v>40</v>
      </c>
      <c r="D6738">
        <v>4.2657089999999904</v>
      </c>
      <c r="E6738">
        <v>0.52322239999999998</v>
      </c>
      <c r="F6738" t="s">
        <v>71</v>
      </c>
      <c r="G6738">
        <v>-511.92579999999998</v>
      </c>
      <c r="H6738">
        <v>1.683781</v>
      </c>
      <c r="I6738">
        <v>154.2381</v>
      </c>
      <c r="J6738">
        <v>-337.70209999999997</v>
      </c>
      <c r="K6738">
        <v>1.1210739999999999</v>
      </c>
      <c r="L6738">
        <v>141.7877</v>
      </c>
      <c r="M6738">
        <v>-0.99992230000000004</v>
      </c>
      <c r="N6738">
        <v>-1.2067659999999999E-2</v>
      </c>
      <c r="O6738">
        <v>3.1187749999999998E-3</v>
      </c>
      <c r="P6738">
        <v>-0.98751500000000003</v>
      </c>
      <c r="Q6738">
        <v>0.15694229999999901</v>
      </c>
      <c r="R6738">
        <v>1.3549449999999999E-2</v>
      </c>
      <c r="S6738">
        <v>-3.03363</v>
      </c>
      <c r="T6738">
        <v>9.7843410000000002E-3</v>
      </c>
      <c r="U6738">
        <v>0.21649170000000001</v>
      </c>
      <c r="V6738">
        <v>1.060418E-2</v>
      </c>
      <c r="W6738">
        <v>0.16883960000000001</v>
      </c>
      <c r="X6738">
        <v>0.98558650000000003</v>
      </c>
      <c r="Y6738">
        <v>6.8072770000000005E-2</v>
      </c>
      <c r="Z6738">
        <v>3.4927189999999999E-4</v>
      </c>
      <c r="AA6738">
        <v>0.99768029999999996</v>
      </c>
      <c r="AB6738">
        <v>26</v>
      </c>
      <c r="AC6738">
        <v>-174.22370000000001</v>
      </c>
      <c r="AD6738">
        <v>0.56270699999999996</v>
      </c>
      <c r="AE6738">
        <v>12.4504</v>
      </c>
      <c r="AF6738">
        <v>11.9068117647333</v>
      </c>
      <c r="AG6738">
        <v>0.56270699999999996</v>
      </c>
      <c r="AH6738">
        <v>174.25987681325799</v>
      </c>
      <c r="AI6738">
        <v>89.815415763965802</v>
      </c>
      <c r="AJ6738">
        <v>86.091175090822702</v>
      </c>
      <c r="AK6738">
        <v>174.66709327329099</v>
      </c>
      <c r="AL6738">
        <v>80.279642231305999</v>
      </c>
      <c r="AM6738">
        <v>89.383563678878005</v>
      </c>
      <c r="AN6738">
        <v>1.0000000040719399</v>
      </c>
    </row>
    <row r="6739" spans="1:40" x14ac:dyDescent="0.25">
      <c r="A6739" t="str">
        <f>"20190303162047046"</f>
        <v>20190303162047046</v>
      </c>
      <c r="B6739" t="str">
        <f>"1551601247038992"</f>
        <v>1551601247038992</v>
      </c>
      <c r="C6739" t="s">
        <v>40</v>
      </c>
      <c r="D6739">
        <v>4.2521789999999999</v>
      </c>
      <c r="E6739">
        <v>0.52338890000000005</v>
      </c>
      <c r="F6739" t="s">
        <v>71</v>
      </c>
      <c r="G6739">
        <v>-511.92570000000001</v>
      </c>
      <c r="H6739">
        <v>1.625929</v>
      </c>
      <c r="I6739">
        <v>154.4204</v>
      </c>
      <c r="J6739">
        <v>-337.96980000000002</v>
      </c>
      <c r="K6739">
        <v>1.12107</v>
      </c>
      <c r="L6739">
        <v>141.78909999999999</v>
      </c>
      <c r="M6739">
        <v>-0.99992099999999995</v>
      </c>
      <c r="N6739">
        <v>-1.2066769999999999E-2</v>
      </c>
      <c r="O6739">
        <v>3.5762290000000002E-3</v>
      </c>
      <c r="P6739">
        <v>-0.98753210000000002</v>
      </c>
      <c r="Q6739">
        <v>0.15674879999999999</v>
      </c>
      <c r="R6739">
        <v>1.4517149999999999E-2</v>
      </c>
      <c r="S6739">
        <v>-3.0335079999999999</v>
      </c>
      <c r="T6739">
        <v>8.7910890000000002E-3</v>
      </c>
      <c r="U6739">
        <v>0.2199554</v>
      </c>
      <c r="V6739">
        <v>1.1119779999999999E-2</v>
      </c>
      <c r="W6739">
        <v>0.1686455</v>
      </c>
      <c r="X6739">
        <v>0.98561410000000005</v>
      </c>
      <c r="Y6739">
        <v>6.8752480000000005E-2</v>
      </c>
      <c r="Z6739">
        <v>3.6932430000000002E-4</v>
      </c>
      <c r="AA6739">
        <v>0.99763369999999996</v>
      </c>
      <c r="AB6739">
        <v>26</v>
      </c>
      <c r="AC6739">
        <v>-173.95590000000001</v>
      </c>
      <c r="AD6739">
        <v>0.50485899999999995</v>
      </c>
      <c r="AE6739">
        <v>12.6313</v>
      </c>
      <c r="AF6739">
        <v>12.0089672892067</v>
      </c>
      <c r="AG6739">
        <v>0.50485899999999995</v>
      </c>
      <c r="AH6739">
        <v>173.99850525315901</v>
      </c>
      <c r="AI6739">
        <v>89.834150527854504</v>
      </c>
      <c r="AJ6739">
        <v>86.051841146143403</v>
      </c>
      <c r="AK6739">
        <v>174.41315893101799</v>
      </c>
      <c r="AL6739">
        <v>80.290925628043695</v>
      </c>
      <c r="AM6739">
        <v>89.353611689093398</v>
      </c>
      <c r="AN6739">
        <v>1.00000005414815</v>
      </c>
    </row>
    <row r="6740" spans="1:40" x14ac:dyDescent="0.25">
      <c r="A6740" t="str">
        <f>"20190303162047068"</f>
        <v>20190303162047068</v>
      </c>
      <c r="B6740" t="str">
        <f>"1551601247059488"</f>
        <v>1551601247059488</v>
      </c>
      <c r="C6740" t="s">
        <v>40</v>
      </c>
      <c r="D6740">
        <v>4.2477689999999999</v>
      </c>
      <c r="E6740">
        <v>0.523536</v>
      </c>
      <c r="F6740" t="s">
        <v>71</v>
      </c>
      <c r="G6740">
        <v>-511.92570000000001</v>
      </c>
      <c r="H6740">
        <v>1.598363</v>
      </c>
      <c r="I6740">
        <v>154.65020000000001</v>
      </c>
      <c r="J6740">
        <v>-338.22309999999999</v>
      </c>
      <c r="K6740">
        <v>1.121065</v>
      </c>
      <c r="L6740">
        <v>141.79050000000001</v>
      </c>
      <c r="M6740">
        <v>-0.99991920000000001</v>
      </c>
      <c r="N6740">
        <v>-1.206605E-2</v>
      </c>
      <c r="O6740">
        <v>4.0094830000000003E-3</v>
      </c>
      <c r="P6740">
        <v>-0.98761100000000002</v>
      </c>
      <c r="Q6740">
        <v>0.1561767</v>
      </c>
      <c r="R6740">
        <v>1.528099E-2</v>
      </c>
      <c r="S6740">
        <v>-3.033264</v>
      </c>
      <c r="T6740">
        <v>8.3233119999999994E-3</v>
      </c>
      <c r="U6740">
        <v>0.2242584</v>
      </c>
      <c r="V6740">
        <v>1.145497E-2</v>
      </c>
      <c r="W6740">
        <v>0.16807349999999999</v>
      </c>
      <c r="X6740">
        <v>0.98570789999999997</v>
      </c>
      <c r="Y6740">
        <v>6.9733660000000003E-2</v>
      </c>
      <c r="Z6740">
        <v>3.8504920000000001E-4</v>
      </c>
      <c r="AA6740">
        <v>0.99756560000000005</v>
      </c>
      <c r="AB6740">
        <v>26</v>
      </c>
      <c r="AC6740">
        <v>-173.70259999999999</v>
      </c>
      <c r="AD6740">
        <v>0.477297999999999</v>
      </c>
      <c r="AE6740">
        <v>12.8597</v>
      </c>
      <c r="AF6740">
        <v>12.1629969836996</v>
      </c>
      <c r="AG6740">
        <v>0.477297999999999</v>
      </c>
      <c r="AH6740">
        <v>173.75146334231201</v>
      </c>
      <c r="AI6740">
        <v>89.842992211252394</v>
      </c>
      <c r="AJ6740">
        <v>85.995697588140601</v>
      </c>
      <c r="AK6740">
        <v>174.17731575208401</v>
      </c>
      <c r="AL6740">
        <v>80.324172785045505</v>
      </c>
      <c r="AM6740">
        <v>89.334192317365194</v>
      </c>
      <c r="AN6740">
        <v>0.99999999093117997</v>
      </c>
    </row>
    <row r="6741" spans="1:40" x14ac:dyDescent="0.25">
      <c r="A6741" t="str">
        <f>"20190303162047090"</f>
        <v>20190303162047090</v>
      </c>
      <c r="B6741" t="str">
        <f>"1551601247079008"</f>
        <v>1551601247079008</v>
      </c>
      <c r="C6741" t="s">
        <v>40</v>
      </c>
      <c r="D6741">
        <v>4.2803800000000001</v>
      </c>
      <c r="E6741">
        <v>0.52372229999999997</v>
      </c>
      <c r="F6741" t="s">
        <v>71</v>
      </c>
      <c r="G6741">
        <v>-511.92570000000001</v>
      </c>
      <c r="H6741">
        <v>1.518362</v>
      </c>
      <c r="I6741">
        <v>154.8218</v>
      </c>
      <c r="J6741">
        <v>-338.4889</v>
      </c>
      <c r="K6741">
        <v>1.1210639999999901</v>
      </c>
      <c r="L6741">
        <v>141.7921</v>
      </c>
      <c r="M6741">
        <v>-0.99991730000000001</v>
      </c>
      <c r="N6741">
        <v>-1.2065380000000001E-2</v>
      </c>
      <c r="O6741">
        <v>4.464015E-3</v>
      </c>
      <c r="P6741">
        <v>-0.98768440000000002</v>
      </c>
      <c r="Q6741">
        <v>0.15562909999999999</v>
      </c>
      <c r="R6741">
        <v>1.611015E-2</v>
      </c>
      <c r="S6741">
        <v>-3.03302</v>
      </c>
      <c r="T6741">
        <v>6.9379810000000002E-3</v>
      </c>
      <c r="U6741">
        <v>0.22753909999999999</v>
      </c>
      <c r="V6741">
        <v>1.183441E-2</v>
      </c>
      <c r="W6741">
        <v>0.16752629999999999</v>
      </c>
      <c r="X6741">
        <v>0.98579660000000002</v>
      </c>
      <c r="Y6741">
        <v>7.0359069999999996E-2</v>
      </c>
      <c r="Z6741">
        <v>4.0868859999999998E-4</v>
      </c>
      <c r="AA6741">
        <v>0.99752160000000001</v>
      </c>
      <c r="AB6741">
        <v>26</v>
      </c>
      <c r="AC6741">
        <v>-173.43680000000001</v>
      </c>
      <c r="AD6741">
        <v>0.39729799999999998</v>
      </c>
      <c r="AE6741">
        <v>13.029699999999901</v>
      </c>
      <c r="AF6741">
        <v>12.2552254137392</v>
      </c>
      <c r="AG6741">
        <v>0.39729799999999998</v>
      </c>
      <c r="AH6741">
        <v>173.492335385335</v>
      </c>
      <c r="AI6741">
        <v>89.869118839091001</v>
      </c>
      <c r="AJ6741">
        <v>85.959427957877196</v>
      </c>
      <c r="AK6741">
        <v>173.925095466698</v>
      </c>
      <c r="AL6741">
        <v>80.355976307971503</v>
      </c>
      <c r="AM6741">
        <v>89.312201751170306</v>
      </c>
      <c r="AN6741">
        <v>1.0000000255116399</v>
      </c>
    </row>
    <row r="6742" spans="1:40" x14ac:dyDescent="0.25">
      <c r="A6742" t="str">
        <f>"20190303162047113"</f>
        <v>20190303162047113</v>
      </c>
      <c r="B6742" t="str">
        <f>"1551601247108796"</f>
        <v>1551601247108796</v>
      </c>
      <c r="C6742" t="s">
        <v>40</v>
      </c>
      <c r="D6742">
        <v>4.2692079999999999</v>
      </c>
      <c r="E6742">
        <v>0.52392700000000003</v>
      </c>
      <c r="F6742" t="s">
        <v>71</v>
      </c>
      <c r="G6742">
        <v>-511.92570000000001</v>
      </c>
      <c r="H6742">
        <v>1.4254009999999999</v>
      </c>
      <c r="I6742">
        <v>155.02080000000001</v>
      </c>
      <c r="J6742">
        <v>-338.74810000000002</v>
      </c>
      <c r="K6742">
        <v>1.1210659999999999</v>
      </c>
      <c r="L6742">
        <v>141.7938</v>
      </c>
      <c r="M6742">
        <v>-0.9999152</v>
      </c>
      <c r="N6742">
        <v>-1.2064709999999999E-2</v>
      </c>
      <c r="O6742">
        <v>4.9075200000000003E-3</v>
      </c>
      <c r="P6742">
        <v>-0.98770080000000005</v>
      </c>
      <c r="Q6742">
        <v>0.15547169999999999</v>
      </c>
      <c r="R6742">
        <v>1.6612180000000001E-2</v>
      </c>
      <c r="S6742">
        <v>-3.0328059999999999</v>
      </c>
      <c r="T6742">
        <v>5.3225759999999999E-3</v>
      </c>
      <c r="U6742">
        <v>0.23132320000000001</v>
      </c>
      <c r="V6742">
        <v>1.189808E-2</v>
      </c>
      <c r="W6742">
        <v>0.16736789999999999</v>
      </c>
      <c r="X6742">
        <v>0.98582270000000005</v>
      </c>
      <c r="Y6742">
        <v>7.1159280000000005E-2</v>
      </c>
      <c r="Z6742">
        <v>4.3526900000000001E-4</v>
      </c>
      <c r="AA6742">
        <v>0.99746489999999999</v>
      </c>
      <c r="AB6742">
        <v>26</v>
      </c>
      <c r="AC6742">
        <v>-173.17759999999899</v>
      </c>
      <c r="AD6742">
        <v>0.30433499999999902</v>
      </c>
      <c r="AE6742">
        <v>13.227</v>
      </c>
      <c r="AF6742">
        <v>12.3768683217159</v>
      </c>
      <c r="AG6742">
        <v>0.30433499999999902</v>
      </c>
      <c r="AH6742">
        <v>173.23989887602499</v>
      </c>
      <c r="AI6742">
        <v>89.899603024725806</v>
      </c>
      <c r="AJ6742">
        <v>85.913531031959707</v>
      </c>
      <c r="AK6742">
        <v>173.68172630366399</v>
      </c>
      <c r="AL6742">
        <v>80.365181558728494</v>
      </c>
      <c r="AM6742">
        <v>89.308520010024907</v>
      </c>
      <c r="AN6742">
        <v>0.99999998704669302</v>
      </c>
    </row>
    <row r="6743" spans="1:40" x14ac:dyDescent="0.25">
      <c r="A6743" t="str">
        <f>"20190303162047135"</f>
        <v>20190303162047135</v>
      </c>
      <c r="B6743" t="str">
        <f>"1551601247129291"</f>
        <v>1551601247129291</v>
      </c>
      <c r="C6743" t="s">
        <v>40</v>
      </c>
      <c r="D6743">
        <v>4.2689579999999996</v>
      </c>
      <c r="E6743">
        <v>0.52405139999999995</v>
      </c>
      <c r="F6743" t="s">
        <v>71</v>
      </c>
      <c r="G6743">
        <v>-511.92570000000001</v>
      </c>
      <c r="H6743">
        <v>1.4150199999999999</v>
      </c>
      <c r="I6743">
        <v>155.1885</v>
      </c>
      <c r="J6743">
        <v>-339.00760000000002</v>
      </c>
      <c r="K6743">
        <v>1.1210560000000001</v>
      </c>
      <c r="L6743">
        <v>141.79560000000001</v>
      </c>
      <c r="M6743">
        <v>-0.99991300000000005</v>
      </c>
      <c r="N6743">
        <v>-1.206403E-2</v>
      </c>
      <c r="O6743">
        <v>5.3514419999999997E-3</v>
      </c>
      <c r="P6743">
        <v>-0.98767669999999996</v>
      </c>
      <c r="Q6743">
        <v>0.15554470000000001</v>
      </c>
      <c r="R6743">
        <v>1.7341970000000002E-2</v>
      </c>
      <c r="S6743">
        <v>-3.032562</v>
      </c>
      <c r="T6743">
        <v>5.1482919999999996E-3</v>
      </c>
      <c r="U6743">
        <v>0.23455809999999999</v>
      </c>
      <c r="V6743">
        <v>1.218939E-2</v>
      </c>
      <c r="W6743">
        <v>0.1674398</v>
      </c>
      <c r="X6743">
        <v>0.98580690000000004</v>
      </c>
      <c r="Y6743">
        <v>7.178031E-2</v>
      </c>
      <c r="Z6743">
        <v>4.4634059999999997E-4</v>
      </c>
      <c r="AA6743">
        <v>0.99742039999999998</v>
      </c>
      <c r="AB6743">
        <v>26</v>
      </c>
      <c r="AC6743">
        <v>-172.91809999999899</v>
      </c>
      <c r="AD6743">
        <v>0.293964</v>
      </c>
      <c r="AE6743">
        <v>13.3928999999999</v>
      </c>
      <c r="AF6743">
        <v>12.467243939062501</v>
      </c>
      <c r="AG6743">
        <v>0.293964</v>
      </c>
      <c r="AH6743">
        <v>172.98680318932401</v>
      </c>
      <c r="AI6743">
        <v>89.902886766580494</v>
      </c>
      <c r="AJ6743">
        <v>85.877792277003294</v>
      </c>
      <c r="AK6743">
        <v>173.43573064374999</v>
      </c>
      <c r="AL6743">
        <v>80.361002723972206</v>
      </c>
      <c r="AM6743">
        <v>89.291580316402502</v>
      </c>
      <c r="AN6743">
        <v>0.99999995597011004</v>
      </c>
    </row>
    <row r="6744" spans="1:40" x14ac:dyDescent="0.25">
      <c r="A6744" t="str">
        <f>"20190303162047151"</f>
        <v>20190303162047151</v>
      </c>
      <c r="B6744" t="str">
        <f>"1551601247139051"</f>
        <v>1551601247139051</v>
      </c>
      <c r="C6744" t="s">
        <v>40</v>
      </c>
      <c r="D6744">
        <v>4.2767999999999997</v>
      </c>
      <c r="E6744">
        <v>0.52411200000000002</v>
      </c>
      <c r="F6744" t="s">
        <v>71</v>
      </c>
      <c r="G6744">
        <v>-511.92570000000001</v>
      </c>
      <c r="H6744">
        <v>1.439678</v>
      </c>
      <c r="I6744">
        <v>155.35810000000001</v>
      </c>
      <c r="J6744">
        <v>-339.19279999999998</v>
      </c>
      <c r="K6744">
        <v>1.1210560000000001</v>
      </c>
      <c r="L6744">
        <v>141.79689999999999</v>
      </c>
      <c r="M6744">
        <v>-0.99991129999999995</v>
      </c>
      <c r="N6744">
        <v>-1.206371E-2</v>
      </c>
      <c r="O6744">
        <v>5.6679929999999996E-3</v>
      </c>
      <c r="P6744">
        <v>-0.98772309999999996</v>
      </c>
      <c r="Q6744">
        <v>0.15521380000000001</v>
      </c>
      <c r="R6744">
        <v>1.7667039999999998E-2</v>
      </c>
      <c r="S6744">
        <v>-3.0323790000000002</v>
      </c>
      <c r="T6744">
        <v>5.5882930000000003E-3</v>
      </c>
      <c r="U6744">
        <v>0.23783869999999999</v>
      </c>
      <c r="V6744">
        <v>1.220124E-2</v>
      </c>
      <c r="W6744">
        <v>0.1671098</v>
      </c>
      <c r="X6744">
        <v>0.98586280000000004</v>
      </c>
      <c r="Y6744">
        <v>7.2541830000000002E-2</v>
      </c>
      <c r="Z6744">
        <v>4.5021329999999997E-4</v>
      </c>
      <c r="AA6744">
        <v>0.99736530000000001</v>
      </c>
      <c r="AB6744">
        <v>26</v>
      </c>
      <c r="AC6744">
        <v>-172.7329</v>
      </c>
      <c r="AD6744">
        <v>0.31862200000000002</v>
      </c>
      <c r="AE6744">
        <v>13.561199999999999</v>
      </c>
      <c r="AF6744">
        <v>12.5818195972883</v>
      </c>
      <c r="AG6744">
        <v>0.31862200000000002</v>
      </c>
      <c r="AH6744">
        <v>172.80641094746201</v>
      </c>
      <c r="AI6744">
        <v>89.894636553108697</v>
      </c>
      <c r="AJ6744">
        <v>85.835713719919895</v>
      </c>
      <c r="AK6744">
        <v>173.26413180142299</v>
      </c>
      <c r="AL6744">
        <v>80.380181046622198</v>
      </c>
      <c r="AM6744">
        <v>89.290931895056801</v>
      </c>
      <c r="AN6744">
        <v>1.0000000079686999</v>
      </c>
    </row>
    <row r="6745" spans="1:40" x14ac:dyDescent="0.25">
      <c r="A6745" t="str">
        <f>"20190303162047168"</f>
        <v>20190303162047168</v>
      </c>
      <c r="B6745" t="str">
        <f>"1551601247159548"</f>
        <v>1551601247159548</v>
      </c>
      <c r="C6745" t="s">
        <v>40</v>
      </c>
      <c r="D6745">
        <v>4.2904059999999999</v>
      </c>
      <c r="E6745">
        <v>0.52421980000000001</v>
      </c>
      <c r="F6745" t="s">
        <v>71</v>
      </c>
      <c r="G6745">
        <v>-511.92570000000001</v>
      </c>
      <c r="H6745">
        <v>1.3863129999999999</v>
      </c>
      <c r="I6745">
        <v>155.4341</v>
      </c>
      <c r="J6745">
        <v>-339.3904</v>
      </c>
      <c r="K6745">
        <v>1.121057</v>
      </c>
      <c r="L6745">
        <v>141.79839999999999</v>
      </c>
      <c r="M6745">
        <v>-0.9999093</v>
      </c>
      <c r="N6745">
        <v>-1.2063519999999999E-2</v>
      </c>
      <c r="O6745">
        <v>6.0058219999999897E-3</v>
      </c>
      <c r="P6745">
        <v>-0.98772459999999995</v>
      </c>
      <c r="Q6745">
        <v>0.1552124</v>
      </c>
      <c r="R6745">
        <v>1.759105E-2</v>
      </c>
      <c r="S6745">
        <v>-3.032257</v>
      </c>
      <c r="T6745">
        <v>4.6572690000000003E-3</v>
      </c>
      <c r="U6745">
        <v>0.2393951</v>
      </c>
      <c r="V6745">
        <v>1.179156E-2</v>
      </c>
      <c r="W6745">
        <v>0.1671079</v>
      </c>
      <c r="X6745">
        <v>0.98586810000000002</v>
      </c>
      <c r="Y6745">
        <v>7.2716660000000002E-2</v>
      </c>
      <c r="Z6745">
        <v>4.6510380000000002E-4</v>
      </c>
      <c r="AA6745">
        <v>0.99735249999999998</v>
      </c>
      <c r="AB6745">
        <v>26</v>
      </c>
      <c r="AC6745">
        <v>-172.53530000000001</v>
      </c>
      <c r="AD6745">
        <v>0.26525599999999899</v>
      </c>
      <c r="AE6745">
        <v>13.6357</v>
      </c>
      <c r="AF6745">
        <v>12.5991328472133</v>
      </c>
      <c r="AG6745">
        <v>0.26525599999999899</v>
      </c>
      <c r="AH6745">
        <v>172.61368193478401</v>
      </c>
      <c r="AI6745">
        <v>89.912187065325298</v>
      </c>
      <c r="AJ6745">
        <v>85.825364151208902</v>
      </c>
      <c r="AK6745">
        <v>173.073081963459</v>
      </c>
      <c r="AL6745">
        <v>80.380291392203901</v>
      </c>
      <c r="AM6745">
        <v>89.314741588453302</v>
      </c>
      <c r="AN6745">
        <v>1.0000000008636201</v>
      </c>
    </row>
    <row r="6746" spans="1:40" x14ac:dyDescent="0.25">
      <c r="A6746" t="str">
        <f>"20190303162047191"</f>
        <v>20190303162047191</v>
      </c>
      <c r="B6746" t="str">
        <f>"1551601247179067"</f>
        <v>1551601247179067</v>
      </c>
      <c r="C6746" t="s">
        <v>40</v>
      </c>
      <c r="D6746">
        <v>4.2809689999999998</v>
      </c>
      <c r="E6746">
        <v>0.52429680000000001</v>
      </c>
      <c r="F6746" t="s">
        <v>71</v>
      </c>
      <c r="G6746">
        <v>-511.92570000000001</v>
      </c>
      <c r="H6746">
        <v>1.382752</v>
      </c>
      <c r="I6746">
        <v>155.4607</v>
      </c>
      <c r="J6746">
        <v>-339.66469999999998</v>
      </c>
      <c r="K6746">
        <v>1.1210580000000001</v>
      </c>
      <c r="L6746">
        <v>141.8006</v>
      </c>
      <c r="M6746">
        <v>-0.99990650000000003</v>
      </c>
      <c r="N6746">
        <v>-1.2063340000000001E-2</v>
      </c>
      <c r="O6746">
        <v>6.4748949999999996E-3</v>
      </c>
      <c r="P6746">
        <v>-0.9877515</v>
      </c>
      <c r="Q6746">
        <v>0.155055</v>
      </c>
      <c r="R6746">
        <v>1.7471750000000001E-2</v>
      </c>
      <c r="S6746">
        <v>-3.0322879999999999</v>
      </c>
      <c r="T6746">
        <v>4.6000479999999998E-3</v>
      </c>
      <c r="U6746">
        <v>0.2401123</v>
      </c>
      <c r="V6746">
        <v>1.1208579999999999E-2</v>
      </c>
      <c r="W6746">
        <v>0.16695179999999901</v>
      </c>
      <c r="X6746">
        <v>0.98590140000000004</v>
      </c>
      <c r="Y6746">
        <v>7.2482459999999999E-2</v>
      </c>
      <c r="Z6746">
        <v>4.7079609999999998E-4</v>
      </c>
      <c r="AA6746">
        <v>0.99736959999999997</v>
      </c>
      <c r="AB6746">
        <v>26</v>
      </c>
      <c r="AC6746">
        <v>-172.261</v>
      </c>
      <c r="AD6746">
        <v>0.26169399999999998</v>
      </c>
      <c r="AE6746">
        <v>13.6601</v>
      </c>
      <c r="AF6746">
        <v>12.5443320424797</v>
      </c>
      <c r="AG6746">
        <v>0.26169399999999998</v>
      </c>
      <c r="AH6746">
        <v>172.34544734222001</v>
      </c>
      <c r="AI6746">
        <v>89.913230142456996</v>
      </c>
      <c r="AJ6746">
        <v>85.837011818951794</v>
      </c>
      <c r="AK6746">
        <v>172.80156819233801</v>
      </c>
      <c r="AL6746">
        <v>80.389363205882702</v>
      </c>
      <c r="AM6746">
        <v>89.348640075018494</v>
      </c>
      <c r="AN6746">
        <v>1.0000000531554001</v>
      </c>
    </row>
    <row r="6747" spans="1:40" x14ac:dyDescent="0.25">
      <c r="A6747" t="str">
        <f>"20190303162047213"</f>
        <v>20190303162047213</v>
      </c>
      <c r="B6747" t="str">
        <f>"1551601247209559"</f>
        <v>1551601247209559</v>
      </c>
      <c r="C6747" t="s">
        <v>40</v>
      </c>
      <c r="D6747">
        <v>4.2783160000000002</v>
      </c>
      <c r="E6747">
        <v>0.52440019999999998</v>
      </c>
      <c r="F6747" t="s">
        <v>71</v>
      </c>
      <c r="G6747">
        <v>-511.92570000000001</v>
      </c>
      <c r="H6747">
        <v>1.3975420000000001</v>
      </c>
      <c r="I6747">
        <v>155.4676</v>
      </c>
      <c r="J6747">
        <v>-339.91480000000001</v>
      </c>
      <c r="K6747">
        <v>1.1210599999999999</v>
      </c>
      <c r="L6747">
        <v>141.80269999999999</v>
      </c>
      <c r="M6747">
        <v>-0.9999034</v>
      </c>
      <c r="N6747">
        <v>-1.206316E-2</v>
      </c>
      <c r="O6747">
        <v>6.9026629999999999E-3</v>
      </c>
      <c r="P6747">
        <v>-0.98772570000000004</v>
      </c>
      <c r="Q6747">
        <v>0.1552579</v>
      </c>
      <c r="R6747">
        <v>1.7119680000000002E-2</v>
      </c>
      <c r="S6747">
        <v>-3.0321959999999999</v>
      </c>
      <c r="T6747">
        <v>4.8675539999999996E-3</v>
      </c>
      <c r="U6747">
        <v>0.24057010000000001</v>
      </c>
      <c r="V6747">
        <v>1.0434280000000001E-2</v>
      </c>
      <c r="W6747">
        <v>0.1671549</v>
      </c>
      <c r="X6747">
        <v>0.98587539999999996</v>
      </c>
      <c r="Y6747">
        <v>7.2207850000000004E-2</v>
      </c>
      <c r="Z6747">
        <v>4.725671E-4</v>
      </c>
      <c r="AA6747">
        <v>0.99738950000000004</v>
      </c>
      <c r="AB6747">
        <v>26</v>
      </c>
      <c r="AC6747">
        <v>-172.01089999999999</v>
      </c>
      <c r="AD6747">
        <v>0.27648200000000001</v>
      </c>
      <c r="AE6747">
        <v>13.664899999999999</v>
      </c>
      <c r="AF6747">
        <v>12.4771226821565</v>
      </c>
      <c r="AG6747">
        <v>0.27648200000000001</v>
      </c>
      <c r="AH6747">
        <v>172.10069069120701</v>
      </c>
      <c r="AI6747">
        <v>89.908194616070205</v>
      </c>
      <c r="AJ6747">
        <v>85.853369922920507</v>
      </c>
      <c r="AK6747">
        <v>172.552608699817</v>
      </c>
      <c r="AL6747">
        <v>80.377559769472398</v>
      </c>
      <c r="AM6747">
        <v>89.393617200350107</v>
      </c>
      <c r="AN6747">
        <v>0.99999996955914305</v>
      </c>
    </row>
    <row r="6748" spans="1:40" x14ac:dyDescent="0.25">
      <c r="A6748" t="str">
        <f>"20190303162047235"</f>
        <v>20190303162047235</v>
      </c>
      <c r="B6748" t="str">
        <f>"1551601247229079"</f>
        <v>1551601247229079</v>
      </c>
      <c r="C6748" t="s">
        <v>40</v>
      </c>
      <c r="D6748">
        <v>4.275817</v>
      </c>
      <c r="E6748">
        <v>0.52447690000000002</v>
      </c>
      <c r="F6748" t="s">
        <v>71</v>
      </c>
      <c r="G6748">
        <v>-511.92570000000001</v>
      </c>
      <c r="H6748">
        <v>1.480186</v>
      </c>
      <c r="I6748">
        <v>155.45269999999999</v>
      </c>
      <c r="J6748">
        <v>-340.17200000000003</v>
      </c>
      <c r="K6748">
        <v>1.1210560000000001</v>
      </c>
      <c r="L6748">
        <v>141.80500000000001</v>
      </c>
      <c r="M6748">
        <v>-0.99990029999999996</v>
      </c>
      <c r="N6748">
        <v>-1.2062969999999999E-2</v>
      </c>
      <c r="O6748">
        <v>7.3425890000000001E-3</v>
      </c>
      <c r="P6748">
        <v>-0.98765499999999995</v>
      </c>
      <c r="Q6748">
        <v>0.15570619999999999</v>
      </c>
      <c r="R6748">
        <v>1.713363E-2</v>
      </c>
      <c r="S6748">
        <v>-3.0321349999999998</v>
      </c>
      <c r="T6748">
        <v>6.3313249999999996E-3</v>
      </c>
      <c r="U6748">
        <v>0.24061579999999999</v>
      </c>
      <c r="V6748">
        <v>1.0014449999999999E-2</v>
      </c>
      <c r="W6748">
        <v>0.16760249999999999</v>
      </c>
      <c r="X6748">
        <v>0.98580380000000001</v>
      </c>
      <c r="Y6748">
        <v>7.1785799999999997E-2</v>
      </c>
      <c r="Z6748">
        <v>4.6258930000000001E-4</v>
      </c>
      <c r="AA6748">
        <v>0.99741999999999997</v>
      </c>
      <c r="AB6748">
        <v>26</v>
      </c>
      <c r="AC6748">
        <v>-171.75370000000001</v>
      </c>
      <c r="AD6748">
        <v>0.35912999999999901</v>
      </c>
      <c r="AE6748">
        <v>13.647699999999899</v>
      </c>
      <c r="AF6748">
        <v>12.386069659875201</v>
      </c>
      <c r="AG6748">
        <v>0.35912999999999901</v>
      </c>
      <c r="AH6748">
        <v>171.84853944775901</v>
      </c>
      <c r="AI6748">
        <v>89.8805729485412</v>
      </c>
      <c r="AJ6748">
        <v>85.877506712847307</v>
      </c>
      <c r="AK6748">
        <v>172.29470161994001</v>
      </c>
      <c r="AL6748">
        <v>80.351547600502798</v>
      </c>
      <c r="AM6748">
        <v>89.417971423490002</v>
      </c>
      <c r="AN6748">
        <v>1.0000000096547399</v>
      </c>
    </row>
    <row r="6749" spans="1:40" x14ac:dyDescent="0.25">
      <c r="A6749" t="str">
        <f>"20190303162047252"</f>
        <v>20190303162047252</v>
      </c>
      <c r="B6749" t="str">
        <f>"1551601247239815"</f>
        <v>1551601247239815</v>
      </c>
      <c r="C6749" t="s">
        <v>40</v>
      </c>
      <c r="D6749">
        <v>4.2588369999999998</v>
      </c>
      <c r="E6749">
        <v>0.52450959999999902</v>
      </c>
      <c r="F6749" t="s">
        <v>71</v>
      </c>
      <c r="G6749">
        <v>-511.92570000000001</v>
      </c>
      <c r="H6749">
        <v>1.571186</v>
      </c>
      <c r="I6749">
        <v>155.4616</v>
      </c>
      <c r="J6749">
        <v>-340.36610000000002</v>
      </c>
      <c r="K6749">
        <v>1.121057</v>
      </c>
      <c r="L6749">
        <v>141.80680000000001</v>
      </c>
      <c r="M6749">
        <v>-0.99989779999999995</v>
      </c>
      <c r="N6749">
        <v>-1.206285E-2</v>
      </c>
      <c r="O6749">
        <v>7.6747530000000003E-3</v>
      </c>
      <c r="P6749">
        <v>-0.98764260000000004</v>
      </c>
      <c r="Q6749">
        <v>0.15577650000000001</v>
      </c>
      <c r="R6749">
        <v>1.7200099999999899E-2</v>
      </c>
      <c r="S6749">
        <v>-3.0320740000000002</v>
      </c>
      <c r="T6749">
        <v>7.9472060000000001E-3</v>
      </c>
      <c r="U6749">
        <v>0.24108889999999999</v>
      </c>
      <c r="V6749">
        <v>9.7528389999999993E-3</v>
      </c>
      <c r="W6749">
        <v>0.1676725</v>
      </c>
      <c r="X6749">
        <v>0.98579450000000002</v>
      </c>
      <c r="Y6749">
        <v>7.1610889999999996E-2</v>
      </c>
      <c r="Z6749">
        <v>4.5143599999999999E-4</v>
      </c>
      <c r="AA6749">
        <v>0.99743250000000006</v>
      </c>
      <c r="AB6749">
        <v>26</v>
      </c>
      <c r="AC6749">
        <v>-171.55959999999999</v>
      </c>
      <c r="AD6749">
        <v>0.450129</v>
      </c>
      <c r="AE6749">
        <v>13.6547999999999</v>
      </c>
      <c r="AF6749">
        <v>12.337540046165801</v>
      </c>
      <c r="AG6749">
        <v>0.450129</v>
      </c>
      <c r="AH6749">
        <v>171.658177179923</v>
      </c>
      <c r="AI6749">
        <v>89.850143594345596</v>
      </c>
      <c r="AJ6749">
        <v>85.889065378287199</v>
      </c>
      <c r="AK6749">
        <v>172.10156101337699</v>
      </c>
      <c r="AL6749">
        <v>80.347479139671506</v>
      </c>
      <c r="AM6749">
        <v>89.433169608302606</v>
      </c>
      <c r="AN6749">
        <v>0.99999999067752898</v>
      </c>
    </row>
    <row r="6750" spans="1:40" x14ac:dyDescent="0.25">
      <c r="A6750" t="str">
        <f>"20190303162047266"</f>
        <v>20190303162047266</v>
      </c>
      <c r="B6750" t="str">
        <f>"1551601247259335"</f>
        <v>1551601247259335</v>
      </c>
      <c r="C6750" t="s">
        <v>40</v>
      </c>
      <c r="D6750">
        <v>4.2804019999999996</v>
      </c>
      <c r="E6750">
        <v>0.52459279999999997</v>
      </c>
      <c r="F6750" t="s">
        <v>71</v>
      </c>
      <c r="G6750">
        <v>-511.92570000000001</v>
      </c>
      <c r="H6750">
        <v>1.5944860000000001</v>
      </c>
      <c r="I6750">
        <v>155.48439999999999</v>
      </c>
      <c r="J6750">
        <v>-340.52820000000003</v>
      </c>
      <c r="K6750">
        <v>1.121054</v>
      </c>
      <c r="L6750">
        <v>141.8083</v>
      </c>
      <c r="M6750">
        <v>-0.99989570000000005</v>
      </c>
      <c r="N6750">
        <v>-1.206278E-2</v>
      </c>
      <c r="O6750">
        <v>7.9521430000000001E-3</v>
      </c>
      <c r="P6750">
        <v>-0.98759620000000004</v>
      </c>
      <c r="Q6750">
        <v>0.15605089999999999</v>
      </c>
      <c r="R6750">
        <v>1.737793E-2</v>
      </c>
      <c r="S6750">
        <v>-3.0320429999999998</v>
      </c>
      <c r="T6750">
        <v>8.3678959999999997E-3</v>
      </c>
      <c r="U6750">
        <v>0.24172969999999999</v>
      </c>
      <c r="V6750">
        <v>9.6572159999999997E-3</v>
      </c>
      <c r="W6750">
        <v>0.16794609999999999</v>
      </c>
      <c r="X6750">
        <v>0.98574890000000004</v>
      </c>
      <c r="Y6750">
        <v>7.1544570000000002E-2</v>
      </c>
      <c r="Z6750">
        <v>4.5133489999999999E-4</v>
      </c>
      <c r="AA6750">
        <v>0.99743729999999997</v>
      </c>
      <c r="AB6750">
        <v>26</v>
      </c>
      <c r="AC6750">
        <v>-171.39749999999901</v>
      </c>
      <c r="AD6750">
        <v>0.47343200000000002</v>
      </c>
      <c r="AE6750">
        <v>13.6760999999999</v>
      </c>
      <c r="AF6750">
        <v>12.3124976725618</v>
      </c>
      <c r="AG6750">
        <v>0.47343200000000002</v>
      </c>
      <c r="AH6750">
        <v>171.499541830011</v>
      </c>
      <c r="AI6750">
        <v>89.842238938065094</v>
      </c>
      <c r="AJ6750">
        <v>85.893599205309997</v>
      </c>
      <c r="AK6750">
        <v>171.94160225116801</v>
      </c>
      <c r="AL6750">
        <v>80.331577847035803</v>
      </c>
      <c r="AM6750">
        <v>89.438700852141096</v>
      </c>
      <c r="AN6750">
        <v>1.00000002408864</v>
      </c>
    </row>
    <row r="6751" spans="1:40" x14ac:dyDescent="0.25">
      <c r="A6751" t="str">
        <f>"20190303162047279"</f>
        <v>20190303162047279</v>
      </c>
      <c r="B6751" t="str">
        <f>"1551601247269095"</f>
        <v>1551601247269095</v>
      </c>
      <c r="C6751" t="s">
        <v>40</v>
      </c>
      <c r="D6751">
        <v>4.296011</v>
      </c>
      <c r="E6751">
        <v>0.52464319999999998</v>
      </c>
      <c r="F6751" t="s">
        <v>71</v>
      </c>
      <c r="G6751">
        <v>-511.92579999999998</v>
      </c>
      <c r="H6751">
        <v>1.6550560000000001</v>
      </c>
      <c r="I6751">
        <v>155.54079999999999</v>
      </c>
      <c r="J6751">
        <v>-340.68699999999899</v>
      </c>
      <c r="K6751">
        <v>1.1210610000000001</v>
      </c>
      <c r="L6751">
        <v>141.8099</v>
      </c>
      <c r="M6751">
        <v>-0.99989349999999999</v>
      </c>
      <c r="N6751">
        <v>-1.2062720000000001E-2</v>
      </c>
      <c r="O6751">
        <v>8.2238090000000003E-3</v>
      </c>
      <c r="P6751">
        <v>-0.98762139999999998</v>
      </c>
      <c r="Q6751">
        <v>0.1558872</v>
      </c>
      <c r="R6751">
        <v>1.7422299999999901E-2</v>
      </c>
      <c r="S6751">
        <v>-3.0319210000000001</v>
      </c>
      <c r="T6751">
        <v>9.4469789999999994E-3</v>
      </c>
      <c r="U6751">
        <v>0.24291989999999999</v>
      </c>
      <c r="V6751">
        <v>9.4329119999999999E-3</v>
      </c>
      <c r="W6751">
        <v>0.16778299999999999</v>
      </c>
      <c r="X6751">
        <v>0.98577879999999996</v>
      </c>
      <c r="Y6751">
        <v>7.1665950000000006E-2</v>
      </c>
      <c r="Z6751">
        <v>4.4611150000000002E-4</v>
      </c>
      <c r="AA6751">
        <v>0.9974286</v>
      </c>
      <c r="AB6751">
        <v>26</v>
      </c>
      <c r="AC6751">
        <v>-171.2388</v>
      </c>
      <c r="AD6751">
        <v>0.533995</v>
      </c>
      <c r="AE6751">
        <v>13.730899999999901</v>
      </c>
      <c r="AF6751">
        <v>12.321979002235199</v>
      </c>
      <c r="AG6751">
        <v>0.533995</v>
      </c>
      <c r="AH6751">
        <v>171.344281435547</v>
      </c>
      <c r="AI6751">
        <v>89.8218980341491</v>
      </c>
      <c r="AJ6751">
        <v>85.886736853207495</v>
      </c>
      <c r="AK6751">
        <v>171.78759878948</v>
      </c>
      <c r="AL6751">
        <v>80.341056858875305</v>
      </c>
      <c r="AM6751">
        <v>89.451753729151406</v>
      </c>
      <c r="AN6751">
        <v>0.99999997872361901</v>
      </c>
    </row>
    <row r="6752" spans="1:40" x14ac:dyDescent="0.25">
      <c r="A6752" t="str">
        <f>"20190303162047298"</f>
        <v>20190303162047298</v>
      </c>
      <c r="B6752" t="str">
        <f>"1551601247289592"</f>
        <v>1551601247289592</v>
      </c>
      <c r="C6752" t="s">
        <v>40</v>
      </c>
      <c r="D6752">
        <v>4.2769579999999996</v>
      </c>
      <c r="E6752">
        <v>0.52473970000000003</v>
      </c>
      <c r="F6752" t="s">
        <v>71</v>
      </c>
      <c r="G6752">
        <v>-511.92570000000001</v>
      </c>
      <c r="H6752">
        <v>1.643327</v>
      </c>
      <c r="I6752">
        <v>155.57749999999999</v>
      </c>
      <c r="J6752">
        <v>-340.89679999999998</v>
      </c>
      <c r="K6752">
        <v>1.121062</v>
      </c>
      <c r="L6752">
        <v>141.81209999999999</v>
      </c>
      <c r="M6752">
        <v>-0.99989059999999996</v>
      </c>
      <c r="N6752">
        <v>-1.2062649999999999E-2</v>
      </c>
      <c r="O6752">
        <v>8.5825569999999993E-3</v>
      </c>
      <c r="P6752">
        <v>-0.98761929999999998</v>
      </c>
      <c r="Q6752">
        <v>0.15584819999999999</v>
      </c>
      <c r="R6752">
        <v>1.7884560000000001E-2</v>
      </c>
      <c r="S6752">
        <v>-3.0318299999999998</v>
      </c>
      <c r="T6752">
        <v>9.2476610000000008E-3</v>
      </c>
      <c r="U6752">
        <v>0.24375920000000001</v>
      </c>
      <c r="V6752">
        <v>9.5407159999999994E-3</v>
      </c>
      <c r="W6752">
        <v>0.167744</v>
      </c>
      <c r="X6752">
        <v>0.98578440000000001</v>
      </c>
      <c r="Y6752">
        <v>7.1584839999999997E-2</v>
      </c>
      <c r="Z6752">
        <v>4.5296969999999997E-4</v>
      </c>
      <c r="AA6752">
        <v>0.99743440000000005</v>
      </c>
      <c r="AB6752">
        <v>26</v>
      </c>
      <c r="AC6752">
        <v>-171.02889999999999</v>
      </c>
      <c r="AD6752">
        <v>0.52226499999999998</v>
      </c>
      <c r="AE6752">
        <v>13.7654</v>
      </c>
      <c r="AF6752">
        <v>12.296807198828599</v>
      </c>
      <c r="AG6752">
        <v>0.52226499999999998</v>
      </c>
      <c r="AH6752">
        <v>171.13916527553101</v>
      </c>
      <c r="AI6752">
        <v>89.825600755711406</v>
      </c>
      <c r="AJ6752">
        <v>85.890207826888499</v>
      </c>
      <c r="AK6752">
        <v>171.581170642996</v>
      </c>
      <c r="AL6752">
        <v>80.343323522176604</v>
      </c>
      <c r="AM6752">
        <v>89.445491637542702</v>
      </c>
      <c r="AN6752">
        <v>0.99999997904057603</v>
      </c>
    </row>
    <row r="6753" spans="1:40" x14ac:dyDescent="0.25">
      <c r="A6753" t="str">
        <f>"20190303162047313"</f>
        <v>20190303162047313</v>
      </c>
      <c r="B6753" t="str">
        <f>"1551601247309112"</f>
        <v>1551601247309112</v>
      </c>
      <c r="C6753" t="s">
        <v>40</v>
      </c>
      <c r="D6753">
        <v>4.2476599999999998</v>
      </c>
      <c r="E6753">
        <v>0.52482620000000002</v>
      </c>
      <c r="F6753" t="s">
        <v>71</v>
      </c>
      <c r="G6753">
        <v>-511.92579999999998</v>
      </c>
      <c r="H6753">
        <v>1.6461650000000001</v>
      </c>
      <c r="I6753">
        <v>155.6823</v>
      </c>
      <c r="J6753">
        <v>-341.084</v>
      </c>
      <c r="K6753">
        <v>1.121065</v>
      </c>
      <c r="L6753">
        <v>141.81399999999999</v>
      </c>
      <c r="M6753">
        <v>-0.99988770000000005</v>
      </c>
      <c r="N6753">
        <v>-1.206044E-2</v>
      </c>
      <c r="O6753">
        <v>8.9022709999999998E-3</v>
      </c>
      <c r="P6753">
        <v>-0.98755380000000004</v>
      </c>
      <c r="Q6753">
        <v>0.156168</v>
      </c>
      <c r="R6753">
        <v>1.8683430000000001E-2</v>
      </c>
      <c r="S6753">
        <v>-3.0316770000000002</v>
      </c>
      <c r="T6753">
        <v>9.3088149999999998E-3</v>
      </c>
      <c r="U6753">
        <v>0.2458649</v>
      </c>
      <c r="V6753">
        <v>1.002423E-2</v>
      </c>
      <c r="W6753">
        <v>0.16806079999999901</v>
      </c>
      <c r="X6753">
        <v>0.98572559999999998</v>
      </c>
      <c r="Y6753">
        <v>7.1958270000000005E-2</v>
      </c>
      <c r="Z6753">
        <v>4.5884449999999998E-4</v>
      </c>
      <c r="AA6753">
        <v>0.99740759999999995</v>
      </c>
      <c r="AB6753">
        <v>26</v>
      </c>
      <c r="AC6753">
        <v>-170.84179999999901</v>
      </c>
      <c r="AD6753">
        <v>0.52510000000000001</v>
      </c>
      <c r="AE6753">
        <v>13.8683</v>
      </c>
      <c r="AF6753">
        <v>12.346643965385301</v>
      </c>
      <c r="AG6753">
        <v>0.52510000000000001</v>
      </c>
      <c r="AH6753">
        <v>170.95689311245999</v>
      </c>
      <c r="AI6753">
        <v>89.824471754119699</v>
      </c>
      <c r="AJ6753">
        <v>85.869224704768101</v>
      </c>
      <c r="AK6753">
        <v>171.40295986325</v>
      </c>
      <c r="AL6753">
        <v>80.324910425156901</v>
      </c>
      <c r="AM6753">
        <v>89.417356844402704</v>
      </c>
      <c r="AN6753">
        <v>0.99999993808954402</v>
      </c>
    </row>
    <row r="6754" spans="1:40" x14ac:dyDescent="0.25">
      <c r="A6754" t="str">
        <f>"20190303162047335"</f>
        <v>20190303162047335</v>
      </c>
      <c r="B6754" t="str">
        <f>"1551601247329607"</f>
        <v>1551601247329607</v>
      </c>
      <c r="C6754" t="s">
        <v>40</v>
      </c>
      <c r="D6754">
        <v>4.2460950000000004</v>
      </c>
      <c r="E6754">
        <v>0.52490199999999998</v>
      </c>
      <c r="F6754" t="s">
        <v>71</v>
      </c>
      <c r="G6754">
        <v>-511.92579999999998</v>
      </c>
      <c r="H6754">
        <v>1.715956</v>
      </c>
      <c r="I6754">
        <v>155.84719999999999</v>
      </c>
      <c r="J6754">
        <v>-341.33629999999999</v>
      </c>
      <c r="K6754">
        <v>1.1210610000000001</v>
      </c>
      <c r="L6754">
        <v>141.8168</v>
      </c>
      <c r="M6754">
        <v>-0.99988390000000005</v>
      </c>
      <c r="N6754">
        <v>-1.2053009999999999E-2</v>
      </c>
      <c r="O6754">
        <v>9.3322690000000007E-3</v>
      </c>
      <c r="P6754">
        <v>-0.98751540000000004</v>
      </c>
      <c r="Q6754">
        <v>0.15632079999999901</v>
      </c>
      <c r="R6754">
        <v>1.942603E-2</v>
      </c>
      <c r="S6754">
        <v>-3.0314640000000002</v>
      </c>
      <c r="T6754">
        <v>1.05567E-2</v>
      </c>
      <c r="U6754">
        <v>0.24900820000000001</v>
      </c>
      <c r="V6754">
        <v>1.0342199999999999E-2</v>
      </c>
      <c r="W6754">
        <v>0.16820560000000001</v>
      </c>
      <c r="X6754">
        <v>0.98569770000000001</v>
      </c>
      <c r="Y6754">
        <v>7.256253E-2</v>
      </c>
      <c r="Z6754">
        <v>4.5666149999999998E-4</v>
      </c>
      <c r="AA6754">
        <v>0.99736369999999996</v>
      </c>
      <c r="AB6754">
        <v>26</v>
      </c>
      <c r="AC6754">
        <v>-170.58949999999999</v>
      </c>
      <c r="AD6754">
        <v>0.59489499999999995</v>
      </c>
      <c r="AE6754">
        <v>14.030399999999901</v>
      </c>
      <c r="AF6754">
        <v>12.4375360865447</v>
      </c>
      <c r="AG6754">
        <v>0.59489499999999995</v>
      </c>
      <c r="AH6754">
        <v>170.71095320221301</v>
      </c>
      <c r="AI6754">
        <v>89.800863804262505</v>
      </c>
      <c r="AJ6754">
        <v>85.832947976126107</v>
      </c>
      <c r="AK6754">
        <v>171.16446987378399</v>
      </c>
      <c r="AL6754">
        <v>80.316494989073107</v>
      </c>
      <c r="AM6754">
        <v>89.398859642613402</v>
      </c>
      <c r="AN6754">
        <v>1.00000002037874</v>
      </c>
    </row>
    <row r="6755" spans="1:40" x14ac:dyDescent="0.25">
      <c r="A6755" t="str">
        <f>"20190303162047352"</f>
        <v>20190303162047352</v>
      </c>
      <c r="B6755" t="str">
        <f>"1551601247339368"</f>
        <v>1551601247339368</v>
      </c>
      <c r="C6755" t="s">
        <v>40</v>
      </c>
      <c r="D6755">
        <v>4.2249210000000001</v>
      </c>
      <c r="E6755">
        <v>0.52492430000000001</v>
      </c>
      <c r="F6755" t="s">
        <v>71</v>
      </c>
      <c r="G6755">
        <v>-511.92579999999998</v>
      </c>
      <c r="H6755">
        <v>1.749161</v>
      </c>
      <c r="I6755">
        <v>155.98650000000001</v>
      </c>
      <c r="J6755">
        <v>-341.52870000000001</v>
      </c>
      <c r="K6755">
        <v>1.1210599999999999</v>
      </c>
      <c r="L6755">
        <v>141.81899999999999</v>
      </c>
      <c r="M6755">
        <v>-0.99988080000000001</v>
      </c>
      <c r="N6755">
        <v>-1.204539E-2</v>
      </c>
      <c r="O6755">
        <v>9.6595740000000006E-3</v>
      </c>
      <c r="P6755">
        <v>-0.98755539999999997</v>
      </c>
      <c r="Q6755">
        <v>0.15598199999999901</v>
      </c>
      <c r="R6755">
        <v>2.009412E-2</v>
      </c>
      <c r="S6755">
        <v>-3.03125</v>
      </c>
      <c r="T6755">
        <v>1.116168E-2</v>
      </c>
      <c r="U6755">
        <v>0.25178529999999999</v>
      </c>
      <c r="V6755">
        <v>1.0685500000000001E-2</v>
      </c>
      <c r="W6755">
        <v>0.1678596</v>
      </c>
      <c r="X6755">
        <v>0.98575299999999999</v>
      </c>
      <c r="Y6755">
        <v>7.3149450000000005E-2</v>
      </c>
      <c r="Z6755">
        <v>4.5855519999999999E-4</v>
      </c>
      <c r="AA6755">
        <v>0.99732089999999995</v>
      </c>
      <c r="AB6755">
        <v>26</v>
      </c>
      <c r="AC6755">
        <v>-170.397099999999</v>
      </c>
      <c r="AD6755">
        <v>0.62810100000000002</v>
      </c>
      <c r="AE6755">
        <v>14.1675</v>
      </c>
      <c r="AF6755">
        <v>12.520587162314101</v>
      </c>
      <c r="AG6755">
        <v>0.62810100000000002</v>
      </c>
      <c r="AH6755">
        <v>170.52370989398699</v>
      </c>
      <c r="AI6755">
        <v>89.789526285146707</v>
      </c>
      <c r="AJ6755">
        <v>85.800632073008501</v>
      </c>
      <c r="AK6755">
        <v>170.98390348148001</v>
      </c>
      <c r="AL6755">
        <v>80.336605079772696</v>
      </c>
      <c r="AM6755">
        <v>89.378941708878003</v>
      </c>
      <c r="AN6755">
        <v>1.0000000011157</v>
      </c>
    </row>
    <row r="6756" spans="1:40" x14ac:dyDescent="0.25">
      <c r="A6756" t="str">
        <f>"20190303162047369"</f>
        <v>20190303162047369</v>
      </c>
      <c r="B6756" t="str">
        <f>"1551601247358888"</f>
        <v>1551601247358888</v>
      </c>
      <c r="C6756" t="s">
        <v>40</v>
      </c>
      <c r="D6756">
        <v>4.3586729999999996</v>
      </c>
      <c r="E6756">
        <v>0.52490939999999997</v>
      </c>
      <c r="F6756" t="s">
        <v>71</v>
      </c>
      <c r="G6756">
        <v>-511.92579999999998</v>
      </c>
      <c r="H6756">
        <v>1.6953119999999999</v>
      </c>
      <c r="I6756">
        <v>156.10589999999999</v>
      </c>
      <c r="J6756">
        <v>-341.72559999999999</v>
      </c>
      <c r="K6756">
        <v>1.121051</v>
      </c>
      <c r="L6756">
        <v>141.8212</v>
      </c>
      <c r="M6756">
        <v>-0.99987780000000004</v>
      </c>
      <c r="N6756">
        <v>-1.203748E-2</v>
      </c>
      <c r="O6756">
        <v>9.9954650000000003E-3</v>
      </c>
      <c r="P6756">
        <v>-0.98763529999999999</v>
      </c>
      <c r="Q6756">
        <v>0.1553706</v>
      </c>
      <c r="R6756">
        <v>2.0902899999999999E-2</v>
      </c>
      <c r="S6756">
        <v>-3.0310060000000001</v>
      </c>
      <c r="T6756">
        <v>1.0215520000000001E-2</v>
      </c>
      <c r="U6756">
        <v>0.2541351</v>
      </c>
      <c r="V6756">
        <v>1.1160990000000001E-2</v>
      </c>
      <c r="W6756">
        <v>0.167241</v>
      </c>
      <c r="X6756">
        <v>0.98585290000000003</v>
      </c>
      <c r="Y6756">
        <v>7.3588819999999999E-2</v>
      </c>
      <c r="Z6756">
        <v>4.7365990000000001E-4</v>
      </c>
      <c r="AA6756">
        <v>0.99728850000000002</v>
      </c>
      <c r="AB6756">
        <v>26</v>
      </c>
      <c r="AC6756">
        <v>-170.2002</v>
      </c>
      <c r="AD6756">
        <v>0.57426099999999902</v>
      </c>
      <c r="AE6756">
        <v>14.2846999999999</v>
      </c>
      <c r="AF6756">
        <v>12.582491004724901</v>
      </c>
      <c r="AG6756">
        <v>0.57426099999999902</v>
      </c>
      <c r="AH6756">
        <v>170.33256328147399</v>
      </c>
      <c r="AI6756">
        <v>89.807358021784395</v>
      </c>
      <c r="AJ6756">
        <v>85.775225937109695</v>
      </c>
      <c r="AK6756">
        <v>170.797631627659</v>
      </c>
      <c r="AL6756">
        <v>80.372556757232701</v>
      </c>
      <c r="AM6756">
        <v>89.351373512215702</v>
      </c>
      <c r="AN6756">
        <v>1.0000000301085901</v>
      </c>
    </row>
    <row r="6757" spans="1:40" x14ac:dyDescent="0.25">
      <c r="A6757" t="str">
        <f>"20190303162047392"</f>
        <v>20190303162047392</v>
      </c>
      <c r="B6757" t="str">
        <f>"1551601247379383"</f>
        <v>1551601247379383</v>
      </c>
      <c r="C6757" t="s">
        <v>40</v>
      </c>
      <c r="D6757">
        <v>4.3317610000000002</v>
      </c>
      <c r="E6757">
        <v>0.50085939999999995</v>
      </c>
      <c r="F6757" t="s">
        <v>71</v>
      </c>
      <c r="G6757">
        <v>-511.92570000000001</v>
      </c>
      <c r="H6757">
        <v>1.57338</v>
      </c>
      <c r="I6757">
        <v>156.2184</v>
      </c>
      <c r="J6757">
        <v>-341.9923</v>
      </c>
      <c r="K6757">
        <v>1.1210500000000001</v>
      </c>
      <c r="L6757">
        <v>141.8244</v>
      </c>
      <c r="M6757">
        <v>-0.99987320000000002</v>
      </c>
      <c r="N6757">
        <v>-1.202635E-2</v>
      </c>
      <c r="O6757">
        <v>1.0450050000000001E-2</v>
      </c>
      <c r="P6757">
        <v>-0.98759410000000003</v>
      </c>
      <c r="Q6757">
        <v>0.15555150000000001</v>
      </c>
      <c r="R6757">
        <v>2.1500600000000002E-2</v>
      </c>
      <c r="S6757">
        <v>-3.030853</v>
      </c>
      <c r="T6757">
        <v>8.0556869999999902E-3</v>
      </c>
      <c r="U6757">
        <v>0.2563782</v>
      </c>
      <c r="V6757">
        <v>1.1309990000000001E-2</v>
      </c>
      <c r="W6757">
        <v>0.1674107</v>
      </c>
      <c r="X6757">
        <v>0.98582239999999999</v>
      </c>
      <c r="Y6757">
        <v>7.3872240000000006E-2</v>
      </c>
      <c r="Z6757">
        <v>5.0020739999999896E-4</v>
      </c>
      <c r="AA6757">
        <v>0.99726760000000003</v>
      </c>
      <c r="AB6757">
        <v>26</v>
      </c>
      <c r="AC6757">
        <v>-169.93340000000001</v>
      </c>
      <c r="AD6757">
        <v>0.45232999999999901</v>
      </c>
      <c r="AE6757">
        <v>14.394</v>
      </c>
      <c r="AF6757">
        <v>12.617184431639799</v>
      </c>
      <c r="AG6757">
        <v>0.45232999999999901</v>
      </c>
      <c r="AH6757">
        <v>170.07335219850901</v>
      </c>
      <c r="AI6757">
        <v>89.848033134853196</v>
      </c>
      <c r="AJ6757">
        <v>85.757186247146393</v>
      </c>
      <c r="AK6757">
        <v>170.541323653386</v>
      </c>
      <c r="AL6757">
        <v>80.362694635942006</v>
      </c>
      <c r="AM6757">
        <v>89.342694724043795</v>
      </c>
      <c r="AN6757">
        <v>1.0000000313450199</v>
      </c>
    </row>
    <row r="6758" spans="1:40" x14ac:dyDescent="0.25">
      <c r="A6758" t="str">
        <f>"20190303162047415"</f>
        <v>20190303162047415</v>
      </c>
      <c r="B6758" t="str">
        <f>"1551601247409640"</f>
        <v>1551601247409640</v>
      </c>
      <c r="C6758" t="s">
        <v>40</v>
      </c>
      <c r="D6758">
        <v>4.3265799999999999</v>
      </c>
      <c r="E6758">
        <v>0.49672810000000001</v>
      </c>
      <c r="F6758" t="s">
        <v>62</v>
      </c>
      <c r="G6758">
        <v>-496.74149999999997</v>
      </c>
      <c r="H6758" s="1">
        <v>-7.956716E-6</v>
      </c>
      <c r="I6758">
        <v>145.19040000000001</v>
      </c>
      <c r="J6758">
        <v>-342.25369999999998</v>
      </c>
      <c r="K6758">
        <v>1.1210549999999999</v>
      </c>
      <c r="L6758">
        <v>141.82769999999999</v>
      </c>
      <c r="M6758">
        <v>-0.9998686</v>
      </c>
      <c r="N6758">
        <v>-1.201052E-2</v>
      </c>
      <c r="O6758">
        <v>1.089364E-2</v>
      </c>
      <c r="P6758">
        <v>-0.98752790000000001</v>
      </c>
      <c r="Q6758">
        <v>0.15589539999999999</v>
      </c>
      <c r="R6758">
        <v>2.2028019999999999E-2</v>
      </c>
      <c r="S6758">
        <v>-3.0397029999999998</v>
      </c>
      <c r="T6758">
        <v>-2.2020700000000001E-2</v>
      </c>
      <c r="U6758">
        <v>6.6116330000000001E-2</v>
      </c>
      <c r="V6758">
        <v>1.14E-2</v>
      </c>
      <c r="W6758">
        <v>0.16773829999999901</v>
      </c>
      <c r="X6758">
        <v>0.98576560000000002</v>
      </c>
      <c r="Y6758">
        <v>1.085201E-2</v>
      </c>
      <c r="Z6758">
        <v>1.5641510000000001E-4</v>
      </c>
      <c r="AA6758">
        <v>0.99994110000000003</v>
      </c>
      <c r="AB6758">
        <v>26</v>
      </c>
      <c r="AC6758">
        <v>-154.48779999999999</v>
      </c>
      <c r="AD6758">
        <v>-1.121062956716</v>
      </c>
      <c r="AE6758">
        <v>3.36270000000001</v>
      </c>
      <c r="AF6758">
        <v>1.6793562903569501</v>
      </c>
      <c r="AG6758">
        <v>-1.121062956716</v>
      </c>
      <c r="AH6758">
        <v>154.50713412884301</v>
      </c>
      <c r="AI6758">
        <v>90.415691195215501</v>
      </c>
      <c r="AJ6758">
        <v>89.377269926884495</v>
      </c>
      <c r="AK6758">
        <v>154.52032719487499</v>
      </c>
      <c r="AL6758">
        <v>80.343654594108202</v>
      </c>
      <c r="AM6758">
        <v>89.337425884701901</v>
      </c>
      <c r="AN6758">
        <v>0.99999995771512395</v>
      </c>
    </row>
    <row r="6759" spans="1:40" x14ac:dyDescent="0.25">
      <c r="A6759" t="str">
        <f>"20190303162047436"</f>
        <v>20190303162047436</v>
      </c>
      <c r="B6759" t="str">
        <f>"1551601247429160"</f>
        <v>1551601247429160</v>
      </c>
      <c r="C6759" t="s">
        <v>40</v>
      </c>
      <c r="D6759">
        <v>4.350962</v>
      </c>
      <c r="E6759">
        <v>0.49609110000000001</v>
      </c>
      <c r="F6759" t="s">
        <v>62</v>
      </c>
      <c r="G6759">
        <v>-499.95780000000002</v>
      </c>
      <c r="H6759">
        <v>4.596256E-2</v>
      </c>
      <c r="I6759">
        <v>143.64570000000001</v>
      </c>
      <c r="J6759">
        <v>-342.51029999999997</v>
      </c>
      <c r="K6759">
        <v>1.1210519999999999</v>
      </c>
      <c r="L6759">
        <v>141.83090000000001</v>
      </c>
      <c r="M6759">
        <v>-0.99986399999999998</v>
      </c>
      <c r="N6759">
        <v>-1.199242E-2</v>
      </c>
      <c r="O6759">
        <v>1.1327759999999999E-2</v>
      </c>
      <c r="P6759">
        <v>-0.98750329999999997</v>
      </c>
      <c r="Q6759">
        <v>0.15599969999999999</v>
      </c>
      <c r="R6759">
        <v>2.2396909999999999E-2</v>
      </c>
      <c r="S6759">
        <v>-3.040375</v>
      </c>
      <c r="T6759">
        <v>-2.0726680000000001E-2</v>
      </c>
      <c r="U6759">
        <v>3.5049440000000001E-2</v>
      </c>
      <c r="V6759">
        <v>1.134041E-2</v>
      </c>
      <c r="W6759">
        <v>0.16782439999999901</v>
      </c>
      <c r="X6759">
        <v>0.98575170000000001</v>
      </c>
      <c r="Y6759">
        <v>1.988072E-4</v>
      </c>
      <c r="Z6759" s="1">
        <v>6.0506040000000003E-5</v>
      </c>
      <c r="AA6759">
        <v>1</v>
      </c>
      <c r="AB6759">
        <v>26</v>
      </c>
      <c r="AC6759">
        <v>-157.44749999999999</v>
      </c>
      <c r="AD6759">
        <v>-1.07508944</v>
      </c>
      <c r="AE6759">
        <v>1.81479999999999</v>
      </c>
      <c r="AF6759">
        <v>3.10264770545161E-2</v>
      </c>
      <c r="AG6759">
        <v>-1.07508944</v>
      </c>
      <c r="AH6759">
        <v>157.45061549475599</v>
      </c>
      <c r="AI6759">
        <v>90.391215549408699</v>
      </c>
      <c r="AJ6759">
        <v>89.988709563568307</v>
      </c>
      <c r="AK6759">
        <v>157.45428892101901</v>
      </c>
      <c r="AL6759">
        <v>80.338651137720007</v>
      </c>
      <c r="AM6759">
        <v>89.340879687874306</v>
      </c>
      <c r="AN6759">
        <v>1.0000000240936</v>
      </c>
    </row>
    <row r="6760" spans="1:40" x14ac:dyDescent="0.25">
      <c r="A6760" t="str">
        <f>"20190303162047454"</f>
        <v>20190303162047454</v>
      </c>
      <c r="B6760" t="str">
        <f>"1551601247449656"</f>
        <v>1551601247449656</v>
      </c>
      <c r="C6760" t="s">
        <v>40</v>
      </c>
      <c r="D6760">
        <v>4.314959</v>
      </c>
      <c r="E6760">
        <v>0.4960502</v>
      </c>
      <c r="F6760" t="s">
        <v>62</v>
      </c>
      <c r="G6760">
        <v>-499.95780000000002</v>
      </c>
      <c r="H6760">
        <v>4.4793989999999999E-2</v>
      </c>
      <c r="I6760">
        <v>143.44130000000001</v>
      </c>
      <c r="J6760">
        <v>-342.71460000000002</v>
      </c>
      <c r="K6760">
        <v>1.121051</v>
      </c>
      <c r="L6760">
        <v>141.83369999999999</v>
      </c>
      <c r="M6760">
        <v>-0.99986019999999998</v>
      </c>
      <c r="N6760">
        <v>-1.1978559999999999E-2</v>
      </c>
      <c r="O6760">
        <v>1.167408E-2</v>
      </c>
      <c r="P6760">
        <v>-0.98747560000000001</v>
      </c>
      <c r="Q6760">
        <v>0.1560761</v>
      </c>
      <c r="R6760">
        <v>2.3078390000000001E-2</v>
      </c>
      <c r="S6760">
        <v>-3.040527</v>
      </c>
      <c r="T6760">
        <v>-2.078402E-2</v>
      </c>
      <c r="U6760">
        <v>3.1097409999999999E-2</v>
      </c>
      <c r="V6760">
        <v>1.1680039999999999E-2</v>
      </c>
      <c r="W6760">
        <v>0.16788689999999901</v>
      </c>
      <c r="X6760">
        <v>0.98573710000000003</v>
      </c>
      <c r="Y6760">
        <v>-1.44765E-3</v>
      </c>
      <c r="Z6760" s="1">
        <v>4.6432350000000003E-5</v>
      </c>
      <c r="AA6760">
        <v>0.99999890000000002</v>
      </c>
      <c r="AB6760">
        <v>26</v>
      </c>
      <c r="AC6760">
        <v>-157.2432</v>
      </c>
      <c r="AD6760">
        <v>-1.07625701</v>
      </c>
      <c r="AE6760">
        <v>1.6076000000000099</v>
      </c>
      <c r="AF6760">
        <v>-0.22830010315357199</v>
      </c>
      <c r="AG6760">
        <v>-1.07625701</v>
      </c>
      <c r="AH6760">
        <v>157.243886073601</v>
      </c>
      <c r="AI6760">
        <v>90.392154874663703</v>
      </c>
      <c r="AJ6760">
        <v>90.083186847568697</v>
      </c>
      <c r="AK6760">
        <v>157.24773498405699</v>
      </c>
      <c r="AL6760">
        <v>80.335018693061002</v>
      </c>
      <c r="AM6760">
        <v>89.321131689297601</v>
      </c>
      <c r="AN6760">
        <v>1.0000000324212099</v>
      </c>
    </row>
    <row r="6761" spans="1:40" x14ac:dyDescent="0.25">
      <c r="A6761" t="str">
        <f>"20190303162047467"</f>
        <v>20190303162047467</v>
      </c>
      <c r="B6761" t="str">
        <f>"1551601247459416"</f>
        <v>1551601247459416</v>
      </c>
      <c r="C6761" t="s">
        <v>40</v>
      </c>
      <c r="D6761">
        <v>4.3073899999999998</v>
      </c>
      <c r="E6761">
        <v>0.4960369</v>
      </c>
      <c r="F6761" t="s">
        <v>62</v>
      </c>
      <c r="G6761">
        <v>-499.95780000000002</v>
      </c>
      <c r="H6761">
        <v>2.2131439999999998E-3</v>
      </c>
      <c r="I6761">
        <v>143.52699999999999</v>
      </c>
      <c r="J6761">
        <v>-342.8664</v>
      </c>
      <c r="K6761">
        <v>1.1210500000000001</v>
      </c>
      <c r="L6761">
        <v>141.8357</v>
      </c>
      <c r="M6761">
        <v>-0.99985729999999995</v>
      </c>
      <c r="N6761">
        <v>-1.1968899999999999E-2</v>
      </c>
      <c r="O6761">
        <v>1.193138E-2</v>
      </c>
      <c r="P6761">
        <v>-0.98742479999999999</v>
      </c>
      <c r="Q6761">
        <v>0.15633810000000001</v>
      </c>
      <c r="R6761">
        <v>2.3469980000000001E-2</v>
      </c>
      <c r="S6761">
        <v>-3.0407410000000001</v>
      </c>
      <c r="T6761">
        <v>-2.1635890000000001E-2</v>
      </c>
      <c r="U6761">
        <v>3.2745360000000001E-2</v>
      </c>
      <c r="V6761">
        <v>1.181812E-2</v>
      </c>
      <c r="W6761">
        <v>0.16813839999999999</v>
      </c>
      <c r="X6761">
        <v>0.98569260000000003</v>
      </c>
      <c r="Y6761">
        <v>-1.163833E-3</v>
      </c>
      <c r="Z6761" s="1">
        <v>4.6817149999999999E-5</v>
      </c>
      <c r="AA6761">
        <v>0.99999930000000004</v>
      </c>
      <c r="AB6761">
        <v>26</v>
      </c>
      <c r="AC6761">
        <v>-157.09139999999999</v>
      </c>
      <c r="AD6761">
        <v>-1.1188368559999999</v>
      </c>
      <c r="AE6761">
        <v>1.69130000000001</v>
      </c>
      <c r="AF6761">
        <v>-0.18326234798393301</v>
      </c>
      <c r="AG6761">
        <v>-1.1188368559999999</v>
      </c>
      <c r="AH6761">
        <v>157.092429681385</v>
      </c>
      <c r="AI6761">
        <v>90.408062326440003</v>
      </c>
      <c r="AJ6761">
        <v>90.066840613141594</v>
      </c>
      <c r="AK6761">
        <v>157.09652078960701</v>
      </c>
      <c r="AL6761">
        <v>80.320401141110807</v>
      </c>
      <c r="AM6761">
        <v>89.313075948426999</v>
      </c>
      <c r="AN6761">
        <v>1.0000000456048199</v>
      </c>
    </row>
    <row r="6762" spans="1:40" x14ac:dyDescent="0.25">
      <c r="A6762" t="str">
        <f>"20190303162047480"</f>
        <v>20190303162047480</v>
      </c>
      <c r="B6762" t="str">
        <f>"1551601247469176"</f>
        <v>1551601247469176</v>
      </c>
      <c r="C6762" t="s">
        <v>40</v>
      </c>
      <c r="D6762">
        <v>4.3302370000000003</v>
      </c>
      <c r="E6762">
        <v>0.49576480000000001</v>
      </c>
      <c r="F6762" t="s">
        <v>62</v>
      </c>
      <c r="G6762">
        <v>-504.779</v>
      </c>
      <c r="H6762">
        <v>7.9987390000000005E-2</v>
      </c>
      <c r="I6762">
        <v>143.63229999999999</v>
      </c>
      <c r="J6762">
        <v>-343.02749999999997</v>
      </c>
      <c r="K6762">
        <v>1.1210469999999999</v>
      </c>
      <c r="L6762">
        <v>141.83789999999999</v>
      </c>
      <c r="M6762">
        <v>-0.99985400000000002</v>
      </c>
      <c r="N6762">
        <v>-1.195937E-2</v>
      </c>
      <c r="O6762">
        <v>1.220507E-2</v>
      </c>
      <c r="P6762">
        <v>-0.98736630000000003</v>
      </c>
      <c r="Q6762">
        <v>0.1565513</v>
      </c>
      <c r="R6762">
        <v>2.448649E-2</v>
      </c>
      <c r="S6762">
        <v>-3.0404969999999998</v>
      </c>
      <c r="T6762">
        <v>-1.9549730000000001E-2</v>
      </c>
      <c r="U6762">
        <v>3.3737179999999999E-2</v>
      </c>
      <c r="V6762">
        <v>1.2565369999999999E-2</v>
      </c>
      <c r="W6762">
        <v>0.16834099999999999</v>
      </c>
      <c r="X6762">
        <v>0.98564879999999999</v>
      </c>
      <c r="Y6762">
        <v>-1.110506E-3</v>
      </c>
      <c r="Z6762" s="1">
        <v>5.7291089999999997E-5</v>
      </c>
      <c r="AA6762">
        <v>0.99999939999999998</v>
      </c>
      <c r="AB6762">
        <v>26</v>
      </c>
      <c r="AC6762">
        <v>-161.75149999999999</v>
      </c>
      <c r="AD6762">
        <v>-1.04105960999999</v>
      </c>
      <c r="AE6762">
        <v>1.79439999999999</v>
      </c>
      <c r="AF6762">
        <v>-0.18005578107668099</v>
      </c>
      <c r="AG6762">
        <v>-1.04105960999999</v>
      </c>
      <c r="AH6762">
        <v>161.75465287887599</v>
      </c>
      <c r="AI6762">
        <v>90.368752677488004</v>
      </c>
      <c r="AJ6762">
        <v>90.063778270906198</v>
      </c>
      <c r="AK6762">
        <v>161.758103207109</v>
      </c>
      <c r="AL6762">
        <v>80.308625390945195</v>
      </c>
      <c r="AM6762">
        <v>89.269614419266901</v>
      </c>
      <c r="AN6762">
        <v>1.0000000688728301</v>
      </c>
    </row>
    <row r="6763" spans="1:40" x14ac:dyDescent="0.25">
      <c r="A6763" t="str">
        <f>"20190303162047503"</f>
        <v>20190303162047503</v>
      </c>
      <c r="B6763" t="str">
        <f>"1551601247489672"</f>
        <v>1551601247489672</v>
      </c>
      <c r="C6763" t="s">
        <v>40</v>
      </c>
      <c r="D6763">
        <v>4.321949</v>
      </c>
      <c r="E6763">
        <v>0.495392</v>
      </c>
      <c r="F6763" t="s">
        <v>62</v>
      </c>
      <c r="G6763">
        <v>-502.13420000000002</v>
      </c>
      <c r="H6763">
        <v>7.9987269999999999E-2</v>
      </c>
      <c r="I6763">
        <v>143.61680000000001</v>
      </c>
      <c r="J6763">
        <v>-343.2867</v>
      </c>
      <c r="K6763">
        <v>1.121043</v>
      </c>
      <c r="L6763">
        <v>141.8416</v>
      </c>
      <c r="M6763">
        <v>-0.99984870000000003</v>
      </c>
      <c r="N6763">
        <v>-1.1944949999999999E-2</v>
      </c>
      <c r="O6763">
        <v>1.2644910000000001E-2</v>
      </c>
      <c r="P6763">
        <v>-0.98732399999999998</v>
      </c>
      <c r="Q6763">
        <v>0.1566176</v>
      </c>
      <c r="R6763">
        <v>2.5732729999999999E-2</v>
      </c>
      <c r="S6763">
        <v>-3.0407410000000001</v>
      </c>
      <c r="T6763">
        <v>-1.9896029999999999E-2</v>
      </c>
      <c r="U6763">
        <v>3.3996579999999998E-2</v>
      </c>
      <c r="V6763">
        <v>1.337795E-2</v>
      </c>
      <c r="W6763">
        <v>0.16839270000000001</v>
      </c>
      <c r="X6763">
        <v>0.98562919999999998</v>
      </c>
      <c r="Y6763">
        <v>-1.4659829999999999E-3</v>
      </c>
      <c r="Z6763" s="1">
        <v>5.4767240000000003E-5</v>
      </c>
      <c r="AA6763">
        <v>0.99999890000000002</v>
      </c>
      <c r="AB6763">
        <v>26</v>
      </c>
      <c r="AC6763">
        <v>-158.8475</v>
      </c>
      <c r="AD6763">
        <v>-1.0410557300000001</v>
      </c>
      <c r="AE6763">
        <v>1.7752000000000101</v>
      </c>
      <c r="AF6763">
        <v>-0.23368756577653399</v>
      </c>
      <c r="AG6763">
        <v>-1.0410557300000001</v>
      </c>
      <c r="AH6763">
        <v>158.850425013517</v>
      </c>
      <c r="AI6763">
        <v>90.375492738305198</v>
      </c>
      <c r="AJ6763">
        <v>90.084288736297495</v>
      </c>
      <c r="AK6763">
        <v>158.85400823991299</v>
      </c>
      <c r="AL6763">
        <v>80.305619580998794</v>
      </c>
      <c r="AM6763">
        <v>89.222371852545095</v>
      </c>
      <c r="AN6763">
        <v>0.99999999542606599</v>
      </c>
    </row>
    <row r="6764" spans="1:40" x14ac:dyDescent="0.25">
      <c r="A6764" t="str">
        <f>"20190303162047520"</f>
        <v>20190303162047520</v>
      </c>
      <c r="B6764" t="str">
        <f>"1551601247509192"</f>
        <v>1551601247509192</v>
      </c>
      <c r="C6764" t="s">
        <v>40</v>
      </c>
      <c r="D6764">
        <v>4.2976799999999997</v>
      </c>
      <c r="E6764">
        <v>0.49516660000000001</v>
      </c>
      <c r="F6764" t="s">
        <v>62</v>
      </c>
      <c r="G6764">
        <v>-499.95780000000002</v>
      </c>
      <c r="H6764">
        <v>4.4831589999999998E-2</v>
      </c>
      <c r="I6764">
        <v>143.6489</v>
      </c>
      <c r="J6764">
        <v>-343.48140000000001</v>
      </c>
      <c r="K6764">
        <v>1.1210420000000001</v>
      </c>
      <c r="L6764">
        <v>141.84450000000001</v>
      </c>
      <c r="M6764">
        <v>-0.99984470000000003</v>
      </c>
      <c r="N6764">
        <v>-1.1934810000000001E-2</v>
      </c>
      <c r="O6764">
        <v>1.297476E-2</v>
      </c>
      <c r="P6764">
        <v>-0.98728110000000002</v>
      </c>
      <c r="Q6764">
        <v>0.15675149999999999</v>
      </c>
      <c r="R6764">
        <v>2.6560230000000001E-2</v>
      </c>
      <c r="S6764">
        <v>-3.0409549999999999</v>
      </c>
      <c r="T6764">
        <v>-2.0889040000000001E-2</v>
      </c>
      <c r="U6764">
        <v>3.507996E-2</v>
      </c>
      <c r="V6764">
        <v>1.3880490000000001E-2</v>
      </c>
      <c r="W6764">
        <v>0.16851540000000001</v>
      </c>
      <c r="X6764">
        <v>0.98560130000000001</v>
      </c>
      <c r="Y6764">
        <v>-1.4404589999999901E-3</v>
      </c>
      <c r="Z6764" s="1">
        <v>5.21961E-5</v>
      </c>
      <c r="AA6764">
        <v>0.99999899999999997</v>
      </c>
      <c r="AB6764">
        <v>26</v>
      </c>
      <c r="AC6764">
        <v>-156.47640000000001</v>
      </c>
      <c r="AD6764">
        <v>-1.0762104100000001</v>
      </c>
      <c r="AE6764">
        <v>1.80439999999998</v>
      </c>
      <c r="AF6764">
        <v>-0.22612934630154599</v>
      </c>
      <c r="AG6764">
        <v>-1.0762104100000001</v>
      </c>
      <c r="AH6764">
        <v>156.47923884170501</v>
      </c>
      <c r="AI6764">
        <v>90.394054049654997</v>
      </c>
      <c r="AJ6764">
        <v>90.082798512083997</v>
      </c>
      <c r="AK6764">
        <v>156.483103087225</v>
      </c>
      <c r="AL6764">
        <v>80.298487662076596</v>
      </c>
      <c r="AM6764">
        <v>89.193141362821606</v>
      </c>
      <c r="AN6764">
        <v>1.00000001530074</v>
      </c>
    </row>
    <row r="6765" spans="1:40" x14ac:dyDescent="0.25">
      <c r="A6765" t="str">
        <f>"20190303162047536"</f>
        <v>20190303162047536</v>
      </c>
      <c r="B6765" t="str">
        <f>"1551601247529687"</f>
        <v>1551601247529687</v>
      </c>
      <c r="C6765" t="s">
        <v>40</v>
      </c>
      <c r="D6765">
        <v>4.3171369999999998</v>
      </c>
      <c r="E6765">
        <v>0.49497790000000003</v>
      </c>
      <c r="F6765" t="s">
        <v>62</v>
      </c>
      <c r="G6765">
        <v>-499.95780000000002</v>
      </c>
      <c r="H6765">
        <v>1.408152E-2</v>
      </c>
      <c r="I6765">
        <v>143.67689999999999</v>
      </c>
      <c r="J6765">
        <v>-343.67020000000002</v>
      </c>
      <c r="K6765">
        <v>1.1210450000000001</v>
      </c>
      <c r="L6765">
        <v>141.84729999999999</v>
      </c>
      <c r="M6765">
        <v>-0.99984050000000002</v>
      </c>
      <c r="N6765">
        <v>-1.192564E-2</v>
      </c>
      <c r="O6765">
        <v>1.3295059999999999E-2</v>
      </c>
      <c r="P6765">
        <v>-0.98727540000000003</v>
      </c>
      <c r="Q6765">
        <v>0.15656700000000001</v>
      </c>
      <c r="R6765">
        <v>2.7823090000000002E-2</v>
      </c>
      <c r="S6765">
        <v>-3.0411069999999998</v>
      </c>
      <c r="T6765">
        <v>-2.15137E-2</v>
      </c>
      <c r="U6765">
        <v>3.5614010000000001E-2</v>
      </c>
      <c r="V6765">
        <v>1.4827069999999999E-2</v>
      </c>
      <c r="W6765">
        <v>0.16832169999999999</v>
      </c>
      <c r="X6765">
        <v>0.98562059999999996</v>
      </c>
      <c r="Y6765">
        <v>-1.5857989999999999E-3</v>
      </c>
      <c r="Z6765" s="1">
        <v>4.9449620000000003E-5</v>
      </c>
      <c r="AA6765">
        <v>0.99999870000000002</v>
      </c>
      <c r="AB6765">
        <v>26</v>
      </c>
      <c r="AC6765">
        <v>-156.2876</v>
      </c>
      <c r="AD6765">
        <v>-1.1069634800000001</v>
      </c>
      <c r="AE6765">
        <v>1.8295999999999899</v>
      </c>
      <c r="AF6765">
        <v>-0.24855004857548299</v>
      </c>
      <c r="AG6765">
        <v>-1.1069634800000001</v>
      </c>
      <c r="AH6765">
        <v>156.29027167703799</v>
      </c>
      <c r="AI6765">
        <v>90.405803855010504</v>
      </c>
      <c r="AJ6765">
        <v>90.091117998726901</v>
      </c>
      <c r="AK6765">
        <v>156.294389426348</v>
      </c>
      <c r="AL6765">
        <v>80.309746552156597</v>
      </c>
      <c r="AM6765">
        <v>89.138142548455804</v>
      </c>
      <c r="AN6765">
        <v>1.0000000019200099</v>
      </c>
    </row>
    <row r="6766" spans="1:40" x14ac:dyDescent="0.25">
      <c r="A6766" t="str">
        <f>"20190303162047558"</f>
        <v>20190303162047558</v>
      </c>
      <c r="B6766" t="str">
        <f>"1551601247549208"</f>
        <v>1551601247549208</v>
      </c>
      <c r="C6766" t="s">
        <v>40</v>
      </c>
      <c r="D6766">
        <v>4.3007849999999896</v>
      </c>
      <c r="E6766">
        <v>0.49479459999999997</v>
      </c>
      <c r="F6766" t="s">
        <v>62</v>
      </c>
      <c r="G6766">
        <v>-497.81580000000002</v>
      </c>
      <c r="H6766" s="1">
        <v>-8.6763319999999995E-6</v>
      </c>
      <c r="I6766">
        <v>143.75989999999999</v>
      </c>
      <c r="J6766">
        <v>-343.9341</v>
      </c>
      <c r="K6766">
        <v>1.1210389999999999</v>
      </c>
      <c r="L6766">
        <v>141.85130000000001</v>
      </c>
      <c r="M6766">
        <v>-0.99983460000000002</v>
      </c>
      <c r="N6766">
        <v>-1.1913959999999999E-2</v>
      </c>
      <c r="O6766">
        <v>1.3741669999999999E-2</v>
      </c>
      <c r="P6766">
        <v>-0.98733029999999999</v>
      </c>
      <c r="Q6766">
        <v>0.15594939999999999</v>
      </c>
      <c r="R6766">
        <v>2.9304960000000001E-2</v>
      </c>
      <c r="S6766">
        <v>-3.0411380000000001</v>
      </c>
      <c r="T6766">
        <v>-2.211726E-2</v>
      </c>
      <c r="U6766">
        <v>3.7734990000000003E-2</v>
      </c>
      <c r="V6766">
        <v>1.5866410000000001E-2</v>
      </c>
      <c r="W6766">
        <v>0.167692799999999</v>
      </c>
      <c r="X6766">
        <v>0.98571160000000002</v>
      </c>
      <c r="Y6766">
        <v>-1.335291E-3</v>
      </c>
      <c r="Z6766" s="1">
        <v>5.0986229999999999E-5</v>
      </c>
      <c r="AA6766">
        <v>0.99999910000000003</v>
      </c>
      <c r="AB6766">
        <v>26</v>
      </c>
      <c r="AC6766">
        <v>-153.8817</v>
      </c>
      <c r="AD6766">
        <v>-1.1210476763320001</v>
      </c>
      <c r="AE6766">
        <v>1.9085999999999701</v>
      </c>
      <c r="AF6766">
        <v>-0.206310918103882</v>
      </c>
      <c r="AG6766">
        <v>-1.1210476763320001</v>
      </c>
      <c r="AH6766">
        <v>153.88523154910999</v>
      </c>
      <c r="AI6766">
        <v>90.417389673386893</v>
      </c>
      <c r="AJ6766">
        <v>90.076815284179801</v>
      </c>
      <c r="AK6766">
        <v>153.88945318315601</v>
      </c>
      <c r="AL6766">
        <v>80.346299306851094</v>
      </c>
      <c r="AM6766">
        <v>89.0778237479052</v>
      </c>
      <c r="AN6766">
        <v>0.99999998825634395</v>
      </c>
    </row>
    <row r="6767" spans="1:40" x14ac:dyDescent="0.25">
      <c r="A6767" t="str">
        <f>"20190303162047575"</f>
        <v>20190303162047575</v>
      </c>
      <c r="B6767" t="str">
        <f>"1551601247568727"</f>
        <v>1551601247568727</v>
      </c>
      <c r="C6767" t="s">
        <v>40</v>
      </c>
      <c r="D6767">
        <v>4.3404870000000004</v>
      </c>
      <c r="E6767">
        <v>0.49496240000000002</v>
      </c>
      <c r="F6767" t="s">
        <v>62</v>
      </c>
      <c r="G6767">
        <v>-482.09739999999999</v>
      </c>
      <c r="H6767" s="1">
        <v>-9.4250509999999999E-6</v>
      </c>
      <c r="I6767">
        <v>143.6703</v>
      </c>
      <c r="J6767">
        <v>-344.12450000000001</v>
      </c>
      <c r="K6767">
        <v>1.1210340000000001</v>
      </c>
      <c r="L6767">
        <v>141.85429999999999</v>
      </c>
      <c r="M6767">
        <v>-0.99983029999999995</v>
      </c>
      <c r="N6767">
        <v>-1.1906430000000001E-2</v>
      </c>
      <c r="O6767">
        <v>1.406224E-2</v>
      </c>
      <c r="P6767">
        <v>-0.98737900000000001</v>
      </c>
      <c r="Q6767">
        <v>0.15560450000000001</v>
      </c>
      <c r="R6767">
        <v>2.9501929999999999E-2</v>
      </c>
      <c r="S6767">
        <v>-3.0411990000000002</v>
      </c>
      <c r="T6767">
        <v>-2.467608E-2</v>
      </c>
      <c r="U6767">
        <v>4.0039060000000001E-2</v>
      </c>
      <c r="V6767">
        <v>1.57453E-2</v>
      </c>
      <c r="W6767">
        <v>0.16734060000000001</v>
      </c>
      <c r="X6767">
        <v>0.98577340000000002</v>
      </c>
      <c r="Y6767">
        <v>-8.9873289999999897E-4</v>
      </c>
      <c r="Z6767" s="1">
        <v>4.4354429999999999E-5</v>
      </c>
      <c r="AA6767">
        <v>0.99999959999999999</v>
      </c>
      <c r="AB6767">
        <v>26</v>
      </c>
      <c r="AC6767">
        <v>-137.97289999999899</v>
      </c>
      <c r="AD6767">
        <v>-1.121043425051</v>
      </c>
      <c r="AE6767">
        <v>1.8160000000000001</v>
      </c>
      <c r="AF6767">
        <v>-0.12451680788156901</v>
      </c>
      <c r="AG6767">
        <v>-1.121043425051</v>
      </c>
      <c r="AH6767">
        <v>137.975687199183</v>
      </c>
      <c r="AI6767">
        <v>90.465514024370293</v>
      </c>
      <c r="AJ6767">
        <v>90.051706831675105</v>
      </c>
      <c r="AK6767">
        <v>137.98029750976499</v>
      </c>
      <c r="AL6767">
        <v>80.366768171815593</v>
      </c>
      <c r="AM6767">
        <v>89.084918977905403</v>
      </c>
      <c r="AN6767">
        <v>0.99999999351400504</v>
      </c>
    </row>
    <row r="6768" spans="1:40" x14ac:dyDescent="0.25">
      <c r="A6768" t="str">
        <f>"20190303162047594"</f>
        <v>20190303162047594</v>
      </c>
      <c r="B6768" t="str">
        <f>"1551601247589224"</f>
        <v>1551601247589224</v>
      </c>
      <c r="C6768" t="s">
        <v>40</v>
      </c>
      <c r="D6768">
        <v>4.3155979999999996</v>
      </c>
      <c r="E6768">
        <v>0.49502170000000001</v>
      </c>
      <c r="F6768" t="s">
        <v>62</v>
      </c>
      <c r="G6768">
        <v>-473.67860000000002</v>
      </c>
      <c r="H6768" s="1">
        <v>-5.1447419999999999E-6</v>
      </c>
      <c r="I6768">
        <v>143.63919999999999</v>
      </c>
      <c r="J6768">
        <v>-344.33359999999999</v>
      </c>
      <c r="K6768">
        <v>1.121032</v>
      </c>
      <c r="L6768">
        <v>141.85759999999999</v>
      </c>
      <c r="M6768">
        <v>-0.99982550000000003</v>
      </c>
      <c r="N6768">
        <v>-1.189891E-2</v>
      </c>
      <c r="O6768">
        <v>1.441212E-2</v>
      </c>
      <c r="P6768">
        <v>-0.98744270000000001</v>
      </c>
      <c r="Q6768">
        <v>0.15533640000000001</v>
      </c>
      <c r="R6768">
        <v>2.8770210000000001E-2</v>
      </c>
      <c r="S6768">
        <v>-3.041229</v>
      </c>
      <c r="T6768">
        <v>-2.6315930000000001E-2</v>
      </c>
      <c r="U6768">
        <v>4.1900630000000001E-2</v>
      </c>
      <c r="V6768">
        <v>1.4666169999999999E-2</v>
      </c>
      <c r="W6768">
        <v>0.1670671</v>
      </c>
      <c r="X6768">
        <v>0.98583639999999995</v>
      </c>
      <c r="Y6768">
        <v>-6.3684549999999999E-4</v>
      </c>
      <c r="Z6768" s="1">
        <v>4.0257450000000002E-5</v>
      </c>
      <c r="AA6768">
        <v>0.99999979999999999</v>
      </c>
      <c r="AB6768">
        <v>26</v>
      </c>
      <c r="AC6768">
        <v>-129.345</v>
      </c>
      <c r="AD6768">
        <v>-1.121037144742</v>
      </c>
      <c r="AE6768">
        <v>1.7815999999999901</v>
      </c>
      <c r="AF6768">
        <v>-8.2846180674611206E-2</v>
      </c>
      <c r="AG6768">
        <v>-1.121037144742</v>
      </c>
      <c r="AH6768">
        <v>129.34752836693099</v>
      </c>
      <c r="AI6768">
        <v>90.496562064710801</v>
      </c>
      <c r="AJ6768">
        <v>90.036697538115106</v>
      </c>
      <c r="AK6768">
        <v>129.35241274287699</v>
      </c>
      <c r="AL6768">
        <v>80.382661994659102</v>
      </c>
      <c r="AM6768">
        <v>89.147680428546906</v>
      </c>
      <c r="AN6768">
        <v>0.99999996000491798</v>
      </c>
    </row>
    <row r="6769" spans="1:40" x14ac:dyDescent="0.25">
      <c r="A6769" t="str">
        <f>"20190303162047618"</f>
        <v>20190303162047618</v>
      </c>
      <c r="B6769" t="str">
        <f>"1551601247608744"</f>
        <v>1551601247608744</v>
      </c>
      <c r="C6769" t="s">
        <v>40</v>
      </c>
      <c r="D6769">
        <v>4.3251049999999998</v>
      </c>
      <c r="E6769">
        <v>0.4948671</v>
      </c>
      <c r="F6769" t="s">
        <v>41</v>
      </c>
      <c r="G6769">
        <v>-465.31560000000002</v>
      </c>
      <c r="H6769" s="1">
        <v>-2.3516289999999998E-6</v>
      </c>
      <c r="I6769">
        <v>143.4539</v>
      </c>
      <c r="J6769">
        <v>-344.61340000000001</v>
      </c>
      <c r="K6769">
        <v>1.12104</v>
      </c>
      <c r="L6769">
        <v>141.8622</v>
      </c>
      <c r="M6769">
        <v>-0.99981869999999995</v>
      </c>
      <c r="N6769">
        <v>-1.188992E-2</v>
      </c>
      <c r="O6769">
        <v>1.487409E-2</v>
      </c>
      <c r="P6769">
        <v>-0.98741570000000001</v>
      </c>
      <c r="Q6769">
        <v>0.155590899999999</v>
      </c>
      <c r="R6769">
        <v>2.831902E-2</v>
      </c>
      <c r="S6769">
        <v>-3.0414430000000001</v>
      </c>
      <c r="T6769">
        <v>-2.8182390000000002E-2</v>
      </c>
      <c r="U6769">
        <v>4.0130619999999999E-2</v>
      </c>
      <c r="V6769">
        <v>1.3757429999999999E-2</v>
      </c>
      <c r="W6769">
        <v>0.1673134</v>
      </c>
      <c r="X6769">
        <v>0.98580780000000001</v>
      </c>
      <c r="Y6769">
        <v>-1.6816419999999999E-3</v>
      </c>
      <c r="Z6769" s="1">
        <v>2.126238E-5</v>
      </c>
      <c r="AA6769">
        <v>0.99999859999999896</v>
      </c>
      <c r="AB6769">
        <v>26</v>
      </c>
      <c r="AC6769">
        <v>-120.7022</v>
      </c>
      <c r="AD6769">
        <v>-1.121042351629</v>
      </c>
      <c r="AE6769">
        <v>1.5916999999999999</v>
      </c>
      <c r="AF6769">
        <v>-0.20392078555794699</v>
      </c>
      <c r="AG6769">
        <v>-1.121042351629</v>
      </c>
      <c r="AH6769">
        <v>120.70211209113999</v>
      </c>
      <c r="AI6769">
        <v>90.532128691477993</v>
      </c>
      <c r="AJ6769">
        <v>90.096798548499805</v>
      </c>
      <c r="AK6769">
        <v>120.707490169016</v>
      </c>
      <c r="AL6769">
        <v>80.368349254118797</v>
      </c>
      <c r="AM6769">
        <v>89.200461276176696</v>
      </c>
      <c r="AN6769">
        <v>1.0000000296203</v>
      </c>
    </row>
    <row r="6770" spans="1:40" x14ac:dyDescent="0.25">
      <c r="A6770" t="str">
        <f>"20190303162047637"</f>
        <v>20190303162047637</v>
      </c>
      <c r="B6770" t="str">
        <f>"1551601247629240"</f>
        <v>1551601247629240</v>
      </c>
      <c r="C6770" t="s">
        <v>40</v>
      </c>
      <c r="D6770">
        <v>3.9980850000000001</v>
      </c>
      <c r="E6770">
        <v>0.49511500000000003</v>
      </c>
      <c r="F6770" t="s">
        <v>41</v>
      </c>
      <c r="G6770">
        <v>-463.2756</v>
      </c>
      <c r="H6770" s="1">
        <v>-3.2487459999999999E-6</v>
      </c>
      <c r="I6770">
        <v>143.3349</v>
      </c>
      <c r="J6770">
        <v>-344.84140000000002</v>
      </c>
      <c r="K6770">
        <v>1.12104</v>
      </c>
      <c r="L6770">
        <v>141.86600000000001</v>
      </c>
      <c r="M6770">
        <v>-0.99981319999999996</v>
      </c>
      <c r="N6770">
        <v>-1.1883599999999999E-2</v>
      </c>
      <c r="O6770">
        <v>1.5244850000000001E-2</v>
      </c>
      <c r="P6770">
        <v>-0.98748199999999997</v>
      </c>
      <c r="Q6770">
        <v>0.15517339999999999</v>
      </c>
      <c r="R6770">
        <v>2.8302000000000001E-2</v>
      </c>
      <c r="S6770">
        <v>-3.041687</v>
      </c>
      <c r="T6770">
        <v>-2.8735879999999998E-2</v>
      </c>
      <c r="U6770">
        <v>3.7750239999999997E-2</v>
      </c>
      <c r="V6770">
        <v>1.337088E-2</v>
      </c>
      <c r="W6770">
        <v>0.1668907</v>
      </c>
      <c r="X6770">
        <v>0.98588469999999995</v>
      </c>
      <c r="Y6770">
        <v>-2.8358630000000001E-3</v>
      </c>
      <c r="Z6770" s="1">
        <v>6.9195609999999998E-6</v>
      </c>
      <c r="AA6770">
        <v>0.999996</v>
      </c>
      <c r="AB6770">
        <v>26</v>
      </c>
      <c r="AC6770">
        <v>-118.434199999999</v>
      </c>
      <c r="AD6770">
        <v>-1.121043248746</v>
      </c>
      <c r="AE6770">
        <v>1.4688999999999901</v>
      </c>
      <c r="AF6770">
        <v>-0.336879605711911</v>
      </c>
      <c r="AG6770">
        <v>-1.121043248746</v>
      </c>
      <c r="AH6770">
        <v>118.43222015463201</v>
      </c>
      <c r="AI6770">
        <v>90.542325970447607</v>
      </c>
      <c r="AJ6770">
        <v>90.162976996703904</v>
      </c>
      <c r="AK6770">
        <v>118.438004865793</v>
      </c>
      <c r="AL6770">
        <v>80.392912926459402</v>
      </c>
      <c r="AM6770">
        <v>89.222984161702001</v>
      </c>
      <c r="AN6770">
        <v>0.99999996393627599</v>
      </c>
    </row>
    <row r="6771" spans="1:40" x14ac:dyDescent="0.25">
      <c r="A6771" t="str">
        <f>"20190303162047726"</f>
        <v>20190303162047726</v>
      </c>
      <c r="B6771" t="str">
        <f>"1551601247718810"</f>
        <v>1551601247718810</v>
      </c>
      <c r="C6771" t="s">
        <v>40</v>
      </c>
      <c r="D6771">
        <v>4.1572719999999999</v>
      </c>
      <c r="E6771">
        <v>0.49511500000000003</v>
      </c>
      <c r="F6771" t="s">
        <v>41</v>
      </c>
      <c r="G6771">
        <v>-463.63679999999999</v>
      </c>
      <c r="H6771" s="1">
        <v>-3.125624E-6</v>
      </c>
      <c r="I6771">
        <v>143.4228</v>
      </c>
      <c r="J6771">
        <v>-345.87520000000001</v>
      </c>
      <c r="K6771">
        <v>1.121078</v>
      </c>
      <c r="L6771">
        <v>141.8843</v>
      </c>
      <c r="M6771">
        <v>-0.99978800000000001</v>
      </c>
      <c r="N6771">
        <v>-1.1862879999999999E-2</v>
      </c>
      <c r="O6771">
        <v>1.683523E-2</v>
      </c>
      <c r="P6771">
        <v>-0.98731950000000002</v>
      </c>
      <c r="Q6771">
        <v>0.1559053</v>
      </c>
      <c r="R6771">
        <v>2.9895749999999999E-2</v>
      </c>
      <c r="S6771">
        <v>-3.0414119999999998</v>
      </c>
      <c r="T6771">
        <v>-2.8701069999999999E-2</v>
      </c>
      <c r="U6771">
        <v>3.9855960000000003E-2</v>
      </c>
      <c r="V6771">
        <v>1.3385650000000001E-2</v>
      </c>
      <c r="W6771">
        <v>0.16760149999999999</v>
      </c>
      <c r="X6771">
        <v>0.98576399999999997</v>
      </c>
      <c r="Y6771">
        <v>-3.7330990000000001E-3</v>
      </c>
      <c r="Z6771" s="1">
        <v>1.1183749999999999E-6</v>
      </c>
      <c r="AA6771">
        <v>0.99999300000000002</v>
      </c>
      <c r="AB6771">
        <v>26</v>
      </c>
      <c r="AC6771">
        <v>-117.7616</v>
      </c>
      <c r="AD6771">
        <v>-1.1210811256240001</v>
      </c>
      <c r="AE6771">
        <v>1.53849999999999</v>
      </c>
      <c r="AF6771">
        <v>-0.44436074507045897</v>
      </c>
      <c r="AG6771">
        <v>-1.1210811256240001</v>
      </c>
      <c r="AH6771">
        <v>117.760140353905</v>
      </c>
      <c r="AI6771">
        <v>90.5454376933953</v>
      </c>
      <c r="AJ6771">
        <v>90.216201121687106</v>
      </c>
      <c r="AK6771">
        <v>117.766314944187</v>
      </c>
      <c r="AL6771">
        <v>80.351606121708201</v>
      </c>
      <c r="AM6771">
        <v>89.222030711246205</v>
      </c>
      <c r="AN6771">
        <v>1.0000000510620799</v>
      </c>
    </row>
    <row r="6772" spans="1:40" x14ac:dyDescent="0.25">
      <c r="A6772" t="str">
        <f>"20190303162047749"</f>
        <v>20190303162047749</v>
      </c>
      <c r="B6772" t="str">
        <f>"1551601247739306"</f>
        <v>1551601247739306</v>
      </c>
      <c r="C6772" t="s">
        <v>40</v>
      </c>
      <c r="D6772">
        <v>4.3881699999999997</v>
      </c>
      <c r="E6772">
        <v>0.4326159</v>
      </c>
      <c r="F6772" t="s">
        <v>62</v>
      </c>
      <c r="G6772">
        <v>-474.75650000000002</v>
      </c>
      <c r="H6772" s="1">
        <v>-4.6678609999999998E-6</v>
      </c>
      <c r="I6772">
        <v>143.7808</v>
      </c>
      <c r="J6772">
        <v>-346.14429999999999</v>
      </c>
      <c r="K6772">
        <v>1.1210910000000001</v>
      </c>
      <c r="L6772">
        <v>141.88929999999999</v>
      </c>
      <c r="M6772">
        <v>-0.99978140000000004</v>
      </c>
      <c r="N6772">
        <v>-1.185919E-2</v>
      </c>
      <c r="O6772">
        <v>1.72192E-2</v>
      </c>
      <c r="P6772">
        <v>-0.98723989999999995</v>
      </c>
      <c r="Q6772">
        <v>0.1562781</v>
      </c>
      <c r="R6772">
        <v>3.0575560000000002E-2</v>
      </c>
      <c r="S6772">
        <v>-3.0413510000000001</v>
      </c>
      <c r="T6772">
        <v>-2.64554E-2</v>
      </c>
      <c r="U6772">
        <v>4.475403E-2</v>
      </c>
      <c r="V6772">
        <v>1.368407E-2</v>
      </c>
      <c r="W6772">
        <v>0.1679706</v>
      </c>
      <c r="X6772">
        <v>0.98569700000000005</v>
      </c>
      <c r="Y6772">
        <v>-2.5068339999999999E-3</v>
      </c>
      <c r="Z6772" s="1">
        <v>2.8687499999999999E-5</v>
      </c>
      <c r="AA6772">
        <v>0.99999680000000002</v>
      </c>
      <c r="AB6772">
        <v>26</v>
      </c>
      <c r="AC6772">
        <v>-128.6122</v>
      </c>
      <c r="AD6772">
        <v>-1.121095667861</v>
      </c>
      <c r="AE6772">
        <v>1.8915</v>
      </c>
      <c r="AF6772">
        <v>-0.32351085352154002</v>
      </c>
      <c r="AG6772">
        <v>-1.121095667861</v>
      </c>
      <c r="AH6772">
        <v>128.615930884302</v>
      </c>
      <c r="AI6772">
        <v>90.499411074712796</v>
      </c>
      <c r="AJ6772">
        <v>90.144117196952294</v>
      </c>
      <c r="AK6772">
        <v>128.621223723009</v>
      </c>
      <c r="AL6772">
        <v>80.330153402353702</v>
      </c>
      <c r="AM6772">
        <v>89.204634796769696</v>
      </c>
      <c r="AN6772">
        <v>0.99999997602256196</v>
      </c>
    </row>
    <row r="6773" spans="1:40" x14ac:dyDescent="0.25">
      <c r="A6773" t="str">
        <f>"20190303162047772"</f>
        <v>20190303162047772</v>
      </c>
      <c r="B6773" t="str">
        <f>"1551601247769562"</f>
        <v>1551601247769562</v>
      </c>
      <c r="C6773" t="s">
        <v>40</v>
      </c>
      <c r="D6773">
        <v>4.0837349999999999</v>
      </c>
      <c r="E6773">
        <v>0.43432799999999999</v>
      </c>
      <c r="F6773" t="s">
        <v>41</v>
      </c>
      <c r="G6773">
        <v>-355.4676</v>
      </c>
      <c r="H6773" s="1">
        <v>-2.168222E-6</v>
      </c>
      <c r="I6773">
        <v>140.524</v>
      </c>
      <c r="J6773">
        <v>-346.40839999999997</v>
      </c>
      <c r="K6773">
        <v>1.1210979999999999</v>
      </c>
      <c r="L6773">
        <v>141.89420000000001</v>
      </c>
      <c r="M6773">
        <v>-0.99977510000000003</v>
      </c>
      <c r="N6773">
        <v>-1.1856E-2</v>
      </c>
      <c r="O6773">
        <v>1.7585179999999999E-2</v>
      </c>
      <c r="P6773">
        <v>-0.98713169999999995</v>
      </c>
      <c r="Q6773">
        <v>0.15679989999999999</v>
      </c>
      <c r="R6773">
        <v>3.1389060000000003E-2</v>
      </c>
      <c r="S6773">
        <v>-3.1121219999999998</v>
      </c>
      <c r="T6773">
        <v>-0.3742239</v>
      </c>
      <c r="U6773">
        <v>-0.4556885</v>
      </c>
      <c r="V6773">
        <v>1.413476E-2</v>
      </c>
      <c r="W6773">
        <v>0.1684881</v>
      </c>
      <c r="X6773">
        <v>0.98560230000000004</v>
      </c>
      <c r="Y6773">
        <v>-0.160906299999999</v>
      </c>
      <c r="Z6773">
        <v>-1.244145E-2</v>
      </c>
      <c r="AA6773">
        <v>0.98689130000000003</v>
      </c>
      <c r="AB6773">
        <v>26</v>
      </c>
      <c r="AC6773">
        <v>-9.0592000000000308</v>
      </c>
      <c r="AD6773">
        <v>-1.1211001682220001</v>
      </c>
      <c r="AE6773">
        <v>-1.3702000000000101</v>
      </c>
      <c r="AF6773">
        <v>-1.5067476059168501</v>
      </c>
      <c r="AG6773">
        <v>-1.1211001682220001</v>
      </c>
      <c r="AH6773">
        <v>8.9004427451460995</v>
      </c>
      <c r="AI6773">
        <v>97.079485795947093</v>
      </c>
      <c r="AJ6773">
        <v>99.608451078033596</v>
      </c>
      <c r="AK6773">
        <v>9.0964297938667897</v>
      </c>
      <c r="AL6773">
        <v>80.300074009967403</v>
      </c>
      <c r="AM6773">
        <v>89.178363750252899</v>
      </c>
      <c r="AN6773">
        <v>0.99999996252357803</v>
      </c>
    </row>
    <row r="6774" spans="1:40" x14ac:dyDescent="0.25">
      <c r="A6774" t="str">
        <f>"20190303162047795"</f>
        <v>20190303162047795</v>
      </c>
      <c r="B6774" t="str">
        <f>"1551601247789082"</f>
        <v>1551601247789082</v>
      </c>
      <c r="C6774" t="s">
        <v>40</v>
      </c>
      <c r="D6774">
        <v>4.1257489999999999</v>
      </c>
      <c r="E6774">
        <v>0.4352916</v>
      </c>
      <c r="F6774" t="s">
        <v>41</v>
      </c>
      <c r="G6774">
        <v>-362.48379999999997</v>
      </c>
      <c r="H6774" s="1">
        <v>-3.2070380000000002E-6</v>
      </c>
      <c r="I6774">
        <v>139.6146</v>
      </c>
      <c r="J6774">
        <v>-346.67829999999998</v>
      </c>
      <c r="K6774">
        <v>1.1211040000000001</v>
      </c>
      <c r="L6774">
        <v>141.89940000000001</v>
      </c>
      <c r="M6774">
        <v>-0.99976880000000001</v>
      </c>
      <c r="N6774">
        <v>-1.185333E-2</v>
      </c>
      <c r="O6774">
        <v>1.7946989999999999E-2</v>
      </c>
      <c r="P6774">
        <v>-0.98703350000000001</v>
      </c>
      <c r="Q6774">
        <v>0.1571565</v>
      </c>
      <c r="R6774">
        <v>3.2662789999999997E-2</v>
      </c>
      <c r="S6774">
        <v>-3.0872190000000002</v>
      </c>
      <c r="T6774">
        <v>-0.21530389999999999</v>
      </c>
      <c r="U6774">
        <v>-0.43777470000000002</v>
      </c>
      <c r="V6774">
        <v>1.504923E-2</v>
      </c>
      <c r="W6774">
        <v>0.16884099999999999</v>
      </c>
      <c r="X6774">
        <v>0.98552839999999997</v>
      </c>
      <c r="Y6774">
        <v>-0.1576755</v>
      </c>
      <c r="Z6774">
        <v>-7.437595E-3</v>
      </c>
      <c r="AA6774">
        <v>0.98746299999999998</v>
      </c>
      <c r="AB6774">
        <v>26</v>
      </c>
      <c r="AC6774">
        <v>-15.805499999999901</v>
      </c>
      <c r="AD6774">
        <v>-1.1211072070379999</v>
      </c>
      <c r="AE6774">
        <v>-2.2848000000000099</v>
      </c>
      <c r="AF6774">
        <v>-2.5555186738930602</v>
      </c>
      <c r="AG6774">
        <v>-1.1211072070379999</v>
      </c>
      <c r="AH6774">
        <v>15.6846474079756</v>
      </c>
      <c r="AI6774">
        <v>94.035401428194604</v>
      </c>
      <c r="AJ6774">
        <v>99.253955822213996</v>
      </c>
      <c r="AK6774">
        <v>15.9309673709667</v>
      </c>
      <c r="AL6774">
        <v>80.279560758875306</v>
      </c>
      <c r="AM6774">
        <v>89.125149155453599</v>
      </c>
      <c r="AN6774">
        <v>0.99999999490557601</v>
      </c>
    </row>
    <row r="6775" spans="1:40" x14ac:dyDescent="0.25">
      <c r="A6775" t="str">
        <f>"20190303162047817"</f>
        <v>20190303162047817</v>
      </c>
      <c r="B6775" t="str">
        <f>"1551601247809108"</f>
        <v>1551601247809108</v>
      </c>
      <c r="C6775" t="s">
        <v>40</v>
      </c>
      <c r="D6775">
        <v>4.1363729999999999</v>
      </c>
      <c r="E6775">
        <v>0.4349848</v>
      </c>
      <c r="F6775" t="s">
        <v>41</v>
      </c>
      <c r="G6775">
        <v>-365.24400000000003</v>
      </c>
      <c r="H6775" s="1">
        <v>-2.0726400000000001E-6</v>
      </c>
      <c r="I6775">
        <v>139.33439999999999</v>
      </c>
      <c r="J6775">
        <v>-346.93709999999999</v>
      </c>
      <c r="K6775">
        <v>1.1211100000000001</v>
      </c>
      <c r="L6775">
        <v>141.90450000000001</v>
      </c>
      <c r="M6775">
        <v>-0.9997627</v>
      </c>
      <c r="N6775">
        <v>-1.1851220000000001E-2</v>
      </c>
      <c r="O6775">
        <v>1.827964E-2</v>
      </c>
      <c r="P6775">
        <v>-0.98711179999999998</v>
      </c>
      <c r="Q6775">
        <v>0.15657219999999999</v>
      </c>
      <c r="R6775">
        <v>3.3100480000000002E-2</v>
      </c>
      <c r="S6775">
        <v>-3.0831909999999998</v>
      </c>
      <c r="T6775">
        <v>-0.18618270000000001</v>
      </c>
      <c r="U6775">
        <v>-0.42596440000000002</v>
      </c>
      <c r="V6775">
        <v>1.515294E-2</v>
      </c>
      <c r="W6775">
        <v>0.1682554</v>
      </c>
      <c r="X6775">
        <v>0.98562689999999997</v>
      </c>
      <c r="Y6775">
        <v>-0.15459030000000001</v>
      </c>
      <c r="Z6775">
        <v>-6.4452619999999898E-3</v>
      </c>
      <c r="AA6775">
        <v>0.98795770000000005</v>
      </c>
      <c r="AB6775">
        <v>26</v>
      </c>
      <c r="AC6775">
        <v>-18.306899999999999</v>
      </c>
      <c r="AD6775">
        <v>-1.1211120726399999</v>
      </c>
      <c r="AE6775">
        <v>-2.57010000000002</v>
      </c>
      <c r="AF6775">
        <v>-2.89369501745559</v>
      </c>
      <c r="AG6775">
        <v>-1.1211120726399999</v>
      </c>
      <c r="AH6775">
        <v>18.189957296131801</v>
      </c>
      <c r="AI6775">
        <v>93.483192826559204</v>
      </c>
      <c r="AJ6775">
        <v>99.038985659234797</v>
      </c>
      <c r="AK6775">
        <v>18.452775118354499</v>
      </c>
      <c r="AL6775">
        <v>80.313599605125106</v>
      </c>
      <c r="AM6775">
        <v>89.119209188387202</v>
      </c>
      <c r="AN6775">
        <v>0.999999938611704</v>
      </c>
    </row>
    <row r="6776" spans="1:40" x14ac:dyDescent="0.25">
      <c r="A6776" t="str">
        <f>"20190303162047838"</f>
        <v>20190303162047838</v>
      </c>
      <c r="B6776" t="str">
        <f>"1551601247829605"</f>
        <v>1551601247829605</v>
      </c>
      <c r="C6776" t="s">
        <v>40</v>
      </c>
      <c r="D6776">
        <v>4.1245190000000003</v>
      </c>
      <c r="E6776">
        <v>0.43654920000000003</v>
      </c>
      <c r="F6776" t="s">
        <v>41</v>
      </c>
      <c r="G6776">
        <v>-367.76760000000002</v>
      </c>
      <c r="H6776" s="1">
        <v>-1.0461799999999999E-6</v>
      </c>
      <c r="I6776">
        <v>139.01759999999999</v>
      </c>
      <c r="J6776">
        <v>-347.17899999999997</v>
      </c>
      <c r="K6776">
        <v>1.1211150000000001</v>
      </c>
      <c r="L6776">
        <v>141.9092</v>
      </c>
      <c r="M6776">
        <v>-0.99975729999999996</v>
      </c>
      <c r="N6776">
        <v>-1.1849500000000001E-2</v>
      </c>
      <c r="O6776">
        <v>1.8577840000000002E-2</v>
      </c>
      <c r="P6776">
        <v>-0.98718709999999998</v>
      </c>
      <c r="Q6776">
        <v>0.15611220000000001</v>
      </c>
      <c r="R6776">
        <v>3.302861E-2</v>
      </c>
      <c r="S6776">
        <v>-3.0797729999999999</v>
      </c>
      <c r="T6776">
        <v>-0.16575570000000001</v>
      </c>
      <c r="U6776">
        <v>-0.42680360000000001</v>
      </c>
      <c r="V6776">
        <v>1.478109E-2</v>
      </c>
      <c r="W6776">
        <v>0.16779569999999999</v>
      </c>
      <c r="X6776">
        <v>0.985711</v>
      </c>
      <c r="Y6776">
        <v>-0.15536429999999901</v>
      </c>
      <c r="Z6776">
        <v>-5.8595359999999898E-3</v>
      </c>
      <c r="AA6776">
        <v>0.98783989999999999</v>
      </c>
      <c r="AB6776">
        <v>26</v>
      </c>
      <c r="AC6776">
        <v>-20.5885999999999</v>
      </c>
      <c r="AD6776">
        <v>-1.1211160461799901</v>
      </c>
      <c r="AE6776">
        <v>-2.8916000000000102</v>
      </c>
      <c r="AF6776">
        <v>-3.2641279953047202</v>
      </c>
      <c r="AG6776">
        <v>-1.1211160461799901</v>
      </c>
      <c r="AH6776">
        <v>20.4717949545953</v>
      </c>
      <c r="AI6776">
        <v>93.095586477977406</v>
      </c>
      <c r="AJ6776">
        <v>99.059276049648801</v>
      </c>
      <c r="AK6776">
        <v>20.760679695562199</v>
      </c>
      <c r="AL6776">
        <v>80.340319204348205</v>
      </c>
      <c r="AM6776">
        <v>89.140893624590404</v>
      </c>
      <c r="AN6776">
        <v>1.00000002654053</v>
      </c>
    </row>
    <row r="6777" spans="1:40" x14ac:dyDescent="0.25">
      <c r="A6777" t="str">
        <f>"20190303162047860"</f>
        <v>20190303162047860</v>
      </c>
      <c r="B6777" t="str">
        <f>"1551601247849124"</f>
        <v>1551601247849124</v>
      </c>
      <c r="C6777" t="s">
        <v>40</v>
      </c>
      <c r="D6777">
        <v>4.0596269999999999</v>
      </c>
      <c r="E6777">
        <v>0.4366737</v>
      </c>
      <c r="F6777" t="s">
        <v>41</v>
      </c>
      <c r="G6777">
        <v>-371.41070000000002</v>
      </c>
      <c r="H6777" s="1">
        <v>-3.8389529999999998E-6</v>
      </c>
      <c r="I6777">
        <v>138.6474</v>
      </c>
      <c r="J6777">
        <v>-347.44850000000002</v>
      </c>
      <c r="K6777">
        <v>1.121129</v>
      </c>
      <c r="L6777">
        <v>141.91460000000001</v>
      </c>
      <c r="M6777">
        <v>-0.99975139999999996</v>
      </c>
      <c r="N6777">
        <v>-1.184781E-2</v>
      </c>
      <c r="O6777">
        <v>1.8894959999999999E-2</v>
      </c>
      <c r="P6777">
        <v>-0.98723609999999995</v>
      </c>
      <c r="Q6777">
        <v>0.15573609999999999</v>
      </c>
      <c r="R6777">
        <v>3.3338350000000003E-2</v>
      </c>
      <c r="S6777">
        <v>-3.0753170000000001</v>
      </c>
      <c r="T6777">
        <v>-0.1422852</v>
      </c>
      <c r="U6777">
        <v>-0.41395569999999998</v>
      </c>
      <c r="V6777">
        <v>1.4771660000000001E-2</v>
      </c>
      <c r="W6777">
        <v>0.16741919999999999</v>
      </c>
      <c r="X6777">
        <v>0.98577510000000002</v>
      </c>
      <c r="Y6777">
        <v>-0.1518941</v>
      </c>
      <c r="Z6777">
        <v>-5.0480289999999999E-3</v>
      </c>
      <c r="AA6777">
        <v>0.98838389999999998</v>
      </c>
      <c r="AB6777">
        <v>26</v>
      </c>
      <c r="AC6777">
        <v>-23.962199999999999</v>
      </c>
      <c r="AD6777">
        <v>-1.121132838953</v>
      </c>
      <c r="AE6777">
        <v>-3.2671999999999999</v>
      </c>
      <c r="AF6777">
        <v>-3.7114368436899698</v>
      </c>
      <c r="AG6777">
        <v>-1.121132838953</v>
      </c>
      <c r="AH6777">
        <v>23.844937918442799</v>
      </c>
      <c r="AI6777">
        <v>92.659949117170896</v>
      </c>
      <c r="AJ6777">
        <v>98.847032820516205</v>
      </c>
      <c r="AK6777">
        <v>24.1580787030274</v>
      </c>
      <c r="AL6777">
        <v>80.362200044576298</v>
      </c>
      <c r="AM6777">
        <v>89.141497452273995</v>
      </c>
      <c r="AN6777">
        <v>0.99999996912390199</v>
      </c>
    </row>
    <row r="6778" spans="1:40" x14ac:dyDescent="0.25">
      <c r="A6778" t="str">
        <f>"20190303162047883"</f>
        <v>20190303162047883</v>
      </c>
      <c r="B6778" t="str">
        <f>"1551601247879380"</f>
        <v>1551601247879380</v>
      </c>
      <c r="C6778" t="s">
        <v>40</v>
      </c>
      <c r="D6778">
        <v>4.0769830000000002</v>
      </c>
      <c r="E6778">
        <v>0.43657649999999998</v>
      </c>
      <c r="F6778" t="s">
        <v>41</v>
      </c>
      <c r="G6778">
        <v>-373.23309999999998</v>
      </c>
      <c r="H6778" s="1">
        <v>-3.0904539999999999E-6</v>
      </c>
      <c r="I6778">
        <v>138.4597</v>
      </c>
      <c r="J6778">
        <v>-347.70249999999999</v>
      </c>
      <c r="K6778">
        <v>1.1211409999999999</v>
      </c>
      <c r="L6778">
        <v>141.91970000000001</v>
      </c>
      <c r="M6778">
        <v>-0.99974589999999997</v>
      </c>
      <c r="N6778">
        <v>-1.184645E-2</v>
      </c>
      <c r="O6778">
        <v>1.9180849999999999E-2</v>
      </c>
      <c r="P6778">
        <v>-0.98730609999999996</v>
      </c>
      <c r="Q6778">
        <v>0.1553002</v>
      </c>
      <c r="R6778">
        <v>3.329352E-2</v>
      </c>
      <c r="S6778">
        <v>-3.0737920000000001</v>
      </c>
      <c r="T6778">
        <v>-0.13365070000000001</v>
      </c>
      <c r="U6778">
        <v>-0.41184999999999999</v>
      </c>
      <c r="V6778">
        <v>1.443848E-2</v>
      </c>
      <c r="W6778">
        <v>0.166983299999999</v>
      </c>
      <c r="X6778">
        <v>0.98585400000000001</v>
      </c>
      <c r="Y6778">
        <v>-0.1515996</v>
      </c>
      <c r="Z6778">
        <v>-4.7861999999999896E-3</v>
      </c>
      <c r="AA6778">
        <v>0.98843040000000004</v>
      </c>
      <c r="AB6778">
        <v>26</v>
      </c>
      <c r="AC6778">
        <v>-25.5306</v>
      </c>
      <c r="AD6778">
        <v>-1.121144090454</v>
      </c>
      <c r="AE6778">
        <v>-3.46</v>
      </c>
      <c r="AF6778">
        <v>-3.9416323050734299</v>
      </c>
      <c r="AG6778">
        <v>-1.121144090454</v>
      </c>
      <c r="AH6778">
        <v>25.411412115456201</v>
      </c>
      <c r="AI6778">
        <v>92.496419869664507</v>
      </c>
      <c r="AJ6778">
        <v>98.817037650868002</v>
      </c>
      <c r="AK6778">
        <v>25.739722123626599</v>
      </c>
      <c r="AL6778">
        <v>80.387532184374606</v>
      </c>
      <c r="AM6778">
        <v>89.160925627808695</v>
      </c>
      <c r="AN6778">
        <v>1.0000000007498</v>
      </c>
    </row>
    <row r="6779" spans="1:40" x14ac:dyDescent="0.25">
      <c r="A6779" t="str">
        <f>"20190303162047906"</f>
        <v>20190303162047906</v>
      </c>
      <c r="B6779" t="str">
        <f>"1551601247899209"</f>
        <v>1551601247899209</v>
      </c>
      <c r="C6779" t="s">
        <v>40</v>
      </c>
      <c r="D6779">
        <v>4.1147229999999997</v>
      </c>
      <c r="E6779">
        <v>0.43659690000000001</v>
      </c>
      <c r="F6779" t="s">
        <v>41</v>
      </c>
      <c r="G6779">
        <v>-374.98309999999998</v>
      </c>
      <c r="H6779" s="1">
        <v>-2.3757110000000001E-6</v>
      </c>
      <c r="I6779">
        <v>138.25659999999999</v>
      </c>
      <c r="J6779">
        <v>-347.9683</v>
      </c>
      <c r="K6779">
        <v>1.1211469999999999</v>
      </c>
      <c r="L6779">
        <v>141.92519999999999</v>
      </c>
      <c r="M6779">
        <v>-0.99974039999999997</v>
      </c>
      <c r="N6779">
        <v>-1.1845100000000001E-2</v>
      </c>
      <c r="O6779">
        <v>1.946765E-2</v>
      </c>
      <c r="P6779">
        <v>-0.98730300000000004</v>
      </c>
      <c r="Q6779">
        <v>0.15528539999999999</v>
      </c>
      <c r="R6779">
        <v>3.3459629999999997E-2</v>
      </c>
      <c r="S6779">
        <v>-3.0723880000000001</v>
      </c>
      <c r="T6779">
        <v>-0.1262654</v>
      </c>
      <c r="U6779">
        <v>-0.41253659999999998</v>
      </c>
      <c r="V6779">
        <v>1.4317359999999999E-2</v>
      </c>
      <c r="W6779">
        <v>0.16696739999999999</v>
      </c>
      <c r="X6779">
        <v>0.98585840000000002</v>
      </c>
      <c r="Y6779">
        <v>-0.15217729999999999</v>
      </c>
      <c r="Z6779">
        <v>-4.5844900000000001E-3</v>
      </c>
      <c r="AA6779">
        <v>0.98834259999999996</v>
      </c>
      <c r="AB6779">
        <v>26</v>
      </c>
      <c r="AC6779">
        <v>-27.014799999999902</v>
      </c>
      <c r="AD6779">
        <v>-1.12114937571099</v>
      </c>
      <c r="AE6779">
        <v>-3.6685999999999899</v>
      </c>
      <c r="AF6779">
        <v>-4.18677563263733</v>
      </c>
      <c r="AG6779">
        <v>-1.12114937571099</v>
      </c>
      <c r="AH6779">
        <v>26.8927753474402</v>
      </c>
      <c r="AI6779">
        <v>92.358873642805904</v>
      </c>
      <c r="AJ6779">
        <v>98.849001528913703</v>
      </c>
      <c r="AK6779">
        <v>27.2398133622202</v>
      </c>
      <c r="AL6779">
        <v>80.388455590354894</v>
      </c>
      <c r="AM6779">
        <v>89.167967085757994</v>
      </c>
      <c r="AN6779">
        <v>0.99999994215534305</v>
      </c>
    </row>
    <row r="6780" spans="1:40" x14ac:dyDescent="0.25">
      <c r="A6780" t="str">
        <f>"20190303162047927"</f>
        <v>20190303162047927</v>
      </c>
      <c r="B6780" t="str">
        <f>"1551601247918729"</f>
        <v>1551601247918729</v>
      </c>
      <c r="C6780" t="s">
        <v>40</v>
      </c>
      <c r="D6780">
        <v>4.0947079999999998</v>
      </c>
      <c r="E6780">
        <v>0.4367103</v>
      </c>
      <c r="F6780" t="s">
        <v>41</v>
      </c>
      <c r="G6780">
        <v>-376.55900000000003</v>
      </c>
      <c r="H6780" s="1">
        <v>-1.7290969999999901E-6</v>
      </c>
      <c r="I6780">
        <v>138.0907</v>
      </c>
      <c r="J6780">
        <v>-348.21749999999997</v>
      </c>
      <c r="K6780">
        <v>1.1211519999999999</v>
      </c>
      <c r="L6780">
        <v>141.93029999999999</v>
      </c>
      <c r="M6780">
        <v>-0.99973520000000005</v>
      </c>
      <c r="N6780">
        <v>-1.1844169999999999E-2</v>
      </c>
      <c r="O6780">
        <v>1.9727140000000001E-2</v>
      </c>
      <c r="P6780">
        <v>-0.98740729999999999</v>
      </c>
      <c r="Q6780">
        <v>0.1546912</v>
      </c>
      <c r="R6780">
        <v>3.3127520000000001E-2</v>
      </c>
      <c r="S6780">
        <v>-3.0714419999999998</v>
      </c>
      <c r="T6780">
        <v>-0.12044290000000001</v>
      </c>
      <c r="U6780">
        <v>-0.41192630000000002</v>
      </c>
      <c r="V6780">
        <v>1.3723880000000001E-2</v>
      </c>
      <c r="W6780">
        <v>0.16637399999999999</v>
      </c>
      <c r="X6780">
        <v>0.98596719999999904</v>
      </c>
      <c r="Y6780">
        <v>-0.15229479999999901</v>
      </c>
      <c r="Z6780">
        <v>-4.4155549999999998E-3</v>
      </c>
      <c r="AA6780">
        <v>0.98832520000000001</v>
      </c>
      <c r="AB6780">
        <v>26</v>
      </c>
      <c r="AC6780">
        <v>-28.3415</v>
      </c>
      <c r="AD6780">
        <v>-1.121153729097</v>
      </c>
      <c r="AE6780">
        <v>-3.8395999999999901</v>
      </c>
      <c r="AF6780">
        <v>-4.3912407243396103</v>
      </c>
      <c r="AG6780">
        <v>-1.121153729097</v>
      </c>
      <c r="AH6780">
        <v>28.216873797077302</v>
      </c>
      <c r="AI6780">
        <v>92.248327066522094</v>
      </c>
      <c r="AJ6780">
        <v>98.845679047078306</v>
      </c>
      <c r="AK6780">
        <v>28.5785224891623</v>
      </c>
      <c r="AL6780">
        <v>80.422937641249902</v>
      </c>
      <c r="AM6780">
        <v>89.202539773378803</v>
      </c>
      <c r="AN6780">
        <v>0.99999998611704599</v>
      </c>
    </row>
    <row r="6781" spans="1:40" x14ac:dyDescent="0.25">
      <c r="A6781" t="str">
        <f>"20190303162047949"</f>
        <v>20190303162047949</v>
      </c>
      <c r="B6781" t="str">
        <f>"1551601247939225"</f>
        <v>1551601247939225</v>
      </c>
      <c r="C6781" t="s">
        <v>40</v>
      </c>
      <c r="D6781">
        <v>4.1122370000000004</v>
      </c>
      <c r="E6781">
        <v>0.43685849999999998</v>
      </c>
      <c r="F6781" t="s">
        <v>41</v>
      </c>
      <c r="G6781">
        <v>-377.5009</v>
      </c>
      <c r="H6781" s="1">
        <v>-1.340405E-6</v>
      </c>
      <c r="I6781">
        <v>138.00389999999999</v>
      </c>
      <c r="J6781">
        <v>-348.48009999999999</v>
      </c>
      <c r="K6781">
        <v>1.121157</v>
      </c>
      <c r="L6781">
        <v>141.9358</v>
      </c>
      <c r="M6781">
        <v>-0.99973009999999995</v>
      </c>
      <c r="N6781">
        <v>-1.1843329999999999E-2</v>
      </c>
      <c r="O6781">
        <v>1.9994459999999999E-2</v>
      </c>
      <c r="P6781">
        <v>-0.98741219999999996</v>
      </c>
      <c r="Q6781">
        <v>0.1547066</v>
      </c>
      <c r="R6781">
        <v>3.2911820000000001E-2</v>
      </c>
      <c r="S6781">
        <v>-3.0704959999999999</v>
      </c>
      <c r="T6781">
        <v>-0.117558</v>
      </c>
      <c r="U6781">
        <v>-0.41169739999999999</v>
      </c>
      <c r="V6781">
        <v>1.324234E-2</v>
      </c>
      <c r="W6781">
        <v>0.16638910000000001</v>
      </c>
      <c r="X6781">
        <v>0.98597129999999999</v>
      </c>
      <c r="Y6781">
        <v>-0.15253320000000001</v>
      </c>
      <c r="Z6781">
        <v>-4.3400620000000004E-3</v>
      </c>
      <c r="AA6781">
        <v>0.98828879999999997</v>
      </c>
      <c r="AB6781">
        <v>26</v>
      </c>
      <c r="AC6781">
        <v>-29.020800000000001</v>
      </c>
      <c r="AD6781">
        <v>-1.1211583404050001</v>
      </c>
      <c r="AE6781">
        <v>-3.9319000000000099</v>
      </c>
      <c r="AF6781">
        <v>-4.50480745451293</v>
      </c>
      <c r="AG6781">
        <v>-1.1211583404050001</v>
      </c>
      <c r="AH6781">
        <v>28.894028863729002</v>
      </c>
      <c r="AI6781">
        <v>92.195602413212598</v>
      </c>
      <c r="AJ6781">
        <v>98.861524577051398</v>
      </c>
      <c r="AK6781">
        <v>29.264572270998499</v>
      </c>
      <c r="AL6781">
        <v>80.422060846490993</v>
      </c>
      <c r="AM6781">
        <v>89.230520628156498</v>
      </c>
      <c r="AN6781">
        <v>1.00000004829558</v>
      </c>
    </row>
    <row r="6782" spans="1:40" x14ac:dyDescent="0.25">
      <c r="A6782" t="str">
        <f>"20190303162047973"</f>
        <v>20190303162047973</v>
      </c>
      <c r="B6782" t="str">
        <f>"1551601247969480"</f>
        <v>1551601247969480</v>
      </c>
      <c r="C6782" t="s">
        <v>40</v>
      </c>
      <c r="D6782">
        <v>4.1370690000000003</v>
      </c>
      <c r="E6782">
        <v>0.43703340000000002</v>
      </c>
      <c r="F6782" t="s">
        <v>41</v>
      </c>
      <c r="G6782">
        <v>-378.59410000000003</v>
      </c>
      <c r="H6782" s="1">
        <v>-9.1930859999999999E-7</v>
      </c>
      <c r="I6782">
        <v>137.90690000000001</v>
      </c>
      <c r="J6782">
        <v>-348.74639999999999</v>
      </c>
      <c r="K6782">
        <v>1.121162</v>
      </c>
      <c r="L6782">
        <v>141.94149999999999</v>
      </c>
      <c r="M6782">
        <v>-0.99972459999999996</v>
      </c>
      <c r="N6782">
        <v>-1.184259E-2</v>
      </c>
      <c r="O6782">
        <v>2.0262949999999998E-2</v>
      </c>
      <c r="P6782">
        <v>-0.98733400000000004</v>
      </c>
      <c r="Q6782">
        <v>0.1551466</v>
      </c>
      <c r="R6782">
        <v>3.3183650000000002E-2</v>
      </c>
      <c r="S6782">
        <v>-3.069855</v>
      </c>
      <c r="T6782">
        <v>-0.11429209999999999</v>
      </c>
      <c r="U6782">
        <v>-0.4107056</v>
      </c>
      <c r="V6782">
        <v>1.32499E-2</v>
      </c>
      <c r="W6782">
        <v>0.1668277</v>
      </c>
      <c r="X6782">
        <v>0.98589700000000002</v>
      </c>
      <c r="Y6782">
        <v>-0.1525195</v>
      </c>
      <c r="Z6782">
        <v>-4.245413E-3</v>
      </c>
      <c r="AA6782">
        <v>0.98829129999999998</v>
      </c>
      <c r="AB6782">
        <v>26</v>
      </c>
      <c r="AC6782">
        <v>-29.8477</v>
      </c>
      <c r="AD6782">
        <v>-1.1211629193085999</v>
      </c>
      <c r="AE6782">
        <v>-4.0345999999999798</v>
      </c>
      <c r="AF6782">
        <v>-4.6321977737316997</v>
      </c>
      <c r="AG6782">
        <v>-1.1211629193085999</v>
      </c>
      <c r="AH6782">
        <v>29.718632864057899</v>
      </c>
      <c r="AI6782">
        <v>92.134759629900898</v>
      </c>
      <c r="AJ6782">
        <v>98.859318709296403</v>
      </c>
      <c r="AK6782">
        <v>30.098362111836899</v>
      </c>
      <c r="AL6782">
        <v>80.396573923785795</v>
      </c>
      <c r="AM6782">
        <v>89.230023371994704</v>
      </c>
      <c r="AN6782">
        <v>0.99999996797314905</v>
      </c>
    </row>
    <row r="6783" spans="1:40" x14ac:dyDescent="0.25">
      <c r="A6783" t="str">
        <f>"20190303162047996"</f>
        <v>20190303162047996</v>
      </c>
      <c r="B6783" t="str">
        <f>"1551601247989000"</f>
        <v>1551601247989000</v>
      </c>
      <c r="C6783" t="s">
        <v>40</v>
      </c>
      <c r="D6783">
        <v>4.1188320000000003</v>
      </c>
      <c r="E6783">
        <v>0.43702750000000001</v>
      </c>
      <c r="F6783" t="s">
        <v>41</v>
      </c>
      <c r="G6783">
        <v>-380.44069999999999</v>
      </c>
      <c r="H6783" s="1">
        <v>-4.4183959999999998E-6</v>
      </c>
      <c r="I6783">
        <v>137.72659999999999</v>
      </c>
      <c r="J6783">
        <v>-349.01199999999898</v>
      </c>
      <c r="K6783">
        <v>1.121164</v>
      </c>
      <c r="L6783">
        <v>141.94710000000001</v>
      </c>
      <c r="M6783">
        <v>-0.99971909999999997</v>
      </c>
      <c r="N6783">
        <v>-1.1841870000000001E-2</v>
      </c>
      <c r="O6783">
        <v>2.0529550000000001E-2</v>
      </c>
      <c r="P6783">
        <v>-0.9872628</v>
      </c>
      <c r="Q6783">
        <v>0.15559970000000001</v>
      </c>
      <c r="R6783">
        <v>3.3181269999999999E-2</v>
      </c>
      <c r="S6783">
        <v>-3.0692439999999999</v>
      </c>
      <c r="T6783">
        <v>-0.1085728</v>
      </c>
      <c r="U6783">
        <v>-0.4081573</v>
      </c>
      <c r="V6783">
        <v>1.298561E-2</v>
      </c>
      <c r="W6783">
        <v>0.1672795</v>
      </c>
      <c r="X6783">
        <v>0.98582400000000003</v>
      </c>
      <c r="Y6783">
        <v>-0.1520157</v>
      </c>
      <c r="Z6783">
        <v>-4.0616410000000004E-3</v>
      </c>
      <c r="AA6783">
        <v>0.98836979999999997</v>
      </c>
      <c r="AB6783">
        <v>26</v>
      </c>
      <c r="AC6783">
        <v>-31.428699999999999</v>
      </c>
      <c r="AD6783">
        <v>-1.121168418396</v>
      </c>
      <c r="AE6783">
        <v>-4.2205000000000101</v>
      </c>
      <c r="AF6783">
        <v>-4.8587989770498297</v>
      </c>
      <c r="AG6783">
        <v>-1.121168418396</v>
      </c>
      <c r="AH6783">
        <v>31.296302423036799</v>
      </c>
      <c r="AI6783">
        <v>92.027436746574807</v>
      </c>
      <c r="AJ6783">
        <v>98.8248061964877</v>
      </c>
      <c r="AK6783">
        <v>31.691063274619999</v>
      </c>
      <c r="AL6783">
        <v>80.370319136821706</v>
      </c>
      <c r="AM6783">
        <v>89.245324094294105</v>
      </c>
      <c r="AN6783">
        <v>1.00000000808166</v>
      </c>
    </row>
    <row r="6784" spans="1:40" x14ac:dyDescent="0.25">
      <c r="A6784" t="str">
        <f>"20190303162048017"</f>
        <v>20190303162048017</v>
      </c>
      <c r="B6784" t="str">
        <f>"1551601248009027"</f>
        <v>1551601248009027</v>
      </c>
      <c r="C6784" t="s">
        <v>40</v>
      </c>
      <c r="D6784">
        <v>4.0922280000000004</v>
      </c>
      <c r="E6784">
        <v>0.43705870000000002</v>
      </c>
      <c r="F6784" t="s">
        <v>41</v>
      </c>
      <c r="G6784">
        <v>-382.0933</v>
      </c>
      <c r="H6784" s="1">
        <v>-3.7407090000000001E-6</v>
      </c>
      <c r="I6784">
        <v>137.55029999999999</v>
      </c>
      <c r="J6784">
        <v>-349.27530000000002</v>
      </c>
      <c r="K6784">
        <v>1.1211580000000001</v>
      </c>
      <c r="L6784">
        <v>141.9529</v>
      </c>
      <c r="M6784">
        <v>-0.99971370000000004</v>
      </c>
      <c r="N6784">
        <v>-1.184145E-2</v>
      </c>
      <c r="O6784">
        <v>2.079485E-2</v>
      </c>
      <c r="P6784">
        <v>-0.98718660000000003</v>
      </c>
      <c r="Q6784">
        <v>0.1561736</v>
      </c>
      <c r="R6784">
        <v>3.2746030000000002E-2</v>
      </c>
      <c r="S6784">
        <v>-3.0688170000000001</v>
      </c>
      <c r="T6784">
        <v>-0.1040063</v>
      </c>
      <c r="U6784">
        <v>-0.40786739999999999</v>
      </c>
      <c r="V6784">
        <v>1.2290260000000001E-2</v>
      </c>
      <c r="W6784">
        <v>0.1678521</v>
      </c>
      <c r="X6784">
        <v>0.98573560000000005</v>
      </c>
      <c r="Y6784">
        <v>-0.15221370000000001</v>
      </c>
      <c r="Z6784">
        <v>-3.9295110000000001E-3</v>
      </c>
      <c r="AA6784">
        <v>0.98833979999999999</v>
      </c>
      <c r="AB6784">
        <v>26</v>
      </c>
      <c r="AC6784">
        <v>-32.817999999999898</v>
      </c>
      <c r="AD6784">
        <v>-1.121161740709</v>
      </c>
      <c r="AE6784">
        <v>-4.4025999999999996</v>
      </c>
      <c r="AF6784">
        <v>-5.0783188762478</v>
      </c>
      <c r="AG6784">
        <v>-1.121161740709</v>
      </c>
      <c r="AH6784">
        <v>32.681875675014503</v>
      </c>
      <c r="AI6784">
        <v>91.941498011743604</v>
      </c>
      <c r="AJ6784">
        <v>98.832351174267799</v>
      </c>
      <c r="AK6784">
        <v>33.093070632608097</v>
      </c>
      <c r="AL6784">
        <v>80.337041221146393</v>
      </c>
      <c r="AM6784">
        <v>89.285666925923195</v>
      </c>
      <c r="AN6784">
        <v>1.00000002553631</v>
      </c>
    </row>
    <row r="6785" spans="1:40" x14ac:dyDescent="0.25">
      <c r="A6785" t="str">
        <f>"20190303162048039"</f>
        <v>20190303162048039</v>
      </c>
      <c r="B6785" t="str">
        <f>"1551601248029524"</f>
        <v>1551601248029524</v>
      </c>
      <c r="C6785" t="s">
        <v>40</v>
      </c>
      <c r="D6785">
        <v>4.1271879999999896</v>
      </c>
      <c r="E6785">
        <v>0.4370964</v>
      </c>
      <c r="F6785" t="s">
        <v>41</v>
      </c>
      <c r="G6785">
        <v>-383.57139999999998</v>
      </c>
      <c r="H6785" s="1">
        <v>-3.13569E-6</v>
      </c>
      <c r="I6785">
        <v>137.38640000000001</v>
      </c>
      <c r="J6785">
        <v>-349.52440000000001</v>
      </c>
      <c r="K6785">
        <v>1.1211580000000001</v>
      </c>
      <c r="L6785">
        <v>141.95830000000001</v>
      </c>
      <c r="M6785">
        <v>-0.99970840000000005</v>
      </c>
      <c r="N6785">
        <v>-1.1841279999999999E-2</v>
      </c>
      <c r="O6785">
        <v>2.1047219999999998E-2</v>
      </c>
      <c r="P6785">
        <v>-0.98717140000000003</v>
      </c>
      <c r="Q6785">
        <v>0.15641259999999901</v>
      </c>
      <c r="R6785">
        <v>3.206196E-2</v>
      </c>
      <c r="S6785">
        <v>-3.0683289999999999</v>
      </c>
      <c r="T6785">
        <v>-0.1003058</v>
      </c>
      <c r="U6785">
        <v>-0.40853879999999998</v>
      </c>
      <c r="V6785">
        <v>1.1357819999999999E-2</v>
      </c>
      <c r="W6785">
        <v>0.1680914</v>
      </c>
      <c r="X6785">
        <v>0.98570599999999997</v>
      </c>
      <c r="Y6785">
        <v>-0.15270339999999999</v>
      </c>
      <c r="Z6785">
        <v>-3.8298210000000002E-3</v>
      </c>
      <c r="AA6785">
        <v>0.98826460000000005</v>
      </c>
      <c r="AB6785">
        <v>26</v>
      </c>
      <c r="AC6785">
        <v>-34.046999999999898</v>
      </c>
      <c r="AD6785">
        <v>-1.12116113569</v>
      </c>
      <c r="AE6785">
        <v>-4.5718999999999896</v>
      </c>
      <c r="AF6785">
        <v>-5.2819059120437899</v>
      </c>
      <c r="AG6785">
        <v>-1.12116113569</v>
      </c>
      <c r="AH6785">
        <v>33.907107735860002</v>
      </c>
      <c r="AI6785">
        <v>91.8712812564617</v>
      </c>
      <c r="AJ6785">
        <v>98.854133568906505</v>
      </c>
      <c r="AK6785">
        <v>34.334348506518701</v>
      </c>
      <c r="AL6785">
        <v>80.323132659444099</v>
      </c>
      <c r="AM6785">
        <v>89.339837281271102</v>
      </c>
      <c r="AN6785">
        <v>1.0000000186325499</v>
      </c>
    </row>
    <row r="6786" spans="1:40" x14ac:dyDescent="0.25">
      <c r="A6786" t="str">
        <f>"20190303162048063"</f>
        <v>20190303162048063</v>
      </c>
      <c r="B6786" t="str">
        <f>"1551601248058803"</f>
        <v>1551601248058803</v>
      </c>
      <c r="C6786" t="s">
        <v>40</v>
      </c>
      <c r="D6786">
        <v>4.1159319999999999</v>
      </c>
      <c r="E6786">
        <v>0.43716139999999998</v>
      </c>
      <c r="F6786" t="s">
        <v>41</v>
      </c>
      <c r="G6786">
        <v>-383.94420000000002</v>
      </c>
      <c r="H6786" s="1">
        <v>-2.9809780000000002E-6</v>
      </c>
      <c r="I6786">
        <v>137.357</v>
      </c>
      <c r="J6786">
        <v>-349.80590000000001</v>
      </c>
      <c r="K6786">
        <v>1.1211580000000001</v>
      </c>
      <c r="L6786">
        <v>141.96459999999999</v>
      </c>
      <c r="M6786">
        <v>-0.99970230000000004</v>
      </c>
      <c r="N6786">
        <v>-1.1841300000000001E-2</v>
      </c>
      <c r="O6786">
        <v>2.1334100000000002E-2</v>
      </c>
      <c r="P6786">
        <v>-0.98715580000000003</v>
      </c>
      <c r="Q6786">
        <v>0.15660089999999999</v>
      </c>
      <c r="R6786">
        <v>3.1613450000000001E-2</v>
      </c>
      <c r="S6786">
        <v>-3.0681759999999998</v>
      </c>
      <c r="T6786">
        <v>-9.9940180000000003E-2</v>
      </c>
      <c r="U6786">
        <v>-0.41015629999999997</v>
      </c>
      <c r="V6786">
        <v>1.062661E-2</v>
      </c>
      <c r="W6786">
        <v>0.16827890000000001</v>
      </c>
      <c r="X6786">
        <v>0.98568210000000001</v>
      </c>
      <c r="Y6786">
        <v>-0.15350539999999999</v>
      </c>
      <c r="Z6786">
        <v>-3.8420590000000001E-3</v>
      </c>
      <c r="AA6786">
        <v>0.98814029999999997</v>
      </c>
      <c r="AB6786">
        <v>26</v>
      </c>
      <c r="AC6786">
        <v>-34.138300000000001</v>
      </c>
      <c r="AD6786">
        <v>-1.1211609809780001</v>
      </c>
      <c r="AE6786">
        <v>-4.6075999999999899</v>
      </c>
      <c r="AF6786">
        <v>-5.3292669252690796</v>
      </c>
      <c r="AG6786">
        <v>-1.1211609809780001</v>
      </c>
      <c r="AH6786">
        <v>33.996211608455603</v>
      </c>
      <c r="AI6786">
        <v>91.866099687545898</v>
      </c>
      <c r="AJ6786">
        <v>98.909215583327594</v>
      </c>
      <c r="AK6786">
        <v>34.429645534523402</v>
      </c>
      <c r="AL6786">
        <v>80.312233864200905</v>
      </c>
      <c r="AM6786">
        <v>89.382319800623605</v>
      </c>
      <c r="AN6786">
        <v>0.99999995764285499</v>
      </c>
    </row>
    <row r="6787" spans="1:40" x14ac:dyDescent="0.25">
      <c r="A6787" t="str">
        <f>"20190303162048085"</f>
        <v>20190303162048085</v>
      </c>
      <c r="B6787" t="str">
        <f>"1551601248079300"</f>
        <v>1551601248079300</v>
      </c>
      <c r="C6787" t="s">
        <v>40</v>
      </c>
      <c r="D6787">
        <v>4.1297370000000004</v>
      </c>
      <c r="E6787">
        <v>0.43733080000000002</v>
      </c>
      <c r="F6787" t="s">
        <v>41</v>
      </c>
      <c r="G6787">
        <v>-384.77870000000001</v>
      </c>
      <c r="H6787" s="1">
        <v>-2.636696E-6</v>
      </c>
      <c r="I6787">
        <v>137.27969999999999</v>
      </c>
      <c r="J6787">
        <v>-350.05180000000001</v>
      </c>
      <c r="K6787">
        <v>1.121165</v>
      </c>
      <c r="L6787">
        <v>141.9701</v>
      </c>
      <c r="M6787">
        <v>-0.99969699999999995</v>
      </c>
      <c r="N6787">
        <v>-1.1841229999999999E-2</v>
      </c>
      <c r="O6787">
        <v>2.158593E-2</v>
      </c>
      <c r="P6787">
        <v>-0.98710920000000002</v>
      </c>
      <c r="Q6787">
        <v>0.15696860000000001</v>
      </c>
      <c r="R6787">
        <v>3.124948E-2</v>
      </c>
      <c r="S6787">
        <v>-3.0678100000000001</v>
      </c>
      <c r="T6787">
        <v>-9.8348379999999999E-2</v>
      </c>
      <c r="U6787">
        <v>-0.41094969999999997</v>
      </c>
      <c r="V6787">
        <v>1.0015629999999999E-2</v>
      </c>
      <c r="W6787">
        <v>0.1686465</v>
      </c>
      <c r="X6787">
        <v>0.98562570000000005</v>
      </c>
      <c r="Y6787">
        <v>-0.15402360000000001</v>
      </c>
      <c r="Z6787">
        <v>-3.8081780000000002E-3</v>
      </c>
      <c r="AA6787">
        <v>0.98805980000000004</v>
      </c>
      <c r="AB6787">
        <v>26</v>
      </c>
      <c r="AC6787">
        <v>-34.726900000000001</v>
      </c>
      <c r="AD6787">
        <v>-1.1211676366959999</v>
      </c>
      <c r="AE6787">
        <v>-4.6904000000000101</v>
      </c>
      <c r="AF6787">
        <v>-5.4334098717856802</v>
      </c>
      <c r="AG6787">
        <v>-1.1211676366959999</v>
      </c>
      <c r="AH6787">
        <v>34.5821531172638</v>
      </c>
      <c r="AI6787">
        <v>91.834414375763004</v>
      </c>
      <c r="AJ6787">
        <v>98.929088865824198</v>
      </c>
      <c r="AK6787">
        <v>35.024338308243102</v>
      </c>
      <c r="AL6787">
        <v>80.2908668478198</v>
      </c>
      <c r="AM6787">
        <v>89.417797671733595</v>
      </c>
      <c r="AN6787">
        <v>0.99999998765351805</v>
      </c>
    </row>
    <row r="6788" spans="1:40" x14ac:dyDescent="0.25">
      <c r="A6788" t="str">
        <f>"20190303162048107"</f>
        <v>20190303162048107</v>
      </c>
      <c r="B6788" t="str">
        <f>"1551601248098819"</f>
        <v>1551601248098819</v>
      </c>
      <c r="C6788" t="s">
        <v>40</v>
      </c>
      <c r="D6788">
        <v>4.1538979999999999</v>
      </c>
      <c r="E6788">
        <v>0.43748209999999998</v>
      </c>
      <c r="F6788" t="s">
        <v>41</v>
      </c>
      <c r="G6788">
        <v>-385.43520000000001</v>
      </c>
      <c r="H6788" s="1">
        <v>-2.363382E-6</v>
      </c>
      <c r="I6788">
        <v>137.23259999999999</v>
      </c>
      <c r="J6788">
        <v>-350.31099999999998</v>
      </c>
      <c r="K6788">
        <v>1.1211580000000001</v>
      </c>
      <c r="L6788">
        <v>141.976</v>
      </c>
      <c r="M6788">
        <v>-0.99969110000000005</v>
      </c>
      <c r="N6788">
        <v>-1.184106E-2</v>
      </c>
      <c r="O6788">
        <v>2.185206E-2</v>
      </c>
      <c r="P6788">
        <v>-0.98713430000000002</v>
      </c>
      <c r="Q6788">
        <v>0.15681729999999899</v>
      </c>
      <c r="R6788">
        <v>3.1217189999999999E-2</v>
      </c>
      <c r="S6788">
        <v>-3.0676570000000001</v>
      </c>
      <c r="T6788">
        <v>-9.7202659999999996E-2</v>
      </c>
      <c r="U6788">
        <v>-0.4107208</v>
      </c>
      <c r="V6788">
        <v>9.7200740000000004E-3</v>
      </c>
      <c r="W6788">
        <v>0.1684956</v>
      </c>
      <c r="X6788">
        <v>0.98565449999999999</v>
      </c>
      <c r="Y6788">
        <v>-0.15422279999999999</v>
      </c>
      <c r="Z6788">
        <v>-3.7812800000000001E-3</v>
      </c>
      <c r="AA6788">
        <v>0.98802889999999999</v>
      </c>
      <c r="AB6788">
        <v>26</v>
      </c>
      <c r="AC6788">
        <v>-35.124200000000002</v>
      </c>
      <c r="AD6788">
        <v>-1.121160363382</v>
      </c>
      <c r="AE6788">
        <v>-4.7434000000000003</v>
      </c>
      <c r="AF6788">
        <v>-5.5043493057070298</v>
      </c>
      <c r="AG6788">
        <v>-1.121160363382</v>
      </c>
      <c r="AH6788">
        <v>34.977152187519899</v>
      </c>
      <c r="AI6788">
        <v>91.813629782745096</v>
      </c>
      <c r="AJ6788">
        <v>98.943282148614699</v>
      </c>
      <c r="AK6788">
        <v>35.425358671276399</v>
      </c>
      <c r="AL6788">
        <v>80.299638623859295</v>
      </c>
      <c r="AM6788">
        <v>89.434993535423601</v>
      </c>
      <c r="AN6788">
        <v>1.00000002021408</v>
      </c>
    </row>
    <row r="6789" spans="1:40" x14ac:dyDescent="0.25">
      <c r="A6789" t="str">
        <f>"20190303162048129"</f>
        <v>20190303162048129</v>
      </c>
      <c r="B6789" t="str">
        <f>"1551601248119315"</f>
        <v>1551601248119315</v>
      </c>
      <c r="C6789" t="s">
        <v>40</v>
      </c>
      <c r="D6789">
        <v>4.136164</v>
      </c>
      <c r="E6789">
        <v>0.43753930000000002</v>
      </c>
      <c r="F6789" t="s">
        <v>41</v>
      </c>
      <c r="G6789">
        <v>-385.17020000000002</v>
      </c>
      <c r="H6789" s="1">
        <v>-2.4613640000000001E-6</v>
      </c>
      <c r="I6789">
        <v>137.32130000000001</v>
      </c>
      <c r="J6789">
        <v>-350.56389999999999</v>
      </c>
      <c r="K6789">
        <v>1.1211549999999999</v>
      </c>
      <c r="L6789">
        <v>141.98179999999999</v>
      </c>
      <c r="M6789">
        <v>-0.9996855</v>
      </c>
      <c r="N6789">
        <v>-1.184108E-2</v>
      </c>
      <c r="O6789">
        <v>2.2111289999999999E-2</v>
      </c>
      <c r="P6789">
        <v>-0.98716680000000001</v>
      </c>
      <c r="Q6789">
        <v>0.15654749999999901</v>
      </c>
      <c r="R6789">
        <v>3.154535E-2</v>
      </c>
      <c r="S6789">
        <v>-3.0677189999999999</v>
      </c>
      <c r="T6789">
        <v>-9.8665829999999996E-2</v>
      </c>
      <c r="U6789">
        <v>-0.40962219999999999</v>
      </c>
      <c r="V6789">
        <v>9.791513E-3</v>
      </c>
      <c r="W6789">
        <v>0.1682263</v>
      </c>
      <c r="X6789">
        <v>0.98569980000000001</v>
      </c>
      <c r="Y6789">
        <v>-0.15412579999999901</v>
      </c>
      <c r="Z6789">
        <v>-3.8313549999999998E-3</v>
      </c>
      <c r="AA6789">
        <v>0.98804380000000003</v>
      </c>
      <c r="AB6789">
        <v>26</v>
      </c>
      <c r="AC6789">
        <v>-34.606299999999997</v>
      </c>
      <c r="AD6789">
        <v>-1.1211574613640001</v>
      </c>
      <c r="AE6789">
        <v>-4.6604999999999803</v>
      </c>
      <c r="AF6789">
        <v>-5.4190174524076404</v>
      </c>
      <c r="AG6789">
        <v>-1.1211574613640001</v>
      </c>
      <c r="AH6789">
        <v>34.459257157632898</v>
      </c>
      <c r="AI6789">
        <v>91.840895203068797</v>
      </c>
      <c r="AJ6789">
        <v>98.937066479229102</v>
      </c>
      <c r="AK6789">
        <v>34.900761425197402</v>
      </c>
      <c r="AL6789">
        <v>80.315291903178505</v>
      </c>
      <c r="AM6789">
        <v>89.430867371308395</v>
      </c>
      <c r="AN6789">
        <v>1.0000000287292701</v>
      </c>
    </row>
    <row r="6790" spans="1:40" x14ac:dyDescent="0.25">
      <c r="A6790" t="str">
        <f>"20190303162048151"</f>
        <v>20190303162048151</v>
      </c>
      <c r="B6790" t="str">
        <f>"1551601248138835"</f>
        <v>1551601248138835</v>
      </c>
      <c r="C6790" t="s">
        <v>40</v>
      </c>
      <c r="D6790">
        <v>4.1088100000000001</v>
      </c>
      <c r="E6790">
        <v>0.43760060000000001</v>
      </c>
      <c r="F6790" t="s">
        <v>41</v>
      </c>
      <c r="G6790">
        <v>-385.47840000000002</v>
      </c>
      <c r="H6790" s="1">
        <v>-2.3258740000000002E-6</v>
      </c>
      <c r="I6790">
        <v>137.3398</v>
      </c>
      <c r="J6790">
        <v>-350.82600000000002</v>
      </c>
      <c r="K6790">
        <v>1.121148</v>
      </c>
      <c r="L6790">
        <v>141.9879</v>
      </c>
      <c r="M6790">
        <v>-0.9996794</v>
      </c>
      <c r="N6790">
        <v>-1.184118E-2</v>
      </c>
      <c r="O6790">
        <v>2.2380520000000001E-2</v>
      </c>
      <c r="P6790">
        <v>-0.98725050000000003</v>
      </c>
      <c r="Q6790">
        <v>0.15592839999999999</v>
      </c>
      <c r="R6790">
        <v>3.1985079999999999E-2</v>
      </c>
      <c r="S6790">
        <v>-3.0676570000000001</v>
      </c>
      <c r="T6790">
        <v>-9.8507289999999997E-2</v>
      </c>
      <c r="U6790">
        <v>-0.4078522</v>
      </c>
      <c r="V6790">
        <v>9.9632590000000004E-3</v>
      </c>
      <c r="W6790">
        <v>0.1676086</v>
      </c>
      <c r="X6790">
        <v>0.98580319999999999</v>
      </c>
      <c r="Y6790">
        <v>-0.15383479999999999</v>
      </c>
      <c r="Z6790">
        <v>-3.8254529999999999E-3</v>
      </c>
      <c r="AA6790">
        <v>0.9880892</v>
      </c>
      <c r="AB6790">
        <v>26</v>
      </c>
      <c r="AC6790">
        <v>-34.6524</v>
      </c>
      <c r="AD6790">
        <v>-1.1211503258740001</v>
      </c>
      <c r="AE6790">
        <v>-4.6481000000000003</v>
      </c>
      <c r="AF6790">
        <v>-5.4169584918445697</v>
      </c>
      <c r="AG6790">
        <v>-1.1211503258740001</v>
      </c>
      <c r="AH6790">
        <v>34.504204617326998</v>
      </c>
      <c r="AI6790">
        <v>91.838561609869998</v>
      </c>
      <c r="AJ6790">
        <v>98.922275298752794</v>
      </c>
      <c r="AK6790">
        <v>34.944821556704802</v>
      </c>
      <c r="AL6790">
        <v>80.351192297819196</v>
      </c>
      <c r="AM6790">
        <v>89.420946031349999</v>
      </c>
      <c r="AN6790">
        <v>0.99999992922704795</v>
      </c>
    </row>
    <row r="6791" spans="1:40" x14ac:dyDescent="0.25">
      <c r="A6791" t="str">
        <f>"20190303162048173"</f>
        <v>20190303162048173</v>
      </c>
      <c r="B6791" t="str">
        <f>"1551601248169091"</f>
        <v>1551601248169091</v>
      </c>
      <c r="C6791" t="s">
        <v>40</v>
      </c>
      <c r="D6791">
        <v>4.096336</v>
      </c>
      <c r="E6791">
        <v>0.43764009999999998</v>
      </c>
      <c r="F6791" t="s">
        <v>41</v>
      </c>
      <c r="G6791">
        <v>-385.05079999999998</v>
      </c>
      <c r="H6791" s="1">
        <v>-2.4877069999999999E-6</v>
      </c>
      <c r="I6791">
        <v>137.4614</v>
      </c>
      <c r="J6791">
        <v>-351.09089999999998</v>
      </c>
      <c r="K6791">
        <v>1.1211450000000001</v>
      </c>
      <c r="L6791">
        <v>141.99420000000001</v>
      </c>
      <c r="M6791">
        <v>-0.99967329999999999</v>
      </c>
      <c r="N6791">
        <v>-1.1841290000000001E-2</v>
      </c>
      <c r="O6791">
        <v>2.2652370000000002E-2</v>
      </c>
      <c r="P6791">
        <v>-0.9873883</v>
      </c>
      <c r="Q6791">
        <v>0.15501219999999999</v>
      </c>
      <c r="R6791">
        <v>3.2182919999999997E-2</v>
      </c>
      <c r="S6791">
        <v>-3.06778</v>
      </c>
      <c r="T6791">
        <v>-0.10049569999999999</v>
      </c>
      <c r="U6791">
        <v>-0.40573120000000001</v>
      </c>
      <c r="V6791">
        <v>9.8890060000000005E-3</v>
      </c>
      <c r="W6791">
        <v>0.16669419999999999</v>
      </c>
      <c r="X6791">
        <v>0.98595909999999998</v>
      </c>
      <c r="Y6791">
        <v>-0.15342320000000001</v>
      </c>
      <c r="Z6791">
        <v>-3.8859799999999998E-3</v>
      </c>
      <c r="AA6791">
        <v>0.9881529</v>
      </c>
      <c r="AB6791">
        <v>26</v>
      </c>
      <c r="AC6791">
        <v>-33.959899999999998</v>
      </c>
      <c r="AD6791">
        <v>-1.121147487707</v>
      </c>
      <c r="AE6791">
        <v>-4.5327999999999999</v>
      </c>
      <c r="AF6791">
        <v>-5.2952924697172596</v>
      </c>
      <c r="AG6791">
        <v>-1.121147487707</v>
      </c>
      <c r="AH6791">
        <v>33.812291410247099</v>
      </c>
      <c r="AI6791">
        <v>91.876264052435204</v>
      </c>
      <c r="AJ6791">
        <v>98.900709444760395</v>
      </c>
      <c r="AK6791">
        <v>34.242782370019398</v>
      </c>
      <c r="AL6791">
        <v>80.404332311078505</v>
      </c>
      <c r="AM6791">
        <v>89.425352117490803</v>
      </c>
      <c r="AN6791">
        <v>1.00000004781305</v>
      </c>
    </row>
    <row r="6792" spans="1:40" x14ac:dyDescent="0.25">
      <c r="A6792" t="str">
        <f>"20190303162048189"</f>
        <v>20190303162048189</v>
      </c>
      <c r="B6792" t="str">
        <f>"1551601248178852"</f>
        <v>1551601248178852</v>
      </c>
      <c r="C6792" t="s">
        <v>40</v>
      </c>
      <c r="D6792">
        <v>4.0929479999999998</v>
      </c>
      <c r="E6792">
        <v>0.43769019999999997</v>
      </c>
      <c r="F6792" t="s">
        <v>41</v>
      </c>
      <c r="G6792">
        <v>-384.47570000000002</v>
      </c>
      <c r="H6792" s="1">
        <v>-2.7118060000000002E-6</v>
      </c>
      <c r="I6792">
        <v>137.589</v>
      </c>
      <c r="J6792">
        <v>-351.2749</v>
      </c>
      <c r="K6792">
        <v>1.1211439999999999</v>
      </c>
      <c r="L6792">
        <v>141.99860000000001</v>
      </c>
      <c r="M6792">
        <v>-0.99966900000000003</v>
      </c>
      <c r="N6792">
        <v>-1.184137E-2</v>
      </c>
      <c r="O6792">
        <v>2.284102E-2</v>
      </c>
      <c r="P6792">
        <v>-0.98743749999999997</v>
      </c>
      <c r="Q6792">
        <v>0.15461569999999999</v>
      </c>
      <c r="R6792">
        <v>3.2583050000000002E-2</v>
      </c>
      <c r="S6792">
        <v>-3.067688</v>
      </c>
      <c r="T6792">
        <v>-0.1030211</v>
      </c>
      <c r="U6792">
        <v>-0.40478520000000001</v>
      </c>
      <c r="V6792">
        <v>1.0101590000000001E-2</v>
      </c>
      <c r="W6792">
        <v>0.16629829999999901</v>
      </c>
      <c r="X6792">
        <v>0.98602369999999995</v>
      </c>
      <c r="Y6792">
        <v>-0.1533088</v>
      </c>
      <c r="Z6792">
        <v>-3.9690189999999998E-3</v>
      </c>
      <c r="AA6792">
        <v>0.9881704</v>
      </c>
      <c r="AB6792">
        <v>26</v>
      </c>
      <c r="AC6792">
        <v>-33.200800000000001</v>
      </c>
      <c r="AD6792">
        <v>-1.1211467118059999</v>
      </c>
      <c r="AE6792">
        <v>-4.40960000000001</v>
      </c>
      <c r="AF6792">
        <v>-5.1610594550216904</v>
      </c>
      <c r="AG6792">
        <v>-1.1211467118059999</v>
      </c>
      <c r="AH6792">
        <v>33.054370927524097</v>
      </c>
      <c r="AI6792">
        <v>91.919390320516499</v>
      </c>
      <c r="AJ6792">
        <v>98.874422072111201</v>
      </c>
      <c r="AK6792">
        <v>33.473645485097897</v>
      </c>
      <c r="AL6792">
        <v>80.4273358764965</v>
      </c>
      <c r="AM6792">
        <v>89.413038220069595</v>
      </c>
      <c r="AN6792">
        <v>0.99999995183255197</v>
      </c>
    </row>
    <row r="6793" spans="1:40" x14ac:dyDescent="0.25">
      <c r="A6793" t="str">
        <f>"20190303162048208"</f>
        <v>20190303162048208</v>
      </c>
      <c r="B6793" t="str">
        <f>"1551601248198709"</f>
        <v>1551601248198709</v>
      </c>
      <c r="C6793" t="s">
        <v>40</v>
      </c>
      <c r="D6793">
        <v>4.0879529999999997</v>
      </c>
      <c r="E6793">
        <v>0.43778099999999998</v>
      </c>
      <c r="F6793" t="s">
        <v>41</v>
      </c>
      <c r="G6793">
        <v>-384.32920000000001</v>
      </c>
      <c r="H6793" s="1">
        <v>-2.7631400000000001E-6</v>
      </c>
      <c r="I6793">
        <v>137.65379999999999</v>
      </c>
      <c r="J6793">
        <v>-351.48790000000002</v>
      </c>
      <c r="K6793">
        <v>1.121138</v>
      </c>
      <c r="L6793">
        <v>142.00370000000001</v>
      </c>
      <c r="M6793">
        <v>-0.999664</v>
      </c>
      <c r="N6793">
        <v>-1.184137E-2</v>
      </c>
      <c r="O6793">
        <v>2.3059639999999999E-2</v>
      </c>
      <c r="P6793">
        <v>-0.9875237</v>
      </c>
      <c r="Q6793">
        <v>0.1541072</v>
      </c>
      <c r="R6793">
        <v>3.2376679999999998E-2</v>
      </c>
      <c r="S6793">
        <v>-3.06778</v>
      </c>
      <c r="T6793">
        <v>-0.1040541</v>
      </c>
      <c r="U6793">
        <v>-0.4032288</v>
      </c>
      <c r="V6793">
        <v>9.6769630000000002E-3</v>
      </c>
      <c r="W6793">
        <v>0.16579099999999999</v>
      </c>
      <c r="X6793">
        <v>0.98611340000000003</v>
      </c>
      <c r="Y6793">
        <v>-0.1530263</v>
      </c>
      <c r="Z6793">
        <v>-4.000689E-3</v>
      </c>
      <c r="AA6793">
        <v>0.98821400000000004</v>
      </c>
      <c r="AB6793">
        <v>26</v>
      </c>
      <c r="AC6793">
        <v>-32.841299999999897</v>
      </c>
      <c r="AD6793">
        <v>-1.1211407631400001</v>
      </c>
      <c r="AE6793">
        <v>-4.3499000000000096</v>
      </c>
      <c r="AF6793">
        <v>-5.1002633560480097</v>
      </c>
      <c r="AG6793">
        <v>-1.1211407631400001</v>
      </c>
      <c r="AH6793">
        <v>32.694805832757197</v>
      </c>
      <c r="AI6793">
        <v>91.940514763728004</v>
      </c>
      <c r="AJ6793">
        <v>98.866459876738602</v>
      </c>
      <c r="AK6793">
        <v>33.109212786677801</v>
      </c>
      <c r="AL6793">
        <v>80.456811357011006</v>
      </c>
      <c r="AM6793">
        <v>89.437761071200399</v>
      </c>
      <c r="AN6793">
        <v>0.999999968476731</v>
      </c>
    </row>
    <row r="6794" spans="1:40" x14ac:dyDescent="0.25">
      <c r="A6794" t="str">
        <f>"20190303162048229"</f>
        <v>20190303162048229</v>
      </c>
      <c r="B6794" t="str">
        <f>"1551601248219206"</f>
        <v>1551601248219206</v>
      </c>
      <c r="C6794" t="s">
        <v>40</v>
      </c>
      <c r="D6794">
        <v>4.1413039999999999</v>
      </c>
      <c r="E6794">
        <v>0.43777280000000002</v>
      </c>
      <c r="F6794" t="s">
        <v>41</v>
      </c>
      <c r="G6794">
        <v>-384.00729999999999</v>
      </c>
      <c r="H6794" s="1">
        <v>-2.8881200000000001E-6</v>
      </c>
      <c r="I6794">
        <v>137.7278</v>
      </c>
      <c r="J6794">
        <v>-351.74419999999998</v>
      </c>
      <c r="K6794">
        <v>1.121135</v>
      </c>
      <c r="L6794">
        <v>142.00989999999999</v>
      </c>
      <c r="M6794">
        <v>-0.99965789999999999</v>
      </c>
      <c r="N6794">
        <v>-1.18414E-2</v>
      </c>
      <c r="O6794">
        <v>2.3322369999999999E-2</v>
      </c>
      <c r="P6794">
        <v>-0.98755910000000002</v>
      </c>
      <c r="Q6794">
        <v>0.1537473</v>
      </c>
      <c r="R6794">
        <v>3.2997699999999998E-2</v>
      </c>
      <c r="S6794">
        <v>-3.0675659999999998</v>
      </c>
      <c r="T6794">
        <v>-0.105758</v>
      </c>
      <c r="U6794">
        <v>-0.40333560000000002</v>
      </c>
      <c r="V6794">
        <v>1.0037020000000001E-2</v>
      </c>
      <c r="W6794">
        <v>0.16543169999999999</v>
      </c>
      <c r="X6794">
        <v>0.9861702</v>
      </c>
      <c r="Y6794">
        <v>-0.15332470000000001</v>
      </c>
      <c r="Z6794">
        <v>-4.0687780000000003E-3</v>
      </c>
      <c r="AA6794">
        <v>0.98816749999999998</v>
      </c>
      <c r="AB6794">
        <v>26</v>
      </c>
      <c r="AC6794">
        <v>-32.263100000000001</v>
      </c>
      <c r="AD6794">
        <v>-1.12113788812</v>
      </c>
      <c r="AE6794">
        <v>-4.2820999999999803</v>
      </c>
      <c r="AF6794">
        <v>-5.0274739361208098</v>
      </c>
      <c r="AG6794">
        <v>-1.12113788812</v>
      </c>
      <c r="AH6794">
        <v>32.116336576850003</v>
      </c>
      <c r="AI6794">
        <v>91.975270602575307</v>
      </c>
      <c r="AJ6794">
        <v>98.896847933224393</v>
      </c>
      <c r="AK6794">
        <v>32.526781572422202</v>
      </c>
      <c r="AL6794">
        <v>80.477686542386195</v>
      </c>
      <c r="AM6794">
        <v>89.416876489273903</v>
      </c>
      <c r="AN6794">
        <v>1.0000000262516999</v>
      </c>
    </row>
    <row r="6795" spans="1:40" x14ac:dyDescent="0.25">
      <c r="A6795" t="str">
        <f>"20190303162048252"</f>
        <v>20190303162048252</v>
      </c>
      <c r="B6795" t="str">
        <f>"1551601248249461"</f>
        <v>1551601248249461</v>
      </c>
      <c r="C6795" t="s">
        <v>40</v>
      </c>
      <c r="D6795">
        <v>4.1309230000000001</v>
      </c>
      <c r="E6795">
        <v>0.4826201</v>
      </c>
      <c r="F6795" t="s">
        <v>41</v>
      </c>
      <c r="G6795">
        <v>-383.90730000000002</v>
      </c>
      <c r="H6795" s="1">
        <v>-2.918084E-6</v>
      </c>
      <c r="I6795">
        <v>137.80080000000001</v>
      </c>
      <c r="J6795">
        <v>-352.00639999999999</v>
      </c>
      <c r="K6795">
        <v>1.1211359999999999</v>
      </c>
      <c r="L6795">
        <v>142.0164</v>
      </c>
      <c r="M6795">
        <v>-0.99965159999999997</v>
      </c>
      <c r="N6795">
        <v>-1.184148E-2</v>
      </c>
      <c r="O6795">
        <v>2.3591419999999998E-2</v>
      </c>
      <c r="P6795">
        <v>-0.9876066</v>
      </c>
      <c r="Q6795">
        <v>0.15340680000000001</v>
      </c>
      <c r="R6795">
        <v>3.3157819999999998E-2</v>
      </c>
      <c r="S6795">
        <v>-3.067841</v>
      </c>
      <c r="T6795">
        <v>-0.10693859999999999</v>
      </c>
      <c r="U6795">
        <v>-0.401474</v>
      </c>
      <c r="V6795">
        <v>9.9299750000000006E-3</v>
      </c>
      <c r="W6795">
        <v>0.16509160000000001</v>
      </c>
      <c r="X6795">
        <v>0.9862282</v>
      </c>
      <c r="Y6795">
        <v>-0.1529874</v>
      </c>
      <c r="Z6795">
        <v>-4.1051680000000002E-3</v>
      </c>
      <c r="AA6795">
        <v>0.98821959999999998</v>
      </c>
      <c r="AB6795">
        <v>26</v>
      </c>
      <c r="AC6795">
        <v>-31.9009</v>
      </c>
      <c r="AD6795">
        <v>-1.1211389180839999</v>
      </c>
      <c r="AE6795">
        <v>-4.2155999999999896</v>
      </c>
      <c r="AF6795">
        <v>-4.9610444568325596</v>
      </c>
      <c r="AG6795">
        <v>-1.1211389180839999</v>
      </c>
      <c r="AH6795">
        <v>31.754014034255601</v>
      </c>
      <c r="AI6795">
        <v>91.997885887376796</v>
      </c>
      <c r="AJ6795">
        <v>98.879742824599106</v>
      </c>
      <c r="AK6795">
        <v>32.158767418295398</v>
      </c>
      <c r="AL6795">
        <v>80.497443797815706</v>
      </c>
      <c r="AM6795">
        <v>89.423129014919596</v>
      </c>
      <c r="AN6795">
        <v>0.99999995163464905</v>
      </c>
    </row>
    <row r="6796" spans="1:40" x14ac:dyDescent="0.25">
      <c r="A6796" t="str">
        <f>"20190303162048273"</f>
        <v>20190303162048273</v>
      </c>
      <c r="B6796" t="str">
        <f>"1551601248268981"</f>
        <v>1551601248268981</v>
      </c>
      <c r="C6796" t="s">
        <v>40</v>
      </c>
      <c r="D6796">
        <v>4.1533989999999896</v>
      </c>
      <c r="E6796">
        <v>0.49610720000000003</v>
      </c>
      <c r="F6796" t="s">
        <v>41</v>
      </c>
      <c r="G6796">
        <v>-366.70330000000001</v>
      </c>
      <c r="H6796" s="1">
        <v>-1.978892E-6</v>
      </c>
      <c r="I6796">
        <v>141.8047</v>
      </c>
      <c r="J6796">
        <v>-352.26170000000002</v>
      </c>
      <c r="K6796">
        <v>1.1211370000000001</v>
      </c>
      <c r="L6796">
        <v>142.02269999999999</v>
      </c>
      <c r="M6796">
        <v>-0.99964549999999996</v>
      </c>
      <c r="N6796">
        <v>-1.1841630000000001E-2</v>
      </c>
      <c r="O6796">
        <v>2.3852950000000001E-2</v>
      </c>
      <c r="P6796">
        <v>-0.9876047</v>
      </c>
      <c r="Q6796">
        <v>0.15331</v>
      </c>
      <c r="R6796">
        <v>3.366156E-2</v>
      </c>
      <c r="S6796">
        <v>-3.0755620000000001</v>
      </c>
      <c r="T6796">
        <v>-0.23461760000000001</v>
      </c>
      <c r="U6796">
        <v>-4.426575E-2</v>
      </c>
      <c r="V6796">
        <v>1.017502E-2</v>
      </c>
      <c r="W6796">
        <v>0.16499520000000001</v>
      </c>
      <c r="X6796">
        <v>0.9862419</v>
      </c>
      <c r="Y6796">
        <v>-3.8062070000000003E-2</v>
      </c>
      <c r="Z6796">
        <v>-3.210058E-3</v>
      </c>
      <c r="AA6796">
        <v>0.9992702</v>
      </c>
      <c r="AB6796">
        <v>26</v>
      </c>
      <c r="AC6796">
        <v>-14.4415999999999</v>
      </c>
      <c r="AD6796">
        <v>-1.1211389788920001</v>
      </c>
      <c r="AE6796">
        <v>-0.21799999999998901</v>
      </c>
      <c r="AF6796">
        <v>-0.559068192452296</v>
      </c>
      <c r="AG6796">
        <v>-1.1211389788920001</v>
      </c>
      <c r="AH6796">
        <v>14.345849993238399</v>
      </c>
      <c r="AI6796">
        <v>94.465249926078798</v>
      </c>
      <c r="AJ6796">
        <v>92.231728805515104</v>
      </c>
      <c r="AK6796">
        <v>14.400448669479101</v>
      </c>
      <c r="AL6796">
        <v>80.503044528170406</v>
      </c>
      <c r="AM6796">
        <v>89.408902603400307</v>
      </c>
      <c r="AN6796">
        <v>1.00000001618532</v>
      </c>
    </row>
    <row r="6797" spans="1:40" x14ac:dyDescent="0.25">
      <c r="A6797" t="str">
        <f>"20190303162048293"</f>
        <v>20190303162048293</v>
      </c>
      <c r="B6797" t="str">
        <f>"1551601248289477"</f>
        <v>1551601248289477</v>
      </c>
      <c r="C6797" t="s">
        <v>40</v>
      </c>
      <c r="D6797">
        <v>4.1213540000000002</v>
      </c>
      <c r="E6797">
        <v>0.50242719999999996</v>
      </c>
      <c r="F6797" t="s">
        <v>42</v>
      </c>
      <c r="G6797">
        <v>-353.11279999999999</v>
      </c>
      <c r="H6797">
        <v>1.0312030000000001</v>
      </c>
      <c r="I6797">
        <v>142.04040000000001</v>
      </c>
      <c r="J6797">
        <v>-352.48349999999999</v>
      </c>
      <c r="K6797">
        <v>1.1211370000000001</v>
      </c>
      <c r="L6797">
        <v>142.0282</v>
      </c>
      <c r="M6797">
        <v>-0.99963990000000003</v>
      </c>
      <c r="N6797">
        <v>-1.184178E-2</v>
      </c>
      <c r="O6797">
        <v>2.4080460000000001E-2</v>
      </c>
      <c r="P6797">
        <v>-0.9875391</v>
      </c>
      <c r="Q6797">
        <v>0.15359510000000001</v>
      </c>
      <c r="R6797">
        <v>3.4285719999999999E-2</v>
      </c>
      <c r="S6797">
        <v>-3.08609</v>
      </c>
      <c r="T6797">
        <v>-0.3261329</v>
      </c>
      <c r="U6797">
        <v>6.3903810000000005E-2</v>
      </c>
      <c r="V6797">
        <v>1.057613E-2</v>
      </c>
      <c r="W6797">
        <v>0.16527979999999901</v>
      </c>
      <c r="X6797">
        <v>0.98619000000000001</v>
      </c>
      <c r="Y6797">
        <v>-3.2545849999999999E-3</v>
      </c>
      <c r="Z6797">
        <v>-2.4434399999999998E-3</v>
      </c>
      <c r="AA6797">
        <v>0.99999170000000004</v>
      </c>
      <c r="AB6797">
        <v>26</v>
      </c>
      <c r="AC6797">
        <v>-0.62929999999999997</v>
      </c>
      <c r="AD6797">
        <v>-8.9933999999999903E-2</v>
      </c>
      <c r="AE6797">
        <v>1.2200000000007E-2</v>
      </c>
      <c r="AF6797">
        <v>-2.8992433458056199E-3</v>
      </c>
      <c r="AG6797">
        <v>-8.9933999999999903E-2</v>
      </c>
      <c r="AH6797">
        <v>0.61681837396244898</v>
      </c>
      <c r="AI6797">
        <v>98.295355609063606</v>
      </c>
      <c r="AJ6797">
        <v>90.269306478539406</v>
      </c>
      <c r="AK6797">
        <v>0.62334696311577298</v>
      </c>
      <c r="AL6797">
        <v>80.486510918047301</v>
      </c>
      <c r="AM6797">
        <v>89.385570342855701</v>
      </c>
      <c r="AN6797">
        <v>0.99999999145690799</v>
      </c>
    </row>
    <row r="6798" spans="1:40" x14ac:dyDescent="0.25">
      <c r="A6798" t="str">
        <f>"20190303162048308"</f>
        <v>20190303162048308</v>
      </c>
      <c r="B6798" t="str">
        <f>"1551601248299672"</f>
        <v>1551601248299672</v>
      </c>
      <c r="C6798" t="s">
        <v>40</v>
      </c>
      <c r="D6798">
        <v>4.1087989999999897</v>
      </c>
      <c r="E6798">
        <v>0.50392199999999998</v>
      </c>
      <c r="F6798" t="s">
        <v>42</v>
      </c>
      <c r="G6798">
        <v>-353.33879999999999</v>
      </c>
      <c r="H6798">
        <v>1.0179640000000001</v>
      </c>
      <c r="I6798">
        <v>142.06030000000001</v>
      </c>
      <c r="J6798">
        <v>-352.6558</v>
      </c>
      <c r="K6798">
        <v>1.121138</v>
      </c>
      <c r="L6798">
        <v>142.0326</v>
      </c>
      <c r="M6798">
        <v>-0.99963579999999996</v>
      </c>
      <c r="N6798">
        <v>-1.1841839999999999E-2</v>
      </c>
      <c r="O6798">
        <v>2.425712E-2</v>
      </c>
      <c r="P6798">
        <v>-0.98748789999999997</v>
      </c>
      <c r="Q6798">
        <v>0.1538339</v>
      </c>
      <c r="R6798">
        <v>3.4684600000000003E-2</v>
      </c>
      <c r="S6798">
        <v>-3.0918580000000002</v>
      </c>
      <c r="T6798">
        <v>-0.37298249999999999</v>
      </c>
      <c r="U6798">
        <v>0.1152039</v>
      </c>
      <c r="V6798">
        <v>1.080133E-2</v>
      </c>
      <c r="W6798">
        <v>0.16551769999999999</v>
      </c>
      <c r="X6798">
        <v>0.98614760000000001</v>
      </c>
      <c r="Y6798">
        <v>1.3020790000000001E-2</v>
      </c>
      <c r="Z6798">
        <v>-1.7681379999999901E-3</v>
      </c>
      <c r="AA6798">
        <v>0.99991359999999996</v>
      </c>
      <c r="AB6798">
        <v>26</v>
      </c>
      <c r="AC6798">
        <v>-0.68299999999999195</v>
      </c>
      <c r="AD6798">
        <v>-0.103174</v>
      </c>
      <c r="AE6798">
        <v>2.7700000000010001E-2</v>
      </c>
      <c r="AF6798">
        <v>1.0875318739180901E-2</v>
      </c>
      <c r="AG6798">
        <v>-0.103174</v>
      </c>
      <c r="AH6798">
        <v>0.66824718948581296</v>
      </c>
      <c r="AI6798">
        <v>98.775733144735796</v>
      </c>
      <c r="AJ6798">
        <v>89.067628159594406</v>
      </c>
      <c r="AK6798">
        <v>0.676252506900616</v>
      </c>
      <c r="AL6798">
        <v>80.472689333231003</v>
      </c>
      <c r="AM6798">
        <v>89.372461206224003</v>
      </c>
      <c r="AN6798">
        <v>0.99999993336440696</v>
      </c>
    </row>
    <row r="6799" spans="1:40" x14ac:dyDescent="0.25">
      <c r="A6799" t="str">
        <f>"20190303162048320"</f>
        <v>20190303162048320</v>
      </c>
      <c r="B6799" t="str">
        <f>"1551601248309432"</f>
        <v>1551601248309432</v>
      </c>
      <c r="C6799" t="s">
        <v>40</v>
      </c>
      <c r="D6799">
        <v>4.1434389999999999</v>
      </c>
      <c r="E6799">
        <v>0.50532390000000005</v>
      </c>
      <c r="F6799" t="s">
        <v>42</v>
      </c>
      <c r="G6799">
        <v>-353.56720000000001</v>
      </c>
      <c r="H6799">
        <v>1.007986</v>
      </c>
      <c r="I6799">
        <v>142.0703</v>
      </c>
      <c r="J6799">
        <v>-352.80630000000002</v>
      </c>
      <c r="K6799">
        <v>1.121135</v>
      </c>
      <c r="L6799">
        <v>142.03639999999999</v>
      </c>
      <c r="M6799">
        <v>-0.99963179999999996</v>
      </c>
      <c r="N6799">
        <v>-1.1841890000000001E-2</v>
      </c>
      <c r="O6799">
        <v>2.4411490000000001E-2</v>
      </c>
      <c r="P6799">
        <v>-0.98753259999999998</v>
      </c>
      <c r="Q6799">
        <v>0.1533504</v>
      </c>
      <c r="R6799">
        <v>3.5544159999999998E-2</v>
      </c>
      <c r="S6799">
        <v>-3.0933839999999999</v>
      </c>
      <c r="T6799">
        <v>-0.38404690000000002</v>
      </c>
      <c r="U6799">
        <v>0.12767029999999999</v>
      </c>
      <c r="V6799">
        <v>1.150699E-2</v>
      </c>
      <c r="W6799">
        <v>0.16503519999999999</v>
      </c>
      <c r="X6799">
        <v>0.98622050000000006</v>
      </c>
      <c r="Y6799">
        <v>1.6843750000000001E-2</v>
      </c>
      <c r="Z6799">
        <v>-1.5878820000000001E-3</v>
      </c>
      <c r="AA6799">
        <v>0.99985690000000005</v>
      </c>
      <c r="AB6799">
        <v>26</v>
      </c>
      <c r="AC6799">
        <v>-0.76089999999999203</v>
      </c>
      <c r="AD6799">
        <v>-0.113148999999999</v>
      </c>
      <c r="AE6799">
        <v>3.3900000000016903E-2</v>
      </c>
      <c r="AF6799">
        <v>1.4983223314761601E-2</v>
      </c>
      <c r="AG6799">
        <v>-0.113148999999999</v>
      </c>
      <c r="AH6799">
        <v>0.74505804588890101</v>
      </c>
      <c r="AI6799">
        <v>98.633579988632704</v>
      </c>
      <c r="AJ6799">
        <v>88.847929010826306</v>
      </c>
      <c r="AK6799">
        <v>0.75374974953606899</v>
      </c>
      <c r="AL6799">
        <v>80.500720219965501</v>
      </c>
      <c r="AM6799">
        <v>89.331516586877697</v>
      </c>
      <c r="AN6799">
        <v>0.99999995133907305</v>
      </c>
    </row>
    <row r="6800" spans="1:40" x14ac:dyDescent="0.25">
      <c r="A6800" t="str">
        <f>"20190303162048340"</f>
        <v>20190303162048340</v>
      </c>
      <c r="B6800" t="str">
        <f>"1551601248328952"</f>
        <v>1551601248328952</v>
      </c>
      <c r="C6800" t="s">
        <v>40</v>
      </c>
      <c r="D6800">
        <v>4.1364010000000002</v>
      </c>
      <c r="E6800">
        <v>0.50709609999999905</v>
      </c>
      <c r="F6800" t="s">
        <v>42</v>
      </c>
      <c r="G6800">
        <v>-353.5745</v>
      </c>
      <c r="H6800">
        <v>1.0231440000000001</v>
      </c>
      <c r="I6800">
        <v>142.07149999999999</v>
      </c>
      <c r="J6800">
        <v>-353.04390000000001</v>
      </c>
      <c r="K6800">
        <v>1.121135</v>
      </c>
      <c r="L6800">
        <v>142.04249999999999</v>
      </c>
      <c r="M6800">
        <v>-0.99962600000000001</v>
      </c>
      <c r="N6800">
        <v>-1.184199E-2</v>
      </c>
      <c r="O6800">
        <v>2.4654909999999999E-2</v>
      </c>
      <c r="P6800">
        <v>-0.98750389999999999</v>
      </c>
      <c r="Q6800">
        <v>0.1531952</v>
      </c>
      <c r="R6800">
        <v>3.698075E-2</v>
      </c>
      <c r="S6800">
        <v>-3.0940859999999999</v>
      </c>
      <c r="T6800">
        <v>-0.3946307</v>
      </c>
      <c r="U6800">
        <v>0.14096069999999999</v>
      </c>
      <c r="V6800">
        <v>1.27031E-2</v>
      </c>
      <c r="W6800">
        <v>0.16487959999999999</v>
      </c>
      <c r="X6800">
        <v>0.98623190000000005</v>
      </c>
      <c r="Y6800">
        <v>2.0845639999999999E-2</v>
      </c>
      <c r="Z6800">
        <v>-1.3914279999999999E-3</v>
      </c>
      <c r="AA6800">
        <v>0.9997817</v>
      </c>
      <c r="AB6800">
        <v>26</v>
      </c>
      <c r="AC6800">
        <v>-0.53059999999999197</v>
      </c>
      <c r="AD6800">
        <v>-9.7990999999999898E-2</v>
      </c>
      <c r="AE6800">
        <v>2.89999999999963E-2</v>
      </c>
      <c r="AF6800">
        <v>1.5385198981570199E-2</v>
      </c>
      <c r="AG6800">
        <v>-9.7990999999999898E-2</v>
      </c>
      <c r="AH6800">
        <v>0.51368585245259601</v>
      </c>
      <c r="AI6800">
        <v>100.79529270283</v>
      </c>
      <c r="AJ6800">
        <v>88.284469925891102</v>
      </c>
      <c r="AK6800">
        <v>0.52317501415745404</v>
      </c>
      <c r="AL6800">
        <v>80.509759795168904</v>
      </c>
      <c r="AM6800">
        <v>89.262046005476407</v>
      </c>
      <c r="AN6800">
        <v>1.00000000591169</v>
      </c>
    </row>
    <row r="6801" spans="1:40" x14ac:dyDescent="0.25">
      <c r="A6801" t="str">
        <f>"20190303162048363"</f>
        <v>20190303162048363</v>
      </c>
      <c r="B6801" t="str">
        <f>"1551601248359208"</f>
        <v>1551601248359208</v>
      </c>
      <c r="C6801" t="s">
        <v>40</v>
      </c>
      <c r="D6801">
        <v>4.2000989999999998</v>
      </c>
      <c r="E6801">
        <v>0.50818140000000001</v>
      </c>
      <c r="F6801" t="s">
        <v>42</v>
      </c>
      <c r="G6801">
        <v>-353.8066</v>
      </c>
      <c r="H6801">
        <v>1.020885</v>
      </c>
      <c r="I6801">
        <v>142.08199999999999</v>
      </c>
      <c r="J6801">
        <v>-353.30329999999998</v>
      </c>
      <c r="K6801">
        <v>1.1211329999999999</v>
      </c>
      <c r="L6801">
        <v>142.04920000000001</v>
      </c>
      <c r="M6801">
        <v>-0.99961929999999999</v>
      </c>
      <c r="N6801">
        <v>-1.184195E-2</v>
      </c>
      <c r="O6801">
        <v>2.4920910000000001E-2</v>
      </c>
      <c r="P6801">
        <v>-0.98750150000000003</v>
      </c>
      <c r="Q6801">
        <v>0.1528891</v>
      </c>
      <c r="R6801">
        <v>3.8287099999999998E-2</v>
      </c>
      <c r="S6801">
        <v>-3.095062</v>
      </c>
      <c r="T6801">
        <v>-0.4067461</v>
      </c>
      <c r="U6801">
        <v>0.15980529999999901</v>
      </c>
      <c r="V6801">
        <v>1.374593E-2</v>
      </c>
      <c r="W6801">
        <v>0.16457339999999901</v>
      </c>
      <c r="X6801">
        <v>0.98626910000000001</v>
      </c>
      <c r="Y6801">
        <v>2.6586269999999999E-2</v>
      </c>
      <c r="Z6801">
        <v>-1.0676699999999999E-3</v>
      </c>
      <c r="AA6801">
        <v>0.99964589999999998</v>
      </c>
      <c r="AB6801">
        <v>26</v>
      </c>
      <c r="AC6801">
        <v>-0.50330000000002395</v>
      </c>
      <c r="AD6801">
        <v>-0.100247999999999</v>
      </c>
      <c r="AE6801">
        <v>3.27999999999804E-2</v>
      </c>
      <c r="AF6801">
        <v>1.9476798739369701E-2</v>
      </c>
      <c r="AG6801">
        <v>-0.100247999999999</v>
      </c>
      <c r="AH6801">
        <v>0.48480855073339701</v>
      </c>
      <c r="AI6801">
        <v>101.67372656444699</v>
      </c>
      <c r="AJ6801">
        <v>87.699424684851095</v>
      </c>
      <c r="AK6801">
        <v>0.49544761383757902</v>
      </c>
      <c r="AL6801">
        <v>80.527547129486507</v>
      </c>
      <c r="AM6801">
        <v>89.201503134589501</v>
      </c>
      <c r="AN6801">
        <v>1.00000004609696</v>
      </c>
    </row>
    <row r="6802" spans="1:40" x14ac:dyDescent="0.25">
      <c r="A6802" t="str">
        <f>"20190303162048386"</f>
        <v>20190303162048386</v>
      </c>
      <c r="B6802" t="str">
        <f>"1551601248379722"</f>
        <v>1551601248379722</v>
      </c>
      <c r="C6802" t="s">
        <v>40</v>
      </c>
      <c r="D6802">
        <v>4.208126</v>
      </c>
      <c r="E6802">
        <v>0.52733200000000002</v>
      </c>
      <c r="F6802" t="s">
        <v>42</v>
      </c>
      <c r="G6802">
        <v>-354.04070000000002</v>
      </c>
      <c r="H6802">
        <v>1.022594</v>
      </c>
      <c r="I6802">
        <v>142.09030000000001</v>
      </c>
      <c r="J6802">
        <v>-353.56639999999999</v>
      </c>
      <c r="K6802">
        <v>1.1211310000000001</v>
      </c>
      <c r="L6802">
        <v>142.05609999999999</v>
      </c>
      <c r="M6802">
        <v>-0.99961250000000001</v>
      </c>
      <c r="N6802">
        <v>-1.184208E-2</v>
      </c>
      <c r="O6802">
        <v>2.5190730000000001E-2</v>
      </c>
      <c r="P6802">
        <v>-0.9875389</v>
      </c>
      <c r="Q6802">
        <v>0.1523601</v>
      </c>
      <c r="R6802">
        <v>3.9410670000000002E-2</v>
      </c>
      <c r="S6802">
        <v>-3.0953059999999999</v>
      </c>
      <c r="T6802">
        <v>-0.41357050000000001</v>
      </c>
      <c r="U6802">
        <v>0.1718597</v>
      </c>
      <c r="V6802">
        <v>1.460121E-2</v>
      </c>
      <c r="W6802">
        <v>0.16404469999999999</v>
      </c>
      <c r="X6802">
        <v>0.98634480000000002</v>
      </c>
      <c r="Y6802">
        <v>3.0160139999999998E-2</v>
      </c>
      <c r="Z6802">
        <v>-8.6651160000000003E-4</v>
      </c>
      <c r="AA6802">
        <v>0.99954469999999995</v>
      </c>
      <c r="AB6802">
        <v>26</v>
      </c>
      <c r="AC6802">
        <v>-0.47430000000002698</v>
      </c>
      <c r="AD6802">
        <v>-9.8536999999999805E-2</v>
      </c>
      <c r="AE6802">
        <v>3.4200000000026799E-2</v>
      </c>
      <c r="AF6802">
        <v>2.13247072546583E-2</v>
      </c>
      <c r="AG6802">
        <v>-9.8536999999999805E-2</v>
      </c>
      <c r="AH6802">
        <v>0.45545480195501298</v>
      </c>
      <c r="AI6802">
        <v>102.19475498105</v>
      </c>
      <c r="AJ6802">
        <v>87.319329864909605</v>
      </c>
      <c r="AK6802">
        <v>0.46647975318589802</v>
      </c>
      <c r="AL6802">
        <v>80.558255980729101</v>
      </c>
      <c r="AM6802">
        <v>89.151892312827201</v>
      </c>
      <c r="AN6802">
        <v>0.99999996170929595</v>
      </c>
    </row>
    <row r="6803" spans="1:40" x14ac:dyDescent="0.25">
      <c r="A6803" t="str">
        <f>"20190303162048401"</f>
        <v>20190303162048401</v>
      </c>
      <c r="B6803" t="str">
        <f>"1551601248389463"</f>
        <v>1551601248389463</v>
      </c>
      <c r="C6803" t="s">
        <v>40</v>
      </c>
      <c r="D6803">
        <v>4.2181439999999997</v>
      </c>
      <c r="E6803">
        <v>0.52962330000000002</v>
      </c>
      <c r="F6803" t="s">
        <v>42</v>
      </c>
      <c r="G6803">
        <v>-354.47140000000002</v>
      </c>
      <c r="H6803">
        <v>0.95229739999999996</v>
      </c>
      <c r="I6803">
        <v>142.15100000000001</v>
      </c>
      <c r="J6803">
        <v>-353.74799999999999</v>
      </c>
      <c r="K6803">
        <v>1.121129</v>
      </c>
      <c r="L6803">
        <v>142.0609</v>
      </c>
      <c r="M6803">
        <v>-0.99960789999999999</v>
      </c>
      <c r="N6803">
        <v>-1.1842170000000001E-2</v>
      </c>
      <c r="O6803">
        <v>2.5376989999999999E-2</v>
      </c>
      <c r="P6803">
        <v>-0.98757189999999995</v>
      </c>
      <c r="Q6803">
        <v>0.15205879999999999</v>
      </c>
      <c r="R6803">
        <v>3.974681E-2</v>
      </c>
      <c r="S6803">
        <v>-3.1145320000000001</v>
      </c>
      <c r="T6803">
        <v>-0.58108210000000005</v>
      </c>
      <c r="U6803">
        <v>0.32591249999999999</v>
      </c>
      <c r="V6803">
        <v>1.4752110000000001E-2</v>
      </c>
      <c r="W6803">
        <v>0.1637441</v>
      </c>
      <c r="X6803">
        <v>0.98639259999999995</v>
      </c>
      <c r="Y6803">
        <v>7.7766290000000002E-2</v>
      </c>
      <c r="Z6803">
        <v>3.2569259999999998E-3</v>
      </c>
      <c r="AA6803">
        <v>0.99696629999999997</v>
      </c>
      <c r="AB6803">
        <v>26</v>
      </c>
      <c r="AC6803">
        <v>-0.72339999999996896</v>
      </c>
      <c r="AD6803">
        <v>-0.1688316</v>
      </c>
      <c r="AE6803">
        <v>9.0100000000006703E-2</v>
      </c>
      <c r="AF6803">
        <v>6.8061367059682396E-2</v>
      </c>
      <c r="AG6803">
        <v>-0.1688316</v>
      </c>
      <c r="AH6803">
        <v>0.68852325663221303</v>
      </c>
      <c r="AI6803">
        <v>103.71326158801401</v>
      </c>
      <c r="AJ6803">
        <v>84.3545825484982</v>
      </c>
      <c r="AK6803">
        <v>0.71218026774688303</v>
      </c>
      <c r="AL6803">
        <v>80.575716095501804</v>
      </c>
      <c r="AM6803">
        <v>89.143170140945998</v>
      </c>
      <c r="AN6803">
        <v>1.0000000581845001</v>
      </c>
    </row>
    <row r="6804" spans="1:40" x14ac:dyDescent="0.25">
      <c r="A6804" t="str">
        <f>"20190303162048420"</f>
        <v>20190303162048420</v>
      </c>
      <c r="B6804" t="str">
        <f>"1551601248409491"</f>
        <v>1551601248409491</v>
      </c>
      <c r="C6804" t="s">
        <v>40</v>
      </c>
      <c r="D6804">
        <v>4.2423320000000002</v>
      </c>
      <c r="E6804">
        <v>0.53104419999999897</v>
      </c>
      <c r="F6804" t="s">
        <v>42</v>
      </c>
      <c r="G6804">
        <v>-354.48059999999998</v>
      </c>
      <c r="H6804">
        <v>0.970499</v>
      </c>
      <c r="I6804">
        <v>142.142</v>
      </c>
      <c r="J6804">
        <v>-353.9606</v>
      </c>
      <c r="K6804">
        <v>1.121129</v>
      </c>
      <c r="L6804">
        <v>142.06649999999999</v>
      </c>
      <c r="M6804">
        <v>-0.9996024</v>
      </c>
      <c r="N6804">
        <v>-1.1842170000000001E-2</v>
      </c>
      <c r="O6804">
        <v>2.5594840000000001E-2</v>
      </c>
      <c r="P6804">
        <v>-0.98763449999999997</v>
      </c>
      <c r="Q6804">
        <v>0.15155479999999999</v>
      </c>
      <c r="R6804">
        <v>4.0119000000000002E-2</v>
      </c>
      <c r="S6804">
        <v>-3.1227420000000001</v>
      </c>
      <c r="T6804">
        <v>-0.64211459999999998</v>
      </c>
      <c r="U6804">
        <v>0.34472659999999899</v>
      </c>
      <c r="V6804">
        <v>1.4907E-2</v>
      </c>
      <c r="W6804">
        <v>0.16324079999999999</v>
      </c>
      <c r="X6804">
        <v>0.98647359999999995</v>
      </c>
      <c r="Y6804">
        <v>8.2902809999999993E-2</v>
      </c>
      <c r="Z6804">
        <v>4.0166209999999997E-3</v>
      </c>
      <c r="AA6804">
        <v>0.99654949999999998</v>
      </c>
      <c r="AB6804">
        <v>26</v>
      </c>
      <c r="AC6804">
        <v>-0.51999999999998103</v>
      </c>
      <c r="AD6804">
        <v>-0.15062999999999999</v>
      </c>
      <c r="AE6804">
        <v>7.5500000000005202E-2</v>
      </c>
      <c r="AF6804">
        <v>5.7444346558489803E-2</v>
      </c>
      <c r="AG6804">
        <v>-0.15062999999999999</v>
      </c>
      <c r="AH6804">
        <v>0.482140752838075</v>
      </c>
      <c r="AI6804">
        <v>107.235197781498</v>
      </c>
      <c r="AJ6804">
        <v>83.205560667153307</v>
      </c>
      <c r="AK6804">
        <v>0.50837875191514204</v>
      </c>
      <c r="AL6804">
        <v>80.604945533754403</v>
      </c>
      <c r="AM6804">
        <v>89.134246288030994</v>
      </c>
      <c r="AN6804">
        <v>0.99999997046529898</v>
      </c>
    </row>
    <row r="6805" spans="1:40" x14ac:dyDescent="0.25">
      <c r="A6805" t="str">
        <f>"20190303162048442"</f>
        <v>20190303162048442</v>
      </c>
      <c r="B6805" t="str">
        <f>"1551601248438770"</f>
        <v>1551601248438770</v>
      </c>
      <c r="C6805" t="s">
        <v>40</v>
      </c>
      <c r="D6805">
        <v>4.3095270000000001</v>
      </c>
      <c r="E6805">
        <v>0.53198319999999999</v>
      </c>
      <c r="F6805" t="s">
        <v>42</v>
      </c>
      <c r="G6805">
        <v>-354.70260000000002</v>
      </c>
      <c r="H6805">
        <v>0.94746960000000002</v>
      </c>
      <c r="I6805">
        <v>142.15129999999999</v>
      </c>
      <c r="J6805">
        <v>-354.22620000000001</v>
      </c>
      <c r="K6805">
        <v>1.121124</v>
      </c>
      <c r="L6805">
        <v>142.0737</v>
      </c>
      <c r="M6805">
        <v>-0.99959549999999997</v>
      </c>
      <c r="N6805">
        <v>-1.184225E-2</v>
      </c>
      <c r="O6805">
        <v>2.5864890000000001E-2</v>
      </c>
      <c r="P6805">
        <v>-0.98770659999999999</v>
      </c>
      <c r="Q6805">
        <v>0.151092899999999</v>
      </c>
      <c r="R6805">
        <v>4.008784E-2</v>
      </c>
      <c r="S6805">
        <v>-3.1357119999999998</v>
      </c>
      <c r="T6805">
        <v>-0.73388719999999996</v>
      </c>
      <c r="U6805">
        <v>0.35610960000000003</v>
      </c>
      <c r="V6805">
        <v>1.4606539999999999E-2</v>
      </c>
      <c r="W6805">
        <v>0.1627797</v>
      </c>
      <c r="X6805">
        <v>0.9865543</v>
      </c>
      <c r="Y6805">
        <v>8.5328050000000003E-2</v>
      </c>
      <c r="Z6805">
        <v>4.6855079999999997E-3</v>
      </c>
      <c r="AA6805">
        <v>0.9963419</v>
      </c>
      <c r="AB6805">
        <v>26</v>
      </c>
      <c r="AC6805">
        <v>-0.47640000000001198</v>
      </c>
      <c r="AD6805">
        <v>-0.17365439999999999</v>
      </c>
      <c r="AE6805">
        <v>7.7599999999989594E-2</v>
      </c>
      <c r="AF6805">
        <v>5.7773203283561801E-2</v>
      </c>
      <c r="AG6805">
        <v>-0.17365439999999999</v>
      </c>
      <c r="AH6805">
        <v>0.42343950598077701</v>
      </c>
      <c r="AI6805">
        <v>112.113862499989</v>
      </c>
      <c r="AJ6805">
        <v>82.230655869260602</v>
      </c>
      <c r="AK6805">
        <v>0.46129666038488498</v>
      </c>
      <c r="AL6805">
        <v>80.631722911889</v>
      </c>
      <c r="AM6805">
        <v>89.151762905875003</v>
      </c>
      <c r="AN6805">
        <v>0.99999998429567505</v>
      </c>
    </row>
    <row r="6806" spans="1:40" x14ac:dyDescent="0.25">
      <c r="A6806" t="str">
        <f>"20190303162048464"</f>
        <v>20190303162048464</v>
      </c>
      <c r="B6806" t="str">
        <f>"1551601248459267"</f>
        <v>1551601248459267</v>
      </c>
      <c r="C6806" t="s">
        <v>40</v>
      </c>
      <c r="D6806">
        <v>4.3009120000000003</v>
      </c>
      <c r="E6806">
        <v>0.53244720000000001</v>
      </c>
      <c r="F6806" t="s">
        <v>42</v>
      </c>
      <c r="G6806">
        <v>-354.93340000000001</v>
      </c>
      <c r="H6806">
        <v>0.94210300000000002</v>
      </c>
      <c r="I6806">
        <v>142.15539999999999</v>
      </c>
      <c r="J6806">
        <v>-354.47590000000002</v>
      </c>
      <c r="K6806">
        <v>1.121124</v>
      </c>
      <c r="L6806">
        <v>142.0804</v>
      </c>
      <c r="M6806">
        <v>-0.99958880000000006</v>
      </c>
      <c r="N6806">
        <v>-1.184237E-2</v>
      </c>
      <c r="O6806">
        <v>2.6114410000000001E-2</v>
      </c>
      <c r="P6806">
        <v>-0.98769609999999997</v>
      </c>
      <c r="Q6806">
        <v>0.15120320000000001</v>
      </c>
      <c r="R6806">
        <v>3.9927379999999998E-2</v>
      </c>
      <c r="S6806">
        <v>-3.1443479999999999</v>
      </c>
      <c r="T6806">
        <v>-0.79581789999999997</v>
      </c>
      <c r="U6806">
        <v>0.36251830000000002</v>
      </c>
      <c r="V6806">
        <v>1.419862E-2</v>
      </c>
      <c r="W6806">
        <v>0.1628907</v>
      </c>
      <c r="X6806">
        <v>0.98654189999999997</v>
      </c>
      <c r="Y6806">
        <v>8.6467249999999996E-2</v>
      </c>
      <c r="Z6806">
        <v>5.0808440000000002E-3</v>
      </c>
      <c r="AA6806">
        <v>0.99624170000000001</v>
      </c>
      <c r="AB6806">
        <v>26</v>
      </c>
      <c r="AC6806">
        <v>-0.45749999999998098</v>
      </c>
      <c r="AD6806">
        <v>-0.17902100000000001</v>
      </c>
      <c r="AE6806">
        <v>7.4999999999988604E-2</v>
      </c>
      <c r="AF6806">
        <v>5.48478451309675E-2</v>
      </c>
      <c r="AG6806">
        <v>-0.17902100000000001</v>
      </c>
      <c r="AH6806">
        <v>0.39970276825218098</v>
      </c>
      <c r="AI6806">
        <v>113.928161366899</v>
      </c>
      <c r="AJ6806">
        <v>82.186580403467403</v>
      </c>
      <c r="AK6806">
        <v>0.441383175375962</v>
      </c>
      <c r="AL6806">
        <v>80.625276731406004</v>
      </c>
      <c r="AM6806">
        <v>89.175438126515502</v>
      </c>
      <c r="AN6806">
        <v>0.99999995070600101</v>
      </c>
    </row>
    <row r="6807" spans="1:40" x14ac:dyDescent="0.25">
      <c r="A6807" t="str">
        <f>"20190303162048482"</f>
        <v>20190303162048482</v>
      </c>
      <c r="B6807" t="str">
        <f>"1551601248478786"</f>
        <v>1551601248478786</v>
      </c>
      <c r="C6807" t="s">
        <v>40</v>
      </c>
      <c r="D6807">
        <v>4.2519989999999996</v>
      </c>
      <c r="E6807">
        <v>0.53306469999999995</v>
      </c>
      <c r="F6807" t="s">
        <v>42</v>
      </c>
      <c r="G6807">
        <v>-355.16849999999999</v>
      </c>
      <c r="H6807">
        <v>0.9448879</v>
      </c>
      <c r="I6807">
        <v>142.161</v>
      </c>
      <c r="J6807">
        <v>-354.68939999999998</v>
      </c>
      <c r="K6807">
        <v>1.1211310000000001</v>
      </c>
      <c r="L6807">
        <v>142.08619999999999</v>
      </c>
      <c r="M6807">
        <v>-0.99958340000000001</v>
      </c>
      <c r="N6807">
        <v>-1.1842470000000001E-2</v>
      </c>
      <c r="O6807">
        <v>2.6323320000000001E-2</v>
      </c>
      <c r="P6807">
        <v>-0.98768940000000005</v>
      </c>
      <c r="Q6807">
        <v>0.15116170000000001</v>
      </c>
      <c r="R6807">
        <v>4.0250099999999997E-2</v>
      </c>
      <c r="S6807">
        <v>-3.1451419999999999</v>
      </c>
      <c r="T6807">
        <v>-0.8003576</v>
      </c>
      <c r="U6807">
        <v>0.36535640000000003</v>
      </c>
      <c r="V6807">
        <v>1.431353E-2</v>
      </c>
      <c r="W6807">
        <v>0.16284940000000001</v>
      </c>
      <c r="X6807">
        <v>0.98654710000000001</v>
      </c>
      <c r="Y6807">
        <v>8.708217E-2</v>
      </c>
      <c r="Z6807">
        <v>5.1339970000000004E-3</v>
      </c>
      <c r="AA6807">
        <v>0.99618790000000002</v>
      </c>
      <c r="AB6807">
        <v>26</v>
      </c>
      <c r="AC6807">
        <v>-0.47910000000001601</v>
      </c>
      <c r="AD6807">
        <v>-0.17624309999999899</v>
      </c>
      <c r="AE6807">
        <v>7.48000000000104E-2</v>
      </c>
      <c r="AF6807">
        <v>5.4908156607364499E-2</v>
      </c>
      <c r="AG6807">
        <v>-0.17624309999999899</v>
      </c>
      <c r="AH6807">
        <v>0.42478738097632202</v>
      </c>
      <c r="AI6807">
        <v>112.365889609943</v>
      </c>
      <c r="AJ6807">
        <v>82.634767514107295</v>
      </c>
      <c r="AK6807">
        <v>0.46316396124520698</v>
      </c>
      <c r="AL6807">
        <v>80.627675464987405</v>
      </c>
      <c r="AM6807">
        <v>89.168770227580794</v>
      </c>
      <c r="AN6807">
        <v>0.99999999236991499</v>
      </c>
    </row>
    <row r="6808" spans="1:40" x14ac:dyDescent="0.25">
      <c r="A6808" t="str">
        <f>"20190303162048497"</f>
        <v>20190303162048497</v>
      </c>
      <c r="B6808" t="str">
        <f>"1551601248489522"</f>
        <v>1551601248489522</v>
      </c>
      <c r="C6808" t="s">
        <v>40</v>
      </c>
      <c r="D6808">
        <v>4.2491309999999904</v>
      </c>
      <c r="E6808">
        <v>0.53324189999999905</v>
      </c>
      <c r="F6808" t="s">
        <v>42</v>
      </c>
      <c r="G6808">
        <v>-355.39980000000003</v>
      </c>
      <c r="H6808">
        <v>0.94077500000000003</v>
      </c>
      <c r="I6808">
        <v>142.17019999999999</v>
      </c>
      <c r="J6808">
        <v>-354.86500000000001</v>
      </c>
      <c r="K6808">
        <v>1.1211340000000001</v>
      </c>
      <c r="L6808">
        <v>142.09100000000001</v>
      </c>
      <c r="M6808">
        <v>-0.999579</v>
      </c>
      <c r="N6808">
        <v>-1.184264E-2</v>
      </c>
      <c r="O6808">
        <v>2.649141E-2</v>
      </c>
      <c r="P6808">
        <v>-0.98767079999999996</v>
      </c>
      <c r="Q6808">
        <v>0.1513534</v>
      </c>
      <c r="R6808">
        <v>3.9983820000000003E-2</v>
      </c>
      <c r="S6808">
        <v>-3.144409</v>
      </c>
      <c r="T6808">
        <v>-0.79817389999999999</v>
      </c>
      <c r="U6808">
        <v>0.37136839999999999</v>
      </c>
      <c r="V6808">
        <v>1.3880200000000001E-2</v>
      </c>
      <c r="W6808">
        <v>0.16304179999999999</v>
      </c>
      <c r="X6808">
        <v>0.98652150000000005</v>
      </c>
      <c r="Y6808">
        <v>8.8779670000000005E-2</v>
      </c>
      <c r="Z6808">
        <v>5.3049519999999999E-3</v>
      </c>
      <c r="AA6808">
        <v>0.99603719999999996</v>
      </c>
      <c r="AB6808">
        <v>26</v>
      </c>
      <c r="AC6808">
        <v>-0.53480000000001804</v>
      </c>
      <c r="AD6808">
        <v>-0.18035899999999999</v>
      </c>
      <c r="AE6808">
        <v>7.9199999999985907E-2</v>
      </c>
      <c r="AF6808">
        <v>5.8493622982467498E-2</v>
      </c>
      <c r="AG6808">
        <v>-0.18035899999999999</v>
      </c>
      <c r="AH6808">
        <v>0.48296007330201901</v>
      </c>
      <c r="AI6808">
        <v>110.34154274941601</v>
      </c>
      <c r="AJ6808">
        <v>83.094267095862193</v>
      </c>
      <c r="AK6808">
        <v>0.51884612864943502</v>
      </c>
      <c r="AL6808">
        <v>80.616502305497207</v>
      </c>
      <c r="AM6808">
        <v>89.193910718365998</v>
      </c>
      <c r="AN6808">
        <v>0.999999979230764</v>
      </c>
    </row>
    <row r="6809" spans="1:40" x14ac:dyDescent="0.25">
      <c r="A6809" t="str">
        <f>"20190303162048514"</f>
        <v>20190303162048514</v>
      </c>
      <c r="B6809" t="str">
        <f>"1551601248509042"</f>
        <v>1551601248509042</v>
      </c>
      <c r="C6809" t="s">
        <v>40</v>
      </c>
      <c r="D6809">
        <v>4.3172879999999996</v>
      </c>
      <c r="E6809">
        <v>0.53356579999999998</v>
      </c>
      <c r="F6809" t="s">
        <v>42</v>
      </c>
      <c r="G6809">
        <v>-355.62689999999998</v>
      </c>
      <c r="H6809">
        <v>0.92800950000000004</v>
      </c>
      <c r="I6809">
        <v>142.18129999999999</v>
      </c>
      <c r="J6809">
        <v>-355.06630000000001</v>
      </c>
      <c r="K6809">
        <v>1.1211420000000001</v>
      </c>
      <c r="L6809">
        <v>142.0966</v>
      </c>
      <c r="M6809">
        <v>-0.99957390000000002</v>
      </c>
      <c r="N6809">
        <v>-1.1842770000000001E-2</v>
      </c>
      <c r="O6809">
        <v>2.6679810000000002E-2</v>
      </c>
      <c r="P6809">
        <v>-0.98769689999999999</v>
      </c>
      <c r="Q6809">
        <v>0.15118199999999901</v>
      </c>
      <c r="R6809">
        <v>3.998488E-2</v>
      </c>
      <c r="S6809">
        <v>-3.1445620000000001</v>
      </c>
      <c r="T6809">
        <v>-0.79701580000000005</v>
      </c>
      <c r="U6809">
        <v>0.37168879999999999</v>
      </c>
      <c r="V6809">
        <v>1.3692380000000001E-2</v>
      </c>
      <c r="W6809">
        <v>0.16287099999999999</v>
      </c>
      <c r="X6809">
        <v>0.9865524</v>
      </c>
      <c r="Y6809">
        <v>8.8700470000000003E-2</v>
      </c>
      <c r="Z6809">
        <v>5.243508E-3</v>
      </c>
      <c r="AA6809">
        <v>0.9960445</v>
      </c>
      <c r="AB6809">
        <v>26</v>
      </c>
      <c r="AC6809">
        <v>-0.56059999999996502</v>
      </c>
      <c r="AD6809">
        <v>-0.19313250000000001</v>
      </c>
      <c r="AE6809">
        <v>8.4699999999997999E-2</v>
      </c>
      <c r="AF6809">
        <v>6.2463880329695298E-2</v>
      </c>
      <c r="AG6809">
        <v>-0.19313250000000001</v>
      </c>
      <c r="AH6809">
        <v>0.50415855362292195</v>
      </c>
      <c r="AI6809">
        <v>110.815405981106</v>
      </c>
      <c r="AJ6809">
        <v>82.937200487892198</v>
      </c>
      <c r="AK6809">
        <v>0.54348665677571995</v>
      </c>
      <c r="AL6809">
        <v>80.6264215889761</v>
      </c>
      <c r="AM6809">
        <v>89.204841812455598</v>
      </c>
      <c r="AN6809">
        <v>1.00000004092841</v>
      </c>
    </row>
    <row r="6810" spans="1:40" x14ac:dyDescent="0.25">
      <c r="A6810" t="str">
        <f>"20190303162048530"</f>
        <v>20190303162048530</v>
      </c>
      <c r="B6810" t="str">
        <f>"1551601248519778"</f>
        <v>1551601248519778</v>
      </c>
      <c r="C6810" t="s">
        <v>40</v>
      </c>
      <c r="D6810">
        <v>4.3544210000000003</v>
      </c>
      <c r="E6810">
        <v>0.53358260000000002</v>
      </c>
      <c r="F6810" t="s">
        <v>42</v>
      </c>
      <c r="G6810">
        <v>-355.85610000000003</v>
      </c>
      <c r="H6810">
        <v>0.91930690000000004</v>
      </c>
      <c r="I6810">
        <v>142.19069999999999</v>
      </c>
      <c r="J6810">
        <v>-355.25639999999999</v>
      </c>
      <c r="K6810">
        <v>1.121151</v>
      </c>
      <c r="L6810">
        <v>142.1018</v>
      </c>
      <c r="M6810">
        <v>-0.99956940000000005</v>
      </c>
      <c r="N6810">
        <v>-1.184285E-2</v>
      </c>
      <c r="O6810">
        <v>2.6852540000000001E-2</v>
      </c>
      <c r="P6810">
        <v>-0.98755199999999999</v>
      </c>
      <c r="Q6810">
        <v>0.1522096</v>
      </c>
      <c r="R6810">
        <v>3.9671119999999997E-2</v>
      </c>
      <c r="S6810">
        <v>-3.1452939999999998</v>
      </c>
      <c r="T6810">
        <v>-0.80378079999999996</v>
      </c>
      <c r="U6810">
        <v>0.37429810000000002</v>
      </c>
      <c r="V6810">
        <v>1.321056E-2</v>
      </c>
      <c r="W6810">
        <v>0.1638966</v>
      </c>
      <c r="X6810">
        <v>0.98638910000000002</v>
      </c>
      <c r="Y6810">
        <v>8.9269189999999998E-2</v>
      </c>
      <c r="Z6810">
        <v>5.3120509999999999E-3</v>
      </c>
      <c r="AA6810">
        <v>0.99599340000000003</v>
      </c>
      <c r="AB6810">
        <v>26</v>
      </c>
      <c r="AC6810">
        <v>-0.59970000000004098</v>
      </c>
      <c r="AD6810">
        <v>-0.2018441</v>
      </c>
      <c r="AE6810">
        <v>8.8899999999995302E-2</v>
      </c>
      <c r="AF6810">
        <v>6.5502584091499699E-2</v>
      </c>
      <c r="AG6810">
        <v>-0.2018441</v>
      </c>
      <c r="AH6810">
        <v>0.54181280184351299</v>
      </c>
      <c r="AI6810">
        <v>110.296501561383</v>
      </c>
      <c r="AJ6810">
        <v>83.106667103901799</v>
      </c>
      <c r="AK6810">
        <v>0.58188722401251602</v>
      </c>
      <c r="AL6810">
        <v>80.566858613643106</v>
      </c>
      <c r="AM6810">
        <v>89.232692167148201</v>
      </c>
      <c r="AN6810">
        <v>1.0000000354929399</v>
      </c>
    </row>
    <row r="6811" spans="1:40" x14ac:dyDescent="0.25">
      <c r="A6811" t="str">
        <f>"20190303162048553"</f>
        <v>20190303162048553</v>
      </c>
      <c r="B6811" t="str">
        <f>"1551601248549058"</f>
        <v>1551601248549058</v>
      </c>
      <c r="C6811" t="s">
        <v>40</v>
      </c>
      <c r="D6811">
        <v>4.3105209999999996</v>
      </c>
      <c r="E6811">
        <v>0.53872619999999904</v>
      </c>
      <c r="F6811" t="s">
        <v>42</v>
      </c>
      <c r="G6811">
        <v>-356.08510000000001</v>
      </c>
      <c r="H6811">
        <v>0.90927539999999996</v>
      </c>
      <c r="I6811">
        <v>142.20070000000001</v>
      </c>
      <c r="J6811">
        <v>-355.52260000000001</v>
      </c>
      <c r="K6811">
        <v>1.121157</v>
      </c>
      <c r="L6811">
        <v>142.10929999999999</v>
      </c>
      <c r="M6811">
        <v>-0.99956299999999998</v>
      </c>
      <c r="N6811">
        <v>-1.1842989999999999E-2</v>
      </c>
      <c r="O6811">
        <v>2.7085430000000001E-2</v>
      </c>
      <c r="P6811">
        <v>-0.98743119999999995</v>
      </c>
      <c r="Q6811">
        <v>0.1530137</v>
      </c>
      <c r="R6811">
        <v>3.9579400000000001E-2</v>
      </c>
      <c r="S6811">
        <v>-3.1467900000000002</v>
      </c>
      <c r="T6811">
        <v>-0.80461729999999998</v>
      </c>
      <c r="U6811">
        <v>0.37466430000000001</v>
      </c>
      <c r="V6811">
        <v>1.288952E-2</v>
      </c>
      <c r="W6811">
        <v>0.16469990000000001</v>
      </c>
      <c r="X6811">
        <v>0.98625949999999996</v>
      </c>
      <c r="Y6811">
        <v>8.9105779999999996E-2</v>
      </c>
      <c r="Z6811">
        <v>5.2373799999999998E-3</v>
      </c>
      <c r="AA6811">
        <v>0.99600840000000002</v>
      </c>
      <c r="AB6811">
        <v>26</v>
      </c>
      <c r="AC6811">
        <v>-0.5625</v>
      </c>
      <c r="AD6811">
        <v>-0.211881599999999</v>
      </c>
      <c r="AE6811">
        <v>9.1400000000021395E-2</v>
      </c>
      <c r="AF6811">
        <v>6.6884008873299497E-2</v>
      </c>
      <c r="AG6811">
        <v>-0.211881599999999</v>
      </c>
      <c r="AH6811">
        <v>0.49617916407387502</v>
      </c>
      <c r="AI6811">
        <v>112.93802458005101</v>
      </c>
      <c r="AJ6811">
        <v>82.322913464750002</v>
      </c>
      <c r="AK6811">
        <v>0.54365526385989604</v>
      </c>
      <c r="AL6811">
        <v>80.520198492456402</v>
      </c>
      <c r="AM6811">
        <v>89.251238590026603</v>
      </c>
      <c r="AN6811">
        <v>0.99999999906304504</v>
      </c>
    </row>
    <row r="6812" spans="1:40" x14ac:dyDescent="0.25">
      <c r="A6812" t="str">
        <f>"20190303162048575"</f>
        <v>20190303162048575</v>
      </c>
      <c r="B6812" t="str">
        <f>"1551601248569554"</f>
        <v>1551601248569554</v>
      </c>
      <c r="C6812" t="s">
        <v>40</v>
      </c>
      <c r="D6812">
        <v>4.2882629999999997</v>
      </c>
      <c r="E6812">
        <v>0.53790090000000002</v>
      </c>
      <c r="F6812" t="s">
        <v>42</v>
      </c>
      <c r="G6812">
        <v>-356.30459999999999</v>
      </c>
      <c r="H6812">
        <v>0.87497519999999995</v>
      </c>
      <c r="I6812">
        <v>142.21080000000001</v>
      </c>
      <c r="J6812">
        <v>-355.78149999999999</v>
      </c>
      <c r="K6812">
        <v>1.1211679999999999</v>
      </c>
      <c r="L6812">
        <v>142.1165</v>
      </c>
      <c r="M6812">
        <v>-0.99955709999999998</v>
      </c>
      <c r="N6812">
        <v>-1.184315E-2</v>
      </c>
      <c r="O6812">
        <v>2.7303959999999999E-2</v>
      </c>
      <c r="P6812">
        <v>-0.98729409999999895</v>
      </c>
      <c r="Q6812">
        <v>0.15381320000000001</v>
      </c>
      <c r="R6812">
        <v>3.9900860000000003E-2</v>
      </c>
      <c r="S6812">
        <v>-3.176666</v>
      </c>
      <c r="T6812">
        <v>-1.000124</v>
      </c>
      <c r="U6812">
        <v>0.41233829999999999</v>
      </c>
      <c r="V6812">
        <v>1.299642E-2</v>
      </c>
      <c r="W6812">
        <v>0.16549849999999999</v>
      </c>
      <c r="X6812">
        <v>0.98612440000000001</v>
      </c>
      <c r="Y6812">
        <v>9.7952890000000001E-2</v>
      </c>
      <c r="Z6812">
        <v>7.5519840000000003E-3</v>
      </c>
      <c r="AA6812">
        <v>0.9951624</v>
      </c>
      <c r="AB6812">
        <v>26</v>
      </c>
      <c r="AC6812">
        <v>-0.52309999999999901</v>
      </c>
      <c r="AD6812">
        <v>-0.24619279999999899</v>
      </c>
      <c r="AE6812">
        <v>9.4300000000004006E-2</v>
      </c>
      <c r="AF6812">
        <v>6.5853460060565402E-2</v>
      </c>
      <c r="AG6812">
        <v>-0.24619279999999899</v>
      </c>
      <c r="AH6812">
        <v>0.43266038652178501</v>
      </c>
      <c r="AI6812">
        <v>119.359585840615</v>
      </c>
      <c r="AJ6812">
        <v>81.345667427702494</v>
      </c>
      <c r="AK6812">
        <v>0.50213801194389596</v>
      </c>
      <c r="AL6812">
        <v>80.4738054019125</v>
      </c>
      <c r="AM6812">
        <v>89.244925988872296</v>
      </c>
      <c r="AN6812">
        <v>0.99999999635521297</v>
      </c>
    </row>
    <row r="6813" spans="1:40" x14ac:dyDescent="0.25">
      <c r="A6813" t="str">
        <f>"20190303162048597"</f>
        <v>20190303162048597</v>
      </c>
      <c r="B6813" t="str">
        <f>"1551601248589075"</f>
        <v>1551601248589075</v>
      </c>
      <c r="C6813" t="s">
        <v>40</v>
      </c>
      <c r="D6813">
        <v>4.3130189999999997</v>
      </c>
      <c r="E6813">
        <v>0.53759899999999905</v>
      </c>
      <c r="F6813" t="s">
        <v>42</v>
      </c>
      <c r="G6813">
        <v>-356.5401</v>
      </c>
      <c r="H6813">
        <v>0.87956209999999901</v>
      </c>
      <c r="I6813">
        <v>142.2139</v>
      </c>
      <c r="J6813">
        <v>-356.03719999999998</v>
      </c>
      <c r="K6813">
        <v>1.121178</v>
      </c>
      <c r="L6813">
        <v>142.12379999999999</v>
      </c>
      <c r="M6813">
        <v>-0.99955139999999998</v>
      </c>
      <c r="N6813">
        <v>-1.1843329999999999E-2</v>
      </c>
      <c r="O6813">
        <v>2.751286E-2</v>
      </c>
      <c r="P6813">
        <v>-0.98723139999999998</v>
      </c>
      <c r="Q6813">
        <v>0.15416489999999999</v>
      </c>
      <c r="R6813">
        <v>4.0092290000000003E-2</v>
      </c>
      <c r="S6813">
        <v>-3.1799620000000002</v>
      </c>
      <c r="T6813">
        <v>-1.0127949999999999</v>
      </c>
      <c r="U6813">
        <v>0.40676879999999999</v>
      </c>
      <c r="V6813">
        <v>1.298088E-2</v>
      </c>
      <c r="W6813">
        <v>0.16584969999999999</v>
      </c>
      <c r="X6813">
        <v>0.98606559999999999</v>
      </c>
      <c r="Y6813">
        <v>9.5929269999999997E-2</v>
      </c>
      <c r="Z6813">
        <v>7.2385819999999899E-3</v>
      </c>
      <c r="AA6813">
        <v>0.99536179999999996</v>
      </c>
      <c r="AB6813">
        <v>26</v>
      </c>
      <c r="AC6813">
        <v>-0.502900000000011</v>
      </c>
      <c r="AD6813">
        <v>-0.24161589999999999</v>
      </c>
      <c r="AE6813">
        <v>9.0100000000006703E-2</v>
      </c>
      <c r="AF6813">
        <v>6.2296226012702599E-2</v>
      </c>
      <c r="AG6813">
        <v>-0.24161589999999999</v>
      </c>
      <c r="AH6813">
        <v>0.412854314511581</v>
      </c>
      <c r="AI6813">
        <v>120.057198975646</v>
      </c>
      <c r="AJ6813">
        <v>81.419283132344205</v>
      </c>
      <c r="AK6813">
        <v>0.48239791450530001</v>
      </c>
      <c r="AL6813">
        <v>80.453401153512701</v>
      </c>
      <c r="AM6813">
        <v>89.245783770284604</v>
      </c>
      <c r="AN6813">
        <v>0.99999999686951202</v>
      </c>
    </row>
    <row r="6814" spans="1:40" x14ac:dyDescent="0.25">
      <c r="A6814" t="str">
        <f>"20190303162048621"</f>
        <v>20190303162048621</v>
      </c>
      <c r="B6814" t="str">
        <f>"1551601248609570"</f>
        <v>1551601248609570</v>
      </c>
      <c r="C6814" t="s">
        <v>40</v>
      </c>
      <c r="D6814">
        <v>4.3291820000000003</v>
      </c>
      <c r="E6814">
        <v>0.53825529999999999</v>
      </c>
      <c r="F6814" t="s">
        <v>42</v>
      </c>
      <c r="G6814">
        <v>-356.77609999999999</v>
      </c>
      <c r="H6814">
        <v>0.88533649999999997</v>
      </c>
      <c r="I6814">
        <v>142.21799999999999</v>
      </c>
      <c r="J6814">
        <v>-356.30779999999999</v>
      </c>
      <c r="K6814">
        <v>1.1211799999999901</v>
      </c>
      <c r="L6814">
        <v>142.13149999999999</v>
      </c>
      <c r="M6814">
        <v>-0.99954540000000003</v>
      </c>
      <c r="N6814">
        <v>-1.184353E-2</v>
      </c>
      <c r="O6814">
        <v>2.7728260000000001E-2</v>
      </c>
      <c r="P6814">
        <v>-0.9870989</v>
      </c>
      <c r="Q6814">
        <v>0.15508820000000001</v>
      </c>
      <c r="R6814">
        <v>3.9794000000000003E-2</v>
      </c>
      <c r="S6814">
        <v>-3.1808779999999999</v>
      </c>
      <c r="T6814">
        <v>-1.015334</v>
      </c>
      <c r="U6814">
        <v>0.40551759999999998</v>
      </c>
      <c r="V6814">
        <v>1.247238E-2</v>
      </c>
      <c r="W6814">
        <v>0.16677129999999901</v>
      </c>
      <c r="X6814">
        <v>0.98591669999999998</v>
      </c>
      <c r="Y6814">
        <v>9.5318970000000003E-2</v>
      </c>
      <c r="Z6814">
        <v>7.089489E-3</v>
      </c>
      <c r="AA6814">
        <v>0.99542149999999996</v>
      </c>
      <c r="AB6814">
        <v>26</v>
      </c>
      <c r="AC6814">
        <v>-0.46829999999999899</v>
      </c>
      <c r="AD6814">
        <v>-0.23584349999999901</v>
      </c>
      <c r="AE6814">
        <v>8.6500000000000896E-2</v>
      </c>
      <c r="AF6814">
        <v>5.9008233361758797E-2</v>
      </c>
      <c r="AG6814">
        <v>-0.23584349999999901</v>
      </c>
      <c r="AH6814">
        <v>0.37784720001140398</v>
      </c>
      <c r="AI6814">
        <v>121.662212296085</v>
      </c>
      <c r="AJ6814">
        <v>81.123839583906502</v>
      </c>
      <c r="AK6814">
        <v>0.449302386654227</v>
      </c>
      <c r="AL6814">
        <v>80.399851465569796</v>
      </c>
      <c r="AM6814">
        <v>89.275216033225405</v>
      </c>
      <c r="AN6814">
        <v>0.99999998305272197</v>
      </c>
    </row>
    <row r="6815" spans="1:40" x14ac:dyDescent="0.25">
      <c r="A6815" t="str">
        <f>"20190303162048643"</f>
        <v>20190303162048643</v>
      </c>
      <c r="B6815" t="str">
        <f>"1551601248639826"</f>
        <v>1551601248639826</v>
      </c>
      <c r="C6815" t="s">
        <v>40</v>
      </c>
      <c r="D6815">
        <v>4.3286110000000004</v>
      </c>
      <c r="E6815">
        <v>0.53879469999999996</v>
      </c>
      <c r="F6815" t="s">
        <v>42</v>
      </c>
      <c r="G6815">
        <v>-357.01490000000001</v>
      </c>
      <c r="H6815">
        <v>0.89809539999999999</v>
      </c>
      <c r="I6815">
        <v>142.22299999999899</v>
      </c>
      <c r="J6815">
        <v>-356.56849999999997</v>
      </c>
      <c r="K6815">
        <v>1.121181</v>
      </c>
      <c r="L6815">
        <v>142.13890000000001</v>
      </c>
      <c r="M6815">
        <v>-0.99953970000000003</v>
      </c>
      <c r="N6815">
        <v>-1.1848010000000001E-2</v>
      </c>
      <c r="O6815">
        <v>2.7932640000000002E-2</v>
      </c>
      <c r="P6815">
        <v>-0.98713669999999998</v>
      </c>
      <c r="Q6815">
        <v>0.15494649999999999</v>
      </c>
      <c r="R6815">
        <v>3.9404889999999998E-2</v>
      </c>
      <c r="S6815">
        <v>-3.1802980000000001</v>
      </c>
      <c r="T6815">
        <v>-1.003352</v>
      </c>
      <c r="U6815">
        <v>0.41101070000000001</v>
      </c>
      <c r="V6815">
        <v>1.1879270000000001E-2</v>
      </c>
      <c r="W6815">
        <v>0.1666349</v>
      </c>
      <c r="X6815">
        <v>0.98594709999999997</v>
      </c>
      <c r="Y6815">
        <v>9.6841830000000004E-2</v>
      </c>
      <c r="Z6815">
        <v>7.2031559999999996E-3</v>
      </c>
      <c r="AA6815">
        <v>0.99527370000000004</v>
      </c>
      <c r="AB6815">
        <v>26</v>
      </c>
      <c r="AC6815">
        <v>-0.44640000000003899</v>
      </c>
      <c r="AD6815">
        <v>-0.2230856</v>
      </c>
      <c r="AE6815">
        <v>8.4099999999977998E-2</v>
      </c>
      <c r="AF6815">
        <v>5.7684603967665699E-2</v>
      </c>
      <c r="AG6815">
        <v>-0.2230856</v>
      </c>
      <c r="AH6815">
        <v>0.36140918008418099</v>
      </c>
      <c r="AI6815">
        <v>121.364419386177</v>
      </c>
      <c r="AJ6815">
        <v>80.931498895879002</v>
      </c>
      <c r="AK6815">
        <v>0.42861555491067599</v>
      </c>
      <c r="AL6815">
        <v>80.407777638491496</v>
      </c>
      <c r="AM6815">
        <v>89.309700183580503</v>
      </c>
      <c r="AN6815">
        <v>0.99999999547607599</v>
      </c>
    </row>
    <row r="6816" spans="1:40" x14ac:dyDescent="0.25">
      <c r="A6816" t="str">
        <f>"20190303162048665"</f>
        <v>20190303162048665</v>
      </c>
      <c r="B6816" t="str">
        <f>"1551601248659346"</f>
        <v>1551601248659346</v>
      </c>
      <c r="C6816" t="s">
        <v>40</v>
      </c>
      <c r="D6816">
        <v>4.3284379999999896</v>
      </c>
      <c r="E6816">
        <v>0.53899219999999903</v>
      </c>
      <c r="F6816" t="s">
        <v>42</v>
      </c>
      <c r="G6816">
        <v>-357.25240000000002</v>
      </c>
      <c r="H6816">
        <v>0.90701270000000001</v>
      </c>
      <c r="I6816">
        <v>142.22810000000001</v>
      </c>
      <c r="J6816">
        <v>-356.8254</v>
      </c>
      <c r="K6816">
        <v>1.121186</v>
      </c>
      <c r="L6816">
        <v>142.1463</v>
      </c>
      <c r="M6816">
        <v>-0.99953400000000003</v>
      </c>
      <c r="N6816">
        <v>-1.1857410000000001E-2</v>
      </c>
      <c r="O6816">
        <v>2.8133189999999999E-2</v>
      </c>
      <c r="P6816">
        <v>-0.98705010000000004</v>
      </c>
      <c r="Q6816">
        <v>0.1554247</v>
      </c>
      <c r="R6816">
        <v>3.9695069999999999E-2</v>
      </c>
      <c r="S6816">
        <v>-3.178741</v>
      </c>
      <c r="T6816">
        <v>-0.99537810000000004</v>
      </c>
      <c r="U6816">
        <v>0.4148712</v>
      </c>
      <c r="V6816">
        <v>1.1973549999999999E-2</v>
      </c>
      <c r="W6816">
        <v>0.16712199999999999</v>
      </c>
      <c r="X6816">
        <v>0.9858635</v>
      </c>
      <c r="Y6816">
        <v>9.7900150000000005E-2</v>
      </c>
      <c r="Z6816">
        <v>7.2674990000000002E-3</v>
      </c>
      <c r="AA6816">
        <v>0.99516970000000005</v>
      </c>
      <c r="AB6816">
        <v>26</v>
      </c>
      <c r="AC6816">
        <v>-0.42700000000001997</v>
      </c>
      <c r="AD6816">
        <v>-0.21417329999999901</v>
      </c>
      <c r="AE6816">
        <v>8.1800000000015402E-2</v>
      </c>
      <c r="AF6816">
        <v>5.6132123952646301E-2</v>
      </c>
      <c r="AG6816">
        <v>-0.21417329999999901</v>
      </c>
      <c r="AH6816">
        <v>0.34532998446258201</v>
      </c>
      <c r="AI6816">
        <v>121.47349269272399</v>
      </c>
      <c r="AJ6816">
        <v>80.767527176042805</v>
      </c>
      <c r="AK6816">
        <v>0.41021191589378803</v>
      </c>
      <c r="AL6816">
        <v>80.379471842025097</v>
      </c>
      <c r="AM6816">
        <v>89.304163150171803</v>
      </c>
      <c r="AN6816">
        <v>0.99999998470792595</v>
      </c>
    </row>
    <row r="6817" spans="1:40" x14ac:dyDescent="0.25">
      <c r="A6817" t="str">
        <f>"20190303162048686"</f>
        <v>20190303162048686</v>
      </c>
      <c r="B6817" t="str">
        <f>"1551601248679844"</f>
        <v>1551601248679844</v>
      </c>
      <c r="C6817" t="s">
        <v>40</v>
      </c>
      <c r="D6817">
        <v>4.388674</v>
      </c>
      <c r="E6817">
        <v>0.539105099999999</v>
      </c>
      <c r="F6817" t="s">
        <v>42</v>
      </c>
      <c r="G6817">
        <v>-357.48910000000001</v>
      </c>
      <c r="H6817">
        <v>0.91413520000000004</v>
      </c>
      <c r="I6817">
        <v>142.2338</v>
      </c>
      <c r="J6817">
        <v>-357.0806</v>
      </c>
      <c r="K6817">
        <v>1.121189</v>
      </c>
      <c r="L6817">
        <v>142.15379999999999</v>
      </c>
      <c r="M6817">
        <v>-0.99952790000000002</v>
      </c>
      <c r="N6817">
        <v>-1.187325E-2</v>
      </c>
      <c r="O6817">
        <v>2.833434E-2</v>
      </c>
      <c r="P6817">
        <v>-0.9869462</v>
      </c>
      <c r="Q6817">
        <v>0.15595580000000001</v>
      </c>
      <c r="R6817">
        <v>4.0191570000000003E-2</v>
      </c>
      <c r="S6817">
        <v>-3.1786799999999999</v>
      </c>
      <c r="T6817">
        <v>-0.9915659</v>
      </c>
      <c r="U6817">
        <v>0.41748049999999998</v>
      </c>
      <c r="V6817">
        <v>1.227491E-2</v>
      </c>
      <c r="W6817">
        <v>0.16766689999999901</v>
      </c>
      <c r="X6817">
        <v>0.98576730000000001</v>
      </c>
      <c r="Y6817">
        <v>9.8510180000000003E-2</v>
      </c>
      <c r="Z6817">
        <v>7.2829610000000001E-3</v>
      </c>
      <c r="AA6817">
        <v>0.99510940000000003</v>
      </c>
      <c r="AB6817">
        <v>26</v>
      </c>
      <c r="AC6817">
        <v>-0.40850000000000303</v>
      </c>
      <c r="AD6817">
        <v>-0.20705380000000001</v>
      </c>
      <c r="AE6817">
        <v>8.0000000000012506E-2</v>
      </c>
      <c r="AF6817">
        <v>5.4827082949243398E-2</v>
      </c>
      <c r="AG6817">
        <v>-0.20705380000000001</v>
      </c>
      <c r="AH6817">
        <v>0.32916129753639001</v>
      </c>
      <c r="AI6817">
        <v>121.819018150422</v>
      </c>
      <c r="AJ6817">
        <v>80.543289389478801</v>
      </c>
      <c r="AK6817">
        <v>0.39271420258885897</v>
      </c>
      <c r="AL6817">
        <v>80.347804852849293</v>
      </c>
      <c r="AM6817">
        <v>89.286581944820895</v>
      </c>
      <c r="AN6817">
        <v>1.0000000162602001</v>
      </c>
    </row>
    <row r="6818" spans="1:40" x14ac:dyDescent="0.25">
      <c r="A6818" t="str">
        <f>"20190303162048710"</f>
        <v>20190303162048710</v>
      </c>
      <c r="B6818" t="str">
        <f>"1551601248699363"</f>
        <v>1551601248699363</v>
      </c>
      <c r="C6818" t="s">
        <v>40</v>
      </c>
      <c r="D6818">
        <v>4.4137890000000004</v>
      </c>
      <c r="E6818">
        <v>0.53900930000000002</v>
      </c>
      <c r="F6818" t="s">
        <v>42</v>
      </c>
      <c r="G6818">
        <v>-357.9323</v>
      </c>
      <c r="H6818">
        <v>0.85639569999999998</v>
      </c>
      <c r="I6818">
        <v>142.2664</v>
      </c>
      <c r="J6818">
        <v>-357.34570000000002</v>
      </c>
      <c r="K6818">
        <v>1.1211899999999999</v>
      </c>
      <c r="L6818">
        <v>142.16149999999999</v>
      </c>
      <c r="M6818">
        <v>-0.99952180000000002</v>
      </c>
      <c r="N6818">
        <v>-1.189288E-2</v>
      </c>
      <c r="O6818">
        <v>2.8544480000000001E-2</v>
      </c>
      <c r="P6818">
        <v>-0.98687749999999996</v>
      </c>
      <c r="Q6818">
        <v>0.15620979999999901</v>
      </c>
      <c r="R6818">
        <v>4.0880720000000002E-2</v>
      </c>
      <c r="S6818">
        <v>-3.178741</v>
      </c>
      <c r="T6818">
        <v>-0.98823749999999999</v>
      </c>
      <c r="U6818">
        <v>0.41958620000000002</v>
      </c>
      <c r="V6818">
        <v>1.2759090000000001E-2</v>
      </c>
      <c r="W6818">
        <v>0.16793949999999999</v>
      </c>
      <c r="X6818">
        <v>0.98571470000000005</v>
      </c>
      <c r="Y6818">
        <v>9.8956479999999999E-2</v>
      </c>
      <c r="Z6818">
        <v>7.2729219999999898E-3</v>
      </c>
      <c r="AA6818">
        <v>0.99506519999999998</v>
      </c>
      <c r="AB6818">
        <v>26</v>
      </c>
      <c r="AC6818">
        <v>-0.58659999999997503</v>
      </c>
      <c r="AD6818">
        <v>-0.26479429999999898</v>
      </c>
      <c r="AE6818">
        <v>0.104900000000014</v>
      </c>
      <c r="AF6818">
        <v>7.3582783136223004E-2</v>
      </c>
      <c r="AG6818">
        <v>-0.26479429999999898</v>
      </c>
      <c r="AH6818">
        <v>0.49217447871115499</v>
      </c>
      <c r="AI6818">
        <v>118.017228531965</v>
      </c>
      <c r="AJ6818">
        <v>81.496946657222907</v>
      </c>
      <c r="AK6818">
        <v>0.56370751705220301</v>
      </c>
      <c r="AL6818">
        <v>80.331960918786606</v>
      </c>
      <c r="AM6818">
        <v>89.258404908093397</v>
      </c>
      <c r="AN6818">
        <v>0.99999996991698303</v>
      </c>
    </row>
    <row r="6819" spans="1:40" x14ac:dyDescent="0.25">
      <c r="A6819" t="str">
        <f>"20190303162048732"</f>
        <v>20190303162048732</v>
      </c>
      <c r="B6819" t="str">
        <f>"1551601248729619"</f>
        <v>1551601248729619</v>
      </c>
      <c r="C6819" t="s">
        <v>40</v>
      </c>
      <c r="D6819">
        <v>4.3524989999999999</v>
      </c>
      <c r="E6819">
        <v>0.53388959999999996</v>
      </c>
      <c r="F6819" t="s">
        <v>42</v>
      </c>
      <c r="G6819">
        <v>-358.16950000000003</v>
      </c>
      <c r="H6819">
        <v>0.86513229999999997</v>
      </c>
      <c r="I6819">
        <v>142.27109999999999</v>
      </c>
      <c r="J6819">
        <v>-357.60840000000002</v>
      </c>
      <c r="K6819">
        <v>1.121189</v>
      </c>
      <c r="L6819">
        <v>142.16929999999999</v>
      </c>
      <c r="M6819">
        <v>-0.99951559999999995</v>
      </c>
      <c r="N6819">
        <v>-1.191188E-2</v>
      </c>
      <c r="O6819">
        <v>2.8753529999999999E-2</v>
      </c>
      <c r="P6819">
        <v>-0.98697979999999996</v>
      </c>
      <c r="Q6819">
        <v>0.15543360000000001</v>
      </c>
      <c r="R6819">
        <v>4.1370120000000003E-2</v>
      </c>
      <c r="S6819">
        <v>-3.1788020000000001</v>
      </c>
      <c r="T6819">
        <v>-0.98810949999999997</v>
      </c>
      <c r="U6819">
        <v>0.4223633</v>
      </c>
      <c r="V6819">
        <v>1.3039220000000001E-2</v>
      </c>
      <c r="W6819">
        <v>0.1671832</v>
      </c>
      <c r="X6819">
        <v>0.98583960000000004</v>
      </c>
      <c r="Y6819">
        <v>9.9580180000000004E-2</v>
      </c>
      <c r="Z6819">
        <v>7.3106339999999999E-3</v>
      </c>
      <c r="AA6819">
        <v>0.99500270000000002</v>
      </c>
      <c r="AB6819">
        <v>26</v>
      </c>
      <c r="AC6819">
        <v>-0.56110000000001004</v>
      </c>
      <c r="AD6819">
        <v>-0.25605669999999903</v>
      </c>
      <c r="AE6819">
        <v>0.101799999999997</v>
      </c>
      <c r="AF6819">
        <v>7.1256627520038196E-2</v>
      </c>
      <c r="AG6819">
        <v>-0.25605669999999903</v>
      </c>
      <c r="AH6819">
        <v>0.46919728156565299</v>
      </c>
      <c r="AI6819">
        <v>118.348942737127</v>
      </c>
      <c r="AJ6819">
        <v>81.364521212617205</v>
      </c>
      <c r="AK6819">
        <v>0.53924820779397897</v>
      </c>
      <c r="AL6819">
        <v>80.375915260375606</v>
      </c>
      <c r="AM6819">
        <v>89.2422208307365</v>
      </c>
      <c r="AN6819">
        <v>0.99999998027430403</v>
      </c>
    </row>
    <row r="6820" spans="1:40" x14ac:dyDescent="0.25">
      <c r="A6820" t="str">
        <f>"20190303162048754"</f>
        <v>20190303162048754</v>
      </c>
      <c r="B6820" t="str">
        <f>"1551601248749139"</f>
        <v>1551601248749139</v>
      </c>
      <c r="C6820" t="s">
        <v>40</v>
      </c>
      <c r="D6820">
        <v>4.4474780000000003</v>
      </c>
      <c r="E6820">
        <v>0.52520339999999999</v>
      </c>
      <c r="F6820" t="s">
        <v>42</v>
      </c>
      <c r="G6820">
        <v>-358.44229999999999</v>
      </c>
      <c r="H6820">
        <v>0.9529917</v>
      </c>
      <c r="I6820">
        <v>142.27269999999999</v>
      </c>
      <c r="J6820">
        <v>-357.86840000000001</v>
      </c>
      <c r="K6820">
        <v>1.1211899999999999</v>
      </c>
      <c r="L6820">
        <v>142.17699999999999</v>
      </c>
      <c r="M6820">
        <v>-0.99950939999999999</v>
      </c>
      <c r="N6820">
        <v>-1.192929E-2</v>
      </c>
      <c r="O6820">
        <v>2.8961919999999999E-2</v>
      </c>
      <c r="P6820">
        <v>-0.98699150000000002</v>
      </c>
      <c r="Q6820">
        <v>0.15533379999999999</v>
      </c>
      <c r="R6820">
        <v>4.146789E-2</v>
      </c>
      <c r="S6820">
        <v>-3.1225589999999999</v>
      </c>
      <c r="T6820">
        <v>-0.62980119999999995</v>
      </c>
      <c r="U6820">
        <v>0.3866272</v>
      </c>
      <c r="V6820">
        <v>1.293072E-2</v>
      </c>
      <c r="W6820">
        <v>0.16710139999999901</v>
      </c>
      <c r="X6820">
        <v>0.98585489999999998</v>
      </c>
      <c r="Y6820">
        <v>9.2642740000000001E-2</v>
      </c>
      <c r="Z6820">
        <v>4.3584030000000003E-3</v>
      </c>
      <c r="AA6820">
        <v>0.99568990000000002</v>
      </c>
      <c r="AB6820">
        <v>26</v>
      </c>
      <c r="AC6820">
        <v>-0.57389999999997998</v>
      </c>
      <c r="AD6820">
        <v>-0.168198299999999</v>
      </c>
      <c r="AE6820">
        <v>9.5699999999965202E-2</v>
      </c>
      <c r="AF6820">
        <v>7.2941570775800005E-2</v>
      </c>
      <c r="AG6820">
        <v>-0.168198299999999</v>
      </c>
      <c r="AH6820">
        <v>0.53197317205302896</v>
      </c>
      <c r="AI6820">
        <v>107.393022138481</v>
      </c>
      <c r="AJ6820">
        <v>82.192566851751195</v>
      </c>
      <c r="AK6820">
        <v>0.56267805773309898</v>
      </c>
      <c r="AL6820">
        <v>80.380668948940595</v>
      </c>
      <c r="AM6820">
        <v>89.248537284057207</v>
      </c>
      <c r="AN6820">
        <v>0.99999998262784395</v>
      </c>
    </row>
    <row r="6821" spans="1:40" x14ac:dyDescent="0.25">
      <c r="A6821" t="str">
        <f>"20190303162048776"</f>
        <v>20190303162048776</v>
      </c>
      <c r="B6821" t="str">
        <f>"1551601248769634"</f>
        <v>1551601248769634</v>
      </c>
      <c r="C6821" t="s">
        <v>40</v>
      </c>
      <c r="D6821">
        <v>4.4340900000000003</v>
      </c>
      <c r="E6821">
        <v>0.51927719999999999</v>
      </c>
      <c r="F6821" t="s">
        <v>42</v>
      </c>
      <c r="G6821">
        <v>-358.7038</v>
      </c>
      <c r="H6821">
        <v>1.0087269999999999</v>
      </c>
      <c r="I6821">
        <v>142.26339999999999</v>
      </c>
      <c r="J6821">
        <v>-358.12699999999899</v>
      </c>
      <c r="K6821">
        <v>1.121192</v>
      </c>
      <c r="L6821">
        <v>142.18469999999999</v>
      </c>
      <c r="M6821">
        <v>-0.99950309999999998</v>
      </c>
      <c r="N6821">
        <v>-1.1945549999999999E-2</v>
      </c>
      <c r="O6821">
        <v>2.9170789999999999E-2</v>
      </c>
      <c r="P6821">
        <v>-0.98694930000000003</v>
      </c>
      <c r="Q6821">
        <v>0.155668</v>
      </c>
      <c r="R6821">
        <v>4.1215870000000002E-2</v>
      </c>
      <c r="S6821">
        <v>-3.0916440000000001</v>
      </c>
      <c r="T6821">
        <v>-0.41619220000000001</v>
      </c>
      <c r="U6821">
        <v>0.31924439999999998</v>
      </c>
      <c r="V6821">
        <v>1.247349E-2</v>
      </c>
      <c r="W6821">
        <v>0.16745109999999999</v>
      </c>
      <c r="X6821">
        <v>0.9858015</v>
      </c>
      <c r="Y6821">
        <v>7.3156479999999996E-2</v>
      </c>
      <c r="Z6821">
        <v>1.778523E-3</v>
      </c>
      <c r="AA6821">
        <v>0.99731890000000001</v>
      </c>
      <c r="AB6821">
        <v>26</v>
      </c>
      <c r="AC6821">
        <v>-0.57680000000004805</v>
      </c>
      <c r="AD6821">
        <v>-0.112464999999999</v>
      </c>
      <c r="AE6821">
        <v>7.8699999999997702E-2</v>
      </c>
      <c r="AF6821">
        <v>5.9614611390103898E-2</v>
      </c>
      <c r="AG6821">
        <v>-0.112464999999999</v>
      </c>
      <c r="AH6821">
        <v>0.55802344275748905</v>
      </c>
      <c r="AI6821">
        <v>101.332042760506</v>
      </c>
      <c r="AJ6821">
        <v>83.902120805923005</v>
      </c>
      <c r="AK6821">
        <v>0.57235691730170701</v>
      </c>
      <c r="AL6821">
        <v>80.360346711878293</v>
      </c>
      <c r="AM6821">
        <v>89.275066840573402</v>
      </c>
      <c r="AN6821">
        <v>1.0000000281231101</v>
      </c>
    </row>
    <row r="6822" spans="1:40" x14ac:dyDescent="0.25">
      <c r="A6822" t="str">
        <f>"20190303162048798"</f>
        <v>20190303162048798</v>
      </c>
      <c r="B6822" t="str">
        <f>"1551601248789155"</f>
        <v>1551601248789155</v>
      </c>
      <c r="C6822" t="s">
        <v>40</v>
      </c>
      <c r="D6822">
        <v>4.4386080000000003</v>
      </c>
      <c r="E6822">
        <v>0.51582989999999995</v>
      </c>
      <c r="F6822" t="s">
        <v>42</v>
      </c>
      <c r="G6822">
        <v>-358.95499999999998</v>
      </c>
      <c r="H6822">
        <v>1.0436989999999999</v>
      </c>
      <c r="I6822">
        <v>142.25829999999999</v>
      </c>
      <c r="J6822">
        <v>-358.38499999999999</v>
      </c>
      <c r="K6822">
        <v>1.1211960000000001</v>
      </c>
      <c r="L6822">
        <v>142.1925</v>
      </c>
      <c r="M6822">
        <v>-0.99949679999999996</v>
      </c>
      <c r="N6822">
        <v>-1.1960699999999999E-2</v>
      </c>
      <c r="O6822">
        <v>2.9379829999999999E-2</v>
      </c>
      <c r="P6822">
        <v>-0.98688819999999999</v>
      </c>
      <c r="Q6822">
        <v>0.156172799999999</v>
      </c>
      <c r="R6822">
        <v>4.0767530000000003E-2</v>
      </c>
      <c r="S6822">
        <v>-3.0737610000000002</v>
      </c>
      <c r="T6822">
        <v>-0.28773090000000001</v>
      </c>
      <c r="U6822">
        <v>0.27206419999999998</v>
      </c>
      <c r="V6822">
        <v>1.182036E-2</v>
      </c>
      <c r="W6822">
        <v>0.1679696</v>
      </c>
      <c r="X6822">
        <v>0.98572130000000002</v>
      </c>
      <c r="Y6822">
        <v>5.86712E-2</v>
      </c>
      <c r="Z6822">
        <v>6.9970779999999999E-4</v>
      </c>
      <c r="AA6822">
        <v>0.99827710000000003</v>
      </c>
      <c r="AB6822">
        <v>26</v>
      </c>
      <c r="AC6822">
        <v>-0.56999999999999296</v>
      </c>
      <c r="AD6822">
        <v>-7.7496999999999899E-2</v>
      </c>
      <c r="AE6822">
        <v>6.5799999999995806E-2</v>
      </c>
      <c r="AF6822">
        <v>4.81456217931618E-2</v>
      </c>
      <c r="AG6822">
        <v>-7.7496999999999899E-2</v>
      </c>
      <c r="AH6822">
        <v>0.56144538889317597</v>
      </c>
      <c r="AI6822">
        <v>97.830566932674998</v>
      </c>
      <c r="AJ6822">
        <v>85.098706036272603</v>
      </c>
      <c r="AK6822">
        <v>0.56880990727681502</v>
      </c>
      <c r="AL6822">
        <v>80.330211702886004</v>
      </c>
      <c r="AM6822">
        <v>89.312965763869201</v>
      </c>
      <c r="AN6822">
        <v>0.99999999435418896</v>
      </c>
    </row>
    <row r="6823" spans="1:40" x14ac:dyDescent="0.25">
      <c r="A6823" t="str">
        <f>"20190303162048822"</f>
        <v>20190303162048822</v>
      </c>
      <c r="B6823" t="str">
        <f>"1551601248809650"</f>
        <v>1551601248809650</v>
      </c>
      <c r="C6823" t="s">
        <v>40</v>
      </c>
      <c r="D6823">
        <v>4.4667629999999896</v>
      </c>
      <c r="E6823">
        <v>0.51328589999999996</v>
      </c>
      <c r="F6823" t="s">
        <v>41</v>
      </c>
      <c r="G6823">
        <v>-373.18200000000002</v>
      </c>
      <c r="H6823" s="1">
        <v>-3.8588670000000002E-6</v>
      </c>
      <c r="I6823">
        <v>143.369</v>
      </c>
      <c r="J6823">
        <v>-358.66149999999999</v>
      </c>
      <c r="K6823">
        <v>1.1211960000000001</v>
      </c>
      <c r="L6823">
        <v>142.20089999999999</v>
      </c>
      <c r="M6823">
        <v>-0.99949010000000005</v>
      </c>
      <c r="N6823">
        <v>-1.197549E-2</v>
      </c>
      <c r="O6823">
        <v>2.9602940000000001E-2</v>
      </c>
      <c r="P6823">
        <v>-0.9868422</v>
      </c>
      <c r="Q6823">
        <v>0.15647720000000001</v>
      </c>
      <c r="R6823">
        <v>4.0712669999999999E-2</v>
      </c>
      <c r="S6823">
        <v>-3.0665279999999999</v>
      </c>
      <c r="T6823">
        <v>-0.23235810000000001</v>
      </c>
      <c r="U6823">
        <v>0.24383540000000001</v>
      </c>
      <c r="V6823">
        <v>1.154635E-2</v>
      </c>
      <c r="W6823">
        <v>0.16828879999999999</v>
      </c>
      <c r="X6823">
        <v>0.98567009999999999</v>
      </c>
      <c r="Y6823">
        <v>4.9614249999999999E-2</v>
      </c>
      <c r="Z6823">
        <v>2.903289E-4</v>
      </c>
      <c r="AA6823">
        <v>0.9987684</v>
      </c>
      <c r="AB6823">
        <v>26</v>
      </c>
      <c r="AC6823">
        <v>-14.520499999999901</v>
      </c>
      <c r="AD6823">
        <v>-1.12119985886699</v>
      </c>
      <c r="AE6823">
        <v>1.1680999999999999</v>
      </c>
      <c r="AF6823">
        <v>0.73336341023083096</v>
      </c>
      <c r="AG6823">
        <v>-1.12119985886699</v>
      </c>
      <c r="AH6823">
        <v>14.4630405813081</v>
      </c>
      <c r="AI6823">
        <v>94.427137048514197</v>
      </c>
      <c r="AJ6823">
        <v>87.097244380851507</v>
      </c>
      <c r="AK6823">
        <v>14.524959685711799</v>
      </c>
      <c r="AL6823">
        <v>80.311658767655601</v>
      </c>
      <c r="AM6823">
        <v>89.328855703310595</v>
      </c>
      <c r="AN6823">
        <v>0.99999999221888602</v>
      </c>
    </row>
    <row r="6824" spans="1:40" x14ac:dyDescent="0.25">
      <c r="A6824" t="str">
        <f>"20190303162048844"</f>
        <v>20190303162048844</v>
      </c>
      <c r="B6824" t="str">
        <f>"1551601248829171"</f>
        <v>1551601248829171</v>
      </c>
      <c r="C6824" t="s">
        <v>40</v>
      </c>
      <c r="D6824">
        <v>4.4859669999999996</v>
      </c>
      <c r="E6824">
        <v>0.51211479999999998</v>
      </c>
      <c r="F6824" t="s">
        <v>41</v>
      </c>
      <c r="G6824">
        <v>-375.3723</v>
      </c>
      <c r="H6824" s="1">
        <v>-2.9809079999999999E-6</v>
      </c>
      <c r="I6824">
        <v>143.4246</v>
      </c>
      <c r="J6824">
        <v>-358.92259999999999</v>
      </c>
      <c r="K6824">
        <v>1.1211990000000001</v>
      </c>
      <c r="L6824">
        <v>142.2088</v>
      </c>
      <c r="M6824">
        <v>-0.99948360000000003</v>
      </c>
      <c r="N6824">
        <v>-1.19877E-2</v>
      </c>
      <c r="O6824">
        <v>2.981226E-2</v>
      </c>
      <c r="P6824">
        <v>-0.98691059999999997</v>
      </c>
      <c r="Q6824">
        <v>0.15607170000000001</v>
      </c>
      <c r="R6824">
        <v>4.0610769999999997E-2</v>
      </c>
      <c r="S6824">
        <v>-3.0633240000000002</v>
      </c>
      <c r="T6824">
        <v>-0.2055321</v>
      </c>
      <c r="U6824">
        <v>0.2243347</v>
      </c>
      <c r="V6824">
        <v>1.123556E-2</v>
      </c>
      <c r="W6824">
        <v>0.1678963</v>
      </c>
      <c r="X6824">
        <v>0.98574070000000003</v>
      </c>
      <c r="Y6824">
        <v>4.3200620000000002E-2</v>
      </c>
      <c r="Z6824" s="1">
        <v>6.7500279999999993E-5</v>
      </c>
      <c r="AA6824">
        <v>0.99906640000000002</v>
      </c>
      <c r="AB6824">
        <v>26</v>
      </c>
      <c r="AC6824">
        <v>-16.4497</v>
      </c>
      <c r="AD6824">
        <v>-1.1212019809080001</v>
      </c>
      <c r="AE6824">
        <v>1.2158</v>
      </c>
      <c r="AF6824">
        <v>0.72148792009262996</v>
      </c>
      <c r="AG6824">
        <v>-1.1212019809080001</v>
      </c>
      <c r="AH6824">
        <v>16.4028468715983</v>
      </c>
      <c r="AI6824">
        <v>93.906553959956895</v>
      </c>
      <c r="AJ6824">
        <v>87.481438153088305</v>
      </c>
      <c r="AK6824">
        <v>16.456944558268798</v>
      </c>
      <c r="AL6824">
        <v>80.334472690318705</v>
      </c>
      <c r="AM6824">
        <v>89.346965898099199</v>
      </c>
      <c r="AN6824">
        <v>1.00000006649934</v>
      </c>
    </row>
    <row r="6825" spans="1:40" x14ac:dyDescent="0.25">
      <c r="A6825" t="str">
        <f>"20190303162048867"</f>
        <v>20190303162048867</v>
      </c>
      <c r="B6825" t="str">
        <f>"1551601248859427"</f>
        <v>1551601248859427</v>
      </c>
      <c r="C6825" t="s">
        <v>40</v>
      </c>
      <c r="D6825">
        <v>4.5117159999999998</v>
      </c>
      <c r="E6825">
        <v>0.51113379999999997</v>
      </c>
      <c r="F6825" t="s">
        <v>41</v>
      </c>
      <c r="G6825">
        <v>-376.8032</v>
      </c>
      <c r="H6825" s="1">
        <v>-2.3774279999999998E-6</v>
      </c>
      <c r="I6825">
        <v>143.46360000000001</v>
      </c>
      <c r="J6825">
        <v>-359.17950000000002</v>
      </c>
      <c r="K6825">
        <v>1.121202</v>
      </c>
      <c r="L6825">
        <v>142.21680000000001</v>
      </c>
      <c r="M6825">
        <v>-0.99947739999999996</v>
      </c>
      <c r="N6825">
        <v>-1.1998379999999999E-2</v>
      </c>
      <c r="O6825">
        <v>3.0017229999999999E-2</v>
      </c>
      <c r="P6825">
        <v>-0.98693940000000002</v>
      </c>
      <c r="Q6825">
        <v>0.1558155</v>
      </c>
      <c r="R6825">
        <v>4.089226E-2</v>
      </c>
      <c r="S6825">
        <v>-3.0613100000000002</v>
      </c>
      <c r="T6825">
        <v>-0.19195950000000001</v>
      </c>
      <c r="U6825">
        <v>0.2148438</v>
      </c>
      <c r="V6825">
        <v>1.1313490000000001E-2</v>
      </c>
      <c r="W6825">
        <v>0.16765039999999901</v>
      </c>
      <c r="X6825">
        <v>0.98578160000000004</v>
      </c>
      <c r="Y6825">
        <v>3.9976039999999997E-2</v>
      </c>
      <c r="Z6825" s="1">
        <v>-2.68044E-5</v>
      </c>
      <c r="AA6825">
        <v>0.99920059999999999</v>
      </c>
      <c r="AB6825">
        <v>26</v>
      </c>
      <c r="AC6825">
        <v>-17.6236999999999</v>
      </c>
      <c r="AD6825">
        <v>-1.1212043774280001</v>
      </c>
      <c r="AE6825">
        <v>1.2467999999999999</v>
      </c>
      <c r="AF6825">
        <v>0.71430867640269102</v>
      </c>
      <c r="AG6825">
        <v>-1.1212043774280001</v>
      </c>
      <c r="AH6825">
        <v>17.582377066187199</v>
      </c>
      <c r="AI6825">
        <v>93.645734552852005</v>
      </c>
      <c r="AJ6825">
        <v>87.673558138055697</v>
      </c>
      <c r="AK6825">
        <v>17.6325641765097</v>
      </c>
      <c r="AL6825">
        <v>80.348763719661505</v>
      </c>
      <c r="AM6825">
        <v>89.342464120704506</v>
      </c>
      <c r="AN6825">
        <v>1.0000000072873501</v>
      </c>
    </row>
    <row r="6826" spans="1:40" x14ac:dyDescent="0.25">
      <c r="A6826" t="str">
        <f>"20190303162048888"</f>
        <v>20190303162048888</v>
      </c>
      <c r="B6826" t="str">
        <f>"1551601248879923"</f>
        <v>1551601248879923</v>
      </c>
      <c r="C6826" t="s">
        <v>40</v>
      </c>
      <c r="D6826">
        <v>4.4869260000000004</v>
      </c>
      <c r="E6826">
        <v>0.51066920000000005</v>
      </c>
      <c r="F6826" t="s">
        <v>41</v>
      </c>
      <c r="G6826">
        <v>-378.29239999999999</v>
      </c>
      <c r="H6826" s="1">
        <v>-1.7528059999999999E-6</v>
      </c>
      <c r="I6826">
        <v>143.5171</v>
      </c>
      <c r="J6826">
        <v>-359.42939999999999</v>
      </c>
      <c r="K6826">
        <v>1.1212009999999999</v>
      </c>
      <c r="L6826">
        <v>142.22450000000001</v>
      </c>
      <c r="M6826">
        <v>-0.9994712</v>
      </c>
      <c r="N6826">
        <v>-1.200791E-2</v>
      </c>
      <c r="O6826">
        <v>3.021708E-2</v>
      </c>
      <c r="P6826">
        <v>-0.98696729999999999</v>
      </c>
      <c r="Q6826">
        <v>0.15569729999999901</v>
      </c>
      <c r="R6826">
        <v>4.0669839999999999E-2</v>
      </c>
      <c r="S6826">
        <v>-3.059418</v>
      </c>
      <c r="T6826">
        <v>-0.17947260000000001</v>
      </c>
      <c r="U6826">
        <v>0.2081604</v>
      </c>
      <c r="V6826">
        <v>1.0892840000000001E-2</v>
      </c>
      <c r="W6826">
        <v>0.16754229999999901</v>
      </c>
      <c r="X6826">
        <v>0.98580469999999998</v>
      </c>
      <c r="Y6826">
        <v>3.7656719999999998E-2</v>
      </c>
      <c r="Z6826" s="1">
        <v>-7.7172819999999894E-5</v>
      </c>
      <c r="AA6826">
        <v>0.99929069999999998</v>
      </c>
      <c r="AB6826">
        <v>26</v>
      </c>
      <c r="AC6826">
        <v>-18.863</v>
      </c>
      <c r="AD6826">
        <v>-1.121202752806</v>
      </c>
      <c r="AE6826">
        <v>1.29259999999999</v>
      </c>
      <c r="AF6826">
        <v>0.71945379895367101</v>
      </c>
      <c r="AG6826">
        <v>-1.121202752806</v>
      </c>
      <c r="AH6826">
        <v>18.8272403351063</v>
      </c>
      <c r="AI6826">
        <v>93.405582382245498</v>
      </c>
      <c r="AJ6826">
        <v>87.811595423786201</v>
      </c>
      <c r="AK6826">
        <v>18.874312915112501</v>
      </c>
      <c r="AL6826">
        <v>80.355046100724707</v>
      </c>
      <c r="AM6826">
        <v>89.366924949505702</v>
      </c>
      <c r="AN6826">
        <v>0.99999999139732199</v>
      </c>
    </row>
    <row r="6827" spans="1:40" x14ac:dyDescent="0.25">
      <c r="A6827" t="str">
        <f>"20190303162048911"</f>
        <v>20190303162048911</v>
      </c>
      <c r="B6827" t="str">
        <f>"1551601248899443"</f>
        <v>1551601248899443</v>
      </c>
      <c r="C6827" t="s">
        <v>40</v>
      </c>
      <c r="D6827">
        <v>4.5166539999999999</v>
      </c>
      <c r="E6827">
        <v>0.51028030000000002</v>
      </c>
      <c r="F6827" t="s">
        <v>41</v>
      </c>
      <c r="G6827">
        <v>-379.40640000000002</v>
      </c>
      <c r="H6827" s="1">
        <v>-1.2854239999999901E-6</v>
      </c>
      <c r="I6827">
        <v>143.5566</v>
      </c>
      <c r="J6827">
        <v>-359.69380000000001</v>
      </c>
      <c r="K6827">
        <v>1.1211930000000001</v>
      </c>
      <c r="L6827">
        <v>142.23269999999999</v>
      </c>
      <c r="M6827">
        <v>-0.99946469999999998</v>
      </c>
      <c r="N6827">
        <v>-1.201672E-2</v>
      </c>
      <c r="O6827">
        <v>3.042868E-2</v>
      </c>
      <c r="P6827">
        <v>-0.98702469999999998</v>
      </c>
      <c r="Q6827">
        <v>0.155466299999999</v>
      </c>
      <c r="R6827">
        <v>4.0158619999999999E-2</v>
      </c>
      <c r="S6827">
        <v>-3.058319</v>
      </c>
      <c r="T6827">
        <v>-0.17164779999999999</v>
      </c>
      <c r="U6827">
        <v>0.20394899999999999</v>
      </c>
      <c r="V6827">
        <v>1.0171090000000001E-2</v>
      </c>
      <c r="W6827">
        <v>0.16732089999999999</v>
      </c>
      <c r="X6827">
        <v>0.98585</v>
      </c>
      <c r="Y6827">
        <v>3.6105279999999997E-2</v>
      </c>
      <c r="Z6827">
        <v>-1.101014E-4</v>
      </c>
      <c r="AA6827">
        <v>0.99934800000000001</v>
      </c>
      <c r="AB6827">
        <v>26</v>
      </c>
      <c r="AC6827">
        <v>-19.712599999999998</v>
      </c>
      <c r="AD6827">
        <v>-1.121194285424</v>
      </c>
      <c r="AE6827">
        <v>1.3239000000000001</v>
      </c>
      <c r="AF6827">
        <v>0.72109289551307598</v>
      </c>
      <c r="AG6827">
        <v>-1.121194285424</v>
      </c>
      <c r="AH6827">
        <v>19.680377916885501</v>
      </c>
      <c r="AI6827">
        <v>93.258443445761998</v>
      </c>
      <c r="AJ6827">
        <v>87.901610130319497</v>
      </c>
      <c r="AK6827">
        <v>19.725474051111199</v>
      </c>
      <c r="AL6827">
        <v>80.3679128951199</v>
      </c>
      <c r="AM6827">
        <v>89.408896024118903</v>
      </c>
      <c r="AN6827">
        <v>0.99999997857429801</v>
      </c>
    </row>
    <row r="6828" spans="1:40" x14ac:dyDescent="0.25">
      <c r="A6828" t="str">
        <f>"20190303162048933"</f>
        <v>20190303162048933</v>
      </c>
      <c r="B6828" t="str">
        <f>"1551601248918963"</f>
        <v>1551601248918963</v>
      </c>
      <c r="C6828" t="s">
        <v>40</v>
      </c>
      <c r="D6828">
        <v>4.5099390000000001</v>
      </c>
      <c r="E6828">
        <v>0.5099629</v>
      </c>
      <c r="F6828" t="s">
        <v>41</v>
      </c>
      <c r="G6828">
        <v>-380.31889999999999</v>
      </c>
      <c r="H6828" s="1">
        <v>-4.8699230000000002E-6</v>
      </c>
      <c r="I6828">
        <v>143.5762</v>
      </c>
      <c r="J6828">
        <v>-359.95359999999999</v>
      </c>
      <c r="K6828">
        <v>1.1211979999999999</v>
      </c>
      <c r="L6828">
        <v>142.24090000000001</v>
      </c>
      <c r="M6828">
        <v>-0.99945839999999997</v>
      </c>
      <c r="N6828">
        <v>-1.202427E-2</v>
      </c>
      <c r="O6828">
        <v>3.0636759999999999E-2</v>
      </c>
      <c r="P6828">
        <v>-0.98702000000000001</v>
      </c>
      <c r="Q6828">
        <v>0.1554741</v>
      </c>
      <c r="R6828">
        <v>4.024465E-2</v>
      </c>
      <c r="S6828">
        <v>-3.0574949999999999</v>
      </c>
      <c r="T6828">
        <v>-0.166208299999999</v>
      </c>
      <c r="U6828">
        <v>0.19917299999999999</v>
      </c>
      <c r="V6828">
        <v>1.0051279999999999E-2</v>
      </c>
      <c r="W6828">
        <v>0.1673364</v>
      </c>
      <c r="X6828">
        <v>0.98584859999999996</v>
      </c>
      <c r="Y6828">
        <v>3.436562E-2</v>
      </c>
      <c r="Z6828">
        <v>-1.5449370000000001E-4</v>
      </c>
      <c r="AA6828">
        <v>0.99940929999999994</v>
      </c>
      <c r="AB6828">
        <v>26</v>
      </c>
      <c r="AC6828">
        <v>-20.365299999999898</v>
      </c>
      <c r="AD6828">
        <v>-1.1212028699229999</v>
      </c>
      <c r="AE6828">
        <v>1.3352999999999799</v>
      </c>
      <c r="AF6828">
        <v>0.70856280589521903</v>
      </c>
      <c r="AG6828">
        <v>-1.1212028699229999</v>
      </c>
      <c r="AH6828">
        <v>20.335278542804801</v>
      </c>
      <c r="AI6828">
        <v>93.153946042588402</v>
      </c>
      <c r="AJ6828">
        <v>88.004392208207705</v>
      </c>
      <c r="AK6828">
        <v>20.3784864633976</v>
      </c>
      <c r="AL6828">
        <v>80.367012129805303</v>
      </c>
      <c r="AM6828">
        <v>89.415857597955593</v>
      </c>
      <c r="AN6828">
        <v>0.99999998055827899</v>
      </c>
    </row>
    <row r="6829" spans="1:40" x14ac:dyDescent="0.25">
      <c r="A6829" t="str">
        <f>"20190303162048956"</f>
        <v>20190303162048956</v>
      </c>
      <c r="B6829" t="str">
        <f>"1551601248949219"</f>
        <v>1551601248949219</v>
      </c>
      <c r="C6829" t="s">
        <v>40</v>
      </c>
      <c r="D6829">
        <v>4.5111270000000001</v>
      </c>
      <c r="E6829">
        <v>0.5096079</v>
      </c>
      <c r="F6829" t="s">
        <v>41</v>
      </c>
      <c r="G6829">
        <v>-381.16050000000001</v>
      </c>
      <c r="H6829" s="1">
        <v>-4.5891970000000002E-6</v>
      </c>
      <c r="I6829">
        <v>143.60810000000001</v>
      </c>
      <c r="J6829">
        <v>-360.21929999999998</v>
      </c>
      <c r="K6829">
        <v>1.1211960000000001</v>
      </c>
      <c r="L6829">
        <v>142.24930000000001</v>
      </c>
      <c r="M6829">
        <v>-0.99945170000000005</v>
      </c>
      <c r="N6829">
        <v>-1.203098E-2</v>
      </c>
      <c r="O6829">
        <v>3.0849970000000001E-2</v>
      </c>
      <c r="P6829">
        <v>-0.98703750000000001</v>
      </c>
      <c r="Q6829">
        <v>0.1550889</v>
      </c>
      <c r="R6829">
        <v>4.1284830000000002E-2</v>
      </c>
      <c r="S6829">
        <v>-3.056915</v>
      </c>
      <c r="T6829">
        <v>-0.1616184</v>
      </c>
      <c r="U6829">
        <v>0.19709779999999999</v>
      </c>
      <c r="V6829">
        <v>1.0879410000000001E-2</v>
      </c>
      <c r="W6829">
        <v>0.166958</v>
      </c>
      <c r="X6829">
        <v>0.985904</v>
      </c>
      <c r="Y6829">
        <v>3.3491890000000003E-2</v>
      </c>
      <c r="Z6829">
        <v>-1.7120739999999999E-4</v>
      </c>
      <c r="AA6829">
        <v>0.99943899999999997</v>
      </c>
      <c r="AB6829">
        <v>26</v>
      </c>
      <c r="AC6829">
        <v>-20.941199999999998</v>
      </c>
      <c r="AD6829">
        <v>-1.1212005891969901</v>
      </c>
      <c r="AE6829">
        <v>1.3588</v>
      </c>
      <c r="AF6829">
        <v>0.71004419296147403</v>
      </c>
      <c r="AG6829">
        <v>-1.1212005891969901</v>
      </c>
      <c r="AH6829">
        <v>20.9134544035355</v>
      </c>
      <c r="AI6829">
        <v>93.067008126295804</v>
      </c>
      <c r="AJ6829">
        <v>88.055466406895405</v>
      </c>
      <c r="AK6829">
        <v>20.9555202418344</v>
      </c>
      <c r="AL6829">
        <v>80.389002557362701</v>
      </c>
      <c r="AM6829">
        <v>89.367769096350997</v>
      </c>
      <c r="AN6829">
        <v>1.0000000162709699</v>
      </c>
    </row>
    <row r="6830" spans="1:40" x14ac:dyDescent="0.25">
      <c r="A6830" t="str">
        <f>"20190303162048977"</f>
        <v>20190303162048977</v>
      </c>
      <c r="B6830" t="str">
        <f>"1551601248969715"</f>
        <v>1551601248969715</v>
      </c>
      <c r="C6830" t="s">
        <v>40</v>
      </c>
      <c r="D6830">
        <v>4.505179</v>
      </c>
      <c r="E6830">
        <v>0.50948599999999999</v>
      </c>
      <c r="F6830" t="s">
        <v>41</v>
      </c>
      <c r="G6830">
        <v>-381.68540000000002</v>
      </c>
      <c r="H6830" s="1">
        <v>-4.4152739999999996E-6</v>
      </c>
      <c r="I6830">
        <v>143.63460000000001</v>
      </c>
      <c r="J6830">
        <v>-360.47289999999998</v>
      </c>
      <c r="K6830">
        <v>1.121189</v>
      </c>
      <c r="L6830">
        <v>142.25739999999999</v>
      </c>
      <c r="M6830">
        <v>-0.99944529999999998</v>
      </c>
      <c r="N6830">
        <v>-1.20366E-2</v>
      </c>
      <c r="O6830">
        <v>3.1053600000000001E-2</v>
      </c>
      <c r="P6830">
        <v>-0.98705160000000003</v>
      </c>
      <c r="Q6830">
        <v>0.15472320000000001</v>
      </c>
      <c r="R6830">
        <v>4.2307030000000002E-2</v>
      </c>
      <c r="S6830">
        <v>-3.056244</v>
      </c>
      <c r="T6830">
        <v>-0.15963150000000001</v>
      </c>
      <c r="U6830">
        <v>0.19725039999999999</v>
      </c>
      <c r="V6830">
        <v>1.169924E-2</v>
      </c>
      <c r="W6830">
        <v>0.1665983</v>
      </c>
      <c r="X6830">
        <v>0.98595540000000004</v>
      </c>
      <c r="Y6830">
        <v>3.3352890000000003E-2</v>
      </c>
      <c r="Z6830">
        <v>-1.74587099999999E-4</v>
      </c>
      <c r="AA6830">
        <v>0.99944370000000005</v>
      </c>
      <c r="AB6830">
        <v>26</v>
      </c>
      <c r="AC6830">
        <v>-21.212499999999999</v>
      </c>
      <c r="AD6830">
        <v>-1.121193415274</v>
      </c>
      <c r="AE6830">
        <v>1.37720000000001</v>
      </c>
      <c r="AF6830">
        <v>0.71577228438790297</v>
      </c>
      <c r="AG6830">
        <v>-1.121193415274</v>
      </c>
      <c r="AH6830">
        <v>21.186099437725701</v>
      </c>
      <c r="AI6830">
        <v>93.027610236489295</v>
      </c>
      <c r="AJ6830">
        <v>88.0649983157614</v>
      </c>
      <c r="AK6830">
        <v>21.227816986745299</v>
      </c>
      <c r="AL6830">
        <v>80.4099040322685</v>
      </c>
      <c r="AM6830">
        <v>89.320166390801603</v>
      </c>
      <c r="AN6830">
        <v>0.99999995828431298</v>
      </c>
    </row>
    <row r="6831" spans="1:40" x14ac:dyDescent="0.25">
      <c r="A6831" t="str">
        <f>"20190303162048999"</f>
        <v>20190303162048999</v>
      </c>
      <c r="B6831" t="str">
        <f>"1551601248989235"</f>
        <v>1551601248989235</v>
      </c>
      <c r="C6831" t="s">
        <v>40</v>
      </c>
      <c r="D6831">
        <v>4.4668239999999999</v>
      </c>
      <c r="E6831">
        <v>0.50951899999999894</v>
      </c>
      <c r="F6831" t="s">
        <v>41</v>
      </c>
      <c r="G6831">
        <v>-381.93349999999998</v>
      </c>
      <c r="H6831" s="1">
        <v>-4.334572E-6</v>
      </c>
      <c r="I6831">
        <v>143.65559999999999</v>
      </c>
      <c r="J6831">
        <v>-360.73610000000002</v>
      </c>
      <c r="K6831">
        <v>1.1211899999999999</v>
      </c>
      <c r="L6831">
        <v>142.26580000000001</v>
      </c>
      <c r="M6831">
        <v>-0.99943859999999995</v>
      </c>
      <c r="N6831">
        <v>-1.2041700000000001E-2</v>
      </c>
      <c r="O6831">
        <v>3.1264260000000002E-2</v>
      </c>
      <c r="P6831">
        <v>-0.98705299999999996</v>
      </c>
      <c r="Q6831">
        <v>0.15438399999999999</v>
      </c>
      <c r="R6831">
        <v>4.3499389999999999E-2</v>
      </c>
      <c r="S6831">
        <v>-3.055847</v>
      </c>
      <c r="T6831">
        <v>-0.1596514</v>
      </c>
      <c r="U6831">
        <v>0.19911190000000001</v>
      </c>
      <c r="V6831">
        <v>1.268268E-2</v>
      </c>
      <c r="W6831">
        <v>0.166264</v>
      </c>
      <c r="X6831">
        <v>0.98599970000000003</v>
      </c>
      <c r="Y6831">
        <v>3.3756330000000001E-2</v>
      </c>
      <c r="Z6831">
        <v>-1.70006E-4</v>
      </c>
      <c r="AA6831">
        <v>0.99943009999999999</v>
      </c>
      <c r="AB6831">
        <v>26</v>
      </c>
      <c r="AC6831">
        <v>-21.197399999999899</v>
      </c>
      <c r="AD6831">
        <v>-1.1211943345719999</v>
      </c>
      <c r="AE6831">
        <v>1.3897999999999699</v>
      </c>
      <c r="AF6831">
        <v>0.72433364177715198</v>
      </c>
      <c r="AG6831">
        <v>-1.1211943345719999</v>
      </c>
      <c r="AH6831">
        <v>21.171513047465801</v>
      </c>
      <c r="AI6831">
        <v>93.029650824648797</v>
      </c>
      <c r="AJ6831">
        <v>88.040523631173301</v>
      </c>
      <c r="AK6831">
        <v>21.213549931105401</v>
      </c>
      <c r="AL6831">
        <v>80.429329219150205</v>
      </c>
      <c r="AM6831">
        <v>89.263058634590493</v>
      </c>
      <c r="AN6831">
        <v>0.99999998823403602</v>
      </c>
    </row>
    <row r="6832" spans="1:40" x14ac:dyDescent="0.25">
      <c r="A6832" t="str">
        <f>"20190303162049023"</f>
        <v>20190303162049023</v>
      </c>
      <c r="B6832" t="str">
        <f>"1551601249009732"</f>
        <v>1551601249009732</v>
      </c>
      <c r="C6832" t="s">
        <v>40</v>
      </c>
      <c r="D6832">
        <v>4.4286120000000002</v>
      </c>
      <c r="E6832">
        <v>0.51019519999999996</v>
      </c>
      <c r="F6832" t="s">
        <v>41</v>
      </c>
      <c r="G6832">
        <v>-382.64089999999999</v>
      </c>
      <c r="H6832" s="1">
        <v>-4.1058419999999996E-6</v>
      </c>
      <c r="I6832">
        <v>143.72329999999999</v>
      </c>
      <c r="J6832">
        <v>-361.00549999999998</v>
      </c>
      <c r="K6832">
        <v>1.1211880000000001</v>
      </c>
      <c r="L6832">
        <v>142.27449999999999</v>
      </c>
      <c r="M6832">
        <v>-0.99943179999999998</v>
      </c>
      <c r="N6832">
        <v>-1.204622E-2</v>
      </c>
      <c r="O6832">
        <v>3.1480300000000003E-2</v>
      </c>
      <c r="P6832">
        <v>-0.98711669999999996</v>
      </c>
      <c r="Q6832">
        <v>0.15363949999999901</v>
      </c>
      <c r="R6832">
        <v>4.4672360000000001E-2</v>
      </c>
      <c r="S6832">
        <v>-3.0548099999999998</v>
      </c>
      <c r="T6832">
        <v>-0.1563601</v>
      </c>
      <c r="U6832">
        <v>0.2032776</v>
      </c>
      <c r="V6832">
        <v>1.3639119999999999E-2</v>
      </c>
      <c r="W6832">
        <v>0.16552529999999999</v>
      </c>
      <c r="X6832">
        <v>0.98611119999999997</v>
      </c>
      <c r="Y6832">
        <v>3.4918310000000001E-2</v>
      </c>
      <c r="Z6832">
        <v>-1.2629439999999999E-4</v>
      </c>
      <c r="AA6832">
        <v>0.99939020000000001</v>
      </c>
      <c r="AB6832">
        <v>26</v>
      </c>
      <c r="AC6832">
        <v>-21.635400000000001</v>
      </c>
      <c r="AD6832">
        <v>-1.12119210584199</v>
      </c>
      <c r="AE6832">
        <v>1.4488000000000001</v>
      </c>
      <c r="AF6832">
        <v>0.76489855191132206</v>
      </c>
      <c r="AG6832">
        <v>-1.12119210584199</v>
      </c>
      <c r="AH6832">
        <v>21.612505361740698</v>
      </c>
      <c r="AI6832">
        <v>92.967816710901303</v>
      </c>
      <c r="AJ6832">
        <v>87.9730635654427</v>
      </c>
      <c r="AK6832">
        <v>21.6550809175165</v>
      </c>
      <c r="AL6832">
        <v>80.472248191800503</v>
      </c>
      <c r="AM6832">
        <v>89.207580051870593</v>
      </c>
      <c r="AN6832">
        <v>0.99999997464995105</v>
      </c>
    </row>
    <row r="6833" spans="1:40" x14ac:dyDescent="0.25">
      <c r="A6833" t="str">
        <f>"20190303162049045"</f>
        <v>20190303162049045</v>
      </c>
      <c r="B6833" t="str">
        <f>"1551601249039011"</f>
        <v>1551601249039011</v>
      </c>
      <c r="C6833" t="s">
        <v>40</v>
      </c>
      <c r="D6833">
        <v>4.3164369999999996</v>
      </c>
      <c r="E6833">
        <v>0.51119950000000003</v>
      </c>
      <c r="F6833" t="s">
        <v>41</v>
      </c>
      <c r="G6833">
        <v>-383.6044</v>
      </c>
      <c r="H6833" s="1">
        <v>-3.7999479999999999E-6</v>
      </c>
      <c r="I6833">
        <v>143.84729999999999</v>
      </c>
      <c r="J6833">
        <v>-361.26409999999998</v>
      </c>
      <c r="K6833">
        <v>1.1211880000000001</v>
      </c>
      <c r="L6833">
        <v>142.28290000000001</v>
      </c>
      <c r="M6833">
        <v>-0.99942540000000002</v>
      </c>
      <c r="N6833">
        <v>-1.204995E-2</v>
      </c>
      <c r="O6833">
        <v>3.1687269999999997E-2</v>
      </c>
      <c r="P6833">
        <v>-0.98711879999999996</v>
      </c>
      <c r="Q6833">
        <v>0.1534189</v>
      </c>
      <c r="R6833">
        <v>4.5382430000000001E-2</v>
      </c>
      <c r="S6833">
        <v>-3.0531009999999998</v>
      </c>
      <c r="T6833">
        <v>-0.15147289999999999</v>
      </c>
      <c r="U6833">
        <v>0.21249390000000001</v>
      </c>
      <c r="V6833">
        <v>1.4144199999999999E-2</v>
      </c>
      <c r="W6833">
        <v>0.16530799999999901</v>
      </c>
      <c r="X6833">
        <v>0.98614049999999998</v>
      </c>
      <c r="Y6833">
        <v>3.7748200000000003E-2</v>
      </c>
      <c r="Z6833" s="1">
        <v>-2.4665090000000001E-5</v>
      </c>
      <c r="AA6833">
        <v>0.99928729999999999</v>
      </c>
      <c r="AB6833">
        <v>26</v>
      </c>
      <c r="AC6833">
        <v>-22.340299999999999</v>
      </c>
      <c r="AD6833">
        <v>-1.1211917999479999</v>
      </c>
      <c r="AE6833">
        <v>1.56439999999997</v>
      </c>
      <c r="AF6833">
        <v>0.85352062542101004</v>
      </c>
      <c r="AG6833">
        <v>-1.1211917999479999</v>
      </c>
      <c r="AH6833">
        <v>22.322704422152999</v>
      </c>
      <c r="AI6833">
        <v>92.873255457855194</v>
      </c>
      <c r="AJ6833">
        <v>87.810331664678301</v>
      </c>
      <c r="AK6833">
        <v>22.3671343991379</v>
      </c>
      <c r="AL6833">
        <v>80.484872142516906</v>
      </c>
      <c r="AM6833">
        <v>89.178263747333204</v>
      </c>
      <c r="AN6833">
        <v>0.99999993949894295</v>
      </c>
    </row>
    <row r="6834" spans="1:40" x14ac:dyDescent="0.25">
      <c r="A6834" t="str">
        <f>"20190303162049068"</f>
        <v>20190303162049068</v>
      </c>
      <c r="B6834" t="str">
        <f>"1551601249059507"</f>
        <v>1551601249059507</v>
      </c>
      <c r="C6834" t="s">
        <v>40</v>
      </c>
      <c r="D6834">
        <v>4.2514399999999997</v>
      </c>
      <c r="E6834">
        <v>0.5117372</v>
      </c>
      <c r="F6834" t="s">
        <v>41</v>
      </c>
      <c r="G6834">
        <v>-385.42869999999999</v>
      </c>
      <c r="H6834" s="1">
        <v>-3.1212939999999999E-6</v>
      </c>
      <c r="I6834">
        <v>144.04310000000001</v>
      </c>
      <c r="J6834">
        <v>-361.52719999999999</v>
      </c>
      <c r="K6834">
        <v>1.121186</v>
      </c>
      <c r="L6834">
        <v>142.29140000000001</v>
      </c>
      <c r="M6834">
        <v>-0.99941860000000005</v>
      </c>
      <c r="N6834">
        <v>-1.205292E-2</v>
      </c>
      <c r="O6834">
        <v>3.1897950000000001E-2</v>
      </c>
      <c r="P6834">
        <v>-0.98705690000000001</v>
      </c>
      <c r="Q6834">
        <v>0.15364410000000001</v>
      </c>
      <c r="R6834">
        <v>4.5961259999999997E-2</v>
      </c>
      <c r="S6834">
        <v>-3.0509339999999998</v>
      </c>
      <c r="T6834">
        <v>-0.14155809999999999</v>
      </c>
      <c r="U6834">
        <v>0.2222595</v>
      </c>
      <c r="V6834">
        <v>1.451647E-2</v>
      </c>
      <c r="W6834">
        <v>0.1655356</v>
      </c>
      <c r="X6834">
        <v>0.986097</v>
      </c>
      <c r="Y6834">
        <v>4.0767879999999999E-2</v>
      </c>
      <c r="Z6834" s="1">
        <v>9.7541310000000001E-5</v>
      </c>
      <c r="AA6834">
        <v>0.99916859999999996</v>
      </c>
      <c r="AB6834">
        <v>26</v>
      </c>
      <c r="AC6834">
        <v>-23.901499999999999</v>
      </c>
      <c r="AD6834">
        <v>-1.1211891212939999</v>
      </c>
      <c r="AE6834">
        <v>1.75169999999999</v>
      </c>
      <c r="AF6834">
        <v>0.98618591961031499</v>
      </c>
      <c r="AG6834">
        <v>-1.1211891212939999</v>
      </c>
      <c r="AH6834">
        <v>23.892921384268298</v>
      </c>
      <c r="AI6834">
        <v>92.684384347480304</v>
      </c>
      <c r="AJ6834">
        <v>87.636444907229205</v>
      </c>
      <c r="AK6834">
        <v>23.939534665247201</v>
      </c>
      <c r="AL6834">
        <v>80.471650304043806</v>
      </c>
      <c r="AM6834">
        <v>89.156601845324701</v>
      </c>
      <c r="AN6834">
        <v>1.0000000280888099</v>
      </c>
    </row>
    <row r="6835" spans="1:40" x14ac:dyDescent="0.25">
      <c r="A6835" t="str">
        <f>"20190303162049089"</f>
        <v>20190303162049089</v>
      </c>
      <c r="B6835" t="str">
        <f>"1551601249080004"</f>
        <v>1551601249080004</v>
      </c>
      <c r="C6835" t="s">
        <v>40</v>
      </c>
      <c r="D6835">
        <v>4.2311899999999998</v>
      </c>
      <c r="E6835">
        <v>0.51216930000000005</v>
      </c>
      <c r="F6835" t="s">
        <v>41</v>
      </c>
      <c r="G6835">
        <v>-386.83120000000002</v>
      </c>
      <c r="H6835" s="1">
        <v>-2.5575070000000001E-6</v>
      </c>
      <c r="I6835">
        <v>144.18549999999999</v>
      </c>
      <c r="J6835">
        <v>-361.78179999999998</v>
      </c>
      <c r="K6835">
        <v>1.121184</v>
      </c>
      <c r="L6835">
        <v>142.2998</v>
      </c>
      <c r="M6835">
        <v>-0.99941190000000002</v>
      </c>
      <c r="N6835">
        <v>-1.205532E-2</v>
      </c>
      <c r="O6835">
        <v>3.2102070000000003E-2</v>
      </c>
      <c r="P6835">
        <v>-0.98709159999999996</v>
      </c>
      <c r="Q6835">
        <v>0.15353039999999901</v>
      </c>
      <c r="R6835">
        <v>4.5591310000000003E-2</v>
      </c>
      <c r="S6835">
        <v>-3.0497130000000001</v>
      </c>
      <c r="T6835">
        <v>-0.13512929999999901</v>
      </c>
      <c r="U6835">
        <v>0.22828670000000001</v>
      </c>
      <c r="V6835">
        <v>1.394362E-2</v>
      </c>
      <c r="W6835">
        <v>0.1654246</v>
      </c>
      <c r="X6835">
        <v>0.98612390000000005</v>
      </c>
      <c r="Y6835">
        <v>4.2556709999999998E-2</v>
      </c>
      <c r="Z6835">
        <v>1.6547299999999999E-4</v>
      </c>
      <c r="AA6835">
        <v>0.99909400000000004</v>
      </c>
      <c r="AB6835">
        <v>26</v>
      </c>
      <c r="AC6835">
        <v>-25.049399999999999</v>
      </c>
      <c r="AD6835">
        <v>-1.1211865575069999</v>
      </c>
      <c r="AE6835">
        <v>1.8856999999999799</v>
      </c>
      <c r="AF6835">
        <v>1.0783837097845499</v>
      </c>
      <c r="AG6835">
        <v>-1.1211865575069999</v>
      </c>
      <c r="AH6835">
        <v>25.047130921868401</v>
      </c>
      <c r="AI6835">
        <v>92.5606551856755</v>
      </c>
      <c r="AJ6835">
        <v>87.534699660803795</v>
      </c>
      <c r="AK6835">
        <v>25.095392767189001</v>
      </c>
      <c r="AL6835">
        <v>80.478099104819293</v>
      </c>
      <c r="AM6835">
        <v>89.189901654129699</v>
      </c>
      <c r="AN6835">
        <v>1.0000000344875299</v>
      </c>
    </row>
    <row r="6836" spans="1:40" x14ac:dyDescent="0.25">
      <c r="A6836" t="str">
        <f>"20190303162049112"</f>
        <v>20190303162049112</v>
      </c>
      <c r="B6836" t="str">
        <f>"1551601249099523"</f>
        <v>1551601249099523</v>
      </c>
      <c r="C6836" t="s">
        <v>40</v>
      </c>
      <c r="D6836">
        <v>4.1478549999999998</v>
      </c>
      <c r="E6836">
        <v>0.51265260000000001</v>
      </c>
      <c r="F6836" t="s">
        <v>41</v>
      </c>
      <c r="G6836">
        <v>-388.33699999999999</v>
      </c>
      <c r="H6836" s="1">
        <v>-1.9447900000000001E-6</v>
      </c>
      <c r="I6836">
        <v>144.31059999999999</v>
      </c>
      <c r="J6836">
        <v>-362.04590000000002</v>
      </c>
      <c r="K6836">
        <v>1.121191</v>
      </c>
      <c r="L6836">
        <v>142.30850000000001</v>
      </c>
      <c r="M6836">
        <v>-0.99940510000000005</v>
      </c>
      <c r="N6836">
        <v>-1.2057409999999999E-2</v>
      </c>
      <c r="O6836">
        <v>3.2313050000000003E-2</v>
      </c>
      <c r="P6836">
        <v>-0.98704809999999998</v>
      </c>
      <c r="Q6836">
        <v>0.15394059999999901</v>
      </c>
      <c r="R6836">
        <v>4.514746E-2</v>
      </c>
      <c r="S6836">
        <v>-3.048584</v>
      </c>
      <c r="T6836">
        <v>-0.12871440000000001</v>
      </c>
      <c r="U6836">
        <v>0.23085020000000001</v>
      </c>
      <c r="V6836">
        <v>1.329289E-2</v>
      </c>
      <c r="W6836">
        <v>0.1658366</v>
      </c>
      <c r="X6836">
        <v>0.98606369999999999</v>
      </c>
      <c r="Y6836">
        <v>4.3210350000000002E-2</v>
      </c>
      <c r="Z6836">
        <v>1.994907E-4</v>
      </c>
      <c r="AA6836">
        <v>0.99906600000000001</v>
      </c>
      <c r="AB6836">
        <v>26</v>
      </c>
      <c r="AC6836">
        <v>-26.291099999999901</v>
      </c>
      <c r="AD6836">
        <v>-1.12119294479</v>
      </c>
      <c r="AE6836">
        <v>2.00209999999998</v>
      </c>
      <c r="AF6836">
        <v>1.1493687655890299</v>
      </c>
      <c r="AG6836">
        <v>-1.12119294479</v>
      </c>
      <c r="AH6836">
        <v>26.2945231999717</v>
      </c>
      <c r="AI6836">
        <v>92.439274575520798</v>
      </c>
      <c r="AJ6836">
        <v>87.497118129620404</v>
      </c>
      <c r="AK6836">
        <v>26.343501523005799</v>
      </c>
      <c r="AL6836">
        <v>80.454162776491998</v>
      </c>
      <c r="AM6836">
        <v>89.227656020064202</v>
      </c>
      <c r="AN6836">
        <v>1.0000000496408901</v>
      </c>
    </row>
    <row r="6837" spans="1:40" x14ac:dyDescent="0.25">
      <c r="A6837" t="str">
        <f>"20190303162049133"</f>
        <v>20190303162049133</v>
      </c>
      <c r="B6837" t="str">
        <f>"1551601249129779"</f>
        <v>1551601249129779</v>
      </c>
      <c r="C6837" t="s">
        <v>40</v>
      </c>
      <c r="D6837">
        <v>4.1092659999999999</v>
      </c>
      <c r="E6837">
        <v>0.51335980000000003</v>
      </c>
      <c r="F6837" t="s">
        <v>41</v>
      </c>
      <c r="G6837">
        <v>-390.15030000000002</v>
      </c>
      <c r="H6837" s="1">
        <v>-5.0845180000000003E-6</v>
      </c>
      <c r="I6837">
        <v>144.4623</v>
      </c>
      <c r="J6837">
        <v>-362.30020000000002</v>
      </c>
      <c r="K6837">
        <v>1.121191</v>
      </c>
      <c r="L6837">
        <v>142.31700000000001</v>
      </c>
      <c r="M6837">
        <v>-0.99939860000000003</v>
      </c>
      <c r="N6837">
        <v>-1.205907E-2</v>
      </c>
      <c r="O6837">
        <v>3.2514960000000002E-2</v>
      </c>
      <c r="P6837">
        <v>-0.98703249999999998</v>
      </c>
      <c r="Q6837">
        <v>0.15424679999999999</v>
      </c>
      <c r="R6837">
        <v>4.4440510000000003E-2</v>
      </c>
      <c r="S6837">
        <v>-3.0476380000000001</v>
      </c>
      <c r="T6837">
        <v>-0.12158289999999999</v>
      </c>
      <c r="U6837">
        <v>0.2335663</v>
      </c>
      <c r="V6837">
        <v>1.238703E-2</v>
      </c>
      <c r="W6837">
        <v>0.1661446</v>
      </c>
      <c r="X6837">
        <v>0.9860236</v>
      </c>
      <c r="Y6837">
        <v>4.3918949999999998E-2</v>
      </c>
      <c r="Z6837">
        <v>2.3720570000000001E-4</v>
      </c>
      <c r="AA6837">
        <v>0.99903509999999995</v>
      </c>
      <c r="AB6837">
        <v>26</v>
      </c>
      <c r="AC6837">
        <v>-27.850100000000001</v>
      </c>
      <c r="AD6837">
        <v>-1.121196084518</v>
      </c>
      <c r="AE6837">
        <v>2.14529999999999</v>
      </c>
      <c r="AF6837">
        <v>1.23656255361387</v>
      </c>
      <c r="AG6837">
        <v>-1.121196084518</v>
      </c>
      <c r="AH6837">
        <v>27.8602440208515</v>
      </c>
      <c r="AI6837">
        <v>92.302279809262401</v>
      </c>
      <c r="AJ6837">
        <v>87.458624339753598</v>
      </c>
      <c r="AK6837">
        <v>27.910201799885499</v>
      </c>
      <c r="AL6837">
        <v>80.436266972527093</v>
      </c>
      <c r="AM6837">
        <v>89.280253325386298</v>
      </c>
      <c r="AN6837">
        <v>1.00000000318917</v>
      </c>
    </row>
    <row r="6838" spans="1:40" x14ac:dyDescent="0.25">
      <c r="A6838" t="str">
        <f>"20190303162049152"</f>
        <v>20190303162049152</v>
      </c>
      <c r="B6838" t="str">
        <f>"1551601249139539"</f>
        <v>1551601249139539</v>
      </c>
      <c r="C6838" t="s">
        <v>40</v>
      </c>
      <c r="D6838">
        <v>4.1409449999999897</v>
      </c>
      <c r="E6838">
        <v>0.51355980000000001</v>
      </c>
      <c r="F6838" t="s">
        <v>41</v>
      </c>
      <c r="G6838">
        <v>-391.98200000000003</v>
      </c>
      <c r="H6838" s="1">
        <v>-4.48936999999999E-6</v>
      </c>
      <c r="I6838">
        <v>144.62129999999999</v>
      </c>
      <c r="J6838">
        <v>-362.51249999999999</v>
      </c>
      <c r="K6838">
        <v>1.1211930000000001</v>
      </c>
      <c r="L6838">
        <v>142.32409999999999</v>
      </c>
      <c r="M6838">
        <v>-0.99939319999999998</v>
      </c>
      <c r="N6838">
        <v>-1.2060370000000001E-2</v>
      </c>
      <c r="O6838">
        <v>3.2680920000000002E-2</v>
      </c>
      <c r="P6838">
        <v>-0.98704480000000006</v>
      </c>
      <c r="Q6838">
        <v>0.1541042</v>
      </c>
      <c r="R6838">
        <v>4.4664120000000002E-2</v>
      </c>
      <c r="S6838">
        <v>-3.0467529999999998</v>
      </c>
      <c r="T6838">
        <v>-0.1150877</v>
      </c>
      <c r="U6838">
        <v>0.23654169999999999</v>
      </c>
      <c r="V6838">
        <v>1.244551E-2</v>
      </c>
      <c r="W6838">
        <v>0.1660035</v>
      </c>
      <c r="X6838">
        <v>0.9860466</v>
      </c>
      <c r="Y6838">
        <v>4.4746630000000003E-2</v>
      </c>
      <c r="Z6838">
        <v>2.7593950000000001E-4</v>
      </c>
      <c r="AA6838">
        <v>0.99899830000000001</v>
      </c>
      <c r="AB6838">
        <v>26</v>
      </c>
      <c r="AC6838">
        <v>-29.469499999999901</v>
      </c>
      <c r="AD6838">
        <v>-1.1211974893700001</v>
      </c>
      <c r="AE6838">
        <v>2.2972000000000001</v>
      </c>
      <c r="AF6838">
        <v>1.3308976062787099</v>
      </c>
      <c r="AG6838">
        <v>-1.1211974893700001</v>
      </c>
      <c r="AH6838">
        <v>29.486412422651899</v>
      </c>
      <c r="AI6838">
        <v>92.175364957163694</v>
      </c>
      <c r="AJ6838">
        <v>87.415653881088005</v>
      </c>
      <c r="AK6838">
        <v>29.5377197800929</v>
      </c>
      <c r="AL6838">
        <v>80.4444649828108</v>
      </c>
      <c r="AM6838">
        <v>89.276872578913995</v>
      </c>
      <c r="AN6838">
        <v>0.99999997505148397</v>
      </c>
    </row>
    <row r="6839" spans="1:40" x14ac:dyDescent="0.25">
      <c r="A6839" t="str">
        <f>"20190303162049167"</f>
        <v>20190303162049167</v>
      </c>
      <c r="B6839" t="str">
        <f>"1551601249159058"</f>
        <v>1551601249159058</v>
      </c>
      <c r="C6839" t="s">
        <v>40</v>
      </c>
      <c r="D6839">
        <v>4.0815859999999997</v>
      </c>
      <c r="E6839">
        <v>0.51372470000000003</v>
      </c>
      <c r="F6839" t="s">
        <v>41</v>
      </c>
      <c r="G6839">
        <v>-392.38690000000003</v>
      </c>
      <c r="H6839" s="1">
        <v>-4.359003E-6</v>
      </c>
      <c r="I6839">
        <v>144.66319999999999</v>
      </c>
      <c r="J6839">
        <v>-362.68950000000001</v>
      </c>
      <c r="K6839">
        <v>1.121197</v>
      </c>
      <c r="L6839">
        <v>142.33000000000001</v>
      </c>
      <c r="M6839">
        <v>-0.99938859999999996</v>
      </c>
      <c r="N6839">
        <v>-1.206135E-2</v>
      </c>
      <c r="O6839">
        <v>3.2817020000000002E-2</v>
      </c>
      <c r="P6839">
        <v>-0.98708200000000001</v>
      </c>
      <c r="Q6839">
        <v>0.1539721</v>
      </c>
      <c r="R6839">
        <v>4.4291499999999998E-2</v>
      </c>
      <c r="S6839">
        <v>-3.0464479999999998</v>
      </c>
      <c r="T6839">
        <v>-0.11433409999999999</v>
      </c>
      <c r="U6839">
        <v>0.23854059999999999</v>
      </c>
      <c r="V6839">
        <v>1.193629E-2</v>
      </c>
      <c r="W6839">
        <v>0.16587279999999999</v>
      </c>
      <c r="X6839">
        <v>0.98607489999999998</v>
      </c>
      <c r="Y6839">
        <v>4.5269650000000002E-2</v>
      </c>
      <c r="Z6839">
        <v>2.8801020000000002E-4</v>
      </c>
      <c r="AA6839">
        <v>0.99897469999999999</v>
      </c>
      <c r="AB6839">
        <v>26</v>
      </c>
      <c r="AC6839">
        <v>-29.697399999999998</v>
      </c>
      <c r="AD6839">
        <v>-1.1212013590029899</v>
      </c>
      <c r="AE6839">
        <v>2.33319999999997</v>
      </c>
      <c r="AF6839">
        <v>1.35537197053808</v>
      </c>
      <c r="AG6839">
        <v>-1.1212013590029899</v>
      </c>
      <c r="AH6839">
        <v>29.715879648699499</v>
      </c>
      <c r="AI6839">
        <v>92.158543706501106</v>
      </c>
      <c r="AJ6839">
        <v>87.388490265672303</v>
      </c>
      <c r="AK6839">
        <v>29.7678959444893</v>
      </c>
      <c r="AL6839">
        <v>80.452058913198698</v>
      </c>
      <c r="AM6839">
        <v>89.306476982976605</v>
      </c>
      <c r="AN6839">
        <v>0.99999998460440698</v>
      </c>
    </row>
    <row r="6840" spans="1:40" x14ac:dyDescent="0.25">
      <c r="A6840" t="str">
        <f>"20190303162049185"</f>
        <v>20190303162049185</v>
      </c>
      <c r="B6840" t="str">
        <f>"1551601249179555"</f>
        <v>1551601249179555</v>
      </c>
      <c r="C6840" t="s">
        <v>40</v>
      </c>
      <c r="D6840">
        <v>4.0615790000000001</v>
      </c>
      <c r="E6840">
        <v>0.52077470000000003</v>
      </c>
      <c r="F6840" t="s">
        <v>41</v>
      </c>
      <c r="G6840">
        <v>-392.75529999999998</v>
      </c>
      <c r="H6840" s="1">
        <v>-4.2378039999999996E-6</v>
      </c>
      <c r="I6840">
        <v>144.6867</v>
      </c>
      <c r="J6840">
        <v>-362.90410000000003</v>
      </c>
      <c r="K6840">
        <v>1.1212009999999999</v>
      </c>
      <c r="L6840">
        <v>142.3372</v>
      </c>
      <c r="M6840">
        <v>-0.99938340000000003</v>
      </c>
      <c r="N6840">
        <v>-1.206229E-2</v>
      </c>
      <c r="O6840">
        <v>3.2975740000000003E-2</v>
      </c>
      <c r="P6840">
        <v>-0.98706150000000004</v>
      </c>
      <c r="Q6840">
        <v>0.15404860000000001</v>
      </c>
      <c r="R6840">
        <v>4.4483290000000002E-2</v>
      </c>
      <c r="S6840">
        <v>-3.046265</v>
      </c>
      <c r="T6840">
        <v>-0.1136001</v>
      </c>
      <c r="U6840">
        <v>0.23878479999999999</v>
      </c>
      <c r="V6840">
        <v>1.197003E-2</v>
      </c>
      <c r="W6840">
        <v>0.16595079999999901</v>
      </c>
      <c r="X6840">
        <v>0.98606139999999998</v>
      </c>
      <c r="Y6840">
        <v>4.5195649999999997E-2</v>
      </c>
      <c r="Z6840">
        <v>2.8467109999999999E-4</v>
      </c>
      <c r="AA6840">
        <v>0.99897809999999998</v>
      </c>
      <c r="AB6840">
        <v>26</v>
      </c>
      <c r="AC6840">
        <v>-29.851199999999899</v>
      </c>
      <c r="AD6840">
        <v>-1.1212052378039901</v>
      </c>
      <c r="AE6840">
        <v>2.3494999999999999</v>
      </c>
      <c r="AF6840">
        <v>1.3618756306215201</v>
      </c>
      <c r="AG6840">
        <v>-1.1212052378039901</v>
      </c>
      <c r="AH6840">
        <v>29.870565140085802</v>
      </c>
      <c r="AI6840">
        <v>92.147385349245994</v>
      </c>
      <c r="AJ6840">
        <v>87.389546314293</v>
      </c>
      <c r="AK6840">
        <v>29.922607978026701</v>
      </c>
      <c r="AL6840">
        <v>80.447527346531501</v>
      </c>
      <c r="AM6840">
        <v>89.3045072910095</v>
      </c>
      <c r="AN6840">
        <v>1.0000000171043999</v>
      </c>
    </row>
    <row r="6841" spans="1:40" x14ac:dyDescent="0.25">
      <c r="A6841" t="str">
        <f>"20190303162049200"</f>
        <v>20190303162049200</v>
      </c>
      <c r="B6841" t="str">
        <f>"1551601249189315"</f>
        <v>1551601249189315</v>
      </c>
      <c r="C6841" t="s">
        <v>40</v>
      </c>
      <c r="D6841">
        <v>4.0731699999999904</v>
      </c>
      <c r="E6841">
        <v>0.52082299999999904</v>
      </c>
      <c r="F6841" t="s">
        <v>41</v>
      </c>
      <c r="G6841">
        <v>-457.28699999999998</v>
      </c>
      <c r="H6841">
        <v>7.9987139999999998E-2</v>
      </c>
      <c r="I6841">
        <v>151.55959999999999</v>
      </c>
      <c r="J6841">
        <v>-363.07619999999997</v>
      </c>
      <c r="K6841">
        <v>1.12121</v>
      </c>
      <c r="L6841">
        <v>142.34309999999999</v>
      </c>
      <c r="M6841">
        <v>-0.99937929999999997</v>
      </c>
      <c r="N6841">
        <v>-1.206292E-2</v>
      </c>
      <c r="O6841">
        <v>3.3097679999999997E-2</v>
      </c>
      <c r="P6841">
        <v>-0.98699340000000002</v>
      </c>
      <c r="Q6841">
        <v>0.15443750000000001</v>
      </c>
      <c r="R6841">
        <v>4.4645890000000001E-2</v>
      </c>
      <c r="S6841">
        <v>-3.0311889999999999</v>
      </c>
      <c r="T6841">
        <v>-3.343952E-2</v>
      </c>
      <c r="U6841">
        <v>0.29618840000000002</v>
      </c>
      <c r="V6841">
        <v>1.201259E-2</v>
      </c>
      <c r="W6841">
        <v>0.16633919999999999</v>
      </c>
      <c r="X6841">
        <v>0.98599539999999997</v>
      </c>
      <c r="Y6841">
        <v>6.4245830000000004E-2</v>
      </c>
      <c r="Z6841">
        <v>7.764623E-4</v>
      </c>
      <c r="AA6841">
        <v>0.99793379999999998</v>
      </c>
      <c r="AB6841">
        <v>26</v>
      </c>
      <c r="AC6841">
        <v>-94.210800000000006</v>
      </c>
      <c r="AD6841">
        <v>-1.04122286</v>
      </c>
      <c r="AE6841">
        <v>9.2164999999999893</v>
      </c>
      <c r="AF6841">
        <v>6.0923267612146299</v>
      </c>
      <c r="AG6841">
        <v>-1.04122286</v>
      </c>
      <c r="AH6841">
        <v>94.452815558271098</v>
      </c>
      <c r="AI6841">
        <v>90.630278295299902</v>
      </c>
      <c r="AJ6841">
        <v>86.309461722833504</v>
      </c>
      <c r="AK6841">
        <v>94.654820042586294</v>
      </c>
      <c r="AL6841">
        <v>80.424959654371193</v>
      </c>
      <c r="AM6841">
        <v>89.301987963058906</v>
      </c>
      <c r="AN6841">
        <v>0.99999998029815396</v>
      </c>
    </row>
    <row r="6842" spans="1:40" x14ac:dyDescent="0.25">
      <c r="A6842" t="str">
        <f>"20190303162049224"</f>
        <v>20190303162049224</v>
      </c>
      <c r="B6842" t="str">
        <f>"1551601249219571"</f>
        <v>1551601249219571</v>
      </c>
      <c r="C6842" t="s">
        <v>40</v>
      </c>
      <c r="D6842">
        <v>4.01112</v>
      </c>
      <c r="E6842">
        <v>0.52128200000000002</v>
      </c>
      <c r="F6842" t="s">
        <v>41</v>
      </c>
      <c r="G6842">
        <v>-448.50540000000001</v>
      </c>
      <c r="H6842">
        <v>7.9987470000000005E-2</v>
      </c>
      <c r="I6842">
        <v>150.72149999999999</v>
      </c>
      <c r="J6842">
        <v>-363.3503</v>
      </c>
      <c r="K6842">
        <v>1.121219</v>
      </c>
      <c r="L6842">
        <v>142.35239999999999</v>
      </c>
      <c r="M6842">
        <v>-0.99937310000000001</v>
      </c>
      <c r="N6842">
        <v>-1.206833E-2</v>
      </c>
      <c r="O6842">
        <v>3.3286660000000003E-2</v>
      </c>
      <c r="P6842">
        <v>-0.98692800000000003</v>
      </c>
      <c r="Q6842">
        <v>0.1547354</v>
      </c>
      <c r="R6842">
        <v>4.5059200000000001E-2</v>
      </c>
      <c r="S6842">
        <v>-3.0318299999999998</v>
      </c>
      <c r="T6842">
        <v>-3.695238E-2</v>
      </c>
      <c r="U6842">
        <v>0.297348</v>
      </c>
      <c r="V6842">
        <v>1.223837E-2</v>
      </c>
      <c r="W6842">
        <v>0.16664200000000001</v>
      </c>
      <c r="X6842">
        <v>0.98594150000000003</v>
      </c>
      <c r="Y6842">
        <v>6.4413419999999999E-2</v>
      </c>
      <c r="Z6842">
        <v>7.777312E-4</v>
      </c>
      <c r="AA6842">
        <v>0.997923</v>
      </c>
      <c r="AB6842">
        <v>26</v>
      </c>
      <c r="AC6842">
        <v>-85.155100000000004</v>
      </c>
      <c r="AD6842">
        <v>-1.0412315299999999</v>
      </c>
      <c r="AE6842">
        <v>8.3690999999999995</v>
      </c>
      <c r="AF6842">
        <v>5.5289078658405799</v>
      </c>
      <c r="AG6842">
        <v>-1.0412315299999999</v>
      </c>
      <c r="AH6842">
        <v>85.373861479780899</v>
      </c>
      <c r="AI6842">
        <v>90.697292130984096</v>
      </c>
      <c r="AJ6842">
        <v>86.294634816225198</v>
      </c>
      <c r="AK6842">
        <v>85.559039319389399</v>
      </c>
      <c r="AL6842">
        <v>80.407364994101599</v>
      </c>
      <c r="AM6842">
        <v>89.2888310933496</v>
      </c>
      <c r="AN6842">
        <v>0.99999998764325304</v>
      </c>
    </row>
    <row r="6843" spans="1:40" x14ac:dyDescent="0.25">
      <c r="A6843" t="str">
        <f>"20190303162049247"</f>
        <v>20190303162049247</v>
      </c>
      <c r="B6843" t="str">
        <f>"1551601249239091"</f>
        <v>1551601249239091</v>
      </c>
      <c r="C6843" t="s">
        <v>40</v>
      </c>
      <c r="D6843">
        <v>4.0060260000000003</v>
      </c>
      <c r="E6843">
        <v>0.52146599999999999</v>
      </c>
      <c r="F6843" t="s">
        <v>41</v>
      </c>
      <c r="G6843">
        <v>-459.68189999999998</v>
      </c>
      <c r="H6843">
        <v>7.9987879999999997E-2</v>
      </c>
      <c r="I6843">
        <v>151.96350000000001</v>
      </c>
      <c r="J6843">
        <v>-363.61189999999999</v>
      </c>
      <c r="K6843">
        <v>1.121221</v>
      </c>
      <c r="L6843">
        <v>142.3613</v>
      </c>
      <c r="M6843">
        <v>-0.99936709999999995</v>
      </c>
      <c r="N6843">
        <v>-1.207862E-2</v>
      </c>
      <c r="O6843">
        <v>3.345907E-2</v>
      </c>
      <c r="P6843">
        <v>-0.98690279999999997</v>
      </c>
      <c r="Q6843">
        <v>0.1548736</v>
      </c>
      <c r="R6843">
        <v>4.5137360000000001E-2</v>
      </c>
      <c r="S6843">
        <v>-3.0310359999999998</v>
      </c>
      <c r="T6843">
        <v>-3.2761930000000002E-2</v>
      </c>
      <c r="U6843">
        <v>0.30241390000000001</v>
      </c>
      <c r="V6843">
        <v>1.2145E-2</v>
      </c>
      <c r="W6843">
        <v>0.16679059999999901</v>
      </c>
      <c r="X6843">
        <v>0.98591759999999995</v>
      </c>
      <c r="Y6843">
        <v>6.5919649999999996E-2</v>
      </c>
      <c r="Z6843">
        <v>7.9733189999999995E-4</v>
      </c>
      <c r="AA6843">
        <v>0.99782459999999995</v>
      </c>
      <c r="AB6843">
        <v>26</v>
      </c>
      <c r="AC6843">
        <v>-96.07</v>
      </c>
      <c r="AD6843">
        <v>-1.04123312</v>
      </c>
      <c r="AE6843">
        <v>9.6021999999999998</v>
      </c>
      <c r="AF6843">
        <v>6.3814332767461197</v>
      </c>
      <c r="AG6843">
        <v>-1.04123312</v>
      </c>
      <c r="AH6843">
        <v>96.326302221052799</v>
      </c>
      <c r="AI6843">
        <v>90.617956556863405</v>
      </c>
      <c r="AJ6843">
        <v>86.209802541295801</v>
      </c>
      <c r="AK6843">
        <v>96.543064777628302</v>
      </c>
      <c r="AL6843">
        <v>80.398730691229105</v>
      </c>
      <c r="AM6843">
        <v>89.294239145523406</v>
      </c>
      <c r="AN6843">
        <v>1.0000000596315499</v>
      </c>
    </row>
    <row r="6844" spans="1:40" x14ac:dyDescent="0.25">
      <c r="A6844" t="str">
        <f>"20190303162049268"</f>
        <v>20190303162049268</v>
      </c>
      <c r="B6844" t="str">
        <f>"1551601249259587"</f>
        <v>1551601249259587</v>
      </c>
      <c r="C6844" t="s">
        <v>40</v>
      </c>
      <c r="D6844">
        <v>4.034929</v>
      </c>
      <c r="E6844">
        <v>0.52177770000000001</v>
      </c>
      <c r="F6844" t="s">
        <v>41</v>
      </c>
      <c r="G6844">
        <v>-462.4221</v>
      </c>
      <c r="H6844">
        <v>7.9986740000000001E-2</v>
      </c>
      <c r="I6844">
        <v>152.27879999999999</v>
      </c>
      <c r="J6844">
        <v>-363.86410000000001</v>
      </c>
      <c r="K6844">
        <v>1.121227</v>
      </c>
      <c r="L6844">
        <v>142.3699</v>
      </c>
      <c r="M6844">
        <v>-0.99936210000000003</v>
      </c>
      <c r="N6844">
        <v>-1.20891E-2</v>
      </c>
      <c r="O6844">
        <v>3.3608270000000003E-2</v>
      </c>
      <c r="P6844">
        <v>-0.98683639999999995</v>
      </c>
      <c r="Q6844">
        <v>0.1554063</v>
      </c>
      <c r="R6844">
        <v>4.475929E-2</v>
      </c>
      <c r="S6844">
        <v>-3.030945</v>
      </c>
      <c r="T6844">
        <v>-3.1939269999999999E-2</v>
      </c>
      <c r="U6844">
        <v>0.3042145</v>
      </c>
      <c r="V6844">
        <v>1.1619249999999999E-2</v>
      </c>
      <c r="W6844">
        <v>0.16733219999999999</v>
      </c>
      <c r="X6844">
        <v>0.98583209999999999</v>
      </c>
      <c r="Y6844">
        <v>6.6360810000000006E-2</v>
      </c>
      <c r="Z6844">
        <v>8.0338649999999996E-4</v>
      </c>
      <c r="AA6844">
        <v>0.99779530000000005</v>
      </c>
      <c r="AB6844">
        <v>26</v>
      </c>
      <c r="AC6844">
        <v>-98.558000000000007</v>
      </c>
      <c r="AD6844">
        <v>-1.0412402599999999</v>
      </c>
      <c r="AE6844">
        <v>9.9088999999999796</v>
      </c>
      <c r="AF6844">
        <v>6.5899678005587301</v>
      </c>
      <c r="AG6844">
        <v>-1.0412402599999999</v>
      </c>
      <c r="AH6844">
        <v>98.824440217907394</v>
      </c>
      <c r="AI6844">
        <v>90.602323453618993</v>
      </c>
      <c r="AJ6844">
        <v>86.184960198506602</v>
      </c>
      <c r="AK6844">
        <v>99.049390918239297</v>
      </c>
      <c r="AL6844">
        <v>80.367256410055305</v>
      </c>
      <c r="AM6844">
        <v>89.324729675790095</v>
      </c>
      <c r="AN6844">
        <v>1.0000000007589001</v>
      </c>
    </row>
    <row r="6845" spans="1:40" x14ac:dyDescent="0.25">
      <c r="A6845" t="str">
        <f>"20190303162049290"</f>
        <v>20190303162049290</v>
      </c>
      <c r="B6845" t="str">
        <f>"1551601249279107"</f>
        <v>1551601249279107</v>
      </c>
      <c r="C6845" t="s">
        <v>40</v>
      </c>
      <c r="D6845">
        <v>3.9814470000000002</v>
      </c>
      <c r="E6845">
        <v>0.52174719999999997</v>
      </c>
      <c r="F6845" t="s">
        <v>41</v>
      </c>
      <c r="G6845">
        <v>-460.16890000000001</v>
      </c>
      <c r="H6845">
        <v>7.9985959999999995E-2</v>
      </c>
      <c r="I6845">
        <v>152.08189999999999</v>
      </c>
      <c r="J6845">
        <v>-364.12450000000001</v>
      </c>
      <c r="K6845">
        <v>1.121235</v>
      </c>
      <c r="L6845">
        <v>142.37889999999999</v>
      </c>
      <c r="M6845">
        <v>-0.99935700000000005</v>
      </c>
      <c r="N6845">
        <v>-1.209872E-2</v>
      </c>
      <c r="O6845">
        <v>3.3752770000000001E-2</v>
      </c>
      <c r="P6845">
        <v>-0.98680159999999995</v>
      </c>
      <c r="Q6845">
        <v>0.15566070000000001</v>
      </c>
      <c r="R6845">
        <v>4.4633680000000002E-2</v>
      </c>
      <c r="S6845">
        <v>-3.0313110000000001</v>
      </c>
      <c r="T6845">
        <v>-3.2774329999999997E-2</v>
      </c>
      <c r="U6845">
        <v>0.30569459999999998</v>
      </c>
      <c r="V6845">
        <v>1.1348820000000001E-2</v>
      </c>
      <c r="W6845">
        <v>0.16759640000000001</v>
      </c>
      <c r="X6845">
        <v>0.98579039999999996</v>
      </c>
      <c r="Y6845">
        <v>6.6686490000000001E-2</v>
      </c>
      <c r="Z6845">
        <v>8.0784100000000001E-4</v>
      </c>
      <c r="AA6845">
        <v>0.99777360000000004</v>
      </c>
      <c r="AB6845">
        <v>26</v>
      </c>
      <c r="AC6845">
        <v>-96.044399999999996</v>
      </c>
      <c r="AD6845">
        <v>-1.0412490400000001</v>
      </c>
      <c r="AE6845">
        <v>9.7029999999999994</v>
      </c>
      <c r="AF6845">
        <v>6.4547177956480901</v>
      </c>
      <c r="AG6845">
        <v>-1.0412490400000001</v>
      </c>
      <c r="AH6845">
        <v>96.305989314181403</v>
      </c>
      <c r="AI6845">
        <v>90.618064563274203</v>
      </c>
      <c r="AJ6845">
        <v>86.165598716287505</v>
      </c>
      <c r="AK6845">
        <v>96.527670432720896</v>
      </c>
      <c r="AL6845">
        <v>80.351902326008101</v>
      </c>
      <c r="AM6845">
        <v>89.340416822753696</v>
      </c>
      <c r="AN6845">
        <v>1.0000000308702499</v>
      </c>
    </row>
    <row r="6846" spans="1:40" x14ac:dyDescent="0.25">
      <c r="A6846" t="str">
        <f>"20190303162049313"</f>
        <v>20190303162049313</v>
      </c>
      <c r="B6846" t="str">
        <f>"1551601249299603"</f>
        <v>1551601249299603</v>
      </c>
      <c r="C6846" t="s">
        <v>40</v>
      </c>
      <c r="D6846">
        <v>3.9764059999999999</v>
      </c>
      <c r="E6846">
        <v>0.52196179999999903</v>
      </c>
      <c r="F6846" t="s">
        <v>41</v>
      </c>
      <c r="G6846">
        <v>-464.49450000000002</v>
      </c>
      <c r="H6846">
        <v>7.9987440000000007E-2</v>
      </c>
      <c r="I6846">
        <v>152.4949</v>
      </c>
      <c r="J6846">
        <v>-364.38810000000001</v>
      </c>
      <c r="K6846">
        <v>1.12124</v>
      </c>
      <c r="L6846">
        <v>142.38800000000001</v>
      </c>
      <c r="M6846">
        <v>-0.99935200000000002</v>
      </c>
      <c r="N6846">
        <v>-1.2107730000000001E-2</v>
      </c>
      <c r="O6846">
        <v>3.3896929999999999E-2</v>
      </c>
      <c r="P6846">
        <v>-0.98677979999999998</v>
      </c>
      <c r="Q6846">
        <v>0.15585350000000001</v>
      </c>
      <c r="R6846">
        <v>4.4447519999999997E-2</v>
      </c>
      <c r="S6846">
        <v>-3.03125</v>
      </c>
      <c r="T6846">
        <v>-3.1446460000000002E-2</v>
      </c>
      <c r="U6846">
        <v>0.30551149999999999</v>
      </c>
      <c r="V6846">
        <v>1.101913E-2</v>
      </c>
      <c r="W6846">
        <v>0.16779810000000001</v>
      </c>
      <c r="X6846">
        <v>0.98575979999999996</v>
      </c>
      <c r="Y6846">
        <v>6.6485429999999998E-2</v>
      </c>
      <c r="Z6846">
        <v>8.0660809999999895E-4</v>
      </c>
      <c r="AA6846">
        <v>0.99778710000000004</v>
      </c>
      <c r="AB6846">
        <v>26</v>
      </c>
      <c r="AC6846">
        <v>-100.10639999999999</v>
      </c>
      <c r="AD6846">
        <v>-1.04125256</v>
      </c>
      <c r="AE6846">
        <v>10.1068999999999</v>
      </c>
      <c r="AF6846">
        <v>6.7068244114631197</v>
      </c>
      <c r="AG6846">
        <v>-1.04125256</v>
      </c>
      <c r="AH6846">
        <v>100.380731165886</v>
      </c>
      <c r="AI6846">
        <v>90.592987645268195</v>
      </c>
      <c r="AJ6846">
        <v>86.177528841349599</v>
      </c>
      <c r="AK6846">
        <v>100.609924410953</v>
      </c>
      <c r="AL6846">
        <v>80.340179491510298</v>
      </c>
      <c r="AM6846">
        <v>89.359556609848497</v>
      </c>
      <c r="AN6846">
        <v>1.0000000034428</v>
      </c>
    </row>
    <row r="6847" spans="1:40" x14ac:dyDescent="0.25">
      <c r="A6847" t="str">
        <f>"20190303162049335"</f>
        <v>20190303162049335</v>
      </c>
      <c r="B6847" t="str">
        <f>"1551601249329859"</f>
        <v>1551601249329859</v>
      </c>
      <c r="C6847" t="s">
        <v>40</v>
      </c>
      <c r="D6847">
        <v>4.0135769999999997</v>
      </c>
      <c r="E6847">
        <v>0.50304009999999999</v>
      </c>
      <c r="F6847" t="s">
        <v>62</v>
      </c>
      <c r="G6847">
        <v>-476.68400000000003</v>
      </c>
      <c r="H6847">
        <v>7.9987669999999997E-2</v>
      </c>
      <c r="I6847">
        <v>153.75729999999999</v>
      </c>
      <c r="J6847">
        <v>-364.654</v>
      </c>
      <c r="K6847">
        <v>1.1212489999999999</v>
      </c>
      <c r="L6847">
        <v>142.3972</v>
      </c>
      <c r="M6847">
        <v>-0.99934710000000004</v>
      </c>
      <c r="N6847">
        <v>-1.211634E-2</v>
      </c>
      <c r="O6847">
        <v>3.4042509999999998E-2</v>
      </c>
      <c r="P6847">
        <v>-0.98673440000000001</v>
      </c>
      <c r="Q6847">
        <v>0.15624199999999999</v>
      </c>
      <c r="R6847">
        <v>4.4087010000000003E-2</v>
      </c>
      <c r="S6847">
        <v>-3.0308229999999998</v>
      </c>
      <c r="T6847">
        <v>-2.8102990000000001E-2</v>
      </c>
      <c r="U6847">
        <v>0.30685420000000002</v>
      </c>
      <c r="V6847">
        <v>1.051537E-2</v>
      </c>
      <c r="W6847">
        <v>0.16819479999999901</v>
      </c>
      <c r="X6847">
        <v>0.98569770000000001</v>
      </c>
      <c r="Y6847">
        <v>6.6792889999999994E-2</v>
      </c>
      <c r="Z6847">
        <v>8.1158949999999999E-4</v>
      </c>
      <c r="AA6847">
        <v>0.99776659999999995</v>
      </c>
      <c r="AB6847">
        <v>26</v>
      </c>
      <c r="AC6847">
        <v>-112.03</v>
      </c>
      <c r="AD6847">
        <v>-1.04126133</v>
      </c>
      <c r="AE6847">
        <v>11.3600999999999</v>
      </c>
      <c r="AF6847">
        <v>7.5388081795294903</v>
      </c>
      <c r="AG6847">
        <v>-1.04126133</v>
      </c>
      <c r="AH6847">
        <v>112.342204763065</v>
      </c>
      <c r="AI6847">
        <v>90.529848111722899</v>
      </c>
      <c r="AJ6847">
        <v>86.160879454028503</v>
      </c>
      <c r="AK6847">
        <v>112.599683946943</v>
      </c>
      <c r="AL6847">
        <v>80.317122623231498</v>
      </c>
      <c r="AM6847">
        <v>89.388794893966704</v>
      </c>
      <c r="AN6847">
        <v>1.0000000097692801</v>
      </c>
    </row>
    <row r="6848" spans="1:40" x14ac:dyDescent="0.25">
      <c r="A6848" t="str">
        <f>"20190303162049352"</f>
        <v>20190303162049352</v>
      </c>
      <c r="B6848" t="str">
        <f>"1551601249339619"</f>
        <v>1551601249339619</v>
      </c>
      <c r="C6848" t="s">
        <v>40</v>
      </c>
      <c r="D6848">
        <v>4.0144609999999998</v>
      </c>
      <c r="E6848">
        <v>0.49970330000000002</v>
      </c>
      <c r="F6848" t="s">
        <v>71</v>
      </c>
      <c r="G6848">
        <v>-511.05939999999998</v>
      </c>
      <c r="H6848">
        <v>2.3232409999999999</v>
      </c>
      <c r="I6848">
        <v>149.89670000000001</v>
      </c>
      <c r="J6848">
        <v>-364.84230000000002</v>
      </c>
      <c r="K6848">
        <v>1.121251</v>
      </c>
      <c r="L6848">
        <v>142.40369999999999</v>
      </c>
      <c r="M6848">
        <v>-0.99934330000000005</v>
      </c>
      <c r="N6848">
        <v>-1.212207E-2</v>
      </c>
      <c r="O6848">
        <v>3.4145170000000002E-2</v>
      </c>
      <c r="P6848">
        <v>-0.98674580000000001</v>
      </c>
      <c r="Q6848">
        <v>0.1562878</v>
      </c>
      <c r="R6848">
        <v>4.3670359999999998E-2</v>
      </c>
      <c r="S6848">
        <v>-3.0294490000000001</v>
      </c>
      <c r="T6848">
        <v>2.4872660000000001E-2</v>
      </c>
      <c r="U6848">
        <v>0.15518189999999901</v>
      </c>
      <c r="V6848">
        <v>9.9973930000000003E-3</v>
      </c>
      <c r="W6848">
        <v>0.16824600000000001</v>
      </c>
      <c r="X6848">
        <v>0.98569430000000002</v>
      </c>
      <c r="Y6848">
        <v>1.7031899999999999E-2</v>
      </c>
      <c r="Z6848">
        <v>7.2726940000000003E-4</v>
      </c>
      <c r="AA6848">
        <v>0.99985469999999999</v>
      </c>
      <c r="AB6848">
        <v>26</v>
      </c>
      <c r="AC6848">
        <v>-146.21709999999899</v>
      </c>
      <c r="AD6848">
        <v>1.2019899999999999</v>
      </c>
      <c r="AE6848">
        <v>7.4930000000000199</v>
      </c>
      <c r="AF6848">
        <v>2.4954869445440302</v>
      </c>
      <c r="AG6848">
        <v>1.2019899999999999</v>
      </c>
      <c r="AH6848">
        <v>146.377828438981</v>
      </c>
      <c r="AI6848">
        <v>89.529591321380906</v>
      </c>
      <c r="AJ6848">
        <v>89.023301400504906</v>
      </c>
      <c r="AK6848">
        <v>146.40403305087699</v>
      </c>
      <c r="AL6848">
        <v>80.314146171016802</v>
      </c>
      <c r="AM6848">
        <v>89.418898146584098</v>
      </c>
      <c r="AN6848">
        <v>0.99999995871764202</v>
      </c>
    </row>
    <row r="6849" spans="1:40" x14ac:dyDescent="0.25">
      <c r="A6849" t="str">
        <f>"20190303162049368"</f>
        <v>20190303162049368</v>
      </c>
      <c r="B6849" t="str">
        <f>"1551601249359139"</f>
        <v>1551601249359139</v>
      </c>
      <c r="C6849" t="s">
        <v>40</v>
      </c>
      <c r="D6849">
        <v>4.0296190000000003</v>
      </c>
      <c r="E6849">
        <v>0.49693470000000001</v>
      </c>
      <c r="F6849" t="s">
        <v>71</v>
      </c>
      <c r="G6849">
        <v>-550.16290000000004</v>
      </c>
      <c r="H6849">
        <v>3.09531</v>
      </c>
      <c r="I6849">
        <v>150.20500000000001</v>
      </c>
      <c r="J6849">
        <v>-365.03030000000001</v>
      </c>
      <c r="K6849">
        <v>1.121259</v>
      </c>
      <c r="L6849">
        <v>142.4102</v>
      </c>
      <c r="M6849">
        <v>-0.9993398</v>
      </c>
      <c r="N6849">
        <v>-1.212746E-2</v>
      </c>
      <c r="O6849">
        <v>3.4247060000000003E-2</v>
      </c>
      <c r="P6849">
        <v>-0.9866009</v>
      </c>
      <c r="Q6849">
        <v>0.1574247</v>
      </c>
      <c r="R6849">
        <v>4.2848589999999999E-2</v>
      </c>
      <c r="S6849">
        <v>-3.029541</v>
      </c>
      <c r="T6849">
        <v>3.227174E-2</v>
      </c>
      <c r="U6849">
        <v>0.12753299999999901</v>
      </c>
      <c r="V6849">
        <v>9.0805529999999999E-3</v>
      </c>
      <c r="W6849">
        <v>0.16938619999999999</v>
      </c>
      <c r="X6849">
        <v>0.98550789999999999</v>
      </c>
      <c r="Y6849">
        <v>7.8241969999999997E-3</v>
      </c>
      <c r="Z6849">
        <v>7.8560589999999997E-4</v>
      </c>
      <c r="AA6849">
        <v>0.99996910000000006</v>
      </c>
      <c r="AB6849">
        <v>26</v>
      </c>
      <c r="AC6849">
        <v>-185.1326</v>
      </c>
      <c r="AD6849">
        <v>1.97405099999999</v>
      </c>
      <c r="AE6849">
        <v>7.7948000000000004</v>
      </c>
      <c r="AF6849">
        <v>1.4493487349618801</v>
      </c>
      <c r="AG6849">
        <v>1.97405099999999</v>
      </c>
      <c r="AH6849">
        <v>185.269925918876</v>
      </c>
      <c r="AI6849">
        <v>89.389555266363899</v>
      </c>
      <c r="AJ6849">
        <v>89.551789794167803</v>
      </c>
      <c r="AK6849">
        <v>185.286111025873</v>
      </c>
      <c r="AL6849">
        <v>80.247866458304799</v>
      </c>
      <c r="AM6849">
        <v>89.472086789402795</v>
      </c>
      <c r="AN6849">
        <v>0.99999998107781696</v>
      </c>
    </row>
    <row r="6850" spans="1:40" x14ac:dyDescent="0.25">
      <c r="A6850" t="str">
        <f>"20190303162049384"</f>
        <v>20190303162049384</v>
      </c>
      <c r="B6850" t="str">
        <f>"1551601249379635"</f>
        <v>1551601249379635</v>
      </c>
      <c r="C6850" t="s">
        <v>40</v>
      </c>
      <c r="D6850">
        <v>3.987714</v>
      </c>
      <c r="E6850">
        <v>0.49609540000000002</v>
      </c>
      <c r="F6850" t="s">
        <v>58</v>
      </c>
      <c r="G6850">
        <v>0</v>
      </c>
      <c r="H6850">
        <v>0</v>
      </c>
      <c r="I6850">
        <v>0</v>
      </c>
      <c r="J6850">
        <v>-365.226</v>
      </c>
      <c r="K6850">
        <v>1.1212599999999999</v>
      </c>
      <c r="L6850">
        <v>142.417</v>
      </c>
      <c r="M6850">
        <v>-0.99933620000000001</v>
      </c>
      <c r="N6850">
        <v>-1.21326E-2</v>
      </c>
      <c r="O6850">
        <v>3.4352720000000003E-2</v>
      </c>
      <c r="P6850">
        <v>-0.98654719999999996</v>
      </c>
      <c r="Q6850">
        <v>0.15783730000000001</v>
      </c>
      <c r="R6850">
        <v>4.2573529999999998E-2</v>
      </c>
      <c r="S6850">
        <v>-3.0289920000000001</v>
      </c>
      <c r="T6850">
        <v>4.5534249999999998E-2</v>
      </c>
      <c r="U6850">
        <v>0.1032257</v>
      </c>
      <c r="V6850">
        <v>8.7036700000000002E-3</v>
      </c>
      <c r="W6850">
        <v>0.16980300000000001</v>
      </c>
      <c r="X6850">
        <v>0.98543959999999997</v>
      </c>
      <c r="Y6850">
        <v>-2.8328929999999998E-4</v>
      </c>
      <c r="Z6850">
        <v>9.3325880000000002E-4</v>
      </c>
      <c r="AA6850">
        <v>0.99999950000000004</v>
      </c>
      <c r="AB6850">
        <v>26</v>
      </c>
      <c r="AC6850">
        <v>-3.0289920000000001</v>
      </c>
      <c r="AD6850">
        <v>4.5534249999999998E-2</v>
      </c>
      <c r="AE6850">
        <v>0.1032257</v>
      </c>
      <c r="AF6850">
        <v>-8.9679880412292501E-4</v>
      </c>
      <c r="AG6850">
        <v>4.5534249999999998E-2</v>
      </c>
      <c r="AH6850">
        <v>3.0300663267837802</v>
      </c>
      <c r="AI6850">
        <v>89.139053871170702</v>
      </c>
      <c r="AJ6850">
        <v>90.016957643664099</v>
      </c>
      <c r="AK6850">
        <v>3.0304085725987702</v>
      </c>
      <c r="AL6850">
        <v>80.223634826522996</v>
      </c>
      <c r="AM6850">
        <v>89.493961283258798</v>
      </c>
      <c r="AN6850">
        <v>1.00000000896431</v>
      </c>
    </row>
    <row r="6851" spans="1:40" x14ac:dyDescent="0.25">
      <c r="A6851" t="str">
        <f>"20190303162049399"</f>
        <v>20190303162049399</v>
      </c>
      <c r="B6851" t="str">
        <f>"1551601249389395"</f>
        <v>1551601249389395</v>
      </c>
      <c r="C6851" t="s">
        <v>40</v>
      </c>
      <c r="D6851">
        <v>4.002351</v>
      </c>
      <c r="E6851">
        <v>0.49573590000000001</v>
      </c>
      <c r="F6851" t="s">
        <v>58</v>
      </c>
      <c r="G6851">
        <v>0</v>
      </c>
      <c r="H6851">
        <v>0</v>
      </c>
      <c r="I6851">
        <v>0</v>
      </c>
      <c r="J6851">
        <v>-365.38929999999999</v>
      </c>
      <c r="K6851">
        <v>1.1212599999999999</v>
      </c>
      <c r="L6851">
        <v>142.42269999999999</v>
      </c>
      <c r="M6851">
        <v>-0.99933300000000003</v>
      </c>
      <c r="N6851">
        <v>-1.213644E-2</v>
      </c>
      <c r="O6851">
        <v>3.4442159999999999E-2</v>
      </c>
      <c r="P6851">
        <v>-0.98646840000000002</v>
      </c>
      <c r="Q6851">
        <v>0.15838479999999999</v>
      </c>
      <c r="R6851">
        <v>4.2365100000000003E-2</v>
      </c>
      <c r="S6851">
        <v>-3.0294189999999999</v>
      </c>
      <c r="T6851">
        <v>4.5833230000000003E-2</v>
      </c>
      <c r="U6851">
        <v>9.5504759999999994E-2</v>
      </c>
      <c r="V6851">
        <v>8.4103359999999992E-3</v>
      </c>
      <c r="W6851">
        <v>0.1703537</v>
      </c>
      <c r="X6851">
        <v>0.98534710000000003</v>
      </c>
      <c r="Y6851">
        <v>-2.923326E-3</v>
      </c>
      <c r="Z6851">
        <v>9.4313660000000001E-4</v>
      </c>
      <c r="AA6851">
        <v>0.99999530000000003</v>
      </c>
      <c r="AB6851">
        <v>26</v>
      </c>
      <c r="AC6851">
        <v>-3.0294189999999999</v>
      </c>
      <c r="AD6851">
        <v>4.5833230000000003E-2</v>
      </c>
      <c r="AE6851">
        <v>9.5504759999999994E-2</v>
      </c>
      <c r="AF6851">
        <v>-8.8972964550513706E-3</v>
      </c>
      <c r="AG6851">
        <v>4.5833230000000003E-2</v>
      </c>
      <c r="AH6851">
        <v>3.0302180689798499</v>
      </c>
      <c r="AI6851">
        <v>89.133448804479002</v>
      </c>
      <c r="AJ6851">
        <v>90.168230820154605</v>
      </c>
      <c r="AK6851">
        <v>3.0305777324510998</v>
      </c>
      <c r="AL6851">
        <v>80.191615568644906</v>
      </c>
      <c r="AM6851">
        <v>89.510969225441499</v>
      </c>
      <c r="AN6851">
        <v>1.00000001216686</v>
      </c>
    </row>
    <row r="6852" spans="1:40" x14ac:dyDescent="0.25">
      <c r="A6852" t="str">
        <f>"20190303162049413"</f>
        <v>20190303162049413</v>
      </c>
      <c r="B6852" t="str">
        <f>"1551601249399156"</f>
        <v>1551601249399156</v>
      </c>
      <c r="C6852" t="s">
        <v>40</v>
      </c>
      <c r="D6852">
        <v>3.9954559999999999</v>
      </c>
      <c r="E6852">
        <v>0.49565239999999999</v>
      </c>
      <c r="F6852" t="s">
        <v>58</v>
      </c>
      <c r="G6852">
        <v>0</v>
      </c>
      <c r="H6852">
        <v>0</v>
      </c>
      <c r="I6852">
        <v>0</v>
      </c>
      <c r="J6852">
        <v>-365.55680000000001</v>
      </c>
      <c r="K6852">
        <v>1.1212679999999999</v>
      </c>
      <c r="L6852">
        <v>142.42859999999999</v>
      </c>
      <c r="M6852">
        <v>-0.99932989999999999</v>
      </c>
      <c r="N6852">
        <v>-1.2140140000000001E-2</v>
      </c>
      <c r="O6852">
        <v>3.4534229999999999E-2</v>
      </c>
      <c r="P6852">
        <v>-0.98641040000000002</v>
      </c>
      <c r="Q6852">
        <v>0.15887490000000001</v>
      </c>
      <c r="R6852">
        <v>4.1874849999999998E-2</v>
      </c>
      <c r="S6852">
        <v>-3.029388</v>
      </c>
      <c r="T6852">
        <v>4.8948650000000003E-2</v>
      </c>
      <c r="U6852">
        <v>9.1903689999999996E-2</v>
      </c>
      <c r="V6852">
        <v>7.8313669999999901E-3</v>
      </c>
      <c r="W6852">
        <v>0.17084659999999999</v>
      </c>
      <c r="X6852">
        <v>0.98526650000000005</v>
      </c>
      <c r="Y6852">
        <v>-4.2016140000000002E-3</v>
      </c>
      <c r="Z6852">
        <v>9.8534300000000007E-4</v>
      </c>
      <c r="AA6852">
        <v>0.99999070000000001</v>
      </c>
      <c r="AB6852">
        <v>26</v>
      </c>
      <c r="AC6852">
        <v>-3.029388</v>
      </c>
      <c r="AD6852">
        <v>4.8948650000000003E-2</v>
      </c>
      <c r="AE6852">
        <v>9.1903689999999996E-2</v>
      </c>
      <c r="AF6852">
        <v>-1.27730848806772E-2</v>
      </c>
      <c r="AG6852">
        <v>4.8948650000000003E-2</v>
      </c>
      <c r="AH6852">
        <v>3.0299644758053601</v>
      </c>
      <c r="AI6852">
        <v>89.074483470542106</v>
      </c>
      <c r="AJ6852">
        <v>90.241534026444697</v>
      </c>
      <c r="AK6852">
        <v>3.0303867486967202</v>
      </c>
      <c r="AL6852">
        <v>80.162954030276495</v>
      </c>
      <c r="AM6852">
        <v>89.544595469527195</v>
      </c>
      <c r="AN6852">
        <v>0.99999998353144903</v>
      </c>
    </row>
    <row r="6853" spans="1:40" x14ac:dyDescent="0.25">
      <c r="A6853" t="str">
        <f>"20190303162049436"</f>
        <v>20190303162049436</v>
      </c>
      <c r="B6853" t="str">
        <f>"1551601249429411"</f>
        <v>1551601249429411</v>
      </c>
      <c r="C6853" t="s">
        <v>40</v>
      </c>
      <c r="D6853">
        <v>3.9635530000000001</v>
      </c>
      <c r="E6853">
        <v>0.49541679999999999</v>
      </c>
      <c r="F6853" t="s">
        <v>58</v>
      </c>
      <c r="G6853">
        <v>0</v>
      </c>
      <c r="H6853">
        <v>0</v>
      </c>
      <c r="I6853">
        <v>0</v>
      </c>
      <c r="J6853">
        <v>-365.8227</v>
      </c>
      <c r="K6853">
        <v>1.12127</v>
      </c>
      <c r="L6853">
        <v>142.43799999999999</v>
      </c>
      <c r="M6853">
        <v>-0.99932460000000001</v>
      </c>
      <c r="N6853">
        <v>-1.214544E-2</v>
      </c>
      <c r="O6853">
        <v>3.46816E-2</v>
      </c>
      <c r="P6853">
        <v>-0.9863229</v>
      </c>
      <c r="Q6853">
        <v>0.15959389999999901</v>
      </c>
      <c r="R6853">
        <v>4.1195160000000001E-2</v>
      </c>
      <c r="S6853">
        <v>-3.0297550000000002</v>
      </c>
      <c r="T6853">
        <v>4.8112509999999997E-2</v>
      </c>
      <c r="U6853">
        <v>9.0133669999999999E-2</v>
      </c>
      <c r="V6853">
        <v>7.0098230000000001E-3</v>
      </c>
      <c r="W6853">
        <v>0.17156959999999999</v>
      </c>
      <c r="X6853">
        <v>0.98514710000000005</v>
      </c>
      <c r="Y6853">
        <v>-4.9366210000000004E-3</v>
      </c>
      <c r="Z6853">
        <v>9.80849E-4</v>
      </c>
      <c r="AA6853">
        <v>0.99998730000000002</v>
      </c>
      <c r="AB6853">
        <v>26</v>
      </c>
      <c r="AC6853">
        <v>-3.0297550000000002</v>
      </c>
      <c r="AD6853">
        <v>4.8112509999999997E-2</v>
      </c>
      <c r="AE6853">
        <v>9.0133669999999999E-2</v>
      </c>
      <c r="AF6853">
        <v>-1.5001284586556401E-2</v>
      </c>
      <c r="AG6853">
        <v>4.8112509999999997E-2</v>
      </c>
      <c r="AH6853">
        <v>3.0302947912357601</v>
      </c>
      <c r="AI6853">
        <v>89.090392656574096</v>
      </c>
      <c r="AJ6853">
        <v>90.283636851233894</v>
      </c>
      <c r="AK6853">
        <v>3.0307138390069599</v>
      </c>
      <c r="AL6853">
        <v>80.120908904172396</v>
      </c>
      <c r="AM6853">
        <v>89.592318248770994</v>
      </c>
      <c r="AN6853">
        <v>1.00000003695053</v>
      </c>
    </row>
    <row r="6854" spans="1:40" x14ac:dyDescent="0.25">
      <c r="A6854" t="str">
        <f>"20190303162049458"</f>
        <v>20190303162049458</v>
      </c>
      <c r="B6854" t="str">
        <f>"1551601249449907"</f>
        <v>1551601249449907</v>
      </c>
      <c r="C6854" t="s">
        <v>40</v>
      </c>
      <c r="D6854">
        <v>4.018923</v>
      </c>
      <c r="E6854">
        <v>0.49527589999999999</v>
      </c>
      <c r="F6854" t="s">
        <v>58</v>
      </c>
      <c r="G6854">
        <v>0</v>
      </c>
      <c r="H6854">
        <v>0</v>
      </c>
      <c r="I6854">
        <v>0</v>
      </c>
      <c r="J6854">
        <v>-366.0806</v>
      </c>
      <c r="K6854">
        <v>1.1212709999999999</v>
      </c>
      <c r="L6854">
        <v>142.44710000000001</v>
      </c>
      <c r="M6854">
        <v>-0.99931979999999998</v>
      </c>
      <c r="N6854">
        <v>-1.214993E-2</v>
      </c>
      <c r="O6854">
        <v>3.4824380000000002E-2</v>
      </c>
      <c r="P6854">
        <v>-0.98623090000000002</v>
      </c>
      <c r="Q6854">
        <v>0.16024769999999999</v>
      </c>
      <c r="R6854">
        <v>4.0859649999999997E-2</v>
      </c>
      <c r="S6854">
        <v>-3.0303650000000002</v>
      </c>
      <c r="T6854">
        <v>4.700899E-2</v>
      </c>
      <c r="U6854">
        <v>8.6639399999999894E-2</v>
      </c>
      <c r="V6854">
        <v>6.536821E-3</v>
      </c>
      <c r="W6854">
        <v>0.1722264</v>
      </c>
      <c r="X6854">
        <v>0.98503569999999996</v>
      </c>
      <c r="Y6854">
        <v>-6.2378449999999997E-3</v>
      </c>
      <c r="Z6854">
        <v>9.7350669999999998E-4</v>
      </c>
      <c r="AA6854">
        <v>0.99998010000000004</v>
      </c>
      <c r="AB6854">
        <v>26</v>
      </c>
      <c r="AC6854">
        <v>-3.0303650000000002</v>
      </c>
      <c r="AD6854">
        <v>4.700899E-2</v>
      </c>
      <c r="AE6854">
        <v>8.6639399999999894E-2</v>
      </c>
      <c r="AF6854">
        <v>-1.8946953585444199E-2</v>
      </c>
      <c r="AG6854">
        <v>4.700899E-2</v>
      </c>
      <c r="AH6854">
        <v>3.03081529213812</v>
      </c>
      <c r="AI6854">
        <v>89.111411321327907</v>
      </c>
      <c r="AJ6854">
        <v>90.3581763417112</v>
      </c>
      <c r="AK6854">
        <v>3.0312390481862801</v>
      </c>
      <c r="AL6854">
        <v>80.0827080087236</v>
      </c>
      <c r="AM6854">
        <v>89.619783570308201</v>
      </c>
      <c r="AN6854">
        <v>0.99999999658011696</v>
      </c>
    </row>
    <row r="6855" spans="1:40" x14ac:dyDescent="0.25">
      <c r="A6855" t="str">
        <f>"20190303162049481"</f>
        <v>20190303162049481</v>
      </c>
      <c r="B6855" t="str">
        <f>"1551601249469427"</f>
        <v>1551601249469427</v>
      </c>
      <c r="C6855" t="s">
        <v>40</v>
      </c>
      <c r="D6855">
        <v>4.0455069999999997</v>
      </c>
      <c r="E6855">
        <v>0.49528100000000003</v>
      </c>
      <c r="F6855" t="s">
        <v>58</v>
      </c>
      <c r="G6855">
        <v>0</v>
      </c>
      <c r="H6855">
        <v>0</v>
      </c>
      <c r="I6855">
        <v>0</v>
      </c>
      <c r="J6855">
        <v>-366.33359999999999</v>
      </c>
      <c r="K6855">
        <v>1.1212759999999999</v>
      </c>
      <c r="L6855">
        <v>142.45609999999999</v>
      </c>
      <c r="M6855">
        <v>-0.9993147</v>
      </c>
      <c r="N6855">
        <v>-1.215376E-2</v>
      </c>
      <c r="O6855">
        <v>3.4964299999999997E-2</v>
      </c>
      <c r="P6855">
        <v>-0.98614889999999999</v>
      </c>
      <c r="Q6855">
        <v>0.16071839999999901</v>
      </c>
      <c r="R6855">
        <v>4.0991779999999998E-2</v>
      </c>
      <c r="S6855">
        <v>-3.030548</v>
      </c>
      <c r="T6855">
        <v>4.8243880000000003E-2</v>
      </c>
      <c r="U6855">
        <v>8.4915160000000003E-2</v>
      </c>
      <c r="V6855">
        <v>6.5339119999999898E-3</v>
      </c>
      <c r="W6855">
        <v>0.1727003</v>
      </c>
      <c r="X6855">
        <v>0.98495270000000001</v>
      </c>
      <c r="Y6855">
        <v>-6.9475780000000003E-3</v>
      </c>
      <c r="Z6855">
        <v>9.9431109999999993E-4</v>
      </c>
      <c r="AA6855">
        <v>0.99997539999999996</v>
      </c>
      <c r="AB6855">
        <v>26</v>
      </c>
      <c r="AC6855">
        <v>-3.030548</v>
      </c>
      <c r="AD6855">
        <v>4.8243880000000003E-2</v>
      </c>
      <c r="AE6855">
        <v>8.4915160000000003E-2</v>
      </c>
      <c r="AF6855">
        <v>-2.11002366989019E-2</v>
      </c>
      <c r="AG6855">
        <v>4.8243880000000003E-2</v>
      </c>
      <c r="AH6855">
        <v>3.03089646281461</v>
      </c>
      <c r="AI6855">
        <v>89.088101368352199</v>
      </c>
      <c r="AJ6855">
        <v>90.398870431281196</v>
      </c>
      <c r="AK6855">
        <v>3.0313538329017802</v>
      </c>
      <c r="AL6855">
        <v>80.055142061524407</v>
      </c>
      <c r="AM6855">
        <v>89.619920743441298</v>
      </c>
      <c r="AN6855">
        <v>0.99999995343170001</v>
      </c>
    </row>
    <row r="6856" spans="1:40" x14ac:dyDescent="0.25">
      <c r="A6856" t="str">
        <f>"20190303162049497"</f>
        <v>20190303162049497</v>
      </c>
      <c r="B6856" t="str">
        <f>"1551601249489923"</f>
        <v>1551601249489923</v>
      </c>
      <c r="C6856" t="s">
        <v>40</v>
      </c>
      <c r="D6856">
        <v>4.066865</v>
      </c>
      <c r="E6856">
        <v>0.4951219</v>
      </c>
      <c r="F6856" t="s">
        <v>58</v>
      </c>
      <c r="G6856">
        <v>0</v>
      </c>
      <c r="H6856">
        <v>0</v>
      </c>
      <c r="I6856">
        <v>0</v>
      </c>
      <c r="J6856">
        <v>-366.53820000000002</v>
      </c>
      <c r="K6856">
        <v>1.121278</v>
      </c>
      <c r="L6856">
        <v>142.46340000000001</v>
      </c>
      <c r="M6856">
        <v>-0.9993109</v>
      </c>
      <c r="N6856">
        <v>-1.2156470000000001E-2</v>
      </c>
      <c r="O6856">
        <v>3.5076879999999998E-2</v>
      </c>
      <c r="P6856">
        <v>-0.9861685</v>
      </c>
      <c r="Q6856">
        <v>0.16061400000000001</v>
      </c>
      <c r="R6856">
        <v>4.0928899999999997E-2</v>
      </c>
      <c r="S6856">
        <v>-3.0307010000000001</v>
      </c>
      <c r="T6856">
        <v>4.8170329999999997E-2</v>
      </c>
      <c r="U6856">
        <v>8.5647580000000001E-2</v>
      </c>
      <c r="V6856">
        <v>6.3592040000000002E-3</v>
      </c>
      <c r="W6856">
        <v>0.17259840000000001</v>
      </c>
      <c r="X6856">
        <v>0.98497179999999995</v>
      </c>
      <c r="Y6856">
        <v>-6.820146E-3</v>
      </c>
      <c r="Z6856">
        <v>9.963483999999999E-4</v>
      </c>
      <c r="AA6856">
        <v>0.99997619999999998</v>
      </c>
      <c r="AB6856">
        <v>26</v>
      </c>
      <c r="AC6856">
        <v>-3.0307010000000001</v>
      </c>
      <c r="AD6856">
        <v>4.8170329999999997E-2</v>
      </c>
      <c r="AE6856">
        <v>8.5647580000000001E-2</v>
      </c>
      <c r="AF6856">
        <v>-2.0715272570940899E-2</v>
      </c>
      <c r="AG6856">
        <v>4.8170329999999997E-2</v>
      </c>
      <c r="AH6856">
        <v>3.0310750455918001</v>
      </c>
      <c r="AI6856">
        <v>89.089544200916194</v>
      </c>
      <c r="AJ6856">
        <v>90.391570381260706</v>
      </c>
      <c r="AK6856">
        <v>3.03152856414372</v>
      </c>
      <c r="AL6856">
        <v>80.061070451361203</v>
      </c>
      <c r="AM6856">
        <v>89.630090437183995</v>
      </c>
      <c r="AN6856">
        <v>1.0000000469766499</v>
      </c>
    </row>
    <row r="6857" spans="1:40" x14ac:dyDescent="0.25">
      <c r="A6857" t="str">
        <f>"20190303162049513"</f>
        <v>20190303162049513</v>
      </c>
      <c r="B6857" t="str">
        <f>"1551601249499684"</f>
        <v>1551601249499684</v>
      </c>
      <c r="C6857" t="s">
        <v>40</v>
      </c>
      <c r="D6857">
        <v>4.0746409999999997</v>
      </c>
      <c r="E6857">
        <v>0.49499599999999999</v>
      </c>
      <c r="F6857" t="s">
        <v>58</v>
      </c>
      <c r="G6857">
        <v>0</v>
      </c>
      <c r="H6857">
        <v>0</v>
      </c>
      <c r="I6857">
        <v>0</v>
      </c>
      <c r="J6857">
        <v>-366.72370000000001</v>
      </c>
      <c r="K6857">
        <v>1.1212819999999999</v>
      </c>
      <c r="L6857">
        <v>142.47</v>
      </c>
      <c r="M6857">
        <v>-0.99930719999999995</v>
      </c>
      <c r="N6857">
        <v>-1.2158749999999999E-2</v>
      </c>
      <c r="O6857">
        <v>3.5178840000000003E-2</v>
      </c>
      <c r="P6857">
        <v>-0.98607270000000002</v>
      </c>
      <c r="Q6857">
        <v>0.1611071</v>
      </c>
      <c r="R6857">
        <v>4.1298769999999999E-2</v>
      </c>
      <c r="S6857">
        <v>-3.0310670000000002</v>
      </c>
      <c r="T6857">
        <v>4.616261E-2</v>
      </c>
      <c r="U6857">
        <v>8.4289550000000005E-2</v>
      </c>
      <c r="V6857">
        <v>6.6316750000000001E-3</v>
      </c>
      <c r="W6857">
        <v>0.17309330000000001</v>
      </c>
      <c r="X6857">
        <v>0.98488310000000001</v>
      </c>
      <c r="Y6857">
        <v>-7.37390599999999E-3</v>
      </c>
      <c r="Z6857">
        <v>9.7452029999999998E-4</v>
      </c>
      <c r="AA6857">
        <v>0.99997230000000004</v>
      </c>
      <c r="AB6857">
        <v>26</v>
      </c>
      <c r="AC6857">
        <v>-3.0310670000000002</v>
      </c>
      <c r="AD6857">
        <v>4.616261E-2</v>
      </c>
      <c r="AE6857">
        <v>8.4289550000000005E-2</v>
      </c>
      <c r="AF6857">
        <v>-2.2394729266132701E-2</v>
      </c>
      <c r="AG6857">
        <v>4.616261E-2</v>
      </c>
      <c r="AH6857">
        <v>3.03145342549288</v>
      </c>
      <c r="AI6857">
        <v>89.127597958369293</v>
      </c>
      <c r="AJ6857">
        <v>90.423262359341294</v>
      </c>
      <c r="AK6857">
        <v>3.03188759379259</v>
      </c>
      <c r="AL6857">
        <v>80.032280942919201</v>
      </c>
      <c r="AM6857">
        <v>89.614206755858305</v>
      </c>
      <c r="AN6857">
        <v>0.99999999514190197</v>
      </c>
    </row>
    <row r="6858" spans="1:40" x14ac:dyDescent="0.25">
      <c r="A6858" t="str">
        <f>"20190303162049535"</f>
        <v>20190303162049535</v>
      </c>
      <c r="B6858" t="str">
        <f>"1551601249528963"</f>
        <v>1551601249528963</v>
      </c>
      <c r="C6858" t="s">
        <v>40</v>
      </c>
      <c r="D6858">
        <v>4.0972309999999998</v>
      </c>
      <c r="E6858">
        <v>0.49469180000000001</v>
      </c>
      <c r="F6858" t="s">
        <v>58</v>
      </c>
      <c r="G6858">
        <v>0</v>
      </c>
      <c r="H6858">
        <v>0</v>
      </c>
      <c r="I6858">
        <v>0</v>
      </c>
      <c r="J6858">
        <v>-366.98610000000002</v>
      </c>
      <c r="K6858">
        <v>1.1212770000000001</v>
      </c>
      <c r="L6858">
        <v>142.4794</v>
      </c>
      <c r="M6858">
        <v>-0.99930200000000002</v>
      </c>
      <c r="N6858">
        <v>-1.216161E-2</v>
      </c>
      <c r="O6858">
        <v>3.532271E-2</v>
      </c>
      <c r="P6858">
        <v>-0.98599919999999996</v>
      </c>
      <c r="Q6858">
        <v>0.16122400000000001</v>
      </c>
      <c r="R6858">
        <v>4.2575179999999997E-2</v>
      </c>
      <c r="S6858">
        <v>-3.0312190000000001</v>
      </c>
      <c r="T6858">
        <v>4.6634080000000001E-2</v>
      </c>
      <c r="U6858">
        <v>8.4884639999999997E-2</v>
      </c>
      <c r="V6858">
        <v>7.7678080000000002E-3</v>
      </c>
      <c r="W6858">
        <v>0.17321220000000001</v>
      </c>
      <c r="X6858">
        <v>0.98485389999999995</v>
      </c>
      <c r="Y6858">
        <v>-7.3228900000000003E-3</v>
      </c>
      <c r="Z6858">
        <v>9.8449780000000003E-4</v>
      </c>
      <c r="AA6858">
        <v>0.99997270000000005</v>
      </c>
      <c r="AB6858">
        <v>26</v>
      </c>
      <c r="AC6858">
        <v>-3.0312190000000001</v>
      </c>
      <c r="AD6858">
        <v>4.6634080000000001E-2</v>
      </c>
      <c r="AE6858">
        <v>8.4884639999999997E-2</v>
      </c>
      <c r="AF6858">
        <v>-2.2241863288126301E-2</v>
      </c>
      <c r="AG6858">
        <v>4.6634080000000001E-2</v>
      </c>
      <c r="AH6858">
        <v>3.0316087140730201</v>
      </c>
      <c r="AI6858">
        <v>89.118734108549305</v>
      </c>
      <c r="AJ6858">
        <v>90.420351750830207</v>
      </c>
      <c r="AK6858">
        <v>3.0320489496615002</v>
      </c>
      <c r="AL6858">
        <v>80.025364090447994</v>
      </c>
      <c r="AM6858">
        <v>89.548102123733202</v>
      </c>
      <c r="AN6858">
        <v>1.0000000047075801</v>
      </c>
    </row>
    <row r="6859" spans="1:40" x14ac:dyDescent="0.25">
      <c r="A6859" t="str">
        <f>"20190303162049558"</f>
        <v>20190303162049558</v>
      </c>
      <c r="B6859" t="str">
        <f>"1551601249549459"</f>
        <v>1551601249549459</v>
      </c>
      <c r="C6859" t="s">
        <v>40</v>
      </c>
      <c r="D6859">
        <v>4.1835709999999997</v>
      </c>
      <c r="E6859">
        <v>0.47803469999999998</v>
      </c>
      <c r="F6859" t="s">
        <v>58</v>
      </c>
      <c r="G6859">
        <v>0</v>
      </c>
      <c r="H6859">
        <v>0</v>
      </c>
      <c r="I6859">
        <v>0</v>
      </c>
      <c r="J6859">
        <v>-367.24009999999998</v>
      </c>
      <c r="K6859">
        <v>1.121275</v>
      </c>
      <c r="L6859">
        <v>142.48849999999999</v>
      </c>
      <c r="M6859">
        <v>-0.99929710000000005</v>
      </c>
      <c r="N6859">
        <v>-1.216389E-2</v>
      </c>
      <c r="O6859">
        <v>3.5461810000000003E-2</v>
      </c>
      <c r="P6859">
        <v>-0.98597259999999998</v>
      </c>
      <c r="Q6859">
        <v>0.1610017</v>
      </c>
      <c r="R6859">
        <v>4.400751E-2</v>
      </c>
      <c r="S6859">
        <v>-3.0316770000000002</v>
      </c>
      <c r="T6859">
        <v>4.3703560000000002E-2</v>
      </c>
      <c r="U6859">
        <v>8.7005620000000006E-2</v>
      </c>
      <c r="V6859">
        <v>9.0629109999999999E-3</v>
      </c>
      <c r="W6859">
        <v>0.172991899999999</v>
      </c>
      <c r="X6859">
        <v>0.98488149999999997</v>
      </c>
      <c r="Y6859">
        <v>-6.7682310000000004E-3</v>
      </c>
      <c r="Z6859">
        <v>9.4988690000000003E-4</v>
      </c>
      <c r="AA6859">
        <v>0.99997659999999999</v>
      </c>
      <c r="AB6859">
        <v>26</v>
      </c>
      <c r="AC6859">
        <v>-3.0316770000000002</v>
      </c>
      <c r="AD6859">
        <v>4.3703560000000002E-2</v>
      </c>
      <c r="AE6859">
        <v>8.7005620000000006E-2</v>
      </c>
      <c r="AF6859">
        <v>-2.0561540134758902E-2</v>
      </c>
      <c r="AG6859">
        <v>4.3703560000000002E-2</v>
      </c>
      <c r="AH6859">
        <v>3.0322258854578998</v>
      </c>
      <c r="AI6859">
        <v>89.174270418571993</v>
      </c>
      <c r="AJ6859">
        <v>90.388517036008096</v>
      </c>
      <c r="AK6859">
        <v>3.0326105253610001</v>
      </c>
      <c r="AL6859">
        <v>80.038179282091207</v>
      </c>
      <c r="AM6859">
        <v>89.472777289008903</v>
      </c>
      <c r="AN6859">
        <v>0.99999995143182496</v>
      </c>
    </row>
    <row r="6860" spans="1:40" x14ac:dyDescent="0.25">
      <c r="A6860" t="str">
        <f>"20190303162049580"</f>
        <v>20190303162049580</v>
      </c>
      <c r="B6860" t="str">
        <f>"1551601249568979"</f>
        <v>1551601249568979</v>
      </c>
      <c r="C6860" t="s">
        <v>40</v>
      </c>
      <c r="D6860">
        <v>4.1153269999999997</v>
      </c>
      <c r="E6860">
        <v>0.46174959999999998</v>
      </c>
      <c r="F6860" t="s">
        <v>44</v>
      </c>
      <c r="G6860">
        <v>-531.64</v>
      </c>
      <c r="H6860">
        <v>-0.05</v>
      </c>
      <c r="I6860">
        <v>140.2911</v>
      </c>
      <c r="J6860">
        <v>-367.50349999999997</v>
      </c>
      <c r="K6860">
        <v>1.121273</v>
      </c>
      <c r="L6860">
        <v>142.49799999999999</v>
      </c>
      <c r="M6860">
        <v>-0.99929190000000001</v>
      </c>
      <c r="N6860">
        <v>-1.216592E-2</v>
      </c>
      <c r="O6860">
        <v>3.5606159999999998E-2</v>
      </c>
      <c r="P6860">
        <v>-0.98604579999999997</v>
      </c>
      <c r="Q6860">
        <v>0.16057279999999999</v>
      </c>
      <c r="R6860">
        <v>4.393793E-2</v>
      </c>
      <c r="S6860">
        <v>-3.048035</v>
      </c>
      <c r="T6860">
        <v>-2.171588E-2</v>
      </c>
      <c r="U6860">
        <v>-4.0740970000000001E-2</v>
      </c>
      <c r="V6860">
        <v>8.8482549999999993E-3</v>
      </c>
      <c r="W6860">
        <v>0.172566</v>
      </c>
      <c r="X6860">
        <v>0.98495820000000001</v>
      </c>
      <c r="Y6860">
        <v>-4.8958439999999999E-2</v>
      </c>
      <c r="Z6860">
        <v>-2.9265330000000003E-4</v>
      </c>
      <c r="AA6860">
        <v>0.99880080000000004</v>
      </c>
      <c r="AB6860">
        <v>26</v>
      </c>
      <c r="AC6860">
        <v>-164.13650000000001</v>
      </c>
      <c r="AD6860">
        <v>-1.171273</v>
      </c>
      <c r="AE6860">
        <v>-2.2068999999999899</v>
      </c>
      <c r="AF6860">
        <v>-8.0497932714102394</v>
      </c>
      <c r="AG6860">
        <v>-1.171273</v>
      </c>
      <c r="AH6860">
        <v>163.94547360873099</v>
      </c>
      <c r="AI6860">
        <v>90.408837837990902</v>
      </c>
      <c r="AJ6860">
        <v>92.810989908503501</v>
      </c>
      <c r="AK6860">
        <v>164.14715766331199</v>
      </c>
      <c r="AL6860">
        <v>80.062954500177895</v>
      </c>
      <c r="AM6860">
        <v>89.485304015344795</v>
      </c>
      <c r="AN6860">
        <v>0.99999998585989203</v>
      </c>
    </row>
    <row r="6861" spans="1:40" x14ac:dyDescent="0.25">
      <c r="A6861" t="str">
        <f>"20190303162049603"</f>
        <v>20190303162049603</v>
      </c>
      <c r="B6861" t="str">
        <f>"1551601249599236"</f>
        <v>1551601249599236</v>
      </c>
      <c r="C6861" t="s">
        <v>40</v>
      </c>
      <c r="D6861">
        <v>4.1189650000000002</v>
      </c>
      <c r="E6861">
        <v>0.44806049999999997</v>
      </c>
      <c r="F6861" t="s">
        <v>41</v>
      </c>
      <c r="G6861">
        <v>-462.28710000000001</v>
      </c>
      <c r="H6861" s="1">
        <v>-3.1913689999999998E-6</v>
      </c>
      <c r="I6861">
        <v>137.19649999999999</v>
      </c>
      <c r="J6861">
        <v>-367.76179999999999</v>
      </c>
      <c r="K6861">
        <v>1.1212709999999999</v>
      </c>
      <c r="L6861">
        <v>142.50739999999999</v>
      </c>
      <c r="M6861">
        <v>-0.99928680000000003</v>
      </c>
      <c r="N6861">
        <v>-1.216764E-2</v>
      </c>
      <c r="O6861">
        <v>3.5748000000000002E-2</v>
      </c>
      <c r="P6861">
        <v>-0.98619780000000001</v>
      </c>
      <c r="Q6861">
        <v>0.16005269999999999</v>
      </c>
      <c r="R6861">
        <v>4.2394399999999999E-2</v>
      </c>
      <c r="S6861">
        <v>-3.0559690000000002</v>
      </c>
      <c r="T6861">
        <v>-3.615165E-2</v>
      </c>
      <c r="U6861">
        <v>-0.170929</v>
      </c>
      <c r="V6861">
        <v>7.159884E-3</v>
      </c>
      <c r="W6861">
        <v>0.17204929999999999</v>
      </c>
      <c r="X6861">
        <v>0.98506229999999995</v>
      </c>
      <c r="Y6861">
        <v>-9.1491719999999999E-2</v>
      </c>
      <c r="Z6861">
        <v>-1.085819E-3</v>
      </c>
      <c r="AA6861">
        <v>0.9958053</v>
      </c>
      <c r="AB6861">
        <v>26</v>
      </c>
      <c r="AC6861">
        <v>-94.525300000000001</v>
      </c>
      <c r="AD6861">
        <v>-1.1212741913690001</v>
      </c>
      <c r="AE6861">
        <v>-5.3109000000000002</v>
      </c>
      <c r="AF6861">
        <v>-8.6856271026787599</v>
      </c>
      <c r="AG6861">
        <v>-1.1212741913690001</v>
      </c>
      <c r="AH6861">
        <v>94.261783868481103</v>
      </c>
      <c r="AI6861">
        <v>90.678644911815496</v>
      </c>
      <c r="AJ6861">
        <v>95.264577669684897</v>
      </c>
      <c r="AK6861">
        <v>94.667741454242204</v>
      </c>
      <c r="AL6861">
        <v>80.093008689704902</v>
      </c>
      <c r="AM6861">
        <v>89.583555363964294</v>
      </c>
      <c r="AN6861">
        <v>0.99999998022533598</v>
      </c>
    </row>
    <row r="6862" spans="1:40" x14ac:dyDescent="0.25">
      <c r="A6862" t="str">
        <f>"20190303162049625"</f>
        <v>20190303162049625</v>
      </c>
      <c r="B6862" t="str">
        <f>"1551601249619735"</f>
        <v>1551601249619735</v>
      </c>
      <c r="C6862" t="s">
        <v>40</v>
      </c>
      <c r="D6862">
        <v>4.0856459999999997</v>
      </c>
      <c r="E6862">
        <v>0.44408639999999999</v>
      </c>
      <c r="F6862" t="s">
        <v>50</v>
      </c>
      <c r="G6862">
        <v>-423.57100000000003</v>
      </c>
      <c r="H6862" s="1">
        <v>-9.3812669999999992E-6</v>
      </c>
      <c r="I6862">
        <v>137.31720000000001</v>
      </c>
      <c r="J6862">
        <v>-368.02789999999999</v>
      </c>
      <c r="K6862">
        <v>1.1212679999999999</v>
      </c>
      <c r="L6862">
        <v>142.5171</v>
      </c>
      <c r="M6862">
        <v>-0.99928159999999999</v>
      </c>
      <c r="N6862">
        <v>-1.216911E-2</v>
      </c>
      <c r="O6862">
        <v>3.5892159999999999E-2</v>
      </c>
      <c r="P6862">
        <v>-0.98637269999999999</v>
      </c>
      <c r="Q6862">
        <v>0.15930939999999999</v>
      </c>
      <c r="R6862">
        <v>4.1101150000000003E-2</v>
      </c>
      <c r="S6862">
        <v>-3.0642399999999999</v>
      </c>
      <c r="T6862">
        <v>-6.1564559999999997E-2</v>
      </c>
      <c r="U6862">
        <v>-0.28497309999999998</v>
      </c>
      <c r="V6862">
        <v>5.7179719999999896E-3</v>
      </c>
      <c r="W6862">
        <v>0.1713094</v>
      </c>
      <c r="X6862">
        <v>0.98520070000000004</v>
      </c>
      <c r="Y6862">
        <v>-0.12823850000000001</v>
      </c>
      <c r="Z6862">
        <v>-2.3514030000000002E-3</v>
      </c>
      <c r="AA6862">
        <v>0.99174059999999997</v>
      </c>
      <c r="AB6862">
        <v>26</v>
      </c>
      <c r="AC6862">
        <v>-55.543099999999903</v>
      </c>
      <c r="AD6862">
        <v>-1.1212773812669901</v>
      </c>
      <c r="AE6862">
        <v>-5.19989999999998</v>
      </c>
      <c r="AF6862">
        <v>-7.18735479888685</v>
      </c>
      <c r="AG6862">
        <v>-1.1212773812669901</v>
      </c>
      <c r="AH6862">
        <v>55.298316842804702</v>
      </c>
      <c r="AI6862">
        <v>91.151933924346295</v>
      </c>
      <c r="AJ6862">
        <v>97.4054587711952</v>
      </c>
      <c r="AK6862">
        <v>55.774718086405699</v>
      </c>
      <c r="AL6862">
        <v>80.136041062463605</v>
      </c>
      <c r="AM6862">
        <v>89.667466756279396</v>
      </c>
      <c r="AN6862">
        <v>1.00000001250632</v>
      </c>
    </row>
    <row r="6863" spans="1:40" x14ac:dyDescent="0.25">
      <c r="A6863" t="str">
        <f>"20190303162049649"</f>
        <v>20190303162049649</v>
      </c>
      <c r="B6863" t="str">
        <f>"1551601249639251"</f>
        <v>1551601249639251</v>
      </c>
      <c r="C6863" t="s">
        <v>40</v>
      </c>
      <c r="D6863">
        <v>4.0779649999999998</v>
      </c>
      <c r="E6863">
        <v>0.44189289999999998</v>
      </c>
      <c r="F6863" t="s">
        <v>50</v>
      </c>
      <c r="G6863">
        <v>-414.27769999999998</v>
      </c>
      <c r="H6863" s="1">
        <v>-9.4504569999999994E-6</v>
      </c>
      <c r="I6863">
        <v>137.67779999999999</v>
      </c>
      <c r="J6863">
        <v>-368.29140000000001</v>
      </c>
      <c r="K6863">
        <v>1.1212709999999999</v>
      </c>
      <c r="L6863">
        <v>142.52670000000001</v>
      </c>
      <c r="M6863">
        <v>-0.99927659999999996</v>
      </c>
      <c r="N6863">
        <v>-1.217028E-2</v>
      </c>
      <c r="O6863">
        <v>3.6030689999999997E-2</v>
      </c>
      <c r="P6863">
        <v>-0.98652629999999997</v>
      </c>
      <c r="Q6863">
        <v>0.15867779999999901</v>
      </c>
      <c r="R6863">
        <v>3.9846329999999999E-2</v>
      </c>
      <c r="S6863">
        <v>-3.0668329999999999</v>
      </c>
      <c r="T6863">
        <v>-7.4352150000000006E-2</v>
      </c>
      <c r="U6863">
        <v>-0.32089230000000002</v>
      </c>
      <c r="V6863">
        <v>4.3207389999999997E-3</v>
      </c>
      <c r="W6863">
        <v>0.17068079999999999</v>
      </c>
      <c r="X6863">
        <v>0.98531690000000005</v>
      </c>
      <c r="Y6863">
        <v>-0.13977129999999999</v>
      </c>
      <c r="Z6863">
        <v>-2.9766369999999999E-3</v>
      </c>
      <c r="AA6863">
        <v>0.99017940000000004</v>
      </c>
      <c r="AB6863">
        <v>26</v>
      </c>
      <c r="AC6863">
        <v>-45.9862999999999</v>
      </c>
      <c r="AD6863">
        <v>-1.121280450457</v>
      </c>
      <c r="AE6863">
        <v>-4.8489000000000102</v>
      </c>
      <c r="AF6863">
        <v>-6.4989705370331903</v>
      </c>
      <c r="AG6863">
        <v>-1.121280450457</v>
      </c>
      <c r="AH6863">
        <v>45.754810426983603</v>
      </c>
      <c r="AI6863">
        <v>91.389880830017503</v>
      </c>
      <c r="AJ6863">
        <v>98.084162196976493</v>
      </c>
      <c r="AK6863">
        <v>46.227660173309701</v>
      </c>
      <c r="AL6863">
        <v>80.172595433317397</v>
      </c>
      <c r="AM6863">
        <v>89.748752383836404</v>
      </c>
      <c r="AN6863">
        <v>0.999999998849878</v>
      </c>
    </row>
    <row r="6864" spans="1:40" x14ac:dyDescent="0.25">
      <c r="A6864" t="str">
        <f>"20190303162049670"</f>
        <v>20190303162049670</v>
      </c>
      <c r="B6864" t="str">
        <f>"1551601249659747"</f>
        <v>1551601249659747</v>
      </c>
      <c r="C6864" t="s">
        <v>40</v>
      </c>
      <c r="D6864">
        <v>4.0685250000000002</v>
      </c>
      <c r="E6864">
        <v>0.44033600000000001</v>
      </c>
      <c r="F6864" t="s">
        <v>50</v>
      </c>
      <c r="G6864">
        <v>-412.21210000000002</v>
      </c>
      <c r="H6864" s="1">
        <v>-9.6089190000000008E-6</v>
      </c>
      <c r="I6864">
        <v>137.62520000000001</v>
      </c>
      <c r="J6864">
        <v>-368.54680000000002</v>
      </c>
      <c r="K6864">
        <v>1.121265</v>
      </c>
      <c r="L6864">
        <v>142.5361</v>
      </c>
      <c r="M6864">
        <v>-0.99927200000000005</v>
      </c>
      <c r="N6864">
        <v>-1.217121E-2</v>
      </c>
      <c r="O6864">
        <v>3.6160690000000002E-2</v>
      </c>
      <c r="P6864">
        <v>-0.98656129999999997</v>
      </c>
      <c r="Q6864">
        <v>0.158654399999999</v>
      </c>
      <c r="R6864">
        <v>3.9067200000000003E-2</v>
      </c>
      <c r="S6864">
        <v>-3.067383</v>
      </c>
      <c r="T6864">
        <v>-7.8309299999999998E-2</v>
      </c>
      <c r="U6864">
        <v>-0.3423157</v>
      </c>
      <c r="V6864">
        <v>3.4110809999999998E-3</v>
      </c>
      <c r="W6864">
        <v>0.1706587</v>
      </c>
      <c r="X6864">
        <v>0.98532430000000004</v>
      </c>
      <c r="Y6864">
        <v>-0.14670459999999999</v>
      </c>
      <c r="Z6864">
        <v>-3.244252E-3</v>
      </c>
      <c r="AA6864">
        <v>0.98917500000000003</v>
      </c>
      <c r="AB6864">
        <v>26</v>
      </c>
      <c r="AC6864">
        <v>-43.665300000000002</v>
      </c>
      <c r="AD6864">
        <v>-1.121274608919</v>
      </c>
      <c r="AE6864">
        <v>-4.9108999999999901</v>
      </c>
      <c r="AF6864">
        <v>-6.4825506521679497</v>
      </c>
      <c r="AG6864">
        <v>-1.121274608919</v>
      </c>
      <c r="AH6864">
        <v>43.4308627633119</v>
      </c>
      <c r="AI6864">
        <v>91.462706158092104</v>
      </c>
      <c r="AJ6864">
        <v>98.489372748711503</v>
      </c>
      <c r="AK6864">
        <v>43.926308290956499</v>
      </c>
      <c r="AL6864">
        <v>80.173880553460904</v>
      </c>
      <c r="AM6864">
        <v>89.8016493005195</v>
      </c>
      <c r="AN6864">
        <v>1.00000000176488</v>
      </c>
    </row>
    <row r="6865" spans="1:40" x14ac:dyDescent="0.25">
      <c r="A6865" t="str">
        <f>"20190303162049692"</f>
        <v>20190303162049692</v>
      </c>
      <c r="B6865" t="str">
        <f>"1551601249679267"</f>
        <v>1551601249679267</v>
      </c>
      <c r="C6865" t="s">
        <v>40</v>
      </c>
      <c r="D6865">
        <v>4.1009070000000003</v>
      </c>
      <c r="E6865">
        <v>0.43929449999999998</v>
      </c>
      <c r="F6865" t="s">
        <v>50</v>
      </c>
      <c r="G6865">
        <v>-411.80090000000001</v>
      </c>
      <c r="H6865" s="1">
        <v>-9.5908359999999999E-6</v>
      </c>
      <c r="I6865">
        <v>137.50120000000001</v>
      </c>
      <c r="J6865">
        <v>-368.80560000000003</v>
      </c>
      <c r="K6865">
        <v>1.12127</v>
      </c>
      <c r="L6865">
        <v>142.54560000000001</v>
      </c>
      <c r="M6865">
        <v>-0.99926749999999998</v>
      </c>
      <c r="N6865">
        <v>-1.217185E-2</v>
      </c>
      <c r="O6865">
        <v>3.6283080000000002E-2</v>
      </c>
      <c r="P6865">
        <v>-0.98659419999999998</v>
      </c>
      <c r="Q6865">
        <v>0.15844910000000001</v>
      </c>
      <c r="R6865">
        <v>3.9065820000000001E-2</v>
      </c>
      <c r="S6865">
        <v>-3.067841</v>
      </c>
      <c r="T6865">
        <v>-7.9527500000000001E-2</v>
      </c>
      <c r="U6865">
        <v>-0.35710140000000001</v>
      </c>
      <c r="V6865">
        <v>3.284936E-3</v>
      </c>
      <c r="W6865">
        <v>0.1704543</v>
      </c>
      <c r="X6865">
        <v>0.98536009999999996</v>
      </c>
      <c r="Y6865">
        <v>-0.1515097</v>
      </c>
      <c r="Z6865">
        <v>-3.3799149999999998E-3</v>
      </c>
      <c r="AA6865">
        <v>0.98845000000000005</v>
      </c>
      <c r="AB6865">
        <v>26</v>
      </c>
      <c r="AC6865">
        <v>-42.995299999999901</v>
      </c>
      <c r="AD6865">
        <v>-1.121279590836</v>
      </c>
      <c r="AE6865">
        <v>-5.0443999999999898</v>
      </c>
      <c r="AF6865">
        <v>-6.5967697194194397</v>
      </c>
      <c r="AG6865">
        <v>-1.121279590836</v>
      </c>
      <c r="AH6865">
        <v>42.755261840679204</v>
      </c>
      <c r="AI6865">
        <v>91.484707681045293</v>
      </c>
      <c r="AJ6865">
        <v>98.771082146623499</v>
      </c>
      <c r="AK6865">
        <v>43.275709742497703</v>
      </c>
      <c r="AL6865">
        <v>80.185765869396903</v>
      </c>
      <c r="AM6865">
        <v>89.808991381405207</v>
      </c>
      <c r="AN6865">
        <v>0.99999999293251196</v>
      </c>
    </row>
    <row r="6866" spans="1:40" x14ac:dyDescent="0.25">
      <c r="A6866" t="str">
        <f>"20190303162049714"</f>
        <v>20190303162049714</v>
      </c>
      <c r="B6866" t="str">
        <f>"1551601249709523"</f>
        <v>1551601249709523</v>
      </c>
      <c r="C6866" t="s">
        <v>40</v>
      </c>
      <c r="D6866">
        <v>4.0728460000000002</v>
      </c>
      <c r="E6866">
        <v>0.43824780000000002</v>
      </c>
      <c r="F6866" t="s">
        <v>50</v>
      </c>
      <c r="G6866">
        <v>-411.38510000000002</v>
      </c>
      <c r="H6866" s="1">
        <v>-9.6163889999999999E-6</v>
      </c>
      <c r="I6866">
        <v>137.4761</v>
      </c>
      <c r="J6866">
        <v>-369.06659999999999</v>
      </c>
      <c r="K6866">
        <v>1.121286</v>
      </c>
      <c r="L6866">
        <v>142.55520000000001</v>
      </c>
      <c r="M6866">
        <v>-0.99926360000000003</v>
      </c>
      <c r="N6866">
        <v>-1.217239E-2</v>
      </c>
      <c r="O6866">
        <v>3.6389190000000002E-2</v>
      </c>
      <c r="P6866">
        <v>-0.98663009999999995</v>
      </c>
      <c r="Q6866">
        <v>0.15835489999999999</v>
      </c>
      <c r="R6866">
        <v>3.853757E-2</v>
      </c>
      <c r="S6866">
        <v>-3.0682070000000001</v>
      </c>
      <c r="T6866">
        <v>-8.0797430000000003E-2</v>
      </c>
      <c r="U6866">
        <v>-0.36529539999999999</v>
      </c>
      <c r="V6866">
        <v>2.6463480000000002E-3</v>
      </c>
      <c r="W6866">
        <v>0.17036180000000001</v>
      </c>
      <c r="X6866">
        <v>0.98537799999999998</v>
      </c>
      <c r="Y6866">
        <v>-0.1542007</v>
      </c>
      <c r="Z6866">
        <v>-3.478812E-3</v>
      </c>
      <c r="AA6866">
        <v>0.98803339999999995</v>
      </c>
      <c r="AB6866">
        <v>26</v>
      </c>
      <c r="AC6866">
        <v>-42.3185</v>
      </c>
      <c r="AD6866">
        <v>-1.121295616389</v>
      </c>
      <c r="AE6866">
        <v>-5.0791000000000102</v>
      </c>
      <c r="AF6866">
        <v>-6.6112099407410199</v>
      </c>
      <c r="AG6866">
        <v>-1.121295616389</v>
      </c>
      <c r="AH6866">
        <v>42.076508916387098</v>
      </c>
      <c r="AI6866">
        <v>91.508019554849298</v>
      </c>
      <c r="AJ6866">
        <v>98.929509857786798</v>
      </c>
      <c r="AK6866">
        <v>42.607487643965698</v>
      </c>
      <c r="AL6866">
        <v>80.191144214762403</v>
      </c>
      <c r="AM6866">
        <v>89.846125845115495</v>
      </c>
      <c r="AN6866">
        <v>0.99999997447048805</v>
      </c>
    </row>
    <row r="6867" spans="1:40" x14ac:dyDescent="0.25">
      <c r="A6867" t="str">
        <f>"20190303162049736"</f>
        <v>20190303162049736</v>
      </c>
      <c r="B6867" t="str">
        <f>"1551601249729043"</f>
        <v>1551601249729043</v>
      </c>
      <c r="C6867" t="s">
        <v>40</v>
      </c>
      <c r="D6867">
        <v>4.0361449999999897</v>
      </c>
      <c r="E6867">
        <v>0.43787979999999999</v>
      </c>
      <c r="F6867" t="s">
        <v>50</v>
      </c>
      <c r="G6867">
        <v>-412.82929999999999</v>
      </c>
      <c r="H6867" s="1">
        <v>-9.3697210000000002E-6</v>
      </c>
      <c r="I6867">
        <v>137.202</v>
      </c>
      <c r="J6867">
        <v>-369.32150000000001</v>
      </c>
      <c r="K6867">
        <v>1.121297</v>
      </c>
      <c r="L6867">
        <v>142.56460000000001</v>
      </c>
      <c r="M6867">
        <v>-0.9992605</v>
      </c>
      <c r="N6867">
        <v>-1.2173E-2</v>
      </c>
      <c r="O6867">
        <v>3.6473489999999997E-2</v>
      </c>
      <c r="P6867">
        <v>-0.98675820000000003</v>
      </c>
      <c r="Q6867">
        <v>0.15750690000000001</v>
      </c>
      <c r="R6867">
        <v>3.8732790000000003E-2</v>
      </c>
      <c r="S6867">
        <v>-3.0679319999999999</v>
      </c>
      <c r="T6867">
        <v>-7.8606960000000003E-2</v>
      </c>
      <c r="U6867">
        <v>-0.37527470000000002</v>
      </c>
      <c r="V6867">
        <v>2.7472600000000001E-3</v>
      </c>
      <c r="W6867">
        <v>0.1695159</v>
      </c>
      <c r="X6867">
        <v>0.98552360000000006</v>
      </c>
      <c r="Y6867">
        <v>-0.15746350000000001</v>
      </c>
      <c r="Z6867">
        <v>-3.4608070000000002E-3</v>
      </c>
      <c r="AA6867">
        <v>0.98751869999999997</v>
      </c>
      <c r="AB6867">
        <v>26</v>
      </c>
      <c r="AC6867">
        <v>-43.507799999999897</v>
      </c>
      <c r="AD6867">
        <v>-1.121306369721</v>
      </c>
      <c r="AE6867">
        <v>-5.3626000000000102</v>
      </c>
      <c r="AF6867">
        <v>-6.9414884659656604</v>
      </c>
      <c r="AG6867">
        <v>-1.121306369721</v>
      </c>
      <c r="AH6867">
        <v>43.254938299849599</v>
      </c>
      <c r="AI6867">
        <v>91.466205814050397</v>
      </c>
      <c r="AJ6867">
        <v>99.117007720205095</v>
      </c>
      <c r="AK6867">
        <v>43.822725581845098</v>
      </c>
      <c r="AL6867">
        <v>80.240326111757895</v>
      </c>
      <c r="AM6867">
        <v>89.840281860827304</v>
      </c>
      <c r="AN6867">
        <v>0.99999997697363796</v>
      </c>
    </row>
    <row r="6868" spans="1:40" x14ac:dyDescent="0.25">
      <c r="A6868" t="str">
        <f>"20190303162049759"</f>
        <v>20190303162049759</v>
      </c>
      <c r="B6868" t="str">
        <f>"1551601249749539"</f>
        <v>1551601249749539</v>
      </c>
      <c r="C6868" t="s">
        <v>40</v>
      </c>
      <c r="D6868">
        <v>4.0972150000000003</v>
      </c>
      <c r="E6868">
        <v>0.43744889999999997</v>
      </c>
      <c r="F6868" t="s">
        <v>50</v>
      </c>
      <c r="G6868">
        <v>-413.29300000000001</v>
      </c>
      <c r="H6868" s="1">
        <v>-9.3061769999999995E-6</v>
      </c>
      <c r="I6868">
        <v>137.1498</v>
      </c>
      <c r="J6868">
        <v>-369.57819999999998</v>
      </c>
      <c r="K6868">
        <v>1.1213150000000001</v>
      </c>
      <c r="L6868">
        <v>142.57409999999999</v>
      </c>
      <c r="M6868">
        <v>-0.99925819999999999</v>
      </c>
      <c r="N6868">
        <v>-1.217362E-2</v>
      </c>
      <c r="O6868">
        <v>3.6537319999999998E-2</v>
      </c>
      <c r="P6868">
        <v>-0.98683089999999996</v>
      </c>
      <c r="Q6868">
        <v>0.1570637</v>
      </c>
      <c r="R6868">
        <v>3.868166E-2</v>
      </c>
      <c r="S6868">
        <v>-3.0675659999999998</v>
      </c>
      <c r="T6868">
        <v>-7.8225260000000005E-2</v>
      </c>
      <c r="U6868">
        <v>-0.37774659999999999</v>
      </c>
      <c r="V6868">
        <v>2.623565E-3</v>
      </c>
      <c r="W6868">
        <v>0.16907420000000001</v>
      </c>
      <c r="X6868">
        <v>0.98559980000000003</v>
      </c>
      <c r="Y6868">
        <v>-0.15832499999999999</v>
      </c>
      <c r="Z6868">
        <v>-3.463888E-3</v>
      </c>
      <c r="AA6868">
        <v>0.98738099999999995</v>
      </c>
      <c r="AB6868">
        <v>26</v>
      </c>
      <c r="AC6868">
        <v>-43.714799999999997</v>
      </c>
      <c r="AD6868">
        <v>-1.121324306177</v>
      </c>
      <c r="AE6868">
        <v>-5.4242999999999801</v>
      </c>
      <c r="AF6868">
        <v>-7.0134728279464502</v>
      </c>
      <c r="AG6868">
        <v>-1.121324306177</v>
      </c>
      <c r="AH6868">
        <v>43.459241528196699</v>
      </c>
      <c r="AI6868">
        <v>91.459133083805298</v>
      </c>
      <c r="AJ6868">
        <v>99.167381086427795</v>
      </c>
      <c r="AK6868">
        <v>44.035801837983001</v>
      </c>
      <c r="AL6868">
        <v>80.266004214357594</v>
      </c>
      <c r="AM6868">
        <v>89.8474849053935</v>
      </c>
      <c r="AN6868">
        <v>0.999999966979494</v>
      </c>
    </row>
    <row r="6869" spans="1:40" x14ac:dyDescent="0.25">
      <c r="A6869" t="str">
        <f>"20190303162049781"</f>
        <v>20190303162049781</v>
      </c>
      <c r="B6869" t="str">
        <f>"1551601249769059"</f>
        <v>1551601249769059</v>
      </c>
      <c r="C6869" t="s">
        <v>40</v>
      </c>
      <c r="D6869">
        <v>4.0889519999999999</v>
      </c>
      <c r="E6869">
        <v>0.4371102</v>
      </c>
      <c r="F6869" t="s">
        <v>50</v>
      </c>
      <c r="G6869">
        <v>-413.33</v>
      </c>
      <c r="H6869" s="1">
        <v>-9.296182E-6</v>
      </c>
      <c r="I6869">
        <v>137.1344</v>
      </c>
      <c r="J6869">
        <v>-369.84289999999999</v>
      </c>
      <c r="K6869">
        <v>1.121326</v>
      </c>
      <c r="L6869">
        <v>142.5838</v>
      </c>
      <c r="M6869">
        <v>-0.99925660000000005</v>
      </c>
      <c r="N6869">
        <v>-1.217414E-2</v>
      </c>
      <c r="O6869">
        <v>3.657991E-2</v>
      </c>
      <c r="P6869">
        <v>-0.98691830000000003</v>
      </c>
      <c r="Q6869">
        <v>0.1565811</v>
      </c>
      <c r="R6869">
        <v>3.8401350000000001E-2</v>
      </c>
      <c r="S6869">
        <v>-3.0674739999999998</v>
      </c>
      <c r="T6869">
        <v>-7.8616859999999997E-2</v>
      </c>
      <c r="U6869">
        <v>-0.3813782</v>
      </c>
      <c r="V6869">
        <v>2.290678E-3</v>
      </c>
      <c r="W6869">
        <v>0.16859289999999999</v>
      </c>
      <c r="X6869">
        <v>0.98568310000000003</v>
      </c>
      <c r="Y6869">
        <v>-0.15952060000000001</v>
      </c>
      <c r="Z6869">
        <v>-3.5017450000000001E-3</v>
      </c>
      <c r="AA6869">
        <v>0.98718839999999997</v>
      </c>
      <c r="AB6869">
        <v>26</v>
      </c>
      <c r="AC6869">
        <v>-43.487099999999998</v>
      </c>
      <c r="AD6869">
        <v>-1.121335296182</v>
      </c>
      <c r="AE6869">
        <v>-5.44939999999999</v>
      </c>
      <c r="AF6869">
        <v>-7.0320211639750303</v>
      </c>
      <c r="AG6869">
        <v>-1.121335296182</v>
      </c>
      <c r="AH6869">
        <v>43.230338728529702</v>
      </c>
      <c r="AI6869">
        <v>91.466573039930793</v>
      </c>
      <c r="AJ6869">
        <v>99.239042507496407</v>
      </c>
      <c r="AK6869">
        <v>43.812885103362802</v>
      </c>
      <c r="AL6869">
        <v>80.293982570423296</v>
      </c>
      <c r="AM6869">
        <v>89.866847726872194</v>
      </c>
      <c r="AN6869">
        <v>0.99999999338085899</v>
      </c>
    </row>
    <row r="6870" spans="1:40" x14ac:dyDescent="0.25">
      <c r="A6870" t="str">
        <f>"20190303162049804"</f>
        <v>20190303162049804</v>
      </c>
      <c r="B6870" t="str">
        <f>"1551601249799317"</f>
        <v>1551601249799317</v>
      </c>
      <c r="C6870" t="s">
        <v>40</v>
      </c>
      <c r="D6870">
        <v>4.1115279999999998</v>
      </c>
      <c r="E6870">
        <v>0.43657659999999998</v>
      </c>
      <c r="F6870" t="s">
        <v>50</v>
      </c>
      <c r="G6870">
        <v>-412.96929999999998</v>
      </c>
      <c r="H6870" s="1">
        <v>-9.3453640000000002E-6</v>
      </c>
      <c r="I6870">
        <v>137.17439999999999</v>
      </c>
      <c r="J6870">
        <v>-370.1053</v>
      </c>
      <c r="K6870">
        <v>1.1213390000000001</v>
      </c>
      <c r="L6870">
        <v>142.5934</v>
      </c>
      <c r="M6870">
        <v>-0.99925580000000003</v>
      </c>
      <c r="N6870">
        <v>-1.2174529999999999E-2</v>
      </c>
      <c r="O6870">
        <v>3.6598680000000001E-2</v>
      </c>
      <c r="P6870">
        <v>-0.98712279999999997</v>
      </c>
      <c r="Q6870">
        <v>0.1553901</v>
      </c>
      <c r="R6870">
        <v>3.7981429999999997E-2</v>
      </c>
      <c r="S6870">
        <v>-3.0674440000000001</v>
      </c>
      <c r="T6870">
        <v>-7.9757090000000003E-2</v>
      </c>
      <c r="U6870">
        <v>-0.38475039999999999</v>
      </c>
      <c r="V6870">
        <v>1.8381249999999999E-3</v>
      </c>
      <c r="W6870">
        <v>0.16740550000000001</v>
      </c>
      <c r="X6870">
        <v>0.98588640000000005</v>
      </c>
      <c r="Y6870">
        <v>-0.16060629999999901</v>
      </c>
      <c r="Z6870">
        <v>-3.5657129999999999E-3</v>
      </c>
      <c r="AA6870">
        <v>0.98701209999999995</v>
      </c>
      <c r="AB6870">
        <v>26</v>
      </c>
      <c r="AC6870">
        <v>-42.863999999999898</v>
      </c>
      <c r="AD6870">
        <v>-1.1213483453640001</v>
      </c>
      <c r="AE6870">
        <v>-5.4190000000000103</v>
      </c>
      <c r="AF6870">
        <v>-6.9795496869529003</v>
      </c>
      <c r="AG6870">
        <v>-1.1213483453640001</v>
      </c>
      <c r="AH6870">
        <v>42.608234388494097</v>
      </c>
      <c r="AI6870">
        <v>91.487723193154693</v>
      </c>
      <c r="AJ6870">
        <v>99.302859764574094</v>
      </c>
      <c r="AK6870">
        <v>43.190660722535199</v>
      </c>
      <c r="AL6870">
        <v>80.362996406553407</v>
      </c>
      <c r="AM6870">
        <v>89.893175641041395</v>
      </c>
      <c r="AN6870">
        <v>0.99999998691936198</v>
      </c>
    </row>
    <row r="6871" spans="1:40" x14ac:dyDescent="0.25">
      <c r="A6871" t="str">
        <f>"20190303162049826"</f>
        <v>20190303162049826</v>
      </c>
      <c r="B6871" t="str">
        <f>"1551601249819811"</f>
        <v>1551601249819811</v>
      </c>
      <c r="C6871" t="s">
        <v>40</v>
      </c>
      <c r="D6871">
        <v>4.1055679999999999</v>
      </c>
      <c r="E6871">
        <v>0.43615809999999999</v>
      </c>
      <c r="F6871" t="s">
        <v>50</v>
      </c>
      <c r="G6871">
        <v>-411.24380000000002</v>
      </c>
      <c r="H6871" s="1">
        <v>-9.5779429999999995E-6</v>
      </c>
      <c r="I6871">
        <v>137.35980000000001</v>
      </c>
      <c r="J6871">
        <v>-370.36160000000001</v>
      </c>
      <c r="K6871">
        <v>1.1213489999999999</v>
      </c>
      <c r="L6871">
        <v>142.60290000000001</v>
      </c>
      <c r="M6871">
        <v>-0.99925589999999997</v>
      </c>
      <c r="N6871">
        <v>-1.2174829999999999E-2</v>
      </c>
      <c r="O6871">
        <v>3.6597820000000003E-2</v>
      </c>
      <c r="P6871">
        <v>-0.98739639999999995</v>
      </c>
      <c r="Q6871">
        <v>0.15386349999999999</v>
      </c>
      <c r="R6871">
        <v>3.7074469999999998E-2</v>
      </c>
      <c r="S6871">
        <v>-3.0673219999999999</v>
      </c>
      <c r="T6871">
        <v>-8.3608870000000002E-2</v>
      </c>
      <c r="U6871">
        <v>-0.39022829999999997</v>
      </c>
      <c r="V6871">
        <v>9.1697450000000004E-4</v>
      </c>
      <c r="W6871">
        <v>0.16588169999999999</v>
      </c>
      <c r="X6871">
        <v>0.9861453</v>
      </c>
      <c r="Y6871">
        <v>-0.16233689999999901</v>
      </c>
      <c r="Z6871">
        <v>-3.745913E-3</v>
      </c>
      <c r="AA6871">
        <v>0.9867283</v>
      </c>
      <c r="AB6871">
        <v>26</v>
      </c>
      <c r="AC6871">
        <v>-40.882199999999997</v>
      </c>
      <c r="AD6871">
        <v>-1.121358577943</v>
      </c>
      <c r="AE6871">
        <v>-5.2430999999999903</v>
      </c>
      <c r="AF6871">
        <v>-6.7309152423529799</v>
      </c>
      <c r="AG6871">
        <v>-1.121358577943</v>
      </c>
      <c r="AH6871">
        <v>40.632832214494002</v>
      </c>
      <c r="AI6871">
        <v>91.559568316838295</v>
      </c>
      <c r="AJ6871">
        <v>99.405755348269807</v>
      </c>
      <c r="AK6871">
        <v>41.201816936043997</v>
      </c>
      <c r="AL6871">
        <v>80.451542601348294</v>
      </c>
      <c r="AM6871">
        <v>89.946723111057906</v>
      </c>
      <c r="AN6871">
        <v>1.0000000659746</v>
      </c>
    </row>
    <row r="6872" spans="1:40" x14ac:dyDescent="0.25">
      <c r="A6872" t="str">
        <f>"20190303162049849"</f>
        <v>20190303162049849</v>
      </c>
      <c r="B6872" t="str">
        <f>"1551601249839331"</f>
        <v>1551601249839331</v>
      </c>
      <c r="C6872" t="s">
        <v>40</v>
      </c>
      <c r="D6872">
        <v>4.0741339999999999</v>
      </c>
      <c r="E6872">
        <v>0.4358745</v>
      </c>
      <c r="F6872" t="s">
        <v>50</v>
      </c>
      <c r="G6872">
        <v>-409.73320000000001</v>
      </c>
      <c r="H6872" s="1">
        <v>-9.6196140000000002E-6</v>
      </c>
      <c r="I6872">
        <v>137.51650000000001</v>
      </c>
      <c r="J6872">
        <v>-370.62560000000002</v>
      </c>
      <c r="K6872">
        <v>1.1213580000000001</v>
      </c>
      <c r="L6872">
        <v>142.61250000000001</v>
      </c>
      <c r="M6872">
        <v>-0.99925640000000004</v>
      </c>
      <c r="N6872">
        <v>-1.217506E-2</v>
      </c>
      <c r="O6872">
        <v>3.658575E-2</v>
      </c>
      <c r="P6872">
        <v>-0.98779790000000001</v>
      </c>
      <c r="Q6872">
        <v>0.15159310000000001</v>
      </c>
      <c r="R6872">
        <v>3.570661E-2</v>
      </c>
      <c r="S6872">
        <v>-3.0667719999999998</v>
      </c>
      <c r="T6872">
        <v>-8.7346080000000006E-2</v>
      </c>
      <c r="U6872">
        <v>-0.39619450000000001</v>
      </c>
      <c r="V6872">
        <v>-4.5659690000000001E-4</v>
      </c>
      <c r="W6872">
        <v>0.1636166</v>
      </c>
      <c r="X6872">
        <v>0.98652390000000001</v>
      </c>
      <c r="Y6872">
        <v>-0.16422700000000001</v>
      </c>
      <c r="Z6872">
        <v>-3.9273270000000004E-3</v>
      </c>
      <c r="AA6872">
        <v>0.98641469999999998</v>
      </c>
      <c r="AB6872">
        <v>26</v>
      </c>
      <c r="AC6872">
        <v>-39.107599999999898</v>
      </c>
      <c r="AD6872">
        <v>-1.1213676196140001</v>
      </c>
      <c r="AE6872">
        <v>-5.0960000000000001</v>
      </c>
      <c r="AF6872">
        <v>-6.5182049285078598</v>
      </c>
      <c r="AG6872">
        <v>-1.1213676196140001</v>
      </c>
      <c r="AH6872">
        <v>38.863539650419703</v>
      </c>
      <c r="AI6872">
        <v>91.629997985222303</v>
      </c>
      <c r="AJ6872">
        <v>99.521049881418506</v>
      </c>
      <c r="AK6872">
        <v>39.422318234574803</v>
      </c>
      <c r="AL6872">
        <v>80.583120649567405</v>
      </c>
      <c r="AM6872">
        <v>90.026518438570704</v>
      </c>
      <c r="AN6872">
        <v>1.0000000027737399</v>
      </c>
    </row>
    <row r="6873" spans="1:40" x14ac:dyDescent="0.25">
      <c r="A6873" t="str">
        <f>"20190303162049871"</f>
        <v>20190303162049871</v>
      </c>
      <c r="B6873" t="str">
        <f>"1551601249859828"</f>
        <v>1551601249859828</v>
      </c>
      <c r="C6873" t="s">
        <v>40</v>
      </c>
      <c r="D6873">
        <v>4.0815039999999998</v>
      </c>
      <c r="E6873">
        <v>0.43561810000000001</v>
      </c>
      <c r="F6873" t="s">
        <v>50</v>
      </c>
      <c r="G6873">
        <v>-407.30630000000002</v>
      </c>
      <c r="H6873" s="1">
        <v>-8.2336640000000003E-6</v>
      </c>
      <c r="I6873">
        <v>137.8022</v>
      </c>
      <c r="J6873">
        <v>-370.88529999999997</v>
      </c>
      <c r="K6873">
        <v>1.1213550000000001</v>
      </c>
      <c r="L6873">
        <v>142.62200000000001</v>
      </c>
      <c r="M6873">
        <v>-0.9992569</v>
      </c>
      <c r="N6873">
        <v>-1.217525E-2</v>
      </c>
      <c r="O6873">
        <v>3.6571979999999997E-2</v>
      </c>
      <c r="P6873">
        <v>-0.98803339999999995</v>
      </c>
      <c r="Q6873">
        <v>0.1505003</v>
      </c>
      <c r="R6873">
        <v>3.3760539999999999E-2</v>
      </c>
      <c r="S6873">
        <v>-3.0659480000000001</v>
      </c>
      <c r="T6873">
        <v>-9.3729259999999995E-2</v>
      </c>
      <c r="U6873">
        <v>-0.40206910000000001</v>
      </c>
      <c r="V6873">
        <v>-2.3979499999999998E-3</v>
      </c>
      <c r="W6873">
        <v>0.1625257</v>
      </c>
      <c r="X6873">
        <v>0.98670139999999995</v>
      </c>
      <c r="Y6873">
        <v>-0.16609079999999901</v>
      </c>
      <c r="Z6873">
        <v>-4.2135139999999998E-3</v>
      </c>
      <c r="AA6873">
        <v>0.98610140000000002</v>
      </c>
      <c r="AB6873">
        <v>26</v>
      </c>
      <c r="AC6873">
        <v>-36.420999999999999</v>
      </c>
      <c r="AD6873">
        <v>-1.12136323366399</v>
      </c>
      <c r="AE6873">
        <v>-4.8198000000000096</v>
      </c>
      <c r="AF6873">
        <v>-6.1429389129869998</v>
      </c>
      <c r="AG6873">
        <v>-1.12136323366399</v>
      </c>
      <c r="AH6873">
        <v>36.186635843664298</v>
      </c>
      <c r="AI6873">
        <v>91.749913181156799</v>
      </c>
      <c r="AJ6873">
        <v>99.634519388565096</v>
      </c>
      <c r="AK6873">
        <v>36.7214619490084</v>
      </c>
      <c r="AL6873">
        <v>80.646472631093502</v>
      </c>
      <c r="AM6873">
        <v>90.139243892828105</v>
      </c>
      <c r="AN6873">
        <v>1.00000000304332</v>
      </c>
    </row>
    <row r="6874" spans="1:40" x14ac:dyDescent="0.25">
      <c r="A6874" t="str">
        <f>"20190303162049893"</f>
        <v>20190303162049893</v>
      </c>
      <c r="B6874" t="str">
        <f>"1551601249889108"</f>
        <v>1551601249889108</v>
      </c>
      <c r="C6874" t="s">
        <v>40</v>
      </c>
      <c r="D6874">
        <v>4.1403840000000001</v>
      </c>
      <c r="E6874">
        <v>0.40071790000000002</v>
      </c>
      <c r="F6874" t="s">
        <v>50</v>
      </c>
      <c r="G6874">
        <v>-406.31990000000002</v>
      </c>
      <c r="H6874" s="1">
        <v>-7.6547589999999995E-6</v>
      </c>
      <c r="I6874">
        <v>137.8826</v>
      </c>
      <c r="J6874">
        <v>-371.14170000000001</v>
      </c>
      <c r="K6874">
        <v>1.121348</v>
      </c>
      <c r="L6874">
        <v>142.63140000000001</v>
      </c>
      <c r="M6874">
        <v>-0.99925730000000001</v>
      </c>
      <c r="N6874">
        <v>-1.2175389999999999E-2</v>
      </c>
      <c r="O6874">
        <v>3.6562539999999998E-2</v>
      </c>
      <c r="P6874">
        <v>-0.9882919</v>
      </c>
      <c r="Q6874">
        <v>0.14918689999999901</v>
      </c>
      <c r="R6874">
        <v>3.1977459999999999E-2</v>
      </c>
      <c r="S6874">
        <v>-3.0650940000000002</v>
      </c>
      <c r="T6874">
        <v>-9.6997860000000005E-2</v>
      </c>
      <c r="U6874">
        <v>-0.40995789999999999</v>
      </c>
      <c r="V6874">
        <v>-4.179683E-3</v>
      </c>
      <c r="W6874">
        <v>0.1612152</v>
      </c>
      <c r="X6874">
        <v>0.98691039999999997</v>
      </c>
      <c r="Y6874">
        <v>-0.16860169999999999</v>
      </c>
      <c r="Z6874">
        <v>-4.3958449999999998E-3</v>
      </c>
      <c r="AA6874">
        <v>0.98567439999999995</v>
      </c>
      <c r="AB6874">
        <v>26</v>
      </c>
      <c r="AC6874">
        <v>-35.178199999999997</v>
      </c>
      <c r="AD6874">
        <v>-1.121355654759</v>
      </c>
      <c r="AE6874">
        <v>-4.7488000000000099</v>
      </c>
      <c r="AF6874">
        <v>-6.0259104885521797</v>
      </c>
      <c r="AG6874">
        <v>-1.121355654759</v>
      </c>
      <c r="AH6874">
        <v>34.946160617858702</v>
      </c>
      <c r="AI6874">
        <v>91.811170871849995</v>
      </c>
      <c r="AJ6874">
        <v>99.783538107717902</v>
      </c>
      <c r="AK6874">
        <v>35.479616368411897</v>
      </c>
      <c r="AL6874">
        <v>80.722561952702705</v>
      </c>
      <c r="AM6874">
        <v>90.242652994475506</v>
      </c>
      <c r="AN6874">
        <v>0.99999997404458896</v>
      </c>
    </row>
    <row r="6875" spans="1:40" x14ac:dyDescent="0.25">
      <c r="A6875" t="str">
        <f>"20190303162049915"</f>
        <v>20190303162049915</v>
      </c>
      <c r="B6875" t="str">
        <f>"1551601249909135"</f>
        <v>1551601249909135</v>
      </c>
      <c r="C6875" t="s">
        <v>40</v>
      </c>
      <c r="D6875">
        <v>4.1142289999999999</v>
      </c>
      <c r="E6875">
        <v>0.39884419999999998</v>
      </c>
      <c r="F6875" t="s">
        <v>41</v>
      </c>
      <c r="G6875">
        <v>-390.41</v>
      </c>
      <c r="H6875" s="1">
        <v>-4.3295549999999901E-6</v>
      </c>
      <c r="I6875">
        <v>138.30170000000001</v>
      </c>
      <c r="J6875">
        <v>-371.39909999999998</v>
      </c>
      <c r="K6875">
        <v>1.121337</v>
      </c>
      <c r="L6875">
        <v>142.64080000000001</v>
      </c>
      <c r="M6875">
        <v>-0.99925759999999997</v>
      </c>
      <c r="N6875">
        <v>-1.2175399999999999E-2</v>
      </c>
      <c r="O6875">
        <v>3.6557180000000002E-2</v>
      </c>
      <c r="P6875">
        <v>-0.98846299999999998</v>
      </c>
      <c r="Q6875">
        <v>0.148339</v>
      </c>
      <c r="R6875">
        <v>3.0610100000000001E-2</v>
      </c>
      <c r="S6875">
        <v>-3.085083</v>
      </c>
      <c r="T6875">
        <v>-0.17954239999999999</v>
      </c>
      <c r="U6875">
        <v>-0.693222</v>
      </c>
      <c r="V6875">
        <v>-5.5451800000000002E-3</v>
      </c>
      <c r="W6875">
        <v>0.16036900000000001</v>
      </c>
      <c r="X6875">
        <v>0.98704150000000002</v>
      </c>
      <c r="Y6875">
        <v>-0.25422220000000001</v>
      </c>
      <c r="Z6875">
        <v>-1.053112E-2</v>
      </c>
      <c r="AA6875">
        <v>0.96708850000000002</v>
      </c>
      <c r="AB6875">
        <v>26</v>
      </c>
      <c r="AC6875">
        <v>-19.010899999999999</v>
      </c>
      <c r="AD6875">
        <v>-1.1213413295550001</v>
      </c>
      <c r="AE6875">
        <v>-4.3391000000000002</v>
      </c>
      <c r="AF6875">
        <v>-5.0146526807132501</v>
      </c>
      <c r="AG6875">
        <v>-1.1213413295550001</v>
      </c>
      <c r="AH6875">
        <v>18.7774591671316</v>
      </c>
      <c r="AI6875">
        <v>93.302044667398107</v>
      </c>
      <c r="AJ6875">
        <v>104.952297011185</v>
      </c>
      <c r="AK6875">
        <v>19.467848382881101</v>
      </c>
      <c r="AL6875">
        <v>80.771684536151</v>
      </c>
      <c r="AM6875">
        <v>90.321883191493797</v>
      </c>
      <c r="AN6875">
        <v>0.99999994395223901</v>
      </c>
    </row>
    <row r="6876" spans="1:40" x14ac:dyDescent="0.25">
      <c r="A6876" t="str">
        <f>"20190303162049938"</f>
        <v>20190303162049938</v>
      </c>
      <c r="B6876" t="str">
        <f>"1551601249929632"</f>
        <v>1551601249929632</v>
      </c>
      <c r="C6876" t="s">
        <v>40</v>
      </c>
      <c r="D6876">
        <v>4.0950170000000004</v>
      </c>
      <c r="E6876">
        <v>0.39673510000000001</v>
      </c>
      <c r="F6876" t="s">
        <v>41</v>
      </c>
      <c r="G6876">
        <v>-390.2801</v>
      </c>
      <c r="H6876" s="1">
        <v>-4.3881310000000002E-6</v>
      </c>
      <c r="I6876">
        <v>138.28559999999999</v>
      </c>
      <c r="J6876">
        <v>-371.65730000000002</v>
      </c>
      <c r="K6876">
        <v>1.1213299999999999</v>
      </c>
      <c r="L6876">
        <v>142.65020000000001</v>
      </c>
      <c r="M6876">
        <v>-0.99925739999999996</v>
      </c>
      <c r="N6876">
        <v>-1.2175299999999899E-2</v>
      </c>
      <c r="O6876">
        <v>3.6555200000000003E-2</v>
      </c>
      <c r="P6876">
        <v>-0.98853539999999995</v>
      </c>
      <c r="Q6876">
        <v>0.14813770000000001</v>
      </c>
      <c r="R6876">
        <v>2.9207940000000002E-2</v>
      </c>
      <c r="S6876">
        <v>-3.0845340000000001</v>
      </c>
      <c r="T6876">
        <v>-0.18319009999999999</v>
      </c>
      <c r="U6876">
        <v>-0.71148679999999997</v>
      </c>
      <c r="V6876">
        <v>-6.9456120000000003E-3</v>
      </c>
      <c r="W6876">
        <v>0.16016749999999999</v>
      </c>
      <c r="X6876">
        <v>0.98706539999999998</v>
      </c>
      <c r="Y6876">
        <v>-0.25966620000000001</v>
      </c>
      <c r="Z6876">
        <v>-1.091162E-2</v>
      </c>
      <c r="AA6876">
        <v>0.96563679999999996</v>
      </c>
      <c r="AB6876">
        <v>26</v>
      </c>
      <c r="AC6876">
        <v>-18.622799999999899</v>
      </c>
      <c r="AD6876">
        <v>-1.1213343881309901</v>
      </c>
      <c r="AE6876">
        <v>-4.3646000000000198</v>
      </c>
      <c r="AF6876">
        <v>-5.0252223051197404</v>
      </c>
      <c r="AG6876">
        <v>-1.1213343881309901</v>
      </c>
      <c r="AH6876">
        <v>18.3875957455388</v>
      </c>
      <c r="AI6876">
        <v>93.3665965764107</v>
      </c>
      <c r="AJ6876">
        <v>105.28534530335899</v>
      </c>
      <c r="AK6876">
        <v>19.094866517659501</v>
      </c>
      <c r="AL6876">
        <v>80.783381226270393</v>
      </c>
      <c r="AM6876">
        <v>90.403162430585198</v>
      </c>
      <c r="AN6876">
        <v>0.999999986729732</v>
      </c>
    </row>
    <row r="6877" spans="1:40" x14ac:dyDescent="0.25">
      <c r="A6877" t="str">
        <f>"20190303162049959"</f>
        <v>20190303162049959</v>
      </c>
      <c r="B6877" t="str">
        <f>"1551601249949152"</f>
        <v>1551601249949152</v>
      </c>
      <c r="C6877" t="s">
        <v>40</v>
      </c>
      <c r="D6877">
        <v>4.0900589999999903</v>
      </c>
      <c r="E6877">
        <v>0.39569260000000001</v>
      </c>
      <c r="F6877" t="s">
        <v>41</v>
      </c>
      <c r="G6877">
        <v>-389.53629999999998</v>
      </c>
      <c r="H6877" s="1">
        <v>-4.652522E-7</v>
      </c>
      <c r="I6877">
        <v>138.4083</v>
      </c>
      <c r="J6877">
        <v>-371.91789999999997</v>
      </c>
      <c r="K6877">
        <v>1.1213360000000001</v>
      </c>
      <c r="L6877">
        <v>142.65969999999999</v>
      </c>
      <c r="M6877">
        <v>-0.99925750000000002</v>
      </c>
      <c r="N6877">
        <v>-1.2175210000000001E-2</v>
      </c>
      <c r="O6877">
        <v>3.6555879999999999E-2</v>
      </c>
      <c r="P6877">
        <v>-0.98852649999999997</v>
      </c>
      <c r="Q6877">
        <v>0.1483766</v>
      </c>
      <c r="R6877">
        <v>2.8281959999999998E-2</v>
      </c>
      <c r="S6877">
        <v>-3.0854189999999999</v>
      </c>
      <c r="T6877">
        <v>-0.19351199999999999</v>
      </c>
      <c r="U6877">
        <v>-0.73202509999999998</v>
      </c>
      <c r="V6877">
        <v>-7.8706360000000003E-3</v>
      </c>
      <c r="W6877">
        <v>0.1604062</v>
      </c>
      <c r="X6877">
        <v>0.98701970000000006</v>
      </c>
      <c r="Y6877">
        <v>-0.26562210000000003</v>
      </c>
      <c r="Z6877">
        <v>-1.1671900000000001E-2</v>
      </c>
      <c r="AA6877">
        <v>0.96400660000000005</v>
      </c>
      <c r="AB6877">
        <v>26</v>
      </c>
      <c r="AC6877">
        <v>-17.618400000000001</v>
      </c>
      <c r="AD6877">
        <v>-1.1213364652522</v>
      </c>
      <c r="AE6877">
        <v>-4.2513999999999896</v>
      </c>
      <c r="AF6877">
        <v>-4.8740046397587502</v>
      </c>
      <c r="AG6877">
        <v>-1.1213364652522</v>
      </c>
      <c r="AH6877">
        <v>17.3846505439037</v>
      </c>
      <c r="AI6877">
        <v>93.553892664810107</v>
      </c>
      <c r="AJ6877">
        <v>105.66150608476499</v>
      </c>
      <c r="AK6877">
        <v>18.089759291664102</v>
      </c>
      <c r="AL6877">
        <v>80.769525626057003</v>
      </c>
      <c r="AM6877">
        <v>90.456875042088797</v>
      </c>
      <c r="AN6877">
        <v>0.99999999204878698</v>
      </c>
    </row>
    <row r="6878" spans="1:40" x14ac:dyDescent="0.25">
      <c r="A6878" t="str">
        <f>"20190303162049982"</f>
        <v>20190303162049982</v>
      </c>
      <c r="B6878" t="str">
        <f>"1551601249979408"</f>
        <v>1551601249979408</v>
      </c>
      <c r="C6878" t="s">
        <v>40</v>
      </c>
      <c r="D6878">
        <v>4.1196960000000002</v>
      </c>
      <c r="E6878">
        <v>0.3946537</v>
      </c>
      <c r="F6878" t="s">
        <v>41</v>
      </c>
      <c r="G6878">
        <v>-389.68369999999999</v>
      </c>
      <c r="H6878" s="1">
        <v>-4.223043E-7</v>
      </c>
      <c r="I6878">
        <v>138.38120000000001</v>
      </c>
      <c r="J6878">
        <v>-372.17610000000002</v>
      </c>
      <c r="K6878">
        <v>1.1213360000000001</v>
      </c>
      <c r="L6878">
        <v>142.66919999999999</v>
      </c>
      <c r="M6878">
        <v>-0.99925739999999996</v>
      </c>
      <c r="N6878">
        <v>-1.2175129999999999E-2</v>
      </c>
      <c r="O6878">
        <v>3.6558859999999999E-2</v>
      </c>
      <c r="P6878">
        <v>-0.98852150000000005</v>
      </c>
      <c r="Q6878">
        <v>0.14857670000000001</v>
      </c>
      <c r="R6878">
        <v>2.7390370000000001E-2</v>
      </c>
      <c r="S6878">
        <v>-3.0853269999999999</v>
      </c>
      <c r="T6878">
        <v>-0.19473989999999999</v>
      </c>
      <c r="U6878">
        <v>-0.74302669999999904</v>
      </c>
      <c r="V6878">
        <v>-8.7645750000000001E-3</v>
      </c>
      <c r="W6878">
        <v>0.16060529999999901</v>
      </c>
      <c r="X6878">
        <v>0.98697979999999996</v>
      </c>
      <c r="Y6878">
        <v>-0.26886700000000002</v>
      </c>
      <c r="Z6878">
        <v>-1.1856179999999999E-2</v>
      </c>
      <c r="AA6878">
        <v>0.96310439999999997</v>
      </c>
      <c r="AB6878">
        <v>26</v>
      </c>
      <c r="AC6878">
        <v>-17.507599999999901</v>
      </c>
      <c r="AD6878">
        <v>-1.1213364223043001</v>
      </c>
      <c r="AE6878">
        <v>-4.2879999999999798</v>
      </c>
      <c r="AF6878">
        <v>-4.9062508475585496</v>
      </c>
      <c r="AG6878">
        <v>-1.1213364223043001</v>
      </c>
      <c r="AH6878">
        <v>17.272273656667199</v>
      </c>
      <c r="AI6878">
        <v>93.573514599404803</v>
      </c>
      <c r="AJ6878">
        <v>105.85738619386601</v>
      </c>
      <c r="AK6878">
        <v>17.990556690162599</v>
      </c>
      <c r="AL6878">
        <v>80.757968294059197</v>
      </c>
      <c r="AM6878">
        <v>90.508784432309398</v>
      </c>
      <c r="AN6878">
        <v>1.00000000288553</v>
      </c>
    </row>
    <row r="6879" spans="1:40" x14ac:dyDescent="0.25">
      <c r="A6879" t="str">
        <f>"20190303162050005"</f>
        <v>20190303162050005</v>
      </c>
      <c r="B6879" t="str">
        <f>"1551601249999903"</f>
        <v>1551601249999903</v>
      </c>
      <c r="C6879" t="s">
        <v>40</v>
      </c>
      <c r="D6879">
        <v>4.1127960000000003</v>
      </c>
      <c r="E6879">
        <v>0.39423390000000003</v>
      </c>
      <c r="F6879" t="s">
        <v>41</v>
      </c>
      <c r="G6879">
        <v>-389.93579999999997</v>
      </c>
      <c r="H6879" s="1">
        <v>-3.5102350000000002E-7</v>
      </c>
      <c r="I6879">
        <v>138.32660000000001</v>
      </c>
      <c r="J6879">
        <v>-372.43619999999999</v>
      </c>
      <c r="K6879">
        <v>1.1213379999999999</v>
      </c>
      <c r="L6879">
        <v>142.67869999999999</v>
      </c>
      <c r="M6879">
        <v>-0.99925730000000001</v>
      </c>
      <c r="N6879">
        <v>-1.2175E-2</v>
      </c>
      <c r="O6879">
        <v>3.6562190000000001E-2</v>
      </c>
      <c r="P6879">
        <v>-0.98859799999999998</v>
      </c>
      <c r="Q6879">
        <v>0.14819979999999999</v>
      </c>
      <c r="R6879">
        <v>2.6667079999999999E-2</v>
      </c>
      <c r="S6879">
        <v>-3.085083</v>
      </c>
      <c r="T6879">
        <v>-0.1947912</v>
      </c>
      <c r="U6879">
        <v>-0.75434880000000004</v>
      </c>
      <c r="V6879">
        <v>-9.4932220000000008E-3</v>
      </c>
      <c r="W6879">
        <v>0.16022919999999999</v>
      </c>
      <c r="X6879">
        <v>0.98703419999999997</v>
      </c>
      <c r="Y6879">
        <v>-0.27221640000000003</v>
      </c>
      <c r="Z6879">
        <v>-1.1981159999999999E-2</v>
      </c>
      <c r="AA6879">
        <v>0.9621615</v>
      </c>
      <c r="AB6879">
        <v>26</v>
      </c>
      <c r="AC6879">
        <v>-17.499599999999901</v>
      </c>
      <c r="AD6879">
        <v>-1.1213383510235</v>
      </c>
      <c r="AE6879">
        <v>-4.3520999999999699</v>
      </c>
      <c r="AF6879">
        <v>-4.9698432521550897</v>
      </c>
      <c r="AG6879">
        <v>-1.1213383510235</v>
      </c>
      <c r="AH6879">
        <v>17.262014505630699</v>
      </c>
      <c r="AI6879">
        <v>93.572008483978706</v>
      </c>
      <c r="AJ6879">
        <v>106.061444595941</v>
      </c>
      <c r="AK6879">
        <v>17.9981634185567</v>
      </c>
      <c r="AL6879">
        <v>80.779800084076697</v>
      </c>
      <c r="AM6879">
        <v>90.551049582456798</v>
      </c>
      <c r="AN6879">
        <v>1.0000000148831101</v>
      </c>
    </row>
    <row r="6880" spans="1:40" x14ac:dyDescent="0.25">
      <c r="A6880" t="str">
        <f>"20190303162050027"</f>
        <v>20190303162050027</v>
      </c>
      <c r="B6880" t="str">
        <f>"1551601250019723"</f>
        <v>1551601250019723</v>
      </c>
      <c r="C6880" t="s">
        <v>40</v>
      </c>
      <c r="D6880">
        <v>4.1670530000000001</v>
      </c>
      <c r="E6880">
        <v>0.39378340000000001</v>
      </c>
      <c r="F6880" t="s">
        <v>41</v>
      </c>
      <c r="G6880">
        <v>-390.08749999999998</v>
      </c>
      <c r="H6880" s="1">
        <v>-4.4629699999999999E-6</v>
      </c>
      <c r="I6880">
        <v>138.3296</v>
      </c>
      <c r="J6880">
        <v>-372.6909</v>
      </c>
      <c r="K6880">
        <v>1.1213409999999999</v>
      </c>
      <c r="L6880">
        <v>142.68799999999999</v>
      </c>
      <c r="M6880">
        <v>-0.99925739999999996</v>
      </c>
      <c r="N6880">
        <v>-1.21748E-2</v>
      </c>
      <c r="O6880">
        <v>3.6560509999999997E-2</v>
      </c>
      <c r="P6880">
        <v>-0.98867439999999995</v>
      </c>
      <c r="Q6880">
        <v>0.14777999999999999</v>
      </c>
      <c r="R6880">
        <v>2.616365E-2</v>
      </c>
      <c r="S6880">
        <v>-3.0845030000000002</v>
      </c>
      <c r="T6880">
        <v>-0.19595119999999999</v>
      </c>
      <c r="U6880">
        <v>-0.75997919999999997</v>
      </c>
      <c r="V6880">
        <v>-9.9984519999999997E-3</v>
      </c>
      <c r="W6880">
        <v>0.1598098</v>
      </c>
      <c r="X6880">
        <v>0.98709720000000001</v>
      </c>
      <c r="Y6880">
        <v>-0.27390140000000002</v>
      </c>
      <c r="Z6880">
        <v>-1.210813E-2</v>
      </c>
      <c r="AA6880">
        <v>0.96168149999999997</v>
      </c>
      <c r="AB6880">
        <v>26</v>
      </c>
      <c r="AC6880">
        <v>-17.3965999999999</v>
      </c>
      <c r="AD6880">
        <v>-1.1213454629699999</v>
      </c>
      <c r="AE6880">
        <v>-4.3583999999999801</v>
      </c>
      <c r="AF6880">
        <v>-4.9721232329231997</v>
      </c>
      <c r="AG6880">
        <v>-1.1213454629699999</v>
      </c>
      <c r="AH6880">
        <v>17.158530595145301</v>
      </c>
      <c r="AI6880">
        <v>93.591732224708394</v>
      </c>
      <c r="AJ6880">
        <v>106.160297719856</v>
      </c>
      <c r="AK6880">
        <v>17.899569751120701</v>
      </c>
      <c r="AL6880">
        <v>80.804143599093607</v>
      </c>
      <c r="AM6880">
        <v>90.580337488974905</v>
      </c>
      <c r="AN6880">
        <v>1.00000001173313</v>
      </c>
    </row>
    <row r="6881" spans="1:40" x14ac:dyDescent="0.25">
      <c r="A6881" t="str">
        <f>"20190303162050049"</f>
        <v>20190303162050049</v>
      </c>
      <c r="B6881" t="str">
        <f>"1551601250039243"</f>
        <v>1551601250039243</v>
      </c>
      <c r="C6881" t="s">
        <v>40</v>
      </c>
      <c r="D6881">
        <v>4.1963299999999997</v>
      </c>
      <c r="E6881">
        <v>0.39336159999999998</v>
      </c>
      <c r="F6881" t="s">
        <v>41</v>
      </c>
      <c r="G6881">
        <v>-389.9984</v>
      </c>
      <c r="H6881" s="1">
        <v>-4.48938E-6</v>
      </c>
      <c r="I6881">
        <v>138.39599999999999</v>
      </c>
      <c r="J6881">
        <v>-372.95670000000001</v>
      </c>
      <c r="K6881">
        <v>1.1213390000000001</v>
      </c>
      <c r="L6881">
        <v>142.6977</v>
      </c>
      <c r="M6881">
        <v>-0.99925770000000003</v>
      </c>
      <c r="N6881">
        <v>-1.2174529999999999E-2</v>
      </c>
      <c r="O6881">
        <v>3.6552550000000003E-2</v>
      </c>
      <c r="P6881">
        <v>-0.9887205</v>
      </c>
      <c r="Q6881">
        <v>0.14762030000000001</v>
      </c>
      <c r="R6881">
        <v>2.5304750000000001E-2</v>
      </c>
      <c r="S6881">
        <v>-3.084473</v>
      </c>
      <c r="T6881">
        <v>-0.19984150000000001</v>
      </c>
      <c r="U6881">
        <v>-0.76489259999999903</v>
      </c>
      <c r="V6881">
        <v>-1.085114E-2</v>
      </c>
      <c r="W6881">
        <v>0.15965019999999999</v>
      </c>
      <c r="X6881">
        <v>0.98711400000000005</v>
      </c>
      <c r="Y6881">
        <v>-0.27531099999999997</v>
      </c>
      <c r="Z6881">
        <v>-1.237489E-2</v>
      </c>
      <c r="AA6881">
        <v>0.96127560000000001</v>
      </c>
      <c r="AB6881">
        <v>26</v>
      </c>
      <c r="AC6881">
        <v>-17.041699999999899</v>
      </c>
      <c r="AD6881">
        <v>-1.1213434893799901</v>
      </c>
      <c r="AE6881">
        <v>-4.3016999999999799</v>
      </c>
      <c r="AF6881">
        <v>-4.9018366655696601</v>
      </c>
      <c r="AG6881">
        <v>-1.1213434893799901</v>
      </c>
      <c r="AH6881">
        <v>16.8046603007827</v>
      </c>
      <c r="AI6881">
        <v>93.665274362287704</v>
      </c>
      <c r="AJ6881">
        <v>106.261704823556</v>
      </c>
      <c r="AK6881">
        <v>17.540867188990401</v>
      </c>
      <c r="AL6881">
        <v>80.813406750484802</v>
      </c>
      <c r="AM6881">
        <v>90.629815283084099</v>
      </c>
      <c r="AN6881">
        <v>0.99999999129766903</v>
      </c>
    </row>
    <row r="6882" spans="1:40" x14ac:dyDescent="0.25">
      <c r="A6882" t="str">
        <f>"20190303162050073"</f>
        <v>20190303162050073</v>
      </c>
      <c r="B6882" t="str">
        <f>"1551601250069499"</f>
        <v>1551601250069499</v>
      </c>
      <c r="C6882" t="s">
        <v>40</v>
      </c>
      <c r="D6882">
        <v>4.3526939999999996</v>
      </c>
      <c r="E6882">
        <v>0.39311449999999998</v>
      </c>
      <c r="F6882" t="s">
        <v>41</v>
      </c>
      <c r="G6882">
        <v>-390.04399999999998</v>
      </c>
      <c r="H6882" s="1">
        <v>-4.4642990000000004E-6</v>
      </c>
      <c r="I6882">
        <v>138.4272</v>
      </c>
      <c r="J6882">
        <v>-373.22289999999998</v>
      </c>
      <c r="K6882">
        <v>1.12134</v>
      </c>
      <c r="L6882">
        <v>142.70740000000001</v>
      </c>
      <c r="M6882">
        <v>-0.99925819999999999</v>
      </c>
      <c r="N6882">
        <v>-1.2174259999999999E-2</v>
      </c>
      <c r="O6882">
        <v>3.6539759999999998E-2</v>
      </c>
      <c r="P6882">
        <v>-0.98876549999999996</v>
      </c>
      <c r="Q6882">
        <v>0.14738039999999999</v>
      </c>
      <c r="R6882">
        <v>2.4940279999999999E-2</v>
      </c>
      <c r="S6882">
        <v>-3.0841370000000001</v>
      </c>
      <c r="T6882">
        <v>-0.2023953</v>
      </c>
      <c r="U6882">
        <v>-0.77078250000000004</v>
      </c>
      <c r="V6882">
        <v>-1.120554E-2</v>
      </c>
      <c r="W6882">
        <v>0.1594102</v>
      </c>
      <c r="X6882">
        <v>0.98714880000000005</v>
      </c>
      <c r="Y6882">
        <v>-0.27703040000000001</v>
      </c>
      <c r="Z6882">
        <v>-1.2581210000000001E-2</v>
      </c>
      <c r="AA6882">
        <v>0.96077880000000004</v>
      </c>
      <c r="AB6882">
        <v>26</v>
      </c>
      <c r="AC6882">
        <v>-16.821100000000001</v>
      </c>
      <c r="AD6882">
        <v>-1.121344464299</v>
      </c>
      <c r="AE6882">
        <v>-4.2801999999999998</v>
      </c>
      <c r="AF6882">
        <v>-4.8716926112148604</v>
      </c>
      <c r="AG6882">
        <v>-1.121344464299</v>
      </c>
      <c r="AH6882">
        <v>16.5842382591049</v>
      </c>
      <c r="AI6882">
        <v>93.711801787712204</v>
      </c>
      <c r="AJ6882">
        <v>106.37038186871</v>
      </c>
      <c r="AK6882">
        <v>17.3213094464748</v>
      </c>
      <c r="AL6882">
        <v>80.827335884229896</v>
      </c>
      <c r="AM6882">
        <v>90.650360487792099</v>
      </c>
      <c r="AN6882">
        <v>0.99999996466608498</v>
      </c>
    </row>
    <row r="6883" spans="1:40" x14ac:dyDescent="0.25">
      <c r="A6883" t="str">
        <f>"20190303162050094"</f>
        <v>20190303162050094</v>
      </c>
      <c r="B6883" t="str">
        <f>"1551601250089019"</f>
        <v>1551601250089019</v>
      </c>
      <c r="C6883" t="s">
        <v>40</v>
      </c>
      <c r="D6883">
        <v>4.3096750000000004</v>
      </c>
      <c r="E6883">
        <v>0.4220352</v>
      </c>
      <c r="F6883" t="s">
        <v>41</v>
      </c>
      <c r="G6883">
        <v>-390.15499999999997</v>
      </c>
      <c r="H6883" s="1">
        <v>-4.4109000000000004E-6</v>
      </c>
      <c r="I6883">
        <v>138.4598</v>
      </c>
      <c r="J6883">
        <v>-373.47710000000001</v>
      </c>
      <c r="K6883">
        <v>1.1213439999999999</v>
      </c>
      <c r="L6883">
        <v>142.7167</v>
      </c>
      <c r="M6883">
        <v>-0.9992588</v>
      </c>
      <c r="N6883">
        <v>-1.2173990000000001E-2</v>
      </c>
      <c r="O6883">
        <v>3.6520860000000002E-2</v>
      </c>
      <c r="P6883">
        <v>-0.98886410000000002</v>
      </c>
      <c r="Q6883">
        <v>0.1467977</v>
      </c>
      <c r="R6883">
        <v>2.445696E-2</v>
      </c>
      <c r="S6883">
        <v>-3.084015</v>
      </c>
      <c r="T6883">
        <v>-0.20424210000000001</v>
      </c>
      <c r="U6883">
        <v>-0.77365109999999904</v>
      </c>
      <c r="V6883">
        <v>-1.167501E-2</v>
      </c>
      <c r="W6883">
        <v>0.15882829999999901</v>
      </c>
      <c r="X6883">
        <v>0.98723720000000004</v>
      </c>
      <c r="Y6883">
        <v>-0.27784789999999998</v>
      </c>
      <c r="Z6883">
        <v>-1.271426E-2</v>
      </c>
      <c r="AA6883">
        <v>0.96054099999999998</v>
      </c>
      <c r="AB6883">
        <v>26</v>
      </c>
      <c r="AC6883">
        <v>-16.677899999999902</v>
      </c>
      <c r="AD6883">
        <v>-1.1213484109</v>
      </c>
      <c r="AE6883">
        <v>-4.2568999999999999</v>
      </c>
      <c r="AF6883">
        <v>-4.8426433263492497</v>
      </c>
      <c r="AG6883">
        <v>-1.1213484109</v>
      </c>
      <c r="AH6883">
        <v>16.441515349029999</v>
      </c>
      <c r="AI6883">
        <v>93.743153064533402</v>
      </c>
      <c r="AJ6883">
        <v>106.41167994843499</v>
      </c>
      <c r="AK6883">
        <v>17.176496837750499</v>
      </c>
      <c r="AL6883">
        <v>80.861106995106994</v>
      </c>
      <c r="AM6883">
        <v>90.677544988692006</v>
      </c>
      <c r="AN6883">
        <v>1.0000000119016099</v>
      </c>
    </row>
    <row r="6884" spans="1:40" x14ac:dyDescent="0.25">
      <c r="A6884" t="str">
        <f>"20190303162050117"</f>
        <v>20190303162050117</v>
      </c>
      <c r="B6884" t="str">
        <f>"1551601250109515"</f>
        <v>1551601250109515</v>
      </c>
      <c r="C6884" t="s">
        <v>40</v>
      </c>
      <c r="D6884">
        <v>4.3162070000000003</v>
      </c>
      <c r="E6884">
        <v>0.4283227</v>
      </c>
      <c r="F6884" t="s">
        <v>41</v>
      </c>
      <c r="G6884">
        <v>-395.13819999999998</v>
      </c>
      <c r="H6884" s="1">
        <v>-2.1996059999999998E-6</v>
      </c>
      <c r="I6884">
        <v>138.87440000000001</v>
      </c>
      <c r="J6884">
        <v>-373.73669999999998</v>
      </c>
      <c r="K6884">
        <v>1.1213470000000001</v>
      </c>
      <c r="L6884">
        <v>142.72620000000001</v>
      </c>
      <c r="M6884">
        <v>-0.99925989999999998</v>
      </c>
      <c r="N6884">
        <v>-1.2173710000000001E-2</v>
      </c>
      <c r="O6884">
        <v>3.649144E-2</v>
      </c>
      <c r="P6884">
        <v>-0.98895440000000001</v>
      </c>
      <c r="Q6884">
        <v>0.1462657</v>
      </c>
      <c r="R6884">
        <v>2.3993319999999999E-2</v>
      </c>
      <c r="S6884">
        <v>-3.070862</v>
      </c>
      <c r="T6884">
        <v>-0.1589718</v>
      </c>
      <c r="U6884">
        <v>-0.54470830000000003</v>
      </c>
      <c r="V6884">
        <v>-1.2115259999999999E-2</v>
      </c>
      <c r="W6884">
        <v>0.15829670000000001</v>
      </c>
      <c r="X6884">
        <v>0.98731729999999995</v>
      </c>
      <c r="Y6884">
        <v>-0.2101034</v>
      </c>
      <c r="Z6884">
        <v>-8.1166160000000001E-3</v>
      </c>
      <c r="AA6884">
        <v>0.97764549999999995</v>
      </c>
      <c r="AB6884">
        <v>26</v>
      </c>
      <c r="AC6884">
        <v>-21.401499999999999</v>
      </c>
      <c r="AD6884">
        <v>-1.1213491996060001</v>
      </c>
      <c r="AE6884">
        <v>-3.8517999999999901</v>
      </c>
      <c r="AF6884">
        <v>-4.6179834754474403</v>
      </c>
      <c r="AG6884">
        <v>-1.1213491996060001</v>
      </c>
      <c r="AH6884">
        <v>21.190326608593399</v>
      </c>
      <c r="AI6884">
        <v>92.959809358469798</v>
      </c>
      <c r="AJ6884">
        <v>102.294179603833</v>
      </c>
      <c r="AK6884">
        <v>21.716655755106999</v>
      </c>
      <c r="AL6884">
        <v>80.891955938325694</v>
      </c>
      <c r="AM6884">
        <v>90.703034807769399</v>
      </c>
      <c r="AN6884">
        <v>1.00000003781752</v>
      </c>
    </row>
    <row r="6885" spans="1:40" x14ac:dyDescent="0.25">
      <c r="A6885" t="str">
        <f>"20190303162050139"</f>
        <v>20190303162050139</v>
      </c>
      <c r="B6885" t="str">
        <f>"1551601250129035"</f>
        <v>1551601250129035</v>
      </c>
      <c r="C6885" t="s">
        <v>40</v>
      </c>
      <c r="D6885">
        <v>4.3404379999999998</v>
      </c>
      <c r="E6885">
        <v>0.43129390000000001</v>
      </c>
      <c r="F6885" t="s">
        <v>41</v>
      </c>
      <c r="G6885">
        <v>-395.01089999999999</v>
      </c>
      <c r="H6885" s="1">
        <v>-2.1803979999999999E-6</v>
      </c>
      <c r="I6885">
        <v>139.29050000000001</v>
      </c>
      <c r="J6885">
        <v>-373.99290000000002</v>
      </c>
      <c r="K6885">
        <v>1.1213550000000001</v>
      </c>
      <c r="L6885">
        <v>142.7355</v>
      </c>
      <c r="M6885">
        <v>-0.99926150000000002</v>
      </c>
      <c r="N6885">
        <v>-1.2173430000000001E-2</v>
      </c>
      <c r="O6885">
        <v>3.6448800000000003E-2</v>
      </c>
      <c r="P6885">
        <v>-0.98894950000000004</v>
      </c>
      <c r="Q6885">
        <v>0.14638709999999999</v>
      </c>
      <c r="R6885">
        <v>2.345798E-2</v>
      </c>
      <c r="S6885">
        <v>-3.0694889999999999</v>
      </c>
      <c r="T6885">
        <v>-0.16179079999999901</v>
      </c>
      <c r="U6885">
        <v>-0.495697</v>
      </c>
      <c r="V6885">
        <v>-1.26117E-2</v>
      </c>
      <c r="W6885">
        <v>0.1584169</v>
      </c>
      <c r="X6885">
        <v>0.98729180000000005</v>
      </c>
      <c r="Y6885">
        <v>-0.19495000000000001</v>
      </c>
      <c r="Z6885">
        <v>-7.7648069999999899E-3</v>
      </c>
      <c r="AA6885">
        <v>0.98078240000000005</v>
      </c>
      <c r="AB6885">
        <v>26</v>
      </c>
      <c r="AC6885">
        <v>-21.017999999999901</v>
      </c>
      <c r="AD6885">
        <v>-1.12135718039799</v>
      </c>
      <c r="AE6885">
        <v>-3.4449999999999901</v>
      </c>
      <c r="AF6885">
        <v>-4.1972134534949097</v>
      </c>
      <c r="AG6885">
        <v>-1.12135718039799</v>
      </c>
      <c r="AH6885">
        <v>20.820741646402599</v>
      </c>
      <c r="AI6885">
        <v>93.022160939803499</v>
      </c>
      <c r="AJ6885">
        <v>101.39739666940601</v>
      </c>
      <c r="AK6885">
        <v>21.269163721370699</v>
      </c>
      <c r="AL6885">
        <v>80.884980938236893</v>
      </c>
      <c r="AM6885">
        <v>90.731858486856694</v>
      </c>
      <c r="AN6885">
        <v>1.00000003376486</v>
      </c>
    </row>
    <row r="6886" spans="1:40" x14ac:dyDescent="0.25">
      <c r="A6886" t="str">
        <f>"20190303162050161"</f>
        <v>20190303162050161</v>
      </c>
      <c r="B6886" t="str">
        <f>"1551601250149530"</f>
        <v>1551601250149530</v>
      </c>
      <c r="C6886" t="s">
        <v>40</v>
      </c>
      <c r="D6886">
        <v>4.4207450000000001</v>
      </c>
      <c r="E6886">
        <v>0.4323611</v>
      </c>
      <c r="F6886" t="s">
        <v>41</v>
      </c>
      <c r="G6886">
        <v>-394.79390000000001</v>
      </c>
      <c r="H6886" s="1">
        <v>-2.2316700000000002E-6</v>
      </c>
      <c r="I6886">
        <v>139.52619999999999</v>
      </c>
      <c r="J6886">
        <v>-374.24869999999999</v>
      </c>
      <c r="K6886">
        <v>1.1213649999999999</v>
      </c>
      <c r="L6886">
        <v>142.74469999999999</v>
      </c>
      <c r="M6886">
        <v>-0.99926380000000004</v>
      </c>
      <c r="N6886">
        <v>-1.2173140000000001E-2</v>
      </c>
      <c r="O6886">
        <v>3.6386189999999999E-2</v>
      </c>
      <c r="P6886">
        <v>-0.98903099999999999</v>
      </c>
      <c r="Q6886">
        <v>0.1459578</v>
      </c>
      <c r="R6886">
        <v>2.2682399999999998E-2</v>
      </c>
      <c r="S6886">
        <v>-3.0692439999999999</v>
      </c>
      <c r="T6886">
        <v>-0.1654592</v>
      </c>
      <c r="U6886">
        <v>-0.473526</v>
      </c>
      <c r="V6886">
        <v>-1.333291E-2</v>
      </c>
      <c r="W6886">
        <v>0.15798789999999999</v>
      </c>
      <c r="X6886">
        <v>0.98735110000000004</v>
      </c>
      <c r="Y6886">
        <v>-0.18798000000000001</v>
      </c>
      <c r="Z6886">
        <v>-7.6951989999999998E-3</v>
      </c>
      <c r="AA6886">
        <v>0.98214270000000004</v>
      </c>
      <c r="AB6886">
        <v>26</v>
      </c>
      <c r="AC6886">
        <v>-20.545200000000001</v>
      </c>
      <c r="AD6886">
        <v>-1.1213672316700001</v>
      </c>
      <c r="AE6886">
        <v>-3.2185000000000001</v>
      </c>
      <c r="AF6886">
        <v>-3.9524926830772702</v>
      </c>
      <c r="AG6886">
        <v>-1.1213672316700001</v>
      </c>
      <c r="AH6886">
        <v>20.355288857302899</v>
      </c>
      <c r="AI6886">
        <v>93.095520113650693</v>
      </c>
      <c r="AJ6886">
        <v>100.988676620742</v>
      </c>
      <c r="AK6886">
        <v>20.765775866609999</v>
      </c>
      <c r="AL6886">
        <v>80.909874638330706</v>
      </c>
      <c r="AM6886">
        <v>90.773658978087298</v>
      </c>
      <c r="AN6886">
        <v>1.0000000688533399</v>
      </c>
    </row>
    <row r="6887" spans="1:40" x14ac:dyDescent="0.25">
      <c r="A6887" t="str">
        <f>"20190303162050183"</f>
        <v>20190303162050183</v>
      </c>
      <c r="B6887" t="str">
        <f>"1551601250179788"</f>
        <v>1551601250179788</v>
      </c>
      <c r="C6887" t="s">
        <v>40</v>
      </c>
      <c r="D6887">
        <v>4.3494199999999896</v>
      </c>
      <c r="E6887">
        <v>0.4334633</v>
      </c>
      <c r="F6887" t="s">
        <v>41</v>
      </c>
      <c r="G6887">
        <v>-394.10860000000002</v>
      </c>
      <c r="H6887" s="1">
        <v>-2.537943E-6</v>
      </c>
      <c r="I6887">
        <v>139.72219999999999</v>
      </c>
      <c r="J6887">
        <v>-374.50580000000002</v>
      </c>
      <c r="K6887">
        <v>1.121381</v>
      </c>
      <c r="L6887">
        <v>142.75399999999999</v>
      </c>
      <c r="M6887">
        <v>-0.99926700000000002</v>
      </c>
      <c r="N6887">
        <v>-1.2172860000000001E-2</v>
      </c>
      <c r="O6887">
        <v>3.6294890000000003E-2</v>
      </c>
      <c r="P6887">
        <v>-0.98923419999999895</v>
      </c>
      <c r="Q6887">
        <v>0.14470629999999901</v>
      </c>
      <c r="R6887">
        <v>2.1817139999999999E-2</v>
      </c>
      <c r="S6887">
        <v>-3.06955</v>
      </c>
      <c r="T6887">
        <v>-0.17331969999999999</v>
      </c>
      <c r="U6887">
        <v>-0.4671478</v>
      </c>
      <c r="V6887">
        <v>-1.4121999999999999E-2</v>
      </c>
      <c r="W6887">
        <v>0.15673770000000001</v>
      </c>
      <c r="X6887">
        <v>0.98753930000000001</v>
      </c>
      <c r="Y6887">
        <v>-0.1858524</v>
      </c>
      <c r="Z6887">
        <v>-7.9499600000000007E-3</v>
      </c>
      <c r="AA6887">
        <v>0.98254549999999996</v>
      </c>
      <c r="AB6887">
        <v>26</v>
      </c>
      <c r="AC6887">
        <v>-19.602799999999998</v>
      </c>
      <c r="AD6887">
        <v>-1.1213835379429999</v>
      </c>
      <c r="AE6887">
        <v>-3.0318000000000001</v>
      </c>
      <c r="AF6887">
        <v>-3.72941710169132</v>
      </c>
      <c r="AG6887">
        <v>-1.1213835379429999</v>
      </c>
      <c r="AH6887">
        <v>19.4177761550736</v>
      </c>
      <c r="AI6887">
        <v>93.245984569096805</v>
      </c>
      <c r="AJ6887">
        <v>100.87195184754999</v>
      </c>
      <c r="AK6887">
        <v>19.804446060571902</v>
      </c>
      <c r="AL6887">
        <v>80.982408948174395</v>
      </c>
      <c r="AM6887">
        <v>90.819284711520396</v>
      </c>
      <c r="AN6887">
        <v>1.0000000032648899</v>
      </c>
    </row>
    <row r="6888" spans="1:40" x14ac:dyDescent="0.25">
      <c r="A6888" t="str">
        <f>"20190303162050207"</f>
        <v>20190303162050207</v>
      </c>
      <c r="B6888" t="str">
        <f>"1551601250199307"</f>
        <v>1551601250199307</v>
      </c>
      <c r="C6888" t="s">
        <v>40</v>
      </c>
      <c r="D6888">
        <v>4.35501</v>
      </c>
      <c r="E6888">
        <v>0.4338514</v>
      </c>
      <c r="F6888" t="s">
        <v>41</v>
      </c>
      <c r="G6888">
        <v>-393.77789999999999</v>
      </c>
      <c r="H6888" s="1">
        <v>-2.716379E-6</v>
      </c>
      <c r="I6888">
        <v>139.8597</v>
      </c>
      <c r="J6888">
        <v>-374.76769999999999</v>
      </c>
      <c r="K6888">
        <v>1.1214040000000001</v>
      </c>
      <c r="L6888">
        <v>142.76339999999999</v>
      </c>
      <c r="M6888">
        <v>-0.99927189999999999</v>
      </c>
      <c r="N6888">
        <v>-1.217261E-2</v>
      </c>
      <c r="O6888">
        <v>3.6161449999999998E-2</v>
      </c>
      <c r="P6888">
        <v>-0.98933970000000004</v>
      </c>
      <c r="Q6888">
        <v>0.1441482</v>
      </c>
      <c r="R6888">
        <v>2.0701310000000001E-2</v>
      </c>
      <c r="S6888">
        <v>-3.0689700000000002</v>
      </c>
      <c r="T6888">
        <v>-0.1785746</v>
      </c>
      <c r="U6888">
        <v>-0.46089170000000002</v>
      </c>
      <c r="V6888">
        <v>-1.511883E-2</v>
      </c>
      <c r="W6888">
        <v>0.1561786</v>
      </c>
      <c r="X6888">
        <v>0.98761310000000002</v>
      </c>
      <c r="Y6888">
        <v>-0.18377189999999999</v>
      </c>
      <c r="Z6888">
        <v>-8.0927450000000001E-3</v>
      </c>
      <c r="AA6888">
        <v>0.98293560000000002</v>
      </c>
      <c r="AB6888">
        <v>26</v>
      </c>
      <c r="AC6888">
        <v>-19.010200000000001</v>
      </c>
      <c r="AD6888">
        <v>-1.121406716379</v>
      </c>
      <c r="AE6888">
        <v>-2.9036999999999802</v>
      </c>
      <c r="AF6888">
        <v>-3.5771240198554701</v>
      </c>
      <c r="AG6888">
        <v>-1.121406716379</v>
      </c>
      <c r="AH6888">
        <v>18.8287287479471</v>
      </c>
      <c r="AI6888">
        <v>93.348655556090307</v>
      </c>
      <c r="AJ6888">
        <v>100.75698483730601</v>
      </c>
      <c r="AK6888">
        <v>19.1982914745229</v>
      </c>
      <c r="AL6888">
        <v>81.014842282624699</v>
      </c>
      <c r="AM6888">
        <v>90.877041314923403</v>
      </c>
      <c r="AN6888">
        <v>0.99999998470506901</v>
      </c>
    </row>
    <row r="6889" spans="1:40" x14ac:dyDescent="0.25">
      <c r="A6889" t="str">
        <f>"20190303162050228"</f>
        <v>20190303162050228</v>
      </c>
      <c r="B6889" t="str">
        <f>"1551601250219802"</f>
        <v>1551601250219802</v>
      </c>
      <c r="C6889" t="s">
        <v>40</v>
      </c>
      <c r="D6889">
        <v>4.3592199999999997</v>
      </c>
      <c r="E6889">
        <v>0.43402269999999998</v>
      </c>
      <c r="F6889" t="s">
        <v>41</v>
      </c>
      <c r="G6889">
        <v>-393.71069999999997</v>
      </c>
      <c r="H6889" s="1">
        <v>-2.7600030000000001E-6</v>
      </c>
      <c r="I6889">
        <v>139.91540000000001</v>
      </c>
      <c r="J6889">
        <v>-375.02429999999998</v>
      </c>
      <c r="K6889">
        <v>1.1214379999999999</v>
      </c>
      <c r="L6889">
        <v>142.77250000000001</v>
      </c>
      <c r="M6889">
        <v>-0.99927840000000001</v>
      </c>
      <c r="N6889">
        <v>-1.217242E-2</v>
      </c>
      <c r="O6889">
        <v>3.5980690000000003E-2</v>
      </c>
      <c r="P6889">
        <v>-0.98934319999999998</v>
      </c>
      <c r="Q6889">
        <v>0.14425560000000001</v>
      </c>
      <c r="R6889">
        <v>1.9759229999999999E-2</v>
      </c>
      <c r="S6889">
        <v>-3.0684809999999998</v>
      </c>
      <c r="T6889">
        <v>-0.18165100000000001</v>
      </c>
      <c r="U6889">
        <v>-0.46131899999999998</v>
      </c>
      <c r="V6889">
        <v>-1.5895119999999999E-2</v>
      </c>
      <c r="W6889">
        <v>0.15628420000000001</v>
      </c>
      <c r="X6889">
        <v>0.98758420000000002</v>
      </c>
      <c r="Y6889">
        <v>-0.1837377</v>
      </c>
      <c r="Z6889">
        <v>-8.2115739999999993E-3</v>
      </c>
      <c r="AA6889">
        <v>0.98294099999999995</v>
      </c>
      <c r="AB6889">
        <v>26</v>
      </c>
      <c r="AC6889">
        <v>-18.6863999999999</v>
      </c>
      <c r="AD6889">
        <v>-1.1214407600030001</v>
      </c>
      <c r="AE6889">
        <v>-2.8571</v>
      </c>
      <c r="AF6889">
        <v>-3.5152774818861601</v>
      </c>
      <c r="AG6889">
        <v>-1.1214407600030001</v>
      </c>
      <c r="AH6889">
        <v>18.506359636906001</v>
      </c>
      <c r="AI6889">
        <v>93.406974260060693</v>
      </c>
      <c r="AJ6889">
        <v>100.755185561505</v>
      </c>
      <c r="AK6889">
        <v>18.870616104498499</v>
      </c>
      <c r="AL6889">
        <v>81.008716576850702</v>
      </c>
      <c r="AM6889">
        <v>90.922093187483597</v>
      </c>
      <c r="AN6889">
        <v>0.99999997904954696</v>
      </c>
    </row>
    <row r="6890" spans="1:40" x14ac:dyDescent="0.25">
      <c r="A6890" t="str">
        <f>"20190303162050242"</f>
        <v>20190303162050242</v>
      </c>
      <c r="B6890" t="str">
        <f>"1551601250229563"</f>
        <v>1551601250229563</v>
      </c>
      <c r="C6890" t="s">
        <v>40</v>
      </c>
      <c r="D6890">
        <v>4.3875960000000003</v>
      </c>
      <c r="E6890">
        <v>0.43411450000000001</v>
      </c>
      <c r="F6890" t="s">
        <v>41</v>
      </c>
      <c r="G6890">
        <v>-393.84949999999998</v>
      </c>
      <c r="H6890" s="1">
        <v>-2.7040759999999998E-6</v>
      </c>
      <c r="I6890">
        <v>139.9289</v>
      </c>
      <c r="J6890">
        <v>-375.19200000000001</v>
      </c>
      <c r="K6890">
        <v>1.121469</v>
      </c>
      <c r="L6890">
        <v>142.7784</v>
      </c>
      <c r="M6890">
        <v>-0.99928360000000005</v>
      </c>
      <c r="N6890">
        <v>-1.217234E-2</v>
      </c>
      <c r="O6890">
        <v>3.584093E-2</v>
      </c>
      <c r="P6890">
        <v>-0.98933340000000003</v>
      </c>
      <c r="Q6890">
        <v>0.14434839999999999</v>
      </c>
      <c r="R6890">
        <v>1.9579470000000002E-2</v>
      </c>
      <c r="S6890">
        <v>-3.0681759999999998</v>
      </c>
      <c r="T6890">
        <v>-0.18277560000000001</v>
      </c>
      <c r="U6890">
        <v>-0.46343990000000002</v>
      </c>
      <c r="V6890">
        <v>-1.5944799999999999E-2</v>
      </c>
      <c r="W6890">
        <v>0.15637590000000001</v>
      </c>
      <c r="X6890">
        <v>0.98756889999999997</v>
      </c>
      <c r="Y6890">
        <v>-0.18427299999999999</v>
      </c>
      <c r="Z6890">
        <v>-8.2710459999999902E-3</v>
      </c>
      <c r="AA6890">
        <v>0.9828403</v>
      </c>
      <c r="AB6890">
        <v>26</v>
      </c>
      <c r="AC6890">
        <v>-18.657499999999999</v>
      </c>
      <c r="AD6890">
        <v>-1.1214717040760001</v>
      </c>
      <c r="AE6890">
        <v>-2.8494999999999999</v>
      </c>
      <c r="AF6890">
        <v>-3.50404888551622</v>
      </c>
      <c r="AG6890">
        <v>-1.1214717040760001</v>
      </c>
      <c r="AH6890">
        <v>18.478134630635399</v>
      </c>
      <c r="AI6890">
        <v>93.412458014392399</v>
      </c>
      <c r="AJ6890">
        <v>100.73762526659699</v>
      </c>
      <c r="AK6890">
        <v>18.840847029871501</v>
      </c>
      <c r="AL6890">
        <v>81.003397299937106</v>
      </c>
      <c r="AM6890">
        <v>90.924989006105903</v>
      </c>
      <c r="AN6890">
        <v>0.99999999549753005</v>
      </c>
    </row>
    <row r="6891" spans="1:40" x14ac:dyDescent="0.25">
      <c r="A6891" t="str">
        <f>"20190303162050263"</f>
        <v>20190303162050263</v>
      </c>
      <c r="B6891" t="str">
        <f>"1551601250259819"</f>
        <v>1551601250259819</v>
      </c>
      <c r="C6891" t="s">
        <v>40</v>
      </c>
      <c r="D6891">
        <v>4.48116</v>
      </c>
      <c r="E6891">
        <v>0.46925329999999899</v>
      </c>
      <c r="F6891" t="s">
        <v>41</v>
      </c>
      <c r="G6891">
        <v>-394.03309999999999</v>
      </c>
      <c r="H6891" s="1">
        <v>-2.6260349999999998E-6</v>
      </c>
      <c r="I6891">
        <v>139.93170000000001</v>
      </c>
      <c r="J6891">
        <v>-375.42590000000001</v>
      </c>
      <c r="K6891">
        <v>1.1215029999999999</v>
      </c>
      <c r="L6891">
        <v>142.78649999999999</v>
      </c>
      <c r="M6891">
        <v>-0.99929159999999995</v>
      </c>
      <c r="N6891">
        <v>-1.2172229999999999E-2</v>
      </c>
      <c r="O6891">
        <v>3.5611009999999998E-2</v>
      </c>
      <c r="P6891">
        <v>-0.98942819999999998</v>
      </c>
      <c r="Q6891">
        <v>0.143762</v>
      </c>
      <c r="R6891">
        <v>1.9098190000000001E-2</v>
      </c>
      <c r="S6891">
        <v>-3.0681759999999998</v>
      </c>
      <c r="T6891">
        <v>-0.18262539999999999</v>
      </c>
      <c r="U6891">
        <v>-0.46354679999999998</v>
      </c>
      <c r="V6891">
        <v>-1.62138E-2</v>
      </c>
      <c r="W6891">
        <v>0.15578910000000001</v>
      </c>
      <c r="X6891">
        <v>0.98765720000000001</v>
      </c>
      <c r="Y6891">
        <v>-0.18408169999999999</v>
      </c>
      <c r="Z6891">
        <v>-8.2471490000000005E-3</v>
      </c>
      <c r="AA6891">
        <v>0.98287639999999998</v>
      </c>
      <c r="AB6891">
        <v>26</v>
      </c>
      <c r="AC6891">
        <v>-18.607199999999899</v>
      </c>
      <c r="AD6891">
        <v>-1.121505626035</v>
      </c>
      <c r="AE6891">
        <v>-2.85479999999998</v>
      </c>
      <c r="AF6891">
        <v>-3.5032254657778199</v>
      </c>
      <c r="AG6891">
        <v>-1.121505626035</v>
      </c>
      <c r="AH6891">
        <v>18.4283196696673</v>
      </c>
      <c r="AI6891">
        <v>93.4214711340897</v>
      </c>
      <c r="AJ6891">
        <v>100.763502624842</v>
      </c>
      <c r="AK6891">
        <v>18.7918420965255</v>
      </c>
      <c r="AL6891">
        <v>81.03743511623</v>
      </c>
      <c r="AM6891">
        <v>90.940507364390896</v>
      </c>
      <c r="AN6891">
        <v>0.99999993785054297</v>
      </c>
    </row>
    <row r="6892" spans="1:40" x14ac:dyDescent="0.25">
      <c r="A6892" t="str">
        <f>"20190303162050286"</f>
        <v>20190303162050286</v>
      </c>
      <c r="B6892" t="str">
        <f>"1551601250279339"</f>
        <v>1551601250279339</v>
      </c>
      <c r="C6892" t="s">
        <v>40</v>
      </c>
      <c r="D6892">
        <v>4.4366529999999997</v>
      </c>
      <c r="E6892">
        <v>0.47943069999999999</v>
      </c>
      <c r="F6892" t="s">
        <v>41</v>
      </c>
      <c r="G6892">
        <v>-395.54169999999999</v>
      </c>
      <c r="H6892" s="1">
        <v>-2.414824E-6</v>
      </c>
      <c r="I6892">
        <v>141.5701</v>
      </c>
      <c r="J6892">
        <v>-375.68709999999999</v>
      </c>
      <c r="K6892">
        <v>1.121545</v>
      </c>
      <c r="L6892">
        <v>142.7955</v>
      </c>
      <c r="M6892">
        <v>-0.99930300000000005</v>
      </c>
      <c r="N6892">
        <v>-1.21723E-2</v>
      </c>
      <c r="O6892">
        <v>3.5287949999999998E-2</v>
      </c>
      <c r="P6892">
        <v>-0.98947510000000005</v>
      </c>
      <c r="Q6892">
        <v>0.14350450000000001</v>
      </c>
      <c r="R6892">
        <v>1.8583769999999999E-2</v>
      </c>
      <c r="S6892">
        <v>-3.0603940000000001</v>
      </c>
      <c r="T6892">
        <v>-0.1706252</v>
      </c>
      <c r="U6892">
        <v>-0.18504329999999999</v>
      </c>
      <c r="V6892">
        <v>-1.6426400000000001E-2</v>
      </c>
      <c r="W6892">
        <v>0.15553</v>
      </c>
      <c r="X6892">
        <v>0.98769459999999998</v>
      </c>
      <c r="Y6892">
        <v>-9.5329029999999995E-2</v>
      </c>
      <c r="Z6892">
        <v>-4.7696780000000003E-3</v>
      </c>
      <c r="AA6892">
        <v>0.99543440000000005</v>
      </c>
      <c r="AB6892">
        <v>26</v>
      </c>
      <c r="AC6892">
        <v>-19.854600000000001</v>
      </c>
      <c r="AD6892">
        <v>-1.1215474148240001</v>
      </c>
      <c r="AE6892">
        <v>-1.2254</v>
      </c>
      <c r="AF6892">
        <v>-1.9192159871455601</v>
      </c>
      <c r="AG6892">
        <v>-1.1215474148240001</v>
      </c>
      <c r="AH6892">
        <v>19.736249997579701</v>
      </c>
      <c r="AI6892">
        <v>93.237199157033601</v>
      </c>
      <c r="AJ6892">
        <v>95.554161373094701</v>
      </c>
      <c r="AK6892">
        <v>19.861037802088202</v>
      </c>
      <c r="AL6892">
        <v>81.052464337628507</v>
      </c>
      <c r="AM6892">
        <v>90.952801234585195</v>
      </c>
      <c r="AN6892">
        <v>1.0000000151930499</v>
      </c>
    </row>
    <row r="6893" spans="1:40" x14ac:dyDescent="0.25">
      <c r="A6893" t="str">
        <f>"20190303162050306"</f>
        <v>20190303162050306</v>
      </c>
      <c r="B6893" t="str">
        <f>"1551601250299836"</f>
        <v>1551601250299836</v>
      </c>
      <c r="C6893" t="s">
        <v>40</v>
      </c>
      <c r="D6893">
        <v>4.4511329999999996</v>
      </c>
      <c r="E6893">
        <v>0.48280810000000002</v>
      </c>
      <c r="F6893" t="s">
        <v>41</v>
      </c>
      <c r="G6893">
        <v>-396.86380000000003</v>
      </c>
      <c r="H6893" s="1">
        <v>-1.978947E-6</v>
      </c>
      <c r="I6893">
        <v>142.06370000000001</v>
      </c>
      <c r="J6893">
        <v>-375.92950000000002</v>
      </c>
      <c r="K6893">
        <v>1.1215999999999999</v>
      </c>
      <c r="L6893">
        <v>142.80359999999999</v>
      </c>
      <c r="M6893">
        <v>-0.99931630000000005</v>
      </c>
      <c r="N6893">
        <v>-1.217232E-2</v>
      </c>
      <c r="O6893">
        <v>3.4915809999999999E-2</v>
      </c>
      <c r="P6893">
        <v>-0.98954019999999998</v>
      </c>
      <c r="Q6893">
        <v>0.1431152</v>
      </c>
      <c r="R6893">
        <v>1.8131230000000002E-2</v>
      </c>
      <c r="S6893">
        <v>-3.057404</v>
      </c>
      <c r="T6893">
        <v>-0.1619245</v>
      </c>
      <c r="U6893">
        <v>-0.1056366</v>
      </c>
      <c r="V6893">
        <v>-1.6530570000000001E-2</v>
      </c>
      <c r="W6893">
        <v>0.15513950000000001</v>
      </c>
      <c r="X6893">
        <v>0.98775420000000003</v>
      </c>
      <c r="Y6893">
        <v>-6.9258699999999895E-2</v>
      </c>
      <c r="Z6893">
        <v>-3.676889E-3</v>
      </c>
      <c r="AA6893">
        <v>0.99759200000000003</v>
      </c>
      <c r="AB6893">
        <v>26</v>
      </c>
      <c r="AC6893">
        <v>-20.9343</v>
      </c>
      <c r="AD6893">
        <v>-1.121601978947</v>
      </c>
      <c r="AE6893">
        <v>-0.73989999999997702</v>
      </c>
      <c r="AF6893">
        <v>-1.46623724216282</v>
      </c>
      <c r="AG6893">
        <v>-1.121601978947</v>
      </c>
      <c r="AH6893">
        <v>20.835962022195801</v>
      </c>
      <c r="AI6893">
        <v>93.073677417993494</v>
      </c>
      <c r="AJ6893">
        <v>94.025297453908905</v>
      </c>
      <c r="AK6893">
        <v>20.917580071314799</v>
      </c>
      <c r="AL6893">
        <v>81.075112594985498</v>
      </c>
      <c r="AM6893">
        <v>90.958784569506605</v>
      </c>
      <c r="AN6893">
        <v>0.999999941911205</v>
      </c>
    </row>
    <row r="6894" spans="1:40" x14ac:dyDescent="0.25">
      <c r="A6894" t="str">
        <f>"20190303162050321"</f>
        <v>20190303162050321</v>
      </c>
      <c r="B6894" t="str">
        <f>"1551601250310571"</f>
        <v>1551601250310571</v>
      </c>
      <c r="C6894" t="s">
        <v>40</v>
      </c>
      <c r="D6894">
        <v>4.438307</v>
      </c>
      <c r="E6894">
        <v>0.48365469999999999</v>
      </c>
      <c r="F6894" t="s">
        <v>41</v>
      </c>
      <c r="G6894">
        <v>-397.2946</v>
      </c>
      <c r="H6894" s="1">
        <v>-1.84247E-6</v>
      </c>
      <c r="I6894">
        <v>142.24539999999999</v>
      </c>
      <c r="J6894">
        <v>-376.10469999999998</v>
      </c>
      <c r="K6894">
        <v>1.1216360000000001</v>
      </c>
      <c r="L6894">
        <v>142.80940000000001</v>
      </c>
      <c r="M6894">
        <v>-0.99932679999999996</v>
      </c>
      <c r="N6894">
        <v>-1.217242E-2</v>
      </c>
      <c r="O6894">
        <v>3.4611999999999997E-2</v>
      </c>
      <c r="P6894">
        <v>-0.98954739999999997</v>
      </c>
      <c r="Q6894">
        <v>0.14309939999999999</v>
      </c>
      <c r="R6894">
        <v>1.785612E-2</v>
      </c>
      <c r="S6894">
        <v>-3.0563660000000001</v>
      </c>
      <c r="T6894">
        <v>-0.16044939999999999</v>
      </c>
      <c r="U6894">
        <v>-7.9849240000000002E-2</v>
      </c>
      <c r="V6894">
        <v>-1.6518370000000001E-2</v>
      </c>
      <c r="W6894">
        <v>0.1551226</v>
      </c>
      <c r="X6894">
        <v>0.98775710000000005</v>
      </c>
      <c r="Y6894">
        <v>-6.0572920000000002E-2</v>
      </c>
      <c r="Z6894">
        <v>-3.3519700000000001E-3</v>
      </c>
      <c r="AA6894">
        <v>0.9981582</v>
      </c>
      <c r="AB6894">
        <v>26</v>
      </c>
      <c r="AC6894">
        <v>-21.189900000000002</v>
      </c>
      <c r="AD6894">
        <v>-1.12163784247</v>
      </c>
      <c r="AE6894">
        <v>-0.56400000000002104</v>
      </c>
      <c r="AF6894">
        <v>-1.29351939425921</v>
      </c>
      <c r="AG6894">
        <v>-1.12163784247</v>
      </c>
      <c r="AH6894">
        <v>21.098605421564901</v>
      </c>
      <c r="AI6894">
        <v>93.037384496474004</v>
      </c>
      <c r="AJ6894">
        <v>93.508315018759504</v>
      </c>
      <c r="AK6894">
        <v>21.1679572611027</v>
      </c>
      <c r="AL6894">
        <v>81.076093130159094</v>
      </c>
      <c r="AM6894">
        <v>90.958074280620593</v>
      </c>
      <c r="AN6894">
        <v>0.99999998308931304</v>
      </c>
    </row>
    <row r="6895" spans="1:40" x14ac:dyDescent="0.25">
      <c r="A6895" t="str">
        <f>"20190303162050339"</f>
        <v>20190303162050339</v>
      </c>
      <c r="B6895" t="str">
        <f>"1551601250329115"</f>
        <v>1551601250329115</v>
      </c>
      <c r="C6895" t="s">
        <v>40</v>
      </c>
      <c r="D6895">
        <v>4.4735310000000004</v>
      </c>
      <c r="E6895">
        <v>0.48465960000000002</v>
      </c>
      <c r="F6895" t="s">
        <v>41</v>
      </c>
      <c r="G6895">
        <v>-397.37099999999998</v>
      </c>
      <c r="H6895" s="1">
        <v>-1.8230730000000001E-6</v>
      </c>
      <c r="I6895">
        <v>142.29560000000001</v>
      </c>
      <c r="J6895">
        <v>-376.31689999999998</v>
      </c>
      <c r="K6895">
        <v>1.1216759999999999</v>
      </c>
      <c r="L6895">
        <v>142.81630000000001</v>
      </c>
      <c r="M6895">
        <v>-0.99934060000000002</v>
      </c>
      <c r="N6895">
        <v>-1.217241E-2</v>
      </c>
      <c r="O6895">
        <v>3.4207019999999998E-2</v>
      </c>
      <c r="P6895">
        <v>-0.98962439999999996</v>
      </c>
      <c r="Q6895">
        <v>0.14264250000000001</v>
      </c>
      <c r="R6895">
        <v>1.7215359999999999E-2</v>
      </c>
      <c r="S6895">
        <v>-3.0563660000000001</v>
      </c>
      <c r="T6895">
        <v>-0.16120090000000001</v>
      </c>
      <c r="U6895">
        <v>-7.3837280000000005E-2</v>
      </c>
      <c r="V6895">
        <v>-1.677534E-2</v>
      </c>
      <c r="W6895">
        <v>0.15466469999999999</v>
      </c>
      <c r="X6895">
        <v>0.98782460000000005</v>
      </c>
      <c r="Y6895">
        <v>-5.8209240000000002E-2</v>
      </c>
      <c r="Z6895">
        <v>-3.2748510000000001E-3</v>
      </c>
      <c r="AA6895">
        <v>0.99829909999999999</v>
      </c>
      <c r="AB6895">
        <v>26</v>
      </c>
      <c r="AC6895">
        <v>-21.054099999999998</v>
      </c>
      <c r="AD6895">
        <v>-1.121677823073</v>
      </c>
      <c r="AE6895">
        <v>-0.52070000000000405</v>
      </c>
      <c r="AF6895">
        <v>-1.2371373755947599</v>
      </c>
      <c r="AG6895">
        <v>-1.121677823073</v>
      </c>
      <c r="AH6895">
        <v>20.964495950693099</v>
      </c>
      <c r="AI6895">
        <v>93.057306773447905</v>
      </c>
      <c r="AJ6895">
        <v>93.377168879295198</v>
      </c>
      <c r="AK6895">
        <v>21.030900135074901</v>
      </c>
      <c r="AL6895">
        <v>81.102649621153304</v>
      </c>
      <c r="AM6895">
        <v>90.972909361990006</v>
      </c>
      <c r="AN6895">
        <v>1.00000001091168</v>
      </c>
    </row>
    <row r="6896" spans="1:40" x14ac:dyDescent="0.25">
      <c r="A6896" t="str">
        <f>"20190303162050356"</f>
        <v>20190303162050356</v>
      </c>
      <c r="B6896" t="str">
        <f>"1551601250349611"</f>
        <v>1551601250349611</v>
      </c>
      <c r="C6896" t="s">
        <v>40</v>
      </c>
      <c r="D6896">
        <v>4.5110789999999996</v>
      </c>
      <c r="E6896">
        <v>0.48546119999999998</v>
      </c>
      <c r="F6896" t="s">
        <v>41</v>
      </c>
      <c r="G6896">
        <v>-397.31659999999999</v>
      </c>
      <c r="H6896" s="1">
        <v>-1.8621670000000001E-6</v>
      </c>
      <c r="I6896">
        <v>142.35480000000001</v>
      </c>
      <c r="J6896">
        <v>-376.51069999999999</v>
      </c>
      <c r="K6896">
        <v>1.1217090000000001</v>
      </c>
      <c r="L6896">
        <v>142.82249999999999</v>
      </c>
      <c r="M6896">
        <v>-0.99935469999999904</v>
      </c>
      <c r="N6896">
        <v>-1.2172519999999999E-2</v>
      </c>
      <c r="O6896">
        <v>3.3796350000000003E-2</v>
      </c>
      <c r="P6896">
        <v>-0.98964039999999998</v>
      </c>
      <c r="Q6896">
        <v>0.14264019999999999</v>
      </c>
      <c r="R6896">
        <v>1.630827E-2</v>
      </c>
      <c r="S6896">
        <v>-3.0561219999999998</v>
      </c>
      <c r="T6896">
        <v>-0.1632401</v>
      </c>
      <c r="U6896">
        <v>-6.7153930000000001E-2</v>
      </c>
      <c r="V6896">
        <v>-1.728878E-2</v>
      </c>
      <c r="W6896">
        <v>0.15466050000000001</v>
      </c>
      <c r="X6896">
        <v>0.98781640000000004</v>
      </c>
      <c r="Y6896">
        <v>-5.5620370000000002E-2</v>
      </c>
      <c r="Z6896">
        <v>-3.215552E-3</v>
      </c>
      <c r="AA6896">
        <v>0.99844679999999997</v>
      </c>
      <c r="AB6896">
        <v>26</v>
      </c>
      <c r="AC6896">
        <v>-20.805900000000001</v>
      </c>
      <c r="AD6896">
        <v>-1.121710862167</v>
      </c>
      <c r="AE6896">
        <v>-0.46769999999997902</v>
      </c>
      <c r="AF6896">
        <v>-1.1672572329714499</v>
      </c>
      <c r="AG6896">
        <v>-1.121710862167</v>
      </c>
      <c r="AH6896">
        <v>20.7180158779774</v>
      </c>
      <c r="AI6896">
        <v>93.094174040930497</v>
      </c>
      <c r="AJ6896">
        <v>93.224646855758294</v>
      </c>
      <c r="AK6896">
        <v>20.781167114153</v>
      </c>
      <c r="AL6896">
        <v>81.102893151470198</v>
      </c>
      <c r="AM6896">
        <v>91.002689367263898</v>
      </c>
      <c r="AN6896">
        <v>1.0000000061415399</v>
      </c>
    </row>
    <row r="6897" spans="1:40" x14ac:dyDescent="0.25">
      <c r="A6897" t="str">
        <f>"20190303162050374"</f>
        <v>20190303162050374</v>
      </c>
      <c r="B6897" t="str">
        <f>"1551601250369132"</f>
        <v>1551601250369132</v>
      </c>
      <c r="C6897" t="s">
        <v>40</v>
      </c>
      <c r="D6897">
        <v>4.4898379999999998</v>
      </c>
      <c r="E6897">
        <v>0.48580519999999999</v>
      </c>
      <c r="F6897" t="s">
        <v>41</v>
      </c>
      <c r="G6897">
        <v>-397.49090000000001</v>
      </c>
      <c r="H6897" s="1">
        <v>-1.79722E-6</v>
      </c>
      <c r="I6897">
        <v>142.39179999999999</v>
      </c>
      <c r="J6897">
        <v>-376.70890000000003</v>
      </c>
      <c r="K6897">
        <v>1.1217440000000001</v>
      </c>
      <c r="L6897">
        <v>142.8287</v>
      </c>
      <c r="M6897">
        <v>-0.99936999999999998</v>
      </c>
      <c r="N6897">
        <v>-1.217267E-2</v>
      </c>
      <c r="O6897">
        <v>3.333908E-2</v>
      </c>
      <c r="P6897">
        <v>-0.98962589999999995</v>
      </c>
      <c r="Q6897">
        <v>0.14290810000000001</v>
      </c>
      <c r="R6897">
        <v>1.476626E-2</v>
      </c>
      <c r="S6897">
        <v>-3.0560299999999998</v>
      </c>
      <c r="T6897">
        <v>-0.1633916</v>
      </c>
      <c r="U6897">
        <v>-6.2728880000000001E-2</v>
      </c>
      <c r="V6897">
        <v>-1.8389249999999999E-2</v>
      </c>
      <c r="W6897">
        <v>0.1549257</v>
      </c>
      <c r="X6897">
        <v>0.98775489999999999</v>
      </c>
      <c r="Y6897">
        <v>-5.3722470000000001E-2</v>
      </c>
      <c r="Z6897">
        <v>-3.1376070000000002E-3</v>
      </c>
      <c r="AA6897">
        <v>0.99855099999999997</v>
      </c>
      <c r="AB6897">
        <v>26</v>
      </c>
      <c r="AC6897">
        <v>-20.781999999999901</v>
      </c>
      <c r="AD6897">
        <v>-1.12174579722</v>
      </c>
      <c r="AE6897">
        <v>-0.436900000000008</v>
      </c>
      <c r="AF6897">
        <v>-1.12628120106676</v>
      </c>
      <c r="AG6897">
        <v>-1.12174579722</v>
      </c>
      <c r="AH6897">
        <v>20.695608710021499</v>
      </c>
      <c r="AI6897">
        <v>93.097941432104804</v>
      </c>
      <c r="AJ6897">
        <v>93.115035971352</v>
      </c>
      <c r="AK6897">
        <v>20.756566258795701</v>
      </c>
      <c r="AL6897">
        <v>81.087512335121801</v>
      </c>
      <c r="AM6897">
        <v>91.066564903340193</v>
      </c>
      <c r="AN6897">
        <v>0.99999993975502899</v>
      </c>
    </row>
    <row r="6898" spans="1:40" x14ac:dyDescent="0.25">
      <c r="A6898" t="str">
        <f>"20190303162050389"</f>
        <v>20190303162050389</v>
      </c>
      <c r="B6898" t="str">
        <f>"1551601250379869"</f>
        <v>1551601250379869</v>
      </c>
      <c r="C6898" t="s">
        <v>40</v>
      </c>
      <c r="D6898">
        <v>4.509487</v>
      </c>
      <c r="E6898">
        <v>0.4862358</v>
      </c>
      <c r="F6898" t="s">
        <v>41</v>
      </c>
      <c r="G6898">
        <v>-397.42950000000002</v>
      </c>
      <c r="H6898" s="1">
        <v>-1.823878E-6</v>
      </c>
      <c r="I6898">
        <v>142.3929</v>
      </c>
      <c r="J6898">
        <v>-376.89280000000002</v>
      </c>
      <c r="K6898">
        <v>1.121774</v>
      </c>
      <c r="L6898">
        <v>142.83430000000001</v>
      </c>
      <c r="M6898">
        <v>-0.99938510000000003</v>
      </c>
      <c r="N6898">
        <v>-1.2172759999999999E-2</v>
      </c>
      <c r="O6898">
        <v>3.2884089999999998E-2</v>
      </c>
      <c r="P6898">
        <v>-0.98957629999999996</v>
      </c>
      <c r="Q6898">
        <v>0.14338389999999901</v>
      </c>
      <c r="R6898">
        <v>1.340849E-2</v>
      </c>
      <c r="S6898">
        <v>-3.0563349999999998</v>
      </c>
      <c r="T6898">
        <v>-0.1654602</v>
      </c>
      <c r="U6898">
        <v>-6.4270019999999997E-2</v>
      </c>
      <c r="V6898">
        <v>-1.930577E-2</v>
      </c>
      <c r="W6898">
        <v>0.15539810000000001</v>
      </c>
      <c r="X6898">
        <v>0.98766330000000002</v>
      </c>
      <c r="Y6898">
        <v>-5.3766359999999999E-2</v>
      </c>
      <c r="Z6898">
        <v>-3.1603289999999999E-3</v>
      </c>
      <c r="AA6898">
        <v>0.99854860000000001</v>
      </c>
      <c r="AB6898">
        <v>26</v>
      </c>
      <c r="AC6898">
        <v>-20.5367</v>
      </c>
      <c r="AD6898">
        <v>-1.121775823878</v>
      </c>
      <c r="AE6898">
        <v>-0.441400000000015</v>
      </c>
      <c r="AF6898">
        <v>-1.11322198037814</v>
      </c>
      <c r="AG6898">
        <v>-1.121775823878</v>
      </c>
      <c r="AH6898">
        <v>20.450087277398602</v>
      </c>
      <c r="AI6898">
        <v>93.135142452613493</v>
      </c>
      <c r="AJ6898">
        <v>93.115880619869998</v>
      </c>
      <c r="AK6898">
        <v>20.511063205739799</v>
      </c>
      <c r="AL6898">
        <v>81.060114874367699</v>
      </c>
      <c r="AM6898">
        <v>91.119813093155997</v>
      </c>
      <c r="AN6898">
        <v>1.00000003820289</v>
      </c>
    </row>
    <row r="6899" spans="1:40" x14ac:dyDescent="0.25">
      <c r="A6899" t="str">
        <f>"20190303162050407"</f>
        <v>20190303162050407</v>
      </c>
      <c r="B6899" t="str">
        <f>"1551601250399387"</f>
        <v>1551601250399387</v>
      </c>
      <c r="C6899" t="s">
        <v>40</v>
      </c>
      <c r="D6899">
        <v>4.4967119999999996</v>
      </c>
      <c r="E6899">
        <v>0.48700209999999999</v>
      </c>
      <c r="F6899" t="s">
        <v>41</v>
      </c>
      <c r="G6899">
        <v>-397.82159999999999</v>
      </c>
      <c r="H6899" s="1">
        <v>-1.655291E-6</v>
      </c>
      <c r="I6899">
        <v>142.3914</v>
      </c>
      <c r="J6899">
        <v>-377.10039999999998</v>
      </c>
      <c r="K6899">
        <v>1.1218060000000001</v>
      </c>
      <c r="L6899">
        <v>142.84059999999999</v>
      </c>
      <c r="M6899">
        <v>-0.99940280000000004</v>
      </c>
      <c r="N6899">
        <v>-1.2172880000000001E-2</v>
      </c>
      <c r="O6899">
        <v>3.2340960000000002E-2</v>
      </c>
      <c r="P6899">
        <v>-0.98955539999999997</v>
      </c>
      <c r="Q6899">
        <v>0.143765899999999</v>
      </c>
      <c r="R6899">
        <v>1.055583E-2</v>
      </c>
      <c r="S6899">
        <v>-3.056244</v>
      </c>
      <c r="T6899">
        <v>-0.16381409999999999</v>
      </c>
      <c r="U6899">
        <v>-6.4666749999999995E-2</v>
      </c>
      <c r="V6899">
        <v>-2.1629039999999999E-2</v>
      </c>
      <c r="W6899">
        <v>0.155775</v>
      </c>
      <c r="X6899">
        <v>0.98755570000000004</v>
      </c>
      <c r="Y6899">
        <v>-5.3357519999999999E-2</v>
      </c>
      <c r="Z6899">
        <v>-3.0923840000000001E-3</v>
      </c>
      <c r="AA6899">
        <v>0.99857070000000003</v>
      </c>
      <c r="AB6899">
        <v>26</v>
      </c>
      <c r="AC6899">
        <v>-20.7212</v>
      </c>
      <c r="AD6899">
        <v>-1.1218076552909999</v>
      </c>
      <c r="AE6899">
        <v>-0.44919999999999</v>
      </c>
      <c r="AF6899">
        <v>-1.11588904995112</v>
      </c>
      <c r="AG6899">
        <v>-1.1218076552909999</v>
      </c>
      <c r="AH6899">
        <v>20.6353777281292</v>
      </c>
      <c r="AI6899">
        <v>93.107194905162601</v>
      </c>
      <c r="AJ6899">
        <v>93.095340496629603</v>
      </c>
      <c r="AK6899">
        <v>20.695953101266898</v>
      </c>
      <c r="AL6899">
        <v>81.038253201543597</v>
      </c>
      <c r="AM6899">
        <v>91.254668081841004</v>
      </c>
      <c r="AN6899">
        <v>0.99999996329940499</v>
      </c>
    </row>
    <row r="6900" spans="1:40" x14ac:dyDescent="0.25">
      <c r="A6900" t="str">
        <f>"20190303162050422"</f>
        <v>20190303162050422</v>
      </c>
      <c r="B6900" t="str">
        <f>"1551601250410123"</f>
        <v>1551601250410123</v>
      </c>
      <c r="C6900" t="s">
        <v>40</v>
      </c>
      <c r="D6900">
        <v>4.5274760000000001</v>
      </c>
      <c r="E6900">
        <v>0.48731540000000001</v>
      </c>
      <c r="F6900" t="s">
        <v>41</v>
      </c>
      <c r="G6900">
        <v>-398.36200000000002</v>
      </c>
      <c r="H6900" s="1">
        <v>-1.4195910000000001E-6</v>
      </c>
      <c r="I6900">
        <v>142.37690000000001</v>
      </c>
      <c r="J6900">
        <v>-377.27510000000001</v>
      </c>
      <c r="K6900">
        <v>1.1218250000000001</v>
      </c>
      <c r="L6900">
        <v>142.84569999999999</v>
      </c>
      <c r="M6900">
        <v>-0.99941809999999998</v>
      </c>
      <c r="N6900">
        <v>-1.217296E-2</v>
      </c>
      <c r="O6900">
        <v>3.1864200000000002E-2</v>
      </c>
      <c r="P6900">
        <v>-0.9894868</v>
      </c>
      <c r="Q6900">
        <v>0.14433499999999999</v>
      </c>
      <c r="R6900">
        <v>9.1423790000000008E-3</v>
      </c>
      <c r="S6900">
        <v>-3.0557560000000001</v>
      </c>
      <c r="T6900">
        <v>-0.16122829999999999</v>
      </c>
      <c r="U6900">
        <v>-6.6619869999999998E-2</v>
      </c>
      <c r="V6900">
        <v>-2.2575390000000001E-2</v>
      </c>
      <c r="W6900">
        <v>0.15634110000000001</v>
      </c>
      <c r="X6900">
        <v>0.98744509999999996</v>
      </c>
      <c r="Y6900">
        <v>-5.3526339999999999E-2</v>
      </c>
      <c r="Z6900">
        <v>-3.0291810000000001E-3</v>
      </c>
      <c r="AA6900">
        <v>0.9985619</v>
      </c>
      <c r="AB6900">
        <v>26</v>
      </c>
      <c r="AC6900">
        <v>-21.086899999999901</v>
      </c>
      <c r="AD6900">
        <v>-1.1218264195909999</v>
      </c>
      <c r="AE6900">
        <v>-0.468799999999987</v>
      </c>
      <c r="AF6900">
        <v>-1.1373115892688801</v>
      </c>
      <c r="AG6900">
        <v>-1.1218264195909999</v>
      </c>
      <c r="AH6900">
        <v>21.001840360663</v>
      </c>
      <c r="AI6900">
        <v>93.053119119676694</v>
      </c>
      <c r="AJ6900">
        <v>93.099707782245503</v>
      </c>
      <c r="AK6900">
        <v>21.062508651667098</v>
      </c>
      <c r="AL6900">
        <v>81.005416123746897</v>
      </c>
      <c r="AM6900">
        <v>91.309692332488694</v>
      </c>
      <c r="AN6900">
        <v>1.00000000664843</v>
      </c>
    </row>
    <row r="6901" spans="1:40" x14ac:dyDescent="0.25">
      <c r="A6901" t="str">
        <f>"20190303162050442"</f>
        <v>20190303162050442</v>
      </c>
      <c r="B6901" t="str">
        <f>"1551601250429643"</f>
        <v>1551601250429643</v>
      </c>
      <c r="C6901" t="s">
        <v>40</v>
      </c>
      <c r="D6901">
        <v>4.5739280000000004</v>
      </c>
      <c r="E6901">
        <v>0.48798269999999999</v>
      </c>
      <c r="F6901" t="s">
        <v>41</v>
      </c>
      <c r="G6901">
        <v>-398.76609999999999</v>
      </c>
      <c r="H6901" s="1">
        <v>-1.243352E-6</v>
      </c>
      <c r="I6901">
        <v>142.36609999999999</v>
      </c>
      <c r="J6901">
        <v>-377.49259999999998</v>
      </c>
      <c r="K6901">
        <v>1.121848</v>
      </c>
      <c r="L6901">
        <v>142.8519</v>
      </c>
      <c r="M6901">
        <v>-0.99943749999999998</v>
      </c>
      <c r="N6901">
        <v>-1.2173079999999999E-2</v>
      </c>
      <c r="O6901">
        <v>3.1253759999999998E-2</v>
      </c>
      <c r="P6901">
        <v>-0.98956909999999998</v>
      </c>
      <c r="Q6901">
        <v>0.14392070000000001</v>
      </c>
      <c r="R6901">
        <v>6.3370800000000001E-3</v>
      </c>
      <c r="S6901">
        <v>-3.0557859999999999</v>
      </c>
      <c r="T6901">
        <v>-0.15951189999999901</v>
      </c>
      <c r="U6901">
        <v>-6.8176269999999997E-2</v>
      </c>
      <c r="V6901">
        <v>-2.478387E-2</v>
      </c>
      <c r="W6901">
        <v>0.15592339999999999</v>
      </c>
      <c r="X6901">
        <v>0.98745819999999995</v>
      </c>
      <c r="Y6901">
        <v>-5.3427700000000002E-2</v>
      </c>
      <c r="Z6901">
        <v>-2.9686949999999999E-3</v>
      </c>
      <c r="AA6901">
        <v>0.99856730000000005</v>
      </c>
      <c r="AB6901">
        <v>26</v>
      </c>
      <c r="AC6901">
        <v>-21.273499999999999</v>
      </c>
      <c r="AD6901">
        <v>-1.121849243352</v>
      </c>
      <c r="AE6901">
        <v>-0.485800000000011</v>
      </c>
      <c r="AF6901">
        <v>-1.14729976954866</v>
      </c>
      <c r="AG6901">
        <v>-1.121849243352</v>
      </c>
      <c r="AH6901">
        <v>21.189027142779</v>
      </c>
      <c r="AI6901">
        <v>93.026260398252901</v>
      </c>
      <c r="AJ6901">
        <v>93.099307310647305</v>
      </c>
      <c r="AK6901">
        <v>21.249699144774699</v>
      </c>
      <c r="AL6901">
        <v>81.029645855928607</v>
      </c>
      <c r="AM6901">
        <v>91.4377449988243</v>
      </c>
      <c r="AN6901">
        <v>1.0000000218134799</v>
      </c>
    </row>
    <row r="6902" spans="1:40" x14ac:dyDescent="0.25">
      <c r="A6902" t="str">
        <f>"20190303162050456"</f>
        <v>20190303162050456</v>
      </c>
      <c r="B6902" t="str">
        <f>"1551601250450140"</f>
        <v>1551601250450140</v>
      </c>
      <c r="C6902" t="s">
        <v>40</v>
      </c>
      <c r="D6902">
        <v>4.5568280000000003</v>
      </c>
      <c r="E6902">
        <v>0.4886144</v>
      </c>
      <c r="F6902" t="s">
        <v>41</v>
      </c>
      <c r="G6902">
        <v>-398.6934</v>
      </c>
      <c r="H6902" s="1">
        <v>-1.2724830000000001E-6</v>
      </c>
      <c r="I6902">
        <v>142.35839999999999</v>
      </c>
      <c r="J6902">
        <v>-377.67099999999999</v>
      </c>
      <c r="K6902">
        <v>1.121858</v>
      </c>
      <c r="L6902">
        <v>142.8569</v>
      </c>
      <c r="M6902">
        <v>-0.99945340000000005</v>
      </c>
      <c r="N6902">
        <v>-1.2173059999999999E-2</v>
      </c>
      <c r="O6902">
        <v>3.0740279999999998E-2</v>
      </c>
      <c r="P6902">
        <v>-0.98963369999999995</v>
      </c>
      <c r="Q6902">
        <v>0.1435216</v>
      </c>
      <c r="R6902">
        <v>5.1677800000000003E-3</v>
      </c>
      <c r="S6902">
        <v>-3.0555729999999999</v>
      </c>
      <c r="T6902">
        <v>-0.16168689999999999</v>
      </c>
      <c r="U6902">
        <v>-7.1121219999999999E-2</v>
      </c>
      <c r="V6902">
        <v>-2.5450339999999998E-2</v>
      </c>
      <c r="W6902">
        <v>0.15552299999999999</v>
      </c>
      <c r="X6902">
        <v>0.98750439999999995</v>
      </c>
      <c r="Y6902">
        <v>-5.3874659999999998E-2</v>
      </c>
      <c r="Z6902">
        <v>-3.0037150000000001E-3</v>
      </c>
      <c r="AA6902">
        <v>0.99854319999999996</v>
      </c>
      <c r="AB6902">
        <v>26</v>
      </c>
      <c r="AC6902">
        <v>-21.022400000000001</v>
      </c>
      <c r="AD6902">
        <v>-1.1218592724830001</v>
      </c>
      <c r="AE6902">
        <v>-0.49850000000000699</v>
      </c>
      <c r="AF6902">
        <v>-1.14129826261742</v>
      </c>
      <c r="AG6902">
        <v>-1.1218592724830001</v>
      </c>
      <c r="AH6902">
        <v>20.937545502494999</v>
      </c>
      <c r="AI6902">
        <v>93.0625072455517</v>
      </c>
      <c r="AJ6902">
        <v>93.120085054385001</v>
      </c>
      <c r="AK6902">
        <v>20.998617612132399</v>
      </c>
      <c r="AL6902">
        <v>81.052870497229804</v>
      </c>
      <c r="AM6902">
        <v>91.476321872939707</v>
      </c>
      <c r="AN6902">
        <v>1.00000003167723</v>
      </c>
    </row>
    <row r="6903" spans="1:40" x14ac:dyDescent="0.25">
      <c r="A6903" t="str">
        <f>"20190303162050475"</f>
        <v>20190303162050475</v>
      </c>
      <c r="B6903" t="str">
        <f>"1551601250469660"</f>
        <v>1551601250469660</v>
      </c>
      <c r="C6903" t="s">
        <v>40</v>
      </c>
      <c r="D6903">
        <v>4.5887279999999997</v>
      </c>
      <c r="E6903">
        <v>0.48898829999999999</v>
      </c>
      <c r="F6903" t="s">
        <v>41</v>
      </c>
      <c r="G6903">
        <v>-398.33539999999999</v>
      </c>
      <c r="H6903" s="1">
        <v>-1.4336929999999999E-6</v>
      </c>
      <c r="I6903">
        <v>142.3871</v>
      </c>
      <c r="J6903">
        <v>-377.87779999999998</v>
      </c>
      <c r="K6903">
        <v>1.121861</v>
      </c>
      <c r="L6903">
        <v>142.86269999999999</v>
      </c>
      <c r="M6903">
        <v>-0.99947180000000002</v>
      </c>
      <c r="N6903">
        <v>-1.217293E-2</v>
      </c>
      <c r="O6903">
        <v>3.01348E-2</v>
      </c>
      <c r="P6903">
        <v>-0.98968849999999997</v>
      </c>
      <c r="Q6903">
        <v>0.14320179999999999</v>
      </c>
      <c r="R6903">
        <v>3.2269809999999999E-3</v>
      </c>
      <c r="S6903">
        <v>-3.055847</v>
      </c>
      <c r="T6903">
        <v>-0.16590070000000001</v>
      </c>
      <c r="U6903">
        <v>-6.9473270000000004E-2</v>
      </c>
      <c r="V6903">
        <v>-2.6795579999999999E-2</v>
      </c>
      <c r="W6903">
        <v>0.155200799999999</v>
      </c>
      <c r="X6903">
        <v>0.98751949999999999</v>
      </c>
      <c r="Y6903">
        <v>-5.2725849999999998E-2</v>
      </c>
      <c r="Z6903">
        <v>-3.019201E-3</v>
      </c>
      <c r="AA6903">
        <v>0.99860450000000001</v>
      </c>
      <c r="AB6903">
        <v>26</v>
      </c>
      <c r="AC6903">
        <v>-20.457599999999999</v>
      </c>
      <c r="AD6903">
        <v>-1.1218624336929901</v>
      </c>
      <c r="AE6903">
        <v>-0.47559999999998498</v>
      </c>
      <c r="AF6903">
        <v>-1.08864322913536</v>
      </c>
      <c r="AG6903">
        <v>-1.1218624336929901</v>
      </c>
      <c r="AH6903">
        <v>20.3727416298671</v>
      </c>
      <c r="AI6903">
        <v>93.147432596469201</v>
      </c>
      <c r="AJ6903">
        <v>93.058763329173601</v>
      </c>
      <c r="AK6903">
        <v>20.432628830324099</v>
      </c>
      <c r="AL6903">
        <v>81.071558068221606</v>
      </c>
      <c r="AM6903">
        <v>91.554295403636203</v>
      </c>
      <c r="AN6903">
        <v>1.00000002715421</v>
      </c>
    </row>
    <row r="6904" spans="1:40" x14ac:dyDescent="0.25">
      <c r="A6904" t="str">
        <f>"20190303162050497"</f>
        <v>20190303162050497</v>
      </c>
      <c r="B6904" t="str">
        <f>"1551601250489180"</f>
        <v>1551601250489180</v>
      </c>
      <c r="C6904" t="s">
        <v>40</v>
      </c>
      <c r="D6904">
        <v>4.5881339999999904</v>
      </c>
      <c r="E6904">
        <v>0.48948570000000002</v>
      </c>
      <c r="F6904" t="s">
        <v>41</v>
      </c>
      <c r="G6904">
        <v>-398.40129999999999</v>
      </c>
      <c r="H6904" s="1">
        <v>-1.4035640000000001E-6</v>
      </c>
      <c r="I6904">
        <v>142.3801</v>
      </c>
      <c r="J6904">
        <v>-378.13670000000002</v>
      </c>
      <c r="K6904">
        <v>1.1218760000000001</v>
      </c>
      <c r="L6904">
        <v>142.86959999999999</v>
      </c>
      <c r="M6904">
        <v>-0.99949460000000001</v>
      </c>
      <c r="N6904">
        <v>-1.2172850000000001E-2</v>
      </c>
      <c r="O6904">
        <v>2.9363609999999998E-2</v>
      </c>
      <c r="P6904">
        <v>-0.9896334</v>
      </c>
      <c r="Q6904">
        <v>0.14361489999999999</v>
      </c>
      <c r="R6904">
        <v>-5.5010900000000001E-4</v>
      </c>
      <c r="S6904">
        <v>-3.0556640000000002</v>
      </c>
      <c r="T6904">
        <v>-0.16703029999999999</v>
      </c>
      <c r="U6904">
        <v>-7.1838379999999993E-2</v>
      </c>
      <c r="V6904">
        <v>-2.9810960000000001E-2</v>
      </c>
      <c r="W6904">
        <v>0.155607299999999</v>
      </c>
      <c r="X6904">
        <v>0.9873691</v>
      </c>
      <c r="Y6904">
        <v>-5.2728249999999997E-2</v>
      </c>
      <c r="Z6904">
        <v>-3.0075649999999998E-3</v>
      </c>
      <c r="AA6904">
        <v>0.99860439999999995</v>
      </c>
      <c r="AB6904">
        <v>26</v>
      </c>
      <c r="AC6904">
        <v>-20.264599999999898</v>
      </c>
      <c r="AD6904">
        <v>-1.121877403564</v>
      </c>
      <c r="AE6904">
        <v>-0.489499999999992</v>
      </c>
      <c r="AF6904">
        <v>-1.0810634326286399</v>
      </c>
      <c r="AG6904">
        <v>-1.121877403564</v>
      </c>
      <c r="AH6904">
        <v>20.1796735883499</v>
      </c>
      <c r="AI6904">
        <v>93.177503457818403</v>
      </c>
      <c r="AJ6904">
        <v>93.066512369921796</v>
      </c>
      <c r="AK6904">
        <v>20.239726608488098</v>
      </c>
      <c r="AL6904">
        <v>81.047980942316798</v>
      </c>
      <c r="AM6904">
        <v>91.729366932304302</v>
      </c>
      <c r="AN6904">
        <v>1.0000000323921101</v>
      </c>
    </row>
    <row r="6905" spans="1:40" x14ac:dyDescent="0.25">
      <c r="A6905" t="str">
        <f>"20190303162050518"</f>
        <v>20190303162050518</v>
      </c>
      <c r="B6905" t="str">
        <f>"1551601250509676"</f>
        <v>1551601250509676</v>
      </c>
      <c r="C6905" t="s">
        <v>40</v>
      </c>
      <c r="D6905">
        <v>4.5864449999999897</v>
      </c>
      <c r="E6905">
        <v>0.48988080000000001</v>
      </c>
      <c r="F6905" t="s">
        <v>41</v>
      </c>
      <c r="G6905">
        <v>-398.64179999999999</v>
      </c>
      <c r="H6905" s="1">
        <v>-1.2900229999999999E-6</v>
      </c>
      <c r="I6905">
        <v>142.34110000000001</v>
      </c>
      <c r="J6905">
        <v>-378.38319999999999</v>
      </c>
      <c r="K6905">
        <v>1.121891</v>
      </c>
      <c r="L6905">
        <v>142.8759</v>
      </c>
      <c r="M6905">
        <v>-0.99951639999999997</v>
      </c>
      <c r="N6905">
        <v>-1.2172850000000001E-2</v>
      </c>
      <c r="O6905">
        <v>2.8616630000000001E-2</v>
      </c>
      <c r="P6905">
        <v>-0.9895545</v>
      </c>
      <c r="Q6905">
        <v>0.14411879999999999</v>
      </c>
      <c r="R6905">
        <v>-3.4525239999999998E-3</v>
      </c>
      <c r="S6905">
        <v>-3.055634</v>
      </c>
      <c r="T6905">
        <v>-0.1671801</v>
      </c>
      <c r="U6905">
        <v>-7.8735349999999996E-2</v>
      </c>
      <c r="V6905">
        <v>-3.1974549999999997E-2</v>
      </c>
      <c r="W6905">
        <v>0.1561061</v>
      </c>
      <c r="X6905">
        <v>0.98722259999999995</v>
      </c>
      <c r="Y6905">
        <v>-5.4232429999999998E-2</v>
      </c>
      <c r="Z6905">
        <v>-3.028808E-3</v>
      </c>
      <c r="AA6905">
        <v>0.99852379999999996</v>
      </c>
      <c r="AB6905">
        <v>26</v>
      </c>
      <c r="AC6905">
        <v>-20.258600000000001</v>
      </c>
      <c r="AD6905">
        <v>-1.1218922900229999</v>
      </c>
      <c r="AE6905">
        <v>-0.53479999999998995</v>
      </c>
      <c r="AF6905">
        <v>-1.11095204765341</v>
      </c>
      <c r="AG6905">
        <v>-1.1218922900229999</v>
      </c>
      <c r="AH6905">
        <v>20.1731730453537</v>
      </c>
      <c r="AI6905">
        <v>93.178309859067397</v>
      </c>
      <c r="AJ6905">
        <v>93.152138322545795</v>
      </c>
      <c r="AK6905">
        <v>20.234865146088399</v>
      </c>
      <c r="AL6905">
        <v>81.019047713549895</v>
      </c>
      <c r="AM6905">
        <v>91.855069538804301</v>
      </c>
      <c r="AN6905">
        <v>0.99999997412783503</v>
      </c>
    </row>
    <row r="6906" spans="1:40" x14ac:dyDescent="0.25">
      <c r="A6906" t="str">
        <f>"20190303162050540"</f>
        <v>20190303162050540</v>
      </c>
      <c r="B6906" t="str">
        <f>"1551601250529195"</f>
        <v>1551601250529195</v>
      </c>
      <c r="C6906" t="s">
        <v>40</v>
      </c>
      <c r="D6906">
        <v>4.5693289999999998</v>
      </c>
      <c r="E6906">
        <v>0.49037910000000001</v>
      </c>
      <c r="F6906" t="s">
        <v>41</v>
      </c>
      <c r="G6906">
        <v>-398.89389999999997</v>
      </c>
      <c r="H6906" s="1">
        <v>-1.173008E-6</v>
      </c>
      <c r="I6906">
        <v>142.30779999999999</v>
      </c>
      <c r="J6906">
        <v>-378.64620000000002</v>
      </c>
      <c r="K6906">
        <v>1.121896</v>
      </c>
      <c r="L6906">
        <v>142.88249999999999</v>
      </c>
      <c r="M6906">
        <v>-0.99953930000000002</v>
      </c>
      <c r="N6906">
        <v>-1.217268E-2</v>
      </c>
      <c r="O6906">
        <v>2.7804479999999999E-2</v>
      </c>
      <c r="P6906">
        <v>-0.98955099999999996</v>
      </c>
      <c r="Q6906">
        <v>0.1440679</v>
      </c>
      <c r="R6906">
        <v>-5.7582619999999897E-3</v>
      </c>
      <c r="S6906">
        <v>-3.0556950000000001</v>
      </c>
      <c r="T6906">
        <v>-0.16714000000000001</v>
      </c>
      <c r="U6906">
        <v>-8.4625240000000004E-2</v>
      </c>
      <c r="V6906">
        <v>-3.3480250000000003E-2</v>
      </c>
      <c r="W6906">
        <v>0.15605150000000001</v>
      </c>
      <c r="X6906">
        <v>0.98718139999999999</v>
      </c>
      <c r="Y6906">
        <v>-5.5342629999999997E-2</v>
      </c>
      <c r="Z6906">
        <v>-3.0305729999999999E-3</v>
      </c>
      <c r="AA6906">
        <v>0.99846279999999998</v>
      </c>
      <c r="AB6906">
        <v>26</v>
      </c>
      <c r="AC6906">
        <v>-20.247699999999899</v>
      </c>
      <c r="AD6906">
        <v>-1.1218971730079901</v>
      </c>
      <c r="AE6906">
        <v>-0.57470000000000698</v>
      </c>
      <c r="AF6906">
        <v>-1.1340174772978999</v>
      </c>
      <c r="AG6906">
        <v>-1.1218971730079901</v>
      </c>
      <c r="AH6906">
        <v>20.162040306267599</v>
      </c>
      <c r="AI6906">
        <v>93.179868224351907</v>
      </c>
      <c r="AJ6906">
        <v>93.219219293691296</v>
      </c>
      <c r="AK6906">
        <v>20.225046803831599</v>
      </c>
      <c r="AL6906">
        <v>81.022215629548796</v>
      </c>
      <c r="AM6906">
        <v>91.942441424349596</v>
      </c>
      <c r="AN6906">
        <v>1.0000000571491301</v>
      </c>
    </row>
    <row r="6907" spans="1:40" x14ac:dyDescent="0.25">
      <c r="A6907" t="str">
        <f>"20190303162050563"</f>
        <v>20190303162050563</v>
      </c>
      <c r="B6907" t="str">
        <f>"1551601250559452"</f>
        <v>1551601250559452</v>
      </c>
      <c r="C6907" t="s">
        <v>40</v>
      </c>
      <c r="D6907">
        <v>4.5729199999999999</v>
      </c>
      <c r="E6907">
        <v>0.49107790000000001</v>
      </c>
      <c r="F6907" t="s">
        <v>41</v>
      </c>
      <c r="G6907">
        <v>-398.79610000000002</v>
      </c>
      <c r="H6907" s="1">
        <v>-1.2142130000000001E-6</v>
      </c>
      <c r="I6907">
        <v>142.30500000000001</v>
      </c>
      <c r="J6907">
        <v>-378.90140000000002</v>
      </c>
      <c r="K6907">
        <v>1.12191</v>
      </c>
      <c r="L6907">
        <v>142.8887</v>
      </c>
      <c r="M6907">
        <v>-0.99956149999999999</v>
      </c>
      <c r="N6907">
        <v>-1.217263E-2</v>
      </c>
      <c r="O6907">
        <v>2.699638E-2</v>
      </c>
      <c r="P6907">
        <v>-0.98963080000000003</v>
      </c>
      <c r="Q6907">
        <v>0.14339569999999999</v>
      </c>
      <c r="R6907">
        <v>-8.293211E-3</v>
      </c>
      <c r="S6907">
        <v>-3.055939</v>
      </c>
      <c r="T6907">
        <v>-0.17014749999999901</v>
      </c>
      <c r="U6907">
        <v>-8.7570190000000006E-2</v>
      </c>
      <c r="V6907">
        <v>-3.52219E-2</v>
      </c>
      <c r="W6907">
        <v>0.1553765</v>
      </c>
      <c r="X6907">
        <v>0.98722719999999997</v>
      </c>
      <c r="Y6907">
        <v>-5.5490640000000001E-2</v>
      </c>
      <c r="Z6907">
        <v>-3.0546890000000002E-3</v>
      </c>
      <c r="AA6907">
        <v>0.99845450000000002</v>
      </c>
      <c r="AB6907">
        <v>26</v>
      </c>
      <c r="AC6907">
        <v>-19.8947</v>
      </c>
      <c r="AD6907">
        <v>-1.1219112142130001</v>
      </c>
      <c r="AE6907">
        <v>-0.583699999999993</v>
      </c>
      <c r="AF6907">
        <v>-1.11706253203501</v>
      </c>
      <c r="AG6907">
        <v>-1.1219112142130001</v>
      </c>
      <c r="AH6907">
        <v>19.808749148992099</v>
      </c>
      <c r="AI6907">
        <v>93.236475733844102</v>
      </c>
      <c r="AJ6907">
        <v>93.227626940122505</v>
      </c>
      <c r="AK6907">
        <v>19.871916271984102</v>
      </c>
      <c r="AL6907">
        <v>81.061367261179598</v>
      </c>
      <c r="AM6907">
        <v>92.043309392324105</v>
      </c>
      <c r="AN6907">
        <v>0.99999999170584897</v>
      </c>
    </row>
    <row r="6908" spans="1:40" x14ac:dyDescent="0.25">
      <c r="A6908" t="str">
        <f>"20190303162050585"</f>
        <v>20190303162050585</v>
      </c>
      <c r="B6908" t="str">
        <f>"1551601250578971"</f>
        <v>1551601250578971</v>
      </c>
      <c r="C6908" t="s">
        <v>40</v>
      </c>
      <c r="D6908">
        <v>4.5572179999999998</v>
      </c>
      <c r="E6908">
        <v>0.49144979999999999</v>
      </c>
      <c r="F6908" t="s">
        <v>41</v>
      </c>
      <c r="G6908">
        <v>-398.4941</v>
      </c>
      <c r="H6908" s="1">
        <v>-1.3453949999999999E-6</v>
      </c>
      <c r="I6908">
        <v>142.31100000000001</v>
      </c>
      <c r="J6908">
        <v>-379.16250000000002</v>
      </c>
      <c r="K6908">
        <v>1.1219330000000001</v>
      </c>
      <c r="L6908">
        <v>142.8948</v>
      </c>
      <c r="M6908">
        <v>-0.99958429999999998</v>
      </c>
      <c r="N6908">
        <v>-1.2172820000000001E-2</v>
      </c>
      <c r="O6908">
        <v>2.6138310000000001E-2</v>
      </c>
      <c r="P6908">
        <v>-0.98967930000000004</v>
      </c>
      <c r="Q6908">
        <v>0.14288020000000001</v>
      </c>
      <c r="R6908">
        <v>-1.0975E-2</v>
      </c>
      <c r="S6908">
        <v>-3.0560299999999998</v>
      </c>
      <c r="T6908">
        <v>-0.1749936</v>
      </c>
      <c r="U6908">
        <v>-9.0087890000000004E-2</v>
      </c>
      <c r="V6908">
        <v>-3.7061749999999997E-2</v>
      </c>
      <c r="W6908">
        <v>0.15485639999999901</v>
      </c>
      <c r="X6908">
        <v>0.98724160000000005</v>
      </c>
      <c r="Y6908">
        <v>-5.5448129999999998E-2</v>
      </c>
      <c r="Z6908">
        <v>-3.1010669999999999E-3</v>
      </c>
      <c r="AA6908">
        <v>0.99845680000000003</v>
      </c>
      <c r="AB6908">
        <v>26</v>
      </c>
      <c r="AC6908">
        <v>-19.331599999999899</v>
      </c>
      <c r="AD6908">
        <v>-1.1219343453949999</v>
      </c>
      <c r="AE6908">
        <v>-0.58379999999999599</v>
      </c>
      <c r="AF6908">
        <v>-1.0852811355585099</v>
      </c>
      <c r="AG6908">
        <v>-1.1219343453949999</v>
      </c>
      <c r="AH6908">
        <v>19.244971374650799</v>
      </c>
      <c r="AI6908">
        <v>93.331145613964594</v>
      </c>
      <c r="AJ6908">
        <v>93.227660697189293</v>
      </c>
      <c r="AK6908">
        <v>19.3081717163927</v>
      </c>
      <c r="AL6908">
        <v>81.091532223896706</v>
      </c>
      <c r="AM6908">
        <v>92.149914625348998</v>
      </c>
      <c r="AN6908">
        <v>1.00000002735229</v>
      </c>
    </row>
    <row r="6909" spans="1:40" x14ac:dyDescent="0.25">
      <c r="A6909" t="str">
        <f>"20190303162050608"</f>
        <v>20190303162050608</v>
      </c>
      <c r="B6909" t="str">
        <f>"1551601250599468"</f>
        <v>1551601250599468</v>
      </c>
      <c r="C6909" t="s">
        <v>40</v>
      </c>
      <c r="D6909">
        <v>4.5809509999999998</v>
      </c>
      <c r="E6909">
        <v>0.49204870000000001</v>
      </c>
      <c r="F6909" t="s">
        <v>41</v>
      </c>
      <c r="G6909">
        <v>-398.48340000000002</v>
      </c>
      <c r="H6909" s="1">
        <v>-1.3452029999999999E-6</v>
      </c>
      <c r="I6909">
        <v>142.29310000000001</v>
      </c>
      <c r="J6909">
        <v>-379.41840000000002</v>
      </c>
      <c r="K6909">
        <v>1.1219589999999999</v>
      </c>
      <c r="L6909">
        <v>142.90049999999999</v>
      </c>
      <c r="M6909">
        <v>-0.99960700000000002</v>
      </c>
      <c r="N6909">
        <v>-1.217303E-2</v>
      </c>
      <c r="O6909">
        <v>2.5254800000000001E-2</v>
      </c>
      <c r="P6909">
        <v>-0.98959209999999997</v>
      </c>
      <c r="Q6909">
        <v>0.14324819999999999</v>
      </c>
      <c r="R6909">
        <v>-1.368312E-2</v>
      </c>
      <c r="S6909">
        <v>-3.055847</v>
      </c>
      <c r="T6909">
        <v>-0.17744799999999999</v>
      </c>
      <c r="U6909">
        <v>-9.5138550000000002E-2</v>
      </c>
      <c r="V6909">
        <v>-3.8902930000000002E-2</v>
      </c>
      <c r="W6909">
        <v>0.1552182</v>
      </c>
      <c r="X6909">
        <v>0.98711389999999999</v>
      </c>
      <c r="Y6909">
        <v>-5.621168E-2</v>
      </c>
      <c r="Z6909">
        <v>-3.130659E-3</v>
      </c>
      <c r="AA6909">
        <v>0.99841400000000002</v>
      </c>
      <c r="AB6909">
        <v>26</v>
      </c>
      <c r="AC6909">
        <v>-19.065000000000001</v>
      </c>
      <c r="AD6909">
        <v>-1.121960345203</v>
      </c>
      <c r="AE6909">
        <v>-0.60739999999998395</v>
      </c>
      <c r="AF6909">
        <v>-1.0849709501406599</v>
      </c>
      <c r="AG6909">
        <v>-1.121960345203</v>
      </c>
      <c r="AH6909">
        <v>18.977919089969902</v>
      </c>
      <c r="AI6909">
        <v>93.377842678387907</v>
      </c>
      <c r="AJ6909">
        <v>93.272048008303301</v>
      </c>
      <c r="AK6909">
        <v>19.041989653507901</v>
      </c>
      <c r="AL6909">
        <v>81.070548553744203</v>
      </c>
      <c r="AM6909">
        <v>92.256903436156094</v>
      </c>
      <c r="AN6909">
        <v>0.99999998957351699</v>
      </c>
    </row>
    <row r="6910" spans="1:40" x14ac:dyDescent="0.25">
      <c r="A6910" t="str">
        <f>"20190303162050630"</f>
        <v>20190303162050630</v>
      </c>
      <c r="B6910" t="str">
        <f>"1551601250618988"</f>
        <v>1551601250618988</v>
      </c>
      <c r="C6910" t="s">
        <v>40</v>
      </c>
      <c r="D6910">
        <v>4.5136719999999997</v>
      </c>
      <c r="E6910">
        <v>0.50138000000000005</v>
      </c>
      <c r="F6910" t="s">
        <v>41</v>
      </c>
      <c r="G6910">
        <v>-398.71129999999999</v>
      </c>
      <c r="H6910" s="1">
        <v>-1.2430560000000001E-6</v>
      </c>
      <c r="I6910">
        <v>142.2766</v>
      </c>
      <c r="J6910">
        <v>-379.6737</v>
      </c>
      <c r="K6910">
        <v>1.1219950000000001</v>
      </c>
      <c r="L6910">
        <v>142.9058</v>
      </c>
      <c r="M6910">
        <v>-0.99962980000000001</v>
      </c>
      <c r="N6910">
        <v>-1.217351E-2</v>
      </c>
      <c r="O6910">
        <v>2.43349E-2</v>
      </c>
      <c r="P6910">
        <v>-0.98952669999999998</v>
      </c>
      <c r="Q6910">
        <v>0.14344579999999901</v>
      </c>
      <c r="R6910">
        <v>-1.6129770000000002E-2</v>
      </c>
      <c r="S6910">
        <v>-3.055939</v>
      </c>
      <c r="T6910">
        <v>-0.1777154</v>
      </c>
      <c r="U6910">
        <v>-9.8800659999999998E-2</v>
      </c>
      <c r="V6910">
        <v>-4.0448339999999999E-2</v>
      </c>
      <c r="W6910">
        <v>0.1554104</v>
      </c>
      <c r="X6910">
        <v>0.98702160000000005</v>
      </c>
      <c r="Y6910">
        <v>-5.6487210000000003E-2</v>
      </c>
      <c r="Z6910">
        <v>-3.1026209999999999E-3</v>
      </c>
      <c r="AA6910">
        <v>0.99839849999999997</v>
      </c>
      <c r="AB6910">
        <v>26</v>
      </c>
      <c r="AC6910">
        <v>-19.037600000000001</v>
      </c>
      <c r="AD6910">
        <v>-1.121996243056</v>
      </c>
      <c r="AE6910">
        <v>-0.62919999999999698</v>
      </c>
      <c r="AF6910">
        <v>-1.0885491662854501</v>
      </c>
      <c r="AG6910">
        <v>-1.121996243056</v>
      </c>
      <c r="AH6910">
        <v>18.950895998529301</v>
      </c>
      <c r="AI6910">
        <v>93.382704014525203</v>
      </c>
      <c r="AJ6910">
        <v>93.287486486858796</v>
      </c>
      <c r="AK6910">
        <v>19.015264237026201</v>
      </c>
      <c r="AL6910">
        <v>81.059401573218196</v>
      </c>
      <c r="AM6910">
        <v>92.346679289316796</v>
      </c>
      <c r="AN6910">
        <v>1.0000000497517301</v>
      </c>
    </row>
    <row r="6911" spans="1:40" x14ac:dyDescent="0.25">
      <c r="A6911" t="str">
        <f>"20190303162050653"</f>
        <v>20190303162050653</v>
      </c>
      <c r="B6911" t="str">
        <f>"1551601250649244"</f>
        <v>1551601250649244</v>
      </c>
      <c r="C6911" t="s">
        <v>40</v>
      </c>
      <c r="D6911">
        <v>4.548692</v>
      </c>
      <c r="E6911">
        <v>0.50173270000000003</v>
      </c>
      <c r="F6911" t="s">
        <v>41</v>
      </c>
      <c r="G6911">
        <v>-398.44810000000001</v>
      </c>
      <c r="H6911" s="1">
        <v>-1.4712889999999999E-6</v>
      </c>
      <c r="I6911">
        <v>142.71010000000001</v>
      </c>
      <c r="J6911">
        <v>-379.93299999999999</v>
      </c>
      <c r="K6911">
        <v>1.1220300000000001</v>
      </c>
      <c r="L6911">
        <v>142.911</v>
      </c>
      <c r="M6911">
        <v>-0.99965329999999997</v>
      </c>
      <c r="N6911">
        <v>-1.2174040000000001E-2</v>
      </c>
      <c r="O6911">
        <v>2.3347010000000001E-2</v>
      </c>
      <c r="P6911">
        <v>-0.98942280000000005</v>
      </c>
      <c r="Q6911">
        <v>0.14380229999999999</v>
      </c>
      <c r="R6911">
        <v>-1.907244E-2</v>
      </c>
      <c r="S6911">
        <v>-3.0577390000000002</v>
      </c>
      <c r="T6911">
        <v>-0.18273690000000001</v>
      </c>
      <c r="U6911">
        <v>-3.1860350000000003E-2</v>
      </c>
      <c r="V6911">
        <v>-4.2423559999999999E-2</v>
      </c>
      <c r="W6911">
        <v>0.15575899999999901</v>
      </c>
      <c r="X6911">
        <v>0.98688370000000003</v>
      </c>
      <c r="Y6911">
        <v>-3.3664930000000003E-2</v>
      </c>
      <c r="Z6911">
        <v>-2.3200640000000002E-3</v>
      </c>
      <c r="AA6911">
        <v>0.9994305</v>
      </c>
      <c r="AB6911">
        <v>26</v>
      </c>
      <c r="AC6911">
        <v>-18.515099999999901</v>
      </c>
      <c r="AD6911">
        <v>-1.1220314712889901</v>
      </c>
      <c r="AE6911">
        <v>-0.20089999999999</v>
      </c>
      <c r="AF6911">
        <v>-0.63083304886477398</v>
      </c>
      <c r="AG6911">
        <v>-1.1220314712889901</v>
      </c>
      <c r="AH6911">
        <v>18.437657943029201</v>
      </c>
      <c r="AI6911">
        <v>93.480432631612203</v>
      </c>
      <c r="AJ6911">
        <v>91.959575211928197</v>
      </c>
      <c r="AK6911">
        <v>18.4825359564712</v>
      </c>
      <c r="AL6911">
        <v>81.039181873088694</v>
      </c>
      <c r="AM6911">
        <v>92.461480881779295</v>
      </c>
      <c r="AN6911">
        <v>1.00000003092488</v>
      </c>
    </row>
    <row r="6912" spans="1:40" x14ac:dyDescent="0.25">
      <c r="A6912" t="str">
        <f>"20190303162050676"</f>
        <v>20190303162050676</v>
      </c>
      <c r="B6912" t="str">
        <f>"1551601250669739"</f>
        <v>1551601250669739</v>
      </c>
      <c r="C6912" t="s">
        <v>40</v>
      </c>
      <c r="D6912">
        <v>4.5832870000000003</v>
      </c>
      <c r="E6912">
        <v>0.49658180000000002</v>
      </c>
      <c r="F6912" t="s">
        <v>41</v>
      </c>
      <c r="G6912">
        <v>-398.74979999999999</v>
      </c>
      <c r="H6912" s="1">
        <v>-1.3330880000000001E-6</v>
      </c>
      <c r="I6912">
        <v>142.6771</v>
      </c>
      <c r="J6912">
        <v>-380.20139999999998</v>
      </c>
      <c r="K6912">
        <v>1.122079</v>
      </c>
      <c r="L6912">
        <v>142.916</v>
      </c>
      <c r="M6912">
        <v>-0.99967830000000002</v>
      </c>
      <c r="N6912">
        <v>-1.2174590000000001E-2</v>
      </c>
      <c r="O6912">
        <v>2.2248540000000001E-2</v>
      </c>
      <c r="P6912">
        <v>-0.98935119999999999</v>
      </c>
      <c r="Q6912">
        <v>0.1438392</v>
      </c>
      <c r="R6912">
        <v>-2.223928E-2</v>
      </c>
      <c r="S6912">
        <v>-3.0578609999999999</v>
      </c>
      <c r="T6912">
        <v>-0.18233820000000001</v>
      </c>
      <c r="U6912">
        <v>-3.7994380000000001E-2</v>
      </c>
      <c r="V6912">
        <v>-4.4519250000000003E-2</v>
      </c>
      <c r="W6912">
        <v>0.1557867</v>
      </c>
      <c r="X6912">
        <v>0.98678699999999997</v>
      </c>
      <c r="Y6912">
        <v>-3.4570599999999903E-2</v>
      </c>
      <c r="Z6912">
        <v>-2.2951569999999999E-3</v>
      </c>
      <c r="AA6912">
        <v>0.99939960000000005</v>
      </c>
      <c r="AB6912">
        <v>26</v>
      </c>
      <c r="AC6912">
        <v>-18.548400000000001</v>
      </c>
      <c r="AD6912">
        <v>-1.122080333088</v>
      </c>
      <c r="AE6912">
        <v>-0.238900000000001</v>
      </c>
      <c r="AF6912">
        <v>-0.64917095929144597</v>
      </c>
      <c r="AG6912">
        <v>-1.122080333088</v>
      </c>
      <c r="AH6912">
        <v>18.4709073392128</v>
      </c>
      <c r="AI6912">
        <v>93.474222011364702</v>
      </c>
      <c r="AJ6912">
        <v>92.012865547430494</v>
      </c>
      <c r="AK6912">
        <v>18.516341570139399</v>
      </c>
      <c r="AL6912">
        <v>81.037575081148702</v>
      </c>
      <c r="AM6912">
        <v>92.583168036355204</v>
      </c>
      <c r="AN6912">
        <v>1.0000000214432201</v>
      </c>
    </row>
    <row r="6913" spans="1:40" x14ac:dyDescent="0.25">
      <c r="A6913" t="str">
        <f>"20190303162050698"</f>
        <v>20190303162050698</v>
      </c>
      <c r="B6913" t="str">
        <f>"1551601250689260"</f>
        <v>1551601250689260</v>
      </c>
      <c r="C6913" t="s">
        <v>40</v>
      </c>
      <c r="D6913">
        <v>4.5537049999999999</v>
      </c>
      <c r="E6913">
        <v>0.4486329</v>
      </c>
      <c r="F6913" t="s">
        <v>41</v>
      </c>
      <c r="G6913">
        <v>-398.42779999999999</v>
      </c>
      <c r="H6913" s="1">
        <v>-1.3941469999999999E-6</v>
      </c>
      <c r="I6913">
        <v>142.38740000000001</v>
      </c>
      <c r="J6913">
        <v>-380.45549999999997</v>
      </c>
      <c r="K6913">
        <v>1.122147</v>
      </c>
      <c r="L6913">
        <v>142.9204</v>
      </c>
      <c r="M6913">
        <v>-0.99970289999999995</v>
      </c>
      <c r="N6913">
        <v>-1.2175480000000001E-2</v>
      </c>
      <c r="O6913">
        <v>2.1112499999999999E-2</v>
      </c>
      <c r="P6913">
        <v>-0.98929820000000002</v>
      </c>
      <c r="Q6913">
        <v>0.14364730000000001</v>
      </c>
      <c r="R6913">
        <v>-2.5582000000000001E-2</v>
      </c>
      <c r="S6913">
        <v>-3.057617</v>
      </c>
      <c r="T6913">
        <v>-0.1882374</v>
      </c>
      <c r="U6913">
        <v>-8.8668819999999995E-2</v>
      </c>
      <c r="V6913">
        <v>-4.6759450000000001E-2</v>
      </c>
      <c r="W6913">
        <v>0.15558420000000001</v>
      </c>
      <c r="X6913">
        <v>0.98671529999999996</v>
      </c>
      <c r="Y6913">
        <v>-4.9946940000000002E-2</v>
      </c>
      <c r="Z6913">
        <v>-2.8816340000000001E-3</v>
      </c>
      <c r="AA6913">
        <v>0.99874770000000002</v>
      </c>
      <c r="AB6913">
        <v>26</v>
      </c>
      <c r="AC6913">
        <v>-17.972300000000001</v>
      </c>
      <c r="AD6913">
        <v>-1.1221483941470001</v>
      </c>
      <c r="AE6913">
        <v>-0.53299999999998704</v>
      </c>
      <c r="AF6913">
        <v>-0.90880967020178205</v>
      </c>
      <c r="AG6913">
        <v>-1.1221483941470001</v>
      </c>
      <c r="AH6913">
        <v>17.887367757085201</v>
      </c>
      <c r="AI6913">
        <v>93.585084274311399</v>
      </c>
      <c r="AJ6913">
        <v>92.908545481408296</v>
      </c>
      <c r="AK6913">
        <v>17.945558707166299</v>
      </c>
      <c r="AL6913">
        <v>81.049320377612503</v>
      </c>
      <c r="AM6913">
        <v>92.713159835144296</v>
      </c>
      <c r="AN6913">
        <v>0.99999998635401599</v>
      </c>
    </row>
    <row r="6914" spans="1:40" x14ac:dyDescent="0.25">
      <c r="A6914" t="str">
        <f>"20190303162050720"</f>
        <v>20190303162050720</v>
      </c>
      <c r="B6914" t="str">
        <f>"1551601250709756"</f>
        <v>1551601250709756</v>
      </c>
      <c r="C6914" t="s">
        <v>40</v>
      </c>
      <c r="D6914">
        <v>4.607202</v>
      </c>
      <c r="E6914">
        <v>0.44244719999999998</v>
      </c>
      <c r="F6914" t="s">
        <v>50</v>
      </c>
      <c r="G6914">
        <v>-407.13159999999999</v>
      </c>
      <c r="H6914" s="1">
        <v>-8.5140220000000003E-6</v>
      </c>
      <c r="I6914">
        <v>138.69239999999999</v>
      </c>
      <c r="J6914">
        <v>-380.70870000000002</v>
      </c>
      <c r="K6914">
        <v>1.122233</v>
      </c>
      <c r="L6914">
        <v>142.92439999999999</v>
      </c>
      <c r="M6914">
        <v>-0.99972870000000003</v>
      </c>
      <c r="N6914">
        <v>-1.217707E-2</v>
      </c>
      <c r="O6914">
        <v>1.9858110000000002E-2</v>
      </c>
      <c r="P6914">
        <v>-0.98923329999999998</v>
      </c>
      <c r="Q6914">
        <v>0.14347969999999999</v>
      </c>
      <c r="R6914">
        <v>-2.8829259999999999E-2</v>
      </c>
      <c r="S6914">
        <v>-3.0385740000000001</v>
      </c>
      <c r="T6914">
        <v>-0.12782069999999901</v>
      </c>
      <c r="U6914">
        <v>-0.48159790000000002</v>
      </c>
      <c r="V6914">
        <v>-4.8794740000000003E-2</v>
      </c>
      <c r="W6914">
        <v>0.15540379999999901</v>
      </c>
      <c r="X6914">
        <v>0.9866452</v>
      </c>
      <c r="Y6914">
        <v>-0.1759192</v>
      </c>
      <c r="Z6914">
        <v>-5.3438670000000004E-3</v>
      </c>
      <c r="AA6914">
        <v>0.98439010000000005</v>
      </c>
      <c r="AB6914">
        <v>26</v>
      </c>
      <c r="AC6914">
        <v>-26.422899999999899</v>
      </c>
      <c r="AD6914">
        <v>-1.1222415140219999</v>
      </c>
      <c r="AE6914">
        <v>-4.2319999999999904</v>
      </c>
      <c r="AF6914">
        <v>-4.7475631785750299</v>
      </c>
      <c r="AG6914">
        <v>-1.1222415140219999</v>
      </c>
      <c r="AH6914">
        <v>26.287409340852001</v>
      </c>
      <c r="AI6914">
        <v>92.405670809217199</v>
      </c>
      <c r="AJ6914">
        <v>100.237389249637</v>
      </c>
      <c r="AK6914">
        <v>26.736242668031501</v>
      </c>
      <c r="AL6914">
        <v>81.059784010642701</v>
      </c>
      <c r="AM6914">
        <v>92.831267734052304</v>
      </c>
      <c r="AN6914">
        <v>1.00000000919457</v>
      </c>
    </row>
    <row r="6915" spans="1:40" x14ac:dyDescent="0.25">
      <c r="A6915" t="str">
        <f>"20190303162050742"</f>
        <v>20190303162050742</v>
      </c>
      <c r="B6915" t="str">
        <f>"1551601250729276"</f>
        <v>1551601250729276</v>
      </c>
      <c r="C6915" t="s">
        <v>40</v>
      </c>
      <c r="D6915">
        <v>4.5804939999999998</v>
      </c>
      <c r="E6915">
        <v>0.44016159999999999</v>
      </c>
      <c r="F6915" t="s">
        <v>50</v>
      </c>
      <c r="G6915">
        <v>-404.5933</v>
      </c>
      <c r="H6915" s="1">
        <v>-6.9630439999999996E-6</v>
      </c>
      <c r="I6915">
        <v>138.67420000000001</v>
      </c>
      <c r="J6915">
        <v>-380.97019999999998</v>
      </c>
      <c r="K6915">
        <v>1.12235</v>
      </c>
      <c r="L6915">
        <v>142.9281</v>
      </c>
      <c r="M6915">
        <v>-0.99975650000000005</v>
      </c>
      <c r="N6915">
        <v>-1.2179499999999999E-2</v>
      </c>
      <c r="O6915">
        <v>1.8403650000000001E-2</v>
      </c>
      <c r="P6915">
        <v>-0.98921079999999995</v>
      </c>
      <c r="Q6915">
        <v>0.1429868</v>
      </c>
      <c r="R6915">
        <v>-3.1892820000000002E-2</v>
      </c>
      <c r="S6915">
        <v>-3.0376280000000002</v>
      </c>
      <c r="T6915">
        <v>-0.14272609999999999</v>
      </c>
      <c r="U6915">
        <v>-0.54054259999999998</v>
      </c>
      <c r="V6915">
        <v>-5.0459959999999998E-2</v>
      </c>
      <c r="W6915">
        <v>0.15489600000000001</v>
      </c>
      <c r="X6915">
        <v>0.98664130000000005</v>
      </c>
      <c r="Y6915">
        <v>-0.19301499999999999</v>
      </c>
      <c r="Z6915">
        <v>-6.3177429999999998E-3</v>
      </c>
      <c r="AA6915">
        <v>0.98117549999999998</v>
      </c>
      <c r="AB6915">
        <v>26</v>
      </c>
      <c r="AC6915">
        <v>-23.623100000000001</v>
      </c>
      <c r="AD6915">
        <v>-1.122356963044</v>
      </c>
      <c r="AE6915">
        <v>-4.2538999999999803</v>
      </c>
      <c r="AF6915">
        <v>-4.6777355512497003</v>
      </c>
      <c r="AG6915">
        <v>-1.122356963044</v>
      </c>
      <c r="AH6915">
        <v>23.4894482081374</v>
      </c>
      <c r="AI6915">
        <v>92.682983942392497</v>
      </c>
      <c r="AJ6915">
        <v>101.262655328561</v>
      </c>
      <c r="AK6915">
        <v>23.976969620089299</v>
      </c>
      <c r="AL6915">
        <v>81.089235503372805</v>
      </c>
      <c r="AM6915">
        <v>92.927736734090004</v>
      </c>
      <c r="AN6915">
        <v>1.0000000166224401</v>
      </c>
    </row>
    <row r="6916" spans="1:40" x14ac:dyDescent="0.25">
      <c r="A6916" t="str">
        <f>"20190303162050764"</f>
        <v>20190303162050764</v>
      </c>
      <c r="B6916" t="str">
        <f>"1551601250759531"</f>
        <v>1551601250759531</v>
      </c>
      <c r="C6916" t="s">
        <v>40</v>
      </c>
      <c r="D6916">
        <v>4.5052059999999896</v>
      </c>
      <c r="E6916">
        <v>0.43982060000000001</v>
      </c>
      <c r="F6916" t="s">
        <v>50</v>
      </c>
      <c r="G6916">
        <v>-403.29820000000001</v>
      </c>
      <c r="H6916" s="1">
        <v>-6.4256599999999999E-6</v>
      </c>
      <c r="I6916">
        <v>138.75319999999999</v>
      </c>
      <c r="J6916">
        <v>-381.22590000000002</v>
      </c>
      <c r="K6916">
        <v>1.122474</v>
      </c>
      <c r="L6916">
        <v>142.93100000000001</v>
      </c>
      <c r="M6916">
        <v>-0.99978480000000003</v>
      </c>
      <c r="N6916">
        <v>-1.218261E-2</v>
      </c>
      <c r="O6916">
        <v>1.679373E-2</v>
      </c>
      <c r="P6916">
        <v>-0.98917460000000001</v>
      </c>
      <c r="Q6916">
        <v>0.1424522</v>
      </c>
      <c r="R6916">
        <v>-3.5227660000000001E-2</v>
      </c>
      <c r="S6916">
        <v>-3.0364689999999999</v>
      </c>
      <c r="T6916">
        <v>-0.15263299999999999</v>
      </c>
      <c r="U6916">
        <v>-0.56774899999999995</v>
      </c>
      <c r="V6916">
        <v>-5.2250350000000001E-2</v>
      </c>
      <c r="W6916">
        <v>0.15434389999999901</v>
      </c>
      <c r="X6916">
        <v>0.98663460000000003</v>
      </c>
      <c r="Y6916">
        <v>-0.19995779999999999</v>
      </c>
      <c r="Z6916">
        <v>-6.8428259999999998E-3</v>
      </c>
      <c r="AA6916">
        <v>0.9797806</v>
      </c>
      <c r="AB6916">
        <v>26</v>
      </c>
      <c r="AC6916">
        <v>-22.072299999999899</v>
      </c>
      <c r="AD6916">
        <v>-1.1224804256600001</v>
      </c>
      <c r="AE6916">
        <v>-4.1778000000000102</v>
      </c>
      <c r="AF6916">
        <v>-4.5365877427744001</v>
      </c>
      <c r="AG6916">
        <v>-1.1224804256600001</v>
      </c>
      <c r="AH6916">
        <v>21.944231435457301</v>
      </c>
      <c r="AI6916">
        <v>92.867678783834094</v>
      </c>
      <c r="AJ6916">
        <v>101.680360051348</v>
      </c>
      <c r="AK6916">
        <v>22.436351841304099</v>
      </c>
      <c r="AL6916">
        <v>81.121253279409501</v>
      </c>
      <c r="AM6916">
        <v>93.031447035627906</v>
      </c>
      <c r="AN6916">
        <v>0.99999998622974595</v>
      </c>
    </row>
    <row r="6917" spans="1:40" x14ac:dyDescent="0.25">
      <c r="A6917" t="str">
        <f>"20190303162050786"</f>
        <v>20190303162050786</v>
      </c>
      <c r="B6917" t="str">
        <f>"1551601250780027"</f>
        <v>1551601250780027</v>
      </c>
      <c r="C6917" t="s">
        <v>40</v>
      </c>
      <c r="D6917">
        <v>4.5984790000000002</v>
      </c>
      <c r="E6917">
        <v>0.43959330000000002</v>
      </c>
      <c r="F6917" t="s">
        <v>50</v>
      </c>
      <c r="G6917">
        <v>-401.70940000000002</v>
      </c>
      <c r="H6917" s="1">
        <v>-5.8459600000000002E-6</v>
      </c>
      <c r="I6917">
        <v>139.02070000000001</v>
      </c>
      <c r="J6917">
        <v>-381.47829999999999</v>
      </c>
      <c r="K6917">
        <v>1.1226160000000001</v>
      </c>
      <c r="L6917">
        <v>142.9333</v>
      </c>
      <c r="M6917">
        <v>-0.99981359999999997</v>
      </c>
      <c r="N6917">
        <v>-1.218676E-2</v>
      </c>
      <c r="O6917">
        <v>1.498119E-2</v>
      </c>
      <c r="P6917">
        <v>-0.98911550000000004</v>
      </c>
      <c r="Q6917">
        <v>0.1418527</v>
      </c>
      <c r="R6917">
        <v>-3.9095739999999997E-2</v>
      </c>
      <c r="S6917">
        <v>-3.0361630000000002</v>
      </c>
      <c r="T6917">
        <v>-0.16637929999999901</v>
      </c>
      <c r="U6917">
        <v>-0.57960509999999998</v>
      </c>
      <c r="V6917">
        <v>-5.4379700000000003E-2</v>
      </c>
      <c r="W6917">
        <v>0.15372239999999901</v>
      </c>
      <c r="X6917">
        <v>0.98661659999999995</v>
      </c>
      <c r="Y6917">
        <v>-0.2018373</v>
      </c>
      <c r="Z6917">
        <v>-7.3512909999999898E-3</v>
      </c>
      <c r="AA6917">
        <v>0.97939149999999997</v>
      </c>
      <c r="AB6917">
        <v>26</v>
      </c>
      <c r="AC6917">
        <v>-20.231100000000001</v>
      </c>
      <c r="AD6917">
        <v>-1.1226218459599999</v>
      </c>
      <c r="AE6917">
        <v>-3.9125999999999901</v>
      </c>
      <c r="AF6917">
        <v>-4.2027948929608101</v>
      </c>
      <c r="AG6917">
        <v>-1.1226218459599999</v>
      </c>
      <c r="AH6917">
        <v>20.1105191172826</v>
      </c>
      <c r="AI6917">
        <v>93.127653183807396</v>
      </c>
      <c r="AJ6917">
        <v>101.804063561616</v>
      </c>
      <c r="AK6917">
        <v>20.575634714096001</v>
      </c>
      <c r="AL6917">
        <v>81.157293029935104</v>
      </c>
      <c r="AM6917">
        <v>93.154799875052305</v>
      </c>
      <c r="AN6917">
        <v>1.0000000217147</v>
      </c>
    </row>
    <row r="6918" spans="1:40" x14ac:dyDescent="0.25">
      <c r="A6918" t="str">
        <f>"20190303162050808"</f>
        <v>20190303162050808</v>
      </c>
      <c r="B6918" t="str">
        <f>"1551601250799548"</f>
        <v>1551601250799548</v>
      </c>
      <c r="C6918" t="s">
        <v>40</v>
      </c>
      <c r="D6918">
        <v>4.6157159999999999</v>
      </c>
      <c r="E6918">
        <v>0.43994719999999998</v>
      </c>
      <c r="F6918" t="s">
        <v>50</v>
      </c>
      <c r="G6918">
        <v>-401.33319999999998</v>
      </c>
      <c r="H6918" s="1">
        <v>-5.6959120000000003E-6</v>
      </c>
      <c r="I6918">
        <v>139.05670000000001</v>
      </c>
      <c r="J6918">
        <v>-381.7321</v>
      </c>
      <c r="K6918">
        <v>1.122784</v>
      </c>
      <c r="L6918">
        <v>142.9349</v>
      </c>
      <c r="M6918">
        <v>-0.99984220000000001</v>
      </c>
      <c r="N6918">
        <v>-1.2191799999999999E-2</v>
      </c>
      <c r="O6918">
        <v>1.293242E-2</v>
      </c>
      <c r="P6918">
        <v>-0.98888370000000003</v>
      </c>
      <c r="Q6918">
        <v>0.1424764</v>
      </c>
      <c r="R6918">
        <v>-4.254049E-2</v>
      </c>
      <c r="S6918">
        <v>-3.0342099999999999</v>
      </c>
      <c r="T6918">
        <v>-0.17155809999999999</v>
      </c>
      <c r="U6918">
        <v>-0.59242249999999996</v>
      </c>
      <c r="V6918">
        <v>-5.5857219999999999E-2</v>
      </c>
      <c r="W6918">
        <v>0.15432360000000001</v>
      </c>
      <c r="X6918">
        <v>0.98644019999999999</v>
      </c>
      <c r="Y6918">
        <v>-0.20391090000000001</v>
      </c>
      <c r="Z6918">
        <v>-7.5301739999999997E-3</v>
      </c>
      <c r="AA6918">
        <v>0.97896050000000001</v>
      </c>
      <c r="AB6918">
        <v>26</v>
      </c>
      <c r="AC6918">
        <v>-19.601099999999899</v>
      </c>
      <c r="AD6918">
        <v>-1.1227896959119901</v>
      </c>
      <c r="AE6918">
        <v>-3.8781999999999899</v>
      </c>
      <c r="AF6918">
        <v>-4.1183798379273702</v>
      </c>
      <c r="AG6918">
        <v>-1.1227896959119901</v>
      </c>
      <c r="AH6918">
        <v>19.487767508789901</v>
      </c>
      <c r="AI6918">
        <v>93.226353100214595</v>
      </c>
      <c r="AJ6918">
        <v>101.93282855767799</v>
      </c>
      <c r="AK6918">
        <v>19.9498068077699</v>
      </c>
      <c r="AL6918">
        <v>81.122430927834003</v>
      </c>
      <c r="AM6918">
        <v>93.240915123139601</v>
      </c>
      <c r="AN6918">
        <v>1.0000000353595599</v>
      </c>
    </row>
    <row r="6919" spans="1:40" x14ac:dyDescent="0.25">
      <c r="A6919" t="str">
        <f>"20190303162050831"</f>
        <v>20190303162050831</v>
      </c>
      <c r="B6919" t="str">
        <f>"1551601250820044"</f>
        <v>1551601250820044</v>
      </c>
      <c r="C6919" t="s">
        <v>40</v>
      </c>
      <c r="D6919">
        <v>4.5865309999999999</v>
      </c>
      <c r="E6919">
        <v>0.44025300000000001</v>
      </c>
      <c r="F6919" t="s">
        <v>50</v>
      </c>
      <c r="G6919">
        <v>-401.483</v>
      </c>
      <c r="H6919" s="1">
        <v>-5.749809E-6</v>
      </c>
      <c r="I6919">
        <v>139.02979999999999</v>
      </c>
      <c r="J6919">
        <v>-381.99459999999999</v>
      </c>
      <c r="K6919">
        <v>1.122935</v>
      </c>
      <c r="L6919">
        <v>142.9357</v>
      </c>
      <c r="M6919">
        <v>-0.99986929999999996</v>
      </c>
      <c r="N6919">
        <v>-1.219751E-2</v>
      </c>
      <c r="O6919">
        <v>1.061082E-2</v>
      </c>
      <c r="P6919">
        <v>-0.98879740000000005</v>
      </c>
      <c r="Q6919">
        <v>0.14179129999999901</v>
      </c>
      <c r="R6919">
        <v>-4.663813E-2</v>
      </c>
      <c r="S6919">
        <v>-3.0327760000000001</v>
      </c>
      <c r="T6919">
        <v>-0.172406</v>
      </c>
      <c r="U6919">
        <v>-0.59962459999999995</v>
      </c>
      <c r="V6919">
        <v>-5.771304E-2</v>
      </c>
      <c r="W6919">
        <v>0.1536169</v>
      </c>
      <c r="X6919">
        <v>0.98644359999999998</v>
      </c>
      <c r="Y6919">
        <v>-0.2039617</v>
      </c>
      <c r="Z6919">
        <v>-7.4633719999999898E-3</v>
      </c>
      <c r="AA6919">
        <v>0.9789504</v>
      </c>
      <c r="AB6919">
        <v>26</v>
      </c>
      <c r="AC6919">
        <v>-19.488399999999999</v>
      </c>
      <c r="AD6919">
        <v>-1.122940749809</v>
      </c>
      <c r="AE6919">
        <v>-3.9058999999999999</v>
      </c>
      <c r="AF6919">
        <v>-4.0993982543597403</v>
      </c>
      <c r="AG6919">
        <v>-1.122940749809</v>
      </c>
      <c r="AH6919">
        <v>19.383981929059001</v>
      </c>
      <c r="AI6919">
        <v>93.243926528086305</v>
      </c>
      <c r="AJ6919">
        <v>101.941179697937</v>
      </c>
      <c r="AK6919">
        <v>19.844516053598099</v>
      </c>
      <c r="AL6919">
        <v>81.163409858243298</v>
      </c>
      <c r="AM6919">
        <v>93.348339849398499</v>
      </c>
      <c r="AN6919">
        <v>0.99999996146630499</v>
      </c>
    </row>
    <row r="6920" spans="1:40" x14ac:dyDescent="0.25">
      <c r="A6920" t="str">
        <f>"20190303162050853"</f>
        <v>20190303162050853</v>
      </c>
      <c r="B6920" t="str">
        <f>"1551601250849325"</f>
        <v>1551601250849325</v>
      </c>
      <c r="C6920" t="s">
        <v>40</v>
      </c>
      <c r="D6920">
        <v>4.6171879999999996</v>
      </c>
      <c r="E6920">
        <v>0.44033519999999998</v>
      </c>
      <c r="F6920" t="s">
        <v>50</v>
      </c>
      <c r="G6920">
        <v>-401.36219999999997</v>
      </c>
      <c r="H6920" s="1">
        <v>-5.7010379999999999E-6</v>
      </c>
      <c r="I6920">
        <v>139.0401</v>
      </c>
      <c r="J6920">
        <v>-382.24880000000002</v>
      </c>
      <c r="K6920">
        <v>1.1230579999999999</v>
      </c>
      <c r="L6920">
        <v>142.9358</v>
      </c>
      <c r="M6920">
        <v>-0.99989209999999995</v>
      </c>
      <c r="N6920">
        <v>-1.220251E-2</v>
      </c>
      <c r="O6920">
        <v>8.1757040000000007E-3</v>
      </c>
      <c r="P6920">
        <v>-0.98880460000000003</v>
      </c>
      <c r="Q6920">
        <v>0.14034140000000001</v>
      </c>
      <c r="R6920">
        <v>-5.0692029999999999E-2</v>
      </c>
      <c r="S6920">
        <v>-3.0304259999999998</v>
      </c>
      <c r="T6920">
        <v>-0.17570539999999901</v>
      </c>
      <c r="U6920">
        <v>-0.60954280000000005</v>
      </c>
      <c r="V6920">
        <v>-5.9403030000000002E-2</v>
      </c>
      <c r="W6920">
        <v>0.15214759999999999</v>
      </c>
      <c r="X6920">
        <v>0.98657099999999998</v>
      </c>
      <c r="Y6920">
        <v>-0.20478979999999999</v>
      </c>
      <c r="Z6920">
        <v>-7.506736E-3</v>
      </c>
      <c r="AA6920">
        <v>0.97877720000000001</v>
      </c>
      <c r="AB6920">
        <v>26</v>
      </c>
      <c r="AC6920">
        <v>-19.113399999999899</v>
      </c>
      <c r="AD6920">
        <v>-1.12306370103799</v>
      </c>
      <c r="AE6920">
        <v>-3.8957000000000002</v>
      </c>
      <c r="AF6920">
        <v>-4.0384602790731101</v>
      </c>
      <c r="AG6920">
        <v>-1.12306370103799</v>
      </c>
      <c r="AH6920">
        <v>19.017868435104301</v>
      </c>
      <c r="AI6920">
        <v>93.306019310021696</v>
      </c>
      <c r="AJ6920">
        <v>101.98872189641401</v>
      </c>
      <c r="AK6920">
        <v>19.474335760615201</v>
      </c>
      <c r="AL6920">
        <v>81.248596091825107</v>
      </c>
      <c r="AM6920">
        <v>93.445711177203407</v>
      </c>
      <c r="AN6920">
        <v>0.99999997509996996</v>
      </c>
    </row>
    <row r="6921" spans="1:40" x14ac:dyDescent="0.25">
      <c r="A6921" t="str">
        <f>"20190303162050877"</f>
        <v>20190303162050877</v>
      </c>
      <c r="B6921" t="str">
        <f>"1551601250869819"</f>
        <v>1551601250869819</v>
      </c>
      <c r="C6921" t="s">
        <v>40</v>
      </c>
      <c r="D6921">
        <v>4.6341669999999997</v>
      </c>
      <c r="E6921">
        <v>0.440494</v>
      </c>
      <c r="F6921" t="s">
        <v>50</v>
      </c>
      <c r="G6921">
        <v>-400.99549999999999</v>
      </c>
      <c r="H6921" s="1">
        <v>-5.5649349999999998E-6</v>
      </c>
      <c r="I6921">
        <v>139.0968</v>
      </c>
      <c r="J6921">
        <v>-382.5181</v>
      </c>
      <c r="K6921">
        <v>1.123181</v>
      </c>
      <c r="L6921">
        <v>142.935</v>
      </c>
      <c r="M6921">
        <v>-0.99991099999999999</v>
      </c>
      <c r="N6921">
        <v>-1.220772E-2</v>
      </c>
      <c r="O6921">
        <v>5.3964969999999897E-3</v>
      </c>
      <c r="P6921">
        <v>-0.98869249999999997</v>
      </c>
      <c r="Q6921">
        <v>0.13940659999999999</v>
      </c>
      <c r="R6921">
        <v>-5.5256670000000001E-2</v>
      </c>
      <c r="S6921">
        <v>-3.027863</v>
      </c>
      <c r="T6921">
        <v>-0.18139089999999999</v>
      </c>
      <c r="U6921">
        <v>-0.62004090000000001</v>
      </c>
      <c r="V6921">
        <v>-6.1262700000000003E-2</v>
      </c>
      <c r="W6921">
        <v>0.15119170000000001</v>
      </c>
      <c r="X6921">
        <v>0.98660429999999999</v>
      </c>
      <c r="Y6921">
        <v>-0.2054655</v>
      </c>
      <c r="Z6921">
        <v>-7.6088919999999999E-3</v>
      </c>
      <c r="AA6921">
        <v>0.97863480000000003</v>
      </c>
      <c r="AB6921">
        <v>26</v>
      </c>
      <c r="AC6921">
        <v>-18.4773999999999</v>
      </c>
      <c r="AD6921">
        <v>-1.1231865649349999</v>
      </c>
      <c r="AE6921">
        <v>-3.8382000000000001</v>
      </c>
      <c r="AF6921">
        <v>-3.9239652086722798</v>
      </c>
      <c r="AG6921">
        <v>-1.1231865649349999</v>
      </c>
      <c r="AH6921">
        <v>18.3912705904131</v>
      </c>
      <c r="AI6921">
        <v>93.418066116094707</v>
      </c>
      <c r="AJ6921">
        <v>102.044047584634</v>
      </c>
      <c r="AK6921">
        <v>18.8387336344117</v>
      </c>
      <c r="AL6921">
        <v>81.304006784046706</v>
      </c>
      <c r="AM6921">
        <v>93.5531907150216</v>
      </c>
      <c r="AN6921">
        <v>1.00000004666933</v>
      </c>
    </row>
    <row r="6922" spans="1:40" x14ac:dyDescent="0.25">
      <c r="A6922" t="str">
        <f>"20190303162050899"</f>
        <v>20190303162050899</v>
      </c>
      <c r="B6922" t="str">
        <f>"1551601250889340"</f>
        <v>1551601250889340</v>
      </c>
      <c r="C6922" t="s">
        <v>40</v>
      </c>
      <c r="D6922">
        <v>4.6415170000000003</v>
      </c>
      <c r="E6922">
        <v>0.44066080000000002</v>
      </c>
      <c r="F6922" t="s">
        <v>50</v>
      </c>
      <c r="G6922">
        <v>-400.94349999999997</v>
      </c>
      <c r="H6922" s="1">
        <v>-5.5380179999999901E-6</v>
      </c>
      <c r="I6922">
        <v>139.08860000000001</v>
      </c>
      <c r="J6922">
        <v>-382.76990000000001</v>
      </c>
      <c r="K6922">
        <v>1.1232879999999901</v>
      </c>
      <c r="L6922">
        <v>142.9333</v>
      </c>
      <c r="M6922">
        <v>-0.99992199999999998</v>
      </c>
      <c r="N6922">
        <v>-1.2213099999999999E-2</v>
      </c>
      <c r="O6922">
        <v>2.6262350000000002E-3</v>
      </c>
      <c r="P6922">
        <v>-0.98846679999999998</v>
      </c>
      <c r="Q6922">
        <v>0.1390866</v>
      </c>
      <c r="R6922">
        <v>-5.9904069999999997E-2</v>
      </c>
      <c r="S6922">
        <v>-3.0250240000000002</v>
      </c>
      <c r="T6922">
        <v>-0.1844006</v>
      </c>
      <c r="U6922">
        <v>-0.63148499999999996</v>
      </c>
      <c r="V6922">
        <v>-6.3211229999999993E-2</v>
      </c>
      <c r="W6922">
        <v>0.1508505</v>
      </c>
      <c r="X6922">
        <v>0.98653360000000001</v>
      </c>
      <c r="Y6922">
        <v>-0.2064723</v>
      </c>
      <c r="Z6922">
        <v>-7.6226339999999997E-3</v>
      </c>
      <c r="AA6922">
        <v>0.97842280000000004</v>
      </c>
      <c r="AB6922">
        <v>26</v>
      </c>
      <c r="AC6922">
        <v>-18.173599999999901</v>
      </c>
      <c r="AD6922">
        <v>-1.12329353801799</v>
      </c>
      <c r="AE6922">
        <v>-3.84469999999998</v>
      </c>
      <c r="AF6922">
        <v>-3.8782368692680902</v>
      </c>
      <c r="AG6922">
        <v>-1.12329353801799</v>
      </c>
      <c r="AH6922">
        <v>18.0972631046263</v>
      </c>
      <c r="AI6922">
        <v>93.473125425609595</v>
      </c>
      <c r="AJ6922">
        <v>102.09551963062</v>
      </c>
      <c r="AK6922">
        <v>18.542207027880199</v>
      </c>
      <c r="AL6922">
        <v>81.323782852892293</v>
      </c>
      <c r="AM6922">
        <v>93.666162549985302</v>
      </c>
      <c r="AN6922">
        <v>1.00000003843866</v>
      </c>
    </row>
    <row r="6923" spans="1:40" x14ac:dyDescent="0.25">
      <c r="A6923" t="str">
        <f>"20190303162050921"</f>
        <v>20190303162050921</v>
      </c>
      <c r="B6923" t="str">
        <f>"1551601250909836"</f>
        <v>1551601250909836</v>
      </c>
      <c r="C6923" t="s">
        <v>40</v>
      </c>
      <c r="D6923">
        <v>4.6848640000000001</v>
      </c>
      <c r="E6923">
        <v>0.44057479999999899</v>
      </c>
      <c r="F6923" t="s">
        <v>50</v>
      </c>
      <c r="G6923">
        <v>-401.10840000000002</v>
      </c>
      <c r="H6923" s="1">
        <v>-5.5823680000000001E-6</v>
      </c>
      <c r="I6923">
        <v>139.02699999999999</v>
      </c>
      <c r="J6923">
        <v>-383.02379999999999</v>
      </c>
      <c r="K6923">
        <v>1.123394</v>
      </c>
      <c r="L6923">
        <v>142.9308</v>
      </c>
      <c r="M6923">
        <v>-0.99992539999999996</v>
      </c>
      <c r="N6923">
        <v>-1.221882E-2</v>
      </c>
      <c r="O6923">
        <v>-3.0644919999999999E-4</v>
      </c>
      <c r="P6923">
        <v>-0.98820030000000003</v>
      </c>
      <c r="Q6923">
        <v>0.138659</v>
      </c>
      <c r="R6923">
        <v>-6.5067369999999999E-2</v>
      </c>
      <c r="S6923">
        <v>-3.0220340000000001</v>
      </c>
      <c r="T6923">
        <v>-0.1851093</v>
      </c>
      <c r="U6923">
        <v>-0.64373780000000003</v>
      </c>
      <c r="V6923">
        <v>-6.5513109999999999E-2</v>
      </c>
      <c r="W6923">
        <v>0.150399799999999</v>
      </c>
      <c r="X6923">
        <v>0.9864522</v>
      </c>
      <c r="Y6923">
        <v>-0.20759179999999999</v>
      </c>
      <c r="Z6923">
        <v>-7.5505169999999996E-3</v>
      </c>
      <c r="AA6923">
        <v>0.97818640000000001</v>
      </c>
      <c r="AB6923">
        <v>26</v>
      </c>
      <c r="AC6923">
        <v>-18.084599999999998</v>
      </c>
      <c r="AD6923">
        <v>-1.1233995823680001</v>
      </c>
      <c r="AE6923">
        <v>-3.90379999999998</v>
      </c>
      <c r="AF6923">
        <v>-3.8839373775561201</v>
      </c>
      <c r="AG6923">
        <v>-1.1233995823680001</v>
      </c>
      <c r="AH6923">
        <v>18.0193584711329</v>
      </c>
      <c r="AI6923">
        <v>93.487544211095198</v>
      </c>
      <c r="AJ6923">
        <v>102.16358589414401</v>
      </c>
      <c r="AK6923">
        <v>18.467384110523898</v>
      </c>
      <c r="AL6923">
        <v>81.349903788210597</v>
      </c>
      <c r="AM6923">
        <v>93.799596777967295</v>
      </c>
      <c r="AN6923">
        <v>1.00000000515337</v>
      </c>
    </row>
    <row r="6924" spans="1:40" x14ac:dyDescent="0.25">
      <c r="A6924" t="str">
        <f>"20190303162050943"</f>
        <v>20190303162050943</v>
      </c>
      <c r="B6924" t="str">
        <f>"1551601250929356"</f>
        <v>1551601250929356</v>
      </c>
      <c r="C6924" t="s">
        <v>40</v>
      </c>
      <c r="D6924">
        <v>4.651243</v>
      </c>
      <c r="E6924">
        <v>0.44074849999999999</v>
      </c>
      <c r="F6924" t="s">
        <v>50</v>
      </c>
      <c r="G6924">
        <v>-401.14089999999999</v>
      </c>
      <c r="H6924" s="1">
        <v>-5.5714429999999998E-6</v>
      </c>
      <c r="I6924">
        <v>138.9727</v>
      </c>
      <c r="J6924">
        <v>-383.27699999999999</v>
      </c>
      <c r="K6924">
        <v>1.123489</v>
      </c>
      <c r="L6924">
        <v>142.92740000000001</v>
      </c>
      <c r="M6924">
        <v>-0.99991980000000003</v>
      </c>
      <c r="N6924">
        <v>-1.222412E-2</v>
      </c>
      <c r="O6924">
        <v>-3.3418409999999999E-3</v>
      </c>
      <c r="P6924">
        <v>-0.98784609999999995</v>
      </c>
      <c r="Q6924">
        <v>0.13829729999999901</v>
      </c>
      <c r="R6924">
        <v>-7.0951799999999995E-2</v>
      </c>
      <c r="S6924">
        <v>-3.0186769999999998</v>
      </c>
      <c r="T6924">
        <v>-0.18718170000000001</v>
      </c>
      <c r="U6924">
        <v>-0.65950010000000003</v>
      </c>
      <c r="V6924">
        <v>-6.8429950000000003E-2</v>
      </c>
      <c r="W6924">
        <v>0.15001229999999999</v>
      </c>
      <c r="X6924">
        <v>0.9863132</v>
      </c>
      <c r="Y6924">
        <v>-0.20971339999999999</v>
      </c>
      <c r="Z6924">
        <v>-7.5541380000000002E-3</v>
      </c>
      <c r="AA6924">
        <v>0.97773370000000004</v>
      </c>
      <c r="AB6924">
        <v>26</v>
      </c>
      <c r="AC6924">
        <v>-17.863900000000001</v>
      </c>
      <c r="AD6924">
        <v>-1.123494571443</v>
      </c>
      <c r="AE6924">
        <v>-3.9546999999999999</v>
      </c>
      <c r="AF6924">
        <v>-3.88034392810422</v>
      </c>
      <c r="AG6924">
        <v>-1.123494571443</v>
      </c>
      <c r="AH6924">
        <v>17.8098633613243</v>
      </c>
      <c r="AI6924">
        <v>93.527062495240997</v>
      </c>
      <c r="AJ6924">
        <v>102.29129543638901</v>
      </c>
      <c r="AK6924">
        <v>18.262270997920201</v>
      </c>
      <c r="AL6924">
        <v>81.372360971312602</v>
      </c>
      <c r="AM6924">
        <v>93.968794667789297</v>
      </c>
      <c r="AN6924">
        <v>1.0000000383512599</v>
      </c>
    </row>
    <row r="6925" spans="1:40" x14ac:dyDescent="0.25">
      <c r="A6925" t="str">
        <f>"20190303162050965"</f>
        <v>20190303162050965</v>
      </c>
      <c r="B6925" t="str">
        <f>"1551601250959612"</f>
        <v>1551601250959612</v>
      </c>
      <c r="C6925" t="s">
        <v>40</v>
      </c>
      <c r="D6925">
        <v>4.6811689999999997</v>
      </c>
      <c r="E6925">
        <v>0.44096659999999999</v>
      </c>
      <c r="F6925" t="s">
        <v>50</v>
      </c>
      <c r="G6925">
        <v>-401.17919999999998</v>
      </c>
      <c r="H6925" s="1">
        <v>-5.562544E-6</v>
      </c>
      <c r="I6925">
        <v>138.91730000000001</v>
      </c>
      <c r="J6925">
        <v>-383.53699999999998</v>
      </c>
      <c r="K6925">
        <v>1.123567</v>
      </c>
      <c r="L6925">
        <v>142.923</v>
      </c>
      <c r="M6925">
        <v>-0.99990389999999996</v>
      </c>
      <c r="N6925">
        <v>-1.2228650000000001E-2</v>
      </c>
      <c r="O6925">
        <v>-6.5476730000000004E-3</v>
      </c>
      <c r="P6925">
        <v>-0.98729029999999995</v>
      </c>
      <c r="Q6925">
        <v>0.1387736</v>
      </c>
      <c r="R6925">
        <v>-7.7459390000000003E-2</v>
      </c>
      <c r="S6925">
        <v>-3.0148929999999998</v>
      </c>
      <c r="T6925">
        <v>-0.18920670000000001</v>
      </c>
      <c r="U6925">
        <v>-0.67535400000000001</v>
      </c>
      <c r="V6925">
        <v>-7.1801899999999905E-2</v>
      </c>
      <c r="W6925">
        <v>0.15045919999999999</v>
      </c>
      <c r="X6925">
        <v>0.98600529999999997</v>
      </c>
      <c r="Y6925">
        <v>-0.21172530000000001</v>
      </c>
      <c r="Z6925">
        <v>-7.541664E-3</v>
      </c>
      <c r="AA6925">
        <v>0.9773001</v>
      </c>
      <c r="AB6925">
        <v>26</v>
      </c>
      <c r="AC6925">
        <v>-17.642199999999999</v>
      </c>
      <c r="AD6925">
        <v>-1.1235725625440001</v>
      </c>
      <c r="AE6925">
        <v>-4.0056999999999903</v>
      </c>
      <c r="AF6925">
        <v>-3.8751431572666699</v>
      </c>
      <c r="AG6925">
        <v>-1.1235725625440001</v>
      </c>
      <c r="AH6925">
        <v>17.600165380378801</v>
      </c>
      <c r="AI6925">
        <v>93.567513795202601</v>
      </c>
      <c r="AJ6925">
        <v>102.417065085502</v>
      </c>
      <c r="AK6925">
        <v>18.056715404782199</v>
      </c>
      <c r="AL6925">
        <v>81.346460918462</v>
      </c>
      <c r="AM6925">
        <v>94.164984645066994</v>
      </c>
      <c r="AN6925">
        <v>0.99999996766816901</v>
      </c>
    </row>
    <row r="6926" spans="1:40" x14ac:dyDescent="0.25">
      <c r="A6926" t="str">
        <f>"20190303162050986"</f>
        <v>20190303162050986</v>
      </c>
      <c r="B6926" t="str">
        <f>"1551601250979132"</f>
        <v>1551601250979132</v>
      </c>
      <c r="C6926" t="s">
        <v>40</v>
      </c>
      <c r="D6926">
        <v>4.6990170000000004</v>
      </c>
      <c r="E6926">
        <v>0.44113469999999999</v>
      </c>
      <c r="F6926" t="s">
        <v>50</v>
      </c>
      <c r="G6926">
        <v>-401.47140000000002</v>
      </c>
      <c r="H6926" s="1">
        <v>-5.6365040000000003E-6</v>
      </c>
      <c r="I6926">
        <v>138.79820000000001</v>
      </c>
      <c r="J6926">
        <v>-383.78590000000003</v>
      </c>
      <c r="K6926">
        <v>1.123618</v>
      </c>
      <c r="L6926">
        <v>142.9179</v>
      </c>
      <c r="M6926">
        <v>-0.9998783</v>
      </c>
      <c r="N6926">
        <v>-1.223231E-2</v>
      </c>
      <c r="O6926">
        <v>-9.6887169999999995E-3</v>
      </c>
      <c r="P6926">
        <v>-0.98657810000000001</v>
      </c>
      <c r="Q6926">
        <v>0.1396773</v>
      </c>
      <c r="R6926">
        <v>-8.4581340000000005E-2</v>
      </c>
      <c r="S6926">
        <v>-3.0108030000000001</v>
      </c>
      <c r="T6926">
        <v>-0.18862370000000001</v>
      </c>
      <c r="U6926">
        <v>-0.69247440000000005</v>
      </c>
      <c r="V6926">
        <v>-7.5849070000000005E-2</v>
      </c>
      <c r="W6926">
        <v>0.15133079999999999</v>
      </c>
      <c r="X6926">
        <v>0.98556880000000002</v>
      </c>
      <c r="Y6926">
        <v>-0.21422279999999999</v>
      </c>
      <c r="Z6926">
        <v>-7.4648359999999999E-3</v>
      </c>
      <c r="AA6926">
        <v>0.97675630000000002</v>
      </c>
      <c r="AB6926">
        <v>26</v>
      </c>
      <c r="AC6926">
        <v>-17.685499999999902</v>
      </c>
      <c r="AD6926">
        <v>-1.123623636504</v>
      </c>
      <c r="AE6926">
        <v>-4.1196999999999901</v>
      </c>
      <c r="AF6926">
        <v>-3.93308514037862</v>
      </c>
      <c r="AG6926">
        <v>-1.123623636504</v>
      </c>
      <c r="AH6926">
        <v>17.656982969092201</v>
      </c>
      <c r="AI6926">
        <v>93.554298563418698</v>
      </c>
      <c r="AJ6926">
        <v>102.557596729732</v>
      </c>
      <c r="AK6926">
        <v>18.124589274485398</v>
      </c>
      <c r="AL6926">
        <v>81.295943551663797</v>
      </c>
      <c r="AM6926">
        <v>94.400790823289</v>
      </c>
      <c r="AN6926">
        <v>0.99999997599097201</v>
      </c>
    </row>
    <row r="6927" spans="1:40" x14ac:dyDescent="0.25">
      <c r="A6927" t="str">
        <f>"20190303162051009"</f>
        <v>20190303162051009</v>
      </c>
      <c r="B6927" t="str">
        <f>"1551601250999627"</f>
        <v>1551601250999627</v>
      </c>
      <c r="C6927" t="s">
        <v>40</v>
      </c>
      <c r="D6927">
        <v>4.6586080000000001</v>
      </c>
      <c r="E6927">
        <v>0.44145469999999998</v>
      </c>
      <c r="F6927" t="s">
        <v>50</v>
      </c>
      <c r="G6927">
        <v>-401.86430000000001</v>
      </c>
      <c r="H6927" s="1">
        <v>-5.7358789999999996E-6</v>
      </c>
      <c r="I6927">
        <v>138.6378</v>
      </c>
      <c r="J6927">
        <v>-384.04349999999999</v>
      </c>
      <c r="K6927">
        <v>1.1236520000000001</v>
      </c>
      <c r="L6927">
        <v>142.9117</v>
      </c>
      <c r="M6927">
        <v>-0.99984079999999997</v>
      </c>
      <c r="N6927">
        <v>-1.2235630000000001E-2</v>
      </c>
      <c r="O6927">
        <v>-1.2981960000000001E-2</v>
      </c>
      <c r="P6927">
        <v>-0.98608110000000004</v>
      </c>
      <c r="Q6927">
        <v>0.13967389999999999</v>
      </c>
      <c r="R6927">
        <v>-9.0195399999999995E-2</v>
      </c>
      <c r="S6927">
        <v>-3.0062869999999999</v>
      </c>
      <c r="T6927">
        <v>-0.18684880000000001</v>
      </c>
      <c r="U6927">
        <v>-0.7117462</v>
      </c>
      <c r="V6927">
        <v>-7.8227539999999998E-2</v>
      </c>
      <c r="W6927">
        <v>0.1513101</v>
      </c>
      <c r="X6927">
        <v>0.98538610000000004</v>
      </c>
      <c r="Y6927">
        <v>-0.21726760000000001</v>
      </c>
      <c r="Z6927">
        <v>-7.3643319999999899E-3</v>
      </c>
      <c r="AA6927">
        <v>0.97608430000000002</v>
      </c>
      <c r="AB6927">
        <v>26</v>
      </c>
      <c r="AC6927">
        <v>-17.820799999999998</v>
      </c>
      <c r="AD6927">
        <v>-1.1236577358790001</v>
      </c>
      <c r="AE6927">
        <v>-4.2738999999999896</v>
      </c>
      <c r="AF6927">
        <v>-4.0270340327131997</v>
      </c>
      <c r="AG6927">
        <v>-1.1236577358790001</v>
      </c>
      <c r="AH6927">
        <v>17.807837782225501</v>
      </c>
      <c r="AI6927">
        <v>93.521827413696002</v>
      </c>
      <c r="AJ6927">
        <v>102.742445071334</v>
      </c>
      <c r="AK6927">
        <v>18.292039150572801</v>
      </c>
      <c r="AL6927">
        <v>81.297143866416903</v>
      </c>
      <c r="AM6927">
        <v>94.539060685801402</v>
      </c>
      <c r="AN6927">
        <v>1.00000003022483</v>
      </c>
    </row>
    <row r="6928" spans="1:40" x14ac:dyDescent="0.25">
      <c r="A6928" t="str">
        <f>"20190303162051032"</f>
        <v>20190303162051032</v>
      </c>
      <c r="B6928" t="str">
        <f>"1551601251020124"</f>
        <v>1551601251020124</v>
      </c>
      <c r="C6928" t="s">
        <v>40</v>
      </c>
      <c r="D6928">
        <v>4.6675409999999999</v>
      </c>
      <c r="E6928">
        <v>0.441687</v>
      </c>
      <c r="F6928" t="s">
        <v>50</v>
      </c>
      <c r="G6928">
        <v>-402.15050000000002</v>
      </c>
      <c r="H6928" s="1">
        <v>-5.8145830000000004E-6</v>
      </c>
      <c r="I6928">
        <v>138.53460000000001</v>
      </c>
      <c r="J6928">
        <v>-384.3073</v>
      </c>
      <c r="K6928">
        <v>1.123664</v>
      </c>
      <c r="L6928">
        <v>142.90450000000001</v>
      </c>
      <c r="M6928">
        <v>-0.99979079999999998</v>
      </c>
      <c r="N6928">
        <v>-1.223846E-2</v>
      </c>
      <c r="O6928">
        <v>-1.6383669999999999E-2</v>
      </c>
      <c r="P6928">
        <v>-0.98537629999999998</v>
      </c>
      <c r="Q6928">
        <v>0.13960040000000001</v>
      </c>
      <c r="R6928">
        <v>-9.769941E-2</v>
      </c>
      <c r="S6928">
        <v>-3.0023499999999999</v>
      </c>
      <c r="T6928">
        <v>-0.1863157</v>
      </c>
      <c r="U6928">
        <v>-0.72578430000000005</v>
      </c>
      <c r="V6928">
        <v>-8.2389279999999995E-2</v>
      </c>
      <c r="W6928">
        <v>0.15120829999999999</v>
      </c>
      <c r="X6928">
        <v>0.98506249999999995</v>
      </c>
      <c r="Y6928">
        <v>-0.2185531</v>
      </c>
      <c r="Z6928">
        <v>-7.2335809999999898E-3</v>
      </c>
      <c r="AA6928">
        <v>0.97579819999999995</v>
      </c>
      <c r="AB6928">
        <v>26</v>
      </c>
      <c r="AC6928">
        <v>-17.8432</v>
      </c>
      <c r="AD6928">
        <v>-1.123669814583</v>
      </c>
      <c r="AE6928">
        <v>-4.3699000000000003</v>
      </c>
      <c r="AF6928">
        <v>-4.0617576775433104</v>
      </c>
      <c r="AG6928">
        <v>-1.123669814583</v>
      </c>
      <c r="AH6928">
        <v>17.8456373049919</v>
      </c>
      <c r="AI6928">
        <v>93.513314804977995</v>
      </c>
      <c r="AJ6928">
        <v>102.82237179927699</v>
      </c>
      <c r="AK6928">
        <v>18.336501304900199</v>
      </c>
      <c r="AL6928">
        <v>81.303044520289106</v>
      </c>
      <c r="AM6928">
        <v>94.781012943439706</v>
      </c>
      <c r="AN6928">
        <v>1.00000003617702</v>
      </c>
    </row>
    <row r="6929" spans="1:40" x14ac:dyDescent="0.25">
      <c r="A6929" t="str">
        <f>"20190303162051064"</f>
        <v>20190303162051064</v>
      </c>
      <c r="B6929" t="str">
        <f>"1551601251049404"</f>
        <v>1551601251049404</v>
      </c>
      <c r="C6929" t="s">
        <v>40</v>
      </c>
      <c r="D6929">
        <v>4.6722270000000004</v>
      </c>
      <c r="E6929">
        <v>0.44222309999999998</v>
      </c>
      <c r="F6929" t="s">
        <v>50</v>
      </c>
      <c r="G6929">
        <v>-402.34699999999998</v>
      </c>
      <c r="H6929" s="1">
        <v>-5.8448679999999997E-6</v>
      </c>
      <c r="I6929">
        <v>138.4128</v>
      </c>
      <c r="J6929">
        <v>-384.6583</v>
      </c>
      <c r="K6929">
        <v>1.123678</v>
      </c>
      <c r="L6929">
        <v>142.89349999999999</v>
      </c>
      <c r="M6929">
        <v>-0.99970559999999997</v>
      </c>
      <c r="N6929">
        <v>-1.2241760000000001E-2</v>
      </c>
      <c r="O6929">
        <v>-2.0948609999999999E-2</v>
      </c>
      <c r="P6929">
        <v>-0.98453239999999997</v>
      </c>
      <c r="Q6929">
        <v>0.13964879999999999</v>
      </c>
      <c r="R6929">
        <v>-0.1058033</v>
      </c>
      <c r="S6929">
        <v>-2.9969790000000001</v>
      </c>
      <c r="T6929">
        <v>-0.18667710000000001</v>
      </c>
      <c r="U6929">
        <v>-0.74621579999999998</v>
      </c>
      <c r="V6929">
        <v>-8.6008959999999995E-2</v>
      </c>
      <c r="W6929">
        <v>0.15123229999999999</v>
      </c>
      <c r="X6929">
        <v>0.98474930000000005</v>
      </c>
      <c r="Y6929">
        <v>-0.22076899999999999</v>
      </c>
      <c r="Z6929">
        <v>-7.1086279999999996E-3</v>
      </c>
      <c r="AA6929">
        <v>0.97530030000000001</v>
      </c>
      <c r="AB6929">
        <v>26</v>
      </c>
      <c r="AC6929">
        <v>-17.688699999999901</v>
      </c>
      <c r="AD6929">
        <v>-1.123683844868</v>
      </c>
      <c r="AE6929">
        <v>-4.4806999999999801</v>
      </c>
      <c r="AF6929">
        <v>-4.0936114766302802</v>
      </c>
      <c r="AG6929">
        <v>-1.123683844868</v>
      </c>
      <c r="AH6929">
        <v>17.711524127376698</v>
      </c>
      <c r="AI6929">
        <v>93.5371859254128</v>
      </c>
      <c r="AJ6929">
        <v>103.01407760493601</v>
      </c>
      <c r="AK6929">
        <v>18.213138313301901</v>
      </c>
      <c r="AL6929">
        <v>81.301652816063097</v>
      </c>
      <c r="AM6929">
        <v>94.991602010476299</v>
      </c>
      <c r="AN6929">
        <v>0.99999996680702996</v>
      </c>
    </row>
    <row r="6930" spans="1:40" x14ac:dyDescent="0.25">
      <c r="A6930" t="str">
        <f>"20190303162051078"</f>
        <v>20190303162051078</v>
      </c>
      <c r="B6930" t="str">
        <f>"1551601251069900"</f>
        <v>1551601251069900</v>
      </c>
      <c r="C6930" t="s">
        <v>40</v>
      </c>
      <c r="D6930">
        <v>4.6849660000000002</v>
      </c>
      <c r="E6930">
        <v>0.44266220000000001</v>
      </c>
      <c r="F6930" t="s">
        <v>50</v>
      </c>
      <c r="G6930">
        <v>-402.5652</v>
      </c>
      <c r="H6930" s="1">
        <v>-5.8931030000000003E-6</v>
      </c>
      <c r="I6930">
        <v>138.30879999999999</v>
      </c>
      <c r="J6930">
        <v>-384.82740000000001</v>
      </c>
      <c r="K6930">
        <v>1.123688</v>
      </c>
      <c r="L6930">
        <v>142.88749999999999</v>
      </c>
      <c r="M6930">
        <v>-0.99965660000000001</v>
      </c>
      <c r="N6930">
        <v>-1.2243449999999999E-2</v>
      </c>
      <c r="O6930">
        <v>-2.3168879999999999E-2</v>
      </c>
      <c r="P6930">
        <v>-0.98392029999999997</v>
      </c>
      <c r="Q6930">
        <v>0.14010349999999999</v>
      </c>
      <c r="R6930">
        <v>-0.1107785</v>
      </c>
      <c r="S6930">
        <v>-2.991425</v>
      </c>
      <c r="T6930">
        <v>-0.1877153</v>
      </c>
      <c r="U6930">
        <v>-0.76588440000000002</v>
      </c>
      <c r="V6930">
        <v>-8.8812970000000005E-2</v>
      </c>
      <c r="W6930">
        <v>0.15166589999999999</v>
      </c>
      <c r="X6930">
        <v>0.98443369999999997</v>
      </c>
      <c r="Y6930">
        <v>-0.22504080000000001</v>
      </c>
      <c r="Z6930">
        <v>-7.194176E-3</v>
      </c>
      <c r="AA6930">
        <v>0.97432280000000004</v>
      </c>
      <c r="AB6930">
        <v>26</v>
      </c>
      <c r="AC6930">
        <v>-17.737799999999901</v>
      </c>
      <c r="AD6930">
        <v>-1.1236938931029901</v>
      </c>
      <c r="AE6930">
        <v>-4.5786999999999898</v>
      </c>
      <c r="AF6930">
        <v>-4.1508571822826701</v>
      </c>
      <c r="AG6930">
        <v>-1.1236938931029901</v>
      </c>
      <c r="AH6930">
        <v>17.7722602065143</v>
      </c>
      <c r="AI6930">
        <v>93.523275686338494</v>
      </c>
      <c r="AJ6930">
        <v>103.146240610418</v>
      </c>
      <c r="AK6930">
        <v>18.285117887537901</v>
      </c>
      <c r="AL6930">
        <v>81.276519738596306</v>
      </c>
      <c r="AM6930">
        <v>95.155115782337802</v>
      </c>
      <c r="AN6930">
        <v>0.99999999927936001</v>
      </c>
    </row>
    <row r="6931" spans="1:40" x14ac:dyDescent="0.25">
      <c r="A6931" t="str">
        <f>"20190303162051100"</f>
        <v>20190303162051100</v>
      </c>
      <c r="B6931" t="str">
        <f>"1551601251089420"</f>
        <v>1551601251089420</v>
      </c>
      <c r="C6931" t="s">
        <v>40</v>
      </c>
      <c r="D6931">
        <v>4.6710880000000001</v>
      </c>
      <c r="E6931">
        <v>0.44307829999999898</v>
      </c>
      <c r="F6931" t="s">
        <v>50</v>
      </c>
      <c r="G6931">
        <v>-402.84649999999999</v>
      </c>
      <c r="H6931" s="1">
        <v>-5.9673210000000004E-6</v>
      </c>
      <c r="I6931">
        <v>138.20060000000001</v>
      </c>
      <c r="J6931">
        <v>-385.07470000000001</v>
      </c>
      <c r="K6931">
        <v>1.123718</v>
      </c>
      <c r="L6931">
        <v>142.87819999999999</v>
      </c>
      <c r="M6931">
        <v>-0.9995754</v>
      </c>
      <c r="N6931">
        <v>-1.2246119999999999E-2</v>
      </c>
      <c r="O6931">
        <v>-2.6446600000000001E-2</v>
      </c>
      <c r="P6931">
        <v>-0.98330300000000004</v>
      </c>
      <c r="Q6931">
        <v>0.14013809999999999</v>
      </c>
      <c r="R6931">
        <v>-0.1160904</v>
      </c>
      <c r="S6931">
        <v>-2.9880369999999998</v>
      </c>
      <c r="T6931">
        <v>-0.18633739999999999</v>
      </c>
      <c r="U6931">
        <v>-0.77720639999999996</v>
      </c>
      <c r="V6931">
        <v>-9.0915990000000002E-2</v>
      </c>
      <c r="W6931">
        <v>0.15168289999999901</v>
      </c>
      <c r="X6931">
        <v>0.98423910000000003</v>
      </c>
      <c r="Y6931">
        <v>-0.22558120000000001</v>
      </c>
      <c r="Z6931">
        <v>-7.0170819999999896E-3</v>
      </c>
      <c r="AA6931">
        <v>0.97419909999999998</v>
      </c>
      <c r="AB6931">
        <v>26</v>
      </c>
      <c r="AC6931">
        <v>-17.771799999999899</v>
      </c>
      <c r="AD6931">
        <v>-1.123723967321</v>
      </c>
      <c r="AE6931">
        <v>-4.6775999999999804</v>
      </c>
      <c r="AF6931">
        <v>-4.1902570411417503</v>
      </c>
      <c r="AG6931">
        <v>-1.123723967321</v>
      </c>
      <c r="AH6931">
        <v>17.8226582255</v>
      </c>
      <c r="AI6931">
        <v>93.512224888176902</v>
      </c>
      <c r="AJ6931">
        <v>103.230438032007</v>
      </c>
      <c r="AK6931">
        <v>18.343068332439699</v>
      </c>
      <c r="AL6931">
        <v>81.275534427253305</v>
      </c>
      <c r="AM6931">
        <v>95.277541045217205</v>
      </c>
      <c r="AN6931">
        <v>1.0000000126794499</v>
      </c>
    </row>
    <row r="6932" spans="1:40" x14ac:dyDescent="0.25">
      <c r="A6932" t="str">
        <f>"20190303162051124"</f>
        <v>20190303162051124</v>
      </c>
      <c r="B6932" t="str">
        <f>"1551601251119676"</f>
        <v>1551601251119676</v>
      </c>
      <c r="C6932" t="s">
        <v>40</v>
      </c>
      <c r="D6932">
        <v>4.801831</v>
      </c>
      <c r="E6932">
        <v>0.44347619999999999</v>
      </c>
      <c r="F6932" t="s">
        <v>50</v>
      </c>
      <c r="G6932">
        <v>-402.98950000000002</v>
      </c>
      <c r="H6932" s="1">
        <v>-5.9994830000000001E-6</v>
      </c>
      <c r="I6932">
        <v>138.1337</v>
      </c>
      <c r="J6932">
        <v>-385.33620000000002</v>
      </c>
      <c r="K6932">
        <v>1.123764</v>
      </c>
      <c r="L6932">
        <v>142.8673</v>
      </c>
      <c r="M6932">
        <v>-0.99947580000000003</v>
      </c>
      <c r="N6932">
        <v>-1.2249370000000001E-2</v>
      </c>
      <c r="O6932">
        <v>-2.997056E-2</v>
      </c>
      <c r="P6932">
        <v>-0.98270740000000001</v>
      </c>
      <c r="Q6932">
        <v>0.14027890000000001</v>
      </c>
      <c r="R6932">
        <v>-0.120866</v>
      </c>
      <c r="S6932">
        <v>-2.9843139999999999</v>
      </c>
      <c r="T6932">
        <v>-0.1871941</v>
      </c>
      <c r="U6932">
        <v>-0.79034419999999905</v>
      </c>
      <c r="V6932">
        <v>-9.2246049999999996E-2</v>
      </c>
      <c r="W6932">
        <v>0.15180829999999901</v>
      </c>
      <c r="X6932">
        <v>0.98409599999999997</v>
      </c>
      <c r="Y6932">
        <v>-0.22645280000000001</v>
      </c>
      <c r="Z6932">
        <v>-6.9041240000000002E-3</v>
      </c>
      <c r="AA6932">
        <v>0.97399769999999997</v>
      </c>
      <c r="AB6932">
        <v>26</v>
      </c>
      <c r="AC6932">
        <v>-17.653300000000002</v>
      </c>
      <c r="AD6932">
        <v>-1.1237699994829999</v>
      </c>
      <c r="AE6932">
        <v>-4.7335999999999903</v>
      </c>
      <c r="AF6932">
        <v>-4.18652717513881</v>
      </c>
      <c r="AG6932">
        <v>-1.1237699994829999</v>
      </c>
      <c r="AH6932">
        <v>17.720256569177199</v>
      </c>
      <c r="AI6932">
        <v>93.531711177745805</v>
      </c>
      <c r="AJ6932">
        <v>103.292760749179</v>
      </c>
      <c r="AK6932">
        <v>18.242734490130101</v>
      </c>
      <c r="AL6932">
        <v>81.268265382142204</v>
      </c>
      <c r="AM6932">
        <v>95.355077639401301</v>
      </c>
      <c r="AN6932">
        <v>1.00000001545274</v>
      </c>
    </row>
    <row r="6933" spans="1:40" x14ac:dyDescent="0.25">
      <c r="A6933" t="str">
        <f>"20190303162051145"</f>
        <v>20190303162051145</v>
      </c>
      <c r="B6933" t="str">
        <f>"1551601251129436"</f>
        <v>1551601251129436</v>
      </c>
      <c r="C6933" t="s">
        <v>40</v>
      </c>
      <c r="D6933">
        <v>4.6813539999999998</v>
      </c>
      <c r="E6933">
        <v>0.45218789999999998</v>
      </c>
      <c r="F6933" t="s">
        <v>50</v>
      </c>
      <c r="G6933">
        <v>-403.17829999999998</v>
      </c>
      <c r="H6933" s="1">
        <v>-6.0544300000000004E-6</v>
      </c>
      <c r="I6933">
        <v>138.072</v>
      </c>
      <c r="J6933">
        <v>-385.59</v>
      </c>
      <c r="K6933">
        <v>1.1238250000000001</v>
      </c>
      <c r="L6933">
        <v>142.85589999999999</v>
      </c>
      <c r="M6933">
        <v>-0.99936519999999995</v>
      </c>
      <c r="N6933">
        <v>-1.2253099999999999E-2</v>
      </c>
      <c r="O6933">
        <v>-3.345716E-2</v>
      </c>
      <c r="P6933">
        <v>-0.98210489999999995</v>
      </c>
      <c r="Q6933">
        <v>0.1404907</v>
      </c>
      <c r="R6933">
        <v>-0.1254313</v>
      </c>
      <c r="S6933">
        <v>-2.9810490000000001</v>
      </c>
      <c r="T6933">
        <v>-0.1877588</v>
      </c>
      <c r="U6933">
        <v>-0.80119319999999905</v>
      </c>
      <c r="V6933">
        <v>-9.3408759999999993E-2</v>
      </c>
      <c r="W6933">
        <v>0.152003799999999</v>
      </c>
      <c r="X6933">
        <v>0.9839561</v>
      </c>
      <c r="Y6933">
        <v>-0.226629</v>
      </c>
      <c r="Z6933">
        <v>-6.7572830000000002E-3</v>
      </c>
      <c r="AA6933">
        <v>0.97395770000000004</v>
      </c>
      <c r="AB6933">
        <v>26</v>
      </c>
      <c r="AC6933">
        <v>-17.5883</v>
      </c>
      <c r="AD6933">
        <v>-1.1238310544299901</v>
      </c>
      <c r="AE6933">
        <v>-4.7838999999999796</v>
      </c>
      <c r="AF6933">
        <v>-4.1768443091321901</v>
      </c>
      <c r="AG6933">
        <v>-1.1238310544299901</v>
      </c>
      <c r="AH6933">
        <v>17.671341389815598</v>
      </c>
      <c r="AI6933">
        <v>93.541570378877495</v>
      </c>
      <c r="AJ6933">
        <v>103.298514439296</v>
      </c>
      <c r="AK6933">
        <v>18.193002257380201</v>
      </c>
      <c r="AL6933">
        <v>81.256932219546201</v>
      </c>
      <c r="AM6933">
        <v>95.4229419471786</v>
      </c>
      <c r="AN6933">
        <v>0.99999997919319294</v>
      </c>
    </row>
    <row r="6934" spans="1:40" x14ac:dyDescent="0.25">
      <c r="A6934" t="str">
        <f>"20190303162051166"</f>
        <v>20190303162051166</v>
      </c>
      <c r="B6934" t="str">
        <f>"1551601251159692"</f>
        <v>1551601251159692</v>
      </c>
      <c r="C6934" t="s">
        <v>40</v>
      </c>
      <c r="D6934">
        <v>4.6859070000000003</v>
      </c>
      <c r="E6934">
        <v>0.45048919999999998</v>
      </c>
      <c r="F6934" t="s">
        <v>50</v>
      </c>
      <c r="G6934">
        <v>-410.97190000000001</v>
      </c>
      <c r="H6934" s="1">
        <v>-9.2225950000000001E-6</v>
      </c>
      <c r="I6934">
        <v>136.4922</v>
      </c>
      <c r="J6934">
        <v>-385.84089999999998</v>
      </c>
      <c r="K6934">
        <v>1.123888</v>
      </c>
      <c r="L6934">
        <v>142.84350000000001</v>
      </c>
      <c r="M6934">
        <v>-0.99924049999999998</v>
      </c>
      <c r="N6934">
        <v>-1.225684E-2</v>
      </c>
      <c r="O6934">
        <v>-3.6990759999999998E-2</v>
      </c>
      <c r="P6934">
        <v>-0.98161410000000004</v>
      </c>
      <c r="Q6934">
        <v>0.14069619999999999</v>
      </c>
      <c r="R6934">
        <v>-0.12899070000000001</v>
      </c>
      <c r="S6934">
        <v>-2.9781490000000002</v>
      </c>
      <c r="T6934">
        <v>-0.13186349999999999</v>
      </c>
      <c r="U6934">
        <v>-0.74667359999999905</v>
      </c>
      <c r="V6934">
        <v>-9.3519920000000006E-2</v>
      </c>
      <c r="W6934">
        <v>0.15219939999999901</v>
      </c>
      <c r="X6934">
        <v>0.98391530000000005</v>
      </c>
      <c r="Y6934">
        <v>-0.20691290000000001</v>
      </c>
      <c r="Z6934">
        <v>-4.6339370000000003E-3</v>
      </c>
      <c r="AA6934">
        <v>0.97834840000000001</v>
      </c>
      <c r="AB6934">
        <v>26</v>
      </c>
      <c r="AC6934">
        <v>-25.131</v>
      </c>
      <c r="AD6934">
        <v>-1.1238972225949999</v>
      </c>
      <c r="AE6934">
        <v>-6.3513000000000002</v>
      </c>
      <c r="AF6934">
        <v>-5.4071029552015304</v>
      </c>
      <c r="AG6934">
        <v>-1.1238972225949999</v>
      </c>
      <c r="AH6934">
        <v>25.3011902188961</v>
      </c>
      <c r="AI6934">
        <v>92.487354275165202</v>
      </c>
      <c r="AJ6934">
        <v>102.06318432760899</v>
      </c>
      <c r="AK6934">
        <v>25.896913596563401</v>
      </c>
      <c r="AL6934">
        <v>81.245593198812401</v>
      </c>
      <c r="AM6934">
        <v>95.429580708541906</v>
      </c>
      <c r="AN6934">
        <v>0.999999975185628</v>
      </c>
    </row>
    <row r="6935" spans="1:40" x14ac:dyDescent="0.25">
      <c r="A6935" t="str">
        <f>"20190303162051188"</f>
        <v>20190303162051188</v>
      </c>
      <c r="B6935" t="str">
        <f>"1551601251179212"</f>
        <v>1551601251179212</v>
      </c>
      <c r="C6935" t="s">
        <v>40</v>
      </c>
      <c r="D6935">
        <v>4.7308729999999999</v>
      </c>
      <c r="E6935">
        <v>0.45043109999999997</v>
      </c>
      <c r="F6935" t="s">
        <v>50</v>
      </c>
      <c r="G6935">
        <v>-411.80340000000001</v>
      </c>
      <c r="H6935" s="1">
        <v>-8.9835309999999994E-6</v>
      </c>
      <c r="I6935">
        <v>136.1123</v>
      </c>
      <c r="J6935">
        <v>-386.09629999999999</v>
      </c>
      <c r="K6935">
        <v>1.1239429999999999</v>
      </c>
      <c r="L6935">
        <v>142.82990000000001</v>
      </c>
      <c r="M6935">
        <v>-0.99909709999999996</v>
      </c>
      <c r="N6935">
        <v>-1.2261060000000001E-2</v>
      </c>
      <c r="O6935">
        <v>-4.0677980000000002E-2</v>
      </c>
      <c r="P6935">
        <v>-0.98118680000000003</v>
      </c>
      <c r="Q6935">
        <v>0.1406742</v>
      </c>
      <c r="R6935">
        <v>-0.13222449999999999</v>
      </c>
      <c r="S6935">
        <v>-2.9733580000000002</v>
      </c>
      <c r="T6935">
        <v>-0.12871469999999999</v>
      </c>
      <c r="U6935">
        <v>-0.7708893</v>
      </c>
      <c r="V6935">
        <v>-9.3151559999999994E-2</v>
      </c>
      <c r="W6935">
        <v>0.15217120000000001</v>
      </c>
      <c r="X6935">
        <v>0.98395460000000001</v>
      </c>
      <c r="Y6935">
        <v>-0.21115900000000001</v>
      </c>
      <c r="Z6935">
        <v>-4.5728469999999997E-3</v>
      </c>
      <c r="AA6935">
        <v>0.977441</v>
      </c>
      <c r="AB6935">
        <v>26</v>
      </c>
      <c r="AC6935">
        <v>-25.707100000000001</v>
      </c>
      <c r="AD6935">
        <v>-1.1239519835309999</v>
      </c>
      <c r="AE6935">
        <v>-6.7176</v>
      </c>
      <c r="AF6935">
        <v>-5.6561266200915599</v>
      </c>
      <c r="AG6935">
        <v>-1.1239519835309999</v>
      </c>
      <c r="AH6935">
        <v>25.9127304805764</v>
      </c>
      <c r="AI6935">
        <v>92.426557008953694</v>
      </c>
      <c r="AJ6935">
        <v>102.31316559562801</v>
      </c>
      <c r="AK6935">
        <v>26.546650209824701</v>
      </c>
      <c r="AL6935">
        <v>81.247227945344704</v>
      </c>
      <c r="AM6935">
        <v>95.408106783748806</v>
      </c>
      <c r="AN6935">
        <v>0.99999997105051597</v>
      </c>
    </row>
    <row r="6936" spans="1:40" x14ac:dyDescent="0.25">
      <c r="A6936" t="str">
        <f>"20190303162051211"</f>
        <v>20190303162051211</v>
      </c>
      <c r="B6936" t="str">
        <f>"1551601251199708"</f>
        <v>1551601251199708</v>
      </c>
      <c r="C6936" t="s">
        <v>40</v>
      </c>
      <c r="D6936">
        <v>4.7105750000000004</v>
      </c>
      <c r="E6936">
        <v>0.45037149999999998</v>
      </c>
      <c r="F6936" t="s">
        <v>50</v>
      </c>
      <c r="G6936">
        <v>-412.3073</v>
      </c>
      <c r="H6936" s="1">
        <v>-8.863596E-6</v>
      </c>
      <c r="I6936">
        <v>135.9392</v>
      </c>
      <c r="J6936">
        <v>-386.35359999999997</v>
      </c>
      <c r="K6936">
        <v>1.1240000000000001</v>
      </c>
      <c r="L6936">
        <v>142.8152</v>
      </c>
      <c r="M6936">
        <v>-0.99893529999999997</v>
      </c>
      <c r="N6936">
        <v>-1.22653E-2</v>
      </c>
      <c r="O6936">
        <v>-4.447222E-2</v>
      </c>
      <c r="P6936">
        <v>-0.98086079999999998</v>
      </c>
      <c r="Q6936">
        <v>0.13972470000000001</v>
      </c>
      <c r="R6936">
        <v>-0.13560649999999999</v>
      </c>
      <c r="S6936">
        <v>-2.97052</v>
      </c>
      <c r="T6936">
        <v>-0.12737850000000001</v>
      </c>
      <c r="U6936">
        <v>-0.780929599999999</v>
      </c>
      <c r="V6936">
        <v>-9.2813870000000007E-2</v>
      </c>
      <c r="W6936">
        <v>0.15121860000000001</v>
      </c>
      <c r="X6936">
        <v>0.98413340000000005</v>
      </c>
      <c r="Y6936">
        <v>-0.2107723</v>
      </c>
      <c r="Z6936">
        <v>-4.4225330000000002E-3</v>
      </c>
      <c r="AA6936">
        <v>0.97752519999999998</v>
      </c>
      <c r="AB6936">
        <v>26</v>
      </c>
      <c r="AC6936">
        <v>-25.953700000000001</v>
      </c>
      <c r="AD6936">
        <v>-1.1240088635959999</v>
      </c>
      <c r="AE6936">
        <v>-6.8760000000000003</v>
      </c>
      <c r="AF6936">
        <v>-5.7048921611473098</v>
      </c>
      <c r="AG6936">
        <v>-1.1240088635959999</v>
      </c>
      <c r="AH6936">
        <v>26.187935398249198</v>
      </c>
      <c r="AI6936">
        <v>92.401423607433401</v>
      </c>
      <c r="AJ6936">
        <v>102.289554278</v>
      </c>
      <c r="AK6936">
        <v>26.8256808099746</v>
      </c>
      <c r="AL6936">
        <v>81.302447316400205</v>
      </c>
      <c r="AM6936">
        <v>95.387643846724501</v>
      </c>
      <c r="AN6936">
        <v>1.0000000142229399</v>
      </c>
    </row>
    <row r="6937" spans="1:40" x14ac:dyDescent="0.25">
      <c r="A6937" t="str">
        <f>"20190303162051233"</f>
        <v>20190303162051233</v>
      </c>
      <c r="B6937" t="str">
        <f>"1551601251229457"</f>
        <v>1551601251229457</v>
      </c>
      <c r="C6937" t="s">
        <v>40</v>
      </c>
      <c r="D6937">
        <v>4.7548649999999997</v>
      </c>
      <c r="E6937">
        <v>0.45023390000000002</v>
      </c>
      <c r="F6937" t="s">
        <v>50</v>
      </c>
      <c r="G6937">
        <v>-411.82299999999998</v>
      </c>
      <c r="H6937" s="1">
        <v>-8.9444879999999993E-6</v>
      </c>
      <c r="I6937">
        <v>136.02690000000001</v>
      </c>
      <c r="J6937">
        <v>-386.6078</v>
      </c>
      <c r="K6937">
        <v>1.1240330000000001</v>
      </c>
      <c r="L6937">
        <v>142.7996</v>
      </c>
      <c r="M6937">
        <v>-0.99875780000000003</v>
      </c>
      <c r="N6937">
        <v>-1.226913E-2</v>
      </c>
      <c r="O6937">
        <v>-4.829348E-2</v>
      </c>
      <c r="P6937">
        <v>-0.98046489999999997</v>
      </c>
      <c r="Q6937">
        <v>0.139032399999999</v>
      </c>
      <c r="R6937">
        <v>-0.13913439999999999</v>
      </c>
      <c r="S6937">
        <v>-2.9678339999999999</v>
      </c>
      <c r="T6937">
        <v>-0.1309757</v>
      </c>
      <c r="U6937">
        <v>-0.79100039999999905</v>
      </c>
      <c r="V6937">
        <v>-9.2596209999999998E-2</v>
      </c>
      <c r="W6937">
        <v>0.15052289999999999</v>
      </c>
      <c r="X6937">
        <v>0.98426060000000004</v>
      </c>
      <c r="Y6937">
        <v>-0.21034169999999999</v>
      </c>
      <c r="Z6937">
        <v>-4.3664200000000002E-3</v>
      </c>
      <c r="AA6937">
        <v>0.97761819999999999</v>
      </c>
      <c r="AB6937">
        <v>26</v>
      </c>
      <c r="AC6937">
        <v>-25.215199999999999</v>
      </c>
      <c r="AD6937">
        <v>-1.1240419444879901</v>
      </c>
      <c r="AE6937">
        <v>-6.77269999999998</v>
      </c>
      <c r="AF6937">
        <v>-5.5367127199934796</v>
      </c>
      <c r="AG6937">
        <v>-1.1240419444879901</v>
      </c>
      <c r="AH6937">
        <v>25.465676038884499</v>
      </c>
      <c r="AI6937">
        <v>92.469740548095103</v>
      </c>
      <c r="AJ6937">
        <v>102.26626940732601</v>
      </c>
      <c r="AK6937">
        <v>26.084848363640599</v>
      </c>
      <c r="AL6937">
        <v>81.342769982966502</v>
      </c>
      <c r="AM6937">
        <v>95.374392666189706</v>
      </c>
      <c r="AN6937">
        <v>1.0000000651215599</v>
      </c>
    </row>
    <row r="6938" spans="1:40" x14ac:dyDescent="0.25">
      <c r="A6938" t="str">
        <f>"20190303162051248"</f>
        <v>20190303162051248</v>
      </c>
      <c r="B6938" t="str">
        <f>"1551601251239218"</f>
        <v>1551601251239218</v>
      </c>
      <c r="C6938" t="s">
        <v>40</v>
      </c>
      <c r="D6938">
        <v>4.7748089999999896</v>
      </c>
      <c r="E6938">
        <v>0.4503818</v>
      </c>
      <c r="F6938" t="s">
        <v>50</v>
      </c>
      <c r="G6938">
        <v>-411.39780000000002</v>
      </c>
      <c r="H6938" s="1">
        <v>-9.0098270000000002E-6</v>
      </c>
      <c r="I6938">
        <v>136.09100000000001</v>
      </c>
      <c r="J6938">
        <v>-386.7749</v>
      </c>
      <c r="K6938">
        <v>1.1240589999999999</v>
      </c>
      <c r="L6938">
        <v>142.78880000000001</v>
      </c>
      <c r="M6938">
        <v>-0.99863150000000001</v>
      </c>
      <c r="N6938">
        <v>-1.2271509999999999E-2</v>
      </c>
      <c r="O6938">
        <v>-5.0839769999999999E-2</v>
      </c>
      <c r="P6938">
        <v>-0.98017169999999998</v>
      </c>
      <c r="Q6938">
        <v>0.13866510000000001</v>
      </c>
      <c r="R6938">
        <v>-0.14154729999999999</v>
      </c>
      <c r="S6938">
        <v>-2.964966</v>
      </c>
      <c r="T6938">
        <v>-0.13443920000000001</v>
      </c>
      <c r="U6938">
        <v>-0.80236819999999998</v>
      </c>
      <c r="V6938">
        <v>-9.2513719999999994E-2</v>
      </c>
      <c r="W6938">
        <v>0.15015329999999999</v>
      </c>
      <c r="X6938">
        <v>0.9843248</v>
      </c>
      <c r="Y6938">
        <v>-0.21156990000000001</v>
      </c>
      <c r="Z6938">
        <v>-4.3865609999999998E-3</v>
      </c>
      <c r="AA6938">
        <v>0.97735300000000003</v>
      </c>
      <c r="AB6938">
        <v>26</v>
      </c>
      <c r="AC6938">
        <v>-24.622900000000001</v>
      </c>
      <c r="AD6938">
        <v>-1.1240680098269999</v>
      </c>
      <c r="AE6938">
        <v>-6.6978</v>
      </c>
      <c r="AF6938">
        <v>-5.4266902063080797</v>
      </c>
      <c r="AG6938">
        <v>-1.1240680098269999</v>
      </c>
      <c r="AH6938">
        <v>24.883308489558502</v>
      </c>
      <c r="AI6938">
        <v>92.527176691527899</v>
      </c>
      <c r="AJ6938">
        <v>102.302751003054</v>
      </c>
      <c r="AK6938">
        <v>25.492970342282401</v>
      </c>
      <c r="AL6938">
        <v>81.364189875744202</v>
      </c>
      <c r="AM6938">
        <v>95.369284673954795</v>
      </c>
      <c r="AN6938">
        <v>1.0000000568920799</v>
      </c>
    </row>
    <row r="6939" spans="1:40" x14ac:dyDescent="0.25">
      <c r="A6939" t="str">
        <f>"20190303162051266"</f>
        <v>20190303162051266</v>
      </c>
      <c r="B6939" t="str">
        <f>"1551601251259714"</f>
        <v>1551601251259714</v>
      </c>
      <c r="C6939" t="s">
        <v>40</v>
      </c>
      <c r="D6939">
        <v>4.9080339999999998</v>
      </c>
      <c r="E6939">
        <v>0.45049529999999899</v>
      </c>
      <c r="F6939" t="s">
        <v>50</v>
      </c>
      <c r="G6939">
        <v>-411.09109999999998</v>
      </c>
      <c r="H6939" s="1">
        <v>-9.0640789999999994E-6</v>
      </c>
      <c r="I6939">
        <v>136.15350000000001</v>
      </c>
      <c r="J6939">
        <v>-386.98649999999998</v>
      </c>
      <c r="K6939">
        <v>1.124085</v>
      </c>
      <c r="L6939">
        <v>142.77449999999999</v>
      </c>
      <c r="M6939">
        <v>-0.99845989999999996</v>
      </c>
      <c r="N6939">
        <v>-1.2274520000000001E-2</v>
      </c>
      <c r="O6939">
        <v>-5.410355E-2</v>
      </c>
      <c r="P6939">
        <v>-0.97979530000000004</v>
      </c>
      <c r="Q6939">
        <v>0.1376859</v>
      </c>
      <c r="R6939">
        <v>-0.14506369999999999</v>
      </c>
      <c r="S6939">
        <v>-2.963257</v>
      </c>
      <c r="T6939">
        <v>-0.13698299999999999</v>
      </c>
      <c r="U6939">
        <v>-0.80860900000000002</v>
      </c>
      <c r="V6939">
        <v>-9.2827129999999994E-2</v>
      </c>
      <c r="W6939">
        <v>0.14916879999999999</v>
      </c>
      <c r="X6939">
        <v>0.98444489999999996</v>
      </c>
      <c r="Y6939">
        <v>-0.2104299</v>
      </c>
      <c r="Z6939">
        <v>-4.293425E-3</v>
      </c>
      <c r="AA6939">
        <v>0.97759949999999995</v>
      </c>
      <c r="AB6939">
        <v>26</v>
      </c>
      <c r="AC6939">
        <v>-24.104600000000001</v>
      </c>
      <c r="AD6939">
        <v>-1.124094064079</v>
      </c>
      <c r="AE6939">
        <v>-6.62099999999998</v>
      </c>
      <c r="AF6939">
        <v>-5.2963482162232802</v>
      </c>
      <c r="AG6939">
        <v>-1.124094064079</v>
      </c>
      <c r="AH6939">
        <v>24.3782392252729</v>
      </c>
      <c r="AI6939">
        <v>92.579968043569195</v>
      </c>
      <c r="AJ6939">
        <v>102.257437140459</v>
      </c>
      <c r="AK6939">
        <v>24.972253394858601</v>
      </c>
      <c r="AL6939">
        <v>81.421239476364903</v>
      </c>
      <c r="AM6939">
        <v>95.386714050632804</v>
      </c>
      <c r="AN6939">
        <v>0.99999998404674295</v>
      </c>
    </row>
    <row r="6940" spans="1:40" x14ac:dyDescent="0.25">
      <c r="A6940" t="str">
        <f>"20190303162051289"</f>
        <v>20190303162051289</v>
      </c>
      <c r="B6940" t="str">
        <f>"1551601251279234"</f>
        <v>1551601251279234</v>
      </c>
      <c r="C6940" t="s">
        <v>40</v>
      </c>
      <c r="D6940">
        <v>4.7539009999999999</v>
      </c>
      <c r="E6940">
        <v>0.45053579999999999</v>
      </c>
      <c r="F6940" t="s">
        <v>50</v>
      </c>
      <c r="G6940">
        <v>-410.79860000000002</v>
      </c>
      <c r="H6940" s="1">
        <v>-9.1072320000000007E-6</v>
      </c>
      <c r="I6940">
        <v>136.1934</v>
      </c>
      <c r="J6940">
        <v>-387.24470000000002</v>
      </c>
      <c r="K6940">
        <v>1.124109</v>
      </c>
      <c r="L6940">
        <v>142.756</v>
      </c>
      <c r="M6940">
        <v>-0.99823340000000005</v>
      </c>
      <c r="N6940">
        <v>-1.227806E-2</v>
      </c>
      <c r="O6940">
        <v>-5.8133860000000002E-2</v>
      </c>
      <c r="P6940">
        <v>-0.9792611</v>
      </c>
      <c r="Q6940">
        <v>0.136577799999999</v>
      </c>
      <c r="R6940">
        <v>-0.14964769999999999</v>
      </c>
      <c r="S6940">
        <v>-2.9603269999999999</v>
      </c>
      <c r="T6940">
        <v>-0.13974729999999999</v>
      </c>
      <c r="U6940">
        <v>-0.81816099999999903</v>
      </c>
      <c r="V6940">
        <v>-9.3456960000000006E-2</v>
      </c>
      <c r="W6940">
        <v>0.14805460000000001</v>
      </c>
      <c r="X6940">
        <v>0.98455349999999997</v>
      </c>
      <c r="Y6940">
        <v>-0.20965719999999999</v>
      </c>
      <c r="Z6940">
        <v>-4.1828359999999997E-3</v>
      </c>
      <c r="AA6940">
        <v>0.97776600000000002</v>
      </c>
      <c r="AB6940">
        <v>26</v>
      </c>
      <c r="AC6940">
        <v>-23.553899999999999</v>
      </c>
      <c r="AD6940">
        <v>-1.1241181072319999</v>
      </c>
      <c r="AE6940">
        <v>-6.5625999999999998</v>
      </c>
      <c r="AF6940">
        <v>-5.1711874685623602</v>
      </c>
      <c r="AG6940">
        <v>-1.1241181072319999</v>
      </c>
      <c r="AH6940">
        <v>23.8451976545478</v>
      </c>
      <c r="AI6940">
        <v>92.637831261661901</v>
      </c>
      <c r="AJ6940">
        <v>102.23597332123801</v>
      </c>
      <c r="AK6940">
        <v>24.425361257072002</v>
      </c>
      <c r="AL6940">
        <v>81.4857952655546</v>
      </c>
      <c r="AM6940">
        <v>95.422451001796802</v>
      </c>
      <c r="AN6940">
        <v>0.99999998115792499</v>
      </c>
    </row>
    <row r="6941" spans="1:40" x14ac:dyDescent="0.25">
      <c r="A6941" t="str">
        <f>"20190303162051312"</f>
        <v>20190303162051312</v>
      </c>
      <c r="B6941" t="str">
        <f>"1551601251299729"</f>
        <v>1551601251299729</v>
      </c>
      <c r="C6941" t="s">
        <v>40</v>
      </c>
      <c r="D6941">
        <v>4.760383</v>
      </c>
      <c r="E6941">
        <v>0.45053959999999998</v>
      </c>
      <c r="F6941" t="s">
        <v>50</v>
      </c>
      <c r="G6941">
        <v>-410.42720000000003</v>
      </c>
      <c r="H6941" s="1">
        <v>-9.1570149999999999E-6</v>
      </c>
      <c r="I6941">
        <v>136.23269999999999</v>
      </c>
      <c r="J6941">
        <v>-387.50580000000002</v>
      </c>
      <c r="K6941">
        <v>1.1241209999999999</v>
      </c>
      <c r="L6941">
        <v>142.7362</v>
      </c>
      <c r="M6941">
        <v>-0.99798589999999998</v>
      </c>
      <c r="N6941">
        <v>-1.228106E-2</v>
      </c>
      <c r="O6941">
        <v>-6.2237170000000001E-2</v>
      </c>
      <c r="P6941">
        <v>-0.97866569999999997</v>
      </c>
      <c r="Q6941">
        <v>0.1353637</v>
      </c>
      <c r="R6941">
        <v>-0.1545657</v>
      </c>
      <c r="S6941">
        <v>-2.9563600000000001</v>
      </c>
      <c r="T6941">
        <v>-0.14335419999999999</v>
      </c>
      <c r="U6941">
        <v>-0.83189389999999996</v>
      </c>
      <c r="V6941">
        <v>-9.4347029999999998E-2</v>
      </c>
      <c r="W6941">
        <v>0.14683260000000001</v>
      </c>
      <c r="X6941">
        <v>0.98465159999999996</v>
      </c>
      <c r="Y6941">
        <v>-0.21017939999999999</v>
      </c>
      <c r="Z6941">
        <v>-4.1126549999999998E-3</v>
      </c>
      <c r="AA6941">
        <v>0.97765420000000003</v>
      </c>
      <c r="AB6941">
        <v>26</v>
      </c>
      <c r="AC6941">
        <v>-22.921399999999998</v>
      </c>
      <c r="AD6941">
        <v>-1.124130157015</v>
      </c>
      <c r="AE6941">
        <v>-6.5034999999999998</v>
      </c>
      <c r="AF6941">
        <v>-5.0529718702174202</v>
      </c>
      <c r="AG6941">
        <v>-1.124130157015</v>
      </c>
      <c r="AH6941">
        <v>23.2300374960307</v>
      </c>
      <c r="AI6941">
        <v>92.707244000425803</v>
      </c>
      <c r="AJ6941">
        <v>102.271753546494</v>
      </c>
      <c r="AK6941">
        <v>23.799807465568101</v>
      </c>
      <c r="AL6941">
        <v>81.556584345200406</v>
      </c>
      <c r="AM6941">
        <v>95.473239380549103</v>
      </c>
      <c r="AN6941">
        <v>0.99999997393757001</v>
      </c>
    </row>
    <row r="6942" spans="1:40" x14ac:dyDescent="0.25">
      <c r="A6942" t="str">
        <f>"20190303162051333"</f>
        <v>20190303162051333</v>
      </c>
      <c r="B6942" t="str">
        <f>"1551601251329010"</f>
        <v>1551601251329010</v>
      </c>
      <c r="C6942" t="s">
        <v>40</v>
      </c>
      <c r="D6942">
        <v>4.7567640000000004</v>
      </c>
      <c r="E6942">
        <v>0.45091330000000002</v>
      </c>
      <c r="F6942" t="s">
        <v>50</v>
      </c>
      <c r="G6942">
        <v>-402.7928</v>
      </c>
      <c r="H6942" s="1">
        <v>-6.0234970000000001E-6</v>
      </c>
      <c r="I6942">
        <v>138.37200000000001</v>
      </c>
      <c r="J6942">
        <v>-387.75150000000002</v>
      </c>
      <c r="K6942">
        <v>1.1241350000000001</v>
      </c>
      <c r="L6942">
        <v>142.7166</v>
      </c>
      <c r="M6942">
        <v>-0.99773670000000003</v>
      </c>
      <c r="N6942">
        <v>-1.2283179999999999E-2</v>
      </c>
      <c r="O6942">
        <v>-6.6113259999999993E-2</v>
      </c>
      <c r="P6942">
        <v>-0.97808340000000005</v>
      </c>
      <c r="Q6942">
        <v>0.13453879999999999</v>
      </c>
      <c r="R6942">
        <v>-0.15891140000000001</v>
      </c>
      <c r="S6942">
        <v>-2.9619749999999998</v>
      </c>
      <c r="T6942">
        <v>-0.21780869999999999</v>
      </c>
      <c r="U6942">
        <v>-0.84559629999999997</v>
      </c>
      <c r="V6942">
        <v>-9.488887E-2</v>
      </c>
      <c r="W6942">
        <v>0.14600379999999999</v>
      </c>
      <c r="X6942">
        <v>0.98472280000000001</v>
      </c>
      <c r="Y6942">
        <v>-0.2098363</v>
      </c>
      <c r="Z6942">
        <v>-4.9212759999999996E-3</v>
      </c>
      <c r="AA6942">
        <v>0.97772409999999998</v>
      </c>
      <c r="AB6942">
        <v>26</v>
      </c>
      <c r="AC6942">
        <v>-15.0412999999999</v>
      </c>
      <c r="AD6942">
        <v>-1.124141023497</v>
      </c>
      <c r="AE6942">
        <v>-4.3445999999999803</v>
      </c>
      <c r="AF6942">
        <v>-3.3234548819156999</v>
      </c>
      <c r="AG6942">
        <v>-1.124141023497</v>
      </c>
      <c r="AH6942">
        <v>15.217191849204999</v>
      </c>
      <c r="AI6942">
        <v>94.127986499500295</v>
      </c>
      <c r="AJ6942">
        <v>102.320020658969</v>
      </c>
      <c r="AK6942">
        <v>15.6164007750937</v>
      </c>
      <c r="AL6942">
        <v>81.604588661473699</v>
      </c>
      <c r="AM6942">
        <v>95.504084420199007</v>
      </c>
      <c r="AN6942">
        <v>1.0000000000520699</v>
      </c>
    </row>
    <row r="6943" spans="1:40" x14ac:dyDescent="0.25">
      <c r="A6943" t="str">
        <f>"20190303162051356"</f>
        <v>20190303162051356</v>
      </c>
      <c r="B6943" t="str">
        <f>"1551601251349506"</f>
        <v>1551601251349506</v>
      </c>
      <c r="C6943" t="s">
        <v>40</v>
      </c>
      <c r="D6943">
        <v>4.7644909999999996</v>
      </c>
      <c r="E6943">
        <v>0.45128509999999999</v>
      </c>
      <c r="F6943" t="s">
        <v>50</v>
      </c>
      <c r="G6943">
        <v>-403.03620000000001</v>
      </c>
      <c r="H6943" s="1">
        <v>-6.0951859999999997E-6</v>
      </c>
      <c r="I6943">
        <v>138.2944</v>
      </c>
      <c r="J6943">
        <v>-388.0102</v>
      </c>
      <c r="K6943">
        <v>1.1241380000000001</v>
      </c>
      <c r="L6943">
        <v>142.69479999999999</v>
      </c>
      <c r="M6943">
        <v>-0.99745700000000004</v>
      </c>
      <c r="N6943">
        <v>-1.228492E-2</v>
      </c>
      <c r="O6943">
        <v>-7.0204199999999994E-2</v>
      </c>
      <c r="P6943">
        <v>-0.97742410000000002</v>
      </c>
      <c r="Q6943">
        <v>0.13390260000000001</v>
      </c>
      <c r="R6943">
        <v>-0.16343820000000001</v>
      </c>
      <c r="S6943">
        <v>-2.9581300000000001</v>
      </c>
      <c r="T6943">
        <v>-0.21756110000000001</v>
      </c>
      <c r="U6943">
        <v>-0.85585020000000001</v>
      </c>
      <c r="V6943">
        <v>-9.5402689999999998E-2</v>
      </c>
      <c r="W6943">
        <v>0.1453651</v>
      </c>
      <c r="X6943">
        <v>0.98476770000000002</v>
      </c>
      <c r="Y6943">
        <v>-0.20930199999999999</v>
      </c>
      <c r="Z6943">
        <v>-4.655401E-3</v>
      </c>
      <c r="AA6943">
        <v>0.97783989999999998</v>
      </c>
      <c r="AB6943">
        <v>26</v>
      </c>
      <c r="AC6943">
        <v>-15.026</v>
      </c>
      <c r="AD6943">
        <v>-1.12414409518599</v>
      </c>
      <c r="AE6943">
        <v>-4.4003999999999897</v>
      </c>
      <c r="AF6943">
        <v>-3.3174717642367599</v>
      </c>
      <c r="AG6943">
        <v>-1.12414409518599</v>
      </c>
      <c r="AH6943">
        <v>15.2194147960134</v>
      </c>
      <c r="AI6943">
        <v>94.127761004469306</v>
      </c>
      <c r="AJ6943">
        <v>102.2967752247</v>
      </c>
      <c r="AK6943">
        <v>15.617295079057699</v>
      </c>
      <c r="AL6943">
        <v>81.641578569327905</v>
      </c>
      <c r="AM6943">
        <v>95.533453605084702</v>
      </c>
      <c r="AN6943">
        <v>1.0000000542602601</v>
      </c>
    </row>
    <row r="6944" spans="1:40" x14ac:dyDescent="0.25">
      <c r="A6944" t="str">
        <f>"20190303162051378"</f>
        <v>20190303162051378</v>
      </c>
      <c r="B6944" t="str">
        <f>"1551601251370002"</f>
        <v>1551601251370002</v>
      </c>
      <c r="C6944" t="s">
        <v>40</v>
      </c>
      <c r="D6944">
        <v>4.8240020000000001</v>
      </c>
      <c r="E6944">
        <v>0.45180779999999898</v>
      </c>
      <c r="F6944" t="s">
        <v>50</v>
      </c>
      <c r="G6944">
        <v>-403.29899999999998</v>
      </c>
      <c r="H6944" s="1">
        <v>-6.1720810000000003E-6</v>
      </c>
      <c r="I6944">
        <v>138.20939999999999</v>
      </c>
      <c r="J6944">
        <v>-388.26150000000001</v>
      </c>
      <c r="K6944">
        <v>1.1241399999999999</v>
      </c>
      <c r="L6944">
        <v>142.67269999999999</v>
      </c>
      <c r="M6944">
        <v>-0.99716939999999998</v>
      </c>
      <c r="N6944">
        <v>-1.2286160000000001E-2</v>
      </c>
      <c r="O6944">
        <v>-7.4179480000000006E-2</v>
      </c>
      <c r="P6944">
        <v>-0.97682990000000003</v>
      </c>
      <c r="Q6944">
        <v>0.13354150000000001</v>
      </c>
      <c r="R6944">
        <v>-0.16724359999999999</v>
      </c>
      <c r="S6944">
        <v>-2.9541629999999999</v>
      </c>
      <c r="T6944">
        <v>-0.2172114</v>
      </c>
      <c r="U6944">
        <v>-0.86668400000000001</v>
      </c>
      <c r="V6944">
        <v>-9.5306340000000003E-2</v>
      </c>
      <c r="W6944">
        <v>0.14500650000000001</v>
      </c>
      <c r="X6944">
        <v>0.98482979999999998</v>
      </c>
      <c r="Y6944">
        <v>-0.2090687</v>
      </c>
      <c r="Z6944">
        <v>-4.4084229999999999E-3</v>
      </c>
      <c r="AA6944">
        <v>0.97789099999999995</v>
      </c>
      <c r="AB6944">
        <v>26</v>
      </c>
      <c r="AC6944">
        <v>-15.0375</v>
      </c>
      <c r="AD6944">
        <v>-1.124146172081</v>
      </c>
      <c r="AE6944">
        <v>-4.4633000000000003</v>
      </c>
      <c r="AF6944">
        <v>-3.3184000396273099</v>
      </c>
      <c r="AG6944">
        <v>-1.124146172081</v>
      </c>
      <c r="AH6944">
        <v>15.2488558204223</v>
      </c>
      <c r="AI6944">
        <v>94.120133892513294</v>
      </c>
      <c r="AJ6944">
        <v>102.277084355268</v>
      </c>
      <c r="AK6944">
        <v>15.6461844317146</v>
      </c>
      <c r="AL6944">
        <v>81.662344068046593</v>
      </c>
      <c r="AM6944">
        <v>95.527553427117198</v>
      </c>
      <c r="AN6944">
        <v>0.99999995922724105</v>
      </c>
    </row>
    <row r="6945" spans="1:40" x14ac:dyDescent="0.25">
      <c r="A6945" t="str">
        <f>"20190303162051401"</f>
        <v>20190303162051401</v>
      </c>
      <c r="B6945" t="str">
        <f>"1551601251389522"</f>
        <v>1551601251389522</v>
      </c>
      <c r="C6945" t="s">
        <v>40</v>
      </c>
      <c r="D6945">
        <v>4.8027629999999997</v>
      </c>
      <c r="E6945">
        <v>0.45227980000000001</v>
      </c>
      <c r="F6945" t="s">
        <v>50</v>
      </c>
      <c r="G6945">
        <v>-403.24110000000002</v>
      </c>
      <c r="H6945" s="1">
        <v>-6.1576839999999999E-6</v>
      </c>
      <c r="I6945">
        <v>138.2336</v>
      </c>
      <c r="J6945">
        <v>-388.51639999999998</v>
      </c>
      <c r="K6945">
        <v>1.1241399999999999</v>
      </c>
      <c r="L6945">
        <v>142.64920000000001</v>
      </c>
      <c r="M6945">
        <v>-0.9968612</v>
      </c>
      <c r="N6945">
        <v>-1.228712E-2</v>
      </c>
      <c r="O6945">
        <v>-7.8209760000000003E-2</v>
      </c>
      <c r="P6945">
        <v>-0.9762343</v>
      </c>
      <c r="Q6945">
        <v>0.13324339999999901</v>
      </c>
      <c r="R6945">
        <v>-0.17091789999999901</v>
      </c>
      <c r="S6945">
        <v>-2.951721</v>
      </c>
      <c r="T6945">
        <v>-0.2215116</v>
      </c>
      <c r="U6945">
        <v>-0.87472530000000004</v>
      </c>
      <c r="V6945">
        <v>-9.5023990000000003E-2</v>
      </c>
      <c r="W6945">
        <v>0.14471310000000001</v>
      </c>
      <c r="X6945">
        <v>0.98490029999999995</v>
      </c>
      <c r="Y6945">
        <v>-0.20777979999999999</v>
      </c>
      <c r="Z6945">
        <v>-4.1533280000000004E-3</v>
      </c>
      <c r="AA6945">
        <v>0.9781668</v>
      </c>
      <c r="AB6945">
        <v>26</v>
      </c>
      <c r="AC6945">
        <v>-14.7247</v>
      </c>
      <c r="AD6945">
        <v>-1.1241461576839999</v>
      </c>
      <c r="AE6945">
        <v>-4.4156000000000102</v>
      </c>
      <c r="AF6945">
        <v>-3.2330813523772401</v>
      </c>
      <c r="AG6945">
        <v>-1.1241461576839999</v>
      </c>
      <c r="AH6945">
        <v>14.9450399418623</v>
      </c>
      <c r="AI6945">
        <v>94.204709664722799</v>
      </c>
      <c r="AJ6945">
        <v>102.206773151633</v>
      </c>
      <c r="AK6945">
        <v>15.3320167779319</v>
      </c>
      <c r="AL6945">
        <v>81.679334368694199</v>
      </c>
      <c r="AM6945">
        <v>95.510886660833506</v>
      </c>
      <c r="AN6945">
        <v>1.0000000204636099</v>
      </c>
    </row>
    <row r="6946" spans="1:40" x14ac:dyDescent="0.25">
      <c r="A6946" t="str">
        <f>"20190303162051423"</f>
        <v>20190303162051423</v>
      </c>
      <c r="B6946" t="str">
        <f>"1551601251419779"</f>
        <v>1551601251419779</v>
      </c>
      <c r="C6946" t="s">
        <v>40</v>
      </c>
      <c r="D6946">
        <v>4.7719809999999896</v>
      </c>
      <c r="E6946">
        <v>0.45283010000000001</v>
      </c>
      <c r="F6946" t="s">
        <v>50</v>
      </c>
      <c r="G6946">
        <v>-403.44889999999998</v>
      </c>
      <c r="H6946" s="1">
        <v>-6.2253880000000002E-6</v>
      </c>
      <c r="I6946">
        <v>138.18129999999999</v>
      </c>
      <c r="J6946">
        <v>-388.77109999999999</v>
      </c>
      <c r="K6946">
        <v>1.1241350000000001</v>
      </c>
      <c r="L6946">
        <v>142.62479999999999</v>
      </c>
      <c r="M6946">
        <v>-0.99653769999999997</v>
      </c>
      <c r="N6946">
        <v>-1.228777E-2</v>
      </c>
      <c r="O6946">
        <v>-8.2228930000000006E-2</v>
      </c>
      <c r="P6946">
        <v>-0.97554090000000004</v>
      </c>
      <c r="Q6946">
        <v>0.13337939999999901</v>
      </c>
      <c r="R6946">
        <v>-0.17472889999999999</v>
      </c>
      <c r="S6946">
        <v>-2.9488219999999998</v>
      </c>
      <c r="T6946">
        <v>-0.22199430000000001</v>
      </c>
      <c r="U6946">
        <v>-0.8823242</v>
      </c>
      <c r="V6946">
        <v>-9.4899490000000003E-2</v>
      </c>
      <c r="W6946">
        <v>0.14485129999999999</v>
      </c>
      <c r="X6946">
        <v>0.98489199999999999</v>
      </c>
      <c r="Y6946">
        <v>-0.20642189999999999</v>
      </c>
      <c r="Z6946">
        <v>-3.855949E-3</v>
      </c>
      <c r="AA6946">
        <v>0.97845550000000003</v>
      </c>
      <c r="AB6946">
        <v>26</v>
      </c>
      <c r="AC6946">
        <v>-14.6777999999999</v>
      </c>
      <c r="AD6946">
        <v>-1.1241412253880001</v>
      </c>
      <c r="AE6946">
        <v>-4.4435000000000002</v>
      </c>
      <c r="AF6946">
        <v>-3.2042017676659502</v>
      </c>
      <c r="AG6946">
        <v>-1.1241412253880001</v>
      </c>
      <c r="AH6946">
        <v>14.913364294322699</v>
      </c>
      <c r="AI6946">
        <v>94.214867542441297</v>
      </c>
      <c r="AJ6946">
        <v>102.125905626584</v>
      </c>
      <c r="AK6946">
        <v>15.2950657742198</v>
      </c>
      <c r="AL6946">
        <v>81.671331869840301</v>
      </c>
      <c r="AM6946">
        <v>95.503756781073307</v>
      </c>
      <c r="AN6946">
        <v>1.0000000319889699</v>
      </c>
    </row>
    <row r="6947" spans="1:40" x14ac:dyDescent="0.25">
      <c r="A6947" t="str">
        <f>"20190303162051446"</f>
        <v>20190303162051446</v>
      </c>
      <c r="B6947" t="str">
        <f>"1551601251439298"</f>
        <v>1551601251439298</v>
      </c>
      <c r="C6947" t="s">
        <v>40</v>
      </c>
      <c r="D6947">
        <v>4.7841469999999999</v>
      </c>
      <c r="E6947">
        <v>0.45280809999999999</v>
      </c>
      <c r="F6947" t="s">
        <v>50</v>
      </c>
      <c r="G6947">
        <v>-403.72089999999997</v>
      </c>
      <c r="H6947" s="1">
        <v>-6.3130609999999997E-6</v>
      </c>
      <c r="I6947">
        <v>138.11070000000001</v>
      </c>
      <c r="J6947">
        <v>-389.02719999999999</v>
      </c>
      <c r="K6947">
        <v>1.1241300000000001</v>
      </c>
      <c r="L6947">
        <v>142.59909999999999</v>
      </c>
      <c r="M6947">
        <v>-0.99619659999999999</v>
      </c>
      <c r="N6947">
        <v>-1.2288220000000001E-2</v>
      </c>
      <c r="O6947">
        <v>-8.6263240000000005E-2</v>
      </c>
      <c r="P6947">
        <v>-0.97481220000000002</v>
      </c>
      <c r="Q6947">
        <v>0.1334254</v>
      </c>
      <c r="R6947">
        <v>-0.17871529999999899</v>
      </c>
      <c r="S6947">
        <v>-2.9461979999999999</v>
      </c>
      <c r="T6947">
        <v>-0.22153870000000001</v>
      </c>
      <c r="U6947">
        <v>-0.88960269999999997</v>
      </c>
      <c r="V6947">
        <v>-9.4937809999999997E-2</v>
      </c>
      <c r="W6947">
        <v>0.14489850000000001</v>
      </c>
      <c r="X6947">
        <v>0.98488129999999996</v>
      </c>
      <c r="Y6947">
        <v>-0.20492949999999999</v>
      </c>
      <c r="Z6947">
        <v>-3.5448530000000002E-3</v>
      </c>
      <c r="AA6947">
        <v>0.97877029999999998</v>
      </c>
      <c r="AB6947">
        <v>26</v>
      </c>
      <c r="AC6947">
        <v>-14.6936999999999</v>
      </c>
      <c r="AD6947">
        <v>-1.12413631306099</v>
      </c>
      <c r="AE6947">
        <v>-4.48839999999998</v>
      </c>
      <c r="AF6947">
        <v>-3.18698322137034</v>
      </c>
      <c r="AG6947">
        <v>-1.12413631306099</v>
      </c>
      <c r="AH6947">
        <v>14.9461191798471</v>
      </c>
      <c r="AI6947">
        <v>94.207037530483802</v>
      </c>
      <c r="AJ6947">
        <v>102.036993689195</v>
      </c>
      <c r="AK6947">
        <v>15.323414209693301</v>
      </c>
      <c r="AL6947">
        <v>81.668598146016393</v>
      </c>
      <c r="AM6947">
        <v>95.506024970580597</v>
      </c>
      <c r="AN6947">
        <v>0.99999996907976696</v>
      </c>
    </row>
    <row r="6948" spans="1:40" x14ac:dyDescent="0.25">
      <c r="A6948" t="str">
        <f>"20190303162051467"</f>
        <v>20190303162051467</v>
      </c>
      <c r="B6948" t="str">
        <f>"1551601251459794"</f>
        <v>1551601251459794</v>
      </c>
      <c r="C6948" t="s">
        <v>40</v>
      </c>
      <c r="D6948">
        <v>4.859998</v>
      </c>
      <c r="E6948">
        <v>0.41345310000000002</v>
      </c>
      <c r="F6948" t="s">
        <v>50</v>
      </c>
      <c r="G6948">
        <v>-403.9547</v>
      </c>
      <c r="H6948" s="1">
        <v>-6.3775039999999996E-6</v>
      </c>
      <c r="I6948">
        <v>138.02670000000001</v>
      </c>
      <c r="J6948">
        <v>-389.27420000000001</v>
      </c>
      <c r="K6948">
        <v>1.1241289999999999</v>
      </c>
      <c r="L6948">
        <v>142.57329999999999</v>
      </c>
      <c r="M6948">
        <v>-0.99585250000000003</v>
      </c>
      <c r="N6948">
        <v>-1.22887E-2</v>
      </c>
      <c r="O6948">
        <v>-9.0148800000000001E-2</v>
      </c>
      <c r="P6948">
        <v>-0.97400880000000001</v>
      </c>
      <c r="Q6948">
        <v>0.13331599999999999</v>
      </c>
      <c r="R6948">
        <v>-0.18312239999999999</v>
      </c>
      <c r="S6948">
        <v>-2.9425659999999998</v>
      </c>
      <c r="T6948">
        <v>-0.22159429999999999</v>
      </c>
      <c r="U6948">
        <v>-0.90133669999999999</v>
      </c>
      <c r="V6948">
        <v>-9.5547560000000004E-2</v>
      </c>
      <c r="W6948">
        <v>0.14478529999999901</v>
      </c>
      <c r="X6948">
        <v>0.98483900000000002</v>
      </c>
      <c r="Y6948">
        <v>-0.20502429999999999</v>
      </c>
      <c r="Z6948">
        <v>-3.3146450000000002E-3</v>
      </c>
      <c r="AA6948">
        <v>0.97875129999999999</v>
      </c>
      <c r="AB6948">
        <v>26</v>
      </c>
      <c r="AC6948">
        <v>-14.680499999999901</v>
      </c>
      <c r="AD6948">
        <v>-1.1241353775039999</v>
      </c>
      <c r="AE6948">
        <v>-4.5465999999999802</v>
      </c>
      <c r="AF6948">
        <v>-3.1875013672089501</v>
      </c>
      <c r="AG6948">
        <v>-1.1241353775039999</v>
      </c>
      <c r="AH6948">
        <v>14.9506275997619</v>
      </c>
      <c r="AI6948">
        <v>94.205795282795805</v>
      </c>
      <c r="AJ6948">
        <v>102.035369089376</v>
      </c>
      <c r="AK6948">
        <v>15.3279193284567</v>
      </c>
      <c r="AL6948">
        <v>81.675153307678102</v>
      </c>
      <c r="AM6948">
        <v>95.541405228576394</v>
      </c>
      <c r="AN6948">
        <v>0.99999998761952102</v>
      </c>
    </row>
    <row r="6949" spans="1:40" x14ac:dyDescent="0.25">
      <c r="A6949" t="str">
        <f>"20190303162051491"</f>
        <v>20190303162051491</v>
      </c>
      <c r="B6949" t="str">
        <f>"1551601251469553"</f>
        <v>1551601251469553</v>
      </c>
      <c r="C6949" t="s">
        <v>40</v>
      </c>
      <c r="D6949">
        <v>4.7946</v>
      </c>
      <c r="E6949">
        <v>0.4025183</v>
      </c>
      <c r="F6949" t="s">
        <v>50</v>
      </c>
      <c r="G6949">
        <v>-402.43900000000002</v>
      </c>
      <c r="H6949" s="1">
        <v>-5.2203839999999996E-6</v>
      </c>
      <c r="I6949">
        <v>136.9879</v>
      </c>
      <c r="J6949">
        <v>-389.53649999999999</v>
      </c>
      <c r="K6949">
        <v>1.124125</v>
      </c>
      <c r="L6949">
        <v>142.54480000000001</v>
      </c>
      <c r="M6949">
        <v>-0.99547059999999998</v>
      </c>
      <c r="N6949">
        <v>-1.228921E-2</v>
      </c>
      <c r="O6949">
        <v>-9.4273250000000003E-2</v>
      </c>
      <c r="P6949">
        <v>-0.97313769999999999</v>
      </c>
      <c r="Q6949">
        <v>0.13290859999999999</v>
      </c>
      <c r="R6949">
        <v>-0.18798519999999999</v>
      </c>
      <c r="S6949">
        <v>-2.8837280000000001</v>
      </c>
      <c r="T6949">
        <v>-0.24623999999999999</v>
      </c>
      <c r="U6949">
        <v>-1.223465</v>
      </c>
      <c r="V6949">
        <v>-9.6379909999999999E-2</v>
      </c>
      <c r="W6949">
        <v>0.1443729</v>
      </c>
      <c r="X6949">
        <v>0.98481850000000004</v>
      </c>
      <c r="Y6949">
        <v>-0.30117319999999997</v>
      </c>
      <c r="Z6949">
        <v>-7.6942059999999899E-3</v>
      </c>
      <c r="AA6949">
        <v>0.95353840000000001</v>
      </c>
      <c r="AB6949">
        <v>26</v>
      </c>
      <c r="AC6949">
        <v>-12.9025</v>
      </c>
      <c r="AD6949">
        <v>-1.124130220384</v>
      </c>
      <c r="AE6949">
        <v>-5.5569000000000104</v>
      </c>
      <c r="AF6949">
        <v>-4.28823759276864</v>
      </c>
      <c r="AG6949">
        <v>-1.124130220384</v>
      </c>
      <c r="AH6949">
        <v>13.283877189327701</v>
      </c>
      <c r="AI6949">
        <v>94.604181265715198</v>
      </c>
      <c r="AJ6949">
        <v>107.890868601489</v>
      </c>
      <c r="AK6949">
        <v>14.004072392898999</v>
      </c>
      <c r="AL6949">
        <v>81.699033503861102</v>
      </c>
      <c r="AM6949">
        <v>95.589489687992696</v>
      </c>
      <c r="AN6949">
        <v>1.0000000496241299</v>
      </c>
    </row>
    <row r="6950" spans="1:40" x14ac:dyDescent="0.25">
      <c r="A6950" t="str">
        <f>"20190303162051513"</f>
        <v>20190303162051513</v>
      </c>
      <c r="B6950" t="str">
        <f>"1551601251509570"</f>
        <v>1551601251509570</v>
      </c>
      <c r="C6950" t="s">
        <v>40</v>
      </c>
      <c r="D6950">
        <v>4.6202370000000004</v>
      </c>
      <c r="E6950">
        <v>0.4025183</v>
      </c>
      <c r="F6950" t="s">
        <v>50</v>
      </c>
      <c r="G6950">
        <v>-402.86169999999998</v>
      </c>
      <c r="H6950" s="1">
        <v>-5.1233579999999899E-6</v>
      </c>
      <c r="I6950">
        <v>136.37870000000001</v>
      </c>
      <c r="J6950">
        <v>-389.78910000000002</v>
      </c>
      <c r="K6950">
        <v>1.124118</v>
      </c>
      <c r="L6950">
        <v>142.5164</v>
      </c>
      <c r="M6950">
        <v>-0.99508669999999999</v>
      </c>
      <c r="N6950">
        <v>-1.228958E-2</v>
      </c>
      <c r="O6950">
        <v>-9.8242380000000004E-2</v>
      </c>
      <c r="P6950">
        <v>-0.97225550000000005</v>
      </c>
      <c r="Q6950">
        <v>0.13163749999999999</v>
      </c>
      <c r="R6950">
        <v>-0.19336719999999999</v>
      </c>
      <c r="S6950">
        <v>-2.8601070000000002</v>
      </c>
      <c r="T6950">
        <v>-0.2412832</v>
      </c>
      <c r="U6950">
        <v>-1.323502</v>
      </c>
      <c r="V6950">
        <v>-9.7877870000000006E-2</v>
      </c>
      <c r="W6950">
        <v>0.1430931</v>
      </c>
      <c r="X6950">
        <v>0.98485750000000005</v>
      </c>
      <c r="Y6950">
        <v>-0.32785769999999997</v>
      </c>
      <c r="Z6950">
        <v>-8.5878669999999904E-3</v>
      </c>
      <c r="AA6950">
        <v>0.94468810000000003</v>
      </c>
      <c r="AB6950">
        <v>26</v>
      </c>
      <c r="AC6950">
        <v>-13.0725999999999</v>
      </c>
      <c r="AD6950">
        <v>-1.124123123358</v>
      </c>
      <c r="AE6950">
        <v>-6.1376999999999899</v>
      </c>
      <c r="AF6950">
        <v>-4.7945747864248398</v>
      </c>
      <c r="AG6950">
        <v>-1.124123123358</v>
      </c>
      <c r="AH6950">
        <v>13.5304014591841</v>
      </c>
      <c r="AI6950">
        <v>94.477695498764902</v>
      </c>
      <c r="AJ6950">
        <v>109.512071256525</v>
      </c>
      <c r="AK6950">
        <v>14.3987278544245</v>
      </c>
      <c r="AL6950">
        <v>81.773129647237397</v>
      </c>
      <c r="AM6950">
        <v>95.675576680306904</v>
      </c>
      <c r="AN6950">
        <v>1.0000000040047901</v>
      </c>
    </row>
    <row r="6951" spans="1:40" x14ac:dyDescent="0.25">
      <c r="A6951" t="str">
        <f>"20190303162051546"</f>
        <v>20190303162051546</v>
      </c>
      <c r="B6951" t="str">
        <f>"1551601251539826"</f>
        <v>1551601251539826</v>
      </c>
      <c r="C6951" t="s">
        <v>40</v>
      </c>
      <c r="D6951">
        <v>4.2686840000000004</v>
      </c>
      <c r="E6951">
        <v>0.36019899999999999</v>
      </c>
      <c r="F6951" t="s">
        <v>50</v>
      </c>
      <c r="G6951">
        <v>-402.8306</v>
      </c>
      <c r="H6951" s="1">
        <v>-5.1179190000000001E-6</v>
      </c>
      <c r="I6951">
        <v>136.3965</v>
      </c>
      <c r="J6951">
        <v>-390.16820000000001</v>
      </c>
      <c r="K6951">
        <v>1.124104</v>
      </c>
      <c r="L6951">
        <v>142.4718</v>
      </c>
      <c r="M6951">
        <v>-0.99448049999999999</v>
      </c>
      <c r="N6951">
        <v>-1.2290199999999999E-2</v>
      </c>
      <c r="O6951">
        <v>-0.104200399999999</v>
      </c>
      <c r="P6951">
        <v>-0.97083629999999999</v>
      </c>
      <c r="Q6951">
        <v>0.1297336</v>
      </c>
      <c r="R6951">
        <v>-0.20161009999999999</v>
      </c>
      <c r="S6951">
        <v>-2.8526609999999999</v>
      </c>
      <c r="T6951">
        <v>-0.24588750000000001</v>
      </c>
      <c r="U6951">
        <v>-1.338638</v>
      </c>
      <c r="V6951">
        <v>-0.1002991</v>
      </c>
      <c r="W6951">
        <v>0.14117449999999901</v>
      </c>
      <c r="X6951">
        <v>0.98489079999999996</v>
      </c>
      <c r="Y6951">
        <v>-0.327241</v>
      </c>
      <c r="Z6951">
        <v>-8.2593670000000001E-3</v>
      </c>
      <c r="AA6951">
        <v>0.94490479999999999</v>
      </c>
      <c r="AB6951">
        <v>26</v>
      </c>
      <c r="AC6951">
        <v>-12.6623999999999</v>
      </c>
      <c r="AD6951">
        <v>-1.1241091179189999</v>
      </c>
      <c r="AE6951">
        <v>-6.0752999999999897</v>
      </c>
      <c r="AF6951">
        <v>-4.6926337937090796</v>
      </c>
      <c r="AG6951">
        <v>-1.1241091179189999</v>
      </c>
      <c r="AH6951">
        <v>13.142361623935299</v>
      </c>
      <c r="AI6951">
        <v>94.605364956485005</v>
      </c>
      <c r="AJ6951">
        <v>109.649699270369</v>
      </c>
      <c r="AK6951">
        <v>14.000217937058499</v>
      </c>
      <c r="AL6951">
        <v>81.884184958315501</v>
      </c>
      <c r="AM6951">
        <v>95.814828973963102</v>
      </c>
      <c r="AN6951">
        <v>1.0000000184178499</v>
      </c>
    </row>
    <row r="6952" spans="1:40" x14ac:dyDescent="0.25">
      <c r="A6952" t="str">
        <f>"20190303162051568"</f>
        <v>20190303162051568</v>
      </c>
      <c r="B6952" t="str">
        <f>"1551601251559346"</f>
        <v>1551601251559346</v>
      </c>
      <c r="C6952" t="s">
        <v>40</v>
      </c>
      <c r="D6952">
        <v>4.2631269999999999</v>
      </c>
      <c r="E6952">
        <v>0.36796479999999998</v>
      </c>
      <c r="F6952" t="s">
        <v>64</v>
      </c>
      <c r="G6952">
        <v>-440.75</v>
      </c>
      <c r="H6952">
        <v>0.67763479999999998</v>
      </c>
      <c r="I6952">
        <v>111.2141</v>
      </c>
      <c r="J6952">
        <v>-390.42160000000001</v>
      </c>
      <c r="K6952">
        <v>1.1240939999999999</v>
      </c>
      <c r="L6952">
        <v>142.44069999999999</v>
      </c>
      <c r="M6952">
        <v>-0.99405489999999996</v>
      </c>
      <c r="N6952">
        <v>-1.2290570000000001E-2</v>
      </c>
      <c r="O6952">
        <v>-0.10818510000000001</v>
      </c>
      <c r="P6952">
        <v>-0.96962519999999996</v>
      </c>
      <c r="Q6952">
        <v>0.12896830000000001</v>
      </c>
      <c r="R6952">
        <v>-0.2078332</v>
      </c>
      <c r="S6952">
        <v>-2.7415159999999998</v>
      </c>
      <c r="T6952">
        <v>-2.419698E-2</v>
      </c>
      <c r="U6952">
        <v>-1.69415299999999</v>
      </c>
      <c r="V6952">
        <v>-0.1026562</v>
      </c>
      <c r="W6952">
        <v>0.14039270000000001</v>
      </c>
      <c r="X6952">
        <v>0.98475970000000002</v>
      </c>
      <c r="Y6952">
        <v>-0.43052750000000001</v>
      </c>
      <c r="Z6952">
        <v>-4.9715870000000004E-3</v>
      </c>
      <c r="AA6952">
        <v>0.90256380000000003</v>
      </c>
      <c r="AB6952">
        <v>26</v>
      </c>
      <c r="AC6952">
        <v>-50.328399999999903</v>
      </c>
      <c r="AD6952">
        <v>-0.4464592</v>
      </c>
      <c r="AE6952">
        <v>-31.226599999999902</v>
      </c>
      <c r="AF6952">
        <v>-25.596648043569399</v>
      </c>
      <c r="AG6952">
        <v>-0.4464592</v>
      </c>
      <c r="AH6952">
        <v>53.408439271273799</v>
      </c>
      <c r="AI6952">
        <v>90.431904839844094</v>
      </c>
      <c r="AJ6952">
        <v>115.60664065067699</v>
      </c>
      <c r="AK6952">
        <v>59.2270977026308</v>
      </c>
      <c r="AL6952">
        <v>81.929429560481395</v>
      </c>
      <c r="AM6952">
        <v>95.951298697972604</v>
      </c>
      <c r="AN6952">
        <v>1.0000000361779</v>
      </c>
    </row>
    <row r="6953" spans="1:40" x14ac:dyDescent="0.25">
      <c r="A6953" t="str">
        <f>"20190303162051590"</f>
        <v>20190303162051590</v>
      </c>
      <c r="B6953" t="str">
        <f>"1551601251579843"</f>
        <v>1551601251579843</v>
      </c>
      <c r="C6953" t="s">
        <v>40</v>
      </c>
      <c r="D6953">
        <v>4.2166769999999998</v>
      </c>
      <c r="E6953">
        <v>0.37523709999999999</v>
      </c>
      <c r="F6953" t="s">
        <v>64</v>
      </c>
      <c r="G6953">
        <v>-440.75</v>
      </c>
      <c r="H6953">
        <v>2.6057640000000002</v>
      </c>
      <c r="I6953">
        <v>111.9829</v>
      </c>
      <c r="J6953">
        <v>-390.67329999999998</v>
      </c>
      <c r="K6953">
        <v>1.124085</v>
      </c>
      <c r="L6953">
        <v>142.40880000000001</v>
      </c>
      <c r="M6953">
        <v>-0.99361619999999995</v>
      </c>
      <c r="N6953">
        <v>-1.2290860000000001E-2</v>
      </c>
      <c r="O6953">
        <v>-0.112141</v>
      </c>
      <c r="P6953">
        <v>-0.96807049999999994</v>
      </c>
      <c r="Q6953">
        <v>0.12770680000000001</v>
      </c>
      <c r="R6953">
        <v>-0.2157085</v>
      </c>
      <c r="S6953">
        <v>-2.7293090000000002</v>
      </c>
      <c r="T6953">
        <v>8.0352190000000004E-2</v>
      </c>
      <c r="U6953">
        <v>-1.651718</v>
      </c>
      <c r="V6953">
        <v>-0.1067198</v>
      </c>
      <c r="W6953">
        <v>0.13910129999999901</v>
      </c>
      <c r="X6953">
        <v>0.98451089999999997</v>
      </c>
      <c r="Y6953">
        <v>-0.41854239999999998</v>
      </c>
      <c r="Z6953">
        <v>-1.3924569999999999E-3</v>
      </c>
      <c r="AA6953">
        <v>0.90819620000000001</v>
      </c>
      <c r="AB6953">
        <v>26</v>
      </c>
      <c r="AC6953">
        <v>-50.076700000000002</v>
      </c>
      <c r="AD6953">
        <v>1.48167899999999</v>
      </c>
      <c r="AE6953">
        <v>-30.425899999999999</v>
      </c>
      <c r="AF6953">
        <v>-24.6021466715675</v>
      </c>
      <c r="AG6953">
        <v>1.48167899999999</v>
      </c>
      <c r="AH6953">
        <v>53.1390545192885</v>
      </c>
      <c r="AI6953">
        <v>88.550564841690203</v>
      </c>
      <c r="AJ6953">
        <v>114.84303953582</v>
      </c>
      <c r="AK6953">
        <v>58.576617422929701</v>
      </c>
      <c r="AL6953">
        <v>82.004154298746101</v>
      </c>
      <c r="AM6953">
        <v>96.186637584126004</v>
      </c>
      <c r="AN6953">
        <v>0.99999999979626997</v>
      </c>
    </row>
    <row r="6954" spans="1:40" x14ac:dyDescent="0.25">
      <c r="A6954" t="str">
        <f>"20190303162051613"</f>
        <v>20190303162051613</v>
      </c>
      <c r="B6954" t="str">
        <f>"1551601251610099"</f>
        <v>1551601251610099</v>
      </c>
      <c r="C6954" t="s">
        <v>40</v>
      </c>
      <c r="D6954">
        <v>4.6442310000000004</v>
      </c>
      <c r="E6954">
        <v>0.3722607</v>
      </c>
      <c r="F6954" t="s">
        <v>64</v>
      </c>
      <c r="G6954">
        <v>-440.75</v>
      </c>
      <c r="H6954">
        <v>3.8193229999999998</v>
      </c>
      <c r="I6954">
        <v>112.61709999999999</v>
      </c>
      <c r="J6954">
        <v>-390.92809999999997</v>
      </c>
      <c r="K6954">
        <v>1.1240669999999999</v>
      </c>
      <c r="L6954">
        <v>142.37540000000001</v>
      </c>
      <c r="M6954">
        <v>-0.99315589999999998</v>
      </c>
      <c r="N6954">
        <v>-1.229103E-2</v>
      </c>
      <c r="O6954">
        <v>-0.1161483</v>
      </c>
      <c r="P6954">
        <v>-0.96645579999999998</v>
      </c>
      <c r="Q6954">
        <v>0.12477100000000001</v>
      </c>
      <c r="R6954">
        <v>-0.22448989999999999</v>
      </c>
      <c r="S6954">
        <v>-2.7191770000000002</v>
      </c>
      <c r="T6954">
        <v>0.14635290000000001</v>
      </c>
      <c r="U6954">
        <v>-1.617691</v>
      </c>
      <c r="V6954">
        <v>-0.1116304</v>
      </c>
      <c r="W6954">
        <v>0.13613059999999999</v>
      </c>
      <c r="X6954">
        <v>0.98438159999999997</v>
      </c>
      <c r="Y6954">
        <v>-0.40787099999999998</v>
      </c>
      <c r="Z6954">
        <v>3.8982280000000001E-4</v>
      </c>
      <c r="AA6954">
        <v>0.9130395</v>
      </c>
      <c r="AB6954">
        <v>26</v>
      </c>
      <c r="AC6954">
        <v>-49.821899999999999</v>
      </c>
      <c r="AD6954">
        <v>2.6952560000000001</v>
      </c>
      <c r="AE6954">
        <v>-29.758299999999998</v>
      </c>
      <c r="AF6954">
        <v>-23.718534451716</v>
      </c>
      <c r="AG6954">
        <v>2.6952560000000001</v>
      </c>
      <c r="AH6954">
        <v>52.827335026252399</v>
      </c>
      <c r="AI6954">
        <v>87.335146256284105</v>
      </c>
      <c r="AJ6954">
        <v>114.17923273306</v>
      </c>
      <c r="AK6954">
        <v>57.970342481467902</v>
      </c>
      <c r="AL6954">
        <v>82.175998000208196</v>
      </c>
      <c r="AM6954">
        <v>96.469791074525205</v>
      </c>
      <c r="AN6954">
        <v>1.0000000104395399</v>
      </c>
    </row>
    <row r="6955" spans="1:40" x14ac:dyDescent="0.25">
      <c r="A6955" t="str">
        <f>"20190303162051635"</f>
        <v>20190303162051635</v>
      </c>
      <c r="B6955" t="str">
        <f>"1551601251629574"</f>
        <v>1551601251629574</v>
      </c>
      <c r="C6955" t="s">
        <v>40</v>
      </c>
      <c r="D6955">
        <v>4.6604349999999997</v>
      </c>
      <c r="E6955">
        <v>0.36907620000000002</v>
      </c>
      <c r="F6955" t="s">
        <v>64</v>
      </c>
      <c r="G6955">
        <v>-440.75</v>
      </c>
      <c r="H6955">
        <v>2.5004140000000001</v>
      </c>
      <c r="I6955">
        <v>111.739</v>
      </c>
      <c r="J6955">
        <v>-391.1782</v>
      </c>
      <c r="K6955">
        <v>1.1240490000000001</v>
      </c>
      <c r="L6955">
        <v>142.3417</v>
      </c>
      <c r="M6955">
        <v>-0.99268789999999996</v>
      </c>
      <c r="N6955">
        <v>-1.2291089999999999E-2</v>
      </c>
      <c r="O6955">
        <v>-0.120083</v>
      </c>
      <c r="P6955">
        <v>-0.96459879999999998</v>
      </c>
      <c r="Q6955">
        <v>0.1219465</v>
      </c>
      <c r="R6955">
        <v>-0.23383429999999999</v>
      </c>
      <c r="S6955">
        <v>-2.707703</v>
      </c>
      <c r="T6955">
        <v>7.4802399999999894E-2</v>
      </c>
      <c r="U6955">
        <v>-1.665009</v>
      </c>
      <c r="V6955">
        <v>-0.11720220000000001</v>
      </c>
      <c r="W6955">
        <v>0.13326579999999999</v>
      </c>
      <c r="X6955">
        <v>0.9841259</v>
      </c>
      <c r="Y6955">
        <v>-0.41773490000000002</v>
      </c>
      <c r="Z6955">
        <v>-1.8594880000000001E-3</v>
      </c>
      <c r="AA6955">
        <v>0.90856709999999996</v>
      </c>
      <c r="AB6955">
        <v>26</v>
      </c>
      <c r="AC6955">
        <v>-49.571800000000003</v>
      </c>
      <c r="AD6955">
        <v>1.3763650000000001</v>
      </c>
      <c r="AE6955">
        <v>-30.602699999999999</v>
      </c>
      <c r="AF6955">
        <v>-24.4144140658602</v>
      </c>
      <c r="AG6955">
        <v>1.3763650000000001</v>
      </c>
      <c r="AH6955">
        <v>52.858673809957502</v>
      </c>
      <c r="AI6955">
        <v>88.645843275615803</v>
      </c>
      <c r="AJ6955">
        <v>114.791315222964</v>
      </c>
      <c r="AK6955">
        <v>58.240856722235698</v>
      </c>
      <c r="AL6955">
        <v>82.341648233389506</v>
      </c>
      <c r="AM6955">
        <v>96.791520807573406</v>
      </c>
      <c r="AN6955">
        <v>0.99999995809264397</v>
      </c>
    </row>
    <row r="6956" spans="1:40" x14ac:dyDescent="0.25">
      <c r="A6956" t="str">
        <f>"20190303162051656"</f>
        <v>20190303162051656</v>
      </c>
      <c r="B6956" t="str">
        <f>"1551601251650070"</f>
        <v>1551601251650070</v>
      </c>
      <c r="C6956" t="s">
        <v>40</v>
      </c>
      <c r="D6956">
        <v>4.656523</v>
      </c>
      <c r="E6956">
        <v>0.36724109999999999</v>
      </c>
      <c r="F6956" t="s">
        <v>64</v>
      </c>
      <c r="G6956">
        <v>-440.75</v>
      </c>
      <c r="H6956">
        <v>1.2120420000000001</v>
      </c>
      <c r="I6956">
        <v>110.78449999999999</v>
      </c>
      <c r="J6956">
        <v>-391.42840000000001</v>
      </c>
      <c r="K6956">
        <v>1.124037</v>
      </c>
      <c r="L6956">
        <v>142.30690000000001</v>
      </c>
      <c r="M6956">
        <v>-0.99220379999999997</v>
      </c>
      <c r="N6956">
        <v>-1.229089E-2</v>
      </c>
      <c r="O6956">
        <v>-0.1240189</v>
      </c>
      <c r="P6956">
        <v>-0.96255550000000001</v>
      </c>
      <c r="Q6956">
        <v>0.1198593</v>
      </c>
      <c r="R6956">
        <v>-0.2431471</v>
      </c>
      <c r="S6956">
        <v>-2.693756</v>
      </c>
      <c r="T6956">
        <v>4.7830340000000002E-3</v>
      </c>
      <c r="U6956">
        <v>-1.71482799999999</v>
      </c>
      <c r="V6956">
        <v>-0.1227719</v>
      </c>
      <c r="W6956">
        <v>0.13113610000000001</v>
      </c>
      <c r="X6956">
        <v>0.98373290000000002</v>
      </c>
      <c r="Y6956">
        <v>-0.42824970000000001</v>
      </c>
      <c r="Z6956">
        <v>-4.11949E-3</v>
      </c>
      <c r="AA6956">
        <v>0.90365099999999998</v>
      </c>
      <c r="AB6956">
        <v>26</v>
      </c>
      <c r="AC6956">
        <v>-49.321599999999897</v>
      </c>
      <c r="AD6956">
        <v>8.8004999999999806E-2</v>
      </c>
      <c r="AE6956">
        <v>-31.522400000000001</v>
      </c>
      <c r="AF6956">
        <v>-25.1616765339602</v>
      </c>
      <c r="AG6956">
        <v>8.8004999999999806E-2</v>
      </c>
      <c r="AH6956">
        <v>52.850321405009602</v>
      </c>
      <c r="AI6956">
        <v>89.913857179708103</v>
      </c>
      <c r="AJ6956">
        <v>115.45879973959001</v>
      </c>
      <c r="AK6956">
        <v>58.534384625555703</v>
      </c>
      <c r="AL6956">
        <v>82.464752019912595</v>
      </c>
      <c r="AM6956">
        <v>97.113849864569502</v>
      </c>
      <c r="AN6956">
        <v>1.00000001734761</v>
      </c>
    </row>
    <row r="6957" spans="1:40" x14ac:dyDescent="0.25">
      <c r="A6957" t="str">
        <f>"20190303162051680"</f>
        <v>20190303162051680</v>
      </c>
      <c r="B6957" t="str">
        <f>"1551601251669589"</f>
        <v>1551601251669589</v>
      </c>
      <c r="C6957" t="s">
        <v>40</v>
      </c>
      <c r="D6957">
        <v>4.6315030000000004</v>
      </c>
      <c r="E6957">
        <v>0.36633569999999999</v>
      </c>
      <c r="F6957" t="s">
        <v>64</v>
      </c>
      <c r="G6957">
        <v>-440.75</v>
      </c>
      <c r="H6957">
        <v>0.29744500000000001</v>
      </c>
      <c r="I6957">
        <v>110.0123</v>
      </c>
      <c r="J6957">
        <v>-391.68189999999998</v>
      </c>
      <c r="K6957">
        <v>1.124034</v>
      </c>
      <c r="L6957">
        <v>142.2706</v>
      </c>
      <c r="M6957">
        <v>-0.99169700000000005</v>
      </c>
      <c r="N6957">
        <v>-1.229067E-2</v>
      </c>
      <c r="O6957">
        <v>-0.1280077</v>
      </c>
      <c r="P6957">
        <v>-0.96006809999999998</v>
      </c>
      <c r="Q6957">
        <v>0.11935510000000001</v>
      </c>
      <c r="R6957">
        <v>-0.253029</v>
      </c>
      <c r="S6957">
        <v>-2.679138</v>
      </c>
      <c r="T6957">
        <v>-4.4898750000000001E-2</v>
      </c>
      <c r="U6957">
        <v>-1.754227</v>
      </c>
      <c r="V6957">
        <v>-0.12892439999999999</v>
      </c>
      <c r="W6957">
        <v>0.13058149999999999</v>
      </c>
      <c r="X6957">
        <v>0.98301930000000004</v>
      </c>
      <c r="Y6957">
        <v>-0.43609870000000001</v>
      </c>
      <c r="Z6957">
        <v>-5.7687469999999899E-3</v>
      </c>
      <c r="AA6957">
        <v>0.89988029999999997</v>
      </c>
      <c r="AB6957">
        <v>26</v>
      </c>
      <c r="AC6957">
        <v>-49.068100000000001</v>
      </c>
      <c r="AD6957">
        <v>-0.82658899999999902</v>
      </c>
      <c r="AE6957">
        <v>-32.258299999999998</v>
      </c>
      <c r="AF6957">
        <v>-25.7062136430193</v>
      </c>
      <c r="AG6957">
        <v>-0.82658899999999902</v>
      </c>
      <c r="AH6957">
        <v>52.783528149642599</v>
      </c>
      <c r="AI6957">
        <v>90.8066192316806</v>
      </c>
      <c r="AJ6957">
        <v>115.966639662357</v>
      </c>
      <c r="AK6957">
        <v>58.716211672412904</v>
      </c>
      <c r="AL6957">
        <v>82.496803640554404</v>
      </c>
      <c r="AM6957">
        <v>97.471778982913605</v>
      </c>
      <c r="AN6957">
        <v>0.99999998661504996</v>
      </c>
    </row>
    <row r="6958" spans="1:40" x14ac:dyDescent="0.25">
      <c r="A6958" t="str">
        <f>"20190303162051703"</f>
        <v>20190303162051703</v>
      </c>
      <c r="B6958" t="str">
        <f>"1551601251689110"</f>
        <v>1551601251689110</v>
      </c>
      <c r="C6958" t="s">
        <v>40</v>
      </c>
      <c r="D6958">
        <v>4.6001830000000004</v>
      </c>
      <c r="E6958">
        <v>0.36595949999999999</v>
      </c>
      <c r="F6958" t="s">
        <v>41</v>
      </c>
      <c r="G6958">
        <v>-429.95780000000002</v>
      </c>
      <c r="H6958">
        <v>3.6440739999999999E-2</v>
      </c>
      <c r="I6958">
        <v>116.5733</v>
      </c>
      <c r="J6958">
        <v>-391.94040000000001</v>
      </c>
      <c r="K6958">
        <v>1.1240399999999999</v>
      </c>
      <c r="L6958">
        <v>142.23259999999999</v>
      </c>
      <c r="M6958">
        <v>-0.99116360000000003</v>
      </c>
      <c r="N6958">
        <v>-1.229044E-2</v>
      </c>
      <c r="O6958">
        <v>-0.1320752</v>
      </c>
      <c r="P6958">
        <v>-0.95743500000000004</v>
      </c>
      <c r="Q6958">
        <v>0.1196946</v>
      </c>
      <c r="R6958">
        <v>-0.26266289999999998</v>
      </c>
      <c r="S6958">
        <v>-2.6629939999999999</v>
      </c>
      <c r="T6958">
        <v>-7.5667979999999996E-2</v>
      </c>
      <c r="U6958">
        <v>-1.787857</v>
      </c>
      <c r="V6958">
        <v>-0.13478319999999999</v>
      </c>
      <c r="W6958">
        <v>0.13087180000000001</v>
      </c>
      <c r="X6958">
        <v>0.98219449999999997</v>
      </c>
      <c r="Y6958">
        <v>-0.44267210000000001</v>
      </c>
      <c r="Z6958">
        <v>-6.8091640000000004E-3</v>
      </c>
      <c r="AA6958">
        <v>0.896657699999999</v>
      </c>
      <c r="AB6958">
        <v>26</v>
      </c>
      <c r="AC6958">
        <v>-38.017400000000002</v>
      </c>
      <c r="AD6958">
        <v>-1.08759926</v>
      </c>
      <c r="AE6958">
        <v>-25.659299999999899</v>
      </c>
      <c r="AF6958">
        <v>-20.401476998999101</v>
      </c>
      <c r="AG6958">
        <v>-1.08759926</v>
      </c>
      <c r="AH6958">
        <v>41.050436843167297</v>
      </c>
      <c r="AI6958">
        <v>91.359126804172803</v>
      </c>
      <c r="AJ6958">
        <v>116.42671586201</v>
      </c>
      <c r="AK6958">
        <v>45.853478612924299</v>
      </c>
      <c r="AL6958">
        <v>82.480026709540098</v>
      </c>
      <c r="AM6958">
        <v>97.813701267661799</v>
      </c>
      <c r="AN6958">
        <v>0.99999998743386498</v>
      </c>
    </row>
    <row r="6959" spans="1:40" x14ac:dyDescent="0.25">
      <c r="A6959" t="str">
        <f>"20190303162051726"</f>
        <v>20190303162051726</v>
      </c>
      <c r="B6959" t="str">
        <f>"1551601251719366"</f>
        <v>1551601251719366</v>
      </c>
      <c r="C6959" t="s">
        <v>40</v>
      </c>
      <c r="D6959">
        <v>4.6301779999999999</v>
      </c>
      <c r="E6959">
        <v>0.3660158</v>
      </c>
      <c r="F6959" t="s">
        <v>50</v>
      </c>
      <c r="G6959">
        <v>-422.96899999999999</v>
      </c>
      <c r="H6959" s="1">
        <v>-1.6327789999999999E-6</v>
      </c>
      <c r="I6959">
        <v>120.9246</v>
      </c>
      <c r="J6959">
        <v>-392.19560000000001</v>
      </c>
      <c r="K6959">
        <v>1.1240479999999999</v>
      </c>
      <c r="L6959">
        <v>142.19399999999999</v>
      </c>
      <c r="M6959">
        <v>-0.9906201</v>
      </c>
      <c r="N6959">
        <v>-1.229004E-2</v>
      </c>
      <c r="O6959">
        <v>-0.1360915</v>
      </c>
      <c r="P6959">
        <v>-0.95487140000000004</v>
      </c>
      <c r="Q6959">
        <v>0.1204118</v>
      </c>
      <c r="R6959">
        <v>-0.27151779999999998</v>
      </c>
      <c r="S6959">
        <v>-2.6467290000000001</v>
      </c>
      <c r="T6959">
        <v>-9.5880270000000004E-2</v>
      </c>
      <c r="U6959">
        <v>-1.817566</v>
      </c>
      <c r="V6959">
        <v>-0.1399205</v>
      </c>
      <c r="W6959">
        <v>0.13154399999999999</v>
      </c>
      <c r="X6959">
        <v>0.98138590000000003</v>
      </c>
      <c r="Y6959">
        <v>-0.44836779999999998</v>
      </c>
      <c r="Z6959">
        <v>-7.4958669999999998E-3</v>
      </c>
      <c r="AA6959">
        <v>0.89381769999999905</v>
      </c>
      <c r="AB6959">
        <v>26</v>
      </c>
      <c r="AC6959">
        <v>-30.773399999999899</v>
      </c>
      <c r="AD6959">
        <v>-1.1240496327789999</v>
      </c>
      <c r="AE6959">
        <v>-21.269399999999901</v>
      </c>
      <c r="AF6959">
        <v>-16.867941242001699</v>
      </c>
      <c r="AG6959">
        <v>-1.1240496327789999</v>
      </c>
      <c r="AH6959">
        <v>33.351739463758697</v>
      </c>
      <c r="AI6959">
        <v>91.722661157909698</v>
      </c>
      <c r="AJ6959">
        <v>116.828414163311</v>
      </c>
      <c r="AK6959">
        <v>37.391569298158799</v>
      </c>
      <c r="AL6959">
        <v>82.441176165619297</v>
      </c>
      <c r="AM6959">
        <v>98.114225417788603</v>
      </c>
      <c r="AN6959">
        <v>0.99999992748752697</v>
      </c>
    </row>
    <row r="6960" spans="1:40" x14ac:dyDescent="0.25">
      <c r="A6960" t="str">
        <f>"20190303162051746"</f>
        <v>20190303162051746</v>
      </c>
      <c r="B6960" t="str">
        <f>"1551601251739863"</f>
        <v>1551601251739863</v>
      </c>
      <c r="C6960" t="s">
        <v>40</v>
      </c>
      <c r="D6960">
        <v>4.5087789999999996</v>
      </c>
      <c r="E6960">
        <v>0.36589120000000003</v>
      </c>
      <c r="F6960" t="s">
        <v>50</v>
      </c>
      <c r="G6960">
        <v>-417.11320000000001</v>
      </c>
      <c r="H6960" s="1">
        <v>-3.6310929999999999E-6</v>
      </c>
      <c r="I6960">
        <v>124.78019999999999</v>
      </c>
      <c r="J6960">
        <v>-392.43759999999997</v>
      </c>
      <c r="K6960">
        <v>1.12405</v>
      </c>
      <c r="L6960">
        <v>142.15629999999999</v>
      </c>
      <c r="M6960">
        <v>-0.99008929999999995</v>
      </c>
      <c r="N6960">
        <v>-1.228978E-2</v>
      </c>
      <c r="O6960">
        <v>-0.1399012</v>
      </c>
      <c r="P6960">
        <v>-0.95235789999999998</v>
      </c>
      <c r="Q6960">
        <v>0.1212259</v>
      </c>
      <c r="R6960">
        <v>-0.27985559999999998</v>
      </c>
      <c r="S6960">
        <v>-2.6334529999999998</v>
      </c>
      <c r="T6960">
        <v>-0.11879720000000001</v>
      </c>
      <c r="U6960">
        <v>-1.840408</v>
      </c>
      <c r="V6960">
        <v>-0.1447505</v>
      </c>
      <c r="W6960">
        <v>0.13231589999999999</v>
      </c>
      <c r="X6960">
        <v>0.98058129999999999</v>
      </c>
      <c r="Y6960">
        <v>-0.4521481</v>
      </c>
      <c r="Z6960">
        <v>-8.2048759999999998E-3</v>
      </c>
      <c r="AA6960">
        <v>0.89190509999999901</v>
      </c>
      <c r="AB6960">
        <v>26</v>
      </c>
      <c r="AC6960">
        <v>-24.675599999999999</v>
      </c>
      <c r="AD6960">
        <v>-1.124053631093</v>
      </c>
      <c r="AE6960">
        <v>-17.376099999999902</v>
      </c>
      <c r="AF6960">
        <v>-13.7337301950399</v>
      </c>
      <c r="AG6960">
        <v>-1.124053631093</v>
      </c>
      <c r="AH6960">
        <v>26.826796247234402</v>
      </c>
      <c r="AI6960">
        <v>92.135972133940001</v>
      </c>
      <c r="AJ6960">
        <v>117.109756681222</v>
      </c>
      <c r="AK6960">
        <v>30.158843454720799</v>
      </c>
      <c r="AL6960">
        <v>82.396559693125994</v>
      </c>
      <c r="AM6960">
        <v>98.397189497900996</v>
      </c>
      <c r="AN6960">
        <v>0.99999994527637304</v>
      </c>
    </row>
    <row r="6961" spans="1:40" x14ac:dyDescent="0.25">
      <c r="A6961" t="str">
        <f>"20190303162051769"</f>
        <v>20190303162051769</v>
      </c>
      <c r="B6961" t="str">
        <f>"1551601251759382"</f>
        <v>1551601251759382</v>
      </c>
      <c r="C6961" t="s">
        <v>40</v>
      </c>
      <c r="D6961">
        <v>4.4728159999999999</v>
      </c>
      <c r="E6961">
        <v>0.36551410000000001</v>
      </c>
      <c r="F6961" t="s">
        <v>50</v>
      </c>
      <c r="G6961">
        <v>-415.36279999999999</v>
      </c>
      <c r="H6961" s="1">
        <v>-4.2452340000000001E-6</v>
      </c>
      <c r="I6961">
        <v>125.8473</v>
      </c>
      <c r="J6961">
        <v>-392.69200000000001</v>
      </c>
      <c r="K6961">
        <v>1.1240460000000001</v>
      </c>
      <c r="L6961">
        <v>142.1157</v>
      </c>
      <c r="M6961">
        <v>-0.98951509999999998</v>
      </c>
      <c r="N6961">
        <v>-1.228949E-2</v>
      </c>
      <c r="O6961">
        <v>-0.14390610000000001</v>
      </c>
      <c r="P6961">
        <v>-0.94994100000000004</v>
      </c>
      <c r="Q6961">
        <v>0.12194869999999999</v>
      </c>
      <c r="R6961">
        <v>-0.287647599999999</v>
      </c>
      <c r="S6961">
        <v>-2.6189269999999998</v>
      </c>
      <c r="T6961">
        <v>-0.12840950000000001</v>
      </c>
      <c r="U6961">
        <v>-1.863113</v>
      </c>
      <c r="V6961">
        <v>-0.1488389</v>
      </c>
      <c r="W6961">
        <v>0.1330026</v>
      </c>
      <c r="X6961">
        <v>0.97987619999999997</v>
      </c>
      <c r="Y6961">
        <v>-0.45595790000000003</v>
      </c>
      <c r="Z6961">
        <v>-8.4915939999999999E-3</v>
      </c>
      <c r="AA6961">
        <v>0.8899608</v>
      </c>
      <c r="AB6961">
        <v>26</v>
      </c>
      <c r="AC6961">
        <v>-22.6708</v>
      </c>
      <c r="AD6961">
        <v>-1.124050245234</v>
      </c>
      <c r="AE6961">
        <v>-16.2684</v>
      </c>
      <c r="AF6961">
        <v>-12.815533614066901</v>
      </c>
      <c r="AG6961">
        <v>-1.124050245234</v>
      </c>
      <c r="AH6961">
        <v>24.735950942898398</v>
      </c>
      <c r="AI6961">
        <v>92.310535042017193</v>
      </c>
      <c r="AJ6961">
        <v>117.38837701834601</v>
      </c>
      <c r="AK6961">
        <v>27.8813317439567</v>
      </c>
      <c r="AL6961">
        <v>82.356864551673596</v>
      </c>
      <c r="AM6961">
        <v>98.636956842850395</v>
      </c>
      <c r="AN6961">
        <v>1.0000000385432</v>
      </c>
    </row>
    <row r="6962" spans="1:40" x14ac:dyDescent="0.25">
      <c r="A6962" t="str">
        <f>"20190303162051791"</f>
        <v>20190303162051791</v>
      </c>
      <c r="B6962" t="str">
        <f>"1551601251779878"</f>
        <v>1551601251779878</v>
      </c>
      <c r="C6962" t="s">
        <v>40</v>
      </c>
      <c r="D6962">
        <v>4.4514760000000004</v>
      </c>
      <c r="E6962">
        <v>0.36538490000000001</v>
      </c>
      <c r="F6962" t="s">
        <v>50</v>
      </c>
      <c r="G6962">
        <v>-414.62419999999997</v>
      </c>
      <c r="H6962" s="1">
        <v>-4.4780689999999997E-6</v>
      </c>
      <c r="I6962">
        <v>126.2217</v>
      </c>
      <c r="J6962">
        <v>-392.94499999999999</v>
      </c>
      <c r="K6962">
        <v>1.124042</v>
      </c>
      <c r="L6962">
        <v>142.07429999999999</v>
      </c>
      <c r="M6962">
        <v>-0.98892789999999997</v>
      </c>
      <c r="N6962">
        <v>-1.228927E-2</v>
      </c>
      <c r="O6962">
        <v>-0.14788760000000001</v>
      </c>
      <c r="P6962">
        <v>-0.94779179999999996</v>
      </c>
      <c r="Q6962">
        <v>0.1206385</v>
      </c>
      <c r="R6962">
        <v>-0.29519040000000002</v>
      </c>
      <c r="S6962">
        <v>-2.6038510000000001</v>
      </c>
      <c r="T6962">
        <v>-0.1334504</v>
      </c>
      <c r="U6962">
        <v>-1.886978</v>
      </c>
      <c r="V6962">
        <v>-0.15265599999999999</v>
      </c>
      <c r="W6962">
        <v>0.13166169999999999</v>
      </c>
      <c r="X6962">
        <v>0.9794699</v>
      </c>
      <c r="Y6962">
        <v>-0.46014159999999998</v>
      </c>
      <c r="Z6962">
        <v>-8.6467899999999997E-3</v>
      </c>
      <c r="AA6962">
        <v>0.88780340000000002</v>
      </c>
      <c r="AB6962">
        <v>26</v>
      </c>
      <c r="AC6962">
        <v>-21.679199999999899</v>
      </c>
      <c r="AD6962">
        <v>-1.124046478069</v>
      </c>
      <c r="AE6962">
        <v>-15.852599999999899</v>
      </c>
      <c r="AF6962">
        <v>-12.4501256529014</v>
      </c>
      <c r="AG6962">
        <v>-1.124046478069</v>
      </c>
      <c r="AH6962">
        <v>23.743771264454601</v>
      </c>
      <c r="AI6962">
        <v>92.4008053837658</v>
      </c>
      <c r="AJ6962">
        <v>117.670419580199</v>
      </c>
      <c r="AK6962">
        <v>26.833482500723498</v>
      </c>
      <c r="AL6962">
        <v>82.434373617320901</v>
      </c>
      <c r="AM6962">
        <v>98.858606401063497</v>
      </c>
      <c r="AN6962">
        <v>0.99999997129444895</v>
      </c>
    </row>
    <row r="6963" spans="1:40" x14ac:dyDescent="0.25">
      <c r="A6963" t="str">
        <f>"20190303162051815"</f>
        <v>20190303162051815</v>
      </c>
      <c r="B6963" t="str">
        <f>"1551601251809158"</f>
        <v>1551601251809158</v>
      </c>
      <c r="C6963" t="s">
        <v>40</v>
      </c>
      <c r="D6963">
        <v>4.4667159999999999</v>
      </c>
      <c r="E6963">
        <v>0.3664364</v>
      </c>
      <c r="F6963" t="s">
        <v>50</v>
      </c>
      <c r="G6963">
        <v>-413.58589999999998</v>
      </c>
      <c r="H6963" s="1">
        <v>-4.8435609999999997E-6</v>
      </c>
      <c r="I6963">
        <v>126.85809999999999</v>
      </c>
      <c r="J6963">
        <v>-393.20400000000001</v>
      </c>
      <c r="K6963">
        <v>1.1240380000000001</v>
      </c>
      <c r="L6963">
        <v>142.0308</v>
      </c>
      <c r="M6963">
        <v>-0.9883094</v>
      </c>
      <c r="N6963">
        <v>-1.2289090000000001E-2</v>
      </c>
      <c r="O6963">
        <v>-0.1519655</v>
      </c>
      <c r="P6963">
        <v>-0.94568149999999995</v>
      </c>
      <c r="Q6963">
        <v>0.1179615</v>
      </c>
      <c r="R6963">
        <v>-0.30293920000000002</v>
      </c>
      <c r="S6963">
        <v>-2.5887760000000002</v>
      </c>
      <c r="T6963">
        <v>-0.14097799999999999</v>
      </c>
      <c r="U6963">
        <v>-1.908417</v>
      </c>
      <c r="V6963">
        <v>-0.15656979999999901</v>
      </c>
      <c r="W6963">
        <v>0.1289546</v>
      </c>
      <c r="X6963">
        <v>0.97921219999999998</v>
      </c>
      <c r="Y6963">
        <v>-0.46366610000000003</v>
      </c>
      <c r="Z6963">
        <v>-8.8438690000000007E-3</v>
      </c>
      <c r="AA6963">
        <v>0.88596589999999997</v>
      </c>
      <c r="AB6963">
        <v>26</v>
      </c>
      <c r="AC6963">
        <v>-20.381899999999899</v>
      </c>
      <c r="AD6963">
        <v>-1.1240428435609999</v>
      </c>
      <c r="AE6963">
        <v>-15.172700000000001</v>
      </c>
      <c r="AF6963">
        <v>-11.875634856759101</v>
      </c>
      <c r="AG6963">
        <v>-1.1240428435609999</v>
      </c>
      <c r="AH6963">
        <v>22.407195794613099</v>
      </c>
      <c r="AI6963">
        <v>92.537918341547794</v>
      </c>
      <c r="AJ6963">
        <v>117.92323255202901</v>
      </c>
      <c r="AK6963">
        <v>25.384574035097799</v>
      </c>
      <c r="AL6963">
        <v>82.590812880390303</v>
      </c>
      <c r="AM6963">
        <v>99.084334784330395</v>
      </c>
      <c r="AN6963">
        <v>0.99999996188101903</v>
      </c>
    </row>
    <row r="6964" spans="1:40" x14ac:dyDescent="0.25">
      <c r="A6964" t="str">
        <f>"20190303162051836"</f>
        <v>20190303162051836</v>
      </c>
      <c r="B6964" t="str">
        <f>"1551601251829187"</f>
        <v>1551601251829187</v>
      </c>
      <c r="C6964" t="s">
        <v>40</v>
      </c>
      <c r="D6964">
        <v>4.410037</v>
      </c>
      <c r="E6964">
        <v>0.36674469999999998</v>
      </c>
      <c r="F6964" t="s">
        <v>50</v>
      </c>
      <c r="G6964">
        <v>-411.89839999999998</v>
      </c>
      <c r="H6964" s="1">
        <v>-5.507906E-6</v>
      </c>
      <c r="I6964">
        <v>128.095</v>
      </c>
      <c r="J6964">
        <v>-393.44439999999997</v>
      </c>
      <c r="K6964">
        <v>1.1240270000000001</v>
      </c>
      <c r="L6964">
        <v>141.98949999999999</v>
      </c>
      <c r="M6964">
        <v>-0.98771909999999896</v>
      </c>
      <c r="N6964">
        <v>-1.228893E-2</v>
      </c>
      <c r="O6964">
        <v>-0.15575610000000001</v>
      </c>
      <c r="P6964">
        <v>-0.94257270000000004</v>
      </c>
      <c r="Q6964">
        <v>0.1152374</v>
      </c>
      <c r="R6964">
        <v>-0.3134922</v>
      </c>
      <c r="S6964">
        <v>-2.5763850000000001</v>
      </c>
      <c r="T6964">
        <v>-0.154911299999999</v>
      </c>
      <c r="U6964">
        <v>-1.9205779999999999</v>
      </c>
      <c r="V6964">
        <v>-0.16369629999999999</v>
      </c>
      <c r="W6964">
        <v>0.12617139999999999</v>
      </c>
      <c r="X6964">
        <v>0.97840910000000003</v>
      </c>
      <c r="Y6964">
        <v>-0.46491179999999899</v>
      </c>
      <c r="Z6964">
        <v>-9.1412590000000005E-3</v>
      </c>
      <c r="AA6964">
        <v>0.88530980000000004</v>
      </c>
      <c r="AB6964">
        <v>26</v>
      </c>
      <c r="AC6964">
        <v>-18.454000000000001</v>
      </c>
      <c r="AD6964">
        <v>-1.1240325079060001</v>
      </c>
      <c r="AE6964">
        <v>-13.894499999999899</v>
      </c>
      <c r="AF6964">
        <v>-10.8247290270634</v>
      </c>
      <c r="AG6964">
        <v>-1.1240325079060001</v>
      </c>
      <c r="AH6964">
        <v>20.344889676087298</v>
      </c>
      <c r="AI6964">
        <v>92.792374688986101</v>
      </c>
      <c r="AJ6964">
        <v>118.01571608478601</v>
      </c>
      <c r="AK6964">
        <v>23.072770607803999</v>
      </c>
      <c r="AL6964">
        <v>82.751592569985803</v>
      </c>
      <c r="AM6964">
        <v>99.498106957156494</v>
      </c>
      <c r="AN6964">
        <v>1.0000000338872199</v>
      </c>
    </row>
    <row r="6965" spans="1:40" x14ac:dyDescent="0.25">
      <c r="A6965" t="str">
        <f>"20190303162051858"</f>
        <v>20190303162051858</v>
      </c>
      <c r="B6965" t="str">
        <f>"1551601251849681"</f>
        <v>1551601251849681</v>
      </c>
      <c r="C6965" t="s">
        <v>40</v>
      </c>
      <c r="D6965">
        <v>4.3993359999999999</v>
      </c>
      <c r="E6965">
        <v>0.36591099999999999</v>
      </c>
      <c r="F6965" t="s">
        <v>42</v>
      </c>
      <c r="G6965">
        <v>-394.26100000000002</v>
      </c>
      <c r="H6965">
        <v>1.070033</v>
      </c>
      <c r="I6965">
        <v>141.36799999999999</v>
      </c>
      <c r="J6965">
        <v>-393.69499999999999</v>
      </c>
      <c r="K6965">
        <v>1.1240319999999999</v>
      </c>
      <c r="L6965">
        <v>141.94540000000001</v>
      </c>
      <c r="M6965">
        <v>-0.98708609999999997</v>
      </c>
      <c r="N6965">
        <v>-1.2289E-2</v>
      </c>
      <c r="O6965">
        <v>-0.15971879999999999</v>
      </c>
      <c r="P6965">
        <v>-0.93806</v>
      </c>
      <c r="Q6965">
        <v>0.11415210000000001</v>
      </c>
      <c r="R6965">
        <v>-0.32712849999999999</v>
      </c>
      <c r="S6965">
        <v>-2.5564269999999998</v>
      </c>
      <c r="T6965">
        <v>-0.16903660000000001</v>
      </c>
      <c r="U6965">
        <v>-1.945419</v>
      </c>
      <c r="V6965">
        <v>-0.1739385</v>
      </c>
      <c r="W6965">
        <v>0.12499489999999901</v>
      </c>
      <c r="X6965">
        <v>0.97679150000000003</v>
      </c>
      <c r="Y6965">
        <v>-0.47003289999999998</v>
      </c>
      <c r="Z6965">
        <v>-9.5555520000000001E-3</v>
      </c>
      <c r="AA6965">
        <v>0.88259719999999997</v>
      </c>
      <c r="AB6965">
        <v>26</v>
      </c>
      <c r="AC6965">
        <v>-0.56599999999997397</v>
      </c>
      <c r="AD6965">
        <v>-5.3998999999999901E-2</v>
      </c>
      <c r="AE6965">
        <v>-0.57740000000001102</v>
      </c>
      <c r="AF6965">
        <v>-0.477449311144309</v>
      </c>
      <c r="AG6965">
        <v>-5.3998999999999901E-2</v>
      </c>
      <c r="AH6965">
        <v>0.64807092019287205</v>
      </c>
      <c r="AI6965">
        <v>93.837833633372398</v>
      </c>
      <c r="AJ6965">
        <v>126.379960691447</v>
      </c>
      <c r="AK6965">
        <v>0.80676493126115201</v>
      </c>
      <c r="AL6965">
        <v>82.819538597161895</v>
      </c>
      <c r="AM6965">
        <v>100.09689767965099</v>
      </c>
      <c r="AN6965">
        <v>0.99999998064025397</v>
      </c>
    </row>
    <row r="6966" spans="1:40" x14ac:dyDescent="0.25">
      <c r="A6966" t="str">
        <f>"20190303162051881"</f>
        <v>20190303162051881</v>
      </c>
      <c r="B6966" t="str">
        <f>"1551601251869201"</f>
        <v>1551601251869201</v>
      </c>
      <c r="C6966" t="s">
        <v>40</v>
      </c>
      <c r="D6966">
        <v>4.4157599999999997</v>
      </c>
      <c r="E6966">
        <v>0.36398649999999999</v>
      </c>
      <c r="F6966" t="s">
        <v>42</v>
      </c>
      <c r="G6966">
        <v>-394.45409999999998</v>
      </c>
      <c r="H6966">
        <v>1.0703309999999999</v>
      </c>
      <c r="I6966">
        <v>141.3484</v>
      </c>
      <c r="J6966">
        <v>-393.95749999999998</v>
      </c>
      <c r="K6966">
        <v>1.1240520000000001</v>
      </c>
      <c r="L6966">
        <v>141.8981</v>
      </c>
      <c r="M6966">
        <v>-0.98640079999999997</v>
      </c>
      <c r="N6966">
        <v>-1.2289690000000001E-2</v>
      </c>
      <c r="O6966">
        <v>-0.1638983</v>
      </c>
      <c r="P6966">
        <v>-0.93202189999999996</v>
      </c>
      <c r="Q6966">
        <v>0.11358260000000001</v>
      </c>
      <c r="R6966">
        <v>-0.34414339999999999</v>
      </c>
      <c r="S6966">
        <v>-2.5266109999999999</v>
      </c>
      <c r="T6966">
        <v>-0.17872729999999901</v>
      </c>
      <c r="U6966">
        <v>-1.9879</v>
      </c>
      <c r="V6966">
        <v>-0.1875685</v>
      </c>
      <c r="W6966">
        <v>0.12429659999999999</v>
      </c>
      <c r="X6966">
        <v>0.97435539999999998</v>
      </c>
      <c r="Y6966">
        <v>-0.48041800000000001</v>
      </c>
      <c r="Z6966">
        <v>-1.004151E-2</v>
      </c>
      <c r="AA6966">
        <v>0.87698220000000005</v>
      </c>
      <c r="AB6966">
        <v>26</v>
      </c>
      <c r="AC6966">
        <v>-0.49659999999999999</v>
      </c>
      <c r="AD6966">
        <v>-5.3721000000000102E-2</v>
      </c>
      <c r="AE6966">
        <v>-0.54970000000000097</v>
      </c>
      <c r="AF6966">
        <v>-0.45845643528957197</v>
      </c>
      <c r="AG6966">
        <v>-5.3721000000000102E-2</v>
      </c>
      <c r="AH6966">
        <v>0.57695118349696595</v>
      </c>
      <c r="AI6966">
        <v>94.169435588866506</v>
      </c>
      <c r="AJ6966">
        <v>128.47132495753999</v>
      </c>
      <c r="AK6966">
        <v>0.73887814762514903</v>
      </c>
      <c r="AL6966">
        <v>82.859862972495606</v>
      </c>
      <c r="AM6966">
        <v>100.8964405019</v>
      </c>
      <c r="AN6966">
        <v>1.0000000162364799</v>
      </c>
    </row>
    <row r="6967" spans="1:40" x14ac:dyDescent="0.25">
      <c r="A6967" t="str">
        <f>"20190303162051904"</f>
        <v>20190303162051904</v>
      </c>
      <c r="B6967" t="str">
        <f>"1551601251899457"</f>
        <v>1551601251899457</v>
      </c>
      <c r="C6967" t="s">
        <v>40</v>
      </c>
      <c r="D6967">
        <v>4.3922169999999996</v>
      </c>
      <c r="E6967">
        <v>0.36192210000000002</v>
      </c>
      <c r="F6967" t="s">
        <v>42</v>
      </c>
      <c r="G6967">
        <v>-394.6687</v>
      </c>
      <c r="H6967">
        <v>1.0704370000000001</v>
      </c>
      <c r="I6967">
        <v>141.3115</v>
      </c>
      <c r="J6967">
        <v>-394.1995</v>
      </c>
      <c r="K6967">
        <v>1.1240699999999999</v>
      </c>
      <c r="L6967">
        <v>141.85339999999999</v>
      </c>
      <c r="M6967">
        <v>-0.98574589999999995</v>
      </c>
      <c r="N6967">
        <v>-1.2290809999999999E-2</v>
      </c>
      <c r="O6967">
        <v>-0.1677911</v>
      </c>
      <c r="P6967">
        <v>-0.92610559999999997</v>
      </c>
      <c r="Q6967">
        <v>0.1111578</v>
      </c>
      <c r="R6967">
        <v>-0.36051719999999998</v>
      </c>
      <c r="S6967">
        <v>-2.4849549999999998</v>
      </c>
      <c r="T6967">
        <v>-0.18733530000000001</v>
      </c>
      <c r="U6967">
        <v>-2.0492859999999999</v>
      </c>
      <c r="V6967">
        <v>-0.2008395</v>
      </c>
      <c r="W6967">
        <v>0.12174160000000001</v>
      </c>
      <c r="X6967">
        <v>0.97203010000000001</v>
      </c>
      <c r="Y6967">
        <v>-0.49692560000000002</v>
      </c>
      <c r="Z6967">
        <v>-1.0780669999999999E-2</v>
      </c>
      <c r="AA6967">
        <v>0.86772609999999994</v>
      </c>
      <c r="AB6967">
        <v>26</v>
      </c>
      <c r="AC6967">
        <v>-0.46920000000000001</v>
      </c>
      <c r="AD6967">
        <v>-5.3633E-2</v>
      </c>
      <c r="AE6967">
        <v>-0.54189999999999805</v>
      </c>
      <c r="AF6967">
        <v>-0.45294675536566598</v>
      </c>
      <c r="AG6967">
        <v>-5.3633E-2</v>
      </c>
      <c r="AH6967">
        <v>0.55039844018887496</v>
      </c>
      <c r="AI6967">
        <v>94.302916434509498</v>
      </c>
      <c r="AJ6967">
        <v>129.45244643254401</v>
      </c>
      <c r="AK6967">
        <v>0.71482564646746705</v>
      </c>
      <c r="AL6967">
        <v>83.007374196171995</v>
      </c>
      <c r="AM6967">
        <v>101.674096686921</v>
      </c>
      <c r="AN6967">
        <v>1.0000000186184099</v>
      </c>
    </row>
    <row r="6968" spans="1:40" x14ac:dyDescent="0.25">
      <c r="A6968" t="str">
        <f>"20190303162051926"</f>
        <v>20190303162051926</v>
      </c>
      <c r="B6968" t="str">
        <f>"1551601251919288"</f>
        <v>1551601251919288</v>
      </c>
      <c r="C6968" t="s">
        <v>40</v>
      </c>
      <c r="D6968">
        <v>4.2812449999999904</v>
      </c>
      <c r="E6968">
        <v>0.36217349999999998</v>
      </c>
      <c r="F6968" t="s">
        <v>42</v>
      </c>
      <c r="G6968">
        <v>-394.85739999999998</v>
      </c>
      <c r="H6968">
        <v>1.0687199999999999</v>
      </c>
      <c r="I6968">
        <v>141.2861</v>
      </c>
      <c r="J6968">
        <v>-394.44920000000002</v>
      </c>
      <c r="K6968">
        <v>1.124106</v>
      </c>
      <c r="L6968">
        <v>141.80619999999999</v>
      </c>
      <c r="M6968">
        <v>-0.98504329999999996</v>
      </c>
      <c r="N6968">
        <v>-1.229294E-2</v>
      </c>
      <c r="O6968">
        <v>-0.1718683</v>
      </c>
      <c r="P6968">
        <v>-0.91980930000000005</v>
      </c>
      <c r="Q6968">
        <v>0.1089403</v>
      </c>
      <c r="R6968">
        <v>-0.37693929999999998</v>
      </c>
      <c r="S6968">
        <v>-2.4434809999999998</v>
      </c>
      <c r="T6968">
        <v>-0.2055565</v>
      </c>
      <c r="U6968">
        <v>-2.1078640000000002</v>
      </c>
      <c r="V6968">
        <v>-0.21406610000000001</v>
      </c>
      <c r="W6968">
        <v>0.1193829</v>
      </c>
      <c r="X6968">
        <v>0.96949649999999998</v>
      </c>
      <c r="Y6968">
        <v>-0.51232949999999999</v>
      </c>
      <c r="Z6968">
        <v>-1.1797119999999999E-2</v>
      </c>
      <c r="AA6968">
        <v>0.85870800000000003</v>
      </c>
      <c r="AB6968">
        <v>26</v>
      </c>
      <c r="AC6968">
        <v>-0.40819999999996498</v>
      </c>
      <c r="AD6968">
        <v>-5.5385999999999901E-2</v>
      </c>
      <c r="AE6968">
        <v>-0.52009999999998502</v>
      </c>
      <c r="AF6968">
        <v>-0.43911622530813599</v>
      </c>
      <c r="AG6968">
        <v>-5.5385999999999901E-2</v>
      </c>
      <c r="AH6968">
        <v>0.488095231843306</v>
      </c>
      <c r="AI6968">
        <v>94.8219945843434</v>
      </c>
      <c r="AJ6968">
        <v>131.976218855604</v>
      </c>
      <c r="AK6968">
        <v>0.65888361921741301</v>
      </c>
      <c r="AL6968">
        <v>83.1435107877343</v>
      </c>
      <c r="AM6968">
        <v>102.451203453419</v>
      </c>
      <c r="AN6968">
        <v>1.0000000177469299</v>
      </c>
    </row>
    <row r="6969" spans="1:40" x14ac:dyDescent="0.25">
      <c r="A6969" t="str">
        <f>"20190303162051948"</f>
        <v>20190303162051948</v>
      </c>
      <c r="B6969" t="str">
        <f>"1551601251939784"</f>
        <v>1551601251939784</v>
      </c>
      <c r="C6969" t="s">
        <v>40</v>
      </c>
      <c r="D6969">
        <v>4.4672140000000002</v>
      </c>
      <c r="E6969">
        <v>0.36175679999999999</v>
      </c>
      <c r="F6969" t="s">
        <v>42</v>
      </c>
      <c r="G6969">
        <v>-395.2552</v>
      </c>
      <c r="H6969">
        <v>1.05742</v>
      </c>
      <c r="I6969">
        <v>141.08629999999999</v>
      </c>
      <c r="J6969">
        <v>-394.70479999999998</v>
      </c>
      <c r="K6969">
        <v>1.1241589999999999</v>
      </c>
      <c r="L6969">
        <v>141.75649999999999</v>
      </c>
      <c r="M6969">
        <v>-0.98429009999999995</v>
      </c>
      <c r="N6969">
        <v>-1.2296120000000001E-2</v>
      </c>
      <c r="O6969">
        <v>-0.1761297</v>
      </c>
      <c r="P6969">
        <v>-0.91344639999999999</v>
      </c>
      <c r="Q6969">
        <v>0.10823239999999899</v>
      </c>
      <c r="R6969">
        <v>-0.39230280000000001</v>
      </c>
      <c r="S6969">
        <v>-2.4047239999999999</v>
      </c>
      <c r="T6969">
        <v>-0.19894029999999999</v>
      </c>
      <c r="U6969">
        <v>-2.1482999999999999</v>
      </c>
      <c r="V6969">
        <v>-0.2261176</v>
      </c>
      <c r="W6969">
        <v>0.1185307</v>
      </c>
      <c r="X6969">
        <v>0.96686159999999999</v>
      </c>
      <c r="Y6969">
        <v>-0.52349129999999999</v>
      </c>
      <c r="Z6969">
        <v>-1.1885649999999999E-2</v>
      </c>
      <c r="AA6969">
        <v>0.85194809999999999</v>
      </c>
      <c r="AB6969">
        <v>26</v>
      </c>
      <c r="AC6969">
        <v>-0.55040000000002398</v>
      </c>
      <c r="AD6969">
        <v>-6.6738999999999798E-2</v>
      </c>
      <c r="AE6969">
        <v>-0.67019999999999402</v>
      </c>
      <c r="AF6969">
        <v>-0.55945882477394404</v>
      </c>
      <c r="AG6969">
        <v>-6.6738999999999798E-2</v>
      </c>
      <c r="AH6969">
        <v>0.65596063011442296</v>
      </c>
      <c r="AI6969">
        <v>94.426508235239694</v>
      </c>
      <c r="AJ6969">
        <v>130.46035630079101</v>
      </c>
      <c r="AK6969">
        <v>0.86471533986541205</v>
      </c>
      <c r="AL6969">
        <v>83.192687481544795</v>
      </c>
      <c r="AM6969">
        <v>103.16304943066</v>
      </c>
      <c r="AN6969">
        <v>1.0000000247134</v>
      </c>
    </row>
    <row r="6970" spans="1:40" x14ac:dyDescent="0.25">
      <c r="A6970" t="str">
        <f>"20190303162051971"</f>
        <v>20190303162051971</v>
      </c>
      <c r="B6970" t="str">
        <f>"1551601251959305"</f>
        <v>1551601251959305</v>
      </c>
      <c r="C6970" t="s">
        <v>40</v>
      </c>
      <c r="D6970">
        <v>4.4752330000000002</v>
      </c>
      <c r="E6970">
        <v>0.36251739999999999</v>
      </c>
      <c r="F6970" t="s">
        <v>42</v>
      </c>
      <c r="G6970">
        <v>-395.47710000000001</v>
      </c>
      <c r="H6970">
        <v>1.0570630000000001</v>
      </c>
      <c r="I6970">
        <v>141.0421</v>
      </c>
      <c r="J6970">
        <v>-394.952</v>
      </c>
      <c r="K6970">
        <v>1.124217</v>
      </c>
      <c r="L6970">
        <v>141.70740000000001</v>
      </c>
      <c r="M6970">
        <v>-0.98353029999999997</v>
      </c>
      <c r="N6970">
        <v>-1.229969E-2</v>
      </c>
      <c r="O6970">
        <v>-0.1803246</v>
      </c>
      <c r="P6970">
        <v>-0.90725279999999997</v>
      </c>
      <c r="Q6970">
        <v>0.10788399999999999</v>
      </c>
      <c r="R6970">
        <v>-0.40651399999999999</v>
      </c>
      <c r="S6970">
        <v>-2.3677670000000002</v>
      </c>
      <c r="T6970">
        <v>-0.20571880000000001</v>
      </c>
      <c r="U6970">
        <v>-2.1906889999999999</v>
      </c>
      <c r="V6970">
        <v>-0.23709620000000001</v>
      </c>
      <c r="W6970">
        <v>0.118043</v>
      </c>
      <c r="X6970">
        <v>0.96428789999999998</v>
      </c>
      <c r="Y6970">
        <v>-0.53458459999999997</v>
      </c>
      <c r="Z6970">
        <v>-1.2396249999999999E-2</v>
      </c>
      <c r="AA6970">
        <v>0.845024</v>
      </c>
      <c r="AB6970">
        <v>26</v>
      </c>
      <c r="AC6970">
        <v>-0.525100000000008</v>
      </c>
      <c r="AD6970">
        <v>-6.7154000000000102E-2</v>
      </c>
      <c r="AE6970">
        <v>-0.665300000000002</v>
      </c>
      <c r="AF6970">
        <v>-0.55620484784488</v>
      </c>
      <c r="AG6970">
        <v>-6.7154000000000102E-2</v>
      </c>
      <c r="AH6970">
        <v>0.63249914957206699</v>
      </c>
      <c r="AI6970">
        <v>94.558535987340306</v>
      </c>
      <c r="AJ6970">
        <v>131.32763596441399</v>
      </c>
      <c r="AK6970">
        <v>0.84494299611958101</v>
      </c>
      <c r="AL6970">
        <v>83.220827727588002</v>
      </c>
      <c r="AM6970">
        <v>103.81369320392901</v>
      </c>
      <c r="AN6970">
        <v>0.99999995599492397</v>
      </c>
    </row>
    <row r="6971" spans="1:40" x14ac:dyDescent="0.25">
      <c r="A6971" t="str">
        <f>"20190303162051993"</f>
        <v>20190303162051993</v>
      </c>
      <c r="B6971" t="str">
        <f>"1551601251979800"</f>
        <v>1551601251979800</v>
      </c>
      <c r="C6971" t="s">
        <v>40</v>
      </c>
      <c r="D6971">
        <v>4.4960849999999999</v>
      </c>
      <c r="E6971">
        <v>0.36251410000000001</v>
      </c>
      <c r="F6971" t="s">
        <v>42</v>
      </c>
      <c r="G6971">
        <v>-395.6986</v>
      </c>
      <c r="H6971">
        <v>1.0620449999999999</v>
      </c>
      <c r="I6971">
        <v>140.99690000000001</v>
      </c>
      <c r="J6971">
        <v>-395.20150000000001</v>
      </c>
      <c r="K6971">
        <v>1.1242799999999999</v>
      </c>
      <c r="L6971">
        <v>141.6566</v>
      </c>
      <c r="M6971">
        <v>-0.98272700000000002</v>
      </c>
      <c r="N6971">
        <v>-1.230353E-2</v>
      </c>
      <c r="O6971">
        <v>-0.1846517</v>
      </c>
      <c r="P6971">
        <v>-0.90100349999999996</v>
      </c>
      <c r="Q6971">
        <v>0.10796</v>
      </c>
      <c r="R6971">
        <v>-0.42016340000000002</v>
      </c>
      <c r="S6971">
        <v>-2.3341980000000002</v>
      </c>
      <c r="T6971">
        <v>-0.19436899999999999</v>
      </c>
      <c r="U6971">
        <v>-2.2220309999999999</v>
      </c>
      <c r="V6971">
        <v>-0.24743000000000001</v>
      </c>
      <c r="W6971">
        <v>0.1179795</v>
      </c>
      <c r="X6971">
        <v>0.961696</v>
      </c>
      <c r="Y6971">
        <v>-0.54292399999999996</v>
      </c>
      <c r="Z6971">
        <v>-1.219516E-2</v>
      </c>
      <c r="AA6971">
        <v>0.83969319999999903</v>
      </c>
      <c r="AB6971">
        <v>26</v>
      </c>
      <c r="AC6971">
        <v>-0.497099999999989</v>
      </c>
      <c r="AD6971">
        <v>-6.2234999999999797E-2</v>
      </c>
      <c r="AE6971">
        <v>-0.65969999999998596</v>
      </c>
      <c r="AF6971">
        <v>-0.55341527188678397</v>
      </c>
      <c r="AG6971">
        <v>-6.2234999999999797E-2</v>
      </c>
      <c r="AH6971">
        <v>0.60692924635485102</v>
      </c>
      <c r="AI6971">
        <v>94.333062282471204</v>
      </c>
      <c r="AJ6971">
        <v>132.35944475433001</v>
      </c>
      <c r="AK6971">
        <v>0.82371400890320601</v>
      </c>
      <c r="AL6971">
        <v>83.224491788154495</v>
      </c>
      <c r="AM6971">
        <v>104.428414431685</v>
      </c>
      <c r="AN6971">
        <v>0.999999981868124</v>
      </c>
    </row>
    <row r="6972" spans="1:40" x14ac:dyDescent="0.25">
      <c r="A6972" t="str">
        <f>"20190303162052015"</f>
        <v>20190303162052015</v>
      </c>
      <c r="B6972" t="str">
        <f>"1551601252009081"</f>
        <v>1551601252009081</v>
      </c>
      <c r="C6972" t="s">
        <v>40</v>
      </c>
      <c r="D6972">
        <v>4.5441149999999997</v>
      </c>
      <c r="E6972">
        <v>0.36274269999999997</v>
      </c>
      <c r="F6972" t="s">
        <v>42</v>
      </c>
      <c r="G6972">
        <v>-395.92020000000002</v>
      </c>
      <c r="H6972">
        <v>1.062684</v>
      </c>
      <c r="I6972">
        <v>140.95150000000001</v>
      </c>
      <c r="J6972">
        <v>-395.4495</v>
      </c>
      <c r="K6972">
        <v>1.1243479999999999</v>
      </c>
      <c r="L6972">
        <v>141.60489999999999</v>
      </c>
      <c r="M6972">
        <v>-0.98188819999999999</v>
      </c>
      <c r="N6972">
        <v>-1.230816E-2</v>
      </c>
      <c r="O6972">
        <v>-0.1890608</v>
      </c>
      <c r="P6972">
        <v>-0.89423770000000002</v>
      </c>
      <c r="Q6972">
        <v>0.1090508</v>
      </c>
      <c r="R6972">
        <v>-0.43410470000000001</v>
      </c>
      <c r="S6972">
        <v>-2.300751</v>
      </c>
      <c r="T6972">
        <v>-0.19720399999999999</v>
      </c>
      <c r="U6972">
        <v>-2.2570649999999999</v>
      </c>
      <c r="V6972">
        <v>-0.25810119999999998</v>
      </c>
      <c r="W6972">
        <v>0.11891699999999999</v>
      </c>
      <c r="X6972">
        <v>0.95877129999999999</v>
      </c>
      <c r="Y6972">
        <v>-0.55170280000000005</v>
      </c>
      <c r="Z6972">
        <v>-1.2467900000000001E-2</v>
      </c>
      <c r="AA6972">
        <v>0.83394749999999995</v>
      </c>
      <c r="AB6972">
        <v>26</v>
      </c>
      <c r="AC6972">
        <v>-0.47070000000002199</v>
      </c>
      <c r="AD6972">
        <v>-6.1663999999999899E-2</v>
      </c>
      <c r="AE6972">
        <v>-0.653399999999976</v>
      </c>
      <c r="AF6972">
        <v>-0.54939531208978198</v>
      </c>
      <c r="AG6972">
        <v>-6.1663999999999899E-2</v>
      </c>
      <c r="AH6972">
        <v>0.58233693992278701</v>
      </c>
      <c r="AI6972">
        <v>94.404383387346698</v>
      </c>
      <c r="AJ6972">
        <v>133.33274744479601</v>
      </c>
      <c r="AK6972">
        <v>0.802965733665432</v>
      </c>
      <c r="AL6972">
        <v>83.170395911179199</v>
      </c>
      <c r="AM6972">
        <v>105.066842458335</v>
      </c>
      <c r="AN6972">
        <v>0.99999994401706305</v>
      </c>
    </row>
    <row r="6973" spans="1:40" x14ac:dyDescent="0.25">
      <c r="A6973" t="str">
        <f>"20190303162052037"</f>
        <v>20190303162052037</v>
      </c>
      <c r="B6973" t="str">
        <f>"1551601252029041"</f>
        <v>1551601252029041</v>
      </c>
      <c r="C6973" t="s">
        <v>40</v>
      </c>
      <c r="D6973">
        <v>4.2936199999999998</v>
      </c>
      <c r="E6973">
        <v>0.3627398</v>
      </c>
      <c r="F6973" t="s">
        <v>42</v>
      </c>
      <c r="G6973">
        <v>-396.14179999999999</v>
      </c>
      <c r="H6973">
        <v>1.0629630000000001</v>
      </c>
      <c r="I6973">
        <v>140.9059</v>
      </c>
      <c r="J6973">
        <v>-395.69650000000001</v>
      </c>
      <c r="K6973">
        <v>1.1244339999999999</v>
      </c>
      <c r="L6973">
        <v>141.5521</v>
      </c>
      <c r="M6973">
        <v>-0.98100730000000003</v>
      </c>
      <c r="N6973">
        <v>-1.2314139999999999E-2</v>
      </c>
      <c r="O6973">
        <v>-0.19357959999999999</v>
      </c>
      <c r="P6973">
        <v>-0.88764149999999997</v>
      </c>
      <c r="Q6973">
        <v>0.1100278</v>
      </c>
      <c r="R6973">
        <v>-0.4471984</v>
      </c>
      <c r="S6973">
        <v>-2.2675169999999998</v>
      </c>
      <c r="T6973">
        <v>-0.20105980000000001</v>
      </c>
      <c r="U6973">
        <v>-2.2902680000000002</v>
      </c>
      <c r="V6973">
        <v>-0.26783040000000002</v>
      </c>
      <c r="W6973">
        <v>0.119739899999999</v>
      </c>
      <c r="X6973">
        <v>0.95599650000000003</v>
      </c>
      <c r="Y6973">
        <v>-0.55994119999999903</v>
      </c>
      <c r="Z6973">
        <v>-1.2748799999999999E-2</v>
      </c>
      <c r="AA6973">
        <v>0.82843429999999996</v>
      </c>
      <c r="AB6973">
        <v>26</v>
      </c>
      <c r="AC6973">
        <v>-0.44529999999997399</v>
      </c>
      <c r="AD6973">
        <v>-6.1470999999999998E-2</v>
      </c>
      <c r="AE6973">
        <v>-0.646199999999993</v>
      </c>
      <c r="AF6973">
        <v>-0.544427084961429</v>
      </c>
      <c r="AG6973">
        <v>-6.1470999999999998E-2</v>
      </c>
      <c r="AH6973">
        <v>0.55854928144168103</v>
      </c>
      <c r="AI6973">
        <v>94.506188674595705</v>
      </c>
      <c r="AJ6973">
        <v>134.26644117757399</v>
      </c>
      <c r="AK6973">
        <v>0.78240452099896296</v>
      </c>
      <c r="AL6973">
        <v>83.122908545806297</v>
      </c>
      <c r="AM6973">
        <v>105.650659189972</v>
      </c>
      <c r="AN6973">
        <v>1.0000000374142</v>
      </c>
    </row>
    <row r="6974" spans="1:40" x14ac:dyDescent="0.25">
      <c r="A6974" t="str">
        <f>"20190303162052060"</f>
        <v>20190303162052060</v>
      </c>
      <c r="B6974" t="str">
        <f>"1551601252049538"</f>
        <v>1551601252049538</v>
      </c>
      <c r="C6974" t="s">
        <v>40</v>
      </c>
      <c r="D6974">
        <v>4.3604029999999998</v>
      </c>
      <c r="E6974">
        <v>0.36239349999999998</v>
      </c>
      <c r="F6974" t="s">
        <v>42</v>
      </c>
      <c r="G6974">
        <v>-396.36320000000001</v>
      </c>
      <c r="H6974">
        <v>1.063617</v>
      </c>
      <c r="I6974">
        <v>140.8596</v>
      </c>
      <c r="J6974">
        <v>-395.94659999999999</v>
      </c>
      <c r="K6974">
        <v>1.124533</v>
      </c>
      <c r="L6974">
        <v>141.4974</v>
      </c>
      <c r="M6974">
        <v>-0.98006459999999995</v>
      </c>
      <c r="N6974">
        <v>-1.2321779999999999E-2</v>
      </c>
      <c r="O6974">
        <v>-0.19829730000000001</v>
      </c>
      <c r="P6974">
        <v>-0.88152330000000001</v>
      </c>
      <c r="Q6974">
        <v>0.1092267</v>
      </c>
      <c r="R6974">
        <v>-0.45933239999999997</v>
      </c>
      <c r="S6974">
        <v>-2.2351679999999998</v>
      </c>
      <c r="T6974">
        <v>-0.2039154</v>
      </c>
      <c r="U6974">
        <v>-2.3220519999999998</v>
      </c>
      <c r="V6974">
        <v>-0.27634910000000001</v>
      </c>
      <c r="W6974">
        <v>0.1187863</v>
      </c>
      <c r="X6974">
        <v>0.95368810000000004</v>
      </c>
      <c r="Y6974">
        <v>-0.56754780000000005</v>
      </c>
      <c r="Z6974">
        <v>-1.29585E-2</v>
      </c>
      <c r="AA6974">
        <v>0.82323849999999998</v>
      </c>
      <c r="AB6974">
        <v>26</v>
      </c>
      <c r="AC6974">
        <v>-0.41660000000001601</v>
      </c>
      <c r="AD6974">
        <v>-6.0915999999999901E-2</v>
      </c>
      <c r="AE6974">
        <v>-0.63779999999999804</v>
      </c>
      <c r="AF6974">
        <v>-0.53906881990009103</v>
      </c>
      <c r="AG6974">
        <v>-6.0915999999999901E-2</v>
      </c>
      <c r="AH6974">
        <v>0.53141158037685698</v>
      </c>
      <c r="AI6974">
        <v>94.600915824739999</v>
      </c>
      <c r="AJ6974">
        <v>135.409834710452</v>
      </c>
      <c r="AK6974">
        <v>0.75941044198977503</v>
      </c>
      <c r="AL6974">
        <v>83.177938318975094</v>
      </c>
      <c r="AM6974">
        <v>106.159941528205</v>
      </c>
      <c r="AN6974">
        <v>1.0000000011100501</v>
      </c>
    </row>
    <row r="6975" spans="1:40" x14ac:dyDescent="0.25">
      <c r="A6975" t="str">
        <f>"20190303162052082"</f>
        <v>20190303162052082</v>
      </c>
      <c r="B6975" t="str">
        <f>"1551601252079794"</f>
        <v>1551601252079794</v>
      </c>
      <c r="C6975" t="s">
        <v>40</v>
      </c>
      <c r="D6975">
        <v>4.478097</v>
      </c>
      <c r="E6975">
        <v>0.36184280000000002</v>
      </c>
      <c r="F6975" t="s">
        <v>42</v>
      </c>
      <c r="G6975">
        <v>-396.58539999999999</v>
      </c>
      <c r="H6975">
        <v>1.063407</v>
      </c>
      <c r="I6975">
        <v>140.81489999999999</v>
      </c>
      <c r="J6975">
        <v>-396.19720000000001</v>
      </c>
      <c r="K6975">
        <v>1.12464599999999</v>
      </c>
      <c r="L6975">
        <v>141.44110000000001</v>
      </c>
      <c r="M6975">
        <v>-0.97906230000000005</v>
      </c>
      <c r="N6975">
        <v>-1.2330870000000001E-2</v>
      </c>
      <c r="O6975">
        <v>-0.2031877</v>
      </c>
      <c r="P6975">
        <v>-0.87503199999999903</v>
      </c>
      <c r="Q6975">
        <v>0.1090434</v>
      </c>
      <c r="R6975">
        <v>-0.47162399999999999</v>
      </c>
      <c r="S6975">
        <v>-2.2026669999999999</v>
      </c>
      <c r="T6975">
        <v>-0.2107551</v>
      </c>
      <c r="U6975">
        <v>-2.354095</v>
      </c>
      <c r="V6975">
        <v>-0.28496250000000001</v>
      </c>
      <c r="W6975">
        <v>0.1184327</v>
      </c>
      <c r="X6975">
        <v>0.95119399999999998</v>
      </c>
      <c r="Y6975">
        <v>-0.57499219999999995</v>
      </c>
      <c r="Z6975">
        <v>-1.3283069999999999E-2</v>
      </c>
      <c r="AA6975">
        <v>0.81805099999999997</v>
      </c>
      <c r="AB6975">
        <v>26</v>
      </c>
      <c r="AC6975">
        <v>-0.388199999999983</v>
      </c>
      <c r="AD6975">
        <v>-6.1238999999999801E-2</v>
      </c>
      <c r="AE6975">
        <v>-0.62620000000001097</v>
      </c>
      <c r="AF6975">
        <v>-0.53058623414070205</v>
      </c>
      <c r="AG6975">
        <v>-6.1238999999999801E-2</v>
      </c>
      <c r="AH6975">
        <v>0.50386557262484599</v>
      </c>
      <c r="AI6975">
        <v>94.784093753359699</v>
      </c>
      <c r="AJ6975">
        <v>136.47966367567699</v>
      </c>
      <c r="AK6975">
        <v>0.73427003360969001</v>
      </c>
      <c r="AL6975">
        <v>83.1983419813795</v>
      </c>
      <c r="AM6975">
        <v>106.67737453581201</v>
      </c>
      <c r="AN6975">
        <v>0.99999997823576903</v>
      </c>
    </row>
    <row r="6976" spans="1:40" x14ac:dyDescent="0.25">
      <c r="A6976" t="str">
        <f>"20190303162052105"</f>
        <v>20190303162052105</v>
      </c>
      <c r="B6976" t="str">
        <f>"1551601252099314"</f>
        <v>1551601252099314</v>
      </c>
      <c r="C6976" t="s">
        <v>40</v>
      </c>
      <c r="D6976">
        <v>4.5389229999999996</v>
      </c>
      <c r="E6976">
        <v>0.30625809999999998</v>
      </c>
      <c r="F6976" t="s">
        <v>42</v>
      </c>
      <c r="G6976">
        <v>-396.80720000000002</v>
      </c>
      <c r="H6976">
        <v>1.06403</v>
      </c>
      <c r="I6976">
        <v>140.76900000000001</v>
      </c>
      <c r="J6976">
        <v>-396.4418</v>
      </c>
      <c r="K6976">
        <v>1.124768</v>
      </c>
      <c r="L6976">
        <v>141.38460000000001</v>
      </c>
      <c r="M6976">
        <v>-0.97802120000000003</v>
      </c>
      <c r="N6976">
        <v>-1.2341309999999999E-2</v>
      </c>
      <c r="O6976">
        <v>-0.20814009999999999</v>
      </c>
      <c r="P6976">
        <v>-0.86862790000000001</v>
      </c>
      <c r="Q6976">
        <v>0.1085102</v>
      </c>
      <c r="R6976">
        <v>-0.4834369</v>
      </c>
      <c r="S6976">
        <v>-2.1678160000000002</v>
      </c>
      <c r="T6976">
        <v>-0.21541750000000001</v>
      </c>
      <c r="U6976">
        <v>-2.3886409999999998</v>
      </c>
      <c r="V6976">
        <v>-0.29305679999999901</v>
      </c>
      <c r="W6976">
        <v>0.1177224</v>
      </c>
      <c r="X6976">
        <v>0.94881990000000005</v>
      </c>
      <c r="Y6976">
        <v>-0.58320190000000005</v>
      </c>
      <c r="Z6976">
        <v>-1.357212E-2</v>
      </c>
      <c r="AA6976">
        <v>0.81221379999999999</v>
      </c>
      <c r="AB6976">
        <v>26</v>
      </c>
      <c r="AC6976">
        <v>-0.36540000000002198</v>
      </c>
      <c r="AD6976">
        <v>-6.0737999999999903E-2</v>
      </c>
      <c r="AE6976">
        <v>-0.61560000000000004</v>
      </c>
      <c r="AF6976">
        <v>-0.52229574094086895</v>
      </c>
      <c r="AG6976">
        <v>-6.0737999999999903E-2</v>
      </c>
      <c r="AH6976">
        <v>0.482066779837028</v>
      </c>
      <c r="AI6976">
        <v>94.884337892552495</v>
      </c>
      <c r="AJ6976">
        <v>137.29371186333501</v>
      </c>
      <c r="AK6976">
        <v>0.71335147428978696</v>
      </c>
      <c r="AL6976">
        <v>83.239326214947596</v>
      </c>
      <c r="AM6976">
        <v>107.164062714411</v>
      </c>
      <c r="AN6976">
        <v>1.000000027062</v>
      </c>
    </row>
    <row r="6977" spans="1:40" x14ac:dyDescent="0.25">
      <c r="A6977" t="str">
        <f>"20190303162052128"</f>
        <v>20190303162052128</v>
      </c>
      <c r="B6977" t="str">
        <f>"1551601252119339"</f>
        <v>1551601252119339</v>
      </c>
      <c r="C6977" t="s">
        <v>40</v>
      </c>
      <c r="D6977">
        <v>4.5554769999999998</v>
      </c>
      <c r="E6977">
        <v>0.30640820000000002</v>
      </c>
      <c r="F6977" t="s">
        <v>50</v>
      </c>
      <c r="G6977">
        <v>-401.875</v>
      </c>
      <c r="H6977" s="1">
        <v>-3.2125670000000001E-6</v>
      </c>
      <c r="I6977">
        <v>133.52889999999999</v>
      </c>
      <c r="J6977">
        <v>-396.69420000000002</v>
      </c>
      <c r="K6977">
        <v>1.124908</v>
      </c>
      <c r="L6977">
        <v>141.32480000000001</v>
      </c>
      <c r="M6977">
        <v>-0.97686949999999995</v>
      </c>
      <c r="N6977">
        <v>-1.235443E-2</v>
      </c>
      <c r="O6977">
        <v>-0.21347940000000001</v>
      </c>
      <c r="P6977">
        <v>-0.8624927</v>
      </c>
      <c r="Q6977">
        <v>0.1074087</v>
      </c>
      <c r="R6977">
        <v>-0.49453950000000002</v>
      </c>
      <c r="S6977">
        <v>-1.941559</v>
      </c>
      <c r="T6977">
        <v>-0.40194069999999998</v>
      </c>
      <c r="U6977">
        <v>-2.8072810000000001</v>
      </c>
      <c r="V6977">
        <v>-0.30005120000000002</v>
      </c>
      <c r="W6977">
        <v>0.1164405</v>
      </c>
      <c r="X6977">
        <v>0.94678980000000001</v>
      </c>
      <c r="Y6977">
        <v>-0.67824589999999996</v>
      </c>
      <c r="Z6977">
        <v>-2.7177590000000001E-2</v>
      </c>
      <c r="AA6977">
        <v>0.73433230000000005</v>
      </c>
      <c r="AB6977">
        <v>26</v>
      </c>
      <c r="AC6977">
        <v>-5.1807999999999703</v>
      </c>
      <c r="AD6977">
        <v>-1.124911212567</v>
      </c>
      <c r="AE6977">
        <v>-7.7959000000000103</v>
      </c>
      <c r="AF6977">
        <v>-6.41739464028025</v>
      </c>
      <c r="AG6977">
        <v>-1.124911212567</v>
      </c>
      <c r="AH6977">
        <v>6.6299873685760504</v>
      </c>
      <c r="AI6977">
        <v>96.950834660354104</v>
      </c>
      <c r="AJ6977">
        <v>134.06651094473099</v>
      </c>
      <c r="AK6977">
        <v>9.2954349931960998</v>
      </c>
      <c r="AL6977">
        <v>83.313282270771595</v>
      </c>
      <c r="AM6977">
        <v>107.584151628999</v>
      </c>
      <c r="AN6977">
        <v>1.00000001902286</v>
      </c>
    </row>
    <row r="6978" spans="1:40" x14ac:dyDescent="0.25">
      <c r="A6978" t="str">
        <f>"20190303162052149"</f>
        <v>20190303162052149</v>
      </c>
      <c r="B6978" t="str">
        <f>"1551601252139837"</f>
        <v>1551601252139837</v>
      </c>
      <c r="C6978" t="s">
        <v>40</v>
      </c>
      <c r="D6978">
        <v>4.5611350000000002</v>
      </c>
      <c r="E6978">
        <v>0.30886130000000001</v>
      </c>
      <c r="F6978" t="s">
        <v>50</v>
      </c>
      <c r="G6978">
        <v>-401.9855</v>
      </c>
      <c r="H6978" s="1">
        <v>-3.2432359999999999E-6</v>
      </c>
      <c r="I6978">
        <v>133.46789999999999</v>
      </c>
      <c r="J6978">
        <v>-396.93459999999999</v>
      </c>
      <c r="K6978">
        <v>1.1250519999999999</v>
      </c>
      <c r="L6978">
        <v>141.26609999999999</v>
      </c>
      <c r="M6978">
        <v>-0.97569450000000002</v>
      </c>
      <c r="N6978">
        <v>-1.2369049999999999E-2</v>
      </c>
      <c r="O6978">
        <v>-0.2187857</v>
      </c>
      <c r="P6978">
        <v>-0.856487199999999</v>
      </c>
      <c r="Q6978">
        <v>0.1059298</v>
      </c>
      <c r="R6978">
        <v>-0.50518200000000002</v>
      </c>
      <c r="S6978">
        <v>-1.905975</v>
      </c>
      <c r="T6978">
        <v>-0.40520450000000002</v>
      </c>
      <c r="U6978">
        <v>-2.8301240000000001</v>
      </c>
      <c r="V6978">
        <v>-0.30662060000000002</v>
      </c>
      <c r="W6978">
        <v>0.11477900000000001</v>
      </c>
      <c r="X6978">
        <v>0.944886</v>
      </c>
      <c r="Y6978">
        <v>-0.68325429999999998</v>
      </c>
      <c r="Z6978">
        <v>-2.7235019999999999E-2</v>
      </c>
      <c r="AA6978">
        <v>0.7296724</v>
      </c>
      <c r="AB6978">
        <v>26</v>
      </c>
      <c r="AC6978">
        <v>-5.0509000000000102</v>
      </c>
      <c r="AD6978">
        <v>-1.1250552432359999</v>
      </c>
      <c r="AE6978">
        <v>-7.7981999999999996</v>
      </c>
      <c r="AF6978">
        <v>-6.4101035076248296</v>
      </c>
      <c r="AG6978">
        <v>-1.1250552432359999</v>
      </c>
      <c r="AH6978">
        <v>6.5388988397959604</v>
      </c>
      <c r="AI6978">
        <v>97.004586154152705</v>
      </c>
      <c r="AJ6978">
        <v>134.43013481486</v>
      </c>
      <c r="AK6978">
        <v>9.2256367973100808</v>
      </c>
      <c r="AL6978">
        <v>83.4091216055931</v>
      </c>
      <c r="AM6978">
        <v>107.97852616844</v>
      </c>
      <c r="AN6978">
        <v>0.99999998209067897</v>
      </c>
    </row>
    <row r="6979" spans="1:40" x14ac:dyDescent="0.25">
      <c r="A6979" t="str">
        <f>"20190303162052172"</f>
        <v>20190303162052172</v>
      </c>
      <c r="B6979" t="str">
        <f>"1551601252159356"</f>
        <v>1551601252159356</v>
      </c>
      <c r="C6979" t="s">
        <v>40</v>
      </c>
      <c r="D6979">
        <v>4.5904530000000001</v>
      </c>
      <c r="E6979">
        <v>0.31153170000000002</v>
      </c>
      <c r="F6979" t="s">
        <v>50</v>
      </c>
      <c r="G6979">
        <v>-402.27510000000001</v>
      </c>
      <c r="H6979" s="1">
        <v>-3.2655820000000001E-6</v>
      </c>
      <c r="I6979">
        <v>133.1987</v>
      </c>
      <c r="J6979">
        <v>-397.17840000000001</v>
      </c>
      <c r="K6979">
        <v>1.1251880000000001</v>
      </c>
      <c r="L6979">
        <v>141.20500000000001</v>
      </c>
      <c r="M6979">
        <v>-0.97442669999999998</v>
      </c>
      <c r="N6979">
        <v>-1.238467E-2</v>
      </c>
      <c r="O6979">
        <v>-0.22436400000000001</v>
      </c>
      <c r="P6979">
        <v>-0.85050999999999999</v>
      </c>
      <c r="Q6979">
        <v>0.1042911</v>
      </c>
      <c r="R6979">
        <v>-0.51551530000000001</v>
      </c>
      <c r="S6979">
        <v>-1.878174</v>
      </c>
      <c r="T6979">
        <v>-0.39566580000000001</v>
      </c>
      <c r="U6979">
        <v>-2.837189</v>
      </c>
      <c r="V6979">
        <v>-0.31263809999999997</v>
      </c>
      <c r="W6979">
        <v>0.1129646</v>
      </c>
      <c r="X6979">
        <v>0.94313119999999995</v>
      </c>
      <c r="Y6979">
        <v>-0.68502859999999999</v>
      </c>
      <c r="Z6979">
        <v>-2.6367809999999998E-2</v>
      </c>
      <c r="AA6979">
        <v>0.72803879999999999</v>
      </c>
      <c r="AB6979">
        <v>26</v>
      </c>
      <c r="AC6979">
        <v>-5.0966999999999896</v>
      </c>
      <c r="AD6979">
        <v>-1.12519126558199</v>
      </c>
      <c r="AE6979">
        <v>-8.0063000000000102</v>
      </c>
      <c r="AF6979">
        <v>-6.5662569914333604</v>
      </c>
      <c r="AG6979">
        <v>-1.12519126558199</v>
      </c>
      <c r="AH6979">
        <v>6.6694639869777204</v>
      </c>
      <c r="AI6979">
        <v>96.855258955343899</v>
      </c>
      <c r="AJ6979">
        <v>134.553238888447</v>
      </c>
      <c r="AK6979">
        <v>9.4267457871357898</v>
      </c>
      <c r="AL6979">
        <v>83.513759964594698</v>
      </c>
      <c r="AM6979">
        <v>108.339817358313</v>
      </c>
      <c r="AN6979">
        <v>1.0000000214191</v>
      </c>
    </row>
    <row r="6980" spans="1:40" x14ac:dyDescent="0.25">
      <c r="A6980" t="str">
        <f>"20190303162052194"</f>
        <v>20190303162052194</v>
      </c>
      <c r="B6980" t="str">
        <f>"1551601252189613"</f>
        <v>1551601252189613</v>
      </c>
      <c r="C6980" t="s">
        <v>40</v>
      </c>
      <c r="D6980">
        <v>4.5605919999999998</v>
      </c>
      <c r="E6980">
        <v>0.31461359999999999</v>
      </c>
      <c r="F6980" t="s">
        <v>50</v>
      </c>
      <c r="G6980">
        <v>-402.6395</v>
      </c>
      <c r="H6980" s="1">
        <v>-3.2727570000000001E-6</v>
      </c>
      <c r="I6980">
        <v>132.8203</v>
      </c>
      <c r="J6980">
        <v>-397.4255</v>
      </c>
      <c r="K6980">
        <v>1.125324</v>
      </c>
      <c r="L6980">
        <v>141.1413</v>
      </c>
      <c r="M6980">
        <v>-0.97305580000000003</v>
      </c>
      <c r="N6980">
        <v>-1.2400639999999999E-2</v>
      </c>
      <c r="O6980">
        <v>-0.23023589999999999</v>
      </c>
      <c r="P6980">
        <v>-0.84512389999999904</v>
      </c>
      <c r="Q6980">
        <v>0.1023329</v>
      </c>
      <c r="R6980">
        <v>-0.52468429999999999</v>
      </c>
      <c r="S6980">
        <v>-1.8512569999999999</v>
      </c>
      <c r="T6980">
        <v>-0.38142799999999999</v>
      </c>
      <c r="U6980">
        <v>-2.8422999999999998</v>
      </c>
      <c r="V6980">
        <v>-0.31712059999999997</v>
      </c>
      <c r="W6980">
        <v>0.1108475</v>
      </c>
      <c r="X6980">
        <v>0.94188499999999997</v>
      </c>
      <c r="Y6980">
        <v>-0.68629709999999999</v>
      </c>
      <c r="Z6980">
        <v>-2.5226579999999998E-2</v>
      </c>
      <c r="AA6980">
        <v>0.72688369999999902</v>
      </c>
      <c r="AB6980">
        <v>26</v>
      </c>
      <c r="AC6980">
        <v>-5.2139999999999898</v>
      </c>
      <c r="AD6980">
        <v>-1.1253272727570001</v>
      </c>
      <c r="AE6980">
        <v>-8.3209999999999908</v>
      </c>
      <c r="AF6980">
        <v>-6.8074743044299497</v>
      </c>
      <c r="AG6980">
        <v>-1.1253272727570001</v>
      </c>
      <c r="AH6980">
        <v>6.8992348864176396</v>
      </c>
      <c r="AI6980">
        <v>96.622673839129405</v>
      </c>
      <c r="AJ6980">
        <v>134.616434881619</v>
      </c>
      <c r="AK6980">
        <v>9.7574335710906599</v>
      </c>
      <c r="AL6980">
        <v>83.635827464672801</v>
      </c>
      <c r="AM6980">
        <v>108.607719350211</v>
      </c>
      <c r="AN6980">
        <v>0.99999999821280405</v>
      </c>
    </row>
    <row r="6981" spans="1:40" x14ac:dyDescent="0.25">
      <c r="A6981" t="str">
        <f>"20190303162052215"</f>
        <v>20190303162052215</v>
      </c>
      <c r="B6981" t="str">
        <f>"1551601252209132"</f>
        <v>1551601252209132</v>
      </c>
      <c r="C6981" t="s">
        <v>40</v>
      </c>
      <c r="D6981">
        <v>4.6206779999999998</v>
      </c>
      <c r="E6981">
        <v>0.31640750000000001</v>
      </c>
      <c r="F6981" t="s">
        <v>50</v>
      </c>
      <c r="G6981">
        <v>-402.97019999999998</v>
      </c>
      <c r="H6981" s="1">
        <v>-3.308501E-6</v>
      </c>
      <c r="I6981">
        <v>132.53229999999999</v>
      </c>
      <c r="J6981">
        <v>-397.66559999999998</v>
      </c>
      <c r="K6981">
        <v>1.1254569999999999</v>
      </c>
      <c r="L6981">
        <v>141.07759999999999</v>
      </c>
      <c r="M6981">
        <v>-0.97162930000000003</v>
      </c>
      <c r="N6981">
        <v>-1.2417869999999999E-2</v>
      </c>
      <c r="O6981">
        <v>-0.23618330000000001</v>
      </c>
      <c r="P6981">
        <v>-0.84023930000000002</v>
      </c>
      <c r="Q6981">
        <v>9.9788169999999995E-2</v>
      </c>
      <c r="R6981">
        <v>-0.5329547</v>
      </c>
      <c r="S6981">
        <v>-1.8303529999999999</v>
      </c>
      <c r="T6981">
        <v>-0.37148170000000003</v>
      </c>
      <c r="U6981">
        <v>-2.8419189999999999</v>
      </c>
      <c r="V6981">
        <v>-0.32055139999999999</v>
      </c>
      <c r="W6981">
        <v>0.108153399999999</v>
      </c>
      <c r="X6981">
        <v>0.94103650000000005</v>
      </c>
      <c r="Y6981">
        <v>-0.68574969999999902</v>
      </c>
      <c r="Z6981">
        <v>-2.4138670000000001E-2</v>
      </c>
      <c r="AA6981">
        <v>0.72743709999999995</v>
      </c>
      <c r="AB6981">
        <v>26</v>
      </c>
      <c r="AC6981">
        <v>-5.30459999999999</v>
      </c>
      <c r="AD6981">
        <v>-1.125460308501</v>
      </c>
      <c r="AE6981">
        <v>-8.5452999999999903</v>
      </c>
      <c r="AF6981">
        <v>-6.96335874258315</v>
      </c>
      <c r="AG6981">
        <v>-1.125460308501</v>
      </c>
      <c r="AH6981">
        <v>7.0842109560536297</v>
      </c>
      <c r="AI6981">
        <v>96.464017005915196</v>
      </c>
      <c r="AJ6981">
        <v>134.507092607239</v>
      </c>
      <c r="AK6981">
        <v>9.9970531034795798</v>
      </c>
      <c r="AL6981">
        <v>83.791122072523095</v>
      </c>
      <c r="AM6981">
        <v>108.810717804923</v>
      </c>
      <c r="AN6981">
        <v>1.0000000261528801</v>
      </c>
    </row>
    <row r="6982" spans="1:40" x14ac:dyDescent="0.25">
      <c r="A6982" t="str">
        <f>"20190303162052238"</f>
        <v>20190303162052238</v>
      </c>
      <c r="B6982" t="str">
        <f>"1551601252229629"</f>
        <v>1551601252229629</v>
      </c>
      <c r="C6982" t="s">
        <v>40</v>
      </c>
      <c r="D6982">
        <v>4.6358980000000001</v>
      </c>
      <c r="E6982">
        <v>0.3172663</v>
      </c>
      <c r="F6982" t="s">
        <v>50</v>
      </c>
      <c r="G6982">
        <v>-403.13279999999997</v>
      </c>
      <c r="H6982" s="1">
        <v>-3.3705580000000001E-6</v>
      </c>
      <c r="I6982">
        <v>132.47450000000001</v>
      </c>
      <c r="J6982">
        <v>-397.90870000000001</v>
      </c>
      <c r="K6982">
        <v>1.1256189999999999</v>
      </c>
      <c r="L6982">
        <v>141.01140000000001</v>
      </c>
      <c r="M6982">
        <v>-0.97008190000000005</v>
      </c>
      <c r="N6982">
        <v>-1.243855E-2</v>
      </c>
      <c r="O6982">
        <v>-0.24245920000000001</v>
      </c>
      <c r="P6982">
        <v>-0.83558459999999901</v>
      </c>
      <c r="Q6982">
        <v>9.64222E-2</v>
      </c>
      <c r="R6982">
        <v>-0.54083400000000004</v>
      </c>
      <c r="S6982">
        <v>-1.809021</v>
      </c>
      <c r="T6982">
        <v>-0.37240489999999998</v>
      </c>
      <c r="U6982">
        <v>-2.846695</v>
      </c>
      <c r="V6982">
        <v>-0.3232352</v>
      </c>
      <c r="W6982">
        <v>0.1046354</v>
      </c>
      <c r="X6982">
        <v>0.94051609999999997</v>
      </c>
      <c r="Y6982">
        <v>-0.68548379999999998</v>
      </c>
      <c r="Z6982">
        <v>-2.3513490000000001E-2</v>
      </c>
      <c r="AA6982">
        <v>0.72770819999999903</v>
      </c>
      <c r="AB6982">
        <v>26</v>
      </c>
      <c r="AC6982">
        <v>-5.22409999999996</v>
      </c>
      <c r="AD6982">
        <v>-1.125622370558</v>
      </c>
      <c r="AE6982">
        <v>-8.5368999999999993</v>
      </c>
      <c r="AF6982">
        <v>-6.9277756944282602</v>
      </c>
      <c r="AG6982">
        <v>-1.125622370558</v>
      </c>
      <c r="AH6982">
        <v>7.04904501539471</v>
      </c>
      <c r="AI6982">
        <v>96.497381447373499</v>
      </c>
      <c r="AJ6982">
        <v>134.502887954871</v>
      </c>
      <c r="AK6982">
        <v>9.9473683666823494</v>
      </c>
      <c r="AL6982">
        <v>83.993839481166503</v>
      </c>
      <c r="AM6982">
        <v>108.966746045207</v>
      </c>
      <c r="AN6982">
        <v>1.0000000479057001</v>
      </c>
    </row>
    <row r="6983" spans="1:40" x14ac:dyDescent="0.25">
      <c r="A6983" t="str">
        <f>"20190303162052260"</f>
        <v>20190303162052260</v>
      </c>
      <c r="B6983" t="str">
        <f>"1551601252249148"</f>
        <v>1551601252249148</v>
      </c>
      <c r="C6983" t="s">
        <v>40</v>
      </c>
      <c r="D6983">
        <v>4.6523389999999996</v>
      </c>
      <c r="E6983">
        <v>0.33581689999999997</v>
      </c>
      <c r="F6983" t="s">
        <v>50</v>
      </c>
      <c r="G6983">
        <v>-403.20589999999999</v>
      </c>
      <c r="H6983" s="1">
        <v>-3.4427640000000002E-6</v>
      </c>
      <c r="I6983">
        <v>132.53200000000001</v>
      </c>
      <c r="J6983">
        <v>-398.1585</v>
      </c>
      <c r="K6983">
        <v>1.12581</v>
      </c>
      <c r="L6983">
        <v>140.94120000000001</v>
      </c>
      <c r="M6983">
        <v>-0.96837289999999998</v>
      </c>
      <c r="N6983">
        <v>-1.2463460000000001E-2</v>
      </c>
      <c r="O6983">
        <v>-0.2491949</v>
      </c>
      <c r="P6983">
        <v>-0.83193680000000003</v>
      </c>
      <c r="Q6983">
        <v>9.3716259999999996E-2</v>
      </c>
      <c r="R6983">
        <v>-0.54689840000000001</v>
      </c>
      <c r="S6983">
        <v>-1.78485099999999</v>
      </c>
      <c r="T6983">
        <v>-0.37926700000000002</v>
      </c>
      <c r="U6983">
        <v>-2.85704</v>
      </c>
      <c r="V6983">
        <v>-0.32348470000000001</v>
      </c>
      <c r="W6983">
        <v>0.1017967</v>
      </c>
      <c r="X6983">
        <v>0.94074179999999996</v>
      </c>
      <c r="Y6983">
        <v>-0.6859518</v>
      </c>
      <c r="Z6983">
        <v>-2.312382E-2</v>
      </c>
      <c r="AA6983">
        <v>0.72727949999999997</v>
      </c>
      <c r="AB6983">
        <v>26</v>
      </c>
      <c r="AC6983">
        <v>-5.0473999999999801</v>
      </c>
      <c r="AD6983">
        <v>-1.1258134427640001</v>
      </c>
      <c r="AE6983">
        <v>-8.4091999999999896</v>
      </c>
      <c r="AF6983">
        <v>-6.7964385553797797</v>
      </c>
      <c r="AG6983">
        <v>-1.1258134427640001</v>
      </c>
      <c r="AH6983">
        <v>6.8930137360382302</v>
      </c>
      <c r="AI6983">
        <v>96.633771002958298</v>
      </c>
      <c r="AJ6983">
        <v>134.59580132601599</v>
      </c>
      <c r="AK6983">
        <v>9.74539231176316</v>
      </c>
      <c r="AL6983">
        <v>84.157358296805995</v>
      </c>
      <c r="AM6983">
        <v>108.976110822062</v>
      </c>
      <c r="AN6983">
        <v>1.0000000267661</v>
      </c>
    </row>
    <row r="6984" spans="1:40" x14ac:dyDescent="0.25">
      <c r="A6984" t="str">
        <f>"20190303162052283"</f>
        <v>20190303162052283</v>
      </c>
      <c r="B6984" t="str">
        <f>"1551601252279404"</f>
        <v>1551601252279404</v>
      </c>
      <c r="C6984" t="s">
        <v>40</v>
      </c>
      <c r="D6984">
        <v>4.5268069999999998</v>
      </c>
      <c r="E6984">
        <v>0.3358698</v>
      </c>
      <c r="F6984" t="s">
        <v>50</v>
      </c>
      <c r="G6984">
        <v>-404.6343</v>
      </c>
      <c r="H6984" s="1">
        <v>-3.5238340000000001E-6</v>
      </c>
      <c r="I6984">
        <v>131.26929999999999</v>
      </c>
      <c r="J6984">
        <v>-398.39879999999999</v>
      </c>
      <c r="K6984">
        <v>1.1260139999999901</v>
      </c>
      <c r="L6984">
        <v>140.8716</v>
      </c>
      <c r="M6984">
        <v>-0.96660369999999995</v>
      </c>
      <c r="N6984">
        <v>-1.2490589999999999E-2</v>
      </c>
      <c r="O6984">
        <v>-0.25597120000000001</v>
      </c>
      <c r="P6984">
        <v>-0.82816420000000002</v>
      </c>
      <c r="Q6984">
        <v>9.2036649999999998E-2</v>
      </c>
      <c r="R6984">
        <v>-0.55287739999999996</v>
      </c>
      <c r="S6984">
        <v>-1.8377079999999999</v>
      </c>
      <c r="T6984">
        <v>-0.31948769999999999</v>
      </c>
      <c r="U6984">
        <v>-2.7447360000000001</v>
      </c>
      <c r="V6984">
        <v>-0.32365749999999999</v>
      </c>
      <c r="W6984">
        <v>9.9975969999999997E-2</v>
      </c>
      <c r="X6984">
        <v>0.94087759999999998</v>
      </c>
      <c r="Y6984">
        <v>-0.65842250000000002</v>
      </c>
      <c r="Z6984">
        <v>-1.8096379999999999E-2</v>
      </c>
      <c r="AA6984">
        <v>0.75243099999999996</v>
      </c>
      <c r="AB6984">
        <v>26</v>
      </c>
      <c r="AC6984">
        <v>-6.2355</v>
      </c>
      <c r="AD6984">
        <v>-1.12601752383399</v>
      </c>
      <c r="AE6984">
        <v>-9.6023000000000103</v>
      </c>
      <c r="AF6984">
        <v>-7.6124788470777496</v>
      </c>
      <c r="AG6984">
        <v>-1.12601752383399</v>
      </c>
      <c r="AH6984">
        <v>8.4045394307016696</v>
      </c>
      <c r="AI6984">
        <v>95.670865650453507</v>
      </c>
      <c r="AJ6984">
        <v>132.168961819592</v>
      </c>
      <c r="AK6984">
        <v>11.3953513637538</v>
      </c>
      <c r="AL6984">
        <v>84.2622133613323</v>
      </c>
      <c r="AM6984">
        <v>108.982977773161</v>
      </c>
      <c r="AN6984">
        <v>1.00000001503272</v>
      </c>
    </row>
    <row r="6985" spans="1:40" x14ac:dyDescent="0.25">
      <c r="A6985" t="str">
        <f>"20190303162052307"</f>
        <v>20190303162052307</v>
      </c>
      <c r="B6985" t="str">
        <f>"1551601252298924"</f>
        <v>1551601252298924</v>
      </c>
      <c r="C6985" t="s">
        <v>40</v>
      </c>
      <c r="D6985">
        <v>4.5084410000000004</v>
      </c>
      <c r="E6985">
        <v>0.33547129999999997</v>
      </c>
      <c r="F6985" t="s">
        <v>50</v>
      </c>
      <c r="G6985">
        <v>-404.78579999999999</v>
      </c>
      <c r="H6985" s="1">
        <v>-3.5504750000000001E-6</v>
      </c>
      <c r="I6985">
        <v>131.1824</v>
      </c>
      <c r="J6985">
        <v>-398.64690000000002</v>
      </c>
      <c r="K6985">
        <v>1.126252</v>
      </c>
      <c r="L6985">
        <v>140.79740000000001</v>
      </c>
      <c r="M6985">
        <v>-0.96462579999999998</v>
      </c>
      <c r="N6985">
        <v>-1.252208E-2</v>
      </c>
      <c r="O6985">
        <v>-0.2633259</v>
      </c>
      <c r="P6985">
        <v>-0.82436089999999995</v>
      </c>
      <c r="Q6985">
        <v>9.064469E-2</v>
      </c>
      <c r="R6985">
        <v>-0.55876040000000005</v>
      </c>
      <c r="S6985">
        <v>-1.8174440000000001</v>
      </c>
      <c r="T6985">
        <v>-0.3204108</v>
      </c>
      <c r="U6985">
        <v>-2.7570950000000001</v>
      </c>
      <c r="V6985">
        <v>-0.32319140000000002</v>
      </c>
      <c r="W6985">
        <v>9.8433419999999994E-2</v>
      </c>
      <c r="X6985">
        <v>0.94120040000000005</v>
      </c>
      <c r="Y6985">
        <v>-0.65811409999999904</v>
      </c>
      <c r="Z6985">
        <v>-1.7421559999999999E-2</v>
      </c>
      <c r="AA6985">
        <v>0.75271669999999902</v>
      </c>
      <c r="AB6985">
        <v>26</v>
      </c>
      <c r="AC6985">
        <v>-6.1388999999999703</v>
      </c>
      <c r="AD6985">
        <v>-1.126255550475</v>
      </c>
      <c r="AE6985">
        <v>-9.6150000000000002</v>
      </c>
      <c r="AF6985">
        <v>-7.5850121745491199</v>
      </c>
      <c r="AG6985">
        <v>-1.126255550475</v>
      </c>
      <c r="AH6985">
        <v>8.3726710719797008</v>
      </c>
      <c r="AI6985">
        <v>95.693034193937194</v>
      </c>
      <c r="AJ6985">
        <v>132.17421801693399</v>
      </c>
      <c r="AK6985">
        <v>11.3535228952338</v>
      </c>
      <c r="AL6985">
        <v>84.351033066735297</v>
      </c>
      <c r="AM6985">
        <v>108.951555774908</v>
      </c>
      <c r="AN6985">
        <v>1.0000000060834999</v>
      </c>
    </row>
    <row r="6986" spans="1:40" x14ac:dyDescent="0.25">
      <c r="A6986" t="str">
        <f>"20190303162052328"</f>
        <v>20190303162052328</v>
      </c>
      <c r="B6986" t="str">
        <f>"1551601252319861"</f>
        <v>1551601252319861</v>
      </c>
      <c r="C6986" t="s">
        <v>40</v>
      </c>
      <c r="D6986">
        <v>6.1194009999999999</v>
      </c>
      <c r="E6986">
        <v>0.335522599999999</v>
      </c>
      <c r="F6986" t="s">
        <v>50</v>
      </c>
      <c r="G6986">
        <v>-404.91500000000002</v>
      </c>
      <c r="H6986" s="1">
        <v>-3.57627E-6</v>
      </c>
      <c r="I6986">
        <v>131.11500000000001</v>
      </c>
      <c r="J6986">
        <v>-398.88229999999999</v>
      </c>
      <c r="K6986">
        <v>1.1265080000000001</v>
      </c>
      <c r="L6986">
        <v>140.72460000000001</v>
      </c>
      <c r="M6986">
        <v>-0.96258619999999995</v>
      </c>
      <c r="N6986">
        <v>-1.2557509999999999E-2</v>
      </c>
      <c r="O6986">
        <v>-0.27068500000000001</v>
      </c>
      <c r="P6986">
        <v>-0.82174119999999995</v>
      </c>
      <c r="Q6986">
        <v>9.0023619999999999E-2</v>
      </c>
      <c r="R6986">
        <v>-0.56270529999999996</v>
      </c>
      <c r="S6986">
        <v>-1.7951349999999999</v>
      </c>
      <c r="T6986">
        <v>-0.32254909999999998</v>
      </c>
      <c r="U6986">
        <v>-2.772964</v>
      </c>
      <c r="V6986">
        <v>-0.32054450000000001</v>
      </c>
      <c r="W6986">
        <v>9.7695969999999993E-2</v>
      </c>
      <c r="X6986">
        <v>0.94218190000000002</v>
      </c>
      <c r="Y6986">
        <v>-0.65860019999999997</v>
      </c>
      <c r="Z6986">
        <v>-1.6833540000000001E-2</v>
      </c>
      <c r="AA6986">
        <v>0.7523048</v>
      </c>
      <c r="AB6986">
        <v>26</v>
      </c>
      <c r="AC6986">
        <v>-6.0327000000000304</v>
      </c>
      <c r="AD6986">
        <v>-1.12651157627</v>
      </c>
      <c r="AE6986">
        <v>-9.6096000000000004</v>
      </c>
      <c r="AF6986">
        <v>-7.5433483870572902</v>
      </c>
      <c r="AG6986">
        <v>-1.12651157627</v>
      </c>
      <c r="AH6986">
        <v>8.3267497166871198</v>
      </c>
      <c r="AI6986">
        <v>95.725536731093399</v>
      </c>
      <c r="AJ6986">
        <v>132.17398187563299</v>
      </c>
      <c r="AK6986">
        <v>11.2918507811757</v>
      </c>
      <c r="AL6986">
        <v>84.393490481793293</v>
      </c>
      <c r="AM6986">
        <v>108.789079248839</v>
      </c>
      <c r="AN6986">
        <v>1.0000000058610501</v>
      </c>
    </row>
    <row r="6987" spans="1:40" x14ac:dyDescent="0.25">
      <c r="A6987" t="str">
        <f>"20190303162052351"</f>
        <v>20190303162052351</v>
      </c>
      <c r="B6987" t="str">
        <f>"1551601252339382"</f>
        <v>1551601252339382</v>
      </c>
      <c r="C6987" t="s">
        <v>40</v>
      </c>
      <c r="D6987">
        <v>4.6756149999999996</v>
      </c>
      <c r="E6987">
        <v>0.3954664</v>
      </c>
      <c r="F6987" t="s">
        <v>50</v>
      </c>
      <c r="G6987">
        <v>-405.17649999999998</v>
      </c>
      <c r="H6987" s="1">
        <v>-3.6376129999999998E-6</v>
      </c>
      <c r="I6987">
        <v>130.8861</v>
      </c>
      <c r="J6987">
        <v>-399.12459999999999</v>
      </c>
      <c r="K6987">
        <v>1.126762</v>
      </c>
      <c r="L6987">
        <v>140.6472</v>
      </c>
      <c r="M6987">
        <v>-0.96032890000000004</v>
      </c>
      <c r="N6987">
        <v>-1.259656E-2</v>
      </c>
      <c r="O6987">
        <v>-0.27858529999999998</v>
      </c>
      <c r="P6987">
        <v>-0.81965869999999996</v>
      </c>
      <c r="Q6987">
        <v>8.9440069999999997E-2</v>
      </c>
      <c r="R6987">
        <v>-0.56582710000000003</v>
      </c>
      <c r="S6987">
        <v>-1.7802119999999999</v>
      </c>
      <c r="T6987">
        <v>-0.31861400000000001</v>
      </c>
      <c r="U6987">
        <v>-2.782654</v>
      </c>
      <c r="V6987">
        <v>-0.31641160000000002</v>
      </c>
      <c r="W6987">
        <v>9.7032999999999994E-2</v>
      </c>
      <c r="X6987">
        <v>0.94364630000000005</v>
      </c>
      <c r="Y6987">
        <v>-0.65656369999999997</v>
      </c>
      <c r="Z6987">
        <v>-1.5834069999999999E-2</v>
      </c>
      <c r="AA6987">
        <v>0.75410440000000001</v>
      </c>
      <c r="AB6987">
        <v>26</v>
      </c>
      <c r="AC6987">
        <v>-6.0518999999999803</v>
      </c>
      <c r="AD6987">
        <v>-1.126765637613</v>
      </c>
      <c r="AE6987">
        <v>-9.7611000000000008</v>
      </c>
      <c r="AF6987">
        <v>-7.6152084060229104</v>
      </c>
      <c r="AG6987">
        <v>-1.126765637613</v>
      </c>
      <c r="AH6987">
        <v>8.4504533337297101</v>
      </c>
      <c r="AI6987">
        <v>95.656817102099495</v>
      </c>
      <c r="AJ6987">
        <v>132.023903337147</v>
      </c>
      <c r="AK6987">
        <v>11.4311487355738</v>
      </c>
      <c r="AL6987">
        <v>84.431657291221995</v>
      </c>
      <c r="AM6987">
        <v>108.53668427542399</v>
      </c>
      <c r="AN6987">
        <v>1.00000002160362</v>
      </c>
    </row>
    <row r="6988" spans="1:40" x14ac:dyDescent="0.25">
      <c r="A6988" t="str">
        <f>"20190303162052373"</f>
        <v>20190303162052373</v>
      </c>
      <c r="B6988" t="str">
        <f>"1551601252369638"</f>
        <v>1551601252369638</v>
      </c>
      <c r="C6988" t="s">
        <v>40</v>
      </c>
      <c r="D6988">
        <v>4.624053</v>
      </c>
      <c r="E6988">
        <v>0.40700170000000002</v>
      </c>
      <c r="F6988" t="s">
        <v>42</v>
      </c>
      <c r="G6988">
        <v>-399.79199999999997</v>
      </c>
      <c r="H6988">
        <v>1.069285</v>
      </c>
      <c r="I6988">
        <v>139.85830000000001</v>
      </c>
      <c r="J6988">
        <v>-399.36610000000002</v>
      </c>
      <c r="K6988">
        <v>1.1270039999999999</v>
      </c>
      <c r="L6988">
        <v>140.56739999999999</v>
      </c>
      <c r="M6988">
        <v>-0.95790390000000003</v>
      </c>
      <c r="N6988">
        <v>-1.263568E-2</v>
      </c>
      <c r="O6988">
        <v>-0.28681069999999997</v>
      </c>
      <c r="P6988">
        <v>-0.81624960000000002</v>
      </c>
      <c r="Q6988">
        <v>8.8148039999999997E-2</v>
      </c>
      <c r="R6988">
        <v>-0.57093479999999996</v>
      </c>
      <c r="S6988">
        <v>-2.0263059999999999</v>
      </c>
      <c r="T6988">
        <v>-0.17449899999999999</v>
      </c>
      <c r="U6988">
        <v>-2.3943020000000002</v>
      </c>
      <c r="V6988">
        <v>-0.31420720000000002</v>
      </c>
      <c r="W6988">
        <v>9.5637150000000004E-2</v>
      </c>
      <c r="X6988">
        <v>0.9445249</v>
      </c>
      <c r="Y6988">
        <v>-0.54522630000000005</v>
      </c>
      <c r="Z6988">
        <v>-7.0674010000000001E-3</v>
      </c>
      <c r="AA6988">
        <v>0.83825910000000003</v>
      </c>
      <c r="AB6988">
        <v>26</v>
      </c>
      <c r="AC6988">
        <v>-0.42589999999995598</v>
      </c>
      <c r="AD6988">
        <v>-5.7718999999999999E-2</v>
      </c>
      <c r="AE6988">
        <v>-0.70909999999997797</v>
      </c>
      <c r="AF6988">
        <v>-0.55444186383528904</v>
      </c>
      <c r="AG6988">
        <v>-5.7718999999999999E-2</v>
      </c>
      <c r="AH6988">
        <v>0.60843506090909305</v>
      </c>
      <c r="AI6988">
        <v>94.010927504363096</v>
      </c>
      <c r="AJ6988">
        <v>132.34162570348801</v>
      </c>
      <c r="AK6988">
        <v>0.82518512267102895</v>
      </c>
      <c r="AL6988">
        <v>84.512006970285597</v>
      </c>
      <c r="AM6988">
        <v>108.400305049203</v>
      </c>
      <c r="AN6988">
        <v>0.99999995785598506</v>
      </c>
    </row>
    <row r="6989" spans="1:40" x14ac:dyDescent="0.25">
      <c r="A6989" t="str">
        <f>"20190303162052395"</f>
        <v>20190303162052395</v>
      </c>
      <c r="B6989" t="str">
        <f>"1551601252389157"</f>
        <v>1551601252389157</v>
      </c>
      <c r="C6989" t="s">
        <v>40</v>
      </c>
      <c r="D6989">
        <v>4.6021850000000004</v>
      </c>
      <c r="E6989">
        <v>0.40842879999999998</v>
      </c>
      <c r="F6989" t="s">
        <v>42</v>
      </c>
      <c r="G6989">
        <v>-400.02319999999997</v>
      </c>
      <c r="H6989">
        <v>1.074878</v>
      </c>
      <c r="I6989">
        <v>139.82499999999999</v>
      </c>
      <c r="J6989">
        <v>-399.60590000000002</v>
      </c>
      <c r="K6989">
        <v>1.127251</v>
      </c>
      <c r="L6989">
        <v>140.4855</v>
      </c>
      <c r="M6989">
        <v>-0.9553043</v>
      </c>
      <c r="N6989">
        <v>-1.2676700000000001E-2</v>
      </c>
      <c r="O6989">
        <v>-0.29535299999999998</v>
      </c>
      <c r="P6989">
        <v>-0.81192399999999998</v>
      </c>
      <c r="Q6989">
        <v>8.7512800000000002E-2</v>
      </c>
      <c r="R6989">
        <v>-0.57716659999999997</v>
      </c>
      <c r="S6989">
        <v>-2.0621640000000001</v>
      </c>
      <c r="T6989">
        <v>-0.16358490000000001</v>
      </c>
      <c r="U6989">
        <v>-2.331604</v>
      </c>
      <c r="V6989">
        <v>-0.31302849999999999</v>
      </c>
      <c r="W6989">
        <v>9.4879110000000003E-2</v>
      </c>
      <c r="X6989">
        <v>0.94499270000000002</v>
      </c>
      <c r="Y6989">
        <v>-0.51932939999999905</v>
      </c>
      <c r="Z6989">
        <v>-5.6757980000000001E-3</v>
      </c>
      <c r="AA6989">
        <v>0.85455530000000002</v>
      </c>
      <c r="AB6989">
        <v>26</v>
      </c>
      <c r="AC6989">
        <v>-0.41729999999995399</v>
      </c>
      <c r="AD6989">
        <v>-5.2373000000000003E-2</v>
      </c>
      <c r="AE6989">
        <v>-0.66050000000001297</v>
      </c>
      <c r="AF6989">
        <v>-0.50549684890044899</v>
      </c>
      <c r="AG6989">
        <v>-5.2373000000000003E-2</v>
      </c>
      <c r="AH6989">
        <v>0.59112043664644998</v>
      </c>
      <c r="AI6989">
        <v>93.852255547209097</v>
      </c>
      <c r="AJ6989">
        <v>130.53541867168599</v>
      </c>
      <c r="AK6989">
        <v>0.77954689788259302</v>
      </c>
      <c r="AL6989">
        <v>84.555638349778306</v>
      </c>
      <c r="AM6989">
        <v>108.327434044687</v>
      </c>
      <c r="AN6989">
        <v>1.00000004518996</v>
      </c>
    </row>
    <row r="6990" spans="1:40" x14ac:dyDescent="0.25">
      <c r="A6990" t="str">
        <f>"20190303162052417"</f>
        <v>20190303162052417</v>
      </c>
      <c r="B6990" t="str">
        <f>"1551601252409654"</f>
        <v>1551601252409654</v>
      </c>
      <c r="C6990" t="s">
        <v>40</v>
      </c>
      <c r="D6990">
        <v>4.6357309999999998</v>
      </c>
      <c r="E6990">
        <v>0.40931060000000002</v>
      </c>
      <c r="F6990" t="s">
        <v>42</v>
      </c>
      <c r="G6990">
        <v>-400.23989999999998</v>
      </c>
      <c r="H6990">
        <v>1.0771090000000001</v>
      </c>
      <c r="I6990">
        <v>139.76230000000001</v>
      </c>
      <c r="J6990">
        <v>-399.83969999999999</v>
      </c>
      <c r="K6990">
        <v>1.1275109999999999</v>
      </c>
      <c r="L6990">
        <v>140.40299999999999</v>
      </c>
      <c r="M6990">
        <v>-0.95256940000000001</v>
      </c>
      <c r="N6990">
        <v>-1.272211E-2</v>
      </c>
      <c r="O6990">
        <v>-0.30405569999999998</v>
      </c>
      <c r="P6990">
        <v>-0.80685399999999996</v>
      </c>
      <c r="Q6990">
        <v>8.993843E-2</v>
      </c>
      <c r="R6990">
        <v>-0.58386470000000001</v>
      </c>
      <c r="S6990">
        <v>-2.049957</v>
      </c>
      <c r="T6990">
        <v>-0.1621312</v>
      </c>
      <c r="U6990">
        <v>-2.3386079999999998</v>
      </c>
      <c r="V6990">
        <v>-0.3124017</v>
      </c>
      <c r="W6990">
        <v>9.7169210000000006E-2</v>
      </c>
      <c r="X6990">
        <v>0.94496740000000001</v>
      </c>
      <c r="Y6990">
        <v>-0.5153375</v>
      </c>
      <c r="Z6990">
        <v>-5.1652809999999999E-3</v>
      </c>
      <c r="AA6990">
        <v>0.856971699999999</v>
      </c>
      <c r="AB6990">
        <v>26</v>
      </c>
      <c r="AC6990">
        <v>-0.40019999999998301</v>
      </c>
      <c r="AD6990">
        <v>-5.0402000000000002E-2</v>
      </c>
      <c r="AE6990">
        <v>-0.64069999999998095</v>
      </c>
      <c r="AF6990">
        <v>-0.486501891523059</v>
      </c>
      <c r="AG6990">
        <v>-5.0402000000000002E-2</v>
      </c>
      <c r="AH6990">
        <v>0.57352021974961997</v>
      </c>
      <c r="AI6990">
        <v>93.834097138636906</v>
      </c>
      <c r="AJ6990">
        <v>130.30705224866099</v>
      </c>
      <c r="AK6990">
        <v>0.75375718538609504</v>
      </c>
      <c r="AL6990">
        <v>84.423816039144</v>
      </c>
      <c r="AM6990">
        <v>108.293638628012</v>
      </c>
      <c r="AN6990">
        <v>1.0000000322988301</v>
      </c>
    </row>
    <row r="6991" spans="1:40" x14ac:dyDescent="0.25">
      <c r="A6991" t="str">
        <f>"20190303162052440"</f>
        <v>20190303162052440</v>
      </c>
      <c r="B6991" t="str">
        <f>"1551601252429681"</f>
        <v>1551601252429681</v>
      </c>
      <c r="C6991" t="s">
        <v>40</v>
      </c>
      <c r="D6991">
        <v>4.6266119999999997</v>
      </c>
      <c r="E6991">
        <v>0.41008830000000002</v>
      </c>
      <c r="F6991" t="s">
        <v>42</v>
      </c>
      <c r="G6991">
        <v>-400.48630000000003</v>
      </c>
      <c r="H6991">
        <v>1.078557</v>
      </c>
      <c r="I6991">
        <v>139.65649999999999</v>
      </c>
      <c r="J6991">
        <v>-400.07429999999999</v>
      </c>
      <c r="K6991">
        <v>1.1277950000000001</v>
      </c>
      <c r="L6991">
        <v>140.31739999999999</v>
      </c>
      <c r="M6991">
        <v>-0.94961629999999997</v>
      </c>
      <c r="N6991">
        <v>-1.2773029999999999E-2</v>
      </c>
      <c r="O6991">
        <v>-0.3131544</v>
      </c>
      <c r="P6991">
        <v>-0.80128319999999997</v>
      </c>
      <c r="Q6991">
        <v>9.4533220000000001E-2</v>
      </c>
      <c r="R6991">
        <v>-0.59076949999999995</v>
      </c>
      <c r="S6991">
        <v>-2.034729</v>
      </c>
      <c r="T6991">
        <v>-0.15404870000000001</v>
      </c>
      <c r="U6991">
        <v>-2.3500519999999998</v>
      </c>
      <c r="V6991">
        <v>-0.31177339999999998</v>
      </c>
      <c r="W6991">
        <v>0.10162409999999999</v>
      </c>
      <c r="X6991">
        <v>0.9447063</v>
      </c>
      <c r="Y6991">
        <v>-0.51242730000000003</v>
      </c>
      <c r="Z6991">
        <v>-4.8026340000000001E-3</v>
      </c>
      <c r="AA6991">
        <v>0.85871719999999896</v>
      </c>
      <c r="AB6991">
        <v>26</v>
      </c>
      <c r="AC6991">
        <v>-0.41200000000003401</v>
      </c>
      <c r="AD6991">
        <v>-4.9238000000000101E-2</v>
      </c>
      <c r="AE6991">
        <v>-0.66089999999999705</v>
      </c>
      <c r="AF6991">
        <v>-0.49663737417138898</v>
      </c>
      <c r="AG6991">
        <v>-4.9238000000000101E-2</v>
      </c>
      <c r="AH6991">
        <v>0.59587270846868501</v>
      </c>
      <c r="AI6991">
        <v>93.632002098018802</v>
      </c>
      <c r="AJ6991">
        <v>129.809928054279</v>
      </c>
      <c r="AK6991">
        <v>0.77726272698853804</v>
      </c>
      <c r="AL6991">
        <v>84.167299248027703</v>
      </c>
      <c r="AM6991">
        <v>108.264001355861</v>
      </c>
      <c r="AN6991">
        <v>1.00000005195402</v>
      </c>
    </row>
    <row r="6992" spans="1:40" x14ac:dyDescent="0.25">
      <c r="A6992" t="str">
        <f>"20190303162052461"</f>
        <v>20190303162052461</v>
      </c>
      <c r="B6992" t="str">
        <f>"1551601252449202"</f>
        <v>1551601252449202</v>
      </c>
      <c r="C6992" t="s">
        <v>40</v>
      </c>
      <c r="D6992">
        <v>4.6425679999999998</v>
      </c>
      <c r="E6992">
        <v>0.41023860000000001</v>
      </c>
      <c r="F6992" t="s">
        <v>50</v>
      </c>
      <c r="G6992">
        <v>-416.41090000000003</v>
      </c>
      <c r="H6992" s="1">
        <v>-1.5441989999999999E-6</v>
      </c>
      <c r="I6992">
        <v>121.1885</v>
      </c>
      <c r="J6992">
        <v>-400.3032</v>
      </c>
      <c r="K6992">
        <v>1.1280539999999999</v>
      </c>
      <c r="L6992">
        <v>140.23089999999999</v>
      </c>
      <c r="M6992">
        <v>-0.94653120000000002</v>
      </c>
      <c r="N6992">
        <v>-1.282785E-2</v>
      </c>
      <c r="O6992">
        <v>-0.32235720000000001</v>
      </c>
      <c r="P6992">
        <v>-0.79600300000000002</v>
      </c>
      <c r="Q6992">
        <v>9.8211080000000006E-2</v>
      </c>
      <c r="R6992">
        <v>-0.59727219999999903</v>
      </c>
      <c r="S6992">
        <v>-2.0181580000000001</v>
      </c>
      <c r="T6992">
        <v>-0.1393229</v>
      </c>
      <c r="U6992">
        <v>-2.3630979999999999</v>
      </c>
      <c r="V6992">
        <v>-0.31055640000000001</v>
      </c>
      <c r="W6992">
        <v>0.1051906</v>
      </c>
      <c r="X6992">
        <v>0.94471669999999996</v>
      </c>
      <c r="Y6992">
        <v>-0.50999240000000001</v>
      </c>
      <c r="Z6992">
        <v>-4.6496920000000004E-3</v>
      </c>
      <c r="AA6992">
        <v>0.8601664</v>
      </c>
      <c r="AB6992">
        <v>26</v>
      </c>
      <c r="AC6992">
        <v>-16.107700000000001</v>
      </c>
      <c r="AD6992">
        <v>-1.1280555441989999</v>
      </c>
      <c r="AE6992">
        <v>-19.042399999999901</v>
      </c>
      <c r="AF6992">
        <v>-12.8066510419678</v>
      </c>
      <c r="AG6992">
        <v>-1.1280555441989999</v>
      </c>
      <c r="AH6992">
        <v>21.342995464867201</v>
      </c>
      <c r="AI6992">
        <v>92.594917448897206</v>
      </c>
      <c r="AJ6992">
        <v>120.96544175764799</v>
      </c>
      <c r="AK6992">
        <v>24.915984340075301</v>
      </c>
      <c r="AL6992">
        <v>83.961852000042896</v>
      </c>
      <c r="AM6992">
        <v>108.197227943857</v>
      </c>
      <c r="AN6992">
        <v>0.99999999158410402</v>
      </c>
    </row>
    <row r="6993" spans="1:40" x14ac:dyDescent="0.25">
      <c r="A6993" t="str">
        <f>"20190303162052484"</f>
        <v>20190303162052484</v>
      </c>
      <c r="B6993" t="str">
        <f>"1551601252479457"</f>
        <v>1551601252479457</v>
      </c>
      <c r="C6993" t="s">
        <v>40</v>
      </c>
      <c r="D6993">
        <v>4.690118</v>
      </c>
      <c r="E6993">
        <v>0.41132629999999998</v>
      </c>
      <c r="F6993" t="s">
        <v>50</v>
      </c>
      <c r="G6993">
        <v>-417.57400000000001</v>
      </c>
      <c r="H6993" s="1">
        <v>-6.6068299999999898E-7</v>
      </c>
      <c r="I6993">
        <v>119.6855</v>
      </c>
      <c r="J6993">
        <v>-400.541</v>
      </c>
      <c r="K6993">
        <v>1.128269</v>
      </c>
      <c r="L6993">
        <v>140.13810000000001</v>
      </c>
      <c r="M6993">
        <v>-0.94311650000000002</v>
      </c>
      <c r="N6993">
        <v>-1.2886999999999999E-2</v>
      </c>
      <c r="O6993">
        <v>-0.33221289999999998</v>
      </c>
      <c r="P6993">
        <v>-0.79028019999999999</v>
      </c>
      <c r="Q6993">
        <v>9.7493339999999998E-2</v>
      </c>
      <c r="R6993">
        <v>-0.60494009999999998</v>
      </c>
      <c r="S6993">
        <v>-1.999878</v>
      </c>
      <c r="T6993">
        <v>-0.13062319999999999</v>
      </c>
      <c r="U6993">
        <v>-2.3790589999999998</v>
      </c>
      <c r="V6993">
        <v>-0.3098514</v>
      </c>
      <c r="W6993">
        <v>0.10437589999999999</v>
      </c>
      <c r="X6993">
        <v>0.9450385</v>
      </c>
      <c r="Y6993">
        <v>-0.50778129999999999</v>
      </c>
      <c r="Z6993">
        <v>-4.4500900000000003E-3</v>
      </c>
      <c r="AA6993">
        <v>0.86147450000000003</v>
      </c>
      <c r="AB6993">
        <v>25</v>
      </c>
      <c r="AC6993">
        <v>-17.033000000000001</v>
      </c>
      <c r="AD6993">
        <v>-1.1282696606829901</v>
      </c>
      <c r="AE6993">
        <v>-20.4526</v>
      </c>
      <c r="AF6993">
        <v>-13.6072815677192</v>
      </c>
      <c r="AG6993">
        <v>-1.1282696606829901</v>
      </c>
      <c r="AH6993">
        <v>22.819611855107201</v>
      </c>
      <c r="AI6993">
        <v>92.431673742479802</v>
      </c>
      <c r="AJ6993">
        <v>120.807525697402</v>
      </c>
      <c r="AK6993">
        <v>26.592588992201499</v>
      </c>
      <c r="AL6993">
        <v>84.008789264766506</v>
      </c>
      <c r="AM6993">
        <v>108.152854321367</v>
      </c>
      <c r="AN6993">
        <v>0.99999999253250904</v>
      </c>
    </row>
    <row r="6994" spans="1:40" x14ac:dyDescent="0.25">
      <c r="A6994" t="str">
        <f>"20190303162052506"</f>
        <v>20190303162052506</v>
      </c>
      <c r="B6994" t="str">
        <f>"1551601252498977"</f>
        <v>1551601252498977</v>
      </c>
      <c r="C6994" t="s">
        <v>40</v>
      </c>
      <c r="D6994">
        <v>4.654083</v>
      </c>
      <c r="E6994">
        <v>0.41141879999999997</v>
      </c>
      <c r="F6994" t="s">
        <v>41</v>
      </c>
      <c r="G6994">
        <v>-417.77300000000002</v>
      </c>
      <c r="H6994" s="1">
        <v>-4.5665369999999998E-6</v>
      </c>
      <c r="I6994">
        <v>119.3567</v>
      </c>
      <c r="J6994">
        <v>-400.7704</v>
      </c>
      <c r="K6994">
        <v>1.128406</v>
      </c>
      <c r="L6994">
        <v>140.0453</v>
      </c>
      <c r="M6994">
        <v>-0.93961930000000005</v>
      </c>
      <c r="N6994">
        <v>-1.294024E-2</v>
      </c>
      <c r="O6994">
        <v>-0.34197699999999998</v>
      </c>
      <c r="P6994">
        <v>-0.78399069999999904</v>
      </c>
      <c r="Q6994">
        <v>9.3435119999999997E-2</v>
      </c>
      <c r="R6994">
        <v>-0.61370069999999999</v>
      </c>
      <c r="S6994">
        <v>-1.9822690000000001</v>
      </c>
      <c r="T6994">
        <v>-0.1297895</v>
      </c>
      <c r="U6994">
        <v>-2.3905639999999999</v>
      </c>
      <c r="V6994">
        <v>-0.3103745</v>
      </c>
      <c r="W6994">
        <v>0.1002345</v>
      </c>
      <c r="X6994">
        <v>0.94531509999999996</v>
      </c>
      <c r="Y6994">
        <v>-0.5046467</v>
      </c>
      <c r="Z6994">
        <v>-4.0648910000000002E-3</v>
      </c>
      <c r="AA6994">
        <v>0.86331639999999998</v>
      </c>
      <c r="AB6994">
        <v>25</v>
      </c>
      <c r="AC6994">
        <v>-17.002600000000001</v>
      </c>
      <c r="AD6994">
        <v>-1.1284105665369999</v>
      </c>
      <c r="AE6994">
        <v>-20.688599999999902</v>
      </c>
      <c r="AF6994">
        <v>-13.60189776124</v>
      </c>
      <c r="AG6994">
        <v>-1.1284105665369999</v>
      </c>
      <c r="AH6994">
        <v>23.0120642257878</v>
      </c>
      <c r="AI6994">
        <v>92.417189064071295</v>
      </c>
      <c r="AJ6994">
        <v>120.586349384927</v>
      </c>
      <c r="AK6994">
        <v>26.755187030661599</v>
      </c>
      <c r="AL6994">
        <v>84.247325594298204</v>
      </c>
      <c r="AM6994">
        <v>108.17651569406</v>
      </c>
      <c r="AN6994">
        <v>0.99999996176425399</v>
      </c>
    </row>
    <row r="6995" spans="1:40" x14ac:dyDescent="0.25">
      <c r="A6995" t="str">
        <f>"20190303162052529"</f>
        <v>20190303162052529</v>
      </c>
      <c r="B6995" t="str">
        <f>"1551601252519003"</f>
        <v>1551601252519003</v>
      </c>
      <c r="C6995" t="s">
        <v>40</v>
      </c>
      <c r="D6995">
        <v>4.7098890000000004</v>
      </c>
      <c r="E6995">
        <v>0.41148699999999999</v>
      </c>
      <c r="F6995" t="s">
        <v>42</v>
      </c>
      <c r="G6995">
        <v>-401.43860000000001</v>
      </c>
      <c r="H6995">
        <v>1.077774</v>
      </c>
      <c r="I6995">
        <v>139.2225</v>
      </c>
      <c r="J6995">
        <v>-401.00189999999998</v>
      </c>
      <c r="K6995">
        <v>1.1284920000000001</v>
      </c>
      <c r="L6995">
        <v>139.9485</v>
      </c>
      <c r="M6995">
        <v>-0.93590549999999995</v>
      </c>
      <c r="N6995">
        <v>-1.299197E-2</v>
      </c>
      <c r="O6995">
        <v>-0.35201179999999999</v>
      </c>
      <c r="P6995">
        <v>-0.77685090000000001</v>
      </c>
      <c r="Q6995">
        <v>8.9777199999999904E-2</v>
      </c>
      <c r="R6995">
        <v>-0.62325200000000003</v>
      </c>
      <c r="S6995">
        <v>-1.9575199999999999</v>
      </c>
      <c r="T6995">
        <v>-0.1483235</v>
      </c>
      <c r="U6995">
        <v>-2.410263</v>
      </c>
      <c r="V6995">
        <v>-0.31164429999999999</v>
      </c>
      <c r="W6995">
        <v>9.6514269999999999E-2</v>
      </c>
      <c r="X6995">
        <v>0.94528449999999997</v>
      </c>
      <c r="Y6995">
        <v>-0.50412709999999905</v>
      </c>
      <c r="Z6995">
        <v>-3.1454220000000001E-3</v>
      </c>
      <c r="AA6995">
        <v>0.86362369999999899</v>
      </c>
      <c r="AB6995">
        <v>25</v>
      </c>
      <c r="AC6995">
        <v>-0.43670000000003001</v>
      </c>
      <c r="AD6995">
        <v>-5.0717999999999999E-2</v>
      </c>
      <c r="AE6995">
        <v>-0.72599999999999898</v>
      </c>
      <c r="AF6995">
        <v>-0.52391062621697304</v>
      </c>
      <c r="AG6995">
        <v>-5.0717999999999999E-2</v>
      </c>
      <c r="AH6995">
        <v>0.66195425697221999</v>
      </c>
      <c r="AI6995">
        <v>93.438112595343995</v>
      </c>
      <c r="AJ6995">
        <v>128.360222079138</v>
      </c>
      <c r="AK6995">
        <v>0.84571750490970898</v>
      </c>
      <c r="AL6995">
        <v>84.461518255420998</v>
      </c>
      <c r="AM6995">
        <v>108.246513154181</v>
      </c>
      <c r="AN6995">
        <v>0.99999997998818602</v>
      </c>
    </row>
    <row r="6996" spans="1:40" x14ac:dyDescent="0.25">
      <c r="A6996" t="str">
        <f>"20190303162052552"</f>
        <v>20190303162052552</v>
      </c>
      <c r="B6996" t="str">
        <f>"1551601252539499"</f>
        <v>1551601252539499</v>
      </c>
      <c r="C6996" t="s">
        <v>40</v>
      </c>
      <c r="D6996">
        <v>4.7027910000000004</v>
      </c>
      <c r="E6996">
        <v>0.411721</v>
      </c>
      <c r="F6996" t="s">
        <v>42</v>
      </c>
      <c r="G6996">
        <v>-401.64339999999999</v>
      </c>
      <c r="H6996">
        <v>1.0741700000000001</v>
      </c>
      <c r="I6996">
        <v>139.1397</v>
      </c>
      <c r="J6996">
        <v>-401.23570000000001</v>
      </c>
      <c r="K6996">
        <v>1.128539</v>
      </c>
      <c r="L6996">
        <v>139.8476</v>
      </c>
      <c r="M6996">
        <v>-0.93198360000000002</v>
      </c>
      <c r="N6996">
        <v>-1.304135E-2</v>
      </c>
      <c r="O6996">
        <v>-0.36226599999999998</v>
      </c>
      <c r="P6996">
        <v>-0.76943269999999997</v>
      </c>
      <c r="Q6996">
        <v>8.5550520000000005E-2</v>
      </c>
      <c r="R6996">
        <v>-0.6329728</v>
      </c>
      <c r="S6996">
        <v>-1.929108</v>
      </c>
      <c r="T6996">
        <v>-0.1633503</v>
      </c>
      <c r="U6996">
        <v>-2.4324949999999999</v>
      </c>
      <c r="V6996">
        <v>-0.31292209999999998</v>
      </c>
      <c r="W6996">
        <v>9.2258980000000004E-2</v>
      </c>
      <c r="X6996">
        <v>0.94528730000000005</v>
      </c>
      <c r="Y6996">
        <v>-0.50461750000000005</v>
      </c>
      <c r="Z6996">
        <v>-2.2405150000000002E-3</v>
      </c>
      <c r="AA6996">
        <v>0.8633402</v>
      </c>
      <c r="AB6996">
        <v>25</v>
      </c>
      <c r="AC6996">
        <v>-0.40769999999997703</v>
      </c>
      <c r="AD6996">
        <v>-5.4368999999999799E-2</v>
      </c>
      <c r="AE6996">
        <v>-0.70789999999999498</v>
      </c>
      <c r="AF6996">
        <v>-0.50984051351386594</v>
      </c>
      <c r="AG6996">
        <v>-5.4368999999999799E-2</v>
      </c>
      <c r="AH6996">
        <v>0.63366507270626105</v>
      </c>
      <c r="AI6996">
        <v>93.824490837240702</v>
      </c>
      <c r="AJ6996">
        <v>128.81980420803299</v>
      </c>
      <c r="AK6996">
        <v>0.81512254400728901</v>
      </c>
      <c r="AL6996">
        <v>84.706422163770299</v>
      </c>
      <c r="AM6996">
        <v>108.316291828964</v>
      </c>
      <c r="AN6996">
        <v>1.0000000198001699</v>
      </c>
    </row>
    <row r="6997" spans="1:40" x14ac:dyDescent="0.25">
      <c r="A6997" t="str">
        <f>"20190303162052574"</f>
        <v>20190303162052574</v>
      </c>
      <c r="B6997" t="str">
        <f>"1551601252569755"</f>
        <v>1551601252569755</v>
      </c>
      <c r="C6997" t="s">
        <v>40</v>
      </c>
      <c r="D6997">
        <v>4.7233320000000001</v>
      </c>
      <c r="E6997">
        <v>0.41195999999999999</v>
      </c>
      <c r="F6997" t="s">
        <v>42</v>
      </c>
      <c r="G6997">
        <v>-401.84820000000002</v>
      </c>
      <c r="H6997">
        <v>1.071305</v>
      </c>
      <c r="I6997">
        <v>139.05600000000001</v>
      </c>
      <c r="J6997">
        <v>-401.46249999999998</v>
      </c>
      <c r="K6997">
        <v>1.12853799999999</v>
      </c>
      <c r="L6997">
        <v>139.74680000000001</v>
      </c>
      <c r="M6997">
        <v>-0.92803100000000005</v>
      </c>
      <c r="N6997">
        <v>-1.308783E-2</v>
      </c>
      <c r="O6997">
        <v>-0.37227320000000003</v>
      </c>
      <c r="P6997">
        <v>-0.76112709999999995</v>
      </c>
      <c r="Q6997">
        <v>8.0239309999999994E-2</v>
      </c>
      <c r="R6997">
        <v>-0.64362079999999999</v>
      </c>
      <c r="S6997">
        <v>-1.899292</v>
      </c>
      <c r="T6997">
        <v>-0.1774927</v>
      </c>
      <c r="U6997">
        <v>-2.4547270000000001</v>
      </c>
      <c r="V6997">
        <v>-0.31560460000000001</v>
      </c>
      <c r="W6997">
        <v>8.6914720000000001E-2</v>
      </c>
      <c r="X6997">
        <v>0.94490189999999996</v>
      </c>
      <c r="Y6997">
        <v>-0.50560950000000005</v>
      </c>
      <c r="Z6997">
        <v>-1.2918669999999999E-3</v>
      </c>
      <c r="AA6997">
        <v>0.86276140000000001</v>
      </c>
      <c r="AB6997">
        <v>25</v>
      </c>
      <c r="AC6997">
        <v>-0.38570000000004201</v>
      </c>
      <c r="AD6997">
        <v>-5.7232999999999798E-2</v>
      </c>
      <c r="AE6997">
        <v>-0.69079999999999497</v>
      </c>
      <c r="AF6997">
        <v>-0.49495060173704197</v>
      </c>
      <c r="AG6997">
        <v>-5.7232999999999798E-2</v>
      </c>
      <c r="AH6997">
        <v>0.61195822198236505</v>
      </c>
      <c r="AI6997">
        <v>94.159064263473496</v>
      </c>
      <c r="AJ6997">
        <v>128.965863619071</v>
      </c>
      <c r="AK6997">
        <v>0.789141672895734</v>
      </c>
      <c r="AL6997">
        <v>85.013862271780795</v>
      </c>
      <c r="AM6997">
        <v>108.469721203091</v>
      </c>
      <c r="AN6997">
        <v>1.0000000163587199</v>
      </c>
    </row>
    <row r="6998" spans="1:40" x14ac:dyDescent="0.25">
      <c r="A6998" t="str">
        <f>"20190303162052596"</f>
        <v>20190303162052596</v>
      </c>
      <c r="B6998" t="str">
        <f>"1551601252589275"</f>
        <v>1551601252589275</v>
      </c>
      <c r="C6998" t="s">
        <v>40</v>
      </c>
      <c r="D6998">
        <v>4.6978439999999999</v>
      </c>
      <c r="E6998">
        <v>0.41232740000000001</v>
      </c>
      <c r="F6998" t="s">
        <v>42</v>
      </c>
      <c r="G6998">
        <v>-402.04969999999997</v>
      </c>
      <c r="H6998">
        <v>1.0675870000000001</v>
      </c>
      <c r="I6998">
        <v>138.96690000000001</v>
      </c>
      <c r="J6998">
        <v>-401.68650000000002</v>
      </c>
      <c r="K6998">
        <v>1.128509</v>
      </c>
      <c r="L6998">
        <v>139.64439999999999</v>
      </c>
      <c r="M6998">
        <v>-0.92399219999999904</v>
      </c>
      <c r="N6998">
        <v>-1.314327E-2</v>
      </c>
      <c r="O6998">
        <v>-0.38218550000000001</v>
      </c>
      <c r="P6998">
        <v>-0.75239279999999997</v>
      </c>
      <c r="Q6998">
        <v>7.5107430000000003E-2</v>
      </c>
      <c r="R6998">
        <v>-0.65441879999999997</v>
      </c>
      <c r="S6998">
        <v>-1.865936</v>
      </c>
      <c r="T6998">
        <v>-0.19366800000000001</v>
      </c>
      <c r="U6998">
        <v>-2.4786679999999999</v>
      </c>
      <c r="V6998">
        <v>-0.31868459999999899</v>
      </c>
      <c r="W6998">
        <v>8.1768510000000003E-2</v>
      </c>
      <c r="X6998">
        <v>0.94432729999999998</v>
      </c>
      <c r="Y6998">
        <v>-0.5077121</v>
      </c>
      <c r="Z6998">
        <v>-2.1827310000000001E-4</v>
      </c>
      <c r="AA6998">
        <v>0.86152680000000004</v>
      </c>
      <c r="AB6998">
        <v>25</v>
      </c>
      <c r="AC6998">
        <v>-0.36319999999994901</v>
      </c>
      <c r="AD6998">
        <v>-6.09219999999999E-2</v>
      </c>
      <c r="AE6998">
        <v>-0.67749999999998001</v>
      </c>
      <c r="AF6998">
        <v>-0.48419583910824598</v>
      </c>
      <c r="AG6998">
        <v>-6.09219999999999E-2</v>
      </c>
      <c r="AH6998">
        <v>0.59086483411683599</v>
      </c>
      <c r="AI6998">
        <v>94.559668771637007</v>
      </c>
      <c r="AJ6998">
        <v>129.333580651982</v>
      </c>
      <c r="AK6998">
        <v>0.766340885565722</v>
      </c>
      <c r="AL6998">
        <v>85.309773029215506</v>
      </c>
      <c r="AM6998">
        <v>108.64812996313</v>
      </c>
      <c r="AN6998">
        <v>1.0000000065150301</v>
      </c>
    </row>
    <row r="6999" spans="1:40" x14ac:dyDescent="0.25">
      <c r="A6999" t="str">
        <f>"20190303162052618"</f>
        <v>20190303162052618</v>
      </c>
      <c r="B6999" t="str">
        <f>"1551601252609771"</f>
        <v>1551601252609771</v>
      </c>
      <c r="C6999" t="s">
        <v>40</v>
      </c>
      <c r="D6999">
        <v>4.7210470000000004</v>
      </c>
      <c r="E6999">
        <v>0.41256510000000002</v>
      </c>
      <c r="F6999" t="s">
        <v>42</v>
      </c>
      <c r="G6999">
        <v>-402.24970000000002</v>
      </c>
      <c r="H6999">
        <v>1.064746</v>
      </c>
      <c r="I6999">
        <v>138.8749</v>
      </c>
      <c r="J6999">
        <v>-401.91230000000002</v>
      </c>
      <c r="K6999">
        <v>1.128506</v>
      </c>
      <c r="L6999">
        <v>139.53809999999999</v>
      </c>
      <c r="M6999">
        <v>-0.91978890000000002</v>
      </c>
      <c r="N6999">
        <v>-1.3217E-2</v>
      </c>
      <c r="O6999">
        <v>-0.3921907</v>
      </c>
      <c r="P6999">
        <v>-0.74402880000000005</v>
      </c>
      <c r="Q6999">
        <v>7.1829210000000004E-2</v>
      </c>
      <c r="R6999">
        <v>-0.66427510000000001</v>
      </c>
      <c r="S6999">
        <v>-1.831696</v>
      </c>
      <c r="T6999">
        <v>-0.2073624</v>
      </c>
      <c r="U6999">
        <v>-2.502167</v>
      </c>
      <c r="V6999">
        <v>-0.32069340000000002</v>
      </c>
      <c r="W6999">
        <v>7.8521240000000006E-2</v>
      </c>
      <c r="X6999">
        <v>0.94392279999999995</v>
      </c>
      <c r="Y6999">
        <v>-0.50982669999999997</v>
      </c>
      <c r="Z6999">
        <v>8.4308530000000003E-4</v>
      </c>
      <c r="AA6999">
        <v>0.86027670000000001</v>
      </c>
      <c r="AB6999">
        <v>25</v>
      </c>
      <c r="AC6999">
        <v>-0.33740000000000198</v>
      </c>
      <c r="AD6999">
        <v>-6.3759999999999997E-2</v>
      </c>
      <c r="AE6999">
        <v>-0.66319999999998902</v>
      </c>
      <c r="AF6999">
        <v>-0.47423852818413598</v>
      </c>
      <c r="AG6999">
        <v>-6.3759999999999997E-2</v>
      </c>
      <c r="AH6999">
        <v>0.56632925366835196</v>
      </c>
      <c r="AI6999">
        <v>94.933399510718601</v>
      </c>
      <c r="AJ6999">
        <v>129.94247386738499</v>
      </c>
      <c r="AK6999">
        <v>0.74141509478483703</v>
      </c>
      <c r="AL6999">
        <v>85.496428589394597</v>
      </c>
      <c r="AM6999">
        <v>108.76495468779601</v>
      </c>
      <c r="AN6999">
        <v>1.0000000471472601</v>
      </c>
    </row>
    <row r="7000" spans="1:40" x14ac:dyDescent="0.25">
      <c r="A7000" t="str">
        <f>"20190303162052641"</f>
        <v>20190303162052641</v>
      </c>
      <c r="B7000" t="str">
        <f>"1551601252629291"</f>
        <v>1551601252629291</v>
      </c>
      <c r="C7000" t="s">
        <v>40</v>
      </c>
      <c r="D7000">
        <v>4.7757290000000001</v>
      </c>
      <c r="E7000">
        <v>0.41303699999999999</v>
      </c>
      <c r="F7000" t="s">
        <v>42</v>
      </c>
      <c r="G7000">
        <v>-402.45049999999998</v>
      </c>
      <c r="H7000">
        <v>1.063461</v>
      </c>
      <c r="I7000">
        <v>138.7835</v>
      </c>
      <c r="J7000">
        <v>-402.13670000000002</v>
      </c>
      <c r="K7000">
        <v>1.12853</v>
      </c>
      <c r="L7000">
        <v>139.42959999999999</v>
      </c>
      <c r="M7000">
        <v>-0.91547869999999998</v>
      </c>
      <c r="N7000">
        <v>-1.332116E-2</v>
      </c>
      <c r="O7000">
        <v>-0.4021458</v>
      </c>
      <c r="P7000">
        <v>-0.73628070000000001</v>
      </c>
      <c r="Q7000">
        <v>7.2073470000000001E-2</v>
      </c>
      <c r="R7000">
        <v>-0.67282710000000001</v>
      </c>
      <c r="S7000">
        <v>-1.799652</v>
      </c>
      <c r="T7000">
        <v>-0.2175282</v>
      </c>
      <c r="U7000">
        <v>-2.5239720000000001</v>
      </c>
      <c r="V7000">
        <v>-0.32137500000000002</v>
      </c>
      <c r="W7000">
        <v>7.8847799999999996E-2</v>
      </c>
      <c r="X7000">
        <v>0.94366369999999999</v>
      </c>
      <c r="Y7000">
        <v>-0.51120149999999998</v>
      </c>
      <c r="Z7000">
        <v>1.835471E-3</v>
      </c>
      <c r="AA7000">
        <v>0.85945890000000003</v>
      </c>
      <c r="AB7000">
        <v>25</v>
      </c>
      <c r="AC7000">
        <v>-0.313799999999957</v>
      </c>
      <c r="AD7000">
        <v>-6.5069000000000002E-2</v>
      </c>
      <c r="AE7000">
        <v>-0.64609999999998902</v>
      </c>
      <c r="AF7000">
        <v>-0.46155091923691</v>
      </c>
      <c r="AG7000">
        <v>-6.5069000000000002E-2</v>
      </c>
      <c r="AH7000">
        <v>0.54269840749985598</v>
      </c>
      <c r="AI7000">
        <v>95.218596518089797</v>
      </c>
      <c r="AJ7000">
        <v>130.38030169149701</v>
      </c>
      <c r="AK7000">
        <v>0.71539135255628905</v>
      </c>
      <c r="AL7000">
        <v>85.477659777388496</v>
      </c>
      <c r="AM7000">
        <v>108.806837630524</v>
      </c>
      <c r="AN7000">
        <v>1.00000002244376</v>
      </c>
    </row>
    <row r="7001" spans="1:40" x14ac:dyDescent="0.25">
      <c r="A7001" t="str">
        <f>"20190303162052663"</f>
        <v>20190303162052663</v>
      </c>
      <c r="B7001" t="str">
        <f>"1551601252659547"</f>
        <v>1551601252659547</v>
      </c>
      <c r="C7001" t="s">
        <v>40</v>
      </c>
      <c r="D7001">
        <v>4.7788149999999998</v>
      </c>
      <c r="E7001">
        <v>0.41387099999999999</v>
      </c>
      <c r="F7001" t="s">
        <v>42</v>
      </c>
      <c r="G7001">
        <v>-402.65129999999999</v>
      </c>
      <c r="H7001">
        <v>1.0658840000000001</v>
      </c>
      <c r="I7001">
        <v>138.6917</v>
      </c>
      <c r="J7001">
        <v>-402.3614</v>
      </c>
      <c r="K7001">
        <v>1.128582</v>
      </c>
      <c r="L7001">
        <v>139.31780000000001</v>
      </c>
      <c r="M7001">
        <v>-0.91101220000000005</v>
      </c>
      <c r="N7001">
        <v>-1.3462999999999999E-2</v>
      </c>
      <c r="O7001">
        <v>-0.41215970000000002</v>
      </c>
      <c r="P7001">
        <v>-0.72995589999999999</v>
      </c>
      <c r="Q7001">
        <v>7.3316370000000006E-2</v>
      </c>
      <c r="R7001">
        <v>-0.67955100000000002</v>
      </c>
      <c r="S7001">
        <v>-1.77300999999999</v>
      </c>
      <c r="T7001">
        <v>-0.2158159</v>
      </c>
      <c r="U7001">
        <v>-2.541687</v>
      </c>
      <c r="V7001">
        <v>-0.3197584</v>
      </c>
      <c r="W7001">
        <v>8.0245269999999994E-2</v>
      </c>
      <c r="X7001">
        <v>0.94409489999999996</v>
      </c>
      <c r="Y7001">
        <v>-0.51066619999999996</v>
      </c>
      <c r="Z7001">
        <v>2.35198E-3</v>
      </c>
      <c r="AA7001">
        <v>0.85977579999999998</v>
      </c>
      <c r="AB7001">
        <v>25</v>
      </c>
      <c r="AC7001">
        <v>-0.289899999999988</v>
      </c>
      <c r="AD7001">
        <v>-6.2697999999999907E-2</v>
      </c>
      <c r="AE7001">
        <v>-0.62610000000000798</v>
      </c>
      <c r="AF7001">
        <v>-0.44724723829312402</v>
      </c>
      <c r="AG7001">
        <v>-6.2697999999999907E-2</v>
      </c>
      <c r="AH7001">
        <v>0.51792603005445104</v>
      </c>
      <c r="AI7001">
        <v>95.234965627836502</v>
      </c>
      <c r="AJ7001">
        <v>130.81175614422199</v>
      </c>
      <c r="AK7001">
        <v>0.68717428937118297</v>
      </c>
      <c r="AL7001">
        <v>85.397335813349102</v>
      </c>
      <c r="AM7001">
        <v>108.710884262181</v>
      </c>
      <c r="AN7001">
        <v>0.99999995896697003</v>
      </c>
    </row>
    <row r="7002" spans="1:40" x14ac:dyDescent="0.25">
      <c r="A7002" t="str">
        <f>"20190303162052685"</f>
        <v>20190303162052685</v>
      </c>
      <c r="B7002" t="str">
        <f>"1551601252679068"</f>
        <v>1551601252679068</v>
      </c>
      <c r="C7002" t="s">
        <v>40</v>
      </c>
      <c r="D7002">
        <v>4.7599499999999999</v>
      </c>
      <c r="E7002">
        <v>0.42570279999999999</v>
      </c>
      <c r="F7002" t="s">
        <v>42</v>
      </c>
      <c r="G7002">
        <v>-402.8535</v>
      </c>
      <c r="H7002">
        <v>1.0699590000000001</v>
      </c>
      <c r="I7002">
        <v>138.60140000000001</v>
      </c>
      <c r="J7002">
        <v>-402.5804</v>
      </c>
      <c r="K7002">
        <v>1.1286849999999999</v>
      </c>
      <c r="L7002">
        <v>139.20580000000001</v>
      </c>
      <c r="M7002">
        <v>-0.90648450000000003</v>
      </c>
      <c r="N7002">
        <v>-1.362026E-2</v>
      </c>
      <c r="O7002">
        <v>-0.42201959999999999</v>
      </c>
      <c r="P7002">
        <v>-0.72580900000000004</v>
      </c>
      <c r="Q7002">
        <v>7.6405790000000001E-2</v>
      </c>
      <c r="R7002">
        <v>-0.68364009999999997</v>
      </c>
      <c r="S7002">
        <v>-1.753174</v>
      </c>
      <c r="T7002">
        <v>-0.20886950000000001</v>
      </c>
      <c r="U7002">
        <v>-2.5540159999999998</v>
      </c>
      <c r="V7002">
        <v>-0.31501170000000001</v>
      </c>
      <c r="W7002">
        <v>8.3548159999999996E-2</v>
      </c>
      <c r="X7002">
        <v>0.94540329999999995</v>
      </c>
      <c r="Y7002">
        <v>-0.50785670000000005</v>
      </c>
      <c r="Z7002">
        <v>2.649176E-3</v>
      </c>
      <c r="AA7002">
        <v>0.86143749999999997</v>
      </c>
      <c r="AB7002">
        <v>25</v>
      </c>
      <c r="AC7002">
        <v>-0.27309999999999901</v>
      </c>
      <c r="AD7002">
        <v>-5.8725999999999799E-2</v>
      </c>
      <c r="AE7002">
        <v>-0.60439999999999805</v>
      </c>
      <c r="AF7002">
        <v>-0.42929999809588099</v>
      </c>
      <c r="AG7002">
        <v>-5.8725999999999799E-2</v>
      </c>
      <c r="AH7002">
        <v>0.498765748254278</v>
      </c>
      <c r="AI7002">
        <v>95.099495883425107</v>
      </c>
      <c r="AJ7002">
        <v>130.719391277651</v>
      </c>
      <c r="AK7002">
        <v>0.66069244211870204</v>
      </c>
      <c r="AL7002">
        <v>85.207456575851694</v>
      </c>
      <c r="AM7002">
        <v>108.428254179193</v>
      </c>
      <c r="AN7002">
        <v>1.0000000329135801</v>
      </c>
    </row>
    <row r="7003" spans="1:40" x14ac:dyDescent="0.25">
      <c r="A7003" t="str">
        <f>"20190303162052707"</f>
        <v>20190303162052707</v>
      </c>
      <c r="B7003" t="str">
        <f>"1551601252699563"</f>
        <v>1551601252699563</v>
      </c>
      <c r="C7003" t="s">
        <v>40</v>
      </c>
      <c r="D7003">
        <v>4.7307949999999996</v>
      </c>
      <c r="E7003">
        <v>0.42546099999999998</v>
      </c>
      <c r="F7003" t="s">
        <v>42</v>
      </c>
      <c r="G7003">
        <v>-403.20179999999999</v>
      </c>
      <c r="H7003">
        <v>1.081018</v>
      </c>
      <c r="I7003">
        <v>138.34379999999999</v>
      </c>
      <c r="J7003">
        <v>-402.7955</v>
      </c>
      <c r="K7003">
        <v>1.1288210000000001</v>
      </c>
      <c r="L7003">
        <v>139.09229999999999</v>
      </c>
      <c r="M7003">
        <v>-0.90183349999999995</v>
      </c>
      <c r="N7003">
        <v>-1.3774430000000001E-2</v>
      </c>
      <c r="O7003">
        <v>-0.43186409999999997</v>
      </c>
      <c r="P7003">
        <v>-0.72184559999999998</v>
      </c>
      <c r="Q7003">
        <v>8.098967E-2</v>
      </c>
      <c r="R7003">
        <v>-0.68729859999999998</v>
      </c>
      <c r="S7003">
        <v>-1.7979430000000001</v>
      </c>
      <c r="T7003">
        <v>-0.13792739999999901</v>
      </c>
      <c r="U7003">
        <v>-2.4947970000000002</v>
      </c>
      <c r="V7003">
        <v>-0.30980619999999998</v>
      </c>
      <c r="W7003">
        <v>8.8320250000000003E-2</v>
      </c>
      <c r="X7003">
        <v>0.9466888</v>
      </c>
      <c r="Y7003">
        <v>-0.47879729999999998</v>
      </c>
      <c r="Z7003" s="1">
        <v>-6.4400019999999995E-5</v>
      </c>
      <c r="AA7003">
        <v>0.87792549999999903</v>
      </c>
      <c r="AB7003">
        <v>25</v>
      </c>
      <c r="AC7003">
        <v>-0.406299999999987</v>
      </c>
      <c r="AD7003">
        <v>-4.7802999999999797E-2</v>
      </c>
      <c r="AE7003">
        <v>-0.74850000000000705</v>
      </c>
      <c r="AF7003">
        <v>-0.498034354268521</v>
      </c>
      <c r="AG7003">
        <v>-4.7802999999999797E-2</v>
      </c>
      <c r="AH7003">
        <v>0.68756452465343498</v>
      </c>
      <c r="AI7003">
        <v>93.222679637985493</v>
      </c>
      <c r="AJ7003">
        <v>125.91752871671</v>
      </c>
      <c r="AK7003">
        <v>0.85033424040348304</v>
      </c>
      <c r="AL7003">
        <v>84.933020425760105</v>
      </c>
      <c r="AM7003">
        <v>108.12080924273999</v>
      </c>
      <c r="AN7003">
        <v>1.00000001608197</v>
      </c>
    </row>
    <row r="7004" spans="1:40" x14ac:dyDescent="0.25">
      <c r="A7004" t="str">
        <f>"20190303162052729"</f>
        <v>20190303162052729</v>
      </c>
      <c r="B7004" t="str">
        <f>"1551601252719084"</f>
        <v>1551601252719084</v>
      </c>
      <c r="C7004" t="s">
        <v>40</v>
      </c>
      <c r="D7004">
        <v>4.7153900000000002</v>
      </c>
      <c r="E7004">
        <v>0.42587819999999998</v>
      </c>
      <c r="F7004" t="s">
        <v>42</v>
      </c>
      <c r="G7004">
        <v>-403.43470000000002</v>
      </c>
      <c r="H7004">
        <v>1.080641</v>
      </c>
      <c r="I7004">
        <v>138.1942</v>
      </c>
      <c r="J7004">
        <v>-403.01369999999997</v>
      </c>
      <c r="K7004">
        <v>1.12897</v>
      </c>
      <c r="L7004">
        <v>138.97389999999999</v>
      </c>
      <c r="M7004">
        <v>-0.89690700000000001</v>
      </c>
      <c r="N7004">
        <v>-1.3925430000000001E-2</v>
      </c>
      <c r="O7004">
        <v>-0.44200020000000001</v>
      </c>
      <c r="P7004">
        <v>-0.71788129999999994</v>
      </c>
      <c r="Q7004">
        <v>8.4023029999999999E-2</v>
      </c>
      <c r="R7004">
        <v>-0.69107659999999904</v>
      </c>
      <c r="S7004">
        <v>-1.7840879999999999</v>
      </c>
      <c r="T7004">
        <v>-0.13448850000000001</v>
      </c>
      <c r="U7004">
        <v>-2.5070039999999998</v>
      </c>
      <c r="V7004">
        <v>-0.30432979999999998</v>
      </c>
      <c r="W7004">
        <v>9.1535839999999993E-2</v>
      </c>
      <c r="X7004">
        <v>0.94815850000000002</v>
      </c>
      <c r="Y7004">
        <v>-0.47415869999999999</v>
      </c>
      <c r="Z7004">
        <v>1.2397579999999999E-4</v>
      </c>
      <c r="AA7004">
        <v>0.88043939999999998</v>
      </c>
      <c r="AB7004">
        <v>25</v>
      </c>
      <c r="AC7004">
        <v>-0.421000000000049</v>
      </c>
      <c r="AD7004">
        <v>-4.8328999999999997E-2</v>
      </c>
      <c r="AE7004">
        <v>-0.77969999999999096</v>
      </c>
      <c r="AF7004">
        <v>-0.51176363873895703</v>
      </c>
      <c r="AG7004">
        <v>-4.8328999999999997E-2</v>
      </c>
      <c r="AH7004">
        <v>0.72015307088325498</v>
      </c>
      <c r="AI7004">
        <v>93.131158793340504</v>
      </c>
      <c r="AJ7004">
        <v>125.398810052375</v>
      </c>
      <c r="AK7004">
        <v>0.884792721307607</v>
      </c>
      <c r="AL7004">
        <v>84.748030941486505</v>
      </c>
      <c r="AM7004">
        <v>107.79503716649501</v>
      </c>
      <c r="AN7004">
        <v>0.99999998914739696</v>
      </c>
    </row>
    <row r="7005" spans="1:40" x14ac:dyDescent="0.25">
      <c r="A7005" t="str">
        <f>"20190303162052752"</f>
        <v>20190303162052752</v>
      </c>
      <c r="B7005" t="str">
        <f>"1551601252739580"</f>
        <v>1551601252739580</v>
      </c>
      <c r="C7005" t="s">
        <v>40</v>
      </c>
      <c r="D7005">
        <v>4.6945870000000003</v>
      </c>
      <c r="E7005">
        <v>0.42694070000000001</v>
      </c>
      <c r="F7005" t="s">
        <v>41</v>
      </c>
      <c r="G7005">
        <v>-418.34960000000001</v>
      </c>
      <c r="H7005" s="1">
        <v>-3.5470289999999998E-6</v>
      </c>
      <c r="I7005">
        <v>117.2186</v>
      </c>
      <c r="J7005">
        <v>-403.22890000000001</v>
      </c>
      <c r="K7005">
        <v>1.1290979999999999</v>
      </c>
      <c r="L7005">
        <v>138.8537</v>
      </c>
      <c r="M7005">
        <v>-0.89182109999999903</v>
      </c>
      <c r="N7005">
        <v>-1.406757E-2</v>
      </c>
      <c r="O7005">
        <v>-0.4521696</v>
      </c>
      <c r="P7005">
        <v>-0.71403430000000001</v>
      </c>
      <c r="Q7005">
        <v>8.4232959999999996E-2</v>
      </c>
      <c r="R7005">
        <v>-0.69502519999999901</v>
      </c>
      <c r="S7005">
        <v>-1.77300999999999</v>
      </c>
      <c r="T7005">
        <v>-0.13052259999999999</v>
      </c>
      <c r="U7005">
        <v>-2.5151669999999999</v>
      </c>
      <c r="V7005">
        <v>-0.29881039999999998</v>
      </c>
      <c r="W7005">
        <v>9.1923299999999999E-2</v>
      </c>
      <c r="X7005">
        <v>0.94987500000000002</v>
      </c>
      <c r="Y7005">
        <v>-0.46809420000000002</v>
      </c>
      <c r="Z7005">
        <v>2.9488650000000002E-4</v>
      </c>
      <c r="AA7005">
        <v>0.88367850000000003</v>
      </c>
      <c r="AB7005">
        <v>25</v>
      </c>
      <c r="AC7005">
        <v>-15.120699999999999</v>
      </c>
      <c r="AD7005">
        <v>-1.129101547029</v>
      </c>
      <c r="AE7005">
        <v>-21.635100000000001</v>
      </c>
      <c r="AF7005">
        <v>-12.4359940851049</v>
      </c>
      <c r="AG7005">
        <v>-1.129101547029</v>
      </c>
      <c r="AH7005">
        <v>23.227492597801</v>
      </c>
      <c r="AI7005">
        <v>92.453900486252195</v>
      </c>
      <c r="AJ7005">
        <v>118.164586073373</v>
      </c>
      <c r="AK7005">
        <v>26.371295598987299</v>
      </c>
      <c r="AL7005">
        <v>84.725737352929599</v>
      </c>
      <c r="AM7005">
        <v>107.462462575931</v>
      </c>
      <c r="AN7005">
        <v>1.00000003192802</v>
      </c>
    </row>
    <row r="7006" spans="1:40" x14ac:dyDescent="0.25">
      <c r="A7006" t="str">
        <f>"20190303162052775"</f>
        <v>20190303162052775</v>
      </c>
      <c r="B7006" t="str">
        <f>"1551601252769836"</f>
        <v>1551601252769836</v>
      </c>
      <c r="C7006" t="s">
        <v>40</v>
      </c>
      <c r="D7006">
        <v>4.710337</v>
      </c>
      <c r="E7006">
        <v>0.42764350000000001</v>
      </c>
      <c r="F7006" t="s">
        <v>41</v>
      </c>
      <c r="G7006">
        <v>-419.13839999999999</v>
      </c>
      <c r="H7006" s="1">
        <v>-2.9456050000000002E-6</v>
      </c>
      <c r="I7006">
        <v>116.14279999999999</v>
      </c>
      <c r="J7006">
        <v>-403.45100000000002</v>
      </c>
      <c r="K7006">
        <v>1.12922099999999</v>
      </c>
      <c r="L7006">
        <v>138.726</v>
      </c>
      <c r="M7006">
        <v>-0.88630989999999998</v>
      </c>
      <c r="N7006">
        <v>-1.4206470000000001E-2</v>
      </c>
      <c r="O7006">
        <v>-0.46287489999999998</v>
      </c>
      <c r="P7006">
        <v>-0.70999440000000003</v>
      </c>
      <c r="Q7006">
        <v>8.3885310000000005E-2</v>
      </c>
      <c r="R7006">
        <v>-0.69919350000000002</v>
      </c>
      <c r="S7006">
        <v>-1.7644959999999901</v>
      </c>
      <c r="T7006">
        <v>-0.1252269</v>
      </c>
      <c r="U7006">
        <v>-2.5188290000000002</v>
      </c>
      <c r="V7006">
        <v>-0.2929235</v>
      </c>
      <c r="W7006">
        <v>9.1763750000000005E-2</v>
      </c>
      <c r="X7006">
        <v>0.95172219999999996</v>
      </c>
      <c r="Y7006">
        <v>-0.46006649999999999</v>
      </c>
      <c r="Z7006">
        <v>4.0356160000000002E-4</v>
      </c>
      <c r="AA7006">
        <v>0.88788440000000002</v>
      </c>
      <c r="AB7006">
        <v>25</v>
      </c>
      <c r="AC7006">
        <v>-15.6874</v>
      </c>
      <c r="AD7006">
        <v>-1.12922394560499</v>
      </c>
      <c r="AE7006">
        <v>-22.583200000000001</v>
      </c>
      <c r="AF7006">
        <v>-12.734219667878699</v>
      </c>
      <c r="AG7006">
        <v>-1.12922394560499</v>
      </c>
      <c r="AH7006">
        <v>24.318536841222201</v>
      </c>
      <c r="AI7006">
        <v>92.355599365028894</v>
      </c>
      <c r="AJ7006">
        <v>117.638465925647</v>
      </c>
      <c r="AK7006">
        <v>27.4741102015515</v>
      </c>
      <c r="AL7006">
        <v>84.734917285659506</v>
      </c>
      <c r="AM7006">
        <v>107.10745296540701</v>
      </c>
      <c r="AN7006">
        <v>0.999999954319575</v>
      </c>
    </row>
    <row r="7007" spans="1:40" x14ac:dyDescent="0.25">
      <c r="A7007" t="str">
        <f>"20190303162052797"</f>
        <v>20190303162052797</v>
      </c>
      <c r="B7007" t="str">
        <f>"1551601252789355"</f>
        <v>1551601252789355</v>
      </c>
      <c r="C7007" t="s">
        <v>40</v>
      </c>
      <c r="D7007">
        <v>4.7160289999999998</v>
      </c>
      <c r="E7007">
        <v>0.42786869999999999</v>
      </c>
      <c r="F7007" t="s">
        <v>41</v>
      </c>
      <c r="G7007">
        <v>-418.3646</v>
      </c>
      <c r="H7007" s="1">
        <v>-3.5546010000000001E-6</v>
      </c>
      <c r="I7007">
        <v>117.2424</v>
      </c>
      <c r="J7007">
        <v>-403.6551</v>
      </c>
      <c r="K7007">
        <v>1.1293150000000001</v>
      </c>
      <c r="L7007">
        <v>138.6052</v>
      </c>
      <c r="M7007">
        <v>-0.88099629999999995</v>
      </c>
      <c r="N7007">
        <v>-1.4326749999999999E-2</v>
      </c>
      <c r="O7007">
        <v>-0.4729063</v>
      </c>
      <c r="P7007">
        <v>-0.7056791</v>
      </c>
      <c r="Q7007">
        <v>8.3221760000000006E-2</v>
      </c>
      <c r="R7007">
        <v>-0.70362769999999997</v>
      </c>
      <c r="S7007">
        <v>-1.7535099999999999</v>
      </c>
      <c r="T7007">
        <v>-0.13277159999999999</v>
      </c>
      <c r="U7007">
        <v>-2.5259860000000001</v>
      </c>
      <c r="V7007">
        <v>-0.28804590000000002</v>
      </c>
      <c r="W7007">
        <v>9.1263739999999996E-2</v>
      </c>
      <c r="X7007">
        <v>0.95325789999999999</v>
      </c>
      <c r="Y7007">
        <v>-0.45374789999999998</v>
      </c>
      <c r="Z7007">
        <v>1.4824339999999999E-3</v>
      </c>
      <c r="AA7007">
        <v>0.89112880000000005</v>
      </c>
      <c r="AB7007">
        <v>25</v>
      </c>
      <c r="AC7007">
        <v>-14.709499999999901</v>
      </c>
      <c r="AD7007">
        <v>-1.1293185546010001</v>
      </c>
      <c r="AE7007">
        <v>-21.3628</v>
      </c>
      <c r="AF7007">
        <v>-11.843097876304199</v>
      </c>
      <c r="AG7007">
        <v>-1.1293185546010001</v>
      </c>
      <c r="AH7007">
        <v>23.020342331970401</v>
      </c>
      <c r="AI7007">
        <v>92.497831893952494</v>
      </c>
      <c r="AJ7007">
        <v>117.224111564483</v>
      </c>
      <c r="AK7007">
        <v>25.912747611679301</v>
      </c>
      <c r="AL7007">
        <v>84.763687064281896</v>
      </c>
      <c r="AM7007">
        <v>106.813239724908</v>
      </c>
      <c r="AN7007">
        <v>1.0000000673289999</v>
      </c>
    </row>
    <row r="7008" spans="1:40" x14ac:dyDescent="0.25">
      <c r="A7008" t="str">
        <f>"20190303162052820"</f>
        <v>20190303162052820</v>
      </c>
      <c r="B7008" t="str">
        <f>"1551601252809852"</f>
        <v>1551601252809852</v>
      </c>
      <c r="C7008" t="s">
        <v>40</v>
      </c>
      <c r="D7008">
        <v>4.736942</v>
      </c>
      <c r="E7008">
        <v>0.42820740000000002</v>
      </c>
      <c r="F7008" t="s">
        <v>41</v>
      </c>
      <c r="G7008">
        <v>-417.8621</v>
      </c>
      <c r="H7008" s="1">
        <v>-3.9257140000000003E-6</v>
      </c>
      <c r="I7008">
        <v>117.8997</v>
      </c>
      <c r="J7008">
        <v>-403.8707</v>
      </c>
      <c r="K7008">
        <v>1.1293930000000001</v>
      </c>
      <c r="L7008">
        <v>138.47399999999999</v>
      </c>
      <c r="M7008">
        <v>-0.87512800000000002</v>
      </c>
      <c r="N7008">
        <v>-1.444404E-2</v>
      </c>
      <c r="O7008">
        <v>-0.48367599999999999</v>
      </c>
      <c r="P7008">
        <v>-0.69937720000000003</v>
      </c>
      <c r="Q7008">
        <v>8.2612469999999993E-2</v>
      </c>
      <c r="R7008">
        <v>-0.70996269999999995</v>
      </c>
      <c r="S7008">
        <v>-1.7395940000000001</v>
      </c>
      <c r="T7008">
        <v>-0.13828019999999999</v>
      </c>
      <c r="U7008">
        <v>-2.5352939999999999</v>
      </c>
      <c r="V7008">
        <v>-0.28491860000000002</v>
      </c>
      <c r="W7008">
        <v>9.0784139999999999E-2</v>
      </c>
      <c r="X7008">
        <v>0.95424290000000001</v>
      </c>
      <c r="Y7008">
        <v>-0.44765500000000003</v>
      </c>
      <c r="Z7008">
        <v>2.470678E-3</v>
      </c>
      <c r="AA7008">
        <v>0.89420290000000002</v>
      </c>
      <c r="AB7008">
        <v>25</v>
      </c>
      <c r="AC7008">
        <v>-13.991400000000001</v>
      </c>
      <c r="AD7008">
        <v>-1.129396925714</v>
      </c>
      <c r="AE7008">
        <v>-20.574299999999901</v>
      </c>
      <c r="AF7008">
        <v>-11.2159037303019</v>
      </c>
      <c r="AG7008">
        <v>-1.129396925714</v>
      </c>
      <c r="AH7008">
        <v>22.152232077733199</v>
      </c>
      <c r="AI7008">
        <v>92.604336833518502</v>
      </c>
      <c r="AJ7008">
        <v>116.85356428882601</v>
      </c>
      <c r="AK7008">
        <v>24.855450507463502</v>
      </c>
      <c r="AL7008">
        <v>84.791280005044698</v>
      </c>
      <c r="AM7008">
        <v>106.62461450206899</v>
      </c>
      <c r="AN7008">
        <v>0.99999994045095297</v>
      </c>
    </row>
    <row r="7009" spans="1:40" x14ac:dyDescent="0.25">
      <c r="A7009" t="str">
        <f>"20190303162052842"</f>
        <v>20190303162052842</v>
      </c>
      <c r="B7009" t="str">
        <f>"1551601252829372"</f>
        <v>1551601252829372</v>
      </c>
      <c r="C7009" t="s">
        <v>40</v>
      </c>
      <c r="D7009">
        <v>4.7193559999999897</v>
      </c>
      <c r="E7009">
        <v>0.42863069999999998</v>
      </c>
      <c r="F7009" t="s">
        <v>41</v>
      </c>
      <c r="G7009">
        <v>-417.20139999999998</v>
      </c>
      <c r="H7009" s="1">
        <v>-4.3988309999999999E-6</v>
      </c>
      <c r="I7009">
        <v>118.7294</v>
      </c>
      <c r="J7009">
        <v>-404.07240000000002</v>
      </c>
      <c r="K7009">
        <v>1.1294230000000001</v>
      </c>
      <c r="L7009">
        <v>138.3477</v>
      </c>
      <c r="M7009">
        <v>-0.86940519999999999</v>
      </c>
      <c r="N7009">
        <v>-1.454212E-2</v>
      </c>
      <c r="O7009">
        <v>-0.49388599999999999</v>
      </c>
      <c r="P7009">
        <v>-0.6924534</v>
      </c>
      <c r="Q7009">
        <v>7.8428929999999994E-2</v>
      </c>
      <c r="R7009">
        <v>-0.71718740000000003</v>
      </c>
      <c r="S7009">
        <v>-1.720245</v>
      </c>
      <c r="T7009">
        <v>-0.14574189999999901</v>
      </c>
      <c r="U7009">
        <v>-2.5479280000000002</v>
      </c>
      <c r="V7009">
        <v>-0.28334680000000001</v>
      </c>
      <c r="W7009">
        <v>8.6700009999999994E-2</v>
      </c>
      <c r="X7009">
        <v>0.95509040000000001</v>
      </c>
      <c r="Y7009">
        <v>-0.44389390000000001</v>
      </c>
      <c r="Z7009">
        <v>3.6141770000000001E-3</v>
      </c>
      <c r="AA7009">
        <v>0.89607209999999904</v>
      </c>
      <c r="AB7009">
        <v>25</v>
      </c>
      <c r="AC7009">
        <v>-13.1289999999999</v>
      </c>
      <c r="AD7009">
        <v>-1.129427398831</v>
      </c>
      <c r="AE7009">
        <v>-19.618300000000001</v>
      </c>
      <c r="AF7009">
        <v>-10.5489915461647</v>
      </c>
      <c r="AG7009">
        <v>-1.129427398831</v>
      </c>
      <c r="AH7009">
        <v>21.057650251701201</v>
      </c>
      <c r="AI7009">
        <v>92.745471910444806</v>
      </c>
      <c r="AJ7009">
        <v>116.608931024352</v>
      </c>
      <c r="AK7009">
        <v>23.5792591701533</v>
      </c>
      <c r="AL7009">
        <v>85.026210713979097</v>
      </c>
      <c r="AM7009">
        <v>106.52405019525899</v>
      </c>
      <c r="AN7009">
        <v>0.99999998648819999</v>
      </c>
    </row>
    <row r="7010" spans="1:40" x14ac:dyDescent="0.25">
      <c r="A7010" t="str">
        <f>"20190303162052864"</f>
        <v>20190303162052864</v>
      </c>
      <c r="B7010" t="str">
        <f>"1551601252859627"</f>
        <v>1551601252859627</v>
      </c>
      <c r="C7010" t="s">
        <v>40</v>
      </c>
      <c r="D7010">
        <v>4.7611089999999896</v>
      </c>
      <c r="E7010">
        <v>0.42927799999999999</v>
      </c>
      <c r="F7010" t="s">
        <v>50</v>
      </c>
      <c r="G7010">
        <v>-415.98480000000001</v>
      </c>
      <c r="H7010" s="1">
        <v>-1.3448199999999999E-6</v>
      </c>
      <c r="I7010">
        <v>120.36960000000001</v>
      </c>
      <c r="J7010">
        <v>-404.27949999999998</v>
      </c>
      <c r="K7010">
        <v>1.1294439999999999</v>
      </c>
      <c r="L7010">
        <v>138.21459999999999</v>
      </c>
      <c r="M7010">
        <v>-0.86331369999999896</v>
      </c>
      <c r="N7010">
        <v>-1.46298E-2</v>
      </c>
      <c r="O7010">
        <v>-0.50445589999999996</v>
      </c>
      <c r="P7010">
        <v>-0.68617759999999905</v>
      </c>
      <c r="Q7010">
        <v>7.3703270000000001E-2</v>
      </c>
      <c r="R7010">
        <v>-0.72369099999999997</v>
      </c>
      <c r="S7010">
        <v>-1.6974180000000001</v>
      </c>
      <c r="T7010">
        <v>-0.1609341</v>
      </c>
      <c r="U7010">
        <v>-2.5617369999999999</v>
      </c>
      <c r="V7010">
        <v>-0.28035349999999998</v>
      </c>
      <c r="W7010">
        <v>8.2114950000000006E-2</v>
      </c>
      <c r="X7010">
        <v>0.95637810000000001</v>
      </c>
      <c r="Y7010">
        <v>-0.44070290000000001</v>
      </c>
      <c r="Z7010">
        <v>5.5938560000000003E-3</v>
      </c>
      <c r="AA7010">
        <v>0.89763559999999998</v>
      </c>
      <c r="AB7010">
        <v>25</v>
      </c>
      <c r="AC7010">
        <v>-11.705299999999999</v>
      </c>
      <c r="AD7010">
        <v>-1.1294453448199999</v>
      </c>
      <c r="AE7010">
        <v>-17.844999999999899</v>
      </c>
      <c r="AF7010">
        <v>-9.4755016978518096</v>
      </c>
      <c r="AG7010">
        <v>-1.1294453448199999</v>
      </c>
      <c r="AH7010">
        <v>19.056031215751101</v>
      </c>
      <c r="AI7010">
        <v>93.037883301131998</v>
      </c>
      <c r="AJ7010">
        <v>116.438597109517</v>
      </c>
      <c r="AK7010">
        <v>21.311806702121899</v>
      </c>
      <c r="AL7010">
        <v>85.289856519310504</v>
      </c>
      <c r="AM7010">
        <v>106.338016892822</v>
      </c>
      <c r="AN7010">
        <v>1.00000001006768</v>
      </c>
    </row>
    <row r="7011" spans="1:40" x14ac:dyDescent="0.25">
      <c r="A7011" t="str">
        <f>"20190303162052886"</f>
        <v>20190303162052886</v>
      </c>
      <c r="B7011" t="str">
        <f>"1551601252880123"</f>
        <v>1551601252880123</v>
      </c>
      <c r="C7011" t="s">
        <v>40</v>
      </c>
      <c r="D7011">
        <v>4.7420929999999997</v>
      </c>
      <c r="E7011">
        <v>0.42968980000000001</v>
      </c>
      <c r="F7011" t="s">
        <v>50</v>
      </c>
      <c r="G7011">
        <v>-414.8064</v>
      </c>
      <c r="H7011" s="1">
        <v>-2.3103269999999998E-6</v>
      </c>
      <c r="I7011">
        <v>122.0765</v>
      </c>
      <c r="J7011">
        <v>-404.48050000000001</v>
      </c>
      <c r="K7011">
        <v>1.129451</v>
      </c>
      <c r="L7011">
        <v>138.08170000000001</v>
      </c>
      <c r="M7011">
        <v>-0.85719439999999902</v>
      </c>
      <c r="N7011">
        <v>-1.470203E-2</v>
      </c>
      <c r="O7011">
        <v>-0.51478329999999906</v>
      </c>
      <c r="P7011">
        <v>-0.68166380000000004</v>
      </c>
      <c r="Q7011">
        <v>7.1025340000000006E-2</v>
      </c>
      <c r="R7011">
        <v>-0.72821020000000003</v>
      </c>
      <c r="S7011">
        <v>-1.678131</v>
      </c>
      <c r="T7011">
        <v>-0.1800493</v>
      </c>
      <c r="U7011">
        <v>-2.572632</v>
      </c>
      <c r="V7011">
        <v>-0.27498640000000002</v>
      </c>
      <c r="W7011">
        <v>7.9635910000000004E-2</v>
      </c>
      <c r="X7011">
        <v>0.95814440000000001</v>
      </c>
      <c r="Y7011">
        <v>-0.43635259999999998</v>
      </c>
      <c r="Z7011">
        <v>8.1553919999999992E-3</v>
      </c>
      <c r="AA7011">
        <v>0.89973879999999995</v>
      </c>
      <c r="AB7011">
        <v>25</v>
      </c>
      <c r="AC7011">
        <v>-10.325899999999899</v>
      </c>
      <c r="AD7011">
        <v>-1.1294533103269999</v>
      </c>
      <c r="AE7011">
        <v>-16.005199999999999</v>
      </c>
      <c r="AF7011">
        <v>-8.3754242139657897</v>
      </c>
      <c r="AG7011">
        <v>-1.1294533103269999</v>
      </c>
      <c r="AH7011">
        <v>17.0324681536271</v>
      </c>
      <c r="AI7011">
        <v>93.405457464529505</v>
      </c>
      <c r="AJ7011">
        <v>116.184861548846</v>
      </c>
      <c r="AK7011">
        <v>19.0138993094108</v>
      </c>
      <c r="AL7011">
        <v>85.432362060128398</v>
      </c>
      <c r="AM7011">
        <v>106.013421437638</v>
      </c>
      <c r="AN7011">
        <v>1.0000000447989199</v>
      </c>
    </row>
    <row r="7012" spans="1:40" x14ac:dyDescent="0.25">
      <c r="A7012" t="str">
        <f>"20190303162052920"</f>
        <v>20190303162052920</v>
      </c>
      <c r="B7012" t="str">
        <f>"1551601252909404"</f>
        <v>1551601252909404</v>
      </c>
      <c r="C7012" t="s">
        <v>40</v>
      </c>
      <c r="D7012">
        <v>4.7650670000000002</v>
      </c>
      <c r="E7012">
        <v>0.4302571</v>
      </c>
      <c r="F7012" t="s">
        <v>42</v>
      </c>
      <c r="G7012">
        <v>-405.0403</v>
      </c>
      <c r="H7012">
        <v>1.066066</v>
      </c>
      <c r="I7012">
        <v>137.2131</v>
      </c>
      <c r="J7012">
        <v>-404.78230000000002</v>
      </c>
      <c r="K7012">
        <v>1.1294679999999999</v>
      </c>
      <c r="L7012">
        <v>137.87520000000001</v>
      </c>
      <c r="M7012">
        <v>-0.84764379999999995</v>
      </c>
      <c r="N7012">
        <v>-1.479045E-2</v>
      </c>
      <c r="O7012">
        <v>-0.53035940000000004</v>
      </c>
      <c r="P7012">
        <v>-0.67042519999999906</v>
      </c>
      <c r="Q7012">
        <v>7.7530429999999997E-2</v>
      </c>
      <c r="R7012">
        <v>-0.73791549999999995</v>
      </c>
      <c r="S7012">
        <v>-1.663422</v>
      </c>
      <c r="T7012">
        <v>-0.18834970000000001</v>
      </c>
      <c r="U7012">
        <v>-2.580994</v>
      </c>
      <c r="V7012">
        <v>-0.27172839999999998</v>
      </c>
      <c r="W7012">
        <v>8.6314730000000006E-2</v>
      </c>
      <c r="X7012">
        <v>0.9584954</v>
      </c>
      <c r="Y7012">
        <v>-0.42484499999999997</v>
      </c>
      <c r="Z7012">
        <v>1.0278600000000001E-2</v>
      </c>
      <c r="AA7012">
        <v>0.90520780000000001</v>
      </c>
      <c r="AB7012">
        <v>25</v>
      </c>
      <c r="AC7012">
        <v>-0.25799999999998102</v>
      </c>
      <c r="AD7012">
        <v>-6.3402000000000097E-2</v>
      </c>
      <c r="AE7012">
        <v>-0.66210000000000901</v>
      </c>
      <c r="AF7012">
        <v>-0.42108643616712199</v>
      </c>
      <c r="AG7012">
        <v>-6.3402000000000097E-2</v>
      </c>
      <c r="AH7012">
        <v>0.56540427294153295</v>
      </c>
      <c r="AI7012">
        <v>95.139045151610304</v>
      </c>
      <c r="AJ7012">
        <v>126.677002741672</v>
      </c>
      <c r="AK7012">
        <v>0.70782454901512903</v>
      </c>
      <c r="AL7012">
        <v>85.048368734761894</v>
      </c>
      <c r="AM7012">
        <v>105.82775403967</v>
      </c>
      <c r="AN7012">
        <v>0.99999999390134597</v>
      </c>
    </row>
    <row r="7013" spans="1:40" x14ac:dyDescent="0.25">
      <c r="A7013" t="str">
        <f>"20190303162052942"</f>
        <v>20190303162052942</v>
      </c>
      <c r="B7013" t="str">
        <f>"1551601252929900"</f>
        <v>1551601252929900</v>
      </c>
      <c r="C7013" t="s">
        <v>40</v>
      </c>
      <c r="D7013">
        <v>4.7411139999999996</v>
      </c>
      <c r="E7013">
        <v>0.43048550000000002</v>
      </c>
      <c r="F7013" t="s">
        <v>50</v>
      </c>
      <c r="G7013">
        <v>-415.54219999999998</v>
      </c>
      <c r="H7013" s="1">
        <v>-1.5855279999999901E-6</v>
      </c>
      <c r="I7013">
        <v>120.6915</v>
      </c>
      <c r="J7013">
        <v>-404.983</v>
      </c>
      <c r="K7013">
        <v>1.1294470000000001</v>
      </c>
      <c r="L7013">
        <v>137.7336</v>
      </c>
      <c r="M7013">
        <v>-0.84107410000000005</v>
      </c>
      <c r="N7013">
        <v>-1.4838280000000001E-2</v>
      </c>
      <c r="O7013">
        <v>-0.5407168</v>
      </c>
      <c r="P7013">
        <v>-0.66129579999999999</v>
      </c>
      <c r="Q7013">
        <v>8.1769449999999994E-2</v>
      </c>
      <c r="R7013">
        <v>-0.74565530000000002</v>
      </c>
      <c r="S7013">
        <v>-1.629761</v>
      </c>
      <c r="T7013">
        <v>-0.1710776</v>
      </c>
      <c r="U7013">
        <v>-2.6027680000000002</v>
      </c>
      <c r="V7013">
        <v>-0.27146179999999998</v>
      </c>
      <c r="W7013">
        <v>9.0620779999999998E-2</v>
      </c>
      <c r="X7013">
        <v>0.95817350000000001</v>
      </c>
      <c r="Y7013">
        <v>-0.42559180000000002</v>
      </c>
      <c r="Z7013">
        <v>8.8273899999999992E-3</v>
      </c>
      <c r="AA7013">
        <v>0.90487220000000002</v>
      </c>
      <c r="AB7013">
        <v>25</v>
      </c>
      <c r="AC7013">
        <v>-10.559199999999899</v>
      </c>
      <c r="AD7013">
        <v>-1.1294485855280001</v>
      </c>
      <c r="AE7013">
        <v>-17.042099999999898</v>
      </c>
      <c r="AF7013">
        <v>-8.5977917389737897</v>
      </c>
      <c r="AG7013">
        <v>-1.1294485855280001</v>
      </c>
      <c r="AH7013">
        <v>18.040749456482398</v>
      </c>
      <c r="AI7013">
        <v>93.234658255054995</v>
      </c>
      <c r="AJ7013">
        <v>115.481357406312</v>
      </c>
      <c r="AK7013">
        <v>20.016651014734801</v>
      </c>
      <c r="AL7013">
        <v>84.800679131742697</v>
      </c>
      <c r="AM7013">
        <v>105.818048590253</v>
      </c>
      <c r="AN7013">
        <v>1.00000004536464</v>
      </c>
    </row>
    <row r="7014" spans="1:40" x14ac:dyDescent="0.25">
      <c r="A7014" t="str">
        <f>"20190303162052965"</f>
        <v>20190303162052965</v>
      </c>
      <c r="B7014" t="str">
        <f>"1551601252960155"</f>
        <v>1551601252960155</v>
      </c>
      <c r="C7014" t="s">
        <v>40</v>
      </c>
      <c r="D7014">
        <v>4.808891</v>
      </c>
      <c r="E7014">
        <v>0.43082880000000001</v>
      </c>
      <c r="F7014" t="s">
        <v>41</v>
      </c>
      <c r="G7014">
        <v>-416.29360000000003</v>
      </c>
      <c r="H7014" s="1">
        <v>-4.7706730000000002E-6</v>
      </c>
      <c r="I7014">
        <v>119.2208</v>
      </c>
      <c r="J7014">
        <v>-405.18040000000002</v>
      </c>
      <c r="K7014">
        <v>1.129426</v>
      </c>
      <c r="L7014">
        <v>137.5907</v>
      </c>
      <c r="M7014">
        <v>-0.83444549999999995</v>
      </c>
      <c r="N7014">
        <v>-1.4877100000000001E-2</v>
      </c>
      <c r="O7014">
        <v>-0.55089009999999905</v>
      </c>
      <c r="P7014">
        <v>-0.65216200000000002</v>
      </c>
      <c r="Q7014">
        <v>8.4182149999999997E-2</v>
      </c>
      <c r="R7014">
        <v>-0.75339160000000005</v>
      </c>
      <c r="S7014">
        <v>-1.6011959999999901</v>
      </c>
      <c r="T7014">
        <v>-0.15989159999999999</v>
      </c>
      <c r="U7014">
        <v>-2.6207729999999998</v>
      </c>
      <c r="V7014">
        <v>-0.27131929999999999</v>
      </c>
      <c r="W7014">
        <v>9.3096490000000004E-2</v>
      </c>
      <c r="X7014">
        <v>0.95797650000000001</v>
      </c>
      <c r="Y7014">
        <v>-0.42457699999999998</v>
      </c>
      <c r="Z7014">
        <v>8.0248699999999999E-3</v>
      </c>
      <c r="AA7014">
        <v>0.9053563</v>
      </c>
      <c r="AB7014">
        <v>25</v>
      </c>
      <c r="AC7014">
        <v>-11.113200000000001</v>
      </c>
      <c r="AD7014">
        <v>-1.129430770673</v>
      </c>
      <c r="AE7014">
        <v>-18.369900000000001</v>
      </c>
      <c r="AF7014">
        <v>-9.1821352201733593</v>
      </c>
      <c r="AG7014">
        <v>-1.129430770673</v>
      </c>
      <c r="AH7014">
        <v>19.341772319804399</v>
      </c>
      <c r="AI7014">
        <v>93.019604962278194</v>
      </c>
      <c r="AJ7014">
        <v>115.395132596032</v>
      </c>
      <c r="AK7014">
        <v>21.440414584108201</v>
      </c>
      <c r="AL7014">
        <v>84.658229103525201</v>
      </c>
      <c r="AM7014">
        <v>105.813248996531</v>
      </c>
      <c r="AN7014">
        <v>1.0000000467775201</v>
      </c>
    </row>
    <row r="7015" spans="1:40" x14ac:dyDescent="0.25">
      <c r="A7015" t="str">
        <f>"20190303162052987"</f>
        <v>20190303162052987</v>
      </c>
      <c r="B7015" t="str">
        <f>"1551601252979675"</f>
        <v>1551601252979675</v>
      </c>
      <c r="C7015" t="s">
        <v>40</v>
      </c>
      <c r="D7015">
        <v>4.9935400000000003</v>
      </c>
      <c r="E7015">
        <v>0.45085829999999999</v>
      </c>
      <c r="F7015" t="s">
        <v>41</v>
      </c>
      <c r="G7015">
        <v>-416.61869999999999</v>
      </c>
      <c r="H7015" s="1">
        <v>-4.362687E-6</v>
      </c>
      <c r="I7015">
        <v>118.4042</v>
      </c>
      <c r="J7015">
        <v>-405.37400000000002</v>
      </c>
      <c r="K7015">
        <v>1.129378</v>
      </c>
      <c r="L7015">
        <v>137.4468</v>
      </c>
      <c r="M7015">
        <v>-0.82779429999999998</v>
      </c>
      <c r="N7015">
        <v>-1.490593E-2</v>
      </c>
      <c r="O7015">
        <v>-0.56083369999999999</v>
      </c>
      <c r="P7015">
        <v>-0.64486489999999996</v>
      </c>
      <c r="Q7015">
        <v>8.5089620000000005E-2</v>
      </c>
      <c r="R7015">
        <v>-0.75954500000000003</v>
      </c>
      <c r="S7015">
        <v>-1.572662</v>
      </c>
      <c r="T7015">
        <v>-0.15528710000000001</v>
      </c>
      <c r="U7015">
        <v>-2.637985</v>
      </c>
      <c r="V7015">
        <v>-0.26901720000000001</v>
      </c>
      <c r="W7015">
        <v>9.4118160000000006E-2</v>
      </c>
      <c r="X7015">
        <v>0.95852570000000004</v>
      </c>
      <c r="Y7015">
        <v>-0.42358180000000001</v>
      </c>
      <c r="Z7015">
        <v>7.9400169999999902E-3</v>
      </c>
      <c r="AA7015">
        <v>0.90582309999999999</v>
      </c>
      <c r="AB7015">
        <v>25</v>
      </c>
      <c r="AC7015">
        <v>-11.2446999999999</v>
      </c>
      <c r="AD7015">
        <v>-1.1293823626870001</v>
      </c>
      <c r="AE7015">
        <v>-19.0426</v>
      </c>
      <c r="AF7015">
        <v>-9.4333968750887198</v>
      </c>
      <c r="AG7015">
        <v>-1.1293823626870001</v>
      </c>
      <c r="AH7015">
        <v>19.9382509855769</v>
      </c>
      <c r="AI7015">
        <v>92.931115459871705</v>
      </c>
      <c r="AJ7015">
        <v>115.320264229678</v>
      </c>
      <c r="AK7015">
        <v>22.086157055674899</v>
      </c>
      <c r="AL7015">
        <v>84.599433310101801</v>
      </c>
      <c r="AM7015">
        <v>105.67716114289</v>
      </c>
      <c r="AN7015">
        <v>0.99999999974905696</v>
      </c>
    </row>
    <row r="7016" spans="1:40" x14ac:dyDescent="0.25">
      <c r="A7016" t="str">
        <f>"20190303162053008"</f>
        <v>20190303162053008</v>
      </c>
      <c r="B7016" t="str">
        <f>"1551601253000171"</f>
        <v>1551601253000171</v>
      </c>
      <c r="C7016" t="s">
        <v>40</v>
      </c>
      <c r="D7016">
        <v>4.985544</v>
      </c>
      <c r="E7016">
        <v>0.45992509999999998</v>
      </c>
      <c r="F7016" t="s">
        <v>41</v>
      </c>
      <c r="G7016">
        <v>-421.10930000000002</v>
      </c>
      <c r="H7016" s="1">
        <v>-1.9218259999999998E-6</v>
      </c>
      <c r="I7016">
        <v>113.3809</v>
      </c>
      <c r="J7016">
        <v>-405.5634</v>
      </c>
      <c r="K7016">
        <v>1.129318</v>
      </c>
      <c r="L7016">
        <v>137.30250000000001</v>
      </c>
      <c r="M7016">
        <v>-0.82114489999999996</v>
      </c>
      <c r="N7016">
        <v>-1.4926719999999999E-2</v>
      </c>
      <c r="O7016">
        <v>-0.570524699999999</v>
      </c>
      <c r="P7016">
        <v>-0.63771499999999903</v>
      </c>
      <c r="Q7016">
        <v>8.5263480000000003E-2</v>
      </c>
      <c r="R7016">
        <v>-0.76553890000000002</v>
      </c>
      <c r="S7016">
        <v>-1.66629</v>
      </c>
      <c r="T7016">
        <v>-0.1195958</v>
      </c>
      <c r="U7016">
        <v>-2.5484619999999998</v>
      </c>
      <c r="V7016">
        <v>-0.26670870000000002</v>
      </c>
      <c r="W7016">
        <v>9.4405349999999999E-2</v>
      </c>
      <c r="X7016">
        <v>0.95914239999999995</v>
      </c>
      <c r="Y7016">
        <v>-0.3748918</v>
      </c>
      <c r="Z7016">
        <v>5.2271770000000004E-3</v>
      </c>
      <c r="AA7016">
        <v>0.92705389999999999</v>
      </c>
      <c r="AB7016">
        <v>25</v>
      </c>
      <c r="AC7016">
        <v>-15.5459</v>
      </c>
      <c r="AD7016">
        <v>-1.1293199218259999</v>
      </c>
      <c r="AE7016">
        <v>-23.921600000000002</v>
      </c>
      <c r="AF7016">
        <v>-10.7581219654411</v>
      </c>
      <c r="AG7016">
        <v>-1.1293199218259999</v>
      </c>
      <c r="AH7016">
        <v>26.374912719127799</v>
      </c>
      <c r="AI7016">
        <v>92.270397474962294</v>
      </c>
      <c r="AJ7016">
        <v>112.190165753576</v>
      </c>
      <c r="AK7016">
        <v>28.506991645046501</v>
      </c>
      <c r="AL7016">
        <v>84.582905063257201</v>
      </c>
      <c r="AM7016">
        <v>105.53965205622301</v>
      </c>
      <c r="AN7016">
        <v>1.0000000221210299</v>
      </c>
    </row>
    <row r="7017" spans="1:40" x14ac:dyDescent="0.25">
      <c r="A7017" t="str">
        <f>"20190303162053031"</f>
        <v>20190303162053031</v>
      </c>
      <c r="B7017" t="str">
        <f>"1551601253019692"</f>
        <v>1551601253019692</v>
      </c>
      <c r="C7017" t="s">
        <v>40</v>
      </c>
      <c r="D7017">
        <v>5.0471120000000003</v>
      </c>
      <c r="E7017">
        <v>0.46428219999999998</v>
      </c>
      <c r="F7017" t="s">
        <v>41</v>
      </c>
      <c r="G7017">
        <v>-424.53269999999998</v>
      </c>
      <c r="H7017" s="1">
        <v>-5.3578819999999999E-6</v>
      </c>
      <c r="I7017">
        <v>109.1446</v>
      </c>
      <c r="J7017">
        <v>-405.75439999999998</v>
      </c>
      <c r="K7017">
        <v>1.1292530000000001</v>
      </c>
      <c r="L7017">
        <v>137.15350000000001</v>
      </c>
      <c r="M7017">
        <v>-0.81430080000000005</v>
      </c>
      <c r="N7017">
        <v>-1.494179E-2</v>
      </c>
      <c r="O7017">
        <v>-0.58025070000000001</v>
      </c>
      <c r="P7017">
        <v>-0.63009609999999905</v>
      </c>
      <c r="Q7017">
        <v>8.4430930000000001E-2</v>
      </c>
      <c r="R7017">
        <v>-0.77191319999999997</v>
      </c>
      <c r="S7017">
        <v>-1.695862</v>
      </c>
      <c r="T7017">
        <v>-0.1009623</v>
      </c>
      <c r="U7017">
        <v>-2.517334</v>
      </c>
      <c r="V7017">
        <v>-0.26484780000000002</v>
      </c>
      <c r="W7017">
        <v>9.3673800000000002E-2</v>
      </c>
      <c r="X7017">
        <v>0.95972959999999996</v>
      </c>
      <c r="Y7017">
        <v>-0.351024</v>
      </c>
      <c r="Z7017">
        <v>3.5103320000000001E-3</v>
      </c>
      <c r="AA7017">
        <v>0.93635990000000002</v>
      </c>
      <c r="AB7017">
        <v>25</v>
      </c>
      <c r="AC7017">
        <v>-18.778300000000002</v>
      </c>
      <c r="AD7017">
        <v>-1.1292583578819999</v>
      </c>
      <c r="AE7017">
        <v>-28.008900000000001</v>
      </c>
      <c r="AF7017">
        <v>-11.8995335875656</v>
      </c>
      <c r="AG7017">
        <v>-1.1292583578819999</v>
      </c>
      <c r="AH7017">
        <v>31.5115528895127</v>
      </c>
      <c r="AI7017">
        <v>91.920155288295106</v>
      </c>
      <c r="AJ7017">
        <v>110.687763697889</v>
      </c>
      <c r="AK7017">
        <v>33.702404803648697</v>
      </c>
      <c r="AL7017">
        <v>84.625006361285102</v>
      </c>
      <c r="AM7017">
        <v>105.427420886937</v>
      </c>
      <c r="AN7017">
        <v>1.0000000215437099</v>
      </c>
    </row>
    <row r="7018" spans="1:40" x14ac:dyDescent="0.25">
      <c r="A7018" t="str">
        <f>"20190303162053053"</f>
        <v>20190303162053053</v>
      </c>
      <c r="B7018" t="str">
        <f>"1551601253049947"</f>
        <v>1551601253049947</v>
      </c>
      <c r="C7018" t="s">
        <v>40</v>
      </c>
      <c r="D7018">
        <v>5.1069250000000004</v>
      </c>
      <c r="E7018">
        <v>0.46809230000000002</v>
      </c>
      <c r="F7018" t="s">
        <v>41</v>
      </c>
      <c r="G7018">
        <v>-426.16699999999997</v>
      </c>
      <c r="H7018" s="1">
        <v>-4.8057009999999998E-6</v>
      </c>
      <c r="I7018">
        <v>106.95180000000001</v>
      </c>
      <c r="J7018">
        <v>-405.9427</v>
      </c>
      <c r="K7018">
        <v>1.1291789999999999</v>
      </c>
      <c r="L7018">
        <v>137.00309999999999</v>
      </c>
      <c r="M7018">
        <v>-0.80741890000000005</v>
      </c>
      <c r="N7018">
        <v>-1.495195E-2</v>
      </c>
      <c r="O7018">
        <v>-0.58978909999999996</v>
      </c>
      <c r="P7018">
        <v>-0.62270800000000004</v>
      </c>
      <c r="Q7018">
        <v>8.3155290000000007E-2</v>
      </c>
      <c r="R7018">
        <v>-0.77802289999999996</v>
      </c>
      <c r="S7018">
        <v>-1.6972959999999999</v>
      </c>
      <c r="T7018">
        <v>-9.3897339999999996E-2</v>
      </c>
      <c r="U7018">
        <v>-2.5112610000000002</v>
      </c>
      <c r="V7018">
        <v>-0.26277640000000002</v>
      </c>
      <c r="W7018">
        <v>9.2502539999999994E-2</v>
      </c>
      <c r="X7018">
        <v>0.9604123</v>
      </c>
      <c r="Y7018">
        <v>-0.33858050000000001</v>
      </c>
      <c r="Z7018">
        <v>2.9789859999999999E-3</v>
      </c>
      <c r="AA7018">
        <v>0.94093280000000001</v>
      </c>
      <c r="AB7018">
        <v>25</v>
      </c>
      <c r="AC7018">
        <v>-20.2242999999999</v>
      </c>
      <c r="AD7018">
        <v>-1.129183805701</v>
      </c>
      <c r="AE7018">
        <v>-30.051299999999902</v>
      </c>
      <c r="AF7018">
        <v>-12.3253175796529</v>
      </c>
      <c r="AG7018">
        <v>-1.129183805701</v>
      </c>
      <c r="AH7018">
        <v>34.024154492973601</v>
      </c>
      <c r="AI7018">
        <v>91.787245674325007</v>
      </c>
      <c r="AJ7018">
        <v>109.91301999506901</v>
      </c>
      <c r="AK7018">
        <v>36.2054084146015</v>
      </c>
      <c r="AL7018">
        <v>84.692407013869698</v>
      </c>
      <c r="AM7018">
        <v>105.30207171349601</v>
      </c>
      <c r="AN7018">
        <v>0.99999997114734995</v>
      </c>
    </row>
    <row r="7019" spans="1:40" x14ac:dyDescent="0.25">
      <c r="A7019" t="str">
        <f>"20190303162053076"</f>
        <v>20190303162053076</v>
      </c>
      <c r="B7019" t="str">
        <f>"1551601253069467"</f>
        <v>1551601253069467</v>
      </c>
      <c r="C7019" t="s">
        <v>40</v>
      </c>
      <c r="D7019">
        <v>4.9279900000000003</v>
      </c>
      <c r="E7019">
        <v>0.46964089999999997</v>
      </c>
      <c r="F7019" t="s">
        <v>41</v>
      </c>
      <c r="G7019">
        <v>-425.82249999999999</v>
      </c>
      <c r="H7019" s="1">
        <v>-4.9997429999999999E-6</v>
      </c>
      <c r="I7019">
        <v>107.61620000000001</v>
      </c>
      <c r="J7019">
        <v>-406.13299999999998</v>
      </c>
      <c r="K7019">
        <v>1.1290910000000001</v>
      </c>
      <c r="L7019">
        <v>136.8476</v>
      </c>
      <c r="M7019">
        <v>-0.80033489999999996</v>
      </c>
      <c r="N7019">
        <v>-1.495757E-2</v>
      </c>
      <c r="O7019">
        <v>-0.59936659999999997</v>
      </c>
      <c r="P7019">
        <v>-0.61620090000000005</v>
      </c>
      <c r="Q7019">
        <v>8.166255E-2</v>
      </c>
      <c r="R7019">
        <v>-0.78334399999999904</v>
      </c>
      <c r="S7019">
        <v>-1.696747</v>
      </c>
      <c r="T7019">
        <v>-9.6375939999999993E-2</v>
      </c>
      <c r="U7019">
        <v>-2.5081790000000002</v>
      </c>
      <c r="V7019">
        <v>-0.25941439999999999</v>
      </c>
      <c r="W7019">
        <v>9.1144089999999997E-2</v>
      </c>
      <c r="X7019">
        <v>0.96145559999999997</v>
      </c>
      <c r="Y7019">
        <v>-0.32695689999999999</v>
      </c>
      <c r="Z7019">
        <v>3.812041E-3</v>
      </c>
      <c r="AA7019">
        <v>0.94503159999999997</v>
      </c>
      <c r="AB7019">
        <v>25</v>
      </c>
      <c r="AC7019">
        <v>-19.689499999999899</v>
      </c>
      <c r="AD7019">
        <v>-1.1290959997429999</v>
      </c>
      <c r="AE7019">
        <v>-29.231399999999901</v>
      </c>
      <c r="AF7019">
        <v>-11.5830899704843</v>
      </c>
      <c r="AG7019">
        <v>-1.1290959997429999</v>
      </c>
      <c r="AH7019">
        <v>33.248118552852098</v>
      </c>
      <c r="AI7019">
        <v>91.836804619426701</v>
      </c>
      <c r="AJ7019">
        <v>109.207484513016</v>
      </c>
      <c r="AK7019">
        <v>35.226129766772303</v>
      </c>
      <c r="AL7019">
        <v>84.770570702803099</v>
      </c>
      <c r="AM7019">
        <v>105.099653902185</v>
      </c>
      <c r="AN7019">
        <v>0.99999997342032299</v>
      </c>
    </row>
    <row r="7020" spans="1:40" x14ac:dyDescent="0.25">
      <c r="A7020" t="str">
        <f>"20190303162053098"</f>
        <v>20190303162053098</v>
      </c>
      <c r="B7020" t="str">
        <f>"1551601253089964"</f>
        <v>1551601253089964</v>
      </c>
      <c r="C7020" t="s">
        <v>40</v>
      </c>
      <c r="D7020">
        <v>5.0317569999999998</v>
      </c>
      <c r="E7020">
        <v>0.47100999999999998</v>
      </c>
      <c r="F7020" t="s">
        <v>41</v>
      </c>
      <c r="G7020">
        <v>-424.30840000000001</v>
      </c>
      <c r="H7020" s="1">
        <v>-1.20086E-6</v>
      </c>
      <c r="I7020">
        <v>109.7162</v>
      </c>
      <c r="J7020">
        <v>-406.31400000000002</v>
      </c>
      <c r="K7020">
        <v>1.129016</v>
      </c>
      <c r="L7020">
        <v>136.6962</v>
      </c>
      <c r="M7020">
        <v>-0.79348240000000003</v>
      </c>
      <c r="N7020">
        <v>-1.495815E-2</v>
      </c>
      <c r="O7020">
        <v>-0.60840959999999999</v>
      </c>
      <c r="P7020">
        <v>-0.60951750000000005</v>
      </c>
      <c r="Q7020">
        <v>8.1457760000000004E-2</v>
      </c>
      <c r="R7020">
        <v>-0.78857679999999997</v>
      </c>
      <c r="S7020">
        <v>-1.6849369999999999</v>
      </c>
      <c r="T7020">
        <v>-0.10467170000000001</v>
      </c>
      <c r="U7020">
        <v>-2.5151979999999998</v>
      </c>
      <c r="V7020">
        <v>-0.25667020000000002</v>
      </c>
      <c r="W7020">
        <v>9.1053869999999995E-2</v>
      </c>
      <c r="X7020">
        <v>0.96220039999999996</v>
      </c>
      <c r="Y7020">
        <v>-0.32050770000000001</v>
      </c>
      <c r="Z7020">
        <v>5.4601429999999998E-3</v>
      </c>
      <c r="AA7020">
        <v>0.94723020000000002</v>
      </c>
      <c r="AB7020">
        <v>25</v>
      </c>
      <c r="AC7020">
        <v>-17.994399999999899</v>
      </c>
      <c r="AD7020">
        <v>-1.1290172008599999</v>
      </c>
      <c r="AE7020">
        <v>-26.98</v>
      </c>
      <c r="AF7020">
        <v>-10.4486944673989</v>
      </c>
      <c r="AG7020">
        <v>-1.1290172008599999</v>
      </c>
      <c r="AH7020">
        <v>30.659401214839399</v>
      </c>
      <c r="AI7020">
        <v>91.996289962676002</v>
      </c>
      <c r="AJ7020">
        <v>108.81906083355599</v>
      </c>
      <c r="AK7020">
        <v>32.410627558956499</v>
      </c>
      <c r="AL7020">
        <v>84.7757616740667</v>
      </c>
      <c r="AM7020">
        <v>104.936055043008</v>
      </c>
      <c r="AN7020">
        <v>1.0000000042850801</v>
      </c>
    </row>
    <row r="7021" spans="1:40" x14ac:dyDescent="0.25">
      <c r="A7021" t="str">
        <f>"20190303162053121"</f>
        <v>20190303162053121</v>
      </c>
      <c r="B7021" t="str">
        <f>"1551601253109485"</f>
        <v>1551601253109485</v>
      </c>
      <c r="C7021" t="s">
        <v>40</v>
      </c>
      <c r="D7021">
        <v>5.0446</v>
      </c>
      <c r="E7021">
        <v>0.47191329999999998</v>
      </c>
      <c r="F7021" t="s">
        <v>41</v>
      </c>
      <c r="G7021">
        <v>-423.94209999999998</v>
      </c>
      <c r="H7021" s="1">
        <v>-1.266604E-6</v>
      </c>
      <c r="I7021">
        <v>110.0966</v>
      </c>
      <c r="J7021">
        <v>-406.4973</v>
      </c>
      <c r="K7021">
        <v>1.1289309999999999</v>
      </c>
      <c r="L7021">
        <v>136.5393</v>
      </c>
      <c r="M7021">
        <v>-0.78642990000000002</v>
      </c>
      <c r="N7021">
        <v>-1.495434E-2</v>
      </c>
      <c r="O7021">
        <v>-0.61749849999999995</v>
      </c>
      <c r="P7021">
        <v>-0.60207390000000005</v>
      </c>
      <c r="Q7021">
        <v>8.239022E-2</v>
      </c>
      <c r="R7021">
        <v>-0.7941783</v>
      </c>
      <c r="S7021">
        <v>-1.672058</v>
      </c>
      <c r="T7021">
        <v>-0.107089</v>
      </c>
      <c r="U7021">
        <v>-2.5230100000000002</v>
      </c>
      <c r="V7021">
        <v>-0.25456830000000003</v>
      </c>
      <c r="W7021">
        <v>9.2084739999999998E-2</v>
      </c>
      <c r="X7021">
        <v>0.96266059999999998</v>
      </c>
      <c r="Y7021">
        <v>-0.31431720000000002</v>
      </c>
      <c r="Z7021">
        <v>6.2242950000000003E-3</v>
      </c>
      <c r="AA7021">
        <v>0.94929759999999996</v>
      </c>
      <c r="AB7021">
        <v>25</v>
      </c>
      <c r="AC7021">
        <v>-17.444799999999901</v>
      </c>
      <c r="AD7021">
        <v>-1.12893226660399</v>
      </c>
      <c r="AE7021">
        <v>-26.442699999999999</v>
      </c>
      <c r="AF7021">
        <v>-10.011598254230201</v>
      </c>
      <c r="AG7021">
        <v>-1.12893226660399</v>
      </c>
      <c r="AH7021">
        <v>30.012684021490099</v>
      </c>
      <c r="AI7021">
        <v>92.043575636528303</v>
      </c>
      <c r="AJ7021">
        <v>108.44761105740299</v>
      </c>
      <c r="AK7021">
        <v>31.658613201473202</v>
      </c>
      <c r="AL7021">
        <v>84.716448085527105</v>
      </c>
      <c r="AM7021">
        <v>104.8123722966</v>
      </c>
      <c r="AN7021">
        <v>1.0000000247490499</v>
      </c>
    </row>
    <row r="7022" spans="1:40" x14ac:dyDescent="0.25">
      <c r="A7022" t="str">
        <f>"20190303162053144"</f>
        <v>20190303162053144</v>
      </c>
      <c r="B7022" t="str">
        <f>"1551601253129980"</f>
        <v>1551601253129980</v>
      </c>
      <c r="C7022" t="s">
        <v>40</v>
      </c>
      <c r="D7022">
        <v>5.0455370000000004</v>
      </c>
      <c r="E7022">
        <v>0.47292640000000002</v>
      </c>
      <c r="F7022" t="s">
        <v>41</v>
      </c>
      <c r="G7022">
        <v>-424.50409999999999</v>
      </c>
      <c r="H7022" s="1">
        <v>-5.2733690000000004E-6</v>
      </c>
      <c r="I7022">
        <v>108.93770000000001</v>
      </c>
      <c r="J7022">
        <v>-406.6857</v>
      </c>
      <c r="K7022">
        <v>1.1288320000000001</v>
      </c>
      <c r="L7022">
        <v>136.37459999999999</v>
      </c>
      <c r="M7022">
        <v>-0.77907799999999905</v>
      </c>
      <c r="N7022">
        <v>-1.4946600000000001E-2</v>
      </c>
      <c r="O7022">
        <v>-0.62674879999999999</v>
      </c>
      <c r="P7022">
        <v>-0.59463480000000002</v>
      </c>
      <c r="Q7022">
        <v>8.3373009999999997E-2</v>
      </c>
      <c r="R7022">
        <v>-0.79966179999999998</v>
      </c>
      <c r="S7022">
        <v>-1.653564</v>
      </c>
      <c r="T7022">
        <v>-0.1036701</v>
      </c>
      <c r="U7022">
        <v>-2.534653</v>
      </c>
      <c r="V7022">
        <v>-0.25209009999999998</v>
      </c>
      <c r="W7022">
        <v>9.3176739999999994E-2</v>
      </c>
      <c r="X7022">
        <v>0.96320749999999999</v>
      </c>
      <c r="Y7022">
        <v>-0.30995499999999998</v>
      </c>
      <c r="Z7022">
        <v>6.0057579999999999E-3</v>
      </c>
      <c r="AA7022">
        <v>0.95073220000000003</v>
      </c>
      <c r="AB7022">
        <v>25</v>
      </c>
      <c r="AC7022">
        <v>-17.818399999999901</v>
      </c>
      <c r="AD7022">
        <v>-1.128837273369</v>
      </c>
      <c r="AE7022">
        <v>-27.436899999999898</v>
      </c>
      <c r="AF7022">
        <v>-10.196824489414499</v>
      </c>
      <c r="AG7022">
        <v>-1.128837273369</v>
      </c>
      <c r="AH7022">
        <v>31.044478213636399</v>
      </c>
      <c r="AI7022">
        <v>91.978561639514396</v>
      </c>
      <c r="AJ7022">
        <v>108.18320854256601</v>
      </c>
      <c r="AK7022">
        <v>32.695705082084103</v>
      </c>
      <c r="AL7022">
        <v>84.653610824177207</v>
      </c>
      <c r="AM7022">
        <v>104.66645458234299</v>
      </c>
      <c r="AN7022">
        <v>1.00000000572564</v>
      </c>
    </row>
    <row r="7023" spans="1:40" x14ac:dyDescent="0.25">
      <c r="A7023" t="str">
        <f>"20190303162053166"</f>
        <v>20190303162053166</v>
      </c>
      <c r="B7023" t="str">
        <f>"1551601253159259"</f>
        <v>1551601253159259</v>
      </c>
      <c r="C7023" t="s">
        <v>40</v>
      </c>
      <c r="D7023">
        <v>4.990119</v>
      </c>
      <c r="E7023">
        <v>0.47429300000000002</v>
      </c>
      <c r="F7023" t="s">
        <v>41</v>
      </c>
      <c r="G7023">
        <v>-425.0172</v>
      </c>
      <c r="H7023" s="1">
        <v>-4.9564830000000001E-6</v>
      </c>
      <c r="I7023">
        <v>107.87560000000001</v>
      </c>
      <c r="J7023">
        <v>-406.85899999999998</v>
      </c>
      <c r="K7023">
        <v>1.1287389999999999</v>
      </c>
      <c r="L7023">
        <v>136.21950000000001</v>
      </c>
      <c r="M7023">
        <v>-0.77222659999999999</v>
      </c>
      <c r="N7023">
        <v>-1.493566E-2</v>
      </c>
      <c r="O7023">
        <v>-0.63517190000000001</v>
      </c>
      <c r="P7023">
        <v>-0.58965299999999998</v>
      </c>
      <c r="Q7023">
        <v>8.3752590000000002E-2</v>
      </c>
      <c r="R7023">
        <v>-0.80330279999999998</v>
      </c>
      <c r="S7023">
        <v>-1.6369320000000001</v>
      </c>
      <c r="T7023">
        <v>-0.1008011</v>
      </c>
      <c r="U7023">
        <v>-2.544861</v>
      </c>
      <c r="V7023">
        <v>-0.2475629</v>
      </c>
      <c r="W7023">
        <v>9.3706090000000006E-2</v>
      </c>
      <c r="X7023">
        <v>0.96432969999999896</v>
      </c>
      <c r="Y7023">
        <v>-0.3057629</v>
      </c>
      <c r="Z7023">
        <v>5.8315279999999999E-3</v>
      </c>
      <c r="AA7023">
        <v>0.95208979999999999</v>
      </c>
      <c r="AB7023">
        <v>24</v>
      </c>
      <c r="AC7023">
        <v>-18.158199999999901</v>
      </c>
      <c r="AD7023">
        <v>-1.128743956483</v>
      </c>
      <c r="AE7023">
        <v>-28.343900000000001</v>
      </c>
      <c r="AF7023">
        <v>-10.3438577521593</v>
      </c>
      <c r="AG7023">
        <v>-1.128743956483</v>
      </c>
      <c r="AH7023">
        <v>31.993087795319301</v>
      </c>
      <c r="AI7023">
        <v>91.922691180722197</v>
      </c>
      <c r="AJ7023">
        <v>107.916818592213</v>
      </c>
      <c r="AK7023">
        <v>33.642638463640402</v>
      </c>
      <c r="AL7023">
        <v>84.623147966650805</v>
      </c>
      <c r="AM7023">
        <v>104.39805553305899</v>
      </c>
      <c r="AN7023">
        <v>0.99999999553079399</v>
      </c>
    </row>
    <row r="7024" spans="1:40" x14ac:dyDescent="0.25">
      <c r="A7024" t="str">
        <f>"20190303162053188"</f>
        <v>20190303162053188</v>
      </c>
      <c r="B7024" t="str">
        <f>"1551601253179756"</f>
        <v>1551601253179756</v>
      </c>
      <c r="C7024" t="s">
        <v>40</v>
      </c>
      <c r="D7024">
        <v>5.0430580000000003</v>
      </c>
      <c r="E7024">
        <v>0.475163</v>
      </c>
      <c r="F7024" t="s">
        <v>41</v>
      </c>
      <c r="G7024">
        <v>-425.14249999999998</v>
      </c>
      <c r="H7024" s="1">
        <v>-4.8807800000000002E-6</v>
      </c>
      <c r="I7024">
        <v>107.6206</v>
      </c>
      <c r="J7024">
        <v>-407.03339999999997</v>
      </c>
      <c r="K7024">
        <v>1.128641</v>
      </c>
      <c r="L7024">
        <v>136.06010000000001</v>
      </c>
      <c r="M7024">
        <v>-0.76525519999999903</v>
      </c>
      <c r="N7024">
        <v>-1.4921179999999999E-2</v>
      </c>
      <c r="O7024">
        <v>-0.64355419999999997</v>
      </c>
      <c r="P7024">
        <v>-0.58626160000000005</v>
      </c>
      <c r="Q7024">
        <v>8.3954780000000007E-2</v>
      </c>
      <c r="R7024">
        <v>-0.80575989999999997</v>
      </c>
      <c r="S7024">
        <v>-1.6295470000000001</v>
      </c>
      <c r="T7024">
        <v>-0.1006013</v>
      </c>
      <c r="U7024">
        <v>-2.5489350000000002</v>
      </c>
      <c r="V7024">
        <v>-0.2410621</v>
      </c>
      <c r="W7024">
        <v>9.4099160000000001E-2</v>
      </c>
      <c r="X7024">
        <v>0.96593709999999999</v>
      </c>
      <c r="Y7024">
        <v>-0.29802689999999998</v>
      </c>
      <c r="Z7024">
        <v>6.1710080000000004E-3</v>
      </c>
      <c r="AA7024">
        <v>0.95453750000000004</v>
      </c>
      <c r="AB7024">
        <v>24</v>
      </c>
      <c r="AC7024">
        <v>-18.109100000000002</v>
      </c>
      <c r="AD7024">
        <v>-1.1286458807799999</v>
      </c>
      <c r="AE7024">
        <v>-28.439499999999999</v>
      </c>
      <c r="AF7024">
        <v>-10.099095499309501</v>
      </c>
      <c r="AG7024">
        <v>-1.1286458807799999</v>
      </c>
      <c r="AH7024">
        <v>32.128017774780503</v>
      </c>
      <c r="AI7024">
        <v>91.91943213946</v>
      </c>
      <c r="AJ7024">
        <v>107.449977552747</v>
      </c>
      <c r="AK7024">
        <v>33.696811385723002</v>
      </c>
      <c r="AL7024">
        <v>84.600526971353403</v>
      </c>
      <c r="AM7024">
        <v>104.01267225132401</v>
      </c>
      <c r="AN7024">
        <v>1.00000003456276</v>
      </c>
    </row>
    <row r="7025" spans="1:40" x14ac:dyDescent="0.25">
      <c r="A7025" t="str">
        <f>"20190303162053210"</f>
        <v>20190303162053210</v>
      </c>
      <c r="B7025" t="str">
        <f>"1551601253199277"</f>
        <v>1551601253199277</v>
      </c>
      <c r="C7025" t="s">
        <v>40</v>
      </c>
      <c r="D7025">
        <v>5.0383870000000002</v>
      </c>
      <c r="E7025">
        <v>0.47583350000000002</v>
      </c>
      <c r="F7025" t="s">
        <v>41</v>
      </c>
      <c r="G7025">
        <v>-425.32040000000001</v>
      </c>
      <c r="H7025" s="1">
        <v>-4.79549699999999E-6</v>
      </c>
      <c r="I7025">
        <v>107.3163</v>
      </c>
      <c r="J7025">
        <v>-407.20929999999998</v>
      </c>
      <c r="K7025">
        <v>1.12856</v>
      </c>
      <c r="L7025">
        <v>135.89580000000001</v>
      </c>
      <c r="M7025">
        <v>-0.75813199999999903</v>
      </c>
      <c r="N7025">
        <v>-1.4904769999999999E-2</v>
      </c>
      <c r="O7025">
        <v>-0.65193089999999998</v>
      </c>
      <c r="P7025">
        <v>-0.58354689999999998</v>
      </c>
      <c r="Q7025">
        <v>8.5411329999999994E-2</v>
      </c>
      <c r="R7025">
        <v>-0.80757570000000001</v>
      </c>
      <c r="S7025">
        <v>-1.6237490000000001</v>
      </c>
      <c r="T7025">
        <v>-0.1002151</v>
      </c>
      <c r="U7025">
        <v>-2.5522309999999999</v>
      </c>
      <c r="V7025">
        <v>-0.2335603</v>
      </c>
      <c r="W7025">
        <v>9.5757700000000001E-2</v>
      </c>
      <c r="X7025">
        <v>0.96761569999999997</v>
      </c>
      <c r="Y7025">
        <v>-0.28962719999999997</v>
      </c>
      <c r="Z7025">
        <v>6.4865679999999998E-3</v>
      </c>
      <c r="AA7025">
        <v>0.95711760000000001</v>
      </c>
      <c r="AB7025">
        <v>24</v>
      </c>
      <c r="AC7025">
        <v>-18.1111</v>
      </c>
      <c r="AD7025">
        <v>-1.128564795497</v>
      </c>
      <c r="AE7025">
        <v>-28.579499999999999</v>
      </c>
      <c r="AF7025">
        <v>-9.8499835609424693</v>
      </c>
      <c r="AG7025">
        <v>-1.128564795497</v>
      </c>
      <c r="AH7025">
        <v>32.330086839990102</v>
      </c>
      <c r="AI7025">
        <v>91.912519780307804</v>
      </c>
      <c r="AJ7025">
        <v>106.94436695758201</v>
      </c>
      <c r="AK7025">
        <v>33.816125587207203</v>
      </c>
      <c r="AL7025">
        <v>84.505068608300405</v>
      </c>
      <c r="AM7025">
        <v>103.570316304342</v>
      </c>
      <c r="AN7025">
        <v>1.00000004686593</v>
      </c>
    </row>
    <row r="7026" spans="1:40" x14ac:dyDescent="0.25">
      <c r="A7026" t="str">
        <f>"20190303162053233"</f>
        <v>20190303162053233</v>
      </c>
      <c r="B7026" t="str">
        <f>"1551601253219772"</f>
        <v>1551601253219772</v>
      </c>
      <c r="C7026" t="s">
        <v>40</v>
      </c>
      <c r="D7026">
        <v>4.828284</v>
      </c>
      <c r="E7026">
        <v>0.47626210000000002</v>
      </c>
      <c r="F7026" t="s">
        <v>41</v>
      </c>
      <c r="G7026">
        <v>-426.27620000000002</v>
      </c>
      <c r="H7026" s="1">
        <v>-4.3855730000000003E-6</v>
      </c>
      <c r="I7026">
        <v>105.8073</v>
      </c>
      <c r="J7026">
        <v>-407.38080000000002</v>
      </c>
      <c r="K7026">
        <v>1.128476</v>
      </c>
      <c r="L7026">
        <v>135.73230000000001</v>
      </c>
      <c r="M7026">
        <v>-0.75110690000000002</v>
      </c>
      <c r="N7026">
        <v>-1.488773E-2</v>
      </c>
      <c r="O7026">
        <v>-0.66001299999999996</v>
      </c>
      <c r="P7026">
        <v>-0.58161819999999997</v>
      </c>
      <c r="Q7026">
        <v>8.8027499999999995E-2</v>
      </c>
      <c r="R7026">
        <v>-0.8086854</v>
      </c>
      <c r="S7026">
        <v>-1.61911</v>
      </c>
      <c r="T7026">
        <v>-9.5834730000000007E-2</v>
      </c>
      <c r="U7026">
        <v>-2.5550380000000001</v>
      </c>
      <c r="V7026">
        <v>-0.22529940000000001</v>
      </c>
      <c r="W7026">
        <v>9.8582400000000001E-2</v>
      </c>
      <c r="X7026">
        <v>0.96928919999999996</v>
      </c>
      <c r="Y7026">
        <v>-0.281088</v>
      </c>
      <c r="Z7026">
        <v>6.0624700000000004E-3</v>
      </c>
      <c r="AA7026">
        <v>0.95966289999999999</v>
      </c>
      <c r="AB7026">
        <v>24</v>
      </c>
      <c r="AC7026">
        <v>-18.895399999999899</v>
      </c>
      <c r="AD7026">
        <v>-1.1284803855729999</v>
      </c>
      <c r="AE7026">
        <v>-29.925000000000001</v>
      </c>
      <c r="AF7026">
        <v>-9.9966078545312698</v>
      </c>
      <c r="AG7026">
        <v>-1.1284803855729999</v>
      </c>
      <c r="AH7026">
        <v>33.912630988675701</v>
      </c>
      <c r="AI7026">
        <v>91.828161030783306</v>
      </c>
      <c r="AJ7026">
        <v>106.424217759954</v>
      </c>
      <c r="AK7026">
        <v>35.373325785851499</v>
      </c>
      <c r="AL7026">
        <v>84.342454997332794</v>
      </c>
      <c r="AM7026">
        <v>103.08534895185799</v>
      </c>
      <c r="AN7026">
        <v>0.99999993123337705</v>
      </c>
    </row>
    <row r="7027" spans="1:40" x14ac:dyDescent="0.25">
      <c r="A7027" t="str">
        <f>"20190303162053254"</f>
        <v>20190303162053254</v>
      </c>
      <c r="B7027" t="str">
        <f>"1551601253250028"</f>
        <v>1551601253250028</v>
      </c>
      <c r="C7027" t="s">
        <v>40</v>
      </c>
      <c r="D7027">
        <v>5.0433690000000002</v>
      </c>
      <c r="E7027">
        <v>0.4768502</v>
      </c>
      <c r="F7027" t="s">
        <v>41</v>
      </c>
      <c r="G7027">
        <v>-428.30549999999999</v>
      </c>
      <c r="H7027" s="1">
        <v>-3.5225589999999999E-6</v>
      </c>
      <c r="I7027">
        <v>102.62260000000001</v>
      </c>
      <c r="J7027">
        <v>-407.55399999999997</v>
      </c>
      <c r="K7027">
        <v>1.128387</v>
      </c>
      <c r="L7027">
        <v>135.56399999999999</v>
      </c>
      <c r="M7027">
        <v>-0.74395290000000003</v>
      </c>
      <c r="N7027">
        <v>-1.4868799999999901E-2</v>
      </c>
      <c r="O7027">
        <v>-0.66806679999999996</v>
      </c>
      <c r="P7027">
        <v>-0.58071629999999996</v>
      </c>
      <c r="Q7027">
        <v>9.0895970000000006E-2</v>
      </c>
      <c r="R7027">
        <v>-0.80901619999999996</v>
      </c>
      <c r="S7027">
        <v>-1.6159669999999999</v>
      </c>
      <c r="T7027">
        <v>-8.7149980000000002E-2</v>
      </c>
      <c r="U7027">
        <v>-2.5569920000000002</v>
      </c>
      <c r="V7027">
        <v>-0.2157027</v>
      </c>
      <c r="W7027">
        <v>0.10168099999999999</v>
      </c>
      <c r="X7027">
        <v>0.97115050000000003</v>
      </c>
      <c r="Y7027">
        <v>-0.2719184</v>
      </c>
      <c r="Z7027">
        <v>4.8077090000000003E-3</v>
      </c>
      <c r="AA7027">
        <v>0.96230830000000001</v>
      </c>
      <c r="AB7027">
        <v>24</v>
      </c>
      <c r="AC7027">
        <v>-20.751499999999901</v>
      </c>
      <c r="AD7027">
        <v>-1.1283905225589901</v>
      </c>
      <c r="AE7027">
        <v>-32.941399999999902</v>
      </c>
      <c r="AF7027">
        <v>-10.635703095054099</v>
      </c>
      <c r="AG7027">
        <v>-1.1283905225589901</v>
      </c>
      <c r="AH7027">
        <v>37.417897865132197</v>
      </c>
      <c r="AI7027">
        <v>91.661535611868004</v>
      </c>
      <c r="AJ7027">
        <v>105.867326691985</v>
      </c>
      <c r="AK7027">
        <v>38.916455724320599</v>
      </c>
      <c r="AL7027">
        <v>84.164021763012997</v>
      </c>
      <c r="AM7027">
        <v>102.52270628606</v>
      </c>
      <c r="AN7027">
        <v>0.99999998709926896</v>
      </c>
    </row>
    <row r="7028" spans="1:40" x14ac:dyDescent="0.25">
      <c r="A7028" t="str">
        <f>"20190303162053277"</f>
        <v>20190303162053277</v>
      </c>
      <c r="B7028" t="str">
        <f>"1551601253269548"</f>
        <v>1551601253269548</v>
      </c>
      <c r="C7028" t="s">
        <v>40</v>
      </c>
      <c r="D7028">
        <v>5.0343269999999896</v>
      </c>
      <c r="E7028">
        <v>0.47723500000000002</v>
      </c>
      <c r="F7028" t="s">
        <v>41</v>
      </c>
      <c r="G7028">
        <v>-429.95780000000002</v>
      </c>
      <c r="H7028">
        <v>4.2497279999999998E-2</v>
      </c>
      <c r="I7028">
        <v>100.1476</v>
      </c>
      <c r="J7028">
        <v>-407.72120000000001</v>
      </c>
      <c r="K7028">
        <v>1.1282939999999999</v>
      </c>
      <c r="L7028">
        <v>135.3981</v>
      </c>
      <c r="M7028">
        <v>-0.73699359999999903</v>
      </c>
      <c r="N7028">
        <v>-1.484712E-2</v>
      </c>
      <c r="O7028">
        <v>-0.67573649999999996</v>
      </c>
      <c r="P7028">
        <v>-0.58013970000000004</v>
      </c>
      <c r="Q7028">
        <v>9.4279859999999993E-2</v>
      </c>
      <c r="R7028">
        <v>-0.80904189999999998</v>
      </c>
      <c r="S7028">
        <v>-1.617065</v>
      </c>
      <c r="T7028">
        <v>-7.8377489999999994E-2</v>
      </c>
      <c r="U7028">
        <v>-2.5562900000000002</v>
      </c>
      <c r="V7028">
        <v>-0.20605660000000001</v>
      </c>
      <c r="W7028">
        <v>0.1052916</v>
      </c>
      <c r="X7028">
        <v>0.97285880000000002</v>
      </c>
      <c r="Y7028">
        <v>-0.26152950000000003</v>
      </c>
      <c r="Z7028">
        <v>3.475798E-3</v>
      </c>
      <c r="AA7028">
        <v>0.96518919999999997</v>
      </c>
      <c r="AB7028">
        <v>24</v>
      </c>
      <c r="AC7028">
        <v>-22.236599999999999</v>
      </c>
      <c r="AD7028">
        <v>-1.08579672</v>
      </c>
      <c r="AE7028">
        <v>-35.250500000000002</v>
      </c>
      <c r="AF7028">
        <v>-10.947089232576801</v>
      </c>
      <c r="AG7028">
        <v>-1.08579672</v>
      </c>
      <c r="AH7028">
        <v>40.185443339933698</v>
      </c>
      <c r="AI7028">
        <v>91.4933428692989</v>
      </c>
      <c r="AJ7028">
        <v>105.23842656269299</v>
      </c>
      <c r="AK7028">
        <v>41.663984130303497</v>
      </c>
      <c r="AL7028">
        <v>83.956032522618401</v>
      </c>
      <c r="AM7028">
        <v>101.958807453178</v>
      </c>
      <c r="AN7028">
        <v>0.99999994408577797</v>
      </c>
    </row>
    <row r="7029" spans="1:40" x14ac:dyDescent="0.25">
      <c r="A7029" t="str">
        <f>"20190303162053299"</f>
        <v>20190303162053299</v>
      </c>
      <c r="B7029" t="str">
        <f>"1551601253290043"</f>
        <v>1551601253290043</v>
      </c>
      <c r="C7029" t="s">
        <v>40</v>
      </c>
      <c r="D7029">
        <v>5.043336</v>
      </c>
      <c r="E7029">
        <v>0.47762880000000002</v>
      </c>
      <c r="F7029" t="s">
        <v>41</v>
      </c>
      <c r="G7029">
        <v>-432.72579999999999</v>
      </c>
      <c r="H7029">
        <v>7.9986559999999998E-2</v>
      </c>
      <c r="I7029">
        <v>95.902929999999998</v>
      </c>
      <c r="J7029">
        <v>-407.88889999999998</v>
      </c>
      <c r="K7029">
        <v>1.1281600000000001</v>
      </c>
      <c r="L7029">
        <v>135.2285</v>
      </c>
      <c r="M7029">
        <v>-0.72999559999999997</v>
      </c>
      <c r="N7029">
        <v>-1.4820649999999999E-2</v>
      </c>
      <c r="O7029">
        <v>-0.68329099999999998</v>
      </c>
      <c r="P7029">
        <v>-0.57920590000000005</v>
      </c>
      <c r="Q7029">
        <v>9.7168279999999996E-2</v>
      </c>
      <c r="R7029">
        <v>-0.80936909999999995</v>
      </c>
      <c r="S7029">
        <v>-1.618042</v>
      </c>
      <c r="T7029">
        <v>-6.7835809999999996E-2</v>
      </c>
      <c r="U7029">
        <v>-2.5557249999999998</v>
      </c>
      <c r="V7029">
        <v>-0.1969004</v>
      </c>
      <c r="W7029">
        <v>0.10839849999999999</v>
      </c>
      <c r="X7029">
        <v>0.97441270000000002</v>
      </c>
      <c r="Y7029">
        <v>-0.25122470000000002</v>
      </c>
      <c r="Z7029">
        <v>1.7232250000000001E-3</v>
      </c>
      <c r="AA7029">
        <v>0.96792730000000005</v>
      </c>
      <c r="AB7029">
        <v>24</v>
      </c>
      <c r="AC7029">
        <v>-24.8369</v>
      </c>
      <c r="AD7029">
        <v>-1.04817344</v>
      </c>
      <c r="AE7029">
        <v>-39.325569999999999</v>
      </c>
      <c r="AF7029">
        <v>-11.731995008414399</v>
      </c>
      <c r="AG7029">
        <v>-1.04817344</v>
      </c>
      <c r="AH7029">
        <v>44.983738041403399</v>
      </c>
      <c r="AI7029">
        <v>91.291626950537193</v>
      </c>
      <c r="AJ7029">
        <v>104.61742369516401</v>
      </c>
      <c r="AK7029">
        <v>46.500269489707101</v>
      </c>
      <c r="AL7029">
        <v>83.776996014604194</v>
      </c>
      <c r="AM7029">
        <v>101.423974230138</v>
      </c>
      <c r="AN7029">
        <v>1.0000000561218401</v>
      </c>
    </row>
    <row r="7030" spans="1:40" x14ac:dyDescent="0.25">
      <c r="A7030" t="str">
        <f>"20190303162053322"</f>
        <v>20190303162053322</v>
      </c>
      <c r="B7030" t="str">
        <f>"1551601253309566"</f>
        <v>1551601253309566</v>
      </c>
      <c r="C7030" t="s">
        <v>40</v>
      </c>
      <c r="D7030">
        <v>5.0441060000000002</v>
      </c>
      <c r="E7030">
        <v>0.47803010000000001</v>
      </c>
      <c r="F7030" t="s">
        <v>44</v>
      </c>
      <c r="G7030">
        <v>-439.64060000000001</v>
      </c>
      <c r="H7030">
        <v>-0.05</v>
      </c>
      <c r="I7030">
        <v>85.068200000000004</v>
      </c>
      <c r="J7030">
        <v>-408.05290000000002</v>
      </c>
      <c r="K7030">
        <v>1.1279980000000001</v>
      </c>
      <c r="L7030">
        <v>135.05950000000001</v>
      </c>
      <c r="M7030">
        <v>-0.72316809999999998</v>
      </c>
      <c r="N7030">
        <v>-1.4789739999999999E-2</v>
      </c>
      <c r="O7030">
        <v>-0.69051390000000001</v>
      </c>
      <c r="P7030">
        <v>-0.57744969999999995</v>
      </c>
      <c r="Q7030">
        <v>9.7895399999999994E-2</v>
      </c>
      <c r="R7030">
        <v>-0.81053580000000003</v>
      </c>
      <c r="S7030">
        <v>-1.61792</v>
      </c>
      <c r="T7030">
        <v>-6.0033679999999999E-2</v>
      </c>
      <c r="U7030">
        <v>-2.555939</v>
      </c>
      <c r="V7030">
        <v>-0.18921379999999999</v>
      </c>
      <c r="W7030">
        <v>0.109320899999999</v>
      </c>
      <c r="X7030">
        <v>0.97583149999999996</v>
      </c>
      <c r="Y7030">
        <v>-0.24166969999999999</v>
      </c>
      <c r="Z7030">
        <v>4.1726030000000002E-4</v>
      </c>
      <c r="AA7030">
        <v>0.97035850000000001</v>
      </c>
      <c r="AB7030">
        <v>24</v>
      </c>
      <c r="AC7030">
        <v>-31.587699999999899</v>
      </c>
      <c r="AD7030">
        <v>-1.1779979999999901</v>
      </c>
      <c r="AE7030">
        <v>-49.991300000000003</v>
      </c>
      <c r="AF7030">
        <v>-14.336245074193799</v>
      </c>
      <c r="AG7030">
        <v>-1.1779979999999901</v>
      </c>
      <c r="AH7030">
        <v>57.346414331852799</v>
      </c>
      <c r="AI7030">
        <v>91.141667410546901</v>
      </c>
      <c r="AJ7030">
        <v>104.035906345342</v>
      </c>
      <c r="AK7030">
        <v>59.122980632203202</v>
      </c>
      <c r="AL7030">
        <v>83.723830197224004</v>
      </c>
      <c r="AM7030">
        <v>100.97348395111599</v>
      </c>
      <c r="AN7030">
        <v>1.00000001883974</v>
      </c>
    </row>
    <row r="7031" spans="1:40" x14ac:dyDescent="0.25">
      <c r="A7031" t="str">
        <f>"20190303162053351"</f>
        <v>20190303162053351</v>
      </c>
      <c r="B7031" t="str">
        <f>"1551601253339820"</f>
        <v>1551601253339820</v>
      </c>
      <c r="C7031" t="s">
        <v>40</v>
      </c>
      <c r="D7031">
        <v>4.9816240000000001</v>
      </c>
      <c r="E7031">
        <v>0.47843380000000002</v>
      </c>
      <c r="F7031" t="s">
        <v>44</v>
      </c>
      <c r="G7031">
        <v>-440.55380000000002</v>
      </c>
      <c r="H7031">
        <v>-0.05</v>
      </c>
      <c r="I7031">
        <v>83.591980000000007</v>
      </c>
      <c r="J7031">
        <v>-408.2638</v>
      </c>
      <c r="K7031">
        <v>1.127726</v>
      </c>
      <c r="L7031">
        <v>134.83760000000001</v>
      </c>
      <c r="M7031">
        <v>-0.71449189999999996</v>
      </c>
      <c r="N7031">
        <v>-1.474147E-2</v>
      </c>
      <c r="O7031">
        <v>-0.69948859999999902</v>
      </c>
      <c r="P7031">
        <v>-0.57272199999999995</v>
      </c>
      <c r="Q7031">
        <v>9.8419409999999999E-2</v>
      </c>
      <c r="R7031">
        <v>-0.81382030000000005</v>
      </c>
      <c r="S7031">
        <v>-1.6151120000000001</v>
      </c>
      <c r="T7031">
        <v>-5.8539870000000001E-2</v>
      </c>
      <c r="U7031">
        <v>-2.5576479999999999</v>
      </c>
      <c r="V7031">
        <v>-0.18258650000000001</v>
      </c>
      <c r="W7031">
        <v>0.11004369999999999</v>
      </c>
      <c r="X7031">
        <v>0.97701199999999999</v>
      </c>
      <c r="Y7031">
        <v>-0.23059940000000001</v>
      </c>
      <c r="Z7031">
        <v>3.7638720000000001E-4</v>
      </c>
      <c r="AA7031">
        <v>0.97304869999999999</v>
      </c>
      <c r="AB7031">
        <v>24</v>
      </c>
      <c r="AC7031">
        <v>-32.29</v>
      </c>
      <c r="AD7031">
        <v>-1.1777260000000001</v>
      </c>
      <c r="AE7031">
        <v>-51.245620000000002</v>
      </c>
      <c r="AF7031">
        <v>-14.0243138267486</v>
      </c>
      <c r="AG7031">
        <v>-1.1777260000000001</v>
      </c>
      <c r="AH7031">
        <v>58.900796142340802</v>
      </c>
      <c r="AI7031">
        <v>91.1143375887969</v>
      </c>
      <c r="AJ7031">
        <v>103.39278749664</v>
      </c>
      <c r="AK7031">
        <v>60.558832576625797</v>
      </c>
      <c r="AL7031">
        <v>83.682164975838106</v>
      </c>
      <c r="AM7031">
        <v>100.58547601435301</v>
      </c>
      <c r="AN7031">
        <v>0.99999994701796802</v>
      </c>
    </row>
    <row r="7032" spans="1:40" x14ac:dyDescent="0.25">
      <c r="A7032" t="str">
        <f>"20190303162053368"</f>
        <v>20190303162053368</v>
      </c>
      <c r="B7032" t="str">
        <f>"1551601253359339"</f>
        <v>1551601253359339</v>
      </c>
      <c r="C7032" t="s">
        <v>40</v>
      </c>
      <c r="D7032">
        <v>4.9834550000000002</v>
      </c>
      <c r="E7032">
        <v>0.478601</v>
      </c>
      <c r="F7032" t="s">
        <v>44</v>
      </c>
      <c r="G7032">
        <v>-439.65519999999998</v>
      </c>
      <c r="H7032">
        <v>-0.05</v>
      </c>
      <c r="I7032">
        <v>84.623189999999994</v>
      </c>
      <c r="J7032">
        <v>-408.38510000000002</v>
      </c>
      <c r="K7032">
        <v>1.127542</v>
      </c>
      <c r="L7032">
        <v>134.7081</v>
      </c>
      <c r="M7032">
        <v>-0.70957809999999999</v>
      </c>
      <c r="N7032">
        <v>-1.471051E-2</v>
      </c>
      <c r="O7032">
        <v>-0.70447320000000002</v>
      </c>
      <c r="P7032">
        <v>-0.57072369999999994</v>
      </c>
      <c r="Q7032">
        <v>9.8163120000000006E-2</v>
      </c>
      <c r="R7032">
        <v>-0.81525360000000002</v>
      </c>
      <c r="S7032">
        <v>-1.603577</v>
      </c>
      <c r="T7032">
        <v>-6.0162309999999997E-2</v>
      </c>
      <c r="U7032">
        <v>-2.5651250000000001</v>
      </c>
      <c r="V7032">
        <v>-0.17810390000000001</v>
      </c>
      <c r="W7032">
        <v>0.1099171</v>
      </c>
      <c r="X7032">
        <v>0.97785339999999998</v>
      </c>
      <c r="Y7032">
        <v>-0.22820879999999999</v>
      </c>
      <c r="Z7032">
        <v>8.0637979999999905E-4</v>
      </c>
      <c r="AA7032">
        <v>0.97361189999999997</v>
      </c>
      <c r="AB7032">
        <v>24</v>
      </c>
      <c r="AC7032">
        <v>-31.2700999999999</v>
      </c>
      <c r="AD7032">
        <v>-1.1775420000000001</v>
      </c>
      <c r="AE7032">
        <v>-50.084910000000001</v>
      </c>
      <c r="AF7032">
        <v>-13.506298283282</v>
      </c>
      <c r="AG7032">
        <v>-1.1775420000000001</v>
      </c>
      <c r="AH7032">
        <v>57.455423709817801</v>
      </c>
      <c r="AI7032">
        <v>91.142959029591594</v>
      </c>
      <c r="AJ7032">
        <v>103.22858991954</v>
      </c>
      <c r="AK7032">
        <v>59.033316120250603</v>
      </c>
      <c r="AL7032">
        <v>83.689463355160697</v>
      </c>
      <c r="AM7032">
        <v>100.322562764389</v>
      </c>
      <c r="AN7032">
        <v>1.00000001997958</v>
      </c>
    </row>
    <row r="7033" spans="1:40" x14ac:dyDescent="0.25">
      <c r="A7033" t="str">
        <f>"20190303162053388"</f>
        <v>20190303162053388</v>
      </c>
      <c r="B7033" t="str">
        <f>"1551601253379836"</f>
        <v>1551601253379836</v>
      </c>
      <c r="C7033" t="s">
        <v>40</v>
      </c>
      <c r="D7033">
        <v>4.9790869999999998</v>
      </c>
      <c r="E7033">
        <v>0.46982889999999999</v>
      </c>
      <c r="F7033" t="s">
        <v>41</v>
      </c>
      <c r="G7033">
        <v>-434.57459999999998</v>
      </c>
      <c r="H7033">
        <v>7.9986130000000003E-2</v>
      </c>
      <c r="I7033">
        <v>92.672229999999999</v>
      </c>
      <c r="J7033">
        <v>-408.53789999999998</v>
      </c>
      <c r="K7033">
        <v>1.1273059999999999</v>
      </c>
      <c r="L7033">
        <v>134.54239999999999</v>
      </c>
      <c r="M7033">
        <v>-0.70347109999999902</v>
      </c>
      <c r="N7033">
        <v>-1.466923E-2</v>
      </c>
      <c r="O7033">
        <v>-0.71057250000000005</v>
      </c>
      <c r="P7033">
        <v>-0.56692529999999997</v>
      </c>
      <c r="Q7033">
        <v>9.6777799999999997E-2</v>
      </c>
      <c r="R7033">
        <v>-0.81806489999999998</v>
      </c>
      <c r="S7033">
        <v>-1.599731</v>
      </c>
      <c r="T7033">
        <v>-6.3987730000000007E-2</v>
      </c>
      <c r="U7033">
        <v>-2.5676730000000001</v>
      </c>
      <c r="V7033">
        <v>-0.174239</v>
      </c>
      <c r="W7033">
        <v>0.1086578</v>
      </c>
      <c r="X7033">
        <v>0.97869010000000001</v>
      </c>
      <c r="Y7033">
        <v>-0.2212838</v>
      </c>
      <c r="Z7033">
        <v>1.7807229999999999E-3</v>
      </c>
      <c r="AA7033">
        <v>0.97520779999999996</v>
      </c>
      <c r="AB7033">
        <v>24</v>
      </c>
      <c r="AC7033">
        <v>-26.0367</v>
      </c>
      <c r="AD7033">
        <v>-1.0473198699999999</v>
      </c>
      <c r="AE7033">
        <v>-41.870169999999902</v>
      </c>
      <c r="AF7033">
        <v>-10.949729430883099</v>
      </c>
      <c r="AG7033">
        <v>-1.0473198699999999</v>
      </c>
      <c r="AH7033">
        <v>48.051347890926301</v>
      </c>
      <c r="AI7033">
        <v>91.217413676974701</v>
      </c>
      <c r="AJ7033">
        <v>102.83710694009</v>
      </c>
      <c r="AK7033">
        <v>49.294274390181201</v>
      </c>
      <c r="AL7033">
        <v>83.762050776455993</v>
      </c>
      <c r="AM7033">
        <v>100.094764878874</v>
      </c>
      <c r="AN7033">
        <v>1.00000002922992</v>
      </c>
    </row>
    <row r="7034" spans="1:40" x14ac:dyDescent="0.25">
      <c r="A7034" t="str">
        <f>"20190303162053411"</f>
        <v>20190303162053411</v>
      </c>
      <c r="B7034" t="str">
        <f>"1551601253399356"</f>
        <v>1551601253399356</v>
      </c>
      <c r="C7034" t="s">
        <v>40</v>
      </c>
      <c r="D7034">
        <v>4.841717</v>
      </c>
      <c r="E7034">
        <v>0.46906759999999997</v>
      </c>
      <c r="F7034" t="s">
        <v>41</v>
      </c>
      <c r="G7034">
        <v>-422.1105</v>
      </c>
      <c r="H7034" s="1">
        <v>-1.3311419999999999E-6</v>
      </c>
      <c r="I7034">
        <v>111.3831</v>
      </c>
      <c r="J7034">
        <v>-408.7002</v>
      </c>
      <c r="K7034">
        <v>1.1270579999999999</v>
      </c>
      <c r="L7034">
        <v>134.3639</v>
      </c>
      <c r="M7034">
        <v>-0.69713009999999997</v>
      </c>
      <c r="N7034">
        <v>-1.462478E-2</v>
      </c>
      <c r="O7034">
        <v>-0.71679550000000003</v>
      </c>
      <c r="P7034">
        <v>-0.56241269999999999</v>
      </c>
      <c r="Q7034">
        <v>9.5381060000000004E-2</v>
      </c>
      <c r="R7034">
        <v>-0.82133690000000004</v>
      </c>
      <c r="S7034">
        <v>-1.5346979999999999</v>
      </c>
      <c r="T7034">
        <v>-0.1274689</v>
      </c>
      <c r="U7034">
        <v>-2.6187130000000001</v>
      </c>
      <c r="V7034">
        <v>-0.1709541</v>
      </c>
      <c r="W7034">
        <v>0.107376399999999</v>
      </c>
      <c r="X7034">
        <v>0.97941049999999996</v>
      </c>
      <c r="Y7034">
        <v>-0.23901149999999999</v>
      </c>
      <c r="Z7034">
        <v>1.4819840000000001E-2</v>
      </c>
      <c r="AA7034">
        <v>0.97090359999999998</v>
      </c>
      <c r="AB7034">
        <v>24</v>
      </c>
      <c r="AC7034">
        <v>-13.410299999999999</v>
      </c>
      <c r="AD7034">
        <v>-1.1270593311420001</v>
      </c>
      <c r="AE7034">
        <v>-22.980799999999999</v>
      </c>
      <c r="AF7034">
        <v>-6.3973713211727503</v>
      </c>
      <c r="AG7034">
        <v>-1.1270593311420001</v>
      </c>
      <c r="AH7034">
        <v>25.7777665967538</v>
      </c>
      <c r="AI7034">
        <v>92.429881918563296</v>
      </c>
      <c r="AJ7034">
        <v>103.93773312353299</v>
      </c>
      <c r="AK7034">
        <v>26.5836392029683</v>
      </c>
      <c r="AL7034">
        <v>83.835901271620699</v>
      </c>
      <c r="AM7034">
        <v>99.901112941283102</v>
      </c>
      <c r="AN7034">
        <v>0.99999996154700899</v>
      </c>
    </row>
    <row r="7035" spans="1:40" x14ac:dyDescent="0.25">
      <c r="A7035" t="str">
        <f>"20190303162053434"</f>
        <v>20190303162053434</v>
      </c>
      <c r="B7035" t="str">
        <f>"1551601253419852"</f>
        <v>1551601253419852</v>
      </c>
      <c r="C7035" t="s">
        <v>40</v>
      </c>
      <c r="D7035">
        <v>4.9199719999999996</v>
      </c>
      <c r="E7035">
        <v>0.46878219999999998</v>
      </c>
      <c r="F7035" t="s">
        <v>41</v>
      </c>
      <c r="G7035">
        <v>-421.1694</v>
      </c>
      <c r="H7035" s="1">
        <v>-1.6448900000000001E-6</v>
      </c>
      <c r="I7035">
        <v>112.6981</v>
      </c>
      <c r="J7035">
        <v>-408.8603</v>
      </c>
      <c r="K7035">
        <v>1.126803</v>
      </c>
      <c r="L7035">
        <v>134.18510000000001</v>
      </c>
      <c r="M7035">
        <v>-0.69104149999999998</v>
      </c>
      <c r="N7035">
        <v>-1.457903E-2</v>
      </c>
      <c r="O7035">
        <v>-0.72266819999999998</v>
      </c>
      <c r="P7035">
        <v>-0.55784019999999901</v>
      </c>
      <c r="Q7035">
        <v>9.4061900000000004E-2</v>
      </c>
      <c r="R7035">
        <v>-0.82460129999999998</v>
      </c>
      <c r="S7035">
        <v>-1.514465</v>
      </c>
      <c r="T7035">
        <v>-0.13688800000000001</v>
      </c>
      <c r="U7035">
        <v>-2.6314389999999999</v>
      </c>
      <c r="V7035">
        <v>-0.1681281</v>
      </c>
      <c r="W7035">
        <v>0.1061603</v>
      </c>
      <c r="X7035">
        <v>0.98003209999999996</v>
      </c>
      <c r="Y7035">
        <v>-0.23845340000000001</v>
      </c>
      <c r="Z7035">
        <v>1.7042359999999999E-2</v>
      </c>
      <c r="AA7035">
        <v>0.97100439999999999</v>
      </c>
      <c r="AB7035">
        <v>24</v>
      </c>
      <c r="AC7035">
        <v>-12.309100000000001</v>
      </c>
      <c r="AD7035">
        <v>-1.12680464489</v>
      </c>
      <c r="AE7035">
        <v>-21.486999999999998</v>
      </c>
      <c r="AF7035">
        <v>-5.9413436240274802</v>
      </c>
      <c r="AG7035">
        <v>-1.12680464489</v>
      </c>
      <c r="AH7035">
        <v>23.9869555297137</v>
      </c>
      <c r="AI7035">
        <v>92.610754106786899</v>
      </c>
      <c r="AJ7035">
        <v>103.911641034108</v>
      </c>
      <c r="AK7035">
        <v>24.737487510880801</v>
      </c>
      <c r="AL7035">
        <v>83.905979434711199</v>
      </c>
      <c r="AM7035">
        <v>99.734541202502498</v>
      </c>
      <c r="AN7035">
        <v>0.99999999216805502</v>
      </c>
    </row>
    <row r="7036" spans="1:40" x14ac:dyDescent="0.25">
      <c r="A7036" t="str">
        <f>"20190303162053455"</f>
        <v>20190303162053455</v>
      </c>
      <c r="B7036" t="str">
        <f>"1551601253450108"</f>
        <v>1551601253450108</v>
      </c>
      <c r="C7036" t="s">
        <v>40</v>
      </c>
      <c r="D7036">
        <v>4.9775660000000004</v>
      </c>
      <c r="E7036">
        <v>0.46922839999999999</v>
      </c>
      <c r="F7036" t="s">
        <v>41</v>
      </c>
      <c r="G7036">
        <v>-421.2774</v>
      </c>
      <c r="H7036" s="1">
        <v>-1.4959219999999999E-6</v>
      </c>
      <c r="I7036">
        <v>112.2839</v>
      </c>
      <c r="J7036">
        <v>-409.01650000000001</v>
      </c>
      <c r="K7036">
        <v>1.1265419999999999</v>
      </c>
      <c r="L7036">
        <v>134.00839999999999</v>
      </c>
      <c r="M7036">
        <v>-0.68529499999999999</v>
      </c>
      <c r="N7036">
        <v>-1.4531560000000001E-2</v>
      </c>
      <c r="O7036">
        <v>-0.72812060000000001</v>
      </c>
      <c r="P7036">
        <v>-0.55330630000000003</v>
      </c>
      <c r="Q7036">
        <v>9.2387529999999995E-2</v>
      </c>
      <c r="R7036">
        <v>-0.82783839999999997</v>
      </c>
      <c r="S7036">
        <v>-1.4971920000000001</v>
      </c>
      <c r="T7036">
        <v>-0.13586500000000001</v>
      </c>
      <c r="U7036">
        <v>-2.6407470000000002</v>
      </c>
      <c r="V7036">
        <v>-0.16578010000000001</v>
      </c>
      <c r="W7036">
        <v>0.1045799</v>
      </c>
      <c r="X7036">
        <v>0.98060179999999997</v>
      </c>
      <c r="Y7036">
        <v>-0.23703550000000001</v>
      </c>
      <c r="Z7036">
        <v>1.7106099999999999E-2</v>
      </c>
      <c r="AA7036">
        <v>0.97135039999999995</v>
      </c>
      <c r="AB7036">
        <v>24</v>
      </c>
      <c r="AC7036">
        <v>-12.2608999999999</v>
      </c>
      <c r="AD7036">
        <v>-1.126543495922</v>
      </c>
      <c r="AE7036">
        <v>-21.7244999999999</v>
      </c>
      <c r="AF7036">
        <v>-5.9487746575667098</v>
      </c>
      <c r="AG7036">
        <v>-1.126543495922</v>
      </c>
      <c r="AH7036">
        <v>24.173646648333801</v>
      </c>
      <c r="AI7036">
        <v>92.590985956885305</v>
      </c>
      <c r="AJ7036">
        <v>103.824937980839</v>
      </c>
      <c r="AK7036">
        <v>24.920317262290499</v>
      </c>
      <c r="AL7036">
        <v>83.997036310974195</v>
      </c>
      <c r="AM7036">
        <v>99.595666932737004</v>
      </c>
      <c r="AN7036">
        <v>0.99999994360162803</v>
      </c>
    </row>
    <row r="7037" spans="1:40" x14ac:dyDescent="0.25">
      <c r="A7037" t="str">
        <f>"20190303162053478"</f>
        <v>20190303162053478</v>
      </c>
      <c r="B7037" t="str">
        <f>"1551601253469628"</f>
        <v>1551601253469628</v>
      </c>
      <c r="C7037" t="s">
        <v>40</v>
      </c>
      <c r="D7037">
        <v>4.9763409999999997</v>
      </c>
      <c r="E7037">
        <v>0.46962720000000002</v>
      </c>
      <c r="F7037" t="s">
        <v>41</v>
      </c>
      <c r="G7037">
        <v>-421.09390000000002</v>
      </c>
      <c r="H7037" s="1">
        <v>-1.5330049999999999E-6</v>
      </c>
      <c r="I7037">
        <v>112.4841</v>
      </c>
      <c r="J7037">
        <v>-409.16809999999998</v>
      </c>
      <c r="K7037">
        <v>1.126279</v>
      </c>
      <c r="L7037">
        <v>133.8349</v>
      </c>
      <c r="M7037">
        <v>-0.67991330000000005</v>
      </c>
      <c r="N7037">
        <v>-1.448349E-2</v>
      </c>
      <c r="O7037">
        <v>-0.73314979999999996</v>
      </c>
      <c r="P7037">
        <v>-0.54872909999999997</v>
      </c>
      <c r="Q7037">
        <v>9.1089740000000002E-2</v>
      </c>
      <c r="R7037">
        <v>-0.83102310000000001</v>
      </c>
      <c r="S7037">
        <v>-1.485107</v>
      </c>
      <c r="T7037">
        <v>-0.13852639999999999</v>
      </c>
      <c r="U7037">
        <v>-2.6467589999999999</v>
      </c>
      <c r="V7037">
        <v>-0.16398180000000001</v>
      </c>
      <c r="W7037">
        <v>0.10336629999999999</v>
      </c>
      <c r="X7037">
        <v>0.98103280000000004</v>
      </c>
      <c r="Y7037">
        <v>-0.2342013</v>
      </c>
      <c r="Z7037">
        <v>1.7972780000000001E-2</v>
      </c>
      <c r="AA7037">
        <v>0.97202200000000005</v>
      </c>
      <c r="AB7037">
        <v>24</v>
      </c>
      <c r="AC7037">
        <v>-11.925800000000001</v>
      </c>
      <c r="AD7037">
        <v>-1.1262805330050001</v>
      </c>
      <c r="AE7037">
        <v>-21.3508</v>
      </c>
      <c r="AF7037">
        <v>-5.7616788976070801</v>
      </c>
      <c r="AG7037">
        <v>-1.1262805330050001</v>
      </c>
      <c r="AH7037">
        <v>23.714034989609999</v>
      </c>
      <c r="AI7037">
        <v>92.642415818431502</v>
      </c>
      <c r="AJ7037">
        <v>103.656250887982</v>
      </c>
      <c r="AK7037">
        <v>24.429918277526099</v>
      </c>
      <c r="AL7037">
        <v>84.066949667161794</v>
      </c>
      <c r="AM7037">
        <v>99.489387743854294</v>
      </c>
      <c r="AN7037">
        <v>0.99999998869138496</v>
      </c>
    </row>
    <row r="7038" spans="1:40" x14ac:dyDescent="0.25">
      <c r="A7038" t="str">
        <f>"20190303162053500"</f>
        <v>20190303162053500</v>
      </c>
      <c r="B7038" t="str">
        <f>"1551601253490124"</f>
        <v>1551601253490124</v>
      </c>
      <c r="C7038" t="s">
        <v>40</v>
      </c>
      <c r="D7038">
        <v>4.8276279999999998</v>
      </c>
      <c r="E7038">
        <v>0.46995029999999999</v>
      </c>
      <c r="F7038" t="s">
        <v>41</v>
      </c>
      <c r="G7038">
        <v>-421.00839999999999</v>
      </c>
      <c r="H7038" s="1">
        <v>-1.5191819999999999E-6</v>
      </c>
      <c r="I7038">
        <v>112.50490000000001</v>
      </c>
      <c r="J7038">
        <v>-409.32279999999997</v>
      </c>
      <c r="K7038">
        <v>1.1259939999999999</v>
      </c>
      <c r="L7038">
        <v>133.6557</v>
      </c>
      <c r="M7038">
        <v>-0.67461749999999998</v>
      </c>
      <c r="N7038">
        <v>-1.443433E-2</v>
      </c>
      <c r="O7038">
        <v>-0.73802619999999997</v>
      </c>
      <c r="P7038">
        <v>-0.54415740000000001</v>
      </c>
      <c r="Q7038">
        <v>9.0038530000000006E-2</v>
      </c>
      <c r="R7038">
        <v>-0.83413780000000004</v>
      </c>
      <c r="S7038">
        <v>-1.472656</v>
      </c>
      <c r="T7038">
        <v>-0.1400824</v>
      </c>
      <c r="U7038">
        <v>-2.6529389999999999</v>
      </c>
      <c r="V7038">
        <v>-0.1622989</v>
      </c>
      <c r="W7038">
        <v>0.10239819999999999</v>
      </c>
      <c r="X7038">
        <v>0.98141409999999996</v>
      </c>
      <c r="Y7038">
        <v>-0.2316561</v>
      </c>
      <c r="Z7038">
        <v>1.8600120000000001E-2</v>
      </c>
      <c r="AA7038">
        <v>0.97261989999999998</v>
      </c>
      <c r="AB7038">
        <v>24</v>
      </c>
      <c r="AC7038">
        <v>-11.685600000000001</v>
      </c>
      <c r="AD7038">
        <v>-1.1259955191819999</v>
      </c>
      <c r="AE7038">
        <v>-21.150799999999901</v>
      </c>
      <c r="AF7038">
        <v>-5.6327788647356201</v>
      </c>
      <c r="AG7038">
        <v>-1.1259955191819999</v>
      </c>
      <c r="AH7038">
        <v>23.4446986224706</v>
      </c>
      <c r="AI7038">
        <v>92.6737024108253</v>
      </c>
      <c r="AJ7038">
        <v>103.509715376282</v>
      </c>
      <c r="AK7038">
        <v>24.138143200062199</v>
      </c>
      <c r="AL7038">
        <v>84.122713571977997</v>
      </c>
      <c r="AM7038">
        <v>99.390160691080197</v>
      </c>
      <c r="AN7038">
        <v>0.99999997999162904</v>
      </c>
    </row>
    <row r="7039" spans="1:40" x14ac:dyDescent="0.25">
      <c r="A7039" t="str">
        <f>"20190303162053523"</f>
        <v>20190303162053523</v>
      </c>
      <c r="B7039" t="str">
        <f>"1551601253509644"</f>
        <v>1551601253509644</v>
      </c>
      <c r="C7039" t="s">
        <v>40</v>
      </c>
      <c r="D7039">
        <v>5.1060299999999996</v>
      </c>
      <c r="E7039">
        <v>0.47045530000000002</v>
      </c>
      <c r="F7039" t="s">
        <v>41</v>
      </c>
      <c r="G7039">
        <v>-420.9563</v>
      </c>
      <c r="H7039" s="1">
        <v>-1.4824639999999899E-6</v>
      </c>
      <c r="I7039">
        <v>112.4516</v>
      </c>
      <c r="J7039">
        <v>-409.4769</v>
      </c>
      <c r="K7039">
        <v>1.125723</v>
      </c>
      <c r="L7039">
        <v>133.4752</v>
      </c>
      <c r="M7039">
        <v>-0.66953719999999906</v>
      </c>
      <c r="N7039">
        <v>-1.43868E-2</v>
      </c>
      <c r="O7039">
        <v>-0.74263939999999995</v>
      </c>
      <c r="P7039">
        <v>-0.53901209999999999</v>
      </c>
      <c r="Q7039">
        <v>8.9635690000000004E-2</v>
      </c>
      <c r="R7039">
        <v>-0.83751520000000002</v>
      </c>
      <c r="S7039">
        <v>-1.45929</v>
      </c>
      <c r="T7039">
        <v>-0.14124229999999999</v>
      </c>
      <c r="U7039">
        <v>-2.6597900000000001</v>
      </c>
      <c r="V7039">
        <v>-0.16156319999999999</v>
      </c>
      <c r="W7039">
        <v>0.1020614</v>
      </c>
      <c r="X7039">
        <v>0.98157050000000001</v>
      </c>
      <c r="Y7039">
        <v>-0.22979859999999999</v>
      </c>
      <c r="Z7039">
        <v>1.9118940000000001E-2</v>
      </c>
      <c r="AA7039">
        <v>0.97305039999999998</v>
      </c>
      <c r="AB7039">
        <v>24</v>
      </c>
      <c r="AC7039">
        <v>-11.479399999999901</v>
      </c>
      <c r="AD7039">
        <v>-1.125724482464</v>
      </c>
      <c r="AE7039">
        <v>-21.023599999999998</v>
      </c>
      <c r="AF7039">
        <v>-5.5393666821888496</v>
      </c>
      <c r="AG7039">
        <v>-1.125724482464</v>
      </c>
      <c r="AH7039">
        <v>23.2498958919413</v>
      </c>
      <c r="AI7039">
        <v>92.696644799196406</v>
      </c>
      <c r="AJ7039">
        <v>103.40107314981</v>
      </c>
      <c r="AK7039">
        <v>23.9271707027026</v>
      </c>
      <c r="AL7039">
        <v>84.142112082733107</v>
      </c>
      <c r="AM7039">
        <v>99.346884977044297</v>
      </c>
      <c r="AN7039">
        <v>0.99999992171722096</v>
      </c>
    </row>
    <row r="7040" spans="1:40" x14ac:dyDescent="0.25">
      <c r="A7040" t="str">
        <f>"20190303162053545"</f>
        <v>20190303162053545</v>
      </c>
      <c r="B7040" t="str">
        <f>"1551601253539900"</f>
        <v>1551601253539900</v>
      </c>
      <c r="C7040" t="s">
        <v>40</v>
      </c>
      <c r="D7040">
        <v>4.9215770000000001</v>
      </c>
      <c r="E7040">
        <v>0.4761649</v>
      </c>
      <c r="F7040" t="s">
        <v>41</v>
      </c>
      <c r="G7040">
        <v>-421.13929999999999</v>
      </c>
      <c r="H7040" s="1">
        <v>-1.322706E-6</v>
      </c>
      <c r="I7040">
        <v>111.9657</v>
      </c>
      <c r="J7040">
        <v>-409.6311</v>
      </c>
      <c r="K7040">
        <v>1.12548</v>
      </c>
      <c r="L7040">
        <v>133.2927</v>
      </c>
      <c r="M7040">
        <v>-0.66464849999999998</v>
      </c>
      <c r="N7040">
        <v>-1.4341349999999999E-2</v>
      </c>
      <c r="O7040">
        <v>-0.74701870000000004</v>
      </c>
      <c r="P7040">
        <v>-0.53384639999999906</v>
      </c>
      <c r="Q7040">
        <v>8.8004529999999997E-2</v>
      </c>
      <c r="R7040">
        <v>-0.8409896</v>
      </c>
      <c r="S7040">
        <v>-1.44577</v>
      </c>
      <c r="T7040">
        <v>-0.13955399999999901</v>
      </c>
      <c r="U7040">
        <v>-2.6664889999999999</v>
      </c>
      <c r="V7040">
        <v>-0.161199799999999</v>
      </c>
      <c r="W7040">
        <v>0.10048600000000001</v>
      </c>
      <c r="X7040">
        <v>0.98179289999999997</v>
      </c>
      <c r="Y7040">
        <v>-0.22824639999999999</v>
      </c>
      <c r="Z7040">
        <v>1.8998270000000001E-2</v>
      </c>
      <c r="AA7040">
        <v>0.97341800000000001</v>
      </c>
      <c r="AB7040">
        <v>24</v>
      </c>
      <c r="AC7040">
        <v>-11.508199999999899</v>
      </c>
      <c r="AD7040">
        <v>-1.1254813227060001</v>
      </c>
      <c r="AE7040">
        <v>-21.327000000000002</v>
      </c>
      <c r="AF7040">
        <v>-5.5666841829847904</v>
      </c>
      <c r="AG7040">
        <v>-1.1254813227060001</v>
      </c>
      <c r="AH7040">
        <v>23.532241288129502</v>
      </c>
      <c r="AI7040">
        <v>92.6647771405664</v>
      </c>
      <c r="AJ7040">
        <v>103.30898830194801</v>
      </c>
      <c r="AK7040">
        <v>24.2078718817578</v>
      </c>
      <c r="AL7040">
        <v>84.232843122941404</v>
      </c>
      <c r="AM7040">
        <v>99.3241555476678</v>
      </c>
      <c r="AN7040">
        <v>1.00000005510322</v>
      </c>
    </row>
    <row r="7041" spans="1:40" x14ac:dyDescent="0.25">
      <c r="A7041" t="str">
        <f>"20190303162053568"</f>
        <v>20190303162053568</v>
      </c>
      <c r="B7041" t="str">
        <f>"1551601253560396"</f>
        <v>1551601253560396</v>
      </c>
      <c r="C7041" t="s">
        <v>40</v>
      </c>
      <c r="D7041">
        <v>4.9819329999999997</v>
      </c>
      <c r="E7041">
        <v>0.47689049999999999</v>
      </c>
      <c r="F7041" t="s">
        <v>41</v>
      </c>
      <c r="G7041">
        <v>-423.40640000000002</v>
      </c>
      <c r="H7041" s="1">
        <v>-4.873079E-6</v>
      </c>
      <c r="I7041">
        <v>108.4024</v>
      </c>
      <c r="J7041">
        <v>-409.7842</v>
      </c>
      <c r="K7041">
        <v>1.125265</v>
      </c>
      <c r="L7041">
        <v>133.1095</v>
      </c>
      <c r="M7041">
        <v>-0.65998069999999998</v>
      </c>
      <c r="N7041">
        <v>-1.429863E-2</v>
      </c>
      <c r="O7041">
        <v>-0.75114669999999994</v>
      </c>
      <c r="P7041">
        <v>-0.52856499999999995</v>
      </c>
      <c r="Q7041">
        <v>8.5872080000000003E-2</v>
      </c>
      <c r="R7041">
        <v>-0.84453849999999997</v>
      </c>
      <c r="S7041">
        <v>-1.4660949999999999</v>
      </c>
      <c r="T7041">
        <v>-0.119785</v>
      </c>
      <c r="U7041">
        <v>-2.6490629999999999</v>
      </c>
      <c r="V7041">
        <v>-0.16130910000000001</v>
      </c>
      <c r="W7041">
        <v>9.8393079999999994E-2</v>
      </c>
      <c r="X7041">
        <v>0.9819869</v>
      </c>
      <c r="Y7041">
        <v>-0.2137191</v>
      </c>
      <c r="Z7041">
        <v>1.512233E-2</v>
      </c>
      <c r="AA7041">
        <v>0.97677809999999998</v>
      </c>
      <c r="AB7041">
        <v>24</v>
      </c>
      <c r="AC7041">
        <v>-13.622199999999999</v>
      </c>
      <c r="AD7041">
        <v>-1.1252698730790001</v>
      </c>
      <c r="AE7041">
        <v>-24.707100000000001</v>
      </c>
      <c r="AF7041">
        <v>-6.0649108900900499</v>
      </c>
      <c r="AG7041">
        <v>-1.1252698730790001</v>
      </c>
      <c r="AH7041">
        <v>27.5080996162106</v>
      </c>
      <c r="AI7041">
        <v>92.287603933643993</v>
      </c>
      <c r="AJ7041">
        <v>102.433499411754</v>
      </c>
      <c r="AK7041">
        <v>28.1912206349309</v>
      </c>
      <c r="AL7041">
        <v>84.353355889777006</v>
      </c>
      <c r="AM7041">
        <v>99.328555672348699</v>
      </c>
      <c r="AN7041">
        <v>1.0000000478531501</v>
      </c>
    </row>
    <row r="7042" spans="1:40" x14ac:dyDescent="0.25">
      <c r="A7042" t="str">
        <f>"20190303162053590"</f>
        <v>20190303162053590</v>
      </c>
      <c r="B7042" t="str">
        <f>"1551601253579916"</f>
        <v>1551601253579916</v>
      </c>
      <c r="C7042" t="s">
        <v>40</v>
      </c>
      <c r="D7042">
        <v>4.9703039999999996</v>
      </c>
      <c r="E7042">
        <v>0.47805419999999998</v>
      </c>
      <c r="F7042" t="s">
        <v>41</v>
      </c>
      <c r="G7042">
        <v>-423.6841</v>
      </c>
      <c r="H7042" s="1">
        <v>-4.6594569999999999E-6</v>
      </c>
      <c r="I7042">
        <v>107.7178</v>
      </c>
      <c r="J7042">
        <v>-409.93290000000002</v>
      </c>
      <c r="K7042">
        <v>1.1251089999999999</v>
      </c>
      <c r="L7042">
        <v>132.9298</v>
      </c>
      <c r="M7042">
        <v>-0.65555609999999997</v>
      </c>
      <c r="N7042">
        <v>-1.4260470000000001E-2</v>
      </c>
      <c r="O7042">
        <v>-0.75501189999999996</v>
      </c>
      <c r="P7042">
        <v>-0.523285</v>
      </c>
      <c r="Q7042">
        <v>8.4660570000000004E-2</v>
      </c>
      <c r="R7042">
        <v>-0.84794210000000003</v>
      </c>
      <c r="S7042">
        <v>-1.453247</v>
      </c>
      <c r="T7042">
        <v>-0.1176474</v>
      </c>
      <c r="U7042">
        <v>-2.654709</v>
      </c>
      <c r="V7042">
        <v>-0.16169890000000001</v>
      </c>
      <c r="W7042">
        <v>9.7200999999999996E-2</v>
      </c>
      <c r="X7042">
        <v>0.98204150000000001</v>
      </c>
      <c r="Y7042">
        <v>-0.2124886</v>
      </c>
      <c r="Z7042">
        <v>1.4827959999999999E-2</v>
      </c>
      <c r="AA7042">
        <v>0.977051</v>
      </c>
      <c r="AB7042">
        <v>24</v>
      </c>
      <c r="AC7042">
        <v>-13.7511999999999</v>
      </c>
      <c r="AD7042">
        <v>-1.1251136594569999</v>
      </c>
      <c r="AE7042">
        <v>-25.212</v>
      </c>
      <c r="AF7042">
        <v>-6.1367661092866497</v>
      </c>
      <c r="AG7042">
        <v>-1.1251136594569999</v>
      </c>
      <c r="AH7042">
        <v>28.009901868801801</v>
      </c>
      <c r="AI7042">
        <v>92.247003415015598</v>
      </c>
      <c r="AJ7042">
        <v>102.357826641993</v>
      </c>
      <c r="AK7042">
        <v>28.6963478813366</v>
      </c>
      <c r="AL7042">
        <v>84.421985976269198</v>
      </c>
      <c r="AM7042">
        <v>99.350189551821501</v>
      </c>
      <c r="AN7042">
        <v>1.0000000381922201</v>
      </c>
    </row>
    <row r="7043" spans="1:40" x14ac:dyDescent="0.25">
      <c r="A7043" t="str">
        <f>"20190303162053613"</f>
        <v>20190303162053613</v>
      </c>
      <c r="B7043" t="str">
        <f>"1551601253599437"</f>
        <v>1551601253599437</v>
      </c>
      <c r="C7043" t="s">
        <v>40</v>
      </c>
      <c r="D7043">
        <v>5.1017780000000004</v>
      </c>
      <c r="E7043">
        <v>0.47918640000000001</v>
      </c>
      <c r="F7043" t="s">
        <v>41</v>
      </c>
      <c r="G7043">
        <v>-423.48790000000002</v>
      </c>
      <c r="H7043" s="1">
        <v>-4.72381999999999E-6</v>
      </c>
      <c r="I7043">
        <v>107.9761</v>
      </c>
      <c r="J7043">
        <v>-410.08359999999999</v>
      </c>
      <c r="K7043">
        <v>1.1249990000000001</v>
      </c>
      <c r="L7043">
        <v>132.7456</v>
      </c>
      <c r="M7043">
        <v>-0.65115429999999996</v>
      </c>
      <c r="N7043">
        <v>-1.4225730000000001E-2</v>
      </c>
      <c r="O7043">
        <v>-0.75881219999999905</v>
      </c>
      <c r="P7043">
        <v>-0.51681469999999996</v>
      </c>
      <c r="Q7043">
        <v>8.6206089999999999E-2</v>
      </c>
      <c r="R7043">
        <v>-0.85174589999999994</v>
      </c>
      <c r="S7043">
        <v>-1.4442140000000001</v>
      </c>
      <c r="T7043">
        <v>-0.1198746</v>
      </c>
      <c r="U7043">
        <v>-2.6586759999999998</v>
      </c>
      <c r="V7043">
        <v>-0.16334979999999999</v>
      </c>
      <c r="W7043">
        <v>9.8738039999999999E-2</v>
      </c>
      <c r="X7043">
        <v>0.98161480000000001</v>
      </c>
      <c r="Y7043">
        <v>-0.20998530000000001</v>
      </c>
      <c r="Z7043">
        <v>1.553452E-2</v>
      </c>
      <c r="AA7043">
        <v>0.97758109999999998</v>
      </c>
      <c r="AB7043">
        <v>24</v>
      </c>
      <c r="AC7043">
        <v>-13.404299999999999</v>
      </c>
      <c r="AD7043">
        <v>-1.1250037238199999</v>
      </c>
      <c r="AE7043">
        <v>-24.769499999999901</v>
      </c>
      <c r="AF7043">
        <v>-5.9485307565921</v>
      </c>
      <c r="AG7043">
        <v>-1.1250037238199999</v>
      </c>
      <c r="AH7043">
        <v>27.4825972077237</v>
      </c>
      <c r="AI7043">
        <v>92.291105855857793</v>
      </c>
      <c r="AJ7043">
        <v>102.213110539683</v>
      </c>
      <c r="AK7043">
        <v>28.1414960658227</v>
      </c>
      <c r="AL7043">
        <v>84.333494076310402</v>
      </c>
      <c r="AM7043">
        <v>99.447972324328205</v>
      </c>
      <c r="AN7043">
        <v>0.99999998664106005</v>
      </c>
    </row>
    <row r="7044" spans="1:40" x14ac:dyDescent="0.25">
      <c r="A7044" t="str">
        <f>"20190303162053635"</f>
        <v>20190303162053635</v>
      </c>
      <c r="B7044" t="str">
        <f>"1551601253629692"</f>
        <v>1551601253629692</v>
      </c>
      <c r="C7044" t="s">
        <v>40</v>
      </c>
      <c r="D7044">
        <v>5.0451519999999999</v>
      </c>
      <c r="E7044">
        <v>0.48031449999999998</v>
      </c>
      <c r="F7044" t="s">
        <v>41</v>
      </c>
      <c r="G7044">
        <v>-424.00229999999999</v>
      </c>
      <c r="H7044" s="1">
        <v>-4.3774319999999998E-6</v>
      </c>
      <c r="I7044">
        <v>106.8365</v>
      </c>
      <c r="J7044">
        <v>-410.2328</v>
      </c>
      <c r="K7044">
        <v>1.124919</v>
      </c>
      <c r="L7044">
        <v>132.5615</v>
      </c>
      <c r="M7044">
        <v>-0.64685990000000004</v>
      </c>
      <c r="N7044">
        <v>-1.4194770000000001E-2</v>
      </c>
      <c r="O7044">
        <v>-0.76247679999999995</v>
      </c>
      <c r="P7044">
        <v>-0.51056250000000003</v>
      </c>
      <c r="Q7044">
        <v>8.7969389999999995E-2</v>
      </c>
      <c r="R7044">
        <v>-0.8553288</v>
      </c>
      <c r="S7044">
        <v>-1.431732</v>
      </c>
      <c r="T7044">
        <v>-0.1157229</v>
      </c>
      <c r="U7044">
        <v>-2.6651310000000001</v>
      </c>
      <c r="V7044">
        <v>-0.16487589999999999</v>
      </c>
      <c r="W7044">
        <v>0.1004888</v>
      </c>
      <c r="X7044">
        <v>0.98118190000000005</v>
      </c>
      <c r="Y7044">
        <v>-0.2090003</v>
      </c>
      <c r="Z7044">
        <v>1.4746520000000001E-2</v>
      </c>
      <c r="AA7044">
        <v>0.97780440000000002</v>
      </c>
      <c r="AB7044">
        <v>24</v>
      </c>
      <c r="AC7044">
        <v>-13.769499999999899</v>
      </c>
      <c r="AD7044">
        <v>-1.124923377432</v>
      </c>
      <c r="AE7044">
        <v>-25.724999999999898</v>
      </c>
      <c r="AF7044">
        <v>-6.1330492324440602</v>
      </c>
      <c r="AG7044">
        <v>-1.124923377432</v>
      </c>
      <c r="AH7044">
        <v>28.4821907296262</v>
      </c>
      <c r="AI7044">
        <v>92.211131423394207</v>
      </c>
      <c r="AJ7044">
        <v>102.15191098837801</v>
      </c>
      <c r="AK7044">
        <v>29.156730513750698</v>
      </c>
      <c r="AL7044">
        <v>84.232681508263596</v>
      </c>
      <c r="AM7044">
        <v>99.5387563952184</v>
      </c>
      <c r="AN7044">
        <v>0.99999999110692905</v>
      </c>
    </row>
    <row r="7045" spans="1:40" x14ac:dyDescent="0.25">
      <c r="A7045" t="str">
        <f>"20190303162053657"</f>
        <v>20190303162053657</v>
      </c>
      <c r="B7045" t="str">
        <f>"1551601253649212"</f>
        <v>1551601253649212</v>
      </c>
      <c r="C7045" t="s">
        <v>40</v>
      </c>
      <c r="D7045">
        <v>5.0414709999999996</v>
      </c>
      <c r="E7045">
        <v>0.48081309999999999</v>
      </c>
      <c r="F7045" t="s">
        <v>41</v>
      </c>
      <c r="G7045">
        <v>-425.23270000000002</v>
      </c>
      <c r="H7045" s="1">
        <v>-3.638477E-6</v>
      </c>
      <c r="I7045">
        <v>104.3438</v>
      </c>
      <c r="J7045">
        <v>-410.37450000000001</v>
      </c>
      <c r="K7045">
        <v>1.124862</v>
      </c>
      <c r="L7045">
        <v>132.38489999999999</v>
      </c>
      <c r="M7045">
        <v>-0.64281359999999999</v>
      </c>
      <c r="N7045">
        <v>-1.4167920000000001E-2</v>
      </c>
      <c r="O7045">
        <v>-0.76589169999999995</v>
      </c>
      <c r="P7045">
        <v>-0.50493100000000002</v>
      </c>
      <c r="Q7045">
        <v>9.0039739999999993E-2</v>
      </c>
      <c r="R7045">
        <v>-0.85845090000000002</v>
      </c>
      <c r="S7045">
        <v>-1.4197690000000001</v>
      </c>
      <c r="T7045">
        <v>-0.106476399999999</v>
      </c>
      <c r="U7045">
        <v>-2.670868</v>
      </c>
      <c r="V7045">
        <v>-0.16599029999999901</v>
      </c>
      <c r="W7045">
        <v>0.1025467</v>
      </c>
      <c r="X7045">
        <v>0.98078100000000001</v>
      </c>
      <c r="Y7045">
        <v>-0.2080958</v>
      </c>
      <c r="Z7045">
        <v>1.2762239999999999E-2</v>
      </c>
      <c r="AA7045">
        <v>0.97802520000000004</v>
      </c>
      <c r="AB7045">
        <v>24</v>
      </c>
      <c r="AC7045">
        <v>-14.8582</v>
      </c>
      <c r="AD7045">
        <v>-1.1248656384769999</v>
      </c>
      <c r="AE7045">
        <v>-28.041099999999901</v>
      </c>
      <c r="AF7045">
        <v>-6.6377550069852997</v>
      </c>
      <c r="AG7045">
        <v>-1.1248656384769999</v>
      </c>
      <c r="AH7045">
        <v>30.9916717996682</v>
      </c>
      <c r="AI7045">
        <v>92.032622178592504</v>
      </c>
      <c r="AJ7045">
        <v>102.08889295348899</v>
      </c>
      <c r="AK7045">
        <v>31.714489357007398</v>
      </c>
      <c r="AL7045">
        <v>84.114160167175598</v>
      </c>
      <c r="AM7045">
        <v>99.605884347714195</v>
      </c>
      <c r="AN7045">
        <v>0.99999998766798903</v>
      </c>
    </row>
    <row r="7046" spans="1:40" x14ac:dyDescent="0.25">
      <c r="A7046" t="str">
        <f>"20190303162053679"</f>
        <v>20190303162053679</v>
      </c>
      <c r="B7046" t="str">
        <f>"1551601253669708"</f>
        <v>1551601253669708</v>
      </c>
      <c r="C7046" t="s">
        <v>40</v>
      </c>
      <c r="D7046">
        <v>5.0408189999999999</v>
      </c>
      <c r="E7046">
        <v>0.48127629999999999</v>
      </c>
      <c r="F7046" t="s">
        <v>41</v>
      </c>
      <c r="G7046">
        <v>-426.66050000000001</v>
      </c>
      <c r="H7046" s="1">
        <v>-2.6083180000000002E-6</v>
      </c>
      <c r="I7046">
        <v>101.3604</v>
      </c>
      <c r="J7046">
        <v>-410.51780000000002</v>
      </c>
      <c r="K7046">
        <v>1.124814</v>
      </c>
      <c r="L7046">
        <v>132.2046</v>
      </c>
      <c r="M7046">
        <v>-0.63873409999999997</v>
      </c>
      <c r="N7046">
        <v>-1.414321E-2</v>
      </c>
      <c r="O7046">
        <v>-0.76929749999999997</v>
      </c>
      <c r="P7046">
        <v>-0.49884919999999999</v>
      </c>
      <c r="Q7046">
        <v>9.2536419999999994E-2</v>
      </c>
      <c r="R7046">
        <v>-0.86173469999999996</v>
      </c>
      <c r="S7046">
        <v>-1.4057919999999999</v>
      </c>
      <c r="T7046">
        <v>-9.7097279999999994E-2</v>
      </c>
      <c r="U7046">
        <v>-2.6780089999999999</v>
      </c>
      <c r="V7046">
        <v>-0.16755020000000001</v>
      </c>
      <c r="W7046">
        <v>0.1050242</v>
      </c>
      <c r="X7046">
        <v>0.9802535</v>
      </c>
      <c r="Y7046">
        <v>-0.20796329999999999</v>
      </c>
      <c r="Z7046">
        <v>1.070434E-2</v>
      </c>
      <c r="AA7046">
        <v>0.97807809999999995</v>
      </c>
      <c r="AB7046">
        <v>24</v>
      </c>
      <c r="AC7046">
        <v>-16.142699999999898</v>
      </c>
      <c r="AD7046">
        <v>-1.124816608318</v>
      </c>
      <c r="AE7046">
        <v>-30.844200000000001</v>
      </c>
      <c r="AF7046">
        <v>-7.2758367556872603</v>
      </c>
      <c r="AG7046">
        <v>-1.124816608318</v>
      </c>
      <c r="AH7046">
        <v>34.007163488942098</v>
      </c>
      <c r="AI7046">
        <v>91.852522594273196</v>
      </c>
      <c r="AJ7046">
        <v>102.076371914129</v>
      </c>
      <c r="AK7046">
        <v>34.794973508559998</v>
      </c>
      <c r="AL7046">
        <v>83.971439404072996</v>
      </c>
      <c r="AM7046">
        <v>99.699568430957697</v>
      </c>
      <c r="AN7046">
        <v>1.00000003818396</v>
      </c>
    </row>
    <row r="7047" spans="1:40" x14ac:dyDescent="0.25">
      <c r="A7047" t="str">
        <f>"20190303162053701"</f>
        <v>20190303162053701</v>
      </c>
      <c r="B7047" t="str">
        <f>"1551601253689228"</f>
        <v>1551601253689228</v>
      </c>
      <c r="C7047" t="s">
        <v>40</v>
      </c>
      <c r="D7047">
        <v>5.0427910000000002</v>
      </c>
      <c r="E7047">
        <v>0.48657650000000002</v>
      </c>
      <c r="F7047" t="s">
        <v>41</v>
      </c>
      <c r="G7047">
        <v>-428.67599999999999</v>
      </c>
      <c r="H7047" s="1">
        <v>-4.9850199999999901E-6</v>
      </c>
      <c r="I7047">
        <v>97.113129999999998</v>
      </c>
      <c r="J7047">
        <v>-410.66609999999997</v>
      </c>
      <c r="K7047">
        <v>1.124776</v>
      </c>
      <c r="L7047">
        <v>132.01589999999999</v>
      </c>
      <c r="M7047">
        <v>-0.63450810000000002</v>
      </c>
      <c r="N7047">
        <v>-1.412033E-2</v>
      </c>
      <c r="O7047">
        <v>-0.77278729999999995</v>
      </c>
      <c r="P7047">
        <v>-0.49339860000000002</v>
      </c>
      <c r="Q7047">
        <v>9.470895E-2</v>
      </c>
      <c r="R7047">
        <v>-0.86463210000000001</v>
      </c>
      <c r="S7047">
        <v>-1.389893</v>
      </c>
      <c r="T7047">
        <v>-8.6097480000000004E-2</v>
      </c>
      <c r="U7047">
        <v>-2.6860200000000001</v>
      </c>
      <c r="V7047">
        <v>-0.16822110000000001</v>
      </c>
      <c r="W7047">
        <v>0.1071868</v>
      </c>
      <c r="X7047">
        <v>0.97990440000000001</v>
      </c>
      <c r="Y7047">
        <v>-0.2083518</v>
      </c>
      <c r="Z7047">
        <v>8.2369729999999999E-3</v>
      </c>
      <c r="AA7047">
        <v>0.97801919999999998</v>
      </c>
      <c r="AB7047">
        <v>24</v>
      </c>
      <c r="AC7047">
        <v>-18.009899999999998</v>
      </c>
      <c r="AD7047">
        <v>-1.1247809850199999</v>
      </c>
      <c r="AE7047">
        <v>-34.902769999999897</v>
      </c>
      <c r="AF7047">
        <v>-8.2223446224934804</v>
      </c>
      <c r="AG7047">
        <v>-1.1247809850199999</v>
      </c>
      <c r="AH7047">
        <v>38.3722001644676</v>
      </c>
      <c r="AI7047">
        <v>91.641748945028297</v>
      </c>
      <c r="AJ7047">
        <v>102.09437205351</v>
      </c>
      <c r="AK7047">
        <v>39.259366128572204</v>
      </c>
      <c r="AL7047">
        <v>83.846827792373702</v>
      </c>
      <c r="AM7047">
        <v>99.741067717599407</v>
      </c>
      <c r="AN7047">
        <v>0.99999999085940405</v>
      </c>
    </row>
    <row r="7048" spans="1:40" x14ac:dyDescent="0.25">
      <c r="A7048" t="str">
        <f>"20190303162053724"</f>
        <v>20190303162053724</v>
      </c>
      <c r="B7048" t="str">
        <f>"1551601253719484"</f>
        <v>1551601253719484</v>
      </c>
      <c r="C7048" t="s">
        <v>40</v>
      </c>
      <c r="D7048">
        <v>5.0928940000000003</v>
      </c>
      <c r="E7048">
        <v>0.48682900000000001</v>
      </c>
      <c r="F7048" t="s">
        <v>44</v>
      </c>
      <c r="G7048">
        <v>-442.93610000000001</v>
      </c>
      <c r="H7048">
        <v>-0.05</v>
      </c>
      <c r="I7048">
        <v>70.820689999999999</v>
      </c>
      <c r="J7048">
        <v>-410.80799999999999</v>
      </c>
      <c r="K7048">
        <v>1.1247469999999999</v>
      </c>
      <c r="L7048">
        <v>131.83369999999999</v>
      </c>
      <c r="M7048">
        <v>-0.63045649999999998</v>
      </c>
      <c r="N7048">
        <v>-1.4100909999999999E-2</v>
      </c>
      <c r="O7048">
        <v>-0.77609649999999997</v>
      </c>
      <c r="P7048">
        <v>-0.48925079999999999</v>
      </c>
      <c r="Q7048">
        <v>9.6855220000000006E-2</v>
      </c>
      <c r="R7048">
        <v>-0.86674850000000003</v>
      </c>
      <c r="S7048">
        <v>-1.408722</v>
      </c>
      <c r="T7048">
        <v>-5.1283960000000003E-2</v>
      </c>
      <c r="U7048">
        <v>-2.6714319999999998</v>
      </c>
      <c r="V7048">
        <v>-0.1676443</v>
      </c>
      <c r="W7048">
        <v>0.1093346</v>
      </c>
      <c r="X7048">
        <v>0.97976600000000003</v>
      </c>
      <c r="Y7048">
        <v>-0.19563449999999999</v>
      </c>
      <c r="Z7048">
        <v>2.9801650000000002E-4</v>
      </c>
      <c r="AA7048">
        <v>0.98067680000000002</v>
      </c>
      <c r="AB7048">
        <v>24</v>
      </c>
      <c r="AC7048">
        <v>-32.128099999999897</v>
      </c>
      <c r="AD7048">
        <v>-1.174747</v>
      </c>
      <c r="AE7048">
        <v>-61.013010000000001</v>
      </c>
      <c r="AF7048">
        <v>-13.528961541296001</v>
      </c>
      <c r="AG7048">
        <v>-1.174747</v>
      </c>
      <c r="AH7048">
        <v>67.594456419211497</v>
      </c>
      <c r="AI7048">
        <v>90.976303272611503</v>
      </c>
      <c r="AJ7048">
        <v>101.318139888036</v>
      </c>
      <c r="AK7048">
        <v>68.945075019964705</v>
      </c>
      <c r="AL7048">
        <v>83.723040647479905</v>
      </c>
      <c r="AM7048">
        <v>99.709649311087205</v>
      </c>
      <c r="AN7048">
        <v>1.00000004041782</v>
      </c>
    </row>
    <row r="7049" spans="1:40" x14ac:dyDescent="0.25">
      <c r="A7049" t="str">
        <f>"20190303162053746"</f>
        <v>20190303162053746</v>
      </c>
      <c r="B7049" t="str">
        <f>"1551601253739980"</f>
        <v>1551601253739980</v>
      </c>
      <c r="C7049" t="s">
        <v>40</v>
      </c>
      <c r="D7049">
        <v>5.0967070000000003</v>
      </c>
      <c r="E7049">
        <v>0.48616920000000002</v>
      </c>
      <c r="F7049" t="s">
        <v>44</v>
      </c>
      <c r="G7049">
        <v>-442.26949999999999</v>
      </c>
      <c r="H7049">
        <v>-0.05</v>
      </c>
      <c r="I7049">
        <v>71.618969999999905</v>
      </c>
      <c r="J7049">
        <v>-410.95350000000002</v>
      </c>
      <c r="K7049">
        <v>1.1247240000000001</v>
      </c>
      <c r="L7049">
        <v>131.6447</v>
      </c>
      <c r="M7049">
        <v>-0.62628309999999998</v>
      </c>
      <c r="N7049">
        <v>-1.4083429999999999E-2</v>
      </c>
      <c r="O7049">
        <v>-0.77946870000000001</v>
      </c>
      <c r="P7049">
        <v>-0.48513400000000001</v>
      </c>
      <c r="Q7049">
        <v>9.8264760000000007E-2</v>
      </c>
      <c r="R7049">
        <v>-0.86890140000000005</v>
      </c>
      <c r="S7049">
        <v>-1.3989259999999999</v>
      </c>
      <c r="T7049">
        <v>-5.223477E-2</v>
      </c>
      <c r="U7049">
        <v>-2.6774290000000001</v>
      </c>
      <c r="V7049">
        <v>-0.1669379</v>
      </c>
      <c r="W7049">
        <v>0.1107441</v>
      </c>
      <c r="X7049">
        <v>0.9797283</v>
      </c>
      <c r="Y7049">
        <v>-0.19409299999999999</v>
      </c>
      <c r="Z7049">
        <v>5.7361749999999996E-4</v>
      </c>
      <c r="AA7049">
        <v>0.98098300000000005</v>
      </c>
      <c r="AB7049">
        <v>24</v>
      </c>
      <c r="AC7049">
        <v>-31.315999999999899</v>
      </c>
      <c r="AD7049">
        <v>-1.1747239999999901</v>
      </c>
      <c r="AE7049">
        <v>-60.025730000000003</v>
      </c>
      <c r="AF7049">
        <v>-13.180595848986799</v>
      </c>
      <c r="AG7049">
        <v>-1.1747239999999901</v>
      </c>
      <c r="AH7049">
        <v>66.387448391985004</v>
      </c>
      <c r="AI7049">
        <v>90.9943372522347</v>
      </c>
      <c r="AJ7049">
        <v>101.229501919131</v>
      </c>
      <c r="AK7049">
        <v>67.693436811916897</v>
      </c>
      <c r="AL7049">
        <v>83.641788752364207</v>
      </c>
      <c r="AM7049">
        <v>99.669875004189905</v>
      </c>
      <c r="AN7049">
        <v>1.0000000299810501</v>
      </c>
    </row>
    <row r="7050" spans="1:40" x14ac:dyDescent="0.25">
      <c r="A7050" t="str">
        <f>"20190303162053770"</f>
        <v>20190303162053770</v>
      </c>
      <c r="B7050" t="str">
        <f>"1551601253759501"</f>
        <v>1551601253759501</v>
      </c>
      <c r="C7050" t="s">
        <v>40</v>
      </c>
      <c r="D7050">
        <v>5.0331960000000002</v>
      </c>
      <c r="E7050">
        <v>0.48568689999999998</v>
      </c>
      <c r="F7050" t="s">
        <v>44</v>
      </c>
      <c r="G7050">
        <v>-439.32499999999999</v>
      </c>
      <c r="H7050">
        <v>-0.05</v>
      </c>
      <c r="I7050">
        <v>76.542109999999994</v>
      </c>
      <c r="J7050">
        <v>-411.09550000000002</v>
      </c>
      <c r="K7050">
        <v>1.1247020000000001</v>
      </c>
      <c r="L7050">
        <v>131.4581</v>
      </c>
      <c r="M7050">
        <v>-0.62218090000000004</v>
      </c>
      <c r="N7050">
        <v>-1.4068310000000001E-2</v>
      </c>
      <c r="O7050">
        <v>-0.78274730000000003</v>
      </c>
      <c r="P7050">
        <v>-0.48173579999999999</v>
      </c>
      <c r="Q7050">
        <v>9.7722459999999997E-2</v>
      </c>
      <c r="R7050">
        <v>-0.87085089999999998</v>
      </c>
      <c r="S7050">
        <v>-1.383362</v>
      </c>
      <c r="T7050">
        <v>-5.7278160000000002E-2</v>
      </c>
      <c r="U7050">
        <v>-2.6867369999999999</v>
      </c>
      <c r="V7050">
        <v>-0.16564699999999999</v>
      </c>
      <c r="W7050">
        <v>0.11020770000000001</v>
      </c>
      <c r="X7050">
        <v>0.98000779999999998</v>
      </c>
      <c r="Y7050">
        <v>-0.19481619999999999</v>
      </c>
      <c r="Z7050">
        <v>1.801693E-3</v>
      </c>
      <c r="AA7050">
        <v>0.98083810000000005</v>
      </c>
      <c r="AB7050">
        <v>24</v>
      </c>
      <c r="AC7050">
        <v>-28.229499999999899</v>
      </c>
      <c r="AD7050">
        <v>-1.1747019999999999</v>
      </c>
      <c r="AE7050">
        <v>-54.915990000000001</v>
      </c>
      <c r="AF7050">
        <v>-12.067940166885201</v>
      </c>
      <c r="AG7050">
        <v>-1.1747019999999999</v>
      </c>
      <c r="AH7050">
        <v>60.533272636394798</v>
      </c>
      <c r="AI7050">
        <v>91.090285980981704</v>
      </c>
      <c r="AJ7050">
        <v>101.27469371622</v>
      </c>
      <c r="AK7050">
        <v>61.735663928821801</v>
      </c>
      <c r="AL7050">
        <v>83.672711154921501</v>
      </c>
      <c r="AM7050">
        <v>99.593809467372907</v>
      </c>
      <c r="AN7050">
        <v>0.99999997690456399</v>
      </c>
    </row>
    <row r="7051" spans="1:40" x14ac:dyDescent="0.25">
      <c r="A7051" t="str">
        <f>"20190303162053791"</f>
        <v>20190303162053791</v>
      </c>
      <c r="B7051" t="str">
        <f>"1551601253779996"</f>
        <v>1551601253779996</v>
      </c>
      <c r="C7051" t="s">
        <v>40</v>
      </c>
      <c r="D7051">
        <v>5.1460150000000002</v>
      </c>
      <c r="E7051">
        <v>0.48558990000000002</v>
      </c>
      <c r="F7051" t="s">
        <v>41</v>
      </c>
      <c r="G7051">
        <v>-433.5992</v>
      </c>
      <c r="H7051">
        <v>7.9986210000000002E-2</v>
      </c>
      <c r="I7051">
        <v>87.216669999999993</v>
      </c>
      <c r="J7051">
        <v>-411.2355</v>
      </c>
      <c r="K7051">
        <v>1.124695</v>
      </c>
      <c r="L7051">
        <v>131.2724</v>
      </c>
      <c r="M7051">
        <v>-0.61810269999999901</v>
      </c>
      <c r="N7051">
        <v>-1.405519E-2</v>
      </c>
      <c r="O7051">
        <v>-0.78597189999999995</v>
      </c>
      <c r="P7051">
        <v>-0.47795969999999999</v>
      </c>
      <c r="Q7051">
        <v>9.7513530000000001E-2</v>
      </c>
      <c r="R7051">
        <v>-0.87295259999999997</v>
      </c>
      <c r="S7051">
        <v>-1.370331</v>
      </c>
      <c r="T7051">
        <v>-6.3616389999999995E-2</v>
      </c>
      <c r="U7051">
        <v>-2.694016</v>
      </c>
      <c r="V7051">
        <v>-0.16480590000000001</v>
      </c>
      <c r="W7051">
        <v>0.10999680000000001</v>
      </c>
      <c r="X7051">
        <v>0.98017330000000003</v>
      </c>
      <c r="Y7051">
        <v>-0.19455629999999999</v>
      </c>
      <c r="Z7051">
        <v>3.3625489999999998E-3</v>
      </c>
      <c r="AA7051">
        <v>0.98088560000000002</v>
      </c>
      <c r="AB7051">
        <v>24</v>
      </c>
      <c r="AC7051">
        <v>-22.363699999999898</v>
      </c>
      <c r="AD7051">
        <v>-1.0447087900000001</v>
      </c>
      <c r="AE7051">
        <v>-44.055729999999997</v>
      </c>
      <c r="AF7051">
        <v>-9.6503632189782707</v>
      </c>
      <c r="AG7051">
        <v>-1.0447087900000001</v>
      </c>
      <c r="AH7051">
        <v>48.432752796355899</v>
      </c>
      <c r="AI7051">
        <v>91.211879895273498</v>
      </c>
      <c r="AJ7051">
        <v>101.268763586142</v>
      </c>
      <c r="AK7051">
        <v>49.395875031697102</v>
      </c>
      <c r="AL7051">
        <v>83.684868829046493</v>
      </c>
      <c r="AM7051">
        <v>99.544411870374901</v>
      </c>
      <c r="AN7051">
        <v>0.99999998935896905</v>
      </c>
    </row>
    <row r="7052" spans="1:40" x14ac:dyDescent="0.25">
      <c r="A7052" t="str">
        <f>"20190303162053814"</f>
        <v>20190303162053814</v>
      </c>
      <c r="B7052" t="str">
        <f>"1551601253799517"</f>
        <v>1551601253799517</v>
      </c>
      <c r="C7052" t="s">
        <v>40</v>
      </c>
      <c r="D7052">
        <v>5.151713</v>
      </c>
      <c r="E7052">
        <v>0.48579250000000002</v>
      </c>
      <c r="F7052" t="s">
        <v>41</v>
      </c>
      <c r="G7052">
        <v>-431.3057</v>
      </c>
      <c r="H7052">
        <v>7.9986360000000006E-2</v>
      </c>
      <c r="I7052">
        <v>91.370959999999997</v>
      </c>
      <c r="J7052">
        <v>-411.3732</v>
      </c>
      <c r="K7052">
        <v>1.1247049999999901</v>
      </c>
      <c r="L7052">
        <v>131.08760000000001</v>
      </c>
      <c r="M7052">
        <v>-0.61404419999999904</v>
      </c>
      <c r="N7052">
        <v>-1.404388E-2</v>
      </c>
      <c r="O7052">
        <v>-0.78914669999999998</v>
      </c>
      <c r="P7052">
        <v>-0.47313759999999999</v>
      </c>
      <c r="Q7052">
        <v>9.8145949999999996E-2</v>
      </c>
      <c r="R7052">
        <v>-0.87550459999999997</v>
      </c>
      <c r="S7052">
        <v>-1.3584590000000001</v>
      </c>
      <c r="T7052">
        <v>-7.0711490000000002E-2</v>
      </c>
      <c r="U7052">
        <v>-2.700745</v>
      </c>
      <c r="V7052">
        <v>-0.16512270000000001</v>
      </c>
      <c r="W7052">
        <v>0.1106133</v>
      </c>
      <c r="X7052">
        <v>0.98005059999999999</v>
      </c>
      <c r="Y7052">
        <v>-0.19392519999999999</v>
      </c>
      <c r="Z7052">
        <v>5.1224520000000004E-3</v>
      </c>
      <c r="AA7052">
        <v>0.98100290000000001</v>
      </c>
      <c r="AB7052">
        <v>24</v>
      </c>
      <c r="AC7052">
        <v>-19.932500000000001</v>
      </c>
      <c r="AD7052">
        <v>-1.0447186399999999</v>
      </c>
      <c r="AE7052">
        <v>-39.716639999999998</v>
      </c>
      <c r="AF7052">
        <v>-8.6541764670178303</v>
      </c>
      <c r="AG7052">
        <v>-1.0447186399999999</v>
      </c>
      <c r="AH7052">
        <v>43.5619124137339</v>
      </c>
      <c r="AI7052">
        <v>91.347502368274405</v>
      </c>
      <c r="AJ7052">
        <v>101.23630132165</v>
      </c>
      <c r="AK7052">
        <v>44.425515421893202</v>
      </c>
      <c r="AL7052">
        <v>83.649329134414401</v>
      </c>
      <c r="AM7052">
        <v>99.563595321548107</v>
      </c>
      <c r="AN7052">
        <v>0.99999999337626899</v>
      </c>
    </row>
    <row r="7053" spans="1:40" x14ac:dyDescent="0.25">
      <c r="A7053" t="str">
        <f>"20190303162053835"</f>
        <v>20190303162053835</v>
      </c>
      <c r="B7053" t="str">
        <f>"1551601253829773"</f>
        <v>1551601253829773</v>
      </c>
      <c r="C7053" t="s">
        <v>40</v>
      </c>
      <c r="D7053">
        <v>5.1039479999999999</v>
      </c>
      <c r="E7053">
        <v>0.48589159999999998</v>
      </c>
      <c r="F7053" t="s">
        <v>41</v>
      </c>
      <c r="G7053">
        <v>-430.67110000000002</v>
      </c>
      <c r="H7053">
        <v>7.9986070000000006E-2</v>
      </c>
      <c r="I7053">
        <v>92.267229999999998</v>
      </c>
      <c r="J7053">
        <v>-411.5093</v>
      </c>
      <c r="K7053">
        <v>1.1247119999999999</v>
      </c>
      <c r="L7053">
        <v>130.90309999999999</v>
      </c>
      <c r="M7053">
        <v>-0.60998730000000001</v>
      </c>
      <c r="N7053">
        <v>-1.403396E-2</v>
      </c>
      <c r="O7053">
        <v>-0.79228710000000002</v>
      </c>
      <c r="P7053">
        <v>-0.46681640000000002</v>
      </c>
      <c r="Q7053">
        <v>9.8808960000000001E-2</v>
      </c>
      <c r="R7053">
        <v>-0.87881730000000002</v>
      </c>
      <c r="S7053">
        <v>-1.3458859999999999</v>
      </c>
      <c r="T7053">
        <v>-7.2861309999999999E-2</v>
      </c>
      <c r="U7053">
        <v>-2.7074280000000002</v>
      </c>
      <c r="V7053">
        <v>-0.16712050000000001</v>
      </c>
      <c r="W7053">
        <v>0.1112441</v>
      </c>
      <c r="X7053">
        <v>0.97964050000000003</v>
      </c>
      <c r="Y7053">
        <v>-0.1935115</v>
      </c>
      <c r="Z7053">
        <v>5.6987180000000002E-3</v>
      </c>
      <c r="AA7053">
        <v>0.98108139999999999</v>
      </c>
      <c r="AB7053">
        <v>23</v>
      </c>
      <c r="AC7053">
        <v>-19.161799999999999</v>
      </c>
      <c r="AD7053">
        <v>-1.04472593</v>
      </c>
      <c r="AE7053">
        <v>-38.635869999999997</v>
      </c>
      <c r="AF7053">
        <v>-8.3816490785105202</v>
      </c>
      <c r="AG7053">
        <v>-1.04472593</v>
      </c>
      <c r="AH7053">
        <v>42.278505225230099</v>
      </c>
      <c r="AI7053">
        <v>91.3885111591796</v>
      </c>
      <c r="AJ7053">
        <v>101.21340472846001</v>
      </c>
      <c r="AK7053">
        <v>43.1139826230879</v>
      </c>
      <c r="AL7053">
        <v>83.612962622769203</v>
      </c>
      <c r="AM7053">
        <v>99.681103248285694</v>
      </c>
      <c r="AN7053">
        <v>1.0000000102726501</v>
      </c>
    </row>
    <row r="7054" spans="1:40" x14ac:dyDescent="0.25">
      <c r="A7054" t="str">
        <f>"20190303162053858"</f>
        <v>20190303162053858</v>
      </c>
      <c r="B7054" t="str">
        <f>"1551601253849293"</f>
        <v>1551601253849293</v>
      </c>
      <c r="C7054" t="s">
        <v>40</v>
      </c>
      <c r="D7054">
        <v>5.2225409999999997</v>
      </c>
      <c r="E7054">
        <v>0.48543259999999999</v>
      </c>
      <c r="F7054" t="s">
        <v>41</v>
      </c>
      <c r="G7054">
        <v>-429.9708</v>
      </c>
      <c r="H7054">
        <v>6.2980469999999997E-2</v>
      </c>
      <c r="I7054">
        <v>93.131360000000001</v>
      </c>
      <c r="J7054">
        <v>-411.64429999999999</v>
      </c>
      <c r="K7054">
        <v>1.124714</v>
      </c>
      <c r="L7054">
        <v>130.71799999999999</v>
      </c>
      <c r="M7054">
        <v>-0.60590980000000005</v>
      </c>
      <c r="N7054">
        <v>-1.402523E-2</v>
      </c>
      <c r="O7054">
        <v>-0.7954099</v>
      </c>
      <c r="P7054">
        <v>-0.45999590000000001</v>
      </c>
      <c r="Q7054">
        <v>9.8544209999999993E-2</v>
      </c>
      <c r="R7054">
        <v>-0.88243590000000005</v>
      </c>
      <c r="S7054">
        <v>-1.3279110000000001</v>
      </c>
      <c r="T7054">
        <v>-7.6369049999999994E-2</v>
      </c>
      <c r="U7054">
        <v>-2.7168730000000001</v>
      </c>
      <c r="V7054">
        <v>-0.16969529999999999</v>
      </c>
      <c r="W7054">
        <v>0.11094320000000001</v>
      </c>
      <c r="X7054">
        <v>0.97923190000000004</v>
      </c>
      <c r="Y7054">
        <v>-0.1950585</v>
      </c>
      <c r="Z7054">
        <v>6.5843550000000001E-3</v>
      </c>
      <c r="AA7054">
        <v>0.98076949999999996</v>
      </c>
      <c r="AB7054">
        <v>23</v>
      </c>
      <c r="AC7054">
        <v>-18.326499999999999</v>
      </c>
      <c r="AD7054">
        <v>-1.0617335299999999</v>
      </c>
      <c r="AE7054">
        <v>-37.586639999999903</v>
      </c>
      <c r="AF7054">
        <v>-8.1925575960295003</v>
      </c>
      <c r="AG7054">
        <v>-1.0617335299999999</v>
      </c>
      <c r="AH7054">
        <v>40.978600889832002</v>
      </c>
      <c r="AI7054">
        <v>91.455383322634106</v>
      </c>
      <c r="AJ7054">
        <v>101.30568059990701</v>
      </c>
      <c r="AK7054">
        <v>41.803002391468603</v>
      </c>
      <c r="AL7054">
        <v>83.630310247994899</v>
      </c>
      <c r="AM7054">
        <v>99.8313923599068</v>
      </c>
      <c r="AN7054">
        <v>1.0000000012229699</v>
      </c>
    </row>
    <row r="7055" spans="1:40" x14ac:dyDescent="0.25">
      <c r="A7055" t="str">
        <f>"20190303162053880"</f>
        <v>20190303162053880</v>
      </c>
      <c r="B7055" t="str">
        <f>"1551601253869789"</f>
        <v>1551601253869789</v>
      </c>
      <c r="C7055" t="s">
        <v>40</v>
      </c>
      <c r="D7055">
        <v>5.2235909999999999</v>
      </c>
      <c r="E7055">
        <v>0.4849987</v>
      </c>
      <c r="F7055" t="s">
        <v>41</v>
      </c>
      <c r="G7055">
        <v>-429.95780000000002</v>
      </c>
      <c r="H7055">
        <v>3.4466869999999997E-2</v>
      </c>
      <c r="I7055">
        <v>92.398330000000001</v>
      </c>
      <c r="J7055">
        <v>-411.78019999999998</v>
      </c>
      <c r="K7055">
        <v>1.1247149999999999</v>
      </c>
      <c r="L7055">
        <v>130.52969999999999</v>
      </c>
      <c r="M7055">
        <v>-0.60175319999999899</v>
      </c>
      <c r="N7055">
        <v>-1.401723E-2</v>
      </c>
      <c r="O7055">
        <v>-0.79855929999999997</v>
      </c>
      <c r="P7055">
        <v>-0.45310070000000002</v>
      </c>
      <c r="Q7055">
        <v>9.7589780000000001E-2</v>
      </c>
      <c r="R7055">
        <v>-0.88610199999999995</v>
      </c>
      <c r="S7055">
        <v>-1.3040160000000001</v>
      </c>
      <c r="T7055">
        <v>-7.7631350000000002E-2</v>
      </c>
      <c r="U7055">
        <v>-2.728561</v>
      </c>
      <c r="V7055">
        <v>-0.1722842</v>
      </c>
      <c r="W7055">
        <v>0.1099551</v>
      </c>
      <c r="X7055">
        <v>0.97889130000000002</v>
      </c>
      <c r="Y7055">
        <v>-0.19856840000000001</v>
      </c>
      <c r="Z7055">
        <v>6.90714E-3</v>
      </c>
      <c r="AA7055">
        <v>0.98006269999999995</v>
      </c>
      <c r="AB7055">
        <v>23</v>
      </c>
      <c r="AC7055">
        <v>-18.177600000000002</v>
      </c>
      <c r="AD7055">
        <v>-1.09024813</v>
      </c>
      <c r="AE7055">
        <v>-38.131369999999897</v>
      </c>
      <c r="AF7055">
        <v>-8.4249971238940198</v>
      </c>
      <c r="AG7055">
        <v>-1.09024813</v>
      </c>
      <c r="AH7055">
        <v>41.365094397953499</v>
      </c>
      <c r="AI7055">
        <v>91.479419411228207</v>
      </c>
      <c r="AJ7055">
        <v>101.512200925244</v>
      </c>
      <c r="AK7055">
        <v>42.2284294294045</v>
      </c>
      <c r="AL7055">
        <v>83.687273176711798</v>
      </c>
      <c r="AM7055">
        <v>99.981791318141802</v>
      </c>
      <c r="AN7055">
        <v>1.00000007340066</v>
      </c>
    </row>
    <row r="7056" spans="1:40" x14ac:dyDescent="0.25">
      <c r="A7056" t="str">
        <f>"20190303162053902"</f>
        <v>20190303162053902</v>
      </c>
      <c r="B7056" t="str">
        <f>"1551601253889309"</f>
        <v>1551601253889309</v>
      </c>
      <c r="C7056" t="s">
        <v>40</v>
      </c>
      <c r="D7056">
        <v>5.1586800000000004</v>
      </c>
      <c r="E7056">
        <v>0.48466769999999998</v>
      </c>
      <c r="F7056" t="s">
        <v>41</v>
      </c>
      <c r="G7056">
        <v>-429.95780000000002</v>
      </c>
      <c r="H7056">
        <v>6.4145929999999997E-3</v>
      </c>
      <c r="I7056">
        <v>91.595569999999995</v>
      </c>
      <c r="J7056">
        <v>-411.91320000000002</v>
      </c>
      <c r="K7056">
        <v>1.124717</v>
      </c>
      <c r="L7056">
        <v>130.3434</v>
      </c>
      <c r="M7056">
        <v>-0.59763060000000001</v>
      </c>
      <c r="N7056">
        <v>-1.4010160000000001E-2</v>
      </c>
      <c r="O7056">
        <v>-0.8016491</v>
      </c>
      <c r="P7056">
        <v>-0.44704120000000003</v>
      </c>
      <c r="Q7056">
        <v>9.6617110000000006E-2</v>
      </c>
      <c r="R7056">
        <v>-0.88928030000000002</v>
      </c>
      <c r="S7056">
        <v>-1.2793270000000001</v>
      </c>
      <c r="T7056">
        <v>-7.8705189999999994E-2</v>
      </c>
      <c r="U7056">
        <v>-2.7401580000000001</v>
      </c>
      <c r="V7056">
        <v>-0.17398029999999901</v>
      </c>
      <c r="W7056">
        <v>0.10895970000000001</v>
      </c>
      <c r="X7056">
        <v>0.97870250000000003</v>
      </c>
      <c r="Y7056">
        <v>-0.20235600000000001</v>
      </c>
      <c r="Z7056">
        <v>7.1825209999999999E-3</v>
      </c>
      <c r="AA7056">
        <v>0.97928570000000004</v>
      </c>
      <c r="AB7056">
        <v>23</v>
      </c>
      <c r="AC7056">
        <v>-18.044599999999999</v>
      </c>
      <c r="AD7056">
        <v>-1.1183024070000001</v>
      </c>
      <c r="AE7056">
        <v>-38.74783</v>
      </c>
      <c r="AF7056">
        <v>-8.6863592130631595</v>
      </c>
      <c r="AG7056">
        <v>-1.1183024070000001</v>
      </c>
      <c r="AH7056">
        <v>41.821650466536497</v>
      </c>
      <c r="AI7056">
        <v>91.499720638899603</v>
      </c>
      <c r="AJ7056">
        <v>101.73350983373599</v>
      </c>
      <c r="AK7056">
        <v>42.728841365019797</v>
      </c>
      <c r="AL7056">
        <v>83.744649508886198</v>
      </c>
      <c r="AM7056">
        <v>100.079959244299</v>
      </c>
      <c r="AN7056">
        <v>0.999999972259214</v>
      </c>
    </row>
    <row r="7057" spans="1:40" x14ac:dyDescent="0.25">
      <c r="A7057" t="str">
        <f>"20190303162053926"</f>
        <v>20190303162053926</v>
      </c>
      <c r="B7057" t="str">
        <f>"1551601253919565"</f>
        <v>1551601253919565</v>
      </c>
      <c r="C7057" t="s">
        <v>40</v>
      </c>
      <c r="D7057">
        <v>5.2142460000000002</v>
      </c>
      <c r="E7057">
        <v>0.48443599999999998</v>
      </c>
      <c r="F7057" t="s">
        <v>41</v>
      </c>
      <c r="G7057">
        <v>-429.43509999999998</v>
      </c>
      <c r="H7057" s="1">
        <v>-3.3851879999999999E-6</v>
      </c>
      <c r="I7057">
        <v>92.016279999999995</v>
      </c>
      <c r="J7057">
        <v>-412.05329999999998</v>
      </c>
      <c r="K7057">
        <v>1.124714</v>
      </c>
      <c r="L7057">
        <v>130.1448</v>
      </c>
      <c r="M7057">
        <v>-0.59323199999999998</v>
      </c>
      <c r="N7057">
        <v>-1.4003369999999999E-2</v>
      </c>
      <c r="O7057">
        <v>-0.80490969999999995</v>
      </c>
      <c r="P7057">
        <v>-0.44093759999999999</v>
      </c>
      <c r="Q7057">
        <v>9.6283270000000004E-2</v>
      </c>
      <c r="R7057">
        <v>-0.8923584</v>
      </c>
      <c r="S7057">
        <v>-1.2573240000000001</v>
      </c>
      <c r="T7057">
        <v>-8.0706829999999993E-2</v>
      </c>
      <c r="U7057">
        <v>-2.7502439999999999</v>
      </c>
      <c r="V7057">
        <v>-0.17534629999999901</v>
      </c>
      <c r="W7057">
        <v>0.1086066</v>
      </c>
      <c r="X7057">
        <v>0.97849799999999998</v>
      </c>
      <c r="Y7057">
        <v>-0.20483109999999999</v>
      </c>
      <c r="Z7057">
        <v>7.707556E-3</v>
      </c>
      <c r="AA7057">
        <v>0.97876700000000005</v>
      </c>
      <c r="AB7057">
        <v>23</v>
      </c>
      <c r="AC7057">
        <v>-17.381799999999998</v>
      </c>
      <c r="AD7057">
        <v>-1.1247173851879999</v>
      </c>
      <c r="AE7057">
        <v>-38.128520000000002</v>
      </c>
      <c r="AF7057">
        <v>-8.6229130798603997</v>
      </c>
      <c r="AG7057">
        <v>-1.1247173851879999</v>
      </c>
      <c r="AH7057">
        <v>40.975957970402199</v>
      </c>
      <c r="AI7057">
        <v>91.538590837280495</v>
      </c>
      <c r="AJ7057">
        <v>101.88383191475501</v>
      </c>
      <c r="AK7057">
        <v>41.888527674908097</v>
      </c>
      <c r="AL7057">
        <v>83.765001771890695</v>
      </c>
      <c r="AM7057">
        <v>100.15953868610499</v>
      </c>
      <c r="AN7057">
        <v>1.00000002724562</v>
      </c>
    </row>
    <row r="7058" spans="1:40" x14ac:dyDescent="0.25">
      <c r="A7058" t="str">
        <f>"20190303162053947"</f>
        <v>20190303162053947</v>
      </c>
      <c r="B7058" t="str">
        <f>"1551601253940060"</f>
        <v>1551601253940060</v>
      </c>
      <c r="C7058" t="s">
        <v>40</v>
      </c>
      <c r="D7058">
        <v>5.1570289999999996</v>
      </c>
      <c r="E7058">
        <v>0.48423359999999899</v>
      </c>
      <c r="F7058" t="s">
        <v>41</v>
      </c>
      <c r="G7058">
        <v>-429.03809999999999</v>
      </c>
      <c r="H7058" s="1">
        <v>-3.4013040000000001E-6</v>
      </c>
      <c r="I7058">
        <v>92.270560000000003</v>
      </c>
      <c r="J7058">
        <v>-412.17959999999999</v>
      </c>
      <c r="K7058">
        <v>1.1247049999999901</v>
      </c>
      <c r="L7058">
        <v>129.96379999999999</v>
      </c>
      <c r="M7058">
        <v>-0.58922030000000003</v>
      </c>
      <c r="N7058">
        <v>-1.3997610000000001E-2</v>
      </c>
      <c r="O7058">
        <v>-0.80785119999999999</v>
      </c>
      <c r="P7058">
        <v>-0.43535970000000002</v>
      </c>
      <c r="Q7058">
        <v>9.5936709999999994E-2</v>
      </c>
      <c r="R7058">
        <v>-0.89513029999999905</v>
      </c>
      <c r="S7058">
        <v>-1.2373959999999999</v>
      </c>
      <c r="T7058">
        <v>-8.1939339999999999E-2</v>
      </c>
      <c r="U7058">
        <v>-2.7592620000000001</v>
      </c>
      <c r="V7058">
        <v>-0.1766046</v>
      </c>
      <c r="W7058">
        <v>0.1082439</v>
      </c>
      <c r="X7058">
        <v>0.97831179999999995</v>
      </c>
      <c r="Y7058">
        <v>-0.20704059999999999</v>
      </c>
      <c r="Z7058">
        <v>8.0433840000000006E-3</v>
      </c>
      <c r="AA7058">
        <v>0.97829929999999998</v>
      </c>
      <c r="AB7058">
        <v>23</v>
      </c>
      <c r="AC7058">
        <v>-16.8584999999999</v>
      </c>
      <c r="AD7058">
        <v>-1.1247084013039901</v>
      </c>
      <c r="AE7058">
        <v>-37.693239999999903</v>
      </c>
      <c r="AF7058">
        <v>-8.5849348336870399</v>
      </c>
      <c r="AG7058">
        <v>-1.1247084013039901</v>
      </c>
      <c r="AH7058">
        <v>40.357912887252603</v>
      </c>
      <c r="AI7058">
        <v>91.561407635135495</v>
      </c>
      <c r="AJ7058">
        <v>102.008958696937</v>
      </c>
      <c r="AK7058">
        <v>41.276230541338002</v>
      </c>
      <c r="AL7058">
        <v>83.785905723071494</v>
      </c>
      <c r="AM7058">
        <v>100.232815923701</v>
      </c>
      <c r="AN7058">
        <v>0.99999995232380301</v>
      </c>
    </row>
    <row r="7059" spans="1:40" x14ac:dyDescent="0.25">
      <c r="A7059" t="str">
        <f>"20190303162053970"</f>
        <v>20190303162053970</v>
      </c>
      <c r="B7059" t="str">
        <f>"1551601253959581"</f>
        <v>1551601253959581</v>
      </c>
      <c r="C7059" t="s">
        <v>40</v>
      </c>
      <c r="D7059">
        <v>5.1626219999999998</v>
      </c>
      <c r="E7059">
        <v>0.47967290000000001</v>
      </c>
      <c r="F7059" t="s">
        <v>41</v>
      </c>
      <c r="G7059">
        <v>-428.67910000000001</v>
      </c>
      <c r="H7059" s="1">
        <v>-3.4208489999999998E-6</v>
      </c>
      <c r="I7059">
        <v>92.515110000000007</v>
      </c>
      <c r="J7059">
        <v>-412.31130000000002</v>
      </c>
      <c r="K7059">
        <v>1.1246910000000001</v>
      </c>
      <c r="L7059">
        <v>129.77279999999999</v>
      </c>
      <c r="M7059">
        <v>-0.58498470000000002</v>
      </c>
      <c r="N7059">
        <v>-1.399208E-2</v>
      </c>
      <c r="O7059">
        <v>-0.81092369999999903</v>
      </c>
      <c r="P7059">
        <v>-0.430141</v>
      </c>
      <c r="Q7059">
        <v>9.4715740000000007E-2</v>
      </c>
      <c r="R7059">
        <v>-0.8977792</v>
      </c>
      <c r="S7059">
        <v>-1.2192689999999999</v>
      </c>
      <c r="T7059">
        <v>-8.3112599999999995E-2</v>
      </c>
      <c r="U7059">
        <v>-2.7673489999999998</v>
      </c>
      <c r="V7059">
        <v>-0.17724589999999901</v>
      </c>
      <c r="W7059">
        <v>0.1070147</v>
      </c>
      <c r="X7059">
        <v>0.97833110000000001</v>
      </c>
      <c r="Y7059">
        <v>-0.20834240000000001</v>
      </c>
      <c r="Z7059">
        <v>8.3808349999999997E-3</v>
      </c>
      <c r="AA7059">
        <v>0.97802009999999995</v>
      </c>
      <c r="AB7059">
        <v>23</v>
      </c>
      <c r="AC7059">
        <v>-16.3677999999999</v>
      </c>
      <c r="AD7059">
        <v>-1.124694420849</v>
      </c>
      <c r="AE7059">
        <v>-37.257689999999997</v>
      </c>
      <c r="AF7059">
        <v>-8.5164703290798407</v>
      </c>
      <c r="AG7059">
        <v>-1.124694420849</v>
      </c>
      <c r="AH7059">
        <v>39.761578121116202</v>
      </c>
      <c r="AI7059">
        <v>91.584318926859197</v>
      </c>
      <c r="AJ7059">
        <v>102.089428167397</v>
      </c>
      <c r="AK7059">
        <v>40.678966298174501</v>
      </c>
      <c r="AL7059">
        <v>83.856745485721802</v>
      </c>
      <c r="AM7059">
        <v>100.268986530558</v>
      </c>
      <c r="AN7059">
        <v>0.99999999815505503</v>
      </c>
    </row>
    <row r="7060" spans="1:40" x14ac:dyDescent="0.25">
      <c r="A7060" t="str">
        <f>"20190303162053992"</f>
        <v>20190303162053992</v>
      </c>
      <c r="B7060" t="str">
        <f>"1551601253980077"</f>
        <v>1551601253980077</v>
      </c>
      <c r="C7060" t="s">
        <v>40</v>
      </c>
      <c r="D7060">
        <v>5.2766339999999996</v>
      </c>
      <c r="E7060">
        <v>0.4805526</v>
      </c>
      <c r="F7060" t="s">
        <v>41</v>
      </c>
      <c r="G7060">
        <v>-425.452</v>
      </c>
      <c r="H7060" s="1">
        <v>-4.8655390000000003E-6</v>
      </c>
      <c r="I7060">
        <v>98.442549999999997</v>
      </c>
      <c r="J7060">
        <v>-412.44069999999999</v>
      </c>
      <c r="K7060">
        <v>1.124681</v>
      </c>
      <c r="L7060">
        <v>129.58320000000001</v>
      </c>
      <c r="M7060">
        <v>-0.58077840000000003</v>
      </c>
      <c r="N7060">
        <v>-1.398688E-2</v>
      </c>
      <c r="O7060">
        <v>-0.81394169999999999</v>
      </c>
      <c r="P7060">
        <v>-0.42458439999999997</v>
      </c>
      <c r="Q7060">
        <v>9.3632590000000002E-2</v>
      </c>
      <c r="R7060">
        <v>-0.90053399999999995</v>
      </c>
      <c r="S7060">
        <v>-1.170715</v>
      </c>
      <c r="T7060">
        <v>-0.1002002</v>
      </c>
      <c r="U7060">
        <v>-2.791245</v>
      </c>
      <c r="V7060">
        <v>-0.17828379999999999</v>
      </c>
      <c r="W7060">
        <v>0.105919899999999</v>
      </c>
      <c r="X7060">
        <v>0.97826159999999995</v>
      </c>
      <c r="Y7060">
        <v>-0.2207374</v>
      </c>
      <c r="Z7060">
        <v>1.249631E-2</v>
      </c>
      <c r="AA7060">
        <v>0.97525320000000004</v>
      </c>
      <c r="AB7060">
        <v>23</v>
      </c>
      <c r="AC7060">
        <v>-13.0113</v>
      </c>
      <c r="AD7060">
        <v>-1.124685865539</v>
      </c>
      <c r="AE7060">
        <v>-31.140650000000001</v>
      </c>
      <c r="AF7060">
        <v>-7.4877941594488</v>
      </c>
      <c r="AG7060">
        <v>-1.124685865539</v>
      </c>
      <c r="AH7060">
        <v>32.870067235405799</v>
      </c>
      <c r="AI7060">
        <v>91.910761598810097</v>
      </c>
      <c r="AJ7060">
        <v>102.832977615857</v>
      </c>
      <c r="AK7060">
        <v>33.7308953295123</v>
      </c>
      <c r="AL7060">
        <v>83.919831172121704</v>
      </c>
      <c r="AM7060">
        <v>100.32854619040999</v>
      </c>
      <c r="AN7060">
        <v>0.99999994829650296</v>
      </c>
    </row>
    <row r="7061" spans="1:40" x14ac:dyDescent="0.25">
      <c r="A7061" t="str">
        <f>"20190303162054014"</f>
        <v>20190303162054014</v>
      </c>
      <c r="B7061" t="str">
        <f>"1551601254009356"</f>
        <v>1551601254009356</v>
      </c>
      <c r="C7061" t="s">
        <v>40</v>
      </c>
      <c r="D7061">
        <v>5.2159870000000002</v>
      </c>
      <c r="E7061">
        <v>0.48116690000000001</v>
      </c>
      <c r="F7061" t="s">
        <v>41</v>
      </c>
      <c r="G7061">
        <v>-425.57420000000002</v>
      </c>
      <c r="H7061" s="1">
        <v>-4.709116E-6</v>
      </c>
      <c r="I7061">
        <v>97.919160000000005</v>
      </c>
      <c r="J7061">
        <v>-412.56729999999999</v>
      </c>
      <c r="K7061">
        <v>1.124674</v>
      </c>
      <c r="L7061">
        <v>129.39570000000001</v>
      </c>
      <c r="M7061">
        <v>-0.57661960000000001</v>
      </c>
      <c r="N7061">
        <v>-1.3982120000000001E-2</v>
      </c>
      <c r="O7061">
        <v>-0.81689330000000004</v>
      </c>
      <c r="P7061">
        <v>-0.4195236</v>
      </c>
      <c r="Q7061">
        <v>9.3132850000000003E-2</v>
      </c>
      <c r="R7061">
        <v>-0.90295449999999999</v>
      </c>
      <c r="S7061">
        <v>-1.159332</v>
      </c>
      <c r="T7061">
        <v>-9.927917E-2</v>
      </c>
      <c r="U7061">
        <v>-2.7950740000000001</v>
      </c>
      <c r="V7061">
        <v>-0.17880940000000001</v>
      </c>
      <c r="W7061">
        <v>0.10541399999999999</v>
      </c>
      <c r="X7061">
        <v>0.97822030000000004</v>
      </c>
      <c r="Y7061">
        <v>-0.2196236</v>
      </c>
      <c r="Z7061">
        <v>1.237253E-2</v>
      </c>
      <c r="AA7061">
        <v>0.97550619999999999</v>
      </c>
      <c r="AB7061">
        <v>23</v>
      </c>
      <c r="AC7061">
        <v>-13.0069</v>
      </c>
      <c r="AD7061">
        <v>-1.124678709116</v>
      </c>
      <c r="AE7061">
        <v>-31.47654</v>
      </c>
      <c r="AF7061">
        <v>-7.5172774362364896</v>
      </c>
      <c r="AG7061">
        <v>-1.124678709116</v>
      </c>
      <c r="AH7061">
        <v>33.180067594363997</v>
      </c>
      <c r="AI7061">
        <v>91.893417086127997</v>
      </c>
      <c r="AJ7061">
        <v>102.765431706599</v>
      </c>
      <c r="AK7061">
        <v>34.039554165979503</v>
      </c>
      <c r="AL7061">
        <v>83.948980211909699</v>
      </c>
      <c r="AM7061">
        <v>100.35876550410801</v>
      </c>
      <c r="AN7061">
        <v>0.99999993412822297</v>
      </c>
    </row>
    <row r="7062" spans="1:40" x14ac:dyDescent="0.25">
      <c r="A7062" t="str">
        <f>"20190303162054036"</f>
        <v>20190303162054036</v>
      </c>
      <c r="B7062" t="str">
        <f>"1551601254029853"</f>
        <v>1551601254029853</v>
      </c>
      <c r="C7062" t="s">
        <v>40</v>
      </c>
      <c r="D7062">
        <v>5.2135160000000003</v>
      </c>
      <c r="E7062">
        <v>0.48169339999999999</v>
      </c>
      <c r="F7062" t="s">
        <v>41</v>
      </c>
      <c r="G7062">
        <v>-425.63040000000001</v>
      </c>
      <c r="H7062" s="1">
        <v>-4.5928159999999999E-6</v>
      </c>
      <c r="I7062">
        <v>97.548150000000007</v>
      </c>
      <c r="J7062">
        <v>-412.69310000000002</v>
      </c>
      <c r="K7062">
        <v>1.124668</v>
      </c>
      <c r="L7062">
        <v>129.2072</v>
      </c>
      <c r="M7062">
        <v>-0.57243699999999997</v>
      </c>
      <c r="N7062">
        <v>-1.397757E-2</v>
      </c>
      <c r="O7062">
        <v>-0.81982980000000005</v>
      </c>
      <c r="P7062">
        <v>-0.41458810000000001</v>
      </c>
      <c r="Q7062">
        <v>9.2695120000000006E-2</v>
      </c>
      <c r="R7062">
        <v>-0.90527639999999998</v>
      </c>
      <c r="S7062">
        <v>-1.1481629999999901</v>
      </c>
      <c r="T7062">
        <v>-9.8851919999999996E-2</v>
      </c>
      <c r="U7062">
        <v>-2.799194</v>
      </c>
      <c r="V7062">
        <v>-0.17917049999999901</v>
      </c>
      <c r="W7062">
        <v>0.104972</v>
      </c>
      <c r="X7062">
        <v>0.97820180000000001</v>
      </c>
      <c r="Y7062">
        <v>-0.21847349999999999</v>
      </c>
      <c r="Z7062">
        <v>1.2366479999999999E-2</v>
      </c>
      <c r="AA7062">
        <v>0.97576450000000003</v>
      </c>
      <c r="AB7062">
        <v>23</v>
      </c>
      <c r="AC7062">
        <v>-12.937299999999899</v>
      </c>
      <c r="AD7062">
        <v>-1.124672592816</v>
      </c>
      <c r="AE7062">
        <v>-31.659049999999901</v>
      </c>
      <c r="AF7062">
        <v>-7.5090400887006901</v>
      </c>
      <c r="AG7062">
        <v>-1.124672592816</v>
      </c>
      <c r="AH7062">
        <v>33.328033484223397</v>
      </c>
      <c r="AI7062">
        <v>91.8855141755147</v>
      </c>
      <c r="AJ7062">
        <v>102.697126007817</v>
      </c>
      <c r="AK7062">
        <v>34.181989225617897</v>
      </c>
      <c r="AL7062">
        <v>83.974446486649995</v>
      </c>
      <c r="AM7062">
        <v>100.379422516709</v>
      </c>
      <c r="AN7062">
        <v>0.99999997518874395</v>
      </c>
    </row>
    <row r="7063" spans="1:40" x14ac:dyDescent="0.25">
      <c r="A7063" t="str">
        <f>"20190303162054059"</f>
        <v>20190303162054059</v>
      </c>
      <c r="B7063" t="str">
        <f>"1551601254049373"</f>
        <v>1551601254049373</v>
      </c>
      <c r="C7063" t="s">
        <v>40</v>
      </c>
      <c r="D7063">
        <v>5.2077159999999996</v>
      </c>
      <c r="E7063">
        <v>0.48233039999999999</v>
      </c>
      <c r="F7063" t="s">
        <v>41</v>
      </c>
      <c r="G7063">
        <v>-425.75310000000002</v>
      </c>
      <c r="H7063" s="1">
        <v>-4.4230459999999998E-6</v>
      </c>
      <c r="I7063">
        <v>96.985309999999998</v>
      </c>
      <c r="J7063">
        <v>-412.81990000000002</v>
      </c>
      <c r="K7063">
        <v>1.124655</v>
      </c>
      <c r="L7063">
        <v>129.01519999999999</v>
      </c>
      <c r="M7063">
        <v>-0.56817399999999996</v>
      </c>
      <c r="N7063">
        <v>-1.39731E-2</v>
      </c>
      <c r="O7063">
        <v>-0.82278999999999902</v>
      </c>
      <c r="P7063">
        <v>-0.41040710000000002</v>
      </c>
      <c r="Q7063">
        <v>9.1904150000000004E-2</v>
      </c>
      <c r="R7063">
        <v>-0.90725940000000005</v>
      </c>
      <c r="S7063">
        <v>-1.1363219999999901</v>
      </c>
      <c r="T7063">
        <v>-9.7855209999999998E-2</v>
      </c>
      <c r="U7063">
        <v>-2.8035580000000002</v>
      </c>
      <c r="V7063">
        <v>-0.1786432</v>
      </c>
      <c r="W7063">
        <v>0.10418669999999999</v>
      </c>
      <c r="X7063">
        <v>0.97838219999999998</v>
      </c>
      <c r="Y7063">
        <v>-0.21747620000000001</v>
      </c>
      <c r="Z7063">
        <v>1.22147E-2</v>
      </c>
      <c r="AA7063">
        <v>0.9759892</v>
      </c>
      <c r="AB7063">
        <v>23</v>
      </c>
      <c r="AC7063">
        <v>-12.933199999999999</v>
      </c>
      <c r="AD7063">
        <v>-1.1246594230460001</v>
      </c>
      <c r="AE7063">
        <v>-32.029889999999902</v>
      </c>
      <c r="AF7063">
        <v>-7.5499762140379501</v>
      </c>
      <c r="AG7063">
        <v>-1.1246594230460001</v>
      </c>
      <c r="AH7063">
        <v>33.669773893385099</v>
      </c>
      <c r="AI7063">
        <v>91.866795838810305</v>
      </c>
      <c r="AJ7063">
        <v>102.638713269435</v>
      </c>
      <c r="AK7063">
        <v>34.524204171596203</v>
      </c>
      <c r="AL7063">
        <v>84.019689070449004</v>
      </c>
      <c r="AM7063">
        <v>100.34766980419001</v>
      </c>
      <c r="AN7063">
        <v>0.99999999531998396</v>
      </c>
    </row>
    <row r="7064" spans="1:40" x14ac:dyDescent="0.25">
      <c r="A7064" t="str">
        <f>"20190303162054082"</f>
        <v>20190303162054082</v>
      </c>
      <c r="B7064" t="str">
        <f>"1551601254069869"</f>
        <v>1551601254069869</v>
      </c>
      <c r="C7064" t="s">
        <v>40</v>
      </c>
      <c r="D7064">
        <v>5.2058679999999997</v>
      </c>
      <c r="E7064">
        <v>0.48289690000000002</v>
      </c>
      <c r="F7064" t="s">
        <v>41</v>
      </c>
      <c r="G7064">
        <v>-425.75839999999999</v>
      </c>
      <c r="H7064" s="1">
        <v>-4.3614789999999997E-6</v>
      </c>
      <c r="I7064">
        <v>96.801630000000003</v>
      </c>
      <c r="J7064">
        <v>-412.9511</v>
      </c>
      <c r="K7064">
        <v>1.124641</v>
      </c>
      <c r="L7064">
        <v>128.8141</v>
      </c>
      <c r="M7064">
        <v>-0.56371210000000005</v>
      </c>
      <c r="N7064">
        <v>-1.396874E-2</v>
      </c>
      <c r="O7064">
        <v>-0.82585319999999995</v>
      </c>
      <c r="P7064">
        <v>-0.40556930000000002</v>
      </c>
      <c r="Q7064">
        <v>9.0220229999999998E-2</v>
      </c>
      <c r="R7064">
        <v>-0.90960110000000005</v>
      </c>
      <c r="S7064">
        <v>-1.127289</v>
      </c>
      <c r="T7064">
        <v>-9.7987770000000002E-2</v>
      </c>
      <c r="U7064">
        <v>-2.8066559999999998</v>
      </c>
      <c r="V7064">
        <v>-0.178637299999999</v>
      </c>
      <c r="W7064">
        <v>0.102505399999999</v>
      </c>
      <c r="X7064">
        <v>0.97856089999999996</v>
      </c>
      <c r="Y7064">
        <v>-0.21527089999999999</v>
      </c>
      <c r="Z7064">
        <v>1.2364999999999999E-2</v>
      </c>
      <c r="AA7064">
        <v>0.97647609999999996</v>
      </c>
      <c r="AB7064">
        <v>23</v>
      </c>
      <c r="AC7064">
        <v>-12.8072999999999</v>
      </c>
      <c r="AD7064">
        <v>-1.124645361479</v>
      </c>
      <c r="AE7064">
        <v>-32.012469999999901</v>
      </c>
      <c r="AF7064">
        <v>-7.4616572379529797</v>
      </c>
      <c r="AG7064">
        <v>-1.124645361479</v>
      </c>
      <c r="AH7064">
        <v>33.624741144295498</v>
      </c>
      <c r="AI7064">
        <v>91.870194478181105</v>
      </c>
      <c r="AJ7064">
        <v>102.511744674176</v>
      </c>
      <c r="AK7064">
        <v>34.461055888447</v>
      </c>
      <c r="AL7064">
        <v>84.116539318777896</v>
      </c>
      <c r="AM7064">
        <v>100.34548666446</v>
      </c>
      <c r="AN7064">
        <v>1.0000000384946199</v>
      </c>
    </row>
    <row r="7065" spans="1:40" x14ac:dyDescent="0.25">
      <c r="A7065" t="str">
        <f>"20190303162054105"</f>
        <v>20190303162054105</v>
      </c>
      <c r="B7065" t="str">
        <f>"1551601254089389"</f>
        <v>1551601254089389</v>
      </c>
      <c r="C7065" t="s">
        <v>40</v>
      </c>
      <c r="D7065">
        <v>5.1428770000000004</v>
      </c>
      <c r="E7065">
        <v>0.48887459999999999</v>
      </c>
      <c r="F7065" t="s">
        <v>41</v>
      </c>
      <c r="G7065">
        <v>-425.17770000000002</v>
      </c>
      <c r="H7065" s="1">
        <v>-4.6753360000000001E-6</v>
      </c>
      <c r="I7065">
        <v>98.026610000000005</v>
      </c>
      <c r="J7065">
        <v>-413.07119999999998</v>
      </c>
      <c r="K7065">
        <v>1.124627</v>
      </c>
      <c r="L7065">
        <v>128.62809999999999</v>
      </c>
      <c r="M7065">
        <v>-0.55957990000000002</v>
      </c>
      <c r="N7065">
        <v>-1.396478E-2</v>
      </c>
      <c r="O7065">
        <v>-0.82865889999999998</v>
      </c>
      <c r="P7065">
        <v>-0.4020088</v>
      </c>
      <c r="Q7065">
        <v>8.8956110000000005E-2</v>
      </c>
      <c r="R7065">
        <v>-0.91130469999999997</v>
      </c>
      <c r="S7065">
        <v>-1.1161799999999999</v>
      </c>
      <c r="T7065">
        <v>-0.1026706</v>
      </c>
      <c r="U7065">
        <v>-2.810638</v>
      </c>
      <c r="V7065">
        <v>-0.17763219999999999</v>
      </c>
      <c r="W7065">
        <v>0.1012531</v>
      </c>
      <c r="X7065">
        <v>0.97887409999999997</v>
      </c>
      <c r="Y7065">
        <v>-0.21420539999999999</v>
      </c>
      <c r="Z7065">
        <v>1.36469E-2</v>
      </c>
      <c r="AA7065">
        <v>0.97669329999999999</v>
      </c>
      <c r="AB7065">
        <v>23</v>
      </c>
      <c r="AC7065">
        <v>-12.1065</v>
      </c>
      <c r="AD7065">
        <v>-1.1246316753359999</v>
      </c>
      <c r="AE7065">
        <v>-30.601489999999998</v>
      </c>
      <c r="AF7065">
        <v>-7.08423717204301</v>
      </c>
      <c r="AG7065">
        <v>-1.1246316753359999</v>
      </c>
      <c r="AH7065">
        <v>32.098394784065299</v>
      </c>
      <c r="AI7065">
        <v>91.959532720639999</v>
      </c>
      <c r="AJ7065">
        <v>102.44587509163399</v>
      </c>
      <c r="AK7065">
        <v>32.890092131653198</v>
      </c>
      <c r="AL7065">
        <v>84.188665579468406</v>
      </c>
      <c r="AM7065">
        <v>100.285302952265</v>
      </c>
      <c r="AN7065">
        <v>0.99999994619362798</v>
      </c>
    </row>
    <row r="7066" spans="1:40" x14ac:dyDescent="0.25">
      <c r="A7066" t="str">
        <f>"20190303162054127"</f>
        <v>20190303162054127</v>
      </c>
      <c r="B7066" t="str">
        <f>"1551601254119645"</f>
        <v>1551601254119645</v>
      </c>
      <c r="C7066" t="s">
        <v>40</v>
      </c>
      <c r="D7066">
        <v>5.1007939999999996</v>
      </c>
      <c r="E7066">
        <v>0.48782510000000001</v>
      </c>
      <c r="F7066" t="s">
        <v>41</v>
      </c>
      <c r="G7066">
        <v>-426.61079999999998</v>
      </c>
      <c r="H7066" s="1">
        <v>-4.1288899999999997E-6</v>
      </c>
      <c r="I7066">
        <v>95.673829999999995</v>
      </c>
      <c r="J7066">
        <v>-413.19450000000001</v>
      </c>
      <c r="K7066">
        <v>1.1246149999999999</v>
      </c>
      <c r="L7066">
        <v>128.4348</v>
      </c>
      <c r="M7066">
        <v>-0.55528820000000001</v>
      </c>
      <c r="N7066">
        <v>-1.396086E-2</v>
      </c>
      <c r="O7066">
        <v>-0.83154099999999997</v>
      </c>
      <c r="P7066">
        <v>-0.39877030000000002</v>
      </c>
      <c r="Q7066">
        <v>8.8829630000000007E-2</v>
      </c>
      <c r="R7066">
        <v>-0.91273870000000001</v>
      </c>
      <c r="S7066">
        <v>-1.1482540000000001</v>
      </c>
      <c r="T7066">
        <v>-9.5376730000000007E-2</v>
      </c>
      <c r="U7066">
        <v>-2.7947540000000002</v>
      </c>
      <c r="V7066">
        <v>-0.17604879999999901</v>
      </c>
      <c r="W7066">
        <v>0.101143</v>
      </c>
      <c r="X7066">
        <v>0.97917160000000003</v>
      </c>
      <c r="Y7066">
        <v>-0.19759560000000001</v>
      </c>
      <c r="Z7066">
        <v>1.2110249999999999E-2</v>
      </c>
      <c r="AA7066">
        <v>0.98020879999999999</v>
      </c>
      <c r="AB7066">
        <v>23</v>
      </c>
      <c r="AC7066">
        <v>-13.4162999999999</v>
      </c>
      <c r="AD7066">
        <v>-1.12461912888999</v>
      </c>
      <c r="AE7066">
        <v>-32.760969999999901</v>
      </c>
      <c r="AF7066">
        <v>-7.0291675251194699</v>
      </c>
      <c r="AG7066">
        <v>-1.12461912888999</v>
      </c>
      <c r="AH7066">
        <v>34.660400351253102</v>
      </c>
      <c r="AI7066">
        <v>91.821361186621502</v>
      </c>
      <c r="AJ7066">
        <v>101.46416781761801</v>
      </c>
      <c r="AK7066">
        <v>35.383856725778301</v>
      </c>
      <c r="AL7066">
        <v>84.195007026931705</v>
      </c>
      <c r="AM7066">
        <v>100.192519331472</v>
      </c>
      <c r="AN7066">
        <v>1.0000000543384899</v>
      </c>
    </row>
    <row r="7067" spans="1:40" x14ac:dyDescent="0.25">
      <c r="A7067" t="str">
        <f>"20190303162054148"</f>
        <v>20190303162054148</v>
      </c>
      <c r="B7067" t="str">
        <f>"1551601254140141"</f>
        <v>1551601254140141</v>
      </c>
      <c r="C7067" t="s">
        <v>40</v>
      </c>
      <c r="D7067">
        <v>5.1478440000000001</v>
      </c>
      <c r="E7067">
        <v>0.48864279999999999</v>
      </c>
      <c r="F7067" t="s">
        <v>41</v>
      </c>
      <c r="G7067">
        <v>-427.40809999999999</v>
      </c>
      <c r="H7067" s="1">
        <v>-3.4281089999999999E-6</v>
      </c>
      <c r="I7067">
        <v>93.198980000000006</v>
      </c>
      <c r="J7067">
        <v>-413.31229999999999</v>
      </c>
      <c r="K7067">
        <v>1.1246100000000001</v>
      </c>
      <c r="L7067">
        <v>128.24780000000001</v>
      </c>
      <c r="M7067">
        <v>-0.55113409999999996</v>
      </c>
      <c r="N7067">
        <v>-1.3957229999999999E-2</v>
      </c>
      <c r="O7067">
        <v>-0.83430009999999999</v>
      </c>
      <c r="P7067">
        <v>-0.39513789999999999</v>
      </c>
      <c r="Q7067">
        <v>8.8357619999999998E-2</v>
      </c>
      <c r="R7067">
        <v>-0.91436249999999997</v>
      </c>
      <c r="S7067">
        <v>-1.130188</v>
      </c>
      <c r="T7067">
        <v>-8.9423420000000003E-2</v>
      </c>
      <c r="U7067">
        <v>-2.801758</v>
      </c>
      <c r="V7067">
        <v>-0.17507639999999999</v>
      </c>
      <c r="W7067">
        <v>0.1006819</v>
      </c>
      <c r="X7067">
        <v>0.97939339999999997</v>
      </c>
      <c r="Y7067">
        <v>-0.1989871</v>
      </c>
      <c r="Z7067">
        <v>1.063193E-2</v>
      </c>
      <c r="AA7067">
        <v>0.9799445</v>
      </c>
      <c r="AB7067">
        <v>23</v>
      </c>
      <c r="AC7067">
        <v>-14.095799999999899</v>
      </c>
      <c r="AD7067">
        <v>-1.1246134281089999</v>
      </c>
      <c r="AE7067">
        <v>-35.048819999999999</v>
      </c>
      <c r="AF7067">
        <v>-7.5505161407134196</v>
      </c>
      <c r="AG7067">
        <v>-1.1246134281089999</v>
      </c>
      <c r="AH7067">
        <v>36.980737079680402</v>
      </c>
      <c r="AI7067">
        <v>91.706684357723105</v>
      </c>
      <c r="AJ7067">
        <v>101.539717766519</v>
      </c>
      <c r="AK7067">
        <v>37.760428550405898</v>
      </c>
      <c r="AL7067">
        <v>84.2215614138522</v>
      </c>
      <c r="AM7067">
        <v>100.135143811308</v>
      </c>
      <c r="AN7067">
        <v>1.0000000113940599</v>
      </c>
    </row>
    <row r="7068" spans="1:40" x14ac:dyDescent="0.25">
      <c r="A7068" t="str">
        <f>"20190303162054171"</f>
        <v>20190303162054171</v>
      </c>
      <c r="B7068" t="str">
        <f>"1551601254159661"</f>
        <v>1551601254159661</v>
      </c>
      <c r="C7068" t="s">
        <v>40</v>
      </c>
      <c r="D7068">
        <v>5.1483040000000004</v>
      </c>
      <c r="E7068">
        <v>0.48922349999999998</v>
      </c>
      <c r="F7068" t="s">
        <v>41</v>
      </c>
      <c r="G7068">
        <v>-426.45339999999999</v>
      </c>
      <c r="H7068" s="1">
        <v>-4.0447079999999998E-6</v>
      </c>
      <c r="I7068">
        <v>95.508510000000001</v>
      </c>
      <c r="J7068">
        <v>-413.43720000000002</v>
      </c>
      <c r="K7068">
        <v>1.124598</v>
      </c>
      <c r="L7068">
        <v>128.04750000000001</v>
      </c>
      <c r="M7068">
        <v>-0.54668339999999904</v>
      </c>
      <c r="N7068">
        <v>-1.395353E-2</v>
      </c>
      <c r="O7068">
        <v>-0.83722319999999995</v>
      </c>
      <c r="P7068">
        <v>-0.39057330000000001</v>
      </c>
      <c r="Q7068">
        <v>8.7886480000000003E-2</v>
      </c>
      <c r="R7068">
        <v>-0.91636709999999999</v>
      </c>
      <c r="S7068">
        <v>-1.1254580000000001</v>
      </c>
      <c r="T7068">
        <v>-9.6316929999999995E-2</v>
      </c>
      <c r="U7068">
        <v>-2.8039399999999999</v>
      </c>
      <c r="V7068">
        <v>-0.17476340000000001</v>
      </c>
      <c r="W7068">
        <v>0.1002146</v>
      </c>
      <c r="X7068">
        <v>0.97949719999999996</v>
      </c>
      <c r="Y7068">
        <v>-0.19546179999999999</v>
      </c>
      <c r="Z7068">
        <v>1.252725E-2</v>
      </c>
      <c r="AA7068">
        <v>0.98063129999999998</v>
      </c>
      <c r="AB7068">
        <v>23</v>
      </c>
      <c r="AC7068">
        <v>-13.0161999999999</v>
      </c>
      <c r="AD7068">
        <v>-1.1246020447080001</v>
      </c>
      <c r="AE7068">
        <v>-32.538989999999998</v>
      </c>
      <c r="AF7068">
        <v>-6.8846422103987699</v>
      </c>
      <c r="AG7068">
        <v>-1.1246020447080001</v>
      </c>
      <c r="AH7068">
        <v>34.326134015270299</v>
      </c>
      <c r="AI7068">
        <v>91.839853854460699</v>
      </c>
      <c r="AJ7068">
        <v>101.341090047409</v>
      </c>
      <c r="AK7068">
        <v>35.027796170448099</v>
      </c>
      <c r="AL7068">
        <v>84.248471704253106</v>
      </c>
      <c r="AM7068">
        <v>100.11634891107499</v>
      </c>
      <c r="AN7068">
        <v>0.99999998842027904</v>
      </c>
    </row>
    <row r="7069" spans="1:40" x14ac:dyDescent="0.25">
      <c r="A7069" t="str">
        <f>"20190303162054193"</f>
        <v>20190303162054193</v>
      </c>
      <c r="B7069" t="str">
        <f>"1551601254180157"</f>
        <v>1551601254180157</v>
      </c>
      <c r="C7069" t="s">
        <v>40</v>
      </c>
      <c r="D7069">
        <v>5.2083120000000003</v>
      </c>
      <c r="E7069">
        <v>0.48941879999999999</v>
      </c>
      <c r="F7069" t="s">
        <v>41</v>
      </c>
      <c r="G7069">
        <v>-426.18349999999998</v>
      </c>
      <c r="H7069" s="1">
        <v>-4.1531750000000003E-6</v>
      </c>
      <c r="I7069">
        <v>95.967910000000003</v>
      </c>
      <c r="J7069">
        <v>-413.55459999999999</v>
      </c>
      <c r="K7069">
        <v>1.1245909999999999</v>
      </c>
      <c r="L7069">
        <v>127.857</v>
      </c>
      <c r="M7069">
        <v>-0.54244780000000004</v>
      </c>
      <c r="N7069">
        <v>-1.395009E-2</v>
      </c>
      <c r="O7069">
        <v>-0.83997379999999999</v>
      </c>
      <c r="P7069">
        <v>-0.38579950000000002</v>
      </c>
      <c r="Q7069">
        <v>8.7616990000000006E-2</v>
      </c>
      <c r="R7069">
        <v>-0.91841269999999997</v>
      </c>
      <c r="S7069">
        <v>-1.1156010000000001</v>
      </c>
      <c r="T7069">
        <v>-9.8428730000000006E-2</v>
      </c>
      <c r="U7069">
        <v>-2.807709</v>
      </c>
      <c r="V7069">
        <v>-0.17492279999999999</v>
      </c>
      <c r="W7069">
        <v>9.9944169999999999E-2</v>
      </c>
      <c r="X7069">
        <v>0.97949640000000004</v>
      </c>
      <c r="Y7069">
        <v>-0.1939361</v>
      </c>
      <c r="Z7069">
        <v>1.316905E-2</v>
      </c>
      <c r="AA7069">
        <v>0.98092579999999996</v>
      </c>
      <c r="AB7069">
        <v>23</v>
      </c>
      <c r="AC7069">
        <v>-12.6288999999999</v>
      </c>
      <c r="AD7069">
        <v>-1.12459515317499</v>
      </c>
      <c r="AE7069">
        <v>-31.889089999999999</v>
      </c>
      <c r="AF7069">
        <v>-6.6836865523159998</v>
      </c>
      <c r="AG7069">
        <v>-1.12459515317499</v>
      </c>
      <c r="AH7069">
        <v>33.603662819945399</v>
      </c>
      <c r="AI7069">
        <v>91.879972502487306</v>
      </c>
      <c r="AJ7069">
        <v>101.24918390464499</v>
      </c>
      <c r="AK7069">
        <v>34.280352027141397</v>
      </c>
      <c r="AL7069">
        <v>84.264044511658</v>
      </c>
      <c r="AM7069">
        <v>100.125393204709</v>
      </c>
      <c r="AN7069">
        <v>1.0000000103448901</v>
      </c>
    </row>
    <row r="7070" spans="1:40" x14ac:dyDescent="0.25">
      <c r="A7070" t="str">
        <f>"20190303162054215"</f>
        <v>20190303162054215</v>
      </c>
      <c r="B7070" t="str">
        <f>"1551601254209437"</f>
        <v>1551601254209437</v>
      </c>
      <c r="C7070" t="s">
        <v>40</v>
      </c>
      <c r="D7070">
        <v>5.0543360000000002</v>
      </c>
      <c r="E7070">
        <v>0.47882570000000002</v>
      </c>
      <c r="F7070" t="s">
        <v>41</v>
      </c>
      <c r="G7070">
        <v>-425.92759999999998</v>
      </c>
      <c r="H7070" s="1">
        <v>-4.2146280000000002E-6</v>
      </c>
      <c r="I7070">
        <v>96.281899999999993</v>
      </c>
      <c r="J7070">
        <v>-413.67219999999998</v>
      </c>
      <c r="K7070">
        <v>1.1245889999999901</v>
      </c>
      <c r="L7070">
        <v>127.664</v>
      </c>
      <c r="M7070">
        <v>-0.53815749999999996</v>
      </c>
      <c r="N7070">
        <v>-1.394665E-2</v>
      </c>
      <c r="O7070">
        <v>-0.84272909999999901</v>
      </c>
      <c r="P7070">
        <v>-0.38055159999999999</v>
      </c>
      <c r="Q7070">
        <v>8.8075849999999997E-2</v>
      </c>
      <c r="R7070">
        <v>-0.92055600000000004</v>
      </c>
      <c r="S7070">
        <v>-1.102295</v>
      </c>
      <c r="T7070">
        <v>-0.100189</v>
      </c>
      <c r="U7070">
        <v>-2.8129879999999998</v>
      </c>
      <c r="V7070">
        <v>-0.17549709999999999</v>
      </c>
      <c r="W7070">
        <v>0.10039679999999999</v>
      </c>
      <c r="X7070">
        <v>0.97934730000000003</v>
      </c>
      <c r="Y7070">
        <v>-0.19358349999999999</v>
      </c>
      <c r="Z7070">
        <v>1.3707159999999999E-2</v>
      </c>
      <c r="AA7070">
        <v>0.98098799999999997</v>
      </c>
      <c r="AB7070">
        <v>23</v>
      </c>
      <c r="AC7070">
        <v>-12.2554</v>
      </c>
      <c r="AD7070">
        <v>-1.12459321462799</v>
      </c>
      <c r="AE7070">
        <v>-31.382100000000001</v>
      </c>
      <c r="AF7070">
        <v>-6.5538646351019096</v>
      </c>
      <c r="AG7070">
        <v>-1.12459321462799</v>
      </c>
      <c r="AH7070">
        <v>33.008373020495299</v>
      </c>
      <c r="AI7070">
        <v>91.913975093058298</v>
      </c>
      <c r="AJ7070">
        <v>101.23011383068</v>
      </c>
      <c r="AK7070">
        <v>33.671509336734303</v>
      </c>
      <c r="AL7070">
        <v>84.237979227775597</v>
      </c>
      <c r="AM7070">
        <v>100.159459663785</v>
      </c>
      <c r="AN7070">
        <v>0.99999994178796803</v>
      </c>
    </row>
    <row r="7071" spans="1:40" x14ac:dyDescent="0.25">
      <c r="A7071" t="str">
        <f>"20190303162054238"</f>
        <v>20190303162054238</v>
      </c>
      <c r="B7071" t="str">
        <f>"1551601254229933"</f>
        <v>1551601254229933</v>
      </c>
      <c r="C7071" t="s">
        <v>40</v>
      </c>
      <c r="D7071">
        <v>4.9282940000000002</v>
      </c>
      <c r="E7071">
        <v>0.47703440000000003</v>
      </c>
      <c r="F7071" t="s">
        <v>41</v>
      </c>
      <c r="G7071">
        <v>-424.85649999999998</v>
      </c>
      <c r="H7071" s="1">
        <v>-3.94083E-6</v>
      </c>
      <c r="I7071">
        <v>96.035650000000004</v>
      </c>
      <c r="J7071">
        <v>-413.7876</v>
      </c>
      <c r="K7071">
        <v>1.1245879999999999</v>
      </c>
      <c r="L7071">
        <v>127.4725</v>
      </c>
      <c r="M7071">
        <v>-0.53389799999999998</v>
      </c>
      <c r="N7071">
        <v>-1.39434E-2</v>
      </c>
      <c r="O7071">
        <v>-0.84543419999999903</v>
      </c>
      <c r="P7071">
        <v>-0.3752414</v>
      </c>
      <c r="Q7071">
        <v>8.9168310000000001E-2</v>
      </c>
      <c r="R7071">
        <v>-0.92262860000000002</v>
      </c>
      <c r="S7071">
        <v>-1.0084229999999901</v>
      </c>
      <c r="T7071">
        <v>-0.101398</v>
      </c>
      <c r="U7071">
        <v>-2.8517459999999999</v>
      </c>
      <c r="V7071">
        <v>-0.1761482</v>
      </c>
      <c r="W7071">
        <v>0.10148219999999999</v>
      </c>
      <c r="X7071">
        <v>0.97911859999999995</v>
      </c>
      <c r="Y7071">
        <v>-0.22147559999999999</v>
      </c>
      <c r="Z7071">
        <v>1.370243E-2</v>
      </c>
      <c r="AA7071">
        <v>0.97506959999999998</v>
      </c>
      <c r="AB7071">
        <v>23</v>
      </c>
      <c r="AC7071">
        <v>-11.0688999999999</v>
      </c>
      <c r="AD7071">
        <v>-1.12459194082999</v>
      </c>
      <c r="AE7071">
        <v>-31.43685</v>
      </c>
      <c r="AF7071">
        <v>-7.4183187351830897</v>
      </c>
      <c r="AG7071">
        <v>-1.12459194082999</v>
      </c>
      <c r="AH7071">
        <v>32.453652051682802</v>
      </c>
      <c r="AI7071">
        <v>91.934770694123898</v>
      </c>
      <c r="AJ7071">
        <v>102.875573897781</v>
      </c>
      <c r="AK7071">
        <v>33.309693654878302</v>
      </c>
      <c r="AL7071">
        <v>84.175471635986099</v>
      </c>
      <c r="AM7071">
        <v>100.198693890111</v>
      </c>
      <c r="AN7071">
        <v>1.00000002907301</v>
      </c>
    </row>
    <row r="7072" spans="1:40" x14ac:dyDescent="0.25">
      <c r="A7072" t="str">
        <f>"20190303162054260"</f>
        <v>20190303162054260</v>
      </c>
      <c r="B7072" t="str">
        <f>"1551601254249453"</f>
        <v>1551601254249453</v>
      </c>
      <c r="C7072" t="s">
        <v>40</v>
      </c>
      <c r="D7072">
        <v>4.9883610000000003</v>
      </c>
      <c r="E7072">
        <v>0.47689359999999997</v>
      </c>
      <c r="F7072" t="s">
        <v>41</v>
      </c>
      <c r="G7072">
        <v>-425.08300000000003</v>
      </c>
      <c r="H7072" s="1">
        <v>-3.4302900000000002E-6</v>
      </c>
      <c r="I7072">
        <v>94.432590000000005</v>
      </c>
      <c r="J7072">
        <v>-413.90379999999999</v>
      </c>
      <c r="K7072">
        <v>1.1245810000000001</v>
      </c>
      <c r="L7072">
        <v>127.2773</v>
      </c>
      <c r="M7072">
        <v>-0.52955369999999902</v>
      </c>
      <c r="N7072">
        <v>-1.39401E-2</v>
      </c>
      <c r="O7072">
        <v>-0.84816190000000002</v>
      </c>
      <c r="P7072">
        <v>-0.37027660000000001</v>
      </c>
      <c r="Q7072">
        <v>8.929848E-2</v>
      </c>
      <c r="R7072">
        <v>-0.92461939999999998</v>
      </c>
      <c r="S7072">
        <v>-0.97875979999999996</v>
      </c>
      <c r="T7072">
        <v>-9.7447039999999999E-2</v>
      </c>
      <c r="U7072">
        <v>-2.862946</v>
      </c>
      <c r="V7072">
        <v>-0.17638119999999999</v>
      </c>
      <c r="W7072">
        <v>0.1016098</v>
      </c>
      <c r="X7072">
        <v>0.97906340000000003</v>
      </c>
      <c r="Y7072">
        <v>-0.22668099999999999</v>
      </c>
      <c r="Z7072">
        <v>1.267952E-2</v>
      </c>
      <c r="AA7072">
        <v>0.97388649999999999</v>
      </c>
      <c r="AB7072">
        <v>23</v>
      </c>
      <c r="AC7072">
        <v>-11.1792</v>
      </c>
      <c r="AD7072">
        <v>-1.1245844302899899</v>
      </c>
      <c r="AE7072">
        <v>-32.8447099999999</v>
      </c>
      <c r="AF7072">
        <v>-7.90373090431678</v>
      </c>
      <c r="AG7072">
        <v>-1.1245844302899899</v>
      </c>
      <c r="AH7072">
        <v>33.7454459995094</v>
      </c>
      <c r="AI7072">
        <v>91.858447678428902</v>
      </c>
      <c r="AJ7072">
        <v>103.18198685979699</v>
      </c>
      <c r="AK7072">
        <v>34.676919962051301</v>
      </c>
      <c r="AL7072">
        <v>84.168122596496701</v>
      </c>
      <c r="AM7072">
        <v>100.212464143316</v>
      </c>
      <c r="AN7072">
        <v>1.0000000101945199</v>
      </c>
    </row>
    <row r="7073" spans="1:40" x14ac:dyDescent="0.25">
      <c r="A7073" t="str">
        <f>"20190303162054282"</f>
        <v>20190303162054282</v>
      </c>
      <c r="B7073" t="str">
        <f>"1551601254269949"</f>
        <v>1551601254269949</v>
      </c>
      <c r="C7073" t="s">
        <v>40</v>
      </c>
      <c r="D7073">
        <v>4.6838340000000001</v>
      </c>
      <c r="E7073">
        <v>0.47723880000000002</v>
      </c>
      <c r="F7073" t="s">
        <v>41</v>
      </c>
      <c r="G7073">
        <v>-425.02839999999998</v>
      </c>
      <c r="H7073" s="1">
        <v>-3.2705569999999999E-6</v>
      </c>
      <c r="I7073">
        <v>94.094089999999994</v>
      </c>
      <c r="J7073">
        <v>-414.02050000000003</v>
      </c>
      <c r="K7073">
        <v>1.1245719999999999</v>
      </c>
      <c r="L7073">
        <v>127.0792</v>
      </c>
      <c r="M7073">
        <v>-0.52514369999999999</v>
      </c>
      <c r="N7073">
        <v>-1.3936840000000001E-2</v>
      </c>
      <c r="O7073">
        <v>-0.85089950000000003</v>
      </c>
      <c r="P7073">
        <v>-0.3666835</v>
      </c>
      <c r="Q7073">
        <v>8.8834159999999995E-2</v>
      </c>
      <c r="R7073">
        <v>-0.926095</v>
      </c>
      <c r="S7073">
        <v>-0.96176150000000005</v>
      </c>
      <c r="T7073">
        <v>-9.7224240000000003E-2</v>
      </c>
      <c r="U7073">
        <v>-2.868805</v>
      </c>
      <c r="V7073">
        <v>-0.17511650000000001</v>
      </c>
      <c r="W7073">
        <v>0.1011596</v>
      </c>
      <c r="X7073">
        <v>0.97933700000000001</v>
      </c>
      <c r="Y7073">
        <v>-0.22741210000000001</v>
      </c>
      <c r="Z7073">
        <v>1.268763E-2</v>
      </c>
      <c r="AA7073">
        <v>0.97371600000000003</v>
      </c>
      <c r="AB7073">
        <v>23</v>
      </c>
      <c r="AC7073">
        <v>-11.0078999999999</v>
      </c>
      <c r="AD7073">
        <v>-1.12457527055699</v>
      </c>
      <c r="AE7073">
        <v>-32.985109999999899</v>
      </c>
      <c r="AF7073">
        <v>-7.9477660066068401</v>
      </c>
      <c r="AG7073">
        <v>-1.12457527055699</v>
      </c>
      <c r="AH7073">
        <v>33.815661801908</v>
      </c>
      <c r="AI7073">
        <v>91.854240124704802</v>
      </c>
      <c r="AJ7073">
        <v>103.226294121045</v>
      </c>
      <c r="AK7073">
        <v>34.755296533563701</v>
      </c>
      <c r="AL7073">
        <v>84.194050734458003</v>
      </c>
      <c r="AM7073">
        <v>100.13798875928499</v>
      </c>
      <c r="AN7073">
        <v>1.0000000064067001</v>
      </c>
    </row>
    <row r="7074" spans="1:40" x14ac:dyDescent="0.25">
      <c r="A7074" t="str">
        <f>"20190303162054306"</f>
        <v>20190303162054306</v>
      </c>
      <c r="B7074" t="str">
        <f>"1551601254299229"</f>
        <v>1551601254299229</v>
      </c>
      <c r="C7074" t="s">
        <v>40</v>
      </c>
      <c r="D7074">
        <v>4.9820589999999996</v>
      </c>
      <c r="E7074">
        <v>0.4778616</v>
      </c>
      <c r="F7074" t="s">
        <v>41</v>
      </c>
      <c r="G7074">
        <v>-425.06920000000002</v>
      </c>
      <c r="H7074" s="1">
        <v>-3.1477770000000002E-6</v>
      </c>
      <c r="I7074">
        <v>93.782629999999997</v>
      </c>
      <c r="J7074">
        <v>-414.13229999999999</v>
      </c>
      <c r="K7074">
        <v>1.1245639999999999</v>
      </c>
      <c r="L7074">
        <v>126.887</v>
      </c>
      <c r="M7074">
        <v>-0.52086279999999996</v>
      </c>
      <c r="N7074">
        <v>-1.3933600000000001E-2</v>
      </c>
      <c r="O7074">
        <v>-0.85352689999999998</v>
      </c>
      <c r="P7074">
        <v>-0.36286740000000001</v>
      </c>
      <c r="Q7074">
        <v>8.8865440000000004E-2</v>
      </c>
      <c r="R7074">
        <v>-0.92759389999999997</v>
      </c>
      <c r="S7074">
        <v>-0.95281979999999999</v>
      </c>
      <c r="T7074">
        <v>-9.6981639999999994E-2</v>
      </c>
      <c r="U7074">
        <v>-2.871445</v>
      </c>
      <c r="V7074">
        <v>-0.1742242</v>
      </c>
      <c r="W7074">
        <v>0.1012004</v>
      </c>
      <c r="X7074">
        <v>0.97949189999999997</v>
      </c>
      <c r="Y7074">
        <v>-0.22551959999999999</v>
      </c>
      <c r="Z7074">
        <v>1.272383E-2</v>
      </c>
      <c r="AA7074">
        <v>0.97415549999999995</v>
      </c>
      <c r="AB7074">
        <v>23</v>
      </c>
      <c r="AC7074">
        <v>-10.9369</v>
      </c>
      <c r="AD7074">
        <v>-1.1245671477769901</v>
      </c>
      <c r="AE7074">
        <v>-33.104369999999903</v>
      </c>
      <c r="AF7074">
        <v>-7.9004429720126099</v>
      </c>
      <c r="AG7074">
        <v>-1.1245671477769901</v>
      </c>
      <c r="AH7074">
        <v>33.920093379376397</v>
      </c>
      <c r="AI7074">
        <v>91.849390403465407</v>
      </c>
      <c r="AJ7074">
        <v>103.111200006186</v>
      </c>
      <c r="AK7074">
        <v>34.846153091689999</v>
      </c>
      <c r="AL7074">
        <v>84.191700897974101</v>
      </c>
      <c r="AM7074">
        <v>100.085831995577</v>
      </c>
      <c r="AN7074">
        <v>0.99999998749570496</v>
      </c>
    </row>
    <row r="7075" spans="1:40" x14ac:dyDescent="0.25">
      <c r="A7075" t="str">
        <f>"20190303162054327"</f>
        <v>20190303162054327</v>
      </c>
      <c r="B7075" t="str">
        <f>"1551601254319725"</f>
        <v>1551601254319725</v>
      </c>
      <c r="C7075" t="s">
        <v>40</v>
      </c>
      <c r="D7075">
        <v>4.9824089999999996</v>
      </c>
      <c r="E7075">
        <v>0.47840850000000001</v>
      </c>
      <c r="F7075" t="s">
        <v>41</v>
      </c>
      <c r="G7075">
        <v>-425.21269999999998</v>
      </c>
      <c r="H7075" s="1">
        <v>-2.9433109999999999E-6</v>
      </c>
      <c r="I7075">
        <v>93.216970000000003</v>
      </c>
      <c r="J7075">
        <v>-414.24299999999999</v>
      </c>
      <c r="K7075">
        <v>1.124557</v>
      </c>
      <c r="L7075">
        <v>126.6943</v>
      </c>
      <c r="M7075">
        <v>-0.51657330000000001</v>
      </c>
      <c r="N7075">
        <v>-1.3930369999999999E-2</v>
      </c>
      <c r="O7075">
        <v>-0.85612980000000005</v>
      </c>
      <c r="P7075">
        <v>-0.35834179999999999</v>
      </c>
      <c r="Q7075">
        <v>8.9133749999999998E-2</v>
      </c>
      <c r="R7075">
        <v>-0.92932599999999999</v>
      </c>
      <c r="S7075">
        <v>-0.94561770000000001</v>
      </c>
      <c r="T7075">
        <v>-9.5972059999999998E-2</v>
      </c>
      <c r="U7075">
        <v>-2.8734440000000001</v>
      </c>
      <c r="V7075">
        <v>-0.174069899999999</v>
      </c>
      <c r="W7075">
        <v>0.1014704</v>
      </c>
      <c r="X7075">
        <v>0.97949140000000001</v>
      </c>
      <c r="Y7075">
        <v>-0.22303509999999999</v>
      </c>
      <c r="Z7075">
        <v>1.256416E-2</v>
      </c>
      <c r="AA7075">
        <v>0.97472950000000003</v>
      </c>
      <c r="AB7075">
        <v>23</v>
      </c>
      <c r="AC7075">
        <v>-10.9696999999999</v>
      </c>
      <c r="AD7075">
        <v>-1.1245599433110001</v>
      </c>
      <c r="AE7075">
        <v>-33.477330000000002</v>
      </c>
      <c r="AF7075">
        <v>-7.89472888968288</v>
      </c>
      <c r="AG7075">
        <v>-1.1245599433110001</v>
      </c>
      <c r="AH7075">
        <v>34.295973354822003</v>
      </c>
      <c r="AI7075">
        <v>91.830216139936596</v>
      </c>
      <c r="AJ7075">
        <v>102.96332352333</v>
      </c>
      <c r="AK7075">
        <v>35.210867181345499</v>
      </c>
      <c r="AL7075">
        <v>84.176150990848996</v>
      </c>
      <c r="AM7075">
        <v>100.077087760943</v>
      </c>
      <c r="AN7075">
        <v>0.99999998741806495</v>
      </c>
    </row>
    <row r="7076" spans="1:40" x14ac:dyDescent="0.25">
      <c r="A7076" t="str">
        <f>"20190303162054349"</f>
        <v>20190303162054349</v>
      </c>
      <c r="B7076" t="str">
        <f>"1551601254339245"</f>
        <v>1551601254339245</v>
      </c>
      <c r="C7076" t="s">
        <v>40</v>
      </c>
      <c r="D7076">
        <v>4.8348690000000003</v>
      </c>
      <c r="E7076">
        <v>0.47866160000000002</v>
      </c>
      <c r="F7076" t="s">
        <v>41</v>
      </c>
      <c r="G7076">
        <v>-425.37639999999999</v>
      </c>
      <c r="H7076" s="1">
        <v>-2.6595850000000001E-6</v>
      </c>
      <c r="I7076">
        <v>92.454080000000005</v>
      </c>
      <c r="J7076">
        <v>-414.3528</v>
      </c>
      <c r="K7076">
        <v>1.1245529999999999</v>
      </c>
      <c r="L7076">
        <v>126.501</v>
      </c>
      <c r="M7076">
        <v>-0.51226590000000005</v>
      </c>
      <c r="N7076">
        <v>-1.3927200000000001E-2</v>
      </c>
      <c r="O7076">
        <v>-0.85871419999999998</v>
      </c>
      <c r="P7076">
        <v>-0.35420790000000002</v>
      </c>
      <c r="Q7076">
        <v>8.8963699999999896E-2</v>
      </c>
      <c r="R7076">
        <v>-0.93092549999999996</v>
      </c>
      <c r="S7076">
        <v>-0.93533330000000003</v>
      </c>
      <c r="T7076">
        <v>-9.4475870000000003E-2</v>
      </c>
      <c r="U7076">
        <v>-2.8765719999999999</v>
      </c>
      <c r="V7076">
        <v>-0.1735062</v>
      </c>
      <c r="W7076">
        <v>0.1013067</v>
      </c>
      <c r="X7076">
        <v>0.97960840000000005</v>
      </c>
      <c r="Y7076">
        <v>-0.22160070000000001</v>
      </c>
      <c r="Z7076">
        <v>1.225855E-2</v>
      </c>
      <c r="AA7076">
        <v>0.97506040000000005</v>
      </c>
      <c r="AB7076">
        <v>23</v>
      </c>
      <c r="AC7076">
        <v>-11.023599999999901</v>
      </c>
      <c r="AD7076">
        <v>-1.1245556595849999</v>
      </c>
      <c r="AE7076">
        <v>-34.04692</v>
      </c>
      <c r="AF7076">
        <v>-7.9678584567557502</v>
      </c>
      <c r="AG7076">
        <v>-1.1245556595849999</v>
      </c>
      <c r="AH7076">
        <v>34.852549985497497</v>
      </c>
      <c r="AI7076">
        <v>91.801620110152996</v>
      </c>
      <c r="AJ7076">
        <v>102.87744082001799</v>
      </c>
      <c r="AK7076">
        <v>35.769423175527997</v>
      </c>
      <c r="AL7076">
        <v>84.185579159659198</v>
      </c>
      <c r="AM7076">
        <v>100.043944915331</v>
      </c>
      <c r="AN7076">
        <v>1.0000000331269401</v>
      </c>
    </row>
    <row r="7077" spans="1:40" x14ac:dyDescent="0.25">
      <c r="A7077" t="str">
        <f>"20190303162054372"</f>
        <v>20190303162054372</v>
      </c>
      <c r="B7077" t="str">
        <f>"1551601254359742"</f>
        <v>1551601254359742</v>
      </c>
      <c r="C7077" t="s">
        <v>40</v>
      </c>
      <c r="D7077">
        <v>4.9845519999999999</v>
      </c>
      <c r="E7077">
        <v>0.47898649999999998</v>
      </c>
      <c r="F7077" t="s">
        <v>41</v>
      </c>
      <c r="G7077">
        <v>-425.0849</v>
      </c>
      <c r="H7077" s="1">
        <v>-2.8424990000000001E-6</v>
      </c>
      <c r="I7077">
        <v>93.061260000000004</v>
      </c>
      <c r="J7077">
        <v>-414.46600000000001</v>
      </c>
      <c r="K7077">
        <v>1.124533</v>
      </c>
      <c r="L7077">
        <v>126.2993</v>
      </c>
      <c r="M7077">
        <v>-0.50777640000000002</v>
      </c>
      <c r="N7077">
        <v>-1.392387E-2</v>
      </c>
      <c r="O7077">
        <v>-0.86137649999999999</v>
      </c>
      <c r="P7077">
        <v>-0.34947620000000001</v>
      </c>
      <c r="Q7077">
        <v>8.8473919999999998E-2</v>
      </c>
      <c r="R7077">
        <v>-0.93275870000000005</v>
      </c>
      <c r="S7077">
        <v>-0.92434689999999997</v>
      </c>
      <c r="T7077">
        <v>-9.6857310000000002E-2</v>
      </c>
      <c r="U7077">
        <v>-2.8801420000000002</v>
      </c>
      <c r="V7077">
        <v>-0.1733845</v>
      </c>
      <c r="W7077">
        <v>0.1008204</v>
      </c>
      <c r="X7077">
        <v>0.97968010000000005</v>
      </c>
      <c r="Y7077">
        <v>-0.2202364</v>
      </c>
      <c r="Z7077">
        <v>1.297947E-2</v>
      </c>
      <c r="AA7077">
        <v>0.97536020000000001</v>
      </c>
      <c r="AB7077">
        <v>23</v>
      </c>
      <c r="AC7077">
        <v>-10.618899999999901</v>
      </c>
      <c r="AD7077">
        <v>-1.124535842499</v>
      </c>
      <c r="AE7077">
        <v>-33.238039999999998</v>
      </c>
      <c r="AF7077">
        <v>-7.7233481913719499</v>
      </c>
      <c r="AG7077">
        <v>-1.124535842499</v>
      </c>
      <c r="AH7077">
        <v>33.990484052891098</v>
      </c>
      <c r="AI7077">
        <v>91.847807116305702</v>
      </c>
      <c r="AJ7077">
        <v>102.801442099553</v>
      </c>
      <c r="AK7077">
        <v>34.8750296673146</v>
      </c>
      <c r="AL7077">
        <v>84.213585402626904</v>
      </c>
      <c r="AM7077">
        <v>100.03632358219799</v>
      </c>
      <c r="AN7077">
        <v>1.0000000181162001</v>
      </c>
    </row>
    <row r="7078" spans="1:40" x14ac:dyDescent="0.25">
      <c r="A7078" t="str">
        <f>"20190303162054394"</f>
        <v>20190303162054394</v>
      </c>
      <c r="B7078" t="str">
        <f>"1551601254389997"</f>
        <v>1551601254389997</v>
      </c>
      <c r="C7078" t="s">
        <v>40</v>
      </c>
      <c r="D7078">
        <v>4.982081</v>
      </c>
      <c r="E7078">
        <v>0.48502010000000001</v>
      </c>
      <c r="F7078" t="s">
        <v>41</v>
      </c>
      <c r="G7078">
        <v>-424.78719999999998</v>
      </c>
      <c r="H7078" s="1">
        <v>-3.0377219999999999E-6</v>
      </c>
      <c r="I7078">
        <v>93.700980000000001</v>
      </c>
      <c r="J7078">
        <v>-414.5763</v>
      </c>
      <c r="K7078">
        <v>1.124514</v>
      </c>
      <c r="L7078">
        <v>126.10039999999999</v>
      </c>
      <c r="M7078">
        <v>-0.50335699999999906</v>
      </c>
      <c r="N7078">
        <v>-1.392032E-2</v>
      </c>
      <c r="O7078">
        <v>-0.86396659999999903</v>
      </c>
      <c r="P7078">
        <v>-0.34466940000000001</v>
      </c>
      <c r="Q7078">
        <v>8.8161920000000005E-2</v>
      </c>
      <c r="R7078">
        <v>-0.93457509999999999</v>
      </c>
      <c r="S7078">
        <v>-0.91299439999999998</v>
      </c>
      <c r="T7078">
        <v>-9.9475030000000006E-2</v>
      </c>
      <c r="U7078">
        <v>-2.8836059999999999</v>
      </c>
      <c r="V7078">
        <v>-0.17341799999999999</v>
      </c>
      <c r="W7078">
        <v>0.10051160000000001</v>
      </c>
      <c r="X7078">
        <v>0.97970590000000002</v>
      </c>
      <c r="Y7078">
        <v>-0.2190686</v>
      </c>
      <c r="Z7078">
        <v>1.3766209999999999E-2</v>
      </c>
      <c r="AA7078">
        <v>0.97561229999999999</v>
      </c>
      <c r="AB7078">
        <v>23</v>
      </c>
      <c r="AC7078">
        <v>-10.210899999999899</v>
      </c>
      <c r="AD7078">
        <v>-1.124517037722</v>
      </c>
      <c r="AE7078">
        <v>-32.3994199999999</v>
      </c>
      <c r="AF7078">
        <v>-7.4791268835311797</v>
      </c>
      <c r="AG7078">
        <v>-1.124517037722</v>
      </c>
      <c r="AH7078">
        <v>33.098680186000699</v>
      </c>
      <c r="AI7078">
        <v>91.898039929073406</v>
      </c>
      <c r="AJ7078">
        <v>102.73297184298001</v>
      </c>
      <c r="AK7078">
        <v>33.9517968237801</v>
      </c>
      <c r="AL7078">
        <v>84.231368669486997</v>
      </c>
      <c r="AM7078">
        <v>100.037964312819</v>
      </c>
      <c r="AN7078">
        <v>1.0000000174766801</v>
      </c>
    </row>
    <row r="7079" spans="1:40" x14ac:dyDescent="0.25">
      <c r="A7079" t="str">
        <f>"20190303162054417"</f>
        <v>20190303162054417</v>
      </c>
      <c r="B7079" t="str">
        <f>"1551601254409517"</f>
        <v>1551601254409517</v>
      </c>
      <c r="C7079" t="s">
        <v>40</v>
      </c>
      <c r="D7079">
        <v>4.9860660000000001</v>
      </c>
      <c r="E7079">
        <v>0.485099</v>
      </c>
      <c r="F7079" t="s">
        <v>41</v>
      </c>
      <c r="G7079">
        <v>-426.24979999999999</v>
      </c>
      <c r="H7079" s="1">
        <v>-2.0769989999999999E-6</v>
      </c>
      <c r="I7079">
        <v>90.554310000000001</v>
      </c>
      <c r="J7079">
        <v>-414.68009999999998</v>
      </c>
      <c r="K7079">
        <v>1.1245000000000001</v>
      </c>
      <c r="L7079">
        <v>125.91119999999999</v>
      </c>
      <c r="M7079">
        <v>-0.4991662</v>
      </c>
      <c r="N7079">
        <v>-1.3916609999999999E-2</v>
      </c>
      <c r="O7079">
        <v>-0.86639449999999996</v>
      </c>
      <c r="P7079">
        <v>-0.34012039999999999</v>
      </c>
      <c r="Q7079">
        <v>8.7609889999999996E-2</v>
      </c>
      <c r="R7079">
        <v>-0.93629209999999996</v>
      </c>
      <c r="S7079">
        <v>-0.94281009999999998</v>
      </c>
      <c r="T7079">
        <v>-9.0821029999999997E-2</v>
      </c>
      <c r="U7079">
        <v>-2.8708649999999998</v>
      </c>
      <c r="V7079">
        <v>-0.17345379999999999</v>
      </c>
      <c r="W7079">
        <v>9.99641E-2</v>
      </c>
      <c r="X7079">
        <v>0.97975559999999995</v>
      </c>
      <c r="Y7079">
        <v>-0.20389860000000001</v>
      </c>
      <c r="Z7079">
        <v>1.171521E-2</v>
      </c>
      <c r="AA7079">
        <v>0.97892190000000001</v>
      </c>
      <c r="AB7079">
        <v>23</v>
      </c>
      <c r="AC7079">
        <v>-11.569699999999999</v>
      </c>
      <c r="AD7079">
        <v>-1.124502076999</v>
      </c>
      <c r="AE7079">
        <v>-35.3568899999999</v>
      </c>
      <c r="AF7079">
        <v>-7.61881730752651</v>
      </c>
      <c r="AG7079">
        <v>-1.124502076999</v>
      </c>
      <c r="AH7079">
        <v>36.378506063319101</v>
      </c>
      <c r="AI7079">
        <v>91.732942271905898</v>
      </c>
      <c r="AJ7079">
        <v>101.82859711776899</v>
      </c>
      <c r="AK7079">
        <v>37.184762813356599</v>
      </c>
      <c r="AL7079">
        <v>84.262897023636796</v>
      </c>
      <c r="AM7079">
        <v>100.039495433716</v>
      </c>
      <c r="AN7079">
        <v>1.0000000388773</v>
      </c>
    </row>
    <row r="7080" spans="1:40" x14ac:dyDescent="0.25">
      <c r="A7080" t="str">
        <f>"20190303162054438"</f>
        <v>20190303162054438</v>
      </c>
      <c r="B7080" t="str">
        <f>"1551601254430013"</f>
        <v>1551601254430013</v>
      </c>
      <c r="C7080" t="s">
        <v>40</v>
      </c>
      <c r="D7080">
        <v>4.7988229999999996</v>
      </c>
      <c r="E7080">
        <v>0.46462589999999998</v>
      </c>
      <c r="F7080" t="s">
        <v>41</v>
      </c>
      <c r="G7080">
        <v>-426.2208</v>
      </c>
      <c r="H7080" s="1">
        <v>-1.922416E-6</v>
      </c>
      <c r="I7080">
        <v>90.212000000000003</v>
      </c>
      <c r="J7080">
        <v>-414.7851</v>
      </c>
      <c r="K7080">
        <v>1.1244780000000001</v>
      </c>
      <c r="L7080">
        <v>125.7174</v>
      </c>
      <c r="M7080">
        <v>-0.49489329999999998</v>
      </c>
      <c r="N7080">
        <v>-1.3912300000000001E-2</v>
      </c>
      <c r="O7080">
        <v>-0.86884240000000001</v>
      </c>
      <c r="P7080">
        <v>-0.3347755</v>
      </c>
      <c r="Q7080">
        <v>8.7456539999999999E-2</v>
      </c>
      <c r="R7080">
        <v>-0.93823060000000003</v>
      </c>
      <c r="S7080">
        <v>-0.92941280000000004</v>
      </c>
      <c r="T7080">
        <v>-9.0559719999999996E-2</v>
      </c>
      <c r="U7080">
        <v>-2.8749690000000001</v>
      </c>
      <c r="V7080">
        <v>-0.17421610000000001</v>
      </c>
      <c r="W7080">
        <v>9.9810369999999995E-2</v>
      </c>
      <c r="X7080">
        <v>0.97963599999999995</v>
      </c>
      <c r="Y7080">
        <v>-0.2036164</v>
      </c>
      <c r="Z7080">
        <v>1.1712500000000001E-2</v>
      </c>
      <c r="AA7080">
        <v>0.97898070000000004</v>
      </c>
      <c r="AB7080">
        <v>23</v>
      </c>
      <c r="AC7080">
        <v>-11.435699999999899</v>
      </c>
      <c r="AD7080">
        <v>-1.124479922416</v>
      </c>
      <c r="AE7080">
        <v>-35.505399999999902</v>
      </c>
      <c r="AF7080">
        <v>-7.6293691518311402</v>
      </c>
      <c r="AG7080">
        <v>-1.124479922416</v>
      </c>
      <c r="AH7080">
        <v>36.478430926860497</v>
      </c>
      <c r="AI7080">
        <v>91.728262602859999</v>
      </c>
      <c r="AJ7080">
        <v>101.812984286923</v>
      </c>
      <c r="AK7080">
        <v>37.284683874703298</v>
      </c>
      <c r="AL7080">
        <v>84.271749302047795</v>
      </c>
      <c r="AM7080">
        <v>100.083919648248</v>
      </c>
      <c r="AN7080">
        <v>1.00000002597737</v>
      </c>
    </row>
    <row r="7081" spans="1:40" x14ac:dyDescent="0.25">
      <c r="A7081" t="str">
        <f>"20190303162054462"</f>
        <v>20190303162054462</v>
      </c>
      <c r="B7081" t="str">
        <f>"1551601254449533"</f>
        <v>1551601254449533</v>
      </c>
      <c r="C7081" t="s">
        <v>40</v>
      </c>
      <c r="D7081">
        <v>4.7688119999999996</v>
      </c>
      <c r="E7081">
        <v>0.45672430000000003</v>
      </c>
      <c r="F7081" t="s">
        <v>41</v>
      </c>
      <c r="G7081">
        <v>-424.84449999999998</v>
      </c>
      <c r="H7081" s="1">
        <v>-4.2105949999999996E-6</v>
      </c>
      <c r="I7081">
        <v>86.834620000000001</v>
      </c>
      <c r="J7081">
        <v>-414.89400000000001</v>
      </c>
      <c r="K7081">
        <v>1.1244449999999999</v>
      </c>
      <c r="L7081">
        <v>125.51430000000001</v>
      </c>
      <c r="M7081">
        <v>-0.4904423</v>
      </c>
      <c r="N7081">
        <v>-1.390747E-2</v>
      </c>
      <c r="O7081">
        <v>-0.871362999999999</v>
      </c>
      <c r="P7081">
        <v>-0.32866800000000002</v>
      </c>
      <c r="Q7081">
        <v>8.7984809999999997E-2</v>
      </c>
      <c r="R7081">
        <v>-0.94033860000000002</v>
      </c>
      <c r="S7081">
        <v>-0.75918580000000002</v>
      </c>
      <c r="T7081">
        <v>-8.4864969999999998E-2</v>
      </c>
      <c r="U7081">
        <v>-2.9344939999999999</v>
      </c>
      <c r="V7081">
        <v>-0.17554819999999999</v>
      </c>
      <c r="W7081">
        <v>0.1003332</v>
      </c>
      <c r="X7081">
        <v>0.97934469999999996</v>
      </c>
      <c r="Y7081">
        <v>-0.25652049999999998</v>
      </c>
      <c r="Z7081">
        <v>9.5919239999999999E-3</v>
      </c>
      <c r="AA7081">
        <v>0.96649119999999999</v>
      </c>
      <c r="AB7081">
        <v>23</v>
      </c>
      <c r="AC7081">
        <v>-9.9504999999999697</v>
      </c>
      <c r="AD7081">
        <v>-1.1244492105949999</v>
      </c>
      <c r="AE7081">
        <v>-38.679679999999998</v>
      </c>
      <c r="AF7081">
        <v>-10.2924887142598</v>
      </c>
      <c r="AG7081">
        <v>-1.1244492105949999</v>
      </c>
      <c r="AH7081">
        <v>38.5573469348152</v>
      </c>
      <c r="AI7081">
        <v>91.613963243409799</v>
      </c>
      <c r="AJ7081">
        <v>104.946024159774</v>
      </c>
      <c r="AK7081">
        <v>39.923285343419302</v>
      </c>
      <c r="AL7081">
        <v>84.241641962050394</v>
      </c>
      <c r="AM7081">
        <v>100.162382597811</v>
      </c>
      <c r="AN7081">
        <v>0.99999998148178404</v>
      </c>
    </row>
    <row r="7082" spans="1:40" x14ac:dyDescent="0.25">
      <c r="A7082" t="str">
        <f>"20190303162054483"</f>
        <v>20190303162054483</v>
      </c>
      <c r="B7082" t="str">
        <f>"1551601254479790"</f>
        <v>1551601254479790</v>
      </c>
      <c r="C7082" t="s">
        <v>40</v>
      </c>
      <c r="D7082">
        <v>4.7874379999999999</v>
      </c>
      <c r="E7082">
        <v>0.45369999999999999</v>
      </c>
      <c r="F7082" t="s">
        <v>41</v>
      </c>
      <c r="G7082">
        <v>-423.1223</v>
      </c>
      <c r="H7082" s="1">
        <v>-8.9943929999999996E-7</v>
      </c>
      <c r="I7082">
        <v>89.74915</v>
      </c>
      <c r="J7082">
        <v>-414.99509999999998</v>
      </c>
      <c r="K7082">
        <v>1.124417</v>
      </c>
      <c r="L7082">
        <v>125.32340000000001</v>
      </c>
      <c r="M7082">
        <v>-0.48628959999999999</v>
      </c>
      <c r="N7082">
        <v>-1.3902690000000001E-2</v>
      </c>
      <c r="O7082">
        <v>-0.87368709999999905</v>
      </c>
      <c r="P7082">
        <v>-0.32380490000000001</v>
      </c>
      <c r="Q7082">
        <v>8.8271020000000006E-2</v>
      </c>
      <c r="R7082">
        <v>-0.94199719999999998</v>
      </c>
      <c r="S7082">
        <v>-0.68121339999999997</v>
      </c>
      <c r="T7082">
        <v>-9.3091010000000002E-2</v>
      </c>
      <c r="U7082">
        <v>-2.9609380000000001</v>
      </c>
      <c r="V7082">
        <v>-0.17592920000000001</v>
      </c>
      <c r="W7082">
        <v>0.10062500000000001</v>
      </c>
      <c r="X7082">
        <v>0.97924639999999996</v>
      </c>
      <c r="Y7082">
        <v>-0.27796920000000003</v>
      </c>
      <c r="Z7082">
        <v>1.1544850000000001E-2</v>
      </c>
      <c r="AA7082">
        <v>0.96052059999999995</v>
      </c>
      <c r="AB7082">
        <v>23</v>
      </c>
      <c r="AC7082">
        <v>-8.1272000000000109</v>
      </c>
      <c r="AD7082">
        <v>-1.1244178994392999</v>
      </c>
      <c r="AE7082">
        <v>-35.574249999999999</v>
      </c>
      <c r="AF7082">
        <v>-10.190068405456399</v>
      </c>
      <c r="AG7082">
        <v>-1.1244178994392999</v>
      </c>
      <c r="AH7082">
        <v>35.003087211937299</v>
      </c>
      <c r="AI7082">
        <v>91.766613223020997</v>
      </c>
      <c r="AJ7082">
        <v>106.23128860803401</v>
      </c>
      <c r="AK7082">
        <v>36.473523603936997</v>
      </c>
      <c r="AL7082">
        <v>84.2248380778654</v>
      </c>
      <c r="AM7082">
        <v>100.18497823752</v>
      </c>
      <c r="AN7082">
        <v>0.99999999297529896</v>
      </c>
    </row>
    <row r="7083" spans="1:40" x14ac:dyDescent="0.25">
      <c r="A7083" t="str">
        <f>"20190303162054506"</f>
        <v>20190303162054506</v>
      </c>
      <c r="B7083" t="str">
        <f>"1551601254499325"</f>
        <v>1551601254499325</v>
      </c>
      <c r="C7083" t="s">
        <v>40</v>
      </c>
      <c r="D7083">
        <v>4.7426009999999996</v>
      </c>
      <c r="E7083">
        <v>0.45337129999999998</v>
      </c>
      <c r="F7083" t="s">
        <v>41</v>
      </c>
      <c r="G7083">
        <v>-422.01740000000001</v>
      </c>
      <c r="H7083" s="1">
        <v>-1.9532479999999998E-6</v>
      </c>
      <c r="I7083">
        <v>92.890929999999997</v>
      </c>
      <c r="J7083">
        <v>-415.09949999999998</v>
      </c>
      <c r="K7083">
        <v>1.1243890000000001</v>
      </c>
      <c r="L7083">
        <v>125.1241</v>
      </c>
      <c r="M7083">
        <v>-0.48198390000000002</v>
      </c>
      <c r="N7083">
        <v>-1.389745E-2</v>
      </c>
      <c r="O7083">
        <v>-0.87607000000000002</v>
      </c>
      <c r="P7083">
        <v>-0.31936870000000001</v>
      </c>
      <c r="Q7083">
        <v>8.866367E-2</v>
      </c>
      <c r="R7083">
        <v>-0.94347360000000002</v>
      </c>
      <c r="S7083">
        <v>-0.64373780000000003</v>
      </c>
      <c r="T7083">
        <v>-0.1030759</v>
      </c>
      <c r="U7083">
        <v>-2.9730989999999999</v>
      </c>
      <c r="V7083">
        <v>-0.17569409999999999</v>
      </c>
      <c r="W7083">
        <v>0.1010287</v>
      </c>
      <c r="X7083">
        <v>0.97924699999999998</v>
      </c>
      <c r="Y7083">
        <v>-0.28562300000000002</v>
      </c>
      <c r="Z7083">
        <v>1.414174E-2</v>
      </c>
      <c r="AA7083">
        <v>0.95823769999999997</v>
      </c>
      <c r="AB7083">
        <v>23</v>
      </c>
      <c r="AC7083">
        <v>-6.9179000000000297</v>
      </c>
      <c r="AD7083">
        <v>-1.1243909532480001</v>
      </c>
      <c r="AE7083">
        <v>-32.233169999999902</v>
      </c>
      <c r="AF7083">
        <v>-9.4652078842262792</v>
      </c>
      <c r="AG7083">
        <v>-1.1243909532480001</v>
      </c>
      <c r="AH7083">
        <v>31.5391871077593</v>
      </c>
      <c r="AI7083">
        <v>91.955664907810402</v>
      </c>
      <c r="AJ7083">
        <v>106.704996939315</v>
      </c>
      <c r="AK7083">
        <v>32.948061228630898</v>
      </c>
      <c r="AL7083">
        <v>84.201589051082095</v>
      </c>
      <c r="AM7083">
        <v>100.171645969712</v>
      </c>
      <c r="AN7083">
        <v>0.99999995100374806</v>
      </c>
    </row>
    <row r="7084" spans="1:40" x14ac:dyDescent="0.25">
      <c r="A7084" t="str">
        <f>"20190303162054528"</f>
        <v>20190303162054528</v>
      </c>
      <c r="B7084" t="str">
        <f>"1551601254519805"</f>
        <v>1551601254519805</v>
      </c>
      <c r="C7084" t="s">
        <v>40</v>
      </c>
      <c r="D7084">
        <v>4.711792</v>
      </c>
      <c r="E7084">
        <v>0.45328010000000002</v>
      </c>
      <c r="F7084" t="s">
        <v>41</v>
      </c>
      <c r="G7084">
        <v>-421.9332</v>
      </c>
      <c r="H7084" s="1">
        <v>-1.8357930000000001E-6</v>
      </c>
      <c r="I7084">
        <v>92.669390000000007</v>
      </c>
      <c r="J7084">
        <v>-415.1995</v>
      </c>
      <c r="K7084">
        <v>1.124368</v>
      </c>
      <c r="L7084">
        <v>124.93089999999999</v>
      </c>
      <c r="M7084">
        <v>-0.47783720000000002</v>
      </c>
      <c r="N7084">
        <v>-1.3892399999999999E-2</v>
      </c>
      <c r="O7084">
        <v>-0.87833869999999903</v>
      </c>
      <c r="P7084">
        <v>-0.3151949</v>
      </c>
      <c r="Q7084">
        <v>8.9850890000000003E-2</v>
      </c>
      <c r="R7084">
        <v>-0.94476420000000005</v>
      </c>
      <c r="S7084">
        <v>-0.62689209999999995</v>
      </c>
      <c r="T7084">
        <v>-0.1031464</v>
      </c>
      <c r="U7084">
        <v>-2.977249</v>
      </c>
      <c r="V7084">
        <v>-0.175341</v>
      </c>
      <c r="W7084">
        <v>0.1022246</v>
      </c>
      <c r="X7084">
        <v>0.97918620000000001</v>
      </c>
      <c r="Y7084">
        <v>-0.28655449999999999</v>
      </c>
      <c r="Z7084">
        <v>1.422326E-2</v>
      </c>
      <c r="AA7084">
        <v>0.95795839999999999</v>
      </c>
      <c r="AB7084">
        <v>22</v>
      </c>
      <c r="AC7084">
        <v>-6.73369999999999</v>
      </c>
      <c r="AD7084">
        <v>-1.1243698357930001</v>
      </c>
      <c r="AE7084">
        <v>-32.261509999999902</v>
      </c>
      <c r="AF7084">
        <v>-9.4911489657449604</v>
      </c>
      <c r="AG7084">
        <v>-1.1243698357930001</v>
      </c>
      <c r="AH7084">
        <v>31.520498520133799</v>
      </c>
      <c r="AI7084">
        <v>91.9562473180941</v>
      </c>
      <c r="AJ7084">
        <v>106.75759289893701</v>
      </c>
      <c r="AK7084">
        <v>32.937637182642</v>
      </c>
      <c r="AL7084">
        <v>84.132712558995294</v>
      </c>
      <c r="AM7084">
        <v>100.15224636431</v>
      </c>
      <c r="AN7084">
        <v>0.99999997469829904</v>
      </c>
    </row>
    <row r="7085" spans="1:40" x14ac:dyDescent="0.25">
      <c r="A7085" t="str">
        <f>"20190303162054551"</f>
        <v>20190303162054551</v>
      </c>
      <c r="B7085" t="str">
        <f>"1551601254539326"</f>
        <v>1551601254539326</v>
      </c>
      <c r="C7085" t="s">
        <v>40</v>
      </c>
      <c r="D7085">
        <v>4.9017019999999896</v>
      </c>
      <c r="E7085">
        <v>0.45224310000000001</v>
      </c>
      <c r="F7085" t="s">
        <v>41</v>
      </c>
      <c r="G7085">
        <v>-421.87119999999999</v>
      </c>
      <c r="H7085" s="1">
        <v>-1.74299E-6</v>
      </c>
      <c r="I7085">
        <v>92.491489999999999</v>
      </c>
      <c r="J7085">
        <v>-415.30399999999997</v>
      </c>
      <c r="K7085">
        <v>1.1243459999999901</v>
      </c>
      <c r="L7085">
        <v>124.7265</v>
      </c>
      <c r="M7085">
        <v>-0.47347270000000002</v>
      </c>
      <c r="N7085">
        <v>-1.388735E-2</v>
      </c>
      <c r="O7085">
        <v>-0.88069900000000001</v>
      </c>
      <c r="P7085">
        <v>-0.31147429999999998</v>
      </c>
      <c r="Q7085">
        <v>9.07945E-2</v>
      </c>
      <c r="R7085">
        <v>-0.94590739999999995</v>
      </c>
      <c r="S7085">
        <v>-0.6130371</v>
      </c>
      <c r="T7085">
        <v>-0.1033133</v>
      </c>
      <c r="U7085">
        <v>-2.9807130000000002</v>
      </c>
      <c r="V7085">
        <v>-0.17429220000000001</v>
      </c>
      <c r="W7085">
        <v>0.1031817</v>
      </c>
      <c r="X7085">
        <v>0.97927310000000001</v>
      </c>
      <c r="Y7085">
        <v>-0.28629329999999997</v>
      </c>
      <c r="Z7085">
        <v>1.434825E-2</v>
      </c>
      <c r="AA7085">
        <v>0.95803459999999996</v>
      </c>
      <c r="AB7085">
        <v>22</v>
      </c>
      <c r="AC7085">
        <v>-6.56719999999995</v>
      </c>
      <c r="AD7085">
        <v>-1.12434774299</v>
      </c>
      <c r="AE7085">
        <v>-32.235009999999903</v>
      </c>
      <c r="AF7085">
        <v>-9.4685246833235706</v>
      </c>
      <c r="AG7085">
        <v>-1.12434774299</v>
      </c>
      <c r="AH7085">
        <v>31.465014433619</v>
      </c>
      <c r="AI7085">
        <v>91.959757362488602</v>
      </c>
      <c r="AJ7085">
        <v>106.74771284345699</v>
      </c>
      <c r="AK7085">
        <v>32.878020786442299</v>
      </c>
      <c r="AL7085">
        <v>84.077583508824603</v>
      </c>
      <c r="AM7085">
        <v>100.09189566544801</v>
      </c>
      <c r="AN7085">
        <v>1.0000000192896601</v>
      </c>
    </row>
    <row r="7086" spans="1:40" x14ac:dyDescent="0.25">
      <c r="A7086" t="str">
        <f>"20190303162054573"</f>
        <v>20190303162054573</v>
      </c>
      <c r="B7086" t="str">
        <f>"1551601254559822"</f>
        <v>1551601254559822</v>
      </c>
      <c r="C7086" t="s">
        <v>40</v>
      </c>
      <c r="D7086">
        <v>4.7600439999999997</v>
      </c>
      <c r="E7086">
        <v>0.45256279999999999</v>
      </c>
      <c r="F7086" t="s">
        <v>41</v>
      </c>
      <c r="G7086">
        <v>-421.74419999999998</v>
      </c>
      <c r="H7086" s="1">
        <v>-1.635354E-6</v>
      </c>
      <c r="I7086">
        <v>92.319370000000006</v>
      </c>
      <c r="J7086">
        <v>-415.40410000000003</v>
      </c>
      <c r="K7086">
        <v>1.124328</v>
      </c>
      <c r="L7086">
        <v>124.5284</v>
      </c>
      <c r="M7086">
        <v>-0.46925539999999999</v>
      </c>
      <c r="N7086">
        <v>-1.388285E-2</v>
      </c>
      <c r="O7086">
        <v>-0.88295360000000001</v>
      </c>
      <c r="P7086">
        <v>-0.30795400000000001</v>
      </c>
      <c r="Q7086">
        <v>9.1388940000000002E-2</v>
      </c>
      <c r="R7086">
        <v>-0.94700220000000002</v>
      </c>
      <c r="S7086">
        <v>-0.59341429999999995</v>
      </c>
      <c r="T7086">
        <v>-0.1036006</v>
      </c>
      <c r="U7086">
        <v>-2.986084</v>
      </c>
      <c r="V7086">
        <v>-0.1732225</v>
      </c>
      <c r="W7086">
        <v>0.1037879</v>
      </c>
      <c r="X7086">
        <v>0.97939880000000001</v>
      </c>
      <c r="Y7086">
        <v>-0.28809859999999998</v>
      </c>
      <c r="Z7086">
        <v>1.4469859999999999E-2</v>
      </c>
      <c r="AA7086">
        <v>0.95749139999999999</v>
      </c>
      <c r="AB7086">
        <v>22</v>
      </c>
      <c r="AC7086">
        <v>-6.3400999999999499</v>
      </c>
      <c r="AD7086">
        <v>-1.124329635354</v>
      </c>
      <c r="AE7086">
        <v>-32.209029999999998</v>
      </c>
      <c r="AF7086">
        <v>-9.5060111284973594</v>
      </c>
      <c r="AG7086">
        <v>-1.124329635354</v>
      </c>
      <c r="AH7086">
        <v>31.3804149342673</v>
      </c>
      <c r="AI7086">
        <v>91.963915517417902</v>
      </c>
      <c r="AJ7086">
        <v>106.853038079616</v>
      </c>
      <c r="AK7086">
        <v>32.807907677126202</v>
      </c>
      <c r="AL7086">
        <v>84.042663123517997</v>
      </c>
      <c r="AM7086">
        <v>100.029958127985</v>
      </c>
      <c r="AN7086">
        <v>0.99999998606704898</v>
      </c>
    </row>
    <row r="7087" spans="1:40" x14ac:dyDescent="0.25">
      <c r="A7087" t="str">
        <f>"20190303162054595"</f>
        <v>20190303162054595</v>
      </c>
      <c r="B7087" t="str">
        <f>"1551601254590077"</f>
        <v>1551601254590077</v>
      </c>
      <c r="C7087" t="s">
        <v>40</v>
      </c>
      <c r="D7087">
        <v>5.8941350000000003</v>
      </c>
      <c r="E7087">
        <v>0.45322079999999998</v>
      </c>
      <c r="F7087" t="s">
        <v>41</v>
      </c>
      <c r="G7087">
        <v>-422.0283</v>
      </c>
      <c r="H7087" s="1">
        <v>-1.0085270000000001E-6</v>
      </c>
      <c r="I7087">
        <v>90.682000000000002</v>
      </c>
      <c r="J7087">
        <v>-415.5027</v>
      </c>
      <c r="K7087">
        <v>1.124315</v>
      </c>
      <c r="L7087">
        <v>124.3312</v>
      </c>
      <c r="M7087">
        <v>-0.46506380000000003</v>
      </c>
      <c r="N7087">
        <v>-1.3878710000000001E-2</v>
      </c>
      <c r="O7087">
        <v>-0.88516849999999903</v>
      </c>
      <c r="P7087">
        <v>-0.30432310000000001</v>
      </c>
      <c r="Q7087">
        <v>9.2017450000000001E-2</v>
      </c>
      <c r="R7087">
        <v>-0.94811420000000002</v>
      </c>
      <c r="S7087">
        <v>-0.58465579999999995</v>
      </c>
      <c r="T7087">
        <v>-9.9234580000000003E-2</v>
      </c>
      <c r="U7087">
        <v>-2.98732</v>
      </c>
      <c r="V7087">
        <v>-0.17230390000000001</v>
      </c>
      <c r="W7087">
        <v>0.1044248</v>
      </c>
      <c r="X7087">
        <v>0.97949310000000001</v>
      </c>
      <c r="Y7087">
        <v>-0.28633700000000001</v>
      </c>
      <c r="Z7087">
        <v>1.340242E-2</v>
      </c>
      <c r="AA7087">
        <v>0.95803519999999998</v>
      </c>
      <c r="AB7087">
        <v>22</v>
      </c>
      <c r="AC7087">
        <v>-6.5255999999999901</v>
      </c>
      <c r="AD7087">
        <v>-1.1243160085270001</v>
      </c>
      <c r="AE7087">
        <v>-33.649199999999901</v>
      </c>
      <c r="AF7087">
        <v>-9.8631068498763099</v>
      </c>
      <c r="AG7087">
        <v>-1.1243160085270001</v>
      </c>
      <c r="AH7087">
        <v>32.7879115032313</v>
      </c>
      <c r="AI7087">
        <v>91.880747234596697</v>
      </c>
      <c r="AJ7087">
        <v>106.742093070181</v>
      </c>
      <c r="AK7087">
        <v>34.257730572278597</v>
      </c>
      <c r="AL7087">
        <v>84.005971867792894</v>
      </c>
      <c r="AM7087">
        <v>99.976899512984204</v>
      </c>
      <c r="AN7087">
        <v>0.99999995287892895</v>
      </c>
    </row>
    <row r="7088" spans="1:40" x14ac:dyDescent="0.25">
      <c r="A7088" t="str">
        <f>"20190303162054619"</f>
        <v>20190303162054619</v>
      </c>
      <c r="B7088" t="str">
        <f>"1551601254609597"</f>
        <v>1551601254609597</v>
      </c>
      <c r="C7088" t="s">
        <v>40</v>
      </c>
      <c r="D7088">
        <v>4.762308</v>
      </c>
      <c r="E7088">
        <v>0.45367079999999999</v>
      </c>
      <c r="F7088" t="s">
        <v>41</v>
      </c>
      <c r="G7088">
        <v>-422.30040000000002</v>
      </c>
      <c r="H7088" s="1">
        <v>-4.5759709999999997E-6</v>
      </c>
      <c r="I7088">
        <v>89.234409999999997</v>
      </c>
      <c r="J7088">
        <v>-415.60050000000001</v>
      </c>
      <c r="K7088">
        <v>1.1243129999999999</v>
      </c>
      <c r="L7088">
        <v>124.133</v>
      </c>
      <c r="M7088">
        <v>-0.46085199999999998</v>
      </c>
      <c r="N7088">
        <v>-1.387481E-2</v>
      </c>
      <c r="O7088">
        <v>-0.88736890000000002</v>
      </c>
      <c r="P7088">
        <v>-0.30023519999999998</v>
      </c>
      <c r="Q7088">
        <v>9.2192549999999998E-2</v>
      </c>
      <c r="R7088">
        <v>-0.94939980000000002</v>
      </c>
      <c r="S7088">
        <v>-0.57867429999999997</v>
      </c>
      <c r="T7088">
        <v>-9.5710989999999996E-2</v>
      </c>
      <c r="U7088">
        <v>-2.987717</v>
      </c>
      <c r="V7088">
        <v>-0.17186019999999999</v>
      </c>
      <c r="W7088">
        <v>0.1046031</v>
      </c>
      <c r="X7088">
        <v>0.97955210000000004</v>
      </c>
      <c r="Y7088">
        <v>-0.28365610000000002</v>
      </c>
      <c r="Z7088">
        <v>1.256385E-2</v>
      </c>
      <c r="AA7088">
        <v>0.95884380000000002</v>
      </c>
      <c r="AB7088">
        <v>22</v>
      </c>
      <c r="AC7088">
        <v>-6.6999000000000102</v>
      </c>
      <c r="AD7088">
        <v>-1.12431757597099</v>
      </c>
      <c r="AE7088">
        <v>-34.898589999999999</v>
      </c>
      <c r="AF7088">
        <v>-10.1286358318279</v>
      </c>
      <c r="AG7088">
        <v>-1.12431757597099</v>
      </c>
      <c r="AH7088">
        <v>34.0247937722473</v>
      </c>
      <c r="AI7088">
        <v>91.813984970363805</v>
      </c>
      <c r="AJ7088">
        <v>106.57742501937</v>
      </c>
      <c r="AK7088">
        <v>35.518163593707797</v>
      </c>
      <c r="AL7088">
        <v>83.995700219006494</v>
      </c>
      <c r="AM7088">
        <v>99.951134806197899</v>
      </c>
      <c r="AN7088">
        <v>1.0000000267440201</v>
      </c>
    </row>
    <row r="7089" spans="1:40" x14ac:dyDescent="0.25">
      <c r="A7089" t="str">
        <f>"20190303162054640"</f>
        <v>20190303162054640</v>
      </c>
      <c r="B7089" t="str">
        <f>"1551601254630094"</f>
        <v>1551601254630094</v>
      </c>
      <c r="C7089" t="s">
        <v>40</v>
      </c>
      <c r="D7089">
        <v>4.7148440000000003</v>
      </c>
      <c r="E7089">
        <v>0.45397320000000002</v>
      </c>
      <c r="F7089" t="s">
        <v>41</v>
      </c>
      <c r="G7089">
        <v>-422.40429999999998</v>
      </c>
      <c r="H7089" s="1">
        <v>-4.3170530000000003E-6</v>
      </c>
      <c r="I7089">
        <v>88.419390000000007</v>
      </c>
      <c r="J7089">
        <v>-415.6977</v>
      </c>
      <c r="K7089">
        <v>1.124315</v>
      </c>
      <c r="L7089">
        <v>123.93389999999999</v>
      </c>
      <c r="M7089">
        <v>-0.45661439999999998</v>
      </c>
      <c r="N7089">
        <v>-1.3871140000000001E-2</v>
      </c>
      <c r="O7089">
        <v>-0.88955649999999997</v>
      </c>
      <c r="P7089">
        <v>-0.29566409999999999</v>
      </c>
      <c r="Q7089">
        <v>9.1775280000000001E-2</v>
      </c>
      <c r="R7089">
        <v>-0.95087319999999997</v>
      </c>
      <c r="S7089">
        <v>-0.56942749999999998</v>
      </c>
      <c r="T7089">
        <v>-9.4096540000000006E-2</v>
      </c>
      <c r="U7089">
        <v>-2.988953</v>
      </c>
      <c r="V7089">
        <v>-0.17191500000000001</v>
      </c>
      <c r="W7089">
        <v>0.10418479999999999</v>
      </c>
      <c r="X7089">
        <v>0.97958699999999999</v>
      </c>
      <c r="Y7089">
        <v>-0.28201809999999899</v>
      </c>
      <c r="Z7089">
        <v>1.22194E-2</v>
      </c>
      <c r="AA7089">
        <v>0.9593313</v>
      </c>
      <c r="AB7089">
        <v>22</v>
      </c>
      <c r="AC7089">
        <v>-6.7065999999999804</v>
      </c>
      <c r="AD7089">
        <v>-1.1243193170529999</v>
      </c>
      <c r="AE7089">
        <v>-35.514509999999902</v>
      </c>
      <c r="AF7089">
        <v>-10.241612904768999</v>
      </c>
      <c r="AG7089">
        <v>-1.1243193170529999</v>
      </c>
      <c r="AH7089">
        <v>34.624323047477397</v>
      </c>
      <c r="AI7089">
        <v>91.783517771771301</v>
      </c>
      <c r="AJ7089">
        <v>106.477818654148</v>
      </c>
      <c r="AK7089">
        <v>36.124762633322703</v>
      </c>
      <c r="AL7089">
        <v>84.019798347169498</v>
      </c>
      <c r="AM7089">
        <v>99.953896858118597</v>
      </c>
      <c r="AN7089">
        <v>0.99999996517251899</v>
      </c>
    </row>
    <row r="7090" spans="1:40" x14ac:dyDescent="0.25">
      <c r="A7090" t="str">
        <f>"20190303162054663"</f>
        <v>20190303162054663</v>
      </c>
      <c r="B7090" t="str">
        <f>"1551601254649614"</f>
        <v>1551601254649614</v>
      </c>
      <c r="C7090" t="s">
        <v>40</v>
      </c>
      <c r="D7090">
        <v>4.7088489999999998</v>
      </c>
      <c r="E7090">
        <v>0.454235</v>
      </c>
      <c r="F7090" t="s">
        <v>41</v>
      </c>
      <c r="G7090">
        <v>-422.37790000000001</v>
      </c>
      <c r="H7090" s="1">
        <v>-4.1952769999999999E-6</v>
      </c>
      <c r="I7090">
        <v>88.075339999999997</v>
      </c>
      <c r="J7090">
        <v>-415.79219999999998</v>
      </c>
      <c r="K7090">
        <v>1.1243069999999999</v>
      </c>
      <c r="L7090">
        <v>123.7379</v>
      </c>
      <c r="M7090">
        <v>-0.45243860000000002</v>
      </c>
      <c r="N7090">
        <v>-1.38678E-2</v>
      </c>
      <c r="O7090">
        <v>-0.89168780000000003</v>
      </c>
      <c r="P7090">
        <v>-0.29044750000000003</v>
      </c>
      <c r="Q7090">
        <v>9.1175859999999997E-2</v>
      </c>
      <c r="R7090">
        <v>-0.95253750000000004</v>
      </c>
      <c r="S7090">
        <v>-0.55715939999999997</v>
      </c>
      <c r="T7090">
        <v>-9.3773960000000003E-2</v>
      </c>
      <c r="U7090">
        <v>-2.9907840000000001</v>
      </c>
      <c r="V7090">
        <v>-0.17271300000000001</v>
      </c>
      <c r="W7090">
        <v>0.1035778</v>
      </c>
      <c r="X7090">
        <v>0.97951100000000002</v>
      </c>
      <c r="Y7090">
        <v>-0.28142840000000002</v>
      </c>
      <c r="Z7090">
        <v>1.220857E-2</v>
      </c>
      <c r="AA7090">
        <v>0.95950449999999998</v>
      </c>
      <c r="AB7090">
        <v>22</v>
      </c>
      <c r="AC7090">
        <v>-6.5857000000000303</v>
      </c>
      <c r="AD7090">
        <v>-1.124311195277</v>
      </c>
      <c r="AE7090">
        <v>-35.662559999999999</v>
      </c>
      <c r="AF7090">
        <v>-10.253861313315999</v>
      </c>
      <c r="AG7090">
        <v>-1.124311195277</v>
      </c>
      <c r="AH7090">
        <v>34.749438085565302</v>
      </c>
      <c r="AI7090">
        <v>91.777431395151297</v>
      </c>
      <c r="AJ7090">
        <v>106.440271473129</v>
      </c>
      <c r="AK7090">
        <v>36.248161260387803</v>
      </c>
      <c r="AL7090">
        <v>84.054766102159306</v>
      </c>
      <c r="AM7090">
        <v>99.999930947639498</v>
      </c>
      <c r="AN7090">
        <v>0.99999997007141905</v>
      </c>
    </row>
    <row r="7091" spans="1:40" x14ac:dyDescent="0.25">
      <c r="A7091" t="str">
        <f>"20190303162054685"</f>
        <v>20190303162054685</v>
      </c>
      <c r="B7091" t="str">
        <f>"1551601254679869"</f>
        <v>1551601254679869</v>
      </c>
      <c r="C7091" t="s">
        <v>40</v>
      </c>
      <c r="D7091">
        <v>4.7777640000000003</v>
      </c>
      <c r="E7091">
        <v>0.45468809999999898</v>
      </c>
      <c r="F7091" t="s">
        <v>41</v>
      </c>
      <c r="G7091">
        <v>-422.03620000000001</v>
      </c>
      <c r="H7091" s="1">
        <v>-4.5533099999999999E-6</v>
      </c>
      <c r="I7091">
        <v>89.305520000000001</v>
      </c>
      <c r="J7091">
        <v>-415.8879</v>
      </c>
      <c r="K7091">
        <v>1.1243050000000001</v>
      </c>
      <c r="L7091">
        <v>123.53700000000001</v>
      </c>
      <c r="M7091">
        <v>-0.44815060000000001</v>
      </c>
      <c r="N7091">
        <v>-1.386448E-2</v>
      </c>
      <c r="O7091">
        <v>-0.8938507</v>
      </c>
      <c r="P7091">
        <v>-0.28468539999999998</v>
      </c>
      <c r="Q7091">
        <v>9.0717140000000002E-2</v>
      </c>
      <c r="R7091">
        <v>-0.95431909999999998</v>
      </c>
      <c r="S7091">
        <v>-0.54281619999999997</v>
      </c>
      <c r="T7091">
        <v>-9.7740530000000006E-2</v>
      </c>
      <c r="U7091">
        <v>-2.9933320000000001</v>
      </c>
      <c r="V7091">
        <v>-0.17394519999999999</v>
      </c>
      <c r="W7091">
        <v>0.1031068</v>
      </c>
      <c r="X7091">
        <v>0.97934259999999995</v>
      </c>
      <c r="Y7091">
        <v>-0.281414</v>
      </c>
      <c r="Z7091">
        <v>1.335735E-2</v>
      </c>
      <c r="AA7091">
        <v>0.9594935</v>
      </c>
      <c r="AB7091">
        <v>22</v>
      </c>
      <c r="AC7091">
        <v>-6.1482999999999999</v>
      </c>
      <c r="AD7091">
        <v>-1.1243095533099901</v>
      </c>
      <c r="AE7091">
        <v>-34.231479999999998</v>
      </c>
      <c r="AF7091">
        <v>-9.8358623120608506</v>
      </c>
      <c r="AG7091">
        <v>-1.1243095533099901</v>
      </c>
      <c r="AH7091">
        <v>33.321576223299097</v>
      </c>
      <c r="AI7091">
        <v>91.85349099279</v>
      </c>
      <c r="AJ7091">
        <v>106.445545462651</v>
      </c>
      <c r="AK7091">
        <v>34.761123419685603</v>
      </c>
      <c r="AL7091">
        <v>84.0818974824695</v>
      </c>
      <c r="AM7091">
        <v>100.071515249987</v>
      </c>
      <c r="AN7091">
        <v>0.99999993649201702</v>
      </c>
    </row>
    <row r="7092" spans="1:40" x14ac:dyDescent="0.25">
      <c r="A7092" t="str">
        <f>"20190303162054707"</f>
        <v>20190303162054707</v>
      </c>
      <c r="B7092" t="str">
        <f>"1551601254699389"</f>
        <v>1551601254699389</v>
      </c>
      <c r="C7092" t="s">
        <v>40</v>
      </c>
      <c r="D7092">
        <v>4.7114079999999996</v>
      </c>
      <c r="E7092">
        <v>0.45510729999999999</v>
      </c>
      <c r="F7092" t="s">
        <v>41</v>
      </c>
      <c r="G7092">
        <v>-421.67970000000003</v>
      </c>
      <c r="H7092" s="1">
        <v>-9.3264909999999999E-7</v>
      </c>
      <c r="I7092">
        <v>90.721339999999998</v>
      </c>
      <c r="J7092">
        <v>-415.97899999999998</v>
      </c>
      <c r="K7092">
        <v>1.1243000000000001</v>
      </c>
      <c r="L7092">
        <v>123.34310000000001</v>
      </c>
      <c r="M7092">
        <v>-0.44400800000000001</v>
      </c>
      <c r="N7092">
        <v>-1.386133E-2</v>
      </c>
      <c r="O7092">
        <v>-0.89591580000000004</v>
      </c>
      <c r="P7092">
        <v>-0.27972209999999997</v>
      </c>
      <c r="Q7092">
        <v>9.014461E-2</v>
      </c>
      <c r="R7092">
        <v>-0.95584000000000002</v>
      </c>
      <c r="S7092">
        <v>-0.52871699999999999</v>
      </c>
      <c r="T7092">
        <v>-0.1026343</v>
      </c>
      <c r="U7092">
        <v>-2.9956360000000002</v>
      </c>
      <c r="V7092">
        <v>-0.17452019999999999</v>
      </c>
      <c r="W7092">
        <v>0.1025286</v>
      </c>
      <c r="X7092">
        <v>0.97930099999999998</v>
      </c>
      <c r="Y7092">
        <v>-0.28147739999999999</v>
      </c>
      <c r="Z7092">
        <v>1.476396E-2</v>
      </c>
      <c r="AA7092">
        <v>0.95945420000000003</v>
      </c>
      <c r="AB7092">
        <v>22</v>
      </c>
      <c r="AC7092">
        <v>-5.7006999999999799</v>
      </c>
      <c r="AD7092">
        <v>-1.1243009326491</v>
      </c>
      <c r="AE7092">
        <v>-32.621760000000002</v>
      </c>
      <c r="AF7092">
        <v>-9.3670777927032294</v>
      </c>
      <c r="AG7092">
        <v>-1.1243009326491</v>
      </c>
      <c r="AH7092">
        <v>31.723986487351802</v>
      </c>
      <c r="AI7092">
        <v>91.946699526344403</v>
      </c>
      <c r="AJ7092">
        <v>106.450183740109</v>
      </c>
      <c r="AK7092">
        <v>33.097092283331897</v>
      </c>
      <c r="AL7092">
        <v>84.115202383137003</v>
      </c>
      <c r="AM7092">
        <v>100.10454352958</v>
      </c>
      <c r="AN7092">
        <v>0.99999993131349696</v>
      </c>
    </row>
    <row r="7093" spans="1:40" x14ac:dyDescent="0.25">
      <c r="A7093" t="str">
        <f>"20190303162054729"</f>
        <v>20190303162054729</v>
      </c>
      <c r="B7093" t="str">
        <f>"1551601254719885"</f>
        <v>1551601254719885</v>
      </c>
      <c r="C7093" t="s">
        <v>40</v>
      </c>
      <c r="D7093">
        <v>4.7130089999999996</v>
      </c>
      <c r="E7093">
        <v>0.45556419999999997</v>
      </c>
      <c r="F7093" t="s">
        <v>41</v>
      </c>
      <c r="G7093">
        <v>-421.50740000000002</v>
      </c>
      <c r="H7093" s="1">
        <v>-1.1072970000000001E-6</v>
      </c>
      <c r="I7093">
        <v>91.235290000000006</v>
      </c>
      <c r="J7093">
        <v>-416.06979999999999</v>
      </c>
      <c r="K7093">
        <v>1.124293</v>
      </c>
      <c r="L7093">
        <v>123.14749999999999</v>
      </c>
      <c r="M7093">
        <v>-0.4398242</v>
      </c>
      <c r="N7093">
        <v>-1.3858280000000001E-2</v>
      </c>
      <c r="O7093">
        <v>-0.89797719999999903</v>
      </c>
      <c r="P7093">
        <v>-0.27571380000000001</v>
      </c>
      <c r="Q7093">
        <v>8.9304359999999999E-2</v>
      </c>
      <c r="R7093">
        <v>-0.95708260000000001</v>
      </c>
      <c r="S7093">
        <v>-0.5161133</v>
      </c>
      <c r="T7093">
        <v>-0.10496</v>
      </c>
      <c r="U7093">
        <v>-2.997452</v>
      </c>
      <c r="V7093">
        <v>-0.17408370000000001</v>
      </c>
      <c r="W7093">
        <v>0.1016928</v>
      </c>
      <c r="X7093">
        <v>0.9794659</v>
      </c>
      <c r="Y7093">
        <v>-0.28101680000000001</v>
      </c>
      <c r="Z7093">
        <v>1.548271E-2</v>
      </c>
      <c r="AA7093">
        <v>0.95957800000000004</v>
      </c>
      <c r="AB7093">
        <v>22</v>
      </c>
      <c r="AC7093">
        <v>-5.43760000000003</v>
      </c>
      <c r="AD7093">
        <v>-1.1242941072970001</v>
      </c>
      <c r="AE7093">
        <v>-31.912209999999899</v>
      </c>
      <c r="AF7093">
        <v>-9.1427705449956704</v>
      </c>
      <c r="AG7093">
        <v>-1.1242941072970001</v>
      </c>
      <c r="AH7093">
        <v>31.013591855783499</v>
      </c>
      <c r="AI7093">
        <v>91.991496248779796</v>
      </c>
      <c r="AJ7093">
        <v>106.425455135344</v>
      </c>
      <c r="AK7093">
        <v>32.352699582496498</v>
      </c>
      <c r="AL7093">
        <v>84.163342253204107</v>
      </c>
      <c r="AM7093">
        <v>100.07812727702699</v>
      </c>
      <c r="AN7093">
        <v>1.00000000472017</v>
      </c>
    </row>
    <row r="7094" spans="1:40" x14ac:dyDescent="0.25">
      <c r="A7094" t="str">
        <f>"20190303162054752"</f>
        <v>20190303162054752</v>
      </c>
      <c r="B7094" t="str">
        <f>"1551601254739406"</f>
        <v>1551601254739406</v>
      </c>
      <c r="C7094" t="s">
        <v>40</v>
      </c>
      <c r="D7094">
        <v>8.2688609999999994</v>
      </c>
      <c r="E7094">
        <v>0.45608140000000003</v>
      </c>
      <c r="F7094" t="s">
        <v>41</v>
      </c>
      <c r="G7094">
        <v>-421.29250000000002</v>
      </c>
      <c r="H7094" s="1">
        <v>-1.481962E-6</v>
      </c>
      <c r="I7094">
        <v>92.241960000000006</v>
      </c>
      <c r="J7094">
        <v>-416.16230000000002</v>
      </c>
      <c r="K7094">
        <v>1.124279</v>
      </c>
      <c r="L7094">
        <v>122.9461</v>
      </c>
      <c r="M7094">
        <v>-0.43551190000000001</v>
      </c>
      <c r="N7094">
        <v>-1.385509E-2</v>
      </c>
      <c r="O7094">
        <v>-0.90007630000000005</v>
      </c>
      <c r="P7094">
        <v>-0.27150659999999999</v>
      </c>
      <c r="Q7094">
        <v>8.8736819999999994E-2</v>
      </c>
      <c r="R7094">
        <v>-0.95833729999999995</v>
      </c>
      <c r="S7094">
        <v>-0.50674439999999998</v>
      </c>
      <c r="T7094">
        <v>-0.1090879</v>
      </c>
      <c r="U7094">
        <v>-2.9987029999999999</v>
      </c>
      <c r="V7094">
        <v>-0.17370559999999999</v>
      </c>
      <c r="W7094">
        <v>0.1011288</v>
      </c>
      <c r="X7094">
        <v>0.9795914</v>
      </c>
      <c r="Y7094">
        <v>-0.2793947</v>
      </c>
      <c r="Z7094">
        <v>1.6716459999999999E-2</v>
      </c>
      <c r="AA7094">
        <v>0.96003079999999996</v>
      </c>
      <c r="AB7094">
        <v>22</v>
      </c>
      <c r="AC7094">
        <v>-5.1302000000000003</v>
      </c>
      <c r="AD7094">
        <v>-1.124280481962</v>
      </c>
      <c r="AE7094">
        <v>-30.704139999999999</v>
      </c>
      <c r="AF7094">
        <v>-8.7438824694388604</v>
      </c>
      <c r="AG7094">
        <v>-1.124280481962</v>
      </c>
      <c r="AH7094">
        <v>29.8342857951118</v>
      </c>
      <c r="AI7094">
        <v>92.071086112007805</v>
      </c>
      <c r="AJ7094">
        <v>106.33489408963599</v>
      </c>
      <c r="AK7094">
        <v>31.109549918729002</v>
      </c>
      <c r="AL7094">
        <v>84.195824447168206</v>
      </c>
      <c r="AM7094">
        <v>100.055423320735</v>
      </c>
      <c r="AN7094">
        <v>0.99999999030737996</v>
      </c>
    </row>
    <row r="7095" spans="1:40" x14ac:dyDescent="0.25">
      <c r="A7095" t="str">
        <f>"20190303162054775"</f>
        <v>20190303162054775</v>
      </c>
      <c r="B7095" t="str">
        <f>"1551601254769661"</f>
        <v>1551601254769661</v>
      </c>
      <c r="C7095" t="s">
        <v>40</v>
      </c>
      <c r="D7095">
        <v>4.6936559999999998</v>
      </c>
      <c r="E7095">
        <v>0.45695960000000002</v>
      </c>
      <c r="F7095" t="s">
        <v>41</v>
      </c>
      <c r="G7095">
        <v>-421.24430000000001</v>
      </c>
      <c r="H7095" s="1">
        <v>-1.4998009999999901E-6</v>
      </c>
      <c r="I7095">
        <v>92.313429999999997</v>
      </c>
      <c r="J7095">
        <v>-416.25670000000002</v>
      </c>
      <c r="K7095">
        <v>1.1242730000000001</v>
      </c>
      <c r="L7095">
        <v>122.73739999999999</v>
      </c>
      <c r="M7095">
        <v>-0.43104520000000002</v>
      </c>
      <c r="N7095">
        <v>-1.385194E-2</v>
      </c>
      <c r="O7095">
        <v>-0.90222389999999997</v>
      </c>
      <c r="P7095">
        <v>-0.267235</v>
      </c>
      <c r="Q7095">
        <v>8.8184860000000004E-2</v>
      </c>
      <c r="R7095">
        <v>-0.9595882</v>
      </c>
      <c r="S7095">
        <v>-0.49765009999999998</v>
      </c>
      <c r="T7095">
        <v>-0.1100932</v>
      </c>
      <c r="U7095">
        <v>-2.9996489999999998</v>
      </c>
      <c r="V7095">
        <v>-0.17322939999999901</v>
      </c>
      <c r="W7095">
        <v>0.1005818</v>
      </c>
      <c r="X7095">
        <v>0.97973200000000005</v>
      </c>
      <c r="Y7095">
        <v>-0.27751720000000002</v>
      </c>
      <c r="Z7095">
        <v>1.7103139999999999E-2</v>
      </c>
      <c r="AA7095">
        <v>0.96056839999999999</v>
      </c>
      <c r="AB7095">
        <v>22</v>
      </c>
      <c r="AC7095">
        <v>-4.98759999999998</v>
      </c>
      <c r="AD7095">
        <v>-1.1242744998009999</v>
      </c>
      <c r="AE7095">
        <v>-30.423969999999901</v>
      </c>
      <c r="AF7095">
        <v>-8.6035604396318099</v>
      </c>
      <c r="AG7095">
        <v>-1.1242744998009999</v>
      </c>
      <c r="AH7095">
        <v>29.562643649252799</v>
      </c>
      <c r="AI7095">
        <v>92.091243089954204</v>
      </c>
      <c r="AJ7095">
        <v>106.22648094677101</v>
      </c>
      <c r="AK7095">
        <v>30.809659928697801</v>
      </c>
      <c r="AL7095">
        <v>84.227325672638699</v>
      </c>
      <c r="AM7095">
        <v>100.027007524277</v>
      </c>
      <c r="AN7095">
        <v>0.99999995766979899</v>
      </c>
    </row>
    <row r="7096" spans="1:40" x14ac:dyDescent="0.25">
      <c r="A7096" t="str">
        <f>"20190303162054796"</f>
        <v>20190303162054796</v>
      </c>
      <c r="B7096" t="str">
        <f>"1551601254789181"</f>
        <v>1551601254789181</v>
      </c>
      <c r="C7096" t="s">
        <v>40</v>
      </c>
      <c r="D7096">
        <v>4.6846509999999997</v>
      </c>
      <c r="E7096">
        <v>0.45753660000000002</v>
      </c>
      <c r="F7096" t="s">
        <v>41</v>
      </c>
      <c r="G7096">
        <v>-421.31079999999997</v>
      </c>
      <c r="H7096" s="1">
        <v>-1.325812E-6</v>
      </c>
      <c r="I7096">
        <v>91.866630000000001</v>
      </c>
      <c r="J7096">
        <v>-416.34339999999997</v>
      </c>
      <c r="K7096">
        <v>1.1242669999999999</v>
      </c>
      <c r="L7096">
        <v>122.5436</v>
      </c>
      <c r="M7096">
        <v>-0.4268941</v>
      </c>
      <c r="N7096">
        <v>-1.384902E-2</v>
      </c>
      <c r="O7096">
        <v>-0.90419579999999999</v>
      </c>
      <c r="P7096">
        <v>-0.26314460000000001</v>
      </c>
      <c r="Q7096">
        <v>8.7925080000000003E-2</v>
      </c>
      <c r="R7096">
        <v>-0.96074179999999998</v>
      </c>
      <c r="S7096">
        <v>-0.49108889999999999</v>
      </c>
      <c r="T7096">
        <v>-0.1092428</v>
      </c>
      <c r="U7096">
        <v>-2.9996339999999999</v>
      </c>
      <c r="V7096">
        <v>-0.1729069</v>
      </c>
      <c r="W7096">
        <v>0.1003247</v>
      </c>
      <c r="X7096">
        <v>0.9798154</v>
      </c>
      <c r="Y7096">
        <v>-0.27514690000000003</v>
      </c>
      <c r="Z7096">
        <v>1.698119E-2</v>
      </c>
      <c r="AA7096">
        <v>0.9612522</v>
      </c>
      <c r="AB7096">
        <v>22</v>
      </c>
      <c r="AC7096">
        <v>-4.9673999999999898</v>
      </c>
      <c r="AD7096">
        <v>-1.1242683258120001</v>
      </c>
      <c r="AE7096">
        <v>-30.676970000000001</v>
      </c>
      <c r="AF7096">
        <v>-8.5938910415067102</v>
      </c>
      <c r="AG7096">
        <v>-1.1242683258120001</v>
      </c>
      <c r="AH7096">
        <v>29.822367170075101</v>
      </c>
      <c r="AI7096">
        <v>92.074617696619399</v>
      </c>
      <c r="AJ7096">
        <v>106.075358015001</v>
      </c>
      <c r="AK7096">
        <v>31.056279978910599</v>
      </c>
      <c r="AL7096">
        <v>84.242131725041503</v>
      </c>
      <c r="AM7096">
        <v>100.007883394345</v>
      </c>
      <c r="AN7096">
        <v>1.0000000297874201</v>
      </c>
    </row>
    <row r="7097" spans="1:40" x14ac:dyDescent="0.25">
      <c r="A7097" t="str">
        <f>"20190303162054820"</f>
        <v>20190303162054820</v>
      </c>
      <c r="B7097" t="str">
        <f>"1551601254811630"</f>
        <v>1551601254811630</v>
      </c>
      <c r="C7097" t="s">
        <v>40</v>
      </c>
      <c r="D7097">
        <v>4.7817939999999997</v>
      </c>
      <c r="E7097">
        <v>0.45808539999999998</v>
      </c>
      <c r="F7097" t="s">
        <v>41</v>
      </c>
      <c r="G7097">
        <v>-421.29750000000001</v>
      </c>
      <c r="H7097" s="1">
        <v>-1.264156E-6</v>
      </c>
      <c r="I7097">
        <v>91.731160000000003</v>
      </c>
      <c r="J7097">
        <v>-416.43310000000002</v>
      </c>
      <c r="K7097">
        <v>1.124261</v>
      </c>
      <c r="L7097">
        <v>122.34050000000001</v>
      </c>
      <c r="M7097">
        <v>-0.422543</v>
      </c>
      <c r="N7097">
        <v>-1.3845909999999999E-2</v>
      </c>
      <c r="O7097">
        <v>-0.90623730000000002</v>
      </c>
      <c r="P7097">
        <v>-0.2588975</v>
      </c>
      <c r="Q7097">
        <v>8.8000019999999998E-2</v>
      </c>
      <c r="R7097">
        <v>-0.96188810000000002</v>
      </c>
      <c r="S7097">
        <v>-0.48242190000000001</v>
      </c>
      <c r="T7097">
        <v>-0.1094797</v>
      </c>
      <c r="U7097">
        <v>-3.0004729999999999</v>
      </c>
      <c r="V7097">
        <v>-0.17252149999999999</v>
      </c>
      <c r="W7097">
        <v>0.1004039</v>
      </c>
      <c r="X7097">
        <v>0.97987519999999995</v>
      </c>
      <c r="Y7097">
        <v>-0.27327469999999998</v>
      </c>
      <c r="Z7097">
        <v>1.715206E-2</v>
      </c>
      <c r="AA7097">
        <v>0.9617831</v>
      </c>
      <c r="AB7097">
        <v>22</v>
      </c>
      <c r="AC7097">
        <v>-4.8643999999999803</v>
      </c>
      <c r="AD7097">
        <v>-1.1242622641560001</v>
      </c>
      <c r="AE7097">
        <v>-30.60934</v>
      </c>
      <c r="AF7097">
        <v>-8.5150732274638408</v>
      </c>
      <c r="AG7097">
        <v>-1.1242622641560001</v>
      </c>
      <c r="AH7097">
        <v>29.758438466273901</v>
      </c>
      <c r="AI7097">
        <v>92.0801780649074</v>
      </c>
      <c r="AJ7097">
        <v>105.967932807945</v>
      </c>
      <c r="AK7097">
        <v>30.9731350957355</v>
      </c>
      <c r="AL7097">
        <v>84.237570752325894</v>
      </c>
      <c r="AM7097">
        <v>99.985428698605602</v>
      </c>
      <c r="AN7097">
        <v>1.00000000933624</v>
      </c>
    </row>
    <row r="7098" spans="1:40" x14ac:dyDescent="0.25">
      <c r="A7098" t="str">
        <f>"20190303162054840"</f>
        <v>20190303162054840</v>
      </c>
      <c r="B7098" t="str">
        <f>"1551601254829197"</f>
        <v>1551601254829197</v>
      </c>
      <c r="C7098" t="s">
        <v>40</v>
      </c>
      <c r="D7098">
        <v>4.6562390000000002</v>
      </c>
      <c r="E7098">
        <v>0.45840809999999999</v>
      </c>
      <c r="F7098" t="s">
        <v>41</v>
      </c>
      <c r="G7098">
        <v>-421.2842</v>
      </c>
      <c r="H7098" s="1">
        <v>-1.196749E-6</v>
      </c>
      <c r="I7098">
        <v>91.582239999999999</v>
      </c>
      <c r="J7098">
        <v>-416.51609999999999</v>
      </c>
      <c r="K7098">
        <v>1.124255</v>
      </c>
      <c r="L7098">
        <v>122.15009999999999</v>
      </c>
      <c r="M7098">
        <v>-0.41846349999999999</v>
      </c>
      <c r="N7098">
        <v>-1.3843100000000001E-2</v>
      </c>
      <c r="O7098">
        <v>-0.9081283</v>
      </c>
      <c r="P7098">
        <v>-0.2543781</v>
      </c>
      <c r="Q7098">
        <v>8.8352929999999996E-2</v>
      </c>
      <c r="R7098">
        <v>-0.96306069999999999</v>
      </c>
      <c r="S7098">
        <v>-0.4733887</v>
      </c>
      <c r="T7098">
        <v>-0.1097093</v>
      </c>
      <c r="U7098">
        <v>-3.0014949999999998</v>
      </c>
      <c r="V7098">
        <v>-0.17270360000000001</v>
      </c>
      <c r="W7098">
        <v>0.1007545</v>
      </c>
      <c r="X7098">
        <v>0.97980710000000004</v>
      </c>
      <c r="Y7098">
        <v>-0.27182399999999901</v>
      </c>
      <c r="Z7098">
        <v>1.730932E-2</v>
      </c>
      <c r="AA7098">
        <v>0.96219129999999997</v>
      </c>
      <c r="AB7098">
        <v>22</v>
      </c>
      <c r="AC7098">
        <v>-4.7680999999999996</v>
      </c>
      <c r="AD7098">
        <v>-1.1242561967489999</v>
      </c>
      <c r="AE7098">
        <v>-30.56786</v>
      </c>
      <c r="AF7098">
        <v>-8.4511362656688203</v>
      </c>
      <c r="AG7098">
        <v>-1.1242561967489999</v>
      </c>
      <c r="AH7098">
        <v>29.718415721761001</v>
      </c>
      <c r="AI7098">
        <v>92.083935581575005</v>
      </c>
      <c r="AJ7098">
        <v>105.874358616612</v>
      </c>
      <c r="AK7098">
        <v>30.9171455536931</v>
      </c>
      <c r="AL7098">
        <v>84.2173802862755</v>
      </c>
      <c r="AM7098">
        <v>99.996436798879003</v>
      </c>
      <c r="AN7098">
        <v>0.99999997796680895</v>
      </c>
    </row>
    <row r="7099" spans="1:40" x14ac:dyDescent="0.25">
      <c r="A7099" t="str">
        <f>"20190303162054864"</f>
        <v>20190303162054864</v>
      </c>
      <c r="B7099" t="str">
        <f>"1551601254849694"</f>
        <v>1551601254849694</v>
      </c>
      <c r="C7099" t="s">
        <v>40</v>
      </c>
      <c r="D7099">
        <v>4.8560829999999999</v>
      </c>
      <c r="E7099">
        <v>0.45887470000000002</v>
      </c>
      <c r="F7099" t="s">
        <v>41</v>
      </c>
      <c r="G7099">
        <v>-421.18029999999999</v>
      </c>
      <c r="H7099" s="1">
        <v>-1.267711E-6</v>
      </c>
      <c r="I7099">
        <v>91.812119999999993</v>
      </c>
      <c r="J7099">
        <v>-416.6035</v>
      </c>
      <c r="K7099">
        <v>1.1242490000000001</v>
      </c>
      <c r="L7099">
        <v>121.9472</v>
      </c>
      <c r="M7099">
        <v>-0.4141164</v>
      </c>
      <c r="N7099">
        <v>-1.3840109999999999E-2</v>
      </c>
      <c r="O7099">
        <v>-0.91011869999999995</v>
      </c>
      <c r="P7099">
        <v>-0.24954419999999999</v>
      </c>
      <c r="Q7099">
        <v>8.8524920000000007E-2</v>
      </c>
      <c r="R7099">
        <v>-0.96430879999999997</v>
      </c>
      <c r="S7099">
        <v>-0.461731</v>
      </c>
      <c r="T7099">
        <v>-0.1112959</v>
      </c>
      <c r="U7099">
        <v>-3.0033110000000001</v>
      </c>
      <c r="V7099">
        <v>-0.17292579999999999</v>
      </c>
      <c r="W7099">
        <v>0.1009248</v>
      </c>
      <c r="X7099">
        <v>0.97975040000000002</v>
      </c>
      <c r="Y7099">
        <v>-0.27095920000000001</v>
      </c>
      <c r="Z7099">
        <v>1.7840809999999999E-2</v>
      </c>
      <c r="AA7099">
        <v>0.96242550000000004</v>
      </c>
      <c r="AB7099">
        <v>22</v>
      </c>
      <c r="AC7099">
        <v>-4.5767999999999898</v>
      </c>
      <c r="AD7099">
        <v>-1.124250267711</v>
      </c>
      <c r="AE7099">
        <v>-30.135079999999999</v>
      </c>
      <c r="AF7099">
        <v>-8.3034996392848495</v>
      </c>
      <c r="AG7099">
        <v>-1.124250267711</v>
      </c>
      <c r="AH7099">
        <v>29.284796574883298</v>
      </c>
      <c r="AI7099">
        <v>92.115214644973705</v>
      </c>
      <c r="AJ7099">
        <v>105.830314659301</v>
      </c>
      <c r="AK7099">
        <v>30.459995984181401</v>
      </c>
      <c r="AL7099">
        <v>84.207572933348004</v>
      </c>
      <c r="AM7099">
        <v>100.009605811358</v>
      </c>
      <c r="AN7099">
        <v>0.99999999693041997</v>
      </c>
    </row>
    <row r="7100" spans="1:40" x14ac:dyDescent="0.25">
      <c r="A7100" t="str">
        <f>"20190303162054886"</f>
        <v>20190303162054886</v>
      </c>
      <c r="B7100" t="str">
        <f>"1551601254879955"</f>
        <v>1551601254879955</v>
      </c>
      <c r="C7100" t="s">
        <v>40</v>
      </c>
      <c r="D7100">
        <v>4.8438619999999997</v>
      </c>
      <c r="E7100">
        <v>0.45928269999999999</v>
      </c>
      <c r="F7100" t="s">
        <v>41</v>
      </c>
      <c r="G7100">
        <v>-421.16500000000002</v>
      </c>
      <c r="H7100" s="1">
        <v>-1.1473410000000001E-6</v>
      </c>
      <c r="I7100">
        <v>91.541020000000003</v>
      </c>
      <c r="J7100">
        <v>-416.68759999999997</v>
      </c>
      <c r="K7100">
        <v>1.124242</v>
      </c>
      <c r="L7100">
        <v>121.74930000000001</v>
      </c>
      <c r="M7100">
        <v>-0.40987489999999999</v>
      </c>
      <c r="N7100">
        <v>-1.3837169999999999E-2</v>
      </c>
      <c r="O7100">
        <v>-0.91203699999999999</v>
      </c>
      <c r="P7100">
        <v>-0.24491850000000001</v>
      </c>
      <c r="Q7100">
        <v>8.8240120000000005E-2</v>
      </c>
      <c r="R7100">
        <v>-0.96552009999999999</v>
      </c>
      <c r="S7100">
        <v>-0.4507446</v>
      </c>
      <c r="T7100">
        <v>-0.1110923</v>
      </c>
      <c r="U7100">
        <v>-3.004578</v>
      </c>
      <c r="V7100">
        <v>-0.17306820000000001</v>
      </c>
      <c r="W7100">
        <v>0.1006392</v>
      </c>
      <c r="X7100">
        <v>0.97975460000000003</v>
      </c>
      <c r="Y7100">
        <v>-0.26997910000000003</v>
      </c>
      <c r="Z7100">
        <v>1.787441E-2</v>
      </c>
      <c r="AA7100">
        <v>0.96270020000000001</v>
      </c>
      <c r="AB7100">
        <v>22</v>
      </c>
      <c r="AC7100">
        <v>-4.4774000000000402</v>
      </c>
      <c r="AD7100">
        <v>-1.1242431473409999</v>
      </c>
      <c r="AE7100">
        <v>-30.208279999999998</v>
      </c>
      <c r="AF7100">
        <v>-8.2876220787001191</v>
      </c>
      <c r="AG7100">
        <v>-1.1242431473409999</v>
      </c>
      <c r="AH7100">
        <v>29.349274198017699</v>
      </c>
      <c r="AI7100">
        <v>92.111201645287593</v>
      </c>
      <c r="AJ7100">
        <v>105.768571462057</v>
      </c>
      <c r="AK7100">
        <v>30.517675178888201</v>
      </c>
      <c r="AL7100">
        <v>84.224020154799902</v>
      </c>
      <c r="AM7100">
        <v>100.017639501048</v>
      </c>
      <c r="AN7100">
        <v>0.99999996332451901</v>
      </c>
    </row>
    <row r="7101" spans="1:40" x14ac:dyDescent="0.25">
      <c r="A7101" t="str">
        <f>"20190303162054908"</f>
        <v>20190303162054908</v>
      </c>
      <c r="B7101" t="str">
        <f>"1551601254899469"</f>
        <v>1551601254899469</v>
      </c>
      <c r="C7101" t="s">
        <v>40</v>
      </c>
      <c r="D7101">
        <v>4.7957229999999997</v>
      </c>
      <c r="E7101">
        <v>0.47148950000000001</v>
      </c>
      <c r="F7101" t="s">
        <v>41</v>
      </c>
      <c r="G7101">
        <v>-421.142</v>
      </c>
      <c r="H7101" s="1">
        <v>-1.0290809999999999E-6</v>
      </c>
      <c r="I7101">
        <v>91.279629999999997</v>
      </c>
      <c r="J7101">
        <v>-416.77019999999999</v>
      </c>
      <c r="K7101">
        <v>1.124241</v>
      </c>
      <c r="L7101">
        <v>121.5522</v>
      </c>
      <c r="M7101">
        <v>-0.40565000000000001</v>
      </c>
      <c r="N7101">
        <v>-1.3834300000000001E-2</v>
      </c>
      <c r="O7101">
        <v>-0.91392379999999995</v>
      </c>
      <c r="P7101">
        <v>-0.2408325</v>
      </c>
      <c r="Q7101">
        <v>8.7958659999999994E-2</v>
      </c>
      <c r="R7101">
        <v>-0.96657280000000001</v>
      </c>
      <c r="S7101">
        <v>-0.4394226</v>
      </c>
      <c r="T7101">
        <v>-0.1109059</v>
      </c>
      <c r="U7101">
        <v>-3.005814</v>
      </c>
      <c r="V7101">
        <v>-0.1726848</v>
      </c>
      <c r="W7101">
        <v>0.1003622</v>
      </c>
      <c r="X7101">
        <v>0.97985069999999996</v>
      </c>
      <c r="Y7101">
        <v>-0.26913039999999999</v>
      </c>
      <c r="Z7101">
        <v>1.791038E-2</v>
      </c>
      <c r="AA7101">
        <v>0.96293720000000005</v>
      </c>
      <c r="AB7101">
        <v>22</v>
      </c>
      <c r="AC7101">
        <v>-4.3718000000000004</v>
      </c>
      <c r="AD7101">
        <v>-1.124242029081</v>
      </c>
      <c r="AE7101">
        <v>-30.272569999999899</v>
      </c>
      <c r="AF7101">
        <v>-8.2741902884930596</v>
      </c>
      <c r="AG7101">
        <v>-1.124242029081</v>
      </c>
      <c r="AH7101">
        <v>29.403336169685002</v>
      </c>
      <c r="AI7101">
        <v>92.107858011883295</v>
      </c>
      <c r="AJ7101">
        <v>105.716767088164</v>
      </c>
      <c r="AK7101">
        <v>30.566032175891699</v>
      </c>
      <c r="AL7101">
        <v>84.239972078233194</v>
      </c>
      <c r="AM7101">
        <v>99.994934770479702</v>
      </c>
      <c r="AN7101">
        <v>1.0000000028151801</v>
      </c>
    </row>
    <row r="7102" spans="1:40" x14ac:dyDescent="0.25">
      <c r="A7102" t="str">
        <f>"20190303162054930"</f>
        <v>20190303162054930</v>
      </c>
      <c r="B7102" t="str">
        <f>"1551601254919965"</f>
        <v>1551601254919965</v>
      </c>
      <c r="C7102" t="s">
        <v>40</v>
      </c>
      <c r="D7102">
        <v>4.7907630000000001</v>
      </c>
      <c r="E7102">
        <v>0.47105740000000001</v>
      </c>
      <c r="F7102" t="s">
        <v>41</v>
      </c>
      <c r="G7102">
        <v>-422.39370000000002</v>
      </c>
      <c r="H7102" s="1">
        <v>-4.6244110000000002E-6</v>
      </c>
      <c r="I7102">
        <v>89.328090000000003</v>
      </c>
      <c r="J7102">
        <v>-416.8528</v>
      </c>
      <c r="K7102">
        <v>1.1242319999999999</v>
      </c>
      <c r="L7102">
        <v>121.3524</v>
      </c>
      <c r="M7102">
        <v>-0.4013678</v>
      </c>
      <c r="N7102">
        <v>-1.3831390000000001E-2</v>
      </c>
      <c r="O7102">
        <v>-0.91581259999999998</v>
      </c>
      <c r="P7102">
        <v>-0.2364579</v>
      </c>
      <c r="Q7102">
        <v>8.8599499999999998E-2</v>
      </c>
      <c r="R7102">
        <v>-0.96759399999999995</v>
      </c>
      <c r="S7102">
        <v>-0.52066040000000002</v>
      </c>
      <c r="T7102">
        <v>-0.1040891</v>
      </c>
      <c r="U7102">
        <v>-2.9834900000000002</v>
      </c>
      <c r="V7102">
        <v>-0.172509</v>
      </c>
      <c r="W7102">
        <v>0.101004</v>
      </c>
      <c r="X7102">
        <v>0.97981569999999996</v>
      </c>
      <c r="Y7102">
        <v>-0.2379124</v>
      </c>
      <c r="Z7102">
        <v>1.6462910000000001E-2</v>
      </c>
      <c r="AA7102">
        <v>0.97114710000000004</v>
      </c>
      <c r="AB7102">
        <v>22</v>
      </c>
      <c r="AC7102">
        <v>-5.5409000000000201</v>
      </c>
      <c r="AD7102">
        <v>-1.12423662441099</v>
      </c>
      <c r="AE7102">
        <v>-32.02431</v>
      </c>
      <c r="AF7102">
        <v>-7.7705463313121301</v>
      </c>
      <c r="AG7102">
        <v>-1.12423662441099</v>
      </c>
      <c r="AH7102">
        <v>31.517508268191001</v>
      </c>
      <c r="AI7102">
        <v>91.983540938327195</v>
      </c>
      <c r="AJ7102">
        <v>103.84988683743001</v>
      </c>
      <c r="AK7102">
        <v>32.480742382375198</v>
      </c>
      <c r="AL7102">
        <v>84.203011728262993</v>
      </c>
      <c r="AM7102">
        <v>99.985313893255494</v>
      </c>
      <c r="AN7102">
        <v>0.99999998453174399</v>
      </c>
    </row>
    <row r="7103" spans="1:40" x14ac:dyDescent="0.25">
      <c r="A7103" t="str">
        <f>"20190303162054953"</f>
        <v>20190303162054953</v>
      </c>
      <c r="B7103" t="str">
        <f>"1551601254939486"</f>
        <v>1551601254939486</v>
      </c>
      <c r="C7103" t="s">
        <v>40</v>
      </c>
      <c r="D7103">
        <v>4.8596029999999999</v>
      </c>
      <c r="E7103">
        <v>0.47210960000000002</v>
      </c>
      <c r="F7103" t="s">
        <v>41</v>
      </c>
      <c r="G7103">
        <v>-422.04689999999999</v>
      </c>
      <c r="H7103" s="1">
        <v>-9.5781309999999899E-7</v>
      </c>
      <c r="I7103">
        <v>90.552250000000001</v>
      </c>
      <c r="J7103">
        <v>-416.93540000000002</v>
      </c>
      <c r="K7103">
        <v>1.124223</v>
      </c>
      <c r="L7103">
        <v>121.15009999999999</v>
      </c>
      <c r="M7103">
        <v>-0.39702900000000002</v>
      </c>
      <c r="N7103">
        <v>-1.3828500000000001E-2</v>
      </c>
      <c r="O7103">
        <v>-0.91770200000000002</v>
      </c>
      <c r="P7103">
        <v>-0.23196320000000001</v>
      </c>
      <c r="Q7103">
        <v>8.8583739999999994E-2</v>
      </c>
      <c r="R7103">
        <v>-0.96868270000000001</v>
      </c>
      <c r="S7103">
        <v>-0.50378420000000002</v>
      </c>
      <c r="T7103">
        <v>-0.1090415</v>
      </c>
      <c r="U7103">
        <v>-2.9873660000000002</v>
      </c>
      <c r="V7103">
        <v>-0.17241909999999999</v>
      </c>
      <c r="W7103">
        <v>0.1009898</v>
      </c>
      <c r="X7103">
        <v>0.97983299999999995</v>
      </c>
      <c r="Y7103">
        <v>-0.2388594</v>
      </c>
      <c r="Z7103">
        <v>1.7930450000000001E-2</v>
      </c>
      <c r="AA7103">
        <v>0.97088859999999999</v>
      </c>
      <c r="AB7103">
        <v>22</v>
      </c>
      <c r="AC7103">
        <v>-5.1114999999999702</v>
      </c>
      <c r="AD7103">
        <v>-1.1242239578130999</v>
      </c>
      <c r="AE7103">
        <v>-30.597849999999902</v>
      </c>
      <c r="AF7103">
        <v>-7.4483303163518597</v>
      </c>
      <c r="AG7103">
        <v>-1.1242239578130999</v>
      </c>
      <c r="AH7103">
        <v>30.072503126260301</v>
      </c>
      <c r="AI7103">
        <v>92.078198853868699</v>
      </c>
      <c r="AJ7103">
        <v>103.911019384689</v>
      </c>
      <c r="AK7103">
        <v>31.0015636426253</v>
      </c>
      <c r="AL7103">
        <v>84.203829581337004</v>
      </c>
      <c r="AM7103">
        <v>99.980042202626095</v>
      </c>
      <c r="AN7103">
        <v>0.99999999681892404</v>
      </c>
    </row>
    <row r="7104" spans="1:40" x14ac:dyDescent="0.25">
      <c r="A7104" t="str">
        <f>"20190303162054976"</f>
        <v>20190303162054976</v>
      </c>
      <c r="B7104" t="str">
        <f>"1551601254969741"</f>
        <v>1551601254969741</v>
      </c>
      <c r="C7104" t="s">
        <v>40</v>
      </c>
      <c r="D7104">
        <v>4.8638059999999896</v>
      </c>
      <c r="E7104">
        <v>0.47101189999999998</v>
      </c>
      <c r="F7104" t="s">
        <v>41</v>
      </c>
      <c r="G7104">
        <v>-422.4341</v>
      </c>
      <c r="H7104" s="1">
        <v>-4.2451250000000003E-6</v>
      </c>
      <c r="I7104">
        <v>88.192499999999995</v>
      </c>
      <c r="J7104">
        <v>-417.0181</v>
      </c>
      <c r="K7104">
        <v>1.124217</v>
      </c>
      <c r="L7104">
        <v>120.9448</v>
      </c>
      <c r="M7104">
        <v>-0.39262639999999999</v>
      </c>
      <c r="N7104">
        <v>-1.3825570000000001E-2</v>
      </c>
      <c r="O7104">
        <v>-0.91959429999999998</v>
      </c>
      <c r="P7104">
        <v>-0.2277933</v>
      </c>
      <c r="Q7104">
        <v>8.8526779999999999E-2</v>
      </c>
      <c r="R7104">
        <v>-0.96967729999999996</v>
      </c>
      <c r="S7104">
        <v>-0.49835210000000002</v>
      </c>
      <c r="T7104">
        <v>-0.1018901</v>
      </c>
      <c r="U7104">
        <v>-2.9869840000000001</v>
      </c>
      <c r="V7104">
        <v>-0.17193829999999999</v>
      </c>
      <c r="W7104">
        <v>0.1009381</v>
      </c>
      <c r="X7104">
        <v>0.97992279999999998</v>
      </c>
      <c r="Y7104">
        <v>-0.23590130000000001</v>
      </c>
      <c r="Z7104">
        <v>1.5986940000000002E-2</v>
      </c>
      <c r="AA7104">
        <v>0.97164550000000005</v>
      </c>
      <c r="AB7104">
        <v>22</v>
      </c>
      <c r="AC7104">
        <v>-5.4159999999999897</v>
      </c>
      <c r="AD7104">
        <v>-1.124221245125</v>
      </c>
      <c r="AE7104">
        <v>-32.752299999999998</v>
      </c>
      <c r="AF7104">
        <v>-7.8706204359625804</v>
      </c>
      <c r="AG7104">
        <v>-1.124221245125</v>
      </c>
      <c r="AH7104">
        <v>32.211428719919397</v>
      </c>
      <c r="AI7104">
        <v>91.941806627328901</v>
      </c>
      <c r="AJ7104">
        <v>103.730755543949</v>
      </c>
      <c r="AK7104">
        <v>33.178105425618199</v>
      </c>
      <c r="AL7104">
        <v>84.206806927451595</v>
      </c>
      <c r="AM7104">
        <v>99.951875701492</v>
      </c>
      <c r="AN7104">
        <v>0.99999998649916899</v>
      </c>
    </row>
    <row r="7105" spans="1:40" x14ac:dyDescent="0.25">
      <c r="A7105" t="str">
        <f>"20190303162054998"</f>
        <v>20190303162054998</v>
      </c>
      <c r="B7105" t="str">
        <f>"1551601254990237"</f>
        <v>1551601254990237</v>
      </c>
      <c r="C7105" t="s">
        <v>40</v>
      </c>
      <c r="D7105">
        <v>5.002853</v>
      </c>
      <c r="E7105">
        <v>0.46910790000000002</v>
      </c>
      <c r="F7105" t="s">
        <v>41</v>
      </c>
      <c r="G7105">
        <v>-422.82900000000001</v>
      </c>
      <c r="H7105" s="1">
        <v>-2.8658269999999998E-6</v>
      </c>
      <c r="I7105">
        <v>84.51482</v>
      </c>
      <c r="J7105">
        <v>-417.09660000000002</v>
      </c>
      <c r="K7105">
        <v>1.124207</v>
      </c>
      <c r="L7105">
        <v>120.7475</v>
      </c>
      <c r="M7105">
        <v>-0.38839259999999998</v>
      </c>
      <c r="N7105">
        <v>-1.382267E-2</v>
      </c>
      <c r="O7105">
        <v>-0.9213905</v>
      </c>
      <c r="P7105">
        <v>-0.2238328</v>
      </c>
      <c r="Q7105">
        <v>8.7989139999999993E-2</v>
      </c>
      <c r="R7105">
        <v>-0.97064760000000005</v>
      </c>
      <c r="S7105">
        <v>-0.47695920000000003</v>
      </c>
      <c r="T7105">
        <v>-9.2276449999999996E-2</v>
      </c>
      <c r="U7105">
        <v>-2.990189</v>
      </c>
      <c r="V7105">
        <v>-0.17144389999999901</v>
      </c>
      <c r="W7105">
        <v>0.1004058</v>
      </c>
      <c r="X7105">
        <v>0.98006409999999999</v>
      </c>
      <c r="Y7105">
        <v>-0.23836950000000001</v>
      </c>
      <c r="Z7105">
        <v>1.32549E-2</v>
      </c>
      <c r="AA7105">
        <v>0.97108410000000001</v>
      </c>
      <c r="AB7105">
        <v>22</v>
      </c>
      <c r="AC7105">
        <v>-5.7323999999999797</v>
      </c>
      <c r="AD7105">
        <v>-1.1242098658270001</v>
      </c>
      <c r="AE7105">
        <v>-36.232680000000002</v>
      </c>
      <c r="AF7105">
        <v>-8.7833150871977992</v>
      </c>
      <c r="AG7105">
        <v>-1.1242098658270001</v>
      </c>
      <c r="AH7105">
        <v>35.580848032773801</v>
      </c>
      <c r="AI7105">
        <v>91.757003697446905</v>
      </c>
      <c r="AJ7105">
        <v>103.866530218756</v>
      </c>
      <c r="AK7105">
        <v>36.666159036293401</v>
      </c>
      <c r="AL7105">
        <v>84.2374612129978</v>
      </c>
      <c r="AM7105">
        <v>99.922426938712903</v>
      </c>
      <c r="AN7105">
        <v>0.99999998781482902</v>
      </c>
    </row>
    <row r="7106" spans="1:40" x14ac:dyDescent="0.25">
      <c r="A7106" t="str">
        <f>"20190303162055022"</f>
        <v>20190303162055022</v>
      </c>
      <c r="B7106" t="str">
        <f>"1551601255009758"</f>
        <v>1551601255009758</v>
      </c>
      <c r="C7106" t="s">
        <v>40</v>
      </c>
      <c r="D7106">
        <v>4.7796529999999997</v>
      </c>
      <c r="E7106">
        <v>0.4677656</v>
      </c>
      <c r="F7106" t="s">
        <v>41</v>
      </c>
      <c r="G7106">
        <v>-422.78129999999999</v>
      </c>
      <c r="H7106" s="1">
        <v>-2.1433420000000002E-6</v>
      </c>
      <c r="I7106">
        <v>82.86027</v>
      </c>
      <c r="J7106">
        <v>-417.17939999999999</v>
      </c>
      <c r="K7106">
        <v>1.124196</v>
      </c>
      <c r="L7106">
        <v>120.5361</v>
      </c>
      <c r="M7106">
        <v>-0.38385659999999999</v>
      </c>
      <c r="N7106">
        <v>-1.3819720000000001E-2</v>
      </c>
      <c r="O7106">
        <v>-0.92328949999999999</v>
      </c>
      <c r="P7106">
        <v>-0.21920010000000001</v>
      </c>
      <c r="Q7106">
        <v>8.8082369999999993E-2</v>
      </c>
      <c r="R7106">
        <v>-0.971696</v>
      </c>
      <c r="S7106">
        <v>-0.44940190000000002</v>
      </c>
      <c r="T7106">
        <v>-8.887362E-2</v>
      </c>
      <c r="U7106">
        <v>-2.9951479999999999</v>
      </c>
      <c r="V7106">
        <v>-0.17129459999999999</v>
      </c>
      <c r="W7106">
        <v>0.1005007</v>
      </c>
      <c r="X7106">
        <v>0.98008050000000002</v>
      </c>
      <c r="Y7106">
        <v>-0.2425657</v>
      </c>
      <c r="Z7106">
        <v>1.22869E-2</v>
      </c>
      <c r="AA7106">
        <v>0.97005719999999995</v>
      </c>
      <c r="AB7106">
        <v>22</v>
      </c>
      <c r="AC7106">
        <v>-5.6018999999999997</v>
      </c>
      <c r="AD7106">
        <v>-1.1241981433419901</v>
      </c>
      <c r="AE7106">
        <v>-37.675829999999998</v>
      </c>
      <c r="AF7106">
        <v>-9.2827399510376392</v>
      </c>
      <c r="AG7106">
        <v>-1.1241981433419901</v>
      </c>
      <c r="AH7106">
        <v>36.907395529174501</v>
      </c>
      <c r="AI7106">
        <v>91.692022723771501</v>
      </c>
      <c r="AJ7106">
        <v>104.11787683215</v>
      </c>
      <c r="AK7106">
        <v>38.073467496552098</v>
      </c>
      <c r="AL7106">
        <v>84.2319963204217</v>
      </c>
      <c r="AM7106">
        <v>99.913795014725807</v>
      </c>
      <c r="AN7106">
        <v>1.0000000085849501</v>
      </c>
    </row>
    <row r="7107" spans="1:40" x14ac:dyDescent="0.25">
      <c r="A7107" t="str">
        <f>"20190303162055054"</f>
        <v>20190303162055054</v>
      </c>
      <c r="B7107" t="str">
        <f>"1551601255040014"</f>
        <v>1551601255040014</v>
      </c>
      <c r="C7107" t="s">
        <v>40</v>
      </c>
      <c r="D7107">
        <v>4.9059179999999998</v>
      </c>
      <c r="E7107">
        <v>0.4662579</v>
      </c>
      <c r="F7107" t="s">
        <v>41</v>
      </c>
      <c r="G7107">
        <v>-422.77350000000001</v>
      </c>
      <c r="H7107" s="1">
        <v>-1.336132E-6</v>
      </c>
      <c r="I7107">
        <v>80.98348</v>
      </c>
      <c r="J7107">
        <v>-417.28919999999999</v>
      </c>
      <c r="K7107">
        <v>1.1241779999999999</v>
      </c>
      <c r="L7107">
        <v>120.251</v>
      </c>
      <c r="M7107">
        <v>-0.37773600000000002</v>
      </c>
      <c r="N7107">
        <v>-1.3815859999999999E-2</v>
      </c>
      <c r="O7107">
        <v>-0.92581049999999998</v>
      </c>
      <c r="P7107">
        <v>-0.21257400000000001</v>
      </c>
      <c r="Q7107">
        <v>8.8440840000000007E-2</v>
      </c>
      <c r="R7107">
        <v>-0.97313479999999997</v>
      </c>
      <c r="S7107">
        <v>-0.42422490000000002</v>
      </c>
      <c r="T7107">
        <v>-8.5252399999999895E-2</v>
      </c>
      <c r="U7107">
        <v>-2.9994350000000001</v>
      </c>
      <c r="V7107">
        <v>-0.17147200000000001</v>
      </c>
      <c r="W7107">
        <v>0.1008579</v>
      </c>
      <c r="X7107">
        <v>0.98001280000000002</v>
      </c>
      <c r="Y7107">
        <v>-0.24431990000000001</v>
      </c>
      <c r="Z7107">
        <v>1.129221E-2</v>
      </c>
      <c r="AA7107">
        <v>0.96962890000000002</v>
      </c>
      <c r="AB7107">
        <v>22</v>
      </c>
      <c r="AC7107">
        <v>-5.4843000000000099</v>
      </c>
      <c r="AD7107">
        <v>-1.1241793361319901</v>
      </c>
      <c r="AE7107">
        <v>-39.267519999999998</v>
      </c>
      <c r="AF7107">
        <v>-9.7484254269221307</v>
      </c>
      <c r="AG7107">
        <v>-1.1241793361319901</v>
      </c>
      <c r="AH7107">
        <v>38.3986895799232</v>
      </c>
      <c r="AI7107">
        <v>91.625407529868099</v>
      </c>
      <c r="AJ7107">
        <v>104.244954551595</v>
      </c>
      <c r="AK7107">
        <v>39.632750837399001</v>
      </c>
      <c r="AL7107">
        <v>84.211425845611302</v>
      </c>
      <c r="AM7107">
        <v>99.924530071624801</v>
      </c>
      <c r="AN7107">
        <v>1.00000002547012</v>
      </c>
    </row>
    <row r="7108" spans="1:40" x14ac:dyDescent="0.25">
      <c r="A7108" t="str">
        <f>"20190303162055077"</f>
        <v>20190303162055077</v>
      </c>
      <c r="B7108" t="str">
        <f>"1551601255070269"</f>
        <v>1551601255070269</v>
      </c>
      <c r="C7108" t="s">
        <v>40</v>
      </c>
      <c r="D7108">
        <v>4.7494399999999999</v>
      </c>
      <c r="E7108">
        <v>0.46572550000000001</v>
      </c>
      <c r="F7108" t="s">
        <v>41</v>
      </c>
      <c r="G7108">
        <v>-422.25740000000002</v>
      </c>
      <c r="H7108" s="1">
        <v>-1.740871E-6</v>
      </c>
      <c r="I7108">
        <v>82.247019999999907</v>
      </c>
      <c r="J7108">
        <v>-417.36700000000002</v>
      </c>
      <c r="K7108">
        <v>1.1241810000000001</v>
      </c>
      <c r="L7108">
        <v>120.0454</v>
      </c>
      <c r="M7108">
        <v>-0.37332029999999999</v>
      </c>
      <c r="N7108">
        <v>-1.381303E-2</v>
      </c>
      <c r="O7108">
        <v>-0.92759970000000003</v>
      </c>
      <c r="P7108">
        <v>-0.20794219999999999</v>
      </c>
      <c r="Q7108">
        <v>8.8610250000000002E-2</v>
      </c>
      <c r="R7108">
        <v>-0.97411939999999997</v>
      </c>
      <c r="S7108">
        <v>-0.3928528</v>
      </c>
      <c r="T7108">
        <v>-8.8891979999999995E-2</v>
      </c>
      <c r="U7108">
        <v>-3.0050810000000001</v>
      </c>
      <c r="V7108">
        <v>-0.17145820000000001</v>
      </c>
      <c r="W7108">
        <v>0.1010282</v>
      </c>
      <c r="X7108">
        <v>0.97999760000000002</v>
      </c>
      <c r="Y7108">
        <v>-0.24988440000000001</v>
      </c>
      <c r="Z7108">
        <v>1.234301E-2</v>
      </c>
      <c r="AA7108">
        <v>0.96819699999999997</v>
      </c>
      <c r="AB7108">
        <v>22</v>
      </c>
      <c r="AC7108">
        <v>-4.8904000000000503</v>
      </c>
      <c r="AD7108">
        <v>-1.1241827408709999</v>
      </c>
      <c r="AE7108">
        <v>-37.798380000000002</v>
      </c>
      <c r="AF7108">
        <v>-9.5671588946103103</v>
      </c>
      <c r="AG7108">
        <v>-1.1241827408709999</v>
      </c>
      <c r="AH7108">
        <v>36.858903055437899</v>
      </c>
      <c r="AI7108">
        <v>91.690958954199303</v>
      </c>
      <c r="AJ7108">
        <v>104.550690140782</v>
      </c>
      <c r="AK7108">
        <v>38.096890300912499</v>
      </c>
      <c r="AL7108">
        <v>84.201617862421699</v>
      </c>
      <c r="AM7108">
        <v>99.923898088020593</v>
      </c>
      <c r="AN7108">
        <v>0.99999995377411899</v>
      </c>
    </row>
    <row r="7109" spans="1:40" x14ac:dyDescent="0.25">
      <c r="A7109" t="str">
        <f>"20190303162055098"</f>
        <v>20190303162055098</v>
      </c>
      <c r="B7109" t="str">
        <f>"1551601255089790"</f>
        <v>1551601255089790</v>
      </c>
      <c r="C7109" t="s">
        <v>40</v>
      </c>
      <c r="D7109">
        <v>4.719093</v>
      </c>
      <c r="E7109">
        <v>0.46563769999999999</v>
      </c>
      <c r="F7109" t="s">
        <v>41</v>
      </c>
      <c r="G7109">
        <v>-422.32400000000001</v>
      </c>
      <c r="H7109" s="1">
        <v>-8.4982359999999995E-7</v>
      </c>
      <c r="I7109">
        <v>80.128640000000004</v>
      </c>
      <c r="J7109">
        <v>-417.44009999999997</v>
      </c>
      <c r="K7109">
        <v>1.1241730000000001</v>
      </c>
      <c r="L7109">
        <v>119.8497</v>
      </c>
      <c r="M7109">
        <v>-0.36911579999999999</v>
      </c>
      <c r="N7109">
        <v>-1.381041E-2</v>
      </c>
      <c r="O7109">
        <v>-0.92928089999999997</v>
      </c>
      <c r="P7109">
        <v>-0.2034687</v>
      </c>
      <c r="Q7109">
        <v>8.8845370000000007E-2</v>
      </c>
      <c r="R7109">
        <v>-0.97504219999999997</v>
      </c>
      <c r="S7109">
        <v>-0.37350460000000002</v>
      </c>
      <c r="T7109">
        <v>-8.4705589999999997E-2</v>
      </c>
      <c r="U7109">
        <v>-3.0076749999999999</v>
      </c>
      <c r="V7109">
        <v>-0.1715102</v>
      </c>
      <c r="W7109">
        <v>0.10126259999999999</v>
      </c>
      <c r="X7109">
        <v>0.97996439999999996</v>
      </c>
      <c r="Y7109">
        <v>-0.2517355</v>
      </c>
      <c r="Z7109">
        <v>1.1160659999999999E-2</v>
      </c>
      <c r="AA7109">
        <v>0.96773169999999997</v>
      </c>
      <c r="AB7109">
        <v>22</v>
      </c>
      <c r="AC7109">
        <v>-4.8839000000000397</v>
      </c>
      <c r="AD7109">
        <v>-1.12417384982359</v>
      </c>
      <c r="AE7109">
        <v>-39.721060000000001</v>
      </c>
      <c r="AF7109">
        <v>-10.116138179724601</v>
      </c>
      <c r="AG7109">
        <v>-1.12417384982359</v>
      </c>
      <c r="AH7109">
        <v>38.687908831881799</v>
      </c>
      <c r="AI7109">
        <v>91.610294148714203</v>
      </c>
      <c r="AJ7109">
        <v>104.653648884506</v>
      </c>
      <c r="AK7109">
        <v>40.004428608591702</v>
      </c>
      <c r="AL7109">
        <v>84.1881190282202</v>
      </c>
      <c r="AM7109">
        <v>99.927177575487704</v>
      </c>
      <c r="AN7109">
        <v>1.00000004406507</v>
      </c>
    </row>
    <row r="7110" spans="1:40" x14ac:dyDescent="0.25">
      <c r="A7110" t="str">
        <f>"20190303162055121"</f>
        <v>20190303162055121</v>
      </c>
      <c r="B7110" t="str">
        <f>"1551601255110286"</f>
        <v>1551601255110286</v>
      </c>
      <c r="C7110" t="s">
        <v>40</v>
      </c>
      <c r="D7110">
        <v>4.7824540000000004</v>
      </c>
      <c r="E7110">
        <v>0.465702</v>
      </c>
      <c r="F7110" t="s">
        <v>41</v>
      </c>
      <c r="G7110">
        <v>-422.38549999999998</v>
      </c>
      <c r="H7110" s="1">
        <v>-4.2736050000000004E-6</v>
      </c>
      <c r="I7110">
        <v>78.301509999999993</v>
      </c>
      <c r="J7110">
        <v>-417.51530000000002</v>
      </c>
      <c r="K7110">
        <v>1.1241669999999999</v>
      </c>
      <c r="L7110">
        <v>119.64530000000001</v>
      </c>
      <c r="M7110">
        <v>-0.3647244</v>
      </c>
      <c r="N7110">
        <v>-1.3807679999999999E-2</v>
      </c>
      <c r="O7110">
        <v>-0.93101319999999999</v>
      </c>
      <c r="P7110">
        <v>-0.19902900000000001</v>
      </c>
      <c r="Q7110">
        <v>8.8546830000000007E-2</v>
      </c>
      <c r="R7110">
        <v>-0.9759852</v>
      </c>
      <c r="S7110">
        <v>-0.35821530000000001</v>
      </c>
      <c r="T7110">
        <v>-8.1427570000000005E-2</v>
      </c>
      <c r="U7110">
        <v>-3.0094599999999998</v>
      </c>
      <c r="V7110">
        <v>-0.17134949999999999</v>
      </c>
      <c r="W7110">
        <v>0.1009666</v>
      </c>
      <c r="X7110">
        <v>0.98002299999999998</v>
      </c>
      <c r="Y7110">
        <v>-0.25208229999999998</v>
      </c>
      <c r="Z7110">
        <v>1.025328E-2</v>
      </c>
      <c r="AA7110">
        <v>0.9676515</v>
      </c>
      <c r="AB7110">
        <v>22</v>
      </c>
      <c r="AC7110">
        <v>-4.8701999999999499</v>
      </c>
      <c r="AD7110">
        <v>-1.124171273605</v>
      </c>
      <c r="AE7110">
        <v>-41.343789999999998</v>
      </c>
      <c r="AF7110">
        <v>-10.5381885605099</v>
      </c>
      <c r="AG7110">
        <v>-1.124171273605</v>
      </c>
      <c r="AH7110">
        <v>40.242386129077602</v>
      </c>
      <c r="AI7110">
        <v>91.547972509939299</v>
      </c>
      <c r="AJ7110">
        <v>104.67441588048599</v>
      </c>
      <c r="AK7110">
        <v>41.614502526776</v>
      </c>
      <c r="AL7110">
        <v>84.205165650450894</v>
      </c>
      <c r="AM7110">
        <v>99.9174796156193</v>
      </c>
      <c r="AN7110">
        <v>0.99999999299740405</v>
      </c>
    </row>
    <row r="7111" spans="1:40" x14ac:dyDescent="0.25">
      <c r="A7111" t="str">
        <f>"20190303162055143"</f>
        <v>20190303162055143</v>
      </c>
      <c r="B7111" t="str">
        <f>"1551601255139567"</f>
        <v>1551601255139567</v>
      </c>
      <c r="C7111" t="s">
        <v>40</v>
      </c>
      <c r="D7111">
        <v>4.8431220000000001</v>
      </c>
      <c r="E7111">
        <v>0.46587400000000001</v>
      </c>
      <c r="F7111" t="s">
        <v>41</v>
      </c>
      <c r="G7111">
        <v>-422.24540000000002</v>
      </c>
      <c r="H7111" s="1">
        <v>-4.2563170000000001E-6</v>
      </c>
      <c r="I7111">
        <v>78.323740000000001</v>
      </c>
      <c r="J7111">
        <v>-417.58780000000002</v>
      </c>
      <c r="K7111">
        <v>1.1241680000000001</v>
      </c>
      <c r="L7111">
        <v>119.4455</v>
      </c>
      <c r="M7111">
        <v>-0.36043019999999998</v>
      </c>
      <c r="N7111">
        <v>-1.380501E-2</v>
      </c>
      <c r="O7111">
        <v>-0.93268419999999996</v>
      </c>
      <c r="P7111">
        <v>-0.19490969999999999</v>
      </c>
      <c r="Q7111">
        <v>8.8950860000000007E-2</v>
      </c>
      <c r="R7111">
        <v>-0.97677950000000002</v>
      </c>
      <c r="S7111">
        <v>-0.34466550000000001</v>
      </c>
      <c r="T7111">
        <v>-8.1914310000000004E-2</v>
      </c>
      <c r="U7111">
        <v>-3.0109560000000002</v>
      </c>
      <c r="V7111">
        <v>-0.17095450000000001</v>
      </c>
      <c r="W7111">
        <v>0.10137409999999999</v>
      </c>
      <c r="X7111">
        <v>0.98004990000000003</v>
      </c>
      <c r="Y7111">
        <v>-0.25197530000000001</v>
      </c>
      <c r="Z7111">
        <v>1.0443869999999999E-2</v>
      </c>
      <c r="AA7111">
        <v>0.96767729999999996</v>
      </c>
      <c r="AB7111">
        <v>22</v>
      </c>
      <c r="AC7111">
        <v>-4.6576000000000004</v>
      </c>
      <c r="AD7111">
        <v>-1.124172256317</v>
      </c>
      <c r="AE7111">
        <v>-41.121760000000002</v>
      </c>
      <c r="AF7111">
        <v>-10.470724932699101</v>
      </c>
      <c r="AG7111">
        <v>-1.124172256317</v>
      </c>
      <c r="AH7111">
        <v>40.006644084310899</v>
      </c>
      <c r="AI7111">
        <v>91.557145550482105</v>
      </c>
      <c r="AJ7111">
        <v>104.66673550397999</v>
      </c>
      <c r="AK7111">
        <v>41.369450259422699</v>
      </c>
      <c r="AL7111">
        <v>84.181697117723502</v>
      </c>
      <c r="AM7111">
        <v>99.894803705190299</v>
      </c>
      <c r="AN7111">
        <v>0.99999997785553396</v>
      </c>
    </row>
    <row r="7112" spans="1:40" x14ac:dyDescent="0.25">
      <c r="A7112" t="str">
        <f>"20190303162055165"</f>
        <v>20190303162055165</v>
      </c>
      <c r="B7112" t="str">
        <f>"1551601255160061"</f>
        <v>1551601255160061</v>
      </c>
      <c r="C7112" t="s">
        <v>40</v>
      </c>
      <c r="D7112">
        <v>4.8005360000000001</v>
      </c>
      <c r="E7112">
        <v>0.46601379999999998</v>
      </c>
      <c r="F7112" t="s">
        <v>41</v>
      </c>
      <c r="G7112">
        <v>-422.28440000000001</v>
      </c>
      <c r="H7112" s="1">
        <v>-3.8073369999999999E-6</v>
      </c>
      <c r="I7112">
        <v>77.047269999999997</v>
      </c>
      <c r="J7112">
        <v>-417.66019999999997</v>
      </c>
      <c r="K7112">
        <v>1.1241639999999999</v>
      </c>
      <c r="L7112">
        <v>119.24299999999999</v>
      </c>
      <c r="M7112">
        <v>-0.35607689999999997</v>
      </c>
      <c r="N7112">
        <v>-1.380235E-2</v>
      </c>
      <c r="O7112">
        <v>-0.93435489999999999</v>
      </c>
      <c r="P7112">
        <v>-0.19159760000000001</v>
      </c>
      <c r="Q7112">
        <v>8.9566629999999994E-2</v>
      </c>
      <c r="R7112">
        <v>-0.97737839999999998</v>
      </c>
      <c r="S7112">
        <v>-0.33364870000000002</v>
      </c>
      <c r="T7112">
        <v>-7.986248E-2</v>
      </c>
      <c r="U7112">
        <v>-3.0120239999999998</v>
      </c>
      <c r="V7112">
        <v>-0.16968629999999901</v>
      </c>
      <c r="W7112">
        <v>0.1020007</v>
      </c>
      <c r="X7112">
        <v>0.98020529999999995</v>
      </c>
      <c r="Y7112">
        <v>-0.25099719999999998</v>
      </c>
      <c r="Z7112">
        <v>9.8986500000000002E-3</v>
      </c>
      <c r="AA7112">
        <v>0.96793720000000005</v>
      </c>
      <c r="AB7112">
        <v>22</v>
      </c>
      <c r="AC7112">
        <v>-4.6242000000000303</v>
      </c>
      <c r="AD7112">
        <v>-1.1241678073369901</v>
      </c>
      <c r="AE7112">
        <v>-42.195729999999998</v>
      </c>
      <c r="AF7112">
        <v>-10.6977957242201</v>
      </c>
      <c r="AG7112">
        <v>-1.1241678073369901</v>
      </c>
      <c r="AH7112">
        <v>41.047474618404003</v>
      </c>
      <c r="AI7112">
        <v>91.518083836973204</v>
      </c>
      <c r="AJ7112">
        <v>104.607489004282</v>
      </c>
      <c r="AK7112">
        <v>42.433498078342701</v>
      </c>
      <c r="AL7112">
        <v>84.145608681351106</v>
      </c>
      <c r="AM7112">
        <v>99.821308692422207</v>
      </c>
      <c r="AN7112">
        <v>1.00000000667813</v>
      </c>
    </row>
    <row r="7113" spans="1:40" x14ac:dyDescent="0.25">
      <c r="A7113" t="str">
        <f>"20190303162055188"</f>
        <v>20190303162055188</v>
      </c>
      <c r="B7113" t="str">
        <f>"1551601255179582"</f>
        <v>1551601255179582</v>
      </c>
      <c r="C7113" t="s">
        <v>40</v>
      </c>
      <c r="D7113">
        <v>4.6697030000000002</v>
      </c>
      <c r="E7113">
        <v>0.46624080000000001</v>
      </c>
      <c r="F7113" t="s">
        <v>41</v>
      </c>
      <c r="G7113">
        <v>-422.49239999999998</v>
      </c>
      <c r="H7113" s="1">
        <v>-2.7398809999999999E-6</v>
      </c>
      <c r="I7113">
        <v>74.429950000000005</v>
      </c>
      <c r="J7113">
        <v>-417.72980000000001</v>
      </c>
      <c r="K7113">
        <v>1.1241479999999999</v>
      </c>
      <c r="L7113">
        <v>119.04559999999999</v>
      </c>
      <c r="M7113">
        <v>-0.35183619999999999</v>
      </c>
      <c r="N7113">
        <v>-1.3799530000000001E-2</v>
      </c>
      <c r="O7113">
        <v>-0.93596000000000001</v>
      </c>
      <c r="P7113">
        <v>-0.188226</v>
      </c>
      <c r="Q7113">
        <v>8.916491E-2</v>
      </c>
      <c r="R7113">
        <v>-0.97806999999999999</v>
      </c>
      <c r="S7113">
        <v>-0.32485960000000003</v>
      </c>
      <c r="T7113">
        <v>-7.5575589999999998E-2</v>
      </c>
      <c r="U7113">
        <v>-3.0126949999999999</v>
      </c>
      <c r="V7113">
        <v>-0.168628799999999</v>
      </c>
      <c r="W7113">
        <v>0.1016103</v>
      </c>
      <c r="X7113">
        <v>0.98042830000000003</v>
      </c>
      <c r="Y7113">
        <v>-0.24942339999999999</v>
      </c>
      <c r="Z7113">
        <v>8.6968219999999999E-3</v>
      </c>
      <c r="AA7113">
        <v>0.96835550000000004</v>
      </c>
      <c r="AB7113">
        <v>21</v>
      </c>
      <c r="AC7113">
        <v>-4.76259999999996</v>
      </c>
      <c r="AD7113">
        <v>-1.124150739881</v>
      </c>
      <c r="AE7113">
        <v>-44.615649999999903</v>
      </c>
      <c r="AF7113">
        <v>-11.233815037236599</v>
      </c>
      <c r="AG7113">
        <v>-1.124150739881</v>
      </c>
      <c r="AH7113">
        <v>43.411000119100699</v>
      </c>
      <c r="AI7113">
        <v>91.436088234514799</v>
      </c>
      <c r="AJ7113">
        <v>104.508618628767</v>
      </c>
      <c r="AK7113">
        <v>44.855069351383001</v>
      </c>
      <c r="AL7113">
        <v>84.168093671715695</v>
      </c>
      <c r="AM7113">
        <v>99.759104980796593</v>
      </c>
      <c r="AN7113">
        <v>0.99999998834821002</v>
      </c>
    </row>
    <row r="7114" spans="1:40" x14ac:dyDescent="0.25">
      <c r="A7114" t="str">
        <f>"20190303162055210"</f>
        <v>20190303162055210</v>
      </c>
      <c r="B7114" t="str">
        <f>"1551601255200077"</f>
        <v>1551601255200077</v>
      </c>
      <c r="C7114" t="s">
        <v>40</v>
      </c>
      <c r="D7114">
        <v>4.7958299999999996</v>
      </c>
      <c r="E7114">
        <v>0.46641909999999998</v>
      </c>
      <c r="F7114" t="s">
        <v>41</v>
      </c>
      <c r="G7114">
        <v>-422.34059999999999</v>
      </c>
      <c r="H7114" s="1">
        <v>-2.9451310000000002E-6</v>
      </c>
      <c r="I7114">
        <v>75.002549999999999</v>
      </c>
      <c r="J7114">
        <v>-417.79989999999998</v>
      </c>
      <c r="K7114">
        <v>1.1241270000000001</v>
      </c>
      <c r="L7114">
        <v>118.84350000000001</v>
      </c>
      <c r="M7114">
        <v>-0.34749839999999999</v>
      </c>
      <c r="N7114">
        <v>-1.37967E-2</v>
      </c>
      <c r="O7114">
        <v>-0.9375791</v>
      </c>
      <c r="P7114">
        <v>-0.1842183</v>
      </c>
      <c r="Q7114">
        <v>8.8223659999999995E-2</v>
      </c>
      <c r="R7114">
        <v>-0.97891760000000005</v>
      </c>
      <c r="S7114">
        <v>-0.31549070000000001</v>
      </c>
      <c r="T7114">
        <v>-7.6918360000000005E-2</v>
      </c>
      <c r="U7114">
        <v>-3.0135800000000001</v>
      </c>
      <c r="V7114">
        <v>-0.16812439999999901</v>
      </c>
      <c r="W7114">
        <v>0.10067619999999999</v>
      </c>
      <c r="X7114">
        <v>0.98061129999999996</v>
      </c>
      <c r="Y7114">
        <v>-0.24794620000000001</v>
      </c>
      <c r="Z7114">
        <v>9.1460329999999996E-3</v>
      </c>
      <c r="AA7114">
        <v>0.9687306</v>
      </c>
      <c r="AB7114">
        <v>21</v>
      </c>
      <c r="AC7114">
        <v>-4.54070000000001</v>
      </c>
      <c r="AD7114">
        <v>-1.1241299451310001</v>
      </c>
      <c r="AE7114">
        <v>-43.840949999999999</v>
      </c>
      <c r="AF7114">
        <v>-10.9713024724684</v>
      </c>
      <c r="AG7114">
        <v>-1.1241299451310001</v>
      </c>
      <c r="AH7114">
        <v>42.658557207765199</v>
      </c>
      <c r="AI7114">
        <v>91.461942755642497</v>
      </c>
      <c r="AJ7114">
        <v>104.423241332525</v>
      </c>
      <c r="AK7114">
        <v>44.061158054732402</v>
      </c>
      <c r="AL7114">
        <v>84.221889696714598</v>
      </c>
      <c r="AM7114">
        <v>99.728691379196306</v>
      </c>
      <c r="AN7114">
        <v>1.00000001640474</v>
      </c>
    </row>
    <row r="7115" spans="1:40" x14ac:dyDescent="0.25">
      <c r="A7115" t="str">
        <f>"20190303162055233"</f>
        <v>20190303162055233</v>
      </c>
      <c r="B7115" t="str">
        <f>"1551601255219598"</f>
        <v>1551601255219598</v>
      </c>
      <c r="C7115" t="s">
        <v>40</v>
      </c>
      <c r="D7115">
        <v>4.6160069999999997</v>
      </c>
      <c r="E7115">
        <v>0.46667550000000002</v>
      </c>
      <c r="F7115" t="s">
        <v>41</v>
      </c>
      <c r="G7115">
        <v>-422.17669999999998</v>
      </c>
      <c r="H7115" s="1">
        <v>-3.118014E-6</v>
      </c>
      <c r="I7115">
        <v>75.507219999999904</v>
      </c>
      <c r="J7115">
        <v>-417.86869999999999</v>
      </c>
      <c r="K7115">
        <v>1.12412</v>
      </c>
      <c r="L7115">
        <v>118.6422</v>
      </c>
      <c r="M7115">
        <v>-0.34318219999999999</v>
      </c>
      <c r="N7115">
        <v>-1.379378E-2</v>
      </c>
      <c r="O7115">
        <v>-0.93916759999999999</v>
      </c>
      <c r="P7115">
        <v>-0.17958460000000001</v>
      </c>
      <c r="Q7115">
        <v>8.8045540000000005E-2</v>
      </c>
      <c r="R7115">
        <v>-0.97979459999999996</v>
      </c>
      <c r="S7115">
        <v>-0.30444339999999998</v>
      </c>
      <c r="T7115">
        <v>-7.8191880000000005E-2</v>
      </c>
      <c r="U7115">
        <v>-3.0143740000000001</v>
      </c>
      <c r="V7115">
        <v>-0.16825509999999999</v>
      </c>
      <c r="W7115">
        <v>0.1004993</v>
      </c>
      <c r="X7115">
        <v>0.98060700000000001</v>
      </c>
      <c r="Y7115">
        <v>-0.24702959999999999</v>
      </c>
      <c r="Z7115">
        <v>9.574071E-3</v>
      </c>
      <c r="AA7115">
        <v>0.96896059999999995</v>
      </c>
      <c r="AB7115">
        <v>21</v>
      </c>
      <c r="AC7115">
        <v>-4.3079999999999901</v>
      </c>
      <c r="AD7115">
        <v>-1.1241231180139999</v>
      </c>
      <c r="AE7115">
        <v>-43.134979999999999</v>
      </c>
      <c r="AF7115">
        <v>-10.751016962380101</v>
      </c>
      <c r="AG7115">
        <v>-1.1241231180139999</v>
      </c>
      <c r="AH7115">
        <v>41.9651788896631</v>
      </c>
      <c r="AI7115">
        <v>91.486435927747806</v>
      </c>
      <c r="AJ7115">
        <v>104.36949862815</v>
      </c>
      <c r="AK7115">
        <v>43.335023453913898</v>
      </c>
      <c r="AL7115">
        <v>84.232076824794305</v>
      </c>
      <c r="AM7115">
        <v>99.7361516475477</v>
      </c>
      <c r="AN7115">
        <v>0.99999998821274905</v>
      </c>
    </row>
    <row r="7116" spans="1:40" x14ac:dyDescent="0.25">
      <c r="A7116" t="str">
        <f>"20190303162055254"</f>
        <v>20190303162055254</v>
      </c>
      <c r="B7116" t="str">
        <f>"1551601255249854"</f>
        <v>1551601255249854</v>
      </c>
      <c r="C7116" t="s">
        <v>40</v>
      </c>
      <c r="D7116">
        <v>4.7897970000000001</v>
      </c>
      <c r="E7116">
        <v>0.46711439999999999</v>
      </c>
      <c r="F7116" t="s">
        <v>41</v>
      </c>
      <c r="G7116">
        <v>-421.97469999999998</v>
      </c>
      <c r="H7116" s="1">
        <v>-3.414043E-6</v>
      </c>
      <c r="I7116">
        <v>76.322559999999996</v>
      </c>
      <c r="J7116">
        <v>-417.93540000000002</v>
      </c>
      <c r="K7116">
        <v>1.1241049999999999</v>
      </c>
      <c r="L7116">
        <v>118.44410000000001</v>
      </c>
      <c r="M7116">
        <v>-0.3389413</v>
      </c>
      <c r="N7116">
        <v>-1.3790719999999999E-2</v>
      </c>
      <c r="O7116">
        <v>-0.94070670000000001</v>
      </c>
      <c r="P7116">
        <v>-0.17469319999999999</v>
      </c>
      <c r="Q7116">
        <v>8.8288099999999994E-2</v>
      </c>
      <c r="R7116">
        <v>-0.980657</v>
      </c>
      <c r="S7116">
        <v>-0.292572</v>
      </c>
      <c r="T7116">
        <v>-8.0098150000000007E-2</v>
      </c>
      <c r="U7116">
        <v>-3.0154420000000002</v>
      </c>
      <c r="V7116">
        <v>-0.1687158</v>
      </c>
      <c r="W7116">
        <v>0.1007398</v>
      </c>
      <c r="X7116">
        <v>0.98050320000000002</v>
      </c>
      <c r="Y7116">
        <v>-0.24646899999999999</v>
      </c>
      <c r="Z7116">
        <v>1.0186260000000001E-2</v>
      </c>
      <c r="AA7116">
        <v>0.96909710000000004</v>
      </c>
      <c r="AB7116">
        <v>21</v>
      </c>
      <c r="AC7116">
        <v>-4.0392999999999599</v>
      </c>
      <c r="AD7116">
        <v>-1.124108414043</v>
      </c>
      <c r="AE7116">
        <v>-42.121540000000003</v>
      </c>
      <c r="AF7116">
        <v>-10.4705375628666</v>
      </c>
      <c r="AG7116">
        <v>-1.124108414043</v>
      </c>
      <c r="AH7116">
        <v>40.968077242198198</v>
      </c>
      <c r="AI7116">
        <v>91.522800160019997</v>
      </c>
      <c r="AJ7116">
        <v>104.336640339746</v>
      </c>
      <c r="AK7116">
        <v>42.299871506951902</v>
      </c>
      <c r="AL7116">
        <v>84.218227125021301</v>
      </c>
      <c r="AM7116">
        <v>99.763311552060401</v>
      </c>
      <c r="AN7116">
        <v>1.00000002684195</v>
      </c>
    </row>
    <row r="7117" spans="1:40" x14ac:dyDescent="0.25">
      <c r="A7117" t="str">
        <f>"20190303162055277"</f>
        <v>20190303162055277</v>
      </c>
      <c r="B7117" t="str">
        <f>"1551601255269375"</f>
        <v>1551601255269375</v>
      </c>
      <c r="C7117" t="s">
        <v>40</v>
      </c>
      <c r="D7117">
        <v>4.736631</v>
      </c>
      <c r="E7117">
        <v>0.4673563</v>
      </c>
      <c r="F7117" t="s">
        <v>41</v>
      </c>
      <c r="G7117">
        <v>-421.81670000000003</v>
      </c>
      <c r="H7117" s="1">
        <v>-3.5685109999999999E-6</v>
      </c>
      <c r="I7117">
        <v>76.780649999999994</v>
      </c>
      <c r="J7117">
        <v>-418.00110000000001</v>
      </c>
      <c r="K7117">
        <v>1.1240920000000001</v>
      </c>
      <c r="L7117">
        <v>118.24630000000001</v>
      </c>
      <c r="M7117">
        <v>-0.3347193</v>
      </c>
      <c r="N7117">
        <v>-1.378744E-2</v>
      </c>
      <c r="O7117">
        <v>-0.94221719999999998</v>
      </c>
      <c r="P7117">
        <v>-0.1706609</v>
      </c>
      <c r="Q7117">
        <v>8.7773729999999994E-2</v>
      </c>
      <c r="R7117">
        <v>-0.98141290000000003</v>
      </c>
      <c r="S7117">
        <v>-0.28100589999999998</v>
      </c>
      <c r="T7117">
        <v>-8.138621E-2</v>
      </c>
      <c r="U7117">
        <v>-3.016464</v>
      </c>
      <c r="V7117">
        <v>-0.16835639999999999</v>
      </c>
      <c r="W7117">
        <v>0.10023260000000001</v>
      </c>
      <c r="X7117">
        <v>0.98061690000000001</v>
      </c>
      <c r="Y7117">
        <v>-0.24583679999999999</v>
      </c>
      <c r="Z7117">
        <v>1.061749E-2</v>
      </c>
      <c r="AA7117">
        <v>0.96925309999999998</v>
      </c>
      <c r="AB7117">
        <v>21</v>
      </c>
      <c r="AC7117">
        <v>-3.8156000000000101</v>
      </c>
      <c r="AD7117">
        <v>-1.1240955685109999</v>
      </c>
      <c r="AE7117">
        <v>-41.465649999999997</v>
      </c>
      <c r="AF7117">
        <v>-10.277715491218499</v>
      </c>
      <c r="AG7117">
        <v>-1.1240955685109999</v>
      </c>
      <c r="AH7117">
        <v>40.321248438561803</v>
      </c>
      <c r="AI7117">
        <v>91.547452112184899</v>
      </c>
      <c r="AJ7117">
        <v>104.299944147752</v>
      </c>
      <c r="AK7117">
        <v>41.6256904112089</v>
      </c>
      <c r="AL7117">
        <v>84.247435101264401</v>
      </c>
      <c r="AM7117">
        <v>99.741804657693294</v>
      </c>
      <c r="AN7117">
        <v>0.99999997804466401</v>
      </c>
    </row>
    <row r="7118" spans="1:40" x14ac:dyDescent="0.25">
      <c r="A7118" t="str">
        <f>"20190303162055299"</f>
        <v>20190303162055299</v>
      </c>
      <c r="B7118" t="str">
        <f>"1551601255289870"</f>
        <v>1551601255289870</v>
      </c>
      <c r="C7118" t="s">
        <v>40</v>
      </c>
      <c r="D7118">
        <v>4.7304570000000004</v>
      </c>
      <c r="E7118">
        <v>0.46778189999999997</v>
      </c>
      <c r="F7118" t="s">
        <v>41</v>
      </c>
      <c r="G7118">
        <v>-421.73200000000003</v>
      </c>
      <c r="H7118" s="1">
        <v>-3.5054389999999999E-6</v>
      </c>
      <c r="I7118">
        <v>76.686130000000006</v>
      </c>
      <c r="J7118">
        <v>-418.0668</v>
      </c>
      <c r="K7118">
        <v>1.124069</v>
      </c>
      <c r="L7118">
        <v>118.0454</v>
      </c>
      <c r="M7118">
        <v>-0.33044509999999899</v>
      </c>
      <c r="N7118">
        <v>-1.378388E-2</v>
      </c>
      <c r="O7118">
        <v>-0.94372460000000002</v>
      </c>
      <c r="P7118">
        <v>-0.16689999999999999</v>
      </c>
      <c r="Q7118">
        <v>8.7116840000000001E-2</v>
      </c>
      <c r="R7118">
        <v>-0.98211749999999998</v>
      </c>
      <c r="S7118">
        <v>-0.27084350000000001</v>
      </c>
      <c r="T7118">
        <v>-8.1602809999999998E-2</v>
      </c>
      <c r="U7118">
        <v>-3.017029</v>
      </c>
      <c r="V7118">
        <v>-0.16767760000000001</v>
      </c>
      <c r="W7118">
        <v>9.958641E-2</v>
      </c>
      <c r="X7118">
        <v>0.98079899999999998</v>
      </c>
      <c r="Y7118">
        <v>-0.2446979</v>
      </c>
      <c r="Z7118">
        <v>1.07378E-2</v>
      </c>
      <c r="AA7118">
        <v>0.96953990000000001</v>
      </c>
      <c r="AB7118">
        <v>21</v>
      </c>
      <c r="AC7118">
        <v>-3.6651999999999698</v>
      </c>
      <c r="AD7118">
        <v>-1.1240725054389999</v>
      </c>
      <c r="AE7118">
        <v>-41.359270000000002</v>
      </c>
      <c r="AF7118">
        <v>-10.201521464838001</v>
      </c>
      <c r="AG7118">
        <v>-1.1240725054389999</v>
      </c>
      <c r="AH7118">
        <v>40.217254545990301</v>
      </c>
      <c r="AI7118">
        <v>91.551877369806803</v>
      </c>
      <c r="AJ7118">
        <v>104.233456944509</v>
      </c>
      <c r="AK7118">
        <v>41.506169931854899</v>
      </c>
      <c r="AL7118">
        <v>84.284645107401403</v>
      </c>
      <c r="AM7118">
        <v>99.701507325906206</v>
      </c>
      <c r="AN7118">
        <v>0.99999995449972301</v>
      </c>
    </row>
    <row r="7119" spans="1:40" x14ac:dyDescent="0.25">
      <c r="A7119" t="str">
        <f>"20190303162055322"</f>
        <v>20190303162055322</v>
      </c>
      <c r="B7119" t="str">
        <f>"1551601255309389"</f>
        <v>1551601255309389</v>
      </c>
      <c r="C7119" t="s">
        <v>40</v>
      </c>
      <c r="D7119">
        <v>4.5859680000000003</v>
      </c>
      <c r="E7119">
        <v>0.46804760000000001</v>
      </c>
      <c r="F7119" t="s">
        <v>41</v>
      </c>
      <c r="G7119">
        <v>-421.63369999999998</v>
      </c>
      <c r="H7119" s="1">
        <v>-3.6545439999999999E-6</v>
      </c>
      <c r="I7119">
        <v>77.094650000000001</v>
      </c>
      <c r="J7119">
        <v>-418.13229999999999</v>
      </c>
      <c r="K7119">
        <v>1.12405</v>
      </c>
      <c r="L7119">
        <v>117.84220000000001</v>
      </c>
      <c r="M7119">
        <v>-0.32613809999999999</v>
      </c>
      <c r="N7119">
        <v>-1.378012E-2</v>
      </c>
      <c r="O7119">
        <v>-0.9452218</v>
      </c>
      <c r="P7119">
        <v>-0.1634573</v>
      </c>
      <c r="Q7119">
        <v>8.7455290000000005E-2</v>
      </c>
      <c r="R7119">
        <v>-0.98266659999999995</v>
      </c>
      <c r="S7119">
        <v>-0.26281739999999998</v>
      </c>
      <c r="T7119">
        <v>-8.2823510000000003E-2</v>
      </c>
      <c r="U7119">
        <v>-3.0173190000000001</v>
      </c>
      <c r="V7119">
        <v>-0.16662829999999901</v>
      </c>
      <c r="W7119">
        <v>9.9938009999999994E-2</v>
      </c>
      <c r="X7119">
        <v>0.98094210000000004</v>
      </c>
      <c r="Y7119">
        <v>-0.24284359999999999</v>
      </c>
      <c r="Z7119">
        <v>1.116374E-2</v>
      </c>
      <c r="AA7119">
        <v>0.97000120000000001</v>
      </c>
      <c r="AB7119">
        <v>21</v>
      </c>
      <c r="AC7119">
        <v>-3.5013999999999799</v>
      </c>
      <c r="AD7119">
        <v>-1.1240536545440001</v>
      </c>
      <c r="AE7119">
        <v>-40.747549999999997</v>
      </c>
      <c r="AF7119">
        <v>-9.9731418845229705</v>
      </c>
      <c r="AG7119">
        <v>-1.1240536545440001</v>
      </c>
      <c r="AH7119">
        <v>39.631236936615899</v>
      </c>
      <c r="AI7119">
        <v>91.575538959739305</v>
      </c>
      <c r="AJ7119">
        <v>104.12510577223701</v>
      </c>
      <c r="AK7119">
        <v>40.882294416939402</v>
      </c>
      <c r="AL7119">
        <v>84.264399169367493</v>
      </c>
      <c r="AM7119">
        <v>99.640559848673206</v>
      </c>
      <c r="AN7119">
        <v>0.99999999987803001</v>
      </c>
    </row>
    <row r="7120" spans="1:40" x14ac:dyDescent="0.25">
      <c r="A7120" t="str">
        <f>"20190303162055344"</f>
        <v>20190303162055344</v>
      </c>
      <c r="B7120" t="str">
        <f>"1551601255339646"</f>
        <v>1551601255339646</v>
      </c>
      <c r="C7120" t="s">
        <v>40</v>
      </c>
      <c r="D7120">
        <v>4.5615160000000001</v>
      </c>
      <c r="E7120">
        <v>0.47747519999999999</v>
      </c>
      <c r="F7120" t="s">
        <v>41</v>
      </c>
      <c r="G7120">
        <v>-421.7079</v>
      </c>
      <c r="H7120" s="1">
        <v>-2.9195140000000001E-6</v>
      </c>
      <c r="I7120">
        <v>75.335300000000004</v>
      </c>
      <c r="J7120">
        <v>-418.19580000000002</v>
      </c>
      <c r="K7120">
        <v>1.1240319999999999</v>
      </c>
      <c r="L7120">
        <v>117.6421</v>
      </c>
      <c r="M7120">
        <v>-0.321914799999999</v>
      </c>
      <c r="N7120">
        <v>-1.3776200000000001E-2</v>
      </c>
      <c r="O7120">
        <v>-0.94666870000000003</v>
      </c>
      <c r="P7120">
        <v>-0.1600454</v>
      </c>
      <c r="Q7120">
        <v>8.7203219999999998E-2</v>
      </c>
      <c r="R7120">
        <v>-0.98325059999999997</v>
      </c>
      <c r="S7120">
        <v>-0.25384519999999999</v>
      </c>
      <c r="T7120">
        <v>-7.9802040000000005E-2</v>
      </c>
      <c r="U7120">
        <v>-3.017776</v>
      </c>
      <c r="V7120">
        <v>-0.16565270000000001</v>
      </c>
      <c r="W7120">
        <v>9.9698889999999998E-2</v>
      </c>
      <c r="X7120">
        <v>0.98113170000000005</v>
      </c>
      <c r="Y7120">
        <v>-0.2413894</v>
      </c>
      <c r="Z7120">
        <v>1.031669E-2</v>
      </c>
      <c r="AA7120">
        <v>0.9703735</v>
      </c>
      <c r="AB7120">
        <v>21</v>
      </c>
      <c r="AC7120">
        <v>-3.51209999999997</v>
      </c>
      <c r="AD7120">
        <v>-1.124034919514</v>
      </c>
      <c r="AE7120">
        <v>-42.306800000000003</v>
      </c>
      <c r="AF7120">
        <v>-10.2881514472672</v>
      </c>
      <c r="AG7120">
        <v>-1.124034919514</v>
      </c>
      <c r="AH7120">
        <v>41.156164280051001</v>
      </c>
      <c r="AI7120">
        <v>91.5177620251402</v>
      </c>
      <c r="AJ7120">
        <v>104.03507782136001</v>
      </c>
      <c r="AK7120">
        <v>42.437476043571898</v>
      </c>
      <c r="AL7120">
        <v>84.278168788087498</v>
      </c>
      <c r="AM7120">
        <v>99.583347191801707</v>
      </c>
      <c r="AN7120">
        <v>1.0000000492147001</v>
      </c>
    </row>
    <row r="7121" spans="1:40" x14ac:dyDescent="0.25">
      <c r="A7121" t="str">
        <f>"20190303162055365"</f>
        <v>20190303162055365</v>
      </c>
      <c r="B7121" t="str">
        <f>"1551601255360142"</f>
        <v>1551601255360142</v>
      </c>
      <c r="C7121" t="s">
        <v>40</v>
      </c>
      <c r="D7121">
        <v>4.5679379999999998</v>
      </c>
      <c r="E7121">
        <v>0.4779562</v>
      </c>
      <c r="F7121" t="s">
        <v>72</v>
      </c>
      <c r="G7121">
        <v>-430.84199999999998</v>
      </c>
      <c r="H7121">
        <v>0.18918969999999999</v>
      </c>
      <c r="I7121">
        <v>-2.767128</v>
      </c>
      <c r="J7121">
        <v>-418.25700000000001</v>
      </c>
      <c r="K7121">
        <v>1.1240209999999999</v>
      </c>
      <c r="L7121">
        <v>117.4464</v>
      </c>
      <c r="M7121">
        <v>-0.31780570000000002</v>
      </c>
      <c r="N7121">
        <v>-1.3772349999999999E-2</v>
      </c>
      <c r="O7121">
        <v>-0.94805600000000001</v>
      </c>
      <c r="P7121">
        <v>-0.15576570000000001</v>
      </c>
      <c r="Q7121">
        <v>8.7736049999999996E-2</v>
      </c>
      <c r="R7121">
        <v>-0.98389009999999999</v>
      </c>
      <c r="S7121">
        <v>-0.31527709999999998</v>
      </c>
      <c r="T7121">
        <v>-2.330685E-2</v>
      </c>
      <c r="U7121">
        <v>-3.0018769999999999</v>
      </c>
      <c r="V7121">
        <v>-0.1656493</v>
      </c>
      <c r="W7121">
        <v>0.10023600000000001</v>
      </c>
      <c r="X7121">
        <v>0.98107750000000005</v>
      </c>
      <c r="Y7121">
        <v>-0.217031</v>
      </c>
      <c r="Z7121">
        <v>-6.4878080000000003E-3</v>
      </c>
      <c r="AA7121">
        <v>0.97614310000000004</v>
      </c>
      <c r="AB7121">
        <v>21</v>
      </c>
      <c r="AC7121">
        <v>-12.585000000000001</v>
      </c>
      <c r="AD7121">
        <v>-0.93483130000000003</v>
      </c>
      <c r="AE7121">
        <v>-120.213528</v>
      </c>
      <c r="AF7121">
        <v>-26.274175886469799</v>
      </c>
      <c r="AG7121">
        <v>-0.93483130000000003</v>
      </c>
      <c r="AH7121">
        <v>117.972855176038</v>
      </c>
      <c r="AI7121">
        <v>90.443152214675393</v>
      </c>
      <c r="AJ7121">
        <v>102.55564158521901</v>
      </c>
      <c r="AK7121">
        <v>120.866872162967</v>
      </c>
      <c r="AL7121">
        <v>84.247239457353004</v>
      </c>
      <c r="AM7121">
        <v>99.583673748319995</v>
      </c>
      <c r="AN7121">
        <v>1.0000000036463701</v>
      </c>
    </row>
    <row r="7122" spans="1:40" x14ac:dyDescent="0.25">
      <c r="A7122" t="str">
        <f>"20190303162055388"</f>
        <v>20190303162055388</v>
      </c>
      <c r="B7122" t="str">
        <f>"1551601255379662"</f>
        <v>1551601255379662</v>
      </c>
      <c r="C7122" t="s">
        <v>40</v>
      </c>
      <c r="D7122">
        <v>4.6036020000000004</v>
      </c>
      <c r="E7122">
        <v>0.47812290000000002</v>
      </c>
      <c r="F7122" t="s">
        <v>72</v>
      </c>
      <c r="G7122">
        <v>-430.47239999999999</v>
      </c>
      <c r="H7122">
        <v>0.1274488</v>
      </c>
      <c r="I7122">
        <v>-2.4646699999999999</v>
      </c>
      <c r="J7122">
        <v>-418.31920000000002</v>
      </c>
      <c r="K7122">
        <v>1.1240000000000001</v>
      </c>
      <c r="L7122">
        <v>117.2444</v>
      </c>
      <c r="M7122">
        <v>-0.31358439999999999</v>
      </c>
      <c r="N7122">
        <v>-1.3768270000000001E-2</v>
      </c>
      <c r="O7122">
        <v>-0.94946079999999999</v>
      </c>
      <c r="P7122">
        <v>-0.1520416</v>
      </c>
      <c r="Q7122">
        <v>8.7872019999999995E-2</v>
      </c>
      <c r="R7122">
        <v>-0.98446040000000001</v>
      </c>
      <c r="S7122">
        <v>-0.30590820000000002</v>
      </c>
      <c r="T7122">
        <v>-2.495754E-2</v>
      </c>
      <c r="U7122">
        <v>-3.0028990000000002</v>
      </c>
      <c r="V7122">
        <v>-0.16498769999999999</v>
      </c>
      <c r="W7122">
        <v>0.1003816</v>
      </c>
      <c r="X7122">
        <v>0.98117410000000005</v>
      </c>
      <c r="Y7122">
        <v>-0.21573429999999999</v>
      </c>
      <c r="Z7122">
        <v>-5.9774019999999997E-3</v>
      </c>
      <c r="AA7122">
        <v>0.97643380000000002</v>
      </c>
      <c r="AB7122">
        <v>21</v>
      </c>
      <c r="AC7122">
        <v>-12.153199999999901</v>
      </c>
      <c r="AD7122">
        <v>-0.99655119999999997</v>
      </c>
      <c r="AE7122">
        <v>-119.70907</v>
      </c>
      <c r="AF7122">
        <v>-26.000583901856999</v>
      </c>
      <c r="AG7122">
        <v>-0.99655119999999997</v>
      </c>
      <c r="AH7122">
        <v>117.473168523829</v>
      </c>
      <c r="AI7122">
        <v>90.474557012314506</v>
      </c>
      <c r="AJ7122">
        <v>102.480198703852</v>
      </c>
      <c r="AK7122">
        <v>120.32027593286</v>
      </c>
      <c r="AL7122">
        <v>84.238854943578005</v>
      </c>
      <c r="AM7122">
        <v>99.545180001482095</v>
      </c>
      <c r="AN7122">
        <v>1.00000001064033</v>
      </c>
    </row>
    <row r="7123" spans="1:40" x14ac:dyDescent="0.25">
      <c r="A7123" t="str">
        <f>"20190303162055411"</f>
        <v>20190303162055411</v>
      </c>
      <c r="B7123" t="str">
        <f>"1551601255400158"</f>
        <v>1551601255400158</v>
      </c>
      <c r="C7123" t="s">
        <v>40</v>
      </c>
      <c r="D7123">
        <v>4.554068</v>
      </c>
      <c r="E7123">
        <v>0.4787612</v>
      </c>
      <c r="F7123" t="s">
        <v>44</v>
      </c>
      <c r="G7123">
        <v>-431.67169999999999</v>
      </c>
      <c r="H7123">
        <v>-0.05</v>
      </c>
      <c r="I7123">
        <v>-18.524840000000001</v>
      </c>
      <c r="J7123">
        <v>-418.38299999999998</v>
      </c>
      <c r="K7123">
        <v>1.1239760000000001</v>
      </c>
      <c r="L7123">
        <v>117.0334</v>
      </c>
      <c r="M7123">
        <v>-0.30919210000000003</v>
      </c>
      <c r="N7123">
        <v>-1.376406E-2</v>
      </c>
      <c r="O7123">
        <v>-0.95090010000000003</v>
      </c>
      <c r="P7123">
        <v>-0.1473652</v>
      </c>
      <c r="Q7123">
        <v>8.7227910000000006E-2</v>
      </c>
      <c r="R7123">
        <v>-0.9852284</v>
      </c>
      <c r="S7123">
        <v>-0.2954407</v>
      </c>
      <c r="T7123">
        <v>-2.5976180000000001E-2</v>
      </c>
      <c r="U7123">
        <v>-3.0040589999999998</v>
      </c>
      <c r="V7123">
        <v>-0.1651205</v>
      </c>
      <c r="W7123">
        <v>9.9740620000000002E-2</v>
      </c>
      <c r="X7123">
        <v>0.98121709999999995</v>
      </c>
      <c r="Y7123">
        <v>-0.2146266</v>
      </c>
      <c r="Z7123">
        <v>-5.6574149999999998E-3</v>
      </c>
      <c r="AA7123">
        <v>0.97667979999999999</v>
      </c>
      <c r="AB7123">
        <v>21</v>
      </c>
      <c r="AC7123">
        <v>-13.288699999999899</v>
      </c>
      <c r="AD7123">
        <v>-1.1739759999999999</v>
      </c>
      <c r="AE7123">
        <v>-135.55823999999899</v>
      </c>
      <c r="AF7123">
        <v>-29.277906457374002</v>
      </c>
      <c r="AG7123">
        <v>-1.1739759999999999</v>
      </c>
      <c r="AH7123">
        <v>133.01381146664701</v>
      </c>
      <c r="AI7123">
        <v>90.493856372611404</v>
      </c>
      <c r="AJ7123">
        <v>102.413527094363</v>
      </c>
      <c r="AK7123">
        <v>136.20296644001601</v>
      </c>
      <c r="AL7123">
        <v>84.275765483897601</v>
      </c>
      <c r="AM7123">
        <v>99.552310547180895</v>
      </c>
      <c r="AN7123">
        <v>0.99999998406532198</v>
      </c>
    </row>
    <row r="7124" spans="1:40" x14ac:dyDescent="0.25">
      <c r="A7124" t="str">
        <f>"20190303162055434"</f>
        <v>20190303162055434</v>
      </c>
      <c r="B7124" t="str">
        <f>"1551601255419678"</f>
        <v>1551601255419678</v>
      </c>
      <c r="C7124" t="s">
        <v>40</v>
      </c>
      <c r="D7124">
        <v>4.5244920000000004</v>
      </c>
      <c r="E7124">
        <v>0.47934480000000002</v>
      </c>
      <c r="F7124" t="s">
        <v>62</v>
      </c>
      <c r="G7124">
        <v>-428.39870000000002</v>
      </c>
      <c r="H7124" s="1">
        <v>-7.4039439999999999E-6</v>
      </c>
      <c r="I7124">
        <v>11.904909999999999</v>
      </c>
      <c r="J7124">
        <v>-418.44150000000002</v>
      </c>
      <c r="K7124">
        <v>1.123958</v>
      </c>
      <c r="L7124">
        <v>116.8374</v>
      </c>
      <c r="M7124">
        <v>-0.30512319999999998</v>
      </c>
      <c r="N7124">
        <v>-1.376028E-2</v>
      </c>
      <c r="O7124">
        <v>-0.95221350000000005</v>
      </c>
      <c r="P7124">
        <v>-0.14165800000000001</v>
      </c>
      <c r="Q7124">
        <v>8.560632E-2</v>
      </c>
      <c r="R7124">
        <v>-0.9862071</v>
      </c>
      <c r="S7124">
        <v>-0.28628540000000002</v>
      </c>
      <c r="T7124">
        <v>-3.2127740000000002E-2</v>
      </c>
      <c r="U7124">
        <v>-3.0049739999999998</v>
      </c>
      <c r="V7124">
        <v>-0.16663810000000001</v>
      </c>
      <c r="W7124">
        <v>9.8111199999999996E-2</v>
      </c>
      <c r="X7124">
        <v>0.98112480000000002</v>
      </c>
      <c r="Y7124">
        <v>-0.21342340000000001</v>
      </c>
      <c r="Z7124">
        <v>-3.773027E-3</v>
      </c>
      <c r="AA7124">
        <v>0.97695259999999995</v>
      </c>
      <c r="AB7124">
        <v>21</v>
      </c>
      <c r="AC7124">
        <v>-9.9572000000000003</v>
      </c>
      <c r="AD7124">
        <v>-1.1239654039439999</v>
      </c>
      <c r="AE7124">
        <v>-104.93248999999901</v>
      </c>
      <c r="AF7124">
        <v>-22.535527532169201</v>
      </c>
      <c r="AG7124">
        <v>-1.1239654039439999</v>
      </c>
      <c r="AH7124">
        <v>102.95434484618001</v>
      </c>
      <c r="AI7124">
        <v>90.611015158890396</v>
      </c>
      <c r="AJ7124">
        <v>102.346663019567</v>
      </c>
      <c r="AK7124">
        <v>105.39786725588201</v>
      </c>
      <c r="AL7124">
        <v>84.369584498891896</v>
      </c>
      <c r="AM7124">
        <v>99.6393545716045</v>
      </c>
      <c r="AN7124">
        <v>0.99999996855604401</v>
      </c>
    </row>
    <row r="7125" spans="1:40" x14ac:dyDescent="0.25">
      <c r="A7125" t="str">
        <f>"20190303162055456"</f>
        <v>20190303162055456</v>
      </c>
      <c r="B7125" t="str">
        <f>"1551601255449934"</f>
        <v>1551601255449934</v>
      </c>
      <c r="C7125" t="s">
        <v>40</v>
      </c>
      <c r="D7125">
        <v>4.5457210000000003</v>
      </c>
      <c r="E7125">
        <v>0.48015790000000003</v>
      </c>
      <c r="F7125" t="s">
        <v>62</v>
      </c>
      <c r="G7125">
        <v>-426.02609999999999</v>
      </c>
      <c r="H7125" s="1">
        <v>-4.3348049999999999E-6</v>
      </c>
      <c r="I7125">
        <v>33.713790000000003</v>
      </c>
      <c r="J7125">
        <v>-418.5009</v>
      </c>
      <c r="K7125">
        <v>1.123936</v>
      </c>
      <c r="L7125">
        <v>116.6349</v>
      </c>
      <c r="M7125">
        <v>-0.30092999999999998</v>
      </c>
      <c r="N7125">
        <v>-1.375651E-2</v>
      </c>
      <c r="O7125">
        <v>-0.95354720000000004</v>
      </c>
      <c r="P7125">
        <v>-0.1363924</v>
      </c>
      <c r="Q7125">
        <v>8.3964120000000003E-2</v>
      </c>
      <c r="R7125">
        <v>-0.98709049999999998</v>
      </c>
      <c r="S7125">
        <v>-0.27429199999999998</v>
      </c>
      <c r="T7125">
        <v>-4.0647269999999999E-2</v>
      </c>
      <c r="U7125">
        <v>-3.0061040000000001</v>
      </c>
      <c r="V7125">
        <v>-0.16758729999999999</v>
      </c>
      <c r="W7125">
        <v>9.6463960000000001E-2</v>
      </c>
      <c r="X7125">
        <v>0.98112650000000001</v>
      </c>
      <c r="Y7125">
        <v>-0.21301800000000001</v>
      </c>
      <c r="Z7125">
        <v>-1.1612969999999999E-3</v>
      </c>
      <c r="AA7125">
        <v>0.97704760000000002</v>
      </c>
      <c r="AB7125">
        <v>21</v>
      </c>
      <c r="AC7125">
        <v>-7.5251999999999803</v>
      </c>
      <c r="AD7125">
        <v>-1.1239403348049899</v>
      </c>
      <c r="AE7125">
        <v>-82.921109999999999</v>
      </c>
      <c r="AF7125">
        <v>-17.7762561752198</v>
      </c>
      <c r="AG7125">
        <v>-1.1239403348049899</v>
      </c>
      <c r="AH7125">
        <v>81.326613366755694</v>
      </c>
      <c r="AI7125">
        <v>90.773521640176696</v>
      </c>
      <c r="AJ7125">
        <v>102.329714161525</v>
      </c>
      <c r="AK7125">
        <v>83.254288581363795</v>
      </c>
      <c r="AL7125">
        <v>84.464414451573106</v>
      </c>
      <c r="AM7125">
        <v>99.693206714109806</v>
      </c>
      <c r="AN7125">
        <v>1.00000000385121</v>
      </c>
    </row>
    <row r="7126" spans="1:40" x14ac:dyDescent="0.25">
      <c r="A7126" t="str">
        <f>"20190303162055478"</f>
        <v>20190303162055478</v>
      </c>
      <c r="B7126" t="str">
        <f>"1551601255469454"</f>
        <v>1551601255469454</v>
      </c>
      <c r="C7126" t="s">
        <v>40</v>
      </c>
      <c r="D7126">
        <v>4.5443619999999996</v>
      </c>
      <c r="E7126">
        <v>0.48056680000000002</v>
      </c>
      <c r="F7126" t="s">
        <v>41</v>
      </c>
      <c r="G7126">
        <v>-424.57380000000001</v>
      </c>
      <c r="H7126" s="1">
        <v>-4.4163289999999997E-6</v>
      </c>
      <c r="I7126">
        <v>47.580280000000002</v>
      </c>
      <c r="J7126">
        <v>-418.55759999999998</v>
      </c>
      <c r="K7126">
        <v>1.1239269999999999</v>
      </c>
      <c r="L7126">
        <v>116.4387</v>
      </c>
      <c r="M7126">
        <v>-0.2968729</v>
      </c>
      <c r="N7126">
        <v>-1.3753E-2</v>
      </c>
      <c r="O7126">
        <v>-0.95481799999999994</v>
      </c>
      <c r="P7126">
        <v>-0.1318281</v>
      </c>
      <c r="Q7126">
        <v>8.3681749999999999E-2</v>
      </c>
      <c r="R7126">
        <v>-0.98773429999999995</v>
      </c>
      <c r="S7126">
        <v>-0.26443480000000003</v>
      </c>
      <c r="T7126">
        <v>-4.8940060000000001E-2</v>
      </c>
      <c r="U7126">
        <v>-3.006866</v>
      </c>
      <c r="V7126">
        <v>-0.16795450000000001</v>
      </c>
      <c r="W7126">
        <v>9.617966E-2</v>
      </c>
      <c r="X7126">
        <v>0.98109159999999995</v>
      </c>
      <c r="Y7126">
        <v>-0.21205959999999999</v>
      </c>
      <c r="Z7126">
        <v>1.3936479999999999E-3</v>
      </c>
      <c r="AA7126">
        <v>0.97725580000000001</v>
      </c>
      <c r="AB7126">
        <v>21</v>
      </c>
      <c r="AC7126">
        <v>-6.01620000000002</v>
      </c>
      <c r="AD7126">
        <v>-1.123931416329</v>
      </c>
      <c r="AE7126">
        <v>-68.858419999999995</v>
      </c>
      <c r="AF7126">
        <v>-14.6953269680304</v>
      </c>
      <c r="AG7126">
        <v>-1.123931416329</v>
      </c>
      <c r="AH7126">
        <v>67.5218378794561</v>
      </c>
      <c r="AI7126">
        <v>90.931816907949198</v>
      </c>
      <c r="AJ7126">
        <v>102.278277278643</v>
      </c>
      <c r="AK7126">
        <v>69.111608627968494</v>
      </c>
      <c r="AL7126">
        <v>84.480779628176805</v>
      </c>
      <c r="AM7126">
        <v>99.7143802024395</v>
      </c>
      <c r="AN7126">
        <v>0.99999998432926196</v>
      </c>
    </row>
    <row r="7127" spans="1:40" x14ac:dyDescent="0.25">
      <c r="A7127" t="str">
        <f>"20190303162055500"</f>
        <v>20190303162055500</v>
      </c>
      <c r="B7127" t="str">
        <f>"1551601255489951"</f>
        <v>1551601255489951</v>
      </c>
      <c r="C7127" t="s">
        <v>40</v>
      </c>
      <c r="D7127">
        <v>4.5499499999999999</v>
      </c>
      <c r="E7127">
        <v>0.48073959999999999</v>
      </c>
      <c r="F7127" t="s">
        <v>41</v>
      </c>
      <c r="G7127">
        <v>-424.37430000000001</v>
      </c>
      <c r="H7127" s="1">
        <v>-4.3013709999999999E-6</v>
      </c>
      <c r="I7127">
        <v>47.346449999999997</v>
      </c>
      <c r="J7127">
        <v>-418.61529999999999</v>
      </c>
      <c r="K7127">
        <v>1.123918</v>
      </c>
      <c r="L7127">
        <v>116.23569999999999</v>
      </c>
      <c r="M7127">
        <v>-0.29267720000000003</v>
      </c>
      <c r="N7127">
        <v>-1.3749519999999999E-2</v>
      </c>
      <c r="O7127">
        <v>-0.95611250000000003</v>
      </c>
      <c r="P7127">
        <v>-0.1277046</v>
      </c>
      <c r="Q7127">
        <v>8.350146E-2</v>
      </c>
      <c r="R7127">
        <v>-0.98829100000000003</v>
      </c>
      <c r="S7127">
        <v>-0.25320429999999999</v>
      </c>
      <c r="T7127">
        <v>-4.8925160000000002E-2</v>
      </c>
      <c r="U7127">
        <v>-3.0076139999999998</v>
      </c>
      <c r="V7127">
        <v>-0.16774220000000001</v>
      </c>
      <c r="W7127">
        <v>9.6001669999999997E-2</v>
      </c>
      <c r="X7127">
        <v>0.98114539999999995</v>
      </c>
      <c r="Y7127">
        <v>-0.21141180000000001</v>
      </c>
      <c r="Z7127">
        <v>1.4132189999999901E-3</v>
      </c>
      <c r="AA7127">
        <v>0.97739609999999999</v>
      </c>
      <c r="AB7127">
        <v>21</v>
      </c>
      <c r="AC7127">
        <v>-5.7590000000000101</v>
      </c>
      <c r="AD7127">
        <v>-1.123922301371</v>
      </c>
      <c r="AE7127">
        <v>-68.889250000000004</v>
      </c>
      <c r="AF7127">
        <v>-14.6535723291064</v>
      </c>
      <c r="AG7127">
        <v>-1.123922301371</v>
      </c>
      <c r="AH7127">
        <v>67.539930879658797</v>
      </c>
      <c r="AI7127">
        <v>90.931690536062206</v>
      </c>
      <c r="AJ7127">
        <v>102.24126310640899</v>
      </c>
      <c r="AK7127">
        <v>69.120421342559595</v>
      </c>
      <c r="AL7127">
        <v>84.491025372837299</v>
      </c>
      <c r="AM7127">
        <v>99.701812543877395</v>
      </c>
      <c r="AN7127">
        <v>1.00000003112239</v>
      </c>
    </row>
    <row r="7128" spans="1:40" x14ac:dyDescent="0.25">
      <c r="A7128" t="str">
        <f>"20190303162055523"</f>
        <v>20190303162055523</v>
      </c>
      <c r="B7128" t="str">
        <f>"1551601255509470"</f>
        <v>1551601255509470</v>
      </c>
      <c r="C7128" t="s">
        <v>40</v>
      </c>
      <c r="D7128">
        <v>4.5409220000000001</v>
      </c>
      <c r="E7128">
        <v>0.4810026</v>
      </c>
      <c r="F7128" t="s">
        <v>41</v>
      </c>
      <c r="G7128">
        <v>-424.10160000000002</v>
      </c>
      <c r="H7128" s="1">
        <v>-4.4394630000000001E-6</v>
      </c>
      <c r="I7128">
        <v>47.894410000000001</v>
      </c>
      <c r="J7128">
        <v>-418.6703</v>
      </c>
      <c r="K7128">
        <v>1.123909</v>
      </c>
      <c r="L7128">
        <v>116.03879999999999</v>
      </c>
      <c r="M7128">
        <v>-0.28860849999999999</v>
      </c>
      <c r="N7128">
        <v>-1.374621E-2</v>
      </c>
      <c r="O7128">
        <v>-0.95734859999999999</v>
      </c>
      <c r="P7128">
        <v>-0.1240675</v>
      </c>
      <c r="Q7128">
        <v>8.2491159999999994E-2</v>
      </c>
      <c r="R7128">
        <v>-0.98883909999999997</v>
      </c>
      <c r="S7128">
        <v>-0.24151610000000001</v>
      </c>
      <c r="T7128">
        <v>-4.9477220000000002E-2</v>
      </c>
      <c r="U7128">
        <v>-3.0085139999999999</v>
      </c>
      <c r="V7128">
        <v>-0.1671955</v>
      </c>
      <c r="W7128">
        <v>9.4996819999999996E-2</v>
      </c>
      <c r="X7128">
        <v>0.98133649999999994</v>
      </c>
      <c r="Y7128">
        <v>-0.21105119999999999</v>
      </c>
      <c r="Z7128">
        <v>1.6039260000000001E-3</v>
      </c>
      <c r="AA7128">
        <v>0.9774737</v>
      </c>
      <c r="AB7128">
        <v>21</v>
      </c>
      <c r="AC7128">
        <v>-5.4313000000000198</v>
      </c>
      <c r="AD7128">
        <v>-1.1239134394629999</v>
      </c>
      <c r="AE7128">
        <v>-68.144389999999902</v>
      </c>
      <c r="AF7128">
        <v>-14.4648586518797</v>
      </c>
      <c r="AG7128">
        <v>-1.1239134394629999</v>
      </c>
      <c r="AH7128">
        <v>66.7937080380418</v>
      </c>
      <c r="AI7128">
        <v>90.942168422153998</v>
      </c>
      <c r="AJ7128">
        <v>102.219295883626</v>
      </c>
      <c r="AK7128">
        <v>68.351260052097302</v>
      </c>
      <c r="AL7128">
        <v>84.5488633724663</v>
      </c>
      <c r="AM7128">
        <v>99.668943107373195</v>
      </c>
      <c r="AN7128">
        <v>1.0000000286313</v>
      </c>
    </row>
    <row r="7129" spans="1:40" x14ac:dyDescent="0.25">
      <c r="A7129" t="str">
        <f>"20190303162055544"</f>
        <v>20190303162055544</v>
      </c>
      <c r="B7129" t="str">
        <f>"1551601255539727"</f>
        <v>1551601255539727</v>
      </c>
      <c r="C7129" t="s">
        <v>40</v>
      </c>
      <c r="D7129">
        <v>4.4238650000000002</v>
      </c>
      <c r="E7129">
        <v>0.48623850000000002</v>
      </c>
      <c r="F7129" t="s">
        <v>41</v>
      </c>
      <c r="G7129">
        <v>-423.64359999999999</v>
      </c>
      <c r="H7129" s="1">
        <v>-1.8944809999999999E-6</v>
      </c>
      <c r="I7129">
        <v>51.7453</v>
      </c>
      <c r="J7129">
        <v>-418.7251</v>
      </c>
      <c r="K7129">
        <v>1.123907</v>
      </c>
      <c r="L7129">
        <v>115.83969999999999</v>
      </c>
      <c r="M7129">
        <v>-0.2844912</v>
      </c>
      <c r="N7129">
        <v>-1.374306E-2</v>
      </c>
      <c r="O7129">
        <v>-0.95858019999999999</v>
      </c>
      <c r="P7129">
        <v>-0.1205787</v>
      </c>
      <c r="Q7129">
        <v>8.2175899999999996E-2</v>
      </c>
      <c r="R7129">
        <v>-0.98929670000000003</v>
      </c>
      <c r="S7129">
        <v>-0.23275760000000001</v>
      </c>
      <c r="T7129">
        <v>-5.260074E-2</v>
      </c>
      <c r="U7129">
        <v>-3.0090330000000001</v>
      </c>
      <c r="V7129">
        <v>-0.1664428</v>
      </c>
      <c r="W7129">
        <v>9.4687800000000003E-2</v>
      </c>
      <c r="X7129">
        <v>0.98149430000000004</v>
      </c>
      <c r="Y7129">
        <v>-0.20968980000000001</v>
      </c>
      <c r="Z7129">
        <v>2.5911390000000001E-3</v>
      </c>
      <c r="AA7129">
        <v>0.97776450000000004</v>
      </c>
      <c r="AB7129">
        <v>21</v>
      </c>
      <c r="AC7129">
        <v>-4.9184999999999901</v>
      </c>
      <c r="AD7129">
        <v>-1.1239088944810001</v>
      </c>
      <c r="AE7129">
        <v>-64.094399999999993</v>
      </c>
      <c r="AF7129">
        <v>-13.516660369009999</v>
      </c>
      <c r="AG7129">
        <v>-1.1239088944810001</v>
      </c>
      <c r="AH7129">
        <v>62.825619468435697</v>
      </c>
      <c r="AI7129">
        <v>91.001952505640205</v>
      </c>
      <c r="AJ7129">
        <v>102.14185777445699</v>
      </c>
      <c r="AK7129">
        <v>64.273024981923399</v>
      </c>
      <c r="AL7129">
        <v>84.566649055835001</v>
      </c>
      <c r="AM7129">
        <v>99.624711940549005</v>
      </c>
      <c r="AN7129">
        <v>1.00000002303658</v>
      </c>
    </row>
    <row r="7130" spans="1:40" x14ac:dyDescent="0.25">
      <c r="A7130" t="str">
        <f>"20190303162055567"</f>
        <v>20190303162055567</v>
      </c>
      <c r="B7130" t="str">
        <f>"1551601255560222"</f>
        <v>1551601255560222</v>
      </c>
      <c r="C7130" t="s">
        <v>40</v>
      </c>
      <c r="D7130">
        <v>4.5854429999999997</v>
      </c>
      <c r="E7130">
        <v>0.48671360000000002</v>
      </c>
      <c r="F7130" t="s">
        <v>62</v>
      </c>
      <c r="G7130">
        <v>-426.00470000000001</v>
      </c>
      <c r="H7130" s="1">
        <v>-4.6678119999999999E-6</v>
      </c>
      <c r="I7130">
        <v>32.745939999999997</v>
      </c>
      <c r="J7130">
        <v>-418.77749999999997</v>
      </c>
      <c r="K7130">
        <v>1.123896</v>
      </c>
      <c r="L7130">
        <v>115.64579999999999</v>
      </c>
      <c r="M7130">
        <v>-0.28047850000000002</v>
      </c>
      <c r="N7130">
        <v>-1.374008E-2</v>
      </c>
      <c r="O7130">
        <v>-0.95976229999999996</v>
      </c>
      <c r="P7130">
        <v>-0.11773210000000001</v>
      </c>
      <c r="Q7130">
        <v>8.2460450000000005E-2</v>
      </c>
      <c r="R7130">
        <v>-0.98961619999999995</v>
      </c>
      <c r="S7130">
        <v>-0.26315309999999997</v>
      </c>
      <c r="T7130">
        <v>-4.062843E-2</v>
      </c>
      <c r="U7130">
        <v>-3.0037690000000001</v>
      </c>
      <c r="V7130">
        <v>-0.16515239999999901</v>
      </c>
      <c r="W7130">
        <v>9.4981629999999997E-2</v>
      </c>
      <c r="X7130">
        <v>0.98168390000000005</v>
      </c>
      <c r="Y7130">
        <v>-0.19562779999999999</v>
      </c>
      <c r="Z7130">
        <v>-1.0103530000000001E-3</v>
      </c>
      <c r="AA7130">
        <v>0.98067769999999999</v>
      </c>
      <c r="AB7130">
        <v>21</v>
      </c>
      <c r="AC7130">
        <v>-7.22720000000003</v>
      </c>
      <c r="AD7130">
        <v>-1.123900667812</v>
      </c>
      <c r="AE7130">
        <v>-82.899859999999904</v>
      </c>
      <c r="AF7130">
        <v>-16.313793390583001</v>
      </c>
      <c r="AG7130">
        <v>-1.123900667812</v>
      </c>
      <c r="AH7130">
        <v>81.584028698831304</v>
      </c>
      <c r="AI7130">
        <v>90.773936650102002</v>
      </c>
      <c r="AJ7130">
        <v>101.30789827920999</v>
      </c>
      <c r="AK7130">
        <v>83.206710944691693</v>
      </c>
      <c r="AL7130">
        <v>84.549737778435301</v>
      </c>
      <c r="AM7130">
        <v>99.549662578212207</v>
      </c>
      <c r="AN7130">
        <v>1.00000005239121</v>
      </c>
    </row>
    <row r="7131" spans="1:40" x14ac:dyDescent="0.25">
      <c r="A7131" t="str">
        <f>"20190303162055589"</f>
        <v>20190303162055589</v>
      </c>
      <c r="B7131" t="str">
        <f>"1551601255579742"</f>
        <v>1551601255579742</v>
      </c>
      <c r="C7131" t="s">
        <v>40</v>
      </c>
      <c r="D7131">
        <v>4.5979039999999998</v>
      </c>
      <c r="E7131">
        <v>0.48708590000000002</v>
      </c>
      <c r="F7131" t="s">
        <v>41</v>
      </c>
      <c r="G7131">
        <v>-425.03070000000002</v>
      </c>
      <c r="H7131" s="1">
        <v>-2.7769999999999998E-6</v>
      </c>
      <c r="I7131">
        <v>42.94218</v>
      </c>
      <c r="J7131">
        <v>-418.83150000000001</v>
      </c>
      <c r="K7131">
        <v>1.1238919999999999</v>
      </c>
      <c r="L7131">
        <v>115.4427</v>
      </c>
      <c r="M7131">
        <v>-0.27627439999999998</v>
      </c>
      <c r="N7131">
        <v>-1.373712E-2</v>
      </c>
      <c r="O7131">
        <v>-0.96098070000000002</v>
      </c>
      <c r="P7131">
        <v>-0.1141358</v>
      </c>
      <c r="Q7131">
        <v>8.2479579999999997E-2</v>
      </c>
      <c r="R7131">
        <v>-0.99003569999999996</v>
      </c>
      <c r="S7131">
        <v>-0.25842290000000001</v>
      </c>
      <c r="T7131">
        <v>-4.6446920000000003E-2</v>
      </c>
      <c r="U7131">
        <v>-3.0045929999999998</v>
      </c>
      <c r="V7131">
        <v>-0.16441939999999999</v>
      </c>
      <c r="W7131">
        <v>9.500538E-2</v>
      </c>
      <c r="X7131">
        <v>0.98180460000000003</v>
      </c>
      <c r="Y7131">
        <v>-0.1928878</v>
      </c>
      <c r="Z7131">
        <v>8.1446410000000002E-4</v>
      </c>
      <c r="AA7131">
        <v>0.98122050000000005</v>
      </c>
      <c r="AB7131">
        <v>21</v>
      </c>
      <c r="AC7131">
        <v>-6.19920000000001</v>
      </c>
      <c r="AD7131">
        <v>-1.1238947770000001</v>
      </c>
      <c r="AE7131">
        <v>-72.500519999999995</v>
      </c>
      <c r="AF7131">
        <v>-14.070696236714999</v>
      </c>
      <c r="AG7131">
        <v>-1.1238947770000001</v>
      </c>
      <c r="AH7131">
        <v>71.373984147708299</v>
      </c>
      <c r="AI7131">
        <v>90.885104150403293</v>
      </c>
      <c r="AJ7131">
        <v>101.152305181036</v>
      </c>
      <c r="AK7131">
        <v>72.756396592828693</v>
      </c>
      <c r="AL7131">
        <v>84.548370628440594</v>
      </c>
      <c r="AM7131">
        <v>99.506906053973097</v>
      </c>
      <c r="AN7131">
        <v>1.0000000169532299</v>
      </c>
    </row>
    <row r="7132" spans="1:40" x14ac:dyDescent="0.25">
      <c r="A7132" t="str">
        <f>"20190303162055606"</f>
        <v>20190303162055606</v>
      </c>
      <c r="B7132" t="str">
        <f>"1551601255600238"</f>
        <v>1551601255600238</v>
      </c>
      <c r="C7132" t="s">
        <v>40</v>
      </c>
      <c r="D7132">
        <v>4.5829750000000002</v>
      </c>
      <c r="E7132">
        <v>0.48743249999999999</v>
      </c>
      <c r="F7132" t="s">
        <v>41</v>
      </c>
      <c r="G7132">
        <v>-424.5256</v>
      </c>
      <c r="H7132" s="1">
        <v>-4.2693620000000004E-6</v>
      </c>
      <c r="I7132">
        <v>47.173549999999999</v>
      </c>
      <c r="J7132">
        <v>-418.87049999999999</v>
      </c>
      <c r="K7132">
        <v>1.1238900000000001</v>
      </c>
      <c r="L7132">
        <v>115.2936</v>
      </c>
      <c r="M7132">
        <v>-0.27318559999999997</v>
      </c>
      <c r="N7132">
        <v>-1.3734959999999999E-2</v>
      </c>
      <c r="O7132">
        <v>-0.96186349999999998</v>
      </c>
      <c r="P7132">
        <v>-0.1113344</v>
      </c>
      <c r="Q7132">
        <v>8.2357630000000001E-2</v>
      </c>
      <c r="R7132">
        <v>-0.99036489999999999</v>
      </c>
      <c r="S7132">
        <v>-0.25067139999999999</v>
      </c>
      <c r="T7132">
        <v>-4.9477340000000002E-2</v>
      </c>
      <c r="U7132">
        <v>-3.005417</v>
      </c>
      <c r="V7132">
        <v>-0.16404289999999999</v>
      </c>
      <c r="W7132">
        <v>9.4886219999999993E-2</v>
      </c>
      <c r="X7132">
        <v>0.9818791</v>
      </c>
      <c r="Y7132">
        <v>-0.19226989999999999</v>
      </c>
      <c r="Z7132">
        <v>1.768298E-3</v>
      </c>
      <c r="AA7132">
        <v>0.98134049999999995</v>
      </c>
      <c r="AB7132">
        <v>21</v>
      </c>
      <c r="AC7132">
        <v>-5.6551</v>
      </c>
      <c r="AD7132">
        <v>-1.123894269362</v>
      </c>
      <c r="AE7132">
        <v>-68.120049999999907</v>
      </c>
      <c r="AF7132">
        <v>-13.1676623448096</v>
      </c>
      <c r="AG7132">
        <v>-1.123894269362</v>
      </c>
      <c r="AH7132">
        <v>67.055266637364795</v>
      </c>
      <c r="AI7132">
        <v>90.942236614218302</v>
      </c>
      <c r="AJ7132">
        <v>101.109825433051</v>
      </c>
      <c r="AK7132">
        <v>68.345147989917393</v>
      </c>
      <c r="AL7132">
        <v>84.5552289788384</v>
      </c>
      <c r="AM7132">
        <v>99.484825824955493</v>
      </c>
      <c r="AN7132">
        <v>1.00000001740155</v>
      </c>
    </row>
    <row r="7133" spans="1:40" x14ac:dyDescent="0.25">
      <c r="A7133" t="str">
        <f>"20190303162055624"</f>
        <v>20190303162055624</v>
      </c>
      <c r="B7133" t="str">
        <f>"1551601255609998"</f>
        <v>1551601255609998</v>
      </c>
      <c r="C7133" t="s">
        <v>40</v>
      </c>
      <c r="D7133">
        <v>4.6390820000000001</v>
      </c>
      <c r="E7133">
        <v>0.48770170000000002</v>
      </c>
      <c r="F7133" t="s">
        <v>41</v>
      </c>
      <c r="G7133">
        <v>-424.21550000000002</v>
      </c>
      <c r="H7133" s="1">
        <v>-1.175214E-6</v>
      </c>
      <c r="I7133">
        <v>49.713990000000003</v>
      </c>
      <c r="J7133">
        <v>-418.91329999999999</v>
      </c>
      <c r="K7133">
        <v>1.123883</v>
      </c>
      <c r="L7133">
        <v>115.1279</v>
      </c>
      <c r="M7133">
        <v>-0.26975090000000002</v>
      </c>
      <c r="N7133">
        <v>-1.373255E-2</v>
      </c>
      <c r="O7133">
        <v>-0.96283260000000004</v>
      </c>
      <c r="P7133">
        <v>-0.10844760000000001</v>
      </c>
      <c r="Q7133">
        <v>8.2060019999999997E-2</v>
      </c>
      <c r="R7133">
        <v>-0.99070979999999997</v>
      </c>
      <c r="S7133">
        <v>-0.24499509999999999</v>
      </c>
      <c r="T7133">
        <v>-5.1514860000000003E-2</v>
      </c>
      <c r="U7133">
        <v>-3.0059200000000001</v>
      </c>
      <c r="V7133">
        <v>-0.16340370000000001</v>
      </c>
      <c r="W7133">
        <v>9.4593339999999998E-2</v>
      </c>
      <c r="X7133">
        <v>0.9820139</v>
      </c>
      <c r="Y7133">
        <v>-0.19062090000000001</v>
      </c>
      <c r="Z7133">
        <v>2.4228729999999999E-3</v>
      </c>
      <c r="AA7133">
        <v>0.98166070000000005</v>
      </c>
      <c r="AB7133">
        <v>21</v>
      </c>
      <c r="AC7133">
        <v>-5.3022000000000196</v>
      </c>
      <c r="AD7133">
        <v>-1.1238841752140001</v>
      </c>
      <c r="AE7133">
        <v>-65.413909999999902</v>
      </c>
      <c r="AF7133">
        <v>-12.537831118536801</v>
      </c>
      <c r="AG7133">
        <v>-1.1238841752140001</v>
      </c>
      <c r="AH7133">
        <v>64.4000824280335</v>
      </c>
      <c r="AI7133">
        <v>90.981379399149006</v>
      </c>
      <c r="AJ7133">
        <v>101.01690758365601</v>
      </c>
      <c r="AK7133">
        <v>65.618830693130704</v>
      </c>
      <c r="AL7133">
        <v>84.572085407038898</v>
      </c>
      <c r="AM7133">
        <v>99.447261868759</v>
      </c>
      <c r="AN7133">
        <v>0.99999998446962701</v>
      </c>
    </row>
    <row r="7134" spans="1:40" x14ac:dyDescent="0.25">
      <c r="A7134" t="str">
        <f>"20190303162055647"</f>
        <v>20190303162055647</v>
      </c>
      <c r="B7134" t="str">
        <f>"1551601255640253"</f>
        <v>1551601255640253</v>
      </c>
      <c r="C7134" t="s">
        <v>40</v>
      </c>
      <c r="D7134">
        <v>4.6307929999999997</v>
      </c>
      <c r="E7134">
        <v>0.48806389999999999</v>
      </c>
      <c r="F7134" t="s">
        <v>41</v>
      </c>
      <c r="G7134">
        <v>-424.02010000000001</v>
      </c>
      <c r="H7134" s="1">
        <v>-1.52592E-6</v>
      </c>
      <c r="I7134">
        <v>50.652670000000001</v>
      </c>
      <c r="J7134">
        <v>-418.96289999999999</v>
      </c>
      <c r="K7134">
        <v>1.1238870000000001</v>
      </c>
      <c r="L7134">
        <v>114.9324</v>
      </c>
      <c r="M7134">
        <v>-0.26569700000000002</v>
      </c>
      <c r="N7134">
        <v>-1.372979E-2</v>
      </c>
      <c r="O7134">
        <v>-0.96395889999999995</v>
      </c>
      <c r="P7134">
        <v>-0.1046369</v>
      </c>
      <c r="Q7134">
        <v>8.2462949999999993E-2</v>
      </c>
      <c r="R7134">
        <v>-0.99108609999999997</v>
      </c>
      <c r="S7134">
        <v>-0.2381287</v>
      </c>
      <c r="T7134">
        <v>-5.2405710000000001E-2</v>
      </c>
      <c r="U7134">
        <v>-3.006424</v>
      </c>
      <c r="V7134">
        <v>-0.16303970000000001</v>
      </c>
      <c r="W7134">
        <v>9.4998260000000001E-2</v>
      </c>
      <c r="X7134">
        <v>0.98203530000000006</v>
      </c>
      <c r="Y7134">
        <v>-0.1887308</v>
      </c>
      <c r="Z7134">
        <v>2.726811E-3</v>
      </c>
      <c r="AA7134">
        <v>0.98202509999999998</v>
      </c>
      <c r="AB7134">
        <v>21</v>
      </c>
      <c r="AC7134">
        <v>-5.0572000000000203</v>
      </c>
      <c r="AD7134">
        <v>-1.12388852592</v>
      </c>
      <c r="AE7134">
        <v>-64.279730000000001</v>
      </c>
      <c r="AF7134">
        <v>-12.201440845719199</v>
      </c>
      <c r="AG7134">
        <v>-1.12388852592</v>
      </c>
      <c r="AH7134">
        <v>63.293433324411303</v>
      </c>
      <c r="AI7134">
        <v>90.998894929791803</v>
      </c>
      <c r="AJ7134">
        <v>100.91138767069999</v>
      </c>
      <c r="AK7134">
        <v>64.468573631824498</v>
      </c>
      <c r="AL7134">
        <v>84.548780181049494</v>
      </c>
      <c r="AM7134">
        <v>99.426393431842996</v>
      </c>
      <c r="AN7134">
        <v>0.99999997181260303</v>
      </c>
    </row>
    <row r="7135" spans="1:40" x14ac:dyDescent="0.25">
      <c r="A7135" t="str">
        <f>"20190303162055668"</f>
        <v>20190303162055668</v>
      </c>
      <c r="B7135" t="str">
        <f>"1551601255659774"</f>
        <v>1551601255659774</v>
      </c>
      <c r="C7135" t="s">
        <v>40</v>
      </c>
      <c r="D7135">
        <v>4.628342</v>
      </c>
      <c r="E7135">
        <v>0.48819630000000003</v>
      </c>
      <c r="F7135" t="s">
        <v>41</v>
      </c>
      <c r="G7135">
        <v>-424.60590000000002</v>
      </c>
      <c r="H7135" s="1">
        <v>-1.824113E-6</v>
      </c>
      <c r="I7135">
        <v>40.984470000000002</v>
      </c>
      <c r="J7135">
        <v>-419.01130000000001</v>
      </c>
      <c r="K7135">
        <v>1.123882</v>
      </c>
      <c r="L7135">
        <v>114.738</v>
      </c>
      <c r="M7135">
        <v>-0.26166529999999999</v>
      </c>
      <c r="N7135">
        <v>-1.3727049999999999E-2</v>
      </c>
      <c r="O7135">
        <v>-0.96506110000000001</v>
      </c>
      <c r="P7135">
        <v>-9.999326E-2</v>
      </c>
      <c r="Q7135">
        <v>8.3213319999999993E-2</v>
      </c>
      <c r="R7135">
        <v>-0.99150249999999995</v>
      </c>
      <c r="S7135">
        <v>-0.2294312</v>
      </c>
      <c r="T7135">
        <v>-4.5694829999999999E-2</v>
      </c>
      <c r="U7135">
        <v>-3.006561</v>
      </c>
      <c r="V7135">
        <v>-0.1635219</v>
      </c>
      <c r="W7135">
        <v>9.5743460000000002E-2</v>
      </c>
      <c r="X7135">
        <v>0.98188279999999994</v>
      </c>
      <c r="Y7135">
        <v>-0.18745609999999999</v>
      </c>
      <c r="Z7135">
        <v>6.6128849999999996E-4</v>
      </c>
      <c r="AA7135">
        <v>0.9822727</v>
      </c>
      <c r="AB7135">
        <v>21</v>
      </c>
      <c r="AC7135">
        <v>-5.5946000000000096</v>
      </c>
      <c r="AD7135">
        <v>-1.123883824113</v>
      </c>
      <c r="AE7135">
        <v>-73.753529999999998</v>
      </c>
      <c r="AF7135">
        <v>-13.8977091660288</v>
      </c>
      <c r="AG7135">
        <v>-1.123883824113</v>
      </c>
      <c r="AH7135">
        <v>72.630648224217495</v>
      </c>
      <c r="AI7135">
        <v>90.870727323072501</v>
      </c>
      <c r="AJ7135">
        <v>100.832477003764</v>
      </c>
      <c r="AK7135">
        <v>73.956882684329301</v>
      </c>
      <c r="AL7135">
        <v>84.505888159052702</v>
      </c>
      <c r="AM7135">
        <v>99.455211830219397</v>
      </c>
      <c r="AN7135">
        <v>1.0000000274241101</v>
      </c>
    </row>
    <row r="7136" spans="1:40" x14ac:dyDescent="0.25">
      <c r="A7136" t="str">
        <f>"20190303162055691"</f>
        <v>20190303162055691</v>
      </c>
      <c r="B7136" t="str">
        <f>"1551601255680270"</f>
        <v>1551601255680270</v>
      </c>
      <c r="C7136" t="s">
        <v>40</v>
      </c>
      <c r="D7136">
        <v>4.6190199999999999</v>
      </c>
      <c r="E7136">
        <v>0.48863289999999998</v>
      </c>
      <c r="F7136" t="s">
        <v>62</v>
      </c>
      <c r="G7136">
        <v>-424.57810000000001</v>
      </c>
      <c r="H7136" s="1">
        <v>-2.1025120000000001E-6</v>
      </c>
      <c r="I7136">
        <v>37.326149999999998</v>
      </c>
      <c r="J7136">
        <v>-419.05990000000003</v>
      </c>
      <c r="K7136">
        <v>1.1238760000000001</v>
      </c>
      <c r="L7136">
        <v>114.53959999999999</v>
      </c>
      <c r="M7136">
        <v>-0.25755</v>
      </c>
      <c r="N7136">
        <v>-1.372425E-2</v>
      </c>
      <c r="O7136">
        <v>-0.96616769999999996</v>
      </c>
      <c r="P7136">
        <v>-9.513953E-2</v>
      </c>
      <c r="Q7136">
        <v>8.2998619999999995E-2</v>
      </c>
      <c r="R7136">
        <v>-0.99199800000000005</v>
      </c>
      <c r="S7136">
        <v>-0.2162781</v>
      </c>
      <c r="T7136">
        <v>-4.366457E-2</v>
      </c>
      <c r="U7136">
        <v>-3.007568</v>
      </c>
      <c r="V7136">
        <v>-0.16414479999999901</v>
      </c>
      <c r="W7136">
        <v>9.552418E-2</v>
      </c>
      <c r="X7136">
        <v>0.98180020000000001</v>
      </c>
      <c r="Y7136">
        <v>-0.18756800000000001</v>
      </c>
      <c r="Z7136" s="1">
        <v>4.2251140000000002E-5</v>
      </c>
      <c r="AA7136">
        <v>0.9822516</v>
      </c>
      <c r="AB7136">
        <v>21</v>
      </c>
      <c r="AC7136">
        <v>-5.51819999999997</v>
      </c>
      <c r="AD7136">
        <v>-1.1238781025119999</v>
      </c>
      <c r="AE7136">
        <v>-77.213449999999995</v>
      </c>
      <c r="AF7136">
        <v>-14.5531180134319</v>
      </c>
      <c r="AG7136">
        <v>-1.1238781025119999</v>
      </c>
      <c r="AH7136">
        <v>76.013477375765206</v>
      </c>
      <c r="AI7136">
        <v>90.831962276756897</v>
      </c>
      <c r="AJ7136">
        <v>100.83837554505</v>
      </c>
      <c r="AK7136">
        <v>77.402229222795299</v>
      </c>
      <c r="AL7136">
        <v>84.518509723733303</v>
      </c>
      <c r="AM7136">
        <v>99.491359265327404</v>
      </c>
      <c r="AN7136">
        <v>1.00000000852587</v>
      </c>
    </row>
    <row r="7137" spans="1:40" x14ac:dyDescent="0.25">
      <c r="A7137" t="str">
        <f>"20190303162055713"</f>
        <v>20190303162055713</v>
      </c>
      <c r="B7137" t="str">
        <f>"1551601255699790"</f>
        <v>1551601255699790</v>
      </c>
      <c r="C7137" t="s">
        <v>40</v>
      </c>
      <c r="D7137">
        <v>4.6288359999999997</v>
      </c>
      <c r="E7137">
        <v>0.4890621</v>
      </c>
      <c r="F7137" t="s">
        <v>62</v>
      </c>
      <c r="G7137">
        <v>-424.27179999999998</v>
      </c>
      <c r="H7137" s="1">
        <v>-1.6688929999999901E-6</v>
      </c>
      <c r="I7137">
        <v>38.248019999999997</v>
      </c>
      <c r="J7137">
        <v>-419.10849999999999</v>
      </c>
      <c r="K7137">
        <v>1.1238709999999901</v>
      </c>
      <c r="L7137">
        <v>114.33750000000001</v>
      </c>
      <c r="M7137">
        <v>-0.25335980000000002</v>
      </c>
      <c r="N7137">
        <v>-1.372141E-2</v>
      </c>
      <c r="O7137">
        <v>-0.96727490000000005</v>
      </c>
      <c r="P7137">
        <v>-9.0141570000000004E-2</v>
      </c>
      <c r="Q7137">
        <v>8.3024169999999994E-2</v>
      </c>
      <c r="R7137">
        <v>-0.99246239999999997</v>
      </c>
      <c r="S7137">
        <v>-0.2055054</v>
      </c>
      <c r="T7137">
        <v>-4.4314979999999997E-2</v>
      </c>
      <c r="U7137">
        <v>-3.0082089999999999</v>
      </c>
      <c r="V7137">
        <v>-0.16483399999999901</v>
      </c>
      <c r="W7137">
        <v>9.5544119999999996E-2</v>
      </c>
      <c r="X7137">
        <v>0.98168279999999997</v>
      </c>
      <c r="Y7137">
        <v>-0.18682570000000001</v>
      </c>
      <c r="Z7137">
        <v>2.6380570000000001E-4</v>
      </c>
      <c r="AA7137">
        <v>0.98239299999999996</v>
      </c>
      <c r="AB7137">
        <v>21</v>
      </c>
      <c r="AC7137">
        <v>-5.1632999999999898</v>
      </c>
      <c r="AD7137">
        <v>-1.1238726688930001</v>
      </c>
      <c r="AE7137">
        <v>-76.089479999999995</v>
      </c>
      <c r="AF7137">
        <v>-14.281926833784199</v>
      </c>
      <c r="AG7137">
        <v>-1.1238726688930001</v>
      </c>
      <c r="AH7137">
        <v>74.898396795801901</v>
      </c>
      <c r="AI7137">
        <v>90.8444624999116</v>
      </c>
      <c r="AJ7137">
        <v>100.795787868879</v>
      </c>
      <c r="AK7137">
        <v>76.256189036974902</v>
      </c>
      <c r="AL7137">
        <v>84.517362076625304</v>
      </c>
      <c r="AM7137">
        <v>99.531600234547099</v>
      </c>
      <c r="AN7137">
        <v>1.0000000231192001</v>
      </c>
    </row>
    <row r="7138" spans="1:40" x14ac:dyDescent="0.25">
      <c r="A7138" t="str">
        <f>"20190303162055735"</f>
        <v>20190303162055735</v>
      </c>
      <c r="B7138" t="str">
        <f>"1551601255720286"</f>
        <v>1551601255720286</v>
      </c>
      <c r="C7138" t="s">
        <v>40</v>
      </c>
      <c r="D7138">
        <v>4.6551220000000004</v>
      </c>
      <c r="E7138">
        <v>0.48957050000000002</v>
      </c>
      <c r="F7138" t="s">
        <v>62</v>
      </c>
      <c r="G7138">
        <v>-424.2337</v>
      </c>
      <c r="H7138" s="1">
        <v>-3.7735130000000001E-6</v>
      </c>
      <c r="I7138">
        <v>34.611759999999997</v>
      </c>
      <c r="J7138">
        <v>-419.1558</v>
      </c>
      <c r="K7138">
        <v>1.123856</v>
      </c>
      <c r="L7138">
        <v>114.1369</v>
      </c>
      <c r="M7138">
        <v>-0.24920300000000001</v>
      </c>
      <c r="N7138">
        <v>-1.3718589999999999E-2</v>
      </c>
      <c r="O7138">
        <v>-0.9683541</v>
      </c>
      <c r="P7138">
        <v>-8.5556950000000007E-2</v>
      </c>
      <c r="Q7138">
        <v>8.2618330000000004E-2</v>
      </c>
      <c r="R7138">
        <v>-0.99290199999999995</v>
      </c>
      <c r="S7138">
        <v>-0.19342039999999999</v>
      </c>
      <c r="T7138">
        <v>-4.2413949999999999E-2</v>
      </c>
      <c r="U7138">
        <v>-3.0087739999999998</v>
      </c>
      <c r="V7138">
        <v>-0.16515550000000001</v>
      </c>
      <c r="W7138">
        <v>9.5136849999999995E-2</v>
      </c>
      <c r="X7138">
        <v>0.98166830000000005</v>
      </c>
      <c r="Y7138">
        <v>-0.1865482</v>
      </c>
      <c r="Z7138">
        <v>-3.1483690000000001E-4</v>
      </c>
      <c r="AA7138">
        <v>0.98244580000000004</v>
      </c>
      <c r="AB7138">
        <v>21</v>
      </c>
      <c r="AC7138">
        <v>-5.0778999999999996</v>
      </c>
      <c r="AD7138">
        <v>-1.123859773513</v>
      </c>
      <c r="AE7138">
        <v>-79.525139999999993</v>
      </c>
      <c r="AF7138">
        <v>-14.8991370157104</v>
      </c>
      <c r="AG7138">
        <v>-1.123859773513</v>
      </c>
      <c r="AH7138">
        <v>78.2657224366299</v>
      </c>
      <c r="AI7138">
        <v>90.808173007249906</v>
      </c>
      <c r="AJ7138">
        <v>100.778208512679</v>
      </c>
      <c r="AK7138">
        <v>79.679173270880696</v>
      </c>
      <c r="AL7138">
        <v>84.540803614081895</v>
      </c>
      <c r="AM7138">
        <v>99.5499874934346</v>
      </c>
      <c r="AN7138">
        <v>1.0000000053165301</v>
      </c>
    </row>
    <row r="7139" spans="1:40" x14ac:dyDescent="0.25">
      <c r="A7139" t="str">
        <f>"20190303162055757"</f>
        <v>20190303162055757</v>
      </c>
      <c r="B7139" t="str">
        <f>"1551601255750073"</f>
        <v>1551601255750073</v>
      </c>
      <c r="C7139" t="s">
        <v>40</v>
      </c>
      <c r="D7139">
        <v>4.7316089999999997</v>
      </c>
      <c r="E7139">
        <v>0.49519160000000001</v>
      </c>
      <c r="F7139" t="s">
        <v>62</v>
      </c>
      <c r="G7139">
        <v>-423.9742</v>
      </c>
      <c r="H7139" s="1">
        <v>-3.2888300000000002E-6</v>
      </c>
      <c r="I7139">
        <v>35.319499999999998</v>
      </c>
      <c r="J7139">
        <v>-419.2013</v>
      </c>
      <c r="K7139">
        <v>1.1238459999999999</v>
      </c>
      <c r="L7139">
        <v>113.93989999999999</v>
      </c>
      <c r="M7139">
        <v>-0.24512310000000001</v>
      </c>
      <c r="N7139">
        <v>-1.371576E-2</v>
      </c>
      <c r="O7139">
        <v>-0.96939489999999995</v>
      </c>
      <c r="P7139">
        <v>-8.0982999999999999E-2</v>
      </c>
      <c r="Q7139">
        <v>8.2905670000000001E-2</v>
      </c>
      <c r="R7139">
        <v>-0.99326159999999997</v>
      </c>
      <c r="S7139">
        <v>-0.18396000000000001</v>
      </c>
      <c r="T7139">
        <v>-4.2907599999999997E-2</v>
      </c>
      <c r="U7139">
        <v>-3.0091549999999998</v>
      </c>
      <c r="V7139">
        <v>-0.16553760000000001</v>
      </c>
      <c r="W7139">
        <v>9.5421660000000005E-2</v>
      </c>
      <c r="X7139">
        <v>0.98157629999999996</v>
      </c>
      <c r="Y7139">
        <v>-0.18549570000000001</v>
      </c>
      <c r="Z7139">
        <v>-1.4142549999999999E-4</v>
      </c>
      <c r="AA7139">
        <v>0.98264510000000005</v>
      </c>
      <c r="AB7139">
        <v>21</v>
      </c>
      <c r="AC7139">
        <v>-4.7728999999999902</v>
      </c>
      <c r="AD7139">
        <v>-1.12384928882999</v>
      </c>
      <c r="AE7139">
        <v>-78.620399999999904</v>
      </c>
      <c r="AF7139">
        <v>-14.6432483208941</v>
      </c>
      <c r="AG7139">
        <v>-1.12384928882999</v>
      </c>
      <c r="AH7139">
        <v>77.375692862394104</v>
      </c>
      <c r="AI7139">
        <v>90.817627637960499</v>
      </c>
      <c r="AJ7139">
        <v>100.716414190254</v>
      </c>
      <c r="AK7139">
        <v>78.757130499700907</v>
      </c>
      <c r="AL7139">
        <v>84.524410658383701</v>
      </c>
      <c r="AM7139">
        <v>99.572554315017001</v>
      </c>
      <c r="AN7139">
        <v>1.0000000114662999</v>
      </c>
    </row>
    <row r="7140" spans="1:40" x14ac:dyDescent="0.25">
      <c r="A7140" t="str">
        <f>"20190303162055773"</f>
        <v>20190303162055773</v>
      </c>
      <c r="B7140" t="str">
        <f>"1551601255759832"</f>
        <v>1551601255759832</v>
      </c>
      <c r="C7140" t="s">
        <v>40</v>
      </c>
      <c r="D7140">
        <v>4.6428699999999896</v>
      </c>
      <c r="E7140">
        <v>0.49505280000000002</v>
      </c>
      <c r="F7140" t="s">
        <v>44</v>
      </c>
      <c r="G7140">
        <v>-428.3947</v>
      </c>
      <c r="H7140">
        <v>-0.05</v>
      </c>
      <c r="I7140">
        <v>-14.78111</v>
      </c>
      <c r="J7140">
        <v>-419.23349999999999</v>
      </c>
      <c r="K7140">
        <v>1.1238429999999999</v>
      </c>
      <c r="L7140">
        <v>113.7983</v>
      </c>
      <c r="M7140">
        <v>-0.2421941</v>
      </c>
      <c r="N7140">
        <v>-1.371371E-2</v>
      </c>
      <c r="O7140">
        <v>-0.97013090000000002</v>
      </c>
      <c r="P7140">
        <v>-7.800195E-2</v>
      </c>
      <c r="Q7140">
        <v>8.2833539999999997E-2</v>
      </c>
      <c r="R7140">
        <v>-0.99350629999999995</v>
      </c>
      <c r="S7140">
        <v>-0.21463009999999999</v>
      </c>
      <c r="T7140">
        <v>-2.7404669999999999E-2</v>
      </c>
      <c r="U7140">
        <v>-3.0051269999999999</v>
      </c>
      <c r="V7140">
        <v>-0.16551769999999999</v>
      </c>
      <c r="W7140">
        <v>9.5350439999999995E-2</v>
      </c>
      <c r="X7140">
        <v>0.98158659999999998</v>
      </c>
      <c r="Y7140">
        <v>-0.17245659999999999</v>
      </c>
      <c r="Z7140">
        <v>-4.9607399999999999E-3</v>
      </c>
      <c r="AA7140">
        <v>0.98500460000000001</v>
      </c>
      <c r="AB7140">
        <v>21</v>
      </c>
      <c r="AC7140">
        <v>-9.1611999999999991</v>
      </c>
      <c r="AD7140">
        <v>-1.173843</v>
      </c>
      <c r="AE7140">
        <v>-128.57941</v>
      </c>
      <c r="AF7140">
        <v>-22.253858656947301</v>
      </c>
      <c r="AG7140">
        <v>-1.173843</v>
      </c>
      <c r="AH7140">
        <v>126.95905861431299</v>
      </c>
      <c r="AI7140">
        <v>90.521777888582093</v>
      </c>
      <c r="AJ7140">
        <v>99.942018787105795</v>
      </c>
      <c r="AK7140">
        <v>128.90001821855799</v>
      </c>
      <c r="AL7140">
        <v>84.528510080737504</v>
      </c>
      <c r="AM7140">
        <v>99.571326270704901</v>
      </c>
      <c r="AN7140">
        <v>1.00000003436052</v>
      </c>
    </row>
    <row r="7141" spans="1:40" x14ac:dyDescent="0.25">
      <c r="A7141" t="str">
        <f>"20190303162055791"</f>
        <v>20190303162055791</v>
      </c>
      <c r="B7141" t="str">
        <f>"1551601255780329"</f>
        <v>1551601255780329</v>
      </c>
      <c r="C7141" t="s">
        <v>40</v>
      </c>
      <c r="D7141">
        <v>4.6857230000000003</v>
      </c>
      <c r="E7141">
        <v>0.49587249999999999</v>
      </c>
      <c r="F7141" t="s">
        <v>72</v>
      </c>
      <c r="G7141">
        <v>-426.87220000000002</v>
      </c>
      <c r="H7141">
        <v>0.156781</v>
      </c>
      <c r="I7141">
        <v>1.2371829999999999</v>
      </c>
      <c r="J7141">
        <v>-419.26799999999997</v>
      </c>
      <c r="K7141">
        <v>1.1238349999999999</v>
      </c>
      <c r="L7141">
        <v>113.64449999999999</v>
      </c>
      <c r="M7141">
        <v>-0.2390158</v>
      </c>
      <c r="N7141">
        <v>-1.371144E-2</v>
      </c>
      <c r="O7141">
        <v>-0.97091890000000003</v>
      </c>
      <c r="P7141">
        <v>-7.4943129999999997E-2</v>
      </c>
      <c r="Q7141">
        <v>8.3533999999999997E-2</v>
      </c>
      <c r="R7141">
        <v>-0.99368299999999998</v>
      </c>
      <c r="S7141">
        <v>-0.20397950000000001</v>
      </c>
      <c r="T7141">
        <v>-2.5824429999999999E-2</v>
      </c>
      <c r="U7141">
        <v>-3.0057529999999999</v>
      </c>
      <c r="V7141">
        <v>-0.16531219999999999</v>
      </c>
      <c r="W7141">
        <v>9.6052929999999995E-2</v>
      </c>
      <c r="X7141">
        <v>0.98155269999999994</v>
      </c>
      <c r="Y7141">
        <v>-0.1727196</v>
      </c>
      <c r="Z7141">
        <v>-5.4546050000000004E-3</v>
      </c>
      <c r="AA7141">
        <v>0.9849559</v>
      </c>
      <c r="AB7141">
        <v>21</v>
      </c>
      <c r="AC7141">
        <v>-7.6041999999999899</v>
      </c>
      <c r="AD7141">
        <v>-0.96705399999999997</v>
      </c>
      <c r="AE7141">
        <v>-112.40731700000001</v>
      </c>
      <c r="AF7141">
        <v>-19.484458897361399</v>
      </c>
      <c r="AG7141">
        <v>-0.96705399999999997</v>
      </c>
      <c r="AH7141">
        <v>110.958165332988</v>
      </c>
      <c r="AI7141">
        <v>90.491822772215599</v>
      </c>
      <c r="AJ7141">
        <v>99.959700769330794</v>
      </c>
      <c r="AK7141">
        <v>112.66008071195699</v>
      </c>
      <c r="AL7141">
        <v>84.488074560586199</v>
      </c>
      <c r="AM7141">
        <v>99.559986421367498</v>
      </c>
      <c r="AN7141">
        <v>0.99999999585385702</v>
      </c>
    </row>
    <row r="7142" spans="1:40" x14ac:dyDescent="0.25">
      <c r="A7142" t="str">
        <f>"20190303162055816"</f>
        <v>20190303162055816</v>
      </c>
      <c r="B7142" t="str">
        <f>"1551601255809610"</f>
        <v>1551601255809610</v>
      </c>
      <c r="C7142" t="s">
        <v>40</v>
      </c>
      <c r="D7142">
        <v>4.704453</v>
      </c>
      <c r="E7142">
        <v>0.49649700000000002</v>
      </c>
      <c r="F7142" t="s">
        <v>72</v>
      </c>
      <c r="G7142">
        <v>-426.7928</v>
      </c>
      <c r="H7142">
        <v>0.1090462</v>
      </c>
      <c r="I7142">
        <v>1.302219</v>
      </c>
      <c r="J7142">
        <v>-419.31740000000002</v>
      </c>
      <c r="K7142">
        <v>1.123829</v>
      </c>
      <c r="L7142">
        <v>113.4204</v>
      </c>
      <c r="M7142">
        <v>-0.23439380000000001</v>
      </c>
      <c r="N7142">
        <v>-1.370799E-2</v>
      </c>
      <c r="O7142">
        <v>-0.97204520000000005</v>
      </c>
      <c r="P7142">
        <v>-7.0552539999999997E-2</v>
      </c>
      <c r="Q7142">
        <v>8.3542499999999895E-2</v>
      </c>
      <c r="R7142">
        <v>-0.99400370000000005</v>
      </c>
      <c r="S7142">
        <v>-0.20135500000000001</v>
      </c>
      <c r="T7142">
        <v>-2.71554E-2</v>
      </c>
      <c r="U7142">
        <v>-3.0061650000000002</v>
      </c>
      <c r="V7142">
        <v>-0.16497500000000001</v>
      </c>
      <c r="W7142">
        <v>9.6066209999999999E-2</v>
      </c>
      <c r="X7142">
        <v>0.98160820000000004</v>
      </c>
      <c r="Y7142">
        <v>-0.1688973</v>
      </c>
      <c r="Z7142">
        <v>-5.0178319999999998E-3</v>
      </c>
      <c r="AA7142">
        <v>0.98562090000000002</v>
      </c>
      <c r="AB7142">
        <v>21</v>
      </c>
      <c r="AC7142">
        <v>-7.4753999999999703</v>
      </c>
      <c r="AD7142">
        <v>-1.0147828000000001</v>
      </c>
      <c r="AE7142">
        <v>-112.11818100000001</v>
      </c>
      <c r="AF7142">
        <v>-19.0136135147416</v>
      </c>
      <c r="AG7142">
        <v>-1.0147828000000001</v>
      </c>
      <c r="AH7142">
        <v>110.73748823543499</v>
      </c>
      <c r="AI7142">
        <v>90.517463971214198</v>
      </c>
      <c r="AJ7142">
        <v>99.742678955706594</v>
      </c>
      <c r="AK7142">
        <v>112.362531938864</v>
      </c>
      <c r="AL7142">
        <v>84.487310507919403</v>
      </c>
      <c r="AM7142">
        <v>99.540315498496099</v>
      </c>
      <c r="AN7142">
        <v>1.0000000628179999</v>
      </c>
    </row>
    <row r="7143" spans="1:40" x14ac:dyDescent="0.25">
      <c r="A7143" t="str">
        <f>"20190303162055837"</f>
        <v>20190303162055837</v>
      </c>
      <c r="B7143" t="str">
        <f>"1551601255830104"</f>
        <v>1551601255830104</v>
      </c>
      <c r="C7143" t="s">
        <v>40</v>
      </c>
      <c r="D7143">
        <v>4.709028</v>
      </c>
      <c r="E7143">
        <v>0.49687870000000001</v>
      </c>
      <c r="F7143" t="s">
        <v>72</v>
      </c>
      <c r="G7143">
        <v>-426.50060000000002</v>
      </c>
      <c r="H7143">
        <v>0.24503710000000001</v>
      </c>
      <c r="I7143">
        <v>1.4143429999999999</v>
      </c>
      <c r="J7143">
        <v>-419.35820000000001</v>
      </c>
      <c r="K7143">
        <v>1.1238140000000001</v>
      </c>
      <c r="L7143">
        <v>113.2311</v>
      </c>
      <c r="M7143">
        <v>-0.23049890000000001</v>
      </c>
      <c r="N7143">
        <v>-1.370504E-2</v>
      </c>
      <c r="O7143">
        <v>-0.97297610000000001</v>
      </c>
      <c r="P7143">
        <v>-6.7320240000000003E-2</v>
      </c>
      <c r="Q7143">
        <v>8.3398509999999995E-2</v>
      </c>
      <c r="R7143">
        <v>-0.99423989999999995</v>
      </c>
      <c r="S7143">
        <v>-0.19281010000000001</v>
      </c>
      <c r="T7143">
        <v>-2.3588660000000001E-2</v>
      </c>
      <c r="U7143">
        <v>-3.0063930000000001</v>
      </c>
      <c r="V7143">
        <v>-0.164233399999999</v>
      </c>
      <c r="W7143">
        <v>9.5930479999999999E-2</v>
      </c>
      <c r="X7143">
        <v>0.9817458</v>
      </c>
      <c r="Y7143">
        <v>-0.16774610000000001</v>
      </c>
      <c r="Z7143">
        <v>-6.1366370000000003E-3</v>
      </c>
      <c r="AA7143">
        <v>0.98581110000000005</v>
      </c>
      <c r="AB7143">
        <v>21</v>
      </c>
      <c r="AC7143">
        <v>-7.1424000000000003</v>
      </c>
      <c r="AD7143">
        <v>-0.87877689999999897</v>
      </c>
      <c r="AE7143">
        <v>-111.816757</v>
      </c>
      <c r="AF7143">
        <v>-18.8248645234451</v>
      </c>
      <c r="AG7143">
        <v>-0.87877689999999897</v>
      </c>
      <c r="AH7143">
        <v>110.44492357846001</v>
      </c>
      <c r="AI7143">
        <v>90.449394748778204</v>
      </c>
      <c r="AJ7143">
        <v>99.672864049335203</v>
      </c>
      <c r="AK7143">
        <v>112.04119294892401</v>
      </c>
      <c r="AL7143">
        <v>84.495123228100496</v>
      </c>
      <c r="AM7143">
        <v>99.496905729388203</v>
      </c>
      <c r="AN7143">
        <v>1.00000004124311</v>
      </c>
    </row>
    <row r="7144" spans="1:40" x14ac:dyDescent="0.25">
      <c r="A7144" t="str">
        <f>"20190303162055859"</f>
        <v>20190303162055859</v>
      </c>
      <c r="B7144" t="str">
        <f>"1551601255850132"</f>
        <v>1551601255850132</v>
      </c>
      <c r="C7144" t="s">
        <v>40</v>
      </c>
      <c r="D7144">
        <v>4.7334699999999996</v>
      </c>
      <c r="E7144">
        <v>0.49728489999999997</v>
      </c>
      <c r="F7144" t="s">
        <v>72</v>
      </c>
      <c r="G7144">
        <v>-426.28179999999998</v>
      </c>
      <c r="H7144">
        <v>0.28525879999999998</v>
      </c>
      <c r="I7144">
        <v>1.1469780000000001</v>
      </c>
      <c r="J7144">
        <v>-419.40030000000002</v>
      </c>
      <c r="K7144">
        <v>1.123796</v>
      </c>
      <c r="L7144">
        <v>113.0318</v>
      </c>
      <c r="M7144">
        <v>-0.2264092</v>
      </c>
      <c r="N7144">
        <v>-1.370181E-2</v>
      </c>
      <c r="O7144">
        <v>-0.97393580000000002</v>
      </c>
      <c r="P7144">
        <v>-6.3335020000000006E-2</v>
      </c>
      <c r="Q7144">
        <v>8.3754960000000003E-2</v>
      </c>
      <c r="R7144">
        <v>-0.99447169999999896</v>
      </c>
      <c r="S7144">
        <v>-0.18573000000000001</v>
      </c>
      <c r="T7144">
        <v>-2.2495149999999998E-2</v>
      </c>
      <c r="U7144">
        <v>-3.0066830000000002</v>
      </c>
      <c r="V7144">
        <v>-0.16403480000000001</v>
      </c>
      <c r="W7144">
        <v>9.6291199999999993E-2</v>
      </c>
      <c r="X7144">
        <v>0.98174360000000005</v>
      </c>
      <c r="Y7144">
        <v>-0.1659233</v>
      </c>
      <c r="Z7144">
        <v>-6.4733869999999997E-3</v>
      </c>
      <c r="AA7144">
        <v>0.98611740000000003</v>
      </c>
      <c r="AB7144">
        <v>21</v>
      </c>
      <c r="AC7144">
        <v>-6.8814999999999502</v>
      </c>
      <c r="AD7144">
        <v>-0.83853719999999998</v>
      </c>
      <c r="AE7144">
        <v>-111.884822</v>
      </c>
      <c r="AF7144">
        <v>-18.6303221107292</v>
      </c>
      <c r="AG7144">
        <v>-0.83853719999999998</v>
      </c>
      <c r="AH7144">
        <v>110.53087063364499</v>
      </c>
      <c r="AI7144">
        <v>90.4286176951492</v>
      </c>
      <c r="AJ7144">
        <v>99.567454005406603</v>
      </c>
      <c r="AK7144">
        <v>112.09311044670299</v>
      </c>
      <c r="AL7144">
        <v>84.474358885359905</v>
      </c>
      <c r="AM7144">
        <v>99.485651241279299</v>
      </c>
      <c r="AN7144">
        <v>0.99999995347471904</v>
      </c>
    </row>
    <row r="7145" spans="1:40" x14ac:dyDescent="0.25">
      <c r="A7145" t="str">
        <f>"20190303162055880"</f>
        <v>20190303162055880</v>
      </c>
      <c r="B7145" t="str">
        <f>"1551601255869651"</f>
        <v>1551601255869651</v>
      </c>
      <c r="C7145" t="s">
        <v>40</v>
      </c>
      <c r="D7145">
        <v>4.7005489999999996</v>
      </c>
      <c r="E7145">
        <v>0.49771890000000002</v>
      </c>
      <c r="F7145" t="s">
        <v>72</v>
      </c>
      <c r="G7145">
        <v>-426.01859999999999</v>
      </c>
      <c r="H7145">
        <v>0.37506889999999998</v>
      </c>
      <c r="I7145">
        <v>0.82534789999999902</v>
      </c>
      <c r="J7145">
        <v>-419.43889999999999</v>
      </c>
      <c r="K7145">
        <v>1.1237870000000001</v>
      </c>
      <c r="L7145">
        <v>112.8451</v>
      </c>
      <c r="M7145">
        <v>-0.2225944</v>
      </c>
      <c r="N7145">
        <v>-1.369863E-2</v>
      </c>
      <c r="O7145">
        <v>-0.97481499999999999</v>
      </c>
      <c r="P7145">
        <v>-6.0078769999999997E-2</v>
      </c>
      <c r="Q7145">
        <v>8.3739739999999993E-2</v>
      </c>
      <c r="R7145">
        <v>-0.99467490000000003</v>
      </c>
      <c r="S7145">
        <v>-0.1773682</v>
      </c>
      <c r="T7145">
        <v>-2.006614E-2</v>
      </c>
      <c r="U7145">
        <v>-3.0070649999999999</v>
      </c>
      <c r="V7145">
        <v>-0.16340150000000001</v>
      </c>
      <c r="W7145">
        <v>9.6284079999999994E-2</v>
      </c>
      <c r="X7145">
        <v>0.98185</v>
      </c>
      <c r="Y7145">
        <v>-0.16480349999999999</v>
      </c>
      <c r="Z7145">
        <v>-7.237154E-3</v>
      </c>
      <c r="AA7145">
        <v>0.98629990000000001</v>
      </c>
      <c r="AB7145">
        <v>21</v>
      </c>
      <c r="AC7145">
        <v>-6.5796999999999999</v>
      </c>
      <c r="AD7145">
        <v>-0.74871809999999905</v>
      </c>
      <c r="AE7145">
        <v>-112.019752099999</v>
      </c>
      <c r="AF7145">
        <v>-18.521890775668599</v>
      </c>
      <c r="AG7145">
        <v>-0.74871809999999905</v>
      </c>
      <c r="AH7145">
        <v>110.668585389029</v>
      </c>
      <c r="AI7145">
        <v>90.382306226163493</v>
      </c>
      <c r="AJ7145">
        <v>99.501168876379893</v>
      </c>
      <c r="AK7145">
        <v>112.210323984507</v>
      </c>
      <c r="AL7145">
        <v>84.474769261693396</v>
      </c>
      <c r="AM7145">
        <v>99.448685541700598</v>
      </c>
      <c r="AN7145">
        <v>1.0000000483818401</v>
      </c>
    </row>
    <row r="7146" spans="1:40" x14ac:dyDescent="0.25">
      <c r="A7146" t="str">
        <f>"20190303162055902"</f>
        <v>20190303162055902</v>
      </c>
      <c r="B7146" t="str">
        <f>"1551601255890148"</f>
        <v>1551601255890148</v>
      </c>
      <c r="C7146" t="s">
        <v>40</v>
      </c>
      <c r="D7146">
        <v>4.6726960000000002</v>
      </c>
      <c r="E7146">
        <v>0.4979692</v>
      </c>
      <c r="F7146" t="s">
        <v>72</v>
      </c>
      <c r="G7146">
        <v>-425.8014</v>
      </c>
      <c r="H7146">
        <v>0.40941100000000002</v>
      </c>
      <c r="I7146">
        <v>0.55998230000000004</v>
      </c>
      <c r="J7146">
        <v>-419.4803</v>
      </c>
      <c r="K7146">
        <v>1.1237619999999999</v>
      </c>
      <c r="L7146">
        <v>112.6416</v>
      </c>
      <c r="M7146">
        <v>-0.21845400000000001</v>
      </c>
      <c r="N7146">
        <v>-1.3694939999999999E-2</v>
      </c>
      <c r="O7146">
        <v>-0.97575129999999999</v>
      </c>
      <c r="P7146">
        <v>-5.6718659999999997E-2</v>
      </c>
      <c r="Q7146">
        <v>8.4132709999999999E-2</v>
      </c>
      <c r="R7146">
        <v>-0.99483929999999998</v>
      </c>
      <c r="S7146">
        <v>-0.17041020000000001</v>
      </c>
      <c r="T7146">
        <v>-1.9134160000000001E-2</v>
      </c>
      <c r="U7146">
        <v>-3.0073850000000002</v>
      </c>
      <c r="V7146">
        <v>-0.16253819999999999</v>
      </c>
      <c r="W7146">
        <v>9.6688449999999995E-2</v>
      </c>
      <c r="X7146">
        <v>0.98195350000000003</v>
      </c>
      <c r="Y7146">
        <v>-0.16289719999999999</v>
      </c>
      <c r="Z7146">
        <v>-7.5249389999999996E-3</v>
      </c>
      <c r="AA7146">
        <v>0.98661430000000006</v>
      </c>
      <c r="AB7146">
        <v>21</v>
      </c>
      <c r="AC7146">
        <v>-6.3211000000000004</v>
      </c>
      <c r="AD7146">
        <v>-0.71435099999999996</v>
      </c>
      <c r="AE7146">
        <v>-112.0816177</v>
      </c>
      <c r="AF7146">
        <v>-18.317829595031402</v>
      </c>
      <c r="AG7146">
        <v>-0.71435099999999996</v>
      </c>
      <c r="AH7146">
        <v>110.75053913038199</v>
      </c>
      <c r="AI7146">
        <v>90.364604519378801</v>
      </c>
      <c r="AJ7146">
        <v>99.391538667371606</v>
      </c>
      <c r="AK7146">
        <v>112.25745006944599</v>
      </c>
      <c r="AL7146">
        <v>84.451491691669204</v>
      </c>
      <c r="AM7146">
        <v>99.398685379963098</v>
      </c>
      <c r="AN7146">
        <v>0.999999999492446</v>
      </c>
    </row>
    <row r="7147" spans="1:40" x14ac:dyDescent="0.25">
      <c r="A7147" t="str">
        <f>"20190303162055925"</f>
        <v>20190303162055925</v>
      </c>
      <c r="B7147" t="str">
        <f>"1551601255919427"</f>
        <v>1551601255919427</v>
      </c>
      <c r="C7147" t="s">
        <v>40</v>
      </c>
      <c r="D7147">
        <v>4.6987629999999996</v>
      </c>
      <c r="E7147">
        <v>0.50266699999999997</v>
      </c>
      <c r="F7147" t="s">
        <v>72</v>
      </c>
      <c r="G7147">
        <v>-425.53530000000001</v>
      </c>
      <c r="H7147">
        <v>0.4642751</v>
      </c>
      <c r="I7147">
        <v>0.421093</v>
      </c>
      <c r="J7147">
        <v>-419.51940000000002</v>
      </c>
      <c r="K7147">
        <v>1.12374</v>
      </c>
      <c r="L7147">
        <v>112.4447</v>
      </c>
      <c r="M7147">
        <v>-0.21447579999999999</v>
      </c>
      <c r="N7147">
        <v>-1.369102E-2</v>
      </c>
      <c r="O7147">
        <v>-0.97663370000000005</v>
      </c>
      <c r="P7147">
        <v>-5.3402810000000002E-2</v>
      </c>
      <c r="Q7147">
        <v>8.4362629999999994E-2</v>
      </c>
      <c r="R7147">
        <v>-0.99500330000000003</v>
      </c>
      <c r="S7147">
        <v>-0.16229250000000001</v>
      </c>
      <c r="T7147">
        <v>-1.7676710000000002E-2</v>
      </c>
      <c r="U7147">
        <v>-3.0078130000000001</v>
      </c>
      <c r="V7147">
        <v>-0.16179969999999999</v>
      </c>
      <c r="W7147">
        <v>9.6929070000000006E-2</v>
      </c>
      <c r="X7147">
        <v>0.98205169999999997</v>
      </c>
      <c r="Y7147">
        <v>-0.16153970000000001</v>
      </c>
      <c r="Z7147">
        <v>-7.9820840000000004E-3</v>
      </c>
      <c r="AA7147">
        <v>0.98683390000000004</v>
      </c>
      <c r="AB7147">
        <v>20</v>
      </c>
      <c r="AC7147">
        <v>-6.0158999999999798</v>
      </c>
      <c r="AD7147">
        <v>-0.65946489999999902</v>
      </c>
      <c r="AE7147">
        <v>-112.023607</v>
      </c>
      <c r="AF7147">
        <v>-18.152089869049</v>
      </c>
      <c r="AG7147">
        <v>-0.65946489999999902</v>
      </c>
      <c r="AH7147">
        <v>110.70280695926</v>
      </c>
      <c r="AI7147">
        <v>90.336813458757703</v>
      </c>
      <c r="AJ7147">
        <v>99.312000958213901</v>
      </c>
      <c r="AK7147">
        <v>112.183085753724</v>
      </c>
      <c r="AL7147">
        <v>84.437639925102701</v>
      </c>
      <c r="AM7147">
        <v>99.355819795154403</v>
      </c>
      <c r="AN7147">
        <v>0.999999964502021</v>
      </c>
    </row>
    <row r="7148" spans="1:40" x14ac:dyDescent="0.25">
      <c r="A7148" t="str">
        <f>"20190303162055947"</f>
        <v>20190303162055947</v>
      </c>
      <c r="B7148" t="str">
        <f>"1551601255939923"</f>
        <v>1551601255939923</v>
      </c>
      <c r="C7148" t="s">
        <v>40</v>
      </c>
      <c r="D7148">
        <v>4.7504049999999998</v>
      </c>
      <c r="E7148">
        <v>0.49307849999999998</v>
      </c>
      <c r="F7148" t="s">
        <v>72</v>
      </c>
      <c r="G7148">
        <v>-426.50450000000001</v>
      </c>
      <c r="H7148">
        <v>0.66794350000000002</v>
      </c>
      <c r="I7148">
        <v>1.418863</v>
      </c>
      <c r="J7148">
        <v>-419.5582</v>
      </c>
      <c r="K7148">
        <v>1.1237200000000001</v>
      </c>
      <c r="L7148">
        <v>112.2452</v>
      </c>
      <c r="M7148">
        <v>-0.2104741</v>
      </c>
      <c r="N7148">
        <v>-1.3686810000000001E-2</v>
      </c>
      <c r="O7148">
        <v>-0.97750380000000003</v>
      </c>
      <c r="P7148">
        <v>-4.9639259999999998E-2</v>
      </c>
      <c r="Q7148">
        <v>8.4113750000000001E-2</v>
      </c>
      <c r="R7148">
        <v>-0.99521919999999997</v>
      </c>
      <c r="S7148">
        <v>-0.18911739999999999</v>
      </c>
      <c r="T7148">
        <v>-1.234114E-2</v>
      </c>
      <c r="U7148">
        <v>-3.0059659999999999</v>
      </c>
      <c r="V7148">
        <v>-0.16148789999999999</v>
      </c>
      <c r="W7148">
        <v>9.6689399999999995E-2</v>
      </c>
      <c r="X7148">
        <v>0.98212670000000002</v>
      </c>
      <c r="Y7148">
        <v>-0.14868010000000001</v>
      </c>
      <c r="Z7148">
        <v>-9.6546730000000008E-3</v>
      </c>
      <c r="AA7148">
        <v>0.9888382</v>
      </c>
      <c r="AB7148">
        <v>20</v>
      </c>
      <c r="AC7148">
        <v>-6.9462999999999999</v>
      </c>
      <c r="AD7148">
        <v>-0.45577649999999997</v>
      </c>
      <c r="AE7148">
        <v>-110.826337</v>
      </c>
      <c r="AF7148">
        <v>-16.5373064144623</v>
      </c>
      <c r="AG7148">
        <v>-0.45577649999999997</v>
      </c>
      <c r="AH7148">
        <v>109.80359784244</v>
      </c>
      <c r="AI7148">
        <v>90.235171711058996</v>
      </c>
      <c r="AJ7148">
        <v>98.564834980927998</v>
      </c>
      <c r="AK7148">
        <v>111.042876110123</v>
      </c>
      <c r="AL7148">
        <v>84.451437109609998</v>
      </c>
      <c r="AM7148">
        <v>99.337407772437999</v>
      </c>
      <c r="AN7148">
        <v>1.00000001838582</v>
      </c>
    </row>
    <row r="7149" spans="1:40" x14ac:dyDescent="0.25">
      <c r="A7149" t="str">
        <f>"20190303162055970"</f>
        <v>20190303162055970</v>
      </c>
      <c r="B7149" t="str">
        <f>"1551601255959443"</f>
        <v>1551601255959443</v>
      </c>
      <c r="C7149" t="s">
        <v>40</v>
      </c>
      <c r="D7149">
        <v>4.7220639999999996</v>
      </c>
      <c r="E7149">
        <v>0.4916045</v>
      </c>
      <c r="F7149" t="s">
        <v>44</v>
      </c>
      <c r="G7149">
        <v>-423.68900000000002</v>
      </c>
      <c r="H7149">
        <v>-0.05</v>
      </c>
      <c r="I7149">
        <v>-9.5925750000000001</v>
      </c>
      <c r="J7149">
        <v>-419.59550000000002</v>
      </c>
      <c r="K7149">
        <v>1.1236930000000001</v>
      </c>
      <c r="L7149">
        <v>112.04940000000001</v>
      </c>
      <c r="M7149">
        <v>-0.2065717</v>
      </c>
      <c r="N7149">
        <v>-1.3682659999999999E-2</v>
      </c>
      <c r="O7149">
        <v>-0.97833590000000004</v>
      </c>
      <c r="P7149">
        <v>-4.6172610000000003E-2</v>
      </c>
      <c r="Q7149">
        <v>8.4461149999999999E-2</v>
      </c>
      <c r="R7149">
        <v>-0.99535629999999997</v>
      </c>
      <c r="S7149">
        <v>-0.1021118</v>
      </c>
      <c r="T7149">
        <v>-2.9013870000000001E-2</v>
      </c>
      <c r="U7149">
        <v>-3.0117799999999999</v>
      </c>
      <c r="V7149">
        <v>-0.16097879999999901</v>
      </c>
      <c r="W7149">
        <v>9.7045339999999994E-2</v>
      </c>
      <c r="X7149">
        <v>0.98217520000000003</v>
      </c>
      <c r="Y7149">
        <v>-0.17329129999999901</v>
      </c>
      <c r="Z7149">
        <v>-4.3884099999999997E-3</v>
      </c>
      <c r="AA7149">
        <v>0.98486079999999998</v>
      </c>
      <c r="AB7149">
        <v>20</v>
      </c>
      <c r="AC7149">
        <v>-4.0934999999999997</v>
      </c>
      <c r="AD7149">
        <v>-1.1736930000000001</v>
      </c>
      <c r="AE7149">
        <v>-121.641975</v>
      </c>
      <c r="AF7149">
        <v>-21.122982539491101</v>
      </c>
      <c r="AG7149">
        <v>-1.1736930000000001</v>
      </c>
      <c r="AH7149">
        <v>119.852374638686</v>
      </c>
      <c r="AI7149">
        <v>90.552554134812098</v>
      </c>
      <c r="AJ7149">
        <v>99.995259321064296</v>
      </c>
      <c r="AK7149">
        <v>121.70517512889</v>
      </c>
      <c r="AL7149">
        <v>84.430947054951801</v>
      </c>
      <c r="AM7149">
        <v>99.308035483605593</v>
      </c>
      <c r="AN7149">
        <v>1.0000000477800901</v>
      </c>
    </row>
    <row r="7150" spans="1:40" x14ac:dyDescent="0.25">
      <c r="A7150" t="str">
        <f>"20190303162055993"</f>
        <v>20190303162055993</v>
      </c>
      <c r="B7150" t="str">
        <f>"1551601255979939"</f>
        <v>1551601255979939</v>
      </c>
      <c r="C7150" t="s">
        <v>40</v>
      </c>
      <c r="D7150">
        <v>4.6945040000000002</v>
      </c>
      <c r="E7150">
        <v>0.49098890000000001</v>
      </c>
      <c r="F7150" t="s">
        <v>41</v>
      </c>
      <c r="G7150">
        <v>-421.42579999999998</v>
      </c>
      <c r="H7150" s="1">
        <v>-2.1080259999999998E-6</v>
      </c>
      <c r="I7150">
        <v>43.618630000000003</v>
      </c>
      <c r="J7150">
        <v>-419.63440000000003</v>
      </c>
      <c r="K7150">
        <v>1.1236699999999999</v>
      </c>
      <c r="L7150">
        <v>111.8407</v>
      </c>
      <c r="M7150">
        <v>-0.20244139999999999</v>
      </c>
      <c r="N7150">
        <v>-1.367822E-2</v>
      </c>
      <c r="O7150">
        <v>-0.97919889999999998</v>
      </c>
      <c r="P7150">
        <v>-4.2491059999999997E-2</v>
      </c>
      <c r="Q7150">
        <v>8.4842429999999996E-2</v>
      </c>
      <c r="R7150">
        <v>-0.99548809999999999</v>
      </c>
      <c r="S7150">
        <v>-8.0627439999999995E-2</v>
      </c>
      <c r="T7150">
        <v>-4.9500229999999999E-2</v>
      </c>
      <c r="U7150">
        <v>-3.014465</v>
      </c>
      <c r="V7150">
        <v>-0.1604556</v>
      </c>
      <c r="W7150">
        <v>9.7435910000000001E-2</v>
      </c>
      <c r="X7150">
        <v>0.98222209999999999</v>
      </c>
      <c r="Y7150">
        <v>-0.17616780000000001</v>
      </c>
      <c r="Z7150">
        <v>2.1374160000000001E-3</v>
      </c>
      <c r="AA7150">
        <v>0.98435779999999995</v>
      </c>
      <c r="AB7150">
        <v>20</v>
      </c>
      <c r="AC7150">
        <v>-1.7913999999999499</v>
      </c>
      <c r="AD7150">
        <v>-1.1236721080259999</v>
      </c>
      <c r="AE7150">
        <v>-68.222070000000002</v>
      </c>
      <c r="AF7150">
        <v>-12.0546938553501</v>
      </c>
      <c r="AG7150">
        <v>-1.1236721080259999</v>
      </c>
      <c r="AH7150">
        <v>67.153704690214298</v>
      </c>
      <c r="AI7150">
        <v>90.943552626251105</v>
      </c>
      <c r="AJ7150">
        <v>100.176721612309</v>
      </c>
      <c r="AK7150">
        <v>68.236341758428793</v>
      </c>
      <c r="AL7150">
        <v>84.408462246312695</v>
      </c>
      <c r="AM7150">
        <v>99.277874899185804</v>
      </c>
      <c r="AN7150">
        <v>1.0000000049286399</v>
      </c>
    </row>
    <row r="7151" spans="1:40" x14ac:dyDescent="0.25">
      <c r="A7151" t="str">
        <f>"20190303162056015"</f>
        <v>20190303162056015</v>
      </c>
      <c r="B7151" t="str">
        <f>"1551601256000435"</f>
        <v>1551601256000435</v>
      </c>
      <c r="C7151" t="s">
        <v>40</v>
      </c>
      <c r="D7151">
        <v>4.7164359999999999</v>
      </c>
      <c r="E7151">
        <v>0.49091309999999999</v>
      </c>
      <c r="F7151" t="s">
        <v>41</v>
      </c>
      <c r="G7151">
        <v>-420.96890000000002</v>
      </c>
      <c r="H7151" s="1">
        <v>-4.1433580000000001E-6</v>
      </c>
      <c r="I7151">
        <v>48.657179999999997</v>
      </c>
      <c r="J7151">
        <v>-419.66890000000001</v>
      </c>
      <c r="K7151">
        <v>1.1236469999999901</v>
      </c>
      <c r="L7151">
        <v>111.652</v>
      </c>
      <c r="M7151">
        <v>-0.19873360000000001</v>
      </c>
      <c r="N7151">
        <v>-1.3674149999999999E-2</v>
      </c>
      <c r="O7151">
        <v>-0.97995810000000005</v>
      </c>
      <c r="P7151">
        <v>-3.9473599999999998E-2</v>
      </c>
      <c r="Q7151">
        <v>8.4473300000000001E-2</v>
      </c>
      <c r="R7151">
        <v>-0.99564390000000003</v>
      </c>
      <c r="S7151">
        <v>-6.3690189999999994E-2</v>
      </c>
      <c r="T7151">
        <v>-5.3627729999999998E-2</v>
      </c>
      <c r="U7151">
        <v>-3.0154570000000001</v>
      </c>
      <c r="V7151">
        <v>-0.15971270000000001</v>
      </c>
      <c r="W7151">
        <v>9.7077159999999996E-2</v>
      </c>
      <c r="X7151">
        <v>0.98237870000000005</v>
      </c>
      <c r="Y7151">
        <v>-0.17797389999999999</v>
      </c>
      <c r="Z7151">
        <v>3.4612549999999999E-3</v>
      </c>
      <c r="AA7151">
        <v>0.98402909999999999</v>
      </c>
      <c r="AB7151">
        <v>20</v>
      </c>
      <c r="AC7151">
        <v>-1.30000000000001</v>
      </c>
      <c r="AD7151">
        <v>-1.1236511433580001</v>
      </c>
      <c r="AE7151">
        <v>-62.994819999999997</v>
      </c>
      <c r="AF7151">
        <v>-11.242718324611801</v>
      </c>
      <c r="AG7151">
        <v>-1.1236511433580001</v>
      </c>
      <c r="AH7151">
        <v>61.976726695094598</v>
      </c>
      <c r="AI7151">
        <v>91.021995229526198</v>
      </c>
      <c r="AJ7151">
        <v>100.281776825619</v>
      </c>
      <c r="AK7151">
        <v>62.998221872184502</v>
      </c>
      <c r="AL7151">
        <v>84.429115076018704</v>
      </c>
      <c r="AM7151">
        <v>99.234213903783697</v>
      </c>
      <c r="AN7151">
        <v>1.0000000158743201</v>
      </c>
    </row>
    <row r="7152" spans="1:40" x14ac:dyDescent="0.25">
      <c r="A7152" t="str">
        <f>"20190303162056037"</f>
        <v>20190303162056037</v>
      </c>
      <c r="B7152" t="str">
        <f>"1551601256029715"</f>
        <v>1551601256029715</v>
      </c>
      <c r="C7152" t="s">
        <v>40</v>
      </c>
      <c r="D7152">
        <v>4.7070879999999997</v>
      </c>
      <c r="E7152">
        <v>0.49105789999999999</v>
      </c>
      <c r="F7152" t="s">
        <v>41</v>
      </c>
      <c r="G7152">
        <v>-420.80380000000002</v>
      </c>
      <c r="H7152" s="1">
        <v>-3.8550199999999899E-6</v>
      </c>
      <c r="I7152">
        <v>48.076700000000002</v>
      </c>
      <c r="J7152">
        <v>-419.70499999999998</v>
      </c>
      <c r="K7152">
        <v>1.1236250000000001</v>
      </c>
      <c r="L7152">
        <v>111.45010000000001</v>
      </c>
      <c r="M7152">
        <v>-0.194797</v>
      </c>
      <c r="N7152">
        <v>-1.366971E-2</v>
      </c>
      <c r="O7152">
        <v>-0.98074830000000002</v>
      </c>
      <c r="P7152">
        <v>-3.7184439999999999E-2</v>
      </c>
      <c r="Q7152">
        <v>8.4427799999999997E-2</v>
      </c>
      <c r="R7152">
        <v>-0.9957355</v>
      </c>
      <c r="S7152">
        <v>-5.3833010000000001E-2</v>
      </c>
      <c r="T7152">
        <v>-5.3297280000000002E-2</v>
      </c>
      <c r="U7152">
        <v>-3.0155180000000001</v>
      </c>
      <c r="V7152">
        <v>-0.15801950000000001</v>
      </c>
      <c r="W7152">
        <v>9.7049129999999997E-2</v>
      </c>
      <c r="X7152">
        <v>0.98265519999999995</v>
      </c>
      <c r="Y7152">
        <v>-0.1772388</v>
      </c>
      <c r="Z7152">
        <v>3.3775609999999998E-3</v>
      </c>
      <c r="AA7152">
        <v>0.98416210000000004</v>
      </c>
      <c r="AB7152">
        <v>20</v>
      </c>
      <c r="AC7152">
        <v>-1.09880000000003</v>
      </c>
      <c r="AD7152">
        <v>-1.12362885502</v>
      </c>
      <c r="AE7152">
        <v>-63.373399999999997</v>
      </c>
      <c r="AF7152">
        <v>-11.264814870070101</v>
      </c>
      <c r="AG7152">
        <v>-1.12362885502</v>
      </c>
      <c r="AH7152">
        <v>62.353630537195897</v>
      </c>
      <c r="AI7152">
        <v>91.015930934566299</v>
      </c>
      <c r="AJ7152">
        <v>100.240605053408</v>
      </c>
      <c r="AK7152">
        <v>63.372974027024497</v>
      </c>
      <c r="AL7152">
        <v>84.430728434243093</v>
      </c>
      <c r="AM7152">
        <v>99.135449439990097</v>
      </c>
      <c r="AN7152">
        <v>0.99999996905052202</v>
      </c>
    </row>
    <row r="7153" spans="1:40" x14ac:dyDescent="0.25">
      <c r="A7153" t="str">
        <f>"20190303162056072"</f>
        <v>20190303162056072</v>
      </c>
      <c r="B7153" t="str">
        <f>"1551601256059502"</f>
        <v>1551601256059502</v>
      </c>
      <c r="C7153" t="s">
        <v>40</v>
      </c>
      <c r="D7153">
        <v>4.7291679999999996</v>
      </c>
      <c r="E7153">
        <v>0.49137039999999998</v>
      </c>
      <c r="F7153" t="s">
        <v>41</v>
      </c>
      <c r="G7153">
        <v>-420.65609999999998</v>
      </c>
      <c r="H7153" s="1">
        <v>-1.2879739999999999E-6</v>
      </c>
      <c r="I7153">
        <v>52.184480000000001</v>
      </c>
      <c r="J7153">
        <v>-419.75709999999998</v>
      </c>
      <c r="K7153">
        <v>1.1235949999999999</v>
      </c>
      <c r="L7153">
        <v>111.1503</v>
      </c>
      <c r="M7153">
        <v>-0.18900500000000001</v>
      </c>
      <c r="N7153">
        <v>-1.366302E-2</v>
      </c>
      <c r="O7153">
        <v>-0.98188109999999995</v>
      </c>
      <c r="P7153">
        <v>-3.3612839999999998E-2</v>
      </c>
      <c r="Q7153">
        <v>8.4224569999999999E-2</v>
      </c>
      <c r="R7153">
        <v>-0.99587979999999998</v>
      </c>
      <c r="S7153">
        <v>-4.840088E-2</v>
      </c>
      <c r="T7153">
        <v>-5.7178619999999999E-2</v>
      </c>
      <c r="U7153">
        <v>-3.0158839999999998</v>
      </c>
      <c r="V7153">
        <v>-0.15573429999999999</v>
      </c>
      <c r="W7153">
        <v>9.6869739999999996E-2</v>
      </c>
      <c r="X7153">
        <v>0.98303770000000001</v>
      </c>
      <c r="Y7153">
        <v>-0.1732021</v>
      </c>
      <c r="Z7153">
        <v>4.6576380000000004E-3</v>
      </c>
      <c r="AA7153">
        <v>0.98487530000000001</v>
      </c>
      <c r="AB7153">
        <v>20</v>
      </c>
      <c r="AC7153">
        <v>-0.89900000000000002</v>
      </c>
      <c r="AD7153">
        <v>-1.123596287974</v>
      </c>
      <c r="AE7153">
        <v>-58.965819999999901</v>
      </c>
      <c r="AF7153">
        <v>-10.259357117103701</v>
      </c>
      <c r="AG7153">
        <v>-1.123596287974</v>
      </c>
      <c r="AH7153">
        <v>58.051685227749203</v>
      </c>
      <c r="AI7153">
        <v>91.091910798029602</v>
      </c>
      <c r="AJ7153">
        <v>100.02228128882901</v>
      </c>
      <c r="AK7153">
        <v>58.961979570366303</v>
      </c>
      <c r="AL7153">
        <v>84.441055661095305</v>
      </c>
      <c r="AM7153">
        <v>99.002070991276497</v>
      </c>
      <c r="AN7153">
        <v>1.0000000191727201</v>
      </c>
    </row>
    <row r="7154" spans="1:40" x14ac:dyDescent="0.25">
      <c r="A7154" t="str">
        <f>"20190303162056093"</f>
        <v>20190303162056093</v>
      </c>
      <c r="B7154" t="str">
        <f>"1551601256079998"</f>
        <v>1551601256079998</v>
      </c>
      <c r="C7154" t="s">
        <v>40</v>
      </c>
      <c r="D7154">
        <v>4.7353459999999998</v>
      </c>
      <c r="E7154">
        <v>0.49160769999999998</v>
      </c>
      <c r="F7154" t="s">
        <v>41</v>
      </c>
      <c r="G7154">
        <v>-420.5104</v>
      </c>
      <c r="H7154" s="1">
        <v>-1.7496670000000001E-6</v>
      </c>
      <c r="I7154">
        <v>53.351069999999901</v>
      </c>
      <c r="J7154">
        <v>-419.79020000000003</v>
      </c>
      <c r="K7154">
        <v>1.1235710000000001</v>
      </c>
      <c r="L7154">
        <v>110.9542</v>
      </c>
      <c r="M7154">
        <v>-0.18524689999999999</v>
      </c>
      <c r="N7154">
        <v>-1.3658709999999999E-2</v>
      </c>
      <c r="O7154">
        <v>-0.98259719999999995</v>
      </c>
      <c r="P7154">
        <v>-3.1071709999999999E-2</v>
      </c>
      <c r="Q7154">
        <v>8.4436419999999998E-2</v>
      </c>
      <c r="R7154">
        <v>-0.99594450000000001</v>
      </c>
      <c r="S7154">
        <v>-3.9306639999999997E-2</v>
      </c>
      <c r="T7154">
        <v>-5.8630700000000001E-2</v>
      </c>
      <c r="U7154">
        <v>-3.0160369999999999</v>
      </c>
      <c r="V7154">
        <v>-0.15447259999999999</v>
      </c>
      <c r="W7154">
        <v>9.7094219999999995E-2</v>
      </c>
      <c r="X7154">
        <v>0.98321460000000005</v>
      </c>
      <c r="Y7154">
        <v>-0.17240329999999901</v>
      </c>
      <c r="Z7154">
        <v>5.1439370000000003E-3</v>
      </c>
      <c r="AA7154">
        <v>0.98501300000000003</v>
      </c>
      <c r="AB7154">
        <v>20</v>
      </c>
      <c r="AC7154">
        <v>-0.72019999999997697</v>
      </c>
      <c r="AD7154">
        <v>-1.1235727496669901</v>
      </c>
      <c r="AE7154">
        <v>-57.60313</v>
      </c>
      <c r="AF7154">
        <v>-9.9602741931873595</v>
      </c>
      <c r="AG7154">
        <v>-1.1235727496669901</v>
      </c>
      <c r="AH7154">
        <v>56.717799854458299</v>
      </c>
      <c r="AI7154">
        <v>91.117773679822207</v>
      </c>
      <c r="AJ7154">
        <v>99.9602139965221</v>
      </c>
      <c r="AK7154">
        <v>57.5966865197787</v>
      </c>
      <c r="AL7154">
        <v>84.428132941565906</v>
      </c>
      <c r="AM7154">
        <v>98.928738904304396</v>
      </c>
      <c r="AN7154">
        <v>1.0000000106806599</v>
      </c>
    </row>
    <row r="7155" spans="1:40" x14ac:dyDescent="0.25">
      <c r="A7155" t="str">
        <f>"20190303162056116"</f>
        <v>20190303162056116</v>
      </c>
      <c r="B7155" t="str">
        <f>"1551601256109278"</f>
        <v>1551601256109278</v>
      </c>
      <c r="C7155" t="s">
        <v>40</v>
      </c>
      <c r="D7155">
        <v>4.7882559999999996</v>
      </c>
      <c r="E7155">
        <v>0.49220209999999998</v>
      </c>
      <c r="F7155" t="s">
        <v>41</v>
      </c>
      <c r="G7155">
        <v>-420.42579999999998</v>
      </c>
      <c r="H7155" s="1">
        <v>-1.6229449999999999E-6</v>
      </c>
      <c r="I7155">
        <v>53.108139999999999</v>
      </c>
      <c r="J7155">
        <v>-419.8227</v>
      </c>
      <c r="K7155">
        <v>1.123556</v>
      </c>
      <c r="L7155">
        <v>110.7573</v>
      </c>
      <c r="M7155">
        <v>-0.1814906</v>
      </c>
      <c r="N7155">
        <v>-1.365449E-2</v>
      </c>
      <c r="O7155">
        <v>-0.98329800000000001</v>
      </c>
      <c r="P7155">
        <v>-2.7907899999999999E-2</v>
      </c>
      <c r="Q7155">
        <v>8.417202E-2</v>
      </c>
      <c r="R7155">
        <v>-0.99606050000000002</v>
      </c>
      <c r="S7155">
        <v>-3.3142089999999999E-2</v>
      </c>
      <c r="T7155">
        <v>-5.8584329999999997E-2</v>
      </c>
      <c r="U7155">
        <v>-3.016159</v>
      </c>
      <c r="V7155">
        <v>-0.153836</v>
      </c>
      <c r="W7155">
        <v>9.6837950000000006E-2</v>
      </c>
      <c r="X7155">
        <v>0.98333970000000004</v>
      </c>
      <c r="Y7155">
        <v>-0.17065269999999999</v>
      </c>
      <c r="Z7155">
        <v>5.1531950000000002E-3</v>
      </c>
      <c r="AA7155">
        <v>0.98531780000000002</v>
      </c>
      <c r="AB7155">
        <v>20</v>
      </c>
      <c r="AC7155">
        <v>-0.60309999999998298</v>
      </c>
      <c r="AD7155">
        <v>-1.1235576229449999</v>
      </c>
      <c r="AE7155">
        <v>-57.649159999999902</v>
      </c>
      <c r="AF7155">
        <v>-9.8669251651467995</v>
      </c>
      <c r="AG7155">
        <v>-1.1235576229449999</v>
      </c>
      <c r="AH7155">
        <v>56.779484325537602</v>
      </c>
      <c r="AI7155">
        <v>91.116891884012801</v>
      </c>
      <c r="AJ7155">
        <v>99.858198492192201</v>
      </c>
      <c r="AK7155">
        <v>57.641377795995197</v>
      </c>
      <c r="AL7155">
        <v>84.442885783186597</v>
      </c>
      <c r="AM7155">
        <v>98.891418533040806</v>
      </c>
      <c r="AN7155">
        <v>1.0000000345261399</v>
      </c>
    </row>
    <row r="7156" spans="1:40" x14ac:dyDescent="0.25">
      <c r="A7156" t="str">
        <f>"20190303162056137"</f>
        <v>20190303162056137</v>
      </c>
      <c r="B7156" t="str">
        <f>"1551601256129774"</f>
        <v>1551601256129774</v>
      </c>
      <c r="C7156" t="s">
        <v>40</v>
      </c>
      <c r="D7156">
        <v>4.7335719999999997</v>
      </c>
      <c r="E7156">
        <v>0.4924634</v>
      </c>
      <c r="F7156" t="s">
        <v>41</v>
      </c>
      <c r="G7156">
        <v>-420.31869999999998</v>
      </c>
      <c r="H7156" s="1">
        <v>-3.6381240000000002E-6</v>
      </c>
      <c r="I7156">
        <v>57.8720199999999</v>
      </c>
      <c r="J7156">
        <v>-419.8544</v>
      </c>
      <c r="K7156">
        <v>1.123529</v>
      </c>
      <c r="L7156">
        <v>110.5609</v>
      </c>
      <c r="M7156">
        <v>-0.17776239999999999</v>
      </c>
      <c r="N7156">
        <v>-1.365048E-2</v>
      </c>
      <c r="O7156">
        <v>-0.98397889999999999</v>
      </c>
      <c r="P7156">
        <v>-2.5258900000000001E-2</v>
      </c>
      <c r="Q7156">
        <v>8.3964949999999997E-2</v>
      </c>
      <c r="R7156">
        <v>-0.99614879999999995</v>
      </c>
      <c r="S7156">
        <v>-2.8289789999999999E-2</v>
      </c>
      <c r="T7156">
        <v>-6.4086080000000004E-2</v>
      </c>
      <c r="U7156">
        <v>-3.0164949999999999</v>
      </c>
      <c r="V7156">
        <v>-0.15272060000000001</v>
      </c>
      <c r="W7156">
        <v>9.6640509999999999E-2</v>
      </c>
      <c r="X7156">
        <v>0.98353290000000004</v>
      </c>
      <c r="Y7156">
        <v>-0.16850219999999999</v>
      </c>
      <c r="Z7156">
        <v>6.9428980000000003E-3</v>
      </c>
      <c r="AA7156">
        <v>0.98567680000000002</v>
      </c>
      <c r="AB7156">
        <v>20</v>
      </c>
      <c r="AC7156">
        <v>-0.46429999999998001</v>
      </c>
      <c r="AD7156">
        <v>-1.1235326381240001</v>
      </c>
      <c r="AE7156">
        <v>-52.688879999999997</v>
      </c>
      <c r="AF7156">
        <v>-8.90601994012804</v>
      </c>
      <c r="AG7156">
        <v>-1.1235326381240001</v>
      </c>
      <c r="AH7156">
        <v>51.908511138229201</v>
      </c>
      <c r="AI7156">
        <v>91.222092409513493</v>
      </c>
      <c r="AJ7156">
        <v>99.735532510458597</v>
      </c>
      <c r="AK7156">
        <v>52.678962075486503</v>
      </c>
      <c r="AL7156">
        <v>84.454251197504206</v>
      </c>
      <c r="AM7156">
        <v>98.826262875523298</v>
      </c>
      <c r="AN7156">
        <v>0.99999996760991405</v>
      </c>
    </row>
    <row r="7157" spans="1:40" x14ac:dyDescent="0.25">
      <c r="A7157" t="str">
        <f>"20190303162056159"</f>
        <v>20190303162056159</v>
      </c>
      <c r="B7157" t="str">
        <f>"1551601256149603"</f>
        <v>1551601256149603</v>
      </c>
      <c r="C7157" t="s">
        <v>40</v>
      </c>
      <c r="D7157">
        <v>4.7846010000000003</v>
      </c>
      <c r="E7157">
        <v>0.49286459999999999</v>
      </c>
      <c r="F7157" t="s">
        <v>41</v>
      </c>
      <c r="G7157">
        <v>-420.24149999999997</v>
      </c>
      <c r="H7157" s="1">
        <v>-3.9828159999999998E-6</v>
      </c>
      <c r="I7157">
        <v>58.723390000000002</v>
      </c>
      <c r="J7157">
        <v>-419.88479999999998</v>
      </c>
      <c r="K7157">
        <v>1.1235200000000001</v>
      </c>
      <c r="L7157">
        <v>110.36799999999999</v>
      </c>
      <c r="M7157">
        <v>-0.17411940000000001</v>
      </c>
      <c r="N7157">
        <v>-1.3646719999999999E-2</v>
      </c>
      <c r="O7157">
        <v>-0.98463009999999995</v>
      </c>
      <c r="P7157">
        <v>-2.3072249999999999E-2</v>
      </c>
      <c r="Q7157">
        <v>8.4074399999999994E-2</v>
      </c>
      <c r="R7157">
        <v>-0.99619259999999998</v>
      </c>
      <c r="S7157">
        <v>-2.2521969999999999E-2</v>
      </c>
      <c r="T7157">
        <v>-6.5381289999999995E-2</v>
      </c>
      <c r="U7157">
        <v>-3.016556</v>
      </c>
      <c r="V7157">
        <v>-0.1512329</v>
      </c>
      <c r="W7157">
        <v>9.6762020000000004E-2</v>
      </c>
      <c r="X7157">
        <v>0.98375080000000004</v>
      </c>
      <c r="Y7157">
        <v>-0.16673840000000001</v>
      </c>
      <c r="Z7157">
        <v>7.3840900000000003E-3</v>
      </c>
      <c r="AA7157">
        <v>0.98597349999999995</v>
      </c>
      <c r="AB7157">
        <v>20</v>
      </c>
      <c r="AC7157">
        <v>-0.35669999999998903</v>
      </c>
      <c r="AD7157">
        <v>-1.123523982816</v>
      </c>
      <c r="AE7157">
        <v>-51.644609999999901</v>
      </c>
      <c r="AF7157">
        <v>-8.6378268052332103</v>
      </c>
      <c r="AG7157">
        <v>-1.123523982816</v>
      </c>
      <c r="AH7157">
        <v>50.893595901525103</v>
      </c>
      <c r="AI7157">
        <v>91.246827982521296</v>
      </c>
      <c r="AJ7157">
        <v>99.6326337224572</v>
      </c>
      <c r="AK7157">
        <v>51.6336369225033</v>
      </c>
      <c r="AL7157">
        <v>84.447256349513395</v>
      </c>
      <c r="AM7157">
        <v>98.739711510900804</v>
      </c>
      <c r="AN7157">
        <v>0.99999995752876403</v>
      </c>
    </row>
    <row r="7158" spans="1:40" x14ac:dyDescent="0.25">
      <c r="A7158" t="str">
        <f>"20190303162056181"</f>
        <v>20190303162056181</v>
      </c>
      <c r="B7158" t="str">
        <f>"1551601256170099"</f>
        <v>1551601256170099</v>
      </c>
      <c r="C7158" t="s">
        <v>40</v>
      </c>
      <c r="D7158">
        <v>4.7866429999999998</v>
      </c>
      <c r="E7158">
        <v>0.49317549999999999</v>
      </c>
      <c r="F7158" t="s">
        <v>41</v>
      </c>
      <c r="G7158">
        <v>-420.20190000000002</v>
      </c>
      <c r="H7158" s="1">
        <v>-3.5627140000000002E-6</v>
      </c>
      <c r="I7158">
        <v>57.768639999999998</v>
      </c>
      <c r="J7158">
        <v>-419.91520000000003</v>
      </c>
      <c r="K7158">
        <v>1.1235170000000001</v>
      </c>
      <c r="L7158">
        <v>110.1705</v>
      </c>
      <c r="M7158">
        <v>-0.17039939999999901</v>
      </c>
      <c r="N7158">
        <v>-1.364306E-2</v>
      </c>
      <c r="O7158">
        <v>-0.98528070000000001</v>
      </c>
      <c r="P7158">
        <v>-2.1228489999999999E-2</v>
      </c>
      <c r="Q7158">
        <v>8.3782129999999996E-2</v>
      </c>
      <c r="R7158">
        <v>-0.99625799999999998</v>
      </c>
      <c r="S7158">
        <v>-1.818848E-2</v>
      </c>
      <c r="T7158">
        <v>-6.4432379999999997E-2</v>
      </c>
      <c r="U7158">
        <v>-3.0164949999999999</v>
      </c>
      <c r="V7158">
        <v>-0.14933589999999999</v>
      </c>
      <c r="W7158">
        <v>9.6483920000000001E-2</v>
      </c>
      <c r="X7158">
        <v>0.9840679</v>
      </c>
      <c r="Y7158">
        <v>-0.164431299999999</v>
      </c>
      <c r="Z7158">
        <v>7.1063400000000001E-3</v>
      </c>
      <c r="AA7158">
        <v>0.98636290000000004</v>
      </c>
      <c r="AB7158">
        <v>20</v>
      </c>
      <c r="AC7158">
        <v>-0.28669999999999601</v>
      </c>
      <c r="AD7158">
        <v>-1.1235205627139999</v>
      </c>
      <c r="AE7158">
        <v>-52.401859999999999</v>
      </c>
      <c r="AF7158">
        <v>-8.6435964412604704</v>
      </c>
      <c r="AG7158">
        <v>-1.1235205627139999</v>
      </c>
      <c r="AH7158">
        <v>51.660454040730599</v>
      </c>
      <c r="AI7158">
        <v>91.228806365595403</v>
      </c>
      <c r="AJ7158">
        <v>99.498490949349403</v>
      </c>
      <c r="AK7158">
        <v>52.390615281638503</v>
      </c>
      <c r="AL7158">
        <v>84.463265418288501</v>
      </c>
      <c r="AM7158">
        <v>98.629006250730995</v>
      </c>
      <c r="AN7158">
        <v>0.99999999482889301</v>
      </c>
    </row>
    <row r="7159" spans="1:40" x14ac:dyDescent="0.25">
      <c r="A7159" t="str">
        <f>"20190303162056205"</f>
        <v>20190303162056205</v>
      </c>
      <c r="B7159" t="str">
        <f>"1551601256189619"</f>
        <v>1551601256189619</v>
      </c>
      <c r="C7159" t="s">
        <v>40</v>
      </c>
      <c r="D7159">
        <v>4.7635290000000001</v>
      </c>
      <c r="E7159">
        <v>0.49342950000000002</v>
      </c>
      <c r="F7159" t="s">
        <v>41</v>
      </c>
      <c r="G7159">
        <v>-420.17169999999999</v>
      </c>
      <c r="H7159" s="1">
        <v>-3.791132E-6</v>
      </c>
      <c r="I7159">
        <v>58.319830000000003</v>
      </c>
      <c r="J7159">
        <v>-419.94459999999998</v>
      </c>
      <c r="K7159">
        <v>1.1235090000000001</v>
      </c>
      <c r="L7159">
        <v>109.9744</v>
      </c>
      <c r="M7159">
        <v>-0.166717899999999</v>
      </c>
      <c r="N7159">
        <v>-1.363963E-2</v>
      </c>
      <c r="O7159">
        <v>-0.98591019999999896</v>
      </c>
      <c r="P7159">
        <v>-1.9954530000000002E-2</v>
      </c>
      <c r="Q7159">
        <v>8.3558069999999998E-2</v>
      </c>
      <c r="R7159">
        <v>-0.9963031</v>
      </c>
      <c r="S7159">
        <v>-1.49231E-2</v>
      </c>
      <c r="T7159">
        <v>-6.5361619999999995E-2</v>
      </c>
      <c r="U7159">
        <v>-3.0164490000000002</v>
      </c>
      <c r="V7159">
        <v>-0.146914299999999</v>
      </c>
      <c r="W7159">
        <v>9.6277440000000006E-2</v>
      </c>
      <c r="X7159">
        <v>0.98445249999999995</v>
      </c>
      <c r="Y7159">
        <v>-0.16181419999999999</v>
      </c>
      <c r="Z7159">
        <v>7.4329349999999999E-3</v>
      </c>
      <c r="AA7159">
        <v>0.98679329999999998</v>
      </c>
      <c r="AB7159">
        <v>20</v>
      </c>
      <c r="AC7159">
        <v>-0.22710000000000699</v>
      </c>
      <c r="AD7159">
        <v>-1.123512791132</v>
      </c>
      <c r="AE7159">
        <v>-51.65457</v>
      </c>
      <c r="AF7159">
        <v>-8.3846557552915897</v>
      </c>
      <c r="AG7159">
        <v>-1.123512791132</v>
      </c>
      <c r="AH7159">
        <v>50.945274093957998</v>
      </c>
      <c r="AI7159">
        <v>91.246592689515495</v>
      </c>
      <c r="AJ7159">
        <v>99.346047460904998</v>
      </c>
      <c r="AK7159">
        <v>51.6428667449347</v>
      </c>
      <c r="AL7159">
        <v>84.475150885564204</v>
      </c>
      <c r="AM7159">
        <v>98.487867345477</v>
      </c>
      <c r="AN7159">
        <v>0.99999994087684496</v>
      </c>
    </row>
    <row r="7160" spans="1:40" x14ac:dyDescent="0.25">
      <c r="A7160" t="str">
        <f>"20190303162056227"</f>
        <v>20190303162056227</v>
      </c>
      <c r="B7160" t="str">
        <f>"1551601256219875"</f>
        <v>1551601256219875</v>
      </c>
      <c r="C7160" t="s">
        <v>40</v>
      </c>
      <c r="D7160">
        <v>4.7790900000000001</v>
      </c>
      <c r="E7160">
        <v>0.493973</v>
      </c>
      <c r="F7160" t="s">
        <v>41</v>
      </c>
      <c r="G7160">
        <v>-420.15940000000001</v>
      </c>
      <c r="H7160" s="1">
        <v>-1.28666E-7</v>
      </c>
      <c r="I7160">
        <v>59.790170000000003</v>
      </c>
      <c r="J7160">
        <v>-419.97410000000002</v>
      </c>
      <c r="K7160">
        <v>1.1235010000000001</v>
      </c>
      <c r="L7160">
        <v>109.7727</v>
      </c>
      <c r="M7160">
        <v>-0.16293940000000001</v>
      </c>
      <c r="N7160">
        <v>-1.3636240000000001E-2</v>
      </c>
      <c r="O7160">
        <v>-0.98654200000000003</v>
      </c>
      <c r="P7160">
        <v>-1.8531220000000001E-2</v>
      </c>
      <c r="Q7160">
        <v>8.3484859999999994E-2</v>
      </c>
      <c r="R7160">
        <v>-0.99633669999999996</v>
      </c>
      <c r="S7160">
        <v>-1.2908940000000001E-2</v>
      </c>
      <c r="T7160">
        <v>-6.7533369999999995E-2</v>
      </c>
      <c r="U7160">
        <v>-3.0165410000000001</v>
      </c>
      <c r="V7160">
        <v>-0.14454410000000001</v>
      </c>
      <c r="W7160">
        <v>9.6220959999999994E-2</v>
      </c>
      <c r="X7160">
        <v>0.98480889999999999</v>
      </c>
      <c r="Y7160">
        <v>-0.15869159999999999</v>
      </c>
      <c r="Z7160">
        <v>8.1614349999999999E-3</v>
      </c>
      <c r="AA7160">
        <v>0.98729440000000002</v>
      </c>
      <c r="AB7160">
        <v>20</v>
      </c>
      <c r="AC7160">
        <v>-0.18529999999998301</v>
      </c>
      <c r="AD7160">
        <v>-1.1235011286659999</v>
      </c>
      <c r="AE7160">
        <v>-49.982529999999997</v>
      </c>
      <c r="AF7160">
        <v>-7.95803548385061</v>
      </c>
      <c r="AG7160">
        <v>-1.1235011286659999</v>
      </c>
      <c r="AH7160">
        <v>49.319719331352701</v>
      </c>
      <c r="AI7160">
        <v>91.288312132264807</v>
      </c>
      <c r="AJ7160">
        <v>99.166017863551502</v>
      </c>
      <c r="AK7160">
        <v>49.9702641425053</v>
      </c>
      <c r="AL7160">
        <v>84.478402482528097</v>
      </c>
      <c r="AM7160">
        <v>98.349897982657296</v>
      </c>
      <c r="AN7160">
        <v>1.00000001975367</v>
      </c>
    </row>
    <row r="7161" spans="1:40" x14ac:dyDescent="0.25">
      <c r="A7161" t="str">
        <f>"20190303162056249"</f>
        <v>20190303162056249</v>
      </c>
      <c r="B7161" t="str">
        <f>"1551601256239903"</f>
        <v>1551601256239903</v>
      </c>
      <c r="C7161" t="s">
        <v>40</v>
      </c>
      <c r="D7161">
        <v>4.8239669999999997</v>
      </c>
      <c r="E7161">
        <v>0.49437589999999998</v>
      </c>
      <c r="F7161" t="s">
        <v>41</v>
      </c>
      <c r="G7161">
        <v>-420.18180000000001</v>
      </c>
      <c r="H7161" s="1">
        <v>-9.4867140000000003E-7</v>
      </c>
      <c r="I7161">
        <v>61.6877</v>
      </c>
      <c r="J7161">
        <v>-420.00189999999998</v>
      </c>
      <c r="K7161">
        <v>1.1234919999999999</v>
      </c>
      <c r="L7161">
        <v>109.5774</v>
      </c>
      <c r="M7161">
        <v>-0.15928599999999901</v>
      </c>
      <c r="N7161">
        <v>-1.3633019999999999E-2</v>
      </c>
      <c r="O7161">
        <v>-0.98713859999999998</v>
      </c>
      <c r="P7161">
        <v>-1.7744759999999998E-2</v>
      </c>
      <c r="Q7161">
        <v>8.3729719999999994E-2</v>
      </c>
      <c r="R7161">
        <v>-0.99633090000000002</v>
      </c>
      <c r="S7161">
        <v>-1.3031010000000001E-2</v>
      </c>
      <c r="T7161">
        <v>-7.0484399999999905E-2</v>
      </c>
      <c r="U7161">
        <v>-3.0166780000000002</v>
      </c>
      <c r="V7161">
        <v>-0.141667299999999</v>
      </c>
      <c r="W7161">
        <v>9.6485319999999999E-2</v>
      </c>
      <c r="X7161">
        <v>0.98520099999999999</v>
      </c>
      <c r="Y7161">
        <v>-0.15499549999999901</v>
      </c>
      <c r="Z7161">
        <v>9.1432430000000006E-3</v>
      </c>
      <c r="AA7161">
        <v>0.9878728</v>
      </c>
      <c r="AB7161">
        <v>20</v>
      </c>
      <c r="AC7161">
        <v>-0.17990000000003101</v>
      </c>
      <c r="AD7161">
        <v>-1.1234929486714</v>
      </c>
      <c r="AE7161">
        <v>-47.889699999999998</v>
      </c>
      <c r="AF7161">
        <v>-7.4471644607260901</v>
      </c>
      <c r="AG7161">
        <v>-1.1234929486714</v>
      </c>
      <c r="AH7161">
        <v>47.2807897705312</v>
      </c>
      <c r="AI7161">
        <v>91.344643061089599</v>
      </c>
      <c r="AJ7161">
        <v>98.951079034473693</v>
      </c>
      <c r="AK7161">
        <v>47.876879349389299</v>
      </c>
      <c r="AL7161">
        <v>84.463184999290704</v>
      </c>
      <c r="AM7161">
        <v>98.182774335552494</v>
      </c>
      <c r="AN7161">
        <v>1.00000002563289</v>
      </c>
    </row>
    <row r="7162" spans="1:40" x14ac:dyDescent="0.25">
      <c r="A7162" t="str">
        <f>"20190303162056272"</f>
        <v>20190303162056272</v>
      </c>
      <c r="B7162" t="str">
        <f>"1551601256259421"</f>
        <v>1551601256259421</v>
      </c>
      <c r="C7162" t="s">
        <v>40</v>
      </c>
      <c r="D7162">
        <v>4.8131329999999997</v>
      </c>
      <c r="E7162">
        <v>0.49466379999999999</v>
      </c>
      <c r="F7162" t="s">
        <v>41</v>
      </c>
      <c r="G7162">
        <v>-420.21519999999998</v>
      </c>
      <c r="H7162" s="1">
        <v>-9.9308570000000008E-7</v>
      </c>
      <c r="I7162">
        <v>61.770539999999997</v>
      </c>
      <c r="J7162">
        <v>-420.02870000000001</v>
      </c>
      <c r="K7162">
        <v>1.123486</v>
      </c>
      <c r="L7162">
        <v>109.384</v>
      </c>
      <c r="M7162">
        <v>-0.15567520000000001</v>
      </c>
      <c r="N7162">
        <v>-1.363004E-2</v>
      </c>
      <c r="O7162">
        <v>-0.98771430000000005</v>
      </c>
      <c r="P7162">
        <v>-1.6956909999999999E-2</v>
      </c>
      <c r="Q7162">
        <v>8.3875779999999997E-2</v>
      </c>
      <c r="R7162">
        <v>-0.99633210000000005</v>
      </c>
      <c r="S7162">
        <v>-1.345825E-2</v>
      </c>
      <c r="T7162">
        <v>-7.0896150000000005E-2</v>
      </c>
      <c r="U7162">
        <v>-3.016769</v>
      </c>
      <c r="V7162">
        <v>-0.1388364</v>
      </c>
      <c r="W7162">
        <v>9.6649529999999997E-2</v>
      </c>
      <c r="X7162">
        <v>0.98558780000000001</v>
      </c>
      <c r="Y7162">
        <v>-0.15124290000000001</v>
      </c>
      <c r="Z7162">
        <v>9.305654E-3</v>
      </c>
      <c r="AA7162">
        <v>0.98845289999999997</v>
      </c>
      <c r="AB7162">
        <v>20</v>
      </c>
      <c r="AC7162">
        <v>-0.186499999999966</v>
      </c>
      <c r="AD7162">
        <v>-1.1234869930857001</v>
      </c>
      <c r="AE7162">
        <v>-47.613460000000003</v>
      </c>
      <c r="AF7162">
        <v>-7.2246749562645904</v>
      </c>
      <c r="AG7162">
        <v>-1.1234869930857001</v>
      </c>
      <c r="AH7162">
        <v>47.035710772368198</v>
      </c>
      <c r="AI7162">
        <v>91.352442061938007</v>
      </c>
      <c r="AJ7162">
        <v>98.732372110432493</v>
      </c>
      <c r="AK7162">
        <v>47.600590743279497</v>
      </c>
      <c r="AL7162">
        <v>84.453732108905101</v>
      </c>
      <c r="AM7162">
        <v>98.018302493454399</v>
      </c>
      <c r="AN7162">
        <v>0.99999999456151001</v>
      </c>
    </row>
    <row r="7163" spans="1:40" x14ac:dyDescent="0.25">
      <c r="A7163" t="str">
        <f>"20190303162056293"</f>
        <v>20190303162056293</v>
      </c>
      <c r="B7163" t="str">
        <f>"1551601256279917"</f>
        <v>1551601256279917</v>
      </c>
      <c r="C7163" t="s">
        <v>40</v>
      </c>
      <c r="D7163">
        <v>4.7522760000000002</v>
      </c>
      <c r="E7163">
        <v>0.49486069999999999</v>
      </c>
      <c r="F7163" t="s">
        <v>41</v>
      </c>
      <c r="G7163">
        <v>-420.2364</v>
      </c>
      <c r="H7163" s="1">
        <v>-1.177056E-6</v>
      </c>
      <c r="I7163">
        <v>62.186250000000001</v>
      </c>
      <c r="J7163">
        <v>-420.05500000000001</v>
      </c>
      <c r="K7163">
        <v>1.1234820000000001</v>
      </c>
      <c r="L7163">
        <v>109.1895</v>
      </c>
      <c r="M7163">
        <v>-0.15204500000000001</v>
      </c>
      <c r="N7163">
        <v>-1.362711E-2</v>
      </c>
      <c r="O7163">
        <v>-0.98827980000000004</v>
      </c>
      <c r="P7163">
        <v>-1.6219339999999999E-2</v>
      </c>
      <c r="Q7163">
        <v>8.3766179999999996E-2</v>
      </c>
      <c r="R7163">
        <v>-0.99635339999999994</v>
      </c>
      <c r="S7163">
        <v>-1.3275149999999999E-2</v>
      </c>
      <c r="T7163">
        <v>-7.1812749999999995E-2</v>
      </c>
      <c r="U7163">
        <v>-3.016861</v>
      </c>
      <c r="V7163">
        <v>-0.13594020000000001</v>
      </c>
      <c r="W7163">
        <v>9.6558870000000005E-2</v>
      </c>
      <c r="X7163">
        <v>0.9860004</v>
      </c>
      <c r="Y7163">
        <v>-0.14767069999999999</v>
      </c>
      <c r="Z7163">
        <v>9.6306570000000008E-3</v>
      </c>
      <c r="AA7163">
        <v>0.98898969999999997</v>
      </c>
      <c r="AB7163">
        <v>20</v>
      </c>
      <c r="AC7163">
        <v>-0.18139999999999601</v>
      </c>
      <c r="AD7163">
        <v>-1.1234831770560001</v>
      </c>
      <c r="AE7163">
        <v>-47.003250000000001</v>
      </c>
      <c r="AF7163">
        <v>-6.9640023993638698</v>
      </c>
      <c r="AG7163">
        <v>-1.1234831770560001</v>
      </c>
      <c r="AH7163">
        <v>46.4577100156881</v>
      </c>
      <c r="AI7163">
        <v>91.370008778549405</v>
      </c>
      <c r="AJ7163">
        <v>98.525151978616293</v>
      </c>
      <c r="AK7163">
        <v>46.990194336363899</v>
      </c>
      <c r="AL7163">
        <v>84.458951378783496</v>
      </c>
      <c r="AM7163">
        <v>97.8499000687153</v>
      </c>
      <c r="AN7163">
        <v>1.00000007107593</v>
      </c>
    </row>
    <row r="7164" spans="1:40" x14ac:dyDescent="0.25">
      <c r="A7164" t="str">
        <f>"20190303162056316"</f>
        <v>20190303162056316</v>
      </c>
      <c r="B7164" t="str">
        <f>"1551601256310173"</f>
        <v>1551601256310173</v>
      </c>
      <c r="C7164" t="s">
        <v>40</v>
      </c>
      <c r="D7164">
        <v>4.7690199999999896</v>
      </c>
      <c r="E7164">
        <v>0.49523470000000003</v>
      </c>
      <c r="F7164" t="s">
        <v>41</v>
      </c>
      <c r="G7164">
        <v>-420.2457</v>
      </c>
      <c r="H7164" s="1">
        <v>-1.5229669999999901E-6</v>
      </c>
      <c r="I7164">
        <v>62.986809999999998</v>
      </c>
      <c r="J7164">
        <v>-420.08109999999999</v>
      </c>
      <c r="K7164">
        <v>1.1234759999999999</v>
      </c>
      <c r="L7164">
        <v>108.9905</v>
      </c>
      <c r="M7164">
        <v>-0.1483392</v>
      </c>
      <c r="N7164">
        <v>-1.362412E-2</v>
      </c>
      <c r="O7164">
        <v>-0.98884269999999996</v>
      </c>
      <c r="P7164">
        <v>-1.6130660000000002E-2</v>
      </c>
      <c r="Q7164">
        <v>8.4053169999999996E-2</v>
      </c>
      <c r="R7164">
        <v>-0.99633090000000002</v>
      </c>
      <c r="S7164">
        <v>-1.2451169999999999E-2</v>
      </c>
      <c r="T7164">
        <v>-7.3361159999999995E-2</v>
      </c>
      <c r="U7164">
        <v>-3.016937</v>
      </c>
      <c r="V7164">
        <v>-0.1323221</v>
      </c>
      <c r="W7164">
        <v>9.6868800000000005E-2</v>
      </c>
      <c r="X7164">
        <v>0.98646199999999995</v>
      </c>
      <c r="Y7164">
        <v>-0.1442329</v>
      </c>
      <c r="Z7164">
        <v>1.0160519999999999E-2</v>
      </c>
      <c r="AA7164">
        <v>0.98949160000000003</v>
      </c>
      <c r="AB7164">
        <v>20</v>
      </c>
      <c r="AC7164">
        <v>-0.16460000000000699</v>
      </c>
      <c r="AD7164">
        <v>-1.123477522967</v>
      </c>
      <c r="AE7164">
        <v>-46.003689999999999</v>
      </c>
      <c r="AF7164">
        <v>-6.6580344600246599</v>
      </c>
      <c r="AG7164">
        <v>-1.123477522967</v>
      </c>
      <c r="AH7164">
        <v>45.491922546251402</v>
      </c>
      <c r="AI7164">
        <v>91.399793878842701</v>
      </c>
      <c r="AJ7164">
        <v>98.326488739748399</v>
      </c>
      <c r="AK7164">
        <v>45.990288557146798</v>
      </c>
      <c r="AL7164">
        <v>84.441109610949596</v>
      </c>
      <c r="AM7164">
        <v>97.639940715558595</v>
      </c>
      <c r="AN7164">
        <v>0.99999999000292505</v>
      </c>
    </row>
    <row r="7165" spans="1:40" x14ac:dyDescent="0.25">
      <c r="A7165" t="str">
        <f>"20190303162056338"</f>
        <v>20190303162056338</v>
      </c>
      <c r="B7165" t="str">
        <f>"1551601256329694"</f>
        <v>1551601256329694</v>
      </c>
      <c r="C7165" t="s">
        <v>40</v>
      </c>
      <c r="D7165">
        <v>4.7422279999999999</v>
      </c>
      <c r="E7165">
        <v>0.4954443</v>
      </c>
      <c r="F7165" t="s">
        <v>41</v>
      </c>
      <c r="G7165">
        <v>-420.30410000000001</v>
      </c>
      <c r="H7165" s="1">
        <v>-1.564599E-6</v>
      </c>
      <c r="I7165">
        <v>63.047580000000004</v>
      </c>
      <c r="J7165">
        <v>-420.1053</v>
      </c>
      <c r="K7165">
        <v>1.1234690000000001</v>
      </c>
      <c r="L7165">
        <v>108.80110000000001</v>
      </c>
      <c r="M7165">
        <v>-0.14482159999999999</v>
      </c>
      <c r="N7165">
        <v>-1.36212E-2</v>
      </c>
      <c r="O7165">
        <v>-0.98936409999999997</v>
      </c>
      <c r="P7165">
        <v>-1.7286880000000001E-2</v>
      </c>
      <c r="Q7165">
        <v>8.431247E-2</v>
      </c>
      <c r="R7165">
        <v>-0.99628950000000005</v>
      </c>
      <c r="S7165">
        <v>-1.464844E-2</v>
      </c>
      <c r="T7165">
        <v>-7.3777789999999996E-2</v>
      </c>
      <c r="U7165">
        <v>-3.017029</v>
      </c>
      <c r="V7165">
        <v>-0.12765789999999999</v>
      </c>
      <c r="W7165">
        <v>9.7158770000000005E-2</v>
      </c>
      <c r="X7165">
        <v>0.98704800000000004</v>
      </c>
      <c r="Y7165">
        <v>-0.13999300000000001</v>
      </c>
      <c r="Z7165">
        <v>1.032486E-2</v>
      </c>
      <c r="AA7165">
        <v>0.9900987</v>
      </c>
      <c r="AB7165">
        <v>20</v>
      </c>
      <c r="AC7165">
        <v>-0.198800000000005</v>
      </c>
      <c r="AD7165">
        <v>-1.123470564599</v>
      </c>
      <c r="AE7165">
        <v>-45.753520000000002</v>
      </c>
      <c r="AF7165">
        <v>-6.4261339173561502</v>
      </c>
      <c r="AG7165">
        <v>-1.123470564599</v>
      </c>
      <c r="AH7165">
        <v>45.272583598458802</v>
      </c>
      <c r="AI7165">
        <v>91.407440758982702</v>
      </c>
      <c r="AJ7165">
        <v>98.078776209032995</v>
      </c>
      <c r="AK7165">
        <v>45.740181557496598</v>
      </c>
      <c r="AL7165">
        <v>84.4244172066647</v>
      </c>
      <c r="AM7165">
        <v>97.369328965688894</v>
      </c>
      <c r="AN7165">
        <v>1.0000000601621499</v>
      </c>
    </row>
    <row r="7166" spans="1:40" x14ac:dyDescent="0.25">
      <c r="A7166" t="str">
        <f>"20190303162056360"</f>
        <v>20190303162056360</v>
      </c>
      <c r="B7166" t="str">
        <f>"1551601256350189"</f>
        <v>1551601256350189</v>
      </c>
      <c r="C7166" t="s">
        <v>40</v>
      </c>
      <c r="D7166">
        <v>4.7248519999999896</v>
      </c>
      <c r="E7166">
        <v>0.49570799999999998</v>
      </c>
      <c r="F7166" t="s">
        <v>41</v>
      </c>
      <c r="G7166">
        <v>-420.40390000000002</v>
      </c>
      <c r="H7166" s="1">
        <v>-1.180417E-6</v>
      </c>
      <c r="I7166">
        <v>62.090179999999997</v>
      </c>
      <c r="J7166">
        <v>-420.12990000000002</v>
      </c>
      <c r="K7166">
        <v>1.1234550000000001</v>
      </c>
      <c r="L7166">
        <v>108.60290000000001</v>
      </c>
      <c r="M7166">
        <v>-0.14115030000000001</v>
      </c>
      <c r="N7166">
        <v>-1.3618E-2</v>
      </c>
      <c r="O7166">
        <v>-0.98989459999999996</v>
      </c>
      <c r="P7166">
        <v>-1.874383E-2</v>
      </c>
      <c r="Q7166">
        <v>8.4244879999999994E-2</v>
      </c>
      <c r="R7166">
        <v>-0.99626870000000001</v>
      </c>
      <c r="S7166">
        <v>-1.928711E-2</v>
      </c>
      <c r="T7166">
        <v>-7.2563050000000004E-2</v>
      </c>
      <c r="U7166">
        <v>-3.0169830000000002</v>
      </c>
      <c r="V7166">
        <v>-0.122541899999999</v>
      </c>
      <c r="W7166">
        <v>9.7125080000000003E-2</v>
      </c>
      <c r="X7166">
        <v>0.98769940000000001</v>
      </c>
      <c r="Y7166">
        <v>-0.13479720000000001</v>
      </c>
      <c r="Z7166">
        <v>9.9634489999999992E-3</v>
      </c>
      <c r="AA7166">
        <v>0.99082309999999996</v>
      </c>
      <c r="AB7166">
        <v>20</v>
      </c>
      <c r="AC7166">
        <v>-0.27400000000000002</v>
      </c>
      <c r="AD7166">
        <v>-1.12345618041699</v>
      </c>
      <c r="AE7166">
        <v>-46.512720000000002</v>
      </c>
      <c r="AF7166">
        <v>-6.2909663612199003</v>
      </c>
      <c r="AG7166">
        <v>-1.12345618041699</v>
      </c>
      <c r="AH7166">
        <v>46.058765069221998</v>
      </c>
      <c r="AI7166">
        <v>91.384421238473394</v>
      </c>
      <c r="AJ7166">
        <v>97.777653867525004</v>
      </c>
      <c r="AK7166">
        <v>46.499981196223104</v>
      </c>
      <c r="AL7166">
        <v>84.426356066937998</v>
      </c>
      <c r="AM7166">
        <v>97.072432818016196</v>
      </c>
      <c r="AN7166">
        <v>0.99999995159048705</v>
      </c>
    </row>
    <row r="7167" spans="1:40" x14ac:dyDescent="0.25">
      <c r="A7167" t="str">
        <f>"20190303162056383"</f>
        <v>20190303162056383</v>
      </c>
      <c r="B7167" t="str">
        <f>"1551601256369709"</f>
        <v>1551601256369709</v>
      </c>
      <c r="C7167" t="s">
        <v>40</v>
      </c>
      <c r="D7167">
        <v>4.7390629999999998</v>
      </c>
      <c r="E7167">
        <v>0.49582270000000001</v>
      </c>
      <c r="F7167" t="s">
        <v>41</v>
      </c>
      <c r="G7167">
        <v>-420.54020000000003</v>
      </c>
      <c r="H7167" s="1">
        <v>-9.5947530000000006E-7</v>
      </c>
      <c r="I7167">
        <v>61.490630000000003</v>
      </c>
      <c r="J7167">
        <v>-420.1533</v>
      </c>
      <c r="K7167">
        <v>1.1234329999999999</v>
      </c>
      <c r="L7167">
        <v>108.408</v>
      </c>
      <c r="M7167">
        <v>-0.13756019999999999</v>
      </c>
      <c r="N7167">
        <v>-1.361477E-2</v>
      </c>
      <c r="O7167">
        <v>-0.99039999999999995</v>
      </c>
      <c r="P7167">
        <v>-1.9882159999999999E-2</v>
      </c>
      <c r="Q7167">
        <v>8.4663500000000003E-2</v>
      </c>
      <c r="R7167">
        <v>-0.99621179999999998</v>
      </c>
      <c r="S7167">
        <v>-2.6275630000000001E-2</v>
      </c>
      <c r="T7167">
        <v>-7.1940420000000005E-2</v>
      </c>
      <c r="U7167">
        <v>-3.0168300000000001</v>
      </c>
      <c r="V7167">
        <v>-0.1178181</v>
      </c>
      <c r="W7167">
        <v>9.7574960000000002E-2</v>
      </c>
      <c r="X7167">
        <v>0.98822980000000005</v>
      </c>
      <c r="Y7167">
        <v>-0.12890839999999901</v>
      </c>
      <c r="Z7167">
        <v>9.7948830000000008E-3</v>
      </c>
      <c r="AA7167">
        <v>0.99160809999999999</v>
      </c>
      <c r="AB7167">
        <v>20</v>
      </c>
      <c r="AC7167">
        <v>-0.386900000000025</v>
      </c>
      <c r="AD7167">
        <v>-1.1234339594753</v>
      </c>
      <c r="AE7167">
        <v>-46.917369999999899</v>
      </c>
      <c r="AF7167">
        <v>-6.0678599260597901</v>
      </c>
      <c r="AG7167">
        <v>-1.1234339594753</v>
      </c>
      <c r="AH7167">
        <v>46.497831526187397</v>
      </c>
      <c r="AI7167">
        <v>91.372421782170306</v>
      </c>
      <c r="AJ7167">
        <v>97.434952365137505</v>
      </c>
      <c r="AK7167">
        <v>46.905536609032602</v>
      </c>
      <c r="AL7167">
        <v>84.400457419372998</v>
      </c>
      <c r="AM7167">
        <v>96.798789845908999</v>
      </c>
      <c r="AN7167">
        <v>1.00000005755732</v>
      </c>
    </row>
    <row r="7168" spans="1:40" x14ac:dyDescent="0.25">
      <c r="A7168" t="str">
        <f>"20190303162056405"</f>
        <v>20190303162056405</v>
      </c>
      <c r="B7168" t="str">
        <f>"1551601256399966"</f>
        <v>1551601256399966</v>
      </c>
      <c r="C7168" t="s">
        <v>40</v>
      </c>
      <c r="D7168">
        <v>4.7243230000000001</v>
      </c>
      <c r="E7168">
        <v>0.49599739999999998</v>
      </c>
      <c r="F7168" t="s">
        <v>41</v>
      </c>
      <c r="G7168">
        <v>-420.64359999999999</v>
      </c>
      <c r="H7168" s="1">
        <v>-1.938047E-7</v>
      </c>
      <c r="I7168">
        <v>59.641649999999998</v>
      </c>
      <c r="J7168">
        <v>-420.17649999999998</v>
      </c>
      <c r="K7168">
        <v>1.1234219999999999</v>
      </c>
      <c r="L7168">
        <v>108.21</v>
      </c>
      <c r="M7168">
        <v>-0.13393820000000001</v>
      </c>
      <c r="N7168">
        <v>-1.3611099999999999E-2</v>
      </c>
      <c r="O7168">
        <v>-0.9908962</v>
      </c>
      <c r="P7168">
        <v>-2.1770790000000002E-2</v>
      </c>
      <c r="Q7168">
        <v>8.5211640000000005E-2</v>
      </c>
      <c r="R7168">
        <v>-0.99612520000000004</v>
      </c>
      <c r="S7168">
        <v>-3.0334469999999999E-2</v>
      </c>
      <c r="T7168">
        <v>-6.9496039999999995E-2</v>
      </c>
      <c r="U7168">
        <v>-3.0167079999999999</v>
      </c>
      <c r="V7168">
        <v>-0.11231389999999999</v>
      </c>
      <c r="W7168">
        <v>9.8159129999999997E-2</v>
      </c>
      <c r="X7168">
        <v>0.98881260000000004</v>
      </c>
      <c r="Y7168">
        <v>-0.1239488</v>
      </c>
      <c r="Z7168">
        <v>9.029937E-3</v>
      </c>
      <c r="AA7168">
        <v>0.99224749999999995</v>
      </c>
      <c r="AB7168">
        <v>20</v>
      </c>
      <c r="AC7168">
        <v>-0.467100000000016</v>
      </c>
      <c r="AD7168">
        <v>-1.1234221938047</v>
      </c>
      <c r="AE7168">
        <v>-48.568350000000002</v>
      </c>
      <c r="AF7168">
        <v>-6.0396384989286398</v>
      </c>
      <c r="AG7168">
        <v>-1.1234221938047</v>
      </c>
      <c r="AH7168">
        <v>48.1674520833907</v>
      </c>
      <c r="AI7168">
        <v>91.325705214265099</v>
      </c>
      <c r="AJ7168">
        <v>97.146925153159302</v>
      </c>
      <c r="AK7168">
        <v>48.557622994016199</v>
      </c>
      <c r="AL7168">
        <v>84.366825127121402</v>
      </c>
      <c r="AM7168">
        <v>96.480146583823</v>
      </c>
      <c r="AN7168">
        <v>0.99999999242716298</v>
      </c>
    </row>
    <row r="7169" spans="1:40" x14ac:dyDescent="0.25">
      <c r="A7169" t="str">
        <f>"20190303162056427"</f>
        <v>20190303162056427</v>
      </c>
      <c r="B7169" t="str">
        <f>"1551601256419485"</f>
        <v>1551601256419485</v>
      </c>
      <c r="C7169" t="s">
        <v>40</v>
      </c>
      <c r="D7169">
        <v>4.6694259999999996</v>
      </c>
      <c r="E7169">
        <v>0.49606499999999998</v>
      </c>
      <c r="F7169" t="s">
        <v>41</v>
      </c>
      <c r="G7169">
        <v>-420.79910000000001</v>
      </c>
      <c r="H7169" s="1">
        <v>-3.8248549999999998E-6</v>
      </c>
      <c r="I7169">
        <v>58.009329999999999</v>
      </c>
      <c r="J7169">
        <v>-420.1979</v>
      </c>
      <c r="K7169">
        <v>1.123397</v>
      </c>
      <c r="L7169">
        <v>108.0202</v>
      </c>
      <c r="M7169">
        <v>-0.13050300000000001</v>
      </c>
      <c r="N7169">
        <v>-1.36071E-2</v>
      </c>
      <c r="O7169">
        <v>-0.99135450000000003</v>
      </c>
      <c r="P7169">
        <v>-2.4947299999999999E-2</v>
      </c>
      <c r="Q7169">
        <v>8.6137829999999999E-2</v>
      </c>
      <c r="R7169">
        <v>-0.99597089999999999</v>
      </c>
      <c r="S7169">
        <v>-3.7414549999999998E-2</v>
      </c>
      <c r="T7169">
        <v>-6.7507979999999995E-2</v>
      </c>
      <c r="U7169">
        <v>-3.0166170000000001</v>
      </c>
      <c r="V7169">
        <v>-0.1057096</v>
      </c>
      <c r="W7169">
        <v>9.9128090000000002E-2</v>
      </c>
      <c r="X7169">
        <v>0.98944379999999998</v>
      </c>
      <c r="Y7169">
        <v>-0.1181806</v>
      </c>
      <c r="Z7169">
        <v>8.4122250000000006E-3</v>
      </c>
      <c r="AA7169">
        <v>0.99295650000000002</v>
      </c>
      <c r="AB7169">
        <v>20</v>
      </c>
      <c r="AC7169">
        <v>-0.60120000000000495</v>
      </c>
      <c r="AD7169">
        <v>-1.123400824855</v>
      </c>
      <c r="AE7169">
        <v>-50.010869999999997</v>
      </c>
      <c r="AF7169">
        <v>-5.9281247010181604</v>
      </c>
      <c r="AG7169">
        <v>-1.123400824855</v>
      </c>
      <c r="AH7169">
        <v>49.636516267466497</v>
      </c>
      <c r="AI7169">
        <v>91.287382327309999</v>
      </c>
      <c r="AJ7169">
        <v>96.8106167320271</v>
      </c>
      <c r="AK7169">
        <v>50.001884355037802</v>
      </c>
      <c r="AL7169">
        <v>84.311035557858602</v>
      </c>
      <c r="AM7169">
        <v>96.098200056701202</v>
      </c>
      <c r="AN7169">
        <v>0.99999996555882298</v>
      </c>
    </row>
    <row r="7170" spans="1:40" x14ac:dyDescent="0.25">
      <c r="A7170" t="str">
        <f>"20190303162056450"</f>
        <v>20190303162056450</v>
      </c>
      <c r="B7170" t="str">
        <f>"1551601256439982"</f>
        <v>1551601256439982</v>
      </c>
      <c r="C7170" t="s">
        <v>40</v>
      </c>
      <c r="D7170">
        <v>4.73041</v>
      </c>
      <c r="E7170">
        <v>0.49618309999999999</v>
      </c>
      <c r="F7170" t="s">
        <v>41</v>
      </c>
      <c r="G7170">
        <v>-421.01839999999999</v>
      </c>
      <c r="H7170" s="1">
        <v>-2.892566E-6</v>
      </c>
      <c r="I7170">
        <v>55.700119999999998</v>
      </c>
      <c r="J7170">
        <v>-420.2199</v>
      </c>
      <c r="K7170">
        <v>1.1233690000000001</v>
      </c>
      <c r="L7170">
        <v>107.8205</v>
      </c>
      <c r="M7170">
        <v>-0.1269238</v>
      </c>
      <c r="N7170">
        <v>-1.360277E-2</v>
      </c>
      <c r="O7170">
        <v>-0.99181909999999895</v>
      </c>
      <c r="P7170">
        <v>-2.9058270000000001E-2</v>
      </c>
      <c r="Q7170">
        <v>8.6584439999999999E-2</v>
      </c>
      <c r="R7170">
        <v>-0.9958205</v>
      </c>
      <c r="S7170">
        <v>-4.7302249999999997E-2</v>
      </c>
      <c r="T7170">
        <v>-6.4770220000000003E-2</v>
      </c>
      <c r="U7170">
        <v>-3.0165410000000001</v>
      </c>
      <c r="V7170">
        <v>-9.8031080000000007E-2</v>
      </c>
      <c r="W7170">
        <v>9.9622489999999994E-2</v>
      </c>
      <c r="X7170">
        <v>0.99018450000000002</v>
      </c>
      <c r="Y7170">
        <v>-0.1113415</v>
      </c>
      <c r="Z7170">
        <v>7.5503219999999999E-3</v>
      </c>
      <c r="AA7170">
        <v>0.99375360000000001</v>
      </c>
      <c r="AB7170">
        <v>20</v>
      </c>
      <c r="AC7170">
        <v>-0.79849999999999</v>
      </c>
      <c r="AD7170">
        <v>-1.1233718925659999</v>
      </c>
      <c r="AE7170">
        <v>-52.120379999999997</v>
      </c>
      <c r="AF7170">
        <v>-5.8211849226792003</v>
      </c>
      <c r="AG7170">
        <v>-1.1233718925659999</v>
      </c>
      <c r="AH7170">
        <v>51.7760876091086</v>
      </c>
      <c r="AI7170">
        <v>91.235156604405006</v>
      </c>
      <c r="AJ7170">
        <v>96.414825457392396</v>
      </c>
      <c r="AK7170">
        <v>52.114406898852103</v>
      </c>
      <c r="AL7170">
        <v>84.282568026531806</v>
      </c>
      <c r="AM7170">
        <v>95.654020321015906</v>
      </c>
      <c r="AN7170">
        <v>1.0000000386000001</v>
      </c>
    </row>
    <row r="7171" spans="1:40" x14ac:dyDescent="0.25">
      <c r="A7171" t="str">
        <f>"20190303162056473"</f>
        <v>20190303162056473</v>
      </c>
      <c r="B7171" t="str">
        <f>"1551601256459502"</f>
        <v>1551601256459502</v>
      </c>
      <c r="C7171" t="s">
        <v>40</v>
      </c>
      <c r="D7171">
        <v>4.7033690000000004</v>
      </c>
      <c r="E7171">
        <v>0.49608950000000002</v>
      </c>
      <c r="F7171" t="s">
        <v>41</v>
      </c>
      <c r="G7171">
        <v>-421.28890000000001</v>
      </c>
      <c r="H7171" s="1">
        <v>-2.419575E-6</v>
      </c>
      <c r="I7171">
        <v>54.429789999999997</v>
      </c>
      <c r="J7171">
        <v>-420.24090000000001</v>
      </c>
      <c r="K7171">
        <v>1.1233310000000001</v>
      </c>
      <c r="L7171">
        <v>107.6233</v>
      </c>
      <c r="M7171">
        <v>-0.1234328</v>
      </c>
      <c r="N7171">
        <v>-1.359847E-2</v>
      </c>
      <c r="O7171">
        <v>-0.99225989999999997</v>
      </c>
      <c r="P7171">
        <v>-3.3499649999999999E-2</v>
      </c>
      <c r="Q7171">
        <v>8.5836549999999998E-2</v>
      </c>
      <c r="R7171">
        <v>-0.99574629999999997</v>
      </c>
      <c r="S7171">
        <v>-6.0394290000000003E-2</v>
      </c>
      <c r="T7171">
        <v>-6.3465599999999997E-2</v>
      </c>
      <c r="U7171">
        <v>-3.0163419999999999</v>
      </c>
      <c r="V7171">
        <v>-9.01143999999999E-2</v>
      </c>
      <c r="W7171">
        <v>9.8924049999999999E-2</v>
      </c>
      <c r="X7171">
        <v>0.99100630000000001</v>
      </c>
      <c r="Y7171">
        <v>-0.10353030000000001</v>
      </c>
      <c r="Z7171">
        <v>7.1555739999999996E-3</v>
      </c>
      <c r="AA7171">
        <v>0.99460059999999995</v>
      </c>
      <c r="AB7171">
        <v>20</v>
      </c>
      <c r="AC7171">
        <v>-1.048</v>
      </c>
      <c r="AD7171">
        <v>-1.12333341957499</v>
      </c>
      <c r="AE7171">
        <v>-53.193510000000003</v>
      </c>
      <c r="AF7171">
        <v>-5.5239831731448099</v>
      </c>
      <c r="AG7171">
        <v>-1.12333341957499</v>
      </c>
      <c r="AH7171">
        <v>52.892450791012799</v>
      </c>
      <c r="AI7171">
        <v>91.210089171388205</v>
      </c>
      <c r="AJ7171">
        <v>95.962243498948993</v>
      </c>
      <c r="AK7171">
        <v>53.191988294746302</v>
      </c>
      <c r="AL7171">
        <v>84.322784299622796</v>
      </c>
      <c r="AM7171">
        <v>95.195743076108897</v>
      </c>
      <c r="AN7171">
        <v>1.0000000296977201</v>
      </c>
    </row>
    <row r="7172" spans="1:40" x14ac:dyDescent="0.25">
      <c r="A7172" t="str">
        <f>"20190303162056495"</f>
        <v>20190303162056495</v>
      </c>
      <c r="B7172" t="str">
        <f>"1551601256489758"</f>
        <v>1551601256489758</v>
      </c>
      <c r="C7172" t="s">
        <v>40</v>
      </c>
      <c r="D7172">
        <v>4.7244510000000002</v>
      </c>
      <c r="E7172">
        <v>0.49605749999999998</v>
      </c>
      <c r="F7172" t="s">
        <v>41</v>
      </c>
      <c r="G7172">
        <v>-421.46460000000002</v>
      </c>
      <c r="H7172" s="1">
        <v>-3.4028740000000002E-6</v>
      </c>
      <c r="I7172">
        <v>56.61289</v>
      </c>
      <c r="J7172">
        <v>-420.26069999999999</v>
      </c>
      <c r="K7172">
        <v>1.123292</v>
      </c>
      <c r="L7172">
        <v>107.4315</v>
      </c>
      <c r="M7172">
        <v>-0.1200899</v>
      </c>
      <c r="N7172">
        <v>-1.3593900000000001E-2</v>
      </c>
      <c r="O7172">
        <v>-0.9926701</v>
      </c>
      <c r="P7172">
        <v>-3.8417899999999998E-2</v>
      </c>
      <c r="Q7172">
        <v>8.4539329999999996E-2</v>
      </c>
      <c r="R7172">
        <v>-0.99567939999999999</v>
      </c>
      <c r="S7172">
        <v>-7.2357179999999993E-2</v>
      </c>
      <c r="T7172">
        <v>-6.6419839999999994E-2</v>
      </c>
      <c r="U7172">
        <v>-3.0161129999999998</v>
      </c>
      <c r="V7172">
        <v>-8.1867019999999999E-2</v>
      </c>
      <c r="W7172">
        <v>9.7677470000000002E-2</v>
      </c>
      <c r="X7172">
        <v>0.99184519999999998</v>
      </c>
      <c r="Y7172">
        <v>-9.6234169999999994E-2</v>
      </c>
      <c r="Z7172">
        <v>8.1502239999999993E-3</v>
      </c>
      <c r="AA7172">
        <v>0.99532529999999997</v>
      </c>
      <c r="AB7172">
        <v>20</v>
      </c>
      <c r="AC7172">
        <v>-1.2039000000000299</v>
      </c>
      <c r="AD7172">
        <v>-1.1232954028740001</v>
      </c>
      <c r="AE7172">
        <v>-50.81861</v>
      </c>
      <c r="AF7172">
        <v>-4.9057834714871502</v>
      </c>
      <c r="AG7172">
        <v>-1.1232954028740001</v>
      </c>
      <c r="AH7172">
        <v>50.570663908999698</v>
      </c>
      <c r="AI7172">
        <v>91.266523561703707</v>
      </c>
      <c r="AJ7172">
        <v>95.540839190089898</v>
      </c>
      <c r="AK7172">
        <v>50.820473750529302</v>
      </c>
      <c r="AL7172">
        <v>84.394555508747999</v>
      </c>
      <c r="AM7172">
        <v>94.718504288735701</v>
      </c>
      <c r="AN7172">
        <v>0.99999999893615998</v>
      </c>
    </row>
    <row r="7173" spans="1:40" x14ac:dyDescent="0.25">
      <c r="A7173" t="str">
        <f>"20190303162056517"</f>
        <v>20190303162056517</v>
      </c>
      <c r="B7173" t="str">
        <f>"1551601256509277"</f>
        <v>1551601256509277</v>
      </c>
      <c r="C7173" t="s">
        <v>40</v>
      </c>
      <c r="D7173">
        <v>4.6946969999999997</v>
      </c>
      <c r="E7173">
        <v>0.49594850000000001</v>
      </c>
      <c r="F7173" t="s">
        <v>41</v>
      </c>
      <c r="G7173">
        <v>-421.6533</v>
      </c>
      <c r="H7173" s="1">
        <v>-4.3439390000000001E-6</v>
      </c>
      <c r="I7173">
        <v>58.889850000000003</v>
      </c>
      <c r="J7173">
        <v>-420.27969999999999</v>
      </c>
      <c r="K7173">
        <v>1.1232420000000001</v>
      </c>
      <c r="L7173">
        <v>107.2411</v>
      </c>
      <c r="M7173">
        <v>-0.11683979999999999</v>
      </c>
      <c r="N7173">
        <v>-1.358873E-2</v>
      </c>
      <c r="O7173">
        <v>-0.99305779999999999</v>
      </c>
      <c r="P7173">
        <v>-4.333219E-2</v>
      </c>
      <c r="Q7173">
        <v>8.4343089999999996E-2</v>
      </c>
      <c r="R7173">
        <v>-0.9954942</v>
      </c>
      <c r="S7173">
        <v>-8.6517330000000003E-2</v>
      </c>
      <c r="T7173">
        <v>-6.9783209999999998E-2</v>
      </c>
      <c r="U7173">
        <v>-3.0155789999999998</v>
      </c>
      <c r="V7173">
        <v>-7.3702320000000002E-2</v>
      </c>
      <c r="W7173">
        <v>9.7527989999999995E-2</v>
      </c>
      <c r="X7173">
        <v>0.99250000000000005</v>
      </c>
      <c r="Y7173">
        <v>-8.8299760000000005E-2</v>
      </c>
      <c r="Z7173">
        <v>9.2828670000000002E-3</v>
      </c>
      <c r="AA7173">
        <v>0.99605069999999996</v>
      </c>
      <c r="AB7173">
        <v>20</v>
      </c>
      <c r="AC7173">
        <v>-1.3736000000000099</v>
      </c>
      <c r="AD7173">
        <v>-1.1232463439389999</v>
      </c>
      <c r="AE7173">
        <v>-48.35125</v>
      </c>
      <c r="AF7173">
        <v>-4.2833721388865298</v>
      </c>
      <c r="AG7173">
        <v>-1.1232463439389999</v>
      </c>
      <c r="AH7173">
        <v>48.154558990155302</v>
      </c>
      <c r="AI7173">
        <v>91.330977634460297</v>
      </c>
      <c r="AJ7173">
        <v>95.083110271013993</v>
      </c>
      <c r="AK7173">
        <v>48.357734756352201</v>
      </c>
      <c r="AL7173">
        <v>84.403161150165104</v>
      </c>
      <c r="AM7173">
        <v>94.246947381368003</v>
      </c>
      <c r="AN7173">
        <v>0.999999995403411</v>
      </c>
    </row>
    <row r="7174" spans="1:40" x14ac:dyDescent="0.25">
      <c r="A7174" t="str">
        <f>"20190303162056539"</f>
        <v>20190303162056539</v>
      </c>
      <c r="B7174" t="str">
        <f>"1551601256529774"</f>
        <v>1551601256529774</v>
      </c>
      <c r="C7174" t="s">
        <v>40</v>
      </c>
      <c r="D7174">
        <v>4.7055069999999999</v>
      </c>
      <c r="E7174">
        <v>0.49577159999999898</v>
      </c>
      <c r="F7174" t="s">
        <v>41</v>
      </c>
      <c r="G7174">
        <v>-421.86500000000001</v>
      </c>
      <c r="H7174" s="1">
        <v>-4.5755240000000003E-6</v>
      </c>
      <c r="I7174">
        <v>59.460059999999999</v>
      </c>
      <c r="J7174">
        <v>-420.29860000000002</v>
      </c>
      <c r="K7174">
        <v>1.1231899999999999</v>
      </c>
      <c r="L7174">
        <v>107.048</v>
      </c>
      <c r="M7174">
        <v>-0.11362750000000001</v>
      </c>
      <c r="N7174">
        <v>-1.3582779999999999E-2</v>
      </c>
      <c r="O7174">
        <v>-0.99343060000000005</v>
      </c>
      <c r="P7174">
        <v>-4.7474000000000002E-2</v>
      </c>
      <c r="Q7174">
        <v>8.6283219999999994E-2</v>
      </c>
      <c r="R7174">
        <v>-0.9951392</v>
      </c>
      <c r="S7174">
        <v>-0.1000366</v>
      </c>
      <c r="T7174">
        <v>-7.0882559999999997E-2</v>
      </c>
      <c r="U7174">
        <v>-3.015228</v>
      </c>
      <c r="V7174">
        <v>-6.6327140000000007E-2</v>
      </c>
      <c r="W7174">
        <v>9.9507200000000004E-2</v>
      </c>
      <c r="X7174">
        <v>0.99282380000000003</v>
      </c>
      <c r="Y7174">
        <v>-8.0612600000000006E-2</v>
      </c>
      <c r="Z7174">
        <v>9.6733449999999999E-3</v>
      </c>
      <c r="AA7174">
        <v>0.99669859999999999</v>
      </c>
      <c r="AB7174">
        <v>20</v>
      </c>
      <c r="AC7174">
        <v>-1.56639999999998</v>
      </c>
      <c r="AD7174">
        <v>-1.12319457552399</v>
      </c>
      <c r="AE7174">
        <v>-47.587939999999897</v>
      </c>
      <c r="AF7174">
        <v>-3.8494020579728301</v>
      </c>
      <c r="AG7174">
        <v>-1.12319457552399</v>
      </c>
      <c r="AH7174">
        <v>47.431284176376799</v>
      </c>
      <c r="AI7174">
        <v>91.3520929889374</v>
      </c>
      <c r="AJ7174">
        <v>94.639810419634898</v>
      </c>
      <c r="AK7174">
        <v>47.600485090791103</v>
      </c>
      <c r="AL7174">
        <v>84.289206623425599</v>
      </c>
      <c r="AM7174">
        <v>93.822054433001696</v>
      </c>
      <c r="AN7174">
        <v>1.00000003509942</v>
      </c>
    </row>
    <row r="7175" spans="1:40" x14ac:dyDescent="0.25">
      <c r="A7175" t="str">
        <f>"20190303162056561"</f>
        <v>20190303162056561</v>
      </c>
      <c r="B7175" t="str">
        <f>"1551601256549294"</f>
        <v>1551601256549294</v>
      </c>
      <c r="C7175" t="s">
        <v>40</v>
      </c>
      <c r="D7175">
        <v>4.7165439999999998</v>
      </c>
      <c r="E7175">
        <v>0.49559999999999998</v>
      </c>
      <c r="F7175" t="s">
        <v>41</v>
      </c>
      <c r="G7175">
        <v>-422.22969999999998</v>
      </c>
      <c r="H7175" s="1">
        <v>-2.7143430000000001E-6</v>
      </c>
      <c r="I7175">
        <v>54.533389999999997</v>
      </c>
      <c r="J7175">
        <v>-420.31709999999998</v>
      </c>
      <c r="K7175">
        <v>1.1231199999999999</v>
      </c>
      <c r="L7175">
        <v>106.85169999999999</v>
      </c>
      <c r="M7175">
        <v>-0.1104701</v>
      </c>
      <c r="N7175">
        <v>-1.357595E-2</v>
      </c>
      <c r="O7175">
        <v>-0.99378679999999997</v>
      </c>
      <c r="P7175">
        <v>-4.6907249999999998E-2</v>
      </c>
      <c r="Q7175">
        <v>8.7892990000000004E-2</v>
      </c>
      <c r="R7175">
        <v>-0.99502520000000005</v>
      </c>
      <c r="S7175">
        <v>-0.11087039999999999</v>
      </c>
      <c r="T7175">
        <v>-6.4484360000000004E-2</v>
      </c>
      <c r="U7175">
        <v>-3.0149539999999999</v>
      </c>
      <c r="V7175">
        <v>-6.3706009999999993E-2</v>
      </c>
      <c r="W7175">
        <v>0.1011326</v>
      </c>
      <c r="X7175">
        <v>0.99283120000000002</v>
      </c>
      <c r="Y7175">
        <v>-7.3865410000000006E-2</v>
      </c>
      <c r="Z7175">
        <v>7.60355199999999E-3</v>
      </c>
      <c r="AA7175">
        <v>0.99723919999999999</v>
      </c>
      <c r="AB7175">
        <v>20</v>
      </c>
      <c r="AC7175">
        <v>-1.9125999999999901</v>
      </c>
      <c r="AD7175">
        <v>-1.123122714343</v>
      </c>
      <c r="AE7175">
        <v>-52.318309999999897</v>
      </c>
      <c r="AF7175">
        <v>-3.8774650151551802</v>
      </c>
      <c r="AG7175">
        <v>-1.123122714343</v>
      </c>
      <c r="AH7175">
        <v>52.185321655790297</v>
      </c>
      <c r="AI7175">
        <v>91.229530439926293</v>
      </c>
      <c r="AJ7175">
        <v>94.2493729509345</v>
      </c>
      <c r="AK7175">
        <v>52.341225968575898</v>
      </c>
      <c r="AL7175">
        <v>84.195605803817202</v>
      </c>
      <c r="AM7175">
        <v>93.671407961174793</v>
      </c>
      <c r="AN7175">
        <v>1.00000002509315</v>
      </c>
    </row>
    <row r="7176" spans="1:40" x14ac:dyDescent="0.25">
      <c r="A7176" t="str">
        <f>"20190303162056584"</f>
        <v>20190303162056584</v>
      </c>
      <c r="B7176" t="str">
        <f>"1551601256569790"</f>
        <v>1551601256569790</v>
      </c>
      <c r="C7176" t="s">
        <v>40</v>
      </c>
      <c r="D7176">
        <v>4.691503</v>
      </c>
      <c r="E7176">
        <v>0.49537720000000002</v>
      </c>
      <c r="F7176" t="s">
        <v>41</v>
      </c>
      <c r="G7176">
        <v>-422.3723</v>
      </c>
      <c r="H7176" s="1">
        <v>-7.6279229999999899E-7</v>
      </c>
      <c r="I7176">
        <v>49.895820000000001</v>
      </c>
      <c r="J7176">
        <v>-420.33460000000002</v>
      </c>
      <c r="K7176">
        <v>1.1230370000000001</v>
      </c>
      <c r="L7176">
        <v>106.66200000000001</v>
      </c>
      <c r="M7176">
        <v>-0.10754900000000001</v>
      </c>
      <c r="N7176">
        <v>-1.356862E-2</v>
      </c>
      <c r="O7176">
        <v>-0.99410710000000002</v>
      </c>
      <c r="P7176">
        <v>-4.920596E-2</v>
      </c>
      <c r="Q7176">
        <v>8.8636499999999993E-2</v>
      </c>
      <c r="R7176">
        <v>-0.99484779999999995</v>
      </c>
      <c r="S7176">
        <v>-0.10879519999999999</v>
      </c>
      <c r="T7176">
        <v>-5.9455279999999999E-2</v>
      </c>
      <c r="U7176">
        <v>-3.0151059999999998</v>
      </c>
      <c r="V7176">
        <v>-5.8460709999999999E-2</v>
      </c>
      <c r="W7176">
        <v>0.1019053</v>
      </c>
      <c r="X7176">
        <v>0.99307480000000004</v>
      </c>
      <c r="Y7176">
        <v>-7.1622710000000006E-2</v>
      </c>
      <c r="Z7176">
        <v>5.9707759999999997E-3</v>
      </c>
      <c r="AA7176">
        <v>0.99741389999999996</v>
      </c>
      <c r="AB7176">
        <v>20</v>
      </c>
      <c r="AC7176">
        <v>-2.0376999999999699</v>
      </c>
      <c r="AD7176">
        <v>-1.1230377627923001</v>
      </c>
      <c r="AE7176">
        <v>-56.766179999999999</v>
      </c>
      <c r="AF7176">
        <v>-4.0782356756167504</v>
      </c>
      <c r="AG7176">
        <v>-1.1230377627923001</v>
      </c>
      <c r="AH7176">
        <v>56.633898483375603</v>
      </c>
      <c r="AI7176">
        <v>91.133080597089204</v>
      </c>
      <c r="AJ7176">
        <v>94.118788537590504</v>
      </c>
      <c r="AK7176">
        <v>56.791651476848401</v>
      </c>
      <c r="AL7176">
        <v>84.151103006767499</v>
      </c>
      <c r="AM7176">
        <v>93.369021849931599</v>
      </c>
      <c r="AN7176">
        <v>0.99999995158841504</v>
      </c>
    </row>
    <row r="7177" spans="1:40" x14ac:dyDescent="0.25">
      <c r="A7177" t="str">
        <f>"20190303162056600"</f>
        <v>20190303162056600</v>
      </c>
      <c r="B7177" t="str">
        <f>"1551601256589310"</f>
        <v>1551601256589310</v>
      </c>
      <c r="C7177" t="s">
        <v>40</v>
      </c>
      <c r="D7177">
        <v>4.8638830000000004</v>
      </c>
      <c r="E7177">
        <v>0.49529810000000002</v>
      </c>
      <c r="F7177" t="s">
        <v>41</v>
      </c>
      <c r="G7177">
        <v>-422.60059999999999</v>
      </c>
      <c r="H7177" s="1">
        <v>-3.9647980000000001E-6</v>
      </c>
      <c r="I7177">
        <v>47.281979999999997</v>
      </c>
      <c r="J7177">
        <v>-420.34710000000001</v>
      </c>
      <c r="K7177">
        <v>1.122957</v>
      </c>
      <c r="L7177">
        <v>106.5239</v>
      </c>
      <c r="M7177">
        <v>-0.1055378</v>
      </c>
      <c r="N7177">
        <v>-1.356272E-2</v>
      </c>
      <c r="O7177">
        <v>-0.99432279999999995</v>
      </c>
      <c r="P7177">
        <v>-4.9487370000000003E-2</v>
      </c>
      <c r="Q7177">
        <v>8.8711890000000002E-2</v>
      </c>
      <c r="R7177">
        <v>-0.99482729999999997</v>
      </c>
      <c r="S7177">
        <v>-0.1150513</v>
      </c>
      <c r="T7177">
        <v>-5.7020899999999999E-2</v>
      </c>
      <c r="U7177">
        <v>-3.0149379999999999</v>
      </c>
      <c r="V7177">
        <v>-5.614823E-2</v>
      </c>
      <c r="W7177">
        <v>0.101996</v>
      </c>
      <c r="X7177">
        <v>0.99319900000000005</v>
      </c>
      <c r="Y7177">
        <v>-6.7536730000000003E-2</v>
      </c>
      <c r="Z7177">
        <v>5.1880219999999996E-3</v>
      </c>
      <c r="AA7177">
        <v>0.99770329999999996</v>
      </c>
      <c r="AB7177">
        <v>20</v>
      </c>
      <c r="AC7177">
        <v>-2.2534999999999701</v>
      </c>
      <c r="AD7177">
        <v>-1.1229609647979999</v>
      </c>
      <c r="AE7177">
        <v>-59.241919999999901</v>
      </c>
      <c r="AF7177">
        <v>-4.0104855414558598</v>
      </c>
      <c r="AG7177">
        <v>-1.1229609647979999</v>
      </c>
      <c r="AH7177">
        <v>59.127646894730702</v>
      </c>
      <c r="AI7177">
        <v>91.085545457711703</v>
      </c>
      <c r="AJ7177">
        <v>93.880291150445004</v>
      </c>
      <c r="AK7177">
        <v>59.274139917122703</v>
      </c>
      <c r="AL7177">
        <v>84.145879524309706</v>
      </c>
      <c r="AM7177">
        <v>93.235641580408796</v>
      </c>
      <c r="AN7177">
        <v>1.00000003067456</v>
      </c>
    </row>
    <row r="7178" spans="1:40" x14ac:dyDescent="0.25">
      <c r="A7178" t="str">
        <f>"20190303162056615"</f>
        <v>20190303162056615</v>
      </c>
      <c r="B7178" t="str">
        <f>"1551601256609805"</f>
        <v>1551601256609805</v>
      </c>
      <c r="C7178" t="s">
        <v>40</v>
      </c>
      <c r="D7178">
        <v>4.9206269999999996</v>
      </c>
      <c r="E7178">
        <v>0.48687550000000002</v>
      </c>
      <c r="F7178" t="s">
        <v>41</v>
      </c>
      <c r="G7178">
        <v>-422.64</v>
      </c>
      <c r="H7178" s="1">
        <v>-3.8175599999999901E-6</v>
      </c>
      <c r="I7178">
        <v>46.850560000000002</v>
      </c>
      <c r="J7178">
        <v>-420.35899999999998</v>
      </c>
      <c r="K7178">
        <v>1.122868</v>
      </c>
      <c r="L7178">
        <v>106.3897</v>
      </c>
      <c r="M7178">
        <v>-0.10367410000000001</v>
      </c>
      <c r="N7178">
        <v>-1.355657E-2</v>
      </c>
      <c r="O7178">
        <v>-0.99451880000000004</v>
      </c>
      <c r="P7178">
        <v>-4.9813940000000001E-2</v>
      </c>
      <c r="Q7178">
        <v>8.80055E-2</v>
      </c>
      <c r="R7178">
        <v>-0.99487380000000003</v>
      </c>
      <c r="S7178">
        <v>-0.11584469999999999</v>
      </c>
      <c r="T7178">
        <v>-5.6735870000000001E-2</v>
      </c>
      <c r="U7178">
        <v>-3.0149080000000001</v>
      </c>
      <c r="V7178">
        <v>-5.3939769999999998E-2</v>
      </c>
      <c r="W7178">
        <v>0.1013053</v>
      </c>
      <c r="X7178">
        <v>0.9933921</v>
      </c>
      <c r="Y7178">
        <v>-6.5404589999999999E-2</v>
      </c>
      <c r="Z7178">
        <v>5.1072409999999898E-3</v>
      </c>
      <c r="AA7178">
        <v>0.9978458</v>
      </c>
      <c r="AB7178">
        <v>20</v>
      </c>
      <c r="AC7178">
        <v>-2.2809999999999402</v>
      </c>
      <c r="AD7178">
        <v>-1.1228718175600001</v>
      </c>
      <c r="AE7178">
        <v>-59.539140000000003</v>
      </c>
      <c r="AF7178">
        <v>-3.9031424560299999</v>
      </c>
      <c r="AG7178">
        <v>-1.1228718175600001</v>
      </c>
      <c r="AH7178">
        <v>59.4336377181938</v>
      </c>
      <c r="AI7178">
        <v>91.0800268430675</v>
      </c>
      <c r="AJ7178">
        <v>93.757349007868697</v>
      </c>
      <c r="AK7178">
        <v>59.572247352003203</v>
      </c>
      <c r="AL7178">
        <v>84.185659965585799</v>
      </c>
      <c r="AM7178">
        <v>93.108026763765196</v>
      </c>
      <c r="AN7178">
        <v>1.00000006346907</v>
      </c>
    </row>
    <row r="7179" spans="1:40" x14ac:dyDescent="0.25">
      <c r="A7179" t="str">
        <f>"20190303162056629"</f>
        <v>20190303162056629</v>
      </c>
      <c r="B7179" t="str">
        <f>"1551601256619566"</f>
        <v>1551601256619566</v>
      </c>
      <c r="C7179" t="s">
        <v>40</v>
      </c>
      <c r="D7179">
        <v>4.7122549999999999</v>
      </c>
      <c r="E7179">
        <v>0.4867051</v>
      </c>
      <c r="F7179" t="s">
        <v>62</v>
      </c>
      <c r="G7179">
        <v>-421.63139999999999</v>
      </c>
      <c r="H7179" s="1">
        <v>-5.8881560000000003E-6</v>
      </c>
      <c r="I7179">
        <v>29.452359999999999</v>
      </c>
      <c r="J7179">
        <v>-420.36959999999999</v>
      </c>
      <c r="K7179">
        <v>1.1227819999999999</v>
      </c>
      <c r="L7179">
        <v>106.2702</v>
      </c>
      <c r="M7179">
        <v>-0.1020923</v>
      </c>
      <c r="N7179">
        <v>-1.3550889999999999E-2</v>
      </c>
      <c r="O7179">
        <v>-0.99468270000000003</v>
      </c>
      <c r="P7179">
        <v>-5.1896320000000003E-2</v>
      </c>
      <c r="Q7179">
        <v>8.7572189999999994E-2</v>
      </c>
      <c r="R7179">
        <v>-0.99480559999999996</v>
      </c>
      <c r="S7179">
        <v>-4.9896240000000001E-2</v>
      </c>
      <c r="T7179">
        <v>-4.4030069999999998E-2</v>
      </c>
      <c r="U7179">
        <v>-3.016861</v>
      </c>
      <c r="V7179">
        <v>-5.0257669999999997E-2</v>
      </c>
      <c r="W7179">
        <v>0.1008921</v>
      </c>
      <c r="X7179">
        <v>0.99362720000000004</v>
      </c>
      <c r="Y7179">
        <v>-8.5620909999999995E-2</v>
      </c>
      <c r="Z7179">
        <v>9.1165409999999995E-4</v>
      </c>
      <c r="AA7179">
        <v>0.99632730000000003</v>
      </c>
      <c r="AB7179">
        <v>20</v>
      </c>
      <c r="AC7179">
        <v>-1.26179999999999</v>
      </c>
      <c r="AD7179">
        <v>-1.1227878881559901</v>
      </c>
      <c r="AE7179">
        <v>-76.817840000000004</v>
      </c>
      <c r="AF7179">
        <v>-6.58661702848375</v>
      </c>
      <c r="AG7179">
        <v>-1.1227878881559901</v>
      </c>
      <c r="AH7179">
        <v>76.528874680414901</v>
      </c>
      <c r="AI7179">
        <v>90.837455031833798</v>
      </c>
      <c r="AJ7179">
        <v>94.919158234186597</v>
      </c>
      <c r="AK7179">
        <v>76.820002840226095</v>
      </c>
      <c r="AL7179">
        <v>84.209456315073894</v>
      </c>
      <c r="AM7179">
        <v>92.895553301923599</v>
      </c>
      <c r="AN7179">
        <v>1.0000000309080299</v>
      </c>
    </row>
    <row r="7180" spans="1:40" x14ac:dyDescent="0.25">
      <c r="A7180" t="str">
        <f>"20190303162056651"</f>
        <v>20190303162056651</v>
      </c>
      <c r="B7180" t="str">
        <f>"1551601256640062"</f>
        <v>1551601256640062</v>
      </c>
      <c r="C7180" t="s">
        <v>40</v>
      </c>
      <c r="D7180">
        <v>4.8760719999999997</v>
      </c>
      <c r="E7180">
        <v>0.48717680000000002</v>
      </c>
      <c r="F7180" t="s">
        <v>62</v>
      </c>
      <c r="G7180">
        <v>-421.66359999999997</v>
      </c>
      <c r="H7180" s="1">
        <v>-2.2073430000000002E-6</v>
      </c>
      <c r="I7180">
        <v>36.514809999999997</v>
      </c>
      <c r="J7180">
        <v>-420.38639999999998</v>
      </c>
      <c r="K7180">
        <v>1.1226339999999999</v>
      </c>
      <c r="L7180">
        <v>106.0763</v>
      </c>
      <c r="M7180">
        <v>-9.9732959999999996E-2</v>
      </c>
      <c r="N7180">
        <v>-1.354123E-2</v>
      </c>
      <c r="O7180">
        <v>-0.99492199999999997</v>
      </c>
      <c r="P7180">
        <v>-5.1189020000000002E-2</v>
      </c>
      <c r="Q7180">
        <v>8.7730230000000006E-2</v>
      </c>
      <c r="R7180">
        <v>-0.9948283</v>
      </c>
      <c r="S7180">
        <v>-5.5969240000000003E-2</v>
      </c>
      <c r="T7180">
        <v>-4.856241E-2</v>
      </c>
      <c r="U7180">
        <v>-3.0170439999999998</v>
      </c>
      <c r="V7180">
        <v>-4.856717E-2</v>
      </c>
      <c r="W7180">
        <v>0.1010643</v>
      </c>
      <c r="X7180">
        <v>0.99369370000000001</v>
      </c>
      <c r="Y7180">
        <v>-8.1253329999999999E-2</v>
      </c>
      <c r="Z7180">
        <v>2.4172220000000001E-3</v>
      </c>
      <c r="AA7180">
        <v>0.99669059999999998</v>
      </c>
      <c r="AB7180">
        <v>20</v>
      </c>
      <c r="AC7180">
        <v>-1.2771999999999899</v>
      </c>
      <c r="AD7180">
        <v>-1.1226362073429901</v>
      </c>
      <c r="AE7180">
        <v>-69.561490000000006</v>
      </c>
      <c r="AF7180">
        <v>-5.6659038289997303</v>
      </c>
      <c r="AG7180">
        <v>-1.1226362073429901</v>
      </c>
      <c r="AH7180">
        <v>69.323949863377393</v>
      </c>
      <c r="AI7180">
        <v>90.924687453745094</v>
      </c>
      <c r="AJ7180">
        <v>94.672446105558294</v>
      </c>
      <c r="AK7180">
        <v>69.564163208606104</v>
      </c>
      <c r="AL7180">
        <v>84.199538915317007</v>
      </c>
      <c r="AM7180">
        <v>92.798127093091395</v>
      </c>
      <c r="AN7180">
        <v>0.99999996607799302</v>
      </c>
    </row>
    <row r="7181" spans="1:40" x14ac:dyDescent="0.25">
      <c r="A7181" t="str">
        <f>"20190303162056675"</f>
        <v>20190303162056675</v>
      </c>
      <c r="B7181" t="str">
        <f>"1551601256659582"</f>
        <v>1551601256659582</v>
      </c>
      <c r="C7181" t="s">
        <v>40</v>
      </c>
      <c r="D7181">
        <v>4.9244879999999904</v>
      </c>
      <c r="E7181">
        <v>0.48823109999999997</v>
      </c>
      <c r="F7181" t="s">
        <v>41</v>
      </c>
      <c r="G7181">
        <v>-421.50439999999998</v>
      </c>
      <c r="H7181" s="1">
        <v>-4.1120440000000001E-6</v>
      </c>
      <c r="I7181">
        <v>48.286050000000003</v>
      </c>
      <c r="J7181">
        <v>-420.40339999999998</v>
      </c>
      <c r="K7181">
        <v>1.1224769999999999</v>
      </c>
      <c r="L7181">
        <v>105.87909999999999</v>
      </c>
      <c r="M7181">
        <v>-9.758675E-2</v>
      </c>
      <c r="N7181">
        <v>-1.3531349999999999E-2</v>
      </c>
      <c r="O7181">
        <v>-0.99513510000000005</v>
      </c>
      <c r="P7181">
        <v>-4.8983470000000001E-2</v>
      </c>
      <c r="Q7181">
        <v>8.9224049999999999E-2</v>
      </c>
      <c r="R7181">
        <v>-0.99480630000000003</v>
      </c>
      <c r="S7181">
        <v>-5.8380130000000002E-2</v>
      </c>
      <c r="T7181">
        <v>-5.8623309999999998E-2</v>
      </c>
      <c r="U7181">
        <v>-3.0177610000000001</v>
      </c>
      <c r="V7181">
        <v>-4.8578160000000002E-2</v>
      </c>
      <c r="W7181">
        <v>0.10256469999999999</v>
      </c>
      <c r="X7181">
        <v>0.99353950000000002</v>
      </c>
      <c r="Y7181">
        <v>-7.8310679999999994E-2</v>
      </c>
      <c r="Z7181">
        <v>5.7340159999999998E-3</v>
      </c>
      <c r="AA7181">
        <v>0.99691249999999998</v>
      </c>
      <c r="AB7181">
        <v>19</v>
      </c>
      <c r="AC7181">
        <v>-1.10099999999999</v>
      </c>
      <c r="AD7181">
        <v>-1.1224811120439999</v>
      </c>
      <c r="AE7181">
        <v>-57.593049999999899</v>
      </c>
      <c r="AF7181">
        <v>-4.5233712009448697</v>
      </c>
      <c r="AG7181">
        <v>-1.1224811120439999</v>
      </c>
      <c r="AH7181">
        <v>57.403764938784903</v>
      </c>
      <c r="AI7181">
        <v>91.116765857265094</v>
      </c>
      <c r="AJ7181">
        <v>94.505551962176199</v>
      </c>
      <c r="AK7181">
        <v>57.592647794798502</v>
      </c>
      <c r="AL7181">
        <v>84.113123725075994</v>
      </c>
      <c r="AM7181">
        <v>92.799192943557102</v>
      </c>
      <c r="AN7181">
        <v>1.00000004668766</v>
      </c>
    </row>
    <row r="7182" spans="1:40" x14ac:dyDescent="0.25">
      <c r="A7182" t="str">
        <f>"20190303162056695"</f>
        <v>20190303162056695</v>
      </c>
      <c r="B7182" t="str">
        <f>"1551601256689838"</f>
        <v>1551601256689838</v>
      </c>
      <c r="C7182" t="s">
        <v>40</v>
      </c>
      <c r="D7182">
        <v>4.7155389999999997</v>
      </c>
      <c r="E7182">
        <v>0.48842920000000001</v>
      </c>
      <c r="F7182" t="s">
        <v>41</v>
      </c>
      <c r="G7182">
        <v>-421.64909999999998</v>
      </c>
      <c r="H7182" s="1">
        <v>-2.5604760000000001E-6</v>
      </c>
      <c r="I7182">
        <v>44.534820000000003</v>
      </c>
      <c r="J7182">
        <v>-420.4194</v>
      </c>
      <c r="K7182">
        <v>1.12232</v>
      </c>
      <c r="L7182">
        <v>105.6921</v>
      </c>
      <c r="M7182">
        <v>-9.5804E-2</v>
      </c>
      <c r="N7182">
        <v>-1.3522019999999999E-2</v>
      </c>
      <c r="O7182">
        <v>-0.99530850000000004</v>
      </c>
      <c r="P7182">
        <v>-4.5981790000000002E-2</v>
      </c>
      <c r="Q7182">
        <v>8.9658399999999999E-2</v>
      </c>
      <c r="R7182">
        <v>-0.99491070000000004</v>
      </c>
      <c r="S7182">
        <v>-6.1279300000000002E-2</v>
      </c>
      <c r="T7182">
        <v>-5.5216309999999998E-2</v>
      </c>
      <c r="U7182">
        <v>-3.0176090000000002</v>
      </c>
      <c r="V7182">
        <v>-4.9755500000000001E-2</v>
      </c>
      <c r="W7182">
        <v>0.103004399999999</v>
      </c>
      <c r="X7182">
        <v>0.99343570000000003</v>
      </c>
      <c r="Y7182">
        <v>-7.5567259999999997E-2</v>
      </c>
      <c r="Z7182">
        <v>4.632499E-3</v>
      </c>
      <c r="AA7182">
        <v>0.99712990000000001</v>
      </c>
      <c r="AB7182">
        <v>19</v>
      </c>
      <c r="AC7182">
        <v>-1.22969999999997</v>
      </c>
      <c r="AD7182">
        <v>-1.1223225604760001</v>
      </c>
      <c r="AE7182">
        <v>-61.157279999999901</v>
      </c>
      <c r="AF7182">
        <v>-4.6340444054327499</v>
      </c>
      <c r="AG7182">
        <v>-1.1223225604760001</v>
      </c>
      <c r="AH7182">
        <v>60.973213358026399</v>
      </c>
      <c r="AI7182">
        <v>91.051481910691507</v>
      </c>
      <c r="AJ7182">
        <v>94.346199275618304</v>
      </c>
      <c r="AK7182">
        <v>61.1593551526231</v>
      </c>
      <c r="AL7182">
        <v>84.087796371935596</v>
      </c>
      <c r="AM7182">
        <v>92.867221375435506</v>
      </c>
      <c r="AN7182">
        <v>1.00000000311705</v>
      </c>
    </row>
    <row r="7183" spans="1:40" x14ac:dyDescent="0.25">
      <c r="A7183" t="str">
        <f>"20190303162056717"</f>
        <v>20190303162056717</v>
      </c>
      <c r="B7183" t="str">
        <f>"1551601256709358"</f>
        <v>1551601256709358</v>
      </c>
      <c r="C7183" t="s">
        <v>40</v>
      </c>
      <c r="D7183">
        <v>4.9363330000000003</v>
      </c>
      <c r="E7183">
        <v>0.48869119999999999</v>
      </c>
      <c r="F7183" t="s">
        <v>41</v>
      </c>
      <c r="G7183">
        <v>-421.60309999999998</v>
      </c>
      <c r="H7183" s="1">
        <v>-9.0551330000000002E-7</v>
      </c>
      <c r="I7183">
        <v>40.70561</v>
      </c>
      <c r="J7183">
        <v>-420.43520000000001</v>
      </c>
      <c r="K7183">
        <v>1.1221559999999999</v>
      </c>
      <c r="L7183">
        <v>105.5063</v>
      </c>
      <c r="M7183">
        <v>-9.4312010000000002E-2</v>
      </c>
      <c r="N7183">
        <v>-1.351275E-2</v>
      </c>
      <c r="O7183">
        <v>-0.99545119999999998</v>
      </c>
      <c r="P7183">
        <v>-4.2845189999999998E-2</v>
      </c>
      <c r="Q7183">
        <v>8.9672909999999995E-2</v>
      </c>
      <c r="R7183">
        <v>-0.99504990000000004</v>
      </c>
      <c r="S7183">
        <v>-5.4962160000000003E-2</v>
      </c>
      <c r="T7183">
        <v>-5.2112220000000001E-2</v>
      </c>
      <c r="U7183">
        <v>-3.017487</v>
      </c>
      <c r="V7183">
        <v>-5.1358819999999999E-2</v>
      </c>
      <c r="W7183">
        <v>0.1030262</v>
      </c>
      <c r="X7183">
        <v>0.99335180000000001</v>
      </c>
      <c r="Y7183">
        <v>-7.6158870000000004E-2</v>
      </c>
      <c r="Z7183">
        <v>3.6249030000000001E-3</v>
      </c>
      <c r="AA7183">
        <v>0.99708909999999995</v>
      </c>
      <c r="AB7183">
        <v>19</v>
      </c>
      <c r="AC7183">
        <v>-1.16789999999997</v>
      </c>
      <c r="AD7183">
        <v>-1.1221569055132901</v>
      </c>
      <c r="AE7183">
        <v>-64.800690000000003</v>
      </c>
      <c r="AF7183">
        <v>-4.9478633721150302</v>
      </c>
      <c r="AG7183">
        <v>-1.1221569055132901</v>
      </c>
      <c r="AH7183">
        <v>64.602590681300796</v>
      </c>
      <c r="AI7183">
        <v>90.9922310670907</v>
      </c>
      <c r="AJ7183">
        <v>94.379689981821898</v>
      </c>
      <c r="AK7183">
        <v>64.801507010295694</v>
      </c>
      <c r="AL7183">
        <v>84.086540401668103</v>
      </c>
      <c r="AM7183">
        <v>92.959702472116206</v>
      </c>
      <c r="AN7183">
        <v>0.99999996242073497</v>
      </c>
    </row>
    <row r="7184" spans="1:40" x14ac:dyDescent="0.25">
      <c r="A7184" t="str">
        <f>"20190303162056740"</f>
        <v>20190303162056740</v>
      </c>
      <c r="B7184" t="str">
        <f>"1551601256729854"</f>
        <v>1551601256729854</v>
      </c>
      <c r="C7184" t="s">
        <v>40</v>
      </c>
      <c r="D7184">
        <v>4.9291219999999996</v>
      </c>
      <c r="E7184">
        <v>0.48885149999999999</v>
      </c>
      <c r="F7184" t="s">
        <v>41</v>
      </c>
      <c r="G7184">
        <v>-421.47199999999998</v>
      </c>
      <c r="H7184" s="1">
        <v>-1.1473180000000001E-6</v>
      </c>
      <c r="I7184">
        <v>41.350529999999999</v>
      </c>
      <c r="J7184">
        <v>-420.45179999999999</v>
      </c>
      <c r="K7184">
        <v>1.1219589999999999</v>
      </c>
      <c r="L7184">
        <v>105.3135</v>
      </c>
      <c r="M7184">
        <v>-9.3088749999999998E-2</v>
      </c>
      <c r="N7184">
        <v>-1.3503319999999999E-2</v>
      </c>
      <c r="O7184">
        <v>-0.99556650000000002</v>
      </c>
      <c r="P7184">
        <v>-3.9595310000000002E-2</v>
      </c>
      <c r="Q7184">
        <v>8.9715249999999996E-2</v>
      </c>
      <c r="R7184">
        <v>-0.99518039999999997</v>
      </c>
      <c r="S7184">
        <v>-4.8767089999999999E-2</v>
      </c>
      <c r="T7184">
        <v>-5.2780870000000001E-2</v>
      </c>
      <c r="U7184">
        <v>-3.0175779999999999</v>
      </c>
      <c r="V7184">
        <v>-5.3335500000000001E-2</v>
      </c>
      <c r="W7184">
        <v>0.1030798</v>
      </c>
      <c r="X7184">
        <v>0.99324210000000002</v>
      </c>
      <c r="Y7184">
        <v>-7.6980320000000005E-2</v>
      </c>
      <c r="Z7184">
        <v>3.854826E-3</v>
      </c>
      <c r="AA7184">
        <v>0.9970251</v>
      </c>
      <c r="AB7184">
        <v>19</v>
      </c>
      <c r="AC7184">
        <v>-1.02019999999998</v>
      </c>
      <c r="AD7184">
        <v>-1.1219601473180001</v>
      </c>
      <c r="AE7184">
        <v>-63.962969999999999</v>
      </c>
      <c r="AF7184">
        <v>-4.93748625350125</v>
      </c>
      <c r="AG7184">
        <v>-1.1219601473180001</v>
      </c>
      <c r="AH7184">
        <v>63.760545329808998</v>
      </c>
      <c r="AI7184">
        <v>91.0050906310926</v>
      </c>
      <c r="AJ7184">
        <v>94.4280310191875</v>
      </c>
      <c r="AK7184">
        <v>63.961275048503403</v>
      </c>
      <c r="AL7184">
        <v>84.083453102817401</v>
      </c>
      <c r="AM7184">
        <v>93.073738894080194</v>
      </c>
      <c r="AN7184">
        <v>0.99999999497034997</v>
      </c>
    </row>
    <row r="7185" spans="1:40" x14ac:dyDescent="0.25">
      <c r="A7185" t="str">
        <f>"20190303162056763"</f>
        <v>20190303162056763</v>
      </c>
      <c r="B7185" t="str">
        <f>"1551601256749374"</f>
        <v>1551601256749374</v>
      </c>
      <c r="C7185" t="s">
        <v>40</v>
      </c>
      <c r="D7185">
        <v>4.9278719999999998</v>
      </c>
      <c r="E7185">
        <v>0.48909950000000002</v>
      </c>
      <c r="F7185" t="s">
        <v>41</v>
      </c>
      <c r="G7185">
        <v>-421.33620000000002</v>
      </c>
      <c r="H7185" s="1">
        <v>-1.005288E-6</v>
      </c>
      <c r="I7185">
        <v>41.103729999999999</v>
      </c>
      <c r="J7185">
        <v>-420.46859999999998</v>
      </c>
      <c r="K7185">
        <v>1.1217360000000001</v>
      </c>
      <c r="L7185">
        <v>105.1186</v>
      </c>
      <c r="M7185">
        <v>-9.2212240000000001E-2</v>
      </c>
      <c r="N7185">
        <v>-1.3494590000000001E-2</v>
      </c>
      <c r="O7185">
        <v>-0.99564810000000004</v>
      </c>
      <c r="P7185">
        <v>-3.7392979999999999E-2</v>
      </c>
      <c r="Q7185">
        <v>9.0529490000000004E-2</v>
      </c>
      <c r="R7185">
        <v>-0.99519170000000001</v>
      </c>
      <c r="S7185">
        <v>-4.1564940000000002E-2</v>
      </c>
      <c r="T7185">
        <v>-5.2728299999999999E-2</v>
      </c>
      <c r="U7185">
        <v>-3.017639</v>
      </c>
      <c r="V7185">
        <v>-5.4599050000000003E-2</v>
      </c>
      <c r="W7185">
        <v>0.10391069999999999</v>
      </c>
      <c r="X7185">
        <v>0.99308689999999999</v>
      </c>
      <c r="Y7185">
        <v>-7.8481549999999997E-2</v>
      </c>
      <c r="Z7185">
        <v>3.8457539999999998E-3</v>
      </c>
      <c r="AA7185">
        <v>0.99690809999999996</v>
      </c>
      <c r="AB7185">
        <v>19</v>
      </c>
      <c r="AC7185">
        <v>-0.86760000000003801</v>
      </c>
      <c r="AD7185">
        <v>-1.121737005288</v>
      </c>
      <c r="AE7185">
        <v>-64.014870000000002</v>
      </c>
      <c r="AF7185">
        <v>-5.0380416058564403</v>
      </c>
      <c r="AG7185">
        <v>-1.121737005288</v>
      </c>
      <c r="AH7185">
        <v>63.802500094094299</v>
      </c>
      <c r="AI7185">
        <v>91.004111110471001</v>
      </c>
      <c r="AJ7185">
        <v>94.514882808523296</v>
      </c>
      <c r="AK7185">
        <v>64.010930124380096</v>
      </c>
      <c r="AL7185">
        <v>84.035589277155495</v>
      </c>
      <c r="AM7185">
        <v>93.146903724332802</v>
      </c>
      <c r="AN7185">
        <v>1.0000000403935001</v>
      </c>
    </row>
    <row r="7186" spans="1:40" x14ac:dyDescent="0.25">
      <c r="A7186" t="str">
        <f>"20190303162056778"</f>
        <v>20190303162056778</v>
      </c>
      <c r="B7186" t="str">
        <f>"1551601256769870"</f>
        <v>1551601256769870</v>
      </c>
      <c r="C7186" t="s">
        <v>40</v>
      </c>
      <c r="D7186">
        <v>4.6869839999999998</v>
      </c>
      <c r="E7186">
        <v>0.4892147</v>
      </c>
      <c r="F7186" t="s">
        <v>62</v>
      </c>
      <c r="G7186">
        <v>-421.32069999999999</v>
      </c>
      <c r="H7186" s="1">
        <v>-2.129889E-6</v>
      </c>
      <c r="I7186">
        <v>36.56156</v>
      </c>
      <c r="J7186">
        <v>-420.4803</v>
      </c>
      <c r="K7186">
        <v>1.121572</v>
      </c>
      <c r="L7186">
        <v>104.9858</v>
      </c>
      <c r="M7186">
        <v>-9.1863399999999901E-2</v>
      </c>
      <c r="N7186">
        <v>-1.3489630000000001E-2</v>
      </c>
      <c r="O7186">
        <v>-0.99568020000000002</v>
      </c>
      <c r="P7186">
        <v>-3.6800850000000003E-2</v>
      </c>
      <c r="Q7186">
        <v>9.0512099999999998E-2</v>
      </c>
      <c r="R7186">
        <v>-0.99521519999999997</v>
      </c>
      <c r="S7186">
        <v>-3.7506100000000001E-2</v>
      </c>
      <c r="T7186">
        <v>-4.9373979999999998E-2</v>
      </c>
      <c r="U7186">
        <v>-3.0175779999999999</v>
      </c>
      <c r="V7186">
        <v>-5.4801250000000003E-2</v>
      </c>
      <c r="W7186">
        <v>0.103910199999999</v>
      </c>
      <c r="X7186">
        <v>0.99307579999999995</v>
      </c>
      <c r="Y7186">
        <v>-7.9472989999999993E-2</v>
      </c>
      <c r="Z7186">
        <v>2.7480809999999999E-3</v>
      </c>
      <c r="AA7186">
        <v>0.99683319999999997</v>
      </c>
      <c r="AB7186">
        <v>19</v>
      </c>
      <c r="AC7186">
        <v>-0.84039999999998805</v>
      </c>
      <c r="AD7186">
        <v>-1.1215741298890001</v>
      </c>
      <c r="AE7186">
        <v>-68.424239999999998</v>
      </c>
      <c r="AF7186">
        <v>-5.44794622200234</v>
      </c>
      <c r="AG7186">
        <v>-1.1215741298890001</v>
      </c>
      <c r="AH7186">
        <v>68.193752866874902</v>
      </c>
      <c r="AI7186">
        <v>90.939259563891994</v>
      </c>
      <c r="AJ7186">
        <v>94.567614756441699</v>
      </c>
      <c r="AK7186">
        <v>68.420216139932506</v>
      </c>
      <c r="AL7186">
        <v>84.035617992448493</v>
      </c>
      <c r="AM7186">
        <v>93.1585695247431</v>
      </c>
      <c r="AN7186">
        <v>1.0000000256056201</v>
      </c>
    </row>
    <row r="7187" spans="1:40" x14ac:dyDescent="0.25">
      <c r="A7187" t="str">
        <f>"20190303162056797"</f>
        <v>20190303162056797</v>
      </c>
      <c r="B7187" t="str">
        <f>"1551601256789390"</f>
        <v>1551601256789390</v>
      </c>
      <c r="C7187" t="s">
        <v>40</v>
      </c>
      <c r="D7187">
        <v>4.7133260000000003</v>
      </c>
      <c r="E7187">
        <v>0.48941980000000002</v>
      </c>
      <c r="F7187" t="s">
        <v>62</v>
      </c>
      <c r="G7187">
        <v>-421.35660000000001</v>
      </c>
      <c r="H7187" s="1">
        <v>-3.9465679999999996E-6</v>
      </c>
      <c r="I7187">
        <v>33.26446</v>
      </c>
      <c r="J7187">
        <v>-420.49450000000002</v>
      </c>
      <c r="K7187">
        <v>1.121375</v>
      </c>
      <c r="L7187">
        <v>104.8263</v>
      </c>
      <c r="M7187">
        <v>-9.1660809999999995E-2</v>
      </c>
      <c r="N7187">
        <v>-1.3484700000000001E-2</v>
      </c>
      <c r="O7187">
        <v>-0.99569909999999995</v>
      </c>
      <c r="P7187">
        <v>-3.6888070000000002E-2</v>
      </c>
      <c r="Q7187">
        <v>8.9353810000000006E-2</v>
      </c>
      <c r="R7187">
        <v>-0.9953168</v>
      </c>
      <c r="S7187">
        <v>-3.6865229999999999E-2</v>
      </c>
      <c r="T7187">
        <v>-4.7185419999999999E-2</v>
      </c>
      <c r="U7187">
        <v>-3.0173649999999999</v>
      </c>
      <c r="V7187">
        <v>-5.4471980000000003E-2</v>
      </c>
      <c r="W7187">
        <v>0.1027748</v>
      </c>
      <c r="X7187">
        <v>0.99321199999999998</v>
      </c>
      <c r="Y7187">
        <v>-7.9481339999999998E-2</v>
      </c>
      <c r="Z7187">
        <v>2.0351010000000001E-3</v>
      </c>
      <c r="AA7187">
        <v>0.99683429999999995</v>
      </c>
      <c r="AB7187">
        <v>19</v>
      </c>
      <c r="AC7187">
        <v>-0.86209999999999798</v>
      </c>
      <c r="AD7187">
        <v>-1.121378946568</v>
      </c>
      <c r="AE7187">
        <v>-71.561840000000004</v>
      </c>
      <c r="AF7187">
        <v>-5.7001422708294598</v>
      </c>
      <c r="AG7187">
        <v>-1.121378946568</v>
      </c>
      <c r="AH7187">
        <v>71.322047664809006</v>
      </c>
      <c r="AI7187">
        <v>90.897910555963506</v>
      </c>
      <c r="AJ7187">
        <v>94.569433946438593</v>
      </c>
      <c r="AK7187">
        <v>71.558253163075406</v>
      </c>
      <c r="AL7187">
        <v>84.101021455876094</v>
      </c>
      <c r="AM7187">
        <v>93.139199853528297</v>
      </c>
      <c r="AN7187">
        <v>0.99999996653207901</v>
      </c>
    </row>
    <row r="7188" spans="1:40" x14ac:dyDescent="0.25">
      <c r="A7188" t="str">
        <f>"20190303162056812"</f>
        <v>20190303162056812</v>
      </c>
      <c r="B7188" t="str">
        <f>"1551601256800126"</f>
        <v>1551601256800126</v>
      </c>
      <c r="C7188" t="s">
        <v>40</v>
      </c>
      <c r="D7188">
        <v>4.7398610000000003</v>
      </c>
      <c r="E7188">
        <v>0.48957139999999999</v>
      </c>
      <c r="F7188" t="s">
        <v>62</v>
      </c>
      <c r="G7188">
        <v>-421.37740000000002</v>
      </c>
      <c r="H7188" s="1">
        <v>-2.6427819999999998E-6</v>
      </c>
      <c r="I7188">
        <v>35.767069999999997</v>
      </c>
      <c r="J7188">
        <v>-420.50709999999998</v>
      </c>
      <c r="K7188">
        <v>1.1212089999999999</v>
      </c>
      <c r="L7188">
        <v>104.6884</v>
      </c>
      <c r="M7188">
        <v>-9.168693E-2</v>
      </c>
      <c r="N7188">
        <v>-1.348129E-2</v>
      </c>
      <c r="O7188">
        <v>-0.9956969</v>
      </c>
      <c r="P7188">
        <v>-3.6759689999999998E-2</v>
      </c>
      <c r="Q7188">
        <v>8.8413820000000004E-2</v>
      </c>
      <c r="R7188">
        <v>-0.99540589999999995</v>
      </c>
      <c r="S7188">
        <v>-3.8574219999999999E-2</v>
      </c>
      <c r="T7188">
        <v>-4.8990730000000003E-2</v>
      </c>
      <c r="U7188">
        <v>-3.0170590000000002</v>
      </c>
      <c r="V7188">
        <v>-5.4593669999999997E-2</v>
      </c>
      <c r="W7188">
        <v>0.1018546</v>
      </c>
      <c r="X7188">
        <v>0.99330010000000002</v>
      </c>
      <c r="Y7188">
        <v>-7.8941490000000003E-2</v>
      </c>
      <c r="Z7188">
        <v>2.6341440000000002E-3</v>
      </c>
      <c r="AA7188">
        <v>0.99687579999999998</v>
      </c>
      <c r="AB7188">
        <v>19</v>
      </c>
      <c r="AC7188">
        <v>-0.87030000000004204</v>
      </c>
      <c r="AD7188">
        <v>-1.121211642782</v>
      </c>
      <c r="AE7188">
        <v>-68.921329999999998</v>
      </c>
      <c r="AF7188">
        <v>-5.4516816516078501</v>
      </c>
      <c r="AG7188">
        <v>-1.121211642782</v>
      </c>
      <c r="AH7188">
        <v>68.692598471008694</v>
      </c>
      <c r="AI7188">
        <v>90.932177336246198</v>
      </c>
      <c r="AJ7188">
        <v>94.537679775860198</v>
      </c>
      <c r="AK7188">
        <v>68.917712041808301</v>
      </c>
      <c r="AL7188">
        <v>84.1540231375959</v>
      </c>
      <c r="AM7188">
        <v>93.145920240406795</v>
      </c>
      <c r="AN7188">
        <v>0.99999995850261802</v>
      </c>
    </row>
    <row r="7189" spans="1:40" x14ac:dyDescent="0.25">
      <c r="A7189" t="str">
        <f>"20190303162056830"</f>
        <v>20190303162056830</v>
      </c>
      <c r="B7189" t="str">
        <f>"1551601256819646"</f>
        <v>1551601256819646</v>
      </c>
      <c r="C7189" t="s">
        <v>40</v>
      </c>
      <c r="D7189">
        <v>4.7168299999999999</v>
      </c>
      <c r="E7189">
        <v>0.48941309999999899</v>
      </c>
      <c r="F7189" t="s">
        <v>62</v>
      </c>
      <c r="G7189">
        <v>-421.36900000000003</v>
      </c>
      <c r="H7189" s="1">
        <v>-6.9081059999999898E-7</v>
      </c>
      <c r="I7189">
        <v>38.836170000000003</v>
      </c>
      <c r="J7189">
        <v>-420.52069999999998</v>
      </c>
      <c r="K7189">
        <v>1.1210439999999999</v>
      </c>
      <c r="L7189">
        <v>104.5414</v>
      </c>
      <c r="M7189">
        <v>-9.1911839999999995E-2</v>
      </c>
      <c r="N7189">
        <v>-1.3478260000000001E-2</v>
      </c>
      <c r="O7189">
        <v>-0.99567589999999995</v>
      </c>
      <c r="P7189">
        <v>-3.5968260000000002E-2</v>
      </c>
      <c r="Q7189">
        <v>8.8063899999999903E-2</v>
      </c>
      <c r="R7189">
        <v>-0.99546520000000005</v>
      </c>
      <c r="S7189">
        <v>-3.9489749999999997E-2</v>
      </c>
      <c r="T7189">
        <v>-5.1366809999999999E-2</v>
      </c>
      <c r="U7189">
        <v>-3.016937</v>
      </c>
      <c r="V7189">
        <v>-5.557219E-2</v>
      </c>
      <c r="W7189">
        <v>0.101524</v>
      </c>
      <c r="X7189">
        <v>0.99327980000000005</v>
      </c>
      <c r="Y7189">
        <v>-7.8863320000000001E-2</v>
      </c>
      <c r="Z7189">
        <v>3.418637E-3</v>
      </c>
      <c r="AA7189">
        <v>0.99687959999999998</v>
      </c>
      <c r="AB7189">
        <v>19</v>
      </c>
      <c r="AC7189">
        <v>-0.84830000000005101</v>
      </c>
      <c r="AD7189">
        <v>-1.1210446908106</v>
      </c>
      <c r="AE7189">
        <v>-65.70523</v>
      </c>
      <c r="AF7189">
        <v>-5.1934171778859799</v>
      </c>
      <c r="AG7189">
        <v>-1.1210446908106</v>
      </c>
      <c r="AH7189">
        <v>65.485974794415</v>
      </c>
      <c r="AI7189">
        <v>90.977673080886703</v>
      </c>
      <c r="AJ7189">
        <v>94.534396910175403</v>
      </c>
      <c r="AK7189">
        <v>65.701150811512505</v>
      </c>
      <c r="AL7189">
        <v>84.173064513088804</v>
      </c>
      <c r="AM7189">
        <v>93.2022557321785</v>
      </c>
      <c r="AN7189">
        <v>1.0000000759827099</v>
      </c>
    </row>
    <row r="7190" spans="1:40" x14ac:dyDescent="0.25">
      <c r="A7190" t="str">
        <f>"20190303162056852"</f>
        <v>20190303162056852</v>
      </c>
      <c r="B7190" t="str">
        <f>"1551601256840142"</f>
        <v>1551601256840142</v>
      </c>
      <c r="C7190" t="s">
        <v>40</v>
      </c>
      <c r="D7190">
        <v>4.7362310000000001</v>
      </c>
      <c r="E7190">
        <v>0.48937069999999999</v>
      </c>
      <c r="F7190" t="s">
        <v>41</v>
      </c>
      <c r="G7190">
        <v>-421.30029999999999</v>
      </c>
      <c r="H7190" s="1">
        <v>-8.3915469999999899E-7</v>
      </c>
      <c r="I7190">
        <v>40.738720000000001</v>
      </c>
      <c r="J7190">
        <v>-420.53919999999999</v>
      </c>
      <c r="K7190">
        <v>1.1208640000000001</v>
      </c>
      <c r="L7190">
        <v>104.3467</v>
      </c>
      <c r="M7190">
        <v>-9.2537620000000001E-2</v>
      </c>
      <c r="N7190">
        <v>-1.347493E-2</v>
      </c>
      <c r="O7190">
        <v>-0.99561829999999996</v>
      </c>
      <c r="P7190">
        <v>-3.5343729999999997E-2</v>
      </c>
      <c r="Q7190">
        <v>8.9524870000000006E-2</v>
      </c>
      <c r="R7190">
        <v>-0.99535779999999996</v>
      </c>
      <c r="S7190">
        <v>-3.6865229999999999E-2</v>
      </c>
      <c r="T7190">
        <v>-5.3010700000000001E-2</v>
      </c>
      <c r="U7190">
        <v>-3.017029</v>
      </c>
      <c r="V7190">
        <v>-5.6759850000000001E-2</v>
      </c>
      <c r="W7190">
        <v>0.10300670000000001</v>
      </c>
      <c r="X7190">
        <v>0.9930599</v>
      </c>
      <c r="Y7190">
        <v>-8.0356639999999993E-2</v>
      </c>
      <c r="Z7190">
        <v>3.9588649999999998E-3</v>
      </c>
      <c r="AA7190">
        <v>0.99675829999999999</v>
      </c>
      <c r="AB7190">
        <v>19</v>
      </c>
      <c r="AC7190">
        <v>-0.761099999999999</v>
      </c>
      <c r="AD7190">
        <v>-1.12086483915469</v>
      </c>
      <c r="AE7190">
        <v>-63.607979999999998</v>
      </c>
      <c r="AF7190">
        <v>-5.1272382884622001</v>
      </c>
      <c r="AG7190">
        <v>-1.12086483915469</v>
      </c>
      <c r="AH7190">
        <v>63.385757975541502</v>
      </c>
      <c r="AI7190">
        <v>91.009771327664197</v>
      </c>
      <c r="AJ7190">
        <v>94.624554587616203</v>
      </c>
      <c r="AK7190">
        <v>63.602666804059801</v>
      </c>
      <c r="AL7190">
        <v>84.087663944987298</v>
      </c>
      <c r="AM7190">
        <v>93.271268311758305</v>
      </c>
      <c r="AN7190">
        <v>1.00000001290246</v>
      </c>
    </row>
    <row r="7191" spans="1:40" x14ac:dyDescent="0.25">
      <c r="A7191" t="str">
        <f>"20190303162056875"</f>
        <v>20190303162056875</v>
      </c>
      <c r="B7191" t="str">
        <f>"1551601256859662"</f>
        <v>1551601256859662</v>
      </c>
      <c r="C7191" t="s">
        <v>40</v>
      </c>
      <c r="D7191">
        <v>4.7206519999999896</v>
      </c>
      <c r="E7191">
        <v>0.48931039999999998</v>
      </c>
      <c r="F7191" t="s">
        <v>62</v>
      </c>
      <c r="G7191">
        <v>-421.33920000000001</v>
      </c>
      <c r="H7191" s="1">
        <v>-2.8786560000000001E-6</v>
      </c>
      <c r="I7191">
        <v>35.387609999999903</v>
      </c>
      <c r="J7191">
        <v>-420.55759999999998</v>
      </c>
      <c r="K7191">
        <v>1.1207240000000001</v>
      </c>
      <c r="L7191">
        <v>104.15730000000001</v>
      </c>
      <c r="M7191">
        <v>-9.345233E-2</v>
      </c>
      <c r="N7191">
        <v>-1.347246E-2</v>
      </c>
      <c r="O7191">
        <v>-0.9955328</v>
      </c>
      <c r="P7191">
        <v>-3.5714879999999997E-2</v>
      </c>
      <c r="Q7191">
        <v>9.1695109999999996E-2</v>
      </c>
      <c r="R7191">
        <v>-0.99514659999999999</v>
      </c>
      <c r="S7191">
        <v>-3.5003659999999999E-2</v>
      </c>
      <c r="T7191">
        <v>-4.9041029999999999E-2</v>
      </c>
      <c r="U7191">
        <v>-3.0171510000000001</v>
      </c>
      <c r="V7191">
        <v>-5.7241979999999998E-2</v>
      </c>
      <c r="W7191">
        <v>0.10519249999999999</v>
      </c>
      <c r="X7191">
        <v>0.99280299999999999</v>
      </c>
      <c r="Y7191">
        <v>-8.1888089999999997E-2</v>
      </c>
      <c r="Z7191">
        <v>2.6525939999999999E-3</v>
      </c>
      <c r="AA7191">
        <v>0.99663800000000002</v>
      </c>
      <c r="AB7191">
        <v>19</v>
      </c>
      <c r="AC7191">
        <v>-0.78160000000002505</v>
      </c>
      <c r="AD7191">
        <v>-1.1207268786560001</v>
      </c>
      <c r="AE7191">
        <v>-68.769689999999997</v>
      </c>
      <c r="AF7191">
        <v>-5.6475911647543597</v>
      </c>
      <c r="AG7191">
        <v>-1.1207268786560001</v>
      </c>
      <c r="AH7191">
        <v>68.523534775191806</v>
      </c>
      <c r="AI7191">
        <v>90.933843627437497</v>
      </c>
      <c r="AJ7191">
        <v>94.711570054529204</v>
      </c>
      <c r="AK7191">
        <v>68.765006600651802</v>
      </c>
      <c r="AL7191">
        <v>83.961742288207503</v>
      </c>
      <c r="AM7191">
        <v>93.299845800470806</v>
      </c>
      <c r="AN7191">
        <v>0.99999995156978405</v>
      </c>
    </row>
    <row r="7192" spans="1:40" x14ac:dyDescent="0.25">
      <c r="A7192" t="str">
        <f>"20190303162056896"</f>
        <v>20190303162056896</v>
      </c>
      <c r="B7192" t="str">
        <f>"1551601256889918"</f>
        <v>1551601256889918</v>
      </c>
      <c r="C7192" t="s">
        <v>40</v>
      </c>
      <c r="D7192">
        <v>4.7253579999999999</v>
      </c>
      <c r="E7192">
        <v>0.48930630000000003</v>
      </c>
      <c r="F7192" t="s">
        <v>62</v>
      </c>
      <c r="G7192">
        <v>-421.46949999999998</v>
      </c>
      <c r="H7192" s="1">
        <v>-7.6362990000000007E-6</v>
      </c>
      <c r="I7192">
        <v>25.137270000000001</v>
      </c>
      <c r="J7192">
        <v>-420.57650000000001</v>
      </c>
      <c r="K7192">
        <v>1.120593</v>
      </c>
      <c r="L7192">
        <v>103.9686</v>
      </c>
      <c r="M7192">
        <v>-9.4628169999999998E-2</v>
      </c>
      <c r="N7192">
        <v>-1.347103E-2</v>
      </c>
      <c r="O7192">
        <v>-0.99542160000000002</v>
      </c>
      <c r="P7192">
        <v>-3.579015E-2</v>
      </c>
      <c r="Q7192">
        <v>9.1275789999999996E-2</v>
      </c>
      <c r="R7192">
        <v>-0.99518249999999997</v>
      </c>
      <c r="S7192">
        <v>-3.482056E-2</v>
      </c>
      <c r="T7192">
        <v>-4.2794470000000001E-2</v>
      </c>
      <c r="U7192">
        <v>-3.017334</v>
      </c>
      <c r="V7192">
        <v>-5.8311950000000001E-2</v>
      </c>
      <c r="W7192">
        <v>0.10479280000000001</v>
      </c>
      <c r="X7192">
        <v>0.99278310000000003</v>
      </c>
      <c r="Y7192">
        <v>-8.3127320000000005E-2</v>
      </c>
      <c r="Z7192">
        <v>5.9740539999999999E-4</v>
      </c>
      <c r="AA7192">
        <v>0.99653879999999995</v>
      </c>
      <c r="AB7192">
        <v>19</v>
      </c>
      <c r="AC7192">
        <v>-0.89299999999997204</v>
      </c>
      <c r="AD7192">
        <v>-1.120600636299</v>
      </c>
      <c r="AE7192">
        <v>-78.831329999999994</v>
      </c>
      <c r="AF7192">
        <v>-6.5700214437151097</v>
      </c>
      <c r="AG7192">
        <v>-1.120600636299</v>
      </c>
      <c r="AH7192">
        <v>78.546165572691507</v>
      </c>
      <c r="AI7192">
        <v>90.814526578205999</v>
      </c>
      <c r="AJ7192">
        <v>94.781395130198703</v>
      </c>
      <c r="AK7192">
        <v>78.828427954194396</v>
      </c>
      <c r="AL7192">
        <v>83.984771279089401</v>
      </c>
      <c r="AM7192">
        <v>93.361453768766793</v>
      </c>
      <c r="AN7192">
        <v>1.00000004904512</v>
      </c>
    </row>
    <row r="7193" spans="1:40" x14ac:dyDescent="0.25">
      <c r="A7193" t="str">
        <f>"20190303162056919"</f>
        <v>20190303162056919</v>
      </c>
      <c r="B7193" t="str">
        <f>"1551601256909438"</f>
        <v>1551601256909438</v>
      </c>
      <c r="C7193" t="s">
        <v>40</v>
      </c>
      <c r="D7193">
        <v>4.7102690000000003</v>
      </c>
      <c r="E7193">
        <v>0.4893882</v>
      </c>
      <c r="F7193" t="s">
        <v>62</v>
      </c>
      <c r="G7193">
        <v>-421.4581</v>
      </c>
      <c r="H7193" s="1">
        <v>-6.7504310000000004E-6</v>
      </c>
      <c r="I7193">
        <v>27.31061</v>
      </c>
      <c r="J7193">
        <v>-420.59570000000002</v>
      </c>
      <c r="K7193">
        <v>1.1204769999999999</v>
      </c>
      <c r="L7193">
        <v>103.7821</v>
      </c>
      <c r="M7193">
        <v>-9.6010579999999998E-2</v>
      </c>
      <c r="N7193">
        <v>-1.3470559999999999E-2</v>
      </c>
      <c r="O7193">
        <v>-0.99528939999999999</v>
      </c>
      <c r="P7193">
        <v>-3.4991479999999998E-2</v>
      </c>
      <c r="Q7193">
        <v>9.0401930000000005E-2</v>
      </c>
      <c r="R7193">
        <v>-0.99529069999999997</v>
      </c>
      <c r="S7193">
        <v>-3.4698489999999999E-2</v>
      </c>
      <c r="T7193">
        <v>-4.410791E-2</v>
      </c>
      <c r="U7193">
        <v>-3.017334</v>
      </c>
      <c r="V7193">
        <v>-6.0470250000000003E-2</v>
      </c>
      <c r="W7193">
        <v>0.10394009999999999</v>
      </c>
      <c r="X7193">
        <v>0.99274359999999995</v>
      </c>
      <c r="Y7193">
        <v>-8.4551080000000001E-2</v>
      </c>
      <c r="Z7193">
        <v>1.0256989999999999E-3</v>
      </c>
      <c r="AA7193">
        <v>0.99641860000000004</v>
      </c>
      <c r="AB7193">
        <v>19</v>
      </c>
      <c r="AC7193">
        <v>-0.86239999999997896</v>
      </c>
      <c r="AD7193">
        <v>-1.1204837504309999</v>
      </c>
      <c r="AE7193">
        <v>-76.471490000000003</v>
      </c>
      <c r="AF7193">
        <v>-6.4829296747819596</v>
      </c>
      <c r="AG7193">
        <v>-1.1204837504309999</v>
      </c>
      <c r="AH7193">
        <v>76.184604612924602</v>
      </c>
      <c r="AI7193">
        <v>90.839582076468901</v>
      </c>
      <c r="AJ7193">
        <v>94.863867486895501</v>
      </c>
      <c r="AK7193">
        <v>76.468149193182398</v>
      </c>
      <c r="AL7193">
        <v>84.033895520675401</v>
      </c>
      <c r="AM7193">
        <v>93.485708302545603</v>
      </c>
      <c r="AN7193">
        <v>1.0000000254320101</v>
      </c>
    </row>
    <row r="7194" spans="1:40" x14ac:dyDescent="0.25">
      <c r="A7194" t="str">
        <f>"20190303162056934"</f>
        <v>20190303162056934</v>
      </c>
      <c r="B7194" t="str">
        <f>"1551601256929934"</f>
        <v>1551601256929934</v>
      </c>
      <c r="C7194" t="s">
        <v>40</v>
      </c>
      <c r="D7194">
        <v>4.7432879999999997</v>
      </c>
      <c r="E7194">
        <v>0.48951339999999999</v>
      </c>
      <c r="F7194" t="s">
        <v>62</v>
      </c>
      <c r="G7194">
        <v>-421.38549999999998</v>
      </c>
      <c r="H7194" s="1">
        <v>-4.1537090000000002E-6</v>
      </c>
      <c r="I7194">
        <v>32.861220000000003</v>
      </c>
      <c r="J7194">
        <v>-420.61</v>
      </c>
      <c r="K7194">
        <v>1.1204000000000001</v>
      </c>
      <c r="L7194">
        <v>103.64579999999999</v>
      </c>
      <c r="M7194">
        <v>-9.7143649999999998E-2</v>
      </c>
      <c r="N7194">
        <v>-1.347071E-2</v>
      </c>
      <c r="O7194">
        <v>-0.99517949999999999</v>
      </c>
      <c r="P7194">
        <v>-3.4796000000000001E-2</v>
      </c>
      <c r="Q7194">
        <v>9.0101959999999995E-2</v>
      </c>
      <c r="R7194">
        <v>-0.99532500000000002</v>
      </c>
      <c r="S7194">
        <v>-3.3599850000000001E-2</v>
      </c>
      <c r="T7194">
        <v>-4.7670959999999998E-2</v>
      </c>
      <c r="U7194">
        <v>-3.017334</v>
      </c>
      <c r="V7194">
        <v>-6.1781889999999999E-2</v>
      </c>
      <c r="W7194">
        <v>0.1036541</v>
      </c>
      <c r="X7194">
        <v>0.99269269999999998</v>
      </c>
      <c r="Y7194">
        <v>-8.6047200000000004E-2</v>
      </c>
      <c r="Z7194">
        <v>2.1920609999999999E-3</v>
      </c>
      <c r="AA7194">
        <v>0.99628870000000003</v>
      </c>
      <c r="AB7194">
        <v>19</v>
      </c>
      <c r="AC7194">
        <v>-0.775499999999965</v>
      </c>
      <c r="AD7194">
        <v>-1.1204041537089999</v>
      </c>
      <c r="AE7194">
        <v>-70.784579999999906</v>
      </c>
      <c r="AF7194">
        <v>-6.1035339329813398</v>
      </c>
      <c r="AG7194">
        <v>-1.1204041537089999</v>
      </c>
      <c r="AH7194">
        <v>70.507413593846294</v>
      </c>
      <c r="AI7194">
        <v>90.906995478559693</v>
      </c>
      <c r="AJ7194">
        <v>94.947523915592399</v>
      </c>
      <c r="AK7194">
        <v>70.779967530597204</v>
      </c>
      <c r="AL7194">
        <v>84.050370867843796</v>
      </c>
      <c r="AM7194">
        <v>93.5613052543912</v>
      </c>
      <c r="AN7194">
        <v>0.99999998550603597</v>
      </c>
    </row>
    <row r="7195" spans="1:40" x14ac:dyDescent="0.25">
      <c r="A7195" t="str">
        <f>"20190303162056953"</f>
        <v>20190303162056953</v>
      </c>
      <c r="B7195" t="str">
        <f>"1551601256939695"</f>
        <v>1551601256939695</v>
      </c>
      <c r="C7195" t="s">
        <v>40</v>
      </c>
      <c r="D7195">
        <v>4.7345100000000002</v>
      </c>
      <c r="E7195">
        <v>0.48956690000000003</v>
      </c>
      <c r="F7195" t="s">
        <v>62</v>
      </c>
      <c r="G7195">
        <v>-421.3811</v>
      </c>
      <c r="H7195" s="1">
        <v>-3.0367020000000001E-6</v>
      </c>
      <c r="I7195">
        <v>35.148139999999998</v>
      </c>
      <c r="J7195">
        <v>-420.62670000000003</v>
      </c>
      <c r="K7195">
        <v>1.120317</v>
      </c>
      <c r="L7195">
        <v>103.4909</v>
      </c>
      <c r="M7195">
        <v>-9.8534869999999997E-2</v>
      </c>
      <c r="N7195">
        <v>-1.347113E-2</v>
      </c>
      <c r="O7195">
        <v>-0.99504250000000005</v>
      </c>
      <c r="P7195">
        <v>-3.3713229999999997E-2</v>
      </c>
      <c r="Q7195">
        <v>9.0073849999999997E-2</v>
      </c>
      <c r="R7195">
        <v>-0.99536449999999999</v>
      </c>
      <c r="S7195">
        <v>-3.3966059999999999E-2</v>
      </c>
      <c r="T7195">
        <v>-4.9354429999999998E-2</v>
      </c>
      <c r="U7195">
        <v>-3.0173649999999999</v>
      </c>
      <c r="V7195">
        <v>-6.4234219999999995E-2</v>
      </c>
      <c r="W7195">
        <v>0.10364279999999999</v>
      </c>
      <c r="X7195">
        <v>0.99253820000000004</v>
      </c>
      <c r="Y7195">
        <v>-8.7318640000000003E-2</v>
      </c>
      <c r="Z7195">
        <v>2.7401719999999999E-3</v>
      </c>
      <c r="AA7195">
        <v>0.99617670000000003</v>
      </c>
      <c r="AB7195">
        <v>19</v>
      </c>
      <c r="AC7195">
        <v>-0.75439999999997498</v>
      </c>
      <c r="AD7195">
        <v>-1.1203200367020001</v>
      </c>
      <c r="AE7195">
        <v>-68.342759999999998</v>
      </c>
      <c r="AF7195">
        <v>-5.98241999741726</v>
      </c>
      <c r="AG7195">
        <v>-1.1203200367020001</v>
      </c>
      <c r="AH7195">
        <v>68.0661692187863</v>
      </c>
      <c r="AI7195">
        <v>90.939341533788294</v>
      </c>
      <c r="AJ7195">
        <v>95.022889905496797</v>
      </c>
      <c r="AK7195">
        <v>68.337748412795904</v>
      </c>
      <c r="AL7195">
        <v>84.051021733953803</v>
      </c>
      <c r="AM7195">
        <v>93.702854394693702</v>
      </c>
      <c r="AN7195">
        <v>0.99999997173504296</v>
      </c>
    </row>
    <row r="7196" spans="1:40" x14ac:dyDescent="0.25">
      <c r="A7196" t="str">
        <f>"20190303162056975"</f>
        <v>20190303162056975</v>
      </c>
      <c r="B7196" t="str">
        <f>"1551601256969950"</f>
        <v>1551601256969950</v>
      </c>
      <c r="C7196" t="s">
        <v>40</v>
      </c>
      <c r="D7196">
        <v>4.7464170000000001</v>
      </c>
      <c r="E7196">
        <v>0.48984149999999999</v>
      </c>
      <c r="F7196" t="s">
        <v>62</v>
      </c>
      <c r="G7196">
        <v>-421.3066</v>
      </c>
      <c r="H7196" s="1">
        <v>-3.0510609999999999E-6</v>
      </c>
      <c r="I7196">
        <v>35.109229999999997</v>
      </c>
      <c r="J7196">
        <v>-420.6481</v>
      </c>
      <c r="K7196">
        <v>1.1202449999999999</v>
      </c>
      <c r="L7196">
        <v>103.297</v>
      </c>
      <c r="M7196">
        <v>-0.1004061</v>
      </c>
      <c r="N7196">
        <v>-1.347159E-2</v>
      </c>
      <c r="O7196">
        <v>-0.9948555</v>
      </c>
      <c r="P7196">
        <v>-3.3936639999999997E-2</v>
      </c>
      <c r="Q7196">
        <v>8.9312649999999993E-2</v>
      </c>
      <c r="R7196">
        <v>-0.99542560000000002</v>
      </c>
      <c r="S7196">
        <v>-2.9998779999999999E-2</v>
      </c>
      <c r="T7196">
        <v>-4.94355E-2</v>
      </c>
      <c r="U7196">
        <v>-3.0174259999999999</v>
      </c>
      <c r="V7196">
        <v>-6.5873500000000001E-2</v>
      </c>
      <c r="W7196">
        <v>0.10289669999999999</v>
      </c>
      <c r="X7196">
        <v>0.99250839999999996</v>
      </c>
      <c r="Y7196">
        <v>-9.0500929999999993E-2</v>
      </c>
      <c r="Z7196">
        <v>2.758436E-3</v>
      </c>
      <c r="AA7196">
        <v>0.99589249999999996</v>
      </c>
      <c r="AB7196">
        <v>19</v>
      </c>
      <c r="AC7196">
        <v>-0.65850000000000297</v>
      </c>
      <c r="AD7196">
        <v>-1.120248051061</v>
      </c>
      <c r="AE7196">
        <v>-68.18777</v>
      </c>
      <c r="AF7196">
        <v>-6.1902459226313402</v>
      </c>
      <c r="AG7196">
        <v>-1.120248051061</v>
      </c>
      <c r="AH7196">
        <v>67.890923985133099</v>
      </c>
      <c r="AI7196">
        <v>90.941430356762893</v>
      </c>
      <c r="AJ7196">
        <v>95.209782634216694</v>
      </c>
      <c r="AK7196">
        <v>68.1817545963264</v>
      </c>
      <c r="AL7196">
        <v>84.093999992330694</v>
      </c>
      <c r="AM7196">
        <v>93.797193202826605</v>
      </c>
      <c r="AN7196">
        <v>0.99999998647184896</v>
      </c>
    </row>
    <row r="7197" spans="1:40" x14ac:dyDescent="0.25">
      <c r="A7197" t="str">
        <f>"20190303162056997"</f>
        <v>20190303162056997</v>
      </c>
      <c r="B7197" t="str">
        <f>"1551601256989470"</f>
        <v>1551601256989470</v>
      </c>
      <c r="C7197" t="s">
        <v>40</v>
      </c>
      <c r="D7197">
        <v>4.7546869999999997</v>
      </c>
      <c r="E7197">
        <v>0.49004170000000002</v>
      </c>
      <c r="F7197" t="s">
        <v>62</v>
      </c>
      <c r="G7197">
        <v>-421.33909999999997</v>
      </c>
      <c r="H7197" s="1">
        <v>-7.9502899999999997E-7</v>
      </c>
      <c r="I7197">
        <v>38.66563</v>
      </c>
      <c r="J7197">
        <v>-420.66899999999998</v>
      </c>
      <c r="K7197">
        <v>1.120214</v>
      </c>
      <c r="L7197">
        <v>103.1121</v>
      </c>
      <c r="M7197">
        <v>-0.1022849</v>
      </c>
      <c r="N7197">
        <v>-1.3471540000000001E-2</v>
      </c>
      <c r="O7197">
        <v>-0.99466390000000005</v>
      </c>
      <c r="P7197">
        <v>-3.4243750000000003E-2</v>
      </c>
      <c r="Q7197">
        <v>8.7836349999999994E-2</v>
      </c>
      <c r="R7197">
        <v>-0.99554600000000004</v>
      </c>
      <c r="S7197">
        <v>-3.225708E-2</v>
      </c>
      <c r="T7197">
        <v>-5.2300100000000002E-2</v>
      </c>
      <c r="U7197">
        <v>-3.017395</v>
      </c>
      <c r="V7197">
        <v>-6.7455340000000003E-2</v>
      </c>
      <c r="W7197">
        <v>0.10142959999999999</v>
      </c>
      <c r="X7197">
        <v>0.99255320000000002</v>
      </c>
      <c r="Y7197">
        <v>-9.1635670000000002E-2</v>
      </c>
      <c r="Z7197">
        <v>3.6932839999999998E-3</v>
      </c>
      <c r="AA7197">
        <v>0.99578580000000005</v>
      </c>
      <c r="AB7197">
        <v>19</v>
      </c>
      <c r="AC7197">
        <v>-0.67009999999993397</v>
      </c>
      <c r="AD7197">
        <v>-1.120214795029</v>
      </c>
      <c r="AE7197">
        <v>-64.446469999999906</v>
      </c>
      <c r="AF7197">
        <v>-5.9241246304071096</v>
      </c>
      <c r="AG7197">
        <v>-1.120214795029</v>
      </c>
      <c r="AH7197">
        <v>64.157561139109802</v>
      </c>
      <c r="AI7197">
        <v>90.996067465089595</v>
      </c>
      <c r="AJ7197">
        <v>95.275567974890095</v>
      </c>
      <c r="AK7197">
        <v>64.440226451667698</v>
      </c>
      <c r="AL7197">
        <v>84.178500976760404</v>
      </c>
      <c r="AM7197">
        <v>93.8879249691078</v>
      </c>
      <c r="AN7197">
        <v>1.00000002074045</v>
      </c>
    </row>
    <row r="7198" spans="1:40" x14ac:dyDescent="0.25">
      <c r="A7198" t="str">
        <f>"20190303162057019"</f>
        <v>20190303162057019</v>
      </c>
      <c r="B7198" t="str">
        <f>"1551601257009966"</f>
        <v>1551601257009966</v>
      </c>
      <c r="C7198" t="s">
        <v>40</v>
      </c>
      <c r="D7198">
        <v>4.7535150000000002</v>
      </c>
      <c r="E7198">
        <v>0.49023870000000003</v>
      </c>
      <c r="F7198" t="s">
        <v>41</v>
      </c>
      <c r="G7198">
        <v>-421.32170000000002</v>
      </c>
      <c r="H7198" s="1">
        <v>-1.9698850000000002E-6</v>
      </c>
      <c r="I7198">
        <v>43.36121</v>
      </c>
      <c r="J7198">
        <v>-420.69060000000002</v>
      </c>
      <c r="K7198">
        <v>1.1202179999999999</v>
      </c>
      <c r="L7198">
        <v>102.9255</v>
      </c>
      <c r="M7198">
        <v>-0.10423490000000001</v>
      </c>
      <c r="N7198">
        <v>-1.347076E-2</v>
      </c>
      <c r="O7198">
        <v>-0.99446140000000005</v>
      </c>
      <c r="P7198">
        <v>-3.4797019999999998E-2</v>
      </c>
      <c r="Q7198">
        <v>8.6091239999999999E-2</v>
      </c>
      <c r="R7198">
        <v>-0.99567939999999999</v>
      </c>
      <c r="S7198">
        <v>-3.2958979999999999E-2</v>
      </c>
      <c r="T7198">
        <v>-5.6568149999999998E-2</v>
      </c>
      <c r="U7198">
        <v>-3.0172729999999999</v>
      </c>
      <c r="V7198">
        <v>-6.8875480000000003E-2</v>
      </c>
      <c r="W7198">
        <v>9.9687499999999998E-2</v>
      </c>
      <c r="X7198">
        <v>0.99263219999999996</v>
      </c>
      <c r="Y7198">
        <v>-9.3354720000000002E-2</v>
      </c>
      <c r="Z7198">
        <v>5.0877810000000004E-3</v>
      </c>
      <c r="AA7198">
        <v>0.9956199</v>
      </c>
      <c r="AB7198">
        <v>19</v>
      </c>
      <c r="AC7198">
        <v>-0.63110000000000299</v>
      </c>
      <c r="AD7198">
        <v>-1.1202199698849999</v>
      </c>
      <c r="AE7198">
        <v>-59.56429</v>
      </c>
      <c r="AF7198">
        <v>-5.5796067955809097</v>
      </c>
      <c r="AG7198">
        <v>-1.1202199698849999</v>
      </c>
      <c r="AH7198">
        <v>59.284588753296603</v>
      </c>
      <c r="AI7198">
        <v>91.077749766555598</v>
      </c>
      <c r="AJ7198">
        <v>95.376591233786797</v>
      </c>
      <c r="AK7198">
        <v>59.5571101416256</v>
      </c>
      <c r="AL7198">
        <v>84.278824698702707</v>
      </c>
      <c r="AM7198">
        <v>93.969203714454906</v>
      </c>
      <c r="AN7198">
        <v>1.0000000569391501</v>
      </c>
    </row>
    <row r="7199" spans="1:40" x14ac:dyDescent="0.25">
      <c r="A7199" t="str">
        <f>"20190303162057043"</f>
        <v>20190303162057043</v>
      </c>
      <c r="B7199" t="str">
        <f>"1551601257029486"</f>
        <v>1551601257029486</v>
      </c>
      <c r="C7199" t="s">
        <v>40</v>
      </c>
      <c r="D7199">
        <v>4.7641479999999996</v>
      </c>
      <c r="E7199">
        <v>0.49035279999999998</v>
      </c>
      <c r="F7199" t="s">
        <v>41</v>
      </c>
      <c r="G7199">
        <v>-421.33929999999998</v>
      </c>
      <c r="H7199" s="1">
        <v>-4.2741500000000004E-6</v>
      </c>
      <c r="I7199">
        <v>48.848469999999999</v>
      </c>
      <c r="J7199">
        <v>-420.71350000000001</v>
      </c>
      <c r="K7199">
        <v>1.120258</v>
      </c>
      <c r="L7199">
        <v>102.73099999999999</v>
      </c>
      <c r="M7199">
        <v>-0.106283</v>
      </c>
      <c r="N7199">
        <v>-1.346924E-2</v>
      </c>
      <c r="O7199">
        <v>-0.99424469999999998</v>
      </c>
      <c r="P7199">
        <v>-3.6002729999999997E-2</v>
      </c>
      <c r="Q7199">
        <v>8.4513469999999993E-2</v>
      </c>
      <c r="R7199">
        <v>-0.99577170000000004</v>
      </c>
      <c r="S7199">
        <v>-3.619385E-2</v>
      </c>
      <c r="T7199">
        <v>-6.2501189999999998E-2</v>
      </c>
      <c r="U7199">
        <v>-3.0171510000000001</v>
      </c>
      <c r="V7199">
        <v>-6.9748889999999994E-2</v>
      </c>
      <c r="W7199">
        <v>9.8104570000000002E-2</v>
      </c>
      <c r="X7199">
        <v>0.99272879999999997</v>
      </c>
      <c r="Y7199">
        <v>-9.4336320000000001E-2</v>
      </c>
      <c r="Z7199">
        <v>7.028388E-3</v>
      </c>
      <c r="AA7199">
        <v>0.99551559999999994</v>
      </c>
      <c r="AB7199">
        <v>19</v>
      </c>
      <c r="AC7199">
        <v>-0.62579999999996905</v>
      </c>
      <c r="AD7199">
        <v>-1.1202622741499999</v>
      </c>
      <c r="AE7199">
        <v>-53.882530000000003</v>
      </c>
      <c r="AF7199">
        <v>-5.1028561988527699</v>
      </c>
      <c r="AG7199">
        <v>-1.1202622741499999</v>
      </c>
      <c r="AH7199">
        <v>53.620622661519803</v>
      </c>
      <c r="AI7199">
        <v>91.191489246588205</v>
      </c>
      <c r="AJ7199">
        <v>95.436234168837601</v>
      </c>
      <c r="AK7199">
        <v>53.874532977633699</v>
      </c>
      <c r="AL7199">
        <v>84.3699660632562</v>
      </c>
      <c r="AM7199">
        <v>94.0189834111479</v>
      </c>
      <c r="AN7199">
        <v>0.999999942330276</v>
      </c>
    </row>
    <row r="7200" spans="1:40" x14ac:dyDescent="0.25">
      <c r="A7200" t="str">
        <f>"20190303162057077"</f>
        <v>20190303162057077</v>
      </c>
      <c r="B7200" t="str">
        <f>"1551601257069502"</f>
        <v>1551601257069502</v>
      </c>
      <c r="C7200" t="s">
        <v>40</v>
      </c>
      <c r="D7200">
        <v>4.7509739999999896</v>
      </c>
      <c r="E7200">
        <v>0.49824239999999997</v>
      </c>
      <c r="F7200" t="s">
        <v>41</v>
      </c>
      <c r="G7200">
        <v>-421.38279999999997</v>
      </c>
      <c r="H7200" s="1">
        <v>-1.7248030000000001E-6</v>
      </c>
      <c r="I7200">
        <v>52.752009999999999</v>
      </c>
      <c r="J7200">
        <v>-420.7484</v>
      </c>
      <c r="K7200">
        <v>1.1203620000000001</v>
      </c>
      <c r="L7200">
        <v>102.4406</v>
      </c>
      <c r="M7200">
        <v>-0.1092765</v>
      </c>
      <c r="N7200">
        <v>-1.3465939999999999E-2</v>
      </c>
      <c r="O7200">
        <v>-0.99392009999999997</v>
      </c>
      <c r="P7200">
        <v>-4.1539079999999999E-2</v>
      </c>
      <c r="Q7200">
        <v>8.5586969999999998E-2</v>
      </c>
      <c r="R7200">
        <v>-0.99546429999999997</v>
      </c>
      <c r="S7200">
        <v>-4.040527E-2</v>
      </c>
      <c r="T7200">
        <v>-6.7625519999999995E-2</v>
      </c>
      <c r="U7200">
        <v>-3.017029</v>
      </c>
      <c r="V7200">
        <v>-6.7225690000000005E-2</v>
      </c>
      <c r="W7200">
        <v>9.9151820000000002E-2</v>
      </c>
      <c r="X7200">
        <v>0.99279890000000004</v>
      </c>
      <c r="Y7200">
        <v>-9.5942810000000003E-2</v>
      </c>
      <c r="Z7200">
        <v>8.7003369999999903E-3</v>
      </c>
      <c r="AA7200">
        <v>0.99534880000000003</v>
      </c>
      <c r="AB7200">
        <v>19</v>
      </c>
      <c r="AC7200">
        <v>-0.63439999999997099</v>
      </c>
      <c r="AD7200">
        <v>-1.1203637248029901</v>
      </c>
      <c r="AE7200">
        <v>-49.688589999999998</v>
      </c>
      <c r="AF7200">
        <v>-4.7972493209028304</v>
      </c>
      <c r="AG7200">
        <v>-1.1203637248029901</v>
      </c>
      <c r="AH7200">
        <v>49.435172919603801</v>
      </c>
      <c r="AI7200">
        <v>91.292220605282694</v>
      </c>
      <c r="AJ7200">
        <v>95.542697102595199</v>
      </c>
      <c r="AK7200">
        <v>49.680027551460597</v>
      </c>
      <c r="AL7200">
        <v>84.309669487408698</v>
      </c>
      <c r="AM7200">
        <v>93.873773008711396</v>
      </c>
      <c r="AN7200">
        <v>1.0000000163232401</v>
      </c>
    </row>
    <row r="7201" spans="1:40" x14ac:dyDescent="0.25">
      <c r="A7201" t="str">
        <f>"20190303162057098"</f>
        <v>20190303162057098</v>
      </c>
      <c r="B7201" t="str">
        <f>"1551601257089998"</f>
        <v>1551601257089998</v>
      </c>
      <c r="C7201" t="s">
        <v>40</v>
      </c>
      <c r="D7201">
        <v>4.7405530000000002</v>
      </c>
      <c r="E7201">
        <v>0.49886229999999998</v>
      </c>
      <c r="F7201" t="s">
        <v>41</v>
      </c>
      <c r="G7201">
        <v>-421.9468</v>
      </c>
      <c r="H7201" s="1">
        <v>-1.7482550000000001E-6</v>
      </c>
      <c r="I7201">
        <v>72.456890000000001</v>
      </c>
      <c r="J7201">
        <v>-420.7704</v>
      </c>
      <c r="K7201">
        <v>1.1204289999999999</v>
      </c>
      <c r="L7201">
        <v>102.2604</v>
      </c>
      <c r="M7201">
        <v>-0.11106240000000001</v>
      </c>
      <c r="N7201">
        <v>-1.3463360000000001E-2</v>
      </c>
      <c r="O7201">
        <v>-0.99372260000000001</v>
      </c>
      <c r="P7201">
        <v>-4.5853310000000001E-2</v>
      </c>
      <c r="Q7201">
        <v>8.5559780000000002E-2</v>
      </c>
      <c r="R7201">
        <v>-0.99527779999999999</v>
      </c>
      <c r="S7201">
        <v>-0.12063599999999999</v>
      </c>
      <c r="T7201">
        <v>-0.1127814</v>
      </c>
      <c r="U7201">
        <v>-3.0183110000000002</v>
      </c>
      <c r="V7201">
        <v>-6.4720029999999998E-2</v>
      </c>
      <c r="W7201">
        <v>9.9106739999999999E-2</v>
      </c>
      <c r="X7201">
        <v>0.99296989999999996</v>
      </c>
      <c r="Y7201">
        <v>-7.1281360000000002E-2</v>
      </c>
      <c r="Z7201">
        <v>2.3503820000000002E-2</v>
      </c>
      <c r="AA7201">
        <v>0.99717929999999999</v>
      </c>
      <c r="AB7201">
        <v>19</v>
      </c>
      <c r="AC7201">
        <v>-1.1763999999999999</v>
      </c>
      <c r="AD7201">
        <v>-1.120430748255</v>
      </c>
      <c r="AE7201">
        <v>-29.803509999999999</v>
      </c>
      <c r="AF7201">
        <v>-2.1382101397250701</v>
      </c>
      <c r="AG7201">
        <v>-1.120430748255</v>
      </c>
      <c r="AH7201">
        <v>29.7078399909322</v>
      </c>
      <c r="AI7201">
        <v>92.154318205736899</v>
      </c>
      <c r="AJ7201">
        <v>94.116742353544197</v>
      </c>
      <c r="AK7201">
        <v>29.805755561469802</v>
      </c>
      <c r="AL7201">
        <v>84.312265216905999</v>
      </c>
      <c r="AM7201">
        <v>93.7291632634698</v>
      </c>
      <c r="AN7201">
        <v>1.0000000252513099</v>
      </c>
    </row>
    <row r="7202" spans="1:40" x14ac:dyDescent="0.25">
      <c r="A7202" t="str">
        <f>"20190303162057122"</f>
        <v>20190303162057122</v>
      </c>
      <c r="B7202" t="str">
        <f>"1551601257109519"</f>
        <v>1551601257109519</v>
      </c>
      <c r="C7202" t="s">
        <v>40</v>
      </c>
      <c r="D7202">
        <v>4.7443839999999904</v>
      </c>
      <c r="E7202">
        <v>0.49916850000000001</v>
      </c>
      <c r="F7202" t="s">
        <v>41</v>
      </c>
      <c r="G7202">
        <v>-422.2115</v>
      </c>
      <c r="H7202" s="1">
        <v>-1.200708E-6</v>
      </c>
      <c r="I7202">
        <v>71.016350000000003</v>
      </c>
      <c r="J7202">
        <v>-420.7946</v>
      </c>
      <c r="K7202">
        <v>1.120503</v>
      </c>
      <c r="L7202">
        <v>102.0651</v>
      </c>
      <c r="M7202">
        <v>-0.1129231</v>
      </c>
      <c r="N7202">
        <v>-1.346019E-2</v>
      </c>
      <c r="O7202">
        <v>-0.99351259999999997</v>
      </c>
      <c r="P7202">
        <v>-5.0145099999999998E-2</v>
      </c>
      <c r="Q7202">
        <v>8.5971329999999999E-2</v>
      </c>
      <c r="R7202">
        <v>-0.99503509999999995</v>
      </c>
      <c r="S7202">
        <v>-0.13916020000000001</v>
      </c>
      <c r="T7202">
        <v>-0.10819570000000001</v>
      </c>
      <c r="U7202">
        <v>-3.0171199999999998</v>
      </c>
      <c r="V7202">
        <v>-6.2305939999999997E-2</v>
      </c>
      <c r="W7202">
        <v>9.9499610000000002E-2</v>
      </c>
      <c r="X7202">
        <v>0.993085</v>
      </c>
      <c r="Y7202">
        <v>-6.7022520000000002E-2</v>
      </c>
      <c r="Z7202">
        <v>2.2015219999999999E-2</v>
      </c>
      <c r="AA7202">
        <v>0.99750850000000002</v>
      </c>
      <c r="AB7202">
        <v>19</v>
      </c>
      <c r="AC7202">
        <v>-1.4168999999999901</v>
      </c>
      <c r="AD7202">
        <v>-1.1205042007079999</v>
      </c>
      <c r="AE7202">
        <v>-31.048749999999998</v>
      </c>
      <c r="AF7202">
        <v>-2.0958791570183202</v>
      </c>
      <c r="AG7202">
        <v>-1.1205042007079999</v>
      </c>
      <c r="AH7202">
        <v>30.9698821483335</v>
      </c>
      <c r="AI7202">
        <v>92.067358538501594</v>
      </c>
      <c r="AJ7202">
        <v>93.871574548139705</v>
      </c>
      <c r="AK7202">
        <v>31.060937516216299</v>
      </c>
      <c r="AL7202">
        <v>84.289643522879402</v>
      </c>
      <c r="AM7202">
        <v>93.590019416324395</v>
      </c>
      <c r="AN7202">
        <v>1.0000000098872099</v>
      </c>
    </row>
    <row r="7203" spans="1:40" x14ac:dyDescent="0.25">
      <c r="A7203" t="str">
        <f>"20190303162057155"</f>
        <v>20190303162057155</v>
      </c>
      <c r="B7203" t="str">
        <f>"1551601257139774"</f>
        <v>1551601257139774</v>
      </c>
      <c r="C7203" t="s">
        <v>40</v>
      </c>
      <c r="D7203">
        <v>4.7229590000000004</v>
      </c>
      <c r="E7203">
        <v>0.49920769999999998</v>
      </c>
      <c r="F7203" t="s">
        <v>41</v>
      </c>
      <c r="G7203">
        <v>-422.46379999999999</v>
      </c>
      <c r="H7203" s="1">
        <v>-4.7280910000000001E-6</v>
      </c>
      <c r="I7203">
        <v>69.596249999999998</v>
      </c>
      <c r="J7203">
        <v>-420.82850000000002</v>
      </c>
      <c r="K7203">
        <v>1.120617</v>
      </c>
      <c r="L7203">
        <v>101.7953</v>
      </c>
      <c r="M7203">
        <v>-0.1153515</v>
      </c>
      <c r="N7203">
        <v>-1.3455180000000001E-2</v>
      </c>
      <c r="O7203">
        <v>-0.9932337</v>
      </c>
      <c r="P7203">
        <v>-5.648856E-2</v>
      </c>
      <c r="Q7203">
        <v>8.9131249999999995E-2</v>
      </c>
      <c r="R7203">
        <v>-0.994417</v>
      </c>
      <c r="S7203">
        <v>-0.1550598</v>
      </c>
      <c r="T7203">
        <v>-0.1040879</v>
      </c>
      <c r="U7203">
        <v>-3.0161440000000002</v>
      </c>
      <c r="V7203">
        <v>-5.8378670000000001E-2</v>
      </c>
      <c r="W7203">
        <v>0.1026316</v>
      </c>
      <c r="X7203">
        <v>0.99300489999999997</v>
      </c>
      <c r="Y7203">
        <v>-6.4200629999999995E-2</v>
      </c>
      <c r="Z7203">
        <v>2.0676340000000001E-2</v>
      </c>
      <c r="AA7203">
        <v>0.99772280000000002</v>
      </c>
      <c r="AB7203">
        <v>19</v>
      </c>
      <c r="AC7203">
        <v>-1.63529999999997</v>
      </c>
      <c r="AD7203">
        <v>-1.120621728091</v>
      </c>
      <c r="AE7203">
        <v>-32.19905</v>
      </c>
      <c r="AF7203">
        <v>-2.0876405180676998</v>
      </c>
      <c r="AG7203">
        <v>-1.120621728091</v>
      </c>
      <c r="AH7203">
        <v>32.133903312595301</v>
      </c>
      <c r="AI7203">
        <v>91.993096739313302</v>
      </c>
      <c r="AJ7203">
        <v>93.717106230039093</v>
      </c>
      <c r="AK7203">
        <v>32.221138683997097</v>
      </c>
      <c r="AL7203">
        <v>84.109270162192502</v>
      </c>
      <c r="AM7203">
        <v>93.364541126204998</v>
      </c>
      <c r="AN7203">
        <v>1.00000002292676</v>
      </c>
    </row>
    <row r="7204" spans="1:40" x14ac:dyDescent="0.25">
      <c r="A7204" t="str">
        <f>"20190303162057176"</f>
        <v>20190303162057176</v>
      </c>
      <c r="B7204" t="str">
        <f>"1551601257170030"</f>
        <v>1551601257170030</v>
      </c>
      <c r="C7204" t="s">
        <v>40</v>
      </c>
      <c r="D7204">
        <v>4.7470429999999997</v>
      </c>
      <c r="E7204">
        <v>0.4987972</v>
      </c>
      <c r="F7204" t="s">
        <v>41</v>
      </c>
      <c r="G7204">
        <v>-422.99439999999998</v>
      </c>
      <c r="H7204" s="1">
        <v>-2.8570360000000001E-6</v>
      </c>
      <c r="I7204">
        <v>64.391719999999907</v>
      </c>
      <c r="J7204">
        <v>-420.85309999999998</v>
      </c>
      <c r="K7204">
        <v>1.1206849999999999</v>
      </c>
      <c r="L7204">
        <v>101.6018</v>
      </c>
      <c r="M7204">
        <v>-0.1170113</v>
      </c>
      <c r="N7204">
        <v>-1.3451380000000001E-2</v>
      </c>
      <c r="O7204">
        <v>-0.99303980000000003</v>
      </c>
      <c r="P7204">
        <v>-5.9756539999999997E-2</v>
      </c>
      <c r="Q7204">
        <v>9.1883430000000002E-2</v>
      </c>
      <c r="R7204">
        <v>-0.99397559999999996</v>
      </c>
      <c r="S7204">
        <v>-0.1745911</v>
      </c>
      <c r="T7204">
        <v>-9.0331549999999997E-2</v>
      </c>
      <c r="U7204">
        <v>-3.0150450000000002</v>
      </c>
      <c r="V7204">
        <v>-5.6750950000000001E-2</v>
      </c>
      <c r="W7204">
        <v>0.1053666</v>
      </c>
      <c r="X7204">
        <v>0.99281280000000005</v>
      </c>
      <c r="Y7204">
        <v>-5.94038E-2</v>
      </c>
      <c r="Z7204">
        <v>1.618495E-2</v>
      </c>
      <c r="AA7204">
        <v>0.99810279999999996</v>
      </c>
      <c r="AB7204">
        <v>19</v>
      </c>
      <c r="AC7204">
        <v>-2.1413000000000002</v>
      </c>
      <c r="AD7204">
        <v>-1.1206878570359999</v>
      </c>
      <c r="AE7204">
        <v>-37.210079999999998</v>
      </c>
      <c r="AF7204">
        <v>-2.2257922488978399</v>
      </c>
      <c r="AG7204">
        <v>-1.1206878570359999</v>
      </c>
      <c r="AH7204">
        <v>37.171394754171999</v>
      </c>
      <c r="AI7204">
        <v>91.723813126333695</v>
      </c>
      <c r="AJ7204">
        <v>93.426732071502599</v>
      </c>
      <c r="AK7204">
        <v>37.254834322254702</v>
      </c>
      <c r="AL7204">
        <v>83.951711782563507</v>
      </c>
      <c r="AM7204">
        <v>93.2715687740682</v>
      </c>
      <c r="AN7204">
        <v>1.00000002328265</v>
      </c>
    </row>
    <row r="7205" spans="1:40" x14ac:dyDescent="0.25">
      <c r="A7205" t="str">
        <f>"20190303162057197"</f>
        <v>20190303162057197</v>
      </c>
      <c r="B7205" t="str">
        <f>"1551601257189550"</f>
        <v>1551601257189550</v>
      </c>
      <c r="C7205" t="s">
        <v>40</v>
      </c>
      <c r="D7205">
        <v>4.7134119999999999</v>
      </c>
      <c r="E7205">
        <v>0.49887930000000003</v>
      </c>
      <c r="F7205" t="s">
        <v>41</v>
      </c>
      <c r="G7205">
        <v>-423.29239999999999</v>
      </c>
      <c r="H7205" s="1">
        <v>-1.3943510000000001E-6</v>
      </c>
      <c r="I7205">
        <v>60.797339999999998</v>
      </c>
      <c r="J7205">
        <v>-420.87560000000002</v>
      </c>
      <c r="K7205">
        <v>1.1207279999999999</v>
      </c>
      <c r="L7205">
        <v>101.426</v>
      </c>
      <c r="M7205">
        <v>-0.11847149999999999</v>
      </c>
      <c r="N7205">
        <v>-1.344797E-2</v>
      </c>
      <c r="O7205">
        <v>-0.99286660000000004</v>
      </c>
      <c r="P7205">
        <v>-6.2144789999999998E-2</v>
      </c>
      <c r="Q7205">
        <v>9.2444170000000006E-2</v>
      </c>
      <c r="R7205">
        <v>-0.99377700000000002</v>
      </c>
      <c r="S7205">
        <v>-0.1802368</v>
      </c>
      <c r="T7205">
        <v>-8.2805870000000004E-2</v>
      </c>
      <c r="U7205">
        <v>-3.0149840000000001</v>
      </c>
      <c r="V7205">
        <v>-5.5828290000000003E-2</v>
      </c>
      <c r="W7205">
        <v>0.1059157</v>
      </c>
      <c r="X7205">
        <v>0.99280670000000004</v>
      </c>
      <c r="Y7205">
        <v>-5.9006910000000003E-2</v>
      </c>
      <c r="Z7205">
        <v>1.3718910000000001E-2</v>
      </c>
      <c r="AA7205">
        <v>0.99816329999999998</v>
      </c>
      <c r="AB7205">
        <v>19</v>
      </c>
      <c r="AC7205">
        <v>-2.4167999999999599</v>
      </c>
      <c r="AD7205">
        <v>-1.1207293943509999</v>
      </c>
      <c r="AE7205">
        <v>-40.628660000000004</v>
      </c>
      <c r="AF7205">
        <v>-2.4121670847423999</v>
      </c>
      <c r="AG7205">
        <v>-1.1207293943509999</v>
      </c>
      <c r="AH7205">
        <v>40.598043931368998</v>
      </c>
      <c r="AI7205">
        <v>91.578494807584704</v>
      </c>
      <c r="AJ7205">
        <v>93.400279642710004</v>
      </c>
      <c r="AK7205">
        <v>40.6850802564459</v>
      </c>
      <c r="AL7205">
        <v>83.920073726312694</v>
      </c>
      <c r="AM7205">
        <v>93.218511907013095</v>
      </c>
      <c r="AN7205">
        <v>1.00000003851785</v>
      </c>
    </row>
    <row r="7206" spans="1:40" x14ac:dyDescent="0.25">
      <c r="A7206" t="str">
        <f>"20190303162057220"</f>
        <v>20190303162057220</v>
      </c>
      <c r="B7206" t="str">
        <f>"1551601257210045"</f>
        <v>1551601257210045</v>
      </c>
      <c r="C7206" t="s">
        <v>40</v>
      </c>
      <c r="D7206">
        <v>4.7337490000000004</v>
      </c>
      <c r="E7206">
        <v>0.49829380000000001</v>
      </c>
      <c r="F7206" t="s">
        <v>41</v>
      </c>
      <c r="G7206">
        <v>-423.47129999999999</v>
      </c>
      <c r="H7206" s="1">
        <v>-9.681920000000001E-7</v>
      </c>
      <c r="I7206">
        <v>59.692970000000003</v>
      </c>
      <c r="J7206">
        <v>-420.9</v>
      </c>
      <c r="K7206">
        <v>1.1207689999999999</v>
      </c>
      <c r="L7206">
        <v>101.2383</v>
      </c>
      <c r="M7206">
        <v>-0.1199793</v>
      </c>
      <c r="N7206">
        <v>-1.3444340000000001E-2</v>
      </c>
      <c r="O7206">
        <v>-0.99268559999999995</v>
      </c>
      <c r="P7206">
        <v>-6.291368E-2</v>
      </c>
      <c r="Q7206">
        <v>9.1609679999999999E-2</v>
      </c>
      <c r="R7206">
        <v>-0.99380599999999997</v>
      </c>
      <c r="S7206">
        <v>-0.1875</v>
      </c>
      <c r="T7206">
        <v>-8.0955860000000004E-2</v>
      </c>
      <c r="U7206">
        <v>-3.0145870000000001</v>
      </c>
      <c r="V7206">
        <v>-5.6591759999999998E-2</v>
      </c>
      <c r="W7206">
        <v>0.1050735</v>
      </c>
      <c r="X7206">
        <v>0.99285290000000004</v>
      </c>
      <c r="Y7206">
        <v>-5.8119169999999998E-2</v>
      </c>
      <c r="Z7206">
        <v>1.3114509999999999E-2</v>
      </c>
      <c r="AA7206">
        <v>0.99822350000000004</v>
      </c>
      <c r="AB7206">
        <v>19</v>
      </c>
      <c r="AC7206">
        <v>-2.5712999999999999</v>
      </c>
      <c r="AD7206">
        <v>-1.120769968192</v>
      </c>
      <c r="AE7206">
        <v>-41.54533</v>
      </c>
      <c r="AF7206">
        <v>-2.43054426616315</v>
      </c>
      <c r="AG7206">
        <v>-1.120769968192</v>
      </c>
      <c r="AH7206">
        <v>41.523595241716599</v>
      </c>
      <c r="AI7206">
        <v>91.543463527480895</v>
      </c>
      <c r="AJ7206">
        <v>93.349931718677396</v>
      </c>
      <c r="AK7206">
        <v>41.6097660717924</v>
      </c>
      <c r="AL7206">
        <v>83.968598620196701</v>
      </c>
      <c r="AM7206">
        <v>93.262280187399099</v>
      </c>
      <c r="AN7206">
        <v>0.99999997437027799</v>
      </c>
    </row>
    <row r="7207" spans="1:40" x14ac:dyDescent="0.25">
      <c r="A7207" t="str">
        <f>"20190303162057243"</f>
        <v>20190303162057243</v>
      </c>
      <c r="B7207" t="str">
        <f>"1551601257229566"</f>
        <v>1551601257229566</v>
      </c>
      <c r="C7207" t="s">
        <v>40</v>
      </c>
      <c r="D7207">
        <v>4.724742</v>
      </c>
      <c r="E7207">
        <v>0.49772690000000003</v>
      </c>
      <c r="F7207" t="s">
        <v>41</v>
      </c>
      <c r="G7207">
        <v>-423.36399999999998</v>
      </c>
      <c r="H7207" s="1">
        <v>-1.5478410000000001E-6</v>
      </c>
      <c r="I7207">
        <v>61.110729999999997</v>
      </c>
      <c r="J7207">
        <v>-420.92489999999998</v>
      </c>
      <c r="K7207">
        <v>1.120814</v>
      </c>
      <c r="L7207">
        <v>101.0474</v>
      </c>
      <c r="M7207">
        <v>-0.1214532</v>
      </c>
      <c r="N7207">
        <v>-1.3440590000000001E-2</v>
      </c>
      <c r="O7207">
        <v>-0.99250629999999995</v>
      </c>
      <c r="P7207">
        <v>-6.3068260000000001E-2</v>
      </c>
      <c r="Q7207">
        <v>9.1792559999999995E-2</v>
      </c>
      <c r="R7207">
        <v>-0.99377910000000003</v>
      </c>
      <c r="S7207">
        <v>-0.1851196</v>
      </c>
      <c r="T7207">
        <v>-8.4202289999999999E-2</v>
      </c>
      <c r="U7207">
        <v>-3.0147400000000002</v>
      </c>
      <c r="V7207">
        <v>-5.7922389999999997E-2</v>
      </c>
      <c r="W7207">
        <v>0.1052471</v>
      </c>
      <c r="X7207">
        <v>0.99275780000000002</v>
      </c>
      <c r="Y7207">
        <v>-6.0389579999999998E-2</v>
      </c>
      <c r="Z7207">
        <v>1.4170550000000001E-2</v>
      </c>
      <c r="AA7207">
        <v>0.99807429999999997</v>
      </c>
      <c r="AB7207">
        <v>19</v>
      </c>
      <c r="AC7207">
        <v>-2.43910000000005</v>
      </c>
      <c r="AD7207">
        <v>-1.120815547841</v>
      </c>
      <c r="AE7207">
        <v>-39.9366699999999</v>
      </c>
      <c r="AF7207">
        <v>-2.4279281776031598</v>
      </c>
      <c r="AG7207">
        <v>-1.120815547841</v>
      </c>
      <c r="AH7207">
        <v>39.905920406627096</v>
      </c>
      <c r="AI7207">
        <v>91.605844126108906</v>
      </c>
      <c r="AJ7207">
        <v>93.481658113186299</v>
      </c>
      <c r="AK7207">
        <v>39.995419065537199</v>
      </c>
      <c r="AL7207">
        <v>83.958596784233805</v>
      </c>
      <c r="AM7207">
        <v>93.339133055193898</v>
      </c>
      <c r="AN7207">
        <v>1.0000000023912801</v>
      </c>
    </row>
    <row r="7208" spans="1:40" x14ac:dyDescent="0.25">
      <c r="A7208" t="str">
        <f>"20190303162057266"</f>
        <v>20190303162057266</v>
      </c>
      <c r="B7208" t="str">
        <f>"1551601257259822"</f>
        <v>1551601257259822</v>
      </c>
      <c r="C7208" t="s">
        <v>40</v>
      </c>
      <c r="D7208">
        <v>4.7301129999999896</v>
      </c>
      <c r="E7208">
        <v>0.49690030000000002</v>
      </c>
      <c r="F7208" t="s">
        <v>41</v>
      </c>
      <c r="G7208">
        <v>-423.30579999999998</v>
      </c>
      <c r="H7208" s="1">
        <v>-1.702156E-6</v>
      </c>
      <c r="I7208">
        <v>61.506549999999997</v>
      </c>
      <c r="J7208">
        <v>-420.94979999999998</v>
      </c>
      <c r="K7208">
        <v>1.1208769999999999</v>
      </c>
      <c r="L7208">
        <v>100.85899999999999</v>
      </c>
      <c r="M7208">
        <v>-0.1228414</v>
      </c>
      <c r="N7208">
        <v>-1.3436719999999999E-2</v>
      </c>
      <c r="O7208">
        <v>-0.99233539999999998</v>
      </c>
      <c r="P7208">
        <v>-6.3450519999999996E-2</v>
      </c>
      <c r="Q7208">
        <v>9.2894619999999997E-2</v>
      </c>
      <c r="R7208">
        <v>-0.99365230000000004</v>
      </c>
      <c r="S7208">
        <v>-0.18154909999999999</v>
      </c>
      <c r="T7208">
        <v>-8.5467219999999997E-2</v>
      </c>
      <c r="U7208">
        <v>-3.0151669999999999</v>
      </c>
      <c r="V7208">
        <v>-5.8929000000000002E-2</v>
      </c>
      <c r="W7208">
        <v>0.10633769999999999</v>
      </c>
      <c r="X7208">
        <v>0.99258230000000003</v>
      </c>
      <c r="Y7208">
        <v>-6.2971239999999998E-2</v>
      </c>
      <c r="Z7208">
        <v>1.4575319999999999E-2</v>
      </c>
      <c r="AA7208">
        <v>0.99790889999999999</v>
      </c>
      <c r="AB7208">
        <v>19</v>
      </c>
      <c r="AC7208">
        <v>-2.3559999999999901</v>
      </c>
      <c r="AD7208">
        <v>-1.1208787021560001</v>
      </c>
      <c r="AE7208">
        <v>-39.352449999999997</v>
      </c>
      <c r="AF7208">
        <v>-2.49437666524687</v>
      </c>
      <c r="AG7208">
        <v>-1.1208787021560001</v>
      </c>
      <c r="AH7208">
        <v>39.312014035716999</v>
      </c>
      <c r="AI7208">
        <v>91.629920049555196</v>
      </c>
      <c r="AJ7208">
        <v>93.630592989887603</v>
      </c>
      <c r="AK7208">
        <v>39.407013735596401</v>
      </c>
      <c r="AL7208">
        <v>83.895757213942304</v>
      </c>
      <c r="AM7208">
        <v>93.397626997912994</v>
      </c>
      <c r="AN7208">
        <v>0.99999997787778905</v>
      </c>
    </row>
    <row r="7209" spans="1:40" x14ac:dyDescent="0.25">
      <c r="A7209" t="str">
        <f>"20190303162057288"</f>
        <v>20190303162057288</v>
      </c>
      <c r="B7209" t="str">
        <f>"1551601257280318"</f>
        <v>1551601257280318</v>
      </c>
      <c r="C7209" t="s">
        <v>40</v>
      </c>
      <c r="D7209">
        <v>4.7385549999999999</v>
      </c>
      <c r="E7209">
        <v>0.49648389999999998</v>
      </c>
      <c r="F7209" t="s">
        <v>41</v>
      </c>
      <c r="G7209">
        <v>-423.27519999999998</v>
      </c>
      <c r="H7209" s="1">
        <v>-1.5402479999999999E-6</v>
      </c>
      <c r="I7209">
        <v>61.148090000000003</v>
      </c>
      <c r="J7209">
        <v>-420.9744</v>
      </c>
      <c r="K7209">
        <v>1.120933</v>
      </c>
      <c r="L7209">
        <v>100.6733</v>
      </c>
      <c r="M7209">
        <v>-0.1241302</v>
      </c>
      <c r="N7209">
        <v>-1.34328E-2</v>
      </c>
      <c r="O7209">
        <v>-0.99217509999999998</v>
      </c>
      <c r="P7209">
        <v>-6.2799540000000001E-2</v>
      </c>
      <c r="Q7209">
        <v>9.4843200000000003E-2</v>
      </c>
      <c r="R7209">
        <v>-0.99350950000000005</v>
      </c>
      <c r="S7209">
        <v>-0.17660519999999999</v>
      </c>
      <c r="T7209">
        <v>-8.5124850000000002E-2</v>
      </c>
      <c r="U7209">
        <v>-3.0158390000000002</v>
      </c>
      <c r="V7209">
        <v>-6.085898E-2</v>
      </c>
      <c r="W7209">
        <v>0.1082733</v>
      </c>
      <c r="X7209">
        <v>0.99225660000000004</v>
      </c>
      <c r="Y7209">
        <v>-6.5909860000000001E-2</v>
      </c>
      <c r="Z7209">
        <v>1.445215E-2</v>
      </c>
      <c r="AA7209">
        <v>0.99772090000000002</v>
      </c>
      <c r="AB7209">
        <v>19</v>
      </c>
      <c r="AC7209">
        <v>-2.3007999999999802</v>
      </c>
      <c r="AD7209">
        <v>-1.120934540248</v>
      </c>
      <c r="AE7209">
        <v>-39.525210000000001</v>
      </c>
      <c r="AF7209">
        <v>-2.6216108317621498</v>
      </c>
      <c r="AG7209">
        <v>-1.120934540248</v>
      </c>
      <c r="AH7209">
        <v>39.4734479445722</v>
      </c>
      <c r="AI7209">
        <v>91.623027689811195</v>
      </c>
      <c r="AJ7209">
        <v>93.799692638980503</v>
      </c>
      <c r="AK7209">
        <v>39.576286210679001</v>
      </c>
      <c r="AL7209">
        <v>83.784211825423597</v>
      </c>
      <c r="AM7209">
        <v>93.509777679082404</v>
      </c>
      <c r="AN7209">
        <v>1.00000004159154</v>
      </c>
    </row>
    <row r="7210" spans="1:40" x14ac:dyDescent="0.25">
      <c r="A7210" t="str">
        <f>"20190303162057310"</f>
        <v>20190303162057310</v>
      </c>
      <c r="B7210" t="str">
        <f>"1551601257299838"</f>
        <v>1551601257299838</v>
      </c>
      <c r="C7210" t="s">
        <v>40</v>
      </c>
      <c r="D7210">
        <v>4.7709299999999999</v>
      </c>
      <c r="E7210">
        <v>0.49619560000000001</v>
      </c>
      <c r="F7210" t="s">
        <v>41</v>
      </c>
      <c r="G7210">
        <v>-423.36099999999999</v>
      </c>
      <c r="H7210" s="1">
        <v>-4.5227020000000004E-6</v>
      </c>
      <c r="I7210">
        <v>58.525019999999998</v>
      </c>
      <c r="J7210">
        <v>-420.99829999999997</v>
      </c>
      <c r="K7210">
        <v>1.120981</v>
      </c>
      <c r="L7210">
        <v>100.494</v>
      </c>
      <c r="M7210">
        <v>-0.1253078</v>
      </c>
      <c r="N7210">
        <v>-1.3429139999999999E-2</v>
      </c>
      <c r="O7210">
        <v>-0.99202699999999999</v>
      </c>
      <c r="P7210">
        <v>-6.095188E-2</v>
      </c>
      <c r="Q7210">
        <v>9.4590400000000005E-2</v>
      </c>
      <c r="R7210">
        <v>-0.9936488</v>
      </c>
      <c r="S7210">
        <v>-0.17080689999999901</v>
      </c>
      <c r="T7210">
        <v>-8.0222730000000006E-2</v>
      </c>
      <c r="U7210">
        <v>-3.0164490000000002</v>
      </c>
      <c r="V7210">
        <v>-6.390237E-2</v>
      </c>
      <c r="W7210">
        <v>0.1080117</v>
      </c>
      <c r="X7210">
        <v>0.99209369999999997</v>
      </c>
      <c r="Y7210">
        <v>-6.9015800000000002E-2</v>
      </c>
      <c r="Z7210">
        <v>1.2839959999999999E-2</v>
      </c>
      <c r="AA7210">
        <v>0.997533</v>
      </c>
      <c r="AB7210">
        <v>19</v>
      </c>
      <c r="AC7210">
        <v>-2.36270000000001</v>
      </c>
      <c r="AD7210">
        <v>-1.120985522702</v>
      </c>
      <c r="AE7210">
        <v>-41.968980000000002</v>
      </c>
      <c r="AF7210">
        <v>-2.9133694445654599</v>
      </c>
      <c r="AG7210">
        <v>-1.120985522702</v>
      </c>
      <c r="AH7210">
        <v>41.904407564659103</v>
      </c>
      <c r="AI7210">
        <v>91.528666640841493</v>
      </c>
      <c r="AJ7210">
        <v>93.977042323893997</v>
      </c>
      <c r="AK7210">
        <v>42.020515268231698</v>
      </c>
      <c r="AL7210">
        <v>83.799288406129705</v>
      </c>
      <c r="AM7210">
        <v>93.685423276982903</v>
      </c>
      <c r="AN7210">
        <v>0.99999997490409798</v>
      </c>
    </row>
    <row r="7211" spans="1:40" x14ac:dyDescent="0.25">
      <c r="A7211" t="str">
        <f>"20190303162057332"</f>
        <v>20190303162057332</v>
      </c>
      <c r="B7211" t="str">
        <f>"1551601257320334"</f>
        <v>1551601257320334</v>
      </c>
      <c r="C7211" t="s">
        <v>40</v>
      </c>
      <c r="D7211">
        <v>4.9761759999999997</v>
      </c>
      <c r="E7211">
        <v>0.49579780000000001</v>
      </c>
      <c r="F7211" t="s">
        <v>41</v>
      </c>
      <c r="G7211">
        <v>-423.23930000000001</v>
      </c>
      <c r="H7211" s="1">
        <v>-4.6885229999999997E-6</v>
      </c>
      <c r="I7211">
        <v>59.07573</v>
      </c>
      <c r="J7211">
        <v>-421.02300000000002</v>
      </c>
      <c r="K7211">
        <v>1.12103</v>
      </c>
      <c r="L7211">
        <v>100.3094</v>
      </c>
      <c r="M7211">
        <v>-0.12643279999999901</v>
      </c>
      <c r="N7211">
        <v>-1.342544E-2</v>
      </c>
      <c r="O7211">
        <v>-0.9918844</v>
      </c>
      <c r="P7211">
        <v>-5.7621859999999997E-2</v>
      </c>
      <c r="Q7211">
        <v>9.2850180000000004E-2</v>
      </c>
      <c r="R7211">
        <v>-0.99401130000000004</v>
      </c>
      <c r="S7211">
        <v>-0.16323850000000001</v>
      </c>
      <c r="T7211">
        <v>-8.1653359999999994E-2</v>
      </c>
      <c r="U7211">
        <v>-3.016937</v>
      </c>
      <c r="V7211">
        <v>-6.8394129999999997E-2</v>
      </c>
      <c r="W7211">
        <v>0.1062637</v>
      </c>
      <c r="X7211">
        <v>0.99198299999999995</v>
      </c>
      <c r="Y7211">
        <v>-7.2649770000000002E-2</v>
      </c>
      <c r="Z7211">
        <v>1.329756E-2</v>
      </c>
      <c r="AA7211">
        <v>0.99726890000000001</v>
      </c>
      <c r="AB7211">
        <v>19</v>
      </c>
      <c r="AC7211">
        <v>-2.21629999999998</v>
      </c>
      <c r="AD7211">
        <v>-1.121034688523</v>
      </c>
      <c r="AE7211">
        <v>-41.233669999999897</v>
      </c>
      <c r="AF7211">
        <v>-3.0130257975700498</v>
      </c>
      <c r="AG7211">
        <v>-1.121034688523</v>
      </c>
      <c r="AH7211">
        <v>41.152624962709297</v>
      </c>
      <c r="AI7211">
        <v>91.556239377050403</v>
      </c>
      <c r="AJ7211">
        <v>94.187489350432003</v>
      </c>
      <c r="AK7211">
        <v>41.278003640572202</v>
      </c>
      <c r="AL7211">
        <v>83.900021407085603</v>
      </c>
      <c r="AM7211">
        <v>93.944123282663298</v>
      </c>
      <c r="AN7211">
        <v>1.0000000016225701</v>
      </c>
    </row>
    <row r="7212" spans="1:40" x14ac:dyDescent="0.25">
      <c r="A7212" t="str">
        <f>"20190303162057355"</f>
        <v>20190303162057355</v>
      </c>
      <c r="B7212" t="str">
        <f>"1551601257350123"</f>
        <v>1551601257350123</v>
      </c>
      <c r="C7212" t="s">
        <v>40</v>
      </c>
      <c r="D7212">
        <v>4.9266300000000003</v>
      </c>
      <c r="E7212">
        <v>0.48706189999999999</v>
      </c>
      <c r="F7212" t="s">
        <v>41</v>
      </c>
      <c r="G7212">
        <v>-422.97629999999998</v>
      </c>
      <c r="H7212" s="1">
        <v>-1.5235169999999999E-6</v>
      </c>
      <c r="I7212">
        <v>61.294510000000002</v>
      </c>
      <c r="J7212">
        <v>-421.04809999999998</v>
      </c>
      <c r="K7212">
        <v>1.1210979999999999</v>
      </c>
      <c r="L7212">
        <v>100.1233</v>
      </c>
      <c r="M7212">
        <v>-0.1274411</v>
      </c>
      <c r="N7212">
        <v>-1.3421600000000001E-2</v>
      </c>
      <c r="O7212">
        <v>-0.99175539999999995</v>
      </c>
      <c r="P7212">
        <v>-5.4039070000000002E-2</v>
      </c>
      <c r="Q7212">
        <v>9.2395909999999998E-2</v>
      </c>
      <c r="R7212">
        <v>-0.994255</v>
      </c>
      <c r="S7212">
        <v>-0.151062</v>
      </c>
      <c r="T7212">
        <v>-8.6700920000000001E-2</v>
      </c>
      <c r="U7212">
        <v>-3.0174259999999999</v>
      </c>
      <c r="V7212">
        <v>-7.3006580000000001E-2</v>
      </c>
      <c r="W7212">
        <v>0.10579570000000001</v>
      </c>
      <c r="X7212">
        <v>0.99170420000000004</v>
      </c>
      <c r="Y7212">
        <v>-7.7683890000000005E-2</v>
      </c>
      <c r="Z7212">
        <v>1.4933770000000001E-2</v>
      </c>
      <c r="AA7212">
        <v>0.99686620000000004</v>
      </c>
      <c r="AB7212">
        <v>19</v>
      </c>
      <c r="AC7212">
        <v>-1.9281999999999999</v>
      </c>
      <c r="AD7212">
        <v>-1.12109952351699</v>
      </c>
      <c r="AE7212">
        <v>-38.828789999999998</v>
      </c>
      <c r="AF7212">
        <v>-3.03383130626246</v>
      </c>
      <c r="AG7212">
        <v>-1.12109952351699</v>
      </c>
      <c r="AH7212">
        <v>38.725678296862903</v>
      </c>
      <c r="AI7212">
        <v>91.653174041469498</v>
      </c>
      <c r="AJ7212">
        <v>94.479493402574093</v>
      </c>
      <c r="AK7212">
        <v>38.860508953031101</v>
      </c>
      <c r="AL7212">
        <v>83.926987562228106</v>
      </c>
      <c r="AM7212">
        <v>94.210365193428999</v>
      </c>
      <c r="AN7212">
        <v>0.999999955579712</v>
      </c>
    </row>
    <row r="7213" spans="1:40" x14ac:dyDescent="0.25">
      <c r="A7213" t="str">
        <f>"20190303162057377"</f>
        <v>20190303162057377</v>
      </c>
      <c r="B7213" t="str">
        <f>"1551601257369641"</f>
        <v>1551601257369641</v>
      </c>
      <c r="C7213" t="s">
        <v>40</v>
      </c>
      <c r="D7213">
        <v>5.0447309999999996</v>
      </c>
      <c r="E7213">
        <v>0.48598989999999997</v>
      </c>
      <c r="F7213" t="s">
        <v>62</v>
      </c>
      <c r="G7213">
        <v>-422.63189999999997</v>
      </c>
      <c r="H7213" s="1">
        <v>-4.9577269999999997E-6</v>
      </c>
      <c r="I7213">
        <v>31.425249999999998</v>
      </c>
      <c r="J7213">
        <v>-421.07319999999999</v>
      </c>
      <c r="K7213">
        <v>1.1212009999999999</v>
      </c>
      <c r="L7213">
        <v>99.937129999999996</v>
      </c>
      <c r="M7213">
        <v>-0.128276</v>
      </c>
      <c r="N7213">
        <v>-1.341764E-2</v>
      </c>
      <c r="O7213">
        <v>-0.99164810000000003</v>
      </c>
      <c r="P7213">
        <v>-5.1515230000000002E-2</v>
      </c>
      <c r="Q7213">
        <v>9.2777100000000001E-2</v>
      </c>
      <c r="R7213">
        <v>-0.99435359999999995</v>
      </c>
      <c r="S7213">
        <v>-6.9580080000000002E-2</v>
      </c>
      <c r="T7213">
        <v>-4.9253699999999997E-2</v>
      </c>
      <c r="U7213">
        <v>-3.0181269999999998</v>
      </c>
      <c r="V7213">
        <v>-7.6382409999999998E-2</v>
      </c>
      <c r="W7213">
        <v>0.1061546</v>
      </c>
      <c r="X7213">
        <v>0.99141159999999995</v>
      </c>
      <c r="Y7213">
        <v>-0.10537489999999999</v>
      </c>
      <c r="Z7213">
        <v>2.670033E-3</v>
      </c>
      <c r="AA7213">
        <v>0.99442900000000001</v>
      </c>
      <c r="AB7213">
        <v>19</v>
      </c>
      <c r="AC7213">
        <v>-1.55869999999998</v>
      </c>
      <c r="AD7213">
        <v>-1.1212059577269999</v>
      </c>
      <c r="AE7213">
        <v>-68.511880000000005</v>
      </c>
      <c r="AF7213">
        <v>-7.24145908784475</v>
      </c>
      <c r="AG7213">
        <v>-1.1212059577269999</v>
      </c>
      <c r="AH7213">
        <v>68.127493133418895</v>
      </c>
      <c r="AI7213">
        <v>90.937577652824004</v>
      </c>
      <c r="AJ7213">
        <v>96.067344895673202</v>
      </c>
      <c r="AK7213">
        <v>68.520443322884404</v>
      </c>
      <c r="AL7213">
        <v>83.906308023182604</v>
      </c>
      <c r="AM7213">
        <v>94.405598358060104</v>
      </c>
      <c r="AN7213">
        <v>1.0000000161365601</v>
      </c>
    </row>
    <row r="7214" spans="1:40" x14ac:dyDescent="0.25">
      <c r="A7214" t="str">
        <f>"20190303162057398"</f>
        <v>20190303162057398</v>
      </c>
      <c r="B7214" t="str">
        <f>"1551601257390137"</f>
        <v>1551601257390137</v>
      </c>
      <c r="C7214" t="s">
        <v>40</v>
      </c>
      <c r="D7214">
        <v>4.98813</v>
      </c>
      <c r="E7214">
        <v>0.48576589999999997</v>
      </c>
      <c r="F7214" t="s">
        <v>62</v>
      </c>
      <c r="G7214">
        <v>-422.58519999999999</v>
      </c>
      <c r="H7214" s="1">
        <v>-9.5978249999999999E-6</v>
      </c>
      <c r="I7214">
        <v>12.799379999999999</v>
      </c>
      <c r="J7214">
        <v>-421.09699999999998</v>
      </c>
      <c r="K7214">
        <v>1.1213379999999999</v>
      </c>
      <c r="L7214">
        <v>99.760159999999999</v>
      </c>
      <c r="M7214">
        <v>-0.12885859999999999</v>
      </c>
      <c r="N7214">
        <v>-1.3413899999999999E-2</v>
      </c>
      <c r="O7214">
        <v>-0.99157260000000003</v>
      </c>
      <c r="P7214">
        <v>-4.9444229999999999E-2</v>
      </c>
      <c r="Q7214">
        <v>9.3924610000000006E-2</v>
      </c>
      <c r="R7214">
        <v>-0.99435099999999998</v>
      </c>
      <c r="S7214">
        <v>-5.2368159999999997E-2</v>
      </c>
      <c r="T7214">
        <v>-3.8832190000000003E-2</v>
      </c>
      <c r="U7214">
        <v>-3.017944</v>
      </c>
      <c r="V7214">
        <v>-7.90521E-2</v>
      </c>
      <c r="W7214">
        <v>0.10727159999999999</v>
      </c>
      <c r="X7214">
        <v>0.99108200000000002</v>
      </c>
      <c r="Y7214">
        <v>-0.111626</v>
      </c>
      <c r="Z7214">
        <v>-7.3486199999999997E-4</v>
      </c>
      <c r="AA7214">
        <v>0.99375000000000002</v>
      </c>
      <c r="AB7214">
        <v>19</v>
      </c>
      <c r="AC7214">
        <v>-1.4882</v>
      </c>
      <c r="AD7214">
        <v>-1.121347597825</v>
      </c>
      <c r="AE7214">
        <v>-86.96078</v>
      </c>
      <c r="AF7214">
        <v>-9.7292408607899006</v>
      </c>
      <c r="AG7214">
        <v>-1.121347597825</v>
      </c>
      <c r="AH7214">
        <v>86.413075722200006</v>
      </c>
      <c r="AI7214">
        <v>90.738795075778199</v>
      </c>
      <c r="AJ7214">
        <v>96.423874049253399</v>
      </c>
      <c r="AK7214">
        <v>86.966287743775098</v>
      </c>
      <c r="AL7214">
        <v>83.841940871413598</v>
      </c>
      <c r="AM7214">
        <v>94.5604527566489</v>
      </c>
      <c r="AN7214">
        <v>0.99999998070248397</v>
      </c>
    </row>
    <row r="7215" spans="1:40" x14ac:dyDescent="0.25">
      <c r="A7215" t="str">
        <f>"20190303162057421"</f>
        <v>20190303162057421</v>
      </c>
      <c r="B7215" t="str">
        <f>"1551601257409657"</f>
        <v>1551601257409657</v>
      </c>
      <c r="C7215" t="s">
        <v>40</v>
      </c>
      <c r="D7215">
        <v>4.9810889999999999</v>
      </c>
      <c r="E7215">
        <v>0.48574889999999998</v>
      </c>
      <c r="F7215" t="s">
        <v>44</v>
      </c>
      <c r="G7215">
        <v>-422.70119999999997</v>
      </c>
      <c r="H7215">
        <v>-0.05</v>
      </c>
      <c r="I7215">
        <v>-9.9476929999999992</v>
      </c>
      <c r="J7215">
        <v>-421.1216</v>
      </c>
      <c r="K7215">
        <v>1.121524</v>
      </c>
      <c r="L7215">
        <v>99.575959999999995</v>
      </c>
      <c r="M7215">
        <v>-0.12919829999999999</v>
      </c>
      <c r="N7215">
        <v>-1.341061E-2</v>
      </c>
      <c r="O7215">
        <v>-0.99152819999999997</v>
      </c>
      <c r="P7215">
        <v>-4.694015E-2</v>
      </c>
      <c r="Q7215">
        <v>9.5185580000000006E-2</v>
      </c>
      <c r="R7215">
        <v>-0.99435249999999997</v>
      </c>
      <c r="S7215">
        <v>-4.4128420000000002E-2</v>
      </c>
      <c r="T7215">
        <v>-3.2221909999999999E-2</v>
      </c>
      <c r="U7215">
        <v>-3.0179140000000002</v>
      </c>
      <c r="V7215">
        <v>-8.1922220000000004E-2</v>
      </c>
      <c r="W7215">
        <v>0.10849</v>
      </c>
      <c r="X7215">
        <v>0.99071620000000005</v>
      </c>
      <c r="Y7215">
        <v>-0.1146795</v>
      </c>
      <c r="Z7215">
        <v>-2.8917859999999999E-3</v>
      </c>
      <c r="AA7215">
        <v>0.99339829999999996</v>
      </c>
      <c r="AB7215">
        <v>19</v>
      </c>
      <c r="AC7215">
        <v>-1.5795999999999699</v>
      </c>
      <c r="AD7215">
        <v>-1.171524</v>
      </c>
      <c r="AE7215">
        <v>-109.523653</v>
      </c>
      <c r="AF7215">
        <v>-12.583742726895601</v>
      </c>
      <c r="AG7215">
        <v>-1.171524</v>
      </c>
      <c r="AH7215">
        <v>108.797199667866</v>
      </c>
      <c r="AI7215">
        <v>90.612849523047302</v>
      </c>
      <c r="AJ7215">
        <v>96.597649631047204</v>
      </c>
      <c r="AK7215">
        <v>109.528780259203</v>
      </c>
      <c r="AL7215">
        <v>83.771721746175501</v>
      </c>
      <c r="AM7215">
        <v>94.727027778613106</v>
      </c>
      <c r="AN7215">
        <v>0.99999995958608301</v>
      </c>
    </row>
    <row r="7216" spans="1:40" x14ac:dyDescent="0.25">
      <c r="A7216" t="str">
        <f>"20190303162057443"</f>
        <v>20190303162057443</v>
      </c>
      <c r="B7216" t="str">
        <f>"1551601257430153"</f>
        <v>1551601257430153</v>
      </c>
      <c r="C7216" t="s">
        <v>40</v>
      </c>
      <c r="D7216">
        <v>4.9232060000000004</v>
      </c>
      <c r="E7216">
        <v>0.4858517</v>
      </c>
      <c r="F7216" t="s">
        <v>72</v>
      </c>
      <c r="G7216">
        <v>-422.30419999999998</v>
      </c>
      <c r="H7216">
        <v>0.1673675</v>
      </c>
      <c r="I7216">
        <v>0.45395279999999999</v>
      </c>
      <c r="J7216">
        <v>-421.14589999999998</v>
      </c>
      <c r="K7216">
        <v>1.121756</v>
      </c>
      <c r="L7216">
        <v>99.391239999999996</v>
      </c>
      <c r="M7216">
        <v>-0.1292053</v>
      </c>
      <c r="N7216">
        <v>-1.340857E-2</v>
      </c>
      <c r="O7216">
        <v>-0.9915273</v>
      </c>
      <c r="P7216">
        <v>-4.5442639999999999E-2</v>
      </c>
      <c r="Q7216">
        <v>9.6418770000000001E-2</v>
      </c>
      <c r="R7216">
        <v>-0.9943033</v>
      </c>
      <c r="S7216">
        <v>-3.6010739999999999E-2</v>
      </c>
      <c r="T7216">
        <v>-2.9053450000000001E-2</v>
      </c>
      <c r="U7216">
        <v>-3.0181269999999998</v>
      </c>
      <c r="V7216">
        <v>-8.3466869999999999E-2</v>
      </c>
      <c r="W7216">
        <v>0.10967300000000001</v>
      </c>
      <c r="X7216">
        <v>0.99045700000000003</v>
      </c>
      <c r="Y7216">
        <v>-0.117359</v>
      </c>
      <c r="Z7216">
        <v>-3.9271740000000003E-3</v>
      </c>
      <c r="AA7216">
        <v>0.99308180000000001</v>
      </c>
      <c r="AB7216">
        <v>19</v>
      </c>
      <c r="AC7216">
        <v>-1.1582999999999899</v>
      </c>
      <c r="AD7216">
        <v>-0.95438849999999997</v>
      </c>
      <c r="AE7216">
        <v>-98.9372872</v>
      </c>
      <c r="AF7216">
        <v>-11.6346982691964</v>
      </c>
      <c r="AG7216">
        <v>-0.95438849999999997</v>
      </c>
      <c r="AH7216">
        <v>98.248362800404195</v>
      </c>
      <c r="AI7216">
        <v>90.552694324660393</v>
      </c>
      <c r="AJ7216">
        <v>96.753587681138697</v>
      </c>
      <c r="AK7216">
        <v>98.9394656049042</v>
      </c>
      <c r="AL7216">
        <v>83.703534053093193</v>
      </c>
      <c r="AM7216">
        <v>94.8169952799566</v>
      </c>
      <c r="AN7216">
        <v>0.99999997708279798</v>
      </c>
    </row>
    <row r="7217" spans="1:40" x14ac:dyDescent="0.25">
      <c r="A7217" t="str">
        <f>"20190303162057468"</f>
        <v>20190303162057468</v>
      </c>
      <c r="B7217" t="str">
        <f>"1551601257460409"</f>
        <v>1551601257460409</v>
      </c>
      <c r="C7217" t="s">
        <v>40</v>
      </c>
      <c r="D7217">
        <v>4.9198930000000001</v>
      </c>
      <c r="E7217">
        <v>0.4858423</v>
      </c>
      <c r="F7217" t="s">
        <v>72</v>
      </c>
      <c r="G7217">
        <v>-422.14510000000001</v>
      </c>
      <c r="H7217">
        <v>0.23975489999999999</v>
      </c>
      <c r="I7217">
        <v>0.45556829999999998</v>
      </c>
      <c r="J7217">
        <v>-421.1703</v>
      </c>
      <c r="K7217">
        <v>1.1220330000000001</v>
      </c>
      <c r="L7217">
        <v>99.201480000000004</v>
      </c>
      <c r="M7217">
        <v>-0.12873579999999901</v>
      </c>
      <c r="N7217">
        <v>-1.340881E-2</v>
      </c>
      <c r="O7217">
        <v>-0.99158860000000004</v>
      </c>
      <c r="P7217">
        <v>-4.6153380000000001E-2</v>
      </c>
      <c r="Q7217">
        <v>9.7550849999999995E-2</v>
      </c>
      <c r="R7217">
        <v>-0.99416020000000005</v>
      </c>
      <c r="S7217">
        <v>-3.048706E-2</v>
      </c>
      <c r="T7217">
        <v>-2.6909590000000001E-2</v>
      </c>
      <c r="U7217">
        <v>-3.018402</v>
      </c>
      <c r="V7217">
        <v>-8.2348459999999998E-2</v>
      </c>
      <c r="W7217">
        <v>0.1107508</v>
      </c>
      <c r="X7217">
        <v>0.9904307</v>
      </c>
      <c r="Y7217">
        <v>-0.118707199999999</v>
      </c>
      <c r="Z7217">
        <v>-4.6284969999999996E-3</v>
      </c>
      <c r="AA7217">
        <v>0.99291850000000004</v>
      </c>
      <c r="AB7217">
        <v>18</v>
      </c>
      <c r="AC7217">
        <v>-0.97480000000001599</v>
      </c>
      <c r="AD7217">
        <v>-0.88227809999999995</v>
      </c>
      <c r="AE7217">
        <v>-98.745911699999994</v>
      </c>
      <c r="AF7217">
        <v>-11.745647995556199</v>
      </c>
      <c r="AG7217">
        <v>-0.88227809999999995</v>
      </c>
      <c r="AH7217">
        <v>98.041768765993595</v>
      </c>
      <c r="AI7217">
        <v>90.511930441984603</v>
      </c>
      <c r="AJ7217">
        <v>96.831617291538905</v>
      </c>
      <c r="AK7217">
        <v>98.746782652630301</v>
      </c>
      <c r="AL7217">
        <v>83.641402239563206</v>
      </c>
      <c r="AM7217">
        <v>94.752873498681296</v>
      </c>
      <c r="AN7217">
        <v>0.99999999003374995</v>
      </c>
    </row>
    <row r="7218" spans="1:40" x14ac:dyDescent="0.25">
      <c r="A7218" t="str">
        <f>"20190303162057490"</f>
        <v>20190303162057490</v>
      </c>
      <c r="B7218" t="str">
        <f>"1551601257479928"</f>
        <v>1551601257479928</v>
      </c>
      <c r="C7218" t="s">
        <v>40</v>
      </c>
      <c r="D7218">
        <v>4.7324960000000003</v>
      </c>
      <c r="E7218">
        <v>0.48617949999999999</v>
      </c>
      <c r="F7218" t="s">
        <v>72</v>
      </c>
      <c r="G7218">
        <v>-422.16550000000001</v>
      </c>
      <c r="H7218">
        <v>0.26932879999999998</v>
      </c>
      <c r="I7218">
        <v>0.4553642</v>
      </c>
      <c r="J7218">
        <v>-421.19310000000002</v>
      </c>
      <c r="K7218">
        <v>1.122328</v>
      </c>
      <c r="L7218">
        <v>99.018770000000004</v>
      </c>
      <c r="M7218">
        <v>-0.12778510000000001</v>
      </c>
      <c r="N7218">
        <v>-1.3412200000000001E-2</v>
      </c>
      <c r="O7218">
        <v>-0.99171140000000002</v>
      </c>
      <c r="P7218">
        <v>-4.7499810000000003E-2</v>
      </c>
      <c r="Q7218">
        <v>9.7429680000000005E-2</v>
      </c>
      <c r="R7218">
        <v>-0.99410869999999996</v>
      </c>
      <c r="S7218">
        <v>-3.042603E-2</v>
      </c>
      <c r="T7218">
        <v>-2.6068810000000001E-2</v>
      </c>
      <c r="U7218">
        <v>-3.0187680000000001</v>
      </c>
      <c r="V7218">
        <v>-8.0134339999999998E-2</v>
      </c>
      <c r="W7218">
        <v>0.1105811</v>
      </c>
      <c r="X7218">
        <v>0.99063129999999999</v>
      </c>
      <c r="Y7218">
        <v>-0.11777700000000001</v>
      </c>
      <c r="Z7218">
        <v>-4.9049949999999997E-3</v>
      </c>
      <c r="AA7218">
        <v>0.99302789999999996</v>
      </c>
      <c r="AB7218">
        <v>18</v>
      </c>
      <c r="AC7218">
        <v>-0.97239999999999305</v>
      </c>
      <c r="AD7218">
        <v>-0.85299919999999996</v>
      </c>
      <c r="AE7218">
        <v>-98.563405799999899</v>
      </c>
      <c r="AF7218">
        <v>-11.630767269842201</v>
      </c>
      <c r="AG7218">
        <v>-0.85299919999999996</v>
      </c>
      <c r="AH7218">
        <v>97.872165223596795</v>
      </c>
      <c r="AI7218">
        <v>90.495856602384904</v>
      </c>
      <c r="AJ7218">
        <v>96.777036525103796</v>
      </c>
      <c r="AK7218">
        <v>98.564512277368095</v>
      </c>
      <c r="AL7218">
        <v>83.651185694761594</v>
      </c>
      <c r="AM7218">
        <v>94.624711554512203</v>
      </c>
      <c r="AN7218">
        <v>1.0000000323320599</v>
      </c>
    </row>
    <row r="7219" spans="1:40" x14ac:dyDescent="0.25">
      <c r="A7219" t="str">
        <f>"20190303162057512"</f>
        <v>20190303162057512</v>
      </c>
      <c r="B7219" t="str">
        <f>"1551601257500425"</f>
        <v>1551601257500425</v>
      </c>
      <c r="C7219" t="s">
        <v>40</v>
      </c>
      <c r="D7219">
        <v>5.0373140000000003</v>
      </c>
      <c r="E7219">
        <v>0.48650710000000003</v>
      </c>
      <c r="F7219" t="s">
        <v>72</v>
      </c>
      <c r="G7219">
        <v>-422.34899999999999</v>
      </c>
      <c r="H7219">
        <v>0.2346424</v>
      </c>
      <c r="I7219">
        <v>0.45349689999999998</v>
      </c>
      <c r="J7219">
        <v>-421.2149</v>
      </c>
      <c r="K7219">
        <v>1.12259</v>
      </c>
      <c r="L7219">
        <v>98.839079999999996</v>
      </c>
      <c r="M7219">
        <v>-0.12643009999999999</v>
      </c>
      <c r="N7219">
        <v>-1.3417999999999999E-2</v>
      </c>
      <c r="O7219">
        <v>-0.99188509999999996</v>
      </c>
      <c r="P7219">
        <v>-4.9690659999999998E-2</v>
      </c>
      <c r="Q7219">
        <v>9.5583349999999997E-2</v>
      </c>
      <c r="R7219">
        <v>-0.99418090000000003</v>
      </c>
      <c r="S7219">
        <v>-3.5400389999999997E-2</v>
      </c>
      <c r="T7219">
        <v>-2.7187820000000001E-2</v>
      </c>
      <c r="U7219">
        <v>-3.0187379999999999</v>
      </c>
      <c r="V7219">
        <v>-7.6682169999999994E-2</v>
      </c>
      <c r="W7219">
        <v>0.1087033</v>
      </c>
      <c r="X7219">
        <v>0.9911122</v>
      </c>
      <c r="Y7219">
        <v>-0.1147837</v>
      </c>
      <c r="Z7219">
        <v>-4.540741E-3</v>
      </c>
      <c r="AA7219">
        <v>0.99338009999999999</v>
      </c>
      <c r="AB7219">
        <v>18</v>
      </c>
      <c r="AC7219">
        <v>-1.1340999999999799</v>
      </c>
      <c r="AD7219">
        <v>-0.88794759999999995</v>
      </c>
      <c r="AE7219">
        <v>-98.385583099999906</v>
      </c>
      <c r="AF7219">
        <v>-11.314095642772401</v>
      </c>
      <c r="AG7219">
        <v>-0.88794759999999995</v>
      </c>
      <c r="AH7219">
        <v>97.731385313332893</v>
      </c>
      <c r="AI7219">
        <v>90.5170984454994</v>
      </c>
      <c r="AJ7219">
        <v>96.603580130507197</v>
      </c>
      <c r="AK7219">
        <v>98.388113542324206</v>
      </c>
      <c r="AL7219">
        <v>83.759427962651401</v>
      </c>
      <c r="AM7219">
        <v>94.424150264822998</v>
      </c>
      <c r="AN7219">
        <v>0.99999997780781902</v>
      </c>
    </row>
    <row r="7220" spans="1:40" x14ac:dyDescent="0.25">
      <c r="A7220" t="str">
        <f>"20190303162057533"</f>
        <v>20190303162057533</v>
      </c>
      <c r="B7220" t="str">
        <f>"1551601257529704"</f>
        <v>1551601257529704</v>
      </c>
      <c r="C7220" t="s">
        <v>40</v>
      </c>
      <c r="D7220">
        <v>5.0217320000000001</v>
      </c>
      <c r="E7220">
        <v>0.4866875</v>
      </c>
      <c r="F7220" t="s">
        <v>62</v>
      </c>
      <c r="G7220">
        <v>-422.58589999999998</v>
      </c>
      <c r="H7220">
        <v>7.9986539999999995E-2</v>
      </c>
      <c r="I7220">
        <v>4.9952740000000002</v>
      </c>
      <c r="J7220">
        <v>-421.23570000000001</v>
      </c>
      <c r="K7220">
        <v>1.122811</v>
      </c>
      <c r="L7220">
        <v>98.661680000000004</v>
      </c>
      <c r="M7220">
        <v>-0.1246964</v>
      </c>
      <c r="N7220">
        <v>-1.3424180000000001E-2</v>
      </c>
      <c r="O7220">
        <v>-0.99210410000000004</v>
      </c>
      <c r="P7220">
        <v>-5.1586949999999999E-2</v>
      </c>
      <c r="Q7220">
        <v>9.2661510000000002E-2</v>
      </c>
      <c r="R7220">
        <v>-0.99436029999999997</v>
      </c>
      <c r="S7220">
        <v>-4.4097900000000002E-2</v>
      </c>
      <c r="T7220">
        <v>-3.3536429999999999E-2</v>
      </c>
      <c r="U7220">
        <v>-3.0185849999999999</v>
      </c>
      <c r="V7220">
        <v>-7.3139709999999997E-2</v>
      </c>
      <c r="W7220">
        <v>0.105763</v>
      </c>
      <c r="X7220">
        <v>0.99169790000000002</v>
      </c>
      <c r="Y7220">
        <v>-0.110183</v>
      </c>
      <c r="Z7220">
        <v>-2.4672209999999999E-3</v>
      </c>
      <c r="AA7220">
        <v>0.99390820000000002</v>
      </c>
      <c r="AB7220">
        <v>18</v>
      </c>
      <c r="AC7220">
        <v>-1.3501999999999701</v>
      </c>
      <c r="AD7220">
        <v>-1.0428244600000001</v>
      </c>
      <c r="AE7220">
        <v>-93.666405999999995</v>
      </c>
      <c r="AF7220">
        <v>-10.339975388385501</v>
      </c>
      <c r="AG7220">
        <v>-1.0428244600000001</v>
      </c>
      <c r="AH7220">
        <v>93.092045849755493</v>
      </c>
      <c r="AI7220">
        <v>90.637882579704296</v>
      </c>
      <c r="AJ7220">
        <v>96.338012009855305</v>
      </c>
      <c r="AK7220">
        <v>93.670334548243005</v>
      </c>
      <c r="AL7220">
        <v>83.928871836228595</v>
      </c>
      <c r="AM7220">
        <v>94.218041952542094</v>
      </c>
      <c r="AN7220">
        <v>0.99999997710614597</v>
      </c>
    </row>
    <row r="7221" spans="1:40" x14ac:dyDescent="0.25">
      <c r="A7221" t="str">
        <f>"20190303162057556"</f>
        <v>20190303162057556</v>
      </c>
      <c r="B7221" t="str">
        <f>"1551601257550201"</f>
        <v>1551601257550201</v>
      </c>
      <c r="C7221" t="s">
        <v>40</v>
      </c>
      <c r="D7221">
        <v>4.7643570000000004</v>
      </c>
      <c r="E7221">
        <v>0.48692790000000002</v>
      </c>
      <c r="F7221" t="s">
        <v>62</v>
      </c>
      <c r="G7221">
        <v>-422.56299999999999</v>
      </c>
      <c r="H7221" s="1">
        <v>-9.8361510000000001E-6</v>
      </c>
      <c r="I7221">
        <v>20.05087</v>
      </c>
      <c r="J7221">
        <v>-421.25599999999997</v>
      </c>
      <c r="K7221">
        <v>1.1229979999999999</v>
      </c>
      <c r="L7221">
        <v>98.481409999999997</v>
      </c>
      <c r="M7221">
        <v>-0.12255439999999899</v>
      </c>
      <c r="N7221">
        <v>-1.342989E-2</v>
      </c>
      <c r="O7221">
        <v>-0.992371</v>
      </c>
      <c r="P7221">
        <v>-5.2353450000000003E-2</v>
      </c>
      <c r="Q7221">
        <v>9.0906909999999994E-2</v>
      </c>
      <c r="R7221">
        <v>-0.99448250000000005</v>
      </c>
      <c r="S7221">
        <v>-5.096436E-2</v>
      </c>
      <c r="T7221">
        <v>-4.3112280000000003E-2</v>
      </c>
      <c r="U7221">
        <v>-3.0183719999999998</v>
      </c>
      <c r="V7221">
        <v>-7.0293549999999996E-2</v>
      </c>
      <c r="W7221">
        <v>0.10399559999999999</v>
      </c>
      <c r="X7221">
        <v>0.99209060000000004</v>
      </c>
      <c r="Y7221">
        <v>-0.1057732</v>
      </c>
      <c r="Z7221">
        <v>6.6346340000000001E-4</v>
      </c>
      <c r="AA7221">
        <v>0.99439010000000005</v>
      </c>
      <c r="AB7221">
        <v>18</v>
      </c>
      <c r="AC7221">
        <v>-1.3070000000000701</v>
      </c>
      <c r="AD7221">
        <v>-1.1230078361510001</v>
      </c>
      <c r="AE7221">
        <v>-78.430539999999993</v>
      </c>
      <c r="AF7221">
        <v>-8.3140241637718493</v>
      </c>
      <c r="AG7221">
        <v>-1.1230078361510001</v>
      </c>
      <c r="AH7221">
        <v>77.983417070217001</v>
      </c>
      <c r="AI7221">
        <v>90.820387895581106</v>
      </c>
      <c r="AJ7221">
        <v>96.085471959945394</v>
      </c>
      <c r="AK7221">
        <v>78.433395198367194</v>
      </c>
      <c r="AL7221">
        <v>84.030698205359101</v>
      </c>
      <c r="AM7221">
        <v>94.052859889856606</v>
      </c>
      <c r="AN7221">
        <v>1.00000001329966</v>
      </c>
    </row>
    <row r="7222" spans="1:40" x14ac:dyDescent="0.25">
      <c r="A7222" t="str">
        <f>"20190303162057577"</f>
        <v>20190303162057577</v>
      </c>
      <c r="B7222" t="str">
        <f>"1551601257569722"</f>
        <v>1551601257569722</v>
      </c>
      <c r="C7222" t="s">
        <v>40</v>
      </c>
      <c r="D7222">
        <v>4.974812</v>
      </c>
      <c r="E7222">
        <v>0.4870738</v>
      </c>
      <c r="F7222" t="s">
        <v>62</v>
      </c>
      <c r="G7222">
        <v>-422.55799999999999</v>
      </c>
      <c r="H7222" s="1">
        <v>-5.9039670000000003E-6</v>
      </c>
      <c r="I7222">
        <v>29.545580000000001</v>
      </c>
      <c r="J7222">
        <v>-421.27530000000002</v>
      </c>
      <c r="K7222">
        <v>1.1231409999999999</v>
      </c>
      <c r="L7222">
        <v>98.303439999999995</v>
      </c>
      <c r="M7222">
        <v>-0.120129399999999</v>
      </c>
      <c r="N7222">
        <v>-1.3435509999999999E-2</v>
      </c>
      <c r="O7222">
        <v>-0.99266739999999998</v>
      </c>
      <c r="P7222">
        <v>-5.0208080000000002E-2</v>
      </c>
      <c r="Q7222">
        <v>8.9710979999999996E-2</v>
      </c>
      <c r="R7222">
        <v>-0.99470159999999996</v>
      </c>
      <c r="S7222">
        <v>-5.7006840000000003E-2</v>
      </c>
      <c r="T7222">
        <v>-4.9167040000000002E-2</v>
      </c>
      <c r="U7222">
        <v>-3.0181269999999998</v>
      </c>
      <c r="V7222">
        <v>-7.0055030000000004E-2</v>
      </c>
      <c r="W7222">
        <v>0.1027829</v>
      </c>
      <c r="X7222">
        <v>0.99223380000000005</v>
      </c>
      <c r="Y7222">
        <v>-0.1013505</v>
      </c>
      <c r="Z7222">
        <v>2.6482599999999999E-3</v>
      </c>
      <c r="AA7222">
        <v>0.99484720000000004</v>
      </c>
      <c r="AB7222">
        <v>18</v>
      </c>
      <c r="AC7222">
        <v>-1.2827000000000299</v>
      </c>
      <c r="AD7222">
        <v>-1.1231469039669999</v>
      </c>
      <c r="AE7222">
        <v>-68.757859999999994</v>
      </c>
      <c r="AF7222">
        <v>-6.9853129100082496</v>
      </c>
      <c r="AG7222">
        <v>-1.1231469039669999</v>
      </c>
      <c r="AH7222">
        <v>68.395702538563896</v>
      </c>
      <c r="AI7222">
        <v>90.935919470578696</v>
      </c>
      <c r="AJ7222">
        <v>95.831448760975803</v>
      </c>
      <c r="AK7222">
        <v>68.760658673127395</v>
      </c>
      <c r="AL7222">
        <v>84.100554926394295</v>
      </c>
      <c r="AM7222">
        <v>94.038572320125795</v>
      </c>
      <c r="AN7222">
        <v>0.99999997281157504</v>
      </c>
    </row>
    <row r="7223" spans="1:40" x14ac:dyDescent="0.25">
      <c r="A7223" t="str">
        <f>"20190303162057600"</f>
        <v>20190303162057600</v>
      </c>
      <c r="B7223" t="str">
        <f>"1551601257590217"</f>
        <v>1551601257590217</v>
      </c>
      <c r="C7223" t="s">
        <v>40</v>
      </c>
      <c r="D7223">
        <v>5.0401449999999999</v>
      </c>
      <c r="E7223">
        <v>0.48725499999999999</v>
      </c>
      <c r="F7223" t="s">
        <v>62</v>
      </c>
      <c r="G7223">
        <v>-422.41149999999999</v>
      </c>
      <c r="H7223" s="1">
        <v>-3.275752E-6</v>
      </c>
      <c r="I7223">
        <v>34.997779999999999</v>
      </c>
      <c r="J7223">
        <v>-421.29419999999999</v>
      </c>
      <c r="K7223">
        <v>1.1232439999999999</v>
      </c>
      <c r="L7223">
        <v>98.122039999999998</v>
      </c>
      <c r="M7223">
        <v>-0.11743820000000001</v>
      </c>
      <c r="N7223">
        <v>-1.3441069999999999E-2</v>
      </c>
      <c r="O7223">
        <v>-0.99298920000000002</v>
      </c>
      <c r="P7223">
        <v>-4.4079060000000003E-2</v>
      </c>
      <c r="Q7223">
        <v>8.9526729999999999E-2</v>
      </c>
      <c r="R7223">
        <v>-0.99500860000000002</v>
      </c>
      <c r="S7223">
        <v>-5.41687E-2</v>
      </c>
      <c r="T7223">
        <v>-5.354536E-2</v>
      </c>
      <c r="U7223">
        <v>-3.0180660000000001</v>
      </c>
      <c r="V7223">
        <v>-7.3509149999999995E-2</v>
      </c>
      <c r="W7223">
        <v>0.10256989999999901</v>
      </c>
      <c r="X7223">
        <v>0.9920059</v>
      </c>
      <c r="Y7223">
        <v>-9.9588040000000003E-2</v>
      </c>
      <c r="Z7223">
        <v>4.0828920000000003E-3</v>
      </c>
      <c r="AA7223">
        <v>0.99502040000000003</v>
      </c>
      <c r="AB7223">
        <v>18</v>
      </c>
      <c r="AC7223">
        <v>-1.1173</v>
      </c>
      <c r="AD7223">
        <v>-1.123247275752</v>
      </c>
      <c r="AE7223">
        <v>-63.12426</v>
      </c>
      <c r="AF7223">
        <v>-6.30230741075437</v>
      </c>
      <c r="AG7223">
        <v>-1.123247275752</v>
      </c>
      <c r="AH7223">
        <v>62.798720606795797</v>
      </c>
      <c r="AI7223">
        <v>91.0195893461309</v>
      </c>
      <c r="AJ7223">
        <v>95.730859132605303</v>
      </c>
      <c r="AK7223">
        <v>63.124163938958702</v>
      </c>
      <c r="AL7223">
        <v>84.112823592318193</v>
      </c>
      <c r="AM7223">
        <v>94.237959035220399</v>
      </c>
      <c r="AN7223">
        <v>0.99999994257726899</v>
      </c>
    </row>
    <row r="7224" spans="1:40" x14ac:dyDescent="0.25">
      <c r="A7224" t="str">
        <f>"20190303162057623"</f>
        <v>20190303162057623</v>
      </c>
      <c r="B7224" t="str">
        <f>"1551601257620473"</f>
        <v>1551601257620473</v>
      </c>
      <c r="C7224" t="s">
        <v>40</v>
      </c>
      <c r="D7224">
        <v>4.977125</v>
      </c>
      <c r="E7224">
        <v>0.48743880000000001</v>
      </c>
      <c r="F7224" t="s">
        <v>62</v>
      </c>
      <c r="G7224">
        <v>-422.10520000000002</v>
      </c>
      <c r="H7224" s="1">
        <v>-2.4773629999999998E-6</v>
      </c>
      <c r="I7224">
        <v>36.186729999999997</v>
      </c>
      <c r="J7224">
        <v>-421.31229999999999</v>
      </c>
      <c r="K7224">
        <v>1.1232770000000001</v>
      </c>
      <c r="L7224">
        <v>97.941220000000001</v>
      </c>
      <c r="M7224">
        <v>-0.1146346</v>
      </c>
      <c r="N7224">
        <v>-1.344503E-2</v>
      </c>
      <c r="O7224">
        <v>-0.99331689999999995</v>
      </c>
      <c r="P7224">
        <v>-3.6053290000000002E-2</v>
      </c>
      <c r="Q7224">
        <v>8.8263560000000005E-2</v>
      </c>
      <c r="R7224">
        <v>-0.99544469999999996</v>
      </c>
      <c r="S7224">
        <v>-3.9520260000000001E-2</v>
      </c>
      <c r="T7224">
        <v>-5.4737809999999998E-2</v>
      </c>
      <c r="U7224">
        <v>-3.0182190000000002</v>
      </c>
      <c r="V7224">
        <v>-7.8732739999999996E-2</v>
      </c>
      <c r="W7224">
        <v>0.1012773</v>
      </c>
      <c r="X7224">
        <v>0.99173789999999995</v>
      </c>
      <c r="Y7224">
        <v>-0.10160710000000001</v>
      </c>
      <c r="Z7224">
        <v>4.471516E-3</v>
      </c>
      <c r="AA7224">
        <v>0.99481459999999999</v>
      </c>
      <c r="AB7224">
        <v>18</v>
      </c>
      <c r="AC7224">
        <v>-0.79290000000003102</v>
      </c>
      <c r="AD7224">
        <v>-1.1232794773629999</v>
      </c>
      <c r="AE7224">
        <v>-61.754489999999997</v>
      </c>
      <c r="AF7224">
        <v>-6.2900872410578303</v>
      </c>
      <c r="AG7224">
        <v>-1.1232794773629999</v>
      </c>
      <c r="AH7224">
        <v>61.417898581122699</v>
      </c>
      <c r="AI7224">
        <v>91.042321871219698</v>
      </c>
      <c r="AJ7224">
        <v>95.8475346603785</v>
      </c>
      <c r="AK7224">
        <v>61.749374251124699</v>
      </c>
      <c r="AL7224">
        <v>84.187272165466496</v>
      </c>
      <c r="AM7224">
        <v>94.539114949900096</v>
      </c>
      <c r="AN7224">
        <v>0.99999999906980297</v>
      </c>
    </row>
    <row r="7225" spans="1:40" x14ac:dyDescent="0.25">
      <c r="A7225" t="str">
        <f>"20190303162057638"</f>
        <v>20190303162057638</v>
      </c>
      <c r="B7225" t="str">
        <f>"1551601257630233"</f>
        <v>1551601257630233</v>
      </c>
      <c r="C7225" t="s">
        <v>40</v>
      </c>
      <c r="D7225">
        <v>4.921335</v>
      </c>
      <c r="E7225">
        <v>0.48748200000000003</v>
      </c>
      <c r="F7225" t="s">
        <v>41</v>
      </c>
      <c r="G7225">
        <v>-421.68419999999998</v>
      </c>
      <c r="H7225" s="1">
        <v>-8.6040769999999898E-7</v>
      </c>
      <c r="I7225">
        <v>40.550130000000003</v>
      </c>
      <c r="J7225">
        <v>-421.3236</v>
      </c>
      <c r="K7225">
        <v>1.1232629999999999</v>
      </c>
      <c r="L7225">
        <v>97.824250000000006</v>
      </c>
      <c r="M7225">
        <v>-0.1127958</v>
      </c>
      <c r="N7225">
        <v>-1.344598E-2</v>
      </c>
      <c r="O7225">
        <v>-0.99352720000000005</v>
      </c>
      <c r="P7225">
        <v>-3.1355319999999999E-2</v>
      </c>
      <c r="Q7225">
        <v>8.7226109999999996E-2</v>
      </c>
      <c r="R7225">
        <v>-0.99569479999999999</v>
      </c>
      <c r="S7225">
        <v>-1.9561769999999999E-2</v>
      </c>
      <c r="T7225">
        <v>-5.9074160000000001E-2</v>
      </c>
      <c r="U7225">
        <v>-3.0182500000000001</v>
      </c>
      <c r="V7225">
        <v>-8.1584660000000003E-2</v>
      </c>
      <c r="W7225">
        <v>0.1002284</v>
      </c>
      <c r="X7225">
        <v>0.99161390000000005</v>
      </c>
      <c r="Y7225">
        <v>-0.1063404</v>
      </c>
      <c r="Z7225">
        <v>5.8853439999999998E-3</v>
      </c>
      <c r="AA7225">
        <v>0.99431230000000004</v>
      </c>
      <c r="AB7225">
        <v>18</v>
      </c>
      <c r="AC7225">
        <v>-0.360599999999976</v>
      </c>
      <c r="AD7225">
        <v>-1.1232638604077001</v>
      </c>
      <c r="AE7225">
        <v>-57.274120000000003</v>
      </c>
      <c r="AF7225">
        <v>-6.1002197511122498</v>
      </c>
      <c r="AG7225">
        <v>-1.1232638604077001</v>
      </c>
      <c r="AH7225">
        <v>56.927323710309899</v>
      </c>
      <c r="AI7225">
        <v>91.123954365815806</v>
      </c>
      <c r="AJ7225">
        <v>96.116362928859999</v>
      </c>
      <c r="AK7225">
        <v>57.264252265530999</v>
      </c>
      <c r="AL7225">
        <v>84.247676844608804</v>
      </c>
      <c r="AM7225">
        <v>94.703395155150403</v>
      </c>
      <c r="AN7225">
        <v>0.999999957793542</v>
      </c>
    </row>
    <row r="7226" spans="1:40" x14ac:dyDescent="0.25">
      <c r="A7226" t="str">
        <f>"20190303162057657"</f>
        <v>20190303162057657</v>
      </c>
      <c r="B7226" t="str">
        <f>"1551601257649758"</f>
        <v>1551601257649758</v>
      </c>
      <c r="C7226" t="s">
        <v>40</v>
      </c>
      <c r="D7226">
        <v>4.7383949999999997</v>
      </c>
      <c r="E7226">
        <v>0.487653</v>
      </c>
      <c r="F7226" t="s">
        <v>41</v>
      </c>
      <c r="G7226">
        <v>-421.44619999999998</v>
      </c>
      <c r="H7226" s="1">
        <v>-1.941932E-6</v>
      </c>
      <c r="I7226">
        <v>43.218820000000001</v>
      </c>
      <c r="J7226">
        <v>-421.33859999999999</v>
      </c>
      <c r="K7226">
        <v>1.1231960000000001</v>
      </c>
      <c r="L7226">
        <v>97.666049999999998</v>
      </c>
      <c r="M7226">
        <v>-0.11031580000000001</v>
      </c>
      <c r="N7226">
        <v>-1.344597E-2</v>
      </c>
      <c r="O7226">
        <v>-0.99380579999999996</v>
      </c>
      <c r="P7226">
        <v>-2.2422379999999999E-2</v>
      </c>
      <c r="Q7226">
        <v>8.3681340000000007E-2</v>
      </c>
      <c r="R7226">
        <v>-0.99624060000000003</v>
      </c>
      <c r="S7226">
        <v>-6.7749019999999898E-3</v>
      </c>
      <c r="T7226">
        <v>-6.2086460000000003E-2</v>
      </c>
      <c r="U7226">
        <v>-3.0182190000000002</v>
      </c>
      <c r="V7226">
        <v>-8.8020139999999997E-2</v>
      </c>
      <c r="W7226">
        <v>9.6662339999999999E-2</v>
      </c>
      <c r="X7226">
        <v>0.99141760000000001</v>
      </c>
      <c r="Y7226">
        <v>-0.1080697</v>
      </c>
      <c r="Z7226">
        <v>6.8743700000000003E-3</v>
      </c>
      <c r="AA7226">
        <v>0.99411950000000004</v>
      </c>
      <c r="AB7226">
        <v>18</v>
      </c>
      <c r="AC7226">
        <v>-0.10759999999999</v>
      </c>
      <c r="AD7226">
        <v>-1.123197941932</v>
      </c>
      <c r="AE7226">
        <v>-54.447229999999998</v>
      </c>
      <c r="AF7226">
        <v>-5.8974788772373801</v>
      </c>
      <c r="AG7226">
        <v>-1.123197941932</v>
      </c>
      <c r="AH7226">
        <v>54.103702625595197</v>
      </c>
      <c r="AI7226">
        <v>91.182293834647496</v>
      </c>
      <c r="AJ7226">
        <v>96.220865019061094</v>
      </c>
      <c r="AK7226">
        <v>54.435764608601403</v>
      </c>
      <c r="AL7226">
        <v>84.452994757076695</v>
      </c>
      <c r="AM7226">
        <v>95.073537415772805</v>
      </c>
      <c r="AN7226">
        <v>1.0000000053048199</v>
      </c>
    </row>
    <row r="7227" spans="1:40" x14ac:dyDescent="0.25">
      <c r="A7227" t="str">
        <f>"20190303162057679"</f>
        <v>20190303162057679</v>
      </c>
      <c r="B7227" t="str">
        <f>"1551601257670254"</f>
        <v>1551601257670254</v>
      </c>
      <c r="C7227" t="s">
        <v>40</v>
      </c>
      <c r="D7227">
        <v>4.7744460000000002</v>
      </c>
      <c r="E7227">
        <v>0.48785230000000002</v>
      </c>
      <c r="F7227" t="s">
        <v>41</v>
      </c>
      <c r="G7227">
        <v>-421.06490000000002</v>
      </c>
      <c r="H7227" s="1">
        <v>-6.1205700000000001E-7</v>
      </c>
      <c r="I7227">
        <v>50.355319999999999</v>
      </c>
      <c r="J7227">
        <v>-421.35480000000001</v>
      </c>
      <c r="K7227">
        <v>1.123095</v>
      </c>
      <c r="L7227">
        <v>97.49042</v>
      </c>
      <c r="M7227">
        <v>-0.1076006</v>
      </c>
      <c r="N7227">
        <v>-1.344478E-2</v>
      </c>
      <c r="O7227">
        <v>-0.99410319999999996</v>
      </c>
      <c r="P7227">
        <v>-1.377716E-2</v>
      </c>
      <c r="Q7227">
        <v>7.8855480000000006E-2</v>
      </c>
      <c r="R7227">
        <v>-0.99679090000000004</v>
      </c>
      <c r="S7227">
        <v>1.7456050000000001E-2</v>
      </c>
      <c r="T7227">
        <v>-7.1643470000000001E-2</v>
      </c>
      <c r="U7227">
        <v>-3.0177309999999999</v>
      </c>
      <c r="V7227">
        <v>-9.3926120000000002E-2</v>
      </c>
      <c r="W7227">
        <v>9.182738E-2</v>
      </c>
      <c r="X7227">
        <v>0.99133530000000003</v>
      </c>
      <c r="Y7227">
        <v>-0.1133306</v>
      </c>
      <c r="Z7227">
        <v>1.0003450000000001E-2</v>
      </c>
      <c r="AA7227">
        <v>0.99350700000000003</v>
      </c>
      <c r="AB7227">
        <v>18</v>
      </c>
      <c r="AC7227">
        <v>0.289899999999988</v>
      </c>
      <c r="AD7227">
        <v>-1.1230956120569999</v>
      </c>
      <c r="AE7227">
        <v>-47.135100000000001</v>
      </c>
      <c r="AF7227">
        <v>-5.3573990756642402</v>
      </c>
      <c r="AG7227">
        <v>-1.1230956120569999</v>
      </c>
      <c r="AH7227">
        <v>46.803626229939603</v>
      </c>
      <c r="AI7227">
        <v>91.365686267823193</v>
      </c>
      <c r="AJ7227">
        <v>96.529968004654904</v>
      </c>
      <c r="AK7227">
        <v>47.122632533440203</v>
      </c>
      <c r="AL7227">
        <v>84.731256498922306</v>
      </c>
      <c r="AM7227">
        <v>95.412450237046201</v>
      </c>
      <c r="AN7227">
        <v>1.0000000303809999</v>
      </c>
    </row>
    <row r="7228" spans="1:40" x14ac:dyDescent="0.25">
      <c r="A7228" t="str">
        <f>"20190303162057701"</f>
        <v>20190303162057701</v>
      </c>
      <c r="B7228" t="str">
        <f>"1551601257689776"</f>
        <v>1551601257689776</v>
      </c>
      <c r="C7228" t="s">
        <v>40</v>
      </c>
      <c r="D7228">
        <v>4.7263479999999998</v>
      </c>
      <c r="E7228">
        <v>0.48800189999999999</v>
      </c>
      <c r="F7228" t="s">
        <v>41</v>
      </c>
      <c r="G7228">
        <v>-420.79759999999999</v>
      </c>
      <c r="H7228" s="1">
        <v>-3.7243660000000002E-6</v>
      </c>
      <c r="I7228">
        <v>57.776020000000003</v>
      </c>
      <c r="J7228">
        <v>-421.3707</v>
      </c>
      <c r="K7228">
        <v>1.122973</v>
      </c>
      <c r="L7228">
        <v>97.312870000000004</v>
      </c>
      <c r="M7228">
        <v>-0.10492319999999999</v>
      </c>
      <c r="N7228">
        <v>-1.344303E-2</v>
      </c>
      <c r="O7228">
        <v>-0.99438970000000004</v>
      </c>
      <c r="P7228">
        <v>-6.9872859999999997E-3</v>
      </c>
      <c r="Q7228">
        <v>7.4122839999999995E-2</v>
      </c>
      <c r="R7228">
        <v>-0.99722500000000003</v>
      </c>
      <c r="S7228">
        <v>4.2327879999999998E-2</v>
      </c>
      <c r="T7228">
        <v>-8.53188E-2</v>
      </c>
      <c r="U7228">
        <v>-3.0169980000000001</v>
      </c>
      <c r="V7228">
        <v>-9.8012059999999998E-2</v>
      </c>
      <c r="W7228">
        <v>8.7099510000000005E-2</v>
      </c>
      <c r="X7228">
        <v>0.99136639999999998</v>
      </c>
      <c r="Y7228">
        <v>-0.11883829999999999</v>
      </c>
      <c r="Z7228">
        <v>1.448231E-2</v>
      </c>
      <c r="AA7228">
        <v>0.99280800000000002</v>
      </c>
      <c r="AB7228">
        <v>18</v>
      </c>
      <c r="AC7228">
        <v>0.57310000000001005</v>
      </c>
      <c r="AD7228">
        <v>-1.122976724366</v>
      </c>
      <c r="AE7228">
        <v>-39.536850000000001</v>
      </c>
      <c r="AF7228">
        <v>-4.7148399517783997</v>
      </c>
      <c r="AG7228">
        <v>-1.122976724366</v>
      </c>
      <c r="AH7228">
        <v>39.226803725321503</v>
      </c>
      <c r="AI7228">
        <v>91.628091993599298</v>
      </c>
      <c r="AJ7228">
        <v>96.853750197542496</v>
      </c>
      <c r="AK7228">
        <v>39.525092321198301</v>
      </c>
      <c r="AL7228">
        <v>85.003234267380293</v>
      </c>
      <c r="AM7228">
        <v>95.646234622262696</v>
      </c>
      <c r="AN7228">
        <v>1.00000001379832</v>
      </c>
    </row>
    <row r="7229" spans="1:40" x14ac:dyDescent="0.25">
      <c r="A7229" t="str">
        <f>"20190303162057723"</f>
        <v>20190303162057723</v>
      </c>
      <c r="B7229" t="str">
        <f>"1551601257710270"</f>
        <v>1551601257710270</v>
      </c>
      <c r="C7229" t="s">
        <v>40</v>
      </c>
      <c r="D7229">
        <v>4.6967420000000004</v>
      </c>
      <c r="E7229">
        <v>0.48825839999999998</v>
      </c>
      <c r="F7229" t="s">
        <v>41</v>
      </c>
      <c r="G7229">
        <v>-420.6574</v>
      </c>
      <c r="H7229" s="1">
        <v>-1.6201190000000001E-6</v>
      </c>
      <c r="I7229">
        <v>62.957889999999999</v>
      </c>
      <c r="J7229">
        <v>-421.38670000000002</v>
      </c>
      <c r="K7229">
        <v>1.122862</v>
      </c>
      <c r="L7229">
        <v>97.130740000000003</v>
      </c>
      <c r="M7229">
        <v>-0.1022618</v>
      </c>
      <c r="N7229">
        <v>-1.344061E-2</v>
      </c>
      <c r="O7229">
        <v>-0.99466670000000001</v>
      </c>
      <c r="P7229">
        <v>-2.4450539999999999E-3</v>
      </c>
      <c r="Q7229">
        <v>7.0370009999999997E-2</v>
      </c>
      <c r="R7229">
        <v>-0.99751809999999996</v>
      </c>
      <c r="S7229">
        <v>6.2622070000000002E-2</v>
      </c>
      <c r="T7229">
        <v>-9.8588819999999994E-2</v>
      </c>
      <c r="U7229">
        <v>-3.0161129999999998</v>
      </c>
      <c r="V7229">
        <v>-9.9871470000000004E-2</v>
      </c>
      <c r="W7229">
        <v>8.3361889999999994E-2</v>
      </c>
      <c r="X7229">
        <v>0.9915022</v>
      </c>
      <c r="Y7229">
        <v>-0.122856199999999</v>
      </c>
      <c r="Z7229">
        <v>1.8835049999999999E-2</v>
      </c>
      <c r="AA7229">
        <v>0.99224570000000001</v>
      </c>
      <c r="AB7229">
        <v>18</v>
      </c>
      <c r="AC7229">
        <v>0.72930000000002304</v>
      </c>
      <c r="AD7229">
        <v>-1.1228636201189901</v>
      </c>
      <c r="AE7229">
        <v>-34.172849999999997</v>
      </c>
      <c r="AF7229">
        <v>-4.21581923460709</v>
      </c>
      <c r="AG7229">
        <v>-1.1228636201189901</v>
      </c>
      <c r="AH7229">
        <v>33.882515468496599</v>
      </c>
      <c r="AI7229">
        <v>91.883568860178997</v>
      </c>
      <c r="AJ7229">
        <v>97.092554594655596</v>
      </c>
      <c r="AK7229">
        <v>34.1622424469059</v>
      </c>
      <c r="AL7229">
        <v>85.218166569766794</v>
      </c>
      <c r="AM7229">
        <v>95.751856256226901</v>
      </c>
      <c r="AN7229">
        <v>1.0000000639145801</v>
      </c>
    </row>
    <row r="7230" spans="1:40" x14ac:dyDescent="0.25">
      <c r="A7230" t="str">
        <f>"20190303162057746"</f>
        <v>20190303162057746</v>
      </c>
      <c r="B7230" t="str">
        <f>"1551601257739550"</f>
        <v>1551601257739550</v>
      </c>
      <c r="C7230" t="s">
        <v>40</v>
      </c>
      <c r="D7230">
        <v>4.7033040000000002</v>
      </c>
      <c r="E7230">
        <v>0.49333929999999998</v>
      </c>
      <c r="F7230" t="s">
        <v>41</v>
      </c>
      <c r="G7230">
        <v>-420.6103</v>
      </c>
      <c r="H7230" s="1">
        <v>-3.00213E-6</v>
      </c>
      <c r="I7230">
        <v>66.208629999999999</v>
      </c>
      <c r="J7230">
        <v>-421.40179999999998</v>
      </c>
      <c r="K7230">
        <v>1.1227830000000001</v>
      </c>
      <c r="L7230">
        <v>96.954009999999997</v>
      </c>
      <c r="M7230">
        <v>-9.9758340000000001E-2</v>
      </c>
      <c r="N7230">
        <v>-1.343749E-2</v>
      </c>
      <c r="O7230">
        <v>-0.9949209</v>
      </c>
      <c r="P7230">
        <v>5.6401629999999997E-4</v>
      </c>
      <c r="Q7230">
        <v>6.7613859999999998E-2</v>
      </c>
      <c r="R7230">
        <v>-0.99771140000000003</v>
      </c>
      <c r="S7230">
        <v>7.5714110000000001E-2</v>
      </c>
      <c r="T7230">
        <v>-0.1094966</v>
      </c>
      <c r="U7230">
        <v>-3.0153810000000001</v>
      </c>
      <c r="V7230">
        <v>-0.1003632</v>
      </c>
      <c r="W7230">
        <v>8.0620750000000005E-2</v>
      </c>
      <c r="X7230">
        <v>0.99167910000000004</v>
      </c>
      <c r="Y7230">
        <v>-0.12466380000000001</v>
      </c>
      <c r="Z7230">
        <v>2.2421190000000001E-2</v>
      </c>
      <c r="AA7230">
        <v>0.99194570000000004</v>
      </c>
      <c r="AB7230">
        <v>18</v>
      </c>
      <c r="AC7230">
        <v>0.79149999999998499</v>
      </c>
      <c r="AD7230">
        <v>-1.12278600213</v>
      </c>
      <c r="AE7230">
        <v>-30.745380000000001</v>
      </c>
      <c r="AF7230">
        <v>-3.84980542490421</v>
      </c>
      <c r="AG7230">
        <v>-1.12278600213</v>
      </c>
      <c r="AH7230">
        <v>30.4724071315696</v>
      </c>
      <c r="AI7230">
        <v>92.093538603696203</v>
      </c>
      <c r="AJ7230">
        <v>97.200453743544102</v>
      </c>
      <c r="AK7230">
        <v>30.735146764060499</v>
      </c>
      <c r="AL7230">
        <v>85.375752455670707</v>
      </c>
      <c r="AM7230">
        <v>95.778960897866696</v>
      </c>
      <c r="AN7230">
        <v>0.99999995731080504</v>
      </c>
    </row>
    <row r="7231" spans="1:40" x14ac:dyDescent="0.25">
      <c r="A7231" t="str">
        <f>"20190303162057767"</f>
        <v>20190303162057767</v>
      </c>
      <c r="B7231" t="str">
        <f>"1551601257760045"</f>
        <v>1551601257760045</v>
      </c>
      <c r="C7231" t="s">
        <v>40</v>
      </c>
      <c r="D7231">
        <v>4.6376540000000004</v>
      </c>
      <c r="E7231">
        <v>0.49311500000000003</v>
      </c>
      <c r="F7231" t="s">
        <v>41</v>
      </c>
      <c r="G7231">
        <v>-420.82010000000002</v>
      </c>
      <c r="H7231" s="1">
        <v>-2.8120409999999899E-7</v>
      </c>
      <c r="I7231">
        <v>59.735950000000003</v>
      </c>
      <c r="J7231">
        <v>-421.41649999999998</v>
      </c>
      <c r="K7231">
        <v>1.122735</v>
      </c>
      <c r="L7231">
        <v>96.775419999999997</v>
      </c>
      <c r="M7231">
        <v>-9.7268519999999997E-2</v>
      </c>
      <c r="N7231">
        <v>-1.343429E-2</v>
      </c>
      <c r="O7231">
        <v>-0.99516769999999999</v>
      </c>
      <c r="P7231">
        <v>2.7997830000000001E-3</v>
      </c>
      <c r="Q7231">
        <v>6.6679009999999997E-2</v>
      </c>
      <c r="R7231">
        <v>-0.99777079999999996</v>
      </c>
      <c r="S7231">
        <v>4.7088619999999998E-2</v>
      </c>
      <c r="T7231">
        <v>-9.0895299999999998E-2</v>
      </c>
      <c r="U7231">
        <v>-3.0129999999999999</v>
      </c>
      <c r="V7231">
        <v>-0.1000983</v>
      </c>
      <c r="W7231">
        <v>7.969532E-2</v>
      </c>
      <c r="X7231">
        <v>0.99178069999999896</v>
      </c>
      <c r="Y7231">
        <v>-0.1127826</v>
      </c>
      <c r="Z7231">
        <v>1.6400310000000001E-2</v>
      </c>
      <c r="AA7231">
        <v>0.99348429999999999</v>
      </c>
      <c r="AB7231">
        <v>18</v>
      </c>
      <c r="AC7231">
        <v>0.59639999999995996</v>
      </c>
      <c r="AD7231">
        <v>-1.1227352812041</v>
      </c>
      <c r="AE7231">
        <v>-37.039470000000001</v>
      </c>
      <c r="AF7231">
        <v>-4.1928189371522597</v>
      </c>
      <c r="AG7231">
        <v>-1.1227352812041</v>
      </c>
      <c r="AH7231">
        <v>36.772009743809697</v>
      </c>
      <c r="AI7231">
        <v>91.737578869002405</v>
      </c>
      <c r="AJ7231">
        <v>96.504887694993201</v>
      </c>
      <c r="AK7231">
        <v>37.0273002762858</v>
      </c>
      <c r="AL7231">
        <v>85.428946991999396</v>
      </c>
      <c r="AM7231">
        <v>95.763224180389898</v>
      </c>
      <c r="AN7231">
        <v>0.999999985292641</v>
      </c>
    </row>
    <row r="7232" spans="1:40" x14ac:dyDescent="0.25">
      <c r="A7232" t="str">
        <f>"20190303162057790"</f>
        <v>20190303162057790</v>
      </c>
      <c r="B7232" t="str">
        <f>"1551601257779566"</f>
        <v>1551601257779566</v>
      </c>
      <c r="C7232" t="s">
        <v>40</v>
      </c>
      <c r="D7232">
        <v>4.6053899999999999</v>
      </c>
      <c r="E7232">
        <v>0.49352420000000002</v>
      </c>
      <c r="F7232" t="s">
        <v>41</v>
      </c>
      <c r="G7232">
        <v>-420.79640000000001</v>
      </c>
      <c r="H7232" s="1">
        <v>-1.8808080000000001E-6</v>
      </c>
      <c r="I7232">
        <v>63.47936</v>
      </c>
      <c r="J7232">
        <v>-421.43049999999999</v>
      </c>
      <c r="K7232">
        <v>1.1227199999999999</v>
      </c>
      <c r="L7232">
        <v>96.601900000000001</v>
      </c>
      <c r="M7232">
        <v>-9.4851779999999997E-2</v>
      </c>
      <c r="N7232">
        <v>-1.343166E-2</v>
      </c>
      <c r="O7232">
        <v>-0.99540070000000003</v>
      </c>
      <c r="P7232">
        <v>4.0150380000000003E-3</v>
      </c>
      <c r="Q7232">
        <v>6.7686640000000006E-2</v>
      </c>
      <c r="R7232">
        <v>-0.99769859999999999</v>
      </c>
      <c r="S7232">
        <v>5.6121829999999998E-2</v>
      </c>
      <c r="T7232">
        <v>-0.10160909999999999</v>
      </c>
      <c r="U7232">
        <v>-3.0133359999999998</v>
      </c>
      <c r="V7232">
        <v>-9.8889840000000007E-2</v>
      </c>
      <c r="W7232">
        <v>8.0709139999999999E-2</v>
      </c>
      <c r="X7232">
        <v>0.99182000000000003</v>
      </c>
      <c r="Y7232">
        <v>-0.11334139999999999</v>
      </c>
      <c r="Z7232">
        <v>1.9922260000000001E-2</v>
      </c>
      <c r="AA7232">
        <v>0.99335629999999997</v>
      </c>
      <c r="AB7232">
        <v>18</v>
      </c>
      <c r="AC7232">
        <v>0.63409999999998901</v>
      </c>
      <c r="AD7232">
        <v>-1.122721880808</v>
      </c>
      <c r="AE7232">
        <v>-33.122540000000001</v>
      </c>
      <c r="AF7232">
        <v>-3.7689274928099898</v>
      </c>
      <c r="AG7232">
        <v>-1.122721880808</v>
      </c>
      <c r="AH7232">
        <v>32.875268091204497</v>
      </c>
      <c r="AI7232">
        <v>91.943227115530902</v>
      </c>
      <c r="AJ7232">
        <v>96.540021961827904</v>
      </c>
      <c r="AK7232">
        <v>33.1096446815165</v>
      </c>
      <c r="AL7232">
        <v>85.370671903438705</v>
      </c>
      <c r="AM7232">
        <v>95.693882161821804</v>
      </c>
      <c r="AN7232">
        <v>1.00000003906738</v>
      </c>
    </row>
    <row r="7233" spans="1:40" x14ac:dyDescent="0.25">
      <c r="A7233" t="str">
        <f>"20190303162057813"</f>
        <v>20190303162057813</v>
      </c>
      <c r="B7233" t="str">
        <f>"1551601257800061"</f>
        <v>1551601257800061</v>
      </c>
      <c r="C7233" t="s">
        <v>40</v>
      </c>
      <c r="D7233">
        <v>4.8523930000000002</v>
      </c>
      <c r="E7233">
        <v>0.49391879999999999</v>
      </c>
      <c r="F7233" t="s">
        <v>41</v>
      </c>
      <c r="G7233">
        <v>-420.71620000000001</v>
      </c>
      <c r="H7233" s="1">
        <v>-4.13844299999999E-6</v>
      </c>
      <c r="I7233">
        <v>58.791719999999998</v>
      </c>
      <c r="J7233">
        <v>-421.44490000000002</v>
      </c>
      <c r="K7233">
        <v>1.1227279999999999</v>
      </c>
      <c r="L7233">
        <v>96.414429999999996</v>
      </c>
      <c r="M7233">
        <v>-9.2190939999999999E-2</v>
      </c>
      <c r="N7233">
        <v>-1.342984E-2</v>
      </c>
      <c r="O7233">
        <v>-0.99565079999999995</v>
      </c>
      <c r="P7233">
        <v>5.5632750000000003E-3</v>
      </c>
      <c r="Q7233">
        <v>6.9628419999999996E-2</v>
      </c>
      <c r="R7233">
        <v>-0.99755780000000005</v>
      </c>
      <c r="S7233">
        <v>5.6915279999999999E-2</v>
      </c>
      <c r="T7233">
        <v>-8.9459899999999995E-2</v>
      </c>
      <c r="U7233">
        <v>-3.012756</v>
      </c>
      <c r="V7233">
        <v>-9.7772709999999999E-2</v>
      </c>
      <c r="W7233">
        <v>8.2650050000000003E-2</v>
      </c>
      <c r="X7233">
        <v>0.99177090000000001</v>
      </c>
      <c r="Y7233">
        <v>-0.1109557</v>
      </c>
      <c r="Z7233">
        <v>1.5958409999999999E-2</v>
      </c>
      <c r="AA7233">
        <v>0.99369719999999995</v>
      </c>
      <c r="AB7233">
        <v>18</v>
      </c>
      <c r="AC7233">
        <v>0.72870000000000301</v>
      </c>
      <c r="AD7233">
        <v>-1.122732138443</v>
      </c>
      <c r="AE7233">
        <v>-37.622709999999998</v>
      </c>
      <c r="AF7233">
        <v>-4.19065137806676</v>
      </c>
      <c r="AG7233">
        <v>-1.122732138443</v>
      </c>
      <c r="AH7233">
        <v>37.362013595878402</v>
      </c>
      <c r="AI7233">
        <v>91.710506207329303</v>
      </c>
      <c r="AJ7233">
        <v>96.399742660685405</v>
      </c>
      <c r="AK7233">
        <v>37.613058189487703</v>
      </c>
      <c r="AL7233">
        <v>85.259093050642704</v>
      </c>
      <c r="AM7233">
        <v>95.630252524410807</v>
      </c>
      <c r="AN7233">
        <v>1.00000002583627</v>
      </c>
    </row>
    <row r="7234" spans="1:40" x14ac:dyDescent="0.25">
      <c r="A7234" t="str">
        <f>"20190303162057835"</f>
        <v>20190303162057835</v>
      </c>
      <c r="B7234" t="str">
        <f>"1551601257820559"</f>
        <v>1551601257820559</v>
      </c>
      <c r="C7234" t="s">
        <v>40</v>
      </c>
      <c r="D7234">
        <v>4.568066</v>
      </c>
      <c r="E7234">
        <v>0.49425160000000001</v>
      </c>
      <c r="F7234" t="s">
        <v>41</v>
      </c>
      <c r="G7234">
        <v>-420.4812</v>
      </c>
      <c r="H7234" s="1">
        <v>-3.4409450000000001E-6</v>
      </c>
      <c r="I7234">
        <v>47.311570000000003</v>
      </c>
      <c r="J7234">
        <v>-421.45780000000002</v>
      </c>
      <c r="K7234">
        <v>1.122776</v>
      </c>
      <c r="L7234">
        <v>96.242800000000003</v>
      </c>
      <c r="M7234">
        <v>-8.9661809999999995E-2</v>
      </c>
      <c r="N7234">
        <v>-1.34293999999999E-2</v>
      </c>
      <c r="O7234">
        <v>-0.99588169999999998</v>
      </c>
      <c r="P7234">
        <v>5.8985280000000001E-3</v>
      </c>
      <c r="Q7234">
        <v>7.3381890000000005E-2</v>
      </c>
      <c r="R7234">
        <v>-0.99728649999999996</v>
      </c>
      <c r="S7234">
        <v>5.911255E-2</v>
      </c>
      <c r="T7234">
        <v>-6.8865419999999997E-2</v>
      </c>
      <c r="U7234">
        <v>-3.011841</v>
      </c>
      <c r="V7234">
        <v>-9.5578830000000004E-2</v>
      </c>
      <c r="W7234">
        <v>8.6401190000000003E-2</v>
      </c>
      <c r="X7234">
        <v>0.99166500000000002</v>
      </c>
      <c r="Y7234">
        <v>-0.109169</v>
      </c>
      <c r="Z7234">
        <v>9.2104879999999993E-3</v>
      </c>
      <c r="AA7234">
        <v>0.99398050000000004</v>
      </c>
      <c r="AB7234">
        <v>18</v>
      </c>
      <c r="AC7234">
        <v>0.97660000000001901</v>
      </c>
      <c r="AD7234">
        <v>-1.122779440945</v>
      </c>
      <c r="AE7234">
        <v>-48.931229999999999</v>
      </c>
      <c r="AF7234">
        <v>-5.3575045155643499</v>
      </c>
      <c r="AG7234">
        <v>-1.122779440945</v>
      </c>
      <c r="AH7234">
        <v>48.620951080356498</v>
      </c>
      <c r="AI7234">
        <v>91.314912120857997</v>
      </c>
      <c r="AJ7234">
        <v>96.2880099768077</v>
      </c>
      <c r="AK7234">
        <v>48.9281143338441</v>
      </c>
      <c r="AL7234">
        <v>85.043396273299706</v>
      </c>
      <c r="AM7234">
        <v>95.505286733704693</v>
      </c>
      <c r="AN7234">
        <v>0.99999997530129203</v>
      </c>
    </row>
    <row r="7235" spans="1:40" x14ac:dyDescent="0.25">
      <c r="A7235" t="str">
        <f>"20190303162057851"</f>
        <v>20190303162057851</v>
      </c>
      <c r="B7235" t="str">
        <f>"1551601257840078"</f>
        <v>1551601257840078</v>
      </c>
      <c r="C7235" t="s">
        <v>40</v>
      </c>
      <c r="D7235">
        <v>4.5910699999999904</v>
      </c>
      <c r="E7235">
        <v>0.49454749999999997</v>
      </c>
      <c r="F7235" t="s">
        <v>62</v>
      </c>
      <c r="G7235">
        <v>-420.02429999999998</v>
      </c>
      <c r="H7235" s="1">
        <v>-8.9603510000000008E-6</v>
      </c>
      <c r="I7235">
        <v>21.680520000000001</v>
      </c>
      <c r="J7235">
        <v>-421.46690000000001</v>
      </c>
      <c r="K7235">
        <v>1.1228260000000001</v>
      </c>
      <c r="L7235">
        <v>96.115359999999995</v>
      </c>
      <c r="M7235">
        <v>-8.7706099999999995E-2</v>
      </c>
      <c r="N7235">
        <v>-1.342994E-2</v>
      </c>
      <c r="O7235">
        <v>-0.99605600000000005</v>
      </c>
      <c r="P7235">
        <v>6.7656309999999898E-3</v>
      </c>
      <c r="Q7235">
        <v>7.5101790000000002E-2</v>
      </c>
      <c r="R7235">
        <v>-0.99715339999999997</v>
      </c>
      <c r="S7235">
        <v>5.7891850000000002E-2</v>
      </c>
      <c r="T7235">
        <v>-4.5342800000000003E-2</v>
      </c>
      <c r="U7235">
        <v>-3.011139</v>
      </c>
      <c r="V7235">
        <v>-9.4495389999999999E-2</v>
      </c>
      <c r="W7235">
        <v>8.8115540000000006E-2</v>
      </c>
      <c r="X7235">
        <v>0.991618</v>
      </c>
      <c r="Y7235">
        <v>-0.10682560000000001</v>
      </c>
      <c r="Z7235">
        <v>1.4840070000000001E-3</v>
      </c>
      <c r="AA7235">
        <v>0.99427659999999995</v>
      </c>
      <c r="AB7235">
        <v>18</v>
      </c>
      <c r="AC7235">
        <v>1.4426000000000201</v>
      </c>
      <c r="AD7235">
        <v>-1.1228349603509999</v>
      </c>
      <c r="AE7235">
        <v>-74.434839999999994</v>
      </c>
      <c r="AF7235">
        <v>-7.9642056331265803</v>
      </c>
      <c r="AG7235">
        <v>-1.1228349603509999</v>
      </c>
      <c r="AH7235">
        <v>74.004576024730497</v>
      </c>
      <c r="AI7235">
        <v>90.864264325530002</v>
      </c>
      <c r="AJ7235">
        <v>96.142402508974399</v>
      </c>
      <c r="AK7235">
        <v>74.440356006100799</v>
      </c>
      <c r="AL7235">
        <v>84.944795233277802</v>
      </c>
      <c r="AM7235">
        <v>95.443514592285695</v>
      </c>
      <c r="AN7235">
        <v>0.99999999252237104</v>
      </c>
    </row>
    <row r="7236" spans="1:40" x14ac:dyDescent="0.25">
      <c r="A7236" t="str">
        <f>"20190303162057869"</f>
        <v>20190303162057869</v>
      </c>
      <c r="B7236" t="str">
        <f>"1551601257860104"</f>
        <v>1551601257860104</v>
      </c>
      <c r="C7236" t="s">
        <v>40</v>
      </c>
      <c r="D7236">
        <v>4.5702389999999999</v>
      </c>
      <c r="E7236">
        <v>0.49480089999999999</v>
      </c>
      <c r="F7236" t="s">
        <v>72</v>
      </c>
      <c r="G7236">
        <v>-419.60750000000002</v>
      </c>
      <c r="H7236">
        <v>0.1067507</v>
      </c>
      <c r="I7236">
        <v>0.48137469999999999</v>
      </c>
      <c r="J7236">
        <v>-421.47719999999998</v>
      </c>
      <c r="K7236">
        <v>1.122898</v>
      </c>
      <c r="L7236">
        <v>95.967709999999997</v>
      </c>
      <c r="M7236">
        <v>-8.5342329999999994E-2</v>
      </c>
      <c r="N7236">
        <v>-1.3431520000000001E-2</v>
      </c>
      <c r="O7236">
        <v>-0.99626119999999996</v>
      </c>
      <c r="P7236">
        <v>7.2295129999999999E-3</v>
      </c>
      <c r="Q7236">
        <v>7.7291170000000006E-2</v>
      </c>
      <c r="R7236">
        <v>-0.99698260000000005</v>
      </c>
      <c r="S7236">
        <v>5.8532710000000002E-2</v>
      </c>
      <c r="T7236">
        <v>-3.1987309999999998E-2</v>
      </c>
      <c r="U7236">
        <v>-3.0105900000000001</v>
      </c>
      <c r="V7236">
        <v>-9.2607900000000007E-2</v>
      </c>
      <c r="W7236">
        <v>9.0299290000000004E-2</v>
      </c>
      <c r="X7236">
        <v>0.99159960000000003</v>
      </c>
      <c r="Y7236">
        <v>-0.1046846</v>
      </c>
      <c r="Z7236">
        <v>-2.9068969999999999E-3</v>
      </c>
      <c r="AA7236">
        <v>0.99450119999999997</v>
      </c>
      <c r="AB7236">
        <v>18</v>
      </c>
      <c r="AC7236">
        <v>1.8696999999999599</v>
      </c>
      <c r="AD7236">
        <v>-1.0161473000000001</v>
      </c>
      <c r="AE7236">
        <v>-95.486335299999993</v>
      </c>
      <c r="AF7236">
        <v>-10.0115052745352</v>
      </c>
      <c r="AG7236">
        <v>-1.0161473000000001</v>
      </c>
      <c r="AH7236">
        <v>94.967578726630506</v>
      </c>
      <c r="AI7236">
        <v>90.609659863560196</v>
      </c>
      <c r="AJ7236">
        <v>96.017907520501495</v>
      </c>
      <c r="AK7236">
        <v>95.499234564451399</v>
      </c>
      <c r="AL7236">
        <v>84.819174621236797</v>
      </c>
      <c r="AM7236">
        <v>95.335515827766898</v>
      </c>
      <c r="AN7236">
        <v>0.99999997581853595</v>
      </c>
    </row>
    <row r="7237" spans="1:40" x14ac:dyDescent="0.25">
      <c r="A7237" t="str">
        <f>"20190303162057892"</f>
        <v>20190303162057892</v>
      </c>
      <c r="B7237" t="str">
        <f>"1551601257879624"</f>
        <v>1551601257879624</v>
      </c>
      <c r="C7237" t="s">
        <v>40</v>
      </c>
      <c r="D7237">
        <v>4.5743830000000001</v>
      </c>
      <c r="E7237">
        <v>0.4949615</v>
      </c>
      <c r="F7237" t="s">
        <v>72</v>
      </c>
      <c r="G7237">
        <v>-419.62049999999999</v>
      </c>
      <c r="H7237">
        <v>0.47095809999999999</v>
      </c>
      <c r="I7237">
        <v>0.48124499999999998</v>
      </c>
      <c r="J7237">
        <v>-421.48860000000002</v>
      </c>
      <c r="K7237">
        <v>1.122981</v>
      </c>
      <c r="L7237">
        <v>95.793430000000001</v>
      </c>
      <c r="M7237">
        <v>-8.2414050000000003E-2</v>
      </c>
      <c r="N7237">
        <v>-1.343453E-2</v>
      </c>
      <c r="O7237">
        <v>-0.99650780000000005</v>
      </c>
      <c r="P7237">
        <v>7.9088769999999999E-3</v>
      </c>
      <c r="Q7237">
        <v>7.7126879999999995E-2</v>
      </c>
      <c r="R7237">
        <v>-0.9969903</v>
      </c>
      <c r="S7237">
        <v>5.8532710000000002E-2</v>
      </c>
      <c r="T7237">
        <v>-2.0553470000000001E-2</v>
      </c>
      <c r="U7237">
        <v>-3.0102540000000002</v>
      </c>
      <c r="V7237">
        <v>-9.0384839999999994E-2</v>
      </c>
      <c r="W7237">
        <v>9.0130710000000003E-2</v>
      </c>
      <c r="X7237">
        <v>0.99182000000000003</v>
      </c>
      <c r="Y7237">
        <v>-0.1017663</v>
      </c>
      <c r="Z7237">
        <v>-6.6711720000000004E-3</v>
      </c>
      <c r="AA7237">
        <v>0.99478599999999995</v>
      </c>
      <c r="AB7237">
        <v>18</v>
      </c>
      <c r="AC7237">
        <v>1.8681000000000201</v>
      </c>
      <c r="AD7237">
        <v>-0.65202289999999996</v>
      </c>
      <c r="AE7237">
        <v>-95.312184999999999</v>
      </c>
      <c r="AF7237">
        <v>-9.7170600774337093</v>
      </c>
      <c r="AG7237">
        <v>-0.65202289999999996</v>
      </c>
      <c r="AH7237">
        <v>94.829483508407506</v>
      </c>
      <c r="AI7237">
        <v>90.391892721419495</v>
      </c>
      <c r="AJ7237">
        <v>95.850607966491197</v>
      </c>
      <c r="AK7237">
        <v>95.328260934949995</v>
      </c>
      <c r="AL7237">
        <v>84.828872896743107</v>
      </c>
      <c r="AM7237">
        <v>95.206998305565605</v>
      </c>
      <c r="AN7237">
        <v>0.99999993829346301</v>
      </c>
    </row>
    <row r="7238" spans="1:40" x14ac:dyDescent="0.25">
      <c r="A7238" t="str">
        <f>"20190303162057912"</f>
        <v>20190303162057912</v>
      </c>
      <c r="B7238" t="str">
        <f>"1551601257900120"</f>
        <v>1551601257900120</v>
      </c>
      <c r="C7238" t="s">
        <v>40</v>
      </c>
      <c r="D7238">
        <v>4.517601</v>
      </c>
      <c r="E7238">
        <v>0.49519999999999997</v>
      </c>
      <c r="F7238" t="s">
        <v>72</v>
      </c>
      <c r="G7238">
        <v>-419.61099999999999</v>
      </c>
      <c r="H7238">
        <v>0.55564119999999995</v>
      </c>
      <c r="I7238">
        <v>0.4813461</v>
      </c>
      <c r="J7238">
        <v>-421.4991</v>
      </c>
      <c r="K7238">
        <v>1.1230560000000001</v>
      </c>
      <c r="L7238">
        <v>95.624080000000006</v>
      </c>
      <c r="M7238">
        <v>-7.9446269999999999E-2</v>
      </c>
      <c r="N7238">
        <v>-1.3437640000000001E-2</v>
      </c>
      <c r="O7238">
        <v>-0.99674870000000004</v>
      </c>
      <c r="P7238">
        <v>7.0888000000000001E-3</v>
      </c>
      <c r="Q7238">
        <v>7.6465859999999997E-2</v>
      </c>
      <c r="R7238">
        <v>-0.99704740000000003</v>
      </c>
      <c r="S7238">
        <v>5.9295649999999998E-2</v>
      </c>
      <c r="T7238">
        <v>-1.791763E-2</v>
      </c>
      <c r="U7238">
        <v>-3.009979</v>
      </c>
      <c r="V7238">
        <v>-8.6628079999999996E-2</v>
      </c>
      <c r="W7238">
        <v>8.9476280000000005E-2</v>
      </c>
      <c r="X7238">
        <v>0.9922145</v>
      </c>
      <c r="Y7238">
        <v>-9.9058160000000006E-2</v>
      </c>
      <c r="Z7238">
        <v>-7.5392819999999996E-3</v>
      </c>
      <c r="AA7238">
        <v>0.99505310000000002</v>
      </c>
      <c r="AB7238">
        <v>18</v>
      </c>
      <c r="AC7238">
        <v>1.8880999999999999</v>
      </c>
      <c r="AD7238">
        <v>-0.5674148</v>
      </c>
      <c r="AE7238">
        <v>-95.142733899999996</v>
      </c>
      <c r="AF7238">
        <v>-9.4412121655394294</v>
      </c>
      <c r="AG7238">
        <v>-0.5674148</v>
      </c>
      <c r="AH7238">
        <v>94.688565115590507</v>
      </c>
      <c r="AI7238">
        <v>90.341642945953197</v>
      </c>
      <c r="AJ7238">
        <v>95.694030763577501</v>
      </c>
      <c r="AK7238">
        <v>95.159775169760707</v>
      </c>
      <c r="AL7238">
        <v>84.866521522293894</v>
      </c>
      <c r="AM7238">
        <v>94.989716690960506</v>
      </c>
      <c r="AN7238">
        <v>1.0000000214686799</v>
      </c>
    </row>
    <row r="7239" spans="1:40" x14ac:dyDescent="0.25">
      <c r="A7239" t="str">
        <f>"20190303162057929"</f>
        <v>20190303162057929</v>
      </c>
      <c r="B7239" t="str">
        <f>"1551601257919640"</f>
        <v>1551601257919640</v>
      </c>
      <c r="C7239" t="s">
        <v>40</v>
      </c>
      <c r="D7239">
        <v>4.5463800000000001</v>
      </c>
      <c r="E7239">
        <v>0.49547000000000002</v>
      </c>
      <c r="F7239" t="s">
        <v>72</v>
      </c>
      <c r="G7239">
        <v>-419.75200000000001</v>
      </c>
      <c r="H7239">
        <v>0.59607140000000003</v>
      </c>
      <c r="I7239">
        <v>0.479908</v>
      </c>
      <c r="J7239">
        <v>-421.50689999999997</v>
      </c>
      <c r="K7239">
        <v>1.1231</v>
      </c>
      <c r="L7239">
        <v>95.492400000000004</v>
      </c>
      <c r="M7239">
        <v>-7.7074069999999995E-2</v>
      </c>
      <c r="N7239">
        <v>-1.3439609999999999E-2</v>
      </c>
      <c r="O7239">
        <v>-0.99693500000000002</v>
      </c>
      <c r="P7239">
        <v>7.3331530000000002E-3</v>
      </c>
      <c r="Q7239">
        <v>7.6553930000000006E-2</v>
      </c>
      <c r="R7239">
        <v>-0.99703869999999895</v>
      </c>
      <c r="S7239">
        <v>5.5267330000000003E-2</v>
      </c>
      <c r="T7239">
        <v>-1.6671180000000001E-2</v>
      </c>
      <c r="U7239">
        <v>-3.0097659999999999</v>
      </c>
      <c r="V7239">
        <v>-8.4517049999999996E-2</v>
      </c>
      <c r="W7239">
        <v>8.9567469999999996E-2</v>
      </c>
      <c r="X7239">
        <v>0.9923883</v>
      </c>
      <c r="Y7239">
        <v>-9.5360230000000004E-2</v>
      </c>
      <c r="Z7239">
        <v>-7.9482870000000001E-3</v>
      </c>
      <c r="AA7239">
        <v>0.99541109999999999</v>
      </c>
      <c r="AB7239">
        <v>18</v>
      </c>
      <c r="AC7239">
        <v>1.7549000000000201</v>
      </c>
      <c r="AD7239">
        <v>-0.52702859999999996</v>
      </c>
      <c r="AE7239">
        <v>-95.012491999999995</v>
      </c>
      <c r="AF7239">
        <v>-9.0730591363176192</v>
      </c>
      <c r="AG7239">
        <v>-0.52702859999999996</v>
      </c>
      <c r="AH7239">
        <v>94.591635017624299</v>
      </c>
      <c r="AI7239">
        <v>90.317768574012106</v>
      </c>
      <c r="AJ7239">
        <v>95.478946274816394</v>
      </c>
      <c r="AK7239">
        <v>95.027235972345196</v>
      </c>
      <c r="AL7239">
        <v>84.861275550357405</v>
      </c>
      <c r="AM7239">
        <v>94.867865998626598</v>
      </c>
      <c r="AN7239">
        <v>1.0000000006998899</v>
      </c>
    </row>
    <row r="7240" spans="1:40" x14ac:dyDescent="0.25">
      <c r="A7240" t="str">
        <f>"20190303162057947"</f>
        <v>20190303162057947</v>
      </c>
      <c r="B7240" t="str">
        <f>"1551601257940136"</f>
        <v>1551601257940136</v>
      </c>
      <c r="C7240" t="s">
        <v>40</v>
      </c>
      <c r="D7240">
        <v>4.5299199999999997</v>
      </c>
      <c r="E7240">
        <v>0.495473</v>
      </c>
      <c r="F7240" t="s">
        <v>72</v>
      </c>
      <c r="G7240">
        <v>-419.7842</v>
      </c>
      <c r="H7240">
        <v>0.65634029999999999</v>
      </c>
      <c r="I7240">
        <v>0.4795837</v>
      </c>
      <c r="J7240">
        <v>-421.51459999999997</v>
      </c>
      <c r="K7240">
        <v>1.1231230000000001</v>
      </c>
      <c r="L7240">
        <v>95.35333</v>
      </c>
      <c r="M7240">
        <v>-7.4522899999999906E-2</v>
      </c>
      <c r="N7240">
        <v>-1.3440880000000001E-2</v>
      </c>
      <c r="O7240">
        <v>-0.99712869999999998</v>
      </c>
      <c r="P7240">
        <v>6.710901E-3</v>
      </c>
      <c r="Q7240">
        <v>7.5536480000000003E-2</v>
      </c>
      <c r="R7240">
        <v>-0.99712069999999997</v>
      </c>
      <c r="S7240">
        <v>5.4565429999999998E-2</v>
      </c>
      <c r="T7240">
        <v>-1.478612E-2</v>
      </c>
      <c r="U7240">
        <v>-3.0096440000000002</v>
      </c>
      <c r="V7240">
        <v>-8.1362470000000006E-2</v>
      </c>
      <c r="W7240">
        <v>8.8562959999999996E-2</v>
      </c>
      <c r="X7240">
        <v>0.99274209999999996</v>
      </c>
      <c r="Y7240">
        <v>-9.2582109999999995E-2</v>
      </c>
      <c r="Z7240">
        <v>-8.5688529999999995E-3</v>
      </c>
      <c r="AA7240">
        <v>0.9956682</v>
      </c>
      <c r="AB7240">
        <v>18</v>
      </c>
      <c r="AC7240">
        <v>1.73039999999997</v>
      </c>
      <c r="AD7240">
        <v>-0.466782699999999</v>
      </c>
      <c r="AE7240">
        <v>-94.873746299999993</v>
      </c>
      <c r="AF7240">
        <v>-8.7962801199349592</v>
      </c>
      <c r="AG7240">
        <v>-0.466782699999999</v>
      </c>
      <c r="AH7240">
        <v>94.478631027590296</v>
      </c>
      <c r="AI7240">
        <v>90.281855241735897</v>
      </c>
      <c r="AJ7240">
        <v>95.319097169695596</v>
      </c>
      <c r="AK7240">
        <v>94.888377322435701</v>
      </c>
      <c r="AL7240">
        <v>84.919059699691999</v>
      </c>
      <c r="AM7240">
        <v>94.685336102181097</v>
      </c>
      <c r="AN7240">
        <v>1.00000006326043</v>
      </c>
    </row>
    <row r="7241" spans="1:40" x14ac:dyDescent="0.25">
      <c r="A7241" t="str">
        <f>"20190303162057968"</f>
        <v>20190303162057968</v>
      </c>
      <c r="B7241" t="str">
        <f>"1551601257960162"</f>
        <v>1551601257960162</v>
      </c>
      <c r="C7241" t="s">
        <v>40</v>
      </c>
      <c r="D7241">
        <v>4.5762530000000003</v>
      </c>
      <c r="E7241">
        <v>0.49527779999999999</v>
      </c>
      <c r="F7241" t="s">
        <v>72</v>
      </c>
      <c r="G7241">
        <v>-419.87450000000001</v>
      </c>
      <c r="H7241">
        <v>0.47988310000000001</v>
      </c>
      <c r="I7241">
        <v>0.47866439999999999</v>
      </c>
      <c r="J7241">
        <v>-421.52370000000002</v>
      </c>
      <c r="K7241">
        <v>1.1231279999999999</v>
      </c>
      <c r="L7241">
        <v>95.182559999999995</v>
      </c>
      <c r="M7241">
        <v>-7.1362410000000001E-2</v>
      </c>
      <c r="N7241">
        <v>-1.344092E-2</v>
      </c>
      <c r="O7241">
        <v>-0.99735989999999997</v>
      </c>
      <c r="P7241">
        <v>8.3573789999999998E-3</v>
      </c>
      <c r="Q7241">
        <v>7.5885510000000003E-2</v>
      </c>
      <c r="R7241">
        <v>-0.99708189999999997</v>
      </c>
      <c r="S7241">
        <v>5.2032469999999997E-2</v>
      </c>
      <c r="T7241">
        <v>-2.0407080000000001E-2</v>
      </c>
      <c r="U7241">
        <v>-3.009827</v>
      </c>
      <c r="V7241">
        <v>-7.9853530000000006E-2</v>
      </c>
      <c r="W7241">
        <v>8.891918E-2</v>
      </c>
      <c r="X7241">
        <v>0.99283270000000001</v>
      </c>
      <c r="Y7241">
        <v>-8.8586639999999994E-2</v>
      </c>
      <c r="Z7241">
        <v>-6.7093020000000003E-3</v>
      </c>
      <c r="AA7241">
        <v>0.99604590000000004</v>
      </c>
      <c r="AB7241">
        <v>18</v>
      </c>
      <c r="AC7241">
        <v>1.6492</v>
      </c>
      <c r="AD7241">
        <v>-0.64324490000000001</v>
      </c>
      <c r="AE7241">
        <v>-94.703895599999996</v>
      </c>
      <c r="AF7241">
        <v>-8.4035156662001693</v>
      </c>
      <c r="AG7241">
        <v>-0.64324490000000001</v>
      </c>
      <c r="AH7241">
        <v>94.340347445540004</v>
      </c>
      <c r="AI7241">
        <v>90.389115607417395</v>
      </c>
      <c r="AJ7241">
        <v>95.090277384996</v>
      </c>
      <c r="AK7241">
        <v>94.716070419431304</v>
      </c>
      <c r="AL7241">
        <v>84.898568574404294</v>
      </c>
      <c r="AM7241">
        <v>94.598400698741202</v>
      </c>
      <c r="AN7241">
        <v>0.99999998850731098</v>
      </c>
    </row>
    <row r="7242" spans="1:40" x14ac:dyDescent="0.25">
      <c r="A7242" t="str">
        <f>"20190303162057991"</f>
        <v>20190303162057991</v>
      </c>
      <c r="B7242" t="str">
        <f>"1551601257979682"</f>
        <v>1551601257979682</v>
      </c>
      <c r="C7242" t="s">
        <v>40</v>
      </c>
      <c r="D7242">
        <v>4.5232979999999996</v>
      </c>
      <c r="E7242">
        <v>0.49205739999999998</v>
      </c>
      <c r="F7242" t="s">
        <v>72</v>
      </c>
      <c r="G7242">
        <v>-419.72430000000003</v>
      </c>
      <c r="H7242">
        <v>0.39257629999999999</v>
      </c>
      <c r="I7242">
        <v>0.48019220000000001</v>
      </c>
      <c r="J7242">
        <v>-421.5324</v>
      </c>
      <c r="K7242">
        <v>1.123094</v>
      </c>
      <c r="L7242">
        <v>95.004940000000005</v>
      </c>
      <c r="M7242">
        <v>-6.8100740000000007E-2</v>
      </c>
      <c r="N7242">
        <v>-1.343916E-2</v>
      </c>
      <c r="O7242">
        <v>-0.99758789999999997</v>
      </c>
      <c r="P7242">
        <v>1.03103E-2</v>
      </c>
      <c r="Q7242">
        <v>7.6961199999999994E-2</v>
      </c>
      <c r="R7242">
        <v>-0.99698059999999999</v>
      </c>
      <c r="S7242">
        <v>5.7189940000000002E-2</v>
      </c>
      <c r="T7242">
        <v>-2.3221019999999998E-2</v>
      </c>
      <c r="U7242">
        <v>-3.0100709999999999</v>
      </c>
      <c r="V7242">
        <v>-7.8540550000000001E-2</v>
      </c>
      <c r="W7242">
        <v>9.0005810000000006E-2</v>
      </c>
      <c r="X7242">
        <v>0.99283949999999999</v>
      </c>
      <c r="Y7242">
        <v>-8.7033910000000006E-2</v>
      </c>
      <c r="Z7242">
        <v>-5.776148E-3</v>
      </c>
      <c r="AA7242">
        <v>0.99618859999999998</v>
      </c>
      <c r="AB7242">
        <v>18</v>
      </c>
      <c r="AC7242">
        <v>1.8080999999999601</v>
      </c>
      <c r="AD7242">
        <v>-0.73051769999999905</v>
      </c>
      <c r="AE7242">
        <v>-94.5247478</v>
      </c>
      <c r="AF7242">
        <v>-8.24119646450389</v>
      </c>
      <c r="AG7242">
        <v>-0.73051769999999905</v>
      </c>
      <c r="AH7242">
        <v>94.176497261553607</v>
      </c>
      <c r="AI7242">
        <v>90.442736874604293</v>
      </c>
      <c r="AJ7242">
        <v>95.001099204336995</v>
      </c>
      <c r="AK7242">
        <v>94.539217321342207</v>
      </c>
      <c r="AL7242">
        <v>84.836058499970306</v>
      </c>
      <c r="AM7242">
        <v>94.523077659307106</v>
      </c>
      <c r="AN7242">
        <v>0.99999996829415305</v>
      </c>
    </row>
    <row r="7243" spans="1:40" x14ac:dyDescent="0.25">
      <c r="A7243" t="str">
        <f>"20190303162058014"</f>
        <v>20190303162058014</v>
      </c>
      <c r="B7243" t="str">
        <f>"1551601258000178"</f>
        <v>1551601258000178</v>
      </c>
      <c r="C7243" t="s">
        <v>40</v>
      </c>
      <c r="D7243">
        <v>4.4946279999999996</v>
      </c>
      <c r="E7243">
        <v>0.49176160000000002</v>
      </c>
      <c r="F7243" t="s">
        <v>41</v>
      </c>
      <c r="G7243">
        <v>-420.29759999999999</v>
      </c>
      <c r="H7243" s="1">
        <v>-1.2743509999999999E-6</v>
      </c>
      <c r="I7243">
        <v>52.375059999999998</v>
      </c>
      <c r="J7243">
        <v>-421.54079999999999</v>
      </c>
      <c r="K7243">
        <v>1.123016</v>
      </c>
      <c r="L7243">
        <v>94.826660000000004</v>
      </c>
      <c r="M7243">
        <v>-6.4914189999999997E-2</v>
      </c>
      <c r="N7243">
        <v>-1.34357E-2</v>
      </c>
      <c r="O7243">
        <v>-0.99780040000000003</v>
      </c>
      <c r="P7243">
        <v>1.2056880000000001E-2</v>
      </c>
      <c r="Q7243">
        <v>7.762086E-2</v>
      </c>
      <c r="R7243">
        <v>-0.99690990000000002</v>
      </c>
      <c r="S7243">
        <v>8.7310789999999999E-2</v>
      </c>
      <c r="T7243">
        <v>-7.9412819999999995E-2</v>
      </c>
      <c r="U7243">
        <v>-3.014313</v>
      </c>
      <c r="V7243">
        <v>-7.709038E-2</v>
      </c>
      <c r="W7243">
        <v>9.0681579999999998E-2</v>
      </c>
      <c r="X7243">
        <v>0.99289170000000004</v>
      </c>
      <c r="Y7243">
        <v>-9.3757569999999998E-2</v>
      </c>
      <c r="Z7243">
        <v>1.274322E-2</v>
      </c>
      <c r="AA7243">
        <v>0.99551350000000005</v>
      </c>
      <c r="AB7243">
        <v>18</v>
      </c>
      <c r="AC7243">
        <v>1.2432000000000001</v>
      </c>
      <c r="AD7243">
        <v>-1.1230172743510001</v>
      </c>
      <c r="AE7243">
        <v>-42.451599999999999</v>
      </c>
      <c r="AF7243">
        <v>-3.99374491129177</v>
      </c>
      <c r="AG7243">
        <v>-1.1230172743510001</v>
      </c>
      <c r="AH7243">
        <v>42.251795202276099</v>
      </c>
      <c r="AI7243">
        <v>91.515762238117603</v>
      </c>
      <c r="AJ7243">
        <v>95.399696712411398</v>
      </c>
      <c r="AK7243">
        <v>42.454980438460197</v>
      </c>
      <c r="AL7243">
        <v>84.797180918905994</v>
      </c>
      <c r="AM7243">
        <v>94.439668265132397</v>
      </c>
      <c r="AN7243">
        <v>1.00000000178436</v>
      </c>
    </row>
    <row r="7244" spans="1:40" x14ac:dyDescent="0.25">
      <c r="A7244" t="str">
        <f>"20190303162058036"</f>
        <v>20190303162058036</v>
      </c>
      <c r="B7244" t="str">
        <f>"1551601258029458"</f>
        <v>1551601258029458</v>
      </c>
      <c r="C7244" t="s">
        <v>40</v>
      </c>
      <c r="D7244">
        <v>4.4929230000000002</v>
      </c>
      <c r="E7244">
        <v>0.49266500000000002</v>
      </c>
      <c r="F7244" t="s">
        <v>41</v>
      </c>
      <c r="G7244">
        <v>-420.20800000000003</v>
      </c>
      <c r="H7244" s="1">
        <v>-1.102706E-6</v>
      </c>
      <c r="I7244">
        <v>52.030529999999999</v>
      </c>
      <c r="J7244">
        <v>-421.54860000000002</v>
      </c>
      <c r="K7244">
        <v>1.1229070000000001</v>
      </c>
      <c r="L7244">
        <v>94.648799999999994</v>
      </c>
      <c r="M7244">
        <v>-6.1876269999999997E-2</v>
      </c>
      <c r="N7244">
        <v>-1.3430610000000001E-2</v>
      </c>
      <c r="O7244">
        <v>-0.99799349999999998</v>
      </c>
      <c r="P7244">
        <v>1.396232E-2</v>
      </c>
      <c r="Q7244">
        <v>7.6539919999999997E-2</v>
      </c>
      <c r="R7244">
        <v>-0.99696890000000005</v>
      </c>
      <c r="S7244">
        <v>9.3872070000000002E-2</v>
      </c>
      <c r="T7244">
        <v>-7.909882E-2</v>
      </c>
      <c r="U7244">
        <v>-3.014313</v>
      </c>
      <c r="V7244">
        <v>-7.5943369999999996E-2</v>
      </c>
      <c r="W7244">
        <v>8.9621129999999993E-2</v>
      </c>
      <c r="X7244">
        <v>0.99307639999999997</v>
      </c>
      <c r="Y7244">
        <v>-9.2891940000000006E-2</v>
      </c>
      <c r="Z7244">
        <v>1.265229E-2</v>
      </c>
      <c r="AA7244">
        <v>0.99559580000000003</v>
      </c>
      <c r="AB7244">
        <v>18</v>
      </c>
      <c r="AC7244">
        <v>1.34059999999999</v>
      </c>
      <c r="AD7244">
        <v>-1.1229081027059999</v>
      </c>
      <c r="AE7244">
        <v>-42.618270000000003</v>
      </c>
      <c r="AF7244">
        <v>-3.97257295043888</v>
      </c>
      <c r="AG7244">
        <v>-1.1229081027059999</v>
      </c>
      <c r="AH7244">
        <v>42.424209905942703</v>
      </c>
      <c r="AI7244">
        <v>91.5095825260033</v>
      </c>
      <c r="AJ7244">
        <v>95.349537102646394</v>
      </c>
      <c r="AK7244">
        <v>42.6245920167826</v>
      </c>
      <c r="AL7244">
        <v>84.858188843432998</v>
      </c>
      <c r="AM7244">
        <v>94.373059391687207</v>
      </c>
      <c r="AN7244">
        <v>1.00000003931319</v>
      </c>
    </row>
    <row r="7245" spans="1:40" x14ac:dyDescent="0.25">
      <c r="A7245" t="str">
        <f>"20190303162058058"</f>
        <v>20190303162058058</v>
      </c>
      <c r="B7245" t="str">
        <f>"1551601258049484"</f>
        <v>1551601258049484</v>
      </c>
      <c r="C7245" t="s">
        <v>40</v>
      </c>
      <c r="D7245">
        <v>4.5024119999999996</v>
      </c>
      <c r="E7245">
        <v>0.49290929999999999</v>
      </c>
      <c r="F7245" t="s">
        <v>41</v>
      </c>
      <c r="G7245">
        <v>-420.42110000000002</v>
      </c>
      <c r="H7245" s="1">
        <v>-3.5409389999999999E-6</v>
      </c>
      <c r="I7245">
        <v>57.581919999999997</v>
      </c>
      <c r="J7245">
        <v>-421.55590000000001</v>
      </c>
      <c r="K7245">
        <v>1.1227830000000001</v>
      </c>
      <c r="L7245">
        <v>94.478790000000004</v>
      </c>
      <c r="M7245">
        <v>-5.9147209999999999E-2</v>
      </c>
      <c r="N7245">
        <v>-1.342433E-2</v>
      </c>
      <c r="O7245">
        <v>-0.99815900000000002</v>
      </c>
      <c r="P7245">
        <v>1.6096329999999999E-2</v>
      </c>
      <c r="Q7245">
        <v>7.5418529999999998E-2</v>
      </c>
      <c r="R7245">
        <v>-0.99702219999999997</v>
      </c>
      <c r="S7245">
        <v>9.1705320000000007E-2</v>
      </c>
      <c r="T7245">
        <v>-9.1331839999999997E-2</v>
      </c>
      <c r="U7245">
        <v>-3.0148320000000002</v>
      </c>
      <c r="V7245">
        <v>-7.5328599999999996E-2</v>
      </c>
      <c r="W7245">
        <v>8.8518810000000003E-2</v>
      </c>
      <c r="X7245">
        <v>0.9932221</v>
      </c>
      <c r="Y7245">
        <v>-8.9445399999999994E-2</v>
      </c>
      <c r="Z7245">
        <v>1.6700110000000001E-2</v>
      </c>
      <c r="AA7245">
        <v>0.99585170000000001</v>
      </c>
      <c r="AB7245">
        <v>18</v>
      </c>
      <c r="AC7245">
        <v>1.13479999999998</v>
      </c>
      <c r="AD7245">
        <v>-1.1227865409389901</v>
      </c>
      <c r="AE7245">
        <v>-36.89687</v>
      </c>
      <c r="AF7245">
        <v>-3.3122921940846202</v>
      </c>
      <c r="AG7245">
        <v>-1.1227865409389901</v>
      </c>
      <c r="AH7245">
        <v>36.731154385945601</v>
      </c>
      <c r="AI7245">
        <v>91.743783118917605</v>
      </c>
      <c r="AJ7245">
        <v>95.152803974234402</v>
      </c>
      <c r="AK7245">
        <v>36.897284882761802</v>
      </c>
      <c r="AL7245">
        <v>84.921599259662401</v>
      </c>
      <c r="AM7245">
        <v>94.337160755160994</v>
      </c>
      <c r="AN7245">
        <v>1.0000000588150899</v>
      </c>
    </row>
    <row r="7246" spans="1:40" x14ac:dyDescent="0.25">
      <c r="A7246" t="str">
        <f>"20190303162058081"</f>
        <v>20190303162058081</v>
      </c>
      <c r="B7246" t="str">
        <f>"1551601258069981"</f>
        <v>1551601258069981</v>
      </c>
      <c r="C7246" t="s">
        <v>40</v>
      </c>
      <c r="D7246">
        <v>4.4679970000000004</v>
      </c>
      <c r="E7246">
        <v>0.49300769999999999</v>
      </c>
      <c r="F7246" t="s">
        <v>41</v>
      </c>
      <c r="G7246">
        <v>-420.38569999999999</v>
      </c>
      <c r="H7246" s="1">
        <v>-3.6931799999999999E-6</v>
      </c>
      <c r="I7246">
        <v>57.958759999999998</v>
      </c>
      <c r="J7246">
        <v>-421.5634</v>
      </c>
      <c r="K7246">
        <v>1.1226400000000001</v>
      </c>
      <c r="L7246">
        <v>94.295839999999998</v>
      </c>
      <c r="M7246">
        <v>-5.6416809999999998E-2</v>
      </c>
      <c r="N7246">
        <v>-1.34165E-2</v>
      </c>
      <c r="O7246">
        <v>-0.99831740000000002</v>
      </c>
      <c r="P7246">
        <v>1.710211E-2</v>
      </c>
      <c r="Q7246">
        <v>7.4783329999999995E-2</v>
      </c>
      <c r="R7246">
        <v>-0.99705339999999998</v>
      </c>
      <c r="S7246">
        <v>9.6588129999999994E-2</v>
      </c>
      <c r="T7246">
        <v>-9.2676999999999995E-2</v>
      </c>
      <c r="U7246">
        <v>-3.0144350000000002</v>
      </c>
      <c r="V7246">
        <v>-7.3582949999999994E-2</v>
      </c>
      <c r="W7246">
        <v>8.7908920000000002E-2</v>
      </c>
      <c r="X7246">
        <v>0.99340709999999999</v>
      </c>
      <c r="Y7246">
        <v>-8.8336419999999999E-2</v>
      </c>
      <c r="Z7246">
        <v>1.716349E-2</v>
      </c>
      <c r="AA7246">
        <v>0.99594280000000002</v>
      </c>
      <c r="AB7246">
        <v>18</v>
      </c>
      <c r="AC7246">
        <v>1.17770000000001</v>
      </c>
      <c r="AD7246">
        <v>-1.1226436931799999</v>
      </c>
      <c r="AE7246">
        <v>-36.33708</v>
      </c>
      <c r="AF7246">
        <v>-3.2229569692600299</v>
      </c>
      <c r="AG7246">
        <v>-1.1226436931799999</v>
      </c>
      <c r="AH7246">
        <v>36.178251084307902</v>
      </c>
      <c r="AI7246">
        <v>91.770362641724404</v>
      </c>
      <c r="AJ7246">
        <v>95.090783372829307</v>
      </c>
      <c r="AK7246">
        <v>36.338872189526803</v>
      </c>
      <c r="AL7246">
        <v>84.956680084878997</v>
      </c>
      <c r="AM7246">
        <v>94.236236418125102</v>
      </c>
      <c r="AN7246">
        <v>1.0000000475383299</v>
      </c>
    </row>
    <row r="7247" spans="1:40" x14ac:dyDescent="0.25">
      <c r="A7247" t="str">
        <f>"20190303162058115"</f>
        <v>20190303162058115</v>
      </c>
      <c r="B7247" t="str">
        <f>"1551601258109997"</f>
        <v>1551601258109997</v>
      </c>
      <c r="C7247" t="s">
        <v>40</v>
      </c>
      <c r="D7247">
        <v>4.5174079999999996</v>
      </c>
      <c r="E7247">
        <v>0.49341960000000001</v>
      </c>
      <c r="F7247" t="s">
        <v>41</v>
      </c>
      <c r="G7247">
        <v>-420.32260000000002</v>
      </c>
      <c r="H7247" s="1">
        <v>-3.276421E-6</v>
      </c>
      <c r="I7247">
        <v>57.02646</v>
      </c>
      <c r="J7247">
        <v>-421.5736</v>
      </c>
      <c r="K7247">
        <v>1.122458</v>
      </c>
      <c r="L7247">
        <v>94.032679999999999</v>
      </c>
      <c r="M7247">
        <v>-5.2896940000000003E-2</v>
      </c>
      <c r="N7247">
        <v>-1.34042E-2</v>
      </c>
      <c r="O7247">
        <v>-0.99851009999999996</v>
      </c>
      <c r="P7247">
        <v>1.8415770000000001E-2</v>
      </c>
      <c r="Q7247">
        <v>7.4517410000000006E-2</v>
      </c>
      <c r="R7247">
        <v>-0.99704979999999999</v>
      </c>
      <c r="S7247">
        <v>0.10034179999999999</v>
      </c>
      <c r="T7247">
        <v>-9.0787290000000007E-2</v>
      </c>
      <c r="U7247">
        <v>-3.0139469999999999</v>
      </c>
      <c r="V7247">
        <v>-7.1346069999999998E-2</v>
      </c>
      <c r="W7247">
        <v>8.7672379999999994E-2</v>
      </c>
      <c r="X7247">
        <v>0.99359109999999995</v>
      </c>
      <c r="Y7247">
        <v>-8.6070140000000003E-2</v>
      </c>
      <c r="Z7247">
        <v>1.6568699999999999E-2</v>
      </c>
      <c r="AA7247">
        <v>0.99615129999999996</v>
      </c>
      <c r="AB7247">
        <v>18</v>
      </c>
      <c r="AC7247">
        <v>1.2509999999999699</v>
      </c>
      <c r="AD7247">
        <v>-1.122461276421</v>
      </c>
      <c r="AE7247">
        <v>-37.006219999999999</v>
      </c>
      <c r="AF7247">
        <v>-3.2039954120651402</v>
      </c>
      <c r="AG7247">
        <v>-1.122461276421</v>
      </c>
      <c r="AH7247">
        <v>36.854353388090203</v>
      </c>
      <c r="AI7247">
        <v>91.737948703583399</v>
      </c>
      <c r="AJ7247">
        <v>94.9686128496473</v>
      </c>
      <c r="AK7247">
        <v>37.010388670910103</v>
      </c>
      <c r="AL7247">
        <v>84.970285073321193</v>
      </c>
      <c r="AM7247">
        <v>94.107146839027394</v>
      </c>
      <c r="AN7247">
        <v>0.99999999095925896</v>
      </c>
    </row>
    <row r="7248" spans="1:40" x14ac:dyDescent="0.25">
      <c r="A7248" t="str">
        <f>"20190303162058136"</f>
        <v>20190303162058136</v>
      </c>
      <c r="B7248" t="str">
        <f>"1551601258130493"</f>
        <v>1551601258130493</v>
      </c>
      <c r="C7248" t="s">
        <v>40</v>
      </c>
      <c r="D7248">
        <v>4.4523769999999896</v>
      </c>
      <c r="E7248">
        <v>0.4932531</v>
      </c>
      <c r="F7248" t="s">
        <v>41</v>
      </c>
      <c r="G7248">
        <v>-420.35120000000001</v>
      </c>
      <c r="H7248" s="1">
        <v>-3.7772040000000001E-6</v>
      </c>
      <c r="I7248">
        <v>58.176029999999997</v>
      </c>
      <c r="J7248">
        <v>-421.57990000000001</v>
      </c>
      <c r="K7248">
        <v>1.122357</v>
      </c>
      <c r="L7248">
        <v>93.864469999999997</v>
      </c>
      <c r="M7248">
        <v>-5.085754E-2</v>
      </c>
      <c r="N7248">
        <v>-1.339629E-2</v>
      </c>
      <c r="O7248">
        <v>-0.99861619999999995</v>
      </c>
      <c r="P7248">
        <v>1.8457189999999998E-2</v>
      </c>
      <c r="Q7248">
        <v>7.3748090000000002E-2</v>
      </c>
      <c r="R7248">
        <v>-0.99710620000000005</v>
      </c>
      <c r="S7248">
        <v>0.1027527</v>
      </c>
      <c r="T7248">
        <v>-9.4351889999999994E-2</v>
      </c>
      <c r="U7248">
        <v>-3.0140380000000002</v>
      </c>
      <c r="V7248">
        <v>-6.9334569999999998E-2</v>
      </c>
      <c r="W7248">
        <v>8.6920890000000001E-2</v>
      </c>
      <c r="X7248">
        <v>0.99379949999999995</v>
      </c>
      <c r="Y7248">
        <v>-8.4829219999999997E-2</v>
      </c>
      <c r="Z7248">
        <v>1.775848E-2</v>
      </c>
      <c r="AA7248">
        <v>0.99623720000000004</v>
      </c>
      <c r="AB7248">
        <v>18</v>
      </c>
      <c r="AC7248">
        <v>1.2286999999999999</v>
      </c>
      <c r="AD7248">
        <v>-1.1223607772040001</v>
      </c>
      <c r="AE7248">
        <v>-35.6884399999999</v>
      </c>
      <c r="AF7248">
        <v>-3.0392961865951098</v>
      </c>
      <c r="AG7248">
        <v>-1.1223607772040001</v>
      </c>
      <c r="AH7248">
        <v>35.544640564745599</v>
      </c>
      <c r="AI7248">
        <v>91.802004592553999</v>
      </c>
      <c r="AJ7248">
        <v>94.887271234346301</v>
      </c>
      <c r="AK7248">
        <v>35.691994731326197</v>
      </c>
      <c r="AL7248">
        <v>85.013507256885703</v>
      </c>
      <c r="AM7248">
        <v>93.990897100425897</v>
      </c>
      <c r="AN7248">
        <v>0.99999998495786302</v>
      </c>
    </row>
    <row r="7249" spans="1:40" x14ac:dyDescent="0.25">
      <c r="A7249" t="str">
        <f>"20190303162058158"</f>
        <v>20190303162058158</v>
      </c>
      <c r="B7249" t="str">
        <f>"1551601258150013"</f>
        <v>1551601258150013</v>
      </c>
      <c r="C7249" t="s">
        <v>40</v>
      </c>
      <c r="D7249">
        <v>4.5488679999999997</v>
      </c>
      <c r="E7249">
        <v>0.50465479999999996</v>
      </c>
      <c r="F7249" t="s">
        <v>41</v>
      </c>
      <c r="G7249">
        <v>-420.36219999999997</v>
      </c>
      <c r="H7249" s="1">
        <v>-4.0441949999999998E-6</v>
      </c>
      <c r="I7249">
        <v>58.791600000000003</v>
      </c>
      <c r="J7249">
        <v>-421.58620000000002</v>
      </c>
      <c r="K7249">
        <v>1.1222840000000001</v>
      </c>
      <c r="L7249">
        <v>93.693969999999993</v>
      </c>
      <c r="M7249">
        <v>-4.8931339999999997E-2</v>
      </c>
      <c r="N7249">
        <v>-1.3388600000000001E-2</v>
      </c>
      <c r="O7249">
        <v>-0.9987125</v>
      </c>
      <c r="P7249">
        <v>1.725341E-2</v>
      </c>
      <c r="Q7249">
        <v>7.3201459999999996E-2</v>
      </c>
      <c r="R7249">
        <v>-0.9971681</v>
      </c>
      <c r="S7249">
        <v>0.1046448</v>
      </c>
      <c r="T7249">
        <v>-9.6446870000000004E-2</v>
      </c>
      <c r="U7249">
        <v>-3.0138850000000001</v>
      </c>
      <c r="V7249">
        <v>-6.6197359999999997E-2</v>
      </c>
      <c r="W7249">
        <v>8.6390259999999996E-2</v>
      </c>
      <c r="X7249">
        <v>0.99405969999999999</v>
      </c>
      <c r="Y7249">
        <v>-8.3533319999999994E-2</v>
      </c>
      <c r="Z7249">
        <v>1.8465519999999999E-2</v>
      </c>
      <c r="AA7249">
        <v>0.99633389999999999</v>
      </c>
      <c r="AB7249">
        <v>18</v>
      </c>
      <c r="AC7249">
        <v>1.2240000000000399</v>
      </c>
      <c r="AD7249">
        <v>-1.1222880441949901</v>
      </c>
      <c r="AE7249">
        <v>-34.902369999999898</v>
      </c>
      <c r="AF7249">
        <v>-2.9274830742778701</v>
      </c>
      <c r="AG7249">
        <v>-1.1222880441949901</v>
      </c>
      <c r="AH7249">
        <v>34.7647563814539</v>
      </c>
      <c r="AI7249">
        <v>91.842483780554204</v>
      </c>
      <c r="AJ7249">
        <v>94.813427570986207</v>
      </c>
      <c r="AK7249">
        <v>34.905844408439201</v>
      </c>
      <c r="AL7249">
        <v>85.044025125052002</v>
      </c>
      <c r="AM7249">
        <v>93.809869395297994</v>
      </c>
      <c r="AN7249">
        <v>1.00000002732896</v>
      </c>
    </row>
    <row r="7250" spans="1:40" x14ac:dyDescent="0.25">
      <c r="A7250" t="str">
        <f>"20190303162058181"</f>
        <v>20190303162058181</v>
      </c>
      <c r="B7250" t="str">
        <f>"1551601258169532"</f>
        <v>1551601258169532</v>
      </c>
      <c r="C7250" t="s">
        <v>40</v>
      </c>
      <c r="D7250">
        <v>4.5156150000000004</v>
      </c>
      <c r="E7250">
        <v>0.51274540000000002</v>
      </c>
      <c r="F7250" t="s">
        <v>41</v>
      </c>
      <c r="G7250">
        <v>-421.5317</v>
      </c>
      <c r="H7250" s="1">
        <v>-3.0382680000000002E-6</v>
      </c>
      <c r="I7250">
        <v>75.721360000000004</v>
      </c>
      <c r="J7250">
        <v>-421.5924</v>
      </c>
      <c r="K7250">
        <v>1.122225</v>
      </c>
      <c r="L7250">
        <v>93.518249999999995</v>
      </c>
      <c r="M7250">
        <v>-4.7077849999999997E-2</v>
      </c>
      <c r="N7250">
        <v>-1.338113E-2</v>
      </c>
      <c r="O7250">
        <v>-0.99880170000000001</v>
      </c>
      <c r="P7250">
        <v>1.5838290000000001E-2</v>
      </c>
      <c r="Q7250">
        <v>7.4765360000000003E-2</v>
      </c>
      <c r="R7250">
        <v>-0.99707559999999995</v>
      </c>
      <c r="S7250">
        <v>9.1552730000000002E-3</v>
      </c>
      <c r="T7250">
        <v>-0.1887202</v>
      </c>
      <c r="U7250">
        <v>-3.0222169999999999</v>
      </c>
      <c r="V7250">
        <v>-6.2920509999999999E-2</v>
      </c>
      <c r="W7250">
        <v>8.7964970000000003E-2</v>
      </c>
      <c r="X7250">
        <v>0.99413439999999997</v>
      </c>
      <c r="Y7250">
        <v>-5.0078709999999999E-2</v>
      </c>
      <c r="Z7250">
        <v>4.8818430000000003E-2</v>
      </c>
      <c r="AA7250">
        <v>0.99755139999999998</v>
      </c>
      <c r="AB7250">
        <v>18</v>
      </c>
      <c r="AC7250">
        <v>6.0699999999996999E-2</v>
      </c>
      <c r="AD7250">
        <v>-1.1222280382680001</v>
      </c>
      <c r="AE7250">
        <v>-17.796889999999902</v>
      </c>
      <c r="AF7250">
        <v>-0.89498827447139995</v>
      </c>
      <c r="AG7250">
        <v>-1.1222280382680001</v>
      </c>
      <c r="AH7250">
        <v>17.7039014404466</v>
      </c>
      <c r="AI7250">
        <v>93.6224410741318</v>
      </c>
      <c r="AJ7250">
        <v>92.894019409967996</v>
      </c>
      <c r="AK7250">
        <v>17.761996678142999</v>
      </c>
      <c r="AL7250">
        <v>84.953456007166807</v>
      </c>
      <c r="AM7250">
        <v>93.621519793151904</v>
      </c>
      <c r="AN7250">
        <v>1.0000000158945599</v>
      </c>
    </row>
    <row r="7251" spans="1:40" x14ac:dyDescent="0.25">
      <c r="A7251" t="str">
        <f>"20190303162058203"</f>
        <v>20190303162058203</v>
      </c>
      <c r="B7251" t="str">
        <f>"1551601258199789"</f>
        <v>1551601258199789</v>
      </c>
      <c r="C7251" t="s">
        <v>40</v>
      </c>
      <c r="D7251">
        <v>4.5736509999999999</v>
      </c>
      <c r="E7251">
        <v>0.52054979999999995</v>
      </c>
      <c r="F7251" t="s">
        <v>41</v>
      </c>
      <c r="G7251">
        <v>-421.7955</v>
      </c>
      <c r="H7251" s="1">
        <v>-2.1492539999999999E-6</v>
      </c>
      <c r="I7251">
        <v>83.485469999999907</v>
      </c>
      <c r="J7251">
        <v>-421.59840000000003</v>
      </c>
      <c r="K7251">
        <v>1.1221829999999999</v>
      </c>
      <c r="L7251">
        <v>93.344149999999999</v>
      </c>
      <c r="M7251">
        <v>-4.5356489999999999E-2</v>
      </c>
      <c r="N7251">
        <v>-1.3374209999999999E-2</v>
      </c>
      <c r="O7251">
        <v>-0.99888140000000003</v>
      </c>
      <c r="P7251">
        <v>1.442238E-2</v>
      </c>
      <c r="Q7251">
        <v>7.7396670000000001E-2</v>
      </c>
      <c r="R7251">
        <v>-0.99689609999999995</v>
      </c>
      <c r="S7251">
        <v>-6.1431880000000001E-2</v>
      </c>
      <c r="T7251">
        <v>-0.33950750000000002</v>
      </c>
      <c r="U7251">
        <v>-3.0352169999999998</v>
      </c>
      <c r="V7251">
        <v>-5.9774029999999999E-2</v>
      </c>
      <c r="W7251">
        <v>9.0603210000000003E-2</v>
      </c>
      <c r="X7251">
        <v>0.99409159999999996</v>
      </c>
      <c r="Y7251">
        <v>-2.5212350000000001E-2</v>
      </c>
      <c r="Z7251">
        <v>9.7667630000000005E-2</v>
      </c>
      <c r="AA7251">
        <v>0.99489970000000005</v>
      </c>
      <c r="AB7251">
        <v>18</v>
      </c>
      <c r="AC7251">
        <v>-0.19709999999997699</v>
      </c>
      <c r="AD7251">
        <v>-1.122185149254</v>
      </c>
      <c r="AE7251">
        <v>-9.8586799999999997</v>
      </c>
      <c r="AF7251">
        <v>-0.24709769659112299</v>
      </c>
      <c r="AG7251">
        <v>-1.122185149254</v>
      </c>
      <c r="AH7251">
        <v>9.7314367493486795</v>
      </c>
      <c r="AI7251">
        <v>96.575933664681102</v>
      </c>
      <c r="AJ7251">
        <v>91.454524549903297</v>
      </c>
      <c r="AK7251">
        <v>9.7990416871978301</v>
      </c>
      <c r="AL7251">
        <v>84.801689702664603</v>
      </c>
      <c r="AM7251">
        <v>93.4410119578897</v>
      </c>
      <c r="AN7251">
        <v>0.99999999275765195</v>
      </c>
    </row>
    <row r="7252" spans="1:40" x14ac:dyDescent="0.25">
      <c r="A7252" t="str">
        <f>"20190303162058226"</f>
        <v>20190303162058226</v>
      </c>
      <c r="B7252" t="str">
        <f>"1551601258220284"</f>
        <v>1551601258220284</v>
      </c>
      <c r="C7252" t="s">
        <v>40</v>
      </c>
      <c r="D7252">
        <v>4.6664309999999896</v>
      </c>
      <c r="E7252">
        <v>0.52395649999999905</v>
      </c>
      <c r="F7252" t="s">
        <v>42</v>
      </c>
      <c r="G7252">
        <v>-421.62920000000003</v>
      </c>
      <c r="H7252">
        <v>1.0080199999999999</v>
      </c>
      <c r="I7252">
        <v>92.620410000000007</v>
      </c>
      <c r="J7252">
        <v>-421.60419999999999</v>
      </c>
      <c r="K7252">
        <v>1.1221380000000001</v>
      </c>
      <c r="L7252">
        <v>93.169709999999995</v>
      </c>
      <c r="M7252">
        <v>-4.3735370000000003E-2</v>
      </c>
      <c r="N7252">
        <v>-1.336771E-2</v>
      </c>
      <c r="O7252">
        <v>-0.9989536</v>
      </c>
      <c r="P7252">
        <v>1.4949250000000001E-2</v>
      </c>
      <c r="Q7252">
        <v>8.0652169999999995E-2</v>
      </c>
      <c r="R7252">
        <v>-0.99663029999999997</v>
      </c>
      <c r="S7252">
        <v>-0.12982179999999999</v>
      </c>
      <c r="T7252">
        <v>-0.48090739999999998</v>
      </c>
      <c r="U7252">
        <v>-3.0485530000000001</v>
      </c>
      <c r="V7252">
        <v>-5.866598E-2</v>
      </c>
      <c r="W7252">
        <v>9.3858940000000002E-2</v>
      </c>
      <c r="X7252">
        <v>0.9938555</v>
      </c>
      <c r="Y7252">
        <v>-1.626429E-3</v>
      </c>
      <c r="Z7252">
        <v>0.14232549999999999</v>
      </c>
      <c r="AA7252">
        <v>0.98981859999999999</v>
      </c>
      <c r="AB7252">
        <v>18</v>
      </c>
      <c r="AC7252">
        <v>-2.5000000000034099E-2</v>
      </c>
      <c r="AD7252">
        <v>-0.114117999999999</v>
      </c>
      <c r="AE7252">
        <v>-0.54930000000000201</v>
      </c>
      <c r="AF7252">
        <v>9.1085435489596201E-4</v>
      </c>
      <c r="AG7252">
        <v>-0.114117999999999</v>
      </c>
      <c r="AH7252">
        <v>0.52716210475717296</v>
      </c>
      <c r="AI7252">
        <v>102.214675863221</v>
      </c>
      <c r="AJ7252">
        <v>89.901001878016501</v>
      </c>
      <c r="AK7252">
        <v>0.53937337000603602</v>
      </c>
      <c r="AL7252">
        <v>84.614351434688004</v>
      </c>
      <c r="AM7252">
        <v>93.378174352386196</v>
      </c>
      <c r="AN7252">
        <v>0.99999997635376603</v>
      </c>
    </row>
    <row r="7253" spans="1:40" x14ac:dyDescent="0.25">
      <c r="A7253" t="str">
        <f>"20190303162058249"</f>
        <v>20190303162058249</v>
      </c>
      <c r="B7253" t="str">
        <f>"1551601258239805"</f>
        <v>1551601258239805</v>
      </c>
      <c r="C7253" t="s">
        <v>40</v>
      </c>
      <c r="D7253">
        <v>4.5609659999999996</v>
      </c>
      <c r="E7253">
        <v>0.52551969999999903</v>
      </c>
      <c r="F7253" t="s">
        <v>42</v>
      </c>
      <c r="G7253">
        <v>-421.64780000000002</v>
      </c>
      <c r="H7253">
        <v>0.97885690000000003</v>
      </c>
      <c r="I7253">
        <v>92.323999999999998</v>
      </c>
      <c r="J7253">
        <v>-421.60989999999998</v>
      </c>
      <c r="K7253">
        <v>1.122098</v>
      </c>
      <c r="L7253">
        <v>92.995819999999995</v>
      </c>
      <c r="M7253">
        <v>-4.2215860000000001E-2</v>
      </c>
      <c r="N7253">
        <v>-1.336154E-2</v>
      </c>
      <c r="O7253">
        <v>-0.99901910000000005</v>
      </c>
      <c r="P7253">
        <v>1.7588449999999999E-2</v>
      </c>
      <c r="Q7253">
        <v>8.3792370000000005E-2</v>
      </c>
      <c r="R7253">
        <v>-0.99632810000000005</v>
      </c>
      <c r="S7253">
        <v>-0.1564941</v>
      </c>
      <c r="T7253">
        <v>-0.51764460000000001</v>
      </c>
      <c r="U7253">
        <v>-3.0543819999999999</v>
      </c>
      <c r="V7253">
        <v>-5.9768210000000002E-2</v>
      </c>
      <c r="W7253">
        <v>9.6995029999999996E-2</v>
      </c>
      <c r="X7253">
        <v>0.9934887</v>
      </c>
      <c r="Y7253">
        <v>8.3403639999999994E-3</v>
      </c>
      <c r="Z7253">
        <v>0.15358829999999901</v>
      </c>
      <c r="AA7253">
        <v>0.98809970000000003</v>
      </c>
      <c r="AB7253">
        <v>17</v>
      </c>
      <c r="AC7253">
        <v>-3.7900000000036002E-2</v>
      </c>
      <c r="AD7253">
        <v>-0.14324110000000001</v>
      </c>
      <c r="AE7253">
        <v>-0.67181999999999598</v>
      </c>
      <c r="AF7253">
        <v>9.0902805220231704E-3</v>
      </c>
      <c r="AG7253">
        <v>-0.14324110000000001</v>
      </c>
      <c r="AH7253">
        <v>0.64365343948797804</v>
      </c>
      <c r="AI7253">
        <v>102.54515456017999</v>
      </c>
      <c r="AJ7253">
        <v>89.190868792794404</v>
      </c>
      <c r="AK7253">
        <v>0.65946220217225704</v>
      </c>
      <c r="AL7253">
        <v>84.433843202279206</v>
      </c>
      <c r="AM7253">
        <v>93.442760682267803</v>
      </c>
      <c r="AN7253">
        <v>1.00000003589949</v>
      </c>
    </row>
    <row r="7254" spans="1:40" x14ac:dyDescent="0.25">
      <c r="A7254" t="str">
        <f>"20190303162058271"</f>
        <v>20190303162058271</v>
      </c>
      <c r="B7254" t="str">
        <f>"1551601258260300"</f>
        <v>1551601258260300</v>
      </c>
      <c r="C7254" t="s">
        <v>40</v>
      </c>
      <c r="D7254">
        <v>4.5654329999999996</v>
      </c>
      <c r="E7254">
        <v>0.52616719999999995</v>
      </c>
      <c r="F7254" t="s">
        <v>42</v>
      </c>
      <c r="G7254">
        <v>-421.6542</v>
      </c>
      <c r="H7254">
        <v>0.97895659999999896</v>
      </c>
      <c r="I7254">
        <v>92.16874</v>
      </c>
      <c r="J7254">
        <v>-421.61540000000002</v>
      </c>
      <c r="K7254">
        <v>1.1220699999999999</v>
      </c>
      <c r="L7254">
        <v>92.823759999999993</v>
      </c>
      <c r="M7254">
        <v>-4.0782190000000003E-2</v>
      </c>
      <c r="N7254">
        <v>-1.335601E-2</v>
      </c>
      <c r="O7254">
        <v>-0.99907900000000005</v>
      </c>
      <c r="P7254">
        <v>2.0818360000000001E-2</v>
      </c>
      <c r="Q7254">
        <v>8.7603180000000003E-2</v>
      </c>
      <c r="R7254">
        <v>-0.99593810000000005</v>
      </c>
      <c r="S7254">
        <v>-0.1626282</v>
      </c>
      <c r="T7254">
        <v>-0.52957399999999999</v>
      </c>
      <c r="U7254">
        <v>-3.0584410000000002</v>
      </c>
      <c r="V7254">
        <v>-6.1545379999999997E-2</v>
      </c>
      <c r="W7254">
        <v>0.1007991</v>
      </c>
      <c r="X7254">
        <v>0.99300129999999998</v>
      </c>
      <c r="Y7254">
        <v>1.1650840000000001E-2</v>
      </c>
      <c r="Z7254">
        <v>0.15711829999999999</v>
      </c>
      <c r="AA7254">
        <v>0.98751100000000003</v>
      </c>
      <c r="AB7254">
        <v>17</v>
      </c>
      <c r="AC7254">
        <v>-3.87999999999806E-2</v>
      </c>
      <c r="AD7254">
        <v>-0.1431134</v>
      </c>
      <c r="AE7254">
        <v>-0.65501999999999305</v>
      </c>
      <c r="AF7254">
        <v>1.15049029373073E-2</v>
      </c>
      <c r="AG7254">
        <v>-0.1431134</v>
      </c>
      <c r="AH7254">
        <v>0.62626616912140298</v>
      </c>
      <c r="AI7254">
        <v>102.87001985289101</v>
      </c>
      <c r="AJ7254">
        <v>88.947558919983393</v>
      </c>
      <c r="AK7254">
        <v>0.64251313032276203</v>
      </c>
      <c r="AL7254">
        <v>84.214811581195903</v>
      </c>
      <c r="AM7254">
        <v>93.5466072255158</v>
      </c>
      <c r="AN7254">
        <v>0.99999993708092005</v>
      </c>
    </row>
    <row r="7255" spans="1:40" x14ac:dyDescent="0.25">
      <c r="A7255" t="str">
        <f>"20190303162058294"</f>
        <v>20190303162058294</v>
      </c>
      <c r="B7255" t="str">
        <f>"1551601258289581"</f>
        <v>1551601258289581</v>
      </c>
      <c r="C7255" t="s">
        <v>40</v>
      </c>
      <c r="D7255">
        <v>4.6393060000000004</v>
      </c>
      <c r="E7255">
        <v>0.5428096</v>
      </c>
      <c r="F7255" t="s">
        <v>42</v>
      </c>
      <c r="G7255">
        <v>-421.65800000000002</v>
      </c>
      <c r="H7255">
        <v>0.98198379999999996</v>
      </c>
      <c r="I7255">
        <v>92.012090000000001</v>
      </c>
      <c r="J7255">
        <v>-421.62099999999998</v>
      </c>
      <c r="K7255">
        <v>1.122044</v>
      </c>
      <c r="L7255">
        <v>92.644199999999998</v>
      </c>
      <c r="M7255">
        <v>-3.9365940000000002E-2</v>
      </c>
      <c r="N7255">
        <v>-1.335079E-2</v>
      </c>
      <c r="O7255">
        <v>-0.99913589999999997</v>
      </c>
      <c r="P7255">
        <v>2.4189160000000001E-2</v>
      </c>
      <c r="Q7255">
        <v>9.0332480000000007E-2</v>
      </c>
      <c r="R7255">
        <v>-0.99561809999999995</v>
      </c>
      <c r="S7255">
        <v>-0.1602478</v>
      </c>
      <c r="T7255">
        <v>-0.52860469999999904</v>
      </c>
      <c r="U7255">
        <v>-3.0620729999999998</v>
      </c>
      <c r="V7255">
        <v>-6.3484849999999995E-2</v>
      </c>
      <c r="W7255">
        <v>0.1035218</v>
      </c>
      <c r="X7255">
        <v>0.99259909999999996</v>
      </c>
      <c r="Y7255">
        <v>1.224394E-2</v>
      </c>
      <c r="Z7255">
        <v>0.15664059999999999</v>
      </c>
      <c r="AA7255">
        <v>0.98757980000000001</v>
      </c>
      <c r="AB7255">
        <v>17</v>
      </c>
      <c r="AC7255">
        <v>-3.7000000000034498E-2</v>
      </c>
      <c r="AD7255">
        <v>-0.1400602</v>
      </c>
      <c r="AE7255">
        <v>-0.63210999999999695</v>
      </c>
      <c r="AF7255">
        <v>1.1521759983826201E-2</v>
      </c>
      <c r="AG7255">
        <v>-0.1400602</v>
      </c>
      <c r="AH7255">
        <v>0.60354621518909901</v>
      </c>
      <c r="AI7255">
        <v>103.062628819723</v>
      </c>
      <c r="AJ7255">
        <v>88.906350454208095</v>
      </c>
      <c r="AK7255">
        <v>0.619691572030999</v>
      </c>
      <c r="AL7255">
        <v>84.057992372562794</v>
      </c>
      <c r="AM7255">
        <v>93.659550274294801</v>
      </c>
      <c r="AN7255">
        <v>1.0000000312877799</v>
      </c>
    </row>
    <row r="7256" spans="1:40" x14ac:dyDescent="0.25">
      <c r="A7256" t="str">
        <f>"20190303162058315"</f>
        <v>20190303162058315</v>
      </c>
      <c r="B7256" t="str">
        <f>"1551601258310076"</f>
        <v>1551601258310076</v>
      </c>
      <c r="C7256" t="s">
        <v>40</v>
      </c>
      <c r="D7256">
        <v>4.6177999999999999</v>
      </c>
      <c r="E7256">
        <v>0.5434428</v>
      </c>
      <c r="F7256" t="s">
        <v>42</v>
      </c>
      <c r="G7256">
        <v>-421.69260000000003</v>
      </c>
      <c r="H7256">
        <v>0.94719819999999999</v>
      </c>
      <c r="I7256">
        <v>91.876009999999994</v>
      </c>
      <c r="J7256">
        <v>-421.62619999999998</v>
      </c>
      <c r="K7256">
        <v>1.1220060000000001</v>
      </c>
      <c r="L7256">
        <v>92.472840000000005</v>
      </c>
      <c r="M7256">
        <v>-3.8108360000000001E-2</v>
      </c>
      <c r="N7256">
        <v>-1.334606E-2</v>
      </c>
      <c r="O7256">
        <v>-0.99918459999999998</v>
      </c>
      <c r="P7256">
        <v>2.692456E-2</v>
      </c>
      <c r="Q7256">
        <v>9.1544899999999998E-2</v>
      </c>
      <c r="R7256">
        <v>-0.99543729999999997</v>
      </c>
      <c r="S7256">
        <v>-0.28646850000000001</v>
      </c>
      <c r="T7256">
        <v>-0.70211880000000004</v>
      </c>
      <c r="U7256">
        <v>-3.0838930000000002</v>
      </c>
      <c r="V7256">
        <v>-6.4952780000000002E-2</v>
      </c>
      <c r="W7256">
        <v>0.1047302</v>
      </c>
      <c r="X7256">
        <v>0.99237730000000002</v>
      </c>
      <c r="Y7256">
        <v>5.2365549999999997E-2</v>
      </c>
      <c r="Z7256">
        <v>0.20814089999999999</v>
      </c>
      <c r="AA7256">
        <v>0.97669609999999996</v>
      </c>
      <c r="AB7256">
        <v>17</v>
      </c>
      <c r="AC7256">
        <v>-6.6400000000044201E-2</v>
      </c>
      <c r="AD7256">
        <v>-0.17480780000000001</v>
      </c>
      <c r="AE7256">
        <v>-0.59683000000001096</v>
      </c>
      <c r="AF7256">
        <v>4.0199132555375203E-2</v>
      </c>
      <c r="AG7256">
        <v>-0.17480780000000001</v>
      </c>
      <c r="AH7256">
        <v>0.55213983067611305</v>
      </c>
      <c r="AI7256">
        <v>107.52428348496299</v>
      </c>
      <c r="AJ7256">
        <v>85.835866590938096</v>
      </c>
      <c r="AK7256">
        <v>0.58054468373941004</v>
      </c>
      <c r="AL7256">
        <v>83.988377495997796</v>
      </c>
      <c r="AM7256">
        <v>93.744764760221003</v>
      </c>
      <c r="AN7256">
        <v>0.99999999198852896</v>
      </c>
    </row>
    <row r="7257" spans="1:40" x14ac:dyDescent="0.25">
      <c r="A7257" t="str">
        <f>"20190303162058337"</f>
        <v>20190303162058337</v>
      </c>
      <c r="B7257" t="str">
        <f>"1551601258329596"</f>
        <v>1551601258329596</v>
      </c>
      <c r="C7257" t="s">
        <v>40</v>
      </c>
      <c r="D7257">
        <v>4.6654150000000003</v>
      </c>
      <c r="E7257">
        <v>0.54452319999999999</v>
      </c>
      <c r="F7257" t="s">
        <v>42</v>
      </c>
      <c r="G7257">
        <v>-421.69439999999997</v>
      </c>
      <c r="H7257">
        <v>0.93880819999999998</v>
      </c>
      <c r="I7257">
        <v>91.725040000000007</v>
      </c>
      <c r="J7257">
        <v>-421.63119999999998</v>
      </c>
      <c r="K7257">
        <v>1.1219669999999999</v>
      </c>
      <c r="L7257">
        <v>92.303439999999995</v>
      </c>
      <c r="M7257">
        <v>-3.6970980000000001E-2</v>
      </c>
      <c r="N7257">
        <v>-1.3341489999999999E-2</v>
      </c>
      <c r="O7257">
        <v>-0.99922759999999999</v>
      </c>
      <c r="P7257">
        <v>2.884099E-2</v>
      </c>
      <c r="Q7257">
        <v>9.1745160000000006E-2</v>
      </c>
      <c r="R7257">
        <v>-0.9953649</v>
      </c>
      <c r="S7257">
        <v>-0.2820435</v>
      </c>
      <c r="T7257">
        <v>-0.75727860000000002</v>
      </c>
      <c r="U7257">
        <v>-3.0910340000000001</v>
      </c>
      <c r="V7257">
        <v>-6.5724089999999999E-2</v>
      </c>
      <c r="W7257">
        <v>0.10493130000000001</v>
      </c>
      <c r="X7257">
        <v>0.99230529999999995</v>
      </c>
      <c r="Y7257">
        <v>5.1580840000000003E-2</v>
      </c>
      <c r="Z7257">
        <v>0.22413669999999999</v>
      </c>
      <c r="AA7257">
        <v>0.97319169999999999</v>
      </c>
      <c r="AB7257">
        <v>17</v>
      </c>
      <c r="AC7257">
        <v>-6.3199999999994802E-2</v>
      </c>
      <c r="AD7257">
        <v>-0.18315879999999901</v>
      </c>
      <c r="AE7257">
        <v>-0.57840000000000202</v>
      </c>
      <c r="AF7257">
        <v>3.8004845750710399E-2</v>
      </c>
      <c r="AG7257">
        <v>-0.18315879999999901</v>
      </c>
      <c r="AH7257">
        <v>0.52801817747274005</v>
      </c>
      <c r="AI7257">
        <v>109.084836047404</v>
      </c>
      <c r="AJ7257">
        <v>85.8831556992629</v>
      </c>
      <c r="AK7257">
        <v>0.56017382129086402</v>
      </c>
      <c r="AL7257">
        <v>83.976791652346705</v>
      </c>
      <c r="AM7257">
        <v>93.789378940102793</v>
      </c>
      <c r="AN7257">
        <v>1.0000000210670501</v>
      </c>
    </row>
    <row r="7258" spans="1:40" x14ac:dyDescent="0.25">
      <c r="A7258" t="str">
        <f>"20190303162058359"</f>
        <v>20190303162058359</v>
      </c>
      <c r="B7258" t="str">
        <f>"1551601258350093"</f>
        <v>1551601258350093</v>
      </c>
      <c r="C7258" t="s">
        <v>40</v>
      </c>
      <c r="D7258">
        <v>4.6539789999999996</v>
      </c>
      <c r="E7258">
        <v>0.5463654</v>
      </c>
      <c r="F7258" t="s">
        <v>42</v>
      </c>
      <c r="G7258">
        <v>-421.69850000000002</v>
      </c>
      <c r="H7258">
        <v>0.93404920000000002</v>
      </c>
      <c r="I7258">
        <v>91.572640000000007</v>
      </c>
      <c r="J7258">
        <v>-421.63630000000001</v>
      </c>
      <c r="K7258">
        <v>1.1219110000000001</v>
      </c>
      <c r="L7258">
        <v>92.131590000000003</v>
      </c>
      <c r="M7258">
        <v>-3.5926979999999997E-2</v>
      </c>
      <c r="N7258">
        <v>-1.333693E-2</v>
      </c>
      <c r="O7258">
        <v>-0.99926539999999997</v>
      </c>
      <c r="P7258">
        <v>2.959846E-2</v>
      </c>
      <c r="Q7258">
        <v>9.239812E-2</v>
      </c>
      <c r="R7258">
        <v>-0.99528220000000001</v>
      </c>
      <c r="S7258">
        <v>-0.28323359999999997</v>
      </c>
      <c r="T7258">
        <v>-0.79618809999999995</v>
      </c>
      <c r="U7258">
        <v>-3.0955509999999999</v>
      </c>
      <c r="V7258">
        <v>-6.5427579999999999E-2</v>
      </c>
      <c r="W7258">
        <v>0.1055866</v>
      </c>
      <c r="X7258">
        <v>0.99225540000000001</v>
      </c>
      <c r="Y7258">
        <v>5.2620470000000003E-2</v>
      </c>
      <c r="Z7258">
        <v>0.2352862</v>
      </c>
      <c r="AA7258">
        <v>0.97050060000000005</v>
      </c>
      <c r="AB7258">
        <v>17</v>
      </c>
      <c r="AC7258">
        <v>-6.22000000000184E-2</v>
      </c>
      <c r="AD7258">
        <v>-0.1878618</v>
      </c>
      <c r="AE7258">
        <v>-0.55894999999999495</v>
      </c>
      <c r="AF7258">
        <v>3.7853027415655202E-2</v>
      </c>
      <c r="AG7258">
        <v>-0.1878618</v>
      </c>
      <c r="AH7258">
        <v>0.50452867082138697</v>
      </c>
      <c r="AI7258">
        <v>110.37033981114701</v>
      </c>
      <c r="AJ7258">
        <v>85.709336027750496</v>
      </c>
      <c r="AK7258">
        <v>0.539698144581363</v>
      </c>
      <c r="AL7258">
        <v>83.939036096164102</v>
      </c>
      <c r="AM7258">
        <v>93.772522034830999</v>
      </c>
      <c r="AN7258">
        <v>1.0000000385766801</v>
      </c>
    </row>
    <row r="7259" spans="1:40" x14ac:dyDescent="0.25">
      <c r="A7259" t="str">
        <f>"20190303162058382"</f>
        <v>20190303162058382</v>
      </c>
      <c r="B7259" t="str">
        <f>"1551601258379373"</f>
        <v>1551601258379373</v>
      </c>
      <c r="C7259" t="s">
        <v>40</v>
      </c>
      <c r="D7259">
        <v>4.6581910000000004</v>
      </c>
      <c r="E7259">
        <v>0.54784060000000001</v>
      </c>
      <c r="F7259" t="s">
        <v>42</v>
      </c>
      <c r="G7259">
        <v>-421.70429999999999</v>
      </c>
      <c r="H7259">
        <v>0.9318746</v>
      </c>
      <c r="I7259">
        <v>91.419340000000005</v>
      </c>
      <c r="J7259">
        <v>-421.64139999999998</v>
      </c>
      <c r="K7259">
        <v>1.121842</v>
      </c>
      <c r="L7259">
        <v>91.956819999999993</v>
      </c>
      <c r="M7259">
        <v>-3.497074E-2</v>
      </c>
      <c r="N7259">
        <v>-1.333252E-2</v>
      </c>
      <c r="O7259">
        <v>-0.99929959999999995</v>
      </c>
      <c r="P7259">
        <v>2.9497860000000001E-2</v>
      </c>
      <c r="Q7259">
        <v>9.0602080000000002E-2</v>
      </c>
      <c r="R7259">
        <v>-0.99545070000000002</v>
      </c>
      <c r="S7259">
        <v>-0.29541020000000001</v>
      </c>
      <c r="T7259">
        <v>-0.82713579999999998</v>
      </c>
      <c r="U7259">
        <v>-3.0997919999999999</v>
      </c>
      <c r="V7259">
        <v>-6.4367099999999997E-2</v>
      </c>
      <c r="W7259">
        <v>0.10379969999999999</v>
      </c>
      <c r="X7259">
        <v>0.99251319999999998</v>
      </c>
      <c r="Y7259">
        <v>5.7019550000000002E-2</v>
      </c>
      <c r="Z7259">
        <v>0.24395030000000001</v>
      </c>
      <c r="AA7259">
        <v>0.96811000000000003</v>
      </c>
      <c r="AB7259">
        <v>17</v>
      </c>
      <c r="AC7259">
        <v>-6.2900000000013195E-2</v>
      </c>
      <c r="AD7259">
        <v>-0.18996740000000001</v>
      </c>
      <c r="AE7259">
        <v>-0.53747999999998797</v>
      </c>
      <c r="AF7259">
        <v>3.9229429799540402E-2</v>
      </c>
      <c r="AG7259">
        <v>-0.18996740000000001</v>
      </c>
      <c r="AH7259">
        <v>0.48017746393845301</v>
      </c>
      <c r="AI7259">
        <v>111.51958730909099</v>
      </c>
      <c r="AJ7259">
        <v>85.329435207915296</v>
      </c>
      <c r="AK7259">
        <v>0.51787735816457703</v>
      </c>
      <c r="AL7259">
        <v>84.041983305965203</v>
      </c>
      <c r="AM7259">
        <v>93.710586236862198</v>
      </c>
      <c r="AN7259">
        <v>0.99999997672836904</v>
      </c>
    </row>
    <row r="7260" spans="1:40" x14ac:dyDescent="0.25">
      <c r="A7260" t="str">
        <f>"20190303162058404"</f>
        <v>20190303162058404</v>
      </c>
      <c r="B7260" t="str">
        <f>"1551601258399868"</f>
        <v>1551601258399868</v>
      </c>
      <c r="C7260" t="s">
        <v>40</v>
      </c>
      <c r="D7260">
        <v>4.6356190000000002</v>
      </c>
      <c r="E7260">
        <v>0.54836600000000002</v>
      </c>
      <c r="F7260" t="s">
        <v>42</v>
      </c>
      <c r="G7260">
        <v>-421.71010000000001</v>
      </c>
      <c r="H7260">
        <v>0.93017550000000004</v>
      </c>
      <c r="I7260">
        <v>91.265979999999999</v>
      </c>
      <c r="J7260">
        <v>-421.6463</v>
      </c>
      <c r="K7260">
        <v>1.1217839999999999</v>
      </c>
      <c r="L7260">
        <v>91.784520000000001</v>
      </c>
      <c r="M7260">
        <v>-3.4127289999999998E-2</v>
      </c>
      <c r="N7260">
        <v>-1.332853E-2</v>
      </c>
      <c r="O7260">
        <v>-0.99932869999999996</v>
      </c>
      <c r="P7260">
        <v>2.8788060000000001E-2</v>
      </c>
      <c r="Q7260">
        <v>8.822671E-2</v>
      </c>
      <c r="R7260">
        <v>-0.99568429999999997</v>
      </c>
      <c r="S7260">
        <v>-0.30664059999999999</v>
      </c>
      <c r="T7260">
        <v>-0.86054489999999995</v>
      </c>
      <c r="U7260">
        <v>-3.101105</v>
      </c>
      <c r="V7260">
        <v>-6.2811649999999997E-2</v>
      </c>
      <c r="W7260">
        <v>0.10143340000000001</v>
      </c>
      <c r="X7260">
        <v>0.99285749999999995</v>
      </c>
      <c r="Y7260">
        <v>6.1043449999999999E-2</v>
      </c>
      <c r="Z7260">
        <v>0.25346929999999901</v>
      </c>
      <c r="AA7260">
        <v>0.96541549999999998</v>
      </c>
      <c r="AB7260">
        <v>17</v>
      </c>
      <c r="AC7260">
        <v>-6.3800000000014706E-2</v>
      </c>
      <c r="AD7260">
        <v>-0.19160849999999999</v>
      </c>
      <c r="AE7260">
        <v>-0.518540000000001</v>
      </c>
      <c r="AF7260">
        <v>4.0603502590172702E-2</v>
      </c>
      <c r="AG7260">
        <v>-0.19160849999999999</v>
      </c>
      <c r="AH7260">
        <v>0.45871566241842399</v>
      </c>
      <c r="AI7260">
        <v>112.59120101778601</v>
      </c>
      <c r="AJ7260">
        <v>84.941611748102403</v>
      </c>
      <c r="AK7260">
        <v>0.49878103476657298</v>
      </c>
      <c r="AL7260">
        <v>84.178282158649495</v>
      </c>
      <c r="AM7260">
        <v>93.619907956654302</v>
      </c>
      <c r="AN7260">
        <v>1.0000000266587601</v>
      </c>
    </row>
    <row r="7261" spans="1:40" x14ac:dyDescent="0.25">
      <c r="A7261" t="str">
        <f>"20190303162058427"</f>
        <v>20190303162058427</v>
      </c>
      <c r="B7261" t="str">
        <f>"1551601258419389"</f>
        <v>1551601258419389</v>
      </c>
      <c r="C7261" t="s">
        <v>40</v>
      </c>
      <c r="D7261">
        <v>4.6246479999999996</v>
      </c>
      <c r="E7261">
        <v>0.54880010000000001</v>
      </c>
      <c r="F7261" t="s">
        <v>42</v>
      </c>
      <c r="G7261">
        <v>-421.714</v>
      </c>
      <c r="H7261">
        <v>0.93055310000000002</v>
      </c>
      <c r="I7261">
        <v>91.111649999999997</v>
      </c>
      <c r="J7261">
        <v>-421.65120000000002</v>
      </c>
      <c r="K7261">
        <v>1.121737</v>
      </c>
      <c r="L7261">
        <v>91.61609</v>
      </c>
      <c r="M7261">
        <v>-3.3397610000000001E-2</v>
      </c>
      <c r="N7261">
        <v>-1.3324890000000001E-2</v>
      </c>
      <c r="O7261">
        <v>-0.99935339999999995</v>
      </c>
      <c r="P7261">
        <v>2.6992929999999998E-2</v>
      </c>
      <c r="Q7261">
        <v>8.700505E-2</v>
      </c>
      <c r="R7261">
        <v>-0.99584249999999996</v>
      </c>
      <c r="S7261">
        <v>-0.311554</v>
      </c>
      <c r="T7261">
        <v>-0.88109040000000005</v>
      </c>
      <c r="U7261">
        <v>-3.100098</v>
      </c>
      <c r="V7261">
        <v>-6.0286529999999998E-2</v>
      </c>
      <c r="W7261">
        <v>0.1002194</v>
      </c>
      <c r="X7261">
        <v>0.99313720000000005</v>
      </c>
      <c r="Y7261">
        <v>6.3152249999999993E-2</v>
      </c>
      <c r="Z7261">
        <v>0.25943929999999998</v>
      </c>
      <c r="AA7261">
        <v>0.9636924</v>
      </c>
      <c r="AB7261">
        <v>17</v>
      </c>
      <c r="AC7261">
        <v>-6.2799999999981496E-2</v>
      </c>
      <c r="AD7261">
        <v>-0.19118389999999999</v>
      </c>
      <c r="AE7261">
        <v>-0.504440000000002</v>
      </c>
      <c r="AF7261">
        <v>4.0226343645494898E-2</v>
      </c>
      <c r="AG7261">
        <v>-0.19118389999999999</v>
      </c>
      <c r="AH7261">
        <v>0.44352002098378701</v>
      </c>
      <c r="AI7261">
        <v>113.233763021542</v>
      </c>
      <c r="AJ7261">
        <v>84.817571314821095</v>
      </c>
      <c r="AK7261">
        <v>0.48464363335935201</v>
      </c>
      <c r="AL7261">
        <v>84.248195047723101</v>
      </c>
      <c r="AM7261">
        <v>93.473770162210599</v>
      </c>
      <c r="AN7261">
        <v>0.999999945929819</v>
      </c>
    </row>
    <row r="7262" spans="1:40" x14ac:dyDescent="0.25">
      <c r="A7262" t="str">
        <f>"20190303162058448"</f>
        <v>20190303162058448</v>
      </c>
      <c r="B7262" t="str">
        <f>"1551601258439885"</f>
        <v>1551601258439885</v>
      </c>
      <c r="C7262" t="s">
        <v>40</v>
      </c>
      <c r="D7262">
        <v>4.6493330000000004</v>
      </c>
      <c r="E7262">
        <v>0.54909839999999999</v>
      </c>
      <c r="F7262" t="s">
        <v>42</v>
      </c>
      <c r="G7262">
        <v>-421.7328</v>
      </c>
      <c r="H7262">
        <v>0.89292909999999903</v>
      </c>
      <c r="I7262">
        <v>90.821839999999995</v>
      </c>
      <c r="J7262">
        <v>-421.65609999999998</v>
      </c>
      <c r="K7262">
        <v>1.121712</v>
      </c>
      <c r="L7262">
        <v>91.444699999999997</v>
      </c>
      <c r="M7262">
        <v>-3.2726659999999998E-2</v>
      </c>
      <c r="N7262">
        <v>-1.332143E-2</v>
      </c>
      <c r="O7262">
        <v>-0.99937580000000004</v>
      </c>
      <c r="P7262">
        <v>2.486696E-2</v>
      </c>
      <c r="Q7262">
        <v>8.7237999999999996E-2</v>
      </c>
      <c r="R7262">
        <v>-0.99587729999999997</v>
      </c>
      <c r="S7262">
        <v>-0.3174438</v>
      </c>
      <c r="T7262">
        <v>-0.89290939999999996</v>
      </c>
      <c r="U7262">
        <v>-3.0991209999999998</v>
      </c>
      <c r="V7262">
        <v>-5.7489459999999999E-2</v>
      </c>
      <c r="W7262">
        <v>0.10045510000000001</v>
      </c>
      <c r="X7262">
        <v>0.99327929999999998</v>
      </c>
      <c r="Y7262">
        <v>6.556381E-2</v>
      </c>
      <c r="Z7262">
        <v>0.2628741</v>
      </c>
      <c r="AA7262">
        <v>0.96259989999999995</v>
      </c>
      <c r="AB7262">
        <v>17</v>
      </c>
      <c r="AC7262">
        <v>-7.6700000000016602E-2</v>
      </c>
      <c r="AD7262">
        <v>-0.22878290000000001</v>
      </c>
      <c r="AE7262">
        <v>-0.62285999999998798</v>
      </c>
      <c r="AF7262">
        <v>4.9671549541127402E-2</v>
      </c>
      <c r="AG7262">
        <v>-0.22878290000000001</v>
      </c>
      <c r="AH7262">
        <v>0.55171312024709696</v>
      </c>
      <c r="AI7262">
        <v>112.440958960229</v>
      </c>
      <c r="AJ7262">
        <v>84.855446186985503</v>
      </c>
      <c r="AK7262">
        <v>0.59932983007607299</v>
      </c>
      <c r="AL7262">
        <v>84.234622342852802</v>
      </c>
      <c r="AM7262">
        <v>93.312494986691704</v>
      </c>
      <c r="AN7262">
        <v>1.00000001646779</v>
      </c>
    </row>
    <row r="7263" spans="1:40" x14ac:dyDescent="0.25">
      <c r="A7263" t="str">
        <f>"20190303162058472"</f>
        <v>20190303162058472</v>
      </c>
      <c r="B7263" t="str">
        <f>"1551601258459404"</f>
        <v>1551601258459404</v>
      </c>
      <c r="C7263" t="s">
        <v>40</v>
      </c>
      <c r="D7263">
        <v>4.5918599999999996</v>
      </c>
      <c r="E7263">
        <v>0.54983559999999998</v>
      </c>
      <c r="F7263" t="s">
        <v>42</v>
      </c>
      <c r="G7263">
        <v>-421.73790000000002</v>
      </c>
      <c r="H7263">
        <v>0.89610040000000002</v>
      </c>
      <c r="I7263">
        <v>90.666979999999995</v>
      </c>
      <c r="J7263">
        <v>-421.661</v>
      </c>
      <c r="K7263">
        <v>1.121721</v>
      </c>
      <c r="L7263">
        <v>91.27261</v>
      </c>
      <c r="M7263">
        <v>-3.2096140000000002E-2</v>
      </c>
      <c r="N7263">
        <v>-1.331824E-2</v>
      </c>
      <c r="O7263">
        <v>-0.99939599999999995</v>
      </c>
      <c r="P7263">
        <v>2.3569989999999999E-2</v>
      </c>
      <c r="Q7263">
        <v>8.8425519999999994E-2</v>
      </c>
      <c r="R7263">
        <v>-0.99580389999999996</v>
      </c>
      <c r="S7263">
        <v>-0.32440190000000002</v>
      </c>
      <c r="T7263">
        <v>-0.89920679999999997</v>
      </c>
      <c r="U7263">
        <v>-3.0993040000000001</v>
      </c>
      <c r="V7263">
        <v>-5.556299E-2</v>
      </c>
      <c r="W7263">
        <v>0.1016411</v>
      </c>
      <c r="X7263">
        <v>0.99326829999999999</v>
      </c>
      <c r="Y7263">
        <v>6.8269460000000004E-2</v>
      </c>
      <c r="Z7263">
        <v>0.2646172</v>
      </c>
      <c r="AA7263">
        <v>0.96193399999999996</v>
      </c>
      <c r="AB7263">
        <v>17</v>
      </c>
      <c r="AC7263">
        <v>-7.69000000000232E-2</v>
      </c>
      <c r="AD7263">
        <v>-0.22562059999999901</v>
      </c>
      <c r="AE7263">
        <v>-0.60562999999999001</v>
      </c>
      <c r="AF7263">
        <v>5.0520079608060403E-2</v>
      </c>
      <c r="AG7263">
        <v>-0.22562059999999901</v>
      </c>
      <c r="AH7263">
        <v>0.534748750036381</v>
      </c>
      <c r="AI7263">
        <v>112.78476795117599</v>
      </c>
      <c r="AJ7263">
        <v>84.603032977541005</v>
      </c>
      <c r="AK7263">
        <v>0.58259176037207705</v>
      </c>
      <c r="AL7263">
        <v>84.166320065012798</v>
      </c>
      <c r="AM7263">
        <v>93.201763692655106</v>
      </c>
      <c r="AN7263">
        <v>1.0000000374259099</v>
      </c>
    </row>
    <row r="7264" spans="1:40" x14ac:dyDescent="0.25">
      <c r="A7264" t="str">
        <f>"20190303162058494"</f>
        <v>20190303162058494</v>
      </c>
      <c r="B7264" t="str">
        <f>"1551601258489855"</f>
        <v>1551601258489855</v>
      </c>
      <c r="C7264" t="s">
        <v>40</v>
      </c>
      <c r="D7264">
        <v>4.631761</v>
      </c>
      <c r="E7264">
        <v>0.55026280000000005</v>
      </c>
      <c r="F7264" t="s">
        <v>42</v>
      </c>
      <c r="G7264">
        <v>-421.74329999999998</v>
      </c>
      <c r="H7264">
        <v>0.90184010000000003</v>
      </c>
      <c r="I7264">
        <v>90.511219999999994</v>
      </c>
      <c r="J7264">
        <v>-421.66579999999999</v>
      </c>
      <c r="K7264">
        <v>1.1217469999999901</v>
      </c>
      <c r="L7264">
        <v>91.096220000000002</v>
      </c>
      <c r="M7264">
        <v>-3.1464110000000003E-2</v>
      </c>
      <c r="N7264">
        <v>-1.331529E-2</v>
      </c>
      <c r="O7264">
        <v>-0.99941630000000004</v>
      </c>
      <c r="P7264">
        <v>2.287372E-2</v>
      </c>
      <c r="Q7264">
        <v>8.981944E-2</v>
      </c>
      <c r="R7264">
        <v>-0.99569560000000001</v>
      </c>
      <c r="S7264">
        <v>-0.33474730000000003</v>
      </c>
      <c r="T7264">
        <v>-0.89529979999999998</v>
      </c>
      <c r="U7264">
        <v>-3.1000670000000001</v>
      </c>
      <c r="V7264">
        <v>-5.4237519999999997E-2</v>
      </c>
      <c r="W7264">
        <v>0.1030305</v>
      </c>
      <c r="X7264">
        <v>0.99319840000000004</v>
      </c>
      <c r="Y7264">
        <v>7.2079439999999995E-2</v>
      </c>
      <c r="Z7264">
        <v>0.26336670000000001</v>
      </c>
      <c r="AA7264">
        <v>0.96199920000000005</v>
      </c>
      <c r="AB7264">
        <v>17</v>
      </c>
      <c r="AC7264">
        <v>-7.7499999999986302E-2</v>
      </c>
      <c r="AD7264">
        <v>-0.21990689999999899</v>
      </c>
      <c r="AE7264">
        <v>-0.58500000000000696</v>
      </c>
      <c r="AF7264">
        <v>5.18526802402616E-2</v>
      </c>
      <c r="AG7264">
        <v>-0.21990689999999899</v>
      </c>
      <c r="AH7264">
        <v>0.51555378239495298</v>
      </c>
      <c r="AI7264">
        <v>112.99655512627</v>
      </c>
      <c r="AJ7264">
        <v>84.256695376737497</v>
      </c>
      <c r="AK7264">
        <v>0.56288848598763397</v>
      </c>
      <c r="AL7264">
        <v>84.086293095766607</v>
      </c>
      <c r="AM7264">
        <v>93.125757577835302</v>
      </c>
      <c r="AN7264">
        <v>1.0000000271342699</v>
      </c>
    </row>
    <row r="7265" spans="1:40" x14ac:dyDescent="0.25">
      <c r="A7265" t="str">
        <f>"20190303162058517"</f>
        <v>20190303162058517</v>
      </c>
      <c r="B7265" t="str">
        <f>"1551601258510349"</f>
        <v>1551601258510349</v>
      </c>
      <c r="C7265" t="s">
        <v>40</v>
      </c>
      <c r="D7265">
        <v>4.6203029999999998</v>
      </c>
      <c r="E7265">
        <v>0.55045749999999904</v>
      </c>
      <c r="F7265" t="s">
        <v>42</v>
      </c>
      <c r="G7265">
        <v>-421.74740000000003</v>
      </c>
      <c r="H7265">
        <v>0.90816450000000004</v>
      </c>
      <c r="I7265">
        <v>90.355320000000006</v>
      </c>
      <c r="J7265">
        <v>-421.67039999999997</v>
      </c>
      <c r="K7265">
        <v>1.12178</v>
      </c>
      <c r="L7265">
        <v>90.925870000000003</v>
      </c>
      <c r="M7265">
        <v>-3.0844630000000001E-2</v>
      </c>
      <c r="N7265">
        <v>-1.331279E-2</v>
      </c>
      <c r="O7265">
        <v>-0.99943590000000004</v>
      </c>
      <c r="P7265">
        <v>2.2954769999999999E-2</v>
      </c>
      <c r="Q7265">
        <v>9.1549320000000003E-2</v>
      </c>
      <c r="R7265">
        <v>-0.99553630000000004</v>
      </c>
      <c r="S7265">
        <v>-0.34027099999999999</v>
      </c>
      <c r="T7265">
        <v>-0.89416689999999999</v>
      </c>
      <c r="U7265">
        <v>-3.1014400000000002</v>
      </c>
      <c r="V7265">
        <v>-5.3703540000000001E-2</v>
      </c>
      <c r="W7265">
        <v>0.104753</v>
      </c>
      <c r="X7265">
        <v>0.99304720000000002</v>
      </c>
      <c r="Y7265">
        <v>7.4355099999999993E-2</v>
      </c>
      <c r="Z7265">
        <v>0.26289279999999998</v>
      </c>
      <c r="AA7265">
        <v>0.96195569999999997</v>
      </c>
      <c r="AB7265">
        <v>17</v>
      </c>
      <c r="AC7265">
        <v>-7.7000000000054997E-2</v>
      </c>
      <c r="AD7265">
        <v>-0.21361550000000001</v>
      </c>
      <c r="AE7265">
        <v>-0.570549999999997</v>
      </c>
      <c r="AF7265">
        <v>5.2179806603480303E-2</v>
      </c>
      <c r="AG7265">
        <v>-0.21361550000000001</v>
      </c>
      <c r="AH7265">
        <v>0.50335662943208803</v>
      </c>
      <c r="AI7265">
        <v>112.88558021961001</v>
      </c>
      <c r="AJ7265">
        <v>84.0816474042918</v>
      </c>
      <c r="AK7265">
        <v>0.54929246349340999</v>
      </c>
      <c r="AL7265">
        <v>83.987063983221603</v>
      </c>
      <c r="AM7265">
        <v>93.095514283005599</v>
      </c>
      <c r="AN7265">
        <v>1.00000000132268</v>
      </c>
    </row>
    <row r="7266" spans="1:40" x14ac:dyDescent="0.25">
      <c r="A7266" t="str">
        <f>"20190303162058538"</f>
        <v>20190303162058538</v>
      </c>
      <c r="B7266" t="str">
        <f>"1551601258529870"</f>
        <v>1551601258529870</v>
      </c>
      <c r="C7266" t="s">
        <v>40</v>
      </c>
      <c r="D7266">
        <v>4.6313680000000002</v>
      </c>
      <c r="E7266">
        <v>0.55057279999999997</v>
      </c>
      <c r="F7266" t="s">
        <v>42</v>
      </c>
      <c r="G7266">
        <v>-421.75099999999998</v>
      </c>
      <c r="H7266">
        <v>0.91347179999999994</v>
      </c>
      <c r="I7266">
        <v>90.200050000000005</v>
      </c>
      <c r="J7266">
        <v>-421.6748</v>
      </c>
      <c r="K7266">
        <v>1.1218109999999999</v>
      </c>
      <c r="L7266">
        <v>90.761960000000002</v>
      </c>
      <c r="M7266">
        <v>-3.0226719999999999E-2</v>
      </c>
      <c r="N7266">
        <v>-1.3306520000000001E-2</v>
      </c>
      <c r="O7266">
        <v>-0.99945479999999998</v>
      </c>
      <c r="P7266">
        <v>2.4234820000000001E-2</v>
      </c>
      <c r="Q7266">
        <v>9.2662880000000003E-2</v>
      </c>
      <c r="R7266">
        <v>-0.99540289999999998</v>
      </c>
      <c r="S7266">
        <v>-0.34298709999999999</v>
      </c>
      <c r="T7266">
        <v>-0.89075910000000003</v>
      </c>
      <c r="U7266">
        <v>-3.1032709999999999</v>
      </c>
      <c r="V7266">
        <v>-5.4370960000000003E-2</v>
      </c>
      <c r="W7266">
        <v>0.105855</v>
      </c>
      <c r="X7266">
        <v>0.99289400000000005</v>
      </c>
      <c r="Y7266">
        <v>7.5773720000000003E-2</v>
      </c>
      <c r="Z7266">
        <v>0.26175510000000002</v>
      </c>
      <c r="AA7266">
        <v>0.96215519999999999</v>
      </c>
      <c r="AB7266">
        <v>17</v>
      </c>
      <c r="AC7266">
        <v>-7.6199999999971596E-2</v>
      </c>
      <c r="AD7266">
        <v>-0.2083392</v>
      </c>
      <c r="AE7266">
        <v>-0.56190999999999702</v>
      </c>
      <c r="AF7266">
        <v>5.2140632861951398E-2</v>
      </c>
      <c r="AG7266">
        <v>-0.2083392</v>
      </c>
      <c r="AH7266">
        <v>0.49688348454813303</v>
      </c>
      <c r="AI7266">
        <v>112.636246227635</v>
      </c>
      <c r="AJ7266">
        <v>84.009571937794206</v>
      </c>
      <c r="AK7266">
        <v>0.54131050707387796</v>
      </c>
      <c r="AL7266">
        <v>83.923570938430302</v>
      </c>
      <c r="AM7266">
        <v>93.1343912686214</v>
      </c>
      <c r="AN7266">
        <v>0.99999998877616003</v>
      </c>
    </row>
    <row r="7267" spans="1:40" x14ac:dyDescent="0.25">
      <c r="A7267" t="str">
        <f>"20190303162058561"</f>
        <v>20190303162058561</v>
      </c>
      <c r="B7267" t="str">
        <f>"1551601258549389"</f>
        <v>1551601258549389</v>
      </c>
      <c r="C7267" t="s">
        <v>40</v>
      </c>
      <c r="D7267">
        <v>4.5700269999999996</v>
      </c>
      <c r="E7267">
        <v>0.55072829999999995</v>
      </c>
      <c r="F7267" t="s">
        <v>42</v>
      </c>
      <c r="G7267">
        <v>-421.75360000000001</v>
      </c>
      <c r="H7267">
        <v>0.91675890000000004</v>
      </c>
      <c r="I7267">
        <v>90.045819999999907</v>
      </c>
      <c r="J7267">
        <v>-421.67919999999998</v>
      </c>
      <c r="K7267">
        <v>1.12185</v>
      </c>
      <c r="L7267">
        <v>90.587159999999997</v>
      </c>
      <c r="M7267">
        <v>-2.953778E-2</v>
      </c>
      <c r="N7267">
        <v>-1.328857E-2</v>
      </c>
      <c r="O7267">
        <v>-0.99947529999999996</v>
      </c>
      <c r="P7267">
        <v>2.655076E-2</v>
      </c>
      <c r="Q7267">
        <v>9.5281119999999997E-2</v>
      </c>
      <c r="R7267">
        <v>-0.99509630000000004</v>
      </c>
      <c r="S7267">
        <v>-0.34017940000000002</v>
      </c>
      <c r="T7267">
        <v>-0.8891559</v>
      </c>
      <c r="U7267">
        <v>-3.104889</v>
      </c>
      <c r="V7267">
        <v>-5.5999920000000002E-2</v>
      </c>
      <c r="W7267">
        <v>0.1084464</v>
      </c>
      <c r="X7267">
        <v>0.99252370000000001</v>
      </c>
      <c r="Y7267">
        <v>7.55638E-2</v>
      </c>
      <c r="Z7267">
        <v>0.261204299999999</v>
      </c>
      <c r="AA7267">
        <v>0.96232139999999999</v>
      </c>
      <c r="AB7267">
        <v>17</v>
      </c>
      <c r="AC7267">
        <v>-7.4400000000025501E-2</v>
      </c>
      <c r="AD7267">
        <v>-0.2050911</v>
      </c>
      <c r="AE7267">
        <v>-0.54134000000000504</v>
      </c>
      <c r="AF7267">
        <v>5.1167970729659201E-2</v>
      </c>
      <c r="AG7267">
        <v>-0.2050911</v>
      </c>
      <c r="AH7267">
        <v>0.47621579283556398</v>
      </c>
      <c r="AI7267">
        <v>113.18078967179601</v>
      </c>
      <c r="AJ7267">
        <v>83.867267182088995</v>
      </c>
      <c r="AK7267">
        <v>0.52102015495929299</v>
      </c>
      <c r="AL7267">
        <v>83.774234633090899</v>
      </c>
      <c r="AM7267">
        <v>93.229304080277103</v>
      </c>
      <c r="AN7267">
        <v>0.99999995388732699</v>
      </c>
    </row>
    <row r="7268" spans="1:40" x14ac:dyDescent="0.25">
      <c r="A7268" t="str">
        <f>"20190303162058583"</f>
        <v>20190303162058583</v>
      </c>
      <c r="B7268" t="str">
        <f>"1551601258569886"</f>
        <v>1551601258569886</v>
      </c>
      <c r="C7268" t="s">
        <v>40</v>
      </c>
      <c r="D7268">
        <v>4.6526550000000002</v>
      </c>
      <c r="E7268">
        <v>0.55069669999999904</v>
      </c>
      <c r="F7268" t="s">
        <v>42</v>
      </c>
      <c r="G7268">
        <v>-421.75450000000001</v>
      </c>
      <c r="H7268">
        <v>0.9239697</v>
      </c>
      <c r="I7268">
        <v>89.889790000000005</v>
      </c>
      <c r="J7268">
        <v>-421.68340000000001</v>
      </c>
      <c r="K7268">
        <v>1.121877</v>
      </c>
      <c r="L7268">
        <v>90.419340000000005</v>
      </c>
      <c r="M7268">
        <v>-2.8848260000000001E-2</v>
      </c>
      <c r="N7268">
        <v>-1.3250690000000001E-2</v>
      </c>
      <c r="O7268">
        <v>-0.9994961</v>
      </c>
      <c r="P7268">
        <v>2.930557E-2</v>
      </c>
      <c r="Q7268">
        <v>9.7227649999999999E-2</v>
      </c>
      <c r="R7268">
        <v>-0.99483080000000002</v>
      </c>
      <c r="S7268">
        <v>-0.3345032</v>
      </c>
      <c r="T7268">
        <v>-0.88203379999999998</v>
      </c>
      <c r="U7268">
        <v>-3.1081539999999999</v>
      </c>
      <c r="V7268">
        <v>-5.8068090000000003E-2</v>
      </c>
      <c r="W7268">
        <v>0.110346</v>
      </c>
      <c r="X7268">
        <v>0.99219550000000001</v>
      </c>
      <c r="Y7268">
        <v>7.4473139999999993E-2</v>
      </c>
      <c r="Z7268">
        <v>0.25898120000000002</v>
      </c>
      <c r="AA7268">
        <v>0.96300699999999995</v>
      </c>
      <c r="AB7268">
        <v>17</v>
      </c>
      <c r="AC7268">
        <v>-7.1100000000001204E-2</v>
      </c>
      <c r="AD7268">
        <v>-0.19790729999999901</v>
      </c>
      <c r="AE7268">
        <v>-0.52954999999999997</v>
      </c>
      <c r="AF7268">
        <v>4.9061313705065501E-2</v>
      </c>
      <c r="AG7268">
        <v>-0.19790729999999901</v>
      </c>
      <c r="AH7268">
        <v>0.467271728400869</v>
      </c>
      <c r="AI7268">
        <v>112.841921431332</v>
      </c>
      <c r="AJ7268">
        <v>84.006176024287697</v>
      </c>
      <c r="AK7268">
        <v>0.509820733256792</v>
      </c>
      <c r="AL7268">
        <v>83.664738838137296</v>
      </c>
      <c r="AM7268">
        <v>93.349406144587206</v>
      </c>
      <c r="AN7268">
        <v>1.0000000265062401</v>
      </c>
    </row>
    <row r="7269" spans="1:40" x14ac:dyDescent="0.25">
      <c r="A7269" t="str">
        <f>"20190303162058606"</f>
        <v>20190303162058606</v>
      </c>
      <c r="B7269" t="str">
        <f>"1551601258600141"</f>
        <v>1551601258600141</v>
      </c>
      <c r="C7269" t="s">
        <v>40</v>
      </c>
      <c r="D7269">
        <v>4.754912</v>
      </c>
      <c r="E7269">
        <v>0.55061780000000005</v>
      </c>
      <c r="F7269" t="s">
        <v>42</v>
      </c>
      <c r="G7269">
        <v>-421.7552</v>
      </c>
      <c r="H7269">
        <v>0.92839280000000002</v>
      </c>
      <c r="I7269">
        <v>89.735119999999995</v>
      </c>
      <c r="J7269">
        <v>-421.68759999999997</v>
      </c>
      <c r="K7269">
        <v>1.1218889999999999</v>
      </c>
      <c r="L7269">
        <v>90.246189999999999</v>
      </c>
      <c r="M7269">
        <v>-2.8116189999999999E-2</v>
      </c>
      <c r="N7269">
        <v>-1.3186130000000001E-2</v>
      </c>
      <c r="O7269">
        <v>-0.99951760000000001</v>
      </c>
      <c r="P7269">
        <v>3.1212899999999998E-2</v>
      </c>
      <c r="Q7269">
        <v>9.6642359999999997E-2</v>
      </c>
      <c r="R7269">
        <v>-0.99482969999999904</v>
      </c>
      <c r="S7269">
        <v>-0.32467649999999998</v>
      </c>
      <c r="T7269">
        <v>-0.87995199999999996</v>
      </c>
      <c r="U7269">
        <v>-3.111145</v>
      </c>
      <c r="V7269">
        <v>-5.9252770000000003E-2</v>
      </c>
      <c r="W7269">
        <v>0.109693</v>
      </c>
      <c r="X7269">
        <v>0.99219789999999997</v>
      </c>
      <c r="Y7269">
        <v>7.2122069999999996E-2</v>
      </c>
      <c r="Z7269">
        <v>0.25827840000000002</v>
      </c>
      <c r="AA7269">
        <v>0.96337459999999997</v>
      </c>
      <c r="AB7269">
        <v>17</v>
      </c>
      <c r="AC7269">
        <v>-6.7600000000027194E-2</v>
      </c>
      <c r="AD7269">
        <v>-0.19349619999999901</v>
      </c>
      <c r="AE7269">
        <v>-0.51107000000000302</v>
      </c>
      <c r="AF7269">
        <v>4.6632990328365501E-2</v>
      </c>
      <c r="AG7269">
        <v>-0.19349619999999901</v>
      </c>
      <c r="AH7269">
        <v>0.44944992005948597</v>
      </c>
      <c r="AI7269">
        <v>113.181531392542</v>
      </c>
      <c r="AJ7269">
        <v>84.076431925420195</v>
      </c>
      <c r="AK7269">
        <v>0.49154923033495201</v>
      </c>
      <c r="AL7269">
        <v>83.702381698995595</v>
      </c>
      <c r="AM7269">
        <v>93.417570677203997</v>
      </c>
      <c r="AN7269">
        <v>1.00000005888303</v>
      </c>
    </row>
    <row r="7270" spans="1:40" x14ac:dyDescent="0.25">
      <c r="A7270" t="str">
        <f>"20190303162058627"</f>
        <v>20190303162058627</v>
      </c>
      <c r="B7270" t="str">
        <f>"1551601258619661"</f>
        <v>1551601258619661</v>
      </c>
      <c r="C7270" t="s">
        <v>40</v>
      </c>
      <c r="D7270">
        <v>4.5786470000000001</v>
      </c>
      <c r="E7270">
        <v>0.52778950000000002</v>
      </c>
      <c r="F7270" t="s">
        <v>42</v>
      </c>
      <c r="G7270">
        <v>-421.7697</v>
      </c>
      <c r="H7270">
        <v>0.89515199999999995</v>
      </c>
      <c r="I7270">
        <v>89.446240000000003</v>
      </c>
      <c r="J7270">
        <v>-421.69130000000001</v>
      </c>
      <c r="K7270">
        <v>1.1218900000000001</v>
      </c>
      <c r="L7270">
        <v>90.081389999999999</v>
      </c>
      <c r="M7270">
        <v>-2.7407520000000001E-2</v>
      </c>
      <c r="N7270">
        <v>-1.3116050000000001E-2</v>
      </c>
      <c r="O7270">
        <v>-0.99953840000000005</v>
      </c>
      <c r="P7270">
        <v>3.2579980000000001E-2</v>
      </c>
      <c r="Q7270">
        <v>9.6173060000000005E-2</v>
      </c>
      <c r="R7270">
        <v>-0.99483129999999997</v>
      </c>
      <c r="S7270">
        <v>-0.31741329999999901</v>
      </c>
      <c r="T7270">
        <v>-0.88197739999999902</v>
      </c>
      <c r="U7270">
        <v>-3.111237</v>
      </c>
      <c r="V7270">
        <v>-5.9918720000000002E-2</v>
      </c>
      <c r="W7270">
        <v>0.1091512</v>
      </c>
      <c r="X7270">
        <v>0.99221760000000003</v>
      </c>
      <c r="Y7270">
        <v>7.0585419999999996E-2</v>
      </c>
      <c r="Z7270">
        <v>0.25897019999999998</v>
      </c>
      <c r="AA7270">
        <v>0.96330269999999996</v>
      </c>
      <c r="AB7270">
        <v>17</v>
      </c>
      <c r="AC7270">
        <v>-7.8399999999987799E-2</v>
      </c>
      <c r="AD7270">
        <v>-0.226738</v>
      </c>
      <c r="AE7270">
        <v>-0.635149999999995</v>
      </c>
      <c r="AF7270">
        <v>5.4162442059195903E-2</v>
      </c>
      <c r="AG7270">
        <v>-0.226738</v>
      </c>
      <c r="AH7270">
        <v>0.56601187503929096</v>
      </c>
      <c r="AI7270">
        <v>111.740492336673</v>
      </c>
      <c r="AJ7270">
        <v>84.533932758651304</v>
      </c>
      <c r="AK7270">
        <v>0.61213816533468102</v>
      </c>
      <c r="AL7270">
        <v>83.733611717279302</v>
      </c>
      <c r="AM7270">
        <v>93.455820195830398</v>
      </c>
      <c r="AN7270">
        <v>1.00000000160881</v>
      </c>
    </row>
    <row r="7271" spans="1:40" x14ac:dyDescent="0.25">
      <c r="A7271" t="str">
        <f>"20190303162058643"</f>
        <v>20190303162058643</v>
      </c>
      <c r="B7271" t="str">
        <f>"1551601258630398"</f>
        <v>1551601258630398</v>
      </c>
      <c r="C7271" t="s">
        <v>40</v>
      </c>
      <c r="D7271">
        <v>4.6430800000000003</v>
      </c>
      <c r="E7271">
        <v>0.5052122</v>
      </c>
      <c r="F7271" t="s">
        <v>42</v>
      </c>
      <c r="G7271">
        <v>-421.72629999999998</v>
      </c>
      <c r="H7271">
        <v>0.97216809999999998</v>
      </c>
      <c r="I7271">
        <v>89.255179999999996</v>
      </c>
      <c r="J7271">
        <v>-421.69409999999999</v>
      </c>
      <c r="K7271">
        <v>1.121883</v>
      </c>
      <c r="L7271">
        <v>89.960080000000005</v>
      </c>
      <c r="M7271">
        <v>-2.688136E-2</v>
      </c>
      <c r="N7271">
        <v>-1.306877E-2</v>
      </c>
      <c r="O7271">
        <v>-0.99955340000000004</v>
      </c>
      <c r="P7271">
        <v>3.324411E-2</v>
      </c>
      <c r="Q7271">
        <v>9.6044400000000002E-2</v>
      </c>
      <c r="R7271">
        <v>-0.99482199999999998</v>
      </c>
      <c r="S7271">
        <v>-0.1291504</v>
      </c>
      <c r="T7271">
        <v>-0.55709790000000003</v>
      </c>
      <c r="U7271">
        <v>-3.0736690000000002</v>
      </c>
      <c r="V7271">
        <v>-6.0060889999999999E-2</v>
      </c>
      <c r="W7271">
        <v>0.1089744</v>
      </c>
      <c r="X7271">
        <v>0.99222840000000001</v>
      </c>
      <c r="Y7271">
        <v>1.450947E-2</v>
      </c>
      <c r="Z7271">
        <v>0.16529449999999901</v>
      </c>
      <c r="AA7271">
        <v>0.9861375</v>
      </c>
      <c r="AB7271">
        <v>17</v>
      </c>
      <c r="AC7271">
        <v>-3.2199999999988897E-2</v>
      </c>
      <c r="AD7271">
        <v>-0.14971489999999901</v>
      </c>
      <c r="AE7271">
        <v>-0.70489999999999498</v>
      </c>
      <c r="AF7271">
        <v>1.26678184640392E-2</v>
      </c>
      <c r="AG7271">
        <v>-0.14971489999999901</v>
      </c>
      <c r="AH7271">
        <v>0.67511950316494196</v>
      </c>
      <c r="AI7271">
        <v>102.501469036019</v>
      </c>
      <c r="AJ7271">
        <v>88.925038653659996</v>
      </c>
      <c r="AK7271">
        <v>0.69163673157252503</v>
      </c>
      <c r="AL7271">
        <v>83.743802164108004</v>
      </c>
      <c r="AM7271">
        <v>93.463962314403105</v>
      </c>
      <c r="AN7271">
        <v>0.999999964064755</v>
      </c>
    </row>
    <row r="7272" spans="1:40" x14ac:dyDescent="0.25">
      <c r="A7272" t="str">
        <f>"20190303162058662"</f>
        <v>20190303162058662</v>
      </c>
      <c r="B7272" t="str">
        <f>"1551601258649918"</f>
        <v>1551601258649918</v>
      </c>
      <c r="C7272" t="s">
        <v>40</v>
      </c>
      <c r="D7272">
        <v>4.6453470000000001</v>
      </c>
      <c r="E7272">
        <v>0.5002993</v>
      </c>
      <c r="F7272" t="s">
        <v>41</v>
      </c>
      <c r="G7272">
        <v>-421.3614</v>
      </c>
      <c r="H7272" s="1">
        <v>-1.310814E-6</v>
      </c>
      <c r="I7272">
        <v>71.800280000000001</v>
      </c>
      <c r="J7272">
        <v>-421.69709999999998</v>
      </c>
      <c r="K7272">
        <v>1.1218729999999999</v>
      </c>
      <c r="L7272">
        <v>89.819919999999996</v>
      </c>
      <c r="M7272">
        <v>-2.627587E-2</v>
      </c>
      <c r="N7272">
        <v>-1.3021039999999999E-2</v>
      </c>
      <c r="O7272">
        <v>-0.99957010000000002</v>
      </c>
      <c r="P7272">
        <v>3.3220489999999998E-2</v>
      </c>
      <c r="Q7272">
        <v>9.5699300000000001E-2</v>
      </c>
      <c r="R7272">
        <v>-0.99485610000000002</v>
      </c>
      <c r="S7272">
        <v>5.5541989999999999E-2</v>
      </c>
      <c r="T7272">
        <v>-0.18730369999999999</v>
      </c>
      <c r="U7272">
        <v>-3.03186</v>
      </c>
      <c r="V7272">
        <v>-5.9436530000000001E-2</v>
      </c>
      <c r="W7272">
        <v>0.10858329999999999</v>
      </c>
      <c r="X7272">
        <v>0.99230890000000005</v>
      </c>
      <c r="Y7272">
        <v>-4.4540379999999997E-2</v>
      </c>
      <c r="Z7272">
        <v>4.8588619999999999E-2</v>
      </c>
      <c r="AA7272">
        <v>0.99782530000000003</v>
      </c>
      <c r="AB7272">
        <v>17</v>
      </c>
      <c r="AC7272">
        <v>0.33569999999997402</v>
      </c>
      <c r="AD7272">
        <v>-1.1218743108139999</v>
      </c>
      <c r="AE7272">
        <v>-18.0196399999999</v>
      </c>
      <c r="AF7272">
        <v>-0.80598285641921397</v>
      </c>
      <c r="AG7272">
        <v>-1.1218743108139999</v>
      </c>
      <c r="AH7272">
        <v>17.935101423171901</v>
      </c>
      <c r="AI7272">
        <v>93.575695938774999</v>
      </c>
      <c r="AJ7272">
        <v>92.5730753402499</v>
      </c>
      <c r="AK7272">
        <v>17.9882204065207</v>
      </c>
      <c r="AL7272">
        <v>83.766344494814305</v>
      </c>
      <c r="AM7272">
        <v>93.427761756315903</v>
      </c>
      <c r="AN7272">
        <v>0.99999999357826996</v>
      </c>
    </row>
    <row r="7273" spans="1:40" x14ac:dyDescent="0.25">
      <c r="A7273" t="str">
        <f>"20190303162058685"</f>
        <v>20190303162058685</v>
      </c>
      <c r="B7273" t="str">
        <f>"1551601258669437"</f>
        <v>1551601258669437</v>
      </c>
      <c r="C7273" t="s">
        <v>40</v>
      </c>
      <c r="D7273">
        <v>4.6428050000000001</v>
      </c>
      <c r="E7273">
        <v>0.49863259999999998</v>
      </c>
      <c r="F7273" t="s">
        <v>41</v>
      </c>
      <c r="G7273">
        <v>-420.834</v>
      </c>
      <c r="H7273" s="1">
        <v>-1.426929E-6</v>
      </c>
      <c r="I7273">
        <v>62.398020000000002</v>
      </c>
      <c r="J7273">
        <v>-421.70069999999998</v>
      </c>
      <c r="K7273">
        <v>1.1218539999999999</v>
      </c>
      <c r="L7273">
        <v>89.649810000000002</v>
      </c>
      <c r="M7273">
        <v>-2.555731E-2</v>
      </c>
      <c r="N7273">
        <v>-1.296664E-2</v>
      </c>
      <c r="O7273">
        <v>-0.99958939999999996</v>
      </c>
      <c r="P7273">
        <v>3.2892850000000001E-2</v>
      </c>
      <c r="Q7273">
        <v>9.5422270000000003E-2</v>
      </c>
      <c r="R7273">
        <v>-0.99489349999999999</v>
      </c>
      <c r="S7273">
        <v>9.5184329999999998E-2</v>
      </c>
      <c r="T7273">
        <v>-0.12372619999999999</v>
      </c>
      <c r="U7273">
        <v>-3.0242309999999999</v>
      </c>
      <c r="V7273">
        <v>-5.8393840000000002E-2</v>
      </c>
      <c r="W7273">
        <v>0.1082548</v>
      </c>
      <c r="X7273">
        <v>0.99240669999999997</v>
      </c>
      <c r="Y7273">
        <v>-5.6962739999999998E-2</v>
      </c>
      <c r="Z7273">
        <v>2.7849700000000002E-2</v>
      </c>
      <c r="AA7273">
        <v>0.99798779999999998</v>
      </c>
      <c r="AB7273">
        <v>17</v>
      </c>
      <c r="AC7273">
        <v>0.86669999999998004</v>
      </c>
      <c r="AD7273">
        <v>-1.121855426929</v>
      </c>
      <c r="AE7273">
        <v>-27.25179</v>
      </c>
      <c r="AF7273">
        <v>-1.56031621833175</v>
      </c>
      <c r="AG7273">
        <v>-1.121855426929</v>
      </c>
      <c r="AH7273">
        <v>27.174729048148901</v>
      </c>
      <c r="AI7273">
        <v>92.360118756003104</v>
      </c>
      <c r="AJ7273">
        <v>93.2861959032942</v>
      </c>
      <c r="AK7273">
        <v>27.2425961527243</v>
      </c>
      <c r="AL7273">
        <v>83.785277806460698</v>
      </c>
      <c r="AM7273">
        <v>93.367437337509102</v>
      </c>
      <c r="AN7273">
        <v>1.00000000023893</v>
      </c>
    </row>
    <row r="7274" spans="1:40" x14ac:dyDescent="0.25">
      <c r="A7274" t="str">
        <f>"20190303162058708"</f>
        <v>20190303162058708</v>
      </c>
      <c r="B7274" t="str">
        <f>"1551601258699693"</f>
        <v>1551601258699693</v>
      </c>
      <c r="C7274" t="s">
        <v>40</v>
      </c>
      <c r="D7274">
        <v>4.6339839999999999</v>
      </c>
      <c r="E7274">
        <v>0.49832199999999999</v>
      </c>
      <c r="F7274" t="s">
        <v>41</v>
      </c>
      <c r="G7274">
        <v>-420.73719999999997</v>
      </c>
      <c r="H7274" s="1">
        <v>-1.426776E-6</v>
      </c>
      <c r="I7274">
        <v>62.45776</v>
      </c>
      <c r="J7274">
        <v>-421.70429999999999</v>
      </c>
      <c r="K7274">
        <v>1.121821</v>
      </c>
      <c r="L7274">
        <v>89.476529999999997</v>
      </c>
      <c r="M7274">
        <v>-2.4857600000000001E-2</v>
      </c>
      <c r="N7274">
        <v>-1.291142E-2</v>
      </c>
      <c r="O7274">
        <v>-0.99960789999999999</v>
      </c>
      <c r="P7274">
        <v>3.2812269999999998E-2</v>
      </c>
      <c r="Q7274">
        <v>9.4748730000000003E-2</v>
      </c>
      <c r="R7274">
        <v>-0.99496079999999998</v>
      </c>
      <c r="S7274">
        <v>0.1071472</v>
      </c>
      <c r="T7274">
        <v>-0.1247523</v>
      </c>
      <c r="U7274">
        <v>-3.0238040000000002</v>
      </c>
      <c r="V7274">
        <v>-5.7613780000000003E-2</v>
      </c>
      <c r="W7274">
        <v>0.1075314</v>
      </c>
      <c r="X7274">
        <v>0.99253089999999999</v>
      </c>
      <c r="Y7274">
        <v>-6.0210300000000001E-2</v>
      </c>
      <c r="Z7274">
        <v>2.8242710000000001E-2</v>
      </c>
      <c r="AA7274">
        <v>0.99778610000000001</v>
      </c>
      <c r="AB7274">
        <v>17</v>
      </c>
      <c r="AC7274">
        <v>0.96710000000001595</v>
      </c>
      <c r="AD7274">
        <v>-1.121822426776</v>
      </c>
      <c r="AE7274">
        <v>-27.01877</v>
      </c>
      <c r="AF7274">
        <v>-1.6356625529672699</v>
      </c>
      <c r="AG7274">
        <v>-1.121822426776</v>
      </c>
      <c r="AH7274">
        <v>26.939995118561999</v>
      </c>
      <c r="AI7274">
        <v>92.380128040125697</v>
      </c>
      <c r="AJ7274">
        <v>93.474449730625395</v>
      </c>
      <c r="AK7274">
        <v>27.012908294601299</v>
      </c>
      <c r="AL7274">
        <v>83.826968749853407</v>
      </c>
      <c r="AM7274">
        <v>93.322139711067194</v>
      </c>
      <c r="AN7274">
        <v>0.99999996854332796</v>
      </c>
    </row>
    <row r="7275" spans="1:40" x14ac:dyDescent="0.25">
      <c r="A7275" t="str">
        <f>"20190303162058729"</f>
        <v>20190303162058729</v>
      </c>
      <c r="B7275" t="str">
        <f>"1551601258720191"</f>
        <v>1551601258720191</v>
      </c>
      <c r="C7275" t="s">
        <v>40</v>
      </c>
      <c r="D7275">
        <v>4.6423480000000001</v>
      </c>
      <c r="E7275">
        <v>0.49860130000000003</v>
      </c>
      <c r="F7275" t="s">
        <v>41</v>
      </c>
      <c r="G7275">
        <v>-420.81200000000001</v>
      </c>
      <c r="H7275" s="1">
        <v>-2.5159739999999998E-6</v>
      </c>
      <c r="I7275">
        <v>64.950289999999995</v>
      </c>
      <c r="J7275">
        <v>-421.70760000000001</v>
      </c>
      <c r="K7275">
        <v>1.121774</v>
      </c>
      <c r="L7275">
        <v>89.309809999999999</v>
      </c>
      <c r="M7275">
        <v>-2.422786E-2</v>
      </c>
      <c r="N7275">
        <v>-1.2860709999999999E-2</v>
      </c>
      <c r="O7275">
        <v>-0.99962379999999995</v>
      </c>
      <c r="P7275">
        <v>3.2788400000000002E-2</v>
      </c>
      <c r="Q7275">
        <v>9.3245419999999996E-2</v>
      </c>
      <c r="R7275">
        <v>-0.99510319999999997</v>
      </c>
      <c r="S7275">
        <v>0.1100464</v>
      </c>
      <c r="T7275">
        <v>-0.13835120000000001</v>
      </c>
      <c r="U7275">
        <v>-3.02475</v>
      </c>
      <c r="V7275">
        <v>-5.6959280000000001E-2</v>
      </c>
      <c r="W7275">
        <v>0.10598440000000001</v>
      </c>
      <c r="X7275">
        <v>0.99273509999999998</v>
      </c>
      <c r="Y7275">
        <v>-6.051877E-2</v>
      </c>
      <c r="Z7275">
        <v>3.2758179999999998E-2</v>
      </c>
      <c r="AA7275">
        <v>0.9976294</v>
      </c>
      <c r="AB7275">
        <v>17</v>
      </c>
      <c r="AC7275">
        <v>0.89560000000005802</v>
      </c>
      <c r="AD7275">
        <v>-1.1217765159739901</v>
      </c>
      <c r="AE7275">
        <v>-24.35952</v>
      </c>
      <c r="AF7275">
        <v>-1.48242537294202</v>
      </c>
      <c r="AG7275">
        <v>-1.1217765159739901</v>
      </c>
      <c r="AH7275">
        <v>24.279249091737</v>
      </c>
      <c r="AI7275">
        <v>92.640450955316695</v>
      </c>
      <c r="AJ7275">
        <v>93.493987997872594</v>
      </c>
      <c r="AK7275">
        <v>24.3503163017803</v>
      </c>
      <c r="AL7275">
        <v>83.916115086442105</v>
      </c>
      <c r="AM7275">
        <v>93.283808751288205</v>
      </c>
      <c r="AN7275">
        <v>1.0000000156967399</v>
      </c>
    </row>
    <row r="7276" spans="1:40" x14ac:dyDescent="0.25">
      <c r="A7276" t="str">
        <f>"20190303162058750"</f>
        <v>20190303162058750</v>
      </c>
      <c r="B7276" t="str">
        <f>"1551601258739710"</f>
        <v>1551601258739710</v>
      </c>
      <c r="C7276" t="s">
        <v>40</v>
      </c>
      <c r="D7276">
        <v>4.6916900000000004</v>
      </c>
      <c r="E7276">
        <v>0.49866179999999899</v>
      </c>
      <c r="F7276" t="s">
        <v>41</v>
      </c>
      <c r="G7276">
        <v>-420.88799999999998</v>
      </c>
      <c r="H7276" s="1">
        <v>-3.0935160000000001E-6</v>
      </c>
      <c r="I7276">
        <v>66.249380000000002</v>
      </c>
      <c r="J7276">
        <v>-421.71089999999998</v>
      </c>
      <c r="K7276">
        <v>1.1217239999999999</v>
      </c>
      <c r="L7276">
        <v>89.146029999999996</v>
      </c>
      <c r="M7276">
        <v>-2.3650600000000001E-2</v>
      </c>
      <c r="N7276">
        <v>-1.2816559999999999E-2</v>
      </c>
      <c r="O7276">
        <v>-0.99963809999999997</v>
      </c>
      <c r="P7276">
        <v>3.3539909999999999E-2</v>
      </c>
      <c r="Q7276">
        <v>9.0662220000000002E-2</v>
      </c>
      <c r="R7276">
        <v>-0.9953168</v>
      </c>
      <c r="S7276">
        <v>0.1075134</v>
      </c>
      <c r="T7276">
        <v>-0.1471527</v>
      </c>
      <c r="U7276">
        <v>-3.0250240000000002</v>
      </c>
      <c r="V7276">
        <v>-5.7132269999999999E-2</v>
      </c>
      <c r="W7276">
        <v>0.10336480000000001</v>
      </c>
      <c r="X7276">
        <v>0.99300129999999998</v>
      </c>
      <c r="Y7276">
        <v>-5.9100659999999999E-2</v>
      </c>
      <c r="Z7276">
        <v>3.5698729999999998E-2</v>
      </c>
      <c r="AA7276">
        <v>0.99761350000000004</v>
      </c>
      <c r="AB7276">
        <v>17</v>
      </c>
      <c r="AC7276">
        <v>0.82289999999994701</v>
      </c>
      <c r="AD7276">
        <v>-1.121727093516</v>
      </c>
      <c r="AE7276">
        <v>-22.896650000000001</v>
      </c>
      <c r="AF7276">
        <v>-1.3609715287969999</v>
      </c>
      <c r="AG7276">
        <v>-1.121727093516</v>
      </c>
      <c r="AH7276">
        <v>22.8160903360913</v>
      </c>
      <c r="AI7276">
        <v>92.809629496424094</v>
      </c>
      <c r="AJ7276">
        <v>93.4136276876837</v>
      </c>
      <c r="AK7276">
        <v>22.8841537619201</v>
      </c>
      <c r="AL7276">
        <v>84.067036021792603</v>
      </c>
      <c r="AM7276">
        <v>93.292878987199899</v>
      </c>
      <c r="AN7276">
        <v>0.99999997997804102</v>
      </c>
    </row>
    <row r="7277" spans="1:40" x14ac:dyDescent="0.25">
      <c r="A7277" t="str">
        <f>"20190303162058773"</f>
        <v>20190303162058773</v>
      </c>
      <c r="B7277" t="str">
        <f>"1551601258760206"</f>
        <v>1551601258760206</v>
      </c>
      <c r="C7277" t="s">
        <v>40</v>
      </c>
      <c r="D7277">
        <v>4.6475910000000002</v>
      </c>
      <c r="E7277">
        <v>0.49883860000000002</v>
      </c>
      <c r="F7277" t="s">
        <v>41</v>
      </c>
      <c r="G7277">
        <v>-420.93950000000001</v>
      </c>
      <c r="H7277" s="1">
        <v>-3.7395459999999999E-6</v>
      </c>
      <c r="I7277">
        <v>67.723369999999903</v>
      </c>
      <c r="J7277">
        <v>-421.71420000000001</v>
      </c>
      <c r="K7277">
        <v>1.1216790000000001</v>
      </c>
      <c r="L7277">
        <v>88.973479999999995</v>
      </c>
      <c r="M7277">
        <v>-2.3098339999999998E-2</v>
      </c>
      <c r="N7277">
        <v>-1.2776650000000001E-2</v>
      </c>
      <c r="O7277">
        <v>-0.99965179999999998</v>
      </c>
      <c r="P7277">
        <v>3.535924E-2</v>
      </c>
      <c r="Q7277">
        <v>8.850218E-2</v>
      </c>
      <c r="R7277">
        <v>-0.99544860000000002</v>
      </c>
      <c r="S7277">
        <v>0.10891720000000001</v>
      </c>
      <c r="T7277">
        <v>-0.15838769999999999</v>
      </c>
      <c r="U7277">
        <v>-3.0248719999999998</v>
      </c>
      <c r="V7277">
        <v>-5.8394559999999998E-2</v>
      </c>
      <c r="W7277">
        <v>0.1011705</v>
      </c>
      <c r="X7277">
        <v>0.99315390000000003</v>
      </c>
      <c r="Y7277">
        <v>-5.9006999999999997E-2</v>
      </c>
      <c r="Z7277">
        <v>3.9438050000000002E-2</v>
      </c>
      <c r="AA7277">
        <v>0.99747819999999998</v>
      </c>
      <c r="AB7277">
        <v>17</v>
      </c>
      <c r="AC7277">
        <v>0.77469999999999495</v>
      </c>
      <c r="AD7277">
        <v>-1.1216827395460001</v>
      </c>
      <c r="AE7277">
        <v>-21.250109999999999</v>
      </c>
      <c r="AF7277">
        <v>-1.2618643028840599</v>
      </c>
      <c r="AG7277">
        <v>-1.1216827395460001</v>
      </c>
      <c r="AH7277">
        <v>21.167644015020802</v>
      </c>
      <c r="AI7277">
        <v>93.027926095861901</v>
      </c>
      <c r="AJ7277">
        <v>93.411529289352401</v>
      </c>
      <c r="AK7277">
        <v>21.234868184986102</v>
      </c>
      <c r="AL7277">
        <v>84.193423138437396</v>
      </c>
      <c r="AM7277">
        <v>93.364951061631899</v>
      </c>
      <c r="AN7277">
        <v>1.0000000318965201</v>
      </c>
    </row>
    <row r="7278" spans="1:40" x14ac:dyDescent="0.25">
      <c r="A7278" t="str">
        <f>"20190303162058787"</f>
        <v>20190303162058787</v>
      </c>
      <c r="B7278" t="str">
        <f>"1551601258779726"</f>
        <v>1551601258779726</v>
      </c>
      <c r="C7278" t="s">
        <v>40</v>
      </c>
      <c r="D7278">
        <v>4.6872939999999996</v>
      </c>
      <c r="E7278">
        <v>0.49906400000000001</v>
      </c>
      <c r="F7278" t="s">
        <v>41</v>
      </c>
      <c r="G7278">
        <v>-420.96199999999999</v>
      </c>
      <c r="H7278" s="1">
        <v>-4.1872959999999996E-6</v>
      </c>
      <c r="I7278">
        <v>68.789919999999995</v>
      </c>
      <c r="J7278">
        <v>-421.71629999999999</v>
      </c>
      <c r="K7278">
        <v>1.1216520000000001</v>
      </c>
      <c r="L7278">
        <v>88.864469999999997</v>
      </c>
      <c r="M7278">
        <v>-2.2780149999999999E-2</v>
      </c>
      <c r="N7278">
        <v>-1.2753860000000001E-2</v>
      </c>
      <c r="O7278">
        <v>-0.99965919999999997</v>
      </c>
      <c r="P7278">
        <v>3.6625779999999997E-2</v>
      </c>
      <c r="Q7278">
        <v>8.7726750000000006E-2</v>
      </c>
      <c r="R7278">
        <v>-0.9954712</v>
      </c>
      <c r="S7278">
        <v>0.1127319</v>
      </c>
      <c r="T7278">
        <v>-0.16809260000000001</v>
      </c>
      <c r="U7278">
        <v>-3.0246580000000001</v>
      </c>
      <c r="V7278">
        <v>-5.93389E-2</v>
      </c>
      <c r="W7278">
        <v>0.1003759</v>
      </c>
      <c r="X7278">
        <v>0.99317849999999996</v>
      </c>
      <c r="Y7278">
        <v>-5.9941590000000003E-2</v>
      </c>
      <c r="Z7278">
        <v>4.2653669999999998E-2</v>
      </c>
      <c r="AA7278">
        <v>0.99729009999999996</v>
      </c>
      <c r="AB7278">
        <v>17</v>
      </c>
      <c r="AC7278">
        <v>0.75429999999999997</v>
      </c>
      <c r="AD7278">
        <v>-1.121656187296</v>
      </c>
      <c r="AE7278">
        <v>-20.074549999999999</v>
      </c>
      <c r="AF7278">
        <v>-1.2076776476344</v>
      </c>
      <c r="AG7278">
        <v>-1.121656187296</v>
      </c>
      <c r="AH7278">
        <v>19.989835759670498</v>
      </c>
      <c r="AI7278">
        <v>93.205741649370495</v>
      </c>
      <c r="AJ7278">
        <v>93.457298583350806</v>
      </c>
      <c r="AK7278">
        <v>20.057670143905</v>
      </c>
      <c r="AL7278">
        <v>84.239183008003494</v>
      </c>
      <c r="AM7278">
        <v>93.419155507613794</v>
      </c>
      <c r="AN7278">
        <v>0.99999997960813403</v>
      </c>
    </row>
    <row r="7279" spans="1:40" x14ac:dyDescent="0.25">
      <c r="A7279" t="str">
        <f>"20190303162058808"</f>
        <v>20190303162058808</v>
      </c>
      <c r="B7279" t="str">
        <f>"1551601258800222"</f>
        <v>1551601258800222</v>
      </c>
      <c r="C7279" t="s">
        <v>40</v>
      </c>
      <c r="D7279">
        <v>4.7016159999999996</v>
      </c>
      <c r="E7279">
        <v>0.49932100000000001</v>
      </c>
      <c r="F7279" t="s">
        <v>41</v>
      </c>
      <c r="G7279">
        <v>-420.9633</v>
      </c>
      <c r="H7279" s="1">
        <v>-4.2430900000000002E-6</v>
      </c>
      <c r="I7279">
        <v>68.953180000000003</v>
      </c>
      <c r="J7279">
        <v>-421.71929999999998</v>
      </c>
      <c r="K7279">
        <v>1.121618</v>
      </c>
      <c r="L7279">
        <v>88.713070000000002</v>
      </c>
      <c r="M7279">
        <v>-2.2391589999999999E-2</v>
      </c>
      <c r="N7279">
        <v>-1.272504E-2</v>
      </c>
      <c r="O7279">
        <v>-0.99966820000000001</v>
      </c>
      <c r="P7279">
        <v>3.8989749999999997E-2</v>
      </c>
      <c r="Q7279">
        <v>8.6888399999999893E-2</v>
      </c>
      <c r="R7279">
        <v>-0.99545470000000003</v>
      </c>
      <c r="S7279">
        <v>0.11437990000000001</v>
      </c>
      <c r="T7279">
        <v>-0.170375</v>
      </c>
      <c r="U7279">
        <v>-3.0244450000000001</v>
      </c>
      <c r="V7279">
        <v>-6.1306180000000002E-2</v>
      </c>
      <c r="W7279">
        <v>9.9512900000000001E-2</v>
      </c>
      <c r="X7279">
        <v>0.99314590000000003</v>
      </c>
      <c r="Y7279">
        <v>-6.0097280000000003E-2</v>
      </c>
      <c r="Z7279">
        <v>4.3436660000000002E-2</v>
      </c>
      <c r="AA7279">
        <v>0.99724699999999999</v>
      </c>
      <c r="AB7279">
        <v>17</v>
      </c>
      <c r="AC7279">
        <v>0.75599999999997103</v>
      </c>
      <c r="AD7279">
        <v>-1.12162224309</v>
      </c>
      <c r="AE7279">
        <v>-19.759889999999999</v>
      </c>
      <c r="AF7279">
        <v>-1.1944587358829599</v>
      </c>
      <c r="AG7279">
        <v>-1.12162224309</v>
      </c>
      <c r="AH7279">
        <v>19.674706470953701</v>
      </c>
      <c r="AI7279">
        <v>93.256821906546406</v>
      </c>
      <c r="AJ7279">
        <v>93.474183914127195</v>
      </c>
      <c r="AK7279">
        <v>19.742817500197599</v>
      </c>
      <c r="AL7279">
        <v>84.288878332380506</v>
      </c>
      <c r="AM7279">
        <v>93.532345017525302</v>
      </c>
      <c r="AN7279">
        <v>1.0000000218297</v>
      </c>
    </row>
    <row r="7280" spans="1:40" x14ac:dyDescent="0.25">
      <c r="A7280" t="str">
        <f>"20190303162058829"</f>
        <v>20190303162058829</v>
      </c>
      <c r="B7280" t="str">
        <f>"1551601258819743"</f>
        <v>1551601258819743</v>
      </c>
      <c r="C7280" t="s">
        <v>40</v>
      </c>
      <c r="D7280">
        <v>4.6708309999999997</v>
      </c>
      <c r="E7280">
        <v>0.49991859999999999</v>
      </c>
      <c r="F7280" t="s">
        <v>41</v>
      </c>
      <c r="G7280">
        <v>-420.94189999999998</v>
      </c>
      <c r="H7280" s="1">
        <v>-4.2452429999999997E-6</v>
      </c>
      <c r="I7280">
        <v>68.970680000000002</v>
      </c>
      <c r="J7280">
        <v>-421.72239999999999</v>
      </c>
      <c r="K7280">
        <v>1.121583</v>
      </c>
      <c r="L7280">
        <v>88.55359</v>
      </c>
      <c r="M7280">
        <v>-2.2043139999999999E-2</v>
      </c>
      <c r="N7280">
        <v>-1.269759E-2</v>
      </c>
      <c r="O7280">
        <v>-0.99967649999999997</v>
      </c>
      <c r="P7280">
        <v>4.1293400000000001E-2</v>
      </c>
      <c r="Q7280">
        <v>8.7005319999999997E-2</v>
      </c>
      <c r="R7280">
        <v>-0.99535169999999995</v>
      </c>
      <c r="S7280">
        <v>0.11907959999999999</v>
      </c>
      <c r="T7280">
        <v>-0.17180479999999901</v>
      </c>
      <c r="U7280">
        <v>-3.0240480000000001</v>
      </c>
      <c r="V7280">
        <v>-6.3251370000000001E-2</v>
      </c>
      <c r="W7280">
        <v>9.9606360000000005E-2</v>
      </c>
      <c r="X7280">
        <v>0.99301450000000002</v>
      </c>
      <c r="Y7280">
        <v>-6.1300269999999997E-2</v>
      </c>
      <c r="Z7280">
        <v>4.3938289999999998E-2</v>
      </c>
      <c r="AA7280">
        <v>0.99715180000000003</v>
      </c>
      <c r="AB7280">
        <v>17</v>
      </c>
      <c r="AC7280">
        <v>0.78050000000001696</v>
      </c>
      <c r="AD7280">
        <v>-1.121587245243</v>
      </c>
      <c r="AE7280">
        <v>-19.582909999999998</v>
      </c>
      <c r="AF7280">
        <v>-1.2080574147086001</v>
      </c>
      <c r="AG7280">
        <v>-1.121587245243</v>
      </c>
      <c r="AH7280">
        <v>19.497090339380499</v>
      </c>
      <c r="AI7280">
        <v>93.286073533884206</v>
      </c>
      <c r="AJ7280">
        <v>93.545565816725002</v>
      </c>
      <c r="AK7280">
        <v>19.566652559083501</v>
      </c>
      <c r="AL7280">
        <v>84.283496490977996</v>
      </c>
      <c r="AM7280">
        <v>93.644606673237107</v>
      </c>
      <c r="AN7280">
        <v>0.99999997998478796</v>
      </c>
    </row>
    <row r="7281" spans="1:40" x14ac:dyDescent="0.25">
      <c r="A7281" t="str">
        <f>"20190303162058844"</f>
        <v>20190303162058844</v>
      </c>
      <c r="B7281" t="str">
        <f>"1551601258829502"</f>
        <v>1551601258829502</v>
      </c>
      <c r="C7281" t="s">
        <v>40</v>
      </c>
      <c r="D7281">
        <v>4.6527120000000002</v>
      </c>
      <c r="E7281">
        <v>0.50018850000000004</v>
      </c>
      <c r="F7281" t="s">
        <v>41</v>
      </c>
      <c r="G7281">
        <v>-420.94670000000002</v>
      </c>
      <c r="H7281" s="1">
        <v>-4.3291889999999999E-6</v>
      </c>
      <c r="I7281">
        <v>69.214860000000002</v>
      </c>
      <c r="J7281">
        <v>-421.72460000000001</v>
      </c>
      <c r="K7281">
        <v>1.1215469999999901</v>
      </c>
      <c r="L7281">
        <v>88.436000000000007</v>
      </c>
      <c r="M7281">
        <v>-2.1818110000000002E-2</v>
      </c>
      <c r="N7281">
        <v>-1.267912E-2</v>
      </c>
      <c r="O7281">
        <v>-0.99968179999999995</v>
      </c>
      <c r="P7281">
        <v>4.2717209999999999E-2</v>
      </c>
      <c r="Q7281">
        <v>8.7283849999999996E-2</v>
      </c>
      <c r="R7281">
        <v>-0.99526760000000003</v>
      </c>
      <c r="S7281">
        <v>0.121307399999999</v>
      </c>
      <c r="T7281">
        <v>-0.17539969999999999</v>
      </c>
      <c r="U7281">
        <v>-3.024292</v>
      </c>
      <c r="V7281">
        <v>-6.4441899999999996E-2</v>
      </c>
      <c r="W7281">
        <v>9.986921E-2</v>
      </c>
      <c r="X7281">
        <v>0.99291160000000001</v>
      </c>
      <c r="Y7281">
        <v>-6.1802999999999997E-2</v>
      </c>
      <c r="Z7281">
        <v>4.5132419999999999E-2</v>
      </c>
      <c r="AA7281">
        <v>0.9970675</v>
      </c>
      <c r="AB7281">
        <v>17</v>
      </c>
      <c r="AC7281">
        <v>0.77789999999998805</v>
      </c>
      <c r="AD7281">
        <v>-1.12155132918899</v>
      </c>
      <c r="AE7281">
        <v>-19.221139999999998</v>
      </c>
      <c r="AF7281">
        <v>-1.1930619664925</v>
      </c>
      <c r="AG7281">
        <v>-1.12155132918899</v>
      </c>
      <c r="AH7281">
        <v>19.134549090776201</v>
      </c>
      <c r="AI7281">
        <v>93.348006558378401</v>
      </c>
      <c r="AJ7281">
        <v>93.567841467907201</v>
      </c>
      <c r="AK7281">
        <v>19.204484974797399</v>
      </c>
      <c r="AL7281">
        <v>84.268361121100696</v>
      </c>
      <c r="AM7281">
        <v>93.713399778502193</v>
      </c>
      <c r="AN7281">
        <v>1.0000000314980899</v>
      </c>
    </row>
    <row r="7282" spans="1:40" x14ac:dyDescent="0.25">
      <c r="A7282" t="str">
        <f>"20190303162058862"</f>
        <v>20190303162058862</v>
      </c>
      <c r="B7282" t="str">
        <f>"1551601258849998"</f>
        <v>1551601258849998</v>
      </c>
      <c r="C7282" t="s">
        <v>40</v>
      </c>
      <c r="D7282">
        <v>4.6750049999999996</v>
      </c>
      <c r="E7282">
        <v>0.50007639999999998</v>
      </c>
      <c r="F7282" t="s">
        <v>41</v>
      </c>
      <c r="G7282">
        <v>-420.93009999999998</v>
      </c>
      <c r="H7282" s="1">
        <v>-4.2410139999999997E-6</v>
      </c>
      <c r="I7282">
        <v>68.964410000000001</v>
      </c>
      <c r="J7282">
        <v>-421.72730000000001</v>
      </c>
      <c r="K7282">
        <v>1.1215269999999999</v>
      </c>
      <c r="L7282">
        <v>88.297790000000006</v>
      </c>
      <c r="M7282">
        <v>-2.1596130000000002E-2</v>
      </c>
      <c r="N7282">
        <v>-1.265989E-2</v>
      </c>
      <c r="O7282">
        <v>-0.99968679999999999</v>
      </c>
      <c r="P7282">
        <v>4.4466159999999998E-2</v>
      </c>
      <c r="Q7282">
        <v>8.8270429999999997E-2</v>
      </c>
      <c r="R7282">
        <v>-0.99510359999999998</v>
      </c>
      <c r="S7282">
        <v>0.1234131</v>
      </c>
      <c r="T7282">
        <v>-0.1741955</v>
      </c>
      <c r="U7282">
        <v>-3.0242610000000001</v>
      </c>
      <c r="V7282">
        <v>-6.5959390000000007E-2</v>
      </c>
      <c r="W7282">
        <v>0.100839</v>
      </c>
      <c r="X7282">
        <v>0.99271390000000004</v>
      </c>
      <c r="Y7282">
        <v>-6.2275560000000001E-2</v>
      </c>
      <c r="Z7282">
        <v>4.475519E-2</v>
      </c>
      <c r="AA7282">
        <v>0.99705509999999997</v>
      </c>
      <c r="AB7282">
        <v>17</v>
      </c>
      <c r="AC7282">
        <v>0.79720000000003199</v>
      </c>
      <c r="AD7282">
        <v>-1.1215312410139999</v>
      </c>
      <c r="AE7282">
        <v>-19.333379999999998</v>
      </c>
      <c r="AF7282">
        <v>-1.2105069704310401</v>
      </c>
      <c r="AG7282">
        <v>-1.1215312410139999</v>
      </c>
      <c r="AH7282">
        <v>19.2469929769142</v>
      </c>
      <c r="AI7282">
        <v>93.328319315387503</v>
      </c>
      <c r="AJ7282">
        <v>93.598780770486897</v>
      </c>
      <c r="AK7282">
        <v>19.317605910242101</v>
      </c>
      <c r="AL7282">
        <v>84.212514230783796</v>
      </c>
      <c r="AM7282">
        <v>93.801344944292197</v>
      </c>
      <c r="AN7282">
        <v>1.00000001615169</v>
      </c>
    </row>
    <row r="7283" spans="1:40" x14ac:dyDescent="0.25">
      <c r="A7283" t="str">
        <f>"20190303162058886"</f>
        <v>20190303162058886</v>
      </c>
      <c r="B7283" t="str">
        <f>"1551601258880253"</f>
        <v>1551601258880253</v>
      </c>
      <c r="C7283" t="s">
        <v>40</v>
      </c>
      <c r="D7283">
        <v>4.6771529999999997</v>
      </c>
      <c r="E7283">
        <v>0.48759239999999998</v>
      </c>
      <c r="F7283" t="s">
        <v>41</v>
      </c>
      <c r="G7283">
        <v>-420.87209999999999</v>
      </c>
      <c r="H7283" s="1">
        <v>-4.0058940000000003E-6</v>
      </c>
      <c r="I7283">
        <v>68.386049999999997</v>
      </c>
      <c r="J7283">
        <v>-421.73070000000001</v>
      </c>
      <c r="K7283">
        <v>1.1214980000000001</v>
      </c>
      <c r="L7283">
        <v>88.127039999999994</v>
      </c>
      <c r="M7283">
        <v>-2.13782E-2</v>
      </c>
      <c r="N7283">
        <v>-1.2638689999999999E-2</v>
      </c>
      <c r="O7283">
        <v>-0.99969149999999996</v>
      </c>
      <c r="P7283">
        <v>4.5231159999999999E-2</v>
      </c>
      <c r="Q7283">
        <v>9.0344649999999999E-2</v>
      </c>
      <c r="R7283">
        <v>-0.99488290000000001</v>
      </c>
      <c r="S7283">
        <v>0.12988279999999999</v>
      </c>
      <c r="T7283">
        <v>-0.1703316</v>
      </c>
      <c r="U7283">
        <v>-3.0240779999999998</v>
      </c>
      <c r="V7283">
        <v>-6.6494429999999993E-2</v>
      </c>
      <c r="W7283">
        <v>0.10289479999999999</v>
      </c>
      <c r="X7283">
        <v>0.99246719999999999</v>
      </c>
      <c r="Y7283">
        <v>-6.4191780000000004E-2</v>
      </c>
      <c r="Z7283">
        <v>4.3503939999999998E-2</v>
      </c>
      <c r="AA7283">
        <v>0.99698889999999996</v>
      </c>
      <c r="AB7283">
        <v>17</v>
      </c>
      <c r="AC7283">
        <v>0.85860000000002401</v>
      </c>
      <c r="AD7283">
        <v>-1.121502005894</v>
      </c>
      <c r="AE7283">
        <v>-19.74099</v>
      </c>
      <c r="AF7283">
        <v>-1.2763527044199501</v>
      </c>
      <c r="AG7283">
        <v>-1.121502005894</v>
      </c>
      <c r="AH7283">
        <v>19.6548053573954</v>
      </c>
      <c r="AI7283">
        <v>93.258903204343895</v>
      </c>
      <c r="AJ7283">
        <v>93.715482558696706</v>
      </c>
      <c r="AK7283">
        <v>19.728107273948101</v>
      </c>
      <c r="AL7283">
        <v>84.094109492178305</v>
      </c>
      <c r="AM7283">
        <v>93.833038359907704</v>
      </c>
      <c r="AN7283">
        <v>0.999999996081952</v>
      </c>
    </row>
    <row r="7284" spans="1:40" x14ac:dyDescent="0.25">
      <c r="A7284" t="str">
        <f>"20190303162058908"</f>
        <v>20190303162058908</v>
      </c>
      <c r="B7284" t="str">
        <f>"1551601258899774"</f>
        <v>1551601258899774</v>
      </c>
      <c r="C7284" t="s">
        <v>40</v>
      </c>
      <c r="D7284">
        <v>4.594868</v>
      </c>
      <c r="E7284">
        <v>0.4885082</v>
      </c>
      <c r="F7284" t="s">
        <v>41</v>
      </c>
      <c r="G7284">
        <v>-418.00299999999999</v>
      </c>
      <c r="H7284" s="1">
        <v>-6.1562349999999999E-7</v>
      </c>
      <c r="I7284">
        <v>39.895719999999997</v>
      </c>
      <c r="J7284">
        <v>-421.73410000000001</v>
      </c>
      <c r="K7284">
        <v>1.121475</v>
      </c>
      <c r="L7284">
        <v>87.956050000000005</v>
      </c>
      <c r="M7284">
        <v>-2.122516E-2</v>
      </c>
      <c r="N7284">
        <v>-1.2620330000000001E-2</v>
      </c>
      <c r="O7284">
        <v>-0.99969509999999995</v>
      </c>
      <c r="P7284">
        <v>4.4478900000000002E-2</v>
      </c>
      <c r="Q7284">
        <v>9.1561219999999999E-2</v>
      </c>
      <c r="R7284">
        <v>-0.99480559999999996</v>
      </c>
      <c r="S7284">
        <v>0.23272709999999999</v>
      </c>
      <c r="T7284">
        <v>-7.0017930000000006E-2</v>
      </c>
      <c r="U7284">
        <v>-3.0112000000000001</v>
      </c>
      <c r="V7284">
        <v>-6.5580830000000007E-2</v>
      </c>
      <c r="W7284">
        <v>0.1040966</v>
      </c>
      <c r="X7284">
        <v>0.99240269999999997</v>
      </c>
      <c r="Y7284">
        <v>-9.8177280000000006E-2</v>
      </c>
      <c r="Z7284">
        <v>1.051859E-2</v>
      </c>
      <c r="AA7284">
        <v>0.99511340000000004</v>
      </c>
      <c r="AB7284">
        <v>17</v>
      </c>
      <c r="AC7284">
        <v>3.7310999999999601</v>
      </c>
      <c r="AD7284">
        <v>-1.1214756156235</v>
      </c>
      <c r="AE7284">
        <v>-48.06033</v>
      </c>
      <c r="AF7284">
        <v>-4.7478589592142004</v>
      </c>
      <c r="AG7284">
        <v>-1.1214756156235</v>
      </c>
      <c r="AH7284">
        <v>47.944351990957799</v>
      </c>
      <c r="AI7284">
        <v>91.333452287887994</v>
      </c>
      <c r="AJ7284">
        <v>95.655478130001399</v>
      </c>
      <c r="AK7284">
        <v>48.191915920472503</v>
      </c>
      <c r="AL7284">
        <v>84.024879871131901</v>
      </c>
      <c r="AM7284">
        <v>93.780773121997399</v>
      </c>
      <c r="AN7284">
        <v>1.00000003318116</v>
      </c>
    </row>
    <row r="7285" spans="1:40" x14ac:dyDescent="0.25">
      <c r="A7285" t="str">
        <f>"20190303162058930"</f>
        <v>20190303162058930</v>
      </c>
      <c r="B7285" t="str">
        <f>"1551601258920270"</f>
        <v>1551601258920270</v>
      </c>
      <c r="C7285" t="s">
        <v>40</v>
      </c>
      <c r="D7285">
        <v>4.2496650000000002</v>
      </c>
      <c r="E7285">
        <v>0.4890293</v>
      </c>
      <c r="F7285" t="s">
        <v>62</v>
      </c>
      <c r="G7285">
        <v>-417.87279999999998</v>
      </c>
      <c r="H7285" s="1">
        <v>-2.9479760000000002E-6</v>
      </c>
      <c r="I7285">
        <v>35.84872</v>
      </c>
      <c r="J7285">
        <v>-421.73739999999998</v>
      </c>
      <c r="K7285">
        <v>1.121448</v>
      </c>
      <c r="L7285">
        <v>87.793790000000001</v>
      </c>
      <c r="M7285">
        <v>-2.1119140000000002E-2</v>
      </c>
      <c r="N7285">
        <v>-1.260504E-2</v>
      </c>
      <c r="O7285">
        <v>-0.99969770000000002</v>
      </c>
      <c r="P7285">
        <v>4.3416660000000003E-2</v>
      </c>
      <c r="Q7285">
        <v>9.0859259999999997E-2</v>
      </c>
      <c r="R7285">
        <v>-0.9949171</v>
      </c>
      <c r="S7285">
        <v>0.22317500000000001</v>
      </c>
      <c r="T7285">
        <v>-6.4818260000000003E-2</v>
      </c>
      <c r="U7285">
        <v>-3.0116580000000002</v>
      </c>
      <c r="V7285">
        <v>-6.4411070000000001E-2</v>
      </c>
      <c r="W7285">
        <v>0.1033848</v>
      </c>
      <c r="X7285">
        <v>0.99255369999999998</v>
      </c>
      <c r="Y7285">
        <v>-9.4924430000000004E-2</v>
      </c>
      <c r="Z7285">
        <v>8.8186389999999996E-3</v>
      </c>
      <c r="AA7285">
        <v>0.99544540000000004</v>
      </c>
      <c r="AB7285">
        <v>17</v>
      </c>
      <c r="AC7285">
        <v>3.86459999999999</v>
      </c>
      <c r="AD7285">
        <v>-1.121450947976</v>
      </c>
      <c r="AE7285">
        <v>-51.945070000000001</v>
      </c>
      <c r="AF7285">
        <v>-4.9585616519836604</v>
      </c>
      <c r="AG7285">
        <v>-1.121450947976</v>
      </c>
      <c r="AH7285">
        <v>51.827835572562599</v>
      </c>
      <c r="AI7285">
        <v>91.233940119044206</v>
      </c>
      <c r="AJ7285">
        <v>95.465065924461598</v>
      </c>
      <c r="AK7285">
        <v>52.076573677823902</v>
      </c>
      <c r="AL7285">
        <v>84.065884202538101</v>
      </c>
      <c r="AM7285">
        <v>93.712962812291806</v>
      </c>
      <c r="AN7285">
        <v>1.0000000250966301</v>
      </c>
    </row>
    <row r="7286" spans="1:40" x14ac:dyDescent="0.25">
      <c r="A7286" t="str">
        <f>"20190303162058946"</f>
        <v>20190303162058946</v>
      </c>
      <c r="B7286" t="str">
        <f>"1551601258939790"</f>
        <v>1551601258939790</v>
      </c>
      <c r="C7286" t="s">
        <v>40</v>
      </c>
      <c r="D7286">
        <v>4.5288519999999997</v>
      </c>
      <c r="E7286">
        <v>0.48948239999999998</v>
      </c>
      <c r="F7286" t="s">
        <v>62</v>
      </c>
      <c r="G7286">
        <v>-418.04230000000001</v>
      </c>
      <c r="H7286" s="1">
        <v>-2.6249480000000001E-6</v>
      </c>
      <c r="I7286">
        <v>36.28595</v>
      </c>
      <c r="J7286">
        <v>-421.73989999999998</v>
      </c>
      <c r="K7286">
        <v>1.121437</v>
      </c>
      <c r="L7286">
        <v>87.667050000000003</v>
      </c>
      <c r="M7286">
        <v>-2.1055009999999999E-2</v>
      </c>
      <c r="N7286">
        <v>-1.2594279999999999E-2</v>
      </c>
      <c r="O7286">
        <v>-0.99969940000000002</v>
      </c>
      <c r="P7286">
        <v>4.3023079999999998E-2</v>
      </c>
      <c r="Q7286">
        <v>9.0338849999999998E-2</v>
      </c>
      <c r="R7286">
        <v>-0.99498180000000003</v>
      </c>
      <c r="S7286">
        <v>0.21606449999999999</v>
      </c>
      <c r="T7286">
        <v>-6.5575720000000004E-2</v>
      </c>
      <c r="U7286">
        <v>-3.0118710000000002</v>
      </c>
      <c r="V7286">
        <v>-6.3952190000000006E-2</v>
      </c>
      <c r="W7286">
        <v>0.1028559</v>
      </c>
      <c r="X7286">
        <v>0.99263829999999997</v>
      </c>
      <c r="Y7286">
        <v>-9.2517619999999995E-2</v>
      </c>
      <c r="Z7286">
        <v>9.0829629999999995E-3</v>
      </c>
      <c r="AA7286">
        <v>0.99566960000000004</v>
      </c>
      <c r="AB7286">
        <v>17</v>
      </c>
      <c r="AC7286">
        <v>3.69759999999996</v>
      </c>
      <c r="AD7286">
        <v>-1.1214396249480001</v>
      </c>
      <c r="AE7286">
        <v>-51.381100000000004</v>
      </c>
      <c r="AF7286">
        <v>-4.7764314917701798</v>
      </c>
      <c r="AG7286">
        <v>-1.1214396249480001</v>
      </c>
      <c r="AH7286">
        <v>51.267552295872903</v>
      </c>
      <c r="AI7286">
        <v>91.247701148784998</v>
      </c>
      <c r="AJ7286">
        <v>95.322696931738406</v>
      </c>
      <c r="AK7286">
        <v>51.501784852935401</v>
      </c>
      <c r="AL7286">
        <v>84.096350249462304</v>
      </c>
      <c r="AM7286">
        <v>93.686270646106806</v>
      </c>
      <c r="AN7286">
        <v>1.00000000669874</v>
      </c>
    </row>
    <row r="7287" spans="1:40" x14ac:dyDescent="0.25">
      <c r="A7287" t="str">
        <f>"20190303162058963"</f>
        <v>20190303162058963</v>
      </c>
      <c r="B7287" t="str">
        <f>"1551601258949550"</f>
        <v>1551601258949550</v>
      </c>
      <c r="C7287" t="s">
        <v>40</v>
      </c>
      <c r="D7287">
        <v>4.5044680000000001</v>
      </c>
      <c r="E7287">
        <v>0.48949039999999999</v>
      </c>
      <c r="F7287" t="s">
        <v>62</v>
      </c>
      <c r="G7287">
        <v>-418.18509999999998</v>
      </c>
      <c r="H7287" s="1">
        <v>-2.0951940000000001E-6</v>
      </c>
      <c r="I7287">
        <v>37.059629999999999</v>
      </c>
      <c r="J7287">
        <v>-421.74259999999998</v>
      </c>
      <c r="K7287">
        <v>1.1214280000000001</v>
      </c>
      <c r="L7287">
        <v>87.539789999999996</v>
      </c>
      <c r="M7287">
        <v>-2.100722E-2</v>
      </c>
      <c r="N7287">
        <v>-1.2584659999999999E-2</v>
      </c>
      <c r="O7287">
        <v>-0.99970029999999999</v>
      </c>
      <c r="P7287">
        <v>4.2715660000000003E-2</v>
      </c>
      <c r="Q7287">
        <v>8.8846690000000006E-2</v>
      </c>
      <c r="R7287">
        <v>-0.99512909999999999</v>
      </c>
      <c r="S7287">
        <v>0.2115784</v>
      </c>
      <c r="T7287">
        <v>-6.6745879999999994E-2</v>
      </c>
      <c r="U7287">
        <v>-3.012054</v>
      </c>
      <c r="V7287">
        <v>-6.3599439999999993E-2</v>
      </c>
      <c r="W7287">
        <v>0.101357</v>
      </c>
      <c r="X7287">
        <v>0.99281509999999995</v>
      </c>
      <c r="Y7287">
        <v>-9.0989990000000007E-2</v>
      </c>
      <c r="Z7287">
        <v>9.4810759999999997E-3</v>
      </c>
      <c r="AA7287">
        <v>0.99580670000000004</v>
      </c>
      <c r="AB7287">
        <v>17</v>
      </c>
      <c r="AC7287">
        <v>3.5575000000000001</v>
      </c>
      <c r="AD7287">
        <v>-1.1214300951939999</v>
      </c>
      <c r="AE7287">
        <v>-50.480159999999998</v>
      </c>
      <c r="AF7287">
        <v>-4.6149801168053797</v>
      </c>
      <c r="AG7287">
        <v>-1.1214300951939999</v>
      </c>
      <c r="AH7287">
        <v>50.369543962784803</v>
      </c>
      <c r="AI7287">
        <v>91.270107276093199</v>
      </c>
      <c r="AJ7287">
        <v>95.234962716272904</v>
      </c>
      <c r="AK7287">
        <v>50.592950160628398</v>
      </c>
      <c r="AL7287">
        <v>84.182681940295893</v>
      </c>
      <c r="AM7287">
        <v>93.665342313038394</v>
      </c>
      <c r="AN7287">
        <v>0.99999997650266104</v>
      </c>
    </row>
    <row r="7288" spans="1:40" x14ac:dyDescent="0.25">
      <c r="A7288" t="str">
        <f>"20190303162058986"</f>
        <v>20190303162058986</v>
      </c>
      <c r="B7288" t="str">
        <f>"1551601258979769"</f>
        <v>1551601258979769</v>
      </c>
      <c r="C7288" t="s">
        <v>40</v>
      </c>
      <c r="D7288">
        <v>4.47464</v>
      </c>
      <c r="E7288">
        <v>0.48996729999999999</v>
      </c>
      <c r="F7288" t="s">
        <v>62</v>
      </c>
      <c r="G7288">
        <v>-418.34949999999998</v>
      </c>
      <c r="H7288" s="1">
        <v>-7.1033069999999998E-7</v>
      </c>
      <c r="I7288">
        <v>39.169530000000002</v>
      </c>
      <c r="J7288">
        <v>-421.74599999999998</v>
      </c>
      <c r="K7288">
        <v>1.121427</v>
      </c>
      <c r="L7288">
        <v>87.37115</v>
      </c>
      <c r="M7288">
        <v>-2.0963519999999999E-2</v>
      </c>
      <c r="N7288">
        <v>-1.257309E-2</v>
      </c>
      <c r="O7288">
        <v>-0.99970130000000001</v>
      </c>
      <c r="P7288">
        <v>4.2632360000000001E-2</v>
      </c>
      <c r="Q7288">
        <v>8.8623399999999894E-2</v>
      </c>
      <c r="R7288">
        <v>-0.9951525</v>
      </c>
      <c r="S7288">
        <v>0.21127319999999999</v>
      </c>
      <c r="T7288">
        <v>-6.9827319999999998E-2</v>
      </c>
      <c r="U7288">
        <v>-3.011841</v>
      </c>
      <c r="V7288">
        <v>-6.3473150000000006E-2</v>
      </c>
      <c r="W7288">
        <v>0.10112359999999999</v>
      </c>
      <c r="X7288">
        <v>0.99284700000000004</v>
      </c>
      <c r="Y7288">
        <v>-9.0849730000000004E-2</v>
      </c>
      <c r="Z7288">
        <v>1.0513339999999999E-2</v>
      </c>
      <c r="AA7288">
        <v>0.9958091</v>
      </c>
      <c r="AB7288">
        <v>17</v>
      </c>
      <c r="AC7288">
        <v>3.3965000000000001</v>
      </c>
      <c r="AD7288">
        <v>-1.1214277103307</v>
      </c>
      <c r="AE7288">
        <v>-48.201619999999998</v>
      </c>
      <c r="AF7288">
        <v>-4.4039368826805703</v>
      </c>
      <c r="AG7288">
        <v>-1.1214277103307</v>
      </c>
      <c r="AH7288">
        <v>48.093913889073903</v>
      </c>
      <c r="AI7288">
        <v>91.330186616972796</v>
      </c>
      <c r="AJ7288">
        <v>95.231956627467895</v>
      </c>
      <c r="AK7288">
        <v>48.308144379036001</v>
      </c>
      <c r="AL7288">
        <v>84.196123943860499</v>
      </c>
      <c r="AM7288">
        <v>93.657966576526306</v>
      </c>
      <c r="AN7288">
        <v>0.999999994328441</v>
      </c>
    </row>
    <row r="7289" spans="1:40" x14ac:dyDescent="0.25">
      <c r="A7289" t="str">
        <f>"20190303162059008"</f>
        <v>20190303162059008</v>
      </c>
      <c r="B7289" t="str">
        <f>"1551601259000264"</f>
        <v>1551601259000264</v>
      </c>
      <c r="C7289" t="s">
        <v>40</v>
      </c>
      <c r="D7289">
        <v>4.4379549999999997</v>
      </c>
      <c r="E7289">
        <v>0.49053340000000001</v>
      </c>
      <c r="F7289" t="s">
        <v>62</v>
      </c>
      <c r="G7289">
        <v>-418.41070000000002</v>
      </c>
      <c r="H7289" s="1">
        <v>-8.5266580000000004E-7</v>
      </c>
      <c r="I7289">
        <v>38.919989999999999</v>
      </c>
      <c r="J7289">
        <v>-421.74950000000001</v>
      </c>
      <c r="K7289">
        <v>1.1214150000000001</v>
      </c>
      <c r="L7289">
        <v>87.204099999999997</v>
      </c>
      <c r="M7289">
        <v>-2.092697E-2</v>
      </c>
      <c r="N7289">
        <v>-1.2552290000000001E-2</v>
      </c>
      <c r="O7289">
        <v>-0.99970250000000005</v>
      </c>
      <c r="P7289">
        <v>4.291884E-2</v>
      </c>
      <c r="Q7289">
        <v>8.9129819999999998E-2</v>
      </c>
      <c r="R7289">
        <v>-0.99509510000000001</v>
      </c>
      <c r="S7289">
        <v>0.2073364</v>
      </c>
      <c r="T7289">
        <v>-6.9712759999999999E-2</v>
      </c>
      <c r="U7289">
        <v>-3.0119319999999998</v>
      </c>
      <c r="V7289">
        <v>-6.3719940000000003E-2</v>
      </c>
      <c r="W7289">
        <v>0.1016093</v>
      </c>
      <c r="X7289">
        <v>0.99278160000000004</v>
      </c>
      <c r="Y7289">
        <v>-8.9516189999999995E-2</v>
      </c>
      <c r="Z7289">
        <v>1.0498220000000001E-2</v>
      </c>
      <c r="AA7289">
        <v>0.99592999999999998</v>
      </c>
      <c r="AB7289">
        <v>17</v>
      </c>
      <c r="AC7289">
        <v>3.3387999999999902</v>
      </c>
      <c r="AD7289">
        <v>-1.1214158526658</v>
      </c>
      <c r="AE7289">
        <v>-48.284109999999899</v>
      </c>
      <c r="AF7289">
        <v>-4.3462548597170096</v>
      </c>
      <c r="AG7289">
        <v>-1.1214158526658</v>
      </c>
      <c r="AH7289">
        <v>48.177793738763697</v>
      </c>
      <c r="AI7289">
        <v>91.3280198437092</v>
      </c>
      <c r="AJ7289">
        <v>95.1548603060332</v>
      </c>
      <c r="AK7289">
        <v>48.386437297605198</v>
      </c>
      <c r="AL7289">
        <v>84.168151292508796</v>
      </c>
      <c r="AM7289">
        <v>93.672391521158602</v>
      </c>
      <c r="AN7289">
        <v>0.99999999294932596</v>
      </c>
    </row>
    <row r="7290" spans="1:40" x14ac:dyDescent="0.25">
      <c r="A7290" t="str">
        <f>"20190303162059023"</f>
        <v>20190303162059023</v>
      </c>
      <c r="B7290" t="str">
        <f>"1551601259010024"</f>
        <v>1551601259010024</v>
      </c>
      <c r="C7290" t="s">
        <v>40</v>
      </c>
      <c r="D7290">
        <v>4.3942500000000004</v>
      </c>
      <c r="E7290">
        <v>0.49069800000000002</v>
      </c>
      <c r="F7290" t="s">
        <v>41</v>
      </c>
      <c r="G7290">
        <v>-418.5598</v>
      </c>
      <c r="H7290" s="1">
        <v>-5.3647249999999995E-7</v>
      </c>
      <c r="I7290">
        <v>40.098480000000002</v>
      </c>
      <c r="J7290">
        <v>-421.75200000000001</v>
      </c>
      <c r="K7290">
        <v>1.12141</v>
      </c>
      <c r="L7290">
        <v>87.079409999999996</v>
      </c>
      <c r="M7290">
        <v>-2.0908119999999999E-2</v>
      </c>
      <c r="N7290">
        <v>-1.2530950000000001E-2</v>
      </c>
      <c r="O7290">
        <v>-0.99970289999999995</v>
      </c>
      <c r="P7290">
        <v>4.3225260000000001E-2</v>
      </c>
      <c r="Q7290">
        <v>8.9413160000000005E-2</v>
      </c>
      <c r="R7290">
        <v>-0.9950563</v>
      </c>
      <c r="S7290">
        <v>0.20397950000000001</v>
      </c>
      <c r="T7290">
        <v>-7.1714879999999995E-2</v>
      </c>
      <c r="U7290">
        <v>-3.0124209999999998</v>
      </c>
      <c r="V7290">
        <v>-6.4006510000000003E-2</v>
      </c>
      <c r="W7290">
        <v>0.1018712</v>
      </c>
      <c r="X7290">
        <v>0.99273630000000002</v>
      </c>
      <c r="Y7290">
        <v>-8.8381029999999999E-2</v>
      </c>
      <c r="Z7290">
        <v>1.1180010000000001E-2</v>
      </c>
      <c r="AA7290">
        <v>0.99602400000000002</v>
      </c>
      <c r="AB7290">
        <v>17</v>
      </c>
      <c r="AC7290">
        <v>3.19219999999995</v>
      </c>
      <c r="AD7290">
        <v>-1.1214105364725</v>
      </c>
      <c r="AE7290">
        <v>-46.980930000000001</v>
      </c>
      <c r="AF7290">
        <v>-4.1714963047009501</v>
      </c>
      <c r="AG7290">
        <v>-1.1214105364725</v>
      </c>
      <c r="AH7290">
        <v>46.877324559992601</v>
      </c>
      <c r="AI7290">
        <v>91.364990113074995</v>
      </c>
      <c r="AJ7290">
        <v>95.0852139870847</v>
      </c>
      <c r="AK7290">
        <v>47.075922730354698</v>
      </c>
      <c r="AL7290">
        <v>84.153067110368298</v>
      </c>
      <c r="AM7290">
        <v>93.689029862950406</v>
      </c>
      <c r="AN7290">
        <v>0.99999996802475399</v>
      </c>
    </row>
    <row r="7291" spans="1:40" x14ac:dyDescent="0.25">
      <c r="A7291" t="str">
        <f>"20190303162059041"</f>
        <v>20190303162059041</v>
      </c>
      <c r="B7291" t="str">
        <f>"1551601259029544"</f>
        <v>1551601259029544</v>
      </c>
      <c r="C7291" t="s">
        <v>40</v>
      </c>
      <c r="D7291">
        <v>4.4088880000000001</v>
      </c>
      <c r="E7291">
        <v>0.49092750000000002</v>
      </c>
      <c r="F7291" t="s">
        <v>41</v>
      </c>
      <c r="G7291">
        <v>-418.61259999999999</v>
      </c>
      <c r="H7291" s="1">
        <v>-6.93441199999999E-7</v>
      </c>
      <c r="I7291">
        <v>40.600990000000003</v>
      </c>
      <c r="J7291">
        <v>-421.75470000000001</v>
      </c>
      <c r="K7291">
        <v>1.1214059999999999</v>
      </c>
      <c r="L7291">
        <v>86.95026</v>
      </c>
      <c r="M7291">
        <v>-2.0898420000000001E-2</v>
      </c>
      <c r="N7291">
        <v>-1.250104E-2</v>
      </c>
      <c r="O7291">
        <v>-0.99970340000000002</v>
      </c>
      <c r="P7291">
        <v>4.3384220000000001E-2</v>
      </c>
      <c r="Q7291">
        <v>8.9421009999999995E-2</v>
      </c>
      <c r="R7291">
        <v>-0.9950485</v>
      </c>
      <c r="S7291">
        <v>0.20349120000000001</v>
      </c>
      <c r="T7291">
        <v>-7.2686790000000001E-2</v>
      </c>
      <c r="U7291">
        <v>-3.0126040000000001</v>
      </c>
      <c r="V7291">
        <v>-6.4155779999999996E-2</v>
      </c>
      <c r="W7291">
        <v>0.10184890000000001</v>
      </c>
      <c r="X7291">
        <v>0.99272899999999997</v>
      </c>
      <c r="Y7291">
        <v>-8.8206240000000005E-2</v>
      </c>
      <c r="Z7291">
        <v>1.1530159999999999E-2</v>
      </c>
      <c r="AA7291">
        <v>0.99603549999999996</v>
      </c>
      <c r="AB7291">
        <v>17</v>
      </c>
      <c r="AC7291">
        <v>3.1421000000000201</v>
      </c>
      <c r="AD7291">
        <v>-1.1214066934411999</v>
      </c>
      <c r="AE7291">
        <v>-46.349269999999997</v>
      </c>
      <c r="AF7291">
        <v>-4.1077223296485696</v>
      </c>
      <c r="AG7291">
        <v>-1.1214066934411999</v>
      </c>
      <c r="AH7291">
        <v>46.246527760512002</v>
      </c>
      <c r="AI7291">
        <v>91.383616634190602</v>
      </c>
      <c r="AJ7291">
        <v>95.075821706294406</v>
      </c>
      <c r="AK7291">
        <v>46.442138900069999</v>
      </c>
      <c r="AL7291">
        <v>84.154351762167494</v>
      </c>
      <c r="AM7291">
        <v>93.6976363486894</v>
      </c>
      <c r="AN7291">
        <v>1.0000000149898001</v>
      </c>
    </row>
    <row r="7292" spans="1:40" x14ac:dyDescent="0.25">
      <c r="A7292" t="str">
        <f>"20190303162059064"</f>
        <v>20190303162059064</v>
      </c>
      <c r="B7292" t="str">
        <f>"1551601259050041"</f>
        <v>1551601259050041</v>
      </c>
      <c r="C7292" t="s">
        <v>40</v>
      </c>
      <c r="D7292">
        <v>4.4042329999999996</v>
      </c>
      <c r="E7292">
        <v>0.49107869999999998</v>
      </c>
      <c r="F7292" t="s">
        <v>41</v>
      </c>
      <c r="G7292">
        <v>-418.70549999999997</v>
      </c>
      <c r="H7292" s="1">
        <v>-9.6475920000000008E-7</v>
      </c>
      <c r="I7292">
        <v>41.346400000000003</v>
      </c>
      <c r="J7292">
        <v>-421.75830000000002</v>
      </c>
      <c r="K7292">
        <v>1.1214029999999999</v>
      </c>
      <c r="L7292">
        <v>86.780059999999906</v>
      </c>
      <c r="M7292">
        <v>-2.0883869999999999E-2</v>
      </c>
      <c r="N7292">
        <v>-1.2448590000000001E-2</v>
      </c>
      <c r="O7292">
        <v>-0.99970460000000005</v>
      </c>
      <c r="P7292">
        <v>4.277297E-2</v>
      </c>
      <c r="Q7292">
        <v>8.9625510000000005E-2</v>
      </c>
      <c r="R7292">
        <v>-0.99505679999999996</v>
      </c>
      <c r="S7292">
        <v>0.2014465</v>
      </c>
      <c r="T7292">
        <v>-7.4085709999999999E-2</v>
      </c>
      <c r="U7292">
        <v>-3.0128170000000001</v>
      </c>
      <c r="V7292">
        <v>-6.3531820000000003E-2</v>
      </c>
      <c r="W7292">
        <v>0.1020002</v>
      </c>
      <c r="X7292">
        <v>0.99275360000000001</v>
      </c>
      <c r="Y7292">
        <v>-8.7513659999999993E-2</v>
      </c>
      <c r="Z7292">
        <v>1.204479E-2</v>
      </c>
      <c r="AA7292">
        <v>0.99609049999999999</v>
      </c>
      <c r="AB7292">
        <v>17</v>
      </c>
      <c r="AC7292">
        <v>3.0528000000000399</v>
      </c>
      <c r="AD7292">
        <v>-1.1214039647592</v>
      </c>
      <c r="AE7292">
        <v>-45.433659999999897</v>
      </c>
      <c r="AF7292">
        <v>-3.9986130416585102</v>
      </c>
      <c r="AG7292">
        <v>-1.1214039647592</v>
      </c>
      <c r="AH7292">
        <v>45.332497560083297</v>
      </c>
      <c r="AI7292">
        <v>91.411575945291204</v>
      </c>
      <c r="AJ7292">
        <v>95.040804115503505</v>
      </c>
      <c r="AK7292">
        <v>45.522321866794698</v>
      </c>
      <c r="AL7292">
        <v>84.145637567297101</v>
      </c>
      <c r="AM7292">
        <v>93.661682071980394</v>
      </c>
      <c r="AN7292">
        <v>1.00000002163275</v>
      </c>
    </row>
    <row r="7293" spans="1:40" x14ac:dyDescent="0.25">
      <c r="A7293" t="str">
        <f>"20190303162059098"</f>
        <v>20190303162059098</v>
      </c>
      <c r="B7293" t="str">
        <f>"1551601259090056"</f>
        <v>1551601259090056</v>
      </c>
      <c r="C7293" t="s">
        <v>40</v>
      </c>
      <c r="D7293">
        <v>4.3579470000000002</v>
      </c>
      <c r="E7293">
        <v>0.49106569999999999</v>
      </c>
      <c r="F7293" t="s">
        <v>41</v>
      </c>
      <c r="G7293">
        <v>-418.68819999999999</v>
      </c>
      <c r="H7293" s="1">
        <v>-4.9278149999999998E-7</v>
      </c>
      <c r="I7293">
        <v>40.070489999999999</v>
      </c>
      <c r="J7293">
        <v>-421.7636</v>
      </c>
      <c r="K7293">
        <v>1.121405</v>
      </c>
      <c r="L7293">
        <v>86.525790000000001</v>
      </c>
      <c r="M7293">
        <v>-2.0851910000000001E-2</v>
      </c>
      <c r="N7293">
        <v>-1.235489E-2</v>
      </c>
      <c r="O7293">
        <v>-0.99970630000000005</v>
      </c>
      <c r="P7293">
        <v>4.1034809999999998E-2</v>
      </c>
      <c r="Q7293">
        <v>9.0471969999999999E-2</v>
      </c>
      <c r="R7293">
        <v>-0.99505339999999998</v>
      </c>
      <c r="S7293">
        <v>0.1980286</v>
      </c>
      <c r="T7293">
        <v>-7.2333930000000005E-2</v>
      </c>
      <c r="U7293">
        <v>-3.0129090000000001</v>
      </c>
      <c r="V7293">
        <v>-6.1767349999999999E-2</v>
      </c>
      <c r="W7293">
        <v>0.1027511</v>
      </c>
      <c r="X7293">
        <v>0.99278750000000004</v>
      </c>
      <c r="Y7293">
        <v>-8.6355779999999993E-2</v>
      </c>
      <c r="Z7293">
        <v>1.156101E-2</v>
      </c>
      <c r="AA7293">
        <v>0.99619729999999995</v>
      </c>
      <c r="AB7293">
        <v>17</v>
      </c>
      <c r="AC7293">
        <v>3.0754000000000001</v>
      </c>
      <c r="AD7293">
        <v>-1.1214054927815</v>
      </c>
      <c r="AE7293">
        <v>-46.455300000000001</v>
      </c>
      <c r="AF7293">
        <v>-4.0411422891957596</v>
      </c>
      <c r="AG7293">
        <v>-1.1214054927815</v>
      </c>
      <c r="AH7293">
        <v>46.354171751620697</v>
      </c>
      <c r="AI7293">
        <v>91.380601298537599</v>
      </c>
      <c r="AJ7293">
        <v>94.9824310813826</v>
      </c>
      <c r="AK7293">
        <v>46.543502447275202</v>
      </c>
      <c r="AL7293">
        <v>84.102386833306298</v>
      </c>
      <c r="AM7293">
        <v>93.560130168517901</v>
      </c>
      <c r="AN7293">
        <v>1.0000000071167401</v>
      </c>
    </row>
    <row r="7294" spans="1:40" x14ac:dyDescent="0.25">
      <c r="A7294" t="str">
        <f>"20190303162059120"</f>
        <v>20190303162059120</v>
      </c>
      <c r="B7294" t="str">
        <f>"1551601259109576"</f>
        <v>1551601259109576</v>
      </c>
      <c r="C7294" t="s">
        <v>40</v>
      </c>
      <c r="D7294">
        <v>4.4060730000000001</v>
      </c>
      <c r="E7294">
        <v>0.4911624</v>
      </c>
      <c r="F7294" t="s">
        <v>62</v>
      </c>
      <c r="G7294">
        <v>-418.4948</v>
      </c>
      <c r="H7294" s="1">
        <v>-3.023502E-6</v>
      </c>
      <c r="I7294">
        <v>35.469529999999999</v>
      </c>
      <c r="J7294">
        <v>-421.767</v>
      </c>
      <c r="K7294">
        <v>1.12141</v>
      </c>
      <c r="L7294">
        <v>86.360990000000001</v>
      </c>
      <c r="M7294">
        <v>-2.082678E-2</v>
      </c>
      <c r="N7294">
        <v>-1.2294619999999999E-2</v>
      </c>
      <c r="O7294">
        <v>-0.99970749999999997</v>
      </c>
      <c r="P7294">
        <v>4.0306549999999997E-2</v>
      </c>
      <c r="Q7294">
        <v>9.1070010000000007E-2</v>
      </c>
      <c r="R7294">
        <v>-0.99502829999999998</v>
      </c>
      <c r="S7294">
        <v>0.19290160000000001</v>
      </c>
      <c r="T7294">
        <v>-6.6177369999999999E-2</v>
      </c>
      <c r="U7294">
        <v>-3.0129700000000001</v>
      </c>
      <c r="V7294">
        <v>-6.1016910000000001E-2</v>
      </c>
      <c r="W7294">
        <v>0.10328660000000001</v>
      </c>
      <c r="X7294">
        <v>0.99277839999999995</v>
      </c>
      <c r="Y7294">
        <v>-8.4644120000000003E-2</v>
      </c>
      <c r="Z7294">
        <v>9.5884179999999996E-3</v>
      </c>
      <c r="AA7294">
        <v>0.9963651</v>
      </c>
      <c r="AB7294">
        <v>17</v>
      </c>
      <c r="AC7294">
        <v>3.27219999999999</v>
      </c>
      <c r="AD7294">
        <v>-1.1214130235019999</v>
      </c>
      <c r="AE7294">
        <v>-50.891459999999903</v>
      </c>
      <c r="AF7294">
        <v>-4.3293819950564201</v>
      </c>
      <c r="AG7294">
        <v>-1.1214130235019999</v>
      </c>
      <c r="AH7294">
        <v>50.7877065255243</v>
      </c>
      <c r="AI7294">
        <v>91.260338904258305</v>
      </c>
      <c r="AJ7294">
        <v>94.872381429910206</v>
      </c>
      <c r="AK7294">
        <v>50.984235306133499</v>
      </c>
      <c r="AL7294">
        <v>84.071541187938706</v>
      </c>
      <c r="AM7294">
        <v>93.517017895441299</v>
      </c>
      <c r="AN7294">
        <v>1.0000000682760299</v>
      </c>
    </row>
    <row r="7295" spans="1:40" x14ac:dyDescent="0.25">
      <c r="A7295" t="str">
        <f>"20190303162059142"</f>
        <v>20190303162059142</v>
      </c>
      <c r="B7295" t="str">
        <f>"1551601259130073"</f>
        <v>1551601259130073</v>
      </c>
      <c r="C7295" t="s">
        <v>40</v>
      </c>
      <c r="D7295">
        <v>4.4744529999999996</v>
      </c>
      <c r="E7295">
        <v>0.51093650000000002</v>
      </c>
      <c r="F7295" t="s">
        <v>62</v>
      </c>
      <c r="G7295">
        <v>-418.37520000000001</v>
      </c>
      <c r="H7295" s="1">
        <v>-4.5905469999999997E-6</v>
      </c>
      <c r="I7295">
        <v>32.529940000000003</v>
      </c>
      <c r="J7295">
        <v>-421.7706</v>
      </c>
      <c r="K7295">
        <v>1.1214139999999999</v>
      </c>
      <c r="L7295">
        <v>86.190029999999993</v>
      </c>
      <c r="M7295">
        <v>-2.0794920000000001E-2</v>
      </c>
      <c r="N7295">
        <v>-1.2235559999999999E-2</v>
      </c>
      <c r="O7295">
        <v>-0.99970890000000001</v>
      </c>
      <c r="P7295">
        <v>4.0646599999999998E-2</v>
      </c>
      <c r="Q7295">
        <v>9.1929930000000007E-2</v>
      </c>
      <c r="R7295">
        <v>-0.99493569999999998</v>
      </c>
      <c r="S7295">
        <v>0.18984989999999999</v>
      </c>
      <c r="T7295">
        <v>-6.2768459999999998E-2</v>
      </c>
      <c r="U7295">
        <v>-3.0130620000000001</v>
      </c>
      <c r="V7295">
        <v>-6.1326110000000003E-2</v>
      </c>
      <c r="W7295">
        <v>0.1040857</v>
      </c>
      <c r="X7295">
        <v>0.9926758</v>
      </c>
      <c r="Y7295">
        <v>-8.3606810000000004E-2</v>
      </c>
      <c r="Z7295">
        <v>8.5213259999999992E-3</v>
      </c>
      <c r="AA7295">
        <v>0.99646239999999997</v>
      </c>
      <c r="AB7295">
        <v>17</v>
      </c>
      <c r="AC7295">
        <v>3.3953999999999902</v>
      </c>
      <c r="AD7295">
        <v>-1.121418590547</v>
      </c>
      <c r="AE7295">
        <v>-53.660089999999997</v>
      </c>
      <c r="AF7295">
        <v>-4.5086451819331499</v>
      </c>
      <c r="AG7295">
        <v>-1.121418590547</v>
      </c>
      <c r="AH7295">
        <v>53.554575896945003</v>
      </c>
      <c r="AI7295">
        <v>91.195355706513595</v>
      </c>
      <c r="AJ7295">
        <v>94.812261398390007</v>
      </c>
      <c r="AK7295">
        <v>53.755725839518099</v>
      </c>
      <c r="AL7295">
        <v>84.025507513150899</v>
      </c>
      <c r="AM7295">
        <v>93.535159544284696</v>
      </c>
      <c r="AN7295">
        <v>0.99999998430893</v>
      </c>
    </row>
    <row r="7296" spans="1:40" x14ac:dyDescent="0.25">
      <c r="A7296" t="str">
        <f>"20190303162059164"</f>
        <v>20190303162059164</v>
      </c>
      <c r="B7296" t="str">
        <f>"1551601259160328"</f>
        <v>1551601259160328</v>
      </c>
      <c r="C7296" t="s">
        <v>40</v>
      </c>
      <c r="D7296">
        <v>4.359966</v>
      </c>
      <c r="E7296">
        <v>0.5276516</v>
      </c>
      <c r="F7296" t="s">
        <v>62</v>
      </c>
      <c r="G7296">
        <v>-421.24329999999998</v>
      </c>
      <c r="H7296" s="1">
        <v>-1.25872E-6</v>
      </c>
      <c r="I7296">
        <v>37.91516</v>
      </c>
      <c r="J7296">
        <v>-421.77390000000003</v>
      </c>
      <c r="K7296">
        <v>1.121416</v>
      </c>
      <c r="L7296">
        <v>86.028109999999998</v>
      </c>
      <c r="M7296">
        <v>-2.0758209999999999E-2</v>
      </c>
      <c r="N7296">
        <v>-1.2183370000000001E-2</v>
      </c>
      <c r="O7296">
        <v>-0.9997106</v>
      </c>
      <c r="P7296">
        <v>4.115916E-2</v>
      </c>
      <c r="Q7296">
        <v>9.2656589999999997E-2</v>
      </c>
      <c r="R7296">
        <v>-0.99484729999999999</v>
      </c>
      <c r="S7296">
        <v>3.2989499999999998E-2</v>
      </c>
      <c r="T7296">
        <v>-7.0163610000000001E-2</v>
      </c>
      <c r="U7296">
        <v>-3.020416</v>
      </c>
      <c r="V7296">
        <v>-6.1801700000000001E-2</v>
      </c>
      <c r="W7296">
        <v>0.1047577</v>
      </c>
      <c r="X7296">
        <v>0.9925756</v>
      </c>
      <c r="Y7296">
        <v>-3.1670169999999997E-2</v>
      </c>
      <c r="Z7296">
        <v>1.1026299999999999E-2</v>
      </c>
      <c r="AA7296">
        <v>0.99943760000000004</v>
      </c>
      <c r="AB7296">
        <v>17</v>
      </c>
      <c r="AC7296">
        <v>0.53060000000004903</v>
      </c>
      <c r="AD7296">
        <v>-1.12141725872</v>
      </c>
      <c r="AE7296">
        <v>-48.112949999999998</v>
      </c>
      <c r="AF7296">
        <v>-1.52846793359884</v>
      </c>
      <c r="AG7296">
        <v>-1.12141725872</v>
      </c>
      <c r="AH7296">
        <v>48.065457184510599</v>
      </c>
      <c r="AI7296">
        <v>91.335852829252403</v>
      </c>
      <c r="AJ7296">
        <v>91.8213757980579</v>
      </c>
      <c r="AK7296">
        <v>48.102826998506202</v>
      </c>
      <c r="AL7296">
        <v>83.986793036964599</v>
      </c>
      <c r="AM7296">
        <v>93.562863425756404</v>
      </c>
      <c r="AN7296">
        <v>0.99999997377376904</v>
      </c>
    </row>
    <row r="7297" spans="1:40" x14ac:dyDescent="0.25">
      <c r="A7297" t="str">
        <f>"20190303162059186"</f>
        <v>20190303162059186</v>
      </c>
      <c r="B7297" t="str">
        <f>"1551601259179848"</f>
        <v>1551601259179848</v>
      </c>
      <c r="C7297" t="s">
        <v>40</v>
      </c>
      <c r="D7297">
        <v>4.3489009999999997</v>
      </c>
      <c r="E7297">
        <v>0.53192930000000005</v>
      </c>
      <c r="F7297" t="s">
        <v>72</v>
      </c>
      <c r="G7297">
        <v>-424.58010000000002</v>
      </c>
      <c r="H7297">
        <v>0.25034279999999998</v>
      </c>
      <c r="I7297">
        <v>0.4308052</v>
      </c>
      <c r="J7297">
        <v>-421.7774</v>
      </c>
      <c r="K7297">
        <v>1.1214170000000001</v>
      </c>
      <c r="L7297">
        <v>85.858639999999994</v>
      </c>
      <c r="M7297">
        <v>-2.0714730000000001E-2</v>
      </c>
      <c r="N7297">
        <v>-1.21324E-2</v>
      </c>
      <c r="O7297">
        <v>-0.99971200000000005</v>
      </c>
      <c r="P7297">
        <v>4.1293049999999998E-2</v>
      </c>
      <c r="Q7297">
        <v>9.3055879999999994E-2</v>
      </c>
      <c r="R7297">
        <v>-0.99480440000000003</v>
      </c>
      <c r="S7297">
        <v>-9.9090579999999998E-2</v>
      </c>
      <c r="T7297">
        <v>-3.0758979999999998E-2</v>
      </c>
      <c r="U7297">
        <v>-3.022491</v>
      </c>
      <c r="V7297">
        <v>-6.1892170000000003E-2</v>
      </c>
      <c r="W7297">
        <v>0.1051058</v>
      </c>
      <c r="X7297">
        <v>0.9925332</v>
      </c>
      <c r="Y7297">
        <v>1.205295E-2</v>
      </c>
      <c r="Z7297">
        <v>-1.9586120000000002E-3</v>
      </c>
      <c r="AA7297">
        <v>0.99992539999999996</v>
      </c>
      <c r="AB7297">
        <v>17</v>
      </c>
      <c r="AC7297">
        <v>-2.80270000000001</v>
      </c>
      <c r="AD7297">
        <v>-0.87107420000000002</v>
      </c>
      <c r="AE7297">
        <v>-85.427834799999999</v>
      </c>
      <c r="AF7297">
        <v>1.0322468682202199</v>
      </c>
      <c r="AG7297">
        <v>-0.87107420000000002</v>
      </c>
      <c r="AH7297">
        <v>85.458687376814098</v>
      </c>
      <c r="AI7297">
        <v>90.5839489047966</v>
      </c>
      <c r="AJ7297">
        <v>89.307963710941294</v>
      </c>
      <c r="AK7297">
        <v>85.469360311323797</v>
      </c>
      <c r="AL7297">
        <v>83.966737886737704</v>
      </c>
      <c r="AM7297">
        <v>93.568217580690302</v>
      </c>
      <c r="AN7297">
        <v>1.0000000115015899</v>
      </c>
    </row>
    <row r="7298" spans="1:40" x14ac:dyDescent="0.25">
      <c r="A7298" t="str">
        <f>"20190303162059208"</f>
        <v>20190303162059208</v>
      </c>
      <c r="B7298" t="str">
        <f>"1551601259200344"</f>
        <v>1551601259200344</v>
      </c>
      <c r="C7298" t="s">
        <v>40</v>
      </c>
      <c r="D7298">
        <v>4.3291740000000001</v>
      </c>
      <c r="E7298">
        <v>0.53408769999999905</v>
      </c>
      <c r="F7298" t="s">
        <v>72</v>
      </c>
      <c r="G7298">
        <v>-425.5197</v>
      </c>
      <c r="H7298">
        <v>0.3377059</v>
      </c>
      <c r="I7298">
        <v>0.4212513</v>
      </c>
      <c r="J7298">
        <v>-421.78070000000002</v>
      </c>
      <c r="K7298">
        <v>1.12141</v>
      </c>
      <c r="L7298">
        <v>85.696200000000005</v>
      </c>
      <c r="M7298">
        <v>-2.0671740000000001E-2</v>
      </c>
      <c r="N7298">
        <v>-1.208271E-2</v>
      </c>
      <c r="O7298">
        <v>-0.99971339999999997</v>
      </c>
      <c r="P7298">
        <v>4.1694790000000002E-2</v>
      </c>
      <c r="Q7298">
        <v>9.2557379999999995E-2</v>
      </c>
      <c r="R7298">
        <v>-0.9948342</v>
      </c>
      <c r="S7298">
        <v>-0.13244629999999999</v>
      </c>
      <c r="T7298">
        <v>-2.773786E-2</v>
      </c>
      <c r="U7298">
        <v>-3.0237729999999998</v>
      </c>
      <c r="V7298">
        <v>-6.2252160000000001E-2</v>
      </c>
      <c r="W7298">
        <v>0.1045581</v>
      </c>
      <c r="X7298">
        <v>0.99256860000000002</v>
      </c>
      <c r="Y7298">
        <v>2.3093760000000001E-2</v>
      </c>
      <c r="Z7298">
        <v>-2.9130879999999999E-3</v>
      </c>
      <c r="AA7298">
        <v>0.99972899999999998</v>
      </c>
      <c r="AB7298">
        <v>17</v>
      </c>
      <c r="AC7298">
        <v>-3.7389999999999701</v>
      </c>
      <c r="AD7298">
        <v>-0.78370410000000001</v>
      </c>
      <c r="AE7298">
        <v>-85.274948699999996</v>
      </c>
      <c r="AF7298">
        <v>1.97512433274703</v>
      </c>
      <c r="AG7298">
        <v>-0.78370410000000001</v>
      </c>
      <c r="AH7298">
        <v>85.326828440629896</v>
      </c>
      <c r="AI7298">
        <v>90.526090697099605</v>
      </c>
      <c r="AJ7298">
        <v>88.673968262410696</v>
      </c>
      <c r="AK7298">
        <v>85.353283240791995</v>
      </c>
      <c r="AL7298">
        <v>83.998293046297107</v>
      </c>
      <c r="AM7298">
        <v>93.588790030792495</v>
      </c>
      <c r="AN7298">
        <v>1.0000000767031101</v>
      </c>
    </row>
    <row r="7299" spans="1:40" x14ac:dyDescent="0.25">
      <c r="A7299" t="str">
        <f>"20190303162059231"</f>
        <v>20190303162059231</v>
      </c>
      <c r="B7299" t="str">
        <f>"1551601259219864"</f>
        <v>1551601259219864</v>
      </c>
      <c r="C7299" t="s">
        <v>40</v>
      </c>
      <c r="D7299">
        <v>4.3467589999999996</v>
      </c>
      <c r="E7299">
        <v>0.53527990000000003</v>
      </c>
      <c r="F7299" t="s">
        <v>72</v>
      </c>
      <c r="G7299">
        <v>-425.93709999999999</v>
      </c>
      <c r="H7299">
        <v>0.294265</v>
      </c>
      <c r="I7299">
        <v>0.72583769999999903</v>
      </c>
      <c r="J7299">
        <v>-421.7842</v>
      </c>
      <c r="K7299">
        <v>1.1214040000000001</v>
      </c>
      <c r="L7299">
        <v>85.521699999999996</v>
      </c>
      <c r="M7299">
        <v>-2.06281E-2</v>
      </c>
      <c r="N7299">
        <v>-1.202713E-2</v>
      </c>
      <c r="O7299">
        <v>-0.99971489999999996</v>
      </c>
      <c r="P7299">
        <v>4.1776260000000003E-2</v>
      </c>
      <c r="Q7299">
        <v>9.2487949999999999E-2</v>
      </c>
      <c r="R7299">
        <v>-0.99483699999999997</v>
      </c>
      <c r="S7299">
        <v>-0.1479492</v>
      </c>
      <c r="T7299">
        <v>-2.9443029999999999E-2</v>
      </c>
      <c r="U7299">
        <v>-3.0245060000000001</v>
      </c>
      <c r="V7299">
        <v>-6.2290360000000003E-2</v>
      </c>
      <c r="W7299">
        <v>0.10443379999999999</v>
      </c>
      <c r="X7299">
        <v>0.99257919999999999</v>
      </c>
      <c r="Y7299">
        <v>2.8239230000000001E-2</v>
      </c>
      <c r="Z7299">
        <v>-2.297702E-3</v>
      </c>
      <c r="AA7299">
        <v>0.9995986</v>
      </c>
      <c r="AB7299">
        <v>17</v>
      </c>
      <c r="AC7299">
        <v>-4.1528999999999803</v>
      </c>
      <c r="AD7299">
        <v>-0.82713899999999996</v>
      </c>
      <c r="AE7299">
        <v>-84.795862299999996</v>
      </c>
      <c r="AF7299">
        <v>2.4024841549357201</v>
      </c>
      <c r="AG7299">
        <v>-0.82713899999999996</v>
      </c>
      <c r="AH7299">
        <v>84.855434642961399</v>
      </c>
      <c r="AI7299">
        <v>90.558256422376303</v>
      </c>
      <c r="AJ7299">
        <v>88.378236589391506</v>
      </c>
      <c r="AK7299">
        <v>84.893467813995699</v>
      </c>
      <c r="AL7299">
        <v>84.005453581490102</v>
      </c>
      <c r="AM7299">
        <v>93.590948222578504</v>
      </c>
      <c r="AN7299">
        <v>0.99999998790200395</v>
      </c>
    </row>
    <row r="7300" spans="1:40" x14ac:dyDescent="0.25">
      <c r="A7300" t="str">
        <f>"20190303162059254"</f>
        <v>20190303162059254</v>
      </c>
      <c r="B7300" t="str">
        <f>"1551601259240361"</f>
        <v>1551601259240361</v>
      </c>
      <c r="C7300" t="s">
        <v>40</v>
      </c>
      <c r="D7300">
        <v>4.3405399999999998</v>
      </c>
      <c r="E7300">
        <v>0.53602309999999997</v>
      </c>
      <c r="F7300" t="s">
        <v>72</v>
      </c>
      <c r="G7300">
        <v>-426.17099999999999</v>
      </c>
      <c r="H7300">
        <v>0.31380390000000002</v>
      </c>
      <c r="I7300">
        <v>1.011549</v>
      </c>
      <c r="J7300">
        <v>-421.7876</v>
      </c>
      <c r="K7300">
        <v>1.121394</v>
      </c>
      <c r="L7300">
        <v>85.355469999999997</v>
      </c>
      <c r="M7300">
        <v>-2.058923E-2</v>
      </c>
      <c r="N7300">
        <v>-1.196649E-2</v>
      </c>
      <c r="O7300">
        <v>-0.99971650000000001</v>
      </c>
      <c r="P7300">
        <v>4.243384E-2</v>
      </c>
      <c r="Q7300">
        <v>9.2848410000000006E-2</v>
      </c>
      <c r="R7300">
        <v>-0.99477579999999999</v>
      </c>
      <c r="S7300">
        <v>-0.15701289999999901</v>
      </c>
      <c r="T7300">
        <v>-2.8907059999999998E-2</v>
      </c>
      <c r="U7300">
        <v>-3.0248409999999999</v>
      </c>
      <c r="V7300">
        <v>-6.2907900000000003E-2</v>
      </c>
      <c r="W7300">
        <v>0.10473300000000001</v>
      </c>
      <c r="X7300">
        <v>0.99250870000000002</v>
      </c>
      <c r="Y7300">
        <v>3.125986E-2</v>
      </c>
      <c r="Z7300">
        <v>-2.4159120000000001E-3</v>
      </c>
      <c r="AA7300">
        <v>0.99950839999999996</v>
      </c>
      <c r="AB7300">
        <v>17</v>
      </c>
      <c r="AC7300">
        <v>-4.3833999999999902</v>
      </c>
      <c r="AD7300">
        <v>-0.80759009999999998</v>
      </c>
      <c r="AE7300">
        <v>-84.343920999999995</v>
      </c>
      <c r="AF7300">
        <v>2.6455282125498298</v>
      </c>
      <c r="AG7300">
        <v>-0.80759009999999998</v>
      </c>
      <c r="AH7300">
        <v>84.408578717024298</v>
      </c>
      <c r="AI7300">
        <v>90.547899104132</v>
      </c>
      <c r="AJ7300">
        <v>88.204827041470097</v>
      </c>
      <c r="AK7300">
        <v>84.453887905300803</v>
      </c>
      <c r="AL7300">
        <v>83.988216001968894</v>
      </c>
      <c r="AM7300">
        <v>93.626710870561894</v>
      </c>
      <c r="AN7300">
        <v>0.99999996237354905</v>
      </c>
    </row>
    <row r="7301" spans="1:40" x14ac:dyDescent="0.25">
      <c r="A7301" t="str">
        <f>"20190303162059276"</f>
        <v>20190303162059276</v>
      </c>
      <c r="B7301" t="str">
        <f>"1551601259269640"</f>
        <v>1551601259269640</v>
      </c>
      <c r="C7301" t="s">
        <v>40</v>
      </c>
      <c r="D7301">
        <v>4.323664</v>
      </c>
      <c r="E7301">
        <v>0.53692790000000001</v>
      </c>
      <c r="F7301" t="s">
        <v>72</v>
      </c>
      <c r="G7301">
        <v>-426.2654</v>
      </c>
      <c r="H7301">
        <v>0.34010859999999998</v>
      </c>
      <c r="I7301">
        <v>1.12686</v>
      </c>
      <c r="J7301">
        <v>-421.79109999999997</v>
      </c>
      <c r="K7301">
        <v>1.1213869999999999</v>
      </c>
      <c r="L7301">
        <v>85.181730000000002</v>
      </c>
      <c r="M7301">
        <v>-2.0551259999999998E-2</v>
      </c>
      <c r="N7301">
        <v>-1.189191E-2</v>
      </c>
      <c r="O7301">
        <v>-0.9997182</v>
      </c>
      <c r="P7301">
        <v>4.222791E-2</v>
      </c>
      <c r="Q7301">
        <v>9.3629279999999995E-2</v>
      </c>
      <c r="R7301">
        <v>-0.99471120000000002</v>
      </c>
      <c r="S7301">
        <v>-0.16082759999999999</v>
      </c>
      <c r="T7301">
        <v>-2.8062340000000002E-2</v>
      </c>
      <c r="U7301">
        <v>-3.0252379999999999</v>
      </c>
      <c r="V7301">
        <v>-6.2663259999999998E-2</v>
      </c>
      <c r="W7301">
        <v>0.10543909999999999</v>
      </c>
      <c r="X7301">
        <v>0.99244949999999998</v>
      </c>
      <c r="Y7301">
        <v>3.2547800000000002E-2</v>
      </c>
      <c r="Z7301">
        <v>-2.621824E-3</v>
      </c>
      <c r="AA7301">
        <v>0.99946670000000004</v>
      </c>
      <c r="AB7301">
        <v>17</v>
      </c>
      <c r="AC7301">
        <v>-4.4743000000000199</v>
      </c>
      <c r="AD7301">
        <v>-0.78127840000000004</v>
      </c>
      <c r="AE7301">
        <v>-84.054869999999994</v>
      </c>
      <c r="AF7301">
        <v>2.7455629374385802</v>
      </c>
      <c r="AG7301">
        <v>-0.78127840000000004</v>
      </c>
      <c r="AH7301">
        <v>84.121827020257896</v>
      </c>
      <c r="AI7301">
        <v>90.531833990629593</v>
      </c>
      <c r="AJ7301">
        <v>88.130647504094895</v>
      </c>
      <c r="AK7301">
        <v>84.170245888959698</v>
      </c>
      <c r="AL7301">
        <v>83.947534726195101</v>
      </c>
      <c r="AM7301">
        <v>93.612859449290994</v>
      </c>
      <c r="AN7301">
        <v>1.00000004900644</v>
      </c>
    </row>
    <row r="7302" spans="1:40" x14ac:dyDescent="0.25">
      <c r="A7302" t="str">
        <f>"20190303162059298"</f>
        <v>20190303162059298</v>
      </c>
      <c r="B7302" t="str">
        <f>"1551601259290136"</f>
        <v>1551601259290136</v>
      </c>
      <c r="C7302" t="s">
        <v>40</v>
      </c>
      <c r="D7302">
        <v>4.3232489999999997</v>
      </c>
      <c r="E7302">
        <v>0.53732969999999902</v>
      </c>
      <c r="F7302" t="s">
        <v>72</v>
      </c>
      <c r="G7302">
        <v>-426.47629999999998</v>
      </c>
      <c r="H7302">
        <v>0.42005490000000001</v>
      </c>
      <c r="I7302">
        <v>1.3845369999999999</v>
      </c>
      <c r="J7302">
        <v>-421.79450000000003</v>
      </c>
      <c r="K7302">
        <v>1.121372</v>
      </c>
      <c r="L7302">
        <v>85.016750000000002</v>
      </c>
      <c r="M7302">
        <v>-2.051656E-2</v>
      </c>
      <c r="N7302">
        <v>-1.180788E-2</v>
      </c>
      <c r="O7302">
        <v>-0.99971989999999999</v>
      </c>
      <c r="P7302">
        <v>4.1978040000000001E-2</v>
      </c>
      <c r="Q7302">
        <v>9.345987E-2</v>
      </c>
      <c r="R7302">
        <v>-0.9947376</v>
      </c>
      <c r="S7302">
        <v>-0.1691589</v>
      </c>
      <c r="T7302">
        <v>-2.532268E-2</v>
      </c>
      <c r="U7302">
        <v>-3.0255130000000001</v>
      </c>
      <c r="V7302">
        <v>-6.2379579999999997E-2</v>
      </c>
      <c r="W7302">
        <v>0.1051864</v>
      </c>
      <c r="X7302">
        <v>0.99249419999999999</v>
      </c>
      <c r="Y7302">
        <v>3.5321379999999999E-2</v>
      </c>
      <c r="Z7302">
        <v>-3.443644E-3</v>
      </c>
      <c r="AA7302">
        <v>0.99937010000000004</v>
      </c>
      <c r="AB7302">
        <v>17</v>
      </c>
      <c r="AC7302">
        <v>-4.6817999999999502</v>
      </c>
      <c r="AD7302">
        <v>-0.70131709999999903</v>
      </c>
      <c r="AE7302">
        <v>-83.632212999999993</v>
      </c>
      <c r="AF7302">
        <v>2.9646418375122399</v>
      </c>
      <c r="AG7302">
        <v>-0.70131709999999903</v>
      </c>
      <c r="AH7302">
        <v>83.704800420105798</v>
      </c>
      <c r="AI7302">
        <v>90.4797382235367</v>
      </c>
      <c r="AJ7302">
        <v>87.971556092159602</v>
      </c>
      <c r="AK7302">
        <v>83.760220631689094</v>
      </c>
      <c r="AL7302">
        <v>83.962094422975497</v>
      </c>
      <c r="AM7302">
        <v>93.596385308023898</v>
      </c>
      <c r="AN7302">
        <v>1.0000000638897799</v>
      </c>
    </row>
    <row r="7303" spans="1:40" x14ac:dyDescent="0.25">
      <c r="A7303" t="str">
        <f>"20190303162059321"</f>
        <v>20190303162059321</v>
      </c>
      <c r="B7303" t="str">
        <f>"1551601259309656"</f>
        <v>1551601259309656</v>
      </c>
      <c r="C7303" t="s">
        <v>40</v>
      </c>
      <c r="D7303">
        <v>4.3143710000000004</v>
      </c>
      <c r="E7303">
        <v>0.53762159999999903</v>
      </c>
      <c r="F7303" t="s">
        <v>72</v>
      </c>
      <c r="G7303">
        <v>-426.55340000000001</v>
      </c>
      <c r="H7303">
        <v>0.39186500000000002</v>
      </c>
      <c r="I7303">
        <v>1.4787859999999999</v>
      </c>
      <c r="J7303">
        <v>-421.79790000000003</v>
      </c>
      <c r="K7303">
        <v>1.1213550000000001</v>
      </c>
      <c r="L7303">
        <v>84.848050000000001</v>
      </c>
      <c r="M7303">
        <v>-2.0481869999999999E-2</v>
      </c>
      <c r="N7303">
        <v>-1.170743E-2</v>
      </c>
      <c r="O7303">
        <v>-0.99972179999999999</v>
      </c>
      <c r="P7303">
        <v>4.0840979999999999E-2</v>
      </c>
      <c r="Q7303">
        <v>9.2355880000000001E-2</v>
      </c>
      <c r="R7303">
        <v>-0.9948882</v>
      </c>
      <c r="S7303">
        <v>-0.172363299999999</v>
      </c>
      <c r="T7303">
        <v>-2.642274E-2</v>
      </c>
      <c r="U7303">
        <v>-3.0256349999999999</v>
      </c>
      <c r="V7303">
        <v>-6.1210779999999999E-2</v>
      </c>
      <c r="W7303">
        <v>0.1039852</v>
      </c>
      <c r="X7303">
        <v>0.99269350000000001</v>
      </c>
      <c r="Y7303">
        <v>3.6408780000000002E-2</v>
      </c>
      <c r="Z7303">
        <v>-2.9808489999999998E-3</v>
      </c>
      <c r="AA7303">
        <v>0.99933249999999996</v>
      </c>
      <c r="AB7303">
        <v>17</v>
      </c>
      <c r="AC7303">
        <v>-4.7554999999999801</v>
      </c>
      <c r="AD7303">
        <v>-0.72948999999999897</v>
      </c>
      <c r="AE7303">
        <v>-83.369264000000001</v>
      </c>
      <c r="AF7303">
        <v>3.0465945224222399</v>
      </c>
      <c r="AG7303">
        <v>-0.72948999999999897</v>
      </c>
      <c r="AH7303">
        <v>83.442812946778801</v>
      </c>
      <c r="AI7303">
        <v>90.500556045757193</v>
      </c>
      <c r="AJ7303">
        <v>87.908993015196998</v>
      </c>
      <c r="AK7303">
        <v>83.501598345871599</v>
      </c>
      <c r="AL7303">
        <v>84.031297448789502</v>
      </c>
      <c r="AM7303">
        <v>93.528465373368206</v>
      </c>
      <c r="AN7303">
        <v>1.0000000331747401</v>
      </c>
    </row>
    <row r="7304" spans="1:40" x14ac:dyDescent="0.25">
      <c r="A7304" t="str">
        <f>"20190303162059343"</f>
        <v>20190303162059343</v>
      </c>
      <c r="B7304" t="str">
        <f>"1551601259330152"</f>
        <v>1551601259330152</v>
      </c>
      <c r="C7304" t="s">
        <v>40</v>
      </c>
      <c r="D7304">
        <v>4.3310519999999997</v>
      </c>
      <c r="E7304">
        <v>0.53784359999999998</v>
      </c>
      <c r="F7304" t="s">
        <v>72</v>
      </c>
      <c r="G7304">
        <v>-426.71480000000003</v>
      </c>
      <c r="H7304">
        <v>0.30825590000000003</v>
      </c>
      <c r="I7304">
        <v>1.366104</v>
      </c>
      <c r="J7304">
        <v>-421.8014</v>
      </c>
      <c r="K7304">
        <v>1.12134</v>
      </c>
      <c r="L7304">
        <v>84.677729999999997</v>
      </c>
      <c r="M7304">
        <v>-2.044692E-2</v>
      </c>
      <c r="N7304">
        <v>-1.1599659999999999E-2</v>
      </c>
      <c r="O7304">
        <v>-0.99972369999999999</v>
      </c>
      <c r="P7304">
        <v>4.0215099999999997E-2</v>
      </c>
      <c r="Q7304">
        <v>9.246364E-2</v>
      </c>
      <c r="R7304">
        <v>-0.9949036</v>
      </c>
      <c r="S7304">
        <v>-0.17819209999999999</v>
      </c>
      <c r="T7304">
        <v>-2.9468299999999999E-2</v>
      </c>
      <c r="U7304">
        <v>-3.025452</v>
      </c>
      <c r="V7304">
        <v>-6.0550439999999997E-2</v>
      </c>
      <c r="W7304">
        <v>0.1039861</v>
      </c>
      <c r="X7304">
        <v>0.99273389999999995</v>
      </c>
      <c r="Y7304">
        <v>3.8365759999999999E-2</v>
      </c>
      <c r="Z7304">
        <v>-1.8681819999999999E-3</v>
      </c>
      <c r="AA7304">
        <v>0.99926199999999998</v>
      </c>
      <c r="AB7304">
        <v>17</v>
      </c>
      <c r="AC7304">
        <v>-4.9134000000000198</v>
      </c>
      <c r="AD7304">
        <v>-0.81308409999999998</v>
      </c>
      <c r="AE7304">
        <v>-83.311626000000004</v>
      </c>
      <c r="AF7304">
        <v>3.2084874439058901</v>
      </c>
      <c r="AG7304">
        <v>-0.81308409999999998</v>
      </c>
      <c r="AH7304">
        <v>83.386762207012794</v>
      </c>
      <c r="AI7304">
        <v>90.558246487943805</v>
      </c>
      <c r="AJ7304">
        <v>87.796506978800295</v>
      </c>
      <c r="AK7304">
        <v>83.452427219346205</v>
      </c>
      <c r="AL7304">
        <v>84.031245585452098</v>
      </c>
      <c r="AM7304">
        <v>93.490353323364502</v>
      </c>
      <c r="AN7304">
        <v>1.0000000304933001</v>
      </c>
    </row>
    <row r="7305" spans="1:40" x14ac:dyDescent="0.25">
      <c r="A7305" t="str">
        <f>"20190303162059366"</f>
        <v>20190303162059366</v>
      </c>
      <c r="B7305" t="str">
        <f>"1551601259360404"</f>
        <v>1551601259360404</v>
      </c>
      <c r="C7305" t="s">
        <v>40</v>
      </c>
      <c r="D7305">
        <v>4.3338190000000001</v>
      </c>
      <c r="E7305">
        <v>0.5382323</v>
      </c>
      <c r="F7305" t="s">
        <v>72</v>
      </c>
      <c r="G7305">
        <v>-426.81490000000002</v>
      </c>
      <c r="H7305">
        <v>0.33345720000000001</v>
      </c>
      <c r="I7305">
        <v>1.2841450000000001</v>
      </c>
      <c r="J7305">
        <v>-421.8048</v>
      </c>
      <c r="K7305">
        <v>1.1213249999999999</v>
      </c>
      <c r="L7305">
        <v>84.507840000000002</v>
      </c>
      <c r="M7305">
        <v>-2.0412550000000002E-2</v>
      </c>
      <c r="N7305">
        <v>-1.1499479999999999E-2</v>
      </c>
      <c r="O7305">
        <v>-0.99972559999999999</v>
      </c>
      <c r="P7305">
        <v>3.9722019999999997E-2</v>
      </c>
      <c r="Q7305">
        <v>9.3363589999999996E-2</v>
      </c>
      <c r="R7305">
        <v>-0.99483960000000005</v>
      </c>
      <c r="S7305">
        <v>-0.18188480000000001</v>
      </c>
      <c r="T7305">
        <v>-2.8584120000000001E-2</v>
      </c>
      <c r="U7305">
        <v>-3.0253909999999999</v>
      </c>
      <c r="V7305">
        <v>-6.0021810000000002E-2</v>
      </c>
      <c r="W7305">
        <v>0.10478609999999999</v>
      </c>
      <c r="X7305">
        <v>0.99268190000000001</v>
      </c>
      <c r="Y7305">
        <v>3.9616579999999998E-2</v>
      </c>
      <c r="Z7305">
        <v>-2.0600589999999999E-3</v>
      </c>
      <c r="AA7305">
        <v>0.99921289999999996</v>
      </c>
      <c r="AB7305">
        <v>17</v>
      </c>
      <c r="AC7305">
        <v>-5.01010000000002</v>
      </c>
      <c r="AD7305">
        <v>-0.78786779999999901</v>
      </c>
      <c r="AE7305">
        <v>-83.223694999999907</v>
      </c>
      <c r="AF7305">
        <v>3.3098403942157502</v>
      </c>
      <c r="AG7305">
        <v>-0.78786779999999901</v>
      </c>
      <c r="AH7305">
        <v>83.301189445042198</v>
      </c>
      <c r="AI7305">
        <v>90.541463644956295</v>
      </c>
      <c r="AJ7305">
        <v>87.724640145806205</v>
      </c>
      <c r="AK7305">
        <v>83.370641967447199</v>
      </c>
      <c r="AL7305">
        <v>83.985157288777003</v>
      </c>
      <c r="AM7305">
        <v>93.460136273101895</v>
      </c>
      <c r="AN7305">
        <v>1.00000004950824</v>
      </c>
    </row>
    <row r="7306" spans="1:40" x14ac:dyDescent="0.25">
      <c r="A7306" t="str">
        <f>"20190303162059386"</f>
        <v>20190303162059386</v>
      </c>
      <c r="B7306" t="str">
        <f>"1551601259379925"</f>
        <v>1551601259379925</v>
      </c>
      <c r="C7306" t="s">
        <v>40</v>
      </c>
      <c r="D7306">
        <v>4.3386060000000004</v>
      </c>
      <c r="E7306">
        <v>0.54540319999999998</v>
      </c>
      <c r="F7306" t="s">
        <v>72</v>
      </c>
      <c r="G7306">
        <v>-426.93950000000001</v>
      </c>
      <c r="H7306">
        <v>0.41110400000000002</v>
      </c>
      <c r="I7306">
        <v>1.1822360000000001</v>
      </c>
      <c r="J7306">
        <v>-421.80810000000002</v>
      </c>
      <c r="K7306">
        <v>1.1213139999999999</v>
      </c>
      <c r="L7306">
        <v>84.344239999999999</v>
      </c>
      <c r="M7306">
        <v>-2.037895E-2</v>
      </c>
      <c r="N7306">
        <v>-1.141461E-2</v>
      </c>
      <c r="O7306">
        <v>-0.99972749999999999</v>
      </c>
      <c r="P7306">
        <v>3.9555430000000003E-2</v>
      </c>
      <c r="Q7306">
        <v>9.4493750000000001E-2</v>
      </c>
      <c r="R7306">
        <v>-0.99473979999999995</v>
      </c>
      <c r="S7306">
        <v>-0.18643190000000001</v>
      </c>
      <c r="T7306">
        <v>-2.578795E-2</v>
      </c>
      <c r="U7306">
        <v>-3.0254210000000001</v>
      </c>
      <c r="V7306">
        <v>-5.9820150000000002E-2</v>
      </c>
      <c r="W7306">
        <v>0.1058308</v>
      </c>
      <c r="X7306">
        <v>0.9925832</v>
      </c>
      <c r="Y7306">
        <v>4.1145729999999998E-2</v>
      </c>
      <c r="Z7306">
        <v>-2.8984739999999998E-3</v>
      </c>
      <c r="AA7306">
        <v>0.99914899999999995</v>
      </c>
      <c r="AB7306">
        <v>17</v>
      </c>
      <c r="AC7306">
        <v>-5.1313999999999798</v>
      </c>
      <c r="AD7306">
        <v>-0.71021000000000001</v>
      </c>
      <c r="AE7306">
        <v>-83.162003999999996</v>
      </c>
      <c r="AF7306">
        <v>3.4352204488022799</v>
      </c>
      <c r="AG7306">
        <v>-0.71021000000000001</v>
      </c>
      <c r="AH7306">
        <v>83.243262485131098</v>
      </c>
      <c r="AI7306">
        <v>90.488405244979106</v>
      </c>
      <c r="AJ7306">
        <v>87.636901626885802</v>
      </c>
      <c r="AK7306">
        <v>83.317140415069403</v>
      </c>
      <c r="AL7306">
        <v>83.924965450579407</v>
      </c>
      <c r="AM7306">
        <v>93.448881170250502</v>
      </c>
      <c r="AN7306">
        <v>1.00000000874845</v>
      </c>
    </row>
    <row r="7307" spans="1:40" x14ac:dyDescent="0.25">
      <c r="A7307" t="str">
        <f>"20190303162059410"</f>
        <v>20190303162059410</v>
      </c>
      <c r="B7307" t="str">
        <f>"1551601259400421"</f>
        <v>1551601259400421</v>
      </c>
      <c r="C7307" t="s">
        <v>40</v>
      </c>
      <c r="D7307">
        <v>4.3682939999999997</v>
      </c>
      <c r="E7307">
        <v>0.54536629999999997</v>
      </c>
      <c r="F7307" t="s">
        <v>62</v>
      </c>
      <c r="G7307">
        <v>-426.13990000000001</v>
      </c>
      <c r="H7307" s="1">
        <v>-5.5810600000000004E-6</v>
      </c>
      <c r="I7307">
        <v>30.601520000000001</v>
      </c>
      <c r="J7307">
        <v>-421.81150000000002</v>
      </c>
      <c r="K7307">
        <v>1.1213040000000001</v>
      </c>
      <c r="L7307">
        <v>84.174469999999999</v>
      </c>
      <c r="M7307">
        <v>-2.03442E-2</v>
      </c>
      <c r="N7307">
        <v>-1.1333920000000001E-2</v>
      </c>
      <c r="O7307">
        <v>-0.99972890000000003</v>
      </c>
      <c r="P7307">
        <v>4.0426219999999999E-2</v>
      </c>
      <c r="Q7307">
        <v>9.4446849999999999E-2</v>
      </c>
      <c r="R7307">
        <v>-0.99470879999999995</v>
      </c>
      <c r="S7307">
        <v>-0.24435419999999999</v>
      </c>
      <c r="T7307">
        <v>-6.3252810000000007E-2</v>
      </c>
      <c r="U7307">
        <v>-3.0315859999999999</v>
      </c>
      <c r="V7307">
        <v>-6.0655849999999997E-2</v>
      </c>
      <c r="W7307">
        <v>0.1057032</v>
      </c>
      <c r="X7307">
        <v>0.99254609999999999</v>
      </c>
      <c r="Y7307">
        <v>6.0031340000000002E-2</v>
      </c>
      <c r="Z7307">
        <v>9.4775290000000002E-3</v>
      </c>
      <c r="AA7307">
        <v>0.99815149999999997</v>
      </c>
      <c r="AB7307">
        <v>17</v>
      </c>
      <c r="AC7307">
        <v>-4.3283999999999798</v>
      </c>
      <c r="AD7307">
        <v>-1.12130958106</v>
      </c>
      <c r="AE7307">
        <v>-53.572949999999999</v>
      </c>
      <c r="AF7307">
        <v>3.2361268495204798</v>
      </c>
      <c r="AG7307">
        <v>-1.12130958106</v>
      </c>
      <c r="AH7307">
        <v>53.626583629007897</v>
      </c>
      <c r="AI7307">
        <v>91.195681911974802</v>
      </c>
      <c r="AJ7307">
        <v>86.546641267335005</v>
      </c>
      <c r="AK7307">
        <v>53.735838356554297</v>
      </c>
      <c r="AL7307">
        <v>83.932317757967397</v>
      </c>
      <c r="AM7307">
        <v>93.497074404675402</v>
      </c>
      <c r="AN7307">
        <v>1.0000000296273299</v>
      </c>
    </row>
    <row r="7308" spans="1:40" x14ac:dyDescent="0.25">
      <c r="A7308" t="str">
        <f>"20190303162059432"</f>
        <v>20190303162059432</v>
      </c>
      <c r="B7308" t="str">
        <f>"1551601259419940"</f>
        <v>1551601259419940</v>
      </c>
      <c r="C7308" t="s">
        <v>40</v>
      </c>
      <c r="D7308">
        <v>4.3737709999999996</v>
      </c>
      <c r="E7308">
        <v>0.54532049999999999</v>
      </c>
      <c r="F7308" t="s">
        <v>62</v>
      </c>
      <c r="G7308">
        <v>-425.94819999999999</v>
      </c>
      <c r="H7308" s="1">
        <v>-4.8168329999999996E-6</v>
      </c>
      <c r="I7308">
        <v>32.29401</v>
      </c>
      <c r="J7308">
        <v>-421.815</v>
      </c>
      <c r="K7308">
        <v>1.1213040000000001</v>
      </c>
      <c r="L7308">
        <v>83.999539999999996</v>
      </c>
      <c r="M7308">
        <v>-2.0308119999999999E-2</v>
      </c>
      <c r="N7308">
        <v>-1.125629E-2</v>
      </c>
      <c r="O7308">
        <v>-0.99973060000000002</v>
      </c>
      <c r="P7308">
        <v>4.1268249999999999E-2</v>
      </c>
      <c r="Q7308">
        <v>9.4027970000000002E-2</v>
      </c>
      <c r="R7308">
        <v>-0.99471399999999999</v>
      </c>
      <c r="S7308">
        <v>-0.24176030000000001</v>
      </c>
      <c r="T7308">
        <v>-6.5531850000000003E-2</v>
      </c>
      <c r="U7308">
        <v>-3.0320130000000001</v>
      </c>
      <c r="V7308">
        <v>-6.1461769999999999E-2</v>
      </c>
      <c r="W7308">
        <v>0.1052072</v>
      </c>
      <c r="X7308">
        <v>0.99254920000000002</v>
      </c>
      <c r="Y7308">
        <v>5.9206950000000001E-2</v>
      </c>
      <c r="Z7308">
        <v>1.0302510000000001E-2</v>
      </c>
      <c r="AA7308">
        <v>0.99819250000000004</v>
      </c>
      <c r="AB7308">
        <v>17</v>
      </c>
      <c r="AC7308">
        <v>-4.13319999999998</v>
      </c>
      <c r="AD7308">
        <v>-1.1213088168330001</v>
      </c>
      <c r="AE7308">
        <v>-51.705530000000003</v>
      </c>
      <c r="AF7308">
        <v>3.0807993641110398</v>
      </c>
      <c r="AG7308">
        <v>-1.1213088168330001</v>
      </c>
      <c r="AH7308">
        <v>51.754622448532402</v>
      </c>
      <c r="AI7308">
        <v>91.238976103305504</v>
      </c>
      <c r="AJ7308">
        <v>86.593371934464898</v>
      </c>
      <c r="AK7308">
        <v>51.858360974627303</v>
      </c>
      <c r="AL7308">
        <v>83.960895690285597</v>
      </c>
      <c r="AM7308">
        <v>93.543410557043998</v>
      </c>
      <c r="AN7308">
        <v>1.0000000092620001</v>
      </c>
    </row>
    <row r="7309" spans="1:40" x14ac:dyDescent="0.25">
      <c r="A7309" t="str">
        <f>"20190303162059454"</f>
        <v>20190303162059454</v>
      </c>
      <c r="B7309" t="str">
        <f>"1551601259450197"</f>
        <v>1551601259450197</v>
      </c>
      <c r="C7309" t="s">
        <v>40</v>
      </c>
      <c r="D7309">
        <v>4.3850660000000001</v>
      </c>
      <c r="E7309">
        <v>0.54521779999999997</v>
      </c>
      <c r="F7309" t="s">
        <v>62</v>
      </c>
      <c r="G7309">
        <v>-425.74900000000002</v>
      </c>
      <c r="H7309" s="1">
        <v>-4.178635E-6</v>
      </c>
      <c r="I7309">
        <v>34.052509999999998</v>
      </c>
      <c r="J7309">
        <v>-421.8184</v>
      </c>
      <c r="K7309">
        <v>1.1213010000000001</v>
      </c>
      <c r="L7309">
        <v>83.831389999999999</v>
      </c>
      <c r="M7309">
        <v>-2.027321E-2</v>
      </c>
      <c r="N7309">
        <v>-1.1188439999999999E-2</v>
      </c>
      <c r="O7309">
        <v>-0.99973199999999995</v>
      </c>
      <c r="P7309">
        <v>4.1855349999999999E-2</v>
      </c>
      <c r="Q7309">
        <v>9.4515420000000003E-2</v>
      </c>
      <c r="R7309">
        <v>-0.99464319999999895</v>
      </c>
      <c r="S7309">
        <v>-0.2388306</v>
      </c>
      <c r="T7309">
        <v>-6.8074700000000002E-2</v>
      </c>
      <c r="U7309">
        <v>-3.0322879999999999</v>
      </c>
      <c r="V7309">
        <v>-6.2012730000000002E-2</v>
      </c>
      <c r="W7309">
        <v>0.10562589999999999</v>
      </c>
      <c r="X7309">
        <v>0.99247039999999997</v>
      </c>
      <c r="Y7309">
        <v>5.8275460000000001E-2</v>
      </c>
      <c r="Z7309">
        <v>1.120555E-2</v>
      </c>
      <c r="AA7309">
        <v>0.99823770000000001</v>
      </c>
      <c r="AB7309">
        <v>17</v>
      </c>
      <c r="AC7309">
        <v>-3.9306000000000201</v>
      </c>
      <c r="AD7309">
        <v>-1.1213051786349999</v>
      </c>
      <c r="AE7309">
        <v>-49.778880000000001</v>
      </c>
      <c r="AF7309">
        <v>2.9190793553015801</v>
      </c>
      <c r="AG7309">
        <v>-1.1213051786349999</v>
      </c>
      <c r="AH7309">
        <v>49.823214833233699</v>
      </c>
      <c r="AI7309">
        <v>91.287056297993402</v>
      </c>
      <c r="AJ7309">
        <v>86.646945603587696</v>
      </c>
      <c r="AK7309">
        <v>49.921248841597901</v>
      </c>
      <c r="AL7309">
        <v>83.936771183762104</v>
      </c>
      <c r="AM7309">
        <v>93.575375751731002</v>
      </c>
      <c r="AN7309">
        <v>0.99999995215450999</v>
      </c>
    </row>
    <row r="7310" spans="1:40" x14ac:dyDescent="0.25">
      <c r="A7310" t="str">
        <f>"20190303162059477"</f>
        <v>20190303162059477</v>
      </c>
      <c r="B7310" t="str">
        <f>"1551601259470224"</f>
        <v>1551601259470224</v>
      </c>
      <c r="C7310" t="s">
        <v>40</v>
      </c>
      <c r="D7310">
        <v>4.4168149999999997</v>
      </c>
      <c r="E7310">
        <v>0.52833280000000005</v>
      </c>
      <c r="F7310" t="s">
        <v>62</v>
      </c>
      <c r="G7310">
        <v>-425.63420000000002</v>
      </c>
      <c r="H7310" s="1">
        <v>-3.8935150000000003E-6</v>
      </c>
      <c r="I7310">
        <v>34.731839999999998</v>
      </c>
      <c r="J7310">
        <v>-421.8218</v>
      </c>
      <c r="K7310">
        <v>1.1213040000000001</v>
      </c>
      <c r="L7310">
        <v>83.662169999999904</v>
      </c>
      <c r="M7310">
        <v>-2.02378E-2</v>
      </c>
      <c r="N7310">
        <v>-1.1128570000000001E-2</v>
      </c>
      <c r="O7310">
        <v>-0.99973339999999999</v>
      </c>
      <c r="P7310">
        <v>4.110225E-2</v>
      </c>
      <c r="Q7310">
        <v>9.4629000000000005E-2</v>
      </c>
      <c r="R7310">
        <v>-0.99466390000000005</v>
      </c>
      <c r="S7310">
        <v>-0.23568729999999999</v>
      </c>
      <c r="T7310">
        <v>-6.9257860000000004E-2</v>
      </c>
      <c r="U7310">
        <v>-3.032654</v>
      </c>
      <c r="V7310">
        <v>-6.1225349999999998E-2</v>
      </c>
      <c r="W7310">
        <v>0.1056805</v>
      </c>
      <c r="X7310">
        <v>0.99251350000000005</v>
      </c>
      <c r="Y7310">
        <v>5.7272749999999997E-2</v>
      </c>
      <c r="Z7310">
        <v>1.165301E-2</v>
      </c>
      <c r="AA7310">
        <v>0.99829049999999997</v>
      </c>
      <c r="AB7310">
        <v>17</v>
      </c>
      <c r="AC7310">
        <v>-3.8124000000000202</v>
      </c>
      <c r="AD7310">
        <v>-1.121307893515</v>
      </c>
      <c r="AE7310">
        <v>-48.930329999999898</v>
      </c>
      <c r="AF7310">
        <v>2.81984374884407</v>
      </c>
      <c r="AG7310">
        <v>-1.121307893515</v>
      </c>
      <c r="AH7310">
        <v>48.971903921567197</v>
      </c>
      <c r="AI7310">
        <v>91.309501868575396</v>
      </c>
      <c r="AJ7310">
        <v>86.704499359376598</v>
      </c>
      <c r="AK7310">
        <v>49.065835607509698</v>
      </c>
      <c r="AL7310">
        <v>83.933625393500094</v>
      </c>
      <c r="AM7310">
        <v>93.529941579357796</v>
      </c>
      <c r="AN7310">
        <v>0.99999997962256104</v>
      </c>
    </row>
    <row r="7311" spans="1:40" x14ac:dyDescent="0.25">
      <c r="A7311" t="str">
        <f>"20190303162059499"</f>
        <v>20190303162059499</v>
      </c>
      <c r="B7311" t="str">
        <f>"1551601259489744"</f>
        <v>1551601259489744</v>
      </c>
      <c r="C7311" t="s">
        <v>40</v>
      </c>
      <c r="D7311">
        <v>4.4151189999999998</v>
      </c>
      <c r="E7311">
        <v>0.52042100000000002</v>
      </c>
      <c r="F7311" t="s">
        <v>41</v>
      </c>
      <c r="G7311">
        <v>-422.71570000000003</v>
      </c>
      <c r="H7311" s="1">
        <v>-3.984282E-6</v>
      </c>
      <c r="I7311">
        <v>57.279200000000003</v>
      </c>
      <c r="J7311">
        <v>-421.82530000000003</v>
      </c>
      <c r="K7311">
        <v>1.121299</v>
      </c>
      <c r="L7311">
        <v>83.49118</v>
      </c>
      <c r="M7311">
        <v>-2.0202100000000001E-2</v>
      </c>
      <c r="N7311">
        <v>-1.107615E-2</v>
      </c>
      <c r="O7311">
        <v>-0.99973460000000003</v>
      </c>
      <c r="P7311">
        <v>4.0414930000000002E-2</v>
      </c>
      <c r="Q7311">
        <v>9.3839119999999998E-2</v>
      </c>
      <c r="R7311">
        <v>-0.9947667</v>
      </c>
      <c r="S7311">
        <v>-0.1027527</v>
      </c>
      <c r="T7311">
        <v>-0.1288888</v>
      </c>
      <c r="U7311">
        <v>-3.0325929999999999</v>
      </c>
      <c r="V7311">
        <v>-6.0504750000000003E-2</v>
      </c>
      <c r="W7311">
        <v>0.10484019999999999</v>
      </c>
      <c r="X7311">
        <v>0.99264680000000005</v>
      </c>
      <c r="Y7311">
        <v>1.364397E-2</v>
      </c>
      <c r="Z7311">
        <v>3.1370780000000001E-2</v>
      </c>
      <c r="AA7311">
        <v>0.99941469999999999</v>
      </c>
      <c r="AB7311">
        <v>17</v>
      </c>
      <c r="AC7311">
        <v>-0.89039999999999897</v>
      </c>
      <c r="AD7311">
        <v>-1.1213029842819999</v>
      </c>
      <c r="AE7311">
        <v>-26.211980000000001</v>
      </c>
      <c r="AF7311">
        <v>0.35999073948084598</v>
      </c>
      <c r="AG7311">
        <v>-1.1213029842819999</v>
      </c>
      <c r="AH7311">
        <v>26.176771219435601</v>
      </c>
      <c r="AI7311">
        <v>92.452579535196605</v>
      </c>
      <c r="AJ7311">
        <v>89.2121010757308</v>
      </c>
      <c r="AK7311">
        <v>26.203249134215099</v>
      </c>
      <c r="AL7311">
        <v>83.982040005103499</v>
      </c>
      <c r="AM7311">
        <v>93.488031360720399</v>
      </c>
      <c r="AN7311">
        <v>0.999999980929421</v>
      </c>
    </row>
    <row r="7312" spans="1:40" x14ac:dyDescent="0.25">
      <c r="A7312" t="str">
        <f>"20190303162059522"</f>
        <v>20190303162059522</v>
      </c>
      <c r="B7312" t="str">
        <f>"1551601259510241"</f>
        <v>1551601259510241</v>
      </c>
      <c r="C7312" t="s">
        <v>40</v>
      </c>
      <c r="D7312">
        <v>4.430193</v>
      </c>
      <c r="E7312">
        <v>0.5178623</v>
      </c>
      <c r="F7312" t="s">
        <v>41</v>
      </c>
      <c r="G7312">
        <v>-422.23599999999999</v>
      </c>
      <c r="H7312" s="1">
        <v>-2.4682450000000001E-6</v>
      </c>
      <c r="I7312">
        <v>53.955820000000003</v>
      </c>
      <c r="J7312">
        <v>-421.82889999999998</v>
      </c>
      <c r="K7312">
        <v>1.121292</v>
      </c>
      <c r="L7312">
        <v>83.308350000000004</v>
      </c>
      <c r="M7312">
        <v>-2.0163440000000001E-2</v>
      </c>
      <c r="N7312">
        <v>-1.1027210000000001E-2</v>
      </c>
      <c r="O7312">
        <v>-0.99973579999999995</v>
      </c>
      <c r="P7312">
        <v>3.9374149999999997E-2</v>
      </c>
      <c r="Q7312">
        <v>9.2745590000000003E-2</v>
      </c>
      <c r="R7312">
        <v>-0.99491110000000005</v>
      </c>
      <c r="S7312">
        <v>-4.2114260000000001E-2</v>
      </c>
      <c r="T7312">
        <v>-0.1149704</v>
      </c>
      <c r="U7312">
        <v>-3.0283509999999998</v>
      </c>
      <c r="V7312">
        <v>-5.9428870000000002E-2</v>
      </c>
      <c r="W7312">
        <v>0.1037001</v>
      </c>
      <c r="X7312">
        <v>0.99283149999999998</v>
      </c>
      <c r="Y7312">
        <v>-6.2635679999999997E-3</v>
      </c>
      <c r="Z7312">
        <v>2.690358E-2</v>
      </c>
      <c r="AA7312">
        <v>0.99961840000000002</v>
      </c>
      <c r="AB7312">
        <v>17</v>
      </c>
      <c r="AC7312">
        <v>-0.40710000000001401</v>
      </c>
      <c r="AD7312">
        <v>-1.1212944682449999</v>
      </c>
      <c r="AE7312">
        <v>-29.352530000000002</v>
      </c>
      <c r="AF7312">
        <v>-0.18459745534965799</v>
      </c>
      <c r="AG7312">
        <v>-1.1212944682449999</v>
      </c>
      <c r="AH7312">
        <v>29.312003712853102</v>
      </c>
      <c r="AI7312">
        <v>92.190667644628604</v>
      </c>
      <c r="AJ7312">
        <v>90.360825393632894</v>
      </c>
      <c r="AK7312">
        <v>29.334023576170999</v>
      </c>
      <c r="AL7312">
        <v>84.047720735942093</v>
      </c>
      <c r="AM7312">
        <v>93.425521296596102</v>
      </c>
      <c r="AN7312">
        <v>0.99999994436086603</v>
      </c>
    </row>
    <row r="7313" spans="1:40" x14ac:dyDescent="0.25">
      <c r="A7313" t="str">
        <f>"20190303162059544"</f>
        <v>20190303162059544</v>
      </c>
      <c r="B7313" t="str">
        <f>"1551601259540497"</f>
        <v>1551601259540497</v>
      </c>
      <c r="C7313" t="s">
        <v>40</v>
      </c>
      <c r="D7313">
        <v>4.4143089999999896</v>
      </c>
      <c r="E7313">
        <v>0.51689099999999999</v>
      </c>
      <c r="F7313" t="s">
        <v>41</v>
      </c>
      <c r="G7313">
        <v>-422.09710000000001</v>
      </c>
      <c r="H7313" s="1">
        <v>-1.044933E-6</v>
      </c>
      <c r="I7313">
        <v>50.724209999999999</v>
      </c>
      <c r="J7313">
        <v>-421.8322</v>
      </c>
      <c r="K7313">
        <v>1.121286</v>
      </c>
      <c r="L7313">
        <v>83.145020000000002</v>
      </c>
      <c r="M7313">
        <v>-2.0129190000000002E-2</v>
      </c>
      <c r="N7313">
        <v>-1.098887E-2</v>
      </c>
      <c r="O7313">
        <v>-0.99973730000000005</v>
      </c>
      <c r="P7313">
        <v>3.846546E-2</v>
      </c>
      <c r="Q7313">
        <v>9.2120190000000005E-2</v>
      </c>
      <c r="R7313">
        <v>-0.99500509999999998</v>
      </c>
      <c r="S7313">
        <v>-2.4902339999999999E-2</v>
      </c>
      <c r="T7313">
        <v>-0.1041325</v>
      </c>
      <c r="U7313">
        <v>-3.0260310000000001</v>
      </c>
      <c r="V7313">
        <v>-5.8488419999999999E-2</v>
      </c>
      <c r="W7313">
        <v>0.10303759999999999</v>
      </c>
      <c r="X7313">
        <v>0.99295639999999996</v>
      </c>
      <c r="Y7313">
        <v>-1.190158E-2</v>
      </c>
      <c r="Z7313">
        <v>2.33961E-2</v>
      </c>
      <c r="AA7313">
        <v>0.99965539999999997</v>
      </c>
      <c r="AB7313">
        <v>17</v>
      </c>
      <c r="AC7313">
        <v>-0.26490000000001102</v>
      </c>
      <c r="AD7313">
        <v>-1.1212870449329999</v>
      </c>
      <c r="AE7313">
        <v>-32.420809999999904</v>
      </c>
      <c r="AF7313">
        <v>-0.38733425147541101</v>
      </c>
      <c r="AG7313">
        <v>-1.1212870449329999</v>
      </c>
      <c r="AH7313">
        <v>32.380843104990099</v>
      </c>
      <c r="AI7313">
        <v>91.983109718191997</v>
      </c>
      <c r="AJ7313">
        <v>90.685329884987993</v>
      </c>
      <c r="AK7313">
        <v>32.402566451586601</v>
      </c>
      <c r="AL7313">
        <v>84.085884120050096</v>
      </c>
      <c r="AM7313">
        <v>93.371016048602996</v>
      </c>
      <c r="AN7313">
        <v>1.0000000272944001</v>
      </c>
    </row>
    <row r="7314" spans="1:40" x14ac:dyDescent="0.25">
      <c r="A7314" t="str">
        <f>"20190303162059567"</f>
        <v>20190303162059567</v>
      </c>
      <c r="B7314" t="str">
        <f>"1551601259560016"</f>
        <v>1551601259560016</v>
      </c>
      <c r="C7314" t="s">
        <v>40</v>
      </c>
      <c r="D7314">
        <v>4.4052619999999996</v>
      </c>
      <c r="E7314">
        <v>0.5163219</v>
      </c>
      <c r="F7314" t="s">
        <v>41</v>
      </c>
      <c r="G7314">
        <v>-422.05410000000001</v>
      </c>
      <c r="H7314" s="1">
        <v>-8.1209790000000003E-7</v>
      </c>
      <c r="I7314">
        <v>50.208109999999998</v>
      </c>
      <c r="J7314">
        <v>-421.8356</v>
      </c>
      <c r="K7314">
        <v>1.1212690000000001</v>
      </c>
      <c r="L7314">
        <v>82.971890000000002</v>
      </c>
      <c r="M7314">
        <v>-2.0092459999999999E-2</v>
      </c>
      <c r="N7314">
        <v>-1.0953539999999999E-2</v>
      </c>
      <c r="O7314">
        <v>-0.99973820000000002</v>
      </c>
      <c r="P7314">
        <v>3.8014699999999998E-2</v>
      </c>
      <c r="Q7314">
        <v>9.0962899999999999E-2</v>
      </c>
      <c r="R7314">
        <v>-0.99512860000000003</v>
      </c>
      <c r="S7314">
        <v>-2.0385739999999999E-2</v>
      </c>
      <c r="T7314">
        <v>-0.1029948</v>
      </c>
      <c r="U7314">
        <v>-3.0253909999999999</v>
      </c>
      <c r="V7314">
        <v>-5.800363E-2</v>
      </c>
      <c r="W7314">
        <v>0.10184650000000001</v>
      </c>
      <c r="X7314">
        <v>0.99310770000000004</v>
      </c>
      <c r="Y7314">
        <v>-1.3355000000000001E-2</v>
      </c>
      <c r="Z7314">
        <v>2.3063070000000001E-2</v>
      </c>
      <c r="AA7314">
        <v>0.9996448</v>
      </c>
      <c r="AB7314">
        <v>17</v>
      </c>
      <c r="AC7314">
        <v>-0.218500000000005</v>
      </c>
      <c r="AD7314">
        <v>-1.1212698120978899</v>
      </c>
      <c r="AE7314">
        <v>-32.763779999999997</v>
      </c>
      <c r="AF7314">
        <v>-0.43937392463122499</v>
      </c>
      <c r="AG7314">
        <v>-1.1212698120978899</v>
      </c>
      <c r="AH7314">
        <v>32.723231672578798</v>
      </c>
      <c r="AI7314">
        <v>91.962309824306004</v>
      </c>
      <c r="AJ7314">
        <v>90.769262617121498</v>
      </c>
      <c r="AK7314">
        <v>32.745384201966999</v>
      </c>
      <c r="AL7314">
        <v>84.154490003950002</v>
      </c>
      <c r="AM7314">
        <v>93.342630345891493</v>
      </c>
      <c r="AN7314">
        <v>1.00000001722735</v>
      </c>
    </row>
    <row r="7315" spans="1:40" x14ac:dyDescent="0.25">
      <c r="A7315" t="str">
        <f>"20190303162059589"</f>
        <v>20190303162059589</v>
      </c>
      <c r="B7315" t="str">
        <f>"1551601259580512"</f>
        <v>1551601259580512</v>
      </c>
      <c r="C7315" t="s">
        <v>40</v>
      </c>
      <c r="D7315">
        <v>4.3916649999999997</v>
      </c>
      <c r="E7315">
        <v>0.51635679999999995</v>
      </c>
      <c r="F7315" t="s">
        <v>41</v>
      </c>
      <c r="G7315">
        <v>-422.01749999999998</v>
      </c>
      <c r="H7315" s="1">
        <v>-6.9775039999999998E-7</v>
      </c>
      <c r="I7315">
        <v>49.964289999999998</v>
      </c>
      <c r="J7315">
        <v>-421.83890000000002</v>
      </c>
      <c r="K7315">
        <v>1.121262</v>
      </c>
      <c r="L7315">
        <v>82.807339999999996</v>
      </c>
      <c r="M7315">
        <v>-2.005786E-2</v>
      </c>
      <c r="N7315">
        <v>-1.0924410000000001E-2</v>
      </c>
      <c r="O7315">
        <v>-0.99973920000000005</v>
      </c>
      <c r="P7315">
        <v>3.8117860000000003E-2</v>
      </c>
      <c r="Q7315">
        <v>9.0447280000000005E-2</v>
      </c>
      <c r="R7315">
        <v>-0.99517180000000005</v>
      </c>
      <c r="S7315">
        <v>-1.6662599999999899E-2</v>
      </c>
      <c r="T7315">
        <v>-0.1027498</v>
      </c>
      <c r="U7315">
        <v>-3.0247190000000002</v>
      </c>
      <c r="V7315">
        <v>-5.8072690000000003E-2</v>
      </c>
      <c r="W7315">
        <v>0.1013024</v>
      </c>
      <c r="X7315">
        <v>0.99315929999999997</v>
      </c>
      <c r="Y7315">
        <v>-1.4549029999999999E-2</v>
      </c>
      <c r="Z7315">
        <v>2.301862E-2</v>
      </c>
      <c r="AA7315">
        <v>0.99962910000000005</v>
      </c>
      <c r="AB7315">
        <v>17</v>
      </c>
      <c r="AC7315">
        <v>-0.17859999999996001</v>
      </c>
      <c r="AD7315">
        <v>-1.1212626977504001</v>
      </c>
      <c r="AE7315">
        <v>-32.843049999999899</v>
      </c>
      <c r="AF7315">
        <v>-0.47967743663696499</v>
      </c>
      <c r="AG7315">
        <v>-1.1212626977504001</v>
      </c>
      <c r="AH7315">
        <v>32.801793698744099</v>
      </c>
      <c r="AI7315">
        <v>91.957568419026003</v>
      </c>
      <c r="AJ7315">
        <v>90.837805824344201</v>
      </c>
      <c r="AK7315">
        <v>32.824457197881401</v>
      </c>
      <c r="AL7315">
        <v>84.185826637770305</v>
      </c>
      <c r="AM7315">
        <v>93.346427613124902</v>
      </c>
      <c r="AN7315">
        <v>1.0000000043730399</v>
      </c>
    </row>
    <row r="7316" spans="1:40" x14ac:dyDescent="0.25">
      <c r="A7316" t="str">
        <f>"20190303162059610"</f>
        <v>20190303162059610</v>
      </c>
      <c r="B7316" t="str">
        <f>"1551601259600033"</f>
        <v>1551601259600033</v>
      </c>
      <c r="C7316" t="s">
        <v>40</v>
      </c>
      <c r="D7316">
        <v>4.3853609999999996</v>
      </c>
      <c r="E7316">
        <v>0.51640419999999998</v>
      </c>
      <c r="F7316" t="s">
        <v>41</v>
      </c>
      <c r="G7316">
        <v>-422.02499999999998</v>
      </c>
      <c r="H7316" s="1">
        <v>-4.5402839999999999E-6</v>
      </c>
      <c r="I7316">
        <v>49.273069999999997</v>
      </c>
      <c r="J7316">
        <v>-421.84230000000002</v>
      </c>
      <c r="K7316">
        <v>1.121262</v>
      </c>
      <c r="L7316">
        <v>82.63297</v>
      </c>
      <c r="M7316">
        <v>-2.0020530000000002E-2</v>
      </c>
      <c r="N7316">
        <v>-1.089766E-2</v>
      </c>
      <c r="O7316">
        <v>-0.99974039999999997</v>
      </c>
      <c r="P7316">
        <v>3.8265220000000003E-2</v>
      </c>
      <c r="Q7316">
        <v>9.0294990000000006E-2</v>
      </c>
      <c r="R7316">
        <v>-0.99517999999999995</v>
      </c>
      <c r="S7316">
        <v>-1.6784670000000002E-2</v>
      </c>
      <c r="T7316">
        <v>-0.1011246</v>
      </c>
      <c r="U7316">
        <v>-3.024384</v>
      </c>
      <c r="V7316">
        <v>-5.8183619999999998E-2</v>
      </c>
      <c r="W7316">
        <v>0.10112409999999999</v>
      </c>
      <c r="X7316">
        <v>0.99317100000000003</v>
      </c>
      <c r="Y7316">
        <v>-1.4470739999999999E-2</v>
      </c>
      <c r="Z7316">
        <v>2.2512770000000001E-2</v>
      </c>
      <c r="AA7316">
        <v>0.99964180000000002</v>
      </c>
      <c r="AB7316">
        <v>17</v>
      </c>
      <c r="AC7316">
        <v>-0.18269999999995401</v>
      </c>
      <c r="AD7316">
        <v>-1.1212665402840001</v>
      </c>
      <c r="AE7316">
        <v>-33.359900000000003</v>
      </c>
      <c r="AF7316">
        <v>-0.48471144570506802</v>
      </c>
      <c r="AG7316">
        <v>-1.1212665402840001</v>
      </c>
      <c r="AH7316">
        <v>33.3192307718354</v>
      </c>
      <c r="AI7316">
        <v>91.927199841994906</v>
      </c>
      <c r="AJ7316">
        <v>90.833451451458401</v>
      </c>
      <c r="AK7316">
        <v>33.341615483758098</v>
      </c>
      <c r="AL7316">
        <v>84.196095334202695</v>
      </c>
      <c r="AM7316">
        <v>93.352765956672897</v>
      </c>
      <c r="AN7316">
        <v>1.00000002623905</v>
      </c>
    </row>
    <row r="7317" spans="1:40" x14ac:dyDescent="0.25">
      <c r="A7317" t="str">
        <f>"20190303162059633"</f>
        <v>20190303162059633</v>
      </c>
      <c r="B7317" t="str">
        <f>"1551601259620529"</f>
        <v>1551601259620529</v>
      </c>
      <c r="C7317" t="s">
        <v>40</v>
      </c>
      <c r="D7317">
        <v>4.4169199999999904</v>
      </c>
      <c r="E7317">
        <v>0.5162928</v>
      </c>
      <c r="F7317" t="s">
        <v>41</v>
      </c>
      <c r="G7317">
        <v>-422.03429999999997</v>
      </c>
      <c r="H7317" s="1">
        <v>-4.3130500000000002E-6</v>
      </c>
      <c r="I7317">
        <v>48.600490000000001</v>
      </c>
      <c r="J7317">
        <v>-421.84570000000002</v>
      </c>
      <c r="K7317">
        <v>1.1212610000000001</v>
      </c>
      <c r="L7317">
        <v>82.462549999999993</v>
      </c>
      <c r="M7317">
        <v>-1.9984269999999998E-2</v>
      </c>
      <c r="N7317">
        <v>-1.087492E-2</v>
      </c>
      <c r="O7317">
        <v>-0.99974130000000005</v>
      </c>
      <c r="P7317">
        <v>3.8268160000000002E-2</v>
      </c>
      <c r="Q7317">
        <v>9.0895649999999995E-2</v>
      </c>
      <c r="R7317">
        <v>-0.99512509999999998</v>
      </c>
      <c r="S7317">
        <v>-1.7059330000000001E-2</v>
      </c>
      <c r="T7317">
        <v>-9.9639179999999994E-2</v>
      </c>
      <c r="U7317">
        <v>-3.0242309999999999</v>
      </c>
      <c r="V7317">
        <v>-5.8148930000000001E-2</v>
      </c>
      <c r="W7317">
        <v>0.101701399999999</v>
      </c>
      <c r="X7317">
        <v>0.9931141</v>
      </c>
      <c r="Y7317">
        <v>-1.4343420000000001E-2</v>
      </c>
      <c r="Z7317">
        <v>2.2046909999999999E-2</v>
      </c>
      <c r="AA7317">
        <v>0.99965409999999999</v>
      </c>
      <c r="AB7317">
        <v>17</v>
      </c>
      <c r="AC7317">
        <v>-0.188599999999951</v>
      </c>
      <c r="AD7317">
        <v>-1.1212653130500001</v>
      </c>
      <c r="AE7317">
        <v>-33.8620599999999</v>
      </c>
      <c r="AF7317">
        <v>-0.48765146484737498</v>
      </c>
      <c r="AG7317">
        <v>-1.1212653130500001</v>
      </c>
      <c r="AH7317">
        <v>33.821982954621802</v>
      </c>
      <c r="AI7317">
        <v>91.898575276403903</v>
      </c>
      <c r="AJ7317">
        <v>90.826043670176603</v>
      </c>
      <c r="AK7317">
        <v>33.844077337639803</v>
      </c>
      <c r="AL7317">
        <v>84.162847172884796</v>
      </c>
      <c r="AM7317">
        <v>93.350963083738407</v>
      </c>
      <c r="AN7317">
        <v>1.00000004422045</v>
      </c>
    </row>
    <row r="7318" spans="1:40" x14ac:dyDescent="0.25">
      <c r="A7318" t="str">
        <f>"20190303162059656"</f>
        <v>20190303162059656</v>
      </c>
      <c r="B7318" t="str">
        <f>"1551601259649809"</f>
        <v>1551601259649809</v>
      </c>
      <c r="C7318" t="s">
        <v>40</v>
      </c>
      <c r="D7318">
        <v>4.4305979999999998</v>
      </c>
      <c r="E7318">
        <v>0.51609609999999995</v>
      </c>
      <c r="F7318" t="s">
        <v>41</v>
      </c>
      <c r="G7318">
        <v>-422.04939999999999</v>
      </c>
      <c r="H7318" s="1">
        <v>-2.4169309999999999E-6</v>
      </c>
      <c r="I7318">
        <v>43.951920000000001</v>
      </c>
      <c r="J7318">
        <v>-421.8492</v>
      </c>
      <c r="K7318">
        <v>1.121262</v>
      </c>
      <c r="L7318">
        <v>82.287869999999998</v>
      </c>
      <c r="M7318">
        <v>-1.9947050000000001E-2</v>
      </c>
      <c r="N7318">
        <v>-1.085473E-2</v>
      </c>
      <c r="O7318">
        <v>-0.99974229999999997</v>
      </c>
      <c r="P7318">
        <v>3.8062100000000001E-2</v>
      </c>
      <c r="Q7318">
        <v>9.1791079999999997E-2</v>
      </c>
      <c r="R7318">
        <v>-0.99505089999999996</v>
      </c>
      <c r="S7318">
        <v>-1.5991209999999999E-2</v>
      </c>
      <c r="T7318">
        <v>-8.8026759999999996E-2</v>
      </c>
      <c r="U7318">
        <v>-3.0233460000000001</v>
      </c>
      <c r="V7318">
        <v>-5.7904549999999999E-2</v>
      </c>
      <c r="W7318">
        <v>0.1025765</v>
      </c>
      <c r="X7318">
        <v>0.99303839999999999</v>
      </c>
      <c r="Y7318">
        <v>-1.465753E-2</v>
      </c>
      <c r="Z7318">
        <v>1.824162E-2</v>
      </c>
      <c r="AA7318">
        <v>0.99972620000000001</v>
      </c>
      <c r="AB7318">
        <v>17</v>
      </c>
      <c r="AC7318">
        <v>-0.20019999999999499</v>
      </c>
      <c r="AD7318">
        <v>-1.121264416931</v>
      </c>
      <c r="AE7318">
        <v>-38.335949999999997</v>
      </c>
      <c r="AF7318">
        <v>-0.56409130947902797</v>
      </c>
      <c r="AG7318">
        <v>-1.121264416931</v>
      </c>
      <c r="AH7318">
        <v>38.299552196553698</v>
      </c>
      <c r="AI7318">
        <v>91.676740569588802</v>
      </c>
      <c r="AJ7318">
        <v>90.843814424058905</v>
      </c>
      <c r="AK7318">
        <v>38.320113926691903</v>
      </c>
      <c r="AL7318">
        <v>84.112444185308306</v>
      </c>
      <c r="AM7318">
        <v>93.337165826637005</v>
      </c>
      <c r="AN7318">
        <v>1.0000000695687501</v>
      </c>
    </row>
    <row r="7319" spans="1:40" x14ac:dyDescent="0.25">
      <c r="A7319" t="str">
        <f>"20190303162059677"</f>
        <v>20190303162059677</v>
      </c>
      <c r="B7319" t="str">
        <f>"1551601259669835"</f>
        <v>1551601259669835</v>
      </c>
      <c r="C7319" t="s">
        <v>40</v>
      </c>
      <c r="D7319">
        <v>4.4570480000000003</v>
      </c>
      <c r="E7319">
        <v>0.51598129999999998</v>
      </c>
      <c r="F7319" t="s">
        <v>62</v>
      </c>
      <c r="G7319">
        <v>-422.07470000000001</v>
      </c>
      <c r="H7319" s="1">
        <v>-1.687534E-6</v>
      </c>
      <c r="I7319">
        <v>37.42266</v>
      </c>
      <c r="J7319">
        <v>-421.85250000000002</v>
      </c>
      <c r="K7319">
        <v>1.1212569999999999</v>
      </c>
      <c r="L7319">
        <v>82.118259999999907</v>
      </c>
      <c r="M7319">
        <v>-1.9910919999999999E-2</v>
      </c>
      <c r="N7319">
        <v>-1.083784E-2</v>
      </c>
      <c r="O7319">
        <v>-0.99974300000000005</v>
      </c>
      <c r="P7319">
        <v>3.7865900000000001E-2</v>
      </c>
      <c r="Q7319">
        <v>9.2120859999999999E-2</v>
      </c>
      <c r="R7319">
        <v>-0.99502769999999996</v>
      </c>
      <c r="S7319">
        <v>-1.5197749999999999E-2</v>
      </c>
      <c r="T7319">
        <v>-7.5537560000000004E-2</v>
      </c>
      <c r="U7319">
        <v>-3.022491</v>
      </c>
      <c r="V7319">
        <v>-5.7672069999999999E-2</v>
      </c>
      <c r="W7319">
        <v>0.1028891</v>
      </c>
      <c r="X7319">
        <v>0.99301950000000005</v>
      </c>
      <c r="Y7319">
        <v>-1.4882289999999999E-2</v>
      </c>
      <c r="Z7319">
        <v>1.413967E-2</v>
      </c>
      <c r="AA7319">
        <v>0.99978929999999999</v>
      </c>
      <c r="AB7319">
        <v>17</v>
      </c>
      <c r="AC7319">
        <v>-0.22219999999998599</v>
      </c>
      <c r="AD7319">
        <v>-1.121258687534</v>
      </c>
      <c r="AE7319">
        <v>-44.695599999999899</v>
      </c>
      <c r="AF7319">
        <v>-0.66740684142083695</v>
      </c>
      <c r="AG7319">
        <v>-1.121258687534</v>
      </c>
      <c r="AH7319">
        <v>44.663055535994303</v>
      </c>
      <c r="AI7319">
        <v>91.437938612952706</v>
      </c>
      <c r="AJ7319">
        <v>90.856115840742802</v>
      </c>
      <c r="AK7319">
        <v>44.682112559140002</v>
      </c>
      <c r="AL7319">
        <v>84.094437731143302</v>
      </c>
      <c r="AM7319">
        <v>93.323860715154794</v>
      </c>
      <c r="AN7319">
        <v>0.99999998096857201</v>
      </c>
    </row>
    <row r="7320" spans="1:40" x14ac:dyDescent="0.25">
      <c r="A7320" t="str">
        <f>"20190303162059694"</f>
        <v>20190303162059694</v>
      </c>
      <c r="B7320" t="str">
        <f>"1551601259690331"</f>
        <v>1551601259690331</v>
      </c>
      <c r="C7320" t="s">
        <v>40</v>
      </c>
      <c r="D7320">
        <v>4.426641</v>
      </c>
      <c r="E7320">
        <v>0.51600389999999996</v>
      </c>
      <c r="F7320" t="s">
        <v>62</v>
      </c>
      <c r="G7320">
        <v>-422.08359999999999</v>
      </c>
      <c r="H7320" s="1">
        <v>-4.056988E-6</v>
      </c>
      <c r="I7320">
        <v>33.130560000000003</v>
      </c>
      <c r="J7320">
        <v>-421.85489999999999</v>
      </c>
      <c r="K7320">
        <v>1.1212569999999999</v>
      </c>
      <c r="L7320">
        <v>81.993709999999993</v>
      </c>
      <c r="M7320">
        <v>-1.9884510000000001E-2</v>
      </c>
      <c r="N7320">
        <v>-1.082693E-2</v>
      </c>
      <c r="O7320">
        <v>-0.99974370000000001</v>
      </c>
      <c r="P7320">
        <v>3.7891019999999997E-2</v>
      </c>
      <c r="Q7320">
        <v>9.2478260000000007E-2</v>
      </c>
      <c r="R7320">
        <v>-0.99499349999999998</v>
      </c>
      <c r="S7320">
        <v>-1.4251710000000001E-2</v>
      </c>
      <c r="T7320">
        <v>-6.9168090000000002E-2</v>
      </c>
      <c r="U7320">
        <v>-3.0219420000000001</v>
      </c>
      <c r="V7320">
        <v>-5.7669989999999997E-2</v>
      </c>
      <c r="W7320">
        <v>0.1032353</v>
      </c>
      <c r="X7320">
        <v>0.99298370000000002</v>
      </c>
      <c r="Y7320">
        <v>-1.516794E-2</v>
      </c>
      <c r="Z7320">
        <v>1.204947E-2</v>
      </c>
      <c r="AA7320">
        <v>0.99981240000000005</v>
      </c>
      <c r="AB7320">
        <v>17</v>
      </c>
      <c r="AC7320">
        <v>-0.22870000000000301</v>
      </c>
      <c r="AD7320">
        <v>-1.1212610569879999</v>
      </c>
      <c r="AE7320">
        <v>-48.863149999999997</v>
      </c>
      <c r="AF7320">
        <v>-0.74263089731580501</v>
      </c>
      <c r="AG7320">
        <v>-1.1212610569879999</v>
      </c>
      <c r="AH7320">
        <v>48.832322931003098</v>
      </c>
      <c r="AI7320">
        <v>91.315211152682707</v>
      </c>
      <c r="AJ7320">
        <v>90.871274062206496</v>
      </c>
      <c r="AK7320">
        <v>48.850839192846401</v>
      </c>
      <c r="AL7320">
        <v>84.074495802703893</v>
      </c>
      <c r="AM7320">
        <v>93.323860667641597</v>
      </c>
      <c r="AN7320">
        <v>0.99999999168918996</v>
      </c>
    </row>
    <row r="7321" spans="1:40" x14ac:dyDescent="0.25">
      <c r="A7321" t="str">
        <f>"20190303162059711"</f>
        <v>20190303162059711</v>
      </c>
      <c r="B7321" t="str">
        <f>"1551601259701067"</f>
        <v>1551601259701067</v>
      </c>
      <c r="C7321" t="s">
        <v>40</v>
      </c>
      <c r="D7321">
        <v>4.4395429999999996</v>
      </c>
      <c r="E7321">
        <v>0.51600369999999995</v>
      </c>
      <c r="F7321" t="s">
        <v>62</v>
      </c>
      <c r="G7321">
        <v>-422.11250000000001</v>
      </c>
      <c r="H7321" s="1">
        <v>-6.1103419999999996E-6</v>
      </c>
      <c r="I7321">
        <v>28.9754</v>
      </c>
      <c r="J7321">
        <v>-421.85759999999999</v>
      </c>
      <c r="K7321">
        <v>1.121264</v>
      </c>
      <c r="L7321">
        <v>81.857910000000004</v>
      </c>
      <c r="M7321">
        <v>-1.9855330000000001E-2</v>
      </c>
      <c r="N7321">
        <v>-1.081622E-2</v>
      </c>
      <c r="O7321">
        <v>-0.99974439999999998</v>
      </c>
      <c r="P7321">
        <v>3.8070720000000002E-2</v>
      </c>
      <c r="Q7321">
        <v>9.3118019999999996E-2</v>
      </c>
      <c r="R7321">
        <v>-0.99492709999999995</v>
      </c>
      <c r="S7321">
        <v>-1.467896E-2</v>
      </c>
      <c r="T7321">
        <v>-6.390274E-2</v>
      </c>
      <c r="U7321">
        <v>-3.0216059999999998</v>
      </c>
      <c r="V7321">
        <v>-5.7819589999999997E-2</v>
      </c>
      <c r="W7321">
        <v>0.10386380000000001</v>
      </c>
      <c r="X7321">
        <v>0.9929095</v>
      </c>
      <c r="Y7321">
        <v>-1.499694E-2</v>
      </c>
      <c r="Z7321">
        <v>1.0321790000000001E-2</v>
      </c>
      <c r="AA7321">
        <v>0.99983420000000001</v>
      </c>
      <c r="AB7321">
        <v>17</v>
      </c>
      <c r="AC7321">
        <v>-0.25490000000002</v>
      </c>
      <c r="AD7321">
        <v>-1.121270110342</v>
      </c>
      <c r="AE7321">
        <v>-52.882509999999897</v>
      </c>
      <c r="AF7321">
        <v>-0.79485398797143902</v>
      </c>
      <c r="AG7321">
        <v>-1.121270110342</v>
      </c>
      <c r="AH7321">
        <v>52.853384435903799</v>
      </c>
      <c r="AI7321">
        <v>91.215194634615202</v>
      </c>
      <c r="AJ7321">
        <v>90.861597538995795</v>
      </c>
      <c r="AK7321">
        <v>52.871251979237002</v>
      </c>
      <c r="AL7321">
        <v>84.038291033400796</v>
      </c>
      <c r="AM7321">
        <v>93.3327120613788</v>
      </c>
      <c r="AN7321">
        <v>1.0000000345642199</v>
      </c>
    </row>
    <row r="7322" spans="1:40" x14ac:dyDescent="0.25">
      <c r="A7322" t="str">
        <f>"20190303162059734"</f>
        <v>20190303162059734</v>
      </c>
      <c r="B7322" t="str">
        <f>"1551601259730347"</f>
        <v>1551601259730347</v>
      </c>
      <c r="C7322" t="s">
        <v>40</v>
      </c>
      <c r="D7322">
        <v>4.3745200000000004</v>
      </c>
      <c r="E7322">
        <v>0.51587780000000005</v>
      </c>
      <c r="F7322" t="s">
        <v>62</v>
      </c>
      <c r="G7322">
        <v>-422.09620000000001</v>
      </c>
      <c r="H7322" s="1">
        <v>-6.2399420000000001E-6</v>
      </c>
      <c r="I7322">
        <v>28.654879999999999</v>
      </c>
      <c r="J7322">
        <v>-421.86110000000002</v>
      </c>
      <c r="K7322">
        <v>1.1212709999999999</v>
      </c>
      <c r="L7322">
        <v>81.681979999999996</v>
      </c>
      <c r="M7322">
        <v>-1.9815200000000002E-2</v>
      </c>
      <c r="N7322">
        <v>-1.0804070000000001E-2</v>
      </c>
      <c r="O7322">
        <v>-0.99974540000000001</v>
      </c>
      <c r="P7322">
        <v>3.7981649999999999E-2</v>
      </c>
      <c r="Q7322">
        <v>9.3484139999999993E-2</v>
      </c>
      <c r="R7322">
        <v>-0.994896</v>
      </c>
      <c r="S7322">
        <v>-1.3549800000000001E-2</v>
      </c>
      <c r="T7322">
        <v>-6.3685179999999994E-2</v>
      </c>
      <c r="U7322">
        <v>-3.0217900000000002</v>
      </c>
      <c r="V7322">
        <v>-5.7690100000000001E-2</v>
      </c>
      <c r="W7322">
        <v>0.10421709999999999</v>
      </c>
      <c r="X7322">
        <v>0.99287999999999998</v>
      </c>
      <c r="Y7322">
        <v>-1.5330649999999999E-2</v>
      </c>
      <c r="Z7322">
        <v>1.026067E-2</v>
      </c>
      <c r="AA7322">
        <v>0.99982979999999999</v>
      </c>
      <c r="AB7322">
        <v>17</v>
      </c>
      <c r="AC7322">
        <v>-0.23509999999998801</v>
      </c>
      <c r="AD7322">
        <v>-1.1212772399419999</v>
      </c>
      <c r="AE7322">
        <v>-53.027099999999997</v>
      </c>
      <c r="AF7322">
        <v>-0.81538539123141196</v>
      </c>
      <c r="AG7322">
        <v>-1.1212772399419999</v>
      </c>
      <c r="AH7322">
        <v>52.9976500725639</v>
      </c>
      <c r="AI7322">
        <v>91.211889044000799</v>
      </c>
      <c r="AJ7322">
        <v>90.881443910632598</v>
      </c>
      <c r="AK7322">
        <v>53.015780944912798</v>
      </c>
      <c r="AL7322">
        <v>84.017937910913602</v>
      </c>
      <c r="AM7322">
        <v>93.325363622705694</v>
      </c>
      <c r="AN7322">
        <v>1.0000000229852</v>
      </c>
    </row>
    <row r="7323" spans="1:40" x14ac:dyDescent="0.25">
      <c r="A7323" t="str">
        <f>"20190303162059756"</f>
        <v>20190303162059756</v>
      </c>
      <c r="B7323" t="str">
        <f>"1551601259749868"</f>
        <v>1551601259749868</v>
      </c>
      <c r="C7323" t="s">
        <v>40</v>
      </c>
      <c r="D7323">
        <v>4.4236449999999996</v>
      </c>
      <c r="E7323">
        <v>0.51595000000000002</v>
      </c>
      <c r="F7323" t="s">
        <v>62</v>
      </c>
      <c r="G7323">
        <v>-422.10160000000002</v>
      </c>
      <c r="H7323" s="1">
        <v>-7.5742490000000001E-6</v>
      </c>
      <c r="I7323">
        <v>25.37969</v>
      </c>
      <c r="J7323">
        <v>-421.86439999999999</v>
      </c>
      <c r="K7323">
        <v>1.1212709999999999</v>
      </c>
      <c r="L7323">
        <v>81.509609999999995</v>
      </c>
      <c r="M7323">
        <v>-1.9772060000000001E-2</v>
      </c>
      <c r="N7323">
        <v>-1.0793759999999999E-2</v>
      </c>
      <c r="O7323">
        <v>-0.99974629999999998</v>
      </c>
      <c r="P7323">
        <v>3.8585809999999998E-2</v>
      </c>
      <c r="Q7323">
        <v>9.3562729999999997E-2</v>
      </c>
      <c r="R7323">
        <v>-0.99486549999999996</v>
      </c>
      <c r="S7323">
        <v>-1.2908940000000001E-2</v>
      </c>
      <c r="T7323">
        <v>-6.0175060000000002E-2</v>
      </c>
      <c r="U7323">
        <v>-3.0215450000000001</v>
      </c>
      <c r="V7323">
        <v>-5.8251650000000002E-2</v>
      </c>
      <c r="W7323">
        <v>0.1042844</v>
      </c>
      <c r="X7323">
        <v>0.9928401</v>
      </c>
      <c r="Y7323">
        <v>-1.5499219999999999E-2</v>
      </c>
      <c r="Z7323">
        <v>9.1119310000000002E-3</v>
      </c>
      <c r="AA7323">
        <v>0.99983840000000002</v>
      </c>
      <c r="AB7323">
        <v>17</v>
      </c>
      <c r="AC7323">
        <v>-0.237200000000029</v>
      </c>
      <c r="AD7323">
        <v>-1.1212785742489999</v>
      </c>
      <c r="AE7323">
        <v>-56.129919999999998</v>
      </c>
      <c r="AF7323">
        <v>-0.87236699717253297</v>
      </c>
      <c r="AG7323">
        <v>-1.1212785742489999</v>
      </c>
      <c r="AH7323">
        <v>56.101248933802403</v>
      </c>
      <c r="AI7323">
        <v>91.144862477857004</v>
      </c>
      <c r="AJ7323">
        <v>90.890869990598603</v>
      </c>
      <c r="AK7323">
        <v>56.119233973311601</v>
      </c>
      <c r="AL7323">
        <v>84.014060505392905</v>
      </c>
      <c r="AM7323">
        <v>93.357793325920497</v>
      </c>
      <c r="AN7323">
        <v>0.99999997748954494</v>
      </c>
    </row>
    <row r="7324" spans="1:40" x14ac:dyDescent="0.25">
      <c r="A7324" t="str">
        <f>"20190303162059778"</f>
        <v>20190303162059778</v>
      </c>
      <c r="B7324" t="str">
        <f>"1551601259770363"</f>
        <v>1551601259770363</v>
      </c>
      <c r="C7324" t="s">
        <v>40</v>
      </c>
      <c r="D7324">
        <v>4.4237909999999996</v>
      </c>
      <c r="E7324">
        <v>0.51591679999999995</v>
      </c>
      <c r="F7324" t="s">
        <v>62</v>
      </c>
      <c r="G7324">
        <v>-422.07319999999999</v>
      </c>
      <c r="H7324" s="1">
        <v>-6.9780029999999998E-6</v>
      </c>
      <c r="I7324">
        <v>26.83953</v>
      </c>
      <c r="J7324">
        <v>-421.86770000000001</v>
      </c>
      <c r="K7324">
        <v>1.121264</v>
      </c>
      <c r="L7324">
        <v>81.342959999999906</v>
      </c>
      <c r="M7324">
        <v>-1.9724200000000001E-2</v>
      </c>
      <c r="N7324">
        <v>-1.078518E-2</v>
      </c>
      <c r="O7324">
        <v>-0.99974730000000001</v>
      </c>
      <c r="P7324">
        <v>3.8814599999999998E-2</v>
      </c>
      <c r="Q7324">
        <v>9.3083479999999996E-2</v>
      </c>
      <c r="R7324">
        <v>-0.99490160000000005</v>
      </c>
      <c r="S7324">
        <v>-1.153564E-2</v>
      </c>
      <c r="T7324">
        <v>-6.1975959999999997E-2</v>
      </c>
      <c r="U7324">
        <v>-3.0217589999999999</v>
      </c>
      <c r="V7324">
        <v>-5.8434550000000002E-2</v>
      </c>
      <c r="W7324">
        <v>0.1037964</v>
      </c>
      <c r="X7324">
        <v>0.99288050000000005</v>
      </c>
      <c r="Y7324">
        <v>-1.5905949999999999E-2</v>
      </c>
      <c r="Z7324">
        <v>9.7145329999999992E-3</v>
      </c>
      <c r="AA7324">
        <v>0.99982629999999995</v>
      </c>
      <c r="AB7324">
        <v>17</v>
      </c>
      <c r="AC7324">
        <v>-0.20549999999997201</v>
      </c>
      <c r="AD7324">
        <v>-1.1212709780029999</v>
      </c>
      <c r="AE7324">
        <v>-54.503430000000002</v>
      </c>
      <c r="AF7324">
        <v>-0.86927115748880401</v>
      </c>
      <c r="AG7324">
        <v>-1.1212709780029999</v>
      </c>
      <c r="AH7324">
        <v>54.473824703609502</v>
      </c>
      <c r="AI7324">
        <v>91.179040567885494</v>
      </c>
      <c r="AJ7324">
        <v>90.914225169924705</v>
      </c>
      <c r="AK7324">
        <v>54.492297242738204</v>
      </c>
      <c r="AL7324">
        <v>84.042173477995604</v>
      </c>
      <c r="AM7324">
        <v>93.368175233588602</v>
      </c>
      <c r="AN7324">
        <v>0.99999998828345604</v>
      </c>
    </row>
    <row r="7325" spans="1:40" x14ac:dyDescent="0.25">
      <c r="A7325" t="str">
        <f>"20190303162059794"</f>
        <v>20190303162059794</v>
      </c>
      <c r="B7325" t="str">
        <f>"1551601259789884"</f>
        <v>1551601259789884</v>
      </c>
      <c r="C7325" t="s">
        <v>40</v>
      </c>
      <c r="D7325">
        <v>4.3972329999999999</v>
      </c>
      <c r="E7325">
        <v>0.51596209999999998</v>
      </c>
      <c r="F7325" t="s">
        <v>62</v>
      </c>
      <c r="G7325">
        <v>-422.06389999999999</v>
      </c>
      <c r="H7325" s="1">
        <v>-7.2608689999999996E-6</v>
      </c>
      <c r="I7325">
        <v>26.143719999999998</v>
      </c>
      <c r="J7325">
        <v>-421.87009999999998</v>
      </c>
      <c r="K7325">
        <v>1.1212629999999999</v>
      </c>
      <c r="L7325">
        <v>81.219059999999999</v>
      </c>
      <c r="M7325">
        <v>-1.9683760000000002E-2</v>
      </c>
      <c r="N7325">
        <v>-1.077962E-2</v>
      </c>
      <c r="O7325">
        <v>-0.99974819999999998</v>
      </c>
      <c r="P7325">
        <v>3.8847720000000002E-2</v>
      </c>
      <c r="Q7325">
        <v>9.2655959999999996E-2</v>
      </c>
      <c r="R7325">
        <v>-0.99494020000000005</v>
      </c>
      <c r="S7325">
        <v>-1.074219E-2</v>
      </c>
      <c r="T7325">
        <v>-6.1377170000000002E-2</v>
      </c>
      <c r="U7325">
        <v>-3.0215450000000001</v>
      </c>
      <c r="V7325">
        <v>-5.8429149999999999E-2</v>
      </c>
      <c r="W7325">
        <v>0.10336339999999999</v>
      </c>
      <c r="X7325">
        <v>0.99292599999999998</v>
      </c>
      <c r="Y7325">
        <v>-1.612775E-2</v>
      </c>
      <c r="Z7325">
        <v>9.5234970000000006E-3</v>
      </c>
      <c r="AA7325">
        <v>0.99982459999999995</v>
      </c>
      <c r="AB7325">
        <v>17</v>
      </c>
      <c r="AC7325">
        <v>-0.19380000000000999</v>
      </c>
      <c r="AD7325">
        <v>-1.1212702608689999</v>
      </c>
      <c r="AE7325">
        <v>-55.075339999999997</v>
      </c>
      <c r="AF7325">
        <v>-0.89002136208308302</v>
      </c>
      <c r="AG7325">
        <v>-1.1212702608689999</v>
      </c>
      <c r="AH7325">
        <v>55.045667994608998</v>
      </c>
      <c r="AI7325">
        <v>91.166790777392094</v>
      </c>
      <c r="AJ7325">
        <v>90.926322205892703</v>
      </c>
      <c r="AK7325">
        <v>55.064280164146297</v>
      </c>
      <c r="AL7325">
        <v>84.067116785600803</v>
      </c>
      <c r="AM7325">
        <v>93.367710719007107</v>
      </c>
      <c r="AN7325">
        <v>0.99999999975264098</v>
      </c>
    </row>
    <row r="7326" spans="1:40" x14ac:dyDescent="0.25">
      <c r="A7326" t="str">
        <f>"20190303162059813"</f>
        <v>20190303162059813</v>
      </c>
      <c r="B7326" t="str">
        <f>"1551601259799643"</f>
        <v>1551601259799643</v>
      </c>
      <c r="C7326" t="s">
        <v>40</v>
      </c>
      <c r="D7326">
        <v>4.4051400000000003</v>
      </c>
      <c r="E7326">
        <v>0.51598489999999997</v>
      </c>
      <c r="F7326" t="s">
        <v>62</v>
      </c>
      <c r="G7326">
        <v>-422.07389999999998</v>
      </c>
      <c r="H7326" s="1">
        <v>-7.8556629999999903E-6</v>
      </c>
      <c r="I7326">
        <v>24.684819999999998</v>
      </c>
      <c r="J7326">
        <v>-421.87290000000002</v>
      </c>
      <c r="K7326">
        <v>1.121267</v>
      </c>
      <c r="L7326">
        <v>81.073610000000002</v>
      </c>
      <c r="M7326">
        <v>-1.9631260000000001E-2</v>
      </c>
      <c r="N7326">
        <v>-1.077382E-2</v>
      </c>
      <c r="O7326">
        <v>-0.99974940000000001</v>
      </c>
      <c r="P7326">
        <v>3.928744E-2</v>
      </c>
      <c r="Q7326">
        <v>9.2117439999999995E-2</v>
      </c>
      <c r="R7326">
        <v>-0.9949732</v>
      </c>
      <c r="S7326">
        <v>-1.089478E-2</v>
      </c>
      <c r="T7326">
        <v>-5.9922339999999998E-2</v>
      </c>
      <c r="U7326">
        <v>-3.021271</v>
      </c>
      <c r="V7326">
        <v>-5.881836E-2</v>
      </c>
      <c r="W7326">
        <v>0.1028184</v>
      </c>
      <c r="X7326">
        <v>0.99295960000000005</v>
      </c>
      <c r="Y7326">
        <v>-1.6024460000000001E-2</v>
      </c>
      <c r="Z7326">
        <v>9.0500500000000005E-3</v>
      </c>
      <c r="AA7326">
        <v>0.99983069999999996</v>
      </c>
      <c r="AB7326">
        <v>17</v>
      </c>
      <c r="AC7326">
        <v>-0.20099999999996401</v>
      </c>
      <c r="AD7326">
        <v>-1.1212748556629999</v>
      </c>
      <c r="AE7326">
        <v>-56.38879</v>
      </c>
      <c r="AF7326">
        <v>-0.90572768799944803</v>
      </c>
      <c r="AG7326">
        <v>-1.1212748556629999</v>
      </c>
      <c r="AH7326">
        <v>56.359583674614903</v>
      </c>
      <c r="AI7326">
        <v>91.139603018350897</v>
      </c>
      <c r="AJ7326">
        <v>90.920693585352197</v>
      </c>
      <c r="AK7326">
        <v>56.378012309079097</v>
      </c>
      <c r="AL7326">
        <v>84.098510224250404</v>
      </c>
      <c r="AM7326">
        <v>93.389977219116204</v>
      </c>
      <c r="AN7326">
        <v>0.99999999504190396</v>
      </c>
    </row>
    <row r="7327" spans="1:40" x14ac:dyDescent="0.25">
      <c r="A7327" t="str">
        <f>"20190303162059834"</f>
        <v>20190303162059834</v>
      </c>
      <c r="B7327" t="str">
        <f>"1551601259829899"</f>
        <v>1551601259829899</v>
      </c>
      <c r="C7327" t="s">
        <v>40</v>
      </c>
      <c r="D7327">
        <v>4.3624260000000001</v>
      </c>
      <c r="E7327">
        <v>0.51604799999999995</v>
      </c>
      <c r="F7327" t="s">
        <v>62</v>
      </c>
      <c r="G7327">
        <v>-422.05430000000001</v>
      </c>
      <c r="H7327" s="1">
        <v>-7.8177850000000006E-6</v>
      </c>
      <c r="I7327">
        <v>24.775020000000001</v>
      </c>
      <c r="J7327">
        <v>-421.87610000000001</v>
      </c>
      <c r="K7327">
        <v>1.121267</v>
      </c>
      <c r="L7327">
        <v>80.907169999999994</v>
      </c>
      <c r="M7327">
        <v>-1.9564270000000002E-2</v>
      </c>
      <c r="N7327">
        <v>-1.076798E-2</v>
      </c>
      <c r="O7327">
        <v>-0.99975060000000004</v>
      </c>
      <c r="P7327">
        <v>3.9960639999999999E-2</v>
      </c>
      <c r="Q7327">
        <v>9.2301679999999997E-2</v>
      </c>
      <c r="R7327">
        <v>-0.99492899999999995</v>
      </c>
      <c r="S7327">
        <v>-9.7351069999999998E-3</v>
      </c>
      <c r="T7327">
        <v>-6.0170290000000001E-2</v>
      </c>
      <c r="U7327">
        <v>-3.021118</v>
      </c>
      <c r="V7327">
        <v>-5.942567E-2</v>
      </c>
      <c r="W7327">
        <v>0.1029958</v>
      </c>
      <c r="X7327">
        <v>0.99290509999999998</v>
      </c>
      <c r="Y7327">
        <v>-1.6341020000000001E-2</v>
      </c>
      <c r="Z7327">
        <v>9.1388560000000008E-3</v>
      </c>
      <c r="AA7327">
        <v>0.99982470000000001</v>
      </c>
      <c r="AB7327">
        <v>17</v>
      </c>
      <c r="AC7327">
        <v>-0.17820000000000299</v>
      </c>
      <c r="AD7327">
        <v>-1.121274817785</v>
      </c>
      <c r="AE7327">
        <v>-56.132150000000003</v>
      </c>
      <c r="AF7327">
        <v>-0.91971535087493606</v>
      </c>
      <c r="AG7327">
        <v>-1.121274817785</v>
      </c>
      <c r="AH7327">
        <v>56.102505579696803</v>
      </c>
      <c r="AI7327">
        <v>91.144817589182594</v>
      </c>
      <c r="AJ7327">
        <v>90.939193135413205</v>
      </c>
      <c r="AK7327">
        <v>56.121246118235298</v>
      </c>
      <c r="AL7327">
        <v>84.0882919771487</v>
      </c>
      <c r="AM7327">
        <v>93.425083983784603</v>
      </c>
      <c r="AN7327">
        <v>1.00000004133929</v>
      </c>
    </row>
    <row r="7328" spans="1:40" x14ac:dyDescent="0.25">
      <c r="A7328" t="str">
        <f>"20190303162059857"</f>
        <v>20190303162059857</v>
      </c>
      <c r="B7328" t="str">
        <f>"1551601259850395"</f>
        <v>1551601259850395</v>
      </c>
      <c r="C7328" t="s">
        <v>40</v>
      </c>
      <c r="D7328">
        <v>4.3497320000000004</v>
      </c>
      <c r="E7328">
        <v>0.51605270000000003</v>
      </c>
      <c r="F7328" t="s">
        <v>62</v>
      </c>
      <c r="G7328">
        <v>-422.01990000000001</v>
      </c>
      <c r="H7328" s="1">
        <v>-7.6070589999999999E-6</v>
      </c>
      <c r="I7328">
        <v>25.287489999999998</v>
      </c>
      <c r="J7328">
        <v>-421.87950000000001</v>
      </c>
      <c r="K7328">
        <v>1.1212709999999999</v>
      </c>
      <c r="L7328">
        <v>80.73245</v>
      </c>
      <c r="M7328">
        <v>-1.9487270000000001E-2</v>
      </c>
      <c r="N7328">
        <v>-1.076266E-2</v>
      </c>
      <c r="O7328">
        <v>-0.99975230000000004</v>
      </c>
      <c r="P7328">
        <v>4.0646509999999997E-2</v>
      </c>
      <c r="Q7328">
        <v>9.2655199999999993E-2</v>
      </c>
      <c r="R7328">
        <v>-0.99486859999999999</v>
      </c>
      <c r="S7328">
        <v>-7.8125E-3</v>
      </c>
      <c r="T7328">
        <v>-6.0907240000000001E-2</v>
      </c>
      <c r="U7328">
        <v>-3.0212400000000001</v>
      </c>
      <c r="V7328">
        <v>-6.0034240000000003E-2</v>
      </c>
      <c r="W7328">
        <v>0.1033425</v>
      </c>
      <c r="X7328">
        <v>0.99283239999999995</v>
      </c>
      <c r="Y7328">
        <v>-1.6900269999999998E-2</v>
      </c>
      <c r="Z7328">
        <v>9.3870039999999991E-3</v>
      </c>
      <c r="AA7328">
        <v>0.99981310000000001</v>
      </c>
      <c r="AB7328">
        <v>17</v>
      </c>
      <c r="AC7328">
        <v>-0.140399999999999</v>
      </c>
      <c r="AD7328">
        <v>-1.121278607059</v>
      </c>
      <c r="AE7328">
        <v>-55.444959999999902</v>
      </c>
      <c r="AF7328">
        <v>-0.93977567074074897</v>
      </c>
      <c r="AG7328">
        <v>-1.121278607059</v>
      </c>
      <c r="AH7328">
        <v>55.414502917223501</v>
      </c>
      <c r="AI7328">
        <v>91.159020290075901</v>
      </c>
      <c r="AJ7328">
        <v>90.971587140022805</v>
      </c>
      <c r="AK7328">
        <v>55.433812583917899</v>
      </c>
      <c r="AL7328">
        <v>84.068320587535496</v>
      </c>
      <c r="AM7328">
        <v>93.460327752531796</v>
      </c>
      <c r="AN7328">
        <v>0.99999997838419297</v>
      </c>
    </row>
    <row r="7329" spans="1:40" x14ac:dyDescent="0.25">
      <c r="A7329" t="str">
        <f>"20190303162059872"</f>
        <v>20190303162059872</v>
      </c>
      <c r="B7329" t="str">
        <f>"1551601259860156"</f>
        <v>1551601259860156</v>
      </c>
      <c r="C7329" t="s">
        <v>40</v>
      </c>
      <c r="D7329">
        <v>4.3478469999999998</v>
      </c>
      <c r="E7329">
        <v>0.51606430000000003</v>
      </c>
      <c r="F7329" t="s">
        <v>62</v>
      </c>
      <c r="G7329">
        <v>-421.99639999999999</v>
      </c>
      <c r="H7329" s="1">
        <v>-8.9599239999999994E-6</v>
      </c>
      <c r="I7329">
        <v>21.962610000000002</v>
      </c>
      <c r="J7329">
        <v>-421.88170000000002</v>
      </c>
      <c r="K7329">
        <v>1.1212740000000001</v>
      </c>
      <c r="L7329">
        <v>80.612459999999999</v>
      </c>
      <c r="M7329">
        <v>-1.9431529999999999E-2</v>
      </c>
      <c r="N7329">
        <v>-1.0757920000000001E-2</v>
      </c>
      <c r="O7329">
        <v>-0.99975349999999996</v>
      </c>
      <c r="P7329">
        <v>4.053271E-2</v>
      </c>
      <c r="Q7329">
        <v>9.2593320000000007E-2</v>
      </c>
      <c r="R7329">
        <v>-0.99487910000000002</v>
      </c>
      <c r="S7329">
        <v>-6.0119630000000004E-3</v>
      </c>
      <c r="T7329">
        <v>-5.7639839999999998E-2</v>
      </c>
      <c r="U7329">
        <v>-3.0210880000000002</v>
      </c>
      <c r="V7329">
        <v>-5.9866120000000002E-2</v>
      </c>
      <c r="W7329">
        <v>0.1032757</v>
      </c>
      <c r="X7329">
        <v>0.99284950000000005</v>
      </c>
      <c r="Y7329">
        <v>-1.7440270000000001E-2</v>
      </c>
      <c r="Z7329">
        <v>8.3119639999999998E-3</v>
      </c>
      <c r="AA7329">
        <v>0.99981339999999996</v>
      </c>
      <c r="AB7329">
        <v>17</v>
      </c>
      <c r="AC7329">
        <v>-0.11469999999997001</v>
      </c>
      <c r="AD7329">
        <v>-1.121282959924</v>
      </c>
      <c r="AE7329">
        <v>-58.649850000000001</v>
      </c>
      <c r="AF7329">
        <v>-1.0246691937865899</v>
      </c>
      <c r="AG7329">
        <v>-1.121282959924</v>
      </c>
      <c r="AH7329">
        <v>58.619578138694102</v>
      </c>
      <c r="AI7329">
        <v>91.095660194789502</v>
      </c>
      <c r="AJ7329">
        <v>91.001427230135903</v>
      </c>
      <c r="AK7329">
        <v>58.639254459716497</v>
      </c>
      <c r="AL7329">
        <v>84.072168521268907</v>
      </c>
      <c r="AM7329">
        <v>93.450601603998905</v>
      </c>
      <c r="AN7329">
        <v>0.99999997609229696</v>
      </c>
    </row>
    <row r="7330" spans="1:40" x14ac:dyDescent="0.25">
      <c r="A7330" t="str">
        <f>"20190303162059890"</f>
        <v>20190303162059890</v>
      </c>
      <c r="B7330" t="str">
        <f>"1551601259879676"</f>
        <v>1551601259879676</v>
      </c>
      <c r="C7330" t="s">
        <v>40</v>
      </c>
      <c r="D7330">
        <v>4.359604</v>
      </c>
      <c r="E7330">
        <v>0.51610809999999996</v>
      </c>
      <c r="F7330" t="s">
        <v>62</v>
      </c>
      <c r="G7330">
        <v>-422.00909999999999</v>
      </c>
      <c r="H7330" s="1">
        <v>-9.3235490000000005E-6</v>
      </c>
      <c r="I7330">
        <v>21.112290000000002</v>
      </c>
      <c r="J7330">
        <v>-421.88420000000002</v>
      </c>
      <c r="K7330">
        <v>1.1212709999999999</v>
      </c>
      <c r="L7330">
        <v>80.477869999999996</v>
      </c>
      <c r="M7330">
        <v>-1.936717E-2</v>
      </c>
      <c r="N7330">
        <v>-1.074808E-2</v>
      </c>
      <c r="O7330">
        <v>-0.9997547</v>
      </c>
      <c r="P7330">
        <v>4.0177579999999997E-2</v>
      </c>
      <c r="Q7330">
        <v>9.2357359999999999E-2</v>
      </c>
      <c r="R7330">
        <v>-0.9949152</v>
      </c>
      <c r="S7330">
        <v>-6.4697269999999998E-3</v>
      </c>
      <c r="T7330">
        <v>-5.6931379999999997E-2</v>
      </c>
      <c r="U7330">
        <v>-3.0210270000000001</v>
      </c>
      <c r="V7330">
        <v>-5.9447699999999999E-2</v>
      </c>
      <c r="W7330">
        <v>0.10303089999999999</v>
      </c>
      <c r="X7330">
        <v>0.99290009999999995</v>
      </c>
      <c r="Y7330">
        <v>-1.7224420000000001E-2</v>
      </c>
      <c r="Z7330">
        <v>8.0879409999999995E-3</v>
      </c>
      <c r="AA7330">
        <v>0.99981889999999995</v>
      </c>
      <c r="AB7330">
        <v>17</v>
      </c>
      <c r="AC7330">
        <v>-0.12489999999996799</v>
      </c>
      <c r="AD7330">
        <v>-1.1212803235490001</v>
      </c>
      <c r="AE7330">
        <v>-59.365580000000001</v>
      </c>
      <c r="AF7330">
        <v>-1.02456757660909</v>
      </c>
      <c r="AG7330">
        <v>-1.1212803235490001</v>
      </c>
      <c r="AH7330">
        <v>59.335695460918998</v>
      </c>
      <c r="AI7330">
        <v>91.082441386045403</v>
      </c>
      <c r="AJ7330">
        <v>90.989245414945401</v>
      </c>
      <c r="AK7330">
        <v>59.355132584418797</v>
      </c>
      <c r="AL7330">
        <v>84.086269905579599</v>
      </c>
      <c r="AM7330">
        <v>93.426367903217596</v>
      </c>
      <c r="AN7330">
        <v>1.0000000019850499</v>
      </c>
    </row>
    <row r="7331" spans="1:40" x14ac:dyDescent="0.25">
      <c r="A7331" t="str">
        <f>"20190303162059912"</f>
        <v>20190303162059912</v>
      </c>
      <c r="B7331" t="str">
        <f>"1551601259900171"</f>
        <v>1551601259900171</v>
      </c>
      <c r="C7331" t="s">
        <v>40</v>
      </c>
      <c r="D7331">
        <v>4.3303629999999904</v>
      </c>
      <c r="E7331">
        <v>0.5160439</v>
      </c>
      <c r="F7331" t="s">
        <v>62</v>
      </c>
      <c r="G7331">
        <v>-422.03370000000001</v>
      </c>
      <c r="H7331" s="1">
        <v>-8.8531849999999992E-6</v>
      </c>
      <c r="I7331">
        <v>22.229990000000001</v>
      </c>
      <c r="J7331">
        <v>-421.8877</v>
      </c>
      <c r="K7331">
        <v>1.1212709999999999</v>
      </c>
      <c r="L7331">
        <v>80.295500000000004</v>
      </c>
      <c r="M7331">
        <v>-1.9278360000000001E-2</v>
      </c>
      <c r="N7331">
        <v>-1.071474E-2</v>
      </c>
      <c r="O7331">
        <v>-0.9997568</v>
      </c>
      <c r="P7331">
        <v>4.0460049999999997E-2</v>
      </c>
      <c r="Q7331">
        <v>9.3237449999999999E-2</v>
      </c>
      <c r="R7331">
        <v>-0.99482170000000003</v>
      </c>
      <c r="S7331">
        <v>-7.7514649999999999E-3</v>
      </c>
      <c r="T7331">
        <v>-5.8155779999999997E-2</v>
      </c>
      <c r="U7331">
        <v>-3.0210569999999999</v>
      </c>
      <c r="V7331">
        <v>-5.9639379999999999E-2</v>
      </c>
      <c r="W7331">
        <v>0.1038771</v>
      </c>
      <c r="X7331">
        <v>0.99280040000000003</v>
      </c>
      <c r="Y7331">
        <v>-1.6711480000000001E-2</v>
      </c>
      <c r="Z7331">
        <v>8.5262389999999997E-3</v>
      </c>
      <c r="AA7331">
        <v>0.99982400000000005</v>
      </c>
      <c r="AB7331">
        <v>17</v>
      </c>
      <c r="AC7331">
        <v>-0.14600000000001501</v>
      </c>
      <c r="AD7331">
        <v>-1.1212798531849999</v>
      </c>
      <c r="AE7331">
        <v>-58.065509999999897</v>
      </c>
      <c r="AF7331">
        <v>-0.97313625785561897</v>
      </c>
      <c r="AG7331">
        <v>-1.1212798531849999</v>
      </c>
      <c r="AH7331">
        <v>58.035890982745599</v>
      </c>
      <c r="AI7331">
        <v>91.106687326719296</v>
      </c>
      <c r="AJ7331">
        <v>90.960636166507001</v>
      </c>
      <c r="AK7331">
        <v>58.0548783897326</v>
      </c>
      <c r="AL7331">
        <v>84.037524474177104</v>
      </c>
      <c r="AM7331">
        <v>93.437733618951498</v>
      </c>
      <c r="AN7331">
        <v>0.99999997089567605</v>
      </c>
    </row>
    <row r="7332" spans="1:40" x14ac:dyDescent="0.25">
      <c r="A7332" t="str">
        <f>"20190303162059936"</f>
        <v>20190303162059936</v>
      </c>
      <c r="B7332" t="str">
        <f>"1551601259930428"</f>
        <v>1551601259930428</v>
      </c>
      <c r="C7332" t="s">
        <v>40</v>
      </c>
      <c r="D7332">
        <v>4.2711800000000002</v>
      </c>
      <c r="E7332">
        <v>0.51610329999999904</v>
      </c>
      <c r="F7332" t="s">
        <v>62</v>
      </c>
      <c r="G7332">
        <v>-422.03469999999999</v>
      </c>
      <c r="H7332" s="1">
        <v>-1.0273839999999999E-5</v>
      </c>
      <c r="I7332">
        <v>17.560269999999999</v>
      </c>
      <c r="J7332">
        <v>-421.89100000000002</v>
      </c>
      <c r="K7332">
        <v>1.1212610000000001</v>
      </c>
      <c r="L7332">
        <v>80.11591</v>
      </c>
      <c r="M7332">
        <v>-1.9191380000000001E-2</v>
      </c>
      <c r="N7332">
        <v>-1.0648120000000001E-2</v>
      </c>
      <c r="O7332">
        <v>-0.99975919999999896</v>
      </c>
      <c r="P7332">
        <v>4.0995730000000001E-2</v>
      </c>
      <c r="Q7332">
        <v>9.6786360000000002E-2</v>
      </c>
      <c r="R7332">
        <v>-0.99446060000000003</v>
      </c>
      <c r="S7332">
        <v>-7.0800780000000001E-3</v>
      </c>
      <c r="T7332">
        <v>-5.3994420000000001E-2</v>
      </c>
      <c r="U7332">
        <v>-3.020966</v>
      </c>
      <c r="V7332">
        <v>-6.0081929999999999E-2</v>
      </c>
      <c r="W7332">
        <v>0.1073556</v>
      </c>
      <c r="X7332">
        <v>0.99240360000000005</v>
      </c>
      <c r="Y7332">
        <v>-1.6846710000000001E-2</v>
      </c>
      <c r="Z7332">
        <v>7.2169560000000001E-3</v>
      </c>
      <c r="AA7332">
        <v>0.99983200000000005</v>
      </c>
      <c r="AB7332">
        <v>17</v>
      </c>
      <c r="AC7332">
        <v>-0.143700000000023</v>
      </c>
      <c r="AD7332">
        <v>-1.1212712738399999</v>
      </c>
      <c r="AE7332">
        <v>-62.555639999999997</v>
      </c>
      <c r="AF7332">
        <v>-1.05658404107171</v>
      </c>
      <c r="AG7332">
        <v>-1.1212712738399999</v>
      </c>
      <c r="AH7332">
        <v>62.5267869668656</v>
      </c>
      <c r="AI7332">
        <v>91.027208692037107</v>
      </c>
      <c r="AJ7332">
        <v>90.968097803693496</v>
      </c>
      <c r="AK7332">
        <v>62.5457649046295</v>
      </c>
      <c r="AL7332">
        <v>83.837100093105207</v>
      </c>
      <c r="AM7332">
        <v>93.464562567650802</v>
      </c>
      <c r="AN7332">
        <v>0.99999998422842196</v>
      </c>
    </row>
    <row r="7333" spans="1:40" x14ac:dyDescent="0.25">
      <c r="A7333" t="str">
        <f>"20190303162059957"</f>
        <v>20190303162059957</v>
      </c>
      <c r="B7333" t="str">
        <f>"1551601259949947"</f>
        <v>1551601259949947</v>
      </c>
      <c r="C7333" t="s">
        <v>40</v>
      </c>
      <c r="D7333">
        <v>4.2724380000000002</v>
      </c>
      <c r="E7333">
        <v>0.51616709999999999</v>
      </c>
      <c r="F7333" t="s">
        <v>44</v>
      </c>
      <c r="G7333">
        <v>-422.05399999999997</v>
      </c>
      <c r="H7333">
        <v>-0.05</v>
      </c>
      <c r="I7333">
        <v>-5.2410889999999997</v>
      </c>
      <c r="J7333">
        <v>-421.89420000000001</v>
      </c>
      <c r="K7333">
        <v>1.1212489999999999</v>
      </c>
      <c r="L7333">
        <v>79.944819999999893</v>
      </c>
      <c r="M7333">
        <v>-1.9110200000000001E-2</v>
      </c>
      <c r="N7333">
        <v>-1.054682E-2</v>
      </c>
      <c r="O7333">
        <v>-0.99976180000000003</v>
      </c>
      <c r="P7333">
        <v>4.1142989999999997E-2</v>
      </c>
      <c r="Q7333">
        <v>0.1013864</v>
      </c>
      <c r="R7333">
        <v>-0.99399610000000005</v>
      </c>
      <c r="S7333">
        <v>-5.7678219999999997E-3</v>
      </c>
      <c r="T7333">
        <v>-4.1453839999999999E-2</v>
      </c>
      <c r="U7333">
        <v>-3.0209959999999998</v>
      </c>
      <c r="V7333">
        <v>-6.0139480000000002E-2</v>
      </c>
      <c r="W7333">
        <v>0.11185009999999999</v>
      </c>
      <c r="X7333">
        <v>0.9919036</v>
      </c>
      <c r="Y7333">
        <v>-1.7200150000000001E-2</v>
      </c>
      <c r="Z7333">
        <v>3.1694330000000001E-3</v>
      </c>
      <c r="AA7333">
        <v>0.99984709999999999</v>
      </c>
      <c r="AB7333">
        <v>17</v>
      </c>
      <c r="AC7333">
        <v>-0.15980000000001801</v>
      </c>
      <c r="AD7333">
        <v>-1.171249</v>
      </c>
      <c r="AE7333">
        <v>-85.185908999999995</v>
      </c>
      <c r="AF7333">
        <v>-1.4679619090023599</v>
      </c>
      <c r="AG7333">
        <v>-1.171249</v>
      </c>
      <c r="AH7333">
        <v>85.1573064710051</v>
      </c>
      <c r="AI7333">
        <v>90.787876337040998</v>
      </c>
      <c r="AJ7333">
        <v>90.987580464325603</v>
      </c>
      <c r="AK7333">
        <v>85.178011140099798</v>
      </c>
      <c r="AL7333">
        <v>83.578023113423001</v>
      </c>
      <c r="AM7333">
        <v>93.469616854520297</v>
      </c>
      <c r="AN7333">
        <v>0.99999997680881902</v>
      </c>
    </row>
    <row r="7334" spans="1:40" x14ac:dyDescent="0.25">
      <c r="A7334" t="str">
        <f>"20190303162059973"</f>
        <v>20190303162059973</v>
      </c>
      <c r="B7334" t="str">
        <f>"1551601259959708"</f>
        <v>1551601259959708</v>
      </c>
      <c r="C7334" t="s">
        <v>40</v>
      </c>
      <c r="D7334">
        <v>4.2895919999999998</v>
      </c>
      <c r="E7334">
        <v>0.51618520000000001</v>
      </c>
      <c r="F7334" t="s">
        <v>72</v>
      </c>
      <c r="G7334">
        <v>-422.06040000000002</v>
      </c>
      <c r="H7334">
        <v>0.34041139999999998</v>
      </c>
      <c r="I7334">
        <v>0.45643230000000001</v>
      </c>
      <c r="J7334">
        <v>-421.8965</v>
      </c>
      <c r="K7334">
        <v>1.12124</v>
      </c>
      <c r="L7334">
        <v>79.823390000000003</v>
      </c>
      <c r="M7334">
        <v>-1.905393E-2</v>
      </c>
      <c r="N7334">
        <v>-1.045431E-2</v>
      </c>
      <c r="O7334">
        <v>-0.99976399999999999</v>
      </c>
      <c r="P7334">
        <v>4.1123359999999998E-2</v>
      </c>
      <c r="Q7334">
        <v>0.1034113</v>
      </c>
      <c r="R7334">
        <v>-0.99378840000000002</v>
      </c>
      <c r="S7334">
        <v>-6.3171390000000003E-3</v>
      </c>
      <c r="T7334">
        <v>-2.9681320000000001E-2</v>
      </c>
      <c r="U7334">
        <v>-3.021423</v>
      </c>
      <c r="V7334">
        <v>-6.0059540000000002E-2</v>
      </c>
      <c r="W7334">
        <v>0.1137813</v>
      </c>
      <c r="X7334">
        <v>0.99168880000000004</v>
      </c>
      <c r="Y7334">
        <v>-1.696274E-2</v>
      </c>
      <c r="Z7334">
        <v>-6.3437659999999996E-4</v>
      </c>
      <c r="AA7334">
        <v>0.99985590000000002</v>
      </c>
      <c r="AB7334">
        <v>18</v>
      </c>
      <c r="AC7334">
        <v>-0.16390000000001201</v>
      </c>
      <c r="AD7334">
        <v>-0.78082859999999998</v>
      </c>
      <c r="AE7334">
        <v>-79.3669577</v>
      </c>
      <c r="AF7334">
        <v>-1.3483340521287599</v>
      </c>
      <c r="AG7334">
        <v>-0.78082859999999998</v>
      </c>
      <c r="AH7334">
        <v>79.347990670564201</v>
      </c>
      <c r="AI7334">
        <v>90.563722935419804</v>
      </c>
      <c r="AJ7334">
        <v>90.973514458188404</v>
      </c>
      <c r="AK7334">
        <v>79.363286987590499</v>
      </c>
      <c r="AL7334">
        <v>83.466662730245702</v>
      </c>
      <c r="AM7334">
        <v>93.465764827866806</v>
      </c>
      <c r="AN7334">
        <v>1.0000000043100701</v>
      </c>
    </row>
    <row r="7335" spans="1:40" x14ac:dyDescent="0.25">
      <c r="A7335" t="str">
        <f>"20190303162059990"</f>
        <v>20190303162059990</v>
      </c>
      <c r="B7335" t="str">
        <f>"1551601259980204"</f>
        <v>1551601259980204</v>
      </c>
      <c r="C7335" t="s">
        <v>40</v>
      </c>
      <c r="D7335">
        <v>4.3044669999999998</v>
      </c>
      <c r="E7335">
        <v>0.51623509999999995</v>
      </c>
      <c r="F7335" t="s">
        <v>72</v>
      </c>
      <c r="G7335">
        <v>-422.06720000000001</v>
      </c>
      <c r="H7335">
        <v>0.47401739999999998</v>
      </c>
      <c r="I7335">
        <v>0.45636559999999998</v>
      </c>
      <c r="J7335">
        <v>-421.899</v>
      </c>
      <c r="K7335">
        <v>1.121218</v>
      </c>
      <c r="L7335">
        <v>79.682429999999997</v>
      </c>
      <c r="M7335">
        <v>-1.8990090000000001E-2</v>
      </c>
      <c r="N7335">
        <v>-1.033209E-2</v>
      </c>
      <c r="O7335">
        <v>-0.9997663</v>
      </c>
      <c r="P7335">
        <v>4.0657829999999999E-2</v>
      </c>
      <c r="Q7335">
        <v>0.1044204</v>
      </c>
      <c r="R7335">
        <v>-0.99370190000000003</v>
      </c>
      <c r="S7335">
        <v>-6.5002439999999996E-3</v>
      </c>
      <c r="T7335">
        <v>-2.4641630000000001E-2</v>
      </c>
      <c r="U7335">
        <v>-3.0216059999999998</v>
      </c>
      <c r="V7335">
        <v>-5.9528989999999997E-2</v>
      </c>
      <c r="W7335">
        <v>0.1146686</v>
      </c>
      <c r="X7335">
        <v>0.99161860000000002</v>
      </c>
      <c r="Y7335">
        <v>-1.6838599999999999E-2</v>
      </c>
      <c r="Z7335">
        <v>-2.1798910000000002E-3</v>
      </c>
      <c r="AA7335">
        <v>0.99985579999999996</v>
      </c>
      <c r="AB7335">
        <v>18</v>
      </c>
      <c r="AC7335">
        <v>-0.16820000000001301</v>
      </c>
      <c r="AD7335">
        <v>-0.64720060000000001</v>
      </c>
      <c r="AE7335">
        <v>-79.226064399999998</v>
      </c>
      <c r="AF7335">
        <v>-1.33633153898326</v>
      </c>
      <c r="AG7335">
        <v>-0.64720060000000001</v>
      </c>
      <c r="AH7335">
        <v>79.209684611081499</v>
      </c>
      <c r="AI7335">
        <v>90.468071071979196</v>
      </c>
      <c r="AJ7335">
        <v>90.966534517030794</v>
      </c>
      <c r="AK7335">
        <v>79.223599935787604</v>
      </c>
      <c r="AL7335">
        <v>83.415489340245102</v>
      </c>
      <c r="AM7335">
        <v>93.435465434198306</v>
      </c>
      <c r="AN7335">
        <v>1.0000000181711699</v>
      </c>
    </row>
    <row r="7336" spans="1:40" x14ac:dyDescent="0.25">
      <c r="A7336" t="str">
        <f>"20190303162100013"</f>
        <v>20190303162100013</v>
      </c>
      <c r="B7336" t="str">
        <f>"1551601259999724"</f>
        <v>1551601259999724</v>
      </c>
      <c r="C7336" t="s">
        <v>40</v>
      </c>
      <c r="D7336">
        <v>4.2865359999999999</v>
      </c>
      <c r="E7336">
        <v>0.51628890000000005</v>
      </c>
      <c r="F7336" t="s">
        <v>72</v>
      </c>
      <c r="G7336">
        <v>-422.10629999999998</v>
      </c>
      <c r="H7336">
        <v>0.49385990000000002</v>
      </c>
      <c r="I7336">
        <v>0.45596500000000001</v>
      </c>
      <c r="J7336">
        <v>-421.90230000000003</v>
      </c>
      <c r="K7336">
        <v>1.1211869999999999</v>
      </c>
      <c r="L7336">
        <v>79.50488</v>
      </c>
      <c r="M7336">
        <v>-1.8911870000000001E-2</v>
      </c>
      <c r="N7336">
        <v>-1.016659E-2</v>
      </c>
      <c r="O7336">
        <v>-0.99976940000000003</v>
      </c>
      <c r="P7336">
        <v>4.0764849999999998E-2</v>
      </c>
      <c r="Q7336">
        <v>0.1039322</v>
      </c>
      <c r="R7336">
        <v>-0.99374859999999998</v>
      </c>
      <c r="S7336">
        <v>-7.9040529999999994E-3</v>
      </c>
      <c r="T7336">
        <v>-2.3929599999999999E-2</v>
      </c>
      <c r="U7336">
        <v>-3.0218509999999998</v>
      </c>
      <c r="V7336">
        <v>-5.9558560000000003E-2</v>
      </c>
      <c r="W7336">
        <v>0.1140168</v>
      </c>
      <c r="X7336">
        <v>0.99169189999999996</v>
      </c>
      <c r="Y7336">
        <v>-1.6296140000000001E-2</v>
      </c>
      <c r="Z7336">
        <v>-2.2504830000000002E-3</v>
      </c>
      <c r="AA7336">
        <v>0.99986470000000005</v>
      </c>
      <c r="AB7336">
        <v>18</v>
      </c>
      <c r="AC7336">
        <v>-0.20399999999995</v>
      </c>
      <c r="AD7336">
        <v>-0.62732710000000003</v>
      </c>
      <c r="AE7336">
        <v>-79.048914999999994</v>
      </c>
      <c r="AF7336">
        <v>-1.29099534856759</v>
      </c>
      <c r="AG7336">
        <v>-0.62732710000000003</v>
      </c>
      <c r="AH7336">
        <v>79.033656789078705</v>
      </c>
      <c r="AI7336">
        <v>90.4547131924474</v>
      </c>
      <c r="AJ7336">
        <v>90.935829240763695</v>
      </c>
      <c r="AK7336">
        <v>79.046689454614807</v>
      </c>
      <c r="AL7336">
        <v>83.453080758164305</v>
      </c>
      <c r="AM7336">
        <v>93.436914406073299</v>
      </c>
      <c r="AN7336">
        <v>0.99999993863855896</v>
      </c>
    </row>
    <row r="7337" spans="1:40" x14ac:dyDescent="0.25">
      <c r="A7337" t="str">
        <f>"20190303162100035"</f>
        <v>20190303162100035</v>
      </c>
      <c r="B7337" t="str">
        <f>"1551601260029984"</f>
        <v>1551601260029984</v>
      </c>
      <c r="C7337" t="s">
        <v>40</v>
      </c>
      <c r="D7337">
        <v>4.3178169999999998</v>
      </c>
      <c r="E7337">
        <v>0.49490980000000001</v>
      </c>
      <c r="F7337" t="s">
        <v>72</v>
      </c>
      <c r="G7337">
        <v>-422.10989999999998</v>
      </c>
      <c r="H7337">
        <v>0.46085939999999997</v>
      </c>
      <c r="I7337">
        <v>0.45593070000000002</v>
      </c>
      <c r="J7337">
        <v>-421.90559999999999</v>
      </c>
      <c r="K7337">
        <v>1.121157</v>
      </c>
      <c r="L7337">
        <v>79.32687</v>
      </c>
      <c r="M7337">
        <v>-1.8835500000000002E-2</v>
      </c>
      <c r="N7337">
        <v>-1.000154E-2</v>
      </c>
      <c r="O7337">
        <v>-0.99977280000000002</v>
      </c>
      <c r="P7337">
        <v>4.2071690000000002E-2</v>
      </c>
      <c r="Q7337">
        <v>0.1032642</v>
      </c>
      <c r="R7337">
        <v>-0.99376399999999998</v>
      </c>
      <c r="S7337">
        <v>-7.9345700000000002E-3</v>
      </c>
      <c r="T7337">
        <v>-2.5243760000000001E-2</v>
      </c>
      <c r="U7337">
        <v>-3.0218509999999998</v>
      </c>
      <c r="V7337">
        <v>-6.0789549999999998E-2</v>
      </c>
      <c r="W7337">
        <v>0.1131853</v>
      </c>
      <c r="X7337">
        <v>0.9917125</v>
      </c>
      <c r="Y7337">
        <v>-1.6209640000000001E-2</v>
      </c>
      <c r="Z7337">
        <v>-1.6506940000000001E-3</v>
      </c>
      <c r="AA7337">
        <v>0.99986730000000001</v>
      </c>
      <c r="AB7337">
        <v>18</v>
      </c>
      <c r="AC7337">
        <v>-0.20429999999998899</v>
      </c>
      <c r="AD7337">
        <v>-0.66029759999999904</v>
      </c>
      <c r="AE7337">
        <v>-78.870939299999904</v>
      </c>
      <c r="AF7337">
        <v>-1.28129398782055</v>
      </c>
      <c r="AG7337">
        <v>-0.66029759999999904</v>
      </c>
      <c r="AH7337">
        <v>78.8552673960004</v>
      </c>
      <c r="AI7337">
        <v>90.479693873097403</v>
      </c>
      <c r="AJ7337">
        <v>90.930898853868896</v>
      </c>
      <c r="AK7337">
        <v>78.868440477154806</v>
      </c>
      <c r="AL7337">
        <v>83.501032905767602</v>
      </c>
      <c r="AM7337">
        <v>93.507702233341305</v>
      </c>
      <c r="AN7337">
        <v>0.99999998209077101</v>
      </c>
    </row>
    <row r="7338" spans="1:40" x14ac:dyDescent="0.25">
      <c r="A7338" t="str">
        <f>"20190303162100057"</f>
        <v>20190303162100057</v>
      </c>
      <c r="B7338" t="str">
        <f>"1551601260050485"</f>
        <v>1551601260050485</v>
      </c>
      <c r="C7338" t="s">
        <v>40</v>
      </c>
      <c r="D7338">
        <v>4.3201890000000001</v>
      </c>
      <c r="E7338">
        <v>0.48819279999999998</v>
      </c>
      <c r="F7338" t="s">
        <v>72</v>
      </c>
      <c r="G7338">
        <v>-417.55040000000002</v>
      </c>
      <c r="H7338">
        <v>2.1930499999999999</v>
      </c>
      <c r="I7338">
        <v>0.50230600000000003</v>
      </c>
      <c r="J7338">
        <v>-421.90879999999999</v>
      </c>
      <c r="K7338">
        <v>1.1211310000000001</v>
      </c>
      <c r="L7338">
        <v>79.153139999999993</v>
      </c>
      <c r="M7338">
        <v>-1.8761779999999999E-2</v>
      </c>
      <c r="N7338">
        <v>-9.8495219999999994E-3</v>
      </c>
      <c r="O7338">
        <v>-0.99977559999999999</v>
      </c>
      <c r="P7338">
        <v>4.3698929999999997E-2</v>
      </c>
      <c r="Q7338">
        <v>0.1030462</v>
      </c>
      <c r="R7338">
        <v>-0.99371670000000001</v>
      </c>
      <c r="S7338">
        <v>0.16616819999999999</v>
      </c>
      <c r="T7338">
        <v>4.0896889999999998E-2</v>
      </c>
      <c r="U7338">
        <v>-3.0075379999999998</v>
      </c>
      <c r="V7338">
        <v>-6.2342229999999998E-2</v>
      </c>
      <c r="W7338">
        <v>0.11281529999999999</v>
      </c>
      <c r="X7338">
        <v>0.99165829999999999</v>
      </c>
      <c r="Y7338">
        <v>-7.3877079999999998E-2</v>
      </c>
      <c r="Z7338">
        <v>-2.3417420000000001E-2</v>
      </c>
      <c r="AA7338">
        <v>0.99699230000000005</v>
      </c>
      <c r="AB7338">
        <v>18</v>
      </c>
      <c r="AC7338">
        <v>4.3583999999999596</v>
      </c>
      <c r="AD7338">
        <v>1.0719190000000001</v>
      </c>
      <c r="AE7338">
        <v>-78.650834000000003</v>
      </c>
      <c r="AF7338">
        <v>-5.83225380395979</v>
      </c>
      <c r="AG7338">
        <v>1.0719190000000001</v>
      </c>
      <c r="AH7338">
        <v>78.540669544433797</v>
      </c>
      <c r="AI7338">
        <v>89.220225407886403</v>
      </c>
      <c r="AJ7338">
        <v>94.246861373993099</v>
      </c>
      <c r="AK7338">
        <v>78.764211208291201</v>
      </c>
      <c r="AL7338">
        <v>83.522369215897498</v>
      </c>
      <c r="AM7338">
        <v>93.597259349697495</v>
      </c>
      <c r="AN7338">
        <v>1.0000000147571699</v>
      </c>
    </row>
    <row r="7339" spans="1:40" x14ac:dyDescent="0.25">
      <c r="A7339" t="str">
        <f>"20190303162100075"</f>
        <v>20190303162100075</v>
      </c>
      <c r="B7339" t="str">
        <f>"1551601260061217"</f>
        <v>1551601260061217</v>
      </c>
      <c r="C7339" t="s">
        <v>40</v>
      </c>
      <c r="D7339">
        <v>4.3134690000000004</v>
      </c>
      <c r="E7339">
        <v>0.48655340000000002</v>
      </c>
      <c r="F7339" t="s">
        <v>72</v>
      </c>
      <c r="G7339">
        <v>-416.10090000000002</v>
      </c>
      <c r="H7339">
        <v>2.0972029999999999</v>
      </c>
      <c r="I7339">
        <v>1.277029</v>
      </c>
      <c r="J7339">
        <v>-421.91140000000001</v>
      </c>
      <c r="K7339">
        <v>1.12112099999999</v>
      </c>
      <c r="L7339">
        <v>79.009979999999999</v>
      </c>
      <c r="M7339">
        <v>-1.8701039999999999E-2</v>
      </c>
      <c r="N7339">
        <v>-9.7328620000000001E-3</v>
      </c>
      <c r="O7339">
        <v>-0.99977780000000005</v>
      </c>
      <c r="P7339">
        <v>4.4511519999999999E-2</v>
      </c>
      <c r="Q7339">
        <v>0.1032806</v>
      </c>
      <c r="R7339">
        <v>-0.99365610000000004</v>
      </c>
      <c r="S7339">
        <v>0.22412109999999999</v>
      </c>
      <c r="T7339">
        <v>3.7665369999999997E-2</v>
      </c>
      <c r="U7339">
        <v>-3.0052189999999999</v>
      </c>
      <c r="V7339">
        <v>-6.3093679999999999E-2</v>
      </c>
      <c r="W7339">
        <v>0.1129333</v>
      </c>
      <c r="X7339">
        <v>0.99159739999999996</v>
      </c>
      <c r="Y7339">
        <v>-9.2990779999999995E-2</v>
      </c>
      <c r="Z7339">
        <v>-2.2222849999999999E-2</v>
      </c>
      <c r="AA7339">
        <v>0.99541900000000005</v>
      </c>
      <c r="AB7339">
        <v>18</v>
      </c>
      <c r="AC7339">
        <v>5.8104999999999896</v>
      </c>
      <c r="AD7339">
        <v>0.97608200000000001</v>
      </c>
      <c r="AE7339">
        <v>-77.732951</v>
      </c>
      <c r="AF7339">
        <v>-7.2621008832246199</v>
      </c>
      <c r="AG7339">
        <v>0.97608200000000001</v>
      </c>
      <c r="AH7339">
        <v>77.598520914437898</v>
      </c>
      <c r="AI7339">
        <v>89.282471365311906</v>
      </c>
      <c r="AJ7339">
        <v>95.346485157773699</v>
      </c>
      <c r="AK7339">
        <v>77.943705925605698</v>
      </c>
      <c r="AL7339">
        <v>83.515565209617904</v>
      </c>
      <c r="AM7339">
        <v>93.640726441197202</v>
      </c>
      <c r="AN7339">
        <v>1.0000000731957901</v>
      </c>
    </row>
    <row r="7340" spans="1:40" x14ac:dyDescent="0.25">
      <c r="A7340" t="str">
        <f>"20190303162100091"</f>
        <v>20190303162100091</v>
      </c>
      <c r="B7340" t="str">
        <f>"1551601260079761"</f>
        <v>1551601260079761</v>
      </c>
      <c r="C7340" t="s">
        <v>40</v>
      </c>
      <c r="D7340">
        <v>4.3014510000000001</v>
      </c>
      <c r="E7340">
        <v>0.48463850000000003</v>
      </c>
      <c r="F7340" t="s">
        <v>72</v>
      </c>
      <c r="G7340">
        <v>-415.71969999999999</v>
      </c>
      <c r="H7340">
        <v>2.114376</v>
      </c>
      <c r="I7340">
        <v>1.278532</v>
      </c>
      <c r="J7340">
        <v>-421.91370000000001</v>
      </c>
      <c r="K7340">
        <v>1.1211040000000001</v>
      </c>
      <c r="L7340">
        <v>78.882750000000001</v>
      </c>
      <c r="M7340">
        <v>-1.8647150000000001E-2</v>
      </c>
      <c r="N7340">
        <v>-9.6352590000000002E-3</v>
      </c>
      <c r="O7340">
        <v>-0.99977969999999905</v>
      </c>
      <c r="P7340">
        <v>4.5177309999999998E-2</v>
      </c>
      <c r="Q7340">
        <v>0.1030672</v>
      </c>
      <c r="R7340">
        <v>-0.99364790000000003</v>
      </c>
      <c r="S7340">
        <v>0.2393188</v>
      </c>
      <c r="T7340">
        <v>3.839004E-2</v>
      </c>
      <c r="U7340">
        <v>-3.0044559999999998</v>
      </c>
      <c r="V7340">
        <v>-6.3705410000000004E-2</v>
      </c>
      <c r="W7340">
        <v>0.1126234</v>
      </c>
      <c r="X7340">
        <v>0.99159350000000002</v>
      </c>
      <c r="Y7340">
        <v>-9.7960069999999996E-2</v>
      </c>
      <c r="Z7340">
        <v>-2.2363480000000002E-2</v>
      </c>
      <c r="AA7340">
        <v>0.99493900000000002</v>
      </c>
      <c r="AB7340">
        <v>18</v>
      </c>
      <c r="AC7340">
        <v>6.1940000000000097</v>
      </c>
      <c r="AD7340">
        <v>0.99327200000000004</v>
      </c>
      <c r="AE7340">
        <v>-77.604218000000003</v>
      </c>
      <c r="AF7340">
        <v>-7.6388441279664301</v>
      </c>
      <c r="AG7340">
        <v>0.99327200000000004</v>
      </c>
      <c r="AH7340">
        <v>77.462608082494697</v>
      </c>
      <c r="AI7340">
        <v>89.268905235549298</v>
      </c>
      <c r="AJ7340">
        <v>95.631917507735196</v>
      </c>
      <c r="AK7340">
        <v>77.844679842745407</v>
      </c>
      <c r="AL7340">
        <v>83.533434958099903</v>
      </c>
      <c r="AM7340">
        <v>93.675943502938907</v>
      </c>
      <c r="AN7340">
        <v>1.00000003936653</v>
      </c>
    </row>
    <row r="7341" spans="1:40" x14ac:dyDescent="0.25">
      <c r="A7341" t="str">
        <f>"20190303162100113"</f>
        <v>20190303162100113</v>
      </c>
      <c r="B7341" t="str">
        <f>"1551601260100256"</f>
        <v>1551601260100256</v>
      </c>
      <c r="C7341" t="s">
        <v>40</v>
      </c>
      <c r="D7341">
        <v>4.3276070000000004</v>
      </c>
      <c r="E7341">
        <v>0.48388110000000001</v>
      </c>
      <c r="F7341" t="s">
        <v>72</v>
      </c>
      <c r="G7341">
        <v>-415.27800000000002</v>
      </c>
      <c r="H7341">
        <v>2.1594159999999998</v>
      </c>
      <c r="I7341">
        <v>1.2802770000000001</v>
      </c>
      <c r="J7341">
        <v>-421.91699999999997</v>
      </c>
      <c r="K7341">
        <v>1.1210789999999999</v>
      </c>
      <c r="L7341">
        <v>78.701449999999994</v>
      </c>
      <c r="M7341">
        <v>-1.8571270000000001E-2</v>
      </c>
      <c r="N7341">
        <v>-9.5068949999999996E-3</v>
      </c>
      <c r="O7341">
        <v>-0.99978259999999997</v>
      </c>
      <c r="P7341">
        <v>4.566042E-2</v>
      </c>
      <c r="Q7341">
        <v>0.1012681</v>
      </c>
      <c r="R7341">
        <v>-0.99381109999999995</v>
      </c>
      <c r="S7341">
        <v>0.25680540000000002</v>
      </c>
      <c r="T7341">
        <v>4.0183190000000001E-2</v>
      </c>
      <c r="U7341">
        <v>-3.0033259999999999</v>
      </c>
      <c r="V7341">
        <v>-6.4116060000000002E-2</v>
      </c>
      <c r="W7341">
        <v>0.11069859999999999</v>
      </c>
      <c r="X7341">
        <v>0.99178370000000005</v>
      </c>
      <c r="Y7341">
        <v>-0.1036657</v>
      </c>
      <c r="Z7341">
        <v>-2.2827549999999999E-2</v>
      </c>
      <c r="AA7341">
        <v>0.99435019999999996</v>
      </c>
      <c r="AB7341">
        <v>18</v>
      </c>
      <c r="AC7341">
        <v>6.6389999999999496</v>
      </c>
      <c r="AD7341">
        <v>1.0383369999999901</v>
      </c>
      <c r="AE7341">
        <v>-77.421172999999996</v>
      </c>
      <c r="AF7341">
        <v>-8.0742873268911293</v>
      </c>
      <c r="AG7341">
        <v>1.0383369999999901</v>
      </c>
      <c r="AH7341">
        <v>77.270722293753593</v>
      </c>
      <c r="AI7341">
        <v>89.234294125878193</v>
      </c>
      <c r="AJ7341">
        <v>95.965386934099698</v>
      </c>
      <c r="AK7341">
        <v>77.698370532213502</v>
      </c>
      <c r="AL7341">
        <v>83.6444115090747</v>
      </c>
      <c r="AM7341">
        <v>93.698865803950895</v>
      </c>
      <c r="AN7341">
        <v>0.99999997838878596</v>
      </c>
    </row>
    <row r="7342" spans="1:40" x14ac:dyDescent="0.25">
      <c r="A7342" t="str">
        <f>"20190303162100137"</f>
        <v>20190303162100137</v>
      </c>
      <c r="B7342" t="str">
        <f>"1551601260129537"</f>
        <v>1551601260129537</v>
      </c>
      <c r="C7342" t="s">
        <v>40</v>
      </c>
      <c r="D7342">
        <v>4.3201689999999999</v>
      </c>
      <c r="E7342">
        <v>0.48343340000000001</v>
      </c>
      <c r="F7342" t="s">
        <v>72</v>
      </c>
      <c r="G7342">
        <v>-415.0444</v>
      </c>
      <c r="H7342">
        <v>2.0232649999999999</v>
      </c>
      <c r="I7342">
        <v>0.52779009999999904</v>
      </c>
      <c r="J7342">
        <v>-421.92020000000002</v>
      </c>
      <c r="K7342">
        <v>1.121062</v>
      </c>
      <c r="L7342">
        <v>78.521240000000006</v>
      </c>
      <c r="M7342">
        <v>-1.8498049999999999E-2</v>
      </c>
      <c r="N7342">
        <v>-9.3920830000000007E-3</v>
      </c>
      <c r="O7342">
        <v>-0.99978489999999998</v>
      </c>
      <c r="P7342">
        <v>4.5909720000000001E-2</v>
      </c>
      <c r="Q7342">
        <v>9.9798570000000003E-2</v>
      </c>
      <c r="R7342">
        <v>-0.99394819999999995</v>
      </c>
      <c r="S7342">
        <v>0.26400759999999901</v>
      </c>
      <c r="T7342">
        <v>3.4656289999999999E-2</v>
      </c>
      <c r="U7342">
        <v>-3.0030209999999999</v>
      </c>
      <c r="V7342">
        <v>-6.4294320000000002E-2</v>
      </c>
      <c r="W7342">
        <v>0.10911659999999999</v>
      </c>
      <c r="X7342">
        <v>0.99194749999999998</v>
      </c>
      <c r="Y7342">
        <v>-0.10597089999999899</v>
      </c>
      <c r="Z7342">
        <v>-2.0880679999999999E-2</v>
      </c>
      <c r="AA7342">
        <v>0.99414999999999998</v>
      </c>
      <c r="AB7342">
        <v>18</v>
      </c>
      <c r="AC7342">
        <v>6.8758000000000203</v>
      </c>
      <c r="AD7342">
        <v>0.90220299999999998</v>
      </c>
      <c r="AE7342">
        <v>-77.993449900000002</v>
      </c>
      <c r="AF7342">
        <v>-8.3163093924769793</v>
      </c>
      <c r="AG7342">
        <v>0.90220299999999998</v>
      </c>
      <c r="AH7342">
        <v>77.842573407509605</v>
      </c>
      <c r="AI7342">
        <v>89.339723150989599</v>
      </c>
      <c r="AJ7342">
        <v>96.098062862587298</v>
      </c>
      <c r="AK7342">
        <v>78.290747900809606</v>
      </c>
      <c r="AL7342">
        <v>83.735606162478106</v>
      </c>
      <c r="AM7342">
        <v>93.708510207286295</v>
      </c>
      <c r="AN7342">
        <v>1.0000000173680299</v>
      </c>
    </row>
    <row r="7343" spans="1:40" x14ac:dyDescent="0.25">
      <c r="A7343" t="str">
        <f>"20190303162100159"</f>
        <v>20190303162100159</v>
      </c>
      <c r="B7343" t="str">
        <f>"1551601260150033"</f>
        <v>1551601260150033</v>
      </c>
      <c r="C7343" t="s">
        <v>40</v>
      </c>
      <c r="D7343">
        <v>4.3525790000000004</v>
      </c>
      <c r="E7343">
        <v>0.48320059999999898</v>
      </c>
      <c r="F7343" t="s">
        <v>72</v>
      </c>
      <c r="G7343">
        <v>-414.94990000000001</v>
      </c>
      <c r="H7343">
        <v>1.8930979999999999</v>
      </c>
      <c r="I7343">
        <v>0.52875139999999998</v>
      </c>
      <c r="J7343">
        <v>-421.92360000000002</v>
      </c>
      <c r="K7343">
        <v>1.121048</v>
      </c>
      <c r="L7343">
        <v>78.336669999999998</v>
      </c>
      <c r="M7343">
        <v>-1.842632E-2</v>
      </c>
      <c r="N7343">
        <v>-9.2881089999999993E-3</v>
      </c>
      <c r="O7343">
        <v>-0.99978710000000004</v>
      </c>
      <c r="P7343">
        <v>4.5484240000000002E-2</v>
      </c>
      <c r="Q7343">
        <v>0.1001071</v>
      </c>
      <c r="R7343">
        <v>-0.99393659999999995</v>
      </c>
      <c r="S7343">
        <v>0.26837159999999999</v>
      </c>
      <c r="T7343">
        <v>2.9723880000000001E-2</v>
      </c>
      <c r="U7343">
        <v>-3.002869</v>
      </c>
      <c r="V7343">
        <v>-6.3796679999999995E-2</v>
      </c>
      <c r="W7343">
        <v>0.1093223</v>
      </c>
      <c r="X7343">
        <v>0.99195690000000003</v>
      </c>
      <c r="Y7343">
        <v>-0.1073397</v>
      </c>
      <c r="Z7343">
        <v>-1.9142139999999998E-2</v>
      </c>
      <c r="AA7343">
        <v>0.99403810000000004</v>
      </c>
      <c r="AB7343">
        <v>18</v>
      </c>
      <c r="AC7343">
        <v>6.9737</v>
      </c>
      <c r="AD7343">
        <v>0.77204999999999901</v>
      </c>
      <c r="AE7343">
        <v>-77.807918599999994</v>
      </c>
      <c r="AF7343">
        <v>-8.4054703555650008</v>
      </c>
      <c r="AG7343">
        <v>0.77204999999999901</v>
      </c>
      <c r="AH7343">
        <v>77.658617093552706</v>
      </c>
      <c r="AI7343">
        <v>89.433714871048295</v>
      </c>
      <c r="AJ7343">
        <v>96.177426962025194</v>
      </c>
      <c r="AK7343">
        <v>78.115995813813996</v>
      </c>
      <c r="AL7343">
        <v>83.723748980963705</v>
      </c>
      <c r="AM7343">
        <v>93.679850626453302</v>
      </c>
      <c r="AN7343">
        <v>0.99999993655695896</v>
      </c>
    </row>
    <row r="7344" spans="1:40" x14ac:dyDescent="0.25">
      <c r="A7344" t="str">
        <f>"20190303162100180"</f>
        <v>20190303162100180</v>
      </c>
      <c r="B7344" t="str">
        <f>"1551601260169552"</f>
        <v>1551601260169552</v>
      </c>
      <c r="C7344" t="s">
        <v>40</v>
      </c>
      <c r="D7344">
        <v>4.3120510000000003</v>
      </c>
      <c r="E7344">
        <v>0.4831607</v>
      </c>
      <c r="F7344" t="s">
        <v>72</v>
      </c>
      <c r="G7344">
        <v>-414.9597</v>
      </c>
      <c r="H7344">
        <v>1.890612</v>
      </c>
      <c r="I7344">
        <v>0.52865030000000002</v>
      </c>
      <c r="J7344">
        <v>-421.92660000000001</v>
      </c>
      <c r="K7344">
        <v>1.121043</v>
      </c>
      <c r="L7344">
        <v>78.164519999999996</v>
      </c>
      <c r="M7344">
        <v>-1.8362920000000001E-2</v>
      </c>
      <c r="N7344">
        <v>-9.2062069999999992E-3</v>
      </c>
      <c r="O7344">
        <v>-0.99978900000000004</v>
      </c>
      <c r="P7344">
        <v>4.5996570000000001E-2</v>
      </c>
      <c r="Q7344">
        <v>0.1004617</v>
      </c>
      <c r="R7344">
        <v>-0.99387740000000002</v>
      </c>
      <c r="S7344">
        <v>0.26876830000000002</v>
      </c>
      <c r="T7344">
        <v>2.9700279999999999E-2</v>
      </c>
      <c r="U7344">
        <v>-3.0029910000000002</v>
      </c>
      <c r="V7344">
        <v>-6.4244079999999995E-2</v>
      </c>
      <c r="W7344">
        <v>0.10959530000000001</v>
      </c>
      <c r="X7344">
        <v>0.9918979</v>
      </c>
      <c r="Y7344">
        <v>-0.1074036</v>
      </c>
      <c r="Z7344">
        <v>-1.9051869999999999E-2</v>
      </c>
      <c r="AA7344">
        <v>0.9940329</v>
      </c>
      <c r="AB7344">
        <v>18</v>
      </c>
      <c r="AC7344">
        <v>6.9669000000000096</v>
      </c>
      <c r="AD7344">
        <v>0.76956899999999995</v>
      </c>
      <c r="AE7344">
        <v>-77.635869700000001</v>
      </c>
      <c r="AF7344">
        <v>-8.3905890174147899</v>
      </c>
      <c r="AG7344">
        <v>0.76956899999999995</v>
      </c>
      <c r="AH7344">
        <v>77.487287188895806</v>
      </c>
      <c r="AI7344">
        <v>89.4342893919967</v>
      </c>
      <c r="AJ7344">
        <v>96.180103906323893</v>
      </c>
      <c r="AK7344">
        <v>77.944043367016405</v>
      </c>
      <c r="AL7344">
        <v>83.708012685825395</v>
      </c>
      <c r="AM7344">
        <v>93.705805214364304</v>
      </c>
      <c r="AN7344">
        <v>0.99999993781077101</v>
      </c>
    </row>
    <row r="7345" spans="1:40" x14ac:dyDescent="0.25">
      <c r="A7345" t="str">
        <f>"20190303162100202"</f>
        <v>20190303162100202</v>
      </c>
      <c r="B7345" t="str">
        <f>"1551601260190048"</f>
        <v>1551601260190048</v>
      </c>
      <c r="C7345" t="s">
        <v>40</v>
      </c>
      <c r="D7345">
        <v>4.3844459999999996</v>
      </c>
      <c r="E7345">
        <v>0.48318480000000003</v>
      </c>
      <c r="F7345" t="s">
        <v>72</v>
      </c>
      <c r="G7345">
        <v>-414.93310000000002</v>
      </c>
      <c r="H7345">
        <v>1.8966879999999999</v>
      </c>
      <c r="I7345">
        <v>0.52892299999999903</v>
      </c>
      <c r="J7345">
        <v>-421.92989999999998</v>
      </c>
      <c r="K7345">
        <v>1.12104</v>
      </c>
      <c r="L7345">
        <v>77.980990000000006</v>
      </c>
      <c r="M7345">
        <v>-1.82995E-2</v>
      </c>
      <c r="N7345">
        <v>-9.1349740000000006E-3</v>
      </c>
      <c r="O7345">
        <v>-0.99979090000000004</v>
      </c>
      <c r="P7345">
        <v>4.6525669999999998E-2</v>
      </c>
      <c r="Q7345">
        <v>0.1006949</v>
      </c>
      <c r="R7345">
        <v>-0.99382919999999997</v>
      </c>
      <c r="S7345">
        <v>0.27050780000000002</v>
      </c>
      <c r="T7345">
        <v>3.0000809999999999E-2</v>
      </c>
      <c r="U7345">
        <v>-3.0029300000000001</v>
      </c>
      <c r="V7345">
        <v>-6.4708299999999996E-2</v>
      </c>
      <c r="W7345">
        <v>0.10975790000000001</v>
      </c>
      <c r="X7345">
        <v>0.9918498</v>
      </c>
      <c r="Y7345">
        <v>-0.1079135</v>
      </c>
      <c r="Z7345">
        <v>-1.9079829999999999E-2</v>
      </c>
      <c r="AA7345">
        <v>0.99397720000000001</v>
      </c>
      <c r="AB7345">
        <v>18</v>
      </c>
      <c r="AC7345">
        <v>6.9967999999999497</v>
      </c>
      <c r="AD7345">
        <v>0.775648</v>
      </c>
      <c r="AE7345">
        <v>-77.452067</v>
      </c>
      <c r="AF7345">
        <v>-8.4121845741709205</v>
      </c>
      <c r="AG7345">
        <v>0.775648</v>
      </c>
      <c r="AH7345">
        <v>77.303363208779103</v>
      </c>
      <c r="AI7345">
        <v>89.428497426064595</v>
      </c>
      <c r="AJ7345">
        <v>96.210513092965201</v>
      </c>
      <c r="AK7345">
        <v>77.763593297366597</v>
      </c>
      <c r="AL7345">
        <v>83.698640198832905</v>
      </c>
      <c r="AM7345">
        <v>93.732687989454703</v>
      </c>
      <c r="AN7345">
        <v>0.99999999323067001</v>
      </c>
    </row>
    <row r="7346" spans="1:40" x14ac:dyDescent="0.25">
      <c r="A7346" t="str">
        <f>"20190303162100226"</f>
        <v>20190303162100226</v>
      </c>
      <c r="B7346" t="str">
        <f>"1551601260220304"</f>
        <v>1551601260220304</v>
      </c>
      <c r="C7346" t="s">
        <v>40</v>
      </c>
      <c r="D7346">
        <v>4.382943</v>
      </c>
      <c r="E7346">
        <v>0.483209</v>
      </c>
      <c r="F7346" t="s">
        <v>72</v>
      </c>
      <c r="G7346">
        <v>-414.91500000000002</v>
      </c>
      <c r="H7346">
        <v>1.890145</v>
      </c>
      <c r="I7346">
        <v>0.52910610000000002</v>
      </c>
      <c r="J7346">
        <v>-421.9332</v>
      </c>
      <c r="K7346">
        <v>1.1210450000000001</v>
      </c>
      <c r="L7346">
        <v>77.797820000000002</v>
      </c>
      <c r="M7346">
        <v>-1.8241179999999999E-2</v>
      </c>
      <c r="N7346">
        <v>-9.0801979999999994E-3</v>
      </c>
      <c r="O7346">
        <v>-0.99979260000000003</v>
      </c>
      <c r="P7346">
        <v>4.7219860000000002E-2</v>
      </c>
      <c r="Q7346">
        <v>0.1026116</v>
      </c>
      <c r="R7346">
        <v>-0.99360040000000005</v>
      </c>
      <c r="S7346">
        <v>0.27197270000000001</v>
      </c>
      <c r="T7346">
        <v>2.9817699999999999E-2</v>
      </c>
      <c r="U7346">
        <v>-3.002869</v>
      </c>
      <c r="V7346">
        <v>-6.533978E-2</v>
      </c>
      <c r="W7346">
        <v>0.11161840000000001</v>
      </c>
      <c r="X7346">
        <v>0.99160079999999995</v>
      </c>
      <c r="Y7346">
        <v>-0.1083385</v>
      </c>
      <c r="Z7346">
        <v>-1.8964160000000001E-2</v>
      </c>
      <c r="AA7346">
        <v>0.99393310000000001</v>
      </c>
      <c r="AB7346">
        <v>18</v>
      </c>
      <c r="AC7346">
        <v>7.01819999999997</v>
      </c>
      <c r="AD7346">
        <v>0.76909999999999901</v>
      </c>
      <c r="AE7346">
        <v>-77.268713899999995</v>
      </c>
      <c r="AF7346">
        <v>-8.4257345708010902</v>
      </c>
      <c r="AG7346">
        <v>0.76909999999999901</v>
      </c>
      <c r="AH7346">
        <v>77.120252986305104</v>
      </c>
      <c r="AI7346">
        <v>89.432002883793004</v>
      </c>
      <c r="AJ7346">
        <v>96.235091654179001</v>
      </c>
      <c r="AK7346">
        <v>77.582974540419002</v>
      </c>
      <c r="AL7346">
        <v>83.591382671873205</v>
      </c>
      <c r="AM7346">
        <v>93.769954027944905</v>
      </c>
      <c r="AN7346">
        <v>1.0000000503148201</v>
      </c>
    </row>
    <row r="7347" spans="1:40" x14ac:dyDescent="0.25">
      <c r="A7347" t="str">
        <f>"20190303162100246"</f>
        <v>20190303162100246</v>
      </c>
      <c r="B7347" t="str">
        <f>"1551601260239825"</f>
        <v>1551601260239825</v>
      </c>
      <c r="C7347" t="s">
        <v>40</v>
      </c>
      <c r="D7347">
        <v>4.3980290000000002</v>
      </c>
      <c r="E7347">
        <v>0.48318650000000002</v>
      </c>
      <c r="F7347" t="s">
        <v>72</v>
      </c>
      <c r="G7347">
        <v>-414.89139999999998</v>
      </c>
      <c r="H7347">
        <v>2.0170979999999998</v>
      </c>
      <c r="I7347">
        <v>0.52934840000000005</v>
      </c>
      <c r="J7347">
        <v>-421.93639999999999</v>
      </c>
      <c r="K7347">
        <v>1.1210500000000001</v>
      </c>
      <c r="L7347">
        <v>77.619479999999996</v>
      </c>
      <c r="M7347">
        <v>-1.8191039999999999E-2</v>
      </c>
      <c r="N7347">
        <v>-9.0394250000000002E-3</v>
      </c>
      <c r="O7347">
        <v>-0.99979379999999995</v>
      </c>
      <c r="P7347">
        <v>4.7592710000000003E-2</v>
      </c>
      <c r="Q7347">
        <v>0.10524020000000001</v>
      </c>
      <c r="R7347">
        <v>-0.99330759999999996</v>
      </c>
      <c r="S7347">
        <v>0.27365109999999998</v>
      </c>
      <c r="T7347">
        <v>3.4820320000000002E-2</v>
      </c>
      <c r="U7347">
        <v>-3.0027159999999999</v>
      </c>
      <c r="V7347">
        <v>-6.5657019999999996E-2</v>
      </c>
      <c r="W7347">
        <v>0.114204399999999</v>
      </c>
      <c r="X7347">
        <v>0.99128530000000004</v>
      </c>
      <c r="Y7347">
        <v>-0.1088421</v>
      </c>
      <c r="Z7347">
        <v>-2.05801E-2</v>
      </c>
      <c r="AA7347">
        <v>0.99384600000000001</v>
      </c>
      <c r="AB7347">
        <v>18</v>
      </c>
      <c r="AC7347">
        <v>7.0450000000000097</v>
      </c>
      <c r="AD7347">
        <v>0.89604799999999896</v>
      </c>
      <c r="AE7347">
        <v>-77.090131599999907</v>
      </c>
      <c r="AF7347">
        <v>-8.4451094316756592</v>
      </c>
      <c r="AG7347">
        <v>0.89604799999999896</v>
      </c>
      <c r="AH7347">
        <v>76.938904725933199</v>
      </c>
      <c r="AI7347">
        <v>89.336733701898396</v>
      </c>
      <c r="AJ7347">
        <v>96.263928798217705</v>
      </c>
      <c r="AK7347">
        <v>77.406187322186994</v>
      </c>
      <c r="AL7347">
        <v>83.442261917995097</v>
      </c>
      <c r="AM7347">
        <v>93.789407046850201</v>
      </c>
      <c r="AN7347">
        <v>1.0000000176253601</v>
      </c>
    </row>
    <row r="7348" spans="1:40" x14ac:dyDescent="0.25">
      <c r="A7348" t="str">
        <f>"20190303162100270"</f>
        <v>20190303162100270</v>
      </c>
      <c r="B7348" t="str">
        <f>"1551601260260320"</f>
        <v>1551601260260320</v>
      </c>
      <c r="C7348" t="s">
        <v>40</v>
      </c>
      <c r="D7348">
        <v>4.4137060000000004</v>
      </c>
      <c r="E7348">
        <v>0.48323080000000002</v>
      </c>
      <c r="F7348" t="s">
        <v>72</v>
      </c>
      <c r="G7348">
        <v>-414.85399999999998</v>
      </c>
      <c r="H7348">
        <v>2.2061730000000002</v>
      </c>
      <c r="I7348">
        <v>0.52972980000000003</v>
      </c>
      <c r="J7348">
        <v>-421.93970000000002</v>
      </c>
      <c r="K7348">
        <v>1.121049</v>
      </c>
      <c r="L7348">
        <v>77.434359999999998</v>
      </c>
      <c r="M7348">
        <v>-1.814433E-2</v>
      </c>
      <c r="N7348">
        <v>-9.0038640000000003E-3</v>
      </c>
      <c r="O7348">
        <v>-0.99979499999999999</v>
      </c>
      <c r="P7348">
        <v>4.8022629999999997E-2</v>
      </c>
      <c r="Q7348">
        <v>0.10692359999999999</v>
      </c>
      <c r="R7348">
        <v>-0.99310699999999996</v>
      </c>
      <c r="S7348">
        <v>0.27584839999999999</v>
      </c>
      <c r="T7348">
        <v>4.2263149999999999E-2</v>
      </c>
      <c r="U7348">
        <v>-3.0025330000000001</v>
      </c>
      <c r="V7348">
        <v>-6.603618E-2</v>
      </c>
      <c r="W7348">
        <v>0.11585090000000001</v>
      </c>
      <c r="X7348">
        <v>0.99106899999999998</v>
      </c>
      <c r="Y7348">
        <v>-0.1095188</v>
      </c>
      <c r="Z7348">
        <v>-2.300905E-2</v>
      </c>
      <c r="AA7348">
        <v>0.9937184</v>
      </c>
      <c r="AB7348">
        <v>18</v>
      </c>
      <c r="AC7348">
        <v>7.0856999999999699</v>
      </c>
      <c r="AD7348">
        <v>1.085124</v>
      </c>
      <c r="AE7348">
        <v>-76.9046302</v>
      </c>
      <c r="AF7348">
        <v>-8.4782990164423104</v>
      </c>
      <c r="AG7348">
        <v>1.085124</v>
      </c>
      <c r="AH7348">
        <v>76.748247181750898</v>
      </c>
      <c r="AI7348">
        <v>89.194860647347397</v>
      </c>
      <c r="AJ7348">
        <v>96.303845306960497</v>
      </c>
      <c r="AK7348">
        <v>77.222745961139694</v>
      </c>
      <c r="AL7348">
        <v>83.347293823108004</v>
      </c>
      <c r="AM7348">
        <v>93.812055371056999</v>
      </c>
      <c r="AN7348">
        <v>0.99999998543040103</v>
      </c>
    </row>
    <row r="7349" spans="1:40" x14ac:dyDescent="0.25">
      <c r="A7349" t="str">
        <f>"20190303162100292"</f>
        <v>20190303162100292</v>
      </c>
      <c r="B7349" t="str">
        <f>"1551601260279842"</f>
        <v>1551601260279842</v>
      </c>
      <c r="C7349" t="s">
        <v>40</v>
      </c>
      <c r="D7349">
        <v>4.4974730000000003</v>
      </c>
      <c r="E7349">
        <v>0.48333809999999999</v>
      </c>
      <c r="F7349" t="s">
        <v>72</v>
      </c>
      <c r="G7349">
        <v>-414.86219999999997</v>
      </c>
      <c r="H7349">
        <v>2.3328799999999998</v>
      </c>
      <c r="I7349">
        <v>0.5296478</v>
      </c>
      <c r="J7349">
        <v>-421.94299999999998</v>
      </c>
      <c r="K7349">
        <v>1.121043</v>
      </c>
      <c r="L7349">
        <v>77.249020000000002</v>
      </c>
      <c r="M7349">
        <v>-1.8102699999999999E-2</v>
      </c>
      <c r="N7349">
        <v>-8.9730290000000004E-3</v>
      </c>
      <c r="O7349">
        <v>-0.99979620000000002</v>
      </c>
      <c r="P7349">
        <v>4.9000780000000001E-2</v>
      </c>
      <c r="Q7349">
        <v>0.1060413</v>
      </c>
      <c r="R7349">
        <v>-0.99315410000000004</v>
      </c>
      <c r="S7349">
        <v>0.2763062</v>
      </c>
      <c r="T7349">
        <v>4.7309280000000002E-2</v>
      </c>
      <c r="U7349">
        <v>-3.00238</v>
      </c>
      <c r="V7349">
        <v>-6.697285E-2</v>
      </c>
      <c r="W7349">
        <v>0.1149391</v>
      </c>
      <c r="X7349">
        <v>0.9911124</v>
      </c>
      <c r="Y7349">
        <v>-0.1096295</v>
      </c>
      <c r="Z7349">
        <v>-2.4649589999999999E-2</v>
      </c>
      <c r="AA7349">
        <v>0.99366679999999996</v>
      </c>
      <c r="AB7349">
        <v>18</v>
      </c>
      <c r="AC7349">
        <v>7.0808000000000604</v>
      </c>
      <c r="AD7349">
        <v>1.2118369999999901</v>
      </c>
      <c r="AE7349">
        <v>-76.719372199999995</v>
      </c>
      <c r="AF7349">
        <v>-8.4664282581674293</v>
      </c>
      <c r="AG7349">
        <v>1.2118369999999901</v>
      </c>
      <c r="AH7349">
        <v>76.559672045450498</v>
      </c>
      <c r="AI7349">
        <v>89.098654066864796</v>
      </c>
      <c r="AJ7349">
        <v>96.3104705656513</v>
      </c>
      <c r="AK7349">
        <v>77.035915909867697</v>
      </c>
      <c r="AL7349">
        <v>83.399888049430004</v>
      </c>
      <c r="AM7349">
        <v>93.865794708122493</v>
      </c>
      <c r="AN7349">
        <v>1.0000000743898401</v>
      </c>
    </row>
    <row r="7350" spans="1:40" x14ac:dyDescent="0.25">
      <c r="A7350" t="str">
        <f>"20190303162100315"</f>
        <v>20190303162100315</v>
      </c>
      <c r="B7350" t="str">
        <f>"1551601260310097"</f>
        <v>1551601260310097</v>
      </c>
      <c r="C7350" t="s">
        <v>40</v>
      </c>
      <c r="D7350">
        <v>4.4452040000000004</v>
      </c>
      <c r="E7350">
        <v>0.53337849999999998</v>
      </c>
      <c r="F7350" t="s">
        <v>72</v>
      </c>
      <c r="G7350">
        <v>-414.82940000000002</v>
      </c>
      <c r="H7350">
        <v>2.2257009999999999</v>
      </c>
      <c r="I7350">
        <v>0.52997780000000005</v>
      </c>
      <c r="J7350">
        <v>-421.94639999999998</v>
      </c>
      <c r="K7350">
        <v>1.1210370000000001</v>
      </c>
      <c r="L7350">
        <v>77.057159999999996</v>
      </c>
      <c r="M7350">
        <v>-1.8067360000000001E-2</v>
      </c>
      <c r="N7350">
        <v>-8.9463040000000004E-3</v>
      </c>
      <c r="O7350">
        <v>-0.99979689999999999</v>
      </c>
      <c r="P7350">
        <v>5.12624E-2</v>
      </c>
      <c r="Q7350">
        <v>0.1050282</v>
      </c>
      <c r="R7350">
        <v>-0.99314740000000001</v>
      </c>
      <c r="S7350">
        <v>0.2783813</v>
      </c>
      <c r="T7350">
        <v>4.3228629999999997E-2</v>
      </c>
      <c r="U7350">
        <v>-3.002319</v>
      </c>
      <c r="V7350">
        <v>-6.9197510000000004E-2</v>
      </c>
      <c r="W7350">
        <v>0.1138998</v>
      </c>
      <c r="X7350">
        <v>0.9910795</v>
      </c>
      <c r="Y7350">
        <v>-0.11027960000000001</v>
      </c>
      <c r="Z7350">
        <v>-2.327106E-2</v>
      </c>
      <c r="AA7350">
        <v>0.99362810000000001</v>
      </c>
      <c r="AB7350">
        <v>18</v>
      </c>
      <c r="AC7350">
        <v>7.11699999999996</v>
      </c>
      <c r="AD7350">
        <v>1.1046640000000001</v>
      </c>
      <c r="AE7350">
        <v>-76.527182199999999</v>
      </c>
      <c r="AF7350">
        <v>-8.4967822177680095</v>
      </c>
      <c r="AG7350">
        <v>1.1046640000000001</v>
      </c>
      <c r="AH7350">
        <v>76.370322687290098</v>
      </c>
      <c r="AI7350">
        <v>89.176379995316793</v>
      </c>
      <c r="AJ7350">
        <v>96.348484974436502</v>
      </c>
      <c r="AK7350">
        <v>76.849474806077097</v>
      </c>
      <c r="AL7350">
        <v>83.459828840075303</v>
      </c>
      <c r="AM7350">
        <v>93.993929381140802</v>
      </c>
      <c r="AN7350">
        <v>1.0000000175752399</v>
      </c>
    </row>
    <row r="7351" spans="1:40" x14ac:dyDescent="0.25">
      <c r="A7351" t="str">
        <f>"20190303162100337"</f>
        <v>20190303162100337</v>
      </c>
      <c r="B7351" t="str">
        <f>"1551601260329617"</f>
        <v>1551601260329617</v>
      </c>
      <c r="C7351" t="s">
        <v>40</v>
      </c>
      <c r="D7351">
        <v>4.4777079999999998</v>
      </c>
      <c r="E7351">
        <v>0.53490719999999903</v>
      </c>
      <c r="F7351" t="s">
        <v>42</v>
      </c>
      <c r="G7351">
        <v>-421.97579999999999</v>
      </c>
      <c r="H7351">
        <v>0.98540910000000004</v>
      </c>
      <c r="I7351">
        <v>76.277819999999906</v>
      </c>
      <c r="J7351">
        <v>-421.94959999999998</v>
      </c>
      <c r="K7351">
        <v>1.121022</v>
      </c>
      <c r="L7351">
        <v>76.87509</v>
      </c>
      <c r="M7351">
        <v>-1.8044250000000001E-2</v>
      </c>
      <c r="N7351">
        <v>-8.9256200000000004E-3</v>
      </c>
      <c r="O7351">
        <v>-0.9997973</v>
      </c>
      <c r="P7351">
        <v>5.3033049999999998E-2</v>
      </c>
      <c r="Q7351">
        <v>0.1047228</v>
      </c>
      <c r="R7351">
        <v>-0.99308649999999998</v>
      </c>
      <c r="S7351">
        <v>-0.1162415</v>
      </c>
      <c r="T7351">
        <v>-0.53659669999999904</v>
      </c>
      <c r="U7351">
        <v>-3.0834350000000001</v>
      </c>
      <c r="V7351">
        <v>-7.094201E-2</v>
      </c>
      <c r="W7351">
        <v>0.1135743</v>
      </c>
      <c r="X7351">
        <v>0.99099349999999997</v>
      </c>
      <c r="Y7351">
        <v>1.911674E-2</v>
      </c>
      <c r="Z7351">
        <v>0.1625355</v>
      </c>
      <c r="AA7351">
        <v>0.98651750000000005</v>
      </c>
      <c r="AB7351">
        <v>18</v>
      </c>
      <c r="AC7351">
        <v>-2.6200000000017099E-2</v>
      </c>
      <c r="AD7351">
        <v>-0.13561289999999901</v>
      </c>
      <c r="AE7351">
        <v>-0.59727000000000796</v>
      </c>
      <c r="AF7351">
        <v>1.4663507442656799E-2</v>
      </c>
      <c r="AG7351">
        <v>-0.13561289999999901</v>
      </c>
      <c r="AH7351">
        <v>0.56839869910446195</v>
      </c>
      <c r="AI7351">
        <v>103.41489152018499</v>
      </c>
      <c r="AJ7351">
        <v>88.5222155135896</v>
      </c>
      <c r="AK7351">
        <v>0.58453653285365803</v>
      </c>
      <c r="AL7351">
        <v>83.478600336272507</v>
      </c>
      <c r="AM7351">
        <v>94.094633987001401</v>
      </c>
      <c r="AN7351">
        <v>1.0000000037227801</v>
      </c>
    </row>
    <row r="7352" spans="1:40" x14ac:dyDescent="0.25">
      <c r="A7352" t="str">
        <f>"20190303162100360"</f>
        <v>20190303162100360</v>
      </c>
      <c r="B7352" t="str">
        <f>"1551601260349643"</f>
        <v>1551601260349643</v>
      </c>
      <c r="C7352" t="s">
        <v>40</v>
      </c>
      <c r="D7352">
        <v>4.4569369999999999</v>
      </c>
      <c r="E7352">
        <v>0.53549340000000001</v>
      </c>
      <c r="F7352" t="s">
        <v>42</v>
      </c>
      <c r="G7352">
        <v>-421.97949999999997</v>
      </c>
      <c r="H7352">
        <v>0.95218959999999997</v>
      </c>
      <c r="I7352">
        <v>76.127629999999996</v>
      </c>
      <c r="J7352">
        <v>-421.95299999999997</v>
      </c>
      <c r="K7352">
        <v>1.1210059999999999</v>
      </c>
      <c r="L7352">
        <v>76.686000000000007</v>
      </c>
      <c r="M7352">
        <v>-1.803103E-2</v>
      </c>
      <c r="N7352">
        <v>-8.9013349999999998E-3</v>
      </c>
      <c r="O7352">
        <v>-0.99979810000000002</v>
      </c>
      <c r="P7352">
        <v>5.4873720000000001E-2</v>
      </c>
      <c r="Q7352">
        <v>0.1042368</v>
      </c>
      <c r="R7352">
        <v>-0.99303779999999997</v>
      </c>
      <c r="S7352">
        <v>-0.1231384</v>
      </c>
      <c r="T7352">
        <v>-0.70051109999999905</v>
      </c>
      <c r="U7352">
        <v>-3.101318</v>
      </c>
      <c r="V7352">
        <v>-7.2766380000000006E-2</v>
      </c>
      <c r="W7352">
        <v>0.1130645</v>
      </c>
      <c r="X7352">
        <v>0.99091949999999995</v>
      </c>
      <c r="Y7352">
        <v>2.0730209999999999E-2</v>
      </c>
      <c r="Z7352">
        <v>0.21147779999999999</v>
      </c>
      <c r="AA7352">
        <v>0.977163</v>
      </c>
      <c r="AB7352">
        <v>19</v>
      </c>
      <c r="AC7352">
        <v>-2.6499999999941699E-2</v>
      </c>
      <c r="AD7352">
        <v>-0.16881639999999901</v>
      </c>
      <c r="AE7352">
        <v>-0.55836999999999604</v>
      </c>
      <c r="AF7352">
        <v>1.50543142801127E-2</v>
      </c>
      <c r="AG7352">
        <v>-0.16881639999999901</v>
      </c>
      <c r="AH7352">
        <v>0.51205612395738997</v>
      </c>
      <c r="AI7352">
        <v>108.23917086035</v>
      </c>
      <c r="AJ7352">
        <v>88.316004345754493</v>
      </c>
      <c r="AK7352">
        <v>0.53937656917006505</v>
      </c>
      <c r="AL7352">
        <v>83.507999013048902</v>
      </c>
      <c r="AM7352">
        <v>94.199873513530306</v>
      </c>
      <c r="AN7352">
        <v>0.99999999134940198</v>
      </c>
    </row>
    <row r="7353" spans="1:40" x14ac:dyDescent="0.25">
      <c r="A7353" t="str">
        <f>"20190303162100382"</f>
        <v>20190303162100382</v>
      </c>
      <c r="B7353" t="str">
        <f>"1551601260370138"</f>
        <v>1551601260370138</v>
      </c>
      <c r="C7353" t="s">
        <v>40</v>
      </c>
      <c r="D7353">
        <v>4.4670589999999999</v>
      </c>
      <c r="E7353">
        <v>0.53629830000000001</v>
      </c>
      <c r="F7353" t="s">
        <v>42</v>
      </c>
      <c r="G7353">
        <v>-421.98160000000001</v>
      </c>
      <c r="H7353">
        <v>0.94510450000000001</v>
      </c>
      <c r="I7353">
        <v>75.964349999999996</v>
      </c>
      <c r="J7353">
        <v>-421.9563</v>
      </c>
      <c r="K7353">
        <v>1.1209910000000001</v>
      </c>
      <c r="L7353">
        <v>76.501429999999999</v>
      </c>
      <c r="M7353">
        <v>-1.802666E-2</v>
      </c>
      <c r="N7353">
        <v>-8.869142E-3</v>
      </c>
      <c r="O7353">
        <v>-0.99979830000000003</v>
      </c>
      <c r="P7353">
        <v>5.5970069999999997E-2</v>
      </c>
      <c r="Q7353">
        <v>0.1033892</v>
      </c>
      <c r="R7353">
        <v>-0.99306530000000004</v>
      </c>
      <c r="S7353">
        <v>-0.1234741</v>
      </c>
      <c r="T7353">
        <v>-0.75741219999999998</v>
      </c>
      <c r="U7353">
        <v>-3.107361</v>
      </c>
      <c r="V7353">
        <v>-7.3857199999999998E-2</v>
      </c>
      <c r="W7353">
        <v>0.1121866</v>
      </c>
      <c r="X7353">
        <v>0.9909386</v>
      </c>
      <c r="Y7353">
        <v>2.0615069999999999E-2</v>
      </c>
      <c r="Z7353">
        <v>0.22802169999999999</v>
      </c>
      <c r="AA7353">
        <v>0.97343780000000002</v>
      </c>
      <c r="AB7353">
        <v>19</v>
      </c>
      <c r="AC7353">
        <v>-2.5300000000015602E-2</v>
      </c>
      <c r="AD7353">
        <v>-0.1758865</v>
      </c>
      <c r="AE7353">
        <v>-0.537080000000003</v>
      </c>
      <c r="AF7353">
        <v>1.4104434778557599E-2</v>
      </c>
      <c r="AG7353">
        <v>-0.1758865</v>
      </c>
      <c r="AH7353">
        <v>0.48549589274044302</v>
      </c>
      <c r="AI7353">
        <v>109.906809429679</v>
      </c>
      <c r="AJ7353">
        <v>88.335933709976203</v>
      </c>
      <c r="AK7353">
        <v>0.51656679900136104</v>
      </c>
      <c r="AL7353">
        <v>83.558621209815698</v>
      </c>
      <c r="AM7353">
        <v>94.262520408062301</v>
      </c>
      <c r="AN7353">
        <v>1.00000001409068</v>
      </c>
    </row>
    <row r="7354" spans="1:40" x14ac:dyDescent="0.25">
      <c r="A7354" t="str">
        <f>"20190303162100405"</f>
        <v>20190303162100405</v>
      </c>
      <c r="B7354" t="str">
        <f>"1551601260400395"</f>
        <v>1551601260400395</v>
      </c>
      <c r="C7354" t="s">
        <v>40</v>
      </c>
      <c r="D7354">
        <v>4.4533870000000002</v>
      </c>
      <c r="E7354">
        <v>0.53719869999999903</v>
      </c>
      <c r="F7354" t="s">
        <v>42</v>
      </c>
      <c r="G7354">
        <v>-421.98540000000003</v>
      </c>
      <c r="H7354">
        <v>0.94611279999999998</v>
      </c>
      <c r="I7354">
        <v>75.796899999999994</v>
      </c>
      <c r="J7354">
        <v>-421.9597</v>
      </c>
      <c r="K7354">
        <v>1.1209750000000001</v>
      </c>
      <c r="L7354">
        <v>76.316959999999995</v>
      </c>
      <c r="M7354">
        <v>-1.803329E-2</v>
      </c>
      <c r="N7354">
        <v>-8.8348049999999994E-3</v>
      </c>
      <c r="O7354">
        <v>-0.99979850000000003</v>
      </c>
      <c r="P7354">
        <v>5.6280650000000002E-2</v>
      </c>
      <c r="Q7354">
        <v>0.10294159999999999</v>
      </c>
      <c r="R7354">
        <v>-0.99309440000000004</v>
      </c>
      <c r="S7354">
        <v>-0.12695310000000001</v>
      </c>
      <c r="T7354">
        <v>-0.77156939999999996</v>
      </c>
      <c r="U7354">
        <v>-3.1084290000000001</v>
      </c>
      <c r="V7354">
        <v>-7.4172619999999995E-2</v>
      </c>
      <c r="W7354">
        <v>0.1117066</v>
      </c>
      <c r="X7354">
        <v>0.99096919999999999</v>
      </c>
      <c r="Y7354">
        <v>2.1641540000000001E-2</v>
      </c>
      <c r="Z7354">
        <v>0.2321472</v>
      </c>
      <c r="AA7354">
        <v>0.97243990000000002</v>
      </c>
      <c r="AB7354">
        <v>19</v>
      </c>
      <c r="AC7354">
        <v>-2.5700000000028901E-2</v>
      </c>
      <c r="AD7354">
        <v>-0.174862199999999</v>
      </c>
      <c r="AE7354">
        <v>-0.52005999999999997</v>
      </c>
      <c r="AF7354">
        <v>1.46633543560335E-2</v>
      </c>
      <c r="AG7354">
        <v>-0.174862199999999</v>
      </c>
      <c r="AH7354">
        <v>0.46769323350804798</v>
      </c>
      <c r="AI7354">
        <v>110.490646926549</v>
      </c>
      <c r="AJ7354">
        <v>88.204222047053804</v>
      </c>
      <c r="AK7354">
        <v>0.49952854134576102</v>
      </c>
      <c r="AL7354">
        <v>83.586296727432597</v>
      </c>
      <c r="AM7354">
        <v>94.280525029574704</v>
      </c>
      <c r="AN7354">
        <v>0.99999994869493003</v>
      </c>
    </row>
    <row r="7355" spans="1:40" x14ac:dyDescent="0.25">
      <c r="A7355" t="str">
        <f>"20190303162100426"</f>
        <v>20190303162100426</v>
      </c>
      <c r="B7355" t="str">
        <f>"1551601260419915"</f>
        <v>1551601260419915</v>
      </c>
      <c r="C7355" t="s">
        <v>40</v>
      </c>
      <c r="D7355">
        <v>4.4770810000000001</v>
      </c>
      <c r="E7355">
        <v>0.53732089999999999</v>
      </c>
      <c r="F7355" t="s">
        <v>42</v>
      </c>
      <c r="G7355">
        <v>-421.98930000000001</v>
      </c>
      <c r="H7355">
        <v>0.94870880000000002</v>
      </c>
      <c r="I7355">
        <v>75.628169999999997</v>
      </c>
      <c r="J7355">
        <v>-421.96300000000002</v>
      </c>
      <c r="K7355">
        <v>1.1209519999999999</v>
      </c>
      <c r="L7355">
        <v>76.1297</v>
      </c>
      <c r="M7355">
        <v>-1.8057170000000001E-2</v>
      </c>
      <c r="N7355">
        <v>-8.8052670000000003E-3</v>
      </c>
      <c r="O7355">
        <v>-0.99979850000000003</v>
      </c>
      <c r="P7355">
        <v>5.6133639999999999E-2</v>
      </c>
      <c r="Q7355">
        <v>0.1026531</v>
      </c>
      <c r="R7355">
        <v>-0.99313260000000003</v>
      </c>
      <c r="S7355">
        <v>-0.13323969999999999</v>
      </c>
      <c r="T7355">
        <v>-0.77755980000000002</v>
      </c>
      <c r="U7355">
        <v>-3.1090089999999999</v>
      </c>
      <c r="V7355">
        <v>-7.4048149999999993E-2</v>
      </c>
      <c r="W7355">
        <v>0.1113905</v>
      </c>
      <c r="X7355">
        <v>0.99101410000000001</v>
      </c>
      <c r="Y7355">
        <v>2.3553040000000001E-2</v>
      </c>
      <c r="Z7355">
        <v>0.2338817</v>
      </c>
      <c r="AA7355">
        <v>0.9719797</v>
      </c>
      <c r="AB7355">
        <v>19</v>
      </c>
      <c r="AC7355">
        <v>-2.6299999999992E-2</v>
      </c>
      <c r="AD7355">
        <v>-0.17224319999999901</v>
      </c>
      <c r="AE7355">
        <v>-0.50153000000000203</v>
      </c>
      <c r="AF7355">
        <v>1.5424815098320201E-2</v>
      </c>
      <c r="AG7355">
        <v>-0.17224319999999901</v>
      </c>
      <c r="AH7355">
        <v>0.44909820250122401</v>
      </c>
      <c r="AI7355">
        <v>110.972090134171</v>
      </c>
      <c r="AJ7355">
        <v>88.032881167912194</v>
      </c>
      <c r="AK7355">
        <v>0.48124301590453</v>
      </c>
      <c r="AL7355">
        <v>83.604521733957498</v>
      </c>
      <c r="AM7355">
        <v>94.273175562077697</v>
      </c>
      <c r="AN7355">
        <v>0.99999995920373996</v>
      </c>
    </row>
    <row r="7356" spans="1:40" x14ac:dyDescent="0.25">
      <c r="A7356" t="str">
        <f>"20190303162100449"</f>
        <v>20190303162100449</v>
      </c>
      <c r="B7356" t="str">
        <f>"1551601260440411"</f>
        <v>1551601260440411</v>
      </c>
      <c r="C7356" t="s">
        <v>40</v>
      </c>
      <c r="D7356">
        <v>4.5320289999999996</v>
      </c>
      <c r="E7356">
        <v>0.53787220000000002</v>
      </c>
      <c r="F7356" t="s">
        <v>42</v>
      </c>
      <c r="G7356">
        <v>-421.9982</v>
      </c>
      <c r="H7356">
        <v>0.91533589999999998</v>
      </c>
      <c r="I7356">
        <v>75.306919999999906</v>
      </c>
      <c r="J7356">
        <v>-421.96640000000002</v>
      </c>
      <c r="K7356">
        <v>1.1209309999999999</v>
      </c>
      <c r="L7356">
        <v>75.943700000000007</v>
      </c>
      <c r="M7356">
        <v>-1.810022E-2</v>
      </c>
      <c r="N7356">
        <v>-8.7807900000000001E-3</v>
      </c>
      <c r="O7356">
        <v>-0.99979779999999996</v>
      </c>
      <c r="P7356">
        <v>5.5296350000000001E-2</v>
      </c>
      <c r="Q7356">
        <v>0.1015225</v>
      </c>
      <c r="R7356">
        <v>-0.99329559999999995</v>
      </c>
      <c r="S7356">
        <v>-0.13323969999999999</v>
      </c>
      <c r="T7356">
        <v>-0.77684379999999997</v>
      </c>
      <c r="U7356">
        <v>-3.1085820000000002</v>
      </c>
      <c r="V7356">
        <v>-7.3254260000000002E-2</v>
      </c>
      <c r="W7356">
        <v>0.1102385</v>
      </c>
      <c r="X7356">
        <v>0.99120189999999997</v>
      </c>
      <c r="Y7356">
        <v>2.3517449999999999E-2</v>
      </c>
      <c r="Z7356">
        <v>0.23372609999999999</v>
      </c>
      <c r="AA7356">
        <v>0.97201800000000005</v>
      </c>
      <c r="AB7356">
        <v>19</v>
      </c>
      <c r="AC7356">
        <v>-3.1799999999975598E-2</v>
      </c>
      <c r="AD7356">
        <v>-0.205595099999999</v>
      </c>
      <c r="AE7356">
        <v>-0.636780000000015</v>
      </c>
      <c r="AF7356">
        <v>1.8359411485774999E-2</v>
      </c>
      <c r="AG7356">
        <v>-0.205595099999999</v>
      </c>
      <c r="AH7356">
        <v>0.57722892515022295</v>
      </c>
      <c r="AI7356">
        <v>109.59552586405501</v>
      </c>
      <c r="AJ7356">
        <v>88.178257801639106</v>
      </c>
      <c r="AK7356">
        <v>0.61302499554601797</v>
      </c>
      <c r="AL7356">
        <v>83.670935519090705</v>
      </c>
      <c r="AM7356">
        <v>94.226730622613104</v>
      </c>
      <c r="AN7356">
        <v>0.99999996002700198</v>
      </c>
    </row>
    <row r="7357" spans="1:40" x14ac:dyDescent="0.25">
      <c r="A7357" t="str">
        <f>"20190303162100471"</f>
        <v>20190303162100471</v>
      </c>
      <c r="B7357" t="str">
        <f>"1551601260459931"</f>
        <v>1551601260459931</v>
      </c>
      <c r="C7357" t="s">
        <v>40</v>
      </c>
      <c r="D7357">
        <v>4.5191739999999996</v>
      </c>
      <c r="E7357">
        <v>0.53922689999999995</v>
      </c>
      <c r="F7357" t="s">
        <v>42</v>
      </c>
      <c r="G7357">
        <v>-422.00279999999998</v>
      </c>
      <c r="H7357">
        <v>0.91794310000000001</v>
      </c>
      <c r="I7357">
        <v>75.136830000000003</v>
      </c>
      <c r="J7357">
        <v>-421.97</v>
      </c>
      <c r="K7357">
        <v>1.12090499999999</v>
      </c>
      <c r="L7357">
        <v>75.752169999999893</v>
      </c>
      <c r="M7357">
        <v>-1.816048E-2</v>
      </c>
      <c r="N7357">
        <v>-8.7571390000000006E-3</v>
      </c>
      <c r="O7357">
        <v>-0.99979689999999999</v>
      </c>
      <c r="P7357">
        <v>5.3444779999999997E-2</v>
      </c>
      <c r="Q7357">
        <v>0.10019980000000001</v>
      </c>
      <c r="R7357">
        <v>-0.9935311</v>
      </c>
      <c r="S7357">
        <v>-0.13977049999999999</v>
      </c>
      <c r="T7357">
        <v>-0.78188429999999998</v>
      </c>
      <c r="U7357">
        <v>-3.1079409999999998</v>
      </c>
      <c r="V7357">
        <v>-7.1464470000000002E-2</v>
      </c>
      <c r="W7357">
        <v>0.1088967</v>
      </c>
      <c r="X7357">
        <v>0.9914809</v>
      </c>
      <c r="Y7357">
        <v>2.5485279999999999E-2</v>
      </c>
      <c r="Z7357">
        <v>0.23526169999999999</v>
      </c>
      <c r="AA7357">
        <v>0.97159790000000001</v>
      </c>
      <c r="AB7357">
        <v>19</v>
      </c>
      <c r="AC7357">
        <v>-3.2799999999951902E-2</v>
      </c>
      <c r="AD7357">
        <v>-0.202961899999999</v>
      </c>
      <c r="AE7357">
        <v>-0.61533999999998901</v>
      </c>
      <c r="AF7357">
        <v>1.9503474874761999E-2</v>
      </c>
      <c r="AG7357">
        <v>-0.202961899999999</v>
      </c>
      <c r="AH7357">
        <v>0.555564250686576</v>
      </c>
      <c r="AI7357">
        <v>110.05717814071799</v>
      </c>
      <c r="AJ7357">
        <v>87.989416931262696</v>
      </c>
      <c r="AK7357">
        <v>0.59179857639634204</v>
      </c>
      <c r="AL7357">
        <v>83.748281039998602</v>
      </c>
      <c r="AM7357">
        <v>94.122665003525796</v>
      </c>
      <c r="AN7357">
        <v>1.0000000184040401</v>
      </c>
    </row>
    <row r="7358" spans="1:40" x14ac:dyDescent="0.25">
      <c r="A7358" t="str">
        <f>"20190303162100493"</f>
        <v>20190303162100493</v>
      </c>
      <c r="B7358" t="str">
        <f>"1551601260490236"</f>
        <v>1551601260490236</v>
      </c>
      <c r="C7358" t="s">
        <v>40</v>
      </c>
      <c r="D7358">
        <v>4.4799620000000004</v>
      </c>
      <c r="E7358">
        <v>0.54163569999999905</v>
      </c>
      <c r="F7358" t="s">
        <v>42</v>
      </c>
      <c r="G7358">
        <v>-422.00940000000003</v>
      </c>
      <c r="H7358">
        <v>0.91930579999999995</v>
      </c>
      <c r="I7358">
        <v>74.966930000000005</v>
      </c>
      <c r="J7358">
        <v>-421.9735</v>
      </c>
      <c r="K7358">
        <v>1.1208880000000001</v>
      </c>
      <c r="L7358">
        <v>75.565830000000005</v>
      </c>
      <c r="M7358">
        <v>-1.8232439999999999E-2</v>
      </c>
      <c r="N7358">
        <v>-8.7349119999999992E-3</v>
      </c>
      <c r="O7358">
        <v>-0.99979569999999995</v>
      </c>
      <c r="P7358">
        <v>5.1169840000000001E-2</v>
      </c>
      <c r="Q7358">
        <v>9.8779989999999998E-2</v>
      </c>
      <c r="R7358">
        <v>-0.99379309999999998</v>
      </c>
      <c r="S7358">
        <v>-0.1557007</v>
      </c>
      <c r="T7358">
        <v>-0.79804109999999995</v>
      </c>
      <c r="U7358">
        <v>-3.1083980000000002</v>
      </c>
      <c r="V7358">
        <v>-6.9264030000000004E-2</v>
      </c>
      <c r="W7358">
        <v>0.1074589</v>
      </c>
      <c r="X7358">
        <v>0.99179390000000001</v>
      </c>
      <c r="Y7358">
        <v>3.0311189999999998E-2</v>
      </c>
      <c r="Z7358">
        <v>0.23994309999999999</v>
      </c>
      <c r="AA7358">
        <v>0.9703136</v>
      </c>
      <c r="AB7358">
        <v>19</v>
      </c>
      <c r="AC7358">
        <v>-3.5900000000026397E-2</v>
      </c>
      <c r="AD7358">
        <v>-0.20158219999999899</v>
      </c>
      <c r="AE7358">
        <v>-0.59889999999999999</v>
      </c>
      <c r="AF7358">
        <v>2.2440950865311299E-2</v>
      </c>
      <c r="AG7358">
        <v>-0.20158219999999899</v>
      </c>
      <c r="AH7358">
        <v>0.53864932950478395</v>
      </c>
      <c r="AI7358">
        <v>110.501376898616</v>
      </c>
      <c r="AJ7358">
        <v>87.614350229273995</v>
      </c>
      <c r="AK7358">
        <v>0.57557109014311403</v>
      </c>
      <c r="AL7358">
        <v>83.831147287911193</v>
      </c>
      <c r="AM7358">
        <v>93.994886026772093</v>
      </c>
      <c r="AN7358">
        <v>1.0000000305591299</v>
      </c>
    </row>
    <row r="7359" spans="1:40" x14ac:dyDescent="0.25">
      <c r="A7359" t="str">
        <f>"20190303162100515"</f>
        <v>20190303162100515</v>
      </c>
      <c r="B7359" t="str">
        <f>"1551601260509755"</f>
        <v>1551601260509755</v>
      </c>
      <c r="C7359" t="s">
        <v>40</v>
      </c>
      <c r="D7359">
        <v>4.4676239999999998</v>
      </c>
      <c r="E7359">
        <v>0.54276650000000004</v>
      </c>
      <c r="F7359" t="s">
        <v>42</v>
      </c>
      <c r="G7359">
        <v>-422.01830000000001</v>
      </c>
      <c r="H7359">
        <v>0.91914209999999996</v>
      </c>
      <c r="I7359">
        <v>74.797389999999993</v>
      </c>
      <c r="J7359">
        <v>-421.97710000000001</v>
      </c>
      <c r="K7359">
        <v>1.120873</v>
      </c>
      <c r="L7359">
        <v>75.376040000000003</v>
      </c>
      <c r="M7359">
        <v>-1.831605E-2</v>
      </c>
      <c r="N7359">
        <v>-8.7143429999999994E-3</v>
      </c>
      <c r="O7359">
        <v>-0.99979419999999997</v>
      </c>
      <c r="P7359">
        <v>4.8682169999999997E-2</v>
      </c>
      <c r="Q7359">
        <v>9.7832459999999996E-2</v>
      </c>
      <c r="R7359">
        <v>-0.9940118</v>
      </c>
      <c r="S7359">
        <v>-0.18066409999999999</v>
      </c>
      <c r="T7359">
        <v>-0.81627419999999995</v>
      </c>
      <c r="U7359">
        <v>-3.1091609999999998</v>
      </c>
      <c r="V7359">
        <v>-6.6861729999999994E-2</v>
      </c>
      <c r="W7359">
        <v>0.10649359999999999</v>
      </c>
      <c r="X7359">
        <v>0.99206280000000002</v>
      </c>
      <c r="Y7359">
        <v>3.789733E-2</v>
      </c>
      <c r="Z7359">
        <v>0.24514620000000001</v>
      </c>
      <c r="AA7359">
        <v>0.96874510000000003</v>
      </c>
      <c r="AB7359">
        <v>19</v>
      </c>
      <c r="AC7359">
        <v>-4.1200000000003401E-2</v>
      </c>
      <c r="AD7359">
        <v>-0.20173089999999999</v>
      </c>
      <c r="AE7359">
        <v>-0.578649999999996</v>
      </c>
      <c r="AF7359">
        <v>2.72936162101611E-2</v>
      </c>
      <c r="AG7359">
        <v>-0.20173089999999999</v>
      </c>
      <c r="AH7359">
        <v>0.51681197488119202</v>
      </c>
      <c r="AI7359">
        <v>111.29553443097601</v>
      </c>
      <c r="AJ7359">
        <v>86.976932286971305</v>
      </c>
      <c r="AK7359">
        <v>0.55545919281368905</v>
      </c>
      <c r="AL7359">
        <v>83.886773856386995</v>
      </c>
      <c r="AM7359">
        <v>93.855713897050606</v>
      </c>
      <c r="AN7359">
        <v>0.99999998846169602</v>
      </c>
    </row>
    <row r="7360" spans="1:40" x14ac:dyDescent="0.25">
      <c r="A7360" t="str">
        <f>"20190303162100538"</f>
        <v>20190303162100538</v>
      </c>
      <c r="B7360" t="str">
        <f>"1551601260530251"</f>
        <v>1551601260530251</v>
      </c>
      <c r="C7360" t="s">
        <v>40</v>
      </c>
      <c r="D7360">
        <v>4.473617</v>
      </c>
      <c r="E7360">
        <v>0.54371610000000004</v>
      </c>
      <c r="F7360" t="s">
        <v>42</v>
      </c>
      <c r="G7360">
        <v>-422.02449999999999</v>
      </c>
      <c r="H7360">
        <v>0.9212439</v>
      </c>
      <c r="I7360">
        <v>74.626149999999996</v>
      </c>
      <c r="J7360">
        <v>-421.98070000000001</v>
      </c>
      <c r="K7360">
        <v>1.1208670000000001</v>
      </c>
      <c r="L7360">
        <v>75.184969999999893</v>
      </c>
      <c r="M7360">
        <v>-1.8408379999999998E-2</v>
      </c>
      <c r="N7360">
        <v>-8.6965040000000007E-3</v>
      </c>
      <c r="O7360">
        <v>-0.99979309999999999</v>
      </c>
      <c r="P7360">
        <v>4.6640220000000003E-2</v>
      </c>
      <c r="Q7360">
        <v>9.7116900000000006E-2</v>
      </c>
      <c r="R7360">
        <v>-0.99417999999999995</v>
      </c>
      <c r="S7360">
        <v>-0.19671630000000001</v>
      </c>
      <c r="T7360">
        <v>-0.82768390000000003</v>
      </c>
      <c r="U7360">
        <v>-3.1091609999999998</v>
      </c>
      <c r="V7360">
        <v>-6.4914410000000006E-2</v>
      </c>
      <c r="W7360">
        <v>0.1057625</v>
      </c>
      <c r="X7360">
        <v>0.9922704</v>
      </c>
      <c r="Y7360">
        <v>4.2728710000000003E-2</v>
      </c>
      <c r="Z7360">
        <v>0.24842030000000001</v>
      </c>
      <c r="AA7360">
        <v>0.9677095</v>
      </c>
      <c r="AB7360">
        <v>19</v>
      </c>
      <c r="AC7360">
        <v>-4.3799999999975997E-2</v>
      </c>
      <c r="AD7360">
        <v>-0.1996231</v>
      </c>
      <c r="AE7360">
        <v>-0.55881999999999699</v>
      </c>
      <c r="AF7360">
        <v>2.9734083590613799E-2</v>
      </c>
      <c r="AG7360">
        <v>-0.1996231</v>
      </c>
      <c r="AH7360">
        <v>0.49655424425731198</v>
      </c>
      <c r="AI7360">
        <v>111.865486693509</v>
      </c>
      <c r="AJ7360">
        <v>86.573172751700596</v>
      </c>
      <c r="AK7360">
        <v>0.53600337244324603</v>
      </c>
      <c r="AL7360">
        <v>83.928901192738607</v>
      </c>
      <c r="AM7360">
        <v>93.742960928651399</v>
      </c>
      <c r="AN7360">
        <v>1.0000000668740201</v>
      </c>
    </row>
    <row r="7361" spans="1:40" x14ac:dyDescent="0.25">
      <c r="A7361" t="str">
        <f>"20190303162100560"</f>
        <v>20190303162100560</v>
      </c>
      <c r="B7361" t="str">
        <f>"1551601260550747"</f>
        <v>1551601260550747</v>
      </c>
      <c r="C7361" t="s">
        <v>40</v>
      </c>
      <c r="D7361">
        <v>4.4624379999999997</v>
      </c>
      <c r="E7361">
        <v>0.54458030000000002</v>
      </c>
      <c r="F7361" t="s">
        <v>42</v>
      </c>
      <c r="G7361">
        <v>-422.03059999999999</v>
      </c>
      <c r="H7361">
        <v>0.92467239999999995</v>
      </c>
      <c r="I7361">
        <v>74.453829999999996</v>
      </c>
      <c r="J7361">
        <v>-421.98430000000002</v>
      </c>
      <c r="K7361">
        <v>1.1208629999999999</v>
      </c>
      <c r="L7361">
        <v>74.992310000000003</v>
      </c>
      <c r="M7361">
        <v>-1.8506709999999999E-2</v>
      </c>
      <c r="N7361">
        <v>-8.680943E-3</v>
      </c>
      <c r="O7361">
        <v>-0.9997914</v>
      </c>
      <c r="P7361">
        <v>4.6632420000000001E-2</v>
      </c>
      <c r="Q7361">
        <v>9.7294640000000002E-2</v>
      </c>
      <c r="R7361">
        <v>-0.99416320000000002</v>
      </c>
      <c r="S7361">
        <v>-0.21105960000000001</v>
      </c>
      <c r="T7361">
        <v>-0.83424129999999996</v>
      </c>
      <c r="U7361">
        <v>-3.1089479999999998</v>
      </c>
      <c r="V7361">
        <v>-6.5003660000000005E-2</v>
      </c>
      <c r="W7361">
        <v>0.1059247</v>
      </c>
      <c r="X7361">
        <v>0.9922472</v>
      </c>
      <c r="Y7361">
        <v>4.7041479999999997E-2</v>
      </c>
      <c r="Z7361">
        <v>0.2502935</v>
      </c>
      <c r="AA7361">
        <v>0.96702650000000001</v>
      </c>
      <c r="AB7361">
        <v>19</v>
      </c>
      <c r="AC7361">
        <v>-4.62999999999738E-2</v>
      </c>
      <c r="AD7361">
        <v>-0.19619059999999899</v>
      </c>
      <c r="AE7361">
        <v>-0.53847999999999197</v>
      </c>
      <c r="AF7361">
        <v>3.20967932276114E-2</v>
      </c>
      <c r="AG7361">
        <v>-0.19619059999999899</v>
      </c>
      <c r="AH7361">
        <v>0.47646112842250199</v>
      </c>
      <c r="AI7361">
        <v>112.334578490781</v>
      </c>
      <c r="AJ7361">
        <v>86.146093787452401</v>
      </c>
      <c r="AK7361">
        <v>0.51627140397420801</v>
      </c>
      <c r="AL7361">
        <v>83.919554984633805</v>
      </c>
      <c r="AM7361">
        <v>93.748179804790695</v>
      </c>
      <c r="AN7361">
        <v>1.00000001189566</v>
      </c>
    </row>
    <row r="7362" spans="1:40" x14ac:dyDescent="0.25">
      <c r="A7362" t="str">
        <f>"20190303162100582"</f>
        <v>20190303162100582</v>
      </c>
      <c r="B7362" t="str">
        <f>"1551601260580027"</f>
        <v>1551601260580027</v>
      </c>
      <c r="C7362" t="s">
        <v>40</v>
      </c>
      <c r="D7362">
        <v>4.4299299999999997</v>
      </c>
      <c r="E7362">
        <v>0.54555790000000004</v>
      </c>
      <c r="F7362" t="s">
        <v>42</v>
      </c>
      <c r="G7362">
        <v>-422.03460000000001</v>
      </c>
      <c r="H7362">
        <v>0.9292551</v>
      </c>
      <c r="I7362">
        <v>74.280379999999994</v>
      </c>
      <c r="J7362">
        <v>-421.988</v>
      </c>
      <c r="K7362">
        <v>1.1208579999999999</v>
      </c>
      <c r="L7362">
        <v>74.800719999999998</v>
      </c>
      <c r="M7362">
        <v>-1.8606399999999999E-2</v>
      </c>
      <c r="N7362">
        <v>-8.6671619999999904E-3</v>
      </c>
      <c r="O7362">
        <v>-0.9997895</v>
      </c>
      <c r="P7362">
        <v>4.6539179999999999E-2</v>
      </c>
      <c r="Q7362">
        <v>9.7224409999999997E-2</v>
      </c>
      <c r="R7362">
        <v>-0.994174</v>
      </c>
      <c r="S7362">
        <v>-0.21972659999999999</v>
      </c>
      <c r="T7362">
        <v>-0.83697900000000003</v>
      </c>
      <c r="U7362">
        <v>-3.1098330000000001</v>
      </c>
      <c r="V7362">
        <v>-6.5009919999999999E-2</v>
      </c>
      <c r="W7362">
        <v>0.1058407</v>
      </c>
      <c r="X7362">
        <v>0.99225569999999996</v>
      </c>
      <c r="Y7362">
        <v>4.9589429999999997E-2</v>
      </c>
      <c r="Z7362">
        <v>0.25099199999999999</v>
      </c>
      <c r="AA7362">
        <v>0.96671810000000002</v>
      </c>
      <c r="AB7362">
        <v>19</v>
      </c>
      <c r="AC7362">
        <v>-4.6599999999955302E-2</v>
      </c>
      <c r="AD7362">
        <v>-0.19160289999999899</v>
      </c>
      <c r="AE7362">
        <v>-0.52033999999999003</v>
      </c>
      <c r="AF7362">
        <v>3.25337436369217E-2</v>
      </c>
      <c r="AG7362">
        <v>-0.19160289999999899</v>
      </c>
      <c r="AH7362">
        <v>0.45933149724080402</v>
      </c>
      <c r="AI7362">
        <v>112.591797049349</v>
      </c>
      <c r="AJ7362">
        <v>85.948593858442194</v>
      </c>
      <c r="AK7362">
        <v>0.498753987573956</v>
      </c>
      <c r="AL7362">
        <v>83.924394714172806</v>
      </c>
      <c r="AM7362">
        <v>93.748507714211399</v>
      </c>
      <c r="AN7362">
        <v>0.99999995882869197</v>
      </c>
    </row>
    <row r="7363" spans="1:40" x14ac:dyDescent="0.25">
      <c r="A7363" t="str">
        <f>"20190303162100598"</f>
        <v>20190303162100598</v>
      </c>
      <c r="B7363" t="str">
        <f>"1551601260589787"</f>
        <v>1551601260589787</v>
      </c>
      <c r="C7363" t="s">
        <v>40</v>
      </c>
      <c r="D7363">
        <v>4.4189220000000002</v>
      </c>
      <c r="E7363">
        <v>0.54586669999999904</v>
      </c>
      <c r="F7363" t="s">
        <v>42</v>
      </c>
      <c r="G7363">
        <v>-422.03879999999998</v>
      </c>
      <c r="H7363">
        <v>0.93305709999999997</v>
      </c>
      <c r="I7363">
        <v>74.106740000000002</v>
      </c>
      <c r="J7363">
        <v>-421.99059999999997</v>
      </c>
      <c r="K7363">
        <v>1.1208579999999999</v>
      </c>
      <c r="L7363">
        <v>74.660679999999999</v>
      </c>
      <c r="M7363">
        <v>-1.8677530000000001E-2</v>
      </c>
      <c r="N7363">
        <v>-8.6581109999999996E-3</v>
      </c>
      <c r="O7363">
        <v>-0.99978829999999996</v>
      </c>
      <c r="P7363">
        <v>4.682766E-2</v>
      </c>
      <c r="Q7363">
        <v>9.7621379999999994E-2</v>
      </c>
      <c r="R7363">
        <v>-0.99412180000000006</v>
      </c>
      <c r="S7363">
        <v>-0.22650149999999999</v>
      </c>
      <c r="T7363">
        <v>-0.84172649999999904</v>
      </c>
      <c r="U7363">
        <v>-3.1105040000000002</v>
      </c>
      <c r="V7363">
        <v>-6.5368679999999998E-2</v>
      </c>
      <c r="W7363">
        <v>0.10622769999999999</v>
      </c>
      <c r="X7363">
        <v>0.99219080000000004</v>
      </c>
      <c r="Y7363">
        <v>5.1571220000000001E-2</v>
      </c>
      <c r="Z7363">
        <v>0.25229049999999997</v>
      </c>
      <c r="AA7363">
        <v>0.96627629999999998</v>
      </c>
      <c r="AB7363">
        <v>19</v>
      </c>
      <c r="AC7363">
        <v>-4.8200000000008403E-2</v>
      </c>
      <c r="AD7363">
        <v>-0.18780089999999899</v>
      </c>
      <c r="AE7363">
        <v>-0.55393999999999699</v>
      </c>
      <c r="AF7363">
        <v>3.3969833739016797E-2</v>
      </c>
      <c r="AG7363">
        <v>-0.18780089999999899</v>
      </c>
      <c r="AH7363">
        <v>0.497940604239899</v>
      </c>
      <c r="AI7363">
        <v>110.620346332997</v>
      </c>
      <c r="AJ7363">
        <v>86.097291423804606</v>
      </c>
      <c r="AK7363">
        <v>0.53326163653113301</v>
      </c>
      <c r="AL7363">
        <v>83.902095701295494</v>
      </c>
      <c r="AM7363">
        <v>93.769380378780596</v>
      </c>
      <c r="AN7363">
        <v>0.99999998608843599</v>
      </c>
    </row>
    <row r="7364" spans="1:40" x14ac:dyDescent="0.25">
      <c r="A7364" t="str">
        <f>"20190303162100613"</f>
        <v>20190303162100613</v>
      </c>
      <c r="B7364" t="str">
        <f>"1551601260610284"</f>
        <v>1551601260610284</v>
      </c>
      <c r="C7364" t="s">
        <v>40</v>
      </c>
      <c r="D7364">
        <v>4.381545</v>
      </c>
      <c r="E7364">
        <v>0.54640390000000005</v>
      </c>
      <c r="F7364" t="s">
        <v>42</v>
      </c>
      <c r="G7364">
        <v>-422.04360000000003</v>
      </c>
      <c r="H7364">
        <v>0.92549990000000004</v>
      </c>
      <c r="I7364">
        <v>73.937830000000005</v>
      </c>
      <c r="J7364">
        <v>-421.99290000000002</v>
      </c>
      <c r="K7364">
        <v>1.1208629999999999</v>
      </c>
      <c r="L7364">
        <v>74.539829999999995</v>
      </c>
      <c r="M7364">
        <v>-1.8737630000000002E-2</v>
      </c>
      <c r="N7364">
        <v>-8.6509380000000004E-3</v>
      </c>
      <c r="O7364">
        <v>-0.99978710000000004</v>
      </c>
      <c r="P7364">
        <v>4.6819390000000002E-2</v>
      </c>
      <c r="Q7364">
        <v>9.7692219999999996E-2</v>
      </c>
      <c r="R7364">
        <v>-0.99411499999999997</v>
      </c>
      <c r="S7364">
        <v>-0.22805790000000001</v>
      </c>
      <c r="T7364">
        <v>-0.84079969999999904</v>
      </c>
      <c r="U7364">
        <v>-3.1110530000000001</v>
      </c>
      <c r="V7364">
        <v>-6.5420259999999994E-2</v>
      </c>
      <c r="W7364">
        <v>0.1062912</v>
      </c>
      <c r="X7364">
        <v>0.99218059999999997</v>
      </c>
      <c r="Y7364">
        <v>5.1985259999999998E-2</v>
      </c>
      <c r="Z7364">
        <v>0.25197889999999901</v>
      </c>
      <c r="AA7364">
        <v>0.96633539999999996</v>
      </c>
      <c r="AB7364">
        <v>19</v>
      </c>
      <c r="AC7364">
        <v>-5.0700000000006101E-2</v>
      </c>
      <c r="AD7364">
        <v>-0.19536310000000001</v>
      </c>
      <c r="AE7364">
        <v>-0.60200000000000298</v>
      </c>
      <c r="AF7364">
        <v>3.5679487092142803E-2</v>
      </c>
      <c r="AG7364">
        <v>-0.19536310000000001</v>
      </c>
      <c r="AH7364">
        <v>0.54577102769600705</v>
      </c>
      <c r="AI7364">
        <v>109.65649948244101</v>
      </c>
      <c r="AJ7364">
        <v>86.259641742711807</v>
      </c>
      <c r="AK7364">
        <v>0.580780321044992</v>
      </c>
      <c r="AL7364">
        <v>83.898436704996897</v>
      </c>
      <c r="AM7364">
        <v>93.772384741556394</v>
      </c>
      <c r="AN7364">
        <v>0.99999998631613296</v>
      </c>
    </row>
    <row r="7365" spans="1:40" x14ac:dyDescent="0.25">
      <c r="A7365" t="str">
        <f>"20190303162100626"</f>
        <v>20190303162100626</v>
      </c>
      <c r="B7365" t="str">
        <f>"1551601260620043"</f>
        <v>1551601260620043</v>
      </c>
      <c r="C7365" t="s">
        <v>40</v>
      </c>
      <c r="D7365">
        <v>4.3748870000000002</v>
      </c>
      <c r="E7365">
        <v>0.54665010000000003</v>
      </c>
      <c r="F7365" t="s">
        <v>42</v>
      </c>
      <c r="G7365">
        <v>-422.05059999999997</v>
      </c>
      <c r="H7365">
        <v>0.91262290000000001</v>
      </c>
      <c r="I7365">
        <v>73.770870000000002</v>
      </c>
      <c r="J7365">
        <v>-421.99540000000002</v>
      </c>
      <c r="K7365">
        <v>1.1208629999999999</v>
      </c>
      <c r="L7365">
        <v>74.416749999999993</v>
      </c>
      <c r="M7365">
        <v>-1.8797649999999999E-2</v>
      </c>
      <c r="N7365">
        <v>-8.6441590000000002E-3</v>
      </c>
      <c r="O7365">
        <v>-0.99978610000000001</v>
      </c>
      <c r="P7365">
        <v>4.8178760000000001E-2</v>
      </c>
      <c r="Q7365">
        <v>9.7933300000000001E-2</v>
      </c>
      <c r="R7365">
        <v>-0.99402639999999998</v>
      </c>
      <c r="S7365">
        <v>-0.23281859999999999</v>
      </c>
      <c r="T7365">
        <v>-0.8426399</v>
      </c>
      <c r="U7365">
        <v>-3.111542</v>
      </c>
      <c r="V7365">
        <v>-6.6837850000000004E-2</v>
      </c>
      <c r="W7365">
        <v>0.10652440000000001</v>
      </c>
      <c r="X7365">
        <v>0.99206110000000003</v>
      </c>
      <c r="Y7365">
        <v>5.3373619999999997E-2</v>
      </c>
      <c r="Z7365">
        <v>0.25245600000000001</v>
      </c>
      <c r="AA7365">
        <v>0.96613519999999997</v>
      </c>
      <c r="AB7365">
        <v>19</v>
      </c>
      <c r="AC7365">
        <v>-5.5199999999956603E-2</v>
      </c>
      <c r="AD7365">
        <v>-0.20824010000000001</v>
      </c>
      <c r="AE7365">
        <v>-0.64587999999999102</v>
      </c>
      <c r="AF7365">
        <v>3.9021854530290903E-2</v>
      </c>
      <c r="AG7365">
        <v>-0.20824010000000001</v>
      </c>
      <c r="AH7365">
        <v>0.58629955643606202</v>
      </c>
      <c r="AI7365">
        <v>109.51396551708901</v>
      </c>
      <c r="AJ7365">
        <v>86.192228037476895</v>
      </c>
      <c r="AK7365">
        <v>0.62340501622630295</v>
      </c>
      <c r="AL7365">
        <v>83.884999036059995</v>
      </c>
      <c r="AM7365">
        <v>93.854347546069405</v>
      </c>
      <c r="AN7365">
        <v>0.99999998606059604</v>
      </c>
    </row>
    <row r="7366" spans="1:40" x14ac:dyDescent="0.25">
      <c r="A7366" t="str">
        <f>"20190303162100643"</f>
        <v>20190303162100643</v>
      </c>
      <c r="B7366" t="str">
        <f>"1551601260640539"</f>
        <v>1551601260640539</v>
      </c>
      <c r="C7366" t="s">
        <v>40</v>
      </c>
      <c r="D7366">
        <v>4.3926339999999904</v>
      </c>
      <c r="E7366">
        <v>0.54709960000000002</v>
      </c>
      <c r="F7366" t="s">
        <v>42</v>
      </c>
      <c r="G7366">
        <v>-422.05599999999998</v>
      </c>
      <c r="H7366">
        <v>0.90053830000000001</v>
      </c>
      <c r="I7366">
        <v>73.602959999999996</v>
      </c>
      <c r="J7366">
        <v>-421.99799999999999</v>
      </c>
      <c r="K7366">
        <v>1.1208659999999999</v>
      </c>
      <c r="L7366">
        <v>74.27628</v>
      </c>
      <c r="M7366">
        <v>-1.8863810000000002E-2</v>
      </c>
      <c r="N7366">
        <v>-8.6372169999999904E-3</v>
      </c>
      <c r="O7366">
        <v>-0.99978469999999997</v>
      </c>
      <c r="P7366">
        <v>4.888609E-2</v>
      </c>
      <c r="Q7366">
        <v>9.7844739999999999E-2</v>
      </c>
      <c r="R7366">
        <v>-0.99400040000000001</v>
      </c>
      <c r="S7366">
        <v>-0.23193359999999999</v>
      </c>
      <c r="T7366">
        <v>-0.84261540000000001</v>
      </c>
      <c r="U7366">
        <v>-3.1123050000000001</v>
      </c>
      <c r="V7366">
        <v>-6.7610550000000005E-2</v>
      </c>
      <c r="W7366">
        <v>0.1064282</v>
      </c>
      <c r="X7366">
        <v>0.99201910000000004</v>
      </c>
      <c r="Y7366">
        <v>5.3018269999999999E-2</v>
      </c>
      <c r="Z7366">
        <v>0.25240059999999997</v>
      </c>
      <c r="AA7366">
        <v>0.96616919999999995</v>
      </c>
      <c r="AB7366">
        <v>19</v>
      </c>
      <c r="AC7366">
        <v>-5.7999999999935797E-2</v>
      </c>
      <c r="AD7366">
        <v>-0.22032769999999899</v>
      </c>
      <c r="AE7366">
        <v>-0.67332000000000303</v>
      </c>
      <c r="AF7366">
        <v>4.0936736899397003E-2</v>
      </c>
      <c r="AG7366">
        <v>-0.22032769999999899</v>
      </c>
      <c r="AH7366">
        <v>0.60951061476143398</v>
      </c>
      <c r="AI7366">
        <v>109.832873139554</v>
      </c>
      <c r="AJ7366">
        <v>86.157597704840995</v>
      </c>
      <c r="AK7366">
        <v>0.64940226464197204</v>
      </c>
      <c r="AL7366">
        <v>83.890542620149205</v>
      </c>
      <c r="AM7366">
        <v>93.898934860101605</v>
      </c>
      <c r="AN7366">
        <v>1.0000000214956699</v>
      </c>
    </row>
    <row r="7367" spans="1:40" x14ac:dyDescent="0.25">
      <c r="A7367" t="str">
        <f>"20190303162100661"</f>
        <v>20190303162100661</v>
      </c>
      <c r="B7367" t="str">
        <f>"1551601260650299"</f>
        <v>1551601260650299</v>
      </c>
      <c r="C7367" t="s">
        <v>40</v>
      </c>
      <c r="D7367">
        <v>4.3825370000000001</v>
      </c>
      <c r="E7367">
        <v>0.54732109999999901</v>
      </c>
      <c r="F7367" t="s">
        <v>42</v>
      </c>
      <c r="G7367">
        <v>-422.04969999999997</v>
      </c>
      <c r="H7367">
        <v>0.93392240000000004</v>
      </c>
      <c r="I7367">
        <v>73.587630000000004</v>
      </c>
      <c r="J7367">
        <v>-422.00099999999998</v>
      </c>
      <c r="K7367">
        <v>1.1208629999999999</v>
      </c>
      <c r="L7367">
        <v>74.122039999999998</v>
      </c>
      <c r="M7367">
        <v>-1.8934489999999998E-2</v>
      </c>
      <c r="N7367">
        <v>-8.630357E-3</v>
      </c>
      <c r="O7367">
        <v>-0.9997838</v>
      </c>
      <c r="P7367">
        <v>5.0539609999999999E-2</v>
      </c>
      <c r="Q7367">
        <v>9.7916500000000004E-2</v>
      </c>
      <c r="R7367">
        <v>-0.99391099999999999</v>
      </c>
      <c r="S7367">
        <v>-0.2333374</v>
      </c>
      <c r="T7367">
        <v>-0.84500189999999997</v>
      </c>
      <c r="U7367">
        <v>-3.112762</v>
      </c>
      <c r="V7367">
        <v>-6.9332759999999993E-2</v>
      </c>
      <c r="W7367">
        <v>0.1064927</v>
      </c>
      <c r="X7367">
        <v>0.99189329999999998</v>
      </c>
      <c r="Y7367">
        <v>5.3357179999999997E-2</v>
      </c>
      <c r="Z7367">
        <v>0.25305420000000001</v>
      </c>
      <c r="AA7367">
        <v>0.96597960000000005</v>
      </c>
      <c r="AB7367">
        <v>19</v>
      </c>
      <c r="AC7367">
        <v>-4.86999999999966E-2</v>
      </c>
      <c r="AD7367">
        <v>-0.18694059999999901</v>
      </c>
      <c r="AE7367">
        <v>-0.53440999999999395</v>
      </c>
      <c r="AF7367">
        <v>3.4397697455233099E-2</v>
      </c>
      <c r="AG7367">
        <v>-0.18694059999999901</v>
      </c>
      <c r="AH7367">
        <v>0.47731107563332398</v>
      </c>
      <c r="AI7367">
        <v>111.33763108732001</v>
      </c>
      <c r="AJ7367">
        <v>85.878072479449003</v>
      </c>
      <c r="AK7367">
        <v>0.51376634031515001</v>
      </c>
      <c r="AL7367">
        <v>83.886825927441905</v>
      </c>
      <c r="AM7367">
        <v>93.998437824845695</v>
      </c>
      <c r="AN7367">
        <v>1.00000002267369</v>
      </c>
    </row>
    <row r="7368" spans="1:40" x14ac:dyDescent="0.25">
      <c r="A7368" t="str">
        <f>"20190303162100683"</f>
        <v>20190303162100683</v>
      </c>
      <c r="B7368" t="str">
        <f>"1551601260679579"</f>
        <v>1551601260679579</v>
      </c>
      <c r="C7368" t="s">
        <v>40</v>
      </c>
      <c r="D7368">
        <v>4.3620199999999896</v>
      </c>
      <c r="E7368">
        <v>0.54793879999999995</v>
      </c>
      <c r="F7368" t="s">
        <v>42</v>
      </c>
      <c r="G7368">
        <v>-422.05369999999999</v>
      </c>
      <c r="H7368">
        <v>0.92900910000000003</v>
      </c>
      <c r="I7368">
        <v>73.416049999999998</v>
      </c>
      <c r="J7368">
        <v>-422.00479999999999</v>
      </c>
      <c r="K7368">
        <v>1.120862</v>
      </c>
      <c r="L7368">
        <v>73.930179999999993</v>
      </c>
      <c r="M7368">
        <v>-1.901986E-2</v>
      </c>
      <c r="N7368">
        <v>-8.6226959999999991E-3</v>
      </c>
      <c r="O7368">
        <v>-0.99978210000000001</v>
      </c>
      <c r="P7368">
        <v>5.163595E-2</v>
      </c>
      <c r="Q7368">
        <v>9.8236989999999996E-2</v>
      </c>
      <c r="R7368">
        <v>-0.9938226</v>
      </c>
      <c r="S7368">
        <v>-0.2303772</v>
      </c>
      <c r="T7368">
        <v>-0.84605649999999999</v>
      </c>
      <c r="U7368">
        <v>-3.1134339999999998</v>
      </c>
      <c r="V7368">
        <v>-7.0512290000000005E-2</v>
      </c>
      <c r="W7368">
        <v>0.1068047</v>
      </c>
      <c r="X7368">
        <v>0.99177660000000001</v>
      </c>
      <c r="Y7368">
        <v>5.2338910000000002E-2</v>
      </c>
      <c r="Z7368">
        <v>0.25332850000000001</v>
      </c>
      <c r="AA7368">
        <v>0.96596340000000003</v>
      </c>
      <c r="AB7368">
        <v>19</v>
      </c>
      <c r="AC7368">
        <v>-4.8900000000003198E-2</v>
      </c>
      <c r="AD7368">
        <v>-0.19185289999999999</v>
      </c>
      <c r="AE7368">
        <v>-0.51413000000000797</v>
      </c>
      <c r="AF7368">
        <v>3.4369159954140999E-2</v>
      </c>
      <c r="AG7368">
        <v>-0.19185289999999999</v>
      </c>
      <c r="AH7368">
        <v>0.45251933335902</v>
      </c>
      <c r="AI7368">
        <v>112.916144632895</v>
      </c>
      <c r="AJ7368">
        <v>85.656684138530593</v>
      </c>
      <c r="AK7368">
        <v>0.49270936814521299</v>
      </c>
      <c r="AL7368">
        <v>83.868847125401103</v>
      </c>
      <c r="AM7368">
        <v>94.066712199063204</v>
      </c>
      <c r="AN7368">
        <v>1.0000000256453401</v>
      </c>
    </row>
    <row r="7369" spans="1:40" x14ac:dyDescent="0.25">
      <c r="A7369" t="str">
        <f>"20190303162100698"</f>
        <v>20190303162100698</v>
      </c>
      <c r="B7369" t="str">
        <f>"1551601260690315"</f>
        <v>1551601260690315</v>
      </c>
      <c r="C7369" t="s">
        <v>40</v>
      </c>
      <c r="D7369">
        <v>4.364249</v>
      </c>
      <c r="E7369">
        <v>0.54815829999999999</v>
      </c>
      <c r="F7369" t="s">
        <v>42</v>
      </c>
      <c r="G7369">
        <v>-422.05619999999999</v>
      </c>
      <c r="H7369">
        <v>0.93283199999999999</v>
      </c>
      <c r="I7369">
        <v>73.239850000000004</v>
      </c>
      <c r="J7369">
        <v>-422.00740000000002</v>
      </c>
      <c r="K7369">
        <v>1.120862</v>
      </c>
      <c r="L7369">
        <v>73.794919999999905</v>
      </c>
      <c r="M7369">
        <v>-1.9078479999999998E-2</v>
      </c>
      <c r="N7369">
        <v>-8.6179259999999997E-3</v>
      </c>
      <c r="O7369">
        <v>-0.99978089999999997</v>
      </c>
      <c r="P7369">
        <v>5.2060490000000001E-2</v>
      </c>
      <c r="Q7369">
        <v>9.8298559999999993E-2</v>
      </c>
      <c r="R7369">
        <v>-0.99379450000000003</v>
      </c>
      <c r="S7369">
        <v>-0.2314148</v>
      </c>
      <c r="T7369">
        <v>-0.84832619999999903</v>
      </c>
      <c r="U7369">
        <v>-3.1145320000000001</v>
      </c>
      <c r="V7369">
        <v>-7.0994699999999994E-2</v>
      </c>
      <c r="W7369">
        <v>0.1068606</v>
      </c>
      <c r="X7369">
        <v>0.99173610000000001</v>
      </c>
      <c r="Y7369">
        <v>5.2563899999999997E-2</v>
      </c>
      <c r="Z7369">
        <v>0.25389719999999999</v>
      </c>
      <c r="AA7369">
        <v>0.96580180000000004</v>
      </c>
      <c r="AB7369">
        <v>19</v>
      </c>
      <c r="AC7369">
        <v>-4.8799999999971498E-2</v>
      </c>
      <c r="AD7369">
        <v>-0.18803</v>
      </c>
      <c r="AE7369">
        <v>-0.55506999999998596</v>
      </c>
      <c r="AF7369">
        <v>3.4295548633263701E-2</v>
      </c>
      <c r="AG7369">
        <v>-0.18803</v>
      </c>
      <c r="AH7369">
        <v>0.499070181163488</v>
      </c>
      <c r="AI7369">
        <v>110.599944877415</v>
      </c>
      <c r="AJ7369">
        <v>86.068877846298406</v>
      </c>
      <c r="AK7369">
        <v>0.534417918190075</v>
      </c>
      <c r="AL7369">
        <v>83.865625474385794</v>
      </c>
      <c r="AM7369">
        <v>94.094606953347807</v>
      </c>
      <c r="AN7369">
        <v>0.99999996365182897</v>
      </c>
    </row>
    <row r="7370" spans="1:40" x14ac:dyDescent="0.25">
      <c r="A7370" t="str">
        <f>"20190303162100712"</f>
        <v>20190303162100712</v>
      </c>
      <c r="B7370" t="str">
        <f>"1551601260700075"</f>
        <v>1551601260700075</v>
      </c>
      <c r="C7370" t="s">
        <v>40</v>
      </c>
      <c r="D7370">
        <v>4.3864799999999997</v>
      </c>
      <c r="E7370">
        <v>0.548346</v>
      </c>
      <c r="F7370" t="s">
        <v>42</v>
      </c>
      <c r="G7370">
        <v>-422.06169999999997</v>
      </c>
      <c r="H7370">
        <v>0.92317590000000005</v>
      </c>
      <c r="I7370">
        <v>73.069469999999995</v>
      </c>
      <c r="J7370">
        <v>-422.00970000000001</v>
      </c>
      <c r="K7370">
        <v>1.1208579999999999</v>
      </c>
      <c r="L7370">
        <v>73.676670000000001</v>
      </c>
      <c r="M7370">
        <v>-1.9129529999999999E-2</v>
      </c>
      <c r="N7370">
        <v>-8.6140890000000001E-3</v>
      </c>
      <c r="O7370">
        <v>-0.99977990000000005</v>
      </c>
      <c r="P7370">
        <v>5.2272180000000001E-2</v>
      </c>
      <c r="Q7370">
        <v>9.8121369999999999E-2</v>
      </c>
      <c r="R7370">
        <v>-0.99380089999999999</v>
      </c>
      <c r="S7370">
        <v>-0.2318115</v>
      </c>
      <c r="T7370">
        <v>-0.84875519999999904</v>
      </c>
      <c r="U7370">
        <v>-3.1148069999999999</v>
      </c>
      <c r="V7370">
        <v>-7.1257609999999999E-2</v>
      </c>
      <c r="W7370">
        <v>0.1066795</v>
      </c>
      <c r="X7370">
        <v>0.99173679999999997</v>
      </c>
      <c r="Y7370">
        <v>5.2626840000000001E-2</v>
      </c>
      <c r="Z7370">
        <v>0.25400119999999998</v>
      </c>
      <c r="AA7370">
        <v>0.96577109999999999</v>
      </c>
      <c r="AB7370">
        <v>20</v>
      </c>
      <c r="AC7370">
        <v>-5.1999999999963999E-2</v>
      </c>
      <c r="AD7370">
        <v>-0.197682099999999</v>
      </c>
      <c r="AE7370">
        <v>-0.60720000000000596</v>
      </c>
      <c r="AF7370">
        <v>3.6530833709688799E-2</v>
      </c>
      <c r="AG7370">
        <v>-0.197682099999999</v>
      </c>
      <c r="AH7370">
        <v>0.55019248689901601</v>
      </c>
      <c r="AI7370">
        <v>109.723106384796</v>
      </c>
      <c r="AJ7370">
        <v>86.201338613195603</v>
      </c>
      <c r="AK7370">
        <v>0.58576828790235702</v>
      </c>
      <c r="AL7370">
        <v>83.876061751041803</v>
      </c>
      <c r="AM7370">
        <v>94.109715490474699</v>
      </c>
      <c r="AN7370">
        <v>1.0000000215886999</v>
      </c>
    </row>
    <row r="7371" spans="1:40" x14ac:dyDescent="0.25">
      <c r="A7371" t="str">
        <f>"20190303162100728"</f>
        <v>20190303162100728</v>
      </c>
      <c r="B7371" t="str">
        <f>"1551601260719595"</f>
        <v>1551601260719595</v>
      </c>
      <c r="C7371" t="s">
        <v>40</v>
      </c>
      <c r="D7371">
        <v>4.3732800000000003</v>
      </c>
      <c r="E7371">
        <v>0.54869369999999995</v>
      </c>
      <c r="F7371" t="s">
        <v>42</v>
      </c>
      <c r="G7371">
        <v>-422.06779999999998</v>
      </c>
      <c r="H7371">
        <v>0.90899540000000001</v>
      </c>
      <c r="I7371">
        <v>72.900580000000005</v>
      </c>
      <c r="J7371">
        <v>-422.01240000000001</v>
      </c>
      <c r="K7371">
        <v>1.1208530000000001</v>
      </c>
      <c r="L7371">
        <v>73.538119999999907</v>
      </c>
      <c r="M7371">
        <v>-1.918922E-2</v>
      </c>
      <c r="N7371">
        <v>-8.6099760000000001E-3</v>
      </c>
      <c r="O7371">
        <v>-0.99977899999999997</v>
      </c>
      <c r="P7371">
        <v>5.2433510000000003E-2</v>
      </c>
      <c r="Q7371">
        <v>9.762469E-2</v>
      </c>
      <c r="R7371">
        <v>-0.99384119999999998</v>
      </c>
      <c r="S7371">
        <v>-0.23220830000000001</v>
      </c>
      <c r="T7371">
        <v>-0.85031769999999995</v>
      </c>
      <c r="U7371">
        <v>-3.1148989999999999</v>
      </c>
      <c r="V7371">
        <v>-7.1478990000000006E-2</v>
      </c>
      <c r="W7371">
        <v>0.1061788</v>
      </c>
      <c r="X7371">
        <v>0.99177459999999995</v>
      </c>
      <c r="Y7371">
        <v>5.2678610000000001E-2</v>
      </c>
      <c r="Z7371">
        <v>0.25444670000000003</v>
      </c>
      <c r="AA7371">
        <v>0.96565100000000004</v>
      </c>
      <c r="AB7371">
        <v>20</v>
      </c>
      <c r="AC7371">
        <v>-5.5399999999963201E-2</v>
      </c>
      <c r="AD7371">
        <v>-0.21185760000000001</v>
      </c>
      <c r="AE7371">
        <v>-0.63753999999998701</v>
      </c>
      <c r="AF7371">
        <v>3.8892839814335202E-2</v>
      </c>
      <c r="AG7371">
        <v>-0.21185760000000001</v>
      </c>
      <c r="AH7371">
        <v>0.57542029398585204</v>
      </c>
      <c r="AI7371">
        <v>110.170340888339</v>
      </c>
      <c r="AJ7371">
        <v>86.133241335556093</v>
      </c>
      <c r="AK7371">
        <v>0.61441420100559796</v>
      </c>
      <c r="AL7371">
        <v>83.904913610496493</v>
      </c>
      <c r="AM7371">
        <v>94.122282843061797</v>
      </c>
      <c r="AN7371">
        <v>1.0000000203930099</v>
      </c>
    </row>
    <row r="7372" spans="1:40" x14ac:dyDescent="0.25">
      <c r="A7372" t="str">
        <f>"20190303162100750"</f>
        <v>20190303162100750</v>
      </c>
      <c r="B7372" t="str">
        <f>"1551601260740093"</f>
        <v>1551601260740093</v>
      </c>
      <c r="C7372" t="s">
        <v>40</v>
      </c>
      <c r="D7372">
        <v>4.3815549999999996</v>
      </c>
      <c r="E7372">
        <v>0.54903290000000005</v>
      </c>
      <c r="F7372" t="s">
        <v>42</v>
      </c>
      <c r="G7372">
        <v>-422.07380000000001</v>
      </c>
      <c r="H7372">
        <v>0.8991538</v>
      </c>
      <c r="I7372">
        <v>72.729249999999993</v>
      </c>
      <c r="J7372">
        <v>-422.0163</v>
      </c>
      <c r="K7372">
        <v>1.1208480000000001</v>
      </c>
      <c r="L7372">
        <v>73.340269999999904</v>
      </c>
      <c r="M7372">
        <v>-1.9274340000000001E-2</v>
      </c>
      <c r="N7372">
        <v>-8.6048700000000006E-3</v>
      </c>
      <c r="O7372">
        <v>-0.99977729999999998</v>
      </c>
      <c r="P7372">
        <v>5.2484169999999997E-2</v>
      </c>
      <c r="Q7372">
        <v>9.6593189999999995E-2</v>
      </c>
      <c r="R7372">
        <v>-0.99393949999999998</v>
      </c>
      <c r="S7372">
        <v>-0.23547360000000001</v>
      </c>
      <c r="T7372">
        <v>-0.85371109999999994</v>
      </c>
      <c r="U7372">
        <v>-3.114868</v>
      </c>
      <c r="V7372">
        <v>-7.1616490000000005E-2</v>
      </c>
      <c r="W7372">
        <v>0.10514370000000001</v>
      </c>
      <c r="X7372">
        <v>0.9918749</v>
      </c>
      <c r="Y7372">
        <v>5.3580339999999997E-2</v>
      </c>
      <c r="Z7372">
        <v>0.25541550000000002</v>
      </c>
      <c r="AA7372">
        <v>0.96534560000000003</v>
      </c>
      <c r="AB7372">
        <v>20</v>
      </c>
      <c r="AC7372">
        <v>-5.7500000000004499E-2</v>
      </c>
      <c r="AD7372">
        <v>-0.22169420000000001</v>
      </c>
      <c r="AE7372">
        <v>-0.61101999999999601</v>
      </c>
      <c r="AF7372">
        <v>4.0435544422167402E-2</v>
      </c>
      <c r="AG7372">
        <v>-0.22169420000000001</v>
      </c>
      <c r="AH7372">
        <v>0.54137248490984502</v>
      </c>
      <c r="AI7372">
        <v>112.213459775562</v>
      </c>
      <c r="AJ7372">
        <v>85.728463792765893</v>
      </c>
      <c r="AK7372">
        <v>0.58640218193985005</v>
      </c>
      <c r="AL7372">
        <v>83.964554015540102</v>
      </c>
      <c r="AM7372">
        <v>94.129769018633993</v>
      </c>
      <c r="AN7372">
        <v>0.99999996826980897</v>
      </c>
    </row>
    <row r="7373" spans="1:40" x14ac:dyDescent="0.25">
      <c r="A7373" t="str">
        <f>"20190303162100773"</f>
        <v>20190303162100773</v>
      </c>
      <c r="B7373" t="str">
        <f>"1551601260759611"</f>
        <v>1551601260759611</v>
      </c>
      <c r="C7373" t="s">
        <v>40</v>
      </c>
      <c r="D7373">
        <v>4.381907</v>
      </c>
      <c r="E7373">
        <v>0.54926940000000002</v>
      </c>
      <c r="F7373" t="s">
        <v>42</v>
      </c>
      <c r="G7373">
        <v>-422.07679999999999</v>
      </c>
      <c r="H7373">
        <v>0.90312360000000003</v>
      </c>
      <c r="I7373">
        <v>72.551150000000007</v>
      </c>
      <c r="J7373">
        <v>-422.02019999999999</v>
      </c>
      <c r="K7373">
        <v>1.120843</v>
      </c>
      <c r="L7373">
        <v>73.144619999999904</v>
      </c>
      <c r="M7373">
        <v>-1.935891E-2</v>
      </c>
      <c r="N7373">
        <v>-8.6004129999999995E-3</v>
      </c>
      <c r="O7373">
        <v>-0.99977559999999999</v>
      </c>
      <c r="P7373">
        <v>5.2477200000000002E-2</v>
      </c>
      <c r="Q7373">
        <v>9.6450919999999996E-2</v>
      </c>
      <c r="R7373">
        <v>-0.99395350000000005</v>
      </c>
      <c r="S7373">
        <v>-0.23794560000000001</v>
      </c>
      <c r="T7373">
        <v>-0.85926190000000002</v>
      </c>
      <c r="U7373">
        <v>-3.1143800000000001</v>
      </c>
      <c r="V7373">
        <v>-7.1693759999999995E-2</v>
      </c>
      <c r="W7373">
        <v>0.104996699999999</v>
      </c>
      <c r="X7373">
        <v>0.99188489999999996</v>
      </c>
      <c r="Y7373">
        <v>5.4234949999999997E-2</v>
      </c>
      <c r="Z7373">
        <v>0.25704369999999999</v>
      </c>
      <c r="AA7373">
        <v>0.96487670000000003</v>
      </c>
      <c r="AB7373">
        <v>20</v>
      </c>
      <c r="AC7373">
        <v>-5.6600000000003002E-2</v>
      </c>
      <c r="AD7373">
        <v>-0.21771940000000001</v>
      </c>
      <c r="AE7373">
        <v>-0.59346999999998196</v>
      </c>
      <c r="AF7373">
        <v>3.97927940490026E-2</v>
      </c>
      <c r="AG7373">
        <v>-0.21771940000000001</v>
      </c>
      <c r="AH7373">
        <v>0.52450084974145395</v>
      </c>
      <c r="AI7373">
        <v>112.48509254476799</v>
      </c>
      <c r="AJ7373">
        <v>85.661399285604105</v>
      </c>
      <c r="AK7373">
        <v>0.56928582010629203</v>
      </c>
      <c r="AL7373">
        <v>83.973023437075597</v>
      </c>
      <c r="AM7373">
        <v>94.134167820404201</v>
      </c>
      <c r="AN7373">
        <v>0.99999997854091804</v>
      </c>
    </row>
    <row r="7374" spans="1:40" x14ac:dyDescent="0.25">
      <c r="A7374" t="str">
        <f>"20190303162100788"</f>
        <v>20190303162100788</v>
      </c>
      <c r="B7374" t="str">
        <f>"1551601260780107"</f>
        <v>1551601260780107</v>
      </c>
      <c r="C7374" t="s">
        <v>40</v>
      </c>
      <c r="D7374">
        <v>4.5190989999999998</v>
      </c>
      <c r="E7374">
        <v>0.54951470000000002</v>
      </c>
      <c r="F7374" t="s">
        <v>42</v>
      </c>
      <c r="G7374">
        <v>-422.08019999999999</v>
      </c>
      <c r="H7374">
        <v>0.90702879999999997</v>
      </c>
      <c r="I7374">
        <v>72.372559999999993</v>
      </c>
      <c r="J7374">
        <v>-422.0231</v>
      </c>
      <c r="K7374">
        <v>1.1208400000000001</v>
      </c>
      <c r="L7374">
        <v>72.998660000000001</v>
      </c>
      <c r="M7374">
        <v>-1.9423010000000001E-2</v>
      </c>
      <c r="N7374">
        <v>-8.5974539999999992E-3</v>
      </c>
      <c r="O7374">
        <v>-0.99977470000000002</v>
      </c>
      <c r="P7374">
        <v>5.2390949999999999E-2</v>
      </c>
      <c r="Q7374">
        <v>9.6556950000000002E-2</v>
      </c>
      <c r="R7374">
        <v>-0.99394800000000005</v>
      </c>
      <c r="S7374">
        <v>-0.2401123</v>
      </c>
      <c r="T7374">
        <v>-0.86252589999999996</v>
      </c>
      <c r="U7374">
        <v>-3.1146240000000001</v>
      </c>
      <c r="V7374">
        <v>-7.1670739999999997E-2</v>
      </c>
      <c r="W7374">
        <v>0.1050996</v>
      </c>
      <c r="X7374">
        <v>0.99187570000000003</v>
      </c>
      <c r="Y7374">
        <v>5.4812890000000003E-2</v>
      </c>
      <c r="Z7374">
        <v>0.25795469999999998</v>
      </c>
      <c r="AA7374">
        <v>0.96460089999999998</v>
      </c>
      <c r="AB7374">
        <v>20</v>
      </c>
      <c r="AC7374">
        <v>-5.7099999999991199E-2</v>
      </c>
      <c r="AD7374">
        <v>-0.21381120000000001</v>
      </c>
      <c r="AE7374">
        <v>-0.62610000000000798</v>
      </c>
      <c r="AF7374">
        <v>4.0270431588917702E-2</v>
      </c>
      <c r="AG7374">
        <v>-0.21381120000000001</v>
      </c>
      <c r="AH7374">
        <v>0.56208164967043395</v>
      </c>
      <c r="AI7374">
        <v>110.777705532054</v>
      </c>
      <c r="AJ7374">
        <v>85.902036603009407</v>
      </c>
      <c r="AK7374">
        <v>0.60272109453878697</v>
      </c>
      <c r="AL7374">
        <v>83.967095105510097</v>
      </c>
      <c r="AM7374">
        <v>94.132883190204893</v>
      </c>
      <c r="AN7374">
        <v>1.0000000125713899</v>
      </c>
    </row>
    <row r="7375" spans="1:40" x14ac:dyDescent="0.25">
      <c r="A7375" t="str">
        <f>"20190303162100802"</f>
        <v>20190303162100802</v>
      </c>
      <c r="B7375" t="str">
        <f>"1551601260799628"</f>
        <v>1551601260799628</v>
      </c>
      <c r="C7375" t="s">
        <v>40</v>
      </c>
      <c r="D7375">
        <v>4.5402139999999997</v>
      </c>
      <c r="E7375">
        <v>0.53601009999999905</v>
      </c>
      <c r="F7375" t="s">
        <v>42</v>
      </c>
      <c r="G7375">
        <v>-422.08539999999999</v>
      </c>
      <c r="H7375">
        <v>0.89917809999999898</v>
      </c>
      <c r="I7375">
        <v>72.198830000000001</v>
      </c>
      <c r="J7375">
        <v>-422.0256</v>
      </c>
      <c r="K7375">
        <v>1.1208400000000001</v>
      </c>
      <c r="L7375">
        <v>72.869380000000007</v>
      </c>
      <c r="M7375">
        <v>-1.9480529999999999E-2</v>
      </c>
      <c r="N7375">
        <v>-8.5951090000000001E-3</v>
      </c>
      <c r="O7375">
        <v>-0.99977349999999998</v>
      </c>
      <c r="P7375">
        <v>5.2184029999999999E-2</v>
      </c>
      <c r="Q7375">
        <v>9.7043840000000006E-2</v>
      </c>
      <c r="R7375">
        <v>-0.99391160000000001</v>
      </c>
      <c r="S7375">
        <v>-0.24237059999999999</v>
      </c>
      <c r="T7375">
        <v>-0.8632379</v>
      </c>
      <c r="U7375">
        <v>-3.1148989999999999</v>
      </c>
      <c r="V7375">
        <v>-7.1519959999999994E-2</v>
      </c>
      <c r="W7375">
        <v>0.1055837</v>
      </c>
      <c r="X7375">
        <v>0.99183520000000003</v>
      </c>
      <c r="Y7375">
        <v>5.5439700000000001E-2</v>
      </c>
      <c r="Z7375">
        <v>0.25812790000000002</v>
      </c>
      <c r="AA7375">
        <v>0.96451880000000001</v>
      </c>
      <c r="AB7375">
        <v>20</v>
      </c>
      <c r="AC7375">
        <v>-5.97999999999956E-2</v>
      </c>
      <c r="AD7375">
        <v>-0.2216619</v>
      </c>
      <c r="AE7375">
        <v>-0.67055000000000498</v>
      </c>
      <c r="AF7375">
        <v>4.2155336136882403E-2</v>
      </c>
      <c r="AG7375">
        <v>-0.2216619</v>
      </c>
      <c r="AH7375">
        <v>0.60590052405537798</v>
      </c>
      <c r="AI7375">
        <v>110.049883840354</v>
      </c>
      <c r="AJ7375">
        <v>86.020077891099206</v>
      </c>
      <c r="AK7375">
        <v>0.64654970058535</v>
      </c>
      <c r="AL7375">
        <v>83.939203215869696</v>
      </c>
      <c r="AM7375">
        <v>94.124386340876995</v>
      </c>
      <c r="AN7375">
        <v>1.0000000431715601</v>
      </c>
    </row>
    <row r="7376" spans="1:40" x14ac:dyDescent="0.25">
      <c r="A7376" t="str">
        <f>"20190303162100818"</f>
        <v>20190303162100818</v>
      </c>
      <c r="B7376" t="str">
        <f>"1551601260810364"</f>
        <v>1551601260810364</v>
      </c>
      <c r="C7376" t="s">
        <v>40</v>
      </c>
      <c r="D7376">
        <v>4.4614630000000002</v>
      </c>
      <c r="E7376">
        <v>0.53601009999999905</v>
      </c>
      <c r="F7376" t="s">
        <v>42</v>
      </c>
      <c r="G7376">
        <v>-422.0564</v>
      </c>
      <c r="H7376">
        <v>0.96750659999999999</v>
      </c>
      <c r="I7376">
        <v>72.165859999999995</v>
      </c>
      <c r="J7376">
        <v>-422.02820000000003</v>
      </c>
      <c r="K7376">
        <v>1.120838</v>
      </c>
      <c r="L7376">
        <v>72.738460000000003</v>
      </c>
      <c r="M7376">
        <v>-1.954003E-2</v>
      </c>
      <c r="N7376">
        <v>-8.5899779999999998E-3</v>
      </c>
      <c r="O7376">
        <v>-0.99977210000000005</v>
      </c>
      <c r="P7376">
        <v>5.2249839999999999E-2</v>
      </c>
      <c r="Q7376">
        <v>9.8416190000000001E-2</v>
      </c>
      <c r="R7376">
        <v>-0.99377269999999895</v>
      </c>
      <c r="S7376">
        <v>-0.134552</v>
      </c>
      <c r="T7376">
        <v>-0.67371139999999996</v>
      </c>
      <c r="U7376">
        <v>-3.0912169999999999</v>
      </c>
      <c r="V7376">
        <v>-7.1642330000000004E-2</v>
      </c>
      <c r="W7376">
        <v>0.1069502</v>
      </c>
      <c r="X7376">
        <v>0.99167989999999995</v>
      </c>
      <c r="Y7376">
        <v>2.3014550000000002E-2</v>
      </c>
      <c r="Z7376">
        <v>0.20436370000000001</v>
      </c>
      <c r="AA7376">
        <v>0.97862450000000001</v>
      </c>
      <c r="AB7376">
        <v>20</v>
      </c>
      <c r="AC7376">
        <v>-2.8199999999969801E-2</v>
      </c>
      <c r="AD7376">
        <v>-0.15333140000000001</v>
      </c>
      <c r="AE7376">
        <v>-0.57260000000000799</v>
      </c>
      <c r="AF7376">
        <v>1.58703261016362E-2</v>
      </c>
      <c r="AG7376">
        <v>-0.15333140000000001</v>
      </c>
      <c r="AH7376">
        <v>0.53478673177407698</v>
      </c>
      <c r="AI7376">
        <v>105.99171355603799</v>
      </c>
      <c r="AJ7376">
        <v>88.300189847867799</v>
      </c>
      <c r="AK7376">
        <v>0.55656017999685403</v>
      </c>
      <c r="AL7376">
        <v>83.8604623843475</v>
      </c>
      <c r="AM7376">
        <v>94.132063465332493</v>
      </c>
      <c r="AN7376">
        <v>0.99999999639593895</v>
      </c>
    </row>
    <row r="7377" spans="1:40" x14ac:dyDescent="0.25">
      <c r="A7377" t="str">
        <f>"20190303162100839"</f>
        <v>20190303162100839</v>
      </c>
      <c r="B7377" t="str">
        <f>"1551601260829884"</f>
        <v>1551601260829884</v>
      </c>
      <c r="C7377" t="s">
        <v>40</v>
      </c>
      <c r="D7377">
        <v>4.4614599999999998</v>
      </c>
      <c r="E7377">
        <v>0.49441829999999998</v>
      </c>
      <c r="F7377" t="s">
        <v>42</v>
      </c>
      <c r="G7377">
        <v>-422.06110000000001</v>
      </c>
      <c r="H7377">
        <v>0.95927859999999998</v>
      </c>
      <c r="I7377">
        <v>71.991969999999995</v>
      </c>
      <c r="J7377">
        <v>-422.03199999999998</v>
      </c>
      <c r="K7377">
        <v>1.1208400000000001</v>
      </c>
      <c r="L7377">
        <v>72.551609999999997</v>
      </c>
      <c r="M7377">
        <v>-1.9627060000000002E-2</v>
      </c>
      <c r="N7377">
        <v>-8.5699859999999999E-3</v>
      </c>
      <c r="O7377">
        <v>-0.99977090000000002</v>
      </c>
      <c r="P7377">
        <v>5.237613E-2</v>
      </c>
      <c r="Q7377">
        <v>9.9539310000000006E-2</v>
      </c>
      <c r="R7377">
        <v>-0.9936545</v>
      </c>
      <c r="S7377">
        <v>-0.135040299999999</v>
      </c>
      <c r="T7377">
        <v>-0.66921600000000003</v>
      </c>
      <c r="U7377">
        <v>-3.0921630000000002</v>
      </c>
      <c r="V7377">
        <v>-7.1851699999999893E-2</v>
      </c>
      <c r="W7377">
        <v>0.10805240000000001</v>
      </c>
      <c r="X7377">
        <v>0.99154529999999996</v>
      </c>
      <c r="Y7377">
        <v>2.3081649999999999E-2</v>
      </c>
      <c r="Z7377">
        <v>0.20296159999999999</v>
      </c>
      <c r="AA7377">
        <v>0.97891459999999997</v>
      </c>
      <c r="AB7377">
        <v>20</v>
      </c>
      <c r="AC7377">
        <v>-2.91000000000281E-2</v>
      </c>
      <c r="AD7377">
        <v>-0.16156139999999999</v>
      </c>
      <c r="AE7377">
        <v>-0.55964000000000103</v>
      </c>
      <c r="AF7377">
        <v>1.6720189041635199E-2</v>
      </c>
      <c r="AG7377">
        <v>-0.16156139999999999</v>
      </c>
      <c r="AH7377">
        <v>0.51712218608104998</v>
      </c>
      <c r="AI7377">
        <v>107.34154076766799</v>
      </c>
      <c r="AJ7377">
        <v>88.148092153834398</v>
      </c>
      <c r="AK7377">
        <v>0.54203044751083096</v>
      </c>
      <c r="AL7377">
        <v>83.796943113525202</v>
      </c>
      <c r="AM7377">
        <v>94.144657730747994</v>
      </c>
      <c r="AN7377">
        <v>1.0000000349453599</v>
      </c>
    </row>
    <row r="7378" spans="1:40" x14ac:dyDescent="0.25">
      <c r="A7378" t="str">
        <f>"20190303162100856"</f>
        <v>20190303162100856</v>
      </c>
      <c r="B7378" t="str">
        <f>"1551601260850379"</f>
        <v>1551601260850379</v>
      </c>
      <c r="C7378" t="s">
        <v>40</v>
      </c>
      <c r="D7378">
        <v>4.5455209999999999</v>
      </c>
      <c r="E7378">
        <v>0.48392210000000002</v>
      </c>
      <c r="F7378" t="s">
        <v>41</v>
      </c>
      <c r="G7378">
        <v>-420.8691</v>
      </c>
      <c r="H7378" s="1">
        <v>-2.4778639999999999E-6</v>
      </c>
      <c r="I7378">
        <v>54.8260199999999</v>
      </c>
      <c r="J7378">
        <v>-422.0351</v>
      </c>
      <c r="K7378">
        <v>1.12083</v>
      </c>
      <c r="L7378">
        <v>72.399319999999904</v>
      </c>
      <c r="M7378">
        <v>-1.9701150000000001E-2</v>
      </c>
      <c r="N7378">
        <v>-8.5290639999999994E-3</v>
      </c>
      <c r="O7378">
        <v>-0.99976969999999998</v>
      </c>
      <c r="P7378">
        <v>5.2289759999999998E-2</v>
      </c>
      <c r="Q7378">
        <v>9.9698220000000004E-2</v>
      </c>
      <c r="R7378">
        <v>-0.99364300000000005</v>
      </c>
      <c r="S7378">
        <v>0.19863890000000001</v>
      </c>
      <c r="T7378">
        <v>-0.19146099999999999</v>
      </c>
      <c r="U7378">
        <v>-3.027863</v>
      </c>
      <c r="V7378">
        <v>-7.1838009999999994E-2</v>
      </c>
      <c r="W7378">
        <v>0.1081714</v>
      </c>
      <c r="X7378">
        <v>0.99153329999999995</v>
      </c>
      <c r="Y7378">
        <v>-8.4986950000000006E-2</v>
      </c>
      <c r="Z7378">
        <v>5.4387249999999998E-2</v>
      </c>
      <c r="AA7378">
        <v>0.99489660000000002</v>
      </c>
      <c r="AB7378">
        <v>20</v>
      </c>
      <c r="AC7378">
        <v>1.1659999999999899</v>
      </c>
      <c r="AD7378">
        <v>-1.120832477864</v>
      </c>
      <c r="AE7378">
        <v>-17.5732999999999</v>
      </c>
      <c r="AF7378">
        <v>-1.5059013646856401</v>
      </c>
      <c r="AG7378">
        <v>-1.120832477864</v>
      </c>
      <c r="AH7378">
        <v>17.476136332638099</v>
      </c>
      <c r="AI7378">
        <v>93.656128932038499</v>
      </c>
      <c r="AJ7378">
        <v>94.924955208670696</v>
      </c>
      <c r="AK7378">
        <v>17.576670489047402</v>
      </c>
      <c r="AL7378">
        <v>83.790084612909993</v>
      </c>
      <c r="AM7378">
        <v>94.143920771125096</v>
      </c>
      <c r="AN7378">
        <v>1.0000000182338</v>
      </c>
    </row>
    <row r="7379" spans="1:40" x14ac:dyDescent="0.25">
      <c r="A7379" t="str">
        <f>"20190303162100873"</f>
        <v>20190303162100873</v>
      </c>
      <c r="B7379" t="str">
        <f>"1551601260860139"</f>
        <v>1551601260860139</v>
      </c>
      <c r="C7379" t="s">
        <v>40</v>
      </c>
      <c r="D7379">
        <v>4.5631659999999998</v>
      </c>
      <c r="E7379">
        <v>0.48127619999999999</v>
      </c>
      <c r="F7379" t="s">
        <v>41</v>
      </c>
      <c r="G7379">
        <v>-419.2099</v>
      </c>
      <c r="H7379" s="1">
        <v>-1.256856E-6</v>
      </c>
      <c r="I7379">
        <v>42.235849999999999</v>
      </c>
      <c r="J7379">
        <v>-422.03809999999999</v>
      </c>
      <c r="K7379">
        <v>1.120808</v>
      </c>
      <c r="L7379">
        <v>72.246459999999999</v>
      </c>
      <c r="M7379">
        <v>-1.9779330000000001E-2</v>
      </c>
      <c r="N7379">
        <v>-8.4509189999999994E-3</v>
      </c>
      <c r="O7379">
        <v>-0.99976869999999995</v>
      </c>
      <c r="P7379">
        <v>5.2804240000000002E-2</v>
      </c>
      <c r="Q7379">
        <v>0.1003767</v>
      </c>
      <c r="R7379">
        <v>-0.99354719999999996</v>
      </c>
      <c r="S7379">
        <v>0.28244019999999997</v>
      </c>
      <c r="T7379">
        <v>-0.112054</v>
      </c>
      <c r="U7379">
        <v>-3.0155639999999999</v>
      </c>
      <c r="V7379">
        <v>-7.2427530000000004E-2</v>
      </c>
      <c r="W7379">
        <v>0.10877199999999999</v>
      </c>
      <c r="X7379">
        <v>0.99142470000000005</v>
      </c>
      <c r="Y7379">
        <v>-0.11286880000000001</v>
      </c>
      <c r="Z7379">
        <v>2.8468460000000001E-2</v>
      </c>
      <c r="AA7379">
        <v>0.99320200000000003</v>
      </c>
      <c r="AB7379">
        <v>20</v>
      </c>
      <c r="AC7379">
        <v>2.8281999999999798</v>
      </c>
      <c r="AD7379">
        <v>-1.120809256856</v>
      </c>
      <c r="AE7379">
        <v>-30.0106099999999</v>
      </c>
      <c r="AF7379">
        <v>-3.4165341559918501</v>
      </c>
      <c r="AG7379">
        <v>-1.120809256856</v>
      </c>
      <c r="AH7379">
        <v>29.907448838927099</v>
      </c>
      <c r="AI7379">
        <v>92.132352223057296</v>
      </c>
      <c r="AJ7379">
        <v>96.517040780088905</v>
      </c>
      <c r="AK7379">
        <v>30.122822163309301</v>
      </c>
      <c r="AL7379">
        <v>83.755468499257205</v>
      </c>
      <c r="AM7379">
        <v>94.178262875489906</v>
      </c>
      <c r="AN7379">
        <v>1.00000001542799</v>
      </c>
    </row>
    <row r="7380" spans="1:40" x14ac:dyDescent="0.25">
      <c r="A7380" t="str">
        <f>"20190303162100896"</f>
        <v>20190303162100896</v>
      </c>
      <c r="B7380" t="str">
        <f>"1551601260890395"</f>
        <v>1551601260890395</v>
      </c>
      <c r="C7380" t="s">
        <v>40</v>
      </c>
      <c r="D7380">
        <v>4.5566319999999996</v>
      </c>
      <c r="E7380">
        <v>0.47737859999999999</v>
      </c>
      <c r="F7380" t="s">
        <v>62</v>
      </c>
      <c r="G7380">
        <v>-418.23719999999997</v>
      </c>
      <c r="H7380" s="1">
        <v>-3.5198070000000001E-6</v>
      </c>
      <c r="I7380">
        <v>34.686259999999997</v>
      </c>
      <c r="J7380">
        <v>-422.04239999999999</v>
      </c>
      <c r="K7380">
        <v>1.1207609999999999</v>
      </c>
      <c r="L7380">
        <v>72.040499999999994</v>
      </c>
      <c r="M7380">
        <v>-1.9892480000000001E-2</v>
      </c>
      <c r="N7380">
        <v>-8.2648080000000002E-3</v>
      </c>
      <c r="O7380">
        <v>-0.99976799999999999</v>
      </c>
      <c r="P7380">
        <v>5.3453680000000003E-2</v>
      </c>
      <c r="Q7380">
        <v>0.1012595</v>
      </c>
      <c r="R7380">
        <v>-0.99342299999999994</v>
      </c>
      <c r="S7380">
        <v>0.3048401</v>
      </c>
      <c r="T7380">
        <v>-8.9890960000000006E-2</v>
      </c>
      <c r="U7380">
        <v>-3.0123899999999999</v>
      </c>
      <c r="V7380">
        <v>-7.3184879999999994E-2</v>
      </c>
      <c r="W7380">
        <v>0.1094702</v>
      </c>
      <c r="X7380">
        <v>0.99129219999999896</v>
      </c>
      <c r="Y7380">
        <v>-0.12041159999999999</v>
      </c>
      <c r="Z7380">
        <v>2.1363710000000001E-2</v>
      </c>
      <c r="AA7380">
        <v>0.99249419999999999</v>
      </c>
      <c r="AB7380">
        <v>20</v>
      </c>
      <c r="AC7380">
        <v>3.8052000000000099</v>
      </c>
      <c r="AD7380">
        <v>-1.120764519807</v>
      </c>
      <c r="AE7380">
        <v>-37.354239999999997</v>
      </c>
      <c r="AF7380">
        <v>-4.5434926822511299</v>
      </c>
      <c r="AG7380">
        <v>-1.120764519807</v>
      </c>
      <c r="AH7380">
        <v>37.237972481832003</v>
      </c>
      <c r="AI7380">
        <v>91.711248064882994</v>
      </c>
      <c r="AJ7380">
        <v>96.956408863469605</v>
      </c>
      <c r="AK7380">
        <v>37.530867741370002</v>
      </c>
      <c r="AL7380">
        <v>83.715224096340705</v>
      </c>
      <c r="AM7380">
        <v>94.222358650172296</v>
      </c>
      <c r="AN7380">
        <v>0.99999998856474703</v>
      </c>
    </row>
    <row r="7381" spans="1:40" x14ac:dyDescent="0.25">
      <c r="A7381" t="str">
        <f>"20190303162100912"</f>
        <v>20190303162100912</v>
      </c>
      <c r="B7381" t="str">
        <f>"1551601260900155"</f>
        <v>1551601260900155</v>
      </c>
      <c r="C7381" t="s">
        <v>40</v>
      </c>
      <c r="D7381">
        <v>4.5781419999999997</v>
      </c>
      <c r="E7381">
        <v>0.47686260000000003</v>
      </c>
      <c r="F7381" t="s">
        <v>62</v>
      </c>
      <c r="G7381">
        <v>-415.89909999999998</v>
      </c>
      <c r="H7381" s="1">
        <v>-1.2133319999999999E-5</v>
      </c>
      <c r="I7381">
        <v>17.322299999999998</v>
      </c>
      <c r="J7381">
        <v>-422.0453</v>
      </c>
      <c r="K7381">
        <v>1.120717</v>
      </c>
      <c r="L7381">
        <v>71.893460000000005</v>
      </c>
      <c r="M7381">
        <v>-1.997968E-2</v>
      </c>
      <c r="N7381">
        <v>-8.0753140000000001E-3</v>
      </c>
      <c r="O7381">
        <v>-0.99976799999999999</v>
      </c>
      <c r="P7381">
        <v>5.3729600000000002E-2</v>
      </c>
      <c r="Q7381">
        <v>0.10223110000000001</v>
      </c>
      <c r="R7381">
        <v>-0.99330879999999999</v>
      </c>
      <c r="S7381">
        <v>0.33770749999999999</v>
      </c>
      <c r="T7381">
        <v>-6.1611060000000002E-2</v>
      </c>
      <c r="U7381">
        <v>-3.007965</v>
      </c>
      <c r="V7381">
        <v>-7.3543360000000002E-2</v>
      </c>
      <c r="W7381">
        <v>0.11025409999999999</v>
      </c>
      <c r="X7381">
        <v>0.99117880000000003</v>
      </c>
      <c r="Y7381">
        <v>-0.1313801</v>
      </c>
      <c r="Z7381">
        <v>1.223633E-2</v>
      </c>
      <c r="AA7381">
        <v>0.99125649999999998</v>
      </c>
      <c r="AB7381">
        <v>20</v>
      </c>
      <c r="AC7381">
        <v>6.1462000000000199</v>
      </c>
      <c r="AD7381">
        <v>-1.12072913332</v>
      </c>
      <c r="AE7381">
        <v>-54.571159999999999</v>
      </c>
      <c r="AF7381">
        <v>-7.2323105164312702</v>
      </c>
      <c r="AG7381">
        <v>-1.12072913332</v>
      </c>
      <c r="AH7381">
        <v>54.4148000427288</v>
      </c>
      <c r="AI7381">
        <v>91.169616401218804</v>
      </c>
      <c r="AJ7381">
        <v>97.570851316874396</v>
      </c>
      <c r="AK7381">
        <v>54.904761295233001</v>
      </c>
      <c r="AL7381">
        <v>83.670036495980796</v>
      </c>
      <c r="AM7381">
        <v>94.243449256544693</v>
      </c>
      <c r="AN7381">
        <v>1.0000000029681699</v>
      </c>
    </row>
    <row r="7382" spans="1:40" x14ac:dyDescent="0.25">
      <c r="A7382" t="str">
        <f>"20190303162100929"</f>
        <v>20190303162100929</v>
      </c>
      <c r="B7382" t="str">
        <f>"1551601260919676"</f>
        <v>1551601260919676</v>
      </c>
      <c r="C7382" t="s">
        <v>40</v>
      </c>
      <c r="D7382">
        <v>4.5576879999999997</v>
      </c>
      <c r="E7382">
        <v>0.47603699999999999</v>
      </c>
      <c r="F7382" t="s">
        <v>62</v>
      </c>
      <c r="G7382">
        <v>-415.26119999999997</v>
      </c>
      <c r="H7382" s="1">
        <v>-1.29717E-5</v>
      </c>
      <c r="I7382">
        <v>12.342280000000001</v>
      </c>
      <c r="J7382">
        <v>-422.04849999999999</v>
      </c>
      <c r="K7382">
        <v>1.1206659999999999</v>
      </c>
      <c r="L7382">
        <v>71.74194</v>
      </c>
      <c r="M7382">
        <v>-2.0075719999999998E-2</v>
      </c>
      <c r="N7382">
        <v>-7.8426299999999997E-3</v>
      </c>
      <c r="O7382">
        <v>-0.99976799999999999</v>
      </c>
      <c r="P7382">
        <v>5.4794170000000003E-2</v>
      </c>
      <c r="Q7382">
        <v>0.1036251</v>
      </c>
      <c r="R7382">
        <v>-0.99310620000000005</v>
      </c>
      <c r="S7382">
        <v>0.3426208</v>
      </c>
      <c r="T7382">
        <v>-5.6600089999999999E-2</v>
      </c>
      <c r="U7382">
        <v>-3.0075069999999999</v>
      </c>
      <c r="V7382">
        <v>-7.4697189999999997E-2</v>
      </c>
      <c r="W7382">
        <v>0.1114166</v>
      </c>
      <c r="X7382">
        <v>0.99096249999999997</v>
      </c>
      <c r="Y7382">
        <v>-0.13309379999999901</v>
      </c>
      <c r="Z7382">
        <v>1.0815770000000001E-2</v>
      </c>
      <c r="AA7382">
        <v>0.99104440000000005</v>
      </c>
      <c r="AB7382">
        <v>20</v>
      </c>
      <c r="AC7382">
        <v>6.7873000000000099</v>
      </c>
      <c r="AD7382">
        <v>-1.1206789717000001</v>
      </c>
      <c r="AE7382">
        <v>-59.399659999999997</v>
      </c>
      <c r="AF7382">
        <v>-7.9756569009091702</v>
      </c>
      <c r="AG7382">
        <v>-1.1206789717000001</v>
      </c>
      <c r="AH7382">
        <v>59.2306122451647</v>
      </c>
      <c r="AI7382">
        <v>91.074248467367696</v>
      </c>
      <c r="AJ7382">
        <v>97.668994509131906</v>
      </c>
      <c r="AK7382">
        <v>59.775684448575603</v>
      </c>
      <c r="AL7382">
        <v>83.603017226394201</v>
      </c>
      <c r="AM7382">
        <v>94.310713451928393</v>
      </c>
      <c r="AN7382">
        <v>1.0000000026778499</v>
      </c>
    </row>
    <row r="7383" spans="1:40" x14ac:dyDescent="0.25">
      <c r="A7383" t="str">
        <f>"20190303162100952"</f>
        <v>20190303162100952</v>
      </c>
      <c r="B7383" t="str">
        <f>"1551601260940172"</f>
        <v>1551601260940172</v>
      </c>
      <c r="C7383" t="s">
        <v>40</v>
      </c>
      <c r="D7383">
        <v>4.7321819999999999</v>
      </c>
      <c r="E7383">
        <v>0.47542649999999997</v>
      </c>
      <c r="F7383" t="s">
        <v>62</v>
      </c>
      <c r="G7383">
        <v>-414.41300000000001</v>
      </c>
      <c r="H7383">
        <v>7.9986559999999998E-2</v>
      </c>
      <c r="I7383">
        <v>6.5655289999999997</v>
      </c>
      <c r="J7383">
        <v>-422.05290000000002</v>
      </c>
      <c r="K7383">
        <v>1.120592</v>
      </c>
      <c r="L7383">
        <v>71.531040000000004</v>
      </c>
      <c r="M7383">
        <v>-2.0222810000000001E-2</v>
      </c>
      <c r="N7383">
        <v>-7.486754E-3</v>
      </c>
      <c r="O7383">
        <v>-0.99976779999999998</v>
      </c>
      <c r="P7383">
        <v>5.5792090000000003E-2</v>
      </c>
      <c r="Q7383">
        <v>0.1042748</v>
      </c>
      <c r="R7383">
        <v>-0.99298280000000005</v>
      </c>
      <c r="S7383">
        <v>0.3522034</v>
      </c>
      <c r="T7383">
        <v>-4.8003669999999998E-2</v>
      </c>
      <c r="U7383">
        <v>-3.0064090000000001</v>
      </c>
      <c r="V7383">
        <v>-7.5835749999999993E-2</v>
      </c>
      <c r="W7383">
        <v>0.1117146</v>
      </c>
      <c r="X7383">
        <v>0.99084249999999996</v>
      </c>
      <c r="Y7383">
        <v>-0.13640139999999901</v>
      </c>
      <c r="Z7383">
        <v>8.3363619999999999E-3</v>
      </c>
      <c r="AA7383">
        <v>0.99061860000000002</v>
      </c>
      <c r="AB7383">
        <v>20</v>
      </c>
      <c r="AC7383">
        <v>7.6399000000000097</v>
      </c>
      <c r="AD7383">
        <v>-1.04060544</v>
      </c>
      <c r="AE7383">
        <v>-64.965510999999907</v>
      </c>
      <c r="AF7383">
        <v>-8.9498941534588194</v>
      </c>
      <c r="AG7383">
        <v>-1.04060544</v>
      </c>
      <c r="AH7383">
        <v>64.781325925158697</v>
      </c>
      <c r="AI7383">
        <v>90.911625836340605</v>
      </c>
      <c r="AJ7383">
        <v>97.865931720630599</v>
      </c>
      <c r="AK7383">
        <v>65.404920714434894</v>
      </c>
      <c r="AL7383">
        <v>83.585836038480593</v>
      </c>
      <c r="AM7383">
        <v>94.376693414463901</v>
      </c>
      <c r="AN7383">
        <v>1.00000003631873</v>
      </c>
    </row>
    <row r="7384" spans="1:40" x14ac:dyDescent="0.25">
      <c r="A7384" t="str">
        <f>"20190303162100974"</f>
        <v>20190303162100974</v>
      </c>
      <c r="B7384" t="str">
        <f>"1551601260959692"</f>
        <v>1551601260959692</v>
      </c>
      <c r="C7384" t="s">
        <v>40</v>
      </c>
      <c r="D7384">
        <v>4.7887829999999996</v>
      </c>
      <c r="E7384">
        <v>0.47503580000000001</v>
      </c>
      <c r="F7384" t="s">
        <v>44</v>
      </c>
      <c r="G7384">
        <v>-412.3578</v>
      </c>
      <c r="H7384">
        <v>-0.05</v>
      </c>
      <c r="I7384">
        <v>-9.3517609999999998</v>
      </c>
      <c r="J7384">
        <v>-422.05720000000002</v>
      </c>
      <c r="K7384">
        <v>1.120525</v>
      </c>
      <c r="L7384">
        <v>71.323969999999903</v>
      </c>
      <c r="M7384">
        <v>-2.038038E-2</v>
      </c>
      <c r="N7384">
        <v>-7.1439449999999996E-3</v>
      </c>
      <c r="O7384">
        <v>-0.99976679999999996</v>
      </c>
      <c r="P7384">
        <v>5.6955440000000003E-2</v>
      </c>
      <c r="Q7384">
        <v>0.1053292</v>
      </c>
      <c r="R7384">
        <v>-0.9928051</v>
      </c>
      <c r="S7384">
        <v>0.36026000000000002</v>
      </c>
      <c r="T7384">
        <v>-4.3498040000000002E-2</v>
      </c>
      <c r="U7384">
        <v>-3.0055239999999999</v>
      </c>
      <c r="V7384">
        <v>-7.7148090000000002E-2</v>
      </c>
      <c r="W7384">
        <v>0.11243010000000001</v>
      </c>
      <c r="X7384">
        <v>0.99066019999999999</v>
      </c>
      <c r="Y7384">
        <v>-0.13921159999999999</v>
      </c>
      <c r="Z7384">
        <v>7.1926189999999999E-3</v>
      </c>
      <c r="AA7384">
        <v>0.99023649999999996</v>
      </c>
      <c r="AB7384">
        <v>20</v>
      </c>
      <c r="AC7384">
        <v>9.6994000000000202</v>
      </c>
      <c r="AD7384">
        <v>-1.170525</v>
      </c>
      <c r="AE7384">
        <v>-80.675730999999899</v>
      </c>
      <c r="AF7384">
        <v>-11.3392762541444</v>
      </c>
      <c r="AG7384">
        <v>-1.170525</v>
      </c>
      <c r="AH7384">
        <v>80.444597966199098</v>
      </c>
      <c r="AI7384">
        <v>90.825475496528398</v>
      </c>
      <c r="AJ7384">
        <v>98.023414188764505</v>
      </c>
      <c r="AK7384">
        <v>81.248277869052899</v>
      </c>
      <c r="AL7384">
        <v>83.544580726696594</v>
      </c>
      <c r="AM7384">
        <v>94.452946279242695</v>
      </c>
      <c r="AN7384">
        <v>0.99999999352034896</v>
      </c>
    </row>
    <row r="7385" spans="1:40" x14ac:dyDescent="0.25">
      <c r="A7385" t="str">
        <f>"20190303162101008"</f>
        <v>20190303162101008</v>
      </c>
      <c r="B7385" t="str">
        <f>"1551601261000214"</f>
        <v>1551601261000214</v>
      </c>
      <c r="C7385" t="s">
        <v>40</v>
      </c>
      <c r="D7385">
        <v>4.6243569999999998</v>
      </c>
      <c r="E7385">
        <v>0.4745105</v>
      </c>
      <c r="F7385" t="s">
        <v>72</v>
      </c>
      <c r="G7385">
        <v>-413.42680000000001</v>
      </c>
      <c r="H7385">
        <v>0.2002263</v>
      </c>
      <c r="I7385">
        <v>0.54423710000000003</v>
      </c>
      <c r="J7385">
        <v>-422.06369999999998</v>
      </c>
      <c r="K7385">
        <v>1.1204449999999999</v>
      </c>
      <c r="L7385">
        <v>71.017399999999995</v>
      </c>
      <c r="M7385">
        <v>-2.0634130000000001E-2</v>
      </c>
      <c r="N7385">
        <v>-6.6835769999999996E-3</v>
      </c>
      <c r="O7385">
        <v>-0.99976489999999996</v>
      </c>
      <c r="P7385">
        <v>5.6674380000000003E-2</v>
      </c>
      <c r="Q7385">
        <v>0.1052809</v>
      </c>
      <c r="R7385">
        <v>-0.99282649999999995</v>
      </c>
      <c r="S7385">
        <v>0.366394</v>
      </c>
      <c r="T7385">
        <v>-3.9071439999999999E-2</v>
      </c>
      <c r="U7385">
        <v>-3.004883</v>
      </c>
      <c r="V7385">
        <v>-7.7115639999999999E-2</v>
      </c>
      <c r="W7385">
        <v>0.1119279</v>
      </c>
      <c r="X7385">
        <v>0.99071960000000003</v>
      </c>
      <c r="Y7385">
        <v>-0.141482</v>
      </c>
      <c r="Z7385">
        <v>6.1926159999999997E-3</v>
      </c>
      <c r="AA7385">
        <v>0.98992150000000001</v>
      </c>
      <c r="AB7385">
        <v>21</v>
      </c>
      <c r="AC7385">
        <v>8.6368999999999598</v>
      </c>
      <c r="AD7385">
        <v>-0.92021869999999995</v>
      </c>
      <c r="AE7385">
        <v>-70.473162899999906</v>
      </c>
      <c r="AF7385">
        <v>-10.087551223030101</v>
      </c>
      <c r="AG7385">
        <v>-0.92021869999999995</v>
      </c>
      <c r="AH7385">
        <v>70.268135472598601</v>
      </c>
      <c r="AI7385">
        <v>90.742679196480694</v>
      </c>
      <c r="AJ7385">
        <v>98.169450106818999</v>
      </c>
      <c r="AK7385">
        <v>70.994481158246103</v>
      </c>
      <c r="AL7385">
        <v>83.573537492077605</v>
      </c>
      <c r="AM7385">
        <v>94.450815012477804</v>
      </c>
      <c r="AN7385">
        <v>1.00000000127758</v>
      </c>
    </row>
    <row r="7386" spans="1:40" x14ac:dyDescent="0.25">
      <c r="A7386" t="str">
        <f>"20190303162101029"</f>
        <v>20190303162101029</v>
      </c>
      <c r="B7386" t="str">
        <f>"1551601261019734"</f>
        <v>1551601261019734</v>
      </c>
      <c r="C7386" t="s">
        <v>40</v>
      </c>
      <c r="D7386">
        <v>4.8312249999999999</v>
      </c>
      <c r="E7386">
        <v>0.47439910000000002</v>
      </c>
      <c r="F7386" t="s">
        <v>72</v>
      </c>
      <c r="G7386">
        <v>-413.37560000000002</v>
      </c>
      <c r="H7386">
        <v>0.1479152</v>
      </c>
      <c r="I7386">
        <v>0.54475399999999996</v>
      </c>
      <c r="J7386">
        <v>-422.06819999999999</v>
      </c>
      <c r="K7386">
        <v>1.1204069999999999</v>
      </c>
      <c r="L7386">
        <v>70.813389999999998</v>
      </c>
      <c r="M7386">
        <v>-2.0816250000000001E-2</v>
      </c>
      <c r="N7386">
        <v>-6.4194439999999998E-3</v>
      </c>
      <c r="O7386">
        <v>-0.99976279999999995</v>
      </c>
      <c r="P7386">
        <v>5.6907880000000001E-2</v>
      </c>
      <c r="Q7386">
        <v>0.10516499999999999</v>
      </c>
      <c r="R7386">
        <v>-0.99282530000000002</v>
      </c>
      <c r="S7386">
        <v>0.37045289999999997</v>
      </c>
      <c r="T7386">
        <v>-4.1469220000000001E-2</v>
      </c>
      <c r="U7386">
        <v>-3.0049130000000002</v>
      </c>
      <c r="V7386">
        <v>-7.7527570000000004E-2</v>
      </c>
      <c r="W7386">
        <v>0.1115516</v>
      </c>
      <c r="X7386">
        <v>0.99072990000000005</v>
      </c>
      <c r="Y7386">
        <v>-0.14297739999999901</v>
      </c>
      <c r="Z7386">
        <v>7.244711E-3</v>
      </c>
      <c r="AA7386">
        <v>0.98969940000000001</v>
      </c>
      <c r="AB7386">
        <v>21</v>
      </c>
      <c r="AC7386">
        <v>8.6925999999999704</v>
      </c>
      <c r="AD7386">
        <v>-0.97249180000000002</v>
      </c>
      <c r="AE7386">
        <v>-70.268636000000001</v>
      </c>
      <c r="AF7386">
        <v>-10.1515608213171</v>
      </c>
      <c r="AG7386">
        <v>-0.97249180000000002</v>
      </c>
      <c r="AH7386">
        <v>70.059241841830598</v>
      </c>
      <c r="AI7386">
        <v>90.787052726263198</v>
      </c>
      <c r="AJ7386">
        <v>98.244756874444903</v>
      </c>
      <c r="AK7386">
        <v>70.797579724606905</v>
      </c>
      <c r="AL7386">
        <v>83.595233817550394</v>
      </c>
      <c r="AM7386">
        <v>94.474447388517802</v>
      </c>
      <c r="AN7386">
        <v>1.0000000091633301</v>
      </c>
    </row>
    <row r="7387" spans="1:40" x14ac:dyDescent="0.25">
      <c r="A7387" t="str">
        <f>"20190303162101051"</f>
        <v>20190303162101051</v>
      </c>
      <c r="B7387" t="str">
        <f>"1551601261040230"</f>
        <v>1551601261040230</v>
      </c>
      <c r="C7387" t="s">
        <v>40</v>
      </c>
      <c r="D7387">
        <v>4.8464229999999997</v>
      </c>
      <c r="E7387">
        <v>0.4743308</v>
      </c>
      <c r="F7387" t="s">
        <v>72</v>
      </c>
      <c r="G7387">
        <v>-413.37119999999999</v>
      </c>
      <c r="H7387">
        <v>0.1034553</v>
      </c>
      <c r="I7387">
        <v>0.54479979999999995</v>
      </c>
      <c r="J7387">
        <v>-422.07279999999997</v>
      </c>
      <c r="K7387">
        <v>1.1203780000000001</v>
      </c>
      <c r="L7387">
        <v>70.601590000000002</v>
      </c>
      <c r="M7387">
        <v>-2.1011970000000001E-2</v>
      </c>
      <c r="N7387">
        <v>-6.1772880000000004E-3</v>
      </c>
      <c r="O7387">
        <v>-0.99976019999999999</v>
      </c>
      <c r="P7387">
        <v>5.6431229999999999E-2</v>
      </c>
      <c r="Q7387">
        <v>0.10558960000000001</v>
      </c>
      <c r="R7387">
        <v>-0.9928072</v>
      </c>
      <c r="S7387">
        <v>0.37191770000000002</v>
      </c>
      <c r="T7387">
        <v>-4.3490050000000002E-2</v>
      </c>
      <c r="U7387">
        <v>-3.0049739999999998</v>
      </c>
      <c r="V7387">
        <v>-7.7243899999999893E-2</v>
      </c>
      <c r="W7387">
        <v>0.1117369</v>
      </c>
      <c r="X7387">
        <v>0.99073120000000003</v>
      </c>
      <c r="Y7387">
        <v>-0.1436431</v>
      </c>
      <c r="Z7387">
        <v>8.1517329999999995E-3</v>
      </c>
      <c r="AA7387">
        <v>0.98959589999999997</v>
      </c>
      <c r="AB7387">
        <v>21</v>
      </c>
      <c r="AC7387">
        <v>8.7015999999999796</v>
      </c>
      <c r="AD7387">
        <v>-1.0169226999999901</v>
      </c>
      <c r="AE7387">
        <v>-70.056790199999995</v>
      </c>
      <c r="AF7387">
        <v>-10.169627758255899</v>
      </c>
      <c r="AG7387">
        <v>-1.0169226999999901</v>
      </c>
      <c r="AH7387">
        <v>69.843988624441593</v>
      </c>
      <c r="AI7387">
        <v>90.825459787272294</v>
      </c>
      <c r="AJ7387">
        <v>98.284329468190506</v>
      </c>
      <c r="AK7387">
        <v>70.587804948803907</v>
      </c>
      <c r="AL7387">
        <v>83.584550269900802</v>
      </c>
      <c r="AM7387">
        <v>94.458135874402203</v>
      </c>
      <c r="AN7387">
        <v>1.00000003278112</v>
      </c>
    </row>
    <row r="7388" spans="1:40" x14ac:dyDescent="0.25">
      <c r="A7388" t="str">
        <f>"20190303162101075"</f>
        <v>20190303162101075</v>
      </c>
      <c r="B7388" t="str">
        <f>"1551601261059750"</f>
        <v>1551601261059750</v>
      </c>
      <c r="C7388" t="s">
        <v>40</v>
      </c>
      <c r="D7388">
        <v>4.6915959999999997</v>
      </c>
      <c r="E7388">
        <v>0.47430810000000001</v>
      </c>
      <c r="F7388" t="s">
        <v>72</v>
      </c>
      <c r="G7388">
        <v>-413.4144</v>
      </c>
      <c r="H7388">
        <v>0.14129829999999999</v>
      </c>
      <c r="I7388">
        <v>0.54436110000000004</v>
      </c>
      <c r="J7388">
        <v>-422.07769999999999</v>
      </c>
      <c r="K7388">
        <v>1.1203609999999999</v>
      </c>
      <c r="L7388">
        <v>70.381259999999997</v>
      </c>
      <c r="M7388">
        <v>-2.1220320000000001E-2</v>
      </c>
      <c r="N7388">
        <v>-5.9613779999999998E-3</v>
      </c>
      <c r="O7388">
        <v>-0.99975729999999996</v>
      </c>
      <c r="P7388">
        <v>5.6489419999999999E-2</v>
      </c>
      <c r="Q7388">
        <v>0.1065864</v>
      </c>
      <c r="R7388">
        <v>-0.99269779999999996</v>
      </c>
      <c r="S7388">
        <v>0.37139889999999998</v>
      </c>
      <c r="T7388">
        <v>-4.1998510000000003E-2</v>
      </c>
      <c r="U7388">
        <v>-3.005096</v>
      </c>
      <c r="V7388">
        <v>-7.7504879999999998E-2</v>
      </c>
      <c r="W7388">
        <v>0.1125197</v>
      </c>
      <c r="X7388">
        <v>0.99062220000000001</v>
      </c>
      <c r="Y7388">
        <v>-0.1436771</v>
      </c>
      <c r="Z7388">
        <v>7.8756859999999998E-3</v>
      </c>
      <c r="AA7388">
        <v>0.98959330000000001</v>
      </c>
      <c r="AB7388">
        <v>21</v>
      </c>
      <c r="AC7388">
        <v>8.6632999999999907</v>
      </c>
      <c r="AD7388">
        <v>-0.97906269999999995</v>
      </c>
      <c r="AE7388">
        <v>-69.836898899999994</v>
      </c>
      <c r="AF7388">
        <v>-10.1413734889131</v>
      </c>
      <c r="AG7388">
        <v>-0.97906269999999995</v>
      </c>
      <c r="AH7388">
        <v>69.623855017913897</v>
      </c>
      <c r="AI7388">
        <v>90.797238186041099</v>
      </c>
      <c r="AJ7388">
        <v>98.287390270590194</v>
      </c>
      <c r="AK7388">
        <v>70.365383588577501</v>
      </c>
      <c r="AL7388">
        <v>83.539414388518196</v>
      </c>
      <c r="AM7388">
        <v>94.473627511202906</v>
      </c>
      <c r="AN7388">
        <v>1.0000000162223699</v>
      </c>
    </row>
    <row r="7389" spans="1:40" x14ac:dyDescent="0.25">
      <c r="A7389" t="str">
        <f>"20190303162101096"</f>
        <v>20190303162101096</v>
      </c>
      <c r="B7389" t="str">
        <f>"1551601261090006"</f>
        <v>1551601261090006</v>
      </c>
      <c r="C7389" t="s">
        <v>40</v>
      </c>
      <c r="D7389">
        <v>4.7550840000000001</v>
      </c>
      <c r="E7389">
        <v>0.47423209999999999</v>
      </c>
      <c r="F7389" t="s">
        <v>72</v>
      </c>
      <c r="G7389">
        <v>-413.44069999999999</v>
      </c>
      <c r="H7389">
        <v>0.22411729999999999</v>
      </c>
      <c r="I7389">
        <v>0.54409790000000002</v>
      </c>
      <c r="J7389">
        <v>-422.08240000000001</v>
      </c>
      <c r="K7389">
        <v>1.1203529999999999</v>
      </c>
      <c r="L7389">
        <v>70.169619999999995</v>
      </c>
      <c r="M7389">
        <v>-2.142202E-2</v>
      </c>
      <c r="N7389">
        <v>-5.7922709999999999E-3</v>
      </c>
      <c r="O7389">
        <v>-0.99975400000000003</v>
      </c>
      <c r="P7389">
        <v>5.6295089999999999E-2</v>
      </c>
      <c r="Q7389">
        <v>0.1069141</v>
      </c>
      <c r="R7389">
        <v>-0.99267349999999999</v>
      </c>
      <c r="S7389">
        <v>0.3716431</v>
      </c>
      <c r="T7389">
        <v>-3.8566110000000001E-2</v>
      </c>
      <c r="U7389">
        <v>-3.0050659999999998</v>
      </c>
      <c r="V7389">
        <v>-7.751007E-2</v>
      </c>
      <c r="W7389">
        <v>0.1126798</v>
      </c>
      <c r="X7389">
        <v>0.99060360000000003</v>
      </c>
      <c r="Y7389">
        <v>-0.1439587</v>
      </c>
      <c r="Z7389">
        <v>6.9133129999999999E-3</v>
      </c>
      <c r="AA7389">
        <v>0.98955950000000004</v>
      </c>
      <c r="AB7389">
        <v>21</v>
      </c>
      <c r="AC7389">
        <v>8.6417000000000108</v>
      </c>
      <c r="AD7389">
        <v>-0.89623569999999997</v>
      </c>
      <c r="AE7389">
        <v>-69.625522099999898</v>
      </c>
      <c r="AF7389">
        <v>-10.129607866575901</v>
      </c>
      <c r="AG7389">
        <v>-0.89623569999999997</v>
      </c>
      <c r="AH7389">
        <v>69.413091469333594</v>
      </c>
      <c r="AI7389">
        <v>90.731988054615101</v>
      </c>
      <c r="AJ7389">
        <v>98.302693769091405</v>
      </c>
      <c r="AK7389">
        <v>70.154040947693304</v>
      </c>
      <c r="AL7389">
        <v>83.530182650805699</v>
      </c>
      <c r="AM7389">
        <v>94.474009528203894</v>
      </c>
      <c r="AN7389">
        <v>1.0000000203062001</v>
      </c>
    </row>
    <row r="7390" spans="1:40" x14ac:dyDescent="0.25">
      <c r="A7390" t="str">
        <f>"20190303162101118"</f>
        <v>20190303162101118</v>
      </c>
      <c r="B7390" t="str">
        <f>"1551601261109526"</f>
        <v>1551601261109526</v>
      </c>
      <c r="C7390" t="s">
        <v>40</v>
      </c>
      <c r="D7390">
        <v>4.767576</v>
      </c>
      <c r="E7390">
        <v>0.47478989999999999</v>
      </c>
      <c r="F7390" t="s">
        <v>72</v>
      </c>
      <c r="G7390">
        <v>-413.4658</v>
      </c>
      <c r="H7390">
        <v>0.27215349999999999</v>
      </c>
      <c r="I7390">
        <v>0.5438385</v>
      </c>
      <c r="J7390">
        <v>-422.08710000000002</v>
      </c>
      <c r="K7390">
        <v>1.1203479999999999</v>
      </c>
      <c r="L7390">
        <v>69.961029999999994</v>
      </c>
      <c r="M7390">
        <v>-2.1620690000000001E-2</v>
      </c>
      <c r="N7390">
        <v>-5.6687889999999996E-3</v>
      </c>
      <c r="O7390">
        <v>-0.99975040000000004</v>
      </c>
      <c r="P7390">
        <v>5.6125309999999998E-2</v>
      </c>
      <c r="Q7390">
        <v>0.1063298</v>
      </c>
      <c r="R7390">
        <v>-0.99274589999999996</v>
      </c>
      <c r="S7390">
        <v>0.37188719999999997</v>
      </c>
      <c r="T7390">
        <v>-3.6608929999999998E-2</v>
      </c>
      <c r="U7390">
        <v>-3.0050050000000001</v>
      </c>
      <c r="V7390">
        <v>-7.7538979999999993E-2</v>
      </c>
      <c r="W7390">
        <v>0.1119738</v>
      </c>
      <c r="X7390">
        <v>0.99068140000000005</v>
      </c>
      <c r="Y7390">
        <v>-0.1442379</v>
      </c>
      <c r="Z7390">
        <v>6.3916370000000004E-3</v>
      </c>
      <c r="AA7390">
        <v>0.98952240000000002</v>
      </c>
      <c r="AB7390">
        <v>21</v>
      </c>
      <c r="AC7390">
        <v>8.6213000000000193</v>
      </c>
      <c r="AD7390">
        <v>-0.84819449999999996</v>
      </c>
      <c r="AE7390">
        <v>-69.417191500000001</v>
      </c>
      <c r="AF7390">
        <v>-10.118668264834</v>
      </c>
      <c r="AG7390">
        <v>-0.84819449999999996</v>
      </c>
      <c r="AH7390">
        <v>69.204387804817003</v>
      </c>
      <c r="AI7390">
        <v>90.694815957796095</v>
      </c>
      <c r="AJ7390">
        <v>98.318514721906496</v>
      </c>
      <c r="AK7390">
        <v>69.945365627774805</v>
      </c>
      <c r="AL7390">
        <v>83.570891169787799</v>
      </c>
      <c r="AM7390">
        <v>94.475321427748597</v>
      </c>
      <c r="AN7390">
        <v>1.00000003080591</v>
      </c>
    </row>
    <row r="7391" spans="1:40" x14ac:dyDescent="0.25">
      <c r="A7391" t="str">
        <f>"20190303162101141"</f>
        <v>20190303162101141</v>
      </c>
      <c r="B7391" t="str">
        <f>"1551601261130023"</f>
        <v>1551601261130023</v>
      </c>
      <c r="C7391" t="s">
        <v>40</v>
      </c>
      <c r="D7391">
        <v>4.7618029999999996</v>
      </c>
      <c r="E7391">
        <v>0.47541670000000003</v>
      </c>
      <c r="F7391" t="s">
        <v>72</v>
      </c>
      <c r="G7391">
        <v>-413.62029999999999</v>
      </c>
      <c r="H7391">
        <v>0.23262269999999999</v>
      </c>
      <c r="I7391">
        <v>0.54226680000000005</v>
      </c>
      <c r="J7391">
        <v>-422.09219999999999</v>
      </c>
      <c r="K7391">
        <v>1.1203650000000001</v>
      </c>
      <c r="L7391">
        <v>69.736660000000001</v>
      </c>
      <c r="M7391">
        <v>-2.1832790000000001E-2</v>
      </c>
      <c r="N7391">
        <v>-5.5885090000000002E-3</v>
      </c>
      <c r="O7391">
        <v>-0.99974640000000004</v>
      </c>
      <c r="P7391">
        <v>5.6105450000000001E-2</v>
      </c>
      <c r="Q7391">
        <v>0.1056213</v>
      </c>
      <c r="R7391">
        <v>-0.99282250000000005</v>
      </c>
      <c r="S7391">
        <v>0.3665466</v>
      </c>
      <c r="T7391">
        <v>-3.8432840000000003E-2</v>
      </c>
      <c r="U7391">
        <v>-3.0053100000000001</v>
      </c>
      <c r="V7391">
        <v>-7.7731529999999993E-2</v>
      </c>
      <c r="W7391">
        <v>0.1111858</v>
      </c>
      <c r="X7391">
        <v>0.99075500000000005</v>
      </c>
      <c r="Y7391">
        <v>-0.14270250000000001</v>
      </c>
      <c r="Z7391">
        <v>7.0746480000000002E-3</v>
      </c>
      <c r="AA7391">
        <v>0.98974030000000002</v>
      </c>
      <c r="AB7391">
        <v>21</v>
      </c>
      <c r="AC7391">
        <v>8.4718999999999998</v>
      </c>
      <c r="AD7391">
        <v>-0.88774229999999998</v>
      </c>
      <c r="AE7391">
        <v>-69.194393199999993</v>
      </c>
      <c r="AF7391">
        <v>-9.97899192157473</v>
      </c>
      <c r="AG7391">
        <v>-0.88774229999999998</v>
      </c>
      <c r="AH7391">
        <v>68.981744474183003</v>
      </c>
      <c r="AI7391">
        <v>90.729717172225705</v>
      </c>
      <c r="AJ7391">
        <v>98.231382359501694</v>
      </c>
      <c r="AK7391">
        <v>69.705447684263106</v>
      </c>
      <c r="AL7391">
        <v>83.616323569424196</v>
      </c>
      <c r="AM7391">
        <v>94.486057612783299</v>
      </c>
      <c r="AN7391">
        <v>0.99999997145138997</v>
      </c>
    </row>
    <row r="7392" spans="1:40" x14ac:dyDescent="0.25">
      <c r="A7392" t="str">
        <f>"20190303162101164"</f>
        <v>20190303162101164</v>
      </c>
      <c r="B7392" t="str">
        <f>"1551601261149542"</f>
        <v>1551601261149542</v>
      </c>
      <c r="C7392" t="s">
        <v>40</v>
      </c>
      <c r="D7392">
        <v>4.6311540000000004</v>
      </c>
      <c r="E7392">
        <v>0.47604770000000002</v>
      </c>
      <c r="F7392" t="s">
        <v>72</v>
      </c>
      <c r="G7392">
        <v>-413.77359999999999</v>
      </c>
      <c r="H7392">
        <v>0.17801129999999901</v>
      </c>
      <c r="I7392">
        <v>0.54071040000000004</v>
      </c>
      <c r="J7392">
        <v>-422.09710000000001</v>
      </c>
      <c r="K7392">
        <v>1.120384</v>
      </c>
      <c r="L7392">
        <v>69.519409999999993</v>
      </c>
      <c r="M7392">
        <v>-2.2036150000000001E-2</v>
      </c>
      <c r="N7392">
        <v>-5.5628689999999998E-3</v>
      </c>
      <c r="O7392">
        <v>-0.99974189999999996</v>
      </c>
      <c r="P7392">
        <v>5.5968520000000001E-2</v>
      </c>
      <c r="Q7392">
        <v>0.10557759999999999</v>
      </c>
      <c r="R7392">
        <v>-0.99283520000000003</v>
      </c>
      <c r="S7392">
        <v>0.36132809999999999</v>
      </c>
      <c r="T7392">
        <v>-4.0933369999999997E-2</v>
      </c>
      <c r="U7392">
        <v>-3.0056150000000001</v>
      </c>
      <c r="V7392">
        <v>-7.7796399999999905E-2</v>
      </c>
      <c r="W7392">
        <v>0.1111171</v>
      </c>
      <c r="X7392">
        <v>0.99075760000000002</v>
      </c>
      <c r="Y7392">
        <v>-0.14119709999999999</v>
      </c>
      <c r="Z7392">
        <v>7.9260379999999998E-3</v>
      </c>
      <c r="AA7392">
        <v>0.98994979999999999</v>
      </c>
      <c r="AB7392">
        <v>22</v>
      </c>
      <c r="AC7392">
        <v>8.3235000000000205</v>
      </c>
      <c r="AD7392">
        <v>-0.94237269999999895</v>
      </c>
      <c r="AE7392">
        <v>-68.978699599999999</v>
      </c>
      <c r="AF7392">
        <v>-9.8397167919095008</v>
      </c>
      <c r="AG7392">
        <v>-0.94237269999999895</v>
      </c>
      <c r="AH7392">
        <v>68.765878032656801</v>
      </c>
      <c r="AI7392">
        <v>90.777221058239903</v>
      </c>
      <c r="AJ7392">
        <v>98.143182788357905</v>
      </c>
      <c r="AK7392">
        <v>69.472685815742807</v>
      </c>
      <c r="AL7392">
        <v>83.620284232670798</v>
      </c>
      <c r="AM7392">
        <v>94.489774368275903</v>
      </c>
      <c r="AN7392">
        <v>0.99999995586156398</v>
      </c>
    </row>
    <row r="7393" spans="1:40" x14ac:dyDescent="0.25">
      <c r="A7393" t="str">
        <f>"20190303162101187"</f>
        <v>20190303162101187</v>
      </c>
      <c r="B7393" t="str">
        <f>"1551601261180306"</f>
        <v>1551601261180306</v>
      </c>
      <c r="C7393" t="s">
        <v>40</v>
      </c>
      <c r="D7393">
        <v>4.5472400000000004</v>
      </c>
      <c r="E7393">
        <v>0.47679779999999999</v>
      </c>
      <c r="F7393" t="s">
        <v>72</v>
      </c>
      <c r="G7393">
        <v>-413.92450000000002</v>
      </c>
      <c r="H7393">
        <v>0.1751152</v>
      </c>
      <c r="I7393">
        <v>0.53917499999999996</v>
      </c>
      <c r="J7393">
        <v>-422.10219999999998</v>
      </c>
      <c r="K7393">
        <v>1.120411</v>
      </c>
      <c r="L7393">
        <v>69.300569999999993</v>
      </c>
      <c r="M7393">
        <v>-2.2238870000000001E-2</v>
      </c>
      <c r="N7393">
        <v>-5.5905119999999997E-3</v>
      </c>
      <c r="O7393">
        <v>-0.99973710000000005</v>
      </c>
      <c r="P7393">
        <v>5.5826059999999997E-2</v>
      </c>
      <c r="Q7393">
        <v>0.1048838</v>
      </c>
      <c r="R7393">
        <v>-0.99291649999999998</v>
      </c>
      <c r="S7393">
        <v>0.35614010000000001</v>
      </c>
      <c r="T7393">
        <v>-4.1193010000000002E-2</v>
      </c>
      <c r="U7393">
        <v>-3.005951</v>
      </c>
      <c r="V7393">
        <v>-7.7856540000000002E-2</v>
      </c>
      <c r="W7393">
        <v>0.1104508</v>
      </c>
      <c r="X7393">
        <v>0.99082740000000002</v>
      </c>
      <c r="Y7393">
        <v>-0.13969989999999999</v>
      </c>
      <c r="Z7393">
        <v>7.9852259999999998E-3</v>
      </c>
      <c r="AA7393">
        <v>0.99016170000000003</v>
      </c>
      <c r="AB7393">
        <v>22</v>
      </c>
      <c r="AC7393">
        <v>8.17769999999995</v>
      </c>
      <c r="AD7393">
        <v>-0.94529580000000002</v>
      </c>
      <c r="AE7393">
        <v>-68.761394999999993</v>
      </c>
      <c r="AF7393">
        <v>-9.70306878953315</v>
      </c>
      <c r="AG7393">
        <v>-0.94529580000000002</v>
      </c>
      <c r="AH7393">
        <v>68.549748408410295</v>
      </c>
      <c r="AI7393">
        <v>90.782257623794493</v>
      </c>
      <c r="AJ7393">
        <v>98.056571714152895</v>
      </c>
      <c r="AK7393">
        <v>69.239520036899904</v>
      </c>
      <c r="AL7393">
        <v>83.658697004412403</v>
      </c>
      <c r="AM7393">
        <v>94.492915716993394</v>
      </c>
      <c r="AN7393">
        <v>0.999999978316085</v>
      </c>
    </row>
    <row r="7394" spans="1:40" x14ac:dyDescent="0.25">
      <c r="A7394" t="str">
        <f>"20190303162101207"</f>
        <v>20190303162101207</v>
      </c>
      <c r="B7394" t="str">
        <f>"1551601261199826"</f>
        <v>1551601261199826</v>
      </c>
      <c r="C7394" t="s">
        <v>40</v>
      </c>
      <c r="D7394">
        <v>4.6885219999999999</v>
      </c>
      <c r="E7394">
        <v>0.47726570000000001</v>
      </c>
      <c r="F7394" t="s">
        <v>72</v>
      </c>
      <c r="G7394">
        <v>-414.10059999999999</v>
      </c>
      <c r="H7394">
        <v>0.14256379999999999</v>
      </c>
      <c r="I7394">
        <v>0.53738209999999997</v>
      </c>
      <c r="J7394">
        <v>-422.1071</v>
      </c>
      <c r="K7394">
        <v>1.1204350000000001</v>
      </c>
      <c r="L7394">
        <v>69.088470000000001</v>
      </c>
      <c r="M7394">
        <v>-2.243386E-2</v>
      </c>
      <c r="N7394">
        <v>-5.6660490000000003E-3</v>
      </c>
      <c r="O7394">
        <v>-0.99973230000000002</v>
      </c>
      <c r="P7394">
        <v>5.5924509999999997E-2</v>
      </c>
      <c r="Q7394">
        <v>0.1036859</v>
      </c>
      <c r="R7394">
        <v>-0.99303669999999999</v>
      </c>
      <c r="S7394">
        <v>0.349823</v>
      </c>
      <c r="T7394">
        <v>-4.2751669999999999E-2</v>
      </c>
      <c r="U7394">
        <v>-3.006256</v>
      </c>
      <c r="V7394">
        <v>-7.8152139999999995E-2</v>
      </c>
      <c r="W7394">
        <v>0.1093285</v>
      </c>
      <c r="X7394">
        <v>0.99092860000000005</v>
      </c>
      <c r="Y7394">
        <v>-0.13782800000000001</v>
      </c>
      <c r="Z7394">
        <v>8.4256009999999996E-3</v>
      </c>
      <c r="AA7394">
        <v>0.99042030000000003</v>
      </c>
      <c r="AB7394">
        <v>22</v>
      </c>
      <c r="AC7394">
        <v>8.0065000000000097</v>
      </c>
      <c r="AD7394">
        <v>-0.97787119999999905</v>
      </c>
      <c r="AE7394">
        <v>-68.551087899999999</v>
      </c>
      <c r="AF7394">
        <v>-9.5404598636429796</v>
      </c>
      <c r="AG7394">
        <v>-0.97787119999999905</v>
      </c>
      <c r="AH7394">
        <v>68.340496279115897</v>
      </c>
      <c r="AI7394">
        <v>90.811906252768196</v>
      </c>
      <c r="AJ7394">
        <v>97.947235509820203</v>
      </c>
      <c r="AK7394">
        <v>69.010144458401399</v>
      </c>
      <c r="AL7394">
        <v>83.723391904600007</v>
      </c>
      <c r="AM7394">
        <v>94.509445169801296</v>
      </c>
      <c r="AN7394">
        <v>0.99999998409839397</v>
      </c>
    </row>
    <row r="7395" spans="1:40" x14ac:dyDescent="0.25">
      <c r="A7395" t="str">
        <f>"20190303162101230"</f>
        <v>20190303162101230</v>
      </c>
      <c r="B7395" t="str">
        <f>"1551601261220322"</f>
        <v>1551601261220322</v>
      </c>
      <c r="C7395" t="s">
        <v>40</v>
      </c>
      <c r="D7395">
        <v>4.7057820000000001</v>
      </c>
      <c r="E7395">
        <v>0.47763139999999998</v>
      </c>
      <c r="F7395" t="s">
        <v>44</v>
      </c>
      <c r="G7395">
        <v>-413.28910000000002</v>
      </c>
      <c r="H7395">
        <v>-0.05</v>
      </c>
      <c r="I7395">
        <v>-7.4672390000000002</v>
      </c>
      <c r="J7395">
        <v>-422.11219999999997</v>
      </c>
      <c r="K7395">
        <v>1.1204590000000001</v>
      </c>
      <c r="L7395">
        <v>68.870699999999999</v>
      </c>
      <c r="M7395">
        <v>-2.2633179999999999E-2</v>
      </c>
      <c r="N7395">
        <v>-5.7735130000000001E-3</v>
      </c>
      <c r="O7395">
        <v>-0.99972729999999999</v>
      </c>
      <c r="P7395">
        <v>5.5667340000000003E-2</v>
      </c>
      <c r="Q7395">
        <v>0.1028951</v>
      </c>
      <c r="R7395">
        <v>-0.9931335</v>
      </c>
      <c r="S7395">
        <v>0.34628300000000001</v>
      </c>
      <c r="T7395">
        <v>-4.5962570000000001E-2</v>
      </c>
      <c r="U7395">
        <v>-3.0063170000000001</v>
      </c>
      <c r="V7395">
        <v>-7.8094720000000006E-2</v>
      </c>
      <c r="W7395">
        <v>0.10864500000000001</v>
      </c>
      <c r="X7395">
        <v>0.99100829999999995</v>
      </c>
      <c r="Y7395">
        <v>-0.13687079999999999</v>
      </c>
      <c r="Z7395">
        <v>9.3783619999999995E-3</v>
      </c>
      <c r="AA7395">
        <v>0.99054450000000005</v>
      </c>
      <c r="AB7395">
        <v>22</v>
      </c>
      <c r="AC7395">
        <v>8.8230999999999504</v>
      </c>
      <c r="AD7395">
        <v>-1.1704589999999999</v>
      </c>
      <c r="AE7395">
        <v>-76.337939000000006</v>
      </c>
      <c r="AF7395">
        <v>-10.546192044457801</v>
      </c>
      <c r="AG7395">
        <v>-1.1704589999999999</v>
      </c>
      <c r="AH7395">
        <v>76.1010306261485</v>
      </c>
      <c r="AI7395">
        <v>90.872818551621194</v>
      </c>
      <c r="AJ7395">
        <v>97.889881038122297</v>
      </c>
      <c r="AK7395">
        <v>76.837224073174696</v>
      </c>
      <c r="AL7395">
        <v>83.762788259228302</v>
      </c>
      <c r="AM7395">
        <v>94.505784731018494</v>
      </c>
      <c r="AN7395">
        <v>0.99999998599288398</v>
      </c>
    </row>
    <row r="7396" spans="1:40" x14ac:dyDescent="0.25">
      <c r="A7396" t="str">
        <f>"20190303162101253"</f>
        <v>20190303162101253</v>
      </c>
      <c r="B7396" t="str">
        <f>"1551601261239842"</f>
        <v>1551601261239842</v>
      </c>
      <c r="C7396" t="s">
        <v>40</v>
      </c>
      <c r="D7396">
        <v>4.6680120000000001</v>
      </c>
      <c r="E7396">
        <v>0.47804679999999999</v>
      </c>
      <c r="F7396" t="s">
        <v>44</v>
      </c>
      <c r="G7396">
        <v>-413.83269999999999</v>
      </c>
      <c r="H7396">
        <v>-0.05</v>
      </c>
      <c r="I7396">
        <v>-3.8222960000000001</v>
      </c>
      <c r="J7396">
        <v>-422.11759999999998</v>
      </c>
      <c r="K7396">
        <v>1.120487</v>
      </c>
      <c r="L7396">
        <v>68.644229999999993</v>
      </c>
      <c r="M7396">
        <v>-2.2839789999999999E-2</v>
      </c>
      <c r="N7396">
        <v>-5.9274210000000004E-3</v>
      </c>
      <c r="O7396">
        <v>-0.99972159999999999</v>
      </c>
      <c r="P7396">
        <v>5.574577E-2</v>
      </c>
      <c r="Q7396">
        <v>0.1025582</v>
      </c>
      <c r="R7396">
        <v>-0.99316409999999999</v>
      </c>
      <c r="S7396">
        <v>0.34243770000000001</v>
      </c>
      <c r="T7396">
        <v>-4.8409819999999999E-2</v>
      </c>
      <c r="U7396">
        <v>-3.006561</v>
      </c>
      <c r="V7396">
        <v>-7.8378400000000001E-2</v>
      </c>
      <c r="W7396">
        <v>0.108461</v>
      </c>
      <c r="X7396">
        <v>0.9910061</v>
      </c>
      <c r="Y7396">
        <v>-0.13581460000000001</v>
      </c>
      <c r="Z7396">
        <v>1.003219E-2</v>
      </c>
      <c r="AA7396">
        <v>0.99068350000000005</v>
      </c>
      <c r="AB7396">
        <v>22</v>
      </c>
      <c r="AC7396">
        <v>8.2848999999999897</v>
      </c>
      <c r="AD7396">
        <v>-1.1704870000000001</v>
      </c>
      <c r="AE7396">
        <v>-72.466526000000002</v>
      </c>
      <c r="AF7396">
        <v>-9.9353293739890098</v>
      </c>
      <c r="AG7396">
        <v>-1.1704870000000001</v>
      </c>
      <c r="AH7396">
        <v>72.239789362980503</v>
      </c>
      <c r="AI7396">
        <v>90.919615820167607</v>
      </c>
      <c r="AJ7396">
        <v>97.830912269663699</v>
      </c>
      <c r="AK7396">
        <v>72.929198383052395</v>
      </c>
      <c r="AL7396">
        <v>83.773393603062104</v>
      </c>
      <c r="AM7396">
        <v>94.522094281438399</v>
      </c>
      <c r="AN7396">
        <v>1.00000002617238</v>
      </c>
    </row>
    <row r="7397" spans="1:40" x14ac:dyDescent="0.25">
      <c r="A7397" t="str">
        <f>"20190303162101275"</f>
        <v>20190303162101275</v>
      </c>
      <c r="B7397" t="str">
        <f>"1551601261269628"</f>
        <v>1551601261269628</v>
      </c>
      <c r="C7397" t="s">
        <v>40</v>
      </c>
      <c r="D7397">
        <v>4.6044109999999998</v>
      </c>
      <c r="E7397">
        <v>0.47852729999999999</v>
      </c>
      <c r="F7397" t="s">
        <v>62</v>
      </c>
      <c r="G7397">
        <v>-415.12259999999998</v>
      </c>
      <c r="H7397">
        <v>7.9986559999999998E-2</v>
      </c>
      <c r="I7397">
        <v>6.6546900000000004</v>
      </c>
      <c r="J7397">
        <v>-422.12299999999999</v>
      </c>
      <c r="K7397">
        <v>1.1205149999999999</v>
      </c>
      <c r="L7397">
        <v>68.418980000000005</v>
      </c>
      <c r="M7397">
        <v>-2.304494E-2</v>
      </c>
      <c r="N7397">
        <v>-6.1291160000000004E-3</v>
      </c>
      <c r="O7397">
        <v>-0.99971560000000004</v>
      </c>
      <c r="P7397">
        <v>5.5491999999999903E-2</v>
      </c>
      <c r="Q7397">
        <v>0.1023912</v>
      </c>
      <c r="R7397">
        <v>-0.99319519999999994</v>
      </c>
      <c r="S7397">
        <v>0.3392944</v>
      </c>
      <c r="T7397">
        <v>-5.0469519999999997E-2</v>
      </c>
      <c r="U7397">
        <v>-3.0068049999999999</v>
      </c>
      <c r="V7397">
        <v>-7.8328969999999998E-2</v>
      </c>
      <c r="W7397">
        <v>0.1084938</v>
      </c>
      <c r="X7397">
        <v>0.99100639999999995</v>
      </c>
      <c r="Y7397">
        <v>-0.1349852</v>
      </c>
      <c r="Z7397">
        <v>1.0509910000000001E-2</v>
      </c>
      <c r="AA7397">
        <v>0.99079189999999995</v>
      </c>
      <c r="AB7397">
        <v>22</v>
      </c>
      <c r="AC7397">
        <v>7.0004000000000701</v>
      </c>
      <c r="AD7397">
        <v>-1.0405284400000001</v>
      </c>
      <c r="AE7397">
        <v>-61.764290000000003</v>
      </c>
      <c r="AF7397">
        <v>-8.4195627091831007</v>
      </c>
      <c r="AG7397">
        <v>-1.0405284400000001</v>
      </c>
      <c r="AH7397">
        <v>61.569307240730197</v>
      </c>
      <c r="AI7397">
        <v>90.959286874692097</v>
      </c>
      <c r="AJ7397">
        <v>97.786861183788602</v>
      </c>
      <c r="AK7397">
        <v>62.1510364334477</v>
      </c>
      <c r="AL7397">
        <v>83.771503035352097</v>
      </c>
      <c r="AM7397">
        <v>94.519252839595495</v>
      </c>
      <c r="AN7397">
        <v>1.00000000851033</v>
      </c>
    </row>
    <row r="7398" spans="1:40" x14ac:dyDescent="0.25">
      <c r="A7398" t="str">
        <f>"20190303162101296"</f>
        <v>20190303162101296</v>
      </c>
      <c r="B7398" t="str">
        <f>"1551601261290124"</f>
        <v>1551601261290124</v>
      </c>
      <c r="C7398" t="s">
        <v>40</v>
      </c>
      <c r="D7398">
        <v>4.6723730000000003</v>
      </c>
      <c r="E7398">
        <v>0.4788596</v>
      </c>
      <c r="F7398" t="s">
        <v>62</v>
      </c>
      <c r="G7398">
        <v>-415.11070000000001</v>
      </c>
      <c r="H7398">
        <v>7.9986570000000007E-2</v>
      </c>
      <c r="I7398">
        <v>5.4517749999999996</v>
      </c>
      <c r="J7398">
        <v>-422.12819999999999</v>
      </c>
      <c r="K7398">
        <v>1.1205459999999901</v>
      </c>
      <c r="L7398">
        <v>68.205349999999996</v>
      </c>
      <c r="M7398">
        <v>-2.3239659999999999E-2</v>
      </c>
      <c r="N7398">
        <v>-6.3442730000000001E-3</v>
      </c>
      <c r="O7398">
        <v>-0.99971010000000005</v>
      </c>
      <c r="P7398">
        <v>5.4852270000000002E-2</v>
      </c>
      <c r="Q7398">
        <v>0.1017676</v>
      </c>
      <c r="R7398">
        <v>-0.99329509999999999</v>
      </c>
      <c r="S7398">
        <v>0.33486939999999998</v>
      </c>
      <c r="T7398">
        <v>-4.9689770000000001E-2</v>
      </c>
      <c r="U7398">
        <v>-3.006958</v>
      </c>
      <c r="V7398">
        <v>-7.7884960000000003E-2</v>
      </c>
      <c r="W7398">
        <v>0.10808420000000001</v>
      </c>
      <c r="X7398">
        <v>0.99108609999999997</v>
      </c>
      <c r="Y7398">
        <v>-0.13373280000000001</v>
      </c>
      <c r="Z7398">
        <v>1.003919E-2</v>
      </c>
      <c r="AA7398">
        <v>0.99096660000000003</v>
      </c>
      <c r="AB7398">
        <v>22</v>
      </c>
      <c r="AC7398">
        <v>7.0174999999999796</v>
      </c>
      <c r="AD7398">
        <v>-1.0405594299999901</v>
      </c>
      <c r="AE7398">
        <v>-62.753574999999998</v>
      </c>
      <c r="AF7398">
        <v>-8.4717047619100807</v>
      </c>
      <c r="AG7398">
        <v>-1.0405594299999901</v>
      </c>
      <c r="AH7398">
        <v>62.556550847031097</v>
      </c>
      <c r="AI7398">
        <v>90.944345741497003</v>
      </c>
      <c r="AJ7398">
        <v>97.712346765687897</v>
      </c>
      <c r="AK7398">
        <v>63.136159206729701</v>
      </c>
      <c r="AL7398">
        <v>83.795109904022596</v>
      </c>
      <c r="AM7398">
        <v>94.493380656475694</v>
      </c>
      <c r="AN7398">
        <v>0.99999995944852504</v>
      </c>
    </row>
    <row r="7399" spans="1:40" x14ac:dyDescent="0.25">
      <c r="A7399" t="str">
        <f>"20190303162101319"</f>
        <v>20190303162101319</v>
      </c>
      <c r="B7399" t="str">
        <f>"1551601261309645"</f>
        <v>1551601261309645</v>
      </c>
      <c r="C7399" t="s">
        <v>40</v>
      </c>
      <c r="D7399">
        <v>4.6991969999999998</v>
      </c>
      <c r="E7399">
        <v>0.47913289999999997</v>
      </c>
      <c r="F7399" t="s">
        <v>62</v>
      </c>
      <c r="G7399">
        <v>-415.3716</v>
      </c>
      <c r="H7399">
        <v>7.9986559999999998E-2</v>
      </c>
      <c r="I7399">
        <v>6.8024100000000001</v>
      </c>
      <c r="J7399">
        <v>-422.13350000000003</v>
      </c>
      <c r="K7399">
        <v>1.120579</v>
      </c>
      <c r="L7399">
        <v>67.983310000000003</v>
      </c>
      <c r="M7399">
        <v>-2.3442339999999999E-2</v>
      </c>
      <c r="N7399">
        <v>-6.5648109999999898E-3</v>
      </c>
      <c r="O7399">
        <v>-0.99970389999999998</v>
      </c>
      <c r="P7399">
        <v>5.4679619999999998E-2</v>
      </c>
      <c r="Q7399">
        <v>0.101119</v>
      </c>
      <c r="R7399">
        <v>-0.993371</v>
      </c>
      <c r="S7399">
        <v>0.33090209999999998</v>
      </c>
      <c r="T7399">
        <v>-5.0961260000000001E-2</v>
      </c>
      <c r="U7399">
        <v>-3.0072019999999999</v>
      </c>
      <c r="V7399">
        <v>-7.7915559999999995E-2</v>
      </c>
      <c r="W7399">
        <v>0.10765420000000001</v>
      </c>
      <c r="X7399">
        <v>0.99113050000000003</v>
      </c>
      <c r="Y7399">
        <v>-0.13263259999999999</v>
      </c>
      <c r="Z7399">
        <v>1.023873E-2</v>
      </c>
      <c r="AA7399">
        <v>0.9911124</v>
      </c>
      <c r="AB7399">
        <v>22</v>
      </c>
      <c r="AC7399">
        <v>6.7619000000000202</v>
      </c>
      <c r="AD7399">
        <v>-1.04059244</v>
      </c>
      <c r="AE7399">
        <v>-61.180900000000001</v>
      </c>
      <c r="AF7399">
        <v>-8.1919544433814497</v>
      </c>
      <c r="AG7399">
        <v>-1.04059244</v>
      </c>
      <c r="AH7399">
        <v>60.988137876314902</v>
      </c>
      <c r="AI7399">
        <v>90.968799016148694</v>
      </c>
      <c r="AJ7399">
        <v>97.650206173433006</v>
      </c>
      <c r="AK7399">
        <v>61.544649741866401</v>
      </c>
      <c r="AL7399">
        <v>83.8198917220586</v>
      </c>
      <c r="AM7399">
        <v>94.494938269142295</v>
      </c>
      <c r="AN7399">
        <v>0.99999996464900098</v>
      </c>
    </row>
    <row r="7400" spans="1:40" x14ac:dyDescent="0.25">
      <c r="A7400" t="str">
        <f>"20190303162101342"</f>
        <v>20190303162101342</v>
      </c>
      <c r="B7400" t="str">
        <f>"1551601261330140"</f>
        <v>1551601261330140</v>
      </c>
      <c r="C7400" t="s">
        <v>40</v>
      </c>
      <c r="D7400">
        <v>4.6757710000000001</v>
      </c>
      <c r="E7400">
        <v>0.47936430000000002</v>
      </c>
      <c r="F7400" t="s">
        <v>62</v>
      </c>
      <c r="G7400">
        <v>-415.57319999999999</v>
      </c>
      <c r="H7400">
        <v>7.9986559999999998E-2</v>
      </c>
      <c r="I7400">
        <v>7.8015999999999996</v>
      </c>
      <c r="J7400">
        <v>-422.13929999999999</v>
      </c>
      <c r="K7400">
        <v>1.120598</v>
      </c>
      <c r="L7400">
        <v>67.751130000000003</v>
      </c>
      <c r="M7400">
        <v>-2.3654620000000001E-2</v>
      </c>
      <c r="N7400">
        <v>-6.7782839999999999E-3</v>
      </c>
      <c r="O7400">
        <v>-0.99969750000000002</v>
      </c>
      <c r="P7400">
        <v>5.4032980000000001E-2</v>
      </c>
      <c r="Q7400">
        <v>0.1006553</v>
      </c>
      <c r="R7400">
        <v>-0.99345360000000005</v>
      </c>
      <c r="S7400">
        <v>0.32781979999999999</v>
      </c>
      <c r="T7400">
        <v>-5.1998139999999998E-2</v>
      </c>
      <c r="U7400">
        <v>-3.007263</v>
      </c>
      <c r="V7400">
        <v>-7.7481439999999999E-2</v>
      </c>
      <c r="W7400">
        <v>0.107403</v>
      </c>
      <c r="X7400">
        <v>0.99119179999999996</v>
      </c>
      <c r="Y7400">
        <v>-0.13183639999999999</v>
      </c>
      <c r="Z7400">
        <v>1.036838E-2</v>
      </c>
      <c r="AA7400">
        <v>0.99121729999999997</v>
      </c>
      <c r="AB7400">
        <v>22</v>
      </c>
      <c r="AC7400">
        <v>6.5660999999999996</v>
      </c>
      <c r="AD7400">
        <v>-1.0406114399999999</v>
      </c>
      <c r="AE7400">
        <v>-59.949530000000003</v>
      </c>
      <c r="AF7400">
        <v>-7.9800022694052002</v>
      </c>
      <c r="AG7400">
        <v>-1.0406114399999999</v>
      </c>
      <c r="AH7400">
        <v>59.759640249160498</v>
      </c>
      <c r="AI7400">
        <v>90.988831219881703</v>
      </c>
      <c r="AJ7400">
        <v>97.605994673119895</v>
      </c>
      <c r="AK7400">
        <v>60.299070565787801</v>
      </c>
      <c r="AL7400">
        <v>83.834368460343001</v>
      </c>
      <c r="AM7400">
        <v>94.469720399438401</v>
      </c>
      <c r="AN7400">
        <v>0.99999998117035604</v>
      </c>
    </row>
    <row r="7401" spans="1:40" x14ac:dyDescent="0.25">
      <c r="A7401" t="str">
        <f>"20190303162101364"</f>
        <v>20190303162101364</v>
      </c>
      <c r="B7401" t="str">
        <f>"1551601261349660"</f>
        <v>1551601261349660</v>
      </c>
      <c r="C7401" t="s">
        <v>40</v>
      </c>
      <c r="D7401">
        <v>4.7047169999999996</v>
      </c>
      <c r="E7401">
        <v>0.47957660000000002</v>
      </c>
      <c r="F7401" t="s">
        <v>62</v>
      </c>
      <c r="G7401">
        <v>-415.71039999999999</v>
      </c>
      <c r="H7401">
        <v>7.9986559999999998E-2</v>
      </c>
      <c r="I7401">
        <v>8.083202</v>
      </c>
      <c r="J7401">
        <v>-422.1447</v>
      </c>
      <c r="K7401">
        <v>1.1206229999999999</v>
      </c>
      <c r="L7401">
        <v>67.529939999999996</v>
      </c>
      <c r="M7401">
        <v>-2.385702E-2</v>
      </c>
      <c r="N7401">
        <v>-6.9656369999999898E-3</v>
      </c>
      <c r="O7401">
        <v>-0.99969110000000005</v>
      </c>
      <c r="P7401">
        <v>5.3426469999999997E-2</v>
      </c>
      <c r="Q7401">
        <v>0.1016306</v>
      </c>
      <c r="R7401">
        <v>-0.99338660000000001</v>
      </c>
      <c r="S7401">
        <v>0.32403559999999998</v>
      </c>
      <c r="T7401">
        <v>-5.2450539999999997E-2</v>
      </c>
      <c r="U7401">
        <v>-3.0074770000000002</v>
      </c>
      <c r="V7401">
        <v>-7.7073699999999995E-2</v>
      </c>
      <c r="W7401">
        <v>0.1085634</v>
      </c>
      <c r="X7401">
        <v>0.99109720000000001</v>
      </c>
      <c r="Y7401">
        <v>-0.13079640000000001</v>
      </c>
      <c r="Z7401">
        <v>1.033105E-2</v>
      </c>
      <c r="AA7401">
        <v>0.9913554</v>
      </c>
      <c r="AB7401">
        <v>22</v>
      </c>
      <c r="AC7401">
        <v>6.4343000000000004</v>
      </c>
      <c r="AD7401">
        <v>-1.0406364400000001</v>
      </c>
      <c r="AE7401">
        <v>-59.446738000000003</v>
      </c>
      <c r="AF7401">
        <v>-7.8483478500491204</v>
      </c>
      <c r="AG7401">
        <v>-1.0406364400000001</v>
      </c>
      <c r="AH7401">
        <v>59.258361828315699</v>
      </c>
      <c r="AI7401">
        <v>90.997360510377206</v>
      </c>
      <c r="AJ7401">
        <v>97.544509238725695</v>
      </c>
      <c r="AK7401">
        <v>59.784888849534703</v>
      </c>
      <c r="AL7401">
        <v>83.767491585532696</v>
      </c>
      <c r="AM7401">
        <v>94.446716109724306</v>
      </c>
      <c r="AN7401">
        <v>1.0000000134495399</v>
      </c>
    </row>
    <row r="7402" spans="1:40" x14ac:dyDescent="0.25">
      <c r="A7402" t="str">
        <f>"20190303162101387"</f>
        <v>20190303162101387</v>
      </c>
      <c r="B7402" t="str">
        <f>"1551601261380423"</f>
        <v>1551601261380423</v>
      </c>
      <c r="C7402" t="s">
        <v>40</v>
      </c>
      <c r="D7402">
        <v>4.7230619999999996</v>
      </c>
      <c r="E7402">
        <v>0.47990369999999999</v>
      </c>
      <c r="F7402" t="s">
        <v>44</v>
      </c>
      <c r="G7402">
        <v>-414.46699999999998</v>
      </c>
      <c r="H7402">
        <v>-0.05</v>
      </c>
      <c r="I7402">
        <v>-4.6397399999999998</v>
      </c>
      <c r="J7402">
        <v>-422.15030000000002</v>
      </c>
      <c r="K7402">
        <v>1.120636</v>
      </c>
      <c r="L7402">
        <v>67.304050000000004</v>
      </c>
      <c r="M7402">
        <v>-2.4063749999999998E-2</v>
      </c>
      <c r="N7402">
        <v>-7.142153E-3</v>
      </c>
      <c r="O7402">
        <v>-0.99968489999999999</v>
      </c>
      <c r="P7402">
        <v>5.2223360000000003E-2</v>
      </c>
      <c r="Q7402">
        <v>0.1025423</v>
      </c>
      <c r="R7402">
        <v>-0.99335680000000004</v>
      </c>
      <c r="S7402">
        <v>0.31997680000000001</v>
      </c>
      <c r="T7402">
        <v>-4.8786999999999997E-2</v>
      </c>
      <c r="U7402">
        <v>-3.0077509999999998</v>
      </c>
      <c r="V7402">
        <v>-7.6074920000000004E-2</v>
      </c>
      <c r="W7402">
        <v>0.10964930000000001</v>
      </c>
      <c r="X7402">
        <v>0.99105480000000001</v>
      </c>
      <c r="Y7402">
        <v>-0.1296708</v>
      </c>
      <c r="Z7402">
        <v>8.9466189999999994E-3</v>
      </c>
      <c r="AA7402">
        <v>0.99151670000000003</v>
      </c>
      <c r="AB7402">
        <v>22</v>
      </c>
      <c r="AC7402">
        <v>7.6833000000000302</v>
      </c>
      <c r="AD7402">
        <v>-1.170636</v>
      </c>
      <c r="AE7402">
        <v>-71.943790000000007</v>
      </c>
      <c r="AF7402">
        <v>-9.4098932635754196</v>
      </c>
      <c r="AG7402">
        <v>-1.170636</v>
      </c>
      <c r="AH7402">
        <v>71.719287683072807</v>
      </c>
      <c r="AI7402">
        <v>90.927180591336096</v>
      </c>
      <c r="AJ7402">
        <v>97.474767468509697</v>
      </c>
      <c r="AK7402">
        <v>72.343435815861994</v>
      </c>
      <c r="AL7402">
        <v>83.704900280935107</v>
      </c>
      <c r="AM7402">
        <v>94.389505871556906</v>
      </c>
      <c r="AN7402">
        <v>0.99999998952326796</v>
      </c>
    </row>
    <row r="7403" spans="1:40" x14ac:dyDescent="0.25">
      <c r="A7403" t="str">
        <f>"20190303162101408"</f>
        <v>20190303162101408</v>
      </c>
      <c r="B7403" t="str">
        <f>"1551601261399943"</f>
        <v>1551601261399943</v>
      </c>
      <c r="C7403" t="s">
        <v>40</v>
      </c>
      <c r="D7403">
        <v>4.6945649999999999</v>
      </c>
      <c r="E7403">
        <v>0.48015659999999999</v>
      </c>
      <c r="F7403" t="s">
        <v>72</v>
      </c>
      <c r="G7403">
        <v>-415.24950000000001</v>
      </c>
      <c r="H7403">
        <v>0.1120028</v>
      </c>
      <c r="I7403">
        <v>1.2803880000000001</v>
      </c>
      <c r="J7403">
        <v>-422.15589999999997</v>
      </c>
      <c r="K7403">
        <v>1.120641</v>
      </c>
      <c r="L7403">
        <v>67.083280000000002</v>
      </c>
      <c r="M7403">
        <v>-2.4265829999999999E-2</v>
      </c>
      <c r="N7403">
        <v>-7.3040079999999999E-3</v>
      </c>
      <c r="O7403">
        <v>-0.99967890000000004</v>
      </c>
      <c r="P7403">
        <v>5.1215999999999998E-2</v>
      </c>
      <c r="Q7403">
        <v>0.10332669999999999</v>
      </c>
      <c r="R7403">
        <v>-0.99332799999999999</v>
      </c>
      <c r="S7403">
        <v>0.314422599999999</v>
      </c>
      <c r="T7403">
        <v>-4.5958039999999999E-2</v>
      </c>
      <c r="U7403">
        <v>-3.00827</v>
      </c>
      <c r="V7403">
        <v>-7.5266929999999996E-2</v>
      </c>
      <c r="W7403">
        <v>0.110593899999999</v>
      </c>
      <c r="X7403">
        <v>0.99101159999999999</v>
      </c>
      <c r="Y7403">
        <v>-0.12804380000000001</v>
      </c>
      <c r="Z7403">
        <v>7.8517280000000005E-3</v>
      </c>
      <c r="AA7403">
        <v>0.99173739999999999</v>
      </c>
      <c r="AB7403">
        <v>23</v>
      </c>
      <c r="AC7403">
        <v>6.9063999999999597</v>
      </c>
      <c r="AD7403">
        <v>-1.0086382</v>
      </c>
      <c r="AE7403">
        <v>-65.802892</v>
      </c>
      <c r="AF7403">
        <v>-8.4991954089995598</v>
      </c>
      <c r="AG7403">
        <v>-1.0086382</v>
      </c>
      <c r="AH7403">
        <v>65.600675613458407</v>
      </c>
      <c r="AI7403">
        <v>90.873577353019698</v>
      </c>
      <c r="AJ7403">
        <v>97.382095405691601</v>
      </c>
      <c r="AK7403">
        <v>66.156649813613299</v>
      </c>
      <c r="AL7403">
        <v>83.650447936204799</v>
      </c>
      <c r="AM7403">
        <v>94.343252954684502</v>
      </c>
      <c r="AN7403">
        <v>1.00000005640169</v>
      </c>
    </row>
    <row r="7404" spans="1:40" x14ac:dyDescent="0.25">
      <c r="A7404" t="str">
        <f>"20190303162101432"</f>
        <v>20190303162101432</v>
      </c>
      <c r="B7404" t="str">
        <f>"1551601261420439"</f>
        <v>1551601261420439</v>
      </c>
      <c r="C7404" t="s">
        <v>40</v>
      </c>
      <c r="D7404">
        <v>4.8219789999999998</v>
      </c>
      <c r="E7404">
        <v>0.48020180000000001</v>
      </c>
      <c r="F7404" t="s">
        <v>72</v>
      </c>
      <c r="G7404">
        <v>-415.38209999999998</v>
      </c>
      <c r="H7404">
        <v>0.14890690000000001</v>
      </c>
      <c r="I7404">
        <v>1.279865</v>
      </c>
      <c r="J7404">
        <v>-422.16180000000003</v>
      </c>
      <c r="K7404">
        <v>1.120654</v>
      </c>
      <c r="L7404">
        <v>66.852080000000001</v>
      </c>
      <c r="M7404">
        <v>-2.4477430000000001E-2</v>
      </c>
      <c r="N7404">
        <v>-7.4613079999999998E-3</v>
      </c>
      <c r="O7404">
        <v>-0.99967269999999997</v>
      </c>
      <c r="P7404">
        <v>5.0143340000000002E-2</v>
      </c>
      <c r="Q7404">
        <v>0.1040972</v>
      </c>
      <c r="R7404">
        <v>-0.99330249999999998</v>
      </c>
      <c r="S7404">
        <v>0.30972290000000002</v>
      </c>
      <c r="T7404">
        <v>-4.4432640000000002E-2</v>
      </c>
      <c r="U7404">
        <v>-3.0087890000000002</v>
      </c>
      <c r="V7404">
        <v>-7.4403839999999999E-2</v>
      </c>
      <c r="W7404">
        <v>0.11152040000000001</v>
      </c>
      <c r="X7404">
        <v>0.99097290000000005</v>
      </c>
      <c r="Y7404">
        <v>-0.12670390000000001</v>
      </c>
      <c r="Z7404">
        <v>7.1908479999999997E-3</v>
      </c>
      <c r="AA7404">
        <v>0.99191450000000003</v>
      </c>
      <c r="AB7404">
        <v>23</v>
      </c>
      <c r="AC7404">
        <v>6.77970000000004</v>
      </c>
      <c r="AD7404">
        <v>-0.97174709999999997</v>
      </c>
      <c r="AE7404">
        <v>-65.572215</v>
      </c>
      <c r="AF7404">
        <v>-8.380931165042</v>
      </c>
      <c r="AG7404">
        <v>-0.97174709999999997</v>
      </c>
      <c r="AH7404">
        <v>65.372408059063901</v>
      </c>
      <c r="AI7404">
        <v>90.844714444511894</v>
      </c>
      <c r="AJ7404">
        <v>97.305632958245397</v>
      </c>
      <c r="AK7404">
        <v>65.914611696196005</v>
      </c>
      <c r="AL7404">
        <v>83.597032673941499</v>
      </c>
      <c r="AM7404">
        <v>94.293803008308501</v>
      </c>
      <c r="AN7404">
        <v>1.0000000097786499</v>
      </c>
    </row>
    <row r="7405" spans="1:40" x14ac:dyDescent="0.25">
      <c r="A7405" t="str">
        <f>"20190303162101453"</f>
        <v>20190303162101453</v>
      </c>
      <c r="B7405" t="str">
        <f>"1551601261439960"</f>
        <v>1551601261439960</v>
      </c>
      <c r="C7405" t="s">
        <v>40</v>
      </c>
      <c r="D7405">
        <v>4.9073339999999996</v>
      </c>
      <c r="E7405">
        <v>0.50159140000000002</v>
      </c>
      <c r="F7405" t="s">
        <v>72</v>
      </c>
      <c r="G7405">
        <v>-415.47629999999998</v>
      </c>
      <c r="H7405">
        <v>0.2118931</v>
      </c>
      <c r="I7405">
        <v>1.279493</v>
      </c>
      <c r="J7405">
        <v>-422.16739999999999</v>
      </c>
      <c r="K7405">
        <v>1.120665</v>
      </c>
      <c r="L7405">
        <v>66.630099999999999</v>
      </c>
      <c r="M7405">
        <v>-2.467983E-2</v>
      </c>
      <c r="N7405">
        <v>-7.6093130000000004E-3</v>
      </c>
      <c r="O7405">
        <v>-0.99966650000000001</v>
      </c>
      <c r="P7405">
        <v>4.9209780000000002E-2</v>
      </c>
      <c r="Q7405">
        <v>0.10364710000000001</v>
      </c>
      <c r="R7405">
        <v>-0.9933961</v>
      </c>
      <c r="S7405">
        <v>0.30679319999999999</v>
      </c>
      <c r="T7405">
        <v>-4.170418E-2</v>
      </c>
      <c r="U7405">
        <v>-3.009125</v>
      </c>
      <c r="V7405">
        <v>-7.3673429999999998E-2</v>
      </c>
      <c r="W7405">
        <v>0.1112175</v>
      </c>
      <c r="X7405">
        <v>0.99106150000000004</v>
      </c>
      <c r="Y7405">
        <v>-0.12593869999999999</v>
      </c>
      <c r="Z7405">
        <v>6.1422050000000004E-3</v>
      </c>
      <c r="AA7405">
        <v>0.99201899999999998</v>
      </c>
      <c r="AB7405">
        <v>23</v>
      </c>
      <c r="AC7405">
        <v>6.6910999999999996</v>
      </c>
      <c r="AD7405">
        <v>-0.90877189999999997</v>
      </c>
      <c r="AE7405">
        <v>-65.350606999999997</v>
      </c>
      <c r="AF7405">
        <v>-8.3003618295511004</v>
      </c>
      <c r="AG7405">
        <v>-0.90877189999999997</v>
      </c>
      <c r="AH7405">
        <v>65.153091939446298</v>
      </c>
      <c r="AI7405">
        <v>90.792718018314204</v>
      </c>
      <c r="AJ7405">
        <v>97.260247496867706</v>
      </c>
      <c r="AK7405">
        <v>65.685974622727798</v>
      </c>
      <c r="AL7405">
        <v>83.614496151946298</v>
      </c>
      <c r="AM7405">
        <v>94.251428090446694</v>
      </c>
      <c r="AN7405">
        <v>1.00000000168823</v>
      </c>
    </row>
    <row r="7406" spans="1:40" x14ac:dyDescent="0.25">
      <c r="A7406" t="str">
        <f>"20190303162101476"</f>
        <v>20190303162101476</v>
      </c>
      <c r="B7406" t="str">
        <f>"1551601261469747"</f>
        <v>1551601261469747</v>
      </c>
      <c r="C7406" t="s">
        <v>40</v>
      </c>
      <c r="D7406">
        <v>4.8390700000000004</v>
      </c>
      <c r="E7406">
        <v>0.54875050000000003</v>
      </c>
      <c r="F7406" t="s">
        <v>41</v>
      </c>
      <c r="G7406">
        <v>-421.00799999999998</v>
      </c>
      <c r="H7406" s="1">
        <v>-4.9146330000000004E-7</v>
      </c>
      <c r="I7406">
        <v>40.109540000000003</v>
      </c>
      <c r="J7406">
        <v>-422.17340000000002</v>
      </c>
      <c r="K7406">
        <v>1.1206860000000001</v>
      </c>
      <c r="L7406">
        <v>66.397919999999999</v>
      </c>
      <c r="M7406">
        <v>-2.4888939999999998E-2</v>
      </c>
      <c r="N7406">
        <v>-7.7837610000000002E-3</v>
      </c>
      <c r="O7406">
        <v>-0.99966010000000005</v>
      </c>
      <c r="P7406">
        <v>4.8796649999999997E-2</v>
      </c>
      <c r="Q7406">
        <v>0.10361049999999999</v>
      </c>
      <c r="R7406">
        <v>-0.99342070000000005</v>
      </c>
      <c r="S7406">
        <v>0.1323242</v>
      </c>
      <c r="T7406">
        <v>-0.12789919999999999</v>
      </c>
      <c r="U7406">
        <v>-3.0267330000000001</v>
      </c>
      <c r="V7406">
        <v>-7.3468619999999998E-2</v>
      </c>
      <c r="W7406">
        <v>0.1113536</v>
      </c>
      <c r="X7406">
        <v>0.99106139999999998</v>
      </c>
      <c r="Y7406">
        <v>-6.8490060000000005E-2</v>
      </c>
      <c r="Z7406">
        <v>3.4347219999999998E-2</v>
      </c>
      <c r="AA7406">
        <v>0.99706039999999996</v>
      </c>
      <c r="AB7406">
        <v>23</v>
      </c>
      <c r="AC7406">
        <v>1.16539999999997</v>
      </c>
      <c r="AD7406">
        <v>-1.1206864914632999</v>
      </c>
      <c r="AE7406">
        <v>-26.28838</v>
      </c>
      <c r="AF7406">
        <v>-1.8160546301701701</v>
      </c>
      <c r="AG7406">
        <v>-1.1206864914632999</v>
      </c>
      <c r="AH7406">
        <v>26.203701396746801</v>
      </c>
      <c r="AI7406">
        <v>92.4430946865712</v>
      </c>
      <c r="AJ7406">
        <v>93.964560092006593</v>
      </c>
      <c r="AK7406">
        <v>26.290453771697901</v>
      </c>
      <c r="AL7406">
        <v>83.606649320128497</v>
      </c>
      <c r="AM7406">
        <v>94.239652824190102</v>
      </c>
      <c r="AN7406">
        <v>0.999999980463812</v>
      </c>
    </row>
    <row r="7407" spans="1:40" x14ac:dyDescent="0.25">
      <c r="A7407" t="str">
        <f>"20190303162101498"</f>
        <v>20190303162101498</v>
      </c>
      <c r="B7407" t="str">
        <f>"1551601261490243"</f>
        <v>1551601261490243</v>
      </c>
      <c r="C7407" t="s">
        <v>40</v>
      </c>
      <c r="D7407">
        <v>4.82531</v>
      </c>
      <c r="E7407">
        <v>0.54866949999999903</v>
      </c>
      <c r="F7407" t="s">
        <v>42</v>
      </c>
      <c r="G7407">
        <v>-422.23399999999998</v>
      </c>
      <c r="H7407">
        <v>0.92691659999999998</v>
      </c>
      <c r="I7407">
        <v>65.639110000000002</v>
      </c>
      <c r="J7407">
        <v>-422.17910000000001</v>
      </c>
      <c r="K7407">
        <v>1.120711</v>
      </c>
      <c r="L7407">
        <v>66.177279999999996</v>
      </c>
      <c r="M7407">
        <v>-2.5084039999999998E-2</v>
      </c>
      <c r="N7407">
        <v>-7.9865089999999993E-3</v>
      </c>
      <c r="O7407">
        <v>-0.99965360000000003</v>
      </c>
      <c r="P7407">
        <v>4.8435640000000002E-2</v>
      </c>
      <c r="Q7407">
        <v>0.1036136</v>
      </c>
      <c r="R7407">
        <v>-0.99343780000000004</v>
      </c>
      <c r="S7407">
        <v>-0.2484131</v>
      </c>
      <c r="T7407">
        <v>-0.79545319999999997</v>
      </c>
      <c r="U7407">
        <v>-3.1150509999999998</v>
      </c>
      <c r="V7407">
        <v>-7.3302489999999998E-2</v>
      </c>
      <c r="W7407">
        <v>0.1115573</v>
      </c>
      <c r="X7407">
        <v>0.99105080000000001</v>
      </c>
      <c r="Y7407">
        <v>5.2102559999999999E-2</v>
      </c>
      <c r="Z7407">
        <v>0.23903189999999999</v>
      </c>
      <c r="AA7407">
        <v>0.96961280000000005</v>
      </c>
      <c r="AB7407">
        <v>23</v>
      </c>
      <c r="AC7407">
        <v>-5.4900000000031902E-2</v>
      </c>
      <c r="AD7407">
        <v>-0.19379440000000001</v>
      </c>
      <c r="AE7407">
        <v>-0.53817000000000703</v>
      </c>
      <c r="AF7407">
        <v>3.6675981949581403E-2</v>
      </c>
      <c r="AG7407">
        <v>-0.19379440000000001</v>
      </c>
      <c r="AH7407">
        <v>0.47802957077363101</v>
      </c>
      <c r="AI7407">
        <v>112.009277118599</v>
      </c>
      <c r="AJ7407">
        <v>85.612676747327995</v>
      </c>
      <c r="AK7407">
        <v>0.51712055427854398</v>
      </c>
      <c r="AL7407">
        <v>83.594905039110103</v>
      </c>
      <c r="AM7407">
        <v>94.230145880188203</v>
      </c>
      <c r="AN7407">
        <v>0.99999998720206495</v>
      </c>
    </row>
    <row r="7408" spans="1:40" x14ac:dyDescent="0.25">
      <c r="A7408" t="str">
        <f>"20190303162101520"</f>
        <v>20190303162101520</v>
      </c>
      <c r="B7408" t="str">
        <f>"1551601261509763"</f>
        <v>1551601261509763</v>
      </c>
      <c r="C7408" t="s">
        <v>40</v>
      </c>
      <c r="D7408">
        <v>4.7843900000000001</v>
      </c>
      <c r="E7408">
        <v>0.54828100000000002</v>
      </c>
      <c r="F7408" t="s">
        <v>42</v>
      </c>
      <c r="G7408">
        <v>-422.23849999999999</v>
      </c>
      <c r="H7408">
        <v>0.91743909999999995</v>
      </c>
      <c r="I7408">
        <v>65.439509999999999</v>
      </c>
      <c r="J7408">
        <v>-422.18509999999998</v>
      </c>
      <c r="K7408">
        <v>1.120749</v>
      </c>
      <c r="L7408">
        <v>65.950199999999995</v>
      </c>
      <c r="M7408">
        <v>-2.5280360000000002E-2</v>
      </c>
      <c r="N7408">
        <v>-8.2471309999999996E-3</v>
      </c>
      <c r="O7408">
        <v>-0.99964640000000005</v>
      </c>
      <c r="P7408">
        <v>4.8165800000000002E-2</v>
      </c>
      <c r="Q7408">
        <v>0.10371329999999999</v>
      </c>
      <c r="R7408">
        <v>-0.9934404</v>
      </c>
      <c r="S7408">
        <v>-0.2492065</v>
      </c>
      <c r="T7408">
        <v>-0.86002889999999999</v>
      </c>
      <c r="U7408">
        <v>-3.1216740000000001</v>
      </c>
      <c r="V7408">
        <v>-7.3228150000000006E-2</v>
      </c>
      <c r="W7408">
        <v>0.1119151</v>
      </c>
      <c r="X7408">
        <v>0.99101600000000001</v>
      </c>
      <c r="Y7408">
        <v>5.1616910000000002E-2</v>
      </c>
      <c r="Z7408">
        <v>0.25696429999999998</v>
      </c>
      <c r="AA7408">
        <v>0.9650415</v>
      </c>
      <c r="AB7408">
        <v>23</v>
      </c>
      <c r="AC7408">
        <v>-5.3400000000010502E-2</v>
      </c>
      <c r="AD7408">
        <v>-0.20330989999999999</v>
      </c>
      <c r="AE7408">
        <v>-0.51068999999999598</v>
      </c>
      <c r="AF7408">
        <v>3.4986951039400201E-2</v>
      </c>
      <c r="AG7408">
        <v>-0.20330989999999999</v>
      </c>
      <c r="AH7408">
        <v>0.44250293596381002</v>
      </c>
      <c r="AI7408">
        <v>114.608960256348</v>
      </c>
      <c r="AJ7408">
        <v>85.479254828648195</v>
      </c>
      <c r="AK7408">
        <v>0.48822930116660901</v>
      </c>
      <c r="AL7408">
        <v>83.574275712667998</v>
      </c>
      <c r="AM7408">
        <v>94.2260192664653</v>
      </c>
      <c r="AN7408">
        <v>1.0000000319082101</v>
      </c>
    </row>
    <row r="7409" spans="1:40" x14ac:dyDescent="0.25">
      <c r="A7409" t="str">
        <f>"20190303162101543"</f>
        <v>20190303162101543</v>
      </c>
      <c r="B7409" t="str">
        <f>"1551601261540020"</f>
        <v>1551601261540020</v>
      </c>
      <c r="C7409" t="s">
        <v>40</v>
      </c>
      <c r="D7409">
        <v>4.7638499999999997</v>
      </c>
      <c r="E7409">
        <v>0.54828069999999995</v>
      </c>
      <c r="F7409" t="s">
        <v>42</v>
      </c>
      <c r="G7409">
        <v>-422.2414</v>
      </c>
      <c r="H7409">
        <v>0.91817499999999996</v>
      </c>
      <c r="I7409">
        <v>65.235150000000004</v>
      </c>
      <c r="J7409">
        <v>-422.19130000000001</v>
      </c>
      <c r="K7409">
        <v>1.1208070000000001</v>
      </c>
      <c r="L7409">
        <v>65.713200000000001</v>
      </c>
      <c r="M7409">
        <v>-2.5483740000000001E-2</v>
      </c>
      <c r="N7409">
        <v>-8.578301E-3</v>
      </c>
      <c r="O7409">
        <v>-0.99963860000000004</v>
      </c>
      <c r="P7409">
        <v>4.8576790000000002E-2</v>
      </c>
      <c r="Q7409">
        <v>0.10333199999999999</v>
      </c>
      <c r="R7409">
        <v>-0.99346009999999996</v>
      </c>
      <c r="S7409">
        <v>-0.246582</v>
      </c>
      <c r="T7409">
        <v>-0.88509859999999896</v>
      </c>
      <c r="U7409">
        <v>-3.1241759999999998</v>
      </c>
      <c r="V7409">
        <v>-7.3841480000000001E-2</v>
      </c>
      <c r="W7409">
        <v>0.111862</v>
      </c>
      <c r="X7409">
        <v>0.99097650000000004</v>
      </c>
      <c r="Y7409">
        <v>5.0402290000000002E-2</v>
      </c>
      <c r="Z7409">
        <v>0.26363170000000002</v>
      </c>
      <c r="AA7409">
        <v>0.96330570000000004</v>
      </c>
      <c r="AB7409">
        <v>23</v>
      </c>
      <c r="AC7409">
        <v>-5.0099999999986197E-2</v>
      </c>
      <c r="AD7409">
        <v>-0.20263199999999901</v>
      </c>
      <c r="AE7409">
        <v>-0.47804999999999598</v>
      </c>
      <c r="AF7409">
        <v>3.2181607364549399E-2</v>
      </c>
      <c r="AG7409">
        <v>-0.20263199999999901</v>
      </c>
      <c r="AH7409">
        <v>0.40686523118410001</v>
      </c>
      <c r="AI7409">
        <v>116.40355265834501</v>
      </c>
      <c r="AJ7409">
        <v>85.477521132047798</v>
      </c>
      <c r="AK7409">
        <v>0.45566950701474102</v>
      </c>
      <c r="AL7409">
        <v>83.577337442973501</v>
      </c>
      <c r="AM7409">
        <v>94.261454116942204</v>
      </c>
      <c r="AN7409">
        <v>1.00000004738241</v>
      </c>
    </row>
    <row r="7410" spans="1:40" x14ac:dyDescent="0.25">
      <c r="A7410" t="str">
        <f>"20190303162101566"</f>
        <v>20190303162101566</v>
      </c>
      <c r="B7410" t="str">
        <f>"1551601261560515"</f>
        <v>1551601261560515</v>
      </c>
      <c r="C7410" t="s">
        <v>40</v>
      </c>
      <c r="D7410">
        <v>4.7598120000000002</v>
      </c>
      <c r="E7410">
        <v>0.54851660000000002</v>
      </c>
      <c r="F7410" t="s">
        <v>42</v>
      </c>
      <c r="G7410">
        <v>-422.24549999999999</v>
      </c>
      <c r="H7410">
        <v>0.92398880000000005</v>
      </c>
      <c r="I7410">
        <v>65.028630000000007</v>
      </c>
      <c r="J7410">
        <v>-422.19740000000002</v>
      </c>
      <c r="K7410">
        <v>1.120865</v>
      </c>
      <c r="L7410">
        <v>65.484470000000002</v>
      </c>
      <c r="M7410">
        <v>-2.5661300000000001E-2</v>
      </c>
      <c r="N7410">
        <v>-8.9455139999999999E-3</v>
      </c>
      <c r="O7410">
        <v>-0.99963069999999998</v>
      </c>
      <c r="P7410">
        <v>4.89039E-2</v>
      </c>
      <c r="Q7410">
        <v>0.10299999999999999</v>
      </c>
      <c r="R7410">
        <v>-0.99347870000000005</v>
      </c>
      <c r="S7410">
        <v>-0.24548339999999999</v>
      </c>
      <c r="T7410">
        <v>-0.89847509999999997</v>
      </c>
      <c r="U7410">
        <v>-3.1252140000000002</v>
      </c>
      <c r="V7410">
        <v>-7.4343960000000001E-2</v>
      </c>
      <c r="W7410">
        <v>0.1118942</v>
      </c>
      <c r="X7410">
        <v>0.99093529999999996</v>
      </c>
      <c r="Y7410">
        <v>4.9787320000000003E-2</v>
      </c>
      <c r="Z7410">
        <v>0.2670072</v>
      </c>
      <c r="AA7410">
        <v>0.96240760000000003</v>
      </c>
      <c r="AB7410">
        <v>23</v>
      </c>
      <c r="AC7410">
        <v>-4.8099999999976703E-2</v>
      </c>
      <c r="AD7410">
        <v>-0.196876199999999</v>
      </c>
      <c r="AE7410">
        <v>-0.45583999999999403</v>
      </c>
      <c r="AF7410">
        <v>3.0719134056104401E-2</v>
      </c>
      <c r="AG7410">
        <v>-0.196876199999999</v>
      </c>
      <c r="AH7410">
        <v>0.385758878089973</v>
      </c>
      <c r="AI7410">
        <v>116.964726609658</v>
      </c>
      <c r="AJ7410">
        <v>85.446973575261694</v>
      </c>
      <c r="AK7410">
        <v>0.43418177685024001</v>
      </c>
      <c r="AL7410">
        <v>83.575480896798695</v>
      </c>
      <c r="AM7410">
        <v>94.290522461338895</v>
      </c>
      <c r="AN7410">
        <v>1.0000000525841</v>
      </c>
    </row>
    <row r="7411" spans="1:40" x14ac:dyDescent="0.25">
      <c r="A7411" t="str">
        <f>"20190303162101588"</f>
        <v>20190303162101588</v>
      </c>
      <c r="B7411" t="str">
        <f>"1551601261580034"</f>
        <v>1551601261580034</v>
      </c>
      <c r="C7411" t="s">
        <v>40</v>
      </c>
      <c r="D7411">
        <v>4.8263749999999996</v>
      </c>
      <c r="E7411">
        <v>0.54875669999999899</v>
      </c>
      <c r="F7411" t="s">
        <v>42</v>
      </c>
      <c r="G7411">
        <v>-422.26389999999998</v>
      </c>
      <c r="H7411">
        <v>0.87792890000000001</v>
      </c>
      <c r="I7411">
        <v>64.641930000000002</v>
      </c>
      <c r="J7411">
        <v>-422.20359999999999</v>
      </c>
      <c r="K7411">
        <v>1.120932</v>
      </c>
      <c r="L7411">
        <v>65.253999999999905</v>
      </c>
      <c r="M7411">
        <v>-2.583823E-2</v>
      </c>
      <c r="N7411">
        <v>-9.3405160000000001E-3</v>
      </c>
      <c r="O7411">
        <v>-0.99962260000000003</v>
      </c>
      <c r="P7411">
        <v>4.8552989999999997E-2</v>
      </c>
      <c r="Q7411">
        <v>0.10272149999999999</v>
      </c>
      <c r="R7411">
        <v>-0.99352459999999998</v>
      </c>
      <c r="S7411">
        <v>-0.245697</v>
      </c>
      <c r="T7411">
        <v>-0.90108949999999999</v>
      </c>
      <c r="U7411">
        <v>-3.1252140000000002</v>
      </c>
      <c r="V7411">
        <v>-7.4171039999999994E-2</v>
      </c>
      <c r="W7411">
        <v>0.112007</v>
      </c>
      <c r="X7411">
        <v>0.99093540000000002</v>
      </c>
      <c r="Y7411">
        <v>4.9664859999999998E-2</v>
      </c>
      <c r="Z7411">
        <v>0.26736799999999999</v>
      </c>
      <c r="AA7411">
        <v>0.9623138</v>
      </c>
      <c r="AB7411">
        <v>23</v>
      </c>
      <c r="AC7411">
        <v>-6.0299999999983797E-2</v>
      </c>
      <c r="AD7411">
        <v>-0.2430031</v>
      </c>
      <c r="AE7411">
        <v>-0.61206999999998801</v>
      </c>
      <c r="AF7411">
        <v>3.8460379935432797E-2</v>
      </c>
      <c r="AG7411">
        <v>-0.2430031</v>
      </c>
      <c r="AH7411">
        <v>0.53059357528630202</v>
      </c>
      <c r="AI7411">
        <v>114.550212193929</v>
      </c>
      <c r="AJ7411">
        <v>85.854133394444105</v>
      </c>
      <c r="AK7411">
        <v>0.58485831580775904</v>
      </c>
      <c r="AL7411">
        <v>83.568976315635794</v>
      </c>
      <c r="AM7411">
        <v>94.280579645636905</v>
      </c>
      <c r="AN7411">
        <v>0.999999939098419</v>
      </c>
    </row>
    <row r="7412" spans="1:40" x14ac:dyDescent="0.25">
      <c r="A7412" t="str">
        <f>"20190303162101609"</f>
        <v>20190303162101609</v>
      </c>
      <c r="B7412" t="str">
        <f>"1551601261599940"</f>
        <v>1551601261599940</v>
      </c>
      <c r="C7412" t="s">
        <v>40</v>
      </c>
      <c r="D7412">
        <v>4.7790140000000001</v>
      </c>
      <c r="E7412">
        <v>0.54894759999999998</v>
      </c>
      <c r="F7412" t="s">
        <v>42</v>
      </c>
      <c r="G7412">
        <v>-422.2688</v>
      </c>
      <c r="H7412">
        <v>0.88481710000000002</v>
      </c>
      <c r="I7412">
        <v>64.435509999999994</v>
      </c>
      <c r="J7412">
        <v>-422.20929999999998</v>
      </c>
      <c r="K7412">
        <v>1.1209880000000001</v>
      </c>
      <c r="L7412">
        <v>65.037080000000003</v>
      </c>
      <c r="M7412">
        <v>-2.6009669999999999E-2</v>
      </c>
      <c r="N7412">
        <v>-9.7062929999999995E-3</v>
      </c>
      <c r="O7412">
        <v>-0.99961469999999997</v>
      </c>
      <c r="P7412">
        <v>4.8250250000000001E-2</v>
      </c>
      <c r="Q7412">
        <v>0.1029302</v>
      </c>
      <c r="R7412">
        <v>-0.99351789999999995</v>
      </c>
      <c r="S7412">
        <v>-0.2481689</v>
      </c>
      <c r="T7412">
        <v>-0.90143439999999997</v>
      </c>
      <c r="U7412">
        <v>-3.1248779999999998</v>
      </c>
      <c r="V7412">
        <v>-7.4040549999999997E-2</v>
      </c>
      <c r="W7412">
        <v>0.1125765</v>
      </c>
      <c r="X7412">
        <v>0.99088069999999895</v>
      </c>
      <c r="Y7412">
        <v>5.0259579999999998E-2</v>
      </c>
      <c r="Z7412">
        <v>0.26712760000000002</v>
      </c>
      <c r="AA7412">
        <v>0.96234969999999997</v>
      </c>
      <c r="AB7412">
        <v>23</v>
      </c>
      <c r="AC7412">
        <v>-5.9500000000014097E-2</v>
      </c>
      <c r="AD7412">
        <v>-0.23617089999999899</v>
      </c>
      <c r="AE7412">
        <v>-0.60157000000000904</v>
      </c>
      <c r="AF7412">
        <v>3.8028099653429397E-2</v>
      </c>
      <c r="AG7412">
        <v>-0.23617089999999899</v>
      </c>
      <c r="AH7412">
        <v>0.52307488227376697</v>
      </c>
      <c r="AI7412">
        <v>114.24282196004501</v>
      </c>
      <c r="AJ7412">
        <v>85.841851549236793</v>
      </c>
      <c r="AK7412">
        <v>0.57517837479844103</v>
      </c>
      <c r="AL7412">
        <v>83.536139180416498</v>
      </c>
      <c r="AM7412">
        <v>94.273311703390604</v>
      </c>
      <c r="AN7412">
        <v>1.00000001651452</v>
      </c>
    </row>
    <row r="7413" spans="1:40" x14ac:dyDescent="0.25">
      <c r="A7413" t="str">
        <f>"20190303162101632"</f>
        <v>20190303162101632</v>
      </c>
      <c r="B7413" t="str">
        <f>"1551601261630196"</f>
        <v>1551601261630196</v>
      </c>
      <c r="C7413" t="s">
        <v>40</v>
      </c>
      <c r="D7413">
        <v>4.7492479999999997</v>
      </c>
      <c r="E7413">
        <v>0.5496723</v>
      </c>
      <c r="F7413" t="s">
        <v>42</v>
      </c>
      <c r="G7413">
        <v>-422.27429999999998</v>
      </c>
      <c r="H7413">
        <v>0.88860519999999998</v>
      </c>
      <c r="I7413">
        <v>64.230580000000003</v>
      </c>
      <c r="J7413">
        <v>-422.21550000000002</v>
      </c>
      <c r="K7413">
        <v>1.121043</v>
      </c>
      <c r="L7413">
        <v>64.807769999999906</v>
      </c>
      <c r="M7413">
        <v>-2.6192389999999999E-2</v>
      </c>
      <c r="N7413">
        <v>-1.008622E-2</v>
      </c>
      <c r="O7413">
        <v>-0.99960610000000005</v>
      </c>
      <c r="P7413">
        <v>4.8277489999999999E-2</v>
      </c>
      <c r="Q7413">
        <v>0.1028077</v>
      </c>
      <c r="R7413">
        <v>-0.9935292</v>
      </c>
      <c r="S7413">
        <v>-0.25082399999999999</v>
      </c>
      <c r="T7413">
        <v>-0.90042639999999996</v>
      </c>
      <c r="U7413">
        <v>-3.1250610000000001</v>
      </c>
      <c r="V7413">
        <v>-7.4250999999999998E-2</v>
      </c>
      <c r="W7413">
        <v>0.1128295</v>
      </c>
      <c r="X7413">
        <v>0.9908361</v>
      </c>
      <c r="Y7413">
        <v>5.0896110000000001E-2</v>
      </c>
      <c r="Z7413">
        <v>0.26644590000000001</v>
      </c>
      <c r="AA7413">
        <v>0.96250519999999995</v>
      </c>
      <c r="AB7413">
        <v>23</v>
      </c>
      <c r="AC7413">
        <v>-5.8799999999962403E-2</v>
      </c>
      <c r="AD7413">
        <v>-0.2324378</v>
      </c>
      <c r="AE7413">
        <v>-0.57718999999998699</v>
      </c>
      <c r="AF7413">
        <v>3.7622434599052797E-2</v>
      </c>
      <c r="AG7413">
        <v>-0.2324378</v>
      </c>
      <c r="AH7413">
        <v>0.49851703862959601</v>
      </c>
      <c r="AI7413">
        <v>114.935428507287</v>
      </c>
      <c r="AJ7413">
        <v>85.684143084695606</v>
      </c>
      <c r="AK7413">
        <v>0.55132750362921501</v>
      </c>
      <c r="AL7413">
        <v>83.521549914826707</v>
      </c>
      <c r="AM7413">
        <v>94.285604992975706</v>
      </c>
      <c r="AN7413">
        <v>0.99999994206722798</v>
      </c>
    </row>
    <row r="7414" spans="1:40" x14ac:dyDescent="0.25">
      <c r="A7414" t="str">
        <f>"20190303162101648"</f>
        <v>20190303162101648</v>
      </c>
      <c r="B7414" t="str">
        <f>"1551601261639956"</f>
        <v>1551601261639956</v>
      </c>
      <c r="C7414" t="s">
        <v>40</v>
      </c>
      <c r="D7414">
        <v>4.7518919999999998</v>
      </c>
      <c r="E7414">
        <v>0.54987469999999905</v>
      </c>
      <c r="F7414" t="s">
        <v>42</v>
      </c>
      <c r="G7414">
        <v>-422.2801</v>
      </c>
      <c r="H7414">
        <v>0.89478289999999905</v>
      </c>
      <c r="I7414">
        <v>64.024889999999999</v>
      </c>
      <c r="J7414">
        <v>-422.22</v>
      </c>
      <c r="K7414">
        <v>1.121081</v>
      </c>
      <c r="L7414">
        <v>64.642119999999906</v>
      </c>
      <c r="M7414">
        <v>-2.6322000000000002E-2</v>
      </c>
      <c r="N7414">
        <v>-1.036131E-2</v>
      </c>
      <c r="O7414">
        <v>-0.99959969999999998</v>
      </c>
      <c r="P7414">
        <v>4.8164390000000001E-2</v>
      </c>
      <c r="Q7414">
        <v>0.10241790000000001</v>
      </c>
      <c r="R7414">
        <v>-0.99357470000000003</v>
      </c>
      <c r="S7414">
        <v>-0.257019</v>
      </c>
      <c r="T7414">
        <v>-0.9032753</v>
      </c>
      <c r="U7414">
        <v>-3.1254879999999998</v>
      </c>
      <c r="V7414">
        <v>-7.426903E-2</v>
      </c>
      <c r="W7414">
        <v>0.11271200000000001</v>
      </c>
      <c r="X7414">
        <v>0.99084819999999996</v>
      </c>
      <c r="Y7414">
        <v>5.2635309999999998E-2</v>
      </c>
      <c r="Z7414">
        <v>0.26692100000000002</v>
      </c>
      <c r="AA7414">
        <v>0.96227989999999997</v>
      </c>
      <c r="AB7414">
        <v>23</v>
      </c>
      <c r="AC7414">
        <v>-6.0099999999977102E-2</v>
      </c>
      <c r="AD7414">
        <v>-0.2262981</v>
      </c>
      <c r="AE7414">
        <v>-0.61722999999999195</v>
      </c>
      <c r="AF7414">
        <v>3.8680876061363501E-2</v>
      </c>
      <c r="AG7414">
        <v>-0.2262981</v>
      </c>
      <c r="AH7414">
        <v>0.54590600954264201</v>
      </c>
      <c r="AI7414">
        <v>112.465095992892</v>
      </c>
      <c r="AJ7414">
        <v>85.947007250212195</v>
      </c>
      <c r="AK7414">
        <v>0.59221652416262005</v>
      </c>
      <c r="AL7414">
        <v>83.528325893773697</v>
      </c>
      <c r="AM7414">
        <v>94.286589614232597</v>
      </c>
      <c r="AN7414">
        <v>1.0000000196021901</v>
      </c>
    </row>
    <row r="7415" spans="1:40" x14ac:dyDescent="0.25">
      <c r="A7415" t="str">
        <f>"20190303162101665"</f>
        <v>20190303162101665</v>
      </c>
      <c r="B7415" t="str">
        <f>"1551601261660452"</f>
        <v>1551601261660452</v>
      </c>
      <c r="C7415" t="s">
        <v>40</v>
      </c>
      <c r="D7415">
        <v>4.7516559999999997</v>
      </c>
      <c r="E7415">
        <v>0.55014399999999997</v>
      </c>
      <c r="F7415" t="s">
        <v>42</v>
      </c>
      <c r="G7415">
        <v>-422.2878</v>
      </c>
      <c r="H7415">
        <v>0.88486189999999998</v>
      </c>
      <c r="I7415">
        <v>63.826590000000003</v>
      </c>
      <c r="J7415">
        <v>-422.22469999999998</v>
      </c>
      <c r="K7415">
        <v>1.1211139999999999</v>
      </c>
      <c r="L7415">
        <v>64.469359999999995</v>
      </c>
      <c r="M7415">
        <v>-2.6454149999999999E-2</v>
      </c>
      <c r="N7415">
        <v>-1.064624E-2</v>
      </c>
      <c r="O7415">
        <v>-0.99959350000000002</v>
      </c>
      <c r="P7415">
        <v>4.850115E-2</v>
      </c>
      <c r="Q7415">
        <v>0.1020938</v>
      </c>
      <c r="R7415">
        <v>-0.99359200000000003</v>
      </c>
      <c r="S7415">
        <v>-0.25848389999999999</v>
      </c>
      <c r="T7415">
        <v>-0.90517760000000003</v>
      </c>
      <c r="U7415">
        <v>-3.1252140000000002</v>
      </c>
      <c r="V7415">
        <v>-7.4737600000000001E-2</v>
      </c>
      <c r="W7415">
        <v>0.1126703</v>
      </c>
      <c r="X7415">
        <v>0.99081770000000002</v>
      </c>
      <c r="Y7415">
        <v>5.2948660000000002E-2</v>
      </c>
      <c r="Z7415">
        <v>0.26720060000000001</v>
      </c>
      <c r="AA7415">
        <v>0.96218510000000002</v>
      </c>
      <c r="AB7415">
        <v>23</v>
      </c>
      <c r="AC7415">
        <v>-6.3100000000019904E-2</v>
      </c>
      <c r="AD7415">
        <v>-0.23625209999999899</v>
      </c>
      <c r="AE7415">
        <v>-0.64276999999999096</v>
      </c>
      <c r="AF7415">
        <v>4.0635724840581103E-2</v>
      </c>
      <c r="AG7415">
        <v>-0.23625209999999899</v>
      </c>
      <c r="AH7415">
        <v>0.56818759472218305</v>
      </c>
      <c r="AI7415">
        <v>112.525748249324</v>
      </c>
      <c r="AJ7415">
        <v>85.909276910582804</v>
      </c>
      <c r="AK7415">
        <v>0.61668748948224095</v>
      </c>
      <c r="AL7415">
        <v>83.530730382146203</v>
      </c>
      <c r="AM7415">
        <v>94.313664618895899</v>
      </c>
      <c r="AN7415">
        <v>1.0000000099945601</v>
      </c>
    </row>
    <row r="7416" spans="1:40" x14ac:dyDescent="0.25">
      <c r="A7416" t="str">
        <f>"20190303162101687"</f>
        <v>20190303162101687</v>
      </c>
      <c r="B7416" t="str">
        <f>"1551601261679972"</f>
        <v>1551601261679972</v>
      </c>
      <c r="C7416" t="s">
        <v>40</v>
      </c>
      <c r="D7416">
        <v>4.749117</v>
      </c>
      <c r="E7416">
        <v>0.55038969999999998</v>
      </c>
      <c r="F7416" t="s">
        <v>42</v>
      </c>
      <c r="G7416">
        <v>-422.29500000000002</v>
      </c>
      <c r="H7416">
        <v>0.87644699999999998</v>
      </c>
      <c r="I7416">
        <v>63.62773</v>
      </c>
      <c r="J7416">
        <v>-422.23079999999999</v>
      </c>
      <c r="K7416">
        <v>1.1211500000000001</v>
      </c>
      <c r="L7416">
        <v>64.244290000000007</v>
      </c>
      <c r="M7416">
        <v>-2.662279E-2</v>
      </c>
      <c r="N7416">
        <v>-1.1000619999999999E-2</v>
      </c>
      <c r="O7416">
        <v>-0.99958519999999895</v>
      </c>
      <c r="P7416">
        <v>4.9314650000000002E-2</v>
      </c>
      <c r="Q7416">
        <v>0.10148939999999999</v>
      </c>
      <c r="R7416">
        <v>-0.993614</v>
      </c>
      <c r="S7416">
        <v>-0.26022339999999999</v>
      </c>
      <c r="T7416">
        <v>-0.90854020000000002</v>
      </c>
      <c r="U7416">
        <v>-3.125397</v>
      </c>
      <c r="V7416">
        <v>-7.5718679999999997E-2</v>
      </c>
      <c r="W7416">
        <v>0.1124173</v>
      </c>
      <c r="X7416">
        <v>0.99077190000000004</v>
      </c>
      <c r="Y7416">
        <v>5.3289879999999998E-2</v>
      </c>
      <c r="Z7416">
        <v>0.26778809999999997</v>
      </c>
      <c r="AA7416">
        <v>0.96200300000000005</v>
      </c>
      <c r="AB7416">
        <v>23</v>
      </c>
      <c r="AC7416">
        <v>-6.4200000000027999E-2</v>
      </c>
      <c r="AD7416">
        <v>-0.244703</v>
      </c>
      <c r="AE7416">
        <v>-0.616559999999999</v>
      </c>
      <c r="AF7416">
        <v>4.13225138111021E-2</v>
      </c>
      <c r="AG7416">
        <v>-0.244703</v>
      </c>
      <c r="AH7416">
        <v>0.53472567705167495</v>
      </c>
      <c r="AI7416">
        <v>114.525463455153</v>
      </c>
      <c r="AJ7416">
        <v>85.5810810384327</v>
      </c>
      <c r="AK7416">
        <v>0.58950713147089295</v>
      </c>
      <c r="AL7416">
        <v>83.545318592838797</v>
      </c>
      <c r="AM7416">
        <v>94.370273355466296</v>
      </c>
      <c r="AN7416">
        <v>0.99999996283491999</v>
      </c>
    </row>
    <row r="7417" spans="1:40" x14ac:dyDescent="0.25">
      <c r="A7417" t="str">
        <f>"20190303162101704"</f>
        <v>20190303162101704</v>
      </c>
      <c r="B7417" t="str">
        <f>"1551601261700468"</f>
        <v>1551601261700468</v>
      </c>
      <c r="C7417" t="s">
        <v>40</v>
      </c>
      <c r="D7417">
        <v>4.7396909999999997</v>
      </c>
      <c r="E7417">
        <v>0.55055339999999997</v>
      </c>
      <c r="F7417" t="s">
        <v>42</v>
      </c>
      <c r="G7417">
        <v>-422.2996</v>
      </c>
      <c r="H7417">
        <v>0.88154129999999997</v>
      </c>
      <c r="I7417">
        <v>63.423389999999998</v>
      </c>
      <c r="J7417">
        <v>-422.2353</v>
      </c>
      <c r="K7417">
        <v>1.1211690000000001</v>
      </c>
      <c r="L7417">
        <v>64.081239999999994</v>
      </c>
      <c r="M7417">
        <v>-2.674406E-2</v>
      </c>
      <c r="N7417">
        <v>-1.124082E-2</v>
      </c>
      <c r="O7417">
        <v>-0.99957940000000001</v>
      </c>
      <c r="P7417">
        <v>4.9662150000000002E-2</v>
      </c>
      <c r="Q7417">
        <v>0.10126110000000001</v>
      </c>
      <c r="R7417">
        <v>-0.99361999999999995</v>
      </c>
      <c r="S7417">
        <v>-0.2606812</v>
      </c>
      <c r="T7417">
        <v>-0.91222309999999995</v>
      </c>
      <c r="U7417">
        <v>-3.125397</v>
      </c>
      <c r="V7417">
        <v>-7.6186770000000001E-2</v>
      </c>
      <c r="W7417">
        <v>0.11242729999999999</v>
      </c>
      <c r="X7417">
        <v>0.99073489999999997</v>
      </c>
      <c r="Y7417">
        <v>5.3287420000000002E-2</v>
      </c>
      <c r="Z7417">
        <v>0.2685978</v>
      </c>
      <c r="AA7417">
        <v>0.9617774</v>
      </c>
      <c r="AB7417">
        <v>23</v>
      </c>
      <c r="AC7417">
        <v>-6.4300000000002897E-2</v>
      </c>
      <c r="AD7417">
        <v>-0.2396277</v>
      </c>
      <c r="AE7417">
        <v>-0.65785000000000304</v>
      </c>
      <c r="AF7417">
        <v>4.1259606561360102E-2</v>
      </c>
      <c r="AG7417">
        <v>-0.2396277</v>
      </c>
      <c r="AH7417">
        <v>0.58274489453571199</v>
      </c>
      <c r="AI7417">
        <v>112.30237581291399</v>
      </c>
      <c r="AJ7417">
        <v>85.950092439989305</v>
      </c>
      <c r="AK7417">
        <v>0.63143915134265005</v>
      </c>
      <c r="AL7417">
        <v>83.544742103142298</v>
      </c>
      <c r="AM7417">
        <v>94.397348157248899</v>
      </c>
      <c r="AN7417">
        <v>0.99999998189316597</v>
      </c>
    </row>
    <row r="7418" spans="1:40" x14ac:dyDescent="0.25">
      <c r="A7418" t="str">
        <f>"20190303162101721"</f>
        <v>20190303162101721</v>
      </c>
      <c r="B7418" t="str">
        <f>"1551601261710228"</f>
        <v>1551601261710228</v>
      </c>
      <c r="C7418" t="s">
        <v>40</v>
      </c>
      <c r="D7418">
        <v>4.7500080000000002</v>
      </c>
      <c r="E7418">
        <v>0.55059399999999903</v>
      </c>
      <c r="F7418" t="s">
        <v>42</v>
      </c>
      <c r="G7418">
        <v>-422.29219999999998</v>
      </c>
      <c r="H7418">
        <v>0.92323409999999995</v>
      </c>
      <c r="I7418">
        <v>63.404440000000001</v>
      </c>
      <c r="J7418">
        <v>-422.24009999999998</v>
      </c>
      <c r="K7418">
        <v>1.121194</v>
      </c>
      <c r="L7418">
        <v>63.906590000000001</v>
      </c>
      <c r="M7418">
        <v>-2.6875019999999999E-2</v>
      </c>
      <c r="N7418">
        <v>-1.14752E-2</v>
      </c>
      <c r="O7418">
        <v>-0.99957300000000004</v>
      </c>
      <c r="P7418">
        <v>5.0667419999999998E-2</v>
      </c>
      <c r="Q7418">
        <v>0.1014864</v>
      </c>
      <c r="R7418">
        <v>-0.99354580000000003</v>
      </c>
      <c r="S7418">
        <v>-0.26156620000000003</v>
      </c>
      <c r="T7418">
        <v>-0.91403480000000004</v>
      </c>
      <c r="U7418">
        <v>-3.1254879999999998</v>
      </c>
      <c r="V7418">
        <v>-7.7319330000000006E-2</v>
      </c>
      <c r="W7418">
        <v>0.112884</v>
      </c>
      <c r="X7418">
        <v>0.99059520000000001</v>
      </c>
      <c r="Y7418">
        <v>5.3415789999999998E-2</v>
      </c>
      <c r="Z7418">
        <v>0.26887250000000001</v>
      </c>
      <c r="AA7418">
        <v>0.96169349999999998</v>
      </c>
      <c r="AB7418">
        <v>23</v>
      </c>
      <c r="AC7418">
        <v>-5.2099999999995802E-2</v>
      </c>
      <c r="AD7418">
        <v>-0.19795989999999999</v>
      </c>
      <c r="AE7418">
        <v>-0.50214999999999999</v>
      </c>
      <c r="AF7418">
        <v>3.34428918930533E-2</v>
      </c>
      <c r="AG7418">
        <v>-0.19795989999999999</v>
      </c>
      <c r="AH7418">
        <v>0.43628640793888301</v>
      </c>
      <c r="AI7418">
        <v>114.342529692162</v>
      </c>
      <c r="AJ7418">
        <v>85.616648194109501</v>
      </c>
      <c r="AK7418">
        <v>0.48026282260695002</v>
      </c>
      <c r="AL7418">
        <v>83.518407354729106</v>
      </c>
      <c r="AM7418">
        <v>94.463081928310402</v>
      </c>
      <c r="AN7418">
        <v>0.99999996325534302</v>
      </c>
    </row>
    <row r="7419" spans="1:40" x14ac:dyDescent="0.25">
      <c r="A7419" t="str">
        <f>"20190303162101744"</f>
        <v>20190303162101744</v>
      </c>
      <c r="B7419" t="str">
        <f>"1551601261740485"</f>
        <v>1551601261740485</v>
      </c>
      <c r="C7419" t="s">
        <v>40</v>
      </c>
      <c r="D7419">
        <v>4.962294</v>
      </c>
      <c r="E7419">
        <v>0.55084369999999905</v>
      </c>
      <c r="F7419" t="s">
        <v>42</v>
      </c>
      <c r="G7419">
        <v>-422.29820000000001</v>
      </c>
      <c r="H7419">
        <v>0.91613789999999995</v>
      </c>
      <c r="I7419">
        <v>63.205689999999997</v>
      </c>
      <c r="J7419">
        <v>-422.24630000000002</v>
      </c>
      <c r="K7419">
        <v>1.1212219999999999</v>
      </c>
      <c r="L7419">
        <v>63.680999999999997</v>
      </c>
      <c r="M7419">
        <v>-2.7045329999999999E-2</v>
      </c>
      <c r="N7419">
        <v>-1.1751889999999999E-2</v>
      </c>
      <c r="O7419">
        <v>-0.99956509999999998</v>
      </c>
      <c r="P7419">
        <v>5.1576599999999903E-2</v>
      </c>
      <c r="Q7419">
        <v>0.1017202</v>
      </c>
      <c r="R7419">
        <v>-0.99347510000000006</v>
      </c>
      <c r="S7419">
        <v>-0.25888060000000002</v>
      </c>
      <c r="T7419">
        <v>-0.91456820000000005</v>
      </c>
      <c r="U7419">
        <v>-3.126099</v>
      </c>
      <c r="V7419">
        <v>-7.8394539999999999E-2</v>
      </c>
      <c r="W7419">
        <v>0.11339100000000001</v>
      </c>
      <c r="X7419">
        <v>0.99045280000000002</v>
      </c>
      <c r="Y7419">
        <v>5.241229E-2</v>
      </c>
      <c r="Z7419">
        <v>0.2687216</v>
      </c>
      <c r="AA7419">
        <v>0.9617909</v>
      </c>
      <c r="AB7419">
        <v>23</v>
      </c>
      <c r="AC7419">
        <v>-5.1899999999989101E-2</v>
      </c>
      <c r="AD7419">
        <v>-0.20508409999999899</v>
      </c>
      <c r="AE7419">
        <v>-0.47531000000000001</v>
      </c>
      <c r="AF7419">
        <v>3.29611309475282E-2</v>
      </c>
      <c r="AG7419">
        <v>-0.20508409999999899</v>
      </c>
      <c r="AH7419">
        <v>0.40249093394118601</v>
      </c>
      <c r="AI7419">
        <v>116.923152274617</v>
      </c>
      <c r="AJ7419">
        <v>85.318332264503198</v>
      </c>
      <c r="AK7419">
        <v>0.45292921757267801</v>
      </c>
      <c r="AL7419">
        <v>83.489170822449196</v>
      </c>
      <c r="AM7419">
        <v>94.525537843982406</v>
      </c>
      <c r="AN7419">
        <v>0.99999998590532502</v>
      </c>
    </row>
    <row r="7420" spans="1:40" x14ac:dyDescent="0.25">
      <c r="A7420" t="str">
        <f>"20190303162101760"</f>
        <v>20190303162101760</v>
      </c>
      <c r="B7420" t="str">
        <f>"1551601261750244"</f>
        <v>1551601261750244</v>
      </c>
      <c r="C7420" t="s">
        <v>40</v>
      </c>
      <c r="D7420">
        <v>4.8284320000000003</v>
      </c>
      <c r="E7420">
        <v>0.5393502</v>
      </c>
      <c r="F7420" t="s">
        <v>42</v>
      </c>
      <c r="G7420">
        <v>-422.303</v>
      </c>
      <c r="H7420">
        <v>0.92263729999999999</v>
      </c>
      <c r="I7420">
        <v>63.001010000000001</v>
      </c>
      <c r="J7420">
        <v>-422.25119999999998</v>
      </c>
      <c r="K7420">
        <v>1.1212329999999999</v>
      </c>
      <c r="L7420">
        <v>63.507689999999997</v>
      </c>
      <c r="M7420">
        <v>-2.7177659999999999E-2</v>
      </c>
      <c r="N7420">
        <v>-1.1942609999999999E-2</v>
      </c>
      <c r="O7420">
        <v>-0.99955919999999998</v>
      </c>
      <c r="P7420">
        <v>5.1958339999999999E-2</v>
      </c>
      <c r="Q7420">
        <v>0.1013637</v>
      </c>
      <c r="R7420">
        <v>-0.99349140000000002</v>
      </c>
      <c r="S7420">
        <v>-0.25863649999999999</v>
      </c>
      <c r="T7420">
        <v>-0.91304220000000003</v>
      </c>
      <c r="U7420">
        <v>-3.126617</v>
      </c>
      <c r="V7420">
        <v>-7.8907980000000003E-2</v>
      </c>
      <c r="W7420">
        <v>0.1132237</v>
      </c>
      <c r="X7420">
        <v>0.99043119999999996</v>
      </c>
      <c r="Y7420">
        <v>5.2206330000000002E-2</v>
      </c>
      <c r="Z7420">
        <v>0.26806410000000003</v>
      </c>
      <c r="AA7420">
        <v>0.96198550000000005</v>
      </c>
      <c r="AB7420">
        <v>23</v>
      </c>
      <c r="AC7420">
        <v>-5.1800000000071102E-2</v>
      </c>
      <c r="AD7420">
        <v>-0.19859569999999999</v>
      </c>
      <c r="AE7420">
        <v>-0.50668000000000202</v>
      </c>
      <c r="AF7420">
        <v>3.2993228164389002E-2</v>
      </c>
      <c r="AG7420">
        <v>-0.19859569999999999</v>
      </c>
      <c r="AH7420">
        <v>0.44087090857846201</v>
      </c>
      <c r="AI7420">
        <v>114.189907613329</v>
      </c>
      <c r="AJ7420">
        <v>85.720163225494602</v>
      </c>
      <c r="AK7420">
        <v>0.48466066809056801</v>
      </c>
      <c r="AL7420">
        <v>83.498818752333904</v>
      </c>
      <c r="AM7420">
        <v>94.555152156593095</v>
      </c>
      <c r="AN7420">
        <v>1.0000000187414</v>
      </c>
    </row>
    <row r="7421" spans="1:40" x14ac:dyDescent="0.25">
      <c r="A7421" t="str">
        <f>"20190303162101777"</f>
        <v>20190303162101777</v>
      </c>
      <c r="B7421" t="str">
        <f>"1551601261769765"</f>
        <v>1551601261769765</v>
      </c>
      <c r="C7421" t="s">
        <v>40</v>
      </c>
      <c r="D7421">
        <v>4.6957509999999996</v>
      </c>
      <c r="E7421">
        <v>0.49769380000000002</v>
      </c>
      <c r="F7421" t="s">
        <v>42</v>
      </c>
      <c r="G7421">
        <v>-422.28989999999999</v>
      </c>
      <c r="H7421">
        <v>0.95721480000000003</v>
      </c>
      <c r="I7421">
        <v>62.78219</v>
      </c>
      <c r="J7421">
        <v>-422.2559</v>
      </c>
      <c r="K7421">
        <v>1.121238</v>
      </c>
      <c r="L7421">
        <v>63.339230000000001</v>
      </c>
      <c r="M7421">
        <v>-2.7306779999999999E-2</v>
      </c>
      <c r="N7421">
        <v>-1.2112799999999899E-2</v>
      </c>
      <c r="O7421">
        <v>-0.9995539</v>
      </c>
      <c r="P7421">
        <v>5.3352200000000002E-2</v>
      </c>
      <c r="Q7421">
        <v>0.10090200000000001</v>
      </c>
      <c r="R7421">
        <v>-0.99346520000000005</v>
      </c>
      <c r="S7421">
        <v>-0.16458130000000001</v>
      </c>
      <c r="T7421">
        <v>-0.70076099999999997</v>
      </c>
      <c r="U7421">
        <v>-3.0997620000000001</v>
      </c>
      <c r="V7421">
        <v>-8.0428970000000002E-2</v>
      </c>
      <c r="W7421">
        <v>0.11293</v>
      </c>
      <c r="X7421">
        <v>0.99034239999999996</v>
      </c>
      <c r="Y7421">
        <v>2.4529169999999999E-2</v>
      </c>
      <c r="Z7421">
        <v>0.20838090000000001</v>
      </c>
      <c r="AA7421">
        <v>0.9777401</v>
      </c>
      <c r="AB7421">
        <v>23</v>
      </c>
      <c r="AC7421">
        <v>-3.3999999999991801E-2</v>
      </c>
      <c r="AD7421">
        <v>-0.16402319999999901</v>
      </c>
      <c r="AE7421">
        <v>-0.55704000000000697</v>
      </c>
      <c r="AF7421">
        <v>1.7282354776757901E-2</v>
      </c>
      <c r="AG7421">
        <v>-0.16402319999999901</v>
      </c>
      <c r="AH7421">
        <v>0.51341129613432901</v>
      </c>
      <c r="AI7421">
        <v>107.70809259927999</v>
      </c>
      <c r="AJ7421">
        <v>88.072048192819906</v>
      </c>
      <c r="AK7421">
        <v>0.53925267632456098</v>
      </c>
      <c r="AL7421">
        <v>83.515755265213002</v>
      </c>
      <c r="AM7421">
        <v>94.642989200185596</v>
      </c>
      <c r="AN7421">
        <v>1.0000000366765001</v>
      </c>
    </row>
    <row r="7422" spans="1:40" x14ac:dyDescent="0.25">
      <c r="A7422" t="str">
        <f>"20190303162101800"</f>
        <v>20190303162101800</v>
      </c>
      <c r="B7422" t="str">
        <f>"1551601261790260"</f>
        <v>1551601261790260</v>
      </c>
      <c r="C7422" t="s">
        <v>40</v>
      </c>
      <c r="D7422">
        <v>4.7577550000000004</v>
      </c>
      <c r="E7422">
        <v>0.48379919999999998</v>
      </c>
      <c r="F7422" t="s">
        <v>41</v>
      </c>
      <c r="G7422">
        <v>-421.53370000000001</v>
      </c>
      <c r="H7422" s="1">
        <v>-8.9404749999999997E-7</v>
      </c>
      <c r="I7422">
        <v>50.721919999999997</v>
      </c>
      <c r="J7422">
        <v>-422.26229999999998</v>
      </c>
      <c r="K7422">
        <v>1.1212549999999999</v>
      </c>
      <c r="L7422">
        <v>63.115020000000001</v>
      </c>
      <c r="M7422">
        <v>-2.7479569999999998E-2</v>
      </c>
      <c r="N7422">
        <v>-1.2317720000000001E-2</v>
      </c>
      <c r="O7422">
        <v>-0.99954679999999996</v>
      </c>
      <c r="P7422">
        <v>5.4936510000000001E-2</v>
      </c>
      <c r="Q7422">
        <v>0.10033</v>
      </c>
      <c r="R7422">
        <v>-0.99343680000000001</v>
      </c>
      <c r="S7422">
        <v>0.17388919999999999</v>
      </c>
      <c r="T7422">
        <v>-0.26995540000000001</v>
      </c>
      <c r="U7422">
        <v>-3.037811</v>
      </c>
      <c r="V7422">
        <v>-8.2183339999999994E-2</v>
      </c>
      <c r="W7422">
        <v>0.11256090000000001</v>
      </c>
      <c r="X7422">
        <v>0.99024029999999996</v>
      </c>
      <c r="Y7422">
        <v>-8.4345400000000001E-2</v>
      </c>
      <c r="Z7422">
        <v>7.5950970000000007E-2</v>
      </c>
      <c r="AA7422">
        <v>0.99353780000000003</v>
      </c>
      <c r="AB7422">
        <v>23</v>
      </c>
      <c r="AC7422">
        <v>0.72859999999997105</v>
      </c>
      <c r="AD7422">
        <v>-1.1212558940474999</v>
      </c>
      <c r="AE7422">
        <v>-12.393099999999899</v>
      </c>
      <c r="AF7422">
        <v>-1.06025865877171</v>
      </c>
      <c r="AG7422">
        <v>-1.1212558940474999</v>
      </c>
      <c r="AH7422">
        <v>12.2683186742975</v>
      </c>
      <c r="AI7422">
        <v>95.202721190562599</v>
      </c>
      <c r="AJ7422">
        <v>94.939371243408104</v>
      </c>
      <c r="AK7422">
        <v>12.364991156387999</v>
      </c>
      <c r="AL7422">
        <v>83.5370383105885</v>
      </c>
      <c r="AM7422">
        <v>94.744294741255104</v>
      </c>
      <c r="AN7422">
        <v>0.999999954663226</v>
      </c>
    </row>
    <row r="7423" spans="1:40" x14ac:dyDescent="0.25">
      <c r="A7423" t="str">
        <f>"20190303162101822"</f>
        <v>20190303162101822</v>
      </c>
      <c r="B7423" t="str">
        <f>"1551601261810757"</f>
        <v>1551601261810757</v>
      </c>
      <c r="C7423" t="s">
        <v>40</v>
      </c>
      <c r="D7423">
        <v>4.7042780000000004</v>
      </c>
      <c r="E7423">
        <v>0.47941149999999999</v>
      </c>
      <c r="F7423" t="s">
        <v>41</v>
      </c>
      <c r="G7423">
        <v>-420.35759999999999</v>
      </c>
      <c r="H7423" s="1">
        <v>-1.6815159999999999E-6</v>
      </c>
      <c r="I7423">
        <v>43.286949999999997</v>
      </c>
      <c r="J7423">
        <v>-422.26859999999999</v>
      </c>
      <c r="K7423">
        <v>1.121267</v>
      </c>
      <c r="L7423">
        <v>62.89273</v>
      </c>
      <c r="M7423">
        <v>-2.765082E-2</v>
      </c>
      <c r="N7423">
        <v>-1.249611E-2</v>
      </c>
      <c r="O7423">
        <v>-0.99953959999999997</v>
      </c>
      <c r="P7423">
        <v>5.6559560000000002E-2</v>
      </c>
      <c r="Q7423">
        <v>0.1004372</v>
      </c>
      <c r="R7423">
        <v>-0.99333470000000001</v>
      </c>
      <c r="S7423">
        <v>0.2901917</v>
      </c>
      <c r="T7423">
        <v>-0.17083589999999901</v>
      </c>
      <c r="U7423">
        <v>-3.0210270000000001</v>
      </c>
      <c r="V7423">
        <v>-8.3972899999999906E-2</v>
      </c>
      <c r="W7423">
        <v>0.11284279999999999</v>
      </c>
      <c r="X7423">
        <v>0.99005810000000005</v>
      </c>
      <c r="Y7423">
        <v>-0.12296310000000001</v>
      </c>
      <c r="Z7423">
        <v>4.3586279999999998E-2</v>
      </c>
      <c r="AA7423">
        <v>0.99145360000000005</v>
      </c>
      <c r="AB7423">
        <v>22</v>
      </c>
      <c r="AC7423">
        <v>1.911</v>
      </c>
      <c r="AD7423">
        <v>-1.121268681516</v>
      </c>
      <c r="AE7423">
        <v>-19.605779999999999</v>
      </c>
      <c r="AF7423">
        <v>-2.4445071962827298</v>
      </c>
      <c r="AG7423">
        <v>-1.121268681516</v>
      </c>
      <c r="AH7423">
        <v>19.4823149517022</v>
      </c>
      <c r="AI7423">
        <v>93.2683482145233</v>
      </c>
      <c r="AJ7423">
        <v>97.151706555610005</v>
      </c>
      <c r="AK7423">
        <v>19.667065230128902</v>
      </c>
      <c r="AL7423">
        <v>83.520783317079903</v>
      </c>
      <c r="AM7423">
        <v>94.848003551195305</v>
      </c>
      <c r="AN7423">
        <v>0.99999999341093004</v>
      </c>
    </row>
    <row r="7424" spans="1:40" x14ac:dyDescent="0.25">
      <c r="A7424" t="str">
        <f>"20190303162101844"</f>
        <v>20190303162101844</v>
      </c>
      <c r="B7424" t="str">
        <f>"1551601261840036"</f>
        <v>1551601261840036</v>
      </c>
      <c r="C7424" t="s">
        <v>40</v>
      </c>
      <c r="D7424">
        <v>4.7504900000000001</v>
      </c>
      <c r="E7424">
        <v>0.47767949999999998</v>
      </c>
      <c r="F7424" t="s">
        <v>41</v>
      </c>
      <c r="G7424">
        <v>-419.7364</v>
      </c>
      <c r="H7424" s="1">
        <v>-1.006391E-7</v>
      </c>
      <c r="I7424">
        <v>39.737679999999997</v>
      </c>
      <c r="J7424">
        <v>-422.2749</v>
      </c>
      <c r="K7424">
        <v>1.1212789999999999</v>
      </c>
      <c r="L7424">
        <v>62.668399999999998</v>
      </c>
      <c r="M7424">
        <v>-2.782366E-2</v>
      </c>
      <c r="N7424">
        <v>-1.265344E-2</v>
      </c>
      <c r="O7424">
        <v>-0.99953289999999995</v>
      </c>
      <c r="P7424">
        <v>5.8226279999999998E-2</v>
      </c>
      <c r="Q7424">
        <v>0.1008381</v>
      </c>
      <c r="R7424">
        <v>-0.99319769999999996</v>
      </c>
      <c r="S7424">
        <v>0.32983400000000002</v>
      </c>
      <c r="T7424">
        <v>-0.14605319999999999</v>
      </c>
      <c r="U7424">
        <v>-3.0161129999999998</v>
      </c>
      <c r="V7424">
        <v>-8.5806590000000002E-2</v>
      </c>
      <c r="W7424">
        <v>0.1133976</v>
      </c>
      <c r="X7424">
        <v>0.98983750000000004</v>
      </c>
      <c r="Y7424">
        <v>-0.13620789999999999</v>
      </c>
      <c r="Z7424">
        <v>3.5309750000000001E-2</v>
      </c>
      <c r="AA7424">
        <v>0.99005089999999996</v>
      </c>
      <c r="AB7424">
        <v>22</v>
      </c>
      <c r="AC7424">
        <v>2.5384999999999902</v>
      </c>
      <c r="AD7424">
        <v>-1.1212791006391001</v>
      </c>
      <c r="AE7424">
        <v>-22.930720000000001</v>
      </c>
      <c r="AF7424">
        <v>-3.1681011666025598</v>
      </c>
      <c r="AG7424">
        <v>-1.1212791006391001</v>
      </c>
      <c r="AH7424">
        <v>22.797354776236201</v>
      </c>
      <c r="AI7424">
        <v>92.789042285926797</v>
      </c>
      <c r="AJ7424">
        <v>97.911605581774793</v>
      </c>
      <c r="AK7424">
        <v>23.043730527346</v>
      </c>
      <c r="AL7424">
        <v>83.488790513502394</v>
      </c>
      <c r="AM7424">
        <v>94.954445210264396</v>
      </c>
      <c r="AN7424">
        <v>1.00000003148971</v>
      </c>
    </row>
    <row r="7425" spans="1:40" x14ac:dyDescent="0.25">
      <c r="A7425" t="str">
        <f>"20190303162101861"</f>
        <v>20190303162101861</v>
      </c>
      <c r="B7425" t="str">
        <f>"1551601261850772"</f>
        <v>1551601261850772</v>
      </c>
      <c r="C7425" t="s">
        <v>40</v>
      </c>
      <c r="D7425">
        <v>4.7417610000000003</v>
      </c>
      <c r="E7425">
        <v>0.4775778</v>
      </c>
      <c r="F7425" t="s">
        <v>62</v>
      </c>
      <c r="G7425">
        <v>-419.18509999999998</v>
      </c>
      <c r="H7425" s="1">
        <v>-2.5199569999999999E-6</v>
      </c>
      <c r="I7425">
        <v>35.972760000000001</v>
      </c>
      <c r="J7425">
        <v>-422.27960000000002</v>
      </c>
      <c r="K7425">
        <v>1.1212850000000001</v>
      </c>
      <c r="L7425">
        <v>62.505040000000001</v>
      </c>
      <c r="M7425">
        <v>-2.7949760000000001E-2</v>
      </c>
      <c r="N7425">
        <v>-1.275338E-2</v>
      </c>
      <c r="O7425">
        <v>-0.99952790000000002</v>
      </c>
      <c r="P7425">
        <v>5.9018660000000001E-2</v>
      </c>
      <c r="Q7425">
        <v>0.1006503</v>
      </c>
      <c r="R7425">
        <v>-0.99316979999999999</v>
      </c>
      <c r="S7425">
        <v>0.34872439999999999</v>
      </c>
      <c r="T7425">
        <v>-0.12655079999999999</v>
      </c>
      <c r="U7425">
        <v>-3.0129389999999998</v>
      </c>
      <c r="V7425">
        <v>-8.6723110000000006E-2</v>
      </c>
      <c r="W7425">
        <v>0.11330809999999999</v>
      </c>
      <c r="X7425">
        <v>0.98976779999999998</v>
      </c>
      <c r="Y7425">
        <v>-0.14259910000000001</v>
      </c>
      <c r="Z7425">
        <v>2.8821670000000001E-2</v>
      </c>
      <c r="AA7425">
        <v>0.98936080000000004</v>
      </c>
      <c r="AB7425">
        <v>22</v>
      </c>
      <c r="AC7425">
        <v>3.0945000000000298</v>
      </c>
      <c r="AD7425">
        <v>-1.121287519957</v>
      </c>
      <c r="AE7425">
        <v>-26.53228</v>
      </c>
      <c r="AF7425">
        <v>-3.8281766778254198</v>
      </c>
      <c r="AG7425">
        <v>-1.121287519957</v>
      </c>
      <c r="AH7425">
        <v>26.388916892675599</v>
      </c>
      <c r="AI7425">
        <v>92.407908122295495</v>
      </c>
      <c r="AJ7425">
        <v>98.254180284826106</v>
      </c>
      <c r="AK7425">
        <v>26.688708420371299</v>
      </c>
      <c r="AL7425">
        <v>83.493951287798396</v>
      </c>
      <c r="AM7425">
        <v>95.007447981110204</v>
      </c>
      <c r="AN7425">
        <v>0.99999996062525998</v>
      </c>
    </row>
    <row r="7426" spans="1:40" x14ac:dyDescent="0.25">
      <c r="A7426" t="str">
        <f>"20190303162101876"</f>
        <v>20190303162101876</v>
      </c>
      <c r="B7426" t="str">
        <f>"1551601261870292"</f>
        <v>1551601261870292</v>
      </c>
      <c r="C7426" t="s">
        <v>40</v>
      </c>
      <c r="D7426">
        <v>4.6821669999999997</v>
      </c>
      <c r="E7426">
        <v>0.4777014</v>
      </c>
      <c r="F7426" t="s">
        <v>62</v>
      </c>
      <c r="G7426">
        <v>-419.13010000000003</v>
      </c>
      <c r="H7426" s="1">
        <v>-2.7938229999999998E-6</v>
      </c>
      <c r="I7426">
        <v>35.564920000000001</v>
      </c>
      <c r="J7426">
        <v>-422.28390000000002</v>
      </c>
      <c r="K7426">
        <v>1.1212819999999999</v>
      </c>
      <c r="L7426">
        <v>62.356839999999998</v>
      </c>
      <c r="M7426">
        <v>-2.8064099999999901E-2</v>
      </c>
      <c r="N7426">
        <v>-1.283602E-2</v>
      </c>
      <c r="O7426">
        <v>-0.99952390000000002</v>
      </c>
      <c r="P7426">
        <v>5.9588969999999998E-2</v>
      </c>
      <c r="Q7426">
        <v>9.9763149999999995E-2</v>
      </c>
      <c r="R7426">
        <v>-0.99322560000000004</v>
      </c>
      <c r="S7426">
        <v>0.35217290000000001</v>
      </c>
      <c r="T7426">
        <v>-0.12538150000000001</v>
      </c>
      <c r="U7426">
        <v>-3.0124209999999998</v>
      </c>
      <c r="V7426">
        <v>-8.7408390000000002E-2</v>
      </c>
      <c r="W7426">
        <v>0.1125036</v>
      </c>
      <c r="X7426">
        <v>0.98979930000000005</v>
      </c>
      <c r="Y7426">
        <v>-0.14385029999999999</v>
      </c>
      <c r="Z7426">
        <v>2.8355229999999999E-2</v>
      </c>
      <c r="AA7426">
        <v>0.98919310000000005</v>
      </c>
      <c r="AB7426">
        <v>22</v>
      </c>
      <c r="AC7426">
        <v>3.15379999999998</v>
      </c>
      <c r="AD7426">
        <v>-1.1212847938229999</v>
      </c>
      <c r="AE7426">
        <v>-26.791920000000001</v>
      </c>
      <c r="AF7426">
        <v>-3.8977766547675801</v>
      </c>
      <c r="AG7426">
        <v>-1.1212847938229999</v>
      </c>
      <c r="AH7426">
        <v>26.646814275165099</v>
      </c>
      <c r="AI7426">
        <v>92.384214399217001</v>
      </c>
      <c r="AJ7426">
        <v>98.321951319463807</v>
      </c>
      <c r="AK7426">
        <v>26.953713166360899</v>
      </c>
      <c r="AL7426">
        <v>83.540342448425093</v>
      </c>
      <c r="AM7426">
        <v>95.046653149173395</v>
      </c>
      <c r="AN7426">
        <v>0.99999997046792</v>
      </c>
    </row>
    <row r="7427" spans="1:40" x14ac:dyDescent="0.25">
      <c r="A7427" t="str">
        <f>"20190303162101888"</f>
        <v>20190303162101888</v>
      </c>
      <c r="B7427" t="str">
        <f>"1551601261880052"</f>
        <v>1551601261880052</v>
      </c>
      <c r="C7427" t="s">
        <v>40</v>
      </c>
      <c r="D7427">
        <v>4.9192629999999999</v>
      </c>
      <c r="E7427">
        <v>0.47779260000000001</v>
      </c>
      <c r="F7427" t="s">
        <v>62</v>
      </c>
      <c r="G7427">
        <v>-419.11099999999999</v>
      </c>
      <c r="H7427" s="1">
        <v>-2.9944719999999999E-6</v>
      </c>
      <c r="I7427">
        <v>35.257240000000003</v>
      </c>
      <c r="J7427">
        <v>-422.2876</v>
      </c>
      <c r="K7427">
        <v>1.121283</v>
      </c>
      <c r="L7427">
        <v>62.227690000000003</v>
      </c>
      <c r="M7427">
        <v>-2.8163810000000001E-2</v>
      </c>
      <c r="N7427">
        <v>-1.2903110000000001E-2</v>
      </c>
      <c r="O7427">
        <v>-0.99952030000000003</v>
      </c>
      <c r="P7427">
        <v>6.1071590000000002E-2</v>
      </c>
      <c r="Q7427">
        <v>9.9106410000000006E-2</v>
      </c>
      <c r="R7427">
        <v>-0.99320160000000002</v>
      </c>
      <c r="S7427">
        <v>0.35263060000000002</v>
      </c>
      <c r="T7427">
        <v>-0.1246181</v>
      </c>
      <c r="U7427">
        <v>-3.0118100000000001</v>
      </c>
      <c r="V7427">
        <v>-8.898876E-2</v>
      </c>
      <c r="W7427">
        <v>0.1119132</v>
      </c>
      <c r="X7427">
        <v>0.98972539999999998</v>
      </c>
      <c r="Y7427">
        <v>-0.14412130000000001</v>
      </c>
      <c r="Z7427">
        <v>2.8044260000000001E-2</v>
      </c>
      <c r="AA7427">
        <v>0.9891626</v>
      </c>
      <c r="AB7427">
        <v>22</v>
      </c>
      <c r="AC7427">
        <v>3.1766000000000001</v>
      </c>
      <c r="AD7427">
        <v>-1.1212859944719999</v>
      </c>
      <c r="AE7427">
        <v>-26.97045</v>
      </c>
      <c r="AF7427">
        <v>-3.9282964174700101</v>
      </c>
      <c r="AG7427">
        <v>-1.1212859944719999</v>
      </c>
      <c r="AH7427">
        <v>26.824546577923002</v>
      </c>
      <c r="AI7427">
        <v>92.368380668682505</v>
      </c>
      <c r="AJ7427">
        <v>98.331407247599103</v>
      </c>
      <c r="AK7427">
        <v>27.13383670136</v>
      </c>
      <c r="AL7427">
        <v>83.574384834811696</v>
      </c>
      <c r="AM7427">
        <v>95.137795725835005</v>
      </c>
      <c r="AN7427">
        <v>0.99999996557286797</v>
      </c>
    </row>
    <row r="7428" spans="1:40" x14ac:dyDescent="0.25">
      <c r="A7428" t="str">
        <f>"20190303162101907"</f>
        <v>20190303162101907</v>
      </c>
      <c r="B7428" t="str">
        <f>"1551601261900548"</f>
        <v>1551601261900548</v>
      </c>
      <c r="C7428" t="s">
        <v>40</v>
      </c>
      <c r="D7428">
        <v>4.8575480000000004</v>
      </c>
      <c r="E7428">
        <v>0.47780299999999998</v>
      </c>
      <c r="F7428" t="s">
        <v>62</v>
      </c>
      <c r="G7428">
        <v>-419.07729999999998</v>
      </c>
      <c r="H7428" s="1">
        <v>-3.1007869999999999E-6</v>
      </c>
      <c r="I7428">
        <v>35.104100000000003</v>
      </c>
      <c r="J7428">
        <v>-422.2928</v>
      </c>
      <c r="K7428">
        <v>1.121291</v>
      </c>
      <c r="L7428">
        <v>62.047879999999999</v>
      </c>
      <c r="M7428">
        <v>-2.8302799999999999E-2</v>
      </c>
      <c r="N7428">
        <v>-1.2987250000000001E-2</v>
      </c>
      <c r="O7428">
        <v>-0.9995153</v>
      </c>
      <c r="P7428">
        <v>6.1293300000000002E-2</v>
      </c>
      <c r="Q7428">
        <v>9.8572190000000004E-2</v>
      </c>
      <c r="R7428">
        <v>-0.99324080000000003</v>
      </c>
      <c r="S7428">
        <v>0.35638429999999999</v>
      </c>
      <c r="T7428">
        <v>-0.1244763</v>
      </c>
      <c r="U7428">
        <v>-3.011047</v>
      </c>
      <c r="V7428">
        <v>-8.9349629999999999E-2</v>
      </c>
      <c r="W7428">
        <v>0.11146209999999999</v>
      </c>
      <c r="X7428">
        <v>0.98974379999999995</v>
      </c>
      <c r="Y7428">
        <v>-0.14550350000000001</v>
      </c>
      <c r="Z7428">
        <v>2.791604E-2</v>
      </c>
      <c r="AA7428">
        <v>0.98896379999999995</v>
      </c>
      <c r="AB7428">
        <v>22</v>
      </c>
      <c r="AC7428">
        <v>3.21550000000002</v>
      </c>
      <c r="AD7428">
        <v>-1.1212941007870001</v>
      </c>
      <c r="AE7428">
        <v>-26.94378</v>
      </c>
      <c r="AF7428">
        <v>-3.97008094672413</v>
      </c>
      <c r="AG7428">
        <v>-1.1212941007870001</v>
      </c>
      <c r="AH7428">
        <v>26.796212483729398</v>
      </c>
      <c r="AI7428">
        <v>92.370314035563595</v>
      </c>
      <c r="AJ7428">
        <v>98.427537472816198</v>
      </c>
      <c r="AK7428">
        <v>27.111913371379298</v>
      </c>
      <c r="AL7428">
        <v>83.6003937370279</v>
      </c>
      <c r="AM7428">
        <v>95.158423108532602</v>
      </c>
      <c r="AN7428">
        <v>0.99999997287799303</v>
      </c>
    </row>
    <row r="7429" spans="1:40" x14ac:dyDescent="0.25">
      <c r="A7429" t="str">
        <f>"20190303162101922"</f>
        <v>20190303162101922</v>
      </c>
      <c r="B7429" t="str">
        <f>"1551601261910308"</f>
        <v>1551601261910308</v>
      </c>
      <c r="C7429" t="s">
        <v>40</v>
      </c>
      <c r="D7429">
        <v>4.8568389999999999</v>
      </c>
      <c r="E7429">
        <v>0.47783389999999998</v>
      </c>
      <c r="F7429" t="s">
        <v>62</v>
      </c>
      <c r="G7429">
        <v>-419.06729999999999</v>
      </c>
      <c r="H7429" s="1">
        <v>-3.2361240000000001E-6</v>
      </c>
      <c r="I7429">
        <v>34.868429999999996</v>
      </c>
      <c r="J7429">
        <v>-422.29739999999998</v>
      </c>
      <c r="K7429">
        <v>1.121294</v>
      </c>
      <c r="L7429">
        <v>61.892029999999998</v>
      </c>
      <c r="M7429">
        <v>-2.8422630000000001E-2</v>
      </c>
      <c r="N7429">
        <v>-1.3052050000000001E-2</v>
      </c>
      <c r="O7429">
        <v>-0.99951080000000003</v>
      </c>
      <c r="P7429">
        <v>6.2055310000000002E-2</v>
      </c>
      <c r="Q7429">
        <v>9.882233E-2</v>
      </c>
      <c r="R7429">
        <v>-0.99316819999999895</v>
      </c>
      <c r="S7429">
        <v>0.3572998</v>
      </c>
      <c r="T7429">
        <v>-0.12420630000000001</v>
      </c>
      <c r="U7429">
        <v>-3.0106809999999999</v>
      </c>
      <c r="V7429">
        <v>-9.0228470000000005E-2</v>
      </c>
      <c r="W7429">
        <v>0.11177529999999999</v>
      </c>
      <c r="X7429">
        <v>0.98962879999999998</v>
      </c>
      <c r="Y7429">
        <v>-0.1459329</v>
      </c>
      <c r="Z7429">
        <v>2.7765040000000001E-2</v>
      </c>
      <c r="AA7429">
        <v>0.98890480000000003</v>
      </c>
      <c r="AB7429">
        <v>22</v>
      </c>
      <c r="AC7429">
        <v>3.23009999999999</v>
      </c>
      <c r="AD7429">
        <v>-1.1212972361239999</v>
      </c>
      <c r="AE7429">
        <v>-27.023599999999998</v>
      </c>
      <c r="AF7429">
        <v>-3.99016893448671</v>
      </c>
      <c r="AG7429">
        <v>-1.1212972361239999</v>
      </c>
      <c r="AH7429">
        <v>26.875245636254402</v>
      </c>
      <c r="AI7429">
        <v>92.363251269242099</v>
      </c>
      <c r="AJ7429">
        <v>98.445015422870796</v>
      </c>
      <c r="AK7429">
        <v>27.192969378618699</v>
      </c>
      <c r="AL7429">
        <v>83.582336212717706</v>
      </c>
      <c r="AM7429">
        <v>95.209485397940099</v>
      </c>
      <c r="AN7429">
        <v>1.00000002813903</v>
      </c>
    </row>
    <row r="7430" spans="1:40" x14ac:dyDescent="0.25">
      <c r="A7430" t="str">
        <f>"20190303162101945"</f>
        <v>20190303162101945</v>
      </c>
      <c r="B7430" t="str">
        <f>"1551601261940564"</f>
        <v>1551601261940564</v>
      </c>
      <c r="C7430" t="s">
        <v>40</v>
      </c>
      <c r="D7430">
        <v>4.9235949999999997</v>
      </c>
      <c r="E7430">
        <v>0.47784979999999999</v>
      </c>
      <c r="F7430" t="s">
        <v>62</v>
      </c>
      <c r="G7430">
        <v>-419.0138</v>
      </c>
      <c r="H7430" s="1">
        <v>-3.5404360000000002E-6</v>
      </c>
      <c r="I7430">
        <v>34.31297</v>
      </c>
      <c r="J7430">
        <v>-422.30399999999997</v>
      </c>
      <c r="K7430">
        <v>1.121308</v>
      </c>
      <c r="L7430">
        <v>61.666229999999999</v>
      </c>
      <c r="M7430">
        <v>-2.8596650000000001E-2</v>
      </c>
      <c r="N7430">
        <v>-1.31357E-2</v>
      </c>
      <c r="O7430">
        <v>-0.99950479999999997</v>
      </c>
      <c r="P7430">
        <v>6.3506549999999995E-2</v>
      </c>
      <c r="Q7430">
        <v>9.9340220000000007E-2</v>
      </c>
      <c r="R7430">
        <v>-0.99302520000000005</v>
      </c>
      <c r="S7430">
        <v>0.358429</v>
      </c>
      <c r="T7430">
        <v>-0.12239709999999999</v>
      </c>
      <c r="U7430">
        <v>-3.010437</v>
      </c>
      <c r="V7430">
        <v>-9.1846819999999996E-2</v>
      </c>
      <c r="W7430">
        <v>0.1123733</v>
      </c>
      <c r="X7430">
        <v>0.98941210000000002</v>
      </c>
      <c r="Y7430">
        <v>-0.14648239999999901</v>
      </c>
      <c r="Z7430">
        <v>2.7087429999999999E-2</v>
      </c>
      <c r="AA7430">
        <v>0.98884229999999995</v>
      </c>
      <c r="AB7430">
        <v>22</v>
      </c>
      <c r="AC7430">
        <v>3.29020000000002</v>
      </c>
      <c r="AD7430">
        <v>-1.1213115404359999</v>
      </c>
      <c r="AE7430">
        <v>-27.353259999999999</v>
      </c>
      <c r="AF7430">
        <v>-4.0644004678431802</v>
      </c>
      <c r="AG7430">
        <v>-1.1213115404359999</v>
      </c>
      <c r="AH7430">
        <v>27.202912583075499</v>
      </c>
      <c r="AI7430">
        <v>92.334527102855404</v>
      </c>
      <c r="AJ7430">
        <v>98.497729505296604</v>
      </c>
      <c r="AK7430">
        <v>27.527715919345201</v>
      </c>
      <c r="AL7430">
        <v>83.547855601852007</v>
      </c>
      <c r="AM7430">
        <v>95.303550200681698</v>
      </c>
      <c r="AN7430">
        <v>0.99999995026170496</v>
      </c>
    </row>
    <row r="7431" spans="1:40" x14ac:dyDescent="0.25">
      <c r="A7431" t="str">
        <f>"20190303162101978"</f>
        <v>20190303162101978</v>
      </c>
      <c r="B7431" t="str">
        <f>"1551601261969844"</f>
        <v>1551601261969844</v>
      </c>
      <c r="C7431" t="s">
        <v>40</v>
      </c>
      <c r="D7431">
        <v>4.9184349999999997</v>
      </c>
      <c r="E7431">
        <v>0.47787109999999999</v>
      </c>
      <c r="F7431" t="s">
        <v>62</v>
      </c>
      <c r="G7431">
        <v>-418.86950000000002</v>
      </c>
      <c r="H7431" s="1">
        <v>-4.1529060000000002E-6</v>
      </c>
      <c r="I7431">
        <v>33.173740000000002</v>
      </c>
      <c r="J7431">
        <v>-422.31380000000001</v>
      </c>
      <c r="K7431">
        <v>1.1213219999999999</v>
      </c>
      <c r="L7431">
        <v>61.334690000000002</v>
      </c>
      <c r="M7431">
        <v>-2.885223E-2</v>
      </c>
      <c r="N7431">
        <v>-1.323646E-2</v>
      </c>
      <c r="O7431">
        <v>-0.99949619999999995</v>
      </c>
      <c r="P7431">
        <v>6.5111520000000006E-2</v>
      </c>
      <c r="Q7431">
        <v>9.9544149999999998E-2</v>
      </c>
      <c r="R7431">
        <v>-0.99290080000000003</v>
      </c>
      <c r="S7431">
        <v>0.36279299999999998</v>
      </c>
      <c r="T7431">
        <v>-0.1184471</v>
      </c>
      <c r="U7431">
        <v>-3.009735</v>
      </c>
      <c r="V7431">
        <v>-9.3701329999999999E-2</v>
      </c>
      <c r="W7431">
        <v>0.1126751</v>
      </c>
      <c r="X7431">
        <v>0.98920390000000002</v>
      </c>
      <c r="Y7431">
        <v>-0.14818039999999999</v>
      </c>
      <c r="Z7431">
        <v>2.5689210000000001E-2</v>
      </c>
      <c r="AA7431">
        <v>0.98862669999999997</v>
      </c>
      <c r="AB7431">
        <v>22</v>
      </c>
      <c r="AC7431">
        <v>3.4442999999999899</v>
      </c>
      <c r="AD7431">
        <v>-1.1213261529059999</v>
      </c>
      <c r="AE7431">
        <v>-28.16095</v>
      </c>
      <c r="AF7431">
        <v>-4.2488058707489804</v>
      </c>
      <c r="AG7431">
        <v>-1.1213261529059999</v>
      </c>
      <c r="AH7431">
        <v>28.006090261204701</v>
      </c>
      <c r="AI7431">
        <v>92.266909600538995</v>
      </c>
      <c r="AJ7431">
        <v>98.626565160469795</v>
      </c>
      <c r="AK7431">
        <v>28.3487356929238</v>
      </c>
      <c r="AL7431">
        <v>83.530453447834304</v>
      </c>
      <c r="AM7431">
        <v>95.411138737148903</v>
      </c>
      <c r="AN7431">
        <v>0.99999998658949396</v>
      </c>
    </row>
    <row r="7432" spans="1:40" x14ac:dyDescent="0.25">
      <c r="A7432" t="str">
        <f>"20190303162102001"</f>
        <v>20190303162102001</v>
      </c>
      <c r="B7432" t="str">
        <f>"1551601261990340"</f>
        <v>1551601261990340</v>
      </c>
      <c r="C7432" t="s">
        <v>40</v>
      </c>
      <c r="D7432">
        <v>4.9160830000000004</v>
      </c>
      <c r="E7432">
        <v>0.47788779999999997</v>
      </c>
      <c r="F7432" t="s">
        <v>62</v>
      </c>
      <c r="G7432">
        <v>-418.77690000000001</v>
      </c>
      <c r="H7432" s="1">
        <v>-4.5889479999999999E-6</v>
      </c>
      <c r="I7432">
        <v>32.358249999999998</v>
      </c>
      <c r="J7432">
        <v>-422.32049999999998</v>
      </c>
      <c r="K7432">
        <v>1.121335</v>
      </c>
      <c r="L7432">
        <v>61.108490000000003</v>
      </c>
      <c r="M7432">
        <v>-2.902623E-2</v>
      </c>
      <c r="N7432">
        <v>-1.32941E-2</v>
      </c>
      <c r="O7432">
        <v>-0.99949030000000005</v>
      </c>
      <c r="P7432">
        <v>6.5807939999999995E-2</v>
      </c>
      <c r="Q7432">
        <v>9.9168759999999995E-2</v>
      </c>
      <c r="R7432">
        <v>-0.99289240000000001</v>
      </c>
      <c r="S7432">
        <v>0.36727910000000002</v>
      </c>
      <c r="T7432">
        <v>-0.1164432</v>
      </c>
      <c r="U7432">
        <v>-3.0090330000000001</v>
      </c>
      <c r="V7432">
        <v>-9.4569819999999999E-2</v>
      </c>
      <c r="W7432">
        <v>0.1123567</v>
      </c>
      <c r="X7432">
        <v>0.98915750000000002</v>
      </c>
      <c r="Y7432">
        <v>-0.149834299999999</v>
      </c>
      <c r="Z7432">
        <v>2.497328E-2</v>
      </c>
      <c r="AA7432">
        <v>0.98839569999999999</v>
      </c>
      <c r="AB7432">
        <v>22</v>
      </c>
      <c r="AC7432">
        <v>3.5435999999999601</v>
      </c>
      <c r="AD7432">
        <v>-1.121339588948</v>
      </c>
      <c r="AE7432">
        <v>-28.750240000000002</v>
      </c>
      <c r="AF7432">
        <v>-4.3701429680695503</v>
      </c>
      <c r="AG7432">
        <v>-1.121339588948</v>
      </c>
      <c r="AH7432">
        <v>28.592413114572601</v>
      </c>
      <c r="AI7432">
        <v>92.220123501697202</v>
      </c>
      <c r="AJ7432">
        <v>98.689992112144495</v>
      </c>
      <c r="AK7432">
        <v>28.9461852365643</v>
      </c>
      <c r="AL7432">
        <v>83.548813221190102</v>
      </c>
      <c r="AM7432">
        <v>95.461245787185007</v>
      </c>
      <c r="AN7432">
        <v>1.0000000193479801</v>
      </c>
    </row>
    <row r="7433" spans="1:40" x14ac:dyDescent="0.25">
      <c r="A7433" t="str">
        <f>"20190303162102023"</f>
        <v>20190303162102023</v>
      </c>
      <c r="B7433" t="str">
        <f>"1551601262009861"</f>
        <v>1551601262009861</v>
      </c>
      <c r="C7433" t="s">
        <v>40</v>
      </c>
      <c r="D7433">
        <v>5.0393610000000004</v>
      </c>
      <c r="E7433">
        <v>0.47790859999999902</v>
      </c>
      <c r="F7433" t="s">
        <v>62</v>
      </c>
      <c r="G7433">
        <v>-418.74790000000002</v>
      </c>
      <c r="H7433" s="1">
        <v>-4.7690819999999997E-6</v>
      </c>
      <c r="I7433">
        <v>32.017380000000003</v>
      </c>
      <c r="J7433">
        <v>-422.32709999999997</v>
      </c>
      <c r="K7433">
        <v>1.1213420000000001</v>
      </c>
      <c r="L7433">
        <v>60.890720000000002</v>
      </c>
      <c r="M7433">
        <v>-2.9193899999999998E-2</v>
      </c>
      <c r="N7433">
        <v>-1.33417E-2</v>
      </c>
      <c r="O7433">
        <v>-0.99948499999999996</v>
      </c>
      <c r="P7433">
        <v>6.6721260000000004E-2</v>
      </c>
      <c r="Q7433">
        <v>9.8940219999999995E-2</v>
      </c>
      <c r="R7433">
        <v>-0.99285429999999997</v>
      </c>
      <c r="S7433">
        <v>0.36947629999999998</v>
      </c>
      <c r="T7433">
        <v>-0.115967899999999</v>
      </c>
      <c r="U7433">
        <v>-3.008575</v>
      </c>
      <c r="V7433">
        <v>-9.5648079999999996E-2</v>
      </c>
      <c r="W7433">
        <v>0.1121738</v>
      </c>
      <c r="X7433">
        <v>0.98907460000000003</v>
      </c>
      <c r="Y7433">
        <v>-0.15072959999999999</v>
      </c>
      <c r="Z7433">
        <v>2.4770400000000001E-2</v>
      </c>
      <c r="AA7433">
        <v>0.9882647</v>
      </c>
      <c r="AB7433">
        <v>22</v>
      </c>
      <c r="AC7433">
        <v>3.57919999999995</v>
      </c>
      <c r="AD7433">
        <v>-1.121346769082</v>
      </c>
      <c r="AE7433">
        <v>-28.873339999999999</v>
      </c>
      <c r="AF7433">
        <v>-4.41411733181058</v>
      </c>
      <c r="AG7433">
        <v>-1.121346769082</v>
      </c>
      <c r="AH7433">
        <v>28.713877462060001</v>
      </c>
      <c r="AI7433">
        <v>92.210462816919303</v>
      </c>
      <c r="AJ7433">
        <v>98.739530195838498</v>
      </c>
      <c r="AK7433">
        <v>29.072815641105599</v>
      </c>
      <c r="AL7433">
        <v>83.559359425155094</v>
      </c>
      <c r="AM7433">
        <v>95.523590648690899</v>
      </c>
      <c r="AN7433">
        <v>1.0000000404896401</v>
      </c>
    </row>
    <row r="7434" spans="1:40" x14ac:dyDescent="0.25">
      <c r="A7434" t="str">
        <f>"20190303162102045"</f>
        <v>20190303162102045</v>
      </c>
      <c r="B7434" t="str">
        <f>"1551601262040116"</f>
        <v>1551601262040116</v>
      </c>
      <c r="C7434" t="s">
        <v>40</v>
      </c>
      <c r="D7434">
        <v>4.9131739999999997</v>
      </c>
      <c r="E7434">
        <v>0.47798760000000001</v>
      </c>
      <c r="F7434" t="s">
        <v>62</v>
      </c>
      <c r="G7434">
        <v>-418.7158</v>
      </c>
      <c r="H7434" s="1">
        <v>-4.9552340000000001E-6</v>
      </c>
      <c r="I7434">
        <v>31.665980000000001</v>
      </c>
      <c r="J7434">
        <v>-422.33370000000002</v>
      </c>
      <c r="K7434">
        <v>1.121343</v>
      </c>
      <c r="L7434">
        <v>60.668759999999999</v>
      </c>
      <c r="M7434">
        <v>-2.9363319999999998E-2</v>
      </c>
      <c r="N7434">
        <v>-1.338308E-2</v>
      </c>
      <c r="O7434">
        <v>-0.99947929999999996</v>
      </c>
      <c r="P7434">
        <v>6.8486740000000004E-2</v>
      </c>
      <c r="Q7434">
        <v>9.9170209999999995E-2</v>
      </c>
      <c r="R7434">
        <v>-0.99271100000000001</v>
      </c>
      <c r="S7434">
        <v>0.37170409999999998</v>
      </c>
      <c r="T7434">
        <v>-0.1154208</v>
      </c>
      <c r="U7434">
        <v>-3.0081180000000001</v>
      </c>
      <c r="V7434">
        <v>-9.7576720000000006E-2</v>
      </c>
      <c r="W7434">
        <v>0.1124424</v>
      </c>
      <c r="X7434">
        <v>0.9888557</v>
      </c>
      <c r="Y7434">
        <v>-0.15163660000000001</v>
      </c>
      <c r="Z7434">
        <v>2.455007E-2</v>
      </c>
      <c r="AA7434">
        <v>0.98813139999999999</v>
      </c>
      <c r="AB7434">
        <v>22</v>
      </c>
      <c r="AC7434">
        <v>3.6179000000000201</v>
      </c>
      <c r="AD7434">
        <v>-1.121347955234</v>
      </c>
      <c r="AE7434">
        <v>-29.002779999999898</v>
      </c>
      <c r="AF7434">
        <v>-4.4614667133146604</v>
      </c>
      <c r="AG7434">
        <v>-1.121347955234</v>
      </c>
      <c r="AH7434">
        <v>28.841575237304799</v>
      </c>
      <c r="AI7434">
        <v>92.200369592369995</v>
      </c>
      <c r="AJ7434">
        <v>98.793316262131</v>
      </c>
      <c r="AK7434">
        <v>29.206139228590899</v>
      </c>
      <c r="AL7434">
        <v>83.543871873784894</v>
      </c>
      <c r="AM7434">
        <v>95.635497469669602</v>
      </c>
      <c r="AN7434">
        <v>1.0000000525131001</v>
      </c>
    </row>
    <row r="7435" spans="1:40" x14ac:dyDescent="0.25">
      <c r="A7435" t="str">
        <f>"20190303162102068"</f>
        <v>20190303162102068</v>
      </c>
      <c r="B7435" t="str">
        <f>"1551601262060612"</f>
        <v>1551601262060612</v>
      </c>
      <c r="C7435" t="s">
        <v>40</v>
      </c>
      <c r="D7435">
        <v>5.0325879999999996</v>
      </c>
      <c r="E7435">
        <v>0.47801270000000001</v>
      </c>
      <c r="F7435" t="s">
        <v>62</v>
      </c>
      <c r="G7435">
        <v>-418.60669999999999</v>
      </c>
      <c r="H7435" s="1">
        <v>-5.3795300000000003E-6</v>
      </c>
      <c r="I7435">
        <v>30.880780000000001</v>
      </c>
      <c r="J7435">
        <v>-422.34030000000001</v>
      </c>
      <c r="K7435">
        <v>1.1213489999999999</v>
      </c>
      <c r="L7435">
        <v>60.449890000000003</v>
      </c>
      <c r="M7435">
        <v>-2.9524439999999999E-2</v>
      </c>
      <c r="N7435">
        <v>-1.3417790000000001E-2</v>
      </c>
      <c r="O7435">
        <v>-0.99947399999999997</v>
      </c>
      <c r="P7435">
        <v>7.0625060000000003E-2</v>
      </c>
      <c r="Q7435">
        <v>0.1002758</v>
      </c>
      <c r="R7435">
        <v>-0.9924501</v>
      </c>
      <c r="S7435">
        <v>0.3762817</v>
      </c>
      <c r="T7435">
        <v>-0.1132109</v>
      </c>
      <c r="U7435">
        <v>-3.0073850000000002</v>
      </c>
      <c r="V7435">
        <v>-9.9866869999999996E-2</v>
      </c>
      <c r="W7435">
        <v>0.1135776</v>
      </c>
      <c r="X7435">
        <v>0.98849719999999996</v>
      </c>
      <c r="Y7435">
        <v>-0.15330849999999999</v>
      </c>
      <c r="Z7435">
        <v>2.3789370000000001E-2</v>
      </c>
      <c r="AA7435">
        <v>0.98789199999999999</v>
      </c>
      <c r="AB7435">
        <v>22</v>
      </c>
      <c r="AC7435">
        <v>3.73360000000002</v>
      </c>
      <c r="AD7435">
        <v>-1.1213543795299901</v>
      </c>
      <c r="AE7435">
        <v>-29.569109999999998</v>
      </c>
      <c r="AF7435">
        <v>-4.5985523864179596</v>
      </c>
      <c r="AG7435">
        <v>-1.1213543795299901</v>
      </c>
      <c r="AH7435">
        <v>29.404350185291499</v>
      </c>
      <c r="AI7435">
        <v>92.157751809693494</v>
      </c>
      <c r="AJ7435">
        <v>98.888500752485001</v>
      </c>
      <c r="AK7435">
        <v>29.7828798055926</v>
      </c>
      <c r="AL7435">
        <v>83.4784099302302</v>
      </c>
      <c r="AM7435">
        <v>95.768960010246602</v>
      </c>
      <c r="AN7435">
        <v>0.99999998867659801</v>
      </c>
    </row>
    <row r="7436" spans="1:40" x14ac:dyDescent="0.25">
      <c r="A7436" t="str">
        <f>"20190303162102090"</f>
        <v>20190303162102090</v>
      </c>
      <c r="B7436" t="str">
        <f>"1551601262080132"</f>
        <v>1551601262080132</v>
      </c>
      <c r="C7436" t="s">
        <v>40</v>
      </c>
      <c r="D7436">
        <v>5.0333199999999998</v>
      </c>
      <c r="E7436">
        <v>0.47802790000000001</v>
      </c>
      <c r="F7436" t="s">
        <v>62</v>
      </c>
      <c r="G7436">
        <v>-418.40190000000001</v>
      </c>
      <c r="H7436" s="1">
        <v>-7.8161089999999992E-6</v>
      </c>
      <c r="I7436">
        <v>29.46583</v>
      </c>
      <c r="J7436">
        <v>-422.34710000000001</v>
      </c>
      <c r="K7436">
        <v>1.1213630000000001</v>
      </c>
      <c r="L7436">
        <v>60.226500000000001</v>
      </c>
      <c r="M7436">
        <v>-2.9681450000000002E-2</v>
      </c>
      <c r="N7436">
        <v>-1.344828E-2</v>
      </c>
      <c r="O7436">
        <v>-0.99946900000000005</v>
      </c>
      <c r="P7436">
        <v>7.2808139999999993E-2</v>
      </c>
      <c r="Q7436">
        <v>0.1012115</v>
      </c>
      <c r="R7436">
        <v>-0.99219749999999995</v>
      </c>
      <c r="S7436">
        <v>0.3821716</v>
      </c>
      <c r="T7436">
        <v>-0.10881390000000001</v>
      </c>
      <c r="U7436">
        <v>-3.0066220000000001</v>
      </c>
      <c r="V7436">
        <v>-0.10219830000000001</v>
      </c>
      <c r="W7436">
        <v>0.1145383</v>
      </c>
      <c r="X7436">
        <v>0.98814800000000003</v>
      </c>
      <c r="Y7436">
        <v>-0.15540409999999999</v>
      </c>
      <c r="Z7436">
        <v>2.2312289999999999E-2</v>
      </c>
      <c r="AA7436">
        <v>0.987599</v>
      </c>
      <c r="AB7436">
        <v>22</v>
      </c>
      <c r="AC7436">
        <v>3.9451999999999998</v>
      </c>
      <c r="AD7436">
        <v>-1.1213708161089999</v>
      </c>
      <c r="AE7436">
        <v>-30.760670000000001</v>
      </c>
      <c r="AF7436">
        <v>-4.8502239010476096</v>
      </c>
      <c r="AG7436">
        <v>-1.1213708161089999</v>
      </c>
      <c r="AH7436">
        <v>30.590010274653</v>
      </c>
      <c r="AI7436">
        <v>92.073533336714505</v>
      </c>
      <c r="AJ7436">
        <v>99.009578303767498</v>
      </c>
      <c r="AK7436">
        <v>30.992432511838899</v>
      </c>
      <c r="AL7436">
        <v>83.423004324213593</v>
      </c>
      <c r="AM7436">
        <v>95.904769594278406</v>
      </c>
      <c r="AN7436">
        <v>0.99999999229688996</v>
      </c>
    </row>
    <row r="7437" spans="1:40" x14ac:dyDescent="0.25">
      <c r="A7437" t="str">
        <f>"20190303162102113"</f>
        <v>20190303162102113</v>
      </c>
      <c r="B7437" t="str">
        <f>"1551601262100628"</f>
        <v>1551601262100628</v>
      </c>
      <c r="C7437" t="s">
        <v>40</v>
      </c>
      <c r="D7437">
        <v>4.9754209999999999</v>
      </c>
      <c r="E7437">
        <v>0.47805249999999999</v>
      </c>
      <c r="F7437" t="s">
        <v>62</v>
      </c>
      <c r="G7437">
        <v>-418.21589999999998</v>
      </c>
      <c r="H7437" s="1">
        <v>-7.7486030000000005E-6</v>
      </c>
      <c r="I7437">
        <v>28.2851</v>
      </c>
      <c r="J7437">
        <v>-422.35379999999998</v>
      </c>
      <c r="K7437">
        <v>1.1213869999999999</v>
      </c>
      <c r="L7437">
        <v>60.006259999999997</v>
      </c>
      <c r="M7437">
        <v>-2.9822810000000002E-2</v>
      </c>
      <c r="N7437">
        <v>-1.347401E-2</v>
      </c>
      <c r="O7437">
        <v>-0.99946449999999998</v>
      </c>
      <c r="P7437">
        <v>7.6034000000000004E-2</v>
      </c>
      <c r="Q7437">
        <v>0.1019296</v>
      </c>
      <c r="R7437">
        <v>-0.99188200000000004</v>
      </c>
      <c r="S7437">
        <v>0.38876339999999998</v>
      </c>
      <c r="T7437">
        <v>-0.10552599999999999</v>
      </c>
      <c r="U7437">
        <v>-3.0058289999999999</v>
      </c>
      <c r="V7437">
        <v>-0.1055553</v>
      </c>
      <c r="W7437">
        <v>0.1152744</v>
      </c>
      <c r="X7437">
        <v>0.98770939999999996</v>
      </c>
      <c r="Y7437">
        <v>-0.15771009999999999</v>
      </c>
      <c r="Z7437">
        <v>2.1203380000000001E-2</v>
      </c>
      <c r="AA7437">
        <v>0.98725779999999996</v>
      </c>
      <c r="AB7437">
        <v>22</v>
      </c>
      <c r="AC7437">
        <v>4.1379000000000001</v>
      </c>
      <c r="AD7437">
        <v>-1.121394748603</v>
      </c>
      <c r="AE7437">
        <v>-31.721160000000001</v>
      </c>
      <c r="AF7437">
        <v>-5.0759216004849597</v>
      </c>
      <c r="AG7437">
        <v>-1.121394748603</v>
      </c>
      <c r="AH7437">
        <v>31.544869693228001</v>
      </c>
      <c r="AI7437">
        <v>92.010125961433701</v>
      </c>
      <c r="AJ7437">
        <v>99.141172237049801</v>
      </c>
      <c r="AK7437">
        <v>31.970319207652601</v>
      </c>
      <c r="AL7437">
        <v>83.380547623914097</v>
      </c>
      <c r="AM7437">
        <v>96.099977957665203</v>
      </c>
      <c r="AN7437">
        <v>0.99999998375090404</v>
      </c>
    </row>
    <row r="7438" spans="1:40" x14ac:dyDescent="0.25">
      <c r="A7438" t="str">
        <f>"20190303162102135"</f>
        <v>20190303162102135</v>
      </c>
      <c r="B7438" t="str">
        <f>"1551601262129908"</f>
        <v>1551601262129908</v>
      </c>
      <c r="C7438" t="s">
        <v>40</v>
      </c>
      <c r="D7438">
        <v>4.9758380000000004</v>
      </c>
      <c r="E7438">
        <v>0.4782072</v>
      </c>
      <c r="F7438" t="s">
        <v>62</v>
      </c>
      <c r="G7438">
        <v>-418.0163</v>
      </c>
      <c r="H7438" s="1">
        <v>-7.7067129999999907E-6</v>
      </c>
      <c r="I7438">
        <v>27.289840000000002</v>
      </c>
      <c r="J7438">
        <v>-422.3605</v>
      </c>
      <c r="K7438">
        <v>1.121407</v>
      </c>
      <c r="L7438">
        <v>59.78781</v>
      </c>
      <c r="M7438">
        <v>-2.994256E-2</v>
      </c>
      <c r="N7438">
        <v>-1.3495729999999999E-2</v>
      </c>
      <c r="O7438">
        <v>-0.99946069999999998</v>
      </c>
      <c r="P7438">
        <v>7.8964339999999994E-2</v>
      </c>
      <c r="Q7438">
        <v>0.1027313</v>
      </c>
      <c r="R7438">
        <v>-0.99157030000000002</v>
      </c>
      <c r="S7438">
        <v>0.39834589999999998</v>
      </c>
      <c r="T7438">
        <v>-0.1029866</v>
      </c>
      <c r="U7438">
        <v>-3.0046080000000002</v>
      </c>
      <c r="V7438">
        <v>-0.10859729999999999</v>
      </c>
      <c r="W7438">
        <v>0.1160891</v>
      </c>
      <c r="X7438">
        <v>0.9872841</v>
      </c>
      <c r="Y7438">
        <v>-0.16097620000000001</v>
      </c>
      <c r="Z7438">
        <v>2.0344049999999999E-2</v>
      </c>
      <c r="AA7438">
        <v>0.98674859999999998</v>
      </c>
      <c r="AB7438">
        <v>22</v>
      </c>
      <c r="AC7438">
        <v>4.3441999999999998</v>
      </c>
      <c r="AD7438">
        <v>-1.121414706713</v>
      </c>
      <c r="AE7438">
        <v>-32.497969999999903</v>
      </c>
      <c r="AF7438">
        <v>-5.3092017168865402</v>
      </c>
      <c r="AG7438">
        <v>-1.121414706713</v>
      </c>
      <c r="AH7438">
        <v>32.315503548815698</v>
      </c>
      <c r="AI7438">
        <v>91.961212890820306</v>
      </c>
      <c r="AJ7438">
        <v>99.329930043498294</v>
      </c>
      <c r="AK7438">
        <v>32.767925833481499</v>
      </c>
      <c r="AL7438">
        <v>83.333553176196602</v>
      </c>
      <c r="AM7438">
        <v>96.277071939484401</v>
      </c>
      <c r="AN7438">
        <v>0.99999997340945401</v>
      </c>
    </row>
    <row r="7439" spans="1:40" x14ac:dyDescent="0.25">
      <c r="A7439" t="str">
        <f>"20190303162102157"</f>
        <v>20190303162102157</v>
      </c>
      <c r="B7439" t="str">
        <f>"1551601262150404"</f>
        <v>1551601262150404</v>
      </c>
      <c r="C7439" t="s">
        <v>40</v>
      </c>
      <c r="D7439">
        <v>4.9781870000000001</v>
      </c>
      <c r="E7439">
        <v>0.47827789999999998</v>
      </c>
      <c r="F7439" t="s">
        <v>62</v>
      </c>
      <c r="G7439">
        <v>-417.80619999999999</v>
      </c>
      <c r="H7439" s="1">
        <v>-7.6473849999999996E-6</v>
      </c>
      <c r="I7439">
        <v>26.10669</v>
      </c>
      <c r="J7439">
        <v>-422.36709999999999</v>
      </c>
      <c r="K7439">
        <v>1.1214329999999999</v>
      </c>
      <c r="L7439">
        <v>59.570070000000001</v>
      </c>
      <c r="M7439">
        <v>-3.00348E-2</v>
      </c>
      <c r="N7439">
        <v>-1.3514170000000001E-2</v>
      </c>
      <c r="O7439">
        <v>-0.99945759999999995</v>
      </c>
      <c r="P7439">
        <v>8.1914130000000002E-2</v>
      </c>
      <c r="Q7439">
        <v>0.10351490000000001</v>
      </c>
      <c r="R7439">
        <v>-0.99124920000000005</v>
      </c>
      <c r="S7439">
        <v>0.40612789999999999</v>
      </c>
      <c r="T7439">
        <v>-0.1000021</v>
      </c>
      <c r="U7439">
        <v>-3.0035099999999999</v>
      </c>
      <c r="V7439">
        <v>-0.1116322</v>
      </c>
      <c r="W7439">
        <v>0.1168809</v>
      </c>
      <c r="X7439">
        <v>0.98685210000000001</v>
      </c>
      <c r="Y7439">
        <v>-0.1636281</v>
      </c>
      <c r="Z7439">
        <v>1.9343309999999999E-2</v>
      </c>
      <c r="AA7439">
        <v>0.9863324</v>
      </c>
      <c r="AB7439">
        <v>22</v>
      </c>
      <c r="AC7439">
        <v>4.5609000000000002</v>
      </c>
      <c r="AD7439">
        <v>-1.1214406473849901</v>
      </c>
      <c r="AE7439">
        <v>-33.463379999999901</v>
      </c>
      <c r="AF7439">
        <v>-5.5578714709751296</v>
      </c>
      <c r="AG7439">
        <v>-1.1214406473849901</v>
      </c>
      <c r="AH7439">
        <v>33.2745934638845</v>
      </c>
      <c r="AI7439">
        <v>91.903930159329605</v>
      </c>
      <c r="AJ7439">
        <v>99.482602857833697</v>
      </c>
      <c r="AK7439">
        <v>33.754201732529197</v>
      </c>
      <c r="AL7439">
        <v>83.287875466854004</v>
      </c>
      <c r="AM7439">
        <v>96.453834508965201</v>
      </c>
      <c r="AN7439">
        <v>0.99999998006802904</v>
      </c>
    </row>
    <row r="7440" spans="1:40" x14ac:dyDescent="0.25">
      <c r="A7440" t="str">
        <f>"20190303162102179"</f>
        <v>20190303162102179</v>
      </c>
      <c r="B7440" t="str">
        <f>"1551601262169925"</f>
        <v>1551601262169925</v>
      </c>
      <c r="C7440" t="s">
        <v>40</v>
      </c>
      <c r="D7440">
        <v>5.0327909999999996</v>
      </c>
      <c r="E7440">
        <v>0.4784139</v>
      </c>
      <c r="F7440" t="s">
        <v>62</v>
      </c>
      <c r="G7440">
        <v>-417.60300000000001</v>
      </c>
      <c r="H7440" s="1">
        <v>-7.6013219999999997E-6</v>
      </c>
      <c r="I7440">
        <v>25.062919999999998</v>
      </c>
      <c r="J7440">
        <v>-422.37380000000002</v>
      </c>
      <c r="K7440">
        <v>1.1214679999999999</v>
      </c>
      <c r="L7440">
        <v>59.350650000000002</v>
      </c>
      <c r="M7440">
        <v>-3.009469E-2</v>
      </c>
      <c r="N7440">
        <v>-1.3529930000000001E-2</v>
      </c>
      <c r="O7440">
        <v>-0.99945550000000005</v>
      </c>
      <c r="P7440">
        <v>8.4198019999999998E-2</v>
      </c>
      <c r="Q7440">
        <v>0.1033346</v>
      </c>
      <c r="R7440">
        <v>-0.99107679999999998</v>
      </c>
      <c r="S7440">
        <v>0.41452030000000001</v>
      </c>
      <c r="T7440">
        <v>-9.7574709999999995E-2</v>
      </c>
      <c r="U7440">
        <v>-3.0024109999999999</v>
      </c>
      <c r="V7440">
        <v>-0.1139758</v>
      </c>
      <c r="W7440">
        <v>0.11670709999999999</v>
      </c>
      <c r="X7440">
        <v>0.98660479999999995</v>
      </c>
      <c r="Y7440">
        <v>-0.16644300000000001</v>
      </c>
      <c r="Z7440">
        <v>1.8527229999999999E-2</v>
      </c>
      <c r="AA7440">
        <v>0.985877</v>
      </c>
      <c r="AB7440">
        <v>22</v>
      </c>
      <c r="AC7440">
        <v>4.7708000000000004</v>
      </c>
      <c r="AD7440">
        <v>-1.121475601322</v>
      </c>
      <c r="AE7440">
        <v>-34.287730000000003</v>
      </c>
      <c r="AF7440">
        <v>-5.7945304728961897</v>
      </c>
      <c r="AG7440">
        <v>-1.121475601322</v>
      </c>
      <c r="AH7440">
        <v>34.092827941223</v>
      </c>
      <c r="AI7440">
        <v>91.857433633307593</v>
      </c>
      <c r="AJ7440">
        <v>99.646003129834696</v>
      </c>
      <c r="AK7440">
        <v>34.599930750733002</v>
      </c>
      <c r="AL7440">
        <v>83.297902435595802</v>
      </c>
      <c r="AM7440">
        <v>96.589783750177801</v>
      </c>
      <c r="AN7440">
        <v>1.00000003077954</v>
      </c>
    </row>
    <row r="7441" spans="1:40" x14ac:dyDescent="0.25">
      <c r="A7441" t="str">
        <f>"20190303162102203"</f>
        <v>20190303162102203</v>
      </c>
      <c r="B7441" t="str">
        <f>"1551601262190421"</f>
        <v>1551601262190421</v>
      </c>
      <c r="C7441" t="s">
        <v>40</v>
      </c>
      <c r="D7441">
        <v>5.028359</v>
      </c>
      <c r="E7441">
        <v>0.47860900000000001</v>
      </c>
      <c r="F7441" t="s">
        <v>62</v>
      </c>
      <c r="G7441">
        <v>-417.57159999999999</v>
      </c>
      <c r="H7441" s="1">
        <v>-7.6066869999999998E-6</v>
      </c>
      <c r="I7441">
        <v>25.012619999999998</v>
      </c>
      <c r="J7441">
        <v>-422.38069999999999</v>
      </c>
      <c r="K7441">
        <v>1.1214999999999999</v>
      </c>
      <c r="L7441">
        <v>59.1233199999999</v>
      </c>
      <c r="M7441">
        <v>-3.012482E-2</v>
      </c>
      <c r="N7441">
        <v>-1.354373E-2</v>
      </c>
      <c r="O7441">
        <v>-0.99945450000000002</v>
      </c>
      <c r="P7441">
        <v>8.6770079999999999E-2</v>
      </c>
      <c r="Q7441">
        <v>0.10342560000000001</v>
      </c>
      <c r="R7441">
        <v>-0.99084550000000005</v>
      </c>
      <c r="S7441">
        <v>0.41976930000000001</v>
      </c>
      <c r="T7441">
        <v>-9.8030450000000005E-2</v>
      </c>
      <c r="U7441">
        <v>-3.0015559999999999</v>
      </c>
      <c r="V7441">
        <v>-0.1165757</v>
      </c>
      <c r="W7441">
        <v>0.1168009</v>
      </c>
      <c r="X7441">
        <v>0.98628990000000005</v>
      </c>
      <c r="Y7441">
        <v>-0.16820070000000001</v>
      </c>
      <c r="Z7441">
        <v>1.8663079999999999E-2</v>
      </c>
      <c r="AA7441">
        <v>0.98557609999999995</v>
      </c>
      <c r="AB7441">
        <v>22</v>
      </c>
      <c r="AC7441">
        <v>4.8090999999999999</v>
      </c>
      <c r="AD7441">
        <v>-1.121507606687</v>
      </c>
      <c r="AE7441">
        <v>-34.110699999999902</v>
      </c>
      <c r="AF7441">
        <v>-5.8284121150640003</v>
      </c>
      <c r="AG7441">
        <v>-1.121507606687</v>
      </c>
      <c r="AH7441">
        <v>33.914382564140602</v>
      </c>
      <c r="AI7441">
        <v>91.866666572602995</v>
      </c>
      <c r="AJ7441">
        <v>99.7514036313611</v>
      </c>
      <c r="AK7441">
        <v>34.429834617694098</v>
      </c>
      <c r="AL7441">
        <v>83.292491248951393</v>
      </c>
      <c r="AM7441">
        <v>96.740867716392998</v>
      </c>
      <c r="AN7441">
        <v>1.0000000554566499</v>
      </c>
    </row>
    <row r="7442" spans="1:40" x14ac:dyDescent="0.25">
      <c r="A7442" t="str">
        <f>"20190303162102225"</f>
        <v>20190303162102225</v>
      </c>
      <c r="B7442" t="str">
        <f>"1551601262220676"</f>
        <v>1551601262220676</v>
      </c>
      <c r="C7442" t="s">
        <v>40</v>
      </c>
      <c r="D7442">
        <v>4.8053679999999996</v>
      </c>
      <c r="E7442">
        <v>0.47887809999999997</v>
      </c>
      <c r="F7442" t="s">
        <v>62</v>
      </c>
      <c r="G7442">
        <v>-417.48149999999998</v>
      </c>
      <c r="H7442" s="1">
        <v>-7.6008569999999901E-6</v>
      </c>
      <c r="I7442">
        <v>24.679819999999999</v>
      </c>
      <c r="J7442">
        <v>-422.38709999999998</v>
      </c>
      <c r="K7442">
        <v>1.1215250000000001</v>
      </c>
      <c r="L7442">
        <v>58.909329999999997</v>
      </c>
      <c r="M7442">
        <v>-3.012507E-2</v>
      </c>
      <c r="N7442">
        <v>-1.355466E-2</v>
      </c>
      <c r="O7442">
        <v>-0.99945450000000002</v>
      </c>
      <c r="P7442">
        <v>8.9677770000000004E-2</v>
      </c>
      <c r="Q7442">
        <v>0.1035498</v>
      </c>
      <c r="R7442">
        <v>-0.9905735</v>
      </c>
      <c r="S7442">
        <v>0.42678830000000001</v>
      </c>
      <c r="T7442">
        <v>-9.7700239999999994E-2</v>
      </c>
      <c r="U7442">
        <v>-3.0005489999999999</v>
      </c>
      <c r="V7442">
        <v>-0.1194799</v>
      </c>
      <c r="W7442">
        <v>0.1169255</v>
      </c>
      <c r="X7442">
        <v>0.98592749999999996</v>
      </c>
      <c r="Y7442">
        <v>-0.17050609999999999</v>
      </c>
      <c r="Z7442">
        <v>1.8542199999999998E-2</v>
      </c>
      <c r="AA7442">
        <v>0.98518220000000001</v>
      </c>
      <c r="AB7442">
        <v>22</v>
      </c>
      <c r="AC7442">
        <v>4.90559999999999</v>
      </c>
      <c r="AD7442">
        <v>-1.1215326008569999</v>
      </c>
      <c r="AE7442">
        <v>-34.229509999999998</v>
      </c>
      <c r="AF7442">
        <v>-5.9283976213859502</v>
      </c>
      <c r="AG7442">
        <v>-1.1215326008569999</v>
      </c>
      <c r="AH7442">
        <v>34.030378502910899</v>
      </c>
      <c r="AI7442">
        <v>91.859615216648294</v>
      </c>
      <c r="AJ7442">
        <v>99.8822643984835</v>
      </c>
      <c r="AK7442">
        <v>34.561111017781499</v>
      </c>
      <c r="AL7442">
        <v>83.285302750179099</v>
      </c>
      <c r="AM7442">
        <v>96.909711485627298</v>
      </c>
      <c r="AN7442">
        <v>1.00000002715525</v>
      </c>
    </row>
    <row r="7443" spans="1:40" x14ac:dyDescent="0.25">
      <c r="A7443" t="str">
        <f>"20190303162102247"</f>
        <v>20190303162102247</v>
      </c>
      <c r="B7443" t="str">
        <f>"1551601262240197"</f>
        <v>1551601262240197</v>
      </c>
      <c r="C7443" t="s">
        <v>40</v>
      </c>
      <c r="D7443">
        <v>5.1044179999999999</v>
      </c>
      <c r="E7443">
        <v>0.4789601</v>
      </c>
      <c r="F7443" t="s">
        <v>62</v>
      </c>
      <c r="G7443">
        <v>-417.46039999999999</v>
      </c>
      <c r="H7443" s="1">
        <v>-7.6132749999999902E-6</v>
      </c>
      <c r="I7443">
        <v>24.724250000000001</v>
      </c>
      <c r="J7443">
        <v>-422.39350000000002</v>
      </c>
      <c r="K7443">
        <v>1.121545</v>
      </c>
      <c r="L7443">
        <v>58.696469999999998</v>
      </c>
      <c r="M7443">
        <v>-3.0092310000000001E-2</v>
      </c>
      <c r="N7443">
        <v>-1.356367E-2</v>
      </c>
      <c r="O7443">
        <v>-0.99945519999999999</v>
      </c>
      <c r="P7443">
        <v>9.2448920000000004E-2</v>
      </c>
      <c r="Q7443">
        <v>0.1046463</v>
      </c>
      <c r="R7443">
        <v>-0.99020330000000001</v>
      </c>
      <c r="S7443">
        <v>0.43231199999999997</v>
      </c>
      <c r="T7443">
        <v>-9.8412990000000006E-2</v>
      </c>
      <c r="U7443">
        <v>-2.999695</v>
      </c>
      <c r="V7443">
        <v>-0.1222114</v>
      </c>
      <c r="W7443">
        <v>0.11801929999999999</v>
      </c>
      <c r="X7443">
        <v>0.98546219999999995</v>
      </c>
      <c r="Y7443">
        <v>-0.17228879999999999</v>
      </c>
      <c r="Z7443">
        <v>1.8766910000000001E-2</v>
      </c>
      <c r="AA7443">
        <v>0.98486770000000001</v>
      </c>
      <c r="AB7443">
        <v>22</v>
      </c>
      <c r="AC7443">
        <v>4.93310000000002</v>
      </c>
      <c r="AD7443">
        <v>-1.121552613275</v>
      </c>
      <c r="AE7443">
        <v>-33.972219999999901</v>
      </c>
      <c r="AF7443">
        <v>-5.9469142567807998</v>
      </c>
      <c r="AG7443">
        <v>-1.121552613275</v>
      </c>
      <c r="AH7443">
        <v>33.772321209973803</v>
      </c>
      <c r="AI7443">
        <v>91.873250072454397</v>
      </c>
      <c r="AJ7443">
        <v>99.986742394975494</v>
      </c>
      <c r="AK7443">
        <v>34.310251374064499</v>
      </c>
      <c r="AL7443">
        <v>83.222195254603207</v>
      </c>
      <c r="AM7443">
        <v>97.069401756884403</v>
      </c>
      <c r="AN7443">
        <v>0.99999996454564399</v>
      </c>
    </row>
    <row r="7444" spans="1:40" x14ac:dyDescent="0.25">
      <c r="A7444" t="str">
        <f>"20190303162102268"</f>
        <v>20190303162102268</v>
      </c>
      <c r="B7444" t="str">
        <f>"1551601262259717"</f>
        <v>1551601262259717</v>
      </c>
      <c r="C7444" t="s">
        <v>40</v>
      </c>
      <c r="D7444">
        <v>4.7875569999999996</v>
      </c>
      <c r="E7444">
        <v>0.48871799999999999</v>
      </c>
      <c r="F7444" t="s">
        <v>62</v>
      </c>
      <c r="G7444">
        <v>-417.18259999999998</v>
      </c>
      <c r="H7444" s="1">
        <v>-7.5387429999999996E-6</v>
      </c>
      <c r="I7444">
        <v>23.194790000000001</v>
      </c>
      <c r="J7444">
        <v>-422.39980000000003</v>
      </c>
      <c r="K7444">
        <v>1.12157</v>
      </c>
      <c r="L7444">
        <v>58.483759999999997</v>
      </c>
      <c r="M7444">
        <v>-3.003142E-2</v>
      </c>
      <c r="N7444">
        <v>-1.3571160000000001E-2</v>
      </c>
      <c r="O7444">
        <v>-0.99945689999999998</v>
      </c>
      <c r="P7444">
        <v>9.4907320000000003E-2</v>
      </c>
      <c r="Q7444">
        <v>0.10585940000000001</v>
      </c>
      <c r="R7444">
        <v>-0.98984179999999999</v>
      </c>
      <c r="S7444">
        <v>0.44012449999999997</v>
      </c>
      <c r="T7444">
        <v>-9.4730259999999997E-2</v>
      </c>
      <c r="U7444">
        <v>-2.998596</v>
      </c>
      <c r="V7444">
        <v>-0.12460259999999999</v>
      </c>
      <c r="W7444">
        <v>0.119229</v>
      </c>
      <c r="X7444">
        <v>0.98501709999999998</v>
      </c>
      <c r="Y7444">
        <v>-0.174795799999999</v>
      </c>
      <c r="Z7444">
        <v>1.754756E-2</v>
      </c>
      <c r="AA7444">
        <v>0.98444830000000005</v>
      </c>
      <c r="AB7444">
        <v>22</v>
      </c>
      <c r="AC7444">
        <v>5.21720000000004</v>
      </c>
      <c r="AD7444">
        <v>-1.121577538743</v>
      </c>
      <c r="AE7444">
        <v>-35.2889699999999</v>
      </c>
      <c r="AF7444">
        <v>-6.2685251455811297</v>
      </c>
      <c r="AG7444">
        <v>-1.121577538743</v>
      </c>
      <c r="AH7444">
        <v>35.081676488814203</v>
      </c>
      <c r="AI7444">
        <v>91.802617560446606</v>
      </c>
      <c r="AJ7444">
        <v>100.130907625709</v>
      </c>
      <c r="AK7444">
        <v>35.654962753339397</v>
      </c>
      <c r="AL7444">
        <v>83.152392090810494</v>
      </c>
      <c r="AM7444">
        <v>97.209504009106197</v>
      </c>
      <c r="AN7444">
        <v>1.00000002483008</v>
      </c>
    </row>
    <row r="7445" spans="1:40" x14ac:dyDescent="0.25">
      <c r="A7445" t="str">
        <f>"20190303162102290"</f>
        <v>20190303162102290</v>
      </c>
      <c r="B7445" t="str">
        <f>"1551601262280212"</f>
        <v>1551601262280212</v>
      </c>
      <c r="C7445" t="s">
        <v>40</v>
      </c>
      <c r="D7445">
        <v>4.8124149999999997</v>
      </c>
      <c r="E7445">
        <v>0.49121759999999898</v>
      </c>
      <c r="F7445" t="s">
        <v>62</v>
      </c>
      <c r="G7445">
        <v>-416.37779999999998</v>
      </c>
      <c r="H7445">
        <v>3.5648529999999998E-2</v>
      </c>
      <c r="I7445">
        <v>9.6162740000000007</v>
      </c>
      <c r="J7445">
        <v>-422.40629999999999</v>
      </c>
      <c r="K7445">
        <v>1.1215980000000001</v>
      </c>
      <c r="L7445">
        <v>58.264249999999997</v>
      </c>
      <c r="M7445">
        <v>-2.994786E-2</v>
      </c>
      <c r="N7445">
        <v>-1.3577580000000001E-2</v>
      </c>
      <c r="O7445">
        <v>-0.9994596</v>
      </c>
      <c r="P7445">
        <v>9.7535269999999993E-2</v>
      </c>
      <c r="Q7445">
        <v>0.1070701</v>
      </c>
      <c r="R7445">
        <v>-0.98945620000000001</v>
      </c>
      <c r="S7445">
        <v>0.36999510000000002</v>
      </c>
      <c r="T7445">
        <v>-6.6719529999999999E-2</v>
      </c>
      <c r="U7445">
        <v>-3.0024410000000001</v>
      </c>
      <c r="V7445">
        <v>-0.127139</v>
      </c>
      <c r="W7445">
        <v>0.12043570000000001</v>
      </c>
      <c r="X7445">
        <v>0.98454600000000003</v>
      </c>
      <c r="Y7445">
        <v>-0.15193619999999999</v>
      </c>
      <c r="Z7445">
        <v>8.3879690000000003E-3</v>
      </c>
      <c r="AA7445">
        <v>0.98835470000000003</v>
      </c>
      <c r="AB7445">
        <v>22</v>
      </c>
      <c r="AC7445">
        <v>6.0285000000000002</v>
      </c>
      <c r="AD7445">
        <v>-1.0859494700000001</v>
      </c>
      <c r="AE7445">
        <v>-48.647976</v>
      </c>
      <c r="AF7445">
        <v>-7.47916156414162</v>
      </c>
      <c r="AG7445">
        <v>-1.0859494700000001</v>
      </c>
      <c r="AH7445">
        <v>48.421830676395103</v>
      </c>
      <c r="AI7445">
        <v>91.269697326976797</v>
      </c>
      <c r="AJ7445">
        <v>98.780430699532701</v>
      </c>
      <c r="AK7445">
        <v>49.0080690295731</v>
      </c>
      <c r="AL7445">
        <v>83.082750962463905</v>
      </c>
      <c r="AM7445">
        <v>97.358149656359799</v>
      </c>
      <c r="AN7445">
        <v>0.99999995463574398</v>
      </c>
    </row>
    <row r="7446" spans="1:40" x14ac:dyDescent="0.25">
      <c r="A7446" t="str">
        <f>"20190303162102314"</f>
        <v>20190303162102314</v>
      </c>
      <c r="B7446" t="str">
        <f>"1551601262300709"</f>
        <v>1551601262300709</v>
      </c>
      <c r="C7446" t="s">
        <v>40</v>
      </c>
      <c r="D7446">
        <v>4.8305930000000004</v>
      </c>
      <c r="E7446">
        <v>0.49133569999999999</v>
      </c>
      <c r="F7446" t="s">
        <v>62</v>
      </c>
      <c r="G7446">
        <v>-416.62240000000003</v>
      </c>
      <c r="H7446" s="1">
        <v>-1.3928210000000001E-5</v>
      </c>
      <c r="I7446">
        <v>9.7154640000000008</v>
      </c>
      <c r="J7446">
        <v>-422.41269999999997</v>
      </c>
      <c r="K7446">
        <v>1.121621</v>
      </c>
      <c r="L7446">
        <v>58.047820000000002</v>
      </c>
      <c r="M7446">
        <v>-2.9853000000000001E-2</v>
      </c>
      <c r="N7446">
        <v>-1.358271E-2</v>
      </c>
      <c r="O7446">
        <v>-0.99946190000000001</v>
      </c>
      <c r="P7446">
        <v>0.10098459999999999</v>
      </c>
      <c r="Q7446">
        <v>0.10809240000000001</v>
      </c>
      <c r="R7446">
        <v>-0.9889985</v>
      </c>
      <c r="S7446">
        <v>0.35791020000000001</v>
      </c>
      <c r="T7446">
        <v>-6.9405670000000003E-2</v>
      </c>
      <c r="U7446">
        <v>-3.0042110000000002</v>
      </c>
      <c r="V7446">
        <v>-0.13048299999999999</v>
      </c>
      <c r="W7446">
        <v>0.1214515</v>
      </c>
      <c r="X7446">
        <v>0.98398359999999996</v>
      </c>
      <c r="Y7446">
        <v>-0.14785129999999999</v>
      </c>
      <c r="Z7446">
        <v>9.2681150000000004E-3</v>
      </c>
      <c r="AA7446">
        <v>0.98896620000000002</v>
      </c>
      <c r="AB7446">
        <v>22</v>
      </c>
      <c r="AC7446">
        <v>5.7902999999999398</v>
      </c>
      <c r="AD7446">
        <v>-1.12163492821</v>
      </c>
      <c r="AE7446">
        <v>-48.332355999999898</v>
      </c>
      <c r="AF7446">
        <v>-7.22688090639853</v>
      </c>
      <c r="AG7446">
        <v>-1.12163492821</v>
      </c>
      <c r="AH7446">
        <v>48.112392120546097</v>
      </c>
      <c r="AI7446">
        <v>91.320673137932602</v>
      </c>
      <c r="AJ7446">
        <v>98.542437664638697</v>
      </c>
      <c r="AK7446">
        <v>48.665060855901899</v>
      </c>
      <c r="AL7446">
        <v>83.024119849431997</v>
      </c>
      <c r="AM7446">
        <v>97.553744083953205</v>
      </c>
      <c r="AN7446">
        <v>1.0000000026050999</v>
      </c>
    </row>
    <row r="7447" spans="1:40" x14ac:dyDescent="0.25">
      <c r="A7447" t="str">
        <f>"20190303162102335"</f>
        <v>20190303162102335</v>
      </c>
      <c r="B7447" t="str">
        <f>"1551601262329989"</f>
        <v>1551601262329989</v>
      </c>
      <c r="C7447" t="s">
        <v>40</v>
      </c>
      <c r="D7447">
        <v>4.8334549999999998</v>
      </c>
      <c r="E7447">
        <v>0.4915754</v>
      </c>
      <c r="F7447" t="s">
        <v>62</v>
      </c>
      <c r="G7447">
        <v>-416.02809999999999</v>
      </c>
      <c r="H7447">
        <v>7.9986570000000007E-2</v>
      </c>
      <c r="I7447">
        <v>5.7894969999999999</v>
      </c>
      <c r="J7447">
        <v>-422.41899999999998</v>
      </c>
      <c r="K7447">
        <v>1.1216299999999999</v>
      </c>
      <c r="L7447">
        <v>57.830869999999997</v>
      </c>
      <c r="M7447">
        <v>-2.9750510000000001E-2</v>
      </c>
      <c r="N7447">
        <v>-1.3586880000000001E-2</v>
      </c>
      <c r="O7447">
        <v>-0.9994653</v>
      </c>
      <c r="P7447">
        <v>0.104714</v>
      </c>
      <c r="Q7447">
        <v>0.1075473</v>
      </c>
      <c r="R7447">
        <v>-0.98867039999999995</v>
      </c>
      <c r="S7447">
        <v>0.36682130000000002</v>
      </c>
      <c r="T7447">
        <v>-5.9845919999999997E-2</v>
      </c>
      <c r="U7447">
        <v>-3.0024410000000001</v>
      </c>
      <c r="V7447">
        <v>-0.13410159999999999</v>
      </c>
      <c r="W7447">
        <v>0.1209025</v>
      </c>
      <c r="X7447">
        <v>0.98356460000000001</v>
      </c>
      <c r="Y7447">
        <v>-0.15071619999999999</v>
      </c>
      <c r="Z7447">
        <v>6.1174439999999997E-3</v>
      </c>
      <c r="AA7447">
        <v>0.9885581</v>
      </c>
      <c r="AB7447">
        <v>22</v>
      </c>
      <c r="AC7447">
        <v>6.3909000000000402</v>
      </c>
      <c r="AD7447">
        <v>-1.0416434299999999</v>
      </c>
      <c r="AE7447">
        <v>-52.041373</v>
      </c>
      <c r="AF7447">
        <v>-7.9333393532137499</v>
      </c>
      <c r="AG7447">
        <v>-1.0416434299999999</v>
      </c>
      <c r="AH7447">
        <v>51.807735669384897</v>
      </c>
      <c r="AI7447">
        <v>91.138562416202106</v>
      </c>
      <c r="AJ7447">
        <v>98.706096557696199</v>
      </c>
      <c r="AK7447">
        <v>52.421983647296003</v>
      </c>
      <c r="AL7447">
        <v>83.055808648995495</v>
      </c>
      <c r="AM7447">
        <v>97.763973868743804</v>
      </c>
      <c r="AN7447">
        <v>0.999999988000985</v>
      </c>
    </row>
    <row r="7448" spans="1:40" x14ac:dyDescent="0.25">
      <c r="A7448" t="str">
        <f>"20190303162102358"</f>
        <v>20190303162102358</v>
      </c>
      <c r="B7448" t="str">
        <f>"1551601262350485"</f>
        <v>1551601262350485</v>
      </c>
      <c r="C7448" t="s">
        <v>40</v>
      </c>
      <c r="D7448">
        <v>5.0271650000000001</v>
      </c>
      <c r="E7448">
        <v>0.49192629999999998</v>
      </c>
      <c r="F7448" t="s">
        <v>62</v>
      </c>
      <c r="G7448">
        <v>-415.76819999999998</v>
      </c>
      <c r="H7448">
        <v>7.9986559999999998E-2</v>
      </c>
      <c r="I7448">
        <v>4.6531449999999897</v>
      </c>
      <c r="J7448">
        <v>-422.42529999999999</v>
      </c>
      <c r="K7448">
        <v>1.121634</v>
      </c>
      <c r="L7448">
        <v>57.616970000000002</v>
      </c>
      <c r="M7448">
        <v>-2.9645830000000001E-2</v>
      </c>
      <c r="N7448">
        <v>-1.359017E-2</v>
      </c>
      <c r="O7448">
        <v>-0.99946809999999997</v>
      </c>
      <c r="P7448">
        <v>0.10792210000000001</v>
      </c>
      <c r="Q7448">
        <v>0.1073259</v>
      </c>
      <c r="R7448">
        <v>-0.98834940000000004</v>
      </c>
      <c r="S7448">
        <v>0.37533569999999999</v>
      </c>
      <c r="T7448">
        <v>-5.8784250000000003E-2</v>
      </c>
      <c r="U7448">
        <v>-3.0010379999999999</v>
      </c>
      <c r="V7448">
        <v>-0.13719589999999901</v>
      </c>
      <c r="W7448">
        <v>0.1206781</v>
      </c>
      <c r="X7448">
        <v>0.98316530000000002</v>
      </c>
      <c r="Y7448">
        <v>-0.15343019999999999</v>
      </c>
      <c r="Z7448">
        <v>5.7653899999999996E-3</v>
      </c>
      <c r="AA7448">
        <v>0.98814270000000004</v>
      </c>
      <c r="AB7448">
        <v>22</v>
      </c>
      <c r="AC7448">
        <v>6.6571000000000096</v>
      </c>
      <c r="AD7448">
        <v>-1.04164744</v>
      </c>
      <c r="AE7448">
        <v>-52.9638249999999</v>
      </c>
      <c r="AF7448">
        <v>-8.2213444346762596</v>
      </c>
      <c r="AG7448">
        <v>-1.04164744</v>
      </c>
      <c r="AH7448">
        <v>52.723091855423199</v>
      </c>
      <c r="AI7448">
        <v>91.118331286276799</v>
      </c>
      <c r="AJ7448">
        <v>98.863007485756896</v>
      </c>
      <c r="AK7448">
        <v>53.370403300876802</v>
      </c>
      <c r="AL7448">
        <v>83.068760481685999</v>
      </c>
      <c r="AM7448">
        <v>97.944045974364698</v>
      </c>
      <c r="AN7448">
        <v>0.99999996296025395</v>
      </c>
    </row>
    <row r="7449" spans="1:40" x14ac:dyDescent="0.25">
      <c r="A7449" t="str">
        <f>"20190303162102380"</f>
        <v>20190303162102380</v>
      </c>
      <c r="B7449" t="str">
        <f>"1551601262370005"</f>
        <v>1551601262370005</v>
      </c>
      <c r="C7449" t="s">
        <v>40</v>
      </c>
      <c r="D7449">
        <v>4.8290199999999999</v>
      </c>
      <c r="E7449">
        <v>0.4920544</v>
      </c>
      <c r="F7449" t="s">
        <v>44</v>
      </c>
      <c r="G7449">
        <v>-414.70089999999999</v>
      </c>
      <c r="H7449">
        <v>-0.05</v>
      </c>
      <c r="I7449">
        <v>-2.958466</v>
      </c>
      <c r="J7449">
        <v>-422.4316</v>
      </c>
      <c r="K7449">
        <v>1.121637</v>
      </c>
      <c r="L7449">
        <v>57.398040000000002</v>
      </c>
      <c r="M7449">
        <v>-2.953828E-2</v>
      </c>
      <c r="N7449">
        <v>-1.3592770000000001E-2</v>
      </c>
      <c r="O7449">
        <v>-0.99947149999999996</v>
      </c>
      <c r="P7449">
        <v>0.1103697</v>
      </c>
      <c r="Q7449">
        <v>0.1086886</v>
      </c>
      <c r="R7449">
        <v>-0.98793019999999998</v>
      </c>
      <c r="S7449">
        <v>0.38253779999999998</v>
      </c>
      <c r="T7449">
        <v>-5.8023449999999997E-2</v>
      </c>
      <c r="U7449">
        <v>-2.999908</v>
      </c>
      <c r="V7449">
        <v>-0.13952329999999999</v>
      </c>
      <c r="W7449">
        <v>0.12203700000000001</v>
      </c>
      <c r="X7449">
        <v>0.98266989999999999</v>
      </c>
      <c r="Y7449">
        <v>-0.15570419999999999</v>
      </c>
      <c r="Z7449">
        <v>5.512571E-3</v>
      </c>
      <c r="AA7449">
        <v>0.98778829999999995</v>
      </c>
      <c r="AB7449">
        <v>22</v>
      </c>
      <c r="AC7449">
        <v>7.7307000000000103</v>
      </c>
      <c r="AD7449">
        <v>-1.171637</v>
      </c>
      <c r="AE7449">
        <v>-60.356506000000003</v>
      </c>
      <c r="AF7449">
        <v>-9.5067931297506192</v>
      </c>
      <c r="AG7449">
        <v>-1.171637</v>
      </c>
      <c r="AH7449">
        <v>60.079517998390997</v>
      </c>
      <c r="AI7449">
        <v>91.103482363011594</v>
      </c>
      <c r="AJ7449">
        <v>98.991749940010493</v>
      </c>
      <c r="AK7449">
        <v>60.838313025515703</v>
      </c>
      <c r="AL7449">
        <v>82.990321438268097</v>
      </c>
      <c r="AM7449">
        <v>98.081063628207303</v>
      </c>
      <c r="AN7449">
        <v>0.99999995648894902</v>
      </c>
    </row>
    <row r="7450" spans="1:40" x14ac:dyDescent="0.25">
      <c r="A7450" t="str">
        <f>"20190303162102404"</f>
        <v>20190303162102404</v>
      </c>
      <c r="B7450" t="str">
        <f>"1551601262390500"</f>
        <v>1551601262390500</v>
      </c>
      <c r="C7450" t="s">
        <v>40</v>
      </c>
      <c r="D7450">
        <v>5.1670429999999996</v>
      </c>
      <c r="E7450">
        <v>0.49224519999999999</v>
      </c>
      <c r="F7450" t="s">
        <v>44</v>
      </c>
      <c r="G7450">
        <v>-414.22179999999997</v>
      </c>
      <c r="H7450">
        <v>-0.05</v>
      </c>
      <c r="I7450">
        <v>-5.8209379999999999</v>
      </c>
      <c r="J7450">
        <v>-422.43799999999999</v>
      </c>
      <c r="K7450">
        <v>1.1216299999999999</v>
      </c>
      <c r="L7450">
        <v>57.177190000000003</v>
      </c>
      <c r="M7450">
        <v>-2.9433009999999999E-2</v>
      </c>
      <c r="N7450">
        <v>-1.359463E-2</v>
      </c>
      <c r="O7450">
        <v>-0.99947459999999999</v>
      </c>
      <c r="P7450">
        <v>0.1132737</v>
      </c>
      <c r="Q7450">
        <v>0.10973910000000001</v>
      </c>
      <c r="R7450">
        <v>-0.98748530000000001</v>
      </c>
      <c r="S7450">
        <v>0.3894958</v>
      </c>
      <c r="T7450">
        <v>-5.5585379999999997E-2</v>
      </c>
      <c r="U7450">
        <v>-2.9992679999999998</v>
      </c>
      <c r="V7450">
        <v>-0.1423085</v>
      </c>
      <c r="W7450">
        <v>0.12308379999999999</v>
      </c>
      <c r="X7450">
        <v>0.98213980000000001</v>
      </c>
      <c r="Y7450">
        <v>-0.15788150000000001</v>
      </c>
      <c r="Z7450">
        <v>4.7047410000000001E-3</v>
      </c>
      <c r="AA7450">
        <v>0.98744679999999996</v>
      </c>
      <c r="AB7450">
        <v>22</v>
      </c>
      <c r="AC7450">
        <v>8.2162000000000699</v>
      </c>
      <c r="AD7450">
        <v>-1.1716299999999999</v>
      </c>
      <c r="AE7450">
        <v>-62.998128000000001</v>
      </c>
      <c r="AF7450">
        <v>-10.063612478444099</v>
      </c>
      <c r="AG7450">
        <v>-1.1716299999999999</v>
      </c>
      <c r="AH7450">
        <v>62.707652994219799</v>
      </c>
      <c r="AI7450">
        <v>91.056869642007399</v>
      </c>
      <c r="AJ7450">
        <v>99.117347236399098</v>
      </c>
      <c r="AK7450">
        <v>63.520852930487997</v>
      </c>
      <c r="AL7450">
        <v>82.929888627953005</v>
      </c>
      <c r="AM7450">
        <v>98.244572313819603</v>
      </c>
      <c r="AN7450">
        <v>0.99999995886936399</v>
      </c>
    </row>
    <row r="7451" spans="1:40" x14ac:dyDescent="0.25">
      <c r="A7451" t="str">
        <f>"20190303162102426"</f>
        <v>20190303162102426</v>
      </c>
      <c r="B7451" t="str">
        <f>"1551601262419781"</f>
        <v>1551601262419781</v>
      </c>
      <c r="C7451" t="s">
        <v>40</v>
      </c>
      <c r="D7451">
        <v>4.9217779999999998</v>
      </c>
      <c r="E7451">
        <v>0.44292700000000002</v>
      </c>
      <c r="F7451" t="s">
        <v>72</v>
      </c>
      <c r="G7451">
        <v>-414.94389999999999</v>
      </c>
      <c r="H7451">
        <v>0.11357440000000001</v>
      </c>
      <c r="I7451">
        <v>0.52880669999999996</v>
      </c>
      <c r="J7451">
        <v>-422.4443</v>
      </c>
      <c r="K7451">
        <v>1.1216250000000001</v>
      </c>
      <c r="L7451">
        <v>56.960169999999998</v>
      </c>
      <c r="M7451">
        <v>-2.9334809999999999E-2</v>
      </c>
      <c r="N7451">
        <v>-1.359581E-2</v>
      </c>
      <c r="O7451">
        <v>-0.99947719999999995</v>
      </c>
      <c r="P7451">
        <v>0.11670220000000001</v>
      </c>
      <c r="Q7451">
        <v>0.1092684</v>
      </c>
      <c r="R7451">
        <v>-0.98713770000000001</v>
      </c>
      <c r="S7451">
        <v>0.39666750000000001</v>
      </c>
      <c r="T7451">
        <v>-5.3358549999999998E-2</v>
      </c>
      <c r="U7451">
        <v>-2.9984440000000001</v>
      </c>
      <c r="V7451">
        <v>-0.1456269</v>
      </c>
      <c r="W7451">
        <v>0.1226091</v>
      </c>
      <c r="X7451">
        <v>0.98171269999999999</v>
      </c>
      <c r="Y7451">
        <v>-0.16014129999999999</v>
      </c>
      <c r="Z7451">
        <v>3.9680899999999996E-3</v>
      </c>
      <c r="AA7451">
        <v>0.98708609999999997</v>
      </c>
      <c r="AB7451">
        <v>22</v>
      </c>
      <c r="AC7451">
        <v>7.5004000000000097</v>
      </c>
      <c r="AD7451">
        <v>-1.0080506</v>
      </c>
      <c r="AE7451">
        <v>-56.431363299999902</v>
      </c>
      <c r="AF7451">
        <v>-9.1498588268568195</v>
      </c>
      <c r="AG7451">
        <v>-1.0080506</v>
      </c>
      <c r="AH7451">
        <v>56.169417577216102</v>
      </c>
      <c r="AI7451">
        <v>91.014781687905</v>
      </c>
      <c r="AJ7451">
        <v>99.252075106623806</v>
      </c>
      <c r="AK7451">
        <v>56.9187100479907</v>
      </c>
      <c r="AL7451">
        <v>82.957294845774499</v>
      </c>
      <c r="AM7451">
        <v>98.437704279480698</v>
      </c>
      <c r="AN7451">
        <v>1.00000000537385</v>
      </c>
    </row>
    <row r="7452" spans="1:40" x14ac:dyDescent="0.25">
      <c r="A7452" t="str">
        <f>"20190303162102447"</f>
        <v>20190303162102447</v>
      </c>
      <c r="B7452" t="str">
        <f>"1551601262440277"</f>
        <v>1551601262440277</v>
      </c>
      <c r="C7452" t="s">
        <v>40</v>
      </c>
      <c r="D7452">
        <v>4.830794</v>
      </c>
      <c r="E7452">
        <v>0.3757452</v>
      </c>
      <c r="F7452" t="s">
        <v>62</v>
      </c>
      <c r="G7452">
        <v>-411.35410000000002</v>
      </c>
      <c r="H7452" s="1">
        <v>-1.09717899999999E-5</v>
      </c>
      <c r="I7452">
        <v>15.9020299999999</v>
      </c>
      <c r="J7452">
        <v>-422.4502</v>
      </c>
      <c r="K7452">
        <v>1.121621</v>
      </c>
      <c r="L7452">
        <v>56.754119999999901</v>
      </c>
      <c r="M7452">
        <v>-2.924676E-2</v>
      </c>
      <c r="N7452">
        <v>-1.3596540000000001E-2</v>
      </c>
      <c r="O7452">
        <v>-0.99947980000000003</v>
      </c>
      <c r="P7452">
        <v>0.11943769999999999</v>
      </c>
      <c r="Q7452">
        <v>0.10777200000000001</v>
      </c>
      <c r="R7452">
        <v>-0.98697500000000005</v>
      </c>
      <c r="S7452">
        <v>0.797821</v>
      </c>
      <c r="T7452">
        <v>-8.0690029999999996E-2</v>
      </c>
      <c r="U7452">
        <v>-2.9537049999999998</v>
      </c>
      <c r="V7452">
        <v>-0.14826919999999999</v>
      </c>
      <c r="W7452">
        <v>0.1211112</v>
      </c>
      <c r="X7452">
        <v>0.98150309999999996</v>
      </c>
      <c r="Y7452">
        <v>-0.28879159999999998</v>
      </c>
      <c r="Z7452">
        <v>1.2592010000000001E-2</v>
      </c>
      <c r="AA7452">
        <v>0.95730919999999997</v>
      </c>
      <c r="AB7452">
        <v>22</v>
      </c>
      <c r="AC7452">
        <v>11.0960999999999</v>
      </c>
      <c r="AD7452">
        <v>-1.1216319717899901</v>
      </c>
      <c r="AE7452">
        <v>-40.852089999999997</v>
      </c>
      <c r="AF7452">
        <v>-12.277634786858</v>
      </c>
      <c r="AG7452">
        <v>-1.1216319717899901</v>
      </c>
      <c r="AH7452">
        <v>40.481636666306699</v>
      </c>
      <c r="AI7452">
        <v>91.518815527442001</v>
      </c>
      <c r="AJ7452">
        <v>106.871973013404</v>
      </c>
      <c r="AK7452">
        <v>42.317387459795697</v>
      </c>
      <c r="AL7452">
        <v>83.043762632513904</v>
      </c>
      <c r="AM7452">
        <v>98.590344167684904</v>
      </c>
      <c r="AN7452">
        <v>1.00000000687184</v>
      </c>
    </row>
    <row r="7453" spans="1:40" x14ac:dyDescent="0.25">
      <c r="A7453" t="str">
        <f>"20190303162102469"</f>
        <v>20190303162102469</v>
      </c>
      <c r="B7453" t="str">
        <f>"1551601262459798"</f>
        <v>1551601262459798</v>
      </c>
      <c r="C7453" t="s">
        <v>40</v>
      </c>
      <c r="D7453">
        <v>5.0279379999999998</v>
      </c>
      <c r="E7453">
        <v>0.36920799999999998</v>
      </c>
      <c r="F7453" t="s">
        <v>42</v>
      </c>
      <c r="G7453">
        <v>-421.99209999999999</v>
      </c>
      <c r="H7453">
        <v>1.0632159999999999</v>
      </c>
      <c r="I7453">
        <v>55.761209999999998</v>
      </c>
      <c r="J7453">
        <v>-422.45639999999997</v>
      </c>
      <c r="K7453">
        <v>1.1216079999999999</v>
      </c>
      <c r="L7453">
        <v>56.5383</v>
      </c>
      <c r="M7453">
        <v>-2.915659E-2</v>
      </c>
      <c r="N7453">
        <v>-1.3596860000000001E-2</v>
      </c>
      <c r="O7453">
        <v>-0.99948250000000005</v>
      </c>
      <c r="P7453">
        <v>0.12123399999999999</v>
      </c>
      <c r="Q7453">
        <v>0.10641340000000001</v>
      </c>
      <c r="R7453">
        <v>-0.98690370000000005</v>
      </c>
      <c r="S7453">
        <v>1.337097</v>
      </c>
      <c r="T7453">
        <v>-0.17036950000000001</v>
      </c>
      <c r="U7453">
        <v>-2.8963930000000002</v>
      </c>
      <c r="V7453">
        <v>-0.14997269999999999</v>
      </c>
      <c r="W7453">
        <v>0.1197522</v>
      </c>
      <c r="X7453">
        <v>0.98141100000000003</v>
      </c>
      <c r="Y7453">
        <v>-0.44491370000000002</v>
      </c>
      <c r="Z7453">
        <v>3.9273420000000003E-2</v>
      </c>
      <c r="AA7453">
        <v>0.8947119</v>
      </c>
      <c r="AB7453">
        <v>22</v>
      </c>
      <c r="AC7453">
        <v>0.46429999999998001</v>
      </c>
      <c r="AD7453">
        <v>-5.8391999999999902E-2</v>
      </c>
      <c r="AE7453">
        <v>-0.77709000000000095</v>
      </c>
      <c r="AF7453">
        <v>-0.48474497804637201</v>
      </c>
      <c r="AG7453">
        <v>-5.8391999999999902E-2</v>
      </c>
      <c r="AH7453">
        <v>0.760058379013967</v>
      </c>
      <c r="AI7453">
        <v>93.706069401431606</v>
      </c>
      <c r="AJ7453">
        <v>122.52864525031499</v>
      </c>
      <c r="AK7453">
        <v>0.90336928158672603</v>
      </c>
      <c r="AL7453">
        <v>83.122198272443796</v>
      </c>
      <c r="AM7453">
        <v>98.688346071206993</v>
      </c>
      <c r="AN7453">
        <v>0.99999997553556397</v>
      </c>
    </row>
    <row r="7454" spans="1:40" x14ac:dyDescent="0.25">
      <c r="A7454" t="str">
        <f>"20190303162102492"</f>
        <v>20190303162102492</v>
      </c>
      <c r="B7454" t="str">
        <f>"1551601262490052"</f>
        <v>1551601262490052</v>
      </c>
      <c r="C7454" t="s">
        <v>40</v>
      </c>
      <c r="D7454">
        <v>4.7353569999999996</v>
      </c>
      <c r="E7454">
        <v>0.36122399999999999</v>
      </c>
      <c r="F7454" t="s">
        <v>42</v>
      </c>
      <c r="G7454">
        <v>-422.03149999999999</v>
      </c>
      <c r="H7454">
        <v>1.0563959999999999</v>
      </c>
      <c r="I7454">
        <v>55.656199999999998</v>
      </c>
      <c r="J7454">
        <v>-422.46269999999998</v>
      </c>
      <c r="K7454">
        <v>1.121605</v>
      </c>
      <c r="L7454">
        <v>56.320070000000001</v>
      </c>
      <c r="M7454">
        <v>-2.9060880000000001E-2</v>
      </c>
      <c r="N7454">
        <v>-1.3596769999999999E-2</v>
      </c>
      <c r="O7454">
        <v>-0.99948510000000002</v>
      </c>
      <c r="P7454">
        <v>0.1248403</v>
      </c>
      <c r="Q7454">
        <v>0.105588</v>
      </c>
      <c r="R7454">
        <v>-0.98654219999999904</v>
      </c>
      <c r="S7454">
        <v>1.3933409999999999</v>
      </c>
      <c r="T7454">
        <v>-0.21377550000000001</v>
      </c>
      <c r="U7454">
        <v>-2.8916930000000001</v>
      </c>
      <c r="V7454">
        <v>-0.1534732</v>
      </c>
      <c r="W7454">
        <v>0.118919899999999</v>
      </c>
      <c r="X7454">
        <v>0.98097100000000004</v>
      </c>
      <c r="Y7454">
        <v>-0.45924419999999999</v>
      </c>
      <c r="Z7454">
        <v>5.2293470000000002E-2</v>
      </c>
      <c r="AA7454">
        <v>0.88676949999999999</v>
      </c>
      <c r="AB7454">
        <v>22</v>
      </c>
      <c r="AC7454">
        <v>0.43119999999998898</v>
      </c>
      <c r="AD7454">
        <v>-6.5209000000000003E-2</v>
      </c>
      <c r="AE7454">
        <v>-0.66386999999999496</v>
      </c>
      <c r="AF7454">
        <v>-0.44727725340414398</v>
      </c>
      <c r="AG7454">
        <v>-6.5209000000000003E-2</v>
      </c>
      <c r="AH7454">
        <v>0.64666933779153202</v>
      </c>
      <c r="AI7454">
        <v>94.740886227291597</v>
      </c>
      <c r="AJ7454">
        <v>124.67017576158401</v>
      </c>
      <c r="AK7454">
        <v>0.78898060022632599</v>
      </c>
      <c r="AL7454">
        <v>83.170229185395499</v>
      </c>
      <c r="AM7454">
        <v>98.8918612331438</v>
      </c>
      <c r="AN7454">
        <v>1.0000000342876201</v>
      </c>
    </row>
    <row r="7455" spans="1:40" x14ac:dyDescent="0.25">
      <c r="A7455" t="str">
        <f>"20190303162102508"</f>
        <v>20190303162102508</v>
      </c>
      <c r="B7455" t="str">
        <f>"1551601262499814"</f>
        <v>1551601262499814</v>
      </c>
      <c r="C7455" t="s">
        <v>40</v>
      </c>
      <c r="D7455">
        <v>4.7016999999999998</v>
      </c>
      <c r="E7455">
        <v>0.36031580000000002</v>
      </c>
      <c r="F7455" t="s">
        <v>42</v>
      </c>
      <c r="G7455">
        <v>-422.02780000000001</v>
      </c>
      <c r="H7455">
        <v>1.057342</v>
      </c>
      <c r="I7455">
        <v>55.466090000000001</v>
      </c>
      <c r="J7455">
        <v>-422.46710000000002</v>
      </c>
      <c r="K7455">
        <v>1.12161</v>
      </c>
      <c r="L7455">
        <v>56.161869999999901</v>
      </c>
      <c r="M7455">
        <v>-2.89816E-2</v>
      </c>
      <c r="N7455">
        <v>-1.3596520000000001E-2</v>
      </c>
      <c r="O7455">
        <v>-0.99948749999999997</v>
      </c>
      <c r="P7455">
        <v>0.1267828</v>
      </c>
      <c r="Q7455">
        <v>0.105545899999999</v>
      </c>
      <c r="R7455">
        <v>-0.98629900000000004</v>
      </c>
      <c r="S7455">
        <v>1.4671019999999999</v>
      </c>
      <c r="T7455">
        <v>-0.21660579999999999</v>
      </c>
      <c r="U7455">
        <v>-2.8784480000000001</v>
      </c>
      <c r="V7455">
        <v>-0.15533129999999901</v>
      </c>
      <c r="W7455">
        <v>0.11887209999999999</v>
      </c>
      <c r="X7455">
        <v>0.98068429999999995</v>
      </c>
      <c r="Y7455">
        <v>-0.47885369999999999</v>
      </c>
      <c r="Z7455">
        <v>5.2707579999999997E-2</v>
      </c>
      <c r="AA7455">
        <v>0.87631099999999995</v>
      </c>
      <c r="AB7455">
        <v>21</v>
      </c>
      <c r="AC7455">
        <v>0.43930000000000202</v>
      </c>
      <c r="AD7455">
        <v>-6.4267999999999895E-2</v>
      </c>
      <c r="AE7455">
        <v>-0.69577999999999196</v>
      </c>
      <c r="AF7455">
        <v>-0.45649741493397</v>
      </c>
      <c r="AG7455">
        <v>-6.4267999999999895E-2</v>
      </c>
      <c r="AH7455">
        <v>0.67861523302091598</v>
      </c>
      <c r="AI7455">
        <v>94.493063342596301</v>
      </c>
      <c r="AJ7455">
        <v>123.92831171596499</v>
      </c>
      <c r="AK7455">
        <v>0.820389480767172</v>
      </c>
      <c r="AL7455">
        <v>83.172987545965597</v>
      </c>
      <c r="AM7455">
        <v>99.000351428539204</v>
      </c>
      <c r="AN7455">
        <v>1.0000000425922899</v>
      </c>
    </row>
    <row r="7456" spans="1:40" x14ac:dyDescent="0.25">
      <c r="A7456" t="str">
        <f>"20190303162102526"</f>
        <v>20190303162102526</v>
      </c>
      <c r="B7456" t="str">
        <f>"1551601262520309"</f>
        <v>1551601262520309</v>
      </c>
      <c r="C7456" t="s">
        <v>40</v>
      </c>
      <c r="D7456">
        <v>4.7048459999999999</v>
      </c>
      <c r="E7456">
        <v>0.35962880000000003</v>
      </c>
      <c r="F7456" t="s">
        <v>42</v>
      </c>
      <c r="G7456">
        <v>-422.01240000000001</v>
      </c>
      <c r="H7456">
        <v>1.0552269999999999</v>
      </c>
      <c r="I7456">
        <v>55.278419999999997</v>
      </c>
      <c r="J7456">
        <v>-422.47179999999997</v>
      </c>
      <c r="K7456">
        <v>1.121621</v>
      </c>
      <c r="L7456">
        <v>55.99615</v>
      </c>
      <c r="M7456">
        <v>-2.8882939999999999E-2</v>
      </c>
      <c r="N7456">
        <v>-1.359614E-2</v>
      </c>
      <c r="O7456">
        <v>-0.99949060000000001</v>
      </c>
      <c r="P7456">
        <v>0.13016269999999999</v>
      </c>
      <c r="Q7456">
        <v>0.105760199999999</v>
      </c>
      <c r="R7456">
        <v>-0.98583639999999995</v>
      </c>
      <c r="S7456">
        <v>1.4800719999999901</v>
      </c>
      <c r="T7456">
        <v>-0.2159972</v>
      </c>
      <c r="U7456">
        <v>-2.8745120000000002</v>
      </c>
      <c r="V7456">
        <v>-0.15860179999999999</v>
      </c>
      <c r="W7456">
        <v>0.11907420000000001</v>
      </c>
      <c r="X7456">
        <v>0.98013609999999896</v>
      </c>
      <c r="Y7456">
        <v>-0.48238409999999898</v>
      </c>
      <c r="Z7456">
        <v>5.2470250000000003E-2</v>
      </c>
      <c r="AA7456">
        <v>0.87438689999999997</v>
      </c>
      <c r="AB7456">
        <v>21</v>
      </c>
      <c r="AC7456">
        <v>0.45939999999995901</v>
      </c>
      <c r="AD7456">
        <v>-6.63939999999998E-2</v>
      </c>
      <c r="AE7456">
        <v>-0.71773000000000298</v>
      </c>
      <c r="AF7456">
        <v>-0.47704456028221398</v>
      </c>
      <c r="AG7456">
        <v>-6.63939999999998E-2</v>
      </c>
      <c r="AH7456">
        <v>0.69991178428762402</v>
      </c>
      <c r="AI7456">
        <v>94.481971986756704</v>
      </c>
      <c r="AJ7456">
        <v>124.277486498437</v>
      </c>
      <c r="AK7456">
        <v>0.84962119883836296</v>
      </c>
      <c r="AL7456">
        <v>83.161324843829505</v>
      </c>
      <c r="AM7456">
        <v>99.191705562887194</v>
      </c>
      <c r="AN7456">
        <v>0.99999998529604395</v>
      </c>
    </row>
    <row r="7457" spans="1:40" x14ac:dyDescent="0.25">
      <c r="A7457" t="str">
        <f>"20190303162102548"</f>
        <v>20190303162102548</v>
      </c>
      <c r="B7457" t="str">
        <f>"1551601262539828"</f>
        <v>1551601262539828</v>
      </c>
      <c r="C7457" t="s">
        <v>40</v>
      </c>
      <c r="D7457">
        <v>4.7282999999999999</v>
      </c>
      <c r="E7457">
        <v>0.35960950000000003</v>
      </c>
      <c r="F7457" t="s">
        <v>42</v>
      </c>
      <c r="G7457">
        <v>-421.99990000000003</v>
      </c>
      <c r="H7457">
        <v>1.0555410000000001</v>
      </c>
      <c r="I7457">
        <v>55.090449999999997</v>
      </c>
      <c r="J7457">
        <v>-422.47770000000003</v>
      </c>
      <c r="K7457">
        <v>1.1216520000000001</v>
      </c>
      <c r="L7457">
        <v>55.787379999999999</v>
      </c>
      <c r="M7457">
        <v>-2.8718480000000001E-2</v>
      </c>
      <c r="N7457">
        <v>-1.359549E-2</v>
      </c>
      <c r="O7457">
        <v>-0.99949509999999997</v>
      </c>
      <c r="P7457">
        <v>0.1333367</v>
      </c>
      <c r="Q7457">
        <v>0.1062125</v>
      </c>
      <c r="R7457">
        <v>-0.98536319999999999</v>
      </c>
      <c r="S7457">
        <v>1.4954529999999999</v>
      </c>
      <c r="T7457">
        <v>-0.20925840000000001</v>
      </c>
      <c r="U7457">
        <v>-2.8681030000000001</v>
      </c>
      <c r="V7457">
        <v>-0.1616071</v>
      </c>
      <c r="W7457">
        <v>0.1195079</v>
      </c>
      <c r="X7457">
        <v>0.97959229999999997</v>
      </c>
      <c r="Y7457">
        <v>-0.48677759999999998</v>
      </c>
      <c r="Z7457">
        <v>5.0384770000000002E-2</v>
      </c>
      <c r="AA7457">
        <v>0.87207169999999901</v>
      </c>
      <c r="AB7457">
        <v>21</v>
      </c>
      <c r="AC7457">
        <v>0.477800000000002</v>
      </c>
      <c r="AD7457">
        <v>-6.6111000000000003E-2</v>
      </c>
      <c r="AE7457">
        <v>-0.69693000000000804</v>
      </c>
      <c r="AF7457">
        <v>-0.494591943262989</v>
      </c>
      <c r="AG7457">
        <v>-6.6111000000000003E-2</v>
      </c>
      <c r="AH7457">
        <v>0.67876458275118201</v>
      </c>
      <c r="AI7457">
        <v>94.500923999420294</v>
      </c>
      <c r="AJ7457">
        <v>126.079510779885</v>
      </c>
      <c r="AK7457">
        <v>0.84244478362623099</v>
      </c>
      <c r="AL7457">
        <v>83.136297280657104</v>
      </c>
      <c r="AM7457">
        <v>99.367925766025493</v>
      </c>
      <c r="AN7457">
        <v>1.0000000335760499</v>
      </c>
    </row>
    <row r="7458" spans="1:40" x14ac:dyDescent="0.25">
      <c r="A7458" t="str">
        <f>"20190303162102571"</f>
        <v>20190303162102571</v>
      </c>
      <c r="B7458" t="str">
        <f>"1551601262560325"</f>
        <v>1551601262560325</v>
      </c>
      <c r="C7458" t="s">
        <v>40</v>
      </c>
      <c r="D7458">
        <v>4.7228149999999998</v>
      </c>
      <c r="E7458">
        <v>0.35997059999999997</v>
      </c>
      <c r="F7458" t="s">
        <v>42</v>
      </c>
      <c r="G7458">
        <v>-422.01029999999997</v>
      </c>
      <c r="H7458">
        <v>1.057626</v>
      </c>
      <c r="I7458">
        <v>54.89855</v>
      </c>
      <c r="J7458">
        <v>-422.48349999999999</v>
      </c>
      <c r="K7458">
        <v>1.1216950000000001</v>
      </c>
      <c r="L7458">
        <v>55.57526</v>
      </c>
      <c r="M7458">
        <v>-2.8493609999999999E-2</v>
      </c>
      <c r="N7458">
        <v>-1.3594729999999999E-2</v>
      </c>
      <c r="O7458">
        <v>-0.99950159999999999</v>
      </c>
      <c r="P7458">
        <v>0.1365529</v>
      </c>
      <c r="Q7458">
        <v>0.1067963</v>
      </c>
      <c r="R7458">
        <v>-0.98485959999999995</v>
      </c>
      <c r="S7458">
        <v>1.506073</v>
      </c>
      <c r="T7458">
        <v>-0.20623059999999999</v>
      </c>
      <c r="U7458">
        <v>-2.8630070000000001</v>
      </c>
      <c r="V7458">
        <v>-0.16459860000000001</v>
      </c>
      <c r="W7458">
        <v>0.1200674</v>
      </c>
      <c r="X7458">
        <v>0.97902560000000005</v>
      </c>
      <c r="Y7458">
        <v>-0.48977510000000002</v>
      </c>
      <c r="Z7458">
        <v>4.945459E-2</v>
      </c>
      <c r="AA7458">
        <v>0.87044509999999897</v>
      </c>
      <c r="AB7458">
        <v>21</v>
      </c>
      <c r="AC7458">
        <v>0.47320000000001899</v>
      </c>
      <c r="AD7458">
        <v>-6.4069000000000098E-2</v>
      </c>
      <c r="AE7458">
        <v>-0.67670999999999903</v>
      </c>
      <c r="AF7458">
        <v>-0.48934561270939703</v>
      </c>
      <c r="AG7458">
        <v>-6.4069000000000098E-2</v>
      </c>
      <c r="AH7458">
        <v>0.65898361582662501</v>
      </c>
      <c r="AI7458">
        <v>94.463254239812201</v>
      </c>
      <c r="AJ7458">
        <v>126.59670420457699</v>
      </c>
      <c r="AK7458">
        <v>0.82330029233984103</v>
      </c>
      <c r="AL7458">
        <v>83.104007578456802</v>
      </c>
      <c r="AM7458">
        <v>99.543596501433996</v>
      </c>
      <c r="AN7458">
        <v>1.00000000256004</v>
      </c>
    </row>
    <row r="7459" spans="1:40" x14ac:dyDescent="0.25">
      <c r="A7459" t="str">
        <f>"20190303162102594"</f>
        <v>20190303162102594</v>
      </c>
      <c r="B7459" t="str">
        <f>"1551601262590581"</f>
        <v>1551601262590581</v>
      </c>
      <c r="C7459" t="s">
        <v>40</v>
      </c>
      <c r="D7459">
        <v>4.7134869999999998</v>
      </c>
      <c r="E7459">
        <v>0.36045319999999997</v>
      </c>
      <c r="F7459" t="s">
        <v>42</v>
      </c>
      <c r="G7459">
        <v>-422.02390000000003</v>
      </c>
      <c r="H7459">
        <v>1.060395</v>
      </c>
      <c r="I7459">
        <v>54.706290000000003</v>
      </c>
      <c r="J7459">
        <v>-422.48950000000002</v>
      </c>
      <c r="K7459">
        <v>1.121748</v>
      </c>
      <c r="L7459">
        <v>55.352330000000002</v>
      </c>
      <c r="M7459">
        <v>-2.8182639999999998E-2</v>
      </c>
      <c r="N7459">
        <v>-1.3593869999999999E-2</v>
      </c>
      <c r="O7459">
        <v>-0.99951049999999997</v>
      </c>
      <c r="P7459">
        <v>0.1394012</v>
      </c>
      <c r="Q7459">
        <v>0.10750659999999999</v>
      </c>
      <c r="R7459">
        <v>-0.98438300000000001</v>
      </c>
      <c r="S7459">
        <v>1.512848</v>
      </c>
      <c r="T7459">
        <v>-0.20163149999999999</v>
      </c>
      <c r="U7459">
        <v>-2.858215</v>
      </c>
      <c r="V7459">
        <v>-0.1671424</v>
      </c>
      <c r="W7459">
        <v>0.1207486</v>
      </c>
      <c r="X7459">
        <v>0.97851069999999996</v>
      </c>
      <c r="Y7459">
        <v>-0.49175190000000002</v>
      </c>
      <c r="Z7459">
        <v>4.8076649999999999E-2</v>
      </c>
      <c r="AA7459">
        <v>0.86940709999999999</v>
      </c>
      <c r="AB7459">
        <v>21</v>
      </c>
      <c r="AC7459">
        <v>0.46559999999999402</v>
      </c>
      <c r="AD7459">
        <v>-6.1352999999999901E-2</v>
      </c>
      <c r="AE7459">
        <v>-0.64603999999999895</v>
      </c>
      <c r="AF7459">
        <v>-0.48077006513621701</v>
      </c>
      <c r="AG7459">
        <v>-6.1352999999999901E-2</v>
      </c>
      <c r="AH7459">
        <v>0.62892710916787098</v>
      </c>
      <c r="AI7459">
        <v>94.431646107290405</v>
      </c>
      <c r="AJ7459">
        <v>127.395341700678</v>
      </c>
      <c r="AK7459">
        <v>0.79401092863155098</v>
      </c>
      <c r="AL7459">
        <v>83.064691618573093</v>
      </c>
      <c r="AM7459">
        <v>99.6933152500457</v>
      </c>
      <c r="AN7459">
        <v>0.99999999814710505</v>
      </c>
    </row>
    <row r="7460" spans="1:40" x14ac:dyDescent="0.25">
      <c r="A7460" t="str">
        <f>"20190303162102615"</f>
        <v>20190303162102615</v>
      </c>
      <c r="B7460" t="str">
        <f>"1551601262610100"</f>
        <v>1551601262610100</v>
      </c>
      <c r="C7460" t="s">
        <v>40</v>
      </c>
      <c r="D7460">
        <v>4.7298780000000002</v>
      </c>
      <c r="E7460">
        <v>0.36070210000000003</v>
      </c>
      <c r="F7460" t="s">
        <v>42</v>
      </c>
      <c r="G7460">
        <v>-422.04309999999998</v>
      </c>
      <c r="H7460">
        <v>1.064298</v>
      </c>
      <c r="I7460">
        <v>54.512250000000002</v>
      </c>
      <c r="J7460">
        <v>-422.49489999999997</v>
      </c>
      <c r="K7460">
        <v>1.121807</v>
      </c>
      <c r="L7460">
        <v>55.145389999999999</v>
      </c>
      <c r="M7460">
        <v>-2.7814510000000001E-2</v>
      </c>
      <c r="N7460">
        <v>-1.3593010000000001E-2</v>
      </c>
      <c r="O7460">
        <v>-0.99952079999999999</v>
      </c>
      <c r="P7460">
        <v>0.14229700000000001</v>
      </c>
      <c r="Q7460">
        <v>0.1082621</v>
      </c>
      <c r="R7460">
        <v>-0.98388580000000003</v>
      </c>
      <c r="S7460">
        <v>1.51712</v>
      </c>
      <c r="T7460">
        <v>-0.19518179999999999</v>
      </c>
      <c r="U7460">
        <v>-2.8540649999999999</v>
      </c>
      <c r="V7460">
        <v>-0.169678</v>
      </c>
      <c r="W7460">
        <v>0.12147280000000001</v>
      </c>
      <c r="X7460">
        <v>0.97798450000000003</v>
      </c>
      <c r="Y7460">
        <v>-0.49301729999999999</v>
      </c>
      <c r="Z7460">
        <v>4.614497E-2</v>
      </c>
      <c r="AA7460">
        <v>0.86879490000000004</v>
      </c>
      <c r="AB7460">
        <v>21</v>
      </c>
      <c r="AC7460">
        <v>0.45179999999999099</v>
      </c>
      <c r="AD7460">
        <v>-5.7508999999999998E-2</v>
      </c>
      <c r="AE7460">
        <v>-0.63313999999999704</v>
      </c>
      <c r="AF7460">
        <v>-0.46668604681314702</v>
      </c>
      <c r="AG7460">
        <v>-5.7508999999999998E-2</v>
      </c>
      <c r="AH7460">
        <v>0.61695454460562604</v>
      </c>
      <c r="AI7460">
        <v>94.251616305414302</v>
      </c>
      <c r="AJ7460">
        <v>127.105138770561</v>
      </c>
      <c r="AK7460">
        <v>0.77571648266658499</v>
      </c>
      <c r="AL7460">
        <v>83.0228901423134</v>
      </c>
      <c r="AM7460">
        <v>99.842703045219807</v>
      </c>
      <c r="AN7460">
        <v>0.99999997353204395</v>
      </c>
    </row>
    <row r="7461" spans="1:40" x14ac:dyDescent="0.25">
      <c r="A7461" t="str">
        <f>"20190303162102637"</f>
        <v>20190303162102637</v>
      </c>
      <c r="B7461" t="str">
        <f>"1551601262629621"</f>
        <v>1551601262629621</v>
      </c>
      <c r="C7461" t="s">
        <v>40</v>
      </c>
      <c r="D7461">
        <v>4.7305449999999896</v>
      </c>
      <c r="E7461">
        <v>0.36092619999999997</v>
      </c>
      <c r="F7461" t="s">
        <v>42</v>
      </c>
      <c r="G7461">
        <v>-422.04090000000002</v>
      </c>
      <c r="H7461">
        <v>1.0645230000000001</v>
      </c>
      <c r="I7461">
        <v>54.295299999999997</v>
      </c>
      <c r="J7461">
        <v>-422.50020000000001</v>
      </c>
      <c r="K7461">
        <v>1.121864</v>
      </c>
      <c r="L7461">
        <v>54.936860000000003</v>
      </c>
      <c r="M7461">
        <v>-2.7359410000000001E-2</v>
      </c>
      <c r="N7461">
        <v>-1.3592099999999999E-2</v>
      </c>
      <c r="O7461">
        <v>-0.99953349999999996</v>
      </c>
      <c r="P7461">
        <v>0.14527229999999999</v>
      </c>
      <c r="Q7461">
        <v>0.10891629999999999</v>
      </c>
      <c r="R7461">
        <v>-0.9833788</v>
      </c>
      <c r="S7461">
        <v>1.523102</v>
      </c>
      <c r="T7461">
        <v>-0.19204740000000001</v>
      </c>
      <c r="U7461">
        <v>-2.8499759999999998</v>
      </c>
      <c r="V7461">
        <v>-0.172209</v>
      </c>
      <c r="W7461">
        <v>0.1220952</v>
      </c>
      <c r="X7461">
        <v>0.97746449999999996</v>
      </c>
      <c r="Y7461">
        <v>-0.4945792</v>
      </c>
      <c r="Z7461">
        <v>4.5209890000000003E-2</v>
      </c>
      <c r="AA7461">
        <v>0.8679559</v>
      </c>
      <c r="AB7461">
        <v>21</v>
      </c>
      <c r="AC7461">
        <v>0.459299999999984</v>
      </c>
      <c r="AD7461">
        <v>-5.7341000000000003E-2</v>
      </c>
      <c r="AE7461">
        <v>-0.64155999999999802</v>
      </c>
      <c r="AF7461">
        <v>-0.47417801243531399</v>
      </c>
      <c r="AG7461">
        <v>-5.7341000000000003E-2</v>
      </c>
      <c r="AH7461">
        <v>0.62544918824432505</v>
      </c>
      <c r="AI7461">
        <v>94.178453382526101</v>
      </c>
      <c r="AJ7461">
        <v>127.167219312132</v>
      </c>
      <c r="AK7461">
        <v>0.78696852848992005</v>
      </c>
      <c r="AL7461">
        <v>82.986962098913907</v>
      </c>
      <c r="AM7461">
        <v>99.991792809118607</v>
      </c>
      <c r="AN7461">
        <v>1.00000001315214</v>
      </c>
    </row>
    <row r="7462" spans="1:40" x14ac:dyDescent="0.25">
      <c r="A7462" t="str">
        <f>"20190303162102659"</f>
        <v>20190303162102659</v>
      </c>
      <c r="B7462" t="str">
        <f>"1551601262650117"</f>
        <v>1551601262650117</v>
      </c>
      <c r="C7462" t="s">
        <v>40</v>
      </c>
      <c r="D7462">
        <v>4.7004000000000001</v>
      </c>
      <c r="E7462">
        <v>0.36100520000000003</v>
      </c>
      <c r="F7462" t="s">
        <v>42</v>
      </c>
      <c r="G7462">
        <v>-422.03769999999997</v>
      </c>
      <c r="H7462">
        <v>1.0642320000000001</v>
      </c>
      <c r="I7462">
        <v>54.075530000000001</v>
      </c>
      <c r="J7462">
        <v>-422.50529999999998</v>
      </c>
      <c r="K7462">
        <v>1.1219220000000001</v>
      </c>
      <c r="L7462">
        <v>54.726680000000002</v>
      </c>
      <c r="M7462">
        <v>-2.6818439999999999E-2</v>
      </c>
      <c r="N7462">
        <v>-1.359115E-2</v>
      </c>
      <c r="O7462">
        <v>-0.9995482</v>
      </c>
      <c r="P7462">
        <v>0.14740729999999999</v>
      </c>
      <c r="Q7462">
        <v>0.109941899999999</v>
      </c>
      <c r="R7462">
        <v>-0.98294689999999996</v>
      </c>
      <c r="S7462">
        <v>1.528381</v>
      </c>
      <c r="T7462">
        <v>-0.19042870000000001</v>
      </c>
      <c r="U7462">
        <v>-2.8460079999999999</v>
      </c>
      <c r="V7462">
        <v>-0.17381849999999999</v>
      </c>
      <c r="W7462">
        <v>0.1230909</v>
      </c>
      <c r="X7462">
        <v>0.97705469999999905</v>
      </c>
      <c r="Y7462">
        <v>-0.4958727</v>
      </c>
      <c r="Z7462">
        <v>4.4743570000000003E-2</v>
      </c>
      <c r="AA7462">
        <v>0.86724179999999995</v>
      </c>
      <c r="AB7462">
        <v>21</v>
      </c>
      <c r="AC7462">
        <v>0.46760000000000401</v>
      </c>
      <c r="AD7462">
        <v>-5.7689999999999797E-2</v>
      </c>
      <c r="AE7462">
        <v>-0.65114999999999401</v>
      </c>
      <c r="AF7462">
        <v>-0.48239797549813701</v>
      </c>
      <c r="AG7462">
        <v>-5.7689999999999797E-2</v>
      </c>
      <c r="AH7462">
        <v>0.63508531399545198</v>
      </c>
      <c r="AI7462">
        <v>94.137373976884206</v>
      </c>
      <c r="AJ7462">
        <v>127.21956991799</v>
      </c>
      <c r="AK7462">
        <v>0.79960571466029595</v>
      </c>
      <c r="AL7462">
        <v>82.929479455808902</v>
      </c>
      <c r="AM7462">
        <v>100.087412770705</v>
      </c>
      <c r="AN7462">
        <v>1.00000006369857</v>
      </c>
    </row>
    <row r="7463" spans="1:40" x14ac:dyDescent="0.25">
      <c r="A7463" t="str">
        <f>"20190303162102682"</f>
        <v>20190303162102682</v>
      </c>
      <c r="B7463" t="str">
        <f>"1551601262669638"</f>
        <v>1551601262669638</v>
      </c>
      <c r="C7463" t="s">
        <v>40</v>
      </c>
      <c r="D7463">
        <v>4.6650729999999996</v>
      </c>
      <c r="E7463">
        <v>0.36101749999999999</v>
      </c>
      <c r="F7463" t="s">
        <v>42</v>
      </c>
      <c r="G7463">
        <v>-422.03800000000001</v>
      </c>
      <c r="H7463">
        <v>1.063974</v>
      </c>
      <c r="I7463">
        <v>53.859160000000003</v>
      </c>
      <c r="J7463">
        <v>-422.5104</v>
      </c>
      <c r="K7463">
        <v>1.121972</v>
      </c>
      <c r="L7463">
        <v>54.513280000000002</v>
      </c>
      <c r="M7463">
        <v>-2.6198510000000001E-2</v>
      </c>
      <c r="N7463">
        <v>-1.3590059999999999E-2</v>
      </c>
      <c r="O7463">
        <v>-0.99956449999999997</v>
      </c>
      <c r="P7463">
        <v>0.14956749999999999</v>
      </c>
      <c r="Q7463">
        <v>0.109597</v>
      </c>
      <c r="R7463">
        <v>-0.98265899999999995</v>
      </c>
      <c r="S7463">
        <v>1.532837</v>
      </c>
      <c r="T7463">
        <v>-0.1899303</v>
      </c>
      <c r="U7463">
        <v>-2.8434140000000001</v>
      </c>
      <c r="V7463">
        <v>-0.17537649999999999</v>
      </c>
      <c r="W7463">
        <v>0.1227208</v>
      </c>
      <c r="X7463">
        <v>0.97682270000000004</v>
      </c>
      <c r="Y7463">
        <v>-0.49672050000000001</v>
      </c>
      <c r="Z7463">
        <v>4.4606989999999999E-2</v>
      </c>
      <c r="AA7463">
        <v>0.86676350000000002</v>
      </c>
      <c r="AB7463">
        <v>21</v>
      </c>
      <c r="AC7463">
        <v>0.47239999999999299</v>
      </c>
      <c r="AD7463">
        <v>-5.7998000000000001E-2</v>
      </c>
      <c r="AE7463">
        <v>-0.65412000000000503</v>
      </c>
      <c r="AF7463">
        <v>-0.48686085960106201</v>
      </c>
      <c r="AG7463">
        <v>-5.7998000000000001E-2</v>
      </c>
      <c r="AH7463">
        <v>0.63822056114482095</v>
      </c>
      <c r="AI7463">
        <v>94.132545943408999</v>
      </c>
      <c r="AJ7463">
        <v>127.33787594381</v>
      </c>
      <c r="AK7463">
        <v>0.80481224474003499</v>
      </c>
      <c r="AL7463">
        <v>82.950845811239802</v>
      </c>
      <c r="AM7463">
        <v>100.178315039973</v>
      </c>
      <c r="AN7463">
        <v>0.99999994937008796</v>
      </c>
    </row>
    <row r="7464" spans="1:40" x14ac:dyDescent="0.25">
      <c r="A7464" t="str">
        <f>"20190303162102700"</f>
        <v>20190303162102700</v>
      </c>
      <c r="B7464" t="str">
        <f>"1551601262690133"</f>
        <v>1551601262690133</v>
      </c>
      <c r="C7464" t="s">
        <v>40</v>
      </c>
      <c r="D7464">
        <v>4.6666059999999998</v>
      </c>
      <c r="E7464">
        <v>0.3611608</v>
      </c>
      <c r="F7464" t="s">
        <v>42</v>
      </c>
      <c r="G7464">
        <v>-422.05329999999998</v>
      </c>
      <c r="H7464">
        <v>1.0640339999999999</v>
      </c>
      <c r="I7464">
        <v>53.669240000000002</v>
      </c>
      <c r="J7464">
        <v>-422.51420000000002</v>
      </c>
      <c r="K7464">
        <v>1.121996</v>
      </c>
      <c r="L7464">
        <v>54.343719999999998</v>
      </c>
      <c r="M7464">
        <v>-2.56651E-2</v>
      </c>
      <c r="N7464">
        <v>-1.35891E-2</v>
      </c>
      <c r="O7464">
        <v>-0.99957839999999998</v>
      </c>
      <c r="P7464">
        <v>0.1509124</v>
      </c>
      <c r="Q7464">
        <v>0.108845899999999</v>
      </c>
      <c r="R7464">
        <v>-0.98253670000000004</v>
      </c>
      <c r="S7464">
        <v>1.537598</v>
      </c>
      <c r="T7464">
        <v>-0.19499530000000001</v>
      </c>
      <c r="U7464">
        <v>-2.840668</v>
      </c>
      <c r="V7464">
        <v>-0.1762022</v>
      </c>
      <c r="W7464">
        <v>0.1219565</v>
      </c>
      <c r="X7464">
        <v>0.97676989999999997</v>
      </c>
      <c r="Y7464">
        <v>-0.49769200000000002</v>
      </c>
      <c r="Z7464">
        <v>4.6170259999999998E-2</v>
      </c>
      <c r="AA7464">
        <v>0.86612409999999995</v>
      </c>
      <c r="AB7464">
        <v>21</v>
      </c>
      <c r="AC7464">
        <v>0.460900000000037</v>
      </c>
      <c r="AD7464">
        <v>-5.7962E-2</v>
      </c>
      <c r="AE7464">
        <v>-0.67447999999999497</v>
      </c>
      <c r="AF7464">
        <v>-0.475665739142693</v>
      </c>
      <c r="AG7464">
        <v>-5.7962E-2</v>
      </c>
      <c r="AH7464">
        <v>0.65910954963204105</v>
      </c>
      <c r="AI7464">
        <v>94.078822591451996</v>
      </c>
      <c r="AJ7464">
        <v>125.817205225601</v>
      </c>
      <c r="AK7464">
        <v>0.81488826673005699</v>
      </c>
      <c r="AL7464">
        <v>82.994968909323504</v>
      </c>
      <c r="AM7464">
        <v>100.225768456446</v>
      </c>
      <c r="AN7464">
        <v>1.00000002036154</v>
      </c>
    </row>
    <row r="7465" spans="1:40" x14ac:dyDescent="0.25">
      <c r="A7465" t="str">
        <f>"20190303162102715"</f>
        <v>20190303162102715</v>
      </c>
      <c r="B7465" t="str">
        <f>"1551601262709654"</f>
        <v>1551601262709654</v>
      </c>
      <c r="C7465" t="s">
        <v>40</v>
      </c>
      <c r="D7465">
        <v>4.6469389999999997</v>
      </c>
      <c r="E7465">
        <v>0.36131609999999997</v>
      </c>
      <c r="F7465" t="s">
        <v>42</v>
      </c>
      <c r="G7465">
        <v>-422.0752</v>
      </c>
      <c r="H7465">
        <v>1.0647819999999999</v>
      </c>
      <c r="I7465">
        <v>53.532980000000002</v>
      </c>
      <c r="J7465">
        <v>-422.51749999999998</v>
      </c>
      <c r="K7465">
        <v>1.1220129999999999</v>
      </c>
      <c r="L7465">
        <v>54.192779999999999</v>
      </c>
      <c r="M7465">
        <v>-2.5172190000000001E-2</v>
      </c>
      <c r="N7465">
        <v>-1.358814E-2</v>
      </c>
      <c r="O7465">
        <v>-0.99959089999999995</v>
      </c>
      <c r="P7465">
        <v>0.152594799999999</v>
      </c>
      <c r="Q7465">
        <v>0.10838589999999999</v>
      </c>
      <c r="R7465">
        <v>-0.98232739999999996</v>
      </c>
      <c r="S7465">
        <v>1.5386959999999901</v>
      </c>
      <c r="T7465">
        <v>-0.20035929999999999</v>
      </c>
      <c r="U7465">
        <v>-2.839172</v>
      </c>
      <c r="V7465">
        <v>-0.1774</v>
      </c>
      <c r="W7465">
        <v>0.1214861</v>
      </c>
      <c r="X7465">
        <v>0.97661169999999997</v>
      </c>
      <c r="Y7465">
        <v>-0.49767169999999999</v>
      </c>
      <c r="Z7465">
        <v>4.7837629999999999E-2</v>
      </c>
      <c r="AA7465">
        <v>0.86604530000000002</v>
      </c>
      <c r="AB7465">
        <v>21</v>
      </c>
      <c r="AC7465">
        <v>0.44229999999998798</v>
      </c>
      <c r="AD7465">
        <v>-5.7230999999999997E-2</v>
      </c>
      <c r="AE7465">
        <v>-0.65980000000000405</v>
      </c>
      <c r="AF7465">
        <v>-0.45640075524413598</v>
      </c>
      <c r="AG7465">
        <v>-5.7230999999999997E-2</v>
      </c>
      <c r="AH7465">
        <v>0.64510740458125804</v>
      </c>
      <c r="AI7465">
        <v>94.142306734920197</v>
      </c>
      <c r="AJ7465">
        <v>125.278653065732</v>
      </c>
      <c r="AK7465">
        <v>0.79230082682904301</v>
      </c>
      <c r="AL7465">
        <v>83.022122766290394</v>
      </c>
      <c r="AM7465">
        <v>100.295432379715</v>
      </c>
      <c r="AN7465">
        <v>1.0000000225350401</v>
      </c>
    </row>
    <row r="7466" spans="1:40" x14ac:dyDescent="0.25">
      <c r="A7466" t="str">
        <f>"20190303162102729"</f>
        <v>20190303162102729</v>
      </c>
      <c r="B7466" t="str">
        <f>"1551601262720389"</f>
        <v>1551601262720389</v>
      </c>
      <c r="C7466" t="s">
        <v>40</v>
      </c>
      <c r="D7466">
        <v>4.6243189999999998</v>
      </c>
      <c r="E7466">
        <v>0.36135319999999999</v>
      </c>
      <c r="F7466" t="s">
        <v>42</v>
      </c>
      <c r="G7466">
        <v>-422.07330000000002</v>
      </c>
      <c r="H7466">
        <v>1.0635410000000001</v>
      </c>
      <c r="I7466">
        <v>53.375489999999999</v>
      </c>
      <c r="J7466">
        <v>-422.52010000000001</v>
      </c>
      <c r="K7466">
        <v>1.122018</v>
      </c>
      <c r="L7466">
        <v>54.07141</v>
      </c>
      <c r="M7466">
        <v>-2.4768930000000002E-2</v>
      </c>
      <c r="N7466">
        <v>-1.358731E-2</v>
      </c>
      <c r="O7466">
        <v>-0.99960110000000002</v>
      </c>
      <c r="P7466">
        <v>0.1555657</v>
      </c>
      <c r="Q7466">
        <v>0.1080414</v>
      </c>
      <c r="R7466">
        <v>-0.98189990000000005</v>
      </c>
      <c r="S7466">
        <v>1.541809</v>
      </c>
      <c r="T7466">
        <v>-0.2029581</v>
      </c>
      <c r="U7466">
        <v>-2.8368530000000001</v>
      </c>
      <c r="V7466">
        <v>-0.17996670000000001</v>
      </c>
      <c r="W7466">
        <v>0.12112970000000001</v>
      </c>
      <c r="X7466">
        <v>0.9761862</v>
      </c>
      <c r="Y7466">
        <v>-0.49833060000000001</v>
      </c>
      <c r="Z7466">
        <v>4.8652149999999998E-2</v>
      </c>
      <c r="AA7466">
        <v>0.86562099999999897</v>
      </c>
      <c r="AB7466">
        <v>21</v>
      </c>
      <c r="AC7466">
        <v>0.44679999999999598</v>
      </c>
      <c r="AD7466">
        <v>-5.84769999999998E-2</v>
      </c>
      <c r="AE7466">
        <v>-0.69592000000000098</v>
      </c>
      <c r="AF7466">
        <v>-0.46159378747983199</v>
      </c>
      <c r="AG7466">
        <v>-5.84769999999998E-2</v>
      </c>
      <c r="AH7466">
        <v>0.68123262881541202</v>
      </c>
      <c r="AI7466">
        <v>94.064778329137994</v>
      </c>
      <c r="AJ7466">
        <v>124.12102265550899</v>
      </c>
      <c r="AK7466">
        <v>0.82496441058492498</v>
      </c>
      <c r="AL7466">
        <v>83.042694451729304</v>
      </c>
      <c r="AM7466">
        <v>100.44558866394399</v>
      </c>
      <c r="AN7466">
        <v>0.999999957200709</v>
      </c>
    </row>
    <row r="7467" spans="1:40" x14ac:dyDescent="0.25">
      <c r="A7467" t="str">
        <f>"20190303162102744"</f>
        <v>20190303162102744</v>
      </c>
      <c r="B7467" t="str">
        <f>"1551601262739909"</f>
        <v>1551601262739909</v>
      </c>
      <c r="C7467" t="s">
        <v>40</v>
      </c>
      <c r="D7467">
        <v>4.638579</v>
      </c>
      <c r="E7467">
        <v>0.36167339999999998</v>
      </c>
      <c r="F7467" t="s">
        <v>42</v>
      </c>
      <c r="G7467">
        <v>-422.0412</v>
      </c>
      <c r="H7467">
        <v>1.05803799999999</v>
      </c>
      <c r="I7467">
        <v>53.19491</v>
      </c>
      <c r="J7467">
        <v>-422.52330000000001</v>
      </c>
      <c r="K7467">
        <v>1.1220129999999999</v>
      </c>
      <c r="L7467">
        <v>53.9238</v>
      </c>
      <c r="M7467">
        <v>-2.427232E-2</v>
      </c>
      <c r="N7467">
        <v>-1.3586239999999999E-2</v>
      </c>
      <c r="O7467">
        <v>-0.99961330000000004</v>
      </c>
      <c r="P7467">
        <v>0.1577151</v>
      </c>
      <c r="Q7467">
        <v>0.108373499999999</v>
      </c>
      <c r="R7467">
        <v>-0.98152010000000001</v>
      </c>
      <c r="S7467">
        <v>1.5486150000000001</v>
      </c>
      <c r="T7467">
        <v>-0.2067745</v>
      </c>
      <c r="U7467">
        <v>-2.832703</v>
      </c>
      <c r="V7467">
        <v>-0.18162149999999999</v>
      </c>
      <c r="W7467">
        <v>0.1214534</v>
      </c>
      <c r="X7467">
        <v>0.97583949999999997</v>
      </c>
      <c r="Y7467">
        <v>-0.50000080000000002</v>
      </c>
      <c r="Z7467">
        <v>4.9837510000000002E-2</v>
      </c>
      <c r="AA7467">
        <v>0.86458979999999996</v>
      </c>
      <c r="AB7467">
        <v>21</v>
      </c>
      <c r="AC7467">
        <v>0.48210000000000203</v>
      </c>
      <c r="AD7467">
        <v>-6.3975000000000101E-2</v>
      </c>
      <c r="AE7467">
        <v>-0.72888999999999904</v>
      </c>
      <c r="AF7467">
        <v>-0.49698797846598503</v>
      </c>
      <c r="AG7467">
        <v>-6.3975000000000101E-2</v>
      </c>
      <c r="AH7467">
        <v>0.71315056267350596</v>
      </c>
      <c r="AI7467">
        <v>94.209302673431097</v>
      </c>
      <c r="AJ7467">
        <v>124.872280978501</v>
      </c>
      <c r="AK7467">
        <v>0.87159255183040996</v>
      </c>
      <c r="AL7467">
        <v>83.024010253324803</v>
      </c>
      <c r="AM7467">
        <v>100.543154200652</v>
      </c>
      <c r="AN7467">
        <v>1.00000001369703</v>
      </c>
    </row>
    <row r="7468" spans="1:40" x14ac:dyDescent="0.25">
      <c r="A7468" t="str">
        <f>"20190303162102761"</f>
        <v>20190303162102761</v>
      </c>
      <c r="B7468" t="str">
        <f>"1551601262749669"</f>
        <v>1551601262749669</v>
      </c>
      <c r="C7468" t="s">
        <v>40</v>
      </c>
      <c r="D7468">
        <v>4.6285069999999999</v>
      </c>
      <c r="E7468">
        <v>0.36173660000000002</v>
      </c>
      <c r="F7468" t="s">
        <v>42</v>
      </c>
      <c r="G7468">
        <v>-422.09010000000001</v>
      </c>
      <c r="H7468">
        <v>1.064503</v>
      </c>
      <c r="I7468">
        <v>53.1333699999999</v>
      </c>
      <c r="J7468">
        <v>-422.52629999999999</v>
      </c>
      <c r="K7468">
        <v>1.12201</v>
      </c>
      <c r="L7468">
        <v>53.771479999999997</v>
      </c>
      <c r="M7468">
        <v>-2.375963E-2</v>
      </c>
      <c r="N7468">
        <v>-1.358503E-2</v>
      </c>
      <c r="O7468">
        <v>-0.9996254</v>
      </c>
      <c r="P7468">
        <v>0.161465</v>
      </c>
      <c r="Q7468">
        <v>0.1086786</v>
      </c>
      <c r="R7468">
        <v>-0.98087619999999998</v>
      </c>
      <c r="S7468">
        <v>1.5515749999999999</v>
      </c>
      <c r="T7468">
        <v>-0.20590049999999999</v>
      </c>
      <c r="U7468">
        <v>-2.829895</v>
      </c>
      <c r="V7468">
        <v>-0.18485280000000001</v>
      </c>
      <c r="W7468">
        <v>0.1217473</v>
      </c>
      <c r="X7468">
        <v>0.9751959</v>
      </c>
      <c r="Y7468">
        <v>-0.50061959999999905</v>
      </c>
      <c r="Z7468">
        <v>4.9602149999999998E-2</v>
      </c>
      <c r="AA7468">
        <v>0.86424519999999905</v>
      </c>
      <c r="AB7468">
        <v>21</v>
      </c>
      <c r="AC7468">
        <v>0.43619999999998499</v>
      </c>
      <c r="AD7468">
        <v>-5.7506999999999898E-2</v>
      </c>
      <c r="AE7468">
        <v>-0.63811000000001095</v>
      </c>
      <c r="AF7468">
        <v>-0.448755525699716</v>
      </c>
      <c r="AG7468">
        <v>-5.7506999999999898E-2</v>
      </c>
      <c r="AH7468">
        <v>0.62411032170776404</v>
      </c>
      <c r="AI7468">
        <v>94.278384997333902</v>
      </c>
      <c r="AJ7468">
        <v>125.717357763371</v>
      </c>
      <c r="AK7468">
        <v>0.77084516639672696</v>
      </c>
      <c r="AL7468">
        <v>83.0070450533063</v>
      </c>
      <c r="AM7468">
        <v>100.733330795684</v>
      </c>
      <c r="AN7468">
        <v>1.0000000030509699</v>
      </c>
    </row>
    <row r="7469" spans="1:40" x14ac:dyDescent="0.25">
      <c r="A7469" t="str">
        <f>"20190303162102776"</f>
        <v>20190303162102776</v>
      </c>
      <c r="B7469" t="str">
        <f>"1551601262770165"</f>
        <v>1551601262770165</v>
      </c>
      <c r="C7469" t="s">
        <v>40</v>
      </c>
      <c r="D7469">
        <v>4.5893990000000002</v>
      </c>
      <c r="E7469">
        <v>0.3618014</v>
      </c>
      <c r="F7469" t="s">
        <v>42</v>
      </c>
      <c r="G7469">
        <v>-422.09519999999998</v>
      </c>
      <c r="H7469">
        <v>1.065118</v>
      </c>
      <c r="I7469">
        <v>52.991570000000003</v>
      </c>
      <c r="J7469">
        <v>-422.52929999999998</v>
      </c>
      <c r="K7469">
        <v>1.1220049999999999</v>
      </c>
      <c r="L7469">
        <v>53.618870000000001</v>
      </c>
      <c r="M7469">
        <v>-2.3250369999999999E-2</v>
      </c>
      <c r="N7469">
        <v>-1.3583720000000001E-2</v>
      </c>
      <c r="O7469">
        <v>-0.99963740000000001</v>
      </c>
      <c r="P7469">
        <v>0.1632547</v>
      </c>
      <c r="Q7469">
        <v>0.1084939</v>
      </c>
      <c r="R7469">
        <v>-0.98060020000000003</v>
      </c>
      <c r="S7469">
        <v>1.5611269999999999</v>
      </c>
      <c r="T7469">
        <v>-0.20602200000000001</v>
      </c>
      <c r="U7469">
        <v>-2.824341</v>
      </c>
      <c r="V7469">
        <v>-0.1861353</v>
      </c>
      <c r="W7469">
        <v>0.1215599</v>
      </c>
      <c r="X7469">
        <v>0.97497529999999999</v>
      </c>
      <c r="Y7469">
        <v>-0.50313220000000003</v>
      </c>
      <c r="Z7469">
        <v>4.9654120000000003E-2</v>
      </c>
      <c r="AA7469">
        <v>0.86278180000000004</v>
      </c>
      <c r="AB7469">
        <v>21</v>
      </c>
      <c r="AC7469">
        <v>0.43409999999999999</v>
      </c>
      <c r="AD7469">
        <v>-5.6886999999999903E-2</v>
      </c>
      <c r="AE7469">
        <v>-0.62729999999999797</v>
      </c>
      <c r="AF7469">
        <v>-0.446088298624636</v>
      </c>
      <c r="AG7469">
        <v>-5.6886999999999903E-2</v>
      </c>
      <c r="AH7469">
        <v>0.61362419913347699</v>
      </c>
      <c r="AI7469">
        <v>94.288346588169603</v>
      </c>
      <c r="AJ7469">
        <v>126.01614414557601</v>
      </c>
      <c r="AK7469">
        <v>0.76076642847921605</v>
      </c>
      <c r="AL7469">
        <v>83.017862588999293</v>
      </c>
      <c r="AM7469">
        <v>100.808437997868</v>
      </c>
      <c r="AN7469">
        <v>0.999999997402095</v>
      </c>
    </row>
    <row r="7470" spans="1:40" x14ac:dyDescent="0.25">
      <c r="A7470" t="str">
        <f>"20190303162102794"</f>
        <v>20190303162102794</v>
      </c>
      <c r="B7470" t="str">
        <f>"1551601262789685"</f>
        <v>1551601262789685</v>
      </c>
      <c r="C7470" t="s">
        <v>40</v>
      </c>
      <c r="D7470">
        <v>4.6961570000000004</v>
      </c>
      <c r="E7470">
        <v>0.36223460000000002</v>
      </c>
      <c r="F7470" t="s">
        <v>42</v>
      </c>
      <c r="G7470">
        <v>-422.08150000000001</v>
      </c>
      <c r="H7470">
        <v>1.063029</v>
      </c>
      <c r="I7470">
        <v>52.811549999999997</v>
      </c>
      <c r="J7470">
        <v>-422.53250000000003</v>
      </c>
      <c r="K7470">
        <v>1.121988</v>
      </c>
      <c r="L7470">
        <v>53.456180000000003</v>
      </c>
      <c r="M7470">
        <v>-2.2715590000000001E-2</v>
      </c>
      <c r="N7470">
        <v>-1.358229E-2</v>
      </c>
      <c r="O7470">
        <v>-0.99964989999999998</v>
      </c>
      <c r="P7470">
        <v>0.1666665</v>
      </c>
      <c r="Q7470">
        <v>0.1075735</v>
      </c>
      <c r="R7470">
        <v>-0.9801282</v>
      </c>
      <c r="S7470">
        <v>1.5657650000000001</v>
      </c>
      <c r="T7470">
        <v>-0.2061133</v>
      </c>
      <c r="U7470">
        <v>-2.821472</v>
      </c>
      <c r="V7470">
        <v>-0.18900910000000001</v>
      </c>
      <c r="W7470">
        <v>0.12063359999999999</v>
      </c>
      <c r="X7470">
        <v>0.9745374</v>
      </c>
      <c r="Y7470">
        <v>-0.50412449999999998</v>
      </c>
      <c r="Z7470">
        <v>4.9699350000000003E-2</v>
      </c>
      <c r="AA7470">
        <v>0.86219979999999996</v>
      </c>
      <c r="AB7470">
        <v>21</v>
      </c>
      <c r="AC7470">
        <v>0.451000000000021</v>
      </c>
      <c r="AD7470">
        <v>-5.89589999999999E-2</v>
      </c>
      <c r="AE7470">
        <v>-0.64463000000000603</v>
      </c>
      <c r="AF7470">
        <v>-0.46292819005082803</v>
      </c>
      <c r="AG7470">
        <v>-5.89589999999999E-2</v>
      </c>
      <c r="AH7470">
        <v>0.63067593402078503</v>
      </c>
      <c r="AI7470">
        <v>94.309803482311096</v>
      </c>
      <c r="AJ7470">
        <v>126.279380742732</v>
      </c>
      <c r="AK7470">
        <v>0.78455771398777596</v>
      </c>
      <c r="AL7470">
        <v>83.071329337502405</v>
      </c>
      <c r="AM7470">
        <v>100.976103210958</v>
      </c>
      <c r="AN7470">
        <v>1.0000000246652601</v>
      </c>
    </row>
    <row r="7471" spans="1:40" x14ac:dyDescent="0.25">
      <c r="A7471" t="str">
        <f>"20190303162102817"</f>
        <v>20190303162102817</v>
      </c>
      <c r="B7471" t="str">
        <f>"1551601262810180"</f>
        <v>1551601262810180</v>
      </c>
      <c r="C7471" t="s">
        <v>40</v>
      </c>
      <c r="D7471">
        <v>4.7256260000000001</v>
      </c>
      <c r="E7471">
        <v>0.384774</v>
      </c>
      <c r="F7471" t="s">
        <v>42</v>
      </c>
      <c r="G7471">
        <v>-422.06990000000002</v>
      </c>
      <c r="H7471">
        <v>1.0610980000000001</v>
      </c>
      <c r="I7471">
        <v>52.627749999999999</v>
      </c>
      <c r="J7471">
        <v>-422.53660000000002</v>
      </c>
      <c r="K7471">
        <v>1.1219709999999901</v>
      </c>
      <c r="L7471">
        <v>53.238069999999901</v>
      </c>
      <c r="M7471">
        <v>-2.2015090000000001E-2</v>
      </c>
      <c r="N7471">
        <v>-1.358033E-2</v>
      </c>
      <c r="O7471">
        <v>-0.99966560000000004</v>
      </c>
      <c r="P7471">
        <v>0.17047119999999999</v>
      </c>
      <c r="Q7471">
        <v>0.106555399999999</v>
      </c>
      <c r="R7471">
        <v>-0.97958460000000003</v>
      </c>
      <c r="S7471">
        <v>1.572479</v>
      </c>
      <c r="T7471">
        <v>-0.20699200000000001</v>
      </c>
      <c r="U7471">
        <v>-2.8161619999999998</v>
      </c>
      <c r="V7471">
        <v>-0.19211210000000001</v>
      </c>
      <c r="W7471">
        <v>0.1196106</v>
      </c>
      <c r="X7471">
        <v>0.97405660000000005</v>
      </c>
      <c r="Y7471">
        <v>-0.50576730000000003</v>
      </c>
      <c r="Z7471">
        <v>5.0011269999999997E-2</v>
      </c>
      <c r="AA7471">
        <v>0.86121909999999902</v>
      </c>
      <c r="AB7471">
        <v>21</v>
      </c>
      <c r="AC7471">
        <v>0.466700000000003</v>
      </c>
      <c r="AD7471">
        <v>-6.0872999999999899E-2</v>
      </c>
      <c r="AE7471">
        <v>-0.61031999999999398</v>
      </c>
      <c r="AF7471">
        <v>-0.47702986680380499</v>
      </c>
      <c r="AG7471">
        <v>-6.0872999999999899E-2</v>
      </c>
      <c r="AH7471">
        <v>0.59615439065327103</v>
      </c>
      <c r="AI7471">
        <v>94.558387183336507</v>
      </c>
      <c r="AJ7471">
        <v>128.666040394361</v>
      </c>
      <c r="AK7471">
        <v>0.76593934057928503</v>
      </c>
      <c r="AL7471">
        <v>83.130370310473396</v>
      </c>
      <c r="AM7471">
        <v>101.157185064411</v>
      </c>
      <c r="AN7471">
        <v>1.0000000073011599</v>
      </c>
    </row>
    <row r="7472" spans="1:40" x14ac:dyDescent="0.25">
      <c r="A7472" t="str">
        <f>"20190303162102839"</f>
        <v>20190303162102839</v>
      </c>
      <c r="B7472" t="str">
        <f>"1551601262829701"</f>
        <v>1551601262829701</v>
      </c>
      <c r="C7472" t="s">
        <v>40</v>
      </c>
      <c r="D7472">
        <v>4.6739829999999998</v>
      </c>
      <c r="E7472">
        <v>0.39068960000000003</v>
      </c>
      <c r="F7472" t="s">
        <v>42</v>
      </c>
      <c r="G7472">
        <v>-422.12079999999997</v>
      </c>
      <c r="H7472">
        <v>1.06461299999999</v>
      </c>
      <c r="I7472">
        <v>52.397709999999996</v>
      </c>
      <c r="J7472">
        <v>-422.54020000000003</v>
      </c>
      <c r="K7472">
        <v>1.1219619999999999</v>
      </c>
      <c r="L7472">
        <v>53.037840000000003</v>
      </c>
      <c r="M7472">
        <v>-2.1386860000000001E-2</v>
      </c>
      <c r="N7472">
        <v>-1.3578460000000001E-2</v>
      </c>
      <c r="O7472">
        <v>-0.99967919999999999</v>
      </c>
      <c r="P7472">
        <v>0.174119</v>
      </c>
      <c r="Q7472">
        <v>0.1064389</v>
      </c>
      <c r="R7472">
        <v>-0.97895529999999997</v>
      </c>
      <c r="S7472">
        <v>1.405518</v>
      </c>
      <c r="T7472">
        <v>-0.19377159999999999</v>
      </c>
      <c r="U7472">
        <v>-2.8390200000000001</v>
      </c>
      <c r="V7472">
        <v>-0.195129</v>
      </c>
      <c r="W7472">
        <v>0.1194871</v>
      </c>
      <c r="X7472">
        <v>0.97347189999999995</v>
      </c>
      <c r="Y7472">
        <v>-0.46202739999999998</v>
      </c>
      <c r="Z7472">
        <v>4.709497E-2</v>
      </c>
      <c r="AA7472">
        <v>0.88561429999999997</v>
      </c>
      <c r="AB7472">
        <v>21</v>
      </c>
      <c r="AC7472">
        <v>0.41940000000005201</v>
      </c>
      <c r="AD7472">
        <v>-5.7349000000000303E-2</v>
      </c>
      <c r="AE7472">
        <v>-0.64013000000000597</v>
      </c>
      <c r="AF7472">
        <v>-0.43057768998692098</v>
      </c>
      <c r="AG7472">
        <v>-5.7349000000000303E-2</v>
      </c>
      <c r="AH7472">
        <v>0.62748929136693099</v>
      </c>
      <c r="AI7472">
        <v>94.309596605145799</v>
      </c>
      <c r="AJ7472">
        <v>124.45757488397599</v>
      </c>
      <c r="AK7472">
        <v>0.76317027306862895</v>
      </c>
      <c r="AL7472">
        <v>83.137497518960004</v>
      </c>
      <c r="AM7472">
        <v>101.334526989309</v>
      </c>
      <c r="AN7472">
        <v>1.0000000168984999</v>
      </c>
    </row>
    <row r="7473" spans="1:40" x14ac:dyDescent="0.25">
      <c r="A7473" t="str">
        <f>"20190303162102861"</f>
        <v>20190303162102861</v>
      </c>
      <c r="B7473" t="str">
        <f>"1551601262850197"</f>
        <v>1551601262850197</v>
      </c>
      <c r="C7473" t="s">
        <v>40</v>
      </c>
      <c r="D7473">
        <v>4.677092</v>
      </c>
      <c r="E7473">
        <v>0.3927407</v>
      </c>
      <c r="F7473" t="s">
        <v>42</v>
      </c>
      <c r="G7473">
        <v>-422.12139999999999</v>
      </c>
      <c r="H7473">
        <v>1.06403</v>
      </c>
      <c r="I7473">
        <v>52.16874</v>
      </c>
      <c r="J7473">
        <v>-422.54390000000001</v>
      </c>
      <c r="K7473">
        <v>1.121955</v>
      </c>
      <c r="L7473">
        <v>52.824280000000002</v>
      </c>
      <c r="M7473">
        <v>-2.072324E-2</v>
      </c>
      <c r="N7473">
        <v>-1.357647E-2</v>
      </c>
      <c r="O7473">
        <v>-0.99969319999999895</v>
      </c>
      <c r="P7473">
        <v>0.17782729999999999</v>
      </c>
      <c r="Q7473">
        <v>0.1060952</v>
      </c>
      <c r="R7473">
        <v>-0.97832580000000002</v>
      </c>
      <c r="S7473">
        <v>1.3694459999999999</v>
      </c>
      <c r="T7473">
        <v>-0.18940419999999999</v>
      </c>
      <c r="U7473">
        <v>-2.8415219999999999</v>
      </c>
      <c r="V7473">
        <v>-0.19817370000000001</v>
      </c>
      <c r="W7473">
        <v>0.1191343</v>
      </c>
      <c r="X7473">
        <v>0.97289990000000004</v>
      </c>
      <c r="Y7473">
        <v>-0.45205260000000003</v>
      </c>
      <c r="Z7473">
        <v>4.6008739999999999E-2</v>
      </c>
      <c r="AA7473">
        <v>0.89080389999999998</v>
      </c>
      <c r="AB7473">
        <v>21</v>
      </c>
      <c r="AC7473">
        <v>0.42250000000001298</v>
      </c>
      <c r="AD7473">
        <v>-5.7924999999999997E-2</v>
      </c>
      <c r="AE7473">
        <v>-0.65554000000000201</v>
      </c>
      <c r="AF7473">
        <v>-0.43360347293337498</v>
      </c>
      <c r="AG7473">
        <v>-5.7924999999999997E-2</v>
      </c>
      <c r="AH7473">
        <v>0.64309523469015795</v>
      </c>
      <c r="AI7473">
        <v>94.2710559357471</v>
      </c>
      <c r="AJ7473">
        <v>123.989604793515</v>
      </c>
      <c r="AK7473">
        <v>0.77777809061844505</v>
      </c>
      <c r="AL7473">
        <v>83.157856823308293</v>
      </c>
      <c r="AM7473">
        <v>101.513287614699</v>
      </c>
      <c r="AN7473">
        <v>1.0000000061140899</v>
      </c>
    </row>
    <row r="7474" spans="1:40" x14ac:dyDescent="0.25">
      <c r="A7474" t="str">
        <f>"20190303162102884"</f>
        <v>20190303162102884</v>
      </c>
      <c r="B7474" t="str">
        <f>"1551601262869718"</f>
        <v>1551601262869718</v>
      </c>
      <c r="C7474" t="s">
        <v>40</v>
      </c>
      <c r="D7474">
        <v>4.7082610000000003</v>
      </c>
      <c r="E7474">
        <v>0.39390389999999997</v>
      </c>
      <c r="F7474" t="s">
        <v>62</v>
      </c>
      <c r="G7474">
        <v>-414.58440000000002</v>
      </c>
      <c r="H7474" s="1">
        <v>-3.4659449999999999E-6</v>
      </c>
      <c r="I7474">
        <v>36.265610000000002</v>
      </c>
      <c r="J7474">
        <v>-422.54739999999998</v>
      </c>
      <c r="K7474">
        <v>1.1219509999999999</v>
      </c>
      <c r="L7474">
        <v>52.618740000000003</v>
      </c>
      <c r="M7474">
        <v>-2.007337E-2</v>
      </c>
      <c r="N7474">
        <v>-1.3574569999999999E-2</v>
      </c>
      <c r="O7474">
        <v>-0.99970630000000005</v>
      </c>
      <c r="P7474">
        <v>0.18143039999999999</v>
      </c>
      <c r="Q7474">
        <v>0.1052511</v>
      </c>
      <c r="R7474">
        <v>-0.97775540000000005</v>
      </c>
      <c r="S7474">
        <v>1.3648070000000001</v>
      </c>
      <c r="T7474">
        <v>-0.19237879999999999</v>
      </c>
      <c r="U7474">
        <v>-2.839264</v>
      </c>
      <c r="V7474">
        <v>-0.20113049999999999</v>
      </c>
      <c r="W7474">
        <v>0.1182783</v>
      </c>
      <c r="X7474">
        <v>0.97239739999999997</v>
      </c>
      <c r="Y7474">
        <v>-0.45054499999999997</v>
      </c>
      <c r="Z7474">
        <v>4.7035470000000003E-2</v>
      </c>
      <c r="AA7474">
        <v>0.89151380000000002</v>
      </c>
      <c r="AB7474">
        <v>21</v>
      </c>
      <c r="AC7474">
        <v>7.9629999999999601</v>
      </c>
      <c r="AD7474">
        <v>-1.12195446594499</v>
      </c>
      <c r="AE7474">
        <v>-16.35313</v>
      </c>
      <c r="AF7474">
        <v>-8.2582662865849805</v>
      </c>
      <c r="AG7474">
        <v>-1.12195446594499</v>
      </c>
      <c r="AH7474">
        <v>16.128608125039001</v>
      </c>
      <c r="AI7474">
        <v>93.543136249035797</v>
      </c>
      <c r="AJ7474">
        <v>117.113625526654</v>
      </c>
      <c r="AK7474">
        <v>18.154606686317202</v>
      </c>
      <c r="AL7474">
        <v>83.2072510056814</v>
      </c>
      <c r="AM7474">
        <v>101.68625190145799</v>
      </c>
      <c r="AN7474">
        <v>0.99999996890394904</v>
      </c>
    </row>
    <row r="7475" spans="1:40" x14ac:dyDescent="0.25">
      <c r="A7475" t="str">
        <f>"20190303162102906"</f>
        <v>20190303162102906</v>
      </c>
      <c r="B7475" t="str">
        <f>"1551601262899973"</f>
        <v>1551601262899973</v>
      </c>
      <c r="C7475" t="s">
        <v>40</v>
      </c>
      <c r="D7475">
        <v>4.7140779999999998</v>
      </c>
      <c r="E7475">
        <v>0.39502219999999999</v>
      </c>
      <c r="F7475" t="s">
        <v>62</v>
      </c>
      <c r="G7475">
        <v>-414.47739999999999</v>
      </c>
      <c r="H7475" s="1">
        <v>-3.704872E-6</v>
      </c>
      <c r="I7475">
        <v>35.872120000000002</v>
      </c>
      <c r="J7475">
        <v>-422.55079999999998</v>
      </c>
      <c r="K7475">
        <v>1.121966</v>
      </c>
      <c r="L7475">
        <v>52.408230000000003</v>
      </c>
      <c r="M7475">
        <v>-1.9371849999999999E-2</v>
      </c>
      <c r="N7475">
        <v>-1.35727E-2</v>
      </c>
      <c r="O7475">
        <v>-0.99972019999999995</v>
      </c>
      <c r="P7475">
        <v>0.18535119999999999</v>
      </c>
      <c r="Q7475">
        <v>0.104561</v>
      </c>
      <c r="R7475">
        <v>-0.9770934</v>
      </c>
      <c r="S7475">
        <v>1.366241</v>
      </c>
      <c r="T7475">
        <v>-0.189945</v>
      </c>
      <c r="U7475">
        <v>-2.835175</v>
      </c>
      <c r="V7475">
        <v>-0.2043577</v>
      </c>
      <c r="W7475">
        <v>0.11756800000000001</v>
      </c>
      <c r="X7475">
        <v>0.97181050000000002</v>
      </c>
      <c r="Y7475">
        <v>-0.45080300000000001</v>
      </c>
      <c r="Z7475">
        <v>4.6343130000000003E-2</v>
      </c>
      <c r="AA7475">
        <v>0.89141959999999998</v>
      </c>
      <c r="AB7475">
        <v>21</v>
      </c>
      <c r="AC7475">
        <v>8.0733999999999906</v>
      </c>
      <c r="AD7475">
        <v>-1.1219697048720001</v>
      </c>
      <c r="AE7475">
        <v>-16.536109999999901</v>
      </c>
      <c r="AF7475">
        <v>-8.3611669960444193</v>
      </c>
      <c r="AG7475">
        <v>-1.1219697048720001</v>
      </c>
      <c r="AH7475">
        <v>16.3159414514218</v>
      </c>
      <c r="AI7475">
        <v>93.501998093173896</v>
      </c>
      <c r="AJ7475">
        <v>117.13304537841699</v>
      </c>
      <c r="AK7475">
        <v>18.3678489486553</v>
      </c>
      <c r="AL7475">
        <v>83.248234199182605</v>
      </c>
      <c r="AM7475">
        <v>101.87544768363399</v>
      </c>
      <c r="AN7475">
        <v>0.99999997604176905</v>
      </c>
    </row>
    <row r="7476" spans="1:40" x14ac:dyDescent="0.25">
      <c r="A7476" t="str">
        <f>"20190303162102922"</f>
        <v>20190303162102922</v>
      </c>
      <c r="B7476" t="str">
        <f>"1551601262909733"</f>
        <v>1551601262909733</v>
      </c>
      <c r="C7476" t="s">
        <v>40</v>
      </c>
      <c r="D7476">
        <v>4.6666589999999903</v>
      </c>
      <c r="E7476">
        <v>0.39521260000000002</v>
      </c>
      <c r="F7476" t="s">
        <v>42</v>
      </c>
      <c r="G7476">
        <v>-422.11239999999998</v>
      </c>
      <c r="H7476">
        <v>1.0620620000000001</v>
      </c>
      <c r="I7476">
        <v>51.50206</v>
      </c>
      <c r="J7476">
        <v>-422.55309999999997</v>
      </c>
      <c r="K7476">
        <v>1.121991</v>
      </c>
      <c r="L7476">
        <v>52.255040000000001</v>
      </c>
      <c r="M7476">
        <v>-1.8822350000000002E-2</v>
      </c>
      <c r="N7476">
        <v>-1.3571430000000001E-2</v>
      </c>
      <c r="O7476">
        <v>-0.99973100000000004</v>
      </c>
      <c r="P7476">
        <v>0.18785950000000001</v>
      </c>
      <c r="Q7476">
        <v>0.10442460000000001</v>
      </c>
      <c r="R7476">
        <v>-0.97662939999999998</v>
      </c>
      <c r="S7476">
        <v>1.3692629999999999</v>
      </c>
      <c r="T7476">
        <v>-0.1871216</v>
      </c>
      <c r="U7476">
        <v>-2.830597</v>
      </c>
      <c r="V7476">
        <v>-0.2063287</v>
      </c>
      <c r="W7476">
        <v>0.1174108</v>
      </c>
      <c r="X7476">
        <v>0.97141299999999997</v>
      </c>
      <c r="Y7476">
        <v>-0.45166590000000001</v>
      </c>
      <c r="Z7476">
        <v>4.5517660000000001E-2</v>
      </c>
      <c r="AA7476">
        <v>0.89102530000000002</v>
      </c>
      <c r="AB7476">
        <v>21</v>
      </c>
      <c r="AC7476">
        <v>0.44069999999999199</v>
      </c>
      <c r="AD7476">
        <v>-5.9928999999999899E-2</v>
      </c>
      <c r="AE7476">
        <v>-0.75297999999999998</v>
      </c>
      <c r="AF7476">
        <v>-0.452660317967712</v>
      </c>
      <c r="AG7476">
        <v>-5.9928999999999899E-2</v>
      </c>
      <c r="AH7476">
        <v>0.74105435370239503</v>
      </c>
      <c r="AI7476">
        <v>93.947915034975495</v>
      </c>
      <c r="AJ7476">
        <v>121.41795470161701</v>
      </c>
      <c r="AK7476">
        <v>0.87043345733312905</v>
      </c>
      <c r="AL7476">
        <v>83.257304226143006</v>
      </c>
      <c r="AM7476">
        <v>101.991449831517</v>
      </c>
      <c r="AN7476">
        <v>1.0000000224846599</v>
      </c>
    </row>
    <row r="7477" spans="1:40" x14ac:dyDescent="0.25">
      <c r="A7477" t="str">
        <f>"20190303162102939"</f>
        <v>20190303162102939</v>
      </c>
      <c r="B7477" t="str">
        <f>"1551601262930230"</f>
        <v>1551601262930230</v>
      </c>
      <c r="C7477" t="s">
        <v>40</v>
      </c>
      <c r="D7477">
        <v>4.6863429999999999</v>
      </c>
      <c r="E7477">
        <v>0.39550669999999999</v>
      </c>
      <c r="F7477" t="s">
        <v>62</v>
      </c>
      <c r="G7477">
        <v>-414.19170000000003</v>
      </c>
      <c r="H7477" s="1">
        <v>-4.2083979999999998E-6</v>
      </c>
      <c r="I7477">
        <v>35.067329999999998</v>
      </c>
      <c r="J7477">
        <v>-422.55529999999999</v>
      </c>
      <c r="K7477">
        <v>1.12202</v>
      </c>
      <c r="L7477">
        <v>52.102229999999999</v>
      </c>
      <c r="M7477">
        <v>-1.8240969999999999E-2</v>
      </c>
      <c r="N7477">
        <v>-1.3570280000000001E-2</v>
      </c>
      <c r="O7477">
        <v>-0.99974160000000001</v>
      </c>
      <c r="P7477">
        <v>0.19210930000000001</v>
      </c>
      <c r="Q7477">
        <v>0.1051902</v>
      </c>
      <c r="R7477">
        <v>-0.97572000000000003</v>
      </c>
      <c r="S7477">
        <v>1.375275</v>
      </c>
      <c r="T7477">
        <v>-0.1845434</v>
      </c>
      <c r="U7477">
        <v>-2.8269959999999998</v>
      </c>
      <c r="V7477">
        <v>-0.21000479999999999</v>
      </c>
      <c r="W7477">
        <v>0.11814529999999999</v>
      </c>
      <c r="X7477">
        <v>0.97053579999999995</v>
      </c>
      <c r="Y7477">
        <v>-0.4531423</v>
      </c>
      <c r="Z7477">
        <v>4.4727080000000002E-2</v>
      </c>
      <c r="AA7477">
        <v>0.89031550000000004</v>
      </c>
      <c r="AB7477">
        <v>21</v>
      </c>
      <c r="AC7477">
        <v>8.3635999999999608</v>
      </c>
      <c r="AD7477">
        <v>-1.1220242083980001</v>
      </c>
      <c r="AE7477">
        <v>-17.0349</v>
      </c>
      <c r="AF7477">
        <v>-8.6427572843186393</v>
      </c>
      <c r="AG7477">
        <v>-1.1220242083980001</v>
      </c>
      <c r="AH7477">
        <v>16.820690658937401</v>
      </c>
      <c r="AI7477">
        <v>93.395449767141699</v>
      </c>
      <c r="AJ7477">
        <v>117.194870689026</v>
      </c>
      <c r="AK7477">
        <v>18.944440504895798</v>
      </c>
      <c r="AL7477">
        <v>83.214925593027999</v>
      </c>
      <c r="AM7477">
        <v>102.209448299706</v>
      </c>
      <c r="AN7477">
        <v>1.0000000335083801</v>
      </c>
    </row>
    <row r="7478" spans="1:40" x14ac:dyDescent="0.25">
      <c r="A7478" t="str">
        <f>"20190303162102961"</f>
        <v>20190303162102961</v>
      </c>
      <c r="B7478" t="str">
        <f>"1551601262949749"</f>
        <v>1551601262949749</v>
      </c>
      <c r="C7478" t="s">
        <v>40</v>
      </c>
      <c r="D7478">
        <v>4.6639049999999997</v>
      </c>
      <c r="E7478">
        <v>0.39592100000000002</v>
      </c>
      <c r="F7478" t="s">
        <v>62</v>
      </c>
      <c r="G7478">
        <v>-413.94600000000003</v>
      </c>
      <c r="H7478" s="1">
        <v>-4.5313400000000004E-6</v>
      </c>
      <c r="I7478">
        <v>34.573520000000002</v>
      </c>
      <c r="J7478">
        <v>-422.55810000000002</v>
      </c>
      <c r="K7478">
        <v>1.122069</v>
      </c>
      <c r="L7478">
        <v>51.892670000000003</v>
      </c>
      <c r="M7478">
        <v>-1.7375379999999999E-2</v>
      </c>
      <c r="N7478">
        <v>-1.356893E-2</v>
      </c>
      <c r="O7478">
        <v>-0.99975700000000001</v>
      </c>
      <c r="P7478">
        <v>0.1984049</v>
      </c>
      <c r="Q7478">
        <v>0.1059346</v>
      </c>
      <c r="R7478">
        <v>-0.97437830000000003</v>
      </c>
      <c r="S7478">
        <v>1.3856809999999999</v>
      </c>
      <c r="T7478">
        <v>-0.18059249999999999</v>
      </c>
      <c r="U7478">
        <v>-2.8212890000000002</v>
      </c>
      <c r="V7478">
        <v>-0.21544940000000001</v>
      </c>
      <c r="W7478">
        <v>0.1188384</v>
      </c>
      <c r="X7478">
        <v>0.96925689999999998</v>
      </c>
      <c r="Y7478">
        <v>-0.45575280000000001</v>
      </c>
      <c r="Z7478">
        <v>4.3506400000000001E-2</v>
      </c>
      <c r="AA7478">
        <v>0.88904259999999902</v>
      </c>
      <c r="AB7478">
        <v>21</v>
      </c>
      <c r="AC7478">
        <v>8.6121000000000496</v>
      </c>
      <c r="AD7478">
        <v>-1.1220735313400001</v>
      </c>
      <c r="AE7478">
        <v>-17.31915</v>
      </c>
      <c r="AF7478">
        <v>-8.8818635735754796</v>
      </c>
      <c r="AG7478">
        <v>-1.1220735313400001</v>
      </c>
      <c r="AH7478">
        <v>17.109303878236101</v>
      </c>
      <c r="AI7478">
        <v>93.331249233464305</v>
      </c>
      <c r="AJ7478">
        <v>117.434944454326</v>
      </c>
      <c r="AK7478">
        <v>19.309967083016101</v>
      </c>
      <c r="AL7478">
        <v>83.174931725957293</v>
      </c>
      <c r="AM7478">
        <v>102.53212996161599</v>
      </c>
      <c r="AN7478">
        <v>0.99999997373626404</v>
      </c>
    </row>
    <row r="7479" spans="1:40" x14ac:dyDescent="0.25">
      <c r="A7479" t="str">
        <f>"20190303162102984"</f>
        <v>20190303162102984</v>
      </c>
      <c r="B7479" t="str">
        <f>"1551601262980005"</f>
        <v>1551601262980005</v>
      </c>
      <c r="C7479" t="s">
        <v>40</v>
      </c>
      <c r="D7479">
        <v>4.6791210000000003</v>
      </c>
      <c r="E7479">
        <v>0.39643879999999998</v>
      </c>
      <c r="F7479" t="s">
        <v>62</v>
      </c>
      <c r="G7479">
        <v>-413.61349999999999</v>
      </c>
      <c r="H7479" s="1">
        <v>-4.9297950000000003E-6</v>
      </c>
      <c r="I7479">
        <v>33.936239999999998</v>
      </c>
      <c r="J7479">
        <v>-422.56049999999999</v>
      </c>
      <c r="K7479">
        <v>1.1221410000000001</v>
      </c>
      <c r="L7479">
        <v>51.684780000000003</v>
      </c>
      <c r="M7479">
        <v>-1.6409340000000001E-2</v>
      </c>
      <c r="N7479">
        <v>-1.356781E-2</v>
      </c>
      <c r="O7479">
        <v>-0.99977340000000003</v>
      </c>
      <c r="P7479">
        <v>0.2026049</v>
      </c>
      <c r="Q7479">
        <v>0.1070859</v>
      </c>
      <c r="R7479">
        <v>-0.97338800000000003</v>
      </c>
      <c r="S7479">
        <v>1.4010929999999999</v>
      </c>
      <c r="T7479">
        <v>-0.1757629</v>
      </c>
      <c r="U7479">
        <v>-2.8127140000000002</v>
      </c>
      <c r="V7479">
        <v>-0.21871479999999999</v>
      </c>
      <c r="W7479">
        <v>0.1199387</v>
      </c>
      <c r="X7479">
        <v>0.96838970000000002</v>
      </c>
      <c r="Y7479">
        <v>-0.45990229999999999</v>
      </c>
      <c r="Z7479">
        <v>4.2013040000000001E-2</v>
      </c>
      <c r="AA7479">
        <v>0.88697510000000002</v>
      </c>
      <c r="AB7479">
        <v>21</v>
      </c>
      <c r="AC7479">
        <v>8.9469999999999992</v>
      </c>
      <c r="AD7479">
        <v>-1.1221459297950001</v>
      </c>
      <c r="AE7479">
        <v>-17.748539999999899</v>
      </c>
      <c r="AF7479">
        <v>-9.2077150966653907</v>
      </c>
      <c r="AG7479">
        <v>-1.1221459297950001</v>
      </c>
      <c r="AH7479">
        <v>17.543404193814201</v>
      </c>
      <c r="AI7479">
        <v>93.241597353322902</v>
      </c>
      <c r="AJ7479">
        <v>117.692887127609</v>
      </c>
      <c r="AK7479">
        <v>19.844703562831398</v>
      </c>
      <c r="AL7479">
        <v>83.111435433605706</v>
      </c>
      <c r="AM7479">
        <v>102.726954154941</v>
      </c>
      <c r="AN7479">
        <v>1.0000000332814001</v>
      </c>
    </row>
    <row r="7480" spans="1:40" x14ac:dyDescent="0.25">
      <c r="A7480" t="str">
        <f>"20190303162103007"</f>
        <v>20190303162103007</v>
      </c>
      <c r="B7480" t="str">
        <f>"1551601263000502"</f>
        <v>1551601263000502</v>
      </c>
      <c r="C7480" t="s">
        <v>40</v>
      </c>
      <c r="D7480">
        <v>4.7114279999999997</v>
      </c>
      <c r="E7480">
        <v>0.39676440000000002</v>
      </c>
      <c r="F7480" t="s">
        <v>62</v>
      </c>
      <c r="G7480">
        <v>-413.35599999999999</v>
      </c>
      <c r="H7480" s="1">
        <v>-5.2851959999999997E-6</v>
      </c>
      <c r="I7480">
        <v>33.350790000000003</v>
      </c>
      <c r="J7480">
        <v>-422.56270000000001</v>
      </c>
      <c r="K7480">
        <v>1.122217</v>
      </c>
      <c r="L7480">
        <v>51.47287</v>
      </c>
      <c r="M7480">
        <v>-1.5292729999999999E-2</v>
      </c>
      <c r="N7480">
        <v>-1.356714E-2</v>
      </c>
      <c r="O7480">
        <v>-0.99979110000000004</v>
      </c>
      <c r="P7480">
        <v>0.20724860000000001</v>
      </c>
      <c r="Q7480">
        <v>0.1080607</v>
      </c>
      <c r="R7480">
        <v>-0.972302</v>
      </c>
      <c r="S7480">
        <v>1.4095150000000001</v>
      </c>
      <c r="T7480">
        <v>-0.17183670000000001</v>
      </c>
      <c r="U7480">
        <v>-2.8075260000000002</v>
      </c>
      <c r="V7480">
        <v>-0.2222819</v>
      </c>
      <c r="W7480">
        <v>0.12085369999999999</v>
      </c>
      <c r="X7480">
        <v>0.96746330000000003</v>
      </c>
      <c r="Y7480">
        <v>-0.46171699999999999</v>
      </c>
      <c r="Z7480">
        <v>4.0807499999999997E-2</v>
      </c>
      <c r="AA7480">
        <v>0.88608809999999905</v>
      </c>
      <c r="AB7480">
        <v>21</v>
      </c>
      <c r="AC7480">
        <v>9.2067000000000103</v>
      </c>
      <c r="AD7480">
        <v>-1.122222285196</v>
      </c>
      <c r="AE7480">
        <v>-18.12208</v>
      </c>
      <c r="AF7480">
        <v>-9.4539683158935901</v>
      </c>
      <c r="AG7480">
        <v>-1.122222285196</v>
      </c>
      <c r="AH7480">
        <v>17.9245165971417</v>
      </c>
      <c r="AI7480">
        <v>93.169668815298905</v>
      </c>
      <c r="AJ7480">
        <v>117.808610492421</v>
      </c>
      <c r="AK7480">
        <v>20.295940358025302</v>
      </c>
      <c r="AL7480">
        <v>83.058625757861904</v>
      </c>
      <c r="AM7480">
        <v>102.939564899519</v>
      </c>
      <c r="AN7480">
        <v>1.0000000483590901</v>
      </c>
    </row>
    <row r="7481" spans="1:40" x14ac:dyDescent="0.25">
      <c r="A7481" t="str">
        <f>"20190303162103029"</f>
        <v>20190303162103029</v>
      </c>
      <c r="B7481" t="str">
        <f>"1551601263020021"</f>
        <v>1551601263020021</v>
      </c>
      <c r="C7481" t="s">
        <v>40</v>
      </c>
      <c r="D7481">
        <v>4.7359859999999996</v>
      </c>
      <c r="E7481">
        <v>0.39695370000000002</v>
      </c>
      <c r="F7481" t="s">
        <v>42</v>
      </c>
      <c r="G7481">
        <v>-422.0847</v>
      </c>
      <c r="H7481">
        <v>1.0652489999999999</v>
      </c>
      <c r="I7481">
        <v>50.528869999999998</v>
      </c>
      <c r="J7481">
        <v>-422.56450000000001</v>
      </c>
      <c r="K7481">
        <v>1.1223000000000001</v>
      </c>
      <c r="L7481">
        <v>51.266970000000001</v>
      </c>
      <c r="M7481">
        <v>-1.4086980000000001E-2</v>
      </c>
      <c r="N7481">
        <v>-1.356684E-2</v>
      </c>
      <c r="O7481">
        <v>-0.99980880000000005</v>
      </c>
      <c r="P7481">
        <v>0.21100630000000001</v>
      </c>
      <c r="Q7481">
        <v>0.1091351</v>
      </c>
      <c r="R7481">
        <v>-0.97137309999999999</v>
      </c>
      <c r="S7481">
        <v>1.4197690000000001</v>
      </c>
      <c r="T7481">
        <v>-0.16907230000000001</v>
      </c>
      <c r="U7481">
        <v>-2.8016049999999999</v>
      </c>
      <c r="V7481">
        <v>-0.2248819</v>
      </c>
      <c r="W7481">
        <v>0.1218727</v>
      </c>
      <c r="X7481">
        <v>0.96673430000000005</v>
      </c>
      <c r="Y7481">
        <v>-0.46399780000000002</v>
      </c>
      <c r="Z7481">
        <v>3.996512E-2</v>
      </c>
      <c r="AA7481">
        <v>0.88493440000000001</v>
      </c>
      <c r="AB7481">
        <v>21</v>
      </c>
      <c r="AC7481">
        <v>0.479800000000011</v>
      </c>
      <c r="AD7481">
        <v>-5.7051000000000102E-2</v>
      </c>
      <c r="AE7481">
        <v>-0.73810000000000198</v>
      </c>
      <c r="AF7481">
        <v>-0.48810102889713503</v>
      </c>
      <c r="AG7481">
        <v>-5.7051000000000102E-2</v>
      </c>
      <c r="AH7481">
        <v>0.72820888648096405</v>
      </c>
      <c r="AI7481">
        <v>93.723430761988197</v>
      </c>
      <c r="AJ7481">
        <v>123.83300290780601</v>
      </c>
      <c r="AK7481">
        <v>0.87851329720231797</v>
      </c>
      <c r="AL7481">
        <v>82.999806345125705</v>
      </c>
      <c r="AM7481">
        <v>103.095264904647</v>
      </c>
      <c r="AN7481">
        <v>1.00000001537469</v>
      </c>
    </row>
    <row r="7482" spans="1:40" x14ac:dyDescent="0.25">
      <c r="A7482" t="str">
        <f>"20190303162103051"</f>
        <v>20190303162103051</v>
      </c>
      <c r="B7482" t="str">
        <f>"1551601263040517"</f>
        <v>1551601263040517</v>
      </c>
      <c r="C7482" t="s">
        <v>40</v>
      </c>
      <c r="D7482">
        <v>4.733371</v>
      </c>
      <c r="E7482">
        <v>0.39718569999999997</v>
      </c>
      <c r="F7482" t="s">
        <v>42</v>
      </c>
      <c r="G7482">
        <v>-422.07870000000003</v>
      </c>
      <c r="H7482">
        <v>1.0650040000000001</v>
      </c>
      <c r="I7482">
        <v>50.315669999999997</v>
      </c>
      <c r="J7482">
        <v>-422.56580000000002</v>
      </c>
      <c r="K7482">
        <v>1.122366</v>
      </c>
      <c r="L7482">
        <v>51.066189999999999</v>
      </c>
      <c r="M7482">
        <v>-1.2820140000000001E-2</v>
      </c>
      <c r="N7482">
        <v>-1.356652E-2</v>
      </c>
      <c r="O7482">
        <v>-0.99982599999999999</v>
      </c>
      <c r="P7482">
        <v>0.21487590000000001</v>
      </c>
      <c r="Q7482">
        <v>0.11003449999999999</v>
      </c>
      <c r="R7482">
        <v>-0.97042320000000004</v>
      </c>
      <c r="S7482">
        <v>1.428345</v>
      </c>
      <c r="T7482">
        <v>-0.16846249999999999</v>
      </c>
      <c r="U7482">
        <v>-2.7970890000000002</v>
      </c>
      <c r="V7482">
        <v>-0.22753209999999999</v>
      </c>
      <c r="W7482">
        <v>0.1227227</v>
      </c>
      <c r="X7482">
        <v>0.96600629999999998</v>
      </c>
      <c r="Y7482">
        <v>-0.46560839999999998</v>
      </c>
      <c r="Z7482">
        <v>3.9795829999999997E-2</v>
      </c>
      <c r="AA7482">
        <v>0.88409570000000004</v>
      </c>
      <c r="AB7482">
        <v>21</v>
      </c>
      <c r="AC7482">
        <v>0.48709999999999798</v>
      </c>
      <c r="AD7482">
        <v>-5.7361999999999899E-2</v>
      </c>
      <c r="AE7482">
        <v>-0.75051999999999397</v>
      </c>
      <c r="AF7482">
        <v>-0.49464951350556802</v>
      </c>
      <c r="AG7482">
        <v>-5.7361999999999899E-2</v>
      </c>
      <c r="AH7482">
        <v>0.74116671025259495</v>
      </c>
      <c r="AI7482">
        <v>93.683291780846005</v>
      </c>
      <c r="AJ7482">
        <v>123.718870930029</v>
      </c>
      <c r="AK7482">
        <v>0.89291468385392203</v>
      </c>
      <c r="AL7482">
        <v>82.950736086546101</v>
      </c>
      <c r="AM7482">
        <v>103.25381062297799</v>
      </c>
      <c r="AN7482">
        <v>0.99999994463269304</v>
      </c>
    </row>
    <row r="7483" spans="1:40" x14ac:dyDescent="0.25">
      <c r="A7483" t="str">
        <f>"20190303162103073"</f>
        <v>20190303162103073</v>
      </c>
      <c r="B7483" t="str">
        <f>"1551601263069798"</f>
        <v>1551601263069798</v>
      </c>
      <c r="C7483" t="s">
        <v>40</v>
      </c>
      <c r="D7483">
        <v>4.9435830000000003</v>
      </c>
      <c r="E7483">
        <v>0.39763720000000002</v>
      </c>
      <c r="F7483" t="s">
        <v>42</v>
      </c>
      <c r="G7483">
        <v>-422.07650000000001</v>
      </c>
      <c r="H7483">
        <v>1.0648770000000001</v>
      </c>
      <c r="I7483">
        <v>50.114170000000001</v>
      </c>
      <c r="J7483">
        <v>-422.5668</v>
      </c>
      <c r="K7483">
        <v>1.122409</v>
      </c>
      <c r="L7483">
        <v>50.857480000000002</v>
      </c>
      <c r="M7483">
        <v>-1.141843E-2</v>
      </c>
      <c r="N7483">
        <v>-1.3565860000000001E-2</v>
      </c>
      <c r="O7483">
        <v>-0.99984289999999998</v>
      </c>
      <c r="P7483">
        <v>0.2191854</v>
      </c>
      <c r="Q7483">
        <v>0.10878309999999999</v>
      </c>
      <c r="R7483">
        <v>-0.96960009999999996</v>
      </c>
      <c r="S7483">
        <v>1.4363709999999901</v>
      </c>
      <c r="T7483">
        <v>-0.1686301</v>
      </c>
      <c r="U7483">
        <v>-2.7925110000000002</v>
      </c>
      <c r="V7483">
        <v>-0.23048689999999999</v>
      </c>
      <c r="W7483">
        <v>0.1214311</v>
      </c>
      <c r="X7483">
        <v>0.96546889999999996</v>
      </c>
      <c r="Y7483">
        <v>-0.46696379999999998</v>
      </c>
      <c r="Z7483">
        <v>3.9879829999999998E-2</v>
      </c>
      <c r="AA7483">
        <v>0.88337670000000001</v>
      </c>
      <c r="AB7483">
        <v>21</v>
      </c>
      <c r="AC7483">
        <v>0.49029999999999002</v>
      </c>
      <c r="AD7483">
        <v>-5.7531999999999903E-2</v>
      </c>
      <c r="AE7483">
        <v>-0.74330999999999303</v>
      </c>
      <c r="AF7483">
        <v>-0.49668286980148102</v>
      </c>
      <c r="AG7483">
        <v>-5.7531999999999903E-2</v>
      </c>
      <c r="AH7483">
        <v>0.73459603369793902</v>
      </c>
      <c r="AI7483">
        <v>93.712126316227696</v>
      </c>
      <c r="AJ7483">
        <v>124.063829609718</v>
      </c>
      <c r="AK7483">
        <v>0.88861416649915004</v>
      </c>
      <c r="AL7483">
        <v>83.025297100143803</v>
      </c>
      <c r="AM7483">
        <v>103.426939475767</v>
      </c>
      <c r="AN7483">
        <v>0.99999995999301405</v>
      </c>
    </row>
    <row r="7484" spans="1:40" x14ac:dyDescent="0.25">
      <c r="A7484" t="str">
        <f>"20190303162103097"</f>
        <v>20190303162103097</v>
      </c>
      <c r="B7484" t="str">
        <f>"1551601263090294"</f>
        <v>1551601263090294</v>
      </c>
      <c r="C7484" t="s">
        <v>40</v>
      </c>
      <c r="D7484">
        <v>4.9036540000000004</v>
      </c>
      <c r="E7484">
        <v>0.42602489999999998</v>
      </c>
      <c r="F7484" t="s">
        <v>42</v>
      </c>
      <c r="G7484">
        <v>-422.09910000000002</v>
      </c>
      <c r="H7484">
        <v>1.0652200000000001</v>
      </c>
      <c r="I7484">
        <v>49.954140000000002</v>
      </c>
      <c r="J7484">
        <v>-422.5675</v>
      </c>
      <c r="K7484">
        <v>1.1224350000000001</v>
      </c>
      <c r="L7484">
        <v>50.642180000000003</v>
      </c>
      <c r="M7484">
        <v>-9.8985449999999999E-3</v>
      </c>
      <c r="N7484">
        <v>-1.356482E-2</v>
      </c>
      <c r="O7484">
        <v>-0.99985930000000001</v>
      </c>
      <c r="P7484">
        <v>0.2228803</v>
      </c>
      <c r="Q7484">
        <v>0.1077984</v>
      </c>
      <c r="R7484">
        <v>-0.96886740000000005</v>
      </c>
      <c r="S7484">
        <v>1.4432370000000001</v>
      </c>
      <c r="T7484">
        <v>-0.17647959999999999</v>
      </c>
      <c r="U7484">
        <v>-2.7876280000000002</v>
      </c>
      <c r="V7484">
        <v>-0.23271120000000001</v>
      </c>
      <c r="W7484">
        <v>0.1204177</v>
      </c>
      <c r="X7484">
        <v>0.96506219999999998</v>
      </c>
      <c r="Y7484">
        <v>-0.46791060000000001</v>
      </c>
      <c r="Z7484">
        <v>4.2411499999999998E-2</v>
      </c>
      <c r="AA7484">
        <v>0.88275759999999903</v>
      </c>
      <c r="AB7484">
        <v>21</v>
      </c>
      <c r="AC7484">
        <v>0.468399999999974</v>
      </c>
      <c r="AD7484">
        <v>-5.7215000000000002E-2</v>
      </c>
      <c r="AE7484">
        <v>-0.68803999999999299</v>
      </c>
      <c r="AF7484">
        <v>-0.47295350247663598</v>
      </c>
      <c r="AG7484">
        <v>-5.7215000000000002E-2</v>
      </c>
      <c r="AH7484">
        <v>0.680155560817024</v>
      </c>
      <c r="AI7484">
        <v>93.950822529756294</v>
      </c>
      <c r="AJ7484">
        <v>124.813236739155</v>
      </c>
      <c r="AK7484">
        <v>0.83040361189016898</v>
      </c>
      <c r="AL7484">
        <v>83.083790075540406</v>
      </c>
      <c r="AM7484">
        <v>103.55725834859901</v>
      </c>
      <c r="AN7484">
        <v>0.99999998747378405</v>
      </c>
    </row>
    <row r="7485" spans="1:40" x14ac:dyDescent="0.25">
      <c r="A7485" t="str">
        <f>"20190303162103118"</f>
        <v>20190303162103118</v>
      </c>
      <c r="B7485" t="str">
        <f>"1551601263109814"</f>
        <v>1551601263109814</v>
      </c>
      <c r="C7485" t="s">
        <v>40</v>
      </c>
      <c r="D7485">
        <v>5.0026630000000001</v>
      </c>
      <c r="E7485">
        <v>0.44308370000000002</v>
      </c>
      <c r="F7485" t="s">
        <v>62</v>
      </c>
      <c r="G7485">
        <v>-412.08949999999999</v>
      </c>
      <c r="H7485" s="1">
        <v>-9.7202519999999994E-6</v>
      </c>
      <c r="I7485">
        <v>26.596530000000001</v>
      </c>
      <c r="J7485">
        <v>-422.5677</v>
      </c>
      <c r="K7485">
        <v>1.1224510000000001</v>
      </c>
      <c r="L7485">
        <v>50.448819999999998</v>
      </c>
      <c r="M7485">
        <v>-8.4869000000000003E-3</v>
      </c>
      <c r="N7485">
        <v>-1.356394E-2</v>
      </c>
      <c r="O7485">
        <v>-0.99987219999999999</v>
      </c>
      <c r="P7485">
        <v>0.2256196</v>
      </c>
      <c r="Q7485">
        <v>0.106798</v>
      </c>
      <c r="R7485">
        <v>-0.96834399999999998</v>
      </c>
      <c r="S7485">
        <v>1.2321470000000001</v>
      </c>
      <c r="T7485">
        <v>-0.13199330000000001</v>
      </c>
      <c r="U7485">
        <v>-2.8276370000000002</v>
      </c>
      <c r="V7485">
        <v>-0.23408419999999999</v>
      </c>
      <c r="W7485">
        <v>0.1193999</v>
      </c>
      <c r="X7485">
        <v>0.96485659999999895</v>
      </c>
      <c r="Y7485">
        <v>-0.40692149999999999</v>
      </c>
      <c r="Z7485">
        <v>2.9097060000000001E-2</v>
      </c>
      <c r="AA7485">
        <v>0.91299960000000002</v>
      </c>
      <c r="AB7485">
        <v>21</v>
      </c>
      <c r="AC7485">
        <v>10.478199999999999</v>
      </c>
      <c r="AD7485">
        <v>-1.1224607202520001</v>
      </c>
      <c r="AE7485">
        <v>-23.85229</v>
      </c>
      <c r="AF7485">
        <v>-10.6604840591532</v>
      </c>
      <c r="AG7485">
        <v>-1.1224607202520001</v>
      </c>
      <c r="AH7485">
        <v>23.718466561191399</v>
      </c>
      <c r="AI7485">
        <v>92.471627253723099</v>
      </c>
      <c r="AJ7485">
        <v>114.201974605255</v>
      </c>
      <c r="AK7485">
        <v>26.028282587568501</v>
      </c>
      <c r="AL7485">
        <v>83.142529645462005</v>
      </c>
      <c r="AM7485">
        <v>103.637065868609</v>
      </c>
      <c r="AN7485">
        <v>1.0000000036865999</v>
      </c>
    </row>
    <row r="7486" spans="1:40" x14ac:dyDescent="0.25">
      <c r="A7486" t="str">
        <f>"20190303162103141"</f>
        <v>20190303162103141</v>
      </c>
      <c r="B7486" t="str">
        <f>"1551601263130310"</f>
        <v>1551601263130310</v>
      </c>
      <c r="C7486" t="s">
        <v>40</v>
      </c>
      <c r="D7486">
        <v>4.8191160000000002</v>
      </c>
      <c r="E7486">
        <v>0.45575179999999998</v>
      </c>
      <c r="F7486" t="s">
        <v>62</v>
      </c>
      <c r="G7486">
        <v>-412.93939999999998</v>
      </c>
      <c r="H7486" s="1">
        <v>-9.31263E-6</v>
      </c>
      <c r="I7486">
        <v>25.609369999999998</v>
      </c>
      <c r="J7486">
        <v>-422.5677</v>
      </c>
      <c r="K7486">
        <v>1.122455</v>
      </c>
      <c r="L7486">
        <v>50.24295</v>
      </c>
      <c r="M7486">
        <v>-6.9548669999999896E-3</v>
      </c>
      <c r="N7486">
        <v>-1.356314E-2</v>
      </c>
      <c r="O7486">
        <v>-0.99988390000000005</v>
      </c>
      <c r="P7486">
        <v>0.22790150000000001</v>
      </c>
      <c r="Q7486">
        <v>0.1056878</v>
      </c>
      <c r="R7486">
        <v>-0.9679316</v>
      </c>
      <c r="S7486">
        <v>1.106476</v>
      </c>
      <c r="T7486">
        <v>-0.12899179999999999</v>
      </c>
      <c r="U7486">
        <v>-2.8545229999999999</v>
      </c>
      <c r="V7486">
        <v>-0.2348827</v>
      </c>
      <c r="W7486">
        <v>0.1182802</v>
      </c>
      <c r="X7486">
        <v>0.9648004</v>
      </c>
      <c r="Y7486">
        <v>-0.367616</v>
      </c>
      <c r="Z7486">
        <v>2.846796E-2</v>
      </c>
      <c r="AA7486">
        <v>0.92954190000000003</v>
      </c>
      <c r="AB7486">
        <v>21</v>
      </c>
      <c r="AC7486">
        <v>9.6283000000000207</v>
      </c>
      <c r="AD7486">
        <v>-1.12246431263</v>
      </c>
      <c r="AE7486">
        <v>-24.633579999999998</v>
      </c>
      <c r="AF7486">
        <v>-9.7817877821494896</v>
      </c>
      <c r="AG7486">
        <v>-1.12246431263</v>
      </c>
      <c r="AH7486">
        <v>24.521847230748801</v>
      </c>
      <c r="AI7486">
        <v>92.434534589681604</v>
      </c>
      <c r="AJ7486">
        <v>111.747102886387</v>
      </c>
      <c r="AK7486">
        <v>26.424690915057401</v>
      </c>
      <c r="AL7486">
        <v>83.207141246170195</v>
      </c>
      <c r="AM7486">
        <v>103.682605648454</v>
      </c>
      <c r="AN7486">
        <v>0.99999995015574294</v>
      </c>
    </row>
    <row r="7487" spans="1:40" x14ac:dyDescent="0.25">
      <c r="A7487" t="str">
        <f>"20190303162103162"</f>
        <v>20190303162103162</v>
      </c>
      <c r="B7487" t="str">
        <f>"1551601263149830"</f>
        <v>1551601263149830</v>
      </c>
      <c r="C7487" t="s">
        <v>40</v>
      </c>
      <c r="D7487">
        <v>4.9767789999999996</v>
      </c>
      <c r="E7487">
        <v>0.46266000000000002</v>
      </c>
      <c r="F7487" t="s">
        <v>62</v>
      </c>
      <c r="G7487">
        <v>-414.53859999999997</v>
      </c>
      <c r="H7487" s="1">
        <v>-8.9475179999999995E-6</v>
      </c>
      <c r="I7487">
        <v>27.468589999999999</v>
      </c>
      <c r="J7487">
        <v>-422.56740000000002</v>
      </c>
      <c r="K7487">
        <v>1.12246</v>
      </c>
      <c r="L7487">
        <v>50.038119999999999</v>
      </c>
      <c r="M7487">
        <v>-5.4139050000000001E-3</v>
      </c>
      <c r="N7487">
        <v>-1.356215E-2</v>
      </c>
      <c r="O7487">
        <v>-0.9998937</v>
      </c>
      <c r="P7487">
        <v>0.2312092</v>
      </c>
      <c r="Q7487">
        <v>0.104115899999999</v>
      </c>
      <c r="R7487">
        <v>-0.96731730000000005</v>
      </c>
      <c r="S7487">
        <v>1.0139769999999999</v>
      </c>
      <c r="T7487">
        <v>-0.14175380000000001</v>
      </c>
      <c r="U7487">
        <v>-2.8761290000000002</v>
      </c>
      <c r="V7487">
        <v>-0.2366964</v>
      </c>
      <c r="W7487">
        <v>0.1166958</v>
      </c>
      <c r="X7487">
        <v>0.96455009999999997</v>
      </c>
      <c r="Y7487">
        <v>-0.33728019999999997</v>
      </c>
      <c r="Z7487">
        <v>3.2824119999999998E-2</v>
      </c>
      <c r="AA7487">
        <v>0.94083190000000005</v>
      </c>
      <c r="AB7487">
        <v>21</v>
      </c>
      <c r="AC7487">
        <v>8.0288000000000395</v>
      </c>
      <c r="AD7487">
        <v>-1.1224689475180001</v>
      </c>
      <c r="AE7487">
        <v>-22.56953</v>
      </c>
      <c r="AF7487">
        <v>-8.13302590748226</v>
      </c>
      <c r="AG7487">
        <v>-1.1224689475180001</v>
      </c>
      <c r="AH7487">
        <v>22.476378825469201</v>
      </c>
      <c r="AI7487">
        <v>92.688642766193894</v>
      </c>
      <c r="AJ7487">
        <v>109.892540327769</v>
      </c>
      <c r="AK7487">
        <v>23.928929187406599</v>
      </c>
      <c r="AL7487">
        <v>83.298554094492005</v>
      </c>
      <c r="AM7487">
        <v>103.78768421484899</v>
      </c>
      <c r="AN7487">
        <v>0.99999999546030405</v>
      </c>
    </row>
    <row r="7488" spans="1:40" x14ac:dyDescent="0.25">
      <c r="A7488" t="str">
        <f>"20190303162103184"</f>
        <v>20190303162103184</v>
      </c>
      <c r="B7488" t="str">
        <f>"1551601263179617"</f>
        <v>1551601263179617</v>
      </c>
      <c r="C7488" t="s">
        <v>40</v>
      </c>
      <c r="D7488">
        <v>4.9761110000000004</v>
      </c>
      <c r="E7488">
        <v>0.468331</v>
      </c>
      <c r="F7488" t="s">
        <v>62</v>
      </c>
      <c r="G7488">
        <v>-415.58479999999997</v>
      </c>
      <c r="H7488" s="1">
        <v>-8.7808249999999906E-6</v>
      </c>
      <c r="I7488">
        <v>29.25149</v>
      </c>
      <c r="J7488">
        <v>-422.56659999999999</v>
      </c>
      <c r="K7488">
        <v>1.1224620000000001</v>
      </c>
      <c r="L7488">
        <v>49.835819999999998</v>
      </c>
      <c r="M7488">
        <v>-3.8804170000000002E-3</v>
      </c>
      <c r="N7488">
        <v>-1.356095E-2</v>
      </c>
      <c r="O7488">
        <v>-0.99990060000000003</v>
      </c>
      <c r="P7488">
        <v>0.2354696</v>
      </c>
      <c r="Q7488">
        <v>0.1031801</v>
      </c>
      <c r="R7488">
        <v>-0.96638939999999995</v>
      </c>
      <c r="S7488">
        <v>0.96957400000000005</v>
      </c>
      <c r="T7488">
        <v>-0.15586340000000001</v>
      </c>
      <c r="U7488">
        <v>-2.8863829999999999</v>
      </c>
      <c r="V7488">
        <v>-0.23947089999999999</v>
      </c>
      <c r="W7488">
        <v>0.11574139999999999</v>
      </c>
      <c r="X7488">
        <v>0.96398010000000001</v>
      </c>
      <c r="Y7488">
        <v>-0.32174219999999998</v>
      </c>
      <c r="Z7488">
        <v>3.7532870000000003E-2</v>
      </c>
      <c r="AA7488">
        <v>0.94608309999999995</v>
      </c>
      <c r="AB7488">
        <v>21</v>
      </c>
      <c r="AC7488">
        <v>6.9818000000000202</v>
      </c>
      <c r="AD7488">
        <v>-1.1224707808249901</v>
      </c>
      <c r="AE7488">
        <v>-20.584329999999898</v>
      </c>
      <c r="AF7488">
        <v>-7.0428489194276302</v>
      </c>
      <c r="AG7488">
        <v>-1.1224707808249901</v>
      </c>
      <c r="AH7488">
        <v>20.502405096906099</v>
      </c>
      <c r="AI7488">
        <v>92.964039790402495</v>
      </c>
      <c r="AJ7488">
        <v>108.958278411734</v>
      </c>
      <c r="AK7488">
        <v>21.707378384165398</v>
      </c>
      <c r="AL7488">
        <v>83.353610354749193</v>
      </c>
      <c r="AM7488">
        <v>103.950951627368</v>
      </c>
      <c r="AN7488">
        <v>1.00000000840839</v>
      </c>
    </row>
    <row r="7489" spans="1:40" x14ac:dyDescent="0.25">
      <c r="A7489" t="str">
        <f>"20190303162103208"</f>
        <v>20190303162103208</v>
      </c>
      <c r="B7489" t="str">
        <f>"1551601263200112"</f>
        <v>1551601263200112</v>
      </c>
      <c r="C7489" t="s">
        <v>40</v>
      </c>
      <c r="D7489">
        <v>5.0323399999999996</v>
      </c>
      <c r="E7489">
        <v>0.4703234</v>
      </c>
      <c r="F7489" t="s">
        <v>62</v>
      </c>
      <c r="G7489">
        <v>-415.90140000000002</v>
      </c>
      <c r="H7489" s="1">
        <v>-8.6727960000000001E-6</v>
      </c>
      <c r="I7489">
        <v>29.278739999999999</v>
      </c>
      <c r="J7489">
        <v>-422.56549999999999</v>
      </c>
      <c r="K7489">
        <v>1.122471</v>
      </c>
      <c r="L7489">
        <v>49.624180000000003</v>
      </c>
      <c r="M7489">
        <v>-2.253325E-3</v>
      </c>
      <c r="N7489">
        <v>-1.355963E-2</v>
      </c>
      <c r="O7489">
        <v>-0.99990559999999995</v>
      </c>
      <c r="P7489">
        <v>0.23928659999999999</v>
      </c>
      <c r="Q7489">
        <v>0.1027945</v>
      </c>
      <c r="R7489">
        <v>-0.96549240000000003</v>
      </c>
      <c r="S7489">
        <v>0.93789670000000003</v>
      </c>
      <c r="T7489">
        <v>-0.15794739999999999</v>
      </c>
      <c r="U7489">
        <v>-2.8926699999999999</v>
      </c>
      <c r="V7489">
        <v>-0.2417156</v>
      </c>
      <c r="W7489">
        <v>0.11533789999999999</v>
      </c>
      <c r="X7489">
        <v>0.96346810000000005</v>
      </c>
      <c r="Y7489">
        <v>-0.31020760000000003</v>
      </c>
      <c r="Z7489">
        <v>3.8301809999999999E-2</v>
      </c>
      <c r="AA7489">
        <v>0.94989690000000004</v>
      </c>
      <c r="AB7489">
        <v>21</v>
      </c>
      <c r="AC7489">
        <v>6.6640999999999604</v>
      </c>
      <c r="AD7489">
        <v>-1.122479672796</v>
      </c>
      <c r="AE7489">
        <v>-20.34544</v>
      </c>
      <c r="AF7489">
        <v>-6.6915376632633601</v>
      </c>
      <c r="AG7489">
        <v>-1.122479672796</v>
      </c>
      <c r="AH7489">
        <v>20.274637178508598</v>
      </c>
      <c r="AI7489">
        <v>93.009514155255204</v>
      </c>
      <c r="AJ7489">
        <v>108.26520236608</v>
      </c>
      <c r="AK7489">
        <v>21.379839794415599</v>
      </c>
      <c r="AL7489">
        <v>83.376885159968197</v>
      </c>
      <c r="AM7489">
        <v>104.08372847371101</v>
      </c>
      <c r="AN7489">
        <v>1.0000000210886799</v>
      </c>
    </row>
    <row r="7490" spans="1:40" x14ac:dyDescent="0.25">
      <c r="A7490" t="str">
        <f>"20190303162103230"</f>
        <v>20190303162103230</v>
      </c>
      <c r="B7490" t="str">
        <f>"1551601263219633"</f>
        <v>1551601263219633</v>
      </c>
      <c r="C7490" t="s">
        <v>40</v>
      </c>
      <c r="D7490">
        <v>5.031218</v>
      </c>
      <c r="E7490">
        <v>0.47202670000000002</v>
      </c>
      <c r="F7490" t="s">
        <v>62</v>
      </c>
      <c r="G7490">
        <v>-415.9554</v>
      </c>
      <c r="H7490" s="1">
        <v>-8.6402340000000004E-6</v>
      </c>
      <c r="I7490">
        <v>29.157859999999999</v>
      </c>
      <c r="J7490">
        <v>-422.5641</v>
      </c>
      <c r="K7490">
        <v>1.122492</v>
      </c>
      <c r="L7490">
        <v>49.42456</v>
      </c>
      <c r="M7490">
        <v>-6.8901429999999896E-4</v>
      </c>
      <c r="N7490">
        <v>-1.3558529999999999E-2</v>
      </c>
      <c r="O7490">
        <v>-0.99990809999999997</v>
      </c>
      <c r="P7490">
        <v>0.2422571</v>
      </c>
      <c r="Q7490">
        <v>0.1031405</v>
      </c>
      <c r="R7490">
        <v>-0.96471479999999998</v>
      </c>
      <c r="S7490">
        <v>0.93423460000000003</v>
      </c>
      <c r="T7490">
        <v>-0.15864410000000001</v>
      </c>
      <c r="U7490">
        <v>-2.8925779999999999</v>
      </c>
      <c r="V7490">
        <v>-0.2431798</v>
      </c>
      <c r="W7490">
        <v>0.11566709999999999</v>
      </c>
      <c r="X7490">
        <v>0.96306009999999997</v>
      </c>
      <c r="Y7490">
        <v>-0.307637099999999</v>
      </c>
      <c r="Z7490">
        <v>3.8568390000000001E-2</v>
      </c>
      <c r="AA7490">
        <v>0.95072179999999995</v>
      </c>
      <c r="AB7490">
        <v>20</v>
      </c>
      <c r="AC7490">
        <v>6.60869999999999</v>
      </c>
      <c r="AD7490">
        <v>-1.1225006402339901</v>
      </c>
      <c r="AE7490">
        <v>-20.2667</v>
      </c>
      <c r="AF7490">
        <v>-6.6043510900722202</v>
      </c>
      <c r="AG7490">
        <v>-1.1225006402339901</v>
      </c>
      <c r="AH7490">
        <v>20.206113396343898</v>
      </c>
      <c r="AI7490">
        <v>93.022614500022598</v>
      </c>
      <c r="AJ7490">
        <v>108.09993650423</v>
      </c>
      <c r="AK7490">
        <v>21.287660265848199</v>
      </c>
      <c r="AL7490">
        <v>83.357896324797395</v>
      </c>
      <c r="AM7490">
        <v>104.171376033258</v>
      </c>
      <c r="AN7490">
        <v>1.00000002468122</v>
      </c>
    </row>
    <row r="7491" spans="1:40" x14ac:dyDescent="0.25">
      <c r="A7491" t="str">
        <f>"20190303162103251"</f>
        <v>20190303162103251</v>
      </c>
      <c r="B7491" t="str">
        <f>"1551601263240128"</f>
        <v>1551601263240128</v>
      </c>
      <c r="C7491" t="s">
        <v>40</v>
      </c>
      <c r="D7491">
        <v>5.0348819999999996</v>
      </c>
      <c r="E7491">
        <v>0.47333730000000002</v>
      </c>
      <c r="F7491" t="s">
        <v>62</v>
      </c>
      <c r="G7491">
        <v>-415.89830000000001</v>
      </c>
      <c r="H7491" s="1">
        <v>-8.6090429999999994E-6</v>
      </c>
      <c r="I7491">
        <v>28.70234</v>
      </c>
      <c r="J7491">
        <v>-422.56229999999999</v>
      </c>
      <c r="K7491">
        <v>1.1225039999999999</v>
      </c>
      <c r="L7491">
        <v>49.222810000000003</v>
      </c>
      <c r="M7491">
        <v>9.2539670000000001E-4</v>
      </c>
      <c r="N7491">
        <v>-1.355754E-2</v>
      </c>
      <c r="O7491">
        <v>-0.99990789999999996</v>
      </c>
      <c r="P7491">
        <v>0.2444538</v>
      </c>
      <c r="Q7491">
        <v>0.1036137</v>
      </c>
      <c r="R7491">
        <v>-0.96410949999999995</v>
      </c>
      <c r="S7491">
        <v>0.93054199999999998</v>
      </c>
      <c r="T7491">
        <v>-0.15669939999999999</v>
      </c>
      <c r="U7491">
        <v>-2.892792</v>
      </c>
      <c r="V7491">
        <v>-0.24382509999999999</v>
      </c>
      <c r="W7491">
        <v>0.11612599999999999</v>
      </c>
      <c r="X7491">
        <v>0.96284159999999996</v>
      </c>
      <c r="Y7491">
        <v>-0.30498950000000002</v>
      </c>
      <c r="Z7491">
        <v>3.7964039999999998E-2</v>
      </c>
      <c r="AA7491">
        <v>0.95159870000000002</v>
      </c>
      <c r="AB7491">
        <v>20</v>
      </c>
      <c r="AC7491">
        <v>6.6639999999999802</v>
      </c>
      <c r="AD7491">
        <v>-1.122512609043</v>
      </c>
      <c r="AE7491">
        <v>-20.5204699999999</v>
      </c>
      <c r="AF7491">
        <v>-6.6270673567166396</v>
      </c>
      <c r="AG7491">
        <v>-1.122512609043</v>
      </c>
      <c r="AH7491">
        <v>20.471216122206702</v>
      </c>
      <c r="AI7491">
        <v>92.986311746005498</v>
      </c>
      <c r="AJ7491">
        <v>107.93812177769099</v>
      </c>
      <c r="AK7491">
        <v>21.546432322545101</v>
      </c>
      <c r="AL7491">
        <v>83.331424321281602</v>
      </c>
      <c r="AM7491">
        <v>104.21055386476201</v>
      </c>
      <c r="AN7491">
        <v>0.99999993697828304</v>
      </c>
    </row>
    <row r="7492" spans="1:40" x14ac:dyDescent="0.25">
      <c r="A7492" t="str">
        <f>"20190303162103274"</f>
        <v>20190303162103274</v>
      </c>
      <c r="B7492" t="str">
        <f>"1551601263270385"</f>
        <v>1551601263270385</v>
      </c>
      <c r="C7492" t="s">
        <v>40</v>
      </c>
      <c r="D7492">
        <v>5.0348389999999998</v>
      </c>
      <c r="E7492">
        <v>0.47486679999999998</v>
      </c>
      <c r="F7492" t="s">
        <v>62</v>
      </c>
      <c r="G7492">
        <v>-415.78089999999997</v>
      </c>
      <c r="H7492" s="1">
        <v>-8.5787529999999997E-6</v>
      </c>
      <c r="I7492">
        <v>28.066680000000002</v>
      </c>
      <c r="J7492">
        <v>-422.56020000000001</v>
      </c>
      <c r="K7492">
        <v>1.1225290000000001</v>
      </c>
      <c r="L7492">
        <v>49.022030000000001</v>
      </c>
      <c r="M7492">
        <v>2.5820639999999998E-3</v>
      </c>
      <c r="N7492">
        <v>-1.35567E-2</v>
      </c>
      <c r="O7492">
        <v>-0.99990489999999999</v>
      </c>
      <c r="P7492">
        <v>0.24547930000000001</v>
      </c>
      <c r="Q7492">
        <v>0.1036675</v>
      </c>
      <c r="R7492">
        <v>-0.96384300000000001</v>
      </c>
      <c r="S7492">
        <v>0.92733759999999998</v>
      </c>
      <c r="T7492">
        <v>-0.1535002</v>
      </c>
      <c r="U7492">
        <v>-2.8930359999999999</v>
      </c>
      <c r="V7492">
        <v>-0.24325959999999999</v>
      </c>
      <c r="W7492">
        <v>0.1161691</v>
      </c>
      <c r="X7492">
        <v>0.96297949999999999</v>
      </c>
      <c r="Y7492">
        <v>-0.30244680000000002</v>
      </c>
      <c r="Z7492">
        <v>3.6943990000000003E-2</v>
      </c>
      <c r="AA7492">
        <v>0.95245000000000002</v>
      </c>
      <c r="AB7492">
        <v>20</v>
      </c>
      <c r="AC7492">
        <v>6.7793000000000303</v>
      </c>
      <c r="AD7492">
        <v>-1.1225375787530001</v>
      </c>
      <c r="AE7492">
        <v>-20.955349999999999</v>
      </c>
      <c r="AF7492">
        <v>-6.7077399050391904</v>
      </c>
      <c r="AG7492">
        <v>-1.1225375787530001</v>
      </c>
      <c r="AH7492">
        <v>20.9184471754314</v>
      </c>
      <c r="AI7492">
        <v>92.925253033100702</v>
      </c>
      <c r="AJ7492">
        <v>107.77904375907001</v>
      </c>
      <c r="AK7492">
        <v>21.9962564424196</v>
      </c>
      <c r="AL7492">
        <v>83.328938502373504</v>
      </c>
      <c r="AM7492">
        <v>104.17697762252899</v>
      </c>
      <c r="AN7492">
        <v>1.00000000510361</v>
      </c>
    </row>
    <row r="7493" spans="1:40" x14ac:dyDescent="0.25">
      <c r="A7493" t="str">
        <f>"20190303162103296"</f>
        <v>20190303162103296</v>
      </c>
      <c r="B7493" t="str">
        <f>"1551601263290412"</f>
        <v>1551601263290412</v>
      </c>
      <c r="C7493" t="s">
        <v>40</v>
      </c>
      <c r="D7493">
        <v>5.0322760000000004</v>
      </c>
      <c r="E7493">
        <v>0.4756069</v>
      </c>
      <c r="F7493" t="s">
        <v>62</v>
      </c>
      <c r="G7493">
        <v>-415.75380000000001</v>
      </c>
      <c r="H7493" s="1">
        <v>-8.5348470000000002E-6</v>
      </c>
      <c r="I7493">
        <v>27.591950000000001</v>
      </c>
      <c r="J7493">
        <v>-422.55759999999998</v>
      </c>
      <c r="K7493">
        <v>1.1225670000000001</v>
      </c>
      <c r="L7493">
        <v>48.8172</v>
      </c>
      <c r="M7493">
        <v>4.3475919999999999E-3</v>
      </c>
      <c r="N7493">
        <v>-1.355612E-2</v>
      </c>
      <c r="O7493">
        <v>-0.99989890000000003</v>
      </c>
      <c r="P7493">
        <v>0.24541640000000001</v>
      </c>
      <c r="Q7493">
        <v>0.1032008</v>
      </c>
      <c r="R7493">
        <v>-0.96390909999999996</v>
      </c>
      <c r="S7493">
        <v>0.91937259999999998</v>
      </c>
      <c r="T7493">
        <v>-0.1516275</v>
      </c>
      <c r="U7493">
        <v>-2.8946839999999998</v>
      </c>
      <c r="V7493">
        <v>-0.2415021</v>
      </c>
      <c r="W7493">
        <v>0.11569119999999999</v>
      </c>
      <c r="X7493">
        <v>0.96347919999999998</v>
      </c>
      <c r="Y7493">
        <v>-0.2982341</v>
      </c>
      <c r="Z7493">
        <v>3.6360299999999998E-2</v>
      </c>
      <c r="AA7493">
        <v>0.95379999999999998</v>
      </c>
      <c r="AB7493">
        <v>20</v>
      </c>
      <c r="AC7493">
        <v>6.8037999999999599</v>
      </c>
      <c r="AD7493">
        <v>-1.1225755348469999</v>
      </c>
      <c r="AE7493">
        <v>-21.225249999999999</v>
      </c>
      <c r="AF7493">
        <v>-6.6944675105528901</v>
      </c>
      <c r="AG7493">
        <v>-1.1225755348469999</v>
      </c>
      <c r="AH7493">
        <v>21.200854754826601</v>
      </c>
      <c r="AI7493">
        <v>92.890531389121193</v>
      </c>
      <c r="AJ7493">
        <v>107.52424317011899</v>
      </c>
      <c r="AK7493">
        <v>22.2610043218302</v>
      </c>
      <c r="AL7493">
        <v>83.356505621775298</v>
      </c>
      <c r="AM7493">
        <v>104.07162750815699</v>
      </c>
      <c r="AN7493">
        <v>0.99999994344724297</v>
      </c>
    </row>
    <row r="7494" spans="1:40" x14ac:dyDescent="0.25">
      <c r="A7494" t="str">
        <f>"20190303162103318"</f>
        <v>20190303162103318</v>
      </c>
      <c r="B7494" t="str">
        <f>"1551601263309932"</f>
        <v>1551601263309932</v>
      </c>
      <c r="C7494" t="s">
        <v>40</v>
      </c>
      <c r="D7494">
        <v>5.0275089999999896</v>
      </c>
      <c r="E7494">
        <v>0.47627720000000001</v>
      </c>
      <c r="F7494" t="s">
        <v>62</v>
      </c>
      <c r="G7494">
        <v>-415.80079999999998</v>
      </c>
      <c r="H7494" s="1">
        <v>-8.4976379999999902E-6</v>
      </c>
      <c r="I7494">
        <v>27.40784</v>
      </c>
      <c r="J7494">
        <v>-422.55459999999999</v>
      </c>
      <c r="K7494">
        <v>1.1226160000000001</v>
      </c>
      <c r="L7494">
        <v>48.618290000000002</v>
      </c>
      <c r="M7494">
        <v>6.1574560000000004E-3</v>
      </c>
      <c r="N7494">
        <v>-1.35561E-2</v>
      </c>
      <c r="O7494">
        <v>-0.99988940000000004</v>
      </c>
      <c r="P7494">
        <v>0.2447626</v>
      </c>
      <c r="Q7494">
        <v>0.1036977</v>
      </c>
      <c r="R7494">
        <v>-0.96402189999999999</v>
      </c>
      <c r="S7494">
        <v>0.91394039999999999</v>
      </c>
      <c r="T7494">
        <v>-0.15184349999999999</v>
      </c>
      <c r="U7494">
        <v>-2.895905</v>
      </c>
      <c r="V7494">
        <v>-0.23911640000000001</v>
      </c>
      <c r="W7494">
        <v>0.1161715</v>
      </c>
      <c r="X7494">
        <v>0.9640164</v>
      </c>
      <c r="Y7494">
        <v>-0.29476279999999999</v>
      </c>
      <c r="Z7494">
        <v>3.645553E-2</v>
      </c>
      <c r="AA7494">
        <v>0.95487480000000002</v>
      </c>
      <c r="AB7494">
        <v>20</v>
      </c>
      <c r="AC7494">
        <v>6.7538000000000098</v>
      </c>
      <c r="AD7494">
        <v>-1.122624497638</v>
      </c>
      <c r="AE7494">
        <v>-21.210450000000002</v>
      </c>
      <c r="AF7494">
        <v>-6.6062546964482198</v>
      </c>
      <c r="AG7494">
        <v>-1.122624497638</v>
      </c>
      <c r="AH7494">
        <v>21.197721929989601</v>
      </c>
      <c r="AI7494">
        <v>92.894477480236802</v>
      </c>
      <c r="AJ7494">
        <v>107.30960755926699</v>
      </c>
      <c r="AK7494">
        <v>22.2316509035699</v>
      </c>
      <c r="AL7494">
        <v>83.328800321246703</v>
      </c>
      <c r="AM7494">
        <v>103.93060018230901</v>
      </c>
      <c r="AN7494">
        <v>1.0000000448150801</v>
      </c>
    </row>
    <row r="7495" spans="1:40" x14ac:dyDescent="0.25">
      <c r="A7495" t="str">
        <f>"20190303162103341"</f>
        <v>20190303162103341</v>
      </c>
      <c r="B7495" t="str">
        <f>"1551601263330428"</f>
        <v>1551601263330428</v>
      </c>
      <c r="C7495" t="s">
        <v>40</v>
      </c>
      <c r="D7495">
        <v>4.8232869999999997</v>
      </c>
      <c r="E7495">
        <v>0.47672579999999998</v>
      </c>
      <c r="F7495" t="s">
        <v>62</v>
      </c>
      <c r="G7495">
        <v>-415.77510000000001</v>
      </c>
      <c r="H7495" s="1">
        <v>-8.4552399999999994E-6</v>
      </c>
      <c r="I7495">
        <v>26.950659999999999</v>
      </c>
      <c r="J7495">
        <v>-422.55099999999999</v>
      </c>
      <c r="K7495">
        <v>1.1226849999999999</v>
      </c>
      <c r="L7495">
        <v>48.410159999999998</v>
      </c>
      <c r="M7495">
        <v>8.1665139999999997E-3</v>
      </c>
      <c r="N7495">
        <v>-1.3556820000000001E-2</v>
      </c>
      <c r="O7495">
        <v>-0.99987479999999995</v>
      </c>
      <c r="P7495">
        <v>0.24415319999999999</v>
      </c>
      <c r="Q7495">
        <v>0.10322720000000001</v>
      </c>
      <c r="R7495">
        <v>-0.96422699999999995</v>
      </c>
      <c r="S7495">
        <v>0.90670779999999995</v>
      </c>
      <c r="T7495">
        <v>-0.1501429</v>
      </c>
      <c r="U7495">
        <v>-2.897888</v>
      </c>
      <c r="V7495">
        <v>-0.23658309999999999</v>
      </c>
      <c r="W7495">
        <v>0.1156775</v>
      </c>
      <c r="X7495">
        <v>0.96470049999999996</v>
      </c>
      <c r="Y7495">
        <v>-0.29049199999999997</v>
      </c>
      <c r="Z7495">
        <v>3.5917839999999999E-2</v>
      </c>
      <c r="AA7495">
        <v>0.95620300000000003</v>
      </c>
      <c r="AB7495">
        <v>20</v>
      </c>
      <c r="AC7495">
        <v>6.7758999999999698</v>
      </c>
      <c r="AD7495">
        <v>-1.1226934552400001</v>
      </c>
      <c r="AE7495">
        <v>-21.459499999999998</v>
      </c>
      <c r="AF7495">
        <v>-6.5840215707233396</v>
      </c>
      <c r="AG7495">
        <v>-1.1226934552400001</v>
      </c>
      <c r="AH7495">
        <v>21.460711079959399</v>
      </c>
      <c r="AI7495">
        <v>92.863155894391696</v>
      </c>
      <c r="AJ7495">
        <v>107.05570944808601</v>
      </c>
      <c r="AK7495">
        <v>22.476029469096201</v>
      </c>
      <c r="AL7495">
        <v>83.357295929874098</v>
      </c>
      <c r="AM7495">
        <v>103.77926945319599</v>
      </c>
      <c r="AN7495">
        <v>0.99999995095605299</v>
      </c>
    </row>
    <row r="7496" spans="1:40" x14ac:dyDescent="0.25">
      <c r="A7496" t="str">
        <f>"20190303162103363"</f>
        <v>20190303162103363</v>
      </c>
      <c r="B7496" t="str">
        <f>"1551601263349948"</f>
        <v>1551601263349948</v>
      </c>
      <c r="C7496" t="s">
        <v>40</v>
      </c>
      <c r="D7496">
        <v>4.9695099999999996</v>
      </c>
      <c r="E7496">
        <v>0.4771359</v>
      </c>
      <c r="F7496" t="s">
        <v>62</v>
      </c>
      <c r="G7496">
        <v>-415.90289999999999</v>
      </c>
      <c r="H7496" s="1">
        <v>-8.4191579999999906E-6</v>
      </c>
      <c r="I7496">
        <v>27.028559999999999</v>
      </c>
      <c r="J7496">
        <v>-422.5471</v>
      </c>
      <c r="K7496">
        <v>1.1227579999999999</v>
      </c>
      <c r="L7496">
        <v>48.213099999999997</v>
      </c>
      <c r="M7496">
        <v>1.018876E-2</v>
      </c>
      <c r="N7496">
        <v>-1.3557980000000001E-2</v>
      </c>
      <c r="O7496">
        <v>-0.99985610000000003</v>
      </c>
      <c r="P7496">
        <v>0.24421419999999999</v>
      </c>
      <c r="Q7496">
        <v>0.1021441</v>
      </c>
      <c r="R7496">
        <v>-0.96432689999999999</v>
      </c>
      <c r="S7496">
        <v>0.90148930000000005</v>
      </c>
      <c r="T7496">
        <v>-0.15223780000000001</v>
      </c>
      <c r="U7496">
        <v>-2.8993530000000001</v>
      </c>
      <c r="V7496">
        <v>-0.23470679999999999</v>
      </c>
      <c r="W7496">
        <v>0.1145658</v>
      </c>
      <c r="X7496">
        <v>0.96529129999999996</v>
      </c>
      <c r="Y7496">
        <v>-0.28684120000000002</v>
      </c>
      <c r="Z7496">
        <v>3.6624980000000001E-2</v>
      </c>
      <c r="AA7496">
        <v>0.95727779999999996</v>
      </c>
      <c r="AB7496">
        <v>20</v>
      </c>
      <c r="AC7496">
        <v>6.6442000000000103</v>
      </c>
      <c r="AD7496">
        <v>-1.122766419158</v>
      </c>
      <c r="AE7496">
        <v>-21.184539999999998</v>
      </c>
      <c r="AF7496">
        <v>-6.4115941920049702</v>
      </c>
      <c r="AG7496">
        <v>-1.122766419158</v>
      </c>
      <c r="AH7496">
        <v>21.1969341727829</v>
      </c>
      <c r="AI7496">
        <v>92.902397556550099</v>
      </c>
      <c r="AJ7496">
        <v>106.82938127079299</v>
      </c>
      <c r="AK7496">
        <v>22.173839605269901</v>
      </c>
      <c r="AL7496">
        <v>83.421417964598803</v>
      </c>
      <c r="AM7496">
        <v>103.666051201356</v>
      </c>
      <c r="AN7496">
        <v>0.99999994917578305</v>
      </c>
    </row>
    <row r="7497" spans="1:40" x14ac:dyDescent="0.25">
      <c r="A7497" t="str">
        <f>"20190303162103387"</f>
        <v>20190303162103387</v>
      </c>
      <c r="B7497" t="str">
        <f>"1551601263380206"</f>
        <v>1551601263380206</v>
      </c>
      <c r="C7497" t="s">
        <v>40</v>
      </c>
      <c r="D7497">
        <v>4.7812939999999999</v>
      </c>
      <c r="E7497">
        <v>0.48979489999999998</v>
      </c>
      <c r="F7497" t="s">
        <v>62</v>
      </c>
      <c r="G7497">
        <v>-416.0668</v>
      </c>
      <c r="H7497" s="1">
        <v>-8.3890920000000005E-6</v>
      </c>
      <c r="I7497">
        <v>27.272739999999999</v>
      </c>
      <c r="J7497">
        <v>-422.54239999999999</v>
      </c>
      <c r="K7497">
        <v>1.1228340000000001</v>
      </c>
      <c r="L7497">
        <v>48.00638</v>
      </c>
      <c r="M7497">
        <v>1.244572E-2</v>
      </c>
      <c r="N7497">
        <v>-1.355951E-2</v>
      </c>
      <c r="O7497">
        <v>-0.99983069999999996</v>
      </c>
      <c r="P7497">
        <v>0.24560000000000001</v>
      </c>
      <c r="Q7497">
        <v>0.1008679</v>
      </c>
      <c r="R7497">
        <v>-0.96410879999999999</v>
      </c>
      <c r="S7497">
        <v>0.8974915</v>
      </c>
      <c r="T7497">
        <v>-0.155498</v>
      </c>
      <c r="U7497">
        <v>-2.9001459999999999</v>
      </c>
      <c r="V7497">
        <v>-0.23393069999999999</v>
      </c>
      <c r="W7497">
        <v>0.11325259999999999</v>
      </c>
      <c r="X7497">
        <v>0.96563460000000001</v>
      </c>
      <c r="Y7497">
        <v>-0.28338649999999999</v>
      </c>
      <c r="Z7497">
        <v>3.772143E-2</v>
      </c>
      <c r="AA7497">
        <v>0.95826359999999999</v>
      </c>
      <c r="AB7497">
        <v>20</v>
      </c>
      <c r="AC7497">
        <v>6.4755999999999796</v>
      </c>
      <c r="AD7497">
        <v>-1.1228423890920001</v>
      </c>
      <c r="AE7497">
        <v>-20.733640000000001</v>
      </c>
      <c r="AF7497">
        <v>-6.2004609116436802</v>
      </c>
      <c r="AG7497">
        <v>-1.1228423890920001</v>
      </c>
      <c r="AH7497">
        <v>20.7571681245362</v>
      </c>
      <c r="AI7497">
        <v>92.967051215803494</v>
      </c>
      <c r="AJ7497">
        <v>106.631632448395</v>
      </c>
      <c r="AK7497">
        <v>21.692545242497999</v>
      </c>
      <c r="AL7497">
        <v>83.4971517506022</v>
      </c>
      <c r="AM7497">
        <v>103.617885755907</v>
      </c>
      <c r="AN7497">
        <v>0.99999995226320304</v>
      </c>
    </row>
    <row r="7498" spans="1:40" x14ac:dyDescent="0.25">
      <c r="A7498" t="str">
        <f>"20190303162103409"</f>
        <v>20190303162103409</v>
      </c>
      <c r="B7498" t="str">
        <f>"1551601263399725"</f>
        <v>1551601263399725</v>
      </c>
      <c r="C7498" t="s">
        <v>40</v>
      </c>
      <c r="D7498">
        <v>4.9678839999999997</v>
      </c>
      <c r="E7498">
        <v>0.4904908</v>
      </c>
      <c r="F7498" t="s">
        <v>62</v>
      </c>
      <c r="G7498">
        <v>-415.70859999999999</v>
      </c>
      <c r="H7498" s="1">
        <v>-8.0621830000000007E-6</v>
      </c>
      <c r="I7498">
        <v>23.170970000000001</v>
      </c>
      <c r="J7498">
        <v>-422.53699999999998</v>
      </c>
      <c r="K7498">
        <v>1.122892</v>
      </c>
      <c r="L7498">
        <v>47.800960000000003</v>
      </c>
      <c r="M7498">
        <v>1.48209E-2</v>
      </c>
      <c r="N7498">
        <v>-1.3561139999999999E-2</v>
      </c>
      <c r="O7498">
        <v>-0.99979850000000003</v>
      </c>
      <c r="P7498">
        <v>0.24857290000000001</v>
      </c>
      <c r="Q7498">
        <v>9.9642220000000004E-2</v>
      </c>
      <c r="R7498">
        <v>-0.96347470000000002</v>
      </c>
      <c r="S7498">
        <v>0.80368039999999996</v>
      </c>
      <c r="T7498">
        <v>-0.13205220000000001</v>
      </c>
      <c r="U7498">
        <v>-2.920776</v>
      </c>
      <c r="V7498">
        <v>-0.2346299</v>
      </c>
      <c r="W7498">
        <v>0.11198619999999999</v>
      </c>
      <c r="X7498">
        <v>0.96561269999999999</v>
      </c>
      <c r="Y7498">
        <v>-0.25076409999999999</v>
      </c>
      <c r="Z7498">
        <v>3.0102529999999999E-2</v>
      </c>
      <c r="AA7498">
        <v>0.96758010000000005</v>
      </c>
      <c r="AB7498">
        <v>20</v>
      </c>
      <c r="AC7498">
        <v>6.8283999999999798</v>
      </c>
      <c r="AD7498">
        <v>-1.1229000621830001</v>
      </c>
      <c r="AE7498">
        <v>-24.629989999999999</v>
      </c>
      <c r="AF7498">
        <v>-6.4501279875913902</v>
      </c>
      <c r="AG7498">
        <v>-1.1229000621830001</v>
      </c>
      <c r="AH7498">
        <v>24.680858500287201</v>
      </c>
      <c r="AI7498">
        <v>92.520442207610003</v>
      </c>
      <c r="AJ7498">
        <v>104.646178062519</v>
      </c>
      <c r="AK7498">
        <v>25.534483192678099</v>
      </c>
      <c r="AL7498">
        <v>83.570175959188305</v>
      </c>
      <c r="AM7498">
        <v>103.65736451212599</v>
      </c>
      <c r="AN7498">
        <v>0.99999999268286999</v>
      </c>
    </row>
    <row r="7499" spans="1:40" x14ac:dyDescent="0.25">
      <c r="A7499" t="str">
        <f>"20190303162103431"</f>
        <v>20190303162103431</v>
      </c>
      <c r="B7499" t="str">
        <f>"1551601263420220"</f>
        <v>1551601263420220</v>
      </c>
      <c r="C7499" t="s">
        <v>40</v>
      </c>
      <c r="D7499">
        <v>4.7630980000000003</v>
      </c>
      <c r="E7499">
        <v>0.49024200000000001</v>
      </c>
      <c r="F7499" t="s">
        <v>62</v>
      </c>
      <c r="G7499">
        <v>-415.9171</v>
      </c>
      <c r="H7499" s="1">
        <v>-8.0544649999999998E-6</v>
      </c>
      <c r="I7499">
        <v>23.830629999999999</v>
      </c>
      <c r="J7499">
        <v>-422.53129999999999</v>
      </c>
      <c r="K7499">
        <v>1.1229359999999999</v>
      </c>
      <c r="L7499">
        <v>47.60483</v>
      </c>
      <c r="M7499">
        <v>1.7180669999999999E-2</v>
      </c>
      <c r="N7499">
        <v>-1.3562390000000001E-2</v>
      </c>
      <c r="O7499">
        <v>-0.99976039999999999</v>
      </c>
      <c r="P7499">
        <v>0.25209120000000002</v>
      </c>
      <c r="Q7499">
        <v>9.8369139999999994E-2</v>
      </c>
      <c r="R7499">
        <v>-0.96269079999999996</v>
      </c>
      <c r="S7499">
        <v>0.80636600000000003</v>
      </c>
      <c r="T7499">
        <v>-0.1367806</v>
      </c>
      <c r="U7499">
        <v>-2.9198300000000001</v>
      </c>
      <c r="V7499">
        <v>-0.2358874</v>
      </c>
      <c r="W7499">
        <v>0.11067920000000001</v>
      </c>
      <c r="X7499">
        <v>0.96545700000000001</v>
      </c>
      <c r="Y7499">
        <v>-0.24937129999999999</v>
      </c>
      <c r="Z7499">
        <v>3.1679829999999999E-2</v>
      </c>
      <c r="AA7499">
        <v>0.96788969999999996</v>
      </c>
      <c r="AB7499">
        <v>20</v>
      </c>
      <c r="AC7499">
        <v>6.6141999999999799</v>
      </c>
      <c r="AD7499">
        <v>-1.122944054465</v>
      </c>
      <c r="AE7499">
        <v>-23.7742</v>
      </c>
      <c r="AF7499">
        <v>-6.1919074307386799</v>
      </c>
      <c r="AG7499">
        <v>-1.122944054465</v>
      </c>
      <c r="AH7499">
        <v>23.834980911235402</v>
      </c>
      <c r="AI7499">
        <v>92.610862072769393</v>
      </c>
      <c r="AJ7499">
        <v>104.562534949284</v>
      </c>
      <c r="AK7499">
        <v>24.651714666920299</v>
      </c>
      <c r="AL7499">
        <v>83.645529960775605</v>
      </c>
      <c r="AM7499">
        <v>103.72992897828701</v>
      </c>
      <c r="AN7499">
        <v>0.99999998482019903</v>
      </c>
    </row>
    <row r="7500" spans="1:40" x14ac:dyDescent="0.25">
      <c r="A7500" t="str">
        <f>"20190303162103453"</f>
        <v>20190303162103453</v>
      </c>
      <c r="B7500" t="str">
        <f>"1551601263439740"</f>
        <v>1551601263439740</v>
      </c>
      <c r="C7500" t="s">
        <v>40</v>
      </c>
      <c r="D7500">
        <v>5.0271970000000001</v>
      </c>
      <c r="E7500">
        <v>0.48993779999999998</v>
      </c>
      <c r="F7500" t="s">
        <v>62</v>
      </c>
      <c r="G7500">
        <v>-415.7724</v>
      </c>
      <c r="H7500" s="1">
        <v>-8.0762260000000002E-6</v>
      </c>
      <c r="I7500">
        <v>23.543430000000001</v>
      </c>
      <c r="J7500">
        <v>-422.52499999999998</v>
      </c>
      <c r="K7500">
        <v>1.122962</v>
      </c>
      <c r="L7500">
        <v>47.405549999999998</v>
      </c>
      <c r="M7500">
        <v>1.9653339999999998E-2</v>
      </c>
      <c r="N7500">
        <v>-1.356312E-2</v>
      </c>
      <c r="O7500">
        <v>-0.99971509999999997</v>
      </c>
      <c r="P7500">
        <v>0.25616090000000002</v>
      </c>
      <c r="Q7500">
        <v>9.6986699999999995E-2</v>
      </c>
      <c r="R7500">
        <v>-0.96175639999999996</v>
      </c>
      <c r="S7500">
        <v>0.81903079999999995</v>
      </c>
      <c r="T7500">
        <v>-0.13607469999999999</v>
      </c>
      <c r="U7500">
        <v>-2.91568</v>
      </c>
      <c r="V7500">
        <v>-0.2375862</v>
      </c>
      <c r="W7500">
        <v>0.1092692</v>
      </c>
      <c r="X7500">
        <v>0.96520099999999998</v>
      </c>
      <c r="Y7500">
        <v>-0.25123179999999901</v>
      </c>
      <c r="Z7500">
        <v>3.1473069999999999E-2</v>
      </c>
      <c r="AA7500">
        <v>0.96741520000000003</v>
      </c>
      <c r="AB7500">
        <v>20</v>
      </c>
      <c r="AC7500">
        <v>6.75259999999997</v>
      </c>
      <c r="AD7500">
        <v>-1.122970076226</v>
      </c>
      <c r="AE7500">
        <v>-23.862120000000001</v>
      </c>
      <c r="AF7500">
        <v>-6.2694266059230097</v>
      </c>
      <c r="AG7500">
        <v>-1.122970076226</v>
      </c>
      <c r="AH7500">
        <v>23.941142003187899</v>
      </c>
      <c r="AI7500">
        <v>92.598038906468204</v>
      </c>
      <c r="AJ7500">
        <v>104.67443911563601</v>
      </c>
      <c r="AK7500">
        <v>24.7738784241782</v>
      </c>
      <c r="AL7500">
        <v>83.726809905095294</v>
      </c>
      <c r="AM7500">
        <v>103.828553670248</v>
      </c>
      <c r="AN7500">
        <v>0.999999965450039</v>
      </c>
    </row>
    <row r="7501" spans="1:40" x14ac:dyDescent="0.25">
      <c r="A7501" t="str">
        <f>"20190303162103476"</f>
        <v>20190303162103476</v>
      </c>
      <c r="B7501" t="str">
        <f>"1551601263469996"</f>
        <v>1551601263469996</v>
      </c>
      <c r="C7501" t="s">
        <v>40</v>
      </c>
      <c r="D7501">
        <v>4.743906</v>
      </c>
      <c r="E7501">
        <v>0.48978310000000003</v>
      </c>
      <c r="F7501" t="s">
        <v>62</v>
      </c>
      <c r="G7501">
        <v>-415.74209999999999</v>
      </c>
      <c r="H7501" s="1">
        <v>-8.1045759999999996E-6</v>
      </c>
      <c r="I7501">
        <v>23.716940000000001</v>
      </c>
      <c r="J7501">
        <v>-422.5179</v>
      </c>
      <c r="K7501">
        <v>1.1229789999999999</v>
      </c>
      <c r="L7501">
        <v>47.198180000000001</v>
      </c>
      <c r="M7501">
        <v>2.2286630000000002E-2</v>
      </c>
      <c r="N7501">
        <v>-1.356334E-2</v>
      </c>
      <c r="O7501">
        <v>-0.99965970000000004</v>
      </c>
      <c r="P7501">
        <v>0.2600326</v>
      </c>
      <c r="Q7501">
        <v>9.6520690000000006E-2</v>
      </c>
      <c r="R7501">
        <v>-0.96076379999999995</v>
      </c>
      <c r="S7501">
        <v>0.83358759999999998</v>
      </c>
      <c r="T7501">
        <v>-0.13800660000000001</v>
      </c>
      <c r="U7501">
        <v>-2.9111940000000001</v>
      </c>
      <c r="V7501">
        <v>-0.2389358</v>
      </c>
      <c r="W7501">
        <v>0.1087834</v>
      </c>
      <c r="X7501">
        <v>0.96492270000000002</v>
      </c>
      <c r="Y7501">
        <v>-0.2535386</v>
      </c>
      <c r="Z7501">
        <v>3.2135490000000003E-2</v>
      </c>
      <c r="AA7501">
        <v>0.96679130000000002</v>
      </c>
      <c r="AB7501">
        <v>20</v>
      </c>
      <c r="AC7501">
        <v>6.7758000000000003</v>
      </c>
      <c r="AD7501">
        <v>-1.122987104576</v>
      </c>
      <c r="AE7501">
        <v>-23.48124</v>
      </c>
      <c r="AF7501">
        <v>-6.2375808696910999</v>
      </c>
      <c r="AG7501">
        <v>-1.122987104576</v>
      </c>
      <c r="AH7501">
        <v>23.576650484038801</v>
      </c>
      <c r="AI7501">
        <v>92.6364389371019</v>
      </c>
      <c r="AJ7501">
        <v>104.818991572261</v>
      </c>
      <c r="AK7501">
        <v>24.4136634528599</v>
      </c>
      <c r="AL7501">
        <v>83.754811211308606</v>
      </c>
      <c r="AM7501">
        <v>103.907921037029</v>
      </c>
      <c r="AN7501">
        <v>0.99999998080624397</v>
      </c>
    </row>
    <row r="7502" spans="1:40" x14ac:dyDescent="0.25">
      <c r="A7502" t="str">
        <f>"20190303162103497"</f>
        <v>20190303162103497</v>
      </c>
      <c r="B7502" t="str">
        <f>"1551601263490493"</f>
        <v>1551601263490493</v>
      </c>
      <c r="C7502" t="s">
        <v>40</v>
      </c>
      <c r="D7502">
        <v>4.7528920000000001</v>
      </c>
      <c r="E7502">
        <v>0.48960209999999998</v>
      </c>
      <c r="F7502" t="s">
        <v>62</v>
      </c>
      <c r="G7502">
        <v>-415.42939999999999</v>
      </c>
      <c r="H7502" s="1">
        <v>-8.132392E-6</v>
      </c>
      <c r="I7502">
        <v>22.857500000000002</v>
      </c>
      <c r="J7502">
        <v>-422.51080000000002</v>
      </c>
      <c r="K7502">
        <v>1.122976</v>
      </c>
      <c r="L7502">
        <v>47.009830000000001</v>
      </c>
      <c r="M7502">
        <v>2.4714699999999999E-2</v>
      </c>
      <c r="N7502">
        <v>-1.356333E-2</v>
      </c>
      <c r="O7502">
        <v>-0.99960269999999996</v>
      </c>
      <c r="P7502">
        <v>0.26299879999999998</v>
      </c>
      <c r="Q7502">
        <v>9.5365699999999998E-2</v>
      </c>
      <c r="R7502">
        <v>-0.96007140000000002</v>
      </c>
      <c r="S7502">
        <v>0.84652709999999998</v>
      </c>
      <c r="T7502">
        <v>-0.13411149999999999</v>
      </c>
      <c r="U7502">
        <v>-2.90686</v>
      </c>
      <c r="V7502">
        <v>-0.23956859999999999</v>
      </c>
      <c r="W7502">
        <v>0.1076201</v>
      </c>
      <c r="X7502">
        <v>0.96489630000000004</v>
      </c>
      <c r="Y7502">
        <v>-0.25555420000000001</v>
      </c>
      <c r="Z7502">
        <v>3.0875329999999999E-2</v>
      </c>
      <c r="AA7502">
        <v>0.96630159999999998</v>
      </c>
      <c r="AB7502">
        <v>20</v>
      </c>
      <c r="AC7502">
        <v>7.0814000000000297</v>
      </c>
      <c r="AD7502">
        <v>-1.122984132392</v>
      </c>
      <c r="AE7502">
        <v>-24.152329999999999</v>
      </c>
      <c r="AF7502">
        <v>-6.4693853201442399</v>
      </c>
      <c r="AG7502">
        <v>-1.122984132392</v>
      </c>
      <c r="AH7502">
        <v>24.2716634949495</v>
      </c>
      <c r="AI7502">
        <v>92.559787899962402</v>
      </c>
      <c r="AJ7502">
        <v>104.924676878235</v>
      </c>
      <c r="AK7502">
        <v>25.1441382551514</v>
      </c>
      <c r="AL7502">
        <v>83.821857361220196</v>
      </c>
      <c r="AM7502">
        <v>103.943686171754</v>
      </c>
      <c r="AN7502">
        <v>1.0000000348918201</v>
      </c>
    </row>
    <row r="7503" spans="1:40" x14ac:dyDescent="0.25">
      <c r="A7503" t="str">
        <f>"20190303162103519"</f>
        <v>20190303162103519</v>
      </c>
      <c r="B7503" t="str">
        <f>"1551601263510013"</f>
        <v>1551601263510013</v>
      </c>
      <c r="C7503" t="s">
        <v>40</v>
      </c>
      <c r="D7503">
        <v>4.7148309999999896</v>
      </c>
      <c r="E7503">
        <v>0.48939310000000003</v>
      </c>
      <c r="F7503" t="s">
        <v>62</v>
      </c>
      <c r="G7503">
        <v>-415.35169999999999</v>
      </c>
      <c r="H7503" s="1">
        <v>-8.1506770000000002E-6</v>
      </c>
      <c r="I7503">
        <v>22.757539999999999</v>
      </c>
      <c r="J7503">
        <v>-422.50299999999999</v>
      </c>
      <c r="K7503">
        <v>1.1229739999999999</v>
      </c>
      <c r="L7503">
        <v>46.812159999999999</v>
      </c>
      <c r="M7503">
        <v>2.7283350000000001E-2</v>
      </c>
      <c r="N7503">
        <v>-1.356308E-2</v>
      </c>
      <c r="O7503">
        <v>-0.99953570000000003</v>
      </c>
      <c r="P7503">
        <v>0.26475549999999998</v>
      </c>
      <c r="Q7503">
        <v>9.4649369999999997E-2</v>
      </c>
      <c r="R7503">
        <v>-0.95965919999999905</v>
      </c>
      <c r="S7503">
        <v>0.85705569999999898</v>
      </c>
      <c r="T7503">
        <v>-0.13443759999999999</v>
      </c>
      <c r="U7503">
        <v>-2.9033509999999998</v>
      </c>
      <c r="V7503">
        <v>-0.23885129999999999</v>
      </c>
      <c r="W7503">
        <v>0.1069061</v>
      </c>
      <c r="X7503">
        <v>0.9651535</v>
      </c>
      <c r="Y7503">
        <v>-0.256608</v>
      </c>
      <c r="Z7503">
        <v>3.1007420000000001E-2</v>
      </c>
      <c r="AA7503">
        <v>0.96601800000000004</v>
      </c>
      <c r="AB7503">
        <v>20</v>
      </c>
      <c r="AC7503">
        <v>7.15130000000004</v>
      </c>
      <c r="AD7503">
        <v>-1.1229821506769999</v>
      </c>
      <c r="AE7503">
        <v>-24.05462</v>
      </c>
      <c r="AF7503">
        <v>-6.4793117181465796</v>
      </c>
      <c r="AG7503">
        <v>-1.1229821506769999</v>
      </c>
      <c r="AH7503">
        <v>24.192348637195799</v>
      </c>
      <c r="AI7503">
        <v>92.567343234105294</v>
      </c>
      <c r="AJ7503">
        <v>104.993351791188</v>
      </c>
      <c r="AK7503">
        <v>25.0701476229256</v>
      </c>
      <c r="AL7503">
        <v>83.863004140239397</v>
      </c>
      <c r="AM7503">
        <v>103.89999755442599</v>
      </c>
      <c r="AN7503">
        <v>1.0000000681455701</v>
      </c>
    </row>
    <row r="7504" spans="1:40" x14ac:dyDescent="0.25">
      <c r="A7504" t="str">
        <f>"20190303162103536"</f>
        <v>20190303162103536</v>
      </c>
      <c r="B7504" t="str">
        <f>"1551601263530508"</f>
        <v>1551601263530508</v>
      </c>
      <c r="C7504" t="s">
        <v>40</v>
      </c>
      <c r="D7504">
        <v>4.7182570000000004</v>
      </c>
      <c r="E7504">
        <v>0.48936380000000002</v>
      </c>
      <c r="F7504" t="s">
        <v>62</v>
      </c>
      <c r="G7504">
        <v>-415.3553</v>
      </c>
      <c r="H7504" s="1">
        <v>-8.1570069999999907E-6</v>
      </c>
      <c r="I7504">
        <v>22.834150000000001</v>
      </c>
      <c r="J7504">
        <v>-422.4966</v>
      </c>
      <c r="K7504">
        <v>1.1229769999999999</v>
      </c>
      <c r="L7504">
        <v>46.661499999999997</v>
      </c>
      <c r="M7504">
        <v>2.924734E-2</v>
      </c>
      <c r="N7504">
        <v>-1.3562630000000001E-2</v>
      </c>
      <c r="O7504">
        <v>-0.99948029999999999</v>
      </c>
      <c r="P7504">
        <v>0.26605790000000001</v>
      </c>
      <c r="Q7504">
        <v>9.4216289999999994E-2</v>
      </c>
      <c r="R7504">
        <v>-0.95934209999999998</v>
      </c>
      <c r="S7504">
        <v>0.86474609999999996</v>
      </c>
      <c r="T7504">
        <v>-0.13586210000000001</v>
      </c>
      <c r="U7504">
        <v>-2.9009399999999999</v>
      </c>
      <c r="V7504">
        <v>-0.23826130000000001</v>
      </c>
      <c r="W7504">
        <v>0.1064766</v>
      </c>
      <c r="X7504">
        <v>0.96534679999999995</v>
      </c>
      <c r="Y7504">
        <v>-0.25727509999999998</v>
      </c>
      <c r="Z7504">
        <v>3.1494479999999998E-2</v>
      </c>
      <c r="AA7504">
        <v>0.96582480000000004</v>
      </c>
      <c r="AB7504">
        <v>20</v>
      </c>
      <c r="AC7504">
        <v>7.1413000000000002</v>
      </c>
      <c r="AD7504">
        <v>-1.122985157007</v>
      </c>
      <c r="AE7504">
        <v>-23.827349999999999</v>
      </c>
      <c r="AF7504">
        <v>-6.42819207898106</v>
      </c>
      <c r="AG7504">
        <v>-1.122985157007</v>
      </c>
      <c r="AH7504">
        <v>23.977168703647401</v>
      </c>
      <c r="AI7504">
        <v>92.590183587455897</v>
      </c>
      <c r="AJ7504">
        <v>105.007867899453</v>
      </c>
      <c r="AK7504">
        <v>24.849293110877401</v>
      </c>
      <c r="AL7504">
        <v>83.887754008919202</v>
      </c>
      <c r="AM7504">
        <v>103.864319546676</v>
      </c>
      <c r="AN7504">
        <v>1.0000000788477399</v>
      </c>
    </row>
    <row r="7505" spans="1:40" x14ac:dyDescent="0.25">
      <c r="A7505" t="str">
        <f>"20190303162103553"</f>
        <v>20190303162103553</v>
      </c>
      <c r="B7505" t="str">
        <f>"1551601263540268"</f>
        <v>1551601263540268</v>
      </c>
      <c r="C7505" t="s">
        <v>40</v>
      </c>
      <c r="D7505">
        <v>4.7838450000000003</v>
      </c>
      <c r="E7505">
        <v>0.48934850000000002</v>
      </c>
      <c r="F7505" t="s">
        <v>62</v>
      </c>
      <c r="G7505">
        <v>-415.37209999999999</v>
      </c>
      <c r="H7505" s="1">
        <v>-8.1570869999999996E-6</v>
      </c>
      <c r="I7505">
        <v>22.896059999999999</v>
      </c>
      <c r="J7505">
        <v>-422.4898</v>
      </c>
      <c r="K7505">
        <v>1.1229739999999999</v>
      </c>
      <c r="L7505">
        <v>46.509219999999999</v>
      </c>
      <c r="M7505">
        <v>3.123327E-2</v>
      </c>
      <c r="N7505">
        <v>-1.356196E-2</v>
      </c>
      <c r="O7505">
        <v>-0.99942019999999998</v>
      </c>
      <c r="P7505">
        <v>0.26651520000000001</v>
      </c>
      <c r="Q7505">
        <v>9.4010440000000001E-2</v>
      </c>
      <c r="R7505">
        <v>-0.95923530000000001</v>
      </c>
      <c r="S7505">
        <v>0.86923220000000001</v>
      </c>
      <c r="T7505">
        <v>-0.13701140000000001</v>
      </c>
      <c r="U7505">
        <v>-2.8995359999999999</v>
      </c>
      <c r="V7505">
        <v>-0.23679900000000001</v>
      </c>
      <c r="W7505">
        <v>0.10628170000000001</v>
      </c>
      <c r="X7505">
        <v>0.96572789999999997</v>
      </c>
      <c r="Y7505">
        <v>-0.25685069999999999</v>
      </c>
      <c r="Z7505">
        <v>3.1889010000000002E-2</v>
      </c>
      <c r="AA7505">
        <v>0.96592489999999998</v>
      </c>
      <c r="AB7505">
        <v>20</v>
      </c>
      <c r="AC7505">
        <v>7.1177000000000099</v>
      </c>
      <c r="AD7505">
        <v>-1.122982157087</v>
      </c>
      <c r="AE7505">
        <v>-23.613160000000001</v>
      </c>
      <c r="AF7505">
        <v>-6.3634492904271003</v>
      </c>
      <c r="AG7505">
        <v>-1.122982157087</v>
      </c>
      <c r="AH7505">
        <v>23.774674258316399</v>
      </c>
      <c r="AI7505">
        <v>92.612494112920402</v>
      </c>
      <c r="AJ7505">
        <v>104.98435936750001</v>
      </c>
      <c r="AK7505">
        <v>24.6371611977927</v>
      </c>
      <c r="AL7505">
        <v>83.898984024934904</v>
      </c>
      <c r="AM7505">
        <v>103.777251424803</v>
      </c>
      <c r="AN7505">
        <v>0.99999997149714903</v>
      </c>
    </row>
    <row r="7506" spans="1:40" x14ac:dyDescent="0.25">
      <c r="A7506" t="str">
        <f>"20190303162103570"</f>
        <v>20190303162103570</v>
      </c>
      <c r="B7506" t="str">
        <f>"1551601263560764"</f>
        <v>1551601263560764</v>
      </c>
      <c r="C7506" t="s">
        <v>40</v>
      </c>
      <c r="D7506">
        <v>5.0244260000000001</v>
      </c>
      <c r="E7506">
        <v>0.48929329999999999</v>
      </c>
      <c r="F7506" t="s">
        <v>62</v>
      </c>
      <c r="G7506">
        <v>-415.47329999999999</v>
      </c>
      <c r="H7506" s="1">
        <v>-8.1461199999999995E-6</v>
      </c>
      <c r="I7506">
        <v>23.15446</v>
      </c>
      <c r="J7506">
        <v>-422.48309999999998</v>
      </c>
      <c r="K7506">
        <v>1.12297</v>
      </c>
      <c r="L7506">
        <v>46.36401</v>
      </c>
      <c r="M7506">
        <v>3.312648E-2</v>
      </c>
      <c r="N7506">
        <v>-1.3561119999999999E-2</v>
      </c>
      <c r="O7506">
        <v>-0.99935929999999995</v>
      </c>
      <c r="P7506">
        <v>0.26810430000000002</v>
      </c>
      <c r="Q7506">
        <v>9.4018270000000001E-2</v>
      </c>
      <c r="R7506">
        <v>-0.95879150000000002</v>
      </c>
      <c r="S7506">
        <v>0.87100219999999995</v>
      </c>
      <c r="T7506">
        <v>-0.13940130000000001</v>
      </c>
      <c r="U7506">
        <v>-2.8991389999999999</v>
      </c>
      <c r="V7506">
        <v>-0.23656840000000001</v>
      </c>
      <c r="W7506">
        <v>0.1062936</v>
      </c>
      <c r="X7506">
        <v>0.96578310000000001</v>
      </c>
      <c r="Y7506">
        <v>-0.25558890000000001</v>
      </c>
      <c r="Z7506">
        <v>3.2689650000000001E-2</v>
      </c>
      <c r="AA7506">
        <v>0.96623270000000006</v>
      </c>
      <c r="AB7506">
        <v>20</v>
      </c>
      <c r="AC7506">
        <v>7.0097999999999798</v>
      </c>
      <c r="AD7506">
        <v>-1.1229781461199999</v>
      </c>
      <c r="AE7506">
        <v>-23.20955</v>
      </c>
      <c r="AF7506">
        <v>-6.2236788326898704</v>
      </c>
      <c r="AG7506">
        <v>-1.1229781461199999</v>
      </c>
      <c r="AH7506">
        <v>23.378884969356601</v>
      </c>
      <c r="AI7506">
        <v>92.657606463722004</v>
      </c>
      <c r="AJ7506">
        <v>104.90695408077001</v>
      </c>
      <c r="AK7506">
        <v>24.2191560657993</v>
      </c>
      <c r="AL7506">
        <v>83.898298291917797</v>
      </c>
      <c r="AM7506">
        <v>103.76358855305899</v>
      </c>
      <c r="AN7506">
        <v>0.99999996676256397</v>
      </c>
    </row>
    <row r="7507" spans="1:40" x14ac:dyDescent="0.25">
      <c r="A7507" t="str">
        <f>"20190303162103587"</f>
        <v>20190303162103587</v>
      </c>
      <c r="B7507" t="str">
        <f>"1551601263580285"</f>
        <v>1551601263580285</v>
      </c>
      <c r="C7507" t="s">
        <v>40</v>
      </c>
      <c r="D7507">
        <v>4.9737600000000004</v>
      </c>
      <c r="E7507">
        <v>0.48922510000000002</v>
      </c>
      <c r="F7507" t="s">
        <v>62</v>
      </c>
      <c r="G7507">
        <v>-415.35390000000001</v>
      </c>
      <c r="H7507" s="1">
        <v>-8.1529719999999998E-6</v>
      </c>
      <c r="I7507">
        <v>22.788489999999999</v>
      </c>
      <c r="J7507">
        <v>-422.47579999999999</v>
      </c>
      <c r="K7507">
        <v>1.1229640000000001</v>
      </c>
      <c r="L7507">
        <v>46.212679999999999</v>
      </c>
      <c r="M7507">
        <v>3.5097490000000002E-2</v>
      </c>
      <c r="N7507">
        <v>-1.3560020000000001E-2</v>
      </c>
      <c r="O7507">
        <v>-0.99929179999999995</v>
      </c>
      <c r="P7507">
        <v>0.26946490000000001</v>
      </c>
      <c r="Q7507">
        <v>9.5076999999999995E-2</v>
      </c>
      <c r="R7507">
        <v>-0.95830519999999997</v>
      </c>
      <c r="S7507">
        <v>0.87619020000000003</v>
      </c>
      <c r="T7507">
        <v>-0.13801540000000001</v>
      </c>
      <c r="U7507">
        <v>-2.8974609999999998</v>
      </c>
      <c r="V7507">
        <v>-0.2360392</v>
      </c>
      <c r="W7507">
        <v>0.10735790000000001</v>
      </c>
      <c r="X7507">
        <v>0.96579490000000001</v>
      </c>
      <c r="Y7507">
        <v>-0.25542740000000003</v>
      </c>
      <c r="Z7507">
        <v>3.2246850000000001E-2</v>
      </c>
      <c r="AA7507">
        <v>0.96629039999999999</v>
      </c>
      <c r="AB7507">
        <v>20</v>
      </c>
      <c r="AC7507">
        <v>7.1218999999999797</v>
      </c>
      <c r="AD7507">
        <v>-1.12297215297199</v>
      </c>
      <c r="AE7507">
        <v>-23.424189999999999</v>
      </c>
      <c r="AF7507">
        <v>-6.2820889366028698</v>
      </c>
      <c r="AG7507">
        <v>-1.12297215297199</v>
      </c>
      <c r="AH7507">
        <v>23.6100677549395</v>
      </c>
      <c r="AI7507">
        <v>92.631693376304696</v>
      </c>
      <c r="AJ7507">
        <v>104.899854150256</v>
      </c>
      <c r="AK7507">
        <v>24.4573303378879</v>
      </c>
      <c r="AL7507">
        <v>83.836967679903907</v>
      </c>
      <c r="AM7507">
        <v>103.73380528334501</v>
      </c>
      <c r="AN7507">
        <v>1.00000000574753</v>
      </c>
    </row>
    <row r="7508" spans="1:40" x14ac:dyDescent="0.25">
      <c r="A7508" t="str">
        <f>"20190303162103611"</f>
        <v>20190303162103611</v>
      </c>
      <c r="B7508" t="str">
        <f>"1551601263599804"</f>
        <v>1551601263599804</v>
      </c>
      <c r="C7508" t="s">
        <v>40</v>
      </c>
      <c r="D7508">
        <v>4.9716809999999896</v>
      </c>
      <c r="E7508">
        <v>0.4891413</v>
      </c>
      <c r="F7508" t="s">
        <v>62</v>
      </c>
      <c r="G7508">
        <v>-415.05130000000003</v>
      </c>
      <c r="H7508" s="1">
        <v>-8.1639389999999999E-6</v>
      </c>
      <c r="I7508">
        <v>21.797080000000001</v>
      </c>
      <c r="J7508">
        <v>-422.46530000000001</v>
      </c>
      <c r="K7508">
        <v>1.1229549999999999</v>
      </c>
      <c r="L7508">
        <v>46.005519999999997</v>
      </c>
      <c r="M7508">
        <v>3.7790799999999999E-2</v>
      </c>
      <c r="N7508">
        <v>-1.3558239999999999E-2</v>
      </c>
      <c r="O7508">
        <v>-0.99919369999999996</v>
      </c>
      <c r="P7508">
        <v>0.27178639999999998</v>
      </c>
      <c r="Q7508">
        <v>9.5789250000000006E-2</v>
      </c>
      <c r="R7508">
        <v>-0.9575785</v>
      </c>
      <c r="S7508">
        <v>0.88067629999999997</v>
      </c>
      <c r="T7508">
        <v>-0.13320419999999999</v>
      </c>
      <c r="U7508">
        <v>-2.896118</v>
      </c>
      <c r="V7508">
        <v>-0.2357766</v>
      </c>
      <c r="W7508">
        <v>0.10807849999999999</v>
      </c>
      <c r="X7508">
        <v>0.96577860000000004</v>
      </c>
      <c r="Y7508">
        <v>-0.2543337</v>
      </c>
      <c r="Z7508">
        <v>3.067255E-2</v>
      </c>
      <c r="AA7508">
        <v>0.96662999999999999</v>
      </c>
      <c r="AB7508">
        <v>20</v>
      </c>
      <c r="AC7508">
        <v>7.4139999999999802</v>
      </c>
      <c r="AD7508">
        <v>-1.1229631639390001</v>
      </c>
      <c r="AE7508">
        <v>-24.20844</v>
      </c>
      <c r="AF7508">
        <v>-6.4810127496040097</v>
      </c>
      <c r="AG7508">
        <v>-1.1229631639390001</v>
      </c>
      <c r="AH7508">
        <v>24.423303777109702</v>
      </c>
      <c r="AI7508">
        <v>92.544612080394302</v>
      </c>
      <c r="AJ7508">
        <v>104.8615966859</v>
      </c>
      <c r="AK7508">
        <v>25.293523675381302</v>
      </c>
      <c r="AL7508">
        <v>83.795438266720794</v>
      </c>
      <c r="AM7508">
        <v>103.71932649586201</v>
      </c>
      <c r="AN7508">
        <v>0.99999993574388202</v>
      </c>
    </row>
    <row r="7509" spans="1:40" x14ac:dyDescent="0.25">
      <c r="A7509" t="str">
        <f>"20190303162103632"</f>
        <v>20190303162103632</v>
      </c>
      <c r="B7509" t="str">
        <f>"1551601263620301"</f>
        <v>1551601263620301</v>
      </c>
      <c r="C7509" t="s">
        <v>40</v>
      </c>
      <c r="D7509">
        <v>4.9674820000000004</v>
      </c>
      <c r="E7509">
        <v>0.48916890000000002</v>
      </c>
      <c r="F7509" t="s">
        <v>62</v>
      </c>
      <c r="G7509">
        <v>-414.80990000000003</v>
      </c>
      <c r="H7509" s="1">
        <v>-8.1796879999999995E-6</v>
      </c>
      <c r="I7509">
        <v>21.075900000000001</v>
      </c>
      <c r="J7509">
        <v>-422.45479999999998</v>
      </c>
      <c r="K7509">
        <v>1.122933</v>
      </c>
      <c r="L7509">
        <v>45.810580000000002</v>
      </c>
      <c r="M7509">
        <v>4.0316329999999997E-2</v>
      </c>
      <c r="N7509">
        <v>-1.355633E-2</v>
      </c>
      <c r="O7509">
        <v>-0.99909530000000002</v>
      </c>
      <c r="P7509">
        <v>0.27465909999999999</v>
      </c>
      <c r="Q7509">
        <v>9.6491080000000007E-2</v>
      </c>
      <c r="R7509">
        <v>-0.95668799999999998</v>
      </c>
      <c r="S7509">
        <v>0.88861080000000003</v>
      </c>
      <c r="T7509">
        <v>-0.1303494</v>
      </c>
      <c r="U7509">
        <v>-2.8937379999999999</v>
      </c>
      <c r="V7509">
        <v>-0.2362349</v>
      </c>
      <c r="W7509">
        <v>0.1087853</v>
      </c>
      <c r="X7509">
        <v>0.96558730000000004</v>
      </c>
      <c r="Y7509">
        <v>-0.2545443</v>
      </c>
      <c r="Z7509">
        <v>2.9744840000000002E-2</v>
      </c>
      <c r="AA7509">
        <v>0.96660360000000001</v>
      </c>
      <c r="AB7509">
        <v>20</v>
      </c>
      <c r="AC7509">
        <v>7.6448999999999501</v>
      </c>
      <c r="AD7509">
        <v>-1.122941179688</v>
      </c>
      <c r="AE7509">
        <v>-24.734679999999901</v>
      </c>
      <c r="AF7509">
        <v>-6.6289088965829803</v>
      </c>
      <c r="AG7509">
        <v>-1.122941179688</v>
      </c>
      <c r="AH7509">
        <v>24.975819570557199</v>
      </c>
      <c r="AI7509">
        <v>92.488311437489998</v>
      </c>
      <c r="AJ7509">
        <v>104.864338883103</v>
      </c>
      <c r="AK7509">
        <v>25.864937526954598</v>
      </c>
      <c r="AL7509">
        <v>83.754701830405693</v>
      </c>
      <c r="AM7509">
        <v>103.747603286364</v>
      </c>
      <c r="AN7509">
        <v>1.00000000169769</v>
      </c>
    </row>
    <row r="7510" spans="1:40" x14ac:dyDescent="0.25">
      <c r="A7510" t="str">
        <f>"20190303162103655"</f>
        <v>20190303162103655</v>
      </c>
      <c r="B7510" t="str">
        <f>"1551601263650556"</f>
        <v>1551601263650556</v>
      </c>
      <c r="C7510" t="s">
        <v>40</v>
      </c>
      <c r="D7510">
        <v>4.8365239999999998</v>
      </c>
      <c r="E7510">
        <v>0.48904170000000002</v>
      </c>
      <c r="F7510" t="s">
        <v>62</v>
      </c>
      <c r="G7510">
        <v>-414.53590000000003</v>
      </c>
      <c r="H7510" s="1">
        <v>-8.1996500000000003E-6</v>
      </c>
      <c r="I7510">
        <v>20.27881</v>
      </c>
      <c r="J7510">
        <v>-422.44380000000001</v>
      </c>
      <c r="K7510">
        <v>1.122911</v>
      </c>
      <c r="L7510">
        <v>45.612400000000001</v>
      </c>
      <c r="M7510">
        <v>4.2866580000000001E-2</v>
      </c>
      <c r="N7510">
        <v>-1.3554129999999999E-2</v>
      </c>
      <c r="O7510">
        <v>-0.99898920000000002</v>
      </c>
      <c r="P7510">
        <v>0.27853169999999999</v>
      </c>
      <c r="Q7510">
        <v>9.6812839999999997E-2</v>
      </c>
      <c r="R7510">
        <v>-0.95553540000000003</v>
      </c>
      <c r="S7510">
        <v>0.89672850000000004</v>
      </c>
      <c r="T7510">
        <v>-0.1271613</v>
      </c>
      <c r="U7510">
        <v>-2.8912049999999998</v>
      </c>
      <c r="V7510">
        <v>-0.2376788</v>
      </c>
      <c r="W7510">
        <v>0.1091085</v>
      </c>
      <c r="X7510">
        <v>0.96519639999999995</v>
      </c>
      <c r="Y7510">
        <v>-0.25480190000000003</v>
      </c>
      <c r="Z7510">
        <v>2.8707529999999998E-2</v>
      </c>
      <c r="AA7510">
        <v>0.96656699999999995</v>
      </c>
      <c r="AB7510">
        <v>20</v>
      </c>
      <c r="AC7510">
        <v>7.9078999999999802</v>
      </c>
      <c r="AD7510">
        <v>-1.1229191996500001</v>
      </c>
      <c r="AE7510">
        <v>-25.333590000000001</v>
      </c>
      <c r="AF7510">
        <v>-6.8023877614703103</v>
      </c>
      <c r="AG7510">
        <v>-1.1229191996500001</v>
      </c>
      <c r="AH7510">
        <v>25.6034772372799</v>
      </c>
      <c r="AI7510">
        <v>92.427176191785094</v>
      </c>
      <c r="AJ7510">
        <v>104.878742447042</v>
      </c>
      <c r="AK7510">
        <v>26.515494968532099</v>
      </c>
      <c r="AL7510">
        <v>83.7360728338504</v>
      </c>
      <c r="AM7510">
        <v>103.833799794266</v>
      </c>
      <c r="AN7510">
        <v>0.99999998365732401</v>
      </c>
    </row>
    <row r="7511" spans="1:40" x14ac:dyDescent="0.25">
      <c r="A7511" t="str">
        <f>"20190303162103676"</f>
        <v>20190303162103676</v>
      </c>
      <c r="B7511" t="str">
        <f>"1551601263670076"</f>
        <v>1551601263670076</v>
      </c>
      <c r="C7511" t="s">
        <v>40</v>
      </c>
      <c r="D7511">
        <v>4.96692</v>
      </c>
      <c r="E7511">
        <v>0.48896240000000002</v>
      </c>
      <c r="F7511" t="s">
        <v>62</v>
      </c>
      <c r="G7511">
        <v>-414.30579999999998</v>
      </c>
      <c r="H7511" s="1">
        <v>-8.2309329999999997E-6</v>
      </c>
      <c r="I7511">
        <v>19.75433</v>
      </c>
      <c r="J7511">
        <v>-422.43259999999998</v>
      </c>
      <c r="K7511">
        <v>1.1228929999999999</v>
      </c>
      <c r="L7511">
        <v>45.419069999999998</v>
      </c>
      <c r="M7511">
        <v>4.5329420000000002E-2</v>
      </c>
      <c r="N7511">
        <v>-1.35517E-2</v>
      </c>
      <c r="O7511">
        <v>-0.9988804</v>
      </c>
      <c r="P7511">
        <v>0.2822422</v>
      </c>
      <c r="Q7511">
        <v>9.697538E-2</v>
      </c>
      <c r="R7511">
        <v>-0.95442969999999905</v>
      </c>
      <c r="S7511">
        <v>0.90872189999999997</v>
      </c>
      <c r="T7511">
        <v>-0.1253899</v>
      </c>
      <c r="U7511">
        <v>-2.8874209999999998</v>
      </c>
      <c r="V7511">
        <v>-0.23904529999999999</v>
      </c>
      <c r="W7511">
        <v>0.1092735</v>
      </c>
      <c r="X7511">
        <v>0.96484020000000004</v>
      </c>
      <c r="Y7511">
        <v>-0.25643850000000001</v>
      </c>
      <c r="Z7511">
        <v>2.8140459999999999E-2</v>
      </c>
      <c r="AA7511">
        <v>0.96615079999999998</v>
      </c>
      <c r="AB7511">
        <v>20</v>
      </c>
      <c r="AC7511">
        <v>8.1267999999999994</v>
      </c>
      <c r="AD7511">
        <v>-1.122901230933</v>
      </c>
      <c r="AE7511">
        <v>-25.664739999999998</v>
      </c>
      <c r="AF7511">
        <v>-6.9428909706366797</v>
      </c>
      <c r="AG7511">
        <v>-1.122901230933</v>
      </c>
      <c r="AH7511">
        <v>25.961601919842199</v>
      </c>
      <c r="AI7511">
        <v>92.392656396882202</v>
      </c>
      <c r="AJ7511">
        <v>104.972199902971</v>
      </c>
      <c r="AK7511">
        <v>26.897386795912599</v>
      </c>
      <c r="AL7511">
        <v>83.726562155793602</v>
      </c>
      <c r="AM7511">
        <v>103.915190696556</v>
      </c>
      <c r="AN7511">
        <v>0.99999998239518995</v>
      </c>
    </row>
    <row r="7512" spans="1:40" x14ac:dyDescent="0.25">
      <c r="A7512" t="str">
        <f>"20190303162103698"</f>
        <v>20190303162103698</v>
      </c>
      <c r="B7512" t="str">
        <f>"1551601263690573"</f>
        <v>1551601263690573</v>
      </c>
      <c r="C7512" t="s">
        <v>40</v>
      </c>
      <c r="D7512">
        <v>5.0836610000000002</v>
      </c>
      <c r="E7512">
        <v>0.48897449999999998</v>
      </c>
      <c r="F7512" t="s">
        <v>62</v>
      </c>
      <c r="G7512">
        <v>-414.13400000000001</v>
      </c>
      <c r="H7512" s="1">
        <v>-1.112607E-5</v>
      </c>
      <c r="I7512">
        <v>19.423680000000001</v>
      </c>
      <c r="J7512">
        <v>-422.42110000000002</v>
      </c>
      <c r="K7512">
        <v>1.1228640000000001</v>
      </c>
      <c r="L7512">
        <v>45.230069999999998</v>
      </c>
      <c r="M7512">
        <v>4.7708460000000001E-2</v>
      </c>
      <c r="N7512">
        <v>-1.354902E-2</v>
      </c>
      <c r="O7512">
        <v>-0.99876949999999998</v>
      </c>
      <c r="P7512">
        <v>0.28555979999999997</v>
      </c>
      <c r="Q7512">
        <v>9.7008810000000001E-2</v>
      </c>
      <c r="R7512">
        <v>-0.95343840000000002</v>
      </c>
      <c r="S7512">
        <v>0.92056269999999996</v>
      </c>
      <c r="T7512">
        <v>-0.1245637</v>
      </c>
      <c r="U7512">
        <v>-2.883667</v>
      </c>
      <c r="V7512">
        <v>-0.24009720000000001</v>
      </c>
      <c r="W7512">
        <v>0.1093138</v>
      </c>
      <c r="X7512">
        <v>0.9645745</v>
      </c>
      <c r="Y7512">
        <v>-0.25810260000000002</v>
      </c>
      <c r="Z7512">
        <v>2.78856E-2</v>
      </c>
      <c r="AA7512">
        <v>0.96571499999999999</v>
      </c>
      <c r="AB7512">
        <v>20</v>
      </c>
      <c r="AC7512">
        <v>8.2871000000000095</v>
      </c>
      <c r="AD7512">
        <v>-1.1228751260699901</v>
      </c>
      <c r="AE7512">
        <v>-25.80639</v>
      </c>
      <c r="AF7512">
        <v>-7.0342930129139098</v>
      </c>
      <c r="AG7512">
        <v>-1.1228751260699901</v>
      </c>
      <c r="AH7512">
        <v>26.127558113773201</v>
      </c>
      <c r="AI7512">
        <v>92.376351609476501</v>
      </c>
      <c r="AJ7512">
        <v>105.068386831247</v>
      </c>
      <c r="AK7512">
        <v>27.081200485371198</v>
      </c>
      <c r="AL7512">
        <v>83.724239767162999</v>
      </c>
      <c r="AM7512">
        <v>103.977727183082</v>
      </c>
      <c r="AN7512">
        <v>1.0000000691842601</v>
      </c>
    </row>
    <row r="7513" spans="1:40" x14ac:dyDescent="0.25">
      <c r="A7513" t="str">
        <f>"20190303162103721"</f>
        <v>20190303162103721</v>
      </c>
      <c r="B7513" t="str">
        <f>"1551601263710092"</f>
        <v>1551601263710092</v>
      </c>
      <c r="C7513" t="s">
        <v>40</v>
      </c>
      <c r="D7513">
        <v>5.1652189999999996</v>
      </c>
      <c r="E7513">
        <v>0.48893170000000002</v>
      </c>
      <c r="F7513" t="s">
        <v>62</v>
      </c>
      <c r="G7513">
        <v>-414.00940000000003</v>
      </c>
      <c r="H7513" s="1">
        <v>-1.1137320000000001E-5</v>
      </c>
      <c r="I7513">
        <v>19.199590000000001</v>
      </c>
      <c r="J7513">
        <v>-422.40859999999998</v>
      </c>
      <c r="K7513">
        <v>1.1228320000000001</v>
      </c>
      <c r="L7513">
        <v>45.03</v>
      </c>
      <c r="M7513">
        <v>5.0195980000000001E-2</v>
      </c>
      <c r="N7513">
        <v>-1.3546010000000001E-2</v>
      </c>
      <c r="O7513">
        <v>-0.99864759999999997</v>
      </c>
      <c r="P7513">
        <v>0.28939350000000003</v>
      </c>
      <c r="Q7513">
        <v>9.6757099999999999E-2</v>
      </c>
      <c r="R7513">
        <v>-0.95230749999999997</v>
      </c>
      <c r="S7513">
        <v>0.93078609999999995</v>
      </c>
      <c r="T7513">
        <v>-0.1242504</v>
      </c>
      <c r="U7513">
        <v>-2.8803709999999998</v>
      </c>
      <c r="V7513">
        <v>-0.241567</v>
      </c>
      <c r="W7513">
        <v>0.10906780000000001</v>
      </c>
      <c r="X7513">
        <v>0.96423519999999896</v>
      </c>
      <c r="Y7513">
        <v>-0.25912370000000001</v>
      </c>
      <c r="Z7513">
        <v>2.7800869999999998E-2</v>
      </c>
      <c r="AA7513">
        <v>0.96544399999999997</v>
      </c>
      <c r="AB7513">
        <v>20</v>
      </c>
      <c r="AC7513">
        <v>8.3991999999999507</v>
      </c>
      <c r="AD7513">
        <v>-1.1228431373200001</v>
      </c>
      <c r="AE7513">
        <v>-25.830410000000001</v>
      </c>
      <c r="AF7513">
        <v>-7.0798093837959302</v>
      </c>
      <c r="AG7513">
        <v>-1.1228431373200001</v>
      </c>
      <c r="AH7513">
        <v>26.174755703299201</v>
      </c>
      <c r="AI7513">
        <v>92.371257124993804</v>
      </c>
      <c r="AJ7513">
        <v>105.135330695798</v>
      </c>
      <c r="AK7513">
        <v>27.138576118678401</v>
      </c>
      <c r="AL7513">
        <v>83.738418628181194</v>
      </c>
      <c r="AM7513">
        <v>104.06466133528799</v>
      </c>
      <c r="AN7513">
        <v>0.99999996070243902</v>
      </c>
    </row>
    <row r="7514" spans="1:40" x14ac:dyDescent="0.25">
      <c r="A7514" t="str">
        <f>"20190303162103737"</f>
        <v>20190303162103737</v>
      </c>
      <c r="B7514" t="str">
        <f>"1551601263730589"</f>
        <v>1551601263730589</v>
      </c>
      <c r="C7514" t="s">
        <v>40</v>
      </c>
      <c r="D7514">
        <v>4.916658</v>
      </c>
      <c r="E7514">
        <v>0.45359909999999998</v>
      </c>
      <c r="F7514" t="s">
        <v>62</v>
      </c>
      <c r="G7514">
        <v>-413.94970000000001</v>
      </c>
      <c r="H7514" s="1">
        <v>-1.1115749999999999E-5</v>
      </c>
      <c r="I7514">
        <v>19.214230000000001</v>
      </c>
      <c r="J7514">
        <v>-422.39929999999998</v>
      </c>
      <c r="K7514">
        <v>1.1228049999999901</v>
      </c>
      <c r="L7514">
        <v>44.886989999999997</v>
      </c>
      <c r="M7514">
        <v>5.1953180000000002E-2</v>
      </c>
      <c r="N7514">
        <v>-1.354381E-2</v>
      </c>
      <c r="O7514">
        <v>-0.99855769999999999</v>
      </c>
      <c r="P7514">
        <v>0.29165639999999998</v>
      </c>
      <c r="Q7514">
        <v>9.6406699999999998E-2</v>
      </c>
      <c r="R7514">
        <v>-0.95165239999999995</v>
      </c>
      <c r="S7514">
        <v>0.94253540000000002</v>
      </c>
      <c r="T7514">
        <v>-0.12511430000000001</v>
      </c>
      <c r="U7514">
        <v>-2.8765559999999999</v>
      </c>
      <c r="V7514">
        <v>-0.24215500000000001</v>
      </c>
      <c r="W7514">
        <v>0.1087241</v>
      </c>
      <c r="X7514">
        <v>0.96412659999999994</v>
      </c>
      <c r="Y7514">
        <v>-0.26135950000000002</v>
      </c>
      <c r="Z7514">
        <v>2.810286E-2</v>
      </c>
      <c r="AA7514">
        <v>0.96483240000000003</v>
      </c>
      <c r="AB7514">
        <v>20</v>
      </c>
      <c r="AC7514">
        <v>8.44959999999997</v>
      </c>
      <c r="AD7514">
        <v>-1.1228161157499901</v>
      </c>
      <c r="AE7514">
        <v>-25.67276</v>
      </c>
      <c r="AF7514">
        <v>-7.0920432038299204</v>
      </c>
      <c r="AG7514">
        <v>-1.1228161157499901</v>
      </c>
      <c r="AH7514">
        <v>26.0321791207916</v>
      </c>
      <c r="AI7514">
        <v>92.382997487283703</v>
      </c>
      <c r="AJ7514">
        <v>105.239462222797</v>
      </c>
      <c r="AK7514">
        <v>27.004298595071099</v>
      </c>
      <c r="AL7514">
        <v>83.7582294782584</v>
      </c>
      <c r="AM7514">
        <v>104.099057330159</v>
      </c>
      <c r="AN7514">
        <v>1.00000003738668</v>
      </c>
    </row>
    <row r="7515" spans="1:40" x14ac:dyDescent="0.25">
      <c r="A7515" t="str">
        <f>"20190303162103752"</f>
        <v>20190303162103752</v>
      </c>
      <c r="B7515" t="str">
        <f>"1551601263750109"</f>
        <v>1551601263750109</v>
      </c>
      <c r="C7515" t="s">
        <v>40</v>
      </c>
      <c r="D7515">
        <v>4.7906360000000001</v>
      </c>
      <c r="E7515">
        <v>0.39405630000000003</v>
      </c>
      <c r="F7515" t="s">
        <v>62</v>
      </c>
      <c r="G7515">
        <v>-414.26510000000002</v>
      </c>
      <c r="H7515" s="1">
        <v>-8.9026660000000007E-6</v>
      </c>
      <c r="I7515">
        <v>26.216370000000001</v>
      </c>
      <c r="J7515">
        <v>-422.39049999999997</v>
      </c>
      <c r="K7515">
        <v>1.1227860000000001</v>
      </c>
      <c r="L7515">
        <v>44.754579999999997</v>
      </c>
      <c r="M7515">
        <v>5.356818E-2</v>
      </c>
      <c r="N7515">
        <v>-1.354176E-2</v>
      </c>
      <c r="O7515">
        <v>-0.99847249999999999</v>
      </c>
      <c r="P7515">
        <v>0.29391990000000001</v>
      </c>
      <c r="Q7515">
        <v>9.6415870000000001E-2</v>
      </c>
      <c r="R7515">
        <v>-0.95095510000000005</v>
      </c>
      <c r="S7515">
        <v>1.21817</v>
      </c>
      <c r="T7515">
        <v>-0.16815260000000001</v>
      </c>
      <c r="U7515">
        <v>-2.7961119999999999</v>
      </c>
      <c r="V7515">
        <v>-0.24288650000000001</v>
      </c>
      <c r="W7515">
        <v>0.108736</v>
      </c>
      <c r="X7515">
        <v>0.96394120000000005</v>
      </c>
      <c r="Y7515">
        <v>-0.34921049999999998</v>
      </c>
      <c r="Z7515">
        <v>4.2127209999999998E-2</v>
      </c>
      <c r="AA7515">
        <v>0.93609679999999995</v>
      </c>
      <c r="AB7515">
        <v>20</v>
      </c>
      <c r="AC7515">
        <v>8.1253999999999493</v>
      </c>
      <c r="AD7515">
        <v>-1.122794902666</v>
      </c>
      <c r="AE7515">
        <v>-18.538209999999999</v>
      </c>
      <c r="AF7515">
        <v>-7.0987383957996597</v>
      </c>
      <c r="AG7515">
        <v>-1.122794902666</v>
      </c>
      <c r="AH7515">
        <v>18.888767079602101</v>
      </c>
      <c r="AI7515">
        <v>93.184809886944194</v>
      </c>
      <c r="AJ7515">
        <v>110.597123153693</v>
      </c>
      <c r="AK7515">
        <v>20.209855936965798</v>
      </c>
      <c r="AL7515">
        <v>83.757543378585297</v>
      </c>
      <c r="AM7515">
        <v>104.14255220515101</v>
      </c>
      <c r="AN7515">
        <v>1.00000000331784</v>
      </c>
    </row>
    <row r="7516" spans="1:40" x14ac:dyDescent="0.25">
      <c r="A7516" t="str">
        <f>"20190303162103766"</f>
        <v>20190303162103766</v>
      </c>
      <c r="B7516" t="str">
        <f>"1551601263759868"</f>
        <v>1551601263759868</v>
      </c>
      <c r="C7516" t="s">
        <v>40</v>
      </c>
      <c r="D7516">
        <v>4.6965029999999999</v>
      </c>
      <c r="E7516">
        <v>0.3824264</v>
      </c>
      <c r="F7516" t="s">
        <v>62</v>
      </c>
      <c r="G7516">
        <v>-411.19409999999999</v>
      </c>
      <c r="H7516" s="1">
        <v>-1.009312E-5</v>
      </c>
      <c r="I7516">
        <v>27.06992</v>
      </c>
      <c r="J7516">
        <v>-422.38220000000001</v>
      </c>
      <c r="K7516">
        <v>1.122771</v>
      </c>
      <c r="L7516">
        <v>44.631410000000002</v>
      </c>
      <c r="M7516">
        <v>5.5062229999999997E-2</v>
      </c>
      <c r="N7516">
        <v>-1.3539870000000001E-2</v>
      </c>
      <c r="O7516">
        <v>-0.99839120000000003</v>
      </c>
      <c r="P7516">
        <v>0.29578209999999999</v>
      </c>
      <c r="Q7516">
        <v>9.6405329999999997E-2</v>
      </c>
      <c r="R7516">
        <v>-0.95037850000000001</v>
      </c>
      <c r="S7516">
        <v>1.6794739999999999</v>
      </c>
      <c r="T7516">
        <v>-0.16842019999999999</v>
      </c>
      <c r="U7516">
        <v>-2.6527099999999999</v>
      </c>
      <c r="V7516">
        <v>-0.2433293</v>
      </c>
      <c r="W7516">
        <v>0.1087293</v>
      </c>
      <c r="X7516">
        <v>0.96383030000000003</v>
      </c>
      <c r="Y7516">
        <v>-0.4869347</v>
      </c>
      <c r="Z7516">
        <v>4.0942520000000003E-2</v>
      </c>
      <c r="AA7516">
        <v>0.87247819999999898</v>
      </c>
      <c r="AB7516">
        <v>20</v>
      </c>
      <c r="AC7516">
        <v>11.1881</v>
      </c>
      <c r="AD7516">
        <v>-1.12278109312</v>
      </c>
      <c r="AE7516">
        <v>-17.5614899999999</v>
      </c>
      <c r="AF7516">
        <v>-10.1744779163497</v>
      </c>
      <c r="AG7516">
        <v>-1.12278109312</v>
      </c>
      <c r="AH7516">
        <v>18.0983201008547</v>
      </c>
      <c r="AI7516">
        <v>93.0954330113547</v>
      </c>
      <c r="AJ7516">
        <v>119.34373800853101</v>
      </c>
      <c r="AK7516">
        <v>20.792542622929901</v>
      </c>
      <c r="AL7516">
        <v>83.757929704945994</v>
      </c>
      <c r="AM7516">
        <v>104.168862328682</v>
      </c>
      <c r="AN7516">
        <v>1.0000000280575301</v>
      </c>
    </row>
    <row r="7517" spans="1:40" x14ac:dyDescent="0.25">
      <c r="A7517" t="str">
        <f>"20190303162103782"</f>
        <v>20190303162103782</v>
      </c>
      <c r="B7517" t="str">
        <f>"1551601263770605"</f>
        <v>1551601263770605</v>
      </c>
      <c r="C7517" t="s">
        <v>40</v>
      </c>
      <c r="D7517">
        <v>4.926857</v>
      </c>
      <c r="E7517">
        <v>0.3792413</v>
      </c>
      <c r="F7517" t="s">
        <v>42</v>
      </c>
      <c r="G7517">
        <v>-421.815</v>
      </c>
      <c r="H7517">
        <v>1.062765</v>
      </c>
      <c r="I7517">
        <v>43.791350000000001</v>
      </c>
      <c r="J7517">
        <v>-422.3723</v>
      </c>
      <c r="K7517">
        <v>1.12276</v>
      </c>
      <c r="L7517">
        <v>44.487949999999998</v>
      </c>
      <c r="M7517">
        <v>5.6790529999999999E-2</v>
      </c>
      <c r="N7517">
        <v>-1.353769E-2</v>
      </c>
      <c r="O7517">
        <v>-0.99829449999999997</v>
      </c>
      <c r="P7517">
        <v>0.297481099999999</v>
      </c>
      <c r="Q7517">
        <v>9.6483659999999999E-2</v>
      </c>
      <c r="R7517">
        <v>-0.94984020000000002</v>
      </c>
      <c r="S7517">
        <v>1.7727660000000001</v>
      </c>
      <c r="T7517">
        <v>-0.18743219999999999</v>
      </c>
      <c r="U7517">
        <v>-2.623901</v>
      </c>
      <c r="V7517">
        <v>-0.24338129999999999</v>
      </c>
      <c r="W7517">
        <v>0.1088118</v>
      </c>
      <c r="X7517">
        <v>0.96380779999999999</v>
      </c>
      <c r="Y7517">
        <v>-0.51102890000000001</v>
      </c>
      <c r="Z7517">
        <v>4.6630199999999997E-2</v>
      </c>
      <c r="AA7517">
        <v>0.85829769999999905</v>
      </c>
      <c r="AB7517">
        <v>20</v>
      </c>
      <c r="AC7517">
        <v>0.55729999999999702</v>
      </c>
      <c r="AD7517">
        <v>-5.9995E-2</v>
      </c>
      <c r="AE7517">
        <v>-0.696599999999996</v>
      </c>
      <c r="AF7517">
        <v>-0.51450949313394201</v>
      </c>
      <c r="AG7517">
        <v>-5.9995E-2</v>
      </c>
      <c r="AH7517">
        <v>0.72385397466790002</v>
      </c>
      <c r="AI7517">
        <v>93.8647965429534</v>
      </c>
      <c r="AJ7517">
        <v>125.404903898923</v>
      </c>
      <c r="AK7517">
        <v>0.890103362083564</v>
      </c>
      <c r="AL7517">
        <v>83.753174227595906</v>
      </c>
      <c r="AM7517">
        <v>104.172085771783</v>
      </c>
      <c r="AN7517">
        <v>0.99999997017488396</v>
      </c>
    </row>
    <row r="7518" spans="1:40" x14ac:dyDescent="0.25">
      <c r="A7518" t="str">
        <f>"20190303162103796"</f>
        <v>20190303162103796</v>
      </c>
      <c r="B7518" t="str">
        <f>"1551601263790823"</f>
        <v>1551601263790823</v>
      </c>
      <c r="C7518" t="s">
        <v>40</v>
      </c>
      <c r="D7518">
        <v>4.7467730000000001</v>
      </c>
      <c r="E7518">
        <v>0.36924129999999999</v>
      </c>
      <c r="F7518" t="s">
        <v>42</v>
      </c>
      <c r="G7518">
        <v>-421.87380000000002</v>
      </c>
      <c r="H7518">
        <v>1.0668340000000001</v>
      </c>
      <c r="I7518">
        <v>43.76397</v>
      </c>
      <c r="J7518">
        <v>-422.36329999999998</v>
      </c>
      <c r="K7518">
        <v>1.1227510000000001</v>
      </c>
      <c r="L7518">
        <v>44.362490000000001</v>
      </c>
      <c r="M7518">
        <v>5.8295699999999999E-2</v>
      </c>
      <c r="N7518">
        <v>-1.353584E-2</v>
      </c>
      <c r="O7518">
        <v>-0.99820770000000003</v>
      </c>
      <c r="P7518">
        <v>0.29878320000000003</v>
      </c>
      <c r="Q7518">
        <v>9.7002099999999994E-2</v>
      </c>
      <c r="R7518">
        <v>-0.94937839999999996</v>
      </c>
      <c r="S7518">
        <v>1.801666</v>
      </c>
      <c r="T7518">
        <v>-0.20198669999999999</v>
      </c>
      <c r="U7518">
        <v>-2.6146850000000001</v>
      </c>
      <c r="V7518">
        <v>-0.24325289999999999</v>
      </c>
      <c r="W7518">
        <v>0.10933229999999999</v>
      </c>
      <c r="X7518">
        <v>0.96378140000000001</v>
      </c>
      <c r="Y7518">
        <v>-0.51744480000000004</v>
      </c>
      <c r="Z7518">
        <v>5.1140100000000001E-2</v>
      </c>
      <c r="AA7518">
        <v>0.85418700000000003</v>
      </c>
      <c r="AB7518">
        <v>20</v>
      </c>
      <c r="AC7518">
        <v>0.48949999999996402</v>
      </c>
      <c r="AD7518">
        <v>-5.5917000000000001E-2</v>
      </c>
      <c r="AE7518">
        <v>-0.59852000000000005</v>
      </c>
      <c r="AF7518">
        <v>-0.451412143325369</v>
      </c>
      <c r="AG7518">
        <v>-5.5917000000000001E-2</v>
      </c>
      <c r="AH7518">
        <v>0.62278311963742705</v>
      </c>
      <c r="AI7518">
        <v>94.157932585518495</v>
      </c>
      <c r="AJ7518">
        <v>125.935742264406</v>
      </c>
      <c r="AK7518">
        <v>0.77120584031497696</v>
      </c>
      <c r="AL7518">
        <v>83.723173321265804</v>
      </c>
      <c r="AM7518">
        <v>104.165282454909</v>
      </c>
      <c r="AN7518">
        <v>1.00000005608382</v>
      </c>
    </row>
    <row r="7519" spans="1:40" x14ac:dyDescent="0.25">
      <c r="A7519" t="str">
        <f>"20190303162103811"</f>
        <v>20190303162103811</v>
      </c>
      <c r="B7519" t="str">
        <f>"1551601263800584"</f>
        <v>1551601263800584</v>
      </c>
      <c r="C7519" t="s">
        <v>40</v>
      </c>
      <c r="D7519">
        <v>4.7016179999999999</v>
      </c>
      <c r="E7519">
        <v>0.36687540000000002</v>
      </c>
      <c r="F7519" t="s">
        <v>42</v>
      </c>
      <c r="G7519">
        <v>-421.81889999999999</v>
      </c>
      <c r="H7519">
        <v>1.059404</v>
      </c>
      <c r="I7519">
        <v>43.612870000000001</v>
      </c>
      <c r="J7519">
        <v>-422.35469999999998</v>
      </c>
      <c r="K7519">
        <v>1.1227469999999999</v>
      </c>
      <c r="L7519">
        <v>44.243929999999999</v>
      </c>
      <c r="M7519">
        <v>5.9718159999999999E-2</v>
      </c>
      <c r="N7519">
        <v>-1.353417E-2</v>
      </c>
      <c r="O7519">
        <v>-0.9981236</v>
      </c>
      <c r="P7519">
        <v>0.30050919999999998</v>
      </c>
      <c r="Q7519">
        <v>9.7322350000000002E-2</v>
      </c>
      <c r="R7519">
        <v>-0.94880070000000005</v>
      </c>
      <c r="S7519">
        <v>1.8811340000000001</v>
      </c>
      <c r="T7519">
        <v>-0.2188977</v>
      </c>
      <c r="U7519">
        <v>-2.5903019999999999</v>
      </c>
      <c r="V7519">
        <v>-0.2436345</v>
      </c>
      <c r="W7519">
        <v>0.10964980000000001</v>
      </c>
      <c r="X7519">
        <v>0.96364890000000003</v>
      </c>
      <c r="Y7519">
        <v>-0.53705849999999999</v>
      </c>
      <c r="Z7519">
        <v>5.6039369999999998E-2</v>
      </c>
      <c r="AA7519">
        <v>0.84168149999999997</v>
      </c>
      <c r="AB7519">
        <v>20</v>
      </c>
      <c r="AC7519">
        <v>0.53579999999999395</v>
      </c>
      <c r="AD7519">
        <v>-6.3342999999999899E-2</v>
      </c>
      <c r="AE7519">
        <v>-0.63105999999999796</v>
      </c>
      <c r="AF7519">
        <v>-0.49426063031364698</v>
      </c>
      <c r="AG7519">
        <v>-6.3342999999999899E-2</v>
      </c>
      <c r="AH7519">
        <v>0.65808057910369</v>
      </c>
      <c r="AI7519">
        <v>94.401036917461795</v>
      </c>
      <c r="AJ7519">
        <v>126.908893760262</v>
      </c>
      <c r="AK7519">
        <v>0.82545499872524297</v>
      </c>
      <c r="AL7519">
        <v>83.704871685709804</v>
      </c>
      <c r="AM7519">
        <v>104.18847943059301</v>
      </c>
      <c r="AN7519">
        <v>1.00000002535074</v>
      </c>
    </row>
    <row r="7520" spans="1:40" x14ac:dyDescent="0.25">
      <c r="A7520" t="str">
        <f>"20190303162103833"</f>
        <v>20190303162103833</v>
      </c>
      <c r="B7520" t="str">
        <f>"1551601263830840"</f>
        <v>1551601263830840</v>
      </c>
      <c r="C7520" t="s">
        <v>40</v>
      </c>
      <c r="D7520">
        <v>4.6677499999999998</v>
      </c>
      <c r="E7520">
        <v>0.36298629999999998</v>
      </c>
      <c r="F7520" t="s">
        <v>42</v>
      </c>
      <c r="G7520">
        <v>-421.76909999999998</v>
      </c>
      <c r="H7520">
        <v>1.053493</v>
      </c>
      <c r="I7520">
        <v>43.449440000000003</v>
      </c>
      <c r="J7520">
        <v>-422.34030000000001</v>
      </c>
      <c r="K7520">
        <v>1.1227480000000001</v>
      </c>
      <c r="L7520">
        <v>44.049469999999999</v>
      </c>
      <c r="M7520">
        <v>6.2057889999999997E-2</v>
      </c>
      <c r="N7520">
        <v>-1.3531720000000001E-2</v>
      </c>
      <c r="O7520">
        <v>-0.9979808</v>
      </c>
      <c r="P7520">
        <v>0.30464960000000002</v>
      </c>
      <c r="Q7520">
        <v>9.6019889999999997E-2</v>
      </c>
      <c r="R7520">
        <v>-0.94761200000000001</v>
      </c>
      <c r="S7520">
        <v>1.9035340000000001</v>
      </c>
      <c r="T7520">
        <v>-0.2250779</v>
      </c>
      <c r="U7520">
        <v>-2.5820919999999998</v>
      </c>
      <c r="V7520">
        <v>-0.2455743</v>
      </c>
      <c r="W7520">
        <v>0.1083331</v>
      </c>
      <c r="X7520">
        <v>0.96330539999999998</v>
      </c>
      <c r="Y7520">
        <v>-0.54102720000000004</v>
      </c>
      <c r="Z7520">
        <v>5.7906579999999999E-2</v>
      </c>
      <c r="AA7520">
        <v>0.83900919999999901</v>
      </c>
      <c r="AB7520">
        <v>20</v>
      </c>
      <c r="AC7520">
        <v>0.57120000000003202</v>
      </c>
      <c r="AD7520">
        <v>-6.9254999999999803E-2</v>
      </c>
      <c r="AE7520">
        <v>-0.60002999999999596</v>
      </c>
      <c r="AF7520">
        <v>-0.52916078619787998</v>
      </c>
      <c r="AG7520">
        <v>-6.9254999999999803E-2</v>
      </c>
      <c r="AH7520">
        <v>0.62992175737704903</v>
      </c>
      <c r="AI7520">
        <v>94.811902486097495</v>
      </c>
      <c r="AJ7520">
        <v>130.031672979452</v>
      </c>
      <c r="AK7520">
        <v>0.82559603505076795</v>
      </c>
      <c r="AL7520">
        <v>83.780765289514704</v>
      </c>
      <c r="AM7520">
        <v>104.301721970564</v>
      </c>
      <c r="AN7520">
        <v>1.0000000455226199</v>
      </c>
    </row>
    <row r="7521" spans="1:40" x14ac:dyDescent="0.25">
      <c r="A7521" t="str">
        <f>"20190303162103856"</f>
        <v>20190303162103856</v>
      </c>
      <c r="B7521" t="str">
        <f>"1551601263850359"</f>
        <v>1551601263850359</v>
      </c>
      <c r="C7521" t="s">
        <v>40</v>
      </c>
      <c r="D7521">
        <v>4.7540050000000003</v>
      </c>
      <c r="E7521">
        <v>0.363813</v>
      </c>
      <c r="F7521" t="s">
        <v>42</v>
      </c>
      <c r="G7521">
        <v>-421.75479999999999</v>
      </c>
      <c r="H7521">
        <v>1.0508679999999999</v>
      </c>
      <c r="I7521">
        <v>43.276359999999997</v>
      </c>
      <c r="J7521">
        <v>-422.32530000000003</v>
      </c>
      <c r="K7521">
        <v>1.1227590000000001</v>
      </c>
      <c r="L7521">
        <v>43.853270000000002</v>
      </c>
      <c r="M7521">
        <v>6.4442189999999996E-2</v>
      </c>
      <c r="N7521">
        <v>-1.3529660000000001E-2</v>
      </c>
      <c r="O7521">
        <v>-0.99782999999999999</v>
      </c>
      <c r="P7521">
        <v>0.3103108</v>
      </c>
      <c r="Q7521">
        <v>9.4454759999999999E-2</v>
      </c>
      <c r="R7521">
        <v>-0.94593139999999998</v>
      </c>
      <c r="S7521">
        <v>1.9429019999999999</v>
      </c>
      <c r="T7521">
        <v>-0.2385159</v>
      </c>
      <c r="U7521">
        <v>-2.5653990000000002</v>
      </c>
      <c r="V7521">
        <v>-0.2490252</v>
      </c>
      <c r="W7521">
        <v>0.10673870000000001</v>
      </c>
      <c r="X7521">
        <v>0.96259720000000004</v>
      </c>
      <c r="Y7521">
        <v>-0.54966930000000003</v>
      </c>
      <c r="Z7521">
        <v>6.1983669999999998E-2</v>
      </c>
      <c r="AA7521">
        <v>0.83307960000000003</v>
      </c>
      <c r="AB7521">
        <v>20</v>
      </c>
      <c r="AC7521">
        <v>0.57050000000003798</v>
      </c>
      <c r="AD7521">
        <v>-7.1890999999999899E-2</v>
      </c>
      <c r="AE7521">
        <v>-0.57691000000000503</v>
      </c>
      <c r="AF7521">
        <v>-0.52798796471658305</v>
      </c>
      <c r="AG7521">
        <v>-7.1890999999999899E-2</v>
      </c>
      <c r="AH7521">
        <v>0.60770712009582095</v>
      </c>
      <c r="AI7521">
        <v>95.103082629532807</v>
      </c>
      <c r="AJ7521">
        <v>130.98475726229699</v>
      </c>
      <c r="AK7521">
        <v>0.80823731080773398</v>
      </c>
      <c r="AL7521">
        <v>83.872650444663407</v>
      </c>
      <c r="AM7521">
        <v>104.504498721099</v>
      </c>
      <c r="AN7521">
        <v>1.00000003488028</v>
      </c>
    </row>
    <row r="7522" spans="1:40" x14ac:dyDescent="0.25">
      <c r="A7522" t="str">
        <f>"20190303162103877"</f>
        <v>20190303162103877</v>
      </c>
      <c r="B7522" t="str">
        <f>"1551601263869880"</f>
        <v>1551601263869880</v>
      </c>
      <c r="C7522" t="s">
        <v>40</v>
      </c>
      <c r="D7522">
        <v>4.760929</v>
      </c>
      <c r="E7522">
        <v>0.36367430000000001</v>
      </c>
      <c r="F7522" t="s">
        <v>42</v>
      </c>
      <c r="G7522">
        <v>-421.75060000000002</v>
      </c>
      <c r="H7522">
        <v>1.0506599999999999</v>
      </c>
      <c r="I7522">
        <v>43.100560000000002</v>
      </c>
      <c r="J7522">
        <v>-422.31009999999998</v>
      </c>
      <c r="K7522">
        <v>1.1227929999999999</v>
      </c>
      <c r="L7522">
        <v>43.661560000000001</v>
      </c>
      <c r="M7522">
        <v>6.6821770000000003E-2</v>
      </c>
      <c r="N7522">
        <v>-1.352825E-2</v>
      </c>
      <c r="O7522">
        <v>-0.99767340000000004</v>
      </c>
      <c r="P7522">
        <v>0.31518439999999998</v>
      </c>
      <c r="Q7522">
        <v>9.6012990000000006E-2</v>
      </c>
      <c r="R7522">
        <v>-0.94416120000000003</v>
      </c>
      <c r="S7522">
        <v>1.9523010000000001</v>
      </c>
      <c r="T7522">
        <v>-0.24479119999999999</v>
      </c>
      <c r="U7522">
        <v>-2.5554809999999999</v>
      </c>
      <c r="V7522">
        <v>-0.25171779999999999</v>
      </c>
      <c r="W7522">
        <v>0.1082596</v>
      </c>
      <c r="X7522">
        <v>0.96172659999999999</v>
      </c>
      <c r="Y7522">
        <v>-0.55108389999999996</v>
      </c>
      <c r="Z7522">
        <v>6.4066399999999996E-2</v>
      </c>
      <c r="AA7522">
        <v>0.83198680000000003</v>
      </c>
      <c r="AB7522">
        <v>20</v>
      </c>
      <c r="AC7522">
        <v>0.55949999999995703</v>
      </c>
      <c r="AD7522">
        <v>-7.2133000000000003E-2</v>
      </c>
      <c r="AE7522">
        <v>-0.56099999999999905</v>
      </c>
      <c r="AF7522">
        <v>-0.51647800791756604</v>
      </c>
      <c r="AG7522">
        <v>-7.2133000000000003E-2</v>
      </c>
      <c r="AH7522">
        <v>0.59222744069508604</v>
      </c>
      <c r="AI7522">
        <v>95.244797814421105</v>
      </c>
      <c r="AJ7522">
        <v>131.09148805637199</v>
      </c>
      <c r="AK7522">
        <v>0.78910458360330704</v>
      </c>
      <c r="AL7522">
        <v>83.785001299675102</v>
      </c>
      <c r="AM7522">
        <v>104.667306558021</v>
      </c>
      <c r="AN7522">
        <v>1.0000000224882699</v>
      </c>
    </row>
    <row r="7523" spans="1:40" x14ac:dyDescent="0.25">
      <c r="A7523" t="str">
        <f>"20190303162103895"</f>
        <v>20190303162103895</v>
      </c>
      <c r="B7523" t="str">
        <f>"1551601263890376"</f>
        <v>1551601263890376</v>
      </c>
      <c r="C7523" t="s">
        <v>40</v>
      </c>
      <c r="D7523">
        <v>4.738245</v>
      </c>
      <c r="E7523">
        <v>0.3641797</v>
      </c>
      <c r="F7523" t="s">
        <v>42</v>
      </c>
      <c r="G7523">
        <v>-421.74119999999999</v>
      </c>
      <c r="H7523">
        <v>1.0536030000000001</v>
      </c>
      <c r="I7523">
        <v>42.926369999999999</v>
      </c>
      <c r="J7523">
        <v>-422.298</v>
      </c>
      <c r="K7523">
        <v>1.122838</v>
      </c>
      <c r="L7523">
        <v>43.513849999999998</v>
      </c>
      <c r="M7523">
        <v>6.8714730000000002E-2</v>
      </c>
      <c r="N7523">
        <v>-1.3527839999999999E-2</v>
      </c>
      <c r="O7523">
        <v>-0.9975446</v>
      </c>
      <c r="P7523">
        <v>0.31778499999999998</v>
      </c>
      <c r="Q7523">
        <v>9.7045960000000001E-2</v>
      </c>
      <c r="R7523">
        <v>-0.9431832</v>
      </c>
      <c r="S7523">
        <v>1.968475</v>
      </c>
      <c r="T7523">
        <v>-0.23947669999999999</v>
      </c>
      <c r="U7523">
        <v>-2.5446170000000001</v>
      </c>
      <c r="V7523">
        <v>-0.25256469999999998</v>
      </c>
      <c r="W7523">
        <v>0.1092631</v>
      </c>
      <c r="X7523">
        <v>0.961391</v>
      </c>
      <c r="Y7523">
        <v>-0.55459429999999998</v>
      </c>
      <c r="Z7523">
        <v>6.242412E-2</v>
      </c>
      <c r="AA7523">
        <v>0.82977619999999896</v>
      </c>
      <c r="AB7523">
        <v>20</v>
      </c>
      <c r="AC7523">
        <v>0.55680000000000895</v>
      </c>
      <c r="AD7523">
        <v>-6.9234999999999894E-2</v>
      </c>
      <c r="AE7523">
        <v>-0.587479999999999</v>
      </c>
      <c r="AF7523">
        <v>-0.51137000328364002</v>
      </c>
      <c r="AG7523">
        <v>-6.9234999999999894E-2</v>
      </c>
      <c r="AH7523">
        <v>0.61982008478995698</v>
      </c>
      <c r="AI7523">
        <v>94.924585079204704</v>
      </c>
      <c r="AJ7523">
        <v>129.52364514443499</v>
      </c>
      <c r="AK7523">
        <v>0.80651701965447697</v>
      </c>
      <c r="AL7523">
        <v>83.727161756107506</v>
      </c>
      <c r="AM7523">
        <v>104.719429917626</v>
      </c>
      <c r="AN7523">
        <v>1.0000000037943499</v>
      </c>
    </row>
    <row r="7524" spans="1:40" x14ac:dyDescent="0.25">
      <c r="A7524" t="str">
        <f>"20190303162103910"</f>
        <v>20190303162103910</v>
      </c>
      <c r="B7524" t="str">
        <f>"1551601263900136"</f>
        <v>1551601263900136</v>
      </c>
      <c r="C7524" t="s">
        <v>40</v>
      </c>
      <c r="D7524">
        <v>4.743582</v>
      </c>
      <c r="E7524">
        <v>0.36424610000000002</v>
      </c>
      <c r="F7524" t="s">
        <v>42</v>
      </c>
      <c r="G7524">
        <v>-421.7115</v>
      </c>
      <c r="H7524">
        <v>1.053253</v>
      </c>
      <c r="I7524">
        <v>42.758240000000001</v>
      </c>
      <c r="J7524">
        <v>-422.28609999999998</v>
      </c>
      <c r="K7524">
        <v>1.1229020000000001</v>
      </c>
      <c r="L7524">
        <v>43.372619999999998</v>
      </c>
      <c r="M7524">
        <v>7.0590230000000004E-2</v>
      </c>
      <c r="N7524">
        <v>-1.3528210000000001E-2</v>
      </c>
      <c r="O7524">
        <v>-0.99741360000000001</v>
      </c>
      <c r="P7524">
        <v>0.32004569999999999</v>
      </c>
      <c r="Q7524">
        <v>9.9306820000000004E-2</v>
      </c>
      <c r="R7524">
        <v>-0.94218329999999995</v>
      </c>
      <c r="S7524">
        <v>1.9726870000000001</v>
      </c>
      <c r="T7524">
        <v>-0.23393420000000001</v>
      </c>
      <c r="U7524">
        <v>-2.5401310000000001</v>
      </c>
      <c r="V7524">
        <v>-0.25309949999999998</v>
      </c>
      <c r="W7524">
        <v>0.11148619999999999</v>
      </c>
      <c r="X7524">
        <v>0.96099500000000004</v>
      </c>
      <c r="Y7524">
        <v>-0.55466789999999999</v>
      </c>
      <c r="Z7524">
        <v>6.0745029999999998E-2</v>
      </c>
      <c r="AA7524">
        <v>0.82985149999999996</v>
      </c>
      <c r="AB7524">
        <v>20</v>
      </c>
      <c r="AC7524">
        <v>0.57459999999997502</v>
      </c>
      <c r="AD7524">
        <v>-6.9649000000000003E-2</v>
      </c>
      <c r="AE7524">
        <v>-0.61437999999999704</v>
      </c>
      <c r="AF7524">
        <v>-0.52618599280182299</v>
      </c>
      <c r="AG7524">
        <v>-6.9649000000000003E-2</v>
      </c>
      <c r="AH7524">
        <v>0.64896312629903496</v>
      </c>
      <c r="AI7524">
        <v>94.765396491552906</v>
      </c>
      <c r="AJ7524">
        <v>129.03549554280801</v>
      </c>
      <c r="AK7524">
        <v>0.83837689705624496</v>
      </c>
      <c r="AL7524">
        <v>83.599004164795105</v>
      </c>
      <c r="AM7524">
        <v>104.755053155914</v>
      </c>
      <c r="AN7524">
        <v>0.99999995985784396</v>
      </c>
    </row>
    <row r="7525" spans="1:40" x14ac:dyDescent="0.25">
      <c r="A7525" t="str">
        <f>"20190303162103927"</f>
        <v>20190303162103927</v>
      </c>
      <c r="B7525" t="str">
        <f>"1551601263920632"</f>
        <v>1551601263920632</v>
      </c>
      <c r="C7525" t="s">
        <v>40</v>
      </c>
      <c r="D7525">
        <v>4.7511429999999999</v>
      </c>
      <c r="E7525">
        <v>0.36444949999999998</v>
      </c>
      <c r="F7525" t="s">
        <v>42</v>
      </c>
      <c r="G7525">
        <v>-421.6764</v>
      </c>
      <c r="H7525">
        <v>1.05423</v>
      </c>
      <c r="I7525">
        <v>42.59196</v>
      </c>
      <c r="J7525">
        <v>-422.274</v>
      </c>
      <c r="K7525">
        <v>1.1229750000000001</v>
      </c>
      <c r="L7525">
        <v>43.232880000000002</v>
      </c>
      <c r="M7525">
        <v>7.2521210000000003E-2</v>
      </c>
      <c r="N7525">
        <v>-1.352942E-2</v>
      </c>
      <c r="O7525">
        <v>-0.99727520000000003</v>
      </c>
      <c r="P7525">
        <v>0.321737</v>
      </c>
      <c r="Q7525">
        <v>0.1011589</v>
      </c>
      <c r="R7525">
        <v>-0.94141010000000003</v>
      </c>
      <c r="S7525">
        <v>1.979584</v>
      </c>
      <c r="T7525">
        <v>-0.22300790000000001</v>
      </c>
      <c r="U7525">
        <v>-2.5351560000000002</v>
      </c>
      <c r="V7525">
        <v>-0.25300339999999999</v>
      </c>
      <c r="W7525">
        <v>0.1132972</v>
      </c>
      <c r="X7525">
        <v>0.96080849999999995</v>
      </c>
      <c r="Y7525">
        <v>-0.55538489999999996</v>
      </c>
      <c r="Z7525">
        <v>5.7341570000000001E-2</v>
      </c>
      <c r="AA7525">
        <v>0.82961409999999902</v>
      </c>
      <c r="AB7525">
        <v>20</v>
      </c>
      <c r="AC7525">
        <v>0.59759999999999902</v>
      </c>
      <c r="AD7525">
        <v>-6.8745000000000001E-2</v>
      </c>
      <c r="AE7525">
        <v>-0.64092000000000104</v>
      </c>
      <c r="AF7525">
        <v>-0.54618027924204304</v>
      </c>
      <c r="AG7525">
        <v>-6.8745000000000001E-2</v>
      </c>
      <c r="AH7525">
        <v>0.67839966176117505</v>
      </c>
      <c r="AI7525">
        <v>94.513103555953293</v>
      </c>
      <c r="AJ7525">
        <v>128.837577878899</v>
      </c>
      <c r="AK7525">
        <v>0.87365031536398696</v>
      </c>
      <c r="AL7525">
        <v>83.494579952142999</v>
      </c>
      <c r="AM7525">
        <v>104.75243323690199</v>
      </c>
      <c r="AN7525">
        <v>0.99999997480582403</v>
      </c>
    </row>
    <row r="7526" spans="1:40" x14ac:dyDescent="0.25">
      <c r="A7526" t="str">
        <f>"20190303162103942"</f>
        <v>20190303162103942</v>
      </c>
      <c r="B7526" t="str">
        <f>"1551601263930392"</f>
        <v>1551601263930392</v>
      </c>
      <c r="C7526" t="s">
        <v>40</v>
      </c>
      <c r="D7526">
        <v>4.7144979999999999</v>
      </c>
      <c r="E7526">
        <v>0.3646025</v>
      </c>
      <c r="F7526" t="s">
        <v>42</v>
      </c>
      <c r="G7526">
        <v>-421.642</v>
      </c>
      <c r="H7526">
        <v>1.055315</v>
      </c>
      <c r="I7526">
        <v>42.425840000000001</v>
      </c>
      <c r="J7526">
        <v>-422.26260000000002</v>
      </c>
      <c r="K7526">
        <v>1.1230599999999999</v>
      </c>
      <c r="L7526">
        <v>43.104610000000001</v>
      </c>
      <c r="M7526">
        <v>7.4381740000000002E-2</v>
      </c>
      <c r="N7526">
        <v>-1.353155E-2</v>
      </c>
      <c r="O7526">
        <v>-0.99713830000000003</v>
      </c>
      <c r="P7526">
        <v>0.3230731</v>
      </c>
      <c r="Q7526">
        <v>0.1016802</v>
      </c>
      <c r="R7526">
        <v>-0.94089599999999995</v>
      </c>
      <c r="S7526">
        <v>1.983948</v>
      </c>
      <c r="T7526">
        <v>-0.2122434</v>
      </c>
      <c r="U7526">
        <v>-2.5314939999999999</v>
      </c>
      <c r="V7526">
        <v>-0.25260050000000001</v>
      </c>
      <c r="W7526">
        <v>0.11377660000000001</v>
      </c>
      <c r="X7526">
        <v>0.96085790000000004</v>
      </c>
      <c r="Y7526">
        <v>-0.55542899999999995</v>
      </c>
      <c r="Z7526">
        <v>5.3989870000000002E-2</v>
      </c>
      <c r="AA7526">
        <v>0.82980940000000003</v>
      </c>
      <c r="AB7526">
        <v>20</v>
      </c>
      <c r="AC7526">
        <v>0.62060000000002402</v>
      </c>
      <c r="AD7526">
        <v>-6.7744999999999903E-2</v>
      </c>
      <c r="AE7526">
        <v>-0.67876999999999998</v>
      </c>
      <c r="AF7526">
        <v>-0.56532060800192496</v>
      </c>
      <c r="AG7526">
        <v>-6.7744999999999903E-2</v>
      </c>
      <c r="AH7526">
        <v>0.71915302754446897</v>
      </c>
      <c r="AI7526">
        <v>94.235504256269607</v>
      </c>
      <c r="AJ7526">
        <v>128.170613143765</v>
      </c>
      <c r="AK7526">
        <v>0.91725560880435197</v>
      </c>
      <c r="AL7526">
        <v>83.466933854992803</v>
      </c>
      <c r="AM7526">
        <v>104.729238380114</v>
      </c>
      <c r="AN7526">
        <v>1.0000000156501001</v>
      </c>
    </row>
    <row r="7527" spans="1:40" x14ac:dyDescent="0.25">
      <c r="A7527" t="str">
        <f>"20190303162103956"</f>
        <v>20190303162103956</v>
      </c>
      <c r="B7527" t="str">
        <f>"1551601263949911"</f>
        <v>1551601263949911</v>
      </c>
      <c r="C7527" t="s">
        <v>40</v>
      </c>
      <c r="D7527">
        <v>4.696275</v>
      </c>
      <c r="E7527">
        <v>0.36511729999999998</v>
      </c>
      <c r="F7527" t="s">
        <v>42</v>
      </c>
      <c r="G7527">
        <v>-421.7122</v>
      </c>
      <c r="H7527">
        <v>1.06569</v>
      </c>
      <c r="I7527">
        <v>42.404110000000003</v>
      </c>
      <c r="J7527">
        <v>-422.25119999999998</v>
      </c>
      <c r="K7527">
        <v>1.123154</v>
      </c>
      <c r="L7527">
        <v>42.980440000000002</v>
      </c>
      <c r="M7527">
        <v>7.6273060000000004E-2</v>
      </c>
      <c r="N7527">
        <v>-1.353449E-2</v>
      </c>
      <c r="O7527">
        <v>-0.99699519999999997</v>
      </c>
      <c r="P7527">
        <v>0.32431459999999901</v>
      </c>
      <c r="Q7527">
        <v>0.1026176</v>
      </c>
      <c r="R7527">
        <v>-0.94036679999999995</v>
      </c>
      <c r="S7527">
        <v>1.987854</v>
      </c>
      <c r="T7527">
        <v>-0.207065</v>
      </c>
      <c r="U7527">
        <v>-2.5282589999999998</v>
      </c>
      <c r="V7527">
        <v>-0.2520792</v>
      </c>
      <c r="W7527">
        <v>0.1146696</v>
      </c>
      <c r="X7527">
        <v>0.96088859999999998</v>
      </c>
      <c r="Y7527">
        <v>-0.55521880000000001</v>
      </c>
      <c r="Z7527">
        <v>5.2393229999999999E-2</v>
      </c>
      <c r="AA7527">
        <v>0.83005239999999902</v>
      </c>
      <c r="AB7527">
        <v>20</v>
      </c>
      <c r="AC7527">
        <v>0.53899999999998705</v>
      </c>
      <c r="AD7527">
        <v>-5.7463999999999897E-2</v>
      </c>
      <c r="AE7527">
        <v>-0.576330000000005</v>
      </c>
      <c r="AF7527">
        <v>-0.49086401808721902</v>
      </c>
      <c r="AG7527">
        <v>-5.7463999999999897E-2</v>
      </c>
      <c r="AH7527">
        <v>0.61251753214754701</v>
      </c>
      <c r="AI7527">
        <v>94.187067164216401</v>
      </c>
      <c r="AJ7527">
        <v>128.708256861336</v>
      </c>
      <c r="AK7527">
        <v>0.787037052963106</v>
      </c>
      <c r="AL7527">
        <v>83.415431351536299</v>
      </c>
      <c r="AM7527">
        <v>104.69970961139499</v>
      </c>
      <c r="AN7527">
        <v>0.999999970923379</v>
      </c>
    </row>
    <row r="7528" spans="1:40" x14ac:dyDescent="0.25">
      <c r="A7528" t="str">
        <f>"20190303162103978"</f>
        <v>20190303162103978</v>
      </c>
      <c r="B7528" t="str">
        <f>"1551601263970408"</f>
        <v>1551601263970408</v>
      </c>
      <c r="C7528" t="s">
        <v>40</v>
      </c>
      <c r="D7528">
        <v>4.6645180000000002</v>
      </c>
      <c r="E7528">
        <v>0.36546810000000002</v>
      </c>
      <c r="F7528" t="s">
        <v>42</v>
      </c>
      <c r="G7528">
        <v>-421.67</v>
      </c>
      <c r="H7528">
        <v>1.064039</v>
      </c>
      <c r="I7528">
        <v>42.241489999999999</v>
      </c>
      <c r="J7528">
        <v>-422.23329999999999</v>
      </c>
      <c r="K7528">
        <v>1.1233</v>
      </c>
      <c r="L7528">
        <v>42.79224</v>
      </c>
      <c r="M7528">
        <v>7.9303289999999999E-2</v>
      </c>
      <c r="N7528">
        <v>-1.354007E-2</v>
      </c>
      <c r="O7528">
        <v>-0.9967587</v>
      </c>
      <c r="P7528">
        <v>0.3278044</v>
      </c>
      <c r="Q7528">
        <v>0.1040243</v>
      </c>
      <c r="R7528">
        <v>-0.93900159999999999</v>
      </c>
      <c r="S7528">
        <v>1.987854</v>
      </c>
      <c r="T7528">
        <v>-0.20214869999999999</v>
      </c>
      <c r="U7528">
        <v>-2.5267330000000001</v>
      </c>
      <c r="V7528">
        <v>-0.2527837</v>
      </c>
      <c r="W7528">
        <v>0.1159906</v>
      </c>
      <c r="X7528">
        <v>0.96054490000000003</v>
      </c>
      <c r="Y7528">
        <v>-0.55298729999999996</v>
      </c>
      <c r="Z7528">
        <v>5.0909700000000002E-2</v>
      </c>
      <c r="AA7528">
        <v>0.83163290000000001</v>
      </c>
      <c r="AB7528">
        <v>20</v>
      </c>
      <c r="AC7528">
        <v>0.56329999999996905</v>
      </c>
      <c r="AD7528">
        <v>-5.9261000000000001E-2</v>
      </c>
      <c r="AE7528">
        <v>-0.55074999999999996</v>
      </c>
      <c r="AF7528">
        <v>-0.51493154048352996</v>
      </c>
      <c r="AG7528">
        <v>-5.9261000000000001E-2</v>
      </c>
      <c r="AH7528">
        <v>0.59035023352817395</v>
      </c>
      <c r="AI7528">
        <v>94.326119415477194</v>
      </c>
      <c r="AJ7528">
        <v>131.096484048408</v>
      </c>
      <c r="AK7528">
        <v>0.78560788930134295</v>
      </c>
      <c r="AL7528">
        <v>83.3392351161298</v>
      </c>
      <c r="AM7528">
        <v>104.74404964122699</v>
      </c>
      <c r="AN7528">
        <v>0.99999996159502902</v>
      </c>
    </row>
    <row r="7529" spans="1:40" x14ac:dyDescent="0.25">
      <c r="A7529" t="str">
        <f>"20190303162104000"</f>
        <v>20190303162104000</v>
      </c>
      <c r="B7529" t="str">
        <f>"1551601263989930"</f>
        <v>1551601263989930</v>
      </c>
      <c r="C7529" t="s">
        <v>40</v>
      </c>
      <c r="D7529">
        <v>4.6740000000000004</v>
      </c>
      <c r="E7529">
        <v>0.36606959999999999</v>
      </c>
      <c r="F7529" t="s">
        <v>42</v>
      </c>
      <c r="G7529">
        <v>-421.66019999999997</v>
      </c>
      <c r="H7529">
        <v>1.065585</v>
      </c>
      <c r="I7529">
        <v>42.067529999999998</v>
      </c>
      <c r="J7529">
        <v>-422.21449999999999</v>
      </c>
      <c r="K7529">
        <v>1.123453</v>
      </c>
      <c r="L7529">
        <v>42.603819999999999</v>
      </c>
      <c r="M7529">
        <v>8.2574990000000001E-2</v>
      </c>
      <c r="N7529">
        <v>-1.354732E-2</v>
      </c>
      <c r="O7529">
        <v>-0.99649290000000001</v>
      </c>
      <c r="P7529">
        <v>0.33251819999999999</v>
      </c>
      <c r="Q7529">
        <v>0.1052821</v>
      </c>
      <c r="R7529">
        <v>-0.93720219999999999</v>
      </c>
      <c r="S7529">
        <v>1.994354</v>
      </c>
      <c r="T7529">
        <v>-0.20077039999999999</v>
      </c>
      <c r="U7529">
        <v>-2.520905</v>
      </c>
      <c r="V7529">
        <v>-0.25451770000000001</v>
      </c>
      <c r="W7529">
        <v>0.1171499</v>
      </c>
      <c r="X7529">
        <v>0.95994619999999997</v>
      </c>
      <c r="Y7529">
        <v>-0.5525215</v>
      </c>
      <c r="Z7529">
        <v>5.0538130000000001E-2</v>
      </c>
      <c r="AA7529">
        <v>0.83196510000000001</v>
      </c>
      <c r="AB7529">
        <v>19</v>
      </c>
      <c r="AC7529">
        <v>0.55430000000001201</v>
      </c>
      <c r="AD7529">
        <v>-5.7868000000000003E-2</v>
      </c>
      <c r="AE7529">
        <v>-0.53629000000000104</v>
      </c>
      <c r="AF7529">
        <v>-0.50527402518071296</v>
      </c>
      <c r="AG7529">
        <v>-5.7868000000000003E-2</v>
      </c>
      <c r="AH7529">
        <v>0.57698555896529202</v>
      </c>
      <c r="AI7529">
        <v>94.314905028243501</v>
      </c>
      <c r="AJ7529">
        <v>131.209069542001</v>
      </c>
      <c r="AK7529">
        <v>0.76913125095838497</v>
      </c>
      <c r="AL7529">
        <v>83.272356642918993</v>
      </c>
      <c r="AM7529">
        <v>104.849586049321</v>
      </c>
      <c r="AN7529">
        <v>1.0000000327888601</v>
      </c>
    </row>
    <row r="7530" spans="1:40" x14ac:dyDescent="0.25">
      <c r="A7530" t="str">
        <f>"20190303162104024"</f>
        <v>20190303162104024</v>
      </c>
      <c r="B7530" t="str">
        <f>"1551601264010424"</f>
        <v>1551601264010424</v>
      </c>
      <c r="C7530" t="s">
        <v>40</v>
      </c>
      <c r="D7530">
        <v>4.6322910000000004</v>
      </c>
      <c r="E7530">
        <v>0.36660389999999998</v>
      </c>
      <c r="F7530" t="s">
        <v>42</v>
      </c>
      <c r="G7530">
        <v>-421.65019999999998</v>
      </c>
      <c r="H7530">
        <v>1.066533</v>
      </c>
      <c r="I7530">
        <v>41.894869999999997</v>
      </c>
      <c r="J7530">
        <v>-422.19389999999999</v>
      </c>
      <c r="K7530">
        <v>1.123613</v>
      </c>
      <c r="L7530">
        <v>42.40643</v>
      </c>
      <c r="M7530">
        <v>8.6261470000000007E-2</v>
      </c>
      <c r="N7530">
        <v>-1.355662E-2</v>
      </c>
      <c r="O7530">
        <v>-0.99618039999999997</v>
      </c>
      <c r="P7530">
        <v>0.33869260000000001</v>
      </c>
      <c r="Q7530">
        <v>0.1066628</v>
      </c>
      <c r="R7530">
        <v>-0.93483190000000005</v>
      </c>
      <c r="S7530">
        <v>2.0013730000000001</v>
      </c>
      <c r="T7530">
        <v>-0.20182069999999999</v>
      </c>
      <c r="U7530">
        <v>-2.513611</v>
      </c>
      <c r="V7530">
        <v>-0.25736500000000001</v>
      </c>
      <c r="W7530">
        <v>0.11841749999999999</v>
      </c>
      <c r="X7530">
        <v>0.95903099999999997</v>
      </c>
      <c r="Y7530">
        <v>-0.55202280000000004</v>
      </c>
      <c r="Z7530">
        <v>5.095533E-2</v>
      </c>
      <c r="AA7530">
        <v>0.83227059999999997</v>
      </c>
      <c r="AB7530">
        <v>19</v>
      </c>
      <c r="AC7530">
        <v>0.54370000000000096</v>
      </c>
      <c r="AD7530">
        <v>-5.7079999999999999E-2</v>
      </c>
      <c r="AE7530">
        <v>-0.51155999999999502</v>
      </c>
      <c r="AF7530">
        <v>-0.49464919900861698</v>
      </c>
      <c r="AG7530">
        <v>-5.7079999999999999E-2</v>
      </c>
      <c r="AH7530">
        <v>0.55332263810805005</v>
      </c>
      <c r="AI7530">
        <v>94.397828688283795</v>
      </c>
      <c r="AJ7530">
        <v>131.79549171265</v>
      </c>
      <c r="AK7530">
        <v>0.74438021086184003</v>
      </c>
      <c r="AL7530">
        <v>83.199218878432205</v>
      </c>
      <c r="AM7530">
        <v>105.021927405489</v>
      </c>
      <c r="AN7530">
        <v>0.99999995324612301</v>
      </c>
    </row>
    <row r="7531" spans="1:40" x14ac:dyDescent="0.25">
      <c r="A7531" t="str">
        <f>"20190303162104046"</f>
        <v>20190303162104046</v>
      </c>
      <c r="B7531" t="str">
        <f>"1551601264040680"</f>
        <v>1551601264040680</v>
      </c>
      <c r="C7531" t="s">
        <v>40</v>
      </c>
      <c r="D7531">
        <v>4.6449870000000004</v>
      </c>
      <c r="E7531">
        <v>0.36731069999999999</v>
      </c>
      <c r="F7531" t="s">
        <v>42</v>
      </c>
      <c r="G7531">
        <v>-421.64350000000002</v>
      </c>
      <c r="H7531">
        <v>1.067701</v>
      </c>
      <c r="I7531">
        <v>41.721409999999999</v>
      </c>
      <c r="J7531">
        <v>-422.17309999999998</v>
      </c>
      <c r="K7531">
        <v>1.123761</v>
      </c>
      <c r="L7531">
        <v>42.216740000000001</v>
      </c>
      <c r="M7531">
        <v>9.0067880000000003E-2</v>
      </c>
      <c r="N7531">
        <v>-1.356686E-2</v>
      </c>
      <c r="O7531">
        <v>-0.99584309999999998</v>
      </c>
      <c r="P7531">
        <v>0.34671999999999997</v>
      </c>
      <c r="Q7531">
        <v>0.10719430000000001</v>
      </c>
      <c r="R7531">
        <v>-0.93182319999999996</v>
      </c>
      <c r="S7531">
        <v>2.012451</v>
      </c>
      <c r="T7531">
        <v>-0.2043315</v>
      </c>
      <c r="U7531">
        <v>-2.5033569999999998</v>
      </c>
      <c r="V7531">
        <v>-0.2620016</v>
      </c>
      <c r="W7531">
        <v>0.1188271</v>
      </c>
      <c r="X7531">
        <v>0.95772400000000002</v>
      </c>
      <c r="Y7531">
        <v>-0.55270779999999997</v>
      </c>
      <c r="Z7531">
        <v>5.1836769999999997E-2</v>
      </c>
      <c r="AA7531">
        <v>0.83176139999999998</v>
      </c>
      <c r="AB7531">
        <v>19</v>
      </c>
      <c r="AC7531">
        <v>0.52959999999995899</v>
      </c>
      <c r="AD7531">
        <v>-5.6059999999999999E-2</v>
      </c>
      <c r="AE7531">
        <v>-0.49533000000000199</v>
      </c>
      <c r="AF7531">
        <v>-0.47996108653918601</v>
      </c>
      <c r="AG7531">
        <v>-5.6059999999999999E-2</v>
      </c>
      <c r="AH7531">
        <v>0.53780645298926999</v>
      </c>
      <c r="AI7531">
        <v>94.447014113882105</v>
      </c>
      <c r="AJ7531">
        <v>131.747063120772</v>
      </c>
      <c r="AK7531">
        <v>0.72300840179680903</v>
      </c>
      <c r="AL7531">
        <v>83.175583894210504</v>
      </c>
      <c r="AM7531">
        <v>105.299886554032</v>
      </c>
      <c r="AN7531">
        <v>0.99999998913648402</v>
      </c>
    </row>
    <row r="7532" spans="1:40" x14ac:dyDescent="0.25">
      <c r="A7532" t="str">
        <f>"20190303162104068"</f>
        <v>20190303162104068</v>
      </c>
      <c r="B7532" t="str">
        <f>"1551601264060200"</f>
        <v>1551601264060200</v>
      </c>
      <c r="C7532" t="s">
        <v>40</v>
      </c>
      <c r="D7532">
        <v>4.5833440000000003</v>
      </c>
      <c r="E7532">
        <v>0.36756490000000003</v>
      </c>
      <c r="F7532" t="s">
        <v>42</v>
      </c>
      <c r="G7532">
        <v>-421.51740000000001</v>
      </c>
      <c r="H7532">
        <v>1.05593</v>
      </c>
      <c r="I7532">
        <v>41.411459999999998</v>
      </c>
      <c r="J7532">
        <v>-422.15100000000001</v>
      </c>
      <c r="K7532">
        <v>1.1238950000000001</v>
      </c>
      <c r="L7532">
        <v>42.025269999999999</v>
      </c>
      <c r="M7532">
        <v>9.4174480000000005E-2</v>
      </c>
      <c r="N7532">
        <v>-1.3578109999999999E-2</v>
      </c>
      <c r="O7532">
        <v>-0.99546310000000005</v>
      </c>
      <c r="P7532">
        <v>0.35750279999999901</v>
      </c>
      <c r="Q7532">
        <v>0.1071566</v>
      </c>
      <c r="R7532">
        <v>-0.92774420000000002</v>
      </c>
      <c r="S7532">
        <v>2.0275880000000002</v>
      </c>
      <c r="T7532">
        <v>-0.20967450000000001</v>
      </c>
      <c r="U7532">
        <v>-2.489166</v>
      </c>
      <c r="V7532">
        <v>-0.26920139999999998</v>
      </c>
      <c r="W7532">
        <v>0.11864619999999999</v>
      </c>
      <c r="X7532">
        <v>0.95574769999999998</v>
      </c>
      <c r="Y7532">
        <v>-0.55456549999999905</v>
      </c>
      <c r="Z7532">
        <v>5.3637120000000003E-2</v>
      </c>
      <c r="AA7532">
        <v>0.83040959999999997</v>
      </c>
      <c r="AB7532">
        <v>19</v>
      </c>
      <c r="AC7532">
        <v>0.63360000000000105</v>
      </c>
      <c r="AD7532">
        <v>-6.7964999999999998E-2</v>
      </c>
      <c r="AE7532">
        <v>-0.61380999999999997</v>
      </c>
      <c r="AF7532">
        <v>-0.56959207339205098</v>
      </c>
      <c r="AG7532">
        <v>-6.7964999999999998E-2</v>
      </c>
      <c r="AH7532">
        <v>0.66679807502228206</v>
      </c>
      <c r="AI7532">
        <v>94.431615272984502</v>
      </c>
      <c r="AJ7532">
        <v>130.504606235279</v>
      </c>
      <c r="AK7532">
        <v>0.87958742837166404</v>
      </c>
      <c r="AL7532">
        <v>83.186022554093597</v>
      </c>
      <c r="AM7532">
        <v>105.730710426019</v>
      </c>
      <c r="AN7532">
        <v>0.99999999029584496</v>
      </c>
    </row>
    <row r="7533" spans="1:40" x14ac:dyDescent="0.25">
      <c r="A7533" t="str">
        <f>"20190303162104090"</f>
        <v>20190303162104090</v>
      </c>
      <c r="B7533" t="str">
        <f>"1551601264080696"</f>
        <v>1551601264080696</v>
      </c>
      <c r="C7533" t="s">
        <v>40</v>
      </c>
      <c r="D7533">
        <v>4.4141550000000001</v>
      </c>
      <c r="E7533">
        <v>0.36728189999999999</v>
      </c>
      <c r="F7533" t="s">
        <v>42</v>
      </c>
      <c r="G7533">
        <v>-421.49939999999998</v>
      </c>
      <c r="H7533">
        <v>1.0558700000000001</v>
      </c>
      <c r="I7533">
        <v>41.242469999999997</v>
      </c>
      <c r="J7533">
        <v>-422.12849999999997</v>
      </c>
      <c r="K7533">
        <v>1.1240129999999999</v>
      </c>
      <c r="L7533">
        <v>41.839019999999998</v>
      </c>
      <c r="M7533">
        <v>9.8361989999999996E-2</v>
      </c>
      <c r="N7533">
        <v>-1.358879E-2</v>
      </c>
      <c r="O7533">
        <v>-0.99505809999999995</v>
      </c>
      <c r="P7533">
        <v>0.36897649999999999</v>
      </c>
      <c r="Q7533">
        <v>0.1076889</v>
      </c>
      <c r="R7533">
        <v>-0.92317910000000003</v>
      </c>
      <c r="S7533">
        <v>2.053528</v>
      </c>
      <c r="T7533">
        <v>-0.21439459999999999</v>
      </c>
      <c r="U7533">
        <v>-2.4671020000000001</v>
      </c>
      <c r="V7533">
        <v>-0.27707320000000002</v>
      </c>
      <c r="W7533">
        <v>0.1190392</v>
      </c>
      <c r="X7533">
        <v>0.95344640000000003</v>
      </c>
      <c r="Y7533">
        <v>-0.5598012</v>
      </c>
      <c r="Z7533">
        <v>5.5243279999999999E-2</v>
      </c>
      <c r="AA7533">
        <v>0.82678349999999901</v>
      </c>
      <c r="AB7533">
        <v>19</v>
      </c>
      <c r="AC7533">
        <v>0.629099999999994</v>
      </c>
      <c r="AD7533">
        <v>-6.8142999999999801E-2</v>
      </c>
      <c r="AE7533">
        <v>-0.59654999999999303</v>
      </c>
      <c r="AF7533">
        <v>-0.56388194375578704</v>
      </c>
      <c r="AG7533">
        <v>-6.8142999999999801E-2</v>
      </c>
      <c r="AH7533">
        <v>0.65151691062451</v>
      </c>
      <c r="AI7533">
        <v>94.521797122838706</v>
      </c>
      <c r="AJ7533">
        <v>130.875889444465</v>
      </c>
      <c r="AK7533">
        <v>0.86433824384468305</v>
      </c>
      <c r="AL7533">
        <v>83.163344411637397</v>
      </c>
      <c r="AM7533">
        <v>106.203957411769</v>
      </c>
      <c r="AN7533">
        <v>0.99999996348391895</v>
      </c>
    </row>
    <row r="7534" spans="1:40" x14ac:dyDescent="0.25">
      <c r="A7534" t="str">
        <f>"20190303162104113"</f>
        <v>20190303162104113</v>
      </c>
      <c r="B7534" t="str">
        <f>"1551601264109976"</f>
        <v>1551601264109976</v>
      </c>
      <c r="C7534" t="s">
        <v>40</v>
      </c>
      <c r="D7534">
        <v>4.5075589999999996</v>
      </c>
      <c r="E7534">
        <v>0.3422693</v>
      </c>
      <c r="F7534" t="s">
        <v>42</v>
      </c>
      <c r="G7534">
        <v>-421.476</v>
      </c>
      <c r="H7534">
        <v>1.056314</v>
      </c>
      <c r="I7534">
        <v>41.075339999999997</v>
      </c>
      <c r="J7534">
        <v>-422.10340000000002</v>
      </c>
      <c r="K7534">
        <v>1.1241019999999999</v>
      </c>
      <c r="L7534">
        <v>41.640990000000002</v>
      </c>
      <c r="M7534">
        <v>0.1030065</v>
      </c>
      <c r="N7534">
        <v>-1.3599409999999999E-2</v>
      </c>
      <c r="O7534">
        <v>-0.99458769999999996</v>
      </c>
      <c r="P7534">
        <v>0.38096790000000003</v>
      </c>
      <c r="Q7534">
        <v>0.1066064</v>
      </c>
      <c r="R7534">
        <v>-0.91842170000000001</v>
      </c>
      <c r="S7534">
        <v>2.0859679999999998</v>
      </c>
      <c r="T7534">
        <v>-0.21640860000000001</v>
      </c>
      <c r="U7534">
        <v>-2.4411619999999998</v>
      </c>
      <c r="V7534">
        <v>-0.2850509</v>
      </c>
      <c r="W7534">
        <v>0.11782330000000001</v>
      </c>
      <c r="X7534">
        <v>0.95124319999999896</v>
      </c>
      <c r="Y7534">
        <v>-0.56657829999999998</v>
      </c>
      <c r="Z7534">
        <v>5.5976909999999998E-2</v>
      </c>
      <c r="AA7534">
        <v>0.82210430000000001</v>
      </c>
      <c r="AB7534">
        <v>19</v>
      </c>
      <c r="AC7534">
        <v>0.62740000000002205</v>
      </c>
      <c r="AD7534">
        <v>-6.7787999999999904E-2</v>
      </c>
      <c r="AE7534">
        <v>-0.56564999999999699</v>
      </c>
      <c r="AF7534">
        <v>-0.56217088980033603</v>
      </c>
      <c r="AG7534">
        <v>-6.7787999999999904E-2</v>
      </c>
      <c r="AH7534">
        <v>0.62325930771194205</v>
      </c>
      <c r="AI7534">
        <v>94.617394272718002</v>
      </c>
      <c r="AJ7534">
        <v>132.05000333221901</v>
      </c>
      <c r="AK7534">
        <v>0.84207095124607501</v>
      </c>
      <c r="AL7534">
        <v>83.233504273466593</v>
      </c>
      <c r="AM7534">
        <v>106.681445799073</v>
      </c>
      <c r="AN7534">
        <v>0.99999998557996905</v>
      </c>
    </row>
    <row r="7535" spans="1:40" x14ac:dyDescent="0.25">
      <c r="A7535" t="str">
        <f>"20190303162104135"</f>
        <v>20190303162104135</v>
      </c>
      <c r="B7535" t="str">
        <f>"1551601264130472"</f>
        <v>1551601264130472</v>
      </c>
      <c r="C7535" t="s">
        <v>40</v>
      </c>
      <c r="D7535">
        <v>4.4913019999999904</v>
      </c>
      <c r="E7535">
        <v>0.3453717</v>
      </c>
      <c r="F7535" t="s">
        <v>62</v>
      </c>
      <c r="G7535">
        <v>-414.58030000000002</v>
      </c>
      <c r="H7535" s="1">
        <v>-4.7073940000000003E-6</v>
      </c>
      <c r="I7535">
        <v>33.951999999999998</v>
      </c>
      <c r="J7535">
        <v>-422.07929999999999</v>
      </c>
      <c r="K7535">
        <v>1.124179</v>
      </c>
      <c r="L7535">
        <v>41.458010000000002</v>
      </c>
      <c r="M7535">
        <v>0.1074711</v>
      </c>
      <c r="N7535">
        <v>-1.360896E-2</v>
      </c>
      <c r="O7535">
        <v>-0.99411510000000003</v>
      </c>
      <c r="P7535">
        <v>0.39191219999999999</v>
      </c>
      <c r="Q7535">
        <v>0.1046817</v>
      </c>
      <c r="R7535">
        <v>-0.91402749999999999</v>
      </c>
      <c r="S7535">
        <v>2.3011170000000001</v>
      </c>
      <c r="T7535">
        <v>-0.34383550000000002</v>
      </c>
      <c r="U7535">
        <v>-2.3518680000000001</v>
      </c>
      <c r="V7535">
        <v>-0.29213339999999999</v>
      </c>
      <c r="W7535">
        <v>0.1157822</v>
      </c>
      <c r="X7535">
        <v>0.94934320000000005</v>
      </c>
      <c r="Y7535">
        <v>-0.61498059999999999</v>
      </c>
      <c r="Z7535">
        <v>9.4233600000000001E-2</v>
      </c>
      <c r="AA7535">
        <v>0.78289149999999996</v>
      </c>
      <c r="AB7535">
        <v>19</v>
      </c>
      <c r="AC7535">
        <v>7.4989999999999597</v>
      </c>
      <c r="AD7535">
        <v>-1.124183707394</v>
      </c>
      <c r="AE7535">
        <v>-7.5060099999999901</v>
      </c>
      <c r="AF7535">
        <v>-6.5749934190650503</v>
      </c>
      <c r="AG7535">
        <v>-1.124183707394</v>
      </c>
      <c r="AH7535">
        <v>8.1767355916955093</v>
      </c>
      <c r="AI7535">
        <v>96.115517935644405</v>
      </c>
      <c r="AJ7535">
        <v>128.80310334884899</v>
      </c>
      <c r="AK7535">
        <v>10.552408843729401</v>
      </c>
      <c r="AL7535">
        <v>83.351256650076195</v>
      </c>
      <c r="AM7535">
        <v>107.104261663505</v>
      </c>
      <c r="AN7535">
        <v>0.99999997630931903</v>
      </c>
    </row>
    <row r="7536" spans="1:40" x14ac:dyDescent="0.25">
      <c r="A7536" t="str">
        <f>"20190303162104156"</f>
        <v>20190303162104156</v>
      </c>
      <c r="B7536" t="str">
        <f>"1551601264149992"</f>
        <v>1551601264149992</v>
      </c>
      <c r="C7536" t="s">
        <v>40</v>
      </c>
      <c r="D7536">
        <v>4.5252400000000002</v>
      </c>
      <c r="E7536">
        <v>0.34773179999999998</v>
      </c>
      <c r="F7536" t="s">
        <v>62</v>
      </c>
      <c r="G7536">
        <v>-414.49790000000002</v>
      </c>
      <c r="H7536" s="1">
        <v>-4.8043379999999997E-6</v>
      </c>
      <c r="I7536">
        <v>33.797580000000004</v>
      </c>
      <c r="J7536">
        <v>-422.05399999999997</v>
      </c>
      <c r="K7536">
        <v>1.1242529999999999</v>
      </c>
      <c r="L7536">
        <v>41.274410000000003</v>
      </c>
      <c r="M7536">
        <v>0.11212370000000001</v>
      </c>
      <c r="N7536">
        <v>-1.361946E-2</v>
      </c>
      <c r="O7536">
        <v>-0.99360099999999996</v>
      </c>
      <c r="P7536">
        <v>0.40094689999999999</v>
      </c>
      <c r="Q7536">
        <v>0.104139</v>
      </c>
      <c r="R7536">
        <v>-0.9101629</v>
      </c>
      <c r="S7536">
        <v>2.3077700000000001</v>
      </c>
      <c r="T7536">
        <v>-0.342203599999999</v>
      </c>
      <c r="U7536">
        <v>-2.3318479999999999</v>
      </c>
      <c r="V7536">
        <v>-0.29710900000000001</v>
      </c>
      <c r="W7536">
        <v>0.1151394</v>
      </c>
      <c r="X7536">
        <v>0.9478761</v>
      </c>
      <c r="Y7536">
        <v>-0.61578089999999996</v>
      </c>
      <c r="Z7536">
        <v>9.4178730000000002E-2</v>
      </c>
      <c r="AA7536">
        <v>0.78226859999999998</v>
      </c>
      <c r="AB7536">
        <v>19</v>
      </c>
      <c r="AC7536">
        <v>7.5561000000000096</v>
      </c>
      <c r="AD7536">
        <v>-1.124257804338</v>
      </c>
      <c r="AE7536">
        <v>-7.4768299999999996</v>
      </c>
      <c r="AF7536">
        <v>-6.5962531844275096</v>
      </c>
      <c r="AG7536">
        <v>-1.124257804338</v>
      </c>
      <c r="AH7536">
        <v>8.1854112619475501</v>
      </c>
      <c r="AI7536">
        <v>96.104318805155998</v>
      </c>
      <c r="AJ7536">
        <v>128.863771777767</v>
      </c>
      <c r="AK7536">
        <v>10.5723918396407</v>
      </c>
      <c r="AL7536">
        <v>83.388334311967498</v>
      </c>
      <c r="AM7536">
        <v>107.40344748891999</v>
      </c>
      <c r="AN7536">
        <v>0.99999997013228403</v>
      </c>
    </row>
    <row r="7537" spans="1:40" x14ac:dyDescent="0.25">
      <c r="A7537" t="str">
        <f>"20190303162104179"</f>
        <v>20190303162104179</v>
      </c>
      <c r="B7537" t="str">
        <f>"1551601264170488"</f>
        <v>1551601264170488</v>
      </c>
      <c r="C7537" t="s">
        <v>40</v>
      </c>
      <c r="D7537">
        <v>4.53233</v>
      </c>
      <c r="E7537">
        <v>0.348667</v>
      </c>
      <c r="F7537" t="s">
        <v>42</v>
      </c>
      <c r="G7537">
        <v>-421.36739999999998</v>
      </c>
      <c r="H7537">
        <v>1.023253</v>
      </c>
      <c r="I7537">
        <v>40.587589999999999</v>
      </c>
      <c r="J7537">
        <v>-422.02749999999997</v>
      </c>
      <c r="K7537">
        <v>1.1243399999999999</v>
      </c>
      <c r="L7537">
        <v>41.090609999999998</v>
      </c>
      <c r="M7537">
        <v>0.1169632</v>
      </c>
      <c r="N7537">
        <v>-1.3631610000000001E-2</v>
      </c>
      <c r="O7537">
        <v>-0.99304269999999994</v>
      </c>
      <c r="P7537">
        <v>0.40883760000000002</v>
      </c>
      <c r="Q7537">
        <v>0.1045996</v>
      </c>
      <c r="R7537">
        <v>-0.90659270000000003</v>
      </c>
      <c r="S7537">
        <v>2.3148499999999999</v>
      </c>
      <c r="T7537">
        <v>-0.34048509999999998</v>
      </c>
      <c r="U7537">
        <v>-2.315369</v>
      </c>
      <c r="V7537">
        <v>-0.30076320000000001</v>
      </c>
      <c r="W7537">
        <v>0.1155046</v>
      </c>
      <c r="X7537">
        <v>0.94667849999999998</v>
      </c>
      <c r="Y7537">
        <v>-0.61594019999999905</v>
      </c>
      <c r="Z7537">
        <v>9.3997349999999993E-2</v>
      </c>
      <c r="AA7537">
        <v>0.78216509999999995</v>
      </c>
      <c r="AB7537">
        <v>19</v>
      </c>
      <c r="AC7537">
        <v>0.66009999999999902</v>
      </c>
      <c r="AD7537">
        <v>-0.101086999999999</v>
      </c>
      <c r="AE7537">
        <v>-0.50301999999999203</v>
      </c>
      <c r="AF7537">
        <v>-0.58800436137993595</v>
      </c>
      <c r="AG7537">
        <v>-0.101086999999999</v>
      </c>
      <c r="AH7537">
        <v>0.56834920540892597</v>
      </c>
      <c r="AI7537">
        <v>97.046640531622401</v>
      </c>
      <c r="AJ7537">
        <v>135.973793032641</v>
      </c>
      <c r="AK7537">
        <v>0.82400760303518095</v>
      </c>
      <c r="AL7537">
        <v>83.367269541036194</v>
      </c>
      <c r="AM7537">
        <v>107.625241625367</v>
      </c>
      <c r="AN7537">
        <v>0.99999999872882495</v>
      </c>
    </row>
    <row r="7538" spans="1:40" x14ac:dyDescent="0.25">
      <c r="A7538" t="str">
        <f>"20190303162104201"</f>
        <v>20190303162104201</v>
      </c>
      <c r="B7538" t="str">
        <f>"1551601264190008"</f>
        <v>1551601264190008</v>
      </c>
      <c r="C7538" t="s">
        <v>40</v>
      </c>
      <c r="D7538">
        <v>4.5495130000000001</v>
      </c>
      <c r="E7538">
        <v>0.3606239</v>
      </c>
      <c r="F7538" t="s">
        <v>42</v>
      </c>
      <c r="G7538">
        <v>-421.34840000000003</v>
      </c>
      <c r="H7538">
        <v>1.0272509999999999</v>
      </c>
      <c r="I7538">
        <v>40.420999999999999</v>
      </c>
      <c r="J7538">
        <v>-421.9991</v>
      </c>
      <c r="K7538">
        <v>1.124457</v>
      </c>
      <c r="L7538">
        <v>40.901119999999999</v>
      </c>
      <c r="M7538">
        <v>0.1221476</v>
      </c>
      <c r="N7538">
        <v>-1.364576E-2</v>
      </c>
      <c r="O7538">
        <v>-0.99241820000000003</v>
      </c>
      <c r="P7538">
        <v>0.41743550000000001</v>
      </c>
      <c r="Q7538">
        <v>0.1059147</v>
      </c>
      <c r="R7538">
        <v>-0.90251309999999996</v>
      </c>
      <c r="S7538">
        <v>2.3303530000000001</v>
      </c>
      <c r="T7538">
        <v>-0.33301269999999999</v>
      </c>
      <c r="U7538">
        <v>-2.2966000000000002</v>
      </c>
      <c r="V7538">
        <v>-0.3048787</v>
      </c>
      <c r="W7538">
        <v>0.1167052</v>
      </c>
      <c r="X7538">
        <v>0.94521370000000005</v>
      </c>
      <c r="Y7538">
        <v>-0.61777660000000001</v>
      </c>
      <c r="Z7538">
        <v>9.1898110000000005E-2</v>
      </c>
      <c r="AA7538">
        <v>0.78096529999999997</v>
      </c>
      <c r="AB7538">
        <v>19</v>
      </c>
      <c r="AC7538">
        <v>0.65069999999997197</v>
      </c>
      <c r="AD7538">
        <v>-9.7206000000000098E-2</v>
      </c>
      <c r="AE7538">
        <v>-0.48011999999999899</v>
      </c>
      <c r="AF7538">
        <v>-0.57881201158383599</v>
      </c>
      <c r="AG7538">
        <v>-9.7206000000000098E-2</v>
      </c>
      <c r="AH7538">
        <v>0.54809324045877195</v>
      </c>
      <c r="AI7538">
        <v>96.952532980357404</v>
      </c>
      <c r="AJ7538">
        <v>136.56146240064001</v>
      </c>
      <c r="AK7538">
        <v>0.80304330607154994</v>
      </c>
      <c r="AL7538">
        <v>83.298012055116104</v>
      </c>
      <c r="AM7538">
        <v>107.877107388772</v>
      </c>
      <c r="AN7538">
        <v>1.0000000320442</v>
      </c>
    </row>
    <row r="7539" spans="1:40" x14ac:dyDescent="0.25">
      <c r="A7539" t="str">
        <f>"20190303162104224"</f>
        <v>20190303162104224</v>
      </c>
      <c r="B7539" t="str">
        <f>"1551601264220264"</f>
        <v>1551601264220264</v>
      </c>
      <c r="C7539" t="s">
        <v>40</v>
      </c>
      <c r="D7539">
        <v>4.5138959999999999</v>
      </c>
      <c r="E7539">
        <v>0.36193799999999998</v>
      </c>
      <c r="F7539" t="s">
        <v>42</v>
      </c>
      <c r="G7539">
        <v>-421.35520000000002</v>
      </c>
      <c r="H7539">
        <v>1.035957</v>
      </c>
      <c r="I7539">
        <v>40.244480000000003</v>
      </c>
      <c r="J7539">
        <v>-421.96960000000001</v>
      </c>
      <c r="K7539">
        <v>1.124582</v>
      </c>
      <c r="L7539">
        <v>40.712980000000002</v>
      </c>
      <c r="M7539">
        <v>0.12751469999999901</v>
      </c>
      <c r="N7539">
        <v>-1.366128E-2</v>
      </c>
      <c r="O7539">
        <v>-0.99174260000000003</v>
      </c>
      <c r="P7539">
        <v>0.42607479999999998</v>
      </c>
      <c r="Q7539">
        <v>0.1074939</v>
      </c>
      <c r="R7539">
        <v>-0.89827919999999895</v>
      </c>
      <c r="S7539">
        <v>2.267395</v>
      </c>
      <c r="T7539">
        <v>-0.31159969999999998</v>
      </c>
      <c r="U7539">
        <v>-2.31189</v>
      </c>
      <c r="V7539">
        <v>-0.30890630000000002</v>
      </c>
      <c r="W7539">
        <v>0.1181604</v>
      </c>
      <c r="X7539">
        <v>0.94372400000000001</v>
      </c>
      <c r="Y7539">
        <v>-0.60048069999999998</v>
      </c>
      <c r="Z7539">
        <v>8.6185250000000005E-2</v>
      </c>
      <c r="AA7539">
        <v>0.7949811</v>
      </c>
      <c r="AB7539">
        <v>19</v>
      </c>
      <c r="AC7539">
        <v>0.61439999999998895</v>
      </c>
      <c r="AD7539">
        <v>-8.8624999999999898E-2</v>
      </c>
      <c r="AE7539">
        <v>-0.46850000000000502</v>
      </c>
      <c r="AF7539">
        <v>-0.54249969976970702</v>
      </c>
      <c r="AG7539">
        <v>-8.8624999999999898E-2</v>
      </c>
      <c r="AH7539">
        <v>0.535975346396105</v>
      </c>
      <c r="AI7539">
        <v>96.6287566616802</v>
      </c>
      <c r="AJ7539">
        <v>135.34661288964099</v>
      </c>
      <c r="AK7539">
        <v>0.76774337302229301</v>
      </c>
      <c r="AL7539">
        <v>83.214053994838807</v>
      </c>
      <c r="AM7539">
        <v>108.124666453364</v>
      </c>
      <c r="AN7539">
        <v>0.99999998524192502</v>
      </c>
    </row>
    <row r="7540" spans="1:40" x14ac:dyDescent="0.25">
      <c r="A7540" t="str">
        <f>"20190303162104247"</f>
        <v>20190303162104247</v>
      </c>
      <c r="B7540" t="str">
        <f>"1551601264240760"</f>
        <v>1551601264240760</v>
      </c>
      <c r="C7540" t="s">
        <v>40</v>
      </c>
      <c r="D7540">
        <v>4.5357240000000001</v>
      </c>
      <c r="E7540">
        <v>0.36289650000000001</v>
      </c>
      <c r="F7540" t="s">
        <v>42</v>
      </c>
      <c r="G7540">
        <v>-421.33690000000001</v>
      </c>
      <c r="H7540">
        <v>1.0440529999999999</v>
      </c>
      <c r="I7540">
        <v>40.076689999999999</v>
      </c>
      <c r="J7540">
        <v>-421.93770000000001</v>
      </c>
      <c r="K7540">
        <v>1.1247320000000001</v>
      </c>
      <c r="L7540">
        <v>40.518650000000001</v>
      </c>
      <c r="M7540">
        <v>0.1333464</v>
      </c>
      <c r="N7540">
        <v>-1.367962E-2</v>
      </c>
      <c r="O7540">
        <v>-0.9909751</v>
      </c>
      <c r="P7540">
        <v>0.4354808</v>
      </c>
      <c r="Q7540">
        <v>0.10841720000000001</v>
      </c>
      <c r="R7540">
        <v>-0.89364549999999998</v>
      </c>
      <c r="S7540">
        <v>2.280548</v>
      </c>
      <c r="T7540">
        <v>-0.29018339999999998</v>
      </c>
      <c r="U7540">
        <v>-2.2927550000000001</v>
      </c>
      <c r="V7540">
        <v>-0.31332749999999998</v>
      </c>
      <c r="W7540">
        <v>0.1189421</v>
      </c>
      <c r="X7540">
        <v>0.94216699999999998</v>
      </c>
      <c r="Y7540">
        <v>-0.60179099999999996</v>
      </c>
      <c r="Z7540">
        <v>7.9682660000000002E-2</v>
      </c>
      <c r="AA7540">
        <v>0.79466870000000001</v>
      </c>
      <c r="AB7540">
        <v>19</v>
      </c>
      <c r="AC7540">
        <v>0.60079999999999201</v>
      </c>
      <c r="AD7540">
        <v>-8.0678999999999904E-2</v>
      </c>
      <c r="AE7540">
        <v>-0.44196000000000102</v>
      </c>
      <c r="AF7540">
        <v>-0.53028937551105204</v>
      </c>
      <c r="AG7540">
        <v>-8.0678999999999904E-2</v>
      </c>
      <c r="AH7540">
        <v>0.51214180852556002</v>
      </c>
      <c r="AI7540">
        <v>96.245397986327802</v>
      </c>
      <c r="AJ7540">
        <v>135.997355019689</v>
      </c>
      <c r="AK7540">
        <v>0.74162332410781995</v>
      </c>
      <c r="AL7540">
        <v>83.168947895965701</v>
      </c>
      <c r="AM7540">
        <v>108.39508594182701</v>
      </c>
      <c r="AN7540">
        <v>1.0000000006488201</v>
      </c>
    </row>
    <row r="7541" spans="1:40" x14ac:dyDescent="0.25">
      <c r="A7541" t="str">
        <f>"20190303162104270"</f>
        <v>20190303162104270</v>
      </c>
      <c r="B7541" t="str">
        <f>"1551601264260279"</f>
        <v>1551601264260279</v>
      </c>
      <c r="C7541" t="s">
        <v>40</v>
      </c>
      <c r="D7541">
        <v>4.5910529999999996</v>
      </c>
      <c r="E7541">
        <v>0.36390129999999998</v>
      </c>
      <c r="F7541" t="s">
        <v>62</v>
      </c>
      <c r="G7541">
        <v>-412.89580000000001</v>
      </c>
      <c r="H7541" s="1">
        <v>-6.0850229999999998E-6</v>
      </c>
      <c r="I7541">
        <v>31.57751</v>
      </c>
      <c r="J7541">
        <v>-421.90629999999999</v>
      </c>
      <c r="K7541">
        <v>1.12487</v>
      </c>
      <c r="L7541">
        <v>40.336640000000003</v>
      </c>
      <c r="M7541">
        <v>0.13908180000000001</v>
      </c>
      <c r="N7541">
        <v>-1.3699309999999999E-2</v>
      </c>
      <c r="O7541">
        <v>-0.99018629999999996</v>
      </c>
      <c r="P7541">
        <v>0.44420910000000002</v>
      </c>
      <c r="Q7541">
        <v>0.1094733</v>
      </c>
      <c r="R7541">
        <v>-0.88920999999999994</v>
      </c>
      <c r="S7541">
        <v>2.2976380000000001</v>
      </c>
      <c r="T7541">
        <v>-0.28580729999999999</v>
      </c>
      <c r="U7541">
        <v>-2.2720340000000001</v>
      </c>
      <c r="V7541">
        <v>-0.31716609999999901</v>
      </c>
      <c r="W7541">
        <v>0.1198639</v>
      </c>
      <c r="X7541">
        <v>0.94076479999999996</v>
      </c>
      <c r="Y7541">
        <v>-0.60381809999999903</v>
      </c>
      <c r="Z7541">
        <v>7.8505160000000004E-2</v>
      </c>
      <c r="AA7541">
        <v>0.79324689999999998</v>
      </c>
      <c r="AB7541">
        <v>19</v>
      </c>
      <c r="AC7541">
        <v>9.0104999999999809</v>
      </c>
      <c r="AD7541">
        <v>-1.124876085023</v>
      </c>
      <c r="AE7541">
        <v>-8.7591300000000007</v>
      </c>
      <c r="AF7541">
        <v>-7.6433138734894897</v>
      </c>
      <c r="AG7541">
        <v>-1.124876085023</v>
      </c>
      <c r="AH7541">
        <v>9.8483818550089808</v>
      </c>
      <c r="AI7541">
        <v>95.155990262806498</v>
      </c>
      <c r="AJ7541">
        <v>127.814983312499</v>
      </c>
      <c r="AK7541">
        <v>12.5170371229538</v>
      </c>
      <c r="AL7541">
        <v>83.115752410664001</v>
      </c>
      <c r="AM7541">
        <v>108.63083657282699</v>
      </c>
      <c r="AN7541">
        <v>1.0000000492157199</v>
      </c>
    </row>
    <row r="7542" spans="1:40" x14ac:dyDescent="0.25">
      <c r="A7542" t="str">
        <f>"20190303162104291"</f>
        <v>20190303162104291</v>
      </c>
      <c r="B7542" t="str">
        <f>"1551601264280776"</f>
        <v>1551601264280776</v>
      </c>
      <c r="C7542" t="s">
        <v>40</v>
      </c>
      <c r="D7542">
        <v>4.576727</v>
      </c>
      <c r="E7542">
        <v>0.36488670000000001</v>
      </c>
      <c r="F7542" t="s">
        <v>62</v>
      </c>
      <c r="G7542">
        <v>-412.7758</v>
      </c>
      <c r="H7542" s="1">
        <v>-6.1541449999999998E-6</v>
      </c>
      <c r="I7542">
        <v>31.444379999999999</v>
      </c>
      <c r="J7542">
        <v>-421.87360000000001</v>
      </c>
      <c r="K7542">
        <v>1.1249990000000001</v>
      </c>
      <c r="L7542">
        <v>40.155329999999999</v>
      </c>
      <c r="M7542">
        <v>0.1450253</v>
      </c>
      <c r="N7542">
        <v>-1.371986E-2</v>
      </c>
      <c r="O7542">
        <v>-0.98933309999999997</v>
      </c>
      <c r="P7542">
        <v>0.45239639999999998</v>
      </c>
      <c r="Q7542">
        <v>0.110416</v>
      </c>
      <c r="R7542">
        <v>-0.88495569999999901</v>
      </c>
      <c r="S7542">
        <v>2.3135379999999999</v>
      </c>
      <c r="T7542">
        <v>-0.285028</v>
      </c>
      <c r="U7542">
        <v>-2.253174</v>
      </c>
      <c r="V7542">
        <v>-0.3202623</v>
      </c>
      <c r="W7542">
        <v>0.1206914</v>
      </c>
      <c r="X7542">
        <v>0.93960929999999998</v>
      </c>
      <c r="Y7542">
        <v>-0.60508459999999997</v>
      </c>
      <c r="Z7542">
        <v>7.8443940000000004E-2</v>
      </c>
      <c r="AA7542">
        <v>0.79228730000000003</v>
      </c>
      <c r="AB7542">
        <v>19</v>
      </c>
      <c r="AC7542">
        <v>9.0977999999999994</v>
      </c>
      <c r="AD7542">
        <v>-1.1250051541449999</v>
      </c>
      <c r="AE7542">
        <v>-8.7109500000000004</v>
      </c>
      <c r="AF7542">
        <v>-7.67692995037301</v>
      </c>
      <c r="AG7542">
        <v>-1.1250051541449999</v>
      </c>
      <c r="AH7542">
        <v>9.8597190103913093</v>
      </c>
      <c r="AI7542">
        <v>95.144436907538605</v>
      </c>
      <c r="AJ7542">
        <v>127.904877575635</v>
      </c>
      <c r="AK7542">
        <v>12.5465114284273</v>
      </c>
      <c r="AL7542">
        <v>83.067993065336296</v>
      </c>
      <c r="AM7542">
        <v>108.821483969946</v>
      </c>
      <c r="AN7542">
        <v>0.99999999574086995</v>
      </c>
    </row>
    <row r="7543" spans="1:40" x14ac:dyDescent="0.25">
      <c r="A7543" t="str">
        <f>"20190303162104313"</f>
        <v>20190303162104313</v>
      </c>
      <c r="B7543" t="str">
        <f>"1551601264310056"</f>
        <v>1551601264310056</v>
      </c>
      <c r="C7543" t="s">
        <v>40</v>
      </c>
      <c r="D7543">
        <v>4.6468210000000001</v>
      </c>
      <c r="E7543">
        <v>0.3655274</v>
      </c>
      <c r="F7543" t="s">
        <v>62</v>
      </c>
      <c r="G7543">
        <v>-412.45800000000003</v>
      </c>
      <c r="H7543" s="1">
        <v>-6.3259309999999997E-6</v>
      </c>
      <c r="I7543">
        <v>31.12161</v>
      </c>
      <c r="J7543">
        <v>-421.83890000000002</v>
      </c>
      <c r="K7543">
        <v>1.1251199999999999</v>
      </c>
      <c r="L7543">
        <v>39.970059999999997</v>
      </c>
      <c r="M7543">
        <v>0.15134600000000001</v>
      </c>
      <c r="N7543">
        <v>-1.374061E-2</v>
      </c>
      <c r="O7543">
        <v>-0.98838539999999997</v>
      </c>
      <c r="P7543">
        <v>0.46096979999999999</v>
      </c>
      <c r="Q7543">
        <v>0.11118459999999999</v>
      </c>
      <c r="R7543">
        <v>-0.88042319999999996</v>
      </c>
      <c r="S7543">
        <v>2.3287049999999998</v>
      </c>
      <c r="T7543">
        <v>-0.2782404</v>
      </c>
      <c r="U7543">
        <v>-2.2342529999999998</v>
      </c>
      <c r="V7543">
        <v>-0.32343949999999999</v>
      </c>
      <c r="W7543">
        <v>0.12134929999999999</v>
      </c>
      <c r="X7543">
        <v>0.93843560000000004</v>
      </c>
      <c r="Y7543">
        <v>-0.60604789999999997</v>
      </c>
      <c r="Z7543">
        <v>7.6479699999999998E-2</v>
      </c>
      <c r="AA7543">
        <v>0.79174290000000003</v>
      </c>
      <c r="AB7543">
        <v>19</v>
      </c>
      <c r="AC7543">
        <v>9.3808999999999898</v>
      </c>
      <c r="AD7543">
        <v>-1.125126325931</v>
      </c>
      <c r="AE7543">
        <v>-8.8484499999999997</v>
      </c>
      <c r="AF7543">
        <v>-7.8735790141147497</v>
      </c>
      <c r="AG7543">
        <v>-1.125126325931</v>
      </c>
      <c r="AH7543">
        <v>10.0895939594672</v>
      </c>
      <c r="AI7543">
        <v>95.024130739951701</v>
      </c>
      <c r="AJ7543">
        <v>127.967276877899</v>
      </c>
      <c r="AK7543">
        <v>12.847531358503399</v>
      </c>
      <c r="AL7543">
        <v>83.0300195767594</v>
      </c>
      <c r="AM7543">
        <v>109.016930483306</v>
      </c>
      <c r="AN7543">
        <v>1.00000006905904</v>
      </c>
    </row>
    <row r="7544" spans="1:40" x14ac:dyDescent="0.25">
      <c r="A7544" t="str">
        <f>"20190303162104336"</f>
        <v>20190303162104336</v>
      </c>
      <c r="B7544" t="str">
        <f>"1551601264330552"</f>
        <v>1551601264330552</v>
      </c>
      <c r="C7544" t="s">
        <v>40</v>
      </c>
      <c r="D7544">
        <v>4.6553190000000004</v>
      </c>
      <c r="E7544">
        <v>0.36565150000000002</v>
      </c>
      <c r="F7544" t="s">
        <v>62</v>
      </c>
      <c r="G7544">
        <v>-412.30509999999998</v>
      </c>
      <c r="H7544" s="1">
        <v>-6.4048860000000003E-6</v>
      </c>
      <c r="I7544">
        <v>30.976099999999999</v>
      </c>
      <c r="J7544">
        <v>-421.80329999999998</v>
      </c>
      <c r="K7544">
        <v>1.125235</v>
      </c>
      <c r="L7544">
        <v>39.787869999999998</v>
      </c>
      <c r="M7544">
        <v>0.15781479999999901</v>
      </c>
      <c r="N7544">
        <v>-1.376135E-2</v>
      </c>
      <c r="O7544">
        <v>-0.9873729</v>
      </c>
      <c r="P7544">
        <v>0.47179169999999998</v>
      </c>
      <c r="Q7544">
        <v>0.111174</v>
      </c>
      <c r="R7544">
        <v>-0.87467340000000005</v>
      </c>
      <c r="S7544">
        <v>2.3466490000000002</v>
      </c>
      <c r="T7544">
        <v>-0.27693889999999999</v>
      </c>
      <c r="U7544">
        <v>-2.2137760000000002</v>
      </c>
      <c r="V7544">
        <v>-0.32890249999999999</v>
      </c>
      <c r="W7544">
        <v>0.12119969999999999</v>
      </c>
      <c r="X7544">
        <v>0.93655429999999995</v>
      </c>
      <c r="Y7544">
        <v>-0.60753829999999998</v>
      </c>
      <c r="Z7544">
        <v>7.6236849999999995E-2</v>
      </c>
      <c r="AA7544">
        <v>0.79062330000000003</v>
      </c>
      <c r="AB7544">
        <v>19</v>
      </c>
      <c r="AC7544">
        <v>9.49819999999999</v>
      </c>
      <c r="AD7544">
        <v>-1.125241404886</v>
      </c>
      <c r="AE7544">
        <v>-8.8117699999999992</v>
      </c>
      <c r="AF7544">
        <v>-7.9285892195439596</v>
      </c>
      <c r="AG7544">
        <v>-1.125241404886</v>
      </c>
      <c r="AH7544">
        <v>10.1240602753616</v>
      </c>
      <c r="AI7544">
        <v>95.000914628920498</v>
      </c>
      <c r="AJ7544">
        <v>128.06603094138799</v>
      </c>
      <c r="AK7544">
        <v>12.908341941965</v>
      </c>
      <c r="AL7544">
        <v>83.038654902728993</v>
      </c>
      <c r="AM7544">
        <v>109.350437835401</v>
      </c>
      <c r="AN7544">
        <v>1.0000000893174099</v>
      </c>
    </row>
    <row r="7545" spans="1:40" x14ac:dyDescent="0.25">
      <c r="A7545" t="str">
        <f>"20190303162104357"</f>
        <v>20190303162104357</v>
      </c>
      <c r="B7545" t="str">
        <f>"1551601264350072"</f>
        <v>1551601264350072</v>
      </c>
      <c r="C7545" t="s">
        <v>40</v>
      </c>
      <c r="D7545">
        <v>4.6290329999999997</v>
      </c>
      <c r="E7545">
        <v>0.33478849999999999</v>
      </c>
      <c r="F7545" t="s">
        <v>42</v>
      </c>
      <c r="G7545">
        <v>-421.08640000000003</v>
      </c>
      <c r="H7545">
        <v>1.040554</v>
      </c>
      <c r="I7545">
        <v>39.126930000000002</v>
      </c>
      <c r="J7545">
        <v>-421.76659999999998</v>
      </c>
      <c r="K7545">
        <v>1.125345</v>
      </c>
      <c r="L7545">
        <v>39.608280000000001</v>
      </c>
      <c r="M7545">
        <v>0.16444039999999999</v>
      </c>
      <c r="N7545">
        <v>-1.3783689999999999E-2</v>
      </c>
      <c r="O7545">
        <v>-0.98629060000000002</v>
      </c>
      <c r="P7545">
        <v>0.48369450000000003</v>
      </c>
      <c r="Q7545">
        <v>0.110816</v>
      </c>
      <c r="R7545">
        <v>-0.868193199999999</v>
      </c>
      <c r="S7545">
        <v>2.3717350000000001</v>
      </c>
      <c r="T7545">
        <v>-0.28010449999999998</v>
      </c>
      <c r="U7545">
        <v>-2.186188</v>
      </c>
      <c r="V7545">
        <v>-0.33543129999999999</v>
      </c>
      <c r="W7545">
        <v>0.12068470000000001</v>
      </c>
      <c r="X7545">
        <v>0.93430239999999998</v>
      </c>
      <c r="Y7545">
        <v>-0.61127529999999997</v>
      </c>
      <c r="Z7545">
        <v>7.7431550000000002E-2</v>
      </c>
      <c r="AA7545">
        <v>0.78762109999999996</v>
      </c>
      <c r="AB7545">
        <v>19</v>
      </c>
      <c r="AC7545">
        <v>0.68019999999995595</v>
      </c>
      <c r="AD7545">
        <v>-8.4791000000000005E-2</v>
      </c>
      <c r="AE7545">
        <v>-0.481349999999999</v>
      </c>
      <c r="AF7545">
        <v>-0.58571328029441505</v>
      </c>
      <c r="AG7545">
        <v>-8.4791000000000005E-2</v>
      </c>
      <c r="AH7545">
        <v>0.58064710947349796</v>
      </c>
      <c r="AI7545">
        <v>95.869855290441905</v>
      </c>
      <c r="AJ7545">
        <v>135.248866802598</v>
      </c>
      <c r="AK7545">
        <v>0.82909627072745395</v>
      </c>
      <c r="AL7545">
        <v>83.068379554287006</v>
      </c>
      <c r="AM7545">
        <v>109.749047294964</v>
      </c>
      <c r="AN7545">
        <v>0.999999964239769</v>
      </c>
    </row>
    <row r="7546" spans="1:40" x14ac:dyDescent="0.25">
      <c r="A7546" t="str">
        <f>"20190303162104380"</f>
        <v>20190303162104380</v>
      </c>
      <c r="B7546" t="str">
        <f>"1551601264370568"</f>
        <v>1551601264370568</v>
      </c>
      <c r="C7546" t="s">
        <v>40</v>
      </c>
      <c r="D7546">
        <v>4.6771839999999996</v>
      </c>
      <c r="E7546">
        <v>0.32303209999999999</v>
      </c>
      <c r="F7546" t="s">
        <v>62</v>
      </c>
      <c r="G7546">
        <v>-414.39830000000001</v>
      </c>
      <c r="H7546" s="1">
        <v>-4.8054840000000004E-6</v>
      </c>
      <c r="I7546">
        <v>33.83869</v>
      </c>
      <c r="J7546">
        <v>-421.72820000000002</v>
      </c>
      <c r="K7546">
        <v>1.125467</v>
      </c>
      <c r="L7546">
        <v>39.427549999999997</v>
      </c>
      <c r="M7546">
        <v>0.1713327</v>
      </c>
      <c r="N7546">
        <v>-1.3807939999999999E-2</v>
      </c>
      <c r="O7546">
        <v>-0.98511660000000001</v>
      </c>
      <c r="P7546">
        <v>0.4949868</v>
      </c>
      <c r="Q7546">
        <v>0.110565</v>
      </c>
      <c r="R7546">
        <v>-0.86183759999999998</v>
      </c>
      <c r="S7546">
        <v>2.6164550000000002</v>
      </c>
      <c r="T7546">
        <v>-0.3996092</v>
      </c>
      <c r="U7546">
        <v>-2.0487669999999998</v>
      </c>
      <c r="V7546">
        <v>-0.34112379999999998</v>
      </c>
      <c r="W7546">
        <v>0.12028469999999999</v>
      </c>
      <c r="X7546">
        <v>0.93229079999999998</v>
      </c>
      <c r="Y7546">
        <v>-0.66459690000000005</v>
      </c>
      <c r="Z7546">
        <v>0.1128581</v>
      </c>
      <c r="AA7546">
        <v>0.7386298</v>
      </c>
      <c r="AB7546">
        <v>19</v>
      </c>
      <c r="AC7546">
        <v>7.3299000000000003</v>
      </c>
      <c r="AD7546">
        <v>-1.1254718054840001</v>
      </c>
      <c r="AE7546">
        <v>-5.5888599999999897</v>
      </c>
      <c r="AF7546">
        <v>-6.1718338419013801</v>
      </c>
      <c r="AG7546">
        <v>-1.1254718054840001</v>
      </c>
      <c r="AH7546">
        <v>6.6628396386870703</v>
      </c>
      <c r="AI7546">
        <v>97.064174496461703</v>
      </c>
      <c r="AJ7546">
        <v>132.80914975280601</v>
      </c>
      <c r="AK7546">
        <v>9.1515928563195104</v>
      </c>
      <c r="AL7546">
        <v>83.091466267539701</v>
      </c>
      <c r="AM7546">
        <v>110.097496806583</v>
      </c>
      <c r="AN7546">
        <v>0.99999999587258404</v>
      </c>
    </row>
    <row r="7547" spans="1:40" x14ac:dyDescent="0.25">
      <c r="A7547" t="str">
        <f>"20190303162104402"</f>
        <v>20190303162104402</v>
      </c>
      <c r="B7547" t="str">
        <f>"1551601264390088"</f>
        <v>1551601264390088</v>
      </c>
      <c r="C7547" t="s">
        <v>40</v>
      </c>
      <c r="D7547">
        <v>4.6865019999999999</v>
      </c>
      <c r="E7547">
        <v>0.3240886</v>
      </c>
      <c r="F7547" t="s">
        <v>62</v>
      </c>
      <c r="G7547">
        <v>-414.55869999999999</v>
      </c>
      <c r="H7547" s="1">
        <v>-4.5651130000000003E-6</v>
      </c>
      <c r="I7547">
        <v>34.240630000000003</v>
      </c>
      <c r="J7547">
        <v>-421.68759999999997</v>
      </c>
      <c r="K7547">
        <v>1.125553</v>
      </c>
      <c r="L7547">
        <v>39.244109999999999</v>
      </c>
      <c r="M7547">
        <v>0.17852770000000001</v>
      </c>
      <c r="N7547">
        <v>-1.383203E-2</v>
      </c>
      <c r="O7547">
        <v>-0.98383770000000004</v>
      </c>
      <c r="P7547">
        <v>0.50430750000000002</v>
      </c>
      <c r="Q7547">
        <v>0.1093547</v>
      </c>
      <c r="R7547">
        <v>-0.85657190000000005</v>
      </c>
      <c r="S7547">
        <v>2.7244259999999998</v>
      </c>
      <c r="T7547">
        <v>-0.42768129999999999</v>
      </c>
      <c r="U7547">
        <v>-1.971039</v>
      </c>
      <c r="V7547">
        <v>-0.34441850000000002</v>
      </c>
      <c r="W7547">
        <v>0.1189672</v>
      </c>
      <c r="X7547">
        <v>0.93124790000000002</v>
      </c>
      <c r="Y7547">
        <v>-0.68615509999999902</v>
      </c>
      <c r="Z7547">
        <v>0.1206499</v>
      </c>
      <c r="AA7547">
        <v>0.71738049999999998</v>
      </c>
      <c r="AB7547">
        <v>19</v>
      </c>
      <c r="AC7547">
        <v>7.1288999999999803</v>
      </c>
      <c r="AD7547">
        <v>-1.1255575651129901</v>
      </c>
      <c r="AE7547">
        <v>-5.0034799999999997</v>
      </c>
      <c r="AF7547">
        <v>-6.0204577969156903</v>
      </c>
      <c r="AG7547">
        <v>-1.1255575651129901</v>
      </c>
      <c r="AH7547">
        <v>6.0941320898092002</v>
      </c>
      <c r="AI7547">
        <v>97.485277911713496</v>
      </c>
      <c r="AJ7547">
        <v>134.651562781515</v>
      </c>
      <c r="AK7547">
        <v>8.6400947821692498</v>
      </c>
      <c r="AL7547">
        <v>83.167499308486398</v>
      </c>
      <c r="AM7547">
        <v>110.29672249892199</v>
      </c>
      <c r="AN7547">
        <v>0.999999974536249</v>
      </c>
    </row>
    <row r="7548" spans="1:40" x14ac:dyDescent="0.25">
      <c r="A7548" t="str">
        <f>"20190303162104426"</f>
        <v>20190303162104426</v>
      </c>
      <c r="B7548" t="str">
        <f>"1551601264420344"</f>
        <v>1551601264420344</v>
      </c>
      <c r="C7548" t="s">
        <v>40</v>
      </c>
      <c r="D7548">
        <v>4.6212309999999999</v>
      </c>
      <c r="E7548">
        <v>0.32595030000000003</v>
      </c>
      <c r="F7548" t="s">
        <v>62</v>
      </c>
      <c r="G7548">
        <v>-414.38589999999999</v>
      </c>
      <c r="H7548" s="1">
        <v>-4.6949770000000004E-6</v>
      </c>
      <c r="I7548">
        <v>34.060949999999998</v>
      </c>
      <c r="J7548">
        <v>-421.64580000000001</v>
      </c>
      <c r="K7548">
        <v>1.1255900000000001</v>
      </c>
      <c r="L7548">
        <v>39.062530000000002</v>
      </c>
      <c r="M7548">
        <v>0.18581149999999999</v>
      </c>
      <c r="N7548">
        <v>-1.385261E-2</v>
      </c>
      <c r="O7548">
        <v>-0.98248769999999996</v>
      </c>
      <c r="P7548">
        <v>0.51471179999999905</v>
      </c>
      <c r="Q7548">
        <v>0.10446130000000001</v>
      </c>
      <c r="R7548">
        <v>-0.85097579999999995</v>
      </c>
      <c r="S7548">
        <v>2.7384949999999999</v>
      </c>
      <c r="T7548">
        <v>-0.4221396</v>
      </c>
      <c r="U7548">
        <v>-1.9439390000000001</v>
      </c>
      <c r="V7548">
        <v>-0.34873459999999901</v>
      </c>
      <c r="W7548">
        <v>0.11397599999999999</v>
      </c>
      <c r="X7548">
        <v>0.93026540000000002</v>
      </c>
      <c r="Y7548">
        <v>-0.68738779999999999</v>
      </c>
      <c r="Z7548">
        <v>0.1193767</v>
      </c>
      <c r="AA7548">
        <v>0.71641279999999996</v>
      </c>
      <c r="AB7548">
        <v>19</v>
      </c>
      <c r="AC7548">
        <v>7.2599000000000098</v>
      </c>
      <c r="AD7548">
        <v>-1.1255946949769999</v>
      </c>
      <c r="AE7548">
        <v>-5.0015799999999899</v>
      </c>
      <c r="AF7548">
        <v>-6.1044962036668498</v>
      </c>
      <c r="AG7548">
        <v>-1.1255946949769999</v>
      </c>
      <c r="AH7548">
        <v>6.16309899248792</v>
      </c>
      <c r="AI7548">
        <v>97.393251315152497</v>
      </c>
      <c r="AJ7548">
        <v>134.726297870704</v>
      </c>
      <c r="AK7548">
        <v>8.7473211047239499</v>
      </c>
      <c r="AL7548">
        <v>83.455434379486505</v>
      </c>
      <c r="AM7548">
        <v>110.54983931593701</v>
      </c>
      <c r="AN7548">
        <v>1.0000000321251501</v>
      </c>
    </row>
    <row r="7549" spans="1:40" x14ac:dyDescent="0.25">
      <c r="A7549" t="str">
        <f>"20190303162104448"</f>
        <v>20190303162104448</v>
      </c>
      <c r="B7549" t="str">
        <f>"1551601264440841"</f>
        <v>1551601264440841</v>
      </c>
      <c r="C7549" t="s">
        <v>40</v>
      </c>
      <c r="D7549">
        <v>4.63089</v>
      </c>
      <c r="E7549">
        <v>0.32654050000000001</v>
      </c>
      <c r="F7549" t="s">
        <v>62</v>
      </c>
      <c r="G7549">
        <v>-414.54969999999997</v>
      </c>
      <c r="H7549" s="1">
        <v>-4.6350100000000004E-6</v>
      </c>
      <c r="I7549">
        <v>34.107349999999997</v>
      </c>
      <c r="J7549">
        <v>-421.60140000000001</v>
      </c>
      <c r="K7549">
        <v>1.125589</v>
      </c>
      <c r="L7549">
        <v>38.87735</v>
      </c>
      <c r="M7549">
        <v>0.1933636</v>
      </c>
      <c r="N7549">
        <v>-1.386833E-2</v>
      </c>
      <c r="O7549">
        <v>-0.98102929999999999</v>
      </c>
      <c r="P7549">
        <v>0.52522360000000001</v>
      </c>
      <c r="Q7549">
        <v>9.9320930000000002E-2</v>
      </c>
      <c r="R7549">
        <v>-0.84514829999999996</v>
      </c>
      <c r="S7549">
        <v>2.7463069999999998</v>
      </c>
      <c r="T7549">
        <v>-0.43562810000000002</v>
      </c>
      <c r="U7549">
        <v>-1.9177550000000001</v>
      </c>
      <c r="V7549">
        <v>-0.35295389999999999</v>
      </c>
      <c r="W7549">
        <v>0.1087706</v>
      </c>
      <c r="X7549">
        <v>0.92929680000000003</v>
      </c>
      <c r="Y7549">
        <v>-0.68688800000000005</v>
      </c>
      <c r="Z7549">
        <v>0.1241227</v>
      </c>
      <c r="AA7549">
        <v>0.71608559999999999</v>
      </c>
      <c r="AB7549">
        <v>19</v>
      </c>
      <c r="AC7549">
        <v>7.0517000000000296</v>
      </c>
      <c r="AD7549">
        <v>-1.12559363501</v>
      </c>
      <c r="AE7549">
        <v>-4.7699999999999996</v>
      </c>
      <c r="AF7549">
        <v>-5.8931418188700597</v>
      </c>
      <c r="AG7549">
        <v>-1.12559363501</v>
      </c>
      <c r="AH7549">
        <v>5.9398026486641298</v>
      </c>
      <c r="AI7549">
        <v>97.661672791934606</v>
      </c>
      <c r="AJ7549">
        <v>134.77406682114301</v>
      </c>
      <c r="AK7549">
        <v>8.4425906588894701</v>
      </c>
      <c r="AL7549">
        <v>83.755549225290594</v>
      </c>
      <c r="AM7549">
        <v>110.797152953387</v>
      </c>
      <c r="AN7549">
        <v>1.0000000207199</v>
      </c>
    </row>
    <row r="7550" spans="1:40" x14ac:dyDescent="0.25">
      <c r="A7550" t="str">
        <f>"20190303162104470"</f>
        <v>20190303162104470</v>
      </c>
      <c r="B7550" t="str">
        <f>"1551601264460360"</f>
        <v>1551601264460360</v>
      </c>
      <c r="C7550" t="s">
        <v>40</v>
      </c>
      <c r="D7550">
        <v>4.6563470000000002</v>
      </c>
      <c r="E7550">
        <v>0.32692909999999997</v>
      </c>
      <c r="F7550" t="s">
        <v>62</v>
      </c>
      <c r="G7550">
        <v>-414.78800000000001</v>
      </c>
      <c r="H7550" s="1">
        <v>-4.5247799999999997E-6</v>
      </c>
      <c r="I7550">
        <v>34.220030000000001</v>
      </c>
      <c r="J7550">
        <v>-421.55829999999997</v>
      </c>
      <c r="K7550">
        <v>1.125543</v>
      </c>
      <c r="L7550">
        <v>38.703699999999998</v>
      </c>
      <c r="M7550">
        <v>0.2005035</v>
      </c>
      <c r="N7550">
        <v>-1.387878E-2</v>
      </c>
      <c r="O7550">
        <v>-0.97959459999999998</v>
      </c>
      <c r="P7550">
        <v>0.5374525</v>
      </c>
      <c r="Q7550">
        <v>9.4497520000000002E-2</v>
      </c>
      <c r="R7550">
        <v>-0.83798249999999996</v>
      </c>
      <c r="S7550">
        <v>2.7611080000000001</v>
      </c>
      <c r="T7550">
        <v>-0.45614189999999999</v>
      </c>
      <c r="U7550">
        <v>-1.8873599999999999</v>
      </c>
      <c r="V7550">
        <v>-0.35953200000000002</v>
      </c>
      <c r="W7550">
        <v>0.1038761</v>
      </c>
      <c r="X7550">
        <v>0.92733299999999996</v>
      </c>
      <c r="Y7550">
        <v>-0.68804319999999997</v>
      </c>
      <c r="Z7550">
        <v>0.13094729999999999</v>
      </c>
      <c r="AA7550">
        <v>0.71375719999999898</v>
      </c>
      <c r="AB7550">
        <v>19</v>
      </c>
      <c r="AC7550">
        <v>6.7702999999999598</v>
      </c>
      <c r="AD7550">
        <v>-1.12554752477999</v>
      </c>
      <c r="AE7550">
        <v>-4.4836699999999903</v>
      </c>
      <c r="AF7550">
        <v>-5.6256297457920903</v>
      </c>
      <c r="AG7550">
        <v>-1.12554752477999</v>
      </c>
      <c r="AH7550">
        <v>5.6418104423460997</v>
      </c>
      <c r="AI7550">
        <v>98.041022885802803</v>
      </c>
      <c r="AJ7550">
        <v>134.91771999945399</v>
      </c>
      <c r="AK7550">
        <v>8.0464024467239206</v>
      </c>
      <c r="AL7550">
        <v>84.037582243988695</v>
      </c>
      <c r="AM7550">
        <v>111.19158029800499</v>
      </c>
      <c r="AN7550">
        <v>0.99999999803210404</v>
      </c>
    </row>
    <row r="7551" spans="1:40" x14ac:dyDescent="0.25">
      <c r="A7551" t="str">
        <f>"20190303162104485"</f>
        <v>20190303162104485</v>
      </c>
      <c r="B7551" t="str">
        <f>"1551601264470120"</f>
        <v>1551601264470120</v>
      </c>
      <c r="C7551" t="s">
        <v>40</v>
      </c>
      <c r="D7551">
        <v>4.6788869999999996</v>
      </c>
      <c r="E7551">
        <v>0.33681559999999999</v>
      </c>
      <c r="F7551" t="s">
        <v>62</v>
      </c>
      <c r="G7551">
        <v>-414.99180000000001</v>
      </c>
      <c r="H7551" s="1">
        <v>-4.4209689999999999E-6</v>
      </c>
      <c r="I7551">
        <v>34.335050000000003</v>
      </c>
      <c r="J7551">
        <v>-421.5283</v>
      </c>
      <c r="K7551">
        <v>1.1255120000000001</v>
      </c>
      <c r="L7551">
        <v>38.585079999999998</v>
      </c>
      <c r="M7551">
        <v>0.20539299999999999</v>
      </c>
      <c r="N7551">
        <v>-1.388408E-2</v>
      </c>
      <c r="O7551">
        <v>-0.97858109999999998</v>
      </c>
      <c r="P7551">
        <v>0.5438172</v>
      </c>
      <c r="Q7551">
        <v>9.2654139999999996E-2</v>
      </c>
      <c r="R7551">
        <v>-0.83407310000000001</v>
      </c>
      <c r="S7551">
        <v>2.7809750000000002</v>
      </c>
      <c r="T7551">
        <v>-0.47667799999999999</v>
      </c>
      <c r="U7551">
        <v>-1.8501590000000001</v>
      </c>
      <c r="V7551">
        <v>-0.36189779999999999</v>
      </c>
      <c r="W7551">
        <v>0.1020254</v>
      </c>
      <c r="X7551">
        <v>0.92661789999999999</v>
      </c>
      <c r="Y7551">
        <v>-0.69260180000000005</v>
      </c>
      <c r="Z7551">
        <v>0.1377795</v>
      </c>
      <c r="AA7551">
        <v>0.70803930000000004</v>
      </c>
      <c r="AB7551">
        <v>19</v>
      </c>
      <c r="AC7551">
        <v>6.5364999999999798</v>
      </c>
      <c r="AD7551">
        <v>-1.1255164209690001</v>
      </c>
      <c r="AE7551">
        <v>-4.25002999999999</v>
      </c>
      <c r="AF7551">
        <v>-5.4113333411050402</v>
      </c>
      <c r="AG7551">
        <v>-1.1255164209690001</v>
      </c>
      <c r="AH7551">
        <v>5.3897621738397499</v>
      </c>
      <c r="AI7551">
        <v>98.383129178088296</v>
      </c>
      <c r="AJ7551">
        <v>135.11442683740501</v>
      </c>
      <c r="AK7551">
        <v>7.7200292766918697</v>
      </c>
      <c r="AL7551">
        <v>84.144185816249603</v>
      </c>
      <c r="AM7551">
        <v>111.333516066562</v>
      </c>
      <c r="AN7551">
        <v>0.99999996624520404</v>
      </c>
    </row>
    <row r="7552" spans="1:40" x14ac:dyDescent="0.25">
      <c r="A7552" t="str">
        <f>"20190303162104499"</f>
        <v>20190303162104499</v>
      </c>
      <c r="B7552" t="str">
        <f>"1551601264490891"</f>
        <v>1551601264490891</v>
      </c>
      <c r="C7552" t="s">
        <v>40</v>
      </c>
      <c r="D7552">
        <v>4.6901289999999998</v>
      </c>
      <c r="E7552">
        <v>0.33709939999999999</v>
      </c>
      <c r="F7552" t="s">
        <v>62</v>
      </c>
      <c r="G7552">
        <v>-414.42250000000001</v>
      </c>
      <c r="H7552" s="1">
        <v>-4.859398E-6</v>
      </c>
      <c r="I7552">
        <v>33.722320000000003</v>
      </c>
      <c r="J7552">
        <v>-421.49779999999998</v>
      </c>
      <c r="K7552">
        <v>1.1254710000000001</v>
      </c>
      <c r="L7552">
        <v>38.468290000000003</v>
      </c>
      <c r="M7552">
        <v>0.21020829999999999</v>
      </c>
      <c r="N7552">
        <v>-1.388729E-2</v>
      </c>
      <c r="O7552">
        <v>-0.97755800000000004</v>
      </c>
      <c r="P7552">
        <v>0.54975410000000002</v>
      </c>
      <c r="Q7552">
        <v>9.1482480000000005E-2</v>
      </c>
      <c r="R7552">
        <v>-0.83030190000000004</v>
      </c>
      <c r="S7552">
        <v>2.7274479999999999</v>
      </c>
      <c r="T7552">
        <v>-0.43201709999999899</v>
      </c>
      <c r="U7552">
        <v>-1.8665160000000001</v>
      </c>
      <c r="V7552">
        <v>-0.36390040000000001</v>
      </c>
      <c r="W7552">
        <v>0.1008612</v>
      </c>
      <c r="X7552">
        <v>0.92596080000000003</v>
      </c>
      <c r="Y7552">
        <v>-0.68111669999999902</v>
      </c>
      <c r="Z7552">
        <v>0.1252238</v>
      </c>
      <c r="AA7552">
        <v>0.72138690000000005</v>
      </c>
      <c r="AB7552">
        <v>19</v>
      </c>
      <c r="AC7552">
        <v>7.0752999999999702</v>
      </c>
      <c r="AD7552">
        <v>-1.1254758593980001</v>
      </c>
      <c r="AE7552">
        <v>-4.7459699999999998</v>
      </c>
      <c r="AF7552">
        <v>-5.8179136971745304</v>
      </c>
      <c r="AG7552">
        <v>-1.1254758593980001</v>
      </c>
      <c r="AH7552">
        <v>6.0222418196989702</v>
      </c>
      <c r="AI7552">
        <v>97.655202788470305</v>
      </c>
      <c r="AJ7552">
        <v>134.011332488509</v>
      </c>
      <c r="AK7552">
        <v>8.44879945511728</v>
      </c>
      <c r="AL7552">
        <v>84.211235321184503</v>
      </c>
      <c r="AM7552">
        <v>111.454709113387</v>
      </c>
      <c r="AN7552">
        <v>0.99999994296111805</v>
      </c>
    </row>
    <row r="7553" spans="1:40" x14ac:dyDescent="0.25">
      <c r="A7553" t="str">
        <f>"20190303162104514"</f>
        <v>20190303162104514</v>
      </c>
      <c r="B7553" t="str">
        <f>"1551601264510411"</f>
        <v>1551601264510411</v>
      </c>
      <c r="C7553" t="s">
        <v>40</v>
      </c>
      <c r="D7553">
        <v>4.6833589999999896</v>
      </c>
      <c r="E7553">
        <v>0.33840750000000003</v>
      </c>
      <c r="F7553" t="s">
        <v>62</v>
      </c>
      <c r="G7553">
        <v>-414.26170000000002</v>
      </c>
      <c r="H7553" s="1">
        <v>-4.963631E-6</v>
      </c>
      <c r="I7553">
        <v>33.587760000000003</v>
      </c>
      <c r="J7553">
        <v>-421.46769999999998</v>
      </c>
      <c r="K7553">
        <v>1.125435</v>
      </c>
      <c r="L7553">
        <v>38.35483</v>
      </c>
      <c r="M7553">
        <v>0.21487529999999999</v>
      </c>
      <c r="N7553">
        <v>-1.3889429999999999E-2</v>
      </c>
      <c r="O7553">
        <v>-0.97654280000000004</v>
      </c>
      <c r="P7553">
        <v>0.55500179999999999</v>
      </c>
      <c r="Q7553">
        <v>9.1028609999999996E-2</v>
      </c>
      <c r="R7553">
        <v>-0.82685379999999997</v>
      </c>
      <c r="S7553">
        <v>2.7383730000000002</v>
      </c>
      <c r="T7553">
        <v>-0.4259173</v>
      </c>
      <c r="U7553">
        <v>-1.846954</v>
      </c>
      <c r="V7553">
        <v>-0.365319</v>
      </c>
      <c r="W7553">
        <v>0.1004234</v>
      </c>
      <c r="X7553">
        <v>0.92544970000000004</v>
      </c>
      <c r="Y7553">
        <v>-0.68269679999999999</v>
      </c>
      <c r="Z7553">
        <v>0.12357079999999999</v>
      </c>
      <c r="AA7553">
        <v>0.72017730000000002</v>
      </c>
      <c r="AB7553">
        <v>19</v>
      </c>
      <c r="AC7553">
        <v>7.2059999999999498</v>
      </c>
      <c r="AD7553">
        <v>-1.125439963631</v>
      </c>
      <c r="AE7553">
        <v>-4.7670700000000004</v>
      </c>
      <c r="AF7553">
        <v>-5.9128969054803502</v>
      </c>
      <c r="AG7553">
        <v>-1.125439963631</v>
      </c>
      <c r="AH7553">
        <v>6.1007258871894896</v>
      </c>
      <c r="AI7553">
        <v>97.545911667394904</v>
      </c>
      <c r="AJ7553">
        <v>134.104272595005</v>
      </c>
      <c r="AK7553">
        <v>8.5701704345480092</v>
      </c>
      <c r="AL7553">
        <v>84.236447692171794</v>
      </c>
      <c r="AM7553">
        <v>111.54150663244199</v>
      </c>
      <c r="AN7553">
        <v>0.99999998912932497</v>
      </c>
    </row>
    <row r="7554" spans="1:40" x14ac:dyDescent="0.25">
      <c r="A7554" t="str">
        <f>"20190303162104526"</f>
        <v>20190303162104526</v>
      </c>
      <c r="B7554" t="str">
        <f>"1551601264520171"</f>
        <v>1551601264520171</v>
      </c>
      <c r="C7554" t="s">
        <v>40</v>
      </c>
      <c r="D7554">
        <v>4.6995360000000002</v>
      </c>
      <c r="E7554">
        <v>0.33840750000000003</v>
      </c>
      <c r="F7554" t="s">
        <v>62</v>
      </c>
      <c r="G7554">
        <v>-414.02499999999998</v>
      </c>
      <c r="H7554" s="1">
        <v>-5.1225249999999997E-6</v>
      </c>
      <c r="I7554">
        <v>33.378909999999998</v>
      </c>
      <c r="J7554">
        <v>-421.44150000000002</v>
      </c>
      <c r="K7554">
        <v>1.125394</v>
      </c>
      <c r="L7554">
        <v>38.25732</v>
      </c>
      <c r="M7554">
        <v>0.2188737</v>
      </c>
      <c r="N7554">
        <v>-1.389072E-2</v>
      </c>
      <c r="O7554">
        <v>-0.97565469999999999</v>
      </c>
      <c r="P7554">
        <v>0.56059169999999903</v>
      </c>
      <c r="Q7554">
        <v>8.877032E-2</v>
      </c>
      <c r="R7554">
        <v>-0.82332099999999897</v>
      </c>
      <c r="S7554">
        <v>2.7421259999999998</v>
      </c>
      <c r="T7554">
        <v>-0.41464760000000001</v>
      </c>
      <c r="U7554">
        <v>-1.8332820000000001</v>
      </c>
      <c r="V7554">
        <v>-0.36771700000000002</v>
      </c>
      <c r="W7554">
        <v>9.8165769999999999E-2</v>
      </c>
      <c r="X7554">
        <v>0.92474199999999995</v>
      </c>
      <c r="Y7554">
        <v>-0.68300159999999999</v>
      </c>
      <c r="Z7554">
        <v>0.1203285</v>
      </c>
      <c r="AA7554">
        <v>0.72043729999999995</v>
      </c>
      <c r="AB7554">
        <v>19</v>
      </c>
      <c r="AC7554">
        <v>7.4165000000000401</v>
      </c>
      <c r="AD7554">
        <v>-1.125399122525</v>
      </c>
      <c r="AE7554">
        <v>-4.8784099999999997</v>
      </c>
      <c r="AF7554">
        <v>-6.07120425530485</v>
      </c>
      <c r="AG7554">
        <v>-1.125399122525</v>
      </c>
      <c r="AH7554">
        <v>6.2825609868215198</v>
      </c>
      <c r="AI7554">
        <v>97.340005130765405</v>
      </c>
      <c r="AJ7554">
        <v>134.01983993455499</v>
      </c>
      <c r="AK7554">
        <v>8.8088941898369697</v>
      </c>
      <c r="AL7554">
        <v>84.366443097377498</v>
      </c>
      <c r="AM7554">
        <v>111.68488605649399</v>
      </c>
      <c r="AN7554">
        <v>1.0000000385263399</v>
      </c>
    </row>
    <row r="7555" spans="1:40" x14ac:dyDescent="0.25">
      <c r="A7555" t="str">
        <f>"20190303162104547"</f>
        <v>20190303162104547</v>
      </c>
      <c r="B7555" t="str">
        <f>"1551601264540667"</f>
        <v>1551601264540667</v>
      </c>
      <c r="C7555" t="s">
        <v>40</v>
      </c>
      <c r="D7555">
        <v>4.707586</v>
      </c>
      <c r="E7555">
        <v>0.34708830000000002</v>
      </c>
      <c r="F7555" t="s">
        <v>62</v>
      </c>
      <c r="G7555">
        <v>-414.02809999999999</v>
      </c>
      <c r="H7555" s="1">
        <v>-5.1220999999999996E-6</v>
      </c>
      <c r="I7555">
        <v>33.37838</v>
      </c>
      <c r="J7555">
        <v>-421.3938</v>
      </c>
      <c r="K7555">
        <v>1.125321</v>
      </c>
      <c r="L7555">
        <v>38.08426</v>
      </c>
      <c r="M7555">
        <v>0.22593089999999999</v>
      </c>
      <c r="N7555">
        <v>-1.389051E-2</v>
      </c>
      <c r="O7555">
        <v>-0.97404429999999997</v>
      </c>
      <c r="P7555">
        <v>0.56892869999999995</v>
      </c>
      <c r="Q7555">
        <v>8.4458050000000007E-2</v>
      </c>
      <c r="R7555">
        <v>-0.8180383</v>
      </c>
      <c r="S7555">
        <v>2.7549130000000002</v>
      </c>
      <c r="T7555">
        <v>-0.41821340000000001</v>
      </c>
      <c r="U7555">
        <v>-1.81308</v>
      </c>
      <c r="V7555">
        <v>-0.37026399999999998</v>
      </c>
      <c r="W7555">
        <v>9.3875559999999997E-2</v>
      </c>
      <c r="X7555">
        <v>0.92417099999999996</v>
      </c>
      <c r="Y7555">
        <v>-0.68283369999999999</v>
      </c>
      <c r="Z7555">
        <v>0.1216839</v>
      </c>
      <c r="AA7555">
        <v>0.72036880000000003</v>
      </c>
      <c r="AB7555">
        <v>19</v>
      </c>
      <c r="AC7555">
        <v>7.3657000000000004</v>
      </c>
      <c r="AD7555">
        <v>-1.1253261220999999</v>
      </c>
      <c r="AE7555">
        <v>-4.7058799999999996</v>
      </c>
      <c r="AF7555">
        <v>-6.0122472305301997</v>
      </c>
      <c r="AG7555">
        <v>-1.1253261220999999</v>
      </c>
      <c r="AH7555">
        <v>6.1465939481847602</v>
      </c>
      <c r="AI7555">
        <v>97.456512935149107</v>
      </c>
      <c r="AJ7555">
        <v>134.36694734574399</v>
      </c>
      <c r="AK7555">
        <v>8.6714527506041499</v>
      </c>
      <c r="AL7555">
        <v>84.6133953203462</v>
      </c>
      <c r="AM7555">
        <v>111.833234635542</v>
      </c>
      <c r="AN7555">
        <v>1.00000004385115</v>
      </c>
    </row>
    <row r="7556" spans="1:40" x14ac:dyDescent="0.25">
      <c r="A7556" t="str">
        <f>"20190303162104561"</f>
        <v>20190303162104561</v>
      </c>
      <c r="B7556" t="str">
        <f>"1551601264550427"</f>
        <v>1551601264550427</v>
      </c>
      <c r="C7556" t="s">
        <v>40</v>
      </c>
      <c r="D7556">
        <v>4.7057129999999896</v>
      </c>
      <c r="E7556">
        <v>0.3481302</v>
      </c>
      <c r="F7556" t="s">
        <v>62</v>
      </c>
      <c r="G7556">
        <v>-413.50639999999999</v>
      </c>
      <c r="H7556" s="1">
        <v>-5.5271050000000003E-6</v>
      </c>
      <c r="I7556">
        <v>32.799680000000002</v>
      </c>
      <c r="J7556">
        <v>-421.363</v>
      </c>
      <c r="K7556">
        <v>1.125273</v>
      </c>
      <c r="L7556">
        <v>37.974910000000001</v>
      </c>
      <c r="M7556">
        <v>0.23036290000000001</v>
      </c>
      <c r="N7556">
        <v>-1.388937E-2</v>
      </c>
      <c r="O7556">
        <v>-0.97300580000000003</v>
      </c>
      <c r="P7556">
        <v>0.57355279999999997</v>
      </c>
      <c r="Q7556">
        <v>8.1961640000000002E-2</v>
      </c>
      <c r="R7556">
        <v>-0.81505799999999995</v>
      </c>
      <c r="S7556">
        <v>2.7149960000000002</v>
      </c>
      <c r="T7556">
        <v>-0.38736029999999999</v>
      </c>
      <c r="U7556">
        <v>-1.819061</v>
      </c>
      <c r="V7556">
        <v>-0.37120209999999998</v>
      </c>
      <c r="W7556">
        <v>9.1398599999999997E-2</v>
      </c>
      <c r="X7556">
        <v>0.9240429</v>
      </c>
      <c r="Y7556">
        <v>-0.67442270000000004</v>
      </c>
      <c r="Z7556">
        <v>0.1129646</v>
      </c>
      <c r="AA7556">
        <v>0.72965269999999904</v>
      </c>
      <c r="AB7556">
        <v>19</v>
      </c>
      <c r="AC7556">
        <v>7.8566000000000704</v>
      </c>
      <c r="AD7556">
        <v>-1.1252785271050001</v>
      </c>
      <c r="AE7556">
        <v>-5.1752299999999902</v>
      </c>
      <c r="AF7556">
        <v>-6.3619412037038998</v>
      </c>
      <c r="AG7556">
        <v>-1.1252785271050001</v>
      </c>
      <c r="AH7556">
        <v>6.7494961254325201</v>
      </c>
      <c r="AI7556">
        <v>96.917360878731401</v>
      </c>
      <c r="AJ7556">
        <v>133.306913482488</v>
      </c>
      <c r="AK7556">
        <v>9.3432459878876006</v>
      </c>
      <c r="AL7556">
        <v>84.755927330704793</v>
      </c>
      <c r="AM7556">
        <v>111.886079226788</v>
      </c>
      <c r="AN7556">
        <v>0.99999999208338997</v>
      </c>
    </row>
    <row r="7557" spans="1:40" x14ac:dyDescent="0.25">
      <c r="A7557" t="str">
        <f>"20190303162104576"</f>
        <v>20190303162104576</v>
      </c>
      <c r="B7557" t="str">
        <f>"1551601264569947"</f>
        <v>1551601264569947</v>
      </c>
      <c r="C7557" t="s">
        <v>40</v>
      </c>
      <c r="D7557">
        <v>4.6879689999999998</v>
      </c>
      <c r="E7557">
        <v>0.35008260000000002</v>
      </c>
      <c r="F7557" t="s">
        <v>62</v>
      </c>
      <c r="G7557">
        <v>-413.46339999999998</v>
      </c>
      <c r="H7557" s="1">
        <v>-5.5632369999999999E-6</v>
      </c>
      <c r="I7557">
        <v>32.721939999999996</v>
      </c>
      <c r="J7557">
        <v>-421.33010000000002</v>
      </c>
      <c r="K7557">
        <v>1.125224</v>
      </c>
      <c r="L7557">
        <v>37.860320000000002</v>
      </c>
      <c r="M7557">
        <v>0.23498959999999999</v>
      </c>
      <c r="N7557">
        <v>-1.388757E-2</v>
      </c>
      <c r="O7557">
        <v>-0.97189879999999995</v>
      </c>
      <c r="P7557">
        <v>0.57811440000000003</v>
      </c>
      <c r="Q7557">
        <v>7.9580739999999997E-2</v>
      </c>
      <c r="R7557">
        <v>-0.812065699999999</v>
      </c>
      <c r="S7557">
        <v>2.7177120000000001</v>
      </c>
      <c r="T7557">
        <v>-0.38713180000000003</v>
      </c>
      <c r="U7557">
        <v>-1.8071900000000001</v>
      </c>
      <c r="V7557">
        <v>-0.37190390000000001</v>
      </c>
      <c r="W7557">
        <v>8.9037909999999998E-2</v>
      </c>
      <c r="X7557">
        <v>0.92399120000000001</v>
      </c>
      <c r="Y7557">
        <v>-0.6734561</v>
      </c>
      <c r="Z7557">
        <v>0.1131572</v>
      </c>
      <c r="AA7557">
        <v>0.73051519999999903</v>
      </c>
      <c r="AB7557">
        <v>19</v>
      </c>
      <c r="AC7557">
        <v>7.86670000000003</v>
      </c>
      <c r="AD7557">
        <v>-1.125229563237</v>
      </c>
      <c r="AE7557">
        <v>-5.13837999999999</v>
      </c>
      <c r="AF7557">
        <v>-6.3477570381050503</v>
      </c>
      <c r="AG7557">
        <v>-1.125229563237</v>
      </c>
      <c r="AH7557">
        <v>6.7464854192365804</v>
      </c>
      <c r="AI7557">
        <v>96.925874432791502</v>
      </c>
      <c r="AJ7557">
        <v>133.25584440521101</v>
      </c>
      <c r="AK7557">
        <v>9.3314107452606798</v>
      </c>
      <c r="AL7557">
        <v>84.891738809800998</v>
      </c>
      <c r="AM7557">
        <v>111.92464871593999</v>
      </c>
      <c r="AN7557">
        <v>0.99999999896490899</v>
      </c>
    </row>
    <row r="7558" spans="1:40" x14ac:dyDescent="0.25">
      <c r="A7558" t="str">
        <f>"20190303162104593"</f>
        <v>20190303162104593</v>
      </c>
      <c r="B7558" t="str">
        <f>"1551601264590443"</f>
        <v>1551601264590443</v>
      </c>
      <c r="C7558" t="s">
        <v>40</v>
      </c>
      <c r="D7558">
        <v>4.7183219999999997</v>
      </c>
      <c r="E7558">
        <v>0.35186260000000003</v>
      </c>
      <c r="F7558" t="s">
        <v>62</v>
      </c>
      <c r="G7558">
        <v>-413.33260000000001</v>
      </c>
      <c r="H7558" s="1">
        <v>-5.6456340000000003E-6</v>
      </c>
      <c r="I7558">
        <v>32.558230000000002</v>
      </c>
      <c r="J7558">
        <v>-421.29079999999999</v>
      </c>
      <c r="K7558">
        <v>1.1251610000000001</v>
      </c>
      <c r="L7558">
        <v>37.725740000000002</v>
      </c>
      <c r="M7558">
        <v>0.24040339999999999</v>
      </c>
      <c r="N7558">
        <v>-1.3885069999999999E-2</v>
      </c>
      <c r="O7558">
        <v>-0.97057400000000005</v>
      </c>
      <c r="P7558">
        <v>0.58334149999999996</v>
      </c>
      <c r="Q7558">
        <v>7.5178469999999997E-2</v>
      </c>
      <c r="R7558">
        <v>-0.80874040000000003</v>
      </c>
      <c r="S7558">
        <v>2.7142330000000001</v>
      </c>
      <c r="T7558">
        <v>-0.3818839</v>
      </c>
      <c r="U7558">
        <v>-1.7994380000000001</v>
      </c>
      <c r="V7558">
        <v>-0.37256739999999999</v>
      </c>
      <c r="W7558">
        <v>8.4658559999999994E-2</v>
      </c>
      <c r="X7558">
        <v>0.9241355</v>
      </c>
      <c r="Y7558">
        <v>-0.67050310000000002</v>
      </c>
      <c r="Z7558">
        <v>0.111815899999999</v>
      </c>
      <c r="AA7558">
        <v>0.73343219999999898</v>
      </c>
      <c r="AB7558">
        <v>19</v>
      </c>
      <c r="AC7558">
        <v>7.9581999999999704</v>
      </c>
      <c r="AD7558">
        <v>-1.1251666456339999</v>
      </c>
      <c r="AE7558">
        <v>-5.16751</v>
      </c>
      <c r="AF7558">
        <v>-6.3924736590321896</v>
      </c>
      <c r="AG7558">
        <v>-1.1251666456339999</v>
      </c>
      <c r="AH7558">
        <v>6.8332135383722701</v>
      </c>
      <c r="AI7558">
        <v>96.856698155196696</v>
      </c>
      <c r="AJ7558">
        <v>133.09135110017201</v>
      </c>
      <c r="AK7558">
        <v>9.4245703733837001</v>
      </c>
      <c r="AL7558">
        <v>85.143608878352694</v>
      </c>
      <c r="AM7558">
        <v>111.95694386357999</v>
      </c>
      <c r="AN7558">
        <v>0.99999998084214103</v>
      </c>
    </row>
    <row r="7559" spans="1:40" x14ac:dyDescent="0.25">
      <c r="A7559" t="str">
        <f>"20190303162104609"</f>
        <v>20190303162104609</v>
      </c>
      <c r="B7559" t="str">
        <f>"1551601264600203"</f>
        <v>1551601264600203</v>
      </c>
      <c r="C7559" t="s">
        <v>40</v>
      </c>
      <c r="D7559">
        <v>4.6786329999999996</v>
      </c>
      <c r="E7559">
        <v>0.35186260000000003</v>
      </c>
      <c r="F7559" t="s">
        <v>62</v>
      </c>
      <c r="G7559">
        <v>-413.36649999999997</v>
      </c>
      <c r="H7559" s="1">
        <v>-5.6608729999999998E-6</v>
      </c>
      <c r="I7559">
        <v>32.503959999999999</v>
      </c>
      <c r="J7559">
        <v>-421.25420000000003</v>
      </c>
      <c r="K7559">
        <v>1.1251180000000001</v>
      </c>
      <c r="L7559">
        <v>37.602719999999998</v>
      </c>
      <c r="M7559">
        <v>0.245338</v>
      </c>
      <c r="N7559">
        <v>-1.3882540000000001E-2</v>
      </c>
      <c r="O7559">
        <v>-0.96933829999999999</v>
      </c>
      <c r="P7559">
        <v>0.58739110000000005</v>
      </c>
      <c r="Q7559">
        <v>7.3486919999999997E-2</v>
      </c>
      <c r="R7559">
        <v>-0.80596009999999996</v>
      </c>
      <c r="S7559">
        <v>2.71347</v>
      </c>
      <c r="T7559">
        <v>-0.38528279999999998</v>
      </c>
      <c r="U7559">
        <v>-1.7880549999999999</v>
      </c>
      <c r="V7559">
        <v>-0.37244270000000002</v>
      </c>
      <c r="W7559">
        <v>8.2991709999999996E-2</v>
      </c>
      <c r="X7559">
        <v>0.92433699999999996</v>
      </c>
      <c r="Y7559">
        <v>-0.66865620000000003</v>
      </c>
      <c r="Z7559">
        <v>0.11324960000000001</v>
      </c>
      <c r="AA7559">
        <v>0.73489680000000002</v>
      </c>
      <c r="AB7559">
        <v>19</v>
      </c>
      <c r="AC7559">
        <v>7.8877000000000503</v>
      </c>
      <c r="AD7559">
        <v>-1.125123660873</v>
      </c>
      <c r="AE7559">
        <v>-5.0987599999999897</v>
      </c>
      <c r="AF7559">
        <v>-6.3050649606159999</v>
      </c>
      <c r="AG7559">
        <v>-1.125123660873</v>
      </c>
      <c r="AH7559">
        <v>6.7809283150011099</v>
      </c>
      <c r="AI7559">
        <v>96.9281979926308</v>
      </c>
      <c r="AJ7559">
        <v>132.91739513292899</v>
      </c>
      <c r="AK7559">
        <v>9.3274185187021494</v>
      </c>
      <c r="AL7559">
        <v>85.239449953434999</v>
      </c>
      <c r="AM7559">
        <v>111.94596261860499</v>
      </c>
      <c r="AN7559">
        <v>1.0000000391405</v>
      </c>
    </row>
    <row r="7560" spans="1:40" x14ac:dyDescent="0.25">
      <c r="A7560" t="str">
        <f>"20190303162104624"</f>
        <v>20190303162104624</v>
      </c>
      <c r="B7560" t="str">
        <f>"1551601264620699"</f>
        <v>1551601264620699</v>
      </c>
      <c r="C7560" t="s">
        <v>40</v>
      </c>
      <c r="D7560">
        <v>4.6859359999999999</v>
      </c>
      <c r="E7560">
        <v>0.36150959999999899</v>
      </c>
      <c r="F7560" t="s">
        <v>62</v>
      </c>
      <c r="G7560">
        <v>-413.40269999999998</v>
      </c>
      <c r="H7560" s="1">
        <v>-5.6621520000000001E-6</v>
      </c>
      <c r="I7560">
        <v>32.48565</v>
      </c>
      <c r="J7560">
        <v>-421.21850000000001</v>
      </c>
      <c r="K7560">
        <v>1.1250849999999999</v>
      </c>
      <c r="L7560">
        <v>37.484589999999997</v>
      </c>
      <c r="M7560">
        <v>0.2500695</v>
      </c>
      <c r="N7560">
        <v>-1.388002E-2</v>
      </c>
      <c r="O7560">
        <v>-0.9681284</v>
      </c>
      <c r="P7560">
        <v>0.59168089999999995</v>
      </c>
      <c r="Q7560">
        <v>7.2014010000000003E-2</v>
      </c>
      <c r="R7560">
        <v>-0.80294960000000004</v>
      </c>
      <c r="S7560">
        <v>2.7220149999999999</v>
      </c>
      <c r="T7560">
        <v>-0.39006449999999998</v>
      </c>
      <c r="U7560">
        <v>-1.77401699999999</v>
      </c>
      <c r="V7560">
        <v>-0.37280720000000001</v>
      </c>
      <c r="W7560">
        <v>8.1532779999999999E-2</v>
      </c>
      <c r="X7560">
        <v>0.92431989999999997</v>
      </c>
      <c r="Y7560">
        <v>-0.6685951</v>
      </c>
      <c r="Z7560">
        <v>0.1149259</v>
      </c>
      <c r="AA7560">
        <v>0.73469219999999902</v>
      </c>
      <c r="AB7560">
        <v>19</v>
      </c>
      <c r="AC7560">
        <v>7.8158000000000198</v>
      </c>
      <c r="AD7560">
        <v>-1.125090662152</v>
      </c>
      <c r="AE7560">
        <v>-4.9989400000000002</v>
      </c>
      <c r="AF7560">
        <v>-6.2256698221441704</v>
      </c>
      <c r="AG7560">
        <v>-1.125090662152</v>
      </c>
      <c r="AH7560">
        <v>6.6962884012239101</v>
      </c>
      <c r="AI7560">
        <v>97.015057812397004</v>
      </c>
      <c r="AJ7560">
        <v>132.91420578226601</v>
      </c>
      <c r="AK7560">
        <v>9.2122240574567194</v>
      </c>
      <c r="AL7560">
        <v>85.323324769073807</v>
      </c>
      <c r="AM7560">
        <v>111.96576568258</v>
      </c>
      <c r="AN7560">
        <v>1.0000000400611799</v>
      </c>
    </row>
    <row r="7561" spans="1:40" x14ac:dyDescent="0.25">
      <c r="A7561" t="str">
        <f>"20190303162104637"</f>
        <v>20190303162104637</v>
      </c>
      <c r="B7561" t="str">
        <f>"1551601264630459"</f>
        <v>1551601264630459</v>
      </c>
      <c r="C7561" t="s">
        <v>40</v>
      </c>
      <c r="D7561">
        <v>4.6606449999999997</v>
      </c>
      <c r="E7561">
        <v>0.36165890000000001</v>
      </c>
      <c r="F7561" t="s">
        <v>62</v>
      </c>
      <c r="G7561">
        <v>-412.5009</v>
      </c>
      <c r="H7561" s="1">
        <v>-6.13734799999999E-6</v>
      </c>
      <c r="I7561">
        <v>31.60219</v>
      </c>
      <c r="J7561">
        <v>-421.18650000000002</v>
      </c>
      <c r="K7561">
        <v>1.1250530000000001</v>
      </c>
      <c r="L7561">
        <v>37.381070000000001</v>
      </c>
      <c r="M7561">
        <v>0.25421439999999901</v>
      </c>
      <c r="N7561">
        <v>-1.3877799999999999E-2</v>
      </c>
      <c r="O7561">
        <v>-0.96704849999999998</v>
      </c>
      <c r="P7561">
        <v>0.59586649999999997</v>
      </c>
      <c r="Q7561">
        <v>7.1008879999999996E-2</v>
      </c>
      <c r="R7561">
        <v>-0.79993800000000004</v>
      </c>
      <c r="S7561">
        <v>2.6685789999999998</v>
      </c>
      <c r="T7561">
        <v>-0.34440720000000002</v>
      </c>
      <c r="U7561">
        <v>-1.8006899999999999</v>
      </c>
      <c r="V7561">
        <v>-0.3736411</v>
      </c>
      <c r="W7561">
        <v>8.0529009999999998E-2</v>
      </c>
      <c r="X7561">
        <v>0.92407110000000003</v>
      </c>
      <c r="Y7561">
        <v>-0.65483649999999904</v>
      </c>
      <c r="Z7561">
        <v>0.10100199999999999</v>
      </c>
      <c r="AA7561">
        <v>0.74899119999999997</v>
      </c>
      <c r="AB7561">
        <v>19</v>
      </c>
      <c r="AC7561">
        <v>8.6856000000000204</v>
      </c>
      <c r="AD7561">
        <v>-1.1250591373479999</v>
      </c>
      <c r="AE7561">
        <v>-5.7788799999999902</v>
      </c>
      <c r="AF7561">
        <v>-6.8513071008170101</v>
      </c>
      <c r="AG7561">
        <v>-1.1250591373479999</v>
      </c>
      <c r="AH7561">
        <v>7.7075718487782003</v>
      </c>
      <c r="AI7561">
        <v>96.226170709669205</v>
      </c>
      <c r="AJ7561">
        <v>131.634087993028</v>
      </c>
      <c r="AK7561">
        <v>10.3736604367173</v>
      </c>
      <c r="AL7561">
        <v>85.381026093646199</v>
      </c>
      <c r="AM7561">
        <v>112.015570188665</v>
      </c>
      <c r="AN7561">
        <v>0.999999995458</v>
      </c>
    </row>
    <row r="7562" spans="1:40" x14ac:dyDescent="0.25">
      <c r="A7562" t="str">
        <f>"20190303162104660"</f>
        <v>20190303162104660</v>
      </c>
      <c r="B7562" t="str">
        <f>"1551601264649979"</f>
        <v>1551601264649979</v>
      </c>
      <c r="C7562" t="s">
        <v>40</v>
      </c>
      <c r="D7562">
        <v>4.6247959999999999</v>
      </c>
      <c r="E7562">
        <v>0.36189559999999998</v>
      </c>
      <c r="F7562" t="s">
        <v>62</v>
      </c>
      <c r="G7562">
        <v>-412.52940000000001</v>
      </c>
      <c r="H7562" s="1">
        <v>-6.1349210000000003E-6</v>
      </c>
      <c r="I7562">
        <v>31.59685</v>
      </c>
      <c r="J7562">
        <v>-421.13159999999999</v>
      </c>
      <c r="K7562">
        <v>1.125022</v>
      </c>
      <c r="L7562">
        <v>37.206389999999999</v>
      </c>
      <c r="M7562">
        <v>0.26121220000000001</v>
      </c>
      <c r="N7562">
        <v>-1.387421E-2</v>
      </c>
      <c r="O7562">
        <v>-0.96518190000000004</v>
      </c>
      <c r="P7562">
        <v>0.60224659999999997</v>
      </c>
      <c r="Q7562">
        <v>7.0362279999999999E-2</v>
      </c>
      <c r="R7562">
        <v>-0.7952034</v>
      </c>
      <c r="S7562">
        <v>2.6759029999999999</v>
      </c>
      <c r="T7562">
        <v>-0.3477557</v>
      </c>
      <c r="U7562">
        <v>-1.78790299999999</v>
      </c>
      <c r="V7562">
        <v>-0.37431609999999998</v>
      </c>
      <c r="W7562">
        <v>7.9890699999999995E-2</v>
      </c>
      <c r="X7562">
        <v>0.92385329999999999</v>
      </c>
      <c r="Y7562">
        <v>-0.65269769999999905</v>
      </c>
      <c r="Z7562">
        <v>0.1022241</v>
      </c>
      <c r="AA7562">
        <v>0.75069030000000003</v>
      </c>
      <c r="AB7562">
        <v>19</v>
      </c>
      <c r="AC7562">
        <v>8.6021999999999803</v>
      </c>
      <c r="AD7562">
        <v>-1.1250281349210001</v>
      </c>
      <c r="AE7562">
        <v>-5.6095399999999902</v>
      </c>
      <c r="AF7562">
        <v>-6.7569734507007198</v>
      </c>
      <c r="AG7562">
        <v>-1.1250281349210001</v>
      </c>
      <c r="AH7562">
        <v>7.5711008063473502</v>
      </c>
      <c r="AI7562">
        <v>96.3262066155485</v>
      </c>
      <c r="AJ7562">
        <v>131.74792594188401</v>
      </c>
      <c r="AK7562">
        <v>10.209992455321</v>
      </c>
      <c r="AL7562">
        <v>85.417716770964404</v>
      </c>
      <c r="AM7562">
        <v>112.056232605784</v>
      </c>
      <c r="AN7562">
        <v>0.99999999329329503</v>
      </c>
    </row>
    <row r="7563" spans="1:40" x14ac:dyDescent="0.25">
      <c r="A7563" t="str">
        <f>"20190303162104677"</f>
        <v>20190303162104677</v>
      </c>
      <c r="B7563" t="str">
        <f>"1551601264670475"</f>
        <v>1551601264670475</v>
      </c>
      <c r="C7563" t="s">
        <v>40</v>
      </c>
      <c r="D7563">
        <v>4.6136269999999904</v>
      </c>
      <c r="E7563">
        <v>0.36222349999999998</v>
      </c>
      <c r="F7563" t="s">
        <v>62</v>
      </c>
      <c r="G7563">
        <v>-412.41489999999999</v>
      </c>
      <c r="H7563" s="1">
        <v>-6.1990500000000004E-6</v>
      </c>
      <c r="I7563">
        <v>31.47465</v>
      </c>
      <c r="J7563">
        <v>-421.09070000000003</v>
      </c>
      <c r="K7563">
        <v>1.125008</v>
      </c>
      <c r="L7563">
        <v>37.079099999999997</v>
      </c>
      <c r="M7563">
        <v>0.266316</v>
      </c>
      <c r="N7563">
        <v>-1.3871720000000001E-2</v>
      </c>
      <c r="O7563">
        <v>-0.96378609999999998</v>
      </c>
      <c r="P7563">
        <v>0.60642149999999995</v>
      </c>
      <c r="Q7563">
        <v>7.0285159999999999E-2</v>
      </c>
      <c r="R7563">
        <v>-0.79203089999999998</v>
      </c>
      <c r="S7563">
        <v>2.6880489999999999</v>
      </c>
      <c r="T7563">
        <v>-0.34693499999999999</v>
      </c>
      <c r="U7563">
        <v>-1.7675479999999999</v>
      </c>
      <c r="V7563">
        <v>-0.37428159999999999</v>
      </c>
      <c r="W7563">
        <v>7.9824129999999993E-2</v>
      </c>
      <c r="X7563">
        <v>0.9238731</v>
      </c>
      <c r="Y7563">
        <v>-0.65423769999999903</v>
      </c>
      <c r="Z7563">
        <v>0.1021373</v>
      </c>
      <c r="AA7563">
        <v>0.74936040000000004</v>
      </c>
      <c r="AB7563">
        <v>19</v>
      </c>
      <c r="AC7563">
        <v>8.6758000000000308</v>
      </c>
      <c r="AD7563">
        <v>-1.12501419905</v>
      </c>
      <c r="AE7563">
        <v>-5.6044499999999902</v>
      </c>
      <c r="AF7563">
        <v>-6.78917317629789</v>
      </c>
      <c r="AG7563">
        <v>-1.12501419905</v>
      </c>
      <c r="AH7563">
        <v>7.6223044198746397</v>
      </c>
      <c r="AI7563">
        <v>96.289459238346893</v>
      </c>
      <c r="AJ7563">
        <v>131.69139871324799</v>
      </c>
      <c r="AK7563">
        <v>10.269277191461301</v>
      </c>
      <c r="AL7563">
        <v>85.421543460813396</v>
      </c>
      <c r="AM7563">
        <v>112.05396732957399</v>
      </c>
      <c r="AN7563">
        <v>1.0000000563662099</v>
      </c>
    </row>
    <row r="7564" spans="1:40" x14ac:dyDescent="0.25">
      <c r="A7564" t="str">
        <f>"20190303162104693"</f>
        <v>20190303162104693</v>
      </c>
      <c r="B7564" t="str">
        <f>"1551601264689995"</f>
        <v>1551601264689995</v>
      </c>
      <c r="C7564" t="s">
        <v>40</v>
      </c>
      <c r="D7564">
        <v>4.5519869999999996</v>
      </c>
      <c r="E7564">
        <v>0.36265619999999998</v>
      </c>
      <c r="F7564" t="s">
        <v>62</v>
      </c>
      <c r="G7564">
        <v>-412.19549999999998</v>
      </c>
      <c r="H7564" s="1">
        <v>-6.30349E-6</v>
      </c>
      <c r="I7564">
        <v>31.289239999999999</v>
      </c>
      <c r="J7564">
        <v>-421.04640000000001</v>
      </c>
      <c r="K7564">
        <v>1.125005</v>
      </c>
      <c r="L7564">
        <v>36.943660000000001</v>
      </c>
      <c r="M7564">
        <v>0.27175389999999999</v>
      </c>
      <c r="N7564">
        <v>-1.386922E-2</v>
      </c>
      <c r="O7564">
        <v>-0.96226699999999998</v>
      </c>
      <c r="P7564">
        <v>0.61025249999999998</v>
      </c>
      <c r="Q7564">
        <v>7.1050459999999996E-2</v>
      </c>
      <c r="R7564">
        <v>-0.78901469999999996</v>
      </c>
      <c r="S7564">
        <v>2.6952509999999998</v>
      </c>
      <c r="T7564">
        <v>-0.34088049999999998</v>
      </c>
      <c r="U7564">
        <v>-1.7543329999999999</v>
      </c>
      <c r="V7564">
        <v>-0.3735639</v>
      </c>
      <c r="W7564">
        <v>8.0607899999999996E-2</v>
      </c>
      <c r="X7564">
        <v>0.92409549999999996</v>
      </c>
      <c r="Y7564">
        <v>-0.65364529999999998</v>
      </c>
      <c r="Z7564">
        <v>0.1002975</v>
      </c>
      <c r="AA7564">
        <v>0.7501255</v>
      </c>
      <c r="AB7564">
        <v>19</v>
      </c>
      <c r="AC7564">
        <v>8.8509000000000206</v>
      </c>
      <c r="AD7564">
        <v>-1.12501130349</v>
      </c>
      <c r="AE7564">
        <v>-5.6544199999999902</v>
      </c>
      <c r="AF7564">
        <v>-6.90180093405821</v>
      </c>
      <c r="AG7564">
        <v>-1.12501130349</v>
      </c>
      <c r="AH7564">
        <v>7.7580697724646202</v>
      </c>
      <c r="AI7564">
        <v>96.183496318038493</v>
      </c>
      <c r="AJ7564">
        <v>131.65720704293</v>
      </c>
      <c r="AK7564">
        <v>10.4445274263978</v>
      </c>
      <c r="AL7564">
        <v>85.376491572541198</v>
      </c>
      <c r="AM7564">
        <v>112.01093033080799</v>
      </c>
      <c r="AN7564">
        <v>1.0000000570229299</v>
      </c>
    </row>
    <row r="7565" spans="1:40" x14ac:dyDescent="0.25">
      <c r="A7565" t="str">
        <f>"20190303162104716"</f>
        <v>20190303162104716</v>
      </c>
      <c r="B7565" t="str">
        <f>"1551601264710491"</f>
        <v>1551601264710491</v>
      </c>
      <c r="C7565" t="s">
        <v>40</v>
      </c>
      <c r="D7565">
        <v>4.5546530000000001</v>
      </c>
      <c r="E7565">
        <v>0.36316680000000001</v>
      </c>
      <c r="F7565" t="s">
        <v>62</v>
      </c>
      <c r="G7565">
        <v>-411.89109999999999</v>
      </c>
      <c r="H7565" s="1">
        <v>-6.4468879999999997E-6</v>
      </c>
      <c r="I7565">
        <v>31.03595</v>
      </c>
      <c r="J7565">
        <v>-420.98849999999999</v>
      </c>
      <c r="K7565">
        <v>1.1250100000000001</v>
      </c>
      <c r="L7565">
        <v>36.770359999999997</v>
      </c>
      <c r="M7565">
        <v>0.2787288</v>
      </c>
      <c r="N7565">
        <v>-1.38662E-2</v>
      </c>
      <c r="O7565">
        <v>-0.96027010000000002</v>
      </c>
      <c r="P7565">
        <v>0.61471709999999902</v>
      </c>
      <c r="Q7565">
        <v>7.3888659999999995E-2</v>
      </c>
      <c r="R7565">
        <v>-0.78527930000000001</v>
      </c>
      <c r="S7565">
        <v>2.701111</v>
      </c>
      <c r="T7565">
        <v>-0.33191730000000003</v>
      </c>
      <c r="U7565">
        <v>-1.7429809999999999</v>
      </c>
      <c r="V7565">
        <v>-0.37219239999999998</v>
      </c>
      <c r="W7565">
        <v>8.3471180000000006E-2</v>
      </c>
      <c r="X7565">
        <v>0.92439459999999996</v>
      </c>
      <c r="Y7565">
        <v>-0.65138640000000003</v>
      </c>
      <c r="Z7565">
        <v>9.7488450000000004E-2</v>
      </c>
      <c r="AA7565">
        <v>0.75245709999999999</v>
      </c>
      <c r="AB7565">
        <v>18</v>
      </c>
      <c r="AC7565">
        <v>9.0973999999999897</v>
      </c>
      <c r="AD7565">
        <v>-1.125016446888</v>
      </c>
      <c r="AE7565">
        <v>-5.7344099999999898</v>
      </c>
      <c r="AF7565">
        <v>-7.0610221453126298</v>
      </c>
      <c r="AG7565">
        <v>-1.125016446888</v>
      </c>
      <c r="AH7565">
        <v>7.95598793859841</v>
      </c>
      <c r="AI7565">
        <v>96.037146549074606</v>
      </c>
      <c r="AJ7565">
        <v>131.58938880423801</v>
      </c>
      <c r="AK7565">
        <v>10.696795773571001</v>
      </c>
      <c r="AL7565">
        <v>85.211882500171697</v>
      </c>
      <c r="AM7565">
        <v>111.93137638282499</v>
      </c>
      <c r="AN7565">
        <v>0.99999999850875598</v>
      </c>
    </row>
    <row r="7566" spans="1:40" x14ac:dyDescent="0.25">
      <c r="A7566" t="str">
        <f>"20190303162104730"</f>
        <v>20190303162104730</v>
      </c>
      <c r="B7566" t="str">
        <f>"1551601264720251"</f>
        <v>1551601264720251</v>
      </c>
      <c r="C7566" t="s">
        <v>40</v>
      </c>
      <c r="D7566">
        <v>4.4952239999999897</v>
      </c>
      <c r="E7566">
        <v>0.36347990000000002</v>
      </c>
      <c r="F7566" t="s">
        <v>62</v>
      </c>
      <c r="G7566">
        <v>-411.48349999999999</v>
      </c>
      <c r="H7566" s="1">
        <v>-6.6393790000000004E-6</v>
      </c>
      <c r="I7566">
        <v>30.695589999999999</v>
      </c>
      <c r="J7566">
        <v>-420.95280000000002</v>
      </c>
      <c r="K7566">
        <v>1.1250169999999999</v>
      </c>
      <c r="L7566">
        <v>36.665439999999997</v>
      </c>
      <c r="M7566">
        <v>0.2829602</v>
      </c>
      <c r="N7566">
        <v>-1.386454E-2</v>
      </c>
      <c r="O7566">
        <v>-0.95903150000000004</v>
      </c>
      <c r="P7566">
        <v>0.61704499999999995</v>
      </c>
      <c r="Q7566">
        <v>7.6701779999999997E-2</v>
      </c>
      <c r="R7566">
        <v>-0.78318100000000002</v>
      </c>
      <c r="S7566">
        <v>2.7079469999999999</v>
      </c>
      <c r="T7566">
        <v>-0.32051360000000001</v>
      </c>
      <c r="U7566">
        <v>-1.7306820000000001</v>
      </c>
      <c r="V7566">
        <v>-0.37095800000000001</v>
      </c>
      <c r="W7566">
        <v>8.6301909999999996E-2</v>
      </c>
      <c r="X7566">
        <v>0.92463079999999997</v>
      </c>
      <c r="Y7566">
        <v>-0.65164889999999998</v>
      </c>
      <c r="Z7566">
        <v>9.3870839999999997E-2</v>
      </c>
      <c r="AA7566">
        <v>0.75268979999999996</v>
      </c>
      <c r="AB7566">
        <v>18</v>
      </c>
      <c r="AC7566">
        <v>9.4693000000000307</v>
      </c>
      <c r="AD7566">
        <v>-1.1250236393790001</v>
      </c>
      <c r="AE7566">
        <v>-5.9698500000000001</v>
      </c>
      <c r="AF7566">
        <v>-7.3189114971078197</v>
      </c>
      <c r="AG7566">
        <v>-1.1250236393790001</v>
      </c>
      <c r="AH7566">
        <v>8.3214645367009794</v>
      </c>
      <c r="AI7566">
        <v>95.796641025247396</v>
      </c>
      <c r="AJ7566">
        <v>131.33234024799</v>
      </c>
      <c r="AK7566">
        <v>11.1390715828219</v>
      </c>
      <c r="AL7566">
        <v>85.049105982957499</v>
      </c>
      <c r="AM7566">
        <v>111.86044951292099</v>
      </c>
      <c r="AN7566">
        <v>0.999999986871144</v>
      </c>
    </row>
    <row r="7567" spans="1:40" x14ac:dyDescent="0.25">
      <c r="A7567" t="str">
        <f>"20190303162104743"</f>
        <v>20190303162104743</v>
      </c>
      <c r="B7567" t="str">
        <f>"1551601264730011"</f>
        <v>1551601264730011</v>
      </c>
      <c r="C7567" t="s">
        <v>40</v>
      </c>
      <c r="D7567">
        <v>4.5325189999999997</v>
      </c>
      <c r="E7567">
        <v>0.36380069999999998</v>
      </c>
      <c r="F7567" t="s">
        <v>62</v>
      </c>
      <c r="G7567">
        <v>-411.0926</v>
      </c>
      <c r="H7567" s="1">
        <v>-6.8138449999999996E-6</v>
      </c>
      <c r="I7567">
        <v>30.395910000000001</v>
      </c>
      <c r="J7567">
        <v>-420.91570000000002</v>
      </c>
      <c r="K7567">
        <v>1.1250279999999999</v>
      </c>
      <c r="L7567">
        <v>36.558039999999998</v>
      </c>
      <c r="M7567">
        <v>0.2872961</v>
      </c>
      <c r="N7567">
        <v>-1.386302E-2</v>
      </c>
      <c r="O7567">
        <v>-0.95774139999999996</v>
      </c>
      <c r="P7567">
        <v>0.61918600000000001</v>
      </c>
      <c r="Q7567">
        <v>7.8743430000000003E-2</v>
      </c>
      <c r="R7567">
        <v>-0.78128619999999904</v>
      </c>
      <c r="S7567">
        <v>2.711792</v>
      </c>
      <c r="T7567">
        <v>-0.30940899999999999</v>
      </c>
      <c r="U7567">
        <v>-1.7242740000000001</v>
      </c>
      <c r="V7567">
        <v>-0.36937809999999999</v>
      </c>
      <c r="W7567">
        <v>8.8365379999999993E-2</v>
      </c>
      <c r="X7567">
        <v>0.92506829999999995</v>
      </c>
      <c r="Y7567">
        <v>-0.65027279999999998</v>
      </c>
      <c r="Z7567">
        <v>9.0282340000000003E-2</v>
      </c>
      <c r="AA7567">
        <v>0.75431719999999902</v>
      </c>
      <c r="AB7567">
        <v>18</v>
      </c>
      <c r="AC7567">
        <v>9.8231000000000002</v>
      </c>
      <c r="AD7567">
        <v>-1.1250348138449999</v>
      </c>
      <c r="AE7567">
        <v>-6.1621300000000003</v>
      </c>
      <c r="AF7567">
        <v>-7.5671398008751698</v>
      </c>
      <c r="AG7567">
        <v>-1.1250348138449999</v>
      </c>
      <c r="AH7567">
        <v>8.6433458032428199</v>
      </c>
      <c r="AI7567">
        <v>95.593322872426199</v>
      </c>
      <c r="AJ7567">
        <v>131.20173578013299</v>
      </c>
      <c r="AK7567">
        <v>11.5427351512883</v>
      </c>
      <c r="AL7567">
        <v>84.930424387089303</v>
      </c>
      <c r="AM7567">
        <v>111.766736775753</v>
      </c>
      <c r="AN7567">
        <v>0.99999999040352205</v>
      </c>
    </row>
    <row r="7568" spans="1:40" x14ac:dyDescent="0.25">
      <c r="A7568" t="str">
        <f>"20190303162104757"</f>
        <v>20190303162104757</v>
      </c>
      <c r="B7568" t="str">
        <f>"1551601264750507"</f>
        <v>1551601264750507</v>
      </c>
      <c r="C7568" t="s">
        <v>40</v>
      </c>
      <c r="D7568">
        <v>4.5208170000000001</v>
      </c>
      <c r="E7568">
        <v>0.36447469999999998</v>
      </c>
      <c r="F7568" t="s">
        <v>62</v>
      </c>
      <c r="G7568">
        <v>-410.75040000000001</v>
      </c>
      <c r="H7568" s="1">
        <v>-6.969366E-6</v>
      </c>
      <c r="I7568">
        <v>30.126180000000002</v>
      </c>
      <c r="J7568">
        <v>-420.87959999999998</v>
      </c>
      <c r="K7568">
        <v>1.125041</v>
      </c>
      <c r="L7568">
        <v>36.455509999999997</v>
      </c>
      <c r="M7568">
        <v>0.29145680000000002</v>
      </c>
      <c r="N7568">
        <v>-1.386192E-2</v>
      </c>
      <c r="O7568">
        <v>-0.95648370000000005</v>
      </c>
      <c r="P7568">
        <v>0.6206488</v>
      </c>
      <c r="Q7568">
        <v>8.1250760000000005E-2</v>
      </c>
      <c r="R7568">
        <v>-0.77986759999999999</v>
      </c>
      <c r="S7568">
        <v>2.7153930000000002</v>
      </c>
      <c r="T7568">
        <v>-0.30052450000000003</v>
      </c>
      <c r="U7568">
        <v>-1.7181090000000001</v>
      </c>
      <c r="V7568">
        <v>-0.36718329999999999</v>
      </c>
      <c r="W7568">
        <v>9.0899060000000004E-2</v>
      </c>
      <c r="X7568">
        <v>0.92569639999999997</v>
      </c>
      <c r="Y7568">
        <v>-0.64888279999999998</v>
      </c>
      <c r="Z7568">
        <v>8.7413610000000003E-2</v>
      </c>
      <c r="AA7568">
        <v>0.75585049999999998</v>
      </c>
      <c r="AB7568">
        <v>18</v>
      </c>
      <c r="AC7568">
        <v>10.1291999999999</v>
      </c>
      <c r="AD7568">
        <v>-1.125047969366</v>
      </c>
      <c r="AE7568">
        <v>-6.3293299999999899</v>
      </c>
      <c r="AF7568">
        <v>-7.7754547915482499</v>
      </c>
      <c r="AG7568">
        <v>-1.125047969366</v>
      </c>
      <c r="AH7568">
        <v>8.9277793176367108</v>
      </c>
      <c r="AI7568">
        <v>95.428437846048794</v>
      </c>
      <c r="AJ7568">
        <v>131.053525519646</v>
      </c>
      <c r="AK7568">
        <v>11.8923788071691</v>
      </c>
      <c r="AL7568">
        <v>84.784668652054805</v>
      </c>
      <c r="AM7568">
        <v>111.63606373877199</v>
      </c>
      <c r="AN7568">
        <v>1.00000001994036</v>
      </c>
    </row>
    <row r="7569" spans="1:40" x14ac:dyDescent="0.25">
      <c r="A7569" t="str">
        <f>"20190303162104772"</f>
        <v>20190303162104772</v>
      </c>
      <c r="B7569" t="str">
        <f>"1551601264760266"</f>
        <v>1551601264760266</v>
      </c>
      <c r="C7569" t="s">
        <v>40</v>
      </c>
      <c r="D7569">
        <v>4.5144409999999997</v>
      </c>
      <c r="E7569">
        <v>0.36475109999999999</v>
      </c>
      <c r="F7569" t="s">
        <v>62</v>
      </c>
      <c r="G7569">
        <v>-410.23149999999998</v>
      </c>
      <c r="H7569" s="1">
        <v>-7.2000289999999998E-6</v>
      </c>
      <c r="I7569">
        <v>29.730840000000001</v>
      </c>
      <c r="J7569">
        <v>-420.84019999999998</v>
      </c>
      <c r="K7569">
        <v>1.1250659999999999</v>
      </c>
      <c r="L7569">
        <v>36.344850000000001</v>
      </c>
      <c r="M7569">
        <v>0.29595959999999899</v>
      </c>
      <c r="N7569">
        <v>-1.3861190000000001E-2</v>
      </c>
      <c r="O7569">
        <v>-0.95509999999999995</v>
      </c>
      <c r="P7569">
        <v>0.62028339999999904</v>
      </c>
      <c r="Q7569">
        <v>8.5158120000000004E-2</v>
      </c>
      <c r="R7569">
        <v>-0.77974149999999998</v>
      </c>
      <c r="S7569">
        <v>2.715973</v>
      </c>
      <c r="T7569">
        <v>-0.28696270000000001</v>
      </c>
      <c r="U7569">
        <v>-1.7152400000000001</v>
      </c>
      <c r="V7569">
        <v>-0.36253629999999998</v>
      </c>
      <c r="W7569">
        <v>9.4861539999999994E-2</v>
      </c>
      <c r="X7569">
        <v>0.92712930000000005</v>
      </c>
      <c r="Y7569">
        <v>-0.64628490000000005</v>
      </c>
      <c r="Z7569">
        <v>8.3006070000000001E-2</v>
      </c>
      <c r="AA7569">
        <v>0.75856829999999997</v>
      </c>
      <c r="AB7569">
        <v>18</v>
      </c>
      <c r="AC7569">
        <v>10.608700000000001</v>
      </c>
      <c r="AD7569">
        <v>-1.12507320002899</v>
      </c>
      <c r="AE7569">
        <v>-6.6140100000000004</v>
      </c>
      <c r="AF7569">
        <v>-8.1099913173066405</v>
      </c>
      <c r="AG7569">
        <v>-1.12507320002899</v>
      </c>
      <c r="AH7569">
        <v>9.3817126101832304</v>
      </c>
      <c r="AI7569">
        <v>95.183871227048499</v>
      </c>
      <c r="AJ7569">
        <v>130.841669620332</v>
      </c>
      <c r="AK7569">
        <v>12.4520793593794</v>
      </c>
      <c r="AL7569">
        <v>84.556649404196904</v>
      </c>
      <c r="AM7569">
        <v>111.35703914241201</v>
      </c>
      <c r="AN7569">
        <v>1.0000000097536701</v>
      </c>
    </row>
    <row r="7570" spans="1:40" x14ac:dyDescent="0.25">
      <c r="A7570" t="str">
        <f>"20190303162104785"</f>
        <v>20190303162104785</v>
      </c>
      <c r="B7570" t="str">
        <f>"1551601264779786"</f>
        <v>1551601264779786</v>
      </c>
      <c r="C7570" t="s">
        <v>40</v>
      </c>
      <c r="D7570">
        <v>4.5065489999999997</v>
      </c>
      <c r="E7570">
        <v>0.36527759999999998</v>
      </c>
      <c r="F7570" t="s">
        <v>62</v>
      </c>
      <c r="G7570">
        <v>-409.46339999999998</v>
      </c>
      <c r="H7570" s="1">
        <v>-3.2639370000000002E-6</v>
      </c>
      <c r="I7570">
        <v>29.157699999999998</v>
      </c>
      <c r="J7570">
        <v>-420.80329999999998</v>
      </c>
      <c r="K7570">
        <v>1.1250800000000001</v>
      </c>
      <c r="L7570">
        <v>36.242339999999999</v>
      </c>
      <c r="M7570">
        <v>0.3001433</v>
      </c>
      <c r="N7570">
        <v>-1.386094E-2</v>
      </c>
      <c r="O7570">
        <v>-0.95379329999999996</v>
      </c>
      <c r="P7570">
        <v>0.62206700000000004</v>
      </c>
      <c r="Q7570">
        <v>8.5504360000000001E-2</v>
      </c>
      <c r="R7570">
        <v>-0.778281</v>
      </c>
      <c r="S7570">
        <v>2.716278</v>
      </c>
      <c r="T7570">
        <v>-0.26861669999999999</v>
      </c>
      <c r="U7570">
        <v>-1.715973</v>
      </c>
      <c r="V7570">
        <v>-0.36060819999999999</v>
      </c>
      <c r="W7570">
        <v>9.5226569999999996E-2</v>
      </c>
      <c r="X7570">
        <v>0.92784359999999999</v>
      </c>
      <c r="Y7570">
        <v>-0.64326949999999905</v>
      </c>
      <c r="Z7570">
        <v>7.6959159999999999E-2</v>
      </c>
      <c r="AA7570">
        <v>0.7617621</v>
      </c>
      <c r="AB7570">
        <v>18</v>
      </c>
      <c r="AC7570">
        <v>11.3399</v>
      </c>
      <c r="AD7570">
        <v>-1.1250832639370001</v>
      </c>
      <c r="AE7570">
        <v>-7.0846400000000003</v>
      </c>
      <c r="AF7570">
        <v>-8.6292535447110392</v>
      </c>
      <c r="AG7570">
        <v>-1.1250832639370001</v>
      </c>
      <c r="AH7570">
        <v>10.0904137186845</v>
      </c>
      <c r="AI7570">
        <v>94.8436071735306</v>
      </c>
      <c r="AJ7570">
        <v>130.53683784249799</v>
      </c>
      <c r="AK7570">
        <v>13.324649267576</v>
      </c>
      <c r="AL7570">
        <v>84.535639890297503</v>
      </c>
      <c r="AM7570">
        <v>111.238711043763</v>
      </c>
      <c r="AN7570">
        <v>1.0000000598010801</v>
      </c>
    </row>
    <row r="7571" spans="1:40" x14ac:dyDescent="0.25">
      <c r="A7571" t="str">
        <f>"20190303162104801"</f>
        <v>20190303162104801</v>
      </c>
      <c r="B7571" t="str">
        <f>"1551601264790523"</f>
        <v>1551601264790523</v>
      </c>
      <c r="C7571" t="s">
        <v>40</v>
      </c>
      <c r="D7571">
        <v>4.523695</v>
      </c>
      <c r="E7571">
        <v>0.3654714</v>
      </c>
      <c r="F7571" t="s">
        <v>62</v>
      </c>
      <c r="G7571">
        <v>-409.27050000000003</v>
      </c>
      <c r="H7571" s="1">
        <v>-3.3292639999999999E-6</v>
      </c>
      <c r="I7571">
        <v>28.979310000000002</v>
      </c>
      <c r="J7571">
        <v>-420.7602</v>
      </c>
      <c r="K7571">
        <v>1.1250990000000001</v>
      </c>
      <c r="L7571">
        <v>36.124940000000002</v>
      </c>
      <c r="M7571">
        <v>0.30497249999999998</v>
      </c>
      <c r="N7571">
        <v>-1.3861699999999999E-2</v>
      </c>
      <c r="O7571">
        <v>-0.95226060000000001</v>
      </c>
      <c r="P7571">
        <v>0.62465839999999995</v>
      </c>
      <c r="Q7571">
        <v>8.5139160000000005E-2</v>
      </c>
      <c r="R7571">
        <v>-0.77624320000000002</v>
      </c>
      <c r="S7571">
        <v>2.7176819999999999</v>
      </c>
      <c r="T7571">
        <v>-0.26512360000000001</v>
      </c>
      <c r="U7571">
        <v>-1.71151699999999</v>
      </c>
      <c r="V7571">
        <v>-0.35898600000000003</v>
      </c>
      <c r="W7571">
        <v>9.4869129999999996E-2</v>
      </c>
      <c r="X7571">
        <v>0.92850889999999997</v>
      </c>
      <c r="Y7571">
        <v>-0.64054330000000004</v>
      </c>
      <c r="Z7571">
        <v>7.5849620000000006E-2</v>
      </c>
      <c r="AA7571">
        <v>0.76416689999999998</v>
      </c>
      <c r="AB7571">
        <v>18</v>
      </c>
      <c r="AC7571">
        <v>11.4896999999999</v>
      </c>
      <c r="AD7571">
        <v>-1.1251023292639999</v>
      </c>
      <c r="AE7571">
        <v>-7.1456299999999997</v>
      </c>
      <c r="AF7571">
        <v>-8.7026330183858196</v>
      </c>
      <c r="AG7571">
        <v>-1.1251023292639999</v>
      </c>
      <c r="AH7571">
        <v>10.2387362695384</v>
      </c>
      <c r="AI7571">
        <v>94.786113793791401</v>
      </c>
      <c r="AJ7571">
        <v>130.36358528919101</v>
      </c>
      <c r="AK7571">
        <v>13.4845614352553</v>
      </c>
      <c r="AL7571">
        <v>84.556212171149994</v>
      </c>
      <c r="AM7571">
        <v>111.13781488026601</v>
      </c>
      <c r="AN7571">
        <v>0.99999993870108095</v>
      </c>
    </row>
    <row r="7572" spans="1:40" x14ac:dyDescent="0.25">
      <c r="A7572" t="str">
        <f>"20190303162104816"</f>
        <v>20190303162104816</v>
      </c>
      <c r="B7572" t="str">
        <f>"1551601264810043"</f>
        <v>1551601264810043</v>
      </c>
      <c r="C7572" t="s">
        <v>40</v>
      </c>
      <c r="D7572">
        <v>4.5096150000000002</v>
      </c>
      <c r="E7572">
        <v>0.36585240000000002</v>
      </c>
      <c r="F7572" t="s">
        <v>62</v>
      </c>
      <c r="G7572">
        <v>-409.18200000000002</v>
      </c>
      <c r="H7572" s="1">
        <v>-3.356847E-6</v>
      </c>
      <c r="I7572">
        <v>28.883959999999998</v>
      </c>
      <c r="J7572">
        <v>-420.71679999999998</v>
      </c>
      <c r="K7572">
        <v>1.1251199999999999</v>
      </c>
      <c r="L7572">
        <v>36.008879999999998</v>
      </c>
      <c r="M7572">
        <v>0.30977500000000002</v>
      </c>
      <c r="N7572">
        <v>-1.386307E-2</v>
      </c>
      <c r="O7572">
        <v>-0.95070889999999997</v>
      </c>
      <c r="P7572">
        <v>0.62747419999999998</v>
      </c>
      <c r="Q7572">
        <v>8.432547E-2</v>
      </c>
      <c r="R7572">
        <v>-0.77405760000000001</v>
      </c>
      <c r="S7572">
        <v>2.7226870000000001</v>
      </c>
      <c r="T7572">
        <v>-0.26457429999999998</v>
      </c>
      <c r="U7572">
        <v>-1.7027589999999999</v>
      </c>
      <c r="V7572">
        <v>-0.35764170000000001</v>
      </c>
      <c r="W7572">
        <v>9.4057399999999999E-2</v>
      </c>
      <c r="X7572">
        <v>0.92911010000000005</v>
      </c>
      <c r="Y7572">
        <v>-0.63908339999999997</v>
      </c>
      <c r="Z7572">
        <v>7.5709100000000001E-2</v>
      </c>
      <c r="AA7572">
        <v>0.76540220000000003</v>
      </c>
      <c r="AB7572">
        <v>18</v>
      </c>
      <c r="AC7572">
        <v>11.534800000000001</v>
      </c>
      <c r="AD7572">
        <v>-1.125123356847</v>
      </c>
      <c r="AE7572">
        <v>-7.1249200000000004</v>
      </c>
      <c r="AF7572">
        <v>-8.7000407440736893</v>
      </c>
      <c r="AG7572">
        <v>-1.125123356847</v>
      </c>
      <c r="AH7572">
        <v>10.2771347108736</v>
      </c>
      <c r="AI7572">
        <v>94.776435829206505</v>
      </c>
      <c r="AJ7572">
        <v>130.249363458289</v>
      </c>
      <c r="AK7572">
        <v>13.5120727270877</v>
      </c>
      <c r="AL7572">
        <v>84.602930001490506</v>
      </c>
      <c r="AM7572">
        <v>111.053177594635</v>
      </c>
      <c r="AN7572">
        <v>0.999999978997829</v>
      </c>
    </row>
    <row r="7573" spans="1:40" x14ac:dyDescent="0.25">
      <c r="A7573" t="str">
        <f>"20190303162104830"</f>
        <v>20190303162104830</v>
      </c>
      <c r="B7573" t="str">
        <f>"1551601264819803"</f>
        <v>1551601264819803</v>
      </c>
      <c r="C7573" t="s">
        <v>40</v>
      </c>
      <c r="D7573">
        <v>4.5101690000000003</v>
      </c>
      <c r="E7573">
        <v>0.36598890000000001</v>
      </c>
      <c r="F7573" t="s">
        <v>62</v>
      </c>
      <c r="G7573">
        <v>-409.24610000000001</v>
      </c>
      <c r="H7573" s="1">
        <v>-3.3241090000000001E-6</v>
      </c>
      <c r="I7573">
        <v>28.881250000000001</v>
      </c>
      <c r="J7573">
        <v>-420.67649999999998</v>
      </c>
      <c r="K7573">
        <v>1.1251409999999999</v>
      </c>
      <c r="L7573">
        <v>35.902369999999998</v>
      </c>
      <c r="M7573">
        <v>0.31420779999999998</v>
      </c>
      <c r="N7573">
        <v>-1.38648E-2</v>
      </c>
      <c r="O7573">
        <v>-0.94925309999999896</v>
      </c>
      <c r="P7573">
        <v>0.62973089999999998</v>
      </c>
      <c r="Q7573">
        <v>8.2844059999999997E-2</v>
      </c>
      <c r="R7573">
        <v>-0.77238339999999905</v>
      </c>
      <c r="S7573">
        <v>2.726807</v>
      </c>
      <c r="T7573">
        <v>-0.26746209999999998</v>
      </c>
      <c r="U7573">
        <v>-1.694366</v>
      </c>
      <c r="V7573">
        <v>-0.35595729999999998</v>
      </c>
      <c r="W7573">
        <v>9.2583260000000001E-2</v>
      </c>
      <c r="X7573">
        <v>0.92990470000000003</v>
      </c>
      <c r="Y7573">
        <v>-0.63765059999999996</v>
      </c>
      <c r="Z7573">
        <v>7.6704610000000006E-2</v>
      </c>
      <c r="AA7573">
        <v>0.76649730000000005</v>
      </c>
      <c r="AB7573">
        <v>18</v>
      </c>
      <c r="AC7573">
        <v>11.430399999999899</v>
      </c>
      <c r="AD7573">
        <v>-1.125144324109</v>
      </c>
      <c r="AE7573">
        <v>-7.02111999999999</v>
      </c>
      <c r="AF7573">
        <v>-8.5846886795654296</v>
      </c>
      <c r="AG7573">
        <v>-1.125144324109</v>
      </c>
      <c r="AH7573">
        <v>10.1856693661584</v>
      </c>
      <c r="AI7573">
        <v>94.828026881832201</v>
      </c>
      <c r="AJ7573">
        <v>130.124868621221</v>
      </c>
      <c r="AK7573">
        <v>13.368271762341999</v>
      </c>
      <c r="AL7573">
        <v>84.687762347749697</v>
      </c>
      <c r="AM7573">
        <v>110.946296749396</v>
      </c>
      <c r="AN7573">
        <v>1.0000000052688001</v>
      </c>
    </row>
    <row r="7574" spans="1:40" x14ac:dyDescent="0.25">
      <c r="A7574" t="str">
        <f>"20190303162104851"</f>
        <v>20190303162104851</v>
      </c>
      <c r="B7574" t="str">
        <f>"1551601264840298"</f>
        <v>1551601264840298</v>
      </c>
      <c r="C7574" t="s">
        <v>40</v>
      </c>
      <c r="D7574">
        <v>4.5081329999999999</v>
      </c>
      <c r="E7574">
        <v>0.36619639999999998</v>
      </c>
      <c r="F7574" t="s">
        <v>62</v>
      </c>
      <c r="G7574">
        <v>-409.26609999999999</v>
      </c>
      <c r="H7574" s="1">
        <v>-3.3103680000000001E-6</v>
      </c>
      <c r="I7574">
        <v>28.86073</v>
      </c>
      <c r="J7574">
        <v>-420.61939999999998</v>
      </c>
      <c r="K7574">
        <v>1.1251739999999999</v>
      </c>
      <c r="L7574">
        <v>35.754429999999999</v>
      </c>
      <c r="M7574">
        <v>0.32042609999999999</v>
      </c>
      <c r="N7574">
        <v>-1.3868149999999999E-2</v>
      </c>
      <c r="O7574">
        <v>-0.94717209999999996</v>
      </c>
      <c r="P7574">
        <v>0.63410569999999999</v>
      </c>
      <c r="Q7574">
        <v>8.3736050000000006E-2</v>
      </c>
      <c r="R7574">
        <v>-0.76869889999999996</v>
      </c>
      <c r="S7574">
        <v>2.7317200000000001</v>
      </c>
      <c r="T7574">
        <v>-0.26936779999999999</v>
      </c>
      <c r="U7574">
        <v>-1.6858219999999999</v>
      </c>
      <c r="V7574">
        <v>-0.35518450000000001</v>
      </c>
      <c r="W7574">
        <v>9.3454949999999995E-2</v>
      </c>
      <c r="X7574">
        <v>0.93011299999999997</v>
      </c>
      <c r="Y7574">
        <v>-0.63491450000000005</v>
      </c>
      <c r="Z7574">
        <v>7.7347689999999997E-2</v>
      </c>
      <c r="AA7574">
        <v>0.76870079999999996</v>
      </c>
      <c r="AB7574">
        <v>18</v>
      </c>
      <c r="AC7574">
        <v>11.3532999999999</v>
      </c>
      <c r="AD7574">
        <v>-1.1251773103679901</v>
      </c>
      <c r="AE7574">
        <v>-6.8936999999999902</v>
      </c>
      <c r="AF7574">
        <v>-8.4845420105291698</v>
      </c>
      <c r="AG7574">
        <v>-1.1251773103679901</v>
      </c>
      <c r="AH7574">
        <v>10.0959406020665</v>
      </c>
      <c r="AI7574">
        <v>94.876676867539103</v>
      </c>
      <c r="AJ7574">
        <v>130.04340611283499</v>
      </c>
      <c r="AK7574">
        <v>13.235614596559399</v>
      </c>
      <c r="AL7574">
        <v>84.637600808440695</v>
      </c>
      <c r="AM7574">
        <v>110.90047755031701</v>
      </c>
      <c r="AN7574">
        <v>1.0000000247443701</v>
      </c>
    </row>
    <row r="7575" spans="1:40" x14ac:dyDescent="0.25">
      <c r="A7575" t="str">
        <f>"20190303162104872"</f>
        <v>20190303162104872</v>
      </c>
      <c r="B7575" t="str">
        <f>"1551601264859819"</f>
        <v>1551601264859819</v>
      </c>
      <c r="C7575" t="s">
        <v>40</v>
      </c>
      <c r="D7575">
        <v>4.529401</v>
      </c>
      <c r="E7575">
        <v>0.36646309999999999</v>
      </c>
      <c r="F7575" t="s">
        <v>62</v>
      </c>
      <c r="G7575">
        <v>-409.00319999999999</v>
      </c>
      <c r="H7575" s="1">
        <v>-3.409742E-6</v>
      </c>
      <c r="I7575">
        <v>28.675709999999999</v>
      </c>
      <c r="J7575">
        <v>-420.55430000000001</v>
      </c>
      <c r="K7575">
        <v>1.1252310000000001</v>
      </c>
      <c r="L7575">
        <v>35.589419999999997</v>
      </c>
      <c r="M7575">
        <v>0.32744800000000002</v>
      </c>
      <c r="N7575">
        <v>-1.387299E-2</v>
      </c>
      <c r="O7575">
        <v>-0.94476729999999998</v>
      </c>
      <c r="P7575">
        <v>0.63938640000000002</v>
      </c>
      <c r="Q7575">
        <v>8.5930930000000003E-2</v>
      </c>
      <c r="R7575">
        <v>-0.76406879999999999</v>
      </c>
      <c r="S7575">
        <v>2.7411500000000002</v>
      </c>
      <c r="T7575">
        <v>-0.26551529999999901</v>
      </c>
      <c r="U7575">
        <v>-1.67041</v>
      </c>
      <c r="V7575">
        <v>-0.3547978</v>
      </c>
      <c r="W7575">
        <v>9.5617229999999998E-2</v>
      </c>
      <c r="X7575">
        <v>0.9300408</v>
      </c>
      <c r="Y7575">
        <v>-0.63360430000000001</v>
      </c>
      <c r="Z7575">
        <v>7.6127749999999994E-2</v>
      </c>
      <c r="AA7575">
        <v>0.7699028</v>
      </c>
      <c r="AB7575">
        <v>18</v>
      </c>
      <c r="AC7575">
        <v>11.5511</v>
      </c>
      <c r="AD7575">
        <v>-1.125234409742</v>
      </c>
      <c r="AE7575">
        <v>-6.91371</v>
      </c>
      <c r="AF7575">
        <v>-8.5900392110773591</v>
      </c>
      <c r="AG7575">
        <v>-1.125234409742</v>
      </c>
      <c r="AH7575">
        <v>10.2436571394495</v>
      </c>
      <c r="AI7575">
        <v>94.811218100516598</v>
      </c>
      <c r="AJ7575">
        <v>129.98223918150899</v>
      </c>
      <c r="AK7575">
        <v>13.4159396881213</v>
      </c>
      <c r="AL7575">
        <v>84.513153852668097</v>
      </c>
      <c r="AM7575">
        <v>110.881166411851</v>
      </c>
      <c r="AN7575">
        <v>1.00000001161117</v>
      </c>
    </row>
    <row r="7576" spans="1:40" x14ac:dyDescent="0.25">
      <c r="A7576" t="str">
        <f>"20190303162104895"</f>
        <v>20190303162104895</v>
      </c>
      <c r="B7576" t="str">
        <f>"1551601264890075"</f>
        <v>1551601264890075</v>
      </c>
      <c r="C7576" t="s">
        <v>40</v>
      </c>
      <c r="D7576">
        <v>4.5140919999999998</v>
      </c>
      <c r="E7576">
        <v>0.36686229999999997</v>
      </c>
      <c r="F7576" t="s">
        <v>62</v>
      </c>
      <c r="G7576">
        <v>-408.49430000000001</v>
      </c>
      <c r="H7576" s="1">
        <v>-3.6081190000000001E-6</v>
      </c>
      <c r="I7576">
        <v>28.35162</v>
      </c>
      <c r="J7576">
        <v>-420.48439999999999</v>
      </c>
      <c r="K7576">
        <v>1.1252869999999999</v>
      </c>
      <c r="L7576">
        <v>35.416530000000002</v>
      </c>
      <c r="M7576">
        <v>0.33490249999999999</v>
      </c>
      <c r="N7576">
        <v>-1.3879000000000001E-2</v>
      </c>
      <c r="O7576">
        <v>-0.94215079999999995</v>
      </c>
      <c r="P7576">
        <v>0.64490530000000001</v>
      </c>
      <c r="Q7576">
        <v>8.7802980000000003E-2</v>
      </c>
      <c r="R7576">
        <v>-0.7592025</v>
      </c>
      <c r="S7576">
        <v>2.7525019999999998</v>
      </c>
      <c r="T7576">
        <v>-0.25681749999999998</v>
      </c>
      <c r="U7576">
        <v>-1.6519170000000001</v>
      </c>
      <c r="V7576">
        <v>-0.3542862</v>
      </c>
      <c r="W7576">
        <v>9.7460580000000005E-2</v>
      </c>
      <c r="X7576">
        <v>0.93004450000000005</v>
      </c>
      <c r="Y7576">
        <v>-0.63290170000000001</v>
      </c>
      <c r="Z7576">
        <v>7.3325230000000005E-2</v>
      </c>
      <c r="AA7576">
        <v>0.77075209999999905</v>
      </c>
      <c r="AB7576">
        <v>18</v>
      </c>
      <c r="AC7576">
        <v>11.990099999999901</v>
      </c>
      <c r="AD7576">
        <v>-1.1252906081189999</v>
      </c>
      <c r="AE7576">
        <v>-7.0649100000000002</v>
      </c>
      <c r="AF7576">
        <v>-8.8732697991695506</v>
      </c>
      <c r="AG7576">
        <v>-1.1252906081189999</v>
      </c>
      <c r="AH7576">
        <v>10.6034239319374</v>
      </c>
      <c r="AI7576">
        <v>94.652904172718195</v>
      </c>
      <c r="AJ7576">
        <v>129.92362471019899</v>
      </c>
      <c r="AK7576">
        <v>13.872050856378699</v>
      </c>
      <c r="AL7576">
        <v>84.407042107320706</v>
      </c>
      <c r="AM7576">
        <v>110.853572160659</v>
      </c>
      <c r="AN7576">
        <v>1.0000000240723099</v>
      </c>
    </row>
    <row r="7577" spans="1:40" x14ac:dyDescent="0.25">
      <c r="A7577" t="str">
        <f>"20190303162104908"</f>
        <v>20190303162104908</v>
      </c>
      <c r="B7577" t="str">
        <f>"1551601264899835"</f>
        <v>1551601264899835</v>
      </c>
      <c r="C7577" t="s">
        <v>40</v>
      </c>
      <c r="D7577">
        <v>4.4904400000000004</v>
      </c>
      <c r="E7577">
        <v>0.36697839999999998</v>
      </c>
      <c r="F7577" t="s">
        <v>62</v>
      </c>
      <c r="G7577">
        <v>-408.00920000000002</v>
      </c>
      <c r="H7577" s="1">
        <v>-3.7982860000000002E-6</v>
      </c>
      <c r="I7577">
        <v>28.048570000000002</v>
      </c>
      <c r="J7577">
        <v>-420.44490000000002</v>
      </c>
      <c r="K7577">
        <v>1.1253139999999999</v>
      </c>
      <c r="L7577">
        <v>35.320529999999998</v>
      </c>
      <c r="M7577">
        <v>0.33908139999999998</v>
      </c>
      <c r="N7577">
        <v>-1.388255E-2</v>
      </c>
      <c r="O7577">
        <v>-0.94065480000000001</v>
      </c>
      <c r="P7577">
        <v>0.6473584</v>
      </c>
      <c r="Q7577">
        <v>8.8407579999999999E-2</v>
      </c>
      <c r="R7577">
        <v>-0.75704130000000003</v>
      </c>
      <c r="S7577">
        <v>2.764008</v>
      </c>
      <c r="T7577">
        <v>-0.2493194</v>
      </c>
      <c r="U7577">
        <v>-1.6324459999999901</v>
      </c>
      <c r="V7577">
        <v>-0.35320049999999997</v>
      </c>
      <c r="W7577">
        <v>9.8063280000000003E-2</v>
      </c>
      <c r="X7577">
        <v>0.93039400000000005</v>
      </c>
      <c r="Y7577">
        <v>-0.63505819999999902</v>
      </c>
      <c r="Z7577">
        <v>7.0952180000000004E-2</v>
      </c>
      <c r="AA7577">
        <v>0.76919879999999996</v>
      </c>
      <c r="AB7577">
        <v>18</v>
      </c>
      <c r="AC7577">
        <v>12.435699999999899</v>
      </c>
      <c r="AD7577">
        <v>-1.1253177982860001</v>
      </c>
      <c r="AE7577">
        <v>-7.2719599999999902</v>
      </c>
      <c r="AF7577">
        <v>-9.1768054859018697</v>
      </c>
      <c r="AG7577">
        <v>-1.1253177982860001</v>
      </c>
      <c r="AH7577">
        <v>10.9911142305808</v>
      </c>
      <c r="AI7577">
        <v>94.493757838773007</v>
      </c>
      <c r="AJ7577">
        <v>129.859501294469</v>
      </c>
      <c r="AK7577">
        <v>14.3626143547369</v>
      </c>
      <c r="AL7577">
        <v>84.372343581049606</v>
      </c>
      <c r="AM7577">
        <v>110.787996498445</v>
      </c>
      <c r="AN7577">
        <v>0.99999999766030401</v>
      </c>
    </row>
    <row r="7578" spans="1:40" x14ac:dyDescent="0.25">
      <c r="A7578" t="str">
        <f>"20190303162104922"</f>
        <v>20190303162104922</v>
      </c>
      <c r="B7578" t="str">
        <f>"1551601264910571"</f>
        <v>1551601264910571</v>
      </c>
      <c r="C7578" t="s">
        <v>40</v>
      </c>
      <c r="D7578">
        <v>4.5470290000000002</v>
      </c>
      <c r="E7578">
        <v>0.36712539999999999</v>
      </c>
      <c r="F7578" t="s">
        <v>62</v>
      </c>
      <c r="G7578">
        <v>-407.77760000000001</v>
      </c>
      <c r="H7578" s="1">
        <v>-3.8875270000000002E-6</v>
      </c>
      <c r="I7578">
        <v>27.895209999999999</v>
      </c>
      <c r="J7578">
        <v>-420.40269999999998</v>
      </c>
      <c r="K7578">
        <v>1.1253390000000001</v>
      </c>
      <c r="L7578">
        <v>35.219270000000002</v>
      </c>
      <c r="M7578">
        <v>0.34352280000000002</v>
      </c>
      <c r="N7578">
        <v>-1.388646E-2</v>
      </c>
      <c r="O7578">
        <v>-0.93904180000000004</v>
      </c>
      <c r="P7578">
        <v>0.64990780000000004</v>
      </c>
      <c r="Q7578">
        <v>8.9112230000000001E-2</v>
      </c>
      <c r="R7578">
        <v>-0.75477059999999996</v>
      </c>
      <c r="S7578">
        <v>2.7693789999999998</v>
      </c>
      <c r="T7578">
        <v>-0.24602160000000001</v>
      </c>
      <c r="U7578">
        <v>-1.6233519999999999</v>
      </c>
      <c r="V7578">
        <v>-0.35197990000000001</v>
      </c>
      <c r="W7578">
        <v>9.8769369999999995E-2</v>
      </c>
      <c r="X7578">
        <v>0.93078179999999999</v>
      </c>
      <c r="Y7578">
        <v>-0.63401490000000005</v>
      </c>
      <c r="Z7578">
        <v>6.9884169999999995E-2</v>
      </c>
      <c r="AA7578">
        <v>0.77015669999999903</v>
      </c>
      <c r="AB7578">
        <v>18</v>
      </c>
      <c r="AC7578">
        <v>12.6250999999999</v>
      </c>
      <c r="AD7578">
        <v>-1.125342887527</v>
      </c>
      <c r="AE7578">
        <v>-7.3240600000000002</v>
      </c>
      <c r="AF7578">
        <v>-9.2852180640102393</v>
      </c>
      <c r="AG7578">
        <v>-1.125342887527</v>
      </c>
      <c r="AH7578">
        <v>11.1494100268159</v>
      </c>
      <c r="AI7578">
        <v>94.434937429742405</v>
      </c>
      <c r="AJ7578">
        <v>129.787500096229</v>
      </c>
      <c r="AK7578">
        <v>14.553041436648</v>
      </c>
      <c r="AL7578">
        <v>84.331690251241199</v>
      </c>
      <c r="AM7578">
        <v>110.714368135152</v>
      </c>
      <c r="AN7578">
        <v>0.99999999883272295</v>
      </c>
    </row>
    <row r="7579" spans="1:40" x14ac:dyDescent="0.25">
      <c r="A7579" t="str">
        <f>"20190303162104935"</f>
        <v>20190303162104935</v>
      </c>
      <c r="B7579" t="str">
        <f>"1551601264930090"</f>
        <v>1551601264930090</v>
      </c>
      <c r="C7579" t="s">
        <v>40</v>
      </c>
      <c r="D7579">
        <v>4.5441079999999996</v>
      </c>
      <c r="E7579">
        <v>0.36723050000000002</v>
      </c>
      <c r="F7579" t="s">
        <v>42</v>
      </c>
      <c r="G7579">
        <v>-419.60129999999998</v>
      </c>
      <c r="H7579">
        <v>1.055288</v>
      </c>
      <c r="I7579">
        <v>34.75311</v>
      </c>
      <c r="J7579">
        <v>-420.36219999999997</v>
      </c>
      <c r="K7579">
        <v>1.125359</v>
      </c>
      <c r="L7579">
        <v>35.123840000000001</v>
      </c>
      <c r="M7579">
        <v>0.3477403</v>
      </c>
      <c r="N7579">
        <v>-1.388993E-2</v>
      </c>
      <c r="O7579">
        <v>-0.93748810000000005</v>
      </c>
      <c r="P7579">
        <v>0.65217190000000003</v>
      </c>
      <c r="Q7579">
        <v>8.9527469999999998E-2</v>
      </c>
      <c r="R7579">
        <v>-0.75276599999999905</v>
      </c>
      <c r="S7579">
        <v>2.7748719999999998</v>
      </c>
      <c r="T7579">
        <v>-0.24255570000000001</v>
      </c>
      <c r="U7579">
        <v>-1.614044</v>
      </c>
      <c r="V7579">
        <v>-0.3506146</v>
      </c>
      <c r="W7579">
        <v>9.9193569999999995E-2</v>
      </c>
      <c r="X7579">
        <v>0.93125190000000002</v>
      </c>
      <c r="Y7579">
        <v>-0.63321059999999996</v>
      </c>
      <c r="Z7579">
        <v>6.8762180000000006E-2</v>
      </c>
      <c r="AA7579">
        <v>0.77091899999999902</v>
      </c>
      <c r="AB7579">
        <v>18</v>
      </c>
      <c r="AC7579">
        <v>0.76089999999999203</v>
      </c>
      <c r="AD7579">
        <v>-7.0070999999999994E-2</v>
      </c>
      <c r="AE7579">
        <v>-0.370730000000001</v>
      </c>
      <c r="AF7579">
        <v>-0.58049481671190895</v>
      </c>
      <c r="AG7579">
        <v>-7.0070999999999994E-2</v>
      </c>
      <c r="AH7579">
        <v>0.60804231556144195</v>
      </c>
      <c r="AI7579">
        <v>94.764790248092893</v>
      </c>
      <c r="AJ7579">
        <v>133.67225614097799</v>
      </c>
      <c r="AK7579">
        <v>0.84356365188627802</v>
      </c>
      <c r="AL7579">
        <v>84.307265625336598</v>
      </c>
      <c r="AM7579">
        <v>110.631262128892</v>
      </c>
      <c r="AN7579">
        <v>1.00000003165805</v>
      </c>
    </row>
    <row r="7580" spans="1:40" x14ac:dyDescent="0.25">
      <c r="A7580" t="str">
        <f>"20190303162104949"</f>
        <v>20190303162104949</v>
      </c>
      <c r="B7580" t="str">
        <f>"1551601264939852"</f>
        <v>1551601264939852</v>
      </c>
      <c r="C7580" t="s">
        <v>40</v>
      </c>
      <c r="D7580">
        <v>4.5780949999999896</v>
      </c>
      <c r="E7580">
        <v>0.3732839</v>
      </c>
      <c r="F7580" t="s">
        <v>62</v>
      </c>
      <c r="G7580">
        <v>-407.34089999999998</v>
      </c>
      <c r="H7580" s="1">
        <v>-4.055417E-6</v>
      </c>
      <c r="I7580">
        <v>27.603840000000002</v>
      </c>
      <c r="J7580">
        <v>-420.31700000000001</v>
      </c>
      <c r="K7580">
        <v>1.1253839999999999</v>
      </c>
      <c r="L7580">
        <v>35.018250000000002</v>
      </c>
      <c r="M7580">
        <v>0.3524255</v>
      </c>
      <c r="N7580">
        <v>-1.389343E-2</v>
      </c>
      <c r="O7580">
        <v>-0.93573669999999998</v>
      </c>
      <c r="P7580">
        <v>0.65366409999999997</v>
      </c>
      <c r="Q7580">
        <v>9.0570460000000005E-2</v>
      </c>
      <c r="R7580">
        <v>-0.7513455</v>
      </c>
      <c r="S7580">
        <v>2.7799070000000001</v>
      </c>
      <c r="T7580">
        <v>-0.24025270000000001</v>
      </c>
      <c r="U7580">
        <v>-1.6054379999999999</v>
      </c>
      <c r="V7580">
        <v>-0.34785569999999999</v>
      </c>
      <c r="W7580">
        <v>0.1002663</v>
      </c>
      <c r="X7580">
        <v>0.93217119999999998</v>
      </c>
      <c r="Y7580">
        <v>-0.63178749999999995</v>
      </c>
      <c r="Z7580">
        <v>6.8011160000000001E-2</v>
      </c>
      <c r="AA7580">
        <v>0.77215219999999996</v>
      </c>
      <c r="AB7580">
        <v>18</v>
      </c>
      <c r="AC7580">
        <v>12.976099999999899</v>
      </c>
      <c r="AD7580">
        <v>-1.1253880554169999</v>
      </c>
      <c r="AE7580">
        <v>-7.4144100000000002</v>
      </c>
      <c r="AF7580">
        <v>-9.4763712038635592</v>
      </c>
      <c r="AG7580">
        <v>-1.1253880554169999</v>
      </c>
      <c r="AH7580">
        <v>11.4472451715534</v>
      </c>
      <c r="AI7580">
        <v>94.330687981279695</v>
      </c>
      <c r="AJ7580">
        <v>129.618972299988</v>
      </c>
      <c r="AK7580">
        <v>14.9032725092961</v>
      </c>
      <c r="AL7580">
        <v>84.245494771695505</v>
      </c>
      <c r="AM7580">
        <v>110.463923837292</v>
      </c>
      <c r="AN7580">
        <v>1.0000000325238001</v>
      </c>
    </row>
    <row r="7581" spans="1:40" x14ac:dyDescent="0.25">
      <c r="A7581" t="str">
        <f>"20190303162104963"</f>
        <v>20190303162104963</v>
      </c>
      <c r="B7581" t="str">
        <f>"1551601264960347"</f>
        <v>1551601264960347</v>
      </c>
      <c r="C7581" t="s">
        <v>40</v>
      </c>
      <c r="D7581">
        <v>4.5323469999999997</v>
      </c>
      <c r="E7581">
        <v>0.37332399999999999</v>
      </c>
      <c r="F7581" t="s">
        <v>62</v>
      </c>
      <c r="G7581">
        <v>-408.6003</v>
      </c>
      <c r="H7581" s="1">
        <v>-3.5022620000000001E-6</v>
      </c>
      <c r="I7581">
        <v>28.056560000000001</v>
      </c>
      <c r="J7581">
        <v>-420.27370000000002</v>
      </c>
      <c r="K7581">
        <v>1.1253919999999999</v>
      </c>
      <c r="L7581">
        <v>34.918610000000001</v>
      </c>
      <c r="M7581">
        <v>0.35686689999999999</v>
      </c>
      <c r="N7581">
        <v>-1.389634E-2</v>
      </c>
      <c r="O7581">
        <v>-0.93405210000000005</v>
      </c>
      <c r="P7581">
        <v>0.65650200000000003</v>
      </c>
      <c r="Q7581">
        <v>9.1370999999999994E-2</v>
      </c>
      <c r="R7581">
        <v>-0.74877009999999999</v>
      </c>
      <c r="S7581">
        <v>2.7487789999999999</v>
      </c>
      <c r="T7581">
        <v>-0.26402019999999998</v>
      </c>
      <c r="U7581">
        <v>-1.63324</v>
      </c>
      <c r="V7581">
        <v>-0.34699669999999999</v>
      </c>
      <c r="W7581">
        <v>0.1010742</v>
      </c>
      <c r="X7581">
        <v>0.93240400000000001</v>
      </c>
      <c r="Y7581">
        <v>-0.61792259999999999</v>
      </c>
      <c r="Z7581">
        <v>7.5852740000000002E-2</v>
      </c>
      <c r="AA7581">
        <v>0.78257140000000003</v>
      </c>
      <c r="AB7581">
        <v>18</v>
      </c>
      <c r="AC7581">
        <v>11.673400000000001</v>
      </c>
      <c r="AD7581">
        <v>-1.1253955022619999</v>
      </c>
      <c r="AE7581">
        <v>-6.86205</v>
      </c>
      <c r="AF7581">
        <v>-8.3975347472030997</v>
      </c>
      <c r="AG7581">
        <v>-1.1253955022619999</v>
      </c>
      <c r="AH7581">
        <v>10.5038270754503</v>
      </c>
      <c r="AI7581">
        <v>94.783646024487297</v>
      </c>
      <c r="AJ7581">
        <v>128.64142064200601</v>
      </c>
      <c r="AK7581">
        <v>13.495017158120101</v>
      </c>
      <c r="AL7581">
        <v>84.198968740733307</v>
      </c>
      <c r="AM7581">
        <v>110.412888001212</v>
      </c>
      <c r="AN7581">
        <v>0.99999996146626402</v>
      </c>
    </row>
    <row r="7582" spans="1:40" x14ac:dyDescent="0.25">
      <c r="A7582" t="str">
        <f>"20190303162104975"</f>
        <v>20190303162104975</v>
      </c>
      <c r="B7582" t="str">
        <f>"1551601264970107"</f>
        <v>1551601264970107</v>
      </c>
      <c r="C7582" t="s">
        <v>40</v>
      </c>
      <c r="D7582">
        <v>4.5272920000000001</v>
      </c>
      <c r="E7582">
        <v>0.37306020000000001</v>
      </c>
      <c r="F7582" t="s">
        <v>42</v>
      </c>
      <c r="G7582">
        <v>-419.49110000000002</v>
      </c>
      <c r="H7582">
        <v>1.0494589999999999</v>
      </c>
      <c r="I7582">
        <v>34.457540000000002</v>
      </c>
      <c r="J7582">
        <v>-420.23419999999999</v>
      </c>
      <c r="K7582">
        <v>1.125389</v>
      </c>
      <c r="L7582">
        <v>34.829349999999998</v>
      </c>
      <c r="M7582">
        <v>0.36086069999999998</v>
      </c>
      <c r="N7582">
        <v>-1.389819E-2</v>
      </c>
      <c r="O7582">
        <v>-0.93251629999999996</v>
      </c>
      <c r="P7582">
        <v>0.65889940000000002</v>
      </c>
      <c r="Q7582">
        <v>9.1732709999999995E-2</v>
      </c>
      <c r="R7582">
        <v>-0.74661699999999998</v>
      </c>
      <c r="S7582">
        <v>2.755341</v>
      </c>
      <c r="T7582">
        <v>-0.26734360000000001</v>
      </c>
      <c r="U7582">
        <v>-1.623383</v>
      </c>
      <c r="V7582">
        <v>-0.34601379999999998</v>
      </c>
      <c r="W7582">
        <v>0.101451399999999</v>
      </c>
      <c r="X7582">
        <v>0.93272829999999995</v>
      </c>
      <c r="Y7582">
        <v>-0.61738119999999996</v>
      </c>
      <c r="Z7582">
        <v>7.6939679999999996E-2</v>
      </c>
      <c r="AA7582">
        <v>0.78289249999999999</v>
      </c>
      <c r="AB7582">
        <v>18</v>
      </c>
      <c r="AC7582">
        <v>0.74309999999996901</v>
      </c>
      <c r="AD7582">
        <v>-7.5929999999999997E-2</v>
      </c>
      <c r="AE7582">
        <v>-0.37180999999999598</v>
      </c>
      <c r="AF7582">
        <v>-0.55420736660352998</v>
      </c>
      <c r="AG7582">
        <v>-7.5929999999999997E-2</v>
      </c>
      <c r="AH7582">
        <v>0.60984144400428797</v>
      </c>
      <c r="AI7582">
        <v>95.264532256864797</v>
      </c>
      <c r="AJ7582">
        <v>132.263710887668</v>
      </c>
      <c r="AK7582">
        <v>0.82753716346932404</v>
      </c>
      <c r="AL7582">
        <v>84.177245383629696</v>
      </c>
      <c r="AM7582">
        <v>110.353320333638</v>
      </c>
      <c r="AN7582">
        <v>1.0000000089866401</v>
      </c>
    </row>
    <row r="7583" spans="1:40" x14ac:dyDescent="0.25">
      <c r="A7583" t="str">
        <f>"20190303162104995"</f>
        <v>20190303162104995</v>
      </c>
      <c r="B7583" t="str">
        <f>"1551601264990354"</f>
        <v>1551601264990354</v>
      </c>
      <c r="C7583" t="s">
        <v>40</v>
      </c>
      <c r="D7583">
        <v>4.5700760000000002</v>
      </c>
      <c r="E7583">
        <v>0.37299389999999999</v>
      </c>
      <c r="F7583" t="s">
        <v>42</v>
      </c>
      <c r="G7583">
        <v>-419.392</v>
      </c>
      <c r="H7583">
        <v>1.0444659999999999</v>
      </c>
      <c r="I7583">
        <v>34.337299999999999</v>
      </c>
      <c r="J7583">
        <v>-420.17169999999999</v>
      </c>
      <c r="K7583">
        <v>1.1253820000000001</v>
      </c>
      <c r="L7583">
        <v>34.68967</v>
      </c>
      <c r="M7583">
        <v>0.3671201</v>
      </c>
      <c r="N7583">
        <v>-1.390013E-2</v>
      </c>
      <c r="O7583">
        <v>-0.9300699</v>
      </c>
      <c r="P7583">
        <v>0.66220769999999995</v>
      </c>
      <c r="Q7583">
        <v>9.2151049999999998E-2</v>
      </c>
      <c r="R7583">
        <v>-0.74363259999999998</v>
      </c>
      <c r="S7583">
        <v>2.7621150000000001</v>
      </c>
      <c r="T7583">
        <v>-0.26534429999999998</v>
      </c>
      <c r="U7583">
        <v>-1.613159</v>
      </c>
      <c r="V7583">
        <v>-0.34390349999999997</v>
      </c>
      <c r="W7583">
        <v>0.10190730000000001</v>
      </c>
      <c r="X7583">
        <v>0.93345880000000003</v>
      </c>
      <c r="Y7583">
        <v>-0.61514939999999996</v>
      </c>
      <c r="Z7583">
        <v>7.6249049999999999E-2</v>
      </c>
      <c r="AA7583">
        <v>0.78471480000000005</v>
      </c>
      <c r="AB7583">
        <v>18</v>
      </c>
      <c r="AC7583">
        <v>0.77969999999999096</v>
      </c>
      <c r="AD7583">
        <v>-8.0915999999999905E-2</v>
      </c>
      <c r="AE7583">
        <v>-0.35237000000000002</v>
      </c>
      <c r="AF7583">
        <v>-0.59058899439673296</v>
      </c>
      <c r="AG7583">
        <v>-8.0915999999999905E-2</v>
      </c>
      <c r="AH7583">
        <v>0.60858864926489797</v>
      </c>
      <c r="AI7583">
        <v>95.450380489977206</v>
      </c>
      <c r="AJ7583">
        <v>134.14005500220401</v>
      </c>
      <c r="AK7583">
        <v>0.85189371600723696</v>
      </c>
      <c r="AL7583">
        <v>84.150988235844295</v>
      </c>
      <c r="AM7583">
        <v>110.224731146686</v>
      </c>
      <c r="AN7583">
        <v>1.0000000232014801</v>
      </c>
    </row>
    <row r="7584" spans="1:40" x14ac:dyDescent="0.25">
      <c r="A7584" t="str">
        <f>"20190303162105008"</f>
        <v>20190303162105008</v>
      </c>
      <c r="B7584" t="str">
        <f>"1551601265000114"</f>
        <v>1551601265000114</v>
      </c>
      <c r="C7584" t="s">
        <v>40</v>
      </c>
      <c r="D7584">
        <v>4.6157399999999997</v>
      </c>
      <c r="E7584">
        <v>0.37305050000000001</v>
      </c>
      <c r="F7584" t="s">
        <v>42</v>
      </c>
      <c r="G7584">
        <v>-419.3229</v>
      </c>
      <c r="H7584">
        <v>1.0418019999999999</v>
      </c>
      <c r="I7584">
        <v>34.199009999999902</v>
      </c>
      <c r="J7584">
        <v>-420.1284</v>
      </c>
      <c r="K7584">
        <v>1.1253770000000001</v>
      </c>
      <c r="L7584">
        <v>34.594329999999999</v>
      </c>
      <c r="M7584">
        <v>0.37139559999999999</v>
      </c>
      <c r="N7584">
        <v>-1.390074E-2</v>
      </c>
      <c r="O7584">
        <v>-0.92837069999999999</v>
      </c>
      <c r="P7584">
        <v>0.66456780000000004</v>
      </c>
      <c r="Q7584">
        <v>9.2135590000000003E-2</v>
      </c>
      <c r="R7584">
        <v>-0.74152589999999996</v>
      </c>
      <c r="S7584">
        <v>2.7703859999999998</v>
      </c>
      <c r="T7584">
        <v>-0.27276440000000002</v>
      </c>
      <c r="U7584">
        <v>-1.6010439999999999</v>
      </c>
      <c r="V7584">
        <v>-0.34256999999999999</v>
      </c>
      <c r="W7584">
        <v>0.1019201</v>
      </c>
      <c r="X7584">
        <v>0.93394759999999999</v>
      </c>
      <c r="Y7584">
        <v>-0.61494150000000003</v>
      </c>
      <c r="Z7584">
        <v>7.8670320000000002E-2</v>
      </c>
      <c r="AA7584">
        <v>0.78463870000000002</v>
      </c>
      <c r="AB7584">
        <v>18</v>
      </c>
      <c r="AC7584">
        <v>0.805499999999994</v>
      </c>
      <c r="AD7584">
        <v>-8.3574999999999899E-2</v>
      </c>
      <c r="AE7584">
        <v>-0.395320000000005</v>
      </c>
      <c r="AF7584">
        <v>-0.59587101209584603</v>
      </c>
      <c r="AG7584">
        <v>-8.3574999999999899E-2</v>
      </c>
      <c r="AH7584">
        <v>0.66049681216975897</v>
      </c>
      <c r="AI7584">
        <v>95.367233241211295</v>
      </c>
      <c r="AJ7584">
        <v>132.05538065725099</v>
      </c>
      <c r="AK7584">
        <v>0.89347808174993404</v>
      </c>
      <c r="AL7584">
        <v>84.150250966800797</v>
      </c>
      <c r="AM7584">
        <v>110.142930168869</v>
      </c>
      <c r="AN7584">
        <v>1.0000000156148801</v>
      </c>
    </row>
    <row r="7585" spans="1:40" x14ac:dyDescent="0.25">
      <c r="A7585" t="str">
        <f>"20190303162105021"</f>
        <v>20190303162105021</v>
      </c>
      <c r="B7585" t="str">
        <f>"1551601265009874"</f>
        <v>1551601265009874</v>
      </c>
      <c r="C7585" t="s">
        <v>40</v>
      </c>
      <c r="D7585">
        <v>4.6035839999999997</v>
      </c>
      <c r="E7585">
        <v>0.3731855</v>
      </c>
      <c r="F7585" t="s">
        <v>62</v>
      </c>
      <c r="G7585">
        <v>-408.7029</v>
      </c>
      <c r="H7585" s="1">
        <v>-3.4478499999999999E-6</v>
      </c>
      <c r="I7585">
        <v>28.040839999999999</v>
      </c>
      <c r="J7585">
        <v>-420.0856</v>
      </c>
      <c r="K7585">
        <v>1.125367</v>
      </c>
      <c r="L7585">
        <v>34.501159999999999</v>
      </c>
      <c r="M7585">
        <v>0.37557669999999999</v>
      </c>
      <c r="N7585">
        <v>-1.390068E-2</v>
      </c>
      <c r="O7585">
        <v>-0.92668740000000005</v>
      </c>
      <c r="P7585">
        <v>0.66690519999999998</v>
      </c>
      <c r="Q7585">
        <v>9.2329240000000007E-2</v>
      </c>
      <c r="R7585">
        <v>-0.73940039999999996</v>
      </c>
      <c r="S7585">
        <v>2.775665</v>
      </c>
      <c r="T7585">
        <v>-0.27339419999999998</v>
      </c>
      <c r="U7585">
        <v>-1.5920719999999999</v>
      </c>
      <c r="V7585">
        <v>-0.34131349999999999</v>
      </c>
      <c r="W7585">
        <v>0.1021425</v>
      </c>
      <c r="X7585">
        <v>0.93438319999999997</v>
      </c>
      <c r="Y7585">
        <v>-0.61393169999999897</v>
      </c>
      <c r="Z7585">
        <v>7.8870259999999998E-2</v>
      </c>
      <c r="AA7585">
        <v>0.78540909999999997</v>
      </c>
      <c r="AB7585">
        <v>18</v>
      </c>
      <c r="AC7585">
        <v>11.3827</v>
      </c>
      <c r="AD7585">
        <v>-1.12537044785</v>
      </c>
      <c r="AE7585">
        <v>-6.4603199999999896</v>
      </c>
      <c r="AF7585">
        <v>-8.0630300668708994</v>
      </c>
      <c r="AG7585">
        <v>-1.12537044785</v>
      </c>
      <c r="AH7585">
        <v>10.1874450992359</v>
      </c>
      <c r="AI7585">
        <v>94.950553909841801</v>
      </c>
      <c r="AJ7585">
        <v>128.360464132207</v>
      </c>
      <c r="AK7585">
        <v>13.040818615182999</v>
      </c>
      <c r="AL7585">
        <v>84.137441326173601</v>
      </c>
      <c r="AM7585">
        <v>110.06634610616599</v>
      </c>
      <c r="AN7585">
        <v>0.99999998001536905</v>
      </c>
    </row>
    <row r="7586" spans="1:40" x14ac:dyDescent="0.25">
      <c r="A7586" t="str">
        <f>"20190303162105035"</f>
        <v>20190303162105035</v>
      </c>
      <c r="B7586" t="str">
        <f>"1551601265030371"</f>
        <v>1551601265030371</v>
      </c>
      <c r="C7586" t="s">
        <v>40</v>
      </c>
      <c r="D7586">
        <v>4.6247550000000004</v>
      </c>
      <c r="E7586">
        <v>0.37325700000000001</v>
      </c>
      <c r="F7586" t="s">
        <v>42</v>
      </c>
      <c r="G7586">
        <v>-419.28149999999999</v>
      </c>
      <c r="H7586">
        <v>1.0463229999999999</v>
      </c>
      <c r="I7586">
        <v>34.043059999999997</v>
      </c>
      <c r="J7586">
        <v>-420.03859999999997</v>
      </c>
      <c r="K7586">
        <v>1.1253519999999999</v>
      </c>
      <c r="L7586">
        <v>34.400419999999997</v>
      </c>
      <c r="M7586">
        <v>0.3800964</v>
      </c>
      <c r="N7586">
        <v>-1.3900060000000001E-2</v>
      </c>
      <c r="O7586">
        <v>-0.92484250000000001</v>
      </c>
      <c r="P7586">
        <v>0.66935290000000003</v>
      </c>
      <c r="Q7586">
        <v>9.2426240000000007E-2</v>
      </c>
      <c r="R7586">
        <v>-0.73717330000000003</v>
      </c>
      <c r="S7586">
        <v>2.7804869999999999</v>
      </c>
      <c r="T7586">
        <v>-0.27328609999999998</v>
      </c>
      <c r="U7586">
        <v>-1.583618</v>
      </c>
      <c r="V7586">
        <v>-0.3398485</v>
      </c>
      <c r="W7586">
        <v>0.1022744</v>
      </c>
      <c r="X7586">
        <v>0.93490269999999998</v>
      </c>
      <c r="Y7586">
        <v>-0.61247719999999894</v>
      </c>
      <c r="Z7586">
        <v>7.881966E-2</v>
      </c>
      <c r="AA7586">
        <v>0.7865489</v>
      </c>
      <c r="AB7586">
        <v>18</v>
      </c>
      <c r="AC7586">
        <v>0.75709999999997901</v>
      </c>
      <c r="AD7586">
        <v>-7.9029000000000196E-2</v>
      </c>
      <c r="AE7586">
        <v>-0.35736000000000701</v>
      </c>
      <c r="AF7586">
        <v>-0.55943651565420005</v>
      </c>
      <c r="AG7586">
        <v>-7.9029000000000196E-2</v>
      </c>
      <c r="AH7586">
        <v>0.61287127118617202</v>
      </c>
      <c r="AI7586">
        <v>95.440312782809002</v>
      </c>
      <c r="AJ7586">
        <v>132.39021749865401</v>
      </c>
      <c r="AK7586">
        <v>0.83356223099038496</v>
      </c>
      <c r="AL7586">
        <v>84.1298446811399</v>
      </c>
      <c r="AM7586">
        <v>109.976821040128</v>
      </c>
      <c r="AN7586">
        <v>1.0000000571574399</v>
      </c>
    </row>
    <row r="7587" spans="1:40" x14ac:dyDescent="0.25">
      <c r="A7587" t="str">
        <f>"20190303162105047"</f>
        <v>20190303162105047</v>
      </c>
      <c r="B7587" t="str">
        <f>"1551601265041106"</f>
        <v>1551601265041106</v>
      </c>
      <c r="C7587" t="s">
        <v>40</v>
      </c>
      <c r="D7587">
        <v>4.6198110000000003</v>
      </c>
      <c r="E7587">
        <v>0.37333480000000002</v>
      </c>
      <c r="F7587" t="s">
        <v>42</v>
      </c>
      <c r="G7587">
        <v>-419.18959999999998</v>
      </c>
      <c r="H7587">
        <v>1.0410740000000001</v>
      </c>
      <c r="I7587">
        <v>33.920389999999998</v>
      </c>
      <c r="J7587">
        <v>-419.99540000000002</v>
      </c>
      <c r="K7587">
        <v>1.125343</v>
      </c>
      <c r="L7587">
        <v>34.30865</v>
      </c>
      <c r="M7587">
        <v>0.3842081</v>
      </c>
      <c r="N7587">
        <v>-1.389923E-2</v>
      </c>
      <c r="O7587">
        <v>-0.92314180000000001</v>
      </c>
      <c r="P7587">
        <v>0.67199909999999996</v>
      </c>
      <c r="Q7587">
        <v>9.2734830000000004E-2</v>
      </c>
      <c r="R7587">
        <v>-0.7347226</v>
      </c>
      <c r="S7587">
        <v>2.7855829999999999</v>
      </c>
      <c r="T7587">
        <v>-0.2765299</v>
      </c>
      <c r="U7587">
        <v>-1.5749820000000001</v>
      </c>
      <c r="V7587">
        <v>-0.33906190000000003</v>
      </c>
      <c r="W7587">
        <v>0.1026064</v>
      </c>
      <c r="X7587">
        <v>0.93515179999999998</v>
      </c>
      <c r="Y7587">
        <v>-0.61135229999999996</v>
      </c>
      <c r="Z7587">
        <v>7.9864249999999998E-2</v>
      </c>
      <c r="AA7587">
        <v>0.78731830000000003</v>
      </c>
      <c r="AB7587">
        <v>18</v>
      </c>
      <c r="AC7587">
        <v>0.80580000000003305</v>
      </c>
      <c r="AD7587">
        <v>-8.42689999999999E-2</v>
      </c>
      <c r="AE7587">
        <v>-0.388259999999995</v>
      </c>
      <c r="AF7587">
        <v>-0.58951999420405699</v>
      </c>
      <c r="AG7587">
        <v>-8.42689999999999E-2</v>
      </c>
      <c r="AH7587">
        <v>0.66220087046842002</v>
      </c>
      <c r="AI7587">
        <v>95.429556472813204</v>
      </c>
      <c r="AJ7587">
        <v>131.67686541598599</v>
      </c>
      <c r="AK7587">
        <v>0.89058693049947901</v>
      </c>
      <c r="AL7587">
        <v>84.110721349379602</v>
      </c>
      <c r="AM7587">
        <v>109.92933729289901</v>
      </c>
      <c r="AN7587">
        <v>0.99999996719790396</v>
      </c>
    </row>
    <row r="7588" spans="1:40" x14ac:dyDescent="0.25">
      <c r="A7588" t="str">
        <f>"20190303162105063"</f>
        <v>20190303162105063</v>
      </c>
      <c r="B7588" t="str">
        <f>"1551601265049890"</f>
        <v>1551601265049890</v>
      </c>
      <c r="C7588" t="s">
        <v>40</v>
      </c>
      <c r="D7588">
        <v>4.6724259999999997</v>
      </c>
      <c r="E7588">
        <v>0.37357370000000001</v>
      </c>
      <c r="F7588" t="s">
        <v>62</v>
      </c>
      <c r="G7588">
        <v>-408.65120000000002</v>
      </c>
      <c r="H7588" s="1">
        <v>-3.4568199999999998E-6</v>
      </c>
      <c r="I7588">
        <v>27.945170000000001</v>
      </c>
      <c r="J7588">
        <v>-419.94380000000001</v>
      </c>
      <c r="K7588">
        <v>1.125329</v>
      </c>
      <c r="L7588">
        <v>34.200620000000001</v>
      </c>
      <c r="M7588">
        <v>0.38904460000000002</v>
      </c>
      <c r="N7588">
        <v>-1.3897799999999899E-2</v>
      </c>
      <c r="O7588">
        <v>-0.92111419999999999</v>
      </c>
      <c r="P7588">
        <v>0.6748246</v>
      </c>
      <c r="Q7588">
        <v>9.346016E-2</v>
      </c>
      <c r="R7588">
        <v>-0.73203649999999998</v>
      </c>
      <c r="S7588">
        <v>2.7908019999999998</v>
      </c>
      <c r="T7588">
        <v>-0.27684829999999999</v>
      </c>
      <c r="U7588">
        <v>-1.565491</v>
      </c>
      <c r="V7588">
        <v>-0.33779439999999999</v>
      </c>
      <c r="W7588">
        <v>0.10336480000000001</v>
      </c>
      <c r="X7588">
        <v>0.935527</v>
      </c>
      <c r="Y7588">
        <v>-0.6098673</v>
      </c>
      <c r="Z7588">
        <v>7.9951079999999994E-2</v>
      </c>
      <c r="AA7588">
        <v>0.7884603</v>
      </c>
      <c r="AB7588">
        <v>18</v>
      </c>
      <c r="AC7588">
        <v>11.292599999999901</v>
      </c>
      <c r="AD7588">
        <v>-1.12533245682</v>
      </c>
      <c r="AE7588">
        <v>-6.2554499999999997</v>
      </c>
      <c r="AF7588">
        <v>-7.9087962458995804</v>
      </c>
      <c r="AG7588">
        <v>-1.12533245682</v>
      </c>
      <c r="AH7588">
        <v>10.0796946525558</v>
      </c>
      <c r="AI7588">
        <v>95.019620061208201</v>
      </c>
      <c r="AJ7588">
        <v>128.11867305556899</v>
      </c>
      <c r="AK7588">
        <v>12.8614025474009</v>
      </c>
      <c r="AL7588">
        <v>84.067036457416094</v>
      </c>
      <c r="AM7588">
        <v>109.853329207005</v>
      </c>
      <c r="AN7588">
        <v>1.00000005313969</v>
      </c>
    </row>
    <row r="7589" spans="1:40" x14ac:dyDescent="0.25">
      <c r="A7589" t="str">
        <f>"20190303162105086"</f>
        <v>20190303162105086</v>
      </c>
      <c r="B7589" t="str">
        <f>"1551601265080146"</f>
        <v>1551601265080146</v>
      </c>
      <c r="C7589" t="s">
        <v>40</v>
      </c>
      <c r="D7589">
        <v>4.64452</v>
      </c>
      <c r="E7589">
        <v>0.37393769999999998</v>
      </c>
      <c r="F7589" t="s">
        <v>42</v>
      </c>
      <c r="G7589">
        <v>-419.15249999999997</v>
      </c>
      <c r="H7589">
        <v>1.0465199999999999</v>
      </c>
      <c r="I7589">
        <v>33.759770000000003</v>
      </c>
      <c r="J7589">
        <v>-419.86700000000002</v>
      </c>
      <c r="K7589">
        <v>1.125299</v>
      </c>
      <c r="L7589">
        <v>34.04224</v>
      </c>
      <c r="M7589">
        <v>0.39612019999999998</v>
      </c>
      <c r="N7589">
        <v>-1.3895040000000001E-2</v>
      </c>
      <c r="O7589">
        <v>-0.91809370000000001</v>
      </c>
      <c r="P7589">
        <v>0.68012779999999995</v>
      </c>
      <c r="Q7589">
        <v>9.4691319999999995E-2</v>
      </c>
      <c r="R7589">
        <v>-0.72695259999999995</v>
      </c>
      <c r="S7589">
        <v>2.7955320000000001</v>
      </c>
      <c r="T7589">
        <v>-0.27834740000000002</v>
      </c>
      <c r="U7589">
        <v>-1.5566409999999999</v>
      </c>
      <c r="V7589">
        <v>-0.33746340000000002</v>
      </c>
      <c r="W7589">
        <v>0.104620699999999</v>
      </c>
      <c r="X7589">
        <v>0.93550679999999997</v>
      </c>
      <c r="Y7589">
        <v>-0.60621590000000003</v>
      </c>
      <c r="Z7589">
        <v>8.0369010000000005E-2</v>
      </c>
      <c r="AA7589">
        <v>0.79122890000000001</v>
      </c>
      <c r="AB7589">
        <v>18</v>
      </c>
      <c r="AC7589">
        <v>0.71449999999998604</v>
      </c>
      <c r="AD7589">
        <v>-7.8778999999999905E-2</v>
      </c>
      <c r="AE7589">
        <v>-0.282469999999996</v>
      </c>
      <c r="AF7589">
        <v>-0.53847702503440598</v>
      </c>
      <c r="AG7589">
        <v>-7.8778999999999905E-2</v>
      </c>
      <c r="AH7589">
        <v>0.53677073259404495</v>
      </c>
      <c r="AI7589">
        <v>95.915507704396504</v>
      </c>
      <c r="AJ7589">
        <v>135.09092162498499</v>
      </c>
      <c r="AK7589">
        <v>0.76438632686649499</v>
      </c>
      <c r="AL7589">
        <v>83.994686118892901</v>
      </c>
      <c r="AM7589">
        <v>109.835788280356</v>
      </c>
      <c r="AN7589">
        <v>1.00000000502714</v>
      </c>
    </row>
    <row r="7590" spans="1:40" x14ac:dyDescent="0.25">
      <c r="A7590" t="str">
        <f>"20190303162105107"</f>
        <v>20190303162105107</v>
      </c>
      <c r="B7590" t="str">
        <f>"1551601265100643"</f>
        <v>1551601265100643</v>
      </c>
      <c r="C7590" t="s">
        <v>40</v>
      </c>
      <c r="D7590">
        <v>4.7098509999999996</v>
      </c>
      <c r="E7590">
        <v>0.37428689999999998</v>
      </c>
      <c r="F7590" t="s">
        <v>62</v>
      </c>
      <c r="G7590">
        <v>-408.55119999999999</v>
      </c>
      <c r="H7590" s="1">
        <v>-3.4870170000000001E-6</v>
      </c>
      <c r="I7590">
        <v>27.83203</v>
      </c>
      <c r="J7590">
        <v>-419.79039999999998</v>
      </c>
      <c r="K7590">
        <v>1.125283</v>
      </c>
      <c r="L7590">
        <v>33.887569999999997</v>
      </c>
      <c r="M7590">
        <v>0.4030128</v>
      </c>
      <c r="N7590">
        <v>-1.3891540000000001E-2</v>
      </c>
      <c r="O7590">
        <v>-0.91508889999999998</v>
      </c>
      <c r="P7590">
        <v>0.68524269999999998</v>
      </c>
      <c r="Q7590">
        <v>9.6164200000000005E-2</v>
      </c>
      <c r="R7590">
        <v>-0.72193839999999998</v>
      </c>
      <c r="S7590">
        <v>2.8045960000000001</v>
      </c>
      <c r="T7590">
        <v>-0.27890369999999998</v>
      </c>
      <c r="U7590">
        <v>-1.539185</v>
      </c>
      <c r="V7590">
        <v>-0.3371171</v>
      </c>
      <c r="W7590">
        <v>0.10611429999999999</v>
      </c>
      <c r="X7590">
        <v>0.93546339999999994</v>
      </c>
      <c r="Y7590">
        <v>-0.60509499999999905</v>
      </c>
      <c r="Z7590">
        <v>8.0552280000000004E-2</v>
      </c>
      <c r="AA7590">
        <v>0.79206779999999999</v>
      </c>
      <c r="AB7590">
        <v>18</v>
      </c>
      <c r="AC7590">
        <v>11.239199999999901</v>
      </c>
      <c r="AD7590">
        <v>-1.1252864870170001</v>
      </c>
      <c r="AE7590">
        <v>-6.0555399999999997</v>
      </c>
      <c r="AF7590">
        <v>-7.7846845466890899</v>
      </c>
      <c r="AG7590">
        <v>-1.1252864870170001</v>
      </c>
      <c r="AH7590">
        <v>9.9942252732297696</v>
      </c>
      <c r="AI7590">
        <v>95.076086556003602</v>
      </c>
      <c r="AJ7590">
        <v>127.91567595484899</v>
      </c>
      <c r="AK7590">
        <v>12.718180765399801</v>
      </c>
      <c r="AL7590">
        <v>83.908629927370299</v>
      </c>
      <c r="AM7590">
        <v>109.817866561201</v>
      </c>
      <c r="AN7590">
        <v>0.99999997825822895</v>
      </c>
    </row>
    <row r="7591" spans="1:40" x14ac:dyDescent="0.25">
      <c r="A7591" t="str">
        <f>"20190303162105121"</f>
        <v>20190303162105121</v>
      </c>
      <c r="B7591" t="str">
        <f>"1551601265110402"</f>
        <v>1551601265110402</v>
      </c>
      <c r="C7591" t="s">
        <v>40</v>
      </c>
      <c r="D7591">
        <v>4.7188290000000004</v>
      </c>
      <c r="E7591">
        <v>0.37444749999999999</v>
      </c>
      <c r="F7591" t="s">
        <v>62</v>
      </c>
      <c r="G7591">
        <v>-408.38159999999999</v>
      </c>
      <c r="H7591" s="1">
        <v>-3.5521549999999999E-6</v>
      </c>
      <c r="I7591">
        <v>27.71847</v>
      </c>
      <c r="J7591">
        <v>-419.74160000000001</v>
      </c>
      <c r="K7591">
        <v>1.12527</v>
      </c>
      <c r="L7591">
        <v>33.790439999999997</v>
      </c>
      <c r="M7591">
        <v>0.40733530000000001</v>
      </c>
      <c r="N7591">
        <v>-1.3889200000000001E-2</v>
      </c>
      <c r="O7591">
        <v>-0.91317340000000002</v>
      </c>
      <c r="P7591">
        <v>0.68831319999999996</v>
      </c>
      <c r="Q7591">
        <v>9.7064200000000003E-2</v>
      </c>
      <c r="R7591">
        <v>-0.71889060000000005</v>
      </c>
      <c r="S7591">
        <v>2.8138730000000001</v>
      </c>
      <c r="T7591">
        <v>-0.27754030000000002</v>
      </c>
      <c r="U7591">
        <v>-1.5215449999999999</v>
      </c>
      <c r="V7591">
        <v>-0.33673330000000001</v>
      </c>
      <c r="W7591">
        <v>0.107028399999999</v>
      </c>
      <c r="X7591">
        <v>0.93549749999999998</v>
      </c>
      <c r="Y7591">
        <v>-0.60630150000000005</v>
      </c>
      <c r="Z7591">
        <v>8.0160809999999999E-2</v>
      </c>
      <c r="AA7591">
        <v>0.79118440000000001</v>
      </c>
      <c r="AB7591">
        <v>18</v>
      </c>
      <c r="AC7591">
        <v>11.36</v>
      </c>
      <c r="AD7591">
        <v>-1.1252735521549999</v>
      </c>
      <c r="AE7591">
        <v>-6.0719700000000003</v>
      </c>
      <c r="AF7591">
        <v>-7.84123977275791</v>
      </c>
      <c r="AG7591">
        <v>-1.1252735521549999</v>
      </c>
      <c r="AH7591">
        <v>10.0960188138445</v>
      </c>
      <c r="AI7591">
        <v>95.030571033929107</v>
      </c>
      <c r="AJ7591">
        <v>127.835290647305</v>
      </c>
      <c r="AK7591">
        <v>12.8328047452832</v>
      </c>
      <c r="AL7591">
        <v>83.855955906557995</v>
      </c>
      <c r="AM7591">
        <v>109.79639306377101</v>
      </c>
      <c r="AN7591">
        <v>0.99999998312084903</v>
      </c>
    </row>
    <row r="7592" spans="1:40" x14ac:dyDescent="0.25">
      <c r="A7592" t="str">
        <f>"20190303162105141"</f>
        <v>20190303162105141</v>
      </c>
      <c r="B7592" t="str">
        <f>"1551601265129922"</f>
        <v>1551601265129922</v>
      </c>
      <c r="C7592" t="s">
        <v>40</v>
      </c>
      <c r="D7592">
        <v>4.708933</v>
      </c>
      <c r="E7592">
        <v>0.37880809999999998</v>
      </c>
      <c r="F7592" t="s">
        <v>42</v>
      </c>
      <c r="G7592">
        <v>-418.92989999999998</v>
      </c>
      <c r="H7592">
        <v>1.0457369999999999</v>
      </c>
      <c r="I7592">
        <v>33.355600000000003</v>
      </c>
      <c r="J7592">
        <v>-419.67160000000001</v>
      </c>
      <c r="K7592">
        <v>1.125254</v>
      </c>
      <c r="L7592">
        <v>33.65314</v>
      </c>
      <c r="M7592">
        <v>0.41343950000000002</v>
      </c>
      <c r="N7592">
        <v>-1.388577E-2</v>
      </c>
      <c r="O7592">
        <v>-0.91042579999999995</v>
      </c>
      <c r="P7592">
        <v>0.69283130000000004</v>
      </c>
      <c r="Q7592">
        <v>9.7331319999999999E-2</v>
      </c>
      <c r="R7592">
        <v>-0.71450069999999999</v>
      </c>
      <c r="S7592">
        <v>2.819763</v>
      </c>
      <c r="T7592">
        <v>-0.27629710000000002</v>
      </c>
      <c r="U7592">
        <v>-1.510559</v>
      </c>
      <c r="V7592">
        <v>-0.3363794</v>
      </c>
      <c r="W7592">
        <v>0.1073134</v>
      </c>
      <c r="X7592">
        <v>0.93559219999999998</v>
      </c>
      <c r="Y7592">
        <v>-0.60410379999999997</v>
      </c>
      <c r="Z7592">
        <v>7.9703949999999996E-2</v>
      </c>
      <c r="AA7592">
        <v>0.79290969999999905</v>
      </c>
      <c r="AB7592">
        <v>18</v>
      </c>
      <c r="AC7592">
        <v>0.741700000000037</v>
      </c>
      <c r="AD7592">
        <v>-7.9516999999999796E-2</v>
      </c>
      <c r="AE7592">
        <v>-0.29753999999999697</v>
      </c>
      <c r="AF7592">
        <v>-0.54688676741963405</v>
      </c>
      <c r="AG7592">
        <v>-7.9516999999999796E-2</v>
      </c>
      <c r="AH7592">
        <v>0.57192941114506901</v>
      </c>
      <c r="AI7592">
        <v>95.738187096947797</v>
      </c>
      <c r="AJ7592">
        <v>133.717753396799</v>
      </c>
      <c r="AK7592">
        <v>0.79530581602327199</v>
      </c>
      <c r="AL7592">
        <v>83.8395322186024</v>
      </c>
      <c r="AM7592">
        <v>109.775355285912</v>
      </c>
      <c r="AN7592">
        <v>1.0000000156323701</v>
      </c>
    </row>
    <row r="7593" spans="1:40" x14ac:dyDescent="0.25">
      <c r="A7593" t="str">
        <f>"20190303162105165"</f>
        <v>20190303162105165</v>
      </c>
      <c r="B7593" t="str">
        <f>"1551601265150418"</f>
        <v>1551601265150418</v>
      </c>
      <c r="C7593" t="s">
        <v>40</v>
      </c>
      <c r="D7593">
        <v>4.7394400000000001</v>
      </c>
      <c r="E7593">
        <v>0.37924940000000001</v>
      </c>
      <c r="F7593" t="s">
        <v>42</v>
      </c>
      <c r="G7593">
        <v>-418.86369999999999</v>
      </c>
      <c r="H7593">
        <v>1.037158</v>
      </c>
      <c r="I7593">
        <v>33.21528</v>
      </c>
      <c r="J7593">
        <v>-419.5924</v>
      </c>
      <c r="K7593">
        <v>1.125229</v>
      </c>
      <c r="L7593">
        <v>33.500239999999998</v>
      </c>
      <c r="M7593">
        <v>0.42023090000000002</v>
      </c>
      <c r="N7593">
        <v>-1.388175E-2</v>
      </c>
      <c r="O7593">
        <v>-0.90731139999999999</v>
      </c>
      <c r="P7593">
        <v>0.69860269999999902</v>
      </c>
      <c r="Q7593">
        <v>9.6422540000000001E-2</v>
      </c>
      <c r="R7593">
        <v>-0.70898319999999904</v>
      </c>
      <c r="S7593">
        <v>2.8056950000000001</v>
      </c>
      <c r="T7593">
        <v>-0.30585909999999999</v>
      </c>
      <c r="U7593">
        <v>-1.519806</v>
      </c>
      <c r="V7593">
        <v>-0.3369105</v>
      </c>
      <c r="W7593">
        <v>0.1064116</v>
      </c>
      <c r="X7593">
        <v>0.93550409999999995</v>
      </c>
      <c r="Y7593">
        <v>-0.59366129999999995</v>
      </c>
      <c r="Z7593">
        <v>8.9230950000000003E-2</v>
      </c>
      <c r="AA7593">
        <v>0.79975249999999998</v>
      </c>
      <c r="AB7593">
        <v>18</v>
      </c>
      <c r="AC7593">
        <v>0.72870000000000301</v>
      </c>
      <c r="AD7593">
        <v>-8.8070999999999997E-2</v>
      </c>
      <c r="AE7593">
        <v>-0.28496000000000499</v>
      </c>
      <c r="AF7593">
        <v>-0.53468645796339598</v>
      </c>
      <c r="AG7593">
        <v>-8.8070999999999997E-2</v>
      </c>
      <c r="AH7593">
        <v>0.55775729264218599</v>
      </c>
      <c r="AI7593">
        <v>96.502857675092898</v>
      </c>
      <c r="AJ7593">
        <v>133.79017570017501</v>
      </c>
      <c r="AK7593">
        <v>0.77764986135534298</v>
      </c>
      <c r="AL7593">
        <v>83.891499136710607</v>
      </c>
      <c r="AM7593">
        <v>109.80587161135701</v>
      </c>
      <c r="AN7593">
        <v>1.0000000173707999</v>
      </c>
    </row>
    <row r="7594" spans="1:40" x14ac:dyDescent="0.25">
      <c r="A7594" t="str">
        <f>"20190303162105179"</f>
        <v>20190303162105179</v>
      </c>
      <c r="B7594" t="str">
        <f>"1551601265169938"</f>
        <v>1551601265169938</v>
      </c>
      <c r="C7594" t="s">
        <v>40</v>
      </c>
      <c r="D7594">
        <v>4.7510529999999997</v>
      </c>
      <c r="E7594">
        <v>0.37927319999999998</v>
      </c>
      <c r="F7594" t="s">
        <v>42</v>
      </c>
      <c r="G7594">
        <v>-418.79610000000002</v>
      </c>
      <c r="H7594">
        <v>1.0392399999999999</v>
      </c>
      <c r="I7594">
        <v>33.075809999999997</v>
      </c>
      <c r="J7594">
        <v>-419.53280000000001</v>
      </c>
      <c r="K7594">
        <v>1.1252150000000001</v>
      </c>
      <c r="L7594">
        <v>33.387149999999998</v>
      </c>
      <c r="M7594">
        <v>0.42525309999999999</v>
      </c>
      <c r="N7594">
        <v>-1.3878690000000001E-2</v>
      </c>
      <c r="O7594">
        <v>-0.9049682</v>
      </c>
      <c r="P7594">
        <v>0.70262590000000003</v>
      </c>
      <c r="Q7594">
        <v>9.6377690000000002E-2</v>
      </c>
      <c r="R7594">
        <v>-0.70500240000000003</v>
      </c>
      <c r="S7594">
        <v>2.81427</v>
      </c>
      <c r="T7594">
        <v>-0.30386380000000002</v>
      </c>
      <c r="U7594">
        <v>-1.499695</v>
      </c>
      <c r="V7594">
        <v>-0.33704260000000003</v>
      </c>
      <c r="W7594">
        <v>0.1063742</v>
      </c>
      <c r="X7594">
        <v>0.93546070000000003</v>
      </c>
      <c r="Y7594">
        <v>-0.59471790000000002</v>
      </c>
      <c r="Z7594">
        <v>8.8671749999999994E-2</v>
      </c>
      <c r="AA7594">
        <v>0.7990294</v>
      </c>
      <c r="AB7594">
        <v>18</v>
      </c>
      <c r="AC7594">
        <v>0.73669999999998403</v>
      </c>
      <c r="AD7594">
        <v>-8.5974999999999899E-2</v>
      </c>
      <c r="AE7594">
        <v>-0.311340000000001</v>
      </c>
      <c r="AF7594">
        <v>-0.52823900665771195</v>
      </c>
      <c r="AG7594">
        <v>-8.5974999999999899E-2</v>
      </c>
      <c r="AH7594">
        <v>0.58829583771282901</v>
      </c>
      <c r="AI7594">
        <v>96.205934022517894</v>
      </c>
      <c r="AJ7594">
        <v>131.92110801602399</v>
      </c>
      <c r="AK7594">
        <v>0.79531134874963605</v>
      </c>
      <c r="AL7594">
        <v>83.893653835860803</v>
      </c>
      <c r="AM7594">
        <v>109.81388066139699</v>
      </c>
      <c r="AN7594">
        <v>0.99999995294244304</v>
      </c>
    </row>
    <row r="7595" spans="1:40" x14ac:dyDescent="0.25">
      <c r="A7595" t="str">
        <f>"20190303162105197"</f>
        <v>20190303162105197</v>
      </c>
      <c r="B7595" t="str">
        <f>"1551601265190434"</f>
        <v>1551601265190434</v>
      </c>
      <c r="C7595" t="s">
        <v>40</v>
      </c>
      <c r="D7595">
        <v>4.7086220000000001</v>
      </c>
      <c r="E7595">
        <v>0.37858150000000002</v>
      </c>
      <c r="F7595" t="s">
        <v>42</v>
      </c>
      <c r="G7595">
        <v>-418.7072</v>
      </c>
      <c r="H7595">
        <v>1.0355219999999901</v>
      </c>
      <c r="I7595">
        <v>32.95261</v>
      </c>
      <c r="J7595">
        <v>-419.4665</v>
      </c>
      <c r="K7595">
        <v>1.1251990000000001</v>
      </c>
      <c r="L7595">
        <v>33.26294</v>
      </c>
      <c r="M7595">
        <v>0.43076449999999999</v>
      </c>
      <c r="N7595">
        <v>-1.387526E-2</v>
      </c>
      <c r="O7595">
        <v>-0.90235790000000005</v>
      </c>
      <c r="P7595">
        <v>0.70747159999999998</v>
      </c>
      <c r="Q7595">
        <v>9.6216369999999996E-2</v>
      </c>
      <c r="R7595">
        <v>-0.70016210000000001</v>
      </c>
      <c r="S7595">
        <v>2.822327</v>
      </c>
      <c r="T7595">
        <v>-0.30650929999999998</v>
      </c>
      <c r="U7595">
        <v>-1.4844360000000001</v>
      </c>
      <c r="V7595">
        <v>-0.33777499999999999</v>
      </c>
      <c r="W7595">
        <v>0.1062134</v>
      </c>
      <c r="X7595">
        <v>0.93521480000000001</v>
      </c>
      <c r="Y7595">
        <v>-0.59407659999999995</v>
      </c>
      <c r="Z7595">
        <v>8.9499590000000004E-2</v>
      </c>
      <c r="AA7595">
        <v>0.79941410000000002</v>
      </c>
      <c r="AB7595">
        <v>18</v>
      </c>
      <c r="AC7595">
        <v>0.75929999999999598</v>
      </c>
      <c r="AD7595">
        <v>-8.9677000000000201E-2</v>
      </c>
      <c r="AE7595">
        <v>-0.31032999999999999</v>
      </c>
      <c r="AF7595">
        <v>-0.545019988128007</v>
      </c>
      <c r="AG7595">
        <v>-8.9677000000000201E-2</v>
      </c>
      <c r="AH7595">
        <v>0.59999526142006498</v>
      </c>
      <c r="AI7595">
        <v>96.313132281208397</v>
      </c>
      <c r="AJ7595">
        <v>132.251185855621</v>
      </c>
      <c r="AK7595">
        <v>0.81552625065940398</v>
      </c>
      <c r="AL7595">
        <v>83.902919652601796</v>
      </c>
      <c r="AM7595">
        <v>109.858387263895</v>
      </c>
      <c r="AN7595">
        <v>0.99999997955179898</v>
      </c>
    </row>
    <row r="7596" spans="1:40" x14ac:dyDescent="0.25">
      <c r="A7596" t="str">
        <f>"20190303162105210"</f>
        <v>20190303162105210</v>
      </c>
      <c r="B7596" t="str">
        <f>"1551601265200194"</f>
        <v>1551601265200194</v>
      </c>
      <c r="C7596" t="s">
        <v>40</v>
      </c>
      <c r="D7596">
        <v>4.725333</v>
      </c>
      <c r="E7596">
        <v>0.37814730000000002</v>
      </c>
      <c r="F7596" t="s">
        <v>42</v>
      </c>
      <c r="G7596">
        <v>-418.62119999999999</v>
      </c>
      <c r="H7596">
        <v>1.0375570000000001</v>
      </c>
      <c r="I7596">
        <v>32.827390000000001</v>
      </c>
      <c r="J7596">
        <v>-419.41739999999999</v>
      </c>
      <c r="K7596">
        <v>1.1251869999999999</v>
      </c>
      <c r="L7596">
        <v>33.172179999999997</v>
      </c>
      <c r="M7596">
        <v>0.43479030000000002</v>
      </c>
      <c r="N7596">
        <v>-1.387268E-2</v>
      </c>
      <c r="O7596">
        <v>-0.90042479999999903</v>
      </c>
      <c r="P7596">
        <v>0.7107232</v>
      </c>
      <c r="Q7596">
        <v>9.6320439999999993E-2</v>
      </c>
      <c r="R7596">
        <v>-0.69684630000000003</v>
      </c>
      <c r="S7596">
        <v>2.8349609999999998</v>
      </c>
      <c r="T7596">
        <v>-0.2939042</v>
      </c>
      <c r="U7596">
        <v>-1.46051</v>
      </c>
      <c r="V7596">
        <v>-0.33795560000000002</v>
      </c>
      <c r="W7596">
        <v>0.1063225</v>
      </c>
      <c r="X7596">
        <v>0.9351372</v>
      </c>
      <c r="Y7596">
        <v>-0.59761229999999999</v>
      </c>
      <c r="Z7596">
        <v>8.5511370000000003E-2</v>
      </c>
      <c r="AA7596">
        <v>0.79721219999999904</v>
      </c>
      <c r="AB7596">
        <v>18</v>
      </c>
      <c r="AC7596">
        <v>0.79619999999999802</v>
      </c>
      <c r="AD7596">
        <v>-8.7630000000000097E-2</v>
      </c>
      <c r="AE7596">
        <v>-0.34478999999999599</v>
      </c>
      <c r="AF7596">
        <v>-0.56133562848613605</v>
      </c>
      <c r="AG7596">
        <v>-8.7630000000000097E-2</v>
      </c>
      <c r="AH7596">
        <v>0.650069760979327</v>
      </c>
      <c r="AI7596">
        <v>95.825574861147103</v>
      </c>
      <c r="AJ7596">
        <v>130.810628084949</v>
      </c>
      <c r="AK7596">
        <v>0.86334662728688805</v>
      </c>
      <c r="AL7596">
        <v>83.896633346715006</v>
      </c>
      <c r="AM7596">
        <v>109.869693993946</v>
      </c>
      <c r="AN7596">
        <v>1.0000000222007199</v>
      </c>
    </row>
    <row r="7597" spans="1:40" x14ac:dyDescent="0.25">
      <c r="A7597" t="str">
        <f>"20190303162105225"</f>
        <v>20190303162105225</v>
      </c>
      <c r="B7597" t="str">
        <f>"1551601265220690"</f>
        <v>1551601265220690</v>
      </c>
      <c r="C7597" t="s">
        <v>40</v>
      </c>
      <c r="D7597">
        <v>4.751099</v>
      </c>
      <c r="E7597">
        <v>0.3778842</v>
      </c>
      <c r="F7597" t="s">
        <v>42</v>
      </c>
      <c r="G7597">
        <v>-418.51769999999999</v>
      </c>
      <c r="H7597">
        <v>1.033871</v>
      </c>
      <c r="I7597">
        <v>32.715009999999999</v>
      </c>
      <c r="J7597">
        <v>-419.3614</v>
      </c>
      <c r="K7597">
        <v>1.125176</v>
      </c>
      <c r="L7597">
        <v>33.069580000000002</v>
      </c>
      <c r="M7597">
        <v>0.43934109999999998</v>
      </c>
      <c r="N7597">
        <v>-1.386969E-2</v>
      </c>
      <c r="O7597">
        <v>-0.89821359999999995</v>
      </c>
      <c r="P7597">
        <v>0.71463290000000002</v>
      </c>
      <c r="Q7597">
        <v>9.6702060000000006E-2</v>
      </c>
      <c r="R7597">
        <v>-0.6927835</v>
      </c>
      <c r="S7597">
        <v>2.8437190000000001</v>
      </c>
      <c r="T7597">
        <v>-0.28859230000000002</v>
      </c>
      <c r="U7597">
        <v>-1.444672</v>
      </c>
      <c r="V7597">
        <v>-0.33850930000000001</v>
      </c>
      <c r="W7597">
        <v>0.1067041</v>
      </c>
      <c r="X7597">
        <v>0.93489339999999999</v>
      </c>
      <c r="Y7597">
        <v>-0.59822949999999997</v>
      </c>
      <c r="Z7597">
        <v>8.3780729999999998E-2</v>
      </c>
      <c r="AA7597">
        <v>0.796933</v>
      </c>
      <c r="AB7597">
        <v>18</v>
      </c>
      <c r="AC7597">
        <v>0.843700000000012</v>
      </c>
      <c r="AD7597">
        <v>-9.13049999999999E-2</v>
      </c>
      <c r="AE7597">
        <v>-0.35457000000000199</v>
      </c>
      <c r="AF7597">
        <v>-0.59616935326397202</v>
      </c>
      <c r="AG7597">
        <v>-9.13049999999999E-2</v>
      </c>
      <c r="AH7597">
        <v>0.68242519346976704</v>
      </c>
      <c r="AI7597">
        <v>95.753737054318293</v>
      </c>
      <c r="AJ7597">
        <v>131.14059141415299</v>
      </c>
      <c r="AK7597">
        <v>0.91074620256053296</v>
      </c>
      <c r="AL7597">
        <v>83.874643990945998</v>
      </c>
      <c r="AM7597">
        <v>109.904476331542</v>
      </c>
      <c r="AN7597">
        <v>0.99999999025342901</v>
      </c>
    </row>
    <row r="7598" spans="1:40" x14ac:dyDescent="0.25">
      <c r="A7598" t="str">
        <f>"20190303162105238"</f>
        <v>20190303162105238</v>
      </c>
      <c r="B7598" t="str">
        <f>"1551601265230450"</f>
        <v>1551601265230450</v>
      </c>
      <c r="C7598" t="s">
        <v>40</v>
      </c>
      <c r="D7598">
        <v>4.7422060000000004</v>
      </c>
      <c r="E7598">
        <v>0.37791750000000002</v>
      </c>
      <c r="F7598" t="s">
        <v>62</v>
      </c>
      <c r="G7598">
        <v>-407.89100000000002</v>
      </c>
      <c r="H7598" s="1">
        <v>-3.7302899999999998E-6</v>
      </c>
      <c r="I7598">
        <v>27.332360000000001</v>
      </c>
      <c r="J7598">
        <v>-419.31079999999997</v>
      </c>
      <c r="K7598">
        <v>1.1251660000000001</v>
      </c>
      <c r="L7598">
        <v>32.97833</v>
      </c>
      <c r="M7598">
        <v>0.44338719999999998</v>
      </c>
      <c r="N7598">
        <v>-1.386691E-2</v>
      </c>
      <c r="O7598">
        <v>-0.89622289999999905</v>
      </c>
      <c r="P7598">
        <v>0.71798569999999995</v>
      </c>
      <c r="Q7598">
        <v>9.7023159999999997E-2</v>
      </c>
      <c r="R7598">
        <v>-0.68926269999999901</v>
      </c>
      <c r="S7598">
        <v>2.8526919999999998</v>
      </c>
      <c r="T7598">
        <v>-0.27983239999999998</v>
      </c>
      <c r="U7598">
        <v>-1.426849</v>
      </c>
      <c r="V7598">
        <v>-0.33884950000000003</v>
      </c>
      <c r="W7598">
        <v>0.1070275</v>
      </c>
      <c r="X7598">
        <v>0.93473320000000004</v>
      </c>
      <c r="Y7598">
        <v>-0.59983619999999904</v>
      </c>
      <c r="Z7598">
        <v>8.0980170000000004E-2</v>
      </c>
      <c r="AA7598">
        <v>0.79601429999999995</v>
      </c>
      <c r="AB7598">
        <v>18</v>
      </c>
      <c r="AC7598">
        <v>11.4198</v>
      </c>
      <c r="AD7598">
        <v>-1.1251697302899999</v>
      </c>
      <c r="AE7598">
        <v>-5.6459700000000002</v>
      </c>
      <c r="AF7598">
        <v>-7.6722282652007401</v>
      </c>
      <c r="AG7598">
        <v>-1.1251697302899999</v>
      </c>
      <c r="AH7598">
        <v>10.0460455832724</v>
      </c>
      <c r="AI7598">
        <v>95.086605738757797</v>
      </c>
      <c r="AJ7598">
        <v>127.369200276744</v>
      </c>
      <c r="AK7598">
        <v>12.6906314002296</v>
      </c>
      <c r="AL7598">
        <v>83.856007950599306</v>
      </c>
      <c r="AM7598">
        <v>109.926052810892</v>
      </c>
      <c r="AN7598">
        <v>1.00000001229437</v>
      </c>
    </row>
    <row r="7599" spans="1:40" x14ac:dyDescent="0.25">
      <c r="A7599" t="str">
        <f>"20190303162105254"</f>
        <v>20190303162105254</v>
      </c>
      <c r="B7599" t="str">
        <f>"1551601265240210"</f>
        <v>1551601265240210</v>
      </c>
      <c r="C7599" t="s">
        <v>40</v>
      </c>
      <c r="D7599">
        <v>4.7453260000000004</v>
      </c>
      <c r="E7599">
        <v>0.37810159999999998</v>
      </c>
      <c r="F7599" t="s">
        <v>42</v>
      </c>
      <c r="G7599">
        <v>-418.46890000000002</v>
      </c>
      <c r="H7599">
        <v>1.0438529999999999</v>
      </c>
      <c r="I7599">
        <v>32.562190000000001</v>
      </c>
      <c r="J7599">
        <v>-419.2534</v>
      </c>
      <c r="K7599">
        <v>1.1251549999999999</v>
      </c>
      <c r="L7599">
        <v>32.875700000000002</v>
      </c>
      <c r="M7599">
        <v>0.44793660000000002</v>
      </c>
      <c r="N7599">
        <v>-1.386386E-2</v>
      </c>
      <c r="O7599">
        <v>-0.89395789999999997</v>
      </c>
      <c r="P7599">
        <v>0.72235309999999997</v>
      </c>
      <c r="Q7599">
        <v>9.8087549999999996E-2</v>
      </c>
      <c r="R7599">
        <v>-0.68453269999999899</v>
      </c>
      <c r="S7599">
        <v>2.8591609999999998</v>
      </c>
      <c r="T7599">
        <v>-0.27611920000000001</v>
      </c>
      <c r="U7599">
        <v>-1.413025</v>
      </c>
      <c r="V7599">
        <v>-0.34011609999999998</v>
      </c>
      <c r="W7599">
        <v>0.10808089999999999</v>
      </c>
      <c r="X7599">
        <v>0.93415179999999998</v>
      </c>
      <c r="Y7599">
        <v>-0.59968189999999999</v>
      </c>
      <c r="Z7599">
        <v>7.9770709999999995E-2</v>
      </c>
      <c r="AA7599">
        <v>0.79625269999999904</v>
      </c>
      <c r="AB7599">
        <v>18</v>
      </c>
      <c r="AC7599">
        <v>0.78449999999997999</v>
      </c>
      <c r="AD7599">
        <v>-8.1301999999999694E-2</v>
      </c>
      <c r="AE7599">
        <v>-0.31351000000000001</v>
      </c>
      <c r="AF7599">
        <v>-0.55578399190477201</v>
      </c>
      <c r="AG7599">
        <v>-8.1301999999999694E-2</v>
      </c>
      <c r="AH7599">
        <v>0.625934743467218</v>
      </c>
      <c r="AI7599">
        <v>95.5475440072547</v>
      </c>
      <c r="AJ7599">
        <v>131.60271904029401</v>
      </c>
      <c r="AK7599">
        <v>0.84101139346680498</v>
      </c>
      <c r="AL7599">
        <v>83.795300433643305</v>
      </c>
      <c r="AM7599">
        <v>110.00610088942599</v>
      </c>
      <c r="AN7599">
        <v>1.00000001393363</v>
      </c>
    </row>
    <row r="7600" spans="1:40" x14ac:dyDescent="0.25">
      <c r="A7600" t="str">
        <f>"20190303162105276"</f>
        <v>20190303162105276</v>
      </c>
      <c r="B7600" t="str">
        <f>"1551601265270466"</f>
        <v>1551601265270466</v>
      </c>
      <c r="C7600" t="s">
        <v>40</v>
      </c>
      <c r="D7600">
        <v>4.6978030000000004</v>
      </c>
      <c r="E7600">
        <v>0.37823059999999997</v>
      </c>
      <c r="F7600" t="s">
        <v>42</v>
      </c>
      <c r="G7600">
        <v>-418.37209999999999</v>
      </c>
      <c r="H7600">
        <v>1.0417270000000001</v>
      </c>
      <c r="I7600">
        <v>32.446390000000001</v>
      </c>
      <c r="J7600">
        <v>-419.17</v>
      </c>
      <c r="K7600">
        <v>1.12514</v>
      </c>
      <c r="L7600">
        <v>32.728700000000003</v>
      </c>
      <c r="M7600">
        <v>0.45444899999999999</v>
      </c>
      <c r="N7600">
        <v>-1.3859460000000001E-2</v>
      </c>
      <c r="O7600">
        <v>-0.89066489999999998</v>
      </c>
      <c r="P7600">
        <v>0.72781059999999997</v>
      </c>
      <c r="Q7600">
        <v>9.8443520000000007E-2</v>
      </c>
      <c r="R7600">
        <v>-0.67867569999999999</v>
      </c>
      <c r="S7600">
        <v>2.8671259999999998</v>
      </c>
      <c r="T7600">
        <v>-0.27135769999999998</v>
      </c>
      <c r="U7600">
        <v>-1.395905</v>
      </c>
      <c r="V7600">
        <v>-0.34080080000000001</v>
      </c>
      <c r="W7600">
        <v>0.1084369</v>
      </c>
      <c r="X7600">
        <v>0.93386100000000005</v>
      </c>
      <c r="Y7600">
        <v>-0.59868969999999999</v>
      </c>
      <c r="Z7600">
        <v>7.8189690000000006E-2</v>
      </c>
      <c r="AA7600">
        <v>0.79715559999999996</v>
      </c>
      <c r="AB7600">
        <v>18</v>
      </c>
      <c r="AC7600">
        <v>0.79790000000002603</v>
      </c>
      <c r="AD7600">
        <v>-8.3412999999999904E-2</v>
      </c>
      <c r="AE7600">
        <v>-0.282310000000002</v>
      </c>
      <c r="AF7600">
        <v>-0.57681942813346299</v>
      </c>
      <c r="AG7600">
        <v>-8.3412999999999904E-2</v>
      </c>
      <c r="AH7600">
        <v>0.60820011523512396</v>
      </c>
      <c r="AI7600">
        <v>95.682850446602501</v>
      </c>
      <c r="AJ7600">
        <v>133.483096049392</v>
      </c>
      <c r="AK7600">
        <v>0.84236913607588504</v>
      </c>
      <c r="AL7600">
        <v>83.774782816031006</v>
      </c>
      <c r="AM7600">
        <v>110.048916743476</v>
      </c>
      <c r="AN7600">
        <v>1.0000000569416201</v>
      </c>
    </row>
    <row r="7601" spans="1:40" x14ac:dyDescent="0.25">
      <c r="A7601" t="str">
        <f>"20190303162105297"</f>
        <v>20190303162105297</v>
      </c>
      <c r="B7601" t="str">
        <f>"1551601265289986"</f>
        <v>1551601265289986</v>
      </c>
      <c r="C7601" t="s">
        <v>40</v>
      </c>
      <c r="D7601">
        <v>4.7073340000000004</v>
      </c>
      <c r="E7601">
        <v>0.37839319999999999</v>
      </c>
      <c r="F7601" t="s">
        <v>42</v>
      </c>
      <c r="G7601">
        <v>-418.29790000000003</v>
      </c>
      <c r="H7601">
        <v>1.045264</v>
      </c>
      <c r="I7601">
        <v>32.312550000000002</v>
      </c>
      <c r="J7601">
        <v>-419.0829</v>
      </c>
      <c r="K7601">
        <v>1.125122</v>
      </c>
      <c r="L7601">
        <v>32.577849999999998</v>
      </c>
      <c r="M7601">
        <v>0.46112730000000002</v>
      </c>
      <c r="N7601">
        <v>-1.3854969999999999E-2</v>
      </c>
      <c r="O7601">
        <v>-0.88722570000000001</v>
      </c>
      <c r="P7601">
        <v>0.73298169999999996</v>
      </c>
      <c r="Q7601">
        <v>9.8510849999999997E-2</v>
      </c>
      <c r="R7601">
        <v>-0.6730775</v>
      </c>
      <c r="S7601">
        <v>2.8772890000000002</v>
      </c>
      <c r="T7601">
        <v>-0.26352520000000001</v>
      </c>
      <c r="U7601">
        <v>-1.3730469999999999</v>
      </c>
      <c r="V7601">
        <v>-0.34093069999999998</v>
      </c>
      <c r="W7601">
        <v>0.10851180000000001</v>
      </c>
      <c r="X7601">
        <v>0.93380479999999999</v>
      </c>
      <c r="Y7601">
        <v>-0.59912909999999997</v>
      </c>
      <c r="Z7601">
        <v>7.5666079999999997E-2</v>
      </c>
      <c r="AA7601">
        <v>0.79706899999999903</v>
      </c>
      <c r="AB7601">
        <v>18</v>
      </c>
      <c r="AC7601">
        <v>0.78499999999996795</v>
      </c>
      <c r="AD7601">
        <v>-7.9857999999999901E-2</v>
      </c>
      <c r="AE7601">
        <v>-0.26529999999999598</v>
      </c>
      <c r="AF7601">
        <v>-0.56890621267049102</v>
      </c>
      <c r="AG7601">
        <v>-7.9857999999999901E-2</v>
      </c>
      <c r="AH7601">
        <v>0.59192544687007098</v>
      </c>
      <c r="AI7601">
        <v>95.555681527662998</v>
      </c>
      <c r="AJ7601">
        <v>133.863976425109</v>
      </c>
      <c r="AK7601">
        <v>0.82486805831685395</v>
      </c>
      <c r="AL7601">
        <v>83.770465400080099</v>
      </c>
      <c r="AM7601">
        <v>110.057060421245</v>
      </c>
      <c r="AN7601">
        <v>0.999999978722384</v>
      </c>
    </row>
    <row r="7602" spans="1:40" x14ac:dyDescent="0.25">
      <c r="A7602" t="str">
        <f>"20190303162105319"</f>
        <v>20190303162105319</v>
      </c>
      <c r="B7602" t="str">
        <f>"1551601265310482"</f>
        <v>1551601265310482</v>
      </c>
      <c r="C7602" t="s">
        <v>40</v>
      </c>
      <c r="D7602">
        <v>4.7812539999999997</v>
      </c>
      <c r="E7602">
        <v>0.37873469999999998</v>
      </c>
      <c r="F7602" t="s">
        <v>42</v>
      </c>
      <c r="G7602">
        <v>-418.226</v>
      </c>
      <c r="H7602">
        <v>1.0481279999999999</v>
      </c>
      <c r="I7602">
        <v>32.1768</v>
      </c>
      <c r="J7602">
        <v>-419.00060000000002</v>
      </c>
      <c r="K7602">
        <v>1.125103</v>
      </c>
      <c r="L7602">
        <v>32.437529999999903</v>
      </c>
      <c r="M7602">
        <v>0.46733350000000001</v>
      </c>
      <c r="N7602">
        <v>-1.385082E-2</v>
      </c>
      <c r="O7602">
        <v>-0.88397269999999994</v>
      </c>
      <c r="P7602">
        <v>0.73716859999999995</v>
      </c>
      <c r="Q7602">
        <v>9.840024E-2</v>
      </c>
      <c r="R7602">
        <v>-0.66850580000000004</v>
      </c>
      <c r="S7602">
        <v>2.8872070000000001</v>
      </c>
      <c r="T7602">
        <v>-0.2593703</v>
      </c>
      <c r="U7602">
        <v>-1.3508910000000001</v>
      </c>
      <c r="V7602">
        <v>-0.34020209999999901</v>
      </c>
      <c r="W7602">
        <v>0.108418899999999</v>
      </c>
      <c r="X7602">
        <v>0.9340813</v>
      </c>
      <c r="Y7602">
        <v>-0.59969689999999998</v>
      </c>
      <c r="Z7602">
        <v>7.4331149999999999E-2</v>
      </c>
      <c r="AA7602">
        <v>0.79676759999999902</v>
      </c>
      <c r="AB7602">
        <v>18</v>
      </c>
      <c r="AC7602">
        <v>0.77460000000002005</v>
      </c>
      <c r="AD7602">
        <v>-7.6974999999999794E-2</v>
      </c>
      <c r="AE7602">
        <v>-0.26072999999999502</v>
      </c>
      <c r="AF7602">
        <v>-0.55798193885382896</v>
      </c>
      <c r="AG7602">
        <v>-7.6974999999999794E-2</v>
      </c>
      <c r="AH7602">
        <v>0.58732186638593298</v>
      </c>
      <c r="AI7602">
        <v>95.427780534188102</v>
      </c>
      <c r="AJ7602">
        <v>133.53254095632801</v>
      </c>
      <c r="AK7602">
        <v>0.81376653251846998</v>
      </c>
      <c r="AL7602">
        <v>83.775819906017503</v>
      </c>
      <c r="AM7602">
        <v>110.01214857958701</v>
      </c>
      <c r="AN7602">
        <v>1.00000000086565</v>
      </c>
    </row>
    <row r="7603" spans="1:40" x14ac:dyDescent="0.25">
      <c r="A7603" t="str">
        <f>"20190303162105341"</f>
        <v>20190303162105341</v>
      </c>
      <c r="B7603" t="str">
        <f>"1551601265330002"</f>
        <v>1551601265330002</v>
      </c>
      <c r="C7603" t="s">
        <v>40</v>
      </c>
      <c r="D7603">
        <v>4.7668809999999997</v>
      </c>
      <c r="E7603">
        <v>0.40588780000000002</v>
      </c>
      <c r="F7603" t="s">
        <v>42</v>
      </c>
      <c r="G7603">
        <v>-418.14940000000001</v>
      </c>
      <c r="H7603">
        <v>1.0494410000000001</v>
      </c>
      <c r="I7603">
        <v>32.044870000000003</v>
      </c>
      <c r="J7603">
        <v>-418.91059999999999</v>
      </c>
      <c r="K7603">
        <v>1.1250869999999999</v>
      </c>
      <c r="L7603">
        <v>32.286589999999997</v>
      </c>
      <c r="M7603">
        <v>0.47400439999999999</v>
      </c>
      <c r="N7603">
        <v>-1.384615E-2</v>
      </c>
      <c r="O7603">
        <v>-0.88041349999999996</v>
      </c>
      <c r="P7603">
        <v>0.74175199999999997</v>
      </c>
      <c r="Q7603">
        <v>9.888516E-2</v>
      </c>
      <c r="R7603">
        <v>-0.66334409999999999</v>
      </c>
      <c r="S7603">
        <v>2.894104</v>
      </c>
      <c r="T7603">
        <v>-0.25717190000000001</v>
      </c>
      <c r="U7603">
        <v>-1.3341369999999999</v>
      </c>
      <c r="V7603">
        <v>-0.33960020000000002</v>
      </c>
      <c r="W7603">
        <v>0.1089204</v>
      </c>
      <c r="X7603">
        <v>0.93424200000000002</v>
      </c>
      <c r="Y7603">
        <v>-0.59823549999999903</v>
      </c>
      <c r="Z7603">
        <v>7.3571230000000001E-2</v>
      </c>
      <c r="AA7603">
        <v>0.79793570000000003</v>
      </c>
      <c r="AB7603">
        <v>18</v>
      </c>
      <c r="AC7603">
        <v>0.76119999999997301</v>
      </c>
      <c r="AD7603">
        <v>-7.5646000000000102E-2</v>
      </c>
      <c r="AE7603">
        <v>-0.24171999999999999</v>
      </c>
      <c r="AF7603">
        <v>-0.55070722302156006</v>
      </c>
      <c r="AG7603">
        <v>-7.5646000000000102E-2</v>
      </c>
      <c r="AH7603">
        <v>0.56857990180220996</v>
      </c>
      <c r="AI7603">
        <v>95.458958752295004</v>
      </c>
      <c r="AJ7603">
        <v>134.08518375700501</v>
      </c>
      <c r="AK7603">
        <v>0.795162793104361</v>
      </c>
      <c r="AL7603">
        <v>83.746915089728901</v>
      </c>
      <c r="AM7603">
        <v>109.976380767458</v>
      </c>
      <c r="AN7603">
        <v>1.0000000319700899</v>
      </c>
    </row>
    <row r="7604" spans="1:40" x14ac:dyDescent="0.25">
      <c r="A7604" t="str">
        <f>"20190303162105364"</f>
        <v>20190303162105364</v>
      </c>
      <c r="B7604" t="str">
        <f>"1551601265360258"</f>
        <v>1551601265360258</v>
      </c>
      <c r="C7604" t="s">
        <v>40</v>
      </c>
      <c r="D7604">
        <v>4.7094230000000001</v>
      </c>
      <c r="E7604">
        <v>0.41194979999999998</v>
      </c>
      <c r="F7604" t="s">
        <v>42</v>
      </c>
      <c r="G7604">
        <v>-418.12630000000001</v>
      </c>
      <c r="H7604">
        <v>1.0594600000000001</v>
      </c>
      <c r="I7604">
        <v>31.867339999999999</v>
      </c>
      <c r="J7604">
        <v>-418.82150000000001</v>
      </c>
      <c r="K7604">
        <v>1.125075</v>
      </c>
      <c r="L7604">
        <v>32.139620000000001</v>
      </c>
      <c r="M7604">
        <v>0.48049170000000002</v>
      </c>
      <c r="N7604">
        <v>-1.384145E-2</v>
      </c>
      <c r="O7604">
        <v>-0.87689019999999995</v>
      </c>
      <c r="P7604">
        <v>0.74596980000000002</v>
      </c>
      <c r="Q7604">
        <v>9.9333249999999998E-2</v>
      </c>
      <c r="R7604">
        <v>-0.65853039999999996</v>
      </c>
      <c r="S7604">
        <v>2.7574459999999998</v>
      </c>
      <c r="T7604">
        <v>-0.2306811</v>
      </c>
      <c r="U7604">
        <v>-1.4734799999999999</v>
      </c>
      <c r="V7604">
        <v>-0.33869470000000002</v>
      </c>
      <c r="W7604">
        <v>0.1093891</v>
      </c>
      <c r="X7604">
        <v>0.93451589999999995</v>
      </c>
      <c r="Y7604">
        <v>-0.54472619999999905</v>
      </c>
      <c r="Z7604">
        <v>6.4906980000000003E-2</v>
      </c>
      <c r="AA7604">
        <v>0.83609829999999996</v>
      </c>
      <c r="AB7604">
        <v>18</v>
      </c>
      <c r="AC7604">
        <v>0.69519999999999904</v>
      </c>
      <c r="AD7604">
        <v>-6.5614999999999896E-2</v>
      </c>
      <c r="AE7604">
        <v>-0.27227999999999802</v>
      </c>
      <c r="AF7604">
        <v>-0.47516172573418403</v>
      </c>
      <c r="AG7604">
        <v>-6.5614999999999896E-2</v>
      </c>
      <c r="AH7604">
        <v>0.56846183181757304</v>
      </c>
      <c r="AI7604">
        <v>95.061004107519096</v>
      </c>
      <c r="AJ7604">
        <v>129.89132979589499</v>
      </c>
      <c r="AK7604">
        <v>0.74379624095653896</v>
      </c>
      <c r="AL7604">
        <v>83.719899063845602</v>
      </c>
      <c r="AM7604">
        <v>109.9219328569</v>
      </c>
      <c r="AN7604">
        <v>1.0000000211798501</v>
      </c>
    </row>
    <row r="7605" spans="1:40" x14ac:dyDescent="0.25">
      <c r="A7605" t="str">
        <f>"20190303162105386"</f>
        <v>20190303162105386</v>
      </c>
      <c r="B7605" t="str">
        <f>"1551601265379778"</f>
        <v>1551601265379778</v>
      </c>
      <c r="C7605" t="s">
        <v>40</v>
      </c>
      <c r="D7605">
        <v>4.7204220000000001</v>
      </c>
      <c r="E7605">
        <v>0.4135935</v>
      </c>
      <c r="F7605" t="s">
        <v>42</v>
      </c>
      <c r="G7605">
        <v>-418.06009999999998</v>
      </c>
      <c r="H7605">
        <v>1.0689059999999999</v>
      </c>
      <c r="I7605">
        <v>31.724350000000001</v>
      </c>
      <c r="J7605">
        <v>-418.7294</v>
      </c>
      <c r="K7605">
        <v>1.1250560000000001</v>
      </c>
      <c r="L7605">
        <v>31.990169999999999</v>
      </c>
      <c r="M7605">
        <v>0.48708099999999999</v>
      </c>
      <c r="N7605">
        <v>-1.383639E-2</v>
      </c>
      <c r="O7605">
        <v>-0.87324740000000001</v>
      </c>
      <c r="P7605">
        <v>0.75031409999999998</v>
      </c>
      <c r="Q7605">
        <v>9.9442320000000001E-2</v>
      </c>
      <c r="R7605">
        <v>-0.65355969999999997</v>
      </c>
      <c r="S7605">
        <v>2.732758</v>
      </c>
      <c r="T7605">
        <v>-0.20159179999999999</v>
      </c>
      <c r="U7605">
        <v>-1.490356</v>
      </c>
      <c r="V7605">
        <v>-0.3378488</v>
      </c>
      <c r="W7605">
        <v>0.10951900000000001</v>
      </c>
      <c r="X7605">
        <v>0.93480680000000005</v>
      </c>
      <c r="Y7605">
        <v>-0.53179929999999997</v>
      </c>
      <c r="Z7605">
        <v>5.5410859999999999E-2</v>
      </c>
      <c r="AA7605">
        <v>0.84505580000000002</v>
      </c>
      <c r="AB7605">
        <v>18</v>
      </c>
      <c r="AC7605">
        <v>0.66930000000002099</v>
      </c>
      <c r="AD7605">
        <v>-5.6150000000000103E-2</v>
      </c>
      <c r="AE7605">
        <v>-0.265820000000001</v>
      </c>
      <c r="AF7605">
        <v>-0.452282562997117</v>
      </c>
      <c r="AG7605">
        <v>-5.6150000000000103E-2</v>
      </c>
      <c r="AH7605">
        <v>0.55481045246693705</v>
      </c>
      <c r="AI7605">
        <v>94.485288283586797</v>
      </c>
      <c r="AJ7605">
        <v>129.18698613078001</v>
      </c>
      <c r="AK7605">
        <v>0.71800207343559197</v>
      </c>
      <c r="AL7605">
        <v>83.712411146650098</v>
      </c>
      <c r="AM7605">
        <v>109.870377350319</v>
      </c>
      <c r="AN7605">
        <v>0.99999998817433999</v>
      </c>
    </row>
    <row r="7606" spans="1:40" x14ac:dyDescent="0.25">
      <c r="A7606" t="str">
        <f>"20190303162105408"</f>
        <v>20190303162105408</v>
      </c>
      <c r="B7606" t="str">
        <f>"1551601265400273"</f>
        <v>1551601265400273</v>
      </c>
      <c r="C7606" t="s">
        <v>40</v>
      </c>
      <c r="D7606">
        <v>4.7131910000000001</v>
      </c>
      <c r="E7606">
        <v>0.41476649999999998</v>
      </c>
      <c r="F7606" t="s">
        <v>42</v>
      </c>
      <c r="G7606">
        <v>-417.84789999999998</v>
      </c>
      <c r="H7606">
        <v>1.0616019999999999</v>
      </c>
      <c r="I7606">
        <v>31.512530000000002</v>
      </c>
      <c r="J7606">
        <v>-418.6404</v>
      </c>
      <c r="K7606">
        <v>1.1250329999999999</v>
      </c>
      <c r="L7606">
        <v>31.848240000000001</v>
      </c>
      <c r="M7606">
        <v>0.49332959999999898</v>
      </c>
      <c r="N7606">
        <v>-1.3831380000000001E-2</v>
      </c>
      <c r="O7606">
        <v>-0.86973259999999897</v>
      </c>
      <c r="P7606">
        <v>0.75467969999999995</v>
      </c>
      <c r="Q7606">
        <v>9.8882520000000002E-2</v>
      </c>
      <c r="R7606">
        <v>-0.64859899999999904</v>
      </c>
      <c r="S7606">
        <v>2.7339169999999999</v>
      </c>
      <c r="T7606">
        <v>-0.19680890000000001</v>
      </c>
      <c r="U7606">
        <v>-1.4815370000000001</v>
      </c>
      <c r="V7606">
        <v>-0.33736260000000001</v>
      </c>
      <c r="W7606">
        <v>0.1089777</v>
      </c>
      <c r="X7606">
        <v>0.93504569999999998</v>
      </c>
      <c r="Y7606">
        <v>-0.52806909999999996</v>
      </c>
      <c r="Z7606">
        <v>5.3803980000000001E-2</v>
      </c>
      <c r="AA7606">
        <v>0.84749529999999995</v>
      </c>
      <c r="AB7606">
        <v>18</v>
      </c>
      <c r="AC7606">
        <v>0.79250000000001797</v>
      </c>
      <c r="AD7606">
        <v>-6.3431000000000001E-2</v>
      </c>
      <c r="AE7606">
        <v>-0.335710000000005</v>
      </c>
      <c r="AF7606">
        <v>-0.52086830608096701</v>
      </c>
      <c r="AG7606">
        <v>-6.3431000000000001E-2</v>
      </c>
      <c r="AH7606">
        <v>0.67931713402713301</v>
      </c>
      <c r="AI7606">
        <v>94.2378513488256</v>
      </c>
      <c r="AJ7606">
        <v>127.479287145155</v>
      </c>
      <c r="AK7606">
        <v>0.85836999750893805</v>
      </c>
      <c r="AL7606">
        <v>83.743612570586507</v>
      </c>
      <c r="AM7606">
        <v>109.83934135830501</v>
      </c>
      <c r="AN7606">
        <v>1.00000006203226</v>
      </c>
    </row>
    <row r="7607" spans="1:40" x14ac:dyDescent="0.25">
      <c r="A7607" t="str">
        <f>"20190303162105430"</f>
        <v>20190303162105430</v>
      </c>
      <c r="B7607" t="str">
        <f>"1551601265419794"</f>
        <v>1551601265419794</v>
      </c>
      <c r="C7607" t="s">
        <v>40</v>
      </c>
      <c r="D7607">
        <v>4.7561910000000003</v>
      </c>
      <c r="E7607">
        <v>0.41548459999999998</v>
      </c>
      <c r="F7607" t="s">
        <v>42</v>
      </c>
      <c r="G7607">
        <v>-417.7706</v>
      </c>
      <c r="H7607">
        <v>1.061339</v>
      </c>
      <c r="I7607">
        <v>31.380970000000001</v>
      </c>
      <c r="J7607">
        <v>-418.54860000000002</v>
      </c>
      <c r="K7607">
        <v>1.1250100000000001</v>
      </c>
      <c r="L7607">
        <v>31.704280000000001</v>
      </c>
      <c r="M7607">
        <v>0.49965989999999999</v>
      </c>
      <c r="N7607">
        <v>-1.382626E-2</v>
      </c>
      <c r="O7607">
        <v>-0.86611149999999903</v>
      </c>
      <c r="P7607">
        <v>0.75921260000000002</v>
      </c>
      <c r="Q7607">
        <v>9.8184450000000006E-2</v>
      </c>
      <c r="R7607">
        <v>-0.64339419999999903</v>
      </c>
      <c r="S7607">
        <v>2.7377009999999999</v>
      </c>
      <c r="T7607">
        <v>-0.2004677</v>
      </c>
      <c r="U7607">
        <v>-1.4704280000000001</v>
      </c>
      <c r="V7607">
        <v>-0.33703919999999998</v>
      </c>
      <c r="W7607">
        <v>0.10829560000000001</v>
      </c>
      <c r="X7607">
        <v>0.93524149999999995</v>
      </c>
      <c r="Y7607">
        <v>-0.5249682</v>
      </c>
      <c r="Z7607">
        <v>5.4914060000000001E-2</v>
      </c>
      <c r="AA7607">
        <v>0.84934849999999995</v>
      </c>
      <c r="AB7607">
        <v>18</v>
      </c>
      <c r="AC7607">
        <v>0.77800000000002001</v>
      </c>
      <c r="AD7607">
        <v>-6.3671000000000005E-2</v>
      </c>
      <c r="AE7607">
        <v>-0.32330999999999499</v>
      </c>
      <c r="AF7607">
        <v>-0.50942906759177198</v>
      </c>
      <c r="AG7607">
        <v>-6.3671000000000005E-2</v>
      </c>
      <c r="AH7607">
        <v>0.66502355217001996</v>
      </c>
      <c r="AI7607">
        <v>94.346416941547602</v>
      </c>
      <c r="AJ7607">
        <v>127.453256470441</v>
      </c>
      <c r="AK7607">
        <v>0.84013587953928803</v>
      </c>
      <c r="AL7607">
        <v>83.782926383295106</v>
      </c>
      <c r="AM7607">
        <v>109.817978641492</v>
      </c>
      <c r="AN7607">
        <v>1.0000000113191201</v>
      </c>
    </row>
    <row r="7608" spans="1:40" x14ac:dyDescent="0.25">
      <c r="A7608" t="str">
        <f>"20190303162105452"</f>
        <v>20190303162105452</v>
      </c>
      <c r="B7608" t="str">
        <f>"1551601265450050"</f>
        <v>1551601265450050</v>
      </c>
      <c r="C7608" t="s">
        <v>40</v>
      </c>
      <c r="D7608">
        <v>4.7779530000000001</v>
      </c>
      <c r="E7608">
        <v>0.41689730000000003</v>
      </c>
      <c r="F7608" t="s">
        <v>42</v>
      </c>
      <c r="G7608">
        <v>-417.69260000000003</v>
      </c>
      <c r="H7608">
        <v>1.0611440000000001</v>
      </c>
      <c r="I7608">
        <v>31.250039999999998</v>
      </c>
      <c r="J7608">
        <v>-418.4538</v>
      </c>
      <c r="K7608">
        <v>1.1249929999999999</v>
      </c>
      <c r="L7608">
        <v>31.5578</v>
      </c>
      <c r="M7608">
        <v>0.5060905</v>
      </c>
      <c r="N7608">
        <v>-1.382099E-2</v>
      </c>
      <c r="O7608">
        <v>-0.86236970000000002</v>
      </c>
      <c r="P7608">
        <v>0.76348509999999903</v>
      </c>
      <c r="Q7608">
        <v>9.8467360000000004E-2</v>
      </c>
      <c r="R7608">
        <v>-0.63827460000000003</v>
      </c>
      <c r="S7608">
        <v>2.7440799999999999</v>
      </c>
      <c r="T7608">
        <v>-0.2047234</v>
      </c>
      <c r="U7608">
        <v>-1.4559629999999999</v>
      </c>
      <c r="V7608">
        <v>-0.33633400000000002</v>
      </c>
      <c r="W7608">
        <v>0.1085985</v>
      </c>
      <c r="X7608">
        <v>0.93546019999999996</v>
      </c>
      <c r="Y7608">
        <v>-0.52287150000000004</v>
      </c>
      <c r="Z7608">
        <v>5.6214930000000003E-2</v>
      </c>
      <c r="AA7608">
        <v>0.85055590000000003</v>
      </c>
      <c r="AB7608">
        <v>18</v>
      </c>
      <c r="AC7608">
        <v>0.76119999999997301</v>
      </c>
      <c r="AD7608">
        <v>-6.3849000000000003E-2</v>
      </c>
      <c r="AE7608">
        <v>-0.30775999999999798</v>
      </c>
      <c r="AF7608">
        <v>-0.49771937449734799</v>
      </c>
      <c r="AG7608">
        <v>-6.3849000000000003E-2</v>
      </c>
      <c r="AH7608">
        <v>0.64678981023649895</v>
      </c>
      <c r="AI7608">
        <v>94.4733802592161</v>
      </c>
      <c r="AJ7608">
        <v>127.579095248475</v>
      </c>
      <c r="AK7608">
        <v>0.81861977081963899</v>
      </c>
      <c r="AL7608">
        <v>83.765468394472506</v>
      </c>
      <c r="AM7608">
        <v>109.775466950188</v>
      </c>
      <c r="AN7608">
        <v>0.99999998977114402</v>
      </c>
    </row>
    <row r="7609" spans="1:40" x14ac:dyDescent="0.25">
      <c r="A7609" t="str">
        <f>"20190303162105476"</f>
        <v>20190303162105476</v>
      </c>
      <c r="B7609" t="str">
        <f>"1551601265470547"</f>
        <v>1551601265470547</v>
      </c>
      <c r="C7609" t="s">
        <v>40</v>
      </c>
      <c r="D7609">
        <v>4.7544589999999998</v>
      </c>
      <c r="E7609">
        <v>0.41770119999999999</v>
      </c>
      <c r="F7609" t="s">
        <v>42</v>
      </c>
      <c r="G7609">
        <v>-417.61680000000001</v>
      </c>
      <c r="H7609">
        <v>1.0619809999999901</v>
      </c>
      <c r="I7609">
        <v>31.116949999999999</v>
      </c>
      <c r="J7609">
        <v>-418.35570000000001</v>
      </c>
      <c r="K7609">
        <v>1.1249800000000001</v>
      </c>
      <c r="L7609">
        <v>31.40869</v>
      </c>
      <c r="M7609">
        <v>0.51262589999999997</v>
      </c>
      <c r="N7609">
        <v>-1.3815579999999999E-2</v>
      </c>
      <c r="O7609">
        <v>-0.85850099999999996</v>
      </c>
      <c r="P7609">
        <v>0.76767589999999997</v>
      </c>
      <c r="Q7609">
        <v>9.8965200000000003E-2</v>
      </c>
      <c r="R7609">
        <v>-0.63315069999999996</v>
      </c>
      <c r="S7609">
        <v>2.7465820000000001</v>
      </c>
      <c r="T7609">
        <v>-0.20677380000000001</v>
      </c>
      <c r="U7609">
        <v>-1.4466859999999999</v>
      </c>
      <c r="V7609">
        <v>-0.33543190000000001</v>
      </c>
      <c r="W7609">
        <v>0.10911800000000001</v>
      </c>
      <c r="X7609">
        <v>0.93572370000000005</v>
      </c>
      <c r="Y7609">
        <v>-0.51892879999999997</v>
      </c>
      <c r="Z7609">
        <v>5.6767039999999998E-2</v>
      </c>
      <c r="AA7609">
        <v>0.85293050000000004</v>
      </c>
      <c r="AB7609">
        <v>17</v>
      </c>
      <c r="AC7609">
        <v>0.738900000000001</v>
      </c>
      <c r="AD7609">
        <v>-6.2998999999999999E-2</v>
      </c>
      <c r="AE7609">
        <v>-0.291740000000004</v>
      </c>
      <c r="AF7609">
        <v>-0.48180906504165</v>
      </c>
      <c r="AG7609">
        <v>-6.2998999999999999E-2</v>
      </c>
      <c r="AH7609">
        <v>0.62536547056301495</v>
      </c>
      <c r="AI7609">
        <v>94.562633081261694</v>
      </c>
      <c r="AJ7609">
        <v>127.612237617837</v>
      </c>
      <c r="AK7609">
        <v>0.79195379974453695</v>
      </c>
      <c r="AL7609">
        <v>83.735525798214198</v>
      </c>
      <c r="AM7609">
        <v>109.721397748771</v>
      </c>
      <c r="AN7609">
        <v>1.00000007010164</v>
      </c>
    </row>
    <row r="7610" spans="1:40" x14ac:dyDescent="0.25">
      <c r="A7610" t="str">
        <f>"20190303162105498"</f>
        <v>20190303162105498</v>
      </c>
      <c r="B7610" t="str">
        <f>"1551601265490066"</f>
        <v>1551601265490066</v>
      </c>
      <c r="C7610" t="s">
        <v>40</v>
      </c>
      <c r="D7610">
        <v>4.7552519999999996</v>
      </c>
      <c r="E7610">
        <v>0.41839349999999997</v>
      </c>
      <c r="F7610" t="s">
        <v>42</v>
      </c>
      <c r="G7610">
        <v>-417.54050000000001</v>
      </c>
      <c r="H7610">
        <v>1.0632999999999999</v>
      </c>
      <c r="I7610">
        <v>30.984110000000001</v>
      </c>
      <c r="J7610">
        <v>-418.26229999999998</v>
      </c>
      <c r="K7610">
        <v>1.1249659999999999</v>
      </c>
      <c r="L7610">
        <v>31.268889999999999</v>
      </c>
      <c r="M7610">
        <v>0.51874579999999904</v>
      </c>
      <c r="N7610">
        <v>-1.381056E-2</v>
      </c>
      <c r="O7610">
        <v>-0.85481689999999999</v>
      </c>
      <c r="P7610">
        <v>0.77185230000000005</v>
      </c>
      <c r="Q7610">
        <v>9.9467280000000005E-2</v>
      </c>
      <c r="R7610">
        <v>-0.62797309999999995</v>
      </c>
      <c r="S7610">
        <v>2.7522280000000001</v>
      </c>
      <c r="T7610">
        <v>-0.2082676</v>
      </c>
      <c r="U7610">
        <v>-1.433746</v>
      </c>
      <c r="V7610">
        <v>-0.33498480000000003</v>
      </c>
      <c r="W7610">
        <v>0.1096337</v>
      </c>
      <c r="X7610">
        <v>0.93582350000000003</v>
      </c>
      <c r="Y7610">
        <v>-0.5166693</v>
      </c>
      <c r="Z7610">
        <v>5.7155369999999997E-2</v>
      </c>
      <c r="AA7610">
        <v>0.85427520000000001</v>
      </c>
      <c r="AB7610">
        <v>17</v>
      </c>
      <c r="AC7610">
        <v>0.72179999999997302</v>
      </c>
      <c r="AD7610">
        <v>-6.1665999999999999E-2</v>
      </c>
      <c r="AE7610">
        <v>-0.28478000000000397</v>
      </c>
      <c r="AF7610">
        <v>-0.46637766355758398</v>
      </c>
      <c r="AG7610">
        <v>-6.1665999999999999E-2</v>
      </c>
      <c r="AH7610">
        <v>0.61404626954055497</v>
      </c>
      <c r="AI7610">
        <v>94.572428151992</v>
      </c>
      <c r="AJ7610">
        <v>127.21723389278201</v>
      </c>
      <c r="AK7610">
        <v>0.77353968337642698</v>
      </c>
      <c r="AL7610">
        <v>83.705799543315905</v>
      </c>
      <c r="AM7610">
        <v>109.69519587254899</v>
      </c>
      <c r="AN7610">
        <v>0.99999999377949</v>
      </c>
    </row>
    <row r="7611" spans="1:40" x14ac:dyDescent="0.25">
      <c r="A7611" t="str">
        <f>"20190303162105520"</f>
        <v>20190303162105520</v>
      </c>
      <c r="B7611" t="str">
        <f>"1551601265510562"</f>
        <v>1551601265510562</v>
      </c>
      <c r="C7611" t="s">
        <v>40</v>
      </c>
      <c r="D7611">
        <v>4.9418280000000001</v>
      </c>
      <c r="E7611">
        <v>0.41878759999999998</v>
      </c>
      <c r="F7611" t="s">
        <v>42</v>
      </c>
      <c r="G7611">
        <v>-417.45960000000002</v>
      </c>
      <c r="H7611">
        <v>1.064276</v>
      </c>
      <c r="I7611">
        <v>30.855560000000001</v>
      </c>
      <c r="J7611">
        <v>-418.16950000000003</v>
      </c>
      <c r="K7611">
        <v>1.1249530000000001</v>
      </c>
      <c r="L7611">
        <v>31.132020000000001</v>
      </c>
      <c r="M7611">
        <v>0.52473210000000003</v>
      </c>
      <c r="N7611">
        <v>-1.380583E-2</v>
      </c>
      <c r="O7611">
        <v>-0.85115549999999995</v>
      </c>
      <c r="P7611">
        <v>0.77573919999999996</v>
      </c>
      <c r="Q7611">
        <v>9.9507529999999997E-2</v>
      </c>
      <c r="R7611">
        <v>-0.62315900000000002</v>
      </c>
      <c r="S7611">
        <v>2.7584529999999998</v>
      </c>
      <c r="T7611">
        <v>-0.20853099999999999</v>
      </c>
      <c r="U7611">
        <v>-1.419861</v>
      </c>
      <c r="V7611">
        <v>-0.33423019999999998</v>
      </c>
      <c r="W7611">
        <v>0.1096906</v>
      </c>
      <c r="X7611">
        <v>0.93608659999999999</v>
      </c>
      <c r="Y7611">
        <v>-0.51484470000000004</v>
      </c>
      <c r="Z7611">
        <v>5.7152969999999997E-2</v>
      </c>
      <c r="AA7611">
        <v>0.85537619999999903</v>
      </c>
      <c r="AB7611">
        <v>17</v>
      </c>
      <c r="AC7611">
        <v>0.70990000000000397</v>
      </c>
      <c r="AD7611">
        <v>-6.0677000000000002E-2</v>
      </c>
      <c r="AE7611">
        <v>-0.27646000000000298</v>
      </c>
      <c r="AF7611">
        <v>-0.45631695238483699</v>
      </c>
      <c r="AG7611">
        <v>-6.0677000000000002E-2</v>
      </c>
      <c r="AH7611">
        <v>0.604043922774532</v>
      </c>
      <c r="AI7611">
        <v>94.582540287432906</v>
      </c>
      <c r="AJ7611">
        <v>127.06873821035801</v>
      </c>
      <c r="AK7611">
        <v>0.75945764859117104</v>
      </c>
      <c r="AL7611">
        <v>83.702519598712598</v>
      </c>
      <c r="AM7611">
        <v>109.649131472311</v>
      </c>
      <c r="AN7611">
        <v>0.99999998850997895</v>
      </c>
    </row>
    <row r="7612" spans="1:40" x14ac:dyDescent="0.25">
      <c r="A7612" t="str">
        <f>"20190303162105542"</f>
        <v>20190303162105542</v>
      </c>
      <c r="B7612" t="str">
        <f>"1551601265530082"</f>
        <v>1551601265530082</v>
      </c>
      <c r="C7612" t="s">
        <v>40</v>
      </c>
      <c r="D7612">
        <v>5.045534</v>
      </c>
      <c r="E7612">
        <v>0.45403789999999999</v>
      </c>
      <c r="F7612" t="s">
        <v>42</v>
      </c>
      <c r="G7612">
        <v>-417.3766</v>
      </c>
      <c r="H7612">
        <v>1.0648470000000001</v>
      </c>
      <c r="I7612">
        <v>30.72888</v>
      </c>
      <c r="J7612">
        <v>-418.07139999999998</v>
      </c>
      <c r="K7612">
        <v>1.124933</v>
      </c>
      <c r="L7612">
        <v>30.989529999999998</v>
      </c>
      <c r="M7612">
        <v>0.53096199999999905</v>
      </c>
      <c r="N7612">
        <v>-1.380117E-2</v>
      </c>
      <c r="O7612">
        <v>-0.84728320000000001</v>
      </c>
      <c r="P7612">
        <v>0.78011529999999996</v>
      </c>
      <c r="Q7612">
        <v>9.9415480000000001E-2</v>
      </c>
      <c r="R7612">
        <v>-0.61768669999999903</v>
      </c>
      <c r="S7612">
        <v>2.765228</v>
      </c>
      <c r="T7612">
        <v>-0.2095842</v>
      </c>
      <c r="U7612">
        <v>-1.4053340000000001</v>
      </c>
      <c r="V7612">
        <v>-0.33395390000000003</v>
      </c>
      <c r="W7612">
        <v>0.1096081</v>
      </c>
      <c r="X7612">
        <v>0.93619490000000005</v>
      </c>
      <c r="Y7612">
        <v>-0.51295900000000005</v>
      </c>
      <c r="Z7612">
        <v>5.7387609999999999E-2</v>
      </c>
      <c r="AA7612">
        <v>0.8564927</v>
      </c>
      <c r="AB7612">
        <v>17</v>
      </c>
      <c r="AC7612">
        <v>0.69479999999998598</v>
      </c>
      <c r="AD7612">
        <v>-6.0086000000000001E-2</v>
      </c>
      <c r="AE7612">
        <v>-0.26064999999999799</v>
      </c>
      <c r="AF7612">
        <v>-0.44740680034320301</v>
      </c>
      <c r="AG7612">
        <v>-6.0086000000000001E-2</v>
      </c>
      <c r="AH7612">
        <v>0.58597129249179403</v>
      </c>
      <c r="AI7612">
        <v>94.659327872144502</v>
      </c>
      <c r="AJ7612">
        <v>127.362828395747</v>
      </c>
      <c r="AK7612">
        <v>0.73969286059407502</v>
      </c>
      <c r="AL7612">
        <v>83.7072753541742</v>
      </c>
      <c r="AM7612">
        <v>109.632032931794</v>
      </c>
      <c r="AN7612">
        <v>1.00000001684841</v>
      </c>
    </row>
    <row r="7613" spans="1:40" x14ac:dyDescent="0.25">
      <c r="A7613" t="str">
        <f>"20190303162105565"</f>
        <v>20190303162105565</v>
      </c>
      <c r="B7613" t="str">
        <f>"1551601265560338"</f>
        <v>1551601265560338</v>
      </c>
      <c r="C7613" t="s">
        <v>40</v>
      </c>
      <c r="D7613">
        <v>4.9917559999999996</v>
      </c>
      <c r="E7613">
        <v>0.46553519999999998</v>
      </c>
      <c r="F7613" t="s">
        <v>41</v>
      </c>
      <c r="G7613">
        <v>-399.83479999999997</v>
      </c>
      <c r="H7613" s="1">
        <v>-9.0806220000000003E-8</v>
      </c>
      <c r="I7613">
        <v>19.737439999999999</v>
      </c>
      <c r="J7613">
        <v>-417.9726</v>
      </c>
      <c r="K7613">
        <v>1.124932</v>
      </c>
      <c r="L7613">
        <v>30.848269999999999</v>
      </c>
      <c r="M7613">
        <v>0.537138</v>
      </c>
      <c r="N7613">
        <v>-1.3796839999999999E-2</v>
      </c>
      <c r="O7613">
        <v>-0.84338159999999895</v>
      </c>
      <c r="P7613">
        <v>0.78416969999999997</v>
      </c>
      <c r="Q7613">
        <v>0.1002074</v>
      </c>
      <c r="R7613">
        <v>-0.61240220000000001</v>
      </c>
      <c r="S7613">
        <v>2.597137</v>
      </c>
      <c r="T7613">
        <v>-0.1602055</v>
      </c>
      <c r="U7613">
        <v>-1.6024480000000001</v>
      </c>
      <c r="V7613">
        <v>-0.3333566</v>
      </c>
      <c r="W7613">
        <v>0.1104115</v>
      </c>
      <c r="X7613">
        <v>0.93631330000000002</v>
      </c>
      <c r="Y7613">
        <v>-0.43478430000000001</v>
      </c>
      <c r="Z7613">
        <v>4.0743710000000002E-2</v>
      </c>
      <c r="AA7613">
        <v>0.89961239999999998</v>
      </c>
      <c r="AB7613">
        <v>17</v>
      </c>
      <c r="AC7613">
        <v>18.137799999999999</v>
      </c>
      <c r="AD7613">
        <v>-1.1249320908062199</v>
      </c>
      <c r="AE7613">
        <v>-11.11083</v>
      </c>
      <c r="AF7613">
        <v>-9.3039017928368501</v>
      </c>
      <c r="AG7613">
        <v>-1.1249320908062199</v>
      </c>
      <c r="AH7613">
        <v>19.0616730236361</v>
      </c>
      <c r="AI7613">
        <v>93.035843945295994</v>
      </c>
      <c r="AJ7613">
        <v>116.016758568434</v>
      </c>
      <c r="AK7613">
        <v>21.240890735552799</v>
      </c>
      <c r="AL7613">
        <v>83.660962461980304</v>
      </c>
      <c r="AM7613">
        <v>109.597308011564</v>
      </c>
      <c r="AN7613">
        <v>0.99999995892634896</v>
      </c>
    </row>
    <row r="7614" spans="1:40" x14ac:dyDescent="0.25">
      <c r="A7614" t="str">
        <f>"20190303162105587"</f>
        <v>20190303162105587</v>
      </c>
      <c r="B7614" t="str">
        <f>"1551601265579858"</f>
        <v>1551601265579858</v>
      </c>
      <c r="C7614" t="s">
        <v>40</v>
      </c>
      <c r="D7614">
        <v>4.9295339999999896</v>
      </c>
      <c r="E7614">
        <v>0.46829179999999998</v>
      </c>
      <c r="F7614" t="s">
        <v>41</v>
      </c>
      <c r="G7614">
        <v>-397.20519999999999</v>
      </c>
      <c r="H7614" s="1">
        <v>-1.7020500000000001E-6</v>
      </c>
      <c r="I7614">
        <v>17.358699999999999</v>
      </c>
      <c r="J7614">
        <v>-417.87509999999997</v>
      </c>
      <c r="K7614">
        <v>1.1249279999999999</v>
      </c>
      <c r="L7614">
        <v>30.711210000000001</v>
      </c>
      <c r="M7614">
        <v>0.54313650000000002</v>
      </c>
      <c r="N7614">
        <v>-1.37929E-2</v>
      </c>
      <c r="O7614">
        <v>-0.83953140000000004</v>
      </c>
      <c r="P7614">
        <v>0.78791549999999999</v>
      </c>
      <c r="Q7614">
        <v>0.1009153</v>
      </c>
      <c r="R7614">
        <v>-0.60745839999999995</v>
      </c>
      <c r="S7614">
        <v>2.5498660000000002</v>
      </c>
      <c r="T7614">
        <v>-0.1381221</v>
      </c>
      <c r="U7614">
        <v>-1.6562809999999999</v>
      </c>
      <c r="V7614">
        <v>-0.33249689999999998</v>
      </c>
      <c r="W7614">
        <v>0.1111327</v>
      </c>
      <c r="X7614">
        <v>0.93653370000000002</v>
      </c>
      <c r="Y7614">
        <v>-0.40755160000000001</v>
      </c>
      <c r="Z7614">
        <v>3.3383339999999997E-2</v>
      </c>
      <c r="AA7614">
        <v>0.91257180000000004</v>
      </c>
      <c r="AB7614">
        <v>17</v>
      </c>
      <c r="AC7614">
        <v>20.669899999999899</v>
      </c>
      <c r="AD7614">
        <v>-1.12492970205</v>
      </c>
      <c r="AE7614">
        <v>-13.352510000000001</v>
      </c>
      <c r="AF7614">
        <v>-10.0806861194552</v>
      </c>
      <c r="AG7614">
        <v>-1.12492970205</v>
      </c>
      <c r="AH7614">
        <v>22.391762655126801</v>
      </c>
      <c r="AI7614">
        <v>92.622900271907795</v>
      </c>
      <c r="AJ7614">
        <v>114.237092294052</v>
      </c>
      <c r="AK7614">
        <v>24.582040889174799</v>
      </c>
      <c r="AL7614">
        <v>83.619385248631502</v>
      </c>
      <c r="AM7614">
        <v>109.54635297732599</v>
      </c>
      <c r="AN7614">
        <v>1.0000000183772899</v>
      </c>
    </row>
    <row r="7615" spans="1:40" x14ac:dyDescent="0.25">
      <c r="A7615" t="str">
        <f>"20190303162105609"</f>
        <v>20190303162105609</v>
      </c>
      <c r="B7615" t="str">
        <f>"1551601265600354"</f>
        <v>1551601265600354</v>
      </c>
      <c r="C7615" t="s">
        <v>40</v>
      </c>
      <c r="D7615">
        <v>4.9832539999999996</v>
      </c>
      <c r="E7615">
        <v>0.47040149999999997</v>
      </c>
      <c r="F7615" t="s">
        <v>41</v>
      </c>
      <c r="G7615">
        <v>-396.48419999999999</v>
      </c>
      <c r="H7615" s="1">
        <v>-2.1441540000000002E-6</v>
      </c>
      <c r="I7615">
        <v>16.78764</v>
      </c>
      <c r="J7615">
        <v>-417.7774</v>
      </c>
      <c r="K7615">
        <v>1.124924</v>
      </c>
      <c r="L7615">
        <v>30.575869999999998</v>
      </c>
      <c r="M7615">
        <v>0.54906269999999902</v>
      </c>
      <c r="N7615">
        <v>-1.3789259999999999E-2</v>
      </c>
      <c r="O7615">
        <v>-0.83566739999999995</v>
      </c>
      <c r="P7615">
        <v>0.79132380000000002</v>
      </c>
      <c r="Q7615">
        <v>0.10087500000000001</v>
      </c>
      <c r="R7615">
        <v>-0.60301819999999995</v>
      </c>
      <c r="S7615">
        <v>2.5466609999999998</v>
      </c>
      <c r="T7615">
        <v>-0.13392709999999999</v>
      </c>
      <c r="U7615">
        <v>-1.657654</v>
      </c>
      <c r="V7615">
        <v>-0.33113609999999999</v>
      </c>
      <c r="W7615">
        <v>0.1111133</v>
      </c>
      <c r="X7615">
        <v>0.93701800000000002</v>
      </c>
      <c r="Y7615">
        <v>-0.40025810000000001</v>
      </c>
      <c r="Z7615">
        <v>3.1921239999999997E-2</v>
      </c>
      <c r="AA7615">
        <v>0.9158463</v>
      </c>
      <c r="AB7615">
        <v>17</v>
      </c>
      <c r="AC7615">
        <v>21.293199999999999</v>
      </c>
      <c r="AD7615">
        <v>-1.1249261441539999</v>
      </c>
      <c r="AE7615">
        <v>-13.78823</v>
      </c>
      <c r="AF7615">
        <v>-10.2043358176794</v>
      </c>
      <c r="AG7615">
        <v>-1.1249261441539999</v>
      </c>
      <c r="AH7615">
        <v>23.170319626510999</v>
      </c>
      <c r="AI7615">
        <v>92.544103195286894</v>
      </c>
      <c r="AJ7615">
        <v>113.768955802745</v>
      </c>
      <c r="AK7615">
        <v>25.342802526643599</v>
      </c>
      <c r="AL7615">
        <v>83.620503642435196</v>
      </c>
      <c r="AM7615">
        <v>109.463078663351</v>
      </c>
      <c r="AN7615">
        <v>1.0000000072420401</v>
      </c>
    </row>
    <row r="7616" spans="1:40" x14ac:dyDescent="0.25">
      <c r="A7616" t="str">
        <f>"20190303162105632"</f>
        <v>20190303162105632</v>
      </c>
      <c r="B7616" t="str">
        <f>"1551601265619874"</f>
        <v>1551601265619874</v>
      </c>
      <c r="C7616" t="s">
        <v>40</v>
      </c>
      <c r="D7616">
        <v>5.1019690000000004</v>
      </c>
      <c r="E7616">
        <v>0.471663</v>
      </c>
      <c r="F7616" t="s">
        <v>41</v>
      </c>
      <c r="G7616">
        <v>-395.95460000000003</v>
      </c>
      <c r="H7616" s="1">
        <v>-2.4678549999999999E-6</v>
      </c>
      <c r="I7616">
        <v>16.37416</v>
      </c>
      <c r="J7616">
        <v>-417.67599999999999</v>
      </c>
      <c r="K7616">
        <v>1.1249150000000001</v>
      </c>
      <c r="L7616">
        <v>30.43732</v>
      </c>
      <c r="M7616">
        <v>0.55513570000000001</v>
      </c>
      <c r="N7616">
        <v>-1.3785759999999999E-2</v>
      </c>
      <c r="O7616">
        <v>-0.83164559999999998</v>
      </c>
      <c r="P7616">
        <v>0.79500349999999997</v>
      </c>
      <c r="Q7616">
        <v>0.100353</v>
      </c>
      <c r="R7616">
        <v>-0.59824690000000003</v>
      </c>
      <c r="S7616">
        <v>2.545471</v>
      </c>
      <c r="T7616">
        <v>-0.13121440000000001</v>
      </c>
      <c r="U7616">
        <v>-1.656525</v>
      </c>
      <c r="V7616">
        <v>-0.32999410000000001</v>
      </c>
      <c r="W7616">
        <v>0.1106105</v>
      </c>
      <c r="X7616">
        <v>0.93748019999999999</v>
      </c>
      <c r="Y7616">
        <v>-0.39369490000000001</v>
      </c>
      <c r="Z7616">
        <v>3.0934779999999999E-2</v>
      </c>
      <c r="AA7616">
        <v>0.91872050000000005</v>
      </c>
      <c r="AB7616">
        <v>17</v>
      </c>
      <c r="AC7616">
        <v>21.7213999999999</v>
      </c>
      <c r="AD7616">
        <v>-1.12491746785499</v>
      </c>
      <c r="AE7616">
        <v>-14.06316</v>
      </c>
      <c r="AF7616">
        <v>-10.2391682497883</v>
      </c>
      <c r="AG7616">
        <v>-1.12491746785499</v>
      </c>
      <c r="AH7616">
        <v>23.711334812270898</v>
      </c>
      <c r="AI7616">
        <v>92.493927675966802</v>
      </c>
      <c r="AJ7616">
        <v>113.355937077196</v>
      </c>
      <c r="AK7616">
        <v>25.8521450625779</v>
      </c>
      <c r="AL7616">
        <v>83.649490321594101</v>
      </c>
      <c r="AM7616">
        <v>109.39212667455099</v>
      </c>
      <c r="AN7616">
        <v>0.99999995706854905</v>
      </c>
    </row>
    <row r="7617" spans="1:40" x14ac:dyDescent="0.25">
      <c r="A7617" t="str">
        <f>"20190303162105655"</f>
        <v>20190303162105655</v>
      </c>
      <c r="B7617" t="str">
        <f>"1551601265640370"</f>
        <v>1551601265640370</v>
      </c>
      <c r="C7617" t="s">
        <v>40</v>
      </c>
      <c r="D7617">
        <v>5.0399620000000001</v>
      </c>
      <c r="E7617">
        <v>0.47259210000000001</v>
      </c>
      <c r="F7617" t="s">
        <v>41</v>
      </c>
      <c r="G7617">
        <v>-395.90600000000001</v>
      </c>
      <c r="H7617" s="1">
        <v>-2.4942460000000002E-6</v>
      </c>
      <c r="I7617">
        <v>16.35482</v>
      </c>
      <c r="J7617">
        <v>-417.57369999999997</v>
      </c>
      <c r="K7617">
        <v>1.1249</v>
      </c>
      <c r="L7617">
        <v>30.299800000000001</v>
      </c>
      <c r="M7617">
        <v>0.56116860000000002</v>
      </c>
      <c r="N7617">
        <v>-1.3782340000000001E-2</v>
      </c>
      <c r="O7617">
        <v>-0.82758679999999996</v>
      </c>
      <c r="P7617">
        <v>0.79883999999999999</v>
      </c>
      <c r="Q7617">
        <v>9.9553020000000006E-2</v>
      </c>
      <c r="R7617">
        <v>-0.59324860000000001</v>
      </c>
      <c r="S7617">
        <v>2.5492859999999999</v>
      </c>
      <c r="T7617">
        <v>-0.13172919999999999</v>
      </c>
      <c r="U7617">
        <v>-1.6490779999999901</v>
      </c>
      <c r="V7617">
        <v>-0.3291287</v>
      </c>
      <c r="W7617">
        <v>0.1098257</v>
      </c>
      <c r="X7617">
        <v>0.93787659999999995</v>
      </c>
      <c r="Y7617">
        <v>-0.38952340000000002</v>
      </c>
      <c r="Z7617">
        <v>3.0983750000000001E-2</v>
      </c>
      <c r="AA7617">
        <v>0.92049530000000002</v>
      </c>
      <c r="AB7617">
        <v>17</v>
      </c>
      <c r="AC7617">
        <v>21.6676999999999</v>
      </c>
      <c r="AD7617">
        <v>-1.124902494246</v>
      </c>
      <c r="AE7617">
        <v>-13.944979999999999</v>
      </c>
      <c r="AF7617">
        <v>-10.0881505937023</v>
      </c>
      <c r="AG7617">
        <v>-1.124902494246</v>
      </c>
      <c r="AH7617">
        <v>23.657077452638401</v>
      </c>
      <c r="AI7617">
        <v>92.504490948540393</v>
      </c>
      <c r="AJ7617">
        <v>113.09498344609899</v>
      </c>
      <c r="AK7617">
        <v>25.7428339858476</v>
      </c>
      <c r="AL7617">
        <v>83.694731651680698</v>
      </c>
      <c r="AM7617">
        <v>109.33748421262599</v>
      </c>
      <c r="AN7617">
        <v>0.99999995118586804</v>
      </c>
    </row>
    <row r="7618" spans="1:40" x14ac:dyDescent="0.25">
      <c r="A7618" t="str">
        <f>"20190303162105678"</f>
        <v>20190303162105678</v>
      </c>
      <c r="B7618" t="str">
        <f>"1551601265670626"</f>
        <v>1551601265670626</v>
      </c>
      <c r="C7618" t="s">
        <v>40</v>
      </c>
      <c r="D7618">
        <v>5.0328879999999998</v>
      </c>
      <c r="E7618">
        <v>0.47355170000000002</v>
      </c>
      <c r="F7618" t="s">
        <v>41</v>
      </c>
      <c r="G7618">
        <v>-396.1216</v>
      </c>
      <c r="H7618" s="1">
        <v>-2.359332E-6</v>
      </c>
      <c r="I7618">
        <v>16.540870000000002</v>
      </c>
      <c r="J7618">
        <v>-417.46809999999999</v>
      </c>
      <c r="K7618">
        <v>1.1248819999999999</v>
      </c>
      <c r="L7618">
        <v>30.1601</v>
      </c>
      <c r="M7618">
        <v>0.56730509999999901</v>
      </c>
      <c r="N7618">
        <v>-1.377894E-2</v>
      </c>
      <c r="O7618">
        <v>-0.82339259999999903</v>
      </c>
      <c r="P7618">
        <v>0.80264829999999998</v>
      </c>
      <c r="Q7618">
        <v>9.8988119999999999E-2</v>
      </c>
      <c r="R7618">
        <v>-0.58818139999999997</v>
      </c>
      <c r="S7618">
        <v>2.5550540000000002</v>
      </c>
      <c r="T7618">
        <v>-0.13398189999999999</v>
      </c>
      <c r="U7618">
        <v>-1.638763</v>
      </c>
      <c r="V7618">
        <v>-0.32814179999999998</v>
      </c>
      <c r="W7618">
        <v>0.10927770000000001</v>
      </c>
      <c r="X7618">
        <v>0.93828639999999996</v>
      </c>
      <c r="Y7618">
        <v>-0.3862313</v>
      </c>
      <c r="Z7618">
        <v>3.1577269999999998E-2</v>
      </c>
      <c r="AA7618">
        <v>0.92186129999999999</v>
      </c>
      <c r="AB7618">
        <v>17</v>
      </c>
      <c r="AC7618">
        <v>21.346499999999899</v>
      </c>
      <c r="AD7618">
        <v>-1.1248843593319999</v>
      </c>
      <c r="AE7618">
        <v>-13.6192299999999</v>
      </c>
      <c r="AF7618">
        <v>-9.8318214406364</v>
      </c>
      <c r="AG7618">
        <v>-1.1248843593319999</v>
      </c>
      <c r="AH7618">
        <v>23.2802173043323</v>
      </c>
      <c r="AI7618">
        <v>92.548696769346293</v>
      </c>
      <c r="AJ7618">
        <v>112.895556904394</v>
      </c>
      <c r="AK7618">
        <v>25.296217017557399</v>
      </c>
      <c r="AL7618">
        <v>83.726320253527106</v>
      </c>
      <c r="AM7618">
        <v>109.275985812424</v>
      </c>
      <c r="AN7618">
        <v>1.0000000125247399</v>
      </c>
    </row>
    <row r="7619" spans="1:40" x14ac:dyDescent="0.25">
      <c r="A7619" t="str">
        <f>"20190303162105699"</f>
        <v>20190303162105699</v>
      </c>
      <c r="B7619" t="str">
        <f>"1551601265690146"</f>
        <v>1551601265690146</v>
      </c>
      <c r="C7619" t="s">
        <v>40</v>
      </c>
      <c r="D7619">
        <v>5.0383829999999996</v>
      </c>
      <c r="E7619">
        <v>0.47414190000000001</v>
      </c>
      <c r="F7619" t="s">
        <v>41</v>
      </c>
      <c r="G7619">
        <v>-396.26990000000001</v>
      </c>
      <c r="H7619" s="1">
        <v>-2.2651039999999998E-6</v>
      </c>
      <c r="I7619">
        <v>16.676870000000001</v>
      </c>
      <c r="J7619">
        <v>-417.36880000000002</v>
      </c>
      <c r="K7619">
        <v>1.1248670000000001</v>
      </c>
      <c r="L7619">
        <v>30.0304</v>
      </c>
      <c r="M7619">
        <v>0.57300680000000004</v>
      </c>
      <c r="N7619">
        <v>-1.3775799999999901E-2</v>
      </c>
      <c r="O7619">
        <v>-0.81943480000000002</v>
      </c>
      <c r="P7619">
        <v>0.80637939999999997</v>
      </c>
      <c r="Q7619">
        <v>9.6464449999999993E-2</v>
      </c>
      <c r="R7619">
        <v>-0.58347839999999995</v>
      </c>
      <c r="S7619">
        <v>2.5607600000000001</v>
      </c>
      <c r="T7619">
        <v>-0.1358869</v>
      </c>
      <c r="U7619">
        <v>-1.628784</v>
      </c>
      <c r="V7619">
        <v>-0.32734099999999999</v>
      </c>
      <c r="W7619">
        <v>0.1067719</v>
      </c>
      <c r="X7619">
        <v>0.93885450000000004</v>
      </c>
      <c r="Y7619">
        <v>-0.38329770000000002</v>
      </c>
      <c r="Z7619">
        <v>3.2063559999999998E-2</v>
      </c>
      <c r="AA7619">
        <v>0.92306820000000001</v>
      </c>
      <c r="AB7619">
        <v>17</v>
      </c>
      <c r="AC7619">
        <v>21.0989</v>
      </c>
      <c r="AD7619">
        <v>-1.124869265104</v>
      </c>
      <c r="AE7619">
        <v>-13.353529999999999</v>
      </c>
      <c r="AF7619">
        <v>-9.6189029966917694</v>
      </c>
      <c r="AG7619">
        <v>-1.124869265104</v>
      </c>
      <c r="AH7619">
        <v>22.987693906099899</v>
      </c>
      <c r="AI7619">
        <v>92.584634059066303</v>
      </c>
      <c r="AJ7619">
        <v>112.70624120015999</v>
      </c>
      <c r="AK7619">
        <v>24.944392092089199</v>
      </c>
      <c r="AL7619">
        <v>83.870737511210194</v>
      </c>
      <c r="AM7619">
        <v>109.22161948521899</v>
      </c>
      <c r="AN7619">
        <v>1.0000000705404199</v>
      </c>
    </row>
    <row r="7620" spans="1:40" x14ac:dyDescent="0.25">
      <c r="A7620" t="str">
        <f>"20190303162105722"</f>
        <v>20190303162105722</v>
      </c>
      <c r="B7620" t="str">
        <f>"1551601265710643"</f>
        <v>1551601265710643</v>
      </c>
      <c r="C7620" t="s">
        <v>40</v>
      </c>
      <c r="D7620">
        <v>5.027768</v>
      </c>
      <c r="E7620">
        <v>0.47481020000000002</v>
      </c>
      <c r="F7620" t="s">
        <v>41</v>
      </c>
      <c r="G7620">
        <v>-397.02510000000001</v>
      </c>
      <c r="H7620" s="1">
        <v>-1.8118660000000001E-6</v>
      </c>
      <c r="I7620">
        <v>17.219629999999999</v>
      </c>
      <c r="J7620">
        <v>-417.26490000000001</v>
      </c>
      <c r="K7620">
        <v>1.1248479999999901</v>
      </c>
      <c r="L7620">
        <v>29.896820000000002</v>
      </c>
      <c r="M7620">
        <v>0.57888309999999998</v>
      </c>
      <c r="N7620">
        <v>-1.377253E-2</v>
      </c>
      <c r="O7620">
        <v>-0.81529430000000003</v>
      </c>
      <c r="P7620">
        <v>0.80997600000000003</v>
      </c>
      <c r="Q7620">
        <v>9.4021510000000003E-2</v>
      </c>
      <c r="R7620">
        <v>-0.57887719999999998</v>
      </c>
      <c r="S7620">
        <v>2.5674440000000001</v>
      </c>
      <c r="T7620">
        <v>-0.14196210000000001</v>
      </c>
      <c r="U7620">
        <v>-1.61676</v>
      </c>
      <c r="V7620">
        <v>-0.32614720000000003</v>
      </c>
      <c r="W7620">
        <v>0.10435270000000001</v>
      </c>
      <c r="X7620">
        <v>0.93954159999999998</v>
      </c>
      <c r="Y7620">
        <v>-0.38077169999999999</v>
      </c>
      <c r="Z7620">
        <v>3.3826929999999998E-2</v>
      </c>
      <c r="AA7620">
        <v>0.92405020000000004</v>
      </c>
      <c r="AB7620">
        <v>17</v>
      </c>
      <c r="AC7620">
        <v>20.239799999999999</v>
      </c>
      <c r="AD7620">
        <v>-1.12484981186599</v>
      </c>
      <c r="AE7620">
        <v>-12.67719</v>
      </c>
      <c r="AF7620">
        <v>-9.1433674719996603</v>
      </c>
      <c r="AG7620">
        <v>-1.12484981186599</v>
      </c>
      <c r="AH7620">
        <v>22.005392595982698</v>
      </c>
      <c r="AI7620">
        <v>92.702604554363901</v>
      </c>
      <c r="AJ7620">
        <v>112.56316626618199</v>
      </c>
      <c r="AK7620">
        <v>23.855895689129099</v>
      </c>
      <c r="AL7620">
        <v>84.010125570530207</v>
      </c>
      <c r="AM7620">
        <v>109.143646355426</v>
      </c>
      <c r="AN7620">
        <v>0.99999995009784304</v>
      </c>
    </row>
    <row r="7621" spans="1:40" x14ac:dyDescent="0.25">
      <c r="A7621" t="str">
        <f>"20190303162105743"</f>
        <v>20190303162105743</v>
      </c>
      <c r="B7621" t="str">
        <f>"1551601265730162"</f>
        <v>1551601265730162</v>
      </c>
      <c r="C7621" t="s">
        <v>40</v>
      </c>
      <c r="D7621">
        <v>5.0814349999999999</v>
      </c>
      <c r="E7621">
        <v>0.48932609999999899</v>
      </c>
      <c r="F7621" t="s">
        <v>41</v>
      </c>
      <c r="G7621">
        <v>-397.71769999999998</v>
      </c>
      <c r="H7621" s="1">
        <v>-1.3983729999999999E-6</v>
      </c>
      <c r="I7621">
        <v>17.704929999999901</v>
      </c>
      <c r="J7621">
        <v>-417.16219999999998</v>
      </c>
      <c r="K7621">
        <v>1.12483</v>
      </c>
      <c r="L7621">
        <v>29.766660000000002</v>
      </c>
      <c r="M7621">
        <v>0.58461430000000003</v>
      </c>
      <c r="N7621">
        <v>-1.376933E-2</v>
      </c>
      <c r="O7621">
        <v>-0.81119459999999999</v>
      </c>
      <c r="P7621">
        <v>0.81376949999999904</v>
      </c>
      <c r="Q7621">
        <v>9.3142039999999995E-2</v>
      </c>
      <c r="R7621">
        <v>-0.57367579999999996</v>
      </c>
      <c r="S7621">
        <v>2.5737000000000001</v>
      </c>
      <c r="T7621">
        <v>-0.14810429999999999</v>
      </c>
      <c r="U7621">
        <v>-1.6052550000000001</v>
      </c>
      <c r="V7621">
        <v>-0.3256172</v>
      </c>
      <c r="W7621">
        <v>0.1034858</v>
      </c>
      <c r="X7621">
        <v>0.93982129999999997</v>
      </c>
      <c r="Y7621">
        <v>-0.37816909999999998</v>
      </c>
      <c r="Z7621">
        <v>3.5593569999999998E-2</v>
      </c>
      <c r="AA7621">
        <v>0.92505199999999999</v>
      </c>
      <c r="AB7621">
        <v>17</v>
      </c>
      <c r="AC7621">
        <v>19.444500000000001</v>
      </c>
      <c r="AD7621">
        <v>-1.1248313983730001</v>
      </c>
      <c r="AE7621">
        <v>-12.061730000000001</v>
      </c>
      <c r="AF7621">
        <v>-8.7016118792431207</v>
      </c>
      <c r="AG7621">
        <v>-1.1248313983730001</v>
      </c>
      <c r="AH7621">
        <v>21.102950346850498</v>
      </c>
      <c r="AI7621">
        <v>92.821097780132902</v>
      </c>
      <c r="AJ7621">
        <v>112.40836226752999</v>
      </c>
      <c r="AK7621">
        <v>22.854273305300801</v>
      </c>
      <c r="AL7621">
        <v>84.060065816254905</v>
      </c>
      <c r="AM7621">
        <v>109.109520257943</v>
      </c>
      <c r="AN7621">
        <v>0.99999997383558403</v>
      </c>
    </row>
    <row r="7622" spans="1:40" x14ac:dyDescent="0.25">
      <c r="A7622" t="str">
        <f>"20190303162105767"</f>
        <v>20190303162105767</v>
      </c>
      <c r="B7622" t="str">
        <f>"1551601265760418"</f>
        <v>1551601265760418</v>
      </c>
      <c r="C7622" t="s">
        <v>40</v>
      </c>
      <c r="D7622">
        <v>4.8152999999999997</v>
      </c>
      <c r="E7622">
        <v>0.49165310000000001</v>
      </c>
      <c r="F7622" t="s">
        <v>41</v>
      </c>
      <c r="G7622">
        <v>-393.82490000000001</v>
      </c>
      <c r="H7622" s="1">
        <v>-3.8653359999999901E-6</v>
      </c>
      <c r="I7622">
        <v>14.171340000000001</v>
      </c>
      <c r="J7622">
        <v>-417.05549999999999</v>
      </c>
      <c r="K7622">
        <v>1.124816</v>
      </c>
      <c r="L7622">
        <v>29.63336</v>
      </c>
      <c r="M7622">
        <v>0.59048940000000005</v>
      </c>
      <c r="N7622">
        <v>-1.3765940000000001E-2</v>
      </c>
      <c r="O7622">
        <v>-0.80692810000000004</v>
      </c>
      <c r="P7622">
        <v>0.81720179999999998</v>
      </c>
      <c r="Q7622">
        <v>9.3385380000000004E-2</v>
      </c>
      <c r="R7622">
        <v>-0.56873569999999996</v>
      </c>
      <c r="S7622">
        <v>2.5154109999999998</v>
      </c>
      <c r="T7622">
        <v>-0.12124</v>
      </c>
      <c r="U7622">
        <v>-1.680939</v>
      </c>
      <c r="V7622">
        <v>-0.32446079999999999</v>
      </c>
      <c r="W7622">
        <v>0.10374800000000001</v>
      </c>
      <c r="X7622">
        <v>0.94019229999999998</v>
      </c>
      <c r="Y7622">
        <v>-0.34239740000000002</v>
      </c>
      <c r="Z7622">
        <v>2.6825519999999999E-2</v>
      </c>
      <c r="AA7622">
        <v>0.93917220000000001</v>
      </c>
      <c r="AB7622">
        <v>17</v>
      </c>
      <c r="AC7622">
        <v>23.2305999999999</v>
      </c>
      <c r="AD7622">
        <v>-1.124819865336</v>
      </c>
      <c r="AE7622">
        <v>-15.4620199999999</v>
      </c>
      <c r="AF7622">
        <v>-9.6005770975448907</v>
      </c>
      <c r="AG7622">
        <v>-1.124819865336</v>
      </c>
      <c r="AH7622">
        <v>26.154148280837301</v>
      </c>
      <c r="AI7622">
        <v>92.311958527005601</v>
      </c>
      <c r="AJ7622">
        <v>110.157007060254</v>
      </c>
      <c r="AK7622">
        <v>27.883252547566599</v>
      </c>
      <c r="AL7622">
        <v>84.044961774286094</v>
      </c>
      <c r="AM7622">
        <v>109.039578160467</v>
      </c>
      <c r="AN7622">
        <v>1.0000000096099599</v>
      </c>
    </row>
    <row r="7623" spans="1:40" x14ac:dyDescent="0.25">
      <c r="A7623" t="str">
        <f>"20190303162105777"</f>
        <v>20190303162105777</v>
      </c>
      <c r="B7623" t="str">
        <f>"1551601265770179"</f>
        <v>1551601265770179</v>
      </c>
      <c r="C7623" t="s">
        <v>40</v>
      </c>
      <c r="D7623">
        <v>4.8224489999999998</v>
      </c>
      <c r="E7623">
        <v>0.49218849999999997</v>
      </c>
      <c r="F7623" t="s">
        <v>41</v>
      </c>
      <c r="G7623">
        <v>-393.24979999999999</v>
      </c>
      <c r="H7623" s="1">
        <v>-4.2171300000000002E-6</v>
      </c>
      <c r="I7623">
        <v>13.72073</v>
      </c>
      <c r="J7623">
        <v>-416.99849999999998</v>
      </c>
      <c r="K7623">
        <v>1.1248129999999901</v>
      </c>
      <c r="L7623">
        <v>29.56317</v>
      </c>
      <c r="M7623">
        <v>0.59358669999999902</v>
      </c>
      <c r="N7623">
        <v>-1.376429E-2</v>
      </c>
      <c r="O7623">
        <v>-0.80465220000000004</v>
      </c>
      <c r="P7623">
        <v>0.81919569999999997</v>
      </c>
      <c r="Q7623">
        <v>9.3774709999999997E-2</v>
      </c>
      <c r="R7623">
        <v>-0.56579550000000001</v>
      </c>
      <c r="S7623">
        <v>2.5147710000000001</v>
      </c>
      <c r="T7623">
        <v>-0.1188231</v>
      </c>
      <c r="U7623">
        <v>-1.6809689999999999</v>
      </c>
      <c r="V7623">
        <v>-0.3241909</v>
      </c>
      <c r="W7623">
        <v>0.1041421</v>
      </c>
      <c r="X7623">
        <v>0.94024180000000002</v>
      </c>
      <c r="Y7623">
        <v>-0.33868809999999999</v>
      </c>
      <c r="Z7623">
        <v>2.6012839999999999E-2</v>
      </c>
      <c r="AA7623">
        <v>0.94053909999999996</v>
      </c>
      <c r="AB7623">
        <v>17</v>
      </c>
      <c r="AC7623">
        <v>23.7486999999999</v>
      </c>
      <c r="AD7623">
        <v>-1.1248172171299999</v>
      </c>
      <c r="AE7623">
        <v>-15.84244</v>
      </c>
      <c r="AF7623">
        <v>-9.6914571537920509</v>
      </c>
      <c r="AG7623">
        <v>-1.1248172171299999</v>
      </c>
      <c r="AH7623">
        <v>26.805498836441</v>
      </c>
      <c r="AI7623">
        <v>92.2598444476412</v>
      </c>
      <c r="AJ7623">
        <v>109.877322751782</v>
      </c>
      <c r="AK7623">
        <v>28.525853596451402</v>
      </c>
      <c r="AL7623">
        <v>84.022258344751506</v>
      </c>
      <c r="AM7623">
        <v>109.023949828632</v>
      </c>
      <c r="AN7623">
        <v>0.99999997955122899</v>
      </c>
    </row>
    <row r="7624" spans="1:40" x14ac:dyDescent="0.25">
      <c r="A7624" t="str">
        <f>"20190303162105790"</f>
        <v>20190303162105790</v>
      </c>
      <c r="B7624" t="str">
        <f>"1551601265780915"</f>
        <v>1551601265780915</v>
      </c>
      <c r="C7624" t="s">
        <v>40</v>
      </c>
      <c r="D7624">
        <v>4.8340180000000004</v>
      </c>
      <c r="E7624">
        <v>0.49264049999999998</v>
      </c>
      <c r="F7624" t="s">
        <v>41</v>
      </c>
      <c r="G7624">
        <v>-393.02800000000002</v>
      </c>
      <c r="H7624" s="1">
        <v>-4.3400669999999999E-6</v>
      </c>
      <c r="I7624">
        <v>13.61858</v>
      </c>
      <c r="J7624">
        <v>-416.94510000000002</v>
      </c>
      <c r="K7624">
        <v>1.1248119999999999</v>
      </c>
      <c r="L7624">
        <v>29.497769999999999</v>
      </c>
      <c r="M7624">
        <v>0.59647499999999998</v>
      </c>
      <c r="N7624">
        <v>-1.37628E-2</v>
      </c>
      <c r="O7624">
        <v>-0.8025137</v>
      </c>
      <c r="P7624">
        <v>0.82081150000000003</v>
      </c>
      <c r="Q7624">
        <v>9.4170829999999997E-2</v>
      </c>
      <c r="R7624">
        <v>-0.56338330000000003</v>
      </c>
      <c r="S7624">
        <v>2.5186160000000002</v>
      </c>
      <c r="T7624">
        <v>-0.1181864</v>
      </c>
      <c r="U7624">
        <v>-1.6753229999999999</v>
      </c>
      <c r="V7624">
        <v>-0.32354260000000001</v>
      </c>
      <c r="W7624">
        <v>0.1045476</v>
      </c>
      <c r="X7624">
        <v>0.94042009999999998</v>
      </c>
      <c r="Y7624">
        <v>-0.33743659999999998</v>
      </c>
      <c r="Z7624">
        <v>2.5773170000000001E-2</v>
      </c>
      <c r="AA7624">
        <v>0.94099529999999998</v>
      </c>
      <c r="AB7624">
        <v>17</v>
      </c>
      <c r="AC7624">
        <v>23.917100000000001</v>
      </c>
      <c r="AD7624">
        <v>-1.1248163400669999</v>
      </c>
      <c r="AE7624">
        <v>-15.879189999999999</v>
      </c>
      <c r="AF7624">
        <v>-9.7082776779845599</v>
      </c>
      <c r="AG7624">
        <v>-1.1248163400669999</v>
      </c>
      <c r="AH7624">
        <v>26.9703741771946</v>
      </c>
      <c r="AI7624">
        <v>92.247178617412501</v>
      </c>
      <c r="AJ7624">
        <v>109.796888420388</v>
      </c>
      <c r="AK7624">
        <v>28.686529077767801</v>
      </c>
      <c r="AL7624">
        <v>83.998897442565195</v>
      </c>
      <c r="AM7624">
        <v>108.985291895421</v>
      </c>
      <c r="AN7624">
        <v>0.99999998958226499</v>
      </c>
    </row>
    <row r="7625" spans="1:40" x14ac:dyDescent="0.25">
      <c r="A7625" t="str">
        <f>"20190303162105801"</f>
        <v>20190303162105801</v>
      </c>
      <c r="B7625" t="str">
        <f>"1551601265790675"</f>
        <v>1551601265790675</v>
      </c>
      <c r="C7625" t="s">
        <v>40</v>
      </c>
      <c r="D7625">
        <v>4.7945169999999999</v>
      </c>
      <c r="E7625">
        <v>0.49295090000000003</v>
      </c>
      <c r="F7625" t="s">
        <v>41</v>
      </c>
      <c r="G7625">
        <v>-392.67939999999999</v>
      </c>
      <c r="H7625" s="1">
        <v>-4.5401809999999999E-6</v>
      </c>
      <c r="I7625">
        <v>13.41949</v>
      </c>
      <c r="J7625">
        <v>-416.88749999999999</v>
      </c>
      <c r="K7625">
        <v>1.124806</v>
      </c>
      <c r="L7625">
        <v>29.427610000000001</v>
      </c>
      <c r="M7625">
        <v>0.59957399999999905</v>
      </c>
      <c r="N7625">
        <v>-1.3761239999999999E-2</v>
      </c>
      <c r="O7625">
        <v>-0.8002011</v>
      </c>
      <c r="P7625">
        <v>0.82272529999999999</v>
      </c>
      <c r="Q7625">
        <v>9.4677839999999999E-2</v>
      </c>
      <c r="R7625">
        <v>-0.56049899999999997</v>
      </c>
      <c r="S7625">
        <v>2.521576</v>
      </c>
      <c r="T7625">
        <v>-0.1168854</v>
      </c>
      <c r="U7625">
        <v>-1.67077599999999</v>
      </c>
      <c r="V7625">
        <v>-0.32316230000000001</v>
      </c>
      <c r="W7625">
        <v>0.10506020000000001</v>
      </c>
      <c r="X7625">
        <v>0.94049380000000005</v>
      </c>
      <c r="Y7625">
        <v>-0.33549590000000001</v>
      </c>
      <c r="Z7625">
        <v>2.532303E-2</v>
      </c>
      <c r="AA7625">
        <v>0.94170120000000002</v>
      </c>
      <c r="AB7625">
        <v>17</v>
      </c>
      <c r="AC7625">
        <v>24.208100000000002</v>
      </c>
      <c r="AD7625">
        <v>-1.124810540181</v>
      </c>
      <c r="AE7625">
        <v>-16.008119999999899</v>
      </c>
      <c r="AF7625">
        <v>-9.7595607388357593</v>
      </c>
      <c r="AG7625">
        <v>-1.124810540181</v>
      </c>
      <c r="AH7625">
        <v>27.285862239598501</v>
      </c>
      <c r="AI7625">
        <v>92.222821391492403</v>
      </c>
      <c r="AJ7625">
        <v>109.68102747567799</v>
      </c>
      <c r="AK7625">
        <v>29.000560386390401</v>
      </c>
      <c r="AL7625">
        <v>83.969365370039796</v>
      </c>
      <c r="AM7625">
        <v>108.963191560753</v>
      </c>
      <c r="AN7625">
        <v>1.00000005280188</v>
      </c>
    </row>
    <row r="7626" spans="1:40" x14ac:dyDescent="0.25">
      <c r="A7626" t="str">
        <f>"20190303162105817"</f>
        <v>20190303162105817</v>
      </c>
      <c r="B7626" t="str">
        <f>"1551601265812146"</f>
        <v>1551601265812146</v>
      </c>
      <c r="C7626" t="s">
        <v>40</v>
      </c>
      <c r="D7626">
        <v>4.757002</v>
      </c>
      <c r="E7626">
        <v>0.49363639999999998</v>
      </c>
      <c r="F7626" t="s">
        <v>41</v>
      </c>
      <c r="G7626">
        <v>-392.2167</v>
      </c>
      <c r="H7626" s="1">
        <v>-4.8011399999999999E-6</v>
      </c>
      <c r="I7626">
        <v>13.181240000000001</v>
      </c>
      <c r="J7626">
        <v>-416.81490000000002</v>
      </c>
      <c r="K7626">
        <v>1.1248039999999999</v>
      </c>
      <c r="L7626">
        <v>29.340389999999999</v>
      </c>
      <c r="M7626">
        <v>0.60343400000000003</v>
      </c>
      <c r="N7626">
        <v>-1.375944E-2</v>
      </c>
      <c r="O7626">
        <v>-0.79729410000000001</v>
      </c>
      <c r="P7626">
        <v>0.82505709999999999</v>
      </c>
      <c r="Q7626">
        <v>9.4934569999999996E-2</v>
      </c>
      <c r="R7626">
        <v>-0.55701699999999998</v>
      </c>
      <c r="S7626">
        <v>2.5262449999999999</v>
      </c>
      <c r="T7626">
        <v>-0.11517910000000001</v>
      </c>
      <c r="U7626">
        <v>-1.663605</v>
      </c>
      <c r="V7626">
        <v>-0.3225693</v>
      </c>
      <c r="W7626">
        <v>0.1053249</v>
      </c>
      <c r="X7626">
        <v>0.9406677</v>
      </c>
      <c r="Y7626">
        <v>-0.33362269999999999</v>
      </c>
      <c r="Z7626">
        <v>2.4747709999999999E-2</v>
      </c>
      <c r="AA7626">
        <v>0.94238180000000005</v>
      </c>
      <c r="AB7626">
        <v>17</v>
      </c>
      <c r="AC7626">
        <v>24.598199999999999</v>
      </c>
      <c r="AD7626">
        <v>-1.1248088011399999</v>
      </c>
      <c r="AE7626">
        <v>-16.15915</v>
      </c>
      <c r="AF7626">
        <v>-9.8475700041490697</v>
      </c>
      <c r="AG7626">
        <v>-1.1248088011399999</v>
      </c>
      <c r="AH7626">
        <v>27.689169010987499</v>
      </c>
      <c r="AI7626">
        <v>92.191880213039198</v>
      </c>
      <c r="AJ7626">
        <v>109.577777260815</v>
      </c>
      <c r="AK7626">
        <v>29.4096907556807</v>
      </c>
      <c r="AL7626">
        <v>83.954114273522805</v>
      </c>
      <c r="AM7626">
        <v>108.927623487546</v>
      </c>
      <c r="AN7626">
        <v>1.0000000048428901</v>
      </c>
    </row>
    <row r="7627" spans="1:40" x14ac:dyDescent="0.25">
      <c r="A7627" t="str">
        <f>"20190303162105830"</f>
        <v>20190303162105830</v>
      </c>
      <c r="B7627" t="str">
        <f>"1551601265820931"</f>
        <v>1551601265820931</v>
      </c>
      <c r="C7627" t="s">
        <v>40</v>
      </c>
      <c r="D7627">
        <v>4.7730249999999996</v>
      </c>
      <c r="E7627">
        <v>0.49397160000000001</v>
      </c>
      <c r="F7627" t="s">
        <v>41</v>
      </c>
      <c r="G7627">
        <v>-390.85509999999999</v>
      </c>
      <c r="H7627" s="1">
        <v>-5.5932540000000003E-6</v>
      </c>
      <c r="I7627">
        <v>12.34442</v>
      </c>
      <c r="J7627">
        <v>-416.7509</v>
      </c>
      <c r="K7627">
        <v>1.1248039999999999</v>
      </c>
      <c r="L7627">
        <v>29.263950000000001</v>
      </c>
      <c r="M7627">
        <v>0.60681989999999997</v>
      </c>
      <c r="N7627">
        <v>-1.3757989999999999E-2</v>
      </c>
      <c r="O7627">
        <v>-0.79472039999999999</v>
      </c>
      <c r="P7627">
        <v>0.82708579999999998</v>
      </c>
      <c r="Q7627">
        <v>9.4830319999999996E-2</v>
      </c>
      <c r="R7627">
        <v>-0.55401840000000002</v>
      </c>
      <c r="S7627">
        <v>2.5303339999999999</v>
      </c>
      <c r="T7627">
        <v>-0.10963639999999999</v>
      </c>
      <c r="U7627">
        <v>-1.6566160000000001</v>
      </c>
      <c r="V7627">
        <v>-0.32199029999999901</v>
      </c>
      <c r="W7627">
        <v>0.1052281</v>
      </c>
      <c r="X7627">
        <v>0.94087679999999996</v>
      </c>
      <c r="Y7627">
        <v>-0.33217669999999999</v>
      </c>
      <c r="Z7627">
        <v>2.3051680000000001E-2</v>
      </c>
      <c r="AA7627">
        <v>0.94293550000000004</v>
      </c>
      <c r="AB7627">
        <v>17</v>
      </c>
      <c r="AC7627">
        <v>25.895800000000001</v>
      </c>
      <c r="AD7627">
        <v>-1.1248095932539901</v>
      </c>
      <c r="AE7627">
        <v>-16.919529999999899</v>
      </c>
      <c r="AF7627">
        <v>-10.300168987104099</v>
      </c>
      <c r="AG7627">
        <v>-1.1248095932539901</v>
      </c>
      <c r="AH7627">
        <v>29.1246302719913</v>
      </c>
      <c r="AI7627">
        <v>92.085253333900397</v>
      </c>
      <c r="AJ7627">
        <v>109.476566522727</v>
      </c>
      <c r="AK7627">
        <v>30.912825271465799</v>
      </c>
      <c r="AL7627">
        <v>83.959691041171197</v>
      </c>
      <c r="AM7627">
        <v>108.892159927009</v>
      </c>
      <c r="AN7627">
        <v>0.99999992955096695</v>
      </c>
    </row>
    <row r="7628" spans="1:40" x14ac:dyDescent="0.25">
      <c r="A7628" t="str">
        <f>"20190303162105845"</f>
        <v>20190303162105845</v>
      </c>
      <c r="B7628" t="str">
        <f>"1551601265840450"</f>
        <v>1551601265840450</v>
      </c>
      <c r="C7628" t="s">
        <v>40</v>
      </c>
      <c r="D7628">
        <v>4.7424200000000001</v>
      </c>
      <c r="E7628">
        <v>0.4945794</v>
      </c>
      <c r="F7628" t="s">
        <v>41</v>
      </c>
      <c r="G7628">
        <v>-390.70499999999998</v>
      </c>
      <c r="H7628" s="1">
        <v>-5.6694609999999997E-6</v>
      </c>
      <c r="I7628">
        <v>12.31485</v>
      </c>
      <c r="J7628">
        <v>-416.67970000000003</v>
      </c>
      <c r="K7628">
        <v>1.124806</v>
      </c>
      <c r="L7628">
        <v>29.179600000000001</v>
      </c>
      <c r="M7628">
        <v>0.61056100000000002</v>
      </c>
      <c r="N7628">
        <v>-1.3756549999999999E-2</v>
      </c>
      <c r="O7628">
        <v>-0.79185000000000005</v>
      </c>
      <c r="P7628">
        <v>0.82956469999999904</v>
      </c>
      <c r="Q7628">
        <v>9.4090400000000005E-2</v>
      </c>
      <c r="R7628">
        <v>-0.55042709999999995</v>
      </c>
      <c r="S7628">
        <v>2.534821</v>
      </c>
      <c r="T7628">
        <v>-0.1094677</v>
      </c>
      <c r="U7628">
        <v>-1.6495059999999999</v>
      </c>
      <c r="V7628">
        <v>-0.3216928</v>
      </c>
      <c r="W7628">
        <v>0.1044921</v>
      </c>
      <c r="X7628">
        <v>0.94106069999999997</v>
      </c>
      <c r="Y7628">
        <v>-0.33035170000000003</v>
      </c>
      <c r="Z7628">
        <v>2.2941260000000002E-2</v>
      </c>
      <c r="AA7628">
        <v>0.9435791</v>
      </c>
      <c r="AB7628">
        <v>17</v>
      </c>
      <c r="AC7628">
        <v>25.974699999999999</v>
      </c>
      <c r="AD7628">
        <v>-1.124811669461</v>
      </c>
      <c r="AE7628">
        <v>-16.864750000000001</v>
      </c>
      <c r="AF7628">
        <v>-10.2585449800349</v>
      </c>
      <c r="AG7628">
        <v>-1.124811669461</v>
      </c>
      <c r="AH7628">
        <v>29.177760077378402</v>
      </c>
      <c r="AI7628">
        <v>92.082814375690802</v>
      </c>
      <c r="AJ7628">
        <v>109.371053036406</v>
      </c>
      <c r="AK7628">
        <v>30.949065083330201</v>
      </c>
      <c r="AL7628">
        <v>84.002095227858803</v>
      </c>
      <c r="AM7628">
        <v>108.87251347471</v>
      </c>
      <c r="AN7628">
        <v>1.0000000488093601</v>
      </c>
    </row>
    <row r="7629" spans="1:40" x14ac:dyDescent="0.25">
      <c r="A7629" t="str">
        <f>"20190303162105857"</f>
        <v>20190303162105857</v>
      </c>
      <c r="B7629" t="str">
        <f>"1551601265850210"</f>
        <v>1551601265850210</v>
      </c>
      <c r="C7629" t="s">
        <v>40</v>
      </c>
      <c r="D7629">
        <v>4.7201579999999996</v>
      </c>
      <c r="E7629">
        <v>0.49474170000000001</v>
      </c>
      <c r="F7629" t="s">
        <v>41</v>
      </c>
      <c r="G7629">
        <v>-391.6284</v>
      </c>
      <c r="H7629" s="1">
        <v>-5.1163009999999999E-6</v>
      </c>
      <c r="I7629">
        <v>12.972329999999999</v>
      </c>
      <c r="J7629">
        <v>-416.61840000000001</v>
      </c>
      <c r="K7629">
        <v>1.1248089999999999</v>
      </c>
      <c r="L7629">
        <v>29.10791</v>
      </c>
      <c r="M7629">
        <v>0.6137534</v>
      </c>
      <c r="N7629">
        <v>-1.37555E-2</v>
      </c>
      <c r="O7629">
        <v>-0.78937780000000002</v>
      </c>
      <c r="P7629">
        <v>0.83162579999999997</v>
      </c>
      <c r="Q7629">
        <v>9.4049709999999995E-2</v>
      </c>
      <c r="R7629">
        <v>-0.54731459999999998</v>
      </c>
      <c r="S7629">
        <v>2.5392760000000001</v>
      </c>
      <c r="T7629">
        <v>-0.11401459999999999</v>
      </c>
      <c r="U7629">
        <v>-1.642822</v>
      </c>
      <c r="V7629">
        <v>-0.32142169999999998</v>
      </c>
      <c r="W7629">
        <v>0.1044533</v>
      </c>
      <c r="X7629">
        <v>0.94115760000000004</v>
      </c>
      <c r="Y7629">
        <v>-0.32901180000000002</v>
      </c>
      <c r="Z7629">
        <v>2.4231510000000001E-2</v>
      </c>
      <c r="AA7629">
        <v>0.94401480000000004</v>
      </c>
      <c r="AB7629">
        <v>17</v>
      </c>
      <c r="AC7629">
        <v>24.99</v>
      </c>
      <c r="AD7629">
        <v>-1.1248141163009999</v>
      </c>
      <c r="AE7629">
        <v>-16.135579999999901</v>
      </c>
      <c r="AF7629">
        <v>-9.8101877629308607</v>
      </c>
      <c r="AG7629">
        <v>-1.1248141163009999</v>
      </c>
      <c r="AH7629">
        <v>28.037336913724602</v>
      </c>
      <c r="AI7629">
        <v>92.168602278436694</v>
      </c>
      <c r="AJ7629">
        <v>109.28480261894499</v>
      </c>
      <c r="AK7629">
        <v>29.725363781691499</v>
      </c>
      <c r="AL7629">
        <v>84.004330330137705</v>
      </c>
      <c r="AM7629">
        <v>108.85592904977401</v>
      </c>
      <c r="AN7629">
        <v>1.0000000145747701</v>
      </c>
    </row>
    <row r="7630" spans="1:40" x14ac:dyDescent="0.25">
      <c r="A7630" t="str">
        <f>"20190303162105869"</f>
        <v>20190303162105869</v>
      </c>
      <c r="B7630" t="str">
        <f>"1551601265859970"</f>
        <v>1551601265859970</v>
      </c>
      <c r="C7630" t="s">
        <v>40</v>
      </c>
      <c r="D7630">
        <v>4.7195489999999998</v>
      </c>
      <c r="E7630">
        <v>0.49503619999999998</v>
      </c>
      <c r="F7630" t="s">
        <v>41</v>
      </c>
      <c r="G7630">
        <v>-391.69909999999999</v>
      </c>
      <c r="H7630" s="1">
        <v>-5.0598019999999999E-6</v>
      </c>
      <c r="I7630">
        <v>13.10242</v>
      </c>
      <c r="J7630">
        <v>-416.56200000000001</v>
      </c>
      <c r="K7630">
        <v>1.1248149999999999</v>
      </c>
      <c r="L7630">
        <v>29.042359999999999</v>
      </c>
      <c r="M7630">
        <v>0.61667309999999997</v>
      </c>
      <c r="N7630">
        <v>-1.375461E-2</v>
      </c>
      <c r="O7630">
        <v>-0.7870994</v>
      </c>
      <c r="P7630">
        <v>0.83348709999999904</v>
      </c>
      <c r="Q7630">
        <v>9.4181749999999995E-2</v>
      </c>
      <c r="R7630">
        <v>-0.54445310000000002</v>
      </c>
      <c r="S7630">
        <v>2.5446780000000002</v>
      </c>
      <c r="T7630">
        <v>-0.1148624</v>
      </c>
      <c r="U7630">
        <v>-1.6344299999999901</v>
      </c>
      <c r="V7630">
        <v>-0.32116</v>
      </c>
      <c r="W7630">
        <v>0.1045875</v>
      </c>
      <c r="X7630">
        <v>0.94123199999999996</v>
      </c>
      <c r="Y7630">
        <v>-0.32862340000000001</v>
      </c>
      <c r="Z7630">
        <v>2.4445950000000001E-2</v>
      </c>
      <c r="AA7630">
        <v>0.9441446</v>
      </c>
      <c r="AB7630">
        <v>17</v>
      </c>
      <c r="AC7630">
        <v>24.8628999999999</v>
      </c>
      <c r="AD7630">
        <v>-1.1248200598019999</v>
      </c>
      <c r="AE7630">
        <v>-15.939939999999901</v>
      </c>
      <c r="AF7630">
        <v>-9.7266523158523395</v>
      </c>
      <c r="AG7630">
        <v>-1.1248200598019999</v>
      </c>
      <c r="AH7630">
        <v>27.840847205231</v>
      </c>
      <c r="AI7630">
        <v>92.184265162969893</v>
      </c>
      <c r="AJ7630">
        <v>109.257691194411</v>
      </c>
      <c r="AK7630">
        <v>29.512467849121499</v>
      </c>
      <c r="AL7630">
        <v>83.996598707066596</v>
      </c>
      <c r="AM7630">
        <v>108.840275883329</v>
      </c>
      <c r="AN7630">
        <v>0.99999998429012404</v>
      </c>
    </row>
    <row r="7631" spans="1:40" x14ac:dyDescent="0.25">
      <c r="A7631" t="str">
        <f>"20190303162105883"</f>
        <v>20190303162105883</v>
      </c>
      <c r="B7631" t="str">
        <f>"1551601265870707"</f>
        <v>1551601265870707</v>
      </c>
      <c r="C7631" t="s">
        <v>40</v>
      </c>
      <c r="D7631">
        <v>4.7170730000000001</v>
      </c>
      <c r="E7631">
        <v>0.49535059999999898</v>
      </c>
      <c r="F7631" t="s">
        <v>41</v>
      </c>
      <c r="G7631">
        <v>-391.53039999999999</v>
      </c>
      <c r="H7631" s="1">
        <v>-5.1477459999999999E-6</v>
      </c>
      <c r="I7631">
        <v>13.05622</v>
      </c>
      <c r="J7631">
        <v>-416.49380000000002</v>
      </c>
      <c r="K7631">
        <v>1.1248199999999999</v>
      </c>
      <c r="L7631">
        <v>28.963650000000001</v>
      </c>
      <c r="M7631">
        <v>0.62018359999999995</v>
      </c>
      <c r="N7631">
        <v>-1.3753680000000001E-2</v>
      </c>
      <c r="O7631">
        <v>-0.78433629999999999</v>
      </c>
      <c r="P7631">
        <v>0.83549019999999996</v>
      </c>
      <c r="Q7631">
        <v>9.5096340000000001E-2</v>
      </c>
      <c r="R7631">
        <v>-0.54121419999999998</v>
      </c>
      <c r="S7631">
        <v>2.5489199999999999</v>
      </c>
      <c r="T7631">
        <v>-0.1145383</v>
      </c>
      <c r="U7631">
        <v>-1.6278379999999999</v>
      </c>
      <c r="V7631">
        <v>-0.32053310000000002</v>
      </c>
      <c r="W7631">
        <v>0.1055064</v>
      </c>
      <c r="X7631">
        <v>0.94134320000000005</v>
      </c>
      <c r="Y7631">
        <v>-0.32685439999999999</v>
      </c>
      <c r="Z7631">
        <v>2.428423E-2</v>
      </c>
      <c r="AA7631">
        <v>0.94476260000000001</v>
      </c>
      <c r="AB7631">
        <v>17</v>
      </c>
      <c r="AC7631">
        <v>24.9634</v>
      </c>
      <c r="AD7631">
        <v>-1.1248251477460001</v>
      </c>
      <c r="AE7631">
        <v>-15.90743</v>
      </c>
      <c r="AF7631">
        <v>-9.7010830108260109</v>
      </c>
      <c r="AG7631">
        <v>-1.1248251477460001</v>
      </c>
      <c r="AH7631">
        <v>27.920989672473599</v>
      </c>
      <c r="AI7631">
        <v>92.179308905329293</v>
      </c>
      <c r="AJ7631">
        <v>109.159664450381</v>
      </c>
      <c r="AK7631">
        <v>29.579687413600499</v>
      </c>
      <c r="AL7631">
        <v>83.943657063796394</v>
      </c>
      <c r="AM7631">
        <v>108.80402175859101</v>
      </c>
      <c r="AN7631">
        <v>1.0000000444113999</v>
      </c>
    </row>
    <row r="7632" spans="1:40" x14ac:dyDescent="0.25">
      <c r="A7632" t="str">
        <f>"20190303162105897"</f>
        <v>20190303162105897</v>
      </c>
      <c r="B7632" t="str">
        <f>"1551601265890227"</f>
        <v>1551601265890227</v>
      </c>
      <c r="C7632" t="s">
        <v>40</v>
      </c>
      <c r="D7632">
        <v>4.7163589999999997</v>
      </c>
      <c r="E7632">
        <v>0.49559579999999998</v>
      </c>
      <c r="F7632" t="s">
        <v>41</v>
      </c>
      <c r="G7632">
        <v>-390.99329999999998</v>
      </c>
      <c r="H7632" s="1">
        <v>-5.4489989999999996E-6</v>
      </c>
      <c r="I7632">
        <v>12.78914</v>
      </c>
      <c r="J7632">
        <v>-416.42880000000002</v>
      </c>
      <c r="K7632">
        <v>1.124827</v>
      </c>
      <c r="L7632">
        <v>28.889559999999999</v>
      </c>
      <c r="M7632">
        <v>0.62350569999999905</v>
      </c>
      <c r="N7632">
        <v>-1.375295E-2</v>
      </c>
      <c r="O7632">
        <v>-0.78169809999999995</v>
      </c>
      <c r="P7632">
        <v>0.83709899999999904</v>
      </c>
      <c r="Q7632">
        <v>9.5931009999999997E-2</v>
      </c>
      <c r="R7632">
        <v>-0.53857469999999996</v>
      </c>
      <c r="S7632">
        <v>2.5541079999999998</v>
      </c>
      <c r="T7632">
        <v>-0.1126616</v>
      </c>
      <c r="U7632">
        <v>-1.620026</v>
      </c>
      <c r="V7632">
        <v>-0.31944099999999997</v>
      </c>
      <c r="W7632">
        <v>0.106351399999999</v>
      </c>
      <c r="X7632">
        <v>0.94161930000000005</v>
      </c>
      <c r="Y7632">
        <v>-0.32578980000000002</v>
      </c>
      <c r="Z7632">
        <v>2.368019E-2</v>
      </c>
      <c r="AA7632">
        <v>0.94514560000000003</v>
      </c>
      <c r="AB7632">
        <v>17</v>
      </c>
      <c r="AC7632">
        <v>25.435500000000001</v>
      </c>
      <c r="AD7632">
        <v>-1.124832448999</v>
      </c>
      <c r="AE7632">
        <v>-16.1004199999999</v>
      </c>
      <c r="AF7632">
        <v>-9.8313805424281604</v>
      </c>
      <c r="AG7632">
        <v>-1.124832448999</v>
      </c>
      <c r="AH7632">
        <v>28.4078674818495</v>
      </c>
      <c r="AI7632">
        <v>92.142913577408606</v>
      </c>
      <c r="AJ7632">
        <v>109.089687930788</v>
      </c>
      <c r="AK7632">
        <v>30.082024969650501</v>
      </c>
      <c r="AL7632">
        <v>83.894968162478804</v>
      </c>
      <c r="AM7632">
        <v>108.73932271985301</v>
      </c>
      <c r="AN7632">
        <v>1.00000003944772</v>
      </c>
    </row>
    <row r="7633" spans="1:40" x14ac:dyDescent="0.25">
      <c r="A7633" t="str">
        <f>"20190303162105912"</f>
        <v>20190303162105912</v>
      </c>
      <c r="B7633" t="str">
        <f>"1551601265899986"</f>
        <v>1551601265899986</v>
      </c>
      <c r="C7633" t="s">
        <v>40</v>
      </c>
      <c r="D7633">
        <v>4.6744409999999998</v>
      </c>
      <c r="E7633">
        <v>0.50148179999999998</v>
      </c>
      <c r="F7633" t="s">
        <v>41</v>
      </c>
      <c r="G7633">
        <v>-390.42180000000002</v>
      </c>
      <c r="H7633" s="1">
        <v>-5.7724449999999998E-6</v>
      </c>
      <c r="I7633">
        <v>12.48898</v>
      </c>
      <c r="J7633">
        <v>-416.34910000000002</v>
      </c>
      <c r="K7633">
        <v>1.1248359999999999</v>
      </c>
      <c r="L7633">
        <v>28.79935</v>
      </c>
      <c r="M7633">
        <v>0.62755660000000002</v>
      </c>
      <c r="N7633">
        <v>-1.3752210000000001E-2</v>
      </c>
      <c r="O7633">
        <v>-0.77844950000000002</v>
      </c>
      <c r="P7633">
        <v>0.83905989999999997</v>
      </c>
      <c r="Q7633">
        <v>9.6839800000000004E-2</v>
      </c>
      <c r="R7633">
        <v>-0.53535069999999996</v>
      </c>
      <c r="S7633">
        <v>2.5584410000000002</v>
      </c>
      <c r="T7633">
        <v>-0.1106552</v>
      </c>
      <c r="U7633">
        <v>-1.6134029999999999</v>
      </c>
      <c r="V7633">
        <v>-0.31809799999999999</v>
      </c>
      <c r="W7633">
        <v>0.1072726</v>
      </c>
      <c r="X7633">
        <v>0.94196930000000001</v>
      </c>
      <c r="Y7633">
        <v>-0.32336949999999998</v>
      </c>
      <c r="Z7633">
        <v>2.301075E-2</v>
      </c>
      <c r="AA7633">
        <v>0.94599290000000003</v>
      </c>
      <c r="AB7633">
        <v>17</v>
      </c>
      <c r="AC7633">
        <v>25.927299999999999</v>
      </c>
      <c r="AD7633">
        <v>-1.1248417724449999</v>
      </c>
      <c r="AE7633">
        <v>-16.310369999999999</v>
      </c>
      <c r="AF7633">
        <v>-9.9349563329683601</v>
      </c>
      <c r="AG7633">
        <v>-1.1248417724449999</v>
      </c>
      <c r="AH7633">
        <v>28.931371710669801</v>
      </c>
      <c r="AI7633">
        <v>92.105928924489007</v>
      </c>
      <c r="AJ7633">
        <v>108.95233565320601</v>
      </c>
      <c r="AK7633">
        <v>30.6103396814209</v>
      </c>
      <c r="AL7633">
        <v>83.841883085622399</v>
      </c>
      <c r="AM7633">
        <v>108.659550715899</v>
      </c>
      <c r="AN7633">
        <v>0.99999995522862395</v>
      </c>
    </row>
    <row r="7634" spans="1:40" x14ac:dyDescent="0.25">
      <c r="A7634" t="str">
        <f>"20190303162105926"</f>
        <v>20190303162105926</v>
      </c>
      <c r="B7634" t="str">
        <f>"1551601265920482"</f>
        <v>1551601265920482</v>
      </c>
      <c r="C7634" t="s">
        <v>40</v>
      </c>
      <c r="D7634">
        <v>4.6977539999999998</v>
      </c>
      <c r="E7634">
        <v>0.49993900000000002</v>
      </c>
      <c r="F7634" t="s">
        <v>73</v>
      </c>
      <c r="G7634">
        <v>-387.24759999999998</v>
      </c>
      <c r="H7634" s="1">
        <v>-3.623802E-6</v>
      </c>
      <c r="I7634">
        <v>9.9709570000000003</v>
      </c>
      <c r="J7634">
        <v>-416.28410000000002</v>
      </c>
      <c r="K7634">
        <v>1.124841</v>
      </c>
      <c r="L7634">
        <v>28.72635</v>
      </c>
      <c r="M7634">
        <v>0.63084019999999996</v>
      </c>
      <c r="N7634">
        <v>-1.375174E-2</v>
      </c>
      <c r="O7634">
        <v>-0.7757908</v>
      </c>
      <c r="P7634">
        <v>0.84109750000000005</v>
      </c>
      <c r="Q7634">
        <v>9.7091800000000006E-2</v>
      </c>
      <c r="R7634">
        <v>-0.53209790000000001</v>
      </c>
      <c r="S7634">
        <v>2.5387569999999999</v>
      </c>
      <c r="T7634">
        <v>-9.8128560000000004E-2</v>
      </c>
      <c r="U7634">
        <v>-1.6425479999999999</v>
      </c>
      <c r="V7634">
        <v>-0.317745099999999</v>
      </c>
      <c r="W7634">
        <v>0.1075258</v>
      </c>
      <c r="X7634">
        <v>0.9420596</v>
      </c>
      <c r="Y7634">
        <v>-0.30842969999999997</v>
      </c>
      <c r="Z7634">
        <v>1.9107539999999999E-2</v>
      </c>
      <c r="AA7634">
        <v>0.95105519999999999</v>
      </c>
      <c r="AB7634">
        <v>17</v>
      </c>
      <c r="AC7634">
        <v>29.0365</v>
      </c>
      <c r="AD7634">
        <v>-1.124844623802</v>
      </c>
      <c r="AE7634">
        <v>-18.755393000000002</v>
      </c>
      <c r="AF7634">
        <v>-10.684292235721299</v>
      </c>
      <c r="AG7634">
        <v>-1.124844623802</v>
      </c>
      <c r="AH7634">
        <v>32.835993378871599</v>
      </c>
      <c r="AI7634">
        <v>91.865771904294405</v>
      </c>
      <c r="AJ7634">
        <v>108.024035945097</v>
      </c>
      <c r="AK7634">
        <v>34.548832645739097</v>
      </c>
      <c r="AL7634">
        <v>83.8272917844684</v>
      </c>
      <c r="AM7634">
        <v>108.638617157935</v>
      </c>
      <c r="AN7634">
        <v>1.0000000180958999</v>
      </c>
    </row>
    <row r="7635" spans="1:40" x14ac:dyDescent="0.25">
      <c r="A7635" t="str">
        <f>"20190303162105939"</f>
        <v>20190303162105939</v>
      </c>
      <c r="B7635" t="str">
        <f>"1551601265930243"</f>
        <v>1551601265930243</v>
      </c>
      <c r="C7635" t="s">
        <v>40</v>
      </c>
      <c r="D7635">
        <v>4.8554409999999999</v>
      </c>
      <c r="E7635">
        <v>0.49702970000000002</v>
      </c>
      <c r="F7635" t="s">
        <v>41</v>
      </c>
      <c r="G7635">
        <v>-394.03190000000001</v>
      </c>
      <c r="H7635" s="1">
        <v>-3.6959769999999999E-6</v>
      </c>
      <c r="I7635">
        <v>14.57456</v>
      </c>
      <c r="J7635">
        <v>-416.21730000000002</v>
      </c>
      <c r="K7635">
        <v>1.1248450000000001</v>
      </c>
      <c r="L7635">
        <v>28.652249999999999</v>
      </c>
      <c r="M7635">
        <v>0.63419179999999997</v>
      </c>
      <c r="N7635">
        <v>-1.375152E-2</v>
      </c>
      <c r="O7635">
        <v>-0.77305360000000001</v>
      </c>
      <c r="P7635">
        <v>0.84312980000000004</v>
      </c>
      <c r="Q7635">
        <v>9.6763740000000001E-2</v>
      </c>
      <c r="R7635">
        <v>-0.52893230000000002</v>
      </c>
      <c r="S7635">
        <v>2.5540470000000002</v>
      </c>
      <c r="T7635">
        <v>-0.12910630000000001</v>
      </c>
      <c r="U7635">
        <v>-1.624298</v>
      </c>
      <c r="V7635">
        <v>-0.31723649999999998</v>
      </c>
      <c r="W7635">
        <v>0.107201</v>
      </c>
      <c r="X7635">
        <v>0.94226799999999999</v>
      </c>
      <c r="Y7635">
        <v>-0.31149359999999998</v>
      </c>
      <c r="Z7635">
        <v>2.8038589999999999E-2</v>
      </c>
      <c r="AA7635">
        <v>0.94983450000000003</v>
      </c>
      <c r="AB7635">
        <v>17</v>
      </c>
      <c r="AC7635">
        <v>22.185400000000001</v>
      </c>
      <c r="AD7635">
        <v>-1.1248486959770001</v>
      </c>
      <c r="AE7635">
        <v>-14.07769</v>
      </c>
      <c r="AF7635">
        <v>-8.2082807140727105</v>
      </c>
      <c r="AG7635">
        <v>-1.1248486959770001</v>
      </c>
      <c r="AH7635">
        <v>24.909312060808301</v>
      </c>
      <c r="AI7635">
        <v>92.455861585132993</v>
      </c>
      <c r="AJ7635">
        <v>108.238425971673</v>
      </c>
      <c r="AK7635">
        <v>26.250999680252001</v>
      </c>
      <c r="AL7635">
        <v>83.846009642340505</v>
      </c>
      <c r="AM7635">
        <v>108.60700655442299</v>
      </c>
      <c r="AN7635">
        <v>1.0000000175786199</v>
      </c>
    </row>
    <row r="7636" spans="1:40" x14ac:dyDescent="0.25">
      <c r="A7636" t="str">
        <f>"20190303162105950"</f>
        <v>20190303162105950</v>
      </c>
      <c r="B7636" t="str">
        <f>"1551601265940003"</f>
        <v>1551601265940003</v>
      </c>
      <c r="C7636" t="s">
        <v>40</v>
      </c>
      <c r="D7636">
        <v>4.7952009999999996</v>
      </c>
      <c r="E7636">
        <v>0.49471290000000001</v>
      </c>
      <c r="F7636" t="s">
        <v>41</v>
      </c>
      <c r="G7636">
        <v>-394.01409999999998</v>
      </c>
      <c r="H7636" s="1">
        <v>-3.6499150000000002E-6</v>
      </c>
      <c r="I7636">
        <v>14.881629999999999</v>
      </c>
      <c r="J7636">
        <v>-416.16050000000001</v>
      </c>
      <c r="K7636">
        <v>1.1248499999999999</v>
      </c>
      <c r="L7636">
        <v>28.58972</v>
      </c>
      <c r="M7636">
        <v>0.63702639999999999</v>
      </c>
      <c r="N7636">
        <v>-1.3751370000000001E-2</v>
      </c>
      <c r="O7636">
        <v>-0.7707195</v>
      </c>
      <c r="P7636">
        <v>0.84480440000000001</v>
      </c>
      <c r="Q7636">
        <v>9.6332490000000007E-2</v>
      </c>
      <c r="R7636">
        <v>-0.52633260000000004</v>
      </c>
      <c r="S7636">
        <v>2.5722659999999999</v>
      </c>
      <c r="T7636">
        <v>-0.1303145</v>
      </c>
      <c r="U7636">
        <v>-1.595337</v>
      </c>
      <c r="V7636">
        <v>-0.31671280000000002</v>
      </c>
      <c r="W7636">
        <v>0.1067748</v>
      </c>
      <c r="X7636">
        <v>0.94249249999999996</v>
      </c>
      <c r="Y7636">
        <v>-0.31871569999999999</v>
      </c>
      <c r="Z7636">
        <v>2.848552E-2</v>
      </c>
      <c r="AA7636">
        <v>0.94742219999999999</v>
      </c>
      <c r="AB7636">
        <v>17</v>
      </c>
      <c r="AC7636">
        <v>22.1464</v>
      </c>
      <c r="AD7636">
        <v>-1.1248536499149999</v>
      </c>
      <c r="AE7636">
        <v>-13.708089999999901</v>
      </c>
      <c r="AF7636">
        <v>-8.3215130622693891</v>
      </c>
      <c r="AG7636">
        <v>-1.1248536499149999</v>
      </c>
      <c r="AH7636">
        <v>24.629325117992199</v>
      </c>
      <c r="AI7636">
        <v>92.477549249197693</v>
      </c>
      <c r="AJ7636">
        <v>108.668574470069</v>
      </c>
      <c r="AK7636">
        <v>26.021462894061202</v>
      </c>
      <c r="AL7636">
        <v>83.870569866141494</v>
      </c>
      <c r="AM7636">
        <v>108.57427783779301</v>
      </c>
      <c r="AN7636">
        <v>0.99999998407756396</v>
      </c>
    </row>
    <row r="7637" spans="1:40" x14ac:dyDescent="0.25">
      <c r="A7637" t="str">
        <f>"20190303162105968"</f>
        <v>20190303162105968</v>
      </c>
      <c r="B7637" t="str">
        <f>"1551601265960498"</f>
        <v>1551601265960498</v>
      </c>
      <c r="C7637" t="s">
        <v>40</v>
      </c>
      <c r="D7637">
        <v>4.8520019999999997</v>
      </c>
      <c r="E7637">
        <v>0.49242930000000001</v>
      </c>
      <c r="F7637" t="s">
        <v>41</v>
      </c>
      <c r="G7637">
        <v>-394.37240000000003</v>
      </c>
      <c r="H7637" s="1">
        <v>-3.3967660000000001E-6</v>
      </c>
      <c r="I7637">
        <v>15.353820000000001</v>
      </c>
      <c r="J7637">
        <v>-416.07670000000002</v>
      </c>
      <c r="K7637">
        <v>1.1248530000000001</v>
      </c>
      <c r="L7637">
        <v>28.498200000000001</v>
      </c>
      <c r="M7637">
        <v>0.64118240000000004</v>
      </c>
      <c r="N7637">
        <v>-1.375121E-2</v>
      </c>
      <c r="O7637">
        <v>-0.76726539999999999</v>
      </c>
      <c r="P7637">
        <v>0.84669559999999999</v>
      </c>
      <c r="Q7637">
        <v>9.6536800000000006E-2</v>
      </c>
      <c r="R7637">
        <v>-0.52324709999999997</v>
      </c>
      <c r="S7637">
        <v>2.5871580000000001</v>
      </c>
      <c r="T7637">
        <v>-0.1335672</v>
      </c>
      <c r="U7637">
        <v>-1.571655</v>
      </c>
      <c r="V7637">
        <v>-0.31503969999999998</v>
      </c>
      <c r="W7637">
        <v>0.1069972</v>
      </c>
      <c r="X7637">
        <v>0.94302790000000003</v>
      </c>
      <c r="Y7637">
        <v>-0.32231349999999998</v>
      </c>
      <c r="Z7637">
        <v>2.9427399999999999E-2</v>
      </c>
      <c r="AA7637">
        <v>0.94617549999999995</v>
      </c>
      <c r="AB7637">
        <v>17</v>
      </c>
      <c r="AC7637">
        <v>21.7042999999999</v>
      </c>
      <c r="AD7637">
        <v>-1.1248563967659999</v>
      </c>
      <c r="AE7637">
        <v>-13.1443799999999</v>
      </c>
      <c r="AF7637">
        <v>-8.2096567326680407</v>
      </c>
      <c r="AG7637">
        <v>-1.1248563967659999</v>
      </c>
      <c r="AH7637">
        <v>23.9568306924238</v>
      </c>
      <c r="AI7637">
        <v>92.543280010398206</v>
      </c>
      <c r="AJ7637">
        <v>108.91584019473</v>
      </c>
      <c r="AK7637">
        <v>25.349428048913602</v>
      </c>
      <c r="AL7637">
        <v>83.857754066942107</v>
      </c>
      <c r="AM7637">
        <v>108.473057033448</v>
      </c>
      <c r="AN7637">
        <v>1.00000001678117</v>
      </c>
    </row>
    <row r="7638" spans="1:40" x14ac:dyDescent="0.25">
      <c r="A7638" t="str">
        <f>"20190303162105980"</f>
        <v>20190303162105980</v>
      </c>
      <c r="B7638" t="str">
        <f>"1551601265970259"</f>
        <v>1551601265970259</v>
      </c>
      <c r="C7638" t="s">
        <v>40</v>
      </c>
      <c r="D7638">
        <v>4.9126899999999996</v>
      </c>
      <c r="E7638">
        <v>0.49163230000000002</v>
      </c>
      <c r="F7638" t="s">
        <v>41</v>
      </c>
      <c r="G7638">
        <v>-395.1103</v>
      </c>
      <c r="H7638" s="1">
        <v>-2.9273809999999998E-6</v>
      </c>
      <c r="I7638">
        <v>16.033660000000001</v>
      </c>
      <c r="J7638">
        <v>-416.01580000000001</v>
      </c>
      <c r="K7638">
        <v>1.1248560000000001</v>
      </c>
      <c r="L7638">
        <v>28.432459999999999</v>
      </c>
      <c r="M7638">
        <v>0.64418009999999903</v>
      </c>
      <c r="N7638">
        <v>-1.37511E-2</v>
      </c>
      <c r="O7638">
        <v>-0.7647505</v>
      </c>
      <c r="P7638">
        <v>0.84803729999999999</v>
      </c>
      <c r="Q7638">
        <v>9.6799750000000004E-2</v>
      </c>
      <c r="R7638">
        <v>-0.52102119999999996</v>
      </c>
      <c r="S7638">
        <v>2.6028440000000002</v>
      </c>
      <c r="T7638">
        <v>-0.13964379999999901</v>
      </c>
      <c r="U7638">
        <v>-1.5473939999999999</v>
      </c>
      <c r="V7638">
        <v>-0.31380370000000002</v>
      </c>
      <c r="W7638">
        <v>0.10727399999999999</v>
      </c>
      <c r="X7638">
        <v>0.94340840000000004</v>
      </c>
      <c r="Y7638">
        <v>-0.3275634</v>
      </c>
      <c r="Z7638">
        <v>3.1223460000000001E-2</v>
      </c>
      <c r="AA7638">
        <v>0.94431310000000002</v>
      </c>
      <c r="AB7638">
        <v>17</v>
      </c>
      <c r="AC7638">
        <v>20.9055</v>
      </c>
      <c r="AD7638">
        <v>-1.1248589273809999</v>
      </c>
      <c r="AE7638">
        <v>-12.3987999999999</v>
      </c>
      <c r="AF7638">
        <v>-7.9840859255406</v>
      </c>
      <c r="AG7638">
        <v>-1.1248589273809999</v>
      </c>
      <c r="AH7638">
        <v>22.902009417023301</v>
      </c>
      <c r="AI7638">
        <v>92.655397184171406</v>
      </c>
      <c r="AJ7638">
        <v>109.21954847685799</v>
      </c>
      <c r="AK7638">
        <v>24.2798882001204</v>
      </c>
      <c r="AL7638">
        <v>83.841802319246696</v>
      </c>
      <c r="AM7638">
        <v>108.398550669893</v>
      </c>
      <c r="AN7638">
        <v>0.99999994120012303</v>
      </c>
    </row>
    <row r="7639" spans="1:40" x14ac:dyDescent="0.25">
      <c r="A7639" t="str">
        <f>"20190303162105990"</f>
        <v>20190303162105990</v>
      </c>
      <c r="B7639" t="str">
        <f>"1551601265980019"</f>
        <v>1551601265980019</v>
      </c>
      <c r="C7639" t="s">
        <v>40</v>
      </c>
      <c r="D7639">
        <v>4.6873779999999998</v>
      </c>
      <c r="E7639">
        <v>0.49111379999999999</v>
      </c>
      <c r="F7639" t="s">
        <v>41</v>
      </c>
      <c r="G7639">
        <v>-394.86630000000002</v>
      </c>
      <c r="H7639" s="1">
        <v>-3.0500570000000001E-6</v>
      </c>
      <c r="I7639">
        <v>15.99213</v>
      </c>
      <c r="J7639">
        <v>-415.9631</v>
      </c>
      <c r="K7639">
        <v>1.12486</v>
      </c>
      <c r="L7639">
        <v>28.375889999999998</v>
      </c>
      <c r="M7639">
        <v>0.64676420000000001</v>
      </c>
      <c r="N7639">
        <v>-1.375092E-2</v>
      </c>
      <c r="O7639">
        <v>-0.76256610000000002</v>
      </c>
      <c r="P7639">
        <v>0.84924999999999995</v>
      </c>
      <c r="Q7639">
        <v>9.7357979999999997E-2</v>
      </c>
      <c r="R7639">
        <v>-0.51893750000000005</v>
      </c>
      <c r="S7639">
        <v>2.6101380000000001</v>
      </c>
      <c r="T7639">
        <v>-0.13882329999999901</v>
      </c>
      <c r="U7639">
        <v>-1.535309</v>
      </c>
      <c r="V7639">
        <v>-0.3128824</v>
      </c>
      <c r="W7639">
        <v>0.1078424</v>
      </c>
      <c r="X7639">
        <v>0.94364959999999998</v>
      </c>
      <c r="Y7639">
        <v>-0.32877590000000001</v>
      </c>
      <c r="Z7639">
        <v>3.0967109999999999E-2</v>
      </c>
      <c r="AA7639">
        <v>0.94390010000000002</v>
      </c>
      <c r="AB7639">
        <v>17</v>
      </c>
      <c r="AC7639">
        <v>21.096799999999899</v>
      </c>
      <c r="AD7639">
        <v>-1.124863050057</v>
      </c>
      <c r="AE7639">
        <v>-12.383760000000001</v>
      </c>
      <c r="AF7639">
        <v>-8.0620491523750299</v>
      </c>
      <c r="AG7639">
        <v>-1.124863050057</v>
      </c>
      <c r="AH7639">
        <v>23.0415540972093</v>
      </c>
      <c r="AI7639">
        <v>92.638304382938799</v>
      </c>
      <c r="AJ7639">
        <v>109.28451944505601</v>
      </c>
      <c r="AK7639">
        <v>24.437167770249498</v>
      </c>
      <c r="AL7639">
        <v>83.809045566699297</v>
      </c>
      <c r="AM7639">
        <v>108.343781025634</v>
      </c>
      <c r="AN7639">
        <v>0.99999997352383896</v>
      </c>
    </row>
    <row r="7640" spans="1:40" x14ac:dyDescent="0.25">
      <c r="A7640" t="str">
        <f>"20190303162106001"</f>
        <v>20190303162106001</v>
      </c>
      <c r="B7640" t="str">
        <f>"1551601265990755"</f>
        <v>1551601265990755</v>
      </c>
      <c r="C7640" t="s">
        <v>40</v>
      </c>
      <c r="D7640">
        <v>4.7065449999999904</v>
      </c>
      <c r="E7640">
        <v>0.49081829999999999</v>
      </c>
      <c r="F7640" t="s">
        <v>41</v>
      </c>
      <c r="G7640">
        <v>-394.3526</v>
      </c>
      <c r="H7640" s="1">
        <v>-3.3313089999999998E-6</v>
      </c>
      <c r="I7640">
        <v>15.77572</v>
      </c>
      <c r="J7640">
        <v>-415.90660000000003</v>
      </c>
      <c r="K7640">
        <v>1.1248640000000001</v>
      </c>
      <c r="L7640">
        <v>28.315670000000001</v>
      </c>
      <c r="M7640">
        <v>0.64951689999999995</v>
      </c>
      <c r="N7640">
        <v>-1.375063E-2</v>
      </c>
      <c r="O7640">
        <v>-0.76022290000000003</v>
      </c>
      <c r="P7640">
        <v>0.85025110000000004</v>
      </c>
      <c r="Q7640">
        <v>9.7872470000000003E-2</v>
      </c>
      <c r="R7640">
        <v>-0.51719850000000001</v>
      </c>
      <c r="S7640">
        <v>2.6160890000000001</v>
      </c>
      <c r="T7640">
        <v>-0.13617179999999901</v>
      </c>
      <c r="U7640">
        <v>-1.5253300000000001</v>
      </c>
      <c r="V7640">
        <v>-0.31135859999999999</v>
      </c>
      <c r="W7640">
        <v>0.10837430000000001</v>
      </c>
      <c r="X7640">
        <v>0.94409259999999995</v>
      </c>
      <c r="Y7640">
        <v>-0.329011</v>
      </c>
      <c r="Z7640">
        <v>3.0163249999999999E-2</v>
      </c>
      <c r="AA7640">
        <v>0.94384429999999997</v>
      </c>
      <c r="AB7640">
        <v>17</v>
      </c>
      <c r="AC7640">
        <v>21.553999999999998</v>
      </c>
      <c r="AD7640">
        <v>-1.1248673313090001</v>
      </c>
      <c r="AE7640">
        <v>-12.539949999999999</v>
      </c>
      <c r="AF7640">
        <v>-8.2249768981104694</v>
      </c>
      <c r="AG7640">
        <v>-1.1248673313090001</v>
      </c>
      <c r="AH7640">
        <v>23.4872745839068</v>
      </c>
      <c r="AI7640">
        <v>92.588076272759196</v>
      </c>
      <c r="AJ7640">
        <v>109.299674741532</v>
      </c>
      <c r="AK7640">
        <v>24.911195050967201</v>
      </c>
      <c r="AL7640">
        <v>83.778390451389896</v>
      </c>
      <c r="AM7640">
        <v>108.252383682149</v>
      </c>
      <c r="AN7640">
        <v>1.0000000020346</v>
      </c>
    </row>
    <row r="7641" spans="1:40" x14ac:dyDescent="0.25">
      <c r="A7641" t="str">
        <f>"20190303162106014"</f>
        <v>20190303162106014</v>
      </c>
      <c r="B7641" t="str">
        <f>"1551601266000515"</f>
        <v>1551601266000515</v>
      </c>
      <c r="C7641" t="s">
        <v>40</v>
      </c>
      <c r="D7641">
        <v>4.9031669999999998</v>
      </c>
      <c r="E7641">
        <v>0.49059039999999998</v>
      </c>
      <c r="F7641" t="s">
        <v>41</v>
      </c>
      <c r="G7641">
        <v>-393.77319999999997</v>
      </c>
      <c r="H7641" s="1">
        <v>-3.655967E-6</v>
      </c>
      <c r="I7641">
        <v>15.489369999999999</v>
      </c>
      <c r="J7641">
        <v>-415.84350000000001</v>
      </c>
      <c r="K7641">
        <v>1.124865</v>
      </c>
      <c r="L7641">
        <v>28.24915</v>
      </c>
      <c r="M7641">
        <v>0.65256910000000001</v>
      </c>
      <c r="N7641">
        <v>-1.375023E-2</v>
      </c>
      <c r="O7641">
        <v>-0.75760469999999902</v>
      </c>
      <c r="P7641">
        <v>0.85162139999999997</v>
      </c>
      <c r="Q7641">
        <v>9.7800300000000007E-2</v>
      </c>
      <c r="R7641">
        <v>-0.51495299999999999</v>
      </c>
      <c r="S7641">
        <v>2.6200869999999998</v>
      </c>
      <c r="T7641">
        <v>-0.13315869999999999</v>
      </c>
      <c r="U7641">
        <v>-1.5183409999999999</v>
      </c>
      <c r="V7641">
        <v>-0.310056099999999</v>
      </c>
      <c r="W7641">
        <v>0.10831929999999999</v>
      </c>
      <c r="X7641">
        <v>0.94452749999999996</v>
      </c>
      <c r="Y7641">
        <v>-0.3277544</v>
      </c>
      <c r="Z7641">
        <v>2.9224969999999999E-2</v>
      </c>
      <c r="AA7641">
        <v>0.94431080000000001</v>
      </c>
      <c r="AB7641">
        <v>17</v>
      </c>
      <c r="AC7641">
        <v>22.0703</v>
      </c>
      <c r="AD7641">
        <v>-1.124868655967</v>
      </c>
      <c r="AE7641">
        <v>-12.759779999999999</v>
      </c>
      <c r="AF7641">
        <v>-8.3784047221544995</v>
      </c>
      <c r="AG7641">
        <v>-1.124868655967</v>
      </c>
      <c r="AH7641">
        <v>24.024761693905798</v>
      </c>
      <c r="AI7641">
        <v>92.531394360655696</v>
      </c>
      <c r="AJ7641">
        <v>109.225726611499</v>
      </c>
      <c r="AK7641">
        <v>25.468650722611098</v>
      </c>
      <c r="AL7641">
        <v>83.781560536471602</v>
      </c>
      <c r="AM7641">
        <v>108.173240675066</v>
      </c>
      <c r="AN7641">
        <v>1.0000000270779701</v>
      </c>
    </row>
    <row r="7642" spans="1:40" x14ac:dyDescent="0.25">
      <c r="A7642" t="str">
        <f>"20190303162106026"</f>
        <v>20190303162106026</v>
      </c>
      <c r="B7642" t="str">
        <f>"1551601266020035"</f>
        <v>1551601266020035</v>
      </c>
      <c r="C7642" t="s">
        <v>40</v>
      </c>
      <c r="D7642">
        <v>4.6428690000000001</v>
      </c>
      <c r="E7642">
        <v>0.48991859999999998</v>
      </c>
      <c r="F7642" t="s">
        <v>41</v>
      </c>
      <c r="G7642">
        <v>-393.57569999999998</v>
      </c>
      <c r="H7642" s="1">
        <v>-3.758114E-6</v>
      </c>
      <c r="I7642">
        <v>15.439719999999999</v>
      </c>
      <c r="J7642">
        <v>-415.7801</v>
      </c>
      <c r="K7642">
        <v>1.1248610000000001</v>
      </c>
      <c r="L7642">
        <v>28.182500000000001</v>
      </c>
      <c r="M7642">
        <v>0.65562379999999998</v>
      </c>
      <c r="N7642">
        <v>-1.37498E-2</v>
      </c>
      <c r="O7642">
        <v>-0.75496269999999999</v>
      </c>
      <c r="P7642">
        <v>0.85299689999999995</v>
      </c>
      <c r="Q7642">
        <v>9.8009410000000005E-2</v>
      </c>
      <c r="R7642">
        <v>-0.51263099999999995</v>
      </c>
      <c r="S7642">
        <v>2.6248779999999998</v>
      </c>
      <c r="T7642">
        <v>-0.1325972</v>
      </c>
      <c r="U7642">
        <v>-1.509949</v>
      </c>
      <c r="V7642">
        <v>-0.30879519999999999</v>
      </c>
      <c r="W7642">
        <v>0.1085449</v>
      </c>
      <c r="X7642">
        <v>0.94491460000000005</v>
      </c>
      <c r="Y7642">
        <v>-0.32695879999999999</v>
      </c>
      <c r="Z7642">
        <v>2.899929E-2</v>
      </c>
      <c r="AA7642">
        <v>0.94459349999999997</v>
      </c>
      <c r="AB7642">
        <v>17</v>
      </c>
      <c r="AC7642">
        <v>22.2044</v>
      </c>
      <c r="AD7642">
        <v>-1.1248647581139899</v>
      </c>
      <c r="AE7642">
        <v>-12.74278</v>
      </c>
      <c r="AF7642">
        <v>-8.3936132243674209</v>
      </c>
      <c r="AG7642">
        <v>-1.1248647581139899</v>
      </c>
      <c r="AH7642">
        <v>24.133747048963802</v>
      </c>
      <c r="AI7642">
        <v>92.5207074716335</v>
      </c>
      <c r="AJ7642">
        <v>109.17745439568399</v>
      </c>
      <c r="AK7642">
        <v>25.576469856250501</v>
      </c>
      <c r="AL7642">
        <v>83.768558000094401</v>
      </c>
      <c r="AM7642">
        <v>108.09723352684701</v>
      </c>
      <c r="AN7642">
        <v>1.0000000360761001</v>
      </c>
    </row>
    <row r="7643" spans="1:40" x14ac:dyDescent="0.25">
      <c r="A7643" t="str">
        <f>"20190303162106037"</f>
        <v>20190303162106037</v>
      </c>
      <c r="B7643" t="str">
        <f>"1551601266030770"</f>
        <v>1551601266030770</v>
      </c>
      <c r="C7643" t="s">
        <v>40</v>
      </c>
      <c r="D7643">
        <v>4.6575040000000003</v>
      </c>
      <c r="E7643">
        <v>0.48990240000000002</v>
      </c>
      <c r="F7643" t="s">
        <v>41</v>
      </c>
      <c r="G7643">
        <v>-392.31970000000001</v>
      </c>
      <c r="H7643" s="1">
        <v>-4.4605940000000004E-6</v>
      </c>
      <c r="I7643">
        <v>14.826689999999999</v>
      </c>
      <c r="J7643">
        <v>-415.72050000000002</v>
      </c>
      <c r="K7643">
        <v>1.124851</v>
      </c>
      <c r="L7643">
        <v>28.120699999999999</v>
      </c>
      <c r="M7643">
        <v>0.65846819999999995</v>
      </c>
      <c r="N7643">
        <v>-1.374914E-2</v>
      </c>
      <c r="O7643">
        <v>-0.75248319999999902</v>
      </c>
      <c r="P7643">
        <v>0.85411479999999995</v>
      </c>
      <c r="Q7643">
        <v>9.7479099999999999E-2</v>
      </c>
      <c r="R7643">
        <v>-0.51086830000000005</v>
      </c>
      <c r="S7643">
        <v>2.631256</v>
      </c>
      <c r="T7643">
        <v>-0.1261622</v>
      </c>
      <c r="U7643">
        <v>-1.4979549999999999</v>
      </c>
      <c r="V7643">
        <v>-0.30721910000000002</v>
      </c>
      <c r="W7643">
        <v>0.1080373</v>
      </c>
      <c r="X7643">
        <v>0.9454863</v>
      </c>
      <c r="Y7643">
        <v>-0.32768930000000002</v>
      </c>
      <c r="Z7643">
        <v>2.7140999999999998E-2</v>
      </c>
      <c r="AA7643">
        <v>0.9443956</v>
      </c>
      <c r="AB7643">
        <v>17</v>
      </c>
      <c r="AC7643">
        <v>23.4008</v>
      </c>
      <c r="AD7643">
        <v>-1.124855460594</v>
      </c>
      <c r="AE7643">
        <v>-13.29401</v>
      </c>
      <c r="AF7643">
        <v>-8.8404184857323198</v>
      </c>
      <c r="AG7643">
        <v>-1.124855460594</v>
      </c>
      <c r="AH7643">
        <v>25.370281027151801</v>
      </c>
      <c r="AI7643">
        <v>92.397486044538496</v>
      </c>
      <c r="AJ7643">
        <v>109.211181468037</v>
      </c>
      <c r="AK7643">
        <v>26.889950877730602</v>
      </c>
      <c r="AL7643">
        <v>83.797813085321096</v>
      </c>
      <c r="AM7643">
        <v>108.000656575858</v>
      </c>
      <c r="AN7643">
        <v>0.99999998854189498</v>
      </c>
    </row>
    <row r="7644" spans="1:40" x14ac:dyDescent="0.25">
      <c r="A7644" t="str">
        <f>"20190303162106049"</f>
        <v>20190303162106049</v>
      </c>
      <c r="B7644" t="str">
        <f>"1551601266040531"</f>
        <v>1551601266040531</v>
      </c>
      <c r="C7644" t="s">
        <v>40</v>
      </c>
      <c r="D7644">
        <v>4.8444430000000001</v>
      </c>
      <c r="E7644">
        <v>0.48993530000000002</v>
      </c>
      <c r="F7644" t="s">
        <v>41</v>
      </c>
      <c r="G7644">
        <v>-392.53919999999999</v>
      </c>
      <c r="H7644" s="1">
        <v>-4.3280379999999997E-6</v>
      </c>
      <c r="I7644">
        <v>14.989050000000001</v>
      </c>
      <c r="J7644">
        <v>-415.66289999999998</v>
      </c>
      <c r="K7644">
        <v>1.124846</v>
      </c>
      <c r="L7644">
        <v>28.06119</v>
      </c>
      <c r="M7644">
        <v>0.66120429999999997</v>
      </c>
      <c r="N7644">
        <v>-1.3748440000000001E-2</v>
      </c>
      <c r="O7644">
        <v>-0.75007979999999996</v>
      </c>
      <c r="P7644">
        <v>0.85529940000000004</v>
      </c>
      <c r="Q7644">
        <v>9.7091919999999998E-2</v>
      </c>
      <c r="R7644">
        <v>-0.50895570000000001</v>
      </c>
      <c r="S7644">
        <v>2.63443</v>
      </c>
      <c r="T7644">
        <v>-0.12783369999999999</v>
      </c>
      <c r="U7644">
        <v>-1.49234</v>
      </c>
      <c r="V7644">
        <v>-0.30591679999999999</v>
      </c>
      <c r="W7644">
        <v>0.1076694</v>
      </c>
      <c r="X7644">
        <v>0.94595039999999997</v>
      </c>
      <c r="Y7644">
        <v>-0.32624609999999998</v>
      </c>
      <c r="Z7644">
        <v>2.7545960000000001E-2</v>
      </c>
      <c r="AA7644">
        <v>0.94488340000000004</v>
      </c>
      <c r="AB7644">
        <v>17</v>
      </c>
      <c r="AC7644">
        <v>23.1236999999999</v>
      </c>
      <c r="AD7644">
        <v>-1.124850328038</v>
      </c>
      <c r="AE7644">
        <v>-13.072139999999999</v>
      </c>
      <c r="AF7644">
        <v>-8.6865111758935001</v>
      </c>
      <c r="AG7644">
        <v>-1.124850328038</v>
      </c>
      <c r="AH7644">
        <v>25.052087410261699</v>
      </c>
      <c r="AI7644">
        <v>92.429182023464506</v>
      </c>
      <c r="AJ7644">
        <v>109.123375869033</v>
      </c>
      <c r="AK7644">
        <v>26.539175727230202</v>
      </c>
      <c r="AL7644">
        <v>83.819015790974802</v>
      </c>
      <c r="AM7644">
        <v>107.92101215568999</v>
      </c>
      <c r="AN7644">
        <v>0.99999997373937899</v>
      </c>
    </row>
    <row r="7645" spans="1:40" x14ac:dyDescent="0.25">
      <c r="A7645" t="str">
        <f>"20190303162106060"</f>
        <v>20190303162106060</v>
      </c>
      <c r="B7645" t="str">
        <f>"1551601266050290"</f>
        <v>1551601266050290</v>
      </c>
      <c r="C7645" t="s">
        <v>40</v>
      </c>
      <c r="D7645">
        <v>4.7210150000000004</v>
      </c>
      <c r="E7645">
        <v>0.48996079999999997</v>
      </c>
      <c r="F7645" t="s">
        <v>41</v>
      </c>
      <c r="G7645">
        <v>-392.69299999999998</v>
      </c>
      <c r="H7645" s="1">
        <v>-4.2328749999999997E-6</v>
      </c>
      <c r="I7645">
        <v>15.115819999999999</v>
      </c>
      <c r="J7645">
        <v>-415.60520000000002</v>
      </c>
      <c r="K7645">
        <v>1.1248400000000001</v>
      </c>
      <c r="L7645">
        <v>28.002040000000001</v>
      </c>
      <c r="M7645">
        <v>0.66392790000000002</v>
      </c>
      <c r="N7645">
        <v>-1.374762E-2</v>
      </c>
      <c r="O7645">
        <v>-0.74767019999999995</v>
      </c>
      <c r="P7645">
        <v>0.8565199</v>
      </c>
      <c r="Q7645">
        <v>9.6740370000000006E-2</v>
      </c>
      <c r="R7645">
        <v>-0.50696649999999999</v>
      </c>
      <c r="S7645">
        <v>2.6376339999999998</v>
      </c>
      <c r="T7645">
        <v>-0.12916610000000001</v>
      </c>
      <c r="U7645">
        <v>-1.4865109999999999</v>
      </c>
      <c r="V7645">
        <v>-0.30469889999999999</v>
      </c>
      <c r="W7645">
        <v>0.1073366</v>
      </c>
      <c r="X7645">
        <v>0.94638120000000003</v>
      </c>
      <c r="Y7645">
        <v>-0.32487300000000002</v>
      </c>
      <c r="Z7645">
        <v>2.7853929999999999E-2</v>
      </c>
      <c r="AA7645">
        <v>0.94534739999999995</v>
      </c>
      <c r="AB7645">
        <v>17</v>
      </c>
      <c r="AC7645">
        <v>22.912199999999899</v>
      </c>
      <c r="AD7645">
        <v>-1.1248442328749999</v>
      </c>
      <c r="AE7645">
        <v>-12.88622</v>
      </c>
      <c r="AF7645">
        <v>-8.5603845231058902</v>
      </c>
      <c r="AG7645">
        <v>-1.1248442328749999</v>
      </c>
      <c r="AH7645">
        <v>24.803624245852902</v>
      </c>
      <c r="AI7645">
        <v>92.454693273689799</v>
      </c>
      <c r="AJ7645">
        <v>109.04090386955799</v>
      </c>
      <c r="AK7645">
        <v>26.2633819882574</v>
      </c>
      <c r="AL7645">
        <v>83.838194955159807</v>
      </c>
      <c r="AM7645">
        <v>107.84659219387601</v>
      </c>
      <c r="AN7645">
        <v>0.99999997053710399</v>
      </c>
    </row>
    <row r="7646" spans="1:40" x14ac:dyDescent="0.25">
      <c r="A7646" t="str">
        <f>"20190303162106072"</f>
        <v>20190303162106072</v>
      </c>
      <c r="B7646" t="str">
        <f>"1551601266060051"</f>
        <v>1551601266060051</v>
      </c>
      <c r="C7646" t="s">
        <v>40</v>
      </c>
      <c r="D7646">
        <v>4.743722</v>
      </c>
      <c r="E7646">
        <v>0.49002299999999899</v>
      </c>
      <c r="F7646" t="s">
        <v>41</v>
      </c>
      <c r="G7646">
        <v>-392.78359999999998</v>
      </c>
      <c r="H7646" s="1">
        <v>-4.1738639999999998E-6</v>
      </c>
      <c r="I7646">
        <v>15.20697</v>
      </c>
      <c r="J7646">
        <v>-415.54320000000001</v>
      </c>
      <c r="K7646">
        <v>1.1248400000000001</v>
      </c>
      <c r="L7646">
        <v>27.939</v>
      </c>
      <c r="M7646">
        <v>0.66683369999999997</v>
      </c>
      <c r="N7646">
        <v>-1.374655E-2</v>
      </c>
      <c r="O7646">
        <v>-0.74507979999999996</v>
      </c>
      <c r="P7646">
        <v>0.85795519999999903</v>
      </c>
      <c r="Q7646">
        <v>9.6666409999999994E-2</v>
      </c>
      <c r="R7646">
        <v>-0.50454829999999995</v>
      </c>
      <c r="S7646">
        <v>2.6408689999999999</v>
      </c>
      <c r="T7646">
        <v>-0.1301649</v>
      </c>
      <c r="U7646">
        <v>-1.480621</v>
      </c>
      <c r="V7646">
        <v>-0.30368659999999997</v>
      </c>
      <c r="W7646">
        <v>0.10727920000000001</v>
      </c>
      <c r="X7646">
        <v>0.94671300000000003</v>
      </c>
      <c r="Y7646">
        <v>-0.32328119999999999</v>
      </c>
      <c r="Z7646">
        <v>2.805732E-2</v>
      </c>
      <c r="AA7646">
        <v>0.94588689999999997</v>
      </c>
      <c r="AB7646">
        <v>17</v>
      </c>
      <c r="AC7646">
        <v>22.759599999999999</v>
      </c>
      <c r="AD7646">
        <v>-1.124844173864</v>
      </c>
      <c r="AE7646">
        <v>-12.7320299999999</v>
      </c>
      <c r="AF7646">
        <v>-8.4526460385667104</v>
      </c>
      <c r="AG7646">
        <v>-1.124844173864</v>
      </c>
      <c r="AH7646">
        <v>24.619773567597601</v>
      </c>
      <c r="AI7646">
        <v>92.474368891971693</v>
      </c>
      <c r="AJ7646">
        <v>108.948757217075</v>
      </c>
      <c r="AK7646">
        <v>26.054668487404602</v>
      </c>
      <c r="AL7646">
        <v>83.841502651058605</v>
      </c>
      <c r="AM7646">
        <v>107.785202120078</v>
      </c>
      <c r="AN7646">
        <v>0.99999994107059798</v>
      </c>
    </row>
    <row r="7647" spans="1:40" x14ac:dyDescent="0.25">
      <c r="A7647" t="str">
        <f>"20190303162106087"</f>
        <v>20190303162106087</v>
      </c>
      <c r="B7647" t="str">
        <f>"1551601266080547"</f>
        <v>1551601266080547</v>
      </c>
      <c r="C7647" t="s">
        <v>40</v>
      </c>
      <c r="D7647">
        <v>4.6977789999999997</v>
      </c>
      <c r="E7647">
        <v>0.49022310000000002</v>
      </c>
      <c r="F7647" t="s">
        <v>41</v>
      </c>
      <c r="G7647">
        <v>-392.649</v>
      </c>
      <c r="H7647" s="1">
        <v>-4.2415559999999998E-6</v>
      </c>
      <c r="I7647">
        <v>15.184010000000001</v>
      </c>
      <c r="J7647">
        <v>-415.46949999999998</v>
      </c>
      <c r="K7647">
        <v>1.1248320000000001</v>
      </c>
      <c r="L7647">
        <v>27.864650000000001</v>
      </c>
      <c r="M7647">
        <v>0.67025880000000004</v>
      </c>
      <c r="N7647">
        <v>-1.3745139999999999E-2</v>
      </c>
      <c r="O7647">
        <v>-0.74200029999999995</v>
      </c>
      <c r="P7647">
        <v>0.85983679999999996</v>
      </c>
      <c r="Q7647">
        <v>9.6991049999999995E-2</v>
      </c>
      <c r="R7647">
        <v>-0.50127200000000005</v>
      </c>
      <c r="S7647">
        <v>2.6447750000000001</v>
      </c>
      <c r="T7647">
        <v>-0.12994420000000001</v>
      </c>
      <c r="U7647">
        <v>-1.4734799999999999</v>
      </c>
      <c r="V7647">
        <v>-0.30290889999999998</v>
      </c>
      <c r="W7647">
        <v>0.107618699999999</v>
      </c>
      <c r="X7647">
        <v>0.94692370000000003</v>
      </c>
      <c r="Y7647">
        <v>-0.32146910000000001</v>
      </c>
      <c r="Z7647">
        <v>2.790198E-2</v>
      </c>
      <c r="AA7647">
        <v>0.94650889999999999</v>
      </c>
      <c r="AB7647">
        <v>17</v>
      </c>
      <c r="AC7647">
        <v>22.8204999999999</v>
      </c>
      <c r="AD7647">
        <v>-1.124836241556</v>
      </c>
      <c r="AE7647">
        <v>-12.680639999999901</v>
      </c>
      <c r="AF7647">
        <v>-8.4186748764464792</v>
      </c>
      <c r="AG7647">
        <v>-1.124836241556</v>
      </c>
      <c r="AH7647">
        <v>24.661230306183</v>
      </c>
      <c r="AI7647">
        <v>92.471675313630001</v>
      </c>
      <c r="AJ7647">
        <v>108.848512344068</v>
      </c>
      <c r="AK7647">
        <v>26.082860722325499</v>
      </c>
      <c r="AL7647">
        <v>83.821938075304402</v>
      </c>
      <c r="AM7647">
        <v>107.738815883055</v>
      </c>
      <c r="AN7647">
        <v>1.00000003995529</v>
      </c>
    </row>
    <row r="7648" spans="1:40" x14ac:dyDescent="0.25">
      <c r="A7648" t="str">
        <f>"20190303162106103"</f>
        <v>20190303162106103</v>
      </c>
      <c r="B7648" t="str">
        <f>"1551601266090306"</f>
        <v>1551601266090306</v>
      </c>
      <c r="C7648" t="s">
        <v>40</v>
      </c>
      <c r="D7648">
        <v>4.7258139999999997</v>
      </c>
      <c r="E7648">
        <v>0.49035400000000001</v>
      </c>
      <c r="F7648" t="s">
        <v>41</v>
      </c>
      <c r="G7648">
        <v>-392.48390000000001</v>
      </c>
      <c r="H7648" s="1">
        <v>-4.3246470000000003E-6</v>
      </c>
      <c r="I7648">
        <v>15.15551</v>
      </c>
      <c r="J7648">
        <v>-415.38310000000001</v>
      </c>
      <c r="K7648">
        <v>1.1248180000000001</v>
      </c>
      <c r="L7648">
        <v>27.778379999999999</v>
      </c>
      <c r="M7648">
        <v>0.67423409999999995</v>
      </c>
      <c r="N7648">
        <v>-1.374324E-2</v>
      </c>
      <c r="O7648">
        <v>-0.73838970000000004</v>
      </c>
      <c r="P7648">
        <v>0.86214550000000001</v>
      </c>
      <c r="Q7648">
        <v>9.7473980000000002E-2</v>
      </c>
      <c r="R7648">
        <v>-0.49719600000000003</v>
      </c>
      <c r="S7648">
        <v>2.6495669999999998</v>
      </c>
      <c r="T7648">
        <v>-0.1296611</v>
      </c>
      <c r="U7648">
        <v>-1.464996</v>
      </c>
      <c r="V7648">
        <v>-0.302264799999999</v>
      </c>
      <c r="W7648">
        <v>0.1081155</v>
      </c>
      <c r="X7648">
        <v>0.9470729</v>
      </c>
      <c r="Y7648">
        <v>-0.3194343</v>
      </c>
      <c r="Z7648">
        <v>2.771289E-2</v>
      </c>
      <c r="AA7648">
        <v>0.94720309999999996</v>
      </c>
      <c r="AB7648">
        <v>17</v>
      </c>
      <c r="AC7648">
        <v>22.8992</v>
      </c>
      <c r="AD7648">
        <v>-1.1248223246469999</v>
      </c>
      <c r="AE7648">
        <v>-12.622869999999899</v>
      </c>
      <c r="AF7648">
        <v>-8.3830447850301208</v>
      </c>
      <c r="AG7648">
        <v>-1.1248223246469999</v>
      </c>
      <c r="AH7648">
        <v>24.716620400059199</v>
      </c>
      <c r="AI7648">
        <v>92.467770633143502</v>
      </c>
      <c r="AJ7648">
        <v>108.73520478819</v>
      </c>
      <c r="AK7648">
        <v>26.123782060231299</v>
      </c>
      <c r="AL7648">
        <v>83.793306379114995</v>
      </c>
      <c r="AM7648">
        <v>107.700839110286</v>
      </c>
      <c r="AN7648">
        <v>1.0000000242868401</v>
      </c>
    </row>
    <row r="7649" spans="1:40" x14ac:dyDescent="0.25">
      <c r="A7649" t="str">
        <f>"20190303162106117"</f>
        <v>20190303162106117</v>
      </c>
      <c r="B7649" t="str">
        <f>"1551601266110803"</f>
        <v>1551601266110803</v>
      </c>
      <c r="C7649" t="s">
        <v>40</v>
      </c>
      <c r="D7649">
        <v>4.6983220000000001</v>
      </c>
      <c r="E7649">
        <v>0.4905948</v>
      </c>
      <c r="F7649" t="s">
        <v>41</v>
      </c>
      <c r="G7649">
        <v>-392.101</v>
      </c>
      <c r="H7649" s="1">
        <v>-4.5277830000000003E-6</v>
      </c>
      <c r="I7649">
        <v>15.03064</v>
      </c>
      <c r="J7649">
        <v>-415.31130000000002</v>
      </c>
      <c r="K7649">
        <v>1.1248069999999999</v>
      </c>
      <c r="L7649">
        <v>27.707550000000001</v>
      </c>
      <c r="M7649">
        <v>0.67750109999999997</v>
      </c>
      <c r="N7649">
        <v>-1.3741430000000001E-2</v>
      </c>
      <c r="O7649">
        <v>-0.73539379999999999</v>
      </c>
      <c r="P7649">
        <v>0.86424690000000004</v>
      </c>
      <c r="Q7649">
        <v>9.758037E-2</v>
      </c>
      <c r="R7649">
        <v>-0.49351339999999999</v>
      </c>
      <c r="S7649">
        <v>2.6556090000000001</v>
      </c>
      <c r="T7649">
        <v>-0.1283001</v>
      </c>
      <c r="U7649">
        <v>-1.4540409999999999</v>
      </c>
      <c r="V7649">
        <v>-0.30209609999999998</v>
      </c>
      <c r="W7649">
        <v>0.1082297</v>
      </c>
      <c r="X7649">
        <v>0.9471136</v>
      </c>
      <c r="Y7649">
        <v>-0.3191618</v>
      </c>
      <c r="Z7649">
        <v>2.72716E-2</v>
      </c>
      <c r="AA7649">
        <v>0.94730780000000003</v>
      </c>
      <c r="AB7649">
        <v>17</v>
      </c>
      <c r="AC7649">
        <v>23.2103</v>
      </c>
      <c r="AD7649">
        <v>-1.124811527783</v>
      </c>
      <c r="AE7649">
        <v>-12.676909999999999</v>
      </c>
      <c r="AF7649">
        <v>-8.4655748371698092</v>
      </c>
      <c r="AG7649">
        <v>-1.124811527783</v>
      </c>
      <c r="AH7649">
        <v>25.004650835409102</v>
      </c>
      <c r="AI7649">
        <v>92.439804396057099</v>
      </c>
      <c r="AJ7649">
        <v>108.70404476106</v>
      </c>
      <c r="AK7649">
        <v>26.422787924393599</v>
      </c>
      <c r="AL7649">
        <v>83.786724094580407</v>
      </c>
      <c r="AM7649">
        <v>107.69086330168</v>
      </c>
      <c r="AN7649">
        <v>0.999999946451128</v>
      </c>
    </row>
    <row r="7650" spans="1:40" x14ac:dyDescent="0.25">
      <c r="A7650" t="str">
        <f>"20190303162106137"</f>
        <v>20190303162106137</v>
      </c>
      <c r="B7650" t="str">
        <f>"1551601266130323"</f>
        <v>1551601266130323</v>
      </c>
      <c r="C7650" t="s">
        <v>40</v>
      </c>
      <c r="D7650">
        <v>4.6829330000000002</v>
      </c>
      <c r="E7650">
        <v>0.49085240000000002</v>
      </c>
      <c r="F7650" t="s">
        <v>41</v>
      </c>
      <c r="G7650">
        <v>-391.72019999999998</v>
      </c>
      <c r="H7650" s="1">
        <v>-4.7314569999999901E-6</v>
      </c>
      <c r="I7650">
        <v>14.897360000000001</v>
      </c>
      <c r="J7650">
        <v>-415.21129999999999</v>
      </c>
      <c r="K7650">
        <v>1.1248</v>
      </c>
      <c r="L7650">
        <v>27.609770000000001</v>
      </c>
      <c r="M7650">
        <v>0.68200930000000004</v>
      </c>
      <c r="N7650">
        <v>-1.3738770000000001E-2</v>
      </c>
      <c r="O7650">
        <v>-0.73121459999999905</v>
      </c>
      <c r="P7650">
        <v>0.86696189999999995</v>
      </c>
      <c r="Q7650">
        <v>9.775346E-2</v>
      </c>
      <c r="R7650">
        <v>-0.48869319999999999</v>
      </c>
      <c r="S7650">
        <v>2.6605530000000002</v>
      </c>
      <c r="T7650">
        <v>-0.12685360000000001</v>
      </c>
      <c r="U7650">
        <v>-1.4447019999999999</v>
      </c>
      <c r="V7650">
        <v>-0.3015294</v>
      </c>
      <c r="W7650">
        <v>0.1084174</v>
      </c>
      <c r="X7650">
        <v>0.94727280000000003</v>
      </c>
      <c r="Y7650">
        <v>-0.31665700000000002</v>
      </c>
      <c r="Z7650">
        <v>2.6743099999999999E-2</v>
      </c>
      <c r="AA7650">
        <v>0.94816299999999998</v>
      </c>
      <c r="AB7650">
        <v>17</v>
      </c>
      <c r="AC7650">
        <v>23.491099999999999</v>
      </c>
      <c r="AD7650">
        <v>-1.124804731457</v>
      </c>
      <c r="AE7650">
        <v>-12.71241</v>
      </c>
      <c r="AF7650">
        <v>-8.4927946084205104</v>
      </c>
      <c r="AG7650">
        <v>-1.124804731457</v>
      </c>
      <c r="AH7650">
        <v>25.274214738028999</v>
      </c>
      <c r="AI7650">
        <v>92.415649693043804</v>
      </c>
      <c r="AJ7650">
        <v>108.573689773626</v>
      </c>
      <c r="AK7650">
        <v>26.6866760119864</v>
      </c>
      <c r="AL7650">
        <v>83.775906570425704</v>
      </c>
      <c r="AM7650">
        <v>107.65695756080299</v>
      </c>
      <c r="AN7650">
        <v>1.0000000346534701</v>
      </c>
    </row>
    <row r="7651" spans="1:40" x14ac:dyDescent="0.25">
      <c r="A7651" t="str">
        <f>"20190303162106159"</f>
        <v>20190303162106159</v>
      </c>
      <c r="B7651" t="str">
        <f>"1551601266150819"</f>
        <v>1551601266150819</v>
      </c>
      <c r="C7651" t="s">
        <v>40</v>
      </c>
      <c r="D7651">
        <v>4.6595420000000001</v>
      </c>
      <c r="E7651">
        <v>0.49127140000000002</v>
      </c>
      <c r="F7651" t="s">
        <v>41</v>
      </c>
      <c r="G7651">
        <v>-391.58530000000002</v>
      </c>
      <c r="H7651" s="1">
        <v>-4.7899690000000001E-6</v>
      </c>
      <c r="I7651">
        <v>14.92709</v>
      </c>
      <c r="J7651">
        <v>-415.0915</v>
      </c>
      <c r="K7651">
        <v>1.1247879999999999</v>
      </c>
      <c r="L7651">
        <v>27.494109999999999</v>
      </c>
      <c r="M7651">
        <v>0.687338</v>
      </c>
      <c r="N7651">
        <v>-1.3735399999999899E-2</v>
      </c>
      <c r="O7651">
        <v>-0.72620779999999996</v>
      </c>
      <c r="P7651">
        <v>0.86982119999999996</v>
      </c>
      <c r="Q7651">
        <v>9.8923629999999999E-2</v>
      </c>
      <c r="R7651">
        <v>-0.483348</v>
      </c>
      <c r="S7651">
        <v>2.6675110000000002</v>
      </c>
      <c r="T7651">
        <v>-0.12699659999999999</v>
      </c>
      <c r="U7651">
        <v>-1.4319459999999999</v>
      </c>
      <c r="V7651">
        <v>-0.3003401</v>
      </c>
      <c r="W7651">
        <v>0.1096091</v>
      </c>
      <c r="X7651">
        <v>0.94751339999999995</v>
      </c>
      <c r="Y7651">
        <v>-0.31427280000000002</v>
      </c>
      <c r="Z7651">
        <v>2.6641990000000001E-2</v>
      </c>
      <c r="AA7651">
        <v>0.94895879999999999</v>
      </c>
      <c r="AB7651">
        <v>17</v>
      </c>
      <c r="AC7651">
        <v>23.5061999999999</v>
      </c>
      <c r="AD7651">
        <v>-1.124792789969</v>
      </c>
      <c r="AE7651">
        <v>-12.567019999999999</v>
      </c>
      <c r="AF7651">
        <v>-8.4184002345141096</v>
      </c>
      <c r="AG7651">
        <v>-1.124792789969</v>
      </c>
      <c r="AH7651">
        <v>25.240411896081401</v>
      </c>
      <c r="AI7651">
        <v>92.420672380458797</v>
      </c>
      <c r="AJ7651">
        <v>108.44501941846799</v>
      </c>
      <c r="AK7651">
        <v>26.631053565577901</v>
      </c>
      <c r="AL7651">
        <v>83.707217521393105</v>
      </c>
      <c r="AM7651">
        <v>107.58742557655199</v>
      </c>
      <c r="AN7651">
        <v>0.99999998682518898</v>
      </c>
    </row>
    <row r="7652" spans="1:40" x14ac:dyDescent="0.25">
      <c r="A7652" t="str">
        <f>"20190303162106173"</f>
        <v>20190303162106173</v>
      </c>
      <c r="B7652" t="str">
        <f>"1551601266160579"</f>
        <v>1551601266160579</v>
      </c>
      <c r="C7652" t="s">
        <v>40</v>
      </c>
      <c r="D7652">
        <v>4.6589450000000001</v>
      </c>
      <c r="E7652">
        <v>0.49142760000000002</v>
      </c>
      <c r="F7652" t="s">
        <v>41</v>
      </c>
      <c r="G7652">
        <v>-390.84589999999997</v>
      </c>
      <c r="H7652" s="1">
        <v>-5.1900280000000002E-6</v>
      </c>
      <c r="I7652">
        <v>14.641970000000001</v>
      </c>
      <c r="J7652">
        <v>-415.0213</v>
      </c>
      <c r="K7652">
        <v>1.1247830000000001</v>
      </c>
      <c r="L7652">
        <v>27.427219999999998</v>
      </c>
      <c r="M7652">
        <v>0.69042159999999997</v>
      </c>
      <c r="N7652">
        <v>-1.373338E-2</v>
      </c>
      <c r="O7652">
        <v>-0.7232769</v>
      </c>
      <c r="P7652">
        <v>0.87167019999999995</v>
      </c>
      <c r="Q7652">
        <v>9.9082000000000003E-2</v>
      </c>
      <c r="R7652">
        <v>-0.47997289999999998</v>
      </c>
      <c r="S7652">
        <v>2.6751100000000001</v>
      </c>
      <c r="T7652">
        <v>-0.12410309999999999</v>
      </c>
      <c r="U7652">
        <v>-1.4180299999999999</v>
      </c>
      <c r="V7652">
        <v>-0.29996679999999998</v>
      </c>
      <c r="W7652">
        <v>0.1097764</v>
      </c>
      <c r="X7652">
        <v>0.94761229999999996</v>
      </c>
      <c r="Y7652">
        <v>-0.31522939999999999</v>
      </c>
      <c r="Z7652">
        <v>2.5809619999999998E-2</v>
      </c>
      <c r="AA7652">
        <v>0.94866450000000002</v>
      </c>
      <c r="AB7652">
        <v>17</v>
      </c>
      <c r="AC7652">
        <v>24.1754</v>
      </c>
      <c r="AD7652">
        <v>-1.1247881900279999</v>
      </c>
      <c r="AE7652">
        <v>-12.78525</v>
      </c>
      <c r="AF7652">
        <v>-8.6444891591326201</v>
      </c>
      <c r="AG7652">
        <v>-1.1247881900279999</v>
      </c>
      <c r="AH7652">
        <v>25.897133022345201</v>
      </c>
      <c r="AI7652">
        <v>92.359154868522495</v>
      </c>
      <c r="AJ7652">
        <v>108.459061747978</v>
      </c>
      <c r="AK7652">
        <v>27.3249673388978</v>
      </c>
      <c r="AL7652">
        <v>83.697573858046397</v>
      </c>
      <c r="AM7652">
        <v>107.56519023183</v>
      </c>
      <c r="AN7652">
        <v>1.00000000510524</v>
      </c>
    </row>
    <row r="7653" spans="1:40" x14ac:dyDescent="0.25">
      <c r="A7653" t="str">
        <f>"20190303162106185"</f>
        <v>20190303162106185</v>
      </c>
      <c r="B7653" t="str">
        <f>"1551601266180099"</f>
        <v>1551601266180099</v>
      </c>
      <c r="C7653" t="s">
        <v>40</v>
      </c>
      <c r="D7653">
        <v>4.8697520000000001</v>
      </c>
      <c r="E7653">
        <v>0.49124830000000003</v>
      </c>
      <c r="F7653" t="s">
        <v>41</v>
      </c>
      <c r="G7653">
        <v>-390.6875</v>
      </c>
      <c r="H7653" s="1">
        <v>-5.2650969999999999E-6</v>
      </c>
      <c r="I7653">
        <v>14.640930000000001</v>
      </c>
      <c r="J7653">
        <v>-414.95240000000001</v>
      </c>
      <c r="K7653">
        <v>1.1247739999999999</v>
      </c>
      <c r="L7653">
        <v>27.361879999999999</v>
      </c>
      <c r="M7653">
        <v>0.69342799999999905</v>
      </c>
      <c r="N7653">
        <v>-1.3731409999999999E-2</v>
      </c>
      <c r="O7653">
        <v>-0.72039509999999995</v>
      </c>
      <c r="P7653">
        <v>0.87350899999999998</v>
      </c>
      <c r="Q7653">
        <v>9.9433149999999998E-2</v>
      </c>
      <c r="R7653">
        <v>-0.47654489999999999</v>
      </c>
      <c r="S7653">
        <v>2.6802060000000001</v>
      </c>
      <c r="T7653">
        <v>-0.123888</v>
      </c>
      <c r="U7653">
        <v>-1.408325</v>
      </c>
      <c r="V7653">
        <v>-0.29971360000000002</v>
      </c>
      <c r="W7653">
        <v>0.1101342</v>
      </c>
      <c r="X7653">
        <v>0.94765089999999996</v>
      </c>
      <c r="Y7653">
        <v>-0.31471450000000001</v>
      </c>
      <c r="Z7653">
        <v>2.568962E-2</v>
      </c>
      <c r="AA7653">
        <v>0.94883870000000003</v>
      </c>
      <c r="AB7653">
        <v>17</v>
      </c>
      <c r="AC7653">
        <v>24.264900000000001</v>
      </c>
      <c r="AD7653">
        <v>-1.1247792650970001</v>
      </c>
      <c r="AE7653">
        <v>-12.72095</v>
      </c>
      <c r="AF7653">
        <v>-8.6454966935661997</v>
      </c>
      <c r="AG7653">
        <v>-1.1247792650970001</v>
      </c>
      <c r="AH7653">
        <v>25.948785206864301</v>
      </c>
      <c r="AI7653">
        <v>92.354887100003793</v>
      </c>
      <c r="AJ7653">
        <v>108.426804022986</v>
      </c>
      <c r="AK7653">
        <v>27.374243280602901</v>
      </c>
      <c r="AL7653">
        <v>83.676948372792296</v>
      </c>
      <c r="AM7653">
        <v>107.55060317191</v>
      </c>
      <c r="AN7653">
        <v>1.0000000061526999</v>
      </c>
    </row>
    <row r="7654" spans="1:40" x14ac:dyDescent="0.25">
      <c r="A7654" t="str">
        <f>"20190303162106202"</f>
        <v>20190303162106202</v>
      </c>
      <c r="B7654" t="str">
        <f>"1551601266190834"</f>
        <v>1551601266190834</v>
      </c>
      <c r="C7654" t="s">
        <v>40</v>
      </c>
      <c r="D7654">
        <v>4.8662939999999999</v>
      </c>
      <c r="E7654">
        <v>0.47575309999999998</v>
      </c>
      <c r="F7654" t="s">
        <v>41</v>
      </c>
      <c r="G7654">
        <v>-390.41669999999999</v>
      </c>
      <c r="H7654" s="1">
        <v>-5.3993619999999997E-6</v>
      </c>
      <c r="I7654">
        <v>14.60561</v>
      </c>
      <c r="J7654">
        <v>-414.86099999999999</v>
      </c>
      <c r="K7654">
        <v>1.124768</v>
      </c>
      <c r="L7654">
        <v>27.27628</v>
      </c>
      <c r="M7654">
        <v>0.69737389999999999</v>
      </c>
      <c r="N7654">
        <v>-1.37287999999999E-2</v>
      </c>
      <c r="O7654">
        <v>-0.7165762</v>
      </c>
      <c r="P7654">
        <v>0.876067499999999</v>
      </c>
      <c r="Q7654">
        <v>9.8978949999999996E-2</v>
      </c>
      <c r="R7654">
        <v>-0.47192099999999998</v>
      </c>
      <c r="S7654">
        <v>2.686493</v>
      </c>
      <c r="T7654">
        <v>-0.123156</v>
      </c>
      <c r="U7654">
        <v>-1.3967290000000001</v>
      </c>
      <c r="V7654">
        <v>-0.29954950000000002</v>
      </c>
      <c r="W7654">
        <v>0.1096882</v>
      </c>
      <c r="X7654">
        <v>0.94775450000000006</v>
      </c>
      <c r="Y7654">
        <v>-0.31364330000000001</v>
      </c>
      <c r="Z7654">
        <v>2.5397920000000001E-2</v>
      </c>
      <c r="AA7654">
        <v>0.94920110000000002</v>
      </c>
      <c r="AB7654">
        <v>17</v>
      </c>
      <c r="AC7654">
        <v>24.444299999999998</v>
      </c>
      <c r="AD7654">
        <v>-1.1247733993619999</v>
      </c>
      <c r="AE7654">
        <v>-12.670669999999999</v>
      </c>
      <c r="AF7654">
        <v>-8.6663629456194897</v>
      </c>
      <c r="AG7654">
        <v>-1.1247733993619999</v>
      </c>
      <c r="AH7654">
        <v>26.085243404747501</v>
      </c>
      <c r="AI7654">
        <v>92.343230738553302</v>
      </c>
      <c r="AJ7654">
        <v>108.37815898584</v>
      </c>
      <c r="AK7654">
        <v>27.510196026019901</v>
      </c>
      <c r="AL7654">
        <v>83.702658004762696</v>
      </c>
      <c r="AM7654">
        <v>107.539783371494</v>
      </c>
      <c r="AN7654">
        <v>0.99999999821986996</v>
      </c>
    </row>
    <row r="7655" spans="1:40" x14ac:dyDescent="0.25">
      <c r="A7655" t="str">
        <f>"20190303162106214"</f>
        <v>20190303162106214</v>
      </c>
      <c r="B7655" t="str">
        <f>"1551601266210355"</f>
        <v>1551601266210355</v>
      </c>
      <c r="C7655" t="s">
        <v>40</v>
      </c>
      <c r="D7655">
        <v>4.7231189999999996</v>
      </c>
      <c r="E7655">
        <v>0.47435650000000001</v>
      </c>
      <c r="F7655" t="s">
        <v>73</v>
      </c>
      <c r="G7655">
        <v>-387.99169999999998</v>
      </c>
      <c r="H7655" s="1">
        <v>-2.0410119999999999E-6</v>
      </c>
      <c r="I7655">
        <v>14.845610000000001</v>
      </c>
      <c r="J7655">
        <v>-414.7998</v>
      </c>
      <c r="K7655">
        <v>1.1247609999999999</v>
      </c>
      <c r="L7655">
        <v>27.219639999999998</v>
      </c>
      <c r="M7655">
        <v>0.699986199999999</v>
      </c>
      <c r="N7655">
        <v>-1.3727049999999999E-2</v>
      </c>
      <c r="O7655">
        <v>-0.71402449999999995</v>
      </c>
      <c r="P7655">
        <v>0.87758150000000001</v>
      </c>
      <c r="Q7655">
        <v>9.9093940000000005E-2</v>
      </c>
      <c r="R7655">
        <v>-0.46907450000000001</v>
      </c>
      <c r="S7655">
        <v>2.7516479999999999</v>
      </c>
      <c r="T7655">
        <v>-0.11518630000000001</v>
      </c>
      <c r="U7655">
        <v>-1.27301</v>
      </c>
      <c r="V7655">
        <v>-0.29915350000000002</v>
      </c>
      <c r="W7655">
        <v>0.10981100000000001</v>
      </c>
      <c r="X7655">
        <v>0.94786539999999997</v>
      </c>
      <c r="Y7655">
        <v>-0.35371399999999997</v>
      </c>
      <c r="Z7655">
        <v>2.3931480000000002E-2</v>
      </c>
      <c r="AA7655">
        <v>0.93504739999999997</v>
      </c>
      <c r="AB7655">
        <v>17</v>
      </c>
      <c r="AC7655">
        <v>26.8081</v>
      </c>
      <c r="AD7655">
        <v>-1.124763041012</v>
      </c>
      <c r="AE7655">
        <v>-12.374029999999999</v>
      </c>
      <c r="AF7655">
        <v>-10.4657896225964</v>
      </c>
      <c r="AG7655">
        <v>-1.124763041012</v>
      </c>
      <c r="AH7655">
        <v>27.563261865658902</v>
      </c>
      <c r="AI7655">
        <v>92.184724767701596</v>
      </c>
      <c r="AJ7655">
        <v>110.791804337586</v>
      </c>
      <c r="AK7655">
        <v>29.5047665470812</v>
      </c>
      <c r="AL7655">
        <v>83.695579614916099</v>
      </c>
      <c r="AM7655">
        <v>107.516090904707</v>
      </c>
      <c r="AN7655">
        <v>1.0000000444002</v>
      </c>
    </row>
    <row r="7656" spans="1:40" x14ac:dyDescent="0.25">
      <c r="A7656" t="str">
        <f>"20190303162106226"</f>
        <v>20190303162106226</v>
      </c>
      <c r="B7656" t="str">
        <f>"1551601266220115"</f>
        <v>1551601266220115</v>
      </c>
      <c r="C7656" t="s">
        <v>40</v>
      </c>
      <c r="D7656">
        <v>4.8066139999999997</v>
      </c>
      <c r="E7656">
        <v>0.47425089999999998</v>
      </c>
      <c r="F7656" t="s">
        <v>73</v>
      </c>
      <c r="G7656">
        <v>-385.70080000000002</v>
      </c>
      <c r="H7656" s="1">
        <v>-3.1444310000000001E-6</v>
      </c>
      <c r="I7656">
        <v>14.004989999999999</v>
      </c>
      <c r="J7656">
        <v>-414.73559999999998</v>
      </c>
      <c r="K7656">
        <v>1.1247510000000001</v>
      </c>
      <c r="L7656">
        <v>27.160399999999999</v>
      </c>
      <c r="M7656">
        <v>0.7027158</v>
      </c>
      <c r="N7656">
        <v>-1.372524E-2</v>
      </c>
      <c r="O7656">
        <v>-0.71133859999999904</v>
      </c>
      <c r="P7656">
        <v>0.87935629999999998</v>
      </c>
      <c r="Q7656">
        <v>9.9209439999999996E-2</v>
      </c>
      <c r="R7656">
        <v>-0.46571479999999998</v>
      </c>
      <c r="S7656">
        <v>2.7604679999999999</v>
      </c>
      <c r="T7656">
        <v>-0.1067002</v>
      </c>
      <c r="U7656">
        <v>-1.253601</v>
      </c>
      <c r="V7656">
        <v>-0.29913779999999901</v>
      </c>
      <c r="W7656">
        <v>0.1099299</v>
      </c>
      <c r="X7656">
        <v>0.94785649999999999</v>
      </c>
      <c r="Y7656">
        <v>-0.35677399999999998</v>
      </c>
      <c r="Z7656">
        <v>2.160405E-2</v>
      </c>
      <c r="AA7656">
        <v>0.93394089999999996</v>
      </c>
      <c r="AB7656">
        <v>17</v>
      </c>
      <c r="AC7656">
        <v>29.034799999999901</v>
      </c>
      <c r="AD7656">
        <v>-1.1247541444310001</v>
      </c>
      <c r="AE7656">
        <v>-13.15541</v>
      </c>
      <c r="AF7656">
        <v>-11.3959430825512</v>
      </c>
      <c r="AG7656">
        <v>-1.1247541444310001</v>
      </c>
      <c r="AH7656">
        <v>29.726948686045301</v>
      </c>
      <c r="AI7656">
        <v>92.023369166742199</v>
      </c>
      <c r="AJ7656">
        <v>110.974523125085</v>
      </c>
      <c r="AK7656">
        <v>31.8563034391772</v>
      </c>
      <c r="AL7656">
        <v>83.688725215623293</v>
      </c>
      <c r="AM7656">
        <v>107.515382251893</v>
      </c>
      <c r="AN7656">
        <v>0.99999997544754904</v>
      </c>
    </row>
    <row r="7657" spans="1:40" x14ac:dyDescent="0.25">
      <c r="A7657" t="str">
        <f>"20190303162106237"</f>
        <v>20190303162106237</v>
      </c>
      <c r="B7657" t="str">
        <f>"1551601266230850"</f>
        <v>1551601266230850</v>
      </c>
      <c r="C7657" t="s">
        <v>40</v>
      </c>
      <c r="D7657">
        <v>4.7061190000000002</v>
      </c>
      <c r="E7657">
        <v>0.47448610000000002</v>
      </c>
      <c r="F7657" t="s">
        <v>73</v>
      </c>
      <c r="G7657">
        <v>-385.7894</v>
      </c>
      <c r="H7657" s="1">
        <v>-3.0695220000000002E-6</v>
      </c>
      <c r="I7657">
        <v>14.158580000000001</v>
      </c>
      <c r="J7657">
        <v>-414.67200000000003</v>
      </c>
      <c r="K7657">
        <v>1.124746</v>
      </c>
      <c r="L7657">
        <v>27.10229</v>
      </c>
      <c r="M7657">
        <v>0.70539680000000005</v>
      </c>
      <c r="N7657">
        <v>-1.372342E-2</v>
      </c>
      <c r="O7657">
        <v>-0.70867999999999998</v>
      </c>
      <c r="P7657">
        <v>0.88085069999999999</v>
      </c>
      <c r="Q7657">
        <v>9.9367419999999998E-2</v>
      </c>
      <c r="R7657">
        <v>-0.46284809999999998</v>
      </c>
      <c r="S7657">
        <v>2.7657780000000001</v>
      </c>
      <c r="T7657">
        <v>-0.1074691</v>
      </c>
      <c r="U7657">
        <v>-1.24231</v>
      </c>
      <c r="V7657">
        <v>-0.29863230000000002</v>
      </c>
      <c r="W7657">
        <v>0.11009679999999999</v>
      </c>
      <c r="X7657">
        <v>0.94799659999999997</v>
      </c>
      <c r="Y7657">
        <v>-0.35708390000000001</v>
      </c>
      <c r="Z7657">
        <v>2.1788869999999998E-2</v>
      </c>
      <c r="AA7657">
        <v>0.93381820000000004</v>
      </c>
      <c r="AB7657">
        <v>17</v>
      </c>
      <c r="AC7657">
        <v>28.882599999999901</v>
      </c>
      <c r="AD7657">
        <v>-1.1247490695219999</v>
      </c>
      <c r="AE7657">
        <v>-12.943709999999999</v>
      </c>
      <c r="AF7657">
        <v>-11.3248336972609</v>
      </c>
      <c r="AG7657">
        <v>-1.1247490695219999</v>
      </c>
      <c r="AH7657">
        <v>29.5121503254449</v>
      </c>
      <c r="AI7657">
        <v>92.037815125421901</v>
      </c>
      <c r="AJ7657">
        <v>110.993536909303</v>
      </c>
      <c r="AK7657">
        <v>31.630427369412299</v>
      </c>
      <c r="AL7657">
        <v>83.679104654541604</v>
      </c>
      <c r="AM7657">
        <v>107.485162499335</v>
      </c>
      <c r="AN7657">
        <v>1.0000000547925401</v>
      </c>
    </row>
    <row r="7658" spans="1:40" x14ac:dyDescent="0.25">
      <c r="A7658" t="str">
        <f>"20190303162106250"</f>
        <v>20190303162106250</v>
      </c>
      <c r="B7658" t="str">
        <f>"1551601266240611"</f>
        <v>1551601266240611</v>
      </c>
      <c r="C7658" t="s">
        <v>40</v>
      </c>
      <c r="D7658">
        <v>4.6723660000000002</v>
      </c>
      <c r="E7658">
        <v>0.47471020000000003</v>
      </c>
      <c r="F7658" t="s">
        <v>73</v>
      </c>
      <c r="G7658">
        <v>-385.23989999999998</v>
      </c>
      <c r="H7658" s="1">
        <v>-3.328891E-6</v>
      </c>
      <c r="I7658">
        <v>13.97688</v>
      </c>
      <c r="J7658">
        <v>-414.61090000000002</v>
      </c>
      <c r="K7658">
        <v>1.124741</v>
      </c>
      <c r="L7658">
        <v>27.046810000000001</v>
      </c>
      <c r="M7658">
        <v>0.70795600000000003</v>
      </c>
      <c r="N7658">
        <v>-1.372166E-2</v>
      </c>
      <c r="O7658">
        <v>-0.70612319999999995</v>
      </c>
      <c r="P7658">
        <v>0.88209029999999999</v>
      </c>
      <c r="Q7658">
        <v>9.9345790000000003E-2</v>
      </c>
      <c r="R7658">
        <v>-0.4604859</v>
      </c>
      <c r="S7658">
        <v>2.7688899999999999</v>
      </c>
      <c r="T7658">
        <v>-0.1058133</v>
      </c>
      <c r="U7658">
        <v>-1.234802</v>
      </c>
      <c r="V7658">
        <v>-0.29774149999999999</v>
      </c>
      <c r="W7658">
        <v>0.1100887</v>
      </c>
      <c r="X7658">
        <v>0.9482777</v>
      </c>
      <c r="Y7658">
        <v>-0.3562207</v>
      </c>
      <c r="Z7658">
        <v>2.1286780000000002E-2</v>
      </c>
      <c r="AA7658">
        <v>0.93415930000000003</v>
      </c>
      <c r="AB7658">
        <v>17</v>
      </c>
      <c r="AC7658">
        <v>29.370999999999999</v>
      </c>
      <c r="AD7658">
        <v>-1.124744328891</v>
      </c>
      <c r="AE7658">
        <v>-13.0699299999999</v>
      </c>
      <c r="AF7658">
        <v>-11.473646383780499</v>
      </c>
      <c r="AG7658">
        <v>-1.124744328891</v>
      </c>
      <c r="AH7658">
        <v>29.988475923436798</v>
      </c>
      <c r="AI7658">
        <v>92.006223977681998</v>
      </c>
      <c r="AJ7658">
        <v>110.93694316034301</v>
      </c>
      <c r="AK7658">
        <v>32.128154309825497</v>
      </c>
      <c r="AL7658">
        <v>83.679571618571302</v>
      </c>
      <c r="AM7658">
        <v>107.431315246886</v>
      </c>
      <c r="AN7658">
        <v>1.00000005950361</v>
      </c>
    </row>
    <row r="7659" spans="1:40" x14ac:dyDescent="0.25">
      <c r="A7659" t="str">
        <f>"20190303162106262"</f>
        <v>20190303162106262</v>
      </c>
      <c r="B7659" t="str">
        <f>"1551601266250371"</f>
        <v>1551601266250371</v>
      </c>
      <c r="C7659" t="s">
        <v>40</v>
      </c>
      <c r="D7659">
        <v>4.6830970000000001</v>
      </c>
      <c r="E7659">
        <v>0.47504079999999899</v>
      </c>
      <c r="F7659" t="s">
        <v>73</v>
      </c>
      <c r="G7659">
        <v>-384.97460000000001</v>
      </c>
      <c r="H7659" s="1">
        <v>-3.4496590000000001E-6</v>
      </c>
      <c r="I7659">
        <v>13.90591</v>
      </c>
      <c r="J7659">
        <v>-414.5421</v>
      </c>
      <c r="K7659">
        <v>1.1247320000000001</v>
      </c>
      <c r="L7659">
        <v>26.984829999999999</v>
      </c>
      <c r="M7659">
        <v>0.71081490000000003</v>
      </c>
      <c r="N7659">
        <v>-1.371965E-2</v>
      </c>
      <c r="O7659">
        <v>-0.70324519999999902</v>
      </c>
      <c r="P7659">
        <v>0.88354929999999998</v>
      </c>
      <c r="Q7659">
        <v>9.9248429999999999E-2</v>
      </c>
      <c r="R7659">
        <v>-0.45770080000000002</v>
      </c>
      <c r="S7659">
        <v>2.7713930000000002</v>
      </c>
      <c r="T7659">
        <v>-0.1051787</v>
      </c>
      <c r="U7659">
        <v>-1.2288509999999999</v>
      </c>
      <c r="V7659">
        <v>-0.29688949999999997</v>
      </c>
      <c r="W7659">
        <v>0.1100053</v>
      </c>
      <c r="X7659">
        <v>0.94855440000000002</v>
      </c>
      <c r="Y7659">
        <v>-0.35442449999999998</v>
      </c>
      <c r="Z7659">
        <v>2.1045270000000001E-2</v>
      </c>
      <c r="AA7659">
        <v>0.93484780000000001</v>
      </c>
      <c r="AB7659">
        <v>16</v>
      </c>
      <c r="AC7659">
        <v>29.5674999999999</v>
      </c>
      <c r="AD7659">
        <v>-1.1247354496590001</v>
      </c>
      <c r="AE7659">
        <v>-13.078919999999901</v>
      </c>
      <c r="AF7659">
        <v>-11.483696452954099</v>
      </c>
      <c r="AG7659">
        <v>-1.1247354496590001</v>
      </c>
      <c r="AH7659">
        <v>30.181027918147901</v>
      </c>
      <c r="AI7659">
        <v>91.994818005899006</v>
      </c>
      <c r="AJ7659">
        <v>110.831513723404</v>
      </c>
      <c r="AK7659">
        <v>32.311526739715298</v>
      </c>
      <c r="AL7659">
        <v>83.684378880346202</v>
      </c>
      <c r="AM7659">
        <v>107.379678458436</v>
      </c>
      <c r="AN7659">
        <v>0.99999999549884999</v>
      </c>
    </row>
    <row r="7660" spans="1:40" x14ac:dyDescent="0.25">
      <c r="A7660" t="str">
        <f>"20190303162106275"</f>
        <v>20190303162106275</v>
      </c>
      <c r="B7660" t="str">
        <f>"1551601266270868"</f>
        <v>1551601266270868</v>
      </c>
      <c r="C7660" t="s">
        <v>40</v>
      </c>
      <c r="D7660">
        <v>4.6904209999999997</v>
      </c>
      <c r="E7660">
        <v>0.47548620000000003</v>
      </c>
      <c r="F7660" t="s">
        <v>73</v>
      </c>
      <c r="G7660">
        <v>-385.36610000000002</v>
      </c>
      <c r="H7660" s="1">
        <v>-3.239857E-6</v>
      </c>
      <c r="I7660">
        <v>14.12945</v>
      </c>
      <c r="J7660">
        <v>-414.47379999999998</v>
      </c>
      <c r="K7660">
        <v>1.124719</v>
      </c>
      <c r="L7660">
        <v>26.923829999999999</v>
      </c>
      <c r="M7660">
        <v>0.71363239999999994</v>
      </c>
      <c r="N7660">
        <v>-1.371763E-2</v>
      </c>
      <c r="O7660">
        <v>-0.70038599999999995</v>
      </c>
      <c r="P7660">
        <v>0.88503899999999902</v>
      </c>
      <c r="Q7660">
        <v>9.9035899999999996E-2</v>
      </c>
      <c r="R7660">
        <v>-0.45486019999999999</v>
      </c>
      <c r="S7660">
        <v>2.7742</v>
      </c>
      <c r="T7660">
        <v>-0.1069452</v>
      </c>
      <c r="U7660">
        <v>-1.222351</v>
      </c>
      <c r="V7660">
        <v>-0.29614069999999998</v>
      </c>
      <c r="W7660">
        <v>0.10980529999999999</v>
      </c>
      <c r="X7660">
        <v>0.94881170000000004</v>
      </c>
      <c r="Y7660">
        <v>-0.35284120000000002</v>
      </c>
      <c r="Z7660">
        <v>2.146528E-2</v>
      </c>
      <c r="AA7660">
        <v>0.93543699999999996</v>
      </c>
      <c r="AB7660">
        <v>16</v>
      </c>
      <c r="AC7660">
        <v>29.107699999999902</v>
      </c>
      <c r="AD7660">
        <v>-1.124722239857</v>
      </c>
      <c r="AE7660">
        <v>-12.79438</v>
      </c>
      <c r="AF7660">
        <v>-11.243132639532099</v>
      </c>
      <c r="AG7660">
        <v>-1.124722239857</v>
      </c>
      <c r="AH7660">
        <v>29.698839503215801</v>
      </c>
      <c r="AI7660">
        <v>92.028447315828004</v>
      </c>
      <c r="AJ7660">
        <v>110.735234852372</v>
      </c>
      <c r="AK7660">
        <v>31.775684091844699</v>
      </c>
      <c r="AL7660">
        <v>83.695908413635706</v>
      </c>
      <c r="AM7660">
        <v>107.334054648048</v>
      </c>
      <c r="AN7660">
        <v>1.00000008008073</v>
      </c>
    </row>
    <row r="7661" spans="1:40" x14ac:dyDescent="0.25">
      <c r="A7661" t="str">
        <f>"20190303162106289"</f>
        <v>20190303162106289</v>
      </c>
      <c r="B7661" t="str">
        <f>"1551601266280916"</f>
        <v>1551601266280916</v>
      </c>
      <c r="C7661" t="s">
        <v>40</v>
      </c>
      <c r="D7661">
        <v>4.8610730000000002</v>
      </c>
      <c r="E7661">
        <v>0.47590969999999999</v>
      </c>
      <c r="F7661" t="s">
        <v>73</v>
      </c>
      <c r="G7661">
        <v>-386.03649999999999</v>
      </c>
      <c r="H7661" s="1">
        <v>-2.8927100000000001E-6</v>
      </c>
      <c r="I7661">
        <v>14.466469999999999</v>
      </c>
      <c r="J7661">
        <v>-414.40260000000001</v>
      </c>
      <c r="K7661">
        <v>1.1247100000000001</v>
      </c>
      <c r="L7661">
        <v>26.860690000000002</v>
      </c>
      <c r="M7661">
        <v>0.71654499999999999</v>
      </c>
      <c r="N7661">
        <v>-1.371553E-2</v>
      </c>
      <c r="O7661">
        <v>-0.69740609999999903</v>
      </c>
      <c r="P7661">
        <v>0.88664430000000005</v>
      </c>
      <c r="Q7661">
        <v>9.8815710000000001E-2</v>
      </c>
      <c r="R7661">
        <v>-0.45177139999999999</v>
      </c>
      <c r="S7661">
        <v>2.7768250000000001</v>
      </c>
      <c r="T7661">
        <v>-0.1098263</v>
      </c>
      <c r="U7661">
        <v>-1.216431</v>
      </c>
      <c r="V7661">
        <v>-0.29550729999999997</v>
      </c>
      <c r="W7661">
        <v>0.10959670000000001</v>
      </c>
      <c r="X7661">
        <v>0.94903320000000002</v>
      </c>
      <c r="Y7661">
        <v>-0.35091810000000001</v>
      </c>
      <c r="Z7661">
        <v>2.2176270000000001E-2</v>
      </c>
      <c r="AA7661">
        <v>0.93614359999999996</v>
      </c>
      <c r="AB7661">
        <v>16</v>
      </c>
      <c r="AC7661">
        <v>28.366099999999999</v>
      </c>
      <c r="AD7661">
        <v>-1.1247128927100001</v>
      </c>
      <c r="AE7661">
        <v>-12.394219999999899</v>
      </c>
      <c r="AF7661">
        <v>-10.8883261081269</v>
      </c>
      <c r="AG7661">
        <v>-1.1247128927100001</v>
      </c>
      <c r="AH7661">
        <v>28.933919814886099</v>
      </c>
      <c r="AI7661">
        <v>92.083558979373606</v>
      </c>
      <c r="AJ7661">
        <v>110.622172347819</v>
      </c>
      <c r="AK7661">
        <v>30.9352927961286</v>
      </c>
      <c r="AL7661">
        <v>83.707932428100307</v>
      </c>
      <c r="AM7661">
        <v>107.295397647058</v>
      </c>
      <c r="AN7661">
        <v>1.0000000078532001</v>
      </c>
    </row>
    <row r="7662" spans="1:40" x14ac:dyDescent="0.25">
      <c r="A7662" t="str">
        <f>"20190303162106303"</f>
        <v>20190303162106303</v>
      </c>
      <c r="B7662" t="str">
        <f>"1551601266290117"</f>
        <v>1551601266290117</v>
      </c>
      <c r="C7662" t="s">
        <v>40</v>
      </c>
      <c r="D7662">
        <v>4.6654780000000002</v>
      </c>
      <c r="E7662">
        <v>0.476302</v>
      </c>
      <c r="F7662" t="s">
        <v>73</v>
      </c>
      <c r="G7662">
        <v>-386.24489999999997</v>
      </c>
      <c r="H7662" s="1">
        <v>-2.7762249999999998E-6</v>
      </c>
      <c r="I7662">
        <v>14.603490000000001</v>
      </c>
      <c r="J7662">
        <v>-414.32069999999999</v>
      </c>
      <c r="K7662">
        <v>1.1247020000000001</v>
      </c>
      <c r="L7662">
        <v>26.788730000000001</v>
      </c>
      <c r="M7662">
        <v>0.71986559999999999</v>
      </c>
      <c r="N7662">
        <v>-1.3713039999999999E-2</v>
      </c>
      <c r="O7662">
        <v>-0.69397830000000005</v>
      </c>
      <c r="P7662">
        <v>0.88813220000000004</v>
      </c>
      <c r="Q7662">
        <v>9.8360180000000005E-2</v>
      </c>
      <c r="R7662">
        <v>-0.4489398</v>
      </c>
      <c r="S7662">
        <v>2.7794189999999999</v>
      </c>
      <c r="T7662">
        <v>-0.1110196</v>
      </c>
      <c r="U7662">
        <v>-1.2099</v>
      </c>
      <c r="V7662">
        <v>-0.29403259999999998</v>
      </c>
      <c r="W7662">
        <v>0.109164</v>
      </c>
      <c r="X7662">
        <v>0.94954099999999997</v>
      </c>
      <c r="Y7662">
        <v>-0.348609</v>
      </c>
      <c r="Z7662">
        <v>2.2411029999999998E-2</v>
      </c>
      <c r="AA7662">
        <v>0.93700030000000001</v>
      </c>
      <c r="AB7662">
        <v>16</v>
      </c>
      <c r="AC7662">
        <v>28.075800000000001</v>
      </c>
      <c r="AD7662">
        <v>-1.124704776225</v>
      </c>
      <c r="AE7662">
        <v>-12.18524</v>
      </c>
      <c r="AF7662">
        <v>-10.698818319415199</v>
      </c>
      <c r="AG7662">
        <v>-1.124704776225</v>
      </c>
      <c r="AH7662">
        <v>28.631121176012002</v>
      </c>
      <c r="AI7662">
        <v>92.107385489305798</v>
      </c>
      <c r="AJ7662">
        <v>110.489606656598</v>
      </c>
      <c r="AK7662">
        <v>30.585466713146602</v>
      </c>
      <c r="AL7662">
        <v>83.732874099459195</v>
      </c>
      <c r="AM7662">
        <v>107.205537094882</v>
      </c>
      <c r="AN7662">
        <v>1.0000000297198699</v>
      </c>
    </row>
    <row r="7663" spans="1:40" x14ac:dyDescent="0.25">
      <c r="A7663" t="str">
        <f>"20190303162106318"</f>
        <v>20190303162106318</v>
      </c>
      <c r="B7663" t="str">
        <f>"1551601266310613"</f>
        <v>1551601266310613</v>
      </c>
      <c r="C7663" t="s">
        <v>40</v>
      </c>
      <c r="D7663">
        <v>4.6651470000000002</v>
      </c>
      <c r="E7663">
        <v>0.47687580000000002</v>
      </c>
      <c r="F7663" t="s">
        <v>73</v>
      </c>
      <c r="G7663">
        <v>-386.23169999999999</v>
      </c>
      <c r="H7663" s="1">
        <v>-2.772011E-6</v>
      </c>
      <c r="I7663">
        <v>14.63847</v>
      </c>
      <c r="J7663">
        <v>-414.24279999999999</v>
      </c>
      <c r="K7663">
        <v>1.124692</v>
      </c>
      <c r="L7663">
        <v>26.72101</v>
      </c>
      <c r="M7663">
        <v>0.72298969999999996</v>
      </c>
      <c r="N7663">
        <v>-1.37105E-2</v>
      </c>
      <c r="O7663">
        <v>-0.69072290000000003</v>
      </c>
      <c r="P7663">
        <v>0.88980789999999998</v>
      </c>
      <c r="Q7663">
        <v>9.8081600000000005E-2</v>
      </c>
      <c r="R7663">
        <v>-0.44567079999999998</v>
      </c>
      <c r="S7663">
        <v>2.781952</v>
      </c>
      <c r="T7663">
        <v>-0.1113914</v>
      </c>
      <c r="U7663">
        <v>-1.2033689999999999</v>
      </c>
      <c r="V7663">
        <v>-0.29325459999999998</v>
      </c>
      <c r="W7663">
        <v>0.1089005</v>
      </c>
      <c r="X7663">
        <v>0.94981179999999998</v>
      </c>
      <c r="Y7663">
        <v>-0.3465415</v>
      </c>
      <c r="Z7663">
        <v>2.2428030000000002E-2</v>
      </c>
      <c r="AA7663">
        <v>0.93776649999999995</v>
      </c>
      <c r="AB7663">
        <v>16</v>
      </c>
      <c r="AC7663">
        <v>28.011099999999999</v>
      </c>
      <c r="AD7663">
        <v>-1.1246947720110001</v>
      </c>
      <c r="AE7663">
        <v>-12.0825399999999</v>
      </c>
      <c r="AF7663">
        <v>-10.5989460296666</v>
      </c>
      <c r="AG7663">
        <v>-1.1246947720110001</v>
      </c>
      <c r="AH7663">
        <v>28.561286932862799</v>
      </c>
      <c r="AI7663">
        <v>92.114298465883905</v>
      </c>
      <c r="AJ7663">
        <v>110.359629834451</v>
      </c>
      <c r="AK7663">
        <v>30.4852375180397</v>
      </c>
      <c r="AL7663">
        <v>83.748062006971196</v>
      </c>
      <c r="AM7663">
        <v>107.158083996019</v>
      </c>
      <c r="AN7663">
        <v>1.0000000173703201</v>
      </c>
    </row>
    <row r="7664" spans="1:40" x14ac:dyDescent="0.25">
      <c r="A7664" t="str">
        <f>"20190303162106333"</f>
        <v>20190303162106333</v>
      </c>
      <c r="B7664" t="str">
        <f>"1551601266320373"</f>
        <v>1551601266320373</v>
      </c>
      <c r="C7664" t="s">
        <v>40</v>
      </c>
      <c r="D7664">
        <v>4.6416570000000004</v>
      </c>
      <c r="E7664">
        <v>0.47717850000000001</v>
      </c>
      <c r="F7664" t="s">
        <v>73</v>
      </c>
      <c r="G7664">
        <v>-386.21129999999999</v>
      </c>
      <c r="H7664" s="1">
        <v>-2.77251E-6</v>
      </c>
      <c r="I7664">
        <v>14.665929999999999</v>
      </c>
      <c r="J7664">
        <v>-414.16390000000001</v>
      </c>
      <c r="K7664">
        <v>1.1246799999999999</v>
      </c>
      <c r="L7664">
        <v>26.65305</v>
      </c>
      <c r="M7664">
        <v>0.72612239999999995</v>
      </c>
      <c r="N7664">
        <v>-1.370769E-2</v>
      </c>
      <c r="O7664">
        <v>-0.68742890000000001</v>
      </c>
      <c r="P7664">
        <v>0.89148499999999997</v>
      </c>
      <c r="Q7664">
        <v>9.804612E-2</v>
      </c>
      <c r="R7664">
        <v>-0.44231369999999998</v>
      </c>
      <c r="S7664">
        <v>2.784119</v>
      </c>
      <c r="T7664">
        <v>-0.1117061</v>
      </c>
      <c r="U7664">
        <v>-1.197327</v>
      </c>
      <c r="V7664">
        <v>-0.29251460000000001</v>
      </c>
      <c r="W7664">
        <v>0.10887960000000001</v>
      </c>
      <c r="X7664">
        <v>0.95004230000000001</v>
      </c>
      <c r="Y7664">
        <v>-0.3442577</v>
      </c>
      <c r="Z7664">
        <v>2.242471E-2</v>
      </c>
      <c r="AA7664">
        <v>0.93860739999999998</v>
      </c>
      <c r="AB7664">
        <v>16</v>
      </c>
      <c r="AC7664">
        <v>27.9526</v>
      </c>
      <c r="AD7664">
        <v>-1.1246827725099999</v>
      </c>
      <c r="AE7664">
        <v>-11.9871199999999</v>
      </c>
      <c r="AF7664">
        <v>-10.4979406741923</v>
      </c>
      <c r="AG7664">
        <v>-1.1246827725099999</v>
      </c>
      <c r="AH7664">
        <v>28.501008598061102</v>
      </c>
      <c r="AI7664">
        <v>92.120643942303303</v>
      </c>
      <c r="AJ7664">
        <v>110.220556469672</v>
      </c>
      <c r="AK7664">
        <v>30.393735552649598</v>
      </c>
      <c r="AL7664">
        <v>83.749266324080395</v>
      </c>
      <c r="AM7664">
        <v>107.11341042191</v>
      </c>
      <c r="AN7664">
        <v>0.999999965149304</v>
      </c>
    </row>
    <row r="7665" spans="1:40" x14ac:dyDescent="0.25">
      <c r="A7665" t="str">
        <f>"20190303162106348"</f>
        <v>20190303162106348</v>
      </c>
      <c r="B7665" t="str">
        <f>"1551601266340870"</f>
        <v>1551601266340870</v>
      </c>
      <c r="C7665" t="s">
        <v>40</v>
      </c>
      <c r="D7665">
        <v>4.8604649999999996</v>
      </c>
      <c r="E7665">
        <v>0.4774254</v>
      </c>
      <c r="F7665" t="s">
        <v>73</v>
      </c>
      <c r="G7665">
        <v>-385.95049999999998</v>
      </c>
      <c r="H7665" s="1">
        <v>-2.88491E-6</v>
      </c>
      <c r="I7665">
        <v>14.61999</v>
      </c>
      <c r="J7665">
        <v>-414.077</v>
      </c>
      <c r="K7665">
        <v>1.1246640000000001</v>
      </c>
      <c r="L7665">
        <v>26.57874</v>
      </c>
      <c r="M7665">
        <v>0.72953900000000005</v>
      </c>
      <c r="N7665">
        <v>-1.3704259999999999E-2</v>
      </c>
      <c r="O7665">
        <v>-0.68380189999999996</v>
      </c>
      <c r="P7665">
        <v>0.89286109999999896</v>
      </c>
      <c r="Q7665">
        <v>9.8028870000000004E-2</v>
      </c>
      <c r="R7665">
        <v>-0.43953300000000001</v>
      </c>
      <c r="S7665">
        <v>2.787506</v>
      </c>
      <c r="T7665">
        <v>-0.11111939999999999</v>
      </c>
      <c r="U7665">
        <v>-1.1888729999999901</v>
      </c>
      <c r="V7665">
        <v>-0.29073520000000003</v>
      </c>
      <c r="W7665">
        <v>0.1088914</v>
      </c>
      <c r="X7665">
        <v>0.95058699999999996</v>
      </c>
      <c r="Y7665">
        <v>-0.34240510000000002</v>
      </c>
      <c r="Z7665">
        <v>2.218082E-2</v>
      </c>
      <c r="AA7665">
        <v>0.93929059999999998</v>
      </c>
      <c r="AB7665">
        <v>16</v>
      </c>
      <c r="AC7665">
        <v>28.1265</v>
      </c>
      <c r="AD7665">
        <v>-1.1246668849100001</v>
      </c>
      <c r="AE7665">
        <v>-11.95875</v>
      </c>
      <c r="AF7665">
        <v>-10.4953548630097</v>
      </c>
      <c r="AG7665">
        <v>-1.1246668849100001</v>
      </c>
      <c r="AH7665">
        <v>28.660680521060598</v>
      </c>
      <c r="AI7665">
        <v>92.110271678993399</v>
      </c>
      <c r="AJ7665">
        <v>110.11240212833</v>
      </c>
      <c r="AK7665">
        <v>30.542625251160299</v>
      </c>
      <c r="AL7665">
        <v>83.7485862144094</v>
      </c>
      <c r="AM7665">
        <v>107.00615076836399</v>
      </c>
      <c r="AN7665">
        <v>0.99999996904099897</v>
      </c>
    </row>
    <row r="7666" spans="1:40" x14ac:dyDescent="0.25">
      <c r="A7666" t="str">
        <f>"20190303162106360"</f>
        <v>20190303162106360</v>
      </c>
      <c r="B7666" t="str">
        <f>"1551601266350629"</f>
        <v>1551601266350629</v>
      </c>
      <c r="C7666" t="s">
        <v>40</v>
      </c>
      <c r="D7666">
        <v>4.6922439999999996</v>
      </c>
      <c r="E7666">
        <v>0.47772559999999897</v>
      </c>
      <c r="F7666" t="s">
        <v>73</v>
      </c>
      <c r="G7666">
        <v>-385.49970000000002</v>
      </c>
      <c r="H7666" s="1">
        <v>-3.0965229999999999E-6</v>
      </c>
      <c r="I7666">
        <v>14.475210000000001</v>
      </c>
      <c r="J7666">
        <v>-414.00900000000001</v>
      </c>
      <c r="K7666">
        <v>1.1246480000000001</v>
      </c>
      <c r="L7666">
        <v>26.521149999999999</v>
      </c>
      <c r="M7666">
        <v>0.732182</v>
      </c>
      <c r="N7666">
        <v>-1.370123E-2</v>
      </c>
      <c r="O7666">
        <v>-0.68097109999999905</v>
      </c>
      <c r="P7666">
        <v>0.89413909999999996</v>
      </c>
      <c r="Q7666">
        <v>9.7886600000000004E-2</v>
      </c>
      <c r="R7666">
        <v>-0.4369594</v>
      </c>
      <c r="S7666">
        <v>2.790222</v>
      </c>
      <c r="T7666">
        <v>-0.10981009999999999</v>
      </c>
      <c r="U7666">
        <v>-1.1817629999999999</v>
      </c>
      <c r="V7666">
        <v>-0.28979579999999999</v>
      </c>
      <c r="W7666">
        <v>0.1087673</v>
      </c>
      <c r="X7666">
        <v>0.95088799999999996</v>
      </c>
      <c r="Y7666">
        <v>-0.34113539999999998</v>
      </c>
      <c r="Z7666">
        <v>2.1768610000000001E-2</v>
      </c>
      <c r="AA7666">
        <v>0.93976210000000004</v>
      </c>
      <c r="AB7666">
        <v>16</v>
      </c>
      <c r="AC7666">
        <v>28.5093</v>
      </c>
      <c r="AD7666">
        <v>-1.1246510965230001</v>
      </c>
      <c r="AE7666">
        <v>-12.0459399999999</v>
      </c>
      <c r="AF7666">
        <v>-10.581212324487201</v>
      </c>
      <c r="AG7666">
        <v>-1.1246510965230001</v>
      </c>
      <c r="AH7666">
        <v>29.041317535734201</v>
      </c>
      <c r="AI7666">
        <v>92.083844585112601</v>
      </c>
      <c r="AJ7666">
        <v>110.019225733618</v>
      </c>
      <c r="AK7666">
        <v>30.929355288400899</v>
      </c>
      <c r="AL7666">
        <v>83.755739048517</v>
      </c>
      <c r="AM7666">
        <v>106.94929932128299</v>
      </c>
      <c r="AN7666">
        <v>0.99999995989546397</v>
      </c>
    </row>
    <row r="7667" spans="1:40" x14ac:dyDescent="0.25">
      <c r="A7667" t="str">
        <f>"20190303162106372"</f>
        <v>20190303162106372</v>
      </c>
      <c r="B7667" t="str">
        <f>"1551601266360389"</f>
        <v>1551601266360389</v>
      </c>
      <c r="C7667" t="s">
        <v>40</v>
      </c>
      <c r="D7667">
        <v>4.6585349999999996</v>
      </c>
      <c r="E7667">
        <v>0.478043</v>
      </c>
      <c r="F7667" t="s">
        <v>73</v>
      </c>
      <c r="G7667">
        <v>-385.25580000000002</v>
      </c>
      <c r="H7667" s="1">
        <v>-3.205643E-6</v>
      </c>
      <c r="I7667">
        <v>14.41722</v>
      </c>
      <c r="J7667">
        <v>-413.9486</v>
      </c>
      <c r="K7667">
        <v>1.1246229999999999</v>
      </c>
      <c r="L7667">
        <v>26.47043</v>
      </c>
      <c r="M7667">
        <v>0.73450499999999996</v>
      </c>
      <c r="N7667">
        <v>-1.369835E-2</v>
      </c>
      <c r="O7667">
        <v>-0.67846509999999904</v>
      </c>
      <c r="P7667">
        <v>0.895277399999999</v>
      </c>
      <c r="Q7667">
        <v>9.7880369999999994E-2</v>
      </c>
      <c r="R7667">
        <v>-0.4346235</v>
      </c>
      <c r="S7667">
        <v>2.7926639999999998</v>
      </c>
      <c r="T7667">
        <v>-0.1092321</v>
      </c>
      <c r="U7667">
        <v>-1.1755979999999999</v>
      </c>
      <c r="V7667">
        <v>-0.28902359999999999</v>
      </c>
      <c r="W7667">
        <v>0.10877820000000001</v>
      </c>
      <c r="X7667">
        <v>0.95112180000000002</v>
      </c>
      <c r="Y7667">
        <v>-0.33998460000000003</v>
      </c>
      <c r="Z7667">
        <v>2.1558620000000001E-2</v>
      </c>
      <c r="AA7667">
        <v>0.94018389999999996</v>
      </c>
      <c r="AB7667">
        <v>16</v>
      </c>
      <c r="AC7667">
        <v>28.692799999999899</v>
      </c>
      <c r="AD7667">
        <v>-1.1246262056430001</v>
      </c>
      <c r="AE7667">
        <v>-12.05321</v>
      </c>
      <c r="AF7667">
        <v>-10.601072325420301</v>
      </c>
      <c r="AG7667">
        <v>-1.1246262056430001</v>
      </c>
      <c r="AH7667">
        <v>29.2172771953616</v>
      </c>
      <c r="AI7667">
        <v>92.072266677214998</v>
      </c>
      <c r="AJ7667">
        <v>109.94258099288299</v>
      </c>
      <c r="AK7667">
        <v>31.101395551675999</v>
      </c>
      <c r="AL7667">
        <v>83.755111100297299</v>
      </c>
      <c r="AM7667">
        <v>106.902796179904</v>
      </c>
      <c r="AN7667">
        <v>1.0000000082937199</v>
      </c>
    </row>
    <row r="7668" spans="1:40" x14ac:dyDescent="0.25">
      <c r="A7668" t="str">
        <f>"20190303162106383"</f>
        <v>20190303162106383</v>
      </c>
      <c r="B7668" t="str">
        <f>"1551601266370149"</f>
        <v>1551601266370149</v>
      </c>
      <c r="C7668" t="s">
        <v>40</v>
      </c>
      <c r="D7668">
        <v>4.627923</v>
      </c>
      <c r="E7668">
        <v>0.47834460000000001</v>
      </c>
      <c r="F7668" t="s">
        <v>73</v>
      </c>
      <c r="G7668">
        <v>-384.9667</v>
      </c>
      <c r="H7668" s="1">
        <v>-3.339334E-6</v>
      </c>
      <c r="I7668">
        <v>14.33197</v>
      </c>
      <c r="J7668">
        <v>-413.87819999999999</v>
      </c>
      <c r="K7668">
        <v>1.1246039999999999</v>
      </c>
      <c r="L7668">
        <v>26.41159</v>
      </c>
      <c r="M7668">
        <v>0.73719440000000003</v>
      </c>
      <c r="N7668">
        <v>-1.3694909999999999E-2</v>
      </c>
      <c r="O7668">
        <v>-0.67554179999999997</v>
      </c>
      <c r="P7668">
        <v>0.89672580000000002</v>
      </c>
      <c r="Q7668">
        <v>9.7331669999999995E-2</v>
      </c>
      <c r="R7668">
        <v>-0.4317512</v>
      </c>
      <c r="S7668">
        <v>2.794556</v>
      </c>
      <c r="T7668">
        <v>-0.1084411</v>
      </c>
      <c r="U7668">
        <v>-1.1704410000000001</v>
      </c>
      <c r="V7668">
        <v>-0.28832469999999999</v>
      </c>
      <c r="W7668">
        <v>0.1082473</v>
      </c>
      <c r="X7668">
        <v>0.95139439999999997</v>
      </c>
      <c r="Y7668">
        <v>-0.33795900000000001</v>
      </c>
      <c r="Z7668">
        <v>2.1270730000000002E-2</v>
      </c>
      <c r="AA7668">
        <v>0.94092039999999999</v>
      </c>
      <c r="AB7668">
        <v>16</v>
      </c>
      <c r="AC7668">
        <v>28.911499999999901</v>
      </c>
      <c r="AD7668">
        <v>-1.1246073393339999</v>
      </c>
      <c r="AE7668">
        <v>-12.07962</v>
      </c>
      <c r="AF7668">
        <v>-10.613223952430401</v>
      </c>
      <c r="AG7668">
        <v>-1.1246073393339999</v>
      </c>
      <c r="AH7668">
        <v>29.4385279000597</v>
      </c>
      <c r="AI7668">
        <v>92.058192659458001</v>
      </c>
      <c r="AJ7668">
        <v>109.82532653212699</v>
      </c>
      <c r="AK7668">
        <v>31.313450612392099</v>
      </c>
      <c r="AL7668">
        <v>83.785709798105799</v>
      </c>
      <c r="AM7668">
        <v>106.85968761623499</v>
      </c>
      <c r="AN7668">
        <v>0.99999995746936898</v>
      </c>
    </row>
    <row r="7669" spans="1:40" x14ac:dyDescent="0.25">
      <c r="A7669" t="str">
        <f>"20190303162106396"</f>
        <v>20190303162106396</v>
      </c>
      <c r="B7669" t="str">
        <f>"1551601266390645"</f>
        <v>1551601266390645</v>
      </c>
      <c r="C7669" t="s">
        <v>40</v>
      </c>
      <c r="D7669">
        <v>4.9121430000000004</v>
      </c>
      <c r="E7669">
        <v>0.47868169999999999</v>
      </c>
      <c r="F7669" t="s">
        <v>73</v>
      </c>
      <c r="G7669">
        <v>-385.04899999999998</v>
      </c>
      <c r="H7669" s="1">
        <v>-3.2855449999999999E-6</v>
      </c>
      <c r="I7669">
        <v>14.415430000000001</v>
      </c>
      <c r="J7669">
        <v>-413.81209999999999</v>
      </c>
      <c r="K7669">
        <v>1.1245799999999999</v>
      </c>
      <c r="L7669">
        <v>26.35699</v>
      </c>
      <c r="M7669">
        <v>0.73967839999999996</v>
      </c>
      <c r="N7669">
        <v>-1.369095E-2</v>
      </c>
      <c r="O7669">
        <v>-0.67282129999999996</v>
      </c>
      <c r="P7669">
        <v>0.89802870000000001</v>
      </c>
      <c r="Q7669">
        <v>9.7225640000000002E-2</v>
      </c>
      <c r="R7669">
        <v>-0.42905959999999899</v>
      </c>
      <c r="S7669">
        <v>2.796967</v>
      </c>
      <c r="T7669">
        <v>-0.1091076</v>
      </c>
      <c r="U7669">
        <v>-1.1638489999999999</v>
      </c>
      <c r="V7669">
        <v>-0.28767359999999997</v>
      </c>
      <c r="W7669">
        <v>0.10815959999999999</v>
      </c>
      <c r="X7669">
        <v>0.95160149999999999</v>
      </c>
      <c r="Y7669">
        <v>-0.33666489999999999</v>
      </c>
      <c r="Z7669">
        <v>2.1387340000000001E-2</v>
      </c>
      <c r="AA7669">
        <v>0.94138160000000004</v>
      </c>
      <c r="AB7669">
        <v>16</v>
      </c>
      <c r="AC7669">
        <v>28.763099999999898</v>
      </c>
      <c r="AD7669">
        <v>-1.124583285545</v>
      </c>
      <c r="AE7669">
        <v>-11.941560000000001</v>
      </c>
      <c r="AF7669">
        <v>-10.506798005462599</v>
      </c>
      <c r="AG7669">
        <v>-1.124583285545</v>
      </c>
      <c r="AH7669">
        <v>29.274554410382098</v>
      </c>
      <c r="AI7669">
        <v>92.070731491985299</v>
      </c>
      <c r="AJ7669">
        <v>109.74334055985599</v>
      </c>
      <c r="AK7669">
        <v>31.123255418097699</v>
      </c>
      <c r="AL7669">
        <v>83.790764623201994</v>
      </c>
      <c r="AM7669">
        <v>106.820313333512</v>
      </c>
      <c r="AN7669">
        <v>1.00000000700568</v>
      </c>
    </row>
    <row r="7670" spans="1:40" x14ac:dyDescent="0.25">
      <c r="A7670" t="str">
        <f>"20190303162106409"</f>
        <v>20190303162106409</v>
      </c>
      <c r="B7670" t="str">
        <f>"1551601266400404"</f>
        <v>1551601266400404</v>
      </c>
      <c r="C7670" t="s">
        <v>40</v>
      </c>
      <c r="D7670">
        <v>4.6839370000000002</v>
      </c>
      <c r="E7670">
        <v>0.48573300000000003</v>
      </c>
      <c r="F7670" t="s">
        <v>73</v>
      </c>
      <c r="G7670">
        <v>-384.82459999999998</v>
      </c>
      <c r="H7670" s="1">
        <v>-3.3849890000000001E-6</v>
      </c>
      <c r="I7670">
        <v>14.3654299999999</v>
      </c>
      <c r="J7670">
        <v>-413.7439</v>
      </c>
      <c r="K7670">
        <v>1.1245579999999999</v>
      </c>
      <c r="L7670">
        <v>26.300809999999998</v>
      </c>
      <c r="M7670">
        <v>0.74222339999999998</v>
      </c>
      <c r="N7670">
        <v>-1.3686719999999999E-2</v>
      </c>
      <c r="O7670">
        <v>-0.67001299999999997</v>
      </c>
      <c r="P7670">
        <v>0.89943519999999899</v>
      </c>
      <c r="Q7670">
        <v>9.6954960000000007E-2</v>
      </c>
      <c r="R7670">
        <v>-0.42616490000000001</v>
      </c>
      <c r="S7670">
        <v>2.7991640000000002</v>
      </c>
      <c r="T7670">
        <v>-0.10859480000000001</v>
      </c>
      <c r="U7670">
        <v>-1.157959</v>
      </c>
      <c r="V7670">
        <v>-0.28714289999999998</v>
      </c>
      <c r="W7670">
        <v>0.1079074</v>
      </c>
      <c r="X7670">
        <v>0.95179040000000004</v>
      </c>
      <c r="Y7670">
        <v>-0.3350533</v>
      </c>
      <c r="Z7670">
        <v>2.1183589999999999E-2</v>
      </c>
      <c r="AA7670">
        <v>0.9419611</v>
      </c>
      <c r="AB7670">
        <v>16</v>
      </c>
      <c r="AC7670">
        <v>28.9193</v>
      </c>
      <c r="AD7670">
        <v>-1.1245613849889999</v>
      </c>
      <c r="AE7670">
        <v>-11.93538</v>
      </c>
      <c r="AF7670">
        <v>-10.504999126921501</v>
      </c>
      <c r="AG7670">
        <v>-1.1245613849889999</v>
      </c>
      <c r="AH7670">
        <v>29.426175736627101</v>
      </c>
      <c r="AI7670">
        <v>92.061279003808707</v>
      </c>
      <c r="AJ7670">
        <v>109.64631306538899</v>
      </c>
      <c r="AK7670">
        <v>31.2653076659753</v>
      </c>
      <c r="AL7670">
        <v>83.805299699710801</v>
      </c>
      <c r="AM7670">
        <v>106.787886101521</v>
      </c>
      <c r="AN7670">
        <v>1.00000000876366</v>
      </c>
    </row>
    <row r="7671" spans="1:40" x14ac:dyDescent="0.25">
      <c r="A7671" t="str">
        <f>"20190303162106426"</f>
        <v>20190303162106426</v>
      </c>
      <c r="B7671" t="str">
        <f>"1551601266420902"</f>
        <v>1551601266420902</v>
      </c>
      <c r="C7671" t="s">
        <v>40</v>
      </c>
      <c r="D7671">
        <v>4.6914959999999999</v>
      </c>
      <c r="E7671">
        <v>0.48576829999999999</v>
      </c>
      <c r="F7671" t="s">
        <v>73</v>
      </c>
      <c r="G7671">
        <v>-381.33819999999997</v>
      </c>
      <c r="H7671" s="1">
        <v>-5.3906179999999998E-6</v>
      </c>
      <c r="I7671">
        <v>12.3118</v>
      </c>
      <c r="J7671">
        <v>-413.64389999999997</v>
      </c>
      <c r="K7671">
        <v>1.1245149999999999</v>
      </c>
      <c r="L7671">
        <v>26.219270000000002</v>
      </c>
      <c r="M7671">
        <v>0.74589139999999998</v>
      </c>
      <c r="N7671">
        <v>-1.3679800000000001E-2</v>
      </c>
      <c r="O7671">
        <v>-0.66592709999999999</v>
      </c>
      <c r="P7671">
        <v>0.90131289999999997</v>
      </c>
      <c r="Q7671">
        <v>9.6398899999999996E-2</v>
      </c>
      <c r="R7671">
        <v>-0.42230600000000001</v>
      </c>
      <c r="S7671">
        <v>2.7776489999999998</v>
      </c>
      <c r="T7671">
        <v>-9.63918E-2</v>
      </c>
      <c r="U7671">
        <v>-1.199066</v>
      </c>
      <c r="V7671">
        <v>-0.28601840000000001</v>
      </c>
      <c r="W7671">
        <v>0.10738640000000001</v>
      </c>
      <c r="X7671">
        <v>0.95218780000000003</v>
      </c>
      <c r="Y7671">
        <v>-0.315521</v>
      </c>
      <c r="Z7671">
        <v>1.760107E-2</v>
      </c>
      <c r="AA7671">
        <v>0.94875540000000003</v>
      </c>
      <c r="AB7671">
        <v>16</v>
      </c>
      <c r="AC7671">
        <v>32.305700000000002</v>
      </c>
      <c r="AD7671">
        <v>-1.1245203906179999</v>
      </c>
      <c r="AE7671">
        <v>-13.90747</v>
      </c>
      <c r="AF7671">
        <v>-11.1294446306838</v>
      </c>
      <c r="AG7671">
        <v>-1.1245203906179999</v>
      </c>
      <c r="AH7671">
        <v>33.326959310530299</v>
      </c>
      <c r="AI7671">
        <v>91.833104722295701</v>
      </c>
      <c r="AJ7671">
        <v>108.466597584727</v>
      </c>
      <c r="AK7671">
        <v>35.154164771504902</v>
      </c>
      <c r="AL7671">
        <v>83.835325128363607</v>
      </c>
      <c r="AM7671">
        <v>106.71922943880099</v>
      </c>
      <c r="AN7671">
        <v>0.99999998525617995</v>
      </c>
    </row>
    <row r="7672" spans="1:40" x14ac:dyDescent="0.25">
      <c r="A7672" t="str">
        <f>"20190303162106439"</f>
        <v>20190303162106439</v>
      </c>
      <c r="B7672" t="str">
        <f>"1551601266430661"</f>
        <v>1551601266430661</v>
      </c>
      <c r="C7672" t="s">
        <v>40</v>
      </c>
      <c r="D7672">
        <v>4.8581890000000003</v>
      </c>
      <c r="E7672">
        <v>0.48574590000000001</v>
      </c>
      <c r="F7672" t="s">
        <v>73</v>
      </c>
      <c r="G7672">
        <v>-383.08580000000001</v>
      </c>
      <c r="H7672" s="1">
        <v>-4.4109639999999996E-6</v>
      </c>
      <c r="I7672">
        <v>13.1775</v>
      </c>
      <c r="J7672">
        <v>-413.57229999999998</v>
      </c>
      <c r="K7672">
        <v>1.1244860000000001</v>
      </c>
      <c r="L7672">
        <v>26.161439999999999</v>
      </c>
      <c r="M7672">
        <v>0.74847019999999997</v>
      </c>
      <c r="N7672">
        <v>-1.367402E-2</v>
      </c>
      <c r="O7672">
        <v>-0.66302740000000004</v>
      </c>
      <c r="P7672">
        <v>0.9027153</v>
      </c>
      <c r="Q7672">
        <v>9.6339369999999994E-2</v>
      </c>
      <c r="R7672">
        <v>-0.41931380000000001</v>
      </c>
      <c r="S7672">
        <v>2.7829280000000001</v>
      </c>
      <c r="T7672">
        <v>-0.10241</v>
      </c>
      <c r="U7672">
        <v>-1.1877139999999999</v>
      </c>
      <c r="V7672">
        <v>-0.28547600000000001</v>
      </c>
      <c r="W7672">
        <v>0.1073503</v>
      </c>
      <c r="X7672">
        <v>0.9523547</v>
      </c>
      <c r="Y7672">
        <v>-0.31572159999999999</v>
      </c>
      <c r="Z7672">
        <v>1.9129810000000001E-2</v>
      </c>
      <c r="AA7672">
        <v>0.94865900000000003</v>
      </c>
      <c r="AB7672">
        <v>16</v>
      </c>
      <c r="AC7672">
        <v>30.4864999999999</v>
      </c>
      <c r="AD7672">
        <v>-1.1244904109639999</v>
      </c>
      <c r="AE7672">
        <v>-12.98394</v>
      </c>
      <c r="AF7672">
        <v>-10.484200537293701</v>
      </c>
      <c r="AG7672">
        <v>-1.1244904109639999</v>
      </c>
      <c r="AH7672">
        <v>31.393730644186899</v>
      </c>
      <c r="AI7672">
        <v>91.945844810576205</v>
      </c>
      <c r="AJ7672">
        <v>108.467175880494</v>
      </c>
      <c r="AK7672">
        <v>33.117204944715603</v>
      </c>
      <c r="AL7672">
        <v>83.837405957788803</v>
      </c>
      <c r="AM7672">
        <v>106.68652597567301</v>
      </c>
      <c r="AN7672">
        <v>1.0000000540490801</v>
      </c>
    </row>
    <row r="7673" spans="1:40" x14ac:dyDescent="0.25">
      <c r="A7673" t="str">
        <f>"20190303162106453"</f>
        <v>20190303162106453</v>
      </c>
      <c r="B7673" t="str">
        <f>"1551601266440421"</f>
        <v>1551601266440421</v>
      </c>
      <c r="C7673" t="s">
        <v>40</v>
      </c>
      <c r="D7673">
        <v>4.7046060000000001</v>
      </c>
      <c r="E7673">
        <v>0.48574590000000001</v>
      </c>
      <c r="F7673" t="s">
        <v>73</v>
      </c>
      <c r="G7673">
        <v>-383.34</v>
      </c>
      <c r="H7673" s="1">
        <v>-4.2550540000000001E-6</v>
      </c>
      <c r="I7673">
        <v>13.37914</v>
      </c>
      <c r="J7673">
        <v>-413.5</v>
      </c>
      <c r="K7673">
        <v>1.1244529999999999</v>
      </c>
      <c r="L7673">
        <v>26.103449999999999</v>
      </c>
      <c r="M7673">
        <v>0.75104169999999904</v>
      </c>
      <c r="N7673">
        <v>-1.366799E-2</v>
      </c>
      <c r="O7673">
        <v>-0.66011339999999996</v>
      </c>
      <c r="P7673">
        <v>0.90402669999999996</v>
      </c>
      <c r="Q7673">
        <v>9.6182879999999998E-2</v>
      </c>
      <c r="R7673">
        <v>-0.41651519999999997</v>
      </c>
      <c r="S7673">
        <v>2.7869869999999999</v>
      </c>
      <c r="T7673">
        <v>-0.1036619</v>
      </c>
      <c r="U7673">
        <v>-1.178345</v>
      </c>
      <c r="V7673">
        <v>-0.28472520000000001</v>
      </c>
      <c r="W7673">
        <v>0.1072195</v>
      </c>
      <c r="X7673">
        <v>0.9525941</v>
      </c>
      <c r="Y7673">
        <v>-0.31522640000000002</v>
      </c>
      <c r="Z7673">
        <v>1.9407020000000001E-2</v>
      </c>
      <c r="AA7673">
        <v>0.94881800000000005</v>
      </c>
      <c r="AB7673">
        <v>16</v>
      </c>
      <c r="AC7673">
        <v>30.16</v>
      </c>
      <c r="AD7673">
        <v>-1.124457255054</v>
      </c>
      <c r="AE7673">
        <v>-12.724309999999999</v>
      </c>
      <c r="AF7673">
        <v>-10.3412964124946</v>
      </c>
      <c r="AG7673">
        <v>-1.124457255054</v>
      </c>
      <c r="AH7673">
        <v>31.017203519774</v>
      </c>
      <c r="AI7673">
        <v>91.969716391147998</v>
      </c>
      <c r="AJ7673">
        <v>108.438653752191</v>
      </c>
      <c r="AK7673">
        <v>32.715038282059197</v>
      </c>
      <c r="AL7673">
        <v>83.844943355488994</v>
      </c>
      <c r="AM7673">
        <v>106.641119497703</v>
      </c>
      <c r="AN7673">
        <v>0.99999999002505002</v>
      </c>
    </row>
    <row r="7674" spans="1:40" x14ac:dyDescent="0.25">
      <c r="A7674" t="str">
        <f>"20190303162106465"</f>
        <v>20190303162106465</v>
      </c>
      <c r="B7674" t="str">
        <f>"1551601266460917"</f>
        <v>1551601266460917</v>
      </c>
      <c r="C7674" t="s">
        <v>40</v>
      </c>
      <c r="D7674">
        <v>4.7039010000000001</v>
      </c>
      <c r="E7674">
        <v>0.48120079999999998</v>
      </c>
      <c r="F7674" t="s">
        <v>73</v>
      </c>
      <c r="G7674">
        <v>-383.36509999999998</v>
      </c>
      <c r="H7674" s="1">
        <v>-4.2264659999999996E-6</v>
      </c>
      <c r="I7674">
        <v>13.47344</v>
      </c>
      <c r="J7674">
        <v>-413.42790000000002</v>
      </c>
      <c r="K7674">
        <v>1.1244149999999999</v>
      </c>
      <c r="L7674">
        <v>26.045960000000001</v>
      </c>
      <c r="M7674">
        <v>0.75357589999999997</v>
      </c>
      <c r="N7674">
        <v>-1.3661889999999999E-2</v>
      </c>
      <c r="O7674">
        <v>-0.65721929999999995</v>
      </c>
      <c r="P7674">
        <v>0.9053426</v>
      </c>
      <c r="Q7674">
        <v>9.6415890000000004E-2</v>
      </c>
      <c r="R7674">
        <v>-0.41359299999999999</v>
      </c>
      <c r="S7674">
        <v>2.79068</v>
      </c>
      <c r="T7674">
        <v>-0.1041316</v>
      </c>
      <c r="U7674">
        <v>-1.1696169999999999</v>
      </c>
      <c r="V7674">
        <v>-0.284113</v>
      </c>
      <c r="W7674">
        <v>0.1074764</v>
      </c>
      <c r="X7674">
        <v>0.95274789999999998</v>
      </c>
      <c r="Y7674">
        <v>-0.31454470000000001</v>
      </c>
      <c r="Z7674">
        <v>1.9477700000000001E-2</v>
      </c>
      <c r="AA7674">
        <v>0.94904279999999996</v>
      </c>
      <c r="AB7674">
        <v>16</v>
      </c>
      <c r="AC7674">
        <v>30.062799999999999</v>
      </c>
      <c r="AD7674">
        <v>-1.124419226466</v>
      </c>
      <c r="AE7674">
        <v>-12.5725199999999</v>
      </c>
      <c r="AF7674">
        <v>-10.2722305881118</v>
      </c>
      <c r="AG7674">
        <v>-1.124419226466</v>
      </c>
      <c r="AH7674">
        <v>30.883609789056401</v>
      </c>
      <c r="AI7674">
        <v>91.978633797881102</v>
      </c>
      <c r="AJ7674">
        <v>108.397696531246</v>
      </c>
      <c r="AK7674">
        <v>32.566553294060597</v>
      </c>
      <c r="AL7674">
        <v>83.8301383782523</v>
      </c>
      <c r="AM7674">
        <v>106.60477804071699</v>
      </c>
      <c r="AN7674">
        <v>0.99999996714018402</v>
      </c>
    </row>
    <row r="7675" spans="1:40" x14ac:dyDescent="0.25">
      <c r="A7675" t="str">
        <f>"20190303162106481"</f>
        <v>20190303162106481</v>
      </c>
      <c r="B7675" t="str">
        <f>"1551601266470678"</f>
        <v>1551601266470678</v>
      </c>
      <c r="C7675" t="s">
        <v>40</v>
      </c>
      <c r="D7675">
        <v>4.759118</v>
      </c>
      <c r="E7675">
        <v>0.47962399999999999</v>
      </c>
      <c r="F7675" t="s">
        <v>73</v>
      </c>
      <c r="G7675">
        <v>-386.87400000000002</v>
      </c>
      <c r="H7675" s="1">
        <v>-2.3264170000000001E-6</v>
      </c>
      <c r="I7675">
        <v>15.38612</v>
      </c>
      <c r="J7675">
        <v>-413.33870000000002</v>
      </c>
      <c r="K7675">
        <v>1.1243700000000001</v>
      </c>
      <c r="L7675">
        <v>25.97559</v>
      </c>
      <c r="M7675">
        <v>0.75664659999999995</v>
      </c>
      <c r="N7675">
        <v>-1.365359E-2</v>
      </c>
      <c r="O7675">
        <v>-0.65368159999999997</v>
      </c>
      <c r="P7675">
        <v>0.90686829999999996</v>
      </c>
      <c r="Q7675">
        <v>9.6241160000000006E-2</v>
      </c>
      <c r="R7675">
        <v>-0.41027750000000002</v>
      </c>
      <c r="S7675">
        <v>2.8109130000000002</v>
      </c>
      <c r="T7675">
        <v>-0.11902740000000001</v>
      </c>
      <c r="U7675">
        <v>-1.1284179999999999</v>
      </c>
      <c r="V7675">
        <v>-0.28313369999999999</v>
      </c>
      <c r="W7675">
        <v>0.10733470000000001</v>
      </c>
      <c r="X7675">
        <v>0.9530554</v>
      </c>
      <c r="Y7675">
        <v>-0.32431120000000002</v>
      </c>
      <c r="Z7675">
        <v>2.3428689999999999E-2</v>
      </c>
      <c r="AA7675">
        <v>0.94566030000000001</v>
      </c>
      <c r="AB7675">
        <v>16</v>
      </c>
      <c r="AC7675">
        <v>26.464700000000001</v>
      </c>
      <c r="AD7675">
        <v>-1.124372326417</v>
      </c>
      <c r="AE7675">
        <v>-10.58947</v>
      </c>
      <c r="AF7675">
        <v>-9.2734373780643899</v>
      </c>
      <c r="AG7675">
        <v>-1.124372326417</v>
      </c>
      <c r="AH7675">
        <v>26.907211723635701</v>
      </c>
      <c r="AI7675">
        <v>92.262381832864094</v>
      </c>
      <c r="AJ7675">
        <v>109.016258479085</v>
      </c>
      <c r="AK7675">
        <v>28.482606914990299</v>
      </c>
      <c r="AL7675">
        <v>83.838304710416494</v>
      </c>
      <c r="AM7675">
        <v>106.545631634377</v>
      </c>
      <c r="AN7675">
        <v>1.0000000126844699</v>
      </c>
    </row>
    <row r="7676" spans="1:40" x14ac:dyDescent="0.25">
      <c r="A7676" t="str">
        <f>"20190303162106495"</f>
        <v>20190303162106495</v>
      </c>
      <c r="B7676" t="str">
        <f>"1551601266480438"</f>
        <v>1551601266480438</v>
      </c>
      <c r="C7676" t="s">
        <v>40</v>
      </c>
      <c r="D7676">
        <v>4.7460180000000003</v>
      </c>
      <c r="E7676">
        <v>0.47841519999999998</v>
      </c>
      <c r="F7676" t="s">
        <v>73</v>
      </c>
      <c r="G7676">
        <v>-387.57470000000001</v>
      </c>
      <c r="H7676" s="1">
        <v>-1.9292180000000002E-6</v>
      </c>
      <c r="I7676">
        <v>15.867660000000001</v>
      </c>
      <c r="J7676">
        <v>-413.26850000000002</v>
      </c>
      <c r="K7676">
        <v>1.124336</v>
      </c>
      <c r="L7676">
        <v>25.920559999999998</v>
      </c>
      <c r="M7676">
        <v>0.7590266</v>
      </c>
      <c r="N7676">
        <v>-1.3647090000000001E-2</v>
      </c>
      <c r="O7676">
        <v>-0.65091690000000002</v>
      </c>
      <c r="P7676">
        <v>0.90821439999999998</v>
      </c>
      <c r="Q7676">
        <v>9.598334E-2</v>
      </c>
      <c r="R7676">
        <v>-0.4073505</v>
      </c>
      <c r="S7676">
        <v>2.8205260000000001</v>
      </c>
      <c r="T7676">
        <v>-0.1230909</v>
      </c>
      <c r="U7676">
        <v>-1.1065670000000001</v>
      </c>
      <c r="V7676">
        <v>-0.28273749999999997</v>
      </c>
      <c r="W7676">
        <v>0.1070976</v>
      </c>
      <c r="X7676">
        <v>0.95319969999999998</v>
      </c>
      <c r="Y7676">
        <v>-0.32826529999999998</v>
      </c>
      <c r="Z7676">
        <v>2.4503420000000001E-2</v>
      </c>
      <c r="AA7676">
        <v>0.94426770000000004</v>
      </c>
      <c r="AB7676">
        <v>16</v>
      </c>
      <c r="AC7676">
        <v>25.6938</v>
      </c>
      <c r="AD7676">
        <v>-1.124337929218</v>
      </c>
      <c r="AE7676">
        <v>-10.052899999999999</v>
      </c>
      <c r="AF7676">
        <v>-9.0798766984420993</v>
      </c>
      <c r="AG7676">
        <v>-1.124337929218</v>
      </c>
      <c r="AH7676">
        <v>26.0051150421702</v>
      </c>
      <c r="AI7676">
        <v>92.337440225149294</v>
      </c>
      <c r="AJ7676">
        <v>109.24702283107599</v>
      </c>
      <c r="AK7676">
        <v>27.5676314723354</v>
      </c>
      <c r="AL7676">
        <v>83.851968400571096</v>
      </c>
      <c r="AM7676">
        <v>106.521377014878</v>
      </c>
      <c r="AN7676">
        <v>1.00000002895604</v>
      </c>
    </row>
    <row r="7677" spans="1:40" x14ac:dyDescent="0.25">
      <c r="A7677" t="str">
        <f>"20190303162106508"</f>
        <v>20190303162106508</v>
      </c>
      <c r="B7677" t="str">
        <f>"1551601266500934"</f>
        <v>1551601266500934</v>
      </c>
      <c r="C7677" t="s">
        <v>40</v>
      </c>
      <c r="D7677">
        <v>4.6982650000000001</v>
      </c>
      <c r="E7677">
        <v>0.47682580000000002</v>
      </c>
      <c r="F7677" t="s">
        <v>73</v>
      </c>
      <c r="G7677">
        <v>-388.17599999999999</v>
      </c>
      <c r="H7677" s="1">
        <v>-1.5935080000000001E-6</v>
      </c>
      <c r="I7677">
        <v>16.261489999999998</v>
      </c>
      <c r="J7677">
        <v>-413.19040000000001</v>
      </c>
      <c r="K7677">
        <v>1.124295</v>
      </c>
      <c r="L7677">
        <v>25.859770000000001</v>
      </c>
      <c r="M7677">
        <v>0.76163570000000003</v>
      </c>
      <c r="N7677">
        <v>-1.363986E-2</v>
      </c>
      <c r="O7677">
        <v>-0.64786199999999905</v>
      </c>
      <c r="P7677">
        <v>0.90961309999999995</v>
      </c>
      <c r="Q7677">
        <v>9.6076369999999994E-2</v>
      </c>
      <c r="R7677">
        <v>-0.40419500000000003</v>
      </c>
      <c r="S7677">
        <v>2.8282780000000001</v>
      </c>
      <c r="T7677">
        <v>-0.1267288</v>
      </c>
      <c r="U7677">
        <v>-1.0887150000000001</v>
      </c>
      <c r="V7677">
        <v>-0.28220020000000001</v>
      </c>
      <c r="W7677">
        <v>0.1072148</v>
      </c>
      <c r="X7677">
        <v>0.95334569999999996</v>
      </c>
      <c r="Y7677">
        <v>-0.33049489999999998</v>
      </c>
      <c r="Z7677">
        <v>2.5422989999999999E-2</v>
      </c>
      <c r="AA7677">
        <v>0.94346529999999995</v>
      </c>
      <c r="AB7677">
        <v>16</v>
      </c>
      <c r="AC7677">
        <v>25.014399999999998</v>
      </c>
      <c r="AD7677">
        <v>-1.12429659350799</v>
      </c>
      <c r="AE7677">
        <v>-9.5982800000000008</v>
      </c>
      <c r="AF7677">
        <v>-8.8806756049910494</v>
      </c>
      <c r="AG7677">
        <v>-1.12429659350799</v>
      </c>
      <c r="AH7677">
        <v>25.228146251703901</v>
      </c>
      <c r="AI7677">
        <v>92.407110224556504</v>
      </c>
      <c r="AJ7677">
        <v>109.392812387017</v>
      </c>
      <c r="AK7677">
        <v>26.769195081821501</v>
      </c>
      <c r="AL7677">
        <v>83.845214237458407</v>
      </c>
      <c r="AM7677">
        <v>106.489299257383</v>
      </c>
      <c r="AN7677">
        <v>0.999999994963784</v>
      </c>
    </row>
    <row r="7678" spans="1:40" x14ac:dyDescent="0.25">
      <c r="A7678" t="str">
        <f>"20190303162106521"</f>
        <v>20190303162106521</v>
      </c>
      <c r="B7678" t="str">
        <f>"1551601266510693"</f>
        <v>1551601266510693</v>
      </c>
      <c r="C7678" t="s">
        <v>40</v>
      </c>
      <c r="D7678">
        <v>4.6801979999999999</v>
      </c>
      <c r="E7678">
        <v>0.47618549999999998</v>
      </c>
      <c r="F7678" t="s">
        <v>73</v>
      </c>
      <c r="G7678">
        <v>-388.92500000000001</v>
      </c>
      <c r="H7678" s="1">
        <v>-1.181008E-6</v>
      </c>
      <c r="I7678">
        <v>16.730899999999998</v>
      </c>
      <c r="J7678">
        <v>-413.11340000000001</v>
      </c>
      <c r="K7678">
        <v>1.1242589999999999</v>
      </c>
      <c r="L7678">
        <v>25.800319999999999</v>
      </c>
      <c r="M7678">
        <v>0.76416079999999997</v>
      </c>
      <c r="N7678">
        <v>-1.363235E-2</v>
      </c>
      <c r="O7678">
        <v>-0.644881699999999</v>
      </c>
      <c r="P7678">
        <v>0.91089180000000003</v>
      </c>
      <c r="Q7678">
        <v>9.6026410000000006E-2</v>
      </c>
      <c r="R7678">
        <v>-0.40131699999999998</v>
      </c>
      <c r="S7678">
        <v>2.8376160000000001</v>
      </c>
      <c r="T7678">
        <v>-0.131475799999999</v>
      </c>
      <c r="U7678">
        <v>-1.0675349999999999</v>
      </c>
      <c r="V7678">
        <v>-0.28148260000000003</v>
      </c>
      <c r="W7678">
        <v>0.1071901</v>
      </c>
      <c r="X7678">
        <v>0.95356059999999998</v>
      </c>
      <c r="Y7678">
        <v>-0.33395219999999998</v>
      </c>
      <c r="Z7678">
        <v>2.6647669999999998E-2</v>
      </c>
      <c r="AA7678">
        <v>0.94221319999999997</v>
      </c>
      <c r="AB7678">
        <v>16</v>
      </c>
      <c r="AC7678">
        <v>24.188400000000001</v>
      </c>
      <c r="AD7678">
        <v>-1.124260181008</v>
      </c>
      <c r="AE7678">
        <v>-9.0694199999999991</v>
      </c>
      <c r="AF7678">
        <v>-8.6525785345424797</v>
      </c>
      <c r="AG7678">
        <v>-1.124260181008</v>
      </c>
      <c r="AH7678">
        <v>24.288787544972401</v>
      </c>
      <c r="AI7678">
        <v>92.496691764520307</v>
      </c>
      <c r="AJ7678">
        <v>109.607809041422</v>
      </c>
      <c r="AK7678">
        <v>25.808453589005101</v>
      </c>
      <c r="AL7678">
        <v>83.846637644740696</v>
      </c>
      <c r="AM7678">
        <v>106.44613121884601</v>
      </c>
      <c r="AN7678">
        <v>0.99999999475656498</v>
      </c>
    </row>
    <row r="7679" spans="1:40" x14ac:dyDescent="0.25">
      <c r="A7679" t="str">
        <f>"20190303162106538"</f>
        <v>20190303162106538</v>
      </c>
      <c r="B7679" t="str">
        <f>"1551601266530213"</f>
        <v>1551601266530213</v>
      </c>
      <c r="C7679" t="s">
        <v>40</v>
      </c>
      <c r="D7679">
        <v>4.7018279999999999</v>
      </c>
      <c r="E7679">
        <v>0.475329</v>
      </c>
      <c r="F7679" t="s">
        <v>73</v>
      </c>
      <c r="G7679">
        <v>-389.03699999999998</v>
      </c>
      <c r="H7679" s="1">
        <v>-1.0988120000000001E-6</v>
      </c>
      <c r="I7679">
        <v>16.878039999999999</v>
      </c>
      <c r="J7679">
        <v>-413.017</v>
      </c>
      <c r="K7679">
        <v>1.124225</v>
      </c>
      <c r="L7679">
        <v>25.726469999999999</v>
      </c>
      <c r="M7679">
        <v>0.767266</v>
      </c>
      <c r="N7679">
        <v>-1.3622789999999999E-2</v>
      </c>
      <c r="O7679">
        <v>-0.64118430000000004</v>
      </c>
      <c r="P7679">
        <v>0.91212709999999997</v>
      </c>
      <c r="Q7679">
        <v>9.6503210000000006E-2</v>
      </c>
      <c r="R7679">
        <v>-0.39838600000000002</v>
      </c>
      <c r="S7679">
        <v>2.8432309999999998</v>
      </c>
      <c r="T7679">
        <v>-0.1327661</v>
      </c>
      <c r="U7679">
        <v>-1.05365</v>
      </c>
      <c r="V7679">
        <v>-0.27990150000000003</v>
      </c>
      <c r="W7679">
        <v>0.1077031</v>
      </c>
      <c r="X7679">
        <v>0.95396809999999999</v>
      </c>
      <c r="Y7679">
        <v>-0.33404200000000001</v>
      </c>
      <c r="Z7679">
        <v>2.6899360000000001E-2</v>
      </c>
      <c r="AA7679">
        <v>0.94217430000000002</v>
      </c>
      <c r="AB7679">
        <v>16</v>
      </c>
      <c r="AC7679">
        <v>23.98</v>
      </c>
      <c r="AD7679">
        <v>-1.1242260988120001</v>
      </c>
      <c r="AE7679">
        <v>-8.8484300000000005</v>
      </c>
      <c r="AF7679">
        <v>-8.5707167177302193</v>
      </c>
      <c r="AG7679">
        <v>-1.1242260988120001</v>
      </c>
      <c r="AH7679">
        <v>24.028264104786899</v>
      </c>
      <c r="AI7679">
        <v>92.523287488107997</v>
      </c>
      <c r="AJ7679">
        <v>109.63096817795299</v>
      </c>
      <c r="AK7679">
        <v>25.535828658303199</v>
      </c>
      <c r="AL7679">
        <v>83.817073616280993</v>
      </c>
      <c r="AM7679">
        <v>106.352090024083</v>
      </c>
      <c r="AN7679">
        <v>0.99999997163473398</v>
      </c>
    </row>
    <row r="7680" spans="1:40" x14ac:dyDescent="0.25">
      <c r="A7680" t="str">
        <f>"20190303162106552"</f>
        <v>20190303162106552</v>
      </c>
      <c r="B7680" t="str">
        <f>"1551601266540950"</f>
        <v>1551601266540950</v>
      </c>
      <c r="C7680" t="s">
        <v>40</v>
      </c>
      <c r="D7680">
        <v>4.6993819999999999</v>
      </c>
      <c r="E7680">
        <v>0.47505979999999998</v>
      </c>
      <c r="F7680" t="s">
        <v>73</v>
      </c>
      <c r="G7680">
        <v>-389.21370000000002</v>
      </c>
      <c r="H7680" s="1">
        <v>-9.8377639999999995E-7</v>
      </c>
      <c r="I7680">
        <v>17.055389999999999</v>
      </c>
      <c r="J7680">
        <v>-412.94040000000001</v>
      </c>
      <c r="K7680">
        <v>1.124193</v>
      </c>
      <c r="L7680">
        <v>25.668209999999998</v>
      </c>
      <c r="M7680">
        <v>0.76969080000000001</v>
      </c>
      <c r="N7680">
        <v>-1.361512E-2</v>
      </c>
      <c r="O7680">
        <v>-0.6382719</v>
      </c>
      <c r="P7680">
        <v>0.91322550000000002</v>
      </c>
      <c r="Q7680">
        <v>9.7227910000000001E-2</v>
      </c>
      <c r="R7680">
        <v>-0.3956847</v>
      </c>
      <c r="S7680">
        <v>2.8498540000000001</v>
      </c>
      <c r="T7680">
        <v>-0.1345983</v>
      </c>
      <c r="U7680">
        <v>-1.0381469999999999</v>
      </c>
      <c r="V7680">
        <v>-0.27905479999999999</v>
      </c>
      <c r="W7680">
        <v>0.10845059999999999</v>
      </c>
      <c r="X7680">
        <v>0.95413150000000002</v>
      </c>
      <c r="Y7680">
        <v>-0.3356809</v>
      </c>
      <c r="Z7680">
        <v>2.7334560000000001E-2</v>
      </c>
      <c r="AA7680">
        <v>0.94157900000000005</v>
      </c>
      <c r="AB7680">
        <v>16</v>
      </c>
      <c r="AC7680">
        <v>23.726699999999902</v>
      </c>
      <c r="AD7680">
        <v>-1.1241939837763999</v>
      </c>
      <c r="AE7680">
        <v>-8.6128199999999993</v>
      </c>
      <c r="AF7680">
        <v>-8.4988074751359406</v>
      </c>
      <c r="AG7680">
        <v>-1.1241939837763999</v>
      </c>
      <c r="AH7680">
        <v>23.714702386762099</v>
      </c>
      <c r="AI7680">
        <v>92.555171468501399</v>
      </c>
      <c r="AJ7680">
        <v>109.716519363665</v>
      </c>
      <c r="AK7680">
        <v>25.216674045267801</v>
      </c>
      <c r="AL7680">
        <v>83.773992955511105</v>
      </c>
      <c r="AM7680">
        <v>106.30261238575299</v>
      </c>
      <c r="AN7680">
        <v>1.00000001666782</v>
      </c>
    </row>
    <row r="7681" spans="1:40" x14ac:dyDescent="0.25">
      <c r="A7681" t="str">
        <f>"20190303162106564"</f>
        <v>20190303162106564</v>
      </c>
      <c r="B7681" t="str">
        <f>"1551601266550710"</f>
        <v>1551601266550710</v>
      </c>
      <c r="C7681" t="s">
        <v>40</v>
      </c>
      <c r="D7681">
        <v>4.8621400000000001</v>
      </c>
      <c r="E7681">
        <v>0.474852</v>
      </c>
      <c r="F7681" t="s">
        <v>73</v>
      </c>
      <c r="G7681">
        <v>-388.8698</v>
      </c>
      <c r="H7681" s="1">
        <v>-1.130553E-6</v>
      </c>
      <c r="I7681">
        <v>17.00009</v>
      </c>
      <c r="J7681">
        <v>-412.87119999999999</v>
      </c>
      <c r="K7681">
        <v>1.124166</v>
      </c>
      <c r="L7681">
        <v>25.615880000000001</v>
      </c>
      <c r="M7681">
        <v>0.77185300000000001</v>
      </c>
      <c r="N7681">
        <v>-1.3608210000000001E-2</v>
      </c>
      <c r="O7681">
        <v>-0.63565550000000004</v>
      </c>
      <c r="P7681">
        <v>0.91417899999999996</v>
      </c>
      <c r="Q7681">
        <v>9.8068530000000001E-2</v>
      </c>
      <c r="R7681">
        <v>-0.39326820000000001</v>
      </c>
      <c r="S7681">
        <v>2.8539430000000001</v>
      </c>
      <c r="T7681">
        <v>-0.13329050000000001</v>
      </c>
      <c r="U7681">
        <v>-1.0277400000000001</v>
      </c>
      <c r="V7681">
        <v>-0.27827859999999999</v>
      </c>
      <c r="W7681">
        <v>0.1093109</v>
      </c>
      <c r="X7681">
        <v>0.95426</v>
      </c>
      <c r="Y7681">
        <v>-0.33596730000000002</v>
      </c>
      <c r="Z7681">
        <v>2.695183E-2</v>
      </c>
      <c r="AA7681">
        <v>0.94148799999999999</v>
      </c>
      <c r="AB7681">
        <v>16</v>
      </c>
      <c r="AC7681">
        <v>24.001399999999901</v>
      </c>
      <c r="AD7681">
        <v>-1.1241671305529899</v>
      </c>
      <c r="AE7681">
        <v>-8.6157899999999898</v>
      </c>
      <c r="AF7681">
        <v>-8.5906004546844894</v>
      </c>
      <c r="AG7681">
        <v>-1.1241671305529899</v>
      </c>
      <c r="AH7681">
        <v>23.9578894790112</v>
      </c>
      <c r="AI7681">
        <v>92.529053044716093</v>
      </c>
      <c r="AJ7681">
        <v>109.726353031324</v>
      </c>
      <c r="AK7681">
        <v>25.4763152005536</v>
      </c>
      <c r="AL7681">
        <v>83.724406489688207</v>
      </c>
      <c r="AM7681">
        <v>106.25759102628</v>
      </c>
      <c r="AN7681">
        <v>0.99999999983838495</v>
      </c>
    </row>
    <row r="7682" spans="1:40" x14ac:dyDescent="0.25">
      <c r="A7682" t="str">
        <f>"20190303162106577"</f>
        <v>20190303162106577</v>
      </c>
      <c r="B7682" t="str">
        <f>"1551601266570229"</f>
        <v>1551601266570229</v>
      </c>
      <c r="C7682" t="s">
        <v>40</v>
      </c>
      <c r="D7682">
        <v>4.9760359999999997</v>
      </c>
      <c r="E7682">
        <v>0.47465600000000002</v>
      </c>
      <c r="F7682" t="s">
        <v>73</v>
      </c>
      <c r="G7682">
        <v>-388.22460000000001</v>
      </c>
      <c r="H7682" s="1">
        <v>-1.422939E-6</v>
      </c>
      <c r="I7682">
        <v>16.832409999999999</v>
      </c>
      <c r="J7682">
        <v>-412.80099999999999</v>
      </c>
      <c r="K7682">
        <v>1.1241429999999999</v>
      </c>
      <c r="L7682">
        <v>25.56335</v>
      </c>
      <c r="M7682">
        <v>0.77400480000000005</v>
      </c>
      <c r="N7682">
        <v>-1.36013E-2</v>
      </c>
      <c r="O7682">
        <v>-0.63303359999999997</v>
      </c>
      <c r="P7682">
        <v>0.9150509</v>
      </c>
      <c r="Q7682">
        <v>9.8503250000000001E-2</v>
      </c>
      <c r="R7682">
        <v>-0.39112540000000001</v>
      </c>
      <c r="S7682">
        <v>2.8575740000000001</v>
      </c>
      <c r="T7682">
        <v>-0.13033810000000001</v>
      </c>
      <c r="U7682">
        <v>-1.0183719999999901</v>
      </c>
      <c r="V7682">
        <v>-0.27724149999999997</v>
      </c>
      <c r="W7682">
        <v>0.1097674</v>
      </c>
      <c r="X7682">
        <v>0.95450939999999995</v>
      </c>
      <c r="Y7682">
        <v>-0.33592080000000002</v>
      </c>
      <c r="Z7682">
        <v>2.6147920000000002E-2</v>
      </c>
      <c r="AA7682">
        <v>0.94152720000000001</v>
      </c>
      <c r="AB7682">
        <v>16</v>
      </c>
      <c r="AC7682">
        <v>24.5763999999999</v>
      </c>
      <c r="AD7682">
        <v>-1.1241444229390001</v>
      </c>
      <c r="AE7682">
        <v>-8.7309399999999897</v>
      </c>
      <c r="AF7682">
        <v>-8.7843924587778695</v>
      </c>
      <c r="AG7682">
        <v>-1.1241444229390001</v>
      </c>
      <c r="AH7682">
        <v>24.505975262233399</v>
      </c>
      <c r="AI7682">
        <v>92.472598469717695</v>
      </c>
      <c r="AJ7682">
        <v>109.720685620108</v>
      </c>
      <c r="AK7682">
        <v>26.057092606556299</v>
      </c>
      <c r="AL7682">
        <v>83.698092389192198</v>
      </c>
      <c r="AM7682">
        <v>106.196174081416</v>
      </c>
      <c r="AN7682">
        <v>0.99999996305668404</v>
      </c>
    </row>
    <row r="7683" spans="1:40" x14ac:dyDescent="0.25">
      <c r="A7683" t="str">
        <f>"20190303162106588"</f>
        <v>20190303162106588</v>
      </c>
      <c r="B7683" t="str">
        <f>"1551601266580966"</f>
        <v>1551601266580966</v>
      </c>
      <c r="C7683" t="s">
        <v>40</v>
      </c>
      <c r="D7683">
        <v>4.7066359999999996</v>
      </c>
      <c r="E7683">
        <v>0.4745683</v>
      </c>
      <c r="F7683" t="s">
        <v>73</v>
      </c>
      <c r="G7683">
        <v>-388.04590000000002</v>
      </c>
      <c r="H7683" s="1">
        <v>-1.493939E-6</v>
      </c>
      <c r="I7683">
        <v>16.823460000000001</v>
      </c>
      <c r="J7683">
        <v>-412.73450000000003</v>
      </c>
      <c r="K7683">
        <v>1.1241190000000001</v>
      </c>
      <c r="L7683">
        <v>25.513670000000001</v>
      </c>
      <c r="M7683">
        <v>0.77602640000000001</v>
      </c>
      <c r="N7683">
        <v>-1.359492E-2</v>
      </c>
      <c r="O7683">
        <v>-0.63055410000000001</v>
      </c>
      <c r="P7683">
        <v>0.91591129999999998</v>
      </c>
      <c r="Q7683">
        <v>9.9135399999999999E-2</v>
      </c>
      <c r="R7683">
        <v>-0.3889455</v>
      </c>
      <c r="S7683">
        <v>2.860779</v>
      </c>
      <c r="T7683">
        <v>-0.12990979999999999</v>
      </c>
      <c r="U7683">
        <v>-1.0100100000000001</v>
      </c>
      <c r="V7683">
        <v>-0.27641300000000002</v>
      </c>
      <c r="W7683">
        <v>0.11041810000000001</v>
      </c>
      <c r="X7683">
        <v>0.95467469999999999</v>
      </c>
      <c r="Y7683">
        <v>-0.33569100000000002</v>
      </c>
      <c r="Z7683">
        <v>2.5982379999999999E-2</v>
      </c>
      <c r="AA7683">
        <v>0.9416137</v>
      </c>
      <c r="AB7683">
        <v>16</v>
      </c>
      <c r="AC7683">
        <v>24.688600000000001</v>
      </c>
      <c r="AD7683">
        <v>-1.1241204939389999</v>
      </c>
      <c r="AE7683">
        <v>-8.6902100000000004</v>
      </c>
      <c r="AF7683">
        <v>-8.8082321137612194</v>
      </c>
      <c r="AG7683">
        <v>-1.1241204939389999</v>
      </c>
      <c r="AH7683">
        <v>24.595557499842901</v>
      </c>
      <c r="AI7683">
        <v>92.463814255231796</v>
      </c>
      <c r="AJ7683">
        <v>109.703608290847</v>
      </c>
      <c r="AK7683">
        <v>26.149379506651201</v>
      </c>
      <c r="AL7683">
        <v>83.660582519208702</v>
      </c>
      <c r="AM7683">
        <v>106.147650052431</v>
      </c>
      <c r="AN7683">
        <v>1.00000004309834</v>
      </c>
    </row>
    <row r="7684" spans="1:40" x14ac:dyDescent="0.25">
      <c r="A7684" t="str">
        <f>"20190303162106606"</f>
        <v>20190303162106606</v>
      </c>
      <c r="B7684" t="str">
        <f>"1551601266600486"</f>
        <v>1551601266600486</v>
      </c>
      <c r="C7684" t="s">
        <v>40</v>
      </c>
      <c r="D7684">
        <v>4.8571619999999998</v>
      </c>
      <c r="E7684">
        <v>0.47453440000000002</v>
      </c>
      <c r="F7684" t="s">
        <v>73</v>
      </c>
      <c r="G7684">
        <v>-387.6046</v>
      </c>
      <c r="H7684" s="1">
        <v>-1.6924249999999999E-6</v>
      </c>
      <c r="I7684">
        <v>16.714410000000001</v>
      </c>
      <c r="J7684">
        <v>-412.63830000000002</v>
      </c>
      <c r="K7684">
        <v>1.1240870000000001</v>
      </c>
      <c r="L7684">
        <v>25.44238</v>
      </c>
      <c r="M7684">
        <v>0.77890630000000005</v>
      </c>
      <c r="N7684">
        <v>-1.3585949999999999E-2</v>
      </c>
      <c r="O7684">
        <v>-0.62699320000000003</v>
      </c>
      <c r="P7684">
        <v>0.91702939999999999</v>
      </c>
      <c r="Q7684">
        <v>9.9233829999999995E-2</v>
      </c>
      <c r="R7684">
        <v>-0.38627709999999998</v>
      </c>
      <c r="S7684">
        <v>2.8634949999999999</v>
      </c>
      <c r="T7684">
        <v>-0.12809089999999901</v>
      </c>
      <c r="U7684">
        <v>-1.0026550000000001</v>
      </c>
      <c r="V7684">
        <v>-0.27480209999999999</v>
      </c>
      <c r="W7684">
        <v>0.11054700000000001</v>
      </c>
      <c r="X7684">
        <v>0.95512470000000005</v>
      </c>
      <c r="Y7684">
        <v>-0.33382990000000001</v>
      </c>
      <c r="Z7684">
        <v>2.5409419999999999E-2</v>
      </c>
      <c r="AA7684">
        <v>0.94229079999999998</v>
      </c>
      <c r="AB7684">
        <v>16</v>
      </c>
      <c r="AC7684">
        <v>25.0337</v>
      </c>
      <c r="AD7684">
        <v>-1.124088692425</v>
      </c>
      <c r="AE7684">
        <v>-8.7279699999999991</v>
      </c>
      <c r="AF7684">
        <v>-8.8825411720571097</v>
      </c>
      <c r="AG7684">
        <v>-1.124088692425</v>
      </c>
      <c r="AH7684">
        <v>24.9287726543639</v>
      </c>
      <c r="AI7684">
        <v>92.432241844359595</v>
      </c>
      <c r="AJ7684">
        <v>109.611838888132</v>
      </c>
      <c r="AK7684">
        <v>26.487861731643999</v>
      </c>
      <c r="AL7684">
        <v>83.653151409887997</v>
      </c>
      <c r="AM7684">
        <v>106.05123196402801</v>
      </c>
      <c r="AN7684">
        <v>1.0000000129617499</v>
      </c>
    </row>
    <row r="7685" spans="1:40" x14ac:dyDescent="0.25">
      <c r="A7685" t="str">
        <f>"20190303162106627"</f>
        <v>20190303162106627</v>
      </c>
      <c r="B7685" t="str">
        <f>"1551601266620005"</f>
        <v>1551601266620005</v>
      </c>
      <c r="C7685" t="s">
        <v>40</v>
      </c>
      <c r="D7685">
        <v>4.9147499999999997</v>
      </c>
      <c r="E7685">
        <v>0.47458080000000002</v>
      </c>
      <c r="F7685" t="s">
        <v>73</v>
      </c>
      <c r="G7685">
        <v>-387.53789999999998</v>
      </c>
      <c r="H7685" s="1">
        <v>-1.710117E-6</v>
      </c>
      <c r="I7685">
        <v>16.74418</v>
      </c>
      <c r="J7685">
        <v>-412.51190000000003</v>
      </c>
      <c r="K7685">
        <v>1.1240520000000001</v>
      </c>
      <c r="L7685">
        <v>25.349789999999999</v>
      </c>
      <c r="M7685">
        <v>0.7826071</v>
      </c>
      <c r="N7685">
        <v>-1.357483E-2</v>
      </c>
      <c r="O7685">
        <v>-0.62236829999999999</v>
      </c>
      <c r="P7685">
        <v>0.91856890000000002</v>
      </c>
      <c r="Q7685">
        <v>9.9268469999999998E-2</v>
      </c>
      <c r="R7685">
        <v>-0.38259339999999997</v>
      </c>
      <c r="S7685">
        <v>2.8668520000000002</v>
      </c>
      <c r="T7685">
        <v>-0.12838840000000001</v>
      </c>
      <c r="U7685">
        <v>-0.99346920000000005</v>
      </c>
      <c r="V7685">
        <v>-0.27296290000000001</v>
      </c>
      <c r="W7685">
        <v>0.1106133</v>
      </c>
      <c r="X7685">
        <v>0.95564420000000005</v>
      </c>
      <c r="Y7685">
        <v>-0.331283099999999</v>
      </c>
      <c r="Z7685">
        <v>2.53298E-2</v>
      </c>
      <c r="AA7685">
        <v>0.94319129999999995</v>
      </c>
      <c r="AB7685">
        <v>16</v>
      </c>
      <c r="AC7685">
        <v>24.974</v>
      </c>
      <c r="AD7685">
        <v>-1.1240537101170001</v>
      </c>
      <c r="AE7685">
        <v>-8.6056099999999898</v>
      </c>
      <c r="AF7685">
        <v>-8.7931016169461405</v>
      </c>
      <c r="AG7685">
        <v>-1.1240537101170001</v>
      </c>
      <c r="AH7685">
        <v>24.857964864687901</v>
      </c>
      <c r="AI7685">
        <v>92.441070698891807</v>
      </c>
      <c r="AJ7685">
        <v>109.480406742638</v>
      </c>
      <c r="AK7685">
        <v>26.391296860958299</v>
      </c>
      <c r="AL7685">
        <v>83.649328806501103</v>
      </c>
      <c r="AM7685">
        <v>105.941055620646</v>
      </c>
      <c r="AN7685">
        <v>0.99999994195346797</v>
      </c>
    </row>
    <row r="7686" spans="1:40" x14ac:dyDescent="0.25">
      <c r="A7686" t="str">
        <f>"20190303162106638"</f>
        <v>20190303162106638</v>
      </c>
      <c r="B7686" t="str">
        <f>"1551601266630742"</f>
        <v>1551601266630742</v>
      </c>
      <c r="C7686" t="s">
        <v>40</v>
      </c>
      <c r="D7686">
        <v>4.733708</v>
      </c>
      <c r="E7686">
        <v>0.47465659999999998</v>
      </c>
      <c r="F7686" t="s">
        <v>73</v>
      </c>
      <c r="G7686">
        <v>-387.65219999999999</v>
      </c>
      <c r="H7686" s="1">
        <v>-1.639241E-6</v>
      </c>
      <c r="I7686">
        <v>16.845649999999999</v>
      </c>
      <c r="J7686">
        <v>-412.44850000000002</v>
      </c>
      <c r="K7686">
        <v>1.124037</v>
      </c>
      <c r="L7686">
        <v>25.303830000000001</v>
      </c>
      <c r="M7686">
        <v>0.78443399999999996</v>
      </c>
      <c r="N7686">
        <v>-1.3569639999999999E-2</v>
      </c>
      <c r="O7686">
        <v>-0.62006399999999995</v>
      </c>
      <c r="P7686">
        <v>0.91934930000000004</v>
      </c>
      <c r="Q7686">
        <v>9.9246200000000007E-2</v>
      </c>
      <c r="R7686">
        <v>-0.38071929999999998</v>
      </c>
      <c r="S7686">
        <v>2.8709720000000001</v>
      </c>
      <c r="T7686">
        <v>-0.1298134</v>
      </c>
      <c r="U7686">
        <v>-0.98211669999999995</v>
      </c>
      <c r="V7686">
        <v>-0.27209670000000002</v>
      </c>
      <c r="W7686">
        <v>0.1106043</v>
      </c>
      <c r="X7686">
        <v>0.95589230000000003</v>
      </c>
      <c r="Y7686">
        <v>-0.33224789999999998</v>
      </c>
      <c r="Z7686">
        <v>2.565827E-2</v>
      </c>
      <c r="AA7686">
        <v>0.94284299999999999</v>
      </c>
      <c r="AB7686">
        <v>16</v>
      </c>
      <c r="AC7686">
        <v>24.796299999999999</v>
      </c>
      <c r="AD7686">
        <v>-1.124038639241</v>
      </c>
      <c r="AE7686">
        <v>-8.4581799999999898</v>
      </c>
      <c r="AF7686">
        <v>-8.7251524076643694</v>
      </c>
      <c r="AG7686">
        <v>-1.124038639241</v>
      </c>
      <c r="AH7686">
        <v>24.652566849864002</v>
      </c>
      <c r="AI7686">
        <v>92.461203522636694</v>
      </c>
      <c r="AJ7686">
        <v>109.490129227651</v>
      </c>
      <c r="AK7686">
        <v>26.175194358141699</v>
      </c>
      <c r="AL7686">
        <v>83.649848068613295</v>
      </c>
      <c r="AM7686">
        <v>105.88911167920401</v>
      </c>
      <c r="AN7686">
        <v>1.00000000726433</v>
      </c>
    </row>
    <row r="7687" spans="1:40" x14ac:dyDescent="0.25">
      <c r="A7687" t="str">
        <f>"20190303162106650"</f>
        <v>20190303162106650</v>
      </c>
      <c r="B7687" t="str">
        <f>"1551601266640501"</f>
        <v>1551601266640501</v>
      </c>
      <c r="C7687" t="s">
        <v>40</v>
      </c>
      <c r="D7687">
        <v>4.8930439999999997</v>
      </c>
      <c r="E7687">
        <v>0.47452539999999999</v>
      </c>
      <c r="F7687" t="s">
        <v>73</v>
      </c>
      <c r="G7687">
        <v>-387.84140000000002</v>
      </c>
      <c r="H7687" s="1">
        <v>-1.542105E-6</v>
      </c>
      <c r="I7687">
        <v>16.937639999999998</v>
      </c>
      <c r="J7687">
        <v>-412.38440000000003</v>
      </c>
      <c r="K7687">
        <v>1.124026</v>
      </c>
      <c r="L7687">
        <v>25.257449999999999</v>
      </c>
      <c r="M7687">
        <v>0.78626859999999998</v>
      </c>
      <c r="N7687">
        <v>-1.35646E-2</v>
      </c>
      <c r="O7687">
        <v>-0.61773599999999995</v>
      </c>
      <c r="P7687">
        <v>0.92003060000000003</v>
      </c>
      <c r="Q7687">
        <v>9.94202E-2</v>
      </c>
      <c r="R7687">
        <v>-0.37902429999999998</v>
      </c>
      <c r="S7687">
        <v>2.8728639999999999</v>
      </c>
      <c r="T7687">
        <v>-0.1312305</v>
      </c>
      <c r="U7687">
        <v>-0.97674559999999999</v>
      </c>
      <c r="V7687">
        <v>-0.27100920000000001</v>
      </c>
      <c r="W7687">
        <v>0.1107929</v>
      </c>
      <c r="X7687">
        <v>0.95617929999999995</v>
      </c>
      <c r="Y7687">
        <v>-0.33120909999999998</v>
      </c>
      <c r="Z7687">
        <v>2.593531E-2</v>
      </c>
      <c r="AA7687">
        <v>0.94320090000000001</v>
      </c>
      <c r="AB7687">
        <v>16</v>
      </c>
      <c r="AC7687">
        <v>24.542999999999999</v>
      </c>
      <c r="AD7687">
        <v>-1.1240275421050001</v>
      </c>
      <c r="AE7687">
        <v>-8.3198100000000004</v>
      </c>
      <c r="AF7687">
        <v>-8.60409519794052</v>
      </c>
      <c r="AG7687">
        <v>-1.1240275421050001</v>
      </c>
      <c r="AH7687">
        <v>24.393193113893101</v>
      </c>
      <c r="AI7687">
        <v>92.488252494446598</v>
      </c>
      <c r="AJ7687">
        <v>109.429032930548</v>
      </c>
      <c r="AK7687">
        <v>25.890572847704998</v>
      </c>
      <c r="AL7687">
        <v>83.638974916984594</v>
      </c>
      <c r="AM7687">
        <v>105.824282054176</v>
      </c>
      <c r="AN7687">
        <v>0.99999995346176795</v>
      </c>
    </row>
    <row r="7688" spans="1:40" x14ac:dyDescent="0.25">
      <c r="A7688" t="str">
        <f>"20190303162106661"</f>
        <v>20190303162106661</v>
      </c>
      <c r="B7688" t="str">
        <f>"1551601266650261"</f>
        <v>1551601266650261</v>
      </c>
      <c r="C7688" t="s">
        <v>40</v>
      </c>
      <c r="D7688">
        <v>4.8523009999999998</v>
      </c>
      <c r="E7688">
        <v>0.47456179999999898</v>
      </c>
      <c r="F7688" t="s">
        <v>73</v>
      </c>
      <c r="G7688">
        <v>-388.10789999999997</v>
      </c>
      <c r="H7688" s="1">
        <v>-1.4063439999999999E-6</v>
      </c>
      <c r="I7688">
        <v>17.063179999999999</v>
      </c>
      <c r="J7688">
        <v>-412.31459999999998</v>
      </c>
      <c r="K7688">
        <v>1.1240159999999999</v>
      </c>
      <c r="L7688">
        <v>25.207339999999999</v>
      </c>
      <c r="M7688">
        <v>0.78824340000000004</v>
      </c>
      <c r="N7688">
        <v>-1.3559379999999999E-2</v>
      </c>
      <c r="O7688">
        <v>-0.61521429999999999</v>
      </c>
      <c r="P7688">
        <v>0.92073890000000003</v>
      </c>
      <c r="Q7688">
        <v>9.9762400000000001E-2</v>
      </c>
      <c r="R7688">
        <v>-0.3772103</v>
      </c>
      <c r="S7688">
        <v>2.8752749999999998</v>
      </c>
      <c r="T7688">
        <v>-0.13312850000000001</v>
      </c>
      <c r="U7688">
        <v>-0.97052000000000005</v>
      </c>
      <c r="V7688">
        <v>-0.26980500000000002</v>
      </c>
      <c r="W7688">
        <v>0.11114930000000001</v>
      </c>
      <c r="X7688">
        <v>0.95647850000000001</v>
      </c>
      <c r="Y7688">
        <v>-0.33024290000000001</v>
      </c>
      <c r="Z7688">
        <v>2.63234E-2</v>
      </c>
      <c r="AA7688">
        <v>0.9435289</v>
      </c>
      <c r="AB7688">
        <v>16</v>
      </c>
      <c r="AC7688">
        <v>24.206700000000001</v>
      </c>
      <c r="AD7688">
        <v>-1.1240174063439901</v>
      </c>
      <c r="AE7688">
        <v>-8.1441599999999994</v>
      </c>
      <c r="AF7688">
        <v>-8.4571254911652005</v>
      </c>
      <c r="AG7688">
        <v>-1.1240174063439901</v>
      </c>
      <c r="AH7688">
        <v>24.0468124192357</v>
      </c>
      <c r="AI7688">
        <v>92.524840082457402</v>
      </c>
      <c r="AJ7688">
        <v>109.376479758508</v>
      </c>
      <c r="AK7688">
        <v>25.515398766803301</v>
      </c>
      <c r="AL7688">
        <v>83.618428174664999</v>
      </c>
      <c r="AM7688">
        <v>105.752783530426</v>
      </c>
      <c r="AN7688">
        <v>1.00000001293887</v>
      </c>
    </row>
    <row r="7689" spans="1:40" x14ac:dyDescent="0.25">
      <c r="A7689" t="str">
        <f>"20190303162106674"</f>
        <v>20190303162106674</v>
      </c>
      <c r="B7689" t="str">
        <f>"1551601266660022"</f>
        <v>1551601266660022</v>
      </c>
      <c r="C7689" t="s">
        <v>40</v>
      </c>
      <c r="D7689">
        <v>4.8521320000000001</v>
      </c>
      <c r="E7689">
        <v>0.47452139999999998</v>
      </c>
      <c r="F7689" t="s">
        <v>73</v>
      </c>
      <c r="G7689">
        <v>-387.93970000000002</v>
      </c>
      <c r="H7689" s="1">
        <v>-1.4791529999999999E-6</v>
      </c>
      <c r="I7689">
        <v>17.03238</v>
      </c>
      <c r="J7689">
        <v>-412.2432</v>
      </c>
      <c r="K7689">
        <v>1.1240110000000001</v>
      </c>
      <c r="L7689">
        <v>25.15643</v>
      </c>
      <c r="M7689">
        <v>0.79024269999999996</v>
      </c>
      <c r="N7689">
        <v>-1.3554409999999999E-2</v>
      </c>
      <c r="O7689">
        <v>-0.61264410000000002</v>
      </c>
      <c r="P7689">
        <v>0.92145319999999997</v>
      </c>
      <c r="Q7689">
        <v>0.1002091</v>
      </c>
      <c r="R7689">
        <v>-0.37534279999999998</v>
      </c>
      <c r="S7689">
        <v>2.8772890000000002</v>
      </c>
      <c r="T7689">
        <v>-0.132682299999999</v>
      </c>
      <c r="U7689">
        <v>-0.96499630000000003</v>
      </c>
      <c r="V7689">
        <v>-0.26859729999999998</v>
      </c>
      <c r="W7689">
        <v>0.111609</v>
      </c>
      <c r="X7689">
        <v>0.95676479999999997</v>
      </c>
      <c r="Y7689">
        <v>-0.32900299999999999</v>
      </c>
      <c r="Z7689">
        <v>2.612565E-2</v>
      </c>
      <c r="AA7689">
        <v>0.94396740000000001</v>
      </c>
      <c r="AB7689">
        <v>16</v>
      </c>
      <c r="AC7689">
        <v>24.3034999999999</v>
      </c>
      <c r="AD7689">
        <v>-1.124012479153</v>
      </c>
      <c r="AE7689">
        <v>-8.1240500000000004</v>
      </c>
      <c r="AF7689">
        <v>-8.4539373822267798</v>
      </c>
      <c r="AG7689">
        <v>-1.124012479153</v>
      </c>
      <c r="AH7689">
        <v>24.138593764540399</v>
      </c>
      <c r="AI7689">
        <v>92.516394883034195</v>
      </c>
      <c r="AJ7689">
        <v>109.301526667841</v>
      </c>
      <c r="AK7689">
        <v>25.60086268557</v>
      </c>
      <c r="AL7689">
        <v>83.591924189201293</v>
      </c>
      <c r="AM7689">
        <v>105.681286143544</v>
      </c>
      <c r="AN7689">
        <v>0.99999998048366401</v>
      </c>
    </row>
    <row r="7690" spans="1:40" x14ac:dyDescent="0.25">
      <c r="A7690" t="str">
        <f>"20190303162106685"</f>
        <v>20190303162106685</v>
      </c>
      <c r="B7690" t="str">
        <f>"1551601266670758"</f>
        <v>1551601266670758</v>
      </c>
      <c r="C7690" t="s">
        <v>40</v>
      </c>
      <c r="D7690">
        <v>4.9684049999999997</v>
      </c>
      <c r="E7690">
        <v>0.4746031</v>
      </c>
      <c r="F7690" t="s">
        <v>73</v>
      </c>
      <c r="G7690">
        <v>-387.97609999999997</v>
      </c>
      <c r="H7690" s="1">
        <v>-1.4532220000000001E-6</v>
      </c>
      <c r="I7690">
        <v>17.077200000000001</v>
      </c>
      <c r="J7690">
        <v>-412.17919999999998</v>
      </c>
      <c r="K7690">
        <v>1.1240049999999999</v>
      </c>
      <c r="L7690">
        <v>25.11102</v>
      </c>
      <c r="M7690">
        <v>0.79201969999999899</v>
      </c>
      <c r="N7690">
        <v>-1.3550120000000001E-2</v>
      </c>
      <c r="O7690">
        <v>-0.61034540000000004</v>
      </c>
      <c r="P7690">
        <v>0.92202229999999996</v>
      </c>
      <c r="Q7690">
        <v>0.10070759999999999</v>
      </c>
      <c r="R7690">
        <v>-0.37380859999999999</v>
      </c>
      <c r="S7690">
        <v>2.8797000000000001</v>
      </c>
      <c r="T7690">
        <v>-0.13338340000000001</v>
      </c>
      <c r="U7690">
        <v>-0.95874020000000004</v>
      </c>
      <c r="V7690">
        <v>-0.26737490000000003</v>
      </c>
      <c r="W7690">
        <v>0.1121202</v>
      </c>
      <c r="X7690">
        <v>0.95704739999999999</v>
      </c>
      <c r="Y7690">
        <v>-0.32833689999999999</v>
      </c>
      <c r="Z7690">
        <v>2.622756E-2</v>
      </c>
      <c r="AA7690">
        <v>0.94419649999999999</v>
      </c>
      <c r="AB7690">
        <v>16</v>
      </c>
      <c r="AC7690">
        <v>24.203099999999999</v>
      </c>
      <c r="AD7690">
        <v>-1.124006453222</v>
      </c>
      <c r="AE7690">
        <v>-8.0338199999999897</v>
      </c>
      <c r="AF7690">
        <v>-8.3937713613757996</v>
      </c>
      <c r="AG7690">
        <v>-1.124006453222</v>
      </c>
      <c r="AH7690">
        <v>24.028264165415699</v>
      </c>
      <c r="AI7690">
        <v>92.528625778664207</v>
      </c>
      <c r="AJ7690">
        <v>109.25579316721399</v>
      </c>
      <c r="AK7690">
        <v>25.476975232097999</v>
      </c>
      <c r="AL7690">
        <v>83.562449720651998</v>
      </c>
      <c r="AM7690">
        <v>105.609022525345</v>
      </c>
      <c r="AN7690">
        <v>1.0000000011224</v>
      </c>
    </row>
    <row r="7691" spans="1:40" x14ac:dyDescent="0.25">
      <c r="A7691" t="str">
        <f>"20190303162106706"</f>
        <v>20190303162106706</v>
      </c>
      <c r="B7691" t="str">
        <f>"1551601266700037"</f>
        <v>1551601266700037</v>
      </c>
      <c r="C7691" t="s">
        <v>40</v>
      </c>
      <c r="D7691">
        <v>4.9108109999999998</v>
      </c>
      <c r="E7691">
        <v>0.47478900000000002</v>
      </c>
      <c r="F7691" t="s">
        <v>73</v>
      </c>
      <c r="G7691">
        <v>-387.5668</v>
      </c>
      <c r="H7691" s="1">
        <v>-1.642381E-6</v>
      </c>
      <c r="I7691">
        <v>16.95711</v>
      </c>
      <c r="J7691">
        <v>-412.05950000000001</v>
      </c>
      <c r="K7691">
        <v>1.1239889999999999</v>
      </c>
      <c r="L7691">
        <v>25.026890000000002</v>
      </c>
      <c r="M7691">
        <v>0.79529550000000004</v>
      </c>
      <c r="N7691">
        <v>-1.3542429999999999E-2</v>
      </c>
      <c r="O7691">
        <v>-0.60607080000000002</v>
      </c>
      <c r="P7691">
        <v>0.92294219999999905</v>
      </c>
      <c r="Q7691">
        <v>0.10157620000000001</v>
      </c>
      <c r="R7691">
        <v>-0.3712954</v>
      </c>
      <c r="S7691">
        <v>2.8811339999999999</v>
      </c>
      <c r="T7691">
        <v>-0.13157629999999901</v>
      </c>
      <c r="U7691">
        <v>-0.95449830000000002</v>
      </c>
      <c r="V7691">
        <v>-0.26476569999999999</v>
      </c>
      <c r="W7691">
        <v>0.1130157</v>
      </c>
      <c r="X7691">
        <v>0.95766719999999905</v>
      </c>
      <c r="Y7691">
        <v>-0.3246636</v>
      </c>
      <c r="Z7691">
        <v>2.5602349999999999E-2</v>
      </c>
      <c r="AA7691">
        <v>0.94548299999999996</v>
      </c>
      <c r="AB7691">
        <v>16</v>
      </c>
      <c r="AC7691">
        <v>24.492699999999999</v>
      </c>
      <c r="AD7691">
        <v>-1.123990642381</v>
      </c>
      <c r="AE7691">
        <v>-8.0697799999999908</v>
      </c>
      <c r="AF7691">
        <v>-8.4112435567394801</v>
      </c>
      <c r="AG7691">
        <v>-1.123990642381</v>
      </c>
      <c r="AH7691">
        <v>24.325812553600699</v>
      </c>
      <c r="AI7691">
        <v>92.500451655147202</v>
      </c>
      <c r="AJ7691">
        <v>109.074076006181</v>
      </c>
      <c r="AK7691">
        <v>25.763492184249198</v>
      </c>
      <c r="AL7691">
        <v>83.5108127830201</v>
      </c>
      <c r="AM7691">
        <v>105.45449429226601</v>
      </c>
      <c r="AN7691">
        <v>0.99999994514940804</v>
      </c>
    </row>
    <row r="7692" spans="1:40" x14ac:dyDescent="0.25">
      <c r="A7692" t="str">
        <f>"20190303162106719"</f>
        <v>20190303162106719</v>
      </c>
      <c r="B7692" t="str">
        <f>"1551601266710773"</f>
        <v>1551601266710773</v>
      </c>
      <c r="C7692" t="s">
        <v>40</v>
      </c>
      <c r="D7692">
        <v>4.9713799999999999</v>
      </c>
      <c r="E7692">
        <v>0.47486129999999999</v>
      </c>
      <c r="F7692" t="s">
        <v>73</v>
      </c>
      <c r="G7692">
        <v>-386.95429999999999</v>
      </c>
      <c r="H7692" s="1">
        <v>-1.9438630000000002E-6</v>
      </c>
      <c r="I7692">
        <v>16.776720000000001</v>
      </c>
      <c r="J7692">
        <v>-411.98250000000002</v>
      </c>
      <c r="K7692">
        <v>1.1239809999999999</v>
      </c>
      <c r="L7692">
        <v>24.973330000000001</v>
      </c>
      <c r="M7692">
        <v>0.79737190000000002</v>
      </c>
      <c r="N7692">
        <v>-1.353771E-2</v>
      </c>
      <c r="O7692">
        <v>-0.60333649999999905</v>
      </c>
      <c r="P7692">
        <v>0.92368700000000004</v>
      </c>
      <c r="Q7692">
        <v>0.1019205</v>
      </c>
      <c r="R7692">
        <v>-0.36934339999999999</v>
      </c>
      <c r="S7692">
        <v>2.8834529999999998</v>
      </c>
      <c r="T7692">
        <v>-0.12909580000000001</v>
      </c>
      <c r="U7692">
        <v>-0.94757080000000005</v>
      </c>
      <c r="V7692">
        <v>-0.26347609999999999</v>
      </c>
      <c r="W7692">
        <v>0.1133734</v>
      </c>
      <c r="X7692">
        <v>0.95798059999999996</v>
      </c>
      <c r="Y7692">
        <v>-0.32371759999999999</v>
      </c>
      <c r="Z7692">
        <v>2.4918550000000001E-2</v>
      </c>
      <c r="AA7692">
        <v>0.94582560000000004</v>
      </c>
      <c r="AB7692">
        <v>16</v>
      </c>
      <c r="AC7692">
        <v>25.028199999999998</v>
      </c>
      <c r="AD7692">
        <v>-1.12398294386299</v>
      </c>
      <c r="AE7692">
        <v>-8.1966099999999908</v>
      </c>
      <c r="AF7692">
        <v>-8.5498913337416695</v>
      </c>
      <c r="AG7692">
        <v>-1.12398294386299</v>
      </c>
      <c r="AH7692">
        <v>24.859098538106299</v>
      </c>
      <c r="AI7692">
        <v>92.448246814200601</v>
      </c>
      <c r="AJ7692">
        <v>108.979840013062</v>
      </c>
      <c r="AK7692">
        <v>26.312330942053901</v>
      </c>
      <c r="AL7692">
        <v>83.490185908039905</v>
      </c>
      <c r="AM7692">
        <v>105.37799914186</v>
      </c>
      <c r="AN7692">
        <v>1.00000000653756</v>
      </c>
    </row>
    <row r="7693" spans="1:40" x14ac:dyDescent="0.25">
      <c r="A7693" t="str">
        <f>"20190303162106733"</f>
        <v>20190303162106733</v>
      </c>
      <c r="B7693" t="str">
        <f>"1551601266720534"</f>
        <v>1551601266720534</v>
      </c>
      <c r="C7693" t="s">
        <v>40</v>
      </c>
      <c r="D7693">
        <v>4.9109860000000003</v>
      </c>
      <c r="E7693">
        <v>0.47491159999999999</v>
      </c>
      <c r="F7693" t="s">
        <v>73</v>
      </c>
      <c r="G7693">
        <v>-386.69380000000001</v>
      </c>
      <c r="H7693" s="1">
        <v>-2.077378E-6</v>
      </c>
      <c r="I7693">
        <v>16.718309999999999</v>
      </c>
      <c r="J7693">
        <v>-411.90640000000002</v>
      </c>
      <c r="K7693">
        <v>1.123972</v>
      </c>
      <c r="L7693">
        <v>24.920680000000001</v>
      </c>
      <c r="M7693">
        <v>0.7994078</v>
      </c>
      <c r="N7693">
        <v>-1.353319E-2</v>
      </c>
      <c r="O7693">
        <v>-0.60063630000000001</v>
      </c>
      <c r="P7693">
        <v>0.92454009999999998</v>
      </c>
      <c r="Q7693">
        <v>0.10207720000000001</v>
      </c>
      <c r="R7693">
        <v>-0.36715890000000001</v>
      </c>
      <c r="S7693">
        <v>2.885345</v>
      </c>
      <c r="T7693">
        <v>-0.12824189999999999</v>
      </c>
      <c r="U7693">
        <v>-0.94186400000000003</v>
      </c>
      <c r="V7693">
        <v>-0.26248650000000001</v>
      </c>
      <c r="W7693">
        <v>0.11354210000000001</v>
      </c>
      <c r="X7693">
        <v>0.95823230000000004</v>
      </c>
      <c r="Y7693">
        <v>-0.3224013</v>
      </c>
      <c r="Z7693">
        <v>2.4623229999999999E-2</v>
      </c>
      <c r="AA7693">
        <v>0.94628270000000003</v>
      </c>
      <c r="AB7693">
        <v>16</v>
      </c>
      <c r="AC7693">
        <v>25.212599999999998</v>
      </c>
      <c r="AD7693">
        <v>-1.123974077378</v>
      </c>
      <c r="AE7693">
        <v>-8.2023699999999895</v>
      </c>
      <c r="AF7693">
        <v>-8.5719457584041692</v>
      </c>
      <c r="AG7693">
        <v>-1.123974077378</v>
      </c>
      <c r="AH7693">
        <v>25.039088994794898</v>
      </c>
      <c r="AI7693">
        <v>92.431836368003303</v>
      </c>
      <c r="AJ7693">
        <v>108.89825793831901</v>
      </c>
      <c r="AK7693">
        <v>26.4895743548458</v>
      </c>
      <c r="AL7693">
        <v>83.480457614275906</v>
      </c>
      <c r="AM7693">
        <v>105.319124169383</v>
      </c>
      <c r="AN7693">
        <v>1.0000000559589699</v>
      </c>
    </row>
    <row r="7694" spans="1:40" x14ac:dyDescent="0.25">
      <c r="A7694" t="str">
        <f>"20190303162106749"</f>
        <v>20190303162106749</v>
      </c>
      <c r="B7694" t="str">
        <f>"1551601266740053"</f>
        <v>1551601266740053</v>
      </c>
      <c r="C7694" t="s">
        <v>40</v>
      </c>
      <c r="D7694">
        <v>4.9072050000000003</v>
      </c>
      <c r="E7694">
        <v>0.4750238</v>
      </c>
      <c r="F7694" t="s">
        <v>73</v>
      </c>
      <c r="G7694">
        <v>-386.60109999999997</v>
      </c>
      <c r="H7694" s="1">
        <v>-2.12026E-6</v>
      </c>
      <c r="I7694">
        <v>16.72345</v>
      </c>
      <c r="J7694">
        <v>-411.81220000000002</v>
      </c>
      <c r="K7694">
        <v>1.1239589999999999</v>
      </c>
      <c r="L7694">
        <v>24.85596</v>
      </c>
      <c r="M7694">
        <v>0.80190119999999998</v>
      </c>
      <c r="N7694">
        <v>-1.352774E-2</v>
      </c>
      <c r="O7694">
        <v>-0.59730349999999999</v>
      </c>
      <c r="P7694">
        <v>0.92536039999999997</v>
      </c>
      <c r="Q7694">
        <v>0.10257869999999999</v>
      </c>
      <c r="R7694">
        <v>-0.36494579999999999</v>
      </c>
      <c r="S7694">
        <v>2.8875120000000001</v>
      </c>
      <c r="T7694">
        <v>-0.1282536</v>
      </c>
      <c r="U7694">
        <v>-0.93536379999999997</v>
      </c>
      <c r="V7694">
        <v>-0.26075419999999999</v>
      </c>
      <c r="W7694">
        <v>0.1140618</v>
      </c>
      <c r="X7694">
        <v>0.95864340000000003</v>
      </c>
      <c r="Y7694">
        <v>-0.32059949999999998</v>
      </c>
      <c r="Z7694">
        <v>2.4511749999999999E-2</v>
      </c>
      <c r="AA7694">
        <v>0.94689760000000001</v>
      </c>
      <c r="AB7694">
        <v>16</v>
      </c>
      <c r="AC7694">
        <v>25.211099999999998</v>
      </c>
      <c r="AD7694">
        <v>-1.1239611202599999</v>
      </c>
      <c r="AE7694">
        <v>-8.1325099999999999</v>
      </c>
      <c r="AF7694">
        <v>-8.5226472520564602</v>
      </c>
      <c r="AG7694">
        <v>-1.1239611202599999</v>
      </c>
      <c r="AH7694">
        <v>25.031619904000902</v>
      </c>
      <c r="AI7694">
        <v>92.433920721717698</v>
      </c>
      <c r="AJ7694">
        <v>108.802438339492</v>
      </c>
      <c r="AK7694">
        <v>26.466597813115602</v>
      </c>
      <c r="AL7694">
        <v>83.450485971495496</v>
      </c>
      <c r="AM7694">
        <v>105.216504525803</v>
      </c>
      <c r="AN7694">
        <v>1.00000000770022</v>
      </c>
    </row>
    <row r="7695" spans="1:40" x14ac:dyDescent="0.25">
      <c r="A7695" t="str">
        <f>"20190303162106761"</f>
        <v>20190303162106761</v>
      </c>
      <c r="B7695" t="str">
        <f>"1551601266751766"</f>
        <v>1551601266751766</v>
      </c>
      <c r="C7695" t="s">
        <v>40</v>
      </c>
      <c r="D7695">
        <v>4.967492</v>
      </c>
      <c r="E7695">
        <v>0.47512270000000001</v>
      </c>
      <c r="F7695" t="s">
        <v>73</v>
      </c>
      <c r="G7695">
        <v>-386.35120000000001</v>
      </c>
      <c r="H7695" s="1">
        <v>-2.2491569999999999E-6</v>
      </c>
      <c r="I7695">
        <v>16.66272</v>
      </c>
      <c r="J7695">
        <v>-411.73869999999999</v>
      </c>
      <c r="K7695">
        <v>1.1239479999999999</v>
      </c>
      <c r="L7695">
        <v>24.805910000000001</v>
      </c>
      <c r="M7695">
        <v>0.80382030000000004</v>
      </c>
      <c r="N7695">
        <v>-1.3523550000000001E-2</v>
      </c>
      <c r="O7695">
        <v>-0.59471859999999999</v>
      </c>
      <c r="P7695">
        <v>0.92624070000000003</v>
      </c>
      <c r="Q7695">
        <v>0.1028403</v>
      </c>
      <c r="R7695">
        <v>-0.36263250000000002</v>
      </c>
      <c r="S7695">
        <v>2.8894350000000002</v>
      </c>
      <c r="T7695">
        <v>-0.12755269999999999</v>
      </c>
      <c r="U7695">
        <v>-0.92980960000000001</v>
      </c>
      <c r="V7695">
        <v>-0.26004290000000002</v>
      </c>
      <c r="W7695">
        <v>0.114333199999999</v>
      </c>
      <c r="X7695">
        <v>0.9588042</v>
      </c>
      <c r="Y7695">
        <v>-0.31939139999999999</v>
      </c>
      <c r="Z7695">
        <v>2.4258999999999999E-2</v>
      </c>
      <c r="AA7695">
        <v>0.94731240000000005</v>
      </c>
      <c r="AB7695">
        <v>16</v>
      </c>
      <c r="AC7695">
        <v>25.3874999999999</v>
      </c>
      <c r="AD7695">
        <v>-1.1239502491569999</v>
      </c>
      <c r="AE7695">
        <v>-8.1431899999999899</v>
      </c>
      <c r="AF7695">
        <v>-8.5383645188477892</v>
      </c>
      <c r="AG7695">
        <v>-1.1239502491569999</v>
      </c>
      <c r="AH7695">
        <v>25.207404105823102</v>
      </c>
      <c r="AI7695">
        <v>92.418231847680602</v>
      </c>
      <c r="AJ7695">
        <v>108.712498039487</v>
      </c>
      <c r="AK7695">
        <v>26.6379457648965</v>
      </c>
      <c r="AL7695">
        <v>83.434833067674205</v>
      </c>
      <c r="AM7695">
        <v>105.17448515018199</v>
      </c>
      <c r="AN7695">
        <v>0.99999994220014299</v>
      </c>
    </row>
    <row r="7696" spans="1:40" x14ac:dyDescent="0.25">
      <c r="A7696" t="str">
        <f>"20190303162106773"</f>
        <v>20190303162106773</v>
      </c>
      <c r="B7696" t="str">
        <f>"1551601266760550"</f>
        <v>1551601266760550</v>
      </c>
      <c r="C7696" t="s">
        <v>40</v>
      </c>
      <c r="D7696">
        <v>4.8212000000000002</v>
      </c>
      <c r="E7696">
        <v>0.47517910000000002</v>
      </c>
      <c r="F7696" t="s">
        <v>73</v>
      </c>
      <c r="G7696">
        <v>-386.24709999999999</v>
      </c>
      <c r="H7696" s="1">
        <v>-2.2983149999999999E-6</v>
      </c>
      <c r="I7696">
        <v>16.663060000000002</v>
      </c>
      <c r="J7696">
        <v>-411.67669999999998</v>
      </c>
      <c r="K7696">
        <v>1.1239410000000001</v>
      </c>
      <c r="L7696">
        <v>24.763950000000001</v>
      </c>
      <c r="M7696">
        <v>0.80542309999999995</v>
      </c>
      <c r="N7696">
        <v>-1.3520000000000001E-2</v>
      </c>
      <c r="O7696">
        <v>-0.59254640000000003</v>
      </c>
      <c r="P7696">
        <v>0.92689560000000004</v>
      </c>
      <c r="Q7696">
        <v>0.1033121</v>
      </c>
      <c r="R7696">
        <v>-0.36082069999999999</v>
      </c>
      <c r="S7696">
        <v>2.8914179999999998</v>
      </c>
      <c r="T7696">
        <v>-0.1274856</v>
      </c>
      <c r="U7696">
        <v>-0.9236145</v>
      </c>
      <c r="V7696">
        <v>-0.25929639999999998</v>
      </c>
      <c r="W7696">
        <v>0.114815</v>
      </c>
      <c r="X7696">
        <v>0.95894889999999999</v>
      </c>
      <c r="Y7696">
        <v>-0.31886510000000001</v>
      </c>
      <c r="Z7696">
        <v>2.418466E-2</v>
      </c>
      <c r="AA7696">
        <v>0.94749150000000004</v>
      </c>
      <c r="AB7696">
        <v>16</v>
      </c>
      <c r="AC7696">
        <v>25.429599999999901</v>
      </c>
      <c r="AD7696">
        <v>-1.123943298315</v>
      </c>
      <c r="AE7696">
        <v>-8.1008899999999997</v>
      </c>
      <c r="AF7696">
        <v>-8.5292266192923893</v>
      </c>
      <c r="AG7696">
        <v>-1.123943298315</v>
      </c>
      <c r="AH7696">
        <v>25.239284388239</v>
      </c>
      <c r="AI7696">
        <v>92.415744562749197</v>
      </c>
      <c r="AJ7696">
        <v>108.67188850406799</v>
      </c>
      <c r="AK7696">
        <v>26.665191386740101</v>
      </c>
      <c r="AL7696">
        <v>83.407045680523296</v>
      </c>
      <c r="AM7696">
        <v>105.130745726821</v>
      </c>
      <c r="AN7696">
        <v>1.00000005004458</v>
      </c>
    </row>
    <row r="7697" spans="1:40" x14ac:dyDescent="0.25">
      <c r="A7697" t="str">
        <f>"20190303162106785"</f>
        <v>20190303162106785</v>
      </c>
      <c r="B7697" t="str">
        <f>"1551601266771286"</f>
        <v>1551601266771286</v>
      </c>
      <c r="C7697" t="s">
        <v>40</v>
      </c>
      <c r="D7697">
        <v>5.0265779999999998</v>
      </c>
      <c r="E7697">
        <v>0.47523530000000003</v>
      </c>
      <c r="F7697" t="s">
        <v>73</v>
      </c>
      <c r="G7697">
        <v>-386.00729999999999</v>
      </c>
      <c r="H7697" s="1">
        <v>-2.4202250000000002E-6</v>
      </c>
      <c r="I7697">
        <v>16.614889999999999</v>
      </c>
      <c r="J7697">
        <v>-411.60379999999998</v>
      </c>
      <c r="K7697">
        <v>1.1239269999999999</v>
      </c>
      <c r="L7697">
        <v>24.714780000000001</v>
      </c>
      <c r="M7697">
        <v>0.80729280000000003</v>
      </c>
      <c r="N7697">
        <v>-1.3515900000000001E-2</v>
      </c>
      <c r="O7697">
        <v>-0.58999659999999998</v>
      </c>
      <c r="P7697">
        <v>0.92775479999999999</v>
      </c>
      <c r="Q7697">
        <v>0.103572499999999</v>
      </c>
      <c r="R7697">
        <v>-0.35853020000000002</v>
      </c>
      <c r="S7697">
        <v>2.8932190000000002</v>
      </c>
      <c r="T7697">
        <v>-0.1266806</v>
      </c>
      <c r="U7697">
        <v>-0.91848750000000001</v>
      </c>
      <c r="V7697">
        <v>-0.25861139999999999</v>
      </c>
      <c r="W7697">
        <v>0.1150859</v>
      </c>
      <c r="X7697">
        <v>0.95910130000000005</v>
      </c>
      <c r="Y7697">
        <v>-0.31757289999999999</v>
      </c>
      <c r="Z7697">
        <v>2.390691E-2</v>
      </c>
      <c r="AA7697">
        <v>0.94793249999999996</v>
      </c>
      <c r="AB7697">
        <v>16</v>
      </c>
      <c r="AC7697">
        <v>25.596499999999899</v>
      </c>
      <c r="AD7697">
        <v>-1.1239294202249901</v>
      </c>
      <c r="AE7697">
        <v>-8.0998899999999896</v>
      </c>
      <c r="AF7697">
        <v>-8.5486639639608395</v>
      </c>
      <c r="AG7697">
        <v>-1.1239294202249901</v>
      </c>
      <c r="AH7697">
        <v>25.400582002611898</v>
      </c>
      <c r="AI7697">
        <v>92.401395209505296</v>
      </c>
      <c r="AJ7697">
        <v>108.600858481774</v>
      </c>
      <c r="AK7697">
        <v>26.824101829917499</v>
      </c>
      <c r="AL7697">
        <v>83.391420096391798</v>
      </c>
      <c r="AM7697">
        <v>105.09031083687201</v>
      </c>
      <c r="AN7697">
        <v>0.99999996212522901</v>
      </c>
    </row>
    <row r="7698" spans="1:40" x14ac:dyDescent="0.25">
      <c r="A7698" t="str">
        <f>"20190303162106796"</f>
        <v>20190303162106796</v>
      </c>
      <c r="B7698" t="str">
        <f>"1551601266790806"</f>
        <v>1551601266790806</v>
      </c>
      <c r="C7698" t="s">
        <v>40</v>
      </c>
      <c r="D7698">
        <v>4.9725089999999996</v>
      </c>
      <c r="E7698">
        <v>0.4753695</v>
      </c>
      <c r="F7698" t="s">
        <v>73</v>
      </c>
      <c r="G7698">
        <v>-385.84429999999998</v>
      </c>
      <c r="H7698" s="1">
        <v>-2.4993229999999999E-6</v>
      </c>
      <c r="I7698">
        <v>16.603169999999999</v>
      </c>
      <c r="J7698">
        <v>-411.53480000000002</v>
      </c>
      <c r="K7698">
        <v>1.1239110000000001</v>
      </c>
      <c r="L7698">
        <v>24.668700000000001</v>
      </c>
      <c r="M7698">
        <v>0.8090349</v>
      </c>
      <c r="N7698">
        <v>-1.351159E-2</v>
      </c>
      <c r="O7698">
        <v>-0.5876055</v>
      </c>
      <c r="P7698">
        <v>0.9285717</v>
      </c>
      <c r="Q7698">
        <v>0.10373060000000001</v>
      </c>
      <c r="R7698">
        <v>-0.3563635</v>
      </c>
      <c r="S7698">
        <v>2.8953549999999999</v>
      </c>
      <c r="T7698">
        <v>-0.12632939999999901</v>
      </c>
      <c r="U7698">
        <v>-0.91174319999999998</v>
      </c>
      <c r="V7698">
        <v>-0.25799749999999999</v>
      </c>
      <c r="W7698">
        <v>0.115256399999999</v>
      </c>
      <c r="X7698">
        <v>0.95924620000000005</v>
      </c>
      <c r="Y7698">
        <v>-0.31698130000000002</v>
      </c>
      <c r="Z7698">
        <v>2.3759700000000002E-2</v>
      </c>
      <c r="AA7698">
        <v>0.94813409999999998</v>
      </c>
      <c r="AB7698">
        <v>16</v>
      </c>
      <c r="AC7698">
        <v>25.6905</v>
      </c>
      <c r="AD7698">
        <v>-1.123913499323</v>
      </c>
      <c r="AE7698">
        <v>-8.0655299999999901</v>
      </c>
      <c r="AF7698">
        <v>-8.5564582249821299</v>
      </c>
      <c r="AG7698">
        <v>-1.123913499323</v>
      </c>
      <c r="AH7698">
        <v>25.481793711678701</v>
      </c>
      <c r="AI7698">
        <v>92.394270658499494</v>
      </c>
      <c r="AJ7698">
        <v>108.561388205253</v>
      </c>
      <c r="AK7698">
        <v>26.9034936332509</v>
      </c>
      <c r="AL7698">
        <v>83.381586042516204</v>
      </c>
      <c r="AM7698">
        <v>105.053946131468</v>
      </c>
      <c r="AN7698">
        <v>1.0000000099808199</v>
      </c>
    </row>
    <row r="7699" spans="1:40" x14ac:dyDescent="0.25">
      <c r="A7699" t="str">
        <f>"20190303162106809"</f>
        <v>20190303162106809</v>
      </c>
      <c r="B7699" t="str">
        <f>"1551601266800566"</f>
        <v>1551601266800566</v>
      </c>
      <c r="C7699" t="s">
        <v>40</v>
      </c>
      <c r="D7699">
        <v>5.0977499999999996</v>
      </c>
      <c r="E7699">
        <v>0.47536129999999999</v>
      </c>
      <c r="F7699" t="s">
        <v>73</v>
      </c>
      <c r="G7699">
        <v>-385.94159999999999</v>
      </c>
      <c r="H7699" s="1">
        <v>-2.442711E-6</v>
      </c>
      <c r="I7699">
        <v>16.663079999999901</v>
      </c>
      <c r="J7699">
        <v>-411.46789999999999</v>
      </c>
      <c r="K7699">
        <v>1.123888</v>
      </c>
      <c r="L7699">
        <v>24.62424</v>
      </c>
      <c r="M7699">
        <v>0.81070719999999996</v>
      </c>
      <c r="N7699">
        <v>-1.3507409999999999E-2</v>
      </c>
      <c r="O7699">
        <v>-0.58529600000000004</v>
      </c>
      <c r="P7699">
        <v>0.92948470000000005</v>
      </c>
      <c r="Q7699">
        <v>0.1038311</v>
      </c>
      <c r="R7699">
        <v>-0.35394560000000003</v>
      </c>
      <c r="S7699">
        <v>2.897186</v>
      </c>
      <c r="T7699">
        <v>-0.12722890000000001</v>
      </c>
      <c r="U7699">
        <v>-0.90625</v>
      </c>
      <c r="V7699">
        <v>-0.25774720000000001</v>
      </c>
      <c r="W7699">
        <v>0.11536589999999999</v>
      </c>
      <c r="X7699">
        <v>0.95930029999999999</v>
      </c>
      <c r="Y7699">
        <v>-0.31607819999999998</v>
      </c>
      <c r="Z7699">
        <v>2.3901019999999999E-2</v>
      </c>
      <c r="AA7699">
        <v>0.94843200000000005</v>
      </c>
      <c r="AB7699">
        <v>16</v>
      </c>
      <c r="AC7699">
        <v>25.5262999999999</v>
      </c>
      <c r="AD7699">
        <v>-1.1238904427109999</v>
      </c>
      <c r="AE7699">
        <v>-7.9611599999999996</v>
      </c>
      <c r="AF7699">
        <v>-8.4720782408103101</v>
      </c>
      <c r="AG7699">
        <v>-1.1238904427109999</v>
      </c>
      <c r="AH7699">
        <v>25.311585686817502</v>
      </c>
      <c r="AI7699">
        <v>92.411083206307197</v>
      </c>
      <c r="AJ7699">
        <v>108.505985072263</v>
      </c>
      <c r="AK7699">
        <v>26.715456376912901</v>
      </c>
      <c r="AL7699">
        <v>83.375269875516494</v>
      </c>
      <c r="AM7699">
        <v>105.03919357832299</v>
      </c>
      <c r="AN7699">
        <v>0.99999998778536903</v>
      </c>
    </row>
    <row r="7700" spans="1:40" x14ac:dyDescent="0.25">
      <c r="A7700" t="str">
        <f>"20190303162106830"</f>
        <v>20190303162106830</v>
      </c>
      <c r="B7700" t="str">
        <f>"1551601266820085"</f>
        <v>1551601266820085</v>
      </c>
      <c r="C7700" t="s">
        <v>40</v>
      </c>
      <c r="D7700">
        <v>5.0452389999999996</v>
      </c>
      <c r="E7700">
        <v>0.47513630000000001</v>
      </c>
      <c r="F7700" t="s">
        <v>73</v>
      </c>
      <c r="G7700">
        <v>-385.90969999999999</v>
      </c>
      <c r="H7700" s="1">
        <v>-2.4507289999999998E-6</v>
      </c>
      <c r="I7700">
        <v>16.70298</v>
      </c>
      <c r="J7700">
        <v>-411.33859999999999</v>
      </c>
      <c r="K7700">
        <v>1.1238459999999999</v>
      </c>
      <c r="L7700">
        <v>24.53894</v>
      </c>
      <c r="M7700">
        <v>0.81388490000000002</v>
      </c>
      <c r="N7700">
        <v>-1.3498949999999999E-2</v>
      </c>
      <c r="O7700">
        <v>-0.58086939999999998</v>
      </c>
      <c r="P7700">
        <v>0.93137400000000004</v>
      </c>
      <c r="Q7700">
        <v>0.1033212</v>
      </c>
      <c r="R7700">
        <v>-0.34909469999999998</v>
      </c>
      <c r="S7700">
        <v>2.8996279999999999</v>
      </c>
      <c r="T7700">
        <v>-0.1275076</v>
      </c>
      <c r="U7700">
        <v>-0.89868159999999897</v>
      </c>
      <c r="V7700">
        <v>-0.25754009999999999</v>
      </c>
      <c r="W7700">
        <v>0.1148737</v>
      </c>
      <c r="X7700">
        <v>0.95941500000000002</v>
      </c>
      <c r="Y7700">
        <v>-0.31339299999999998</v>
      </c>
      <c r="Z7700">
        <v>2.3806770000000001E-2</v>
      </c>
      <c r="AA7700">
        <v>0.94932510000000003</v>
      </c>
      <c r="AB7700">
        <v>16</v>
      </c>
      <c r="AC7700">
        <v>25.428899999999999</v>
      </c>
      <c r="AD7700">
        <v>-1.1238484507290001</v>
      </c>
      <c r="AE7700">
        <v>-7.83596</v>
      </c>
      <c r="AF7700">
        <v>-8.3791174672523194</v>
      </c>
      <c r="AG7700">
        <v>-1.1238484507290001</v>
      </c>
      <c r="AH7700">
        <v>25.205203576859098</v>
      </c>
      <c r="AI7700">
        <v>92.422809399951404</v>
      </c>
      <c r="AJ7700">
        <v>108.388665142908</v>
      </c>
      <c r="AK7700">
        <v>26.585238991235901</v>
      </c>
      <c r="AL7700">
        <v>83.4036597263094</v>
      </c>
      <c r="AM7700">
        <v>105.025941062614</v>
      </c>
      <c r="AN7700">
        <v>1.00000000614235</v>
      </c>
    </row>
    <row r="7701" spans="1:40" x14ac:dyDescent="0.25">
      <c r="A7701" t="str">
        <f>"20190303162106850"</f>
        <v>20190303162106850</v>
      </c>
      <c r="B7701" t="str">
        <f>"1551601266840582"</f>
        <v>1551601266840582</v>
      </c>
      <c r="C7701" t="s">
        <v>40</v>
      </c>
      <c r="D7701">
        <v>5.0387629999999897</v>
      </c>
      <c r="E7701">
        <v>0.47491420000000001</v>
      </c>
      <c r="F7701" t="s">
        <v>73</v>
      </c>
      <c r="G7701">
        <v>-386.255</v>
      </c>
      <c r="H7701" s="1">
        <v>-2.2483999999999999E-6</v>
      </c>
      <c r="I7701">
        <v>16.92333</v>
      </c>
      <c r="J7701">
        <v>-411.22859999999997</v>
      </c>
      <c r="K7701">
        <v>1.1238049999999999</v>
      </c>
      <c r="L7701">
        <v>24.467130000000001</v>
      </c>
      <c r="M7701">
        <v>0.81653260000000005</v>
      </c>
      <c r="N7701">
        <v>-1.3491680000000001E-2</v>
      </c>
      <c r="O7701">
        <v>-0.57714160000000003</v>
      </c>
      <c r="P7701">
        <v>0.93315519999999996</v>
      </c>
      <c r="Q7701">
        <v>0.101787</v>
      </c>
      <c r="R7701">
        <v>-0.34476200000000001</v>
      </c>
      <c r="S7701">
        <v>2.9049070000000001</v>
      </c>
      <c r="T7701">
        <v>-0.13015199999999999</v>
      </c>
      <c r="U7701">
        <v>-0.88195800000000002</v>
      </c>
      <c r="V7701">
        <v>-0.25769199999999998</v>
      </c>
      <c r="W7701">
        <v>0.113355</v>
      </c>
      <c r="X7701">
        <v>0.95955489999999999</v>
      </c>
      <c r="Y7701">
        <v>-0.31450990000000001</v>
      </c>
      <c r="Z7701">
        <v>2.437011E-2</v>
      </c>
      <c r="AA7701">
        <v>0.94894129999999999</v>
      </c>
      <c r="AB7701">
        <v>16</v>
      </c>
      <c r="AC7701">
        <v>24.973599999999902</v>
      </c>
      <c r="AD7701">
        <v>-1.1238072483999999</v>
      </c>
      <c r="AE7701">
        <v>-7.5437999999999903</v>
      </c>
      <c r="AF7701">
        <v>-8.2390075723893599</v>
      </c>
      <c r="AG7701">
        <v>-1.1238072483999999</v>
      </c>
      <c r="AH7701">
        <v>24.702014038929399</v>
      </c>
      <c r="AI7701">
        <v>92.471197997425094</v>
      </c>
      <c r="AJ7701">
        <v>108.445391878246</v>
      </c>
      <c r="AK7701">
        <v>26.064030503529398</v>
      </c>
      <c r="AL7701">
        <v>83.491247369548802</v>
      </c>
      <c r="AM7701">
        <v>105.03230964765</v>
      </c>
      <c r="AN7701">
        <v>1.0000000645014999</v>
      </c>
    </row>
    <row r="7702" spans="1:40" x14ac:dyDescent="0.25">
      <c r="A7702" t="str">
        <f>"20190303162106862"</f>
        <v>20190303162106862</v>
      </c>
      <c r="B7702" t="str">
        <f>"1551601266850341"</f>
        <v>1551601266850341</v>
      </c>
      <c r="C7702" t="s">
        <v>40</v>
      </c>
      <c r="D7702">
        <v>4.8642390000000004</v>
      </c>
      <c r="E7702">
        <v>0.47482849999999999</v>
      </c>
      <c r="F7702" t="s">
        <v>73</v>
      </c>
      <c r="G7702">
        <v>-387.14229999999998</v>
      </c>
      <c r="H7702" s="1">
        <v>-1.7638430000000001E-6</v>
      </c>
      <c r="I7702">
        <v>17.290469999999999</v>
      </c>
      <c r="J7702">
        <v>-411.15730000000002</v>
      </c>
      <c r="K7702">
        <v>1.123777</v>
      </c>
      <c r="L7702">
        <v>24.420870000000001</v>
      </c>
      <c r="M7702">
        <v>0.81822349999999999</v>
      </c>
      <c r="N7702">
        <v>-1.3486959999999999E-2</v>
      </c>
      <c r="O7702">
        <v>-0.57474230000000004</v>
      </c>
      <c r="P7702">
        <v>0.93427850000000001</v>
      </c>
      <c r="Q7702">
        <v>0.1009171</v>
      </c>
      <c r="R7702">
        <v>-0.34196480000000001</v>
      </c>
      <c r="S7702">
        <v>2.909424</v>
      </c>
      <c r="T7702">
        <v>-0.1357467</v>
      </c>
      <c r="U7702">
        <v>-0.86688229999999999</v>
      </c>
      <c r="V7702">
        <v>-0.25779380000000002</v>
      </c>
      <c r="W7702">
        <v>0.1124946</v>
      </c>
      <c r="X7702">
        <v>0.95962879999999995</v>
      </c>
      <c r="Y7702">
        <v>-0.31658619999999998</v>
      </c>
      <c r="Z7702">
        <v>2.5671469999999998E-2</v>
      </c>
      <c r="AA7702">
        <v>0.94821630000000001</v>
      </c>
      <c r="AB7702">
        <v>16</v>
      </c>
      <c r="AC7702">
        <v>24.015000000000001</v>
      </c>
      <c r="AD7702">
        <v>-1.1237787638429999</v>
      </c>
      <c r="AE7702">
        <v>-7.1303999999999901</v>
      </c>
      <c r="AF7702">
        <v>-7.95289502775268</v>
      </c>
      <c r="AG7702">
        <v>-1.1237787638429999</v>
      </c>
      <c r="AH7702">
        <v>23.702239052254299</v>
      </c>
      <c r="AI7702">
        <v>92.573686754209803</v>
      </c>
      <c r="AJ7702">
        <v>108.548327643668</v>
      </c>
      <c r="AK7702">
        <v>25.0261374191609</v>
      </c>
      <c r="AL7702">
        <v>83.540861960141996</v>
      </c>
      <c r="AM7702">
        <v>105.036873543955</v>
      </c>
      <c r="AN7702">
        <v>1.0000000560685101</v>
      </c>
    </row>
    <row r="7703" spans="1:40" x14ac:dyDescent="0.25">
      <c r="A7703" t="str">
        <f>"20190303162106874"</f>
        <v>20190303162106874</v>
      </c>
      <c r="B7703" t="str">
        <f>"1551601266860102"</f>
        <v>1551601266860102</v>
      </c>
      <c r="C7703" t="s">
        <v>40</v>
      </c>
      <c r="D7703">
        <v>4.872884</v>
      </c>
      <c r="E7703">
        <v>0.4747246</v>
      </c>
      <c r="F7703" t="s">
        <v>73</v>
      </c>
      <c r="G7703">
        <v>-387.613</v>
      </c>
      <c r="H7703" s="1">
        <v>-1.506214E-6</v>
      </c>
      <c r="I7703">
        <v>17.488620000000001</v>
      </c>
      <c r="J7703">
        <v>-411.08499999999998</v>
      </c>
      <c r="K7703">
        <v>1.123759</v>
      </c>
      <c r="L7703">
        <v>24.37433</v>
      </c>
      <c r="M7703">
        <v>0.81991289999999994</v>
      </c>
      <c r="N7703">
        <v>-1.3482259999999999E-2</v>
      </c>
      <c r="O7703">
        <v>-0.57232959999999899</v>
      </c>
      <c r="P7703">
        <v>0.93542069999999999</v>
      </c>
      <c r="Q7703">
        <v>0.1001618</v>
      </c>
      <c r="R7703">
        <v>-0.33905099999999999</v>
      </c>
      <c r="S7703">
        <v>2.912201</v>
      </c>
      <c r="T7703">
        <v>-0.1390004</v>
      </c>
      <c r="U7703">
        <v>-0.857452399999999</v>
      </c>
      <c r="V7703">
        <v>-0.25799499999999997</v>
      </c>
      <c r="W7703">
        <v>0.11174729999999999</v>
      </c>
      <c r="X7703">
        <v>0.95966200000000002</v>
      </c>
      <c r="Y7703">
        <v>-0.31683050000000001</v>
      </c>
      <c r="Z7703">
        <v>2.6375880000000001E-2</v>
      </c>
      <c r="AA7703">
        <v>0.94811540000000005</v>
      </c>
      <c r="AB7703">
        <v>16</v>
      </c>
      <c r="AC7703">
        <v>23.471999999999898</v>
      </c>
      <c r="AD7703">
        <v>-1.1237605062139999</v>
      </c>
      <c r="AE7703">
        <v>-6.8857100000000004</v>
      </c>
      <c r="AF7703">
        <v>-7.7723415739829003</v>
      </c>
      <c r="AG7703">
        <v>-1.1237605062139999</v>
      </c>
      <c r="AH7703">
        <v>23.1391614083633</v>
      </c>
      <c r="AI7703">
        <v>92.635898251145207</v>
      </c>
      <c r="AJ7703">
        <v>108.566971392699</v>
      </c>
      <c r="AK7703">
        <v>24.4354848918592</v>
      </c>
      <c r="AL7703">
        <v>83.583950534617898</v>
      </c>
      <c r="AM7703">
        <v>105.047580274989</v>
      </c>
      <c r="AN7703">
        <v>1.00000001666314</v>
      </c>
    </row>
    <row r="7704" spans="1:40" x14ac:dyDescent="0.25">
      <c r="A7704" t="str">
        <f>"20190303162106886"</f>
        <v>20190303162106886</v>
      </c>
      <c r="B7704" t="str">
        <f>"1551601266880598"</f>
        <v>1551601266880598</v>
      </c>
      <c r="C7704" t="s">
        <v>40</v>
      </c>
      <c r="D7704">
        <v>5.0965319999999998</v>
      </c>
      <c r="E7704">
        <v>0.4745605</v>
      </c>
      <c r="F7704" t="s">
        <v>73</v>
      </c>
      <c r="G7704">
        <v>-387.9914</v>
      </c>
      <c r="H7704" s="1">
        <v>-1.2970480000000001E-6</v>
      </c>
      <c r="I7704">
        <v>17.659329999999901</v>
      </c>
      <c r="J7704">
        <v>-411.01799999999997</v>
      </c>
      <c r="K7704">
        <v>1.1237379999999999</v>
      </c>
      <c r="L7704">
        <v>24.331330000000001</v>
      </c>
      <c r="M7704">
        <v>0.82146439999999998</v>
      </c>
      <c r="N7704">
        <v>-1.347778E-2</v>
      </c>
      <c r="O7704">
        <v>-0.57010070000000002</v>
      </c>
      <c r="P7704">
        <v>0.9364517</v>
      </c>
      <c r="Q7704">
        <v>9.9662429999999996E-2</v>
      </c>
      <c r="R7704">
        <v>-0.33634219999999998</v>
      </c>
      <c r="S7704">
        <v>2.9150700000000001</v>
      </c>
      <c r="T7704">
        <v>-0.141850799999999</v>
      </c>
      <c r="U7704">
        <v>-0.84762569999999904</v>
      </c>
      <c r="V7704">
        <v>-0.25818920000000001</v>
      </c>
      <c r="W7704">
        <v>0.11125400000000001</v>
      </c>
      <c r="X7704">
        <v>0.9596671</v>
      </c>
      <c r="Y7704">
        <v>-0.31742219999999999</v>
      </c>
      <c r="Z7704">
        <v>2.699644E-2</v>
      </c>
      <c r="AA7704">
        <v>0.94789990000000002</v>
      </c>
      <c r="AB7704">
        <v>16</v>
      </c>
      <c r="AC7704">
        <v>23.026599999999998</v>
      </c>
      <c r="AD7704">
        <v>-1.12373929704799</v>
      </c>
      <c r="AE7704">
        <v>-6.6719999999999997</v>
      </c>
      <c r="AF7704">
        <v>-7.6305984963722304</v>
      </c>
      <c r="AG7704">
        <v>-1.12373929704799</v>
      </c>
      <c r="AH7704">
        <v>22.671492615905301</v>
      </c>
      <c r="AI7704">
        <v>92.689592773710899</v>
      </c>
      <c r="AJ7704">
        <v>108.60181215063101</v>
      </c>
      <c r="AK7704">
        <v>23.9475552166315</v>
      </c>
      <c r="AL7704">
        <v>83.612391972724197</v>
      </c>
      <c r="AM7704">
        <v>105.058316368147</v>
      </c>
      <c r="AN7704">
        <v>1.00000002916752</v>
      </c>
    </row>
    <row r="7705" spans="1:40" x14ac:dyDescent="0.25">
      <c r="A7705" t="str">
        <f>"20190303162106897"</f>
        <v>20190303162106897</v>
      </c>
      <c r="B7705" t="str">
        <f>"1551601266890358"</f>
        <v>1551601266890358</v>
      </c>
      <c r="C7705" t="s">
        <v>40</v>
      </c>
      <c r="D7705">
        <v>4.9971870000000003</v>
      </c>
      <c r="E7705">
        <v>0.4744217</v>
      </c>
      <c r="F7705" t="s">
        <v>73</v>
      </c>
      <c r="G7705">
        <v>-388.21190000000001</v>
      </c>
      <c r="H7705" s="1">
        <v>-1.1747599999999999E-6</v>
      </c>
      <c r="I7705">
        <v>17.783470000000001</v>
      </c>
      <c r="J7705">
        <v>-410.95100000000002</v>
      </c>
      <c r="K7705">
        <v>1.123723</v>
      </c>
      <c r="L7705">
        <v>24.288730000000001</v>
      </c>
      <c r="M7705">
        <v>0.82299249999999902</v>
      </c>
      <c r="N7705">
        <v>-1.3470050000000001E-2</v>
      </c>
      <c r="O7705">
        <v>-0.56789279999999998</v>
      </c>
      <c r="P7705">
        <v>0.93740259999999997</v>
      </c>
      <c r="Q7705">
        <v>9.9191340000000003E-2</v>
      </c>
      <c r="R7705">
        <v>-0.33382319999999999</v>
      </c>
      <c r="S7705">
        <v>2.9179379999999999</v>
      </c>
      <c r="T7705">
        <v>-0.1437773</v>
      </c>
      <c r="U7705">
        <v>-0.83776859999999997</v>
      </c>
      <c r="V7705">
        <v>-0.25821519999999998</v>
      </c>
      <c r="W7705">
        <v>0.11078349999999999</v>
      </c>
      <c r="X7705">
        <v>0.95971450000000003</v>
      </c>
      <c r="Y7705">
        <v>-0.31806109999999999</v>
      </c>
      <c r="Z7705">
        <v>2.7403299999999998E-2</v>
      </c>
      <c r="AA7705">
        <v>0.94767409999999996</v>
      </c>
      <c r="AB7705">
        <v>16</v>
      </c>
      <c r="AC7705">
        <v>22.739099999999901</v>
      </c>
      <c r="AD7705">
        <v>-1.12372417476</v>
      </c>
      <c r="AE7705">
        <v>-6.5052599999999901</v>
      </c>
      <c r="AF7705">
        <v>-7.5432475107726402</v>
      </c>
      <c r="AG7705">
        <v>-1.12372417476</v>
      </c>
      <c r="AH7705">
        <v>22.359953206512198</v>
      </c>
      <c r="AI7705">
        <v>92.726328872774999</v>
      </c>
      <c r="AJ7705">
        <v>108.642092735479</v>
      </c>
      <c r="AK7705">
        <v>23.624793045170399</v>
      </c>
      <c r="AL7705">
        <v>83.639517114274</v>
      </c>
      <c r="AM7705">
        <v>105.059053869351</v>
      </c>
      <c r="AN7705">
        <v>0.99999999744676904</v>
      </c>
    </row>
    <row r="7706" spans="1:40" x14ac:dyDescent="0.25">
      <c r="A7706" t="str">
        <f>"20190303162106910"</f>
        <v>20190303162106910</v>
      </c>
      <c r="B7706" t="str">
        <f>"1551601266900118"</f>
        <v>1551601266900118</v>
      </c>
      <c r="C7706" t="s">
        <v>40</v>
      </c>
      <c r="D7706">
        <v>5.0398459999999998</v>
      </c>
      <c r="E7706">
        <v>0.47435359999999999</v>
      </c>
      <c r="F7706" t="s">
        <v>73</v>
      </c>
      <c r="G7706">
        <v>-388.72359999999998</v>
      </c>
      <c r="H7706" s="1">
        <v>-9.2566989999999996E-7</v>
      </c>
      <c r="I7706">
        <v>17.981169999999999</v>
      </c>
      <c r="J7706">
        <v>-410.87299999999999</v>
      </c>
      <c r="K7706">
        <v>1.123702</v>
      </c>
      <c r="L7706">
        <v>24.239260000000002</v>
      </c>
      <c r="M7706">
        <v>0.82476519999999998</v>
      </c>
      <c r="N7706">
        <v>-1.339417E-2</v>
      </c>
      <c r="O7706">
        <v>-0.56531699999999996</v>
      </c>
      <c r="P7706">
        <v>0.93846350000000001</v>
      </c>
      <c r="Q7706">
        <v>9.915728E-2</v>
      </c>
      <c r="R7706">
        <v>-0.3308393</v>
      </c>
      <c r="S7706">
        <v>2.9208370000000001</v>
      </c>
      <c r="T7706">
        <v>-0.147665299999999</v>
      </c>
      <c r="U7706">
        <v>-0.82885739999999997</v>
      </c>
      <c r="V7706">
        <v>-0.25826719999999997</v>
      </c>
      <c r="W7706">
        <v>0.11067920000000001</v>
      </c>
      <c r="X7706">
        <v>0.95971260000000003</v>
      </c>
      <c r="Y7706">
        <v>-0.31797829999999999</v>
      </c>
      <c r="Z7706">
        <v>2.8255189999999999E-2</v>
      </c>
      <c r="AA7706">
        <v>0.94767690000000004</v>
      </c>
      <c r="AB7706">
        <v>16</v>
      </c>
      <c r="AC7706">
        <v>22.1494</v>
      </c>
      <c r="AD7706">
        <v>-1.1237029256698901</v>
      </c>
      <c r="AE7706">
        <v>-6.2580899999999904</v>
      </c>
      <c r="AF7706">
        <v>-7.3431337929216296</v>
      </c>
      <c r="AG7706">
        <v>-1.1237029256698901</v>
      </c>
      <c r="AH7706">
        <v>21.755955068669799</v>
      </c>
      <c r="AI7706">
        <v>92.801704391060895</v>
      </c>
      <c r="AJ7706">
        <v>108.65071841215099</v>
      </c>
      <c r="AK7706">
        <v>22.9892562540828</v>
      </c>
      <c r="AL7706">
        <v>83.645530397425503</v>
      </c>
      <c r="AM7706">
        <v>105.061977177676</v>
      </c>
      <c r="AN7706">
        <v>1.00000005325361</v>
      </c>
    </row>
    <row r="7707" spans="1:40" x14ac:dyDescent="0.25">
      <c r="A7707" t="str">
        <f>"20190303162106927"</f>
        <v>20190303162106927</v>
      </c>
      <c r="B7707" t="str">
        <f>"1551601266920615"</f>
        <v>1551601266920615</v>
      </c>
      <c r="C7707" t="s">
        <v>40</v>
      </c>
      <c r="D7707">
        <v>5.0978589999999997</v>
      </c>
      <c r="E7707">
        <v>0.47425830000000002</v>
      </c>
      <c r="F7707" t="s">
        <v>73</v>
      </c>
      <c r="G7707">
        <v>-388.67009999999999</v>
      </c>
      <c r="H7707" s="1">
        <v>-9.3577710000000005E-7</v>
      </c>
      <c r="I7707">
        <v>18.020340000000001</v>
      </c>
      <c r="J7707">
        <v>-410.77249999999998</v>
      </c>
      <c r="K7707">
        <v>1.123656</v>
      </c>
      <c r="L7707">
        <v>24.17606</v>
      </c>
      <c r="M7707">
        <v>0.82703349999999898</v>
      </c>
      <c r="N7707">
        <v>-1.3167180000000001E-2</v>
      </c>
      <c r="O7707">
        <v>-0.56199860000000001</v>
      </c>
      <c r="P7707">
        <v>0.93973479999999998</v>
      </c>
      <c r="Q7707">
        <v>9.9163080000000001E-2</v>
      </c>
      <c r="R7707">
        <v>-0.32720860000000002</v>
      </c>
      <c r="S7707">
        <v>2.9236759999999999</v>
      </c>
      <c r="T7707">
        <v>-0.14796960000000001</v>
      </c>
      <c r="U7707">
        <v>-0.81890869999999905</v>
      </c>
      <c r="V7707">
        <v>-0.2581212</v>
      </c>
      <c r="W7707">
        <v>0.1104603</v>
      </c>
      <c r="X7707">
        <v>0.95977710000000005</v>
      </c>
      <c r="Y7707">
        <v>-0.31739299999999998</v>
      </c>
      <c r="Z7707">
        <v>2.8311349999999999E-2</v>
      </c>
      <c r="AA7707">
        <v>0.94787140000000003</v>
      </c>
      <c r="AB7707">
        <v>16</v>
      </c>
      <c r="AC7707">
        <v>22.1023999999999</v>
      </c>
      <c r="AD7707">
        <v>-1.1236569357771</v>
      </c>
      <c r="AE7707">
        <v>-6.1557199999999899</v>
      </c>
      <c r="AF7707">
        <v>-7.31362406487942</v>
      </c>
      <c r="AG7707">
        <v>-1.1236569357771</v>
      </c>
      <c r="AH7707">
        <v>21.6887925873393</v>
      </c>
      <c r="AI7707">
        <v>92.810519609759893</v>
      </c>
      <c r="AJ7707">
        <v>108.634493432485</v>
      </c>
      <c r="AK7707">
        <v>22.9162698921165</v>
      </c>
      <c r="AL7707">
        <v>83.658149842691003</v>
      </c>
      <c r="AM7707">
        <v>105.052883381957</v>
      </c>
      <c r="AN7707">
        <v>1.0000000567249601</v>
      </c>
    </row>
    <row r="7708" spans="1:40" x14ac:dyDescent="0.25">
      <c r="A7708" t="str">
        <f>"20190303162106941"</f>
        <v>20190303162106941</v>
      </c>
      <c r="B7708" t="str">
        <f>"1551601266930375"</f>
        <v>1551601266930375</v>
      </c>
      <c r="C7708" t="s">
        <v>40</v>
      </c>
      <c r="D7708">
        <v>5.0979890000000001</v>
      </c>
      <c r="E7708">
        <v>0.4742265</v>
      </c>
      <c r="F7708" t="s">
        <v>73</v>
      </c>
      <c r="G7708">
        <v>-388.54559999999998</v>
      </c>
      <c r="H7708" s="1">
        <v>-9.7504879999999997E-7</v>
      </c>
      <c r="I7708">
        <v>18.05246</v>
      </c>
      <c r="J7708">
        <v>-410.69459999999998</v>
      </c>
      <c r="K7708">
        <v>1.123618</v>
      </c>
      <c r="L7708">
        <v>24.127469999999999</v>
      </c>
      <c r="M7708">
        <v>0.82876559999999899</v>
      </c>
      <c r="N7708">
        <v>-1.2961189999999999E-2</v>
      </c>
      <c r="O7708">
        <v>-0.559446</v>
      </c>
      <c r="P7708">
        <v>0.94076539999999997</v>
      </c>
      <c r="Q7708">
        <v>9.8672369999999995E-2</v>
      </c>
      <c r="R7708">
        <v>-0.32438319999999998</v>
      </c>
      <c r="S7708">
        <v>2.927216</v>
      </c>
      <c r="T7708">
        <v>-0.14798210000000001</v>
      </c>
      <c r="U7708">
        <v>-0.80645749999999905</v>
      </c>
      <c r="V7708">
        <v>-0.25807429999999998</v>
      </c>
      <c r="W7708">
        <v>0.1097626</v>
      </c>
      <c r="X7708">
        <v>0.95986970000000005</v>
      </c>
      <c r="Y7708">
        <v>-0.31850610000000001</v>
      </c>
      <c r="Z7708">
        <v>2.8358290000000001E-2</v>
      </c>
      <c r="AA7708">
        <v>0.94749649999999996</v>
      </c>
      <c r="AB7708">
        <v>16</v>
      </c>
      <c r="AC7708">
        <v>22.149000000000001</v>
      </c>
      <c r="AD7708">
        <v>-1.1236189750487999</v>
      </c>
      <c r="AE7708">
        <v>-6.0750099999999998</v>
      </c>
      <c r="AF7708">
        <v>-7.33946044065571</v>
      </c>
      <c r="AG7708">
        <v>-1.1236189750487999</v>
      </c>
      <c r="AH7708">
        <v>21.704844282343899</v>
      </c>
      <c r="AI7708">
        <v>92.807550100489195</v>
      </c>
      <c r="AJ7708">
        <v>108.68288873819699</v>
      </c>
      <c r="AK7708">
        <v>22.939713696597</v>
      </c>
      <c r="AL7708">
        <v>83.698369357787399</v>
      </c>
      <c r="AM7708">
        <v>105.048886348297</v>
      </c>
      <c r="AN7708">
        <v>1.0000000068286701</v>
      </c>
    </row>
    <row r="7709" spans="1:40" x14ac:dyDescent="0.25">
      <c r="A7709" t="str">
        <f>"20190303162106954"</f>
        <v>20190303162106954</v>
      </c>
      <c r="B7709" t="str">
        <f>"1551601266949894"</f>
        <v>1551601266949894</v>
      </c>
      <c r="C7709" t="s">
        <v>40</v>
      </c>
      <c r="D7709">
        <v>5.0398500000000004</v>
      </c>
      <c r="E7709">
        <v>0.47420839999999997</v>
      </c>
      <c r="F7709" t="s">
        <v>73</v>
      </c>
      <c r="G7709">
        <v>-388.63709999999998</v>
      </c>
      <c r="H7709" s="1">
        <v>-9.2013200000000002E-7</v>
      </c>
      <c r="I7709">
        <v>18.126750000000001</v>
      </c>
      <c r="J7709">
        <v>-410.61329999999998</v>
      </c>
      <c r="K7709">
        <v>1.1235980000000001</v>
      </c>
      <c r="L7709">
        <v>24.077089999999998</v>
      </c>
      <c r="M7709">
        <v>0.83054819999999996</v>
      </c>
      <c r="N7709">
        <v>-1.281819E-2</v>
      </c>
      <c r="O7709">
        <v>-0.5567995</v>
      </c>
      <c r="P7709">
        <v>0.94178810000000002</v>
      </c>
      <c r="Q7709">
        <v>9.8471619999999996E-2</v>
      </c>
      <c r="R7709">
        <v>-0.32146370000000002</v>
      </c>
      <c r="S7709">
        <v>2.9297179999999998</v>
      </c>
      <c r="T7709">
        <v>-0.14924119999999999</v>
      </c>
      <c r="U7709">
        <v>-0.79702759999999995</v>
      </c>
      <c r="V7709">
        <v>-0.25800089999999998</v>
      </c>
      <c r="W7709">
        <v>0.109419</v>
      </c>
      <c r="X7709">
        <v>0.95992860000000002</v>
      </c>
      <c r="Y7709">
        <v>-0.3185115</v>
      </c>
      <c r="Z7709">
        <v>2.8629559999999998E-2</v>
      </c>
      <c r="AA7709">
        <v>0.94748659999999996</v>
      </c>
      <c r="AB7709">
        <v>16</v>
      </c>
      <c r="AC7709">
        <v>21.976199999999999</v>
      </c>
      <c r="AD7709">
        <v>-1.12359892013199</v>
      </c>
      <c r="AE7709">
        <v>-5.95033999999999</v>
      </c>
      <c r="AF7709">
        <v>-7.2771675492762897</v>
      </c>
      <c r="AG7709">
        <v>-1.12359892013199</v>
      </c>
      <c r="AH7709">
        <v>21.5148086308158</v>
      </c>
      <c r="AI7709">
        <v>92.832179440219406</v>
      </c>
      <c r="AJ7709">
        <v>108.687590293304</v>
      </c>
      <c r="AK7709">
        <v>22.739978726775199</v>
      </c>
      <c r="AL7709">
        <v>83.718175122686404</v>
      </c>
      <c r="AM7709">
        <v>105.043919018889</v>
      </c>
      <c r="AN7709">
        <v>0.99999994952988303</v>
      </c>
    </row>
    <row r="7710" spans="1:40" x14ac:dyDescent="0.25">
      <c r="A7710" t="str">
        <f>"20190303162106968"</f>
        <v>20190303162106968</v>
      </c>
      <c r="B7710" t="str">
        <f>"1551601266960630"</f>
        <v>1551601266960630</v>
      </c>
      <c r="C7710" t="s">
        <v>40</v>
      </c>
      <c r="D7710">
        <v>5.0374160000000003</v>
      </c>
      <c r="E7710">
        <v>0.47417880000000001</v>
      </c>
      <c r="F7710" t="s">
        <v>73</v>
      </c>
      <c r="G7710">
        <v>-388.65750000000003</v>
      </c>
      <c r="H7710" s="1">
        <v>-8.982417E-7</v>
      </c>
      <c r="I7710">
        <v>18.179569999999998</v>
      </c>
      <c r="J7710">
        <v>-410.53309999999999</v>
      </c>
      <c r="K7710">
        <v>1.1235900000000001</v>
      </c>
      <c r="L7710">
        <v>24.027619999999999</v>
      </c>
      <c r="M7710">
        <v>0.83228609999999903</v>
      </c>
      <c r="N7710">
        <v>-1.2730780000000001E-2</v>
      </c>
      <c r="O7710">
        <v>-0.55420040000000004</v>
      </c>
      <c r="P7710">
        <v>0.9428417</v>
      </c>
      <c r="Q7710">
        <v>9.7960989999999998E-2</v>
      </c>
      <c r="R7710">
        <v>-0.31851740000000001</v>
      </c>
      <c r="S7710">
        <v>2.9322509999999999</v>
      </c>
      <c r="T7710">
        <v>-0.15005959999999999</v>
      </c>
      <c r="U7710">
        <v>-0.787628199999999</v>
      </c>
      <c r="V7710">
        <v>-0.25802750000000002</v>
      </c>
      <c r="W7710">
        <v>0.1088237</v>
      </c>
      <c r="X7710">
        <v>0.95998919999999999</v>
      </c>
      <c r="Y7710">
        <v>-0.31857679999999999</v>
      </c>
      <c r="Z7710">
        <v>2.8777E-2</v>
      </c>
      <c r="AA7710">
        <v>0.94746010000000003</v>
      </c>
      <c r="AB7710">
        <v>16</v>
      </c>
      <c r="AC7710">
        <v>21.875599999999899</v>
      </c>
      <c r="AD7710">
        <v>-1.12359089824169</v>
      </c>
      <c r="AE7710">
        <v>-5.8480499999999997</v>
      </c>
      <c r="AF7710">
        <v>-7.2389789217576199</v>
      </c>
      <c r="AG7710">
        <v>-1.12359089824169</v>
      </c>
      <c r="AH7710">
        <v>21.396801862541199</v>
      </c>
      <c r="AI7710">
        <v>92.847683807845101</v>
      </c>
      <c r="AJ7710">
        <v>108.69173748371099</v>
      </c>
      <c r="AK7710">
        <v>22.6161093533151</v>
      </c>
      <c r="AL7710">
        <v>83.752488686669594</v>
      </c>
      <c r="AM7710">
        <v>105.044493039112</v>
      </c>
      <c r="AN7710">
        <v>1.0000000262772799</v>
      </c>
    </row>
    <row r="7711" spans="1:40" x14ac:dyDescent="0.25">
      <c r="A7711" t="str">
        <f>"20190303162106986"</f>
        <v>20190303162106986</v>
      </c>
      <c r="B7711" t="str">
        <f>"1551601266980150"</f>
        <v>1551601266980150</v>
      </c>
      <c r="C7711" t="s">
        <v>40</v>
      </c>
      <c r="D7711">
        <v>5.2179409999999997</v>
      </c>
      <c r="E7711">
        <v>0.47416360000000002</v>
      </c>
      <c r="F7711" t="s">
        <v>73</v>
      </c>
      <c r="G7711">
        <v>-388.80599999999998</v>
      </c>
      <c r="H7711" s="1">
        <v>-8.1808300000000001E-7</v>
      </c>
      <c r="I7711">
        <v>18.266549999999999</v>
      </c>
      <c r="J7711">
        <v>-410.42939999999999</v>
      </c>
      <c r="K7711">
        <v>1.123602</v>
      </c>
      <c r="L7711">
        <v>23.964289999999998</v>
      </c>
      <c r="M7711">
        <v>0.83450809999999997</v>
      </c>
      <c r="N7711">
        <v>-1.2715509999999999E-2</v>
      </c>
      <c r="O7711">
        <v>-0.55084929999999999</v>
      </c>
      <c r="P7711">
        <v>0.94397560000000003</v>
      </c>
      <c r="Q7711">
        <v>9.7619739999999997E-2</v>
      </c>
      <c r="R7711">
        <v>-0.31524750000000001</v>
      </c>
      <c r="S7711">
        <v>2.9347530000000002</v>
      </c>
      <c r="T7711">
        <v>-0.1517675</v>
      </c>
      <c r="U7711">
        <v>-0.77816770000000002</v>
      </c>
      <c r="V7711">
        <v>-0.2575094</v>
      </c>
      <c r="W7711">
        <v>0.10847759999999999</v>
      </c>
      <c r="X7711">
        <v>0.9601674</v>
      </c>
      <c r="Y7711">
        <v>-0.31780259999999999</v>
      </c>
      <c r="Z7711">
        <v>2.904733E-2</v>
      </c>
      <c r="AA7711">
        <v>0.94771179999999999</v>
      </c>
      <c r="AB7711">
        <v>16</v>
      </c>
      <c r="AC7711">
        <v>21.6234</v>
      </c>
      <c r="AD7711">
        <v>-1.123602818083</v>
      </c>
      <c r="AE7711">
        <v>-5.6977399999999996</v>
      </c>
      <c r="AF7711">
        <v>-7.1389773413997197</v>
      </c>
      <c r="AG7711">
        <v>-1.123602818083</v>
      </c>
      <c r="AH7711">
        <v>21.131853563127098</v>
      </c>
      <c r="AI7711">
        <v>92.883786695711507</v>
      </c>
      <c r="AJ7711">
        <v>108.66651911696</v>
      </c>
      <c r="AK7711">
        <v>22.333443885510999</v>
      </c>
      <c r="AL7711">
        <v>83.772436424414494</v>
      </c>
      <c r="AM7711">
        <v>105.012989423401</v>
      </c>
      <c r="AN7711">
        <v>0.99999995840643896</v>
      </c>
    </row>
    <row r="7712" spans="1:40" x14ac:dyDescent="0.25">
      <c r="A7712" t="str">
        <f>"20190303162106996"</f>
        <v>20190303162106996</v>
      </c>
      <c r="B7712" t="str">
        <f>"1551601266989909"</f>
        <v>1551601266989909</v>
      </c>
      <c r="C7712" t="s">
        <v>40</v>
      </c>
      <c r="D7712">
        <v>5.154706</v>
      </c>
      <c r="E7712">
        <v>0.4741785</v>
      </c>
      <c r="F7712" t="s">
        <v>73</v>
      </c>
      <c r="G7712">
        <v>-388.77420000000001</v>
      </c>
      <c r="H7712" s="1">
        <v>-8.2066360000000003E-7</v>
      </c>
      <c r="I7712">
        <v>18.302779999999998</v>
      </c>
      <c r="J7712">
        <v>-410.36</v>
      </c>
      <c r="K7712">
        <v>1.12361</v>
      </c>
      <c r="L7712">
        <v>23.9223</v>
      </c>
      <c r="M7712">
        <v>0.83599880000000004</v>
      </c>
      <c r="N7712">
        <v>-1.271045E-2</v>
      </c>
      <c r="O7712">
        <v>-0.54858450000000003</v>
      </c>
      <c r="P7712">
        <v>0.94462740000000001</v>
      </c>
      <c r="Q7712">
        <v>9.7972169999999997E-2</v>
      </c>
      <c r="R7712">
        <v>-0.31317810000000001</v>
      </c>
      <c r="S7712">
        <v>2.9373779999999998</v>
      </c>
      <c r="T7712">
        <v>-0.15240879999999901</v>
      </c>
      <c r="U7712">
        <v>-0.76794430000000002</v>
      </c>
      <c r="V7712">
        <v>-0.2569903</v>
      </c>
      <c r="W7712">
        <v>0.1088312</v>
      </c>
      <c r="X7712">
        <v>0.96026650000000002</v>
      </c>
      <c r="Y7712">
        <v>-0.31851929999999901</v>
      </c>
      <c r="Z7712">
        <v>2.914593E-2</v>
      </c>
      <c r="AA7712">
        <v>0.94746819999999998</v>
      </c>
      <c r="AB7712">
        <v>16</v>
      </c>
      <c r="AC7712">
        <v>21.585799999999999</v>
      </c>
      <c r="AD7712">
        <v>-1.1236108206636</v>
      </c>
      <c r="AE7712">
        <v>-5.6195199999999996</v>
      </c>
      <c r="AF7712">
        <v>-7.1262154548832797</v>
      </c>
      <c r="AG7712">
        <v>-1.1236108206636</v>
      </c>
      <c r="AH7712">
        <v>21.076702683526801</v>
      </c>
      <c r="AI7712">
        <v>92.891096580863405</v>
      </c>
      <c r="AJ7712">
        <v>108.68083990287499</v>
      </c>
      <c r="AK7712">
        <v>22.277182137683202</v>
      </c>
      <c r="AL7712">
        <v>83.752056221610403</v>
      </c>
      <c r="AM7712">
        <v>104.982611110219</v>
      </c>
      <c r="AN7712">
        <v>0.99999999770489001</v>
      </c>
    </row>
    <row r="7713" spans="1:40" x14ac:dyDescent="0.25">
      <c r="A7713" t="str">
        <f>"20190303162107009"</f>
        <v>20190303162107009</v>
      </c>
      <c r="B7713" t="str">
        <f>"1551601267000177"</f>
        <v>1551601267000177</v>
      </c>
      <c r="C7713" t="s">
        <v>40</v>
      </c>
      <c r="D7713">
        <v>5.0982580000000004</v>
      </c>
      <c r="E7713">
        <v>0.47417749999999997</v>
      </c>
      <c r="F7713" t="s">
        <v>73</v>
      </c>
      <c r="G7713">
        <v>-388.50700000000001</v>
      </c>
      <c r="H7713" s="1">
        <v>-9.4713690000000003E-7</v>
      </c>
      <c r="I7713">
        <v>18.25778</v>
      </c>
      <c r="J7713">
        <v>-410.2842</v>
      </c>
      <c r="K7713">
        <v>1.1236200000000001</v>
      </c>
      <c r="L7713">
        <v>23.87659</v>
      </c>
      <c r="M7713">
        <v>0.83762510000000001</v>
      </c>
      <c r="N7713">
        <v>-1.269049E-2</v>
      </c>
      <c r="O7713">
        <v>-0.54609839999999998</v>
      </c>
      <c r="P7713">
        <v>0.945357</v>
      </c>
      <c r="Q7713">
        <v>9.8851309999999998E-2</v>
      </c>
      <c r="R7713">
        <v>-0.31069089999999999</v>
      </c>
      <c r="S7713">
        <v>2.938965</v>
      </c>
      <c r="T7713">
        <v>-0.1511122</v>
      </c>
      <c r="U7713">
        <v>-0.76181030000000005</v>
      </c>
      <c r="V7713">
        <v>-0.25661919999999999</v>
      </c>
      <c r="W7713">
        <v>0.1096934</v>
      </c>
      <c r="X7713">
        <v>0.96026769999999995</v>
      </c>
      <c r="Y7713">
        <v>-0.31769760000000002</v>
      </c>
      <c r="Z7713">
        <v>2.876337E-2</v>
      </c>
      <c r="AA7713">
        <v>0.94775580000000004</v>
      </c>
      <c r="AB7713">
        <v>16</v>
      </c>
      <c r="AC7713">
        <v>21.777200000000001</v>
      </c>
      <c r="AD7713">
        <v>-1.1236209471368901</v>
      </c>
      <c r="AE7713">
        <v>-5.6188099999999999</v>
      </c>
      <c r="AF7713">
        <v>-7.1687221795009197</v>
      </c>
      <c r="AG7713">
        <v>-1.1236209471368901</v>
      </c>
      <c r="AH7713">
        <v>21.258204588964102</v>
      </c>
      <c r="AI7713">
        <v>92.867249293062002</v>
      </c>
      <c r="AJ7713">
        <v>108.635208863492</v>
      </c>
      <c r="AK7713">
        <v>22.462510190670301</v>
      </c>
      <c r="AL7713">
        <v>83.7023586216567</v>
      </c>
      <c r="AM7713">
        <v>104.961928896477</v>
      </c>
      <c r="AN7713">
        <v>1.00000005573774</v>
      </c>
    </row>
    <row r="7714" spans="1:40" x14ac:dyDescent="0.25">
      <c r="A7714" t="str">
        <f>"20190303162107019"</f>
        <v>20190303162107019</v>
      </c>
      <c r="B7714" t="str">
        <f>"1551601267009937"</f>
        <v>1551601267009937</v>
      </c>
      <c r="C7714" t="s">
        <v>40</v>
      </c>
      <c r="D7714">
        <v>5.0945720000000003</v>
      </c>
      <c r="E7714">
        <v>0.47419020000000001</v>
      </c>
      <c r="F7714" t="s">
        <v>73</v>
      </c>
      <c r="G7714">
        <v>-388.02199999999999</v>
      </c>
      <c r="H7714" s="1">
        <v>-1.192415E-6</v>
      </c>
      <c r="I7714">
        <v>18.16769</v>
      </c>
      <c r="J7714">
        <v>-410.22390000000001</v>
      </c>
      <c r="K7714">
        <v>1.123626</v>
      </c>
      <c r="L7714">
        <v>23.840420000000002</v>
      </c>
      <c r="M7714">
        <v>0.83892</v>
      </c>
      <c r="N7714">
        <v>-1.2654790000000001E-2</v>
      </c>
      <c r="O7714">
        <v>-0.54410769999999997</v>
      </c>
      <c r="P7714">
        <v>0.94597120000000001</v>
      </c>
      <c r="Q7714">
        <v>9.9026799999999998E-2</v>
      </c>
      <c r="R7714">
        <v>-0.30875930000000001</v>
      </c>
      <c r="S7714">
        <v>2.9411010000000002</v>
      </c>
      <c r="T7714">
        <v>-0.1484433</v>
      </c>
      <c r="U7714">
        <v>-0.75421139999999998</v>
      </c>
      <c r="V7714">
        <v>-0.25629099999999999</v>
      </c>
      <c r="W7714">
        <v>0.10983420000000001</v>
      </c>
      <c r="X7714">
        <v>0.96033919999999995</v>
      </c>
      <c r="Y7714">
        <v>-0.31793949999999999</v>
      </c>
      <c r="Z7714">
        <v>2.812477E-2</v>
      </c>
      <c r="AA7714">
        <v>0.94769380000000003</v>
      </c>
      <c r="AB7714">
        <v>16</v>
      </c>
      <c r="AC7714">
        <v>22.201899999999998</v>
      </c>
      <c r="AD7714">
        <v>-1.1236271924150001</v>
      </c>
      <c r="AE7714">
        <v>-5.6727299999999996</v>
      </c>
      <c r="AF7714">
        <v>-7.3042819246379302</v>
      </c>
      <c r="AG7714">
        <v>-1.1236271924150001</v>
      </c>
      <c r="AH7714">
        <v>21.661848867608999</v>
      </c>
      <c r="AI7714">
        <v>92.813945516338805</v>
      </c>
      <c r="AJ7714">
        <v>108.63388421819801</v>
      </c>
      <c r="AK7714">
        <v>22.887786456214201</v>
      </c>
      <c r="AL7714">
        <v>83.694242005292097</v>
      </c>
      <c r="AM7714">
        <v>104.94258725894601</v>
      </c>
      <c r="AN7714">
        <v>1.0000000036136401</v>
      </c>
    </row>
    <row r="7715" spans="1:40" x14ac:dyDescent="0.25">
      <c r="A7715" t="str">
        <f>"20190303162107031"</f>
        <v>20190303162107031</v>
      </c>
      <c r="B7715" t="str">
        <f>"1551601267020673"</f>
        <v>1551601267020673</v>
      </c>
      <c r="C7715" t="s">
        <v>40</v>
      </c>
      <c r="D7715">
        <v>5.1554349999999998</v>
      </c>
      <c r="E7715">
        <v>0.47421809999999998</v>
      </c>
      <c r="F7715" t="s">
        <v>73</v>
      </c>
      <c r="G7715">
        <v>-387.87400000000002</v>
      </c>
      <c r="H7715" s="1">
        <v>-1.2641319999999999E-6</v>
      </c>
      <c r="I7715">
        <v>18.157730000000001</v>
      </c>
      <c r="J7715">
        <v>-410.15499999999997</v>
      </c>
      <c r="K7715">
        <v>1.1236349999999999</v>
      </c>
      <c r="L7715">
        <v>23.799410000000002</v>
      </c>
      <c r="M7715">
        <v>0.84039010000000003</v>
      </c>
      <c r="N7715">
        <v>-1.260496E-2</v>
      </c>
      <c r="O7715">
        <v>-0.54183549999999903</v>
      </c>
      <c r="P7715">
        <v>0.94663629999999999</v>
      </c>
      <c r="Q7715">
        <v>9.9182980000000004E-2</v>
      </c>
      <c r="R7715">
        <v>-0.30666399999999999</v>
      </c>
      <c r="S7715">
        <v>2.9426570000000001</v>
      </c>
      <c r="T7715">
        <v>-0.14794019999999999</v>
      </c>
      <c r="U7715">
        <v>-0.74819950000000002</v>
      </c>
      <c r="V7715">
        <v>-0.2558126</v>
      </c>
      <c r="W7715">
        <v>0.10993890000000001</v>
      </c>
      <c r="X7715">
        <v>0.96045480000000005</v>
      </c>
      <c r="Y7715">
        <v>-0.31731910000000002</v>
      </c>
      <c r="Z7715">
        <v>2.794758E-2</v>
      </c>
      <c r="AA7715">
        <v>0.9479069</v>
      </c>
      <c r="AB7715">
        <v>16</v>
      </c>
      <c r="AC7715">
        <v>22.280999999999899</v>
      </c>
      <c r="AD7715">
        <v>-1.1236362641319999</v>
      </c>
      <c r="AE7715">
        <v>-5.64168</v>
      </c>
      <c r="AF7715">
        <v>-7.3145252629125501</v>
      </c>
      <c r="AG7715">
        <v>-1.1236362641319999</v>
      </c>
      <c r="AH7715">
        <v>21.731386085579501</v>
      </c>
      <c r="AI7715">
        <v>92.805493199114494</v>
      </c>
      <c r="AJ7715">
        <v>108.60261894396</v>
      </c>
      <c r="AK7715">
        <v>22.956872162304201</v>
      </c>
      <c r="AL7715">
        <v>83.688206789274503</v>
      </c>
      <c r="AM7715">
        <v>104.91422406954599</v>
      </c>
      <c r="AN7715">
        <v>1.0000000354475</v>
      </c>
    </row>
    <row r="7716" spans="1:40" x14ac:dyDescent="0.25">
      <c r="A7716" t="str">
        <f>"20190303162107043"</f>
        <v>20190303162107043</v>
      </c>
      <c r="B7716" t="str">
        <f>"1551601267030433"</f>
        <v>1551601267030433</v>
      </c>
      <c r="C7716" t="s">
        <v>40</v>
      </c>
      <c r="D7716">
        <v>5.1681710000000001</v>
      </c>
      <c r="E7716">
        <v>0.47412850000000001</v>
      </c>
      <c r="F7716" t="s">
        <v>73</v>
      </c>
      <c r="G7716">
        <v>-387.72989999999999</v>
      </c>
      <c r="H7716" s="1">
        <v>-1.3342559999999999E-6</v>
      </c>
      <c r="I7716">
        <v>18.146529999999998</v>
      </c>
      <c r="J7716">
        <v>-410.08390000000003</v>
      </c>
      <c r="K7716">
        <v>1.12364</v>
      </c>
      <c r="L7716">
        <v>23.757259999999999</v>
      </c>
      <c r="M7716">
        <v>0.84189840000000005</v>
      </c>
      <c r="N7716">
        <v>-1.254572E-2</v>
      </c>
      <c r="O7716">
        <v>-0.53949060000000004</v>
      </c>
      <c r="P7716">
        <v>0.94738659999999997</v>
      </c>
      <c r="Q7716">
        <v>9.8912459999999994E-2</v>
      </c>
      <c r="R7716">
        <v>-0.30442619999999998</v>
      </c>
      <c r="S7716">
        <v>2.944153</v>
      </c>
      <c r="T7716">
        <v>-0.14752029999999999</v>
      </c>
      <c r="U7716">
        <v>-0.74215699999999996</v>
      </c>
      <c r="V7716">
        <v>-0.25542130000000002</v>
      </c>
      <c r="W7716">
        <v>0.1096053</v>
      </c>
      <c r="X7716">
        <v>0.96059700000000003</v>
      </c>
      <c r="Y7716">
        <v>-0.31662449999999998</v>
      </c>
      <c r="Z7716">
        <v>2.778947E-2</v>
      </c>
      <c r="AA7716">
        <v>0.94814379999999998</v>
      </c>
      <c r="AB7716">
        <v>16</v>
      </c>
      <c r="AC7716">
        <v>22.353999999999999</v>
      </c>
      <c r="AD7716">
        <v>-1.1236413342560001</v>
      </c>
      <c r="AE7716">
        <v>-5.6107300000000002</v>
      </c>
      <c r="AF7716">
        <v>-7.3192868570040996</v>
      </c>
      <c r="AG7716">
        <v>-1.1236413342560001</v>
      </c>
      <c r="AH7716">
        <v>21.796639234778301</v>
      </c>
      <c r="AI7716">
        <v>92.797786079266302</v>
      </c>
      <c r="AJ7716">
        <v>108.561993081632</v>
      </c>
      <c r="AK7716">
        <v>23.020165331166499</v>
      </c>
      <c r="AL7716">
        <v>83.707436517843504</v>
      </c>
      <c r="AM7716">
        <v>104.89031854460301</v>
      </c>
      <c r="AN7716">
        <v>0.99999997934538898</v>
      </c>
    </row>
    <row r="7717" spans="1:40" x14ac:dyDescent="0.25">
      <c r="A7717" t="str">
        <f>"20190303162107054"</f>
        <v>20190303162107054</v>
      </c>
      <c r="B7717" t="str">
        <f>"1551601267040193"</f>
        <v>1551601267040193</v>
      </c>
      <c r="C7717" t="s">
        <v>40</v>
      </c>
      <c r="D7717">
        <v>5.0499960000000002</v>
      </c>
      <c r="E7717">
        <v>0.47404679999999999</v>
      </c>
      <c r="F7717" t="s">
        <v>73</v>
      </c>
      <c r="G7717">
        <v>-387.61</v>
      </c>
      <c r="H7717" s="1">
        <v>-1.389668E-6</v>
      </c>
      <c r="I7717">
        <v>18.153580000000002</v>
      </c>
      <c r="J7717">
        <v>-410.01799999999997</v>
      </c>
      <c r="K7717">
        <v>1.1236520000000001</v>
      </c>
      <c r="L7717">
        <v>23.718599999999999</v>
      </c>
      <c r="M7717">
        <v>0.84327669999999999</v>
      </c>
      <c r="N7717">
        <v>-1.2503749999999999E-2</v>
      </c>
      <c r="O7717">
        <v>-0.53733439999999999</v>
      </c>
      <c r="P7717">
        <v>0.94814549999999997</v>
      </c>
      <c r="Q7717">
        <v>9.8854380000000006E-2</v>
      </c>
      <c r="R7717">
        <v>-0.30207289999999998</v>
      </c>
      <c r="S7717">
        <v>2.9459840000000002</v>
      </c>
      <c r="T7717">
        <v>-0.14729239999999999</v>
      </c>
      <c r="U7717">
        <v>-0.73455809999999999</v>
      </c>
      <c r="V7717">
        <v>-0.2553552</v>
      </c>
      <c r="W7717">
        <v>0.1094972</v>
      </c>
      <c r="X7717">
        <v>0.96062689999999995</v>
      </c>
      <c r="Y7717">
        <v>-0.31664109999999901</v>
      </c>
      <c r="Z7717">
        <v>2.7693019999999999E-2</v>
      </c>
      <c r="AA7717">
        <v>0.94814109999999996</v>
      </c>
      <c r="AB7717">
        <v>16</v>
      </c>
      <c r="AC7717">
        <v>22.408000000000001</v>
      </c>
      <c r="AD7717">
        <v>-1.1236533896680001</v>
      </c>
      <c r="AE7717">
        <v>-5.5650199999999996</v>
      </c>
      <c r="AF7717">
        <v>-7.3309482239094201</v>
      </c>
      <c r="AG7717">
        <v>-1.1236533896680001</v>
      </c>
      <c r="AH7717">
        <v>21.836411308622498</v>
      </c>
      <c r="AI7717">
        <v>92.792793551508694</v>
      </c>
      <c r="AJ7717">
        <v>108.55799845619499</v>
      </c>
      <c r="AK7717">
        <v>23.061531988163502</v>
      </c>
      <c r="AL7717">
        <v>83.713667687719493</v>
      </c>
      <c r="AM7717">
        <v>104.886193441694</v>
      </c>
      <c r="AN7717">
        <v>0.999999977989244</v>
      </c>
    </row>
    <row r="7718" spans="1:40" x14ac:dyDescent="0.25">
      <c r="A7718" t="str">
        <f>"20190303162107068"</f>
        <v>20190303162107068</v>
      </c>
      <c r="B7718" t="str">
        <f>"1551601267060689"</f>
        <v>1551601267060689</v>
      </c>
      <c r="C7718" t="s">
        <v>40</v>
      </c>
      <c r="D7718">
        <v>5.2062330000000001</v>
      </c>
      <c r="E7718">
        <v>0.47416049999999899</v>
      </c>
      <c r="F7718" t="s">
        <v>73</v>
      </c>
      <c r="G7718">
        <v>-387.42450000000002</v>
      </c>
      <c r="H7718" s="1">
        <v>-1.478359E-6</v>
      </c>
      <c r="I7718">
        <v>18.147829999999999</v>
      </c>
      <c r="J7718">
        <v>-409.93400000000003</v>
      </c>
      <c r="K7718">
        <v>1.1236710000000001</v>
      </c>
      <c r="L7718">
        <v>23.669460000000001</v>
      </c>
      <c r="M7718">
        <v>0.84502319999999997</v>
      </c>
      <c r="N7718">
        <v>-1.245958E-2</v>
      </c>
      <c r="O7718">
        <v>-0.53458459999999997</v>
      </c>
      <c r="P7718">
        <v>0.94912260000000004</v>
      </c>
      <c r="Q7718">
        <v>9.8679390000000006E-2</v>
      </c>
      <c r="R7718">
        <v>-0.2990468</v>
      </c>
      <c r="S7718">
        <v>2.9477229999999999</v>
      </c>
      <c r="T7718">
        <v>-0.1466007</v>
      </c>
      <c r="U7718">
        <v>-0.72680659999999997</v>
      </c>
      <c r="V7718">
        <v>-0.25530449999999999</v>
      </c>
      <c r="W7718">
        <v>0.1092669</v>
      </c>
      <c r="X7718">
        <v>0.96066660000000004</v>
      </c>
      <c r="Y7718">
        <v>-0.31604070000000001</v>
      </c>
      <c r="Z7718">
        <v>2.7461380000000001E-2</v>
      </c>
      <c r="AA7718">
        <v>0.94834810000000003</v>
      </c>
      <c r="AB7718">
        <v>16</v>
      </c>
      <c r="AC7718">
        <v>22.509499999999999</v>
      </c>
      <c r="AD7718">
        <v>-1.123672478359</v>
      </c>
      <c r="AE7718">
        <v>-5.52163</v>
      </c>
      <c r="AF7718">
        <v>-7.3506199342523102</v>
      </c>
      <c r="AG7718">
        <v>-1.123672478359</v>
      </c>
      <c r="AH7718">
        <v>21.923000955921701</v>
      </c>
      <c r="AI7718">
        <v>92.782186438253007</v>
      </c>
      <c r="AJ7718">
        <v>108.53592117686</v>
      </c>
      <c r="AK7718">
        <v>23.149778058758798</v>
      </c>
      <c r="AL7718">
        <v>83.726942569304697</v>
      </c>
      <c r="AM7718">
        <v>104.88278125356899</v>
      </c>
      <c r="AN7718">
        <v>0.99999997975570998</v>
      </c>
    </row>
    <row r="7719" spans="1:40" x14ac:dyDescent="0.25">
      <c r="A7719" t="str">
        <f>"20190303162107080"</f>
        <v>20190303162107080</v>
      </c>
      <c r="B7719" t="str">
        <f>"1551601267070449"</f>
        <v>1551601267070449</v>
      </c>
      <c r="C7719" t="s">
        <v>40</v>
      </c>
      <c r="D7719">
        <v>5.146719</v>
      </c>
      <c r="E7719">
        <v>0.47422750000000002</v>
      </c>
      <c r="F7719" t="s">
        <v>73</v>
      </c>
      <c r="G7719">
        <v>-387.35059999999999</v>
      </c>
      <c r="H7719" s="1">
        <v>-1.509137E-6</v>
      </c>
      <c r="I7719">
        <v>18.171500000000002</v>
      </c>
      <c r="J7719">
        <v>-409.86079999999998</v>
      </c>
      <c r="K7719">
        <v>1.1236900000000001</v>
      </c>
      <c r="L7719">
        <v>23.627140000000001</v>
      </c>
      <c r="M7719">
        <v>0.84652929999999904</v>
      </c>
      <c r="N7719">
        <v>-1.244E-2</v>
      </c>
      <c r="O7719">
        <v>-0.53219689999999997</v>
      </c>
      <c r="P7719">
        <v>0.95006040000000003</v>
      </c>
      <c r="Q7719">
        <v>9.8502740000000005E-2</v>
      </c>
      <c r="R7719">
        <v>-0.29611290000000001</v>
      </c>
      <c r="S7719">
        <v>2.9498289999999998</v>
      </c>
      <c r="T7719">
        <v>-0.1467733</v>
      </c>
      <c r="U7719">
        <v>-0.71813959999999999</v>
      </c>
      <c r="V7719">
        <v>-0.255573299999999</v>
      </c>
      <c r="W7719">
        <v>0.1090597</v>
      </c>
      <c r="X7719">
        <v>0.96061870000000005</v>
      </c>
      <c r="Y7719">
        <v>-0.31614740000000002</v>
      </c>
      <c r="Z7719">
        <v>2.7439649999999999E-2</v>
      </c>
      <c r="AA7719">
        <v>0.94831319999999997</v>
      </c>
      <c r="AB7719">
        <v>16</v>
      </c>
      <c r="AC7719">
        <v>22.510200000000001</v>
      </c>
      <c r="AD7719">
        <v>-1.1236915091370001</v>
      </c>
      <c r="AE7719">
        <v>-5.4556399999999901</v>
      </c>
      <c r="AF7719">
        <v>-7.3447814539819296</v>
      </c>
      <c r="AG7719">
        <v>-1.1236915091370001</v>
      </c>
      <c r="AH7719">
        <v>21.909149229438199</v>
      </c>
      <c r="AI7719">
        <v>92.784035401550696</v>
      </c>
      <c r="AJ7719">
        <v>108.533113964094</v>
      </c>
      <c r="AK7719">
        <v>23.134807480769201</v>
      </c>
      <c r="AL7719">
        <v>83.738885808361204</v>
      </c>
      <c r="AM7719">
        <v>104.898464143941</v>
      </c>
      <c r="AN7719">
        <v>1.00000000831333</v>
      </c>
    </row>
    <row r="7720" spans="1:40" x14ac:dyDescent="0.25">
      <c r="A7720" t="str">
        <f>"20190303162107097"</f>
        <v>20190303162107097</v>
      </c>
      <c r="B7720" t="str">
        <f>"1551601267089968"</f>
        <v>1551601267089968</v>
      </c>
      <c r="C7720" t="s">
        <v>40</v>
      </c>
      <c r="D7720">
        <v>5.2084299999999999</v>
      </c>
      <c r="E7720">
        <v>0.47438370000000002</v>
      </c>
      <c r="F7720" t="s">
        <v>73</v>
      </c>
      <c r="G7720">
        <v>-387.31150000000002</v>
      </c>
      <c r="H7720" s="1">
        <v>-1.5210619999999999E-6</v>
      </c>
      <c r="I7720">
        <v>18.208400000000001</v>
      </c>
      <c r="J7720">
        <v>-409.75889999999998</v>
      </c>
      <c r="K7720">
        <v>1.1237079999999999</v>
      </c>
      <c r="L7720">
        <v>23.56851</v>
      </c>
      <c r="M7720">
        <v>0.84862070000000001</v>
      </c>
      <c r="N7720">
        <v>-1.242176E-2</v>
      </c>
      <c r="O7720">
        <v>-0.52885629999999995</v>
      </c>
      <c r="P7720">
        <v>0.95142570000000004</v>
      </c>
      <c r="Q7720">
        <v>9.8077479999999995E-2</v>
      </c>
      <c r="R7720">
        <v>-0.29183959999999998</v>
      </c>
      <c r="S7720">
        <v>2.9518740000000001</v>
      </c>
      <c r="T7720">
        <v>-0.14709929999999999</v>
      </c>
      <c r="U7720">
        <v>-0.70935059999999905</v>
      </c>
      <c r="V7720">
        <v>-0.25613029999999998</v>
      </c>
      <c r="W7720">
        <v>0.1086042</v>
      </c>
      <c r="X7720">
        <v>0.96052190000000004</v>
      </c>
      <c r="Y7720">
        <v>-0.31522610000000001</v>
      </c>
      <c r="Z7720">
        <v>2.7394129999999999E-2</v>
      </c>
      <c r="AA7720">
        <v>0.94862120000000005</v>
      </c>
      <c r="AB7720">
        <v>16</v>
      </c>
      <c r="AC7720">
        <v>22.447399999999899</v>
      </c>
      <c r="AD7720">
        <v>-1.1237095210619901</v>
      </c>
      <c r="AE7720">
        <v>-5.3601099999999899</v>
      </c>
      <c r="AF7720">
        <v>-7.3059912513885203</v>
      </c>
      <c r="AG7720">
        <v>-1.1237095210619901</v>
      </c>
      <c r="AH7720">
        <v>21.833976831707201</v>
      </c>
      <c r="AI7720">
        <v>92.794172977482006</v>
      </c>
      <c r="AJ7720">
        <v>108.501049693518</v>
      </c>
      <c r="AK7720">
        <v>23.051307458376801</v>
      </c>
      <c r="AL7720">
        <v>83.7651396891102</v>
      </c>
      <c r="AM7720">
        <v>104.93092301695</v>
      </c>
      <c r="AN7720">
        <v>0.99999996160766902</v>
      </c>
    </row>
    <row r="7721" spans="1:40" x14ac:dyDescent="0.25">
      <c r="A7721" t="str">
        <f>"20190303162107122"</f>
        <v>20190303162107122</v>
      </c>
      <c r="B7721" t="str">
        <f>"1551601267110465"</f>
        <v>1551601267110465</v>
      </c>
      <c r="C7721" t="s">
        <v>40</v>
      </c>
      <c r="D7721">
        <v>5.15238</v>
      </c>
      <c r="E7721">
        <v>0.474524</v>
      </c>
      <c r="F7721" t="s">
        <v>73</v>
      </c>
      <c r="G7721">
        <v>-387.38529999999997</v>
      </c>
      <c r="H7721" s="1">
        <v>-1.472097E-6</v>
      </c>
      <c r="I7721">
        <v>18.287780000000001</v>
      </c>
      <c r="J7721">
        <v>-409.61040000000003</v>
      </c>
      <c r="K7721">
        <v>1.1237189999999999</v>
      </c>
      <c r="L7721">
        <v>23.48413</v>
      </c>
      <c r="M7721">
        <v>0.85165139999999995</v>
      </c>
      <c r="N7721">
        <v>-1.239528E-2</v>
      </c>
      <c r="O7721">
        <v>-0.52396229999999999</v>
      </c>
      <c r="P7721">
        <v>0.95313769999999998</v>
      </c>
      <c r="Q7721">
        <v>9.8455490000000007E-2</v>
      </c>
      <c r="R7721">
        <v>-0.2860685</v>
      </c>
      <c r="S7721">
        <v>2.95459</v>
      </c>
      <c r="T7721">
        <v>-0.14839359999999999</v>
      </c>
      <c r="U7721">
        <v>-0.69735719999999901</v>
      </c>
      <c r="V7721">
        <v>-0.25640499999999999</v>
      </c>
      <c r="W7721">
        <v>0.1089483</v>
      </c>
      <c r="X7721">
        <v>0.96040970000000003</v>
      </c>
      <c r="Y7721">
        <v>-0.31359559999999997</v>
      </c>
      <c r="Z7721">
        <v>2.7495149999999999E-2</v>
      </c>
      <c r="AA7721">
        <v>0.94915850000000002</v>
      </c>
      <c r="AB7721">
        <v>16</v>
      </c>
      <c r="AC7721">
        <v>22.225100000000001</v>
      </c>
      <c r="AD7721">
        <v>-1.123720472097</v>
      </c>
      <c r="AE7721">
        <v>-5.1963499999999998</v>
      </c>
      <c r="AF7721">
        <v>-7.2027308793151201</v>
      </c>
      <c r="AG7721">
        <v>-1.123720472097</v>
      </c>
      <c r="AH7721">
        <v>21.600033531176202</v>
      </c>
      <c r="AI7721">
        <v>92.825394663220905</v>
      </c>
      <c r="AJ7721">
        <v>108.441441378435</v>
      </c>
      <c r="AK7721">
        <v>22.797007004586899</v>
      </c>
      <c r="AL7721">
        <v>83.745306917309904</v>
      </c>
      <c r="AM7721">
        <v>104.947888108185</v>
      </c>
      <c r="AN7721">
        <v>1.0000000239759801</v>
      </c>
    </row>
    <row r="7722" spans="1:40" x14ac:dyDescent="0.25">
      <c r="A7722" t="str">
        <f>"20190303162107138"</f>
        <v>20190303162107138</v>
      </c>
      <c r="B7722" t="str">
        <f>"1551601267129985"</f>
        <v>1551601267129985</v>
      </c>
      <c r="C7722" t="s">
        <v>40</v>
      </c>
      <c r="D7722">
        <v>5.2156129999999896</v>
      </c>
      <c r="E7722">
        <v>0.4747131</v>
      </c>
      <c r="F7722" t="s">
        <v>73</v>
      </c>
      <c r="G7722">
        <v>-387.024</v>
      </c>
      <c r="H7722" s="1">
        <v>-1.6432260000000001E-6</v>
      </c>
      <c r="I7722">
        <v>18.285810000000001</v>
      </c>
      <c r="J7722">
        <v>-409.51209999999998</v>
      </c>
      <c r="K7722">
        <v>1.1237200000000001</v>
      </c>
      <c r="L7722">
        <v>23.428889999999999</v>
      </c>
      <c r="M7722">
        <v>0.85364569999999995</v>
      </c>
      <c r="N7722">
        <v>-1.237221E-2</v>
      </c>
      <c r="O7722">
        <v>-0.52070699999999903</v>
      </c>
      <c r="P7722">
        <v>0.95426230000000001</v>
      </c>
      <c r="Q7722">
        <v>9.8731100000000002E-2</v>
      </c>
      <c r="R7722">
        <v>-0.28219739999999999</v>
      </c>
      <c r="S7722">
        <v>2.9583740000000001</v>
      </c>
      <c r="T7722">
        <v>-0.14718519999999999</v>
      </c>
      <c r="U7722">
        <v>-0.68087769999999903</v>
      </c>
      <c r="V7722">
        <v>-0.2566232</v>
      </c>
      <c r="W7722">
        <v>0.10920000000000001</v>
      </c>
      <c r="X7722">
        <v>0.96032280000000003</v>
      </c>
      <c r="Y7722">
        <v>-0.31526910000000002</v>
      </c>
      <c r="Z7722">
        <v>2.7191099999999999E-2</v>
      </c>
      <c r="AA7722">
        <v>0.94861269999999998</v>
      </c>
      <c r="AB7722">
        <v>16</v>
      </c>
      <c r="AC7722">
        <v>22.4880999999999</v>
      </c>
      <c r="AD7722">
        <v>-1.123721643226</v>
      </c>
      <c r="AE7722">
        <v>-5.1430799999999897</v>
      </c>
      <c r="AF7722">
        <v>-7.3025759055604</v>
      </c>
      <c r="AG7722">
        <v>-1.123721643226</v>
      </c>
      <c r="AH7722">
        <v>21.8247968736571</v>
      </c>
      <c r="AI7722">
        <v>92.7953897293159</v>
      </c>
      <c r="AJ7722">
        <v>108.50023850820099</v>
      </c>
      <c r="AK7722">
        <v>23.041530412807202</v>
      </c>
      <c r="AL7722">
        <v>83.730798818276696</v>
      </c>
      <c r="AM7722">
        <v>104.961331673572</v>
      </c>
      <c r="AN7722">
        <v>0.99999999348904001</v>
      </c>
    </row>
    <row r="7723" spans="1:40" x14ac:dyDescent="0.25">
      <c r="A7723" t="str">
        <f>"20190303162107155"</f>
        <v>20190303162107155</v>
      </c>
      <c r="B7723" t="str">
        <f>"1551601267140721"</f>
        <v>1551601267140721</v>
      </c>
      <c r="C7723" t="s">
        <v>40</v>
      </c>
      <c r="D7723">
        <v>5.2114960000000004</v>
      </c>
      <c r="E7723">
        <v>0.47484510000000002</v>
      </c>
      <c r="F7723" t="s">
        <v>73</v>
      </c>
      <c r="G7723">
        <v>-386.74099999999999</v>
      </c>
      <c r="H7723" s="1">
        <v>-1.779396E-6</v>
      </c>
      <c r="I7723">
        <v>18.272279999999999</v>
      </c>
      <c r="J7723">
        <v>-409.41239999999999</v>
      </c>
      <c r="K7723">
        <v>1.1237189999999999</v>
      </c>
      <c r="L7723">
        <v>23.373349999999999</v>
      </c>
      <c r="M7723">
        <v>0.85565249999999904</v>
      </c>
      <c r="N7723">
        <v>-1.2349479999999999E-2</v>
      </c>
      <c r="O7723">
        <v>-0.51740370000000002</v>
      </c>
      <c r="P7723">
        <v>0.95537450000000002</v>
      </c>
      <c r="Q7723">
        <v>9.8601300000000003E-2</v>
      </c>
      <c r="R7723">
        <v>-0.27845550000000002</v>
      </c>
      <c r="S7723">
        <v>2.9606020000000002</v>
      </c>
      <c r="T7723">
        <v>-0.1461015</v>
      </c>
      <c r="U7723">
        <v>-0.670440699999999</v>
      </c>
      <c r="V7723">
        <v>-0.25668000000000002</v>
      </c>
      <c r="W7723">
        <v>0.1090498</v>
      </c>
      <c r="X7723">
        <v>0.96032470000000003</v>
      </c>
      <c r="Y7723">
        <v>-0.314949599999999</v>
      </c>
      <c r="Z7723">
        <v>2.6859190000000002E-2</v>
      </c>
      <c r="AA7723">
        <v>0.94872829999999997</v>
      </c>
      <c r="AB7723">
        <v>16</v>
      </c>
      <c r="AC7723">
        <v>22.671399999999998</v>
      </c>
      <c r="AD7723">
        <v>-1.123720779396</v>
      </c>
      <c r="AE7723">
        <v>-5.10107</v>
      </c>
      <c r="AF7723">
        <v>-7.3488991534884898</v>
      </c>
      <c r="AG7723">
        <v>-1.123720779396</v>
      </c>
      <c r="AH7723">
        <v>21.988413046873799</v>
      </c>
      <c r="AI7723">
        <v>92.774938868919406</v>
      </c>
      <c r="AJ7723">
        <v>108.480498702991</v>
      </c>
      <c r="AK7723">
        <v>23.211190738049599</v>
      </c>
      <c r="AL7723">
        <v>83.739456421371798</v>
      </c>
      <c r="AM7723">
        <v>104.96446634024601</v>
      </c>
      <c r="AN7723">
        <v>1.00000000535506</v>
      </c>
    </row>
    <row r="7724" spans="1:40" x14ac:dyDescent="0.25">
      <c r="A7724" t="str">
        <f>"20190303162107176"</f>
        <v>20190303162107176</v>
      </c>
      <c r="B7724" t="str">
        <f>"1551601267170001"</f>
        <v>1551601267170001</v>
      </c>
      <c r="C7724" t="s">
        <v>40</v>
      </c>
      <c r="D7724">
        <v>5.2015469999999997</v>
      </c>
      <c r="E7724">
        <v>0.47522940000000002</v>
      </c>
      <c r="F7724" t="s">
        <v>73</v>
      </c>
      <c r="G7724">
        <v>-386.65989999999999</v>
      </c>
      <c r="H7724" s="1">
        <v>-1.8117829999999999E-6</v>
      </c>
      <c r="I7724">
        <v>18.305969999999999</v>
      </c>
      <c r="J7724">
        <v>-409.28120000000001</v>
      </c>
      <c r="K7724">
        <v>1.123705</v>
      </c>
      <c r="L7724">
        <v>23.301030000000001</v>
      </c>
      <c r="M7724">
        <v>0.85826239999999998</v>
      </c>
      <c r="N7724">
        <v>-1.2325340000000001E-2</v>
      </c>
      <c r="O7724">
        <v>-0.51306320000000005</v>
      </c>
      <c r="P7724">
        <v>0.95694679999999999</v>
      </c>
      <c r="Q7724">
        <v>9.7503450000000005E-2</v>
      </c>
      <c r="R7724">
        <v>-0.27339750000000002</v>
      </c>
      <c r="S7724">
        <v>2.96286</v>
      </c>
      <c r="T7724">
        <v>-0.146332399999999</v>
      </c>
      <c r="U7724">
        <v>-0.65988159999999996</v>
      </c>
      <c r="V7724">
        <v>-0.25694699999999998</v>
      </c>
      <c r="W7724">
        <v>0.1079316</v>
      </c>
      <c r="X7724">
        <v>0.9603796</v>
      </c>
      <c r="Y7724">
        <v>-0.31351839999999997</v>
      </c>
      <c r="Z7724">
        <v>2.674905E-2</v>
      </c>
      <c r="AA7724">
        <v>0.94920530000000003</v>
      </c>
      <c r="AB7724">
        <v>16</v>
      </c>
      <c r="AC7724">
        <v>22.621300000000002</v>
      </c>
      <c r="AD7724">
        <v>-1.123706811783</v>
      </c>
      <c r="AE7724">
        <v>-4.9950599999999898</v>
      </c>
      <c r="AF7724">
        <v>-7.3024583415198396</v>
      </c>
      <c r="AG7724">
        <v>-1.123706811783</v>
      </c>
      <c r="AH7724">
        <v>21.927867916557702</v>
      </c>
      <c r="AI7724">
        <v>92.783551114365395</v>
      </c>
      <c r="AJ7724">
        <v>108.418883431558</v>
      </c>
      <c r="AK7724">
        <v>23.1391444568394</v>
      </c>
      <c r="AL7724">
        <v>83.803904839705197</v>
      </c>
      <c r="AM7724">
        <v>104.97851532958801</v>
      </c>
      <c r="AN7724">
        <v>0.99999998359185904</v>
      </c>
    </row>
    <row r="7725" spans="1:40" x14ac:dyDescent="0.25">
      <c r="A7725" t="str">
        <f>"20190303162107187"</f>
        <v>20190303162107187</v>
      </c>
      <c r="B7725" t="str">
        <f>"1551601267180737"</f>
        <v>1551601267180737</v>
      </c>
      <c r="C7725" t="s">
        <v>40</v>
      </c>
      <c r="D7725">
        <v>5.1417169999999999</v>
      </c>
      <c r="E7725">
        <v>0.4753617</v>
      </c>
      <c r="F7725" t="s">
        <v>73</v>
      </c>
      <c r="G7725">
        <v>-386.97579999999999</v>
      </c>
      <c r="H7725" s="1">
        <v>-1.6400819999999999E-6</v>
      </c>
      <c r="I7725">
        <v>18.431899999999999</v>
      </c>
      <c r="J7725">
        <v>-409.21120000000002</v>
      </c>
      <c r="K7725">
        <v>1.123699</v>
      </c>
      <c r="L7725">
        <v>23.262820000000001</v>
      </c>
      <c r="M7725">
        <v>0.8596395</v>
      </c>
      <c r="N7725">
        <v>-1.231582E-2</v>
      </c>
      <c r="O7725">
        <v>-0.51075280000000001</v>
      </c>
      <c r="P7725">
        <v>0.95774479999999995</v>
      </c>
      <c r="Q7725">
        <v>9.7002000000000005E-2</v>
      </c>
      <c r="R7725">
        <v>-0.27076899999999998</v>
      </c>
      <c r="S7725">
        <v>2.9653019999999999</v>
      </c>
      <c r="T7725">
        <v>-0.14938709999999999</v>
      </c>
      <c r="U7725">
        <v>-0.64730829999999995</v>
      </c>
      <c r="V7725">
        <v>-0.2570231</v>
      </c>
      <c r="W7725">
        <v>0.1074229</v>
      </c>
      <c r="X7725">
        <v>0.9604163</v>
      </c>
      <c r="Y7725">
        <v>-0.3149342</v>
      </c>
      <c r="Z7725">
        <v>2.7379069999999998E-2</v>
      </c>
      <c r="AA7725">
        <v>0.94871850000000002</v>
      </c>
      <c r="AB7725">
        <v>16</v>
      </c>
      <c r="AC7725">
        <v>22.235399999999998</v>
      </c>
      <c r="AD7725">
        <v>-1.123700640082</v>
      </c>
      <c r="AE7725">
        <v>-4.8309199999999999</v>
      </c>
      <c r="AF7725">
        <v>-7.1869612087457702</v>
      </c>
      <c r="AG7725">
        <v>-1.123700640082</v>
      </c>
      <c r="AH7725">
        <v>21.530958922341402</v>
      </c>
      <c r="AI7725">
        <v>92.834107669223499</v>
      </c>
      <c r="AJ7725">
        <v>108.458835184126</v>
      </c>
      <c r="AK7725">
        <v>22.7265770995126</v>
      </c>
      <c r="AL7725">
        <v>83.833221826150904</v>
      </c>
      <c r="AM7725">
        <v>104.982205271466</v>
      </c>
      <c r="AN7725">
        <v>1.0000000113418499</v>
      </c>
    </row>
    <row r="7726" spans="1:40" x14ac:dyDescent="0.25">
      <c r="A7726" t="str">
        <f>"20190303162107209"</f>
        <v>20190303162107209</v>
      </c>
      <c r="B7726" t="str">
        <f>"1551601267200764"</f>
        <v>1551601267200764</v>
      </c>
      <c r="C7726" t="s">
        <v>40</v>
      </c>
      <c r="D7726">
        <v>5.1538599999999999</v>
      </c>
      <c r="E7726">
        <v>0.48627039999999999</v>
      </c>
      <c r="F7726" t="s">
        <v>73</v>
      </c>
      <c r="G7726">
        <v>-387.09899999999999</v>
      </c>
      <c r="H7726" s="1">
        <v>-1.571396E-6</v>
      </c>
      <c r="I7726">
        <v>18.490760000000002</v>
      </c>
      <c r="J7726">
        <v>-409.07819999999998</v>
      </c>
      <c r="K7726">
        <v>1.1237010000000001</v>
      </c>
      <c r="L7726">
        <v>23.190799999999999</v>
      </c>
      <c r="M7726">
        <v>0.86218629999999996</v>
      </c>
      <c r="N7726">
        <v>-1.251587E-2</v>
      </c>
      <c r="O7726">
        <v>-0.50643669999999996</v>
      </c>
      <c r="P7726">
        <v>0.95930780000000004</v>
      </c>
      <c r="Q7726">
        <v>9.6006209999999995E-2</v>
      </c>
      <c r="R7726">
        <v>-0.26553909999999997</v>
      </c>
      <c r="S7726">
        <v>2.9666139999999999</v>
      </c>
      <c r="T7726">
        <v>-0.1507578</v>
      </c>
      <c r="U7726">
        <v>-0.64022829999999997</v>
      </c>
      <c r="V7726">
        <v>-0.25748090000000001</v>
      </c>
      <c r="W7726">
        <v>0.106653399999999</v>
      </c>
      <c r="X7726">
        <v>0.96037939999999999</v>
      </c>
      <c r="Y7726">
        <v>-0.31241960000000002</v>
      </c>
      <c r="Z7726">
        <v>2.7392529999999998E-2</v>
      </c>
      <c r="AA7726">
        <v>0.94954919999999998</v>
      </c>
      <c r="AB7726">
        <v>16</v>
      </c>
      <c r="AC7726">
        <v>21.979199999999899</v>
      </c>
      <c r="AD7726">
        <v>-1.1237025713959901</v>
      </c>
      <c r="AE7726">
        <v>-4.7000399999999898</v>
      </c>
      <c r="AF7726">
        <v>-7.0616670083203701</v>
      </c>
      <c r="AG7726">
        <v>-1.1237025713959901</v>
      </c>
      <c r="AH7726">
        <v>21.2789212574123</v>
      </c>
      <c r="AI7726">
        <v>92.869285353845896</v>
      </c>
      <c r="AJ7726">
        <v>108.359048274442</v>
      </c>
      <c r="AK7726">
        <v>22.448214590129801</v>
      </c>
      <c r="AL7726">
        <v>83.877565475940699</v>
      </c>
      <c r="AM7726">
        <v>105.008238674617</v>
      </c>
      <c r="AN7726">
        <v>0.99999997677036401</v>
      </c>
    </row>
    <row r="7727" spans="1:40" x14ac:dyDescent="0.25">
      <c r="A7727" t="str">
        <f>"20190303162107221"</f>
        <v>20190303162107221</v>
      </c>
      <c r="B7727" t="str">
        <f>"1551601267210524"</f>
        <v>1551601267210524</v>
      </c>
      <c r="C7727" t="s">
        <v>40</v>
      </c>
      <c r="D7727">
        <v>5.151624</v>
      </c>
      <c r="E7727">
        <v>0.48643009999999898</v>
      </c>
      <c r="F7727" t="s">
        <v>73</v>
      </c>
      <c r="G7727">
        <v>-385.13389999999998</v>
      </c>
      <c r="H7727" s="1">
        <v>-2.6859840000000002E-6</v>
      </c>
      <c r="I7727">
        <v>17.44408</v>
      </c>
      <c r="J7727">
        <v>-409.00659999999999</v>
      </c>
      <c r="K7727">
        <v>1.123718</v>
      </c>
      <c r="L7727">
        <v>23.1524</v>
      </c>
      <c r="M7727">
        <v>0.86343899999999996</v>
      </c>
      <c r="N7727">
        <v>-1.3089730000000001E-2</v>
      </c>
      <c r="O7727">
        <v>-0.5042835</v>
      </c>
      <c r="P7727">
        <v>0.96013090000000001</v>
      </c>
      <c r="Q7727">
        <v>9.5483730000000003E-2</v>
      </c>
      <c r="R7727">
        <v>-0.26273869999999999</v>
      </c>
      <c r="S7727">
        <v>2.9454039999999999</v>
      </c>
      <c r="T7727">
        <v>-0.13822789999999999</v>
      </c>
      <c r="U7727">
        <v>-0.70690920000000002</v>
      </c>
      <c r="V7727">
        <v>-0.2578821</v>
      </c>
      <c r="W7727">
        <v>0.10676579999999999</v>
      </c>
      <c r="X7727">
        <v>0.96025930000000004</v>
      </c>
      <c r="Y7727">
        <v>-0.28827999999999998</v>
      </c>
      <c r="Z7727">
        <v>2.3866060000000001E-2</v>
      </c>
      <c r="AA7727">
        <v>0.95724869999999995</v>
      </c>
      <c r="AB7727">
        <v>16</v>
      </c>
      <c r="AC7727">
        <v>23.872699999999998</v>
      </c>
      <c r="AD7727">
        <v>-1.1237206859839901</v>
      </c>
      <c r="AE7727">
        <v>-5.7083199999999996</v>
      </c>
      <c r="AF7727">
        <v>-7.0955599952254902</v>
      </c>
      <c r="AG7727">
        <v>-1.1237206859839901</v>
      </c>
      <c r="AH7727">
        <v>23.4441074063879</v>
      </c>
      <c r="AI7727">
        <v>92.626701350401902</v>
      </c>
      <c r="AJ7727">
        <v>106.83888927562001</v>
      </c>
      <c r="AK7727">
        <v>24.520111988084501</v>
      </c>
      <c r="AL7727">
        <v>83.871088703907603</v>
      </c>
      <c r="AM7727">
        <v>105.032361448955</v>
      </c>
      <c r="AN7727">
        <v>1.00000001839327</v>
      </c>
    </row>
    <row r="7728" spans="1:40" x14ac:dyDescent="0.25">
      <c r="A7728" t="str">
        <f>"20190303162107245"</f>
        <v>20190303162107245</v>
      </c>
      <c r="B7728" t="str">
        <f>"1551601267230573"</f>
        <v>1551601267230573</v>
      </c>
      <c r="C7728" t="s">
        <v>40</v>
      </c>
      <c r="D7728">
        <v>5.0899089999999996</v>
      </c>
      <c r="E7728">
        <v>0.48721530000000002</v>
      </c>
      <c r="F7728" t="s">
        <v>73</v>
      </c>
      <c r="G7728">
        <v>-385.40069999999997</v>
      </c>
      <c r="H7728" s="1">
        <v>-2.5410770000000001E-6</v>
      </c>
      <c r="I7728">
        <v>17.550059999999998</v>
      </c>
      <c r="J7728">
        <v>-408.8707</v>
      </c>
      <c r="K7728">
        <v>1.123729</v>
      </c>
      <c r="L7728">
        <v>23.079709999999999</v>
      </c>
      <c r="M7728">
        <v>0.86566679999999996</v>
      </c>
      <c r="N7728">
        <v>-1.465255E-2</v>
      </c>
      <c r="O7728">
        <v>-0.50040640000000003</v>
      </c>
      <c r="P7728">
        <v>0.96177480000000004</v>
      </c>
      <c r="Q7728">
        <v>9.3692440000000002E-2</v>
      </c>
      <c r="R7728">
        <v>-0.25731589999999999</v>
      </c>
      <c r="S7728">
        <v>2.9471129999999999</v>
      </c>
      <c r="T7728">
        <v>-0.14029249999999999</v>
      </c>
      <c r="U7728">
        <v>-0.69943239999999995</v>
      </c>
      <c r="V7728">
        <v>-0.25899870000000003</v>
      </c>
      <c r="W7728">
        <v>0.1067018</v>
      </c>
      <c r="X7728">
        <v>0.95996579999999998</v>
      </c>
      <c r="Y7728">
        <v>-0.2864198</v>
      </c>
      <c r="Z7728">
        <v>2.3552670000000001E-2</v>
      </c>
      <c r="AA7728">
        <v>0.95781470000000002</v>
      </c>
      <c r="AB7728">
        <v>16</v>
      </c>
      <c r="AC7728">
        <v>23.47</v>
      </c>
      <c r="AD7728">
        <v>-1.1237315410769999</v>
      </c>
      <c r="AE7728">
        <v>-5.5296500000000002</v>
      </c>
      <c r="AF7728">
        <v>-6.9433696675993302</v>
      </c>
      <c r="AG7728">
        <v>-1.1237315410769999</v>
      </c>
      <c r="AH7728">
        <v>23.036714298166</v>
      </c>
      <c r="AI7728">
        <v>92.674038934247505</v>
      </c>
      <c r="AJ7728">
        <v>106.77304383063201</v>
      </c>
      <c r="AK7728">
        <v>24.086580508089501</v>
      </c>
      <c r="AL7728">
        <v>83.874776396896806</v>
      </c>
      <c r="AM7728">
        <v>105.09888998816299</v>
      </c>
      <c r="AN7728">
        <v>0.99999996894728405</v>
      </c>
    </row>
    <row r="7729" spans="1:40" x14ac:dyDescent="0.25">
      <c r="A7729" t="str">
        <f>"20190303162107255"</f>
        <v>20190303162107255</v>
      </c>
      <c r="B7729" t="str">
        <f>"1551601267251051"</f>
        <v>1551601267251051</v>
      </c>
      <c r="C7729" t="s">
        <v>40</v>
      </c>
      <c r="D7729">
        <v>5.1489609999999999</v>
      </c>
      <c r="E7729">
        <v>0.4875158</v>
      </c>
      <c r="F7729" t="s">
        <v>73</v>
      </c>
      <c r="G7729">
        <v>-386.74430000000001</v>
      </c>
      <c r="H7729" s="1">
        <v>-1.8425360000000001E-6</v>
      </c>
      <c r="I7729">
        <v>17.907599999999999</v>
      </c>
      <c r="J7729">
        <v>-408.8066</v>
      </c>
      <c r="K7729">
        <v>1.123737</v>
      </c>
      <c r="L7729">
        <v>23.045590000000001</v>
      </c>
      <c r="M7729">
        <v>0.86662510000000004</v>
      </c>
      <c r="N7729">
        <v>-1.5538079999999999E-2</v>
      </c>
      <c r="O7729">
        <v>-0.4987181</v>
      </c>
      <c r="P7729">
        <v>0.96247609999999995</v>
      </c>
      <c r="Q7729">
        <v>9.3199799999999999E-2</v>
      </c>
      <c r="R7729">
        <v>-0.25486049999999999</v>
      </c>
      <c r="S7729">
        <v>2.9493710000000002</v>
      </c>
      <c r="T7729">
        <v>-0.14978900000000001</v>
      </c>
      <c r="U7729">
        <v>-0.6894226</v>
      </c>
      <c r="V7729">
        <v>-0.25956360000000001</v>
      </c>
      <c r="W7729">
        <v>0.10717019999999999</v>
      </c>
      <c r="X7729">
        <v>0.95976110000000003</v>
      </c>
      <c r="Y7729">
        <v>-0.28771829999999998</v>
      </c>
      <c r="Z7729">
        <v>2.517668E-2</v>
      </c>
      <c r="AA7729">
        <v>0.95738409999999996</v>
      </c>
      <c r="AB7729">
        <v>15</v>
      </c>
      <c r="AC7729">
        <v>22.0623</v>
      </c>
      <c r="AD7729">
        <v>-1.123738842536</v>
      </c>
      <c r="AE7729">
        <v>-5.1379900000000003</v>
      </c>
      <c r="AF7729">
        <v>-6.5348657481208097</v>
      </c>
      <c r="AG7729">
        <v>-1.123738842536</v>
      </c>
      <c r="AH7729">
        <v>21.631534075406002</v>
      </c>
      <c r="AI7729">
        <v>92.846939264131805</v>
      </c>
      <c r="AJ7729">
        <v>106.809516463953</v>
      </c>
      <c r="AK7729">
        <v>22.624997807461501</v>
      </c>
      <c r="AL7729">
        <v>83.8477847262903</v>
      </c>
      <c r="AM7729">
        <v>105.133392818052</v>
      </c>
      <c r="AN7729">
        <v>1.0000000416431001</v>
      </c>
    </row>
    <row r="7730" spans="1:40" x14ac:dyDescent="0.25">
      <c r="A7730" t="str">
        <f>"20190303162107268"</f>
        <v>20190303162107268</v>
      </c>
      <c r="B7730" t="str">
        <f>"1551601267260812"</f>
        <v>1551601267260812</v>
      </c>
      <c r="C7730" t="s">
        <v>40</v>
      </c>
      <c r="D7730">
        <v>5.1477659999999998</v>
      </c>
      <c r="E7730">
        <v>0.48781619999999998</v>
      </c>
      <c r="F7730" t="s">
        <v>73</v>
      </c>
      <c r="G7730">
        <v>-386.66750000000002</v>
      </c>
      <c r="H7730" s="1">
        <v>-1.878566E-6</v>
      </c>
      <c r="I7730">
        <v>17.90906</v>
      </c>
      <c r="J7730">
        <v>-408.73430000000002</v>
      </c>
      <c r="K7730">
        <v>1.123758</v>
      </c>
      <c r="L7730">
        <v>23.007079999999998</v>
      </c>
      <c r="M7730">
        <v>0.86767019999999995</v>
      </c>
      <c r="N7730">
        <v>-1.655734E-2</v>
      </c>
      <c r="O7730">
        <v>-0.49686429999999998</v>
      </c>
      <c r="P7730">
        <v>0.9631904</v>
      </c>
      <c r="Q7730">
        <v>9.2402940000000003E-2</v>
      </c>
      <c r="R7730">
        <v>-0.25243989999999999</v>
      </c>
      <c r="S7730">
        <v>2.9501949999999999</v>
      </c>
      <c r="T7730">
        <v>-0.14974609999999999</v>
      </c>
      <c r="U7730">
        <v>-0.68447880000000005</v>
      </c>
      <c r="V7730">
        <v>-0.25992359999999998</v>
      </c>
      <c r="W7730">
        <v>0.1074693</v>
      </c>
      <c r="X7730">
        <v>0.95963019999999999</v>
      </c>
      <c r="Y7730">
        <v>-0.28727209999999997</v>
      </c>
      <c r="Z7730">
        <v>2.472858E-2</v>
      </c>
      <c r="AA7730">
        <v>0.95752979999999999</v>
      </c>
      <c r="AB7730">
        <v>15</v>
      </c>
      <c r="AC7730">
        <v>22.066800000000001</v>
      </c>
      <c r="AD7730">
        <v>-1.1237598785659999</v>
      </c>
      <c r="AE7730">
        <v>-5.0980199999999902</v>
      </c>
      <c r="AF7730">
        <v>-6.5256362891794399</v>
      </c>
      <c r="AG7730">
        <v>-1.1237598785659999</v>
      </c>
      <c r="AH7730">
        <v>21.629451342855901</v>
      </c>
      <c r="AI7730">
        <v>92.847578901149603</v>
      </c>
      <c r="AJ7730">
        <v>106.788637588101</v>
      </c>
      <c r="AK7730">
        <v>22.620343291743001</v>
      </c>
      <c r="AL7730">
        <v>83.830547903554901</v>
      </c>
      <c r="AM7730">
        <v>105.155389389059</v>
      </c>
      <c r="AN7730">
        <v>1.0000000245157401</v>
      </c>
    </row>
    <row r="7731" spans="1:40" x14ac:dyDescent="0.25">
      <c r="A7731" t="str">
        <f>"20190303162107281"</f>
        <v>20190303162107281</v>
      </c>
      <c r="B7731" t="str">
        <f>"1551601267270572"</f>
        <v>1551601267270572</v>
      </c>
      <c r="C7731" t="s">
        <v>40</v>
      </c>
      <c r="D7731">
        <v>5.0875349999999999</v>
      </c>
      <c r="E7731">
        <v>0.48808319999999999</v>
      </c>
      <c r="F7731" t="s">
        <v>73</v>
      </c>
      <c r="G7731">
        <v>-386.89299999999997</v>
      </c>
      <c r="H7731" s="1">
        <v>-1.7597160000000001E-6</v>
      </c>
      <c r="I7731">
        <v>17.97824</v>
      </c>
      <c r="J7731">
        <v>-408.6635</v>
      </c>
      <c r="K7731">
        <v>1.12381</v>
      </c>
      <c r="L7731">
        <v>22.969449999999998</v>
      </c>
      <c r="M7731">
        <v>0.86861619999999995</v>
      </c>
      <c r="N7731">
        <v>-1.7592469999999999E-2</v>
      </c>
      <c r="O7731">
        <v>-0.49517319999999998</v>
      </c>
      <c r="P7731">
        <v>0.96381749999999999</v>
      </c>
      <c r="Q7731">
        <v>9.1911930000000003E-2</v>
      </c>
      <c r="R7731">
        <v>-0.25021700000000002</v>
      </c>
      <c r="S7731">
        <v>2.951111</v>
      </c>
      <c r="T7731">
        <v>-0.15183749999999999</v>
      </c>
      <c r="U7731">
        <v>-0.67947389999999996</v>
      </c>
      <c r="V7731">
        <v>-0.26026690000000002</v>
      </c>
      <c r="W7731">
        <v>0.10805910000000001</v>
      </c>
      <c r="X7731">
        <v>0.95947090000000002</v>
      </c>
      <c r="Y7731">
        <v>-0.28701199999999999</v>
      </c>
      <c r="Z7731">
        <v>2.4725440000000001E-2</v>
      </c>
      <c r="AA7731">
        <v>0.95760789999999996</v>
      </c>
      <c r="AB7731">
        <v>15</v>
      </c>
      <c r="AC7731">
        <v>21.770499999999899</v>
      </c>
      <c r="AD7731">
        <v>-1.123811759716</v>
      </c>
      <c r="AE7731">
        <v>-4.9912099999999899</v>
      </c>
      <c r="AF7731">
        <v>-6.4294424596457596</v>
      </c>
      <c r="AG7731">
        <v>-1.123811759716</v>
      </c>
      <c r="AH7731">
        <v>21.331028366955401</v>
      </c>
      <c r="AI7731">
        <v>92.887712992092801</v>
      </c>
      <c r="AJ7731">
        <v>106.77347284421801</v>
      </c>
      <c r="AK7731">
        <v>22.307251162010701</v>
      </c>
      <c r="AL7731">
        <v>83.7965568662122</v>
      </c>
      <c r="AM7731">
        <v>105.176887005925</v>
      </c>
      <c r="AN7731">
        <v>1.0000000181376101</v>
      </c>
    </row>
    <row r="7732" spans="1:40" x14ac:dyDescent="0.25">
      <c r="A7732" t="str">
        <f>"20190303162107298"</f>
        <v>20190303162107298</v>
      </c>
      <c r="B7732" t="str">
        <f>"1551601267290092"</f>
        <v>1551601267290092</v>
      </c>
      <c r="C7732" t="s">
        <v>40</v>
      </c>
      <c r="D7732">
        <v>5.1004509999999996</v>
      </c>
      <c r="E7732">
        <v>0.48787930000000002</v>
      </c>
      <c r="F7732" t="s">
        <v>73</v>
      </c>
      <c r="G7732">
        <v>-387.03840000000002</v>
      </c>
      <c r="H7732" s="1">
        <v>-1.6822660000000001E-6</v>
      </c>
      <c r="I7732">
        <v>18.027429999999999</v>
      </c>
      <c r="J7732">
        <v>-408.56970000000001</v>
      </c>
      <c r="K7732">
        <v>1.123888</v>
      </c>
      <c r="L7732">
        <v>22.919920000000001</v>
      </c>
      <c r="M7732">
        <v>0.86982299999999901</v>
      </c>
      <c r="N7732">
        <v>-1.897677E-2</v>
      </c>
      <c r="O7732">
        <v>-0.49299910000000002</v>
      </c>
      <c r="P7732">
        <v>0.96456489999999995</v>
      </c>
      <c r="Q7732">
        <v>9.0218889999999996E-2</v>
      </c>
      <c r="R7732">
        <v>-0.24794260000000001</v>
      </c>
      <c r="S7732">
        <v>2.952118</v>
      </c>
      <c r="T7732">
        <v>-0.15341560000000001</v>
      </c>
      <c r="U7732">
        <v>-0.67465209999999998</v>
      </c>
      <c r="V7732">
        <v>-0.260183</v>
      </c>
      <c r="W7732">
        <v>0.1077922</v>
      </c>
      <c r="X7732">
        <v>0.95952369999999998</v>
      </c>
      <c r="Y7732">
        <v>-0.28618480000000002</v>
      </c>
      <c r="Z7732">
        <v>2.445843E-2</v>
      </c>
      <c r="AA7732">
        <v>0.9578622</v>
      </c>
      <c r="AB7732">
        <v>15</v>
      </c>
      <c r="AC7732">
        <v>21.531299999999899</v>
      </c>
      <c r="AD7732">
        <v>-1.1238896822660001</v>
      </c>
      <c r="AE7732">
        <v>-4.8924899999999996</v>
      </c>
      <c r="AF7732">
        <v>-6.3440192244761198</v>
      </c>
      <c r="AG7732">
        <v>-1.1238896822660001</v>
      </c>
      <c r="AH7732">
        <v>21.089577664605901</v>
      </c>
      <c r="AI7732">
        <v>92.921401919664007</v>
      </c>
      <c r="AJ7732">
        <v>106.74197020340701</v>
      </c>
      <c r="AK7732">
        <v>22.0517571637698</v>
      </c>
      <c r="AL7732">
        <v>83.811939101110099</v>
      </c>
      <c r="AM7732">
        <v>105.171423718352</v>
      </c>
      <c r="AN7732">
        <v>1.0000000413657599</v>
      </c>
    </row>
    <row r="7733" spans="1:40" x14ac:dyDescent="0.25">
      <c r="A7733" t="str">
        <f>"20190303162107313"</f>
        <v>20190303162107313</v>
      </c>
      <c r="B7733" t="str">
        <f>"1551601267300828"</f>
        <v>1551601267300828</v>
      </c>
      <c r="C7733" t="s">
        <v>40</v>
      </c>
      <c r="D7733">
        <v>5.0919369999999997</v>
      </c>
      <c r="E7733">
        <v>0.4774466</v>
      </c>
      <c r="F7733" t="s">
        <v>73</v>
      </c>
      <c r="G7733">
        <v>-387.58940000000001</v>
      </c>
      <c r="H7733" s="1">
        <v>-1.392966E-6</v>
      </c>
      <c r="I7733">
        <v>18.190010000000001</v>
      </c>
      <c r="J7733">
        <v>-408.49220000000003</v>
      </c>
      <c r="K7733">
        <v>1.123977</v>
      </c>
      <c r="L7733">
        <v>22.87912</v>
      </c>
      <c r="M7733">
        <v>0.87084910000000004</v>
      </c>
      <c r="N7733">
        <v>-2.0092349999999998E-2</v>
      </c>
      <c r="O7733">
        <v>-0.49113960000000001</v>
      </c>
      <c r="P7733">
        <v>0.9652115</v>
      </c>
      <c r="Q7733">
        <v>8.8703569999999995E-2</v>
      </c>
      <c r="R7733">
        <v>-0.2459643</v>
      </c>
      <c r="S7733">
        <v>2.953827</v>
      </c>
      <c r="T7733">
        <v>-0.15823229999999999</v>
      </c>
      <c r="U7733">
        <v>-0.66592410000000002</v>
      </c>
      <c r="V7733">
        <v>-0.26016129999999998</v>
      </c>
      <c r="W7733">
        <v>0.1073944</v>
      </c>
      <c r="X7733">
        <v>0.95957409999999999</v>
      </c>
      <c r="Y7733">
        <v>-0.28692109999999998</v>
      </c>
      <c r="Z7733">
        <v>2.5014109999999999E-2</v>
      </c>
      <c r="AA7733">
        <v>0.95762749999999996</v>
      </c>
      <c r="AB7733">
        <v>14</v>
      </c>
      <c r="AC7733">
        <v>20.902799999999999</v>
      </c>
      <c r="AD7733">
        <v>-1.1239783929659899</v>
      </c>
      <c r="AE7733">
        <v>-4.6891100000000003</v>
      </c>
      <c r="AF7733">
        <v>-6.1669573194651601</v>
      </c>
      <c r="AG7733">
        <v>-1.1239783929659899</v>
      </c>
      <c r="AH7733">
        <v>20.4540259635301</v>
      </c>
      <c r="AI7733">
        <v>93.011675923477199</v>
      </c>
      <c r="AJ7733">
        <v>106.77823491994801</v>
      </c>
      <c r="AK7733">
        <v>21.393033167943301</v>
      </c>
      <c r="AL7733">
        <v>83.834863916602202</v>
      </c>
      <c r="AM7733">
        <v>105.169456620687</v>
      </c>
      <c r="AN7733">
        <v>0.99999995627992899</v>
      </c>
    </row>
    <row r="7734" spans="1:40" x14ac:dyDescent="0.25">
      <c r="A7734" t="str">
        <f>"20190303162107328"</f>
        <v>20190303162107328</v>
      </c>
      <c r="B7734" t="str">
        <f>"1551601267320348"</f>
        <v>1551601267320348</v>
      </c>
      <c r="C7734" t="s">
        <v>40</v>
      </c>
      <c r="D7734">
        <v>5.0910219999999997</v>
      </c>
      <c r="E7734">
        <v>0.47594170000000002</v>
      </c>
      <c r="F7734" t="s">
        <v>73</v>
      </c>
      <c r="G7734">
        <v>-385.4144</v>
      </c>
      <c r="H7734" s="1">
        <v>-2.3855319999999999E-6</v>
      </c>
      <c r="I7734">
        <v>18.39039</v>
      </c>
      <c r="J7734">
        <v>-408.41489999999999</v>
      </c>
      <c r="K7734">
        <v>1.12409</v>
      </c>
      <c r="L7734">
        <v>22.83859</v>
      </c>
      <c r="M7734">
        <v>0.87195489999999998</v>
      </c>
      <c r="N7734">
        <v>-2.109898E-2</v>
      </c>
      <c r="O7734">
        <v>-0.4891316</v>
      </c>
      <c r="P7734">
        <v>0.96589740000000002</v>
      </c>
      <c r="Q7734">
        <v>8.7562319999999999E-2</v>
      </c>
      <c r="R7734">
        <v>-0.24367079999999999</v>
      </c>
      <c r="S7734">
        <v>2.97403</v>
      </c>
      <c r="T7734">
        <v>-0.14484669999999999</v>
      </c>
      <c r="U7734">
        <v>-0.57846070000000005</v>
      </c>
      <c r="V7734">
        <v>-0.26029210000000003</v>
      </c>
      <c r="W7734">
        <v>0.10722</v>
      </c>
      <c r="X7734">
        <v>0.95955820000000003</v>
      </c>
      <c r="Y7734">
        <v>-0.31308920000000001</v>
      </c>
      <c r="Z7734">
        <v>2.2701450000000001E-2</v>
      </c>
      <c r="AA7734">
        <v>0.94945230000000003</v>
      </c>
      <c r="AB7734">
        <v>14</v>
      </c>
      <c r="AC7734">
        <v>23.000499999999899</v>
      </c>
      <c r="AD7734">
        <v>-1.124092385532</v>
      </c>
      <c r="AE7734">
        <v>-4.4481999999999999</v>
      </c>
      <c r="AF7734">
        <v>-7.3563447485838198</v>
      </c>
      <c r="AG7734">
        <v>-1.124092385532</v>
      </c>
      <c r="AH7734">
        <v>22.185022181394899</v>
      </c>
      <c r="AI7734">
        <v>92.753455737253702</v>
      </c>
      <c r="AJ7734">
        <v>108.345035592809</v>
      </c>
      <c r="AK7734">
        <v>23.399884635190201</v>
      </c>
      <c r="AL7734">
        <v>83.844914741875698</v>
      </c>
      <c r="AM7734">
        <v>105.17697148568099</v>
      </c>
      <c r="AN7734">
        <v>1.00000002245482</v>
      </c>
    </row>
    <row r="7735" spans="1:40" x14ac:dyDescent="0.25">
      <c r="A7735" t="str">
        <f>"20190303162107344"</f>
        <v>20190303162107344</v>
      </c>
      <c r="B7735" t="str">
        <f>"1551601267330108"</f>
        <v>1551601267330108</v>
      </c>
      <c r="C7735" t="s">
        <v>40</v>
      </c>
      <c r="D7735">
        <v>5.0896749999999997</v>
      </c>
      <c r="E7735">
        <v>0.475829</v>
      </c>
      <c r="F7735" t="s">
        <v>73</v>
      </c>
      <c r="G7735">
        <v>-385.08510000000001</v>
      </c>
      <c r="H7735" s="1">
        <v>-2.5295009999999999E-6</v>
      </c>
      <c r="I7735">
        <v>18.456250000000001</v>
      </c>
      <c r="J7735">
        <v>-408.32229999999998</v>
      </c>
      <c r="K7735">
        <v>1.1242810000000001</v>
      </c>
      <c r="L7735">
        <v>22.79053</v>
      </c>
      <c r="M7735">
        <v>0.87359390000000003</v>
      </c>
      <c r="N7735">
        <v>-2.1816760000000001E-2</v>
      </c>
      <c r="O7735">
        <v>-0.48616670000000001</v>
      </c>
      <c r="P7735">
        <v>0.96675489999999997</v>
      </c>
      <c r="Q7735">
        <v>8.6772820000000001E-2</v>
      </c>
      <c r="R7735">
        <v>-0.24053240000000001</v>
      </c>
      <c r="S7735">
        <v>2.9777830000000001</v>
      </c>
      <c r="T7735">
        <v>-0.14347770000000001</v>
      </c>
      <c r="U7735">
        <v>-0.55935669999999904</v>
      </c>
      <c r="V7735">
        <v>-0.26024170000000002</v>
      </c>
      <c r="W7735">
        <v>0.1069981</v>
      </c>
      <c r="X7735">
        <v>0.95959660000000002</v>
      </c>
      <c r="Y7735">
        <v>-0.31598369999999998</v>
      </c>
      <c r="Z7735">
        <v>2.220341E-2</v>
      </c>
      <c r="AA7735">
        <v>0.94850480000000004</v>
      </c>
      <c r="AB7735">
        <v>13</v>
      </c>
      <c r="AC7735">
        <v>23.237199999999898</v>
      </c>
      <c r="AD7735">
        <v>-1.1242835295010001</v>
      </c>
      <c r="AE7735">
        <v>-4.3342799999999997</v>
      </c>
      <c r="AF7735">
        <v>-7.4955825824406297</v>
      </c>
      <c r="AG7735">
        <v>-1.1242835295010001</v>
      </c>
      <c r="AH7735">
        <v>22.3618025740405</v>
      </c>
      <c r="AI7735">
        <v>92.729235919522196</v>
      </c>
      <c r="AJ7735">
        <v>108.530936076147</v>
      </c>
      <c r="AK7735">
        <v>23.611395258757099</v>
      </c>
      <c r="AL7735">
        <v>83.857702008752199</v>
      </c>
      <c r="AM7735">
        <v>105.173589074527</v>
      </c>
      <c r="AN7735">
        <v>0.99999998527703005</v>
      </c>
    </row>
    <row r="7736" spans="1:40" x14ac:dyDescent="0.25">
      <c r="A7736" t="str">
        <f>"20190303162107361"</f>
        <v>20190303162107361</v>
      </c>
      <c r="B7736" t="str">
        <f>"1551601267350605"</f>
        <v>1551601267350605</v>
      </c>
      <c r="C7736" t="s">
        <v>40</v>
      </c>
      <c r="D7736">
        <v>5.154757</v>
      </c>
      <c r="E7736">
        <v>0.4762924</v>
      </c>
      <c r="F7736" t="s">
        <v>73</v>
      </c>
      <c r="G7736">
        <v>-384.36520000000002</v>
      </c>
      <c r="H7736" s="1">
        <v>-2.8836330000000001E-6</v>
      </c>
      <c r="I7736">
        <v>18.378360000000001</v>
      </c>
      <c r="J7736">
        <v>-408.23559999999998</v>
      </c>
      <c r="K7736">
        <v>1.1243879999999999</v>
      </c>
      <c r="L7736">
        <v>22.746369999999999</v>
      </c>
      <c r="M7736">
        <v>0.87536530000000001</v>
      </c>
      <c r="N7736">
        <v>-2.139984E-2</v>
      </c>
      <c r="O7736">
        <v>-0.48298829999999998</v>
      </c>
      <c r="P7736">
        <v>0.9674123</v>
      </c>
      <c r="Q7736">
        <v>8.8117169999999995E-2</v>
      </c>
      <c r="R7736">
        <v>-0.23737920000000001</v>
      </c>
      <c r="S7736">
        <v>2.979187</v>
      </c>
      <c r="T7736">
        <v>-0.13981060000000001</v>
      </c>
      <c r="U7736">
        <v>-0.54867549999999998</v>
      </c>
      <c r="V7736">
        <v>-0.25992159999999997</v>
      </c>
      <c r="W7736">
        <v>0.1077002</v>
      </c>
      <c r="X7736">
        <v>0.95960489999999998</v>
      </c>
      <c r="Y7736">
        <v>-0.31593169999999998</v>
      </c>
      <c r="Z7736">
        <v>2.1532639999999999E-2</v>
      </c>
      <c r="AA7736">
        <v>0.94853759999999998</v>
      </c>
      <c r="AB7736">
        <v>13</v>
      </c>
      <c r="AC7736">
        <v>23.870399999999901</v>
      </c>
      <c r="AD7736">
        <v>-1.1243908836330001</v>
      </c>
      <c r="AE7736">
        <v>-4.3680099999999999</v>
      </c>
      <c r="AF7736">
        <v>-7.6907729976093302</v>
      </c>
      <c r="AG7736">
        <v>-1.1243908836330001</v>
      </c>
      <c r="AH7736">
        <v>22.960991440447302</v>
      </c>
      <c r="AI7736">
        <v>92.6585678500211</v>
      </c>
      <c r="AJ7736">
        <v>108.518248839234</v>
      </c>
      <c r="AK7736">
        <v>24.240861620170399</v>
      </c>
      <c r="AL7736">
        <v>83.817241342246803</v>
      </c>
      <c r="AM7736">
        <v>105.155659328819</v>
      </c>
      <c r="AN7736">
        <v>1.0000000676653</v>
      </c>
    </row>
    <row r="7737" spans="1:40" x14ac:dyDescent="0.25">
      <c r="A7737" t="str">
        <f>"20190303162107376"</f>
        <v>20190303162107376</v>
      </c>
      <c r="B7737" t="str">
        <f>"1551601267370124"</f>
        <v>1551601267370124</v>
      </c>
      <c r="C7737" t="s">
        <v>40</v>
      </c>
      <c r="D7737">
        <v>5.0883529999999997</v>
      </c>
      <c r="E7737">
        <v>0.47679319999999997</v>
      </c>
      <c r="F7737" t="s">
        <v>73</v>
      </c>
      <c r="G7737">
        <v>-382.6386</v>
      </c>
      <c r="H7737" s="1">
        <v>-3.751277E-6</v>
      </c>
      <c r="I7737">
        <v>18.088329999999999</v>
      </c>
      <c r="J7737">
        <v>-408.14890000000003</v>
      </c>
      <c r="K7737">
        <v>1.124463</v>
      </c>
      <c r="L7737">
        <v>22.702999999999999</v>
      </c>
      <c r="M7737">
        <v>0.87709280000000001</v>
      </c>
      <c r="N7737">
        <v>-2.0568159999999999E-2</v>
      </c>
      <c r="O7737">
        <v>-0.47988029999999998</v>
      </c>
      <c r="P7737">
        <v>0.96773770000000003</v>
      </c>
      <c r="Q7737">
        <v>9.0216149999999995E-2</v>
      </c>
      <c r="R7737">
        <v>-0.23525509999999999</v>
      </c>
      <c r="S7737">
        <v>2.979889</v>
      </c>
      <c r="T7737">
        <v>-0.13089629999999999</v>
      </c>
      <c r="U7737">
        <v>-0.54226680000000005</v>
      </c>
      <c r="V7737">
        <v>-0.2586348</v>
      </c>
      <c r="W7737">
        <v>0.10874730000000001</v>
      </c>
      <c r="X7737">
        <v>0.95983439999999998</v>
      </c>
      <c r="Y7737">
        <v>-0.31464789999999998</v>
      </c>
      <c r="Z7737">
        <v>1.9892110000000001E-2</v>
      </c>
      <c r="AA7737">
        <v>0.94899999999999995</v>
      </c>
      <c r="AB7737">
        <v>13</v>
      </c>
      <c r="AC7737">
        <v>25.510300000000001</v>
      </c>
      <c r="AD7737">
        <v>-1.1244667512769999</v>
      </c>
      <c r="AE7737">
        <v>-4.6146700000000003</v>
      </c>
      <c r="AF7737">
        <v>-8.1807395892503703</v>
      </c>
      <c r="AG7737">
        <v>-1.1244667512769999</v>
      </c>
      <c r="AH7737">
        <v>24.5484083574962</v>
      </c>
      <c r="AI7737">
        <v>92.488312691195702</v>
      </c>
      <c r="AJ7737">
        <v>108.430614778464</v>
      </c>
      <c r="AK7737">
        <v>25.900063293132</v>
      </c>
      <c r="AL7737">
        <v>83.756892086031399</v>
      </c>
      <c r="AM7737">
        <v>105.080612556755</v>
      </c>
      <c r="AN7737">
        <v>1.00000000522584</v>
      </c>
    </row>
    <row r="7738" spans="1:40" x14ac:dyDescent="0.25">
      <c r="A7738" t="str">
        <f>"20190303162107388"</f>
        <v>20190303162107388</v>
      </c>
      <c r="B7738" t="str">
        <f>"1551601267379884"</f>
        <v>1551601267379884</v>
      </c>
      <c r="C7738" t="s">
        <v>40</v>
      </c>
      <c r="D7738">
        <v>5.0320919999999996</v>
      </c>
      <c r="E7738">
        <v>0.47708919999999999</v>
      </c>
      <c r="F7738" t="s">
        <v>73</v>
      </c>
      <c r="G7738">
        <v>-380.72519999999997</v>
      </c>
      <c r="H7738" s="1">
        <v>-4.7172689999999999E-6</v>
      </c>
      <c r="I7738">
        <v>17.741420000000002</v>
      </c>
      <c r="J7738">
        <v>-408.08580000000001</v>
      </c>
      <c r="K7738">
        <v>1.124479</v>
      </c>
      <c r="L7738">
        <v>22.671880000000002</v>
      </c>
      <c r="M7738">
        <v>0.87832479999999902</v>
      </c>
      <c r="N7738">
        <v>-1.9880169999999999E-2</v>
      </c>
      <c r="O7738">
        <v>-0.47765099999999999</v>
      </c>
      <c r="P7738">
        <v>0.96809769999999995</v>
      </c>
      <c r="Q7738">
        <v>9.1337409999999994E-2</v>
      </c>
      <c r="R7738">
        <v>-0.23333290000000001</v>
      </c>
      <c r="S7738">
        <v>2.9803470000000001</v>
      </c>
      <c r="T7738">
        <v>-0.12220490000000001</v>
      </c>
      <c r="U7738">
        <v>-0.53921509999999995</v>
      </c>
      <c r="V7738">
        <v>-0.25811539999999999</v>
      </c>
      <c r="W7738">
        <v>0.1090483</v>
      </c>
      <c r="X7738">
        <v>0.95994009999999996</v>
      </c>
      <c r="Y7738">
        <v>-0.3132663</v>
      </c>
      <c r="Z7738">
        <v>1.8270749999999999E-2</v>
      </c>
      <c r="AA7738">
        <v>0.94948949999999999</v>
      </c>
      <c r="AB7738">
        <v>14</v>
      </c>
      <c r="AC7738">
        <v>27.360600000000002</v>
      </c>
      <c r="AD7738">
        <v>-1.1244837172689901</v>
      </c>
      <c r="AE7738">
        <v>-4.9304599999999903</v>
      </c>
      <c r="AF7738">
        <v>-8.7257242174062295</v>
      </c>
      <c r="AG7738">
        <v>-1.1244837172689901</v>
      </c>
      <c r="AH7738">
        <v>26.3486407651652</v>
      </c>
      <c r="AI7738">
        <v>92.319974926797499</v>
      </c>
      <c r="AJ7738">
        <v>108.32301761181699</v>
      </c>
      <c r="AK7738">
        <v>27.7786536196475</v>
      </c>
      <c r="AL7738">
        <v>83.739543120530996</v>
      </c>
      <c r="AM7738">
        <v>105.050120501698</v>
      </c>
      <c r="AN7738">
        <v>1.0000000435190199</v>
      </c>
    </row>
    <row r="7739" spans="1:40" x14ac:dyDescent="0.25">
      <c r="A7739" t="str">
        <f>"20190303162107400"</f>
        <v>20190303162107400</v>
      </c>
      <c r="B7739" t="str">
        <f>"1551601267390620"</f>
        <v>1551601267390620</v>
      </c>
      <c r="C7739" t="s">
        <v>40</v>
      </c>
      <c r="D7739">
        <v>5.0965619999999996</v>
      </c>
      <c r="E7739">
        <v>0.47754760000000002</v>
      </c>
      <c r="F7739" t="s">
        <v>74</v>
      </c>
      <c r="G7739">
        <v>-379.67689999999999</v>
      </c>
      <c r="H7739" s="1">
        <v>-6.5281059999999898E-7</v>
      </c>
      <c r="I7739">
        <v>17.569790000000001</v>
      </c>
      <c r="J7739">
        <v>-408.01949999999999</v>
      </c>
      <c r="K7739">
        <v>1.124428</v>
      </c>
      <c r="L7739">
        <v>22.639620000000001</v>
      </c>
      <c r="M7739">
        <v>0.87959739999999997</v>
      </c>
      <c r="N7739">
        <v>-1.9180619999999999E-2</v>
      </c>
      <c r="O7739">
        <v>-0.47533209999999998</v>
      </c>
      <c r="P7739">
        <v>0.96848429999999996</v>
      </c>
      <c r="Q7739">
        <v>9.1921260000000005E-2</v>
      </c>
      <c r="R7739">
        <v>-0.23149149999999999</v>
      </c>
      <c r="S7739">
        <v>2.980988</v>
      </c>
      <c r="T7739">
        <v>-0.1179934</v>
      </c>
      <c r="U7739">
        <v>-0.53536989999999995</v>
      </c>
      <c r="V7739">
        <v>-0.25741560000000002</v>
      </c>
      <c r="W7739">
        <v>0.1088658</v>
      </c>
      <c r="X7739">
        <v>0.96014860000000002</v>
      </c>
      <c r="Y7739">
        <v>-0.31200739999999999</v>
      </c>
      <c r="Z7739">
        <v>1.757802E-2</v>
      </c>
      <c r="AA7739">
        <v>0.94991709999999996</v>
      </c>
      <c r="AB7739">
        <v>14</v>
      </c>
      <c r="AC7739">
        <v>28.342600000000001</v>
      </c>
      <c r="AD7739">
        <v>-1.1244286528106</v>
      </c>
      <c r="AE7739">
        <v>-5.0698299999999996</v>
      </c>
      <c r="AF7739">
        <v>-9.0006690649807606</v>
      </c>
      <c r="AG7739">
        <v>-1.1244286528106</v>
      </c>
      <c r="AH7739">
        <v>27.303318495685701</v>
      </c>
      <c r="AI7739">
        <v>92.239835880517703</v>
      </c>
      <c r="AJ7739">
        <v>108.24505019750799</v>
      </c>
      <c r="AK7739">
        <v>28.770602779389499</v>
      </c>
      <c r="AL7739">
        <v>83.750061600104004</v>
      </c>
      <c r="AM7739">
        <v>105.008048177867</v>
      </c>
      <c r="AN7739">
        <v>0.99999994380747803</v>
      </c>
    </row>
    <row r="7740" spans="1:40" x14ac:dyDescent="0.25">
      <c r="A7740" t="str">
        <f>"20190303162107415"</f>
        <v>20190303162107415</v>
      </c>
      <c r="B7740" t="str">
        <f>"1551601267410141"</f>
        <v>1551601267410141</v>
      </c>
      <c r="C7740" t="s">
        <v>40</v>
      </c>
      <c r="D7740">
        <v>5.0352230000000002</v>
      </c>
      <c r="E7740">
        <v>0.4781648</v>
      </c>
      <c r="F7740" t="s">
        <v>74</v>
      </c>
      <c r="G7740">
        <v>-378.65629999999999</v>
      </c>
      <c r="H7740" s="1">
        <v>-1.0931589999999999E-6</v>
      </c>
      <c r="I7740">
        <v>17.387779999999999</v>
      </c>
      <c r="J7740">
        <v>-407.94040000000001</v>
      </c>
      <c r="K7740">
        <v>1.1243019999999999</v>
      </c>
      <c r="L7740">
        <v>22.60153</v>
      </c>
      <c r="M7740">
        <v>0.88108339999999996</v>
      </c>
      <c r="N7740">
        <v>-1.8470500000000001E-2</v>
      </c>
      <c r="O7740">
        <v>-0.47260039999999998</v>
      </c>
      <c r="P7740">
        <v>0.96910799999999997</v>
      </c>
      <c r="Q7740">
        <v>9.2376620000000007E-2</v>
      </c>
      <c r="R7740">
        <v>-0.2286842</v>
      </c>
      <c r="S7740">
        <v>2.980988</v>
      </c>
      <c r="T7740">
        <v>-0.1141534</v>
      </c>
      <c r="U7740">
        <v>-0.5331726</v>
      </c>
      <c r="V7740">
        <v>-0.25720660000000001</v>
      </c>
      <c r="W7740">
        <v>0.1086004</v>
      </c>
      <c r="X7740">
        <v>0.96023480000000005</v>
      </c>
      <c r="Y7740">
        <v>-0.3097588</v>
      </c>
      <c r="Z7740">
        <v>1.693882E-2</v>
      </c>
      <c r="AA7740">
        <v>0.95066430000000002</v>
      </c>
      <c r="AB7740">
        <v>14</v>
      </c>
      <c r="AC7740">
        <v>29.284099999999999</v>
      </c>
      <c r="AD7740">
        <v>-1.1243030931589999</v>
      </c>
      <c r="AE7740">
        <v>-5.2137500000000001</v>
      </c>
      <c r="AF7740">
        <v>-9.2343118448774302</v>
      </c>
      <c r="AG7740">
        <v>-1.1243030931589999</v>
      </c>
      <c r="AH7740">
        <v>28.2302405130206</v>
      </c>
      <c r="AI7740">
        <v>92.167756729686204</v>
      </c>
      <c r="AJ7740">
        <v>108.113287692947</v>
      </c>
      <c r="AK7740">
        <v>29.723442803900099</v>
      </c>
      <c r="AL7740">
        <v>83.765359427969301</v>
      </c>
      <c r="AM7740">
        <v>104.995126452099</v>
      </c>
      <c r="AN7740">
        <v>1.00000007654737</v>
      </c>
    </row>
    <row r="7741" spans="1:40" x14ac:dyDescent="0.25">
      <c r="A7741" t="str">
        <f>"20190303162107431"</f>
        <v>20190303162107431</v>
      </c>
      <c r="B7741" t="str">
        <f>"1551601267419900"</f>
        <v>1551601267419900</v>
      </c>
      <c r="C7741" t="s">
        <v>40</v>
      </c>
      <c r="D7741">
        <v>5.0946949999999998</v>
      </c>
      <c r="E7741">
        <v>0.47841109999999998</v>
      </c>
      <c r="F7741" t="s">
        <v>74</v>
      </c>
      <c r="G7741">
        <v>-377.50619999999998</v>
      </c>
      <c r="H7741" s="1">
        <v>-1.5883239999999999E-6</v>
      </c>
      <c r="I7741">
        <v>17.19783</v>
      </c>
      <c r="J7741">
        <v>-407.84910000000002</v>
      </c>
      <c r="K7741">
        <v>1.1240859999999999</v>
      </c>
      <c r="L7741">
        <v>22.558009999999999</v>
      </c>
      <c r="M7741">
        <v>0.88278279999999998</v>
      </c>
      <c r="N7741">
        <v>-1.7752520000000001E-2</v>
      </c>
      <c r="O7741">
        <v>-0.46944609999999898</v>
      </c>
      <c r="P7741">
        <v>0.96974050000000001</v>
      </c>
      <c r="Q7741">
        <v>9.2098410000000006E-2</v>
      </c>
      <c r="R7741">
        <v>-0.22610040000000001</v>
      </c>
      <c r="S7741">
        <v>2.9812319999999999</v>
      </c>
      <c r="T7741">
        <v>-0.1101328</v>
      </c>
      <c r="U7741">
        <v>-0.5293274</v>
      </c>
      <c r="V7741">
        <v>-0.25631520000000002</v>
      </c>
      <c r="W7741">
        <v>0.10767649999999999</v>
      </c>
      <c r="X7741">
        <v>0.96057709999999996</v>
      </c>
      <c r="Y7741">
        <v>-0.30758160000000001</v>
      </c>
      <c r="Z7741">
        <v>1.6268009999999999E-2</v>
      </c>
      <c r="AA7741">
        <v>0.95138259999999997</v>
      </c>
      <c r="AB7741">
        <v>14</v>
      </c>
      <c r="AC7741">
        <v>30.3429</v>
      </c>
      <c r="AD7741">
        <v>-1.124087588324</v>
      </c>
      <c r="AE7741">
        <v>-5.3601799999999997</v>
      </c>
      <c r="AF7741">
        <v>-9.5013342094960809</v>
      </c>
      <c r="AG7741">
        <v>-1.124087588324</v>
      </c>
      <c r="AH7741">
        <v>29.268167837127201</v>
      </c>
      <c r="AI7741">
        <v>92.092075870280496</v>
      </c>
      <c r="AJ7741">
        <v>107.985001088277</v>
      </c>
      <c r="AK7741">
        <v>30.792281065374301</v>
      </c>
      <c r="AL7741">
        <v>83.818607009169298</v>
      </c>
      <c r="AM7741">
        <v>104.940399529427</v>
      </c>
      <c r="AN7741">
        <v>1.0000000377238401</v>
      </c>
    </row>
    <row r="7742" spans="1:40" x14ac:dyDescent="0.25">
      <c r="A7742" t="str">
        <f>"20190303162107443"</f>
        <v>20190303162107443</v>
      </c>
      <c r="B7742" t="str">
        <f>"1551601267430636"</f>
        <v>1551601267430636</v>
      </c>
      <c r="C7742" t="s">
        <v>40</v>
      </c>
      <c r="D7742">
        <v>5.0358390000000002</v>
      </c>
      <c r="E7742">
        <v>0.47868830000000001</v>
      </c>
      <c r="F7742" t="s">
        <v>74</v>
      </c>
      <c r="G7742">
        <v>-377.4631</v>
      </c>
      <c r="H7742" s="1">
        <v>-1.6040490000000001E-6</v>
      </c>
      <c r="I7742">
        <v>17.224019999999999</v>
      </c>
      <c r="J7742">
        <v>-407.77949999999998</v>
      </c>
      <c r="K7742">
        <v>1.1238790000000001</v>
      </c>
      <c r="L7742">
        <v>22.525020000000001</v>
      </c>
      <c r="M7742">
        <v>0.8840789</v>
      </c>
      <c r="N7742">
        <v>-1.7250999999999999E-2</v>
      </c>
      <c r="O7742">
        <v>-0.46701959999999998</v>
      </c>
      <c r="P7742">
        <v>0.97033080000000005</v>
      </c>
      <c r="Q7742">
        <v>9.2137460000000004E-2</v>
      </c>
      <c r="R7742">
        <v>-0.22353819999999999</v>
      </c>
      <c r="S7742">
        <v>2.9820250000000001</v>
      </c>
      <c r="T7742">
        <v>-0.11031580000000001</v>
      </c>
      <c r="U7742">
        <v>-0.52346800000000004</v>
      </c>
      <c r="V7742">
        <v>-0.25617479999999998</v>
      </c>
      <c r="W7742">
        <v>0.1073081</v>
      </c>
      <c r="X7742">
        <v>0.9606557</v>
      </c>
      <c r="Y7742">
        <v>-0.30681819999999999</v>
      </c>
      <c r="Z7742">
        <v>1.6416980000000001E-2</v>
      </c>
      <c r="AA7742">
        <v>0.95162650000000004</v>
      </c>
      <c r="AB7742">
        <v>14</v>
      </c>
      <c r="AC7742">
        <v>30.316399999999899</v>
      </c>
      <c r="AD7742">
        <v>-1.1238806040489999</v>
      </c>
      <c r="AE7742">
        <v>-5.3010000000000002</v>
      </c>
      <c r="AF7742">
        <v>-9.4606424102458</v>
      </c>
      <c r="AG7742">
        <v>-1.1238806040489999</v>
      </c>
      <c r="AH7742">
        <v>29.243115158280499</v>
      </c>
      <c r="AI7742">
        <v>92.094164432912805</v>
      </c>
      <c r="AJ7742">
        <v>107.927271608672</v>
      </c>
      <c r="AK7742">
        <v>30.755920512759101</v>
      </c>
      <c r="AL7742">
        <v>83.839837338130593</v>
      </c>
      <c r="AM7742">
        <v>104.93141420839299</v>
      </c>
      <c r="AN7742">
        <v>0.99999996521156898</v>
      </c>
    </row>
    <row r="7743" spans="1:40" x14ac:dyDescent="0.25">
      <c r="A7743" t="str">
        <f>"20190303162107456"</f>
        <v>20190303162107456</v>
      </c>
      <c r="B7743" t="str">
        <f>"1551601267450156"</f>
        <v>1551601267450156</v>
      </c>
      <c r="C7743" t="s">
        <v>40</v>
      </c>
      <c r="D7743">
        <v>5.031212</v>
      </c>
      <c r="E7743">
        <v>0.4792091</v>
      </c>
      <c r="F7743" t="s">
        <v>74</v>
      </c>
      <c r="G7743">
        <v>-376.95800000000003</v>
      </c>
      <c r="H7743" s="1">
        <v>-1.8517519999999999E-6</v>
      </c>
      <c r="I7743">
        <v>17.17342</v>
      </c>
      <c r="J7743">
        <v>-407.71469999999999</v>
      </c>
      <c r="K7743">
        <v>1.1236379999999999</v>
      </c>
      <c r="L7743">
        <v>22.494479999999999</v>
      </c>
      <c r="M7743">
        <v>0.88531789999999999</v>
      </c>
      <c r="N7743">
        <v>-1.6763759999999999E-2</v>
      </c>
      <c r="O7743">
        <v>-0.46468379999999998</v>
      </c>
      <c r="P7743">
        <v>0.97091749999999999</v>
      </c>
      <c r="Q7743">
        <v>9.2135040000000001E-2</v>
      </c>
      <c r="R7743">
        <v>-0.2209758</v>
      </c>
      <c r="S7743">
        <v>2.9828190000000001</v>
      </c>
      <c r="T7743">
        <v>-0.10876619999999999</v>
      </c>
      <c r="U7743">
        <v>-0.51791379999999998</v>
      </c>
      <c r="V7743">
        <v>-0.25612600000000002</v>
      </c>
      <c r="W7743">
        <v>0.1069379</v>
      </c>
      <c r="X7743">
        <v>0.96070999999999995</v>
      </c>
      <c r="Y7743">
        <v>-0.30607410000000002</v>
      </c>
      <c r="Z7743">
        <v>1.6214889999999999E-2</v>
      </c>
      <c r="AA7743">
        <v>0.95186959999999998</v>
      </c>
      <c r="AB7743">
        <v>14</v>
      </c>
      <c r="AC7743">
        <v>30.756699999999899</v>
      </c>
      <c r="AD7743">
        <v>-1.1236398517520001</v>
      </c>
      <c r="AE7743">
        <v>-5.3210599999999904</v>
      </c>
      <c r="AF7743">
        <v>-9.5702559359511206</v>
      </c>
      <c r="AG7743">
        <v>-1.1236398517520001</v>
      </c>
      <c r="AH7743">
        <v>29.667798075700599</v>
      </c>
      <c r="AI7743">
        <v>92.0643364483429</v>
      </c>
      <c r="AJ7743">
        <v>107.87869395832099</v>
      </c>
      <c r="AK7743">
        <v>31.193438538522798</v>
      </c>
      <c r="AL7743">
        <v>83.861171044551696</v>
      </c>
      <c r="AM7743">
        <v>104.927890748114</v>
      </c>
      <c r="AN7743">
        <v>0.99999997321620404</v>
      </c>
    </row>
    <row r="7744" spans="1:40" x14ac:dyDescent="0.25">
      <c r="A7744" t="str">
        <f>"20190303162107466"</f>
        <v>20190303162107466</v>
      </c>
      <c r="B7744" t="str">
        <f>"1551601267460893"</f>
        <v>1551601267460893</v>
      </c>
      <c r="C7744" t="s">
        <v>40</v>
      </c>
      <c r="D7744">
        <v>4.9691330000000002</v>
      </c>
      <c r="E7744">
        <v>0.47950880000000001</v>
      </c>
      <c r="F7744" t="s">
        <v>74</v>
      </c>
      <c r="G7744">
        <v>-376.7681</v>
      </c>
      <c r="H7744" s="1">
        <v>-1.9440509999999999E-6</v>
      </c>
      <c r="I7744">
        <v>17.159310000000001</v>
      </c>
      <c r="J7744">
        <v>-407.65190000000001</v>
      </c>
      <c r="K7744">
        <v>1.123405</v>
      </c>
      <c r="L7744">
        <v>22.464839999999999</v>
      </c>
      <c r="M7744">
        <v>0.88651869999999999</v>
      </c>
      <c r="N7744">
        <v>-1.6286809999999999E-2</v>
      </c>
      <c r="O7744">
        <v>-0.4624064</v>
      </c>
      <c r="P7744">
        <v>0.97144839999999999</v>
      </c>
      <c r="Q7744">
        <v>9.2192380000000004E-2</v>
      </c>
      <c r="R7744">
        <v>-0.2186062</v>
      </c>
      <c r="S7744">
        <v>2.9830930000000002</v>
      </c>
      <c r="T7744">
        <v>-0.10831300000000001</v>
      </c>
      <c r="U7744">
        <v>-0.51428220000000002</v>
      </c>
      <c r="V7744">
        <v>-0.25595010000000001</v>
      </c>
      <c r="W7744">
        <v>0.1066363</v>
      </c>
      <c r="X7744">
        <v>0.96079040000000004</v>
      </c>
      <c r="Y7744">
        <v>-0.30476550000000002</v>
      </c>
      <c r="Z7744">
        <v>1.621535E-2</v>
      </c>
      <c r="AA7744">
        <v>0.95228930000000001</v>
      </c>
      <c r="AB7744">
        <v>14</v>
      </c>
      <c r="AC7744">
        <v>30.883800000000001</v>
      </c>
      <c r="AD7744">
        <v>-1.1234069440509999</v>
      </c>
      <c r="AE7744">
        <v>-5.3055299999999903</v>
      </c>
      <c r="AF7744">
        <v>-9.5663890484760401</v>
      </c>
      <c r="AG7744">
        <v>-1.1234069440509999</v>
      </c>
      <c r="AH7744">
        <v>29.798032200101499</v>
      </c>
      <c r="AI7744">
        <v>92.055818239974698</v>
      </c>
      <c r="AJ7744">
        <v>107.79875810513801</v>
      </c>
      <c r="AK7744">
        <v>31.316139059389702</v>
      </c>
      <c r="AL7744">
        <v>83.878550832822199</v>
      </c>
      <c r="AM7744">
        <v>104.916903236075</v>
      </c>
      <c r="AN7744">
        <v>0.99999997344992897</v>
      </c>
    </row>
    <row r="7745" spans="1:40" x14ac:dyDescent="0.25">
      <c r="A7745" t="str">
        <f>"20190303162107478"</f>
        <v>20190303162107478</v>
      </c>
      <c r="B7745" t="str">
        <f>"1551601267470652"</f>
        <v>1551601267470652</v>
      </c>
      <c r="C7745" t="s">
        <v>40</v>
      </c>
      <c r="D7745">
        <v>5.0942410000000002</v>
      </c>
      <c r="E7745">
        <v>0.47980089999999997</v>
      </c>
      <c r="F7745" t="s">
        <v>74</v>
      </c>
      <c r="G7745">
        <v>-376.6354</v>
      </c>
      <c r="H7745" s="1">
        <v>-2.005703E-6</v>
      </c>
      <c r="I7745">
        <v>17.16536</v>
      </c>
      <c r="J7745">
        <v>-407.58620000000002</v>
      </c>
      <c r="K7745">
        <v>1.1231819999999999</v>
      </c>
      <c r="L7745">
        <v>22.433990000000001</v>
      </c>
      <c r="M7745">
        <v>0.88777640000000002</v>
      </c>
      <c r="N7745">
        <v>-1.5769910000000002E-2</v>
      </c>
      <c r="O7745">
        <v>-0.46000489999999999</v>
      </c>
      <c r="P7745">
        <v>0.97212379999999998</v>
      </c>
      <c r="Q7745">
        <v>9.1939000000000007E-2</v>
      </c>
      <c r="R7745">
        <v>-0.21569199999999999</v>
      </c>
      <c r="S7745">
        <v>2.9837039999999999</v>
      </c>
      <c r="T7745">
        <v>-0.1080687</v>
      </c>
      <c r="U7745">
        <v>-0.50979609999999997</v>
      </c>
      <c r="V7745">
        <v>-0.25619550000000002</v>
      </c>
      <c r="W7745">
        <v>0.1059797</v>
      </c>
      <c r="X7745">
        <v>0.96079769999999998</v>
      </c>
      <c r="Y7745">
        <v>-0.30360779999999998</v>
      </c>
      <c r="Z7745">
        <v>1.6269229999999999E-2</v>
      </c>
      <c r="AA7745">
        <v>0.95265820000000001</v>
      </c>
      <c r="AB7745">
        <v>14</v>
      </c>
      <c r="AC7745">
        <v>30.950800000000001</v>
      </c>
      <c r="AD7745">
        <v>-1.12318400570299</v>
      </c>
      <c r="AE7745">
        <v>-5.2686299999999902</v>
      </c>
      <c r="AF7745">
        <v>-9.5491213644734607</v>
      </c>
      <c r="AG7745">
        <v>-1.12318400570299</v>
      </c>
      <c r="AH7745">
        <v>29.866478109926799</v>
      </c>
      <c r="AI7745">
        <v>92.051486566127593</v>
      </c>
      <c r="AJ7745">
        <v>107.73048502546099</v>
      </c>
      <c r="AK7745">
        <v>31.3760063716663</v>
      </c>
      <c r="AL7745">
        <v>83.916385962778406</v>
      </c>
      <c r="AM7745">
        <v>104.93045845935001</v>
      </c>
      <c r="AN7745">
        <v>1.00000002567881</v>
      </c>
    </row>
    <row r="7746" spans="1:40" x14ac:dyDescent="0.25">
      <c r="A7746" t="str">
        <f>"20190303162107490"</f>
        <v>20190303162107490</v>
      </c>
      <c r="B7746" t="str">
        <f>"1551601267480412"</f>
        <v>1551601267480412</v>
      </c>
      <c r="C7746" t="s">
        <v>40</v>
      </c>
      <c r="D7746">
        <v>5.0321389999999999</v>
      </c>
      <c r="E7746">
        <v>0.47980089999999997</v>
      </c>
      <c r="F7746" t="s">
        <v>74</v>
      </c>
      <c r="G7746">
        <v>-376.4357</v>
      </c>
      <c r="H7746" s="1">
        <v>-2.0972590000000002E-6</v>
      </c>
      <c r="I7746">
        <v>17.181349999999998</v>
      </c>
      <c r="J7746">
        <v>-407.5222</v>
      </c>
      <c r="K7746">
        <v>1.1229929999999999</v>
      </c>
      <c r="L7746">
        <v>22.403960000000001</v>
      </c>
      <c r="M7746">
        <v>0.88898299999999997</v>
      </c>
      <c r="N7746">
        <v>-1.528058E-2</v>
      </c>
      <c r="O7746">
        <v>-0.45768530000000002</v>
      </c>
      <c r="P7746">
        <v>0.97263270000000002</v>
      </c>
      <c r="Q7746">
        <v>9.2570139999999995E-2</v>
      </c>
      <c r="R7746">
        <v>-0.21311179999999999</v>
      </c>
      <c r="S7746">
        <v>2.9845890000000002</v>
      </c>
      <c r="T7746">
        <v>-0.1076143</v>
      </c>
      <c r="U7746">
        <v>-0.50326539999999997</v>
      </c>
      <c r="V7746">
        <v>-0.25617329999999999</v>
      </c>
      <c r="W7746">
        <v>0.1062168</v>
      </c>
      <c r="X7746">
        <v>0.9607774</v>
      </c>
      <c r="Y7746">
        <v>-0.3031915</v>
      </c>
      <c r="Z7746">
        <v>1.6290949999999998E-2</v>
      </c>
      <c r="AA7746">
        <v>0.95279040000000004</v>
      </c>
      <c r="AB7746">
        <v>14</v>
      </c>
      <c r="AC7746">
        <v>31.086500000000001</v>
      </c>
      <c r="AD7746">
        <v>-1.1229950972589999</v>
      </c>
      <c r="AE7746">
        <v>-5.2226100000000004</v>
      </c>
      <c r="AF7746">
        <v>-9.5739901639682294</v>
      </c>
      <c r="AG7746">
        <v>-1.1229950972589999</v>
      </c>
      <c r="AH7746">
        <v>29.9911221443617</v>
      </c>
      <c r="AI7746">
        <v>92.042920044004504</v>
      </c>
      <c r="AJ7746">
        <v>107.704511609495</v>
      </c>
      <c r="AK7746">
        <v>31.502219177801599</v>
      </c>
      <c r="AL7746">
        <v>83.902723804437102</v>
      </c>
      <c r="AM7746">
        <v>104.92952381803801</v>
      </c>
      <c r="AN7746">
        <v>0.99999999029294495</v>
      </c>
    </row>
    <row r="7747" spans="1:40" x14ac:dyDescent="0.25">
      <c r="A7747" t="str">
        <f>"20190303162107501"</f>
        <v>20190303162107501</v>
      </c>
      <c r="B7747" t="str">
        <f>"1551601267490173"</f>
        <v>1551601267490173</v>
      </c>
      <c r="C7747" t="s">
        <v>40</v>
      </c>
      <c r="D7747">
        <v>4.9789250000000003</v>
      </c>
      <c r="E7747">
        <v>0.48484630000000001</v>
      </c>
      <c r="F7747" t="s">
        <v>74</v>
      </c>
      <c r="G7747">
        <v>-375.82549999999998</v>
      </c>
      <c r="H7747" s="1">
        <v>-2.392479E-6</v>
      </c>
      <c r="I7747">
        <v>17.14321</v>
      </c>
      <c r="J7747">
        <v>-407.45549999999997</v>
      </c>
      <c r="K7747">
        <v>1.1228479999999901</v>
      </c>
      <c r="L7747">
        <v>22.372800000000002</v>
      </c>
      <c r="M7747">
        <v>0.89021090000000003</v>
      </c>
      <c r="N7747">
        <v>-1.479167E-2</v>
      </c>
      <c r="O7747">
        <v>-0.45530890000000002</v>
      </c>
      <c r="P7747">
        <v>0.97314069999999997</v>
      </c>
      <c r="Q7747">
        <v>9.2749100000000001E-2</v>
      </c>
      <c r="R7747">
        <v>-0.21070079999999999</v>
      </c>
      <c r="S7747">
        <v>2.9859010000000001</v>
      </c>
      <c r="T7747">
        <v>-0.1057888</v>
      </c>
      <c r="U7747">
        <v>-0.49557499999999999</v>
      </c>
      <c r="V7747">
        <v>-0.25595059999999997</v>
      </c>
      <c r="W7747">
        <v>0.10598580000000001</v>
      </c>
      <c r="X7747">
        <v>0.96086229999999995</v>
      </c>
      <c r="Y7747">
        <v>-0.30310939999999997</v>
      </c>
      <c r="Z7747">
        <v>1.604761E-2</v>
      </c>
      <c r="AA7747">
        <v>0.95282069999999996</v>
      </c>
      <c r="AB7747">
        <v>14</v>
      </c>
      <c r="AC7747">
        <v>31.6299999999999</v>
      </c>
      <c r="AD7747">
        <v>-1.1228503924790001</v>
      </c>
      <c r="AE7747">
        <v>-5.22959</v>
      </c>
      <c r="AF7747">
        <v>-9.7351048213791191</v>
      </c>
      <c r="AG7747">
        <v>-1.1228503924790001</v>
      </c>
      <c r="AH7747">
        <v>30.504365128377099</v>
      </c>
      <c r="AI7747">
        <v>92.0083691898664</v>
      </c>
      <c r="AJ7747">
        <v>107.699863789264</v>
      </c>
      <c r="AK7747">
        <v>32.0398088441938</v>
      </c>
      <c r="AL7747">
        <v>83.916034502310296</v>
      </c>
      <c r="AM7747">
        <v>104.915864618618</v>
      </c>
      <c r="AN7747">
        <v>1.00000002950164</v>
      </c>
    </row>
    <row r="7748" spans="1:40" x14ac:dyDescent="0.25">
      <c r="A7748" t="str">
        <f>"20190303162107514"</f>
        <v>20190303162107514</v>
      </c>
      <c r="B7748" t="str">
        <f>"1551601267500908"</f>
        <v>1551601267500908</v>
      </c>
      <c r="C7748" t="s">
        <v>40</v>
      </c>
      <c r="D7748">
        <v>5.0326690000000003</v>
      </c>
      <c r="E7748">
        <v>0.48524620000000002</v>
      </c>
      <c r="F7748" t="s">
        <v>75</v>
      </c>
      <c r="G7748">
        <v>-367.21980000000002</v>
      </c>
      <c r="H7748" s="1">
        <v>-2.228955E-6</v>
      </c>
      <c r="I7748">
        <v>15.253310000000001</v>
      </c>
      <c r="J7748">
        <v>-407.38420000000002</v>
      </c>
      <c r="K7748">
        <v>1.1227640000000001</v>
      </c>
      <c r="L7748">
        <v>22.33963</v>
      </c>
      <c r="M7748">
        <v>0.8914744</v>
      </c>
      <c r="N7748">
        <v>-1.432809E-2</v>
      </c>
      <c r="O7748">
        <v>-0.45284469999999999</v>
      </c>
      <c r="P7748">
        <v>0.97363429999999995</v>
      </c>
      <c r="Q7748">
        <v>9.3370649999999999E-2</v>
      </c>
      <c r="R7748">
        <v>-0.20813029999999999</v>
      </c>
      <c r="S7748">
        <v>2.9766539999999999</v>
      </c>
      <c r="T7748">
        <v>-8.306885E-2</v>
      </c>
      <c r="U7748">
        <v>-0.52670289999999997</v>
      </c>
      <c r="V7748">
        <v>-0.25578830000000002</v>
      </c>
      <c r="W7748">
        <v>0.1061907</v>
      </c>
      <c r="X7748">
        <v>0.96088289999999998</v>
      </c>
      <c r="Y7748">
        <v>-0.29042659999999998</v>
      </c>
      <c r="Z7748">
        <v>1.1485479999999999E-2</v>
      </c>
      <c r="AA7748">
        <v>0.95682840000000002</v>
      </c>
      <c r="AB7748">
        <v>14</v>
      </c>
      <c r="AC7748">
        <v>40.164400000000001</v>
      </c>
      <c r="AD7748">
        <v>-1.12276622895499</v>
      </c>
      <c r="AE7748">
        <v>-7.08631999999999</v>
      </c>
      <c r="AF7748">
        <v>-11.8631896664703</v>
      </c>
      <c r="AG7748">
        <v>-1.12276622895499</v>
      </c>
      <c r="AH7748">
        <v>38.9889900431291</v>
      </c>
      <c r="AI7748">
        <v>91.578096106836099</v>
      </c>
      <c r="AJ7748">
        <v>106.92344489147</v>
      </c>
      <c r="AK7748">
        <v>40.769317110429398</v>
      </c>
      <c r="AL7748">
        <v>83.904227993362795</v>
      </c>
      <c r="AM7748">
        <v>104.906522216829</v>
      </c>
      <c r="AN7748">
        <v>1.00000003334789</v>
      </c>
    </row>
    <row r="7749" spans="1:40" x14ac:dyDescent="0.25">
      <c r="A7749" t="str">
        <f>"20190303162107533"</f>
        <v>20190303162107533</v>
      </c>
      <c r="B7749" t="str">
        <f>"1551601267520428"</f>
        <v>1551601267520428</v>
      </c>
      <c r="C7749" t="s">
        <v>40</v>
      </c>
      <c r="D7749">
        <v>5.0992220000000001</v>
      </c>
      <c r="E7749">
        <v>0.4859096</v>
      </c>
      <c r="F7749" t="s">
        <v>75</v>
      </c>
      <c r="G7749">
        <v>-366.15960000000001</v>
      </c>
      <c r="H7749" s="1">
        <v>-2.6737579999999998E-6</v>
      </c>
      <c r="I7749">
        <v>15.111750000000001</v>
      </c>
      <c r="J7749">
        <v>-407.27859999999998</v>
      </c>
      <c r="K7749">
        <v>1.1227229999999999</v>
      </c>
      <c r="L7749">
        <v>22.290859999999999</v>
      </c>
      <c r="M7749">
        <v>0.89328209999999997</v>
      </c>
      <c r="N7749">
        <v>-1.371758E-2</v>
      </c>
      <c r="O7749">
        <v>-0.44928709999999999</v>
      </c>
      <c r="P7749">
        <v>0.97434160000000003</v>
      </c>
      <c r="Q7749">
        <v>9.3918109999999999E-2</v>
      </c>
      <c r="R7749">
        <v>-0.204543</v>
      </c>
      <c r="S7749">
        <v>2.9774479999999999</v>
      </c>
      <c r="T7749">
        <v>-8.1091759999999999E-2</v>
      </c>
      <c r="U7749">
        <v>-0.52203370000000004</v>
      </c>
      <c r="V7749">
        <v>-0.25546669999999999</v>
      </c>
      <c r="W7749">
        <v>0.1061565</v>
      </c>
      <c r="X7749">
        <v>0.96097220000000005</v>
      </c>
      <c r="Y7749">
        <v>-0.28811599999999998</v>
      </c>
      <c r="Z7749">
        <v>1.12183E-2</v>
      </c>
      <c r="AA7749">
        <v>0.95752979999999999</v>
      </c>
      <c r="AB7749">
        <v>14</v>
      </c>
      <c r="AC7749">
        <v>41.1189999999999</v>
      </c>
      <c r="AD7749">
        <v>-1.12272567375799</v>
      </c>
      <c r="AE7749">
        <v>-7.1791099999999997</v>
      </c>
      <c r="AF7749">
        <v>-12.053680388220901</v>
      </c>
      <c r="AG7749">
        <v>-1.12272567375799</v>
      </c>
      <c r="AH7749">
        <v>39.931219337914101</v>
      </c>
      <c r="AI7749">
        <v>91.541851628626304</v>
      </c>
      <c r="AJ7749">
        <v>106.79702080696001</v>
      </c>
      <c r="AK7749">
        <v>41.725939194372899</v>
      </c>
      <c r="AL7749">
        <v>83.906198463681903</v>
      </c>
      <c r="AM7749">
        <v>104.88729114593799</v>
      </c>
      <c r="AN7749">
        <v>1.00000000323699</v>
      </c>
    </row>
    <row r="7750" spans="1:40" x14ac:dyDescent="0.25">
      <c r="A7750" t="str">
        <f>"20190303162107546"</f>
        <v>20190303162107546</v>
      </c>
      <c r="B7750" t="str">
        <f>"1551601267539949"</f>
        <v>1551601267539949</v>
      </c>
      <c r="C7750" t="s">
        <v>40</v>
      </c>
      <c r="D7750">
        <v>5.0401749999999996</v>
      </c>
      <c r="E7750">
        <v>0.48626619999999998</v>
      </c>
      <c r="F7750" t="s">
        <v>75</v>
      </c>
      <c r="G7750">
        <v>-361.49520000000001</v>
      </c>
      <c r="H7750" s="1">
        <v>-4.9531549999999997E-6</v>
      </c>
      <c r="I7750">
        <v>14.35976</v>
      </c>
      <c r="J7750">
        <v>-407.19959999999998</v>
      </c>
      <c r="K7750">
        <v>1.1227400000000001</v>
      </c>
      <c r="L7750">
        <v>22.25461</v>
      </c>
      <c r="M7750">
        <v>0.89459230000000001</v>
      </c>
      <c r="N7750">
        <v>-1.33125E-2</v>
      </c>
      <c r="O7750">
        <v>-0.4466852</v>
      </c>
      <c r="P7750">
        <v>0.97491039999999995</v>
      </c>
      <c r="Q7750">
        <v>9.4315860000000001E-2</v>
      </c>
      <c r="R7750">
        <v>-0.2016298</v>
      </c>
      <c r="S7750">
        <v>2.9777529999999999</v>
      </c>
      <c r="T7750">
        <v>-7.3022249999999997E-2</v>
      </c>
      <c r="U7750">
        <v>-0.51583859999999904</v>
      </c>
      <c r="V7750">
        <v>-0.25553169999999997</v>
      </c>
      <c r="W7750">
        <v>0.10614229999999999</v>
      </c>
      <c r="X7750">
        <v>0.96095649999999999</v>
      </c>
      <c r="Y7750">
        <v>-0.28731240000000002</v>
      </c>
      <c r="Z7750">
        <v>9.7653840000000002E-3</v>
      </c>
      <c r="AA7750">
        <v>0.95778719999999995</v>
      </c>
      <c r="AB7750">
        <v>14</v>
      </c>
      <c r="AC7750">
        <v>45.7043999999999</v>
      </c>
      <c r="AD7750">
        <v>-1.122744953155</v>
      </c>
      <c r="AE7750">
        <v>-7.8948499999999902</v>
      </c>
      <c r="AF7750">
        <v>-13.346168086820899</v>
      </c>
      <c r="AG7750">
        <v>-1.122744953155</v>
      </c>
      <c r="AH7750">
        <v>44.391234889839602</v>
      </c>
      <c r="AI7750">
        <v>91.387492838339398</v>
      </c>
      <c r="AJ7750">
        <v>106.73333823079101</v>
      </c>
      <c r="AK7750">
        <v>46.367688036783001</v>
      </c>
      <c r="AL7750">
        <v>83.907016765974703</v>
      </c>
      <c r="AM7750">
        <v>104.891143230788</v>
      </c>
      <c r="AN7750">
        <v>1.0000000162232101</v>
      </c>
    </row>
    <row r="7751" spans="1:40" x14ac:dyDescent="0.25">
      <c r="A7751" t="str">
        <f>"20190303162107559"</f>
        <v>20190303162107559</v>
      </c>
      <c r="B7751" t="str">
        <f>"1551601267550685"</f>
        <v>1551601267550685</v>
      </c>
      <c r="C7751" t="s">
        <v>40</v>
      </c>
      <c r="D7751">
        <v>5.0404330000000002</v>
      </c>
      <c r="E7751">
        <v>0.48633460000000001</v>
      </c>
      <c r="F7751" t="s">
        <v>75</v>
      </c>
      <c r="G7751">
        <v>-360.19779999999997</v>
      </c>
      <c r="H7751" s="1">
        <v>-5.5929219999999996E-6</v>
      </c>
      <c r="I7751">
        <v>14.21031</v>
      </c>
      <c r="J7751">
        <v>-407.12270000000001</v>
      </c>
      <c r="K7751">
        <v>1.122798</v>
      </c>
      <c r="L7751">
        <v>22.2197</v>
      </c>
      <c r="M7751">
        <v>0.89583729999999995</v>
      </c>
      <c r="N7751">
        <v>-1.295781E-2</v>
      </c>
      <c r="O7751">
        <v>-0.44419320000000001</v>
      </c>
      <c r="P7751">
        <v>0.97549269999999999</v>
      </c>
      <c r="Q7751">
        <v>9.4474530000000001E-2</v>
      </c>
      <c r="R7751">
        <v>-0.19871759999999999</v>
      </c>
      <c r="S7751">
        <v>2.9786679999999999</v>
      </c>
      <c r="T7751">
        <v>-7.1152450000000006E-2</v>
      </c>
      <c r="U7751">
        <v>-0.50979609999999997</v>
      </c>
      <c r="V7751">
        <v>-0.2557335</v>
      </c>
      <c r="W7751">
        <v>0.1059194</v>
      </c>
      <c r="X7751">
        <v>0.96092739999999999</v>
      </c>
      <c r="Y7751">
        <v>-0.28658830000000002</v>
      </c>
      <c r="Z7751">
        <v>9.4879620000000008E-3</v>
      </c>
      <c r="AA7751">
        <v>0.95800689999999999</v>
      </c>
      <c r="AB7751">
        <v>14</v>
      </c>
      <c r="AC7751">
        <v>46.924900000000001</v>
      </c>
      <c r="AD7751">
        <v>-1.1228035929219999</v>
      </c>
      <c r="AE7751">
        <v>-8.0093899999999998</v>
      </c>
      <c r="AF7751">
        <v>-13.662158417722001</v>
      </c>
      <c r="AG7751">
        <v>-1.1228035929219999</v>
      </c>
      <c r="AH7751">
        <v>45.573267627354397</v>
      </c>
      <c r="AI7751">
        <v>91.351911165738599</v>
      </c>
      <c r="AJ7751">
        <v>106.687914859706</v>
      </c>
      <c r="AK7751">
        <v>47.590313959604003</v>
      </c>
      <c r="AL7751">
        <v>83.9198603293312</v>
      </c>
      <c r="AM7751">
        <v>104.902811315631</v>
      </c>
      <c r="AN7751">
        <v>1.00000000519468</v>
      </c>
    </row>
    <row r="7752" spans="1:40" x14ac:dyDescent="0.25">
      <c r="A7752" t="str">
        <f>"20190303162107578"</f>
        <v>20190303162107578</v>
      </c>
      <c r="B7752" t="str">
        <f>"1551601267570204"</f>
        <v>1551601267570204</v>
      </c>
      <c r="C7752" t="s">
        <v>40</v>
      </c>
      <c r="D7752">
        <v>5.0375050000000003</v>
      </c>
      <c r="E7752">
        <v>0.4866684</v>
      </c>
      <c r="F7752" t="s">
        <v>41</v>
      </c>
      <c r="G7752">
        <v>-359.76249999999999</v>
      </c>
      <c r="H7752" s="1">
        <v>-1.4949150000000001E-6</v>
      </c>
      <c r="I7752">
        <v>14.24915</v>
      </c>
      <c r="J7752">
        <v>-407.02339999999998</v>
      </c>
      <c r="K7752">
        <v>1.1228860000000001</v>
      </c>
      <c r="L7752">
        <v>22.175080000000001</v>
      </c>
      <c r="M7752">
        <v>0.89743150000000005</v>
      </c>
      <c r="N7752">
        <v>-1.252174E-2</v>
      </c>
      <c r="O7752">
        <v>-0.44097589999999998</v>
      </c>
      <c r="P7752">
        <v>0.97630930000000005</v>
      </c>
      <c r="Q7752">
        <v>9.5192269999999996E-2</v>
      </c>
      <c r="R7752">
        <v>-0.1943156</v>
      </c>
      <c r="S7752">
        <v>2.9800420000000001</v>
      </c>
      <c r="T7752">
        <v>-7.0649980000000001E-2</v>
      </c>
      <c r="U7752">
        <v>-0.50152589999999997</v>
      </c>
      <c r="V7752">
        <v>-0.2566116</v>
      </c>
      <c r="W7752">
        <v>0.1061551</v>
      </c>
      <c r="X7752">
        <v>0.9606673</v>
      </c>
      <c r="Y7752">
        <v>-0.285807599999999</v>
      </c>
      <c r="Z7752">
        <v>9.489005E-3</v>
      </c>
      <c r="AA7752">
        <v>0.95823999999999998</v>
      </c>
      <c r="AB7752">
        <v>14</v>
      </c>
      <c r="AC7752">
        <v>47.2608999999999</v>
      </c>
      <c r="AD7752">
        <v>-1.1228874949150001</v>
      </c>
      <c r="AE7752">
        <v>-7.9259299999999904</v>
      </c>
      <c r="AF7752">
        <v>-13.7214821846598</v>
      </c>
      <c r="AG7752">
        <v>-1.1228874949150001</v>
      </c>
      <c r="AH7752">
        <v>45.886972928731602</v>
      </c>
      <c r="AI7752">
        <v>91.343051642661905</v>
      </c>
      <c r="AJ7752">
        <v>106.648128797596</v>
      </c>
      <c r="AK7752">
        <v>47.907767994682501</v>
      </c>
      <c r="AL7752">
        <v>83.9062793578575</v>
      </c>
      <c r="AM7752">
        <v>104.955561163449</v>
      </c>
      <c r="AN7752">
        <v>1.00000003989992</v>
      </c>
    </row>
    <row r="7753" spans="1:40" x14ac:dyDescent="0.25">
      <c r="A7753" t="str">
        <f>"20190303162107589"</f>
        <v>20190303162107589</v>
      </c>
      <c r="B7753" t="str">
        <f>"1551601267579964"</f>
        <v>1551601267579964</v>
      </c>
      <c r="C7753" t="s">
        <v>40</v>
      </c>
      <c r="D7753">
        <v>5.0962149999999999</v>
      </c>
      <c r="E7753">
        <v>0.48681629999999998</v>
      </c>
      <c r="F7753" t="s">
        <v>41</v>
      </c>
      <c r="G7753">
        <v>-357.11110000000002</v>
      </c>
      <c r="H7753" s="1">
        <v>-2.4747159999999998E-6</v>
      </c>
      <c r="I7753">
        <v>13.95778</v>
      </c>
      <c r="J7753">
        <v>-406.9538</v>
      </c>
      <c r="K7753">
        <v>1.1229420000000001</v>
      </c>
      <c r="L7753">
        <v>22.144010000000002</v>
      </c>
      <c r="M7753">
        <v>0.89854480000000003</v>
      </c>
      <c r="N7753">
        <v>-1.222966E-2</v>
      </c>
      <c r="O7753">
        <v>-0.43871110000000002</v>
      </c>
      <c r="P7753">
        <v>0.97674859999999997</v>
      </c>
      <c r="Q7753">
        <v>9.6104239999999994E-2</v>
      </c>
      <c r="R7753">
        <v>-0.19164039999999999</v>
      </c>
      <c r="S7753">
        <v>2.9816280000000002</v>
      </c>
      <c r="T7753">
        <v>-6.7078470000000001E-2</v>
      </c>
      <c r="U7753">
        <v>-0.49087520000000001</v>
      </c>
      <c r="V7753">
        <v>-0.25679829999999998</v>
      </c>
      <c r="W7753">
        <v>0.1067463</v>
      </c>
      <c r="X7753">
        <v>0.96055190000000001</v>
      </c>
      <c r="Y7753">
        <v>-0.28681659999999998</v>
      </c>
      <c r="Z7753">
        <v>8.9041820000000001E-3</v>
      </c>
      <c r="AA7753">
        <v>0.95794409999999997</v>
      </c>
      <c r="AB7753">
        <v>14</v>
      </c>
      <c r="AC7753">
        <v>49.842699999999901</v>
      </c>
      <c r="AD7753">
        <v>-1.122944474716</v>
      </c>
      <c r="AE7753">
        <v>-8.1862300000000001</v>
      </c>
      <c r="AF7753">
        <v>-14.5047693314106</v>
      </c>
      <c r="AG7753">
        <v>-1.122944474716</v>
      </c>
      <c r="AH7753">
        <v>48.357012226882397</v>
      </c>
      <c r="AI7753">
        <v>91.274213991080003</v>
      </c>
      <c r="AJ7753">
        <v>106.69670673467699</v>
      </c>
      <c r="AK7753">
        <v>50.498019457812198</v>
      </c>
      <c r="AL7753">
        <v>83.872212563137595</v>
      </c>
      <c r="AM7753">
        <v>104.967671468587</v>
      </c>
      <c r="AN7753">
        <v>1.00000004602009</v>
      </c>
    </row>
    <row r="7754" spans="1:40" x14ac:dyDescent="0.25">
      <c r="A7754" t="str">
        <f>"20190303162107600"</f>
        <v>20190303162107600</v>
      </c>
      <c r="B7754" t="str">
        <f>"1551601267590701"</f>
        <v>1551601267590701</v>
      </c>
      <c r="C7754" t="s">
        <v>40</v>
      </c>
      <c r="D7754">
        <v>5.03904</v>
      </c>
      <c r="E7754">
        <v>0.48700339999999998</v>
      </c>
      <c r="F7754" t="s">
        <v>41</v>
      </c>
      <c r="G7754">
        <v>-354.3605</v>
      </c>
      <c r="H7754" s="1">
        <v>-3.5028609999999999E-6</v>
      </c>
      <c r="I7754">
        <v>13.61173</v>
      </c>
      <c r="J7754">
        <v>-406.88529999999997</v>
      </c>
      <c r="K7754">
        <v>1.1229960000000001</v>
      </c>
      <c r="L7754">
        <v>22.113769999999999</v>
      </c>
      <c r="M7754">
        <v>0.89963689999999996</v>
      </c>
      <c r="N7754">
        <v>-1.195685E-2</v>
      </c>
      <c r="O7754">
        <v>-0.4364751</v>
      </c>
      <c r="P7754">
        <v>0.97718570000000005</v>
      </c>
      <c r="Q7754">
        <v>9.7086770000000003E-2</v>
      </c>
      <c r="R7754">
        <v>-0.18889719999999999</v>
      </c>
      <c r="S7754">
        <v>2.9827270000000001</v>
      </c>
      <c r="T7754">
        <v>-6.3685660000000005E-2</v>
      </c>
      <c r="U7754">
        <v>-0.4838867</v>
      </c>
      <c r="V7754">
        <v>-0.25707970000000002</v>
      </c>
      <c r="W7754">
        <v>0.10743</v>
      </c>
      <c r="X7754">
        <v>0.96040029999999998</v>
      </c>
      <c r="Y7754">
        <v>-0.28668779999999999</v>
      </c>
      <c r="Z7754">
        <v>8.3307590000000001E-3</v>
      </c>
      <c r="AA7754">
        <v>0.95798779999999994</v>
      </c>
      <c r="AB7754">
        <v>14</v>
      </c>
      <c r="AC7754">
        <v>52.5247999999999</v>
      </c>
      <c r="AD7754">
        <v>-1.12299950286099</v>
      </c>
      <c r="AE7754">
        <v>-8.5020399999999992</v>
      </c>
      <c r="AF7754">
        <v>-15.271307765168199</v>
      </c>
      <c r="AG7754">
        <v>-1.12299950286099</v>
      </c>
      <c r="AH7754">
        <v>50.9451262328393</v>
      </c>
      <c r="AI7754">
        <v>91.209624180609694</v>
      </c>
      <c r="AJ7754">
        <v>106.686624437395</v>
      </c>
      <c r="AK7754">
        <v>53.196615076730701</v>
      </c>
      <c r="AL7754">
        <v>83.832812319652902</v>
      </c>
      <c r="AM7754">
        <v>104.985594580637</v>
      </c>
      <c r="AN7754">
        <v>0.99999995664608898</v>
      </c>
    </row>
    <row r="7755" spans="1:40" x14ac:dyDescent="0.25">
      <c r="A7755" t="str">
        <f>"20190303162107613"</f>
        <v>20190303162107613</v>
      </c>
      <c r="B7755" t="str">
        <f>"1551601267600461"</f>
        <v>1551601267600461</v>
      </c>
      <c r="C7755" t="s">
        <v>40</v>
      </c>
      <c r="D7755">
        <v>5.0354570000000001</v>
      </c>
      <c r="E7755">
        <v>0.48721029999999999</v>
      </c>
      <c r="F7755" t="s">
        <v>41</v>
      </c>
      <c r="G7755">
        <v>-350.6069</v>
      </c>
      <c r="H7755" s="1">
        <v>-5.1649990000000003E-6</v>
      </c>
      <c r="I7755">
        <v>13.115679999999999</v>
      </c>
      <c r="J7755">
        <v>-406.81349999999998</v>
      </c>
      <c r="K7755">
        <v>1.12304</v>
      </c>
      <c r="L7755">
        <v>22.08231</v>
      </c>
      <c r="M7755">
        <v>0.90078009999999997</v>
      </c>
      <c r="N7755">
        <v>-1.1692019999999999E-2</v>
      </c>
      <c r="O7755">
        <v>-0.43411850000000002</v>
      </c>
      <c r="P7755">
        <v>0.97762329999999997</v>
      </c>
      <c r="Q7755">
        <v>9.8112930000000001E-2</v>
      </c>
      <c r="R7755">
        <v>-0.1860829</v>
      </c>
      <c r="S7755">
        <v>2.9837340000000001</v>
      </c>
      <c r="T7755">
        <v>-5.9538599999999997E-2</v>
      </c>
      <c r="U7755">
        <v>-0.4770508</v>
      </c>
      <c r="V7755">
        <v>-0.25729970000000002</v>
      </c>
      <c r="W7755">
        <v>0.1081705</v>
      </c>
      <c r="X7755">
        <v>0.96025830000000001</v>
      </c>
      <c r="Y7755">
        <v>-0.2863832</v>
      </c>
      <c r="Z7755">
        <v>7.6139390000000001E-3</v>
      </c>
      <c r="AA7755">
        <v>0.95808490000000002</v>
      </c>
      <c r="AB7755">
        <v>14</v>
      </c>
      <c r="AC7755">
        <v>56.206599999999902</v>
      </c>
      <c r="AD7755">
        <v>-1.1230451649990001</v>
      </c>
      <c r="AE7755">
        <v>-8.9666300000000003</v>
      </c>
      <c r="AF7755">
        <v>-16.318122933891299</v>
      </c>
      <c r="AG7755">
        <v>-1.1230451649990001</v>
      </c>
      <c r="AH7755">
        <v>54.504864117288598</v>
      </c>
      <c r="AI7755">
        <v>91.130805717578795</v>
      </c>
      <c r="AJ7755">
        <v>106.66708902373</v>
      </c>
      <c r="AK7755">
        <v>56.906261333638099</v>
      </c>
      <c r="AL7755">
        <v>83.790136355486098</v>
      </c>
      <c r="AM7755">
        <v>104.999959026215</v>
      </c>
      <c r="AN7755">
        <v>0.99999999770461501</v>
      </c>
    </row>
    <row r="7756" spans="1:40" x14ac:dyDescent="0.25">
      <c r="A7756" t="str">
        <f>"20190303162107625"</f>
        <v>20190303162107625</v>
      </c>
      <c r="B7756" t="str">
        <f>"1551601267620956"</f>
        <v>1551601267620956</v>
      </c>
      <c r="C7756" t="s">
        <v>40</v>
      </c>
      <c r="D7756">
        <v>4.821332</v>
      </c>
      <c r="E7756">
        <v>0.49063970000000001</v>
      </c>
      <c r="F7756" t="s">
        <v>41</v>
      </c>
      <c r="G7756">
        <v>-345.78289999999998</v>
      </c>
      <c r="H7756" s="1">
        <v>-3.3224940000000002E-6</v>
      </c>
      <c r="I7756">
        <v>12.4704</v>
      </c>
      <c r="J7756">
        <v>-406.73939999999999</v>
      </c>
      <c r="K7756">
        <v>1.1230789999999999</v>
      </c>
      <c r="L7756">
        <v>22.049959999999999</v>
      </c>
      <c r="M7756">
        <v>0.9019549</v>
      </c>
      <c r="N7756">
        <v>-1.1432019999999999E-2</v>
      </c>
      <c r="O7756">
        <v>-0.43167899999999998</v>
      </c>
      <c r="P7756">
        <v>0.97809469999999998</v>
      </c>
      <c r="Q7756">
        <v>9.865662E-2</v>
      </c>
      <c r="R7756">
        <v>-0.1832963</v>
      </c>
      <c r="S7756">
        <v>2.98468</v>
      </c>
      <c r="T7756">
        <v>-5.4921980000000002E-2</v>
      </c>
      <c r="U7756">
        <v>-0.47006229999999899</v>
      </c>
      <c r="V7756">
        <v>-0.25742399999999999</v>
      </c>
      <c r="W7756">
        <v>0.1084397</v>
      </c>
      <c r="X7756">
        <v>0.96019460000000001</v>
      </c>
      <c r="Y7756">
        <v>-0.28603919999999999</v>
      </c>
      <c r="Z7756">
        <v>6.8124300000000004E-3</v>
      </c>
      <c r="AA7756">
        <v>0.95819370000000004</v>
      </c>
      <c r="AB7756">
        <v>14</v>
      </c>
      <c r="AC7756">
        <v>60.956499999999998</v>
      </c>
      <c r="AD7756">
        <v>-1.1230823224940001</v>
      </c>
      <c r="AE7756">
        <v>-9.5795600000000007</v>
      </c>
      <c r="AF7756">
        <v>-17.668610902377701</v>
      </c>
      <c r="AG7756">
        <v>-1.1230823224940001</v>
      </c>
      <c r="AH7756">
        <v>59.099591165982503</v>
      </c>
      <c r="AI7756">
        <v>91.043067108569304</v>
      </c>
      <c r="AJ7756">
        <v>106.644736496484</v>
      </c>
      <c r="AK7756">
        <v>61.694430875963199</v>
      </c>
      <c r="AL7756">
        <v>83.774620937161998</v>
      </c>
      <c r="AM7756">
        <v>105.007829251949</v>
      </c>
      <c r="AN7756">
        <v>0.99999997709062405</v>
      </c>
    </row>
    <row r="7757" spans="1:40" x14ac:dyDescent="0.25">
      <c r="A7757" t="str">
        <f>"20190303162107637"</f>
        <v>20190303162107637</v>
      </c>
      <c r="B7757" t="str">
        <f>"1551601267630716"</f>
        <v>1551601267630716</v>
      </c>
      <c r="C7757" t="s">
        <v>40</v>
      </c>
      <c r="D7757">
        <v>4.9650369999999997</v>
      </c>
      <c r="E7757">
        <v>0.49091439999999997</v>
      </c>
      <c r="F7757" t="s">
        <v>41</v>
      </c>
      <c r="G7757">
        <v>-323.8879</v>
      </c>
      <c r="H7757">
        <v>7.9985470000000003E-2</v>
      </c>
      <c r="I7757">
        <v>8.4801000000000002</v>
      </c>
      <c r="J7757">
        <v>-406.66860000000003</v>
      </c>
      <c r="K7757">
        <v>1.1231009999999999</v>
      </c>
      <c r="L7757">
        <v>22.019469999999998</v>
      </c>
      <c r="M7757">
        <v>0.90307090000000001</v>
      </c>
      <c r="N7757">
        <v>-1.121812E-2</v>
      </c>
      <c r="O7757">
        <v>-0.42934519999999998</v>
      </c>
      <c r="P7757">
        <v>0.97852899999999998</v>
      </c>
      <c r="Q7757">
        <v>9.9104079999999997E-2</v>
      </c>
      <c r="R7757">
        <v>-0.18071970000000001</v>
      </c>
      <c r="S7757">
        <v>2.9795530000000001</v>
      </c>
      <c r="T7757">
        <v>-3.7512299999999998E-2</v>
      </c>
      <c r="U7757">
        <v>-0.48800660000000001</v>
      </c>
      <c r="V7757">
        <v>-0.2574555</v>
      </c>
      <c r="W7757">
        <v>0.1086691</v>
      </c>
      <c r="X7757">
        <v>0.96016029999999997</v>
      </c>
      <c r="Y7757">
        <v>-0.2777134</v>
      </c>
      <c r="Z7757">
        <v>3.5420370000000001E-3</v>
      </c>
      <c r="AA7757">
        <v>0.96065750000000005</v>
      </c>
      <c r="AB7757">
        <v>15</v>
      </c>
      <c r="AC7757">
        <v>82.780699999999996</v>
      </c>
      <c r="AD7757">
        <v>-1.0431155299999999</v>
      </c>
      <c r="AE7757">
        <v>-13.53937</v>
      </c>
      <c r="AF7757">
        <v>-23.3123448185451</v>
      </c>
      <c r="AG7757">
        <v>-1.0431155299999999</v>
      </c>
      <c r="AH7757">
        <v>80.562508254372403</v>
      </c>
      <c r="AI7757">
        <v>90.712587439742904</v>
      </c>
      <c r="AJ7757">
        <v>106.13883876837301</v>
      </c>
      <c r="AK7757">
        <v>83.874139323056596</v>
      </c>
      <c r="AL7757">
        <v>83.761399637314</v>
      </c>
      <c r="AM7757">
        <v>105.01009482644901</v>
      </c>
      <c r="AN7757">
        <v>1.0000000547355701</v>
      </c>
    </row>
    <row r="7758" spans="1:40" x14ac:dyDescent="0.25">
      <c r="A7758" t="str">
        <f>"20190303162107657"</f>
        <v>20190303162107657</v>
      </c>
      <c r="B7758" t="str">
        <f>"1551601267650237"</f>
        <v>1551601267650237</v>
      </c>
      <c r="C7758" t="s">
        <v>40</v>
      </c>
      <c r="D7758">
        <v>4.8149160000000002</v>
      </c>
      <c r="E7758">
        <v>0.49125049999999998</v>
      </c>
      <c r="F7758" t="s">
        <v>41</v>
      </c>
      <c r="G7758">
        <v>-320.315</v>
      </c>
      <c r="H7758">
        <v>7.9986360000000006E-2</v>
      </c>
      <c r="I7758">
        <v>8.040851</v>
      </c>
      <c r="J7758">
        <v>-406.55869999999999</v>
      </c>
      <c r="K7758">
        <v>1.1231260000000001</v>
      </c>
      <c r="L7758">
        <v>21.972470000000001</v>
      </c>
      <c r="M7758">
        <v>0.90478930000000002</v>
      </c>
      <c r="N7758">
        <v>-1.091809E-2</v>
      </c>
      <c r="O7758">
        <v>-0.42571959999999998</v>
      </c>
      <c r="P7758">
        <v>0.97915819999999998</v>
      </c>
      <c r="Q7758">
        <v>9.9618609999999996E-2</v>
      </c>
      <c r="R7758">
        <v>-0.1769898</v>
      </c>
      <c r="S7758">
        <v>2.9803769999999998</v>
      </c>
      <c r="T7758">
        <v>-3.6001680000000001E-2</v>
      </c>
      <c r="U7758">
        <v>-0.4824524</v>
      </c>
      <c r="V7758">
        <v>-0.25724429999999998</v>
      </c>
      <c r="W7758">
        <v>0.1088858</v>
      </c>
      <c r="X7758">
        <v>0.9601923</v>
      </c>
      <c r="Y7758">
        <v>-0.27564759999999999</v>
      </c>
      <c r="Z7758">
        <v>3.3331020000000001E-3</v>
      </c>
      <c r="AA7758">
        <v>0.96125300000000002</v>
      </c>
      <c r="AB7758">
        <v>15</v>
      </c>
      <c r="AC7758">
        <v>86.243699999999905</v>
      </c>
      <c r="AD7758">
        <v>-1.0431396399999999</v>
      </c>
      <c r="AE7758">
        <v>-13.931619</v>
      </c>
      <c r="AF7758">
        <v>-24.108452851354599</v>
      </c>
      <c r="AG7758">
        <v>-1.0431396399999999</v>
      </c>
      <c r="AH7758">
        <v>83.956372500744706</v>
      </c>
      <c r="AI7758">
        <v>90.6842035123302</v>
      </c>
      <c r="AJ7758">
        <v>106.02165894714901</v>
      </c>
      <c r="AK7758">
        <v>87.355469907031804</v>
      </c>
      <c r="AL7758">
        <v>83.748909185273007</v>
      </c>
      <c r="AM7758">
        <v>104.99785923959701</v>
      </c>
      <c r="AN7758">
        <v>1.00000000015171</v>
      </c>
    </row>
    <row r="7759" spans="1:40" x14ac:dyDescent="0.25">
      <c r="A7759" t="str">
        <f>"20190303162107669"</f>
        <v>20190303162107669</v>
      </c>
      <c r="B7759" t="str">
        <f>"1551601267659996"</f>
        <v>1551601267659996</v>
      </c>
      <c r="C7759" t="s">
        <v>40</v>
      </c>
      <c r="D7759">
        <v>5.0295310000000004</v>
      </c>
      <c r="E7759">
        <v>0.49137950000000002</v>
      </c>
      <c r="F7759" t="s">
        <v>41</v>
      </c>
      <c r="G7759">
        <v>-327.15719999999999</v>
      </c>
      <c r="H7759">
        <v>7.9986070000000006E-2</v>
      </c>
      <c r="I7759">
        <v>9.3530239999999996</v>
      </c>
      <c r="J7759">
        <v>-406.48129999999998</v>
      </c>
      <c r="K7759">
        <v>1.1231260000000001</v>
      </c>
      <c r="L7759">
        <v>21.93967</v>
      </c>
      <c r="M7759">
        <v>0.90599050000000003</v>
      </c>
      <c r="N7759">
        <v>-1.073079E-2</v>
      </c>
      <c r="O7759">
        <v>-0.42316209999999999</v>
      </c>
      <c r="P7759">
        <v>0.97960190000000003</v>
      </c>
      <c r="Q7759">
        <v>9.9826789999999999E-2</v>
      </c>
      <c r="R7759">
        <v>-0.17439879999999999</v>
      </c>
      <c r="S7759">
        <v>2.982208</v>
      </c>
      <c r="T7759">
        <v>-3.9178850000000001E-2</v>
      </c>
      <c r="U7759">
        <v>-0.47396850000000001</v>
      </c>
      <c r="V7759">
        <v>-0.25706299999999999</v>
      </c>
      <c r="W7759">
        <v>0.1089142</v>
      </c>
      <c r="X7759">
        <v>0.96023760000000002</v>
      </c>
      <c r="Y7759">
        <v>-0.27568520000000002</v>
      </c>
      <c r="Z7759">
        <v>3.9683940000000001E-3</v>
      </c>
      <c r="AA7759">
        <v>0.96123979999999998</v>
      </c>
      <c r="AB7759">
        <v>15</v>
      </c>
      <c r="AC7759">
        <v>79.324099999999902</v>
      </c>
      <c r="AD7759">
        <v>-1.0431399299999999</v>
      </c>
      <c r="AE7759">
        <v>-12.586645999999901</v>
      </c>
      <c r="AF7759">
        <v>-22.1611078735686</v>
      </c>
      <c r="AG7759">
        <v>-1.0431399299999999</v>
      </c>
      <c r="AH7759">
        <v>77.184493681456303</v>
      </c>
      <c r="AI7759">
        <v>90.744233779330003</v>
      </c>
      <c r="AJ7759">
        <v>106.019759822827</v>
      </c>
      <c r="AK7759">
        <v>80.309706187734704</v>
      </c>
      <c r="AL7759">
        <v>83.747272052312496</v>
      </c>
      <c r="AM7759">
        <v>104.98708962946201</v>
      </c>
      <c r="AN7759">
        <v>0.99999996869219898</v>
      </c>
    </row>
    <row r="7760" spans="1:40" x14ac:dyDescent="0.25">
      <c r="A7760" t="str">
        <f>"20190303162107682"</f>
        <v>20190303162107682</v>
      </c>
      <c r="B7760" t="str">
        <f>"1551601267670732"</f>
        <v>1551601267670732</v>
      </c>
      <c r="C7760" t="s">
        <v>40</v>
      </c>
      <c r="D7760">
        <v>5.0337430000000003</v>
      </c>
      <c r="E7760">
        <v>0.49167909999999998</v>
      </c>
      <c r="F7760" t="s">
        <v>41</v>
      </c>
      <c r="G7760">
        <v>-327.72669999999999</v>
      </c>
      <c r="H7760">
        <v>6.0245939999999998E-2</v>
      </c>
      <c r="I7760">
        <v>9.6060649999999992</v>
      </c>
      <c r="J7760">
        <v>-406.40159999999997</v>
      </c>
      <c r="K7760">
        <v>1.1231279999999999</v>
      </c>
      <c r="L7760">
        <v>21.906130000000001</v>
      </c>
      <c r="M7760">
        <v>0.90721739999999995</v>
      </c>
      <c r="N7760">
        <v>-1.055821E-2</v>
      </c>
      <c r="O7760">
        <v>-0.4205295</v>
      </c>
      <c r="P7760">
        <v>0.98006269999999995</v>
      </c>
      <c r="Q7760">
        <v>0.10014579999999999</v>
      </c>
      <c r="R7760">
        <v>-0.1716039</v>
      </c>
      <c r="S7760">
        <v>2.9833980000000002</v>
      </c>
      <c r="T7760">
        <v>-4.0264250000000001E-2</v>
      </c>
      <c r="U7760">
        <v>-0.46722409999999998</v>
      </c>
      <c r="V7760">
        <v>-0.25699870000000002</v>
      </c>
      <c r="W7760">
        <v>0.10907020000000001</v>
      </c>
      <c r="X7760">
        <v>0.96023709999999995</v>
      </c>
      <c r="Y7760">
        <v>-0.27507100000000001</v>
      </c>
      <c r="Z7760">
        <v>4.2067609999999998E-3</v>
      </c>
      <c r="AA7760">
        <v>0.96141469999999996</v>
      </c>
      <c r="AB7760">
        <v>15</v>
      </c>
      <c r="AC7760">
        <v>78.674899999999894</v>
      </c>
      <c r="AD7760">
        <v>-1.06288206</v>
      </c>
      <c r="AE7760">
        <v>-12.300064999999901</v>
      </c>
      <c r="AF7760">
        <v>-21.923600269396601</v>
      </c>
      <c r="AG7760">
        <v>-1.06288206</v>
      </c>
      <c r="AH7760">
        <v>76.538411319829905</v>
      </c>
      <c r="AI7760">
        <v>90.764855374623295</v>
      </c>
      <c r="AJ7760">
        <v>105.98378767281901</v>
      </c>
      <c r="AK7760">
        <v>79.623503906881794</v>
      </c>
      <c r="AL7760">
        <v>83.738280315470107</v>
      </c>
      <c r="AM7760">
        <v>104.983516923035</v>
      </c>
      <c r="AN7760">
        <v>0.99999996427306903</v>
      </c>
    </row>
    <row r="7761" spans="1:40" x14ac:dyDescent="0.25">
      <c r="A7761" t="str">
        <f>"20190303162107700"</f>
        <v>20190303162107700</v>
      </c>
      <c r="B7761" t="str">
        <f>"1551601267690253"</f>
        <v>1551601267690253</v>
      </c>
      <c r="C7761" t="s">
        <v>40</v>
      </c>
      <c r="D7761">
        <v>4.834962</v>
      </c>
      <c r="E7761">
        <v>0.49206119999999998</v>
      </c>
      <c r="F7761" t="s">
        <v>41</v>
      </c>
      <c r="G7761">
        <v>-326.71929999999998</v>
      </c>
      <c r="H7761">
        <v>7.1467310000000006E-2</v>
      </c>
      <c r="I7761">
        <v>9.5948449999999994</v>
      </c>
      <c r="J7761">
        <v>-406.30059999999997</v>
      </c>
      <c r="K7761">
        <v>1.123124</v>
      </c>
      <c r="L7761">
        <v>21.864039999999999</v>
      </c>
      <c r="M7761">
        <v>0.90876060000000003</v>
      </c>
      <c r="N7761">
        <v>-1.036634E-2</v>
      </c>
      <c r="O7761">
        <v>-0.41718909999999998</v>
      </c>
      <c r="P7761">
        <v>0.98053230000000002</v>
      </c>
      <c r="Q7761">
        <v>0.1007092</v>
      </c>
      <c r="R7761">
        <v>-0.16856399999999999</v>
      </c>
      <c r="S7761">
        <v>2.9843139999999999</v>
      </c>
      <c r="T7761">
        <v>-3.9387459999999999E-2</v>
      </c>
      <c r="U7761">
        <v>-0.4610901</v>
      </c>
      <c r="V7761">
        <v>-0.25641700000000001</v>
      </c>
      <c r="W7761">
        <v>0.1094593</v>
      </c>
      <c r="X7761">
        <v>0.96034839999999999</v>
      </c>
      <c r="Y7761">
        <v>-0.27350940000000001</v>
      </c>
      <c r="Z7761">
        <v>4.0826070000000002E-3</v>
      </c>
      <c r="AA7761">
        <v>0.96186070000000001</v>
      </c>
      <c r="AB7761">
        <v>15</v>
      </c>
      <c r="AC7761">
        <v>79.581299999999999</v>
      </c>
      <c r="AD7761">
        <v>-1.0516566899999999</v>
      </c>
      <c r="AE7761">
        <v>-12.269195</v>
      </c>
      <c r="AF7761">
        <v>-22.0481134950005</v>
      </c>
      <c r="AG7761">
        <v>-1.0516566899999999</v>
      </c>
      <c r="AH7761">
        <v>77.429876334677004</v>
      </c>
      <c r="AI7761">
        <v>90.748400361868903</v>
      </c>
      <c r="AJ7761">
        <v>105.894273198425</v>
      </c>
      <c r="AK7761">
        <v>80.514663507248301</v>
      </c>
      <c r="AL7761">
        <v>83.715852675188799</v>
      </c>
      <c r="AM7761">
        <v>104.949467829856</v>
      </c>
      <c r="AN7761">
        <v>1.0000000328140199</v>
      </c>
    </row>
    <row r="7762" spans="1:40" x14ac:dyDescent="0.25">
      <c r="A7762" t="str">
        <f>"20190303162107723"</f>
        <v>20190303162107723</v>
      </c>
      <c r="B7762" t="str">
        <f>"1551601267710749"</f>
        <v>1551601267710749</v>
      </c>
      <c r="C7762" t="s">
        <v>40</v>
      </c>
      <c r="D7762">
        <v>4.7997519999999998</v>
      </c>
      <c r="E7762">
        <v>0.49227609999999999</v>
      </c>
      <c r="F7762" t="s">
        <v>41</v>
      </c>
      <c r="G7762">
        <v>-325.94670000000002</v>
      </c>
      <c r="H7762">
        <v>4.6011759999999999E-2</v>
      </c>
      <c r="I7762">
        <v>9.6163260000000008</v>
      </c>
      <c r="J7762">
        <v>-406.1585</v>
      </c>
      <c r="K7762">
        <v>1.123116</v>
      </c>
      <c r="L7762">
        <v>21.805510000000002</v>
      </c>
      <c r="M7762">
        <v>0.9109064</v>
      </c>
      <c r="N7762">
        <v>-1.0130210000000001E-2</v>
      </c>
      <c r="O7762">
        <v>-0.41248869999999999</v>
      </c>
      <c r="P7762">
        <v>0.98124219999999895</v>
      </c>
      <c r="Q7762">
        <v>0.1009316</v>
      </c>
      <c r="R7762">
        <v>-0.1642451</v>
      </c>
      <c r="S7762">
        <v>2.9854430000000001</v>
      </c>
      <c r="T7762">
        <v>-4.0018680000000001E-2</v>
      </c>
      <c r="U7762">
        <v>-0.4550476</v>
      </c>
      <c r="V7762">
        <v>-0.25566879999999997</v>
      </c>
      <c r="W7762">
        <v>0.1094692</v>
      </c>
      <c r="X7762">
        <v>0.96054669999999998</v>
      </c>
      <c r="Y7762">
        <v>-0.27049420000000002</v>
      </c>
      <c r="Z7762">
        <v>4.2227130000000003E-3</v>
      </c>
      <c r="AA7762">
        <v>0.96271229999999997</v>
      </c>
      <c r="AB7762">
        <v>15</v>
      </c>
      <c r="AC7762">
        <v>80.211799999999897</v>
      </c>
      <c r="AD7762">
        <v>-1.0771042399999999</v>
      </c>
      <c r="AE7762">
        <v>-12.189183999999999</v>
      </c>
      <c r="AF7762">
        <v>-21.980509229902701</v>
      </c>
      <c r="AG7762">
        <v>-1.0771042399999999</v>
      </c>
      <c r="AH7762">
        <v>78.083587174336401</v>
      </c>
      <c r="AI7762">
        <v>90.760738945360998</v>
      </c>
      <c r="AJ7762">
        <v>105.721896939787</v>
      </c>
      <c r="AK7762">
        <v>81.125517105050605</v>
      </c>
      <c r="AL7762">
        <v>83.715281823076793</v>
      </c>
      <c r="AM7762">
        <v>104.90485097270199</v>
      </c>
      <c r="AN7762">
        <v>1.0000000019614801</v>
      </c>
    </row>
    <row r="7763" spans="1:40" x14ac:dyDescent="0.25">
      <c r="A7763" t="str">
        <f>"20190303162107738"</f>
        <v>20190303162107738</v>
      </c>
      <c r="B7763" t="str">
        <f>"1551601267730269"</f>
        <v>1551601267730269</v>
      </c>
      <c r="C7763" t="s">
        <v>40</v>
      </c>
      <c r="D7763">
        <v>5.0253300000000003</v>
      </c>
      <c r="E7763">
        <v>0.49245299999999997</v>
      </c>
      <c r="F7763" t="s">
        <v>41</v>
      </c>
      <c r="G7763">
        <v>-324.82040000000001</v>
      </c>
      <c r="H7763" s="1">
        <v>-4.6058129999999997E-6</v>
      </c>
      <c r="I7763">
        <v>9.7222539999999995</v>
      </c>
      <c r="J7763">
        <v>-406.07240000000002</v>
      </c>
      <c r="K7763">
        <v>1.123111</v>
      </c>
      <c r="L7763">
        <v>21.770479999999999</v>
      </c>
      <c r="M7763">
        <v>0.91219119999999998</v>
      </c>
      <c r="N7763">
        <v>-1.0008660000000001E-2</v>
      </c>
      <c r="O7763">
        <v>-0.40964299999999998</v>
      </c>
      <c r="P7763">
        <v>0.98168359999999999</v>
      </c>
      <c r="Q7763">
        <v>0.1006156</v>
      </c>
      <c r="R7763">
        <v>-0.1617847</v>
      </c>
      <c r="S7763">
        <v>2.9873349999999999</v>
      </c>
      <c r="T7763">
        <v>-4.1249279999999999E-2</v>
      </c>
      <c r="U7763">
        <v>-0.44378659999999998</v>
      </c>
      <c r="V7763">
        <v>-0.25508730000000002</v>
      </c>
      <c r="W7763">
        <v>0.1090441</v>
      </c>
      <c r="X7763">
        <v>0.96074959999999998</v>
      </c>
      <c r="Y7763">
        <v>-0.271125</v>
      </c>
      <c r="Z7763">
        <v>4.4773579999999999E-3</v>
      </c>
      <c r="AA7763">
        <v>0.96253370000000005</v>
      </c>
      <c r="AB7763">
        <v>15</v>
      </c>
      <c r="AC7763">
        <v>81.251999999999995</v>
      </c>
      <c r="AD7763">
        <v>-1.1231156058130001</v>
      </c>
      <c r="AE7763">
        <v>-12.048226</v>
      </c>
      <c r="AF7763">
        <v>-22.2909727711383</v>
      </c>
      <c r="AG7763">
        <v>-1.1231156058130001</v>
      </c>
      <c r="AH7763">
        <v>79.041999700315799</v>
      </c>
      <c r="AI7763">
        <v>90.783509617267299</v>
      </c>
      <c r="AJ7763">
        <v>105.749209902985</v>
      </c>
      <c r="AK7763">
        <v>82.132737519045193</v>
      </c>
      <c r="AL7763">
        <v>83.739784745180998</v>
      </c>
      <c r="AM7763">
        <v>104.869453183264</v>
      </c>
      <c r="AN7763">
        <v>0.99999997013312902</v>
      </c>
    </row>
    <row r="7764" spans="1:40" x14ac:dyDescent="0.25">
      <c r="A7764" t="str">
        <f>"20190303162107752"</f>
        <v>20190303162107752</v>
      </c>
      <c r="B7764" t="str">
        <f>"1551601267740029"</f>
        <v>1551601267740029</v>
      </c>
      <c r="C7764" t="s">
        <v>40</v>
      </c>
      <c r="D7764">
        <v>4.847105</v>
      </c>
      <c r="E7764">
        <v>0.49551640000000002</v>
      </c>
      <c r="F7764" t="s">
        <v>41</v>
      </c>
      <c r="G7764">
        <v>-327.3963</v>
      </c>
      <c r="H7764" s="1">
        <v>-3.4764179999999999E-6</v>
      </c>
      <c r="I7764">
        <v>10.24924</v>
      </c>
      <c r="J7764">
        <v>-405.98520000000002</v>
      </c>
      <c r="K7764">
        <v>1.1231070000000001</v>
      </c>
      <c r="L7764">
        <v>21.735289999999999</v>
      </c>
      <c r="M7764">
        <v>0.91347829999999997</v>
      </c>
      <c r="N7764">
        <v>-9.8970629999999993E-3</v>
      </c>
      <c r="O7764">
        <v>-0.4067672</v>
      </c>
      <c r="P7764">
        <v>0.98211479999999995</v>
      </c>
      <c r="Q7764">
        <v>0.1006634</v>
      </c>
      <c r="R7764">
        <v>-0.1591156</v>
      </c>
      <c r="S7764">
        <v>2.9882200000000001</v>
      </c>
      <c r="T7764">
        <v>-4.2657380000000002E-2</v>
      </c>
      <c r="U7764">
        <v>-0.43759160000000002</v>
      </c>
      <c r="V7764">
        <v>-0.25466820000000001</v>
      </c>
      <c r="W7764">
        <v>0.10898960000000001</v>
      </c>
      <c r="X7764">
        <v>0.96086700000000003</v>
      </c>
      <c r="Y7764">
        <v>-0.27008389999999999</v>
      </c>
      <c r="Z7764">
        <v>4.738829E-3</v>
      </c>
      <c r="AA7764">
        <v>0.96282509999999999</v>
      </c>
      <c r="AB7764">
        <v>15</v>
      </c>
      <c r="AC7764">
        <v>78.588899999999995</v>
      </c>
      <c r="AD7764">
        <v>-1.123110476418</v>
      </c>
      <c r="AE7764">
        <v>-11.486050000000001</v>
      </c>
      <c r="AF7764">
        <v>-21.471886501118</v>
      </c>
      <c r="AG7764">
        <v>-1.123110476418</v>
      </c>
      <c r="AH7764">
        <v>76.449857031159198</v>
      </c>
      <c r="AI7764">
        <v>90.810311811077796</v>
      </c>
      <c r="AJ7764">
        <v>105.688053155262</v>
      </c>
      <c r="AK7764">
        <v>79.415892157324706</v>
      </c>
      <c r="AL7764">
        <v>83.742926328015201</v>
      </c>
      <c r="AM7764">
        <v>104.844369059678</v>
      </c>
      <c r="AN7764">
        <v>1.0000000083442</v>
      </c>
    </row>
    <row r="7765" spans="1:40" x14ac:dyDescent="0.25">
      <c r="A7765" t="str">
        <f>"20190303162107769"</f>
        <v>20190303162107769</v>
      </c>
      <c r="B7765" t="str">
        <f>"1551601267760524"</f>
        <v>1551601267760524</v>
      </c>
      <c r="C7765" t="s">
        <v>40</v>
      </c>
      <c r="D7765">
        <v>5.0317699999999999</v>
      </c>
      <c r="E7765">
        <v>0.49600850000000002</v>
      </c>
      <c r="F7765" t="s">
        <v>41</v>
      </c>
      <c r="G7765">
        <v>-340.75450000000001</v>
      </c>
      <c r="H7765" s="1">
        <v>-5.3307219999999998E-6</v>
      </c>
      <c r="I7765">
        <v>11.82452</v>
      </c>
      <c r="J7765">
        <v>-405.87830000000002</v>
      </c>
      <c r="K7765">
        <v>1.123103</v>
      </c>
      <c r="L7765">
        <v>21.69247</v>
      </c>
      <c r="M7765">
        <v>0.91503849999999998</v>
      </c>
      <c r="N7765">
        <v>-9.7776630000000007E-3</v>
      </c>
      <c r="O7765">
        <v>-0.4032481</v>
      </c>
      <c r="P7765">
        <v>0.9825467</v>
      </c>
      <c r="Q7765">
        <v>0.1001732</v>
      </c>
      <c r="R7765">
        <v>-0.15673960000000001</v>
      </c>
      <c r="S7765">
        <v>2.9864199999999999</v>
      </c>
      <c r="T7765">
        <v>-5.1418779999999997E-2</v>
      </c>
      <c r="U7765">
        <v>-0.45373540000000001</v>
      </c>
      <c r="V7765">
        <v>-0.25330910000000001</v>
      </c>
      <c r="W7765">
        <v>0.1083942</v>
      </c>
      <c r="X7765">
        <v>0.96129350000000002</v>
      </c>
      <c r="Y7765">
        <v>-0.26117180000000001</v>
      </c>
      <c r="Z7765">
        <v>6.1799289999999998E-3</v>
      </c>
      <c r="AA7765">
        <v>0.96527249999999998</v>
      </c>
      <c r="AB7765">
        <v>15</v>
      </c>
      <c r="AC7765">
        <v>65.123800000000003</v>
      </c>
      <c r="AD7765">
        <v>-1.123108330722</v>
      </c>
      <c r="AE7765">
        <v>-9.8679500000000004</v>
      </c>
      <c r="AF7765">
        <v>-17.227308755055901</v>
      </c>
      <c r="AG7765">
        <v>-1.123108330722</v>
      </c>
      <c r="AH7765">
        <v>63.554574593998097</v>
      </c>
      <c r="AI7765">
        <v>90.977145717772601</v>
      </c>
      <c r="AJ7765">
        <v>105.166339697521</v>
      </c>
      <c r="AK7765">
        <v>65.857615285467404</v>
      </c>
      <c r="AL7765">
        <v>83.777243483243595</v>
      </c>
      <c r="AM7765">
        <v>104.76235348111101</v>
      </c>
      <c r="AN7765">
        <v>0.99999999793935002</v>
      </c>
    </row>
    <row r="7766" spans="1:40" x14ac:dyDescent="0.25">
      <c r="A7766" t="str">
        <f>"20190303162107793"</f>
        <v>20190303162107793</v>
      </c>
      <c r="B7766" t="str">
        <f>"1551601267780044"</f>
        <v>1551601267780044</v>
      </c>
      <c r="C7766" t="s">
        <v>40</v>
      </c>
      <c r="D7766">
        <v>5.0298319999999999</v>
      </c>
      <c r="E7766">
        <v>0.49628460000000002</v>
      </c>
      <c r="F7766" t="s">
        <v>41</v>
      </c>
      <c r="G7766">
        <v>-340.73809999999997</v>
      </c>
      <c r="H7766" s="1">
        <v>-5.3291539999999997E-6</v>
      </c>
      <c r="I7766">
        <v>11.8729</v>
      </c>
      <c r="J7766">
        <v>-405.73020000000002</v>
      </c>
      <c r="K7766">
        <v>1.1231139999999999</v>
      </c>
      <c r="L7766">
        <v>21.634029999999999</v>
      </c>
      <c r="M7766">
        <v>0.91716149999999996</v>
      </c>
      <c r="N7766">
        <v>-9.6428880000000005E-3</v>
      </c>
      <c r="O7766">
        <v>-0.39839920000000001</v>
      </c>
      <c r="P7766">
        <v>0.98319909999999999</v>
      </c>
      <c r="Q7766">
        <v>9.9722130000000006E-2</v>
      </c>
      <c r="R7766">
        <v>-0.15289059999999999</v>
      </c>
      <c r="S7766">
        <v>2.986694</v>
      </c>
      <c r="T7766">
        <v>-5.149484E-2</v>
      </c>
      <c r="U7766">
        <v>-0.45022580000000001</v>
      </c>
      <c r="V7766">
        <v>-0.2520019</v>
      </c>
      <c r="W7766">
        <v>0.1078173</v>
      </c>
      <c r="X7766">
        <v>0.9617019</v>
      </c>
      <c r="Y7766">
        <v>-0.25718249999999998</v>
      </c>
      <c r="Z7766">
        <v>6.1520350000000001E-3</v>
      </c>
      <c r="AA7766">
        <v>0.96634330000000002</v>
      </c>
      <c r="AB7766">
        <v>15</v>
      </c>
      <c r="AC7766">
        <v>64.992099999999994</v>
      </c>
      <c r="AD7766">
        <v>-1.123119329154</v>
      </c>
      <c r="AE7766">
        <v>-9.7611299999999996</v>
      </c>
      <c r="AF7766">
        <v>-16.9361085774709</v>
      </c>
      <c r="AG7766">
        <v>-1.123119329154</v>
      </c>
      <c r="AH7766">
        <v>63.4814875234594</v>
      </c>
      <c r="AI7766">
        <v>90.979329288038599</v>
      </c>
      <c r="AJ7766">
        <v>104.937915324993</v>
      </c>
      <c r="AK7766">
        <v>65.711433015621694</v>
      </c>
      <c r="AL7766">
        <v>83.810492514133898</v>
      </c>
      <c r="AM7766">
        <v>104.683506609394</v>
      </c>
      <c r="AN7766">
        <v>1.0000000361232499</v>
      </c>
    </row>
    <row r="7767" spans="1:40" x14ac:dyDescent="0.25">
      <c r="A7767" t="str">
        <f>"20190303162107815"</f>
        <v>20190303162107815</v>
      </c>
      <c r="B7767" t="str">
        <f>"1551601267800541"</f>
        <v>1551601267800541</v>
      </c>
      <c r="C7767" t="s">
        <v>40</v>
      </c>
      <c r="D7767">
        <v>5.1030959999999999</v>
      </c>
      <c r="E7767">
        <v>0.48807279999999997</v>
      </c>
      <c r="F7767" t="s">
        <v>41</v>
      </c>
      <c r="G7767">
        <v>-342.35680000000002</v>
      </c>
      <c r="H7767" s="1">
        <v>-4.5614640000000001E-6</v>
      </c>
      <c r="I7767">
        <v>12.28595</v>
      </c>
      <c r="J7767">
        <v>-405.60309999999998</v>
      </c>
      <c r="K7767">
        <v>1.123122</v>
      </c>
      <c r="L7767">
        <v>21.58456</v>
      </c>
      <c r="M7767">
        <v>0.91894790000000004</v>
      </c>
      <c r="N7767">
        <v>-9.546967E-3</v>
      </c>
      <c r="O7767">
        <v>-0.39426369999999999</v>
      </c>
      <c r="P7767">
        <v>0.9836608</v>
      </c>
      <c r="Q7767">
        <v>9.9431530000000004E-2</v>
      </c>
      <c r="R7767">
        <v>-0.15008350000000001</v>
      </c>
      <c r="S7767">
        <v>2.9880979999999999</v>
      </c>
      <c r="T7767">
        <v>-5.2955870000000002E-2</v>
      </c>
      <c r="U7767">
        <v>-0.44076539999999997</v>
      </c>
      <c r="V7767">
        <v>-0.25042510000000001</v>
      </c>
      <c r="W7767">
        <v>0.1074399</v>
      </c>
      <c r="X7767">
        <v>0.96215589999999995</v>
      </c>
      <c r="Y7767">
        <v>-0.25588490000000003</v>
      </c>
      <c r="Z7767">
        <v>6.3857760000000001E-3</v>
      </c>
      <c r="AA7767">
        <v>0.96668620000000005</v>
      </c>
      <c r="AB7767">
        <v>15</v>
      </c>
      <c r="AC7767">
        <v>63.246299999999898</v>
      </c>
      <c r="AD7767">
        <v>-1.123126561464</v>
      </c>
      <c r="AE7767">
        <v>-9.29861</v>
      </c>
      <c r="AF7767">
        <v>-16.386468990291799</v>
      </c>
      <c r="AG7767">
        <v>-1.123126561464</v>
      </c>
      <c r="AH7767">
        <v>61.769900329537599</v>
      </c>
      <c r="AI7767">
        <v>91.006843086832006</v>
      </c>
      <c r="AJ7767">
        <v>104.857345995198</v>
      </c>
      <c r="AK7767">
        <v>63.916338802874698</v>
      </c>
      <c r="AL7767">
        <v>83.832242177573406</v>
      </c>
      <c r="AM7767">
        <v>104.58897236497199</v>
      </c>
      <c r="AN7767">
        <v>1.00000001936341</v>
      </c>
    </row>
    <row r="7768" spans="1:40" x14ac:dyDescent="0.25">
      <c r="A7768" t="str">
        <f>"20190303162107829"</f>
        <v>20190303162107829</v>
      </c>
      <c r="B7768" t="str">
        <f>"1551601267820060"</f>
        <v>1551601267820060</v>
      </c>
      <c r="C7768" t="s">
        <v>40</v>
      </c>
      <c r="D7768">
        <v>5.038564</v>
      </c>
      <c r="E7768">
        <v>0.48724040000000002</v>
      </c>
      <c r="F7768" t="s">
        <v>41</v>
      </c>
      <c r="G7768">
        <v>-336.76</v>
      </c>
      <c r="H7768" s="1">
        <v>-2.8072329999999998E-6</v>
      </c>
      <c r="I7768">
        <v>13.157209999999999</v>
      </c>
      <c r="J7768">
        <v>-405.50540000000001</v>
      </c>
      <c r="K7768">
        <v>1.123124</v>
      </c>
      <c r="L7768">
        <v>21.54691</v>
      </c>
      <c r="M7768">
        <v>0.92030140000000005</v>
      </c>
      <c r="N7768">
        <v>-9.4824490000000004E-3</v>
      </c>
      <c r="O7768">
        <v>-0.39109509999999997</v>
      </c>
      <c r="P7768">
        <v>0.98402840000000003</v>
      </c>
      <c r="Q7768">
        <v>9.9428669999999997E-2</v>
      </c>
      <c r="R7768">
        <v>-0.14765519999999999</v>
      </c>
      <c r="S7768">
        <v>2.99884</v>
      </c>
      <c r="T7768">
        <v>-4.8923849999999998E-2</v>
      </c>
      <c r="U7768">
        <v>-0.36709589999999998</v>
      </c>
      <c r="V7768">
        <v>-0.24948529999999999</v>
      </c>
      <c r="W7768">
        <v>0.1073769</v>
      </c>
      <c r="X7768">
        <v>0.96240709999999996</v>
      </c>
      <c r="Y7768">
        <v>-0.27632479999999998</v>
      </c>
      <c r="Z7768">
        <v>5.9539110000000001E-3</v>
      </c>
      <c r="AA7768">
        <v>0.96104590000000001</v>
      </c>
      <c r="AB7768">
        <v>15</v>
      </c>
      <c r="AC7768">
        <v>68.745400000000004</v>
      </c>
      <c r="AD7768">
        <v>-1.1231268072329901</v>
      </c>
      <c r="AE7768">
        <v>-8.3896999999999995</v>
      </c>
      <c r="AF7768">
        <v>-19.160759280302599</v>
      </c>
      <c r="AG7768">
        <v>-1.1231268072329901</v>
      </c>
      <c r="AH7768">
        <v>66.533153827958699</v>
      </c>
      <c r="AI7768">
        <v>90.929337788773907</v>
      </c>
      <c r="AJ7768">
        <v>106.065773099696</v>
      </c>
      <c r="AK7768">
        <v>69.246347689373707</v>
      </c>
      <c r="AL7768">
        <v>83.835873127317797</v>
      </c>
      <c r="AM7768">
        <v>104.532912531435</v>
      </c>
      <c r="AN7768">
        <v>1.00000006985005</v>
      </c>
    </row>
    <row r="7769" spans="1:40" x14ac:dyDescent="0.25">
      <c r="A7769" t="str">
        <f>"20190303162107846"</f>
        <v>20190303162107846</v>
      </c>
      <c r="B7769" t="str">
        <f>"1551601267840556"</f>
        <v>1551601267840556</v>
      </c>
      <c r="C7769" t="s">
        <v>40</v>
      </c>
      <c r="D7769">
        <v>5.1034870000000003</v>
      </c>
      <c r="E7769">
        <v>0.48735390000000001</v>
      </c>
      <c r="F7769" t="s">
        <v>41</v>
      </c>
      <c r="G7769">
        <v>-325.28699999999998</v>
      </c>
      <c r="H7769" s="1">
        <v>-3.7914529999999998E-6</v>
      </c>
      <c r="I7769">
        <v>12.109500000000001</v>
      </c>
      <c r="J7769">
        <v>-405.4042</v>
      </c>
      <c r="K7769">
        <v>1.1231199999999999</v>
      </c>
      <c r="L7769">
        <v>21.50827</v>
      </c>
      <c r="M7769">
        <v>0.92168459999999997</v>
      </c>
      <c r="N7769">
        <v>-9.4227830000000005E-3</v>
      </c>
      <c r="O7769">
        <v>-0.3878259</v>
      </c>
      <c r="P7769">
        <v>0.98425600000000002</v>
      </c>
      <c r="Q7769">
        <v>9.9671019999999999E-2</v>
      </c>
      <c r="R7769">
        <v>-0.1459655</v>
      </c>
      <c r="S7769">
        <v>2.9999690000000001</v>
      </c>
      <c r="T7769">
        <v>-4.2002200000000003E-2</v>
      </c>
      <c r="U7769">
        <v>-0.35293580000000002</v>
      </c>
      <c r="V7769">
        <v>-0.24771190000000001</v>
      </c>
      <c r="W7769">
        <v>0.10757029999999999</v>
      </c>
      <c r="X7769">
        <v>0.96284340000000002</v>
      </c>
      <c r="Y7769">
        <v>-0.27744489999999999</v>
      </c>
      <c r="Z7769">
        <v>4.7805759999999999E-3</v>
      </c>
      <c r="AA7769">
        <v>0.96072970000000002</v>
      </c>
      <c r="AB7769">
        <v>15</v>
      </c>
      <c r="AC7769">
        <v>80.117199999999897</v>
      </c>
      <c r="AD7769">
        <v>-1.1231237914529999</v>
      </c>
      <c r="AE7769">
        <v>-9.3987700000000007</v>
      </c>
      <c r="AF7769">
        <v>-22.405472742801301</v>
      </c>
      <c r="AG7769">
        <v>-1.1231237914529999</v>
      </c>
      <c r="AH7769">
        <v>77.476288784423303</v>
      </c>
      <c r="AI7769">
        <v>90.797834001347297</v>
      </c>
      <c r="AJ7769">
        <v>106.12941194180399</v>
      </c>
      <c r="AK7769">
        <v>80.658799518011094</v>
      </c>
      <c r="AL7769">
        <v>83.824727035633799</v>
      </c>
      <c r="AM7769">
        <v>104.427671630703</v>
      </c>
      <c r="AN7769">
        <v>0.99999998388362898</v>
      </c>
    </row>
    <row r="7770" spans="1:40" x14ac:dyDescent="0.25">
      <c r="A7770" t="str">
        <f>"20190303162107867"</f>
        <v>20190303162107867</v>
      </c>
      <c r="B7770" t="str">
        <f>"1551601267861053"</f>
        <v>1551601267861053</v>
      </c>
      <c r="C7770" t="s">
        <v>40</v>
      </c>
      <c r="D7770">
        <v>5.0370609999999996</v>
      </c>
      <c r="E7770">
        <v>0.48741299999999999</v>
      </c>
      <c r="F7770" t="s">
        <v>44</v>
      </c>
      <c r="G7770">
        <v>-310.73610000000002</v>
      </c>
      <c r="H7770">
        <v>-0.05</v>
      </c>
      <c r="I7770">
        <v>10.503909999999999</v>
      </c>
      <c r="J7770">
        <v>-405.2697</v>
      </c>
      <c r="K7770">
        <v>1.12312099999999</v>
      </c>
      <c r="L7770">
        <v>21.45767</v>
      </c>
      <c r="M7770">
        <v>0.92349170000000003</v>
      </c>
      <c r="N7770">
        <v>-9.3551369999999995E-3</v>
      </c>
      <c r="O7770">
        <v>-0.38350450000000003</v>
      </c>
      <c r="P7770">
        <v>0.98464669999999999</v>
      </c>
      <c r="Q7770">
        <v>9.9479170000000006E-2</v>
      </c>
      <c r="R7770">
        <v>-0.1434397</v>
      </c>
      <c r="S7770">
        <v>3</v>
      </c>
      <c r="T7770">
        <v>-3.7175769999999997E-2</v>
      </c>
      <c r="U7770">
        <v>-0.34872439999999999</v>
      </c>
      <c r="V7770">
        <v>-0.2456767</v>
      </c>
      <c r="W7770">
        <v>0.1073252</v>
      </c>
      <c r="X7770">
        <v>0.96339209999999997</v>
      </c>
      <c r="Y7770">
        <v>-0.2742849</v>
      </c>
      <c r="Z7770">
        <v>3.9301980000000002E-3</v>
      </c>
      <c r="AA7770">
        <v>0.96164050000000001</v>
      </c>
      <c r="AB7770">
        <v>15</v>
      </c>
      <c r="AC7770">
        <v>94.533599999999893</v>
      </c>
      <c r="AD7770">
        <v>-1.1731210000000001</v>
      </c>
      <c r="AE7770">
        <v>-10.953760000000001</v>
      </c>
      <c r="AF7770">
        <v>-26.135525118095298</v>
      </c>
      <c r="AG7770">
        <v>-1.1731210000000001</v>
      </c>
      <c r="AH7770">
        <v>91.491906283488802</v>
      </c>
      <c r="AI7770">
        <v>90.706361728111702</v>
      </c>
      <c r="AJ7770">
        <v>105.942489671543</v>
      </c>
      <c r="AK7770">
        <v>95.158871375536705</v>
      </c>
      <c r="AL7770">
        <v>83.838852345019006</v>
      </c>
      <c r="AM7770">
        <v>104.306206003996</v>
      </c>
      <c r="AN7770">
        <v>1.00000003891016</v>
      </c>
    </row>
    <row r="7771" spans="1:40" x14ac:dyDescent="0.25">
      <c r="A7771" t="str">
        <f>"20190303162107879"</f>
        <v>20190303162107879</v>
      </c>
      <c r="B7771" t="str">
        <f>"1551601267870813"</f>
        <v>1551601267870813</v>
      </c>
      <c r="C7771" t="s">
        <v>40</v>
      </c>
      <c r="D7771">
        <v>5.0248819999999998</v>
      </c>
      <c r="E7771">
        <v>0.48743730000000002</v>
      </c>
      <c r="F7771" t="s">
        <v>44</v>
      </c>
      <c r="G7771">
        <v>-312.82990000000001</v>
      </c>
      <c r="H7771">
        <v>-0.05</v>
      </c>
      <c r="I7771">
        <v>10.93736</v>
      </c>
      <c r="J7771">
        <v>-405.19490000000002</v>
      </c>
      <c r="K7771">
        <v>1.123119</v>
      </c>
      <c r="L7771">
        <v>21.429870000000001</v>
      </c>
      <c r="M7771">
        <v>0.9244812</v>
      </c>
      <c r="N7771">
        <v>-9.3224350000000004E-3</v>
      </c>
      <c r="O7771">
        <v>-0.38111390000000001</v>
      </c>
      <c r="P7771">
        <v>0.98482599999999998</v>
      </c>
      <c r="Q7771">
        <v>9.9811490000000003E-2</v>
      </c>
      <c r="R7771">
        <v>-0.14196989999999901</v>
      </c>
      <c r="S7771">
        <v>3.0008849999999998</v>
      </c>
      <c r="T7771">
        <v>-3.8083199999999998E-2</v>
      </c>
      <c r="U7771">
        <v>-0.3415222</v>
      </c>
      <c r="V7771">
        <v>-0.24460989999999999</v>
      </c>
      <c r="W7771">
        <v>0.1076329</v>
      </c>
      <c r="X7771">
        <v>0.96362910000000002</v>
      </c>
      <c r="Y7771">
        <v>-0.2741054</v>
      </c>
      <c r="Z7771">
        <v>4.0856549999999997E-3</v>
      </c>
      <c r="AA7771">
        <v>0.96169099999999996</v>
      </c>
      <c r="AB7771">
        <v>15</v>
      </c>
      <c r="AC7771">
        <v>92.364999999999995</v>
      </c>
      <c r="AD7771">
        <v>-1.173119</v>
      </c>
      <c r="AE7771">
        <v>-10.492509999999999</v>
      </c>
      <c r="AF7771">
        <v>-25.498501939676402</v>
      </c>
      <c r="AG7771">
        <v>-1.173119</v>
      </c>
      <c r="AH7771">
        <v>89.378188787489904</v>
      </c>
      <c r="AI7771">
        <v>90.723134526177702</v>
      </c>
      <c r="AJ7771">
        <v>105.92279882978799</v>
      </c>
      <c r="AK7771">
        <v>92.951656468768903</v>
      </c>
      <c r="AL7771">
        <v>83.821119122625902</v>
      </c>
      <c r="AM7771">
        <v>104.243257203986</v>
      </c>
      <c r="AN7771">
        <v>0.99999994335361297</v>
      </c>
    </row>
    <row r="7772" spans="1:40" x14ac:dyDescent="0.25">
      <c r="A7772" t="str">
        <f>"20190303162107891"</f>
        <v>20190303162107891</v>
      </c>
      <c r="B7772" t="str">
        <f>"1551601267880573"</f>
        <v>1551601267880573</v>
      </c>
      <c r="C7772" t="s">
        <v>40</v>
      </c>
      <c r="D7772">
        <v>5.033315</v>
      </c>
      <c r="E7772">
        <v>0.48747740000000001</v>
      </c>
      <c r="F7772" t="s">
        <v>44</v>
      </c>
      <c r="G7772">
        <v>-310.88150000000002</v>
      </c>
      <c r="H7772">
        <v>-0.05</v>
      </c>
      <c r="I7772">
        <v>10.836270000000001</v>
      </c>
      <c r="J7772">
        <v>-405.12259999999998</v>
      </c>
      <c r="K7772">
        <v>1.1231150000000001</v>
      </c>
      <c r="L7772">
        <v>21.403110000000002</v>
      </c>
      <c r="M7772">
        <v>0.92542930000000001</v>
      </c>
      <c r="N7772">
        <v>-9.2932320000000002E-3</v>
      </c>
      <c r="O7772">
        <v>-0.3788067</v>
      </c>
      <c r="P7772">
        <v>0.98495290000000002</v>
      </c>
      <c r="Q7772">
        <v>9.9959690000000004E-2</v>
      </c>
      <c r="R7772">
        <v>-0.140983</v>
      </c>
      <c r="S7772">
        <v>3.001404</v>
      </c>
      <c r="T7772">
        <v>-3.733301E-2</v>
      </c>
      <c r="U7772">
        <v>-0.33712769999999997</v>
      </c>
      <c r="V7772">
        <v>-0.24316479999999999</v>
      </c>
      <c r="W7772">
        <v>0.10776230000000001</v>
      </c>
      <c r="X7772">
        <v>0.96398039999999996</v>
      </c>
      <c r="Y7772">
        <v>-0.2731169</v>
      </c>
      <c r="Z7772">
        <v>3.9515189999999997E-3</v>
      </c>
      <c r="AA7772">
        <v>0.96197279999999996</v>
      </c>
      <c r="AB7772">
        <v>15</v>
      </c>
      <c r="AC7772">
        <v>94.241099999999904</v>
      </c>
      <c r="AD7772">
        <v>-1.1731149999999999</v>
      </c>
      <c r="AE7772">
        <v>-10.566839999999999</v>
      </c>
      <c r="AF7772">
        <v>-25.9174464956774</v>
      </c>
      <c r="AG7772">
        <v>-1.1731149999999999</v>
      </c>
      <c r="AH7772">
        <v>91.206234644348896</v>
      </c>
      <c r="AI7772">
        <v>90.708849733735605</v>
      </c>
      <c r="AJ7772">
        <v>105.86319360251299</v>
      </c>
      <c r="AK7772">
        <v>94.824403344600896</v>
      </c>
      <c r="AL7772">
        <v>83.8136621646116</v>
      </c>
      <c r="AM7772">
        <v>104.15755290609999</v>
      </c>
      <c r="AN7772">
        <v>1.0000000224222401</v>
      </c>
    </row>
    <row r="7773" spans="1:40" x14ac:dyDescent="0.25">
      <c r="A7773" t="str">
        <f>"20190303162107903"</f>
        <v>20190303162107903</v>
      </c>
      <c r="B7773" t="str">
        <f>"1551601267890333"</f>
        <v>1551601267890333</v>
      </c>
      <c r="C7773" t="s">
        <v>40</v>
      </c>
      <c r="D7773">
        <v>5.153543</v>
      </c>
      <c r="E7773">
        <v>0.4876412</v>
      </c>
      <c r="F7773" t="s">
        <v>44</v>
      </c>
      <c r="G7773">
        <v>-308.29300000000001</v>
      </c>
      <c r="H7773">
        <v>-0.05</v>
      </c>
      <c r="I7773">
        <v>10.623469999999999</v>
      </c>
      <c r="J7773">
        <v>-405.04579999999999</v>
      </c>
      <c r="K7773">
        <v>1.123113</v>
      </c>
      <c r="L7773">
        <v>21.37491</v>
      </c>
      <c r="M7773">
        <v>0.92642659999999999</v>
      </c>
      <c r="N7773">
        <v>-9.2646629999999994E-3</v>
      </c>
      <c r="O7773">
        <v>-0.37636140000000001</v>
      </c>
      <c r="P7773">
        <v>0.98510750000000002</v>
      </c>
      <c r="Q7773">
        <v>9.9881529999999996E-2</v>
      </c>
      <c r="R7773">
        <v>-0.13995379999999999</v>
      </c>
      <c r="S7773">
        <v>3.001709</v>
      </c>
      <c r="T7773">
        <v>-3.6366460000000003E-2</v>
      </c>
      <c r="U7773">
        <v>-0.33416750000000001</v>
      </c>
      <c r="V7773">
        <v>-0.2416266</v>
      </c>
      <c r="W7773">
        <v>0.107668</v>
      </c>
      <c r="X7773">
        <v>0.96437759999999995</v>
      </c>
      <c r="Y7773">
        <v>-0.27152559999999998</v>
      </c>
      <c r="Z7773">
        <v>3.7758050000000001E-3</v>
      </c>
      <c r="AA7773">
        <v>0.96242380000000005</v>
      </c>
      <c r="AB7773">
        <v>15</v>
      </c>
      <c r="AC7773">
        <v>96.752799999999894</v>
      </c>
      <c r="AD7773">
        <v>-1.1731129999999901</v>
      </c>
      <c r="AE7773">
        <v>-10.751439999999899</v>
      </c>
      <c r="AF7773">
        <v>-26.450893704576199</v>
      </c>
      <c r="AG7773">
        <v>-1.1731129999999901</v>
      </c>
      <c r="AH7773">
        <v>93.671213312056096</v>
      </c>
      <c r="AI7773">
        <v>90.690519584445397</v>
      </c>
      <c r="AJ7773">
        <v>105.76862775679</v>
      </c>
      <c r="AK7773">
        <v>97.341266558609604</v>
      </c>
      <c r="AL7773">
        <v>83.819096536001993</v>
      </c>
      <c r="AM7773">
        <v>104.065998815079</v>
      </c>
      <c r="AN7773">
        <v>0.99999998371665899</v>
      </c>
    </row>
    <row r="7774" spans="1:40" x14ac:dyDescent="0.25">
      <c r="A7774" t="str">
        <f>"20190303162107916"</f>
        <v>20190303162107916</v>
      </c>
      <c r="B7774" t="str">
        <f>"1551601267910828"</f>
        <v>1551601267910828</v>
      </c>
      <c r="C7774" t="s">
        <v>40</v>
      </c>
      <c r="D7774">
        <v>4.8317930000000002</v>
      </c>
      <c r="E7774">
        <v>0.48784630000000001</v>
      </c>
      <c r="F7774" t="s">
        <v>44</v>
      </c>
      <c r="G7774">
        <v>-307.65179999999998</v>
      </c>
      <c r="H7774">
        <v>-0.05</v>
      </c>
      <c r="I7774">
        <v>10.59933</v>
      </c>
      <c r="J7774">
        <v>-404.96499999999997</v>
      </c>
      <c r="K7774">
        <v>1.123108</v>
      </c>
      <c r="L7774">
        <v>21.34552</v>
      </c>
      <c r="M7774">
        <v>0.92746309999999998</v>
      </c>
      <c r="N7774">
        <v>-9.2380550000000002E-3</v>
      </c>
      <c r="O7774">
        <v>-0.3738011</v>
      </c>
      <c r="P7774">
        <v>0.98534920000000004</v>
      </c>
      <c r="Q7774">
        <v>9.9543909999999999E-2</v>
      </c>
      <c r="R7774">
        <v>-0.1384862</v>
      </c>
      <c r="S7774">
        <v>3.001862</v>
      </c>
      <c r="T7774">
        <v>-3.615749E-2</v>
      </c>
      <c r="U7774">
        <v>-0.3321228</v>
      </c>
      <c r="V7774">
        <v>-0.24040880000000001</v>
      </c>
      <c r="W7774">
        <v>0.1073143</v>
      </c>
      <c r="X7774">
        <v>0.9647213</v>
      </c>
      <c r="Y7774">
        <v>-0.26952019999999999</v>
      </c>
      <c r="Z7774">
        <v>3.7228119999999998E-3</v>
      </c>
      <c r="AA7774">
        <v>0.9629875</v>
      </c>
      <c r="AB7774">
        <v>15</v>
      </c>
      <c r="AC7774">
        <v>97.313199999999995</v>
      </c>
      <c r="AD7774">
        <v>-1.173108</v>
      </c>
      <c r="AE7774">
        <v>-10.746189999999901</v>
      </c>
      <c r="AF7774">
        <v>-26.406416912405199</v>
      </c>
      <c r="AG7774">
        <v>-1.173108</v>
      </c>
      <c r="AH7774">
        <v>94.261810228074907</v>
      </c>
      <c r="AI7774">
        <v>90.686591524867794</v>
      </c>
      <c r="AJ7774">
        <v>105.64963562608</v>
      </c>
      <c r="AK7774">
        <v>97.897721648693306</v>
      </c>
      <c r="AL7774">
        <v>83.839480060709306</v>
      </c>
      <c r="AM7774">
        <v>103.993109096068</v>
      </c>
      <c r="AN7774">
        <v>0.99999996838780902</v>
      </c>
    </row>
    <row r="7775" spans="1:40" x14ac:dyDescent="0.25">
      <c r="A7775" t="str">
        <f>"20190303162107930"</f>
        <v>20190303162107930</v>
      </c>
      <c r="B7775" t="str">
        <f>"1551601267920589"</f>
        <v>1551601267920589</v>
      </c>
      <c r="C7775" t="s">
        <v>40</v>
      </c>
      <c r="D7775">
        <v>5.0297989999999997</v>
      </c>
      <c r="E7775">
        <v>0.48796329999999999</v>
      </c>
      <c r="F7775" t="s">
        <v>44</v>
      </c>
      <c r="G7775">
        <v>-309.76679999999999</v>
      </c>
      <c r="H7775">
        <v>-0.05</v>
      </c>
      <c r="I7775">
        <v>10.90559</v>
      </c>
      <c r="J7775">
        <v>-404.87670000000003</v>
      </c>
      <c r="K7775">
        <v>1.1230960000000001</v>
      </c>
      <c r="L7775">
        <v>21.31363</v>
      </c>
      <c r="M7775">
        <v>0.9285814</v>
      </c>
      <c r="N7775">
        <v>-9.2109840000000002E-3</v>
      </c>
      <c r="O7775">
        <v>-0.37101499999999998</v>
      </c>
      <c r="P7775">
        <v>0.98557419999999996</v>
      </c>
      <c r="Q7775">
        <v>9.9421229999999999E-2</v>
      </c>
      <c r="R7775">
        <v>-0.13696320000000001</v>
      </c>
      <c r="S7775">
        <v>3.002075</v>
      </c>
      <c r="T7775">
        <v>-3.6993980000000003E-2</v>
      </c>
      <c r="U7775">
        <v>-0.32922360000000001</v>
      </c>
      <c r="V7775">
        <v>-0.23900440000000001</v>
      </c>
      <c r="W7775">
        <v>0.1071778</v>
      </c>
      <c r="X7775">
        <v>0.96508539999999998</v>
      </c>
      <c r="Y7775">
        <v>-0.2675535</v>
      </c>
      <c r="Z7775">
        <v>3.8425949999999999E-3</v>
      </c>
      <c r="AA7775">
        <v>0.96353540000000004</v>
      </c>
      <c r="AB7775">
        <v>15</v>
      </c>
      <c r="AC7775">
        <v>95.109899999999996</v>
      </c>
      <c r="AD7775">
        <v>-1.1730959999999999</v>
      </c>
      <c r="AE7775">
        <v>-10.40804</v>
      </c>
      <c r="AF7775">
        <v>-25.6197178020564</v>
      </c>
      <c r="AG7775">
        <v>-1.1730959999999999</v>
      </c>
      <c r="AH7775">
        <v>92.168859960681402</v>
      </c>
      <c r="AI7775">
        <v>90.702569059115902</v>
      </c>
      <c r="AJ7775">
        <v>105.534069517291</v>
      </c>
      <c r="AK7775">
        <v>95.670501414667598</v>
      </c>
      <c r="AL7775">
        <v>83.847346539743199</v>
      </c>
      <c r="AM7775">
        <v>103.909504758363</v>
      </c>
      <c r="AN7775">
        <v>1.00000000666268</v>
      </c>
    </row>
    <row r="7776" spans="1:40" x14ac:dyDescent="0.25">
      <c r="A7776" t="str">
        <f>"20190303162107947"</f>
        <v>20190303162107947</v>
      </c>
      <c r="B7776" t="str">
        <f>"1551601267941084"</f>
        <v>1551601267941084</v>
      </c>
      <c r="C7776" t="s">
        <v>40</v>
      </c>
      <c r="D7776">
        <v>5.0307149999999998</v>
      </c>
      <c r="E7776">
        <v>0.48824469999999998</v>
      </c>
      <c r="F7776" t="s">
        <v>44</v>
      </c>
      <c r="G7776">
        <v>-309.37200000000001</v>
      </c>
      <c r="H7776">
        <v>-0.05</v>
      </c>
      <c r="I7776">
        <v>10.95848</v>
      </c>
      <c r="J7776">
        <v>-404.76280000000003</v>
      </c>
      <c r="K7776">
        <v>1.1230869999999999</v>
      </c>
      <c r="L7776">
        <v>21.27289</v>
      </c>
      <c r="M7776">
        <v>0.93000240000000001</v>
      </c>
      <c r="N7776">
        <v>-9.1798880000000006E-3</v>
      </c>
      <c r="O7776">
        <v>-0.36743890000000001</v>
      </c>
      <c r="P7776">
        <v>0.98576779999999997</v>
      </c>
      <c r="Q7776">
        <v>9.9239419999999995E-2</v>
      </c>
      <c r="R7776">
        <v>-0.13569579999999901</v>
      </c>
      <c r="S7776">
        <v>3.0023499999999999</v>
      </c>
      <c r="T7776">
        <v>-3.6878229999999998E-2</v>
      </c>
      <c r="U7776">
        <v>-0.32553100000000001</v>
      </c>
      <c r="V7776">
        <v>-0.2365332</v>
      </c>
      <c r="W7776">
        <v>0.1069867</v>
      </c>
      <c r="X7776">
        <v>0.9657152</v>
      </c>
      <c r="Y7776">
        <v>-0.26502589999999998</v>
      </c>
      <c r="Z7776">
        <v>3.7981220000000001E-3</v>
      </c>
      <c r="AA7776">
        <v>0.96423380000000003</v>
      </c>
      <c r="AB7776">
        <v>15</v>
      </c>
      <c r="AC7776">
        <v>95.390799999999999</v>
      </c>
      <c r="AD7776">
        <v>-1.173087</v>
      </c>
      <c r="AE7776">
        <v>-10.314410000000001</v>
      </c>
      <c r="AF7776">
        <v>-25.455131118703399</v>
      </c>
      <c r="AG7776">
        <v>-1.173087</v>
      </c>
      <c r="AH7776">
        <v>92.493656154418204</v>
      </c>
      <c r="AI7776">
        <v>90.700592608814901</v>
      </c>
      <c r="AJ7776">
        <v>105.387409172913</v>
      </c>
      <c r="AK7776">
        <v>95.939649062270902</v>
      </c>
      <c r="AL7776">
        <v>83.858358907327798</v>
      </c>
      <c r="AM7776">
        <v>103.76254927343901</v>
      </c>
      <c r="AN7776">
        <v>0.99999997809508401</v>
      </c>
    </row>
    <row r="7777" spans="1:40" x14ac:dyDescent="0.25">
      <c r="A7777" t="str">
        <f>"20190303162107969"</f>
        <v>20190303162107969</v>
      </c>
      <c r="B7777" t="str">
        <f>"1551601267960604"</f>
        <v>1551601267960604</v>
      </c>
      <c r="C7777" t="s">
        <v>40</v>
      </c>
      <c r="D7777">
        <v>5.0871440000000003</v>
      </c>
      <c r="E7777">
        <v>0.48841770000000001</v>
      </c>
      <c r="F7777" t="s">
        <v>44</v>
      </c>
      <c r="G7777">
        <v>-312.16419999999999</v>
      </c>
      <c r="H7777">
        <v>-0.05</v>
      </c>
      <c r="I7777">
        <v>11.286250000000001</v>
      </c>
      <c r="J7777">
        <v>-404.62599999999998</v>
      </c>
      <c r="K7777">
        <v>1.12307</v>
      </c>
      <c r="L7777">
        <v>21.224640000000001</v>
      </c>
      <c r="M7777">
        <v>0.93167460000000002</v>
      </c>
      <c r="N7777">
        <v>-9.1475879999999999E-3</v>
      </c>
      <c r="O7777">
        <v>-0.36317880000000002</v>
      </c>
      <c r="P7777">
        <v>0.98600169999999998</v>
      </c>
      <c r="Q7777">
        <v>9.8920419999999995E-2</v>
      </c>
      <c r="R7777">
        <v>-0.1342216</v>
      </c>
      <c r="S7777">
        <v>3.0025629999999999</v>
      </c>
      <c r="T7777">
        <v>-3.8038019999999999E-2</v>
      </c>
      <c r="U7777">
        <v>-0.323822</v>
      </c>
      <c r="V7777">
        <v>-0.23356089999999999</v>
      </c>
      <c r="W7777">
        <v>0.1066619</v>
      </c>
      <c r="X7777">
        <v>0.96647430000000001</v>
      </c>
      <c r="Y7777">
        <v>-0.26115899999999997</v>
      </c>
      <c r="Z7777">
        <v>3.9440609999999996E-3</v>
      </c>
      <c r="AA7777">
        <v>0.96528769999999997</v>
      </c>
      <c r="AB7777">
        <v>15</v>
      </c>
      <c r="AC7777">
        <v>92.461799999999897</v>
      </c>
      <c r="AD7777">
        <v>-1.1730700000000001</v>
      </c>
      <c r="AE7777">
        <v>-9.9383900000000001</v>
      </c>
      <c r="AF7777">
        <v>-24.317967142565902</v>
      </c>
      <c r="AG7777">
        <v>-1.1730700000000001</v>
      </c>
      <c r="AH7777">
        <v>89.743194724738999</v>
      </c>
      <c r="AI7777">
        <v>90.722829524679298</v>
      </c>
      <c r="AJ7777">
        <v>105.16151398021501</v>
      </c>
      <c r="AK7777">
        <v>92.986991663211896</v>
      </c>
      <c r="AL7777">
        <v>83.877075895072693</v>
      </c>
      <c r="AM7777">
        <v>103.58578270290499</v>
      </c>
      <c r="AN7777">
        <v>1.0000000137404501</v>
      </c>
    </row>
    <row r="7778" spans="1:40" x14ac:dyDescent="0.25">
      <c r="A7778" t="str">
        <f>"20190303162107982"</f>
        <v>20190303162107982</v>
      </c>
      <c r="B7778" t="str">
        <f>"1551601267970365"</f>
        <v>1551601267970365</v>
      </c>
      <c r="C7778" t="s">
        <v>40</v>
      </c>
      <c r="D7778">
        <v>5.0901610000000002</v>
      </c>
      <c r="E7778">
        <v>0.48854110000000001</v>
      </c>
      <c r="F7778" t="s">
        <v>44</v>
      </c>
      <c r="G7778">
        <v>-313.67469999999997</v>
      </c>
      <c r="H7778">
        <v>-0.05</v>
      </c>
      <c r="I7778">
        <v>11.52684</v>
      </c>
      <c r="J7778">
        <v>-404.54180000000002</v>
      </c>
      <c r="K7778">
        <v>1.123059</v>
      </c>
      <c r="L7778">
        <v>21.195219999999999</v>
      </c>
      <c r="M7778">
        <v>0.93268790000000001</v>
      </c>
      <c r="N7778">
        <v>-9.1299410000000008E-3</v>
      </c>
      <c r="O7778">
        <v>-0.36056870000000002</v>
      </c>
      <c r="P7778">
        <v>0.98616110000000001</v>
      </c>
      <c r="Q7778">
        <v>9.8734260000000004E-2</v>
      </c>
      <c r="R7778">
        <v>-0.1331851</v>
      </c>
      <c r="S7778">
        <v>3.0029300000000001</v>
      </c>
      <c r="T7778">
        <v>-3.8731099999999997E-2</v>
      </c>
      <c r="U7778">
        <v>-0.32019039999999999</v>
      </c>
      <c r="V7778">
        <v>-0.231874</v>
      </c>
      <c r="W7778">
        <v>0.10647280000000001</v>
      </c>
      <c r="X7778">
        <v>0.96690120000000002</v>
      </c>
      <c r="Y7778">
        <v>-0.2596214</v>
      </c>
      <c r="Z7778">
        <v>4.0368100000000001E-3</v>
      </c>
      <c r="AA7778">
        <v>0.96570210000000001</v>
      </c>
      <c r="AB7778">
        <v>15</v>
      </c>
      <c r="AC7778">
        <v>90.867099999999994</v>
      </c>
      <c r="AD7778">
        <v>-1.1730590000000001</v>
      </c>
      <c r="AE7778">
        <v>-9.6683800000000009</v>
      </c>
      <c r="AF7778">
        <v>-23.743329754404598</v>
      </c>
      <c r="AG7778">
        <v>-1.1730590000000001</v>
      </c>
      <c r="AH7778">
        <v>88.225904765664296</v>
      </c>
      <c r="AI7778">
        <v>90.735595317273194</v>
      </c>
      <c r="AJ7778">
        <v>105.06255474394</v>
      </c>
      <c r="AK7778">
        <v>91.372490646605101</v>
      </c>
      <c r="AL7778">
        <v>83.887972308498604</v>
      </c>
      <c r="AM7778">
        <v>103.485519283299</v>
      </c>
      <c r="AN7778">
        <v>0.99999996978863903</v>
      </c>
    </row>
    <row r="7779" spans="1:40" x14ac:dyDescent="0.25">
      <c r="A7779" t="str">
        <f>"20190303162107994"</f>
        <v>20190303162107994</v>
      </c>
      <c r="B7779" t="str">
        <f>"1551601267990861"</f>
        <v>1551601267990861</v>
      </c>
      <c r="C7779" t="s">
        <v>40</v>
      </c>
      <c r="D7779">
        <v>5.0311190000000003</v>
      </c>
      <c r="E7779">
        <v>0.48868230000000001</v>
      </c>
      <c r="F7779" t="s">
        <v>44</v>
      </c>
      <c r="G7779">
        <v>-315.35109999999997</v>
      </c>
      <c r="H7779">
        <v>-0.05</v>
      </c>
      <c r="I7779">
        <v>11.75916</v>
      </c>
      <c r="J7779">
        <v>-404.45859999999999</v>
      </c>
      <c r="K7779">
        <v>1.123049</v>
      </c>
      <c r="L7779">
        <v>21.16647</v>
      </c>
      <c r="M7779">
        <v>0.93367529999999999</v>
      </c>
      <c r="N7779">
        <v>-9.1143869999999998E-3</v>
      </c>
      <c r="O7779">
        <v>-0.35800490000000001</v>
      </c>
      <c r="P7779">
        <v>0.9863248</v>
      </c>
      <c r="Q7779">
        <v>9.8839510000000005E-2</v>
      </c>
      <c r="R7779">
        <v>-0.1318878</v>
      </c>
      <c r="S7779">
        <v>3.0031129999999999</v>
      </c>
      <c r="T7779">
        <v>-3.9497730000000002E-2</v>
      </c>
      <c r="U7779">
        <v>-0.31771850000000001</v>
      </c>
      <c r="V7779">
        <v>-0.23048299999999999</v>
      </c>
      <c r="W7779">
        <v>0.10657469999999999</v>
      </c>
      <c r="X7779">
        <v>0.96722249999999999</v>
      </c>
      <c r="Y7779">
        <v>-0.25775879999999901</v>
      </c>
      <c r="Z7779">
        <v>4.135868E-3</v>
      </c>
      <c r="AA7779">
        <v>0.96620050000000002</v>
      </c>
      <c r="AB7779">
        <v>15</v>
      </c>
      <c r="AC7779">
        <v>89.107500000000002</v>
      </c>
      <c r="AD7779">
        <v>-1.173049</v>
      </c>
      <c r="AE7779">
        <v>-9.4073100000000007</v>
      </c>
      <c r="AF7779">
        <v>-23.114545575750299</v>
      </c>
      <c r="AG7779">
        <v>-1.173049</v>
      </c>
      <c r="AH7779">
        <v>86.554089677878693</v>
      </c>
      <c r="AI7779">
        <v>90.750183131405294</v>
      </c>
      <c r="AJ7779">
        <v>104.952090947893</v>
      </c>
      <c r="AK7779">
        <v>89.595026095738703</v>
      </c>
      <c r="AL7779">
        <v>83.882100473527601</v>
      </c>
      <c r="AM7779">
        <v>103.403256684761</v>
      </c>
      <c r="AN7779">
        <v>0.99999997223766901</v>
      </c>
    </row>
    <row r="7780" spans="1:40" x14ac:dyDescent="0.25">
      <c r="A7780" t="str">
        <f>"20190303162108007"</f>
        <v>20190303162108007</v>
      </c>
      <c r="B7780" t="str">
        <f>"1551601268000620"</f>
        <v>1551601268000620</v>
      </c>
      <c r="C7780" t="s">
        <v>40</v>
      </c>
      <c r="D7780">
        <v>4.7720459999999996</v>
      </c>
      <c r="E7780">
        <v>0.48838500000000001</v>
      </c>
      <c r="F7780" t="s">
        <v>44</v>
      </c>
      <c r="G7780">
        <v>-311.9239</v>
      </c>
      <c r="H7780">
        <v>-0.05</v>
      </c>
      <c r="I7780">
        <v>11.46759</v>
      </c>
      <c r="J7780">
        <v>-404.37580000000003</v>
      </c>
      <c r="K7780">
        <v>1.123038</v>
      </c>
      <c r="L7780">
        <v>21.138000000000002</v>
      </c>
      <c r="M7780">
        <v>0.93464689999999995</v>
      </c>
      <c r="N7780">
        <v>-9.0999449999999999E-3</v>
      </c>
      <c r="O7780">
        <v>-0.35546080000000002</v>
      </c>
      <c r="P7780">
        <v>0.98651009999999995</v>
      </c>
      <c r="Q7780">
        <v>9.8586160000000006E-2</v>
      </c>
      <c r="R7780">
        <v>-0.13068450000000001</v>
      </c>
      <c r="S7780">
        <v>3.0033259999999999</v>
      </c>
      <c r="T7780">
        <v>-3.8072710000000003E-2</v>
      </c>
      <c r="U7780">
        <v>-0.31478879999999998</v>
      </c>
      <c r="V7780">
        <v>-0.2290343</v>
      </c>
      <c r="W7780">
        <v>0.1063187</v>
      </c>
      <c r="X7780">
        <v>0.96759470000000003</v>
      </c>
      <c r="Y7780">
        <v>-0.25606909999999999</v>
      </c>
      <c r="Z7780">
        <v>3.8885819999999998E-3</v>
      </c>
      <c r="AA7780">
        <v>0.96665069999999997</v>
      </c>
      <c r="AB7780">
        <v>15</v>
      </c>
      <c r="AC7780">
        <v>92.451899999999995</v>
      </c>
      <c r="AD7780">
        <v>-1.173038</v>
      </c>
      <c r="AE7780">
        <v>-9.6704100000000004</v>
      </c>
      <c r="AF7780">
        <v>-23.821800401738699</v>
      </c>
      <c r="AG7780">
        <v>-1.173038</v>
      </c>
      <c r="AH7780">
        <v>89.836746878617006</v>
      </c>
      <c r="AI7780">
        <v>90.723106152430702</v>
      </c>
      <c r="AJ7780">
        <v>104.851202832594</v>
      </c>
      <c r="AK7780">
        <v>92.948885320171698</v>
      </c>
      <c r="AL7780">
        <v>83.896851808242303</v>
      </c>
      <c r="AM7780">
        <v>103.317081317256</v>
      </c>
      <c r="AN7780">
        <v>0.99999994000713299</v>
      </c>
    </row>
    <row r="7781" spans="1:40" x14ac:dyDescent="0.25">
      <c r="A7781" t="str">
        <f>"20190303162108024"</f>
        <v>20190303162108024</v>
      </c>
      <c r="B7781" t="str">
        <f>"1551601268010381"</f>
        <v>1551601268010381</v>
      </c>
      <c r="C7781" t="s">
        <v>40</v>
      </c>
      <c r="D7781">
        <v>5.0877089999999896</v>
      </c>
      <c r="E7781">
        <v>0.48850470000000001</v>
      </c>
      <c r="F7781" t="s">
        <v>44</v>
      </c>
      <c r="G7781">
        <v>-304.26600000000002</v>
      </c>
      <c r="H7781">
        <v>-0.05</v>
      </c>
      <c r="I7781">
        <v>10.850770000000001</v>
      </c>
      <c r="J7781">
        <v>-404.26650000000001</v>
      </c>
      <c r="K7781">
        <v>1.123022</v>
      </c>
      <c r="L7781">
        <v>21.1008</v>
      </c>
      <c r="M7781">
        <v>0.9359094</v>
      </c>
      <c r="N7781">
        <v>-9.0831920000000003E-3</v>
      </c>
      <c r="O7781">
        <v>-0.35212379999999999</v>
      </c>
      <c r="P7781">
        <v>0.98668409999999995</v>
      </c>
      <c r="Q7781">
        <v>9.8123920000000003E-2</v>
      </c>
      <c r="R7781">
        <v>-0.1297161</v>
      </c>
      <c r="S7781">
        <v>3.0036619999999998</v>
      </c>
      <c r="T7781">
        <v>-3.519547E-2</v>
      </c>
      <c r="U7781">
        <v>-0.30865479999999901</v>
      </c>
      <c r="V7781">
        <v>-0.22654079999999999</v>
      </c>
      <c r="W7781">
        <v>0.1058606</v>
      </c>
      <c r="X7781">
        <v>0.96823179999999998</v>
      </c>
      <c r="Y7781">
        <v>-0.25458920000000002</v>
      </c>
      <c r="Z7781">
        <v>3.418159E-3</v>
      </c>
      <c r="AA7781">
        <v>0.96704330000000005</v>
      </c>
      <c r="AB7781">
        <v>16</v>
      </c>
      <c r="AC7781">
        <v>100.0005</v>
      </c>
      <c r="AD7781">
        <v>-1.173022</v>
      </c>
      <c r="AE7781">
        <v>-10.250030000000001</v>
      </c>
      <c r="AF7781">
        <v>-25.6170243646953</v>
      </c>
      <c r="AG7781">
        <v>-1.173022</v>
      </c>
      <c r="AH7781">
        <v>97.1914593918017</v>
      </c>
      <c r="AI7781">
        <v>90.668646447540596</v>
      </c>
      <c r="AJ7781">
        <v>104.765792829044</v>
      </c>
      <c r="AK7781">
        <v>100.51759893979801</v>
      </c>
      <c r="AL7781">
        <v>83.923248396176007</v>
      </c>
      <c r="AM7781">
        <v>103.168814544895</v>
      </c>
      <c r="AN7781">
        <v>1.0000000096141199</v>
      </c>
    </row>
    <row r="7782" spans="1:40" x14ac:dyDescent="0.25">
      <c r="A7782" t="str">
        <f>"20190303162108036"</f>
        <v>20190303162108036</v>
      </c>
      <c r="B7782" t="str">
        <f>"1551601268030877"</f>
        <v>1551601268030877</v>
      </c>
      <c r="C7782" t="s">
        <v>40</v>
      </c>
      <c r="D7782">
        <v>5.0321420000000003</v>
      </c>
      <c r="E7782">
        <v>0.48861120000000002</v>
      </c>
      <c r="F7782" t="s">
        <v>44</v>
      </c>
      <c r="G7782">
        <v>-309.87389999999999</v>
      </c>
      <c r="H7782">
        <v>-0.05</v>
      </c>
      <c r="I7782">
        <v>11.459379999999999</v>
      </c>
      <c r="J7782">
        <v>-404.18689999999998</v>
      </c>
      <c r="K7782">
        <v>1.123005</v>
      </c>
      <c r="L7782">
        <v>21.074069999999999</v>
      </c>
      <c r="M7782">
        <v>0.93681159999999997</v>
      </c>
      <c r="N7782">
        <v>-9.0726480000000009E-3</v>
      </c>
      <c r="O7782">
        <v>-0.34971629999999998</v>
      </c>
      <c r="P7782">
        <v>0.98689930000000003</v>
      </c>
      <c r="Q7782">
        <v>9.7733390000000003E-2</v>
      </c>
      <c r="R7782">
        <v>-0.12836739999999999</v>
      </c>
      <c r="S7782">
        <v>3.0039060000000002</v>
      </c>
      <c r="T7782">
        <v>-3.7329670000000002E-2</v>
      </c>
      <c r="U7782">
        <v>-0.30682369999999998</v>
      </c>
      <c r="V7782">
        <v>-0.22538469999999999</v>
      </c>
      <c r="W7782">
        <v>0.10547040000000001</v>
      </c>
      <c r="X7782">
        <v>0.96854410000000002</v>
      </c>
      <c r="Y7782">
        <v>-0.25269039999999998</v>
      </c>
      <c r="Z7782">
        <v>3.729516E-3</v>
      </c>
      <c r="AA7782">
        <v>0.96753999999999996</v>
      </c>
      <c r="AB7782">
        <v>16</v>
      </c>
      <c r="AC7782">
        <v>94.313000000000002</v>
      </c>
      <c r="AD7782">
        <v>-1.1730049999999901</v>
      </c>
      <c r="AE7782">
        <v>-9.6146899999999995</v>
      </c>
      <c r="AF7782">
        <v>-23.972959576943701</v>
      </c>
      <c r="AG7782">
        <v>-1.1730049999999901</v>
      </c>
      <c r="AH7782">
        <v>91.705671538275595</v>
      </c>
      <c r="AI7782">
        <v>90.709006402198099</v>
      </c>
      <c r="AJ7782">
        <v>104.649967079319</v>
      </c>
      <c r="AK7782">
        <v>94.794561678895306</v>
      </c>
      <c r="AL7782">
        <v>83.945730838440895</v>
      </c>
      <c r="AM7782">
        <v>103.099855646995</v>
      </c>
      <c r="AN7782">
        <v>0.99999997095752902</v>
      </c>
    </row>
    <row r="7783" spans="1:40" x14ac:dyDescent="0.25">
      <c r="A7783" t="str">
        <f>"20190303162108050"</f>
        <v>20190303162108050</v>
      </c>
      <c r="B7783" t="str">
        <f>"1551601268040637"</f>
        <v>1551601268040637</v>
      </c>
      <c r="C7783" t="s">
        <v>40</v>
      </c>
      <c r="D7783">
        <v>5.0312710000000003</v>
      </c>
      <c r="E7783">
        <v>0.4886182</v>
      </c>
      <c r="F7783" t="s">
        <v>44</v>
      </c>
      <c r="G7783">
        <v>-311.04849999999999</v>
      </c>
      <c r="H7783">
        <v>-0.05</v>
      </c>
      <c r="I7783">
        <v>11.666370000000001</v>
      </c>
      <c r="J7783">
        <v>-404.09899999999999</v>
      </c>
      <c r="K7783">
        <v>1.122992</v>
      </c>
      <c r="L7783">
        <v>21.04468</v>
      </c>
      <c r="M7783">
        <v>0.93779509999999999</v>
      </c>
      <c r="N7783">
        <v>-9.0615859999999999E-3</v>
      </c>
      <c r="O7783">
        <v>-0.34707100000000002</v>
      </c>
      <c r="P7783">
        <v>0.98714639999999998</v>
      </c>
      <c r="Q7783">
        <v>9.7333039999999996E-2</v>
      </c>
      <c r="R7783">
        <v>-0.1267616</v>
      </c>
      <c r="S7783">
        <v>3.004089</v>
      </c>
      <c r="T7783">
        <v>-3.783417E-2</v>
      </c>
      <c r="U7783">
        <v>-0.30343629999999999</v>
      </c>
      <c r="V7783">
        <v>-0.22423580000000001</v>
      </c>
      <c r="W7783">
        <v>0.1050712</v>
      </c>
      <c r="X7783">
        <v>0.96885410000000005</v>
      </c>
      <c r="Y7783">
        <v>-0.2510444</v>
      </c>
      <c r="Z7783">
        <v>3.7869420000000002E-3</v>
      </c>
      <c r="AA7783">
        <v>0.96796819999999895</v>
      </c>
      <c r="AB7783">
        <v>16</v>
      </c>
      <c r="AC7783">
        <v>93.0505</v>
      </c>
      <c r="AD7783">
        <v>-1.172992</v>
      </c>
      <c r="AE7783">
        <v>-9.3783100000000008</v>
      </c>
      <c r="AF7783">
        <v>-23.497464881506499</v>
      </c>
      <c r="AG7783">
        <v>-1.172992</v>
      </c>
      <c r="AH7783">
        <v>90.506719206874095</v>
      </c>
      <c r="AI7783">
        <v>90.718703625267906</v>
      </c>
      <c r="AJ7783">
        <v>104.55388603489</v>
      </c>
      <c r="AK7783">
        <v>93.514560297750705</v>
      </c>
      <c r="AL7783">
        <v>83.9687310414443</v>
      </c>
      <c r="AM7783">
        <v>103.03133661609</v>
      </c>
      <c r="AN7783">
        <v>0.99999995907894401</v>
      </c>
    </row>
    <row r="7784" spans="1:40" x14ac:dyDescent="0.25">
      <c r="A7784" t="str">
        <f>"20190303162108062"</f>
        <v>20190303162108062</v>
      </c>
      <c r="B7784" t="str">
        <f>"1551601268050396"</f>
        <v>1551601268050396</v>
      </c>
      <c r="C7784" t="s">
        <v>40</v>
      </c>
      <c r="D7784">
        <v>4.9716469999999999</v>
      </c>
      <c r="E7784">
        <v>0.48860399999999998</v>
      </c>
      <c r="F7784" t="s">
        <v>44</v>
      </c>
      <c r="G7784">
        <v>-313.65289999999999</v>
      </c>
      <c r="H7784">
        <v>-0.05</v>
      </c>
      <c r="I7784">
        <v>12.057460000000001</v>
      </c>
      <c r="J7784">
        <v>-404.01600000000002</v>
      </c>
      <c r="K7784">
        <v>1.1229789999999999</v>
      </c>
      <c r="L7784">
        <v>21.01718</v>
      </c>
      <c r="M7784">
        <v>0.93871079999999996</v>
      </c>
      <c r="N7784">
        <v>-9.0518690000000006E-3</v>
      </c>
      <c r="O7784">
        <v>-0.34458680000000003</v>
      </c>
      <c r="P7784">
        <v>0.98740519999999998</v>
      </c>
      <c r="Q7784">
        <v>9.6749979999999999E-2</v>
      </c>
      <c r="R7784">
        <v>-0.12518109999999999</v>
      </c>
      <c r="S7784">
        <v>3.0046080000000002</v>
      </c>
      <c r="T7784">
        <v>-3.896666E-2</v>
      </c>
      <c r="U7784">
        <v>-0.29855350000000003</v>
      </c>
      <c r="V7784">
        <v>-0.2232354</v>
      </c>
      <c r="W7784">
        <v>0.10448929999999999</v>
      </c>
      <c r="X7784">
        <v>0.96914800000000001</v>
      </c>
      <c r="Y7784">
        <v>-0.25005369999999999</v>
      </c>
      <c r="Z7784">
        <v>3.9464050000000001E-3</v>
      </c>
      <c r="AA7784">
        <v>0.96822390000000003</v>
      </c>
      <c r="AB7784">
        <v>16</v>
      </c>
      <c r="AC7784">
        <v>90.363099999999903</v>
      </c>
      <c r="AD7784">
        <v>-1.172979</v>
      </c>
      <c r="AE7784">
        <v>-8.9597199999999901</v>
      </c>
      <c r="AF7784">
        <v>-22.7244853063733</v>
      </c>
      <c r="AG7784">
        <v>-1.172979</v>
      </c>
      <c r="AH7784">
        <v>87.901155400598498</v>
      </c>
      <c r="AI7784">
        <v>90.740194158471695</v>
      </c>
      <c r="AJ7784">
        <v>104.494929443911</v>
      </c>
      <c r="AK7784">
        <v>90.7986301269694</v>
      </c>
      <c r="AL7784">
        <v>84.002255954895404</v>
      </c>
      <c r="AM7784">
        <v>102.97136880051301</v>
      </c>
      <c r="AN7784">
        <v>0.99999995176582301</v>
      </c>
    </row>
    <row r="7785" spans="1:40" x14ac:dyDescent="0.25">
      <c r="A7785" t="str">
        <f>"20190303162108081"</f>
        <v>20190303162108081</v>
      </c>
      <c r="B7785" t="str">
        <f>"1551601268070893"</f>
        <v>1551601268070893</v>
      </c>
      <c r="C7785" t="s">
        <v>40</v>
      </c>
      <c r="D7785">
        <v>4.9678570000000004</v>
      </c>
      <c r="E7785">
        <v>0.4888171</v>
      </c>
      <c r="F7785" t="s">
        <v>41</v>
      </c>
      <c r="G7785">
        <v>-320.92720000000003</v>
      </c>
      <c r="H7785" s="1">
        <v>-5.4604920000000003E-6</v>
      </c>
      <c r="I7785">
        <v>12.900589999999999</v>
      </c>
      <c r="J7785">
        <v>-403.89370000000002</v>
      </c>
      <c r="K7785">
        <v>1.122959</v>
      </c>
      <c r="L7785">
        <v>20.977080000000001</v>
      </c>
      <c r="M7785">
        <v>0.94003340000000002</v>
      </c>
      <c r="N7785">
        <v>-9.0389919999999992E-3</v>
      </c>
      <c r="O7785">
        <v>-0.3409624</v>
      </c>
      <c r="P7785">
        <v>0.98770460000000004</v>
      </c>
      <c r="Q7785">
        <v>9.6121159999999997E-2</v>
      </c>
      <c r="R7785">
        <v>-0.1232901</v>
      </c>
      <c r="S7785">
        <v>3.0050349999999999</v>
      </c>
      <c r="T7785">
        <v>-4.0614490000000003E-2</v>
      </c>
      <c r="U7785">
        <v>-0.29354859999999999</v>
      </c>
      <c r="V7785">
        <v>-0.2213649</v>
      </c>
      <c r="W7785">
        <v>0.103868</v>
      </c>
      <c r="X7785">
        <v>0.96964379999999994</v>
      </c>
      <c r="Y7785">
        <v>-0.24792520000000001</v>
      </c>
      <c r="Z7785">
        <v>4.1667500000000003E-3</v>
      </c>
      <c r="AA7785">
        <v>0.96877020000000003</v>
      </c>
      <c r="AB7785">
        <v>16</v>
      </c>
      <c r="AC7785">
        <v>82.966499999999996</v>
      </c>
      <c r="AD7785">
        <v>-1.1229644604919999</v>
      </c>
      <c r="AE7785">
        <v>-8.0764899999999908</v>
      </c>
      <c r="AF7785">
        <v>-20.693378190684999</v>
      </c>
      <c r="AG7785">
        <v>-1.1229644604919999</v>
      </c>
      <c r="AH7785">
        <v>80.733713528304406</v>
      </c>
      <c r="AI7785">
        <v>90.771952069975796</v>
      </c>
      <c r="AJ7785">
        <v>104.376350896527</v>
      </c>
      <c r="AK7785">
        <v>83.351121469315402</v>
      </c>
      <c r="AL7785">
        <v>84.038049112792606</v>
      </c>
      <c r="AM7785">
        <v>102.85995270308101</v>
      </c>
      <c r="AN7785">
        <v>1.0000000396272199</v>
      </c>
    </row>
    <row r="7786" spans="1:40" x14ac:dyDescent="0.25">
      <c r="A7786" t="str">
        <f>"20190303162108096"</f>
        <v>20190303162108096</v>
      </c>
      <c r="B7786" t="str">
        <f>"1551601268092365"</f>
        <v>1551601268092365</v>
      </c>
      <c r="C7786" t="s">
        <v>40</v>
      </c>
      <c r="D7786">
        <v>5.0299259999999997</v>
      </c>
      <c r="E7786">
        <v>0.4889211</v>
      </c>
      <c r="F7786" t="s">
        <v>41</v>
      </c>
      <c r="G7786">
        <v>-326.38639999999998</v>
      </c>
      <c r="H7786" s="1">
        <v>-2.9968989999999998E-6</v>
      </c>
      <c r="I7786">
        <v>13.509040000000001</v>
      </c>
      <c r="J7786">
        <v>-403.79500000000002</v>
      </c>
      <c r="K7786">
        <v>1.12294</v>
      </c>
      <c r="L7786">
        <v>20.945070000000001</v>
      </c>
      <c r="M7786">
        <v>0.94108020000000003</v>
      </c>
      <c r="N7786">
        <v>-9.0296660000000004E-3</v>
      </c>
      <c r="O7786">
        <v>-0.33806310000000001</v>
      </c>
      <c r="P7786">
        <v>0.98794139999999997</v>
      </c>
      <c r="Q7786">
        <v>9.625388E-2</v>
      </c>
      <c r="R7786">
        <v>-0.1212723</v>
      </c>
      <c r="S7786">
        <v>3.0054319999999999</v>
      </c>
      <c r="T7786">
        <v>-4.3544050000000001E-2</v>
      </c>
      <c r="U7786">
        <v>-0.28958129999999999</v>
      </c>
      <c r="V7786">
        <v>-0.22034899999999999</v>
      </c>
      <c r="W7786">
        <v>0.1040046</v>
      </c>
      <c r="X7786">
        <v>0.96986050000000001</v>
      </c>
      <c r="Y7786">
        <v>-0.24621219999999999</v>
      </c>
      <c r="Z7786">
        <v>4.5820890000000001E-3</v>
      </c>
      <c r="AA7786">
        <v>0.96920510000000004</v>
      </c>
      <c r="AB7786">
        <v>16</v>
      </c>
      <c r="AC7786">
        <v>77.408600000000007</v>
      </c>
      <c r="AD7786">
        <v>-1.1229429968989999</v>
      </c>
      <c r="AE7786">
        <v>-7.4360299999999997</v>
      </c>
      <c r="AF7786">
        <v>-19.1678740856267</v>
      </c>
      <c r="AG7786">
        <v>-1.1229429968989999</v>
      </c>
      <c r="AH7786">
        <v>75.348903680295393</v>
      </c>
      <c r="AI7786">
        <v>90.827478761072896</v>
      </c>
      <c r="AJ7786">
        <v>104.272635166378</v>
      </c>
      <c r="AK7786">
        <v>77.756836893993906</v>
      </c>
      <c r="AL7786">
        <v>84.030179736259996</v>
      </c>
      <c r="AM7786">
        <v>102.80011800442701</v>
      </c>
      <c r="AN7786">
        <v>1.0000000140412</v>
      </c>
    </row>
    <row r="7787" spans="1:40" x14ac:dyDescent="0.25">
      <c r="A7787" t="str">
        <f>"20190303162108113"</f>
        <v>20190303162108113</v>
      </c>
      <c r="B7787" t="str">
        <f>"1551601268100173"</f>
        <v>1551601268100173</v>
      </c>
      <c r="C7787" t="s">
        <v>40</v>
      </c>
      <c r="D7787">
        <v>4.8145290000000003</v>
      </c>
      <c r="E7787">
        <v>0.48907040000000002</v>
      </c>
      <c r="F7787" t="s">
        <v>41</v>
      </c>
      <c r="G7787">
        <v>-325.23590000000002</v>
      </c>
      <c r="H7787" s="1">
        <v>-3.4363E-6</v>
      </c>
      <c r="I7787">
        <v>13.51801</v>
      </c>
      <c r="J7787">
        <v>-403.67619999999999</v>
      </c>
      <c r="K7787">
        <v>1.1229199999999999</v>
      </c>
      <c r="L7787">
        <v>20.90692</v>
      </c>
      <c r="M7787">
        <v>0.94231509999999996</v>
      </c>
      <c r="N7787">
        <v>-9.0195459999999998E-3</v>
      </c>
      <c r="O7787">
        <v>-0.33460600000000001</v>
      </c>
      <c r="P7787">
        <v>0.98814429999999998</v>
      </c>
      <c r="Q7787">
        <v>9.6140580000000003E-2</v>
      </c>
      <c r="R7787">
        <v>-0.1196999</v>
      </c>
      <c r="S7787">
        <v>3.00589</v>
      </c>
      <c r="T7787">
        <v>-4.2966959999999998E-2</v>
      </c>
      <c r="U7787">
        <v>-0.28417969999999998</v>
      </c>
      <c r="V7787">
        <v>-0.218329</v>
      </c>
      <c r="W7787">
        <v>0.1039031</v>
      </c>
      <c r="X7787">
        <v>0.97032810000000003</v>
      </c>
      <c r="Y7787">
        <v>-0.2443951</v>
      </c>
      <c r="Z7787">
        <v>4.4620709999999997E-3</v>
      </c>
      <c r="AA7787">
        <v>0.96966549999999996</v>
      </c>
      <c r="AB7787">
        <v>16</v>
      </c>
      <c r="AC7787">
        <v>78.440299999999894</v>
      </c>
      <c r="AD7787">
        <v>-1.1229234363</v>
      </c>
      <c r="AE7787">
        <v>-7.3889099999999903</v>
      </c>
      <c r="AF7787">
        <v>-19.280778740515601</v>
      </c>
      <c r="AG7787">
        <v>-1.1229234363</v>
      </c>
      <c r="AH7787">
        <v>76.375435058505602</v>
      </c>
      <c r="AI7787">
        <v>90.816721571169097</v>
      </c>
      <c r="AJ7787">
        <v>104.168143507864</v>
      </c>
      <c r="AK7787">
        <v>78.779543450444805</v>
      </c>
      <c r="AL7787">
        <v>84.036026937216505</v>
      </c>
      <c r="AM7787">
        <v>102.68067448037201</v>
      </c>
      <c r="AN7787">
        <v>1.00000001404011</v>
      </c>
    </row>
    <row r="7788" spans="1:40" x14ac:dyDescent="0.25">
      <c r="A7788" t="str">
        <f>"20190303162108127"</f>
        <v>20190303162108127</v>
      </c>
      <c r="B7788" t="str">
        <f>"1551601268120669"</f>
        <v>1551601268120669</v>
      </c>
      <c r="C7788" t="s">
        <v>40</v>
      </c>
      <c r="D7788">
        <v>4.9729799999999997</v>
      </c>
      <c r="E7788">
        <v>0.48919299999999999</v>
      </c>
      <c r="F7788" t="s">
        <v>41</v>
      </c>
      <c r="G7788">
        <v>-327.25069999999999</v>
      </c>
      <c r="H7788" s="1">
        <v>-2.5928E-6</v>
      </c>
      <c r="I7788">
        <v>13.78035</v>
      </c>
      <c r="J7788">
        <v>-403.58679999999998</v>
      </c>
      <c r="K7788">
        <v>1.12290499999999</v>
      </c>
      <c r="L7788">
        <v>20.878450000000001</v>
      </c>
      <c r="M7788">
        <v>0.94322790000000001</v>
      </c>
      <c r="N7788">
        <v>-9.0126579999999998E-3</v>
      </c>
      <c r="O7788">
        <v>-0.3320244</v>
      </c>
      <c r="P7788">
        <v>0.98838590000000004</v>
      </c>
      <c r="Q7788">
        <v>9.5939839999999998E-2</v>
      </c>
      <c r="R7788">
        <v>-0.1178526</v>
      </c>
      <c r="S7788">
        <v>3.0063170000000001</v>
      </c>
      <c r="T7788">
        <v>-4.4171929999999998E-2</v>
      </c>
      <c r="U7788">
        <v>-0.28033449999999999</v>
      </c>
      <c r="V7788">
        <v>-0.21748709999999999</v>
      </c>
      <c r="W7788">
        <v>0.1037068</v>
      </c>
      <c r="X7788">
        <v>0.97053809999999996</v>
      </c>
      <c r="Y7788">
        <v>-0.24297969999999999</v>
      </c>
      <c r="Z7788">
        <v>4.6152670000000002E-3</v>
      </c>
      <c r="AA7788">
        <v>0.9700204</v>
      </c>
      <c r="AB7788">
        <v>16</v>
      </c>
      <c r="AC7788">
        <v>76.336099999999902</v>
      </c>
      <c r="AD7788">
        <v>-1.1229075928000001</v>
      </c>
      <c r="AE7788">
        <v>-7.0980999999999996</v>
      </c>
      <c r="AF7788">
        <v>-18.647076173491701</v>
      </c>
      <c r="AG7788">
        <v>-1.1229075928000001</v>
      </c>
      <c r="AH7788">
        <v>74.346141159865894</v>
      </c>
      <c r="AI7788">
        <v>90.839323438426405</v>
      </c>
      <c r="AJ7788">
        <v>104.08014712803001</v>
      </c>
      <c r="AK7788">
        <v>76.657178898291605</v>
      </c>
      <c r="AL7788">
        <v>84.0473349340797</v>
      </c>
      <c r="AM7788">
        <v>102.630703023783</v>
      </c>
      <c r="AN7788">
        <v>0.99999997129212903</v>
      </c>
    </row>
    <row r="7789" spans="1:40" x14ac:dyDescent="0.25">
      <c r="A7789" t="str">
        <f>"20190303162108163"</f>
        <v>20190303162108163</v>
      </c>
      <c r="B7789" t="str">
        <f>"1551601268150925"</f>
        <v>1551601268150925</v>
      </c>
      <c r="C7789" t="s">
        <v>40</v>
      </c>
      <c r="D7789">
        <v>4.9743449999999996</v>
      </c>
      <c r="E7789">
        <v>0.48933450000000001</v>
      </c>
      <c r="F7789" t="s">
        <v>41</v>
      </c>
      <c r="G7789">
        <v>-328.24380000000002</v>
      </c>
      <c r="H7789" s="1">
        <v>-2.1607360000000001E-6</v>
      </c>
      <c r="I7789">
        <v>13.97082</v>
      </c>
      <c r="J7789">
        <v>-403.43029999999999</v>
      </c>
      <c r="K7789">
        <v>1.122887</v>
      </c>
      <c r="L7789">
        <v>20.829280000000001</v>
      </c>
      <c r="M7789">
        <v>0.94479000000000002</v>
      </c>
      <c r="N7789">
        <v>-9.002566E-3</v>
      </c>
      <c r="O7789">
        <v>-0.32755269999999997</v>
      </c>
      <c r="P7789">
        <v>0.98872769999999999</v>
      </c>
      <c r="Q7789">
        <v>9.6059919999999993E-2</v>
      </c>
      <c r="R7789">
        <v>-0.11484850000000001</v>
      </c>
      <c r="S7789">
        <v>3.0067439999999999</v>
      </c>
      <c r="T7789">
        <v>-4.4812320000000003E-2</v>
      </c>
      <c r="U7789">
        <v>-0.2756653</v>
      </c>
      <c r="V7789">
        <v>-0.21583040000000001</v>
      </c>
      <c r="W7789">
        <v>0.10383530000000001</v>
      </c>
      <c r="X7789">
        <v>0.97089420000000004</v>
      </c>
      <c r="Y7789">
        <v>-0.2398892</v>
      </c>
      <c r="Z7789">
        <v>4.6546139999999996E-3</v>
      </c>
      <c r="AA7789">
        <v>0.97078909999999996</v>
      </c>
      <c r="AB7789">
        <v>16</v>
      </c>
      <c r="AC7789">
        <v>75.186499999999896</v>
      </c>
      <c r="AD7789">
        <v>-1.1228891607359901</v>
      </c>
      <c r="AE7789">
        <v>-6.8584599999999902</v>
      </c>
      <c r="AF7789">
        <v>-18.144458803234699</v>
      </c>
      <c r="AG7789">
        <v>-1.1228891607359901</v>
      </c>
      <c r="AH7789">
        <v>73.268724206973204</v>
      </c>
      <c r="AI7789">
        <v>90.852283890279907</v>
      </c>
      <c r="AJ7789">
        <v>103.909050355649</v>
      </c>
      <c r="AK7789">
        <v>75.490318665687795</v>
      </c>
      <c r="AL7789">
        <v>84.039932868859196</v>
      </c>
      <c r="AM7789">
        <v>102.53308909580799</v>
      </c>
      <c r="AN7789">
        <v>1.0000000393419399</v>
      </c>
    </row>
    <row r="7790" spans="1:40" x14ac:dyDescent="0.25">
      <c r="A7790" t="str">
        <f>"20190303162108177"</f>
        <v>20190303162108177</v>
      </c>
      <c r="B7790" t="str">
        <f>"1551601268170445"</f>
        <v>1551601268170445</v>
      </c>
      <c r="C7790" t="s">
        <v>40</v>
      </c>
      <c r="D7790">
        <v>5.0359439999999998</v>
      </c>
      <c r="E7790">
        <v>0.48952699999999999</v>
      </c>
      <c r="F7790" t="s">
        <v>41</v>
      </c>
      <c r="G7790">
        <v>-324.82159999999999</v>
      </c>
      <c r="H7790" s="1">
        <v>-3.5102220000000001E-6</v>
      </c>
      <c r="I7790">
        <v>13.838150000000001</v>
      </c>
      <c r="J7790">
        <v>-403.25259999999997</v>
      </c>
      <c r="K7790">
        <v>1.1228739999999999</v>
      </c>
      <c r="L7790">
        <v>20.774349999999998</v>
      </c>
      <c r="M7790">
        <v>0.94651529999999995</v>
      </c>
      <c r="N7790">
        <v>-8.9939689999999992E-3</v>
      </c>
      <c r="O7790">
        <v>-0.32253399999999999</v>
      </c>
      <c r="P7790">
        <v>0.98910120000000001</v>
      </c>
      <c r="Q7790">
        <v>9.6328910000000004E-2</v>
      </c>
      <c r="R7790">
        <v>-0.11135399999999999</v>
      </c>
      <c r="S7790">
        <v>3.0072939999999999</v>
      </c>
      <c r="T7790">
        <v>-4.29579E-2</v>
      </c>
      <c r="U7790">
        <v>-0.26745609999999997</v>
      </c>
      <c r="V7790">
        <v>-0.21409790000000001</v>
      </c>
      <c r="W7790">
        <v>0.10411040000000001</v>
      </c>
      <c r="X7790">
        <v>0.97124820000000001</v>
      </c>
      <c r="Y7790">
        <v>-0.23738519999999999</v>
      </c>
      <c r="Z7790">
        <v>4.3349130000000001E-3</v>
      </c>
      <c r="AA7790">
        <v>0.97140590000000004</v>
      </c>
      <c r="AB7790">
        <v>16</v>
      </c>
      <c r="AC7790">
        <v>78.430999999999898</v>
      </c>
      <c r="AD7790">
        <v>-1.1228775102220001</v>
      </c>
      <c r="AE7790">
        <v>-6.9361999999999897</v>
      </c>
      <c r="AF7790">
        <v>-18.7283907476499</v>
      </c>
      <c r="AG7790">
        <v>-1.1228775102220001</v>
      </c>
      <c r="AH7790">
        <v>76.460833586365993</v>
      </c>
      <c r="AI7790">
        <v>90.8172113818149</v>
      </c>
      <c r="AJ7790">
        <v>103.76310999231301</v>
      </c>
      <c r="AK7790">
        <v>78.729108636015795</v>
      </c>
      <c r="AL7790">
        <v>84.024084527309398</v>
      </c>
      <c r="AM7790">
        <v>102.431234581927</v>
      </c>
      <c r="AN7790">
        <v>0.99999997608790403</v>
      </c>
    </row>
    <row r="7791" spans="1:40" x14ac:dyDescent="0.25">
      <c r="A7791" t="str">
        <f>"20190303162108192"</f>
        <v>20190303162108192</v>
      </c>
      <c r="B7791" t="str">
        <f>"1551601268180205"</f>
        <v>1551601268180205</v>
      </c>
      <c r="C7791" t="s">
        <v>40</v>
      </c>
      <c r="D7791">
        <v>5.0380310000000001</v>
      </c>
      <c r="E7791">
        <v>0.4895793</v>
      </c>
      <c r="F7791" t="s">
        <v>41</v>
      </c>
      <c r="G7791">
        <v>-324.36329999999998</v>
      </c>
      <c r="H7791" s="1">
        <v>-3.6407230000000001E-6</v>
      </c>
      <c r="I7791">
        <v>14.009230000000001</v>
      </c>
      <c r="J7791">
        <v>-403.14760000000001</v>
      </c>
      <c r="K7791">
        <v>1.122876</v>
      </c>
      <c r="L7791">
        <v>20.74231</v>
      </c>
      <c r="M7791">
        <v>0.94751300000000005</v>
      </c>
      <c r="N7791">
        <v>-8.9900929999999993E-3</v>
      </c>
      <c r="O7791">
        <v>-0.31959090000000001</v>
      </c>
      <c r="P7791">
        <v>0.98920300000000005</v>
      </c>
      <c r="Q7791">
        <v>9.6226350000000002E-2</v>
      </c>
      <c r="R7791">
        <v>-0.1105334</v>
      </c>
      <c r="S7791">
        <v>3.0081790000000002</v>
      </c>
      <c r="T7791">
        <v>-4.281712E-2</v>
      </c>
      <c r="U7791">
        <v>-0.2579651</v>
      </c>
      <c r="V7791">
        <v>-0.21188570000000001</v>
      </c>
      <c r="W7791">
        <v>0.104017899999999</v>
      </c>
      <c r="X7791">
        <v>0.97174320000000003</v>
      </c>
      <c r="Y7791">
        <v>-0.23743330000000001</v>
      </c>
      <c r="Z7791">
        <v>4.3033139999999999E-3</v>
      </c>
      <c r="AA7791">
        <v>0.97139430000000004</v>
      </c>
      <c r="AB7791">
        <v>16</v>
      </c>
      <c r="AC7791">
        <v>78.784300000000002</v>
      </c>
      <c r="AD7791">
        <v>-1.1228796407229999</v>
      </c>
      <c r="AE7791">
        <v>-6.7330800000000002</v>
      </c>
      <c r="AF7791">
        <v>-18.796033305213999</v>
      </c>
      <c r="AG7791">
        <v>-1.1228796407229999</v>
      </c>
      <c r="AH7791">
        <v>76.788595963149405</v>
      </c>
      <c r="AI7791">
        <v>90.813756171150303</v>
      </c>
      <c r="AJ7791">
        <v>103.754212225728</v>
      </c>
      <c r="AK7791">
        <v>79.063520012013598</v>
      </c>
      <c r="AL7791">
        <v>84.029413822474893</v>
      </c>
      <c r="AM7791">
        <v>102.30064269031899</v>
      </c>
      <c r="AN7791">
        <v>1.0000000600655601</v>
      </c>
    </row>
    <row r="7792" spans="1:40" x14ac:dyDescent="0.25">
      <c r="A7792" t="str">
        <f>"20190303162108206"</f>
        <v>20190303162108206</v>
      </c>
      <c r="B7792" t="str">
        <f>"1551601268200701"</f>
        <v>1551601268200701</v>
      </c>
      <c r="C7792" t="s">
        <v>40</v>
      </c>
      <c r="D7792">
        <v>4.8240569999999998</v>
      </c>
      <c r="E7792">
        <v>0.48967070000000001</v>
      </c>
      <c r="F7792" t="s">
        <v>41</v>
      </c>
      <c r="G7792">
        <v>-323.86799999999999</v>
      </c>
      <c r="H7792" s="1">
        <v>-3.8727180000000003E-6</v>
      </c>
      <c r="I7792">
        <v>14.01496</v>
      </c>
      <c r="J7792">
        <v>-403.0598</v>
      </c>
      <c r="K7792">
        <v>1.122878</v>
      </c>
      <c r="L7792">
        <v>20.715730000000001</v>
      </c>
      <c r="M7792">
        <v>0.94833650000000003</v>
      </c>
      <c r="N7792">
        <v>-8.9872839999999999E-3</v>
      </c>
      <c r="O7792">
        <v>-0.3171388</v>
      </c>
      <c r="P7792">
        <v>0.98935890000000004</v>
      </c>
      <c r="Q7792">
        <v>9.6304520000000005E-2</v>
      </c>
      <c r="R7792">
        <v>-0.1090624</v>
      </c>
      <c r="S7792">
        <v>3.0083920000000002</v>
      </c>
      <c r="T7792">
        <v>-4.260945E-2</v>
      </c>
      <c r="U7792">
        <v>-0.25527949999999999</v>
      </c>
      <c r="V7792">
        <v>-0.21081430000000001</v>
      </c>
      <c r="W7792">
        <v>0.1040985</v>
      </c>
      <c r="X7792">
        <v>0.97196749999999998</v>
      </c>
      <c r="Y7792">
        <v>-0.23578760000000001</v>
      </c>
      <c r="Z7792">
        <v>4.2449979999999998E-3</v>
      </c>
      <c r="AA7792">
        <v>0.97179530000000003</v>
      </c>
      <c r="AB7792">
        <v>16</v>
      </c>
      <c r="AC7792">
        <v>79.191800000000001</v>
      </c>
      <c r="AD7792">
        <v>-1.1228818727179899</v>
      </c>
      <c r="AE7792">
        <v>-6.7007699999999897</v>
      </c>
      <c r="AF7792">
        <v>-18.757221851426198</v>
      </c>
      <c r="AG7792">
        <v>-1.1228818727179899</v>
      </c>
      <c r="AH7792">
        <v>77.213257681167306</v>
      </c>
      <c r="AI7792">
        <v>90.809627252969406</v>
      </c>
      <c r="AJ7792">
        <v>103.654224461868</v>
      </c>
      <c r="AK7792">
        <v>79.466857223763697</v>
      </c>
      <c r="AL7792">
        <v>84.024770179046897</v>
      </c>
      <c r="AM7792">
        <v>102.23758473907201</v>
      </c>
      <c r="AN7792">
        <v>0.99999999392149497</v>
      </c>
    </row>
    <row r="7793" spans="1:40" x14ac:dyDescent="0.25">
      <c r="A7793" t="str">
        <f>"20190303162108226"</f>
        <v>20190303162108226</v>
      </c>
      <c r="B7793" t="str">
        <f>"1551601268220221"</f>
        <v>1551601268220221</v>
      </c>
      <c r="C7793" t="s">
        <v>40</v>
      </c>
      <c r="D7793">
        <v>4.8301910000000001</v>
      </c>
      <c r="E7793">
        <v>0.4897744</v>
      </c>
      <c r="F7793" t="s">
        <v>41</v>
      </c>
      <c r="G7793">
        <v>-321.8793</v>
      </c>
      <c r="H7793" s="1">
        <v>-4.8267069999999999E-6</v>
      </c>
      <c r="I7793">
        <v>13.93634</v>
      </c>
      <c r="J7793">
        <v>-402.92469999999997</v>
      </c>
      <c r="K7793">
        <v>1.1228860000000001</v>
      </c>
      <c r="L7793">
        <v>20.675419999999999</v>
      </c>
      <c r="M7793">
        <v>0.94958160000000003</v>
      </c>
      <c r="N7793">
        <v>-8.9844279999999992E-3</v>
      </c>
      <c r="O7793">
        <v>-0.31339139999999999</v>
      </c>
      <c r="P7793">
        <v>0.98952700000000005</v>
      </c>
      <c r="Q7793">
        <v>9.6548510000000004E-2</v>
      </c>
      <c r="R7793">
        <v>-0.10730530000000001</v>
      </c>
      <c r="S7793">
        <v>3.0086360000000001</v>
      </c>
      <c r="T7793">
        <v>-4.1615249999999999E-2</v>
      </c>
      <c r="U7793">
        <v>-0.25125120000000001</v>
      </c>
      <c r="V7793">
        <v>-0.20869489999999999</v>
      </c>
      <c r="W7793">
        <v>0.10434889999999999</v>
      </c>
      <c r="X7793">
        <v>0.97239790000000004</v>
      </c>
      <c r="Y7793">
        <v>-0.23325019999999999</v>
      </c>
      <c r="Z7793">
        <v>4.060793E-3</v>
      </c>
      <c r="AA7793">
        <v>0.9724083</v>
      </c>
      <c r="AB7793">
        <v>16</v>
      </c>
      <c r="AC7793">
        <v>81.045399999999901</v>
      </c>
      <c r="AD7793">
        <v>-1.1228908267069999</v>
      </c>
      <c r="AE7793">
        <v>-6.7390800000000004</v>
      </c>
      <c r="AF7793">
        <v>-18.996769235008099</v>
      </c>
      <c r="AG7793">
        <v>-1.1228908267069999</v>
      </c>
      <c r="AH7793">
        <v>79.0593054129737</v>
      </c>
      <c r="AI7793">
        <v>90.791208120725599</v>
      </c>
      <c r="AJ7793">
        <v>103.511175001457</v>
      </c>
      <c r="AK7793">
        <v>81.317352991589104</v>
      </c>
      <c r="AL7793">
        <v>84.010344579692003</v>
      </c>
      <c r="AM7793">
        <v>102.113004051131</v>
      </c>
      <c r="AN7793">
        <v>0.99999996507081401</v>
      </c>
    </row>
    <row r="7794" spans="1:40" x14ac:dyDescent="0.25">
      <c r="A7794" t="str">
        <f>"20190303162108237"</f>
        <v>20190303162108237</v>
      </c>
      <c r="B7794" t="str">
        <f>"1551601268230956"</f>
        <v>1551601268230956</v>
      </c>
      <c r="C7794" t="s">
        <v>40</v>
      </c>
      <c r="D7794">
        <v>4.8364760000000002</v>
      </c>
      <c r="E7794">
        <v>0.48983559999999998</v>
      </c>
      <c r="F7794" t="s">
        <v>44</v>
      </c>
      <c r="G7794">
        <v>-314.82769999999999</v>
      </c>
      <c r="H7794">
        <v>-0.05</v>
      </c>
      <c r="I7794">
        <v>13.461329999999901</v>
      </c>
      <c r="J7794">
        <v>-402.83909999999997</v>
      </c>
      <c r="K7794">
        <v>1.1228849999999999</v>
      </c>
      <c r="L7794">
        <v>20.650179999999999</v>
      </c>
      <c r="M7794">
        <v>0.95035990000000004</v>
      </c>
      <c r="N7794">
        <v>-8.9834700000000003E-3</v>
      </c>
      <c r="O7794">
        <v>-0.311023299999999</v>
      </c>
      <c r="P7794">
        <v>0.98966759999999998</v>
      </c>
      <c r="Q7794">
        <v>9.6702259999999998E-2</v>
      </c>
      <c r="R7794">
        <v>-0.1058632</v>
      </c>
      <c r="S7794">
        <v>3.008972</v>
      </c>
      <c r="T7794">
        <v>-4.0060159999999997E-2</v>
      </c>
      <c r="U7794">
        <v>-0.2463989</v>
      </c>
      <c r="V7794">
        <v>-0.2076857</v>
      </c>
      <c r="W7794">
        <v>0.1045045</v>
      </c>
      <c r="X7794">
        <v>0.9725973</v>
      </c>
      <c r="Y7794">
        <v>-0.2323955</v>
      </c>
      <c r="Z7794">
        <v>3.8243399999999999E-3</v>
      </c>
      <c r="AA7794">
        <v>0.97261390000000003</v>
      </c>
      <c r="AB7794">
        <v>16</v>
      </c>
      <c r="AC7794">
        <v>88.011399999999895</v>
      </c>
      <c r="AD7794">
        <v>-1.172885</v>
      </c>
      <c r="AE7794">
        <v>-7.1888500000000004</v>
      </c>
      <c r="AF7794">
        <v>-20.538805405976401</v>
      </c>
      <c r="AG7794">
        <v>-1.172885</v>
      </c>
      <c r="AH7794">
        <v>85.866716347122093</v>
      </c>
      <c r="AI7794">
        <v>90.761107944513</v>
      </c>
      <c r="AJ7794">
        <v>103.452061320627</v>
      </c>
      <c r="AK7794">
        <v>88.296722266259195</v>
      </c>
      <c r="AL7794">
        <v>84.001380701103301</v>
      </c>
      <c r="AM7794">
        <v>102.05374668169</v>
      </c>
      <c r="AN7794">
        <v>1.0000000242360101</v>
      </c>
    </row>
    <row r="7795" spans="1:40" x14ac:dyDescent="0.25">
      <c r="A7795" t="str">
        <f>"20190303162108259"</f>
        <v>20190303162108259</v>
      </c>
      <c r="B7795" t="str">
        <f>"1551601268250476"</f>
        <v>1551601268250476</v>
      </c>
      <c r="C7795" t="s">
        <v>40</v>
      </c>
      <c r="D7795">
        <v>4.9854269999999996</v>
      </c>
      <c r="E7795">
        <v>0.48977310000000002</v>
      </c>
      <c r="F7795" t="s">
        <v>44</v>
      </c>
      <c r="G7795">
        <v>-313.19529999999997</v>
      </c>
      <c r="H7795">
        <v>-0.05</v>
      </c>
      <c r="I7795">
        <v>13.42924</v>
      </c>
      <c r="J7795">
        <v>-402.69510000000002</v>
      </c>
      <c r="K7795">
        <v>1.1228940000000001</v>
      </c>
      <c r="L7795">
        <v>20.608219999999999</v>
      </c>
      <c r="M7795">
        <v>0.95165069999999996</v>
      </c>
      <c r="N7795">
        <v>-8.9825670000000003E-3</v>
      </c>
      <c r="O7795">
        <v>-0.30705080000000001</v>
      </c>
      <c r="P7795">
        <v>0.98984369999999999</v>
      </c>
      <c r="Q7795">
        <v>9.7387299999999996E-2</v>
      </c>
      <c r="R7795">
        <v>-0.1035624</v>
      </c>
      <c r="S7795">
        <v>3.009277</v>
      </c>
      <c r="T7795">
        <v>-3.9372919999999999E-2</v>
      </c>
      <c r="U7795">
        <v>-0.24240110000000001</v>
      </c>
      <c r="V7795">
        <v>-0.20586760000000001</v>
      </c>
      <c r="W7795">
        <v>0.1051935</v>
      </c>
      <c r="X7795">
        <v>0.97290949999999998</v>
      </c>
      <c r="Y7795">
        <v>-0.229625</v>
      </c>
      <c r="Z7795">
        <v>3.6852510000000001E-3</v>
      </c>
      <c r="AA7795">
        <v>0.97327220000000003</v>
      </c>
      <c r="AB7795">
        <v>16</v>
      </c>
      <c r="AC7795">
        <v>89.499799999999993</v>
      </c>
      <c r="AD7795">
        <v>-1.1728940000000001</v>
      </c>
      <c r="AE7795">
        <v>-7.1789800000000001</v>
      </c>
      <c r="AF7795">
        <v>-20.6464144571441</v>
      </c>
      <c r="AG7795">
        <v>-1.1728940000000001</v>
      </c>
      <c r="AH7795">
        <v>87.365478693609802</v>
      </c>
      <c r="AI7795">
        <v>90.748541829866696</v>
      </c>
      <c r="AJ7795">
        <v>103.296329457498</v>
      </c>
      <c r="AK7795">
        <v>89.779602235892099</v>
      </c>
      <c r="AL7795">
        <v>83.961685076480705</v>
      </c>
      <c r="AM7795">
        <v>101.94754919027601</v>
      </c>
      <c r="AN7795">
        <v>1.0000000181811299</v>
      </c>
    </row>
    <row r="7796" spans="1:40" x14ac:dyDescent="0.25">
      <c r="A7796" t="str">
        <f>"20190303162108271"</f>
        <v>20190303162108271</v>
      </c>
      <c r="B7796" t="str">
        <f>"1551601268260237"</f>
        <v>1551601268260237</v>
      </c>
      <c r="C7796" t="s">
        <v>40</v>
      </c>
      <c r="D7796">
        <v>4.9874729999999996</v>
      </c>
      <c r="E7796">
        <v>0.48977310000000002</v>
      </c>
      <c r="F7796" t="s">
        <v>44</v>
      </c>
      <c r="G7796">
        <v>-307.41890000000001</v>
      </c>
      <c r="H7796">
        <v>-0.05</v>
      </c>
      <c r="I7796">
        <v>13.17665</v>
      </c>
      <c r="J7796">
        <v>-402.61349999999999</v>
      </c>
      <c r="K7796">
        <v>1.1229</v>
      </c>
      <c r="L7796">
        <v>20.584689999999998</v>
      </c>
      <c r="M7796">
        <v>0.95237439999999995</v>
      </c>
      <c r="N7796">
        <v>-8.9826300000000001E-3</v>
      </c>
      <c r="O7796">
        <v>-0.30479869999999998</v>
      </c>
      <c r="P7796">
        <v>0.98996569999999995</v>
      </c>
      <c r="Q7796">
        <v>9.7560510000000003E-2</v>
      </c>
      <c r="R7796">
        <v>-0.1022232</v>
      </c>
      <c r="S7796">
        <v>3.0098880000000001</v>
      </c>
      <c r="T7796">
        <v>-3.705311E-2</v>
      </c>
      <c r="U7796">
        <v>-0.2347717</v>
      </c>
      <c r="V7796">
        <v>-0.20487830000000001</v>
      </c>
      <c r="W7796">
        <v>0.105368</v>
      </c>
      <c r="X7796">
        <v>0.97309939999999995</v>
      </c>
      <c r="Y7796">
        <v>-0.22979379999999999</v>
      </c>
      <c r="Z7796">
        <v>3.3603790000000001E-3</v>
      </c>
      <c r="AA7796">
        <v>0.97323349999999997</v>
      </c>
      <c r="AB7796">
        <v>16</v>
      </c>
      <c r="AC7796">
        <v>95.194599999999895</v>
      </c>
      <c r="AD7796">
        <v>-1.1729000000000001</v>
      </c>
      <c r="AE7796">
        <v>-7.40803999999999</v>
      </c>
      <c r="AF7796">
        <v>-21.957536130488801</v>
      </c>
      <c r="AG7796">
        <v>-1.1729000000000001</v>
      </c>
      <c r="AH7796">
        <v>92.9085936105554</v>
      </c>
      <c r="AI7796">
        <v>90.703888577617207</v>
      </c>
      <c r="AJ7796">
        <v>103.29700684833399</v>
      </c>
      <c r="AK7796">
        <v>95.475210678076294</v>
      </c>
      <c r="AL7796">
        <v>83.951630903782402</v>
      </c>
      <c r="AM7796">
        <v>101.889518882788</v>
      </c>
      <c r="AN7796">
        <v>0.999999987757624</v>
      </c>
    </row>
    <row r="7797" spans="1:40" x14ac:dyDescent="0.25">
      <c r="A7797" t="str">
        <f>"20190303162108285"</f>
        <v>20190303162108285</v>
      </c>
      <c r="B7797" t="str">
        <f>"1551601268280733"</f>
        <v>1551601268280733</v>
      </c>
      <c r="C7797" t="s">
        <v>40</v>
      </c>
      <c r="D7797">
        <v>5.0319940000000001</v>
      </c>
      <c r="E7797">
        <v>0.47426699999999999</v>
      </c>
      <c r="F7797" t="s">
        <v>44</v>
      </c>
      <c r="G7797">
        <v>-305.86329999999998</v>
      </c>
      <c r="H7797">
        <v>-0.05</v>
      </c>
      <c r="I7797">
        <v>13.175190000000001</v>
      </c>
      <c r="J7797">
        <v>-402.51580000000001</v>
      </c>
      <c r="K7797">
        <v>1.1229100000000001</v>
      </c>
      <c r="L7797">
        <v>20.556760000000001</v>
      </c>
      <c r="M7797">
        <v>0.95323159999999896</v>
      </c>
      <c r="N7797">
        <v>-8.9831259999999993E-3</v>
      </c>
      <c r="O7797">
        <v>-0.30210789999999998</v>
      </c>
      <c r="P7797">
        <v>0.99014780000000002</v>
      </c>
      <c r="Q7797">
        <v>9.7686120000000001E-2</v>
      </c>
      <c r="R7797">
        <v>-0.1003242</v>
      </c>
      <c r="S7797">
        <v>3.0101619999999998</v>
      </c>
      <c r="T7797">
        <v>-3.6492110000000001E-2</v>
      </c>
      <c r="U7797">
        <v>-0.23052980000000001</v>
      </c>
      <c r="V7797">
        <v>-0.2039957</v>
      </c>
      <c r="W7797">
        <v>0.10549459999999999</v>
      </c>
      <c r="X7797">
        <v>0.97327109999999994</v>
      </c>
      <c r="Y7797">
        <v>-0.22841620000000001</v>
      </c>
      <c r="Z7797">
        <v>3.2624749999999999E-3</v>
      </c>
      <c r="AA7797">
        <v>0.97355809999999998</v>
      </c>
      <c r="AB7797">
        <v>16</v>
      </c>
      <c r="AC7797">
        <v>96.652500000000003</v>
      </c>
      <c r="AD7797">
        <v>-1.1729099999999999</v>
      </c>
      <c r="AE7797">
        <v>-7.38157</v>
      </c>
      <c r="AF7797">
        <v>-22.160783687867401</v>
      </c>
      <c r="AG7797">
        <v>-1.1729099999999999</v>
      </c>
      <c r="AH7797">
        <v>94.352223962481006</v>
      </c>
      <c r="AI7797">
        <v>90.693351932850106</v>
      </c>
      <c r="AJ7797">
        <v>103.21765167641</v>
      </c>
      <c r="AK7797">
        <v>96.926870465288005</v>
      </c>
      <c r="AL7797">
        <v>83.944336648933501</v>
      </c>
      <c r="AM7797">
        <v>101.83771863570399</v>
      </c>
      <c r="AN7797">
        <v>0.99999999517143001</v>
      </c>
    </row>
    <row r="7798" spans="1:40" x14ac:dyDescent="0.25">
      <c r="A7798" t="str">
        <f>"20190303162108297"</f>
        <v>20190303162108297</v>
      </c>
      <c r="B7798" t="str">
        <f>"1551601268290493"</f>
        <v>1551601268290493</v>
      </c>
      <c r="C7798" t="s">
        <v>40</v>
      </c>
      <c r="D7798">
        <v>5.0493069999999998</v>
      </c>
      <c r="E7798">
        <v>0.47361059999999999</v>
      </c>
      <c r="F7798" t="s">
        <v>76</v>
      </c>
      <c r="G7798">
        <v>-279.68</v>
      </c>
      <c r="H7798">
        <v>8.4248190000000005E-4</v>
      </c>
      <c r="I7798">
        <v>16.433910000000001</v>
      </c>
      <c r="J7798">
        <v>-402.42849999999999</v>
      </c>
      <c r="K7798">
        <v>1.1229199999999999</v>
      </c>
      <c r="L7798">
        <v>20.532139999999998</v>
      </c>
      <c r="M7798">
        <v>0.95399140000000004</v>
      </c>
      <c r="N7798">
        <v>-8.9841469999999996E-3</v>
      </c>
      <c r="O7798">
        <v>-0.29969970000000001</v>
      </c>
      <c r="P7798">
        <v>0.9902898</v>
      </c>
      <c r="Q7798">
        <v>9.7806729999999995E-2</v>
      </c>
      <c r="R7798">
        <v>-9.8792320000000003E-2</v>
      </c>
      <c r="S7798">
        <v>3.0223080000000002</v>
      </c>
      <c r="T7798">
        <v>-2.7607799999999998E-2</v>
      </c>
      <c r="U7798">
        <v>-0.1014404</v>
      </c>
      <c r="V7798">
        <v>-0.20304249999999999</v>
      </c>
      <c r="W7798">
        <v>0.1056165</v>
      </c>
      <c r="X7798">
        <v>0.97345720000000002</v>
      </c>
      <c r="Y7798">
        <v>-0.2675186</v>
      </c>
      <c r="Z7798">
        <v>2.397915E-3</v>
      </c>
      <c r="AA7798">
        <v>0.96354969999999995</v>
      </c>
      <c r="AB7798">
        <v>16</v>
      </c>
      <c r="AC7798">
        <v>122.748499999999</v>
      </c>
      <c r="AD7798">
        <v>-1.1220775181</v>
      </c>
      <c r="AE7798">
        <v>-4.0982299999999903</v>
      </c>
      <c r="AF7798">
        <v>-32.876591642933697</v>
      </c>
      <c r="AG7798">
        <v>-1.1220775181</v>
      </c>
      <c r="AH7798">
        <v>118.32413812345401</v>
      </c>
      <c r="AI7798">
        <v>90.523493800712799</v>
      </c>
      <c r="AJ7798">
        <v>105.52805586322501</v>
      </c>
      <c r="AK7798">
        <v>122.811770603111</v>
      </c>
      <c r="AL7798">
        <v>83.937313152079497</v>
      </c>
      <c r="AM7798">
        <v>101.78176548860699</v>
      </c>
      <c r="AN7798">
        <v>1.0000000110551699</v>
      </c>
    </row>
    <row r="7799" spans="1:40" x14ac:dyDescent="0.25">
      <c r="A7799" t="str">
        <f>"20190303162108316"</f>
        <v>20190303162108316</v>
      </c>
      <c r="B7799" t="str">
        <f>"1551601268300254"</f>
        <v>1551601268300254</v>
      </c>
      <c r="C7799" t="s">
        <v>40</v>
      </c>
      <c r="D7799">
        <v>5.0281349999999998</v>
      </c>
      <c r="E7799">
        <v>0.4735048</v>
      </c>
      <c r="F7799" t="s">
        <v>76</v>
      </c>
      <c r="G7799">
        <v>-279.68</v>
      </c>
      <c r="H7799">
        <v>0.46914359999999999</v>
      </c>
      <c r="I7799">
        <v>16.826910000000002</v>
      </c>
      <c r="J7799">
        <v>-402.30430000000001</v>
      </c>
      <c r="K7799">
        <v>1.122943</v>
      </c>
      <c r="L7799">
        <v>20.49747</v>
      </c>
      <c r="M7799">
        <v>0.95506040000000003</v>
      </c>
      <c r="N7799">
        <v>-8.9859729999999995E-3</v>
      </c>
      <c r="O7799">
        <v>-0.29627540000000002</v>
      </c>
      <c r="P7799">
        <v>0.99041809999999997</v>
      </c>
      <c r="Q7799">
        <v>9.8021839999999999E-2</v>
      </c>
      <c r="R7799">
        <v>-9.7282889999999997E-2</v>
      </c>
      <c r="S7799">
        <v>3.021881</v>
      </c>
      <c r="T7799">
        <v>-1.6094919999999999E-2</v>
      </c>
      <c r="U7799">
        <v>-9.1217039999999999E-2</v>
      </c>
      <c r="V7799">
        <v>-0.20103070000000001</v>
      </c>
      <c r="W7799">
        <v>0.1058384</v>
      </c>
      <c r="X7799">
        <v>0.97385049999999995</v>
      </c>
      <c r="Y7799">
        <v>-0.26732349999999999</v>
      </c>
      <c r="Z7799">
        <v>7.7555989999999997E-4</v>
      </c>
      <c r="AA7799">
        <v>0.96360650000000003</v>
      </c>
      <c r="AB7799">
        <v>16</v>
      </c>
      <c r="AC7799">
        <v>122.62430000000001</v>
      </c>
      <c r="AD7799">
        <v>-0.65379940000000003</v>
      </c>
      <c r="AE7799">
        <v>-3.6705599999999898</v>
      </c>
      <c r="AF7799">
        <v>-32.8253463368141</v>
      </c>
      <c r="AG7799">
        <v>-0.65379940000000003</v>
      </c>
      <c r="AH7799">
        <v>118.20251151384601</v>
      </c>
      <c r="AI7799">
        <v>90.305354520193902</v>
      </c>
      <c r="AJ7799">
        <v>105.52020280807299</v>
      </c>
      <c r="AK7799">
        <v>122.677481812956</v>
      </c>
      <c r="AL7799">
        <v>83.924527202090204</v>
      </c>
      <c r="AM7799">
        <v>101.663661630454</v>
      </c>
      <c r="AN7799">
        <v>0.99999995280364795</v>
      </c>
    </row>
    <row r="7800" spans="1:40" x14ac:dyDescent="0.25">
      <c r="A7800" t="str">
        <f>"20190303162108330"</f>
        <v>20190303162108330</v>
      </c>
      <c r="B7800" t="str">
        <f>"1551601268321099"</f>
        <v>1551601268321099</v>
      </c>
      <c r="C7800" t="s">
        <v>40</v>
      </c>
      <c r="D7800">
        <v>4.7768680000000003</v>
      </c>
      <c r="E7800">
        <v>0.47329329999999997</v>
      </c>
      <c r="F7800" t="s">
        <v>76</v>
      </c>
      <c r="G7800">
        <v>-279.68</v>
      </c>
      <c r="H7800">
        <v>0.44226690000000002</v>
      </c>
      <c r="I7800">
        <v>17.03049</v>
      </c>
      <c r="J7800">
        <v>-402.20119999999997</v>
      </c>
      <c r="K7800">
        <v>1.1229579999999999</v>
      </c>
      <c r="L7800">
        <v>20.469090000000001</v>
      </c>
      <c r="M7800">
        <v>0.95593799999999995</v>
      </c>
      <c r="N7800">
        <v>-8.98791E-3</v>
      </c>
      <c r="O7800">
        <v>-0.29343140000000001</v>
      </c>
      <c r="P7800">
        <v>0.99055740000000003</v>
      </c>
      <c r="Q7800">
        <v>9.8228659999999995E-2</v>
      </c>
      <c r="R7800">
        <v>-9.5641180000000006E-2</v>
      </c>
      <c r="S7800">
        <v>3.022278</v>
      </c>
      <c r="T7800">
        <v>-1.6776320000000001E-2</v>
      </c>
      <c r="U7800">
        <v>-8.5449220000000006E-2</v>
      </c>
      <c r="V7800">
        <v>-0.19974339999999999</v>
      </c>
      <c r="W7800">
        <v>0.1060479</v>
      </c>
      <c r="X7800">
        <v>0.97409259999999998</v>
      </c>
      <c r="Y7800">
        <v>-0.26629609999999998</v>
      </c>
      <c r="Z7800">
        <v>8.7511670000000002E-4</v>
      </c>
      <c r="AA7800">
        <v>0.96389089999999999</v>
      </c>
      <c r="AB7800">
        <v>16</v>
      </c>
      <c r="AC7800">
        <v>122.521199999999</v>
      </c>
      <c r="AD7800">
        <v>-0.68069109999999999</v>
      </c>
      <c r="AE7800">
        <v>-3.4385999999999899</v>
      </c>
      <c r="AF7800">
        <v>-32.664787108312602</v>
      </c>
      <c r="AG7800">
        <v>-0.68069109999999999</v>
      </c>
      <c r="AH7800">
        <v>118.132778959482</v>
      </c>
      <c r="AI7800">
        <v>90.318199446873805</v>
      </c>
      <c r="AJ7800">
        <v>105.45660549429699</v>
      </c>
      <c r="AK7800">
        <v>122.56755329978201</v>
      </c>
      <c r="AL7800">
        <v>83.9124560161343</v>
      </c>
      <c r="AM7800">
        <v>101.588197891429</v>
      </c>
      <c r="AN7800">
        <v>0.99999998815636404</v>
      </c>
    </row>
    <row r="7801" spans="1:40" x14ac:dyDescent="0.25">
      <c r="A7801" t="str">
        <f>"20190303162108350"</f>
        <v>20190303162108350</v>
      </c>
      <c r="B7801" t="str">
        <f>"1551601268340618"</f>
        <v>1551601268340618</v>
      </c>
      <c r="C7801" t="s">
        <v>40</v>
      </c>
      <c r="D7801">
        <v>5.0398379999999996</v>
      </c>
      <c r="E7801">
        <v>0.4732481</v>
      </c>
      <c r="F7801" t="s">
        <v>76</v>
      </c>
      <c r="G7801">
        <v>-279.68</v>
      </c>
      <c r="H7801">
        <v>0.83782690000000004</v>
      </c>
      <c r="I7801">
        <v>17.286490000000001</v>
      </c>
      <c r="J7801">
        <v>-402.06990000000002</v>
      </c>
      <c r="K7801">
        <v>1.1229800000000001</v>
      </c>
      <c r="L7801">
        <v>20.433319999999998</v>
      </c>
      <c r="M7801">
        <v>0.9570438</v>
      </c>
      <c r="N7801">
        <v>-8.9908929999999998E-3</v>
      </c>
      <c r="O7801">
        <v>-0.28980420000000001</v>
      </c>
      <c r="P7801">
        <v>0.99067150000000004</v>
      </c>
      <c r="Q7801">
        <v>9.8685610000000007E-2</v>
      </c>
      <c r="R7801">
        <v>-9.3976000000000004E-2</v>
      </c>
      <c r="S7801">
        <v>3.0216980000000002</v>
      </c>
      <c r="T7801">
        <v>-7.0320369999999997E-3</v>
      </c>
      <c r="U7801">
        <v>-7.8491210000000006E-2</v>
      </c>
      <c r="V7801">
        <v>-0.19767870000000001</v>
      </c>
      <c r="W7801">
        <v>0.1065126</v>
      </c>
      <c r="X7801">
        <v>0.97446299999999997</v>
      </c>
      <c r="Y7801">
        <v>-0.26485560000000002</v>
      </c>
      <c r="Z7801">
        <v>-4.7094859999999999E-4</v>
      </c>
      <c r="AA7801">
        <v>0.96428800000000003</v>
      </c>
      <c r="AB7801">
        <v>16</v>
      </c>
      <c r="AC7801">
        <v>122.3899</v>
      </c>
      <c r="AD7801">
        <v>-0.28515309999999899</v>
      </c>
      <c r="AE7801">
        <v>-3.14683</v>
      </c>
      <c r="AF7801">
        <v>-32.458586421418701</v>
      </c>
      <c r="AG7801">
        <v>-0.28515309999999899</v>
      </c>
      <c r="AH7801">
        <v>118.048581970833</v>
      </c>
      <c r="AI7801">
        <v>90.133448352233799</v>
      </c>
      <c r="AJ7801">
        <v>105.374097210852</v>
      </c>
      <c r="AK7801">
        <v>122.43001613204</v>
      </c>
      <c r="AL7801">
        <v>83.885678898505304</v>
      </c>
      <c r="AM7801">
        <v>101.46736005582299</v>
      </c>
      <c r="AN7801">
        <v>0.99999997038072397</v>
      </c>
    </row>
    <row r="7802" spans="1:40" x14ac:dyDescent="0.25">
      <c r="A7802" t="str">
        <f>"20190303162108364"</f>
        <v>20190303162108364</v>
      </c>
      <c r="B7802" t="str">
        <f>"1551601268351355"</f>
        <v>1551601268351355</v>
      </c>
      <c r="C7802" t="s">
        <v>40</v>
      </c>
      <c r="D7802">
        <v>4.763293</v>
      </c>
      <c r="E7802">
        <v>0.47338419999999998</v>
      </c>
      <c r="F7802" t="s">
        <v>76</v>
      </c>
      <c r="G7802">
        <v>-279.68</v>
      </c>
      <c r="H7802">
        <v>1.137677</v>
      </c>
      <c r="I7802">
        <v>17.477540000000001</v>
      </c>
      <c r="J7802">
        <v>-401.964</v>
      </c>
      <c r="K7802">
        <v>1.1229979999999999</v>
      </c>
      <c r="L7802">
        <v>20.404910000000001</v>
      </c>
      <c r="M7802">
        <v>0.95792480000000002</v>
      </c>
      <c r="N7802">
        <v>-8.9934530000000002E-3</v>
      </c>
      <c r="O7802">
        <v>-0.28687839999999998</v>
      </c>
      <c r="P7802">
        <v>0.99085319999999999</v>
      </c>
      <c r="Q7802">
        <v>9.8641370000000006E-2</v>
      </c>
      <c r="R7802">
        <v>-9.2087210000000003E-2</v>
      </c>
      <c r="S7802">
        <v>3.0213619999999999</v>
      </c>
      <c r="T7802">
        <v>3.6287309999999997E-4</v>
      </c>
      <c r="U7802">
        <v>-7.2967530000000003E-2</v>
      </c>
      <c r="V7802">
        <v>-0.19656190000000001</v>
      </c>
      <c r="W7802">
        <v>0.10647139999999999</v>
      </c>
      <c r="X7802">
        <v>0.97469340000000004</v>
      </c>
      <c r="Y7802">
        <v>-0.26366600000000001</v>
      </c>
      <c r="Z7802">
        <v>-1.4736839999999901E-3</v>
      </c>
      <c r="AA7802">
        <v>0.9646129</v>
      </c>
      <c r="AB7802">
        <v>16</v>
      </c>
      <c r="AC7802">
        <v>122.28400000000001</v>
      </c>
      <c r="AD7802">
        <v>1.46790000000001E-2</v>
      </c>
      <c r="AE7802">
        <v>-2.9273699999999998</v>
      </c>
      <c r="AF7802">
        <v>-32.277742513205197</v>
      </c>
      <c r="AG7802">
        <v>1.46790000000001E-2</v>
      </c>
      <c r="AH7802">
        <v>117.983444001359</v>
      </c>
      <c r="AI7802">
        <v>89.993124171063101</v>
      </c>
      <c r="AJ7802">
        <v>105.300508123772</v>
      </c>
      <c r="AK7802">
        <v>122.319033415261</v>
      </c>
      <c r="AL7802">
        <v>83.888053054709502</v>
      </c>
      <c r="AM7802">
        <v>101.401651453944</v>
      </c>
      <c r="AN7802">
        <v>0.99999998177656502</v>
      </c>
    </row>
    <row r="7803" spans="1:40" x14ac:dyDescent="0.25">
      <c r="A7803" t="str">
        <f>"20190303162108381"</f>
        <v>20190303162108381</v>
      </c>
      <c r="B7803" t="str">
        <f>"1551601268370874"</f>
        <v>1551601268370874</v>
      </c>
      <c r="C7803" t="s">
        <v>40</v>
      </c>
      <c r="D7803">
        <v>5.0407630000000001</v>
      </c>
      <c r="E7803">
        <v>0.47363159999999999</v>
      </c>
      <c r="F7803" t="s">
        <v>76</v>
      </c>
      <c r="G7803">
        <v>-279.68</v>
      </c>
      <c r="H7803">
        <v>1.2049160000000001</v>
      </c>
      <c r="I7803">
        <v>17.642959999999999</v>
      </c>
      <c r="J7803">
        <v>-401.84679999999997</v>
      </c>
      <c r="K7803">
        <v>1.1230100000000001</v>
      </c>
      <c r="L7803">
        <v>20.373930000000001</v>
      </c>
      <c r="M7803">
        <v>0.95888910000000005</v>
      </c>
      <c r="N7803">
        <v>-8.9966890000000004E-3</v>
      </c>
      <c r="O7803">
        <v>-0.28363899999999997</v>
      </c>
      <c r="P7803">
        <v>0.99094009999999999</v>
      </c>
      <c r="Q7803">
        <v>9.9028829999999998E-2</v>
      </c>
      <c r="R7803">
        <v>-9.0727150000000006E-2</v>
      </c>
      <c r="S7803">
        <v>3.0211790000000001</v>
      </c>
      <c r="T7803">
        <v>2.0239350000000001E-3</v>
      </c>
      <c r="U7803">
        <v>-6.8237300000000001E-2</v>
      </c>
      <c r="V7803">
        <v>-0.1945974</v>
      </c>
      <c r="W7803">
        <v>0.1068682</v>
      </c>
      <c r="X7803">
        <v>0.97504409999999997</v>
      </c>
      <c r="Y7803">
        <v>-0.26191239999999999</v>
      </c>
      <c r="Z7803">
        <v>-1.6775479999999901E-3</v>
      </c>
      <c r="AA7803">
        <v>0.96509020000000001</v>
      </c>
      <c r="AB7803">
        <v>16</v>
      </c>
      <c r="AC7803">
        <v>122.166799999999</v>
      </c>
      <c r="AD7803">
        <v>8.1905999999999798E-2</v>
      </c>
      <c r="AE7803">
        <v>-2.7309699999999899</v>
      </c>
      <c r="AF7803">
        <v>-32.033848404075698</v>
      </c>
      <c r="AG7803">
        <v>8.1905999999999798E-2</v>
      </c>
      <c r="AH7803">
        <v>117.923722628777</v>
      </c>
      <c r="AI7803">
        <v>89.961595970432995</v>
      </c>
      <c r="AJ7803">
        <v>105.197593763974</v>
      </c>
      <c r="AK7803">
        <v>122.197293385725</v>
      </c>
      <c r="AL7803">
        <v>83.865187610601893</v>
      </c>
      <c r="AM7803">
        <v>101.286684471055</v>
      </c>
      <c r="AN7803">
        <v>0.99999997860140399</v>
      </c>
    </row>
    <row r="7804" spans="1:40" x14ac:dyDescent="0.25">
      <c r="A7804" t="str">
        <f>"20190303162108394"</f>
        <v>20190303162108394</v>
      </c>
      <c r="B7804" t="str">
        <f>"1551601268380634"</f>
        <v>1551601268380634</v>
      </c>
      <c r="C7804" t="s">
        <v>40</v>
      </c>
      <c r="D7804">
        <v>5.0408650000000002</v>
      </c>
      <c r="E7804">
        <v>0.47371259999999998</v>
      </c>
      <c r="F7804" t="s">
        <v>76</v>
      </c>
      <c r="G7804">
        <v>-279.68</v>
      </c>
      <c r="H7804">
        <v>1.309952</v>
      </c>
      <c r="I7804">
        <v>17.704470000000001</v>
      </c>
      <c r="J7804">
        <v>-401.75889999999998</v>
      </c>
      <c r="K7804">
        <v>1.1230180000000001</v>
      </c>
      <c r="L7804">
        <v>20.35089</v>
      </c>
      <c r="M7804">
        <v>0.95960500000000004</v>
      </c>
      <c r="N7804">
        <v>-8.9991129999999996E-3</v>
      </c>
      <c r="O7804">
        <v>-0.28120689999999998</v>
      </c>
      <c r="P7804">
        <v>0.99108540000000001</v>
      </c>
      <c r="Q7804">
        <v>9.8916439999999994E-2</v>
      </c>
      <c r="R7804">
        <v>-8.9249239999999994E-2</v>
      </c>
      <c r="S7804">
        <v>3.020905</v>
      </c>
      <c r="T7804">
        <v>4.6226979999999997E-3</v>
      </c>
      <c r="U7804">
        <v>-6.6009520000000002E-2</v>
      </c>
      <c r="V7804">
        <v>-0.19358320000000001</v>
      </c>
      <c r="W7804">
        <v>0.10676099999999999</v>
      </c>
      <c r="X7804">
        <v>0.97525770000000001</v>
      </c>
      <c r="Y7804">
        <v>-0.26017289999999998</v>
      </c>
      <c r="Z7804">
        <v>-2.0120699999999999E-3</v>
      </c>
      <c r="AA7804">
        <v>0.96555999999999997</v>
      </c>
      <c r="AB7804">
        <v>16</v>
      </c>
      <c r="AC7804">
        <v>122.078899999999</v>
      </c>
      <c r="AD7804">
        <v>0.18693399999999999</v>
      </c>
      <c r="AE7804">
        <v>-2.6464199999999898</v>
      </c>
      <c r="AF7804">
        <v>-31.7911230046894</v>
      </c>
      <c r="AG7804">
        <v>0.18693399999999999</v>
      </c>
      <c r="AH7804">
        <v>117.896208479034</v>
      </c>
      <c r="AI7804">
        <v>89.912285986793705</v>
      </c>
      <c r="AJ7804">
        <v>105.09106844782001</v>
      </c>
      <c r="AK7804">
        <v>122.107438020587</v>
      </c>
      <c r="AL7804">
        <v>83.871365031001702</v>
      </c>
      <c r="AM7804">
        <v>101.226962301339</v>
      </c>
      <c r="AN7804">
        <v>0.99999997392626405</v>
      </c>
    </row>
    <row r="7805" spans="1:40" x14ac:dyDescent="0.25">
      <c r="A7805" t="str">
        <f>"20190303162108406"</f>
        <v>20190303162108406</v>
      </c>
      <c r="B7805" t="str">
        <f>"1551601268400155"</f>
        <v>1551601268400155</v>
      </c>
      <c r="C7805" t="s">
        <v>40</v>
      </c>
      <c r="D7805">
        <v>4.9840419999999996</v>
      </c>
      <c r="E7805">
        <v>0.47389189999999998</v>
      </c>
      <c r="F7805" t="s">
        <v>76</v>
      </c>
      <c r="G7805">
        <v>-279.68</v>
      </c>
      <c r="H7805">
        <v>1.3091459999999999</v>
      </c>
      <c r="I7805">
        <v>17.843679999999999</v>
      </c>
      <c r="J7805">
        <v>-401.67520000000002</v>
      </c>
      <c r="K7805">
        <v>1.123024</v>
      </c>
      <c r="L7805">
        <v>20.329190000000001</v>
      </c>
      <c r="M7805">
        <v>0.96027910000000005</v>
      </c>
      <c r="N7805">
        <v>-9.0013929999999999E-3</v>
      </c>
      <c r="O7805">
        <v>-0.27889589999999997</v>
      </c>
      <c r="P7805">
        <v>0.99122920000000003</v>
      </c>
      <c r="Q7805">
        <v>9.8917480000000002E-2</v>
      </c>
      <c r="R7805">
        <v>-8.7635889999999994E-2</v>
      </c>
      <c r="S7805">
        <v>3.020905</v>
      </c>
      <c r="T7805">
        <v>4.6058890000000002E-3</v>
      </c>
      <c r="U7805">
        <v>-6.2042239999999999E-2</v>
      </c>
      <c r="V7805">
        <v>-0.1928241</v>
      </c>
      <c r="W7805">
        <v>0.10676579999999999</v>
      </c>
      <c r="X7805">
        <v>0.97540749999999998</v>
      </c>
      <c r="Y7805">
        <v>-0.25911590000000001</v>
      </c>
      <c r="Z7805">
        <v>-1.9891739999999998E-3</v>
      </c>
      <c r="AA7805">
        <v>0.96584420000000004</v>
      </c>
      <c r="AB7805">
        <v>16</v>
      </c>
      <c r="AC7805">
        <v>121.9952</v>
      </c>
      <c r="AD7805">
        <v>0.18612199999999901</v>
      </c>
      <c r="AE7805">
        <v>-2.4855100000000001</v>
      </c>
      <c r="AF7805">
        <v>-31.638387576415099</v>
      </c>
      <c r="AG7805">
        <v>0.18612199999999901</v>
      </c>
      <c r="AH7805">
        <v>117.847145625206</v>
      </c>
      <c r="AI7805">
        <v>89.912604684256905</v>
      </c>
      <c r="AJ7805">
        <v>105.02782139393</v>
      </c>
      <c r="AK7805">
        <v>122.020375109417</v>
      </c>
      <c r="AL7805">
        <v>83.871088162066599</v>
      </c>
      <c r="AM7805">
        <v>101.182375462416</v>
      </c>
      <c r="AN7805">
        <v>0.999999930323347</v>
      </c>
    </row>
    <row r="7806" spans="1:40" x14ac:dyDescent="0.25">
      <c r="A7806" t="str">
        <f>"20190303162108417"</f>
        <v>20190303162108417</v>
      </c>
      <c r="B7806" t="str">
        <f>"1551601268410891"</f>
        <v>1551601268410891</v>
      </c>
      <c r="C7806" t="s">
        <v>40</v>
      </c>
      <c r="D7806">
        <v>4.982399</v>
      </c>
      <c r="E7806">
        <v>0.47395799999999999</v>
      </c>
      <c r="F7806" t="s">
        <v>76</v>
      </c>
      <c r="G7806">
        <v>-279.68</v>
      </c>
      <c r="H7806">
        <v>1.254567</v>
      </c>
      <c r="I7806">
        <v>17.963059999999999</v>
      </c>
      <c r="J7806">
        <v>-401.58760000000001</v>
      </c>
      <c r="K7806">
        <v>1.1230290000000001</v>
      </c>
      <c r="L7806">
        <v>20.306760000000001</v>
      </c>
      <c r="M7806">
        <v>0.96097710000000003</v>
      </c>
      <c r="N7806">
        <v>-9.0037199999999998E-3</v>
      </c>
      <c r="O7806">
        <v>-0.27648139999999999</v>
      </c>
      <c r="P7806">
        <v>0.99136179999999996</v>
      </c>
      <c r="Q7806">
        <v>9.8917000000000005E-2</v>
      </c>
      <c r="R7806">
        <v>-8.6123099999999994E-2</v>
      </c>
      <c r="S7806">
        <v>3.0210270000000001</v>
      </c>
      <c r="T7806">
        <v>3.2575130000000001E-3</v>
      </c>
      <c r="U7806">
        <v>-5.859375E-2</v>
      </c>
      <c r="V7806">
        <v>-0.19186110000000001</v>
      </c>
      <c r="W7806">
        <v>0.10677150000000001</v>
      </c>
      <c r="X7806">
        <v>0.97559680000000004</v>
      </c>
      <c r="Y7806">
        <v>-0.25779190000000002</v>
      </c>
      <c r="Z7806">
        <v>-1.7888159999999999E-3</v>
      </c>
      <c r="AA7806">
        <v>0.96619880000000002</v>
      </c>
      <c r="AB7806">
        <v>16</v>
      </c>
      <c r="AC7806">
        <v>121.9076</v>
      </c>
      <c r="AD7806">
        <v>0.13153799999999899</v>
      </c>
      <c r="AE7806">
        <v>-2.3436999999999899</v>
      </c>
      <c r="AF7806">
        <v>-31.454179970797401</v>
      </c>
      <c r="AG7806">
        <v>0.13153799999999899</v>
      </c>
      <c r="AH7806">
        <v>117.80303826890101</v>
      </c>
      <c r="AI7806">
        <v>89.938189368951498</v>
      </c>
      <c r="AJ7806">
        <v>104.94959535096299</v>
      </c>
      <c r="AK7806">
        <v>121.930056037323</v>
      </c>
      <c r="AL7806">
        <v>83.8707599767597</v>
      </c>
      <c r="AM7806">
        <v>101.125820434771</v>
      </c>
      <c r="AN7806">
        <v>0.99999997553784903</v>
      </c>
    </row>
    <row r="7807" spans="1:40" x14ac:dyDescent="0.25">
      <c r="A7807" t="str">
        <f>"20190303162108430"</f>
        <v>20190303162108430</v>
      </c>
      <c r="B7807" t="str">
        <f>"1551601268420651"</f>
        <v>1551601268420651</v>
      </c>
      <c r="C7807" t="s">
        <v>40</v>
      </c>
      <c r="D7807">
        <v>4.9871639999999999</v>
      </c>
      <c r="E7807">
        <v>0.47405799999999998</v>
      </c>
      <c r="F7807" t="s">
        <v>76</v>
      </c>
      <c r="G7807">
        <v>-279.68</v>
      </c>
      <c r="H7807">
        <v>1.2512760000000001</v>
      </c>
      <c r="I7807">
        <v>18.109850000000002</v>
      </c>
      <c r="J7807">
        <v>-401.5009</v>
      </c>
      <c r="K7807">
        <v>1.1230290000000001</v>
      </c>
      <c r="L7807">
        <v>20.284759999999999</v>
      </c>
      <c r="M7807">
        <v>0.96165999999999996</v>
      </c>
      <c r="N7807">
        <v>-9.0059739999999999E-3</v>
      </c>
      <c r="O7807">
        <v>-0.27409689999999998</v>
      </c>
      <c r="P7807">
        <v>0.99147779999999996</v>
      </c>
      <c r="Q7807">
        <v>9.9122109999999999E-2</v>
      </c>
      <c r="R7807">
        <v>-8.4536979999999998E-2</v>
      </c>
      <c r="S7807">
        <v>3.0210880000000002</v>
      </c>
      <c r="T7807">
        <v>3.1782389999999998E-3</v>
      </c>
      <c r="U7807">
        <v>-5.4443360000000003E-2</v>
      </c>
      <c r="V7807">
        <v>-0.19099749999999999</v>
      </c>
      <c r="W7807">
        <v>0.10698290000000001</v>
      </c>
      <c r="X7807">
        <v>0.97574309999999997</v>
      </c>
      <c r="Y7807">
        <v>-0.25672260000000002</v>
      </c>
      <c r="Z7807">
        <v>-1.7582079999999901E-3</v>
      </c>
      <c r="AA7807">
        <v>0.96648350000000005</v>
      </c>
      <c r="AB7807">
        <v>16</v>
      </c>
      <c r="AC7807">
        <v>121.82089999999999</v>
      </c>
      <c r="AD7807">
        <v>0.128247</v>
      </c>
      <c r="AE7807">
        <v>-2.1749100000000001</v>
      </c>
      <c r="AF7807">
        <v>-31.300439074840298</v>
      </c>
      <c r="AG7807">
        <v>0.128247</v>
      </c>
      <c r="AH7807">
        <v>117.751057445396</v>
      </c>
      <c r="AI7807">
        <v>89.939691411880204</v>
      </c>
      <c r="AJ7807">
        <v>104.886051007378</v>
      </c>
      <c r="AK7807">
        <v>121.840245662423</v>
      </c>
      <c r="AL7807">
        <v>83.858577971039495</v>
      </c>
      <c r="AM7807">
        <v>101.07536265968101</v>
      </c>
      <c r="AN7807">
        <v>0.99999999154813402</v>
      </c>
    </row>
    <row r="7808" spans="1:40" x14ac:dyDescent="0.25">
      <c r="A7808" t="str">
        <f>"20190303162108443"</f>
        <v>20190303162108443</v>
      </c>
      <c r="B7808" t="str">
        <f>"1551601268430412"</f>
        <v>1551601268430412</v>
      </c>
      <c r="C7808" t="s">
        <v>40</v>
      </c>
      <c r="D7808">
        <v>4.9880430000000002</v>
      </c>
      <c r="E7808">
        <v>0.47420469999999998</v>
      </c>
      <c r="F7808" t="s">
        <v>76</v>
      </c>
      <c r="G7808">
        <v>-279.68</v>
      </c>
      <c r="H7808">
        <v>1.2381519999999999</v>
      </c>
      <c r="I7808">
        <v>18.248259999999998</v>
      </c>
      <c r="J7808">
        <v>-401.40519999999998</v>
      </c>
      <c r="K7808">
        <v>1.123032</v>
      </c>
      <c r="L7808">
        <v>20.260680000000001</v>
      </c>
      <c r="M7808">
        <v>0.96240570000000003</v>
      </c>
      <c r="N7808">
        <v>-9.0084120000000004E-3</v>
      </c>
      <c r="O7808">
        <v>-0.27146670000000001</v>
      </c>
      <c r="P7808">
        <v>0.99164079999999999</v>
      </c>
      <c r="Q7808">
        <v>9.9140199999999998E-2</v>
      </c>
      <c r="R7808">
        <v>-8.2581180000000004E-2</v>
      </c>
      <c r="S7808">
        <v>3.0212400000000001</v>
      </c>
      <c r="T7808">
        <v>2.8551819999999999E-3</v>
      </c>
      <c r="U7808">
        <v>-5.0506589999999997E-2</v>
      </c>
      <c r="V7808">
        <v>-0.19025339999999999</v>
      </c>
      <c r="W7808">
        <v>0.10700759999999999</v>
      </c>
      <c r="X7808">
        <v>0.97588569999999997</v>
      </c>
      <c r="Y7808">
        <v>-0.25534020000000002</v>
      </c>
      <c r="Z7808">
        <v>-1.69451E-3</v>
      </c>
      <c r="AA7808">
        <v>0.96684979999999998</v>
      </c>
      <c r="AB7808">
        <v>17</v>
      </c>
      <c r="AC7808">
        <v>121.72519999999901</v>
      </c>
      <c r="AD7808">
        <v>0.11512</v>
      </c>
      <c r="AE7808">
        <v>-2.0124199999999899</v>
      </c>
      <c r="AF7808">
        <v>-31.108807534865299</v>
      </c>
      <c r="AG7808">
        <v>0.11512</v>
      </c>
      <c r="AH7808">
        <v>117.699998886413</v>
      </c>
      <c r="AI7808">
        <v>89.945820644786295</v>
      </c>
      <c r="AJ7808">
        <v>104.805062745863</v>
      </c>
      <c r="AK7808">
        <v>121.7417795858</v>
      </c>
      <c r="AL7808">
        <v>83.857154283132999</v>
      </c>
      <c r="AM7808">
        <v>101.03170268612899</v>
      </c>
      <c r="AN7808">
        <v>0.99999994106690304</v>
      </c>
    </row>
    <row r="7809" spans="1:40" x14ac:dyDescent="0.25">
      <c r="A7809" t="str">
        <f>"20190303162108459"</f>
        <v>20190303162108459</v>
      </c>
      <c r="B7809" t="str">
        <f>"1551601268450907"</f>
        <v>1551601268450907</v>
      </c>
      <c r="C7809" t="s">
        <v>40</v>
      </c>
      <c r="D7809">
        <v>5.0452849999999998</v>
      </c>
      <c r="E7809">
        <v>0.47440179999999998</v>
      </c>
      <c r="F7809" t="s">
        <v>76</v>
      </c>
      <c r="G7809">
        <v>-279.68</v>
      </c>
      <c r="H7809">
        <v>1.214788</v>
      </c>
      <c r="I7809">
        <v>18.417629999999999</v>
      </c>
      <c r="J7809">
        <v>-401.29090000000002</v>
      </c>
      <c r="K7809">
        <v>1.1230290000000001</v>
      </c>
      <c r="L7809">
        <v>20.232389999999999</v>
      </c>
      <c r="M7809">
        <v>0.96328199999999997</v>
      </c>
      <c r="N7809">
        <v>-9.0112349999999994E-3</v>
      </c>
      <c r="O7809">
        <v>-0.26834089999999999</v>
      </c>
      <c r="P7809">
        <v>0.99178149999999998</v>
      </c>
      <c r="Q7809">
        <v>9.9250599999999994E-2</v>
      </c>
      <c r="R7809">
        <v>-8.0742460000000002E-2</v>
      </c>
      <c r="S7809">
        <v>3.0213009999999998</v>
      </c>
      <c r="T7809">
        <v>2.2774929999999998E-3</v>
      </c>
      <c r="U7809">
        <v>-4.5745849999999998E-2</v>
      </c>
      <c r="V7809">
        <v>-0.18889049999999999</v>
      </c>
      <c r="W7809">
        <v>0.1071308</v>
      </c>
      <c r="X7809">
        <v>0.97613700000000003</v>
      </c>
      <c r="Y7809">
        <v>-0.25372479999999997</v>
      </c>
      <c r="Z7809">
        <v>-1.5944290000000001E-3</v>
      </c>
      <c r="AA7809">
        <v>0.96727510000000005</v>
      </c>
      <c r="AB7809">
        <v>17</v>
      </c>
      <c r="AC7809">
        <v>121.6109</v>
      </c>
      <c r="AD7809">
        <v>9.1758999999999896E-2</v>
      </c>
      <c r="AE7809">
        <v>-1.8147599999999999</v>
      </c>
      <c r="AF7809">
        <v>-30.8862852796867</v>
      </c>
      <c r="AG7809">
        <v>9.1758999999999896E-2</v>
      </c>
      <c r="AH7809">
        <v>117.637259806898</v>
      </c>
      <c r="AI7809">
        <v>89.956773445890704</v>
      </c>
      <c r="AJ7809">
        <v>104.711267717491</v>
      </c>
      <c r="AK7809">
        <v>121.624405170047</v>
      </c>
      <c r="AL7809">
        <v>83.850055217119603</v>
      </c>
      <c r="AM7809">
        <v>100.951842434886</v>
      </c>
      <c r="AN7809">
        <v>1.0000000360339401</v>
      </c>
    </row>
    <row r="7810" spans="1:40" x14ac:dyDescent="0.25">
      <c r="A7810" t="str">
        <f>"20190303162108472"</f>
        <v>20190303162108472</v>
      </c>
      <c r="B7810" t="str">
        <f>"1551601268460667"</f>
        <v>1551601268460667</v>
      </c>
      <c r="C7810" t="s">
        <v>40</v>
      </c>
      <c r="D7810">
        <v>5.0454290000000004</v>
      </c>
      <c r="E7810">
        <v>0.47452090000000002</v>
      </c>
      <c r="F7810" t="s">
        <v>76</v>
      </c>
      <c r="G7810">
        <v>-279.68</v>
      </c>
      <c r="H7810">
        <v>1.192823</v>
      </c>
      <c r="I7810">
        <v>18.55198</v>
      </c>
      <c r="J7810">
        <v>-401.20240000000001</v>
      </c>
      <c r="K7810">
        <v>1.1230279999999999</v>
      </c>
      <c r="L7810">
        <v>20.21069</v>
      </c>
      <c r="M7810">
        <v>0.96395019999999998</v>
      </c>
      <c r="N7810">
        <v>-9.0132770000000001E-3</v>
      </c>
      <c r="O7810">
        <v>-0.26593040000000001</v>
      </c>
      <c r="P7810">
        <v>0.99196479999999998</v>
      </c>
      <c r="Q7810">
        <v>9.8940609999999998E-2</v>
      </c>
      <c r="R7810">
        <v>-7.8845429999999994E-2</v>
      </c>
      <c r="S7810">
        <v>3.0213009999999998</v>
      </c>
      <c r="T7810">
        <v>1.7340179999999999E-3</v>
      </c>
      <c r="U7810">
        <v>-4.1748050000000002E-2</v>
      </c>
      <c r="V7810">
        <v>-0.1883204</v>
      </c>
      <c r="W7810">
        <v>0.1068284</v>
      </c>
      <c r="X7810">
        <v>0.97628029999999999</v>
      </c>
      <c r="Y7810">
        <v>-0.25258510000000001</v>
      </c>
      <c r="Z7810">
        <v>-1.505153E-3</v>
      </c>
      <c r="AA7810">
        <v>0.96757349999999998</v>
      </c>
      <c r="AB7810">
        <v>17</v>
      </c>
      <c r="AC7810">
        <v>121.5224</v>
      </c>
      <c r="AD7810">
        <v>6.9794999999999802E-2</v>
      </c>
      <c r="AE7810">
        <v>-1.6587099999999899</v>
      </c>
      <c r="AF7810">
        <v>-30.7188211378866</v>
      </c>
      <c r="AG7810">
        <v>6.9794999999999802E-2</v>
      </c>
      <c r="AH7810">
        <v>117.587368819288</v>
      </c>
      <c r="AI7810">
        <v>89.967095882354997</v>
      </c>
      <c r="AJ7810">
        <v>104.640879620654</v>
      </c>
      <c r="AK7810">
        <v>121.53369964453</v>
      </c>
      <c r="AL7810">
        <v>83.867481564884102</v>
      </c>
      <c r="AM7810">
        <v>100.91801960743101</v>
      </c>
      <c r="AN7810">
        <v>1.0000000521354</v>
      </c>
    </row>
    <row r="7811" spans="1:40" x14ac:dyDescent="0.25">
      <c r="A7811" t="str">
        <f>"20190303162108486"</f>
        <v>20190303162108486</v>
      </c>
      <c r="B7811" t="str">
        <f>"1551601268480187"</f>
        <v>1551601268480187</v>
      </c>
      <c r="C7811" t="s">
        <v>40</v>
      </c>
      <c r="D7811">
        <v>4.982443</v>
      </c>
      <c r="E7811">
        <v>0.47483570000000003</v>
      </c>
      <c r="F7811" t="s">
        <v>76</v>
      </c>
      <c r="G7811">
        <v>-279.68</v>
      </c>
      <c r="H7811">
        <v>1.1390929999999999</v>
      </c>
      <c r="I7811">
        <v>18.724219999999999</v>
      </c>
      <c r="J7811">
        <v>-401.10329999999999</v>
      </c>
      <c r="K7811">
        <v>1.1230199999999999</v>
      </c>
      <c r="L7811">
        <v>20.186610000000002</v>
      </c>
      <c r="M7811">
        <v>0.96468779999999998</v>
      </c>
      <c r="N7811">
        <v>-9.0155589999999994E-3</v>
      </c>
      <c r="O7811">
        <v>-0.26324150000000002</v>
      </c>
      <c r="P7811">
        <v>0.99215100000000001</v>
      </c>
      <c r="Q7811">
        <v>9.8676910000000007E-2</v>
      </c>
      <c r="R7811">
        <v>-7.6806159999999998E-2</v>
      </c>
      <c r="S7811">
        <v>3.0213009999999998</v>
      </c>
      <c r="T7811">
        <v>3.9947030000000002E-4</v>
      </c>
      <c r="U7811">
        <v>-3.6956790000000003E-2</v>
      </c>
      <c r="V7811">
        <v>-0.1876091</v>
      </c>
      <c r="W7811">
        <v>0.10657419999999999</v>
      </c>
      <c r="X7811">
        <v>0.97644500000000001</v>
      </c>
      <c r="Y7811">
        <v>-0.25142189999999998</v>
      </c>
      <c r="Z7811">
        <v>-1.3131659999999999E-3</v>
      </c>
      <c r="AA7811">
        <v>0.96787670000000003</v>
      </c>
      <c r="AB7811">
        <v>17</v>
      </c>
      <c r="AC7811">
        <v>121.423299999999</v>
      </c>
      <c r="AD7811">
        <v>1.6073E-2</v>
      </c>
      <c r="AE7811">
        <v>-1.4623899999999901</v>
      </c>
      <c r="AF7811">
        <v>-30.5541442861715</v>
      </c>
      <c r="AG7811">
        <v>1.6073E-2</v>
      </c>
      <c r="AH7811">
        <v>117.52531692218101</v>
      </c>
      <c r="AI7811">
        <v>89.992416214251605</v>
      </c>
      <c r="AJ7811">
        <v>104.57310282995699</v>
      </c>
      <c r="AK7811">
        <v>121.432104935477</v>
      </c>
      <c r="AL7811">
        <v>83.882129678727395</v>
      </c>
      <c r="AM7811">
        <v>100.87597602264201</v>
      </c>
      <c r="AN7811">
        <v>1.0000000362667201</v>
      </c>
    </row>
    <row r="7812" spans="1:40" x14ac:dyDescent="0.25">
      <c r="A7812" t="str">
        <f>"20190303162108498"</f>
        <v>20190303162108498</v>
      </c>
      <c r="B7812" t="str">
        <f>"1551601268490923"</f>
        <v>1551601268490923</v>
      </c>
      <c r="C7812" t="s">
        <v>40</v>
      </c>
      <c r="D7812">
        <v>4.9194789999999999</v>
      </c>
      <c r="E7812">
        <v>0.47494199999999998</v>
      </c>
      <c r="F7812" t="s">
        <v>76</v>
      </c>
      <c r="G7812">
        <v>-279.68</v>
      </c>
      <c r="H7812">
        <v>1.0735319999999999</v>
      </c>
      <c r="I7812">
        <v>18.844840000000001</v>
      </c>
      <c r="J7812">
        <v>-401.01069999999999</v>
      </c>
      <c r="K7812">
        <v>1.1230119999999999</v>
      </c>
      <c r="L7812">
        <v>20.164459999999998</v>
      </c>
      <c r="M7812">
        <v>0.96536460000000002</v>
      </c>
      <c r="N7812">
        <v>-9.0195899999999992E-3</v>
      </c>
      <c r="O7812">
        <v>-0.26074849999999999</v>
      </c>
      <c r="P7812">
        <v>0.99236020000000003</v>
      </c>
      <c r="Q7812">
        <v>9.8164589999999996E-2</v>
      </c>
      <c r="R7812">
        <v>-7.4731560000000002E-2</v>
      </c>
      <c r="S7812">
        <v>3.021271</v>
      </c>
      <c r="T7812">
        <v>-1.2313129999999999E-3</v>
      </c>
      <c r="U7812">
        <v>-3.3386230000000003E-2</v>
      </c>
      <c r="V7812">
        <v>-0.18713669999999999</v>
      </c>
      <c r="W7812">
        <v>0.1060735</v>
      </c>
      <c r="X7812">
        <v>0.97659010000000002</v>
      </c>
      <c r="Y7812">
        <v>-0.2500657</v>
      </c>
      <c r="Z7812">
        <v>-1.08932E-3</v>
      </c>
      <c r="AA7812">
        <v>0.96822830000000004</v>
      </c>
      <c r="AB7812">
        <v>17</v>
      </c>
      <c r="AC7812">
        <v>121.330699999999</v>
      </c>
      <c r="AD7812">
        <v>-4.94800000000001E-2</v>
      </c>
      <c r="AE7812">
        <v>-1.31962</v>
      </c>
      <c r="AF7812">
        <v>-30.364114524889601</v>
      </c>
      <c r="AG7812">
        <v>-4.94800000000001E-2</v>
      </c>
      <c r="AH7812">
        <v>117.47721401197001</v>
      </c>
      <c r="AI7812">
        <v>90.023364472639102</v>
      </c>
      <c r="AJ7812">
        <v>104.491972834077</v>
      </c>
      <c r="AK7812">
        <v>121.337865941202</v>
      </c>
      <c r="AL7812">
        <v>83.910980859943095</v>
      </c>
      <c r="AM7812">
        <v>100.84766731234301</v>
      </c>
      <c r="AN7812">
        <v>0.99999997765357396</v>
      </c>
    </row>
    <row r="7813" spans="1:40" x14ac:dyDescent="0.25">
      <c r="A7813" t="str">
        <f>"20190303162108517"</f>
        <v>20190303162108517</v>
      </c>
      <c r="B7813" t="str">
        <f>"1551601268510443"</f>
        <v>1551601268510443</v>
      </c>
      <c r="C7813" t="s">
        <v>40</v>
      </c>
      <c r="D7813">
        <v>4.918418</v>
      </c>
      <c r="E7813">
        <v>0.47522910000000002</v>
      </c>
      <c r="F7813" t="s">
        <v>76</v>
      </c>
      <c r="G7813">
        <v>-279.68</v>
      </c>
      <c r="H7813">
        <v>1.0028360000000001</v>
      </c>
      <c r="I7813">
        <v>19.040649999999999</v>
      </c>
      <c r="J7813">
        <v>-400.87479999999999</v>
      </c>
      <c r="K7813">
        <v>1.1229960000000001</v>
      </c>
      <c r="L7813">
        <v>20.132290000000001</v>
      </c>
      <c r="M7813">
        <v>0.96633800000000003</v>
      </c>
      <c r="N7813">
        <v>-9.0281760000000006E-3</v>
      </c>
      <c r="O7813">
        <v>-0.2571176</v>
      </c>
      <c r="P7813">
        <v>0.99259050000000004</v>
      </c>
      <c r="Q7813">
        <v>9.7622810000000004E-2</v>
      </c>
      <c r="R7813">
        <v>-7.2346460000000001E-2</v>
      </c>
      <c r="S7813">
        <v>3.0213320000000001</v>
      </c>
      <c r="T7813">
        <v>-2.9925110000000002E-3</v>
      </c>
      <c r="U7813">
        <v>-2.7984620000000002E-2</v>
      </c>
      <c r="V7813">
        <v>-0.18581829999999999</v>
      </c>
      <c r="W7813">
        <v>0.1055548</v>
      </c>
      <c r="X7813">
        <v>0.97689800000000004</v>
      </c>
      <c r="Y7813">
        <v>-0.24815699999999999</v>
      </c>
      <c r="Z7813">
        <v>-8.4629110000000003E-4</v>
      </c>
      <c r="AA7813">
        <v>0.96871949999999996</v>
      </c>
      <c r="AB7813">
        <v>17</v>
      </c>
      <c r="AC7813">
        <v>121.1948</v>
      </c>
      <c r="AD7813">
        <v>-0.120159999999999</v>
      </c>
      <c r="AE7813">
        <v>-1.0916399999999999</v>
      </c>
      <c r="AF7813">
        <v>-30.107618850525501</v>
      </c>
      <c r="AG7813">
        <v>-0.120159999999999</v>
      </c>
      <c r="AH7813">
        <v>117.400483965239</v>
      </c>
      <c r="AI7813">
        <v>90.0568043027599</v>
      </c>
      <c r="AJ7813">
        <v>104.383652462014</v>
      </c>
      <c r="AK7813">
        <v>121.19965670968899</v>
      </c>
      <c r="AL7813">
        <v>83.9408679809966</v>
      </c>
      <c r="AM7813">
        <v>100.76972281497299</v>
      </c>
      <c r="AN7813">
        <v>0.99999997941096397</v>
      </c>
    </row>
    <row r="7814" spans="1:40" x14ac:dyDescent="0.25">
      <c r="A7814" t="str">
        <f>"20190303162108540"</f>
        <v>20190303162108540</v>
      </c>
      <c r="B7814" t="str">
        <f>"1551601268530939"</f>
        <v>1551601268530939</v>
      </c>
      <c r="C7814" t="s">
        <v>40</v>
      </c>
      <c r="D7814">
        <v>4.9236449999999996</v>
      </c>
      <c r="E7814">
        <v>0.47548099999999999</v>
      </c>
      <c r="F7814" t="s">
        <v>76</v>
      </c>
      <c r="G7814">
        <v>-279.68</v>
      </c>
      <c r="H7814">
        <v>0.93997410000000003</v>
      </c>
      <c r="I7814">
        <v>19.201889999999999</v>
      </c>
      <c r="J7814">
        <v>-400.71269999999998</v>
      </c>
      <c r="K7814">
        <v>1.122976</v>
      </c>
      <c r="L7814">
        <v>20.094570000000001</v>
      </c>
      <c r="M7814">
        <v>0.96746799999999999</v>
      </c>
      <c r="N7814">
        <v>-9.0420610000000005E-3</v>
      </c>
      <c r="O7814">
        <v>-0.2528318</v>
      </c>
      <c r="P7814">
        <v>0.99282519999999996</v>
      </c>
      <c r="Q7814">
        <v>9.7511979999999998E-2</v>
      </c>
      <c r="R7814">
        <v>-6.9208610000000004E-2</v>
      </c>
      <c r="S7814">
        <v>3.0211790000000001</v>
      </c>
      <c r="T7814">
        <v>-4.5623779999999997E-3</v>
      </c>
      <c r="U7814">
        <v>-2.319336E-2</v>
      </c>
      <c r="V7814">
        <v>-0.18457229999999999</v>
      </c>
      <c r="W7814">
        <v>0.1054747</v>
      </c>
      <c r="X7814">
        <v>0.97714290000000004</v>
      </c>
      <c r="Y7814">
        <v>-0.24539830000000001</v>
      </c>
      <c r="Z7814">
        <v>-6.3222769999999998E-4</v>
      </c>
      <c r="AA7814">
        <v>0.96942209999999995</v>
      </c>
      <c r="AB7814">
        <v>17</v>
      </c>
      <c r="AC7814">
        <v>121.032699999999</v>
      </c>
      <c r="AD7814">
        <v>-0.183001899999999</v>
      </c>
      <c r="AE7814">
        <v>-0.89268000000000203</v>
      </c>
      <c r="AF7814">
        <v>-29.738423666635899</v>
      </c>
      <c r="AG7814">
        <v>-0.183001899999999</v>
      </c>
      <c r="AH7814">
        <v>117.325489666717</v>
      </c>
      <c r="AI7814">
        <v>90.086629211061805</v>
      </c>
      <c r="AJ7814">
        <v>104.223180130678</v>
      </c>
      <c r="AK7814">
        <v>121.035853602999</v>
      </c>
      <c r="AL7814">
        <v>83.945483544622107</v>
      </c>
      <c r="AM7814">
        <v>100.696559614272</v>
      </c>
      <c r="AN7814">
        <v>1.0000000466438901</v>
      </c>
    </row>
    <row r="7815" spans="1:40" x14ac:dyDescent="0.25">
      <c r="A7815" t="str">
        <f>"20190303162108573"</f>
        <v>20190303162108573</v>
      </c>
      <c r="B7815" t="str">
        <f>"1551601268560219"</f>
        <v>1551601268560219</v>
      </c>
      <c r="C7815" t="s">
        <v>40</v>
      </c>
      <c r="D7815">
        <v>4.7569710000000001</v>
      </c>
      <c r="E7815">
        <v>0.47578900000000002</v>
      </c>
      <c r="F7815" t="s">
        <v>76</v>
      </c>
      <c r="G7815">
        <v>-279.68</v>
      </c>
      <c r="H7815">
        <v>0.91560410000000003</v>
      </c>
      <c r="I7815">
        <v>19.468599999999999</v>
      </c>
      <c r="J7815">
        <v>-400.46809999999999</v>
      </c>
      <c r="K7815">
        <v>1.1229480000000001</v>
      </c>
      <c r="L7815">
        <v>20.03894</v>
      </c>
      <c r="M7815">
        <v>0.96910660000000004</v>
      </c>
      <c r="N7815">
        <v>-9.0639099999999997E-3</v>
      </c>
      <c r="O7815">
        <v>-0.24647579999999999</v>
      </c>
      <c r="P7815">
        <v>0.99319939999999995</v>
      </c>
      <c r="Q7815">
        <v>9.7102270000000004E-2</v>
      </c>
      <c r="R7815">
        <v>-6.4232979999999995E-2</v>
      </c>
      <c r="S7815">
        <v>3.021118</v>
      </c>
      <c r="T7815">
        <v>-5.1761869999999996E-3</v>
      </c>
      <c r="U7815">
        <v>-1.5625E-2</v>
      </c>
      <c r="V7815">
        <v>-0.1830523</v>
      </c>
      <c r="W7815">
        <v>0.105111</v>
      </c>
      <c r="X7815">
        <v>0.977468</v>
      </c>
      <c r="Y7815">
        <v>-0.2414615</v>
      </c>
      <c r="Z7815">
        <v>-5.3183549999999999E-4</v>
      </c>
      <c r="AA7815">
        <v>0.97041029999999995</v>
      </c>
      <c r="AB7815">
        <v>17</v>
      </c>
      <c r="AC7815">
        <v>120.7881</v>
      </c>
      <c r="AD7815">
        <v>-0.2073439</v>
      </c>
      <c r="AE7815">
        <v>-0.57034000000000096</v>
      </c>
      <c r="AF7815">
        <v>-29.219736394917199</v>
      </c>
      <c r="AG7815">
        <v>-0.2073439</v>
      </c>
      <c r="AH7815">
        <v>117.201584510327</v>
      </c>
      <c r="AI7815">
        <v>90.098352580110301</v>
      </c>
      <c r="AJ7815">
        <v>103.99912523778499</v>
      </c>
      <c r="AK7815">
        <v>120.789268555665</v>
      </c>
      <c r="AL7815">
        <v>83.966438697553201</v>
      </c>
      <c r="AM7815">
        <v>100.607030037746</v>
      </c>
      <c r="AN7815">
        <v>1.00000007894014</v>
      </c>
    </row>
    <row r="7816" spans="1:40" x14ac:dyDescent="0.25">
      <c r="A7816" t="str">
        <f>"20190303162108595"</f>
        <v>20190303162108595</v>
      </c>
      <c r="B7816" t="str">
        <f>"1551601268580716"</f>
        <v>1551601268580716</v>
      </c>
      <c r="C7816" t="s">
        <v>40</v>
      </c>
      <c r="D7816">
        <v>5.1447820000000002</v>
      </c>
      <c r="E7816">
        <v>0.47594360000000002</v>
      </c>
      <c r="F7816" t="s">
        <v>76</v>
      </c>
      <c r="G7816">
        <v>-279.68</v>
      </c>
      <c r="H7816">
        <v>0.88086819999999899</v>
      </c>
      <c r="I7816">
        <v>19.920580000000001</v>
      </c>
      <c r="J7816">
        <v>-400.31389999999999</v>
      </c>
      <c r="K7816">
        <v>1.122924</v>
      </c>
      <c r="L7816">
        <v>20.0047</v>
      </c>
      <c r="M7816">
        <v>0.97009719999999999</v>
      </c>
      <c r="N7816">
        <v>-9.0760500000000004E-3</v>
      </c>
      <c r="O7816">
        <v>-0.24254709999999999</v>
      </c>
      <c r="P7816">
        <v>0.99340220000000001</v>
      </c>
      <c r="Q7816">
        <v>9.7076910000000002E-2</v>
      </c>
      <c r="R7816">
        <v>-6.1058429999999997E-2</v>
      </c>
      <c r="S7816">
        <v>3.0209350000000001</v>
      </c>
      <c r="T7816">
        <v>-6.0544010000000001E-3</v>
      </c>
      <c r="U7816">
        <v>-2.960205E-3</v>
      </c>
      <c r="V7816">
        <v>-0.18220939999999999</v>
      </c>
      <c r="W7816">
        <v>0.10511379999999999</v>
      </c>
      <c r="X7816">
        <v>0.97762510000000002</v>
      </c>
      <c r="Y7816">
        <v>-0.2415977</v>
      </c>
      <c r="Z7816">
        <v>-3.9726669999999998E-4</v>
      </c>
      <c r="AA7816">
        <v>0.97037640000000003</v>
      </c>
      <c r="AB7816">
        <v>17</v>
      </c>
      <c r="AC7816">
        <v>120.633899999999</v>
      </c>
      <c r="AD7816">
        <v>-0.24205579999999999</v>
      </c>
      <c r="AE7816">
        <v>-8.4120000000002096E-2</v>
      </c>
      <c r="AF7816">
        <v>-29.178881683135099</v>
      </c>
      <c r="AG7816">
        <v>-0.24205579999999999</v>
      </c>
      <c r="AH7816">
        <v>117.05135876098601</v>
      </c>
      <c r="AI7816">
        <v>90.114966104884203</v>
      </c>
      <c r="AJ7816">
        <v>103.99755757799301</v>
      </c>
      <c r="AK7816">
        <v>120.633686485499</v>
      </c>
      <c r="AL7816">
        <v>83.966276935643606</v>
      </c>
      <c r="AM7816">
        <v>100.55763011241</v>
      </c>
      <c r="AN7816">
        <v>1.0000000062744001</v>
      </c>
    </row>
    <row r="7817" spans="1:40" x14ac:dyDescent="0.25">
      <c r="A7817" t="str">
        <f>"20190303162108607"</f>
        <v>20190303162108607</v>
      </c>
      <c r="B7817" t="str">
        <f>"1551601268600235"</f>
        <v>1551601268600235</v>
      </c>
      <c r="C7817" t="s">
        <v>40</v>
      </c>
      <c r="D7817">
        <v>4.8637750000000004</v>
      </c>
      <c r="E7817">
        <v>0.47620669999999998</v>
      </c>
      <c r="F7817" t="s">
        <v>77</v>
      </c>
      <c r="G7817">
        <v>-279.68</v>
      </c>
      <c r="H7817">
        <v>0.895157599999999</v>
      </c>
      <c r="I7817">
        <v>20.226500000000001</v>
      </c>
      <c r="J7817">
        <v>-400.22219999999999</v>
      </c>
      <c r="K7817">
        <v>1.1229070000000001</v>
      </c>
      <c r="L7817">
        <v>19.984500000000001</v>
      </c>
      <c r="M7817">
        <v>0.97067320000000001</v>
      </c>
      <c r="N7817">
        <v>-9.08285E-3</v>
      </c>
      <c r="O7817">
        <v>-0.24023169999999999</v>
      </c>
      <c r="P7817">
        <v>0.99351270000000003</v>
      </c>
      <c r="Q7817">
        <v>9.7109899999999999E-2</v>
      </c>
      <c r="R7817">
        <v>-5.9181329999999997E-2</v>
      </c>
      <c r="S7817">
        <v>3.020813</v>
      </c>
      <c r="T7817">
        <v>-5.7034490000000002E-3</v>
      </c>
      <c r="U7817">
        <v>5.5541990000000001E-3</v>
      </c>
      <c r="V7817">
        <v>-0.18171899999999999</v>
      </c>
      <c r="W7817">
        <v>0.1051631</v>
      </c>
      <c r="X7817">
        <v>0.97771110000000006</v>
      </c>
      <c r="Y7817">
        <v>-0.24201729999999999</v>
      </c>
      <c r="Z7817">
        <v>-4.2030490000000002E-4</v>
      </c>
      <c r="AA7817">
        <v>0.97027180000000002</v>
      </c>
      <c r="AB7817">
        <v>17</v>
      </c>
      <c r="AC7817">
        <v>120.542199999999</v>
      </c>
      <c r="AD7817">
        <v>-0.22774939999999999</v>
      </c>
      <c r="AE7817">
        <v>0.24199999999999999</v>
      </c>
      <c r="AF7817">
        <v>-29.194057241085599</v>
      </c>
      <c r="AG7817">
        <v>-0.22774939999999999</v>
      </c>
      <c r="AH7817">
        <v>116.953340386759</v>
      </c>
      <c r="AI7817">
        <v>90.108253243794707</v>
      </c>
      <c r="AJ7817">
        <v>104.01582579166001</v>
      </c>
      <c r="AK7817">
        <v>120.542227769384</v>
      </c>
      <c r="AL7817">
        <v>83.963436677800203</v>
      </c>
      <c r="AM7817">
        <v>100.52894604698101</v>
      </c>
      <c r="AN7817">
        <v>1.0000000338129</v>
      </c>
    </row>
    <row r="7818" spans="1:40" x14ac:dyDescent="0.25">
      <c r="A7818" t="str">
        <f>"20190303162108619"</f>
        <v>20190303162108619</v>
      </c>
      <c r="B7818" t="str">
        <f>"1551601268610971"</f>
        <v>1551601268610971</v>
      </c>
      <c r="C7818" t="s">
        <v>40</v>
      </c>
      <c r="D7818">
        <v>4.6954739999999999</v>
      </c>
      <c r="E7818">
        <v>0.47634850000000001</v>
      </c>
      <c r="F7818" t="s">
        <v>77</v>
      </c>
      <c r="G7818">
        <v>-279.68</v>
      </c>
      <c r="H7818">
        <v>0.90931439999999997</v>
      </c>
      <c r="I7818">
        <v>20.354710000000001</v>
      </c>
      <c r="J7818">
        <v>-400.12259999999998</v>
      </c>
      <c r="K7818">
        <v>1.1228899999999999</v>
      </c>
      <c r="L7818">
        <v>19.96292</v>
      </c>
      <c r="M7818">
        <v>0.97128360000000002</v>
      </c>
      <c r="N7818">
        <v>-9.0897760000000008E-3</v>
      </c>
      <c r="O7818">
        <v>-0.2377513</v>
      </c>
      <c r="P7818">
        <v>0.99365820000000005</v>
      </c>
      <c r="Q7818">
        <v>9.698147E-2</v>
      </c>
      <c r="R7818">
        <v>-5.6900470000000002E-2</v>
      </c>
      <c r="S7818">
        <v>3.0206909999999998</v>
      </c>
      <c r="T7818">
        <v>-5.3523779999999996E-3</v>
      </c>
      <c r="U7818">
        <v>9.2773439999999999E-3</v>
      </c>
      <c r="V7818">
        <v>-0.18146329999999999</v>
      </c>
      <c r="W7818">
        <v>0.1050508</v>
      </c>
      <c r="X7818">
        <v>0.97777060000000005</v>
      </c>
      <c r="Y7818">
        <v>-0.24073449999999999</v>
      </c>
      <c r="Z7818">
        <v>-4.5100719999999997E-4</v>
      </c>
      <c r="AA7818">
        <v>0.97059090000000003</v>
      </c>
      <c r="AB7818">
        <v>17</v>
      </c>
      <c r="AC7818">
        <v>120.442599999999</v>
      </c>
      <c r="AD7818">
        <v>-0.21357559999999901</v>
      </c>
      <c r="AE7818">
        <v>0.39179000000000003</v>
      </c>
      <c r="AF7818">
        <v>-29.0170294884778</v>
      </c>
      <c r="AG7818">
        <v>-0.21357559999999901</v>
      </c>
      <c r="AH7818">
        <v>116.895227298574</v>
      </c>
      <c r="AI7818">
        <v>90.101599777790994</v>
      </c>
      <c r="AJ7818">
        <v>103.940814495849</v>
      </c>
      <c r="AK7818">
        <v>120.44304786934499</v>
      </c>
      <c r="AL7818">
        <v>83.969906464391102</v>
      </c>
      <c r="AM7818">
        <v>100.513835630329</v>
      </c>
      <c r="AN7818">
        <v>0.99999997302594401</v>
      </c>
    </row>
    <row r="7819" spans="1:40" x14ac:dyDescent="0.25">
      <c r="A7819" t="str">
        <f>"20190303162108632"</f>
        <v>20190303162108632</v>
      </c>
      <c r="B7819" t="str">
        <f>"1551601268620731"</f>
        <v>1551601268620731</v>
      </c>
      <c r="C7819" t="s">
        <v>40</v>
      </c>
      <c r="D7819">
        <v>4.9058039999999998</v>
      </c>
      <c r="E7819">
        <v>0.47634850000000001</v>
      </c>
      <c r="F7819" t="s">
        <v>77</v>
      </c>
      <c r="G7819">
        <v>-279.68</v>
      </c>
      <c r="H7819">
        <v>0.89888869999999899</v>
      </c>
      <c r="I7819">
        <v>20.564050000000002</v>
      </c>
      <c r="J7819">
        <v>-400.03339999999997</v>
      </c>
      <c r="K7819">
        <v>1.122873</v>
      </c>
      <c r="L7819">
        <v>19.94379</v>
      </c>
      <c r="M7819">
        <v>0.97181949999999995</v>
      </c>
      <c r="N7819">
        <v>-9.0956200000000004E-3</v>
      </c>
      <c r="O7819">
        <v>-0.23555110000000001</v>
      </c>
      <c r="P7819">
        <v>0.99377130000000002</v>
      </c>
      <c r="Q7819">
        <v>9.7068489999999993E-2</v>
      </c>
      <c r="R7819">
        <v>-5.4736649999999998E-2</v>
      </c>
      <c r="S7819">
        <v>3.0205690000000001</v>
      </c>
      <c r="T7819">
        <v>-5.6176189999999999E-3</v>
      </c>
      <c r="U7819">
        <v>1.5075679999999999E-2</v>
      </c>
      <c r="V7819">
        <v>-0.18137239999999999</v>
      </c>
      <c r="W7819">
        <v>0.1051508</v>
      </c>
      <c r="X7819">
        <v>0.9777768</v>
      </c>
      <c r="Y7819">
        <v>-0.2403999</v>
      </c>
      <c r="Z7819">
        <v>-4.0561120000000002E-4</v>
      </c>
      <c r="AA7819">
        <v>0.97067389999999998</v>
      </c>
      <c r="AB7819">
        <v>17</v>
      </c>
      <c r="AC7819">
        <v>120.353399999999</v>
      </c>
      <c r="AD7819">
        <v>-0.2239843</v>
      </c>
      <c r="AE7819">
        <v>0.62026000000000103</v>
      </c>
      <c r="AF7819">
        <v>-28.9532511549153</v>
      </c>
      <c r="AG7819">
        <v>-0.2239843</v>
      </c>
      <c r="AH7819">
        <v>116.820094693404</v>
      </c>
      <c r="AI7819">
        <v>90.106629428613402</v>
      </c>
      <c r="AJ7819">
        <v>103.91996369945601</v>
      </c>
      <c r="AK7819">
        <v>120.354789873865</v>
      </c>
      <c r="AL7819">
        <v>83.964145469816998</v>
      </c>
      <c r="AM7819">
        <v>100.508621157048</v>
      </c>
      <c r="AN7819">
        <v>1.00000005442031</v>
      </c>
    </row>
    <row r="7820" spans="1:40" x14ac:dyDescent="0.25">
      <c r="A7820" t="str">
        <f>"20190303162108650"</f>
        <v>20190303162108650</v>
      </c>
      <c r="B7820" t="str">
        <f>"1551601268640251"</f>
        <v>1551601268640251</v>
      </c>
      <c r="C7820" t="s">
        <v>40</v>
      </c>
      <c r="D7820">
        <v>4.7040179999999996</v>
      </c>
      <c r="E7820">
        <v>0.49062420000000001</v>
      </c>
      <c r="F7820" t="s">
        <v>77</v>
      </c>
      <c r="G7820">
        <v>-279.68</v>
      </c>
      <c r="H7820">
        <v>0.90656009999999998</v>
      </c>
      <c r="I7820">
        <v>20.80106</v>
      </c>
      <c r="J7820">
        <v>-399.90179999999998</v>
      </c>
      <c r="K7820">
        <v>1.122844</v>
      </c>
      <c r="L7820">
        <v>19.91583</v>
      </c>
      <c r="M7820">
        <v>0.97259059999999997</v>
      </c>
      <c r="N7820">
        <v>-9.1036050000000007E-3</v>
      </c>
      <c r="O7820">
        <v>-0.23234669999999999</v>
      </c>
      <c r="P7820">
        <v>0.99395299999999998</v>
      </c>
      <c r="Q7820">
        <v>9.6884349999999994E-2</v>
      </c>
      <c r="R7820">
        <v>-5.168234E-2</v>
      </c>
      <c r="S7820">
        <v>3.0204770000000001</v>
      </c>
      <c r="T7820">
        <v>-5.4286719999999998E-3</v>
      </c>
      <c r="U7820">
        <v>2.1514889999999998E-2</v>
      </c>
      <c r="V7820">
        <v>-0.1811507</v>
      </c>
      <c r="W7820">
        <v>0.1049877</v>
      </c>
      <c r="X7820">
        <v>0.97783540000000002</v>
      </c>
      <c r="Y7820">
        <v>-0.2392698</v>
      </c>
      <c r="Z7820">
        <v>-4.1050770000000003E-4</v>
      </c>
      <c r="AA7820">
        <v>0.97095299999999995</v>
      </c>
      <c r="AB7820">
        <v>17</v>
      </c>
      <c r="AC7820">
        <v>120.22179999999901</v>
      </c>
      <c r="AD7820">
        <v>-0.216283899999999</v>
      </c>
      <c r="AE7820">
        <v>0.88522999999999996</v>
      </c>
      <c r="AF7820">
        <v>-28.795200028598099</v>
      </c>
      <c r="AG7820">
        <v>-0.216283899999999</v>
      </c>
      <c r="AH7820">
        <v>116.72535168381</v>
      </c>
      <c r="AI7820">
        <v>90.103074862095198</v>
      </c>
      <c r="AJ7820">
        <v>103.857714911225</v>
      </c>
      <c r="AK7820">
        <v>120.22486452112</v>
      </c>
      <c r="AL7820">
        <v>83.973542284579295</v>
      </c>
      <c r="AM7820">
        <v>100.49544656802399</v>
      </c>
      <c r="AN7820">
        <v>1.00000003137746</v>
      </c>
    </row>
    <row r="7821" spans="1:40" x14ac:dyDescent="0.25">
      <c r="A7821" t="str">
        <f>"20190303162108662"</f>
        <v>20190303162108662</v>
      </c>
      <c r="B7821" t="str">
        <f>"1551601268650987"</f>
        <v>1551601268650987</v>
      </c>
      <c r="C7821" t="s">
        <v>40</v>
      </c>
      <c r="D7821">
        <v>4.7385429999999999</v>
      </c>
      <c r="E7821">
        <v>0.4909481</v>
      </c>
      <c r="F7821" t="s">
        <v>44</v>
      </c>
      <c r="G7821">
        <v>-295.85879999999997</v>
      </c>
      <c r="H7821">
        <v>-0.05</v>
      </c>
      <c r="I7821">
        <v>17.051359999999999</v>
      </c>
      <c r="J7821">
        <v>-399.80829999999997</v>
      </c>
      <c r="K7821">
        <v>1.122824</v>
      </c>
      <c r="L7821">
        <v>19.89621</v>
      </c>
      <c r="M7821">
        <v>0.97312419999999999</v>
      </c>
      <c r="N7821">
        <v>-9.1087649999999996E-3</v>
      </c>
      <c r="O7821">
        <v>-0.23010130000000001</v>
      </c>
      <c r="P7821">
        <v>0.99409409999999998</v>
      </c>
      <c r="Q7821">
        <v>9.65559E-2</v>
      </c>
      <c r="R7821">
        <v>-4.9542330000000002E-2</v>
      </c>
      <c r="S7821">
        <v>3.0172119999999998</v>
      </c>
      <c r="T7821">
        <v>-3.401208E-2</v>
      </c>
      <c r="U7821">
        <v>-8.306885E-2</v>
      </c>
      <c r="V7821">
        <v>-0.1810001</v>
      </c>
      <c r="W7821">
        <v>0.1046747</v>
      </c>
      <c r="X7821">
        <v>0.97789680000000001</v>
      </c>
      <c r="Y7821">
        <v>-0.20321739999999999</v>
      </c>
      <c r="Z7821">
        <v>2.5330449999999998E-3</v>
      </c>
      <c r="AA7821">
        <v>0.97913039999999996</v>
      </c>
      <c r="AB7821">
        <v>17</v>
      </c>
      <c r="AC7821">
        <v>103.9495</v>
      </c>
      <c r="AD7821">
        <v>-1.1728240000000001</v>
      </c>
      <c r="AE7821">
        <v>-2.8448500000000001</v>
      </c>
      <c r="AF7821">
        <v>-21.148706984874998</v>
      </c>
      <c r="AG7821">
        <v>-1.1728240000000001</v>
      </c>
      <c r="AH7821">
        <v>101.80163754669501</v>
      </c>
      <c r="AI7821">
        <v>90.646260056901198</v>
      </c>
      <c r="AJ7821">
        <v>101.73593829105501</v>
      </c>
      <c r="AK7821">
        <v>103.98180961329599</v>
      </c>
      <c r="AL7821">
        <v>83.991574975921594</v>
      </c>
      <c r="AM7821">
        <v>100.486270959061</v>
      </c>
      <c r="AN7821">
        <v>0.99999999023516895</v>
      </c>
    </row>
    <row r="7822" spans="1:40" x14ac:dyDescent="0.25">
      <c r="A7822" t="str">
        <f>"20190303162108676"</f>
        <v>20190303162108676</v>
      </c>
      <c r="B7822" t="str">
        <f>"1551601268670507"</f>
        <v>1551601268670507</v>
      </c>
      <c r="C7822" t="s">
        <v>40</v>
      </c>
      <c r="D7822">
        <v>4.7307940000000004</v>
      </c>
      <c r="E7822">
        <v>0.49119829999999998</v>
      </c>
      <c r="F7822" t="s">
        <v>44</v>
      </c>
      <c r="G7822">
        <v>-284.93180000000001</v>
      </c>
      <c r="H7822">
        <v>-0.05</v>
      </c>
      <c r="I7822">
        <v>16.889979999999898</v>
      </c>
      <c r="J7822">
        <v>-399.7124</v>
      </c>
      <c r="K7822">
        <v>1.122803</v>
      </c>
      <c r="L7822">
        <v>19.87631</v>
      </c>
      <c r="M7822">
        <v>0.97365740000000001</v>
      </c>
      <c r="N7822">
        <v>-9.1133780000000001E-3</v>
      </c>
      <c r="O7822">
        <v>-0.22783419999999999</v>
      </c>
      <c r="P7822">
        <v>0.99418770000000001</v>
      </c>
      <c r="Q7822">
        <v>9.6506129999999996E-2</v>
      </c>
      <c r="R7822">
        <v>-4.7724450000000002E-2</v>
      </c>
      <c r="S7822">
        <v>3.0168759999999999</v>
      </c>
      <c r="T7822">
        <v>-3.0800580000000001E-2</v>
      </c>
      <c r="U7822">
        <v>-7.8948969999999993E-2</v>
      </c>
      <c r="V7822">
        <v>-0.18050550000000001</v>
      </c>
      <c r="W7822">
        <v>0.1046425</v>
      </c>
      <c r="X7822">
        <v>0.97799170000000002</v>
      </c>
      <c r="Y7822">
        <v>-0.2022738</v>
      </c>
      <c r="Z7822">
        <v>2.171236E-3</v>
      </c>
      <c r="AA7822">
        <v>0.97932660000000005</v>
      </c>
      <c r="AB7822">
        <v>17</v>
      </c>
      <c r="AC7822">
        <v>114.78060000000001</v>
      </c>
      <c r="AD7822">
        <v>-1.172803</v>
      </c>
      <c r="AE7822">
        <v>-2.9863300000000002</v>
      </c>
      <c r="AF7822">
        <v>-23.241821849393499</v>
      </c>
      <c r="AG7822">
        <v>-1.172803</v>
      </c>
      <c r="AH7822">
        <v>112.430296259743</v>
      </c>
      <c r="AI7822">
        <v>90.585278364861793</v>
      </c>
      <c r="AJ7822">
        <v>101.679781304508</v>
      </c>
      <c r="AK7822">
        <v>114.813454206419</v>
      </c>
      <c r="AL7822">
        <v>83.993430308381605</v>
      </c>
      <c r="AM7822">
        <v>100.457256869137</v>
      </c>
      <c r="AN7822">
        <v>1.0000000268026901</v>
      </c>
    </row>
    <row r="7823" spans="1:40" x14ac:dyDescent="0.25">
      <c r="A7823" t="str">
        <f>"20190303162108688"</f>
        <v>20190303162108688</v>
      </c>
      <c r="B7823" t="str">
        <f>"1551601268681243"</f>
        <v>1551601268681243</v>
      </c>
      <c r="C7823" t="s">
        <v>40</v>
      </c>
      <c r="D7823">
        <v>4.7085470000000003</v>
      </c>
      <c r="E7823">
        <v>0.49158679999999899</v>
      </c>
      <c r="F7823" t="s">
        <v>76</v>
      </c>
      <c r="G7823">
        <v>-279.68</v>
      </c>
      <c r="H7823">
        <v>-1.8813160000000001E-3</v>
      </c>
      <c r="I7823">
        <v>16.884239999999998</v>
      </c>
      <c r="J7823">
        <v>-399.62400000000002</v>
      </c>
      <c r="K7823">
        <v>1.1227799999999999</v>
      </c>
      <c r="L7823">
        <v>19.858090000000001</v>
      </c>
      <c r="M7823">
        <v>0.97413939999999999</v>
      </c>
      <c r="N7823">
        <v>-9.1174110000000006E-3</v>
      </c>
      <c r="O7823">
        <v>-0.22576360000000001</v>
      </c>
      <c r="P7823">
        <v>0.99422379999999999</v>
      </c>
      <c r="Q7823">
        <v>9.6858230000000003E-2</v>
      </c>
      <c r="R7823">
        <v>-4.6234329999999997E-2</v>
      </c>
      <c r="S7823">
        <v>3.0166019999999998</v>
      </c>
      <c r="T7823">
        <v>-2.8264999999999998E-2</v>
      </c>
      <c r="U7823">
        <v>-7.5195310000000001E-2</v>
      </c>
      <c r="V7823">
        <v>-0.17988009999999999</v>
      </c>
      <c r="W7823">
        <v>0.1050109</v>
      </c>
      <c r="X7823">
        <v>0.97806740000000003</v>
      </c>
      <c r="Y7823">
        <v>-0.2014097</v>
      </c>
      <c r="Z7823">
        <v>1.8884500000000001E-3</v>
      </c>
      <c r="AA7823">
        <v>0.97950530000000002</v>
      </c>
      <c r="AB7823">
        <v>17</v>
      </c>
      <c r="AC7823">
        <v>119.944</v>
      </c>
      <c r="AD7823">
        <v>-1.1246613160000001</v>
      </c>
      <c r="AE7823">
        <v>-2.9738500000000001</v>
      </c>
      <c r="AF7823">
        <v>-24.180926462386601</v>
      </c>
      <c r="AG7823">
        <v>-1.1246613160000001</v>
      </c>
      <c r="AH7823">
        <v>117.508128750597</v>
      </c>
      <c r="AI7823">
        <v>90.537103340167903</v>
      </c>
      <c r="AJ7823">
        <v>101.62805648478199</v>
      </c>
      <c r="AK7823">
        <v>119.975590809639</v>
      </c>
      <c r="AL7823">
        <v>83.972205378861702</v>
      </c>
      <c r="AM7823">
        <v>100.42103173450199</v>
      </c>
      <c r="AN7823">
        <v>0.99999998921878896</v>
      </c>
    </row>
    <row r="7824" spans="1:40" x14ac:dyDescent="0.25">
      <c r="A7824" t="str">
        <f>"20190303162108707"</f>
        <v>20190303162108707</v>
      </c>
      <c r="B7824" t="str">
        <f>"1551601268700763"</f>
        <v>1551601268700763</v>
      </c>
      <c r="C7824" t="s">
        <v>40</v>
      </c>
      <c r="D7824">
        <v>4.7108109999999996</v>
      </c>
      <c r="E7824">
        <v>0.49244169999999998</v>
      </c>
      <c r="F7824" t="s">
        <v>76</v>
      </c>
      <c r="G7824">
        <v>-279.68</v>
      </c>
      <c r="H7824">
        <v>0.1277325</v>
      </c>
      <c r="I7824">
        <v>16.93479</v>
      </c>
      <c r="J7824">
        <v>-399.47800000000001</v>
      </c>
      <c r="K7824">
        <v>1.122738</v>
      </c>
      <c r="L7824">
        <v>19.828430000000001</v>
      </c>
      <c r="M7824">
        <v>0.97491039999999995</v>
      </c>
      <c r="N7824">
        <v>-9.1231609999999994E-3</v>
      </c>
      <c r="O7824">
        <v>-0.22241060000000001</v>
      </c>
      <c r="P7824">
        <v>0.99429559999999995</v>
      </c>
      <c r="Q7824">
        <v>9.7206819999999999E-2</v>
      </c>
      <c r="R7824">
        <v>-4.3900420000000002E-2</v>
      </c>
      <c r="S7824">
        <v>3.0164179999999998</v>
      </c>
      <c r="T7824">
        <v>-2.5023940000000001E-2</v>
      </c>
      <c r="U7824">
        <v>-7.3516849999999995E-2</v>
      </c>
      <c r="V7824">
        <v>-0.17879310000000001</v>
      </c>
      <c r="W7824">
        <v>0.10538889999999999</v>
      </c>
      <c r="X7824">
        <v>0.97822609999999999</v>
      </c>
      <c r="Y7824">
        <v>-0.19858500000000001</v>
      </c>
      <c r="Z7824">
        <v>1.5184040000000001E-3</v>
      </c>
      <c r="AA7824">
        <v>0.98008249999999997</v>
      </c>
      <c r="AB7824">
        <v>17</v>
      </c>
      <c r="AC7824">
        <v>119.79799999999901</v>
      </c>
      <c r="AD7824">
        <v>-0.99500549999999999</v>
      </c>
      <c r="AE7824">
        <v>-2.8936399999999902</v>
      </c>
      <c r="AF7824">
        <v>-23.8226544440171</v>
      </c>
      <c r="AG7824">
        <v>-0.99500549999999999</v>
      </c>
      <c r="AH7824">
        <v>117.432683800353</v>
      </c>
      <c r="AI7824">
        <v>90.475764301231806</v>
      </c>
      <c r="AJ7824">
        <v>101.46753079727701</v>
      </c>
      <c r="AK7824">
        <v>119.828811749336</v>
      </c>
      <c r="AL7824">
        <v>83.950427081796803</v>
      </c>
      <c r="AM7824">
        <v>100.357781571301</v>
      </c>
      <c r="AN7824">
        <v>1.00000004778601</v>
      </c>
    </row>
    <row r="7825" spans="1:40" x14ac:dyDescent="0.25">
      <c r="A7825" t="str">
        <f>"20190303162108719"</f>
        <v>20190303162108719</v>
      </c>
      <c r="B7825" t="str">
        <f>"1551601268710523"</f>
        <v>1551601268710523</v>
      </c>
      <c r="C7825" t="s">
        <v>40</v>
      </c>
      <c r="D7825">
        <v>4.7110510000000003</v>
      </c>
      <c r="E7825">
        <v>0.49280069999999998</v>
      </c>
      <c r="F7825" t="s">
        <v>76</v>
      </c>
      <c r="G7825">
        <v>-279.68</v>
      </c>
      <c r="H7825">
        <v>8.7562290000000001E-2</v>
      </c>
      <c r="I7825">
        <v>16.9148</v>
      </c>
      <c r="J7825">
        <v>-399.38490000000002</v>
      </c>
      <c r="K7825">
        <v>1.122714</v>
      </c>
      <c r="L7825">
        <v>19.809719999999999</v>
      </c>
      <c r="M7825">
        <v>0.97538559999999996</v>
      </c>
      <c r="N7825">
        <v>-9.1261810000000006E-3</v>
      </c>
      <c r="O7825">
        <v>-0.22031729999999999</v>
      </c>
      <c r="P7825">
        <v>0.99432980000000004</v>
      </c>
      <c r="Q7825">
        <v>9.7424940000000002E-2</v>
      </c>
      <c r="R7825">
        <v>-4.2623179999999997E-2</v>
      </c>
      <c r="S7825">
        <v>3.0164789999999999</v>
      </c>
      <c r="T7825">
        <v>-2.6065350000000001E-2</v>
      </c>
      <c r="U7825">
        <v>-7.3364260000000001E-2</v>
      </c>
      <c r="V7825">
        <v>-0.17793819999999999</v>
      </c>
      <c r="W7825">
        <v>0.1056255</v>
      </c>
      <c r="X7825">
        <v>0.97835640000000001</v>
      </c>
      <c r="Y7825">
        <v>-0.19653000000000001</v>
      </c>
      <c r="Z7825">
        <v>1.612009E-3</v>
      </c>
      <c r="AA7825">
        <v>0.98049649999999999</v>
      </c>
      <c r="AB7825">
        <v>17</v>
      </c>
      <c r="AC7825">
        <v>119.70489999999999</v>
      </c>
      <c r="AD7825">
        <v>-1.0351517100000001</v>
      </c>
      <c r="AE7825">
        <v>-2.8949199999999999</v>
      </c>
      <c r="AF7825">
        <v>-23.548617088131198</v>
      </c>
      <c r="AG7825">
        <v>-1.0351517100000001</v>
      </c>
      <c r="AH7825">
        <v>117.392348307508</v>
      </c>
      <c r="AI7825">
        <v>90.495346822084898</v>
      </c>
      <c r="AJ7825">
        <v>101.342848795509</v>
      </c>
      <c r="AK7825">
        <v>119.73542644922399</v>
      </c>
      <c r="AL7825">
        <v>83.936794506030196</v>
      </c>
      <c r="AM7825">
        <v>100.307976716338</v>
      </c>
      <c r="AN7825">
        <v>0.99999999734522405</v>
      </c>
    </row>
    <row r="7826" spans="1:40" x14ac:dyDescent="0.25">
      <c r="A7826" t="str">
        <f>"20190303162108741"</f>
        <v>20190303162108741</v>
      </c>
      <c r="B7826" t="str">
        <f>"1551601268731018"</f>
        <v>1551601268731018</v>
      </c>
      <c r="C7826" t="s">
        <v>40</v>
      </c>
      <c r="D7826">
        <v>4.7269410000000001</v>
      </c>
      <c r="E7826">
        <v>0.49313770000000001</v>
      </c>
      <c r="F7826" t="s">
        <v>76</v>
      </c>
      <c r="G7826">
        <v>-279.68</v>
      </c>
      <c r="H7826">
        <v>-2.5626380000000001E-2</v>
      </c>
      <c r="I7826">
        <v>16.93262</v>
      </c>
      <c r="J7826">
        <v>-399.22300000000001</v>
      </c>
      <c r="K7826">
        <v>1.1226719999999999</v>
      </c>
      <c r="L7826">
        <v>19.77759</v>
      </c>
      <c r="M7826">
        <v>0.97618769999999999</v>
      </c>
      <c r="N7826">
        <v>-9.1313780000000008E-3</v>
      </c>
      <c r="O7826">
        <v>-0.2167346</v>
      </c>
      <c r="P7826">
        <v>0.99446699999999999</v>
      </c>
      <c r="Q7826">
        <v>9.7147360000000002E-2</v>
      </c>
      <c r="R7826">
        <v>-3.9968660000000003E-2</v>
      </c>
      <c r="S7826">
        <v>3.0168460000000001</v>
      </c>
      <c r="T7826">
        <v>-2.8940799999999999E-2</v>
      </c>
      <c r="U7826">
        <v>-7.2509770000000001E-2</v>
      </c>
      <c r="V7826">
        <v>-0.176951</v>
      </c>
      <c r="W7826">
        <v>0.105377</v>
      </c>
      <c r="X7826">
        <v>0.97856220000000005</v>
      </c>
      <c r="Y7826">
        <v>-0.19320709999999999</v>
      </c>
      <c r="Z7826">
        <v>1.8817949999999999E-3</v>
      </c>
      <c r="AA7826">
        <v>0.98115620000000003</v>
      </c>
      <c r="AB7826">
        <v>17</v>
      </c>
      <c r="AC7826">
        <v>119.542999999999</v>
      </c>
      <c r="AD7826">
        <v>-1.14829838</v>
      </c>
      <c r="AE7826">
        <v>-2.84497</v>
      </c>
      <c r="AF7826">
        <v>-23.1307144863815</v>
      </c>
      <c r="AG7826">
        <v>-1.14829838</v>
      </c>
      <c r="AH7826">
        <v>117.30710096605</v>
      </c>
      <c r="AI7826">
        <v>90.550246105329805</v>
      </c>
      <c r="AJ7826">
        <v>101.15453601115399</v>
      </c>
      <c r="AK7826">
        <v>119.571336359844</v>
      </c>
      <c r="AL7826">
        <v>83.9511122707666</v>
      </c>
      <c r="AM7826">
        <v>100.24989387917999</v>
      </c>
      <c r="AN7826">
        <v>0.99999997389941897</v>
      </c>
    </row>
    <row r="7827" spans="1:40" x14ac:dyDescent="0.25">
      <c r="A7827" t="str">
        <f>"20190303162108762"</f>
        <v>20190303162108762</v>
      </c>
      <c r="B7827" t="str">
        <f>"1551601268750539"</f>
        <v>1551601268750539</v>
      </c>
      <c r="C7827" t="s">
        <v>40</v>
      </c>
      <c r="D7827">
        <v>4.6921949999999999</v>
      </c>
      <c r="E7827">
        <v>0.49348009999999898</v>
      </c>
      <c r="F7827" t="s">
        <v>76</v>
      </c>
      <c r="G7827">
        <v>-279.68</v>
      </c>
      <c r="H7827">
        <v>4.3250259999999999E-2</v>
      </c>
      <c r="I7827">
        <v>17.12067</v>
      </c>
      <c r="J7827">
        <v>-399.06689999999998</v>
      </c>
      <c r="K7827">
        <v>1.1226290000000001</v>
      </c>
      <c r="L7827">
        <v>19.7471</v>
      </c>
      <c r="M7827">
        <v>0.97692800000000002</v>
      </c>
      <c r="N7827">
        <v>-9.1357850000000004E-3</v>
      </c>
      <c r="O7827">
        <v>-0.2133737</v>
      </c>
      <c r="P7827">
        <v>0.99464109999999994</v>
      </c>
      <c r="Q7827">
        <v>9.5973970000000006E-2</v>
      </c>
      <c r="R7827">
        <v>-3.8449919999999999E-2</v>
      </c>
      <c r="S7827">
        <v>3.0166629999999999</v>
      </c>
      <c r="T7827">
        <v>-2.7239079999999999E-2</v>
      </c>
      <c r="U7827">
        <v>-6.7047120000000002E-2</v>
      </c>
      <c r="V7827">
        <v>-0.1750844</v>
      </c>
      <c r="W7827">
        <v>0.1042375</v>
      </c>
      <c r="X7827">
        <v>0.97901990000000005</v>
      </c>
      <c r="Y7827">
        <v>-0.191606</v>
      </c>
      <c r="Z7827">
        <v>1.692713E-3</v>
      </c>
      <c r="AA7827">
        <v>0.98147050000000002</v>
      </c>
      <c r="AB7827">
        <v>17</v>
      </c>
      <c r="AC7827">
        <v>119.386899999999</v>
      </c>
      <c r="AD7827">
        <v>-1.0793787399999999</v>
      </c>
      <c r="AE7827">
        <v>-2.6264299999999898</v>
      </c>
      <c r="AF7827">
        <v>-22.907274767551499</v>
      </c>
      <c r="AG7827">
        <v>-1.0793787399999999</v>
      </c>
      <c r="AH7827">
        <v>117.188126350224</v>
      </c>
      <c r="AI7827">
        <v>90.5179148947621</v>
      </c>
      <c r="AJ7827">
        <v>101.060390240281</v>
      </c>
      <c r="AK7827">
        <v>119.410909272213</v>
      </c>
      <c r="AL7827">
        <v>84.0167624423935</v>
      </c>
      <c r="AM7827">
        <v>100.139383888518</v>
      </c>
      <c r="AN7827">
        <v>0.99999998406280999</v>
      </c>
    </row>
    <row r="7828" spans="1:40" x14ac:dyDescent="0.25">
      <c r="A7828" t="str">
        <f>"20190303162108783"</f>
        <v>20190303162108783</v>
      </c>
      <c r="B7828" t="str">
        <f>"1551601268771034"</f>
        <v>1551601268771034</v>
      </c>
      <c r="C7828" t="s">
        <v>40</v>
      </c>
      <c r="D7828">
        <v>4.9190170000000002</v>
      </c>
      <c r="E7828">
        <v>0.49372500000000002</v>
      </c>
      <c r="F7828" t="s">
        <v>76</v>
      </c>
      <c r="G7828">
        <v>-279.68</v>
      </c>
      <c r="H7828">
        <v>7.7121389999999998E-2</v>
      </c>
      <c r="I7828">
        <v>17.17784</v>
      </c>
      <c r="J7828">
        <v>-398.90199999999999</v>
      </c>
      <c r="K7828">
        <v>1.122582</v>
      </c>
      <c r="L7828">
        <v>19.715330000000002</v>
      </c>
      <c r="M7828">
        <v>0.97767309999999996</v>
      </c>
      <c r="N7828">
        <v>-9.1396010000000007E-3</v>
      </c>
      <c r="O7828">
        <v>-0.20993300000000001</v>
      </c>
      <c r="P7828">
        <v>0.99477800000000005</v>
      </c>
      <c r="Q7828">
        <v>9.4810050000000007E-2</v>
      </c>
      <c r="R7828">
        <v>-3.7789070000000001E-2</v>
      </c>
      <c r="S7828">
        <v>3.016235</v>
      </c>
      <c r="T7828">
        <v>-2.641404E-2</v>
      </c>
      <c r="U7828">
        <v>-6.4910889999999999E-2</v>
      </c>
      <c r="V7828">
        <v>-0.17229169999999999</v>
      </c>
      <c r="W7828">
        <v>0.10311439999999999</v>
      </c>
      <c r="X7828">
        <v>0.97963409999999995</v>
      </c>
      <c r="Y7828">
        <v>-0.1888425</v>
      </c>
      <c r="Z7828">
        <v>1.586271E-3</v>
      </c>
      <c r="AA7828">
        <v>0.98200609999999999</v>
      </c>
      <c r="AB7828">
        <v>17</v>
      </c>
      <c r="AC7828">
        <v>119.221999999999</v>
      </c>
      <c r="AD7828">
        <v>-1.0454606099999999</v>
      </c>
      <c r="AE7828">
        <v>-2.5374899999999898</v>
      </c>
      <c r="AF7828">
        <v>-22.5470042367463</v>
      </c>
      <c r="AG7828">
        <v>-1.0454606099999999</v>
      </c>
      <c r="AH7828">
        <v>117.088731377842</v>
      </c>
      <c r="AI7828">
        <v>90.502340056224</v>
      </c>
      <c r="AJ7828">
        <v>100.899654863308</v>
      </c>
      <c r="AK7828">
        <v>119.24441875245699</v>
      </c>
      <c r="AL7828">
        <v>84.081460016717401</v>
      </c>
      <c r="AM7828">
        <v>99.974800240326005</v>
      </c>
      <c r="AN7828">
        <v>0.99999998962952896</v>
      </c>
    </row>
    <row r="7829" spans="1:40" x14ac:dyDescent="0.25">
      <c r="A7829" t="str">
        <f>"20190303162108796"</f>
        <v>20190303162108796</v>
      </c>
      <c r="B7829" t="str">
        <f>"1551601268790555"</f>
        <v>1551601268790555</v>
      </c>
      <c r="C7829" t="s">
        <v>40</v>
      </c>
      <c r="D7829">
        <v>4.7000449999999896</v>
      </c>
      <c r="E7829">
        <v>0.49389050000000001</v>
      </c>
      <c r="F7829" t="s">
        <v>76</v>
      </c>
      <c r="G7829">
        <v>-279.68</v>
      </c>
      <c r="H7829">
        <v>4.5404849999999997E-2</v>
      </c>
      <c r="I7829">
        <v>17.16743</v>
      </c>
      <c r="J7829">
        <v>-398.80619999999999</v>
      </c>
      <c r="K7829">
        <v>1.122549</v>
      </c>
      <c r="L7829">
        <v>19.697140000000001</v>
      </c>
      <c r="M7829">
        <v>0.97808589999999995</v>
      </c>
      <c r="N7829">
        <v>-9.1413410000000007E-3</v>
      </c>
      <c r="O7829">
        <v>-0.2080014</v>
      </c>
      <c r="P7829">
        <v>0.99481759999999997</v>
      </c>
      <c r="Q7829">
        <v>9.4696130000000003E-2</v>
      </c>
      <c r="R7829">
        <v>-3.7026070000000001E-2</v>
      </c>
      <c r="S7829">
        <v>3.0158999999999998</v>
      </c>
      <c r="T7829">
        <v>-2.724874E-2</v>
      </c>
      <c r="U7829">
        <v>-6.4453129999999997E-2</v>
      </c>
      <c r="V7829">
        <v>-0.17110020000000001</v>
      </c>
      <c r="W7829">
        <v>0.1030219</v>
      </c>
      <c r="X7829">
        <v>0.97985270000000002</v>
      </c>
      <c r="Y7829">
        <v>-0.18704850000000001</v>
      </c>
      <c r="Z7829">
        <v>1.6547790000000001E-3</v>
      </c>
      <c r="AA7829">
        <v>0.98234929999999998</v>
      </c>
      <c r="AB7829">
        <v>17</v>
      </c>
      <c r="AC7829">
        <v>119.126199999999</v>
      </c>
      <c r="AD7829">
        <v>-1.0771441500000001</v>
      </c>
      <c r="AE7829">
        <v>-2.5297100000000001</v>
      </c>
      <c r="AF7829">
        <v>-22.303250062944599</v>
      </c>
      <c r="AG7829">
        <v>-1.0771441500000001</v>
      </c>
      <c r="AH7829">
        <v>117.03715564355301</v>
      </c>
      <c r="AI7829">
        <v>90.517982310864895</v>
      </c>
      <c r="AJ7829">
        <v>100.789238516767</v>
      </c>
      <c r="AK7829">
        <v>119.148189260363</v>
      </c>
      <c r="AL7829">
        <v>84.086788623160601</v>
      </c>
      <c r="AM7829">
        <v>99.905023471757701</v>
      </c>
      <c r="AN7829">
        <v>1.00000005200846</v>
      </c>
    </row>
    <row r="7830" spans="1:40" x14ac:dyDescent="0.25">
      <c r="A7830" t="str">
        <f>"20190303162108809"</f>
        <v>20190303162108809</v>
      </c>
      <c r="B7830" t="str">
        <f>"1551601268800315"</f>
        <v>1551601268800315</v>
      </c>
      <c r="C7830" t="s">
        <v>40</v>
      </c>
      <c r="D7830">
        <v>4.7514409999999998</v>
      </c>
      <c r="E7830">
        <v>0.4940795</v>
      </c>
      <c r="F7830" t="s">
        <v>76</v>
      </c>
      <c r="G7830">
        <v>-279.68</v>
      </c>
      <c r="H7830">
        <v>0.10140490000000001</v>
      </c>
      <c r="I7830">
        <v>17.19455</v>
      </c>
      <c r="J7830">
        <v>-398.71109999999999</v>
      </c>
      <c r="K7830">
        <v>1.122512</v>
      </c>
      <c r="L7830">
        <v>19.679200000000002</v>
      </c>
      <c r="M7830">
        <v>0.97848610000000003</v>
      </c>
      <c r="N7830">
        <v>-9.1429019999999996E-3</v>
      </c>
      <c r="O7830">
        <v>-0.2061103</v>
      </c>
      <c r="P7830">
        <v>0.99483069999999896</v>
      </c>
      <c r="Q7830">
        <v>9.4706070000000003E-2</v>
      </c>
      <c r="R7830">
        <v>-3.664274E-2</v>
      </c>
      <c r="S7830">
        <v>3.0157470000000002</v>
      </c>
      <c r="T7830">
        <v>-2.5850769999999999E-2</v>
      </c>
      <c r="U7830">
        <v>-6.3354489999999999E-2</v>
      </c>
      <c r="V7830">
        <v>-0.16957340000000001</v>
      </c>
      <c r="W7830">
        <v>0.1030551</v>
      </c>
      <c r="X7830">
        <v>0.9801145</v>
      </c>
      <c r="Y7830">
        <v>-0.18550720000000001</v>
      </c>
      <c r="Z7830">
        <v>1.5036239999999901E-3</v>
      </c>
      <c r="AA7830">
        <v>0.98264180000000001</v>
      </c>
      <c r="AB7830">
        <v>17</v>
      </c>
      <c r="AC7830">
        <v>119.031099999999</v>
      </c>
      <c r="AD7830">
        <v>-1.0211071</v>
      </c>
      <c r="AE7830">
        <v>-2.4846499999999998</v>
      </c>
      <c r="AF7830">
        <v>-22.101637270070199</v>
      </c>
      <c r="AG7830">
        <v>-1.0211071</v>
      </c>
      <c r="AH7830">
        <v>116.978668112874</v>
      </c>
      <c r="AI7830">
        <v>90.491428320748895</v>
      </c>
      <c r="AJ7830">
        <v>100.699190592268</v>
      </c>
      <c r="AK7830">
        <v>119.052651474839</v>
      </c>
      <c r="AL7830">
        <v>84.084875692254002</v>
      </c>
      <c r="AM7830">
        <v>99.815792846248598</v>
      </c>
      <c r="AN7830">
        <v>0.99999996236690902</v>
      </c>
    </row>
    <row r="7831" spans="1:40" x14ac:dyDescent="0.25">
      <c r="A7831" t="str">
        <f>"20190303162108821"</f>
        <v>20190303162108821</v>
      </c>
      <c r="B7831" t="str">
        <f>"1551601268811051"</f>
        <v>1551601268811051</v>
      </c>
      <c r="C7831" t="s">
        <v>40</v>
      </c>
      <c r="D7831">
        <v>4.7522869999999999</v>
      </c>
      <c r="E7831">
        <v>0.49421799999999999</v>
      </c>
      <c r="F7831" t="s">
        <v>76</v>
      </c>
      <c r="G7831">
        <v>-279.68</v>
      </c>
      <c r="H7831">
        <v>0.1576872</v>
      </c>
      <c r="I7831">
        <v>17.161560000000001</v>
      </c>
      <c r="J7831">
        <v>-398.61079999999998</v>
      </c>
      <c r="K7831">
        <v>1.1224719999999999</v>
      </c>
      <c r="L7831">
        <v>19.660399999999999</v>
      </c>
      <c r="M7831">
        <v>0.97889360000000003</v>
      </c>
      <c r="N7831">
        <v>-9.1441179999999997E-3</v>
      </c>
      <c r="O7831">
        <v>-0.2041664</v>
      </c>
      <c r="P7831">
        <v>0.99481059999999999</v>
      </c>
      <c r="Q7831">
        <v>9.5046560000000002E-2</v>
      </c>
      <c r="R7831">
        <v>-3.6311330000000003E-2</v>
      </c>
      <c r="S7831">
        <v>3.015533</v>
      </c>
      <c r="T7831">
        <v>-2.4442789999999999E-2</v>
      </c>
      <c r="U7831">
        <v>-6.3781740000000003E-2</v>
      </c>
      <c r="V7831">
        <v>-0.16793710000000001</v>
      </c>
      <c r="W7831">
        <v>0.10342079999999999</v>
      </c>
      <c r="X7831">
        <v>0.9803577</v>
      </c>
      <c r="Y7831">
        <v>-0.18341560000000001</v>
      </c>
      <c r="Z7831">
        <v>1.3492679999999901E-3</v>
      </c>
      <c r="AA7831">
        <v>0.98303459999999998</v>
      </c>
      <c r="AB7831">
        <v>17</v>
      </c>
      <c r="AC7831">
        <v>118.930799999999</v>
      </c>
      <c r="AD7831">
        <v>-0.9647848</v>
      </c>
      <c r="AE7831">
        <v>-2.4988399999999902</v>
      </c>
      <c r="AF7831">
        <v>-21.835049147467299</v>
      </c>
      <c r="AG7831">
        <v>-0.9647848</v>
      </c>
      <c r="AH7831">
        <v>116.927963220766</v>
      </c>
      <c r="AI7831">
        <v>90.464709924584795</v>
      </c>
      <c r="AJ7831">
        <v>100.577546313092</v>
      </c>
      <c r="AK7831">
        <v>118.953136839427</v>
      </c>
      <c r="AL7831">
        <v>84.063810143899701</v>
      </c>
      <c r="AM7831">
        <v>99.720525780814597</v>
      </c>
      <c r="AN7831">
        <v>0.99999997568916899</v>
      </c>
    </row>
    <row r="7832" spans="1:40" x14ac:dyDescent="0.25">
      <c r="A7832" t="str">
        <f>"20190303162108840"</f>
        <v>20190303162108840</v>
      </c>
      <c r="B7832" t="str">
        <f>"1551601268830571"</f>
        <v>1551601268830571</v>
      </c>
      <c r="C7832" t="s">
        <v>40</v>
      </c>
      <c r="D7832">
        <v>4.744364</v>
      </c>
      <c r="E7832">
        <v>0.49447150000000001</v>
      </c>
      <c r="F7832" t="s">
        <v>76</v>
      </c>
      <c r="G7832">
        <v>-279.68</v>
      </c>
      <c r="H7832">
        <v>0.25736910000000002</v>
      </c>
      <c r="I7832">
        <v>17.137589999999999</v>
      </c>
      <c r="J7832">
        <v>-398.47559999999999</v>
      </c>
      <c r="K7832">
        <v>1.1224179999999999</v>
      </c>
      <c r="L7832">
        <v>19.635349999999999</v>
      </c>
      <c r="M7832">
        <v>0.97942130000000005</v>
      </c>
      <c r="N7832">
        <v>-9.1455679999999998E-3</v>
      </c>
      <c r="O7832">
        <v>-0.20161899999999999</v>
      </c>
      <c r="P7832">
        <v>0.99475970000000002</v>
      </c>
      <c r="Q7832">
        <v>9.5471260000000002E-2</v>
      </c>
      <c r="R7832">
        <v>-3.6587679999999997E-2</v>
      </c>
      <c r="S7832">
        <v>3.0154420000000002</v>
      </c>
      <c r="T7832">
        <v>-2.1934269999999999E-2</v>
      </c>
      <c r="U7832">
        <v>-6.3964839999999995E-2</v>
      </c>
      <c r="V7832">
        <v>-0.16509079999999901</v>
      </c>
      <c r="W7832">
        <v>0.1038818</v>
      </c>
      <c r="X7832">
        <v>0.98079229999999995</v>
      </c>
      <c r="Y7832">
        <v>-0.18079899999999999</v>
      </c>
      <c r="Z7832">
        <v>1.088061E-3</v>
      </c>
      <c r="AA7832">
        <v>0.98351949999999999</v>
      </c>
      <c r="AB7832">
        <v>17</v>
      </c>
      <c r="AC7832">
        <v>118.795599999999</v>
      </c>
      <c r="AD7832">
        <v>-0.86504890000000001</v>
      </c>
      <c r="AE7832">
        <v>-2.4977599999999902</v>
      </c>
      <c r="AF7832">
        <v>-21.504850940400999</v>
      </c>
      <c r="AG7832">
        <v>-0.86504890000000001</v>
      </c>
      <c r="AH7832">
        <v>116.85323388843899</v>
      </c>
      <c r="AI7832">
        <v>90.417140449061094</v>
      </c>
      <c r="AJ7832">
        <v>100.42763723912999</v>
      </c>
      <c r="AK7832">
        <v>118.818707255021</v>
      </c>
      <c r="AL7832">
        <v>84.037253702926606</v>
      </c>
      <c r="AM7832">
        <v>99.554684349969605</v>
      </c>
      <c r="AN7832">
        <v>0.99999996817758396</v>
      </c>
    </row>
    <row r="7833" spans="1:40" x14ac:dyDescent="0.25">
      <c r="A7833" t="str">
        <f>"20190303162108853"</f>
        <v>20190303162108853</v>
      </c>
      <c r="B7833" t="str">
        <f>"1551601268840332"</f>
        <v>1551601268840332</v>
      </c>
      <c r="C7833" t="s">
        <v>40</v>
      </c>
      <c r="D7833">
        <v>4.9138449999999896</v>
      </c>
      <c r="E7833">
        <v>0.49453930000000001</v>
      </c>
      <c r="F7833" t="s">
        <v>76</v>
      </c>
      <c r="G7833">
        <v>-279.68</v>
      </c>
      <c r="H7833">
        <v>0.41159639999999997</v>
      </c>
      <c r="I7833">
        <v>17.00084</v>
      </c>
      <c r="J7833">
        <v>-398.37849999999997</v>
      </c>
      <c r="K7833">
        <v>1.1223829999999999</v>
      </c>
      <c r="L7833">
        <v>19.61749</v>
      </c>
      <c r="M7833">
        <v>0.97978569999999998</v>
      </c>
      <c r="N7833">
        <v>-9.1464800000000002E-3</v>
      </c>
      <c r="O7833">
        <v>-0.19984080000000001</v>
      </c>
      <c r="P7833">
        <v>0.99477340000000003</v>
      </c>
      <c r="Q7833">
        <v>9.5344239999999997E-2</v>
      </c>
      <c r="R7833">
        <v>-3.6542499999999999E-2</v>
      </c>
      <c r="S7833">
        <v>3.0150450000000002</v>
      </c>
      <c r="T7833">
        <v>-1.804066E-2</v>
      </c>
      <c r="U7833">
        <v>-6.6864010000000001E-2</v>
      </c>
      <c r="V7833">
        <v>-0.16334560000000001</v>
      </c>
      <c r="W7833">
        <v>0.10377889999999999</v>
      </c>
      <c r="X7833">
        <v>0.98109539999999995</v>
      </c>
      <c r="Y7833">
        <v>-0.178067</v>
      </c>
      <c r="Z7833">
        <v>6.9800329999999999E-4</v>
      </c>
      <c r="AA7833">
        <v>0.98401810000000001</v>
      </c>
      <c r="AB7833">
        <v>17</v>
      </c>
      <c r="AC7833">
        <v>118.698499999999</v>
      </c>
      <c r="AD7833">
        <v>-0.71078659999999905</v>
      </c>
      <c r="AE7833">
        <v>-2.6166499999999999</v>
      </c>
      <c r="AF7833">
        <v>-21.157173466702801</v>
      </c>
      <c r="AG7833">
        <v>-0.71078659999999905</v>
      </c>
      <c r="AH7833">
        <v>116.822704940051</v>
      </c>
      <c r="AI7833">
        <v>90.343021633252803</v>
      </c>
      <c r="AJ7833">
        <v>100.265285602543</v>
      </c>
      <c r="AK7833">
        <v>118.725210449176</v>
      </c>
      <c r="AL7833">
        <v>84.043181755334302</v>
      </c>
      <c r="AM7833">
        <v>99.452645245965996</v>
      </c>
      <c r="AN7833">
        <v>1.00000001451286</v>
      </c>
    </row>
    <row r="7834" spans="1:40" x14ac:dyDescent="0.25">
      <c r="A7834" t="str">
        <f>"20190303162108865"</f>
        <v>20190303162108865</v>
      </c>
      <c r="B7834" t="str">
        <f>"1551601268860828"</f>
        <v>1551601268860828</v>
      </c>
      <c r="C7834" t="s">
        <v>40</v>
      </c>
      <c r="D7834">
        <v>4.9153349999999998</v>
      </c>
      <c r="E7834">
        <v>0.4946951</v>
      </c>
      <c r="F7834" t="s">
        <v>76</v>
      </c>
      <c r="G7834">
        <v>-279.68</v>
      </c>
      <c r="H7834">
        <v>0.42277239999999999</v>
      </c>
      <c r="I7834">
        <v>16.964659999999999</v>
      </c>
      <c r="J7834">
        <v>-398.27600000000001</v>
      </c>
      <c r="K7834">
        <v>1.1223430000000001</v>
      </c>
      <c r="L7834">
        <v>19.598790000000001</v>
      </c>
      <c r="M7834">
        <v>0.98015949999999996</v>
      </c>
      <c r="N7834">
        <v>-9.1473999999999896E-3</v>
      </c>
      <c r="O7834">
        <v>-0.19799910000000001</v>
      </c>
      <c r="P7834">
        <v>0.99474280000000004</v>
      </c>
      <c r="Q7834">
        <v>9.571934E-2</v>
      </c>
      <c r="R7834">
        <v>-3.6396039999999998E-2</v>
      </c>
      <c r="S7834">
        <v>3.0149840000000001</v>
      </c>
      <c r="T7834">
        <v>-1.7770290000000001E-2</v>
      </c>
      <c r="U7834">
        <v>-6.7382810000000001E-2</v>
      </c>
      <c r="V7834">
        <v>-0.16162860000000001</v>
      </c>
      <c r="W7834">
        <v>0.1041787</v>
      </c>
      <c r="X7834">
        <v>0.98133740000000003</v>
      </c>
      <c r="Y7834">
        <v>-0.17604779999999901</v>
      </c>
      <c r="Z7834">
        <v>6.6338509999999999E-4</v>
      </c>
      <c r="AA7834">
        <v>0.98438139999999996</v>
      </c>
      <c r="AB7834">
        <v>18</v>
      </c>
      <c r="AC7834">
        <v>118.596</v>
      </c>
      <c r="AD7834">
        <v>-0.69957060000000004</v>
      </c>
      <c r="AE7834">
        <v>-2.6341299999999901</v>
      </c>
      <c r="AF7834">
        <v>-20.900181682145899</v>
      </c>
      <c r="AG7834">
        <v>-0.69957060000000004</v>
      </c>
      <c r="AH7834">
        <v>116.765378068674</v>
      </c>
      <c r="AI7834">
        <v>90.3378991594236</v>
      </c>
      <c r="AJ7834">
        <v>100.14807605861</v>
      </c>
      <c r="AK7834">
        <v>118.623187062612</v>
      </c>
      <c r="AL7834">
        <v>84.020150268384498</v>
      </c>
      <c r="AM7834">
        <v>99.352783575093497</v>
      </c>
      <c r="AN7834">
        <v>1.0000000492551999</v>
      </c>
    </row>
    <row r="7835" spans="1:40" x14ac:dyDescent="0.25">
      <c r="A7835" t="str">
        <f>"20190303162108884"</f>
        <v>20190303162108884</v>
      </c>
      <c r="B7835" t="str">
        <f>"1551601268870587"</f>
        <v>1551601268870587</v>
      </c>
      <c r="C7835" t="s">
        <v>40</v>
      </c>
      <c r="D7835">
        <v>4.9164079999999997</v>
      </c>
      <c r="E7835">
        <v>0.49475239999999998</v>
      </c>
      <c r="F7835" t="s">
        <v>76</v>
      </c>
      <c r="G7835">
        <v>-279.68</v>
      </c>
      <c r="H7835">
        <v>0.51133669999999998</v>
      </c>
      <c r="I7835">
        <v>16.90972</v>
      </c>
      <c r="J7835">
        <v>-398.1309</v>
      </c>
      <c r="K7835">
        <v>1.1222890000000001</v>
      </c>
      <c r="L7835">
        <v>19.572510000000001</v>
      </c>
      <c r="M7835">
        <v>0.9806629</v>
      </c>
      <c r="N7835">
        <v>-9.1485809999999994E-3</v>
      </c>
      <c r="O7835">
        <v>-0.19549040000000001</v>
      </c>
      <c r="P7835">
        <v>0.99463950000000001</v>
      </c>
      <c r="Q7835">
        <v>9.6407859999999998E-2</v>
      </c>
      <c r="R7835">
        <v>-3.7385389999999998E-2</v>
      </c>
      <c r="S7835">
        <v>3.0148619999999999</v>
      </c>
      <c r="T7835">
        <v>-1.5532489999999999E-2</v>
      </c>
      <c r="U7835">
        <v>-6.8359379999999997E-2</v>
      </c>
      <c r="V7835">
        <v>-0.15811249999999999</v>
      </c>
      <c r="W7835">
        <v>0.1049057</v>
      </c>
      <c r="X7835">
        <v>0.98183260000000006</v>
      </c>
      <c r="Y7835">
        <v>-0.17320959999999999</v>
      </c>
      <c r="Z7835">
        <v>4.4215349999999999E-4</v>
      </c>
      <c r="AA7835">
        <v>0.98488489999999995</v>
      </c>
      <c r="AB7835">
        <v>18</v>
      </c>
      <c r="AC7835">
        <v>118.4509</v>
      </c>
      <c r="AD7835">
        <v>-0.610952299999999</v>
      </c>
      <c r="AE7835">
        <v>-2.6627900000000002</v>
      </c>
      <c r="AF7835">
        <v>-20.545028838300102</v>
      </c>
      <c r="AG7835">
        <v>-0.610952299999999</v>
      </c>
      <c r="AH7835">
        <v>116.682738465361</v>
      </c>
      <c r="AI7835">
        <v>90.295453787065497</v>
      </c>
      <c r="AJ7835">
        <v>99.986052394796403</v>
      </c>
      <c r="AK7835">
        <v>118.479251046144</v>
      </c>
      <c r="AL7835">
        <v>83.978266506662393</v>
      </c>
      <c r="AM7835">
        <v>99.148264088907197</v>
      </c>
      <c r="AN7835">
        <v>1.0000000114857499</v>
      </c>
    </row>
    <row r="7836" spans="1:40" x14ac:dyDescent="0.25">
      <c r="A7836" t="str">
        <f>"20190303162108895"</f>
        <v>20190303162108895</v>
      </c>
      <c r="B7836" t="str">
        <f>"1551601268891083"</f>
        <v>1551601268891083</v>
      </c>
      <c r="C7836" t="s">
        <v>40</v>
      </c>
      <c r="D7836">
        <v>4.9715400000000001</v>
      </c>
      <c r="E7836">
        <v>0.49478800000000001</v>
      </c>
      <c r="F7836" t="s">
        <v>76</v>
      </c>
      <c r="G7836">
        <v>-279.68</v>
      </c>
      <c r="H7836">
        <v>0.61929179999999995</v>
      </c>
      <c r="I7836">
        <v>16.73546</v>
      </c>
      <c r="J7836">
        <v>-398.041</v>
      </c>
      <c r="K7836">
        <v>1.12226</v>
      </c>
      <c r="L7836">
        <v>19.556429999999999</v>
      </c>
      <c r="M7836">
        <v>0.98095909999999997</v>
      </c>
      <c r="N7836">
        <v>-9.1493430000000008E-3</v>
      </c>
      <c r="O7836">
        <v>-0.19399920000000001</v>
      </c>
      <c r="P7836">
        <v>0.99462600000000001</v>
      </c>
      <c r="Q7836">
        <v>9.6360089999999995E-2</v>
      </c>
      <c r="R7836">
        <v>-3.7863809999999998E-2</v>
      </c>
      <c r="S7836">
        <v>3.0146480000000002</v>
      </c>
      <c r="T7836">
        <v>-1.280153E-2</v>
      </c>
      <c r="U7836">
        <v>-7.2204589999999999E-2</v>
      </c>
      <c r="V7836">
        <v>-0.15613779999999999</v>
      </c>
      <c r="W7836">
        <v>0.1048796</v>
      </c>
      <c r="X7836">
        <v>0.98215129999999995</v>
      </c>
      <c r="Y7836">
        <v>-0.1704552</v>
      </c>
      <c r="Z7836">
        <v>1.7673250000000001E-4</v>
      </c>
      <c r="AA7836">
        <v>0.98536539999999995</v>
      </c>
      <c r="AB7836">
        <v>18</v>
      </c>
      <c r="AC7836">
        <v>118.361</v>
      </c>
      <c r="AD7836">
        <v>-0.50296819999999998</v>
      </c>
      <c r="AE7836">
        <v>-2.8209699999999902</v>
      </c>
      <c r="AF7836">
        <v>-20.195162378040699</v>
      </c>
      <c r="AG7836">
        <v>-0.50296819999999998</v>
      </c>
      <c r="AH7836">
        <v>116.65733439840599</v>
      </c>
      <c r="AI7836">
        <v>90.243408895724301</v>
      </c>
      <c r="AJ7836">
        <v>99.821432140651794</v>
      </c>
      <c r="AK7836">
        <v>118.39354386716801</v>
      </c>
      <c r="AL7836">
        <v>83.979769908069201</v>
      </c>
      <c r="AM7836">
        <v>99.033022425387898</v>
      </c>
      <c r="AN7836">
        <v>0.99999995958834398</v>
      </c>
    </row>
    <row r="7837" spans="1:40" x14ac:dyDescent="0.25">
      <c r="A7837" t="str">
        <f>"20190303162108910"</f>
        <v>20190303162108910</v>
      </c>
      <c r="B7837" t="str">
        <f>"1551601268900844"</f>
        <v>1551601268900844</v>
      </c>
      <c r="C7837" t="s">
        <v>40</v>
      </c>
      <c r="D7837">
        <v>4.912566</v>
      </c>
      <c r="E7837">
        <v>0.49478919999999998</v>
      </c>
      <c r="F7837" t="s">
        <v>76</v>
      </c>
      <c r="G7837">
        <v>-279.68</v>
      </c>
      <c r="H7837">
        <v>0.63386260000000005</v>
      </c>
      <c r="I7837">
        <v>16.64716</v>
      </c>
      <c r="J7837">
        <v>-397.93900000000002</v>
      </c>
      <c r="K7837">
        <v>1.1222259999999999</v>
      </c>
      <c r="L7837">
        <v>19.538239999999998</v>
      </c>
      <c r="M7837">
        <v>0.98128709999999997</v>
      </c>
      <c r="N7837">
        <v>-9.1501810000000003E-3</v>
      </c>
      <c r="O7837">
        <v>-0.192333</v>
      </c>
      <c r="P7837">
        <v>0.99460890000000002</v>
      </c>
      <c r="Q7837">
        <v>9.6448599999999995E-2</v>
      </c>
      <c r="R7837">
        <v>-3.809158E-2</v>
      </c>
      <c r="S7837">
        <v>3.0145569999999999</v>
      </c>
      <c r="T7837">
        <v>-1.243901E-2</v>
      </c>
      <c r="U7837">
        <v>-7.4096679999999998E-2</v>
      </c>
      <c r="V7837">
        <v>-0.15423199999999901</v>
      </c>
      <c r="W7837">
        <v>0.1049915</v>
      </c>
      <c r="X7837">
        <v>0.98244050000000005</v>
      </c>
      <c r="Y7837">
        <v>-0.1681626</v>
      </c>
      <c r="Z7837">
        <v>1.3669570000000001E-4</v>
      </c>
      <c r="AA7837">
        <v>0.9857593</v>
      </c>
      <c r="AB7837">
        <v>18</v>
      </c>
      <c r="AC7837">
        <v>118.259</v>
      </c>
      <c r="AD7837">
        <v>-0.488363399999999</v>
      </c>
      <c r="AE7837">
        <v>-2.8910799999999899</v>
      </c>
      <c r="AF7837">
        <v>-19.9086220805053</v>
      </c>
      <c r="AG7837">
        <v>-0.488363399999999</v>
      </c>
      <c r="AH7837">
        <v>116.60497076023501</v>
      </c>
      <c r="AI7837">
        <v>90.236541165573001</v>
      </c>
      <c r="AJ7837">
        <v>99.689004439852397</v>
      </c>
      <c r="AK7837">
        <v>118.29332583857</v>
      </c>
      <c r="AL7837">
        <v>83.973323345146397</v>
      </c>
      <c r="AM7837">
        <v>98.921966956991795</v>
      </c>
      <c r="AN7837">
        <v>1.0000000304682399</v>
      </c>
    </row>
    <row r="7838" spans="1:40" x14ac:dyDescent="0.25">
      <c r="A7838" t="str">
        <f>"20190303162108923"</f>
        <v>20190303162108923</v>
      </c>
      <c r="B7838" t="str">
        <f>"1551601268911110"</f>
        <v>1551601268911110</v>
      </c>
      <c r="C7838" t="s">
        <v>40</v>
      </c>
      <c r="D7838">
        <v>4.7859210000000001</v>
      </c>
      <c r="E7838">
        <v>0.49480439999999998</v>
      </c>
      <c r="F7838" t="s">
        <v>76</v>
      </c>
      <c r="G7838">
        <v>-279.68</v>
      </c>
      <c r="H7838">
        <v>0.66483429999999999</v>
      </c>
      <c r="I7838">
        <v>16.59789</v>
      </c>
      <c r="J7838">
        <v>-397.82709999999997</v>
      </c>
      <c r="K7838">
        <v>1.122188</v>
      </c>
      <c r="L7838">
        <v>19.518460000000001</v>
      </c>
      <c r="M7838">
        <v>0.98163199999999995</v>
      </c>
      <c r="N7838">
        <v>-9.1509199999999999E-3</v>
      </c>
      <c r="O7838">
        <v>-0.1905647</v>
      </c>
      <c r="P7838">
        <v>0.99459529999999996</v>
      </c>
      <c r="Q7838">
        <v>9.6407960000000001E-2</v>
      </c>
      <c r="R7838">
        <v>-3.8547579999999998E-2</v>
      </c>
      <c r="S7838">
        <v>3.0144959999999998</v>
      </c>
      <c r="T7838">
        <v>-1.165915E-2</v>
      </c>
      <c r="U7838">
        <v>-7.4951169999999998E-2</v>
      </c>
      <c r="V7838">
        <v>-0.1519991</v>
      </c>
      <c r="W7838">
        <v>0.10497629999999999</v>
      </c>
      <c r="X7838">
        <v>0.9827901</v>
      </c>
      <c r="Y7838">
        <v>-0.16610659999999999</v>
      </c>
      <c r="Z7838" s="1">
        <v>6.1701899999999898E-5</v>
      </c>
      <c r="AA7838">
        <v>0.98610779999999998</v>
      </c>
      <c r="AB7838">
        <v>18</v>
      </c>
      <c r="AC7838">
        <v>118.147099999999</v>
      </c>
      <c r="AD7838">
        <v>-0.45735369999999897</v>
      </c>
      <c r="AE7838">
        <v>-2.9205700000000001</v>
      </c>
      <c r="AF7838">
        <v>-19.6482698710516</v>
      </c>
      <c r="AG7838">
        <v>-0.45735369999999897</v>
      </c>
      <c r="AH7838">
        <v>116.536664287222</v>
      </c>
      <c r="AI7838">
        <v>90.221729484875397</v>
      </c>
      <c r="AJ7838">
        <v>99.570156314971101</v>
      </c>
      <c r="AK7838">
        <v>118.18230749365701</v>
      </c>
      <c r="AL7838">
        <v>83.974199291077994</v>
      </c>
      <c r="AM7838">
        <v>98.791753072201104</v>
      </c>
      <c r="AN7838">
        <v>1.0000000653102501</v>
      </c>
    </row>
    <row r="7839" spans="1:40" x14ac:dyDescent="0.25">
      <c r="A7839" t="str">
        <f>"20190303162108942"</f>
        <v>20190303162108942</v>
      </c>
      <c r="B7839" t="str">
        <f>"1551601268930630"</f>
        <v>1551601268930630</v>
      </c>
      <c r="C7839" t="s">
        <v>40</v>
      </c>
      <c r="D7839">
        <v>4.8386129999999996</v>
      </c>
      <c r="E7839">
        <v>0.49490529999999999</v>
      </c>
      <c r="F7839" t="s">
        <v>76</v>
      </c>
      <c r="G7839">
        <v>-279.68</v>
      </c>
      <c r="H7839">
        <v>0.68109109999999995</v>
      </c>
      <c r="I7839">
        <v>16.521070000000002</v>
      </c>
      <c r="J7839">
        <v>-397.69009999999997</v>
      </c>
      <c r="K7839">
        <v>1.1221570000000001</v>
      </c>
      <c r="L7839">
        <v>19.49438</v>
      </c>
      <c r="M7839">
        <v>0.98203189999999996</v>
      </c>
      <c r="N7839">
        <v>-9.1518020000000005E-3</v>
      </c>
      <c r="O7839">
        <v>-0.18849369999999999</v>
      </c>
      <c r="P7839">
        <v>0.9944906</v>
      </c>
      <c r="Q7839">
        <v>9.6710160000000003E-2</v>
      </c>
      <c r="R7839">
        <v>-4.044507E-2</v>
      </c>
      <c r="S7839">
        <v>3.014465</v>
      </c>
      <c r="T7839">
        <v>-1.125431E-2</v>
      </c>
      <c r="U7839">
        <v>-7.6477050000000005E-2</v>
      </c>
      <c r="V7839">
        <v>-0.14802889999999999</v>
      </c>
      <c r="W7839">
        <v>0.1053135</v>
      </c>
      <c r="X7839">
        <v>0.98335980000000001</v>
      </c>
      <c r="Y7839">
        <v>-0.16352700000000001</v>
      </c>
      <c r="Z7839" s="1">
        <v>1.9992290000000001E-5</v>
      </c>
      <c r="AA7839">
        <v>0.98653880000000005</v>
      </c>
      <c r="AB7839">
        <v>18</v>
      </c>
      <c r="AC7839">
        <v>118.010099999999</v>
      </c>
      <c r="AD7839">
        <v>-0.44106590000000001</v>
      </c>
      <c r="AE7839">
        <v>-2.9733099999999899</v>
      </c>
      <c r="AF7839">
        <v>-19.3248119114145</v>
      </c>
      <c r="AG7839">
        <v>-0.44106590000000001</v>
      </c>
      <c r="AH7839">
        <v>116.45336770074699</v>
      </c>
      <c r="AI7839">
        <v>90.214078560331004</v>
      </c>
      <c r="AJ7839">
        <v>99.422066375308702</v>
      </c>
      <c r="AK7839">
        <v>118.046726949057</v>
      </c>
      <c r="AL7839">
        <v>83.954771022777607</v>
      </c>
      <c r="AM7839">
        <v>98.560675458321697</v>
      </c>
      <c r="AN7839">
        <v>0.99999999238674997</v>
      </c>
    </row>
    <row r="7840" spans="1:40" x14ac:dyDescent="0.25">
      <c r="A7840" t="str">
        <f>"20190303162108963"</f>
        <v>20190303162108963</v>
      </c>
      <c r="B7840" t="str">
        <f>"1551601268950150"</f>
        <v>1551601268950150</v>
      </c>
      <c r="C7840" t="s">
        <v>40</v>
      </c>
      <c r="D7840">
        <v>6.2030440000000002</v>
      </c>
      <c r="E7840">
        <v>0.49489169999999999</v>
      </c>
      <c r="F7840" t="s">
        <v>76</v>
      </c>
      <c r="G7840">
        <v>-279.68</v>
      </c>
      <c r="H7840">
        <v>0.7351105</v>
      </c>
      <c r="I7840">
        <v>16.245729999999998</v>
      </c>
      <c r="J7840">
        <v>-397.52140000000003</v>
      </c>
      <c r="K7840">
        <v>1.122109</v>
      </c>
      <c r="L7840">
        <v>19.465</v>
      </c>
      <c r="M7840">
        <v>0.98249620000000004</v>
      </c>
      <c r="N7840">
        <v>-9.1528149999999999E-3</v>
      </c>
      <c r="O7840">
        <v>-0.18605830000000001</v>
      </c>
      <c r="P7840">
        <v>0.99429049999999997</v>
      </c>
      <c r="Q7840">
        <v>9.8332020000000006E-2</v>
      </c>
      <c r="R7840">
        <v>-4.1442199999999998E-2</v>
      </c>
      <c r="S7840">
        <v>3.014221</v>
      </c>
      <c r="T7840">
        <v>-9.8859069999999993E-3</v>
      </c>
      <c r="U7840">
        <v>-8.2977289999999995E-2</v>
      </c>
      <c r="V7840">
        <v>-0.1445591</v>
      </c>
      <c r="W7840">
        <v>0.1069716</v>
      </c>
      <c r="X7840">
        <v>0.98369700000000004</v>
      </c>
      <c r="Y7840">
        <v>-0.1589515</v>
      </c>
      <c r="Z7840">
        <v>-1.160389E-4</v>
      </c>
      <c r="AA7840">
        <v>0.98728640000000001</v>
      </c>
      <c r="AB7840">
        <v>18</v>
      </c>
      <c r="AC7840">
        <v>117.84139999999999</v>
      </c>
      <c r="AD7840">
        <v>-0.38699850000000002</v>
      </c>
      <c r="AE7840">
        <v>-3.2192699999999999</v>
      </c>
      <c r="AF7840">
        <v>-18.763031427403799</v>
      </c>
      <c r="AG7840">
        <v>-0.38699850000000002</v>
      </c>
      <c r="AH7840">
        <v>116.381305947782</v>
      </c>
      <c r="AI7840">
        <v>90.188094086630301</v>
      </c>
      <c r="AJ7840">
        <v>99.158437864750397</v>
      </c>
      <c r="AK7840">
        <v>117.88472967393101</v>
      </c>
      <c r="AL7840">
        <v>83.859229339141294</v>
      </c>
      <c r="AM7840">
        <v>98.360058029487206</v>
      </c>
      <c r="AN7840">
        <v>1.0000000222041801</v>
      </c>
    </row>
    <row r="7841" spans="1:40" x14ac:dyDescent="0.25">
      <c r="A7841" t="str">
        <f>"20190303162108978"</f>
        <v>20190303162108978</v>
      </c>
      <c r="B7841" t="str">
        <f>"1551601268970647"</f>
        <v>1551601268970647</v>
      </c>
      <c r="C7841" t="s">
        <v>40</v>
      </c>
      <c r="D7841">
        <v>5.1014039999999996</v>
      </c>
      <c r="E7841">
        <v>0.49486000000000002</v>
      </c>
      <c r="F7841" t="s">
        <v>76</v>
      </c>
      <c r="G7841">
        <v>-279.68</v>
      </c>
      <c r="H7841">
        <v>0.95926199999999995</v>
      </c>
      <c r="I7841">
        <v>16.097860000000001</v>
      </c>
      <c r="J7841">
        <v>-397.40370000000001</v>
      </c>
      <c r="K7841">
        <v>1.12207099999999</v>
      </c>
      <c r="L7841">
        <v>19.444700000000001</v>
      </c>
      <c r="M7841">
        <v>0.98279890000000003</v>
      </c>
      <c r="N7841">
        <v>-9.1537430000000006E-3</v>
      </c>
      <c r="O7841">
        <v>-0.18445239999999999</v>
      </c>
      <c r="P7841">
        <v>0.99416959999999999</v>
      </c>
      <c r="Q7841">
        <v>9.9652740000000004E-2</v>
      </c>
      <c r="R7841">
        <v>-4.1189839999999998E-2</v>
      </c>
      <c r="S7841">
        <v>3.014008</v>
      </c>
      <c r="T7841">
        <v>-4.1650530000000002E-3</v>
      </c>
      <c r="U7841">
        <v>-8.612061E-2</v>
      </c>
      <c r="V7841">
        <v>-0.1431665</v>
      </c>
      <c r="W7841">
        <v>0.1083136</v>
      </c>
      <c r="X7841">
        <v>0.98375380000000001</v>
      </c>
      <c r="Y7841">
        <v>-0.15630649999999999</v>
      </c>
      <c r="Z7841">
        <v>-6.1943570000000002E-4</v>
      </c>
      <c r="AA7841">
        <v>0.98770840000000004</v>
      </c>
      <c r="AB7841">
        <v>18</v>
      </c>
      <c r="AC7841">
        <v>117.72369999999999</v>
      </c>
      <c r="AD7841">
        <v>-0.16280899999999901</v>
      </c>
      <c r="AE7841">
        <v>-3.3468399999999998</v>
      </c>
      <c r="AF7841">
        <v>-18.425883653585501</v>
      </c>
      <c r="AG7841">
        <v>-0.16280899999999901</v>
      </c>
      <c r="AH7841">
        <v>116.32069754721699</v>
      </c>
      <c r="AI7841">
        <v>90.079206761043807</v>
      </c>
      <c r="AJ7841">
        <v>99.001198912673999</v>
      </c>
      <c r="AK7841">
        <v>117.771152550431</v>
      </c>
      <c r="AL7841">
        <v>83.781888953894907</v>
      </c>
      <c r="AM7841">
        <v>98.280172605285202</v>
      </c>
      <c r="AN7841">
        <v>1.00000001084082</v>
      </c>
    </row>
    <row r="7842" spans="1:40" x14ac:dyDescent="0.25">
      <c r="A7842" t="str">
        <f>"20190303162108992"</f>
        <v>20190303162108992</v>
      </c>
      <c r="B7842" t="str">
        <f>"1551601268980405"</f>
        <v>1551601268980405</v>
      </c>
      <c r="C7842" t="s">
        <v>40</v>
      </c>
      <c r="D7842">
        <v>5.0375009999999998</v>
      </c>
      <c r="E7842">
        <v>0.49481540000000002</v>
      </c>
      <c r="F7842" t="s">
        <v>76</v>
      </c>
      <c r="G7842">
        <v>-279.68</v>
      </c>
      <c r="H7842">
        <v>1.0984389999999999</v>
      </c>
      <c r="I7842">
        <v>16.112020000000001</v>
      </c>
      <c r="J7842">
        <v>-397.29570000000001</v>
      </c>
      <c r="K7842">
        <v>1.122037</v>
      </c>
      <c r="L7842">
        <v>19.42615</v>
      </c>
      <c r="M7842">
        <v>0.98306490000000002</v>
      </c>
      <c r="N7842">
        <v>-9.1546219999999994E-3</v>
      </c>
      <c r="O7842">
        <v>-0.18302969999999999</v>
      </c>
      <c r="P7842">
        <v>0.99408240000000003</v>
      </c>
      <c r="Q7842">
        <v>0.1006339</v>
      </c>
      <c r="R7842">
        <v>-4.0904820000000001E-2</v>
      </c>
      <c r="S7842">
        <v>3.0140989999999999</v>
      </c>
      <c r="T7842">
        <v>-6.0498710000000001E-4</v>
      </c>
      <c r="U7842">
        <v>-8.5327150000000004E-2</v>
      </c>
      <c r="V7842">
        <v>-0.14199539999999999</v>
      </c>
      <c r="W7842">
        <v>0.1093143</v>
      </c>
      <c r="X7842">
        <v>0.98381280000000004</v>
      </c>
      <c r="Y7842">
        <v>-0.15513660000000001</v>
      </c>
      <c r="Z7842">
        <v>-9.2110770000000002E-4</v>
      </c>
      <c r="AA7842">
        <v>0.98789260000000001</v>
      </c>
      <c r="AB7842">
        <v>18</v>
      </c>
      <c r="AC7842">
        <v>117.6157</v>
      </c>
      <c r="AD7842">
        <v>-2.3598000000000199E-2</v>
      </c>
      <c r="AE7842">
        <v>-3.3141299999999898</v>
      </c>
      <c r="AF7842">
        <v>-18.2699237456414</v>
      </c>
      <c r="AG7842">
        <v>-2.3598000000000199E-2</v>
      </c>
      <c r="AH7842">
        <v>116.23530064805701</v>
      </c>
      <c r="AI7842">
        <v>90.011491062888098</v>
      </c>
      <c r="AJ7842">
        <v>98.932695405151193</v>
      </c>
      <c r="AK7842">
        <v>117.66238051000499</v>
      </c>
      <c r="AL7842">
        <v>83.724210306633594</v>
      </c>
      <c r="AM7842">
        <v>98.212882879404503</v>
      </c>
      <c r="AN7842">
        <v>0.99999996762474397</v>
      </c>
    </row>
    <row r="7843" spans="1:40" x14ac:dyDescent="0.25">
      <c r="A7843" t="str">
        <f>"20190303162109007"</f>
        <v>20190303162109007</v>
      </c>
      <c r="B7843" t="str">
        <f>"1551601269000903"</f>
        <v>1551601269000903</v>
      </c>
      <c r="C7843" t="s">
        <v>40</v>
      </c>
      <c r="D7843">
        <v>5.027806</v>
      </c>
      <c r="E7843">
        <v>0.494786</v>
      </c>
      <c r="F7843" t="s">
        <v>76</v>
      </c>
      <c r="G7843">
        <v>-279.68</v>
      </c>
      <c r="H7843">
        <v>1.2105140000000001</v>
      </c>
      <c r="I7843">
        <v>16.138269999999999</v>
      </c>
      <c r="J7843">
        <v>-397.17809999999997</v>
      </c>
      <c r="K7843">
        <v>1.1219980000000001</v>
      </c>
      <c r="L7843">
        <v>19.406009999999998</v>
      </c>
      <c r="M7843">
        <v>0.98334129999999997</v>
      </c>
      <c r="N7843">
        <v>-9.1555660000000004E-3</v>
      </c>
      <c r="O7843">
        <v>-0.18153839999999999</v>
      </c>
      <c r="P7843">
        <v>0.99382820000000005</v>
      </c>
      <c r="Q7843">
        <v>0.1026292</v>
      </c>
      <c r="R7843">
        <v>-4.2104269999999999E-2</v>
      </c>
      <c r="S7843">
        <v>3.01416</v>
      </c>
      <c r="T7843">
        <v>2.2674800000000001E-3</v>
      </c>
      <c r="U7843">
        <v>-8.4259029999999999E-2</v>
      </c>
      <c r="V7843">
        <v>-0.13926740000000001</v>
      </c>
      <c r="W7843">
        <v>0.11133510000000001</v>
      </c>
      <c r="X7843">
        <v>0.98397619999999997</v>
      </c>
      <c r="Y7843">
        <v>-0.1539875</v>
      </c>
      <c r="Z7843">
        <v>-1.1585289999999999E-3</v>
      </c>
      <c r="AA7843">
        <v>0.98807210000000001</v>
      </c>
      <c r="AB7843">
        <v>18</v>
      </c>
      <c r="AC7843">
        <v>117.498099999999</v>
      </c>
      <c r="AD7843">
        <v>8.8515999999999803E-2</v>
      </c>
      <c r="AE7843">
        <v>-3.2677399999999999</v>
      </c>
      <c r="AF7843">
        <v>-18.117861325034699</v>
      </c>
      <c r="AG7843">
        <v>8.8515999999999803E-2</v>
      </c>
      <c r="AH7843">
        <v>116.138749171726</v>
      </c>
      <c r="AI7843">
        <v>89.956853472895901</v>
      </c>
      <c r="AJ7843">
        <v>98.866780292457506</v>
      </c>
      <c r="AK7843">
        <v>117.54349745200101</v>
      </c>
      <c r="AL7843">
        <v>83.607716291608696</v>
      </c>
      <c r="AM7843">
        <v>98.055869264583606</v>
      </c>
      <c r="AN7843">
        <v>1.0000000376806</v>
      </c>
    </row>
    <row r="7844" spans="1:40" x14ac:dyDescent="0.25">
      <c r="A7844" t="str">
        <f>"20190303162109019"</f>
        <v>20190303162109019</v>
      </c>
      <c r="B7844" t="str">
        <f>"1551601269010661"</f>
        <v>1551601269010661</v>
      </c>
      <c r="C7844" t="s">
        <v>40</v>
      </c>
      <c r="D7844">
        <v>5.0375709999999998</v>
      </c>
      <c r="E7844">
        <v>0.49474240000000003</v>
      </c>
      <c r="F7844" t="s">
        <v>69</v>
      </c>
      <c r="G7844">
        <v>-273.40989999999999</v>
      </c>
      <c r="H7844">
        <v>1.4304380000000001</v>
      </c>
      <c r="I7844">
        <v>15.79824</v>
      </c>
      <c r="J7844">
        <v>-397.07709999999997</v>
      </c>
      <c r="K7844">
        <v>1.1219619999999999</v>
      </c>
      <c r="L7844">
        <v>19.38889</v>
      </c>
      <c r="M7844">
        <v>0.98356469999999896</v>
      </c>
      <c r="N7844">
        <v>-9.1563219999999997E-3</v>
      </c>
      <c r="O7844">
        <v>-0.18032400000000001</v>
      </c>
      <c r="P7844">
        <v>0.99369879999999999</v>
      </c>
      <c r="Q7844">
        <v>0.10369200000000001</v>
      </c>
      <c r="R7844">
        <v>-4.2554719999999997E-2</v>
      </c>
      <c r="S7844">
        <v>3.0141300000000002</v>
      </c>
      <c r="T7844">
        <v>7.5114969999999998E-3</v>
      </c>
      <c r="U7844">
        <v>-8.7860110000000005E-2</v>
      </c>
      <c r="V7844">
        <v>-0.13757629999999901</v>
      </c>
      <c r="W7844">
        <v>0.1124173</v>
      </c>
      <c r="X7844">
        <v>0.98409100000000005</v>
      </c>
      <c r="Y7844">
        <v>-0.15158460000000001</v>
      </c>
      <c r="Z7844">
        <v>-1.600525E-3</v>
      </c>
      <c r="AA7844">
        <v>0.98844299999999996</v>
      </c>
      <c r="AB7844">
        <v>18</v>
      </c>
      <c r="AC7844">
        <v>123.667199999999</v>
      </c>
      <c r="AD7844">
        <v>0.30847599999999897</v>
      </c>
      <c r="AE7844">
        <v>-3.5906500000000001</v>
      </c>
      <c r="AF7844">
        <v>-18.7691967476588</v>
      </c>
      <c r="AG7844">
        <v>0.30847599999999897</v>
      </c>
      <c r="AH7844">
        <v>122.286532633809</v>
      </c>
      <c r="AI7844">
        <v>89.857140770572897</v>
      </c>
      <c r="AJ7844">
        <v>98.725969119685303</v>
      </c>
      <c r="AK7844">
        <v>123.718931322553</v>
      </c>
      <c r="AL7844">
        <v>83.545318781702505</v>
      </c>
      <c r="AM7844">
        <v>97.958392809315299</v>
      </c>
      <c r="AN7844">
        <v>0.99999999197098999</v>
      </c>
    </row>
    <row r="7845" spans="1:40" x14ac:dyDescent="0.25">
      <c r="A7845" t="str">
        <f>"20190303162109033"</f>
        <v>20190303162109033</v>
      </c>
      <c r="B7845" t="str">
        <f>"1551601269020422"</f>
        <v>1551601269020422</v>
      </c>
      <c r="C7845" t="s">
        <v>40</v>
      </c>
      <c r="D7845">
        <v>4.8802110000000001</v>
      </c>
      <c r="E7845">
        <v>0.4946624</v>
      </c>
      <c r="F7845" t="s">
        <v>69</v>
      </c>
      <c r="G7845">
        <v>-273.40989999999999</v>
      </c>
      <c r="H7845">
        <v>1.5569569999999999</v>
      </c>
      <c r="I7845">
        <v>15.75154</v>
      </c>
      <c r="J7845">
        <v>-396.9796</v>
      </c>
      <c r="K7845">
        <v>1.121928</v>
      </c>
      <c r="L7845">
        <v>19.372340000000001</v>
      </c>
      <c r="M7845">
        <v>0.98377199999999998</v>
      </c>
      <c r="N7845">
        <v>-9.157218E-3</v>
      </c>
      <c r="O7845">
        <v>-0.179189299999999</v>
      </c>
      <c r="P7845">
        <v>0.99357530000000005</v>
      </c>
      <c r="Q7845">
        <v>0.1045344</v>
      </c>
      <c r="R7845">
        <v>-4.3367419999999997E-2</v>
      </c>
      <c r="S7845">
        <v>3.01416</v>
      </c>
      <c r="T7845">
        <v>1.0602240000000001E-2</v>
      </c>
      <c r="U7845">
        <v>-8.8653560000000006E-2</v>
      </c>
      <c r="V7845">
        <v>-0.1356087</v>
      </c>
      <c r="W7845">
        <v>0.1132792</v>
      </c>
      <c r="X7845">
        <v>0.98426530000000001</v>
      </c>
      <c r="Y7845">
        <v>-0.1501827</v>
      </c>
      <c r="Z7845">
        <v>-1.85177E-3</v>
      </c>
      <c r="AA7845">
        <v>0.98865650000000005</v>
      </c>
      <c r="AB7845">
        <v>18</v>
      </c>
      <c r="AC7845">
        <v>123.5697</v>
      </c>
      <c r="AD7845">
        <v>0.435028999999999</v>
      </c>
      <c r="AE7845">
        <v>-3.6207999999999898</v>
      </c>
      <c r="AF7845">
        <v>-18.5808752915699</v>
      </c>
      <c r="AG7845">
        <v>0.435028999999999</v>
      </c>
      <c r="AH7845">
        <v>122.216829981381</v>
      </c>
      <c r="AI7845">
        <v>89.798374213631504</v>
      </c>
      <c r="AJ7845">
        <v>98.644597471664099</v>
      </c>
      <c r="AK7845">
        <v>123.621970974134</v>
      </c>
      <c r="AL7845">
        <v>83.495618376269306</v>
      </c>
      <c r="AM7845">
        <v>97.844628359244695</v>
      </c>
      <c r="AN7845">
        <v>1.0000000387262</v>
      </c>
    </row>
    <row r="7846" spans="1:40" x14ac:dyDescent="0.25">
      <c r="A7846" t="str">
        <f>"20190303162109044"</f>
        <v>20190303162109044</v>
      </c>
      <c r="B7846" t="str">
        <f>"1551601269040918"</f>
        <v>1551601269040918</v>
      </c>
      <c r="C7846" t="s">
        <v>40</v>
      </c>
      <c r="D7846">
        <v>5.1922639999999998</v>
      </c>
      <c r="E7846">
        <v>0.49448199999999998</v>
      </c>
      <c r="F7846" t="s">
        <v>78</v>
      </c>
      <c r="G7846">
        <v>-276.84800000000001</v>
      </c>
      <c r="H7846">
        <v>1.6429199999999999</v>
      </c>
      <c r="I7846">
        <v>15.78412</v>
      </c>
      <c r="J7846">
        <v>-396.87939999999998</v>
      </c>
      <c r="K7846">
        <v>1.1218919999999999</v>
      </c>
      <c r="L7846">
        <v>19.35547</v>
      </c>
      <c r="M7846">
        <v>0.98397820000000003</v>
      </c>
      <c r="N7846">
        <v>-9.1582759999999999E-3</v>
      </c>
      <c r="O7846">
        <v>-0.1780545</v>
      </c>
      <c r="P7846">
        <v>0.99342280000000005</v>
      </c>
      <c r="Q7846">
        <v>0.1056552</v>
      </c>
      <c r="R7846">
        <v>-4.4141510000000002E-2</v>
      </c>
      <c r="S7846">
        <v>3.0140989999999999</v>
      </c>
      <c r="T7846">
        <v>1.3071660000000001E-2</v>
      </c>
      <c r="U7846">
        <v>-9.002686E-2</v>
      </c>
      <c r="V7846">
        <v>-0.1336755</v>
      </c>
      <c r="W7846">
        <v>0.11441800000000001</v>
      </c>
      <c r="X7846">
        <v>0.984398</v>
      </c>
      <c r="Y7846">
        <v>-0.14858969999999999</v>
      </c>
      <c r="Z7846">
        <v>-2.0479220000000002E-3</v>
      </c>
      <c r="AA7846">
        <v>0.98889680000000002</v>
      </c>
      <c r="AB7846">
        <v>18</v>
      </c>
      <c r="AC7846">
        <v>120.031399999999</v>
      </c>
      <c r="AD7846">
        <v>0.52102799999999905</v>
      </c>
      <c r="AE7846">
        <v>-3.57134999999999</v>
      </c>
      <c r="AF7846">
        <v>-17.858409763038399</v>
      </c>
      <c r="AG7846">
        <v>0.52102799999999905</v>
      </c>
      <c r="AH7846">
        <v>118.74689807525699</v>
      </c>
      <c r="AI7846">
        <v>89.751399426887701</v>
      </c>
      <c r="AJ7846">
        <v>98.552648090313795</v>
      </c>
      <c r="AK7846">
        <v>120.083387993248</v>
      </c>
      <c r="AL7846">
        <v>83.429942804754603</v>
      </c>
      <c r="AM7846">
        <v>97.733130668765796</v>
      </c>
      <c r="AN7846">
        <v>1.0000000202141199</v>
      </c>
    </row>
    <row r="7847" spans="1:40" x14ac:dyDescent="0.25">
      <c r="A7847" t="str">
        <f>"20190303162109063"</f>
        <v>20190303162109063</v>
      </c>
      <c r="B7847" t="str">
        <f>"1551601269050678"</f>
        <v>1551601269050678</v>
      </c>
      <c r="C7847" t="s">
        <v>40</v>
      </c>
      <c r="D7847">
        <v>4.8707649999999996</v>
      </c>
      <c r="E7847">
        <v>0.49449029999999999</v>
      </c>
      <c r="F7847" t="s">
        <v>78</v>
      </c>
      <c r="G7847">
        <v>-276.8741</v>
      </c>
      <c r="H7847">
        <v>1.7860180000000001</v>
      </c>
      <c r="I7847">
        <v>15.755179999999999</v>
      </c>
      <c r="J7847">
        <v>-396.73939999999999</v>
      </c>
      <c r="K7847">
        <v>1.1218379999999999</v>
      </c>
      <c r="L7847">
        <v>19.331939999999999</v>
      </c>
      <c r="M7847">
        <v>0.98424440000000002</v>
      </c>
      <c r="N7847">
        <v>-9.1599890000000003E-3</v>
      </c>
      <c r="O7847">
        <v>-0.17657690000000001</v>
      </c>
      <c r="P7847">
        <v>0.99327240000000006</v>
      </c>
      <c r="Q7847">
        <v>0.10614759999999999</v>
      </c>
      <c r="R7847">
        <v>-4.6288910000000003E-2</v>
      </c>
      <c r="S7847">
        <v>3.0140690000000001</v>
      </c>
      <c r="T7847">
        <v>1.6680239999999999E-2</v>
      </c>
      <c r="U7847">
        <v>-9.0423580000000003E-2</v>
      </c>
      <c r="V7847">
        <v>-0.13004109999999999</v>
      </c>
      <c r="W7847">
        <v>0.1149405</v>
      </c>
      <c r="X7847">
        <v>0.98482380000000003</v>
      </c>
      <c r="Y7847">
        <v>-0.1469714</v>
      </c>
      <c r="Z7847">
        <v>-2.3303059999999999E-3</v>
      </c>
      <c r="AA7847">
        <v>0.98913799999999996</v>
      </c>
      <c r="AB7847">
        <v>18</v>
      </c>
      <c r="AC7847">
        <v>119.8653</v>
      </c>
      <c r="AD7847">
        <v>0.66417999999999999</v>
      </c>
      <c r="AE7847">
        <v>-3.5767599999999899</v>
      </c>
      <c r="AF7847">
        <v>-17.6452330580811</v>
      </c>
      <c r="AG7847">
        <v>0.66417999999999999</v>
      </c>
      <c r="AH7847">
        <v>118.609640742073</v>
      </c>
      <c r="AI7847">
        <v>89.682655799790396</v>
      </c>
      <c r="AJ7847">
        <v>98.4616774214158</v>
      </c>
      <c r="AK7847">
        <v>119.91681392411201</v>
      </c>
      <c r="AL7847">
        <v>83.399806552682193</v>
      </c>
      <c r="AM7847">
        <v>97.522106828617197</v>
      </c>
      <c r="AN7847">
        <v>0.99999996163794902</v>
      </c>
    </row>
    <row r="7848" spans="1:40" x14ac:dyDescent="0.25">
      <c r="A7848" t="str">
        <f>"20190303162109076"</f>
        <v>20190303162109076</v>
      </c>
      <c r="B7848" t="str">
        <f>"1551601269070198"</f>
        <v>1551601269070198</v>
      </c>
      <c r="C7848" t="s">
        <v>40</v>
      </c>
      <c r="D7848">
        <v>4.8135159999999999</v>
      </c>
      <c r="E7848">
        <v>0.49462289999999998</v>
      </c>
      <c r="F7848" t="s">
        <v>69</v>
      </c>
      <c r="G7848">
        <v>-273.40989999999999</v>
      </c>
      <c r="H7848">
        <v>1.8315140000000001</v>
      </c>
      <c r="I7848">
        <v>15.383380000000001</v>
      </c>
      <c r="J7848">
        <v>-396.63589999999999</v>
      </c>
      <c r="K7848">
        <v>1.1217900000000001</v>
      </c>
      <c r="L7848">
        <v>19.314609999999998</v>
      </c>
      <c r="M7848">
        <v>0.98442600000000002</v>
      </c>
      <c r="N7848">
        <v>-9.1611330000000001E-3</v>
      </c>
      <c r="O7848">
        <v>-0.17556079999999999</v>
      </c>
      <c r="P7848">
        <v>0.99324579999999996</v>
      </c>
      <c r="Q7848">
        <v>0.1060482</v>
      </c>
      <c r="R7848">
        <v>-4.7082470000000001E-2</v>
      </c>
      <c r="S7848">
        <v>3.0139770000000001</v>
      </c>
      <c r="T7848">
        <v>1.7343399999999998E-2</v>
      </c>
      <c r="U7848">
        <v>-9.6496579999999998E-2</v>
      </c>
      <c r="V7848">
        <v>-0.1282247</v>
      </c>
      <c r="W7848">
        <v>0.1148619</v>
      </c>
      <c r="X7848">
        <v>0.98507120000000004</v>
      </c>
      <c r="Y7848">
        <v>-0.14395720000000001</v>
      </c>
      <c r="Z7848">
        <v>-2.3751470000000002E-3</v>
      </c>
      <c r="AA7848">
        <v>0.98958100000000004</v>
      </c>
      <c r="AB7848">
        <v>18</v>
      </c>
      <c r="AC7848">
        <v>123.226</v>
      </c>
      <c r="AD7848">
        <v>0.70972399999999902</v>
      </c>
      <c r="AE7848">
        <v>-3.9312299999999998</v>
      </c>
      <c r="AF7848">
        <v>-17.763806292816799</v>
      </c>
      <c r="AG7848">
        <v>0.70972399999999902</v>
      </c>
      <c r="AH7848">
        <v>121.998120743993</v>
      </c>
      <c r="AI7848">
        <v>89.670163683336298</v>
      </c>
      <c r="AJ7848">
        <v>98.284458588634394</v>
      </c>
      <c r="AK7848">
        <v>123.28664967153099</v>
      </c>
      <c r="AL7848">
        <v>83.404340608190694</v>
      </c>
      <c r="AM7848">
        <v>97.416374902239298</v>
      </c>
      <c r="AN7848">
        <v>1.0000000494155601</v>
      </c>
    </row>
    <row r="7849" spans="1:40" x14ac:dyDescent="0.25">
      <c r="A7849" t="str">
        <f>"20190303162109090"</f>
        <v>20190303162109090</v>
      </c>
      <c r="B7849" t="str">
        <f>"1551601269080934"</f>
        <v>1551601269080934</v>
      </c>
      <c r="C7849" t="s">
        <v>40</v>
      </c>
      <c r="D7849">
        <v>4.4870720000000004</v>
      </c>
      <c r="E7849">
        <v>0.49462289999999998</v>
      </c>
      <c r="F7849" t="s">
        <v>69</v>
      </c>
      <c r="G7849">
        <v>-273.40989999999999</v>
      </c>
      <c r="H7849">
        <v>1.7969550000000001</v>
      </c>
      <c r="I7849">
        <v>15.22458</v>
      </c>
      <c r="J7849">
        <v>-396.52600000000001</v>
      </c>
      <c r="K7849">
        <v>1.1217379999999999</v>
      </c>
      <c r="L7849">
        <v>19.296299999999999</v>
      </c>
      <c r="M7849">
        <v>0.98460910000000001</v>
      </c>
      <c r="N7849">
        <v>-9.1623360000000001E-3</v>
      </c>
      <c r="O7849">
        <v>-0.17453089999999999</v>
      </c>
      <c r="P7849">
        <v>0.99324520000000005</v>
      </c>
      <c r="Q7849">
        <v>0.105915</v>
      </c>
      <c r="R7849">
        <v>-4.7391950000000002E-2</v>
      </c>
      <c r="S7849">
        <v>3.0139469999999999</v>
      </c>
      <c r="T7849">
        <v>1.6513710000000001E-2</v>
      </c>
      <c r="U7849">
        <v>-0.1000366</v>
      </c>
      <c r="V7849">
        <v>-0.1268744</v>
      </c>
      <c r="W7849">
        <v>0.11474910000000001</v>
      </c>
      <c r="X7849">
        <v>0.98525910000000005</v>
      </c>
      <c r="Y7849">
        <v>-0.1417611</v>
      </c>
      <c r="Z7849">
        <v>-2.2962590000000001E-3</v>
      </c>
      <c r="AA7849">
        <v>0.98989830000000001</v>
      </c>
      <c r="AB7849">
        <v>18</v>
      </c>
      <c r="AC7849">
        <v>123.1161</v>
      </c>
      <c r="AD7849">
        <v>0.67521699999999996</v>
      </c>
      <c r="AE7849">
        <v>-4.0717199999999902</v>
      </c>
      <c r="AF7849">
        <v>-17.478719152368999</v>
      </c>
      <c r="AG7849">
        <v>0.67521699999999996</v>
      </c>
      <c r="AH7849">
        <v>121.93332425904001</v>
      </c>
      <c r="AI7849">
        <v>89.685932881455798</v>
      </c>
      <c r="AJ7849">
        <v>98.157579596147897</v>
      </c>
      <c r="AK7849">
        <v>123.181561550683</v>
      </c>
      <c r="AL7849">
        <v>83.410846141447095</v>
      </c>
      <c r="AM7849">
        <v>97.337746581448599</v>
      </c>
      <c r="AN7849">
        <v>0.99999998172948901</v>
      </c>
    </row>
    <row r="7850" spans="1:40" x14ac:dyDescent="0.25">
      <c r="A7850" t="str">
        <f>"20190303162109179"</f>
        <v>20190303162109179</v>
      </c>
      <c r="B7850" t="str">
        <f>"1551601269170257"</f>
        <v>1551601269170257</v>
      </c>
      <c r="C7850" t="s">
        <v>40</v>
      </c>
      <c r="D7850">
        <v>4.6971869999999996</v>
      </c>
      <c r="E7850">
        <v>0.51172070000000003</v>
      </c>
      <c r="F7850" t="s">
        <v>69</v>
      </c>
      <c r="G7850">
        <v>-273.40989999999999</v>
      </c>
      <c r="H7850">
        <v>1.7785500000000001</v>
      </c>
      <c r="I7850">
        <v>15.162459999999999</v>
      </c>
      <c r="J7850">
        <v>-395.81549999999999</v>
      </c>
      <c r="K7850">
        <v>1.121381</v>
      </c>
      <c r="L7850">
        <v>19.178339999999999</v>
      </c>
      <c r="M7850">
        <v>0.98549699999999996</v>
      </c>
      <c r="N7850">
        <v>-9.1753340000000003E-3</v>
      </c>
      <c r="O7850">
        <v>-0.16944529999999999</v>
      </c>
      <c r="P7850">
        <v>0.99321139999999997</v>
      </c>
      <c r="Q7850">
        <v>0.1030143</v>
      </c>
      <c r="R7850">
        <v>-5.4031919999999997E-2</v>
      </c>
      <c r="S7850">
        <v>3.0138850000000001</v>
      </c>
      <c r="T7850">
        <v>1.6078829999999999E-2</v>
      </c>
      <c r="U7850">
        <v>-0.1011963</v>
      </c>
      <c r="V7850">
        <v>-0.11513429999999999</v>
      </c>
      <c r="W7850">
        <v>0.1119904</v>
      </c>
      <c r="X7850">
        <v>0.98701689999999997</v>
      </c>
      <c r="Y7850">
        <v>-0.136268</v>
      </c>
      <c r="Z7850">
        <v>-2.198878E-3</v>
      </c>
      <c r="AA7850">
        <v>0.99066949999999998</v>
      </c>
      <c r="AB7850">
        <v>18</v>
      </c>
      <c r="AC7850">
        <v>122.40560000000001</v>
      </c>
      <c r="AD7850">
        <v>0.657169</v>
      </c>
      <c r="AE7850">
        <v>-4.0158799999999903</v>
      </c>
      <c r="AF7850">
        <v>-16.7836372288326</v>
      </c>
      <c r="AG7850">
        <v>0.657169</v>
      </c>
      <c r="AH7850">
        <v>121.31242318913201</v>
      </c>
      <c r="AI7850">
        <v>89.692550956361202</v>
      </c>
      <c r="AJ7850">
        <v>97.876898172284896</v>
      </c>
      <c r="AK7850">
        <v>122.469695719973</v>
      </c>
      <c r="AL7850">
        <v>83.569934220553293</v>
      </c>
      <c r="AM7850">
        <v>96.653412988741294</v>
      </c>
      <c r="AN7850">
        <v>1.0000000588071201</v>
      </c>
    </row>
    <row r="7851" spans="1:40" x14ac:dyDescent="0.25">
      <c r="A7851" t="str">
        <f>"20190303162109196"</f>
        <v>20190303162109196</v>
      </c>
      <c r="B7851" t="str">
        <f>"1551601269190753"</f>
        <v>1551601269190753</v>
      </c>
      <c r="C7851" t="s">
        <v>40</v>
      </c>
      <c r="D7851">
        <v>4.864744</v>
      </c>
      <c r="E7851">
        <v>0.51556250000000003</v>
      </c>
      <c r="F7851" t="s">
        <v>42</v>
      </c>
      <c r="G7851">
        <v>-395.1259</v>
      </c>
      <c r="H7851">
        <v>0.83260579999999995</v>
      </c>
      <c r="I7851">
        <v>19.11824</v>
      </c>
      <c r="J7851">
        <v>-395.66680000000002</v>
      </c>
      <c r="K7851">
        <v>1.121319</v>
      </c>
      <c r="L7851">
        <v>19.15372</v>
      </c>
      <c r="M7851">
        <v>0.98562459999999996</v>
      </c>
      <c r="N7851">
        <v>-9.184223E-3</v>
      </c>
      <c r="O7851">
        <v>-0.1687015</v>
      </c>
      <c r="P7851">
        <v>0.99330600000000002</v>
      </c>
      <c r="Q7851">
        <v>0.1018245</v>
      </c>
      <c r="R7851">
        <v>-5.4545879999999998E-2</v>
      </c>
      <c r="S7851">
        <v>3.1422119999999998</v>
      </c>
      <c r="T7851">
        <v>-1.3157190000000001</v>
      </c>
      <c r="U7851">
        <v>-0.272644</v>
      </c>
      <c r="V7851">
        <v>-0.1138812</v>
      </c>
      <c r="W7851">
        <v>0.110829399999999</v>
      </c>
      <c r="X7851">
        <v>0.98729319999999998</v>
      </c>
      <c r="Y7851">
        <v>-6.4092869999999996E-2</v>
      </c>
      <c r="Z7851">
        <v>7.8971780000000005E-2</v>
      </c>
      <c r="AA7851">
        <v>0.99481430000000004</v>
      </c>
      <c r="AB7851">
        <v>18</v>
      </c>
      <c r="AC7851">
        <v>0.54090000000002103</v>
      </c>
      <c r="AD7851">
        <v>-0.288713199999999</v>
      </c>
      <c r="AE7851">
        <v>-3.5479999999999699E-2</v>
      </c>
      <c r="AF7851">
        <v>-4.3844938931386399E-2</v>
      </c>
      <c r="AG7851">
        <v>-0.288713199999999</v>
      </c>
      <c r="AH7851">
        <v>0.41998851710448498</v>
      </c>
      <c r="AI7851">
        <v>124.36102360428799</v>
      </c>
      <c r="AJ7851">
        <v>95.959836931118204</v>
      </c>
      <c r="AK7851">
        <v>0.51153498905134698</v>
      </c>
      <c r="AL7851">
        <v>83.636870787902893</v>
      </c>
      <c r="AM7851">
        <v>96.579811532124793</v>
      </c>
      <c r="AN7851">
        <v>0.99999997319201905</v>
      </c>
    </row>
    <row r="7852" spans="1:40" x14ac:dyDescent="0.25">
      <c r="A7852" t="str">
        <f>"20190303162109220"</f>
        <v>20190303162109220</v>
      </c>
      <c r="B7852" t="str">
        <f>"1551601269210781"</f>
        <v>1551601269210781</v>
      </c>
      <c r="C7852" t="s">
        <v>40</v>
      </c>
      <c r="D7852">
        <v>4.8863329999999996</v>
      </c>
      <c r="E7852">
        <v>0.51600599999999996</v>
      </c>
      <c r="F7852" t="s">
        <v>42</v>
      </c>
      <c r="G7852">
        <v>-394.90589999999997</v>
      </c>
      <c r="H7852">
        <v>0.97206459999999995</v>
      </c>
      <c r="I7852">
        <v>19.07968</v>
      </c>
      <c r="J7852">
        <v>-395.48059999999998</v>
      </c>
      <c r="K7852">
        <v>1.1212599999999999</v>
      </c>
      <c r="L7852">
        <v>19.122859999999999</v>
      </c>
      <c r="M7852">
        <v>0.98576299999999994</v>
      </c>
      <c r="N7852">
        <v>-9.199792E-3</v>
      </c>
      <c r="O7852">
        <v>-0.16788979999999901</v>
      </c>
      <c r="P7852">
        <v>0.99337120000000001</v>
      </c>
      <c r="Q7852">
        <v>0.1014703</v>
      </c>
      <c r="R7852">
        <v>-5.4017929999999999E-2</v>
      </c>
      <c r="S7852">
        <v>3.0655209999999999</v>
      </c>
      <c r="T7852">
        <v>-0.60133979999999998</v>
      </c>
      <c r="U7852">
        <v>-0.2983093</v>
      </c>
      <c r="V7852">
        <v>-0.11358310000000001</v>
      </c>
      <c r="W7852">
        <v>0.1105076</v>
      </c>
      <c r="X7852">
        <v>0.98736360000000001</v>
      </c>
      <c r="Y7852">
        <v>-6.7455749999999995E-2</v>
      </c>
      <c r="Z7852">
        <v>3.7682189999999997E-2</v>
      </c>
      <c r="AA7852">
        <v>0.99701039999999996</v>
      </c>
      <c r="AB7852">
        <v>18</v>
      </c>
      <c r="AC7852">
        <v>0.57470000000000698</v>
      </c>
      <c r="AD7852">
        <v>-0.14919540000000001</v>
      </c>
      <c r="AE7852">
        <v>-4.3179999999999497E-2</v>
      </c>
      <c r="AF7852">
        <v>-5.0536500836173198E-2</v>
      </c>
      <c r="AG7852">
        <v>-0.14919540000000001</v>
      </c>
      <c r="AH7852">
        <v>0.53775317473222295</v>
      </c>
      <c r="AI7852">
        <v>105.44148702993699</v>
      </c>
      <c r="AJ7852">
        <v>95.368725067282895</v>
      </c>
      <c r="AK7852">
        <v>0.56034960714941995</v>
      </c>
      <c r="AL7852">
        <v>83.655422470903702</v>
      </c>
      <c r="AM7852">
        <v>96.5622745506477</v>
      </c>
      <c r="AN7852">
        <v>0.99999996443416395</v>
      </c>
    </row>
    <row r="7853" spans="1:40" x14ac:dyDescent="0.25">
      <c r="A7853" t="str">
        <f>"20190303162109233"</f>
        <v>20190303162109233</v>
      </c>
      <c r="B7853" t="str">
        <f>"1551601269220540"</f>
        <v>1551601269220540</v>
      </c>
      <c r="C7853" t="s">
        <v>40</v>
      </c>
      <c r="D7853">
        <v>4.8681260000000002</v>
      </c>
      <c r="E7853">
        <v>0.51637869999999997</v>
      </c>
      <c r="F7853" t="s">
        <v>73</v>
      </c>
      <c r="G7853">
        <v>-386.46039999999999</v>
      </c>
      <c r="H7853" s="1">
        <v>-1.91795E-6</v>
      </c>
      <c r="I7853">
        <v>18.238810000000001</v>
      </c>
      <c r="J7853">
        <v>-395.37389999999999</v>
      </c>
      <c r="K7853">
        <v>1.121243</v>
      </c>
      <c r="L7853">
        <v>19.10519</v>
      </c>
      <c r="M7853">
        <v>0.98583379999999998</v>
      </c>
      <c r="N7853">
        <v>-9.2097800000000007E-3</v>
      </c>
      <c r="O7853">
        <v>-0.16747310000000001</v>
      </c>
      <c r="P7853">
        <v>0.99338400000000004</v>
      </c>
      <c r="Q7853">
        <v>0.10150000000000001</v>
      </c>
      <c r="R7853">
        <v>-5.3724139999999997E-2</v>
      </c>
      <c r="S7853">
        <v>3.0424500000000001</v>
      </c>
      <c r="T7853">
        <v>-0.37819760000000002</v>
      </c>
      <c r="U7853">
        <v>-0.29818729999999999</v>
      </c>
      <c r="V7853">
        <v>-0.1134507</v>
      </c>
      <c r="W7853">
        <v>0.1105531</v>
      </c>
      <c r="X7853">
        <v>0.98737379999999997</v>
      </c>
      <c r="Y7853">
        <v>-6.8875339999999993E-2</v>
      </c>
      <c r="Z7853">
        <v>2.3605029999999999E-2</v>
      </c>
      <c r="AA7853">
        <v>0.99734599999999995</v>
      </c>
      <c r="AB7853">
        <v>18</v>
      </c>
      <c r="AC7853">
        <v>8.9134999999999902</v>
      </c>
      <c r="AD7853">
        <v>-1.1212449179499999</v>
      </c>
      <c r="AE7853">
        <v>-0.86637999999999904</v>
      </c>
      <c r="AF7853">
        <v>-0.628834489578182</v>
      </c>
      <c r="AG7853">
        <v>-1.1212449179499999</v>
      </c>
      <c r="AH7853">
        <v>8.7948389784007404</v>
      </c>
      <c r="AI7853">
        <v>97.2470826967172</v>
      </c>
      <c r="AJ7853">
        <v>94.089711243074603</v>
      </c>
      <c r="AK7853">
        <v>8.8882965543071695</v>
      </c>
      <c r="AL7853">
        <v>83.652799891178404</v>
      </c>
      <c r="AM7853">
        <v>96.554624609752494</v>
      </c>
      <c r="AN7853">
        <v>1.0000000350882601</v>
      </c>
    </row>
    <row r="7854" spans="1:40" x14ac:dyDescent="0.25">
      <c r="A7854" t="str">
        <f>"20190303162109245"</f>
        <v>20190303162109245</v>
      </c>
      <c r="B7854" t="str">
        <f>"1551601269240059"</f>
        <v>1551601269240059</v>
      </c>
      <c r="C7854" t="s">
        <v>40</v>
      </c>
      <c r="D7854">
        <v>4.892512</v>
      </c>
      <c r="E7854">
        <v>0.51577059999999997</v>
      </c>
      <c r="F7854" t="s">
        <v>73</v>
      </c>
      <c r="G7854">
        <v>-384.3895</v>
      </c>
      <c r="H7854" s="1">
        <v>-2.9353859999999999E-6</v>
      </c>
      <c r="I7854">
        <v>18.021940000000001</v>
      </c>
      <c r="J7854">
        <v>-395.27319999999997</v>
      </c>
      <c r="K7854">
        <v>1.121229</v>
      </c>
      <c r="L7854">
        <v>19.088529999999999</v>
      </c>
      <c r="M7854">
        <v>0.98589740000000003</v>
      </c>
      <c r="N7854">
        <v>-9.2193650000000002E-3</v>
      </c>
      <c r="O7854">
        <v>-0.16709649999999901</v>
      </c>
      <c r="P7854">
        <v>0.99337679999999995</v>
      </c>
      <c r="Q7854">
        <v>0.1017026</v>
      </c>
      <c r="R7854">
        <v>-5.3473430000000002E-2</v>
      </c>
      <c r="S7854">
        <v>3.035431</v>
      </c>
      <c r="T7854">
        <v>-0.309845599999999</v>
      </c>
      <c r="U7854">
        <v>-0.29934690000000003</v>
      </c>
      <c r="V7854">
        <v>-0.1133156</v>
      </c>
      <c r="W7854">
        <v>0.1107692</v>
      </c>
      <c r="X7854">
        <v>0.9873651</v>
      </c>
      <c r="Y7854">
        <v>-6.8450440000000001E-2</v>
      </c>
      <c r="Z7854">
        <v>1.912819E-2</v>
      </c>
      <c r="AA7854">
        <v>0.9974712</v>
      </c>
      <c r="AB7854">
        <v>18</v>
      </c>
      <c r="AC7854">
        <v>10.8836999999999</v>
      </c>
      <c r="AD7854">
        <v>-1.1212319353860001</v>
      </c>
      <c r="AE7854">
        <v>-1.0665899999999899</v>
      </c>
      <c r="AF7854">
        <v>-0.75913247375845905</v>
      </c>
      <c r="AG7854">
        <v>-1.1212319353860001</v>
      </c>
      <c r="AH7854">
        <v>10.795417231222499</v>
      </c>
      <c r="AI7854">
        <v>95.915082183524405</v>
      </c>
      <c r="AJ7854">
        <v>94.022411095314794</v>
      </c>
      <c r="AK7854">
        <v>10.8800035092742</v>
      </c>
      <c r="AL7854">
        <v>83.640341794583804</v>
      </c>
      <c r="AM7854">
        <v>96.546944184020504</v>
      </c>
      <c r="AN7854">
        <v>1.000000040785</v>
      </c>
    </row>
    <row r="7855" spans="1:40" x14ac:dyDescent="0.25">
      <c r="A7855" t="str">
        <f>"20190303162109265"</f>
        <v>20190303162109265</v>
      </c>
      <c r="B7855" t="str">
        <f>"1551601269260556"</f>
        <v>1551601269260556</v>
      </c>
      <c r="C7855" t="s">
        <v>40</v>
      </c>
      <c r="D7855">
        <v>4.9304759999999996</v>
      </c>
      <c r="E7855">
        <v>0.51395859999999904</v>
      </c>
      <c r="F7855" t="s">
        <v>73</v>
      </c>
      <c r="G7855">
        <v>-380.58730000000003</v>
      </c>
      <c r="H7855" s="1">
        <v>-4.7948969999999997E-6</v>
      </c>
      <c r="I7855">
        <v>17.671289999999999</v>
      </c>
      <c r="J7855">
        <v>-395.11219999999997</v>
      </c>
      <c r="K7855">
        <v>1.121232</v>
      </c>
      <c r="L7855">
        <v>19.06195</v>
      </c>
      <c r="M7855">
        <v>0.9859926</v>
      </c>
      <c r="N7855">
        <v>-9.2340310000000002E-3</v>
      </c>
      <c r="O7855">
        <v>-0.1665333</v>
      </c>
      <c r="P7855">
        <v>0.99321760000000003</v>
      </c>
      <c r="Q7855">
        <v>0.103157399999999</v>
      </c>
      <c r="R7855">
        <v>-5.3641689999999999E-2</v>
      </c>
      <c r="S7855">
        <v>3.0279240000000001</v>
      </c>
      <c r="T7855">
        <v>-0.23117470000000001</v>
      </c>
      <c r="U7855">
        <v>-0.29220580000000002</v>
      </c>
      <c r="V7855">
        <v>-0.1125577</v>
      </c>
      <c r="W7855">
        <v>0.1122392</v>
      </c>
      <c r="X7855">
        <v>0.98728570000000004</v>
      </c>
      <c r="Y7855">
        <v>-7.0461499999999996E-2</v>
      </c>
      <c r="Z7855">
        <v>1.406231E-2</v>
      </c>
      <c r="AA7855">
        <v>0.99741539999999995</v>
      </c>
      <c r="AB7855">
        <v>18</v>
      </c>
      <c r="AC7855">
        <v>14.524899999999899</v>
      </c>
      <c r="AD7855">
        <v>-1.1212367948969999</v>
      </c>
      <c r="AE7855">
        <v>-1.39066</v>
      </c>
      <c r="AF7855">
        <v>-1.0415933187045101</v>
      </c>
      <c r="AG7855">
        <v>-1.1212367948969999</v>
      </c>
      <c r="AH7855">
        <v>14.4682234816372</v>
      </c>
      <c r="AI7855">
        <v>94.419972178276694</v>
      </c>
      <c r="AJ7855">
        <v>94.117721779166004</v>
      </c>
      <c r="AK7855">
        <v>14.548937394407799</v>
      </c>
      <c r="AL7855">
        <v>83.555587970011302</v>
      </c>
      <c r="AM7855">
        <v>96.504050549440194</v>
      </c>
      <c r="AN7855">
        <v>0.99999996363520904</v>
      </c>
    </row>
    <row r="7856" spans="1:40" x14ac:dyDescent="0.25">
      <c r="A7856" t="str">
        <f>"20190303162109276"</f>
        <v>20190303162109276</v>
      </c>
      <c r="B7856" t="str">
        <f>"1551601269270316"</f>
        <v>1551601269270316</v>
      </c>
      <c r="C7856" t="s">
        <v>40</v>
      </c>
      <c r="D7856">
        <v>4.6057769999999998</v>
      </c>
      <c r="E7856">
        <v>0.51347759999999998</v>
      </c>
      <c r="F7856" t="s">
        <v>74</v>
      </c>
      <c r="G7856">
        <v>-378.07639999999998</v>
      </c>
      <c r="H7856" s="1">
        <v>-1.284785E-6</v>
      </c>
      <c r="I7856">
        <v>17.504619999999999</v>
      </c>
      <c r="J7856">
        <v>-395.01760000000002</v>
      </c>
      <c r="K7856">
        <v>1.1212489999999999</v>
      </c>
      <c r="L7856">
        <v>19.04636</v>
      </c>
      <c r="M7856">
        <v>0.98604639999999999</v>
      </c>
      <c r="N7856">
        <v>-9.2421640000000006E-3</v>
      </c>
      <c r="O7856">
        <v>-0.16621329999999901</v>
      </c>
      <c r="P7856">
        <v>0.99312549999999999</v>
      </c>
      <c r="Q7856">
        <v>0.1041969</v>
      </c>
      <c r="R7856">
        <v>-5.3333739999999998E-2</v>
      </c>
      <c r="S7856">
        <v>3.0262150000000001</v>
      </c>
      <c r="T7856">
        <v>-0.1991735</v>
      </c>
      <c r="U7856">
        <v>-0.27664179999999999</v>
      </c>
      <c r="V7856">
        <v>-0.1125288</v>
      </c>
      <c r="W7856">
        <v>0.11328290000000001</v>
      </c>
      <c r="X7856">
        <v>0.98716979999999999</v>
      </c>
      <c r="Y7856">
        <v>-7.5317629999999997E-2</v>
      </c>
      <c r="Z7856">
        <v>1.212628E-2</v>
      </c>
      <c r="AA7856">
        <v>0.99708589999999997</v>
      </c>
      <c r="AB7856">
        <v>18</v>
      </c>
      <c r="AC7856">
        <v>16.941199999999998</v>
      </c>
      <c r="AD7856">
        <v>-1.1212502847850001</v>
      </c>
      <c r="AE7856">
        <v>-1.5417399999999899</v>
      </c>
      <c r="AF7856">
        <v>-1.2900763886567801</v>
      </c>
      <c r="AG7856">
        <v>-1.1212502847850001</v>
      </c>
      <c r="AH7856">
        <v>16.888422345807601</v>
      </c>
      <c r="AI7856">
        <v>93.787385505463703</v>
      </c>
      <c r="AJ7856">
        <v>94.368238883989704</v>
      </c>
      <c r="AK7856">
        <v>16.974696127473798</v>
      </c>
      <c r="AL7856">
        <v>83.495404625761495</v>
      </c>
      <c r="AM7856">
        <v>96.503151774594897</v>
      </c>
      <c r="AN7856">
        <v>0.99999998014694402</v>
      </c>
    </row>
    <row r="7857" spans="1:40" x14ac:dyDescent="0.25">
      <c r="A7857" t="str">
        <f>"20190303162109288"</f>
        <v>20190303162109288</v>
      </c>
      <c r="B7857" t="str">
        <f>"1551601269280075"</f>
        <v>1551601269280075</v>
      </c>
      <c r="C7857" t="s">
        <v>40</v>
      </c>
      <c r="D7857">
        <v>4.8379960000000004</v>
      </c>
      <c r="E7857">
        <v>0.51260030000000001</v>
      </c>
      <c r="F7857" t="s">
        <v>74</v>
      </c>
      <c r="G7857">
        <v>-375.90780000000001</v>
      </c>
      <c r="H7857" s="1">
        <v>-2.31976E-6</v>
      </c>
      <c r="I7857">
        <v>17.33372</v>
      </c>
      <c r="J7857">
        <v>-394.92169999999999</v>
      </c>
      <c r="K7857">
        <v>1.1212690000000001</v>
      </c>
      <c r="L7857">
        <v>19.030550000000002</v>
      </c>
      <c r="M7857">
        <v>0.98610100000000001</v>
      </c>
      <c r="N7857">
        <v>-9.2503599999999991E-3</v>
      </c>
      <c r="O7857">
        <v>-0.16589019999999999</v>
      </c>
      <c r="P7857">
        <v>0.99302630000000003</v>
      </c>
      <c r="Q7857">
        <v>0.10511719999999999</v>
      </c>
      <c r="R7857">
        <v>-5.3381499999999998E-2</v>
      </c>
      <c r="S7857">
        <v>3.0248110000000001</v>
      </c>
      <c r="T7857">
        <v>-0.17747879999999999</v>
      </c>
      <c r="U7857">
        <v>-0.27108759999999998</v>
      </c>
      <c r="V7857">
        <v>-0.11214499999999999</v>
      </c>
      <c r="W7857">
        <v>0.1142077</v>
      </c>
      <c r="X7857">
        <v>0.98710690000000001</v>
      </c>
      <c r="Y7857">
        <v>-7.6859129999999998E-2</v>
      </c>
      <c r="Z7857">
        <v>1.072028E-2</v>
      </c>
      <c r="AA7857">
        <v>0.99698430000000005</v>
      </c>
      <c r="AB7857">
        <v>18</v>
      </c>
      <c r="AC7857">
        <v>19.0138999999999</v>
      </c>
      <c r="AD7857">
        <v>-1.1212713197599999</v>
      </c>
      <c r="AE7857">
        <v>-1.6968300000000001</v>
      </c>
      <c r="AF7857">
        <v>-1.47594486720102</v>
      </c>
      <c r="AG7857">
        <v>-1.1212713197599999</v>
      </c>
      <c r="AH7857">
        <v>18.966487988949101</v>
      </c>
      <c r="AI7857">
        <v>93.373131357880297</v>
      </c>
      <c r="AJ7857">
        <v>94.449707692846999</v>
      </c>
      <c r="AK7857">
        <v>19.0568446826457</v>
      </c>
      <c r="AL7857">
        <v>83.442071255942693</v>
      </c>
      <c r="AM7857">
        <v>96.481570105212896</v>
      </c>
      <c r="AN7857">
        <v>0.99999996589594897</v>
      </c>
    </row>
    <row r="7858" spans="1:40" x14ac:dyDescent="0.25">
      <c r="A7858" t="str">
        <f>"20190303162109300"</f>
        <v>20190303162109300</v>
      </c>
      <c r="B7858" t="str">
        <f>"1551601269290811"</f>
        <v>1551601269290811</v>
      </c>
      <c r="C7858" t="s">
        <v>40</v>
      </c>
      <c r="D7858">
        <v>4.930625</v>
      </c>
      <c r="E7858">
        <v>0.51239499999999905</v>
      </c>
      <c r="F7858" t="s">
        <v>74</v>
      </c>
      <c r="G7858">
        <v>-374.44420000000002</v>
      </c>
      <c r="H7858" s="1">
        <v>-3.027722E-6</v>
      </c>
      <c r="I7858">
        <v>17.243020000000001</v>
      </c>
      <c r="J7858">
        <v>-394.82470000000001</v>
      </c>
      <c r="K7858">
        <v>1.1212899999999999</v>
      </c>
      <c r="L7858">
        <v>19.014620000000001</v>
      </c>
      <c r="M7858">
        <v>0.98615589999999997</v>
      </c>
      <c r="N7858">
        <v>-9.2585740000000003E-3</v>
      </c>
      <c r="O7858">
        <v>-0.1655634</v>
      </c>
      <c r="P7858">
        <v>0.99291929999999995</v>
      </c>
      <c r="Q7858">
        <v>0.1060212</v>
      </c>
      <c r="R7858">
        <v>-5.3583699999999998E-2</v>
      </c>
      <c r="S7858">
        <v>3.0244140000000002</v>
      </c>
      <c r="T7858">
        <v>-0.16560540000000001</v>
      </c>
      <c r="U7858">
        <v>-0.26400759999999901</v>
      </c>
      <c r="V7858">
        <v>-0.1116055</v>
      </c>
      <c r="W7858">
        <v>0.1151153</v>
      </c>
      <c r="X7858">
        <v>0.98706260000000001</v>
      </c>
      <c r="Y7858">
        <v>-7.8877939999999994E-2</v>
      </c>
      <c r="Z7858">
        <v>9.9768579999999999E-3</v>
      </c>
      <c r="AA7858">
        <v>0.99683429999999995</v>
      </c>
      <c r="AB7858">
        <v>18</v>
      </c>
      <c r="AC7858">
        <v>20.380499999999898</v>
      </c>
      <c r="AD7858">
        <v>-1.1212930277219999</v>
      </c>
      <c r="AE7858">
        <v>-1.7715999999999901</v>
      </c>
      <c r="AF7858">
        <v>-1.62238639592949</v>
      </c>
      <c r="AG7858">
        <v>-1.1212930277219999</v>
      </c>
      <c r="AH7858">
        <v>20.331450997405401</v>
      </c>
      <c r="AI7858">
        <v>93.146720077950306</v>
      </c>
      <c r="AJ7858">
        <v>94.562357276936893</v>
      </c>
      <c r="AK7858">
        <v>20.426877767579001</v>
      </c>
      <c r="AL7858">
        <v>83.389724237094399</v>
      </c>
      <c r="AM7858">
        <v>96.450939499425502</v>
      </c>
      <c r="AN7858">
        <v>0.99999994812154802</v>
      </c>
    </row>
    <row r="7859" spans="1:40" x14ac:dyDescent="0.25">
      <c r="A7859" t="str">
        <f>"20190303162109313"</f>
        <v>20190303162109313</v>
      </c>
      <c r="B7859" t="str">
        <f>"1551601269300572"</f>
        <v>1551601269300572</v>
      </c>
      <c r="C7859" t="s">
        <v>40</v>
      </c>
      <c r="D7859">
        <v>5.0037129999999896</v>
      </c>
      <c r="E7859">
        <v>0.51184979999999902</v>
      </c>
      <c r="F7859" t="s">
        <v>74</v>
      </c>
      <c r="G7859">
        <v>-373.00689999999997</v>
      </c>
      <c r="H7859" s="1">
        <v>-3.7289150000000002E-6</v>
      </c>
      <c r="I7859">
        <v>17.1203</v>
      </c>
      <c r="J7859">
        <v>-394.7242</v>
      </c>
      <c r="K7859">
        <v>1.1213120000000001</v>
      </c>
      <c r="L7859">
        <v>18.998169999999998</v>
      </c>
      <c r="M7859">
        <v>0.98621300000000001</v>
      </c>
      <c r="N7859">
        <v>-9.2669840000000007E-3</v>
      </c>
      <c r="O7859">
        <v>-0.16522100000000001</v>
      </c>
      <c r="P7859">
        <v>0.9928072</v>
      </c>
      <c r="Q7859">
        <v>0.106923</v>
      </c>
      <c r="R7859">
        <v>-5.3864040000000002E-2</v>
      </c>
      <c r="S7859">
        <v>3.0238339999999999</v>
      </c>
      <c r="T7859">
        <v>-0.1554056</v>
      </c>
      <c r="U7859">
        <v>-0.26254270000000002</v>
      </c>
      <c r="V7859">
        <v>-0.1109734</v>
      </c>
      <c r="W7859">
        <v>0.11602</v>
      </c>
      <c r="X7859">
        <v>0.98702800000000002</v>
      </c>
      <c r="Y7859">
        <v>-7.9033610000000004E-2</v>
      </c>
      <c r="Z7859">
        <v>9.2828479999999998E-3</v>
      </c>
      <c r="AA7859">
        <v>0.99682870000000001</v>
      </c>
      <c r="AB7859">
        <v>18</v>
      </c>
      <c r="AC7859">
        <v>21.717300000000002</v>
      </c>
      <c r="AD7859">
        <v>-1.121315728915</v>
      </c>
      <c r="AE7859">
        <v>-1.8778699999999999</v>
      </c>
      <c r="AF7859">
        <v>-1.73166663205536</v>
      </c>
      <c r="AG7859">
        <v>-1.121315728915</v>
      </c>
      <c r="AH7859">
        <v>21.6717349087122</v>
      </c>
      <c r="AI7859">
        <v>92.952501998555206</v>
      </c>
      <c r="AJ7859">
        <v>94.568477674449298</v>
      </c>
      <c r="AK7859">
        <v>21.769706296640301</v>
      </c>
      <c r="AL7859">
        <v>83.337539456243206</v>
      </c>
      <c r="AM7859">
        <v>96.414931709778699</v>
      </c>
      <c r="AN7859">
        <v>1.00000000434578</v>
      </c>
    </row>
    <row r="7860" spans="1:40" x14ac:dyDescent="0.25">
      <c r="A7860" t="str">
        <f>"20190303162109332"</f>
        <v>20190303162109332</v>
      </c>
      <c r="B7860" t="str">
        <f>"1551601269320578"</f>
        <v>1551601269320578</v>
      </c>
      <c r="C7860" t="s">
        <v>40</v>
      </c>
      <c r="D7860">
        <v>4.9335079999999998</v>
      </c>
      <c r="E7860">
        <v>0.51128479999999998</v>
      </c>
      <c r="F7860" t="s">
        <v>74</v>
      </c>
      <c r="G7860">
        <v>-371.74779999999998</v>
      </c>
      <c r="H7860" s="1">
        <v>-4.3397640000000002E-6</v>
      </c>
      <c r="I7860">
        <v>17.031849999999999</v>
      </c>
      <c r="J7860">
        <v>-394.57249999999999</v>
      </c>
      <c r="K7860">
        <v>1.1213439999999999</v>
      </c>
      <c r="L7860">
        <v>18.97336</v>
      </c>
      <c r="M7860">
        <v>0.98630119999999999</v>
      </c>
      <c r="N7860">
        <v>-9.2793419999999995E-3</v>
      </c>
      <c r="O7860">
        <v>-0.16469320000000001</v>
      </c>
      <c r="P7860">
        <v>0.99274669999999998</v>
      </c>
      <c r="Q7860">
        <v>0.1071807</v>
      </c>
      <c r="R7860">
        <v>-5.4462679999999999E-2</v>
      </c>
      <c r="S7860">
        <v>3.02359</v>
      </c>
      <c r="T7860">
        <v>-0.1475601</v>
      </c>
      <c r="U7860">
        <v>-0.2587585</v>
      </c>
      <c r="V7860">
        <v>-0.1098531</v>
      </c>
      <c r="W7860">
        <v>0.11628280000000001</v>
      </c>
      <c r="X7860">
        <v>0.98712239999999996</v>
      </c>
      <c r="Y7860">
        <v>-7.9759200000000002E-2</v>
      </c>
      <c r="Z7860">
        <v>8.7563269999999995E-3</v>
      </c>
      <c r="AA7860">
        <v>0.99677570000000004</v>
      </c>
      <c r="AB7860">
        <v>19</v>
      </c>
      <c r="AC7860">
        <v>22.8247</v>
      </c>
      <c r="AD7860">
        <v>-1.1213483397640001</v>
      </c>
      <c r="AE7860">
        <v>-1.9415100000000001</v>
      </c>
      <c r="AF7860">
        <v>-1.83982985746482</v>
      </c>
      <c r="AG7860">
        <v>-1.1213483397640001</v>
      </c>
      <c r="AH7860">
        <v>22.778182186627699</v>
      </c>
      <c r="AI7860">
        <v>92.809207610320499</v>
      </c>
      <c r="AJ7860">
        <v>94.617845932797593</v>
      </c>
      <c r="AK7860">
        <v>22.879859696482299</v>
      </c>
      <c r="AL7860">
        <v>83.322379572824005</v>
      </c>
      <c r="AM7860">
        <v>96.350101022431403</v>
      </c>
      <c r="AN7860">
        <v>1.0000000128686</v>
      </c>
    </row>
    <row r="7861" spans="1:40" x14ac:dyDescent="0.25">
      <c r="A7861" t="str">
        <f>"20190303162109345"</f>
        <v>20190303162109345</v>
      </c>
      <c r="B7861" t="str">
        <f>"1551601269341074"</f>
        <v>1551601269341074</v>
      </c>
      <c r="C7861" t="s">
        <v>40</v>
      </c>
      <c r="D7861">
        <v>4.9012690000000001</v>
      </c>
      <c r="E7861">
        <v>0.5108203</v>
      </c>
      <c r="F7861" t="s">
        <v>75</v>
      </c>
      <c r="G7861">
        <v>-369.68979999999999</v>
      </c>
      <c r="H7861" s="1">
        <v>-8.5011489999999997E-7</v>
      </c>
      <c r="I7861">
        <v>16.87059</v>
      </c>
      <c r="J7861">
        <v>-394.45639999999997</v>
      </c>
      <c r="K7861">
        <v>1.1213660000000001</v>
      </c>
      <c r="L7861">
        <v>18.954470000000001</v>
      </c>
      <c r="M7861">
        <v>0.98637030000000003</v>
      </c>
      <c r="N7861">
        <v>-9.2883449999999999E-3</v>
      </c>
      <c r="O7861">
        <v>-0.1642787</v>
      </c>
      <c r="P7861">
        <v>0.99278710000000003</v>
      </c>
      <c r="Q7861">
        <v>0.1067486</v>
      </c>
      <c r="R7861">
        <v>-5.4578580000000002E-2</v>
      </c>
      <c r="S7861">
        <v>3.0226139999999999</v>
      </c>
      <c r="T7861">
        <v>-0.1362149</v>
      </c>
      <c r="U7861">
        <v>-0.2554321</v>
      </c>
      <c r="V7861">
        <v>-0.109337</v>
      </c>
      <c r="W7861">
        <v>0.1158547</v>
      </c>
      <c r="X7861">
        <v>0.98723000000000005</v>
      </c>
      <c r="Y7861">
        <v>-8.0439399999999994E-2</v>
      </c>
      <c r="Z7861">
        <v>8.0007450000000001E-3</v>
      </c>
      <c r="AA7861">
        <v>0.99672740000000004</v>
      </c>
      <c r="AB7861">
        <v>19</v>
      </c>
      <c r="AC7861">
        <v>24.766599999999901</v>
      </c>
      <c r="AD7861">
        <v>-1.1213668501148999</v>
      </c>
      <c r="AE7861">
        <v>-2.0838800000000002</v>
      </c>
      <c r="AF7861">
        <v>-2.00914434822554</v>
      </c>
      <c r="AG7861">
        <v>-1.1213668501148999</v>
      </c>
      <c r="AH7861">
        <v>24.722117659681501</v>
      </c>
      <c r="AI7861">
        <v>92.588568011334601</v>
      </c>
      <c r="AJ7861">
        <v>94.646165817433598</v>
      </c>
      <c r="AK7861">
        <v>24.828959426518001</v>
      </c>
      <c r="AL7861">
        <v>83.347074600147806</v>
      </c>
      <c r="AM7861">
        <v>96.319826356686406</v>
      </c>
      <c r="AN7861">
        <v>0.99999998199054496</v>
      </c>
    </row>
    <row r="7862" spans="1:40" x14ac:dyDescent="0.25">
      <c r="A7862" t="str">
        <f>"20190303162109359"</f>
        <v>20190303162109359</v>
      </c>
      <c r="B7862" t="str">
        <f>"1551601269350834"</f>
        <v>1551601269350834</v>
      </c>
      <c r="C7862" t="s">
        <v>40</v>
      </c>
      <c r="D7862">
        <v>4.9425689999999998</v>
      </c>
      <c r="E7862">
        <v>0.51052419999999998</v>
      </c>
      <c r="F7862" t="s">
        <v>75</v>
      </c>
      <c r="G7862">
        <v>-368.07060000000001</v>
      </c>
      <c r="H7862" s="1">
        <v>-1.5026079999999901E-6</v>
      </c>
      <c r="I7862">
        <v>16.75525</v>
      </c>
      <c r="J7862">
        <v>-394.34179999999998</v>
      </c>
      <c r="K7862">
        <v>1.1213799999999901</v>
      </c>
      <c r="L7862">
        <v>18.935880000000001</v>
      </c>
      <c r="M7862">
        <v>0.98644109999999996</v>
      </c>
      <c r="N7862">
        <v>-9.2968719999999994E-3</v>
      </c>
      <c r="O7862">
        <v>-0.16385169999999999</v>
      </c>
      <c r="P7862">
        <v>0.99284209999999995</v>
      </c>
      <c r="Q7862">
        <v>0.1062854</v>
      </c>
      <c r="R7862">
        <v>-5.4478579999999999E-2</v>
      </c>
      <c r="S7862">
        <v>3.0217900000000002</v>
      </c>
      <c r="T7862">
        <v>-0.12842290000000001</v>
      </c>
      <c r="U7862">
        <v>-0.25186160000000002</v>
      </c>
      <c r="V7862">
        <v>-0.1090223</v>
      </c>
      <c r="W7862">
        <v>0.1153957</v>
      </c>
      <c r="X7862">
        <v>0.98731860000000005</v>
      </c>
      <c r="Y7862">
        <v>-8.1178120000000006E-2</v>
      </c>
      <c r="Z7862">
        <v>7.484409E-3</v>
      </c>
      <c r="AA7862">
        <v>0.99667150000000004</v>
      </c>
      <c r="AB7862">
        <v>19</v>
      </c>
      <c r="AC7862">
        <v>26.271199999999901</v>
      </c>
      <c r="AD7862">
        <v>-1.1213815026079901</v>
      </c>
      <c r="AE7862">
        <v>-2.1806299999999901</v>
      </c>
      <c r="AF7862">
        <v>-2.1497209755494402</v>
      </c>
      <c r="AG7862">
        <v>-1.1213815026079901</v>
      </c>
      <c r="AH7862">
        <v>26.2259721155066</v>
      </c>
      <c r="AI7862">
        <v>92.440212271702507</v>
      </c>
      <c r="AJ7862">
        <v>94.686010797547397</v>
      </c>
      <c r="AK7862">
        <v>26.337813313759298</v>
      </c>
      <c r="AL7862">
        <v>83.373551220336907</v>
      </c>
      <c r="AM7862">
        <v>96.301221863329701</v>
      </c>
      <c r="AN7862">
        <v>1.0000000236908599</v>
      </c>
    </row>
    <row r="7863" spans="1:40" x14ac:dyDescent="0.25">
      <c r="A7863" t="str">
        <f>"20190303162109378"</f>
        <v>20190303162109378</v>
      </c>
      <c r="B7863" t="str">
        <f>"1551601269370354"</f>
        <v>1551601269370354</v>
      </c>
      <c r="C7863" t="s">
        <v>40</v>
      </c>
      <c r="D7863">
        <v>4.8925400000000003</v>
      </c>
      <c r="E7863">
        <v>0.50936519999999996</v>
      </c>
      <c r="F7863" t="s">
        <v>75</v>
      </c>
      <c r="G7863">
        <v>-367.3107</v>
      </c>
      <c r="H7863" s="1">
        <v>-1.8071429999999999E-6</v>
      </c>
      <c r="I7863">
        <v>16.707409999999999</v>
      </c>
      <c r="J7863">
        <v>-394.19369999999998</v>
      </c>
      <c r="K7863">
        <v>1.1214010000000001</v>
      </c>
      <c r="L7863">
        <v>18.911960000000001</v>
      </c>
      <c r="M7863">
        <v>0.98653519999999995</v>
      </c>
      <c r="N7863">
        <v>-9.307269E-3</v>
      </c>
      <c r="O7863">
        <v>-0.16328480000000001</v>
      </c>
      <c r="P7863">
        <v>0.99295429999999996</v>
      </c>
      <c r="Q7863">
        <v>0.10552839999999999</v>
      </c>
      <c r="R7863">
        <v>-5.3904460000000001E-2</v>
      </c>
      <c r="S7863">
        <v>3.0213619999999999</v>
      </c>
      <c r="T7863">
        <v>-0.12534120000000001</v>
      </c>
      <c r="U7863">
        <v>-0.24908449999999999</v>
      </c>
      <c r="V7863">
        <v>-0.1090441</v>
      </c>
      <c r="W7863">
        <v>0.1146435</v>
      </c>
      <c r="X7863">
        <v>0.98740380000000005</v>
      </c>
      <c r="Y7863">
        <v>-8.1512589999999996E-2</v>
      </c>
      <c r="Z7863">
        <v>7.2683369999999997E-3</v>
      </c>
      <c r="AA7863">
        <v>0.99664580000000003</v>
      </c>
      <c r="AB7863">
        <v>19</v>
      </c>
      <c r="AC7863">
        <v>26.8829999999999</v>
      </c>
      <c r="AD7863">
        <v>-1.121402807143</v>
      </c>
      <c r="AE7863">
        <v>-2.2045499999999998</v>
      </c>
      <c r="AF7863">
        <v>-2.2109931628611599</v>
      </c>
      <c r="AG7863">
        <v>-1.121402807143</v>
      </c>
      <c r="AH7863">
        <v>26.8357719516145</v>
      </c>
      <c r="AI7863">
        <v>92.384790600232407</v>
      </c>
      <c r="AJ7863">
        <v>94.709948337780105</v>
      </c>
      <c r="AK7863">
        <v>26.950040654165001</v>
      </c>
      <c r="AL7863">
        <v>83.416936931138096</v>
      </c>
      <c r="AM7863">
        <v>96.301932266710594</v>
      </c>
      <c r="AN7863">
        <v>1.0000000060457499</v>
      </c>
    </row>
    <row r="7864" spans="1:40" x14ac:dyDescent="0.25">
      <c r="A7864" t="str">
        <f>"20190303162109393"</f>
        <v>20190303162109393</v>
      </c>
      <c r="B7864" t="str">
        <f>"1551601269381090"</f>
        <v>1551601269381090</v>
      </c>
      <c r="C7864" t="s">
        <v>40</v>
      </c>
      <c r="D7864">
        <v>4.901643</v>
      </c>
      <c r="E7864">
        <v>0.5088047</v>
      </c>
      <c r="F7864" t="s">
        <v>75</v>
      </c>
      <c r="G7864">
        <v>-366.22289999999998</v>
      </c>
      <c r="H7864" s="1">
        <v>-2.3021590000000001E-6</v>
      </c>
      <c r="I7864">
        <v>16.705909999999999</v>
      </c>
      <c r="J7864">
        <v>-394.06610000000001</v>
      </c>
      <c r="K7864">
        <v>1.121416</v>
      </c>
      <c r="L7864">
        <v>18.89142</v>
      </c>
      <c r="M7864">
        <v>0.9866182</v>
      </c>
      <c r="N7864">
        <v>-9.3156650000000008E-3</v>
      </c>
      <c r="O7864">
        <v>-0.16278199999999901</v>
      </c>
      <c r="P7864">
        <v>0.99295710000000004</v>
      </c>
      <c r="Q7864">
        <v>0.1058404</v>
      </c>
      <c r="R7864">
        <v>-5.3237140000000002E-2</v>
      </c>
      <c r="S7864">
        <v>3.02121</v>
      </c>
      <c r="T7864">
        <v>-0.12112589999999999</v>
      </c>
      <c r="U7864">
        <v>-0.2382813</v>
      </c>
      <c r="V7864">
        <v>-0.10920439999999999</v>
      </c>
      <c r="W7864">
        <v>0.11495900000000001</v>
      </c>
      <c r="X7864">
        <v>0.98734940000000004</v>
      </c>
      <c r="Y7864">
        <v>-8.4550219999999995E-2</v>
      </c>
      <c r="Z7864">
        <v>7.0462930000000003E-3</v>
      </c>
      <c r="AA7864">
        <v>0.99639429999999996</v>
      </c>
      <c r="AB7864">
        <v>19</v>
      </c>
      <c r="AC7864">
        <v>27.8432</v>
      </c>
      <c r="AD7864">
        <v>-1.1214183021590001</v>
      </c>
      <c r="AE7864">
        <v>-2.1855099999999998</v>
      </c>
      <c r="AF7864">
        <v>-2.3723858175649299</v>
      </c>
      <c r="AG7864">
        <v>-1.1214183021590001</v>
      </c>
      <c r="AH7864">
        <v>27.7827813082198</v>
      </c>
      <c r="AI7864">
        <v>92.303047917557507</v>
      </c>
      <c r="AJ7864">
        <v>94.880676166641194</v>
      </c>
      <c r="AK7864">
        <v>27.906428125006698</v>
      </c>
      <c r="AL7864">
        <v>83.398739796253594</v>
      </c>
      <c r="AM7864">
        <v>96.311466625317095</v>
      </c>
      <c r="AN7864">
        <v>1.0000000051703599</v>
      </c>
    </row>
    <row r="7865" spans="1:40" x14ac:dyDescent="0.25">
      <c r="A7865" t="str">
        <f>"20190303162109410"</f>
        <v>20190303162109410</v>
      </c>
      <c r="B7865" t="str">
        <f>"1551601269400610"</f>
        <v>1551601269400610</v>
      </c>
      <c r="C7865" t="s">
        <v>40</v>
      </c>
      <c r="D7865">
        <v>4.8859680000000001</v>
      </c>
      <c r="E7865">
        <v>0.50796279999999905</v>
      </c>
      <c r="F7865" t="s">
        <v>75</v>
      </c>
      <c r="G7865">
        <v>-364.90309999999999</v>
      </c>
      <c r="H7865" s="1">
        <v>-2.935533E-6</v>
      </c>
      <c r="I7865">
        <v>16.652370000000001</v>
      </c>
      <c r="J7865">
        <v>-393.92320000000001</v>
      </c>
      <c r="K7865">
        <v>1.1214329999999999</v>
      </c>
      <c r="L7865">
        <v>18.868500000000001</v>
      </c>
      <c r="M7865">
        <v>0.9867129</v>
      </c>
      <c r="N7865">
        <v>-9.3246470000000001E-3</v>
      </c>
      <c r="O7865">
        <v>-0.16220680000000001</v>
      </c>
      <c r="P7865">
        <v>0.9929036</v>
      </c>
      <c r="Q7865">
        <v>0.1065661</v>
      </c>
      <c r="R7865">
        <v>-5.2785529999999997E-2</v>
      </c>
      <c r="S7865">
        <v>3.021271</v>
      </c>
      <c r="T7865">
        <v>-0.1161783</v>
      </c>
      <c r="U7865">
        <v>-0.23196410000000001</v>
      </c>
      <c r="V7865">
        <v>-0.1090694</v>
      </c>
      <c r="W7865">
        <v>0.1156898</v>
      </c>
      <c r="X7865">
        <v>0.98727889999999996</v>
      </c>
      <c r="Y7865">
        <v>-8.6054409999999998E-2</v>
      </c>
      <c r="Z7865">
        <v>6.7317480000000001E-3</v>
      </c>
      <c r="AA7865">
        <v>0.99626769999999998</v>
      </c>
      <c r="AB7865">
        <v>19</v>
      </c>
      <c r="AC7865">
        <v>29.020099999999999</v>
      </c>
      <c r="AD7865">
        <v>-1.1214359355329999</v>
      </c>
      <c r="AE7865">
        <v>-2.2161300000000002</v>
      </c>
      <c r="AF7865">
        <v>-2.51694585571133</v>
      </c>
      <c r="AG7865">
        <v>-1.1214359355329999</v>
      </c>
      <c r="AH7865">
        <v>28.952249877277101</v>
      </c>
      <c r="AI7865">
        <v>92.209858256748902</v>
      </c>
      <c r="AJ7865">
        <v>94.968481545539703</v>
      </c>
      <c r="AK7865">
        <v>29.083077690546698</v>
      </c>
      <c r="AL7865">
        <v>83.356586389239894</v>
      </c>
      <c r="AM7865">
        <v>96.304173665973394</v>
      </c>
      <c r="AN7865">
        <v>0.99999994511280299</v>
      </c>
    </row>
    <row r="7866" spans="1:40" x14ac:dyDescent="0.25">
      <c r="A7866" t="str">
        <f>"20190303162109422"</f>
        <v>20190303162109422</v>
      </c>
      <c r="B7866" t="str">
        <f>"1551601269410877"</f>
        <v>1551601269410877</v>
      </c>
      <c r="C7866" t="s">
        <v>40</v>
      </c>
      <c r="D7866">
        <v>4.9003230000000002</v>
      </c>
      <c r="E7866">
        <v>0.50770179999999998</v>
      </c>
      <c r="F7866" t="s">
        <v>75</v>
      </c>
      <c r="G7866">
        <v>-362.63440000000003</v>
      </c>
      <c r="H7866" s="1">
        <v>-4.0264330000000004E-6</v>
      </c>
      <c r="I7866">
        <v>16.54834</v>
      </c>
      <c r="J7866">
        <v>-393.8211</v>
      </c>
      <c r="K7866">
        <v>1.1214440000000001</v>
      </c>
      <c r="L7866">
        <v>18.852170000000001</v>
      </c>
      <c r="M7866">
        <v>0.98678120000000002</v>
      </c>
      <c r="N7866">
        <v>-9.3309480000000004E-3</v>
      </c>
      <c r="O7866">
        <v>-0.16178999999999999</v>
      </c>
      <c r="P7866">
        <v>0.99289300000000003</v>
      </c>
      <c r="Q7866">
        <v>0.1068181</v>
      </c>
      <c r="R7866">
        <v>-5.2477540000000003E-2</v>
      </c>
      <c r="S7866">
        <v>3.0211790000000001</v>
      </c>
      <c r="T7866">
        <v>-0.1082835</v>
      </c>
      <c r="U7866">
        <v>-0.22402949999999999</v>
      </c>
      <c r="V7866">
        <v>-0.1089569</v>
      </c>
      <c r="W7866">
        <v>0.1159456</v>
      </c>
      <c r="X7866">
        <v>0.98726139999999996</v>
      </c>
      <c r="Y7866">
        <v>-8.8251990000000002E-2</v>
      </c>
      <c r="Z7866">
        <v>6.2379660000000002E-3</v>
      </c>
      <c r="AA7866">
        <v>0.99607869999999998</v>
      </c>
      <c r="AB7866">
        <v>19</v>
      </c>
      <c r="AC7866">
        <v>31.186699999999899</v>
      </c>
      <c r="AD7866">
        <v>-1.121448026433</v>
      </c>
      <c r="AE7866">
        <v>-2.30383</v>
      </c>
      <c r="AF7866">
        <v>-2.7688795679968399</v>
      </c>
      <c r="AG7866">
        <v>-1.121448026433</v>
      </c>
      <c r="AH7866">
        <v>31.108531755806599</v>
      </c>
      <c r="AI7866">
        <v>92.056469165192794</v>
      </c>
      <c r="AJ7866">
        <v>95.086326543056302</v>
      </c>
      <c r="AK7866">
        <v>31.2516413607364</v>
      </c>
      <c r="AL7866">
        <v>83.341831398499707</v>
      </c>
      <c r="AM7866">
        <v>96.297834213371004</v>
      </c>
      <c r="AN7866">
        <v>1.0000000300734599</v>
      </c>
    </row>
    <row r="7867" spans="1:40" x14ac:dyDescent="0.25">
      <c r="A7867" t="str">
        <f>"20190303162109435"</f>
        <v>20190303162109435</v>
      </c>
      <c r="B7867" t="str">
        <f>"1551601269420636"</f>
        <v>1551601269420636</v>
      </c>
      <c r="C7867" t="s">
        <v>40</v>
      </c>
      <c r="D7867">
        <v>4.898301</v>
      </c>
      <c r="E7867">
        <v>0.50742339999999997</v>
      </c>
      <c r="F7867" t="s">
        <v>75</v>
      </c>
      <c r="G7867">
        <v>-361.62810000000002</v>
      </c>
      <c r="H7867" s="1">
        <v>-4.5112799999999998E-6</v>
      </c>
      <c r="I7867">
        <v>16.496759999999998</v>
      </c>
      <c r="J7867">
        <v>-393.7201</v>
      </c>
      <c r="K7867">
        <v>1.1214500000000001</v>
      </c>
      <c r="L7867">
        <v>18.83606</v>
      </c>
      <c r="M7867">
        <v>0.98684919999999998</v>
      </c>
      <c r="N7867">
        <v>-9.3368570000000005E-3</v>
      </c>
      <c r="O7867">
        <v>-0.16137460000000001</v>
      </c>
      <c r="P7867">
        <v>0.99290009999999995</v>
      </c>
      <c r="Q7867">
        <v>0.1069918</v>
      </c>
      <c r="R7867">
        <v>-5.1986350000000001E-2</v>
      </c>
      <c r="S7867">
        <v>3.0210880000000002</v>
      </c>
      <c r="T7867">
        <v>-0.10523970000000001</v>
      </c>
      <c r="U7867">
        <v>-0.22103880000000001</v>
      </c>
      <c r="V7867">
        <v>-0.1090285</v>
      </c>
      <c r="W7867">
        <v>0.116122699999999</v>
      </c>
      <c r="X7867">
        <v>0.98723260000000002</v>
      </c>
      <c r="Y7867">
        <v>-8.8818620000000001E-2</v>
      </c>
      <c r="Z7867">
        <v>6.0337539999999997E-3</v>
      </c>
      <c r="AA7867">
        <v>0.99602959999999996</v>
      </c>
      <c r="AB7867">
        <v>19</v>
      </c>
      <c r="AC7867">
        <v>32.091999999999899</v>
      </c>
      <c r="AD7867">
        <v>-1.1214545112799901</v>
      </c>
      <c r="AE7867">
        <v>-2.3392999999999899</v>
      </c>
      <c r="AF7867">
        <v>-2.8669395796299102</v>
      </c>
      <c r="AG7867">
        <v>-1.1214545112799901</v>
      </c>
      <c r="AH7867">
        <v>32.009978149243103</v>
      </c>
      <c r="AI7867">
        <v>91.998516769012895</v>
      </c>
      <c r="AJ7867">
        <v>95.117979620041893</v>
      </c>
      <c r="AK7867">
        <v>32.157669441194599</v>
      </c>
      <c r="AL7867">
        <v>83.331614778396002</v>
      </c>
      <c r="AM7867">
        <v>96.302121852999093</v>
      </c>
      <c r="AN7867">
        <v>0.99999995088514804</v>
      </c>
    </row>
    <row r="7868" spans="1:40" x14ac:dyDescent="0.25">
      <c r="A7868" t="str">
        <f>"20190303162109453"</f>
        <v>20190303162109453</v>
      </c>
      <c r="B7868" t="str">
        <f>"1551601269440158"</f>
        <v>1551601269440158</v>
      </c>
      <c r="C7868" t="s">
        <v>40</v>
      </c>
      <c r="D7868">
        <v>4.9326349999999897</v>
      </c>
      <c r="E7868">
        <v>0.5069979</v>
      </c>
      <c r="F7868" t="s">
        <v>75</v>
      </c>
      <c r="G7868">
        <v>-360.83390000000003</v>
      </c>
      <c r="H7868" s="1">
        <v>-4.8914990000000003E-6</v>
      </c>
      <c r="I7868">
        <v>16.469539999999999</v>
      </c>
      <c r="J7868">
        <v>-393.56540000000001</v>
      </c>
      <c r="K7868">
        <v>1.1214599999999999</v>
      </c>
      <c r="L7868">
        <v>18.811489999999999</v>
      </c>
      <c r="M7868">
        <v>0.98695310000000003</v>
      </c>
      <c r="N7868">
        <v>-9.3455540000000007E-3</v>
      </c>
      <c r="O7868">
        <v>-0.16073660000000001</v>
      </c>
      <c r="P7868">
        <v>0.99296309999999999</v>
      </c>
      <c r="Q7868">
        <v>0.1069498</v>
      </c>
      <c r="R7868">
        <v>-5.0855740000000003E-2</v>
      </c>
      <c r="S7868">
        <v>3.0211790000000001</v>
      </c>
      <c r="T7868">
        <v>-0.10302559999999999</v>
      </c>
      <c r="U7868">
        <v>-0.21740719999999999</v>
      </c>
      <c r="V7868">
        <v>-0.10951809999999999</v>
      </c>
      <c r="W7868">
        <v>0.1160862</v>
      </c>
      <c r="X7868">
        <v>0.98718269999999997</v>
      </c>
      <c r="Y7868">
        <v>-8.9373079999999994E-2</v>
      </c>
      <c r="Z7868">
        <v>5.8795829999999999E-3</v>
      </c>
      <c r="AA7868">
        <v>0.99598089999999995</v>
      </c>
      <c r="AB7868">
        <v>19</v>
      </c>
      <c r="AC7868">
        <v>32.731499999999897</v>
      </c>
      <c r="AD7868">
        <v>-1.121464891499</v>
      </c>
      <c r="AE7868">
        <v>-2.3419500000000002</v>
      </c>
      <c r="AF7868">
        <v>-2.9464427318171702</v>
      </c>
      <c r="AG7868">
        <v>-1.121464891499</v>
      </c>
      <c r="AH7868">
        <v>32.6441929006169</v>
      </c>
      <c r="AI7868">
        <v>91.959616630213802</v>
      </c>
      <c r="AJ7868">
        <v>95.157502912507198</v>
      </c>
      <c r="AK7868">
        <v>32.796075045764702</v>
      </c>
      <c r="AL7868">
        <v>83.333720319083298</v>
      </c>
      <c r="AM7868">
        <v>96.330510118983099</v>
      </c>
      <c r="AN7868">
        <v>0.99999995161866795</v>
      </c>
    </row>
    <row r="7869" spans="1:40" x14ac:dyDescent="0.25">
      <c r="A7869" t="str">
        <f>"20190303162109466"</f>
        <v>20190303162109466</v>
      </c>
      <c r="B7869" t="str">
        <f>"1551601269460653"</f>
        <v>1551601269460653</v>
      </c>
      <c r="C7869" t="s">
        <v>40</v>
      </c>
      <c r="D7869">
        <v>4.8687170000000002</v>
      </c>
      <c r="E7869">
        <v>0.50655509999999904</v>
      </c>
      <c r="F7869" t="s">
        <v>41</v>
      </c>
      <c r="G7869">
        <v>-359.5247</v>
      </c>
      <c r="H7869" s="1">
        <v>-9.9532449999999996E-7</v>
      </c>
      <c r="I7869">
        <v>16.43092</v>
      </c>
      <c r="J7869">
        <v>-393.46249999999998</v>
      </c>
      <c r="K7869">
        <v>1.1214660000000001</v>
      </c>
      <c r="L7869">
        <v>18.79523</v>
      </c>
      <c r="M7869">
        <v>0.98702230000000002</v>
      </c>
      <c r="N7869">
        <v>-9.3511380000000002E-3</v>
      </c>
      <c r="O7869">
        <v>-0.16031199999999901</v>
      </c>
      <c r="P7869">
        <v>0.99299479999999996</v>
      </c>
      <c r="Q7869">
        <v>0.10689029999999999</v>
      </c>
      <c r="R7869">
        <v>-5.0359319999999999E-2</v>
      </c>
      <c r="S7869">
        <v>3.0211790000000001</v>
      </c>
      <c r="T7869">
        <v>-9.9532129999999996E-2</v>
      </c>
      <c r="U7869">
        <v>-0.21127319999999999</v>
      </c>
      <c r="V7869">
        <v>-0.1095894</v>
      </c>
      <c r="W7869">
        <v>0.1160313</v>
      </c>
      <c r="X7869">
        <v>0.98718130000000004</v>
      </c>
      <c r="Y7869">
        <v>-9.0963829999999996E-2</v>
      </c>
      <c r="Z7869">
        <v>5.6672019999999997E-3</v>
      </c>
      <c r="AA7869">
        <v>0.995838</v>
      </c>
      <c r="AB7869">
        <v>19</v>
      </c>
      <c r="AC7869">
        <v>33.937799999999903</v>
      </c>
      <c r="AD7869">
        <v>-1.1214669953245</v>
      </c>
      <c r="AE7869">
        <v>-2.3643100000000001</v>
      </c>
      <c r="AF7869">
        <v>-3.1037723113195899</v>
      </c>
      <c r="AG7869">
        <v>-1.1214669953245</v>
      </c>
      <c r="AH7869">
        <v>33.841092562232099</v>
      </c>
      <c r="AI7869">
        <v>91.890114893864506</v>
      </c>
      <c r="AJ7869">
        <v>95.240283568628698</v>
      </c>
      <c r="AK7869">
        <v>34.001626969715403</v>
      </c>
      <c r="AL7869">
        <v>83.336887643481205</v>
      </c>
      <c r="AM7869">
        <v>96.334606914362894</v>
      </c>
      <c r="AN7869">
        <v>1.0000000091208701</v>
      </c>
    </row>
    <row r="7870" spans="1:40" x14ac:dyDescent="0.25">
      <c r="A7870" t="str">
        <f>"20190303162109478"</f>
        <v>20190303162109478</v>
      </c>
      <c r="B7870" t="str">
        <f>"1551601269470413"</f>
        <v>1551601269470413</v>
      </c>
      <c r="C7870" t="s">
        <v>40</v>
      </c>
      <c r="D7870">
        <v>4.9068829999999997</v>
      </c>
      <c r="E7870">
        <v>0.50634049999999997</v>
      </c>
      <c r="F7870" t="s">
        <v>41</v>
      </c>
      <c r="G7870">
        <v>-358.32400000000001</v>
      </c>
      <c r="H7870" s="1">
        <v>-1.414271E-6</v>
      </c>
      <c r="I7870">
        <v>16.39207</v>
      </c>
      <c r="J7870">
        <v>-393.36</v>
      </c>
      <c r="K7870">
        <v>1.1214740000000001</v>
      </c>
      <c r="L7870">
        <v>18.779050000000002</v>
      </c>
      <c r="M7870">
        <v>0.98709049999999998</v>
      </c>
      <c r="N7870">
        <v>-9.3563819999999999E-3</v>
      </c>
      <c r="O7870">
        <v>-0.1598907</v>
      </c>
      <c r="P7870">
        <v>0.99300270000000002</v>
      </c>
      <c r="Q7870">
        <v>0.1070127</v>
      </c>
      <c r="R7870">
        <v>-4.9940169999999999E-2</v>
      </c>
      <c r="S7870">
        <v>3.0210270000000001</v>
      </c>
      <c r="T7870">
        <v>-9.6418139999999999E-2</v>
      </c>
      <c r="U7870">
        <v>-0.20660400000000001</v>
      </c>
      <c r="V7870">
        <v>-0.1095836</v>
      </c>
      <c r="W7870">
        <v>0.11615780000000001</v>
      </c>
      <c r="X7870">
        <v>0.98716709999999996</v>
      </c>
      <c r="Y7870">
        <v>-9.207361E-2</v>
      </c>
      <c r="Z7870">
        <v>5.4700349999999998E-3</v>
      </c>
      <c r="AA7870">
        <v>0.99573719999999999</v>
      </c>
      <c r="AB7870">
        <v>19</v>
      </c>
      <c r="AC7870">
        <v>35.036000000000001</v>
      </c>
      <c r="AD7870">
        <v>-1.1214754142709999</v>
      </c>
      <c r="AE7870">
        <v>-2.3869799999999999</v>
      </c>
      <c r="AF7870">
        <v>-3.2425999962439001</v>
      </c>
      <c r="AG7870">
        <v>-1.1214754142709999</v>
      </c>
      <c r="AH7870">
        <v>34.931260260598798</v>
      </c>
      <c r="AI7870">
        <v>91.830994790445004</v>
      </c>
      <c r="AJ7870">
        <v>95.303455688863906</v>
      </c>
      <c r="AK7870">
        <v>35.0993604675947</v>
      </c>
      <c r="AL7870">
        <v>83.329590602259401</v>
      </c>
      <c r="AM7870">
        <v>96.334364756864005</v>
      </c>
      <c r="AN7870">
        <v>1.0000000416060999</v>
      </c>
    </row>
    <row r="7871" spans="1:40" x14ac:dyDescent="0.25">
      <c r="A7871" t="str">
        <f>"20190303162109490"</f>
        <v>20190303162109490</v>
      </c>
      <c r="B7871" t="str">
        <f>"1551601269480173"</f>
        <v>1551601269480173</v>
      </c>
      <c r="C7871" t="s">
        <v>40</v>
      </c>
      <c r="D7871">
        <v>4.9216610000000003</v>
      </c>
      <c r="E7871">
        <v>0.50617520000000005</v>
      </c>
      <c r="F7871" t="s">
        <v>41</v>
      </c>
      <c r="G7871">
        <v>-357.72039999999998</v>
      </c>
      <c r="H7871" s="1">
        <v>-1.624089E-6</v>
      </c>
      <c r="I7871">
        <v>16.375529999999898</v>
      </c>
      <c r="J7871">
        <v>-393.2552</v>
      </c>
      <c r="K7871">
        <v>1.121478</v>
      </c>
      <c r="L7871">
        <v>18.76257</v>
      </c>
      <c r="M7871">
        <v>0.98716000000000004</v>
      </c>
      <c r="N7871">
        <v>-9.3616310000000005E-3</v>
      </c>
      <c r="O7871">
        <v>-0.159460299999999</v>
      </c>
      <c r="P7871">
        <v>0.99297729999999995</v>
      </c>
      <c r="Q7871">
        <v>0.1072439</v>
      </c>
      <c r="R7871">
        <v>-4.9947159999999997E-2</v>
      </c>
      <c r="S7871">
        <v>3.021118</v>
      </c>
      <c r="T7871">
        <v>-9.5065830000000004E-2</v>
      </c>
      <c r="U7871">
        <v>-0.20373540000000001</v>
      </c>
      <c r="V7871">
        <v>-0.1091427</v>
      </c>
      <c r="W7871">
        <v>0.1163936</v>
      </c>
      <c r="X7871">
        <v>0.98718810000000001</v>
      </c>
      <c r="Y7871">
        <v>-9.2585539999999994E-2</v>
      </c>
      <c r="Z7871">
        <v>5.3789819999999896E-3</v>
      </c>
      <c r="AA7871">
        <v>0.99569019999999997</v>
      </c>
      <c r="AB7871">
        <v>19</v>
      </c>
      <c r="AC7871">
        <v>35.534799999999997</v>
      </c>
      <c r="AD7871">
        <v>-1.1214796240889999</v>
      </c>
      <c r="AE7871">
        <v>-2.3870399999999998</v>
      </c>
      <c r="AF7871">
        <v>-3.3068654012429901</v>
      </c>
      <c r="AG7871">
        <v>-1.1214796240889999</v>
      </c>
      <c r="AH7871">
        <v>35.425596896810397</v>
      </c>
      <c r="AI7871">
        <v>91.805382109019206</v>
      </c>
      <c r="AJ7871">
        <v>95.332922666712804</v>
      </c>
      <c r="AK7871">
        <v>35.597275047740503</v>
      </c>
      <c r="AL7871">
        <v>83.315987523330094</v>
      </c>
      <c r="AM7871">
        <v>96.308951791319899</v>
      </c>
      <c r="AN7871">
        <v>0.999999971932929</v>
      </c>
    </row>
    <row r="7872" spans="1:40" x14ac:dyDescent="0.25">
      <c r="A7872" t="str">
        <f>"20190303162109503"</f>
        <v>20190303162109503</v>
      </c>
      <c r="B7872" t="str">
        <f>"1551601269490910"</f>
        <v>1551601269490910</v>
      </c>
      <c r="C7872" t="s">
        <v>40</v>
      </c>
      <c r="D7872">
        <v>4.8874740000000001</v>
      </c>
      <c r="E7872">
        <v>0.50599380000000005</v>
      </c>
      <c r="F7872" t="s">
        <v>41</v>
      </c>
      <c r="G7872">
        <v>-356.86009999999999</v>
      </c>
      <c r="H7872" s="1">
        <v>-1.9304959999999999E-6</v>
      </c>
      <c r="I7872">
        <v>16.32424</v>
      </c>
      <c r="J7872">
        <v>-393.14830000000001</v>
      </c>
      <c r="K7872">
        <v>1.121481</v>
      </c>
      <c r="L7872">
        <v>18.74579</v>
      </c>
      <c r="M7872">
        <v>0.98723070000000002</v>
      </c>
      <c r="N7872">
        <v>-9.3668459999999999E-3</v>
      </c>
      <c r="O7872">
        <v>-0.15902259999999999</v>
      </c>
      <c r="P7872">
        <v>0.99297080000000004</v>
      </c>
      <c r="Q7872">
        <v>0.10729080000000001</v>
      </c>
      <c r="R7872">
        <v>-4.9981499999999998E-2</v>
      </c>
      <c r="S7872">
        <v>3.0210569999999999</v>
      </c>
      <c r="T7872">
        <v>-9.3090889999999996E-2</v>
      </c>
      <c r="U7872">
        <v>-0.20239260000000001</v>
      </c>
      <c r="V7872">
        <v>-0.1086709</v>
      </c>
      <c r="W7872">
        <v>0.1164457</v>
      </c>
      <c r="X7872">
        <v>0.9872341</v>
      </c>
      <c r="Y7872">
        <v>-9.2587710000000004E-2</v>
      </c>
      <c r="Z7872">
        <v>5.2357269999999999E-3</v>
      </c>
      <c r="AA7872">
        <v>0.99569079999999999</v>
      </c>
      <c r="AB7872">
        <v>19</v>
      </c>
      <c r="AC7872">
        <v>36.288200000000003</v>
      </c>
      <c r="AD7872">
        <v>-1.1214829304959999</v>
      </c>
      <c r="AE7872">
        <v>-2.4215499999999999</v>
      </c>
      <c r="AF7872">
        <v>-3.3769519868306102</v>
      </c>
      <c r="AG7872">
        <v>-1.1214829304959999</v>
      </c>
      <c r="AH7872">
        <v>36.177087973985799</v>
      </c>
      <c r="AI7872">
        <v>91.767909226856304</v>
      </c>
      <c r="AJ7872">
        <v>95.332824243717596</v>
      </c>
      <c r="AK7872">
        <v>36.351660525514703</v>
      </c>
      <c r="AL7872">
        <v>83.312982613554198</v>
      </c>
      <c r="AM7872">
        <v>96.281607709645897</v>
      </c>
      <c r="AN7872">
        <v>1.0000000668790501</v>
      </c>
    </row>
    <row r="7873" spans="1:40" x14ac:dyDescent="0.25">
      <c r="A7873" t="str">
        <f>"20190303162109521"</f>
        <v>20190303162109521</v>
      </c>
      <c r="B7873" t="str">
        <f>"1551601269510935"</f>
        <v>1551601269510935</v>
      </c>
      <c r="C7873" t="s">
        <v>40</v>
      </c>
      <c r="D7873">
        <v>4.8869829999999999</v>
      </c>
      <c r="E7873">
        <v>0.5058222</v>
      </c>
      <c r="F7873" t="s">
        <v>41</v>
      </c>
      <c r="G7873">
        <v>-356.38749999999999</v>
      </c>
      <c r="H7873" s="1">
        <v>-2.1201170000000001E-6</v>
      </c>
      <c r="I7873">
        <v>16.30115</v>
      </c>
      <c r="J7873">
        <v>-393.00119999999998</v>
      </c>
      <c r="K7873">
        <v>1.121483</v>
      </c>
      <c r="L7873">
        <v>18.722809999999999</v>
      </c>
      <c r="M7873">
        <v>0.98732690000000001</v>
      </c>
      <c r="N7873">
        <v>-9.3737040000000001E-3</v>
      </c>
      <c r="O7873">
        <v>-0.15842410000000001</v>
      </c>
      <c r="P7873">
        <v>0.99301589999999995</v>
      </c>
      <c r="Q7873">
        <v>0.1063429</v>
      </c>
      <c r="R7873">
        <v>-5.1098240000000003E-2</v>
      </c>
      <c r="S7873">
        <v>3.0210569999999999</v>
      </c>
      <c r="T7873">
        <v>-9.2165109999999995E-2</v>
      </c>
      <c r="U7873">
        <v>-0.2008972</v>
      </c>
      <c r="V7873">
        <v>-0.1069765</v>
      </c>
      <c r="W7873">
        <v>0.1155075</v>
      </c>
      <c r="X7873">
        <v>0.98752930000000005</v>
      </c>
      <c r="Y7873">
        <v>-9.247706E-2</v>
      </c>
      <c r="Z7873">
        <v>5.157951E-3</v>
      </c>
      <c r="AA7873">
        <v>0.99570139999999996</v>
      </c>
      <c r="AB7873">
        <v>19</v>
      </c>
      <c r="AC7873">
        <v>36.613700000000001</v>
      </c>
      <c r="AD7873">
        <v>-1.121485120117</v>
      </c>
      <c r="AE7873">
        <v>-2.4216599999999899</v>
      </c>
      <c r="AF7873">
        <v>-3.4064893303637498</v>
      </c>
      <c r="AG7873">
        <v>-1.121485120117</v>
      </c>
      <c r="AH7873">
        <v>36.500840507775798</v>
      </c>
      <c r="AI7873">
        <v>91.752244624262005</v>
      </c>
      <c r="AJ7873">
        <v>95.331760842224099</v>
      </c>
      <c r="AK7873">
        <v>36.676603662370503</v>
      </c>
      <c r="AL7873">
        <v>83.367102513532402</v>
      </c>
      <c r="AM7873">
        <v>96.182595215564106</v>
      </c>
      <c r="AN7873">
        <v>1.00000003623349</v>
      </c>
    </row>
    <row r="7874" spans="1:40" x14ac:dyDescent="0.25">
      <c r="A7874" t="str">
        <f>"20190303162109534"</f>
        <v>20190303162109534</v>
      </c>
      <c r="B7874" t="str">
        <f>"1551601269520695"</f>
        <v>1551601269520695</v>
      </c>
      <c r="C7874" t="s">
        <v>40</v>
      </c>
      <c r="D7874">
        <v>4.8889579999999997</v>
      </c>
      <c r="E7874">
        <v>0.50570409999999999</v>
      </c>
      <c r="F7874" t="s">
        <v>41</v>
      </c>
      <c r="G7874">
        <v>-356.7029</v>
      </c>
      <c r="H7874" s="1">
        <v>-1.9943979999999999E-6</v>
      </c>
      <c r="I7874">
        <v>16.285139999999998</v>
      </c>
      <c r="J7874">
        <v>-392.89510000000001</v>
      </c>
      <c r="K7874">
        <v>1.121481</v>
      </c>
      <c r="L7874">
        <v>18.70627</v>
      </c>
      <c r="M7874">
        <v>0.98739569999999999</v>
      </c>
      <c r="N7874">
        <v>-9.3784839999999994E-3</v>
      </c>
      <c r="O7874">
        <v>-0.15799389999999999</v>
      </c>
      <c r="P7874">
        <v>0.99311289999999997</v>
      </c>
      <c r="Q7874">
        <v>0.1055637</v>
      </c>
      <c r="R7874">
        <v>-5.0830769999999997E-2</v>
      </c>
      <c r="S7874">
        <v>3.0206599999999999</v>
      </c>
      <c r="T7874">
        <v>-9.3327400000000005E-2</v>
      </c>
      <c r="U7874">
        <v>-0.20285030000000001</v>
      </c>
      <c r="V7874">
        <v>-0.10682510000000001</v>
      </c>
      <c r="W7874">
        <v>0.114734</v>
      </c>
      <c r="X7874">
        <v>0.98763590000000001</v>
      </c>
      <c r="Y7874">
        <v>-9.1391790000000001E-2</v>
      </c>
      <c r="Z7874">
        <v>5.2055239999999996E-3</v>
      </c>
      <c r="AA7874">
        <v>0.99580139999999995</v>
      </c>
      <c r="AB7874">
        <v>19</v>
      </c>
      <c r="AC7874">
        <v>36.1922</v>
      </c>
      <c r="AD7874">
        <v>-1.121482994398</v>
      </c>
      <c r="AE7874">
        <v>-2.4211299999999998</v>
      </c>
      <c r="AF7874">
        <v>-3.3245014120060499</v>
      </c>
      <c r="AG7874">
        <v>-1.121482994398</v>
      </c>
      <c r="AH7874">
        <v>36.085635032242003</v>
      </c>
      <c r="AI7874">
        <v>91.7725851414597</v>
      </c>
      <c r="AJ7874">
        <v>95.263693504795796</v>
      </c>
      <c r="AK7874">
        <v>36.255800769329603</v>
      </c>
      <c r="AL7874">
        <v>83.411717722414394</v>
      </c>
      <c r="AM7874">
        <v>96.173251599730904</v>
      </c>
      <c r="AN7874">
        <v>1.0000000818574</v>
      </c>
    </row>
    <row r="7875" spans="1:40" x14ac:dyDescent="0.25">
      <c r="A7875" t="str">
        <f>"20190303162109547"</f>
        <v>20190303162109547</v>
      </c>
      <c r="B7875" t="str">
        <f>"1551601269540216"</f>
        <v>1551601269540216</v>
      </c>
      <c r="C7875" t="s">
        <v>40</v>
      </c>
      <c r="D7875">
        <v>5.0636289999999997</v>
      </c>
      <c r="E7875">
        <v>0.50600179999999995</v>
      </c>
      <c r="F7875" t="s">
        <v>41</v>
      </c>
      <c r="G7875">
        <v>-357.2072</v>
      </c>
      <c r="H7875" s="1">
        <v>-1.8116829999999999E-6</v>
      </c>
      <c r="I7875">
        <v>16.326889999999999</v>
      </c>
      <c r="J7875">
        <v>-392.78530000000001</v>
      </c>
      <c r="K7875">
        <v>1.121481</v>
      </c>
      <c r="L7875">
        <v>18.689209999999999</v>
      </c>
      <c r="M7875">
        <v>0.98746630000000002</v>
      </c>
      <c r="N7875">
        <v>-9.3833260000000009E-3</v>
      </c>
      <c r="O7875">
        <v>-0.1575501</v>
      </c>
      <c r="P7875">
        <v>0.9932164</v>
      </c>
      <c r="Q7875">
        <v>0.1048463</v>
      </c>
      <c r="R7875">
        <v>-5.028527E-2</v>
      </c>
      <c r="S7875">
        <v>3.0206599999999999</v>
      </c>
      <c r="T7875">
        <v>-9.492362E-2</v>
      </c>
      <c r="U7875">
        <v>-0.2013855</v>
      </c>
      <c r="V7875">
        <v>-0.10693569999999999</v>
      </c>
      <c r="W7875">
        <v>0.1140215</v>
      </c>
      <c r="X7875">
        <v>0.98770639999999998</v>
      </c>
      <c r="Y7875">
        <v>-9.1421569999999994E-2</v>
      </c>
      <c r="Z7875">
        <v>5.303248E-3</v>
      </c>
      <c r="AA7875">
        <v>0.99579819999999997</v>
      </c>
      <c r="AB7875">
        <v>19</v>
      </c>
      <c r="AC7875">
        <v>35.578099999999999</v>
      </c>
      <c r="AD7875">
        <v>-1.121482811683</v>
      </c>
      <c r="AE7875">
        <v>-2.36232</v>
      </c>
      <c r="AF7875">
        <v>-3.2695318652717802</v>
      </c>
      <c r="AG7875">
        <v>-1.121482811683</v>
      </c>
      <c r="AH7875">
        <v>35.4708358669535</v>
      </c>
      <c r="AI7875">
        <v>91.803280356332294</v>
      </c>
      <c r="AJ7875">
        <v>95.266369513328499</v>
      </c>
      <c r="AK7875">
        <v>35.638851825153999</v>
      </c>
      <c r="AL7875">
        <v>83.452810363534894</v>
      </c>
      <c r="AM7875">
        <v>96.179155900200399</v>
      </c>
      <c r="AN7875">
        <v>1.00000003949884</v>
      </c>
    </row>
    <row r="7876" spans="1:40" x14ac:dyDescent="0.25">
      <c r="A7876" t="str">
        <f>"20190303162109561"</f>
        <v>20190303162109561</v>
      </c>
      <c r="B7876" t="str">
        <f>"1551601269550952"</f>
        <v>1551601269550952</v>
      </c>
      <c r="C7876" t="s">
        <v>40</v>
      </c>
      <c r="D7876">
        <v>5.1326530000000004</v>
      </c>
      <c r="E7876">
        <v>0.50600179999999995</v>
      </c>
      <c r="F7876" t="s">
        <v>41</v>
      </c>
      <c r="G7876">
        <v>-357.64800000000002</v>
      </c>
      <c r="H7876" s="1">
        <v>-1.659695E-6</v>
      </c>
      <c r="I7876">
        <v>16.33426</v>
      </c>
      <c r="J7876">
        <v>-392.66050000000001</v>
      </c>
      <c r="K7876">
        <v>1.121478</v>
      </c>
      <c r="L7876">
        <v>18.66986</v>
      </c>
      <c r="M7876">
        <v>0.98754660000000005</v>
      </c>
      <c r="N7876">
        <v>-9.3886349999999993E-3</v>
      </c>
      <c r="O7876">
        <v>-0.15704779999999999</v>
      </c>
      <c r="P7876">
        <v>0.99332370000000003</v>
      </c>
      <c r="Q7876">
        <v>0.1042737</v>
      </c>
      <c r="R7876">
        <v>-4.9349039999999997E-2</v>
      </c>
      <c r="S7876">
        <v>3.0203859999999998</v>
      </c>
      <c r="T7876">
        <v>-9.6402169999999995E-2</v>
      </c>
      <c r="U7876">
        <v>-0.20242309999999999</v>
      </c>
      <c r="V7876">
        <v>-0.1073741</v>
      </c>
      <c r="W7876">
        <v>0.1134535</v>
      </c>
      <c r="X7876">
        <v>0.98772420000000005</v>
      </c>
      <c r="Y7876">
        <v>-9.0565770000000004E-2</v>
      </c>
      <c r="Z7876">
        <v>5.3734069999999898E-3</v>
      </c>
      <c r="AA7876">
        <v>0.99587599999999998</v>
      </c>
      <c r="AB7876">
        <v>19</v>
      </c>
      <c r="AC7876">
        <v>35.012499999999903</v>
      </c>
      <c r="AD7876">
        <v>-1.1214796596950001</v>
      </c>
      <c r="AE7876">
        <v>-2.3355999999999901</v>
      </c>
      <c r="AF7876">
        <v>-3.1890049016689099</v>
      </c>
      <c r="AG7876">
        <v>-1.1214796596950001</v>
      </c>
      <c r="AH7876">
        <v>34.909151333945999</v>
      </c>
      <c r="AI7876">
        <v>91.832407421059003</v>
      </c>
      <c r="AJ7876">
        <v>95.2195708501865</v>
      </c>
      <c r="AK7876">
        <v>35.072443823411</v>
      </c>
      <c r="AL7876">
        <v>83.485566634679302</v>
      </c>
      <c r="AM7876">
        <v>96.204180235841093</v>
      </c>
      <c r="AN7876">
        <v>0.99999999463934997</v>
      </c>
    </row>
    <row r="7877" spans="1:40" x14ac:dyDescent="0.25">
      <c r="A7877" t="str">
        <f>"20190303162109579"</f>
        <v>20190303162109579</v>
      </c>
      <c r="B7877" t="str">
        <f>"1551601269570472"</f>
        <v>1551601269570472</v>
      </c>
      <c r="C7877" t="s">
        <v>40</v>
      </c>
      <c r="D7877">
        <v>4.8832610000000001</v>
      </c>
      <c r="E7877">
        <v>0.50635920000000001</v>
      </c>
      <c r="F7877" t="s">
        <v>41</v>
      </c>
      <c r="G7877">
        <v>-358.13569999999999</v>
      </c>
      <c r="H7877" s="1">
        <v>-1.479778E-6</v>
      </c>
      <c r="I7877">
        <v>16.38673</v>
      </c>
      <c r="J7877">
        <v>-392.51909999999998</v>
      </c>
      <c r="K7877">
        <v>1.12147</v>
      </c>
      <c r="L7877">
        <v>18.648070000000001</v>
      </c>
      <c r="M7877">
        <v>0.98763659999999998</v>
      </c>
      <c r="N7877">
        <v>-9.3945000000000001E-3</v>
      </c>
      <c r="O7877">
        <v>-0.15648020000000001</v>
      </c>
      <c r="P7877">
        <v>0.99333870000000002</v>
      </c>
      <c r="Q7877">
        <v>0.10487730000000001</v>
      </c>
      <c r="R7877">
        <v>-4.7745419999999997E-2</v>
      </c>
      <c r="S7877">
        <v>3.0204770000000001</v>
      </c>
      <c r="T7877">
        <v>-9.8115209999999994E-2</v>
      </c>
      <c r="U7877">
        <v>-0.19973750000000001</v>
      </c>
      <c r="V7877">
        <v>-0.1083932</v>
      </c>
      <c r="W7877">
        <v>0.11405990000000001</v>
      </c>
      <c r="X7877">
        <v>0.98754299999999995</v>
      </c>
      <c r="Y7877">
        <v>-9.0873079999999995E-2</v>
      </c>
      <c r="Z7877">
        <v>5.4805890000000001E-3</v>
      </c>
      <c r="AA7877">
        <v>0.99584740000000005</v>
      </c>
      <c r="AB7877">
        <v>19</v>
      </c>
      <c r="AC7877">
        <v>34.383399999999902</v>
      </c>
      <c r="AD7877">
        <v>-1.1214714797780001</v>
      </c>
      <c r="AE7877">
        <v>-2.2613400000000001</v>
      </c>
      <c r="AF7877">
        <v>-3.1437474067753999</v>
      </c>
      <c r="AG7877">
        <v>-1.1214714797780001</v>
      </c>
      <c r="AH7877">
        <v>34.277358429516703</v>
      </c>
      <c r="AI7877">
        <v>91.866083173167794</v>
      </c>
      <c r="AJ7877">
        <v>95.240221410297593</v>
      </c>
      <c r="AK7877">
        <v>34.439485288591698</v>
      </c>
      <c r="AL7877">
        <v>83.450595246150797</v>
      </c>
      <c r="AM7877">
        <v>96.263739081815501</v>
      </c>
      <c r="AN7877">
        <v>0.99999996172162398</v>
      </c>
    </row>
    <row r="7878" spans="1:40" x14ac:dyDescent="0.25">
      <c r="A7878" t="str">
        <f>"20190303162109599"</f>
        <v>20190303162109599</v>
      </c>
      <c r="B7878" t="str">
        <f>"1551601269590968"</f>
        <v>1551601269590968</v>
      </c>
      <c r="C7878" t="s">
        <v>40</v>
      </c>
      <c r="D7878">
        <v>4.6918689999999996</v>
      </c>
      <c r="E7878">
        <v>0.50647619999999904</v>
      </c>
      <c r="F7878" t="s">
        <v>41</v>
      </c>
      <c r="G7878">
        <v>-356.7704</v>
      </c>
      <c r="H7878" s="1">
        <v>-1.9656299999999998E-6</v>
      </c>
      <c r="I7878">
        <v>16.30687</v>
      </c>
      <c r="J7878">
        <v>-392.3408</v>
      </c>
      <c r="K7878">
        <v>1.1214630000000001</v>
      </c>
      <c r="L7878">
        <v>18.62067</v>
      </c>
      <c r="M7878">
        <v>0.98774989999999996</v>
      </c>
      <c r="N7878">
        <v>-9.4016959999999993E-3</v>
      </c>
      <c r="O7878">
        <v>-0.15576199999999901</v>
      </c>
      <c r="P7878">
        <v>0.99344960000000004</v>
      </c>
      <c r="Q7878">
        <v>0.1046976</v>
      </c>
      <c r="R7878">
        <v>-4.5788950000000002E-2</v>
      </c>
      <c r="S7878">
        <v>3.0206300000000001</v>
      </c>
      <c r="T7878">
        <v>-9.4760300000000006E-2</v>
      </c>
      <c r="U7878">
        <v>-0.19781489999999999</v>
      </c>
      <c r="V7878">
        <v>-0.1096244</v>
      </c>
      <c r="W7878">
        <v>0.1138841</v>
      </c>
      <c r="X7878">
        <v>0.98742739999999996</v>
      </c>
      <c r="Y7878">
        <v>-9.0791150000000001E-2</v>
      </c>
      <c r="Z7878">
        <v>5.2394349999999998E-3</v>
      </c>
      <c r="AA7878">
        <v>0.99585619999999997</v>
      </c>
      <c r="AB7878">
        <v>19</v>
      </c>
      <c r="AC7878">
        <v>35.570399999999999</v>
      </c>
      <c r="AD7878">
        <v>-1.12146496563</v>
      </c>
      <c r="AE7878">
        <v>-2.3138000000000001</v>
      </c>
      <c r="AF7878">
        <v>-3.2519857928310101</v>
      </c>
      <c r="AG7878">
        <v>-1.12146496563</v>
      </c>
      <c r="AH7878">
        <v>35.461528131446698</v>
      </c>
      <c r="AI7878">
        <v>91.803802011933001</v>
      </c>
      <c r="AJ7878">
        <v>95.239632234144906</v>
      </c>
      <c r="AK7878">
        <v>35.627981597100003</v>
      </c>
      <c r="AL7878">
        <v>83.460734053437605</v>
      </c>
      <c r="AM7878">
        <v>96.335047114135193</v>
      </c>
      <c r="AN7878">
        <v>0.99999998378946398</v>
      </c>
    </row>
    <row r="7879" spans="1:40" x14ac:dyDescent="0.25">
      <c r="A7879" t="str">
        <f>"20190303162109612"</f>
        <v>20190303162109612</v>
      </c>
      <c r="B7879" t="str">
        <f>"1551601269600728"</f>
        <v>1551601269600728</v>
      </c>
      <c r="C7879" t="s">
        <v>40</v>
      </c>
      <c r="D7879">
        <v>4.6592849999999997</v>
      </c>
      <c r="E7879">
        <v>0.50656759999999901</v>
      </c>
      <c r="F7879" t="s">
        <v>41</v>
      </c>
      <c r="G7879">
        <v>-356.5992</v>
      </c>
      <c r="H7879" s="1">
        <v>-2.0226899999999999E-6</v>
      </c>
      <c r="I7879">
        <v>16.33831</v>
      </c>
      <c r="J7879">
        <v>-392.2373</v>
      </c>
      <c r="K7879">
        <v>1.1214630000000001</v>
      </c>
      <c r="L7879">
        <v>18.60483</v>
      </c>
      <c r="M7879">
        <v>0.98781660000000004</v>
      </c>
      <c r="N7879">
        <v>-9.4058059999999992E-3</v>
      </c>
      <c r="O7879">
        <v>-0.15533839999999999</v>
      </c>
      <c r="P7879">
        <v>0.99367260000000002</v>
      </c>
      <c r="Q7879">
        <v>0.1031794</v>
      </c>
      <c r="R7879">
        <v>-4.4372330000000001E-2</v>
      </c>
      <c r="S7879">
        <v>3.0209350000000001</v>
      </c>
      <c r="T7879">
        <v>-9.4788070000000002E-2</v>
      </c>
      <c r="U7879">
        <v>-0.19290160000000001</v>
      </c>
      <c r="V7879">
        <v>-0.1106347</v>
      </c>
      <c r="W7879">
        <v>0.1123685</v>
      </c>
      <c r="X7879">
        <v>0.98748840000000004</v>
      </c>
      <c r="Y7879">
        <v>-9.1982850000000005E-2</v>
      </c>
      <c r="Z7879">
        <v>5.2558099999999996E-3</v>
      </c>
      <c r="AA7879">
        <v>0.99574669999999998</v>
      </c>
      <c r="AB7879">
        <v>19</v>
      </c>
      <c r="AC7879">
        <v>35.638100000000001</v>
      </c>
      <c r="AD7879">
        <v>-1.12146502268999</v>
      </c>
      <c r="AE7879">
        <v>-2.2665199999999999</v>
      </c>
      <c r="AF7879">
        <v>-3.2939563222275199</v>
      </c>
      <c r="AG7879">
        <v>-1.12146502268999</v>
      </c>
      <c r="AH7879">
        <v>35.522520813952902</v>
      </c>
      <c r="AI7879">
        <v>91.800538492379502</v>
      </c>
      <c r="AJ7879">
        <v>95.297811833480196</v>
      </c>
      <c r="AK7879">
        <v>35.6925386744565</v>
      </c>
      <c r="AL7879">
        <v>83.548132880779306</v>
      </c>
      <c r="AM7879">
        <v>96.392558165473503</v>
      </c>
      <c r="AN7879">
        <v>1.00000002838544</v>
      </c>
    </row>
    <row r="7880" spans="1:40" x14ac:dyDescent="0.25">
      <c r="A7880" t="str">
        <f>"20190303162109626"</f>
        <v>20190303162109626</v>
      </c>
      <c r="B7880" t="str">
        <f>"1551601269620248"</f>
        <v>1551601269620248</v>
      </c>
      <c r="C7880" t="s">
        <v>40</v>
      </c>
      <c r="D7880">
        <v>4.6245989999999999</v>
      </c>
      <c r="E7880">
        <v>0.5067024</v>
      </c>
      <c r="F7880" t="s">
        <v>41</v>
      </c>
      <c r="G7880">
        <v>-357.9581</v>
      </c>
      <c r="H7880" s="1">
        <v>-1.521686E-6</v>
      </c>
      <c r="I7880">
        <v>16.456320000000002</v>
      </c>
      <c r="J7880">
        <v>-392.1198</v>
      </c>
      <c r="K7880">
        <v>1.121462</v>
      </c>
      <c r="L7880">
        <v>18.58691</v>
      </c>
      <c r="M7880">
        <v>0.98789320000000003</v>
      </c>
      <c r="N7880">
        <v>-9.4104480000000001E-3</v>
      </c>
      <c r="O7880">
        <v>-0.1548514</v>
      </c>
      <c r="P7880">
        <v>0.99394990000000005</v>
      </c>
      <c r="Q7880">
        <v>0.1011345</v>
      </c>
      <c r="R7880">
        <v>-4.2843480000000003E-2</v>
      </c>
      <c r="S7880">
        <v>3.0208740000000001</v>
      </c>
      <c r="T7880">
        <v>-9.8829979999999998E-2</v>
      </c>
      <c r="U7880">
        <v>-0.1893311</v>
      </c>
      <c r="V7880">
        <v>-0.11170049999999999</v>
      </c>
      <c r="W7880">
        <v>0.1103261</v>
      </c>
      <c r="X7880">
        <v>0.98759870000000005</v>
      </c>
      <c r="Y7880">
        <v>-9.2653390000000002E-2</v>
      </c>
      <c r="Z7880">
        <v>5.5268100000000001E-3</v>
      </c>
      <c r="AA7880">
        <v>0.99568310000000004</v>
      </c>
      <c r="AB7880">
        <v>19</v>
      </c>
      <c r="AC7880">
        <v>34.161700000000003</v>
      </c>
      <c r="AD7880">
        <v>-1.1214635216860001</v>
      </c>
      <c r="AE7880">
        <v>-2.13058999999999</v>
      </c>
      <c r="AF7880">
        <v>-3.1819161536183</v>
      </c>
      <c r="AG7880">
        <v>-1.1214635216860001</v>
      </c>
      <c r="AH7880">
        <v>34.042991260599599</v>
      </c>
      <c r="AI7880">
        <v>91.878605555708802</v>
      </c>
      <c r="AJ7880">
        <v>95.339784370249603</v>
      </c>
      <c r="AK7880">
        <v>34.209757742614798</v>
      </c>
      <c r="AL7880">
        <v>83.665885994355406</v>
      </c>
      <c r="AM7880">
        <v>96.4529091120055</v>
      </c>
      <c r="AN7880">
        <v>1.0000000211415701</v>
      </c>
    </row>
    <row r="7881" spans="1:40" x14ac:dyDescent="0.25">
      <c r="A7881" t="str">
        <f>"20190303162109645"</f>
        <v>20190303162109645</v>
      </c>
      <c r="B7881" t="str">
        <f>"1551601269630008"</f>
        <v>1551601269630008</v>
      </c>
      <c r="C7881" t="s">
        <v>40</v>
      </c>
      <c r="D7881">
        <v>4.624898</v>
      </c>
      <c r="E7881">
        <v>0.50677470000000002</v>
      </c>
      <c r="F7881" t="s">
        <v>41</v>
      </c>
      <c r="G7881">
        <v>-359.65269999999998</v>
      </c>
      <c r="H7881" s="1">
        <v>-9.088986E-7</v>
      </c>
      <c r="I7881">
        <v>16.591999999999999</v>
      </c>
      <c r="J7881">
        <v>-391.95490000000001</v>
      </c>
      <c r="K7881">
        <v>1.121464</v>
      </c>
      <c r="L7881">
        <v>18.561889999999998</v>
      </c>
      <c r="M7881">
        <v>0.9880061</v>
      </c>
      <c r="N7881">
        <v>-9.417E-3</v>
      </c>
      <c r="O7881">
        <v>-0.1541284</v>
      </c>
      <c r="P7881">
        <v>0.99455179999999999</v>
      </c>
      <c r="Q7881">
        <v>9.6708290000000002E-2</v>
      </c>
      <c r="R7881">
        <v>-3.8919380000000003E-2</v>
      </c>
      <c r="S7881">
        <v>3.0208740000000001</v>
      </c>
      <c r="T7881">
        <v>-0.1043458</v>
      </c>
      <c r="U7881">
        <v>-0.18560789999999999</v>
      </c>
      <c r="V7881">
        <v>-0.1149493</v>
      </c>
      <c r="W7881">
        <v>0.1058972</v>
      </c>
      <c r="X7881">
        <v>0.98771070000000005</v>
      </c>
      <c r="Y7881">
        <v>-9.3133869999999994E-2</v>
      </c>
      <c r="Z7881">
        <v>5.8847419999999897E-3</v>
      </c>
      <c r="AA7881">
        <v>0.99563619999999997</v>
      </c>
      <c r="AB7881">
        <v>19</v>
      </c>
      <c r="AC7881">
        <v>32.302199999999999</v>
      </c>
      <c r="AD7881">
        <v>-1.1214649088986</v>
      </c>
      <c r="AE7881">
        <v>-1.9698899999999999</v>
      </c>
      <c r="AF7881">
        <v>-3.0289197509011698</v>
      </c>
      <c r="AG7881">
        <v>-1.1214649088986</v>
      </c>
      <c r="AH7881">
        <v>32.181165193332099</v>
      </c>
      <c r="AI7881">
        <v>91.9870884806259</v>
      </c>
      <c r="AJ7881">
        <v>95.376889323966196</v>
      </c>
      <c r="AK7881">
        <v>32.342842045803899</v>
      </c>
      <c r="AL7881">
        <v>83.921139413615407</v>
      </c>
      <c r="AM7881">
        <v>96.638193307045398</v>
      </c>
      <c r="AN7881">
        <v>0.99999999271641005</v>
      </c>
    </row>
    <row r="7882" spans="1:40" x14ac:dyDescent="0.25">
      <c r="A7882" t="str">
        <f>"20190303162109658"</f>
        <v>20190303162109658</v>
      </c>
      <c r="B7882" t="str">
        <f>"1551601269650503"</f>
        <v>1551601269650503</v>
      </c>
      <c r="C7882" t="s">
        <v>40</v>
      </c>
      <c r="D7882">
        <v>4.586195</v>
      </c>
      <c r="E7882">
        <v>0.50699090000000002</v>
      </c>
      <c r="F7882" t="s">
        <v>75</v>
      </c>
      <c r="G7882">
        <v>-363.04570000000001</v>
      </c>
      <c r="H7882" s="1">
        <v>-3.7699499999999998E-6</v>
      </c>
      <c r="I7882">
        <v>16.898199999999999</v>
      </c>
      <c r="J7882">
        <v>-391.84249999999997</v>
      </c>
      <c r="K7882">
        <v>1.1214869999999999</v>
      </c>
      <c r="L7882">
        <v>18.544979999999999</v>
      </c>
      <c r="M7882">
        <v>0.98808879999999999</v>
      </c>
      <c r="N7882">
        <v>-9.4216990000000004E-3</v>
      </c>
      <c r="O7882">
        <v>-0.15359539999999999</v>
      </c>
      <c r="P7882">
        <v>0.99472300000000002</v>
      </c>
      <c r="Q7882">
        <v>9.5611769999999999E-2</v>
      </c>
      <c r="R7882">
        <v>-3.7211439999999998E-2</v>
      </c>
      <c r="S7882">
        <v>3.0210569999999999</v>
      </c>
      <c r="T7882">
        <v>-0.1171951</v>
      </c>
      <c r="U7882">
        <v>-0.1738586</v>
      </c>
      <c r="V7882">
        <v>-0.11613660000000001</v>
      </c>
      <c r="W7882">
        <v>0.1047956</v>
      </c>
      <c r="X7882">
        <v>0.98768929999999999</v>
      </c>
      <c r="Y7882">
        <v>-9.6421729999999997E-2</v>
      </c>
      <c r="Z7882">
        <v>6.7982499999999996E-3</v>
      </c>
      <c r="AA7882">
        <v>0.99531729999999996</v>
      </c>
      <c r="AB7882">
        <v>19</v>
      </c>
      <c r="AC7882">
        <v>28.796799999999902</v>
      </c>
      <c r="AD7882">
        <v>-1.1214907699500001</v>
      </c>
      <c r="AE7882">
        <v>-1.6467799999999899</v>
      </c>
      <c r="AF7882">
        <v>-2.7917949881876201</v>
      </c>
      <c r="AG7882">
        <v>-1.1214907699500001</v>
      </c>
      <c r="AH7882">
        <v>28.664676258773401</v>
      </c>
      <c r="AI7882">
        <v>92.229984392885996</v>
      </c>
      <c r="AJ7882">
        <v>95.562775323305601</v>
      </c>
      <c r="AK7882">
        <v>28.822136038528399</v>
      </c>
      <c r="AL7882">
        <v>83.984609609143604</v>
      </c>
      <c r="AM7882">
        <v>96.706281189338696</v>
      </c>
      <c r="AN7882">
        <v>0.99999999048670496</v>
      </c>
    </row>
    <row r="7883" spans="1:40" x14ac:dyDescent="0.25">
      <c r="A7883" t="str">
        <f>"20190303162109671"</f>
        <v>20190303162109671</v>
      </c>
      <c r="B7883" t="str">
        <f>"1551601269660264"</f>
        <v>1551601269660264</v>
      </c>
      <c r="C7883" t="s">
        <v>40</v>
      </c>
      <c r="D7883">
        <v>4.7076650000000004</v>
      </c>
      <c r="E7883">
        <v>0.50714840000000005</v>
      </c>
      <c r="F7883" t="s">
        <v>75</v>
      </c>
      <c r="G7883">
        <v>-363.58179999999999</v>
      </c>
      <c r="H7883" s="1">
        <v>-3.506683E-6</v>
      </c>
      <c r="I7883">
        <v>16.953469999999999</v>
      </c>
      <c r="J7883">
        <v>-391.7396</v>
      </c>
      <c r="K7883">
        <v>1.1215170000000001</v>
      </c>
      <c r="L7883">
        <v>18.529540000000001</v>
      </c>
      <c r="M7883">
        <v>0.9881683</v>
      </c>
      <c r="N7883">
        <v>-9.4260690000000005E-3</v>
      </c>
      <c r="O7883">
        <v>-0.15308450000000001</v>
      </c>
      <c r="P7883">
        <v>0.99481580000000003</v>
      </c>
      <c r="Q7883">
        <v>9.5304120000000006E-2</v>
      </c>
      <c r="R7883">
        <v>-3.548229E-2</v>
      </c>
      <c r="S7883">
        <v>3.021118</v>
      </c>
      <c r="T7883">
        <v>-0.11988939999999999</v>
      </c>
      <c r="U7883">
        <v>-0.1701355</v>
      </c>
      <c r="V7883">
        <v>-0.1173564</v>
      </c>
      <c r="W7883">
        <v>0.1044803</v>
      </c>
      <c r="X7883">
        <v>0.98757850000000003</v>
      </c>
      <c r="Y7883">
        <v>-9.7122650000000005E-2</v>
      </c>
      <c r="Z7883">
        <v>6.9791480000000001E-3</v>
      </c>
      <c r="AA7883">
        <v>0.99524800000000002</v>
      </c>
      <c r="AB7883">
        <v>19</v>
      </c>
      <c r="AC7883">
        <v>28.157800000000002</v>
      </c>
      <c r="AD7883">
        <v>-1.1215205066830001</v>
      </c>
      <c r="AE7883">
        <v>-1.5760699999999901</v>
      </c>
      <c r="AF7883">
        <v>-2.7488749799068501</v>
      </c>
      <c r="AG7883">
        <v>-1.1215205066830001</v>
      </c>
      <c r="AH7883">
        <v>28.0228428661657</v>
      </c>
      <c r="AI7883">
        <v>92.280912649494098</v>
      </c>
      <c r="AJ7883">
        <v>95.602452866597503</v>
      </c>
      <c r="AK7883">
        <v>28.179670761097999</v>
      </c>
      <c r="AL7883">
        <v>84.002774598933598</v>
      </c>
      <c r="AM7883">
        <v>96.776819828694201</v>
      </c>
      <c r="AN7883">
        <v>0.99999997568564902</v>
      </c>
    </row>
    <row r="7884" spans="1:40" x14ac:dyDescent="0.25">
      <c r="A7884" t="str">
        <f>"20190303162109689"</f>
        <v>20190303162109689</v>
      </c>
      <c r="B7884" t="str">
        <f>"1551601269680759"</f>
        <v>1551601269680759</v>
      </c>
      <c r="C7884" t="s">
        <v>40</v>
      </c>
      <c r="D7884">
        <v>4.6326039999999997</v>
      </c>
      <c r="E7884">
        <v>0.50742889999999996</v>
      </c>
      <c r="F7884" t="s">
        <v>75</v>
      </c>
      <c r="G7884">
        <v>-363.70060000000001</v>
      </c>
      <c r="H7884" s="1">
        <v>-3.4439869999999998E-6</v>
      </c>
      <c r="I7884">
        <v>16.990539999999999</v>
      </c>
      <c r="J7884">
        <v>-391.58150000000001</v>
      </c>
      <c r="K7884">
        <v>1.12159599999999</v>
      </c>
      <c r="L7884">
        <v>18.505980000000001</v>
      </c>
      <c r="M7884">
        <v>0.98830059999999997</v>
      </c>
      <c r="N7884">
        <v>-9.4330779999999993E-3</v>
      </c>
      <c r="O7884">
        <v>-0.15222769999999999</v>
      </c>
      <c r="P7884">
        <v>0.99477389999999999</v>
      </c>
      <c r="Q7884">
        <v>9.6341709999999997E-2</v>
      </c>
      <c r="R7884">
        <v>-3.3811260000000003E-2</v>
      </c>
      <c r="S7884">
        <v>3.0213009999999998</v>
      </c>
      <c r="T7884">
        <v>-0.1208477</v>
      </c>
      <c r="U7884">
        <v>-0.16583249999999999</v>
      </c>
      <c r="V7884">
        <v>-0.1181634</v>
      </c>
      <c r="W7884">
        <v>0.1055022</v>
      </c>
      <c r="X7884">
        <v>0.98737370000000002</v>
      </c>
      <c r="Y7884">
        <v>-9.7673159999999995E-2</v>
      </c>
      <c r="Z7884">
        <v>7.0299289999999999E-3</v>
      </c>
      <c r="AA7884">
        <v>0.99519369999999996</v>
      </c>
      <c r="AB7884">
        <v>19</v>
      </c>
      <c r="AC7884">
        <v>27.8809</v>
      </c>
      <c r="AD7884">
        <v>-1.1215994439869901</v>
      </c>
      <c r="AE7884">
        <v>-1.5154399999999899</v>
      </c>
      <c r="AF7884">
        <v>-2.7422320576702499</v>
      </c>
      <c r="AG7884">
        <v>-1.1215994439869901</v>
      </c>
      <c r="AH7884">
        <v>27.7418711028951</v>
      </c>
      <c r="AI7884">
        <v>92.303981867519198</v>
      </c>
      <c r="AJ7884">
        <v>95.645241813540594</v>
      </c>
      <c r="AK7884">
        <v>27.8996278516491</v>
      </c>
      <c r="AL7884">
        <v>83.943899171952395</v>
      </c>
      <c r="AM7884">
        <v>96.824384592215296</v>
      </c>
      <c r="AN7884">
        <v>1.0000000633780399</v>
      </c>
    </row>
    <row r="7885" spans="1:40" x14ac:dyDescent="0.25">
      <c r="A7885" t="str">
        <f>"20190303162109703"</f>
        <v>20190303162109703</v>
      </c>
      <c r="B7885" t="str">
        <f>"1551601269690520"</f>
        <v>1551601269690520</v>
      </c>
      <c r="C7885" t="s">
        <v>40</v>
      </c>
      <c r="D7885">
        <v>4.5602470000000004</v>
      </c>
      <c r="E7885">
        <v>0.50755740000000005</v>
      </c>
      <c r="F7885" t="s">
        <v>75</v>
      </c>
      <c r="G7885">
        <v>-362.5283</v>
      </c>
      <c r="H7885" s="1">
        <v>-4.0060700000000001E-6</v>
      </c>
      <c r="I7885">
        <v>16.945779999999999</v>
      </c>
      <c r="J7885">
        <v>-391.46300000000002</v>
      </c>
      <c r="K7885">
        <v>1.1216729999999999</v>
      </c>
      <c r="L7885">
        <v>18.488489999999999</v>
      </c>
      <c r="M7885">
        <v>0.98841159999999995</v>
      </c>
      <c r="N7885">
        <v>-9.4388010000000001E-3</v>
      </c>
      <c r="O7885">
        <v>-0.15150449999999999</v>
      </c>
      <c r="P7885">
        <v>0.99469549999999995</v>
      </c>
      <c r="Q7885">
        <v>9.7286659999999997E-2</v>
      </c>
      <c r="R7885">
        <v>-3.3406409999999997E-2</v>
      </c>
      <c r="S7885">
        <v>3.0215450000000001</v>
      </c>
      <c r="T7885">
        <v>-0.1166466</v>
      </c>
      <c r="U7885">
        <v>-0.16226199999999999</v>
      </c>
      <c r="V7885">
        <v>-0.11784799999999999</v>
      </c>
      <c r="W7885">
        <v>0.106432</v>
      </c>
      <c r="X7885">
        <v>0.98731150000000001</v>
      </c>
      <c r="Y7885">
        <v>-9.8134029999999997E-2</v>
      </c>
      <c r="Z7885">
        <v>6.7411830000000004E-3</v>
      </c>
      <c r="AA7885">
        <v>0.99515039999999999</v>
      </c>
      <c r="AB7885">
        <v>19</v>
      </c>
      <c r="AC7885">
        <v>28.934699999999999</v>
      </c>
      <c r="AD7885">
        <v>-1.1216770060700001</v>
      </c>
      <c r="AE7885">
        <v>-1.54270999999999</v>
      </c>
      <c r="AF7885">
        <v>-2.8547539484164401</v>
      </c>
      <c r="AG7885">
        <v>-1.1216770060700001</v>
      </c>
      <c r="AH7885">
        <v>28.791257777262999</v>
      </c>
      <c r="AI7885">
        <v>92.220178688496802</v>
      </c>
      <c r="AJ7885">
        <v>95.662568394720495</v>
      </c>
      <c r="AK7885">
        <v>28.954175930403402</v>
      </c>
      <c r="AL7885">
        <v>83.890323274612001</v>
      </c>
      <c r="AM7885">
        <v>96.806764929357001</v>
      </c>
      <c r="AN7885">
        <v>0.99999995988012402</v>
      </c>
    </row>
    <row r="7886" spans="1:40" x14ac:dyDescent="0.25">
      <c r="A7886" t="str">
        <f>"20190303162109715"</f>
        <v>20190303162109715</v>
      </c>
      <c r="B7886" t="str">
        <f>"1551601269711015"</f>
        <v>1551601269711015</v>
      </c>
      <c r="C7886" t="s">
        <v>40</v>
      </c>
      <c r="D7886">
        <v>4.55776</v>
      </c>
      <c r="E7886">
        <v>0.50784750000000001</v>
      </c>
      <c r="F7886" t="s">
        <v>75</v>
      </c>
      <c r="G7886">
        <v>-361.53050000000002</v>
      </c>
      <c r="H7886" s="1">
        <v>-4.4877869999999999E-6</v>
      </c>
      <c r="I7886">
        <v>16.88927</v>
      </c>
      <c r="J7886">
        <v>-391.35539999999997</v>
      </c>
      <c r="K7886">
        <v>1.121761</v>
      </c>
      <c r="L7886">
        <v>18.472809999999999</v>
      </c>
      <c r="M7886">
        <v>0.98852620000000002</v>
      </c>
      <c r="N7886">
        <v>-9.4448480000000005E-3</v>
      </c>
      <c r="O7886">
        <v>-0.150754799999999</v>
      </c>
      <c r="P7886">
        <v>0.99462059999999997</v>
      </c>
      <c r="Q7886">
        <v>9.8126660000000004E-2</v>
      </c>
      <c r="R7886">
        <v>-3.3183629999999999E-2</v>
      </c>
      <c r="S7886">
        <v>3.0216059999999998</v>
      </c>
      <c r="T7886">
        <v>-0.11323030000000001</v>
      </c>
      <c r="U7886">
        <v>-0.161438</v>
      </c>
      <c r="V7886">
        <v>-0.1173305</v>
      </c>
      <c r="W7886">
        <v>0.107255</v>
      </c>
      <c r="X7886">
        <v>0.9872841</v>
      </c>
      <c r="Y7886">
        <v>-9.7661170000000005E-2</v>
      </c>
      <c r="Z7886">
        <v>6.4830540000000002E-3</v>
      </c>
      <c r="AA7886">
        <v>0.99519860000000004</v>
      </c>
      <c r="AB7886">
        <v>19</v>
      </c>
      <c r="AC7886">
        <v>29.8248999999999</v>
      </c>
      <c r="AD7886">
        <v>-1.121765487787</v>
      </c>
      <c r="AE7886">
        <v>-1.58353999999999</v>
      </c>
      <c r="AF7886">
        <v>-2.9268775628756201</v>
      </c>
      <c r="AG7886">
        <v>-1.121765487787</v>
      </c>
      <c r="AH7886">
        <v>29.680873410596199</v>
      </c>
      <c r="AI7886">
        <v>92.153981519666701</v>
      </c>
      <c r="AJ7886">
        <v>95.631818884959699</v>
      </c>
      <c r="AK7886">
        <v>29.845924621185599</v>
      </c>
      <c r="AL7886">
        <v>83.842897543652896</v>
      </c>
      <c r="AM7886">
        <v>96.777339681936496</v>
      </c>
      <c r="AN7886">
        <v>0.99999998768402998</v>
      </c>
    </row>
    <row r="7887" spans="1:40" x14ac:dyDescent="0.25">
      <c r="A7887" t="str">
        <f>"20190303162109734"</f>
        <v>20190303162109734</v>
      </c>
      <c r="B7887" t="str">
        <f>"1551601269720775"</f>
        <v>1551601269720775</v>
      </c>
      <c r="C7887" t="s">
        <v>40</v>
      </c>
      <c r="D7887">
        <v>4.5269190000000004</v>
      </c>
      <c r="E7887">
        <v>0.50800040000000002</v>
      </c>
      <c r="F7887" t="s">
        <v>75</v>
      </c>
      <c r="G7887">
        <v>-360.4667</v>
      </c>
      <c r="H7887" s="1">
        <v>-5.0040029999999997E-6</v>
      </c>
      <c r="I7887">
        <v>16.813770000000002</v>
      </c>
      <c r="J7887">
        <v>-391.20139999999998</v>
      </c>
      <c r="K7887">
        <v>1.12191</v>
      </c>
      <c r="L7887">
        <v>18.450620000000001</v>
      </c>
      <c r="M7887">
        <v>0.9887087</v>
      </c>
      <c r="N7887">
        <v>-9.4545779999999999E-3</v>
      </c>
      <c r="O7887">
        <v>-0.14955199999999999</v>
      </c>
      <c r="P7887">
        <v>0.99445260000000002</v>
      </c>
      <c r="Q7887">
        <v>9.9547869999999997E-2</v>
      </c>
      <c r="R7887">
        <v>-3.3976569999999998E-2</v>
      </c>
      <c r="S7887">
        <v>3.0216370000000001</v>
      </c>
      <c r="T7887">
        <v>-0.1097349</v>
      </c>
      <c r="U7887">
        <v>-0.16229250000000001</v>
      </c>
      <c r="V7887">
        <v>-0.1153585</v>
      </c>
      <c r="W7887">
        <v>0.1086502</v>
      </c>
      <c r="X7887">
        <v>0.98736389999999996</v>
      </c>
      <c r="Y7887">
        <v>-9.6181230000000006E-2</v>
      </c>
      <c r="Z7887">
        <v>6.1865219999999999E-3</v>
      </c>
      <c r="AA7887">
        <v>0.99534460000000002</v>
      </c>
      <c r="AB7887">
        <v>19</v>
      </c>
      <c r="AC7887">
        <v>30.734699999999901</v>
      </c>
      <c r="AD7887">
        <v>-1.1219150040029999</v>
      </c>
      <c r="AE7887">
        <v>-1.6368499999999899</v>
      </c>
      <c r="AF7887">
        <v>-2.9742490773260899</v>
      </c>
      <c r="AG7887">
        <v>-1.1219150040029999</v>
      </c>
      <c r="AH7887">
        <v>30.593177774571298</v>
      </c>
      <c r="AI7887">
        <v>92.0903667829418</v>
      </c>
      <c r="AJ7887">
        <v>95.552808415232604</v>
      </c>
      <c r="AK7887">
        <v>30.7578831715823</v>
      </c>
      <c r="AL7887">
        <v>83.762488385780699</v>
      </c>
      <c r="AM7887">
        <v>96.663930906088396</v>
      </c>
      <c r="AN7887">
        <v>0.99999996025274895</v>
      </c>
    </row>
    <row r="7888" spans="1:40" x14ac:dyDescent="0.25">
      <c r="A7888" t="str">
        <f>"20190303162109749"</f>
        <v>20190303162109749</v>
      </c>
      <c r="B7888" t="str">
        <f>"1551601269740296"</f>
        <v>1551601269740296</v>
      </c>
      <c r="C7888" t="s">
        <v>40</v>
      </c>
      <c r="D7888">
        <v>4.5314920000000001</v>
      </c>
      <c r="E7888">
        <v>0.50828300000000004</v>
      </c>
      <c r="F7888" t="s">
        <v>41</v>
      </c>
      <c r="G7888">
        <v>-359.06220000000002</v>
      </c>
      <c r="H7888" s="1">
        <v>-1.080161E-6</v>
      </c>
      <c r="I7888">
        <v>16.703600000000002</v>
      </c>
      <c r="J7888">
        <v>-391.07299999999998</v>
      </c>
      <c r="K7888">
        <v>1.122053</v>
      </c>
      <c r="L7888">
        <v>18.432400000000001</v>
      </c>
      <c r="M7888">
        <v>0.98888069999999895</v>
      </c>
      <c r="N7888">
        <v>-9.4638949999999999E-3</v>
      </c>
      <c r="O7888">
        <v>-0.14840919999999999</v>
      </c>
      <c r="P7888">
        <v>0.99440119999999999</v>
      </c>
      <c r="Q7888">
        <v>0.1000209</v>
      </c>
      <c r="R7888">
        <v>-3.4093039999999998E-2</v>
      </c>
      <c r="S7888">
        <v>3.0216980000000002</v>
      </c>
      <c r="T7888">
        <v>-0.10548109999999999</v>
      </c>
      <c r="U7888">
        <v>-0.16424559999999999</v>
      </c>
      <c r="V7888">
        <v>-0.1141306</v>
      </c>
      <c r="W7888">
        <v>0.1090981</v>
      </c>
      <c r="X7888">
        <v>0.98745729999999998</v>
      </c>
      <c r="Y7888">
        <v>-9.4403009999999996E-2</v>
      </c>
      <c r="Z7888">
        <v>5.8403209999999999E-3</v>
      </c>
      <c r="AA7888">
        <v>0.99551699999999999</v>
      </c>
      <c r="AB7888">
        <v>19</v>
      </c>
      <c r="AC7888">
        <v>32.010800000000003</v>
      </c>
      <c r="AD7888">
        <v>-1.1220540801609999</v>
      </c>
      <c r="AE7888">
        <v>-1.7287999999999899</v>
      </c>
      <c r="AF7888">
        <v>-3.0375353554561002</v>
      </c>
      <c r="AG7888">
        <v>-1.1220540801609999</v>
      </c>
      <c r="AH7888">
        <v>31.8738145502255</v>
      </c>
      <c r="AI7888">
        <v>92.007065245640305</v>
      </c>
      <c r="AJ7888">
        <v>95.443777230318801</v>
      </c>
      <c r="AK7888">
        <v>32.037878837036303</v>
      </c>
      <c r="AL7888">
        <v>83.736672732700598</v>
      </c>
      <c r="AM7888">
        <v>96.593008373213806</v>
      </c>
      <c r="AN7888">
        <v>1.0000000543016201</v>
      </c>
    </row>
    <row r="7889" spans="1:40" x14ac:dyDescent="0.25">
      <c r="A7889" t="str">
        <f>"20190303162109767"</f>
        <v>20190303162109767</v>
      </c>
      <c r="B7889" t="str">
        <f>"1551601269760792"</f>
        <v>1551601269760792</v>
      </c>
      <c r="C7889" t="s">
        <v>40</v>
      </c>
      <c r="D7889">
        <v>4.5479890000000003</v>
      </c>
      <c r="E7889">
        <v>0.50855609999999996</v>
      </c>
      <c r="F7889" t="s">
        <v>41</v>
      </c>
      <c r="G7889">
        <v>-358.20049999999998</v>
      </c>
      <c r="H7889" s="1">
        <v>-1.394442E-6</v>
      </c>
      <c r="I7889">
        <v>16.624549999999999</v>
      </c>
      <c r="J7889">
        <v>-390.91180000000003</v>
      </c>
      <c r="K7889">
        <v>1.1222559999999999</v>
      </c>
      <c r="L7889">
        <v>18.41</v>
      </c>
      <c r="M7889">
        <v>0.98912610000000001</v>
      </c>
      <c r="N7889">
        <v>-9.4776099999999992E-3</v>
      </c>
      <c r="O7889">
        <v>-0.1467639</v>
      </c>
      <c r="P7889">
        <v>0.99431000000000003</v>
      </c>
      <c r="Q7889">
        <v>0.1005407</v>
      </c>
      <c r="R7889">
        <v>-3.5202230000000001E-2</v>
      </c>
      <c r="S7889">
        <v>3.0216059999999998</v>
      </c>
      <c r="T7889">
        <v>-0.1031382</v>
      </c>
      <c r="U7889">
        <v>-0.16616819999999999</v>
      </c>
      <c r="V7889">
        <v>-0.111427</v>
      </c>
      <c r="W7889">
        <v>0.1095896</v>
      </c>
      <c r="X7889">
        <v>0.98771149999999996</v>
      </c>
      <c r="Y7889">
        <v>-9.2121330000000001E-2</v>
      </c>
      <c r="Z7889">
        <v>5.5984499999999996E-3</v>
      </c>
      <c r="AA7889">
        <v>0.99573210000000001</v>
      </c>
      <c r="AB7889">
        <v>19</v>
      </c>
      <c r="AC7889">
        <v>32.711300000000001</v>
      </c>
      <c r="AD7889">
        <v>-1.122257394442</v>
      </c>
      <c r="AE7889">
        <v>-1.78545</v>
      </c>
      <c r="AF7889">
        <v>-3.0313817707979802</v>
      </c>
      <c r="AG7889">
        <v>-1.122257394442</v>
      </c>
      <c r="AH7889">
        <v>32.580871808263304</v>
      </c>
      <c r="AI7889">
        <v>91.964312153478204</v>
      </c>
      <c r="AJ7889">
        <v>95.315596985501202</v>
      </c>
      <c r="AK7889">
        <v>32.740829935818603</v>
      </c>
      <c r="AL7889">
        <v>83.708341214125099</v>
      </c>
      <c r="AM7889">
        <v>96.436512887716404</v>
      </c>
      <c r="AN7889">
        <v>0.99999993199470205</v>
      </c>
    </row>
    <row r="7890" spans="1:40" x14ac:dyDescent="0.25">
      <c r="A7890" t="str">
        <f>"20190303162109791"</f>
        <v>20190303162109791</v>
      </c>
      <c r="B7890" t="str">
        <f>"1551601269780312"</f>
        <v>1551601269780312</v>
      </c>
      <c r="C7890" t="s">
        <v>40</v>
      </c>
      <c r="D7890">
        <v>4.4816929999999999</v>
      </c>
      <c r="E7890">
        <v>0.50871469999999996</v>
      </c>
      <c r="F7890" t="s">
        <v>41</v>
      </c>
      <c r="G7890">
        <v>-357.31979999999999</v>
      </c>
      <c r="H7890" s="1">
        <v>-1.7256789999999999E-6</v>
      </c>
      <c r="I7890">
        <v>16.506070000000001</v>
      </c>
      <c r="J7890">
        <v>-390.70859999999999</v>
      </c>
      <c r="K7890">
        <v>1.1224989999999999</v>
      </c>
      <c r="L7890">
        <v>18.382660000000001</v>
      </c>
      <c r="M7890">
        <v>0.98948040000000004</v>
      </c>
      <c r="N7890">
        <v>-9.4966779999999997E-3</v>
      </c>
      <c r="O7890">
        <v>-0.14435479999999901</v>
      </c>
      <c r="P7890">
        <v>0.99417529999999998</v>
      </c>
      <c r="Q7890">
        <v>0.1017522</v>
      </c>
      <c r="R7890">
        <v>-3.552255E-2</v>
      </c>
      <c r="S7890">
        <v>3.0213009999999998</v>
      </c>
      <c r="T7890">
        <v>-0.1009371</v>
      </c>
      <c r="U7890">
        <v>-0.1712341</v>
      </c>
      <c r="V7890">
        <v>-0.1087494</v>
      </c>
      <c r="W7890">
        <v>0.1107673</v>
      </c>
      <c r="X7890">
        <v>0.98787860000000005</v>
      </c>
      <c r="Y7890">
        <v>-8.8034650000000006E-2</v>
      </c>
      <c r="Z7890">
        <v>5.3127919999999898E-3</v>
      </c>
      <c r="AA7890">
        <v>0.99610319999999997</v>
      </c>
      <c r="AB7890">
        <v>19</v>
      </c>
      <c r="AC7890">
        <v>33.388800000000003</v>
      </c>
      <c r="AD7890">
        <v>-1.1225007256789901</v>
      </c>
      <c r="AE7890">
        <v>-1.87659</v>
      </c>
      <c r="AF7890">
        <v>-2.9597834671313601</v>
      </c>
      <c r="AG7890">
        <v>-1.1225007256789901</v>
      </c>
      <c r="AH7890">
        <v>33.272473217940501</v>
      </c>
      <c r="AI7890">
        <v>91.924638769327103</v>
      </c>
      <c r="AJ7890">
        <v>95.083418331966698</v>
      </c>
      <c r="AK7890">
        <v>33.422713834906098</v>
      </c>
      <c r="AL7890">
        <v>83.640450926770995</v>
      </c>
      <c r="AM7890">
        <v>96.282040698374502</v>
      </c>
      <c r="AN7890">
        <v>0.99999997754380399</v>
      </c>
    </row>
    <row r="7891" spans="1:40" x14ac:dyDescent="0.25">
      <c r="A7891" t="str">
        <f>"20190303162109806"</f>
        <v>20190303162109806</v>
      </c>
      <c r="B7891" t="str">
        <f>"1551601269800808"</f>
        <v>1551601269800808</v>
      </c>
      <c r="C7891" t="s">
        <v>40</v>
      </c>
      <c r="D7891">
        <v>4.560829</v>
      </c>
      <c r="E7891">
        <v>0.50853789999999999</v>
      </c>
      <c r="F7891" t="s">
        <v>41</v>
      </c>
      <c r="G7891">
        <v>-355.43599999999998</v>
      </c>
      <c r="H7891" s="1">
        <v>-2.5185160000000001E-6</v>
      </c>
      <c r="I7891">
        <v>16.35632</v>
      </c>
      <c r="J7891">
        <v>-390.57639999999998</v>
      </c>
      <c r="K7891">
        <v>1.1226430000000001</v>
      </c>
      <c r="L7891">
        <v>18.365259999999999</v>
      </c>
      <c r="M7891">
        <v>0.98973009999999995</v>
      </c>
      <c r="N7891">
        <v>-9.508954E-3</v>
      </c>
      <c r="O7891">
        <v>-0.14263239999999999</v>
      </c>
      <c r="P7891">
        <v>0.99405909999999997</v>
      </c>
      <c r="Q7891">
        <v>0.10307180000000001</v>
      </c>
      <c r="R7891">
        <v>-3.496809E-2</v>
      </c>
      <c r="S7891">
        <v>3.0211790000000001</v>
      </c>
      <c r="T7891">
        <v>-9.6144800000000002E-2</v>
      </c>
      <c r="U7891">
        <v>-0.1735535</v>
      </c>
      <c r="V7891">
        <v>-0.10760309999999999</v>
      </c>
      <c r="W7891">
        <v>0.1120662</v>
      </c>
      <c r="X7891">
        <v>0.9878576</v>
      </c>
      <c r="Y7891">
        <v>-8.5548559999999996E-2</v>
      </c>
      <c r="Z7891">
        <v>4.9250609999999997E-3</v>
      </c>
      <c r="AA7891">
        <v>0.99632189999999998</v>
      </c>
      <c r="AB7891">
        <v>19</v>
      </c>
      <c r="AC7891">
        <v>35.1404</v>
      </c>
      <c r="AD7891">
        <v>-1.122645518516</v>
      </c>
      <c r="AE7891">
        <v>-2.0089399999999902</v>
      </c>
      <c r="AF7891">
        <v>-3.0209145626047</v>
      </c>
      <c r="AG7891">
        <v>-1.122645518516</v>
      </c>
      <c r="AH7891">
        <v>35.031996840302497</v>
      </c>
      <c r="AI7891">
        <v>91.8287069654139</v>
      </c>
      <c r="AJ7891">
        <v>94.928595144279001</v>
      </c>
      <c r="AK7891">
        <v>35.179924109835298</v>
      </c>
      <c r="AL7891">
        <v>83.565562979376594</v>
      </c>
      <c r="AM7891">
        <v>96.216475553163406</v>
      </c>
      <c r="AN7891">
        <v>0.99999994909490297</v>
      </c>
    </row>
    <row r="7892" spans="1:40" x14ac:dyDescent="0.25">
      <c r="A7892" t="str">
        <f>"20190303162109823"</f>
        <v>20190303162109823</v>
      </c>
      <c r="B7892" t="str">
        <f>"1551601269810567"</f>
        <v>1551601269810567</v>
      </c>
      <c r="C7892" t="s">
        <v>40</v>
      </c>
      <c r="D7892">
        <v>4.5763249999999998</v>
      </c>
      <c r="E7892">
        <v>0.4903342</v>
      </c>
      <c r="F7892" t="s">
        <v>41</v>
      </c>
      <c r="G7892">
        <v>-353.8888</v>
      </c>
      <c r="H7892" s="1">
        <v>-3.1932729999999999E-6</v>
      </c>
      <c r="I7892">
        <v>16.29419</v>
      </c>
      <c r="J7892">
        <v>-390.43209999999999</v>
      </c>
      <c r="K7892">
        <v>1.1227780000000001</v>
      </c>
      <c r="L7892">
        <v>18.346830000000001</v>
      </c>
      <c r="M7892">
        <v>0.99002449999999997</v>
      </c>
      <c r="N7892">
        <v>-9.5218899999999999E-3</v>
      </c>
      <c r="O7892">
        <v>-0.14057320000000001</v>
      </c>
      <c r="P7892">
        <v>0.99391649999999998</v>
      </c>
      <c r="Q7892">
        <v>0.1045363</v>
      </c>
      <c r="R7892">
        <v>-3.4677380000000001E-2</v>
      </c>
      <c r="S7892">
        <v>3.021515</v>
      </c>
      <c r="T7892">
        <v>-9.245884E-2</v>
      </c>
      <c r="U7892">
        <v>-0.17056270000000001</v>
      </c>
      <c r="V7892">
        <v>-0.1058557</v>
      </c>
      <c r="W7892">
        <v>0.11351700000000001</v>
      </c>
      <c r="X7892">
        <v>0.9878808</v>
      </c>
      <c r="Y7892">
        <v>-8.4473909999999999E-2</v>
      </c>
      <c r="Z7892">
        <v>4.6339830000000004E-3</v>
      </c>
      <c r="AA7892">
        <v>0.99641489999999999</v>
      </c>
      <c r="AB7892">
        <v>20</v>
      </c>
      <c r="AC7892">
        <v>36.543299999999903</v>
      </c>
      <c r="AD7892">
        <v>-1.1227811932730001</v>
      </c>
      <c r="AE7892">
        <v>-2.05263999999999</v>
      </c>
      <c r="AF7892">
        <v>-3.1020663306723</v>
      </c>
      <c r="AG7892">
        <v>-1.1227811932730001</v>
      </c>
      <c r="AH7892">
        <v>36.434675373648297</v>
      </c>
      <c r="AI7892">
        <v>91.758725360022595</v>
      </c>
      <c r="AJ7892">
        <v>94.866454905753798</v>
      </c>
      <c r="AK7892">
        <v>36.583726200470501</v>
      </c>
      <c r="AL7892">
        <v>83.481904774710799</v>
      </c>
      <c r="AM7892">
        <v>96.116153150679594</v>
      </c>
      <c r="AN7892">
        <v>1.0000000067600601</v>
      </c>
    </row>
    <row r="7893" spans="1:40" x14ac:dyDescent="0.25">
      <c r="A7893" t="str">
        <f>"20190303162109835"</f>
        <v>20190303162109835</v>
      </c>
      <c r="B7893" t="str">
        <f>"1551601269830088"</f>
        <v>1551601269830088</v>
      </c>
      <c r="C7893" t="s">
        <v>40</v>
      </c>
      <c r="D7893">
        <v>4.5681520000000004</v>
      </c>
      <c r="E7893">
        <v>0.48967860000000002</v>
      </c>
      <c r="F7893" t="s">
        <v>44</v>
      </c>
      <c r="G7893">
        <v>-306.4187</v>
      </c>
      <c r="H7893">
        <v>-0.05</v>
      </c>
      <c r="I7893">
        <v>17.638400000000001</v>
      </c>
      <c r="J7893">
        <v>-390.32510000000002</v>
      </c>
      <c r="K7893">
        <v>1.122862</v>
      </c>
      <c r="L7893">
        <v>18.33353</v>
      </c>
      <c r="M7893">
        <v>0.99025669999999999</v>
      </c>
      <c r="N7893">
        <v>-9.5309330000000001E-3</v>
      </c>
      <c r="O7893">
        <v>-0.138928</v>
      </c>
      <c r="P7893">
        <v>0.99388160000000003</v>
      </c>
      <c r="Q7893">
        <v>0.10513840000000001</v>
      </c>
      <c r="R7893">
        <v>-3.3844600000000002E-2</v>
      </c>
      <c r="S7893">
        <v>3.0219119999999999</v>
      </c>
      <c r="T7893">
        <v>-4.2184109999999997E-2</v>
      </c>
      <c r="U7893">
        <v>-2.548218E-2</v>
      </c>
      <c r="V7893">
        <v>-0.1050571</v>
      </c>
      <c r="W7893">
        <v>0.11411060000000001</v>
      </c>
      <c r="X7893">
        <v>0.98789760000000004</v>
      </c>
      <c r="Y7893">
        <v>-0.13055629999999999</v>
      </c>
      <c r="Z7893">
        <v>2.1401189999999998E-3</v>
      </c>
      <c r="AA7893">
        <v>0.99143859999999995</v>
      </c>
      <c r="AB7893">
        <v>20</v>
      </c>
      <c r="AC7893">
        <v>83.906400000000005</v>
      </c>
      <c r="AD7893">
        <v>-1.1728620000000001</v>
      </c>
      <c r="AE7893">
        <v>-0.69512999999999803</v>
      </c>
      <c r="AF7893">
        <v>-10.9669458521498</v>
      </c>
      <c r="AG7893">
        <v>-1.1728620000000001</v>
      </c>
      <c r="AH7893">
        <v>83.172969532694296</v>
      </c>
      <c r="AI7893">
        <v>90.800969736555999</v>
      </c>
      <c r="AJ7893">
        <v>97.5115223462317</v>
      </c>
      <c r="AK7893">
        <v>83.901086807511106</v>
      </c>
      <c r="AL7893">
        <v>83.447671153689896</v>
      </c>
      <c r="AM7893">
        <v>96.070254819886898</v>
      </c>
      <c r="AN7893">
        <v>0.99999994568926298</v>
      </c>
    </row>
    <row r="7894" spans="1:40" x14ac:dyDescent="0.25">
      <c r="A7894" t="str">
        <f>"20190303162109848"</f>
        <v>20190303162109848</v>
      </c>
      <c r="B7894" t="str">
        <f>"1551601269840824"</f>
        <v>1551601269840824</v>
      </c>
      <c r="C7894" t="s">
        <v>40</v>
      </c>
      <c r="D7894">
        <v>4.5452440000000003</v>
      </c>
      <c r="E7894">
        <v>0.48941449999999997</v>
      </c>
      <c r="F7894" t="s">
        <v>41</v>
      </c>
      <c r="G7894">
        <v>-321.51819999999998</v>
      </c>
      <c r="H7894" s="1">
        <v>-4.2896179999999996E-6</v>
      </c>
      <c r="I7894">
        <v>17.92651</v>
      </c>
      <c r="J7894">
        <v>-390.21749999999997</v>
      </c>
      <c r="K7894">
        <v>1.122941</v>
      </c>
      <c r="L7894">
        <v>18.32028</v>
      </c>
      <c r="M7894">
        <v>0.99049450000000006</v>
      </c>
      <c r="N7894">
        <v>-9.5397650000000004E-3</v>
      </c>
      <c r="O7894">
        <v>-0.13722210000000001</v>
      </c>
      <c r="P7894">
        <v>0.99386980000000003</v>
      </c>
      <c r="Q7894">
        <v>0.105517899999999</v>
      </c>
      <c r="R7894">
        <v>-3.2997659999999998E-2</v>
      </c>
      <c r="S7894">
        <v>3.0231020000000002</v>
      </c>
      <c r="T7894">
        <v>-4.9334290000000003E-2</v>
      </c>
      <c r="U7894">
        <v>-1.7883300000000001E-2</v>
      </c>
      <c r="V7894">
        <v>-0.104214</v>
      </c>
      <c r="W7894">
        <v>0.1144839</v>
      </c>
      <c r="X7894">
        <v>0.98794380000000004</v>
      </c>
      <c r="Y7894">
        <v>-0.1313357</v>
      </c>
      <c r="Z7894">
        <v>2.6194320000000001E-3</v>
      </c>
      <c r="AA7894">
        <v>0.99133450000000001</v>
      </c>
      <c r="AB7894">
        <v>20</v>
      </c>
      <c r="AC7894">
        <v>68.699299999999994</v>
      </c>
      <c r="AD7894">
        <v>-1.1229452896180001</v>
      </c>
      <c r="AE7894">
        <v>-0.39377000000000001</v>
      </c>
      <c r="AF7894">
        <v>-9.0350312885059694</v>
      </c>
      <c r="AG7894">
        <v>-1.1229452896180001</v>
      </c>
      <c r="AH7894">
        <v>68.085211926272507</v>
      </c>
      <c r="AI7894">
        <v>90.936696954468303</v>
      </c>
      <c r="AJ7894">
        <v>97.559089195273799</v>
      </c>
      <c r="AK7894">
        <v>68.691257664663496</v>
      </c>
      <c r="AL7894">
        <v>83.426142145650999</v>
      </c>
      <c r="AM7894">
        <v>96.021619906475195</v>
      </c>
      <c r="AN7894">
        <v>1.00000003655682</v>
      </c>
    </row>
    <row r="7895" spans="1:40" x14ac:dyDescent="0.25">
      <c r="A7895" t="str">
        <f>"20190303162109860"</f>
        <v>20190303162109860</v>
      </c>
      <c r="B7895" t="str">
        <f>"1551601269850584"</f>
        <v>1551601269850584</v>
      </c>
      <c r="C7895" t="s">
        <v>40</v>
      </c>
      <c r="D7895">
        <v>4.5241989999999896</v>
      </c>
      <c r="E7895">
        <v>0.48906719999999998</v>
      </c>
      <c r="F7895" t="s">
        <v>41</v>
      </c>
      <c r="G7895">
        <v>-324.3109</v>
      </c>
      <c r="H7895" s="1">
        <v>-2.9508300000000002E-6</v>
      </c>
      <c r="I7895">
        <v>18.031580000000002</v>
      </c>
      <c r="J7895">
        <v>-390.10480000000001</v>
      </c>
      <c r="K7895">
        <v>1.1230089999999999</v>
      </c>
      <c r="L7895">
        <v>18.306789999999999</v>
      </c>
      <c r="M7895">
        <v>0.99075380000000002</v>
      </c>
      <c r="N7895">
        <v>-9.5489809999999998E-3</v>
      </c>
      <c r="O7895">
        <v>-0.13533529999999999</v>
      </c>
      <c r="P7895">
        <v>0.99385140000000005</v>
      </c>
      <c r="Q7895">
        <v>0.1060441</v>
      </c>
      <c r="R7895">
        <v>-3.184654E-2</v>
      </c>
      <c r="S7895">
        <v>3.0235289999999999</v>
      </c>
      <c r="T7895">
        <v>-5.1516180000000002E-2</v>
      </c>
      <c r="U7895">
        <v>-1.324463E-2</v>
      </c>
      <c r="V7895">
        <v>-0.10348980000000001</v>
      </c>
      <c r="W7895">
        <v>0.11500489999999999</v>
      </c>
      <c r="X7895">
        <v>0.98795940000000004</v>
      </c>
      <c r="Y7895">
        <v>-0.13096669999999999</v>
      </c>
      <c r="Z7895">
        <v>2.7458780000000002E-3</v>
      </c>
      <c r="AA7895">
        <v>0.99138300000000001</v>
      </c>
      <c r="AB7895">
        <v>20</v>
      </c>
      <c r="AC7895">
        <v>65.793899999999994</v>
      </c>
      <c r="AD7895">
        <v>-1.1230119508299901</v>
      </c>
      <c r="AE7895">
        <v>-0.27521000000000101</v>
      </c>
      <c r="AF7895">
        <v>-8.6294517004727709</v>
      </c>
      <c r="AG7895">
        <v>-1.1230119508299901</v>
      </c>
      <c r="AH7895">
        <v>65.206781635358894</v>
      </c>
      <c r="AI7895">
        <v>90.978141966761797</v>
      </c>
      <c r="AJ7895">
        <v>97.538704527748493</v>
      </c>
      <c r="AK7895">
        <v>65.784899207446301</v>
      </c>
      <c r="AL7895">
        <v>83.396092465349696</v>
      </c>
      <c r="AM7895">
        <v>95.979985232395293</v>
      </c>
      <c r="AN7895">
        <v>1.0000000208882001</v>
      </c>
    </row>
    <row r="7896" spans="1:40" x14ac:dyDescent="0.25">
      <c r="A7896" t="str">
        <f>"20190303162109878"</f>
        <v>20190303162109878</v>
      </c>
      <c r="B7896" t="str">
        <f>"1551601269870104"</f>
        <v>1551601269870104</v>
      </c>
      <c r="C7896" t="s">
        <v>40</v>
      </c>
      <c r="D7896">
        <v>4.5871879999999896</v>
      </c>
      <c r="E7896">
        <v>0.48916920000000003</v>
      </c>
      <c r="F7896" t="s">
        <v>41</v>
      </c>
      <c r="G7896">
        <v>-326.52879999999999</v>
      </c>
      <c r="H7896" s="1">
        <v>-1.879464E-6</v>
      </c>
      <c r="I7896">
        <v>18.161159999999999</v>
      </c>
      <c r="J7896">
        <v>-389.95280000000002</v>
      </c>
      <c r="K7896">
        <v>1.123078</v>
      </c>
      <c r="L7896">
        <v>18.28903</v>
      </c>
      <c r="M7896">
        <v>0.99111139999999998</v>
      </c>
      <c r="N7896">
        <v>-9.5611910000000001E-3</v>
      </c>
      <c r="O7896">
        <v>-0.132691</v>
      </c>
      <c r="P7896">
        <v>0.99391030000000002</v>
      </c>
      <c r="Q7896">
        <v>0.1062023</v>
      </c>
      <c r="R7896">
        <v>-2.9382220000000001E-2</v>
      </c>
      <c r="S7896">
        <v>3.0240480000000001</v>
      </c>
      <c r="T7896">
        <v>-5.3416970000000001E-2</v>
      </c>
      <c r="U7896">
        <v>-6.9274899999999997E-3</v>
      </c>
      <c r="V7896">
        <v>-0.1033226</v>
      </c>
      <c r="W7896">
        <v>0.11515739999999899</v>
      </c>
      <c r="X7896">
        <v>0.98795909999999998</v>
      </c>
      <c r="Y7896">
        <v>-0.1303906</v>
      </c>
      <c r="Z7896">
        <v>2.8418089999999998E-3</v>
      </c>
      <c r="AA7896">
        <v>0.99145870000000003</v>
      </c>
      <c r="AB7896">
        <v>20</v>
      </c>
      <c r="AC7896">
        <v>63.423999999999999</v>
      </c>
      <c r="AD7896">
        <v>-1.123079879464</v>
      </c>
      <c r="AE7896">
        <v>-0.12787000000000101</v>
      </c>
      <c r="AF7896">
        <v>-8.2868405832165593</v>
      </c>
      <c r="AG7896">
        <v>-1.123079879464</v>
      </c>
      <c r="AH7896">
        <v>62.860376780789302</v>
      </c>
      <c r="AI7896">
        <v>91.014774411495395</v>
      </c>
      <c r="AJ7896">
        <v>97.509958216353795</v>
      </c>
      <c r="AK7896">
        <v>63.414194028546198</v>
      </c>
      <c r="AL7896">
        <v>83.387296179729802</v>
      </c>
      <c r="AM7896">
        <v>95.970395500816196</v>
      </c>
      <c r="AN7896">
        <v>0.99999998485916397</v>
      </c>
    </row>
    <row r="7897" spans="1:40" x14ac:dyDescent="0.25">
      <c r="A7897" t="str">
        <f>"20190303162109891"</f>
        <v>20190303162109891</v>
      </c>
      <c r="B7897" t="str">
        <f>"1551601269880839"</f>
        <v>1551601269880839</v>
      </c>
      <c r="C7897" t="s">
        <v>40</v>
      </c>
      <c r="D7897">
        <v>4.5285409999999997</v>
      </c>
      <c r="E7897">
        <v>0.48913129999999999</v>
      </c>
      <c r="F7897" t="s">
        <v>41</v>
      </c>
      <c r="G7897">
        <v>-333.15260000000001</v>
      </c>
      <c r="H7897" s="1">
        <v>-3.1592300000000002E-6</v>
      </c>
      <c r="I7897">
        <v>18.26661</v>
      </c>
      <c r="J7897">
        <v>-389.8372</v>
      </c>
      <c r="K7897">
        <v>1.1231230000000001</v>
      </c>
      <c r="L7897">
        <v>18.275880000000001</v>
      </c>
      <c r="M7897">
        <v>0.99138590000000004</v>
      </c>
      <c r="N7897">
        <v>-9.5698689999999999E-3</v>
      </c>
      <c r="O7897">
        <v>-0.13062480000000001</v>
      </c>
      <c r="P7897">
        <v>0.9940194</v>
      </c>
      <c r="Q7897">
        <v>0.1057269</v>
      </c>
      <c r="R7897">
        <v>-2.7338500000000002E-2</v>
      </c>
      <c r="S7897">
        <v>3.0247799999999998</v>
      </c>
      <c r="T7897">
        <v>-5.980742E-2</v>
      </c>
      <c r="U7897">
        <v>-1.190186E-3</v>
      </c>
      <c r="V7897">
        <v>-0.1033109</v>
      </c>
      <c r="W7897">
        <v>0.11468</v>
      </c>
      <c r="X7897">
        <v>0.98801589999999995</v>
      </c>
      <c r="Y7897">
        <v>-0.13019629999999999</v>
      </c>
      <c r="Z7897">
        <v>3.2343379999999998E-3</v>
      </c>
      <c r="AA7897">
        <v>0.991483</v>
      </c>
      <c r="AB7897">
        <v>20</v>
      </c>
      <c r="AC7897">
        <v>56.684599999999897</v>
      </c>
      <c r="AD7897">
        <v>-1.1231261592299999</v>
      </c>
      <c r="AE7897">
        <v>-9.2699999999972197E-3</v>
      </c>
      <c r="AF7897">
        <v>-7.3926592824199702</v>
      </c>
      <c r="AG7897">
        <v>-1.1231261592299999</v>
      </c>
      <c r="AH7897">
        <v>56.178031399489797</v>
      </c>
      <c r="AI7897">
        <v>91.135532785338597</v>
      </c>
      <c r="AJ7897">
        <v>97.496672748616902</v>
      </c>
      <c r="AK7897">
        <v>56.673486177908302</v>
      </c>
      <c r="AL7897">
        <v>83.414831919405799</v>
      </c>
      <c r="AM7897">
        <v>95.969383595264503</v>
      </c>
      <c r="AN7897">
        <v>1.0000000315558</v>
      </c>
    </row>
    <row r="7898" spans="1:40" x14ac:dyDescent="0.25">
      <c r="A7898" t="str">
        <f>"20190303162109904"</f>
        <v>20190303162109904</v>
      </c>
      <c r="B7898" t="str">
        <f>"1551601269890600"</f>
        <v>1551601269890600</v>
      </c>
      <c r="C7898" t="s">
        <v>40</v>
      </c>
      <c r="D7898">
        <v>4.6180099999999999</v>
      </c>
      <c r="E7898">
        <v>0.48945139999999998</v>
      </c>
      <c r="F7898" t="s">
        <v>41</v>
      </c>
      <c r="G7898">
        <v>-335.12650000000002</v>
      </c>
      <c r="H7898" s="1">
        <v>-2.2966039999999999E-6</v>
      </c>
      <c r="I7898">
        <v>18.355840000000001</v>
      </c>
      <c r="J7898">
        <v>-389.73379999999997</v>
      </c>
      <c r="K7898">
        <v>1.1231500000000001</v>
      </c>
      <c r="L7898">
        <v>18.264309999999998</v>
      </c>
      <c r="M7898">
        <v>0.99163089999999998</v>
      </c>
      <c r="N7898">
        <v>-9.5771510000000008E-3</v>
      </c>
      <c r="O7898">
        <v>-0.128751</v>
      </c>
      <c r="P7898">
        <v>0.99413510000000005</v>
      </c>
      <c r="Q7898">
        <v>0.1052738</v>
      </c>
      <c r="R7898">
        <v>-2.47548E-2</v>
      </c>
      <c r="S7898">
        <v>3.0248110000000001</v>
      </c>
      <c r="T7898">
        <v>-6.2094690000000001E-2</v>
      </c>
      <c r="U7898">
        <v>4.4250490000000003E-3</v>
      </c>
      <c r="V7898">
        <v>-0.1040254</v>
      </c>
      <c r="W7898">
        <v>0.1142224</v>
      </c>
      <c r="X7898">
        <v>0.98799389999999998</v>
      </c>
      <c r="Y7898">
        <v>-0.13015969999999999</v>
      </c>
      <c r="Z7898">
        <v>3.3609830000000001E-3</v>
      </c>
      <c r="AA7898">
        <v>0.99148729999999996</v>
      </c>
      <c r="AB7898">
        <v>20</v>
      </c>
      <c r="AC7898">
        <v>54.607299999999903</v>
      </c>
      <c r="AD7898">
        <v>-1.123152296604</v>
      </c>
      <c r="AE7898">
        <v>9.1529999999998696E-2</v>
      </c>
      <c r="AF7898">
        <v>-7.11882221395516</v>
      </c>
      <c r="AG7898">
        <v>-1.123152296604</v>
      </c>
      <c r="AH7898">
        <v>54.118080335364702</v>
      </c>
      <c r="AI7898">
        <v>91.178778943010997</v>
      </c>
      <c r="AJ7898">
        <v>97.493799301703902</v>
      </c>
      <c r="AK7898">
        <v>54.595839768065197</v>
      </c>
      <c r="AL7898">
        <v>83.441223641679898</v>
      </c>
      <c r="AM7898">
        <v>96.010499637628101</v>
      </c>
      <c r="AN7898">
        <v>0.99999999347206403</v>
      </c>
    </row>
    <row r="7899" spans="1:40" x14ac:dyDescent="0.25">
      <c r="A7899" t="str">
        <f>"20190303162109923"</f>
        <v>20190303162109923</v>
      </c>
      <c r="B7899" t="str">
        <f>"1551601269910121"</f>
        <v>1551601269910121</v>
      </c>
      <c r="C7899" t="s">
        <v>40</v>
      </c>
      <c r="D7899">
        <v>4.5810060000000004</v>
      </c>
      <c r="E7899">
        <v>0.48932559999999897</v>
      </c>
      <c r="F7899" t="s">
        <v>41</v>
      </c>
      <c r="G7899">
        <v>-339.13119999999998</v>
      </c>
      <c r="H7899" s="1">
        <v>-6.0194359999999999E-7</v>
      </c>
      <c r="I7899">
        <v>18.412790000000001</v>
      </c>
      <c r="J7899">
        <v>-389.56470000000002</v>
      </c>
      <c r="K7899">
        <v>1.1231679999999999</v>
      </c>
      <c r="L7899">
        <v>18.245940000000001</v>
      </c>
      <c r="M7899">
        <v>0.99202900000000005</v>
      </c>
      <c r="N7899">
        <v>-9.5872649999999993E-3</v>
      </c>
      <c r="O7899">
        <v>-0.12564510000000001</v>
      </c>
      <c r="P7899">
        <v>0.99433519999999997</v>
      </c>
      <c r="Q7899">
        <v>0.10442319999999999</v>
      </c>
      <c r="R7899">
        <v>-1.984153E-2</v>
      </c>
      <c r="S7899">
        <v>3.0250240000000002</v>
      </c>
      <c r="T7899">
        <v>-6.7141889999999996E-2</v>
      </c>
      <c r="U7899">
        <v>8.8806149999999997E-3</v>
      </c>
      <c r="V7899">
        <v>-0.1058297</v>
      </c>
      <c r="W7899">
        <v>0.11336590000000001</v>
      </c>
      <c r="X7899">
        <v>0.98790089999999997</v>
      </c>
      <c r="Y7899">
        <v>-0.1285076</v>
      </c>
      <c r="Z7899">
        <v>3.6182190000000002E-3</v>
      </c>
      <c r="AA7899">
        <v>0.99170190000000003</v>
      </c>
      <c r="AB7899">
        <v>20</v>
      </c>
      <c r="AC7899">
        <v>50.433500000000002</v>
      </c>
      <c r="AD7899">
        <v>-1.1231686019436</v>
      </c>
      <c r="AE7899">
        <v>0.16685</v>
      </c>
      <c r="AF7899">
        <v>-6.4993171684662698</v>
      </c>
      <c r="AG7899">
        <v>-1.1231686019436</v>
      </c>
      <c r="AH7899">
        <v>49.9880335463628</v>
      </c>
      <c r="AI7899">
        <v>91.276408205975201</v>
      </c>
      <c r="AJ7899">
        <v>97.407895903541103</v>
      </c>
      <c r="AK7899">
        <v>50.421286469079703</v>
      </c>
      <c r="AL7899">
        <v>83.490618178902096</v>
      </c>
      <c r="AM7899">
        <v>96.114538831400296</v>
      </c>
      <c r="AN7899">
        <v>0.99999997045285405</v>
      </c>
    </row>
    <row r="7900" spans="1:40" x14ac:dyDescent="0.25">
      <c r="A7900" t="str">
        <f>"20190303162109935"</f>
        <v>20190303162109935</v>
      </c>
      <c r="B7900" t="str">
        <f>"1551601269930616"</f>
        <v>1551601269930616</v>
      </c>
      <c r="C7900" t="s">
        <v>40</v>
      </c>
      <c r="D7900">
        <v>4.7299930000000003</v>
      </c>
      <c r="E7900">
        <v>0.48923329999999998</v>
      </c>
      <c r="F7900" t="s">
        <v>41</v>
      </c>
      <c r="G7900">
        <v>-345.25</v>
      </c>
      <c r="H7900" s="1">
        <v>-2.2016030000000001E-6</v>
      </c>
      <c r="I7900">
        <v>18.59272</v>
      </c>
      <c r="J7900">
        <v>-389.4631</v>
      </c>
      <c r="K7900">
        <v>1.123167</v>
      </c>
      <c r="L7900">
        <v>18.235230000000001</v>
      </c>
      <c r="M7900">
        <v>0.99226429999999999</v>
      </c>
      <c r="N7900">
        <v>-9.5920989999999998E-3</v>
      </c>
      <c r="O7900">
        <v>-0.12377340000000001</v>
      </c>
      <c r="P7900">
        <v>0.9944269</v>
      </c>
      <c r="Q7900">
        <v>0.1040488</v>
      </c>
      <c r="R7900">
        <v>-1.7009659999999999E-2</v>
      </c>
      <c r="S7900">
        <v>3.025604</v>
      </c>
      <c r="T7900">
        <v>-7.6684829999999995E-2</v>
      </c>
      <c r="U7900">
        <v>2.368164E-2</v>
      </c>
      <c r="V7900">
        <v>-0.106783</v>
      </c>
      <c r="W7900">
        <v>0.1129911</v>
      </c>
      <c r="X7900">
        <v>0.98784130000000003</v>
      </c>
      <c r="Y7900">
        <v>-0.13146859999999999</v>
      </c>
      <c r="Z7900">
        <v>4.2380179999999996E-3</v>
      </c>
      <c r="AA7900">
        <v>0.99131130000000001</v>
      </c>
      <c r="AB7900">
        <v>20</v>
      </c>
      <c r="AC7900">
        <v>44.213099999999997</v>
      </c>
      <c r="AD7900">
        <v>-1.1231692016029999</v>
      </c>
      <c r="AE7900">
        <v>0.35749000000000197</v>
      </c>
      <c r="AF7900">
        <v>-5.8236395006910797</v>
      </c>
      <c r="AG7900">
        <v>-1.1231692016029999</v>
      </c>
      <c r="AH7900">
        <v>43.800578256593703</v>
      </c>
      <c r="AI7900">
        <v>91.456093637004102</v>
      </c>
      <c r="AJ7900">
        <v>97.573515797617205</v>
      </c>
      <c r="AK7900">
        <v>44.200304769327403</v>
      </c>
      <c r="AL7900">
        <v>83.512231806569503</v>
      </c>
      <c r="AM7900">
        <v>96.169564287300105</v>
      </c>
      <c r="AN7900">
        <v>1.00000001587695</v>
      </c>
    </row>
    <row r="7901" spans="1:40" x14ac:dyDescent="0.25">
      <c r="A7901" t="str">
        <f>"20190303162109948"</f>
        <v>20190303162109948</v>
      </c>
      <c r="B7901" t="str">
        <f>"1551601269940376"</f>
        <v>1551601269940376</v>
      </c>
      <c r="C7901" t="s">
        <v>40</v>
      </c>
      <c r="D7901">
        <v>4.6411879999999996</v>
      </c>
      <c r="E7901">
        <v>0.48926009999999998</v>
      </c>
      <c r="F7901" t="s">
        <v>41</v>
      </c>
      <c r="G7901">
        <v>-344.0967</v>
      </c>
      <c r="H7901" s="1">
        <v>-2.6727569999999999E-6</v>
      </c>
      <c r="I7901">
        <v>18.725739999999998</v>
      </c>
      <c r="J7901">
        <v>-389.34820000000002</v>
      </c>
      <c r="K7901">
        <v>1.123156</v>
      </c>
      <c r="L7901">
        <v>18.223269999999999</v>
      </c>
      <c r="M7901">
        <v>0.99252530000000005</v>
      </c>
      <c r="N7901">
        <v>-9.5970489999999999E-3</v>
      </c>
      <c r="O7901">
        <v>-0.1216613</v>
      </c>
      <c r="P7901">
        <v>0.99452249999999998</v>
      </c>
      <c r="Q7901">
        <v>0.10358290000000001</v>
      </c>
      <c r="R7901">
        <v>-1.398402E-2</v>
      </c>
      <c r="S7901">
        <v>3.0252080000000001</v>
      </c>
      <c r="T7901">
        <v>-7.4897409999999998E-2</v>
      </c>
      <c r="U7901">
        <v>3.2714840000000002E-2</v>
      </c>
      <c r="V7901">
        <v>-0.1076879</v>
      </c>
      <c r="W7901">
        <v>0.11252719999999999</v>
      </c>
      <c r="X7901">
        <v>0.98779600000000001</v>
      </c>
      <c r="Y7901">
        <v>-0.13232289999999999</v>
      </c>
      <c r="Z7901">
        <v>4.1097709999999999E-3</v>
      </c>
      <c r="AA7901">
        <v>0.99119809999999997</v>
      </c>
      <c r="AB7901">
        <v>20</v>
      </c>
      <c r="AC7901">
        <v>45.2515</v>
      </c>
      <c r="AD7901">
        <v>-1.123158672757</v>
      </c>
      <c r="AE7901">
        <v>0.50246999999999797</v>
      </c>
      <c r="AF7901">
        <v>-6.0006506339984496</v>
      </c>
      <c r="AG7901">
        <v>-1.123158672757</v>
      </c>
      <c r="AH7901">
        <v>44.826580047184201</v>
      </c>
      <c r="AI7901">
        <v>91.422597922055402</v>
      </c>
      <c r="AJ7901">
        <v>97.624496728590401</v>
      </c>
      <c r="AK7901">
        <v>45.240375464424602</v>
      </c>
      <c r="AL7901">
        <v>83.538981792936994</v>
      </c>
      <c r="AM7901">
        <v>96.221721166381997</v>
      </c>
      <c r="AN7901">
        <v>0.999999996081125</v>
      </c>
    </row>
    <row r="7902" spans="1:40" x14ac:dyDescent="0.25">
      <c r="A7902" t="str">
        <f>"20190303162109962"</f>
        <v>20190303162109962</v>
      </c>
      <c r="B7902" t="str">
        <f>"1551601269950136"</f>
        <v>1551601269950136</v>
      </c>
      <c r="C7902" t="s">
        <v>40</v>
      </c>
      <c r="D7902">
        <v>4.6272760000000002</v>
      </c>
      <c r="E7902">
        <v>0.48933270000000001</v>
      </c>
      <c r="F7902" t="s">
        <v>41</v>
      </c>
      <c r="G7902">
        <v>-343.90429999999998</v>
      </c>
      <c r="H7902" s="1">
        <v>-2.7338520000000001E-6</v>
      </c>
      <c r="I7902">
        <v>18.846710000000002</v>
      </c>
      <c r="J7902">
        <v>-389.21809999999999</v>
      </c>
      <c r="K7902">
        <v>1.1231260000000001</v>
      </c>
      <c r="L7902">
        <v>18.210049999999999</v>
      </c>
      <c r="M7902">
        <v>0.99281399999999997</v>
      </c>
      <c r="N7902">
        <v>-9.6015800000000002E-3</v>
      </c>
      <c r="O7902">
        <v>-0.1192815</v>
      </c>
      <c r="P7902">
        <v>0.99456869999999997</v>
      </c>
      <c r="Q7902">
        <v>0.1035172</v>
      </c>
      <c r="R7902">
        <v>-1.0825400000000001E-2</v>
      </c>
      <c r="S7902">
        <v>3.024902</v>
      </c>
      <c r="T7902">
        <v>-7.4761270000000005E-2</v>
      </c>
      <c r="U7902">
        <v>4.1503909999999998E-2</v>
      </c>
      <c r="V7902">
        <v>-0.10845109999999999</v>
      </c>
      <c r="W7902">
        <v>0.1124685</v>
      </c>
      <c r="X7902">
        <v>0.98771920000000002</v>
      </c>
      <c r="Y7902">
        <v>-0.13282749999999999</v>
      </c>
      <c r="Z7902">
        <v>4.0747960000000003E-3</v>
      </c>
      <c r="AA7902">
        <v>0.99113079999999998</v>
      </c>
      <c r="AB7902">
        <v>20</v>
      </c>
      <c r="AC7902">
        <v>45.313800000000001</v>
      </c>
      <c r="AD7902">
        <v>-1.123128733852</v>
      </c>
      <c r="AE7902">
        <v>0.636660000000002</v>
      </c>
      <c r="AF7902">
        <v>-6.0337556317467698</v>
      </c>
      <c r="AG7902">
        <v>-1.123128733852</v>
      </c>
      <c r="AH7902">
        <v>44.886736186397201</v>
      </c>
      <c r="AI7902">
        <v>91.420549882678799</v>
      </c>
      <c r="AJ7902">
        <v>97.655909513992896</v>
      </c>
      <c r="AK7902">
        <v>45.3043784930735</v>
      </c>
      <c r="AL7902">
        <v>83.542366640501598</v>
      </c>
      <c r="AM7902">
        <v>96.265949252239096</v>
      </c>
      <c r="AN7902">
        <v>1.0000000113160501</v>
      </c>
    </row>
    <row r="7903" spans="1:40" x14ac:dyDescent="0.25">
      <c r="A7903" t="str">
        <f>"20190303162109981"</f>
        <v>20190303162109981</v>
      </c>
      <c r="B7903" t="str">
        <f>"1551601269970632"</f>
        <v>1551601269970632</v>
      </c>
      <c r="C7903" t="s">
        <v>40</v>
      </c>
      <c r="D7903">
        <v>4.6325200000000004</v>
      </c>
      <c r="E7903">
        <v>0.48896800000000001</v>
      </c>
      <c r="F7903" t="s">
        <v>41</v>
      </c>
      <c r="G7903">
        <v>-343.33010000000002</v>
      </c>
      <c r="H7903" s="1">
        <v>-2.9573500000000002E-6</v>
      </c>
      <c r="I7903">
        <v>18.975300000000001</v>
      </c>
      <c r="J7903">
        <v>-389.06040000000002</v>
      </c>
      <c r="K7903">
        <v>1.1230739999999999</v>
      </c>
      <c r="L7903">
        <v>18.194430000000001</v>
      </c>
      <c r="M7903">
        <v>0.99315200000000003</v>
      </c>
      <c r="N7903">
        <v>-9.6060390000000002E-3</v>
      </c>
      <c r="O7903">
        <v>-0.11643299999999999</v>
      </c>
      <c r="P7903">
        <v>0.99462850000000003</v>
      </c>
      <c r="Q7903">
        <v>0.1033022</v>
      </c>
      <c r="R7903">
        <v>-6.5408999999999901E-3</v>
      </c>
      <c r="S7903">
        <v>3.0246279999999999</v>
      </c>
      <c r="T7903">
        <v>-7.4029090000000006E-2</v>
      </c>
      <c r="U7903">
        <v>5.044556E-2</v>
      </c>
      <c r="V7903">
        <v>-0.10986319999999999</v>
      </c>
      <c r="W7903">
        <v>0.1122619</v>
      </c>
      <c r="X7903">
        <v>0.98758659999999998</v>
      </c>
      <c r="Y7903">
        <v>-0.1329166</v>
      </c>
      <c r="Z7903">
        <v>3.9898429999999999E-3</v>
      </c>
      <c r="AA7903">
        <v>0.99111919999999998</v>
      </c>
      <c r="AB7903">
        <v>20</v>
      </c>
      <c r="AC7903">
        <v>45.7303</v>
      </c>
      <c r="AD7903">
        <v>-1.1230769573499999</v>
      </c>
      <c r="AE7903">
        <v>0.78086999999999995</v>
      </c>
      <c r="AF7903">
        <v>-6.0966446532986902</v>
      </c>
      <c r="AG7903">
        <v>-1.1230769573499999</v>
      </c>
      <c r="AH7903">
        <v>45.301001048574498</v>
      </c>
      <c r="AI7903">
        <v>91.407470189295495</v>
      </c>
      <c r="AJ7903">
        <v>97.664857586213202</v>
      </c>
      <c r="AK7903">
        <v>45.723200608484099</v>
      </c>
      <c r="AL7903">
        <v>83.554279155161794</v>
      </c>
      <c r="AM7903">
        <v>96.347719418359802</v>
      </c>
      <c r="AN7903">
        <v>0.99999997470270396</v>
      </c>
    </row>
    <row r="7904" spans="1:40" x14ac:dyDescent="0.25">
      <c r="A7904" t="str">
        <f>"20190303162109995"</f>
        <v>20190303162109995</v>
      </c>
      <c r="B7904" t="str">
        <f>"1551601269980394"</f>
        <v>1551601269980394</v>
      </c>
      <c r="C7904" t="s">
        <v>40</v>
      </c>
      <c r="D7904">
        <v>4.6218149999999998</v>
      </c>
      <c r="E7904">
        <v>0.48897299999999999</v>
      </c>
      <c r="F7904" t="s">
        <v>41</v>
      </c>
      <c r="G7904">
        <v>-345.67720000000003</v>
      </c>
      <c r="H7904" s="1">
        <v>-1.9195750000000002E-6</v>
      </c>
      <c r="I7904">
        <v>19.1494</v>
      </c>
      <c r="J7904">
        <v>-388.9384</v>
      </c>
      <c r="K7904">
        <v>1.123027</v>
      </c>
      <c r="L7904">
        <v>18.182649999999999</v>
      </c>
      <c r="M7904">
        <v>0.99340340000000005</v>
      </c>
      <c r="N7904">
        <v>-9.6089969999999993E-3</v>
      </c>
      <c r="O7904">
        <v>-0.1142693</v>
      </c>
      <c r="P7904">
        <v>0.99468529999999999</v>
      </c>
      <c r="Q7904">
        <v>0.10289329999999999</v>
      </c>
      <c r="R7904">
        <v>-3.7410149999999999E-3</v>
      </c>
      <c r="S7904">
        <v>3.0247799999999998</v>
      </c>
      <c r="T7904">
        <v>-7.8303579999999998E-2</v>
      </c>
      <c r="U7904">
        <v>6.658936E-2</v>
      </c>
      <c r="V7904">
        <v>-0.1104832</v>
      </c>
      <c r="W7904">
        <v>0.1118644</v>
      </c>
      <c r="X7904">
        <v>0.98756250000000001</v>
      </c>
      <c r="Y7904">
        <v>-0.1360345</v>
      </c>
      <c r="Z7904">
        <v>4.2681990000000003E-3</v>
      </c>
      <c r="AA7904">
        <v>0.99069490000000004</v>
      </c>
      <c r="AB7904">
        <v>20</v>
      </c>
      <c r="AC7904">
        <v>43.261199999999903</v>
      </c>
      <c r="AD7904">
        <v>-1.1230289195750001</v>
      </c>
      <c r="AE7904">
        <v>0.966750000000001</v>
      </c>
      <c r="AF7904">
        <v>-5.9000980038185897</v>
      </c>
      <c r="AG7904">
        <v>-1.1230289195750001</v>
      </c>
      <c r="AH7904">
        <v>42.8384760790236</v>
      </c>
      <c r="AI7904">
        <v>91.487652200963495</v>
      </c>
      <c r="AJ7904">
        <v>97.841950144928205</v>
      </c>
      <c r="AK7904">
        <v>43.257454654451699</v>
      </c>
      <c r="AL7904">
        <v>83.577198349019099</v>
      </c>
      <c r="AM7904">
        <v>96.383401647571503</v>
      </c>
      <c r="AN7904">
        <v>0.99999993643792295</v>
      </c>
    </row>
    <row r="7905" spans="1:40" x14ac:dyDescent="0.25">
      <c r="A7905" t="str">
        <f>"20190303162110012"</f>
        <v>20190303162110012</v>
      </c>
      <c r="B7905" t="str">
        <f>"1551601270000888"</f>
        <v>1551601270000888</v>
      </c>
      <c r="C7905" t="s">
        <v>40</v>
      </c>
      <c r="D7905">
        <v>4.6494470000000003</v>
      </c>
      <c r="E7905">
        <v>0.48887629999999999</v>
      </c>
      <c r="F7905" t="s">
        <v>41</v>
      </c>
      <c r="G7905">
        <v>-347.21460000000002</v>
      </c>
      <c r="H7905" s="1">
        <v>-1.2474760000000001E-6</v>
      </c>
      <c r="I7905">
        <v>19.22024</v>
      </c>
      <c r="J7905">
        <v>-388.78530000000001</v>
      </c>
      <c r="K7905">
        <v>1.122967</v>
      </c>
      <c r="L7905">
        <v>18.168150000000001</v>
      </c>
      <c r="M7905">
        <v>0.99370570000000003</v>
      </c>
      <c r="N7905">
        <v>-9.6121929999999998E-3</v>
      </c>
      <c r="O7905">
        <v>-0.1116089</v>
      </c>
      <c r="P7905">
        <v>0.99476799999999999</v>
      </c>
      <c r="Q7905">
        <v>0.1021595</v>
      </c>
      <c r="R7905">
        <v>-4.4795149999999999E-4</v>
      </c>
      <c r="S7905">
        <v>3.02475</v>
      </c>
      <c r="T7905">
        <v>-8.1413630000000001E-2</v>
      </c>
      <c r="U7905">
        <v>7.5225829999999994E-2</v>
      </c>
      <c r="V7905">
        <v>-0.1110973</v>
      </c>
      <c r="W7905">
        <v>0.11114739999999999</v>
      </c>
      <c r="X7905">
        <v>0.98757459999999997</v>
      </c>
      <c r="Y7905">
        <v>-0.13620309999999999</v>
      </c>
      <c r="Z7905">
        <v>4.412801E-3</v>
      </c>
      <c r="AA7905">
        <v>0.99067110000000003</v>
      </c>
      <c r="AB7905">
        <v>20</v>
      </c>
      <c r="AC7905">
        <v>41.570699999999903</v>
      </c>
      <c r="AD7905">
        <v>-1.1229682474760001</v>
      </c>
      <c r="AE7905">
        <v>1.05208999999999</v>
      </c>
      <c r="AF7905">
        <v>-5.6812475956898503</v>
      </c>
      <c r="AG7905">
        <v>-1.1229682474760001</v>
      </c>
      <c r="AH7905">
        <v>41.163503962615003</v>
      </c>
      <c r="AI7905">
        <v>91.548013114186801</v>
      </c>
      <c r="AJ7905">
        <v>97.858125263361799</v>
      </c>
      <c r="AK7905">
        <v>41.568878868795501</v>
      </c>
      <c r="AL7905">
        <v>83.618537456756599</v>
      </c>
      <c r="AM7905">
        <v>96.418509295692004</v>
      </c>
      <c r="AN7905">
        <v>0.99999997257960405</v>
      </c>
    </row>
    <row r="7906" spans="1:40" x14ac:dyDescent="0.25">
      <c r="A7906" t="str">
        <f>"20190303162110037"</f>
        <v>20190303162110037</v>
      </c>
      <c r="B7906" t="str">
        <f>"1551601270031144"</f>
        <v>1551601270031144</v>
      </c>
      <c r="C7906" t="s">
        <v>40</v>
      </c>
      <c r="D7906">
        <v>4.663602</v>
      </c>
      <c r="E7906">
        <v>0.48887079999999999</v>
      </c>
      <c r="F7906" t="s">
        <v>41</v>
      </c>
      <c r="G7906">
        <v>-349.25049999999999</v>
      </c>
      <c r="H7906" s="1">
        <v>-3.6233559999999997E-7</v>
      </c>
      <c r="I7906">
        <v>19.286539999999999</v>
      </c>
      <c r="J7906">
        <v>-388.57229999999998</v>
      </c>
      <c r="K7906">
        <v>1.122873</v>
      </c>
      <c r="L7906">
        <v>18.148499999999999</v>
      </c>
      <c r="M7906">
        <v>0.99410120000000002</v>
      </c>
      <c r="N7906">
        <v>-9.6154389999999999E-3</v>
      </c>
      <c r="O7906">
        <v>-0.1080296</v>
      </c>
      <c r="P7906">
        <v>0.9947994</v>
      </c>
      <c r="Q7906">
        <v>0.10179290000000001</v>
      </c>
      <c r="R7906">
        <v>3.5074110000000002E-3</v>
      </c>
      <c r="S7906">
        <v>3.024689</v>
      </c>
      <c r="T7906">
        <v>-8.5914850000000001E-2</v>
      </c>
      <c r="U7906">
        <v>8.5571289999999994E-2</v>
      </c>
      <c r="V7906">
        <v>-0.1114458</v>
      </c>
      <c r="W7906">
        <v>0.11080719999999999</v>
      </c>
      <c r="X7906">
        <v>0.98757360000000005</v>
      </c>
      <c r="Y7906">
        <v>-0.1360132</v>
      </c>
      <c r="Z7906">
        <v>4.6095650000000004E-3</v>
      </c>
      <c r="AA7906">
        <v>0.99069629999999997</v>
      </c>
      <c r="AB7906">
        <v>20</v>
      </c>
      <c r="AC7906">
        <v>39.321800000000003</v>
      </c>
      <c r="AD7906">
        <v>-1.1228733623356</v>
      </c>
      <c r="AE7906">
        <v>1.1380399999999999</v>
      </c>
      <c r="AF7906">
        <v>-5.3751143764496199</v>
      </c>
      <c r="AG7906">
        <v>-1.1228733623356</v>
      </c>
      <c r="AH7906">
        <v>38.936982742233099</v>
      </c>
      <c r="AI7906">
        <v>91.636341006485793</v>
      </c>
      <c r="AJ7906">
        <v>97.859805645833802</v>
      </c>
      <c r="AK7906">
        <v>39.3222751658232</v>
      </c>
      <c r="AL7906">
        <v>83.638150863834099</v>
      </c>
      <c r="AM7906">
        <v>96.438481108537403</v>
      </c>
      <c r="AN7906">
        <v>1.0000000086632199</v>
      </c>
    </row>
    <row r="7907" spans="1:40" x14ac:dyDescent="0.25">
      <c r="A7907" t="str">
        <f>"20190303162110048"</f>
        <v>20190303162110048</v>
      </c>
      <c r="B7907" t="str">
        <f>"1551601270040904"</f>
        <v>1551601270040904</v>
      </c>
      <c r="C7907" t="s">
        <v>40</v>
      </c>
      <c r="D7907">
        <v>4.6544740000000004</v>
      </c>
      <c r="E7907">
        <v>0.491199</v>
      </c>
      <c r="F7907" t="s">
        <v>41</v>
      </c>
      <c r="G7907">
        <v>-347.79239999999999</v>
      </c>
      <c r="H7907" s="1">
        <v>-9.5699189999999995E-7</v>
      </c>
      <c r="I7907">
        <v>19.460470000000001</v>
      </c>
      <c r="J7907">
        <v>-388.46690000000001</v>
      </c>
      <c r="K7907">
        <v>1.12283</v>
      </c>
      <c r="L7907">
        <v>18.139009999999999</v>
      </c>
      <c r="M7907">
        <v>0.99428700000000003</v>
      </c>
      <c r="N7907">
        <v>-9.6167379999999997E-3</v>
      </c>
      <c r="O7907">
        <v>-0.1063071</v>
      </c>
      <c r="P7907">
        <v>0.9947859</v>
      </c>
      <c r="Q7907">
        <v>0.10183200000000001</v>
      </c>
      <c r="R7907">
        <v>5.6100840000000004E-3</v>
      </c>
      <c r="S7907">
        <v>3.0238649999999998</v>
      </c>
      <c r="T7907">
        <v>-8.3262210000000003E-2</v>
      </c>
      <c r="U7907">
        <v>9.7290039999999994E-2</v>
      </c>
      <c r="V7907">
        <v>-0.1118101</v>
      </c>
      <c r="W7907">
        <v>0.110857399999999</v>
      </c>
      <c r="X7907">
        <v>0.98752680000000004</v>
      </c>
      <c r="Y7907">
        <v>-0.13814470000000001</v>
      </c>
      <c r="Z7907">
        <v>4.4656390000000004E-3</v>
      </c>
      <c r="AA7907">
        <v>0.990402</v>
      </c>
      <c r="AB7907">
        <v>20</v>
      </c>
      <c r="AC7907">
        <v>40.674500000000002</v>
      </c>
      <c r="AD7907">
        <v>-1.1228309569918999</v>
      </c>
      <c r="AE7907">
        <v>1.3214600000000001</v>
      </c>
      <c r="AF7907">
        <v>-5.6338696844112599</v>
      </c>
      <c r="AG7907">
        <v>-1.1228309569918999</v>
      </c>
      <c r="AH7907">
        <v>40.272845650062401</v>
      </c>
      <c r="AI7907">
        <v>91.581633492906604</v>
      </c>
      <c r="AJ7907">
        <v>97.963570281565396</v>
      </c>
      <c r="AK7907">
        <v>40.6805031155302</v>
      </c>
      <c r="AL7907">
        <v>83.635256865517803</v>
      </c>
      <c r="AM7907">
        <v>96.459653499347894</v>
      </c>
      <c r="AN7907">
        <v>1.0000000211575</v>
      </c>
    </row>
    <row r="7908" spans="1:40" x14ac:dyDescent="0.25">
      <c r="A7908" t="str">
        <f>"20190303162110070"</f>
        <v>20190303162110070</v>
      </c>
      <c r="B7908" t="str">
        <f>"1551601270060424"</f>
        <v>1551601270060424</v>
      </c>
      <c r="C7908" t="s">
        <v>40</v>
      </c>
      <c r="D7908">
        <v>4.698728</v>
      </c>
      <c r="E7908">
        <v>0.4908709</v>
      </c>
      <c r="F7908" t="s">
        <v>77</v>
      </c>
      <c r="G7908">
        <v>-279.68</v>
      </c>
      <c r="H7908">
        <v>1.00115</v>
      </c>
      <c r="I7908">
        <v>21.224869999999999</v>
      </c>
      <c r="J7908">
        <v>-388.27080000000001</v>
      </c>
      <c r="K7908">
        <v>1.1227590000000001</v>
      </c>
      <c r="L7908">
        <v>18.121770000000001</v>
      </c>
      <c r="M7908">
        <v>0.9946142</v>
      </c>
      <c r="N7908">
        <v>-9.6186580000000004E-3</v>
      </c>
      <c r="O7908">
        <v>-0.1032005</v>
      </c>
      <c r="P7908">
        <v>0.99465360000000003</v>
      </c>
      <c r="Q7908">
        <v>0.1028843</v>
      </c>
      <c r="R7908">
        <v>8.9113200000000004E-3</v>
      </c>
      <c r="S7908">
        <v>3.0155940000000001</v>
      </c>
      <c r="T7908">
        <v>-3.372908E-3</v>
      </c>
      <c r="U7908">
        <v>8.5540770000000002E-2</v>
      </c>
      <c r="V7908">
        <v>-0.11197550000000001</v>
      </c>
      <c r="W7908">
        <v>0.11193019999999999</v>
      </c>
      <c r="X7908">
        <v>0.98738700000000001</v>
      </c>
      <c r="Y7908">
        <v>-0.1313626</v>
      </c>
      <c r="Z7908">
        <v>-1.727899E-4</v>
      </c>
      <c r="AA7908">
        <v>0.99133439999999995</v>
      </c>
      <c r="AB7908">
        <v>20</v>
      </c>
      <c r="AC7908">
        <v>108.5908</v>
      </c>
      <c r="AD7908">
        <v>-0.12160899999999999</v>
      </c>
      <c r="AE7908">
        <v>3.1031</v>
      </c>
      <c r="AF7908">
        <v>-14.2936535783344</v>
      </c>
      <c r="AG7908">
        <v>-0.12160899999999999</v>
      </c>
      <c r="AH7908">
        <v>107.690542594001</v>
      </c>
      <c r="AI7908">
        <v>90.064138445717603</v>
      </c>
      <c r="AJ7908">
        <v>97.560617419695902</v>
      </c>
      <c r="AK7908">
        <v>108.63506011208599</v>
      </c>
      <c r="AL7908">
        <v>83.573404773550394</v>
      </c>
      <c r="AM7908">
        <v>96.470036450256998</v>
      </c>
      <c r="AN7908">
        <v>0.99999998502064402</v>
      </c>
    </row>
    <row r="7909" spans="1:40" x14ac:dyDescent="0.25">
      <c r="A7909" t="str">
        <f>"20190303162110091"</f>
        <v>20190303162110091</v>
      </c>
      <c r="B7909" t="str">
        <f>"1551601270080920"</f>
        <v>1551601270080920</v>
      </c>
      <c r="C7909" t="s">
        <v>40</v>
      </c>
      <c r="D7909">
        <v>4.6348520000000004</v>
      </c>
      <c r="E7909">
        <v>0.4919982</v>
      </c>
      <c r="F7909" t="s">
        <v>77</v>
      </c>
      <c r="G7909">
        <v>-279.68</v>
      </c>
      <c r="H7909">
        <v>1.1538649999999999</v>
      </c>
      <c r="I7909">
        <v>21.660820000000001</v>
      </c>
      <c r="J7909">
        <v>-388.0865</v>
      </c>
      <c r="K7909">
        <v>1.1227009999999999</v>
      </c>
      <c r="L7909">
        <v>18.105989999999998</v>
      </c>
      <c r="M7909">
        <v>0.99490270000000003</v>
      </c>
      <c r="N7909">
        <v>-9.6201429999999994E-3</v>
      </c>
      <c r="O7909">
        <v>-0.1003793</v>
      </c>
      <c r="P7909">
        <v>0.99453619999999998</v>
      </c>
      <c r="Q7909">
        <v>0.1037685</v>
      </c>
      <c r="R7909">
        <v>1.140796E-2</v>
      </c>
      <c r="S7909">
        <v>3.0151669999999999</v>
      </c>
      <c r="T7909">
        <v>8.6379049999999998E-4</v>
      </c>
      <c r="U7909">
        <v>9.8266599999999996E-2</v>
      </c>
      <c r="V7909">
        <v>-0.1116307</v>
      </c>
      <c r="W7909">
        <v>0.1128338</v>
      </c>
      <c r="X7909">
        <v>0.98732319999999996</v>
      </c>
      <c r="Y7909">
        <v>-0.13273489999999999</v>
      </c>
      <c r="Z7909">
        <v>-3.753405E-4</v>
      </c>
      <c r="AA7909">
        <v>0.99115149999999996</v>
      </c>
      <c r="AB7909">
        <v>20</v>
      </c>
      <c r="AC7909">
        <v>108.40649999999999</v>
      </c>
      <c r="AD7909">
        <v>3.11639999999999E-2</v>
      </c>
      <c r="AE7909">
        <v>3.5548299999999999</v>
      </c>
      <c r="AF7909">
        <v>-14.4191450806038</v>
      </c>
      <c r="AG7909">
        <v>3.11639999999999E-2</v>
      </c>
      <c r="AH7909">
        <v>107.50205752139701</v>
      </c>
      <c r="AI7909">
        <v>89.983537827151594</v>
      </c>
      <c r="AJ7909">
        <v>97.639431571523502</v>
      </c>
      <c r="AK7909">
        <v>108.46476426648501</v>
      </c>
      <c r="AL7909">
        <v>83.521302274228006</v>
      </c>
      <c r="AM7909">
        <v>96.450695085038603</v>
      </c>
      <c r="AN7909">
        <v>0.99999999043158405</v>
      </c>
    </row>
    <row r="7910" spans="1:40" x14ac:dyDescent="0.25">
      <c r="A7910" t="str">
        <f>"20190303162110106"</f>
        <v>20190303162110106</v>
      </c>
      <c r="B7910" t="str">
        <f>"1551601270100440"</f>
        <v>1551601270100440</v>
      </c>
      <c r="C7910" t="s">
        <v>40</v>
      </c>
      <c r="D7910">
        <v>4.6791729999999996</v>
      </c>
      <c r="E7910">
        <v>0.4926296</v>
      </c>
      <c r="F7910" t="s">
        <v>77</v>
      </c>
      <c r="G7910">
        <v>-279.68</v>
      </c>
      <c r="H7910">
        <v>1.049118</v>
      </c>
      <c r="I7910">
        <v>21.605630000000001</v>
      </c>
      <c r="J7910">
        <v>-387.95069999999998</v>
      </c>
      <c r="K7910">
        <v>1.1226560000000001</v>
      </c>
      <c r="L7910">
        <v>18.094639999999998</v>
      </c>
      <c r="M7910">
        <v>0.99510549999999998</v>
      </c>
      <c r="N7910">
        <v>-9.6212889999999999E-3</v>
      </c>
      <c r="O7910">
        <v>-9.8349439999999996E-2</v>
      </c>
      <c r="P7910">
        <v>0.99452510000000005</v>
      </c>
      <c r="Q7910">
        <v>0.1036642</v>
      </c>
      <c r="R7910">
        <v>1.318252E-2</v>
      </c>
      <c r="S7910">
        <v>3.0155940000000001</v>
      </c>
      <c r="T7910">
        <v>-2.046824E-3</v>
      </c>
      <c r="U7910">
        <v>9.7351069999999998E-2</v>
      </c>
      <c r="V7910">
        <v>-0.1113677</v>
      </c>
      <c r="W7910">
        <v>0.1127428</v>
      </c>
      <c r="X7910">
        <v>0.98736330000000005</v>
      </c>
      <c r="Y7910">
        <v>-0.13040769999999999</v>
      </c>
      <c r="Z7910">
        <v>-2.083478E-4</v>
      </c>
      <c r="AA7910">
        <v>0.99146040000000002</v>
      </c>
      <c r="AB7910">
        <v>20</v>
      </c>
      <c r="AC7910">
        <v>108.270699999999</v>
      </c>
      <c r="AD7910">
        <v>-7.3537999999999798E-2</v>
      </c>
      <c r="AE7910">
        <v>3.5109900000000001</v>
      </c>
      <c r="AF7910">
        <v>-14.1428152917243</v>
      </c>
      <c r="AG7910">
        <v>-7.3537999999999798E-2</v>
      </c>
      <c r="AH7910">
        <v>107.400379371894</v>
      </c>
      <c r="AI7910">
        <v>90.0388951463909</v>
      </c>
      <c r="AJ7910">
        <v>97.501723716674206</v>
      </c>
      <c r="AK7910">
        <v>108.327587074761</v>
      </c>
      <c r="AL7910">
        <v>83.526549702515993</v>
      </c>
      <c r="AM7910">
        <v>96.435365833829806</v>
      </c>
      <c r="AN7910">
        <v>0.99999999487100999</v>
      </c>
    </row>
    <row r="7911" spans="1:40" x14ac:dyDescent="0.25">
      <c r="A7911" t="str">
        <f>"20190303162110118"</f>
        <v>20190303162110118</v>
      </c>
      <c r="B7911" t="str">
        <f>"1551601270111177"</f>
        <v>1551601270111177</v>
      </c>
      <c r="C7911" t="s">
        <v>40</v>
      </c>
      <c r="D7911">
        <v>4.6958279999999997</v>
      </c>
      <c r="E7911">
        <v>0.49299199999999999</v>
      </c>
      <c r="F7911" t="s">
        <v>77</v>
      </c>
      <c r="G7911">
        <v>-279.68</v>
      </c>
      <c r="H7911">
        <v>1.0688500000000001</v>
      </c>
      <c r="I7911">
        <v>21.609829999999999</v>
      </c>
      <c r="J7911">
        <v>-387.83229999999998</v>
      </c>
      <c r="K7911">
        <v>1.122628</v>
      </c>
      <c r="L7911">
        <v>18.084959999999999</v>
      </c>
      <c r="M7911">
        <v>0.99527449999999995</v>
      </c>
      <c r="N7911">
        <v>-9.6222949999999995E-3</v>
      </c>
      <c r="O7911">
        <v>-9.6623269999999997E-2</v>
      </c>
      <c r="P7911">
        <v>0.99452859999999998</v>
      </c>
      <c r="Q7911">
        <v>0.1034503</v>
      </c>
      <c r="R7911">
        <v>1.453378E-2</v>
      </c>
      <c r="S7911">
        <v>3.0154109999999998</v>
      </c>
      <c r="T7911">
        <v>-1.498461E-3</v>
      </c>
      <c r="U7911">
        <v>9.7900390000000004E-2</v>
      </c>
      <c r="V7911">
        <v>-0.1109894</v>
      </c>
      <c r="W7911">
        <v>0.1125396</v>
      </c>
      <c r="X7911">
        <v>0.98742909999999995</v>
      </c>
      <c r="Y7911">
        <v>-0.12887029999999999</v>
      </c>
      <c r="Z7911">
        <v>-2.3007179999999999E-4</v>
      </c>
      <c r="AA7911">
        <v>0.99166140000000003</v>
      </c>
      <c r="AB7911">
        <v>20</v>
      </c>
      <c r="AC7911">
        <v>108.152299999999</v>
      </c>
      <c r="AD7911">
        <v>-5.3777999999999798E-2</v>
      </c>
      <c r="AE7911">
        <v>3.5248699999999902</v>
      </c>
      <c r="AF7911">
        <v>-13.9588850677926</v>
      </c>
      <c r="AG7911">
        <v>-5.3777999999999798E-2</v>
      </c>
      <c r="AH7911">
        <v>107.30558441817701</v>
      </c>
      <c r="AI7911">
        <v>90.028474824442199</v>
      </c>
      <c r="AJ7911">
        <v>97.411721294961197</v>
      </c>
      <c r="AK7911">
        <v>108.209712187657</v>
      </c>
      <c r="AL7911">
        <v>83.538266925748403</v>
      </c>
      <c r="AM7911">
        <v>96.413264453981796</v>
      </c>
      <c r="AN7911">
        <v>1.0000000180036599</v>
      </c>
    </row>
    <row r="7912" spans="1:40" x14ac:dyDescent="0.25">
      <c r="A7912" t="str">
        <f>"20190303162110137"</f>
        <v>20190303162110137</v>
      </c>
      <c r="B7912" t="str">
        <f>"1551601270120936"</f>
        <v>1551601270120936</v>
      </c>
      <c r="C7912" t="s">
        <v>40</v>
      </c>
      <c r="D7912">
        <v>4.6880160000000002</v>
      </c>
      <c r="E7912">
        <v>0.49337360000000002</v>
      </c>
      <c r="F7912" t="s">
        <v>77</v>
      </c>
      <c r="G7912">
        <v>-279.68</v>
      </c>
      <c r="H7912">
        <v>1.113359</v>
      </c>
      <c r="I7912">
        <v>21.643809999999998</v>
      </c>
      <c r="J7912">
        <v>-387.67919999999998</v>
      </c>
      <c r="K7912">
        <v>1.122598</v>
      </c>
      <c r="L7912">
        <v>18.072690000000001</v>
      </c>
      <c r="M7912">
        <v>0.99548579999999998</v>
      </c>
      <c r="N7912">
        <v>-9.6240160000000009E-3</v>
      </c>
      <c r="O7912">
        <v>-9.4422560000000003E-2</v>
      </c>
      <c r="P7912">
        <v>0.99451599999999996</v>
      </c>
      <c r="Q7912">
        <v>0.1033558</v>
      </c>
      <c r="R7912">
        <v>1.5984950000000001E-2</v>
      </c>
      <c r="S7912">
        <v>3.0150450000000002</v>
      </c>
      <c r="T7912">
        <v>-2.5832649999999997E-4</v>
      </c>
      <c r="U7912">
        <v>9.9212649999999999E-2</v>
      </c>
      <c r="V7912">
        <v>-0.1102384</v>
      </c>
      <c r="W7912">
        <v>0.112459</v>
      </c>
      <c r="X7912">
        <v>0.98752240000000002</v>
      </c>
      <c r="Y7912">
        <v>-0.12711259999999999</v>
      </c>
      <c r="Z7912">
        <v>-2.8379129999999997E-4</v>
      </c>
      <c r="AA7912">
        <v>0.9918882</v>
      </c>
      <c r="AB7912">
        <v>20</v>
      </c>
      <c r="AC7912">
        <v>107.99919999999901</v>
      </c>
      <c r="AD7912">
        <v>-9.2389999999999903E-3</v>
      </c>
      <c r="AE7912">
        <v>3.5711200000000001</v>
      </c>
      <c r="AF7912">
        <v>-13.753195518688001</v>
      </c>
      <c r="AG7912">
        <v>-9.2389999999999903E-3</v>
      </c>
      <c r="AH7912">
        <v>107.179426855161</v>
      </c>
      <c r="AI7912">
        <v>90.004898800688593</v>
      </c>
      <c r="AJ7912">
        <v>97.312198633873606</v>
      </c>
      <c r="AK7912">
        <v>108.05822510727801</v>
      </c>
      <c r="AL7912">
        <v>83.542914423650501</v>
      </c>
      <c r="AM7912">
        <v>96.369630686882502</v>
      </c>
      <c r="AN7912">
        <v>1.00000001100866</v>
      </c>
    </row>
    <row r="7913" spans="1:40" x14ac:dyDescent="0.25">
      <c r="A7913" t="str">
        <f>"20190303162110152"</f>
        <v>20190303162110152</v>
      </c>
      <c r="B7913" t="str">
        <f>"1551601270140457"</f>
        <v>1551601270140457</v>
      </c>
      <c r="C7913" t="s">
        <v>40</v>
      </c>
      <c r="D7913">
        <v>4.6424500000000002</v>
      </c>
      <c r="E7913">
        <v>0.49373159999999999</v>
      </c>
      <c r="F7913" t="s">
        <v>77</v>
      </c>
      <c r="G7913">
        <v>-279.68</v>
      </c>
      <c r="H7913">
        <v>1.145373</v>
      </c>
      <c r="I7913">
        <v>21.678100000000001</v>
      </c>
      <c r="J7913">
        <v>-387.54700000000003</v>
      </c>
      <c r="K7913">
        <v>1.1225780000000001</v>
      </c>
      <c r="L7913">
        <v>18.06232</v>
      </c>
      <c r="M7913">
        <v>0.99566149999999998</v>
      </c>
      <c r="N7913">
        <v>-9.6268910000000003E-3</v>
      </c>
      <c r="O7913">
        <v>-9.2550579999999993E-2</v>
      </c>
      <c r="P7913">
        <v>0.99448840000000005</v>
      </c>
      <c r="Q7913">
        <v>0.103423</v>
      </c>
      <c r="R7913">
        <v>1.7230680000000002E-2</v>
      </c>
      <c r="S7913">
        <v>3.0148619999999999</v>
      </c>
      <c r="T7913">
        <v>6.3586239999999998E-4</v>
      </c>
      <c r="U7913">
        <v>0.100647</v>
      </c>
      <c r="V7913">
        <v>-0.1096116</v>
      </c>
      <c r="W7913">
        <v>0.1125382</v>
      </c>
      <c r="X7913">
        <v>0.98758319999999999</v>
      </c>
      <c r="Y7913">
        <v>-0.12572079999999999</v>
      </c>
      <c r="Z7913">
        <v>-3.18783E-4</v>
      </c>
      <c r="AA7913">
        <v>0.99206559999999999</v>
      </c>
      <c r="AB7913">
        <v>20</v>
      </c>
      <c r="AC7913">
        <v>107.866999999999</v>
      </c>
      <c r="AD7913">
        <v>2.2794999999999899E-2</v>
      </c>
      <c r="AE7913">
        <v>3.61578</v>
      </c>
      <c r="AF7913">
        <v>-13.583874473010299</v>
      </c>
      <c r="AG7913">
        <v>2.2794999999999899E-2</v>
      </c>
      <c r="AH7913">
        <v>107.06932739625201</v>
      </c>
      <c r="AI7913">
        <v>89.987898762529994</v>
      </c>
      <c r="AJ7913">
        <v>97.230480864986603</v>
      </c>
      <c r="AK7913">
        <v>107.92758236149101</v>
      </c>
      <c r="AL7913">
        <v>83.538347945426096</v>
      </c>
      <c r="AM7913">
        <v>96.333322258732395</v>
      </c>
      <c r="AN7913">
        <v>1.0000000631180099</v>
      </c>
    </row>
    <row r="7914" spans="1:40" x14ac:dyDescent="0.25">
      <c r="A7914" t="str">
        <f>"20190303162110171"</f>
        <v>20190303162110171</v>
      </c>
      <c r="B7914" t="str">
        <f>"1551601270160952"</f>
        <v>1551601270160952</v>
      </c>
      <c r="C7914" t="s">
        <v>40</v>
      </c>
      <c r="D7914">
        <v>4.6768029999999996</v>
      </c>
      <c r="E7914">
        <v>0.49415510000000001</v>
      </c>
      <c r="F7914" t="s">
        <v>77</v>
      </c>
      <c r="G7914">
        <v>-279.68</v>
      </c>
      <c r="H7914">
        <v>1.050619</v>
      </c>
      <c r="I7914">
        <v>21.69577</v>
      </c>
      <c r="J7914">
        <v>-387.37079999999997</v>
      </c>
      <c r="K7914">
        <v>1.1225529999999999</v>
      </c>
      <c r="L7914">
        <v>18.048860000000001</v>
      </c>
      <c r="M7914">
        <v>0.99588690000000002</v>
      </c>
      <c r="N7914">
        <v>-9.6342589999999992E-3</v>
      </c>
      <c r="O7914">
        <v>-9.0091749999999998E-2</v>
      </c>
      <c r="P7914">
        <v>0.99438789999999999</v>
      </c>
      <c r="Q7914">
        <v>0.1041656</v>
      </c>
      <c r="R7914">
        <v>1.8501750000000001E-2</v>
      </c>
      <c r="S7914">
        <v>3.0151059999999998</v>
      </c>
      <c r="T7914">
        <v>-2.0112989999999998E-3</v>
      </c>
      <c r="U7914">
        <v>0.1015625</v>
      </c>
      <c r="V7914">
        <v>-0.1084229</v>
      </c>
      <c r="W7914">
        <v>0.1132991</v>
      </c>
      <c r="X7914">
        <v>0.98762729999999999</v>
      </c>
      <c r="Y7914">
        <v>-0.1235694</v>
      </c>
      <c r="Z7914">
        <v>-1.71618699999999E-4</v>
      </c>
      <c r="AA7914">
        <v>0.99233590000000005</v>
      </c>
      <c r="AB7914">
        <v>20</v>
      </c>
      <c r="AC7914">
        <v>107.690799999999</v>
      </c>
      <c r="AD7914">
        <v>-7.1934000000000095E-2</v>
      </c>
      <c r="AE7914">
        <v>3.6469099999999899</v>
      </c>
      <c r="AF7914">
        <v>-13.3345750480352</v>
      </c>
      <c r="AG7914">
        <v>-7.1934000000000095E-2</v>
      </c>
      <c r="AH7914">
        <v>106.924212021798</v>
      </c>
      <c r="AI7914">
        <v>90.0382498277785</v>
      </c>
      <c r="AJ7914">
        <v>97.108685464005006</v>
      </c>
      <c r="AK7914">
        <v>107.75250893921</v>
      </c>
      <c r="AL7914">
        <v>83.494470206286096</v>
      </c>
      <c r="AM7914">
        <v>96.264911172965</v>
      </c>
      <c r="AN7914">
        <v>0.99999994750525301</v>
      </c>
    </row>
    <row r="7915" spans="1:40" x14ac:dyDescent="0.25">
      <c r="A7915" t="str">
        <f>"20190303162110194"</f>
        <v>20190303162110194</v>
      </c>
      <c r="B7915" t="str">
        <f>"1551601270180472"</f>
        <v>1551601270180472</v>
      </c>
      <c r="C7915" t="s">
        <v>40</v>
      </c>
      <c r="D7915">
        <v>4.5354559999999999</v>
      </c>
      <c r="E7915">
        <v>0.4943205</v>
      </c>
      <c r="F7915" t="s">
        <v>77</v>
      </c>
      <c r="G7915">
        <v>-279.68</v>
      </c>
      <c r="H7915">
        <v>1.18052</v>
      </c>
      <c r="I7915">
        <v>21.699560000000002</v>
      </c>
      <c r="J7915">
        <v>-387.17720000000003</v>
      </c>
      <c r="K7915">
        <v>1.122539</v>
      </c>
      <c r="L7915">
        <v>18.034479999999999</v>
      </c>
      <c r="M7915">
        <v>0.99612469999999997</v>
      </c>
      <c r="N7915">
        <v>-9.6470540000000004E-3</v>
      </c>
      <c r="O7915">
        <v>-8.7421780000000004E-2</v>
      </c>
      <c r="P7915">
        <v>0.99440669999999998</v>
      </c>
      <c r="Q7915">
        <v>0.1038356</v>
      </c>
      <c r="R7915">
        <v>1.9335459999999999E-2</v>
      </c>
      <c r="S7915">
        <v>3.0148619999999999</v>
      </c>
      <c r="T7915">
        <v>1.6229149999999999E-3</v>
      </c>
      <c r="U7915">
        <v>0.1022034</v>
      </c>
      <c r="V7915">
        <v>-0.10659920000000001</v>
      </c>
      <c r="W7915">
        <v>0.11299439999999999</v>
      </c>
      <c r="X7915">
        <v>0.98786070000000004</v>
      </c>
      <c r="Y7915">
        <v>-0.1211221</v>
      </c>
      <c r="Z7915">
        <v>-3.3882820000000002E-4</v>
      </c>
      <c r="AA7915">
        <v>0.99263760000000001</v>
      </c>
      <c r="AB7915">
        <v>20</v>
      </c>
      <c r="AC7915">
        <v>107.49720000000001</v>
      </c>
      <c r="AD7915">
        <v>5.7980999999999998E-2</v>
      </c>
      <c r="AE7915">
        <v>3.6650800000000001</v>
      </c>
      <c r="AF7915">
        <v>-13.0490763831318</v>
      </c>
      <c r="AG7915">
        <v>5.7980999999999998E-2</v>
      </c>
      <c r="AH7915">
        <v>106.76514272553401</v>
      </c>
      <c r="AI7915">
        <v>89.969114190358795</v>
      </c>
      <c r="AJ7915">
        <v>96.968258530334694</v>
      </c>
      <c r="AK7915">
        <v>107.55964604559099</v>
      </c>
      <c r="AL7915">
        <v>83.512041038515207</v>
      </c>
      <c r="AM7915">
        <v>96.1589066014607</v>
      </c>
      <c r="AN7915">
        <v>0.99999994323824304</v>
      </c>
    </row>
    <row r="7916" spans="1:40" x14ac:dyDescent="0.25">
      <c r="A7916" t="str">
        <f>"20190303162110214"</f>
        <v>20190303162110214</v>
      </c>
      <c r="B7916" t="str">
        <f>"1551601270200968"</f>
        <v>1551601270200968</v>
      </c>
      <c r="C7916" t="s">
        <v>40</v>
      </c>
      <c r="D7916">
        <v>4.5128640000000004</v>
      </c>
      <c r="E7916">
        <v>0.49443239999999999</v>
      </c>
      <c r="F7916" t="s">
        <v>77</v>
      </c>
      <c r="G7916">
        <v>-279.68</v>
      </c>
      <c r="H7916">
        <v>1.227282</v>
      </c>
      <c r="I7916">
        <v>21.723569999999999</v>
      </c>
      <c r="J7916">
        <v>-386.98399999999998</v>
      </c>
      <c r="K7916">
        <v>1.1225229999999999</v>
      </c>
      <c r="L7916">
        <v>18.020659999999999</v>
      </c>
      <c r="M7916">
        <v>0.99635309999999999</v>
      </c>
      <c r="N7916">
        <v>-9.66236E-3</v>
      </c>
      <c r="O7916">
        <v>-8.4778210000000007E-2</v>
      </c>
      <c r="P7916">
        <v>0.99448060000000005</v>
      </c>
      <c r="Q7916">
        <v>0.10295120000000001</v>
      </c>
      <c r="R7916">
        <v>2.0237390000000001E-2</v>
      </c>
      <c r="S7916">
        <v>3.0145870000000001</v>
      </c>
      <c r="T7916">
        <v>2.9374359999999999E-3</v>
      </c>
      <c r="U7916">
        <v>0.10345459999999999</v>
      </c>
      <c r="V7916">
        <v>-0.104874</v>
      </c>
      <c r="W7916">
        <v>0.1121359</v>
      </c>
      <c r="X7916">
        <v>0.9881432</v>
      </c>
      <c r="Y7916">
        <v>-0.1189023</v>
      </c>
      <c r="Z7916">
        <v>-3.8520690000000001E-4</v>
      </c>
      <c r="AA7916">
        <v>0.99290590000000001</v>
      </c>
      <c r="AB7916">
        <v>20</v>
      </c>
      <c r="AC7916">
        <v>107.304</v>
      </c>
      <c r="AD7916">
        <v>0.104759</v>
      </c>
      <c r="AE7916">
        <v>3.7029100000000001</v>
      </c>
      <c r="AF7916">
        <v>-12.787030334002299</v>
      </c>
      <c r="AG7916">
        <v>0.104759</v>
      </c>
      <c r="AH7916">
        <v>106.60361093715601</v>
      </c>
      <c r="AI7916">
        <v>89.944096383226906</v>
      </c>
      <c r="AJ7916">
        <v>96.839910702891004</v>
      </c>
      <c r="AK7916">
        <v>107.367820989584</v>
      </c>
      <c r="AL7916">
        <v>83.5615444597954</v>
      </c>
      <c r="AM7916">
        <v>96.058259059220504</v>
      </c>
      <c r="AN7916">
        <v>0.99999999982552401</v>
      </c>
    </row>
    <row r="7917" spans="1:40" x14ac:dyDescent="0.25">
      <c r="A7917" t="str">
        <f>"20190303162110226"</f>
        <v>20190303162110226</v>
      </c>
      <c r="B7917" t="str">
        <f>"1551601270220488"</f>
        <v>1551601270220488</v>
      </c>
      <c r="C7917" t="s">
        <v>40</v>
      </c>
      <c r="D7917">
        <v>4.6661510000000002</v>
      </c>
      <c r="E7917">
        <v>0.49460730000000003</v>
      </c>
      <c r="F7917" t="s">
        <v>77</v>
      </c>
      <c r="G7917">
        <v>-279.68</v>
      </c>
      <c r="H7917">
        <v>1.1791799999999999</v>
      </c>
      <c r="I7917">
        <v>21.765339999999998</v>
      </c>
      <c r="J7917">
        <v>-386.87759999999997</v>
      </c>
      <c r="K7917">
        <v>1.1225210000000001</v>
      </c>
      <c r="L7917">
        <v>18.013179999999998</v>
      </c>
      <c r="M7917">
        <v>0.99647549999999996</v>
      </c>
      <c r="N7917">
        <v>-9.6710449999999996E-3</v>
      </c>
      <c r="O7917">
        <v>-8.3326780000000003E-2</v>
      </c>
      <c r="P7917">
        <v>0.99452320000000005</v>
      </c>
      <c r="Q7917">
        <v>0.1023519</v>
      </c>
      <c r="R7917">
        <v>2.1163709999999999E-2</v>
      </c>
      <c r="S7917">
        <v>3.0143430000000002</v>
      </c>
      <c r="T7917">
        <v>1.5916820000000001E-3</v>
      </c>
      <c r="U7917">
        <v>0.1051941</v>
      </c>
      <c r="V7917">
        <v>-0.1043579</v>
      </c>
      <c r="W7917">
        <v>0.1115483</v>
      </c>
      <c r="X7917">
        <v>0.98826429999999998</v>
      </c>
      <c r="Y7917">
        <v>-0.11803130000000001</v>
      </c>
      <c r="Z7917">
        <v>-3.1022619999999999E-4</v>
      </c>
      <c r="AA7917">
        <v>0.99300980000000005</v>
      </c>
      <c r="AB7917">
        <v>20</v>
      </c>
      <c r="AC7917">
        <v>107.197599999999</v>
      </c>
      <c r="AD7917">
        <v>5.6659000000000001E-2</v>
      </c>
      <c r="AE7917">
        <v>3.7521599999999999</v>
      </c>
      <c r="AF7917">
        <v>-12.6719534974597</v>
      </c>
      <c r="AG7917">
        <v>5.6659000000000001E-2</v>
      </c>
      <c r="AH7917">
        <v>106.51206187330099</v>
      </c>
      <c r="AI7917">
        <v>89.969734999946198</v>
      </c>
      <c r="AJ7917">
        <v>96.784702680474496</v>
      </c>
      <c r="AK7917">
        <v>107.263232005128</v>
      </c>
      <c r="AL7917">
        <v>83.595423768693905</v>
      </c>
      <c r="AM7917">
        <v>96.0279322946013</v>
      </c>
      <c r="AN7917">
        <v>0.99999996058989404</v>
      </c>
    </row>
    <row r="7918" spans="1:40" x14ac:dyDescent="0.25">
      <c r="A7918" t="str">
        <f>"20190303162110239"</f>
        <v>20190303162110239</v>
      </c>
      <c r="B7918" t="str">
        <f>"1551601270230248"</f>
        <v>1551601270230248</v>
      </c>
      <c r="C7918" t="s">
        <v>40</v>
      </c>
      <c r="D7918">
        <v>4.6222719999999997</v>
      </c>
      <c r="E7918">
        <v>0.49474299999999999</v>
      </c>
      <c r="F7918" t="s">
        <v>77</v>
      </c>
      <c r="G7918">
        <v>-279.68</v>
      </c>
      <c r="H7918">
        <v>1.179627</v>
      </c>
      <c r="I7918">
        <v>21.798950000000001</v>
      </c>
      <c r="J7918">
        <v>-386.75729999999999</v>
      </c>
      <c r="K7918">
        <v>1.122528</v>
      </c>
      <c r="L7918">
        <v>18.005040000000001</v>
      </c>
      <c r="M7918">
        <v>0.99661080000000002</v>
      </c>
      <c r="N7918">
        <v>-9.6806489999999995E-3</v>
      </c>
      <c r="O7918">
        <v>-8.1689479999999995E-2</v>
      </c>
      <c r="P7918">
        <v>0.99450709999999998</v>
      </c>
      <c r="Q7918">
        <v>0.1022478</v>
      </c>
      <c r="R7918">
        <v>2.2379920000000001E-2</v>
      </c>
      <c r="S7918">
        <v>3.0140989999999999</v>
      </c>
      <c r="T7918">
        <v>1.6057489999999901E-3</v>
      </c>
      <c r="U7918">
        <v>0.10644530000000001</v>
      </c>
      <c r="V7918">
        <v>-0.10394340000000001</v>
      </c>
      <c r="W7918">
        <v>0.1114545</v>
      </c>
      <c r="X7918">
        <v>0.98831860000000005</v>
      </c>
      <c r="Y7918">
        <v>-0.1168143</v>
      </c>
      <c r="Z7918">
        <v>-2.9993910000000002E-4</v>
      </c>
      <c r="AA7918">
        <v>0.99315379999999998</v>
      </c>
      <c r="AB7918">
        <v>20</v>
      </c>
      <c r="AC7918">
        <v>107.077299999999</v>
      </c>
      <c r="AD7918">
        <v>5.7098999999999997E-2</v>
      </c>
      <c r="AE7918">
        <v>3.7939099999999999</v>
      </c>
      <c r="AF7918">
        <v>-12.528724327782101</v>
      </c>
      <c r="AG7918">
        <v>5.7098999999999997E-2</v>
      </c>
      <c r="AH7918">
        <v>106.409428503811</v>
      </c>
      <c r="AI7918">
        <v>89.969466163807297</v>
      </c>
      <c r="AJ7918">
        <v>96.715130729273099</v>
      </c>
      <c r="AK7918">
        <v>107.144475676933</v>
      </c>
      <c r="AL7918">
        <v>83.600832060826605</v>
      </c>
      <c r="AM7918">
        <v>96.003837672400607</v>
      </c>
      <c r="AN7918">
        <v>0.99999999553988494</v>
      </c>
    </row>
    <row r="7919" spans="1:40" x14ac:dyDescent="0.25">
      <c r="A7919" t="str">
        <f>"20190303162110251"</f>
        <v>20190303162110251</v>
      </c>
      <c r="B7919" t="str">
        <f>"1551601270240984"</f>
        <v>1551601270240984</v>
      </c>
      <c r="C7919" t="s">
        <v>40</v>
      </c>
      <c r="D7919">
        <v>4.6134110000000002</v>
      </c>
      <c r="E7919">
        <v>0.49484820000000002</v>
      </c>
      <c r="F7919" t="s">
        <v>77</v>
      </c>
      <c r="G7919">
        <v>-279.68</v>
      </c>
      <c r="H7919">
        <v>1.2250129999999999</v>
      </c>
      <c r="I7919">
        <v>21.87585</v>
      </c>
      <c r="J7919">
        <v>-386.65190000000001</v>
      </c>
      <c r="K7919">
        <v>1.1225339999999999</v>
      </c>
      <c r="L7919">
        <v>17.997989999999898</v>
      </c>
      <c r="M7919">
        <v>0.99672729999999998</v>
      </c>
      <c r="N7919">
        <v>-9.6889449999999992E-3</v>
      </c>
      <c r="O7919">
        <v>-8.0257079999999995E-2</v>
      </c>
      <c r="P7919">
        <v>0.99447129999999995</v>
      </c>
      <c r="Q7919">
        <v>0.10235710000000001</v>
      </c>
      <c r="R7919">
        <v>2.3457479999999999E-2</v>
      </c>
      <c r="S7919">
        <v>3.0137939999999999</v>
      </c>
      <c r="T7919">
        <v>2.8846259999999999E-3</v>
      </c>
      <c r="U7919">
        <v>0.1089478</v>
      </c>
      <c r="V7919">
        <v>-0.1035942</v>
      </c>
      <c r="W7919">
        <v>0.11157250000000001</v>
      </c>
      <c r="X7919">
        <v>0.98834200000000005</v>
      </c>
      <c r="Y7919">
        <v>-0.116214</v>
      </c>
      <c r="Z7919">
        <v>-3.4688029999999998E-4</v>
      </c>
      <c r="AA7919">
        <v>0.99322410000000005</v>
      </c>
      <c r="AB7919">
        <v>20</v>
      </c>
      <c r="AC7919">
        <v>106.97190000000001</v>
      </c>
      <c r="AD7919">
        <v>0.102479</v>
      </c>
      <c r="AE7919">
        <v>3.8778600000000001</v>
      </c>
      <c r="AF7919">
        <v>-12.450991890716701</v>
      </c>
      <c r="AG7919">
        <v>0.102479</v>
      </c>
      <c r="AH7919">
        <v>106.31545976416</v>
      </c>
      <c r="AI7919">
        <v>89.945146683543697</v>
      </c>
      <c r="AJ7919">
        <v>96.679690283988194</v>
      </c>
      <c r="AK7919">
        <v>107.042116411593</v>
      </c>
      <c r="AL7919">
        <v>83.594029044005893</v>
      </c>
      <c r="AM7919">
        <v>95.983673599689894</v>
      </c>
      <c r="AN7919">
        <v>1.00000004499694</v>
      </c>
    </row>
    <row r="7920" spans="1:40" x14ac:dyDescent="0.25">
      <c r="A7920" t="str">
        <f>"20190303162110263"</f>
        <v>20190303162110263</v>
      </c>
      <c r="B7920" t="str">
        <f>"1551601270250744"</f>
        <v>1551601270250744</v>
      </c>
      <c r="C7920" t="s">
        <v>40</v>
      </c>
      <c r="D7920">
        <v>4.6241919999999999</v>
      </c>
      <c r="E7920">
        <v>0.49497449999999998</v>
      </c>
      <c r="F7920" t="s">
        <v>77</v>
      </c>
      <c r="G7920">
        <v>-279.68</v>
      </c>
      <c r="H7920">
        <v>1.256481</v>
      </c>
      <c r="I7920">
        <v>21.950759999999999</v>
      </c>
      <c r="J7920">
        <v>-386.5376</v>
      </c>
      <c r="K7920">
        <v>1.1225430000000001</v>
      </c>
      <c r="L7920">
        <v>17.99051</v>
      </c>
      <c r="M7920">
        <v>0.99685100000000004</v>
      </c>
      <c r="N7920">
        <v>-9.6978299999999993E-3</v>
      </c>
      <c r="O7920">
        <v>-7.8702729999999999E-2</v>
      </c>
      <c r="P7920">
        <v>0.99442209999999998</v>
      </c>
      <c r="Q7920">
        <v>0.1025684</v>
      </c>
      <c r="R7920">
        <v>2.458979E-2</v>
      </c>
      <c r="S7920">
        <v>3.0136409999999998</v>
      </c>
      <c r="T7920">
        <v>3.7736890000000002E-3</v>
      </c>
      <c r="U7920">
        <v>0.1113586</v>
      </c>
      <c r="V7920">
        <v>-0.1031783</v>
      </c>
      <c r="W7920">
        <v>0.1117933</v>
      </c>
      <c r="X7920">
        <v>0.98836049999999998</v>
      </c>
      <c r="Y7920">
        <v>-0.1154604</v>
      </c>
      <c r="Z7920">
        <v>-3.7399809999999999E-4</v>
      </c>
      <c r="AA7920">
        <v>0.99331199999999997</v>
      </c>
      <c r="AB7920">
        <v>20</v>
      </c>
      <c r="AC7920">
        <v>106.85760000000001</v>
      </c>
      <c r="AD7920">
        <v>0.133937999999999</v>
      </c>
      <c r="AE7920">
        <v>3.9602499999999998</v>
      </c>
      <c r="AF7920">
        <v>-12.3583252587209</v>
      </c>
      <c r="AG7920">
        <v>0.133937999999999</v>
      </c>
      <c r="AH7920">
        <v>106.21424657705199</v>
      </c>
      <c r="AI7920">
        <v>89.928233225196195</v>
      </c>
      <c r="AJ7920">
        <v>96.636682798701301</v>
      </c>
      <c r="AK7920">
        <v>106.930876357201</v>
      </c>
      <c r="AL7920">
        <v>83.581298143043895</v>
      </c>
      <c r="AM7920">
        <v>95.959713423101704</v>
      </c>
      <c r="AN7920">
        <v>0.99999999073801404</v>
      </c>
    </row>
    <row r="7921" spans="1:40" x14ac:dyDescent="0.25">
      <c r="A7921" t="str">
        <f>"20190303162110281"</f>
        <v>20190303162110281</v>
      </c>
      <c r="B7921" t="str">
        <f>"1551601270270264"</f>
        <v>1551601270270264</v>
      </c>
      <c r="C7921" t="s">
        <v>40</v>
      </c>
      <c r="D7921">
        <v>4.6113089999999897</v>
      </c>
      <c r="E7921">
        <v>0.4952067</v>
      </c>
      <c r="F7921" t="s">
        <v>77</v>
      </c>
      <c r="G7921">
        <v>-279.68</v>
      </c>
      <c r="H7921">
        <v>1.322716</v>
      </c>
      <c r="I7921">
        <v>22.027000000000001</v>
      </c>
      <c r="J7921">
        <v>-386.37950000000001</v>
      </c>
      <c r="K7921">
        <v>1.1225590000000001</v>
      </c>
      <c r="L7921">
        <v>17.980499999999999</v>
      </c>
      <c r="M7921">
        <v>0.99701830000000002</v>
      </c>
      <c r="N7921">
        <v>-9.7096249999999995E-3</v>
      </c>
      <c r="O7921">
        <v>-7.6551960000000002E-2</v>
      </c>
      <c r="P7921">
        <v>0.99429829999999997</v>
      </c>
      <c r="Q7921">
        <v>0.1035213</v>
      </c>
      <c r="R7921">
        <v>2.5570570000000001E-2</v>
      </c>
      <c r="S7921">
        <v>3.0134280000000002</v>
      </c>
      <c r="T7921">
        <v>5.6450370000000003E-3</v>
      </c>
      <c r="U7921">
        <v>0.1138306</v>
      </c>
      <c r="V7921">
        <v>-0.102018</v>
      </c>
      <c r="W7921">
        <v>0.1127599</v>
      </c>
      <c r="X7921">
        <v>0.98837109999999995</v>
      </c>
      <c r="Y7921">
        <v>-0.1141335</v>
      </c>
      <c r="Z7921">
        <v>-4.39176E-4</v>
      </c>
      <c r="AA7921">
        <v>0.9934653</v>
      </c>
      <c r="AB7921">
        <v>20</v>
      </c>
      <c r="AC7921">
        <v>106.6995</v>
      </c>
      <c r="AD7921">
        <v>0.200156999999999</v>
      </c>
      <c r="AE7921">
        <v>4.0464999999999902</v>
      </c>
      <c r="AF7921">
        <v>-12.203022956581201</v>
      </c>
      <c r="AG7921">
        <v>0.200156999999999</v>
      </c>
      <c r="AH7921">
        <v>106.076215844996</v>
      </c>
      <c r="AI7921">
        <v>89.892596122397507</v>
      </c>
      <c r="AJ7921">
        <v>96.562466349592896</v>
      </c>
      <c r="AK7921">
        <v>106.77601509748099</v>
      </c>
      <c r="AL7921">
        <v>83.525563360874699</v>
      </c>
      <c r="AM7921">
        <v>95.893104555207202</v>
      </c>
      <c r="AN7921">
        <v>0.99999994934360803</v>
      </c>
    </row>
    <row r="7922" spans="1:40" x14ac:dyDescent="0.25">
      <c r="A7922" t="str">
        <f>"20190303162110295"</f>
        <v>20190303162110295</v>
      </c>
      <c r="B7922" t="str">
        <f>"1551601270290760"</f>
        <v>1551601270290760</v>
      </c>
      <c r="C7922" t="s">
        <v>40</v>
      </c>
      <c r="D7922">
        <v>4.638795</v>
      </c>
      <c r="E7922">
        <v>0.49544270000000001</v>
      </c>
      <c r="F7922" t="s">
        <v>69</v>
      </c>
      <c r="G7922">
        <v>-273.40989999999999</v>
      </c>
      <c r="H7922">
        <v>1.5099959999999999</v>
      </c>
      <c r="I7922">
        <v>22.300879999999999</v>
      </c>
      <c r="J7922">
        <v>-386.2482</v>
      </c>
      <c r="K7922">
        <v>1.1225719999999999</v>
      </c>
      <c r="L7922">
        <v>17.972439999999999</v>
      </c>
      <c r="M7922">
        <v>0.99715390000000004</v>
      </c>
      <c r="N7922">
        <v>-9.7190980000000007E-3</v>
      </c>
      <c r="O7922">
        <v>-7.4765010000000007E-2</v>
      </c>
      <c r="P7922">
        <v>0.99425969999999997</v>
      </c>
      <c r="Q7922">
        <v>0.103599</v>
      </c>
      <c r="R7922">
        <v>2.6739599999999902E-2</v>
      </c>
      <c r="S7922">
        <v>3.013153</v>
      </c>
      <c r="T7922">
        <v>1.03339E-2</v>
      </c>
      <c r="U7922">
        <v>0.1152344</v>
      </c>
      <c r="V7922">
        <v>-0.10141</v>
      </c>
      <c r="W7922">
        <v>0.1128475</v>
      </c>
      <c r="X7922">
        <v>0.98842370000000002</v>
      </c>
      <c r="Y7922">
        <v>-0.1128176</v>
      </c>
      <c r="Z7922">
        <v>-6.2780799999999999E-4</v>
      </c>
      <c r="AA7922">
        <v>0.99361549999999998</v>
      </c>
      <c r="AB7922">
        <v>20</v>
      </c>
      <c r="AC7922">
        <v>112.8383</v>
      </c>
      <c r="AD7922">
        <v>0.38742399999999999</v>
      </c>
      <c r="AE7922">
        <v>4.3284399999999996</v>
      </c>
      <c r="AF7922">
        <v>-12.7529286144651</v>
      </c>
      <c r="AG7922">
        <v>0.38742399999999999</v>
      </c>
      <c r="AH7922">
        <v>112.197504259528</v>
      </c>
      <c r="AI7922">
        <v>89.803421173984503</v>
      </c>
      <c r="AJ7922">
        <v>96.484693156764607</v>
      </c>
      <c r="AK7922">
        <v>112.920623659578</v>
      </c>
      <c r="AL7922">
        <v>83.520512199013794</v>
      </c>
      <c r="AM7922">
        <v>95.857918631909399</v>
      </c>
      <c r="AN7922">
        <v>0.99999997853896905</v>
      </c>
    </row>
    <row r="7923" spans="1:40" x14ac:dyDescent="0.25">
      <c r="A7923" t="str">
        <f>"20190303162110315"</f>
        <v>20190303162110315</v>
      </c>
      <c r="B7923" t="str">
        <f>"1551601270300520"</f>
        <v>1551601270300520</v>
      </c>
      <c r="C7923" t="s">
        <v>40</v>
      </c>
      <c r="D7923">
        <v>4.5730969999999997</v>
      </c>
      <c r="E7923">
        <v>0.49554290000000001</v>
      </c>
      <c r="F7923" t="s">
        <v>79</v>
      </c>
      <c r="G7923">
        <v>-276.7568</v>
      </c>
      <c r="H7923">
        <v>1.50742</v>
      </c>
      <c r="I7923">
        <v>22.229890000000001</v>
      </c>
      <c r="J7923">
        <v>-386.07060000000001</v>
      </c>
      <c r="K7923">
        <v>1.122584</v>
      </c>
      <c r="L7923">
        <v>17.96191</v>
      </c>
      <c r="M7923">
        <v>0.99733229999999995</v>
      </c>
      <c r="N7923">
        <v>-9.7314370000000008E-3</v>
      </c>
      <c r="O7923">
        <v>-7.2344359999999996E-2</v>
      </c>
      <c r="P7923">
        <v>0.99423220000000001</v>
      </c>
      <c r="Q7923">
        <v>0.10345799999999999</v>
      </c>
      <c r="R7923">
        <v>2.827168E-2</v>
      </c>
      <c r="S7923">
        <v>3.0129999999999999</v>
      </c>
      <c r="T7923">
        <v>1.059043E-2</v>
      </c>
      <c r="U7923">
        <v>0.117157</v>
      </c>
      <c r="V7923">
        <v>-0.10053620000000001</v>
      </c>
      <c r="W7923">
        <v>0.1127201</v>
      </c>
      <c r="X7923">
        <v>0.9885275</v>
      </c>
      <c r="Y7923">
        <v>-0.11104070000000001</v>
      </c>
      <c r="Z7923">
        <v>-6.1264960000000004E-4</v>
      </c>
      <c r="AA7923">
        <v>0.99381569999999997</v>
      </c>
      <c r="AB7923">
        <v>20</v>
      </c>
      <c r="AC7923">
        <v>109.3138</v>
      </c>
      <c r="AD7923">
        <v>0.38483600000000001</v>
      </c>
      <c r="AE7923">
        <v>4.2679799999999997</v>
      </c>
      <c r="AF7923">
        <v>-12.165255963870701</v>
      </c>
      <c r="AG7923">
        <v>0.38483600000000001</v>
      </c>
      <c r="AH7923">
        <v>108.71721519179</v>
      </c>
      <c r="AI7923">
        <v>89.798443804825993</v>
      </c>
      <c r="AJ7923">
        <v>96.384732339133805</v>
      </c>
      <c r="AK7923">
        <v>109.396409586747</v>
      </c>
      <c r="AL7923">
        <v>83.527858585831197</v>
      </c>
      <c r="AM7923">
        <v>95.807184677949294</v>
      </c>
      <c r="AN7923">
        <v>0.99999998335534901</v>
      </c>
    </row>
    <row r="7924" spans="1:40" x14ac:dyDescent="0.25">
      <c r="A7924" t="str">
        <f>"20190303162110328"</f>
        <v>20190303162110328</v>
      </c>
      <c r="B7924" t="str">
        <f>"1551601270321017"</f>
        <v>1551601270321017</v>
      </c>
      <c r="C7924" t="s">
        <v>40</v>
      </c>
      <c r="D7924">
        <v>4.6070820000000001</v>
      </c>
      <c r="E7924">
        <v>0.49576870000000001</v>
      </c>
      <c r="F7924" t="s">
        <v>79</v>
      </c>
      <c r="G7924">
        <v>-276.4665</v>
      </c>
      <c r="H7924">
        <v>1.5071730000000001</v>
      </c>
      <c r="I7924">
        <v>22.383870000000002</v>
      </c>
      <c r="J7924">
        <v>-385.94900000000001</v>
      </c>
      <c r="K7924">
        <v>1.122593</v>
      </c>
      <c r="L7924">
        <v>17.954929999999901</v>
      </c>
      <c r="M7924">
        <v>0.99745119999999998</v>
      </c>
      <c r="N7924">
        <v>-9.7395180000000008E-3</v>
      </c>
      <c r="O7924">
        <v>-7.0685200000000004E-2</v>
      </c>
      <c r="P7924">
        <v>0.99421700000000002</v>
      </c>
      <c r="Q7924">
        <v>0.10327160000000001</v>
      </c>
      <c r="R7924">
        <v>2.945685E-2</v>
      </c>
      <c r="S7924">
        <v>3.0128170000000001</v>
      </c>
      <c r="T7924">
        <v>1.057172E-2</v>
      </c>
      <c r="U7924">
        <v>0.12155150000000001</v>
      </c>
      <c r="V7924">
        <v>-0.10007240000000001</v>
      </c>
      <c r="W7924">
        <v>0.1125429</v>
      </c>
      <c r="X7924">
        <v>0.9885948</v>
      </c>
      <c r="Y7924">
        <v>-0.1108373</v>
      </c>
      <c r="Z7924">
        <v>-5.9061319999999999E-4</v>
      </c>
      <c r="AA7924">
        <v>0.99383840000000001</v>
      </c>
      <c r="AB7924">
        <v>20</v>
      </c>
      <c r="AC7924">
        <v>109.4825</v>
      </c>
      <c r="AD7924">
        <v>0.38457999999999898</v>
      </c>
      <c r="AE7924">
        <v>4.4289399999999999</v>
      </c>
      <c r="AF7924">
        <v>-12.156869852509899</v>
      </c>
      <c r="AG7924">
        <v>0.38457999999999898</v>
      </c>
      <c r="AH7924">
        <v>108.89420569100901</v>
      </c>
      <c r="AI7924">
        <v>89.798899513116496</v>
      </c>
      <c r="AJ7924">
        <v>96.370082361125796</v>
      </c>
      <c r="AK7924">
        <v>109.57137134974199</v>
      </c>
      <c r="AL7924">
        <v>83.538076745166094</v>
      </c>
      <c r="AM7924">
        <v>95.780185587672904</v>
      </c>
      <c r="AN7924">
        <v>1.0000000340846</v>
      </c>
    </row>
    <row r="7925" spans="1:40" x14ac:dyDescent="0.25">
      <c r="A7925" t="str">
        <f>"20190303162110341"</f>
        <v>20190303162110341</v>
      </c>
      <c r="B7925" t="str">
        <f>"1551601270330776"</f>
        <v>1551601270330776</v>
      </c>
      <c r="C7925" t="s">
        <v>40</v>
      </c>
      <c r="D7925">
        <v>4.5978159999999999</v>
      </c>
      <c r="E7925">
        <v>0.4959075</v>
      </c>
      <c r="F7925" t="s">
        <v>79</v>
      </c>
      <c r="G7925">
        <v>-276.40859999999998</v>
      </c>
      <c r="H7925">
        <v>1.524438</v>
      </c>
      <c r="I7925">
        <v>22.448920000000001</v>
      </c>
      <c r="J7925">
        <v>-385.83089999999999</v>
      </c>
      <c r="K7925">
        <v>1.1225989999999999</v>
      </c>
      <c r="L7925">
        <v>17.94839</v>
      </c>
      <c r="M7925">
        <v>0.99756400000000001</v>
      </c>
      <c r="N7925">
        <v>-9.7469610000000002E-3</v>
      </c>
      <c r="O7925">
        <v>-6.9073270000000006E-2</v>
      </c>
      <c r="P7925">
        <v>0.99416179999999998</v>
      </c>
      <c r="Q7925">
        <v>0.103345699999999</v>
      </c>
      <c r="R7925">
        <v>3.101694E-2</v>
      </c>
      <c r="S7925">
        <v>3.0126339999999998</v>
      </c>
      <c r="T7925">
        <v>1.1051770000000001E-2</v>
      </c>
      <c r="U7925">
        <v>0.1235962</v>
      </c>
      <c r="V7925">
        <v>-0.1000277</v>
      </c>
      <c r="W7925">
        <v>0.1126225</v>
      </c>
      <c r="X7925">
        <v>0.98859019999999997</v>
      </c>
      <c r="Y7925">
        <v>-0.10990709999999999</v>
      </c>
      <c r="Z7925">
        <v>-5.9201290000000003E-4</v>
      </c>
      <c r="AA7925">
        <v>0.99394170000000004</v>
      </c>
      <c r="AB7925">
        <v>20</v>
      </c>
      <c r="AC7925">
        <v>109.42230000000001</v>
      </c>
      <c r="AD7925">
        <v>0.401839</v>
      </c>
      <c r="AE7925">
        <v>4.5005300000000004</v>
      </c>
      <c r="AF7925">
        <v>-12.0481325726472</v>
      </c>
      <c r="AG7925">
        <v>0.401839</v>
      </c>
      <c r="AH7925">
        <v>108.848583208238</v>
      </c>
      <c r="AI7925">
        <v>89.789764648896906</v>
      </c>
      <c r="AJ7925">
        <v>96.316192102451396</v>
      </c>
      <c r="AK7925">
        <v>109.514076901149</v>
      </c>
      <c r="AL7925">
        <v>83.533486442347098</v>
      </c>
      <c r="AM7925">
        <v>95.777647886573504</v>
      </c>
      <c r="AN7925">
        <v>0.99999997590478895</v>
      </c>
    </row>
    <row r="7926" spans="1:40" x14ac:dyDescent="0.25">
      <c r="A7926" t="str">
        <f>"20190303162110360"</f>
        <v>20190303162110360</v>
      </c>
      <c r="B7926" t="str">
        <f>"1551601270350296"</f>
        <v>1551601270350296</v>
      </c>
      <c r="C7926" t="s">
        <v>40</v>
      </c>
      <c r="D7926">
        <v>4.5805870000000004</v>
      </c>
      <c r="E7926">
        <v>0.4959749</v>
      </c>
      <c r="F7926" t="s">
        <v>79</v>
      </c>
      <c r="G7926">
        <v>-276.25130000000001</v>
      </c>
      <c r="H7926">
        <v>1.5314129999999999</v>
      </c>
      <c r="I7926">
        <v>22.585260000000002</v>
      </c>
      <c r="J7926">
        <v>-385.66329999999999</v>
      </c>
      <c r="K7926">
        <v>1.1226100000000001</v>
      </c>
      <c r="L7926">
        <v>17.93939</v>
      </c>
      <c r="M7926">
        <v>0.99771920000000003</v>
      </c>
      <c r="N7926">
        <v>-9.7568849999999999E-3</v>
      </c>
      <c r="O7926">
        <v>-6.6792110000000002E-2</v>
      </c>
      <c r="P7926">
        <v>0.99404619999999999</v>
      </c>
      <c r="Q7926">
        <v>0.1040039</v>
      </c>
      <c r="R7926">
        <v>3.2489369999999997E-2</v>
      </c>
      <c r="S7926">
        <v>3.012451</v>
      </c>
      <c r="T7926">
        <v>1.1238690000000001E-2</v>
      </c>
      <c r="U7926">
        <v>0.1274719</v>
      </c>
      <c r="V7926">
        <v>-9.9229990000000004E-2</v>
      </c>
      <c r="W7926">
        <v>0.1132929</v>
      </c>
      <c r="X7926">
        <v>0.98859399999999997</v>
      </c>
      <c r="Y7926">
        <v>-0.1089135</v>
      </c>
      <c r="Z7926">
        <v>-5.7205129999999996E-4</v>
      </c>
      <c r="AA7926">
        <v>0.99405100000000002</v>
      </c>
      <c r="AB7926">
        <v>20</v>
      </c>
      <c r="AC7926">
        <v>109.411999999999</v>
      </c>
      <c r="AD7926">
        <v>0.40880299999999897</v>
      </c>
      <c r="AE7926">
        <v>4.6458700000000004</v>
      </c>
      <c r="AF7926">
        <v>-11.943534207763401</v>
      </c>
      <c r="AG7926">
        <v>0.40880299999999897</v>
      </c>
      <c r="AH7926">
        <v>108.855811098377</v>
      </c>
      <c r="AI7926">
        <v>89.7861128897909</v>
      </c>
      <c r="AJ7926">
        <v>96.261381775392607</v>
      </c>
      <c r="AK7926">
        <v>109.509829417959</v>
      </c>
      <c r="AL7926">
        <v>83.494827983718295</v>
      </c>
      <c r="AM7926">
        <v>95.731857915140907</v>
      </c>
      <c r="AN7926">
        <v>0.99999998447090399</v>
      </c>
    </row>
    <row r="7927" spans="1:40" x14ac:dyDescent="0.25">
      <c r="A7927" t="str">
        <f>"20190303162110374"</f>
        <v>20190303162110374</v>
      </c>
      <c r="B7927" t="str">
        <f>"1551601270361033"</f>
        <v>1551601270361033</v>
      </c>
      <c r="C7927" t="s">
        <v>40</v>
      </c>
      <c r="D7927">
        <v>4.5529890000000002</v>
      </c>
      <c r="E7927">
        <v>0.49607030000000002</v>
      </c>
      <c r="F7927" t="s">
        <v>79</v>
      </c>
      <c r="G7927">
        <v>-276.1583</v>
      </c>
      <c r="H7927">
        <v>1.628098</v>
      </c>
      <c r="I7927">
        <v>22.724399999999999</v>
      </c>
      <c r="J7927">
        <v>-385.54050000000001</v>
      </c>
      <c r="K7927">
        <v>1.1226149999999999</v>
      </c>
      <c r="L7927">
        <v>17.933039999999998</v>
      </c>
      <c r="M7927">
        <v>0.99782930000000003</v>
      </c>
      <c r="N7927">
        <v>-9.7637000000000002E-3</v>
      </c>
      <c r="O7927">
        <v>-6.512751E-2</v>
      </c>
      <c r="P7927">
        <v>0.99396689999999999</v>
      </c>
      <c r="Q7927">
        <v>0.10441250000000001</v>
      </c>
      <c r="R7927">
        <v>3.3586249999999998E-2</v>
      </c>
      <c r="S7927">
        <v>3.0121769999999999</v>
      </c>
      <c r="T7927">
        <v>1.390445E-2</v>
      </c>
      <c r="U7927">
        <v>0.1316223</v>
      </c>
      <c r="V7927">
        <v>-9.8669469999999995E-2</v>
      </c>
      <c r="W7927">
        <v>0.1137098</v>
      </c>
      <c r="X7927">
        <v>0.98860230000000004</v>
      </c>
      <c r="Y7927">
        <v>-0.1086255</v>
      </c>
      <c r="Z7927">
        <v>-6.5617009999999903E-4</v>
      </c>
      <c r="AA7927">
        <v>0.99408249999999998</v>
      </c>
      <c r="AB7927">
        <v>21</v>
      </c>
      <c r="AC7927">
        <v>109.3822</v>
      </c>
      <c r="AD7927">
        <v>0.50548300000000002</v>
      </c>
      <c r="AE7927">
        <v>4.7913600000000001</v>
      </c>
      <c r="AF7927">
        <v>-11.9050620460881</v>
      </c>
      <c r="AG7927">
        <v>0.50548300000000002</v>
      </c>
      <c r="AH7927">
        <v>108.83556999152501</v>
      </c>
      <c r="AI7927">
        <v>89.735471514119794</v>
      </c>
      <c r="AJ7927">
        <v>96.242523825353999</v>
      </c>
      <c r="AK7927">
        <v>109.485922888582</v>
      </c>
      <c r="AL7927">
        <v>83.470786408185404</v>
      </c>
      <c r="AM7927">
        <v>95.699646638346294</v>
      </c>
      <c r="AN7927">
        <v>1.0000000452457001</v>
      </c>
    </row>
    <row r="7928" spans="1:40" x14ac:dyDescent="0.25">
      <c r="A7928" t="str">
        <f>"20190303162110388"</f>
        <v>20190303162110388</v>
      </c>
      <c r="B7928" t="str">
        <f>"1551601270380552"</f>
        <v>1551601270380552</v>
      </c>
      <c r="C7928" t="s">
        <v>40</v>
      </c>
      <c r="D7928">
        <v>4.5520860000000001</v>
      </c>
      <c r="E7928">
        <v>0.49616090000000002</v>
      </c>
      <c r="F7928" t="s">
        <v>79</v>
      </c>
      <c r="G7928">
        <v>-276.07119999999998</v>
      </c>
      <c r="H7928">
        <v>1.697263</v>
      </c>
      <c r="I7928">
        <v>22.819939999999999</v>
      </c>
      <c r="J7928">
        <v>-385.40629999999999</v>
      </c>
      <c r="K7928">
        <v>1.122614</v>
      </c>
      <c r="L7928">
        <v>17.92633</v>
      </c>
      <c r="M7928">
        <v>0.99794570000000005</v>
      </c>
      <c r="N7928">
        <v>-9.7707929999999998E-3</v>
      </c>
      <c r="O7928">
        <v>-6.3315730000000001E-2</v>
      </c>
      <c r="P7928">
        <v>0.99390809999999996</v>
      </c>
      <c r="Q7928">
        <v>0.1045638</v>
      </c>
      <c r="R7928">
        <v>3.4834650000000002E-2</v>
      </c>
      <c r="S7928">
        <v>3.0119929999999999</v>
      </c>
      <c r="T7928">
        <v>1.581132E-2</v>
      </c>
      <c r="U7928">
        <v>0.13446040000000001</v>
      </c>
      <c r="V7928">
        <v>-9.8114670000000001E-2</v>
      </c>
      <c r="W7928">
        <v>0.113870899999999</v>
      </c>
      <c r="X7928">
        <v>0.98863889999999999</v>
      </c>
      <c r="Y7928">
        <v>-0.1077577</v>
      </c>
      <c r="Z7928">
        <v>-7.0656899999999999E-4</v>
      </c>
      <c r="AA7928">
        <v>0.99417690000000003</v>
      </c>
      <c r="AB7928">
        <v>21</v>
      </c>
      <c r="AC7928">
        <v>109.3351</v>
      </c>
      <c r="AD7928">
        <v>0.57464899999999997</v>
      </c>
      <c r="AE7928">
        <v>4.89360999999999</v>
      </c>
      <c r="AF7928">
        <v>-11.8064270149364</v>
      </c>
      <c r="AG7928">
        <v>0.57464899999999997</v>
      </c>
      <c r="AH7928">
        <v>108.802846361421</v>
      </c>
      <c r="AI7928">
        <v>89.699157566230198</v>
      </c>
      <c r="AJ7928">
        <v>96.193054603319894</v>
      </c>
      <c r="AK7928">
        <v>109.443050563657</v>
      </c>
      <c r="AL7928">
        <v>83.461495235495207</v>
      </c>
      <c r="AM7928">
        <v>95.667599377079895</v>
      </c>
      <c r="AN7928">
        <v>0.99999997246461403</v>
      </c>
    </row>
    <row r="7929" spans="1:40" x14ac:dyDescent="0.25">
      <c r="A7929" t="str">
        <f>"20190303162110403"</f>
        <v>20190303162110403</v>
      </c>
      <c r="B7929" t="str">
        <f>"1551601270392264"</f>
        <v>1551601270392264</v>
      </c>
      <c r="C7929" t="s">
        <v>40</v>
      </c>
      <c r="D7929">
        <v>4.5749630000000003</v>
      </c>
      <c r="E7929">
        <v>0.49630279999999999</v>
      </c>
      <c r="F7929" t="s">
        <v>79</v>
      </c>
      <c r="G7929">
        <v>-275.96510000000001</v>
      </c>
      <c r="H7929">
        <v>1.7449429999999999</v>
      </c>
      <c r="I7929">
        <v>22.93102</v>
      </c>
      <c r="J7929">
        <v>-385.25560000000002</v>
      </c>
      <c r="K7929">
        <v>1.122606</v>
      </c>
      <c r="L7929">
        <v>17.91901</v>
      </c>
      <c r="M7929">
        <v>0.99807170000000001</v>
      </c>
      <c r="N7929">
        <v>-9.7782089999999995E-3</v>
      </c>
      <c r="O7929">
        <v>-6.1297030000000002E-2</v>
      </c>
      <c r="P7929">
        <v>0.99389780000000005</v>
      </c>
      <c r="Q7929">
        <v>0.1046102</v>
      </c>
      <c r="R7929">
        <v>3.4986719999999999E-2</v>
      </c>
      <c r="S7929">
        <v>3.011749</v>
      </c>
      <c r="T7929">
        <v>1.7125959999999999E-2</v>
      </c>
      <c r="U7929">
        <v>0.13772579999999901</v>
      </c>
      <c r="V7929">
        <v>-9.6262050000000002E-2</v>
      </c>
      <c r="W7929">
        <v>0.1139353</v>
      </c>
      <c r="X7929">
        <v>0.98881359999999996</v>
      </c>
      <c r="Y7929">
        <v>-0.1068258</v>
      </c>
      <c r="Z7929">
        <v>-7.2846759999999999E-4</v>
      </c>
      <c r="AA7929">
        <v>0.99427750000000004</v>
      </c>
      <c r="AB7929">
        <v>21</v>
      </c>
      <c r="AC7929">
        <v>109.29049999999999</v>
      </c>
      <c r="AD7929">
        <v>0.62233700000000003</v>
      </c>
      <c r="AE7929">
        <v>5.0120100000000001</v>
      </c>
      <c r="AF7929">
        <v>-11.701708875473001</v>
      </c>
      <c r="AG7929">
        <v>0.62233700000000003</v>
      </c>
      <c r="AH7929">
        <v>108.77421144184601</v>
      </c>
      <c r="AI7929">
        <v>89.674073999276999</v>
      </c>
      <c r="AJ7929">
        <v>96.1401496299857</v>
      </c>
      <c r="AK7929">
        <v>109.40359394802</v>
      </c>
      <c r="AL7929">
        <v>83.457781299531703</v>
      </c>
      <c r="AM7929">
        <v>95.560283561297695</v>
      </c>
      <c r="AN7929">
        <v>0.99999998520062605</v>
      </c>
    </row>
    <row r="7930" spans="1:40" x14ac:dyDescent="0.25">
      <c r="A7930" t="str">
        <f>"20190303162110419"</f>
        <v>20190303162110419</v>
      </c>
      <c r="B7930" t="str">
        <f>"1551601270410808"</f>
        <v>1551601270410808</v>
      </c>
      <c r="C7930" t="s">
        <v>40</v>
      </c>
      <c r="D7930">
        <v>4.5650649999999997</v>
      </c>
      <c r="E7930">
        <v>0.4965292</v>
      </c>
      <c r="F7930" t="s">
        <v>79</v>
      </c>
      <c r="G7930">
        <v>-275.98509999999999</v>
      </c>
      <c r="H7930">
        <v>1.7449969999999999</v>
      </c>
      <c r="I7930">
        <v>22.911359999999998</v>
      </c>
      <c r="J7930">
        <v>-385.12290000000002</v>
      </c>
      <c r="K7930">
        <v>1.122595</v>
      </c>
      <c r="L7930">
        <v>17.9129</v>
      </c>
      <c r="M7930">
        <v>0.99817820000000002</v>
      </c>
      <c r="N7930">
        <v>-9.7842190000000002E-3</v>
      </c>
      <c r="O7930">
        <v>-5.9535959999999999E-2</v>
      </c>
      <c r="P7930">
        <v>0.99389590000000005</v>
      </c>
      <c r="Q7930">
        <v>0.10434359999999999</v>
      </c>
      <c r="R7930">
        <v>3.5824199999999903E-2</v>
      </c>
      <c r="S7930">
        <v>3.0118100000000001</v>
      </c>
      <c r="T7930">
        <v>1.7155050000000002E-2</v>
      </c>
      <c r="U7930">
        <v>0.137603799999999</v>
      </c>
      <c r="V7930">
        <v>-9.5347260000000003E-2</v>
      </c>
      <c r="W7930">
        <v>0.1136809</v>
      </c>
      <c r="X7930">
        <v>0.98893149999999996</v>
      </c>
      <c r="Y7930">
        <v>-0.10503029999999999</v>
      </c>
      <c r="Z7930">
        <v>-7.0603560000000003E-4</v>
      </c>
      <c r="AA7930">
        <v>0.99446869999999998</v>
      </c>
      <c r="AB7930">
        <v>21</v>
      </c>
      <c r="AC7930">
        <v>109.1378</v>
      </c>
      <c r="AD7930">
        <v>0.62240200000000001</v>
      </c>
      <c r="AE7930">
        <v>4.9984599999999997</v>
      </c>
      <c r="AF7930">
        <v>-11.4871546667937</v>
      </c>
      <c r="AG7930">
        <v>0.62240200000000001</v>
      </c>
      <c r="AH7930">
        <v>108.643060238975</v>
      </c>
      <c r="AI7930">
        <v>89.673582974613396</v>
      </c>
      <c r="AJ7930">
        <v>96.035628555302694</v>
      </c>
      <c r="AK7930">
        <v>109.250430867242</v>
      </c>
      <c r="AL7930">
        <v>83.472452631308798</v>
      </c>
      <c r="AM7930">
        <v>95.507117374143306</v>
      </c>
      <c r="AN7930">
        <v>0.999999979353283</v>
      </c>
    </row>
    <row r="7931" spans="1:40" x14ac:dyDescent="0.25">
      <c r="A7931" t="str">
        <f>"20190303162110438"</f>
        <v>20190303162110438</v>
      </c>
      <c r="B7931" t="str">
        <f>"1551601270430689"</f>
        <v>1551601270430689</v>
      </c>
      <c r="C7931" t="s">
        <v>40</v>
      </c>
      <c r="D7931">
        <v>4.5552149999999996</v>
      </c>
      <c r="E7931">
        <v>0.4967318</v>
      </c>
      <c r="F7931" t="s">
        <v>79</v>
      </c>
      <c r="G7931">
        <v>-275.9658</v>
      </c>
      <c r="H7931">
        <v>1.7756339999999999</v>
      </c>
      <c r="I7931">
        <v>22.934830000000002</v>
      </c>
      <c r="J7931">
        <v>-384.94580000000002</v>
      </c>
      <c r="K7931">
        <v>1.1225769999999999</v>
      </c>
      <c r="L7931">
        <v>17.905000000000001</v>
      </c>
      <c r="M7931">
        <v>0.99831369999999997</v>
      </c>
      <c r="N7931">
        <v>-9.7915720000000001E-3</v>
      </c>
      <c r="O7931">
        <v>-5.7216000000000003E-2</v>
      </c>
      <c r="P7931">
        <v>0.99387510000000001</v>
      </c>
      <c r="Q7931">
        <v>0.104307399999999</v>
      </c>
      <c r="R7931">
        <v>3.6495220000000002E-2</v>
      </c>
      <c r="S7931">
        <v>3.011536</v>
      </c>
      <c r="T7931">
        <v>1.8016819999999999E-2</v>
      </c>
      <c r="U7931">
        <v>0.138549799999999</v>
      </c>
      <c r="V7931">
        <v>-9.3709589999999995E-2</v>
      </c>
      <c r="W7931">
        <v>0.1136643</v>
      </c>
      <c r="X7931">
        <v>0.98909000000000002</v>
      </c>
      <c r="Y7931">
        <v>-0.1030348</v>
      </c>
      <c r="Z7931">
        <v>-7.0540320000000002E-4</v>
      </c>
      <c r="AA7931">
        <v>0.99467749999999999</v>
      </c>
      <c r="AB7931">
        <v>21</v>
      </c>
      <c r="AC7931">
        <v>108.98</v>
      </c>
      <c r="AD7931">
        <v>0.653057</v>
      </c>
      <c r="AE7931">
        <v>5.0298299999999898</v>
      </c>
      <c r="AF7931">
        <v>-11.2568853539517</v>
      </c>
      <c r="AG7931">
        <v>0.653057</v>
      </c>
      <c r="AH7931">
        <v>108.509765463348</v>
      </c>
      <c r="AI7931">
        <v>89.657014922947099</v>
      </c>
      <c r="AJ7931">
        <v>95.922721189444502</v>
      </c>
      <c r="AK7931">
        <v>109.094056447765</v>
      </c>
      <c r="AL7931">
        <v>83.4734103715722</v>
      </c>
      <c r="AM7931">
        <v>95.412232391860599</v>
      </c>
      <c r="AN7931">
        <v>1.00000004422622</v>
      </c>
    </row>
    <row r="7932" spans="1:40" x14ac:dyDescent="0.25">
      <c r="A7932" t="str">
        <f>"20190303162110453"</f>
        <v>20190303162110453</v>
      </c>
      <c r="B7932" t="str">
        <f>"1551601270440449"</f>
        <v>1551601270440449</v>
      </c>
      <c r="C7932" t="s">
        <v>40</v>
      </c>
      <c r="D7932">
        <v>4.5555870000000001</v>
      </c>
      <c r="E7932">
        <v>0.49681439999999999</v>
      </c>
      <c r="F7932" t="s">
        <v>79</v>
      </c>
      <c r="G7932">
        <v>-275.9563</v>
      </c>
      <c r="H7932">
        <v>1.7800020000000001</v>
      </c>
      <c r="I7932">
        <v>22.944769999999998</v>
      </c>
      <c r="J7932">
        <v>-384.81180000000001</v>
      </c>
      <c r="K7932">
        <v>1.1225590000000001</v>
      </c>
      <c r="L7932">
        <v>17.899290000000001</v>
      </c>
      <c r="M7932">
        <v>0.99841150000000001</v>
      </c>
      <c r="N7932">
        <v>-9.7967590000000004E-3</v>
      </c>
      <c r="O7932">
        <v>-5.548753E-2</v>
      </c>
      <c r="P7932">
        <v>0.99382749999999997</v>
      </c>
      <c r="Q7932">
        <v>0.1045312</v>
      </c>
      <c r="R7932">
        <v>3.7152879999999999E-2</v>
      </c>
      <c r="S7932">
        <v>3.011444</v>
      </c>
      <c r="T7932">
        <v>1.816487E-2</v>
      </c>
      <c r="U7932">
        <v>0.13925170000000001</v>
      </c>
      <c r="V7932">
        <v>-9.2644850000000001E-2</v>
      </c>
      <c r="W7932">
        <v>0.11390169999999999</v>
      </c>
      <c r="X7932">
        <v>0.98916289999999996</v>
      </c>
      <c r="Y7932">
        <v>-0.1015455</v>
      </c>
      <c r="Z7932">
        <v>-6.8624639999999998E-4</v>
      </c>
      <c r="AA7932">
        <v>0.99483069999999896</v>
      </c>
      <c r="AB7932">
        <v>21</v>
      </c>
      <c r="AC7932">
        <v>108.85550000000001</v>
      </c>
      <c r="AD7932">
        <v>0.657443</v>
      </c>
      <c r="AE7932">
        <v>5.0454800000000004</v>
      </c>
      <c r="AF7932">
        <v>-11.077714470639</v>
      </c>
      <c r="AG7932">
        <v>0.657443</v>
      </c>
      <c r="AH7932">
        <v>108.40385867387801</v>
      </c>
      <c r="AI7932">
        <v>89.654319491657006</v>
      </c>
      <c r="AJ7932">
        <v>95.834761739695097</v>
      </c>
      <c r="AK7932">
        <v>108.970383887447</v>
      </c>
      <c r="AL7932">
        <v>83.459718848138905</v>
      </c>
      <c r="AM7932">
        <v>95.350704853949495</v>
      </c>
      <c r="AN7932">
        <v>0.99999995411540998</v>
      </c>
    </row>
    <row r="7933" spans="1:40" x14ac:dyDescent="0.25">
      <c r="A7933" t="str">
        <f>"20190303162110465"</f>
        <v>20190303162110465</v>
      </c>
      <c r="B7933" t="str">
        <f>"1551601270460944"</f>
        <v>1551601270460944</v>
      </c>
      <c r="C7933" t="s">
        <v>40</v>
      </c>
      <c r="D7933">
        <v>4.5701409999999996</v>
      </c>
      <c r="E7933">
        <v>0.49708799999999997</v>
      </c>
      <c r="F7933" t="s">
        <v>79</v>
      </c>
      <c r="G7933">
        <v>-275.91829999999999</v>
      </c>
      <c r="H7933">
        <v>1.7955840000000001</v>
      </c>
      <c r="I7933">
        <v>22.98433</v>
      </c>
      <c r="J7933">
        <v>-384.68880000000001</v>
      </c>
      <c r="K7933">
        <v>1.1225430000000001</v>
      </c>
      <c r="L7933">
        <v>17.894169999999999</v>
      </c>
      <c r="M7933">
        <v>0.99849719999999997</v>
      </c>
      <c r="N7933">
        <v>-9.8013500000000003E-3</v>
      </c>
      <c r="O7933">
        <v>-5.3918800000000003E-2</v>
      </c>
      <c r="P7933">
        <v>0.99376770000000003</v>
      </c>
      <c r="Q7933">
        <v>0.104977399999999</v>
      </c>
      <c r="R7933">
        <v>3.7489210000000002E-2</v>
      </c>
      <c r="S7933">
        <v>3.0114139999999998</v>
      </c>
      <c r="T7933">
        <v>1.861227E-2</v>
      </c>
      <c r="U7933">
        <v>0.140625</v>
      </c>
      <c r="V7933">
        <v>-9.1417849999999995E-2</v>
      </c>
      <c r="W7933">
        <v>0.11436209999999999</v>
      </c>
      <c r="X7933">
        <v>0.98922399999999999</v>
      </c>
      <c r="Y7933">
        <v>-0.1004356</v>
      </c>
      <c r="Z7933">
        <v>-6.7898679999999997E-4</v>
      </c>
      <c r="AA7933">
        <v>0.99494329999999997</v>
      </c>
      <c r="AB7933">
        <v>21</v>
      </c>
      <c r="AC7933">
        <v>108.7705</v>
      </c>
      <c r="AD7933">
        <v>0.673041</v>
      </c>
      <c r="AE7933">
        <v>5.0901599999999902</v>
      </c>
      <c r="AF7933">
        <v>-10.9473931870659</v>
      </c>
      <c r="AG7933">
        <v>0.673041</v>
      </c>
      <c r="AH7933">
        <v>108.33365158169001</v>
      </c>
      <c r="AI7933">
        <v>89.645848520373903</v>
      </c>
      <c r="AJ7933">
        <v>95.770297226936805</v>
      </c>
      <c r="AK7933">
        <v>108.88745780301301</v>
      </c>
      <c r="AL7933">
        <v>83.433166784741104</v>
      </c>
      <c r="AM7933">
        <v>95.279918378267794</v>
      </c>
      <c r="AN7933">
        <v>1.0000000176955099</v>
      </c>
    </row>
    <row r="7934" spans="1:40" x14ac:dyDescent="0.25">
      <c r="A7934" t="str">
        <f>"20190303162110480"</f>
        <v>20190303162110480</v>
      </c>
      <c r="B7934" t="str">
        <f>"1551601270470704"</f>
        <v>1551601270470704</v>
      </c>
      <c r="C7934" t="s">
        <v>40</v>
      </c>
      <c r="D7934">
        <v>4.5940050000000001</v>
      </c>
      <c r="E7934">
        <v>0.49721599999999999</v>
      </c>
      <c r="F7934" t="s">
        <v>79</v>
      </c>
      <c r="G7934">
        <v>-275.99360000000001</v>
      </c>
      <c r="H7934">
        <v>1.833626</v>
      </c>
      <c r="I7934">
        <v>22.93459</v>
      </c>
      <c r="J7934">
        <v>-384.55220000000003</v>
      </c>
      <c r="K7934">
        <v>1.1225130000000001</v>
      </c>
      <c r="L7934">
        <v>17.888760000000001</v>
      </c>
      <c r="M7934">
        <v>0.99858769999999997</v>
      </c>
      <c r="N7934">
        <v>-9.8058940000000008E-3</v>
      </c>
      <c r="O7934">
        <v>-5.2214829999999997E-2</v>
      </c>
      <c r="P7934">
        <v>0.99368590000000001</v>
      </c>
      <c r="Q7934">
        <v>0.1058904</v>
      </c>
      <c r="R7934">
        <v>3.7087460000000003E-2</v>
      </c>
      <c r="S7934">
        <v>3.0114749999999999</v>
      </c>
      <c r="T7934">
        <v>1.9701239999999998E-2</v>
      </c>
      <c r="U7934">
        <v>0.13964840000000001</v>
      </c>
      <c r="V7934">
        <v>-8.9318339999999996E-2</v>
      </c>
      <c r="W7934">
        <v>0.1152929</v>
      </c>
      <c r="X7934">
        <v>0.98930770000000001</v>
      </c>
      <c r="Y7934">
        <v>-9.841453E-2</v>
      </c>
      <c r="Z7934">
        <v>-6.921001E-4</v>
      </c>
      <c r="AA7934">
        <v>0.99514530000000001</v>
      </c>
      <c r="AB7934">
        <v>21</v>
      </c>
      <c r="AC7934">
        <v>108.5586</v>
      </c>
      <c r="AD7934">
        <v>0.711112999999999</v>
      </c>
      <c r="AE7934">
        <v>5.0458299999999898</v>
      </c>
      <c r="AF7934">
        <v>-10.707129314183501</v>
      </c>
      <c r="AG7934">
        <v>0.711112999999999</v>
      </c>
      <c r="AH7934">
        <v>108.142388163715</v>
      </c>
      <c r="AI7934">
        <v>89.625078115919493</v>
      </c>
      <c r="AJ7934">
        <v>95.6544009738124</v>
      </c>
      <c r="AK7934">
        <v>108.67347614575</v>
      </c>
      <c r="AL7934">
        <v>83.379480458918394</v>
      </c>
      <c r="AM7934">
        <v>95.158887230011999</v>
      </c>
      <c r="AN7934">
        <v>0.99999997196502699</v>
      </c>
    </row>
    <row r="7935" spans="1:40" x14ac:dyDescent="0.25">
      <c r="A7935" t="str">
        <f>"20190303162110494"</f>
        <v>20190303162110494</v>
      </c>
      <c r="B7935" t="str">
        <f>"1551601270480465"</f>
        <v>1551601270480465</v>
      </c>
      <c r="C7935" t="s">
        <v>40</v>
      </c>
      <c r="D7935">
        <v>4.5843759999999998</v>
      </c>
      <c r="E7935">
        <v>0.49735289999999999</v>
      </c>
      <c r="F7935" t="s">
        <v>79</v>
      </c>
      <c r="G7935">
        <v>-276.17790000000002</v>
      </c>
      <c r="H7935">
        <v>1.9263809999999999</v>
      </c>
      <c r="I7935">
        <v>22.840630000000001</v>
      </c>
      <c r="J7935">
        <v>-384.43279999999999</v>
      </c>
      <c r="K7935">
        <v>1.1224909999999999</v>
      </c>
      <c r="L7935">
        <v>17.88419</v>
      </c>
      <c r="M7935">
        <v>0.99866319999999997</v>
      </c>
      <c r="N7935">
        <v>-9.8095179999999997E-3</v>
      </c>
      <c r="O7935">
        <v>-5.0750799999999999E-2</v>
      </c>
      <c r="P7935">
        <v>0.99367530000000004</v>
      </c>
      <c r="Q7935">
        <v>0.1058176</v>
      </c>
      <c r="R7935">
        <v>3.7582119999999997E-2</v>
      </c>
      <c r="S7935">
        <v>3.011536</v>
      </c>
      <c r="T7935">
        <v>2.2338029999999998E-2</v>
      </c>
      <c r="U7935">
        <v>0.137603799999999</v>
      </c>
      <c r="V7935">
        <v>-8.8352780000000006E-2</v>
      </c>
      <c r="W7935">
        <v>0.11523319999999999</v>
      </c>
      <c r="X7935">
        <v>0.98940139999999999</v>
      </c>
      <c r="Y7935">
        <v>-9.6279459999999997E-2</v>
      </c>
      <c r="Z7935">
        <v>-7.5822520000000003E-4</v>
      </c>
      <c r="AA7935">
        <v>0.99535410000000002</v>
      </c>
      <c r="AB7935">
        <v>21</v>
      </c>
      <c r="AC7935">
        <v>108.254899999999</v>
      </c>
      <c r="AD7935">
        <v>0.80388999999999999</v>
      </c>
      <c r="AE7935">
        <v>4.95643999999999</v>
      </c>
      <c r="AF7935">
        <v>-10.4437645281825</v>
      </c>
      <c r="AG7935">
        <v>0.80388999999999999</v>
      </c>
      <c r="AH7935">
        <v>107.857892999893</v>
      </c>
      <c r="AI7935">
        <v>89.574956962476406</v>
      </c>
      <c r="AJ7935">
        <v>95.530647287146607</v>
      </c>
      <c r="AK7935">
        <v>108.365324430966</v>
      </c>
      <c r="AL7935">
        <v>83.382924268816197</v>
      </c>
      <c r="AM7935">
        <v>95.102933337483805</v>
      </c>
      <c r="AN7935">
        <v>1.00000001721896</v>
      </c>
    </row>
    <row r="7936" spans="1:40" x14ac:dyDescent="0.25">
      <c r="A7936" t="str">
        <f>"20190303162110508"</f>
        <v>20190303162110508</v>
      </c>
      <c r="B7936" t="str">
        <f>"1551601270501935"</f>
        <v>1551601270501935</v>
      </c>
      <c r="C7936" t="s">
        <v>40</v>
      </c>
      <c r="D7936">
        <v>4.577642</v>
      </c>
      <c r="E7936">
        <v>0.4975406</v>
      </c>
      <c r="F7936" t="s">
        <v>79</v>
      </c>
      <c r="G7936">
        <v>-276.07069999999999</v>
      </c>
      <c r="H7936">
        <v>1.92333</v>
      </c>
      <c r="I7936">
        <v>22.853110000000001</v>
      </c>
      <c r="J7936">
        <v>-384.3039</v>
      </c>
      <c r="K7936">
        <v>1.122463</v>
      </c>
      <c r="L7936">
        <v>17.879359999999998</v>
      </c>
      <c r="M7936">
        <v>0.99874110000000005</v>
      </c>
      <c r="N7936">
        <v>-9.8132080000000003E-3</v>
      </c>
      <c r="O7936">
        <v>-4.9193689999999998E-2</v>
      </c>
      <c r="P7936">
        <v>0.99364629999999998</v>
      </c>
      <c r="Q7936">
        <v>0.10586669999999999</v>
      </c>
      <c r="R7936">
        <v>3.8202729999999997E-2</v>
      </c>
      <c r="S7936">
        <v>3.0115050000000001</v>
      </c>
      <c r="T7936">
        <v>2.2256370000000001E-2</v>
      </c>
      <c r="U7936">
        <v>0.13809199999999999</v>
      </c>
      <c r="V7936">
        <v>-8.7419869999999997E-2</v>
      </c>
      <c r="W7936">
        <v>0.1152953</v>
      </c>
      <c r="X7936">
        <v>0.98947700000000005</v>
      </c>
      <c r="Y7936">
        <v>-9.4889219999999996E-2</v>
      </c>
      <c r="Z7936">
        <v>-7.3047119999999997E-4</v>
      </c>
      <c r="AA7936">
        <v>0.99548760000000003</v>
      </c>
      <c r="AB7936">
        <v>21</v>
      </c>
      <c r="AC7936">
        <v>108.2332</v>
      </c>
      <c r="AD7936">
        <v>0.800867</v>
      </c>
      <c r="AE7936">
        <v>4.9737499999999901</v>
      </c>
      <c r="AF7936">
        <v>-10.291811779762501</v>
      </c>
      <c r="AG7936">
        <v>0.800867</v>
      </c>
      <c r="AH7936">
        <v>107.851563321127</v>
      </c>
      <c r="AI7936">
        <v>89.576473813246395</v>
      </c>
      <c r="AJ7936">
        <v>95.450984632927899</v>
      </c>
      <c r="AK7936">
        <v>108.344462195688</v>
      </c>
      <c r="AL7936">
        <v>83.379342123887298</v>
      </c>
      <c r="AM7936">
        <v>95.048948093239204</v>
      </c>
      <c r="AN7936">
        <v>0.99999998670095303</v>
      </c>
    </row>
    <row r="7937" spans="1:40" x14ac:dyDescent="0.25">
      <c r="A7937" t="str">
        <f>"20190303162110521"</f>
        <v>20190303162110521</v>
      </c>
      <c r="B7937" t="str">
        <f>"1551601270510719"</f>
        <v>1551601270510719</v>
      </c>
      <c r="C7937" t="s">
        <v>40</v>
      </c>
      <c r="D7937">
        <v>4.6426239999999996</v>
      </c>
      <c r="E7937">
        <v>0.4975406</v>
      </c>
      <c r="F7937" t="s">
        <v>79</v>
      </c>
      <c r="G7937">
        <v>-276.06389999999999</v>
      </c>
      <c r="H7937">
        <v>1.918588</v>
      </c>
      <c r="I7937">
        <v>22.85914</v>
      </c>
      <c r="J7937">
        <v>-384.17329999999998</v>
      </c>
      <c r="K7937">
        <v>1.122433</v>
      </c>
      <c r="L7937">
        <v>17.874659999999999</v>
      </c>
      <c r="M7937">
        <v>0.99881549999999997</v>
      </c>
      <c r="N7937">
        <v>-9.8166539999999993E-3</v>
      </c>
      <c r="O7937">
        <v>-4.7658319999999997E-2</v>
      </c>
      <c r="P7937">
        <v>0.9935891</v>
      </c>
      <c r="Q7937">
        <v>0.10610700000000001</v>
      </c>
      <c r="R7937">
        <v>3.901309E-2</v>
      </c>
      <c r="S7937">
        <v>3.0115050000000001</v>
      </c>
      <c r="T7937">
        <v>2.2150280000000001E-2</v>
      </c>
      <c r="U7937">
        <v>0.138549799999999</v>
      </c>
      <c r="V7937">
        <v>-8.669586E-2</v>
      </c>
      <c r="W7937">
        <v>0.1155482</v>
      </c>
      <c r="X7937">
        <v>0.98951120000000004</v>
      </c>
      <c r="Y7937">
        <v>-9.3510079999999995E-2</v>
      </c>
      <c r="Z7937">
        <v>-7.0242039999999996E-4</v>
      </c>
      <c r="AA7937">
        <v>0.99561809999999995</v>
      </c>
      <c r="AB7937">
        <v>21</v>
      </c>
      <c r="AC7937">
        <v>108.10939999999999</v>
      </c>
      <c r="AD7937">
        <v>0.79615499999999995</v>
      </c>
      <c r="AE7937">
        <v>4.9844799999999898</v>
      </c>
      <c r="AF7937">
        <v>-10.130827741737001</v>
      </c>
      <c r="AG7937">
        <v>0.79615499999999995</v>
      </c>
      <c r="AH7937">
        <v>107.743148811575</v>
      </c>
      <c r="AI7937">
        <v>89.578486626283393</v>
      </c>
      <c r="AJ7937">
        <v>95.371590337482402</v>
      </c>
      <c r="AK7937">
        <v>108.221317906178</v>
      </c>
      <c r="AL7937">
        <v>83.364754526532295</v>
      </c>
      <c r="AM7937">
        <v>95.007174071446002</v>
      </c>
      <c r="AN7937">
        <v>0.99999998679490898</v>
      </c>
    </row>
    <row r="7938" spans="1:40" x14ac:dyDescent="0.25">
      <c r="A7938" t="str">
        <f>"20190303162110539"</f>
        <v>20190303162110539</v>
      </c>
      <c r="B7938" t="str">
        <f>"1551601270530310"</f>
        <v>1551601270530310</v>
      </c>
      <c r="C7938" t="s">
        <v>40</v>
      </c>
      <c r="D7938">
        <v>4.6582910000000002</v>
      </c>
      <c r="E7938">
        <v>0.49403920000000001</v>
      </c>
      <c r="F7938" t="s">
        <v>79</v>
      </c>
      <c r="G7938">
        <v>-275.9796</v>
      </c>
      <c r="H7938">
        <v>1.944831</v>
      </c>
      <c r="I7938">
        <v>22.945709999999998</v>
      </c>
      <c r="J7938">
        <v>-384.0213</v>
      </c>
      <c r="K7938">
        <v>1.122401</v>
      </c>
      <c r="L7938">
        <v>17.869479999999999</v>
      </c>
      <c r="M7938">
        <v>0.99889660000000002</v>
      </c>
      <c r="N7938">
        <v>-9.8203400000000003E-3</v>
      </c>
      <c r="O7938">
        <v>-4.5925380000000002E-2</v>
      </c>
      <c r="P7938">
        <v>0.99343230000000005</v>
      </c>
      <c r="Q7938">
        <v>0.1074059</v>
      </c>
      <c r="R7938">
        <v>3.9453929999999998E-2</v>
      </c>
      <c r="S7938">
        <v>3.0113829999999999</v>
      </c>
      <c r="T7938">
        <v>2.2889969999999999E-2</v>
      </c>
      <c r="U7938">
        <v>0.14114380000000001</v>
      </c>
      <c r="V7938">
        <v>-8.5402969999999995E-2</v>
      </c>
      <c r="W7938">
        <v>0.11686299999999999</v>
      </c>
      <c r="X7938">
        <v>0.98946920000000005</v>
      </c>
      <c r="Y7938">
        <v>-9.2640360000000005E-2</v>
      </c>
      <c r="Z7938">
        <v>-6.9638990000000004E-4</v>
      </c>
      <c r="AA7938">
        <v>0.99569940000000001</v>
      </c>
      <c r="AB7938">
        <v>21</v>
      </c>
      <c r="AC7938">
        <v>108.04170000000001</v>
      </c>
      <c r="AD7938">
        <v>0.82242999999999999</v>
      </c>
      <c r="AE7938">
        <v>5.0762299999999998</v>
      </c>
      <c r="AF7938">
        <v>-10.032388782400499</v>
      </c>
      <c r="AG7938">
        <v>0.82242999999999999</v>
      </c>
      <c r="AH7938">
        <v>107.68832601690799</v>
      </c>
      <c r="AI7938">
        <v>89.564319540213901</v>
      </c>
      <c r="AJ7938">
        <v>95.322389351349003</v>
      </c>
      <c r="AK7938">
        <v>108.15775874208001</v>
      </c>
      <c r="AL7938">
        <v>83.288908022495704</v>
      </c>
      <c r="AM7938">
        <v>94.933081960563896</v>
      </c>
      <c r="AN7938">
        <v>0.99999996290122894</v>
      </c>
    </row>
    <row r="7939" spans="1:40" x14ac:dyDescent="0.25">
      <c r="A7939" t="str">
        <f>"20190303162110552"</f>
        <v>20190303162110552</v>
      </c>
      <c r="B7939" t="str">
        <f>"1551601270541046"</f>
        <v>1551601270541046</v>
      </c>
      <c r="C7939" t="s">
        <v>40</v>
      </c>
      <c r="D7939">
        <v>4.7440670000000003</v>
      </c>
      <c r="E7939">
        <v>0.49236799999999997</v>
      </c>
      <c r="F7939" t="s">
        <v>41</v>
      </c>
      <c r="G7939">
        <v>-353.6277</v>
      </c>
      <c r="H7939" s="1">
        <v>-2.7179759999999998E-6</v>
      </c>
      <c r="I7939">
        <v>19.605160000000001</v>
      </c>
      <c r="J7939">
        <v>-383.89429999999999</v>
      </c>
      <c r="K7939">
        <v>1.1223669999999999</v>
      </c>
      <c r="L7939">
        <v>17.86523</v>
      </c>
      <c r="M7939">
        <v>0.99895999999999996</v>
      </c>
      <c r="N7939">
        <v>-9.8230780000000007E-3</v>
      </c>
      <c r="O7939">
        <v>-4.4525149999999999E-2</v>
      </c>
      <c r="P7939">
        <v>0.99335949999999995</v>
      </c>
      <c r="Q7939">
        <v>0.10784050000000001</v>
      </c>
      <c r="R7939">
        <v>4.0094409999999997E-2</v>
      </c>
      <c r="S7939">
        <v>3.025055</v>
      </c>
      <c r="T7939">
        <v>-0.1117123</v>
      </c>
      <c r="U7939">
        <v>0.17276</v>
      </c>
      <c r="V7939">
        <v>-8.4641179999999996E-2</v>
      </c>
      <c r="W7939">
        <v>0.1173104</v>
      </c>
      <c r="X7939">
        <v>0.98948170000000002</v>
      </c>
      <c r="Y7939">
        <v>-0.1013116</v>
      </c>
      <c r="Z7939">
        <v>3.5723370000000001E-3</v>
      </c>
      <c r="AA7939">
        <v>0.99484830000000002</v>
      </c>
      <c r="AB7939">
        <v>21</v>
      </c>
      <c r="AC7939">
        <v>30.266599999999901</v>
      </c>
      <c r="AD7939">
        <v>-1.1223697179759999</v>
      </c>
      <c r="AE7939">
        <v>1.73993</v>
      </c>
      <c r="AF7939">
        <v>-3.0816704194793001</v>
      </c>
      <c r="AG7939">
        <v>-1.1223697179759999</v>
      </c>
      <c r="AH7939">
        <v>30.1178266492897</v>
      </c>
      <c r="AI7939">
        <v>92.1231198093421</v>
      </c>
      <c r="AJ7939">
        <v>95.842199893674206</v>
      </c>
      <c r="AK7939">
        <v>30.295872465317601</v>
      </c>
      <c r="AL7939">
        <v>83.263096241193693</v>
      </c>
      <c r="AM7939">
        <v>94.889231921282303</v>
      </c>
      <c r="AN7939">
        <v>0.99999994696741901</v>
      </c>
    </row>
    <row r="7940" spans="1:40" x14ac:dyDescent="0.25">
      <c r="A7940" t="str">
        <f>"20190303162110572"</f>
        <v>20190303162110572</v>
      </c>
      <c r="B7940" t="str">
        <f>"1551601270560567"</f>
        <v>1551601270560567</v>
      </c>
      <c r="C7940" t="s">
        <v>40</v>
      </c>
      <c r="D7940">
        <v>4.6403220000000003</v>
      </c>
      <c r="E7940">
        <v>0.49100670000000002</v>
      </c>
      <c r="F7940" t="s">
        <v>41</v>
      </c>
      <c r="G7940">
        <v>-355.2953</v>
      </c>
      <c r="H7940" s="1">
        <v>-2.00852E-6</v>
      </c>
      <c r="I7940">
        <v>19.645990000000001</v>
      </c>
      <c r="J7940">
        <v>-383.71159999999998</v>
      </c>
      <c r="K7940">
        <v>1.1223030000000001</v>
      </c>
      <c r="L7940">
        <v>17.859379999999899</v>
      </c>
      <c r="M7940">
        <v>0.99904420000000005</v>
      </c>
      <c r="N7940">
        <v>-9.826385E-3</v>
      </c>
      <c r="O7940">
        <v>-4.2595620000000001E-2</v>
      </c>
      <c r="P7940">
        <v>0.99324179999999995</v>
      </c>
      <c r="Q7940">
        <v>0.108796699999999</v>
      </c>
      <c r="R7940">
        <v>4.0426440000000001E-2</v>
      </c>
      <c r="S7940">
        <v>3.0253299999999999</v>
      </c>
      <c r="T7940">
        <v>-0.1187291</v>
      </c>
      <c r="U7940">
        <v>0.188385</v>
      </c>
      <c r="V7940">
        <v>-8.3038490000000006E-2</v>
      </c>
      <c r="W7940">
        <v>0.1182888</v>
      </c>
      <c r="X7940">
        <v>0.98950110000000002</v>
      </c>
      <c r="Y7940">
        <v>-0.1044891</v>
      </c>
      <c r="Z7940">
        <v>3.8132790000000001E-3</v>
      </c>
      <c r="AA7940">
        <v>0.99451869999999998</v>
      </c>
      <c r="AB7940">
        <v>21</v>
      </c>
      <c r="AC7940">
        <v>28.4162999999999</v>
      </c>
      <c r="AD7940">
        <v>-1.1223050085199999</v>
      </c>
      <c r="AE7940">
        <v>1.78661</v>
      </c>
      <c r="AF7940">
        <v>-2.9908096215695799</v>
      </c>
      <c r="AG7940">
        <v>-1.1223050085199999</v>
      </c>
      <c r="AH7940">
        <v>28.2704768379492</v>
      </c>
      <c r="AI7940">
        <v>92.260778923904297</v>
      </c>
      <c r="AJ7940">
        <v>96.039011420515394</v>
      </c>
      <c r="AK7940">
        <v>28.450384379998098</v>
      </c>
      <c r="AL7940">
        <v>83.206645556695406</v>
      </c>
      <c r="AM7940">
        <v>94.796996340467999</v>
      </c>
      <c r="AN7940">
        <v>1.00000002896406</v>
      </c>
    </row>
    <row r="7941" spans="1:40" x14ac:dyDescent="0.25">
      <c r="A7941" t="str">
        <f>"20190303162110585"</f>
        <v>20190303162110585</v>
      </c>
      <c r="B7941" t="str">
        <f>"1551601270581062"</f>
        <v>1551601270581062</v>
      </c>
      <c r="C7941" t="s">
        <v>40</v>
      </c>
      <c r="D7941">
        <v>4.657165</v>
      </c>
      <c r="E7941">
        <v>0.49062299999999998</v>
      </c>
      <c r="F7941" t="s">
        <v>41</v>
      </c>
      <c r="G7941">
        <v>-359.26440000000002</v>
      </c>
      <c r="H7941" s="1">
        <v>-3.2186100000000003E-7</v>
      </c>
      <c r="I7941">
        <v>19.481069999999999</v>
      </c>
      <c r="J7941">
        <v>-383.58539999999999</v>
      </c>
      <c r="K7941">
        <v>1.1222540000000001</v>
      </c>
      <c r="L7941">
        <v>17.855409999999999</v>
      </c>
      <c r="M7941">
        <v>0.99909789999999998</v>
      </c>
      <c r="N7941">
        <v>-9.8283899999999993E-3</v>
      </c>
      <c r="O7941">
        <v>-4.1313620000000002E-2</v>
      </c>
      <c r="P7941">
        <v>0.99319369999999996</v>
      </c>
      <c r="Q7941">
        <v>0.10901619999999999</v>
      </c>
      <c r="R7941">
        <v>4.1009329999999997E-2</v>
      </c>
      <c r="S7941">
        <v>3.027466</v>
      </c>
      <c r="T7941">
        <v>-0.13898250000000001</v>
      </c>
      <c r="U7941">
        <v>0.20083619999999999</v>
      </c>
      <c r="V7941">
        <v>-8.2333610000000002E-2</v>
      </c>
      <c r="W7941">
        <v>0.11852219999999999</v>
      </c>
      <c r="X7941">
        <v>0.98953210000000003</v>
      </c>
      <c r="Y7941">
        <v>-0.1071976</v>
      </c>
      <c r="Z7941">
        <v>4.4726690000000003E-3</v>
      </c>
      <c r="AA7941">
        <v>0.99422759999999999</v>
      </c>
      <c r="AB7941">
        <v>21</v>
      </c>
      <c r="AC7941">
        <v>24.320999999999898</v>
      </c>
      <c r="AD7941">
        <v>-1.1222543218609999</v>
      </c>
      <c r="AE7941">
        <v>1.6256600000000001</v>
      </c>
      <c r="AF7941">
        <v>-2.6235477420093698</v>
      </c>
      <c r="AG7941">
        <v>-1.1222543218609999</v>
      </c>
      <c r="AH7941">
        <v>24.181808984202299</v>
      </c>
      <c r="AI7941">
        <v>92.641655690297199</v>
      </c>
      <c r="AJ7941">
        <v>96.191950432812106</v>
      </c>
      <c r="AK7941">
        <v>24.349586100506599</v>
      </c>
      <c r="AL7941">
        <v>83.193178167556496</v>
      </c>
      <c r="AM7941">
        <v>94.7563158814704</v>
      </c>
      <c r="AN7941">
        <v>1.00000005607943</v>
      </c>
    </row>
    <row r="7942" spans="1:40" x14ac:dyDescent="0.25">
      <c r="A7942" t="str">
        <f>"20190303162110599"</f>
        <v>20190303162110599</v>
      </c>
      <c r="B7942" t="str">
        <f>"1551601270590822"</f>
        <v>1551601270590822</v>
      </c>
      <c r="C7942" t="s">
        <v>40</v>
      </c>
      <c r="D7942">
        <v>4.6793269999999998</v>
      </c>
      <c r="E7942">
        <v>0.49071500000000001</v>
      </c>
      <c r="F7942" t="s">
        <v>75</v>
      </c>
      <c r="G7942">
        <v>-360.27749999999997</v>
      </c>
      <c r="H7942" s="1">
        <v>-4.6278960000000001E-6</v>
      </c>
      <c r="I7942">
        <v>19.438410000000001</v>
      </c>
      <c r="J7942">
        <v>-383.44389999999999</v>
      </c>
      <c r="K7942">
        <v>1.122193</v>
      </c>
      <c r="L7942">
        <v>17.851199999999999</v>
      </c>
      <c r="M7942">
        <v>0.99915310000000002</v>
      </c>
      <c r="N7942">
        <v>-9.8305430000000006E-3</v>
      </c>
      <c r="O7942">
        <v>-3.9959120000000001E-2</v>
      </c>
      <c r="P7942">
        <v>0.99313090000000004</v>
      </c>
      <c r="Q7942">
        <v>0.10932600000000001</v>
      </c>
      <c r="R7942">
        <v>4.1702999999999997E-2</v>
      </c>
      <c r="S7942">
        <v>3.028076</v>
      </c>
      <c r="T7942">
        <v>-0.14579929999999999</v>
      </c>
      <c r="U7942">
        <v>0.20565800000000001</v>
      </c>
      <c r="V7942">
        <v>-8.1664609999999999E-2</v>
      </c>
      <c r="W7942">
        <v>0.11884790000000001</v>
      </c>
      <c r="X7942">
        <v>0.98954839999999999</v>
      </c>
      <c r="Y7942">
        <v>-0.10739750000000001</v>
      </c>
      <c r="Z7942">
        <v>4.6387579999999998E-3</v>
      </c>
      <c r="AA7942">
        <v>0.99420540000000002</v>
      </c>
      <c r="AB7942">
        <v>21</v>
      </c>
      <c r="AC7942">
        <v>23.166399999999999</v>
      </c>
      <c r="AD7942">
        <v>-1.122197627896</v>
      </c>
      <c r="AE7942">
        <v>1.58721</v>
      </c>
      <c r="AF7942">
        <v>-2.5058432521677001</v>
      </c>
      <c r="AG7942">
        <v>-1.122197627896</v>
      </c>
      <c r="AH7942">
        <v>23.030679871605798</v>
      </c>
      <c r="AI7942">
        <v>92.773258121119795</v>
      </c>
      <c r="AJ7942">
        <v>96.209615570400601</v>
      </c>
      <c r="AK7942">
        <v>23.193766258822201</v>
      </c>
      <c r="AL7942">
        <v>83.174383600717505</v>
      </c>
      <c r="AM7942">
        <v>94.717766338981406</v>
      </c>
      <c r="AN7942">
        <v>0.99999998390170997</v>
      </c>
    </row>
    <row r="7943" spans="1:40" x14ac:dyDescent="0.25">
      <c r="A7943" t="str">
        <f>"20190303162110617"</f>
        <v>20190303162110617</v>
      </c>
      <c r="B7943" t="str">
        <f>"1551601270610343"</f>
        <v>1551601270610343</v>
      </c>
      <c r="C7943" t="s">
        <v>40</v>
      </c>
      <c r="D7943">
        <v>4.6498929999999996</v>
      </c>
      <c r="E7943">
        <v>0.49049989999999999</v>
      </c>
      <c r="F7943" t="s">
        <v>75</v>
      </c>
      <c r="G7943">
        <v>-360.97590000000002</v>
      </c>
      <c r="H7943" s="1">
        <v>-4.3070410000000001E-6</v>
      </c>
      <c r="I7943">
        <v>19.386130000000001</v>
      </c>
      <c r="J7943">
        <v>-383.2878</v>
      </c>
      <c r="K7943">
        <v>1.1221289999999999</v>
      </c>
      <c r="L7943">
        <v>17.846620000000001</v>
      </c>
      <c r="M7943">
        <v>0.99920880000000001</v>
      </c>
      <c r="N7943">
        <v>-9.8328259999999994E-3</v>
      </c>
      <c r="O7943">
        <v>-3.853736E-2</v>
      </c>
      <c r="P7943">
        <v>0.99307080000000003</v>
      </c>
      <c r="Q7943">
        <v>0.109790899999999</v>
      </c>
      <c r="R7943">
        <v>4.1908559999999997E-2</v>
      </c>
      <c r="S7943">
        <v>3.0286870000000001</v>
      </c>
      <c r="T7943">
        <v>-0.15127189999999999</v>
      </c>
      <c r="U7943">
        <v>0.20690919999999999</v>
      </c>
      <c r="V7943">
        <v>-8.0439150000000001E-2</v>
      </c>
      <c r="W7943">
        <v>0.1193327</v>
      </c>
      <c r="X7943">
        <v>0.98959050000000004</v>
      </c>
      <c r="Y7943">
        <v>-0.10636760000000001</v>
      </c>
      <c r="Z7943">
        <v>4.7189420000000003E-3</v>
      </c>
      <c r="AA7943">
        <v>0.99431570000000002</v>
      </c>
      <c r="AB7943">
        <v>21</v>
      </c>
      <c r="AC7943">
        <v>22.311899999999898</v>
      </c>
      <c r="AD7943">
        <v>-1.122133307041</v>
      </c>
      <c r="AE7943">
        <v>1.5395099999999899</v>
      </c>
      <c r="AF7943">
        <v>-2.3922273509180298</v>
      </c>
      <c r="AG7943">
        <v>-1.122133307041</v>
      </c>
      <c r="AH7943">
        <v>22.180156276185301</v>
      </c>
      <c r="AI7943">
        <v>92.879553914029501</v>
      </c>
      <c r="AJ7943">
        <v>96.155805985993396</v>
      </c>
      <c r="AK7943">
        <v>22.3369932464791</v>
      </c>
      <c r="AL7943">
        <v>83.146407994355798</v>
      </c>
      <c r="AM7943">
        <v>94.647087083115593</v>
      </c>
      <c r="AN7943">
        <v>1.00000005391612</v>
      </c>
    </row>
    <row r="7944" spans="1:40" x14ac:dyDescent="0.25">
      <c r="A7944" t="str">
        <f>"20190303162110630"</f>
        <v>20190303162110630</v>
      </c>
      <c r="B7944" t="str">
        <f>"1551601270621078"</f>
        <v>1551601270621078</v>
      </c>
      <c r="C7944" t="s">
        <v>40</v>
      </c>
      <c r="D7944">
        <v>4.6532809999999998</v>
      </c>
      <c r="E7944">
        <v>0.49046610000000002</v>
      </c>
      <c r="F7944" t="s">
        <v>75</v>
      </c>
      <c r="G7944">
        <v>-361.15429999999998</v>
      </c>
      <c r="H7944" s="1">
        <v>-4.225459E-6</v>
      </c>
      <c r="I7944">
        <v>19.370550000000001</v>
      </c>
      <c r="J7944">
        <v>-383.16669999999999</v>
      </c>
      <c r="K7944">
        <v>1.1220730000000001</v>
      </c>
      <c r="L7944">
        <v>17.843139999999998</v>
      </c>
      <c r="M7944">
        <v>0.99924860000000004</v>
      </c>
      <c r="N7944">
        <v>-9.8344829999999998E-3</v>
      </c>
      <c r="O7944">
        <v>-3.7492310000000001E-2</v>
      </c>
      <c r="P7944">
        <v>0.99300200000000005</v>
      </c>
      <c r="Q7944">
        <v>0.1102457</v>
      </c>
      <c r="R7944">
        <v>4.234636E-2</v>
      </c>
      <c r="S7944">
        <v>3.029083</v>
      </c>
      <c r="T7944">
        <v>-0.1535695</v>
      </c>
      <c r="U7944">
        <v>0.2085571</v>
      </c>
      <c r="V7944">
        <v>-7.9823050000000006E-2</v>
      </c>
      <c r="W7944">
        <v>0.1198009</v>
      </c>
      <c r="X7944">
        <v>0.98958369999999996</v>
      </c>
      <c r="Y7944">
        <v>-0.1058533</v>
      </c>
      <c r="Z7944">
        <v>4.7295039999999998E-3</v>
      </c>
      <c r="AA7944">
        <v>0.99437050000000005</v>
      </c>
      <c r="AB7944">
        <v>21</v>
      </c>
      <c r="AC7944">
        <v>22.0124</v>
      </c>
      <c r="AD7944">
        <v>-1.1220772254589999</v>
      </c>
      <c r="AE7944">
        <v>1.5274099999999999</v>
      </c>
      <c r="AF7944">
        <v>-2.3456058893600402</v>
      </c>
      <c r="AG7944">
        <v>-1.1220772254589999</v>
      </c>
      <c r="AH7944">
        <v>21.883063944300002</v>
      </c>
      <c r="AI7944">
        <v>92.918641334186901</v>
      </c>
      <c r="AJ7944">
        <v>96.118071129455998</v>
      </c>
      <c r="AK7944">
        <v>22.037000972873301</v>
      </c>
      <c r="AL7944">
        <v>83.1193874689598</v>
      </c>
      <c r="AM7944">
        <v>94.611679752466202</v>
      </c>
      <c r="AN7944">
        <v>0.99999993712889901</v>
      </c>
    </row>
    <row r="7945" spans="1:40" x14ac:dyDescent="0.25">
      <c r="A7945" t="str">
        <f>"20190303162110642"</f>
        <v>20190303162110642</v>
      </c>
      <c r="B7945" t="str">
        <f>"1551601270630838"</f>
        <v>1551601270630838</v>
      </c>
      <c r="C7945" t="s">
        <v>40</v>
      </c>
      <c r="D7945">
        <v>4.6853989999999897</v>
      </c>
      <c r="E7945">
        <v>0.49045290000000002</v>
      </c>
      <c r="F7945" t="s">
        <v>75</v>
      </c>
      <c r="G7945">
        <v>-361.1266</v>
      </c>
      <c r="H7945" s="1">
        <v>-4.2386259999999998E-6</v>
      </c>
      <c r="I7945">
        <v>19.370290000000001</v>
      </c>
      <c r="J7945">
        <v>-383.04430000000002</v>
      </c>
      <c r="K7945">
        <v>1.12201</v>
      </c>
      <c r="L7945">
        <v>17.83972</v>
      </c>
      <c r="M7945">
        <v>0.99928550000000005</v>
      </c>
      <c r="N7945">
        <v>-9.8360170000000007E-3</v>
      </c>
      <c r="O7945">
        <v>-3.6494169999999999E-2</v>
      </c>
      <c r="P7945">
        <v>0.992919</v>
      </c>
      <c r="Q7945">
        <v>0.1107593</v>
      </c>
      <c r="R7945">
        <v>4.2946390000000001E-2</v>
      </c>
      <c r="S7945">
        <v>3.0293269999999999</v>
      </c>
      <c r="T7945">
        <v>-0.15422449999999999</v>
      </c>
      <c r="U7945">
        <v>0.2098999</v>
      </c>
      <c r="V7945">
        <v>-7.9413059999999994E-2</v>
      </c>
      <c r="W7945">
        <v>0.1203288</v>
      </c>
      <c r="X7945">
        <v>0.98955269999999995</v>
      </c>
      <c r="Y7945">
        <v>-0.1052934</v>
      </c>
      <c r="Z7945">
        <v>4.6906919999999998E-3</v>
      </c>
      <c r="AA7945">
        <v>0.99443009999999998</v>
      </c>
      <c r="AB7945">
        <v>21</v>
      </c>
      <c r="AC7945">
        <v>21.9177</v>
      </c>
      <c r="AD7945">
        <v>-1.1220142386259999</v>
      </c>
      <c r="AE7945">
        <v>1.53057</v>
      </c>
      <c r="AF7945">
        <v>-2.3233980356010302</v>
      </c>
      <c r="AG7945">
        <v>-1.1220142386259999</v>
      </c>
      <c r="AH7945">
        <v>21.790411258020001</v>
      </c>
      <c r="AI7945">
        <v>92.931039773609797</v>
      </c>
      <c r="AJ7945">
        <v>96.086155808810204</v>
      </c>
      <c r="AK7945">
        <v>21.942632412205199</v>
      </c>
      <c r="AL7945">
        <v>83.088921066701602</v>
      </c>
      <c r="AM7945">
        <v>94.588237585250795</v>
      </c>
      <c r="AN7945">
        <v>1.0000000001426399</v>
      </c>
    </row>
    <row r="7946" spans="1:40" x14ac:dyDescent="0.25">
      <c r="A7946" t="str">
        <f>"20190303162110661"</f>
        <v>20190303162110661</v>
      </c>
      <c r="B7946" t="str">
        <f>"1551601270650358"</f>
        <v>1551601270650358</v>
      </c>
      <c r="C7946" t="s">
        <v>40</v>
      </c>
      <c r="D7946">
        <v>4.6663110000000003</v>
      </c>
      <c r="E7946">
        <v>0.4904192</v>
      </c>
      <c r="F7946" t="s">
        <v>75</v>
      </c>
      <c r="G7946">
        <v>-361.11520000000002</v>
      </c>
      <c r="H7946" s="1">
        <v>-4.2437989999999997E-6</v>
      </c>
      <c r="I7946">
        <v>19.37143</v>
      </c>
      <c r="J7946">
        <v>-382.87799999999999</v>
      </c>
      <c r="K7946">
        <v>1.1219209999999999</v>
      </c>
      <c r="L7946">
        <v>17.835139999999999</v>
      </c>
      <c r="M7946">
        <v>0.99932969999999999</v>
      </c>
      <c r="N7946">
        <v>-9.8379290000000005E-3</v>
      </c>
      <c r="O7946">
        <v>-3.5260739999999999E-2</v>
      </c>
      <c r="P7946">
        <v>0.99289780000000005</v>
      </c>
      <c r="Q7946">
        <v>0.11088969999999999</v>
      </c>
      <c r="R7946">
        <v>4.310137E-2</v>
      </c>
      <c r="S7946">
        <v>3.029541</v>
      </c>
      <c r="T7946">
        <v>-0.15500829999999999</v>
      </c>
      <c r="U7946">
        <v>0.21160889999999999</v>
      </c>
      <c r="V7946">
        <v>-7.8318750000000006E-2</v>
      </c>
      <c r="W7946">
        <v>0.1204812</v>
      </c>
      <c r="X7946">
        <v>0.98962139999999998</v>
      </c>
      <c r="Y7946">
        <v>-0.10461959999999999</v>
      </c>
      <c r="Z7946">
        <v>4.6419219999999997E-3</v>
      </c>
      <c r="AA7946">
        <v>0.99450150000000004</v>
      </c>
      <c r="AB7946">
        <v>21</v>
      </c>
      <c r="AC7946">
        <v>21.762799999999999</v>
      </c>
      <c r="AD7946">
        <v>-1.1219252437989999</v>
      </c>
      <c r="AE7946">
        <v>1.5362899999999999</v>
      </c>
      <c r="AF7946">
        <v>-2.2966706604138798</v>
      </c>
      <c r="AG7946">
        <v>-1.1219252437989999</v>
      </c>
      <c r="AH7946">
        <v>21.637871268057399</v>
      </c>
      <c r="AI7946">
        <v>92.951582403567798</v>
      </c>
      <c r="AJ7946">
        <v>96.058760901607002</v>
      </c>
      <c r="AK7946">
        <v>21.788319930368701</v>
      </c>
      <c r="AL7946">
        <v>83.080125411483394</v>
      </c>
      <c r="AM7946">
        <v>94.524963371952097</v>
      </c>
      <c r="AN7946">
        <v>1.00000003074648</v>
      </c>
    </row>
    <row r="7947" spans="1:40" x14ac:dyDescent="0.25">
      <c r="A7947" t="str">
        <f>"20190303162110674"</f>
        <v>20190303162110674</v>
      </c>
      <c r="B7947" t="str">
        <f>"1551601270661095"</f>
        <v>1551601270661095</v>
      </c>
      <c r="C7947" t="s">
        <v>40</v>
      </c>
      <c r="D7947">
        <v>4.6817760000000002</v>
      </c>
      <c r="E7947">
        <v>0.49034230000000001</v>
      </c>
      <c r="F7947" t="s">
        <v>75</v>
      </c>
      <c r="G7947">
        <v>-361.23410000000001</v>
      </c>
      <c r="H7947" s="1">
        <v>-4.1922770000000001E-6</v>
      </c>
      <c r="I7947">
        <v>19.34507</v>
      </c>
      <c r="J7947">
        <v>-382.74860000000001</v>
      </c>
      <c r="K7947">
        <v>1.121847</v>
      </c>
      <c r="L7947">
        <v>17.831600000000002</v>
      </c>
      <c r="M7947">
        <v>0.99936009999999997</v>
      </c>
      <c r="N7947">
        <v>-9.8393439999999999E-3</v>
      </c>
      <c r="O7947">
        <v>-3.4393519999999997E-2</v>
      </c>
      <c r="P7947">
        <v>0.99287380000000003</v>
      </c>
      <c r="Q7947">
        <v>0.1108299</v>
      </c>
      <c r="R7947">
        <v>4.3800440000000003E-2</v>
      </c>
      <c r="S7947">
        <v>3.029785</v>
      </c>
      <c r="T7947">
        <v>-0.15705079999999999</v>
      </c>
      <c r="U7947">
        <v>0.21136469999999999</v>
      </c>
      <c r="V7947">
        <v>-7.813465E-2</v>
      </c>
      <c r="W7947">
        <v>0.12043719999999999</v>
      </c>
      <c r="X7947">
        <v>0.98964129999999995</v>
      </c>
      <c r="Y7947">
        <v>-0.1036686</v>
      </c>
      <c r="Z7947">
        <v>4.6348140000000001E-3</v>
      </c>
      <c r="AA7947">
        <v>0.99460110000000002</v>
      </c>
      <c r="AB7947">
        <v>21</v>
      </c>
      <c r="AC7947">
        <v>21.514500000000002</v>
      </c>
      <c r="AD7947">
        <v>-1.121851192277</v>
      </c>
      <c r="AE7947">
        <v>1.5134699999999901</v>
      </c>
      <c r="AF7947">
        <v>-2.24649146415473</v>
      </c>
      <c r="AG7947">
        <v>-1.121851192277</v>
      </c>
      <c r="AH7947">
        <v>21.391836206405799</v>
      </c>
      <c r="AI7947">
        <v>92.985621874690196</v>
      </c>
      <c r="AJ7947">
        <v>95.995016619783001</v>
      </c>
      <c r="AK7947">
        <v>21.538707720702</v>
      </c>
      <c r="AL7947">
        <v>83.0826648615393</v>
      </c>
      <c r="AM7947">
        <v>94.514280381905294</v>
      </c>
      <c r="AN7947">
        <v>1.00000002267007</v>
      </c>
    </row>
    <row r="7948" spans="1:40" x14ac:dyDescent="0.25">
      <c r="A7948" t="str">
        <f>"20190303162110686"</f>
        <v>20190303162110686</v>
      </c>
      <c r="B7948" t="str">
        <f>"1551601270680615"</f>
        <v>1551601270680615</v>
      </c>
      <c r="C7948" t="s">
        <v>40</v>
      </c>
      <c r="D7948">
        <v>4.6913029999999996</v>
      </c>
      <c r="E7948">
        <v>0.49012119999999998</v>
      </c>
      <c r="F7948" t="s">
        <v>75</v>
      </c>
      <c r="G7948">
        <v>-361.18720000000002</v>
      </c>
      <c r="H7948" s="1">
        <v>-4.2133839999999997E-6</v>
      </c>
      <c r="I7948">
        <v>19.350999999999999</v>
      </c>
      <c r="J7948">
        <v>-382.63720000000001</v>
      </c>
      <c r="K7948">
        <v>1.12178</v>
      </c>
      <c r="L7948">
        <v>17.828610000000001</v>
      </c>
      <c r="M7948">
        <v>0.99938389999999999</v>
      </c>
      <c r="N7948">
        <v>-9.8405799999999998E-3</v>
      </c>
      <c r="O7948">
        <v>-3.3689190000000001E-2</v>
      </c>
      <c r="P7948">
        <v>0.992842</v>
      </c>
      <c r="Q7948">
        <v>0.11093459999999999</v>
      </c>
      <c r="R7948">
        <v>4.4251510000000001E-2</v>
      </c>
      <c r="S7948">
        <v>3.0297239999999999</v>
      </c>
      <c r="T7948">
        <v>-0.15763829999999901</v>
      </c>
      <c r="U7948">
        <v>0.213501</v>
      </c>
      <c r="V7948">
        <v>-7.7866900000000003E-2</v>
      </c>
      <c r="W7948">
        <v>0.120556</v>
      </c>
      <c r="X7948">
        <v>0.98964790000000002</v>
      </c>
      <c r="Y7948">
        <v>-0.1036661</v>
      </c>
      <c r="Z7948">
        <v>4.6217709999999898E-3</v>
      </c>
      <c r="AA7948">
        <v>0.99460139999999997</v>
      </c>
      <c r="AB7948">
        <v>21</v>
      </c>
      <c r="AC7948">
        <v>21.4499999999999</v>
      </c>
      <c r="AD7948">
        <v>-1.1217842133839999</v>
      </c>
      <c r="AE7948">
        <v>1.5223899999999899</v>
      </c>
      <c r="AF7948">
        <v>-2.2381032418570701</v>
      </c>
      <c r="AG7948">
        <v>-1.1217842133839999</v>
      </c>
      <c r="AH7948">
        <v>21.3284903820389</v>
      </c>
      <c r="AI7948">
        <v>92.994319887505497</v>
      </c>
      <c r="AJ7948">
        <v>95.990404271560195</v>
      </c>
      <c r="AK7948">
        <v>21.474915783754199</v>
      </c>
      <c r="AL7948">
        <v>83.075807898594604</v>
      </c>
      <c r="AM7948">
        <v>94.498844684740206</v>
      </c>
      <c r="AN7948">
        <v>0.99999998461300899</v>
      </c>
    </row>
    <row r="7949" spans="1:40" x14ac:dyDescent="0.25">
      <c r="A7949" t="str">
        <f>"20190303162110705"</f>
        <v>20190303162110705</v>
      </c>
      <c r="B7949" t="str">
        <f>"1551601270701110"</f>
        <v>1551601270701110</v>
      </c>
      <c r="C7949" t="s">
        <v>40</v>
      </c>
      <c r="D7949">
        <v>4.7432889999999999</v>
      </c>
      <c r="E7949">
        <v>0.49008790000000002</v>
      </c>
      <c r="F7949" t="s">
        <v>75</v>
      </c>
      <c r="G7949">
        <v>-361.464</v>
      </c>
      <c r="H7949" s="1">
        <v>-4.0845929999999998E-6</v>
      </c>
      <c r="I7949">
        <v>19.339310000000001</v>
      </c>
      <c r="J7949">
        <v>-382.45389999999998</v>
      </c>
      <c r="K7949">
        <v>1.1216729999999999</v>
      </c>
      <c r="L7949">
        <v>17.82367</v>
      </c>
      <c r="M7949">
        <v>0.99941760000000002</v>
      </c>
      <c r="N7949">
        <v>-9.8426699999999995E-3</v>
      </c>
      <c r="O7949">
        <v>-3.2679100000000003E-2</v>
      </c>
      <c r="P7949">
        <v>0.99277510000000002</v>
      </c>
      <c r="Q7949">
        <v>0.11113149999999999</v>
      </c>
      <c r="R7949">
        <v>4.5250659999999998E-2</v>
      </c>
      <c r="S7949">
        <v>3.0299680000000002</v>
      </c>
      <c r="T7949">
        <v>-0.16053190000000001</v>
      </c>
      <c r="U7949">
        <v>0.2161865</v>
      </c>
      <c r="V7949">
        <v>-7.7829419999999996E-2</v>
      </c>
      <c r="W7949">
        <v>0.1207761</v>
      </c>
      <c r="X7949">
        <v>0.98962399999999995</v>
      </c>
      <c r="Y7949">
        <v>-0.1035266</v>
      </c>
      <c r="Z7949">
        <v>4.6549E-3</v>
      </c>
      <c r="AA7949">
        <v>0.99461580000000005</v>
      </c>
      <c r="AB7949">
        <v>21</v>
      </c>
      <c r="AC7949">
        <v>20.989899999999899</v>
      </c>
      <c r="AD7949">
        <v>-1.121677084593</v>
      </c>
      <c r="AE7949">
        <v>1.5156400000000001</v>
      </c>
      <c r="AF7949">
        <v>-2.1945600317592802</v>
      </c>
      <c r="AG7949">
        <v>-1.121677084593</v>
      </c>
      <c r="AH7949">
        <v>20.8698667072102</v>
      </c>
      <c r="AI7949">
        <v>93.0596362154769</v>
      </c>
      <c r="AJ7949">
        <v>96.002847478985998</v>
      </c>
      <c r="AK7949">
        <v>21.014889711626299</v>
      </c>
      <c r="AL7949">
        <v>83.063104194089306</v>
      </c>
      <c r="AM7949">
        <v>94.496796272425698</v>
      </c>
      <c r="AN7949">
        <v>0.99999997316237199</v>
      </c>
    </row>
    <row r="7950" spans="1:40" x14ac:dyDescent="0.25">
      <c r="A7950" t="str">
        <f>"20190303162110720"</f>
        <v>20190303162110720</v>
      </c>
      <c r="B7950" t="str">
        <f>"1551601270710871"</f>
        <v>1551601270710871</v>
      </c>
      <c r="C7950" t="s">
        <v>40</v>
      </c>
      <c r="D7950">
        <v>4.6299429999999999</v>
      </c>
      <c r="E7950">
        <v>0.48987920000000001</v>
      </c>
      <c r="F7950" t="s">
        <v>75</v>
      </c>
      <c r="G7950">
        <v>-361.45530000000002</v>
      </c>
      <c r="H7950" s="1">
        <v>-4.0889739999999999E-6</v>
      </c>
      <c r="I7950">
        <v>19.337969999999999</v>
      </c>
      <c r="J7950">
        <v>-382.31479999999999</v>
      </c>
      <c r="K7950">
        <v>1.121594</v>
      </c>
      <c r="L7950">
        <v>17.819949999999999</v>
      </c>
      <c r="M7950">
        <v>0.99943879999999996</v>
      </c>
      <c r="N7950">
        <v>-9.8443850000000006E-3</v>
      </c>
      <c r="O7950">
        <v>-3.20205E-2</v>
      </c>
      <c r="P7950">
        <v>0.99272380000000005</v>
      </c>
      <c r="Q7950">
        <v>0.1114397</v>
      </c>
      <c r="R7950">
        <v>4.5617280000000003E-2</v>
      </c>
      <c r="S7950">
        <v>3.0299990000000001</v>
      </c>
      <c r="T7950">
        <v>-0.16185250000000001</v>
      </c>
      <c r="U7950">
        <v>0.2185059</v>
      </c>
      <c r="V7950">
        <v>-7.7518160000000003E-2</v>
      </c>
      <c r="W7950">
        <v>0.1211013</v>
      </c>
      <c r="X7950">
        <v>0.98960870000000001</v>
      </c>
      <c r="Y7950">
        <v>-0.1036251</v>
      </c>
      <c r="Z7950">
        <v>4.6659520000000001E-3</v>
      </c>
      <c r="AA7950">
        <v>0.99460550000000003</v>
      </c>
      <c r="AB7950">
        <v>21</v>
      </c>
      <c r="AC7950">
        <v>20.859499999999901</v>
      </c>
      <c r="AD7950">
        <v>-1.121598088974</v>
      </c>
      <c r="AE7950">
        <v>1.5180199999999999</v>
      </c>
      <c r="AF7950">
        <v>-2.1789390471276699</v>
      </c>
      <c r="AG7950">
        <v>-1.121598088974</v>
      </c>
      <c r="AH7950">
        <v>20.740544762682401</v>
      </c>
      <c r="AI7950">
        <v>93.078491886549003</v>
      </c>
      <c r="AJ7950">
        <v>95.997322181365107</v>
      </c>
      <c r="AK7950">
        <v>20.8848259436635</v>
      </c>
      <c r="AL7950">
        <v>83.044333910734693</v>
      </c>
      <c r="AM7950">
        <v>94.478954704410697</v>
      </c>
      <c r="AN7950">
        <v>0.99999998455358197</v>
      </c>
    </row>
    <row r="7951" spans="1:40" x14ac:dyDescent="0.25">
      <c r="A7951" t="str">
        <f>"20190303162110733"</f>
        <v>20190303162110733</v>
      </c>
      <c r="B7951" t="str">
        <f>"1551601270720631"</f>
        <v>1551601270720631</v>
      </c>
      <c r="C7951" t="s">
        <v>40</v>
      </c>
      <c r="D7951">
        <v>4.9210250000000002</v>
      </c>
      <c r="E7951">
        <v>0.48973159999999999</v>
      </c>
      <c r="F7951" t="s">
        <v>75</v>
      </c>
      <c r="G7951">
        <v>-361.13139999999999</v>
      </c>
      <c r="H7951" s="1">
        <v>-4.2373820000000002E-6</v>
      </c>
      <c r="I7951">
        <v>19.3643</v>
      </c>
      <c r="J7951">
        <v>-382.1943</v>
      </c>
      <c r="K7951">
        <v>1.121532</v>
      </c>
      <c r="L7951">
        <v>17.81671</v>
      </c>
      <c r="M7951">
        <v>0.99945510000000004</v>
      </c>
      <c r="N7951">
        <v>-9.8460019999999995E-3</v>
      </c>
      <c r="O7951">
        <v>-3.150526E-2</v>
      </c>
      <c r="P7951">
        <v>0.9926971</v>
      </c>
      <c r="Q7951">
        <v>0.11161459999999999</v>
      </c>
      <c r="R7951">
        <v>4.5763560000000002E-2</v>
      </c>
      <c r="S7951">
        <v>3.0298159999999998</v>
      </c>
      <c r="T7951">
        <v>-0.160419799999999</v>
      </c>
      <c r="U7951">
        <v>0.2208862</v>
      </c>
      <c r="V7951">
        <v>-7.7133660000000007E-2</v>
      </c>
      <c r="W7951">
        <v>0.1212906</v>
      </c>
      <c r="X7951">
        <v>0.98961560000000004</v>
      </c>
      <c r="Y7951">
        <v>-0.1038975</v>
      </c>
      <c r="Z7951">
        <v>4.6130119999999997E-3</v>
      </c>
      <c r="AA7951">
        <v>0.9945773</v>
      </c>
      <c r="AB7951">
        <v>21</v>
      </c>
      <c r="AC7951">
        <v>21.062899999999999</v>
      </c>
      <c r="AD7951">
        <v>-1.1215362373819999</v>
      </c>
      <c r="AE7951">
        <v>1.54758999999999</v>
      </c>
      <c r="AF7951">
        <v>-2.2042300110847801</v>
      </c>
      <c r="AG7951">
        <v>-1.1215362373819999</v>
      </c>
      <c r="AH7951">
        <v>20.944619255778601</v>
      </c>
      <c r="AI7951">
        <v>93.048327383984997</v>
      </c>
      <c r="AJ7951">
        <v>96.007743105864705</v>
      </c>
      <c r="AK7951">
        <v>21.090129189814299</v>
      </c>
      <c r="AL7951">
        <v>83.033407547282494</v>
      </c>
      <c r="AM7951">
        <v>94.456797295035997</v>
      </c>
      <c r="AN7951">
        <v>1.0000000234583499</v>
      </c>
    </row>
    <row r="7952" spans="1:40" x14ac:dyDescent="0.25">
      <c r="A7952" t="str">
        <f>"20190303162110750"</f>
        <v>20190303162110750</v>
      </c>
      <c r="B7952" t="str">
        <f>"1551601270741126"</f>
        <v>1551601270741126</v>
      </c>
      <c r="C7952" t="s">
        <v>40</v>
      </c>
      <c r="D7952">
        <v>4.7888080000000004</v>
      </c>
      <c r="E7952">
        <v>0.48947679999999999</v>
      </c>
      <c r="F7952" t="s">
        <v>75</v>
      </c>
      <c r="G7952">
        <v>-360.851</v>
      </c>
      <c r="H7952" s="1">
        <v>-4.3667400000000003E-6</v>
      </c>
      <c r="I7952">
        <v>19.382259999999999</v>
      </c>
      <c r="J7952">
        <v>-382.03019999999998</v>
      </c>
      <c r="K7952">
        <v>1.121454</v>
      </c>
      <c r="L7952">
        <v>17.812290000000001</v>
      </c>
      <c r="M7952">
        <v>0.99947439999999999</v>
      </c>
      <c r="N7952">
        <v>-9.8482859999999995E-3</v>
      </c>
      <c r="O7952">
        <v>-3.088639E-2</v>
      </c>
      <c r="P7952">
        <v>0.99269759999999996</v>
      </c>
      <c r="Q7952">
        <v>0.11192589999999999</v>
      </c>
      <c r="R7952">
        <v>4.4992360000000002E-2</v>
      </c>
      <c r="S7952">
        <v>3.0296630000000002</v>
      </c>
      <c r="T7952">
        <v>-0.1592016</v>
      </c>
      <c r="U7952">
        <v>0.22222900000000001</v>
      </c>
      <c r="V7952">
        <v>-7.5726169999999995E-2</v>
      </c>
      <c r="W7952">
        <v>0.12162100000000001</v>
      </c>
      <c r="X7952">
        <v>0.98968370000000006</v>
      </c>
      <c r="Y7952">
        <v>-0.1037275</v>
      </c>
      <c r="Z7952">
        <v>4.5480989999999999E-3</v>
      </c>
      <c r="AA7952">
        <v>0.99459529999999996</v>
      </c>
      <c r="AB7952">
        <v>21</v>
      </c>
      <c r="AC7952">
        <v>21.179199999999899</v>
      </c>
      <c r="AD7952">
        <v>-1.12145836674</v>
      </c>
      <c r="AE7952">
        <v>1.5699700000000001</v>
      </c>
      <c r="AF7952">
        <v>-2.21721897439524</v>
      </c>
      <c r="AG7952">
        <v>-1.12145836674</v>
      </c>
      <c r="AH7952">
        <v>21.061870826003801</v>
      </c>
      <c r="AI7952">
        <v>93.031169271972104</v>
      </c>
      <c r="AJ7952">
        <v>96.009490093681706</v>
      </c>
      <c r="AK7952">
        <v>21.2079261489666</v>
      </c>
      <c r="AL7952">
        <v>83.014335478689205</v>
      </c>
      <c r="AM7952">
        <v>94.375491107977197</v>
      </c>
      <c r="AN7952">
        <v>0.99999997325477896</v>
      </c>
    </row>
    <row r="7953" spans="1:40" x14ac:dyDescent="0.25">
      <c r="A7953" t="str">
        <f>"20190303162110773"</f>
        <v>20190303162110773</v>
      </c>
      <c r="B7953" t="str">
        <f>"1551601270760646"</f>
        <v>1551601270760646</v>
      </c>
      <c r="C7953" t="s">
        <v>40</v>
      </c>
      <c r="D7953">
        <v>4.8447250000000004</v>
      </c>
      <c r="E7953">
        <v>0.4896838</v>
      </c>
      <c r="F7953" t="s">
        <v>75</v>
      </c>
      <c r="G7953">
        <v>-360.4513</v>
      </c>
      <c r="H7953" s="1">
        <v>-4.5536949999999998E-6</v>
      </c>
      <c r="I7953">
        <v>19.39357</v>
      </c>
      <c r="J7953">
        <v>-381.82130000000001</v>
      </c>
      <c r="K7953">
        <v>1.1213569999999999</v>
      </c>
      <c r="L7953">
        <v>17.806609999999999</v>
      </c>
      <c r="M7953">
        <v>0.99949359999999998</v>
      </c>
      <c r="N7953">
        <v>-9.8513219999999992E-3</v>
      </c>
      <c r="O7953">
        <v>-3.025957E-2</v>
      </c>
      <c r="P7953">
        <v>0.9927203</v>
      </c>
      <c r="Q7953">
        <v>0.11216370000000001</v>
      </c>
      <c r="R7953">
        <v>4.3883579999999998E-2</v>
      </c>
      <c r="S7953">
        <v>3.0297239999999999</v>
      </c>
      <c r="T7953">
        <v>-0.15745499999999901</v>
      </c>
      <c r="U7953">
        <v>0.2220154</v>
      </c>
      <c r="V7953">
        <v>-7.3970030000000006E-2</v>
      </c>
      <c r="W7953">
        <v>0.1218803</v>
      </c>
      <c r="X7953">
        <v>0.98978469999999996</v>
      </c>
      <c r="Y7953">
        <v>-0.1030383</v>
      </c>
      <c r="Z7953">
        <v>4.4528950000000001E-3</v>
      </c>
      <c r="AA7953">
        <v>0.99466739999999998</v>
      </c>
      <c r="AB7953">
        <v>21</v>
      </c>
      <c r="AC7953">
        <v>21.37</v>
      </c>
      <c r="AD7953">
        <v>-1.1213615536949999</v>
      </c>
      <c r="AE7953">
        <v>1.5869599999999999</v>
      </c>
      <c r="AF7953">
        <v>-2.2268136997488899</v>
      </c>
      <c r="AG7953">
        <v>-1.1213615536949999</v>
      </c>
      <c r="AH7953">
        <v>21.253988611006399</v>
      </c>
      <c r="AI7953">
        <v>93.0037174339854</v>
      </c>
      <c r="AJ7953">
        <v>95.981147141047799</v>
      </c>
      <c r="AK7953">
        <v>21.399723896917099</v>
      </c>
      <c r="AL7953">
        <v>82.9993679590157</v>
      </c>
      <c r="AM7953">
        <v>94.273966528265603</v>
      </c>
      <c r="AN7953">
        <v>1.0000000626101799</v>
      </c>
    </row>
    <row r="7954" spans="1:40" x14ac:dyDescent="0.25">
      <c r="A7954" t="str">
        <f>"20190303162110787"</f>
        <v>20190303162110787</v>
      </c>
      <c r="B7954" t="str">
        <f>"1551601270782119"</f>
        <v>1551601270782119</v>
      </c>
      <c r="C7954" t="s">
        <v>40</v>
      </c>
      <c r="D7954">
        <v>4.8036649999999996</v>
      </c>
      <c r="E7954">
        <v>0.49374810000000002</v>
      </c>
      <c r="F7954" t="s">
        <v>44</v>
      </c>
      <c r="G7954">
        <v>-359.01</v>
      </c>
      <c r="H7954">
        <v>-0.05</v>
      </c>
      <c r="I7954">
        <v>19.439209999999999</v>
      </c>
      <c r="J7954">
        <v>-381.68509999999998</v>
      </c>
      <c r="K7954">
        <v>1.1213040000000001</v>
      </c>
      <c r="L7954">
        <v>17.802889999999898</v>
      </c>
      <c r="M7954">
        <v>0.99950369999999999</v>
      </c>
      <c r="N7954">
        <v>-9.8535050000000002E-3</v>
      </c>
      <c r="O7954">
        <v>-2.992643E-2</v>
      </c>
      <c r="P7954">
        <v>0.99272079999999996</v>
      </c>
      <c r="Q7954">
        <v>0.1125172</v>
      </c>
      <c r="R7954">
        <v>4.2961020000000003E-2</v>
      </c>
      <c r="S7954">
        <v>3.0300289999999999</v>
      </c>
      <c r="T7954">
        <v>-0.15559200000000001</v>
      </c>
      <c r="U7954">
        <v>0.21685789999999999</v>
      </c>
      <c r="V7954">
        <v>-7.2701349999999998E-2</v>
      </c>
      <c r="W7954">
        <v>0.1222466</v>
      </c>
      <c r="X7954">
        <v>0.98983350000000003</v>
      </c>
      <c r="Y7954">
        <v>-0.1010229</v>
      </c>
      <c r="Z7954">
        <v>4.3271830000000001E-3</v>
      </c>
      <c r="AA7954">
        <v>0.9948747</v>
      </c>
      <c r="AB7954">
        <v>21</v>
      </c>
      <c r="AC7954">
        <v>22.675099999999901</v>
      </c>
      <c r="AD7954">
        <v>-1.1713039999999999</v>
      </c>
      <c r="AE7954">
        <v>1.63632</v>
      </c>
      <c r="AF7954">
        <v>-2.30807782852759</v>
      </c>
      <c r="AG7954">
        <v>-1.1713039999999999</v>
      </c>
      <c r="AH7954">
        <v>22.556095868618399</v>
      </c>
      <c r="AI7954">
        <v>92.957199344485204</v>
      </c>
      <c r="AJ7954">
        <v>95.8425199468264</v>
      </c>
      <c r="AK7954">
        <v>22.704110578422998</v>
      </c>
      <c r="AL7954">
        <v>82.978222219583301</v>
      </c>
      <c r="AM7954">
        <v>94.2007209093413</v>
      </c>
      <c r="AN7954">
        <v>1.00000003761281</v>
      </c>
    </row>
    <row r="7955" spans="1:40" x14ac:dyDescent="0.25">
      <c r="A7955" t="str">
        <f>"20190303162110802"</f>
        <v>20190303162110802</v>
      </c>
      <c r="B7955" t="str">
        <f>"1551601270790904"</f>
        <v>1551601270790904</v>
      </c>
      <c r="C7955" t="s">
        <v>40</v>
      </c>
      <c r="D7955">
        <v>4.8373660000000003</v>
      </c>
      <c r="E7955">
        <v>0.49555579999999999</v>
      </c>
      <c r="F7955" t="s">
        <v>41</v>
      </c>
      <c r="G7955">
        <v>-359.08089999999999</v>
      </c>
      <c r="H7955" s="1">
        <v>-4.5819920000000002E-7</v>
      </c>
      <c r="I7955">
        <v>19.156189999999999</v>
      </c>
      <c r="J7955">
        <v>-381.53469999999999</v>
      </c>
      <c r="K7955">
        <v>1.1212519999999999</v>
      </c>
      <c r="L7955">
        <v>17.798770000000001</v>
      </c>
      <c r="M7955">
        <v>0.99951230000000002</v>
      </c>
      <c r="N7955">
        <v>-9.8561889999999996E-3</v>
      </c>
      <c r="O7955">
        <v>-2.9637150000000001E-2</v>
      </c>
      <c r="P7955">
        <v>0.99265740000000002</v>
      </c>
      <c r="Q7955">
        <v>0.1134105</v>
      </c>
      <c r="R7955">
        <v>4.2062330000000002E-2</v>
      </c>
      <c r="S7955">
        <v>3.0311889999999999</v>
      </c>
      <c r="T7955">
        <v>-0.15036569999999999</v>
      </c>
      <c r="U7955">
        <v>0.18148800000000001</v>
      </c>
      <c r="V7955">
        <v>-7.1499090000000001E-2</v>
      </c>
      <c r="W7955">
        <v>0.1231524</v>
      </c>
      <c r="X7955">
        <v>0.98980869999999999</v>
      </c>
      <c r="Y7955">
        <v>-8.9171440000000005E-2</v>
      </c>
      <c r="Z7955">
        <v>3.8250210000000001E-3</v>
      </c>
      <c r="AA7955">
        <v>0.99600889999999997</v>
      </c>
      <c r="AB7955">
        <v>21</v>
      </c>
      <c r="AC7955">
        <v>22.453800000000001</v>
      </c>
      <c r="AD7955">
        <v>-1.1212524581991901</v>
      </c>
      <c r="AE7955">
        <v>1.3574199999999901</v>
      </c>
      <c r="AF7955">
        <v>-2.0173104574948502</v>
      </c>
      <c r="AG7955">
        <v>-1.1212524581991901</v>
      </c>
      <c r="AH7955">
        <v>22.3481790666123</v>
      </c>
      <c r="AI7955">
        <v>92.860623092673706</v>
      </c>
      <c r="AJ7955">
        <v>95.157958012879405</v>
      </c>
      <c r="AK7955">
        <v>22.467039327652898</v>
      </c>
      <c r="AL7955">
        <v>82.925927928041602</v>
      </c>
      <c r="AM7955">
        <v>94.131599435404397</v>
      </c>
      <c r="AN7955">
        <v>0.99999994804613701</v>
      </c>
    </row>
    <row r="7956" spans="1:40" x14ac:dyDescent="0.25">
      <c r="A7956" t="str">
        <f>"20190303162110819"</f>
        <v>20190303162110819</v>
      </c>
      <c r="B7956" t="str">
        <f>"1551601270810422"</f>
        <v>1551601270810422</v>
      </c>
      <c r="C7956" t="s">
        <v>40</v>
      </c>
      <c r="D7956">
        <v>4.794035</v>
      </c>
      <c r="E7956">
        <v>0.49886829999999999</v>
      </c>
      <c r="F7956" t="s">
        <v>41</v>
      </c>
      <c r="G7956">
        <v>-358.64409999999998</v>
      </c>
      <c r="H7956" s="1">
        <v>-6.6621129999999999E-7</v>
      </c>
      <c r="I7956">
        <v>19.03998</v>
      </c>
      <c r="J7956">
        <v>-381.38479999999998</v>
      </c>
      <c r="K7956">
        <v>1.12121</v>
      </c>
      <c r="L7956">
        <v>17.794619999999998</v>
      </c>
      <c r="M7956">
        <v>0.99951880000000004</v>
      </c>
      <c r="N7956">
        <v>-9.8612579999999995E-3</v>
      </c>
      <c r="O7956">
        <v>-2.9411940000000001E-2</v>
      </c>
      <c r="P7956">
        <v>0.99266989999999999</v>
      </c>
      <c r="Q7956">
        <v>0.1145301</v>
      </c>
      <c r="R7956">
        <v>3.8591460000000001E-2</v>
      </c>
      <c r="S7956">
        <v>3.0321959999999999</v>
      </c>
      <c r="T7956">
        <v>-0.14852609999999999</v>
      </c>
      <c r="U7956">
        <v>0.16442870000000001</v>
      </c>
      <c r="V7956">
        <v>-6.7793350000000002E-2</v>
      </c>
      <c r="W7956">
        <v>0.1242871</v>
      </c>
      <c r="X7956">
        <v>0.98992760000000002</v>
      </c>
      <c r="Y7956">
        <v>-8.3352590000000004E-2</v>
      </c>
      <c r="Z7956">
        <v>3.5995290000000002E-3</v>
      </c>
      <c r="AA7956">
        <v>0.9965136</v>
      </c>
      <c r="AB7956">
        <v>21</v>
      </c>
      <c r="AC7956">
        <v>22.7407</v>
      </c>
      <c r="AD7956">
        <v>-1.1212106662112999</v>
      </c>
      <c r="AE7956">
        <v>1.24535999999999</v>
      </c>
      <c r="AF7956">
        <v>-1.90907486461916</v>
      </c>
      <c r="AG7956">
        <v>-1.1212106662112999</v>
      </c>
      <c r="AH7956">
        <v>22.639361195688199</v>
      </c>
      <c r="AI7956">
        <v>92.825236923716503</v>
      </c>
      <c r="AJ7956">
        <v>94.820090474540805</v>
      </c>
      <c r="AK7956">
        <v>22.747359309282</v>
      </c>
      <c r="AL7956">
        <v>82.860410970226397</v>
      </c>
      <c r="AM7956">
        <v>93.917677947678499</v>
      </c>
      <c r="AN7956">
        <v>0.99999993738619397</v>
      </c>
    </row>
    <row r="7957" spans="1:40" x14ac:dyDescent="0.25">
      <c r="A7957" t="str">
        <f>"20190303162110833"</f>
        <v>20190303162110833</v>
      </c>
      <c r="B7957" t="str">
        <f>"1551601270821158"</f>
        <v>1551601270821158</v>
      </c>
      <c r="C7957" t="s">
        <v>40</v>
      </c>
      <c r="D7957">
        <v>4.7580580000000001</v>
      </c>
      <c r="E7957">
        <v>0.50034639999999997</v>
      </c>
      <c r="F7957" t="s">
        <v>41</v>
      </c>
      <c r="G7957">
        <v>-358.35669999999999</v>
      </c>
      <c r="H7957" s="1">
        <v>-8.3806099999999995E-7</v>
      </c>
      <c r="I7957">
        <v>18.76614</v>
      </c>
      <c r="J7957">
        <v>-381.24189999999999</v>
      </c>
      <c r="K7957">
        <v>1.1211739999999999</v>
      </c>
      <c r="L7957">
        <v>17.790649999999999</v>
      </c>
      <c r="M7957">
        <v>0.99952370000000001</v>
      </c>
      <c r="N7957">
        <v>-9.8684800000000007E-3</v>
      </c>
      <c r="O7957">
        <v>-2.924125E-2</v>
      </c>
      <c r="P7957">
        <v>0.9926587</v>
      </c>
      <c r="Q7957">
        <v>0.1152113</v>
      </c>
      <c r="R7957">
        <v>3.681127E-2</v>
      </c>
      <c r="S7957">
        <v>3.0342099999999999</v>
      </c>
      <c r="T7957">
        <v>-0.14773249999999999</v>
      </c>
      <c r="U7957">
        <v>0.1280212</v>
      </c>
      <c r="V7957">
        <v>-6.5832719999999997E-2</v>
      </c>
      <c r="W7957">
        <v>0.1249826</v>
      </c>
      <c r="X7957">
        <v>0.98997239999999997</v>
      </c>
      <c r="Y7957">
        <v>-7.1230409999999994E-2</v>
      </c>
      <c r="Z7957">
        <v>3.2181760000000001E-3</v>
      </c>
      <c r="AA7957">
        <v>0.99745470000000003</v>
      </c>
      <c r="AB7957">
        <v>21</v>
      </c>
      <c r="AC7957">
        <v>22.885200000000001</v>
      </c>
      <c r="AD7957">
        <v>-1.1211748380609901</v>
      </c>
      <c r="AE7957">
        <v>0.97548999999999997</v>
      </c>
      <c r="AF7957">
        <v>-1.64036726721672</v>
      </c>
      <c r="AG7957">
        <v>-1.1211748380609901</v>
      </c>
      <c r="AH7957">
        <v>22.792281477813798</v>
      </c>
      <c r="AI7957">
        <v>92.808912355726306</v>
      </c>
      <c r="AJ7957">
        <v>94.116496620649997</v>
      </c>
      <c r="AK7957">
        <v>22.8787222709825</v>
      </c>
      <c r="AL7957">
        <v>82.820248864993502</v>
      </c>
      <c r="AM7957">
        <v>93.804542067708496</v>
      </c>
      <c r="AN7957">
        <v>0.99999997504355798</v>
      </c>
    </row>
    <row r="7958" spans="1:40" x14ac:dyDescent="0.25">
      <c r="A7958" t="str">
        <f>"20190303162110850"</f>
        <v>20190303162110850</v>
      </c>
      <c r="B7958" t="str">
        <f>"1551601270840678"</f>
        <v>1551601270840678</v>
      </c>
      <c r="C7958" t="s">
        <v>40</v>
      </c>
      <c r="D7958">
        <v>4.7739599999999998</v>
      </c>
      <c r="E7958">
        <v>0.5029226</v>
      </c>
      <c r="F7958" t="s">
        <v>41</v>
      </c>
      <c r="G7958">
        <v>-358.15530000000001</v>
      </c>
      <c r="H7958" s="1">
        <v>-9.475647E-7</v>
      </c>
      <c r="I7958">
        <v>18.63597</v>
      </c>
      <c r="J7958">
        <v>-381.08260000000001</v>
      </c>
      <c r="K7958">
        <v>1.121149</v>
      </c>
      <c r="L7958">
        <v>17.78613</v>
      </c>
      <c r="M7958">
        <v>0.99952790000000002</v>
      </c>
      <c r="N7958">
        <v>-9.8789740000000004E-3</v>
      </c>
      <c r="O7958">
        <v>-2.909583E-2</v>
      </c>
      <c r="P7958">
        <v>0.99274169999999995</v>
      </c>
      <c r="Q7958">
        <v>0.1156237</v>
      </c>
      <c r="R7958">
        <v>3.3094770000000003E-2</v>
      </c>
      <c r="S7958">
        <v>3.0351870000000001</v>
      </c>
      <c r="T7958">
        <v>-0.14740039999999999</v>
      </c>
      <c r="U7958">
        <v>0.11114499999999999</v>
      </c>
      <c r="V7958">
        <v>-6.1964600000000002E-2</v>
      </c>
      <c r="W7958">
        <v>0.12541260000000001</v>
      </c>
      <c r="X7958">
        <v>0.99016769999999998</v>
      </c>
      <c r="Y7958">
        <v>-6.554198E-2</v>
      </c>
      <c r="Z7958">
        <v>3.03864E-3</v>
      </c>
      <c r="AA7958">
        <v>0.99784519999999999</v>
      </c>
      <c r="AB7958">
        <v>21</v>
      </c>
      <c r="AC7958">
        <v>22.927299999999999</v>
      </c>
      <c r="AD7958">
        <v>-1.1211499475647</v>
      </c>
      <c r="AE7958">
        <v>0.84984000000000004</v>
      </c>
      <c r="AF7958">
        <v>-1.5129885399380101</v>
      </c>
      <c r="AG7958">
        <v>-1.1211499475647</v>
      </c>
      <c r="AH7958">
        <v>22.838327451803501</v>
      </c>
      <c r="AI7958">
        <v>92.804297794788198</v>
      </c>
      <c r="AJ7958">
        <v>93.790180048131802</v>
      </c>
      <c r="AK7958">
        <v>22.915831041503001</v>
      </c>
      <c r="AL7958">
        <v>82.795416494518605</v>
      </c>
      <c r="AM7958">
        <v>93.580894722893404</v>
      </c>
      <c r="AN7958">
        <v>1.0000000030075999</v>
      </c>
    </row>
    <row r="7959" spans="1:40" x14ac:dyDescent="0.25">
      <c r="A7959" t="str">
        <f>"20190303162110862"</f>
        <v>20190303162110862</v>
      </c>
      <c r="B7959" t="str">
        <f>"1551601270850439"</f>
        <v>1551601270850439</v>
      </c>
      <c r="C7959" t="s">
        <v>40</v>
      </c>
      <c r="D7959">
        <v>4.758667</v>
      </c>
      <c r="E7959">
        <v>0.50408039999999998</v>
      </c>
      <c r="F7959" t="s">
        <v>41</v>
      </c>
      <c r="G7959">
        <v>-358.22160000000002</v>
      </c>
      <c r="H7959" s="1">
        <v>-9.6323129999999998E-7</v>
      </c>
      <c r="I7959">
        <v>18.38729</v>
      </c>
      <c r="J7959">
        <v>-380.96249999999998</v>
      </c>
      <c r="K7959">
        <v>1.1211279999999999</v>
      </c>
      <c r="L7959">
        <v>17.782779999999999</v>
      </c>
      <c r="M7959">
        <v>0.99953029999999998</v>
      </c>
      <c r="N7959">
        <v>-9.8880589999999994E-3</v>
      </c>
      <c r="O7959">
        <v>-2.9012940000000001E-2</v>
      </c>
      <c r="P7959">
        <v>0.99282859999999995</v>
      </c>
      <c r="Q7959">
        <v>0.1153589</v>
      </c>
      <c r="R7959">
        <v>3.1370929999999998E-2</v>
      </c>
      <c r="S7959">
        <v>3.0366520000000001</v>
      </c>
      <c r="T7959">
        <v>-0.1489239</v>
      </c>
      <c r="U7959">
        <v>7.9864500000000005E-2</v>
      </c>
      <c r="V7959">
        <v>-6.0154779999999998E-2</v>
      </c>
      <c r="W7959">
        <v>0.12516179999999999</v>
      </c>
      <c r="X7959">
        <v>0.99031100000000005</v>
      </c>
      <c r="Y7959">
        <v>-5.5182460000000003E-2</v>
      </c>
      <c r="Z7959">
        <v>2.7601990000000001E-3</v>
      </c>
      <c r="AA7959">
        <v>0.99847249999999999</v>
      </c>
      <c r="AB7959">
        <v>21</v>
      </c>
      <c r="AC7959">
        <v>22.7408999999999</v>
      </c>
      <c r="AD7959">
        <v>-1.1211289632313</v>
      </c>
      <c r="AE7959">
        <v>0.60451000000000099</v>
      </c>
      <c r="AF7959">
        <v>-1.26100529790327</v>
      </c>
      <c r="AG7959">
        <v>-1.1211289632313</v>
      </c>
      <c r="AH7959">
        <v>22.658753261265499</v>
      </c>
      <c r="AI7959">
        <v>92.828249749284097</v>
      </c>
      <c r="AJ7959">
        <v>93.185339858447307</v>
      </c>
      <c r="AK7959">
        <v>22.7214912333774</v>
      </c>
      <c r="AL7959">
        <v>82.809900200947993</v>
      </c>
      <c r="AM7959">
        <v>93.476064913856405</v>
      </c>
      <c r="AN7959">
        <v>0.999999975228543</v>
      </c>
    </row>
    <row r="7960" spans="1:40" x14ac:dyDescent="0.25">
      <c r="A7960" t="str">
        <f>"20190303162110875"</f>
        <v>20190303162110875</v>
      </c>
      <c r="B7960" t="str">
        <f>"1551601270870934"</f>
        <v>1551601270870934</v>
      </c>
      <c r="C7960" t="s">
        <v>40</v>
      </c>
      <c r="D7960">
        <v>4.7795079999999999</v>
      </c>
      <c r="E7960">
        <v>0.50616220000000001</v>
      </c>
      <c r="F7960" t="s">
        <v>41</v>
      </c>
      <c r="G7960">
        <v>-358.35079999999999</v>
      </c>
      <c r="H7960" s="1">
        <v>-9.2834940000000002E-7</v>
      </c>
      <c r="I7960">
        <v>18.271419999999999</v>
      </c>
      <c r="J7960">
        <v>-380.84190000000001</v>
      </c>
      <c r="K7960">
        <v>1.121116</v>
      </c>
      <c r="L7960">
        <v>17.779329999999899</v>
      </c>
      <c r="M7960">
        <v>0.99953190000000003</v>
      </c>
      <c r="N7960">
        <v>-9.8973989999999994E-3</v>
      </c>
      <c r="O7960">
        <v>-2.895226E-2</v>
      </c>
      <c r="P7960">
        <v>0.99292659999999999</v>
      </c>
      <c r="Q7960">
        <v>0.1149027</v>
      </c>
      <c r="R7960">
        <v>2.9905609999999999E-2</v>
      </c>
      <c r="S7960">
        <v>3.037048</v>
      </c>
      <c r="T7960">
        <v>-0.150582299999999</v>
      </c>
      <c r="U7960">
        <v>6.5643309999999996E-2</v>
      </c>
      <c r="V7960">
        <v>-5.8628020000000003E-2</v>
      </c>
      <c r="W7960">
        <v>0.1247186</v>
      </c>
      <c r="X7960">
        <v>0.99045850000000002</v>
      </c>
      <c r="Y7960">
        <v>-5.0449899999999999E-2</v>
      </c>
      <c r="Z7960">
        <v>2.6476910000000002E-3</v>
      </c>
      <c r="AA7960">
        <v>0.99872309999999997</v>
      </c>
      <c r="AB7960">
        <v>21</v>
      </c>
      <c r="AC7960">
        <v>22.491099999999999</v>
      </c>
      <c r="AD7960">
        <v>-1.12111692834939</v>
      </c>
      <c r="AE7960">
        <v>0.49209000000000402</v>
      </c>
      <c r="AF7960">
        <v>-1.1402518254493801</v>
      </c>
      <c r="AG7960">
        <v>-1.12111692834939</v>
      </c>
      <c r="AH7960">
        <v>22.4117622029747</v>
      </c>
      <c r="AI7960">
        <v>92.8600606804861</v>
      </c>
      <c r="AJ7960">
        <v>92.912548040704806</v>
      </c>
      <c r="AK7960">
        <v>22.4687374463978</v>
      </c>
      <c r="AL7960">
        <v>82.835494468476597</v>
      </c>
      <c r="AM7960">
        <v>93.387545361873094</v>
      </c>
      <c r="AN7960">
        <v>1.0000000070686601</v>
      </c>
    </row>
    <row r="7961" spans="1:40" x14ac:dyDescent="0.25">
      <c r="A7961" t="str">
        <f>"20190303162110888"</f>
        <v>20190303162110888</v>
      </c>
      <c r="B7961" t="str">
        <f>"1551601270880694"</f>
        <v>1551601270880694</v>
      </c>
      <c r="C7961" t="s">
        <v>40</v>
      </c>
      <c r="D7961">
        <v>4.757231</v>
      </c>
      <c r="E7961">
        <v>0.50711660000000003</v>
      </c>
      <c r="F7961" t="s">
        <v>41</v>
      </c>
      <c r="G7961">
        <v>-358.62090000000001</v>
      </c>
      <c r="H7961" s="1">
        <v>-8.5677009999999995E-7</v>
      </c>
      <c r="I7961">
        <v>18.107620000000001</v>
      </c>
      <c r="J7961">
        <v>-380.72140000000002</v>
      </c>
      <c r="K7961">
        <v>1.1211070000000001</v>
      </c>
      <c r="L7961">
        <v>17.77591</v>
      </c>
      <c r="M7961">
        <v>0.99953320000000001</v>
      </c>
      <c r="N7961">
        <v>-9.9066850000000001E-3</v>
      </c>
      <c r="O7961">
        <v>-2.8900840000000001E-2</v>
      </c>
      <c r="P7961">
        <v>0.99302159999999995</v>
      </c>
      <c r="Q7961">
        <v>0.11449860000000001</v>
      </c>
      <c r="R7961">
        <v>2.825561E-2</v>
      </c>
      <c r="S7961">
        <v>3.03775</v>
      </c>
      <c r="T7961">
        <v>-0.15326389999999901</v>
      </c>
      <c r="U7961">
        <v>4.4891359999999998E-2</v>
      </c>
      <c r="V7961">
        <v>-5.6926749999999998E-2</v>
      </c>
      <c r="W7961">
        <v>0.1243264</v>
      </c>
      <c r="X7961">
        <v>0.99060700000000002</v>
      </c>
      <c r="Y7961">
        <v>-4.3579100000000003E-2</v>
      </c>
      <c r="Z7961">
        <v>2.4855210000000001E-3</v>
      </c>
      <c r="AA7961">
        <v>0.99904689999999996</v>
      </c>
      <c r="AB7961">
        <v>21</v>
      </c>
      <c r="AC7961">
        <v>22.1005</v>
      </c>
      <c r="AD7961">
        <v>-1.1211078567701001</v>
      </c>
      <c r="AE7961">
        <v>0.331710000000001</v>
      </c>
      <c r="AF7961">
        <v>-0.967835807311342</v>
      </c>
      <c r="AG7961">
        <v>-1.1211078567701001</v>
      </c>
      <c r="AH7961">
        <v>22.025015950718402</v>
      </c>
      <c r="AI7961">
        <v>92.911125720119998</v>
      </c>
      <c r="AJ7961">
        <v>92.5161051499731</v>
      </c>
      <c r="AK7961">
        <v>22.074757452933198</v>
      </c>
      <c r="AL7961">
        <v>82.858141868242598</v>
      </c>
      <c r="AM7961">
        <v>93.288972491779305</v>
      </c>
      <c r="AN7961">
        <v>0.99999996852576001</v>
      </c>
    </row>
    <row r="7962" spans="1:40" x14ac:dyDescent="0.25">
      <c r="A7962" t="str">
        <f>"20190303162110907"</f>
        <v>20190303162110907</v>
      </c>
      <c r="B7962" t="str">
        <f>"1551601270901191"</f>
        <v>1551601270901191</v>
      </c>
      <c r="C7962" t="s">
        <v>40</v>
      </c>
      <c r="D7962">
        <v>4.7941690000000001</v>
      </c>
      <c r="E7962">
        <v>0.50894059999999997</v>
      </c>
      <c r="F7962" t="s">
        <v>41</v>
      </c>
      <c r="G7962">
        <v>-358.8657</v>
      </c>
      <c r="H7962" s="1">
        <v>-7.9926220000000001E-7</v>
      </c>
      <c r="I7962">
        <v>18.010719999999999</v>
      </c>
      <c r="J7962">
        <v>-380.54109999999997</v>
      </c>
      <c r="K7962">
        <v>1.121094</v>
      </c>
      <c r="L7962">
        <v>17.77075</v>
      </c>
      <c r="M7962">
        <v>0.9995347</v>
      </c>
      <c r="N7962">
        <v>-9.9200420000000004E-3</v>
      </c>
      <c r="O7962">
        <v>-2.8846409999999999E-2</v>
      </c>
      <c r="P7962">
        <v>0.99319060000000003</v>
      </c>
      <c r="Q7962">
        <v>0.1136872</v>
      </c>
      <c r="R7962">
        <v>2.5454620000000001E-2</v>
      </c>
      <c r="S7962">
        <v>3.0381770000000001</v>
      </c>
      <c r="T7962">
        <v>-0.15584609999999999</v>
      </c>
      <c r="U7962">
        <v>3.2653809999999998E-2</v>
      </c>
      <c r="V7962">
        <v>-5.4076050000000001E-2</v>
      </c>
      <c r="W7962">
        <v>0.1235314</v>
      </c>
      <c r="X7962">
        <v>0.99086620000000003</v>
      </c>
      <c r="Y7962">
        <v>-3.9502229999999999E-2</v>
      </c>
      <c r="Z7962">
        <v>2.401121E-3</v>
      </c>
      <c r="AA7962">
        <v>0.99921660000000001</v>
      </c>
      <c r="AB7962">
        <v>21</v>
      </c>
      <c r="AC7962">
        <v>21.6753999999999</v>
      </c>
      <c r="AD7962">
        <v>-1.1210947992622</v>
      </c>
      <c r="AE7962">
        <v>0.23997000000000299</v>
      </c>
      <c r="AF7962">
        <v>-0.862850343649472</v>
      </c>
      <c r="AG7962">
        <v>-1.1210947992622</v>
      </c>
      <c r="AH7962">
        <v>21.601675461175201</v>
      </c>
      <c r="AI7962">
        <v>92.968537283988894</v>
      </c>
      <c r="AJ7962">
        <v>92.287388110655201</v>
      </c>
      <c r="AK7962">
        <v>21.647950179968699</v>
      </c>
      <c r="AL7962">
        <v>82.904046296051305</v>
      </c>
      <c r="AM7962">
        <v>93.123791005957102</v>
      </c>
      <c r="AN7962">
        <v>1.000000026136</v>
      </c>
    </row>
    <row r="7963" spans="1:40" x14ac:dyDescent="0.25">
      <c r="A7963" t="str">
        <f>"20190303162110918"</f>
        <v>20190303162110918</v>
      </c>
      <c r="B7963" t="str">
        <f>"1551601270910950"</f>
        <v>1551601270910950</v>
      </c>
      <c r="C7963" t="s">
        <v>40</v>
      </c>
      <c r="D7963">
        <v>4.7571640000000004</v>
      </c>
      <c r="E7963">
        <v>0.50968769999999997</v>
      </c>
      <c r="F7963" t="s">
        <v>41</v>
      </c>
      <c r="G7963">
        <v>-359.1909</v>
      </c>
      <c r="H7963" s="1">
        <v>-7.3434969999999998E-7</v>
      </c>
      <c r="I7963">
        <v>17.838639999999899</v>
      </c>
      <c r="J7963">
        <v>-380.42110000000002</v>
      </c>
      <c r="K7963">
        <v>1.1210960000000001</v>
      </c>
      <c r="L7963">
        <v>17.767299999999999</v>
      </c>
      <c r="M7963">
        <v>0.99953539999999996</v>
      </c>
      <c r="N7963">
        <v>-9.9285109999999992E-3</v>
      </c>
      <c r="O7963">
        <v>-2.8818779999999999E-2</v>
      </c>
      <c r="P7963">
        <v>0.99321749999999998</v>
      </c>
      <c r="Q7963">
        <v>0.1137104</v>
      </c>
      <c r="R7963">
        <v>2.427172E-2</v>
      </c>
      <c r="S7963">
        <v>3.0385740000000001</v>
      </c>
      <c r="T7963">
        <v>-0.15955559999999999</v>
      </c>
      <c r="U7963">
        <v>9.6740720000000006E-3</v>
      </c>
      <c r="V7963">
        <v>-5.2867190000000001E-2</v>
      </c>
      <c r="W7963">
        <v>0.1235636</v>
      </c>
      <c r="X7963">
        <v>0.99092740000000001</v>
      </c>
      <c r="Y7963">
        <v>-3.1924059999999997E-2</v>
      </c>
      <c r="Z7963">
        <v>2.2222890000000001E-3</v>
      </c>
      <c r="AA7963">
        <v>0.99948780000000004</v>
      </c>
      <c r="AB7963">
        <v>21</v>
      </c>
      <c r="AC7963">
        <v>21.2302</v>
      </c>
      <c r="AD7963">
        <v>-1.12109673434969</v>
      </c>
      <c r="AE7963">
        <v>7.1339999999999196E-2</v>
      </c>
      <c r="AF7963">
        <v>-0.68126922258310896</v>
      </c>
      <c r="AG7963">
        <v>-1.12109673434969</v>
      </c>
      <c r="AH7963">
        <v>21.1603193088817</v>
      </c>
      <c r="AI7963">
        <v>93.031189536268201</v>
      </c>
      <c r="AJ7963">
        <v>91.844035151064602</v>
      </c>
      <c r="AK7963">
        <v>21.2009457075679</v>
      </c>
      <c r="AL7963">
        <v>82.902186995663101</v>
      </c>
      <c r="AM7963">
        <v>93.053904684210906</v>
      </c>
      <c r="AN7963">
        <v>1.0000000075471001</v>
      </c>
    </row>
    <row r="7964" spans="1:40" x14ac:dyDescent="0.25">
      <c r="A7964" t="str">
        <f>"20190303162110931"</f>
        <v>20190303162110931</v>
      </c>
      <c r="B7964" t="str">
        <f>"1551601270920711"</f>
        <v>1551601270920711</v>
      </c>
      <c r="C7964" t="s">
        <v>40</v>
      </c>
      <c r="D7964">
        <v>4.7537500000000001</v>
      </c>
      <c r="E7964">
        <v>0.51040180000000002</v>
      </c>
      <c r="F7964" t="s">
        <v>41</v>
      </c>
      <c r="G7964">
        <v>-359.0985</v>
      </c>
      <c r="H7964" s="1">
        <v>-7.8436929999999998E-7</v>
      </c>
      <c r="I7964">
        <v>17.768929999999902</v>
      </c>
      <c r="J7964">
        <v>-380.30869999999999</v>
      </c>
      <c r="K7964">
        <v>1.1211</v>
      </c>
      <c r="L7964">
        <v>17.764099999999999</v>
      </c>
      <c r="M7964">
        <v>0.99953610000000004</v>
      </c>
      <c r="N7964">
        <v>-9.9362779999999998E-3</v>
      </c>
      <c r="O7964">
        <v>-2.879398E-2</v>
      </c>
      <c r="P7964">
        <v>0.99325030000000003</v>
      </c>
      <c r="Q7964">
        <v>0.1136813</v>
      </c>
      <c r="R7964">
        <v>2.3040129999999999E-2</v>
      </c>
      <c r="S7964">
        <v>3.0387879999999998</v>
      </c>
      <c r="T7964">
        <v>-0.1597732</v>
      </c>
      <c r="U7964">
        <v>2.4414059999999999E-4</v>
      </c>
      <c r="V7964">
        <v>-5.1613230000000003E-2</v>
      </c>
      <c r="W7964">
        <v>0.12354179999999999</v>
      </c>
      <c r="X7964">
        <v>0.99099619999999999</v>
      </c>
      <c r="Y7964">
        <v>-2.880224E-2</v>
      </c>
      <c r="Z7964">
        <v>2.1266190000000002E-3</v>
      </c>
      <c r="AA7964">
        <v>0.99958290000000005</v>
      </c>
      <c r="AB7964">
        <v>21</v>
      </c>
      <c r="AC7964">
        <v>21.210199999999901</v>
      </c>
      <c r="AD7964">
        <v>-1.1211007843692999</v>
      </c>
      <c r="AE7964">
        <v>4.8299999999983304E-3</v>
      </c>
      <c r="AF7964">
        <v>-0.61386910453534205</v>
      </c>
      <c r="AG7964">
        <v>-1.1211007843692999</v>
      </c>
      <c r="AH7964">
        <v>21.142197933552499</v>
      </c>
      <c r="AI7964">
        <v>93.034086440259898</v>
      </c>
      <c r="AJ7964">
        <v>91.663130298384303</v>
      </c>
      <c r="AK7964">
        <v>21.180798750465701</v>
      </c>
      <c r="AL7964">
        <v>82.903445527872805</v>
      </c>
      <c r="AM7964">
        <v>92.981394598729693</v>
      </c>
      <c r="AN7964">
        <v>0.99999998513635602</v>
      </c>
    </row>
    <row r="7965" spans="1:40" x14ac:dyDescent="0.25">
      <c r="A7965" t="str">
        <f>"20190303162110949"</f>
        <v>20190303162110949</v>
      </c>
      <c r="B7965" t="str">
        <f>"1551601270940231"</f>
        <v>1551601270940231</v>
      </c>
      <c r="C7965" t="s">
        <v>40</v>
      </c>
      <c r="D7965">
        <v>4.7759479999999996</v>
      </c>
      <c r="E7965">
        <v>0.51170249999999995</v>
      </c>
      <c r="F7965" t="s">
        <v>41</v>
      </c>
      <c r="G7965">
        <v>-358.98230000000001</v>
      </c>
      <c r="H7965" s="1">
        <v>-8.4219199999999995E-7</v>
      </c>
      <c r="I7965">
        <v>17.700189999999999</v>
      </c>
      <c r="J7965">
        <v>-380.12549999999999</v>
      </c>
      <c r="K7965">
        <v>1.121108</v>
      </c>
      <c r="L7965">
        <v>17.758849999999999</v>
      </c>
      <c r="M7965">
        <v>0.99953720000000001</v>
      </c>
      <c r="N7965">
        <v>-9.9485489999999992E-3</v>
      </c>
      <c r="O7965">
        <v>-2.875409E-2</v>
      </c>
      <c r="P7965">
        <v>0.99334610000000001</v>
      </c>
      <c r="Q7965">
        <v>0.1133309</v>
      </c>
      <c r="R7965">
        <v>2.049378E-2</v>
      </c>
      <c r="S7965">
        <v>3.0388790000000001</v>
      </c>
      <c r="T7965">
        <v>-0.15974959999999999</v>
      </c>
      <c r="U7965">
        <v>-9.0942379999999993E-3</v>
      </c>
      <c r="V7965">
        <v>-4.9034580000000001E-2</v>
      </c>
      <c r="W7965">
        <v>0.12320349999999999</v>
      </c>
      <c r="X7965">
        <v>0.99116930000000003</v>
      </c>
      <c r="Y7965">
        <v>-2.569571E-2</v>
      </c>
      <c r="Z7965">
        <v>2.0272549999999999E-3</v>
      </c>
      <c r="AA7965">
        <v>0.9996678</v>
      </c>
      <c r="AB7965">
        <v>21</v>
      </c>
      <c r="AC7965">
        <v>21.143199999999901</v>
      </c>
      <c r="AD7965">
        <v>-1.1211088421919999</v>
      </c>
      <c r="AE7965">
        <v>-5.8659999999999698E-2</v>
      </c>
      <c r="AF7965">
        <v>-0.54780749800206396</v>
      </c>
      <c r="AG7965">
        <v>-1.1211088421919999</v>
      </c>
      <c r="AH7965">
        <v>21.076884162792201</v>
      </c>
      <c r="AI7965">
        <v>93.043747014873901</v>
      </c>
      <c r="AJ7965">
        <v>91.488834527609697</v>
      </c>
      <c r="AK7965">
        <v>21.1137875356997</v>
      </c>
      <c r="AL7965">
        <v>82.922978277693105</v>
      </c>
      <c r="AM7965">
        <v>92.832196126472397</v>
      </c>
      <c r="AN7965">
        <v>1.00000003685525</v>
      </c>
    </row>
    <row r="7966" spans="1:40" x14ac:dyDescent="0.25">
      <c r="A7966" t="str">
        <f>"20190303162110961"</f>
        <v>20190303162110961</v>
      </c>
      <c r="B7966" t="str">
        <f>"1551601270951943"</f>
        <v>1551601270951943</v>
      </c>
      <c r="C7966" t="s">
        <v>40</v>
      </c>
      <c r="D7966">
        <v>4.7190009999999996</v>
      </c>
      <c r="E7966">
        <v>0.51232500000000003</v>
      </c>
      <c r="F7966" t="s">
        <v>41</v>
      </c>
      <c r="G7966">
        <v>-359.08069999999998</v>
      </c>
      <c r="H7966" s="1">
        <v>-8.419973E-7</v>
      </c>
      <c r="I7966">
        <v>17.575129999999898</v>
      </c>
      <c r="J7966">
        <v>-380.0052</v>
      </c>
      <c r="K7966">
        <v>1.121116</v>
      </c>
      <c r="L7966">
        <v>17.755400000000002</v>
      </c>
      <c r="M7966">
        <v>0.99953789999999998</v>
      </c>
      <c r="N7966">
        <v>-9.9563280000000004E-3</v>
      </c>
      <c r="O7966">
        <v>-2.8725279999999999E-2</v>
      </c>
      <c r="P7966">
        <v>0.99342929999999996</v>
      </c>
      <c r="Q7966">
        <v>0.1128103</v>
      </c>
      <c r="R7966">
        <v>1.9292420000000001E-2</v>
      </c>
      <c r="S7966">
        <v>3.0391240000000002</v>
      </c>
      <c r="T7966">
        <v>-0.1619012</v>
      </c>
      <c r="U7966">
        <v>-2.651978E-2</v>
      </c>
      <c r="V7966">
        <v>-4.7810190000000002E-2</v>
      </c>
      <c r="W7966">
        <v>0.12269099999999999</v>
      </c>
      <c r="X7966">
        <v>0.99129270000000003</v>
      </c>
      <c r="Y7966">
        <v>-1.9942930000000001E-2</v>
      </c>
      <c r="Z7966">
        <v>1.873254E-3</v>
      </c>
      <c r="AA7966">
        <v>0.9997994</v>
      </c>
      <c r="AB7966">
        <v>22</v>
      </c>
      <c r="AC7966">
        <v>20.924499999999998</v>
      </c>
      <c r="AD7966">
        <v>-1.1211168419973001</v>
      </c>
      <c r="AE7966">
        <v>-0.18027000000000301</v>
      </c>
      <c r="AF7966">
        <v>-0.41969149692302199</v>
      </c>
      <c r="AG7966">
        <v>-1.1211168419973001</v>
      </c>
      <c r="AH7966">
        <v>20.8611608787599</v>
      </c>
      <c r="AI7966">
        <v>93.075599266983403</v>
      </c>
      <c r="AJ7966">
        <v>91.152539311875799</v>
      </c>
      <c r="AK7966">
        <v>20.8954798254432</v>
      </c>
      <c r="AL7966">
        <v>82.952566984794203</v>
      </c>
      <c r="AM7966">
        <v>92.761244022547999</v>
      </c>
      <c r="AN7966">
        <v>1.00000005641106</v>
      </c>
    </row>
    <row r="7967" spans="1:40" x14ac:dyDescent="0.25">
      <c r="A7967" t="str">
        <f>"20190303162110974"</f>
        <v>20190303162110974</v>
      </c>
      <c r="B7967" t="str">
        <f>"1551601270960726"</f>
        <v>1551601270960726</v>
      </c>
      <c r="C7967" t="s">
        <v>40</v>
      </c>
      <c r="D7967">
        <v>4.7649400000000002</v>
      </c>
      <c r="E7967">
        <v>0.51292219999999999</v>
      </c>
      <c r="F7967" t="s">
        <v>41</v>
      </c>
      <c r="G7967">
        <v>-359.18430000000001</v>
      </c>
      <c r="H7967" s="1">
        <v>-8.2236219999999899E-7</v>
      </c>
      <c r="I7967">
        <v>17.51634</v>
      </c>
      <c r="J7967">
        <v>-379.89339999999999</v>
      </c>
      <c r="K7967">
        <v>1.121127</v>
      </c>
      <c r="L7967">
        <v>17.752229999999901</v>
      </c>
      <c r="M7967">
        <v>0.99953860000000005</v>
      </c>
      <c r="N7967">
        <v>-9.9632220000000007E-3</v>
      </c>
      <c r="O7967">
        <v>-2.86942E-2</v>
      </c>
      <c r="P7967">
        <v>0.99350649999999996</v>
      </c>
      <c r="Q7967">
        <v>0.1123194</v>
      </c>
      <c r="R7967">
        <v>1.8141839999999999E-2</v>
      </c>
      <c r="S7967">
        <v>3.0390630000000001</v>
      </c>
      <c r="T7967">
        <v>-0.16364049999999999</v>
      </c>
      <c r="U7967">
        <v>-3.4881589999999997E-2</v>
      </c>
      <c r="V7967">
        <v>-4.6634090000000003E-2</v>
      </c>
      <c r="W7967">
        <v>0.12220689999999999</v>
      </c>
      <c r="X7967">
        <v>0.99140850000000003</v>
      </c>
      <c r="Y7967">
        <v>-1.7164410000000001E-2</v>
      </c>
      <c r="Z7967">
        <v>1.8052610000000001E-3</v>
      </c>
      <c r="AA7967">
        <v>0.99985100000000005</v>
      </c>
      <c r="AB7967">
        <v>22</v>
      </c>
      <c r="AC7967">
        <v>20.7090999999999</v>
      </c>
      <c r="AD7967">
        <v>-1.1211278223622001</v>
      </c>
      <c r="AE7967">
        <v>-0.23588999999999699</v>
      </c>
      <c r="AF7967">
        <v>-0.35742028727374803</v>
      </c>
      <c r="AG7967">
        <v>-1.1211278223622001</v>
      </c>
      <c r="AH7967">
        <v>20.6468367904769</v>
      </c>
      <c r="AI7967">
        <v>93.107656471926802</v>
      </c>
      <c r="AJ7967">
        <v>90.991756214080894</v>
      </c>
      <c r="AK7967">
        <v>20.680342025905201</v>
      </c>
      <c r="AL7967">
        <v>82.980514057599606</v>
      </c>
      <c r="AM7967">
        <v>92.693106336580797</v>
      </c>
      <c r="AN7967">
        <v>1.0000000393149899</v>
      </c>
    </row>
    <row r="7968" spans="1:40" x14ac:dyDescent="0.25">
      <c r="A7968" t="str">
        <f>"20190303162110989"</f>
        <v>20190303162110989</v>
      </c>
      <c r="B7968" t="str">
        <f>"1551601270981223"</f>
        <v>1551601270981223</v>
      </c>
      <c r="C7968" t="s">
        <v>40</v>
      </c>
      <c r="D7968">
        <v>4.7533960000000004</v>
      </c>
      <c r="E7968">
        <v>0.51405089999999998</v>
      </c>
      <c r="F7968" t="s">
        <v>41</v>
      </c>
      <c r="G7968">
        <v>-359.32799999999997</v>
      </c>
      <c r="H7968" s="1">
        <v>-7.8786679999999996E-7</v>
      </c>
      <c r="I7968">
        <v>17.462199999999999</v>
      </c>
      <c r="J7968">
        <v>-379.75889999999998</v>
      </c>
      <c r="K7968">
        <v>1.1211359999999999</v>
      </c>
      <c r="L7968">
        <v>17.748379999999901</v>
      </c>
      <c r="M7968">
        <v>0.99953970000000003</v>
      </c>
      <c r="N7968">
        <v>-9.9712870000000006E-3</v>
      </c>
      <c r="O7968">
        <v>-2.865345E-2</v>
      </c>
      <c r="P7968">
        <v>0.99360389999999998</v>
      </c>
      <c r="Q7968">
        <v>0.1116119</v>
      </c>
      <c r="R7968">
        <v>1.7154929999999999E-2</v>
      </c>
      <c r="S7968">
        <v>3.0391240000000002</v>
      </c>
      <c r="T7968">
        <v>-0.16567850000000001</v>
      </c>
      <c r="U7968">
        <v>-4.2846679999999998E-2</v>
      </c>
      <c r="V7968">
        <v>-4.5613590000000002E-2</v>
      </c>
      <c r="W7968">
        <v>0.1215074</v>
      </c>
      <c r="X7968">
        <v>0.99154189999999998</v>
      </c>
      <c r="Y7968">
        <v>-1.4506979999999999E-2</v>
      </c>
      <c r="Z7968">
        <v>1.7425069999999999E-3</v>
      </c>
      <c r="AA7968">
        <v>0.99989320000000004</v>
      </c>
      <c r="AB7968">
        <v>22</v>
      </c>
      <c r="AC7968">
        <v>20.430899999999902</v>
      </c>
      <c r="AD7968">
        <v>-1.1211367878667999</v>
      </c>
      <c r="AE7968">
        <v>-0.28617999999999799</v>
      </c>
      <c r="AF7968">
        <v>-0.29848375177126502</v>
      </c>
      <c r="AG7968">
        <v>-1.1211367878667999</v>
      </c>
      <c r="AH7968">
        <v>20.369386172912201</v>
      </c>
      <c r="AI7968">
        <v>93.150059701854403</v>
      </c>
      <c r="AJ7968">
        <v>90.8395262954174</v>
      </c>
      <c r="AK7968">
        <v>20.402400184988199</v>
      </c>
      <c r="AL7968">
        <v>83.020893055221904</v>
      </c>
      <c r="AM7968">
        <v>92.633902765725395</v>
      </c>
      <c r="AN7968">
        <v>0.99999999365152903</v>
      </c>
    </row>
    <row r="7969" spans="1:40" x14ac:dyDescent="0.25">
      <c r="A7969" t="str">
        <f>"20190303162111008"</f>
        <v>20190303162111008</v>
      </c>
      <c r="B7969" t="str">
        <f>"1551601271000743"</f>
        <v>1551601271000743</v>
      </c>
      <c r="C7969" t="s">
        <v>40</v>
      </c>
      <c r="D7969">
        <v>4.7116309999999997</v>
      </c>
      <c r="E7969">
        <v>0.5151078</v>
      </c>
      <c r="F7969" t="s">
        <v>41</v>
      </c>
      <c r="G7969">
        <v>-359.45319999999998</v>
      </c>
      <c r="H7969" s="1">
        <v>-7.6641019999999897E-7</v>
      </c>
      <c r="I7969">
        <v>17.3827</v>
      </c>
      <c r="J7969">
        <v>-379.56889999999999</v>
      </c>
      <c r="K7969">
        <v>1.1211450000000001</v>
      </c>
      <c r="L7969">
        <v>17.743010000000002</v>
      </c>
      <c r="M7969">
        <v>0.99954160000000003</v>
      </c>
      <c r="N7969">
        <v>-9.9819379999999992E-3</v>
      </c>
      <c r="O7969">
        <v>-2.8585240000000001E-2</v>
      </c>
      <c r="P7969">
        <v>0.99377340000000003</v>
      </c>
      <c r="Q7969">
        <v>0.11038190000000001</v>
      </c>
      <c r="R7969">
        <v>1.518835E-2</v>
      </c>
      <c r="S7969">
        <v>3.0390929999999998</v>
      </c>
      <c r="T7969">
        <v>-0.16779740000000001</v>
      </c>
      <c r="U7969">
        <v>-5.4718019999999999E-2</v>
      </c>
      <c r="V7969">
        <v>-4.3589790000000003E-2</v>
      </c>
      <c r="W7969">
        <v>0.12028800000000001</v>
      </c>
      <c r="X7969">
        <v>0.99178160000000004</v>
      </c>
      <c r="Y7969">
        <v>-1.0539440000000001E-2</v>
      </c>
      <c r="Z7969">
        <v>1.6348630000000001E-3</v>
      </c>
      <c r="AA7969">
        <v>0.99994309999999997</v>
      </c>
      <c r="AB7969">
        <v>22</v>
      </c>
      <c r="AC7969">
        <v>20.1157</v>
      </c>
      <c r="AD7969">
        <v>-1.1211457664102</v>
      </c>
      <c r="AE7969">
        <v>-0.36031000000000102</v>
      </c>
      <c r="AF7969">
        <v>-0.214212754324142</v>
      </c>
      <c r="AG7969">
        <v>-1.1211457664102</v>
      </c>
      <c r="AH7969">
        <v>20.055499216113802</v>
      </c>
      <c r="AI7969">
        <v>93.1994456032877</v>
      </c>
      <c r="AJ7969">
        <v>90.611952856685605</v>
      </c>
      <c r="AK7969">
        <v>20.0879541950193</v>
      </c>
      <c r="AL7969">
        <v>83.091275888738096</v>
      </c>
      <c r="AM7969">
        <v>92.516587037951396</v>
      </c>
      <c r="AN7969">
        <v>1.0000000074174</v>
      </c>
    </row>
    <row r="7970" spans="1:40" x14ac:dyDescent="0.25">
      <c r="A7970" t="str">
        <f>"20190303162111030"</f>
        <v>20190303162111030</v>
      </c>
      <c r="B7970" t="str">
        <f>"1551601271020263"</f>
        <v>1551601271020263</v>
      </c>
      <c r="C7970" t="s">
        <v>40</v>
      </c>
      <c r="D7970">
        <v>4.7102019999999998</v>
      </c>
      <c r="E7970">
        <v>0.51599569999999995</v>
      </c>
      <c r="F7970" t="s">
        <v>41</v>
      </c>
      <c r="G7970">
        <v>-359.62200000000001</v>
      </c>
      <c r="H7970" s="1">
        <v>-7.3401160000000003E-7</v>
      </c>
      <c r="I7970">
        <v>17.288609999999998</v>
      </c>
      <c r="J7970">
        <v>-379.35610000000003</v>
      </c>
      <c r="K7970">
        <v>1.1211580000000001</v>
      </c>
      <c r="L7970">
        <v>17.737029999999901</v>
      </c>
      <c r="M7970">
        <v>0.99954410000000005</v>
      </c>
      <c r="N7970">
        <v>-9.9928829999999993E-3</v>
      </c>
      <c r="O7970">
        <v>-2.8494999999999999E-2</v>
      </c>
      <c r="P7970">
        <v>0.99383969999999999</v>
      </c>
      <c r="Q7970">
        <v>0.1099599</v>
      </c>
      <c r="R7970">
        <v>1.385606E-2</v>
      </c>
      <c r="S7970">
        <v>3.038818</v>
      </c>
      <c r="T7970">
        <v>-0.17080139999999999</v>
      </c>
      <c r="U7970">
        <v>-6.9213869999999997E-2</v>
      </c>
      <c r="V7970">
        <v>-4.217452E-2</v>
      </c>
      <c r="W7970">
        <v>0.1198767</v>
      </c>
      <c r="X7970">
        <v>0.99189260000000001</v>
      </c>
      <c r="Y7970">
        <v>-5.6866779999999997E-3</v>
      </c>
      <c r="Z7970">
        <v>1.5033689999999901E-3</v>
      </c>
      <c r="AA7970">
        <v>0.9999827</v>
      </c>
      <c r="AB7970">
        <v>22</v>
      </c>
      <c r="AC7970">
        <v>19.734100000000002</v>
      </c>
      <c r="AD7970">
        <v>-1.1211587340116</v>
      </c>
      <c r="AE7970">
        <v>-0.44841999999999499</v>
      </c>
      <c r="AF7970">
        <v>-0.113746343701268</v>
      </c>
      <c r="AG7970">
        <v>-1.1211587340116</v>
      </c>
      <c r="AH7970">
        <v>19.675389822501899</v>
      </c>
      <c r="AI7970">
        <v>93.261292506919801</v>
      </c>
      <c r="AJ7970">
        <v>90.331231700326796</v>
      </c>
      <c r="AK7970">
        <v>19.7076355711426</v>
      </c>
      <c r="AL7970">
        <v>83.115013507486495</v>
      </c>
      <c r="AM7970">
        <v>92.434706511096806</v>
      </c>
      <c r="AN7970">
        <v>1.0000000216374401</v>
      </c>
    </row>
    <row r="7971" spans="1:40" x14ac:dyDescent="0.25">
      <c r="A7971" t="str">
        <f>"20190303162111041"</f>
        <v>20190303162111041</v>
      </c>
      <c r="B7971" t="str">
        <f>"1551601271030999"</f>
        <v>1551601271030999</v>
      </c>
      <c r="C7971" t="s">
        <v>40</v>
      </c>
      <c r="D7971">
        <v>4.6396829999999998</v>
      </c>
      <c r="E7971">
        <v>0.51641979999999998</v>
      </c>
      <c r="F7971" t="s">
        <v>41</v>
      </c>
      <c r="G7971">
        <v>-359.53859999999997</v>
      </c>
      <c r="H7971" s="1">
        <v>-7.8311210000000002E-7</v>
      </c>
      <c r="I7971">
        <v>17.210719999999998</v>
      </c>
      <c r="J7971">
        <v>-379.23250000000002</v>
      </c>
      <c r="K7971">
        <v>1.1211660000000001</v>
      </c>
      <c r="L7971">
        <v>17.73358</v>
      </c>
      <c r="M7971">
        <v>0.99954569999999998</v>
      </c>
      <c r="N7971">
        <v>-9.9990029999999994E-3</v>
      </c>
      <c r="O7971">
        <v>-2.8437489999999999E-2</v>
      </c>
      <c r="P7971">
        <v>0.99382879999999996</v>
      </c>
      <c r="Q7971">
        <v>0.1101415</v>
      </c>
      <c r="R7971">
        <v>1.3164510000000001E-2</v>
      </c>
      <c r="S7971">
        <v>3.0387270000000002</v>
      </c>
      <c r="T7971">
        <v>-0.17191339999999999</v>
      </c>
      <c r="U7971">
        <v>-8.0688480000000007E-2</v>
      </c>
      <c r="V7971">
        <v>-4.1427690000000003E-2</v>
      </c>
      <c r="W7971">
        <v>0.1200637</v>
      </c>
      <c r="X7971">
        <v>0.99190149999999999</v>
      </c>
      <c r="Y7971">
        <v>-1.8613200000000001E-3</v>
      </c>
      <c r="Z7971">
        <v>1.3846889999999999E-3</v>
      </c>
      <c r="AA7971">
        <v>0.99999729999999998</v>
      </c>
      <c r="AB7971">
        <v>22</v>
      </c>
      <c r="AC7971">
        <v>19.693899999999999</v>
      </c>
      <c r="AD7971">
        <v>-1.1211667831120999</v>
      </c>
      <c r="AE7971">
        <v>-0.52285999999999699</v>
      </c>
      <c r="AF7971">
        <v>-3.7303669851622E-2</v>
      </c>
      <c r="AG7971">
        <v>-1.1211667831120999</v>
      </c>
      <c r="AH7971">
        <v>19.637204971107501</v>
      </c>
      <c r="AI7971">
        <v>93.267692423894502</v>
      </c>
      <c r="AJ7971">
        <v>90.108841368974296</v>
      </c>
      <c r="AK7971">
        <v>19.6692202589891</v>
      </c>
      <c r="AL7971">
        <v>83.104221554613801</v>
      </c>
      <c r="AM7971">
        <v>92.391621600007099</v>
      </c>
      <c r="AN7971">
        <v>1.00000006562933</v>
      </c>
    </row>
    <row r="7972" spans="1:40" x14ac:dyDescent="0.25">
      <c r="A7972" t="str">
        <f>"20190303162111055"</f>
        <v>20190303162111055</v>
      </c>
      <c r="B7972" t="str">
        <f>"1551601271040759"</f>
        <v>1551601271040759</v>
      </c>
      <c r="C7972" t="s">
        <v>40</v>
      </c>
      <c r="D7972">
        <v>4.6264960000000004</v>
      </c>
      <c r="E7972">
        <v>0.5168355</v>
      </c>
      <c r="F7972" t="s">
        <v>41</v>
      </c>
      <c r="G7972">
        <v>-359.31209999999999</v>
      </c>
      <c r="H7972" s="1">
        <v>-8.7164369999999901E-7</v>
      </c>
      <c r="I7972">
        <v>17.167729999999999</v>
      </c>
      <c r="J7972">
        <v>-379.11340000000001</v>
      </c>
      <c r="K7972">
        <v>1.121173</v>
      </c>
      <c r="L7972">
        <v>17.730219999999999</v>
      </c>
      <c r="M7972">
        <v>0.99954730000000003</v>
      </c>
      <c r="N7972">
        <v>-1.000465E-2</v>
      </c>
      <c r="O7972">
        <v>-2.8378799999999999E-2</v>
      </c>
      <c r="P7972">
        <v>0.99385040000000002</v>
      </c>
      <c r="Q7972">
        <v>0.1099977</v>
      </c>
      <c r="R7972">
        <v>1.274322E-2</v>
      </c>
      <c r="S7972">
        <v>3.0387270000000002</v>
      </c>
      <c r="T7972">
        <v>-0.17102609999999999</v>
      </c>
      <c r="U7972">
        <v>-8.6303710000000006E-2</v>
      </c>
      <c r="V7972">
        <v>-4.0950670000000002E-2</v>
      </c>
      <c r="W7972">
        <v>0.1199254</v>
      </c>
      <c r="X7972">
        <v>0.99193799999999999</v>
      </c>
      <c r="Y7972" s="1">
        <v>3.9858480000000003E-5</v>
      </c>
      <c r="Z7972">
        <v>1.310252E-3</v>
      </c>
      <c r="AA7972">
        <v>0.99999919999999998</v>
      </c>
      <c r="AB7972">
        <v>22</v>
      </c>
      <c r="AC7972">
        <v>19.801300000000001</v>
      </c>
      <c r="AD7972">
        <v>-1.1211738716437001</v>
      </c>
      <c r="AE7972">
        <v>-0.56249000000000304</v>
      </c>
      <c r="AF7972">
        <v>2.9729089032692798E-4</v>
      </c>
      <c r="AG7972">
        <v>-1.1211738716437001</v>
      </c>
      <c r="AH7972">
        <v>19.746033620594702</v>
      </c>
      <c r="AI7972">
        <v>93.249747863181</v>
      </c>
      <c r="AJ7972">
        <v>89.999137370388894</v>
      </c>
      <c r="AK7972">
        <v>19.7778379678997</v>
      </c>
      <c r="AL7972">
        <v>83.112202966952196</v>
      </c>
      <c r="AM7972">
        <v>92.364027757836098</v>
      </c>
      <c r="AN7972">
        <v>1.0000000273912999</v>
      </c>
    </row>
    <row r="7973" spans="1:40" x14ac:dyDescent="0.25">
      <c r="A7973" t="str">
        <f>"20190303162111070"</f>
        <v>20190303162111070</v>
      </c>
      <c r="B7973" t="str">
        <f>"1551601271060278"</f>
        <v>1551601271060278</v>
      </c>
      <c r="C7973" t="s">
        <v>40</v>
      </c>
      <c r="D7973">
        <v>4.6338869999999996</v>
      </c>
      <c r="E7973">
        <v>0.51762770000000002</v>
      </c>
      <c r="F7973" t="s">
        <v>41</v>
      </c>
      <c r="G7973">
        <v>-359.17869999999999</v>
      </c>
      <c r="H7973" s="1">
        <v>-9.262807E-7</v>
      </c>
      <c r="I7973">
        <v>17.132919999999999</v>
      </c>
      <c r="J7973">
        <v>-378.9708</v>
      </c>
      <c r="K7973">
        <v>1.1211789999999999</v>
      </c>
      <c r="L7973">
        <v>17.72626</v>
      </c>
      <c r="M7973">
        <v>0.99954929999999997</v>
      </c>
      <c r="N7973">
        <v>-1.000969E-2</v>
      </c>
      <c r="O7973">
        <v>-2.830676E-2</v>
      </c>
      <c r="P7973">
        <v>0.99383900000000003</v>
      </c>
      <c r="Q7973">
        <v>0.1101346</v>
      </c>
      <c r="R7973">
        <v>1.244001E-2</v>
      </c>
      <c r="S7973">
        <v>3.0386350000000002</v>
      </c>
      <c r="T7973">
        <v>-0.17090060000000001</v>
      </c>
      <c r="U7973">
        <v>-9.1033939999999994E-2</v>
      </c>
      <c r="V7973">
        <v>-4.0577250000000002E-2</v>
      </c>
      <c r="W7973">
        <v>0.12006699999999999</v>
      </c>
      <c r="X7973">
        <v>0.99193620000000005</v>
      </c>
      <c r="Y7973">
        <v>1.6649970000000001E-3</v>
      </c>
      <c r="Z7973">
        <v>1.2518259999999999E-3</v>
      </c>
      <c r="AA7973">
        <v>0.9999979</v>
      </c>
      <c r="AB7973">
        <v>22</v>
      </c>
      <c r="AC7973">
        <v>19.792100000000001</v>
      </c>
      <c r="AD7973">
        <v>-1.1211799262807001</v>
      </c>
      <c r="AE7973">
        <v>-0.59333999999999698</v>
      </c>
      <c r="AF7973">
        <v>3.2719096445891098E-2</v>
      </c>
      <c r="AG7973">
        <v>-1.1211799262807001</v>
      </c>
      <c r="AH7973">
        <v>19.7376836157372</v>
      </c>
      <c r="AI7973">
        <v>93.251132779090796</v>
      </c>
      <c r="AJ7973">
        <v>89.905021052360397</v>
      </c>
      <c r="AK7973">
        <v>19.769528812829801</v>
      </c>
      <c r="AL7973">
        <v>83.104030724256603</v>
      </c>
      <c r="AM7973">
        <v>92.342499087833502</v>
      </c>
      <c r="AN7973">
        <v>1.0000000112884999</v>
      </c>
    </row>
    <row r="7974" spans="1:40" x14ac:dyDescent="0.25">
      <c r="A7974" t="str">
        <f>"20190303162111085"</f>
        <v>20190303162111085</v>
      </c>
      <c r="B7974" t="str">
        <f>"1551601271080775"</f>
        <v>1551601271080775</v>
      </c>
      <c r="C7974" t="s">
        <v>40</v>
      </c>
      <c r="D7974">
        <v>4.6083590000000001</v>
      </c>
      <c r="E7974">
        <v>0.51835640000000005</v>
      </c>
      <c r="F7974" t="s">
        <v>41</v>
      </c>
      <c r="G7974">
        <v>-358.94310000000002</v>
      </c>
      <c r="H7974" s="1">
        <v>-1.02096E-6</v>
      </c>
      <c r="I7974">
        <v>17.078510000000001</v>
      </c>
      <c r="J7974">
        <v>-378.81479999999999</v>
      </c>
      <c r="K7974">
        <v>1.121183</v>
      </c>
      <c r="L7974">
        <v>17.721889999999998</v>
      </c>
      <c r="M7974">
        <v>0.99955139999999998</v>
      </c>
      <c r="N7974">
        <v>-1.001086E-2</v>
      </c>
      <c r="O7974">
        <v>-2.8225400000000001E-2</v>
      </c>
      <c r="P7974">
        <v>0.99388569999999998</v>
      </c>
      <c r="Q7974">
        <v>0.1097737</v>
      </c>
      <c r="R7974">
        <v>1.1872580000000001E-2</v>
      </c>
      <c r="S7974">
        <v>3.0386959999999998</v>
      </c>
      <c r="T7974">
        <v>-0.17011019999999999</v>
      </c>
      <c r="U7974">
        <v>-9.8266599999999996E-2</v>
      </c>
      <c r="V7974">
        <v>-3.9931939999999999E-2</v>
      </c>
      <c r="W7974">
        <v>0.1197072</v>
      </c>
      <c r="X7974">
        <v>0.9920059</v>
      </c>
      <c r="Y7974">
        <v>4.1187200000000002E-3</v>
      </c>
      <c r="Z7974">
        <v>1.1599309999999999E-3</v>
      </c>
      <c r="AA7974">
        <v>0.99999079999999996</v>
      </c>
      <c r="AB7974">
        <v>22</v>
      </c>
      <c r="AC7974">
        <v>19.871699999999901</v>
      </c>
      <c r="AD7974">
        <v>-1.1211840209599999</v>
      </c>
      <c r="AE7974">
        <v>-0.64337999999999695</v>
      </c>
      <c r="AF7974">
        <v>8.1948226144537895E-2</v>
      </c>
      <c r="AG7974">
        <v>-1.1211840209599999</v>
      </c>
      <c r="AH7974">
        <v>19.818918176198402</v>
      </c>
      <c r="AI7974">
        <v>93.237823938533893</v>
      </c>
      <c r="AJ7974">
        <v>89.7630919762221</v>
      </c>
      <c r="AK7974">
        <v>19.850775470884599</v>
      </c>
      <c r="AL7974">
        <v>83.124795706554295</v>
      </c>
      <c r="AM7974">
        <v>92.305124465401207</v>
      </c>
      <c r="AN7974">
        <v>1.0000000395994</v>
      </c>
    </row>
    <row r="7975" spans="1:40" x14ac:dyDescent="0.25">
      <c r="A7975" t="str">
        <f>"20190303162111108"</f>
        <v>20190303162111108</v>
      </c>
      <c r="B7975" t="str">
        <f>"1551601271100295"</f>
        <v>1551601271100295</v>
      </c>
      <c r="C7975" t="s">
        <v>40</v>
      </c>
      <c r="D7975">
        <v>4.5815039999999998</v>
      </c>
      <c r="E7975">
        <v>0.51900789999999997</v>
      </c>
      <c r="F7975" t="s">
        <v>41</v>
      </c>
      <c r="G7975">
        <v>-358.83440000000002</v>
      </c>
      <c r="H7975" s="1">
        <v>-1.0715719999999999E-6</v>
      </c>
      <c r="I7975">
        <v>17.027279999999902</v>
      </c>
      <c r="J7975">
        <v>-378.59789999999998</v>
      </c>
      <c r="K7975">
        <v>1.121175</v>
      </c>
      <c r="L7975">
        <v>17.715910000000001</v>
      </c>
      <c r="M7975">
        <v>0.99955479999999997</v>
      </c>
      <c r="N7975">
        <v>-1.0001940000000001E-2</v>
      </c>
      <c r="O7975">
        <v>-2.8110739999999999E-2</v>
      </c>
      <c r="P7975">
        <v>0.99389490000000003</v>
      </c>
      <c r="Q7975">
        <v>0.1096702</v>
      </c>
      <c r="R7975">
        <v>1.205495E-2</v>
      </c>
      <c r="S7975">
        <v>3.0385439999999999</v>
      </c>
      <c r="T7975">
        <v>-0.1705055</v>
      </c>
      <c r="U7975">
        <v>-0.1056213</v>
      </c>
      <c r="V7975">
        <v>-4.0002019999999999E-2</v>
      </c>
      <c r="W7975">
        <v>0.11959500000000001</v>
      </c>
      <c r="X7975">
        <v>0.99201660000000003</v>
      </c>
      <c r="Y7975">
        <v>6.6481250000000004E-3</v>
      </c>
      <c r="Z7975">
        <v>1.0747720000000001E-3</v>
      </c>
      <c r="AA7975">
        <v>0.99997740000000002</v>
      </c>
      <c r="AB7975">
        <v>22</v>
      </c>
      <c r="AC7975">
        <v>19.763499999999901</v>
      </c>
      <c r="AD7975">
        <v>-1.1211760715719901</v>
      </c>
      <c r="AE7975">
        <v>-0.68863000000000296</v>
      </c>
      <c r="AF7975">
        <v>0.132338068790774</v>
      </c>
      <c r="AG7975">
        <v>-1.1211760715719901</v>
      </c>
      <c r="AH7975">
        <v>19.711687611827202</v>
      </c>
      <c r="AI7975">
        <v>93.255331284147701</v>
      </c>
      <c r="AJ7975">
        <v>89.615339942430197</v>
      </c>
      <c r="AK7975">
        <v>19.743990925195</v>
      </c>
      <c r="AL7975">
        <v>83.131270744686802</v>
      </c>
      <c r="AM7975">
        <v>92.309140671436296</v>
      </c>
      <c r="AN7975">
        <v>1.00000003015231</v>
      </c>
    </row>
    <row r="7976" spans="1:40" x14ac:dyDescent="0.25">
      <c r="A7976" t="str">
        <f>"20190303162111121"</f>
        <v>20190303162111121</v>
      </c>
      <c r="B7976" t="str">
        <f>"1551601271111031"</f>
        <v>1551601271111031</v>
      </c>
      <c r="C7976" t="s">
        <v>40</v>
      </c>
      <c r="D7976">
        <v>4.5964029999999996</v>
      </c>
      <c r="E7976">
        <v>0.51935390000000003</v>
      </c>
      <c r="F7976" t="s">
        <v>41</v>
      </c>
      <c r="G7976">
        <v>-358.55239999999998</v>
      </c>
      <c r="H7976" s="1">
        <v>-1.1777740000000001E-6</v>
      </c>
      <c r="I7976">
        <v>16.98883</v>
      </c>
      <c r="J7976">
        <v>-378.46409999999997</v>
      </c>
      <c r="K7976">
        <v>1.1211739999999999</v>
      </c>
      <c r="L7976">
        <v>17.712219999999999</v>
      </c>
      <c r="M7976">
        <v>0.99955680000000002</v>
      </c>
      <c r="N7976">
        <v>-9.993175E-3</v>
      </c>
      <c r="O7976">
        <v>-2.804009E-2</v>
      </c>
      <c r="P7976">
        <v>0.99388949999999998</v>
      </c>
      <c r="Q7976">
        <v>0.10972229999999999</v>
      </c>
      <c r="R7976">
        <v>1.2025950000000001E-2</v>
      </c>
      <c r="S7976">
        <v>3.038513</v>
      </c>
      <c r="T7976">
        <v>-0.16994890000000001</v>
      </c>
      <c r="U7976">
        <v>-0.11019900000000001</v>
      </c>
      <c r="V7976">
        <v>-3.9903420000000002E-2</v>
      </c>
      <c r="W7976">
        <v>0.1196376</v>
      </c>
      <c r="X7976">
        <v>0.99201539999999999</v>
      </c>
      <c r="Y7976">
        <v>8.2206339999999992E-3</v>
      </c>
      <c r="Z7976">
        <v>1.015459E-3</v>
      </c>
      <c r="AA7976">
        <v>0.99996569999999996</v>
      </c>
      <c r="AB7976">
        <v>22</v>
      </c>
      <c r="AC7976">
        <v>19.9117</v>
      </c>
      <c r="AD7976">
        <v>-1.121175177774</v>
      </c>
      <c r="AE7976">
        <v>-0.72339000000000198</v>
      </c>
      <c r="AF7976">
        <v>0.16423175430412101</v>
      </c>
      <c r="AG7976">
        <v>-1.121175177774</v>
      </c>
      <c r="AH7976">
        <v>19.8612673495075</v>
      </c>
      <c r="AI7976">
        <v>93.230826645028799</v>
      </c>
      <c r="AJ7976">
        <v>89.526235070468104</v>
      </c>
      <c r="AK7976">
        <v>19.893565456624199</v>
      </c>
      <c r="AL7976">
        <v>83.128812057896198</v>
      </c>
      <c r="AM7976">
        <v>92.303457849021399</v>
      </c>
      <c r="AN7976">
        <v>0.999999996049308</v>
      </c>
    </row>
    <row r="7977" spans="1:40" x14ac:dyDescent="0.25">
      <c r="A7977" t="str">
        <f>"20190303162111136"</f>
        <v>20190303162111136</v>
      </c>
      <c r="B7977" t="str">
        <f>"1551601271130553"</f>
        <v>1551601271130553</v>
      </c>
      <c r="C7977" t="s">
        <v>40</v>
      </c>
      <c r="D7977">
        <v>4.5954790000000001</v>
      </c>
      <c r="E7977">
        <v>0.51996549999999997</v>
      </c>
      <c r="F7977" t="s">
        <v>41</v>
      </c>
      <c r="G7977">
        <v>-358.34039999999999</v>
      </c>
      <c r="H7977" s="1">
        <v>-1.256593E-6</v>
      </c>
      <c r="I7977">
        <v>16.963709999999999</v>
      </c>
      <c r="J7977">
        <v>-378.32810000000001</v>
      </c>
      <c r="K7977">
        <v>1.121173</v>
      </c>
      <c r="L7977">
        <v>17.708500000000001</v>
      </c>
      <c r="M7977">
        <v>0.99955899999999998</v>
      </c>
      <c r="N7977">
        <v>-9.9836060000000008E-3</v>
      </c>
      <c r="O7977">
        <v>-2.797005E-2</v>
      </c>
      <c r="P7977">
        <v>0.99386399999999997</v>
      </c>
      <c r="Q7977">
        <v>0.1099546</v>
      </c>
      <c r="R7977">
        <v>1.2023270000000001E-2</v>
      </c>
      <c r="S7977">
        <v>3.038513</v>
      </c>
      <c r="T7977">
        <v>-0.16928889999999999</v>
      </c>
      <c r="U7977">
        <v>-0.1130066</v>
      </c>
      <c r="V7977">
        <v>-3.9831390000000001E-2</v>
      </c>
      <c r="W7977">
        <v>0.1198601</v>
      </c>
      <c r="X7977">
        <v>0.99199150000000003</v>
      </c>
      <c r="Y7977">
        <v>9.2113999999999998E-3</v>
      </c>
      <c r="Z7977">
        <v>9.7483940000000005E-4</v>
      </c>
      <c r="AA7977">
        <v>0.99995710000000004</v>
      </c>
      <c r="AB7977">
        <v>22</v>
      </c>
      <c r="AC7977">
        <v>19.9877</v>
      </c>
      <c r="AD7977">
        <v>-1.1211742565930001</v>
      </c>
      <c r="AE7977">
        <v>-0.74479000000000095</v>
      </c>
      <c r="AF7977">
        <v>0.18483304089209501</v>
      </c>
      <c r="AG7977">
        <v>-1.1211742565930001</v>
      </c>
      <c r="AH7977">
        <v>19.938065011683701</v>
      </c>
      <c r="AI7977">
        <v>93.218377480690506</v>
      </c>
      <c r="AJ7977">
        <v>89.468862710797893</v>
      </c>
      <c r="AK7977">
        <v>19.970418908394901</v>
      </c>
      <c r="AL7977">
        <v>83.115971787767293</v>
      </c>
      <c r="AM7977">
        <v>92.299359662143999</v>
      </c>
      <c r="AN7977">
        <v>1.00000005963679</v>
      </c>
    </row>
    <row r="7978" spans="1:40" x14ac:dyDescent="0.25">
      <c r="A7978" t="str">
        <f>"20190303162111152"</f>
        <v>20190303162111152</v>
      </c>
      <c r="B7978" t="str">
        <f>"1551601271140311"</f>
        <v>1551601271140311</v>
      </c>
      <c r="C7978" t="s">
        <v>40</v>
      </c>
      <c r="D7978">
        <v>4.6158729999999997</v>
      </c>
      <c r="E7978">
        <v>0.52028869999999905</v>
      </c>
      <c r="F7978" t="s">
        <v>41</v>
      </c>
      <c r="G7978">
        <v>-358.04590000000002</v>
      </c>
      <c r="H7978" s="1">
        <v>-1.3683610000000001E-6</v>
      </c>
      <c r="I7978">
        <v>16.920269999999999</v>
      </c>
      <c r="J7978">
        <v>-378.16919999999999</v>
      </c>
      <c r="K7978">
        <v>1.121173</v>
      </c>
      <c r="L7978">
        <v>17.704160000000002</v>
      </c>
      <c r="M7978">
        <v>0.99956129999999999</v>
      </c>
      <c r="N7978">
        <v>-9.9724329999999993E-3</v>
      </c>
      <c r="O7978">
        <v>-2.7891429999999998E-2</v>
      </c>
      <c r="P7978">
        <v>0.99373750000000005</v>
      </c>
      <c r="Q7978">
        <v>0.1110323</v>
      </c>
      <c r="R7978">
        <v>1.2554569999999999E-2</v>
      </c>
      <c r="S7978">
        <v>3.038513</v>
      </c>
      <c r="T7978">
        <v>-0.1679659</v>
      </c>
      <c r="U7978">
        <v>-0.1180725</v>
      </c>
      <c r="V7978">
        <v>-4.0280709999999997E-2</v>
      </c>
      <c r="W7978">
        <v>0.1209252</v>
      </c>
      <c r="X7978">
        <v>0.99184399999999995</v>
      </c>
      <c r="Y7978">
        <v>1.0951290000000001E-2</v>
      </c>
      <c r="Z7978">
        <v>9.0473699999999997E-4</v>
      </c>
      <c r="AA7978">
        <v>0.99993960000000004</v>
      </c>
      <c r="AB7978">
        <v>22</v>
      </c>
      <c r="AC7978">
        <v>20.123299999999901</v>
      </c>
      <c r="AD7978">
        <v>-1.121174368361</v>
      </c>
      <c r="AE7978">
        <v>-0.78388999999999898</v>
      </c>
      <c r="AF7978">
        <v>0.22160267443618201</v>
      </c>
      <c r="AG7978">
        <v>-1.121174368361</v>
      </c>
      <c r="AH7978">
        <v>20.075112828622199</v>
      </c>
      <c r="AI7978">
        <v>93.196395178165901</v>
      </c>
      <c r="AJ7978">
        <v>89.367556117648704</v>
      </c>
      <c r="AK7978">
        <v>20.107617829854899</v>
      </c>
      <c r="AL7978">
        <v>83.054498365560903</v>
      </c>
      <c r="AM7978">
        <v>92.325614809893807</v>
      </c>
      <c r="AN7978">
        <v>0.99999997996457102</v>
      </c>
    </row>
    <row r="7979" spans="1:40" x14ac:dyDescent="0.25">
      <c r="A7979" t="str">
        <f>"20190303162111165"</f>
        <v>20190303162111165</v>
      </c>
      <c r="B7979" t="str">
        <f>"1551601271160807"</f>
        <v>1551601271160807</v>
      </c>
      <c r="C7979" t="s">
        <v>40</v>
      </c>
      <c r="D7979">
        <v>4.5877629999999998</v>
      </c>
      <c r="E7979">
        <v>0.52090539999999996</v>
      </c>
      <c r="F7979" t="s">
        <v>41</v>
      </c>
      <c r="G7979">
        <v>-357.40230000000003</v>
      </c>
      <c r="H7979" s="1">
        <v>-1.597148E-6</v>
      </c>
      <c r="I7979">
        <v>16.883610000000001</v>
      </c>
      <c r="J7979">
        <v>-378.03829999999999</v>
      </c>
      <c r="K7979">
        <v>1.1211719999999901</v>
      </c>
      <c r="L7979">
        <v>17.700559999999999</v>
      </c>
      <c r="M7979">
        <v>0.99956319999999999</v>
      </c>
      <c r="N7979">
        <v>-9.9635590000000003E-3</v>
      </c>
      <c r="O7979">
        <v>-2.7829650000000001E-2</v>
      </c>
      <c r="P7979">
        <v>0.99368880000000004</v>
      </c>
      <c r="Q7979">
        <v>0.1114031</v>
      </c>
      <c r="R7979">
        <v>1.312487E-2</v>
      </c>
      <c r="S7979">
        <v>3.0387569999999999</v>
      </c>
      <c r="T7979">
        <v>-0.16405819999999999</v>
      </c>
      <c r="U7979">
        <v>-0.1200562</v>
      </c>
      <c r="V7979">
        <v>-4.0787789999999997E-2</v>
      </c>
      <c r="W7979">
        <v>0.1212863</v>
      </c>
      <c r="X7979">
        <v>0.99177919999999997</v>
      </c>
      <c r="Y7979">
        <v>1.165969E-2</v>
      </c>
      <c r="Z7979">
        <v>8.5081909999999998E-4</v>
      </c>
      <c r="AA7979">
        <v>0.99993160000000003</v>
      </c>
      <c r="AB7979">
        <v>22</v>
      </c>
      <c r="AC7979">
        <v>20.6359999999999</v>
      </c>
      <c r="AD7979">
        <v>-1.1211735971479999</v>
      </c>
      <c r="AE7979">
        <v>-0.81694999999999796</v>
      </c>
      <c r="AF7979">
        <v>0.241600430965209</v>
      </c>
      <c r="AG7979">
        <v>-1.1211735971479999</v>
      </c>
      <c r="AH7979">
        <v>20.5900593208214</v>
      </c>
      <c r="AI7979">
        <v>93.116587876924697</v>
      </c>
      <c r="AJ7979">
        <v>89.327731428112799</v>
      </c>
      <c r="AK7979">
        <v>20.621977204868799</v>
      </c>
      <c r="AL7979">
        <v>83.033655559079605</v>
      </c>
      <c r="AM7979">
        <v>92.355012107384098</v>
      </c>
      <c r="AN7979">
        <v>0.99999999596670697</v>
      </c>
    </row>
    <row r="7980" spans="1:40" x14ac:dyDescent="0.25">
      <c r="A7980" t="str">
        <f>"20190303162111178"</f>
        <v>20190303162111178</v>
      </c>
      <c r="B7980" t="str">
        <f>"1551601271170567"</f>
        <v>1551601271170567</v>
      </c>
      <c r="C7980" t="s">
        <v>40</v>
      </c>
      <c r="D7980">
        <v>4.608619</v>
      </c>
      <c r="E7980">
        <v>0.52113849999999995</v>
      </c>
      <c r="F7980" t="s">
        <v>41</v>
      </c>
      <c r="G7980">
        <v>-356.99380000000002</v>
      </c>
      <c r="H7980" s="1">
        <v>-1.76383199999999E-6</v>
      </c>
      <c r="I7980">
        <v>16.84328</v>
      </c>
      <c r="J7980">
        <v>-377.90690000000001</v>
      </c>
      <c r="K7980">
        <v>1.1211739999999999</v>
      </c>
      <c r="L7980">
        <v>17.69699</v>
      </c>
      <c r="M7980">
        <v>0.99956460000000003</v>
      </c>
      <c r="N7980">
        <v>-9.955373E-3</v>
      </c>
      <c r="O7980">
        <v>-2.7774819999999999E-2</v>
      </c>
      <c r="P7980">
        <v>0.99359940000000002</v>
      </c>
      <c r="Q7980">
        <v>0.1121482</v>
      </c>
      <c r="R7980">
        <v>1.3538639999999999E-2</v>
      </c>
      <c r="S7980">
        <v>3.038818</v>
      </c>
      <c r="T7980">
        <v>-0.16189690000000001</v>
      </c>
      <c r="U7980">
        <v>-0.12377929999999999</v>
      </c>
      <c r="V7980">
        <v>-4.1143930000000002E-2</v>
      </c>
      <c r="W7980">
        <v>0.1220228</v>
      </c>
      <c r="X7980">
        <v>0.9916741</v>
      </c>
      <c r="Y7980">
        <v>1.2934319999999999E-2</v>
      </c>
      <c r="Z7980">
        <v>7.927953E-4</v>
      </c>
      <c r="AA7980">
        <v>0.99991600000000003</v>
      </c>
      <c r="AB7980">
        <v>22</v>
      </c>
      <c r="AC7980">
        <v>20.913099999999901</v>
      </c>
      <c r="AD7980">
        <v>-1.1211757638319999</v>
      </c>
      <c r="AE7980">
        <v>-0.85370999999999897</v>
      </c>
      <c r="AF7980">
        <v>0.27171456720174503</v>
      </c>
      <c r="AG7980">
        <v>-1.1211757638319999</v>
      </c>
      <c r="AH7980">
        <v>20.8688632380853</v>
      </c>
      <c r="AI7980">
        <v>93.074988400701002</v>
      </c>
      <c r="AJ7980">
        <v>89.254045698195796</v>
      </c>
      <c r="AK7980">
        <v>20.9007252685007</v>
      </c>
      <c r="AL7980">
        <v>82.9911411446854</v>
      </c>
      <c r="AM7980">
        <v>92.375802999677404</v>
      </c>
      <c r="AN7980">
        <v>0.99999995365324601</v>
      </c>
    </row>
    <row r="7981" spans="1:40" x14ac:dyDescent="0.25">
      <c r="A7981" t="str">
        <f>"20190303162111197"</f>
        <v>20190303162111197</v>
      </c>
      <c r="B7981" t="str">
        <f>"1551601271191064"</f>
        <v>1551601271191064</v>
      </c>
      <c r="C7981" t="s">
        <v>40</v>
      </c>
      <c r="D7981">
        <v>4.4520860000000004</v>
      </c>
      <c r="E7981">
        <v>0.5213816</v>
      </c>
      <c r="F7981" t="s">
        <v>41</v>
      </c>
      <c r="G7981">
        <v>-356.44740000000002</v>
      </c>
      <c r="H7981" s="1">
        <v>-2.0030519999999999E-6</v>
      </c>
      <c r="I7981">
        <v>16.81616</v>
      </c>
      <c r="J7981">
        <v>-377.7201</v>
      </c>
      <c r="K7981">
        <v>1.1211709999999999</v>
      </c>
      <c r="L7981">
        <v>17.691890000000001</v>
      </c>
      <c r="M7981">
        <v>0.99956679999999998</v>
      </c>
      <c r="N7981">
        <v>-9.9443840000000006E-3</v>
      </c>
      <c r="O7981">
        <v>-2.7705E-2</v>
      </c>
      <c r="P7981">
        <v>0.9934982</v>
      </c>
      <c r="Q7981">
        <v>0.1129003</v>
      </c>
      <c r="R7981">
        <v>1.4666739999999999E-2</v>
      </c>
      <c r="S7981">
        <v>3.0389710000000001</v>
      </c>
      <c r="T7981">
        <v>-0.15877439999999901</v>
      </c>
      <c r="U7981">
        <v>-0.1247253</v>
      </c>
      <c r="V7981">
        <v>-4.2196890000000001E-2</v>
      </c>
      <c r="W7981">
        <v>0.12276339999999999</v>
      </c>
      <c r="X7981">
        <v>0.99153849999999999</v>
      </c>
      <c r="Y7981">
        <v>1.3311770000000001E-2</v>
      </c>
      <c r="Z7981">
        <v>7.5659350000000002E-4</v>
      </c>
      <c r="AA7981">
        <v>0.99991110000000005</v>
      </c>
      <c r="AB7981">
        <v>22</v>
      </c>
      <c r="AC7981">
        <v>21.272699999999901</v>
      </c>
      <c r="AD7981">
        <v>-1.121173003052</v>
      </c>
      <c r="AE7981">
        <v>-0.87573000000000001</v>
      </c>
      <c r="AF7981">
        <v>0.285213662709219</v>
      </c>
      <c r="AG7981">
        <v>-1.121173003052</v>
      </c>
      <c r="AH7981">
        <v>21.229924228090699</v>
      </c>
      <c r="AI7981">
        <v>93.022765399384397</v>
      </c>
      <c r="AJ7981">
        <v>89.230305491278699</v>
      </c>
      <c r="AK7981">
        <v>21.261421835489799</v>
      </c>
      <c r="AL7981">
        <v>82.948386868544205</v>
      </c>
      <c r="AM7981">
        <v>92.436865259620603</v>
      </c>
      <c r="AN7981">
        <v>1.0000000134437399</v>
      </c>
    </row>
    <row r="7982" spans="1:40" x14ac:dyDescent="0.25">
      <c r="A7982" t="str">
        <f>"20190303162111220"</f>
        <v>20190303162111220</v>
      </c>
      <c r="B7982" t="str">
        <f>"1551601271210583"</f>
        <v>1551601271210583</v>
      </c>
      <c r="C7982" t="s">
        <v>40</v>
      </c>
      <c r="D7982">
        <v>4.5196529999999999</v>
      </c>
      <c r="E7982">
        <v>0.52152129999999997</v>
      </c>
      <c r="F7982" t="s">
        <v>41</v>
      </c>
      <c r="G7982">
        <v>-355.23169999999999</v>
      </c>
      <c r="H7982" s="1">
        <v>-2.532387E-6</v>
      </c>
      <c r="I7982">
        <v>16.77215</v>
      </c>
      <c r="J7982">
        <v>-377.49880000000002</v>
      </c>
      <c r="K7982">
        <v>1.121157</v>
      </c>
      <c r="L7982">
        <v>17.685849999999999</v>
      </c>
      <c r="M7982">
        <v>0.99956860000000003</v>
      </c>
      <c r="N7982">
        <v>-9.9326710000000006E-3</v>
      </c>
      <c r="O7982">
        <v>-2.7641209999999999E-2</v>
      </c>
      <c r="P7982">
        <v>0.99344270000000001</v>
      </c>
      <c r="Q7982">
        <v>0.11320470000000001</v>
      </c>
      <c r="R7982">
        <v>1.6024159999999999E-2</v>
      </c>
      <c r="S7982">
        <v>3.0386959999999998</v>
      </c>
      <c r="T7982">
        <v>-0.1514964</v>
      </c>
      <c r="U7982">
        <v>-0.12426760000000001</v>
      </c>
      <c r="V7982">
        <v>-4.3485059999999999E-2</v>
      </c>
      <c r="W7982">
        <v>0.12305679999999999</v>
      </c>
      <c r="X7982">
        <v>0.99144639999999995</v>
      </c>
      <c r="Y7982">
        <v>1.322806E-2</v>
      </c>
      <c r="Z7982">
        <v>7.0676750000000003E-4</v>
      </c>
      <c r="AA7982">
        <v>0.99991229999999998</v>
      </c>
      <c r="AB7982">
        <v>22</v>
      </c>
      <c r="AC7982">
        <v>22.267099999999999</v>
      </c>
      <c r="AD7982">
        <v>-1.1211595323870001</v>
      </c>
      <c r="AE7982">
        <v>-0.91369999999999796</v>
      </c>
      <c r="AF7982">
        <v>0.29707904207003899</v>
      </c>
      <c r="AG7982">
        <v>-1.1211595323870001</v>
      </c>
      <c r="AH7982">
        <v>22.227592058045701</v>
      </c>
      <c r="AI7982">
        <v>92.887293971287704</v>
      </c>
      <c r="AJ7982">
        <v>89.2342687486816</v>
      </c>
      <c r="AK7982">
        <v>22.257832404643398</v>
      </c>
      <c r="AL7982">
        <v>82.931447367799294</v>
      </c>
      <c r="AM7982">
        <v>92.511396073436401</v>
      </c>
      <c r="AN7982">
        <v>0.99999994527119995</v>
      </c>
    </row>
    <row r="7983" spans="1:40" x14ac:dyDescent="0.25">
      <c r="A7983" t="str">
        <f>"20190303162111232"</f>
        <v>20190303162111232</v>
      </c>
      <c r="B7983" t="str">
        <f>"1551601271220850"</f>
        <v>1551601271220850</v>
      </c>
      <c r="C7983" t="s">
        <v>40</v>
      </c>
      <c r="D7983">
        <v>4.4199609999999998</v>
      </c>
      <c r="E7983">
        <v>0.52152169999999998</v>
      </c>
      <c r="F7983" t="s">
        <v>41</v>
      </c>
      <c r="G7983">
        <v>-354.01839999999999</v>
      </c>
      <c r="H7983" s="1">
        <v>-3.058332E-6</v>
      </c>
      <c r="I7983">
        <v>16.74146</v>
      </c>
      <c r="J7983">
        <v>-377.37599999999998</v>
      </c>
      <c r="K7983">
        <v>1.121149</v>
      </c>
      <c r="L7983">
        <v>17.68253</v>
      </c>
      <c r="M7983">
        <v>0.99956940000000005</v>
      </c>
      <c r="N7983">
        <v>-9.9269800000000002E-3</v>
      </c>
      <c r="O7983">
        <v>-2.7616620000000001E-2</v>
      </c>
      <c r="P7983">
        <v>0.99340680000000003</v>
      </c>
      <c r="Q7983">
        <v>0.1133488</v>
      </c>
      <c r="R7983">
        <v>1.7188109999999999E-2</v>
      </c>
      <c r="S7983">
        <v>3.0383300000000002</v>
      </c>
      <c r="T7983">
        <v>-0.1450766</v>
      </c>
      <c r="U7983">
        <v>-0.12219240000000001</v>
      </c>
      <c r="V7983">
        <v>-4.4620300000000002E-2</v>
      </c>
      <c r="W7983">
        <v>0.123195</v>
      </c>
      <c r="X7983">
        <v>0.9913788</v>
      </c>
      <c r="Y7983">
        <v>1.2575879999999999E-2</v>
      </c>
      <c r="Z7983">
        <v>6.806437E-4</v>
      </c>
      <c r="AA7983">
        <v>0.9999207</v>
      </c>
      <c r="AB7983">
        <v>22</v>
      </c>
      <c r="AC7983">
        <v>23.357599999999898</v>
      </c>
      <c r="AD7983">
        <v>-1.1211520583319901</v>
      </c>
      <c r="AE7983">
        <v>-0.94106999999999996</v>
      </c>
      <c r="AF7983">
        <v>0.29494291578145199</v>
      </c>
      <c r="AG7983">
        <v>-1.1211520583319901</v>
      </c>
      <c r="AH7983">
        <v>23.321037343152</v>
      </c>
      <c r="AI7983">
        <v>92.752139019932699</v>
      </c>
      <c r="AJ7983">
        <v>89.275414591545299</v>
      </c>
      <c r="AK7983">
        <v>23.349834175474601</v>
      </c>
      <c r="AL7983">
        <v>82.923468427842806</v>
      </c>
      <c r="AM7983">
        <v>92.577047898005205</v>
      </c>
      <c r="AN7983">
        <v>0.99999995214326298</v>
      </c>
    </row>
    <row r="7984" spans="1:40" x14ac:dyDescent="0.25">
      <c r="A7984" t="str">
        <f>"20190303162111254"</f>
        <v>20190303162111254</v>
      </c>
      <c r="B7984" t="str">
        <f>"1551601271240370"</f>
        <v>1551601271240370</v>
      </c>
      <c r="C7984" t="s">
        <v>40</v>
      </c>
      <c r="D7984">
        <v>4.5255039999999997</v>
      </c>
      <c r="E7984">
        <v>0.52166769999999996</v>
      </c>
      <c r="F7984" t="s">
        <v>41</v>
      </c>
      <c r="G7984">
        <v>-353.37799999999999</v>
      </c>
      <c r="H7984" s="1">
        <v>-3.3335540000000002E-6</v>
      </c>
      <c r="I7984">
        <v>16.738710000000001</v>
      </c>
      <c r="J7984">
        <v>-377.17290000000003</v>
      </c>
      <c r="K7984">
        <v>1.1211370000000001</v>
      </c>
      <c r="L7984">
        <v>17.676939999999998</v>
      </c>
      <c r="M7984">
        <v>0.99957010000000002</v>
      </c>
      <c r="N7984">
        <v>-9.9188360000000003E-3</v>
      </c>
      <c r="O7984">
        <v>-2.7589820000000001E-2</v>
      </c>
      <c r="P7984">
        <v>0.99328910000000004</v>
      </c>
      <c r="Q7984">
        <v>0.11399670000000001</v>
      </c>
      <c r="R7984">
        <v>1.9536769999999998E-2</v>
      </c>
      <c r="S7984">
        <v>3.0381770000000001</v>
      </c>
      <c r="T7984">
        <v>-0.14193900000000001</v>
      </c>
      <c r="U7984">
        <v>-0.11947629999999999</v>
      </c>
      <c r="V7984">
        <v>-4.6933709999999997E-2</v>
      </c>
      <c r="W7984">
        <v>0.12383470000000001</v>
      </c>
      <c r="X7984">
        <v>0.99119230000000003</v>
      </c>
      <c r="Y7984">
        <v>1.171296E-2</v>
      </c>
      <c r="Z7984">
        <v>6.8244940000000004E-4</v>
      </c>
      <c r="AA7984">
        <v>0.99993120000000002</v>
      </c>
      <c r="AB7984">
        <v>22</v>
      </c>
      <c r="AC7984">
        <v>23.794899999999899</v>
      </c>
      <c r="AD7984">
        <v>-1.121140333554</v>
      </c>
      <c r="AE7984">
        <v>-0.93822999999999701</v>
      </c>
      <c r="AF7984">
        <v>0.280721259170642</v>
      </c>
      <c r="AG7984">
        <v>-1.121140333554</v>
      </c>
      <c r="AH7984">
        <v>23.759064785955101</v>
      </c>
      <c r="AI7984">
        <v>92.701475065350706</v>
      </c>
      <c r="AJ7984">
        <v>89.323062792342895</v>
      </c>
      <c r="AK7984">
        <v>23.787158711709999</v>
      </c>
      <c r="AL7984">
        <v>82.886533770801606</v>
      </c>
      <c r="AM7984">
        <v>92.710973902553604</v>
      </c>
      <c r="AN7984">
        <v>0.99999999081887203</v>
      </c>
    </row>
    <row r="7985" spans="1:40" x14ac:dyDescent="0.25">
      <c r="A7985" t="str">
        <f>"20190303162111266"</f>
        <v>20190303162111266</v>
      </c>
      <c r="B7985" t="str">
        <f>"1551601271260866"</f>
        <v>1551601271260866</v>
      </c>
      <c r="C7985" t="s">
        <v>40</v>
      </c>
      <c r="D7985">
        <v>4.625051</v>
      </c>
      <c r="E7985">
        <v>0.52194849999999904</v>
      </c>
      <c r="F7985" t="s">
        <v>41</v>
      </c>
      <c r="G7985">
        <v>-351.92399999999998</v>
      </c>
      <c r="H7985" s="1">
        <v>-3.9606699999999996E-6</v>
      </c>
      <c r="I7985">
        <v>16.719899999999999</v>
      </c>
      <c r="J7985">
        <v>-377.04669999999999</v>
      </c>
      <c r="K7985">
        <v>1.1211310000000001</v>
      </c>
      <c r="L7985">
        <v>17.673490000000001</v>
      </c>
      <c r="M7985">
        <v>0.99957050000000003</v>
      </c>
      <c r="N7985">
        <v>-9.9144739999999995E-3</v>
      </c>
      <c r="O7985">
        <v>-2.7579650000000001E-2</v>
      </c>
      <c r="P7985">
        <v>0.9931953</v>
      </c>
      <c r="Q7985">
        <v>0.114589</v>
      </c>
      <c r="R7985">
        <v>2.0797699999999999E-2</v>
      </c>
      <c r="S7985">
        <v>3.0380250000000002</v>
      </c>
      <c r="T7985">
        <v>-0.13489870000000001</v>
      </c>
      <c r="U7985">
        <v>-0.1151428</v>
      </c>
      <c r="V7985">
        <v>-4.817929E-2</v>
      </c>
      <c r="W7985">
        <v>0.1244224</v>
      </c>
      <c r="X7985">
        <v>0.99105889999999996</v>
      </c>
      <c r="Y7985">
        <v>1.030169E-2</v>
      </c>
      <c r="Z7985">
        <v>6.7037039999999905E-4</v>
      </c>
      <c r="AA7985">
        <v>0.99994669999999997</v>
      </c>
      <c r="AB7985">
        <v>22</v>
      </c>
      <c r="AC7985">
        <v>25.122699999999899</v>
      </c>
      <c r="AD7985">
        <v>-1.1211349606699901</v>
      </c>
      <c r="AE7985">
        <v>-0.95359000000000205</v>
      </c>
      <c r="AF7985">
        <v>0.25980128586664603</v>
      </c>
      <c r="AG7985">
        <v>-1.1211349606699901</v>
      </c>
      <c r="AH7985">
        <v>25.089549304254898</v>
      </c>
      <c r="AI7985">
        <v>92.558442158822601</v>
      </c>
      <c r="AJ7985">
        <v>89.406725684397301</v>
      </c>
      <c r="AK7985">
        <v>25.1159296980783</v>
      </c>
      <c r="AL7985">
        <v>82.852598372320799</v>
      </c>
      <c r="AM7985">
        <v>92.783183152944503</v>
      </c>
      <c r="AN7985">
        <v>0.99999996043793604</v>
      </c>
    </row>
    <row r="7986" spans="1:40" x14ac:dyDescent="0.25">
      <c r="A7986" t="str">
        <f>"20190303162111278"</f>
        <v>20190303162111278</v>
      </c>
      <c r="B7986" t="str">
        <f>"1551601271270626"</f>
        <v>1551601271270626</v>
      </c>
      <c r="C7986" t="s">
        <v>40</v>
      </c>
      <c r="D7986">
        <v>4.6720920000000001</v>
      </c>
      <c r="E7986">
        <v>0.52208239999999995</v>
      </c>
      <c r="F7986" t="s">
        <v>41</v>
      </c>
      <c r="G7986">
        <v>-350.95690000000002</v>
      </c>
      <c r="H7986" s="1">
        <v>-4.3802419999999999E-6</v>
      </c>
      <c r="I7986">
        <v>16.693239999999999</v>
      </c>
      <c r="J7986">
        <v>-376.9203</v>
      </c>
      <c r="K7986">
        <v>1.1211260000000001</v>
      </c>
      <c r="L7986">
        <v>17.670010000000001</v>
      </c>
      <c r="M7986">
        <v>0.99957070000000003</v>
      </c>
      <c r="N7986">
        <v>-9.9109230000000003E-3</v>
      </c>
      <c r="O7986">
        <v>-2.7576369999999999E-2</v>
      </c>
      <c r="P7986">
        <v>0.99308090000000004</v>
      </c>
      <c r="Q7986">
        <v>0.1153923</v>
      </c>
      <c r="R7986">
        <v>2.1799019999999999E-2</v>
      </c>
      <c r="S7986">
        <v>3.0380250000000002</v>
      </c>
      <c r="T7986">
        <v>-0.13055059999999999</v>
      </c>
      <c r="U7986">
        <v>-0.11413570000000001</v>
      </c>
      <c r="V7986">
        <v>-4.9171409999999999E-2</v>
      </c>
      <c r="W7986">
        <v>0.125222</v>
      </c>
      <c r="X7986">
        <v>0.9909095</v>
      </c>
      <c r="Y7986">
        <v>9.9737330000000003E-3</v>
      </c>
      <c r="Z7986">
        <v>6.4701229999999997E-4</v>
      </c>
      <c r="AA7986">
        <v>0.99995009999999995</v>
      </c>
      <c r="AB7986">
        <v>22</v>
      </c>
      <c r="AC7986">
        <v>25.963399999999901</v>
      </c>
      <c r="AD7986">
        <v>-1.1211303802420001</v>
      </c>
      <c r="AE7986">
        <v>-0.97677000000000203</v>
      </c>
      <c r="AF7986">
        <v>0.25990316744588998</v>
      </c>
      <c r="AG7986">
        <v>-1.1211303802420001</v>
      </c>
      <c r="AH7986">
        <v>25.932177051664201</v>
      </c>
      <c r="AI7986">
        <v>92.475412783635505</v>
      </c>
      <c r="AJ7986">
        <v>89.425776865151704</v>
      </c>
      <c r="AK7986">
        <v>25.957701932659699</v>
      </c>
      <c r="AL7986">
        <v>82.806423873163098</v>
      </c>
      <c r="AM7986">
        <v>92.840829794620603</v>
      </c>
      <c r="AN7986">
        <v>1.0000000070178101</v>
      </c>
    </row>
    <row r="7987" spans="1:40" x14ac:dyDescent="0.25">
      <c r="A7987" t="str">
        <f>"20190303162111297"</f>
        <v>20190303162111297</v>
      </c>
      <c r="B7987" t="str">
        <f>"1551601271290147"</f>
        <v>1551601271290147</v>
      </c>
      <c r="C7987" t="s">
        <v>40</v>
      </c>
      <c r="D7987">
        <v>4.6814229999999997</v>
      </c>
      <c r="E7987">
        <v>0.52234879999999995</v>
      </c>
      <c r="F7987" t="s">
        <v>41</v>
      </c>
      <c r="G7987">
        <v>-349.97239999999999</v>
      </c>
      <c r="H7987" s="1">
        <v>-4.8064329999999997E-6</v>
      </c>
      <c r="I7987">
        <v>16.671620000000001</v>
      </c>
      <c r="J7987">
        <v>-376.73599999999999</v>
      </c>
      <c r="K7987">
        <v>1.121119</v>
      </c>
      <c r="L7987">
        <v>17.664950000000001</v>
      </c>
      <c r="M7987">
        <v>0.99957050000000003</v>
      </c>
      <c r="N7987">
        <v>-9.9064989999999992E-3</v>
      </c>
      <c r="O7987">
        <v>-2.757834E-2</v>
      </c>
      <c r="P7987">
        <v>0.99293929999999997</v>
      </c>
      <c r="Q7987">
        <v>0.1162094</v>
      </c>
      <c r="R7987">
        <v>2.381175E-2</v>
      </c>
      <c r="S7987">
        <v>3.0380859999999998</v>
      </c>
      <c r="T7987">
        <v>-0.1263957</v>
      </c>
      <c r="U7987">
        <v>-0.1125488</v>
      </c>
      <c r="V7987">
        <v>-5.1179339999999997E-2</v>
      </c>
      <c r="W7987">
        <v>0.1260337</v>
      </c>
      <c r="X7987">
        <v>0.9907049</v>
      </c>
      <c r="Y7987">
        <v>9.4494109999999996E-3</v>
      </c>
      <c r="Z7987">
        <v>6.298683E-4</v>
      </c>
      <c r="AA7987">
        <v>0.99995520000000004</v>
      </c>
      <c r="AB7987">
        <v>22</v>
      </c>
      <c r="AC7987">
        <v>26.7636</v>
      </c>
      <c r="AD7987">
        <v>-1.121123806433</v>
      </c>
      <c r="AE7987">
        <v>-0.99333000000000005</v>
      </c>
      <c r="AF7987">
        <v>0.254374470295334</v>
      </c>
      <c r="AG7987">
        <v>-1.121123806433</v>
      </c>
      <c r="AH7987">
        <v>26.7339678717717</v>
      </c>
      <c r="AI7987">
        <v>92.4012575989032</v>
      </c>
      <c r="AJ7987">
        <v>89.454845467862796</v>
      </c>
      <c r="AK7987">
        <v>26.758674539846101</v>
      </c>
      <c r="AL7987">
        <v>82.759545502767494</v>
      </c>
      <c r="AM7987">
        <v>92.957243689200695</v>
      </c>
      <c r="AN7987">
        <v>1.0000000086312599</v>
      </c>
    </row>
    <row r="7988" spans="1:40" x14ac:dyDescent="0.25">
      <c r="A7988" t="str">
        <f>"20190303162111311"</f>
        <v>20190303162111311</v>
      </c>
      <c r="B7988" t="str">
        <f>"1551601271300882"</f>
        <v>1551601271300882</v>
      </c>
      <c r="C7988" t="s">
        <v>40</v>
      </c>
      <c r="D7988">
        <v>4.6448099999999997</v>
      </c>
      <c r="E7988">
        <v>0.52250399999999997</v>
      </c>
      <c r="F7988" t="s">
        <v>41</v>
      </c>
      <c r="G7988">
        <v>-348.5324</v>
      </c>
      <c r="H7988" s="1">
        <v>-1.2747879999999999E-6</v>
      </c>
      <c r="I7988">
        <v>16.64978</v>
      </c>
      <c r="J7988">
        <v>-376.60329999999999</v>
      </c>
      <c r="K7988">
        <v>1.121113</v>
      </c>
      <c r="L7988">
        <v>17.661290000000001</v>
      </c>
      <c r="M7988">
        <v>0.99957050000000003</v>
      </c>
      <c r="N7988">
        <v>-9.9038809999999998E-3</v>
      </c>
      <c r="O7988">
        <v>-2.7584930000000001E-2</v>
      </c>
      <c r="P7988">
        <v>0.99291399999999996</v>
      </c>
      <c r="Q7988">
        <v>0.1163006</v>
      </c>
      <c r="R7988">
        <v>2.4411829999999999E-2</v>
      </c>
      <c r="S7988">
        <v>3.0380859999999998</v>
      </c>
      <c r="T7988">
        <v>-0.120766899999999</v>
      </c>
      <c r="U7988">
        <v>-0.1093445</v>
      </c>
      <c r="V7988">
        <v>-5.1783900000000001E-2</v>
      </c>
      <c r="W7988">
        <v>0.126121699999999</v>
      </c>
      <c r="X7988">
        <v>0.9906623</v>
      </c>
      <c r="Y7988">
        <v>8.3898280000000002E-3</v>
      </c>
      <c r="Z7988">
        <v>6.1419220000000002E-4</v>
      </c>
      <c r="AA7988">
        <v>0.99996459999999998</v>
      </c>
      <c r="AB7988">
        <v>22</v>
      </c>
      <c r="AC7988">
        <v>28.070899999999899</v>
      </c>
      <c r="AD7988">
        <v>-1.1211142747880001</v>
      </c>
      <c r="AE7988">
        <v>-1.0115099999999999</v>
      </c>
      <c r="AF7988">
        <v>0.23637677781609101</v>
      </c>
      <c r="AG7988">
        <v>-1.1211142747880001</v>
      </c>
      <c r="AH7988">
        <v>28.0434467382421</v>
      </c>
      <c r="AI7988">
        <v>92.289256770954594</v>
      </c>
      <c r="AJ7988">
        <v>89.517068242576499</v>
      </c>
      <c r="AK7988">
        <v>28.0668430030676</v>
      </c>
      <c r="AL7988">
        <v>82.754463029560497</v>
      </c>
      <c r="AM7988">
        <v>92.992241688477193</v>
      </c>
      <c r="AN7988">
        <v>1.0000000240756901</v>
      </c>
    </row>
    <row r="7989" spans="1:40" x14ac:dyDescent="0.25">
      <c r="A7989" t="str">
        <f>"20190303162111324"</f>
        <v>20190303162111324</v>
      </c>
      <c r="B7989" t="str">
        <f>"1551601271320908"</f>
        <v>1551601271320908</v>
      </c>
      <c r="C7989" t="s">
        <v>40</v>
      </c>
      <c r="D7989">
        <v>4.6783199999999896</v>
      </c>
      <c r="E7989">
        <v>0.52275939999999999</v>
      </c>
      <c r="F7989" t="s">
        <v>41</v>
      </c>
      <c r="G7989">
        <v>-347.94330000000002</v>
      </c>
      <c r="H7989" s="1">
        <v>-1.480307E-6</v>
      </c>
      <c r="I7989">
        <v>16.63082</v>
      </c>
      <c r="J7989">
        <v>-376.46969999999999</v>
      </c>
      <c r="K7989">
        <v>1.121108</v>
      </c>
      <c r="L7989">
        <v>17.65756</v>
      </c>
      <c r="M7989">
        <v>0.99957019999999996</v>
      </c>
      <c r="N7989">
        <v>-9.9016239999999995E-3</v>
      </c>
      <c r="O7989">
        <v>-2.75946E-2</v>
      </c>
      <c r="P7989">
        <v>0.99287029999999998</v>
      </c>
      <c r="Q7989">
        <v>0.1164984</v>
      </c>
      <c r="R7989">
        <v>2.5232620000000001E-2</v>
      </c>
      <c r="S7989">
        <v>3.0380250000000002</v>
      </c>
      <c r="T7989">
        <v>-0.1188405</v>
      </c>
      <c r="U7989">
        <v>-0.1092224</v>
      </c>
      <c r="V7989">
        <v>-5.2612060000000002E-2</v>
      </c>
      <c r="W7989">
        <v>0.1263175</v>
      </c>
      <c r="X7989">
        <v>0.99059370000000002</v>
      </c>
      <c r="Y7989">
        <v>8.3405230000000007E-3</v>
      </c>
      <c r="Z7989">
        <v>6.009651E-4</v>
      </c>
      <c r="AA7989">
        <v>0.99996499999999999</v>
      </c>
      <c r="AB7989">
        <v>22</v>
      </c>
      <c r="AC7989">
        <v>28.526399999999899</v>
      </c>
      <c r="AD7989">
        <v>-1.1211094803070001</v>
      </c>
      <c r="AE7989">
        <v>-1.02674</v>
      </c>
      <c r="AF7989">
        <v>0.238767510724777</v>
      </c>
      <c r="AG7989">
        <v>-1.1211094803070001</v>
      </c>
      <c r="AH7989">
        <v>28.4999072564942</v>
      </c>
      <c r="AI7989">
        <v>92.252620973544694</v>
      </c>
      <c r="AJ7989">
        <v>89.519996662681507</v>
      </c>
      <c r="AK7989">
        <v>28.522948831069101</v>
      </c>
      <c r="AL7989">
        <v>82.743153961341505</v>
      </c>
      <c r="AM7989">
        <v>93.040216533056693</v>
      </c>
      <c r="AN7989">
        <v>1.0000000090716901</v>
      </c>
    </row>
    <row r="7990" spans="1:40" x14ac:dyDescent="0.25">
      <c r="A7990" t="str">
        <f>"20190303162111341"</f>
        <v>20190303162111341</v>
      </c>
      <c r="B7990" t="str">
        <f>"1551601271330668"</f>
        <v>1551601271330668</v>
      </c>
      <c r="C7990" t="s">
        <v>40</v>
      </c>
      <c r="D7990">
        <v>4.6625899999999998</v>
      </c>
      <c r="E7990">
        <v>0.52288590000000001</v>
      </c>
      <c r="F7990" t="s">
        <v>41</v>
      </c>
      <c r="G7990">
        <v>-346.90280000000001</v>
      </c>
      <c r="H7990" s="1">
        <v>-1.847128E-6</v>
      </c>
      <c r="I7990">
        <v>16.593830000000001</v>
      </c>
      <c r="J7990">
        <v>-376.30329999999998</v>
      </c>
      <c r="K7990">
        <v>1.121111</v>
      </c>
      <c r="L7990">
        <v>17.652979999999999</v>
      </c>
      <c r="M7990">
        <v>0.99956970000000001</v>
      </c>
      <c r="N7990">
        <v>-9.8996069999999995E-3</v>
      </c>
      <c r="O7990">
        <v>-2.7611409999999999E-2</v>
      </c>
      <c r="P7990">
        <v>0.99285000000000001</v>
      </c>
      <c r="Q7990">
        <v>0.116586</v>
      </c>
      <c r="R7990">
        <v>2.562673E-2</v>
      </c>
      <c r="S7990">
        <v>3.0378419999999999</v>
      </c>
      <c r="T7990">
        <v>-0.115188</v>
      </c>
      <c r="U7990">
        <v>-0.1092834</v>
      </c>
      <c r="V7990">
        <v>-5.3021949999999998E-2</v>
      </c>
      <c r="W7990">
        <v>0.12640319999999999</v>
      </c>
      <c r="X7990">
        <v>0.99056089999999997</v>
      </c>
      <c r="Y7990">
        <v>8.3454280000000002E-3</v>
      </c>
      <c r="Z7990">
        <v>5.7331660000000003E-4</v>
      </c>
      <c r="AA7990">
        <v>0.99996499999999999</v>
      </c>
      <c r="AB7990">
        <v>22</v>
      </c>
      <c r="AC7990">
        <v>29.400499999999901</v>
      </c>
      <c r="AD7990">
        <v>-1.1211128471279901</v>
      </c>
      <c r="AE7990">
        <v>-1.05914999999999</v>
      </c>
      <c r="AF7990">
        <v>0.24655903770484</v>
      </c>
      <c r="AG7990">
        <v>-1.1211128471279901</v>
      </c>
      <c r="AH7990">
        <v>29.3758758980339</v>
      </c>
      <c r="AI7990">
        <v>92.185521759723898</v>
      </c>
      <c r="AJ7990">
        <v>89.5191135543988</v>
      </c>
      <c r="AK7990">
        <v>29.3982953613259</v>
      </c>
      <c r="AL7990">
        <v>82.738203943835501</v>
      </c>
      <c r="AM7990">
        <v>93.063958555386407</v>
      </c>
      <c r="AN7990">
        <v>0.99999999638042603</v>
      </c>
    </row>
    <row r="7991" spans="1:40" x14ac:dyDescent="0.25">
      <c r="A7991" t="str">
        <f>"20190303162111354"</f>
        <v>20190303162111354</v>
      </c>
      <c r="B7991" t="str">
        <f>"1551601271340429"</f>
        <v>1551601271340429</v>
      </c>
      <c r="C7991" t="s">
        <v>40</v>
      </c>
      <c r="D7991">
        <v>4.6710409999999998</v>
      </c>
      <c r="E7991">
        <v>0.52302459999999995</v>
      </c>
      <c r="F7991" t="s">
        <v>41</v>
      </c>
      <c r="G7991">
        <v>-346.2269</v>
      </c>
      <c r="H7991" s="1">
        <v>-2.1422259999999999E-6</v>
      </c>
      <c r="I7991">
        <v>16.56485</v>
      </c>
      <c r="J7991">
        <v>-376.17880000000002</v>
      </c>
      <c r="K7991">
        <v>1.1211150000000001</v>
      </c>
      <c r="L7991">
        <v>17.649539999999998</v>
      </c>
      <c r="M7991">
        <v>0.99956940000000005</v>
      </c>
      <c r="N7991">
        <v>-9.8985050000000002E-3</v>
      </c>
      <c r="O7991">
        <v>-2.7624869999999999E-2</v>
      </c>
      <c r="P7991">
        <v>0.99282289999999995</v>
      </c>
      <c r="Q7991">
        <v>0.1168455</v>
      </c>
      <c r="R7991">
        <v>2.5491E-2</v>
      </c>
      <c r="S7991">
        <v>3.03775</v>
      </c>
      <c r="T7991">
        <v>-0.113233399999999</v>
      </c>
      <c r="U7991">
        <v>-0.1098938</v>
      </c>
      <c r="V7991">
        <v>-5.2898800000000003E-2</v>
      </c>
      <c r="W7991">
        <v>0.12666089999999999</v>
      </c>
      <c r="X7991">
        <v>0.99053449999999998</v>
      </c>
      <c r="Y7991">
        <v>8.5332719999999997E-3</v>
      </c>
      <c r="Z7991">
        <v>5.5425570000000005E-4</v>
      </c>
      <c r="AA7991">
        <v>0.99996350000000001</v>
      </c>
      <c r="AB7991">
        <v>22</v>
      </c>
      <c r="AC7991">
        <v>29.951899999999998</v>
      </c>
      <c r="AD7991">
        <v>-1.12111714222599</v>
      </c>
      <c r="AE7991">
        <v>-1.0846899999999899</v>
      </c>
      <c r="AF7991">
        <v>0.25645931648951398</v>
      </c>
      <c r="AG7991">
        <v>-1.12111714222599</v>
      </c>
      <c r="AH7991">
        <v>29.928557491738101</v>
      </c>
      <c r="AI7991">
        <v>92.145205468947694</v>
      </c>
      <c r="AJ7991">
        <v>89.509041596232393</v>
      </c>
      <c r="AK7991">
        <v>29.950646546675401</v>
      </c>
      <c r="AL7991">
        <v>82.723318708248499</v>
      </c>
      <c r="AM7991">
        <v>93.056936964814795</v>
      </c>
      <c r="AN7991">
        <v>0.99999993116024699</v>
      </c>
    </row>
    <row r="7992" spans="1:40" x14ac:dyDescent="0.25">
      <c r="A7992" t="str">
        <f>"20190303162111367"</f>
        <v>20190303162111367</v>
      </c>
      <c r="B7992" t="str">
        <f>"1551601271360924"</f>
        <v>1551601271360924</v>
      </c>
      <c r="C7992" t="s">
        <v>40</v>
      </c>
      <c r="D7992">
        <v>4.682302</v>
      </c>
      <c r="E7992">
        <v>0.52332920000000005</v>
      </c>
      <c r="F7992" t="s">
        <v>41</v>
      </c>
      <c r="G7992">
        <v>-345.61219999999997</v>
      </c>
      <c r="H7992" s="1">
        <v>-2.4128940000000001E-6</v>
      </c>
      <c r="I7992">
        <v>16.52552</v>
      </c>
      <c r="J7992">
        <v>-376.04579999999999</v>
      </c>
      <c r="K7992">
        <v>1.1211169999999999</v>
      </c>
      <c r="L7992">
        <v>17.64584</v>
      </c>
      <c r="M7992">
        <v>0.99956900000000004</v>
      </c>
      <c r="N7992">
        <v>-9.8975999999999995E-3</v>
      </c>
      <c r="O7992">
        <v>-2.763941E-2</v>
      </c>
      <c r="P7992">
        <v>0.99277539999999997</v>
      </c>
      <c r="Q7992">
        <v>0.11729059999999999</v>
      </c>
      <c r="R7992">
        <v>2.5305850000000001E-2</v>
      </c>
      <c r="S7992">
        <v>3.0376590000000001</v>
      </c>
      <c r="T7992">
        <v>-0.111414899999999</v>
      </c>
      <c r="U7992">
        <v>-0.1116943</v>
      </c>
      <c r="V7992">
        <v>-5.2727169999999997E-2</v>
      </c>
      <c r="W7992">
        <v>0.12710460000000001</v>
      </c>
      <c r="X7992">
        <v>0.99048689999999995</v>
      </c>
      <c r="Y7992">
        <v>9.1110240000000006E-3</v>
      </c>
      <c r="Z7992">
        <v>5.2727699999999896E-4</v>
      </c>
      <c r="AA7992">
        <v>0.99995829999999997</v>
      </c>
      <c r="AB7992">
        <v>22</v>
      </c>
      <c r="AC7992">
        <v>30.433599999999998</v>
      </c>
      <c r="AD7992">
        <v>-1.1211194128940001</v>
      </c>
      <c r="AE7992">
        <v>-1.12031999999999</v>
      </c>
      <c r="AF7992">
        <v>0.278306866345988</v>
      </c>
      <c r="AG7992">
        <v>-1.1211194128940001</v>
      </c>
      <c r="AH7992">
        <v>30.411723966426901</v>
      </c>
      <c r="AI7992">
        <v>92.111147982082699</v>
      </c>
      <c r="AJ7992">
        <v>89.475683662103293</v>
      </c>
      <c r="AK7992">
        <v>30.433654365849101</v>
      </c>
      <c r="AL7992">
        <v>82.697690051992097</v>
      </c>
      <c r="AM7992">
        <v>93.047183618170095</v>
      </c>
      <c r="AN7992">
        <v>1.00000001643448</v>
      </c>
    </row>
    <row r="7993" spans="1:40" x14ac:dyDescent="0.25">
      <c r="A7993" t="str">
        <f>"20190303162111381"</f>
        <v>20190303162111381</v>
      </c>
      <c r="B7993" t="str">
        <f>"1551601271370684"</f>
        <v>1551601271370684</v>
      </c>
      <c r="C7993" t="s">
        <v>40</v>
      </c>
      <c r="D7993">
        <v>4.6861100000000002</v>
      </c>
      <c r="E7993">
        <v>0.52345940000000002</v>
      </c>
      <c r="F7993" t="s">
        <v>41</v>
      </c>
      <c r="G7993">
        <v>-344.39330000000001</v>
      </c>
      <c r="H7993" s="1">
        <v>-2.9496530000000001E-6</v>
      </c>
      <c r="I7993">
        <v>16.447479999999999</v>
      </c>
      <c r="J7993">
        <v>-375.90410000000003</v>
      </c>
      <c r="K7993">
        <v>1.12112099999999</v>
      </c>
      <c r="L7993">
        <v>17.641909999999999</v>
      </c>
      <c r="M7993">
        <v>0.99956869999999998</v>
      </c>
      <c r="N7993">
        <v>-9.8971130000000008E-3</v>
      </c>
      <c r="O7993">
        <v>-2.76537E-2</v>
      </c>
      <c r="P7993">
        <v>0.99273029999999995</v>
      </c>
      <c r="Q7993">
        <v>0.11771139999999999</v>
      </c>
      <c r="R7993">
        <v>2.512052E-2</v>
      </c>
      <c r="S7993">
        <v>3.0374759999999998</v>
      </c>
      <c r="T7993">
        <v>-0.1075863</v>
      </c>
      <c r="U7993">
        <v>-0.1149902</v>
      </c>
      <c r="V7993">
        <v>-5.2554749999999997E-2</v>
      </c>
      <c r="W7993">
        <v>0.12752459999999999</v>
      </c>
      <c r="X7993">
        <v>0.99044200000000004</v>
      </c>
      <c r="Y7993">
        <v>1.018117E-2</v>
      </c>
      <c r="Z7993">
        <v>4.7439699999999999E-4</v>
      </c>
      <c r="AA7993">
        <v>0.99994810000000001</v>
      </c>
      <c r="AB7993">
        <v>22</v>
      </c>
      <c r="AC7993">
        <v>31.5108</v>
      </c>
      <c r="AD7993">
        <v>-1.1211239496530001</v>
      </c>
      <c r="AE7993">
        <v>-1.1944300000000001</v>
      </c>
      <c r="AF7993">
        <v>0.32213319372407401</v>
      </c>
      <c r="AG7993">
        <v>-1.1211239496530001</v>
      </c>
      <c r="AH7993">
        <v>31.491972476494801</v>
      </c>
      <c r="AI7993">
        <v>92.038779824247001</v>
      </c>
      <c r="AJ7993">
        <v>89.413938623272401</v>
      </c>
      <c r="AK7993">
        <v>31.513568810359999</v>
      </c>
      <c r="AL7993">
        <v>82.6734278323555</v>
      </c>
      <c r="AM7993">
        <v>93.0373753203951</v>
      </c>
      <c r="AN7993">
        <v>0.99999994035835904</v>
      </c>
    </row>
    <row r="7994" spans="1:40" x14ac:dyDescent="0.25">
      <c r="A7994" t="str">
        <f>"20190303162111398"</f>
        <v>20190303162111398</v>
      </c>
      <c r="B7994" t="str">
        <f>"1551601271390204"</f>
        <v>1551601271390204</v>
      </c>
      <c r="C7994" t="s">
        <v>40</v>
      </c>
      <c r="D7994">
        <v>4.6964959999999998</v>
      </c>
      <c r="E7994">
        <v>0.52374039999999999</v>
      </c>
      <c r="F7994" t="s">
        <v>41</v>
      </c>
      <c r="G7994">
        <v>-343.47219999999999</v>
      </c>
      <c r="H7994" s="1">
        <v>-3.3546029999999999E-6</v>
      </c>
      <c r="I7994">
        <v>16.392160000000001</v>
      </c>
      <c r="J7994">
        <v>-375.73660000000001</v>
      </c>
      <c r="K7994">
        <v>1.121129</v>
      </c>
      <c r="L7994">
        <v>17.637239999999998</v>
      </c>
      <c r="M7994">
        <v>0.99956820000000002</v>
      </c>
      <c r="N7994">
        <v>-9.8970120000000002E-3</v>
      </c>
      <c r="O7994">
        <v>-2.7667029999999999E-2</v>
      </c>
      <c r="P7994">
        <v>0.99266469999999996</v>
      </c>
      <c r="Q7994">
        <v>0.1183772</v>
      </c>
      <c r="R7994">
        <v>2.4573049999999999E-2</v>
      </c>
      <c r="S7994">
        <v>3.0373540000000001</v>
      </c>
      <c r="T7994">
        <v>-0.1049969</v>
      </c>
      <c r="U7994">
        <v>-0.1170349</v>
      </c>
      <c r="V7994">
        <v>-5.2019889999999999E-2</v>
      </c>
      <c r="W7994">
        <v>0.1281891</v>
      </c>
      <c r="X7994">
        <v>0.9903845</v>
      </c>
      <c r="Y7994">
        <v>1.084077E-2</v>
      </c>
      <c r="Z7994">
        <v>4.4088329999999998E-4</v>
      </c>
      <c r="AA7994">
        <v>0.99994110000000003</v>
      </c>
      <c r="AB7994">
        <v>22</v>
      </c>
      <c r="AC7994">
        <v>32.264400000000002</v>
      </c>
      <c r="AD7994">
        <v>-1.1211323546030001</v>
      </c>
      <c r="AE7994">
        <v>-1.24507999999999</v>
      </c>
      <c r="AF7994">
        <v>0.35147573043720998</v>
      </c>
      <c r="AG7994">
        <v>-1.1211323546030001</v>
      </c>
      <c r="AH7994">
        <v>32.247617894013302</v>
      </c>
      <c r="AI7994">
        <v>91.991045661639205</v>
      </c>
      <c r="AJ7994">
        <v>89.375542136192394</v>
      </c>
      <c r="AK7994">
        <v>32.269015057542603</v>
      </c>
      <c r="AL7994">
        <v>82.635040057040499</v>
      </c>
      <c r="AM7994">
        <v>93.006694592253297</v>
      </c>
      <c r="AN7994">
        <v>0.99999998607733598</v>
      </c>
    </row>
    <row r="7995" spans="1:40" x14ac:dyDescent="0.25">
      <c r="A7995" t="str">
        <f>"20190303162111413"</f>
        <v>20190303162111413</v>
      </c>
      <c r="B7995" t="str">
        <f>"1551601271400941"</f>
        <v>1551601271400941</v>
      </c>
      <c r="C7995" t="s">
        <v>40</v>
      </c>
      <c r="D7995">
        <v>4.7015949999999904</v>
      </c>
      <c r="E7995">
        <v>0.52386549999999998</v>
      </c>
      <c r="F7995" t="s">
        <v>41</v>
      </c>
      <c r="G7995">
        <v>-341.88780000000003</v>
      </c>
      <c r="H7995" s="1">
        <v>-4.0541830000000002E-6</v>
      </c>
      <c r="I7995">
        <v>16.280089999999898</v>
      </c>
      <c r="J7995">
        <v>-375.58760000000001</v>
      </c>
      <c r="K7995">
        <v>1.121138</v>
      </c>
      <c r="L7995">
        <v>17.633089999999999</v>
      </c>
      <c r="M7995">
        <v>0.99956800000000001</v>
      </c>
      <c r="N7995">
        <v>-9.8972950000000004E-3</v>
      </c>
      <c r="O7995">
        <v>-2.7676300000000001E-2</v>
      </c>
      <c r="P7995">
        <v>0.99263509999999999</v>
      </c>
      <c r="Q7995">
        <v>0.11872539999999999</v>
      </c>
      <c r="R7995">
        <v>2.409097E-2</v>
      </c>
      <c r="S7995">
        <v>3.03714</v>
      </c>
      <c r="T7995">
        <v>-0.1005955</v>
      </c>
      <c r="U7995">
        <v>-0.1217651</v>
      </c>
      <c r="V7995">
        <v>-5.1546700000000001E-2</v>
      </c>
      <c r="W7995">
        <v>0.12853709999999999</v>
      </c>
      <c r="X7995">
        <v>0.99036409999999997</v>
      </c>
      <c r="Y7995">
        <v>1.238771E-2</v>
      </c>
      <c r="Z7995">
        <v>3.7566249999999998E-4</v>
      </c>
      <c r="AA7995">
        <v>0.99992320000000001</v>
      </c>
      <c r="AB7995">
        <v>22</v>
      </c>
      <c r="AC7995">
        <v>33.699799999999897</v>
      </c>
      <c r="AD7995">
        <v>-1.1211420541829999</v>
      </c>
      <c r="AE7995">
        <v>-1.353</v>
      </c>
      <c r="AF7995">
        <v>0.41928694577973302</v>
      </c>
      <c r="AG7995">
        <v>-1.1211420541829999</v>
      </c>
      <c r="AH7995">
        <v>33.687112806273397</v>
      </c>
      <c r="AI7995">
        <v>91.906011884313301</v>
      </c>
      <c r="AJ7995">
        <v>89.286904398130403</v>
      </c>
      <c r="AK7995">
        <v>33.708371812817497</v>
      </c>
      <c r="AL7995">
        <v>82.614934527461898</v>
      </c>
      <c r="AM7995">
        <v>92.979455473467397</v>
      </c>
      <c r="AN7995">
        <v>0.99999994946305304</v>
      </c>
    </row>
    <row r="7996" spans="1:40" x14ac:dyDescent="0.25">
      <c r="A7996" t="str">
        <f>"20190303162111432"</f>
        <v>20190303162111432</v>
      </c>
      <c r="B7996" t="str">
        <f>"1551601271420967"</f>
        <v>1551601271420967</v>
      </c>
      <c r="C7996" t="s">
        <v>40</v>
      </c>
      <c r="D7996">
        <v>4.6939349999999997</v>
      </c>
      <c r="E7996">
        <v>0.5241055</v>
      </c>
      <c r="F7996" t="s">
        <v>41</v>
      </c>
      <c r="G7996">
        <v>-340.97879999999998</v>
      </c>
      <c r="H7996" s="1">
        <v>-4.4556890000000003E-6</v>
      </c>
      <c r="I7996">
        <v>16.215150000000001</v>
      </c>
      <c r="J7996">
        <v>-375.40289999999999</v>
      </c>
      <c r="K7996">
        <v>1.121146</v>
      </c>
      <c r="L7996">
        <v>17.627960000000002</v>
      </c>
      <c r="M7996">
        <v>0.99956769999999995</v>
      </c>
      <c r="N7996">
        <v>-9.8980909999999995E-3</v>
      </c>
      <c r="O7996">
        <v>-2.7681979999999998E-2</v>
      </c>
      <c r="P7996">
        <v>0.99248530000000001</v>
      </c>
      <c r="Q7996">
        <v>0.1202448</v>
      </c>
      <c r="R7996">
        <v>2.2671110000000001E-2</v>
      </c>
      <c r="S7996">
        <v>3.0370180000000002</v>
      </c>
      <c r="T7996">
        <v>-9.8383189999999995E-2</v>
      </c>
      <c r="U7996">
        <v>-0.12442019999999999</v>
      </c>
      <c r="V7996">
        <v>-5.012983E-2</v>
      </c>
      <c r="W7996">
        <v>0.1300558</v>
      </c>
      <c r="X7996">
        <v>0.99023859999999997</v>
      </c>
      <c r="Y7996">
        <v>1.3255640000000001E-2</v>
      </c>
      <c r="Z7996">
        <v>3.4180499999999998E-4</v>
      </c>
      <c r="AA7996">
        <v>0.99991209999999997</v>
      </c>
      <c r="AB7996">
        <v>22</v>
      </c>
      <c r="AC7996">
        <v>34.424100000000003</v>
      </c>
      <c r="AD7996">
        <v>-1.121150455689</v>
      </c>
      <c r="AE7996">
        <v>-1.4128099999999999</v>
      </c>
      <c r="AF7996">
        <v>0.45880867706484602</v>
      </c>
      <c r="AG7996">
        <v>-1.121150455689</v>
      </c>
      <c r="AH7996">
        <v>34.413576076628203</v>
      </c>
      <c r="AI7996">
        <v>91.865797814576794</v>
      </c>
      <c r="AJ7996">
        <v>89.236166465915105</v>
      </c>
      <c r="AK7996">
        <v>34.434890766899699</v>
      </c>
      <c r="AL7996">
        <v>82.527183188929598</v>
      </c>
      <c r="AM7996">
        <v>92.898067006655907</v>
      </c>
      <c r="AN7996">
        <v>0.99999999794971395</v>
      </c>
    </row>
    <row r="7997" spans="1:40" x14ac:dyDescent="0.25">
      <c r="A7997" t="str">
        <f>"20190303162111453"</f>
        <v>20190303162111453</v>
      </c>
      <c r="B7997" t="str">
        <f>"1551601271440488"</f>
        <v>1551601271440488</v>
      </c>
      <c r="C7997" t="s">
        <v>40</v>
      </c>
      <c r="D7997">
        <v>4.6885389999999996</v>
      </c>
      <c r="E7997">
        <v>0.52435559999999903</v>
      </c>
      <c r="F7997" t="s">
        <v>41</v>
      </c>
      <c r="G7997">
        <v>-338.34030000000001</v>
      </c>
      <c r="H7997" s="1">
        <v>-1.504286E-6</v>
      </c>
      <c r="I7997">
        <v>16.03302</v>
      </c>
      <c r="J7997">
        <v>-375.19349999999997</v>
      </c>
      <c r="K7997">
        <v>1.121159</v>
      </c>
      <c r="L7997">
        <v>17.622129999999999</v>
      </c>
      <c r="M7997">
        <v>0.99956809999999996</v>
      </c>
      <c r="N7997">
        <v>-9.8995660000000003E-3</v>
      </c>
      <c r="O7997">
        <v>-2.7673039999999999E-2</v>
      </c>
      <c r="P7997">
        <v>0.99251840000000002</v>
      </c>
      <c r="Q7997">
        <v>0.1202984</v>
      </c>
      <c r="R7997">
        <v>2.0877920000000001E-2</v>
      </c>
      <c r="S7997">
        <v>3.0367739999999999</v>
      </c>
      <c r="T7997">
        <v>-9.1862680000000002E-2</v>
      </c>
      <c r="U7997">
        <v>-0.1306763</v>
      </c>
      <c r="V7997">
        <v>-4.8332729999999997E-2</v>
      </c>
      <c r="W7997">
        <v>0.13011019999999901</v>
      </c>
      <c r="X7997">
        <v>0.9903208</v>
      </c>
      <c r="Y7997">
        <v>1.532265E-2</v>
      </c>
      <c r="Z7997">
        <v>2.5497390000000001E-4</v>
      </c>
      <c r="AA7997">
        <v>0.99988259999999995</v>
      </c>
      <c r="AB7997">
        <v>22</v>
      </c>
      <c r="AC7997">
        <v>36.853199999999902</v>
      </c>
      <c r="AD7997">
        <v>-1.121160504286</v>
      </c>
      <c r="AE7997">
        <v>-1.58910999999999</v>
      </c>
      <c r="AF7997">
        <v>0.56808659711912401</v>
      </c>
      <c r="AG7997">
        <v>-1.121160504286</v>
      </c>
      <c r="AH7997">
        <v>36.849021371910197</v>
      </c>
      <c r="AI7997">
        <v>91.742524661290901</v>
      </c>
      <c r="AJ7997">
        <v>89.1167638945428</v>
      </c>
      <c r="AK7997">
        <v>36.870450218646603</v>
      </c>
      <c r="AL7997">
        <v>82.524039617550301</v>
      </c>
      <c r="AM7997">
        <v>92.794110595272002</v>
      </c>
      <c r="AN7997">
        <v>1.00000000192296</v>
      </c>
    </row>
    <row r="7998" spans="1:40" x14ac:dyDescent="0.25">
      <c r="A7998" t="str">
        <f>"20190303162111465"</f>
        <v>20190303162111465</v>
      </c>
      <c r="B7998" t="str">
        <f>"1551601271460984"</f>
        <v>1551601271460984</v>
      </c>
      <c r="C7998" t="s">
        <v>40</v>
      </c>
      <c r="D7998">
        <v>4.8381530000000001</v>
      </c>
      <c r="E7998">
        <v>0.52437509999999998</v>
      </c>
      <c r="F7998" t="s">
        <v>41</v>
      </c>
      <c r="G7998">
        <v>-337.6508</v>
      </c>
      <c r="H7998" s="1">
        <v>-1.767077E-6</v>
      </c>
      <c r="I7998">
        <v>15.92714</v>
      </c>
      <c r="J7998">
        <v>-375.06760000000003</v>
      </c>
      <c r="K7998">
        <v>1.1211660000000001</v>
      </c>
      <c r="L7998">
        <v>17.618649999999999</v>
      </c>
      <c r="M7998">
        <v>0.99956840000000002</v>
      </c>
      <c r="N7998">
        <v>-9.9006649999999995E-3</v>
      </c>
      <c r="O7998">
        <v>-2.7657319999999999E-2</v>
      </c>
      <c r="P7998">
        <v>0.99257700000000004</v>
      </c>
      <c r="Q7998">
        <v>0.1199629</v>
      </c>
      <c r="R7998">
        <v>1.9990000000000001E-2</v>
      </c>
      <c r="S7998">
        <v>3.0364689999999999</v>
      </c>
      <c r="T7998">
        <v>-9.0680120000000003E-2</v>
      </c>
      <c r="U7998">
        <v>-0.13708499999999901</v>
      </c>
      <c r="V7998">
        <v>-4.7434289999999997E-2</v>
      </c>
      <c r="W7998">
        <v>0.1297759</v>
      </c>
      <c r="X7998">
        <v>0.99040810000000001</v>
      </c>
      <c r="Y7998">
        <v>1.7447609999999999E-2</v>
      </c>
      <c r="Z7998">
        <v>2.0463879999999999E-4</v>
      </c>
      <c r="AA7998">
        <v>0.99984779999999995</v>
      </c>
      <c r="AB7998">
        <v>22</v>
      </c>
      <c r="AC7998">
        <v>37.416800000000002</v>
      </c>
      <c r="AD7998">
        <v>-1.1211677670769999</v>
      </c>
      <c r="AE7998">
        <v>-1.6915099999999901</v>
      </c>
      <c r="AF7998">
        <v>0.65537646941026095</v>
      </c>
      <c r="AG7998">
        <v>-1.1211677670769999</v>
      </c>
      <c r="AH7998">
        <v>37.415744688733298</v>
      </c>
      <c r="AI7998">
        <v>91.716098983193206</v>
      </c>
      <c r="AJ7998">
        <v>88.996506245999001</v>
      </c>
      <c r="AK7998">
        <v>37.438275682662898</v>
      </c>
      <c r="AL7998">
        <v>82.543357371124003</v>
      </c>
      <c r="AM7998">
        <v>92.742010545019596</v>
      </c>
      <c r="AN7998">
        <v>1.0000000003171099</v>
      </c>
    </row>
    <row r="7999" spans="1:40" x14ac:dyDescent="0.25">
      <c r="A7999" t="str">
        <f>"20190303162111478"</f>
        <v>20190303162111478</v>
      </c>
      <c r="B7999" t="str">
        <f>"1551601271470744"</f>
        <v>1551601271470744</v>
      </c>
      <c r="C7999" t="s">
        <v>40</v>
      </c>
      <c r="D7999">
        <v>4.7185259999999998</v>
      </c>
      <c r="E7999">
        <v>0.52437509999999998</v>
      </c>
      <c r="F7999" t="s">
        <v>41</v>
      </c>
      <c r="G7999">
        <v>-337.62740000000002</v>
      </c>
      <c r="H7999" s="1">
        <v>-1.7824029999999999E-6</v>
      </c>
      <c r="I7999">
        <v>15.89955</v>
      </c>
      <c r="J7999">
        <v>-374.93060000000003</v>
      </c>
      <c r="K7999">
        <v>1.1211819999999999</v>
      </c>
      <c r="L7999">
        <v>17.61487</v>
      </c>
      <c r="M7999">
        <v>0.99956979999999995</v>
      </c>
      <c r="N7999">
        <v>-9.9021590000000007E-3</v>
      </c>
      <c r="O7999">
        <v>-2.7613240000000001E-2</v>
      </c>
      <c r="P7999">
        <v>0.99260870000000001</v>
      </c>
      <c r="Q7999">
        <v>0.11984450000000001</v>
      </c>
      <c r="R7999">
        <v>1.91221E-2</v>
      </c>
      <c r="S7999">
        <v>3.0362239999999998</v>
      </c>
      <c r="T7999">
        <v>-9.0921399999999999E-2</v>
      </c>
      <c r="U7999">
        <v>-0.13940429999999901</v>
      </c>
      <c r="V7999">
        <v>-4.6529670000000002E-2</v>
      </c>
      <c r="W7999">
        <v>0.12965679999999999</v>
      </c>
      <c r="X7999">
        <v>0.99046659999999997</v>
      </c>
      <c r="Y7999">
        <v>1.8257019999999999E-2</v>
      </c>
      <c r="Z7999">
        <v>1.891199E-4</v>
      </c>
      <c r="AA7999">
        <v>0.99983330000000004</v>
      </c>
      <c r="AB7999">
        <v>22</v>
      </c>
      <c r="AC7999">
        <v>37.303199999999997</v>
      </c>
      <c r="AD7999">
        <v>-1.121183782403</v>
      </c>
      <c r="AE7999">
        <v>-1.71532</v>
      </c>
      <c r="AF7999">
        <v>0.68393676609485199</v>
      </c>
      <c r="AG7999">
        <v>-1.121183782403</v>
      </c>
      <c r="AH7999">
        <v>37.302715353495401</v>
      </c>
      <c r="AI7999">
        <v>91.721295071570196</v>
      </c>
      <c r="AJ7999">
        <v>88.949612659140996</v>
      </c>
      <c r="AK7999">
        <v>37.325827456572704</v>
      </c>
      <c r="AL7999">
        <v>82.550239373161503</v>
      </c>
      <c r="AM7999">
        <v>92.689636533133495</v>
      </c>
      <c r="AN7999">
        <v>0.99999999084605395</v>
      </c>
    </row>
    <row r="8000" spans="1:40" x14ac:dyDescent="0.25">
      <c r="A8000" t="str">
        <f>"20190303162111492"</f>
        <v>20190303162111492</v>
      </c>
      <c r="B8000" t="str">
        <f>"1551601271480503"</f>
        <v>1551601271480503</v>
      </c>
      <c r="C8000" t="s">
        <v>40</v>
      </c>
      <c r="D8000">
        <v>4.6803509999999999</v>
      </c>
      <c r="E8000">
        <v>0.49479260000000003</v>
      </c>
      <c r="F8000" t="s">
        <v>41</v>
      </c>
      <c r="G8000">
        <v>-337.7296</v>
      </c>
      <c r="H8000" s="1">
        <v>-1.752794E-6</v>
      </c>
      <c r="I8000">
        <v>15.880140000000001</v>
      </c>
      <c r="J8000">
        <v>-374.8064</v>
      </c>
      <c r="K8000">
        <v>1.121202</v>
      </c>
      <c r="L8000">
        <v>17.61148</v>
      </c>
      <c r="M8000">
        <v>0.99957130000000005</v>
      </c>
      <c r="N8000">
        <v>-9.9036530000000001E-3</v>
      </c>
      <c r="O8000">
        <v>-2.755434E-2</v>
      </c>
      <c r="P8000">
        <v>0.99268190000000001</v>
      </c>
      <c r="Q8000">
        <v>0.1193528</v>
      </c>
      <c r="R8000">
        <v>1.8374740000000001E-2</v>
      </c>
      <c r="S8000">
        <v>3.0361020000000001</v>
      </c>
      <c r="T8000">
        <v>-9.1503619999999994E-2</v>
      </c>
      <c r="U8000">
        <v>-0.141571</v>
      </c>
      <c r="V8000">
        <v>-4.5733019999999999E-2</v>
      </c>
      <c r="W8000">
        <v>0.129166</v>
      </c>
      <c r="X8000">
        <v>0.99056789999999995</v>
      </c>
      <c r="Y8000">
        <v>1.9029299999999999E-2</v>
      </c>
      <c r="Z8000">
        <v>1.759722E-4</v>
      </c>
      <c r="AA8000">
        <v>0.99981889999999995</v>
      </c>
      <c r="AB8000">
        <v>22</v>
      </c>
      <c r="AC8000">
        <v>37.076799999999899</v>
      </c>
      <c r="AD8000">
        <v>-1.121203752794</v>
      </c>
      <c r="AE8000">
        <v>-1.7313400000000001</v>
      </c>
      <c r="AF8000">
        <v>0.70835939757898603</v>
      </c>
      <c r="AG8000">
        <v>-1.121203752794</v>
      </c>
      <c r="AH8000">
        <v>37.076597803730799</v>
      </c>
      <c r="AI8000">
        <v>91.731792162846304</v>
      </c>
      <c r="AJ8000">
        <v>88.905480297174407</v>
      </c>
      <c r="AK8000">
        <v>37.100309642791899</v>
      </c>
      <c r="AL8000">
        <v>82.578599165871907</v>
      </c>
      <c r="AM8000">
        <v>92.643382299017105</v>
      </c>
      <c r="AN8000">
        <v>1.0000000645923599</v>
      </c>
    </row>
    <row r="8001" spans="1:40" x14ac:dyDescent="0.25">
      <c r="A8001" t="str">
        <f>"20190303162111509"</f>
        <v>20190303162111509</v>
      </c>
      <c r="B8001" t="str">
        <f>"1551601271501000"</f>
        <v>1551601271501000</v>
      </c>
      <c r="C8001" t="s">
        <v>40</v>
      </c>
      <c r="D8001">
        <v>4.6822379999999999</v>
      </c>
      <c r="E8001">
        <v>0.48711280000000001</v>
      </c>
      <c r="F8001" t="s">
        <v>77</v>
      </c>
      <c r="G8001">
        <v>-279.68</v>
      </c>
      <c r="H8001">
        <v>1.2260679999999999</v>
      </c>
      <c r="I8001">
        <v>20.548159999999999</v>
      </c>
      <c r="J8001">
        <v>-374.62729999999999</v>
      </c>
      <c r="K8001">
        <v>1.121237</v>
      </c>
      <c r="L8001">
        <v>17.606629999999999</v>
      </c>
      <c r="M8001">
        <v>0.99957479999999999</v>
      </c>
      <c r="N8001">
        <v>-9.9060959999999997E-3</v>
      </c>
      <c r="O8001">
        <v>-2.7426889999999999E-2</v>
      </c>
      <c r="P8001">
        <v>0.99272870000000002</v>
      </c>
      <c r="Q8001">
        <v>0.11910569999999999</v>
      </c>
      <c r="R8001">
        <v>1.7427049999999999E-2</v>
      </c>
      <c r="S8001">
        <v>3.0199889999999998</v>
      </c>
      <c r="T8001">
        <v>3.3292769999999998E-3</v>
      </c>
      <c r="U8001">
        <v>9.32312E-2</v>
      </c>
      <c r="V8001">
        <v>-4.467405E-2</v>
      </c>
      <c r="W8001">
        <v>0.1289168</v>
      </c>
      <c r="X8001">
        <v>0.99064859999999999</v>
      </c>
      <c r="Y8001">
        <v>-5.8258869999999997E-2</v>
      </c>
      <c r="Z8001" s="1">
        <v>-4.5331309999999903E-5</v>
      </c>
      <c r="AA8001">
        <v>0.99830149999999995</v>
      </c>
      <c r="AB8001">
        <v>22</v>
      </c>
      <c r="AC8001">
        <v>94.947299999999899</v>
      </c>
      <c r="AD8001">
        <v>0.10483099999999899</v>
      </c>
      <c r="AE8001">
        <v>2.94152999999999</v>
      </c>
      <c r="AF8001">
        <v>-5.54465331488933</v>
      </c>
      <c r="AG8001">
        <v>0.10483099999999899</v>
      </c>
      <c r="AH8001">
        <v>94.830782009912795</v>
      </c>
      <c r="AI8001">
        <v>89.936770204660505</v>
      </c>
      <c r="AJ8001">
        <v>93.346212626079407</v>
      </c>
      <c r="AK8001">
        <v>94.992796498115993</v>
      </c>
      <c r="AL8001">
        <v>82.592997028716596</v>
      </c>
      <c r="AM8001">
        <v>92.582047275397798</v>
      </c>
      <c r="AN8001">
        <v>0.999999980373801</v>
      </c>
    </row>
    <row r="8002" spans="1:40" x14ac:dyDescent="0.25">
      <c r="A8002" t="str">
        <f>"20190303162111522"</f>
        <v>20190303162111522</v>
      </c>
      <c r="B8002" t="str">
        <f>"1551601271510760"</f>
        <v>1551601271510760</v>
      </c>
      <c r="C8002" t="s">
        <v>40</v>
      </c>
      <c r="D8002">
        <v>4.8010710000000003</v>
      </c>
      <c r="E8002">
        <v>0.48486220000000002</v>
      </c>
      <c r="F8002" t="s">
        <v>77</v>
      </c>
      <c r="G8002">
        <v>-279.68</v>
      </c>
      <c r="H8002">
        <v>1.2056420000000001</v>
      </c>
      <c r="I8002">
        <v>22.385380000000001</v>
      </c>
      <c r="J8002">
        <v>-374.4941</v>
      </c>
      <c r="K8002">
        <v>1.1212770000000001</v>
      </c>
      <c r="L8002">
        <v>17.603059999999999</v>
      </c>
      <c r="M8002">
        <v>0.99957859999999998</v>
      </c>
      <c r="N8002">
        <v>-9.9081610000000004E-3</v>
      </c>
      <c r="O8002">
        <v>-2.7290519999999999E-2</v>
      </c>
      <c r="P8002">
        <v>0.99276920000000002</v>
      </c>
      <c r="Q8002">
        <v>0.1188188</v>
      </c>
      <c r="R8002">
        <v>1.7080089999999999E-2</v>
      </c>
      <c r="S8002">
        <v>3.0189819999999998</v>
      </c>
      <c r="T8002">
        <v>2.6838779999999998E-3</v>
      </c>
      <c r="U8002">
        <v>0.151947</v>
      </c>
      <c r="V8002">
        <v>-4.4205229999999998E-2</v>
      </c>
      <c r="W8002">
        <v>0.12862879999999999</v>
      </c>
      <c r="X8002">
        <v>0.99070709999999995</v>
      </c>
      <c r="Y8002">
        <v>-7.7504260000000005E-2</v>
      </c>
      <c r="Z8002" s="1">
        <v>5.5324659999999898E-5</v>
      </c>
      <c r="AA8002">
        <v>0.99699199999999999</v>
      </c>
      <c r="AB8002">
        <v>22</v>
      </c>
      <c r="AC8002">
        <v>94.814099999999996</v>
      </c>
      <c r="AD8002">
        <v>8.4364999999999996E-2</v>
      </c>
      <c r="AE8002">
        <v>4.7823199999999897</v>
      </c>
      <c r="AF8002">
        <v>-7.3681855012104904</v>
      </c>
      <c r="AG8002">
        <v>8.4364999999999996E-2</v>
      </c>
      <c r="AH8002">
        <v>94.648189369488506</v>
      </c>
      <c r="AI8002">
        <v>89.949083269846994</v>
      </c>
      <c r="AJ8002">
        <v>94.451392048130501</v>
      </c>
      <c r="AK8002">
        <v>94.934593410179104</v>
      </c>
      <c r="AL8002">
        <v>82.609637005814804</v>
      </c>
      <c r="AM8002">
        <v>92.554836091800198</v>
      </c>
      <c r="AN8002">
        <v>1.0000000142695999</v>
      </c>
    </row>
    <row r="8003" spans="1:40" x14ac:dyDescent="0.25">
      <c r="A8003" t="str">
        <f>"20190303162111536"</f>
        <v>20190303162111536</v>
      </c>
      <c r="B8003" t="str">
        <f>"1551601271521028"</f>
        <v>1551601271521028</v>
      </c>
      <c r="C8003" t="s">
        <v>40</v>
      </c>
      <c r="D8003">
        <v>4.808942</v>
      </c>
      <c r="E8003">
        <v>0.4835351</v>
      </c>
      <c r="F8003" t="s">
        <v>77</v>
      </c>
      <c r="G8003">
        <v>-279.68</v>
      </c>
      <c r="H8003">
        <v>1.1237379999999999</v>
      </c>
      <c r="I8003">
        <v>22.915769999999998</v>
      </c>
      <c r="J8003">
        <v>-374.36160000000001</v>
      </c>
      <c r="K8003">
        <v>1.1213219999999999</v>
      </c>
      <c r="L8003">
        <v>17.599640000000001</v>
      </c>
      <c r="M8003">
        <v>0.99958349999999996</v>
      </c>
      <c r="N8003">
        <v>-9.9105110000000003E-3</v>
      </c>
      <c r="O8003">
        <v>-2.7107590000000001E-2</v>
      </c>
      <c r="P8003">
        <v>0.99278630000000001</v>
      </c>
      <c r="Q8003">
        <v>0.1187038</v>
      </c>
      <c r="R8003">
        <v>1.6869060000000002E-2</v>
      </c>
      <c r="S8003">
        <v>3.0189210000000002</v>
      </c>
      <c r="T8003" s="1">
        <v>7.8439709999999994E-5</v>
      </c>
      <c r="U8003">
        <v>0.1691589</v>
      </c>
      <c r="V8003">
        <v>-4.3827970000000001E-2</v>
      </c>
      <c r="W8003">
        <v>0.1285115</v>
      </c>
      <c r="X8003">
        <v>0.99073900000000004</v>
      </c>
      <c r="Y8003">
        <v>-8.2989729999999998E-2</v>
      </c>
      <c r="Z8003">
        <v>1.4136690000000001E-4</v>
      </c>
      <c r="AA8003">
        <v>0.99655039999999995</v>
      </c>
      <c r="AB8003">
        <v>22</v>
      </c>
      <c r="AC8003">
        <v>94.681600000000003</v>
      </c>
      <c r="AD8003">
        <v>2.4159999999999698E-3</v>
      </c>
      <c r="AE8003">
        <v>5.3161300000000002</v>
      </c>
      <c r="AF8003">
        <v>-7.8808920133203699</v>
      </c>
      <c r="AG8003">
        <v>2.4159999999999698E-3</v>
      </c>
      <c r="AH8003">
        <v>94.502688565654907</v>
      </c>
      <c r="AI8003">
        <v>89.998540276880405</v>
      </c>
      <c r="AJ8003">
        <v>94.767054390253406</v>
      </c>
      <c r="AK8003">
        <v>94.830726090755206</v>
      </c>
      <c r="AL8003">
        <v>82.6164134316505</v>
      </c>
      <c r="AM8003">
        <v>92.532979462294307</v>
      </c>
      <c r="AN8003">
        <v>0.99999993135378296</v>
      </c>
    </row>
    <row r="8004" spans="1:40" x14ac:dyDescent="0.25">
      <c r="A8004" t="str">
        <f>"20190303162111554"</f>
        <v>20190303162111554</v>
      </c>
      <c r="B8004" t="str">
        <f>"1551601271540547"</f>
        <v>1551601271540547</v>
      </c>
      <c r="C8004" t="s">
        <v>40</v>
      </c>
      <c r="D8004">
        <v>4.6760099999999998</v>
      </c>
      <c r="E8004">
        <v>0.48222930000000003</v>
      </c>
      <c r="F8004" t="s">
        <v>77</v>
      </c>
      <c r="G8004">
        <v>-279.68</v>
      </c>
      <c r="H8004">
        <v>1.1896119999999999</v>
      </c>
      <c r="I8004">
        <v>23.228269999999998</v>
      </c>
      <c r="J8004">
        <v>-374.17759999999998</v>
      </c>
      <c r="K8004">
        <v>1.1213900000000001</v>
      </c>
      <c r="L8004">
        <v>17.59497</v>
      </c>
      <c r="M8004">
        <v>0.99959209999999998</v>
      </c>
      <c r="N8004">
        <v>-9.9140970000000002E-3</v>
      </c>
      <c r="O8004">
        <v>-2.679219E-2</v>
      </c>
      <c r="P8004">
        <v>0.99288469999999995</v>
      </c>
      <c r="Q8004">
        <v>0.1179176</v>
      </c>
      <c r="R8004">
        <v>1.6613940000000001E-2</v>
      </c>
      <c r="S8004">
        <v>3.018494</v>
      </c>
      <c r="T8004">
        <v>2.1772380000000002E-3</v>
      </c>
      <c r="U8004">
        <v>0.1794434</v>
      </c>
      <c r="V8004">
        <v>-4.328535E-2</v>
      </c>
      <c r="W8004">
        <v>0.12772229999999901</v>
      </c>
      <c r="X8004">
        <v>0.990865</v>
      </c>
      <c r="Y8004">
        <v>-8.6066970000000007E-2</v>
      </c>
      <c r="Z8004">
        <v>1.113382E-4</v>
      </c>
      <c r="AA8004">
        <v>0.99628939999999999</v>
      </c>
      <c r="AB8004">
        <v>22</v>
      </c>
      <c r="AC8004">
        <v>94.497599999999906</v>
      </c>
      <c r="AD8004">
        <v>6.8222000000000199E-2</v>
      </c>
      <c r="AE8004">
        <v>5.6333000000000002</v>
      </c>
      <c r="AF8004">
        <v>-8.1631948309356694</v>
      </c>
      <c r="AG8004">
        <v>6.8222000000000199E-2</v>
      </c>
      <c r="AH8004">
        <v>94.312689582721902</v>
      </c>
      <c r="AI8004">
        <v>89.958708930029402</v>
      </c>
      <c r="AJ8004">
        <v>94.946882956959797</v>
      </c>
      <c r="AK8004">
        <v>94.665335896599203</v>
      </c>
      <c r="AL8004">
        <v>82.662007710346003</v>
      </c>
      <c r="AM8004">
        <v>92.501341837472793</v>
      </c>
      <c r="AN8004">
        <v>1.00000002783345</v>
      </c>
    </row>
    <row r="8005" spans="1:40" x14ac:dyDescent="0.25">
      <c r="A8005" t="str">
        <f>"20190303162111567"</f>
        <v>20190303162111567</v>
      </c>
      <c r="B8005" t="str">
        <f>"1551601271561043"</f>
        <v>1551601271561043</v>
      </c>
      <c r="C8005" t="s">
        <v>40</v>
      </c>
      <c r="D8005">
        <v>4.6106930000000004</v>
      </c>
      <c r="E8005">
        <v>0.48172680000000001</v>
      </c>
      <c r="F8005" t="s">
        <v>77</v>
      </c>
      <c r="G8005">
        <v>-279.68</v>
      </c>
      <c r="H8005">
        <v>1.1153029999999999</v>
      </c>
      <c r="I8005">
        <v>23.52347</v>
      </c>
      <c r="J8005">
        <v>-374.04090000000002</v>
      </c>
      <c r="K8005">
        <v>1.1214459999999999</v>
      </c>
      <c r="L8005">
        <v>17.591550000000002</v>
      </c>
      <c r="M8005">
        <v>0.99959940000000003</v>
      </c>
      <c r="N8005">
        <v>-9.9169930000000007E-3</v>
      </c>
      <c r="O8005">
        <v>-2.6508449999999999E-2</v>
      </c>
      <c r="P8005">
        <v>0.99290199999999995</v>
      </c>
      <c r="Q8005">
        <v>0.11771810000000001</v>
      </c>
      <c r="R8005">
        <v>1.6977030000000001E-2</v>
      </c>
      <c r="S8005">
        <v>3.0183409999999999</v>
      </c>
      <c r="T8005">
        <v>-1.943111E-4</v>
      </c>
      <c r="U8005">
        <v>0.18936159999999999</v>
      </c>
      <c r="V8005">
        <v>-4.3384289999999999E-2</v>
      </c>
      <c r="W8005">
        <v>0.12751989999999999</v>
      </c>
      <c r="X8005">
        <v>0.99088670000000001</v>
      </c>
      <c r="Y8005">
        <v>-8.9048290000000002E-2</v>
      </c>
      <c r="Z8005">
        <v>1.8395790000000001E-4</v>
      </c>
      <c r="AA8005">
        <v>0.99602729999999995</v>
      </c>
      <c r="AB8005">
        <v>23</v>
      </c>
      <c r="AC8005">
        <v>94.360900000000001</v>
      </c>
      <c r="AD8005">
        <v>-6.1429999999997797E-3</v>
      </c>
      <c r="AE8005">
        <v>5.9319199999999901</v>
      </c>
      <c r="AF8005">
        <v>-8.4313194217687393</v>
      </c>
      <c r="AG8005">
        <v>-6.1429999999997797E-3</v>
      </c>
      <c r="AH8005">
        <v>94.170483172975196</v>
      </c>
      <c r="AI8005">
        <v>90.003722670695396</v>
      </c>
      <c r="AJ8005">
        <v>95.116193279882296</v>
      </c>
      <c r="AK8005">
        <v>94.547168577170794</v>
      </c>
      <c r="AL8005">
        <v>82.673699681866907</v>
      </c>
      <c r="AM8005">
        <v>92.506997189049002</v>
      </c>
      <c r="AN8005">
        <v>0.99999998687585101</v>
      </c>
    </row>
    <row r="8006" spans="1:40" x14ac:dyDescent="0.25">
      <c r="A8006" t="str">
        <f>"20190303162111580"</f>
        <v>20190303162111580</v>
      </c>
      <c r="B8006" t="str">
        <f>"1551601271570803"</f>
        <v>1551601271570803</v>
      </c>
      <c r="C8006" t="s">
        <v>40</v>
      </c>
      <c r="D8006">
        <v>4.5830599999999997</v>
      </c>
      <c r="E8006">
        <v>0.48146689999999998</v>
      </c>
      <c r="F8006" t="s">
        <v>77</v>
      </c>
      <c r="G8006">
        <v>-279.68</v>
      </c>
      <c r="H8006">
        <v>1.103602</v>
      </c>
      <c r="I8006">
        <v>23.671099999999999</v>
      </c>
      <c r="J8006">
        <v>-373.91329999999999</v>
      </c>
      <c r="K8006">
        <v>1.1214999999999999</v>
      </c>
      <c r="L8006">
        <v>17.588470000000001</v>
      </c>
      <c r="M8006">
        <v>0.99960769999999999</v>
      </c>
      <c r="N8006">
        <v>-9.9199149999999996E-3</v>
      </c>
      <c r="O8006">
        <v>-2.6190189999999999E-2</v>
      </c>
      <c r="P8006">
        <v>0.99288469999999995</v>
      </c>
      <c r="Q8006">
        <v>0.1177725</v>
      </c>
      <c r="R8006">
        <v>1.759577E-2</v>
      </c>
      <c r="S8006">
        <v>3.0181879999999999</v>
      </c>
      <c r="T8006">
        <v>-5.7065489999999996E-4</v>
      </c>
      <c r="U8006">
        <v>0.19445799999999999</v>
      </c>
      <c r="V8006">
        <v>-4.3703409999999998E-2</v>
      </c>
      <c r="W8006">
        <v>0.12757089999999999</v>
      </c>
      <c r="X8006">
        <v>0.99086609999999997</v>
      </c>
      <c r="Y8006">
        <v>-9.0409320000000001E-2</v>
      </c>
      <c r="Z8006">
        <v>2.0287810000000001E-4</v>
      </c>
      <c r="AA8006">
        <v>0.99590469999999998</v>
      </c>
      <c r="AB8006">
        <v>23</v>
      </c>
      <c r="AC8006">
        <v>94.2333</v>
      </c>
      <c r="AD8006">
        <v>-1.78979999999999E-2</v>
      </c>
      <c r="AE8006">
        <v>6.0826299999999902</v>
      </c>
      <c r="AF8006">
        <v>-8.5486526256923199</v>
      </c>
      <c r="AG8006">
        <v>-1.78979999999999E-2</v>
      </c>
      <c r="AH8006">
        <v>94.041656271119393</v>
      </c>
      <c r="AI8006">
        <v>90.010859751226107</v>
      </c>
      <c r="AJ8006">
        <v>95.194073083594404</v>
      </c>
      <c r="AK8006">
        <v>94.4294069465044</v>
      </c>
      <c r="AL8006">
        <v>82.670753450172697</v>
      </c>
      <c r="AM8006">
        <v>92.525466450531397</v>
      </c>
      <c r="AN8006">
        <v>0.99999997535082297</v>
      </c>
    </row>
    <row r="8007" spans="1:40" x14ac:dyDescent="0.25">
      <c r="A8007" t="str">
        <f>"20190303162111600"</f>
        <v>20190303162111600</v>
      </c>
      <c r="B8007" t="str">
        <f>"1551601271590323"</f>
        <v>1551601271590323</v>
      </c>
      <c r="C8007" t="s">
        <v>40</v>
      </c>
      <c r="D8007">
        <v>4.5892239999999997</v>
      </c>
      <c r="E8007">
        <v>0.48107070000000002</v>
      </c>
      <c r="F8007" t="s">
        <v>77</v>
      </c>
      <c r="G8007">
        <v>-279.68</v>
      </c>
      <c r="H8007">
        <v>1.11512099999999</v>
      </c>
      <c r="I8007">
        <v>23.783090000000001</v>
      </c>
      <c r="J8007">
        <v>-373.71789999999999</v>
      </c>
      <c r="K8007">
        <v>1.1215820000000001</v>
      </c>
      <c r="L8007">
        <v>17.58398</v>
      </c>
      <c r="M8007">
        <v>0.99962229999999996</v>
      </c>
      <c r="N8007">
        <v>-9.9295119999999997E-3</v>
      </c>
      <c r="O8007">
        <v>-2.562878E-2</v>
      </c>
      <c r="P8007">
        <v>0.99279810000000002</v>
      </c>
      <c r="Q8007">
        <v>0.1182782</v>
      </c>
      <c r="R8007">
        <v>1.9038619999999999E-2</v>
      </c>
      <c r="S8007">
        <v>3.018005</v>
      </c>
      <c r="T8007">
        <v>-2.0420550000000001E-4</v>
      </c>
      <c r="U8007">
        <v>0.19839480000000001</v>
      </c>
      <c r="V8007">
        <v>-4.4609990000000002E-2</v>
      </c>
      <c r="W8007">
        <v>0.128076</v>
      </c>
      <c r="X8007">
        <v>0.99076059999999999</v>
      </c>
      <c r="Y8007">
        <v>-9.1147489999999998E-2</v>
      </c>
      <c r="Z8007">
        <v>2.036564E-4</v>
      </c>
      <c r="AA8007">
        <v>0.99583739999999998</v>
      </c>
      <c r="AB8007">
        <v>23</v>
      </c>
      <c r="AC8007">
        <v>94.037899999999894</v>
      </c>
      <c r="AD8007">
        <v>-6.4610000000002703E-3</v>
      </c>
      <c r="AE8007">
        <v>6.1991099999999904</v>
      </c>
      <c r="AF8007">
        <v>-8.6072687933999408</v>
      </c>
      <c r="AG8007">
        <v>-6.4610000000002703E-3</v>
      </c>
      <c r="AH8007">
        <v>93.848124337310097</v>
      </c>
      <c r="AI8007">
        <v>90.003928057670393</v>
      </c>
      <c r="AJ8007">
        <v>95.240215052056996</v>
      </c>
      <c r="AK8007">
        <v>94.242005281390206</v>
      </c>
      <c r="AL8007">
        <v>82.641574466441995</v>
      </c>
      <c r="AM8007">
        <v>92.578058694363506</v>
      </c>
      <c r="AN8007">
        <v>1.0000000397480699</v>
      </c>
    </row>
    <row r="8008" spans="1:40" x14ac:dyDescent="0.25">
      <c r="A8008" t="str">
        <f>"20190303162111614"</f>
        <v>20190303162111614</v>
      </c>
      <c r="B8008" t="str">
        <f>"1551601271601059"</f>
        <v>1551601271601059</v>
      </c>
      <c r="C8008" t="s">
        <v>40</v>
      </c>
      <c r="D8008">
        <v>4.5598140000000003</v>
      </c>
      <c r="E8008">
        <v>0.48099209999999898</v>
      </c>
      <c r="F8008" t="s">
        <v>77</v>
      </c>
      <c r="G8008">
        <v>-279.68</v>
      </c>
      <c r="H8008">
        <v>1.232121</v>
      </c>
      <c r="I8008">
        <v>23.999079999999999</v>
      </c>
      <c r="J8008">
        <v>-373.57380000000001</v>
      </c>
      <c r="K8008">
        <v>1.1216360000000001</v>
      </c>
      <c r="L8008">
        <v>17.580779999999901</v>
      </c>
      <c r="M8008">
        <v>0.99963409999999997</v>
      </c>
      <c r="N8008">
        <v>-9.9415519999999993E-3</v>
      </c>
      <c r="O8008">
        <v>-2.515241E-2</v>
      </c>
      <c r="P8008">
        <v>0.9927281</v>
      </c>
      <c r="Q8008">
        <v>0.11873930000000001</v>
      </c>
      <c r="R8008">
        <v>1.97945E-2</v>
      </c>
      <c r="S8008">
        <v>3.017395</v>
      </c>
      <c r="T8008">
        <v>3.5469529999999998E-3</v>
      </c>
      <c r="U8008">
        <v>0.2058411</v>
      </c>
      <c r="V8008">
        <v>-4.4907719999999998E-2</v>
      </c>
      <c r="W8008">
        <v>0.12854280000000001</v>
      </c>
      <c r="X8008">
        <v>0.99068670000000003</v>
      </c>
      <c r="Y8008">
        <v>-9.3132699999999999E-2</v>
      </c>
      <c r="Z8008">
        <v>1.2954239999999999E-4</v>
      </c>
      <c r="AA8008">
        <v>0.99565369999999997</v>
      </c>
      <c r="AB8008">
        <v>23</v>
      </c>
      <c r="AC8008">
        <v>93.893799999999999</v>
      </c>
      <c r="AD8008">
        <v>0.110484999999999</v>
      </c>
      <c r="AE8008">
        <v>6.4183000000000003</v>
      </c>
      <c r="AF8008">
        <v>-8.7780294223980402</v>
      </c>
      <c r="AG8008">
        <v>0.110484999999999</v>
      </c>
      <c r="AH8008">
        <v>93.702518850719898</v>
      </c>
      <c r="AI8008">
        <v>89.932736859757199</v>
      </c>
      <c r="AJ8008">
        <v>95.351835590990206</v>
      </c>
      <c r="AK8008">
        <v>94.112847403769706</v>
      </c>
      <c r="AL8008">
        <v>82.614605927658502</v>
      </c>
      <c r="AM8008">
        <v>92.595434706943095</v>
      </c>
      <c r="AN8008">
        <v>1.0000000461521601</v>
      </c>
    </row>
    <row r="8009" spans="1:40" x14ac:dyDescent="0.25">
      <c r="A8009" t="str">
        <f>"20190303162111627"</f>
        <v>20190303162111627</v>
      </c>
      <c r="B8009" t="str">
        <f>"1551601271620580"</f>
        <v>1551601271620580</v>
      </c>
      <c r="C8009" t="s">
        <v>40</v>
      </c>
      <c r="D8009">
        <v>4.5984759999999998</v>
      </c>
      <c r="E8009">
        <v>0.48068949999999999</v>
      </c>
      <c r="F8009" t="s">
        <v>77</v>
      </c>
      <c r="G8009">
        <v>-279.68</v>
      </c>
      <c r="H8009">
        <v>1.2180740000000001</v>
      </c>
      <c r="I8009">
        <v>24.080870000000001</v>
      </c>
      <c r="J8009">
        <v>-373.43599999999998</v>
      </c>
      <c r="K8009">
        <v>1.1216889999999999</v>
      </c>
      <c r="L8009">
        <v>17.577819999999999</v>
      </c>
      <c r="M8009">
        <v>0.99964640000000005</v>
      </c>
      <c r="N8009">
        <v>-9.9558630000000006E-3</v>
      </c>
      <c r="O8009">
        <v>-2.4660020000000001E-2</v>
      </c>
      <c r="P8009">
        <v>0.99265369999999997</v>
      </c>
      <c r="Q8009">
        <v>0.119232199999999</v>
      </c>
      <c r="R8009">
        <v>2.0555250000000001E-2</v>
      </c>
      <c r="S8009">
        <v>3.0174560000000001</v>
      </c>
      <c r="T8009">
        <v>3.0993219999999998E-3</v>
      </c>
      <c r="U8009">
        <v>0.20889279999999999</v>
      </c>
      <c r="V8009">
        <v>-4.5192919999999998E-2</v>
      </c>
      <c r="W8009">
        <v>0.12904399999999999</v>
      </c>
      <c r="X8009">
        <v>0.9906085</v>
      </c>
      <c r="Y8009">
        <v>-9.3643110000000002E-2</v>
      </c>
      <c r="Z8009">
        <v>1.481903E-4</v>
      </c>
      <c r="AA8009">
        <v>0.99560579999999999</v>
      </c>
      <c r="AB8009">
        <v>23</v>
      </c>
      <c r="AC8009">
        <v>93.755999999999901</v>
      </c>
      <c r="AD8009">
        <v>9.6384999999999901E-2</v>
      </c>
      <c r="AE8009">
        <v>6.5030499999999902</v>
      </c>
      <c r="AF8009">
        <v>-8.8132021682002097</v>
      </c>
      <c r="AG8009">
        <v>9.6384999999999901E-2</v>
      </c>
      <c r="AH8009">
        <v>93.567013860322504</v>
      </c>
      <c r="AI8009">
        <v>89.941238736403804</v>
      </c>
      <c r="AJ8009">
        <v>95.380890470557105</v>
      </c>
      <c r="AK8009">
        <v>93.981210384116494</v>
      </c>
      <c r="AL8009">
        <v>82.585647592514803</v>
      </c>
      <c r="AM8009">
        <v>92.612100943399795</v>
      </c>
      <c r="AN8009">
        <v>0.999999977113187</v>
      </c>
    </row>
    <row r="8010" spans="1:40" x14ac:dyDescent="0.25">
      <c r="A8010" t="str">
        <f>"20190303162111644"</f>
        <v>20190303162111644</v>
      </c>
      <c r="B8010" t="str">
        <f>"1551601271641075"</f>
        <v>1551601271641075</v>
      </c>
      <c r="C8010" t="s">
        <v>40</v>
      </c>
      <c r="D8010">
        <v>4.532292</v>
      </c>
      <c r="E8010">
        <v>0.48061500000000001</v>
      </c>
      <c r="F8010" t="s">
        <v>77</v>
      </c>
      <c r="G8010">
        <v>-279.68</v>
      </c>
      <c r="H8010">
        <v>1.3045659999999999</v>
      </c>
      <c r="I8010">
        <v>24.218050000000002</v>
      </c>
      <c r="J8010">
        <v>-373.26580000000001</v>
      </c>
      <c r="K8010">
        <v>1.1217509999999999</v>
      </c>
      <c r="L8010">
        <v>17.574339999999999</v>
      </c>
      <c r="M8010">
        <v>0.99966250000000001</v>
      </c>
      <c r="N8010">
        <v>-9.9770129999999999E-3</v>
      </c>
      <c r="O8010">
        <v>-2.3990000000000001E-2</v>
      </c>
      <c r="P8010">
        <v>0.9924132</v>
      </c>
      <c r="Q8010">
        <v>0.12098150000000001</v>
      </c>
      <c r="R8010">
        <v>2.1898629999999999E-2</v>
      </c>
      <c r="S8010">
        <v>3.01709</v>
      </c>
      <c r="T8010">
        <v>5.8851240000000003E-3</v>
      </c>
      <c r="U8010">
        <v>0.21368409999999999</v>
      </c>
      <c r="V8010">
        <v>-4.5883199999999999E-2</v>
      </c>
      <c r="W8010">
        <v>0.13080519999999901</v>
      </c>
      <c r="X8010">
        <v>0.99034580000000005</v>
      </c>
      <c r="Y8010">
        <v>-9.4557550000000004E-2</v>
      </c>
      <c r="Z8010" s="1">
        <v>9.4431800000000006E-5</v>
      </c>
      <c r="AA8010">
        <v>0.99551940000000005</v>
      </c>
      <c r="AB8010">
        <v>23</v>
      </c>
      <c r="AC8010">
        <v>93.585800000000006</v>
      </c>
      <c r="AD8010">
        <v>0.18281499999999901</v>
      </c>
      <c r="AE8010">
        <v>6.6437099999999996</v>
      </c>
      <c r="AF8010">
        <v>-8.8869988928822501</v>
      </c>
      <c r="AG8010">
        <v>0.18281499999999901</v>
      </c>
      <c r="AH8010">
        <v>93.399118050516094</v>
      </c>
      <c r="AI8010">
        <v>89.888356356592794</v>
      </c>
      <c r="AJ8010">
        <v>95.435374139583402</v>
      </c>
      <c r="AK8010">
        <v>93.821145928093202</v>
      </c>
      <c r="AL8010">
        <v>82.483876062574495</v>
      </c>
      <c r="AM8010">
        <v>92.652644288100504</v>
      </c>
      <c r="AN8010">
        <v>1.00000003598345</v>
      </c>
    </row>
    <row r="8011" spans="1:40" x14ac:dyDescent="0.25">
      <c r="A8011" t="str">
        <f>"20190303162111657"</f>
        <v>20190303162111657</v>
      </c>
      <c r="B8011" t="str">
        <f>"1551601271650836"</f>
        <v>1551601271650836</v>
      </c>
      <c r="C8011" t="s">
        <v>40</v>
      </c>
      <c r="D8011">
        <v>4.6043589999999996</v>
      </c>
      <c r="E8011">
        <v>0.4805526</v>
      </c>
      <c r="F8011" t="s">
        <v>69</v>
      </c>
      <c r="G8011">
        <v>-273.40989999999999</v>
      </c>
      <c r="H8011">
        <v>1.4482729999999999</v>
      </c>
      <c r="I8011">
        <v>24.804600000000001</v>
      </c>
      <c r="J8011">
        <v>-373.1397</v>
      </c>
      <c r="K8011">
        <v>1.1217870000000001</v>
      </c>
      <c r="L8011">
        <v>17.571899999999999</v>
      </c>
      <c r="M8011">
        <v>0.99967499999999998</v>
      </c>
      <c r="N8011">
        <v>-9.9932400000000005E-3</v>
      </c>
      <c r="O8011">
        <v>-2.3450579999999999E-2</v>
      </c>
      <c r="P8011">
        <v>0.99225770000000002</v>
      </c>
      <c r="Q8011">
        <v>0.12207899999999999</v>
      </c>
      <c r="R8011">
        <v>2.282839E-2</v>
      </c>
      <c r="S8011">
        <v>3.0169069999999998</v>
      </c>
      <c r="T8011">
        <v>9.8651650000000004E-3</v>
      </c>
      <c r="U8011">
        <v>0.21844479999999999</v>
      </c>
      <c r="V8011">
        <v>-4.6285769999999997E-2</v>
      </c>
      <c r="W8011">
        <v>0.13191269999999999</v>
      </c>
      <c r="X8011">
        <v>0.99018010000000001</v>
      </c>
      <c r="Y8011">
        <v>-9.5587480000000002E-2</v>
      </c>
      <c r="Z8011" s="1">
        <v>1.156534E-5</v>
      </c>
      <c r="AA8011">
        <v>0.99542109999999995</v>
      </c>
      <c r="AB8011">
        <v>23</v>
      </c>
      <c r="AC8011">
        <v>99.729799999999997</v>
      </c>
      <c r="AD8011">
        <v>0.326485999999999</v>
      </c>
      <c r="AE8011">
        <v>7.2327000000000004</v>
      </c>
      <c r="AF8011">
        <v>-9.5694473255737798</v>
      </c>
      <c r="AG8011">
        <v>0.326485999999999</v>
      </c>
      <c r="AH8011">
        <v>99.531690693998598</v>
      </c>
      <c r="AI8011">
        <v>89.812920489920302</v>
      </c>
      <c r="AJ8011">
        <v>95.491806908829403</v>
      </c>
      <c r="AK8011">
        <v>99.991191450201896</v>
      </c>
      <c r="AL8011">
        <v>82.419865919004096</v>
      </c>
      <c r="AM8011">
        <v>92.676331516517905</v>
      </c>
      <c r="AN8011">
        <v>0.99999998168089599</v>
      </c>
    </row>
    <row r="8012" spans="1:40" x14ac:dyDescent="0.25">
      <c r="A8012" t="str">
        <f>"20190303162111669"</f>
        <v>20190303162111669</v>
      </c>
      <c r="B8012" t="str">
        <f>"1551601271660596"</f>
        <v>1551601271660596</v>
      </c>
      <c r="C8012" t="s">
        <v>40</v>
      </c>
      <c r="D8012">
        <v>4.5810149999999998</v>
      </c>
      <c r="E8012">
        <v>0.48060599999999998</v>
      </c>
      <c r="F8012" t="s">
        <v>80</v>
      </c>
      <c r="G8012">
        <v>-276.53539999999998</v>
      </c>
      <c r="H8012">
        <v>1.524405</v>
      </c>
      <c r="I8012">
        <v>24.672609999999999</v>
      </c>
      <c r="J8012">
        <v>-373.01569999999998</v>
      </c>
      <c r="K8012">
        <v>1.1218220000000001</v>
      </c>
      <c r="L8012">
        <v>17.56955</v>
      </c>
      <c r="M8012">
        <v>0.99968760000000001</v>
      </c>
      <c r="N8012">
        <v>-1.0008990000000001E-2</v>
      </c>
      <c r="O8012">
        <v>-2.2907500000000001E-2</v>
      </c>
      <c r="P8012">
        <v>0.99217339999999998</v>
      </c>
      <c r="Q8012">
        <v>0.1225644</v>
      </c>
      <c r="R8012">
        <v>2.387396E-2</v>
      </c>
      <c r="S8012">
        <v>3.016724</v>
      </c>
      <c r="T8012">
        <v>1.257277E-2</v>
      </c>
      <c r="U8012">
        <v>0.22174070000000001</v>
      </c>
      <c r="V8012">
        <v>-4.6800120000000001E-2</v>
      </c>
      <c r="W8012">
        <v>0.132409</v>
      </c>
      <c r="X8012">
        <v>0.99008969999999996</v>
      </c>
      <c r="Y8012">
        <v>-9.6132720000000005E-2</v>
      </c>
      <c r="Z8012" s="1">
        <v>-4.2599509999999998E-5</v>
      </c>
      <c r="AA8012">
        <v>0.99536849999999999</v>
      </c>
      <c r="AB8012">
        <v>23</v>
      </c>
      <c r="AC8012">
        <v>96.4803</v>
      </c>
      <c r="AD8012">
        <v>0.40258300000000002</v>
      </c>
      <c r="AE8012">
        <v>7.1030599999999904</v>
      </c>
      <c r="AF8012">
        <v>-9.3112675730696193</v>
      </c>
      <c r="AG8012">
        <v>0.40258300000000002</v>
      </c>
      <c r="AH8012">
        <v>96.290590962525698</v>
      </c>
      <c r="AI8012">
        <v>89.761564655228497</v>
      </c>
      <c r="AJ8012">
        <v>95.523309384217896</v>
      </c>
      <c r="AK8012">
        <v>96.740579307763198</v>
      </c>
      <c r="AL8012">
        <v>82.391178556826304</v>
      </c>
      <c r="AM8012">
        <v>92.706274956835003</v>
      </c>
      <c r="AN8012">
        <v>1.00000000427955</v>
      </c>
    </row>
    <row r="8013" spans="1:40" x14ac:dyDescent="0.25">
      <c r="A8013" t="str">
        <f>"20190303162111681"</f>
        <v>20190303162111681</v>
      </c>
      <c r="B8013" t="str">
        <f>"1551601271670356"</f>
        <v>1551601271670356</v>
      </c>
      <c r="C8013" t="s">
        <v>40</v>
      </c>
      <c r="D8013">
        <v>4.7423849999999996</v>
      </c>
      <c r="E8013">
        <v>0.4806493</v>
      </c>
      <c r="F8013" t="s">
        <v>80</v>
      </c>
      <c r="G8013">
        <v>-276.42669999999998</v>
      </c>
      <c r="H8013">
        <v>1.5198480000000001</v>
      </c>
      <c r="I8013">
        <v>24.75122</v>
      </c>
      <c r="J8013">
        <v>-372.89170000000001</v>
      </c>
      <c r="K8013">
        <v>1.1218570000000001</v>
      </c>
      <c r="L8013">
        <v>17.56729</v>
      </c>
      <c r="M8013">
        <v>0.99970029999999999</v>
      </c>
      <c r="N8013">
        <v>-1.002435E-2</v>
      </c>
      <c r="O8013">
        <v>-2.2341340000000001E-2</v>
      </c>
      <c r="P8013">
        <v>0.99205290000000002</v>
      </c>
      <c r="Q8013">
        <v>0.1233773</v>
      </c>
      <c r="R8013">
        <v>2.4694319999999999E-2</v>
      </c>
      <c r="S8013">
        <v>3.016724</v>
      </c>
      <c r="T8013">
        <v>1.2431380000000001E-2</v>
      </c>
      <c r="U8013">
        <v>0.22430420000000001</v>
      </c>
      <c r="V8013">
        <v>-4.7064929999999998E-2</v>
      </c>
      <c r="W8013">
        <v>0.1332332</v>
      </c>
      <c r="X8013">
        <v>0.98996660000000003</v>
      </c>
      <c r="Y8013">
        <v>-9.6410300000000004E-2</v>
      </c>
      <c r="Z8013" s="1">
        <v>-3.003917E-5</v>
      </c>
      <c r="AA8013">
        <v>0.9953417</v>
      </c>
      <c r="AB8013">
        <v>23</v>
      </c>
      <c r="AC8013">
        <v>96.465000000000003</v>
      </c>
      <c r="AD8013">
        <v>0.39799099999999998</v>
      </c>
      <c r="AE8013">
        <v>7.1839300000000001</v>
      </c>
      <c r="AF8013">
        <v>-9.3372439761204404</v>
      </c>
      <c r="AG8013">
        <v>0.39799099999999998</v>
      </c>
      <c r="AH8013">
        <v>96.278783563913905</v>
      </c>
      <c r="AI8013">
        <v>89.764261762897306</v>
      </c>
      <c r="AJ8013">
        <v>95.539297549029698</v>
      </c>
      <c r="AK8013">
        <v>96.731311820178703</v>
      </c>
      <c r="AL8013">
        <v>82.343533445035106</v>
      </c>
      <c r="AM8013">
        <v>92.721902876100501</v>
      </c>
      <c r="AN8013">
        <v>1.00000003116685</v>
      </c>
    </row>
    <row r="8014" spans="1:40" x14ac:dyDescent="0.25">
      <c r="A8014" t="str">
        <f>"20190303162111699"</f>
        <v>20190303162111699</v>
      </c>
      <c r="B8014" t="str">
        <f>"1551601271690851"</f>
        <v>1551601271690851</v>
      </c>
      <c r="C8014" t="s">
        <v>40</v>
      </c>
      <c r="D8014">
        <v>4.5942030000000003</v>
      </c>
      <c r="E8014">
        <v>0.48061280000000001</v>
      </c>
      <c r="F8014" t="s">
        <v>80</v>
      </c>
      <c r="G8014">
        <v>-276.3338</v>
      </c>
      <c r="H8014">
        <v>1.600355</v>
      </c>
      <c r="I8014">
        <v>24.812449999999998</v>
      </c>
      <c r="J8014">
        <v>-372.70389999999998</v>
      </c>
      <c r="K8014">
        <v>1.121893</v>
      </c>
      <c r="L8014">
        <v>17.564060000000001</v>
      </c>
      <c r="M8014">
        <v>0.99971929999999998</v>
      </c>
      <c r="N8014">
        <v>-1.0046660000000001E-2</v>
      </c>
      <c r="O8014">
        <v>-2.145845E-2</v>
      </c>
      <c r="P8014">
        <v>0.99185219999999996</v>
      </c>
      <c r="Q8014">
        <v>0.12465759999999999</v>
      </c>
      <c r="R8014">
        <v>2.6269689999999998E-2</v>
      </c>
      <c r="S8014">
        <v>3.0165709999999999</v>
      </c>
      <c r="T8014">
        <v>1.494873E-2</v>
      </c>
      <c r="U8014">
        <v>0.22634889999999999</v>
      </c>
      <c r="V8014">
        <v>-4.7769739999999998E-2</v>
      </c>
      <c r="W8014">
        <v>0.13452939999999999</v>
      </c>
      <c r="X8014">
        <v>0.98975749999999996</v>
      </c>
      <c r="Y8014">
        <v>-9.6205769999999996E-2</v>
      </c>
      <c r="Z8014" s="1">
        <v>-7.5535850000000006E-5</v>
      </c>
      <c r="AA8014">
        <v>0.99536139999999995</v>
      </c>
      <c r="AB8014">
        <v>23</v>
      </c>
      <c r="AC8014">
        <v>96.370099999999894</v>
      </c>
      <c r="AD8014">
        <v>0.478462</v>
      </c>
      <c r="AE8014">
        <v>7.2483899999999899</v>
      </c>
      <c r="AF8014">
        <v>-9.3145497787929408</v>
      </c>
      <c r="AG8014">
        <v>0.478462</v>
      </c>
      <c r="AH8014">
        <v>96.190002906136797</v>
      </c>
      <c r="AI8014">
        <v>89.716332294772002</v>
      </c>
      <c r="AJ8014">
        <v>95.530986358103704</v>
      </c>
      <c r="AK8014">
        <v>96.641121798899206</v>
      </c>
      <c r="AL8014">
        <v>82.268591803606</v>
      </c>
      <c r="AM8014">
        <v>92.763184156815797</v>
      </c>
      <c r="AN8014">
        <v>1.0000000081651299</v>
      </c>
    </row>
    <row r="8015" spans="1:40" x14ac:dyDescent="0.25">
      <c r="A8015" t="str">
        <f>"20190303162111712"</f>
        <v>20190303162111712</v>
      </c>
      <c r="B8015" t="str">
        <f>"1551601271701588"</f>
        <v>1551601271701588</v>
      </c>
      <c r="C8015" t="s">
        <v>40</v>
      </c>
      <c r="D8015">
        <v>4.5465299999999997</v>
      </c>
      <c r="E8015">
        <v>0.48064200000000001</v>
      </c>
      <c r="F8015" t="s">
        <v>80</v>
      </c>
      <c r="G8015">
        <v>-276.2002</v>
      </c>
      <c r="H8015">
        <v>1.6907080000000001</v>
      </c>
      <c r="I8015">
        <v>24.96294</v>
      </c>
      <c r="J8015">
        <v>-372.57479999999998</v>
      </c>
      <c r="K8015">
        <v>1.121909</v>
      </c>
      <c r="L8015">
        <v>17.56195</v>
      </c>
      <c r="M8015">
        <v>0.99973230000000002</v>
      </c>
      <c r="N8015">
        <v>-1.006248E-2</v>
      </c>
      <c r="O8015">
        <v>-2.083985E-2</v>
      </c>
      <c r="P8015">
        <v>0.99177459999999995</v>
      </c>
      <c r="Q8015">
        <v>0.12512409999999999</v>
      </c>
      <c r="R8015">
        <v>2.6966400000000001E-2</v>
      </c>
      <c r="S8015">
        <v>3.016327</v>
      </c>
      <c r="T8015">
        <v>1.7778869999999999E-2</v>
      </c>
      <c r="U8015">
        <v>0.2312622</v>
      </c>
      <c r="V8015">
        <v>-4.7856250000000003E-2</v>
      </c>
      <c r="W8015">
        <v>0.13500989999999999</v>
      </c>
      <c r="X8015">
        <v>0.98968789999999995</v>
      </c>
      <c r="Y8015">
        <v>-9.7207650000000007E-2</v>
      </c>
      <c r="Z8015">
        <v>-1.282926E-4</v>
      </c>
      <c r="AA8015">
        <v>0.99526409999999998</v>
      </c>
      <c r="AB8015">
        <v>23</v>
      </c>
      <c r="AC8015">
        <v>96.374600000000001</v>
      </c>
      <c r="AD8015">
        <v>0.56879899999999906</v>
      </c>
      <c r="AE8015">
        <v>7.4009899999999904</v>
      </c>
      <c r="AF8015">
        <v>-9.4075904363184595</v>
      </c>
      <c r="AG8015">
        <v>0.56879899999999906</v>
      </c>
      <c r="AH8015">
        <v>96.196093420299206</v>
      </c>
      <c r="AI8015">
        <v>89.662827559994895</v>
      </c>
      <c r="AJ8015">
        <v>95.585534842166098</v>
      </c>
      <c r="AK8015">
        <v>96.656684608188598</v>
      </c>
      <c r="AL8015">
        <v>82.240807771669594</v>
      </c>
      <c r="AM8015">
        <v>92.768374819099705</v>
      </c>
      <c r="AN8015">
        <v>1.00000001658424</v>
      </c>
    </row>
    <row r="8016" spans="1:40" x14ac:dyDescent="0.25">
      <c r="A8016" t="str">
        <f>"20190303162111727"</f>
        <v>20190303162111727</v>
      </c>
      <c r="B8016" t="str">
        <f>"1551601271721107"</f>
        <v>1551601271721107</v>
      </c>
      <c r="C8016" t="s">
        <v>40</v>
      </c>
      <c r="D8016">
        <v>4.6011309999999996</v>
      </c>
      <c r="E8016">
        <v>0.48087089999999999</v>
      </c>
      <c r="F8016" t="s">
        <v>80</v>
      </c>
      <c r="G8016">
        <v>-276.2491</v>
      </c>
      <c r="H8016">
        <v>1.7132559999999999</v>
      </c>
      <c r="I8016">
        <v>25.012779999999999</v>
      </c>
      <c r="J8016">
        <v>-372.42520000000002</v>
      </c>
      <c r="K8016">
        <v>1.1219239999999999</v>
      </c>
      <c r="L8016">
        <v>17.5596</v>
      </c>
      <c r="M8016">
        <v>0.99974689999999999</v>
      </c>
      <c r="N8016">
        <v>-1.0081639999999999E-2</v>
      </c>
      <c r="O8016">
        <v>-2.011638E-2</v>
      </c>
      <c r="P8016">
        <v>0.99168429999999996</v>
      </c>
      <c r="Q8016">
        <v>0.1255752</v>
      </c>
      <c r="R8016">
        <v>2.8168749999999999E-2</v>
      </c>
      <c r="S8016">
        <v>3.0162049999999998</v>
      </c>
      <c r="T8016">
        <v>1.8516540000000001E-2</v>
      </c>
      <c r="U8016">
        <v>0.23330690000000001</v>
      </c>
      <c r="V8016">
        <v>-4.8342980000000001E-2</v>
      </c>
      <c r="W8016">
        <v>0.13547719999999999</v>
      </c>
      <c r="X8016">
        <v>0.98960040000000005</v>
      </c>
      <c r="Y8016">
        <v>-9.7161189999999995E-2</v>
      </c>
      <c r="Z8016">
        <v>-1.3307959999999999E-4</v>
      </c>
      <c r="AA8016">
        <v>0.99526859999999995</v>
      </c>
      <c r="AB8016">
        <v>23</v>
      </c>
      <c r="AC8016">
        <v>96.176100000000005</v>
      </c>
      <c r="AD8016">
        <v>0.59133199999999997</v>
      </c>
      <c r="AE8016">
        <v>7.4531799999999997</v>
      </c>
      <c r="AF8016">
        <v>-9.3861320893447999</v>
      </c>
      <c r="AG8016">
        <v>0.59133199999999997</v>
      </c>
      <c r="AH8016">
        <v>96.003090158978395</v>
      </c>
      <c r="AI8016">
        <v>89.648765187565402</v>
      </c>
      <c r="AJ8016">
        <v>95.584007637472496</v>
      </c>
      <c r="AK8016">
        <v>96.4626480520092</v>
      </c>
      <c r="AL8016">
        <v>82.213785313910293</v>
      </c>
      <c r="AM8016">
        <v>92.796733439686093</v>
      </c>
      <c r="AN8016">
        <v>1.00000003355763</v>
      </c>
    </row>
    <row r="8017" spans="1:40" x14ac:dyDescent="0.25">
      <c r="A8017" t="str">
        <f>"20190303162111743"</f>
        <v>20190303162111743</v>
      </c>
      <c r="B8017" t="str">
        <f>"1551601271730867"</f>
        <v>1551601271730867</v>
      </c>
      <c r="C8017" t="s">
        <v>40</v>
      </c>
      <c r="D8017">
        <v>4.5459069999999997</v>
      </c>
      <c r="E8017">
        <v>0.48085640000000002</v>
      </c>
      <c r="F8017" t="s">
        <v>80</v>
      </c>
      <c r="G8017">
        <v>-276.2851</v>
      </c>
      <c r="H8017">
        <v>1.71635099999999</v>
      </c>
      <c r="I8017">
        <v>25.054749999999999</v>
      </c>
      <c r="J8017">
        <v>-372.2543</v>
      </c>
      <c r="K8017">
        <v>1.1219330000000001</v>
      </c>
      <c r="L8017">
        <v>17.557099999999998</v>
      </c>
      <c r="M8017">
        <v>0.99976310000000002</v>
      </c>
      <c r="N8017">
        <v>-1.010555E-2</v>
      </c>
      <c r="O8017">
        <v>-1.9284869999999999E-2</v>
      </c>
      <c r="P8017">
        <v>0.99152620000000002</v>
      </c>
      <c r="Q8017">
        <v>0.1263736</v>
      </c>
      <c r="R8017">
        <v>3.0097039999999999E-2</v>
      </c>
      <c r="S8017">
        <v>3.0160830000000001</v>
      </c>
      <c r="T8017">
        <v>1.8648149999999999E-2</v>
      </c>
      <c r="U8017">
        <v>0.23513790000000001</v>
      </c>
      <c r="V8017">
        <v>-4.9445799999999998E-2</v>
      </c>
      <c r="W8017">
        <v>0.136295899999999</v>
      </c>
      <c r="X8017">
        <v>0.98943349999999997</v>
      </c>
      <c r="Y8017">
        <v>-9.6937209999999996E-2</v>
      </c>
      <c r="Z8017">
        <v>-1.222994E-4</v>
      </c>
      <c r="AA8017">
        <v>0.99529049999999997</v>
      </c>
      <c r="AB8017">
        <v>23</v>
      </c>
      <c r="AC8017">
        <v>95.969200000000001</v>
      </c>
      <c r="AD8017">
        <v>0.594417999999999</v>
      </c>
      <c r="AE8017">
        <v>7.4976500000000001</v>
      </c>
      <c r="AF8017">
        <v>-9.3467469082418599</v>
      </c>
      <c r="AG8017">
        <v>0.594417999999999</v>
      </c>
      <c r="AH8017">
        <v>95.803099121557594</v>
      </c>
      <c r="AI8017">
        <v>89.646188132091098</v>
      </c>
      <c r="AJ8017">
        <v>95.572258877318703</v>
      </c>
      <c r="AK8017">
        <v>96.259798523685006</v>
      </c>
      <c r="AL8017">
        <v>82.166438256343</v>
      </c>
      <c r="AM8017">
        <v>92.860910599999499</v>
      </c>
      <c r="AN8017">
        <v>1.0000000552083399</v>
      </c>
    </row>
    <row r="8018" spans="1:40" x14ac:dyDescent="0.25">
      <c r="A8018" t="str">
        <f>"20190303162111756"</f>
        <v>20190303162111756</v>
      </c>
      <c r="B8018" t="str">
        <f>"1551601271750388"</f>
        <v>1551601271750388</v>
      </c>
      <c r="C8018" t="s">
        <v>40</v>
      </c>
      <c r="D8018">
        <v>4.6079189999999999</v>
      </c>
      <c r="E8018">
        <v>0.48062250000000001</v>
      </c>
      <c r="F8018" t="s">
        <v>80</v>
      </c>
      <c r="G8018">
        <v>-276.28210000000001</v>
      </c>
      <c r="H8018">
        <v>1.7935700000000001</v>
      </c>
      <c r="I8018">
        <v>25.214950000000002</v>
      </c>
      <c r="J8018">
        <v>-372.13479999999998</v>
      </c>
      <c r="K8018">
        <v>1.121936</v>
      </c>
      <c r="L8018">
        <v>17.55545</v>
      </c>
      <c r="M8018">
        <v>0.99977380000000005</v>
      </c>
      <c r="N8018">
        <v>-1.012447E-2</v>
      </c>
      <c r="O8018">
        <v>-1.8703729999999998E-2</v>
      </c>
      <c r="P8018">
        <v>0.99143800000000004</v>
      </c>
      <c r="Q8018">
        <v>0.1266729</v>
      </c>
      <c r="R8018">
        <v>3.1694899999999998E-2</v>
      </c>
      <c r="S8018">
        <v>3.0156860000000001</v>
      </c>
      <c r="T8018">
        <v>2.110445E-2</v>
      </c>
      <c r="U8018">
        <v>0.24063109999999999</v>
      </c>
      <c r="V8018">
        <v>-5.0465459999999997E-2</v>
      </c>
      <c r="W8018">
        <v>0.1366115</v>
      </c>
      <c r="X8018">
        <v>0.98933850000000001</v>
      </c>
      <c r="Y8018">
        <v>-9.8170209999999994E-2</v>
      </c>
      <c r="Z8018">
        <v>-1.649396E-4</v>
      </c>
      <c r="AA8018">
        <v>0.99516959999999999</v>
      </c>
      <c r="AB8018">
        <v>23</v>
      </c>
      <c r="AC8018">
        <v>95.852699999999899</v>
      </c>
      <c r="AD8018">
        <v>0.67163399999999995</v>
      </c>
      <c r="AE8018">
        <v>7.6595000000000004</v>
      </c>
      <c r="AF8018">
        <v>-9.4505938583660694</v>
      </c>
      <c r="AG8018">
        <v>0.67163399999999995</v>
      </c>
      <c r="AH8018">
        <v>95.687993995174295</v>
      </c>
      <c r="AI8018">
        <v>89.599794638836201</v>
      </c>
      <c r="AJ8018">
        <v>95.640506609049496</v>
      </c>
      <c r="AK8018">
        <v>96.155899513894894</v>
      </c>
      <c r="AL8018">
        <v>82.148185062217195</v>
      </c>
      <c r="AM8018">
        <v>92.920086471044598</v>
      </c>
      <c r="AN8018">
        <v>1.00000006608375</v>
      </c>
    </row>
    <row r="8019" spans="1:40" x14ac:dyDescent="0.25">
      <c r="A8019" t="str">
        <f>"20190303162111767"</f>
        <v>20190303162111767</v>
      </c>
      <c r="B8019" t="str">
        <f>"1551601271760148"</f>
        <v>1551601271760148</v>
      </c>
      <c r="C8019" t="s">
        <v>40</v>
      </c>
      <c r="D8019">
        <v>4.5555729999999999</v>
      </c>
      <c r="E8019">
        <v>0.45608589999999999</v>
      </c>
      <c r="F8019" t="s">
        <v>80</v>
      </c>
      <c r="G8019">
        <v>-276.21679999999998</v>
      </c>
      <c r="H8019">
        <v>1.78069399999999</v>
      </c>
      <c r="I8019">
        <v>25.419450000000001</v>
      </c>
      <c r="J8019">
        <v>-372.01209999999998</v>
      </c>
      <c r="K8019">
        <v>1.121937</v>
      </c>
      <c r="L8019">
        <v>17.553799999999999</v>
      </c>
      <c r="M8019">
        <v>0.99978460000000002</v>
      </c>
      <c r="N8019">
        <v>-1.014455E-2</v>
      </c>
      <c r="O8019">
        <v>-1.8107809999999998E-2</v>
      </c>
      <c r="P8019">
        <v>0.9913265</v>
      </c>
      <c r="Q8019">
        <v>0.12712129999999999</v>
      </c>
      <c r="R8019">
        <v>3.3349549999999999E-2</v>
      </c>
      <c r="S8019">
        <v>3.0153810000000001</v>
      </c>
      <c r="T8019">
        <v>2.0709399999999999E-2</v>
      </c>
      <c r="U8019">
        <v>0.2472229</v>
      </c>
      <c r="V8019">
        <v>-5.1526839999999997E-2</v>
      </c>
      <c r="W8019">
        <v>0.1370767</v>
      </c>
      <c r="X8019">
        <v>0.98921939999999997</v>
      </c>
      <c r="Y8019">
        <v>-9.9746420000000002E-2</v>
      </c>
      <c r="Z8019">
        <v>-1.4268080000000001E-4</v>
      </c>
      <c r="AA8019">
        <v>0.99501289999999998</v>
      </c>
      <c r="AB8019">
        <v>23</v>
      </c>
      <c r="AC8019">
        <v>95.795299999999997</v>
      </c>
      <c r="AD8019">
        <v>0.65875699999999904</v>
      </c>
      <c r="AE8019">
        <v>7.8656499999999996</v>
      </c>
      <c r="AF8019">
        <v>-9.5986416557636307</v>
      </c>
      <c r="AG8019">
        <v>0.65875699999999904</v>
      </c>
      <c r="AH8019">
        <v>95.632662673144793</v>
      </c>
      <c r="AI8019">
        <v>89.607302437545997</v>
      </c>
      <c r="AJ8019">
        <v>95.731576752200297</v>
      </c>
      <c r="AK8019">
        <v>96.1154204713079</v>
      </c>
      <c r="AL8019">
        <v>82.121277647979099</v>
      </c>
      <c r="AM8019">
        <v>92.9817498207955</v>
      </c>
      <c r="AN8019">
        <v>1.0000000291298099</v>
      </c>
    </row>
    <row r="8020" spans="1:40" x14ac:dyDescent="0.25">
      <c r="A8020" t="str">
        <f>"20190303162111789"</f>
        <v>20190303162111789</v>
      </c>
      <c r="B8020" t="str">
        <f>"1551601271780643"</f>
        <v>1551601271780643</v>
      </c>
      <c r="C8020" t="s">
        <v>40</v>
      </c>
      <c r="D8020">
        <v>4.4865839999999997</v>
      </c>
      <c r="E8020">
        <v>0.44746010000000003</v>
      </c>
      <c r="F8020" t="s">
        <v>70</v>
      </c>
      <c r="G8020">
        <v>-229.9717</v>
      </c>
      <c r="H8020">
        <v>6.7773340000000001E-2</v>
      </c>
      <c r="I8020">
        <v>38.650019999999998</v>
      </c>
      <c r="J8020">
        <v>-371.79689999999999</v>
      </c>
      <c r="K8020">
        <v>1.1219330000000001</v>
      </c>
      <c r="L8020">
        <v>17.55106</v>
      </c>
      <c r="M8020">
        <v>0.99980250000000004</v>
      </c>
      <c r="N8020">
        <v>-1.018237E-2</v>
      </c>
      <c r="O8020">
        <v>-1.707144E-2</v>
      </c>
      <c r="P8020">
        <v>0.99111150000000003</v>
      </c>
      <c r="Q8020">
        <v>0.1280704</v>
      </c>
      <c r="R8020">
        <v>3.6002569999999998E-2</v>
      </c>
      <c r="S8020">
        <v>3.0140989999999999</v>
      </c>
      <c r="T8020">
        <v>-2.2369150000000001E-2</v>
      </c>
      <c r="U8020">
        <v>0.44766240000000002</v>
      </c>
      <c r="V8020">
        <v>-5.3147739999999999E-2</v>
      </c>
      <c r="W8020">
        <v>0.1380596</v>
      </c>
      <c r="X8020">
        <v>0.98899689999999996</v>
      </c>
      <c r="Y8020">
        <v>-0.163766299999999</v>
      </c>
      <c r="Z8020">
        <v>1.395936E-3</v>
      </c>
      <c r="AA8020">
        <v>0.98649819999999999</v>
      </c>
      <c r="AB8020">
        <v>23</v>
      </c>
      <c r="AC8020">
        <v>141.8252</v>
      </c>
      <c r="AD8020">
        <v>-1.0541596600000001</v>
      </c>
      <c r="AE8020">
        <v>21.098960000000002</v>
      </c>
      <c r="AF8020">
        <v>-23.515899665084898</v>
      </c>
      <c r="AG8020">
        <v>-1.0541596600000001</v>
      </c>
      <c r="AH8020">
        <v>141.436677018599</v>
      </c>
      <c r="AI8020">
        <v>90.421247982756995</v>
      </c>
      <c r="AJ8020">
        <v>99.439901567431903</v>
      </c>
      <c r="AK8020">
        <v>143.38215508113501</v>
      </c>
      <c r="AL8020">
        <v>82.064420832111693</v>
      </c>
      <c r="AM8020">
        <v>93.076061131494797</v>
      </c>
      <c r="AN8020">
        <v>1.0000000018144299</v>
      </c>
    </row>
    <row r="8021" spans="1:40" x14ac:dyDescent="0.25">
      <c r="A8021" t="str">
        <f>"20190303162111803"</f>
        <v>20190303162111803</v>
      </c>
      <c r="B8021" t="str">
        <f>"1551601271790404"</f>
        <v>1551601271790404</v>
      </c>
      <c r="C8021" t="s">
        <v>40</v>
      </c>
      <c r="D8021">
        <v>4.5394170000000003</v>
      </c>
      <c r="E8021">
        <v>0.44495459999999898</v>
      </c>
      <c r="F8021" t="s">
        <v>44</v>
      </c>
      <c r="G8021">
        <v>-303.4547</v>
      </c>
      <c r="H8021">
        <v>-0.05</v>
      </c>
      <c r="I8021">
        <v>29.453189999999999</v>
      </c>
      <c r="J8021">
        <v>-371.65410000000003</v>
      </c>
      <c r="K8021">
        <v>1.121929</v>
      </c>
      <c r="L8021">
        <v>17.549379999999999</v>
      </c>
      <c r="M8021">
        <v>0.99981370000000003</v>
      </c>
      <c r="N8021">
        <v>-1.020764E-2</v>
      </c>
      <c r="O8021">
        <v>-1.6388440000000001E-2</v>
      </c>
      <c r="P8021">
        <v>0.99107940000000005</v>
      </c>
      <c r="Q8021">
        <v>0.12795290000000001</v>
      </c>
      <c r="R8021">
        <v>3.7282210000000003E-2</v>
      </c>
      <c r="S8021">
        <v>3.014526</v>
      </c>
      <c r="T8021">
        <v>-5.1693080000000002E-2</v>
      </c>
      <c r="U8021">
        <v>0.52499390000000001</v>
      </c>
      <c r="V8021">
        <v>-5.3747820000000002E-2</v>
      </c>
      <c r="W8021">
        <v>0.13796700000000001</v>
      </c>
      <c r="X8021">
        <v>0.98897740000000001</v>
      </c>
      <c r="Y8021">
        <v>-0.18765190000000001</v>
      </c>
      <c r="Z8021">
        <v>2.6748409999999999E-3</v>
      </c>
      <c r="AA8021">
        <v>0.98223199999999999</v>
      </c>
      <c r="AB8021">
        <v>23</v>
      </c>
      <c r="AC8021">
        <v>68.199399999999997</v>
      </c>
      <c r="AD8021">
        <v>-1.171929</v>
      </c>
      <c r="AE8021">
        <v>11.90381</v>
      </c>
      <c r="AF8021">
        <v>-13.016221185129099</v>
      </c>
      <c r="AG8021">
        <v>-1.171929</v>
      </c>
      <c r="AH8021">
        <v>67.975666116646593</v>
      </c>
      <c r="AI8021">
        <v>90.970084451200293</v>
      </c>
      <c r="AJ8021">
        <v>100.83998369604301</v>
      </c>
      <c r="AK8021">
        <v>69.220564975468506</v>
      </c>
      <c r="AL8021">
        <v>82.069777745509299</v>
      </c>
      <c r="AM8021">
        <v>93.110785677465799</v>
      </c>
      <c r="AN8021">
        <v>1.0000000094772501</v>
      </c>
    </row>
    <row r="8022" spans="1:40" x14ac:dyDescent="0.25">
      <c r="A8022" t="str">
        <f>"20190303162111817"</f>
        <v>20190303162111817</v>
      </c>
      <c r="B8022" t="str">
        <f>"1551601271801139"</f>
        <v>1551601271801139</v>
      </c>
      <c r="C8022" t="s">
        <v>40</v>
      </c>
      <c r="D8022">
        <v>4.4909840000000001</v>
      </c>
      <c r="E8022">
        <v>0.44355420000000001</v>
      </c>
      <c r="F8022" t="s">
        <v>44</v>
      </c>
      <c r="G8022">
        <v>-301.8546</v>
      </c>
      <c r="H8022">
        <v>-0.05</v>
      </c>
      <c r="I8022">
        <v>30.275390000000002</v>
      </c>
      <c r="J8022">
        <v>-371.51029999999997</v>
      </c>
      <c r="K8022">
        <v>1.1219209999999999</v>
      </c>
      <c r="L8022">
        <v>17.547789999999999</v>
      </c>
      <c r="M8022">
        <v>0.99982420000000005</v>
      </c>
      <c r="N8022">
        <v>-1.0234419999999999E-2</v>
      </c>
      <c r="O8022">
        <v>-1.570771E-2</v>
      </c>
      <c r="P8022">
        <v>0.99099979999999999</v>
      </c>
      <c r="Q8022">
        <v>0.12806709999999999</v>
      </c>
      <c r="R8022">
        <v>3.8961240000000001E-2</v>
      </c>
      <c r="S8022">
        <v>3.0128780000000002</v>
      </c>
      <c r="T8022">
        <v>-5.0586100000000002E-2</v>
      </c>
      <c r="U8022">
        <v>0.54931640000000004</v>
      </c>
      <c r="V8022">
        <v>-5.4749319999999997E-2</v>
      </c>
      <c r="W8022">
        <v>0.1381058</v>
      </c>
      <c r="X8022">
        <v>0.98890299999999998</v>
      </c>
      <c r="Y8022">
        <v>-0.19475410000000001</v>
      </c>
      <c r="Z8022">
        <v>2.7286120000000001E-3</v>
      </c>
      <c r="AA8022">
        <v>0.98084830000000001</v>
      </c>
      <c r="AB8022">
        <v>23</v>
      </c>
      <c r="AC8022">
        <v>69.655699999999896</v>
      </c>
      <c r="AD8022">
        <v>-1.171921</v>
      </c>
      <c r="AE8022">
        <v>12.727600000000001</v>
      </c>
      <c r="AF8022">
        <v>-13.8164339096482</v>
      </c>
      <c r="AG8022">
        <v>-1.171921</v>
      </c>
      <c r="AH8022">
        <v>69.428155879246901</v>
      </c>
      <c r="AI8022">
        <v>90.948444773568497</v>
      </c>
      <c r="AJ8022">
        <v>101.255013082651</v>
      </c>
      <c r="AK8022">
        <v>70.799266052713605</v>
      </c>
      <c r="AL8022">
        <v>82.061747524930496</v>
      </c>
      <c r="AM8022">
        <v>93.168870791986706</v>
      </c>
      <c r="AN8022">
        <v>0.99999992172154795</v>
      </c>
    </row>
    <row r="8023" spans="1:40" x14ac:dyDescent="0.25">
      <c r="A8023" t="str">
        <f>"20190303162111835"</f>
        <v>20190303162111835</v>
      </c>
      <c r="B8023" t="str">
        <f>"1551601271820659"</f>
        <v>1551601271820659</v>
      </c>
      <c r="C8023" t="s">
        <v>40</v>
      </c>
      <c r="D8023">
        <v>4.5140459999999996</v>
      </c>
      <c r="E8023">
        <v>0.44240629999999997</v>
      </c>
      <c r="F8023" t="s">
        <v>44</v>
      </c>
      <c r="G8023">
        <v>-306.28440000000001</v>
      </c>
      <c r="H8023">
        <v>-0.05</v>
      </c>
      <c r="I8023">
        <v>29.804410000000001</v>
      </c>
      <c r="J8023">
        <v>-371.3322</v>
      </c>
      <c r="K8023">
        <v>1.1219170000000001</v>
      </c>
      <c r="L8023">
        <v>17.545929999999998</v>
      </c>
      <c r="M8023">
        <v>0.99983670000000002</v>
      </c>
      <c r="N8023">
        <v>-1.027191E-2</v>
      </c>
      <c r="O8023">
        <v>-1.4870990000000001E-2</v>
      </c>
      <c r="P8023">
        <v>0.99098140000000001</v>
      </c>
      <c r="Q8023">
        <v>0.12741179999999999</v>
      </c>
      <c r="R8023">
        <v>4.1495709999999998E-2</v>
      </c>
      <c r="S8023">
        <v>3.0119630000000002</v>
      </c>
      <c r="T8023">
        <v>-5.4116249999999998E-2</v>
      </c>
      <c r="U8023">
        <v>0.56597900000000001</v>
      </c>
      <c r="V8023">
        <v>-5.645124E-2</v>
      </c>
      <c r="W8023">
        <v>0.13748569999999999</v>
      </c>
      <c r="X8023">
        <v>0.98889380000000005</v>
      </c>
      <c r="Y8023">
        <v>-0.19922390000000001</v>
      </c>
      <c r="Z8023">
        <v>2.9198639999999999E-3</v>
      </c>
      <c r="AA8023">
        <v>0.97994970000000003</v>
      </c>
      <c r="AB8023">
        <v>23</v>
      </c>
      <c r="AC8023">
        <v>65.047799999999995</v>
      </c>
      <c r="AD8023">
        <v>-1.1719170000000001</v>
      </c>
      <c r="AE8023">
        <v>12.25848</v>
      </c>
      <c r="AF8023">
        <v>-13.220356543151301</v>
      </c>
      <c r="AG8023">
        <v>-1.1719170000000001</v>
      </c>
      <c r="AH8023">
        <v>64.837977309995793</v>
      </c>
      <c r="AI8023">
        <v>91.014610733071905</v>
      </c>
      <c r="AJ8023">
        <v>101.524538813723</v>
      </c>
      <c r="AK8023">
        <v>66.182433607676103</v>
      </c>
      <c r="AL8023">
        <v>82.097619483479605</v>
      </c>
      <c r="AM8023">
        <v>93.267197443023903</v>
      </c>
      <c r="AN8023">
        <v>1.0000000039402299</v>
      </c>
    </row>
    <row r="8024" spans="1:40" x14ac:dyDescent="0.25">
      <c r="A8024" t="str">
        <f>"20190303162111849"</f>
        <v>20190303162111849</v>
      </c>
      <c r="B8024" t="str">
        <f>"1551601271840179"</f>
        <v>1551601271840179</v>
      </c>
      <c r="C8024" t="s">
        <v>40</v>
      </c>
      <c r="D8024">
        <v>4.4486129999999999</v>
      </c>
      <c r="E8024">
        <v>0.44177689999999997</v>
      </c>
      <c r="F8024" t="s">
        <v>44</v>
      </c>
      <c r="G8024">
        <v>-313.01170000000002</v>
      </c>
      <c r="H8024">
        <v>-0.05</v>
      </c>
      <c r="I8024">
        <v>28.843730000000001</v>
      </c>
      <c r="J8024">
        <v>-371.17520000000002</v>
      </c>
      <c r="K8024">
        <v>1.12192</v>
      </c>
      <c r="L8024">
        <v>17.5444</v>
      </c>
      <c r="M8024">
        <v>0.99984700000000004</v>
      </c>
      <c r="N8024">
        <v>-1.0310039999999999E-2</v>
      </c>
      <c r="O8024">
        <v>-1.413796E-2</v>
      </c>
      <c r="P8024">
        <v>0.99094760000000004</v>
      </c>
      <c r="Q8024">
        <v>0.12704180000000001</v>
      </c>
      <c r="R8024">
        <v>4.3398359999999997E-2</v>
      </c>
      <c r="S8024">
        <v>3.0106510000000002</v>
      </c>
      <c r="T8024">
        <v>-6.049728E-2</v>
      </c>
      <c r="U8024">
        <v>0.5832214</v>
      </c>
      <c r="V8024">
        <v>-5.7625660000000002E-2</v>
      </c>
      <c r="W8024">
        <v>0.1371523</v>
      </c>
      <c r="X8024">
        <v>0.98887230000000004</v>
      </c>
      <c r="Y8024">
        <v>-0.203984</v>
      </c>
      <c r="Z8024">
        <v>3.2289749999999998E-3</v>
      </c>
      <c r="AA8024">
        <v>0.97896890000000003</v>
      </c>
      <c r="AB8024">
        <v>23</v>
      </c>
      <c r="AC8024">
        <v>58.163499999999999</v>
      </c>
      <c r="AD8024">
        <v>-1.1719200000000001</v>
      </c>
      <c r="AE8024">
        <v>11.2993299999999</v>
      </c>
      <c r="AF8024">
        <v>-12.1158176309882</v>
      </c>
      <c r="AG8024">
        <v>-1.1719200000000001</v>
      </c>
      <c r="AH8024">
        <v>57.975247924126002</v>
      </c>
      <c r="AI8024">
        <v>91.133545458741295</v>
      </c>
      <c r="AJ8024">
        <v>101.803936721157</v>
      </c>
      <c r="AK8024">
        <v>59.239309628131601</v>
      </c>
      <c r="AL8024">
        <v>82.116904141952105</v>
      </c>
      <c r="AM8024">
        <v>93.335089185846797</v>
      </c>
      <c r="AN8024">
        <v>0.99999994789650604</v>
      </c>
    </row>
    <row r="8025" spans="1:40" x14ac:dyDescent="0.25">
      <c r="A8025" t="str">
        <f>"20190303162111867"</f>
        <v>20190303162111867</v>
      </c>
      <c r="B8025" t="str">
        <f>"1551601271860676"</f>
        <v>1551601271860676</v>
      </c>
      <c r="C8025" t="s">
        <v>40</v>
      </c>
      <c r="D8025">
        <v>4.3992239999999896</v>
      </c>
      <c r="E8025">
        <v>0.44185219999999997</v>
      </c>
      <c r="F8025" t="s">
        <v>44</v>
      </c>
      <c r="G8025">
        <v>-307.22989999999999</v>
      </c>
      <c r="H8025">
        <v>-0.05</v>
      </c>
      <c r="I8025">
        <v>30.170649999999998</v>
      </c>
      <c r="J8025">
        <v>-370.99759999999998</v>
      </c>
      <c r="K8025">
        <v>1.121923</v>
      </c>
      <c r="L8025">
        <v>17.542850000000001</v>
      </c>
      <c r="M8025">
        <v>0.99985769999999996</v>
      </c>
      <c r="N8025">
        <v>-1.0358900000000001E-2</v>
      </c>
      <c r="O8025">
        <v>-1.331509E-2</v>
      </c>
      <c r="P8025">
        <v>0.99079870000000003</v>
      </c>
      <c r="Q8025">
        <v>0.12717629999999999</v>
      </c>
      <c r="R8025">
        <v>4.6305239999999998E-2</v>
      </c>
      <c r="S8025">
        <v>3.0084230000000001</v>
      </c>
      <c r="T8025">
        <v>-5.5135129999999997E-2</v>
      </c>
      <c r="U8025">
        <v>0.59402469999999996</v>
      </c>
      <c r="V8025">
        <v>-5.9713870000000002E-2</v>
      </c>
      <c r="W8025">
        <v>0.13733039999999999</v>
      </c>
      <c r="X8025">
        <v>0.98872380000000004</v>
      </c>
      <c r="Y8025">
        <v>-0.2067068</v>
      </c>
      <c r="Z8025">
        <v>3.062094E-3</v>
      </c>
      <c r="AA8025">
        <v>0.97839810000000005</v>
      </c>
      <c r="AB8025">
        <v>23</v>
      </c>
      <c r="AC8025">
        <v>63.767699999999898</v>
      </c>
      <c r="AD8025">
        <v>-1.171923</v>
      </c>
      <c r="AE8025">
        <v>12.627799999999899</v>
      </c>
      <c r="AF8025">
        <v>-13.471420354213601</v>
      </c>
      <c r="AG8025">
        <v>-1.171923</v>
      </c>
      <c r="AH8025">
        <v>63.573235415909899</v>
      </c>
      <c r="AI8025">
        <v>91.033147369768599</v>
      </c>
      <c r="AJ8025">
        <v>101.96422027629001</v>
      </c>
      <c r="AK8025">
        <v>64.995452388029094</v>
      </c>
      <c r="AL8025">
        <v>82.106603244048301</v>
      </c>
      <c r="AM8025">
        <v>93.456174480230501</v>
      </c>
      <c r="AN8025">
        <v>1.00000006886048</v>
      </c>
    </row>
    <row r="8026" spans="1:40" x14ac:dyDescent="0.25">
      <c r="A8026" t="str">
        <f>"20190303162111880"</f>
        <v>20190303162111880</v>
      </c>
      <c r="B8026" t="str">
        <f>"1551601271870436"</f>
        <v>1551601271870436</v>
      </c>
      <c r="C8026" t="s">
        <v>40</v>
      </c>
      <c r="D8026">
        <v>4.4050989999999999</v>
      </c>
      <c r="E8026">
        <v>0.44195610000000002</v>
      </c>
      <c r="F8026" t="s">
        <v>44</v>
      </c>
      <c r="G8026">
        <v>-302.4973</v>
      </c>
      <c r="H8026">
        <v>-0.05</v>
      </c>
      <c r="I8026">
        <v>31.26698</v>
      </c>
      <c r="J8026">
        <v>-370.86689999999999</v>
      </c>
      <c r="K8026">
        <v>1.1219269999999999</v>
      </c>
      <c r="L8026">
        <v>17.541779999999999</v>
      </c>
      <c r="M8026">
        <v>0.99986529999999996</v>
      </c>
      <c r="N8026">
        <v>-1.039854E-2</v>
      </c>
      <c r="O8026">
        <v>-1.271306E-2</v>
      </c>
      <c r="P8026">
        <v>0.99069830000000003</v>
      </c>
      <c r="Q8026">
        <v>0.12757399999999999</v>
      </c>
      <c r="R8026">
        <v>4.7350150000000001E-2</v>
      </c>
      <c r="S8026">
        <v>3.006348</v>
      </c>
      <c r="T8026">
        <v>-5.1433439999999997E-2</v>
      </c>
      <c r="U8026">
        <v>0.60232540000000001</v>
      </c>
      <c r="V8026">
        <v>-6.016092E-2</v>
      </c>
      <c r="W8026">
        <v>0.13776629999999901</v>
      </c>
      <c r="X8026">
        <v>0.98863599999999996</v>
      </c>
      <c r="Y8026">
        <v>-0.20884920000000001</v>
      </c>
      <c r="Z8026">
        <v>2.950074E-3</v>
      </c>
      <c r="AA8026">
        <v>0.97794340000000002</v>
      </c>
      <c r="AB8026">
        <v>23</v>
      </c>
      <c r="AC8026">
        <v>68.369599999999906</v>
      </c>
      <c r="AD8026">
        <v>-1.1719269999999999</v>
      </c>
      <c r="AE8026">
        <v>13.725199999999999</v>
      </c>
      <c r="AF8026">
        <v>-14.5892038718997</v>
      </c>
      <c r="AG8026">
        <v>-1.1719269999999999</v>
      </c>
      <c r="AH8026">
        <v>68.170321893422397</v>
      </c>
      <c r="AI8026">
        <v>90.963080236672596</v>
      </c>
      <c r="AJ8026">
        <v>102.07971139350801</v>
      </c>
      <c r="AK8026">
        <v>69.723819958189395</v>
      </c>
      <c r="AL8026">
        <v>82.081387920663701</v>
      </c>
      <c r="AM8026">
        <v>93.482294298924501</v>
      </c>
      <c r="AN8026">
        <v>1.00000001510346</v>
      </c>
    </row>
    <row r="8027" spans="1:40" x14ac:dyDescent="0.25">
      <c r="A8027" t="str">
        <f>"20190303162111893"</f>
        <v>20190303162111893</v>
      </c>
      <c r="B8027" t="str">
        <f>"1551601271880196"</f>
        <v>1551601271880196</v>
      </c>
      <c r="C8027" t="s">
        <v>40</v>
      </c>
      <c r="D8027">
        <v>4.3890260000000003</v>
      </c>
      <c r="E8027">
        <v>0.44222289999999997</v>
      </c>
      <c r="F8027" t="s">
        <v>44</v>
      </c>
      <c r="G8027">
        <v>-298.74979999999999</v>
      </c>
      <c r="H8027">
        <v>-0.05</v>
      </c>
      <c r="I8027">
        <v>32.052930000000003</v>
      </c>
      <c r="J8027">
        <v>-370.7296</v>
      </c>
      <c r="K8027">
        <v>1.1219300000000001</v>
      </c>
      <c r="L8027">
        <v>17.54074</v>
      </c>
      <c r="M8027">
        <v>0.9998726</v>
      </c>
      <c r="N8027">
        <v>-1.0442419999999999E-2</v>
      </c>
      <c r="O8027">
        <v>-1.208412E-2</v>
      </c>
      <c r="P8027">
        <v>0.99061379999999999</v>
      </c>
      <c r="Q8027">
        <v>0.1277413</v>
      </c>
      <c r="R8027">
        <v>4.8648780000000003E-2</v>
      </c>
      <c r="S8027">
        <v>3.0055540000000001</v>
      </c>
      <c r="T8027">
        <v>-4.8841240000000001E-2</v>
      </c>
      <c r="U8027">
        <v>0.60476680000000005</v>
      </c>
      <c r="V8027">
        <v>-6.083558E-2</v>
      </c>
      <c r="W8027">
        <v>0.13797599999999999</v>
      </c>
      <c r="X8027">
        <v>0.98856540000000004</v>
      </c>
      <c r="Y8027">
        <v>-0.20905119999999999</v>
      </c>
      <c r="Z8027">
        <v>2.8536550000000001E-3</v>
      </c>
      <c r="AA8027">
        <v>0.97790060000000001</v>
      </c>
      <c r="AB8027">
        <v>23</v>
      </c>
      <c r="AC8027">
        <v>71.979799999999997</v>
      </c>
      <c r="AD8027">
        <v>-1.1719299999999999</v>
      </c>
      <c r="AE8027">
        <v>14.512189999999899</v>
      </c>
      <c r="AF8027">
        <v>-15.3770731289507</v>
      </c>
      <c r="AG8027">
        <v>-1.1719299999999999</v>
      </c>
      <c r="AH8027">
        <v>71.780882538218805</v>
      </c>
      <c r="AI8027">
        <v>90.914608762356195</v>
      </c>
      <c r="AJ8027">
        <v>102.09128880369801</v>
      </c>
      <c r="AK8027">
        <v>73.418818404436095</v>
      </c>
      <c r="AL8027">
        <v>82.069256607293198</v>
      </c>
      <c r="AM8027">
        <v>93.521498769326797</v>
      </c>
      <c r="AN8027">
        <v>0.99999994722354602</v>
      </c>
    </row>
    <row r="8028" spans="1:40" x14ac:dyDescent="0.25">
      <c r="A8028" t="str">
        <f>"20190303162111911"</f>
        <v>20190303162111911</v>
      </c>
      <c r="B8028" t="str">
        <f>"1551601271900692"</f>
        <v>1551601271900692</v>
      </c>
      <c r="C8028" t="s">
        <v>40</v>
      </c>
      <c r="D8028">
        <v>4.3963289999999997</v>
      </c>
      <c r="E8028">
        <v>0.44251400000000002</v>
      </c>
      <c r="F8028" t="s">
        <v>44</v>
      </c>
      <c r="G8028">
        <v>-298.23480000000001</v>
      </c>
      <c r="H8028">
        <v>-0.05</v>
      </c>
      <c r="I8028">
        <v>32.178989999999999</v>
      </c>
      <c r="J8028">
        <v>-370.55419999999998</v>
      </c>
      <c r="K8028">
        <v>1.1219330000000001</v>
      </c>
      <c r="L8028">
        <v>17.539549999999998</v>
      </c>
      <c r="M8028">
        <v>0.99988109999999997</v>
      </c>
      <c r="N8028">
        <v>-1.0504670000000001E-2</v>
      </c>
      <c r="O8028">
        <v>-1.1286839999999999E-2</v>
      </c>
      <c r="P8028">
        <v>0.99052110000000004</v>
      </c>
      <c r="Q8028">
        <v>0.12788749999999999</v>
      </c>
      <c r="R8028">
        <v>5.012979E-2</v>
      </c>
      <c r="S8028">
        <v>3.004883</v>
      </c>
      <c r="T8028">
        <v>-4.857612E-2</v>
      </c>
      <c r="U8028">
        <v>0.60675049999999997</v>
      </c>
      <c r="V8028">
        <v>-6.1524370000000002E-2</v>
      </c>
      <c r="W8028">
        <v>0.13818239999999901</v>
      </c>
      <c r="X8028">
        <v>0.98849399999999998</v>
      </c>
      <c r="Y8028">
        <v>-0.20893429999999999</v>
      </c>
      <c r="Z8028">
        <v>2.8436379999999999E-3</v>
      </c>
      <c r="AA8028">
        <v>0.9779255</v>
      </c>
      <c r="AB8028">
        <v>23</v>
      </c>
      <c r="AC8028">
        <v>72.319399999999902</v>
      </c>
      <c r="AD8028">
        <v>-1.1719329999999999</v>
      </c>
      <c r="AE8028">
        <v>14.639439999999899</v>
      </c>
      <c r="AF8028">
        <v>-15.4509122380771</v>
      </c>
      <c r="AG8028">
        <v>-1.1719329999999999</v>
      </c>
      <c r="AH8028">
        <v>72.131354597150306</v>
      </c>
      <c r="AI8028">
        <v>90.910171141008902</v>
      </c>
      <c r="AJ8028">
        <v>102.090347162829</v>
      </c>
      <c r="AK8028">
        <v>73.776936992295205</v>
      </c>
      <c r="AL8028">
        <v>82.057316853719698</v>
      </c>
      <c r="AM8028">
        <v>93.561524265194393</v>
      </c>
      <c r="AN8028">
        <v>1.00000000590482</v>
      </c>
    </row>
    <row r="8029" spans="1:40" x14ac:dyDescent="0.25">
      <c r="A8029" t="str">
        <f>"20190303162111933"</f>
        <v>20190303162111933</v>
      </c>
      <c r="B8029" t="str">
        <f>"1551601271920211"</f>
        <v>1551601271920211</v>
      </c>
      <c r="C8029" t="s">
        <v>40</v>
      </c>
      <c r="D8029">
        <v>4.3897040000000001</v>
      </c>
      <c r="E8029">
        <v>0.44294159999999999</v>
      </c>
      <c r="F8029" t="s">
        <v>44</v>
      </c>
      <c r="G8029">
        <v>-303.30520000000001</v>
      </c>
      <c r="H8029">
        <v>-0.05</v>
      </c>
      <c r="I8029">
        <v>31.173639999999999</v>
      </c>
      <c r="J8029">
        <v>-370.32319999999999</v>
      </c>
      <c r="K8029">
        <v>1.1219440000000001</v>
      </c>
      <c r="L8029">
        <v>17.538209999999999</v>
      </c>
      <c r="M8029">
        <v>0.99989130000000004</v>
      </c>
      <c r="N8029">
        <v>-1.0606849999999999E-2</v>
      </c>
      <c r="O8029">
        <v>-1.0249350000000001E-2</v>
      </c>
      <c r="P8029">
        <v>0.99041760000000001</v>
      </c>
      <c r="Q8029">
        <v>0.12797459999999999</v>
      </c>
      <c r="R8029">
        <v>5.1922570000000001E-2</v>
      </c>
      <c r="S8029">
        <v>3.0046390000000001</v>
      </c>
      <c r="T8029">
        <v>-5.2361129999999999E-2</v>
      </c>
      <c r="U8029">
        <v>0.60916139999999996</v>
      </c>
      <c r="V8029">
        <v>-6.2285809999999997E-2</v>
      </c>
      <c r="W8029">
        <v>0.1383703</v>
      </c>
      <c r="X8029">
        <v>0.98841999999999997</v>
      </c>
      <c r="Y8029">
        <v>-0.20868310000000001</v>
      </c>
      <c r="Z8029">
        <v>2.9871889999999999E-3</v>
      </c>
      <c r="AA8029">
        <v>0.97797880000000004</v>
      </c>
      <c r="AB8029">
        <v>23</v>
      </c>
      <c r="AC8029">
        <v>67.017999999999901</v>
      </c>
      <c r="AD8029">
        <v>-1.1719440000000001</v>
      </c>
      <c r="AE8029">
        <v>13.635429999999999</v>
      </c>
      <c r="AF8029">
        <v>-14.317439058221099</v>
      </c>
      <c r="AG8029">
        <v>-1.1719440000000001</v>
      </c>
      <c r="AH8029">
        <v>66.855085954986905</v>
      </c>
      <c r="AI8029">
        <v>90.982008230707393</v>
      </c>
      <c r="AJ8029">
        <v>102.08766852328</v>
      </c>
      <c r="AK8029">
        <v>68.381028304447895</v>
      </c>
      <c r="AL8029">
        <v>82.046446339689894</v>
      </c>
      <c r="AM8029">
        <v>93.605756179276398</v>
      </c>
      <c r="AN8029">
        <v>0.99999997922472195</v>
      </c>
    </row>
    <row r="8030" spans="1:40" x14ac:dyDescent="0.25">
      <c r="A8030" t="str">
        <f>"20190303162111946"</f>
        <v>20190303162111946</v>
      </c>
      <c r="B8030" t="str">
        <f>"1551601271940708"</f>
        <v>1551601271940708</v>
      </c>
      <c r="C8030" t="s">
        <v>40</v>
      </c>
      <c r="D8030">
        <v>4.4136600000000001</v>
      </c>
      <c r="E8030">
        <v>0.443324</v>
      </c>
      <c r="F8030" t="s">
        <v>44</v>
      </c>
      <c r="G8030">
        <v>-309.5478</v>
      </c>
      <c r="H8030">
        <v>-0.05</v>
      </c>
      <c r="I8030">
        <v>29.889970000000002</v>
      </c>
      <c r="J8030">
        <v>-370.18950000000001</v>
      </c>
      <c r="K8030">
        <v>1.12195</v>
      </c>
      <c r="L8030">
        <v>17.537510000000001</v>
      </c>
      <c r="M8030">
        <v>0.99989649999999997</v>
      </c>
      <c r="N8030">
        <v>-1.0675230000000001E-2</v>
      </c>
      <c r="O8030">
        <v>-9.6538240000000001E-3</v>
      </c>
      <c r="P8030">
        <v>0.9903402</v>
      </c>
      <c r="Q8030">
        <v>0.1281437</v>
      </c>
      <c r="R8030">
        <v>5.2968010000000003E-2</v>
      </c>
      <c r="S8030">
        <v>3.0045169999999999</v>
      </c>
      <c r="T8030">
        <v>-5.7936670000000003E-2</v>
      </c>
      <c r="U8030">
        <v>0.61062620000000001</v>
      </c>
      <c r="V8030">
        <v>-6.2739009999999998E-2</v>
      </c>
      <c r="W8030">
        <v>0.13860639999999999</v>
      </c>
      <c r="X8030">
        <v>0.98835830000000002</v>
      </c>
      <c r="Y8030">
        <v>-0.2085572</v>
      </c>
      <c r="Z8030">
        <v>3.1972599999999999E-3</v>
      </c>
      <c r="AA8030">
        <v>0.97800489999999995</v>
      </c>
      <c r="AB8030">
        <v>23</v>
      </c>
      <c r="AC8030">
        <v>60.6417</v>
      </c>
      <c r="AD8030">
        <v>-1.17195</v>
      </c>
      <c r="AE8030">
        <v>12.352460000000001</v>
      </c>
      <c r="AF8030">
        <v>-12.9327041633489</v>
      </c>
      <c r="AG8030">
        <v>-1.17195</v>
      </c>
      <c r="AH8030">
        <v>60.497923545032897</v>
      </c>
      <c r="AI8030">
        <v>91.085265889923406</v>
      </c>
      <c r="AJ8030">
        <v>102.066560183029</v>
      </c>
      <c r="AK8030">
        <v>61.875900454376001</v>
      </c>
      <c r="AL8030">
        <v>82.032787540831293</v>
      </c>
      <c r="AM8030">
        <v>93.632148301091803</v>
      </c>
      <c r="AN8030">
        <v>1.0000000233378099</v>
      </c>
    </row>
    <row r="8031" spans="1:40" x14ac:dyDescent="0.25">
      <c r="A8031" t="str">
        <f>"20190303162111959"</f>
        <v>20190303162111959</v>
      </c>
      <c r="B8031" t="str">
        <f>"1551601271950468"</f>
        <v>1551601271950468</v>
      </c>
      <c r="C8031" t="s">
        <v>40</v>
      </c>
      <c r="D8031">
        <v>4.4548889999999997</v>
      </c>
      <c r="E8031">
        <v>0.44349860000000002</v>
      </c>
      <c r="F8031" t="s">
        <v>44</v>
      </c>
      <c r="G8031">
        <v>-314.21359999999999</v>
      </c>
      <c r="H8031">
        <v>-0.05</v>
      </c>
      <c r="I8031">
        <v>28.910060000000001</v>
      </c>
      <c r="J8031">
        <v>-370.05630000000002</v>
      </c>
      <c r="K8031">
        <v>1.1219600000000001</v>
      </c>
      <c r="L8031">
        <v>17.536899999999999</v>
      </c>
      <c r="M8031">
        <v>0.99990120000000005</v>
      </c>
      <c r="N8031">
        <v>-1.0755290000000001E-2</v>
      </c>
      <c r="O8031">
        <v>-9.0699209999999999E-3</v>
      </c>
      <c r="P8031">
        <v>0.99026789999999998</v>
      </c>
      <c r="Q8031">
        <v>0.1283311</v>
      </c>
      <c r="R8031">
        <v>5.3861430000000002E-2</v>
      </c>
      <c r="S8031">
        <v>3.0047609999999998</v>
      </c>
      <c r="T8031">
        <v>-6.2909839999999995E-2</v>
      </c>
      <c r="U8031">
        <v>0.61047359999999995</v>
      </c>
      <c r="V8031">
        <v>-6.3051899999999994E-2</v>
      </c>
      <c r="W8031">
        <v>0.13887369999999999</v>
      </c>
      <c r="X8031">
        <v>0.98830090000000004</v>
      </c>
      <c r="Y8031">
        <v>-0.2079143</v>
      </c>
      <c r="Z8031">
        <v>3.3753479999999998E-3</v>
      </c>
      <c r="AA8031">
        <v>0.97814120000000004</v>
      </c>
      <c r="AB8031">
        <v>23</v>
      </c>
      <c r="AC8031">
        <v>55.842700000000001</v>
      </c>
      <c r="AD8031">
        <v>-1.1719599999999999</v>
      </c>
      <c r="AE8031">
        <v>11.37316</v>
      </c>
      <c r="AF8031">
        <v>-11.874188577941799</v>
      </c>
      <c r="AG8031">
        <v>-1.1719599999999999</v>
      </c>
      <c r="AH8031">
        <v>55.713681608658597</v>
      </c>
      <c r="AI8031">
        <v>91.178599071168406</v>
      </c>
      <c r="AJ8031">
        <v>102.031364400138</v>
      </c>
      <c r="AK8031">
        <v>56.977049441131101</v>
      </c>
      <c r="AL8031">
        <v>82.017323094206304</v>
      </c>
      <c r="AM8031">
        <v>93.650425012172803</v>
      </c>
      <c r="AN8031">
        <v>1.0000000577930499</v>
      </c>
    </row>
    <row r="8032" spans="1:40" x14ac:dyDescent="0.25">
      <c r="A8032" t="str">
        <f>"20190303162111971"</f>
        <v>20190303162111971</v>
      </c>
      <c r="B8032" t="str">
        <f>"1551601271960227"</f>
        <v>1551601271960227</v>
      </c>
      <c r="C8032" t="s">
        <v>40</v>
      </c>
      <c r="D8032">
        <v>4.4640079999999998</v>
      </c>
      <c r="E8032">
        <v>0.44363160000000001</v>
      </c>
      <c r="F8032" t="s">
        <v>44</v>
      </c>
      <c r="G8032">
        <v>-312.86959999999999</v>
      </c>
      <c r="H8032">
        <v>-0.05</v>
      </c>
      <c r="I8032">
        <v>29.174890000000001</v>
      </c>
      <c r="J8032">
        <v>-369.93209999999999</v>
      </c>
      <c r="K8032">
        <v>1.121966</v>
      </c>
      <c r="L8032">
        <v>17.536379999999902</v>
      </c>
      <c r="M8032">
        <v>0.99990489999999999</v>
      </c>
      <c r="N8032">
        <v>-1.083829E-2</v>
      </c>
      <c r="O8032">
        <v>-8.5330140000000002E-3</v>
      </c>
      <c r="P8032">
        <v>0.99016079999999995</v>
      </c>
      <c r="Q8032">
        <v>0.12878709999999999</v>
      </c>
      <c r="R8032">
        <v>5.4731780000000001E-2</v>
      </c>
      <c r="S8032">
        <v>3.0042420000000001</v>
      </c>
      <c r="T8032">
        <v>-6.1567660000000003E-2</v>
      </c>
      <c r="U8032">
        <v>0.61138919999999997</v>
      </c>
      <c r="V8032">
        <v>-6.3387789999999999E-2</v>
      </c>
      <c r="W8032">
        <v>0.1394116</v>
      </c>
      <c r="X8032">
        <v>0.98820359999999996</v>
      </c>
      <c r="Y8032">
        <v>-0.2077106</v>
      </c>
      <c r="Z8032">
        <v>3.3253940000000002E-3</v>
      </c>
      <c r="AA8032">
        <v>0.97818470000000002</v>
      </c>
      <c r="AB8032">
        <v>23</v>
      </c>
      <c r="AC8032">
        <v>57.0625</v>
      </c>
      <c r="AD8032">
        <v>-1.1719660000000001</v>
      </c>
      <c r="AE8032">
        <v>11.63851</v>
      </c>
      <c r="AF8032">
        <v>-12.120121581816299</v>
      </c>
      <c r="AG8032">
        <v>-1.1719660000000001</v>
      </c>
      <c r="AH8032">
        <v>56.9380464478985</v>
      </c>
      <c r="AI8032">
        <v>91.153329888098099</v>
      </c>
      <c r="AJ8032">
        <v>102.016911395127</v>
      </c>
      <c r="AK8032">
        <v>58.225526917033697</v>
      </c>
      <c r="AL8032">
        <v>81.9862003277116</v>
      </c>
      <c r="AM8032">
        <v>93.670178897893095</v>
      </c>
      <c r="AN8032">
        <v>0.99999998059430095</v>
      </c>
    </row>
    <row r="8033" spans="1:40" x14ac:dyDescent="0.25">
      <c r="A8033" t="str">
        <f>"20190303162111989"</f>
        <v>20190303162111989</v>
      </c>
      <c r="B8033" t="str">
        <f>"1551601271980724"</f>
        <v>1551601271980724</v>
      </c>
      <c r="C8033" t="s">
        <v>40</v>
      </c>
      <c r="D8033">
        <v>4.4473770000000004</v>
      </c>
      <c r="E8033">
        <v>0.44375710000000002</v>
      </c>
      <c r="F8033" t="s">
        <v>44</v>
      </c>
      <c r="G8033">
        <v>-311.57889999999998</v>
      </c>
      <c r="H8033">
        <v>-0.05</v>
      </c>
      <c r="I8033">
        <v>29.43919</v>
      </c>
      <c r="J8033">
        <v>-369.74810000000002</v>
      </c>
      <c r="K8033">
        <v>1.1219790000000001</v>
      </c>
      <c r="L8033">
        <v>17.535769999999999</v>
      </c>
      <c r="M8033">
        <v>0.99990959999999995</v>
      </c>
      <c r="N8033">
        <v>-1.09794E-2</v>
      </c>
      <c r="O8033">
        <v>-7.7542409999999899E-3</v>
      </c>
      <c r="P8033">
        <v>0.99005569999999998</v>
      </c>
      <c r="Q8033">
        <v>0.1291136</v>
      </c>
      <c r="R8033">
        <v>5.5852409999999998E-2</v>
      </c>
      <c r="S8033">
        <v>3.0037539999999998</v>
      </c>
      <c r="T8033">
        <v>-6.0327409999999998E-2</v>
      </c>
      <c r="U8033">
        <v>0.61270139999999995</v>
      </c>
      <c r="V8033">
        <v>-6.3732239999999996E-2</v>
      </c>
      <c r="W8033">
        <v>0.13987849999999999</v>
      </c>
      <c r="X8033">
        <v>0.98811550000000004</v>
      </c>
      <c r="Y8033">
        <v>-0.2073921</v>
      </c>
      <c r="Z8033">
        <v>3.2814490000000001E-3</v>
      </c>
      <c r="AA8033">
        <v>0.97825240000000002</v>
      </c>
      <c r="AB8033">
        <v>23</v>
      </c>
      <c r="AC8033">
        <v>58.169199999999996</v>
      </c>
      <c r="AD8033">
        <v>-1.1719790000000001</v>
      </c>
      <c r="AE8033">
        <v>11.903420000000001</v>
      </c>
      <c r="AF8033">
        <v>-12.3493357870521</v>
      </c>
      <c r="AG8033">
        <v>-1.1719790000000001</v>
      </c>
      <c r="AH8033">
        <v>58.0525251563231</v>
      </c>
      <c r="AI8033">
        <v>91.131238690694602</v>
      </c>
      <c r="AJ8033">
        <v>102.00933941781599</v>
      </c>
      <c r="AK8033">
        <v>59.363080329303401</v>
      </c>
      <c r="AL8033">
        <v>81.959184510236398</v>
      </c>
      <c r="AM8033">
        <v>93.690395833974904</v>
      </c>
      <c r="AN8033">
        <v>1.00000001725895</v>
      </c>
    </row>
    <row r="8034" spans="1:40" x14ac:dyDescent="0.25">
      <c r="A8034" t="str">
        <f>"20190303162112003"</f>
        <v>20190303162112003</v>
      </c>
      <c r="B8034" t="str">
        <f>"1551601271990483"</f>
        <v>1551601271990483</v>
      </c>
      <c r="C8034" t="s">
        <v>40</v>
      </c>
      <c r="D8034">
        <v>4.4807360000000003</v>
      </c>
      <c r="E8034">
        <v>0.44385390000000002</v>
      </c>
      <c r="F8034" t="s">
        <v>44</v>
      </c>
      <c r="G8034">
        <v>-309.96789999999999</v>
      </c>
      <c r="H8034">
        <v>-0.05</v>
      </c>
      <c r="I8034">
        <v>29.775259999999999</v>
      </c>
      <c r="J8034">
        <v>-369.60930000000002</v>
      </c>
      <c r="K8034">
        <v>1.1219889999999999</v>
      </c>
      <c r="L8034">
        <v>17.535339999999898</v>
      </c>
      <c r="M8034">
        <v>0.99991249999999998</v>
      </c>
      <c r="N8034">
        <v>-1.1102030000000001E-2</v>
      </c>
      <c r="O8034">
        <v>-7.181499E-3</v>
      </c>
      <c r="P8034">
        <v>0.99001289999999997</v>
      </c>
      <c r="Q8034">
        <v>0.1291475</v>
      </c>
      <c r="R8034">
        <v>5.6524579999999998E-2</v>
      </c>
      <c r="S8034">
        <v>3.0031430000000001</v>
      </c>
      <c r="T8034">
        <v>-5.8876039999999998E-2</v>
      </c>
      <c r="U8034">
        <v>0.61486819999999998</v>
      </c>
      <c r="V8034">
        <v>-6.383258E-2</v>
      </c>
      <c r="W8034">
        <v>0.140035299999999</v>
      </c>
      <c r="X8034">
        <v>0.98808680000000004</v>
      </c>
      <c r="Y8034">
        <v>-0.2075504</v>
      </c>
      <c r="Z8034">
        <v>3.2380289999999999E-3</v>
      </c>
      <c r="AA8034">
        <v>0.97821899999999995</v>
      </c>
      <c r="AB8034">
        <v>23</v>
      </c>
      <c r="AC8034">
        <v>59.641399999999997</v>
      </c>
      <c r="AD8034">
        <v>-1.1719889999999999</v>
      </c>
      <c r="AE8034">
        <v>12.23992</v>
      </c>
      <c r="AF8034">
        <v>-12.663253176190899</v>
      </c>
      <c r="AG8034">
        <v>-1.1719889999999999</v>
      </c>
      <c r="AH8034">
        <v>59.5298972302948</v>
      </c>
      <c r="AI8034">
        <v>91.103182178355993</v>
      </c>
      <c r="AJ8034">
        <v>102.009008439727</v>
      </c>
      <c r="AK8034">
        <v>60.873148460301401</v>
      </c>
      <c r="AL8034">
        <v>81.950111121216096</v>
      </c>
      <c r="AM8034">
        <v>93.6962969591644</v>
      </c>
      <c r="AN8034">
        <v>1.00000000392489</v>
      </c>
    </row>
    <row r="8035" spans="1:40" x14ac:dyDescent="0.25">
      <c r="A8035" t="str">
        <f>"20190303162112017"</f>
        <v>20190303162112017</v>
      </c>
      <c r="B8035" t="str">
        <f>"1551601272010980"</f>
        <v>1551601272010980</v>
      </c>
      <c r="C8035" t="s">
        <v>40</v>
      </c>
      <c r="D8035">
        <v>4.3998109999999997</v>
      </c>
      <c r="E8035">
        <v>0.4440672</v>
      </c>
      <c r="F8035" t="s">
        <v>44</v>
      </c>
      <c r="G8035">
        <v>-310.12169999999998</v>
      </c>
      <c r="H8035">
        <v>-0.05</v>
      </c>
      <c r="I8035">
        <v>29.739740000000001</v>
      </c>
      <c r="J8035">
        <v>-369.46530000000001</v>
      </c>
      <c r="K8035">
        <v>1.1219950000000001</v>
      </c>
      <c r="L8035">
        <v>17.535</v>
      </c>
      <c r="M8035">
        <v>0.999915</v>
      </c>
      <c r="N8035">
        <v>-1.124584E-2</v>
      </c>
      <c r="O8035">
        <v>-6.6010499999999998E-3</v>
      </c>
      <c r="P8035">
        <v>0.98999090000000001</v>
      </c>
      <c r="Q8035">
        <v>0.12903390000000001</v>
      </c>
      <c r="R8035">
        <v>5.7169499999999998E-2</v>
      </c>
      <c r="S8035">
        <v>3.0028380000000001</v>
      </c>
      <c r="T8035">
        <v>-5.9160110000000002E-2</v>
      </c>
      <c r="U8035">
        <v>0.61605829999999995</v>
      </c>
      <c r="V8035">
        <v>-6.3896380000000003E-2</v>
      </c>
      <c r="W8035">
        <v>0.14006640000000001</v>
      </c>
      <c r="X8035">
        <v>0.98807820000000002</v>
      </c>
      <c r="Y8035">
        <v>-0.20737349999999999</v>
      </c>
      <c r="Z8035">
        <v>3.2550650000000001E-3</v>
      </c>
      <c r="AA8035">
        <v>0.97825640000000003</v>
      </c>
      <c r="AB8035">
        <v>23</v>
      </c>
      <c r="AC8035">
        <v>59.343600000000002</v>
      </c>
      <c r="AD8035">
        <v>-1.1719949999999999</v>
      </c>
      <c r="AE8035">
        <v>12.204739999999999</v>
      </c>
      <c r="AF8035">
        <v>-12.591517056139899</v>
      </c>
      <c r="AG8035">
        <v>-1.1719949999999999</v>
      </c>
      <c r="AH8035">
        <v>59.239569835759497</v>
      </c>
      <c r="AI8035">
        <v>91.108631071491104</v>
      </c>
      <c r="AJ8035">
        <v>101.999775851832</v>
      </c>
      <c r="AK8035">
        <v>60.574305678075397</v>
      </c>
      <c r="AL8035">
        <v>81.948310939760304</v>
      </c>
      <c r="AM8035">
        <v>93.700013226634297</v>
      </c>
      <c r="AN8035">
        <v>0.99999993655065</v>
      </c>
    </row>
    <row r="8036" spans="1:40" x14ac:dyDescent="0.25">
      <c r="A8036" t="str">
        <f>"20190303162112036"</f>
        <v>20190303162112036</v>
      </c>
      <c r="B8036" t="str">
        <f>"1551601272020740"</f>
        <v>1551601272020740</v>
      </c>
      <c r="C8036" t="s">
        <v>40</v>
      </c>
      <c r="D8036">
        <v>4.4395989999999896</v>
      </c>
      <c r="E8036">
        <v>0.444187</v>
      </c>
      <c r="F8036" t="s">
        <v>44</v>
      </c>
      <c r="G8036">
        <v>-311.39949999999999</v>
      </c>
      <c r="H8036">
        <v>-0.05</v>
      </c>
      <c r="I8036">
        <v>29.45506</v>
      </c>
      <c r="J8036">
        <v>-369.2765</v>
      </c>
      <c r="K8036">
        <v>1.1220030000000001</v>
      </c>
      <c r="L8036">
        <v>17.53464</v>
      </c>
      <c r="M8036">
        <v>0.99991730000000001</v>
      </c>
      <c r="N8036">
        <v>-1.1453420000000001E-2</v>
      </c>
      <c r="O8036">
        <v>-5.8530709999999996E-3</v>
      </c>
      <c r="P8036">
        <v>0.98995319999999998</v>
      </c>
      <c r="Q8036">
        <v>0.12903119999999901</v>
      </c>
      <c r="R8036">
        <v>5.7826269999999999E-2</v>
      </c>
      <c r="S8036">
        <v>3.0026250000000001</v>
      </c>
      <c r="T8036">
        <v>-6.0604690000000003E-2</v>
      </c>
      <c r="U8036">
        <v>0.616394</v>
      </c>
      <c r="V8036">
        <v>-6.3804040000000006E-2</v>
      </c>
      <c r="W8036">
        <v>0.14027319999999999</v>
      </c>
      <c r="X8036">
        <v>0.98805489999999996</v>
      </c>
      <c r="Y8036">
        <v>-0.20675769999999999</v>
      </c>
      <c r="Z8036">
        <v>3.3119239999999999E-3</v>
      </c>
      <c r="AA8036">
        <v>0.9783866</v>
      </c>
      <c r="AB8036">
        <v>23</v>
      </c>
      <c r="AC8036">
        <v>57.877000000000002</v>
      </c>
      <c r="AD8036">
        <v>-1.1720029999999999</v>
      </c>
      <c r="AE8036">
        <v>11.920419999999901</v>
      </c>
      <c r="AF8036">
        <v>-12.254175746867</v>
      </c>
      <c r="AG8036">
        <v>-1.1720029999999999</v>
      </c>
      <c r="AH8036">
        <v>57.783502462392804</v>
      </c>
      <c r="AI8036">
        <v>91.136678882544501</v>
      </c>
      <c r="AJ8036">
        <v>101.973351448065</v>
      </c>
      <c r="AK8036">
        <v>59.080213025076901</v>
      </c>
      <c r="AL8036">
        <v>81.936344590204499</v>
      </c>
      <c r="AM8036">
        <v>93.694767850792005</v>
      </c>
      <c r="AN8036">
        <v>1.0000000057862799</v>
      </c>
    </row>
    <row r="8037" spans="1:40" x14ac:dyDescent="0.25">
      <c r="A8037" t="str">
        <f>"20190303162112057"</f>
        <v>20190303162112057</v>
      </c>
      <c r="B8037" t="str">
        <f>"1551601272050995"</f>
        <v>1551601272050995</v>
      </c>
      <c r="C8037" t="s">
        <v>40</v>
      </c>
      <c r="D8037">
        <v>4.5612680000000001</v>
      </c>
      <c r="E8037">
        <v>0.44438100000000003</v>
      </c>
      <c r="F8037" t="s">
        <v>44</v>
      </c>
      <c r="G8037">
        <v>-312.7029</v>
      </c>
      <c r="H8037">
        <v>-0.05</v>
      </c>
      <c r="I8037">
        <v>29.170349999999999</v>
      </c>
      <c r="J8037">
        <v>-369.05369999999999</v>
      </c>
      <c r="K8037">
        <v>1.122023</v>
      </c>
      <c r="L8037">
        <v>17.53436</v>
      </c>
      <c r="M8037">
        <v>0.99991890000000005</v>
      </c>
      <c r="N8037">
        <v>-1.172437E-2</v>
      </c>
      <c r="O8037">
        <v>-4.9932140000000002E-3</v>
      </c>
      <c r="P8037">
        <v>0.98999769999999998</v>
      </c>
      <c r="Q8037">
        <v>0.12869230000000001</v>
      </c>
      <c r="R8037">
        <v>5.7819399999999903E-2</v>
      </c>
      <c r="S8037">
        <v>3.0024410000000001</v>
      </c>
      <c r="T8037">
        <v>-6.2199829999999998E-2</v>
      </c>
      <c r="U8037">
        <v>0.61752320000000005</v>
      </c>
      <c r="V8037">
        <v>-6.2936270000000002E-2</v>
      </c>
      <c r="W8037">
        <v>0.140209</v>
      </c>
      <c r="X8037">
        <v>0.98811970000000005</v>
      </c>
      <c r="Y8037">
        <v>-0.20627789999999999</v>
      </c>
      <c r="Z8037">
        <v>3.3807669999999998E-3</v>
      </c>
      <c r="AA8037">
        <v>0.97848760000000001</v>
      </c>
      <c r="AB8037">
        <v>23</v>
      </c>
      <c r="AC8037">
        <v>56.3507999999999</v>
      </c>
      <c r="AD8037">
        <v>-1.172023</v>
      </c>
      <c r="AE8037">
        <v>11.63599</v>
      </c>
      <c r="AF8037">
        <v>-11.912293489568899</v>
      </c>
      <c r="AG8037">
        <v>-1.172023</v>
      </c>
      <c r="AH8037">
        <v>56.268646871187499</v>
      </c>
      <c r="AI8037">
        <v>91.167378676809193</v>
      </c>
      <c r="AJ8037">
        <v>101.95325127117199</v>
      </c>
      <c r="AK8037">
        <v>57.527706323201798</v>
      </c>
      <c r="AL8037">
        <v>81.940059968890694</v>
      </c>
      <c r="AM8037">
        <v>93.644414985369195</v>
      </c>
      <c r="AN8037">
        <v>1.0000000396452999</v>
      </c>
    </row>
    <row r="8038" spans="1:40" x14ac:dyDescent="0.25">
      <c r="A8038" t="str">
        <f>"20190303162112071"</f>
        <v>20190303162112071</v>
      </c>
      <c r="B8038" t="str">
        <f>"1551601272060756"</f>
        <v>1551601272060756</v>
      </c>
      <c r="C8038" t="s">
        <v>40</v>
      </c>
      <c r="D8038">
        <v>4.8005769999999997</v>
      </c>
      <c r="E8038">
        <v>0.47041899999999998</v>
      </c>
      <c r="F8038" t="s">
        <v>44</v>
      </c>
      <c r="G8038">
        <v>-315.12759999999997</v>
      </c>
      <c r="H8038">
        <v>-0.05</v>
      </c>
      <c r="I8038">
        <v>28.599979999999999</v>
      </c>
      <c r="J8038">
        <v>-368.9194</v>
      </c>
      <c r="K8038">
        <v>1.122034</v>
      </c>
      <c r="L8038">
        <v>17.53424</v>
      </c>
      <c r="M8038">
        <v>0.99991929999999996</v>
      </c>
      <c r="N8038">
        <v>-1.1895289999999999E-2</v>
      </c>
      <c r="O8038">
        <v>-4.4874479999999998E-3</v>
      </c>
      <c r="P8038">
        <v>0.99002040000000002</v>
      </c>
      <c r="Q8038">
        <v>0.12862799999999999</v>
      </c>
      <c r="R8038">
        <v>5.7573329999999999E-2</v>
      </c>
      <c r="S8038">
        <v>3.0028380000000001</v>
      </c>
      <c r="T8038">
        <v>-6.5263269999999998E-2</v>
      </c>
      <c r="U8038">
        <v>0.61618039999999996</v>
      </c>
      <c r="V8038">
        <v>-6.2184700000000002E-2</v>
      </c>
      <c r="W8038">
        <v>0.14031759999999999</v>
      </c>
      <c r="X8038">
        <v>0.98815180000000002</v>
      </c>
      <c r="Y8038">
        <v>-0.20533199999999999</v>
      </c>
      <c r="Z8038">
        <v>3.4858649999999999E-3</v>
      </c>
      <c r="AA8038">
        <v>0.97868619999999995</v>
      </c>
      <c r="AB8038">
        <v>23</v>
      </c>
      <c r="AC8038">
        <v>53.791800000000002</v>
      </c>
      <c r="AD8038">
        <v>-1.172034</v>
      </c>
      <c r="AE8038">
        <v>11.0657399999999</v>
      </c>
      <c r="AF8038">
        <v>-11.3018859941406</v>
      </c>
      <c r="AG8038">
        <v>-1.172034</v>
      </c>
      <c r="AH8038">
        <v>53.717132000563502</v>
      </c>
      <c r="AI8038">
        <v>91.223146141301697</v>
      </c>
      <c r="AJ8038">
        <v>101.88152482807899</v>
      </c>
      <c r="AK8038">
        <v>54.905706088599501</v>
      </c>
      <c r="AL8038">
        <v>81.933774978264793</v>
      </c>
      <c r="AM8038">
        <v>93.600892780736103</v>
      </c>
      <c r="AN8038">
        <v>0.99999997281354402</v>
      </c>
    </row>
    <row r="8039" spans="1:40" x14ac:dyDescent="0.25">
      <c r="A8039" t="str">
        <f>"20190303162112086"</f>
        <v>20190303162112086</v>
      </c>
      <c r="B8039" t="str">
        <f>"1551601272080275"</f>
        <v>1551601272080275</v>
      </c>
      <c r="C8039" t="s">
        <v>40</v>
      </c>
      <c r="D8039">
        <v>4.4650290000000004</v>
      </c>
      <c r="E8039">
        <v>0.48337580000000002</v>
      </c>
      <c r="F8039" t="s">
        <v>70</v>
      </c>
      <c r="G8039">
        <v>-215.11920000000001</v>
      </c>
      <c r="H8039">
        <v>2.5938059999999998</v>
      </c>
      <c r="I8039">
        <v>38.445030000000003</v>
      </c>
      <c r="J8039">
        <v>-368.76760000000002</v>
      </c>
      <c r="K8039">
        <v>1.12205</v>
      </c>
      <c r="L8039">
        <v>17.534179999999999</v>
      </c>
      <c r="M8039">
        <v>0.99991929999999996</v>
      </c>
      <c r="N8039">
        <v>-1.209125E-2</v>
      </c>
      <c r="O8039">
        <v>-3.9266379999999997E-3</v>
      </c>
      <c r="P8039">
        <v>0.99008050000000003</v>
      </c>
      <c r="Q8039">
        <v>0.1283955</v>
      </c>
      <c r="R8039">
        <v>5.7054769999999998E-2</v>
      </c>
      <c r="S8039">
        <v>3.0028079999999999</v>
      </c>
      <c r="T8039">
        <v>2.8735159999999999E-2</v>
      </c>
      <c r="U8039">
        <v>0.40826420000000002</v>
      </c>
      <c r="V8039">
        <v>-6.1105960000000001E-2</v>
      </c>
      <c r="W8039">
        <v>0.1402832</v>
      </c>
      <c r="X8039">
        <v>0.98822399999999999</v>
      </c>
      <c r="Y8039">
        <v>-0.13861219999999999</v>
      </c>
      <c r="Z8039" s="1">
        <v>9.7029490000000003E-5</v>
      </c>
      <c r="AA8039">
        <v>0.99034670000000002</v>
      </c>
      <c r="AB8039">
        <v>23</v>
      </c>
      <c r="AC8039">
        <v>153.64840000000001</v>
      </c>
      <c r="AD8039">
        <v>1.4717560000000001</v>
      </c>
      <c r="AE8039">
        <v>20.91085</v>
      </c>
      <c r="AF8039">
        <v>-21.512116568592798</v>
      </c>
      <c r="AG8039">
        <v>1.4717560000000001</v>
      </c>
      <c r="AH8039">
        <v>153.551267545678</v>
      </c>
      <c r="AI8039">
        <v>89.456159831502305</v>
      </c>
      <c r="AJ8039">
        <v>97.975077511542906</v>
      </c>
      <c r="AK8039">
        <v>155.057824665087</v>
      </c>
      <c r="AL8039">
        <v>81.935765817767901</v>
      </c>
      <c r="AM8039">
        <v>93.538329062157601</v>
      </c>
      <c r="AN8039">
        <v>0.99999999436288001</v>
      </c>
    </row>
    <row r="8040" spans="1:40" x14ac:dyDescent="0.25">
      <c r="A8040" t="str">
        <f>"20190303162112100"</f>
        <v>20190303162112100</v>
      </c>
      <c r="B8040" t="str">
        <f>"1551601272091012"</f>
        <v>1551601272091012</v>
      </c>
      <c r="C8040" t="s">
        <v>40</v>
      </c>
      <c r="D8040">
        <v>4.4399449999999998</v>
      </c>
      <c r="E8040">
        <v>0.55507059999999997</v>
      </c>
      <c r="F8040" t="s">
        <v>69</v>
      </c>
      <c r="G8040">
        <v>-273.40989999999999</v>
      </c>
      <c r="H8040">
        <v>1.9513419999999999</v>
      </c>
      <c r="I8040">
        <v>27.155729999999998</v>
      </c>
      <c r="J8040">
        <v>-368.60930000000002</v>
      </c>
      <c r="K8040">
        <v>1.122064</v>
      </c>
      <c r="L8040">
        <v>17.534179999999999</v>
      </c>
      <c r="M8040">
        <v>0.9999188</v>
      </c>
      <c r="N8040">
        <v>-1.229163E-2</v>
      </c>
      <c r="O8040">
        <v>-3.359271E-3</v>
      </c>
      <c r="P8040">
        <v>0.99021440000000005</v>
      </c>
      <c r="Q8040">
        <v>0.1281815</v>
      </c>
      <c r="R8040">
        <v>5.5183900000000001E-2</v>
      </c>
      <c r="S8040">
        <v>3.009125</v>
      </c>
      <c r="T8040">
        <v>2.6169419999999999E-2</v>
      </c>
      <c r="U8040">
        <v>0.30361939999999998</v>
      </c>
      <c r="V8040">
        <v>-5.8671050000000002E-2</v>
      </c>
      <c r="W8040">
        <v>0.1402737</v>
      </c>
      <c r="X8040">
        <v>0.9883729</v>
      </c>
      <c r="Y8040">
        <v>-0.1037327</v>
      </c>
      <c r="Z8040">
        <v>1.189155E-4</v>
      </c>
      <c r="AA8040">
        <v>0.99460519999999997</v>
      </c>
      <c r="AB8040">
        <v>23</v>
      </c>
      <c r="AC8040">
        <v>95.199399999999997</v>
      </c>
      <c r="AD8040">
        <v>0.82927799999999996</v>
      </c>
      <c r="AE8040">
        <v>9.6215499999999992</v>
      </c>
      <c r="AF8040">
        <v>-9.9405737805115297</v>
      </c>
      <c r="AG8040">
        <v>0.82927799999999996</v>
      </c>
      <c r="AH8040">
        <v>95.159391174102296</v>
      </c>
      <c r="AI8040">
        <v>89.503403689654206</v>
      </c>
      <c r="AJ8040">
        <v>95.963622188782693</v>
      </c>
      <c r="AK8040">
        <v>95.680784056741999</v>
      </c>
      <c r="AL8040">
        <v>81.936315578725001</v>
      </c>
      <c r="AM8040">
        <v>93.397162527838802</v>
      </c>
      <c r="AN8040">
        <v>0.99999999623710101</v>
      </c>
    </row>
    <row r="8041" spans="1:40" x14ac:dyDescent="0.25">
      <c r="A8041" t="str">
        <f>"20190303162112115"</f>
        <v>20190303162112115</v>
      </c>
      <c r="B8041" t="str">
        <f>"1551601272101749"</f>
        <v>1551601272101749</v>
      </c>
      <c r="C8041" t="s">
        <v>40</v>
      </c>
      <c r="D8041">
        <v>4.6786240000000001</v>
      </c>
      <c r="E8041">
        <v>0.56300879999999998</v>
      </c>
      <c r="F8041" t="s">
        <v>81</v>
      </c>
      <c r="G8041">
        <v>-241.07</v>
      </c>
      <c r="H8041">
        <v>2.9020100000000002</v>
      </c>
      <c r="I8041">
        <v>6.0944209999999996</v>
      </c>
      <c r="J8041">
        <v>-368.47390000000001</v>
      </c>
      <c r="K8041">
        <v>1.1220779999999999</v>
      </c>
      <c r="L8041">
        <v>17.534269999999999</v>
      </c>
      <c r="M8041">
        <v>0.99991839999999999</v>
      </c>
      <c r="N8041">
        <v>-1.245609E-2</v>
      </c>
      <c r="O8041">
        <v>-2.8844180000000001E-3</v>
      </c>
      <c r="P8041">
        <v>0.99022639999999995</v>
      </c>
      <c r="Q8041">
        <v>0.1284006</v>
      </c>
      <c r="R8041">
        <v>5.4453540000000002E-2</v>
      </c>
      <c r="S8041">
        <v>3.039307</v>
      </c>
      <c r="T8041">
        <v>4.2416570000000001E-2</v>
      </c>
      <c r="U8041">
        <v>-0.27261350000000001</v>
      </c>
      <c r="V8041">
        <v>-5.7468390000000001E-2</v>
      </c>
      <c r="W8041">
        <v>0.14065849999999999</v>
      </c>
      <c r="X8041">
        <v>0.98838890000000001</v>
      </c>
      <c r="Y8041">
        <v>8.6463960000000006E-2</v>
      </c>
      <c r="Z8041" s="1">
        <v>-1.3522689999999999E-5</v>
      </c>
      <c r="AA8041">
        <v>0.996255</v>
      </c>
      <c r="AB8041">
        <v>23</v>
      </c>
      <c r="AC8041">
        <v>127.40389999999999</v>
      </c>
      <c r="AD8041">
        <v>1.7799319999999901</v>
      </c>
      <c r="AE8041">
        <v>-11.439849000000001</v>
      </c>
      <c r="AF8041">
        <v>11.070143421630799</v>
      </c>
      <c r="AG8041">
        <v>1.7799319999999901</v>
      </c>
      <c r="AH8041">
        <v>127.411700125713</v>
      </c>
      <c r="AI8041">
        <v>89.202637857595406</v>
      </c>
      <c r="AJ8041">
        <v>85.034336320594505</v>
      </c>
      <c r="AK8041">
        <v>127.904095173786</v>
      </c>
      <c r="AL8041">
        <v>81.914047606657405</v>
      </c>
      <c r="AM8041">
        <v>93.3276306603465</v>
      </c>
      <c r="AN8041">
        <v>1.0000000235573201</v>
      </c>
    </row>
    <row r="8042" spans="1:40" x14ac:dyDescent="0.25">
      <c r="A8042" t="str">
        <f>"20190303162112130"</f>
        <v>20190303162112130</v>
      </c>
      <c r="B8042" t="str">
        <f>"1551601272120291"</f>
        <v>1551601272120291</v>
      </c>
      <c r="C8042" t="s">
        <v>40</v>
      </c>
      <c r="D8042">
        <v>4.699325</v>
      </c>
      <c r="E8042">
        <v>0.57314799999999999</v>
      </c>
      <c r="F8042" t="s">
        <v>82</v>
      </c>
      <c r="G8042">
        <v>-252.1508</v>
      </c>
      <c r="H8042">
        <v>0.49881130000000001</v>
      </c>
      <c r="I8042">
        <v>4.6454300000000002</v>
      </c>
      <c r="J8042">
        <v>-368.32229999999998</v>
      </c>
      <c r="K8042">
        <v>1.1220920000000001</v>
      </c>
      <c r="L8042">
        <v>17.53445</v>
      </c>
      <c r="M8042">
        <v>0.99991739999999996</v>
      </c>
      <c r="N8042">
        <v>-1.263277E-2</v>
      </c>
      <c r="O8042">
        <v>-2.3613689999999999E-3</v>
      </c>
      <c r="P8042">
        <v>0.99027290000000001</v>
      </c>
      <c r="Q8042">
        <v>0.1284217</v>
      </c>
      <c r="R8042">
        <v>5.3547379999999999E-2</v>
      </c>
      <c r="S8042">
        <v>3.0503230000000001</v>
      </c>
      <c r="T8042">
        <v>-1.634383E-2</v>
      </c>
      <c r="U8042">
        <v>-0.33798220000000001</v>
      </c>
      <c r="V8042">
        <v>-5.6042460000000002E-2</v>
      </c>
      <c r="W8042">
        <v>0.1408577</v>
      </c>
      <c r="X8042">
        <v>0.98844240000000005</v>
      </c>
      <c r="Y8042">
        <v>0.1077755</v>
      </c>
      <c r="Z8042">
        <v>-9.8785179999999993E-4</v>
      </c>
      <c r="AA8042">
        <v>0.99417480000000003</v>
      </c>
      <c r="AB8042">
        <v>23</v>
      </c>
      <c r="AC8042">
        <v>116.171499999999</v>
      </c>
      <c r="AD8042">
        <v>-0.62328070000000002</v>
      </c>
      <c r="AE8042">
        <v>-12.88902</v>
      </c>
      <c r="AF8042">
        <v>12.6142796960476</v>
      </c>
      <c r="AG8042">
        <v>-0.62328070000000002</v>
      </c>
      <c r="AH8042">
        <v>116.19831010835</v>
      </c>
      <c r="AI8042">
        <v>90.305533116218299</v>
      </c>
      <c r="AJ8042">
        <v>83.804335533006295</v>
      </c>
      <c r="AK8042">
        <v>116.88265826510499</v>
      </c>
      <c r="AL8042">
        <v>81.9025194325299</v>
      </c>
      <c r="AM8042">
        <v>93.245067518080205</v>
      </c>
      <c r="AN8042">
        <v>1.0000000135449501</v>
      </c>
    </row>
    <row r="8043" spans="1:40" x14ac:dyDescent="0.25">
      <c r="A8043" t="str">
        <f>"20190303162112148"</f>
        <v>20190303162112148</v>
      </c>
      <c r="B8043" t="str">
        <f>"1551601272140788"</f>
        <v>1551601272140788</v>
      </c>
      <c r="C8043" t="s">
        <v>40</v>
      </c>
      <c r="D8043">
        <v>4.6144860000000003</v>
      </c>
      <c r="E8043">
        <v>0.57708909999999902</v>
      </c>
      <c r="F8043" t="s">
        <v>41</v>
      </c>
      <c r="G8043">
        <v>-327.42759999999998</v>
      </c>
      <c r="H8043" s="1">
        <v>-3.0228429999999998E-6</v>
      </c>
      <c r="I8043">
        <v>11.908720000000001</v>
      </c>
      <c r="J8043">
        <v>-368.13249999999999</v>
      </c>
      <c r="K8043">
        <v>1.1221080000000001</v>
      </c>
      <c r="L8043">
        <v>17.53473</v>
      </c>
      <c r="M8043">
        <v>0.99991609999999997</v>
      </c>
      <c r="N8043">
        <v>-1.2838260000000001E-2</v>
      </c>
      <c r="O8043">
        <v>-1.7202700000000001E-3</v>
      </c>
      <c r="P8043">
        <v>0.99044049999999995</v>
      </c>
      <c r="Q8043">
        <v>0.12818499999999999</v>
      </c>
      <c r="R8043">
        <v>5.0954609999999997E-2</v>
      </c>
      <c r="S8043">
        <v>3.0631409999999999</v>
      </c>
      <c r="T8043">
        <v>-8.4048510000000007E-2</v>
      </c>
      <c r="U8043">
        <v>-0.4213867</v>
      </c>
      <c r="V8043">
        <v>-5.281284E-2</v>
      </c>
      <c r="W8043">
        <v>0.14083129999999999</v>
      </c>
      <c r="X8043">
        <v>0.98862399999999995</v>
      </c>
      <c r="Y8043">
        <v>0.13450570000000001</v>
      </c>
      <c r="Z8043">
        <v>-2.6790770000000002E-3</v>
      </c>
      <c r="AA8043">
        <v>0.99090919999999905</v>
      </c>
      <c r="AB8043">
        <v>23</v>
      </c>
      <c r="AC8043">
        <v>40.704900000000002</v>
      </c>
      <c r="AD8043">
        <v>-1.12211102284299</v>
      </c>
      <c r="AE8043">
        <v>-5.62601</v>
      </c>
      <c r="AF8043">
        <v>5.5518325210953003</v>
      </c>
      <c r="AG8043">
        <v>-1.12211102284299</v>
      </c>
      <c r="AH8043">
        <v>40.684180904561003</v>
      </c>
      <c r="AI8043">
        <v>91.565374755302102</v>
      </c>
      <c r="AJ8043">
        <v>82.229317949005207</v>
      </c>
      <c r="AK8043">
        <v>41.076569396249802</v>
      </c>
      <c r="AL8043">
        <v>81.904047423463894</v>
      </c>
      <c r="AM8043">
        <v>93.057865590577705</v>
      </c>
      <c r="AN8043">
        <v>1.00000003225227</v>
      </c>
    </row>
    <row r="8044" spans="1:40" x14ac:dyDescent="0.25">
      <c r="A8044" t="str">
        <f>"20190303162112162"</f>
        <v>20190303162112162</v>
      </c>
      <c r="B8044" t="str">
        <f>"1551601272150548"</f>
        <v>1551601272150548</v>
      </c>
      <c r="C8044" t="s">
        <v>40</v>
      </c>
      <c r="D8044">
        <v>4.586525</v>
      </c>
      <c r="E8044">
        <v>0.57796700000000001</v>
      </c>
      <c r="F8044" t="s">
        <v>41</v>
      </c>
      <c r="G8044">
        <v>-338.5505</v>
      </c>
      <c r="H8044" s="1">
        <v>-2.2156020000000001E-6</v>
      </c>
      <c r="I8044">
        <v>13.09076</v>
      </c>
      <c r="J8044">
        <v>-367.99329999999998</v>
      </c>
      <c r="K8044">
        <v>1.122115</v>
      </c>
      <c r="L8044">
        <v>17.535029999999999</v>
      </c>
      <c r="M8044">
        <v>0.99991509999999995</v>
      </c>
      <c r="N8044">
        <v>-1.2977560000000001E-2</v>
      </c>
      <c r="O8044">
        <v>-1.2567520000000001E-3</v>
      </c>
      <c r="P8044">
        <v>0.99058259999999998</v>
      </c>
      <c r="Q8044">
        <v>0.12755449999999999</v>
      </c>
      <c r="R8044">
        <v>4.9762609999999999E-2</v>
      </c>
      <c r="S8044">
        <v>3.0677490000000001</v>
      </c>
      <c r="T8044">
        <v>-0.11636639999999999</v>
      </c>
      <c r="U8044">
        <v>-0.46084589999999998</v>
      </c>
      <c r="V8044">
        <v>-5.1159330000000003E-2</v>
      </c>
      <c r="W8044">
        <v>0.1403431</v>
      </c>
      <c r="X8044">
        <v>0.98878029999999995</v>
      </c>
      <c r="Y8044">
        <v>0.14717369999999999</v>
      </c>
      <c r="Z8044">
        <v>-3.7043829999999999E-3</v>
      </c>
      <c r="AA8044">
        <v>0.98910370000000003</v>
      </c>
      <c r="AB8044">
        <v>23</v>
      </c>
      <c r="AC8044">
        <v>29.442799999999899</v>
      </c>
      <c r="AD8044">
        <v>-1.1221172156020001</v>
      </c>
      <c r="AE8044">
        <v>-4.4442699999999897</v>
      </c>
      <c r="AF8044">
        <v>4.4010109864190001</v>
      </c>
      <c r="AG8044">
        <v>-1.1221172156020001</v>
      </c>
      <c r="AH8044">
        <v>29.4066007942086</v>
      </c>
      <c r="AI8044">
        <v>92.161224716000405</v>
      </c>
      <c r="AJ8044">
        <v>81.488250815843699</v>
      </c>
      <c r="AK8044">
        <v>29.755272054176899</v>
      </c>
      <c r="AL8044">
        <v>81.932299329106201</v>
      </c>
      <c r="AM8044">
        <v>92.961833134144598</v>
      </c>
      <c r="AN8044">
        <v>0.999999972215874</v>
      </c>
    </row>
    <row r="8045" spans="1:40" x14ac:dyDescent="0.25">
      <c r="A8045" t="str">
        <f>"20190303162112179"</f>
        <v>20190303162112179</v>
      </c>
      <c r="B8045" t="str">
        <f>"1551601272171043"</f>
        <v>1551601272171043</v>
      </c>
      <c r="C8045" t="s">
        <v>40</v>
      </c>
      <c r="D8045">
        <v>4.5898399999999997</v>
      </c>
      <c r="E8045">
        <v>0.57891959999999998</v>
      </c>
      <c r="F8045" t="s">
        <v>41</v>
      </c>
      <c r="G8045">
        <v>-340.07560000000001</v>
      </c>
      <c r="H8045" s="1">
        <v>-5.369776E-6</v>
      </c>
      <c r="I8045">
        <v>13.24624</v>
      </c>
      <c r="J8045">
        <v>-367.82029999999997</v>
      </c>
      <c r="K8045">
        <v>1.122115</v>
      </c>
      <c r="L8045">
        <v>17.53546</v>
      </c>
      <c r="M8045">
        <v>0.99991359999999996</v>
      </c>
      <c r="N8045">
        <v>-1.313663E-2</v>
      </c>
      <c r="O8045">
        <v>-6.8587089999999997E-4</v>
      </c>
      <c r="P8045">
        <v>0.99073120000000003</v>
      </c>
      <c r="Q8045">
        <v>0.1274498</v>
      </c>
      <c r="R8045">
        <v>4.6997669999999998E-2</v>
      </c>
      <c r="S8045">
        <v>3.0680540000000001</v>
      </c>
      <c r="T8045">
        <v>-0.123317</v>
      </c>
      <c r="U8045">
        <v>-0.4713135</v>
      </c>
      <c r="V8045">
        <v>-4.7826639999999997E-2</v>
      </c>
      <c r="W8045">
        <v>0.14040259999999999</v>
      </c>
      <c r="X8045">
        <v>0.98893869999999895</v>
      </c>
      <c r="Y8045">
        <v>0.15100189999999999</v>
      </c>
      <c r="Z8045">
        <v>-3.9955199999999998E-3</v>
      </c>
      <c r="AA8045">
        <v>0.9885254</v>
      </c>
      <c r="AB8045">
        <v>23</v>
      </c>
      <c r="AC8045">
        <v>27.744699999999899</v>
      </c>
      <c r="AD8045">
        <v>-1.1221203697759901</v>
      </c>
      <c r="AE8045">
        <v>-4.2892199999999896</v>
      </c>
      <c r="AF8045">
        <v>4.2633770033805503</v>
      </c>
      <c r="AG8045">
        <v>-1.1221203697759901</v>
      </c>
      <c r="AH8045">
        <v>27.703377348765599</v>
      </c>
      <c r="AI8045">
        <v>92.292528284208203</v>
      </c>
      <c r="AJ8045">
        <v>81.251172992481798</v>
      </c>
      <c r="AK8045">
        <v>28.051963462925698</v>
      </c>
      <c r="AL8045">
        <v>81.928856485476203</v>
      </c>
      <c r="AM8045">
        <v>92.768757319360503</v>
      </c>
      <c r="AN8045">
        <v>1.00000001496906</v>
      </c>
    </row>
    <row r="8046" spans="1:40" x14ac:dyDescent="0.25">
      <c r="A8046" t="str">
        <f>"20190303162112191"</f>
        <v>20190303162112191</v>
      </c>
      <c r="B8046" t="str">
        <f>"1551601272180804"</f>
        <v>1551601272180804</v>
      </c>
      <c r="C8046" t="s">
        <v>40</v>
      </c>
      <c r="D8046">
        <v>4.5931189999999997</v>
      </c>
      <c r="E8046">
        <v>0.57912919999999901</v>
      </c>
      <c r="F8046" t="s">
        <v>41</v>
      </c>
      <c r="G8046">
        <v>-340.90679999999998</v>
      </c>
      <c r="H8046" s="1">
        <v>-5.0103400000000004E-6</v>
      </c>
      <c r="I8046">
        <v>13.26221</v>
      </c>
      <c r="J8046">
        <v>-367.69819999999999</v>
      </c>
      <c r="K8046">
        <v>1.122117</v>
      </c>
      <c r="L8046">
        <v>17.535829999999901</v>
      </c>
      <c r="M8046">
        <v>0.99991240000000003</v>
      </c>
      <c r="N8046">
        <v>-1.3240760000000001E-2</v>
      </c>
      <c r="O8046">
        <v>-2.8581750000000001E-4</v>
      </c>
      <c r="P8046">
        <v>0.99077110000000002</v>
      </c>
      <c r="Q8046">
        <v>0.12756680000000001</v>
      </c>
      <c r="R8046">
        <v>4.5821130000000002E-2</v>
      </c>
      <c r="S8046">
        <v>3.0676269999999999</v>
      </c>
      <c r="T8046">
        <v>-0.1279006</v>
      </c>
      <c r="U8046">
        <v>-0.48706050000000001</v>
      </c>
      <c r="V8046">
        <v>-4.6251970000000003E-2</v>
      </c>
      <c r="W8046">
        <v>0.14062539999999901</v>
      </c>
      <c r="X8046">
        <v>0.98898189999999997</v>
      </c>
      <c r="Y8046">
        <v>0.1563524</v>
      </c>
      <c r="Z8046">
        <v>-4.2718909999999999E-3</v>
      </c>
      <c r="AA8046">
        <v>0.98769209999999996</v>
      </c>
      <c r="AB8046">
        <v>23</v>
      </c>
      <c r="AC8046">
        <v>26.791399999999999</v>
      </c>
      <c r="AD8046">
        <v>-1.12212201034</v>
      </c>
      <c r="AE8046">
        <v>-4.2736199999999904</v>
      </c>
      <c r="AF8046">
        <v>4.2586763333835798</v>
      </c>
      <c r="AG8046">
        <v>-1.12212201034</v>
      </c>
      <c r="AH8046">
        <v>26.746864294753799</v>
      </c>
      <c r="AI8046">
        <v>92.372494100073496</v>
      </c>
      <c r="AJ8046">
        <v>80.953218735458094</v>
      </c>
      <c r="AK8046">
        <v>27.107014433917101</v>
      </c>
      <c r="AL8046">
        <v>81.915962726385501</v>
      </c>
      <c r="AM8046">
        <v>92.6776154041072</v>
      </c>
      <c r="AN8046">
        <v>0.99999997319082501</v>
      </c>
    </row>
    <row r="8047" spans="1:40" x14ac:dyDescent="0.25">
      <c r="A8047" t="str">
        <f>"20190303162112206"</f>
        <v>20190303162112206</v>
      </c>
      <c r="B8047" t="str">
        <f>"1551601272201300"</f>
        <v>1551601272201300</v>
      </c>
      <c r="C8047" t="s">
        <v>40</v>
      </c>
      <c r="D8047">
        <v>4.5601320000000003</v>
      </c>
      <c r="E8047">
        <v>0.57915760000000005</v>
      </c>
      <c r="F8047" t="s">
        <v>41</v>
      </c>
      <c r="G8047">
        <v>-340.89210000000003</v>
      </c>
      <c r="H8047" s="1">
        <v>-5.0220380000000001E-6</v>
      </c>
      <c r="I8047">
        <v>13.231859999999999</v>
      </c>
      <c r="J8047">
        <v>-367.56169999999997</v>
      </c>
      <c r="K8047">
        <v>1.122115</v>
      </c>
      <c r="L8047">
        <v>17.536290000000001</v>
      </c>
      <c r="M8047">
        <v>0.99991099999999999</v>
      </c>
      <c r="N8047">
        <v>-1.335128E-2</v>
      </c>
      <c r="O8047">
        <v>1.6001270000000001E-4</v>
      </c>
      <c r="P8047">
        <v>0.99081609999999998</v>
      </c>
      <c r="Q8047">
        <v>0.1275115</v>
      </c>
      <c r="R8047">
        <v>4.4996090000000002E-2</v>
      </c>
      <c r="S8047">
        <v>3.0672299999999999</v>
      </c>
      <c r="T8047">
        <v>-0.12839619999999999</v>
      </c>
      <c r="U8047">
        <v>-0.49246220000000002</v>
      </c>
      <c r="V8047">
        <v>-4.4983009999999997E-2</v>
      </c>
      <c r="W8047">
        <v>0.14068249999999999</v>
      </c>
      <c r="X8047">
        <v>0.98903229999999998</v>
      </c>
      <c r="Y8047">
        <v>0.15850420000000001</v>
      </c>
      <c r="Z8047">
        <v>-4.3650470000000004E-3</v>
      </c>
      <c r="AA8047">
        <v>0.98734869999999997</v>
      </c>
      <c r="AB8047">
        <v>23</v>
      </c>
      <c r="AC8047">
        <v>26.6695999999999</v>
      </c>
      <c r="AD8047">
        <v>-1.1221200220380001</v>
      </c>
      <c r="AE8047">
        <v>-4.30443</v>
      </c>
      <c r="AF8047">
        <v>4.30127658966203</v>
      </c>
      <c r="AG8047">
        <v>-1.1221200220380001</v>
      </c>
      <c r="AH8047">
        <v>26.6229768673238</v>
      </c>
      <c r="AI8047">
        <v>92.382645982822893</v>
      </c>
      <c r="AJ8047">
        <v>80.822450425514205</v>
      </c>
      <c r="AK8047">
        <v>26.991536283114598</v>
      </c>
      <c r="AL8047">
        <v>81.912658210146105</v>
      </c>
      <c r="AM8047">
        <v>92.604122906386394</v>
      </c>
      <c r="AN8047">
        <v>0.99999996371909905</v>
      </c>
    </row>
    <row r="8048" spans="1:40" x14ac:dyDescent="0.25">
      <c r="A8048" t="str">
        <f>"20190303162112224"</f>
        <v>20190303162112224</v>
      </c>
      <c r="B8048" t="str">
        <f>"1551601272211060"</f>
        <v>1551601272211060</v>
      </c>
      <c r="C8048" t="s">
        <v>40</v>
      </c>
      <c r="D8048">
        <v>4.5706569999999997</v>
      </c>
      <c r="E8048">
        <v>0.57902140000000002</v>
      </c>
      <c r="F8048" t="s">
        <v>41</v>
      </c>
      <c r="G8048">
        <v>-342.7869</v>
      </c>
      <c r="H8048" s="1">
        <v>-4.1549569999999999E-6</v>
      </c>
      <c r="I8048">
        <v>13.537509999999999</v>
      </c>
      <c r="J8048">
        <v>-367.36559999999997</v>
      </c>
      <c r="K8048">
        <v>1.1221139999999901</v>
      </c>
      <c r="L8048">
        <v>17.537050000000001</v>
      </c>
      <c r="M8048">
        <v>0.99990880000000004</v>
      </c>
      <c r="N8048">
        <v>-1.34926E-2</v>
      </c>
      <c r="O8048">
        <v>7.9575309999999999E-4</v>
      </c>
      <c r="P8048">
        <v>0.99087210000000003</v>
      </c>
      <c r="Q8048">
        <v>0.127628399999999</v>
      </c>
      <c r="R8048">
        <v>4.3406119999999999E-2</v>
      </c>
      <c r="S8048">
        <v>3.0681759999999998</v>
      </c>
      <c r="T8048">
        <v>-0.13896629999999999</v>
      </c>
      <c r="U8048">
        <v>-0.4952087</v>
      </c>
      <c r="V8048">
        <v>-4.2760970000000002E-2</v>
      </c>
      <c r="W8048">
        <v>0.1409436</v>
      </c>
      <c r="X8048">
        <v>0.98909369999999996</v>
      </c>
      <c r="Y8048">
        <v>0.15991629999999901</v>
      </c>
      <c r="Z8048">
        <v>-4.7080999999999998E-3</v>
      </c>
      <c r="AA8048">
        <v>0.98711930000000003</v>
      </c>
      <c r="AB8048">
        <v>22</v>
      </c>
      <c r="AC8048">
        <v>24.578699999999898</v>
      </c>
      <c r="AD8048">
        <v>-1.1221181549569901</v>
      </c>
      <c r="AE8048">
        <v>-3.9995400000000001</v>
      </c>
      <c r="AF8048">
        <v>4.0109547265607404</v>
      </c>
      <c r="AG8048">
        <v>-1.1221181549569901</v>
      </c>
      <c r="AH8048">
        <v>24.525709108609501</v>
      </c>
      <c r="AI8048">
        <v>92.585314244680205</v>
      </c>
      <c r="AJ8048">
        <v>80.712022632004206</v>
      </c>
      <c r="AK8048">
        <v>24.876842931777599</v>
      </c>
      <c r="AL8048">
        <v>81.897547800701204</v>
      </c>
      <c r="AM8048">
        <v>92.475496927707098</v>
      </c>
      <c r="AN8048">
        <v>0.99999997315799505</v>
      </c>
    </row>
    <row r="8049" spans="1:40" x14ac:dyDescent="0.25">
      <c r="A8049" t="str">
        <f>"20190303162112239"</f>
        <v>20190303162112239</v>
      </c>
      <c r="B8049" t="str">
        <f>"1551601272230580"</f>
        <v>1551601272230580</v>
      </c>
      <c r="C8049" t="s">
        <v>40</v>
      </c>
      <c r="D8049">
        <v>4.5800970000000003</v>
      </c>
      <c r="E8049">
        <v>0.57907489999999995</v>
      </c>
      <c r="F8049" t="s">
        <v>41</v>
      </c>
      <c r="G8049">
        <v>-344.44740000000002</v>
      </c>
      <c r="H8049" s="1">
        <v>-3.4190339999999999E-6</v>
      </c>
      <c r="I8049">
        <v>13.8156</v>
      </c>
      <c r="J8049">
        <v>-367.22629999999998</v>
      </c>
      <c r="K8049">
        <v>1.1221159999999999</v>
      </c>
      <c r="L8049">
        <v>17.537659999999999</v>
      </c>
      <c r="M8049">
        <v>0.99990699999999999</v>
      </c>
      <c r="N8049">
        <v>-1.358182E-2</v>
      </c>
      <c r="O8049">
        <v>1.2444769999999999E-3</v>
      </c>
      <c r="P8049">
        <v>0.99093569999999997</v>
      </c>
      <c r="Q8049">
        <v>0.1271939</v>
      </c>
      <c r="R8049">
        <v>4.3221030000000001E-2</v>
      </c>
      <c r="S8049">
        <v>3.068756</v>
      </c>
      <c r="T8049">
        <v>-0.15025169999999999</v>
      </c>
      <c r="U8049">
        <v>-0.49829099999999998</v>
      </c>
      <c r="V8049">
        <v>-4.2129159999999999E-2</v>
      </c>
      <c r="W8049">
        <v>0.14059949999999999</v>
      </c>
      <c r="X8049">
        <v>0.98916979999999999</v>
      </c>
      <c r="Y8049">
        <v>0.1612624</v>
      </c>
      <c r="Z8049">
        <v>-5.0666909999999999E-3</v>
      </c>
      <c r="AA8049">
        <v>0.98689850000000001</v>
      </c>
      <c r="AB8049">
        <v>22</v>
      </c>
      <c r="AC8049">
        <v>22.778899999999901</v>
      </c>
      <c r="AD8049">
        <v>-1.12211941903399</v>
      </c>
      <c r="AE8049">
        <v>-3.7220599999999902</v>
      </c>
      <c r="AF8049">
        <v>3.7415640822799099</v>
      </c>
      <c r="AG8049">
        <v>-1.12211941903399</v>
      </c>
      <c r="AH8049">
        <v>22.720548196214398</v>
      </c>
      <c r="AI8049">
        <v>92.789903357499398</v>
      </c>
      <c r="AJ8049">
        <v>80.648601524376403</v>
      </c>
      <c r="AK8049">
        <v>23.053888264431301</v>
      </c>
      <c r="AL8049">
        <v>81.917461710343204</v>
      </c>
      <c r="AM8049">
        <v>92.438777584478103</v>
      </c>
      <c r="AN8049">
        <v>0.99999998937729695</v>
      </c>
    </row>
    <row r="8050" spans="1:40" x14ac:dyDescent="0.25">
      <c r="A8050" t="str">
        <f>"20190303162112258"</f>
        <v>20190303162112258</v>
      </c>
      <c r="B8050" t="str">
        <f>"1551601272251076"</f>
        <v>1551601272251076</v>
      </c>
      <c r="C8050" t="s">
        <v>40</v>
      </c>
      <c r="D8050">
        <v>4.5805439999999997</v>
      </c>
      <c r="E8050">
        <v>0.5792368</v>
      </c>
      <c r="F8050" t="s">
        <v>41</v>
      </c>
      <c r="G8050">
        <v>-345.74369999999999</v>
      </c>
      <c r="H8050" s="1">
        <v>-2.9163069999999999E-6</v>
      </c>
      <c r="I8050">
        <v>14.047079999999999</v>
      </c>
      <c r="J8050">
        <v>-367.03030000000001</v>
      </c>
      <c r="K8050">
        <v>1.1221139999999901</v>
      </c>
      <c r="L8050">
        <v>17.538640000000001</v>
      </c>
      <c r="M8050">
        <v>0.99990449999999997</v>
      </c>
      <c r="N8050">
        <v>-1.369714E-2</v>
      </c>
      <c r="O8050">
        <v>1.873687E-3</v>
      </c>
      <c r="P8050">
        <v>0.9909869</v>
      </c>
      <c r="Q8050">
        <v>0.12696299999999999</v>
      </c>
      <c r="R8050">
        <v>4.2726340000000002E-2</v>
      </c>
      <c r="S8050">
        <v>3.0697939999999999</v>
      </c>
      <c r="T8050">
        <v>-0.16034699999999999</v>
      </c>
      <c r="U8050">
        <v>-0.49877929999999998</v>
      </c>
      <c r="V8050">
        <v>-4.1009589999999999E-2</v>
      </c>
      <c r="W8050">
        <v>0.14048469999999999</v>
      </c>
      <c r="X8050">
        <v>0.98923309999999998</v>
      </c>
      <c r="Y8050">
        <v>0.1619517</v>
      </c>
      <c r="Z8050">
        <v>-5.3883530000000002E-3</v>
      </c>
      <c r="AA8050">
        <v>0.98678399999999999</v>
      </c>
      <c r="AB8050">
        <v>22</v>
      </c>
      <c r="AC8050">
        <v>21.2866</v>
      </c>
      <c r="AD8050">
        <v>-1.12211691630699</v>
      </c>
      <c r="AE8050">
        <v>-3.4915600000000002</v>
      </c>
      <c r="AF8050">
        <v>3.5219116162997799</v>
      </c>
      <c r="AG8050">
        <v>-1.12211691630699</v>
      </c>
      <c r="AH8050">
        <v>21.2225908347996</v>
      </c>
      <c r="AI8050">
        <v>92.985861269827893</v>
      </c>
      <c r="AJ8050">
        <v>80.577575065430494</v>
      </c>
      <c r="AK8050">
        <v>21.542083686315301</v>
      </c>
      <c r="AL8050">
        <v>81.924104736228301</v>
      </c>
      <c r="AM8050">
        <v>92.373891214681606</v>
      </c>
      <c r="AN8050">
        <v>0.99999993177083102</v>
      </c>
    </row>
    <row r="8051" spans="1:40" x14ac:dyDescent="0.25">
      <c r="A8051" t="str">
        <f>"20190303162112271"</f>
        <v>20190303162112271</v>
      </c>
      <c r="B8051" t="str">
        <f>"1551601272260836"</f>
        <v>1551601272260836</v>
      </c>
      <c r="C8051" t="s">
        <v>40</v>
      </c>
      <c r="D8051">
        <v>4.5792380000000001</v>
      </c>
      <c r="E8051">
        <v>0.57928210000000002</v>
      </c>
      <c r="F8051" t="s">
        <v>41</v>
      </c>
      <c r="G8051">
        <v>-346.00990000000002</v>
      </c>
      <c r="H8051" s="1">
        <v>-2.809626E-6</v>
      </c>
      <c r="I8051">
        <v>14.10759</v>
      </c>
      <c r="J8051">
        <v>-366.90379999999999</v>
      </c>
      <c r="K8051">
        <v>1.1221159999999999</v>
      </c>
      <c r="L8051">
        <v>17.539339999999999</v>
      </c>
      <c r="M8051">
        <v>0.99990279999999998</v>
      </c>
      <c r="N8051">
        <v>-1.3764449999999999E-2</v>
      </c>
      <c r="O8051">
        <v>2.2781149999999998E-3</v>
      </c>
      <c r="P8051">
        <v>0.99099139999999997</v>
      </c>
      <c r="Q8051">
        <v>0.1268416</v>
      </c>
      <c r="R8051">
        <v>4.2983840000000002E-2</v>
      </c>
      <c r="S8051">
        <v>3.0698850000000002</v>
      </c>
      <c r="T8051">
        <v>-0.16387739999999901</v>
      </c>
      <c r="U8051">
        <v>-0.50106809999999902</v>
      </c>
      <c r="V8051">
        <v>-4.0865560000000002E-2</v>
      </c>
      <c r="W8051">
        <v>0.14043039999999901</v>
      </c>
      <c r="X8051">
        <v>0.98924679999999998</v>
      </c>
      <c r="Y8051">
        <v>0.16304939999999901</v>
      </c>
      <c r="Z8051">
        <v>-5.5405050000000003E-3</v>
      </c>
      <c r="AA8051">
        <v>0.98660239999999999</v>
      </c>
      <c r="AB8051">
        <v>22</v>
      </c>
      <c r="AC8051">
        <v>20.893899999999899</v>
      </c>
      <c r="AD8051">
        <v>-1.122118809626</v>
      </c>
      <c r="AE8051">
        <v>-3.4317499999999899</v>
      </c>
      <c r="AF8051">
        <v>3.4695998528490302</v>
      </c>
      <c r="AG8051">
        <v>-1.122118809626</v>
      </c>
      <c r="AH8051">
        <v>20.827532507702401</v>
      </c>
      <c r="AI8051">
        <v>93.042084520333106</v>
      </c>
      <c r="AJ8051">
        <v>80.542109156211893</v>
      </c>
      <c r="AK8051">
        <v>21.144346386710701</v>
      </c>
      <c r="AL8051">
        <v>81.927247287709093</v>
      </c>
      <c r="AM8051">
        <v>92.365530623422401</v>
      </c>
      <c r="AN8051">
        <v>0.99999996127425606</v>
      </c>
    </row>
    <row r="8052" spans="1:40" x14ac:dyDescent="0.25">
      <c r="A8052" t="str">
        <f>"20190303162112284"</f>
        <v>20190303162112284</v>
      </c>
      <c r="B8052" t="str">
        <f>"1551601272270596"</f>
        <v>1551601272270596</v>
      </c>
      <c r="C8052" t="s">
        <v>40</v>
      </c>
      <c r="D8052">
        <v>4.6079040000000004</v>
      </c>
      <c r="E8052">
        <v>0.57923809999999998</v>
      </c>
      <c r="F8052" t="s">
        <v>41</v>
      </c>
      <c r="G8052">
        <v>-346.15289999999999</v>
      </c>
      <c r="H8052" s="1">
        <v>-2.7476749999999999E-6</v>
      </c>
      <c r="I8052">
        <v>14.157590000000001</v>
      </c>
      <c r="J8052">
        <v>-366.77179999999998</v>
      </c>
      <c r="K8052">
        <v>1.12212</v>
      </c>
      <c r="L8052">
        <v>17.54007</v>
      </c>
      <c r="M8052">
        <v>0.99990069999999998</v>
      </c>
      <c r="N8052">
        <v>-1.383E-2</v>
      </c>
      <c r="O8052">
        <v>2.7002630000000001E-3</v>
      </c>
      <c r="P8052">
        <v>0.99100820000000001</v>
      </c>
      <c r="Q8052">
        <v>0.1266361</v>
      </c>
      <c r="R8052">
        <v>4.3200009999999997E-2</v>
      </c>
      <c r="S8052">
        <v>3.0702210000000001</v>
      </c>
      <c r="T8052">
        <v>-0.16602359999999999</v>
      </c>
      <c r="U8052">
        <v>-0.50033570000000005</v>
      </c>
      <c r="V8052">
        <v>-4.0663060000000001E-2</v>
      </c>
      <c r="W8052">
        <v>0.14029069999999999</v>
      </c>
      <c r="X8052">
        <v>0.98927500000000002</v>
      </c>
      <c r="Y8052">
        <v>0.16321179999999999</v>
      </c>
      <c r="Z8052">
        <v>-5.6257829999999997E-3</v>
      </c>
      <c r="AA8052">
        <v>0.98657499999999998</v>
      </c>
      <c r="AB8052">
        <v>22</v>
      </c>
      <c r="AC8052">
        <v>20.6189</v>
      </c>
      <c r="AD8052">
        <v>-1.122122747675</v>
      </c>
      <c r="AE8052">
        <v>-3.3824800000000002</v>
      </c>
      <c r="AF8052">
        <v>3.4282618498926398</v>
      </c>
      <c r="AG8052">
        <v>-1.122122747675</v>
      </c>
      <c r="AH8052">
        <v>20.550420019234799</v>
      </c>
      <c r="AI8052">
        <v>93.082920559937804</v>
      </c>
      <c r="AJ8052">
        <v>80.5290194688844</v>
      </c>
      <c r="AK8052">
        <v>20.864608832643899</v>
      </c>
      <c r="AL8052">
        <v>81.935331814969501</v>
      </c>
      <c r="AM8052">
        <v>92.353754968978805</v>
      </c>
      <c r="AN8052">
        <v>0.99999999529002603</v>
      </c>
    </row>
    <row r="8053" spans="1:40" x14ac:dyDescent="0.25">
      <c r="A8053" t="str">
        <f>"20190303162112301"</f>
        <v>20190303162112301</v>
      </c>
      <c r="B8053" t="str">
        <f>"1551601272291092"</f>
        <v>1551601272291092</v>
      </c>
      <c r="C8053" t="s">
        <v>40</v>
      </c>
      <c r="D8053">
        <v>4.5501769999999997</v>
      </c>
      <c r="E8053">
        <v>0.57900719999999894</v>
      </c>
      <c r="F8053" t="s">
        <v>41</v>
      </c>
      <c r="G8053">
        <v>-346.31420000000003</v>
      </c>
      <c r="H8053" s="1">
        <v>-2.6777600000000002E-6</v>
      </c>
      <c r="I8053">
        <v>14.213979999999999</v>
      </c>
      <c r="J8053">
        <v>-366.5958</v>
      </c>
      <c r="K8053">
        <v>1.122131</v>
      </c>
      <c r="L8053">
        <v>17.541229999999999</v>
      </c>
      <c r="M8053">
        <v>0.99989810000000001</v>
      </c>
      <c r="N8053">
        <v>-1.390743E-2</v>
      </c>
      <c r="O8053">
        <v>3.2624669999999998E-3</v>
      </c>
      <c r="P8053">
        <v>0.99097780000000002</v>
      </c>
      <c r="Q8053">
        <v>0.1269227</v>
      </c>
      <c r="R8053">
        <v>4.3058329999999999E-2</v>
      </c>
      <c r="S8053">
        <v>3.0705260000000001</v>
      </c>
      <c r="T8053">
        <v>-0.1684215</v>
      </c>
      <c r="U8053">
        <v>-0.4992065</v>
      </c>
      <c r="V8053">
        <v>-3.9965180000000003E-2</v>
      </c>
      <c r="W8053">
        <v>0.14065469999999999</v>
      </c>
      <c r="X8053">
        <v>0.98925169999999996</v>
      </c>
      <c r="Y8053">
        <v>0.1633888</v>
      </c>
      <c r="Z8053">
        <v>-5.725801E-3</v>
      </c>
      <c r="AA8053">
        <v>0.98654509999999995</v>
      </c>
      <c r="AB8053">
        <v>22</v>
      </c>
      <c r="AC8053">
        <v>20.281599999999901</v>
      </c>
      <c r="AD8053">
        <v>-1.1221336777599999</v>
      </c>
      <c r="AE8053">
        <v>-3.3272499999999998</v>
      </c>
      <c r="AF8053">
        <v>3.3833213051403601</v>
      </c>
      <c r="AG8053">
        <v>-1.1221336777599999</v>
      </c>
      <c r="AH8053">
        <v>20.2103903004177</v>
      </c>
      <c r="AI8053">
        <v>93.134420508193799</v>
      </c>
      <c r="AJ8053">
        <v>80.496520148851801</v>
      </c>
      <c r="AK8053">
        <v>20.5223274298944</v>
      </c>
      <c r="AL8053">
        <v>81.914266861943702</v>
      </c>
      <c r="AM8053">
        <v>92.313457337200106</v>
      </c>
      <c r="AN8053">
        <v>0.99999994309870399</v>
      </c>
    </row>
    <row r="8054" spans="1:40" x14ac:dyDescent="0.25">
      <c r="A8054" t="str">
        <f>"20190303162112315"</f>
        <v>20190303162112315</v>
      </c>
      <c r="B8054" t="str">
        <f>"1551601272300852"</f>
        <v>1551601272300852</v>
      </c>
      <c r="C8054" t="s">
        <v>40</v>
      </c>
      <c r="D8054">
        <v>4.5603610000000003</v>
      </c>
      <c r="E8054">
        <v>0.578928</v>
      </c>
      <c r="F8054" t="s">
        <v>41</v>
      </c>
      <c r="G8054">
        <v>-347.45549999999997</v>
      </c>
      <c r="H8054" s="1">
        <v>-2.2284940000000002E-6</v>
      </c>
      <c r="I8054">
        <v>14.442740000000001</v>
      </c>
      <c r="J8054">
        <v>-366.47030000000001</v>
      </c>
      <c r="K8054">
        <v>1.122133</v>
      </c>
      <c r="L8054">
        <v>17.542110000000001</v>
      </c>
      <c r="M8054">
        <v>0.99989600000000001</v>
      </c>
      <c r="N8054">
        <v>-1.395703E-2</v>
      </c>
      <c r="O8054">
        <v>3.6645200000000001E-3</v>
      </c>
      <c r="P8054">
        <v>0.99098050000000004</v>
      </c>
      <c r="Q8054">
        <v>0.12693299999999999</v>
      </c>
      <c r="R8054">
        <v>4.2964370000000002E-2</v>
      </c>
      <c r="S8054">
        <v>3.0719599999999998</v>
      </c>
      <c r="T8054">
        <v>-0.18009900000000001</v>
      </c>
      <c r="U8054">
        <v>-0.4972839</v>
      </c>
      <c r="V8054">
        <v>-3.947237E-2</v>
      </c>
      <c r="W8054">
        <v>0.1407147</v>
      </c>
      <c r="X8054">
        <v>0.989263</v>
      </c>
      <c r="Y8054">
        <v>0.16307199999999999</v>
      </c>
      <c r="Z8054">
        <v>-6.0543849999999998E-3</v>
      </c>
      <c r="AA8054">
        <v>0.98659560000000002</v>
      </c>
      <c r="AB8054">
        <v>22</v>
      </c>
      <c r="AC8054">
        <v>19.014800000000001</v>
      </c>
      <c r="AD8054">
        <v>-1.122135228494</v>
      </c>
      <c r="AE8054">
        <v>-3.09937</v>
      </c>
      <c r="AF8054">
        <v>3.1583214946586899</v>
      </c>
      <c r="AG8054">
        <v>-1.122135228494</v>
      </c>
      <c r="AH8054">
        <v>18.939062845457698</v>
      </c>
      <c r="AI8054">
        <v>93.344716209904703</v>
      </c>
      <c r="AJ8054">
        <v>80.532347125208005</v>
      </c>
      <c r="AK8054">
        <v>19.2333638139262</v>
      </c>
      <c r="AL8054">
        <v>81.910794954856399</v>
      </c>
      <c r="AM8054">
        <v>92.284934484539505</v>
      </c>
      <c r="AN8054">
        <v>0.99999998897925302</v>
      </c>
    </row>
    <row r="8055" spans="1:40" x14ac:dyDescent="0.25">
      <c r="A8055" t="str">
        <f>"20190303162112327"</f>
        <v>20190303162112327</v>
      </c>
      <c r="B8055" t="str">
        <f>"1551601272321348"</f>
        <v>1551601272321348</v>
      </c>
      <c r="C8055" t="s">
        <v>40</v>
      </c>
      <c r="D8055">
        <v>4.5579859999999996</v>
      </c>
      <c r="E8055">
        <v>0.57880739999999997</v>
      </c>
      <c r="F8055" t="s">
        <v>41</v>
      </c>
      <c r="G8055">
        <v>-347.80130000000003</v>
      </c>
      <c r="H8055" s="1">
        <v>-2.0891079999999998E-6</v>
      </c>
      <c r="I8055">
        <v>14.524330000000001</v>
      </c>
      <c r="J8055">
        <v>-366.34829999999999</v>
      </c>
      <c r="K8055">
        <v>1.1221350000000001</v>
      </c>
      <c r="L8055">
        <v>17.54297</v>
      </c>
      <c r="M8055">
        <v>0.99989380000000005</v>
      </c>
      <c r="N8055">
        <v>-1.400271E-2</v>
      </c>
      <c r="O8055">
        <v>4.055393E-3</v>
      </c>
      <c r="P8055">
        <v>0.99103819999999998</v>
      </c>
      <c r="Q8055">
        <v>0.1264961</v>
      </c>
      <c r="R8055">
        <v>4.2923370000000002E-2</v>
      </c>
      <c r="S8055">
        <v>3.072479</v>
      </c>
      <c r="T8055">
        <v>-0.18467710000000001</v>
      </c>
      <c r="U8055">
        <v>-0.4966431</v>
      </c>
      <c r="V8055">
        <v>-3.9043870000000001E-2</v>
      </c>
      <c r="W8055">
        <v>0.1403247</v>
      </c>
      <c r="X8055">
        <v>0.98933539999999998</v>
      </c>
      <c r="Y8055">
        <v>0.163214</v>
      </c>
      <c r="Z8055">
        <v>-6.2062019999999897E-3</v>
      </c>
      <c r="AA8055">
        <v>0.98657119999999998</v>
      </c>
      <c r="AB8055">
        <v>22</v>
      </c>
      <c r="AC8055">
        <v>18.546999999999901</v>
      </c>
      <c r="AD8055">
        <v>-1.122137089108</v>
      </c>
      <c r="AE8055">
        <v>-3.01864</v>
      </c>
      <c r="AF8055">
        <v>3.0828442760457002</v>
      </c>
      <c r="AG8055">
        <v>-1.122137089108</v>
      </c>
      <c r="AH8055">
        <v>18.4687436404643</v>
      </c>
      <c r="AI8055">
        <v>93.429607728373</v>
      </c>
      <c r="AJ8055">
        <v>80.5234302167664</v>
      </c>
      <c r="AK8055">
        <v>18.757868006100502</v>
      </c>
      <c r="AL8055">
        <v>81.933364248262507</v>
      </c>
      <c r="AM8055">
        <v>92.2599905703525</v>
      </c>
      <c r="AN8055">
        <v>0.999999989453913</v>
      </c>
    </row>
    <row r="8056" spans="1:40" x14ac:dyDescent="0.25">
      <c r="A8056" t="str">
        <f>"20190303162112338"</f>
        <v>20190303162112338</v>
      </c>
      <c r="B8056" t="str">
        <f>"1551601272331108"</f>
        <v>1551601272331108</v>
      </c>
      <c r="C8056" t="s">
        <v>40</v>
      </c>
      <c r="D8056">
        <v>4.4692600000000002</v>
      </c>
      <c r="E8056">
        <v>0.57902349999999903</v>
      </c>
      <c r="F8056" t="s">
        <v>41</v>
      </c>
      <c r="G8056">
        <v>-348.69150000000002</v>
      </c>
      <c r="H8056" s="1">
        <v>-1.7402929999999999E-6</v>
      </c>
      <c r="I8056">
        <v>14.6968</v>
      </c>
      <c r="J8056">
        <v>-366.2276</v>
      </c>
      <c r="K8056">
        <v>1.122139</v>
      </c>
      <c r="L8056">
        <v>17.54391</v>
      </c>
      <c r="M8056">
        <v>0.99989159999999999</v>
      </c>
      <c r="N8056">
        <v>-1.4043109999999999E-2</v>
      </c>
      <c r="O8056">
        <v>4.4435569999999999E-3</v>
      </c>
      <c r="P8056">
        <v>0.99107800000000001</v>
      </c>
      <c r="Q8056">
        <v>0.12621099999999999</v>
      </c>
      <c r="R8056">
        <v>4.2841009999999999E-2</v>
      </c>
      <c r="S8056">
        <v>3.073547</v>
      </c>
      <c r="T8056">
        <v>-0.19533210000000001</v>
      </c>
      <c r="U8056">
        <v>-0.49542239999999999</v>
      </c>
      <c r="V8056">
        <v>-3.8576289999999999E-2</v>
      </c>
      <c r="W8056">
        <v>0.14008010000000001</v>
      </c>
      <c r="X8056">
        <v>0.98938839999999995</v>
      </c>
      <c r="Y8056">
        <v>0.16312219999999999</v>
      </c>
      <c r="Z8056">
        <v>-6.5176319999999998E-3</v>
      </c>
      <c r="AA8056">
        <v>0.98658440000000003</v>
      </c>
      <c r="AB8056">
        <v>22</v>
      </c>
      <c r="AC8056">
        <v>17.536099999999902</v>
      </c>
      <c r="AD8056">
        <v>-1.1221407402929999</v>
      </c>
      <c r="AE8056">
        <v>-2.8471099999999998</v>
      </c>
      <c r="AF8056">
        <v>2.9133889771358001</v>
      </c>
      <c r="AG8056">
        <v>-1.1221407402929999</v>
      </c>
      <c r="AH8056">
        <v>17.453641307020401</v>
      </c>
      <c r="AI8056">
        <v>93.628567293125002</v>
      </c>
      <c r="AJ8056">
        <v>80.523468962177702</v>
      </c>
      <c r="AK8056">
        <v>17.730669193441301</v>
      </c>
      <c r="AL8056">
        <v>81.947518566986801</v>
      </c>
      <c r="AM8056">
        <v>92.232833534488407</v>
      </c>
      <c r="AN8056">
        <v>0.99999998531036605</v>
      </c>
    </row>
    <row r="8057" spans="1:40" x14ac:dyDescent="0.25">
      <c r="A8057" t="str">
        <f>"20190303162112350"</f>
        <v>20190303162112350</v>
      </c>
      <c r="B8057" t="str">
        <f>"1551601272340868"</f>
        <v>1551601272340868</v>
      </c>
      <c r="C8057" t="s">
        <v>40</v>
      </c>
      <c r="D8057">
        <v>4.5189250000000003</v>
      </c>
      <c r="E8057">
        <v>0.57864649999999995</v>
      </c>
      <c r="F8057" t="s">
        <v>41</v>
      </c>
      <c r="G8057">
        <v>-348.3313</v>
      </c>
      <c r="H8057" s="1">
        <v>-1.875813E-6</v>
      </c>
      <c r="I8057">
        <v>14.648160000000001</v>
      </c>
      <c r="J8057">
        <v>-366.11430000000001</v>
      </c>
      <c r="K8057">
        <v>1.122139</v>
      </c>
      <c r="L8057">
        <v>17.544799999999999</v>
      </c>
      <c r="M8057">
        <v>0.99988949999999999</v>
      </c>
      <c r="N8057">
        <v>-1.407863E-2</v>
      </c>
      <c r="O8057">
        <v>4.8081479999999999E-3</v>
      </c>
      <c r="P8057">
        <v>0.99118799999999996</v>
      </c>
      <c r="Q8057">
        <v>0.12547269999999999</v>
      </c>
      <c r="R8057">
        <v>4.2467100000000001E-2</v>
      </c>
      <c r="S8057">
        <v>3.073029</v>
      </c>
      <c r="T8057">
        <v>-0.1926861</v>
      </c>
      <c r="U8057">
        <v>-0.49722290000000002</v>
      </c>
      <c r="V8057">
        <v>-3.7839369999999997E-2</v>
      </c>
      <c r="W8057">
        <v>0.1393799</v>
      </c>
      <c r="X8057">
        <v>0.9895157</v>
      </c>
      <c r="Y8057">
        <v>0.16407829999999901</v>
      </c>
      <c r="Z8057">
        <v>-6.501845E-3</v>
      </c>
      <c r="AA8057">
        <v>0.98642589999999997</v>
      </c>
      <c r="AB8057">
        <v>22</v>
      </c>
      <c r="AC8057">
        <v>17.783000000000001</v>
      </c>
      <c r="AD8057">
        <v>-1.122140875813</v>
      </c>
      <c r="AE8057">
        <v>-2.8966399999999899</v>
      </c>
      <c r="AF8057">
        <v>2.9705955336677001</v>
      </c>
      <c r="AG8057">
        <v>-1.122140875813</v>
      </c>
      <c r="AH8057">
        <v>17.700207676894401</v>
      </c>
      <c r="AI8057">
        <v>93.577626693037303</v>
      </c>
      <c r="AJ8057">
        <v>80.472932883264605</v>
      </c>
      <c r="AK8057">
        <v>17.982797050932</v>
      </c>
      <c r="AL8057">
        <v>81.988034244627499</v>
      </c>
      <c r="AM8057">
        <v>92.189940330535606</v>
      </c>
      <c r="AN8057">
        <v>0.99999994749624699</v>
      </c>
    </row>
    <row r="8058" spans="1:40" x14ac:dyDescent="0.25">
      <c r="A8058" t="str">
        <f>"20190303162112362"</f>
        <v>20190303162112362</v>
      </c>
      <c r="B8058" t="str">
        <f>"1551601272350628"</f>
        <v>1551601272350628</v>
      </c>
      <c r="C8058" t="s">
        <v>40</v>
      </c>
      <c r="D8058">
        <v>4.4776980000000002</v>
      </c>
      <c r="E8058">
        <v>0.57864649999999995</v>
      </c>
      <c r="F8058" t="s">
        <v>41</v>
      </c>
      <c r="G8058">
        <v>-348.15789999999998</v>
      </c>
      <c r="H8058" s="1">
        <v>-1.9343540000000001E-6</v>
      </c>
      <c r="I8058">
        <v>14.649900000000001</v>
      </c>
      <c r="J8058">
        <v>-365.99439999999998</v>
      </c>
      <c r="K8058">
        <v>1.1221369999999999</v>
      </c>
      <c r="L8058">
        <v>17.545809999999999</v>
      </c>
      <c r="M8058">
        <v>0.99988699999999997</v>
      </c>
      <c r="N8058">
        <v>-1.4113489999999999E-2</v>
      </c>
      <c r="O8058">
        <v>5.1949730000000003E-3</v>
      </c>
      <c r="P8058">
        <v>0.99127690000000002</v>
      </c>
      <c r="Q8058">
        <v>0.1247772</v>
      </c>
      <c r="R8058">
        <v>4.2435430000000003E-2</v>
      </c>
      <c r="S8058">
        <v>3.0721440000000002</v>
      </c>
      <c r="T8058">
        <v>-0.1919855</v>
      </c>
      <c r="U8058">
        <v>-0.49526979999999998</v>
      </c>
      <c r="V8058">
        <v>-3.742293E-2</v>
      </c>
      <c r="W8058">
        <v>0.1387207</v>
      </c>
      <c r="X8058">
        <v>0.98962419999999995</v>
      </c>
      <c r="Y8058">
        <v>0.1638956</v>
      </c>
      <c r="Z8058">
        <v>-6.4982969999999897E-3</v>
      </c>
      <c r="AA8058">
        <v>0.98645629999999995</v>
      </c>
      <c r="AB8058">
        <v>22</v>
      </c>
      <c r="AC8058">
        <v>17.836500000000001</v>
      </c>
      <c r="AD8058">
        <v>-1.122138934354</v>
      </c>
      <c r="AE8058">
        <v>-2.89590999999999</v>
      </c>
      <c r="AF8058">
        <v>2.9770597487075201</v>
      </c>
      <c r="AG8058">
        <v>-1.122138934354</v>
      </c>
      <c r="AH8058">
        <v>17.752753131053101</v>
      </c>
      <c r="AI8058">
        <v>93.567135678984101</v>
      </c>
      <c r="AJ8058">
        <v>80.480323538010396</v>
      </c>
      <c r="AK8058">
        <v>18.035584943868201</v>
      </c>
      <c r="AL8058">
        <v>82.026174425193304</v>
      </c>
      <c r="AM8058">
        <v>92.165624857771704</v>
      </c>
      <c r="AN8058">
        <v>0.99999998276195701</v>
      </c>
    </row>
    <row r="8059" spans="1:40" x14ac:dyDescent="0.25">
      <c r="A8059" t="str">
        <f>"20190303162112379"</f>
        <v>20190303162112379</v>
      </c>
      <c r="B8059" t="str">
        <f>"1551601272371124"</f>
        <v>1551601272371124</v>
      </c>
      <c r="C8059" t="s">
        <v>40</v>
      </c>
      <c r="D8059">
        <v>4.4699229999999996</v>
      </c>
      <c r="E8059">
        <v>0.55461349999999998</v>
      </c>
      <c r="F8059" t="s">
        <v>41</v>
      </c>
      <c r="G8059">
        <v>-348.22809999999998</v>
      </c>
      <c r="H8059" s="1">
        <v>-1.902356E-6</v>
      </c>
      <c r="I8059">
        <v>14.680400000000001</v>
      </c>
      <c r="J8059">
        <v>-365.82510000000002</v>
      </c>
      <c r="K8059">
        <v>1.1221270000000001</v>
      </c>
      <c r="L8059">
        <v>17.5473</v>
      </c>
      <c r="M8059">
        <v>0.99988330000000003</v>
      </c>
      <c r="N8059">
        <v>-1.4157100000000001E-2</v>
      </c>
      <c r="O8059">
        <v>5.7425990000000001E-3</v>
      </c>
      <c r="P8059">
        <v>0.99143740000000002</v>
      </c>
      <c r="Q8059">
        <v>0.123598</v>
      </c>
      <c r="R8059">
        <v>4.2136430000000002E-2</v>
      </c>
      <c r="S8059">
        <v>3.0720519999999998</v>
      </c>
      <c r="T8059">
        <v>-0.19403309999999999</v>
      </c>
      <c r="U8059">
        <v>-0.49545289999999997</v>
      </c>
      <c r="V8059">
        <v>-3.6578869999999999E-2</v>
      </c>
      <c r="W8059">
        <v>0.13758870000000001</v>
      </c>
      <c r="X8059">
        <v>0.98981379999999997</v>
      </c>
      <c r="Y8059">
        <v>0.16448789999999999</v>
      </c>
      <c r="Z8059">
        <v>-6.6088179999999998E-3</v>
      </c>
      <c r="AA8059">
        <v>0.98635700000000004</v>
      </c>
      <c r="AB8059">
        <v>22</v>
      </c>
      <c r="AC8059">
        <v>17.597000000000001</v>
      </c>
      <c r="AD8059">
        <v>-1.1221289023559999</v>
      </c>
      <c r="AE8059">
        <v>-2.8668999999999998</v>
      </c>
      <c r="AF8059">
        <v>2.9562051231136799</v>
      </c>
      <c r="AG8059">
        <v>-1.1221289023559999</v>
      </c>
      <c r="AH8059">
        <v>17.510879885138099</v>
      </c>
      <c r="AI8059">
        <v>93.615581417933498</v>
      </c>
      <c r="AJ8059">
        <v>80.417618993635301</v>
      </c>
      <c r="AK8059">
        <v>17.794078688012</v>
      </c>
      <c r="AL8059">
        <v>82.091661455382393</v>
      </c>
      <c r="AM8059">
        <v>92.116419846274894</v>
      </c>
      <c r="AN8059">
        <v>1.0000000113842999</v>
      </c>
    </row>
    <row r="8060" spans="1:40" x14ac:dyDescent="0.25">
      <c r="A8060" t="str">
        <f>"20190303162112392"</f>
        <v>20190303162112392</v>
      </c>
      <c r="B8060" t="str">
        <f>"1551601272380884"</f>
        <v>1551601272380884</v>
      </c>
      <c r="C8060" t="s">
        <v>40</v>
      </c>
      <c r="D8060">
        <v>4.39567</v>
      </c>
      <c r="E8060">
        <v>0.55622609999999995</v>
      </c>
      <c r="F8060" t="s">
        <v>41</v>
      </c>
      <c r="G8060">
        <v>-327.68180000000001</v>
      </c>
      <c r="H8060" s="1">
        <v>-2.4418169999999999E-6</v>
      </c>
      <c r="I8060">
        <v>13.725569999999999</v>
      </c>
      <c r="J8060">
        <v>-365.70389999999998</v>
      </c>
      <c r="K8060">
        <v>1.1221299999999901</v>
      </c>
      <c r="L8060">
        <v>17.54843</v>
      </c>
      <c r="M8060">
        <v>0.99988049999999995</v>
      </c>
      <c r="N8060">
        <v>-1.4185430000000001E-2</v>
      </c>
      <c r="O8060">
        <v>6.1348230000000002E-3</v>
      </c>
      <c r="P8060">
        <v>0.99150539999999998</v>
      </c>
      <c r="Q8060">
        <v>0.1231178</v>
      </c>
      <c r="R8060">
        <v>4.1940829999999998E-2</v>
      </c>
      <c r="S8060">
        <v>3.0501100000000001</v>
      </c>
      <c r="T8060">
        <v>-8.9730499999999894E-2</v>
      </c>
      <c r="U8060">
        <v>-0.30560300000000001</v>
      </c>
      <c r="V8060">
        <v>-3.5993520000000001E-2</v>
      </c>
      <c r="W8060">
        <v>0.13713810000000001</v>
      </c>
      <c r="X8060">
        <v>0.98989780000000005</v>
      </c>
      <c r="Y8060">
        <v>0.1057299</v>
      </c>
      <c r="Z8060">
        <v>-2.3962739999999999E-3</v>
      </c>
      <c r="AA8060">
        <v>0.99439200000000005</v>
      </c>
      <c r="AB8060">
        <v>22</v>
      </c>
      <c r="AC8060">
        <v>38.022099999999902</v>
      </c>
      <c r="AD8060">
        <v>-1.12213244181699</v>
      </c>
      <c r="AE8060">
        <v>-3.8228599999999902</v>
      </c>
      <c r="AF8060">
        <v>4.0525759352722801</v>
      </c>
      <c r="AG8060">
        <v>-1.12213244181699</v>
      </c>
      <c r="AH8060">
        <v>37.965192827118997</v>
      </c>
      <c r="AI8060">
        <v>91.6834331468486</v>
      </c>
      <c r="AJ8060">
        <v>83.907061918042899</v>
      </c>
      <c r="AK8060">
        <v>38.197361418407603</v>
      </c>
      <c r="AL8060">
        <v>82.117726100473106</v>
      </c>
      <c r="AM8060">
        <v>92.082405530299297</v>
      </c>
      <c r="AN8060">
        <v>1.0000000231992101</v>
      </c>
    </row>
    <row r="8061" spans="1:40" x14ac:dyDescent="0.25">
      <c r="A8061" t="str">
        <f>"20190303162112406"</f>
        <v>20190303162112406</v>
      </c>
      <c r="B8061" t="str">
        <f>"1551601272390644"</f>
        <v>1551601272390644</v>
      </c>
      <c r="C8061" t="s">
        <v>40</v>
      </c>
      <c r="D8061">
        <v>4.3731939999999998</v>
      </c>
      <c r="E8061">
        <v>0.55741200000000002</v>
      </c>
      <c r="F8061" t="s">
        <v>44</v>
      </c>
      <c r="G8061">
        <v>-317.46660000000003</v>
      </c>
      <c r="H8061">
        <v>-0.05</v>
      </c>
      <c r="I8061">
        <v>12.49823</v>
      </c>
      <c r="J8061">
        <v>-365.57080000000002</v>
      </c>
      <c r="K8061">
        <v>1.1221319999999999</v>
      </c>
      <c r="L8061">
        <v>17.54974</v>
      </c>
      <c r="M8061">
        <v>0.99987749999999997</v>
      </c>
      <c r="N8061">
        <v>-1.4214559999999999E-2</v>
      </c>
      <c r="O8061">
        <v>6.5660179999999999E-3</v>
      </c>
      <c r="P8061">
        <v>0.99157810000000002</v>
      </c>
      <c r="Q8061">
        <v>0.12268279999999999</v>
      </c>
      <c r="R8061">
        <v>4.1494259999999998E-2</v>
      </c>
      <c r="S8061">
        <v>3.0484010000000001</v>
      </c>
      <c r="T8061">
        <v>-7.4073910000000007E-2</v>
      </c>
      <c r="U8061">
        <v>-0.31915280000000001</v>
      </c>
      <c r="V8061">
        <v>-3.5118000000000003E-2</v>
      </c>
      <c r="W8061">
        <v>0.13673379999999999</v>
      </c>
      <c r="X8061">
        <v>0.98998520000000001</v>
      </c>
      <c r="Y8061">
        <v>0.1106031</v>
      </c>
      <c r="Z8061">
        <v>-2.194414E-3</v>
      </c>
      <c r="AA8061">
        <v>0.99386220000000003</v>
      </c>
      <c r="AB8061">
        <v>22</v>
      </c>
      <c r="AC8061">
        <v>48.104199999999899</v>
      </c>
      <c r="AD8061">
        <v>-1.172132</v>
      </c>
      <c r="AE8061">
        <v>-5.0515099999999897</v>
      </c>
      <c r="AF8061">
        <v>5.3641359173598104</v>
      </c>
      <c r="AG8061">
        <v>-1.172132</v>
      </c>
      <c r="AH8061">
        <v>48.041778573426903</v>
      </c>
      <c r="AI8061">
        <v>91.389007373990395</v>
      </c>
      <c r="AJ8061">
        <v>83.628990917489006</v>
      </c>
      <c r="AK8061">
        <v>48.354527565301602</v>
      </c>
      <c r="AL8061">
        <v>82.141111293117007</v>
      </c>
      <c r="AM8061">
        <v>92.031616067962602</v>
      </c>
      <c r="AN8061">
        <v>1.00000005110273</v>
      </c>
    </row>
    <row r="8062" spans="1:40" x14ac:dyDescent="0.25">
      <c r="A8062" t="str">
        <f>"20190303162112419"</f>
        <v>20190303162112419</v>
      </c>
      <c r="B8062" t="str">
        <f>"1551601272411140"</f>
        <v>1551601272411140</v>
      </c>
      <c r="C8062" t="s">
        <v>40</v>
      </c>
      <c r="D8062">
        <v>4.3892189999999998</v>
      </c>
      <c r="E8062">
        <v>0.55697109999999905</v>
      </c>
      <c r="F8062" t="s">
        <v>44</v>
      </c>
      <c r="G8062">
        <v>-309.32859999999999</v>
      </c>
      <c r="H8062">
        <v>-0.05</v>
      </c>
      <c r="I8062">
        <v>11.456250000000001</v>
      </c>
      <c r="J8062">
        <v>-365.42959999999999</v>
      </c>
      <c r="K8062">
        <v>1.122131</v>
      </c>
      <c r="L8062">
        <v>17.551179999999999</v>
      </c>
      <c r="M8062">
        <v>0.99987389999999998</v>
      </c>
      <c r="N8062">
        <v>-1.424132E-2</v>
      </c>
      <c r="O8062">
        <v>7.0234499999999997E-3</v>
      </c>
      <c r="P8062">
        <v>0.99164039999999998</v>
      </c>
      <c r="Q8062">
        <v>0.1224005</v>
      </c>
      <c r="R8062">
        <v>4.0833840000000003E-2</v>
      </c>
      <c r="S8062">
        <v>3.0471499999999998</v>
      </c>
      <c r="T8062">
        <v>-6.3505049999999993E-2</v>
      </c>
      <c r="U8062">
        <v>-0.33013920000000002</v>
      </c>
      <c r="V8062">
        <v>-3.400276E-2</v>
      </c>
      <c r="W8062">
        <v>0.13648060000000001</v>
      </c>
      <c r="X8062">
        <v>0.99005900000000002</v>
      </c>
      <c r="Y8062">
        <v>0.11465210000000001</v>
      </c>
      <c r="Z8062">
        <v>-2.0562990000000001E-3</v>
      </c>
      <c r="AA8062">
        <v>0.99340360000000005</v>
      </c>
      <c r="AB8062">
        <v>22</v>
      </c>
      <c r="AC8062">
        <v>56.100999999999999</v>
      </c>
      <c r="AD8062">
        <v>-1.172131</v>
      </c>
      <c r="AE8062">
        <v>-6.09492999999999</v>
      </c>
      <c r="AF8062">
        <v>6.4860438744872297</v>
      </c>
      <c r="AG8062">
        <v>-1.172131</v>
      </c>
      <c r="AH8062">
        <v>56.032629802744097</v>
      </c>
      <c r="AI8062">
        <v>91.190433140510095</v>
      </c>
      <c r="AJ8062">
        <v>83.397126883349898</v>
      </c>
      <c r="AK8062">
        <v>56.4189530107951</v>
      </c>
      <c r="AL8062">
        <v>82.155755332240105</v>
      </c>
      <c r="AM8062">
        <v>91.967003172381993</v>
      </c>
      <c r="AN8062">
        <v>0.99999998267248802</v>
      </c>
    </row>
    <row r="8063" spans="1:40" x14ac:dyDescent="0.25">
      <c r="A8063" t="str">
        <f>"20190303162112438"</f>
        <v>20190303162112438</v>
      </c>
      <c r="B8063" t="str">
        <f>"1551601272430660"</f>
        <v>1551601272430660</v>
      </c>
      <c r="C8063" t="s">
        <v>40</v>
      </c>
      <c r="D8063">
        <v>4.375896</v>
      </c>
      <c r="E8063">
        <v>0.55684789999999995</v>
      </c>
      <c r="F8063" t="s">
        <v>41</v>
      </c>
      <c r="G8063">
        <v>-320.4633</v>
      </c>
      <c r="H8063" s="1">
        <v>-5.7145059999999998E-6</v>
      </c>
      <c r="I8063">
        <v>12.704980000000001</v>
      </c>
      <c r="J8063">
        <v>-365.25740000000002</v>
      </c>
      <c r="K8063">
        <v>1.1221239999999999</v>
      </c>
      <c r="L8063">
        <v>17.553039999999999</v>
      </c>
      <c r="M8063">
        <v>0.99986949999999997</v>
      </c>
      <c r="N8063">
        <v>-1.4270690000000001E-2</v>
      </c>
      <c r="O8063">
        <v>7.5813479999999999E-3</v>
      </c>
      <c r="P8063">
        <v>0.99186430000000003</v>
      </c>
      <c r="Q8063">
        <v>0.121145699999999</v>
      </c>
      <c r="R8063">
        <v>3.9105559999999998E-2</v>
      </c>
      <c r="S8063">
        <v>3.0482480000000001</v>
      </c>
      <c r="T8063">
        <v>-7.6069239999999996E-2</v>
      </c>
      <c r="U8063">
        <v>-0.32852170000000003</v>
      </c>
      <c r="V8063">
        <v>-3.1717879999999997E-2</v>
      </c>
      <c r="W8063">
        <v>0.135260299999999</v>
      </c>
      <c r="X8063">
        <v>0.99030229999999997</v>
      </c>
      <c r="Y8063">
        <v>0.1146327</v>
      </c>
      <c r="Z8063">
        <v>-2.3272990000000001E-3</v>
      </c>
      <c r="AA8063">
        <v>0.99340519999999999</v>
      </c>
      <c r="AB8063">
        <v>22</v>
      </c>
      <c r="AC8063">
        <v>44.7941</v>
      </c>
      <c r="AD8063">
        <v>-1.1221297145060001</v>
      </c>
      <c r="AE8063">
        <v>-4.8480599999999896</v>
      </c>
      <c r="AF8063">
        <v>5.1843391300004704</v>
      </c>
      <c r="AG8063">
        <v>-1.1221297145060001</v>
      </c>
      <c r="AH8063">
        <v>44.728309819939298</v>
      </c>
      <c r="AI8063">
        <v>91.427563651509601</v>
      </c>
      <c r="AJ8063">
        <v>83.388501053686198</v>
      </c>
      <c r="AK8063">
        <v>45.041738939116399</v>
      </c>
      <c r="AL8063">
        <v>82.226328030076303</v>
      </c>
      <c r="AM8063">
        <v>91.834469768745095</v>
      </c>
      <c r="AN8063">
        <v>1.00000000902653</v>
      </c>
    </row>
    <row r="8064" spans="1:40" x14ac:dyDescent="0.25">
      <c r="A8064" t="str">
        <f>"20190303162112452"</f>
        <v>20190303162112452</v>
      </c>
      <c r="B8064" t="str">
        <f>"1551601272441396"</f>
        <v>1551601272441396</v>
      </c>
      <c r="C8064" t="s">
        <v>40</v>
      </c>
      <c r="D8064">
        <v>4.4057230000000001</v>
      </c>
      <c r="E8064">
        <v>0.55694440000000001</v>
      </c>
      <c r="F8064" t="s">
        <v>41</v>
      </c>
      <c r="G8064">
        <v>-322.31939999999997</v>
      </c>
      <c r="H8064" s="1">
        <v>-4.8093979999999996E-6</v>
      </c>
      <c r="I8064">
        <v>12.861079999999999</v>
      </c>
      <c r="J8064">
        <v>-365.11970000000002</v>
      </c>
      <c r="K8064">
        <v>1.1221209999999999</v>
      </c>
      <c r="L8064">
        <v>17.554600000000001</v>
      </c>
      <c r="M8064">
        <v>0.99986569999999997</v>
      </c>
      <c r="N8064">
        <v>-1.4291659999999999E-2</v>
      </c>
      <c r="O8064">
        <v>8.0268279999999997E-3</v>
      </c>
      <c r="P8064">
        <v>0.99197440000000003</v>
      </c>
      <c r="Q8064">
        <v>0.12054769999999899</v>
      </c>
      <c r="R8064">
        <v>3.8150990000000003E-2</v>
      </c>
      <c r="S8064">
        <v>3.047485</v>
      </c>
      <c r="T8064">
        <v>-7.9642060000000001E-2</v>
      </c>
      <c r="U8064">
        <v>-0.33300780000000002</v>
      </c>
      <c r="V8064">
        <v>-3.0320130000000001E-2</v>
      </c>
      <c r="W8064">
        <v>0.13468629999999901</v>
      </c>
      <c r="X8064">
        <v>0.99042430000000004</v>
      </c>
      <c r="Y8064">
        <v>0.1165414</v>
      </c>
      <c r="Z8064">
        <v>-2.448343E-3</v>
      </c>
      <c r="AA8064">
        <v>0.99318280000000003</v>
      </c>
      <c r="AB8064">
        <v>22</v>
      </c>
      <c r="AC8064">
        <v>42.8003</v>
      </c>
      <c r="AD8064">
        <v>-1.122125809398</v>
      </c>
      <c r="AE8064">
        <v>-4.6935200000000004</v>
      </c>
      <c r="AF8064">
        <v>5.0335357050079299</v>
      </c>
      <c r="AG8064">
        <v>-1.122125809398</v>
      </c>
      <c r="AH8064">
        <v>42.732219215486303</v>
      </c>
      <c r="AI8064">
        <v>91.493888154062503</v>
      </c>
      <c r="AJ8064">
        <v>83.2819429064388</v>
      </c>
      <c r="AK8064">
        <v>43.0422839438857</v>
      </c>
      <c r="AL8064">
        <v>82.259519479527697</v>
      </c>
      <c r="AM8064">
        <v>91.753463740781399</v>
      </c>
      <c r="AN8064">
        <v>1.00000000186069</v>
      </c>
    </row>
    <row r="8065" spans="1:40" x14ac:dyDescent="0.25">
      <c r="A8065" t="str">
        <f>"20190303162112469"</f>
        <v>20190303162112469</v>
      </c>
      <c r="B8065" t="str">
        <f>"1551601272460915"</f>
        <v>1551601272460915</v>
      </c>
      <c r="C8065" t="s">
        <v>40</v>
      </c>
      <c r="D8065">
        <v>4.4132689999999997</v>
      </c>
      <c r="E8065">
        <v>0.55682860000000001</v>
      </c>
      <c r="F8065" t="s">
        <v>41</v>
      </c>
      <c r="G8065">
        <v>-322.56040000000002</v>
      </c>
      <c r="H8065" s="1">
        <v>-4.6972919999999997E-6</v>
      </c>
      <c r="I8065">
        <v>12.8508</v>
      </c>
      <c r="J8065">
        <v>-364.9434</v>
      </c>
      <c r="K8065">
        <v>1.1221159999999999</v>
      </c>
      <c r="L8065">
        <v>17.556639999999899</v>
      </c>
      <c r="M8065">
        <v>0.99986059999999999</v>
      </c>
      <c r="N8065">
        <v>-1.4315410000000001E-2</v>
      </c>
      <c r="O8065">
        <v>8.5947469999999998E-3</v>
      </c>
      <c r="P8065">
        <v>0.9921778</v>
      </c>
      <c r="Q8065">
        <v>0.119621699999999</v>
      </c>
      <c r="R8065">
        <v>3.5696119999999998E-2</v>
      </c>
      <c r="S8065">
        <v>3.046967</v>
      </c>
      <c r="T8065">
        <v>-8.0336930000000001E-2</v>
      </c>
      <c r="U8065">
        <v>-0.33676149999999999</v>
      </c>
      <c r="V8065">
        <v>-2.7297490000000001E-2</v>
      </c>
      <c r="W8065">
        <v>0.13378989999999999</v>
      </c>
      <c r="X8065">
        <v>0.99063369999999995</v>
      </c>
      <c r="Y8065">
        <v>0.11833059999999999</v>
      </c>
      <c r="Z8065">
        <v>-2.5080380000000002E-3</v>
      </c>
      <c r="AA8065">
        <v>0.9929711</v>
      </c>
      <c r="AB8065">
        <v>22</v>
      </c>
      <c r="AC8065">
        <v>42.382999999999903</v>
      </c>
      <c r="AD8065">
        <v>-1.1221206972919999</v>
      </c>
      <c r="AE8065">
        <v>-4.7058399999999896</v>
      </c>
      <c r="AF8065">
        <v>5.0664664786245401</v>
      </c>
      <c r="AG8065">
        <v>-1.1221206972919999</v>
      </c>
      <c r="AH8065">
        <v>42.311686801839002</v>
      </c>
      <c r="AI8065">
        <v>91.508377906324895</v>
      </c>
      <c r="AJ8065">
        <v>83.171825561711799</v>
      </c>
      <c r="AK8065">
        <v>42.628711890640503</v>
      </c>
      <c r="AL8065">
        <v>82.311348571862595</v>
      </c>
      <c r="AM8065">
        <v>91.578419235076396</v>
      </c>
      <c r="AN8065">
        <v>1.000000008939</v>
      </c>
    </row>
    <row r="8066" spans="1:40" x14ac:dyDescent="0.25">
      <c r="A8066" t="str">
        <f>"20190303162112483"</f>
        <v>20190303162112483</v>
      </c>
      <c r="B8066" t="str">
        <f>"1551601272470676"</f>
        <v>1551601272470676</v>
      </c>
      <c r="C8066" t="s">
        <v>40</v>
      </c>
      <c r="D8066">
        <v>4.4166980000000002</v>
      </c>
      <c r="E8066">
        <v>0.55688199999999999</v>
      </c>
      <c r="F8066" t="s">
        <v>41</v>
      </c>
      <c r="G8066">
        <v>-323.923</v>
      </c>
      <c r="H8066" s="1">
        <v>-4.0965340000000002E-6</v>
      </c>
      <c r="I8066">
        <v>12.931570000000001</v>
      </c>
      <c r="J8066">
        <v>-364.81209999999999</v>
      </c>
      <c r="K8066">
        <v>1.122115</v>
      </c>
      <c r="L8066">
        <v>17.558260000000001</v>
      </c>
      <c r="M8066">
        <v>0.99985679999999999</v>
      </c>
      <c r="N8066">
        <v>-1.4331119999999999E-2</v>
      </c>
      <c r="O8066">
        <v>9.0143059999999997E-3</v>
      </c>
      <c r="P8066">
        <v>0.99231670000000005</v>
      </c>
      <c r="Q8066">
        <v>0.11892510000000001</v>
      </c>
      <c r="R8066">
        <v>3.4124509999999997E-2</v>
      </c>
      <c r="S8066">
        <v>3.0460509999999998</v>
      </c>
      <c r="T8066">
        <v>-8.3325270000000007E-2</v>
      </c>
      <c r="U8066">
        <v>-0.34344479999999999</v>
      </c>
      <c r="V8066">
        <v>-2.530731E-2</v>
      </c>
      <c r="W8066">
        <v>0.13311319999999999</v>
      </c>
      <c r="X8066">
        <v>0.99077769999999998</v>
      </c>
      <c r="Y8066">
        <v>0.1209257</v>
      </c>
      <c r="Z8066">
        <v>-2.6350050000000002E-3</v>
      </c>
      <c r="AA8066">
        <v>0.99265809999999999</v>
      </c>
      <c r="AB8066">
        <v>22</v>
      </c>
      <c r="AC8066">
        <v>40.8890999999999</v>
      </c>
      <c r="AD8066">
        <v>-1.122119096534</v>
      </c>
      <c r="AE8066">
        <v>-4.62669</v>
      </c>
      <c r="AF8066">
        <v>4.99141504694862</v>
      </c>
      <c r="AG8066">
        <v>-1.122119096534</v>
      </c>
      <c r="AH8066">
        <v>40.815377476910299</v>
      </c>
      <c r="AI8066">
        <v>91.563171054453306</v>
      </c>
      <c r="AJ8066">
        <v>83.027775250369004</v>
      </c>
      <c r="AK8066">
        <v>41.1347591948754</v>
      </c>
      <c r="AL8066">
        <v>82.350470624236195</v>
      </c>
      <c r="AM8066">
        <v>91.463180723120303</v>
      </c>
      <c r="AN8066">
        <v>1.0000000173854799</v>
      </c>
    </row>
    <row r="8067" spans="1:40" x14ac:dyDescent="0.25">
      <c r="A8067" t="str">
        <f>"20190303162112497"</f>
        <v>20190303162112497</v>
      </c>
      <c r="B8067" t="str">
        <f>"1551601272491172"</f>
        <v>1551601272491172</v>
      </c>
      <c r="C8067" t="s">
        <v>40</v>
      </c>
      <c r="D8067">
        <v>4.3545939999999996</v>
      </c>
      <c r="E8067">
        <v>0.55674899999999905</v>
      </c>
      <c r="F8067" t="s">
        <v>41</v>
      </c>
      <c r="G8067">
        <v>-324.44099999999997</v>
      </c>
      <c r="H8067" s="1">
        <v>-3.896904E-6</v>
      </c>
      <c r="I8067">
        <v>12.93418</v>
      </c>
      <c r="J8067">
        <v>-364.68180000000001</v>
      </c>
      <c r="K8067">
        <v>1.1221110000000001</v>
      </c>
      <c r="L8067">
        <v>17.559909999999999</v>
      </c>
      <c r="M8067">
        <v>0.99985270000000004</v>
      </c>
      <c r="N8067">
        <v>-1.434473E-2</v>
      </c>
      <c r="O8067">
        <v>9.4261020000000004E-3</v>
      </c>
      <c r="P8067">
        <v>0.99242649999999999</v>
      </c>
      <c r="Q8067">
        <v>0.1184432</v>
      </c>
      <c r="R8067">
        <v>3.2571669999999997E-2</v>
      </c>
      <c r="S8067">
        <v>3.0453800000000002</v>
      </c>
      <c r="T8067">
        <v>-8.4646579999999999E-2</v>
      </c>
      <c r="U8067">
        <v>-0.34881590000000001</v>
      </c>
      <c r="V8067">
        <v>-2.3342910000000001E-2</v>
      </c>
      <c r="W8067">
        <v>0.13264819999999999</v>
      </c>
      <c r="X8067">
        <v>0.99088830000000006</v>
      </c>
      <c r="Y8067">
        <v>0.1230839</v>
      </c>
      <c r="Z8067">
        <v>-2.717021E-3</v>
      </c>
      <c r="AA8067">
        <v>0.99239250000000001</v>
      </c>
      <c r="AB8067">
        <v>22</v>
      </c>
      <c r="AC8067">
        <v>40.2408</v>
      </c>
      <c r="AD8067">
        <v>-1.122114896904</v>
      </c>
      <c r="AE8067">
        <v>-4.6257299999999999</v>
      </c>
      <c r="AF8067">
        <v>5.0010393991445898</v>
      </c>
      <c r="AG8067">
        <v>-1.122114896904</v>
      </c>
      <c r="AH8067">
        <v>40.164581161443202</v>
      </c>
      <c r="AI8067">
        <v>91.588052083382607</v>
      </c>
      <c r="AJ8067">
        <v>82.902421268151201</v>
      </c>
      <c r="AK8067">
        <v>40.4902842270563</v>
      </c>
      <c r="AL8067">
        <v>82.377351635162697</v>
      </c>
      <c r="AM8067">
        <v>91.3494991282722</v>
      </c>
      <c r="AN8067">
        <v>1.00000002974369</v>
      </c>
    </row>
    <row r="8068" spans="1:40" x14ac:dyDescent="0.25">
      <c r="A8068" t="str">
        <f>"20190303162112509"</f>
        <v>20190303162112509</v>
      </c>
      <c r="B8068" t="str">
        <f>"1551601272500932"</f>
        <v>1551601272500932</v>
      </c>
      <c r="C8068" t="s">
        <v>40</v>
      </c>
      <c r="D8068">
        <v>4.4201410000000001</v>
      </c>
      <c r="E8068">
        <v>0.55673879999999998</v>
      </c>
      <c r="F8068" t="s">
        <v>41</v>
      </c>
      <c r="G8068">
        <v>-323.60919999999999</v>
      </c>
      <c r="H8068" s="1">
        <v>-4.2520530000000001E-6</v>
      </c>
      <c r="I8068">
        <v>12.79998</v>
      </c>
      <c r="J8068">
        <v>-364.55430000000001</v>
      </c>
      <c r="K8068">
        <v>1.122106</v>
      </c>
      <c r="L8068">
        <v>17.56155</v>
      </c>
      <c r="M8068">
        <v>0.99984879999999998</v>
      </c>
      <c r="N8068">
        <v>-1.435701E-2</v>
      </c>
      <c r="O8068">
        <v>9.8234559999999995E-3</v>
      </c>
      <c r="P8068">
        <v>0.99255479999999996</v>
      </c>
      <c r="Q8068">
        <v>0.1178998</v>
      </c>
      <c r="R8068">
        <v>3.0574960000000002E-2</v>
      </c>
      <c r="S8068">
        <v>3.0443730000000002</v>
      </c>
      <c r="T8068">
        <v>-8.3173040000000004E-2</v>
      </c>
      <c r="U8068">
        <v>-0.35281370000000001</v>
      </c>
      <c r="V8068">
        <v>-2.094737E-2</v>
      </c>
      <c r="W8068">
        <v>0.13212209999999999</v>
      </c>
      <c r="X8068">
        <v>0.99101209999999995</v>
      </c>
      <c r="Y8068">
        <v>0.1248023</v>
      </c>
      <c r="Z8068">
        <v>-2.724925E-3</v>
      </c>
      <c r="AA8068">
        <v>0.99217789999999995</v>
      </c>
      <c r="AB8068">
        <v>22</v>
      </c>
      <c r="AC8068">
        <v>40.945099999999996</v>
      </c>
      <c r="AD8068">
        <v>-1.122110252053</v>
      </c>
      <c r="AE8068">
        <v>-4.7615699999999999</v>
      </c>
      <c r="AF8068">
        <v>5.1597804696009399</v>
      </c>
      <c r="AG8068">
        <v>-1.122110252053</v>
      </c>
      <c r="AH8068">
        <v>40.866061248033297</v>
      </c>
      <c r="AI8068">
        <v>91.560463343387298</v>
      </c>
      <c r="AJ8068">
        <v>82.803869106816506</v>
      </c>
      <c r="AK8068">
        <v>41.205793619832697</v>
      </c>
      <c r="AL8068">
        <v>82.407762475300402</v>
      </c>
      <c r="AM8068">
        <v>91.2109006505503</v>
      </c>
      <c r="AN8068">
        <v>1.00000001198236</v>
      </c>
    </row>
    <row r="8069" spans="1:40" x14ac:dyDescent="0.25">
      <c r="A8069" t="str">
        <f>"20190303162112526"</f>
        <v>20190303162112526</v>
      </c>
      <c r="B8069" t="str">
        <f>"1551601272520452"</f>
        <v>1551601272520452</v>
      </c>
      <c r="C8069" t="s">
        <v>40</v>
      </c>
      <c r="D8069">
        <v>4.7117950000000004</v>
      </c>
      <c r="E8069">
        <v>0.55714849999999905</v>
      </c>
      <c r="F8069" t="s">
        <v>41</v>
      </c>
      <c r="G8069">
        <v>-323.52050000000003</v>
      </c>
      <c r="H8069" s="1">
        <v>-4.307837E-6</v>
      </c>
      <c r="I8069">
        <v>12.718299999999999</v>
      </c>
      <c r="J8069">
        <v>-364.39350000000002</v>
      </c>
      <c r="K8069">
        <v>1.122096</v>
      </c>
      <c r="L8069">
        <v>17.563690000000001</v>
      </c>
      <c r="M8069">
        <v>0.99984360000000005</v>
      </c>
      <c r="N8069">
        <v>-1.437068E-2</v>
      </c>
      <c r="O8069">
        <v>1.031262E-2</v>
      </c>
      <c r="P8069">
        <v>0.9927513</v>
      </c>
      <c r="Q8069">
        <v>0.1175139</v>
      </c>
      <c r="R8069">
        <v>2.5211589999999999E-2</v>
      </c>
      <c r="S8069">
        <v>3.0434570000000001</v>
      </c>
      <c r="T8069">
        <v>-8.3226439999999999E-2</v>
      </c>
      <c r="U8069">
        <v>-0.3592224</v>
      </c>
      <c r="V8069">
        <v>-1.5092390000000001E-2</v>
      </c>
      <c r="W8069">
        <v>0.13175770000000001</v>
      </c>
      <c r="X8069">
        <v>0.99116709999999997</v>
      </c>
      <c r="Y8069">
        <v>0.12738089999999999</v>
      </c>
      <c r="Z8069">
        <v>-2.7874419999999998E-3</v>
      </c>
      <c r="AA8069">
        <v>0.99185000000000001</v>
      </c>
      <c r="AB8069">
        <v>22</v>
      </c>
      <c r="AC8069">
        <v>40.872999999999898</v>
      </c>
      <c r="AD8069">
        <v>-1.122100307837</v>
      </c>
      <c r="AE8069">
        <v>-4.8453900000000001</v>
      </c>
      <c r="AF8069">
        <v>5.2627720087834904</v>
      </c>
      <c r="AG8069">
        <v>-1.122100307837</v>
      </c>
      <c r="AH8069">
        <v>40.7905350604482</v>
      </c>
      <c r="AI8069">
        <v>91.562796068107602</v>
      </c>
      <c r="AJ8069">
        <v>82.648343010068203</v>
      </c>
      <c r="AK8069">
        <v>41.143937935435098</v>
      </c>
      <c r="AL8069">
        <v>82.428825452012404</v>
      </c>
      <c r="AM8069">
        <v>90.872368975411604</v>
      </c>
      <c r="AN8069">
        <v>1.0000000459338001</v>
      </c>
    </row>
    <row r="8070" spans="1:40" x14ac:dyDescent="0.25">
      <c r="A8070" t="str">
        <f>"20190303162112539"</f>
        <v>20190303162112539</v>
      </c>
      <c r="B8070" t="str">
        <f>"1551601272530685"</f>
        <v>1551601272530685</v>
      </c>
      <c r="C8070" t="s">
        <v>40</v>
      </c>
      <c r="D8070">
        <v>4.766051</v>
      </c>
      <c r="E8070">
        <v>0.57971549999999905</v>
      </c>
      <c r="F8070" t="s">
        <v>41</v>
      </c>
      <c r="G8070">
        <v>-321.58019999999999</v>
      </c>
      <c r="H8070" s="1">
        <v>-5.2733540000000002E-6</v>
      </c>
      <c r="I8070">
        <v>12.21547</v>
      </c>
      <c r="J8070">
        <v>-364.262</v>
      </c>
      <c r="K8070">
        <v>1.1220840000000001</v>
      </c>
      <c r="L8070">
        <v>17.56549</v>
      </c>
      <c r="M8070">
        <v>0.99983929999999999</v>
      </c>
      <c r="N8070">
        <v>-1.438015E-2</v>
      </c>
      <c r="O8070">
        <v>1.069664E-2</v>
      </c>
      <c r="P8070">
        <v>0.99287270000000005</v>
      </c>
      <c r="Q8070">
        <v>0.117143899999999</v>
      </c>
      <c r="R8070">
        <v>2.193587E-2</v>
      </c>
      <c r="S8070">
        <v>3.0410159999999999</v>
      </c>
      <c r="T8070">
        <v>-7.9702499999999996E-2</v>
      </c>
      <c r="U8070">
        <v>-0.37988280000000002</v>
      </c>
      <c r="V8070">
        <v>-1.142905E-2</v>
      </c>
      <c r="W8070">
        <v>0.1314022</v>
      </c>
      <c r="X8070">
        <v>0.99126329999999996</v>
      </c>
      <c r="Y8070">
        <v>0.1344929</v>
      </c>
      <c r="Z8070">
        <v>-2.8524790000000002E-3</v>
      </c>
      <c r="AA8070">
        <v>0.99091050000000003</v>
      </c>
      <c r="AB8070">
        <v>22</v>
      </c>
      <c r="AC8070">
        <v>42.681799999999903</v>
      </c>
      <c r="AD8070">
        <v>-1.122089273354</v>
      </c>
      <c r="AE8070">
        <v>-5.3500199999999998</v>
      </c>
      <c r="AF8070">
        <v>5.8023647146130797</v>
      </c>
      <c r="AG8070">
        <v>-1.122089273354</v>
      </c>
      <c r="AH8070">
        <v>42.593141797734098</v>
      </c>
      <c r="AI8070">
        <v>91.495267446751896</v>
      </c>
      <c r="AJ8070">
        <v>82.242481873582705</v>
      </c>
      <c r="AK8070">
        <v>43.001188923338397</v>
      </c>
      <c r="AL8070">
        <v>82.449372745740206</v>
      </c>
      <c r="AM8070">
        <v>90.660578591053707</v>
      </c>
      <c r="AN8070">
        <v>1.00000004563781</v>
      </c>
    </row>
    <row r="8071" spans="1:40" x14ac:dyDescent="0.25">
      <c r="A8071" t="str">
        <f>"20190303162112552"</f>
        <v>20190303162112552</v>
      </c>
      <c r="B8071" t="str">
        <f>"1551601272540619"</f>
        <v>1551601272540619</v>
      </c>
      <c r="C8071" t="s">
        <v>40</v>
      </c>
      <c r="D8071">
        <v>4.2582449999999996</v>
      </c>
      <c r="E8071">
        <v>0.57971549999999905</v>
      </c>
      <c r="F8071" t="s">
        <v>41</v>
      </c>
      <c r="G8071">
        <v>-340.05220000000003</v>
      </c>
      <c r="H8071" s="1">
        <v>-5.4172240000000002E-6</v>
      </c>
      <c r="I8071">
        <v>13.035360000000001</v>
      </c>
      <c r="J8071">
        <v>-364.14460000000003</v>
      </c>
      <c r="K8071">
        <v>1.122069</v>
      </c>
      <c r="L8071">
        <v>17.56711</v>
      </c>
      <c r="M8071">
        <v>0.99983580000000005</v>
      </c>
      <c r="N8071">
        <v>-1.4387809999999999E-2</v>
      </c>
      <c r="O8071">
        <v>1.1029529999999999E-2</v>
      </c>
      <c r="P8071">
        <v>0.99297639999999998</v>
      </c>
      <c r="Q8071">
        <v>0.11689769999999899</v>
      </c>
      <c r="R8071">
        <v>1.8258380000000001E-2</v>
      </c>
      <c r="S8071">
        <v>3.0508419999999998</v>
      </c>
      <c r="T8071">
        <v>-0.141402</v>
      </c>
      <c r="U8071">
        <v>-0.57086179999999997</v>
      </c>
      <c r="V8071">
        <v>-7.4157469999999899E-3</v>
      </c>
      <c r="W8071">
        <v>0.13116820000000001</v>
      </c>
      <c r="X8071">
        <v>0.9913324</v>
      </c>
      <c r="Y8071">
        <v>0.19448360000000001</v>
      </c>
      <c r="Z8071">
        <v>-6.2274899999999996E-3</v>
      </c>
      <c r="AA8071">
        <v>0.98088600000000004</v>
      </c>
      <c r="AB8071">
        <v>22</v>
      </c>
      <c r="AC8071">
        <v>24.092400000000001</v>
      </c>
      <c r="AD8071">
        <v>-1.122074417224</v>
      </c>
      <c r="AE8071">
        <v>-4.53174999999999</v>
      </c>
      <c r="AF8071">
        <v>4.7872004485944197</v>
      </c>
      <c r="AG8071">
        <v>-1.122074417224</v>
      </c>
      <c r="AH8071">
        <v>23.990685625081699</v>
      </c>
      <c r="AI8071">
        <v>92.626145117171404</v>
      </c>
      <c r="AJ8071">
        <v>78.7151846577394</v>
      </c>
      <c r="AK8071">
        <v>24.4893718966884</v>
      </c>
      <c r="AL8071">
        <v>82.462896734509798</v>
      </c>
      <c r="AM8071">
        <v>90.428597995776101</v>
      </c>
      <c r="AN8071">
        <v>1.00000000864228</v>
      </c>
    </row>
    <row r="8072" spans="1:40" x14ac:dyDescent="0.25">
      <c r="A8072" t="str">
        <f>"20190303162112564"</f>
        <v>20190303162112564</v>
      </c>
      <c r="B8072" t="str">
        <f>"1551601272551354"</f>
        <v>1551601272551354</v>
      </c>
      <c r="C8072" t="s">
        <v>40</v>
      </c>
      <c r="D8072">
        <v>4.2446250000000001</v>
      </c>
      <c r="E8072">
        <v>0.66415230000000003</v>
      </c>
      <c r="F8072" t="s">
        <v>41</v>
      </c>
      <c r="G8072">
        <v>-339.86610000000002</v>
      </c>
      <c r="H8072" s="1">
        <v>-1.8123480000000001E-6</v>
      </c>
      <c r="I8072">
        <v>12.9237</v>
      </c>
      <c r="J8072">
        <v>-364.02269999999999</v>
      </c>
      <c r="K8072">
        <v>1.1220509999999999</v>
      </c>
      <c r="L8072">
        <v>17.568819999999999</v>
      </c>
      <c r="M8072">
        <v>0.99983180000000005</v>
      </c>
      <c r="N8072">
        <v>-1.4395120000000001E-2</v>
      </c>
      <c r="O8072">
        <v>1.1367149999999999E-2</v>
      </c>
      <c r="P8072">
        <v>0.99311360000000004</v>
      </c>
      <c r="Q8072">
        <v>0.1162398</v>
      </c>
      <c r="R8072">
        <v>1.462051E-2</v>
      </c>
      <c r="S8072">
        <v>3.0485229999999999</v>
      </c>
      <c r="T8072">
        <v>-0.1408925</v>
      </c>
      <c r="U8072">
        <v>-0.58303830000000001</v>
      </c>
      <c r="V8072">
        <v>-3.435825E-3</v>
      </c>
      <c r="W8072">
        <v>0.13052239999999901</v>
      </c>
      <c r="X8072">
        <v>0.99143939999999997</v>
      </c>
      <c r="Y8072">
        <v>0.19872590000000001</v>
      </c>
      <c r="Z8072">
        <v>-6.3512760000000003E-3</v>
      </c>
      <c r="AA8072">
        <v>0.98003450000000003</v>
      </c>
      <c r="AB8072">
        <v>22</v>
      </c>
      <c r="AC8072">
        <v>24.156599999999901</v>
      </c>
      <c r="AD8072">
        <v>-1.122052812348</v>
      </c>
      <c r="AE8072">
        <v>-4.6451200000000004</v>
      </c>
      <c r="AF8072">
        <v>4.9092258886213598</v>
      </c>
      <c r="AG8072">
        <v>-1.122052812348</v>
      </c>
      <c r="AH8072">
        <v>24.052189010074699</v>
      </c>
      <c r="AI8072">
        <v>92.617075194370699</v>
      </c>
      <c r="AJ8072">
        <v>78.4639708846464</v>
      </c>
      <c r="AK8072">
        <v>24.573711512825401</v>
      </c>
      <c r="AL8072">
        <v>82.500219098979599</v>
      </c>
      <c r="AM8072">
        <v>90.198557252804306</v>
      </c>
      <c r="AN8072">
        <v>0.99999999283377505</v>
      </c>
    </row>
    <row r="8073" spans="1:40" x14ac:dyDescent="0.25">
      <c r="A8073" t="str">
        <f>"20190303162112580"</f>
        <v>20190303162112580</v>
      </c>
      <c r="B8073" t="str">
        <f>"1551601272570874"</f>
        <v>1551601272570874</v>
      </c>
      <c r="C8073" t="s">
        <v>40</v>
      </c>
      <c r="D8073">
        <v>4.6384629999999998</v>
      </c>
      <c r="E8073">
        <v>0.65389980000000003</v>
      </c>
      <c r="F8073" t="s">
        <v>41</v>
      </c>
      <c r="G8073">
        <v>-341.09339999999997</v>
      </c>
      <c r="H8073">
        <v>7.9986580000000002E-2</v>
      </c>
      <c r="I8073">
        <v>8.049607</v>
      </c>
      <c r="J8073">
        <v>-363.86509999999998</v>
      </c>
      <c r="K8073">
        <v>1.1220250000000001</v>
      </c>
      <c r="L8073">
        <v>17.571079999999998</v>
      </c>
      <c r="M8073">
        <v>0.99982709999999997</v>
      </c>
      <c r="N8073">
        <v>-1.440293E-2</v>
      </c>
      <c r="O8073">
        <v>1.177275E-2</v>
      </c>
      <c r="P8073">
        <v>0.9934267</v>
      </c>
      <c r="Q8073">
        <v>0.11430360000000001</v>
      </c>
      <c r="R8073">
        <v>6.166581E-3</v>
      </c>
      <c r="S8073">
        <v>3.0557249999999998</v>
      </c>
      <c r="T8073">
        <v>-0.13887289999999999</v>
      </c>
      <c r="U8073">
        <v>-1.2685850000000001</v>
      </c>
      <c r="V8073">
        <v>5.4340169999999898E-3</v>
      </c>
      <c r="W8073">
        <v>0.1286042</v>
      </c>
      <c r="X8073">
        <v>0.99168109999999998</v>
      </c>
      <c r="Y8073">
        <v>0.39379189999999997</v>
      </c>
      <c r="Z8073">
        <v>-1.1890390000000001E-2</v>
      </c>
      <c r="AA8073">
        <v>0.91912269999999896</v>
      </c>
      <c r="AB8073">
        <v>22</v>
      </c>
      <c r="AC8073">
        <v>22.771699999999999</v>
      </c>
      <c r="AD8073">
        <v>-1.0420384199999999</v>
      </c>
      <c r="AE8073">
        <v>-9.5214730000000003</v>
      </c>
      <c r="AF8073">
        <v>9.7715097346933604</v>
      </c>
      <c r="AG8073">
        <v>-1.0420384199999999</v>
      </c>
      <c r="AH8073">
        <v>22.617702596707201</v>
      </c>
      <c r="AI8073">
        <v>92.421798105103306</v>
      </c>
      <c r="AJ8073">
        <v>66.634241834437901</v>
      </c>
      <c r="AK8073">
        <v>24.660265962009799</v>
      </c>
      <c r="AL8073">
        <v>82.611058079829505</v>
      </c>
      <c r="AM8073">
        <v>89.686045116928497</v>
      </c>
      <c r="AN8073">
        <v>0.99999998644780297</v>
      </c>
    </row>
    <row r="8074" spans="1:40" x14ac:dyDescent="0.25">
      <c r="A8074" t="str">
        <f>"20190303162112594"</f>
        <v>20190303162112594</v>
      </c>
      <c r="B8074" t="str">
        <f>"1551601272580635"</f>
        <v>1551601272580635</v>
      </c>
      <c r="C8074" t="s">
        <v>40</v>
      </c>
      <c r="D8074">
        <v>4.3431860000000002</v>
      </c>
      <c r="E8074">
        <v>0.66026280000000004</v>
      </c>
      <c r="F8074" t="s">
        <v>41</v>
      </c>
      <c r="G8074">
        <v>-351.36840000000001</v>
      </c>
      <c r="H8074" s="1">
        <v>-4.9294730000000003E-6</v>
      </c>
      <c r="I8074">
        <v>12.60181</v>
      </c>
      <c r="J8074">
        <v>-363.73590000000002</v>
      </c>
      <c r="K8074">
        <v>1.1220030000000001</v>
      </c>
      <c r="L8074">
        <v>17.572939999999999</v>
      </c>
      <c r="M8074">
        <v>0.99982320000000002</v>
      </c>
      <c r="N8074">
        <v>-1.440846E-2</v>
      </c>
      <c r="O8074">
        <v>1.2083689999999999E-2</v>
      </c>
      <c r="P8074">
        <v>0.99354849999999995</v>
      </c>
      <c r="Q8074">
        <v>0.113395</v>
      </c>
      <c r="R8074">
        <v>1.7704649999999999E-3</v>
      </c>
      <c r="S8074">
        <v>3.0589900000000001</v>
      </c>
      <c r="T8074">
        <v>-0.2746538</v>
      </c>
      <c r="U8074">
        <v>-1.21637</v>
      </c>
      <c r="V8074">
        <v>1.014791E-2</v>
      </c>
      <c r="W8074">
        <v>0.12770519999999999</v>
      </c>
      <c r="X8074">
        <v>0.99176030000000004</v>
      </c>
      <c r="Y8074">
        <v>0.3791137</v>
      </c>
      <c r="Z8074">
        <v>-2.0079369999999999E-2</v>
      </c>
      <c r="AA8074">
        <v>0.92513219999999996</v>
      </c>
      <c r="AB8074">
        <v>22</v>
      </c>
      <c r="AC8074">
        <v>12.3675</v>
      </c>
      <c r="AD8074">
        <v>-1.1220079294730001</v>
      </c>
      <c r="AE8074">
        <v>-4.9711299999999898</v>
      </c>
      <c r="AF8074">
        <v>5.08420224161629</v>
      </c>
      <c r="AG8074">
        <v>-1.1220079294730001</v>
      </c>
      <c r="AH8074">
        <v>12.219933871191801</v>
      </c>
      <c r="AI8074">
        <v>94.845563145791502</v>
      </c>
      <c r="AJ8074">
        <v>67.409852645749794</v>
      </c>
      <c r="AK8074">
        <v>13.2828761209219</v>
      </c>
      <c r="AL8074">
        <v>82.662995687304203</v>
      </c>
      <c r="AM8074">
        <v>89.413757413475096</v>
      </c>
      <c r="AN8074">
        <v>1.00000004542024</v>
      </c>
    </row>
    <row r="8075" spans="1:40" x14ac:dyDescent="0.25">
      <c r="A8075" t="str">
        <f>"20190303162112608"</f>
        <v>20190303162112608</v>
      </c>
      <c r="B8075" t="str">
        <f>"1551601272601130"</f>
        <v>1551601272601130</v>
      </c>
      <c r="C8075" t="s">
        <v>40</v>
      </c>
      <c r="D8075">
        <v>4.5701619999999998</v>
      </c>
      <c r="E8075">
        <v>0.66118159999999904</v>
      </c>
      <c r="F8075" t="s">
        <v>41</v>
      </c>
      <c r="G8075">
        <v>-351.0933</v>
      </c>
      <c r="H8075" s="1">
        <v>-5.1073280000000001E-6</v>
      </c>
      <c r="I8075">
        <v>12.264379999999999</v>
      </c>
      <c r="J8075">
        <v>-363.59699999999998</v>
      </c>
      <c r="K8075">
        <v>1.12198</v>
      </c>
      <c r="L8075">
        <v>17.57498</v>
      </c>
      <c r="M8075">
        <v>0.99981920000000002</v>
      </c>
      <c r="N8075">
        <v>-1.441371E-2</v>
      </c>
      <c r="O8075">
        <v>1.2398330000000001E-2</v>
      </c>
      <c r="P8075">
        <v>0.99359520000000001</v>
      </c>
      <c r="Q8075">
        <v>0.112973</v>
      </c>
      <c r="R8075">
        <v>-2.3996759999999999E-3</v>
      </c>
      <c r="S8075">
        <v>3.0527039999999999</v>
      </c>
      <c r="T8075">
        <v>-0.27092339999999998</v>
      </c>
      <c r="U8075">
        <v>-1.2817989999999999</v>
      </c>
      <c r="V8075">
        <v>1.4639340000000001E-2</v>
      </c>
      <c r="W8075">
        <v>0.1272905</v>
      </c>
      <c r="X8075">
        <v>0.99175749999999996</v>
      </c>
      <c r="Y8075">
        <v>0.39694570000000001</v>
      </c>
      <c r="Z8075">
        <v>-2.073624E-2</v>
      </c>
      <c r="AA8075">
        <v>0.91760779999999997</v>
      </c>
      <c r="AB8075">
        <v>22</v>
      </c>
      <c r="AC8075">
        <v>12.503699999999901</v>
      </c>
      <c r="AD8075">
        <v>-1.1219851073280001</v>
      </c>
      <c r="AE8075">
        <v>-5.3105999999999902</v>
      </c>
      <c r="AF8075">
        <v>5.4282050198877103</v>
      </c>
      <c r="AG8075">
        <v>-1.1219851073280001</v>
      </c>
      <c r="AH8075">
        <v>12.352627417057301</v>
      </c>
      <c r="AI8075">
        <v>94.753494549967499</v>
      </c>
      <c r="AJ8075">
        <v>66.277522969749199</v>
      </c>
      <c r="AK8075">
        <v>13.539263806560401</v>
      </c>
      <c r="AL8075">
        <v>82.6869518642321</v>
      </c>
      <c r="AM8075">
        <v>89.154317980430704</v>
      </c>
      <c r="AN8075">
        <v>1.0000000602360599</v>
      </c>
    </row>
    <row r="8076" spans="1:40" x14ac:dyDescent="0.25">
      <c r="A8076" t="str">
        <f>"20190303162112624"</f>
        <v>20190303162112624</v>
      </c>
      <c r="B8076" t="str">
        <f>"1551601272610891"</f>
        <v>1551601272610891</v>
      </c>
      <c r="C8076" t="s">
        <v>40</v>
      </c>
      <c r="D8076">
        <v>4.5856459999999997</v>
      </c>
      <c r="E8076">
        <v>0.65812619999999999</v>
      </c>
      <c r="F8076" t="s">
        <v>41</v>
      </c>
      <c r="G8076">
        <v>-351.11579999999998</v>
      </c>
      <c r="H8076" s="1">
        <v>-5.1024609999999998E-6</v>
      </c>
      <c r="I8076">
        <v>12.237590000000001</v>
      </c>
      <c r="J8076">
        <v>-363.44529999999997</v>
      </c>
      <c r="K8076">
        <v>1.121953</v>
      </c>
      <c r="L8076">
        <v>17.577210000000001</v>
      </c>
      <c r="M8076">
        <v>0.99981529999999996</v>
      </c>
      <c r="N8076">
        <v>-1.4418530000000001E-2</v>
      </c>
      <c r="O8076">
        <v>1.271423E-2</v>
      </c>
      <c r="P8076">
        <v>0.99359050000000004</v>
      </c>
      <c r="Q8076">
        <v>0.1128403</v>
      </c>
      <c r="R8076">
        <v>-6.6975159999999997E-3</v>
      </c>
      <c r="S8076">
        <v>3.0473629999999998</v>
      </c>
      <c r="T8076">
        <v>-0.27393849999999997</v>
      </c>
      <c r="U8076">
        <v>-1.303131</v>
      </c>
      <c r="V8076">
        <v>1.925986E-2</v>
      </c>
      <c r="W8076">
        <v>0.1271632</v>
      </c>
      <c r="X8076">
        <v>0.99169479999999999</v>
      </c>
      <c r="Y8076">
        <v>0.4031844</v>
      </c>
      <c r="Z8076">
        <v>-2.1283799999999999E-2</v>
      </c>
      <c r="AA8076">
        <v>0.9148712</v>
      </c>
      <c r="AB8076">
        <v>22</v>
      </c>
      <c r="AC8076">
        <v>12.3294999999999</v>
      </c>
      <c r="AD8076">
        <v>-1.1219581024609999</v>
      </c>
      <c r="AE8076">
        <v>-5.33962</v>
      </c>
      <c r="AF8076">
        <v>5.4579076891868699</v>
      </c>
      <c r="AG8076">
        <v>-1.1219581024609999</v>
      </c>
      <c r="AH8076">
        <v>12.175707984992901</v>
      </c>
      <c r="AI8076">
        <v>94.806447214078005</v>
      </c>
      <c r="AJ8076">
        <v>65.855117516999002</v>
      </c>
      <c r="AK8076">
        <v>13.3901236462992</v>
      </c>
      <c r="AL8076">
        <v>82.694304923893398</v>
      </c>
      <c r="AM8076">
        <v>88.887389565371805</v>
      </c>
      <c r="AN8076">
        <v>0.99999999899424896</v>
      </c>
    </row>
    <row r="8077" spans="1:40" x14ac:dyDescent="0.25">
      <c r="A8077" t="str">
        <f>"20190303162112639"</f>
        <v>20190303162112639</v>
      </c>
      <c r="B8077" t="str">
        <f>"1551601272630411"</f>
        <v>1551601272630411</v>
      </c>
      <c r="C8077" t="s">
        <v>40</v>
      </c>
      <c r="D8077">
        <v>4.5698189999999999</v>
      </c>
      <c r="E8077">
        <v>0.65338249999999998</v>
      </c>
      <c r="F8077" t="s">
        <v>41</v>
      </c>
      <c r="G8077">
        <v>-351.30680000000001</v>
      </c>
      <c r="H8077" s="1">
        <v>-4.9885559999999996E-6</v>
      </c>
      <c r="I8077">
        <v>12.41766</v>
      </c>
      <c r="J8077">
        <v>-363.3107</v>
      </c>
      <c r="K8077">
        <v>1.121931</v>
      </c>
      <c r="L8077">
        <v>17.579190000000001</v>
      </c>
      <c r="M8077">
        <v>0.99981189999999998</v>
      </c>
      <c r="N8077">
        <v>-1.442192E-2</v>
      </c>
      <c r="O8077">
        <v>1.296723E-2</v>
      </c>
      <c r="P8077">
        <v>0.99349089999999995</v>
      </c>
      <c r="Q8077">
        <v>0.1128803</v>
      </c>
      <c r="R8077">
        <v>-1.529845E-2</v>
      </c>
      <c r="S8077">
        <v>3.0426329999999999</v>
      </c>
      <c r="T8077">
        <v>-0.28123039999999999</v>
      </c>
      <c r="U8077">
        <v>-1.293274</v>
      </c>
      <c r="V8077">
        <v>2.811729E-2</v>
      </c>
      <c r="W8077">
        <v>0.12720680000000001</v>
      </c>
      <c r="X8077">
        <v>0.99147759999999996</v>
      </c>
      <c r="Y8077">
        <v>0.4013391</v>
      </c>
      <c r="Z8077">
        <v>-2.1733840000000001E-2</v>
      </c>
      <c r="AA8077">
        <v>0.91567160000000003</v>
      </c>
      <c r="AB8077">
        <v>22</v>
      </c>
      <c r="AC8077">
        <v>12.0038999999999</v>
      </c>
      <c r="AD8077">
        <v>-1.1219359885560001</v>
      </c>
      <c r="AE8077">
        <v>-5.16153</v>
      </c>
      <c r="AF8077">
        <v>5.2778585578550103</v>
      </c>
      <c r="AG8077">
        <v>-1.1219359885560001</v>
      </c>
      <c r="AH8077">
        <v>11.848599259605299</v>
      </c>
      <c r="AI8077">
        <v>94.943561369892194</v>
      </c>
      <c r="AJ8077">
        <v>65.989821681189895</v>
      </c>
      <c r="AK8077">
        <v>13.019363875929599</v>
      </c>
      <c r="AL8077">
        <v>82.6917863207034</v>
      </c>
      <c r="AM8077">
        <v>88.375585707907504</v>
      </c>
      <c r="AN8077">
        <v>0.999999991632472</v>
      </c>
    </row>
    <row r="8078" spans="1:40" x14ac:dyDescent="0.25">
      <c r="A8078" t="str">
        <f>"20190303162112654"</f>
        <v>20190303162112654</v>
      </c>
      <c r="B8078" t="str">
        <f>"1551601272641146"</f>
        <v>1551601272641146</v>
      </c>
      <c r="C8078" t="s">
        <v>40</v>
      </c>
      <c r="D8078">
        <v>4.5820489999999996</v>
      </c>
      <c r="E8078">
        <v>0.65180740000000004</v>
      </c>
      <c r="F8078" t="s">
        <v>41</v>
      </c>
      <c r="G8078">
        <v>-351.72</v>
      </c>
      <c r="H8078" s="1">
        <v>-4.7663170000000003E-6</v>
      </c>
      <c r="I8078">
        <v>12.67123</v>
      </c>
      <c r="J8078">
        <v>-363.17809999999997</v>
      </c>
      <c r="K8078">
        <v>1.1219110000000001</v>
      </c>
      <c r="L8078">
        <v>17.581209999999999</v>
      </c>
      <c r="M8078">
        <v>0.9998089</v>
      </c>
      <c r="N8078">
        <v>-1.44248E-2</v>
      </c>
      <c r="O8078">
        <v>1.3200299999999899E-2</v>
      </c>
      <c r="P8078">
        <v>0.99340919999999999</v>
      </c>
      <c r="Q8078">
        <v>0.11294269999999999</v>
      </c>
      <c r="R8078">
        <v>-1.9565809999999999E-2</v>
      </c>
      <c r="S8078">
        <v>3.0332029999999999</v>
      </c>
      <c r="T8078">
        <v>-0.29360380000000003</v>
      </c>
      <c r="U8078">
        <v>-1.2843629999999999</v>
      </c>
      <c r="V8078">
        <v>3.2621299999999999E-2</v>
      </c>
      <c r="W8078">
        <v>0.12727060000000001</v>
      </c>
      <c r="X8078">
        <v>0.99133150000000003</v>
      </c>
      <c r="Y8078">
        <v>0.40014529999999998</v>
      </c>
      <c r="Z8078">
        <v>-2.2583120000000002E-2</v>
      </c>
      <c r="AA8078">
        <v>0.91617349999999997</v>
      </c>
      <c r="AB8078">
        <v>22</v>
      </c>
      <c r="AC8078">
        <v>11.4580999999999</v>
      </c>
      <c r="AD8078">
        <v>-1.1219157663169901</v>
      </c>
      <c r="AE8078">
        <v>-4.90998</v>
      </c>
      <c r="AF8078">
        <v>5.0201553375995998</v>
      </c>
      <c r="AG8078">
        <v>-1.1219157663169901</v>
      </c>
      <c r="AH8078">
        <v>11.300746373576199</v>
      </c>
      <c r="AI8078">
        <v>95.184169309034004</v>
      </c>
      <c r="AJ8078">
        <v>66.047667008088794</v>
      </c>
      <c r="AK8078">
        <v>12.416421513473001</v>
      </c>
      <c r="AL8078">
        <v>82.688101316029204</v>
      </c>
      <c r="AM8078">
        <v>88.115273631928105</v>
      </c>
      <c r="AN8078">
        <v>1.0000000488651399</v>
      </c>
    </row>
    <row r="8079" spans="1:40" x14ac:dyDescent="0.25">
      <c r="A8079" t="str">
        <f>"20190303162112668"</f>
        <v>20190303162112668</v>
      </c>
      <c r="B8079" t="str">
        <f>"1551601272660667"</f>
        <v>1551601272660667</v>
      </c>
      <c r="C8079" t="s">
        <v>40</v>
      </c>
      <c r="D8079">
        <v>4.6740029999999999</v>
      </c>
      <c r="E8079">
        <v>0.64889919999999901</v>
      </c>
      <c r="F8079" t="s">
        <v>41</v>
      </c>
      <c r="G8079">
        <v>-351.6497</v>
      </c>
      <c r="H8079" s="1">
        <v>-4.7939809999999999E-6</v>
      </c>
      <c r="I8079">
        <v>12.685409999999999</v>
      </c>
      <c r="J8079">
        <v>-363.024</v>
      </c>
      <c r="K8079">
        <v>1.1218900000000001</v>
      </c>
      <c r="L8079">
        <v>17.583500000000001</v>
      </c>
      <c r="M8079">
        <v>0.99980550000000001</v>
      </c>
      <c r="N8079">
        <v>-1.4427499999999999E-2</v>
      </c>
      <c r="O8079">
        <v>1.344974E-2</v>
      </c>
      <c r="P8079">
        <v>0.99330269999999998</v>
      </c>
      <c r="Q8079">
        <v>0.113076</v>
      </c>
      <c r="R8079">
        <v>-2.374356E-2</v>
      </c>
      <c r="S8079">
        <v>3.028076</v>
      </c>
      <c r="T8079">
        <v>-0.29468499999999997</v>
      </c>
      <c r="U8079">
        <v>-1.285919</v>
      </c>
      <c r="V8079">
        <v>3.7052090000000003E-2</v>
      </c>
      <c r="W8079">
        <v>0.1274035</v>
      </c>
      <c r="X8079">
        <v>0.99115869999999995</v>
      </c>
      <c r="Y8079">
        <v>0.40130480000000002</v>
      </c>
      <c r="Z8079">
        <v>-2.2768239999999999E-2</v>
      </c>
      <c r="AA8079">
        <v>0.91566159999999996</v>
      </c>
      <c r="AB8079">
        <v>22</v>
      </c>
      <c r="AC8079">
        <v>11.3743</v>
      </c>
      <c r="AD8079">
        <v>-1.121894793981</v>
      </c>
      <c r="AE8079">
        <v>-4.8980899999999998</v>
      </c>
      <c r="AF8079">
        <v>5.0095318070730102</v>
      </c>
      <c r="AG8079">
        <v>-1.121894793981</v>
      </c>
      <c r="AH8079">
        <v>11.215343696123201</v>
      </c>
      <c r="AI8079">
        <v>95.218630834303994</v>
      </c>
      <c r="AJ8079">
        <v>65.931227196832495</v>
      </c>
      <c r="AK8079">
        <v>12.334423013542599</v>
      </c>
      <c r="AL8079">
        <v>82.680424138422893</v>
      </c>
      <c r="AM8079">
        <v>87.859131634718096</v>
      </c>
      <c r="AN8079">
        <v>1.00000003888565</v>
      </c>
    </row>
    <row r="8080" spans="1:40" x14ac:dyDescent="0.25">
      <c r="A8080" t="str">
        <f>"20190303162112681"</f>
        <v>20190303162112681</v>
      </c>
      <c r="B8080" t="str">
        <f>"1551601272670426"</f>
        <v>1551601272670426</v>
      </c>
      <c r="C8080" t="s">
        <v>40</v>
      </c>
      <c r="D8080">
        <v>4.5066069999999998</v>
      </c>
      <c r="E8080">
        <v>0.64757559999999903</v>
      </c>
      <c r="F8080" t="s">
        <v>41</v>
      </c>
      <c r="G8080">
        <v>-351.75830000000002</v>
      </c>
      <c r="H8080" s="1">
        <v>-4.7223959999999998E-6</v>
      </c>
      <c r="I8080">
        <v>12.82616</v>
      </c>
      <c r="J8080">
        <v>-362.89960000000002</v>
      </c>
      <c r="K8080">
        <v>1.121877</v>
      </c>
      <c r="L8080">
        <v>17.58539</v>
      </c>
      <c r="M8080">
        <v>0.99980309999999994</v>
      </c>
      <c r="N8080">
        <v>-1.442906E-2</v>
      </c>
      <c r="O8080">
        <v>1.363281E-2</v>
      </c>
      <c r="P8080">
        <v>0.99300929999999998</v>
      </c>
      <c r="Q8080">
        <v>0.113605399999999</v>
      </c>
      <c r="R8080">
        <v>-3.2046060000000001E-2</v>
      </c>
      <c r="S8080">
        <v>3.0239560000000001</v>
      </c>
      <c r="T8080">
        <v>-0.30114039999999997</v>
      </c>
      <c r="U8080">
        <v>-1.2769469999999901</v>
      </c>
      <c r="V8080">
        <v>4.5536060000000003E-2</v>
      </c>
      <c r="W8080">
        <v>0.1279304</v>
      </c>
      <c r="X8080">
        <v>0.99073730000000004</v>
      </c>
      <c r="Y8080">
        <v>0.39953909999999998</v>
      </c>
      <c r="Z8080">
        <v>-2.31565E-2</v>
      </c>
      <c r="AA8080">
        <v>0.9164236</v>
      </c>
      <c r="AB8080">
        <v>21</v>
      </c>
      <c r="AC8080">
        <v>11.141299999999999</v>
      </c>
      <c r="AD8080">
        <v>-1.121881722396</v>
      </c>
      <c r="AE8080">
        <v>-4.7592299999999996</v>
      </c>
      <c r="AF8080">
        <v>4.8689398155572396</v>
      </c>
      <c r="AG8080">
        <v>-1.121881722396</v>
      </c>
      <c r="AH8080">
        <v>10.9812128296839</v>
      </c>
      <c r="AI8080">
        <v>95.335660324337695</v>
      </c>
      <c r="AJ8080">
        <v>66.088068405660806</v>
      </c>
      <c r="AK8080">
        <v>12.064502838384101</v>
      </c>
      <c r="AL8080">
        <v>82.649986067204594</v>
      </c>
      <c r="AM8080">
        <v>87.368435403600699</v>
      </c>
      <c r="AN8080">
        <v>1.0000000588078799</v>
      </c>
    </row>
    <row r="8081" spans="1:40" x14ac:dyDescent="0.25">
      <c r="A8081" t="str">
        <f>"20190303162112693"</f>
        <v>20190303162112693</v>
      </c>
      <c r="B8081" t="str">
        <f>"1551601272681163"</f>
        <v>1551601272681163</v>
      </c>
      <c r="C8081" t="s">
        <v>40</v>
      </c>
      <c r="D8081">
        <v>4.6572490000000002</v>
      </c>
      <c r="E8081">
        <v>0.64651309999999995</v>
      </c>
      <c r="F8081" t="s">
        <v>41</v>
      </c>
      <c r="G8081">
        <v>-351.63499999999999</v>
      </c>
      <c r="H8081" s="1">
        <v>-4.7887980000000002E-6</v>
      </c>
      <c r="I8081">
        <v>12.750170000000001</v>
      </c>
      <c r="J8081">
        <v>-362.78210000000001</v>
      </c>
      <c r="K8081">
        <v>1.1218699999999999</v>
      </c>
      <c r="L8081">
        <v>17.587160000000001</v>
      </c>
      <c r="M8081">
        <v>0.99980069999999999</v>
      </c>
      <c r="N8081">
        <v>-1.4430210000000001E-2</v>
      </c>
      <c r="O8081">
        <v>1.379465E-2</v>
      </c>
      <c r="P8081">
        <v>0.99275310000000005</v>
      </c>
      <c r="Q8081">
        <v>0.1146716</v>
      </c>
      <c r="R8081">
        <v>-3.5937280000000002E-2</v>
      </c>
      <c r="S8081">
        <v>3.0137019999999999</v>
      </c>
      <c r="T8081">
        <v>-0.30014550000000001</v>
      </c>
      <c r="U8081">
        <v>-1.293579</v>
      </c>
      <c r="V8081">
        <v>4.9587590000000001E-2</v>
      </c>
      <c r="W8081">
        <v>0.12899289999999999</v>
      </c>
      <c r="X8081">
        <v>0.99040490000000003</v>
      </c>
      <c r="Y8081">
        <v>0.40505380000000002</v>
      </c>
      <c r="Z8081">
        <v>-2.3453169999999999E-2</v>
      </c>
      <c r="AA8081">
        <v>0.91399200000000003</v>
      </c>
      <c r="AB8081">
        <v>21</v>
      </c>
      <c r="AC8081">
        <v>11.1471</v>
      </c>
      <c r="AD8081">
        <v>-1.1218747887980001</v>
      </c>
      <c r="AE8081">
        <v>-4.8369900000000001</v>
      </c>
      <c r="AF8081">
        <v>4.9481381667383202</v>
      </c>
      <c r="AG8081">
        <v>-1.1218747887980001</v>
      </c>
      <c r="AH8081">
        <v>10.985665945847</v>
      </c>
      <c r="AI8081">
        <v>95.319609801678595</v>
      </c>
      <c r="AJ8081">
        <v>65.752356511049896</v>
      </c>
      <c r="AK8081">
        <v>12.1007243846232</v>
      </c>
      <c r="AL8081">
        <v>82.588600116988403</v>
      </c>
      <c r="AM8081">
        <v>87.133708536241897</v>
      </c>
      <c r="AN8081">
        <v>0.99999998163821302</v>
      </c>
    </row>
    <row r="8082" spans="1:40" x14ac:dyDescent="0.25">
      <c r="A8082" t="str">
        <f>"20190303162112704"</f>
        <v>20190303162112704</v>
      </c>
      <c r="B8082" t="str">
        <f>"1551601272690923"</f>
        <v>1551601272690923</v>
      </c>
      <c r="C8082" t="s">
        <v>40</v>
      </c>
      <c r="D8082">
        <v>4.656701</v>
      </c>
      <c r="E8082">
        <v>0.645240699999999</v>
      </c>
      <c r="F8082" t="s">
        <v>41</v>
      </c>
      <c r="G8082">
        <v>-351.40120000000002</v>
      </c>
      <c r="H8082" s="1">
        <v>-4.9017930000000002E-6</v>
      </c>
      <c r="I8082">
        <v>12.678459999999999</v>
      </c>
      <c r="J8082">
        <v>-362.67529999999999</v>
      </c>
      <c r="K8082">
        <v>1.1218699999999999</v>
      </c>
      <c r="L8082">
        <v>17.588809999999999</v>
      </c>
      <c r="M8082">
        <v>0.99979879999999999</v>
      </c>
      <c r="N8082">
        <v>-1.443114E-2</v>
      </c>
      <c r="O8082">
        <v>1.3936749999999999E-2</v>
      </c>
      <c r="P8082">
        <v>0.99252560000000001</v>
      </c>
      <c r="Q8082">
        <v>0.11540069999999999</v>
      </c>
      <c r="R8082">
        <v>-3.9695939999999999E-2</v>
      </c>
      <c r="S8082">
        <v>3.0092159999999999</v>
      </c>
      <c r="T8082">
        <v>-0.29663420000000001</v>
      </c>
      <c r="U8082">
        <v>-1.297882</v>
      </c>
      <c r="V8082">
        <v>5.3486430000000001E-2</v>
      </c>
      <c r="W8082">
        <v>0.12971869999999999</v>
      </c>
      <c r="X8082">
        <v>0.99010719999999997</v>
      </c>
      <c r="Y8082">
        <v>0.40681020000000001</v>
      </c>
      <c r="Z8082">
        <v>-2.3344190000000001E-2</v>
      </c>
      <c r="AA8082">
        <v>0.91321439999999998</v>
      </c>
      <c r="AB8082">
        <v>21</v>
      </c>
      <c r="AC8082">
        <v>11.274099999999899</v>
      </c>
      <c r="AD8082">
        <v>-1.1218749017929901</v>
      </c>
      <c r="AE8082">
        <v>-4.9103500000000002</v>
      </c>
      <c r="AF8082">
        <v>5.0251881860007703</v>
      </c>
      <c r="AG8082">
        <v>-1.1218749017929901</v>
      </c>
      <c r="AH8082">
        <v>11.1120757092347</v>
      </c>
      <c r="AI8082">
        <v>95.255888187730605</v>
      </c>
      <c r="AJ8082">
        <v>65.666200597160994</v>
      </c>
      <c r="AK8082">
        <v>12.247013765312699</v>
      </c>
      <c r="AL8082">
        <v>82.546662651913095</v>
      </c>
      <c r="AM8082">
        <v>86.907839000444895</v>
      </c>
      <c r="AN8082">
        <v>1.00000000340783</v>
      </c>
    </row>
    <row r="8083" spans="1:40" x14ac:dyDescent="0.25">
      <c r="A8083" t="str">
        <f>"20190303162112717"</f>
        <v>20190303162112717</v>
      </c>
      <c r="B8083" t="str">
        <f>"1551601272710442"</f>
        <v>1551601272710442</v>
      </c>
      <c r="C8083" t="s">
        <v>40</v>
      </c>
      <c r="D8083">
        <v>4.6727990000000004</v>
      </c>
      <c r="E8083">
        <v>0.64312650000000005</v>
      </c>
      <c r="F8083" t="s">
        <v>41</v>
      </c>
      <c r="G8083">
        <v>-351.22919999999999</v>
      </c>
      <c r="H8083" s="1">
        <v>-4.9831489999999996E-6</v>
      </c>
      <c r="I8083">
        <v>12.63583</v>
      </c>
      <c r="J8083">
        <v>-362.55239999999998</v>
      </c>
      <c r="K8083">
        <v>1.1218709999999901</v>
      </c>
      <c r="L8083">
        <v>17.590669999999999</v>
      </c>
      <c r="M8083">
        <v>0.99979660000000004</v>
      </c>
      <c r="N8083">
        <v>-1.443171E-2</v>
      </c>
      <c r="O8083">
        <v>1.4089630000000001E-2</v>
      </c>
      <c r="P8083">
        <v>0.99224480000000004</v>
      </c>
      <c r="Q8083">
        <v>0.1164529</v>
      </c>
      <c r="R8083">
        <v>-4.3464950000000002E-2</v>
      </c>
      <c r="S8083">
        <v>3.0048219999999999</v>
      </c>
      <c r="T8083">
        <v>-0.29451440000000001</v>
      </c>
      <c r="U8083">
        <v>-1.3002320000000001</v>
      </c>
      <c r="V8083">
        <v>5.7404509999999999E-2</v>
      </c>
      <c r="W8083">
        <v>0.13076689999999999</v>
      </c>
      <c r="X8083">
        <v>0.98974980000000001</v>
      </c>
      <c r="Y8083">
        <v>0.40805239999999998</v>
      </c>
      <c r="Z8083">
        <v>-2.3303290000000001E-2</v>
      </c>
      <c r="AA8083">
        <v>0.9126611</v>
      </c>
      <c r="AB8083">
        <v>21</v>
      </c>
      <c r="AC8083">
        <v>11.3231999999999</v>
      </c>
      <c r="AD8083">
        <v>-1.1218759831489999</v>
      </c>
      <c r="AE8083">
        <v>-4.9548399999999999</v>
      </c>
      <c r="AF8083">
        <v>5.0721161243430899</v>
      </c>
      <c r="AG8083">
        <v>-1.1218759831489999</v>
      </c>
      <c r="AH8083">
        <v>11.1603088791242</v>
      </c>
      <c r="AI8083">
        <v>95.228901916704004</v>
      </c>
      <c r="AJ8083">
        <v>65.559242985466597</v>
      </c>
      <c r="AK8083">
        <v>12.3100553198532</v>
      </c>
      <c r="AL8083">
        <v>82.486088953286995</v>
      </c>
      <c r="AM8083">
        <v>86.680620098541297</v>
      </c>
      <c r="AN8083">
        <v>0.99999996325199403</v>
      </c>
    </row>
    <row r="8084" spans="1:40" x14ac:dyDescent="0.25">
      <c r="A8084" t="str">
        <f>"20190303162112730"</f>
        <v>20190303162112730</v>
      </c>
      <c r="B8084" t="str">
        <f>"1551601272721178"</f>
        <v>1551601272721178</v>
      </c>
      <c r="C8084" t="s">
        <v>40</v>
      </c>
      <c r="D8084">
        <v>4.7034459999999996</v>
      </c>
      <c r="E8084">
        <v>0.64215149999999999</v>
      </c>
      <c r="F8084" t="s">
        <v>41</v>
      </c>
      <c r="G8084">
        <v>-351.0412</v>
      </c>
      <c r="H8084" s="1">
        <v>-5.0665209999999996E-6</v>
      </c>
      <c r="I8084">
        <v>12.620509999999999</v>
      </c>
      <c r="J8084">
        <v>-362.42809999999997</v>
      </c>
      <c r="K8084">
        <v>1.1218729999999999</v>
      </c>
      <c r="L8084">
        <v>17.592589999999898</v>
      </c>
      <c r="M8084">
        <v>0.99979450000000003</v>
      </c>
      <c r="N8084">
        <v>-1.443211E-2</v>
      </c>
      <c r="O8084">
        <v>1.424135E-2</v>
      </c>
      <c r="P8084">
        <v>0.9918631</v>
      </c>
      <c r="Q8084">
        <v>0.11784310000000001</v>
      </c>
      <c r="R8084">
        <v>-4.8175419999999997E-2</v>
      </c>
      <c r="S8084">
        <v>3.001007</v>
      </c>
      <c r="T8084">
        <v>-0.29247689999999998</v>
      </c>
      <c r="U8084">
        <v>-1.295715</v>
      </c>
      <c r="V8084">
        <v>6.226077E-2</v>
      </c>
      <c r="W8084">
        <v>0.1321514</v>
      </c>
      <c r="X8084">
        <v>0.98927220000000005</v>
      </c>
      <c r="Y8084">
        <v>0.40747850000000002</v>
      </c>
      <c r="Z8084">
        <v>-2.3172399999999999E-2</v>
      </c>
      <c r="AA8084">
        <v>0.91292079999999998</v>
      </c>
      <c r="AB8084">
        <v>21</v>
      </c>
      <c r="AC8084">
        <v>11.386899999999899</v>
      </c>
      <c r="AD8084">
        <v>-1.121878066521</v>
      </c>
      <c r="AE8084">
        <v>-4.9720799999999903</v>
      </c>
      <c r="AF8084">
        <v>5.0922427795135397</v>
      </c>
      <c r="AG8084">
        <v>-1.121878066521</v>
      </c>
      <c r="AH8084">
        <v>11.223429293733499</v>
      </c>
      <c r="AI8084">
        <v>95.201150923023505</v>
      </c>
      <c r="AJ8084">
        <v>65.595472276040894</v>
      </c>
      <c r="AK8084">
        <v>12.375577240399</v>
      </c>
      <c r="AL8084">
        <v>82.406068315120095</v>
      </c>
      <c r="AM8084">
        <v>86.398786304400303</v>
      </c>
      <c r="AN8084">
        <v>0.99999994084789401</v>
      </c>
    </row>
    <row r="8085" spans="1:40" x14ac:dyDescent="0.25">
      <c r="A8085" t="str">
        <f>"20190303162112741"</f>
        <v>20190303162112741</v>
      </c>
      <c r="B8085" t="str">
        <f>"1551601272730940"</f>
        <v>1551601272730940</v>
      </c>
      <c r="C8085" t="s">
        <v>40</v>
      </c>
      <c r="D8085">
        <v>4.6085629999999904</v>
      </c>
      <c r="E8085">
        <v>0.64129709999999995</v>
      </c>
      <c r="F8085" t="s">
        <v>41</v>
      </c>
      <c r="G8085">
        <v>-350.75080000000003</v>
      </c>
      <c r="H8085" s="1">
        <v>-5.2102380000000003E-6</v>
      </c>
      <c r="I8085">
        <v>12.51268</v>
      </c>
      <c r="J8085">
        <v>-362.31509999999997</v>
      </c>
      <c r="K8085">
        <v>1.121869</v>
      </c>
      <c r="L8085">
        <v>17.594329999999999</v>
      </c>
      <c r="M8085">
        <v>0.99979260000000003</v>
      </c>
      <c r="N8085">
        <v>-1.4432240000000001E-2</v>
      </c>
      <c r="O8085">
        <v>1.4376180000000001E-2</v>
      </c>
      <c r="P8085">
        <v>0.99149379999999998</v>
      </c>
      <c r="Q8085">
        <v>0.11901059999999999</v>
      </c>
      <c r="R8085">
        <v>-5.2696779999999999E-2</v>
      </c>
      <c r="S8085">
        <v>2.995514</v>
      </c>
      <c r="T8085">
        <v>-0.28778969999999998</v>
      </c>
      <c r="U8085">
        <v>-1.3031010000000001</v>
      </c>
      <c r="V8085">
        <v>6.6910300000000006E-2</v>
      </c>
      <c r="W8085">
        <v>0.1333136</v>
      </c>
      <c r="X8085">
        <v>0.98881269999999999</v>
      </c>
      <c r="Y8085">
        <v>0.41014440000000002</v>
      </c>
      <c r="Z8085">
        <v>-2.3027229999999999E-2</v>
      </c>
      <c r="AA8085">
        <v>0.91172989999999998</v>
      </c>
      <c r="AB8085">
        <v>21</v>
      </c>
      <c r="AC8085">
        <v>11.5642999999999</v>
      </c>
      <c r="AD8085">
        <v>-1.1218742102379999</v>
      </c>
      <c r="AE8085">
        <v>-5.0816499999999998</v>
      </c>
      <c r="AF8085">
        <v>5.2063242799080296</v>
      </c>
      <c r="AG8085">
        <v>-1.1218742102379999</v>
      </c>
      <c r="AH8085">
        <v>11.400116626825801</v>
      </c>
      <c r="AI8085">
        <v>95.115243175564203</v>
      </c>
      <c r="AJ8085">
        <v>65.454273225837198</v>
      </c>
      <c r="AK8085">
        <v>12.5828086433986</v>
      </c>
      <c r="AL8085">
        <v>82.338885391264895</v>
      </c>
      <c r="AM8085">
        <v>86.128849760253203</v>
      </c>
      <c r="AN8085">
        <v>1.00000002993616</v>
      </c>
    </row>
    <row r="8086" spans="1:40" x14ac:dyDescent="0.25">
      <c r="A8086" t="str">
        <f>"20190303162112760"</f>
        <v>20190303162112760</v>
      </c>
      <c r="B8086" t="str">
        <f>"1551601272750458"</f>
        <v>1551601272750458</v>
      </c>
      <c r="C8086" t="s">
        <v>40</v>
      </c>
      <c r="D8086">
        <v>4.7021470000000001</v>
      </c>
      <c r="E8086">
        <v>0.63952449999999905</v>
      </c>
      <c r="F8086" t="s">
        <v>41</v>
      </c>
      <c r="G8086">
        <v>-350.47620000000001</v>
      </c>
      <c r="H8086" s="1">
        <v>-5.3474099999999997E-6</v>
      </c>
      <c r="I8086">
        <v>12.40338</v>
      </c>
      <c r="J8086">
        <v>-362.1506</v>
      </c>
      <c r="K8086">
        <v>1.121875</v>
      </c>
      <c r="L8086">
        <v>17.596920000000001</v>
      </c>
      <c r="M8086">
        <v>0.9997897</v>
      </c>
      <c r="N8086">
        <v>-1.443203E-2</v>
      </c>
      <c r="O8086">
        <v>1.457113E-2</v>
      </c>
      <c r="P8086">
        <v>0.99071849999999995</v>
      </c>
      <c r="Q8086">
        <v>0.1206859</v>
      </c>
      <c r="R8086">
        <v>-6.2547039999999998E-2</v>
      </c>
      <c r="S8086">
        <v>2.9900820000000001</v>
      </c>
      <c r="T8086">
        <v>-0.28334690000000001</v>
      </c>
      <c r="U8086">
        <v>-1.311035</v>
      </c>
      <c r="V8086">
        <v>7.6941199999999904E-2</v>
      </c>
      <c r="W8086">
        <v>0.13497779999999901</v>
      </c>
      <c r="X8086">
        <v>0.98785679999999998</v>
      </c>
      <c r="Y8086">
        <v>0.41299439999999998</v>
      </c>
      <c r="Z8086">
        <v>-2.2907650000000002E-2</v>
      </c>
      <c r="AA8086">
        <v>0.91044550000000002</v>
      </c>
      <c r="AB8086">
        <v>21</v>
      </c>
      <c r="AC8086">
        <v>11.674399999999901</v>
      </c>
      <c r="AD8086">
        <v>-1.1218803474100001</v>
      </c>
      <c r="AE8086">
        <v>-5.1935399999999996</v>
      </c>
      <c r="AF8086">
        <v>5.3220871440544801</v>
      </c>
      <c r="AG8086">
        <v>-1.1218803474100001</v>
      </c>
      <c r="AH8086">
        <v>11.5087550317426</v>
      </c>
      <c r="AI8086">
        <v>95.0562558632095</v>
      </c>
      <c r="AJ8086">
        <v>65.1823790139685</v>
      </c>
      <c r="AK8086">
        <v>12.7292839336498</v>
      </c>
      <c r="AL8086">
        <v>82.242663874480002</v>
      </c>
      <c r="AM8086">
        <v>85.546395008161895</v>
      </c>
      <c r="AN8086">
        <v>1.0000000060282599</v>
      </c>
    </row>
    <row r="8087" spans="1:40" x14ac:dyDescent="0.25">
      <c r="A8087" t="str">
        <f>"20190303162112771"</f>
        <v>20190303162112771</v>
      </c>
      <c r="B8087" t="str">
        <f>"1551601272761194"</f>
        <v>1551601272761194</v>
      </c>
      <c r="C8087" t="s">
        <v>40</v>
      </c>
      <c r="D8087">
        <v>4.7067809999999897</v>
      </c>
      <c r="E8087">
        <v>0.63877490000000003</v>
      </c>
      <c r="F8087" t="s">
        <v>41</v>
      </c>
      <c r="G8087">
        <v>-350.15800000000002</v>
      </c>
      <c r="H8087" s="1">
        <v>-5.5118520000000001E-6</v>
      </c>
      <c r="I8087">
        <v>12.24596</v>
      </c>
      <c r="J8087">
        <v>-362.03789999999998</v>
      </c>
      <c r="K8087">
        <v>1.1218779999999999</v>
      </c>
      <c r="L8087">
        <v>17.598689999999898</v>
      </c>
      <c r="M8087">
        <v>0.99978789999999995</v>
      </c>
      <c r="N8087">
        <v>-1.443173E-2</v>
      </c>
      <c r="O8087">
        <v>1.4705019999999999E-2</v>
      </c>
      <c r="P8087">
        <v>0.99037980000000003</v>
      </c>
      <c r="Q8087">
        <v>0.1209756</v>
      </c>
      <c r="R8087">
        <v>-6.7181179999999993E-2</v>
      </c>
      <c r="S8087">
        <v>2.9781490000000002</v>
      </c>
      <c r="T8087">
        <v>-0.27859909999999999</v>
      </c>
      <c r="U8087">
        <v>-1.3287960000000001</v>
      </c>
      <c r="V8087">
        <v>8.17021E-2</v>
      </c>
      <c r="W8087">
        <v>0.13526270000000001</v>
      </c>
      <c r="X8087">
        <v>0.98743550000000002</v>
      </c>
      <c r="Y8087">
        <v>0.41900959999999998</v>
      </c>
      <c r="Z8087">
        <v>-2.2951139999999998E-2</v>
      </c>
      <c r="AA8087">
        <v>0.90769169999999999</v>
      </c>
      <c r="AB8087">
        <v>21</v>
      </c>
      <c r="AC8087">
        <v>11.8798999999999</v>
      </c>
      <c r="AD8087">
        <v>-1.1218835118520001</v>
      </c>
      <c r="AE8087">
        <v>-5.3527299999999904</v>
      </c>
      <c r="AF8087">
        <v>5.48619378561862</v>
      </c>
      <c r="AG8087">
        <v>-1.1218835118520001</v>
      </c>
      <c r="AH8087">
        <v>11.713065000901601</v>
      </c>
      <c r="AI8087">
        <v>94.957290241708407</v>
      </c>
      <c r="AJ8087">
        <v>64.902434139279194</v>
      </c>
      <c r="AK8087">
        <v>12.9827900153577</v>
      </c>
      <c r="AL8087">
        <v>82.226189556707894</v>
      </c>
      <c r="AM8087">
        <v>85.270023800636295</v>
      </c>
      <c r="AN8087">
        <v>1.0000000489079699</v>
      </c>
    </row>
    <row r="8088" spans="1:40" x14ac:dyDescent="0.25">
      <c r="A8088" t="str">
        <f>"20190303162112783"</f>
        <v>20190303162112783</v>
      </c>
      <c r="B8088" t="str">
        <f>"1551601272770954"</f>
        <v>1551601272770954</v>
      </c>
      <c r="C8088" t="s">
        <v>40</v>
      </c>
      <c r="D8088">
        <v>4.6729810000000001</v>
      </c>
      <c r="E8088">
        <v>0.6380342</v>
      </c>
      <c r="F8088" t="s">
        <v>41</v>
      </c>
      <c r="G8088">
        <v>-349.9735</v>
      </c>
      <c r="H8088" s="1">
        <v>-5.6044860000000003E-6</v>
      </c>
      <c r="I8088">
        <v>12.16987</v>
      </c>
      <c r="J8088">
        <v>-361.91930000000002</v>
      </c>
      <c r="K8088">
        <v>1.1218809999999999</v>
      </c>
      <c r="L8088">
        <v>17.60059</v>
      </c>
      <c r="M8088">
        <v>0.99978549999999999</v>
      </c>
      <c r="N8088">
        <v>-1.4431299999999999E-2</v>
      </c>
      <c r="O8088">
        <v>1.484715E-2</v>
      </c>
      <c r="P8088">
        <v>0.99006269999999996</v>
      </c>
      <c r="Q8088">
        <v>0.1209356</v>
      </c>
      <c r="R8088">
        <v>-7.17666E-2</v>
      </c>
      <c r="S8088">
        <v>2.9721980000000001</v>
      </c>
      <c r="T8088">
        <v>-0.276389</v>
      </c>
      <c r="U8088">
        <v>-1.3374330000000001</v>
      </c>
      <c r="V8088">
        <v>8.6422170000000006E-2</v>
      </c>
      <c r="W8088">
        <v>0.13521830000000001</v>
      </c>
      <c r="X8088">
        <v>0.98703960000000002</v>
      </c>
      <c r="Y8088">
        <v>0.4220179</v>
      </c>
      <c r="Z8088">
        <v>-2.298681E-2</v>
      </c>
      <c r="AA8088">
        <v>0.90629599999999999</v>
      </c>
      <c r="AB8088">
        <v>21</v>
      </c>
      <c r="AC8088">
        <v>11.9458</v>
      </c>
      <c r="AD8088">
        <v>-1.1218866044860001</v>
      </c>
      <c r="AE8088">
        <v>-5.43072</v>
      </c>
      <c r="AF8088">
        <v>5.5668111760540899</v>
      </c>
      <c r="AG8088">
        <v>-1.1218866044860001</v>
      </c>
      <c r="AH8088">
        <v>11.777756334282801</v>
      </c>
      <c r="AI8088">
        <v>94.922142013992399</v>
      </c>
      <c r="AJ8088">
        <v>64.702022914440704</v>
      </c>
      <c r="AK8088">
        <v>13.0753034570102</v>
      </c>
      <c r="AL8088">
        <v>82.228756507783999</v>
      </c>
      <c r="AM8088">
        <v>84.996117614086103</v>
      </c>
      <c r="AN8088">
        <v>0.99999997604527902</v>
      </c>
    </row>
    <row r="8089" spans="1:40" x14ac:dyDescent="0.25">
      <c r="A8089" t="str">
        <f>"20190303162112795"</f>
        <v>20190303162112795</v>
      </c>
      <c r="B8089" t="str">
        <f>"1551601272790475"</f>
        <v>1551601272790475</v>
      </c>
      <c r="C8089" t="s">
        <v>40</v>
      </c>
      <c r="D8089">
        <v>4.3582450000000001</v>
      </c>
      <c r="E8089">
        <v>0.63844049999999997</v>
      </c>
      <c r="F8089" t="s">
        <v>41</v>
      </c>
      <c r="G8089">
        <v>-349.90629999999999</v>
      </c>
      <c r="H8089" s="1">
        <v>-2.0049640000000001E-6</v>
      </c>
      <c r="I8089">
        <v>12.148300000000001</v>
      </c>
      <c r="J8089">
        <v>-361.81110000000001</v>
      </c>
      <c r="K8089">
        <v>1.1218840000000001</v>
      </c>
      <c r="L8089">
        <v>17.602329999999998</v>
      </c>
      <c r="M8089">
        <v>0.99978359999999999</v>
      </c>
      <c r="N8089">
        <v>-1.44306E-2</v>
      </c>
      <c r="O8089">
        <v>1.497886E-2</v>
      </c>
      <c r="P8089">
        <v>0.98969130000000005</v>
      </c>
      <c r="Q8089">
        <v>0.1210465</v>
      </c>
      <c r="R8089">
        <v>-7.6544420000000002E-2</v>
      </c>
      <c r="S8089">
        <v>2.96637</v>
      </c>
      <c r="T8089">
        <v>-0.27702719999999997</v>
      </c>
      <c r="U8089">
        <v>-1.3463130000000001</v>
      </c>
      <c r="V8089">
        <v>9.1323269999999998E-2</v>
      </c>
      <c r="W8089">
        <v>0.13532369999999999</v>
      </c>
      <c r="X8089">
        <v>0.98658380000000001</v>
      </c>
      <c r="Y8089">
        <v>0.42502859999999998</v>
      </c>
      <c r="Z8089">
        <v>-2.3225570000000001E-2</v>
      </c>
      <c r="AA8089">
        <v>0.90488199999999996</v>
      </c>
      <c r="AB8089">
        <v>21</v>
      </c>
      <c r="AC8089">
        <v>11.9048</v>
      </c>
      <c r="AD8089">
        <v>-1.121886004964</v>
      </c>
      <c r="AE8089">
        <v>-5.4540299999999897</v>
      </c>
      <c r="AF8089">
        <v>5.5907199356769599</v>
      </c>
      <c r="AG8089">
        <v>-1.121886004964</v>
      </c>
      <c r="AH8089">
        <v>11.7356187483045</v>
      </c>
      <c r="AI8089">
        <v>94.932621179729907</v>
      </c>
      <c r="AJ8089">
        <v>64.527382567922601</v>
      </c>
      <c r="AK8089">
        <v>13.0475869421463</v>
      </c>
      <c r="AL8089">
        <v>82.222661846695004</v>
      </c>
      <c r="AM8089">
        <v>84.711478205652298</v>
      </c>
      <c r="AN8089">
        <v>1.0000000189238101</v>
      </c>
    </row>
    <row r="8090" spans="1:40" x14ac:dyDescent="0.25">
      <c r="A8090" t="str">
        <f>"20190303162112808"</f>
        <v>20190303162112808</v>
      </c>
      <c r="B8090" t="str">
        <f>"1551601272801211"</f>
        <v>1551601272801211</v>
      </c>
      <c r="C8090" t="s">
        <v>40</v>
      </c>
      <c r="D8090">
        <v>4.744586</v>
      </c>
      <c r="E8090">
        <v>0.6378142</v>
      </c>
      <c r="F8090" t="s">
        <v>41</v>
      </c>
      <c r="G8090">
        <v>-349.6456</v>
      </c>
      <c r="H8090" s="1">
        <v>-2.1350069999999999E-6</v>
      </c>
      <c r="I8090">
        <v>11.992990000000001</v>
      </c>
      <c r="J8090">
        <v>-361.69170000000003</v>
      </c>
      <c r="K8090">
        <v>1.121888</v>
      </c>
      <c r="L8090">
        <v>17.60425</v>
      </c>
      <c r="M8090">
        <v>0.99978149999999999</v>
      </c>
      <c r="N8090">
        <v>-1.442974E-2</v>
      </c>
      <c r="O8090">
        <v>1.512549E-2</v>
      </c>
      <c r="P8090">
        <v>0.98925169999999996</v>
      </c>
      <c r="Q8090">
        <v>0.1214529</v>
      </c>
      <c r="R8090">
        <v>-8.1427479999999997E-2</v>
      </c>
      <c r="S8090">
        <v>2.9591059999999998</v>
      </c>
      <c r="T8090">
        <v>-0.27288499999999999</v>
      </c>
      <c r="U8090">
        <v>-1.3643799999999999</v>
      </c>
      <c r="V8090">
        <v>9.6342819999999996E-2</v>
      </c>
      <c r="W8090">
        <v>0.13572379999999901</v>
      </c>
      <c r="X8090">
        <v>0.98605129999999996</v>
      </c>
      <c r="Y8090">
        <v>0.43057990000000002</v>
      </c>
      <c r="Z8090">
        <v>-2.324499E-2</v>
      </c>
      <c r="AA8090">
        <v>0.90225310000000003</v>
      </c>
      <c r="AB8090">
        <v>21</v>
      </c>
      <c r="AC8090">
        <v>12.046099999999999</v>
      </c>
      <c r="AD8090">
        <v>-1.1218901350070001</v>
      </c>
      <c r="AE8090">
        <v>-5.6112599999999997</v>
      </c>
      <c r="AF8090">
        <v>5.75184517108812</v>
      </c>
      <c r="AG8090">
        <v>-1.1218901350070001</v>
      </c>
      <c r="AH8090">
        <v>11.8752020872936</v>
      </c>
      <c r="AI8090">
        <v>94.859875348196695</v>
      </c>
      <c r="AJ8090">
        <v>64.156416862416805</v>
      </c>
      <c r="AK8090">
        <v>13.242461438919101</v>
      </c>
      <c r="AL8090">
        <v>82.199524408873501</v>
      </c>
      <c r="AM8090">
        <v>84.419589115049206</v>
      </c>
      <c r="AN8090">
        <v>1.0000000275418399</v>
      </c>
    </row>
    <row r="8091" spans="1:40" x14ac:dyDescent="0.25">
      <c r="A8091" t="str">
        <f>"20190303162112820"</f>
        <v>20190303162112820</v>
      </c>
      <c r="B8091" t="str">
        <f>"1551601272810971"</f>
        <v>1551601272810971</v>
      </c>
      <c r="C8091" t="s">
        <v>40</v>
      </c>
      <c r="D8091">
        <v>4.7643769999999996</v>
      </c>
      <c r="E8091">
        <v>0.6373065</v>
      </c>
      <c r="F8091" t="s">
        <v>41</v>
      </c>
      <c r="G8091">
        <v>-349.5607</v>
      </c>
      <c r="H8091" s="1">
        <v>-2.1738330000000001E-6</v>
      </c>
      <c r="I8091">
        <v>11.95576</v>
      </c>
      <c r="J8091">
        <v>-361.57389999999998</v>
      </c>
      <c r="K8091">
        <v>1.1218939999999999</v>
      </c>
      <c r="L8091">
        <v>17.606200000000001</v>
      </c>
      <c r="M8091">
        <v>0.99977930000000004</v>
      </c>
      <c r="N8091">
        <v>-1.4428710000000001E-2</v>
      </c>
      <c r="O8091">
        <v>1.527295E-2</v>
      </c>
      <c r="P8091">
        <v>0.98868409999999995</v>
      </c>
      <c r="Q8091">
        <v>0.1222322</v>
      </c>
      <c r="R8091">
        <v>-8.6965870000000001E-2</v>
      </c>
      <c r="S8091">
        <v>2.9529420000000002</v>
      </c>
      <c r="T8091">
        <v>-0.27309139999999998</v>
      </c>
      <c r="U8091">
        <v>-1.3749389999999999</v>
      </c>
      <c r="V8091">
        <v>0.1020162</v>
      </c>
      <c r="W8091">
        <v>0.1364947</v>
      </c>
      <c r="X8091">
        <v>0.98537399999999997</v>
      </c>
      <c r="Y8091">
        <v>0.43405959999999899</v>
      </c>
      <c r="Z8091">
        <v>-2.3476710000000001E-2</v>
      </c>
      <c r="AA8091">
        <v>0.900578199999999</v>
      </c>
      <c r="AB8091">
        <v>21</v>
      </c>
      <c r="AC8091">
        <v>12.0131999999999</v>
      </c>
      <c r="AD8091">
        <v>-1.121896173833</v>
      </c>
      <c r="AE8091">
        <v>-5.6504399999999997</v>
      </c>
      <c r="AF8091">
        <v>5.7919139044945798</v>
      </c>
      <c r="AG8091">
        <v>-1.121896173833</v>
      </c>
      <c r="AH8091">
        <v>11.8409285618126</v>
      </c>
      <c r="AI8091">
        <v>94.8647742632985</v>
      </c>
      <c r="AJ8091">
        <v>63.9347292690994</v>
      </c>
      <c r="AK8091">
        <v>13.2292292635621</v>
      </c>
      <c r="AL8091">
        <v>82.154940077656207</v>
      </c>
      <c r="AM8091">
        <v>84.089201330597902</v>
      </c>
      <c r="AN8091">
        <v>1.0000000140332601</v>
      </c>
    </row>
    <row r="8092" spans="1:40" x14ac:dyDescent="0.25">
      <c r="A8092" t="str">
        <f>"20190303162112839"</f>
        <v>20190303162112839</v>
      </c>
      <c r="B8092" t="str">
        <f>"1551601272830490"</f>
        <v>1551601272830490</v>
      </c>
      <c r="C8092" t="s">
        <v>40</v>
      </c>
      <c r="D8092">
        <v>4.7478220000000002</v>
      </c>
      <c r="E8092">
        <v>0.6357988</v>
      </c>
      <c r="F8092" t="s">
        <v>41</v>
      </c>
      <c r="G8092">
        <v>-349.40129999999999</v>
      </c>
      <c r="H8092" s="1">
        <v>-2.2509899999999999E-6</v>
      </c>
      <c r="I8092">
        <v>11.86961</v>
      </c>
      <c r="J8092">
        <v>-361.40109999999999</v>
      </c>
      <c r="K8092">
        <v>1.1219079999999999</v>
      </c>
      <c r="L8092">
        <v>17.60904</v>
      </c>
      <c r="M8092">
        <v>0.999776</v>
      </c>
      <c r="N8092">
        <v>-1.4426949999999999E-2</v>
      </c>
      <c r="O8092">
        <v>1.549333E-2</v>
      </c>
      <c r="P8092">
        <v>0.98769229999999997</v>
      </c>
      <c r="Q8092">
        <v>0.1231008</v>
      </c>
      <c r="R8092">
        <v>-9.6490199999999998E-2</v>
      </c>
      <c r="S8092">
        <v>2.9458009999999999</v>
      </c>
      <c r="T8092">
        <v>-0.2715011</v>
      </c>
      <c r="U8092">
        <v>-1.388245</v>
      </c>
      <c r="V8092">
        <v>0.1117398</v>
      </c>
      <c r="W8092">
        <v>0.1373492</v>
      </c>
      <c r="X8092">
        <v>0.98419990000000002</v>
      </c>
      <c r="Y8092">
        <v>0.43841950000000002</v>
      </c>
      <c r="Z8092">
        <v>-2.362742E-2</v>
      </c>
      <c r="AA8092">
        <v>0.89845989999999998</v>
      </c>
      <c r="AB8092">
        <v>21</v>
      </c>
      <c r="AC8092">
        <v>11.999799999999899</v>
      </c>
      <c r="AD8092">
        <v>-1.1219102509900001</v>
      </c>
      <c r="AE8092">
        <v>-5.7394299999999996</v>
      </c>
      <c r="AF8092">
        <v>5.8828281052269897</v>
      </c>
      <c r="AG8092">
        <v>-1.1219102509900001</v>
      </c>
      <c r="AH8092">
        <v>11.825304833158301</v>
      </c>
      <c r="AI8092">
        <v>94.855227529097206</v>
      </c>
      <c r="AJ8092">
        <v>63.550668832023398</v>
      </c>
      <c r="AK8092">
        <v>13.2553454698111</v>
      </c>
      <c r="AL8092">
        <v>82.105515345978105</v>
      </c>
      <c r="AM8092">
        <v>83.522736806641305</v>
      </c>
      <c r="AN8092">
        <v>1.00000001440234</v>
      </c>
    </row>
    <row r="8093" spans="1:40" x14ac:dyDescent="0.25">
      <c r="A8093" t="str">
        <f>"20190303162112852"</f>
        <v>20190303162112852</v>
      </c>
      <c r="B8093" t="str">
        <f>"1551601272841227"</f>
        <v>1551601272841227</v>
      </c>
      <c r="C8093" t="s">
        <v>40</v>
      </c>
      <c r="D8093">
        <v>4.7373859999999999</v>
      </c>
      <c r="E8093">
        <v>0.6350808</v>
      </c>
      <c r="F8093" t="s">
        <v>41</v>
      </c>
      <c r="G8093">
        <v>-349.34429999999998</v>
      </c>
      <c r="H8093" s="1">
        <v>-2.280576E-6</v>
      </c>
      <c r="I8093">
        <v>11.831250000000001</v>
      </c>
      <c r="J8093">
        <v>-361.27089999999998</v>
      </c>
      <c r="K8093">
        <v>1.1219110000000001</v>
      </c>
      <c r="L8093">
        <v>17.611239999999999</v>
      </c>
      <c r="M8093">
        <v>0.99977320000000003</v>
      </c>
      <c r="N8093">
        <v>-1.4425520000000001E-2</v>
      </c>
      <c r="O8093">
        <v>1.5662840000000001E-2</v>
      </c>
      <c r="P8093">
        <v>0.98726990000000003</v>
      </c>
      <c r="Q8093">
        <v>0.1230253</v>
      </c>
      <c r="R8093">
        <v>-0.10081080000000001</v>
      </c>
      <c r="S8093">
        <v>2.934021</v>
      </c>
      <c r="T8093">
        <v>-0.27301720000000002</v>
      </c>
      <c r="U8093">
        <v>-1.4060060000000001</v>
      </c>
      <c r="V8093">
        <v>0.1162195</v>
      </c>
      <c r="W8093">
        <v>0.1372671</v>
      </c>
      <c r="X8093">
        <v>0.98369240000000002</v>
      </c>
      <c r="Y8093">
        <v>0.4443338</v>
      </c>
      <c r="Z8093">
        <v>-2.4113809999999999E-2</v>
      </c>
      <c r="AA8093">
        <v>0.89553669999999996</v>
      </c>
      <c r="AB8093">
        <v>21</v>
      </c>
      <c r="AC8093">
        <v>11.926600000000001</v>
      </c>
      <c r="AD8093">
        <v>-1.1219132805759999</v>
      </c>
      <c r="AE8093">
        <v>-5.77998999999999</v>
      </c>
      <c r="AF8093">
        <v>5.9236569002122499</v>
      </c>
      <c r="AG8093">
        <v>-1.1219132805759999</v>
      </c>
      <c r="AH8093">
        <v>11.750395075300499</v>
      </c>
      <c r="AI8093">
        <v>94.873121949525597</v>
      </c>
      <c r="AJ8093">
        <v>63.246227729407799</v>
      </c>
      <c r="AK8093">
        <v>13.206823422239401</v>
      </c>
      <c r="AL8093">
        <v>82.110264063393601</v>
      </c>
      <c r="AM8093">
        <v>83.261957664274206</v>
      </c>
      <c r="AN8093">
        <v>0.99999998337020901</v>
      </c>
    </row>
    <row r="8094" spans="1:40" x14ac:dyDescent="0.25">
      <c r="A8094" t="str">
        <f>"20190303162112865"</f>
        <v>20190303162112865</v>
      </c>
      <c r="B8094" t="str">
        <f>"1551601272860747"</f>
        <v>1551601272860747</v>
      </c>
      <c r="C8094" t="s">
        <v>40</v>
      </c>
      <c r="D8094">
        <v>4.7227800000000002</v>
      </c>
      <c r="E8094">
        <v>0.63437519999999903</v>
      </c>
      <c r="F8094" t="s">
        <v>41</v>
      </c>
      <c r="G8094">
        <v>-349.31049999999999</v>
      </c>
      <c r="H8094" s="1">
        <v>-2.2903299999999999E-6</v>
      </c>
      <c r="I8094">
        <v>11.8378</v>
      </c>
      <c r="J8094">
        <v>-361.14789999999999</v>
      </c>
      <c r="K8094">
        <v>1.121912</v>
      </c>
      <c r="L8094">
        <v>17.613340000000001</v>
      </c>
      <c r="M8094">
        <v>0.99977079999999996</v>
      </c>
      <c r="N8094">
        <v>-1.442411E-2</v>
      </c>
      <c r="O8094">
        <v>1.5824419999999999E-2</v>
      </c>
      <c r="P8094">
        <v>0.98690429999999996</v>
      </c>
      <c r="Q8094">
        <v>0.12283520000000001</v>
      </c>
      <c r="R8094">
        <v>-0.10455490000000001</v>
      </c>
      <c r="S8094">
        <v>2.9285580000000002</v>
      </c>
      <c r="T8094">
        <v>-0.27470670000000003</v>
      </c>
      <c r="U8094">
        <v>-1.413635</v>
      </c>
      <c r="V8094">
        <v>0.1201156</v>
      </c>
      <c r="W8094">
        <v>0.13707150000000001</v>
      </c>
      <c r="X8094">
        <v>0.9832516</v>
      </c>
      <c r="Y8094">
        <v>0.4469842</v>
      </c>
      <c r="Z8094">
        <v>-2.4419090000000001E-2</v>
      </c>
      <c r="AA8094">
        <v>0.89420849999999996</v>
      </c>
      <c r="AB8094">
        <v>21</v>
      </c>
      <c r="AC8094">
        <v>11.837400000000001</v>
      </c>
      <c r="AD8094">
        <v>-1.1219142903299999</v>
      </c>
      <c r="AE8094">
        <v>-5.7755400000000003</v>
      </c>
      <c r="AF8094">
        <v>5.9192092818567801</v>
      </c>
      <c r="AG8094">
        <v>-1.1219142903299999</v>
      </c>
      <c r="AH8094">
        <v>11.6599148305006</v>
      </c>
      <c r="AI8094">
        <v>94.903812685262494</v>
      </c>
      <c r="AJ8094">
        <v>63.085163609364102</v>
      </c>
      <c r="AK8094">
        <v>13.1243797587465</v>
      </c>
      <c r="AL8094">
        <v>82.121578441447298</v>
      </c>
      <c r="AM8094">
        <v>83.035164907043907</v>
      </c>
      <c r="AN8094">
        <v>1.00000003118908</v>
      </c>
    </row>
    <row r="8095" spans="1:40" x14ac:dyDescent="0.25">
      <c r="A8095" t="str">
        <f>"20190303162112882"</f>
        <v>20190303162112882</v>
      </c>
      <c r="B8095" t="str">
        <f>"1551601272870506"</f>
        <v>1551601272870506</v>
      </c>
      <c r="C8095" t="s">
        <v>40</v>
      </c>
      <c r="D8095">
        <v>4.7104330000000001</v>
      </c>
      <c r="E8095">
        <v>0.60932830000000004</v>
      </c>
      <c r="F8095" t="s">
        <v>41</v>
      </c>
      <c r="G8095">
        <v>-349.32479999999998</v>
      </c>
      <c r="H8095" s="1">
        <v>-2.2760579999999998E-6</v>
      </c>
      <c r="I8095">
        <v>11.87321</v>
      </c>
      <c r="J8095">
        <v>-360.99740000000003</v>
      </c>
      <c r="K8095">
        <v>1.121918</v>
      </c>
      <c r="L8095">
        <v>17.61591</v>
      </c>
      <c r="M8095">
        <v>0.99976759999999998</v>
      </c>
      <c r="N8095">
        <v>-1.4422030000000001E-2</v>
      </c>
      <c r="O8095">
        <v>1.6025330000000001E-2</v>
      </c>
      <c r="P8095">
        <v>0.98610830000000005</v>
      </c>
      <c r="Q8095">
        <v>0.1225805</v>
      </c>
      <c r="R8095">
        <v>-0.1120926</v>
      </c>
      <c r="S8095">
        <v>2.923889</v>
      </c>
      <c r="T8095">
        <v>-0.27745180000000003</v>
      </c>
      <c r="U8095">
        <v>-1.4195249999999999</v>
      </c>
      <c r="V8095">
        <v>0.1278368</v>
      </c>
      <c r="W8095">
        <v>0.1368046</v>
      </c>
      <c r="X8095">
        <v>0.98231480000000004</v>
      </c>
      <c r="Y8095">
        <v>0.44913110000000001</v>
      </c>
      <c r="Z8095">
        <v>-2.4781830000000001E-2</v>
      </c>
      <c r="AA8095">
        <v>0.89312209999999903</v>
      </c>
      <c r="AB8095">
        <v>21</v>
      </c>
      <c r="AC8095">
        <v>11.672599999999999</v>
      </c>
      <c r="AD8095">
        <v>-1.121920276058</v>
      </c>
      <c r="AE8095">
        <v>-5.7426999999999904</v>
      </c>
      <c r="AF8095">
        <v>5.8852650149797903</v>
      </c>
      <c r="AG8095">
        <v>-1.121920276058</v>
      </c>
      <c r="AH8095">
        <v>11.4935742916674</v>
      </c>
      <c r="AI8095">
        <v>94.965663591852206</v>
      </c>
      <c r="AJ8095">
        <v>62.885361647490598</v>
      </c>
      <c r="AK8095">
        <v>12.961377218507799</v>
      </c>
      <c r="AL8095">
        <v>82.137016310966203</v>
      </c>
      <c r="AM8095">
        <v>82.585294439174703</v>
      </c>
      <c r="AN8095">
        <v>1.00000005615721</v>
      </c>
    </row>
    <row r="8096" spans="1:40" x14ac:dyDescent="0.25">
      <c r="A8096" t="str">
        <f>"20190303162112893"</f>
        <v>20190303162112893</v>
      </c>
      <c r="B8096" t="str">
        <f>"1551601272881243"</f>
        <v>1551601272881243</v>
      </c>
      <c r="C8096" t="s">
        <v>40</v>
      </c>
      <c r="D8096">
        <v>4.7551509999999997</v>
      </c>
      <c r="E8096">
        <v>0.60910200000000003</v>
      </c>
      <c r="F8096" t="s">
        <v>41</v>
      </c>
      <c r="G8096">
        <v>-351.4796</v>
      </c>
      <c r="H8096" s="1">
        <v>-4.7072980000000002E-6</v>
      </c>
      <c r="I8096">
        <v>13.585240000000001</v>
      </c>
      <c r="J8096">
        <v>-360.88560000000001</v>
      </c>
      <c r="K8096">
        <v>1.121923</v>
      </c>
      <c r="L8096">
        <v>17.61786</v>
      </c>
      <c r="M8096">
        <v>0.99976520000000002</v>
      </c>
      <c r="N8096">
        <v>-1.442036E-2</v>
      </c>
      <c r="O8096">
        <v>1.6175869999999998E-2</v>
      </c>
      <c r="P8096">
        <v>0.98560179999999997</v>
      </c>
      <c r="Q8096">
        <v>0.1227304</v>
      </c>
      <c r="R8096">
        <v>-0.116302</v>
      </c>
      <c r="S8096">
        <v>2.9436650000000002</v>
      </c>
      <c r="T8096">
        <v>-0.3469894</v>
      </c>
      <c r="U8096">
        <v>-1.2465820000000001</v>
      </c>
      <c r="V8096">
        <v>0.1321852</v>
      </c>
      <c r="W8096">
        <v>0.13694589999999901</v>
      </c>
      <c r="X8096">
        <v>0.98171940000000002</v>
      </c>
      <c r="Y8096">
        <v>0.40203109999999997</v>
      </c>
      <c r="Z8096">
        <v>-2.7278420000000001E-2</v>
      </c>
      <c r="AA8096">
        <v>0.91521960000000002</v>
      </c>
      <c r="AB8096">
        <v>21</v>
      </c>
      <c r="AC8096">
        <v>9.4060000000000006</v>
      </c>
      <c r="AD8096">
        <v>-1.1219277072980001</v>
      </c>
      <c r="AE8096">
        <v>-4.0326199999999996</v>
      </c>
      <c r="AF8096">
        <v>4.1345683589395898</v>
      </c>
      <c r="AG8096">
        <v>-1.1219277072980001</v>
      </c>
      <c r="AH8096">
        <v>9.2286200024284994</v>
      </c>
      <c r="AI8096">
        <v>96.330787607927505</v>
      </c>
      <c r="AJ8096">
        <v>65.866862395405505</v>
      </c>
      <c r="AK8096">
        <v>10.174517405969199</v>
      </c>
      <c r="AL8096">
        <v>82.1288433972435</v>
      </c>
      <c r="AM8096">
        <v>82.331437885983803</v>
      </c>
      <c r="AN8096">
        <v>1.0000000434811001</v>
      </c>
    </row>
    <row r="8097" spans="1:40" x14ac:dyDescent="0.25">
      <c r="A8097" t="str">
        <f>"20190303162112904"</f>
        <v>20190303162112904</v>
      </c>
      <c r="B8097" t="str">
        <f>"1551601272891003"</f>
        <v>1551601272891003</v>
      </c>
      <c r="C8097" t="s">
        <v>40</v>
      </c>
      <c r="D8097">
        <v>4.8066620000000002</v>
      </c>
      <c r="E8097">
        <v>0.60858730000000005</v>
      </c>
      <c r="F8097" t="s">
        <v>41</v>
      </c>
      <c r="G8097">
        <v>-351.43310000000002</v>
      </c>
      <c r="H8097" s="1">
        <v>-4.7288240000000002E-6</v>
      </c>
      <c r="I8097">
        <v>13.576409999999999</v>
      </c>
      <c r="J8097">
        <v>-360.78109999999998</v>
      </c>
      <c r="K8097">
        <v>1.121926</v>
      </c>
      <c r="L8097">
        <v>17.619689999999999</v>
      </c>
      <c r="M8097">
        <v>0.99976299999999996</v>
      </c>
      <c r="N8097">
        <v>-1.4418769999999999E-2</v>
      </c>
      <c r="O8097">
        <v>1.6316319999999999E-2</v>
      </c>
      <c r="P8097">
        <v>0.98509950000000002</v>
      </c>
      <c r="Q8097">
        <v>0.12307419999999999</v>
      </c>
      <c r="R8097">
        <v>-0.120133</v>
      </c>
      <c r="S8097">
        <v>2.9389949999999998</v>
      </c>
      <c r="T8097">
        <v>-0.34883570000000003</v>
      </c>
      <c r="U8097">
        <v>-1.256561</v>
      </c>
      <c r="V8097">
        <v>0.13614509999999999</v>
      </c>
      <c r="W8097">
        <v>0.13728170000000001</v>
      </c>
      <c r="X8097">
        <v>0.98113110000000003</v>
      </c>
      <c r="Y8097">
        <v>0.40525539999999999</v>
      </c>
      <c r="Z8097">
        <v>-2.7651229999999999E-2</v>
      </c>
      <c r="AA8097">
        <v>0.91378519999999996</v>
      </c>
      <c r="AB8097">
        <v>21</v>
      </c>
      <c r="AC8097">
        <v>9.3479999999999492</v>
      </c>
      <c r="AD8097">
        <v>-1.1219307288239999</v>
      </c>
      <c r="AE8097">
        <v>-4.0432799999999904</v>
      </c>
      <c r="AF8097">
        <v>4.1449860028338597</v>
      </c>
      <c r="AG8097">
        <v>-1.1219307288239999</v>
      </c>
      <c r="AH8097">
        <v>9.1695115535305103</v>
      </c>
      <c r="AI8097">
        <v>96.361770556320806</v>
      </c>
      <c r="AJ8097">
        <v>65.675128596723496</v>
      </c>
      <c r="AK8097">
        <v>10.1251952896869</v>
      </c>
      <c r="AL8097">
        <v>82.109419637610003</v>
      </c>
      <c r="AM8097">
        <v>82.099890601797398</v>
      </c>
      <c r="AN8097">
        <v>0.99999999439805498</v>
      </c>
    </row>
    <row r="8098" spans="1:40" x14ac:dyDescent="0.25">
      <c r="A8098" t="str">
        <f>"20190303162112915"</f>
        <v>20190303162112915</v>
      </c>
      <c r="B8098" t="str">
        <f>"1551601272910523"</f>
        <v>1551601272910523</v>
      </c>
      <c r="C8098" t="s">
        <v>40</v>
      </c>
      <c r="D8098">
        <v>4.7584619999999997</v>
      </c>
      <c r="E8098">
        <v>0.60683500000000001</v>
      </c>
      <c r="F8098" t="s">
        <v>41</v>
      </c>
      <c r="G8098">
        <v>-351.48759999999999</v>
      </c>
      <c r="H8098" s="1">
        <v>-4.6982229999999998E-6</v>
      </c>
      <c r="I8098">
        <v>13.617229999999999</v>
      </c>
      <c r="J8098">
        <v>-360.68220000000002</v>
      </c>
      <c r="K8098">
        <v>1.121929</v>
      </c>
      <c r="L8098">
        <v>17.62143</v>
      </c>
      <c r="M8098">
        <v>0.99976069999999995</v>
      </c>
      <c r="N8098">
        <v>-1.4417070000000001E-2</v>
      </c>
      <c r="O8098">
        <v>1.6450159999999998E-2</v>
      </c>
      <c r="P8098">
        <v>0.98470729999999995</v>
      </c>
      <c r="Q8098">
        <v>0.12321070000000001</v>
      </c>
      <c r="R8098">
        <v>-0.1231695</v>
      </c>
      <c r="S8098">
        <v>2.9354550000000001</v>
      </c>
      <c r="T8098">
        <v>-0.3543731</v>
      </c>
      <c r="U8098">
        <v>-1.2641910000000001</v>
      </c>
      <c r="V8098">
        <v>0.13930590000000001</v>
      </c>
      <c r="W8098">
        <v>0.13741110000000001</v>
      </c>
      <c r="X8098">
        <v>0.98066920000000002</v>
      </c>
      <c r="Y8098">
        <v>0.40767429999999999</v>
      </c>
      <c r="Z8098">
        <v>-2.8231249999999999E-2</v>
      </c>
      <c r="AA8098">
        <v>0.91269089999999997</v>
      </c>
      <c r="AB8098">
        <v>21</v>
      </c>
      <c r="AC8098">
        <v>9.1946000000000296</v>
      </c>
      <c r="AD8098">
        <v>-1.1219336982229999</v>
      </c>
      <c r="AE8098">
        <v>-4.0042</v>
      </c>
      <c r="AF8098">
        <v>4.1035683188378496</v>
      </c>
      <c r="AG8098">
        <v>-1.1219336982229999</v>
      </c>
      <c r="AH8098">
        <v>9.0146562840626103</v>
      </c>
      <c r="AI8098">
        <v>96.462504014131795</v>
      </c>
      <c r="AJ8098">
        <v>65.524462358319795</v>
      </c>
      <c r="AK8098">
        <v>9.9680507668434206</v>
      </c>
      <c r="AL8098">
        <v>82.101934768777696</v>
      </c>
      <c r="AM8098">
        <v>81.915118335799207</v>
      </c>
      <c r="AN8098">
        <v>1.0000000120033199</v>
      </c>
    </row>
    <row r="8099" spans="1:40" x14ac:dyDescent="0.25">
      <c r="A8099" t="str">
        <f>"20190303162112927"</f>
        <v>20190303162112927</v>
      </c>
      <c r="B8099" t="str">
        <f>"1551601272921259"</f>
        <v>1551601272921259</v>
      </c>
      <c r="C8099" t="s">
        <v>40</v>
      </c>
      <c r="D8099">
        <v>4.7352049999999997</v>
      </c>
      <c r="E8099">
        <v>0.60698459999999999</v>
      </c>
      <c r="F8099" t="s">
        <v>41</v>
      </c>
      <c r="G8099">
        <v>-351.57510000000002</v>
      </c>
      <c r="H8099" s="1">
        <v>-4.6440849999999999E-6</v>
      </c>
      <c r="I8099">
        <v>13.710750000000001</v>
      </c>
      <c r="J8099">
        <v>-360.57100000000003</v>
      </c>
      <c r="K8099">
        <v>1.121929</v>
      </c>
      <c r="L8099">
        <v>17.62341</v>
      </c>
      <c r="M8099">
        <v>0.99975829999999999</v>
      </c>
      <c r="N8099">
        <v>-1.441513E-2</v>
      </c>
      <c r="O8099">
        <v>1.6600799999999999E-2</v>
      </c>
      <c r="P8099">
        <v>0.98433459999999995</v>
      </c>
      <c r="Q8099">
        <v>0.1234267</v>
      </c>
      <c r="R8099">
        <v>-0.1259014</v>
      </c>
      <c r="S8099">
        <v>2.9342039999999998</v>
      </c>
      <c r="T8099">
        <v>-0.36147430000000003</v>
      </c>
      <c r="U8099">
        <v>-1.259949</v>
      </c>
      <c r="V8099">
        <v>0.142179</v>
      </c>
      <c r="W8099">
        <v>0.1376203</v>
      </c>
      <c r="X8099">
        <v>0.98022739999999997</v>
      </c>
      <c r="Y8099">
        <v>0.40672999999999998</v>
      </c>
      <c r="Z8099">
        <v>-2.8706010000000001E-2</v>
      </c>
      <c r="AA8099">
        <v>0.9130973</v>
      </c>
      <c r="AB8099">
        <v>21</v>
      </c>
      <c r="AC8099">
        <v>8.9958999999999492</v>
      </c>
      <c r="AD8099">
        <v>-1.1219336440850001</v>
      </c>
      <c r="AE8099">
        <v>-3.91265999999999</v>
      </c>
      <c r="AF8099">
        <v>4.0090379947957402</v>
      </c>
      <c r="AG8099">
        <v>-1.1219336440850001</v>
      </c>
      <c r="AH8099">
        <v>8.8144094350983995</v>
      </c>
      <c r="AI8099">
        <v>96.608981100704497</v>
      </c>
      <c r="AJ8099">
        <v>65.542641972496995</v>
      </c>
      <c r="AK8099">
        <v>9.7480733704151792</v>
      </c>
      <c r="AL8099">
        <v>82.089833312928505</v>
      </c>
      <c r="AM8099">
        <v>81.746977840434596</v>
      </c>
      <c r="AN8099">
        <v>0.99999998536192403</v>
      </c>
    </row>
    <row r="8100" spans="1:40" x14ac:dyDescent="0.25">
      <c r="A8100" t="str">
        <f>"20190303162112937"</f>
        <v>20190303162112937</v>
      </c>
      <c r="B8100" t="str">
        <f>"1551601272931018"</f>
        <v>1551601272931018</v>
      </c>
      <c r="C8100" t="s">
        <v>40</v>
      </c>
      <c r="D8100">
        <v>4.7604340000000001</v>
      </c>
      <c r="E8100">
        <v>0.60647399999999996</v>
      </c>
      <c r="F8100" t="s">
        <v>41</v>
      </c>
      <c r="G8100">
        <v>-351.44080000000002</v>
      </c>
      <c r="H8100" s="1">
        <v>-4.709088E-6</v>
      </c>
      <c r="I8100">
        <v>13.66924</v>
      </c>
      <c r="J8100">
        <v>-360.46460000000002</v>
      </c>
      <c r="K8100">
        <v>1.1219300000000001</v>
      </c>
      <c r="L8100">
        <v>17.625339999999898</v>
      </c>
      <c r="M8100">
        <v>0.99975610000000004</v>
      </c>
      <c r="N8100">
        <v>-1.441316E-2</v>
      </c>
      <c r="O8100">
        <v>1.6744760000000001E-2</v>
      </c>
      <c r="P8100">
        <v>0.98407520000000004</v>
      </c>
      <c r="Q8100">
        <v>0.12332750000000001</v>
      </c>
      <c r="R8100">
        <v>-0.12800989999999901</v>
      </c>
      <c r="S8100">
        <v>2.9305729999999999</v>
      </c>
      <c r="T8100">
        <v>-0.36011280000000001</v>
      </c>
      <c r="U8100">
        <v>-1.2691650000000001</v>
      </c>
      <c r="V8100">
        <v>0.1444241</v>
      </c>
      <c r="W8100">
        <v>0.13751549999999901</v>
      </c>
      <c r="X8100">
        <v>0.97991379999999995</v>
      </c>
      <c r="Y8100">
        <v>0.40968719999999997</v>
      </c>
      <c r="Z8100">
        <v>-2.8835349999999999E-2</v>
      </c>
      <c r="AA8100">
        <v>0.91177019999999998</v>
      </c>
      <c r="AB8100">
        <v>21</v>
      </c>
      <c r="AC8100">
        <v>9.0237999999999907</v>
      </c>
      <c r="AD8100">
        <v>-1.1219347090880001</v>
      </c>
      <c r="AE8100">
        <v>-3.95609999999999</v>
      </c>
      <c r="AF8100">
        <v>4.0540967503666696</v>
      </c>
      <c r="AG8100">
        <v>-1.1219347090880001</v>
      </c>
      <c r="AH8100">
        <v>8.8416428171492498</v>
      </c>
      <c r="AI8100">
        <v>96.579697016888602</v>
      </c>
      <c r="AJ8100">
        <v>65.367454438818399</v>
      </c>
      <c r="AK8100">
        <v>9.7912759974804509</v>
      </c>
      <c r="AL8100">
        <v>82.095895222684305</v>
      </c>
      <c r="AM8100">
        <v>81.615850159631805</v>
      </c>
      <c r="AN8100">
        <v>0.99999994441574802</v>
      </c>
    </row>
    <row r="8101" spans="1:40" x14ac:dyDescent="0.25">
      <c r="A8101" t="str">
        <f>"20190303162112950"</f>
        <v>20190303162112950</v>
      </c>
      <c r="B8101" t="str">
        <f>"1551601272940778"</f>
        <v>1551601272940778</v>
      </c>
      <c r="C8101" t="s">
        <v>40</v>
      </c>
      <c r="D8101">
        <v>4.7635610000000002</v>
      </c>
      <c r="E8101">
        <v>0.60591269999999997</v>
      </c>
      <c r="F8101" t="s">
        <v>41</v>
      </c>
      <c r="G8101">
        <v>-351.38350000000003</v>
      </c>
      <c r="H8101" s="1">
        <v>-4.7310729999999998E-6</v>
      </c>
      <c r="I8101">
        <v>13.683759999999999</v>
      </c>
      <c r="J8101">
        <v>-360.358</v>
      </c>
      <c r="K8101">
        <v>1.1219330000000001</v>
      </c>
      <c r="L8101">
        <v>17.62726</v>
      </c>
      <c r="M8101">
        <v>0.99975369999999997</v>
      </c>
      <c r="N8101">
        <v>-1.4411159999999999E-2</v>
      </c>
      <c r="O8101">
        <v>1.6888839999999999E-2</v>
      </c>
      <c r="P8101">
        <v>0.98380979999999996</v>
      </c>
      <c r="Q8101">
        <v>0.12374060000000001</v>
      </c>
      <c r="R8101">
        <v>-0.12964319999999999</v>
      </c>
      <c r="S8101">
        <v>2.9285580000000002</v>
      </c>
      <c r="T8101">
        <v>-0.36181140000000001</v>
      </c>
      <c r="U8101">
        <v>-1.271088</v>
      </c>
      <c r="V8101">
        <v>0.14619370000000001</v>
      </c>
      <c r="W8101">
        <v>0.13792309999999999</v>
      </c>
      <c r="X8101">
        <v>0.97959410000000002</v>
      </c>
      <c r="Y8101">
        <v>0.41051409999999999</v>
      </c>
      <c r="Z8101">
        <v>-2.9040440000000001E-2</v>
      </c>
      <c r="AA8101">
        <v>0.91139170000000003</v>
      </c>
      <c r="AB8101">
        <v>21</v>
      </c>
      <c r="AC8101">
        <v>8.9744999999999706</v>
      </c>
      <c r="AD8101">
        <v>-1.1219377310729901</v>
      </c>
      <c r="AE8101">
        <v>-3.94349999999999</v>
      </c>
      <c r="AF8101">
        <v>4.0415803668321901</v>
      </c>
      <c r="AG8101">
        <v>-1.1219377310729901</v>
      </c>
      <c r="AH8101">
        <v>8.7914502722404393</v>
      </c>
      <c r="AI8101">
        <v>96.6139786745034</v>
      </c>
      <c r="AJ8101">
        <v>65.310947522099397</v>
      </c>
      <c r="AK8101">
        <v>9.7407758429832096</v>
      </c>
      <c r="AL8101">
        <v>82.072317154073502</v>
      </c>
      <c r="AM8101">
        <v>81.511878561967606</v>
      </c>
      <c r="AN8101">
        <v>0.99999999009405505</v>
      </c>
    </row>
    <row r="8102" spans="1:40" x14ac:dyDescent="0.25">
      <c r="A8102" t="str">
        <f>"20190303162112961"</f>
        <v>20190303162112961</v>
      </c>
      <c r="B8102" t="str">
        <f>"1551601272950539"</f>
        <v>1551601272950539</v>
      </c>
      <c r="C8102" t="s">
        <v>40</v>
      </c>
      <c r="D8102">
        <v>4.765091</v>
      </c>
      <c r="E8102">
        <v>0.60572630000000005</v>
      </c>
      <c r="F8102" t="s">
        <v>41</v>
      </c>
      <c r="G8102">
        <v>-351.3039</v>
      </c>
      <c r="H8102" s="1">
        <v>-4.762933E-6</v>
      </c>
      <c r="I8102">
        <v>13.6966</v>
      </c>
      <c r="J8102">
        <v>-360.24619999999999</v>
      </c>
      <c r="K8102">
        <v>1.121937</v>
      </c>
      <c r="L8102">
        <v>17.629300000000001</v>
      </c>
      <c r="M8102">
        <v>0.99975099999999995</v>
      </c>
      <c r="N8102">
        <v>-1.440901E-2</v>
      </c>
      <c r="O8102">
        <v>1.7040119999999999E-2</v>
      </c>
      <c r="P8102">
        <v>0.98351639999999996</v>
      </c>
      <c r="Q8102">
        <v>0.1242345</v>
      </c>
      <c r="R8102">
        <v>-0.13138269999999999</v>
      </c>
      <c r="S8102">
        <v>2.927521</v>
      </c>
      <c r="T8102">
        <v>-0.362765</v>
      </c>
      <c r="U8102">
        <v>-1.270905</v>
      </c>
      <c r="V8102">
        <v>0.1480764</v>
      </c>
      <c r="W8102">
        <v>0.13841049999999999</v>
      </c>
      <c r="X8102">
        <v>0.97924250000000002</v>
      </c>
      <c r="Y8102">
        <v>0.41070259999999997</v>
      </c>
      <c r="Z8102">
        <v>-2.9145830000000001E-2</v>
      </c>
      <c r="AA8102">
        <v>0.91130350000000004</v>
      </c>
      <c r="AB8102">
        <v>21</v>
      </c>
      <c r="AC8102">
        <v>8.9422999999999799</v>
      </c>
      <c r="AD8102">
        <v>-1.121941762933</v>
      </c>
      <c r="AE8102">
        <v>-3.9327000000000001</v>
      </c>
      <c r="AF8102">
        <v>4.0313482213039498</v>
      </c>
      <c r="AG8102">
        <v>-1.121941762933</v>
      </c>
      <c r="AH8102">
        <v>8.7584548494359193</v>
      </c>
      <c r="AI8102">
        <v>96.637289184241894</v>
      </c>
      <c r="AJ8102">
        <v>65.284294408275798</v>
      </c>
      <c r="AK8102">
        <v>9.7067529663853804</v>
      </c>
      <c r="AL8102">
        <v>82.044120679575499</v>
      </c>
      <c r="AM8102">
        <v>81.4011500041033</v>
      </c>
      <c r="AN8102">
        <v>0.99999998027672898</v>
      </c>
    </row>
    <row r="8103" spans="1:40" x14ac:dyDescent="0.25">
      <c r="A8103" t="str">
        <f>"20190303162112972"</f>
        <v>20190303162112972</v>
      </c>
      <c r="B8103" t="str">
        <f>"1551601272961275"</f>
        <v>1551601272961275</v>
      </c>
      <c r="C8103" t="s">
        <v>40</v>
      </c>
      <c r="D8103">
        <v>4.735341</v>
      </c>
      <c r="E8103">
        <v>0.605043</v>
      </c>
      <c r="F8103" t="s">
        <v>41</v>
      </c>
      <c r="G8103">
        <v>-351.16809999999998</v>
      </c>
      <c r="H8103" s="1">
        <v>-4.8248269999999996E-6</v>
      </c>
      <c r="I8103">
        <v>13.67618</v>
      </c>
      <c r="J8103">
        <v>-360.14980000000003</v>
      </c>
      <c r="K8103">
        <v>1.1219380000000001</v>
      </c>
      <c r="L8103">
        <v>17.631070000000001</v>
      </c>
      <c r="M8103">
        <v>0.99974879999999999</v>
      </c>
      <c r="N8103">
        <v>-1.4407110000000001E-2</v>
      </c>
      <c r="O8103">
        <v>1.7170310000000001E-2</v>
      </c>
      <c r="P8103">
        <v>0.98318879999999997</v>
      </c>
      <c r="Q8103">
        <v>0.1252595</v>
      </c>
      <c r="R8103">
        <v>-0.1328539</v>
      </c>
      <c r="S8103">
        <v>2.9257810000000002</v>
      </c>
      <c r="T8103">
        <v>-0.36158879999999999</v>
      </c>
      <c r="U8103">
        <v>-1.274017</v>
      </c>
      <c r="V8103">
        <v>0.1496691</v>
      </c>
      <c r="W8103">
        <v>0.13942850000000001</v>
      </c>
      <c r="X8103">
        <v>0.9788559</v>
      </c>
      <c r="Y8103">
        <v>0.41184209999999899</v>
      </c>
      <c r="Z8103">
        <v>-2.915976E-2</v>
      </c>
      <c r="AA8103">
        <v>0.9107885</v>
      </c>
      <c r="AB8103">
        <v>21</v>
      </c>
      <c r="AC8103">
        <v>8.9817000000000409</v>
      </c>
      <c r="AD8103">
        <v>-1.12194282482699</v>
      </c>
      <c r="AE8103">
        <v>-3.9548899999999998</v>
      </c>
      <c r="AF8103">
        <v>4.0555373741917897</v>
      </c>
      <c r="AG8103">
        <v>-1.12194282482699</v>
      </c>
      <c r="AH8103">
        <v>8.7974827594368392</v>
      </c>
      <c r="AI8103">
        <v>96.6063506532698</v>
      </c>
      <c r="AJ8103">
        <v>65.250847202624698</v>
      </c>
      <c r="AK8103">
        <v>9.7520173296726504</v>
      </c>
      <c r="AL8103">
        <v>81.985222712176494</v>
      </c>
      <c r="AM8103">
        <v>81.306686177458303</v>
      </c>
      <c r="AN8103">
        <v>1.00000000953593</v>
      </c>
    </row>
    <row r="8104" spans="1:40" x14ac:dyDescent="0.25">
      <c r="A8104" t="str">
        <f>"20190303162112983"</f>
        <v>20190303162112983</v>
      </c>
      <c r="B8104" t="str">
        <f>"1551601272971035"</f>
        <v>1551601272971035</v>
      </c>
      <c r="C8104" t="s">
        <v>40</v>
      </c>
      <c r="D8104">
        <v>4.7594510000000003</v>
      </c>
      <c r="E8104">
        <v>0.60444100000000001</v>
      </c>
      <c r="F8104" t="s">
        <v>41</v>
      </c>
      <c r="G8104">
        <v>-351.05610000000001</v>
      </c>
      <c r="H8104" s="1">
        <v>-4.8729980000000001E-6</v>
      </c>
      <c r="I8104">
        <v>13.67548</v>
      </c>
      <c r="J8104">
        <v>-360.04259999999999</v>
      </c>
      <c r="K8104">
        <v>1.121945</v>
      </c>
      <c r="L8104">
        <v>17.63306</v>
      </c>
      <c r="M8104">
        <v>0.99974640000000004</v>
      </c>
      <c r="N8104">
        <v>-1.440498E-2</v>
      </c>
      <c r="O8104">
        <v>1.7314909999999999E-2</v>
      </c>
      <c r="P8104">
        <v>0.98272040000000005</v>
      </c>
      <c r="Q8104">
        <v>0.1266881</v>
      </c>
      <c r="R8104">
        <v>-0.13494809999999999</v>
      </c>
      <c r="S8104">
        <v>2.9253230000000001</v>
      </c>
      <c r="T8104">
        <v>-0.36091259999999997</v>
      </c>
      <c r="U8104">
        <v>-1.2724299999999999</v>
      </c>
      <c r="V8104">
        <v>0.15189620000000001</v>
      </c>
      <c r="W8104">
        <v>0.14084820000000001</v>
      </c>
      <c r="X8104">
        <v>0.9783094</v>
      </c>
      <c r="Y8104">
        <v>0.41162080000000001</v>
      </c>
      <c r="Z8104">
        <v>-2.9116980000000001E-2</v>
      </c>
      <c r="AA8104">
        <v>0.91088999999999998</v>
      </c>
      <c r="AB8104">
        <v>21</v>
      </c>
      <c r="AC8104">
        <v>8.9864999999999693</v>
      </c>
      <c r="AD8104">
        <v>-1.121949872998</v>
      </c>
      <c r="AE8104">
        <v>-3.9575800000000001</v>
      </c>
      <c r="AF8104">
        <v>4.0596044522024597</v>
      </c>
      <c r="AG8104">
        <v>-1.121949872998</v>
      </c>
      <c r="AH8104">
        <v>8.8017126911548296</v>
      </c>
      <c r="AI8104">
        <v>96.602646320367398</v>
      </c>
      <c r="AJ8104">
        <v>65.2394819908356</v>
      </c>
      <c r="AK8104">
        <v>9.7575256148010308</v>
      </c>
      <c r="AL8104">
        <v>81.903068922185895</v>
      </c>
      <c r="AM8104">
        <v>81.174498151649004</v>
      </c>
      <c r="AN8104">
        <v>0.99999997657301898</v>
      </c>
    </row>
    <row r="8105" spans="1:40" x14ac:dyDescent="0.25">
      <c r="A8105" t="str">
        <f>"20190303162112993"</f>
        <v>20190303162112993</v>
      </c>
      <c r="B8105" t="str">
        <f>"1551601272980794"</f>
        <v>1551601272980794</v>
      </c>
      <c r="C8105" t="s">
        <v>40</v>
      </c>
      <c r="D8105">
        <v>4.7599260000000001</v>
      </c>
      <c r="E8105">
        <v>0.60402129999999998</v>
      </c>
      <c r="F8105" t="s">
        <v>41</v>
      </c>
      <c r="G8105">
        <v>-350.88080000000002</v>
      </c>
      <c r="H8105" s="1">
        <v>-4.9539220000000003E-6</v>
      </c>
      <c r="I8105">
        <v>13.64317</v>
      </c>
      <c r="J8105">
        <v>-359.94990000000001</v>
      </c>
      <c r="K8105">
        <v>1.1219490000000001</v>
      </c>
      <c r="L8105">
        <v>17.634829999999901</v>
      </c>
      <c r="M8105">
        <v>0.99974430000000003</v>
      </c>
      <c r="N8105">
        <v>-1.440309E-2</v>
      </c>
      <c r="O8105">
        <v>1.7439550000000002E-2</v>
      </c>
      <c r="P8105">
        <v>0.98221890000000001</v>
      </c>
      <c r="Q8105">
        <v>0.12812180000000001</v>
      </c>
      <c r="R8105">
        <v>-0.13722609999999999</v>
      </c>
      <c r="S8105">
        <v>2.924042</v>
      </c>
      <c r="T8105">
        <v>-0.35807899999999998</v>
      </c>
      <c r="U8105">
        <v>-1.2733760000000001</v>
      </c>
      <c r="V8105">
        <v>0.15428720000000001</v>
      </c>
      <c r="W8105">
        <v>0.14227239999999999</v>
      </c>
      <c r="X8105">
        <v>0.97772899999999996</v>
      </c>
      <c r="Y8105">
        <v>0.4121669</v>
      </c>
      <c r="Z8105">
        <v>-2.8969669999999999E-2</v>
      </c>
      <c r="AA8105">
        <v>0.91064769999999995</v>
      </c>
      <c r="AB8105">
        <v>21</v>
      </c>
      <c r="AC8105">
        <v>9.0690999999999899</v>
      </c>
      <c r="AD8105">
        <v>-1.121953953922</v>
      </c>
      <c r="AE8105">
        <v>-3.9916599999999902</v>
      </c>
      <c r="AF8105">
        <v>4.0967067617282398</v>
      </c>
      <c r="AG8105">
        <v>-1.121953953922</v>
      </c>
      <c r="AH8105">
        <v>8.8841971073257007</v>
      </c>
      <c r="AI8105">
        <v>96.542163631644698</v>
      </c>
      <c r="AJ8105">
        <v>65.244491056272594</v>
      </c>
      <c r="AK8105">
        <v>9.8473725027605994</v>
      </c>
      <c r="AL8105">
        <v>81.820638238741694</v>
      </c>
      <c r="AM8105">
        <v>81.032580037090597</v>
      </c>
      <c r="AN8105">
        <v>0.99999998666329903</v>
      </c>
    </row>
    <row r="8106" spans="1:40" x14ac:dyDescent="0.25">
      <c r="A8106" t="str">
        <f>"20190303162113005"</f>
        <v>20190303162113005</v>
      </c>
      <c r="B8106" t="str">
        <f>"1551601273001292"</f>
        <v>1551601273001292</v>
      </c>
      <c r="C8106" t="s">
        <v>40</v>
      </c>
      <c r="D8106">
        <v>4.7434289999999999</v>
      </c>
      <c r="E8106">
        <v>0.60258599999999996</v>
      </c>
      <c r="F8106" t="s">
        <v>41</v>
      </c>
      <c r="G8106">
        <v>-350.68110000000001</v>
      </c>
      <c r="H8106" s="1">
        <v>-5.0494749999999996E-6</v>
      </c>
      <c r="I8106">
        <v>13.58752</v>
      </c>
      <c r="J8106">
        <v>-359.84359999999998</v>
      </c>
      <c r="K8106">
        <v>1.1219479999999999</v>
      </c>
      <c r="L8106">
        <v>17.636810000000001</v>
      </c>
      <c r="M8106">
        <v>0.99974169999999996</v>
      </c>
      <c r="N8106">
        <v>-1.4400899999999999E-2</v>
      </c>
      <c r="O8106">
        <v>1.7582779999999999E-2</v>
      </c>
      <c r="P8106">
        <v>0.98177669999999995</v>
      </c>
      <c r="Q8106">
        <v>0.1288763</v>
      </c>
      <c r="R8106">
        <v>-0.13966310000000001</v>
      </c>
      <c r="S8106">
        <v>2.92218</v>
      </c>
      <c r="T8106">
        <v>-0.35371960000000002</v>
      </c>
      <c r="U8106">
        <v>-1.27597</v>
      </c>
      <c r="V8106">
        <v>0.1568561</v>
      </c>
      <c r="W8106">
        <v>0.14301810000000001</v>
      </c>
      <c r="X8106">
        <v>0.97721139999999995</v>
      </c>
      <c r="Y8106">
        <v>0.41324719999999998</v>
      </c>
      <c r="Z8106">
        <v>-2.874964E-2</v>
      </c>
      <c r="AA8106">
        <v>0.910165</v>
      </c>
      <c r="AB8106">
        <v>21</v>
      </c>
      <c r="AC8106">
        <v>9.1624999999999606</v>
      </c>
      <c r="AD8106">
        <v>-1.1219530494750001</v>
      </c>
      <c r="AE8106">
        <v>-4.0492899999999903</v>
      </c>
      <c r="AF8106">
        <v>4.1576290530081801</v>
      </c>
      <c r="AG8106">
        <v>-1.1219530494750001</v>
      </c>
      <c r="AH8106">
        <v>8.9772662791712605</v>
      </c>
      <c r="AI8106">
        <v>96.470011833289504</v>
      </c>
      <c r="AJ8106">
        <v>65.149794639259994</v>
      </c>
      <c r="AK8106">
        <v>9.9567046674484292</v>
      </c>
      <c r="AL8106">
        <v>81.777472006791399</v>
      </c>
      <c r="AM8106">
        <v>80.881011064760898</v>
      </c>
      <c r="AN8106">
        <v>1.0000000666623801</v>
      </c>
    </row>
    <row r="8107" spans="1:40" x14ac:dyDescent="0.25">
      <c r="A8107" t="str">
        <f>"20190303162113015"</f>
        <v>20190303162113015</v>
      </c>
      <c r="B8107" t="str">
        <f>"1551601273011051"</f>
        <v>1551601273011051</v>
      </c>
      <c r="C8107" t="s">
        <v>40</v>
      </c>
      <c r="D8107">
        <v>4.7471129999999997</v>
      </c>
      <c r="E8107">
        <v>0.60204230000000003</v>
      </c>
      <c r="F8107" t="s">
        <v>41</v>
      </c>
      <c r="G8107">
        <v>-350.67750000000001</v>
      </c>
      <c r="H8107" s="1">
        <v>-5.0403169999999997E-6</v>
      </c>
      <c r="I8107">
        <v>13.647830000000001</v>
      </c>
      <c r="J8107">
        <v>-359.74380000000002</v>
      </c>
      <c r="K8107">
        <v>1.1219490000000001</v>
      </c>
      <c r="L8107">
        <v>17.6387</v>
      </c>
      <c r="M8107">
        <v>0.9997395</v>
      </c>
      <c r="N8107">
        <v>-1.439882E-2</v>
      </c>
      <c r="O8107">
        <v>1.7716599999999999E-2</v>
      </c>
      <c r="P8107">
        <v>0.98134370000000004</v>
      </c>
      <c r="Q8107">
        <v>0.12983119999999901</v>
      </c>
      <c r="R8107">
        <v>-0.1418056</v>
      </c>
      <c r="S8107">
        <v>2.9217529999999998</v>
      </c>
      <c r="T8107">
        <v>-0.35762909999999998</v>
      </c>
      <c r="U8107">
        <v>-1.2714840000000001</v>
      </c>
      <c r="V8107">
        <v>0.1591214</v>
      </c>
      <c r="W8107">
        <v>0.14396419999999999</v>
      </c>
      <c r="X8107">
        <v>0.97670599999999996</v>
      </c>
      <c r="Y8107">
        <v>0.41218529999999998</v>
      </c>
      <c r="Z8107">
        <v>-2.8987659999999998E-2</v>
      </c>
      <c r="AA8107">
        <v>0.91063879999999997</v>
      </c>
      <c r="AB8107">
        <v>21</v>
      </c>
      <c r="AC8107">
        <v>9.0663000000000107</v>
      </c>
      <c r="AD8107">
        <v>-1.1219540403170001</v>
      </c>
      <c r="AE8107">
        <v>-3.9908700000000001</v>
      </c>
      <c r="AF8107">
        <v>4.0983095454732297</v>
      </c>
      <c r="AG8107">
        <v>-1.1219540403170001</v>
      </c>
      <c r="AH8107">
        <v>8.8802457700838602</v>
      </c>
      <c r="AI8107">
        <v>96.544098131158194</v>
      </c>
      <c r="AJ8107">
        <v>65.226271246204902</v>
      </c>
      <c r="AK8107">
        <v>9.8444749446678497</v>
      </c>
      <c r="AL8107">
        <v>81.722696760452195</v>
      </c>
      <c r="AM8107">
        <v>80.746872568867403</v>
      </c>
      <c r="AN8107">
        <v>0.99999996062779895</v>
      </c>
    </row>
    <row r="8108" spans="1:40" x14ac:dyDescent="0.25">
      <c r="A8108" t="str">
        <f>"20190303162113028"</f>
        <v>20190303162113028</v>
      </c>
      <c r="B8108" t="str">
        <f>"1551601273020810"</f>
        <v>1551601273020810</v>
      </c>
      <c r="C8108" t="s">
        <v>40</v>
      </c>
      <c r="D8108">
        <v>4.8118119999999998</v>
      </c>
      <c r="E8108">
        <v>0.60196700000000003</v>
      </c>
      <c r="F8108" t="s">
        <v>41</v>
      </c>
      <c r="G8108">
        <v>-350.57049999999998</v>
      </c>
      <c r="H8108" s="1">
        <v>-5.0875739999999999E-6</v>
      </c>
      <c r="I8108">
        <v>13.640180000000001</v>
      </c>
      <c r="J8108">
        <v>-359.62849999999997</v>
      </c>
      <c r="K8108">
        <v>1.1219479999999999</v>
      </c>
      <c r="L8108">
        <v>17.640899999999998</v>
      </c>
      <c r="M8108">
        <v>0.99973670000000003</v>
      </c>
      <c r="N8108">
        <v>-1.439641E-2</v>
      </c>
      <c r="O8108">
        <v>1.7871330000000001E-2</v>
      </c>
      <c r="P8108">
        <v>0.98099939999999997</v>
      </c>
      <c r="Q8108">
        <v>0.1300268</v>
      </c>
      <c r="R8108">
        <v>-0.14399089999999901</v>
      </c>
      <c r="S8108">
        <v>2.9203489999999999</v>
      </c>
      <c r="T8108">
        <v>-0.3571781</v>
      </c>
      <c r="U8108">
        <v>-1.2729189999999999</v>
      </c>
      <c r="V8108">
        <v>0.16145179999999901</v>
      </c>
      <c r="W8108">
        <v>0.14415249999999999</v>
      </c>
      <c r="X8108">
        <v>0.97629569999999999</v>
      </c>
      <c r="Y8108">
        <v>0.4128617</v>
      </c>
      <c r="Z8108">
        <v>-2.9024339999999999E-2</v>
      </c>
      <c r="AA8108">
        <v>0.91033109999999995</v>
      </c>
      <c r="AB8108">
        <v>21</v>
      </c>
      <c r="AC8108">
        <v>9.0579999999999892</v>
      </c>
      <c r="AD8108">
        <v>-1.121953087574</v>
      </c>
      <c r="AE8108">
        <v>-4.0007199999999896</v>
      </c>
      <c r="AF8108">
        <v>4.1092231453367498</v>
      </c>
      <c r="AG8108">
        <v>-1.121953087574</v>
      </c>
      <c r="AH8108">
        <v>8.8711619894807505</v>
      </c>
      <c r="AI8108">
        <v>96.546524520523207</v>
      </c>
      <c r="AJ8108">
        <v>65.145891202818106</v>
      </c>
      <c r="AK8108">
        <v>9.8408337366554601</v>
      </c>
      <c r="AL8108">
        <v>81.711794240856193</v>
      </c>
      <c r="AM8108">
        <v>80.609876863417597</v>
      </c>
      <c r="AN8108">
        <v>0.99999996040898897</v>
      </c>
    </row>
    <row r="8109" spans="1:40" x14ac:dyDescent="0.25">
      <c r="A8109" t="str">
        <f>"20190303162113041"</f>
        <v>20190303162113041</v>
      </c>
      <c r="B8109" t="str">
        <f>"1551601273030571"</f>
        <v>1551601273030571</v>
      </c>
      <c r="C8109" t="s">
        <v>40</v>
      </c>
      <c r="D8109">
        <v>4.7634369999999997</v>
      </c>
      <c r="E8109">
        <v>0.60146709999999903</v>
      </c>
      <c r="F8109" t="s">
        <v>41</v>
      </c>
      <c r="G8109">
        <v>-350.4128</v>
      </c>
      <c r="H8109" s="1">
        <v>-5.16182E-6</v>
      </c>
      <c r="I8109">
        <v>13.603179999999901</v>
      </c>
      <c r="J8109">
        <v>-359.51010000000002</v>
      </c>
      <c r="K8109">
        <v>1.1219479999999999</v>
      </c>
      <c r="L8109">
        <v>17.643190000000001</v>
      </c>
      <c r="M8109">
        <v>0.99973380000000001</v>
      </c>
      <c r="N8109">
        <v>-1.4393970000000001E-2</v>
      </c>
      <c r="O8109">
        <v>1.8030060000000001E-2</v>
      </c>
      <c r="P8109">
        <v>0.98070570000000001</v>
      </c>
      <c r="Q8109">
        <v>0.1299768</v>
      </c>
      <c r="R8109">
        <v>-0.14602229999999999</v>
      </c>
      <c r="S8109">
        <v>2.9175719999999998</v>
      </c>
      <c r="T8109">
        <v>-0.35519479999999998</v>
      </c>
      <c r="U8109">
        <v>-1.278259</v>
      </c>
      <c r="V8109">
        <v>0.1636329</v>
      </c>
      <c r="W8109">
        <v>0.144095899999999</v>
      </c>
      <c r="X8109">
        <v>0.9759409</v>
      </c>
      <c r="Y8109">
        <v>0.41473660000000001</v>
      </c>
      <c r="Z8109">
        <v>-2.9033460000000001E-2</v>
      </c>
      <c r="AA8109">
        <v>0.90947820000000001</v>
      </c>
      <c r="AB8109">
        <v>21</v>
      </c>
      <c r="AC8109">
        <v>9.0973000000000095</v>
      </c>
      <c r="AD8109">
        <v>-1.12195316182</v>
      </c>
      <c r="AE8109">
        <v>-4.0400099999999997</v>
      </c>
      <c r="AF8109">
        <v>4.1506635427168801</v>
      </c>
      <c r="AG8109">
        <v>-1.12195316182</v>
      </c>
      <c r="AH8109">
        <v>8.9097788063302197</v>
      </c>
      <c r="AI8109">
        <v>96.511871844097598</v>
      </c>
      <c r="AJ8109">
        <v>65.021314602525706</v>
      </c>
      <c r="AK8109">
        <v>9.8929745334701096</v>
      </c>
      <c r="AL8109">
        <v>81.715071704911296</v>
      </c>
      <c r="AM8109">
        <v>80.481931469888593</v>
      </c>
      <c r="AN8109">
        <v>0.99999999732601497</v>
      </c>
    </row>
    <row r="8110" spans="1:40" x14ac:dyDescent="0.25">
      <c r="A8110" t="str">
        <f>"20190303162113054"</f>
        <v>20190303162113054</v>
      </c>
      <c r="B8110" t="str">
        <f>"1551601273051067"</f>
        <v>1551601273051067</v>
      </c>
      <c r="C8110" t="s">
        <v>40</v>
      </c>
      <c r="D8110">
        <v>4.8335980000000003</v>
      </c>
      <c r="E8110">
        <v>0.60083299999999995</v>
      </c>
      <c r="F8110" t="s">
        <v>41</v>
      </c>
      <c r="G8110">
        <v>-350.36239999999998</v>
      </c>
      <c r="H8110" s="1">
        <v>-5.1792560000000002E-6</v>
      </c>
      <c r="I8110">
        <v>13.626749999999999</v>
      </c>
      <c r="J8110">
        <v>-359.39150000000001</v>
      </c>
      <c r="K8110">
        <v>1.1219490000000001</v>
      </c>
      <c r="L8110">
        <v>17.645510000000002</v>
      </c>
      <c r="M8110">
        <v>0.99973109999999998</v>
      </c>
      <c r="N8110">
        <v>-1.439143E-2</v>
      </c>
      <c r="O8110">
        <v>1.8188550000000001E-2</v>
      </c>
      <c r="P8110">
        <v>0.98044730000000002</v>
      </c>
      <c r="Q8110">
        <v>0.1296493</v>
      </c>
      <c r="R8110">
        <v>-0.14803520000000001</v>
      </c>
      <c r="S8110">
        <v>2.9157709999999999</v>
      </c>
      <c r="T8110">
        <v>-0.35761389999999998</v>
      </c>
      <c r="U8110">
        <v>-1.2801819999999999</v>
      </c>
      <c r="V8110">
        <v>0.16579650000000001</v>
      </c>
      <c r="W8110">
        <v>0.14376129999999901</v>
      </c>
      <c r="X8110">
        <v>0.97562499999999996</v>
      </c>
      <c r="Y8110">
        <v>0.41554200000000002</v>
      </c>
      <c r="Z8110">
        <v>-2.9291640000000001E-2</v>
      </c>
      <c r="AA8110">
        <v>0.90910230000000003</v>
      </c>
      <c r="AB8110">
        <v>21</v>
      </c>
      <c r="AC8110">
        <v>9.0291000000000192</v>
      </c>
      <c r="AD8110">
        <v>-1.1219541792559999</v>
      </c>
      <c r="AE8110">
        <v>-4.0187600000000003</v>
      </c>
      <c r="AF8110">
        <v>4.1291244654775703</v>
      </c>
      <c r="AG8110">
        <v>-1.1219541792559999</v>
      </c>
      <c r="AH8110">
        <v>8.8405707914340699</v>
      </c>
      <c r="AI8110">
        <v>96.559396532600005</v>
      </c>
      <c r="AJ8110">
        <v>64.964350625999998</v>
      </c>
      <c r="AK8110">
        <v>9.8216160559305496</v>
      </c>
      <c r="AL8110">
        <v>81.734444318655093</v>
      </c>
      <c r="AM8110">
        <v>80.355365111612898</v>
      </c>
      <c r="AN8110">
        <v>0.99999996570746896</v>
      </c>
    </row>
    <row r="8111" spans="1:40" x14ac:dyDescent="0.25">
      <c r="A8111" t="str">
        <f>"20190303162113068"</f>
        <v>20190303162113068</v>
      </c>
      <c r="B8111" t="str">
        <f>"1551601273060827"</f>
        <v>1551601273060827</v>
      </c>
      <c r="C8111" t="s">
        <v>40</v>
      </c>
      <c r="D8111">
        <v>4.8171010000000001</v>
      </c>
      <c r="E8111">
        <v>0.60044779999999998</v>
      </c>
      <c r="F8111" t="s">
        <v>41</v>
      </c>
      <c r="G8111">
        <v>-350.36540000000002</v>
      </c>
      <c r="H8111" s="1">
        <v>-5.1690300000000004E-6</v>
      </c>
      <c r="I8111">
        <v>13.677049999999999</v>
      </c>
      <c r="J8111">
        <v>-359.26609999999999</v>
      </c>
      <c r="K8111">
        <v>1.1219460000000001</v>
      </c>
      <c r="L8111">
        <v>17.647950000000002</v>
      </c>
      <c r="M8111">
        <v>0.99972810000000001</v>
      </c>
      <c r="N8111">
        <v>-1.4388700000000001E-2</v>
      </c>
      <c r="O8111">
        <v>1.83561E-2</v>
      </c>
      <c r="P8111">
        <v>0.9802092</v>
      </c>
      <c r="Q8111">
        <v>0.12946079999999999</v>
      </c>
      <c r="R8111">
        <v>-0.14976809999999999</v>
      </c>
      <c r="S8111">
        <v>2.9142760000000001</v>
      </c>
      <c r="T8111">
        <v>-0.36224849999999997</v>
      </c>
      <c r="U8111">
        <v>-1.2812809999999999</v>
      </c>
      <c r="V8111">
        <v>0.16768849999999999</v>
      </c>
      <c r="W8111">
        <v>0.14356650000000001</v>
      </c>
      <c r="X8111">
        <v>0.97533040000000004</v>
      </c>
      <c r="Y8111">
        <v>0.41607070000000002</v>
      </c>
      <c r="Z8111">
        <v>-2.969515E-2</v>
      </c>
      <c r="AA8111">
        <v>0.90884730000000002</v>
      </c>
      <c r="AB8111">
        <v>21</v>
      </c>
      <c r="AC8111">
        <v>8.9006999999999703</v>
      </c>
      <c r="AD8111">
        <v>-1.1219511690299999</v>
      </c>
      <c r="AE8111">
        <v>-3.9708999999999999</v>
      </c>
      <c r="AF8111">
        <v>4.0795691074474396</v>
      </c>
      <c r="AG8111">
        <v>-1.1219511690299999</v>
      </c>
      <c r="AH8111">
        <v>8.7108694647721503</v>
      </c>
      <c r="AI8111">
        <v>96.652972796793406</v>
      </c>
      <c r="AJ8111">
        <v>64.904856440091507</v>
      </c>
      <c r="AK8111">
        <v>9.6840541799613593</v>
      </c>
      <c r="AL8111">
        <v>81.745723489815106</v>
      </c>
      <c r="AM8111">
        <v>80.244517415671595</v>
      </c>
      <c r="AN8111">
        <v>1.0000000810593199</v>
      </c>
    </row>
    <row r="8112" spans="1:40" x14ac:dyDescent="0.25">
      <c r="A8112" t="str">
        <f>"20190303162113083"</f>
        <v>20190303162113083</v>
      </c>
      <c r="B8112" t="str">
        <f>"1551601273070587"</f>
        <v>1551601273070587</v>
      </c>
      <c r="C8112" t="s">
        <v>40</v>
      </c>
      <c r="D8112">
        <v>4.8351839999999999</v>
      </c>
      <c r="E8112">
        <v>0.59994599999999998</v>
      </c>
      <c r="F8112" t="s">
        <v>41</v>
      </c>
      <c r="G8112">
        <v>-350.31889999999999</v>
      </c>
      <c r="H8112" s="1">
        <v>-5.1838890000000004E-6</v>
      </c>
      <c r="I8112">
        <v>13.7056</v>
      </c>
      <c r="J8112">
        <v>-359.11799999999999</v>
      </c>
      <c r="K8112">
        <v>1.121942</v>
      </c>
      <c r="L8112">
        <v>17.65091</v>
      </c>
      <c r="M8112">
        <v>0.99972450000000002</v>
      </c>
      <c r="N8112">
        <v>-1.4385439999999999E-2</v>
      </c>
      <c r="O8112">
        <v>1.855387E-2</v>
      </c>
      <c r="P8112">
        <v>0.98001539999999998</v>
      </c>
      <c r="Q8112">
        <v>0.1288897</v>
      </c>
      <c r="R8112">
        <v>-0.15151889999999901</v>
      </c>
      <c r="S8112">
        <v>2.9127200000000002</v>
      </c>
      <c r="T8112">
        <v>-0.36524669999999998</v>
      </c>
      <c r="U8112">
        <v>-1.2833859999999999</v>
      </c>
      <c r="V8112">
        <v>0.16962920000000001</v>
      </c>
      <c r="W8112">
        <v>0.1429888</v>
      </c>
      <c r="X8112">
        <v>0.97507949999999999</v>
      </c>
      <c r="Y8112">
        <v>0.41692079999999998</v>
      </c>
      <c r="Z8112">
        <v>-3.0003189999999999E-2</v>
      </c>
      <c r="AA8112">
        <v>0.90844749999999996</v>
      </c>
      <c r="AB8112">
        <v>21</v>
      </c>
      <c r="AC8112">
        <v>8.7991000000000597</v>
      </c>
      <c r="AD8112">
        <v>-1.1219471838890001</v>
      </c>
      <c r="AE8112">
        <v>-3.9453099999999899</v>
      </c>
      <c r="AF8112">
        <v>4.0530404769999899</v>
      </c>
      <c r="AG8112">
        <v>-1.1219471838890001</v>
      </c>
      <c r="AH8112">
        <v>8.6078554102991998</v>
      </c>
      <c r="AI8112">
        <v>96.725370509160996</v>
      </c>
      <c r="AJ8112">
        <v>64.786425743886994</v>
      </c>
      <c r="AK8112">
        <v>9.5802441177797704</v>
      </c>
      <c r="AL8112">
        <v>81.779167214618596</v>
      </c>
      <c r="AM8112">
        <v>80.131332402364293</v>
      </c>
      <c r="AN8112">
        <v>0.99999994686916305</v>
      </c>
    </row>
    <row r="8113" spans="1:40" x14ac:dyDescent="0.25">
      <c r="A8113" t="str">
        <f>"20190303162113096"</f>
        <v>20190303162113096</v>
      </c>
      <c r="B8113" t="str">
        <f>"1551601273091083"</f>
        <v>1551601273091083</v>
      </c>
      <c r="C8113" t="s">
        <v>40</v>
      </c>
      <c r="D8113">
        <v>4.8225199999999999</v>
      </c>
      <c r="E8113">
        <v>0.59919480000000003</v>
      </c>
      <c r="F8113" t="s">
        <v>41</v>
      </c>
      <c r="G8113">
        <v>-350.28859999999997</v>
      </c>
      <c r="H8113" s="1">
        <v>-5.1880089999999997E-6</v>
      </c>
      <c r="I8113">
        <v>13.755800000000001</v>
      </c>
      <c r="J8113">
        <v>-358.9973</v>
      </c>
      <c r="K8113">
        <v>1.1219399999999999</v>
      </c>
      <c r="L8113">
        <v>17.653320000000001</v>
      </c>
      <c r="M8113">
        <v>0.99972139999999998</v>
      </c>
      <c r="N8113">
        <v>-1.438274E-2</v>
      </c>
      <c r="O8113">
        <v>1.8715039999999999E-2</v>
      </c>
      <c r="P8113">
        <v>0.9800603</v>
      </c>
      <c r="Q8113">
        <v>0.1286226</v>
      </c>
      <c r="R8113">
        <v>-0.15145420000000001</v>
      </c>
      <c r="S8113">
        <v>2.9112239999999998</v>
      </c>
      <c r="T8113">
        <v>-0.36992960000000003</v>
      </c>
      <c r="U8113">
        <v>-1.2842709999999999</v>
      </c>
      <c r="V8113">
        <v>0.16972329999999999</v>
      </c>
      <c r="W8113">
        <v>0.1427194</v>
      </c>
      <c r="X8113">
        <v>0.97510269999999999</v>
      </c>
      <c r="Y8113">
        <v>0.41738570000000003</v>
      </c>
      <c r="Z8113">
        <v>-3.0408669999999999E-2</v>
      </c>
      <c r="AA8113">
        <v>0.90822049999999999</v>
      </c>
      <c r="AB8113">
        <v>21</v>
      </c>
      <c r="AC8113">
        <v>8.7087000000000199</v>
      </c>
      <c r="AD8113">
        <v>-1.1219451880089999</v>
      </c>
      <c r="AE8113">
        <v>-3.8975199999999899</v>
      </c>
      <c r="AF8113">
        <v>4.0044653916714896</v>
      </c>
      <c r="AG8113">
        <v>-1.1219451880089999</v>
      </c>
      <c r="AH8113">
        <v>8.5164619153349701</v>
      </c>
      <c r="AI8113">
        <v>96.7985476578922</v>
      </c>
      <c r="AJ8113">
        <v>64.816952637734303</v>
      </c>
      <c r="AK8113">
        <v>9.4775855381706897</v>
      </c>
      <c r="AL8113">
        <v>81.794763506254995</v>
      </c>
      <c r="AM8113">
        <v>80.126195888403899</v>
      </c>
      <c r="AN8113">
        <v>1.00000005062326</v>
      </c>
    </row>
    <row r="8114" spans="1:40" x14ac:dyDescent="0.25">
      <c r="A8114" t="str">
        <f>"20190303162113109"</f>
        <v>20190303162113109</v>
      </c>
      <c r="B8114" t="str">
        <f>"1551601273100843"</f>
        <v>1551601273100843</v>
      </c>
      <c r="C8114" t="s">
        <v>40</v>
      </c>
      <c r="D8114">
        <v>4.8848520000000004</v>
      </c>
      <c r="E8114">
        <v>0.59881219999999902</v>
      </c>
      <c r="F8114" t="s">
        <v>41</v>
      </c>
      <c r="G8114">
        <v>-350.27</v>
      </c>
      <c r="H8114" s="1">
        <v>-5.1842820000000004E-6</v>
      </c>
      <c r="I8114">
        <v>13.821809999999999</v>
      </c>
      <c r="J8114">
        <v>-358.88229999999999</v>
      </c>
      <c r="K8114">
        <v>1.121936</v>
      </c>
      <c r="L8114">
        <v>17.655670000000001</v>
      </c>
      <c r="M8114">
        <v>0.99971849999999995</v>
      </c>
      <c r="N8114">
        <v>-1.438013E-2</v>
      </c>
      <c r="O8114">
        <v>1.8868280000000001E-2</v>
      </c>
      <c r="P8114">
        <v>0.98023689999999997</v>
      </c>
      <c r="Q8114">
        <v>0.128483399999999</v>
      </c>
      <c r="R8114">
        <v>-0.1504249</v>
      </c>
      <c r="S8114">
        <v>2.9125369999999999</v>
      </c>
      <c r="T8114">
        <v>-0.37442520000000001</v>
      </c>
      <c r="U8114">
        <v>-1.278656</v>
      </c>
      <c r="V8114">
        <v>0.16884739999999901</v>
      </c>
      <c r="W8114">
        <v>0.1425796</v>
      </c>
      <c r="X8114">
        <v>0.97527520000000001</v>
      </c>
      <c r="Y8114">
        <v>0.41584130000000002</v>
      </c>
      <c r="Z8114">
        <v>-3.0648519999999999E-2</v>
      </c>
      <c r="AA8114">
        <v>0.90892059999999997</v>
      </c>
      <c r="AB8114">
        <v>21</v>
      </c>
      <c r="AC8114">
        <v>8.6122999999999994</v>
      </c>
      <c r="AD8114">
        <v>-1.121941184282</v>
      </c>
      <c r="AE8114">
        <v>-3.83386</v>
      </c>
      <c r="AF8114">
        <v>3.93988909999926</v>
      </c>
      <c r="AG8114">
        <v>-1.121941184282</v>
      </c>
      <c r="AH8114">
        <v>8.4191720355612603</v>
      </c>
      <c r="AI8114">
        <v>96.882196729497196</v>
      </c>
      <c r="AJ8114">
        <v>64.921988194606001</v>
      </c>
      <c r="AK8114">
        <v>9.3629021091570692</v>
      </c>
      <c r="AL8114">
        <v>81.802856223236205</v>
      </c>
      <c r="AM8114">
        <v>80.1778605655132</v>
      </c>
      <c r="AN8114">
        <v>1.00000005127897</v>
      </c>
    </row>
    <row r="8115" spans="1:40" x14ac:dyDescent="0.25">
      <c r="A8115" t="str">
        <f>"20190303162113121"</f>
        <v>20190303162113121</v>
      </c>
      <c r="B8115" t="str">
        <f>"1551601273110603"</f>
        <v>1551601273110603</v>
      </c>
      <c r="C8115" t="s">
        <v>40</v>
      </c>
      <c r="D8115">
        <v>4.5580809999999996</v>
      </c>
      <c r="E8115">
        <v>0.59982849999999999</v>
      </c>
      <c r="F8115" t="s">
        <v>41</v>
      </c>
      <c r="G8115">
        <v>-350.22039999999998</v>
      </c>
      <c r="H8115" s="1">
        <v>-5.1963039999999998E-6</v>
      </c>
      <c r="I8115">
        <v>13.873989999999999</v>
      </c>
      <c r="J8115">
        <v>-358.7758</v>
      </c>
      <c r="K8115">
        <v>1.1219349999999999</v>
      </c>
      <c r="L8115">
        <v>17.65784</v>
      </c>
      <c r="M8115">
        <v>0.99971589999999999</v>
      </c>
      <c r="N8115">
        <v>-1.4377630000000001E-2</v>
      </c>
      <c r="O8115">
        <v>1.901044E-2</v>
      </c>
      <c r="P8115">
        <v>0.98045570000000004</v>
      </c>
      <c r="Q8115">
        <v>0.1285753</v>
      </c>
      <c r="R8115">
        <v>-0.14891289999999999</v>
      </c>
      <c r="S8115">
        <v>2.9147029999999998</v>
      </c>
      <c r="T8115">
        <v>-0.37752839999999999</v>
      </c>
      <c r="U8115">
        <v>-1.272491</v>
      </c>
      <c r="V8115">
        <v>0.16747899999999999</v>
      </c>
      <c r="W8115">
        <v>0.1426712</v>
      </c>
      <c r="X8115">
        <v>0.97549770000000002</v>
      </c>
      <c r="Y8115">
        <v>0.41406939999999998</v>
      </c>
      <c r="Z8115">
        <v>-3.07605E-2</v>
      </c>
      <c r="AA8115">
        <v>0.90972540000000002</v>
      </c>
      <c r="AB8115">
        <v>21</v>
      </c>
      <c r="AC8115">
        <v>8.5554000000000094</v>
      </c>
      <c r="AD8115">
        <v>-1.1219401963040001</v>
      </c>
      <c r="AE8115">
        <v>-3.7838500000000002</v>
      </c>
      <c r="AF8115">
        <v>3.8898741067793701</v>
      </c>
      <c r="AG8115">
        <v>-1.1219401963040001</v>
      </c>
      <c r="AH8115">
        <v>8.3616423549984606</v>
      </c>
      <c r="AI8115">
        <v>96.936347710964696</v>
      </c>
      <c r="AJ8115">
        <v>65.051936632557002</v>
      </c>
      <c r="AK8115">
        <v>9.2901524876387001</v>
      </c>
      <c r="AL8115">
        <v>81.797553501965496</v>
      </c>
      <c r="AM8115">
        <v>80.258110583418102</v>
      </c>
      <c r="AN8115">
        <v>1.00000002472786</v>
      </c>
    </row>
    <row r="8116" spans="1:40" x14ac:dyDescent="0.25">
      <c r="A8116" t="str">
        <f>"20190303162113135"</f>
        <v>20190303162113135</v>
      </c>
      <c r="B8116" t="str">
        <f>"1551601273131099"</f>
        <v>1551601273131099</v>
      </c>
      <c r="C8116" t="s">
        <v>40</v>
      </c>
      <c r="D8116">
        <v>4.7996339999999904</v>
      </c>
      <c r="E8116">
        <v>0.60047499999999998</v>
      </c>
      <c r="F8116" t="s">
        <v>41</v>
      </c>
      <c r="G8116">
        <v>-349.9237</v>
      </c>
      <c r="H8116" s="1">
        <v>-1.563757E-6</v>
      </c>
      <c r="I8116">
        <v>13.78431</v>
      </c>
      <c r="J8116">
        <v>-358.64640000000003</v>
      </c>
      <c r="K8116">
        <v>1.121936</v>
      </c>
      <c r="L8116">
        <v>17.660520000000002</v>
      </c>
      <c r="M8116">
        <v>0.99971279999999996</v>
      </c>
      <c r="N8116">
        <v>-1.4374700000000001E-2</v>
      </c>
      <c r="O8116">
        <v>1.91827E-2</v>
      </c>
      <c r="P8116">
        <v>0.98077689999999995</v>
      </c>
      <c r="Q8116">
        <v>0.12857930000000001</v>
      </c>
      <c r="R8116">
        <v>-0.14678079999999999</v>
      </c>
      <c r="S8116">
        <v>2.9145509999999999</v>
      </c>
      <c r="T8116">
        <v>-0.3693979</v>
      </c>
      <c r="U8116">
        <v>-1.2753300000000001</v>
      </c>
      <c r="V8116">
        <v>0.165522</v>
      </c>
      <c r="W8116">
        <v>0.1426769</v>
      </c>
      <c r="X8116">
        <v>0.9758308</v>
      </c>
      <c r="Y8116">
        <v>0.41511589999999998</v>
      </c>
      <c r="Z8116">
        <v>-3.0249140000000001E-2</v>
      </c>
      <c r="AA8116">
        <v>0.90926549999999995</v>
      </c>
      <c r="AB8116">
        <v>21</v>
      </c>
      <c r="AC8116">
        <v>8.7227000000000299</v>
      </c>
      <c r="AD8116">
        <v>-1.1219375637569999</v>
      </c>
      <c r="AE8116">
        <v>-3.8762099999999999</v>
      </c>
      <c r="AF8116">
        <v>3.98774581440055</v>
      </c>
      <c r="AG8116">
        <v>-1.1219375637569999</v>
      </c>
      <c r="AH8116">
        <v>8.5288991604874802</v>
      </c>
      <c r="AI8116">
        <v>96.795524042931902</v>
      </c>
      <c r="AJ8116">
        <v>64.941234925333205</v>
      </c>
      <c r="AK8116">
        <v>9.4817182760827698</v>
      </c>
      <c r="AL8116">
        <v>81.797223255697801</v>
      </c>
      <c r="AM8116">
        <v>80.373026701176798</v>
      </c>
      <c r="AN8116">
        <v>0.99999999025312403</v>
      </c>
    </row>
    <row r="8117" spans="1:40" x14ac:dyDescent="0.25">
      <c r="A8117" t="str">
        <f>"20190303162113150"</f>
        <v>20190303162113150</v>
      </c>
      <c r="B8117" t="str">
        <f>"1551601273140859"</f>
        <v>1551601273140859</v>
      </c>
      <c r="C8117" t="s">
        <v>40</v>
      </c>
      <c r="D8117">
        <v>4.8203990000000001</v>
      </c>
      <c r="E8117">
        <v>0.60071200000000002</v>
      </c>
      <c r="F8117" t="s">
        <v>41</v>
      </c>
      <c r="G8117">
        <v>-349.51330000000002</v>
      </c>
      <c r="H8117" s="1">
        <v>-1.7334889999999999E-6</v>
      </c>
      <c r="I8117">
        <v>13.671340000000001</v>
      </c>
      <c r="J8117">
        <v>-358.50799999999998</v>
      </c>
      <c r="K8117">
        <v>1.1219460000000001</v>
      </c>
      <c r="L8117">
        <v>17.663360000000001</v>
      </c>
      <c r="M8117">
        <v>0.99970919999999996</v>
      </c>
      <c r="N8117">
        <v>-1.43716E-2</v>
      </c>
      <c r="O8117">
        <v>1.9367539999999999E-2</v>
      </c>
      <c r="P8117">
        <v>0.98137850000000004</v>
      </c>
      <c r="Q8117">
        <v>0.12968470000000001</v>
      </c>
      <c r="R8117">
        <v>-0.14169760000000001</v>
      </c>
      <c r="S8117">
        <v>2.9151609999999999</v>
      </c>
      <c r="T8117">
        <v>-0.35810389999999998</v>
      </c>
      <c r="U8117">
        <v>-1.2732540000000001</v>
      </c>
      <c r="V8117">
        <v>0.1606321</v>
      </c>
      <c r="W8117">
        <v>0.14378679999999999</v>
      </c>
      <c r="X8117">
        <v>0.97648489999999999</v>
      </c>
      <c r="Y8117">
        <v>0.41485749999999999</v>
      </c>
      <c r="Z8117">
        <v>-2.9416230000000002E-2</v>
      </c>
      <c r="AA8117">
        <v>0.90941079999999996</v>
      </c>
      <c r="AB8117">
        <v>21</v>
      </c>
      <c r="AC8117">
        <v>8.9947000000000195</v>
      </c>
      <c r="AD8117">
        <v>-1.12194773348899</v>
      </c>
      <c r="AE8117">
        <v>-3.9920200000000001</v>
      </c>
      <c r="AF8117">
        <v>4.1120446609079</v>
      </c>
      <c r="AG8117">
        <v>-1.12194773348899</v>
      </c>
      <c r="AH8117">
        <v>8.8012871469038494</v>
      </c>
      <c r="AI8117">
        <v>96.588018544935295</v>
      </c>
      <c r="AJ8117">
        <v>64.957573460392098</v>
      </c>
      <c r="AK8117">
        <v>9.7790763087439494</v>
      </c>
      <c r="AL8117">
        <v>81.732968536472896</v>
      </c>
      <c r="AM8117">
        <v>80.658486684914493</v>
      </c>
      <c r="AN8117">
        <v>1.0000000376663201</v>
      </c>
    </row>
    <row r="8118" spans="1:40" x14ac:dyDescent="0.25">
      <c r="A8118" t="str">
        <f>"20190303162113162"</f>
        <v>20190303162113162</v>
      </c>
      <c r="B8118" t="str">
        <f>"1551601273152571"</f>
        <v>1551601273152571</v>
      </c>
      <c r="C8118" t="s">
        <v>40</v>
      </c>
      <c r="D8118">
        <v>4.9315670000000003</v>
      </c>
      <c r="E8118">
        <v>0.60027889999999995</v>
      </c>
      <c r="F8118" t="s">
        <v>41</v>
      </c>
      <c r="G8118">
        <v>-349.17189999999999</v>
      </c>
      <c r="H8118" s="1">
        <v>-1.8578090000000001E-6</v>
      </c>
      <c r="I8118">
        <v>13.640689999999999</v>
      </c>
      <c r="J8118">
        <v>-358.3965</v>
      </c>
      <c r="K8118">
        <v>1.1219479999999999</v>
      </c>
      <c r="L8118">
        <v>17.665710000000001</v>
      </c>
      <c r="M8118">
        <v>0.9997064</v>
      </c>
      <c r="N8118">
        <v>-1.4369079999999999E-2</v>
      </c>
      <c r="O8118">
        <v>1.9516439999999999E-2</v>
      </c>
      <c r="P8118">
        <v>0.98158190000000001</v>
      </c>
      <c r="Q8118">
        <v>0.13066420000000001</v>
      </c>
      <c r="R8118">
        <v>-0.1393702</v>
      </c>
      <c r="S8118">
        <v>2.92157</v>
      </c>
      <c r="T8118">
        <v>-0.35109210000000002</v>
      </c>
      <c r="U8118">
        <v>-1.2587889999999999</v>
      </c>
      <c r="V8118">
        <v>0.15845479999999901</v>
      </c>
      <c r="W8118">
        <v>0.144765899999999</v>
      </c>
      <c r="X8118">
        <v>0.97669589999999995</v>
      </c>
      <c r="Y8118">
        <v>0.41061180000000003</v>
      </c>
      <c r="Z8118">
        <v>-2.8606929999999999E-2</v>
      </c>
      <c r="AA8118">
        <v>0.91136139999999999</v>
      </c>
      <c r="AB8118">
        <v>21</v>
      </c>
      <c r="AC8118">
        <v>9.2246000000000095</v>
      </c>
      <c r="AD8118">
        <v>-1.1219498578089999</v>
      </c>
      <c r="AE8118">
        <v>-4.0250199999999996</v>
      </c>
      <c r="AF8118">
        <v>4.1526979492453497</v>
      </c>
      <c r="AG8118">
        <v>-1.1219498578089999</v>
      </c>
      <c r="AH8118">
        <v>9.0320402006406102</v>
      </c>
      <c r="AI8118">
        <v>96.439230366979402</v>
      </c>
      <c r="AJ8118">
        <v>65.308254427515493</v>
      </c>
      <c r="AK8118">
        <v>10.0040702680005</v>
      </c>
      <c r="AL8118">
        <v>81.676276661330803</v>
      </c>
      <c r="AM8118">
        <v>80.784876233358801</v>
      </c>
      <c r="AN8118">
        <v>0.99999998526132905</v>
      </c>
    </row>
    <row r="8119" spans="1:40" x14ac:dyDescent="0.25">
      <c r="A8119" t="str">
        <f>"20190303162113174"</f>
        <v>20190303162113174</v>
      </c>
      <c r="B8119" t="str">
        <f>"1551601273171115"</f>
        <v>1551601273171115</v>
      </c>
      <c r="C8119" t="s">
        <v>40</v>
      </c>
      <c r="D8119">
        <v>4.970129</v>
      </c>
      <c r="E8119">
        <v>0.60036299999999998</v>
      </c>
      <c r="F8119" t="s">
        <v>41</v>
      </c>
      <c r="G8119">
        <v>-349.06659999999999</v>
      </c>
      <c r="H8119" s="1">
        <v>-1.8818200000000001E-6</v>
      </c>
      <c r="I8119">
        <v>13.68516</v>
      </c>
      <c r="J8119">
        <v>-358.29419999999999</v>
      </c>
      <c r="K8119">
        <v>1.1219479999999999</v>
      </c>
      <c r="L8119">
        <v>17.66788</v>
      </c>
      <c r="M8119">
        <v>0.99970369999999997</v>
      </c>
      <c r="N8119">
        <v>-1.4366719999999999E-2</v>
      </c>
      <c r="O8119">
        <v>1.9652989999999999E-2</v>
      </c>
      <c r="P8119">
        <v>0.98180259999999997</v>
      </c>
      <c r="Q8119">
        <v>0.131665</v>
      </c>
      <c r="R8119">
        <v>-0.1368501</v>
      </c>
      <c r="S8119">
        <v>2.9259029999999999</v>
      </c>
      <c r="T8119">
        <v>-0.35184910000000003</v>
      </c>
      <c r="U8119">
        <v>-1.248291</v>
      </c>
      <c r="V8119">
        <v>0.15607299999999999</v>
      </c>
      <c r="W8119">
        <v>0.14576700000000001</v>
      </c>
      <c r="X8119">
        <v>0.97693050000000003</v>
      </c>
      <c r="Y8119">
        <v>0.40749269999999999</v>
      </c>
      <c r="Z8119">
        <v>-2.8452910000000001E-2</v>
      </c>
      <c r="AA8119">
        <v>0.9127651</v>
      </c>
      <c r="AB8119">
        <v>21</v>
      </c>
      <c r="AC8119">
        <v>9.22759999999999</v>
      </c>
      <c r="AD8119">
        <v>-1.12194988182</v>
      </c>
      <c r="AE8119">
        <v>-3.98272</v>
      </c>
      <c r="AF8119">
        <v>4.11207552505003</v>
      </c>
      <c r="AG8119">
        <v>-1.12194988182</v>
      </c>
      <c r="AH8119">
        <v>9.03494558891982</v>
      </c>
      <c r="AI8119">
        <v>96.448400545602297</v>
      </c>
      <c r="AJ8119">
        <v>65.528290391438603</v>
      </c>
      <c r="AK8119">
        <v>9.9899038261523394</v>
      </c>
      <c r="AL8119">
        <v>81.618303030945</v>
      </c>
      <c r="AM8119">
        <v>80.923212348381398</v>
      </c>
      <c r="AN8119">
        <v>1.0000000007241201</v>
      </c>
    </row>
    <row r="8120" spans="1:40" x14ac:dyDescent="0.25">
      <c r="A8120" t="str">
        <f>"20190303162113184"</f>
        <v>20190303162113184</v>
      </c>
      <c r="B8120" t="str">
        <f>"1551601273180875"</f>
        <v>1551601273180875</v>
      </c>
      <c r="C8120" t="s">
        <v>40</v>
      </c>
      <c r="D8120">
        <v>4.7143090000000001</v>
      </c>
      <c r="E8120">
        <v>0.60036299999999998</v>
      </c>
      <c r="F8120" t="s">
        <v>41</v>
      </c>
      <c r="G8120">
        <v>-348.82799999999997</v>
      </c>
      <c r="H8120" s="1">
        <v>-1.9705060000000002E-6</v>
      </c>
      <c r="I8120">
        <v>13.65699</v>
      </c>
      <c r="J8120">
        <v>-358.1918</v>
      </c>
      <c r="K8120">
        <v>1.1219520000000001</v>
      </c>
      <c r="L8120">
        <v>17.670069999999999</v>
      </c>
      <c r="M8120">
        <v>0.99970110000000001</v>
      </c>
      <c r="N8120">
        <v>-1.436434E-2</v>
      </c>
      <c r="O8120">
        <v>1.9789729999999998E-2</v>
      </c>
      <c r="P8120">
        <v>0.98204420000000003</v>
      </c>
      <c r="Q8120">
        <v>0.13227</v>
      </c>
      <c r="R8120">
        <v>-0.13451529999999901</v>
      </c>
      <c r="S8120">
        <v>2.929138</v>
      </c>
      <c r="T8120">
        <v>-0.34716449999999999</v>
      </c>
      <c r="U8120">
        <v>-1.241058</v>
      </c>
      <c r="V8120">
        <v>0.15387679999999901</v>
      </c>
      <c r="W8120">
        <v>0.14637220000000001</v>
      </c>
      <c r="X8120">
        <v>0.97718830000000001</v>
      </c>
      <c r="Y8120">
        <v>0.40543220000000002</v>
      </c>
      <c r="Z8120">
        <v>-2.7978409999999999E-2</v>
      </c>
      <c r="AA8120">
        <v>0.91369690000000003</v>
      </c>
      <c r="AB8120">
        <v>20</v>
      </c>
      <c r="AC8120">
        <v>9.3637999999999693</v>
      </c>
      <c r="AD8120">
        <v>-1.121953970506</v>
      </c>
      <c r="AE8120">
        <v>-4.0130800000000004</v>
      </c>
      <c r="AF8120">
        <v>4.1473186487445401</v>
      </c>
      <c r="AG8120">
        <v>-1.121953970506</v>
      </c>
      <c r="AH8120">
        <v>9.1713041880776203</v>
      </c>
      <c r="AI8120">
        <v>96.360274886030098</v>
      </c>
      <c r="AJ8120">
        <v>65.667232426165498</v>
      </c>
      <c r="AK8120">
        <v>10.1277763204174</v>
      </c>
      <c r="AL8120">
        <v>81.583251092939307</v>
      </c>
      <c r="AM8120">
        <v>81.051178212949296</v>
      </c>
      <c r="AN8120">
        <v>0.99999993208398197</v>
      </c>
    </row>
    <row r="8121" spans="1:40" x14ac:dyDescent="0.25">
      <c r="A8121" t="str">
        <f>"20190303162113195"</f>
        <v>20190303162113195</v>
      </c>
      <c r="B8121" t="str">
        <f>"1551601273190635"</f>
        <v>1551601273190635</v>
      </c>
      <c r="C8121" t="s">
        <v>40</v>
      </c>
      <c r="D8121">
        <v>5.1254730000000004</v>
      </c>
      <c r="E8121">
        <v>0.60085699999999997</v>
      </c>
      <c r="F8121" t="s">
        <v>41</v>
      </c>
      <c r="G8121">
        <v>-348.66410000000002</v>
      </c>
      <c r="H8121" s="1">
        <v>-2.0253779999999999E-6</v>
      </c>
      <c r="I8121">
        <v>13.6604299999999</v>
      </c>
      <c r="J8121">
        <v>-358.09809999999999</v>
      </c>
      <c r="K8121">
        <v>1.1219520000000001</v>
      </c>
      <c r="L8121">
        <v>17.672059999999998</v>
      </c>
      <c r="M8121">
        <v>0.99969850000000005</v>
      </c>
      <c r="N8121">
        <v>-1.4362130000000001E-2</v>
      </c>
      <c r="O8121">
        <v>1.9914910000000001E-2</v>
      </c>
      <c r="P8121">
        <v>0.98232260000000005</v>
      </c>
      <c r="Q8121">
        <v>0.13268840000000001</v>
      </c>
      <c r="R8121">
        <v>-0.1320453</v>
      </c>
      <c r="S8121">
        <v>2.9323429999999999</v>
      </c>
      <c r="T8121">
        <v>-0.34530040000000001</v>
      </c>
      <c r="U8121">
        <v>-1.2340089999999999</v>
      </c>
      <c r="V8121">
        <v>0.1515359</v>
      </c>
      <c r="W8121">
        <v>0.14679200000000001</v>
      </c>
      <c r="X8121">
        <v>0.97749109999999995</v>
      </c>
      <c r="Y8121">
        <v>0.40336680000000003</v>
      </c>
      <c r="Z8121">
        <v>-2.770837E-2</v>
      </c>
      <c r="AA8121">
        <v>0.91461879999999995</v>
      </c>
      <c r="AB8121">
        <v>20</v>
      </c>
      <c r="AC8121">
        <v>9.4339999999999602</v>
      </c>
      <c r="AD8121">
        <v>-1.121954025378</v>
      </c>
      <c r="AE8121">
        <v>-4.0116300000000003</v>
      </c>
      <c r="AF8121">
        <v>4.1490349111641702</v>
      </c>
      <c r="AG8121">
        <v>-1.121954025378</v>
      </c>
      <c r="AH8121">
        <v>9.2415366232096101</v>
      </c>
      <c r="AI8121">
        <v>96.319959298888705</v>
      </c>
      <c r="AJ8121">
        <v>65.822061175101098</v>
      </c>
      <c r="AK8121">
        <v>10.192118066782999</v>
      </c>
      <c r="AL8121">
        <v>81.558935708428393</v>
      </c>
      <c r="AM8121">
        <v>81.187848642066399</v>
      </c>
      <c r="AN8121">
        <v>0.99999993541600696</v>
      </c>
    </row>
    <row r="8122" spans="1:40" x14ac:dyDescent="0.25">
      <c r="A8122" t="str">
        <f>"20190303162113207"</f>
        <v>20190303162113207</v>
      </c>
      <c r="B8122" t="str">
        <f>"1551601273201371"</f>
        <v>1551601273201371</v>
      </c>
      <c r="C8122" t="s">
        <v>40</v>
      </c>
      <c r="D8122">
        <v>4.9334920000000002</v>
      </c>
      <c r="E8122">
        <v>0.60006939999999998</v>
      </c>
      <c r="F8122" t="s">
        <v>41</v>
      </c>
      <c r="G8122">
        <v>-348.15980000000002</v>
      </c>
      <c r="H8122" s="1">
        <v>-2.2384660000000002E-6</v>
      </c>
      <c r="I8122">
        <v>13.50455</v>
      </c>
      <c r="J8122">
        <v>-357.99709999999999</v>
      </c>
      <c r="K8122">
        <v>1.121956</v>
      </c>
      <c r="L8122">
        <v>17.67426</v>
      </c>
      <c r="M8122">
        <v>0.99969600000000003</v>
      </c>
      <c r="N8122">
        <v>-1.4359749999999999E-2</v>
      </c>
      <c r="O8122">
        <v>2.0049919999999999E-2</v>
      </c>
      <c r="P8122">
        <v>0.98268319999999998</v>
      </c>
      <c r="Q8122">
        <v>0.1326514</v>
      </c>
      <c r="R8122">
        <v>-0.12937380000000001</v>
      </c>
      <c r="S8122">
        <v>2.9333800000000001</v>
      </c>
      <c r="T8122">
        <v>-0.3311518</v>
      </c>
      <c r="U8122">
        <v>-1.2300420000000001</v>
      </c>
      <c r="V8122">
        <v>0.14900439999999901</v>
      </c>
      <c r="W8122">
        <v>0.14675759999999999</v>
      </c>
      <c r="X8122">
        <v>0.97788540000000002</v>
      </c>
      <c r="Y8122">
        <v>0.40253939999999999</v>
      </c>
      <c r="Z8122">
        <v>-2.6649559999999999E-2</v>
      </c>
      <c r="AA8122">
        <v>0.91501460000000001</v>
      </c>
      <c r="AB8122">
        <v>20</v>
      </c>
      <c r="AC8122">
        <v>9.8372999999999706</v>
      </c>
      <c r="AD8122">
        <v>-1.1219582384659901</v>
      </c>
      <c r="AE8122">
        <v>-4.1697100000000002</v>
      </c>
      <c r="AF8122">
        <v>4.3185103383442103</v>
      </c>
      <c r="AG8122">
        <v>-1.1219582384659901</v>
      </c>
      <c r="AH8122">
        <v>9.6453552280207902</v>
      </c>
      <c r="AI8122">
        <v>96.060147362928603</v>
      </c>
      <c r="AJ8122">
        <v>65.880528248903204</v>
      </c>
      <c r="AK8122">
        <v>10.627379700845999</v>
      </c>
      <c r="AL8122">
        <v>81.560928641480999</v>
      </c>
      <c r="AM8122">
        <v>81.336248712755506</v>
      </c>
      <c r="AN8122">
        <v>0.99999997995513901</v>
      </c>
    </row>
    <row r="8123" spans="1:40" x14ac:dyDescent="0.25">
      <c r="A8123" t="str">
        <f>"20190303162113218"</f>
        <v>20190303162113218</v>
      </c>
      <c r="B8123" t="str">
        <f>"1551601273211131"</f>
        <v>1551601273211131</v>
      </c>
      <c r="C8123" t="s">
        <v>40</v>
      </c>
      <c r="D8123">
        <v>4.8799429999999999</v>
      </c>
      <c r="E8123">
        <v>0.60006939999999998</v>
      </c>
      <c r="F8123" t="s">
        <v>41</v>
      </c>
      <c r="G8123">
        <v>-347.80110000000002</v>
      </c>
      <c r="H8123" s="1">
        <v>-2.3739409999999999E-6</v>
      </c>
      <c r="I8123">
        <v>13.45416</v>
      </c>
      <c r="J8123">
        <v>-357.88279999999997</v>
      </c>
      <c r="K8123">
        <v>1.121956</v>
      </c>
      <c r="L8123">
        <v>17.676729999999999</v>
      </c>
      <c r="M8123">
        <v>0.99969280000000005</v>
      </c>
      <c r="N8123">
        <v>-1.435706E-2</v>
      </c>
      <c r="O8123">
        <v>2.0202749999999998E-2</v>
      </c>
      <c r="P8123">
        <v>0.98305609999999999</v>
      </c>
      <c r="Q8123">
        <v>0.13269220000000001</v>
      </c>
      <c r="R8123">
        <v>-0.12646540000000001</v>
      </c>
      <c r="S8123">
        <v>2.9364620000000001</v>
      </c>
      <c r="T8123">
        <v>-0.32312380000000002</v>
      </c>
      <c r="U8123">
        <v>-1.215363</v>
      </c>
      <c r="V8123">
        <v>0.146254</v>
      </c>
      <c r="W8123">
        <v>0.1468005</v>
      </c>
      <c r="X8123">
        <v>0.97829410000000006</v>
      </c>
      <c r="Y8123">
        <v>0.39857359999999997</v>
      </c>
      <c r="Z8123">
        <v>-2.5843270000000002E-2</v>
      </c>
      <c r="AA8123">
        <v>0.91677220000000004</v>
      </c>
      <c r="AB8123">
        <v>20</v>
      </c>
      <c r="AC8123">
        <v>10.0816999999999</v>
      </c>
      <c r="AD8123">
        <v>-1.121958373941</v>
      </c>
      <c r="AE8123">
        <v>-4.2225699999999904</v>
      </c>
      <c r="AF8123">
        <v>4.3792654271787601</v>
      </c>
      <c r="AG8123">
        <v>-1.121958373941</v>
      </c>
      <c r="AH8123">
        <v>9.8901194654329991</v>
      </c>
      <c r="AI8123">
        <v>95.922023179146393</v>
      </c>
      <c r="AJ8123">
        <v>66.1166222798158</v>
      </c>
      <c r="AK8123">
        <v>10.874337649488099</v>
      </c>
      <c r="AL8123">
        <v>81.558443762653994</v>
      </c>
      <c r="AM8123">
        <v>81.497309389765505</v>
      </c>
      <c r="AN8123">
        <v>0.99999998270552903</v>
      </c>
    </row>
    <row r="8124" spans="1:40" x14ac:dyDescent="0.25">
      <c r="A8124" t="str">
        <f>"20190303162113231"</f>
        <v>20190303162113231</v>
      </c>
      <c r="B8124" t="str">
        <f>"1551601273220891"</f>
        <v>1551601273220891</v>
      </c>
      <c r="C8124" t="s">
        <v>40</v>
      </c>
      <c r="D8124">
        <v>4.8383129999999896</v>
      </c>
      <c r="E8124">
        <v>0.53335149999999998</v>
      </c>
      <c r="F8124" t="s">
        <v>41</v>
      </c>
      <c r="G8124">
        <v>-347.67140000000001</v>
      </c>
      <c r="H8124" s="1">
        <v>-2.409778E-6</v>
      </c>
      <c r="I8124">
        <v>13.485300000000001</v>
      </c>
      <c r="J8124">
        <v>-357.76769999999999</v>
      </c>
      <c r="K8124">
        <v>1.121956</v>
      </c>
      <c r="L8124">
        <v>17.679259999999999</v>
      </c>
      <c r="M8124">
        <v>0.99968990000000002</v>
      </c>
      <c r="N8124">
        <v>-1.435436E-2</v>
      </c>
      <c r="O8124">
        <v>2.035648E-2</v>
      </c>
      <c r="P8124">
        <v>0.98343380000000002</v>
      </c>
      <c r="Q8124">
        <v>0.13285039999999901</v>
      </c>
      <c r="R8124">
        <v>-0.1233244</v>
      </c>
      <c r="S8124">
        <v>2.9401250000000001</v>
      </c>
      <c r="T8124">
        <v>-0.32303880000000001</v>
      </c>
      <c r="U8124">
        <v>-1.2067870000000001</v>
      </c>
      <c r="V8124">
        <v>0.14327219999999999</v>
      </c>
      <c r="W8124">
        <v>0.14696129999999999</v>
      </c>
      <c r="X8124">
        <v>0.97871109999999994</v>
      </c>
      <c r="Y8124">
        <v>0.39604129999999999</v>
      </c>
      <c r="Z8124">
        <v>-2.568235E-2</v>
      </c>
      <c r="AA8124">
        <v>0.91787339999999995</v>
      </c>
      <c r="AB8124">
        <v>20</v>
      </c>
      <c r="AC8124">
        <v>10.0962999999999</v>
      </c>
      <c r="AD8124">
        <v>-1.121958409778</v>
      </c>
      <c r="AE8124">
        <v>-4.1939599999999899</v>
      </c>
      <c r="AF8124">
        <v>4.35279494211452</v>
      </c>
      <c r="AG8124">
        <v>-1.121958409778</v>
      </c>
      <c r="AH8124">
        <v>9.9045135780538107</v>
      </c>
      <c r="AI8124">
        <v>95.920672253590993</v>
      </c>
      <c r="AJ8124">
        <v>66.275668846983507</v>
      </c>
      <c r="AK8124">
        <v>10.8768103642208</v>
      </c>
      <c r="AL8124">
        <v>81.549129576317995</v>
      </c>
      <c r="AM8124">
        <v>81.671702590050401</v>
      </c>
      <c r="AN8124">
        <v>0.99999998212686902</v>
      </c>
    </row>
    <row r="8125" spans="1:40" x14ac:dyDescent="0.25">
      <c r="A8125" t="str">
        <f>"20190303162113246"</f>
        <v>20190303162113246</v>
      </c>
      <c r="B8125" t="str">
        <f>"1551601273240918"</f>
        <v>1551601273240918</v>
      </c>
      <c r="C8125" t="s">
        <v>40</v>
      </c>
      <c r="D8125">
        <v>4.9135770000000001</v>
      </c>
      <c r="E8125">
        <v>0.51578519999999894</v>
      </c>
      <c r="F8125" t="s">
        <v>41</v>
      </c>
      <c r="G8125">
        <v>-330.31729999999999</v>
      </c>
      <c r="H8125" s="1">
        <v>-5.5555560000000003E-6</v>
      </c>
      <c r="I8125">
        <v>11.614319999999999</v>
      </c>
      <c r="J8125">
        <v>-357.64019999999999</v>
      </c>
      <c r="K8125">
        <v>1.121964</v>
      </c>
      <c r="L8125">
        <v>17.682040000000001</v>
      </c>
      <c r="M8125">
        <v>0.99968639999999998</v>
      </c>
      <c r="N8125">
        <v>-1.43514E-2</v>
      </c>
      <c r="O8125">
        <v>2.0527130000000001E-2</v>
      </c>
      <c r="P8125">
        <v>0.98385049999999996</v>
      </c>
      <c r="Q8125">
        <v>0.13277630000000001</v>
      </c>
      <c r="R8125">
        <v>-0.1200377</v>
      </c>
      <c r="S8125">
        <v>2.984375</v>
      </c>
      <c r="T8125">
        <v>-0.12197819999999999</v>
      </c>
      <c r="U8125">
        <v>-0.65936280000000003</v>
      </c>
      <c r="V8125">
        <v>0.14016229999999999</v>
      </c>
      <c r="W8125">
        <v>0.14688970000000001</v>
      </c>
      <c r="X8125">
        <v>0.97917209999999999</v>
      </c>
      <c r="Y8125">
        <v>0.23547290000000001</v>
      </c>
      <c r="Z8125">
        <v>-7.0019390000000004E-3</v>
      </c>
      <c r="AA8125">
        <v>0.97185569999999999</v>
      </c>
      <c r="AB8125">
        <v>20</v>
      </c>
      <c r="AC8125">
        <v>27.322900000000001</v>
      </c>
      <c r="AD8125">
        <v>-1.1219695555560001</v>
      </c>
      <c r="AE8125">
        <v>-6.0677199999999996</v>
      </c>
      <c r="AF8125">
        <v>6.6167269343336104</v>
      </c>
      <c r="AG8125">
        <v>-1.1219695555560001</v>
      </c>
      <c r="AH8125">
        <v>27.148949137952801</v>
      </c>
      <c r="AI8125">
        <v>92.299257712886501</v>
      </c>
      <c r="AJ8125">
        <v>76.302935260589294</v>
      </c>
      <c r="AK8125">
        <v>27.9661461467661</v>
      </c>
      <c r="AL8125">
        <v>81.553277352615794</v>
      </c>
      <c r="AM8125">
        <v>81.8538091409076</v>
      </c>
      <c r="AN8125">
        <v>1.00000002786289</v>
      </c>
    </row>
    <row r="8126" spans="1:40" x14ac:dyDescent="0.25">
      <c r="A8126" t="str">
        <f>"20190303162113261"</f>
        <v>20190303162113261</v>
      </c>
      <c r="B8126" t="str">
        <f>"1551601273250678"</f>
        <v>1551601273250678</v>
      </c>
      <c r="C8126" t="s">
        <v>40</v>
      </c>
      <c r="D8126">
        <v>4.9834209999999999</v>
      </c>
      <c r="E8126">
        <v>0.50815679999999996</v>
      </c>
      <c r="F8126" t="s">
        <v>41</v>
      </c>
      <c r="G8126">
        <v>-326.9778</v>
      </c>
      <c r="H8126" s="1">
        <v>-3.0445249999999999E-6</v>
      </c>
      <c r="I8126">
        <v>12.476369999999999</v>
      </c>
      <c r="J8126">
        <v>-357.49919999999997</v>
      </c>
      <c r="K8126">
        <v>1.1219650000000001</v>
      </c>
      <c r="L8126">
        <v>17.685179999999999</v>
      </c>
      <c r="M8126">
        <v>0.99968250000000003</v>
      </c>
      <c r="N8126">
        <v>-1.434828E-2</v>
      </c>
      <c r="O8126">
        <v>2.0715839999999999E-2</v>
      </c>
      <c r="P8126">
        <v>0.98413410000000001</v>
      </c>
      <c r="Q8126">
        <v>0.1335141</v>
      </c>
      <c r="R8126">
        <v>-0.1168506</v>
      </c>
      <c r="S8126">
        <v>3.0018919999999998</v>
      </c>
      <c r="T8126">
        <v>-0.10984240000000001</v>
      </c>
      <c r="U8126">
        <v>-0.50964359999999997</v>
      </c>
      <c r="V8126">
        <v>0.13716689999999901</v>
      </c>
      <c r="W8126">
        <v>0.147627799999999</v>
      </c>
      <c r="X8126">
        <v>0.97948519999999994</v>
      </c>
      <c r="Y8126">
        <v>0.1875927</v>
      </c>
      <c r="Z8126">
        <v>-5.220377E-3</v>
      </c>
      <c r="AA8126">
        <v>0.98223300000000002</v>
      </c>
      <c r="AB8126">
        <v>20</v>
      </c>
      <c r="AC8126">
        <v>30.5213999999999</v>
      </c>
      <c r="AD8126">
        <v>-1.121968044525</v>
      </c>
      <c r="AE8126">
        <v>-5.2088099999999997</v>
      </c>
      <c r="AF8126">
        <v>5.8323752289125501</v>
      </c>
      <c r="AG8126">
        <v>-1.121968044525</v>
      </c>
      <c r="AH8126">
        <v>30.367059195657902</v>
      </c>
      <c r="AI8126">
        <v>92.0779925130566</v>
      </c>
      <c r="AJ8126">
        <v>79.128017532046101</v>
      </c>
      <c r="AK8126">
        <v>30.942425523807302</v>
      </c>
      <c r="AL8126">
        <v>81.510520898800706</v>
      </c>
      <c r="AM8126">
        <v>82.028153742373405</v>
      </c>
      <c r="AN8126">
        <v>0.99999999140374496</v>
      </c>
    </row>
    <row r="8127" spans="1:40" x14ac:dyDescent="0.25">
      <c r="A8127" t="str">
        <f>"20190303162113274"</f>
        <v>20190303162113274</v>
      </c>
      <c r="B8127" t="str">
        <f>"1551601273260438"</f>
        <v>1551601273260438</v>
      </c>
      <c r="C8127" t="s">
        <v>40</v>
      </c>
      <c r="D8127">
        <v>5.1601530000000002</v>
      </c>
      <c r="E8127">
        <v>0.50230799999999998</v>
      </c>
      <c r="F8127" t="s">
        <v>41</v>
      </c>
      <c r="G8127">
        <v>-327.72969999999998</v>
      </c>
      <c r="H8127" s="1">
        <v>-2.526527E-6</v>
      </c>
      <c r="I8127">
        <v>13.338089999999999</v>
      </c>
      <c r="J8127">
        <v>-357.38350000000003</v>
      </c>
      <c r="K8127">
        <v>1.1219709999999901</v>
      </c>
      <c r="L8127">
        <v>17.68777</v>
      </c>
      <c r="M8127">
        <v>0.99967930000000005</v>
      </c>
      <c r="N8127">
        <v>-1.434564E-2</v>
      </c>
      <c r="O8127">
        <v>2.0870820000000002E-2</v>
      </c>
      <c r="P8127">
        <v>0.98464620000000003</v>
      </c>
      <c r="Q8127">
        <v>0.1349272</v>
      </c>
      <c r="R8127">
        <v>-0.1107566</v>
      </c>
      <c r="S8127">
        <v>3.011536</v>
      </c>
      <c r="T8127">
        <v>-0.11350010000000001</v>
      </c>
      <c r="U8127">
        <v>-0.43975829999999999</v>
      </c>
      <c r="V8127">
        <v>0.1312364</v>
      </c>
      <c r="W8127">
        <v>0.14904529999999999</v>
      </c>
      <c r="X8127">
        <v>0.98008289999999998</v>
      </c>
      <c r="Y8127">
        <v>0.16494990000000001</v>
      </c>
      <c r="Z8127">
        <v>-4.7656469999999996E-3</v>
      </c>
      <c r="AA8127">
        <v>0.98629049999999996</v>
      </c>
      <c r="AB8127">
        <v>20</v>
      </c>
      <c r="AC8127">
        <v>29.6538</v>
      </c>
      <c r="AD8127">
        <v>-1.1219735265270001</v>
      </c>
      <c r="AE8127">
        <v>-4.3496800000000002</v>
      </c>
      <c r="AF8127">
        <v>4.9607432047566</v>
      </c>
      <c r="AG8127">
        <v>-1.1219735265270001</v>
      </c>
      <c r="AH8127">
        <v>29.515186441175999</v>
      </c>
      <c r="AI8127">
        <v>92.146877451852404</v>
      </c>
      <c r="AJ8127">
        <v>80.459226137635</v>
      </c>
      <c r="AK8127">
        <v>29.9501924600686</v>
      </c>
      <c r="AL8127">
        <v>81.428395575084906</v>
      </c>
      <c r="AM8127">
        <v>82.373269011484993</v>
      </c>
      <c r="AN8127">
        <v>0.99999999250473004</v>
      </c>
    </row>
    <row r="8128" spans="1:40" x14ac:dyDescent="0.25">
      <c r="A8128" t="str">
        <f>"20190303162113290"</f>
        <v>20190303162113290</v>
      </c>
      <c r="B8128" t="str">
        <f>"1551601273280935"</f>
        <v>1551601273280935</v>
      </c>
      <c r="C8128" t="s">
        <v>40</v>
      </c>
      <c r="D8128">
        <v>5.1024190000000003</v>
      </c>
      <c r="E8128">
        <v>0.49544719999999998</v>
      </c>
      <c r="F8128" t="s">
        <v>41</v>
      </c>
      <c r="G8128">
        <v>-327.83170000000001</v>
      </c>
      <c r="H8128" s="1">
        <v>-2.3069089999999999E-6</v>
      </c>
      <c r="I8128">
        <v>14.01624</v>
      </c>
      <c r="J8128">
        <v>-357.23099999999999</v>
      </c>
      <c r="K8128">
        <v>1.1219730000000001</v>
      </c>
      <c r="L8128">
        <v>17.691189999999999</v>
      </c>
      <c r="M8128">
        <v>0.99967519999999999</v>
      </c>
      <c r="N8128">
        <v>-1.434211E-2</v>
      </c>
      <c r="O8128">
        <v>2.1074860000000001E-2</v>
      </c>
      <c r="P8128">
        <v>0.98488240000000005</v>
      </c>
      <c r="Q8128">
        <v>0.13574229999999901</v>
      </c>
      <c r="R8128">
        <v>-0.1076158</v>
      </c>
      <c r="S8128">
        <v>3.0202939999999998</v>
      </c>
      <c r="T8128">
        <v>-0.1146696</v>
      </c>
      <c r="U8128">
        <v>-0.37524410000000002</v>
      </c>
      <c r="V8128">
        <v>0.12830179999999999</v>
      </c>
      <c r="W8128">
        <v>0.14985950000000001</v>
      </c>
      <c r="X8128">
        <v>0.98034730000000003</v>
      </c>
      <c r="Y8128">
        <v>0.14403460000000001</v>
      </c>
      <c r="Z8128">
        <v>-4.2562260000000001E-3</v>
      </c>
      <c r="AA8128">
        <v>0.98956350000000004</v>
      </c>
      <c r="AB8128">
        <v>20</v>
      </c>
      <c r="AC8128">
        <v>29.399299999999901</v>
      </c>
      <c r="AD8128">
        <v>-1.1219753069089999</v>
      </c>
      <c r="AE8128">
        <v>-3.6749499999999902</v>
      </c>
      <c r="AF8128">
        <v>4.2876347743791303</v>
      </c>
      <c r="AG8128">
        <v>-1.1219753069089999</v>
      </c>
      <c r="AH8128">
        <v>29.273333157050899</v>
      </c>
      <c r="AI8128">
        <v>92.171783175981204</v>
      </c>
      <c r="AJ8128">
        <v>81.667197733891598</v>
      </c>
      <c r="AK8128">
        <v>29.606936259455701</v>
      </c>
      <c r="AL8128">
        <v>81.381215749379393</v>
      </c>
      <c r="AM8128">
        <v>82.543859016440393</v>
      </c>
      <c r="AN8128">
        <v>1.00000002512038</v>
      </c>
    </row>
    <row r="8129" spans="1:40" x14ac:dyDescent="0.25">
      <c r="A8129" t="str">
        <f>"20190303162113307"</f>
        <v>20190303162113307</v>
      </c>
      <c r="B8129" t="str">
        <f>"1551601273290695"</f>
        <v>1551601273290695</v>
      </c>
      <c r="C8129" t="s">
        <v>40</v>
      </c>
      <c r="D8129">
        <v>5.0389390000000001</v>
      </c>
      <c r="E8129">
        <v>0.49371419999999999</v>
      </c>
      <c r="F8129" t="s">
        <v>41</v>
      </c>
      <c r="G8129">
        <v>-329.04300000000001</v>
      </c>
      <c r="H8129" s="1">
        <v>-1.6358939999999999E-6</v>
      </c>
      <c r="I8129">
        <v>14.7899799999999</v>
      </c>
      <c r="J8129">
        <v>-357.08749999999998</v>
      </c>
      <c r="K8129">
        <v>1.1219730000000001</v>
      </c>
      <c r="L8129">
        <v>17.694459999999999</v>
      </c>
      <c r="M8129">
        <v>0.99967099999999998</v>
      </c>
      <c r="N8129">
        <v>-1.4338760000000001E-2</v>
      </c>
      <c r="O8129">
        <v>2.1267149999999999E-2</v>
      </c>
      <c r="P8129">
        <v>0.98550839999999995</v>
      </c>
      <c r="Q8129">
        <v>0.13595739999999901</v>
      </c>
      <c r="R8129">
        <v>-0.10143430000000001</v>
      </c>
      <c r="S8129">
        <v>3.0285340000000001</v>
      </c>
      <c r="T8129">
        <v>-0.12054529999999999</v>
      </c>
      <c r="U8129">
        <v>-0.3117065</v>
      </c>
      <c r="V8129">
        <v>0.122324</v>
      </c>
      <c r="W8129">
        <v>0.15007970000000001</v>
      </c>
      <c r="X8129">
        <v>0.98107739999999999</v>
      </c>
      <c r="Y8129">
        <v>0.1233781</v>
      </c>
      <c r="Z8129">
        <v>-3.8754900000000001E-3</v>
      </c>
      <c r="AA8129">
        <v>0.99235220000000002</v>
      </c>
      <c r="AB8129">
        <v>20</v>
      </c>
      <c r="AC8129">
        <v>28.0444999999999</v>
      </c>
      <c r="AD8129">
        <v>-1.1219746358939999</v>
      </c>
      <c r="AE8129">
        <v>-2.90448</v>
      </c>
      <c r="AF8129">
        <v>3.4947766422617899</v>
      </c>
      <c r="AG8129">
        <v>-1.1219746358939999</v>
      </c>
      <c r="AH8129">
        <v>27.932146965340099</v>
      </c>
      <c r="AI8129">
        <v>92.282436007747904</v>
      </c>
      <c r="AJ8129">
        <v>82.868403043772503</v>
      </c>
      <c r="AK8129">
        <v>28.172275821385998</v>
      </c>
      <c r="AL8129">
        <v>81.368454431409802</v>
      </c>
      <c r="AM8129">
        <v>82.892848905210997</v>
      </c>
      <c r="AN8129">
        <v>0.99999997105942395</v>
      </c>
    </row>
    <row r="8130" spans="1:40" x14ac:dyDescent="0.25">
      <c r="A8130" t="str">
        <f>"20190303162113318"</f>
        <v>20190303162113318</v>
      </c>
      <c r="B8130" t="str">
        <f>"1551601273311190"</f>
        <v>1551601273311190</v>
      </c>
      <c r="C8130" t="s">
        <v>40</v>
      </c>
      <c r="D8130">
        <v>5.0918460000000003</v>
      </c>
      <c r="E8130">
        <v>0.49129129999999899</v>
      </c>
      <c r="F8130" t="s">
        <v>41</v>
      </c>
      <c r="G8130">
        <v>-329.7174</v>
      </c>
      <c r="H8130" s="1">
        <v>-1.275328E-6</v>
      </c>
      <c r="I8130">
        <v>15.171709999999999</v>
      </c>
      <c r="J8130">
        <v>-356.96879999999999</v>
      </c>
      <c r="K8130">
        <v>1.1219709999999901</v>
      </c>
      <c r="L8130">
        <v>17.697199999999999</v>
      </c>
      <c r="M8130">
        <v>0.99966759999999999</v>
      </c>
      <c r="N8130">
        <v>-1.433596E-2</v>
      </c>
      <c r="O8130">
        <v>2.1426600000000001E-2</v>
      </c>
      <c r="P8130">
        <v>0.98587820000000004</v>
      </c>
      <c r="Q8130">
        <v>0.13584969999999999</v>
      </c>
      <c r="R8130">
        <v>-9.7923860000000001E-2</v>
      </c>
      <c r="S8130">
        <v>3.0325009999999999</v>
      </c>
      <c r="T8130">
        <v>-0.1243104</v>
      </c>
      <c r="U8130">
        <v>-0.2795105</v>
      </c>
      <c r="V8130">
        <v>0.1189793</v>
      </c>
      <c r="W8130">
        <v>0.1499741</v>
      </c>
      <c r="X8130">
        <v>0.98150479999999996</v>
      </c>
      <c r="Y8130">
        <v>0.112965</v>
      </c>
      <c r="Z8130">
        <v>-3.691331E-3</v>
      </c>
      <c r="AA8130">
        <v>0.99359209999999998</v>
      </c>
      <c r="AB8130">
        <v>20</v>
      </c>
      <c r="AC8130">
        <v>27.251399999999901</v>
      </c>
      <c r="AD8130">
        <v>-1.1219722753279999</v>
      </c>
      <c r="AE8130">
        <v>-2.5254899999999898</v>
      </c>
      <c r="AF8130">
        <v>3.1036588596443702</v>
      </c>
      <c r="AG8130">
        <v>-1.1219722753279999</v>
      </c>
      <c r="AH8130">
        <v>27.145402786953898</v>
      </c>
      <c r="AI8130">
        <v>92.351496240633907</v>
      </c>
      <c r="AJ8130">
        <v>83.477433242747097</v>
      </c>
      <c r="AK8130">
        <v>27.345281358391901</v>
      </c>
      <c r="AL8130">
        <v>81.374574280409007</v>
      </c>
      <c r="AM8130">
        <v>83.088253889500194</v>
      </c>
      <c r="AN8130">
        <v>0.999999988461169</v>
      </c>
    </row>
    <row r="8131" spans="1:40" x14ac:dyDescent="0.25">
      <c r="A8131" t="str">
        <f>"20190303162113331"</f>
        <v>20190303162113331</v>
      </c>
      <c r="B8131" t="str">
        <f>"1551601273320950"</f>
        <v>1551601273320950</v>
      </c>
      <c r="C8131" t="s">
        <v>40</v>
      </c>
      <c r="D8131">
        <v>5.0258799999999999</v>
      </c>
      <c r="E8131">
        <v>0.49067450000000001</v>
      </c>
      <c r="F8131" t="s">
        <v>41</v>
      </c>
      <c r="G8131">
        <v>-330.34809999999999</v>
      </c>
      <c r="H8131" s="1">
        <v>-4.8520359999999996E-6</v>
      </c>
      <c r="I8131">
        <v>15.50596</v>
      </c>
      <c r="J8131">
        <v>-356.86649999999997</v>
      </c>
      <c r="K8131">
        <v>1.1219699999999999</v>
      </c>
      <c r="L8131">
        <v>17.699549999999999</v>
      </c>
      <c r="M8131">
        <v>0.99966480000000002</v>
      </c>
      <c r="N8131">
        <v>-1.433355E-2</v>
      </c>
      <c r="O8131">
        <v>2.1563880000000001E-2</v>
      </c>
      <c r="P8131">
        <v>0.98629549999999999</v>
      </c>
      <c r="Q8131">
        <v>0.135441899999999</v>
      </c>
      <c r="R8131">
        <v>-9.4215690000000005E-2</v>
      </c>
      <c r="S8131">
        <v>3.0357970000000001</v>
      </c>
      <c r="T8131">
        <v>-0.1279489</v>
      </c>
      <c r="U8131">
        <v>-0.24987789999999999</v>
      </c>
      <c r="V8131">
        <v>0.1154162</v>
      </c>
      <c r="W8131">
        <v>0.1495696</v>
      </c>
      <c r="X8131">
        <v>0.98199190000000003</v>
      </c>
      <c r="Y8131">
        <v>0.1033767</v>
      </c>
      <c r="Z8131">
        <v>-3.5150810000000002E-3</v>
      </c>
      <c r="AA8131">
        <v>0.99463610000000002</v>
      </c>
      <c r="AB8131">
        <v>20</v>
      </c>
      <c r="AC8131">
        <v>26.5183999999999</v>
      </c>
      <c r="AD8131">
        <v>-1.121974852036</v>
      </c>
      <c r="AE8131">
        <v>-2.1935899999999902</v>
      </c>
      <c r="AF8131">
        <v>2.76007096420155</v>
      </c>
      <c r="AG8131">
        <v>-1.121974852036</v>
      </c>
      <c r="AH8131">
        <v>26.417956528716299</v>
      </c>
      <c r="AI8131">
        <v>92.418750205251797</v>
      </c>
      <c r="AJ8131">
        <v>84.0355430336149</v>
      </c>
      <c r="AK8131">
        <v>26.5854329746419</v>
      </c>
      <c r="AL8131">
        <v>81.398015162524601</v>
      </c>
      <c r="AM8131">
        <v>83.296623767579703</v>
      </c>
      <c r="AN8131">
        <v>1.0000000280661001</v>
      </c>
    </row>
    <row r="8132" spans="1:40" x14ac:dyDescent="0.25">
      <c r="A8132" t="str">
        <f>"20190303162113343"</f>
        <v>20190303162113343</v>
      </c>
      <c r="B8132" t="str">
        <f>"1551601273330711"</f>
        <v>1551601273330711</v>
      </c>
      <c r="C8132" t="s">
        <v>40</v>
      </c>
      <c r="D8132">
        <v>5.022913</v>
      </c>
      <c r="E8132">
        <v>0.49018050000000002</v>
      </c>
      <c r="F8132" t="s">
        <v>41</v>
      </c>
      <c r="G8132">
        <v>-330.71260000000001</v>
      </c>
      <c r="H8132" s="1">
        <v>-4.6637419999999998E-6</v>
      </c>
      <c r="I8132">
        <v>15.68596</v>
      </c>
      <c r="J8132">
        <v>-356.75529999999998</v>
      </c>
      <c r="K8132">
        <v>1.1219650000000001</v>
      </c>
      <c r="L8132">
        <v>17.70215</v>
      </c>
      <c r="M8132">
        <v>0.99966160000000004</v>
      </c>
      <c r="N8132">
        <v>-1.433092E-2</v>
      </c>
      <c r="O8132">
        <v>2.1713260000000002E-2</v>
      </c>
      <c r="P8132">
        <v>0.9867842</v>
      </c>
      <c r="Q8132">
        <v>0.13461879999999901</v>
      </c>
      <c r="R8132">
        <v>-9.019336E-2</v>
      </c>
      <c r="S8132">
        <v>3.037201</v>
      </c>
      <c r="T8132">
        <v>-0.1302924</v>
      </c>
      <c r="U8132">
        <v>-0.2338257</v>
      </c>
      <c r="V8132">
        <v>0.11155279999999999</v>
      </c>
      <c r="W8132">
        <v>0.14875060000000001</v>
      </c>
      <c r="X8132">
        <v>0.98256259999999995</v>
      </c>
      <c r="Y8132">
        <v>9.8264519999999994E-2</v>
      </c>
      <c r="Z8132">
        <v>-3.4284820000000001E-3</v>
      </c>
      <c r="AA8132">
        <v>0.99515439999999999</v>
      </c>
      <c r="AB8132">
        <v>20</v>
      </c>
      <c r="AC8132">
        <v>26.0426999999999</v>
      </c>
      <c r="AD8132">
        <v>-1.12196966374199</v>
      </c>
      <c r="AE8132">
        <v>-2.0161899999999902</v>
      </c>
      <c r="AF8132">
        <v>2.5764909019178099</v>
      </c>
      <c r="AG8132">
        <v>-1.12196966374199</v>
      </c>
      <c r="AH8132">
        <v>25.9449081441598</v>
      </c>
      <c r="AI8132">
        <v>92.4640685811206</v>
      </c>
      <c r="AJ8132">
        <v>84.328766335940202</v>
      </c>
      <c r="AK8132">
        <v>26.096654573008198</v>
      </c>
      <c r="AL8132">
        <v>81.445471187169701</v>
      </c>
      <c r="AM8132">
        <v>83.522800788596797</v>
      </c>
      <c r="AN8132">
        <v>1.0000000155534701</v>
      </c>
    </row>
    <row r="8133" spans="1:40" x14ac:dyDescent="0.25">
      <c r="A8133" t="str">
        <f>"20190303162113355"</f>
        <v>20190303162113355</v>
      </c>
      <c r="B8133" t="str">
        <f>"1551601273340470"</f>
        <v>1551601273340470</v>
      </c>
      <c r="C8133" t="s">
        <v>40</v>
      </c>
      <c r="D8133">
        <v>5.019253</v>
      </c>
      <c r="E8133">
        <v>0.4899328</v>
      </c>
      <c r="F8133" t="s">
        <v>41</v>
      </c>
      <c r="G8133">
        <v>-331.1848</v>
      </c>
      <c r="H8133" s="1">
        <v>-4.4283719999999999E-6</v>
      </c>
      <c r="I8133">
        <v>15.87092</v>
      </c>
      <c r="J8133">
        <v>-356.65140000000002</v>
      </c>
      <c r="K8133">
        <v>1.1219629999999901</v>
      </c>
      <c r="L8133">
        <v>17.70459</v>
      </c>
      <c r="M8133">
        <v>0.99965859999999995</v>
      </c>
      <c r="N8133">
        <v>-1.4328469999999999E-2</v>
      </c>
      <c r="O8133">
        <v>2.185316E-2</v>
      </c>
      <c r="P8133">
        <v>0.98731179999999996</v>
      </c>
      <c r="Q8133">
        <v>0.13383139999999999</v>
      </c>
      <c r="R8133">
        <v>-8.5468470000000005E-2</v>
      </c>
      <c r="S8133">
        <v>3.0384829999999998</v>
      </c>
      <c r="T8133">
        <v>-0.13332069999999999</v>
      </c>
      <c r="U8133">
        <v>-0.21759029999999999</v>
      </c>
      <c r="V8133">
        <v>0.1069785</v>
      </c>
      <c r="W8133">
        <v>0.14796870000000001</v>
      </c>
      <c r="X8133">
        <v>0.98318910000000004</v>
      </c>
      <c r="Y8133">
        <v>9.3083260000000001E-2</v>
      </c>
      <c r="Z8133">
        <v>-3.351429E-3</v>
      </c>
      <c r="AA8133">
        <v>0.99565269999999995</v>
      </c>
      <c r="AB8133">
        <v>20</v>
      </c>
      <c r="AC8133">
        <v>25.4666</v>
      </c>
      <c r="AD8133">
        <v>-1.12196742837199</v>
      </c>
      <c r="AE8133">
        <v>-1.8336699999999899</v>
      </c>
      <c r="AF8133">
        <v>2.38520904653884</v>
      </c>
      <c r="AG8133">
        <v>-1.12196742837199</v>
      </c>
      <c r="AH8133">
        <v>25.3714503057302</v>
      </c>
      <c r="AI8133">
        <v>92.520962906657104</v>
      </c>
      <c r="AJ8133">
        <v>84.629320892047502</v>
      </c>
      <c r="AK8133">
        <v>25.5080090113312</v>
      </c>
      <c r="AL8133">
        <v>81.490771699341906</v>
      </c>
      <c r="AM8133">
        <v>83.790209841341905</v>
      </c>
      <c r="AN8133">
        <v>0.99999997100037397</v>
      </c>
    </row>
    <row r="8134" spans="1:40" x14ac:dyDescent="0.25">
      <c r="A8134" t="str">
        <f>"20190303162113366"</f>
        <v>20190303162113366</v>
      </c>
      <c r="B8134" t="str">
        <f>"1551601273360966"</f>
        <v>1551601273360966</v>
      </c>
      <c r="C8134" t="s">
        <v>40</v>
      </c>
      <c r="D8134">
        <v>5.021401</v>
      </c>
      <c r="E8134">
        <v>0.48969829999999998</v>
      </c>
      <c r="F8134" t="s">
        <v>41</v>
      </c>
      <c r="G8134">
        <v>-331.79379999999998</v>
      </c>
      <c r="H8134" s="1">
        <v>-4.1341489999999998E-6</v>
      </c>
      <c r="I8134">
        <v>16.056629999999998</v>
      </c>
      <c r="J8134">
        <v>-356.5453</v>
      </c>
      <c r="K8134">
        <v>1.1219589999999999</v>
      </c>
      <c r="L8134">
        <v>17.707090000000001</v>
      </c>
      <c r="M8134">
        <v>0.99965539999999997</v>
      </c>
      <c r="N8134">
        <v>-1.432596E-2</v>
      </c>
      <c r="O8134">
        <v>2.199622E-2</v>
      </c>
      <c r="P8134">
        <v>0.98776359999999996</v>
      </c>
      <c r="Q8134">
        <v>0.1331772</v>
      </c>
      <c r="R8134">
        <v>-8.1159289999999995E-2</v>
      </c>
      <c r="S8134">
        <v>3.0396730000000001</v>
      </c>
      <c r="T8134">
        <v>-0.13719790000000001</v>
      </c>
      <c r="U8134">
        <v>-0.20150760000000001</v>
      </c>
      <c r="V8134">
        <v>0.1028216</v>
      </c>
      <c r="W8134">
        <v>0.14731839999999999</v>
      </c>
      <c r="X8134">
        <v>0.98373010000000005</v>
      </c>
      <c r="Y8134">
        <v>8.7953619999999996E-2</v>
      </c>
      <c r="Z8134">
        <v>-3.289602E-3</v>
      </c>
      <c r="AA8134">
        <v>0.99611910000000004</v>
      </c>
      <c r="AB8134">
        <v>20</v>
      </c>
      <c r="AC8134">
        <v>24.7515</v>
      </c>
      <c r="AD8134">
        <v>-1.121963134149</v>
      </c>
      <c r="AE8134">
        <v>-1.65046</v>
      </c>
      <c r="AF8134">
        <v>2.19007582825075</v>
      </c>
      <c r="AG8134">
        <v>-1.121963134149</v>
      </c>
      <c r="AH8134">
        <v>24.6587599017614</v>
      </c>
      <c r="AI8134">
        <v>92.594936478574596</v>
      </c>
      <c r="AJ8134">
        <v>84.924573902333805</v>
      </c>
      <c r="AK8134">
        <v>24.7812363150145</v>
      </c>
      <c r="AL8134">
        <v>81.528443840648194</v>
      </c>
      <c r="AM8134">
        <v>84.032987761495903</v>
      </c>
      <c r="AN8134">
        <v>0.99999995102556305</v>
      </c>
    </row>
    <row r="8135" spans="1:40" x14ac:dyDescent="0.25">
      <c r="A8135" t="str">
        <f>"20190303162113378"</f>
        <v>20190303162113378</v>
      </c>
      <c r="B8135" t="str">
        <f>"1551601273370729"</f>
        <v>1551601273370729</v>
      </c>
      <c r="C8135" t="s">
        <v>40</v>
      </c>
      <c r="D8135">
        <v>5.0177750000000003</v>
      </c>
      <c r="E8135">
        <v>0.489651</v>
      </c>
      <c r="F8135" t="s">
        <v>41</v>
      </c>
      <c r="G8135">
        <v>-332.46870000000001</v>
      </c>
      <c r="H8135" s="1">
        <v>-3.814183E-6</v>
      </c>
      <c r="I8135">
        <v>16.228279999999899</v>
      </c>
      <c r="J8135">
        <v>-356.43959999999998</v>
      </c>
      <c r="K8135">
        <v>1.121958</v>
      </c>
      <c r="L8135">
        <v>17.709589999999999</v>
      </c>
      <c r="M8135">
        <v>0.99965230000000005</v>
      </c>
      <c r="N8135">
        <v>-1.432345E-2</v>
      </c>
      <c r="O8135">
        <v>2.2139289999999999E-2</v>
      </c>
      <c r="P8135">
        <v>0.98818980000000001</v>
      </c>
      <c r="Q8135">
        <v>0.1326447</v>
      </c>
      <c r="R8135">
        <v>-7.672313E-2</v>
      </c>
      <c r="S8135">
        <v>3.040924</v>
      </c>
      <c r="T8135">
        <v>-0.1417062</v>
      </c>
      <c r="U8135">
        <v>-0.18676760000000001</v>
      </c>
      <c r="V8135">
        <v>9.8536970000000002E-2</v>
      </c>
      <c r="W8135">
        <v>0.1467897</v>
      </c>
      <c r="X8135">
        <v>0.9842476</v>
      </c>
      <c r="Y8135">
        <v>8.3258109999999996E-2</v>
      </c>
      <c r="Z8135">
        <v>-3.2479060000000001E-3</v>
      </c>
      <c r="AA8135">
        <v>0.99652269999999998</v>
      </c>
      <c r="AB8135">
        <v>20</v>
      </c>
      <c r="AC8135">
        <v>23.970899999999901</v>
      </c>
      <c r="AD8135">
        <v>-1.1219618141829999</v>
      </c>
      <c r="AE8135">
        <v>-1.4813099999999999</v>
      </c>
      <c r="AF8135">
        <v>2.0073192453081901</v>
      </c>
      <c r="AG8135">
        <v>-1.1219618141829999</v>
      </c>
      <c r="AH8135">
        <v>23.8801092249339</v>
      </c>
      <c r="AI8135">
        <v>92.680516388637997</v>
      </c>
      <c r="AJ8135">
        <v>85.195114825028696</v>
      </c>
      <c r="AK8135">
        <v>23.990576180238801</v>
      </c>
      <c r="AL8135">
        <v>81.559069857607199</v>
      </c>
      <c r="AM8135">
        <v>84.282939554378601</v>
      </c>
      <c r="AN8135">
        <v>1.00000004429431</v>
      </c>
    </row>
    <row r="8136" spans="1:40" x14ac:dyDescent="0.25">
      <c r="A8136" t="str">
        <f>"20190303162113390"</f>
        <v>20190303162113390</v>
      </c>
      <c r="B8136" t="str">
        <f>"1551601273380487"</f>
        <v>1551601273380487</v>
      </c>
      <c r="C8136" t="s">
        <v>40</v>
      </c>
      <c r="D8136">
        <v>5.0691449999999998</v>
      </c>
      <c r="E8136">
        <v>0.48972670000000001</v>
      </c>
      <c r="F8136" t="s">
        <v>41</v>
      </c>
      <c r="G8136">
        <v>-332.71550000000002</v>
      </c>
      <c r="H8136" s="1">
        <v>-3.684935E-6</v>
      </c>
      <c r="I8136">
        <v>16.360150000000001</v>
      </c>
      <c r="J8136">
        <v>-356.34199999999998</v>
      </c>
      <c r="K8136">
        <v>1.121958</v>
      </c>
      <c r="L8136">
        <v>17.71191</v>
      </c>
      <c r="M8136">
        <v>0.99964949999999997</v>
      </c>
      <c r="N8136">
        <v>-1.432113E-2</v>
      </c>
      <c r="O8136">
        <v>2.2271989999999998E-2</v>
      </c>
      <c r="P8136">
        <v>0.98861829999999995</v>
      </c>
      <c r="Q8136">
        <v>0.13222200000000001</v>
      </c>
      <c r="R8136">
        <v>-7.1773000000000003E-2</v>
      </c>
      <c r="S8136">
        <v>3.0417179999999999</v>
      </c>
      <c r="T8136">
        <v>-0.14384839999999999</v>
      </c>
      <c r="U8136">
        <v>-0.1730042</v>
      </c>
      <c r="V8136">
        <v>9.3728710000000007E-2</v>
      </c>
      <c r="W8136">
        <v>0.1463708</v>
      </c>
      <c r="X8136">
        <v>0.98477939999999997</v>
      </c>
      <c r="Y8136">
        <v>7.8882930000000004E-2</v>
      </c>
      <c r="Z8136">
        <v>-3.16184E-3</v>
      </c>
      <c r="AA8136">
        <v>0.99687890000000001</v>
      </c>
      <c r="AB8136">
        <v>20</v>
      </c>
      <c r="AC8136">
        <v>23.626499999999901</v>
      </c>
      <c r="AD8136">
        <v>-1.121961684935</v>
      </c>
      <c r="AE8136">
        <v>-1.3517599999999901</v>
      </c>
      <c r="AF8136">
        <v>1.8734766884593801</v>
      </c>
      <c r="AG8136">
        <v>-1.121961684935</v>
      </c>
      <c r="AH8136">
        <v>23.537623270559902</v>
      </c>
      <c r="AI8136">
        <v>92.720446261902694</v>
      </c>
      <c r="AJ8136">
        <v>85.449137759708094</v>
      </c>
      <c r="AK8136">
        <v>23.638706016858599</v>
      </c>
      <c r="AL8136">
        <v>81.583332539266394</v>
      </c>
      <c r="AM8136">
        <v>84.5631162055532</v>
      </c>
      <c r="AN8136">
        <v>0.999999974417631</v>
      </c>
    </row>
    <row r="8137" spans="1:40" x14ac:dyDescent="0.25">
      <c r="A8137" t="str">
        <f>"20190303162113400"</f>
        <v>20190303162113400</v>
      </c>
      <c r="B8137" t="str">
        <f>"1551601273390246"</f>
        <v>1551601273390246</v>
      </c>
      <c r="C8137" t="s">
        <v>40</v>
      </c>
      <c r="D8137">
        <v>5.0806760000000004</v>
      </c>
      <c r="E8137">
        <v>0.48987409999999998</v>
      </c>
      <c r="F8137" t="s">
        <v>41</v>
      </c>
      <c r="G8137">
        <v>-332.87670000000003</v>
      </c>
      <c r="H8137" s="1">
        <v>-3.5932639999999998E-6</v>
      </c>
      <c r="I8137">
        <v>16.48696</v>
      </c>
      <c r="J8137">
        <v>-356.238</v>
      </c>
      <c r="K8137">
        <v>1.121958</v>
      </c>
      <c r="L8137">
        <v>17.714449999999999</v>
      </c>
      <c r="M8137">
        <v>0.99964620000000004</v>
      </c>
      <c r="N8137">
        <v>-1.431865E-2</v>
      </c>
      <c r="O8137">
        <v>2.2414409999999999E-2</v>
      </c>
      <c r="P8137">
        <v>0.98895960000000005</v>
      </c>
      <c r="Q8137">
        <v>0.1319649</v>
      </c>
      <c r="R8137">
        <v>-6.7410860000000003E-2</v>
      </c>
      <c r="S8137">
        <v>3.0424500000000001</v>
      </c>
      <c r="T8137">
        <v>-0.1454705</v>
      </c>
      <c r="U8137">
        <v>-0.1588135</v>
      </c>
      <c r="V8137">
        <v>8.9515600000000001E-2</v>
      </c>
      <c r="W8137">
        <v>0.1461161</v>
      </c>
      <c r="X8137">
        <v>0.98520920000000001</v>
      </c>
      <c r="Y8137">
        <v>7.4378609999999998E-2</v>
      </c>
      <c r="Z8137">
        <v>-3.0590930000000001E-3</v>
      </c>
      <c r="AA8137">
        <v>0.99722540000000004</v>
      </c>
      <c r="AB8137">
        <v>20</v>
      </c>
      <c r="AC8137">
        <v>23.3613</v>
      </c>
      <c r="AD8137">
        <v>-1.1219615932639999</v>
      </c>
      <c r="AE8137">
        <v>-1.22748999999999</v>
      </c>
      <c r="AF8137">
        <v>1.74684691565015</v>
      </c>
      <c r="AG8137">
        <v>-1.1219615932639999</v>
      </c>
      <c r="AH8137">
        <v>23.274377746479502</v>
      </c>
      <c r="AI8137">
        <v>92.752127570091304</v>
      </c>
      <c r="AJ8137">
        <v>85.707741209438495</v>
      </c>
      <c r="AK8137">
        <v>23.366791209947898</v>
      </c>
      <c r="AL8137">
        <v>81.598085122970502</v>
      </c>
      <c r="AM8137">
        <v>84.808390047831594</v>
      </c>
      <c r="AN8137">
        <v>1.0000000625436001</v>
      </c>
    </row>
    <row r="8138" spans="1:40" x14ac:dyDescent="0.25">
      <c r="A8138" t="str">
        <f>"20190303162113418"</f>
        <v>20190303162113418</v>
      </c>
      <c r="B8138" t="str">
        <f>"1551601273410742"</f>
        <v>1551601273410742</v>
      </c>
      <c r="C8138" t="s">
        <v>40</v>
      </c>
      <c r="D8138">
        <v>4.8558529999999998</v>
      </c>
      <c r="E8138">
        <v>0.49031799999999998</v>
      </c>
      <c r="F8138" t="s">
        <v>41</v>
      </c>
      <c r="G8138">
        <v>-332.82780000000002</v>
      </c>
      <c r="H8138" s="1">
        <v>-3.5968710000000001E-6</v>
      </c>
      <c r="I8138">
        <v>16.58484</v>
      </c>
      <c r="J8138">
        <v>-356.08350000000002</v>
      </c>
      <c r="K8138">
        <v>1.121961</v>
      </c>
      <c r="L8138">
        <v>17.7182</v>
      </c>
      <c r="M8138">
        <v>0.99964149999999996</v>
      </c>
      <c r="N8138">
        <v>-1.431496E-2</v>
      </c>
      <c r="O8138">
        <v>2.262927E-2</v>
      </c>
      <c r="P8138">
        <v>0.98952430000000002</v>
      </c>
      <c r="Q8138">
        <v>0.13194429999999999</v>
      </c>
      <c r="R8138">
        <v>-5.8586359999999997E-2</v>
      </c>
      <c r="S8138">
        <v>3.0429689999999998</v>
      </c>
      <c r="T8138">
        <v>-0.14583779999999999</v>
      </c>
      <c r="U8138">
        <v>-0.14682010000000001</v>
      </c>
      <c r="V8138">
        <v>8.0917810000000007E-2</v>
      </c>
      <c r="W8138">
        <v>0.14610010000000001</v>
      </c>
      <c r="X8138">
        <v>0.98595489999999997</v>
      </c>
      <c r="Y8138">
        <v>7.0667919999999995E-2</v>
      </c>
      <c r="Z8138">
        <v>-2.9577169999999999E-3</v>
      </c>
      <c r="AA8138">
        <v>0.99749549999999998</v>
      </c>
      <c r="AB8138">
        <v>20</v>
      </c>
      <c r="AC8138">
        <v>23.255699999999901</v>
      </c>
      <c r="AD8138">
        <v>-1.1219645968709999</v>
      </c>
      <c r="AE8138">
        <v>-1.1333599999999899</v>
      </c>
      <c r="AF8138">
        <v>1.6555389007469099</v>
      </c>
      <c r="AG8138">
        <v>-1.1219645968709999</v>
      </c>
      <c r="AH8138">
        <v>23.170291563071299</v>
      </c>
      <c r="AI8138">
        <v>92.765203817905302</v>
      </c>
      <c r="AJ8138">
        <v>85.913108623389505</v>
      </c>
      <c r="AK8138">
        <v>23.256440499918501</v>
      </c>
      <c r="AL8138">
        <v>81.599011253870799</v>
      </c>
      <c r="AM8138">
        <v>85.308221895698395</v>
      </c>
      <c r="AN8138">
        <v>0.99999999801460704</v>
      </c>
    </row>
    <row r="8139" spans="1:40" x14ac:dyDescent="0.25">
      <c r="A8139" t="str">
        <f>"20190303162113431"</f>
        <v>20190303162113431</v>
      </c>
      <c r="B8139" t="str">
        <f>"1551601273420503"</f>
        <v>1551601273420503</v>
      </c>
      <c r="C8139" t="s">
        <v>40</v>
      </c>
      <c r="D8139">
        <v>4.845396</v>
      </c>
      <c r="E8139">
        <v>0.49058210000000002</v>
      </c>
      <c r="F8139" t="s">
        <v>41</v>
      </c>
      <c r="G8139">
        <v>-332.4606</v>
      </c>
      <c r="H8139" s="1">
        <v>-3.7231239999999998E-6</v>
      </c>
      <c r="I8139">
        <v>16.761240000000001</v>
      </c>
      <c r="J8139">
        <v>-355.97449999999998</v>
      </c>
      <c r="K8139">
        <v>1.1219650000000001</v>
      </c>
      <c r="L8139">
        <v>17.720859999999998</v>
      </c>
      <c r="M8139">
        <v>0.99963800000000003</v>
      </c>
      <c r="N8139">
        <v>-1.4312389999999999E-2</v>
      </c>
      <c r="O8139">
        <v>2.2784180000000001E-2</v>
      </c>
      <c r="P8139">
        <v>0.98970060000000004</v>
      </c>
      <c r="Q8139">
        <v>0.13216639999999999</v>
      </c>
      <c r="R8139">
        <v>-5.4997280000000003E-2</v>
      </c>
      <c r="S8139">
        <v>3.0437319999999999</v>
      </c>
      <c r="T8139">
        <v>-0.1445611</v>
      </c>
      <c r="U8139">
        <v>-0.123291</v>
      </c>
      <c r="V8139">
        <v>7.7485609999999996E-2</v>
      </c>
      <c r="W8139">
        <v>0.14632220000000001</v>
      </c>
      <c r="X8139">
        <v>0.98619769999999896</v>
      </c>
      <c r="Y8139">
        <v>6.3125650000000005E-2</v>
      </c>
      <c r="Z8139">
        <v>-2.705182E-3</v>
      </c>
      <c r="AA8139">
        <v>0.9980019</v>
      </c>
      <c r="AB8139">
        <v>20</v>
      </c>
      <c r="AC8139">
        <v>23.5138999999999</v>
      </c>
      <c r="AD8139">
        <v>-1.1219687231240001</v>
      </c>
      <c r="AE8139">
        <v>-0.95962000000000103</v>
      </c>
      <c r="AF8139">
        <v>1.49177988599782</v>
      </c>
      <c r="AG8139">
        <v>-1.1219687231240001</v>
      </c>
      <c r="AH8139">
        <v>23.432667082703599</v>
      </c>
      <c r="AI8139">
        <v>92.735729470405005</v>
      </c>
      <c r="AJ8139">
        <v>86.357328838679507</v>
      </c>
      <c r="AK8139">
        <v>23.5068948960248</v>
      </c>
      <c r="AL8139">
        <v>81.586148101569904</v>
      </c>
      <c r="AM8139">
        <v>85.507496594440596</v>
      </c>
      <c r="AN8139">
        <v>1.00000005472759</v>
      </c>
    </row>
    <row r="8140" spans="1:40" x14ac:dyDescent="0.25">
      <c r="A8140" t="str">
        <f>"20190303162113444"</f>
        <v>20190303162113444</v>
      </c>
      <c r="B8140" t="str">
        <f>"1551601273430770"</f>
        <v>1551601273430770</v>
      </c>
      <c r="C8140" t="s">
        <v>40</v>
      </c>
      <c r="D8140">
        <v>4.8589079999999996</v>
      </c>
      <c r="E8140">
        <v>0.49097819999999998</v>
      </c>
      <c r="F8140" t="s">
        <v>41</v>
      </c>
      <c r="G8140">
        <v>-332.13249999999999</v>
      </c>
      <c r="H8140" s="1">
        <v>-3.8521680000000001E-6</v>
      </c>
      <c r="I8140">
        <v>16.827289999999898</v>
      </c>
      <c r="J8140">
        <v>-355.85599999999999</v>
      </c>
      <c r="K8140">
        <v>1.1219699999999999</v>
      </c>
      <c r="L8140">
        <v>17.723749999999999</v>
      </c>
      <c r="M8140">
        <v>0.99963409999999997</v>
      </c>
      <c r="N8140">
        <v>-1.430964E-2</v>
      </c>
      <c r="O8140">
        <v>2.2955550000000002E-2</v>
      </c>
      <c r="P8140">
        <v>0.98986419999999997</v>
      </c>
      <c r="Q8140">
        <v>0.13234939999999901</v>
      </c>
      <c r="R8140">
        <v>-5.1505580000000002E-2</v>
      </c>
      <c r="S8140">
        <v>3.044006</v>
      </c>
      <c r="T8140">
        <v>-0.14324609999999999</v>
      </c>
      <c r="U8140">
        <v>-0.1140747</v>
      </c>
      <c r="V8140">
        <v>7.4166480000000007E-2</v>
      </c>
      <c r="W8140">
        <v>0.14650569999999999</v>
      </c>
      <c r="X8140">
        <v>0.98642560000000001</v>
      </c>
      <c r="Y8140">
        <v>6.0281609999999999E-2</v>
      </c>
      <c r="Z8140">
        <v>-2.5999590000000002E-3</v>
      </c>
      <c r="AA8140">
        <v>0.99817800000000001</v>
      </c>
      <c r="AB8140">
        <v>20</v>
      </c>
      <c r="AC8140">
        <v>23.723500000000001</v>
      </c>
      <c r="AD8140">
        <v>-1.1219738521680001</v>
      </c>
      <c r="AE8140">
        <v>-0.89646000000000103</v>
      </c>
      <c r="AF8140">
        <v>1.4376544440460901</v>
      </c>
      <c r="AG8140">
        <v>-1.1219738521680001</v>
      </c>
      <c r="AH8140">
        <v>23.643857586820001</v>
      </c>
      <c r="AI8140">
        <v>92.711822211209594</v>
      </c>
      <c r="AJ8140">
        <v>86.520439111908303</v>
      </c>
      <c r="AK8140">
        <v>23.714081833612301</v>
      </c>
      <c r="AL8140">
        <v>81.575519542573801</v>
      </c>
      <c r="AM8140">
        <v>85.700186755911602</v>
      </c>
      <c r="AN8140">
        <v>1.0000000256117101</v>
      </c>
    </row>
    <row r="8141" spans="1:40" x14ac:dyDescent="0.25">
      <c r="A8141" t="str">
        <f>"20190303162113458"</f>
        <v>20190303162113458</v>
      </c>
      <c r="B8141" t="str">
        <f>"1551601273452242"</f>
        <v>1551601273452242</v>
      </c>
      <c r="C8141" t="s">
        <v>40</v>
      </c>
      <c r="D8141">
        <v>5.0275619999999996</v>
      </c>
      <c r="E8141">
        <v>0.49095090000000002</v>
      </c>
      <c r="F8141" t="s">
        <v>41</v>
      </c>
      <c r="G8141">
        <v>-331.84530000000001</v>
      </c>
      <c r="H8141" s="1">
        <v>-3.9646269999999998E-6</v>
      </c>
      <c r="I8141">
        <v>16.88795</v>
      </c>
      <c r="J8141">
        <v>-355.73930000000001</v>
      </c>
      <c r="K8141">
        <v>1.1219760000000001</v>
      </c>
      <c r="L8141">
        <v>17.726649999999999</v>
      </c>
      <c r="M8141">
        <v>0.99963020000000002</v>
      </c>
      <c r="N8141">
        <v>-1.430683E-2</v>
      </c>
      <c r="O8141">
        <v>2.3131240000000001E-2</v>
      </c>
      <c r="P8141">
        <v>0.98999939999999997</v>
      </c>
      <c r="Q8141">
        <v>0.13242699999999999</v>
      </c>
      <c r="R8141">
        <v>-4.8624870000000001E-2</v>
      </c>
      <c r="S8141">
        <v>3.0441889999999998</v>
      </c>
      <c r="T8141">
        <v>-0.14224899999999999</v>
      </c>
      <c r="U8141">
        <v>-0.105957</v>
      </c>
      <c r="V8141">
        <v>7.1461769999999994E-2</v>
      </c>
      <c r="W8141">
        <v>0.14658309999999999</v>
      </c>
      <c r="X8141">
        <v>0.98661370000000004</v>
      </c>
      <c r="Y8141">
        <v>5.7801089999999999E-2</v>
      </c>
      <c r="Z8141">
        <v>-2.5125199999999999E-3</v>
      </c>
      <c r="AA8141">
        <v>0.99832489999999996</v>
      </c>
      <c r="AB8141">
        <v>20</v>
      </c>
      <c r="AC8141">
        <v>23.893999999999998</v>
      </c>
      <c r="AD8141">
        <v>-1.1219799646269999</v>
      </c>
      <c r="AE8141">
        <v>-0.838699999999999</v>
      </c>
      <c r="AF8141">
        <v>1.38817285339523</v>
      </c>
      <c r="AG8141">
        <v>-1.1219799646269999</v>
      </c>
      <c r="AH8141">
        <v>23.815756214085599</v>
      </c>
      <c r="AI8141">
        <v>92.6926936838872</v>
      </c>
      <c r="AJ8141">
        <v>86.664117930973106</v>
      </c>
      <c r="AK8141">
        <v>23.882548167243101</v>
      </c>
      <c r="AL8141">
        <v>81.5710361598627</v>
      </c>
      <c r="AM8141">
        <v>85.857223532588307</v>
      </c>
      <c r="AN8141">
        <v>0.99999999140241602</v>
      </c>
    </row>
    <row r="8142" spans="1:40" x14ac:dyDescent="0.25">
      <c r="A8142" t="str">
        <f>"20190303162113476"</f>
        <v>20190303162113476</v>
      </c>
      <c r="B8142" t="str">
        <f>"1551601273470785"</f>
        <v>1551601273470785</v>
      </c>
      <c r="C8142" t="s">
        <v>40</v>
      </c>
      <c r="D8142">
        <v>4.9564389999999996</v>
      </c>
      <c r="E8142">
        <v>0.49062529999999999</v>
      </c>
      <c r="F8142" t="s">
        <v>41</v>
      </c>
      <c r="G8142">
        <v>-331.03440000000001</v>
      </c>
      <c r="H8142" s="1">
        <v>-4.3024490000000004E-6</v>
      </c>
      <c r="I8142">
        <v>16.944420000000001</v>
      </c>
      <c r="J8142">
        <v>-355.5729</v>
      </c>
      <c r="K8142">
        <v>1.1219840000000001</v>
      </c>
      <c r="L8142">
        <v>17.730829999999902</v>
      </c>
      <c r="M8142">
        <v>0.99962410000000002</v>
      </c>
      <c r="N8142">
        <v>-1.4302840000000001E-2</v>
      </c>
      <c r="O8142">
        <v>2.3390870000000001E-2</v>
      </c>
      <c r="P8142">
        <v>0.9902744</v>
      </c>
      <c r="Q8142">
        <v>0.13221810000000001</v>
      </c>
      <c r="R8142">
        <v>-4.3300209999999999E-2</v>
      </c>
      <c r="S8142">
        <v>3.0440670000000001</v>
      </c>
      <c r="T8142">
        <v>-0.1382476</v>
      </c>
      <c r="U8142">
        <v>-9.6374509999999997E-2</v>
      </c>
      <c r="V8142">
        <v>6.6398639999999995E-2</v>
      </c>
      <c r="W8142">
        <v>0.14637549999999999</v>
      </c>
      <c r="X8142">
        <v>0.98699820000000005</v>
      </c>
      <c r="Y8142">
        <v>5.4931099999999997E-2</v>
      </c>
      <c r="Z8142">
        <v>-2.3667810000000001E-3</v>
      </c>
      <c r="AA8142">
        <v>0.99848740000000002</v>
      </c>
      <c r="AB8142">
        <v>20</v>
      </c>
      <c r="AC8142">
        <v>24.538499999999999</v>
      </c>
      <c r="AD8142">
        <v>-1.1219883024490001</v>
      </c>
      <c r="AE8142">
        <v>-0.78640999999999595</v>
      </c>
      <c r="AF8142">
        <v>1.35739543772135</v>
      </c>
      <c r="AG8142">
        <v>-1.1219883024490001</v>
      </c>
      <c r="AH8142">
        <v>24.462298553791001</v>
      </c>
      <c r="AI8142">
        <v>92.622060974474493</v>
      </c>
      <c r="AJ8142">
        <v>86.823955277178001</v>
      </c>
      <c r="AK8142">
        <v>24.525607651187499</v>
      </c>
      <c r="AL8142">
        <v>81.583060589944097</v>
      </c>
      <c r="AM8142">
        <v>86.151322019207001</v>
      </c>
      <c r="AN8142">
        <v>1.0000000065986601</v>
      </c>
    </row>
    <row r="8143" spans="1:40" x14ac:dyDescent="0.25">
      <c r="A8143" t="str">
        <f>"20190303162113491"</f>
        <v>20190303162113491</v>
      </c>
      <c r="B8143" t="str">
        <f>"1551601273480546"</f>
        <v>1551601273480546</v>
      </c>
      <c r="C8143" t="s">
        <v>40</v>
      </c>
      <c r="D8143">
        <v>4.9570379999999998</v>
      </c>
      <c r="E8143">
        <v>0.49056559999999999</v>
      </c>
      <c r="F8143" t="s">
        <v>41</v>
      </c>
      <c r="G8143">
        <v>-329.65190000000001</v>
      </c>
      <c r="H8143" s="1">
        <v>-7.9267150000000001E-7</v>
      </c>
      <c r="I8143">
        <v>17.08032</v>
      </c>
      <c r="J8143">
        <v>-355.44490000000002</v>
      </c>
      <c r="K8143">
        <v>1.1219920000000001</v>
      </c>
      <c r="L8143">
        <v>17.734069999999999</v>
      </c>
      <c r="M8143">
        <v>0.99961940000000005</v>
      </c>
      <c r="N8143">
        <v>-1.429975E-2</v>
      </c>
      <c r="O8143">
        <v>2.35994E-2</v>
      </c>
      <c r="P8143">
        <v>0.99038020000000004</v>
      </c>
      <c r="Q8143">
        <v>0.1321987</v>
      </c>
      <c r="R8143">
        <v>-4.0879539999999999E-2</v>
      </c>
      <c r="S8143">
        <v>3.0437319999999999</v>
      </c>
      <c r="T8143">
        <v>-0.1317468</v>
      </c>
      <c r="U8143">
        <v>-7.6385499999999995E-2</v>
      </c>
      <c r="V8143">
        <v>6.4184430000000001E-2</v>
      </c>
      <c r="W8143">
        <v>0.14635529999999999</v>
      </c>
      <c r="X8143">
        <v>0.98714760000000001</v>
      </c>
      <c r="Y8143">
        <v>4.8605059999999999E-2</v>
      </c>
      <c r="Z8143">
        <v>-2.0826120000000002E-3</v>
      </c>
      <c r="AA8143">
        <v>0.99881589999999998</v>
      </c>
      <c r="AB8143">
        <v>20</v>
      </c>
      <c r="AC8143">
        <v>25.792999999999999</v>
      </c>
      <c r="AD8143">
        <v>-1.1219927926715001</v>
      </c>
      <c r="AE8143">
        <v>-0.65375000000000205</v>
      </c>
      <c r="AF8143">
        <v>1.25994675692641</v>
      </c>
      <c r="AG8143">
        <v>-1.1219927926715001</v>
      </c>
      <c r="AH8143">
        <v>25.721744891624699</v>
      </c>
      <c r="AI8143">
        <v>92.494694148060802</v>
      </c>
      <c r="AJ8143">
        <v>87.195681028565104</v>
      </c>
      <c r="AK8143">
        <v>25.777014837387899</v>
      </c>
      <c r="AL8143">
        <v>81.584230080930396</v>
      </c>
      <c r="AM8143">
        <v>86.2798595559196</v>
      </c>
      <c r="AN8143">
        <v>0.99999994953913596</v>
      </c>
    </row>
    <row r="8144" spans="1:40" x14ac:dyDescent="0.25">
      <c r="A8144" t="str">
        <f>"20190303162113503"</f>
        <v>20190303162113503</v>
      </c>
      <c r="B8144" t="str">
        <f>"1551601273490307"</f>
        <v>1551601273490307</v>
      </c>
      <c r="C8144" t="s">
        <v>40</v>
      </c>
      <c r="D8144">
        <v>4.7069299999999998</v>
      </c>
      <c r="E8144">
        <v>0.4905813</v>
      </c>
      <c r="F8144" t="s">
        <v>41</v>
      </c>
      <c r="G8144">
        <v>-328.95690000000002</v>
      </c>
      <c r="H8144" s="1">
        <v>-1.0429899999999999E-6</v>
      </c>
      <c r="I8144">
        <v>17.142579999999999</v>
      </c>
      <c r="J8144">
        <v>-355.33010000000002</v>
      </c>
      <c r="K8144">
        <v>1.122001</v>
      </c>
      <c r="L8144">
        <v>17.736999999999998</v>
      </c>
      <c r="M8144">
        <v>0.99961469999999997</v>
      </c>
      <c r="N8144">
        <v>-1.4296929999999999E-2</v>
      </c>
      <c r="O8144">
        <v>2.3793269999999998E-2</v>
      </c>
      <c r="P8144">
        <v>0.99049900000000002</v>
      </c>
      <c r="Q8144">
        <v>0.13190399999999999</v>
      </c>
      <c r="R8144">
        <v>-3.8898299999999997E-2</v>
      </c>
      <c r="S8144">
        <v>3.0435180000000002</v>
      </c>
      <c r="T8144">
        <v>-0.128918899999999</v>
      </c>
      <c r="U8144">
        <v>-6.7962649999999999E-2</v>
      </c>
      <c r="V8144">
        <v>6.2395680000000002E-2</v>
      </c>
      <c r="W8144">
        <v>0.14606089999999999</v>
      </c>
      <c r="X8144">
        <v>0.98730589999999996</v>
      </c>
      <c r="Y8144">
        <v>4.6043599999999997E-2</v>
      </c>
      <c r="Z8144">
        <v>-1.9712269999999999E-3</v>
      </c>
      <c r="AA8144">
        <v>0.99893750000000003</v>
      </c>
      <c r="AB8144">
        <v>20</v>
      </c>
      <c r="AC8144">
        <v>26.373200000000001</v>
      </c>
      <c r="AD8144">
        <v>-1.1220020429899999</v>
      </c>
      <c r="AE8144">
        <v>-0.59442000000000295</v>
      </c>
      <c r="AF8144">
        <v>1.21961417834345</v>
      </c>
      <c r="AG8144">
        <v>-1.1220020429899999</v>
      </c>
      <c r="AH8144">
        <v>26.3040033654474</v>
      </c>
      <c r="AI8144">
        <v>92.439863220508002</v>
      </c>
      <c r="AJ8144">
        <v>87.345319147731502</v>
      </c>
      <c r="AK8144">
        <v>26.356155644895502</v>
      </c>
      <c r="AL8144">
        <v>81.601281398152096</v>
      </c>
      <c r="AM8144">
        <v>86.383835045054099</v>
      </c>
      <c r="AN8144">
        <v>0.99999997378313998</v>
      </c>
    </row>
    <row r="8145" spans="1:40" x14ac:dyDescent="0.25">
      <c r="A8145" t="str">
        <f>"20190303162113520"</f>
        <v>20190303162113520</v>
      </c>
      <c r="B8145" t="str">
        <f>"1551601273510802"</f>
        <v>1551601273510802</v>
      </c>
      <c r="C8145" t="s">
        <v>40</v>
      </c>
      <c r="D8145">
        <v>4.6858839999999997</v>
      </c>
      <c r="E8145">
        <v>0.4907762</v>
      </c>
      <c r="F8145" t="s">
        <v>41</v>
      </c>
      <c r="G8145">
        <v>-328.44420000000002</v>
      </c>
      <c r="H8145" s="1">
        <v>-1.2266780000000001E-6</v>
      </c>
      <c r="I8145">
        <v>17.192119999999999</v>
      </c>
      <c r="J8145">
        <v>-355.18900000000002</v>
      </c>
      <c r="K8145">
        <v>1.1220129999999999</v>
      </c>
      <c r="L8145">
        <v>17.740690000000001</v>
      </c>
      <c r="M8145">
        <v>0.99960890000000002</v>
      </c>
      <c r="N8145">
        <v>-1.429358E-2</v>
      </c>
      <c r="O8145">
        <v>2.4043789999999999E-2</v>
      </c>
      <c r="P8145">
        <v>0.99065919999999996</v>
      </c>
      <c r="Q8145">
        <v>0.13155929999999999</v>
      </c>
      <c r="R8145">
        <v>-3.5872399999999999E-2</v>
      </c>
      <c r="S8145">
        <v>3.0432739999999998</v>
      </c>
      <c r="T8145">
        <v>-0.1270019</v>
      </c>
      <c r="U8145">
        <v>-6.167603E-2</v>
      </c>
      <c r="V8145">
        <v>5.9618989999999997E-2</v>
      </c>
      <c r="W8145">
        <v>0.14571609999999999</v>
      </c>
      <c r="X8145">
        <v>0.98752839999999997</v>
      </c>
      <c r="Y8145">
        <v>4.4236890000000001E-2</v>
      </c>
      <c r="Z8145">
        <v>-1.8982199999999999E-3</v>
      </c>
      <c r="AA8145">
        <v>0.99901930000000005</v>
      </c>
      <c r="AB8145">
        <v>20</v>
      </c>
      <c r="AC8145">
        <v>26.744800000000001</v>
      </c>
      <c r="AD8145">
        <v>-1.122014226678</v>
      </c>
      <c r="AE8145">
        <v>-0.548569999999998</v>
      </c>
      <c r="AF8145">
        <v>1.18943077320977</v>
      </c>
      <c r="AG8145">
        <v>-1.122014226678</v>
      </c>
      <c r="AH8145">
        <v>26.6769433684216</v>
      </c>
      <c r="AI8145">
        <v>92.406014805365899</v>
      </c>
      <c r="AJ8145">
        <v>87.447074167304095</v>
      </c>
      <c r="AK8145">
        <v>26.727008230834599</v>
      </c>
      <c r="AL8145">
        <v>81.621250629452305</v>
      </c>
      <c r="AM8145">
        <v>86.545136846616103</v>
      </c>
      <c r="AN8145">
        <v>0.99999997328719403</v>
      </c>
    </row>
    <row r="8146" spans="1:40" x14ac:dyDescent="0.25">
      <c r="A8146" t="str">
        <f>"20190303162113532"</f>
        <v>20190303162113532</v>
      </c>
      <c r="B8146" t="str">
        <f>"1551601273520561"</f>
        <v>1551601273520561</v>
      </c>
      <c r="C8146" t="s">
        <v>40</v>
      </c>
      <c r="D8146">
        <v>4.6524939999999999</v>
      </c>
      <c r="E8146">
        <v>0.4909077</v>
      </c>
      <c r="F8146" t="s">
        <v>41</v>
      </c>
      <c r="G8146">
        <v>-327.45890000000003</v>
      </c>
      <c r="H8146" s="1">
        <v>-1.6003510000000001E-6</v>
      </c>
      <c r="I8146">
        <v>17.25592</v>
      </c>
      <c r="J8146">
        <v>-355.07580000000002</v>
      </c>
      <c r="K8146">
        <v>1.1220220000000001</v>
      </c>
      <c r="L8146">
        <v>17.743649999999999</v>
      </c>
      <c r="M8146">
        <v>0.99960369999999998</v>
      </c>
      <c r="N8146">
        <v>-1.4290880000000001E-2</v>
      </c>
      <c r="O8146">
        <v>2.425225E-2</v>
      </c>
      <c r="P8146">
        <v>0.99066080000000001</v>
      </c>
      <c r="Q8146">
        <v>0.1316987</v>
      </c>
      <c r="R8146">
        <v>-3.5310519999999998E-2</v>
      </c>
      <c r="S8146">
        <v>3.0427249999999999</v>
      </c>
      <c r="T8146">
        <v>-0.1231146</v>
      </c>
      <c r="U8146">
        <v>-5.3192139999999999E-2</v>
      </c>
      <c r="V8146">
        <v>5.9260849999999997E-2</v>
      </c>
      <c r="W8146">
        <v>0.14585379999999901</v>
      </c>
      <c r="X8146">
        <v>0.98752960000000001</v>
      </c>
      <c r="Y8146">
        <v>4.1670510000000001E-2</v>
      </c>
      <c r="Z8146">
        <v>-1.7748869999999999E-3</v>
      </c>
      <c r="AA8146">
        <v>0.99912979999999996</v>
      </c>
      <c r="AB8146">
        <v>20</v>
      </c>
      <c r="AC8146">
        <v>27.616899999999902</v>
      </c>
      <c r="AD8146">
        <v>-1.12202360035099</v>
      </c>
      <c r="AE8146">
        <v>-0.487729999999999</v>
      </c>
      <c r="AF8146">
        <v>1.15552013542883</v>
      </c>
      <c r="AG8146">
        <v>-1.12202360035099</v>
      </c>
      <c r="AH8146">
        <v>27.5514820656323</v>
      </c>
      <c r="AI8146">
        <v>92.330014021285606</v>
      </c>
      <c r="AJ8146">
        <v>87.598399654375598</v>
      </c>
      <c r="AK8146">
        <v>27.5985203907018</v>
      </c>
      <c r="AL8146">
        <v>81.613275561601398</v>
      </c>
      <c r="AM8146">
        <v>86.565845059161504</v>
      </c>
      <c r="AN8146">
        <v>0.99999994509665902</v>
      </c>
    </row>
    <row r="8147" spans="1:40" x14ac:dyDescent="0.25">
      <c r="A8147" t="str">
        <f>"20190303162113545"</f>
        <v>20190303162113545</v>
      </c>
      <c r="B8147" t="str">
        <f>"1551601273530828"</f>
        <v>1551601273530828</v>
      </c>
      <c r="C8147" t="s">
        <v>40</v>
      </c>
      <c r="D8147">
        <v>4.5993719999999998</v>
      </c>
      <c r="E8147">
        <v>0.49109570000000002</v>
      </c>
      <c r="F8147" t="s">
        <v>41</v>
      </c>
      <c r="G8147">
        <v>-326.65870000000001</v>
      </c>
      <c r="H8147" s="1">
        <v>-1.9786180000000001E-6</v>
      </c>
      <c r="I8147">
        <v>17.255929999999999</v>
      </c>
      <c r="J8147">
        <v>-354.96339999999998</v>
      </c>
      <c r="K8147">
        <v>1.1220220000000001</v>
      </c>
      <c r="L8147">
        <v>17.74661</v>
      </c>
      <c r="M8147">
        <v>0.9995986</v>
      </c>
      <c r="N8147">
        <v>-1.4288199999999999E-2</v>
      </c>
      <c r="O8147">
        <v>2.4464039999999999E-2</v>
      </c>
      <c r="P8147">
        <v>0.99064909999999995</v>
      </c>
      <c r="Q8147">
        <v>0.13186489999999901</v>
      </c>
      <c r="R8147">
        <v>-3.5018319999999999E-2</v>
      </c>
      <c r="S8147">
        <v>3.0423580000000001</v>
      </c>
      <c r="T8147">
        <v>-0.12012490000000001</v>
      </c>
      <c r="U8147">
        <v>-5.2215579999999998E-2</v>
      </c>
      <c r="V8147">
        <v>5.9175239999999997E-2</v>
      </c>
      <c r="W8147">
        <v>0.14601800000000001</v>
      </c>
      <c r="X8147">
        <v>0.98751049999999996</v>
      </c>
      <c r="Y8147">
        <v>4.1566270000000002E-2</v>
      </c>
      <c r="Z8147">
        <v>-1.733385E-3</v>
      </c>
      <c r="AA8147">
        <v>0.99913419999999997</v>
      </c>
      <c r="AB8147">
        <v>20</v>
      </c>
      <c r="AC8147">
        <v>28.304699999999901</v>
      </c>
      <c r="AD8147">
        <v>-1.122023978618</v>
      </c>
      <c r="AE8147">
        <v>-0.490680000000001</v>
      </c>
      <c r="AF8147">
        <v>1.1811955451116101</v>
      </c>
      <c r="AG8147">
        <v>-1.122023978618</v>
      </c>
      <c r="AH8147">
        <v>28.2398589076451</v>
      </c>
      <c r="AI8147">
        <v>92.273289270584797</v>
      </c>
      <c r="AJ8147">
        <v>87.604871418747805</v>
      </c>
      <c r="AK8147">
        <v>28.2868130380233</v>
      </c>
      <c r="AL8147">
        <v>81.603766048247905</v>
      </c>
      <c r="AM8147">
        <v>86.570728126831497</v>
      </c>
      <c r="AN8147">
        <v>0.99999997648165295</v>
      </c>
    </row>
    <row r="8148" spans="1:40" x14ac:dyDescent="0.25">
      <c r="A8148" t="str">
        <f>"20190303162113556"</f>
        <v>20190303162113556</v>
      </c>
      <c r="B8148" t="str">
        <f>"1551601273540588"</f>
        <v>1551601273540588</v>
      </c>
      <c r="C8148" t="s">
        <v>40</v>
      </c>
      <c r="D8148">
        <v>4.5912660000000001</v>
      </c>
      <c r="E8148">
        <v>0.49127850000000001</v>
      </c>
      <c r="F8148" t="s">
        <v>41</v>
      </c>
      <c r="G8148">
        <v>-325.90260000000001</v>
      </c>
      <c r="H8148" s="1">
        <v>-2.3378829999999998E-6</v>
      </c>
      <c r="I8148">
        <v>17.245460000000001</v>
      </c>
      <c r="J8148">
        <v>-354.86680000000001</v>
      </c>
      <c r="K8148">
        <v>1.1220250000000001</v>
      </c>
      <c r="L8148">
        <v>17.749210000000001</v>
      </c>
      <c r="M8148">
        <v>0.99959410000000004</v>
      </c>
      <c r="N8148">
        <v>-1.4285890000000001E-2</v>
      </c>
      <c r="O8148">
        <v>2.4653609999999999E-2</v>
      </c>
      <c r="P8148">
        <v>0.99063829999999997</v>
      </c>
      <c r="Q8148">
        <v>0.132024</v>
      </c>
      <c r="R8148">
        <v>-3.4722669999999997E-2</v>
      </c>
      <c r="S8148">
        <v>3.042084</v>
      </c>
      <c r="T8148">
        <v>-0.1174535</v>
      </c>
      <c r="U8148">
        <v>-5.2459720000000001E-2</v>
      </c>
      <c r="V8148">
        <v>5.9065359999999997E-2</v>
      </c>
      <c r="W8148">
        <v>0.1461751</v>
      </c>
      <c r="X8148">
        <v>0.98749390000000004</v>
      </c>
      <c r="Y8148">
        <v>4.1839319999999999E-2</v>
      </c>
      <c r="Z8148">
        <v>-1.705685E-3</v>
      </c>
      <c r="AA8148">
        <v>0.99912290000000004</v>
      </c>
      <c r="AB8148">
        <v>20</v>
      </c>
      <c r="AC8148">
        <v>28.964200000000002</v>
      </c>
      <c r="AD8148">
        <v>-1.1220273378829999</v>
      </c>
      <c r="AE8148">
        <v>-0.50375000000000003</v>
      </c>
      <c r="AF8148">
        <v>1.2159176005974499</v>
      </c>
      <c r="AG8148">
        <v>-1.1220273378829999</v>
      </c>
      <c r="AH8148">
        <v>28.899618581168699</v>
      </c>
      <c r="AI8148">
        <v>92.221427869761996</v>
      </c>
      <c r="AJ8148">
        <v>87.590768132306096</v>
      </c>
      <c r="AK8148">
        <v>28.946940340827599</v>
      </c>
      <c r="AL8148">
        <v>81.594667788211694</v>
      </c>
      <c r="AM8148">
        <v>86.577023239382001</v>
      </c>
      <c r="AN8148">
        <v>1.0000000395745701</v>
      </c>
    </row>
    <row r="8149" spans="1:40" x14ac:dyDescent="0.25">
      <c r="A8149" t="str">
        <f>"20190303162113567"</f>
        <v>20190303162113567</v>
      </c>
      <c r="B8149" t="str">
        <f>"1551601273561084"</f>
        <v>1551601273561084</v>
      </c>
      <c r="C8149" t="s">
        <v>40</v>
      </c>
      <c r="D8149">
        <v>4.5890279999999999</v>
      </c>
      <c r="E8149">
        <v>0.49168539999999999</v>
      </c>
      <c r="F8149" t="s">
        <v>41</v>
      </c>
      <c r="G8149">
        <v>-325.03910000000002</v>
      </c>
      <c r="H8149" s="1">
        <v>-2.7484889999999999E-6</v>
      </c>
      <c r="I8149">
        <v>17.23179</v>
      </c>
      <c r="J8149">
        <v>-354.76569999999998</v>
      </c>
      <c r="K8149">
        <v>1.1220289999999999</v>
      </c>
      <c r="L8149">
        <v>17.751919999999998</v>
      </c>
      <c r="M8149">
        <v>0.99958899999999995</v>
      </c>
      <c r="N8149">
        <v>-1.428346E-2</v>
      </c>
      <c r="O8149">
        <v>2.4853790000000001E-2</v>
      </c>
      <c r="P8149">
        <v>0.99059750000000002</v>
      </c>
      <c r="Q8149">
        <v>0.13220779999999999</v>
      </c>
      <c r="R8149">
        <v>-3.5183140000000002E-2</v>
      </c>
      <c r="S8149">
        <v>3.0417480000000001</v>
      </c>
      <c r="T8149">
        <v>-0.1144216</v>
      </c>
      <c r="U8149">
        <v>-5.2764890000000002E-2</v>
      </c>
      <c r="V8149">
        <v>5.9721120000000003E-2</v>
      </c>
      <c r="W8149">
        <v>0.14635709999999999</v>
      </c>
      <c r="X8149">
        <v>0.98742750000000001</v>
      </c>
      <c r="Y8149">
        <v>4.2143630000000001E-2</v>
      </c>
      <c r="Z8149">
        <v>-1.6730670000000001E-3</v>
      </c>
      <c r="AA8149">
        <v>0.99911019999999995</v>
      </c>
      <c r="AB8149">
        <v>20</v>
      </c>
      <c r="AC8149">
        <v>29.726599999999902</v>
      </c>
      <c r="AD8149">
        <v>-1.1220317484889999</v>
      </c>
      <c r="AE8149">
        <v>-0.52013000000000098</v>
      </c>
      <c r="AF8149">
        <v>1.25707299778496</v>
      </c>
      <c r="AG8149">
        <v>-1.1220317484889999</v>
      </c>
      <c r="AH8149">
        <v>29.662240454455599</v>
      </c>
      <c r="AI8149">
        <v>92.164350200820607</v>
      </c>
      <c r="AJ8149">
        <v>87.573281620246405</v>
      </c>
      <c r="AK8149">
        <v>29.710060527442899</v>
      </c>
      <c r="AL8149">
        <v>81.584126595487206</v>
      </c>
      <c r="AM8149">
        <v>86.538880105551996</v>
      </c>
      <c r="AN8149">
        <v>1.0000000403253499</v>
      </c>
    </row>
    <row r="8150" spans="1:40" x14ac:dyDescent="0.25">
      <c r="A8150" t="str">
        <f>"20190303162113579"</f>
        <v>20190303162113579</v>
      </c>
      <c r="B8150" t="str">
        <f>"1551601273570844"</f>
        <v>1551601273570844</v>
      </c>
      <c r="C8150" t="s">
        <v>40</v>
      </c>
      <c r="D8150">
        <v>4.523949</v>
      </c>
      <c r="E8150">
        <v>0.49188999999999999</v>
      </c>
      <c r="F8150" t="s">
        <v>41</v>
      </c>
      <c r="G8150">
        <v>-323.5967</v>
      </c>
      <c r="H8150" s="1">
        <v>-3.4420350000000002E-6</v>
      </c>
      <c r="I8150">
        <v>17.165749999999999</v>
      </c>
      <c r="J8150">
        <v>-354.65780000000001</v>
      </c>
      <c r="K8150">
        <v>1.1220330000000001</v>
      </c>
      <c r="L8150">
        <v>17.75488</v>
      </c>
      <c r="M8150">
        <v>0.99958380000000002</v>
      </c>
      <c r="N8150">
        <v>-1.4280859999999999E-2</v>
      </c>
      <c r="O8150">
        <v>2.507212E-2</v>
      </c>
      <c r="P8150">
        <v>0.99061299999999997</v>
      </c>
      <c r="Q8150">
        <v>0.1319496</v>
      </c>
      <c r="R8150">
        <v>-3.5714160000000002E-2</v>
      </c>
      <c r="S8150">
        <v>3.0410460000000001</v>
      </c>
      <c r="T8150">
        <v>-0.1094729</v>
      </c>
      <c r="U8150">
        <v>-5.7189940000000002E-2</v>
      </c>
      <c r="V8150">
        <v>6.0467359999999998E-2</v>
      </c>
      <c r="W8150">
        <v>0.146096799999999</v>
      </c>
      <c r="X8150">
        <v>0.98742059999999998</v>
      </c>
      <c r="Y8150">
        <v>4.3821470000000001E-2</v>
      </c>
      <c r="Z8150">
        <v>-1.6457079999999901E-3</v>
      </c>
      <c r="AA8150">
        <v>0.99903799999999998</v>
      </c>
      <c r="AB8150">
        <v>20</v>
      </c>
      <c r="AC8150">
        <v>31.0611</v>
      </c>
      <c r="AD8150">
        <v>-1.122036442035</v>
      </c>
      <c r="AE8150">
        <v>-0.58913000000000004</v>
      </c>
      <c r="AF8150">
        <v>1.3660098119342601</v>
      </c>
      <c r="AG8150">
        <v>-1.122036442035</v>
      </c>
      <c r="AH8150">
        <v>30.996128970995201</v>
      </c>
      <c r="AI8150">
        <v>92.071150125979699</v>
      </c>
      <c r="AJ8150">
        <v>87.476588564218204</v>
      </c>
      <c r="AK8150">
        <v>31.046496739086699</v>
      </c>
      <c r="AL8150">
        <v>81.599202473253996</v>
      </c>
      <c r="AM8150">
        <v>86.495714667845405</v>
      </c>
      <c r="AN8150">
        <v>1.0000000089499801</v>
      </c>
    </row>
    <row r="8151" spans="1:40" x14ac:dyDescent="0.25">
      <c r="A8151" t="str">
        <f>"20190303162113597"</f>
        <v>20190303162113597</v>
      </c>
      <c r="B8151" t="str">
        <f>"1551601273590364"</f>
        <v>1551601273590364</v>
      </c>
      <c r="C8151" t="s">
        <v>40</v>
      </c>
      <c r="D8151">
        <v>4.5220219999999998</v>
      </c>
      <c r="E8151">
        <v>0.49232769999999998</v>
      </c>
      <c r="F8151" t="s">
        <v>41</v>
      </c>
      <c r="G8151">
        <v>-323.09739999999999</v>
      </c>
      <c r="H8151" s="1">
        <v>-3.6847820000000002E-6</v>
      </c>
      <c r="I8151">
        <v>17.128019999999999</v>
      </c>
      <c r="J8151">
        <v>-354.50839999999999</v>
      </c>
      <c r="K8151">
        <v>1.1220319999999999</v>
      </c>
      <c r="L8151">
        <v>17.758970000000001</v>
      </c>
      <c r="M8151">
        <v>0.99957609999999997</v>
      </c>
      <c r="N8151">
        <v>-1.4277349999999999E-2</v>
      </c>
      <c r="O8151">
        <v>2.5378890000000001E-2</v>
      </c>
      <c r="P8151">
        <v>0.99072420000000005</v>
      </c>
      <c r="Q8151">
        <v>0.1309633</v>
      </c>
      <c r="R8151">
        <v>-3.6257989999999997E-2</v>
      </c>
      <c r="S8151">
        <v>3.0406490000000002</v>
      </c>
      <c r="T8151">
        <v>-0.108101</v>
      </c>
      <c r="U8151">
        <v>-6.0394290000000003E-2</v>
      </c>
      <c r="V8151">
        <v>6.1317209999999997E-2</v>
      </c>
      <c r="W8151">
        <v>0.1451094</v>
      </c>
      <c r="X8151">
        <v>0.9875138</v>
      </c>
      <c r="Y8151">
        <v>4.5182710000000001E-2</v>
      </c>
      <c r="Z8151">
        <v>-1.665185E-3</v>
      </c>
      <c r="AA8151">
        <v>0.99897740000000002</v>
      </c>
      <c r="AB8151">
        <v>20</v>
      </c>
      <c r="AC8151">
        <v>31.410999999999898</v>
      </c>
      <c r="AD8151">
        <v>-1.1220356847820001</v>
      </c>
      <c r="AE8151">
        <v>-0.63094999999999801</v>
      </c>
      <c r="AF8151">
        <v>1.4261851093111699</v>
      </c>
      <c r="AG8151">
        <v>-1.1220356847820001</v>
      </c>
      <c r="AH8151">
        <v>31.344886280895299</v>
      </c>
      <c r="AI8151">
        <v>92.047993195737504</v>
      </c>
      <c r="AJ8151">
        <v>87.394851982886493</v>
      </c>
      <c r="AK8151">
        <v>31.397370335845</v>
      </c>
      <c r="AL8151">
        <v>81.6563858322003</v>
      </c>
      <c r="AM8151">
        <v>86.446922853788095</v>
      </c>
      <c r="AN8151">
        <v>1.0000000217004901</v>
      </c>
    </row>
    <row r="8152" spans="1:40" x14ac:dyDescent="0.25">
      <c r="A8152" t="str">
        <f>"20190303162113609"</f>
        <v>20190303162113609</v>
      </c>
      <c r="B8152" t="str">
        <f>"1551601273601100"</f>
        <v>1551601273601100</v>
      </c>
      <c r="C8152" t="s">
        <v>40</v>
      </c>
      <c r="D8152">
        <v>4.5009940000000004</v>
      </c>
      <c r="E8152">
        <v>0.49253229999999998</v>
      </c>
      <c r="F8152" t="s">
        <v>41</v>
      </c>
      <c r="G8152">
        <v>-322.73939999999999</v>
      </c>
      <c r="H8152" s="1">
        <v>-3.8646630000000001E-6</v>
      </c>
      <c r="I8152">
        <v>17.06784</v>
      </c>
      <c r="J8152">
        <v>-354.40300000000002</v>
      </c>
      <c r="K8152">
        <v>1.1220300000000001</v>
      </c>
      <c r="L8152">
        <v>17.761900000000001</v>
      </c>
      <c r="M8152">
        <v>0.99957050000000003</v>
      </c>
      <c r="N8152">
        <v>-1.427485E-2</v>
      </c>
      <c r="O8152">
        <v>2.5597109999999999E-2</v>
      </c>
      <c r="P8152">
        <v>0.99080179999999995</v>
      </c>
      <c r="Q8152">
        <v>0.13030899999999901</v>
      </c>
      <c r="R8152">
        <v>-3.649028E-2</v>
      </c>
      <c r="S8152">
        <v>3.0398559999999999</v>
      </c>
      <c r="T8152">
        <v>-0.10736329999999999</v>
      </c>
      <c r="U8152">
        <v>-6.6131590000000004E-2</v>
      </c>
      <c r="V8152">
        <v>6.1767639999999999E-2</v>
      </c>
      <c r="W8152">
        <v>0.14445350000000001</v>
      </c>
      <c r="X8152">
        <v>0.98758179999999995</v>
      </c>
      <c r="Y8152">
        <v>4.728918E-2</v>
      </c>
      <c r="Z8152">
        <v>-1.7108080000000001E-3</v>
      </c>
      <c r="AA8152">
        <v>0.99887979999999998</v>
      </c>
      <c r="AB8152">
        <v>20</v>
      </c>
      <c r="AC8152">
        <v>31.663599999999999</v>
      </c>
      <c r="AD8152">
        <v>-1.1220338646629999</v>
      </c>
      <c r="AE8152">
        <v>-0.69406000000000001</v>
      </c>
      <c r="AF8152">
        <v>1.5025258736290299</v>
      </c>
      <c r="AG8152">
        <v>-1.1220338646629999</v>
      </c>
      <c r="AH8152">
        <v>31.595798973048499</v>
      </c>
      <c r="AI8152">
        <v>92.031546141379707</v>
      </c>
      <c r="AJ8152">
        <v>87.277372711766006</v>
      </c>
      <c r="AK8152">
        <v>31.651398969708598</v>
      </c>
      <c r="AL8152">
        <v>81.6943655701821</v>
      </c>
      <c r="AM8152">
        <v>86.421135708694905</v>
      </c>
      <c r="AN8152">
        <v>0.99999993335232695</v>
      </c>
    </row>
    <row r="8153" spans="1:40" x14ac:dyDescent="0.25">
      <c r="A8153" t="str">
        <f>"20190303162113619"</f>
        <v>20190303162113619</v>
      </c>
      <c r="B8153" t="str">
        <f>"1551601273610860"</f>
        <v>1551601273610860</v>
      </c>
      <c r="C8153" t="s">
        <v>40</v>
      </c>
      <c r="D8153">
        <v>4.4845579999999998</v>
      </c>
      <c r="E8153">
        <v>0.49272919999999998</v>
      </c>
      <c r="F8153" t="s">
        <v>41</v>
      </c>
      <c r="G8153">
        <v>-322.7747</v>
      </c>
      <c r="H8153" s="1">
        <v>-3.8520679999999999E-6</v>
      </c>
      <c r="I8153">
        <v>17.04485</v>
      </c>
      <c r="J8153">
        <v>-354.30590000000001</v>
      </c>
      <c r="K8153">
        <v>1.122026</v>
      </c>
      <c r="L8153">
        <v>17.764620000000001</v>
      </c>
      <c r="M8153">
        <v>0.99956529999999999</v>
      </c>
      <c r="N8153">
        <v>-1.4272480000000001E-2</v>
      </c>
      <c r="O8153">
        <v>2.5799760000000001E-2</v>
      </c>
      <c r="P8153">
        <v>0.99084229999999995</v>
      </c>
      <c r="Q8153">
        <v>0.12993389999999999</v>
      </c>
      <c r="R8153">
        <v>-3.6732540000000001E-2</v>
      </c>
      <c r="S8153">
        <v>3.0394899999999998</v>
      </c>
      <c r="T8153">
        <v>-0.10782750000000001</v>
      </c>
      <c r="U8153">
        <v>-6.8908689999999995E-2</v>
      </c>
      <c r="V8153">
        <v>6.2212009999999998E-2</v>
      </c>
      <c r="W8153">
        <v>0.14407609999999901</v>
      </c>
      <c r="X8153">
        <v>0.98760910000000002</v>
      </c>
      <c r="Y8153">
        <v>4.8405049999999998E-2</v>
      </c>
      <c r="Z8153">
        <v>-1.7505750000000001E-3</v>
      </c>
      <c r="AA8153">
        <v>0.99882629999999994</v>
      </c>
      <c r="AB8153">
        <v>20</v>
      </c>
      <c r="AC8153">
        <v>31.531199999999998</v>
      </c>
      <c r="AD8153">
        <v>-1.1220298520680001</v>
      </c>
      <c r="AE8153">
        <v>-0.71977000000000002</v>
      </c>
      <c r="AF8153">
        <v>1.5311726993942401</v>
      </c>
      <c r="AG8153">
        <v>-1.1220298520680001</v>
      </c>
      <c r="AH8153">
        <v>31.462311143136901</v>
      </c>
      <c r="AI8153">
        <v>92.040042170753196</v>
      </c>
      <c r="AJ8153">
        <v>87.213791141440595</v>
      </c>
      <c r="AK8153">
        <v>31.5195251120929</v>
      </c>
      <c r="AL8153">
        <v>81.716218109565702</v>
      </c>
      <c r="AM8153">
        <v>86.395555586834305</v>
      </c>
      <c r="AN8153">
        <v>0.99999999559112995</v>
      </c>
    </row>
    <row r="8154" spans="1:40" x14ac:dyDescent="0.25">
      <c r="A8154" t="str">
        <f>"20190303162113633"</f>
        <v>20190303162113633</v>
      </c>
      <c r="B8154" t="str">
        <f>"1551601273620620"</f>
        <v>1551601273620620</v>
      </c>
      <c r="C8154" t="s">
        <v>40</v>
      </c>
      <c r="D8154">
        <v>4.5002849999999999</v>
      </c>
      <c r="E8154">
        <v>0.49294529999999998</v>
      </c>
      <c r="F8154" t="s">
        <v>41</v>
      </c>
      <c r="G8154">
        <v>-322.47980000000001</v>
      </c>
      <c r="H8154" s="1">
        <v>-3.996816E-6</v>
      </c>
      <c r="I8154">
        <v>17.01455</v>
      </c>
      <c r="J8154">
        <v>-354.20350000000002</v>
      </c>
      <c r="K8154">
        <v>1.122023</v>
      </c>
      <c r="L8154">
        <v>17.767520000000001</v>
      </c>
      <c r="M8154">
        <v>0.9995598</v>
      </c>
      <c r="N8154">
        <v>-1.426997E-2</v>
      </c>
      <c r="O8154">
        <v>2.6013370000000001E-2</v>
      </c>
      <c r="P8154">
        <v>0.99088849999999995</v>
      </c>
      <c r="Q8154">
        <v>0.1295811</v>
      </c>
      <c r="R8154">
        <v>-3.6725519999999998E-2</v>
      </c>
      <c r="S8154">
        <v>3.0390929999999998</v>
      </c>
      <c r="T8154">
        <v>-0.1071435</v>
      </c>
      <c r="U8154">
        <v>-7.1624759999999996E-2</v>
      </c>
      <c r="V8154">
        <v>6.2418399999999999E-2</v>
      </c>
      <c r="W8154">
        <v>0.14372119999999999</v>
      </c>
      <c r="X8154">
        <v>0.98764779999999996</v>
      </c>
      <c r="Y8154">
        <v>4.9513160000000001E-2</v>
      </c>
      <c r="Z8154">
        <v>-1.771473E-3</v>
      </c>
      <c r="AA8154">
        <v>0.99877190000000005</v>
      </c>
      <c r="AB8154">
        <v>20</v>
      </c>
      <c r="AC8154">
        <v>31.723700000000001</v>
      </c>
      <c r="AD8154">
        <v>-1.1220269968159999</v>
      </c>
      <c r="AE8154">
        <v>-0.75297000000000103</v>
      </c>
      <c r="AF8154">
        <v>1.5760690018282399</v>
      </c>
      <c r="AG8154">
        <v>-1.1220269968159999</v>
      </c>
      <c r="AH8154">
        <v>31.653798144126</v>
      </c>
      <c r="AI8154">
        <v>92.027594457509906</v>
      </c>
      <c r="AJ8154">
        <v>87.149549354041</v>
      </c>
      <c r="AK8154">
        <v>31.712866080333701</v>
      </c>
      <c r="AL8154">
        <v>81.736766344716102</v>
      </c>
      <c r="AM8154">
        <v>86.383770755485401</v>
      </c>
      <c r="AN8154">
        <v>1.00000000841642</v>
      </c>
    </row>
    <row r="8155" spans="1:40" x14ac:dyDescent="0.25">
      <c r="A8155" t="str">
        <f>"20190303162113646"</f>
        <v>20190303162113646</v>
      </c>
      <c r="B8155" t="str">
        <f>"1551601273630380"</f>
        <v>1551601273630380</v>
      </c>
      <c r="C8155" t="s">
        <v>40</v>
      </c>
      <c r="D8155">
        <v>4.474793</v>
      </c>
      <c r="E8155">
        <v>0.49313859999999898</v>
      </c>
      <c r="F8155" t="s">
        <v>41</v>
      </c>
      <c r="G8155">
        <v>-322.20139999999998</v>
      </c>
      <c r="H8155" s="1">
        <v>-4.1325230000000002E-6</v>
      </c>
      <c r="I8155">
        <v>16.991379999999999</v>
      </c>
      <c r="J8155">
        <v>-354.08390000000003</v>
      </c>
      <c r="K8155">
        <v>1.1220220000000001</v>
      </c>
      <c r="L8155">
        <v>17.77094</v>
      </c>
      <c r="M8155">
        <v>0.99955329999999998</v>
      </c>
      <c r="N8155">
        <v>-1.426705E-2</v>
      </c>
      <c r="O8155">
        <v>2.6262899999999999E-2</v>
      </c>
      <c r="P8155">
        <v>0.99093659999999995</v>
      </c>
      <c r="Q8155">
        <v>0.12919410000000001</v>
      </c>
      <c r="R8155">
        <v>-3.679048E-2</v>
      </c>
      <c r="S8155">
        <v>3.038818</v>
      </c>
      <c r="T8155">
        <v>-0.1065444</v>
      </c>
      <c r="U8155">
        <v>-7.369995E-2</v>
      </c>
      <c r="V8155">
        <v>6.273273E-2</v>
      </c>
      <c r="W8155">
        <v>0.14333189999999901</v>
      </c>
      <c r="X8155">
        <v>0.98768440000000002</v>
      </c>
      <c r="Y8155">
        <v>5.0445919999999998E-2</v>
      </c>
      <c r="Z8155">
        <v>-1.7898180000000001E-3</v>
      </c>
      <c r="AA8155">
        <v>0.99872519999999998</v>
      </c>
      <c r="AB8155">
        <v>20</v>
      </c>
      <c r="AC8155">
        <v>31.8825</v>
      </c>
      <c r="AD8155">
        <v>-1.1220261325230001</v>
      </c>
      <c r="AE8155">
        <v>-0.77956000000000003</v>
      </c>
      <c r="AF8155">
        <v>1.61470451523856</v>
      </c>
      <c r="AG8155">
        <v>-1.1220261325230001</v>
      </c>
      <c r="AH8155">
        <v>31.811649300957299</v>
      </c>
      <c r="AI8155">
        <v>92.017442406584806</v>
      </c>
      <c r="AJ8155">
        <v>87.094258678889801</v>
      </c>
      <c r="AK8155">
        <v>31.8723586287663</v>
      </c>
      <c r="AL8155">
        <v>81.759304473395105</v>
      </c>
      <c r="AM8155">
        <v>86.365742954429194</v>
      </c>
      <c r="AN8155">
        <v>0.99999995148710996</v>
      </c>
    </row>
    <row r="8156" spans="1:40" x14ac:dyDescent="0.25">
      <c r="A8156" t="str">
        <f>"20190303162113659"</f>
        <v>20190303162113659</v>
      </c>
      <c r="B8156" t="str">
        <f>"1551601273650876"</f>
        <v>1551601273650876</v>
      </c>
      <c r="C8156" t="s">
        <v>40</v>
      </c>
      <c r="D8156">
        <v>4.4878910000000003</v>
      </c>
      <c r="E8156">
        <v>0.49349130000000002</v>
      </c>
      <c r="F8156" t="s">
        <v>41</v>
      </c>
      <c r="G8156">
        <v>-321.95839999999998</v>
      </c>
      <c r="H8156" s="1">
        <v>-4.2505469999999996E-6</v>
      </c>
      <c r="I8156">
        <v>16.97363</v>
      </c>
      <c r="J8156">
        <v>-353.96510000000001</v>
      </c>
      <c r="K8156">
        <v>1.1220190000000001</v>
      </c>
      <c r="L8156">
        <v>17.774319999999999</v>
      </c>
      <c r="M8156">
        <v>0.99954679999999996</v>
      </c>
      <c r="N8156">
        <v>-1.426412E-2</v>
      </c>
      <c r="O8156">
        <v>2.650806E-2</v>
      </c>
      <c r="P8156">
        <v>0.99092389999999997</v>
      </c>
      <c r="Q8156">
        <v>0.1292808</v>
      </c>
      <c r="R8156">
        <v>-3.6830380000000003E-2</v>
      </c>
      <c r="S8156">
        <v>3.0384519999999999</v>
      </c>
      <c r="T8156">
        <v>-0.1061223</v>
      </c>
      <c r="U8156">
        <v>-7.5408939999999994E-2</v>
      </c>
      <c r="V8156">
        <v>6.3015890000000005E-2</v>
      </c>
      <c r="W8156">
        <v>0.1434145</v>
      </c>
      <c r="X8156">
        <v>0.98765440000000004</v>
      </c>
      <c r="Y8156">
        <v>5.1254790000000001E-2</v>
      </c>
      <c r="Z8156">
        <v>-1.8078390000000001E-3</v>
      </c>
      <c r="AA8156">
        <v>0.99868400000000002</v>
      </c>
      <c r="AB8156">
        <v>20</v>
      </c>
      <c r="AC8156">
        <v>32.006700000000002</v>
      </c>
      <c r="AD8156">
        <v>-1.122023250547</v>
      </c>
      <c r="AE8156">
        <v>-0.80068999999999901</v>
      </c>
      <c r="AF8156">
        <v>1.6469078085939499</v>
      </c>
      <c r="AG8156">
        <v>-1.122023250547</v>
      </c>
      <c r="AH8156">
        <v>31.9350027802898</v>
      </c>
      <c r="AI8156">
        <v>92.009567754676098</v>
      </c>
      <c r="AJ8156">
        <v>87.047836546228396</v>
      </c>
      <c r="AK8156">
        <v>31.997119309117402</v>
      </c>
      <c r="AL8156">
        <v>81.754522570222903</v>
      </c>
      <c r="AM8156">
        <v>86.349272492273599</v>
      </c>
      <c r="AN8156">
        <v>0.99999996752105003</v>
      </c>
    </row>
    <row r="8157" spans="1:40" x14ac:dyDescent="0.25">
      <c r="A8157" t="str">
        <f>"20190303162113679"</f>
        <v>20190303162113679</v>
      </c>
      <c r="B8157" t="str">
        <f>"1551601273670397"</f>
        <v>1551601273670397</v>
      </c>
      <c r="C8157" t="s">
        <v>40</v>
      </c>
      <c r="D8157">
        <v>4.5064760000000001</v>
      </c>
      <c r="E8157">
        <v>0.4938208</v>
      </c>
      <c r="F8157" t="s">
        <v>41</v>
      </c>
      <c r="G8157">
        <v>-320.80759999999998</v>
      </c>
      <c r="H8157" s="1">
        <v>-4.803706E-6</v>
      </c>
      <c r="I8157">
        <v>16.921970000000002</v>
      </c>
      <c r="J8157">
        <v>-353.80470000000003</v>
      </c>
      <c r="K8157">
        <v>1.122012</v>
      </c>
      <c r="L8157">
        <v>17.778960000000001</v>
      </c>
      <c r="M8157">
        <v>0.99953829999999999</v>
      </c>
      <c r="N8157">
        <v>-1.4260170000000001E-2</v>
      </c>
      <c r="O8157">
        <v>2.6834259999999999E-2</v>
      </c>
      <c r="P8157">
        <v>0.99088100000000001</v>
      </c>
      <c r="Q8157">
        <v>0.1294978</v>
      </c>
      <c r="R8157">
        <v>-3.7225220000000003E-2</v>
      </c>
      <c r="S8157">
        <v>3.0379939999999999</v>
      </c>
      <c r="T8157">
        <v>-0.1028033</v>
      </c>
      <c r="U8157">
        <v>-7.8094479999999994E-2</v>
      </c>
      <c r="V8157">
        <v>6.3734139999999995E-2</v>
      </c>
      <c r="W8157">
        <v>0.14362639999999999</v>
      </c>
      <c r="X8157">
        <v>0.98757760000000006</v>
      </c>
      <c r="Y8157">
        <v>5.2468500000000001E-2</v>
      </c>
      <c r="Z8157">
        <v>-1.7867650000000001E-3</v>
      </c>
      <c r="AA8157">
        <v>0.99862099999999998</v>
      </c>
      <c r="AB8157">
        <v>20</v>
      </c>
      <c r="AC8157">
        <v>32.997100000000003</v>
      </c>
      <c r="AD8157">
        <v>-1.1220168037060001</v>
      </c>
      <c r="AE8157">
        <v>-0.85698999999999903</v>
      </c>
      <c r="AF8157">
        <v>1.74021328418329</v>
      </c>
      <c r="AG8157">
        <v>-1.1220168037060001</v>
      </c>
      <c r="AH8157">
        <v>32.924173668625997</v>
      </c>
      <c r="AI8157">
        <v>91.949098311199904</v>
      </c>
      <c r="AJ8157">
        <v>86.974436364761303</v>
      </c>
      <c r="AK8157">
        <v>32.989217567928002</v>
      </c>
      <c r="AL8157">
        <v>81.742255271361699</v>
      </c>
      <c r="AM8157">
        <v>86.307489917648198</v>
      </c>
      <c r="AN8157">
        <v>1.00000004970012</v>
      </c>
    </row>
    <row r="8158" spans="1:40" x14ac:dyDescent="0.25">
      <c r="A8158" t="str">
        <f>"20190303162113697"</f>
        <v>20190303162113697</v>
      </c>
      <c r="B8158" t="str">
        <f>"1551601273690892"</f>
        <v>1551601273690892</v>
      </c>
      <c r="C8158" t="s">
        <v>40</v>
      </c>
      <c r="D8158">
        <v>4.4638720000000003</v>
      </c>
      <c r="E8158">
        <v>0.49416890000000002</v>
      </c>
      <c r="F8158" t="s">
        <v>44</v>
      </c>
      <c r="G8158">
        <v>-317.85320000000002</v>
      </c>
      <c r="H8158">
        <v>-0.05</v>
      </c>
      <c r="I8158">
        <v>16.815629999999999</v>
      </c>
      <c r="J8158">
        <v>-353.63339999999999</v>
      </c>
      <c r="K8158">
        <v>1.1220060000000001</v>
      </c>
      <c r="L8158">
        <v>17.78397</v>
      </c>
      <c r="M8158">
        <v>0.99952920000000001</v>
      </c>
      <c r="N8158">
        <v>-1.4255830000000001E-2</v>
      </c>
      <c r="O8158">
        <v>2.717456E-2</v>
      </c>
      <c r="P8158">
        <v>0.99088810000000005</v>
      </c>
      <c r="Q8158">
        <v>0.1294428</v>
      </c>
      <c r="R8158">
        <v>-3.7227870000000003E-2</v>
      </c>
      <c r="S8158">
        <v>3.037506</v>
      </c>
      <c r="T8158">
        <v>-9.9022029999999997E-2</v>
      </c>
      <c r="U8158">
        <v>-8.1390379999999998E-2</v>
      </c>
      <c r="V8158">
        <v>6.4076430000000004E-2</v>
      </c>
      <c r="W8158">
        <v>0.143566</v>
      </c>
      <c r="X8158">
        <v>0.9875642</v>
      </c>
      <c r="Y8158">
        <v>5.3897489999999999E-2</v>
      </c>
      <c r="Z8158">
        <v>-1.760745E-3</v>
      </c>
      <c r="AA8158">
        <v>0.99854489999999996</v>
      </c>
      <c r="AB8158">
        <v>19</v>
      </c>
      <c r="AC8158">
        <v>35.780199999999901</v>
      </c>
      <c r="AD8158">
        <v>-1.1720059999999899</v>
      </c>
      <c r="AE8158">
        <v>-0.96834000000000098</v>
      </c>
      <c r="AF8158">
        <v>1.9383140146897699</v>
      </c>
      <c r="AG8158">
        <v>-1.1720059999999899</v>
      </c>
      <c r="AH8158">
        <v>35.7023885595395</v>
      </c>
      <c r="AI8158">
        <v>91.877416475694304</v>
      </c>
      <c r="AJ8158">
        <v>86.892412643471204</v>
      </c>
      <c r="AK8158">
        <v>35.774169566041898</v>
      </c>
      <c r="AL8158">
        <v>81.745751906623397</v>
      </c>
      <c r="AM8158">
        <v>86.287664031569506</v>
      </c>
      <c r="AN8158">
        <v>1.00000001717959</v>
      </c>
    </row>
    <row r="8159" spans="1:40" x14ac:dyDescent="0.25">
      <c r="A8159" t="str">
        <f>"20190303162113709"</f>
        <v>20190303162113709</v>
      </c>
      <c r="B8159" t="str">
        <f>"1551601273700652"</f>
        <v>1551601273700652</v>
      </c>
      <c r="C8159" t="s">
        <v>40</v>
      </c>
      <c r="D8159">
        <v>4.4674100000000001</v>
      </c>
      <c r="E8159">
        <v>0.49434630000000002</v>
      </c>
      <c r="F8159" t="s">
        <v>44</v>
      </c>
      <c r="G8159">
        <v>-316.47919999999999</v>
      </c>
      <c r="H8159">
        <v>-0.05</v>
      </c>
      <c r="I8159">
        <v>16.754639999999998</v>
      </c>
      <c r="J8159">
        <v>-353.5335</v>
      </c>
      <c r="K8159">
        <v>1.1219969999999999</v>
      </c>
      <c r="L8159">
        <v>17.786899999999999</v>
      </c>
      <c r="M8159">
        <v>0.99952379999999996</v>
      </c>
      <c r="N8159">
        <v>-1.425334E-2</v>
      </c>
      <c r="O8159">
        <v>2.736887E-2</v>
      </c>
      <c r="P8159">
        <v>0.99088759999999998</v>
      </c>
      <c r="Q8159">
        <v>0.12947439999999999</v>
      </c>
      <c r="R8159">
        <v>-3.7127029999999998E-2</v>
      </c>
      <c r="S8159">
        <v>3.0369869999999999</v>
      </c>
      <c r="T8159">
        <v>-9.5799800000000004E-2</v>
      </c>
      <c r="U8159">
        <v>-8.4136959999999997E-2</v>
      </c>
      <c r="V8159">
        <v>6.4169450000000003E-2</v>
      </c>
      <c r="W8159">
        <v>0.14359430000000001</v>
      </c>
      <c r="X8159">
        <v>0.98755400000000004</v>
      </c>
      <c r="Y8159">
        <v>5.5000439999999998E-2</v>
      </c>
      <c r="Z8159">
        <v>-1.7322660000000001E-3</v>
      </c>
      <c r="AA8159">
        <v>0.99848479999999995</v>
      </c>
      <c r="AB8159">
        <v>19</v>
      </c>
      <c r="AC8159">
        <v>37.054299999999998</v>
      </c>
      <c r="AD8159">
        <v>-1.171997</v>
      </c>
      <c r="AE8159">
        <v>-1.03226</v>
      </c>
      <c r="AF8159">
        <v>2.0440672601401402</v>
      </c>
      <c r="AG8159">
        <v>-1.171997</v>
      </c>
      <c r="AH8159">
        <v>36.975200581152599</v>
      </c>
      <c r="AI8159">
        <v>91.812721316385705</v>
      </c>
      <c r="AJ8159">
        <v>86.835788947120506</v>
      </c>
      <c r="AK8159">
        <v>37.050199000119498</v>
      </c>
      <c r="AL8159">
        <v>81.744113084958798</v>
      </c>
      <c r="AM8159">
        <v>86.282251631206407</v>
      </c>
      <c r="AN8159">
        <v>0.99999997211089497</v>
      </c>
    </row>
    <row r="8160" spans="1:40" x14ac:dyDescent="0.25">
      <c r="A8160" t="str">
        <f>"20190303162113721"</f>
        <v>20190303162113721</v>
      </c>
      <c r="B8160" t="str">
        <f>"1551601273710413"</f>
        <v>1551601273710413</v>
      </c>
      <c r="C8160" t="s">
        <v>40</v>
      </c>
      <c r="D8160">
        <v>4.4588950000000001</v>
      </c>
      <c r="E8160">
        <v>0.49449720000000003</v>
      </c>
      <c r="F8160" t="s">
        <v>44</v>
      </c>
      <c r="G8160">
        <v>-315.7011</v>
      </c>
      <c r="H8160">
        <v>-0.05</v>
      </c>
      <c r="I8160">
        <v>16.726500000000001</v>
      </c>
      <c r="J8160">
        <v>-353.4289</v>
      </c>
      <c r="K8160">
        <v>1.1219950000000001</v>
      </c>
      <c r="L8160">
        <v>17.790009999999999</v>
      </c>
      <c r="M8160">
        <v>0.99951829999999997</v>
      </c>
      <c r="N8160">
        <v>-1.4250809999999999E-2</v>
      </c>
      <c r="O8160">
        <v>2.7568459999999999E-2</v>
      </c>
      <c r="P8160">
        <v>0.99086209999999997</v>
      </c>
      <c r="Q8160">
        <v>0.1296678</v>
      </c>
      <c r="R8160">
        <v>-3.7139020000000002E-2</v>
      </c>
      <c r="S8160">
        <v>3.0366819999999999</v>
      </c>
      <c r="T8160">
        <v>-9.4072219999999998E-2</v>
      </c>
      <c r="U8160">
        <v>-8.5113530000000007E-2</v>
      </c>
      <c r="V8160">
        <v>6.4379900000000004E-2</v>
      </c>
      <c r="W8160">
        <v>0.143784</v>
      </c>
      <c r="X8160">
        <v>0.98751270000000002</v>
      </c>
      <c r="Y8160">
        <v>5.5524520000000001E-2</v>
      </c>
      <c r="Z8160">
        <v>-1.7164299999999999E-3</v>
      </c>
      <c r="AA8160">
        <v>0.9984558</v>
      </c>
      <c r="AB8160">
        <v>19</v>
      </c>
      <c r="AC8160">
        <v>37.727800000000002</v>
      </c>
      <c r="AD8160">
        <v>-1.1719949999999999</v>
      </c>
      <c r="AE8160">
        <v>-1.06351</v>
      </c>
      <c r="AF8160">
        <v>2.1012825712560499</v>
      </c>
      <c r="AG8160">
        <v>-1.1719949999999999</v>
      </c>
      <c r="AH8160">
        <v>37.647833690657698</v>
      </c>
      <c r="AI8160">
        <v>91.780299997925994</v>
      </c>
      <c r="AJ8160">
        <v>86.805398196258196</v>
      </c>
      <c r="AK8160">
        <v>37.724638398846302</v>
      </c>
      <c r="AL8160">
        <v>81.733130097703494</v>
      </c>
      <c r="AM8160">
        <v>86.269937720877095</v>
      </c>
      <c r="AN8160">
        <v>0.999999971420649</v>
      </c>
    </row>
    <row r="8161" spans="1:40" x14ac:dyDescent="0.25">
      <c r="A8161" t="str">
        <f>"20190303162113742"</f>
        <v>20190303162113742</v>
      </c>
      <c r="B8161" t="str">
        <f>"1551601273730909"</f>
        <v>1551601273730909</v>
      </c>
      <c r="C8161" t="s">
        <v>40</v>
      </c>
      <c r="D8161">
        <v>4.437354</v>
      </c>
      <c r="E8161">
        <v>0.49480109999999999</v>
      </c>
      <c r="F8161" t="s">
        <v>44</v>
      </c>
      <c r="G8161">
        <v>-314.625</v>
      </c>
      <c r="H8161">
        <v>-0.05</v>
      </c>
      <c r="I8161">
        <v>16.69061</v>
      </c>
      <c r="J8161">
        <v>-353.24959999999999</v>
      </c>
      <c r="K8161">
        <v>1.1219889999999999</v>
      </c>
      <c r="L8161">
        <v>17.795349999999999</v>
      </c>
      <c r="M8161">
        <v>0.99950919999999999</v>
      </c>
      <c r="N8161">
        <v>-1.424634E-2</v>
      </c>
      <c r="O8161">
        <v>2.7902639999999999E-2</v>
      </c>
      <c r="P8161">
        <v>0.99071989999999999</v>
      </c>
      <c r="Q8161">
        <v>0.13057650000000001</v>
      </c>
      <c r="R8161">
        <v>-3.7733879999999997E-2</v>
      </c>
      <c r="S8161">
        <v>3.0364689999999999</v>
      </c>
      <c r="T8161">
        <v>-9.1710570000000005E-2</v>
      </c>
      <c r="U8161">
        <v>-8.6029049999999996E-2</v>
      </c>
      <c r="V8161">
        <v>6.5304689999999999E-2</v>
      </c>
      <c r="W8161">
        <v>0.14468429999999999</v>
      </c>
      <c r="X8161">
        <v>0.98732050000000005</v>
      </c>
      <c r="Y8161">
        <v>5.6162610000000002E-2</v>
      </c>
      <c r="Z8161">
        <v>-1.69305E-3</v>
      </c>
      <c r="AA8161">
        <v>0.99842019999999998</v>
      </c>
      <c r="AB8161">
        <v>19</v>
      </c>
      <c r="AC8161">
        <v>38.624600000000001</v>
      </c>
      <c r="AD8161">
        <v>-1.1719889999999999</v>
      </c>
      <c r="AE8161">
        <v>-1.1047399999999901</v>
      </c>
      <c r="AF8161">
        <v>2.1801417653612001</v>
      </c>
      <c r="AG8161">
        <v>-1.1719889999999999</v>
      </c>
      <c r="AH8161">
        <v>38.543272139842998</v>
      </c>
      <c r="AI8161">
        <v>91.738883875931705</v>
      </c>
      <c r="AJ8161">
        <v>86.762600747359301</v>
      </c>
      <c r="AK8161">
        <v>38.622666966163699</v>
      </c>
      <c r="AL8161">
        <v>81.681001945880496</v>
      </c>
      <c r="AM8161">
        <v>86.215777098235606</v>
      </c>
      <c r="AN8161">
        <v>1.0000000094613599</v>
      </c>
    </row>
    <row r="8162" spans="1:40" x14ac:dyDescent="0.25">
      <c r="A8162" t="str">
        <f>"20190303162113753"</f>
        <v>20190303162113753</v>
      </c>
      <c r="B8162" t="str">
        <f>"1551601273740668"</f>
        <v>1551601273740668</v>
      </c>
      <c r="C8162" t="s">
        <v>40</v>
      </c>
      <c r="D8162">
        <v>4.4547679999999996</v>
      </c>
      <c r="E8162">
        <v>0.49494260000000001</v>
      </c>
      <c r="F8162" t="s">
        <v>44</v>
      </c>
      <c r="G8162">
        <v>-311.90010000000001</v>
      </c>
      <c r="H8162">
        <v>-0.05</v>
      </c>
      <c r="I8162">
        <v>16.574189999999899</v>
      </c>
      <c r="J8162">
        <v>-353.15390000000002</v>
      </c>
      <c r="K8162">
        <v>1.1219870000000001</v>
      </c>
      <c r="L8162">
        <v>17.798220000000001</v>
      </c>
      <c r="M8162">
        <v>0.99950439999999996</v>
      </c>
      <c r="N8162">
        <v>-1.424394E-2</v>
      </c>
      <c r="O8162">
        <v>2.8076380000000001E-2</v>
      </c>
      <c r="P8162">
        <v>0.99061100000000002</v>
      </c>
      <c r="Q8162">
        <v>0.13131489999999901</v>
      </c>
      <c r="R8162">
        <v>-3.803169E-2</v>
      </c>
      <c r="S8162">
        <v>3.0359799999999999</v>
      </c>
      <c r="T8162">
        <v>-8.6050269999999998E-2</v>
      </c>
      <c r="U8162">
        <v>-8.966064E-2</v>
      </c>
      <c r="V8162">
        <v>6.5772410000000003E-2</v>
      </c>
      <c r="W8162">
        <v>0.14541789999999999</v>
      </c>
      <c r="X8162">
        <v>0.98718170000000005</v>
      </c>
      <c r="Y8162">
        <v>5.7537669999999999E-2</v>
      </c>
      <c r="Z8162">
        <v>-1.620727E-3</v>
      </c>
      <c r="AA8162">
        <v>0.99834199999999995</v>
      </c>
      <c r="AB8162">
        <v>19</v>
      </c>
      <c r="AC8162">
        <v>41.253799999999998</v>
      </c>
      <c r="AD8162">
        <v>-1.1719869999999999</v>
      </c>
      <c r="AE8162">
        <v>-1.22403</v>
      </c>
      <c r="AF8162">
        <v>2.3800029537499801</v>
      </c>
      <c r="AG8162">
        <v>-1.1719869999999999</v>
      </c>
      <c r="AH8162">
        <v>41.169965532917402</v>
      </c>
      <c r="AI8162">
        <v>91.627884418437901</v>
      </c>
      <c r="AJ8162">
        <v>86.691458899574599</v>
      </c>
      <c r="AK8162">
        <v>41.255351526433898</v>
      </c>
      <c r="AL8162">
        <v>81.638520760074698</v>
      </c>
      <c r="AM8162">
        <v>86.188219347056702</v>
      </c>
      <c r="AN8162">
        <v>1.00000004218625</v>
      </c>
    </row>
    <row r="8163" spans="1:40" x14ac:dyDescent="0.25">
      <c r="A8163" t="str">
        <f>"20190303162113766"</f>
        <v>20190303162113766</v>
      </c>
      <c r="B8163" t="str">
        <f>"1551601273750429"</f>
        <v>1551601273750429</v>
      </c>
      <c r="C8163" t="s">
        <v>40</v>
      </c>
      <c r="D8163">
        <v>4.4411420000000001</v>
      </c>
      <c r="E8163">
        <v>0.49508570000000002</v>
      </c>
      <c r="F8163" t="s">
        <v>44</v>
      </c>
      <c r="G8163">
        <v>-310.12759999999997</v>
      </c>
      <c r="H8163">
        <v>-0.05</v>
      </c>
      <c r="I8163">
        <v>16.500689999999999</v>
      </c>
      <c r="J8163">
        <v>-353.0462</v>
      </c>
      <c r="K8163">
        <v>1.1219840000000001</v>
      </c>
      <c r="L8163">
        <v>17.801449999999999</v>
      </c>
      <c r="M8163">
        <v>0.99949880000000002</v>
      </c>
      <c r="N8163">
        <v>-1.4241220000000001E-2</v>
      </c>
      <c r="O8163">
        <v>2.827025E-2</v>
      </c>
      <c r="P8163">
        <v>0.99056089999999997</v>
      </c>
      <c r="Q8163">
        <v>0.13152459999999999</v>
      </c>
      <c r="R8163">
        <v>-3.860632E-2</v>
      </c>
      <c r="S8163">
        <v>3.0358890000000001</v>
      </c>
      <c r="T8163">
        <v>-8.2694050000000005E-2</v>
      </c>
      <c r="U8163">
        <v>-9.1552729999999999E-2</v>
      </c>
      <c r="V8163">
        <v>6.6539000000000001E-2</v>
      </c>
      <c r="W8163">
        <v>0.14562359999999999</v>
      </c>
      <c r="X8163">
        <v>0.98709990000000003</v>
      </c>
      <c r="Y8163">
        <v>5.835601E-2</v>
      </c>
      <c r="Z8163">
        <v>-1.5774529999999999E-3</v>
      </c>
      <c r="AA8163">
        <v>0.99829460000000003</v>
      </c>
      <c r="AB8163">
        <v>19</v>
      </c>
      <c r="AC8163">
        <v>42.918599999999998</v>
      </c>
      <c r="AD8163">
        <v>-1.1719839999999999</v>
      </c>
      <c r="AE8163">
        <v>-1.3007599999999999</v>
      </c>
      <c r="AF8163">
        <v>2.5118114015894002</v>
      </c>
      <c r="AG8163">
        <v>-1.1719839999999999</v>
      </c>
      <c r="AH8163">
        <v>42.832755921589403</v>
      </c>
      <c r="AI8163">
        <v>91.564641520753199</v>
      </c>
      <c r="AJ8163">
        <v>86.643887215690796</v>
      </c>
      <c r="AK8163">
        <v>42.922345262716703</v>
      </c>
      <c r="AL8163">
        <v>81.626607367004397</v>
      </c>
      <c r="AM8163">
        <v>86.143606994113497</v>
      </c>
      <c r="AN8163">
        <v>0.99999994198898301</v>
      </c>
    </row>
    <row r="8164" spans="1:40" x14ac:dyDescent="0.25">
      <c r="A8164" t="str">
        <f>"20190303162113777"</f>
        <v>20190303162113777</v>
      </c>
      <c r="B8164" t="str">
        <f>"1551601273770924"</f>
        <v>1551601273770924</v>
      </c>
      <c r="C8164" t="s">
        <v>40</v>
      </c>
      <c r="D8164">
        <v>4.4514940000000003</v>
      </c>
      <c r="E8164">
        <v>0.49534460000000002</v>
      </c>
      <c r="F8164" t="s">
        <v>44</v>
      </c>
      <c r="G8164">
        <v>-309.14940000000001</v>
      </c>
      <c r="H8164">
        <v>-0.05</v>
      </c>
      <c r="I8164">
        <v>16.438289999999999</v>
      </c>
      <c r="J8164">
        <v>-352.94569999999999</v>
      </c>
      <c r="K8164">
        <v>1.12198</v>
      </c>
      <c r="L8164">
        <v>17.80453</v>
      </c>
      <c r="M8164">
        <v>0.99949399999999999</v>
      </c>
      <c r="N8164">
        <v>-1.42387E-2</v>
      </c>
      <c r="O8164">
        <v>2.8446679999999998E-2</v>
      </c>
      <c r="P8164">
        <v>0.99049880000000001</v>
      </c>
      <c r="Q8164">
        <v>0.1318887</v>
      </c>
      <c r="R8164">
        <v>-3.8961030000000001E-2</v>
      </c>
      <c r="S8164">
        <v>3.0356450000000001</v>
      </c>
      <c r="T8164">
        <v>-8.1047530000000007E-2</v>
      </c>
      <c r="U8164">
        <v>-9.42688E-2</v>
      </c>
      <c r="V8164">
        <v>6.7067829999999995E-2</v>
      </c>
      <c r="W8164">
        <v>0.14598349999999999</v>
      </c>
      <c r="X8164">
        <v>0.98701099999999997</v>
      </c>
      <c r="Y8164">
        <v>5.9427630000000002E-2</v>
      </c>
      <c r="Z8164">
        <v>-1.5705579999999999E-3</v>
      </c>
      <c r="AA8164">
        <v>0.99823139999999999</v>
      </c>
      <c r="AB8164">
        <v>19</v>
      </c>
      <c r="AC8164">
        <v>43.796299999999903</v>
      </c>
      <c r="AD8164">
        <v>-1.17198</v>
      </c>
      <c r="AE8164">
        <v>-1.3662399999999999</v>
      </c>
      <c r="AF8164">
        <v>2.6098054688526799</v>
      </c>
      <c r="AG8164">
        <v>-1.17198</v>
      </c>
      <c r="AH8164">
        <v>43.708435017032997</v>
      </c>
      <c r="AI8164">
        <v>91.533208070858095</v>
      </c>
      <c r="AJ8164">
        <v>86.582958996100302</v>
      </c>
      <c r="AK8164">
        <v>43.801962437131202</v>
      </c>
      <c r="AL8164">
        <v>81.605764321008905</v>
      </c>
      <c r="AM8164">
        <v>86.112702214716606</v>
      </c>
      <c r="AN8164">
        <v>0.99999999510707904</v>
      </c>
    </row>
    <row r="8165" spans="1:40" x14ac:dyDescent="0.25">
      <c r="A8165" t="str">
        <f>"20190303162113788"</f>
        <v>20190303162113788</v>
      </c>
      <c r="B8165" t="str">
        <f>"1551601273780684"</f>
        <v>1551601273780684</v>
      </c>
      <c r="C8165" t="s">
        <v>40</v>
      </c>
      <c r="D8165">
        <v>4.463476</v>
      </c>
      <c r="E8165">
        <v>0.49547200000000002</v>
      </c>
      <c r="F8165" t="s">
        <v>44</v>
      </c>
      <c r="G8165">
        <v>-307.03129999999999</v>
      </c>
      <c r="H8165">
        <v>-0.05</v>
      </c>
      <c r="I8165">
        <v>16.333770000000001</v>
      </c>
      <c r="J8165">
        <v>-352.8519</v>
      </c>
      <c r="K8165">
        <v>1.1219790000000001</v>
      </c>
      <c r="L8165">
        <v>17.807369999999999</v>
      </c>
      <c r="M8165">
        <v>0.99948939999999997</v>
      </c>
      <c r="N8165">
        <v>-1.423636E-2</v>
      </c>
      <c r="O8165">
        <v>2.8610300000000002E-2</v>
      </c>
      <c r="P8165">
        <v>0.99050890000000003</v>
      </c>
      <c r="Q8165">
        <v>0.13173650000000001</v>
      </c>
      <c r="R8165">
        <v>-3.9216849999999998E-2</v>
      </c>
      <c r="S8165">
        <v>3.0352779999999999</v>
      </c>
      <c r="T8165">
        <v>-7.7476500000000004E-2</v>
      </c>
      <c r="U8165">
        <v>-9.7228999999999996E-2</v>
      </c>
      <c r="V8165">
        <v>6.7486989999999997E-2</v>
      </c>
      <c r="W8165">
        <v>0.1458284</v>
      </c>
      <c r="X8165">
        <v>0.98700540000000003</v>
      </c>
      <c r="Y8165">
        <v>6.0569440000000002E-2</v>
      </c>
      <c r="Z8165">
        <v>-1.5268910000000001E-3</v>
      </c>
      <c r="AA8165">
        <v>0.99816280000000002</v>
      </c>
      <c r="AB8165">
        <v>19</v>
      </c>
      <c r="AC8165">
        <v>45.820599999999999</v>
      </c>
      <c r="AD8165">
        <v>-1.1719790000000001</v>
      </c>
      <c r="AE8165">
        <v>-1.4736</v>
      </c>
      <c r="AF8165">
        <v>2.7822521398412601</v>
      </c>
      <c r="AG8165">
        <v>-1.1719790000000001</v>
      </c>
      <c r="AH8165">
        <v>45.7297887094823</v>
      </c>
      <c r="AI8165">
        <v>91.465366450309205</v>
      </c>
      <c r="AJ8165">
        <v>86.518351587693502</v>
      </c>
      <c r="AK8165">
        <v>45.829335988643599</v>
      </c>
      <c r="AL8165">
        <v>81.614747386154505</v>
      </c>
      <c r="AM8165">
        <v>86.088460470184202</v>
      </c>
      <c r="AN8165">
        <v>1.00000003784748</v>
      </c>
    </row>
    <row r="8166" spans="1:40" x14ac:dyDescent="0.25">
      <c r="A8166" t="str">
        <f>"20190303162113799"</f>
        <v>20190303162113799</v>
      </c>
      <c r="B8166" t="str">
        <f>"1551601273790445"</f>
        <v>1551601273790445</v>
      </c>
      <c r="C8166" t="s">
        <v>40</v>
      </c>
      <c r="D8166">
        <v>4.5182449999999896</v>
      </c>
      <c r="E8166">
        <v>0.49558249999999998</v>
      </c>
      <c r="F8166" t="s">
        <v>44</v>
      </c>
      <c r="G8166">
        <v>-306.65410000000003</v>
      </c>
      <c r="H8166">
        <v>-0.05</v>
      </c>
      <c r="I8166">
        <v>16.305620000000001</v>
      </c>
      <c r="J8166">
        <v>-352.75490000000002</v>
      </c>
      <c r="K8166">
        <v>1.121974</v>
      </c>
      <c r="L8166">
        <v>17.81033</v>
      </c>
      <c r="M8166">
        <v>0.9994847</v>
      </c>
      <c r="N8166">
        <v>-1.423394E-2</v>
      </c>
      <c r="O8166">
        <v>2.8777210000000001E-2</v>
      </c>
      <c r="P8166">
        <v>0.99048239999999999</v>
      </c>
      <c r="Q8166">
        <v>0.13176650000000001</v>
      </c>
      <c r="R8166">
        <v>-3.9781950000000003E-2</v>
      </c>
      <c r="S8166">
        <v>3.035126</v>
      </c>
      <c r="T8166">
        <v>-7.6997159999999995E-2</v>
      </c>
      <c r="U8166">
        <v>-9.8663329999999994E-2</v>
      </c>
      <c r="V8166">
        <v>6.8217390000000003E-2</v>
      </c>
      <c r="W8166">
        <v>0.14585479999999901</v>
      </c>
      <c r="X8166">
        <v>0.98695120000000003</v>
      </c>
      <c r="Y8166">
        <v>6.1208970000000001E-2</v>
      </c>
      <c r="Z8166">
        <v>-1.5321829999999999E-3</v>
      </c>
      <c r="AA8166">
        <v>0.99812380000000001</v>
      </c>
      <c r="AB8166">
        <v>19</v>
      </c>
      <c r="AC8166">
        <v>46.1007999999999</v>
      </c>
      <c r="AD8166">
        <v>-1.1719740000000001</v>
      </c>
      <c r="AE8166">
        <v>-1.50470999999999</v>
      </c>
      <c r="AF8166">
        <v>2.8290468473181001</v>
      </c>
      <c r="AG8166">
        <v>-1.1719740000000001</v>
      </c>
      <c r="AH8166">
        <v>46.008695032086003</v>
      </c>
      <c r="AI8166">
        <v>91.456423464400601</v>
      </c>
      <c r="AJ8166">
        <v>86.481347299785796</v>
      </c>
      <c r="AK8166">
        <v>46.110487393612402</v>
      </c>
      <c r="AL8166">
        <v>81.613217713928094</v>
      </c>
      <c r="AM8166">
        <v>86.046043665561896</v>
      </c>
      <c r="AN8166">
        <v>0.99999995308144496</v>
      </c>
    </row>
    <row r="8167" spans="1:40" x14ac:dyDescent="0.25">
      <c r="A8167" t="str">
        <f>"20190303162113810"</f>
        <v>20190303162113810</v>
      </c>
      <c r="B8167" t="str">
        <f>"1551601273801181"</f>
        <v>1551601273801181</v>
      </c>
      <c r="C8167" t="s">
        <v>40</v>
      </c>
      <c r="D8167">
        <v>4.4834420000000001</v>
      </c>
      <c r="E8167">
        <v>0.49570700000000001</v>
      </c>
      <c r="F8167" t="s">
        <v>44</v>
      </c>
      <c r="G8167">
        <v>-305.83539999999999</v>
      </c>
      <c r="H8167">
        <v>-0.05</v>
      </c>
      <c r="I8167">
        <v>16.25291</v>
      </c>
      <c r="J8167">
        <v>-352.66019999999997</v>
      </c>
      <c r="K8167">
        <v>1.1219730000000001</v>
      </c>
      <c r="L8167">
        <v>17.813289999999999</v>
      </c>
      <c r="M8167">
        <v>0.99947989999999998</v>
      </c>
      <c r="N8167">
        <v>-1.4231529999999999E-2</v>
      </c>
      <c r="O8167">
        <v>2.893919E-2</v>
      </c>
      <c r="P8167">
        <v>0.99044500000000002</v>
      </c>
      <c r="Q8167">
        <v>0.13183059999999999</v>
      </c>
      <c r="R8167">
        <v>-4.0490690000000003E-2</v>
      </c>
      <c r="S8167">
        <v>3.0348820000000001</v>
      </c>
      <c r="T8167">
        <v>-7.5806380000000007E-2</v>
      </c>
      <c r="U8167">
        <v>-0.10073849999999999</v>
      </c>
      <c r="V8167">
        <v>6.9085830000000001E-2</v>
      </c>
      <c r="W8167">
        <v>0.14591560000000001</v>
      </c>
      <c r="X8167">
        <v>0.98688189999999998</v>
      </c>
      <c r="Y8167">
        <v>6.2055550000000001E-2</v>
      </c>
      <c r="Z8167">
        <v>-1.5273439999999999E-3</v>
      </c>
      <c r="AA8167">
        <v>0.99807159999999995</v>
      </c>
      <c r="AB8167">
        <v>19</v>
      </c>
      <c r="AC8167">
        <v>46.824799999999897</v>
      </c>
      <c r="AD8167">
        <v>-1.1719729999999999</v>
      </c>
      <c r="AE8167">
        <v>-1.5603799999999901</v>
      </c>
      <c r="AF8167">
        <v>2.9131124314385799</v>
      </c>
      <c r="AG8167">
        <v>-1.1719729999999999</v>
      </c>
      <c r="AH8167">
        <v>46.730782056539297</v>
      </c>
      <c r="AI8167">
        <v>91.433851927830105</v>
      </c>
      <c r="AJ8167">
        <v>86.432900599794905</v>
      </c>
      <c r="AK8167">
        <v>46.836158428789901</v>
      </c>
      <c r="AL8167">
        <v>81.6096972721773</v>
      </c>
      <c r="AM8167">
        <v>85.995590358100898</v>
      </c>
      <c r="AN8167">
        <v>1.0000000493888701</v>
      </c>
    </row>
    <row r="8168" spans="1:40" x14ac:dyDescent="0.25">
      <c r="A8168" t="str">
        <f>"20190303162113822"</f>
        <v>20190303162113822</v>
      </c>
      <c r="B8168" t="str">
        <f>"1551601273811916"</f>
        <v>1551601273811916</v>
      </c>
      <c r="C8168" t="s">
        <v>40</v>
      </c>
      <c r="D8168">
        <v>4.4902620000000004</v>
      </c>
      <c r="E8168">
        <v>0.49581760000000002</v>
      </c>
      <c r="F8168" t="s">
        <v>44</v>
      </c>
      <c r="G8168">
        <v>-304.9744</v>
      </c>
      <c r="H8168">
        <v>-0.05</v>
      </c>
      <c r="I8168">
        <v>16.190020000000001</v>
      </c>
      <c r="J8168">
        <v>-352.55720000000002</v>
      </c>
      <c r="K8168">
        <v>1.121972</v>
      </c>
      <c r="L8168">
        <v>17.816469999999999</v>
      </c>
      <c r="M8168">
        <v>0.9994748</v>
      </c>
      <c r="N8168">
        <v>-1.4228879999999999E-2</v>
      </c>
      <c r="O8168">
        <v>2.91141E-2</v>
      </c>
      <c r="P8168">
        <v>0.99034920000000004</v>
      </c>
      <c r="Q8168">
        <v>0.1323819</v>
      </c>
      <c r="R8168">
        <v>-4.1031520000000002E-2</v>
      </c>
      <c r="S8168">
        <v>3.034637</v>
      </c>
      <c r="T8168">
        <v>-7.4582220000000005E-2</v>
      </c>
      <c r="U8168">
        <v>-0.103302</v>
      </c>
      <c r="V8168">
        <v>6.9797280000000003E-2</v>
      </c>
      <c r="W8168">
        <v>0.14646239999999999</v>
      </c>
      <c r="X8168">
        <v>0.98675080000000004</v>
      </c>
      <c r="Y8168">
        <v>6.3075439999999997E-2</v>
      </c>
      <c r="Z8168">
        <v>-1.524872E-3</v>
      </c>
      <c r="AA8168">
        <v>0.99800759999999999</v>
      </c>
      <c r="AB8168">
        <v>19</v>
      </c>
      <c r="AC8168">
        <v>47.582799999999999</v>
      </c>
      <c r="AD8168">
        <v>-1.171972</v>
      </c>
      <c r="AE8168">
        <v>-1.62645</v>
      </c>
      <c r="AF8168">
        <v>3.0094075675770799</v>
      </c>
      <c r="AG8168">
        <v>-1.171972</v>
      </c>
      <c r="AH8168">
        <v>47.486494075448697</v>
      </c>
      <c r="AI8168">
        <v>91.410949879547999</v>
      </c>
      <c r="AJ8168">
        <v>86.373788502764498</v>
      </c>
      <c r="AK8168">
        <v>47.5961886273912</v>
      </c>
      <c r="AL8168">
        <v>81.578027439369393</v>
      </c>
      <c r="AM8168">
        <v>85.9539532330149</v>
      </c>
      <c r="AN8168">
        <v>1.00000001810489</v>
      </c>
    </row>
    <row r="8169" spans="1:40" x14ac:dyDescent="0.25">
      <c r="A8169" t="str">
        <f>"20190303162113836"</f>
        <v>20190303162113836</v>
      </c>
      <c r="B8169" t="str">
        <f>"1551601273830462"</f>
        <v>1551601273830462</v>
      </c>
      <c r="C8169" t="s">
        <v>40</v>
      </c>
      <c r="D8169">
        <v>4.5019309999999999</v>
      </c>
      <c r="E8169">
        <v>0.49600850000000002</v>
      </c>
      <c r="F8169" t="s">
        <v>44</v>
      </c>
      <c r="G8169">
        <v>-303.16579999999999</v>
      </c>
      <c r="H8169">
        <v>-0.05</v>
      </c>
      <c r="I8169">
        <v>16.101759999999999</v>
      </c>
      <c r="J8169">
        <v>-352.4479</v>
      </c>
      <c r="K8169">
        <v>1.121972</v>
      </c>
      <c r="L8169">
        <v>17.819849999999999</v>
      </c>
      <c r="M8169">
        <v>0.99946959999999996</v>
      </c>
      <c r="N8169">
        <v>-1.4226219999999999E-2</v>
      </c>
      <c r="O8169">
        <v>2.9298100000000001E-2</v>
      </c>
      <c r="P8169">
        <v>0.99027619999999905</v>
      </c>
      <c r="Q8169">
        <v>0.13269059999999999</v>
      </c>
      <c r="R8169">
        <v>-4.1791920000000003E-2</v>
      </c>
      <c r="S8169">
        <v>3.0344850000000001</v>
      </c>
      <c r="T8169">
        <v>-7.2003010000000006E-2</v>
      </c>
      <c r="U8169">
        <v>-0.1053467</v>
      </c>
      <c r="V8169">
        <v>7.0737320000000006E-2</v>
      </c>
      <c r="W8169">
        <v>0.14676710000000001</v>
      </c>
      <c r="X8169">
        <v>0.98663849999999997</v>
      </c>
      <c r="Y8169">
        <v>6.3934019999999994E-2</v>
      </c>
      <c r="Z8169">
        <v>-1.4914520000000001E-3</v>
      </c>
      <c r="AA8169">
        <v>0.99795299999999998</v>
      </c>
      <c r="AB8169">
        <v>19</v>
      </c>
      <c r="AC8169">
        <v>49.2821</v>
      </c>
      <c r="AD8169">
        <v>-1.171972</v>
      </c>
      <c r="AE8169">
        <v>-1.7180899999999899</v>
      </c>
      <c r="AF8169">
        <v>3.1595854819114302</v>
      </c>
      <c r="AG8169">
        <v>-1.171972</v>
      </c>
      <c r="AH8169">
        <v>49.182817347345598</v>
      </c>
      <c r="AI8169">
        <v>91.362229569765802</v>
      </c>
      <c r="AJ8169">
        <v>86.3242754250263</v>
      </c>
      <c r="AK8169">
        <v>49.298134051996797</v>
      </c>
      <c r="AL8169">
        <v>81.560378032475001</v>
      </c>
      <c r="AM8169">
        <v>85.899180006121796</v>
      </c>
      <c r="AN8169">
        <v>0.99999993988271896</v>
      </c>
    </row>
    <row r="8170" spans="1:40" x14ac:dyDescent="0.25">
      <c r="A8170" t="str">
        <f>"20190303162113848"</f>
        <v>20190303162113848</v>
      </c>
      <c r="B8170" t="str">
        <f>"1551601273841197"</f>
        <v>1551601273841197</v>
      </c>
      <c r="C8170" t="s">
        <v>40</v>
      </c>
      <c r="D8170">
        <v>4.5334430000000001</v>
      </c>
      <c r="E8170">
        <v>0.49611129999999998</v>
      </c>
      <c r="F8170" t="s">
        <v>44</v>
      </c>
      <c r="G8170">
        <v>-301.16730000000001</v>
      </c>
      <c r="H8170">
        <v>-0.05</v>
      </c>
      <c r="I8170">
        <v>15.98264</v>
      </c>
      <c r="J8170">
        <v>-352.34230000000002</v>
      </c>
      <c r="K8170">
        <v>1.1219680000000001</v>
      </c>
      <c r="L8170">
        <v>17.823119999999999</v>
      </c>
      <c r="M8170">
        <v>0.99946440000000003</v>
      </c>
      <c r="N8170">
        <v>-1.4223660000000001E-2</v>
      </c>
      <c r="O8170">
        <v>2.9475830000000001E-2</v>
      </c>
      <c r="P8170">
        <v>0.99015500000000001</v>
      </c>
      <c r="Q8170">
        <v>0.13331989999999999</v>
      </c>
      <c r="R8170">
        <v>-4.2649989999999999E-2</v>
      </c>
      <c r="S8170">
        <v>3.0341490000000002</v>
      </c>
      <c r="T8170">
        <v>-6.9342730000000005E-2</v>
      </c>
      <c r="U8170">
        <v>-0.1087036</v>
      </c>
      <c r="V8170">
        <v>7.1767600000000001E-2</v>
      </c>
      <c r="W8170">
        <v>0.14739150000000001</v>
      </c>
      <c r="X8170">
        <v>0.98647110000000005</v>
      </c>
      <c r="Y8170">
        <v>6.5219390000000002E-2</v>
      </c>
      <c r="Z8170">
        <v>-1.463273E-3</v>
      </c>
      <c r="AA8170">
        <v>0.99786980000000003</v>
      </c>
      <c r="AB8170">
        <v>19</v>
      </c>
      <c r="AC8170">
        <v>51.174999999999997</v>
      </c>
      <c r="AD8170">
        <v>-1.1719679999999999</v>
      </c>
      <c r="AE8170">
        <v>-1.8404799999999999</v>
      </c>
      <c r="AF8170">
        <v>3.346505323778</v>
      </c>
      <c r="AG8170">
        <v>-1.1719679999999999</v>
      </c>
      <c r="AH8170">
        <v>51.0717537640232</v>
      </c>
      <c r="AI8170">
        <v>91.311750925087694</v>
      </c>
      <c r="AJ8170">
        <v>86.251021304183595</v>
      </c>
      <c r="AK8170">
        <v>51.194693469227097</v>
      </c>
      <c r="AL8170">
        <v>81.524210026548602</v>
      </c>
      <c r="AM8170">
        <v>85.838956799144299</v>
      </c>
      <c r="AN8170">
        <v>1.0000000369086</v>
      </c>
    </row>
    <row r="8171" spans="1:40" x14ac:dyDescent="0.25">
      <c r="A8171" t="str">
        <f>"20190303162113866"</f>
        <v>20190303162113866</v>
      </c>
      <c r="B8171" t="str">
        <f>"1551601273860716"</f>
        <v>1551601273860716</v>
      </c>
      <c r="C8171" t="s">
        <v>40</v>
      </c>
      <c r="D8171">
        <v>4.5518090000000004</v>
      </c>
      <c r="E8171">
        <v>0.4962934</v>
      </c>
      <c r="F8171" t="s">
        <v>44</v>
      </c>
      <c r="G8171">
        <v>-298.95679999999999</v>
      </c>
      <c r="H8171">
        <v>-0.05</v>
      </c>
      <c r="I8171">
        <v>15.857250000000001</v>
      </c>
      <c r="J8171">
        <v>-352.19099999999997</v>
      </c>
      <c r="K8171">
        <v>1.1219749999999999</v>
      </c>
      <c r="L8171">
        <v>17.82788</v>
      </c>
      <c r="M8171">
        <v>0.99945680000000003</v>
      </c>
      <c r="N8171">
        <v>-1.4219880000000001E-2</v>
      </c>
      <c r="O8171">
        <v>2.972994E-2</v>
      </c>
      <c r="P8171">
        <v>0.98983929999999998</v>
      </c>
      <c r="Q8171">
        <v>0.13510939999999999</v>
      </c>
      <c r="R8171">
        <v>-4.4315359999999998E-2</v>
      </c>
      <c r="S8171">
        <v>3.034027</v>
      </c>
      <c r="T8171">
        <v>-6.6605810000000001E-2</v>
      </c>
      <c r="U8171">
        <v>-0.1117249</v>
      </c>
      <c r="V8171">
        <v>7.3673459999999996E-2</v>
      </c>
      <c r="W8171">
        <v>0.14917259999999999</v>
      </c>
      <c r="X8171">
        <v>0.98606280000000002</v>
      </c>
      <c r="Y8171">
        <v>6.6468289999999999E-2</v>
      </c>
      <c r="Z8171">
        <v>-1.431887E-3</v>
      </c>
      <c r="AA8171">
        <v>0.99778750000000005</v>
      </c>
      <c r="AB8171">
        <v>19</v>
      </c>
      <c r="AC8171">
        <v>53.234199999999902</v>
      </c>
      <c r="AD8171">
        <v>-1.171975</v>
      </c>
      <c r="AE8171">
        <v>-1.9706300000000001</v>
      </c>
      <c r="AF8171">
        <v>3.5508497006056099</v>
      </c>
      <c r="AG8171">
        <v>-1.171975</v>
      </c>
      <c r="AH8171">
        <v>53.126357309545</v>
      </c>
      <c r="AI8171">
        <v>91.260935637562497</v>
      </c>
      <c r="AJ8171">
        <v>86.176162525769399</v>
      </c>
      <c r="AK8171">
        <v>53.257787223826398</v>
      </c>
      <c r="AL8171">
        <v>81.4210198106815</v>
      </c>
      <c r="AM8171">
        <v>85.727097808272404</v>
      </c>
      <c r="AN8171">
        <v>1.00000004442148</v>
      </c>
    </row>
    <row r="8172" spans="1:40" x14ac:dyDescent="0.25">
      <c r="A8172" t="str">
        <f>"20190303162113879"</f>
        <v>20190303162113879</v>
      </c>
      <c r="B8172" t="str">
        <f>"1551601273860716"</f>
        <v>1551601273860716</v>
      </c>
      <c r="C8172" t="s">
        <v>40</v>
      </c>
      <c r="D8172">
        <v>4.5518090000000004</v>
      </c>
      <c r="E8172">
        <v>0.4962934</v>
      </c>
      <c r="F8172" t="s">
        <v>44</v>
      </c>
      <c r="G8172">
        <v>-292.72210000000001</v>
      </c>
      <c r="H8172">
        <v>-0.05</v>
      </c>
      <c r="I8172">
        <v>15.5289</v>
      </c>
      <c r="J8172">
        <v>-352.07199999999898</v>
      </c>
      <c r="K8172">
        <v>1.12198</v>
      </c>
      <c r="L8172">
        <v>17.831669999999999</v>
      </c>
      <c r="M8172">
        <v>0.99945099999999998</v>
      </c>
      <c r="N8172">
        <v>-1.4216929999999999E-2</v>
      </c>
      <c r="O8172">
        <v>2.9930519999999999E-2</v>
      </c>
      <c r="P8172">
        <v>0.9896779</v>
      </c>
      <c r="Q8172">
        <v>0.13596939999999999</v>
      </c>
      <c r="R8172">
        <v>-4.5281009999999997E-2</v>
      </c>
      <c r="S8172">
        <v>3.033722</v>
      </c>
      <c r="T8172">
        <v>-5.9786680000000002E-2</v>
      </c>
      <c r="U8172">
        <v>-0.1172791</v>
      </c>
      <c r="V8172">
        <v>7.4831640000000005E-2</v>
      </c>
      <c r="W8172">
        <v>0.15002689999999999</v>
      </c>
      <c r="X8172">
        <v>0.98584590000000005</v>
      </c>
      <c r="Y8172">
        <v>6.8500179999999994E-2</v>
      </c>
      <c r="Z8172">
        <v>-1.3261169999999999E-3</v>
      </c>
      <c r="AA8172">
        <v>0.99765020000000004</v>
      </c>
      <c r="AB8172">
        <v>19</v>
      </c>
      <c r="AC8172">
        <v>59.349899999999899</v>
      </c>
      <c r="AD8172">
        <v>-1.17198</v>
      </c>
      <c r="AE8172">
        <v>-2.3027700000000002</v>
      </c>
      <c r="AF8172">
        <v>4.07670350629009</v>
      </c>
      <c r="AG8172">
        <v>-1.17198</v>
      </c>
      <c r="AH8172">
        <v>59.231312643879697</v>
      </c>
      <c r="AI8172">
        <v>91.130860017803499</v>
      </c>
      <c r="AJ8172">
        <v>86.062722405165204</v>
      </c>
      <c r="AK8172">
        <v>59.383006374851199</v>
      </c>
      <c r="AL8172">
        <v>81.371514473079202</v>
      </c>
      <c r="AM8172">
        <v>85.659229336825803</v>
      </c>
      <c r="AN8172">
        <v>0.99999999180775401</v>
      </c>
    </row>
    <row r="8173" spans="1:40" x14ac:dyDescent="0.25">
      <c r="A8173" t="str">
        <f>"20190303162113892"</f>
        <v>20190303162113892</v>
      </c>
      <c r="B8173" t="str">
        <f>"1551601273881212"</f>
        <v>1551601273881212</v>
      </c>
      <c r="C8173" t="s">
        <v>40</v>
      </c>
      <c r="D8173">
        <v>4.5188670000000002</v>
      </c>
      <c r="E8173">
        <v>0.4964615</v>
      </c>
      <c r="F8173" t="s">
        <v>44</v>
      </c>
      <c r="G8173">
        <v>-289.84750000000003</v>
      </c>
      <c r="H8173">
        <v>-0.05</v>
      </c>
      <c r="I8173">
        <v>15.37415</v>
      </c>
      <c r="J8173">
        <v>-351.96179999999998</v>
      </c>
      <c r="K8173">
        <v>1.1219840000000001</v>
      </c>
      <c r="L8173">
        <v>17.835139999999999</v>
      </c>
      <c r="M8173">
        <v>0.99944529999999998</v>
      </c>
      <c r="N8173">
        <v>-1.421419E-2</v>
      </c>
      <c r="O8173">
        <v>3.011716E-2</v>
      </c>
      <c r="P8173">
        <v>0.98945320000000003</v>
      </c>
      <c r="Q8173">
        <v>0.13723079999999999</v>
      </c>
      <c r="R8173">
        <v>-4.6364170000000003E-2</v>
      </c>
      <c r="S8173">
        <v>3.0336609999999999</v>
      </c>
      <c r="T8173">
        <v>-5.7138090000000002E-2</v>
      </c>
      <c r="U8173">
        <v>-0.119812</v>
      </c>
      <c r="V8173">
        <v>7.6091759999999994E-2</v>
      </c>
      <c r="W8173">
        <v>0.15128220000000001</v>
      </c>
      <c r="X8173">
        <v>0.98555760000000003</v>
      </c>
      <c r="Y8173">
        <v>6.952034E-2</v>
      </c>
      <c r="Z8173">
        <v>-1.2878410000000001E-3</v>
      </c>
      <c r="AA8173">
        <v>0.99757969999999896</v>
      </c>
      <c r="AB8173">
        <v>19</v>
      </c>
      <c r="AC8173">
        <v>62.114299999999901</v>
      </c>
      <c r="AD8173">
        <v>-1.1719839999999999</v>
      </c>
      <c r="AE8173">
        <v>-2.46098999999999</v>
      </c>
      <c r="AF8173">
        <v>4.3292299096856297</v>
      </c>
      <c r="AG8173">
        <v>-1.1719839999999999</v>
      </c>
      <c r="AH8173">
        <v>61.989957861379601</v>
      </c>
      <c r="AI8173">
        <v>91.080475622453505</v>
      </c>
      <c r="AJ8173">
        <v>86.005086600926504</v>
      </c>
      <c r="AK8173">
        <v>62.151996377934601</v>
      </c>
      <c r="AL8173">
        <v>81.298760957712304</v>
      </c>
      <c r="AM8173">
        <v>85.585133821595505</v>
      </c>
      <c r="AN8173">
        <v>1.00000002144724</v>
      </c>
    </row>
    <row r="8174" spans="1:40" x14ac:dyDescent="0.25">
      <c r="A8174" t="str">
        <f>"20190303162113906"</f>
        <v>20190303162113906</v>
      </c>
      <c r="B8174" t="str">
        <f>"1551601273900733"</f>
        <v>1551601273900733</v>
      </c>
      <c r="C8174" t="s">
        <v>40</v>
      </c>
      <c r="D8174">
        <v>4.5378400000000001</v>
      </c>
      <c r="E8174">
        <v>0.49662659999999997</v>
      </c>
      <c r="F8174" t="s">
        <v>44</v>
      </c>
      <c r="G8174">
        <v>-283.94240000000002</v>
      </c>
      <c r="H8174">
        <v>-0.05</v>
      </c>
      <c r="I8174">
        <v>15.05275</v>
      </c>
      <c r="J8174">
        <v>-351.85199999999998</v>
      </c>
      <c r="K8174">
        <v>1.121988</v>
      </c>
      <c r="L8174">
        <v>17.838650000000001</v>
      </c>
      <c r="M8174">
        <v>0.99943979999999999</v>
      </c>
      <c r="N8174">
        <v>-1.421147E-2</v>
      </c>
      <c r="O8174">
        <v>3.0303449999999999E-2</v>
      </c>
      <c r="P8174">
        <v>0.98932209999999998</v>
      </c>
      <c r="Q8174">
        <v>0.1377786</v>
      </c>
      <c r="R8174">
        <v>-4.7533529999999997E-2</v>
      </c>
      <c r="S8174">
        <v>3.033417</v>
      </c>
      <c r="T8174">
        <v>-5.2266239999999999E-2</v>
      </c>
      <c r="U8174">
        <v>-0.1240845</v>
      </c>
      <c r="V8174">
        <v>7.7439839999999996E-2</v>
      </c>
      <c r="W8174">
        <v>0.15182570000000001</v>
      </c>
      <c r="X8174">
        <v>0.98536900000000005</v>
      </c>
      <c r="Y8174">
        <v>7.111468E-2</v>
      </c>
      <c r="Z8174">
        <v>-1.2094059999999999E-3</v>
      </c>
      <c r="AA8174">
        <v>0.9974674</v>
      </c>
      <c r="AB8174">
        <v>19</v>
      </c>
      <c r="AC8174">
        <v>67.909599999999898</v>
      </c>
      <c r="AD8174">
        <v>-1.171988</v>
      </c>
      <c r="AE8174">
        <v>-2.7858999999999998</v>
      </c>
      <c r="AF8174">
        <v>4.8412836226037097</v>
      </c>
      <c r="AG8174">
        <v>-1.171988</v>
      </c>
      <c r="AH8174">
        <v>67.773823094657999</v>
      </c>
      <c r="AI8174">
        <v>90.988178807748298</v>
      </c>
      <c r="AJ8174">
        <v>85.914134035269299</v>
      </c>
      <c r="AK8174">
        <v>67.956623517157098</v>
      </c>
      <c r="AL8174">
        <v>81.267256776013198</v>
      </c>
      <c r="AM8174">
        <v>85.506378883821199</v>
      </c>
      <c r="AN8174">
        <v>1.00000001908035</v>
      </c>
    </row>
    <row r="8175" spans="1:40" x14ac:dyDescent="0.25">
      <c r="A8175" t="str">
        <f>"20190303162113920"</f>
        <v>20190303162113920</v>
      </c>
      <c r="B8175" t="str">
        <f>"1551601273910493"</f>
        <v>1551601273910493</v>
      </c>
      <c r="C8175" t="s">
        <v>40</v>
      </c>
      <c r="D8175">
        <v>4.5361250000000002</v>
      </c>
      <c r="E8175">
        <v>0.49670880000000001</v>
      </c>
      <c r="F8175" t="s">
        <v>44</v>
      </c>
      <c r="G8175">
        <v>-279.84589999999997</v>
      </c>
      <c r="H8175">
        <v>-0.05</v>
      </c>
      <c r="I8175">
        <v>14.786350000000001</v>
      </c>
      <c r="J8175">
        <v>-351.72660000000002</v>
      </c>
      <c r="K8175">
        <v>1.12199</v>
      </c>
      <c r="L8175">
        <v>17.842679999999898</v>
      </c>
      <c r="M8175">
        <v>0.99943340000000003</v>
      </c>
      <c r="N8175">
        <v>-1.420835E-2</v>
      </c>
      <c r="O8175">
        <v>3.0517809999999999E-2</v>
      </c>
      <c r="P8175">
        <v>0.9890911</v>
      </c>
      <c r="Q8175">
        <v>0.13853670000000001</v>
      </c>
      <c r="R8175">
        <v>-5.0069089999999997E-2</v>
      </c>
      <c r="S8175">
        <v>3.0330810000000001</v>
      </c>
      <c r="T8175">
        <v>-4.9367069999999999E-2</v>
      </c>
      <c r="U8175">
        <v>-0.12857060000000001</v>
      </c>
      <c r="V8175">
        <v>8.0178589999999994E-2</v>
      </c>
      <c r="W8175">
        <v>0.15257689999999999</v>
      </c>
      <c r="X8175">
        <v>0.98503390000000002</v>
      </c>
      <c r="Y8175">
        <v>7.2807070000000002E-2</v>
      </c>
      <c r="Z8175">
        <v>-1.172832E-3</v>
      </c>
      <c r="AA8175">
        <v>0.99734529999999999</v>
      </c>
      <c r="AB8175">
        <v>19</v>
      </c>
      <c r="AC8175">
        <v>71.880700000000004</v>
      </c>
      <c r="AD8175">
        <v>-1.1719899999999901</v>
      </c>
      <c r="AE8175">
        <v>-3.0563299999999902</v>
      </c>
      <c r="AF8175">
        <v>5.2473763252702597</v>
      </c>
      <c r="AG8175">
        <v>-1.1719899999999901</v>
      </c>
      <c r="AH8175">
        <v>71.734895268797501</v>
      </c>
      <c r="AI8175">
        <v>90.933509651044005</v>
      </c>
      <c r="AJ8175">
        <v>85.816290228077904</v>
      </c>
      <c r="AK8175">
        <v>71.936108583134001</v>
      </c>
      <c r="AL8175">
        <v>81.223709108803703</v>
      </c>
      <c r="AM8175">
        <v>85.346566817099202</v>
      </c>
      <c r="AN8175">
        <v>1.0000000504286</v>
      </c>
    </row>
    <row r="8176" spans="1:40" x14ac:dyDescent="0.25">
      <c r="A8176" t="str">
        <f>"20190303162113931"</f>
        <v>20190303162113931</v>
      </c>
      <c r="B8176" t="str">
        <f>"1551601273921228"</f>
        <v>1551601273921228</v>
      </c>
      <c r="C8176" t="s">
        <v>40</v>
      </c>
      <c r="D8176">
        <v>4.5301109999999998</v>
      </c>
      <c r="E8176">
        <v>0.49678470000000002</v>
      </c>
      <c r="F8176" t="s">
        <v>76</v>
      </c>
      <c r="G8176">
        <v>-279.68</v>
      </c>
      <c r="H8176">
        <v>1.8714189999999999E-2</v>
      </c>
      <c r="I8176">
        <v>14.60632</v>
      </c>
      <c r="J8176">
        <v>-351.63189999999997</v>
      </c>
      <c r="K8176">
        <v>1.121991</v>
      </c>
      <c r="L8176">
        <v>17.845759999999999</v>
      </c>
      <c r="M8176">
        <v>0.99942830000000005</v>
      </c>
      <c r="N8176">
        <v>-1.4206E-2</v>
      </c>
      <c r="O8176">
        <v>3.068048E-2</v>
      </c>
      <c r="P8176">
        <v>0.98899820000000005</v>
      </c>
      <c r="Q8176">
        <v>0.13885039999999901</v>
      </c>
      <c r="R8176">
        <v>-5.1022409999999997E-2</v>
      </c>
      <c r="S8176">
        <v>3.032715</v>
      </c>
      <c r="T8176">
        <v>-4.6440960000000003E-2</v>
      </c>
      <c r="U8176">
        <v>-0.1362305</v>
      </c>
      <c r="V8176">
        <v>8.1289130000000001E-2</v>
      </c>
      <c r="W8176">
        <v>0.15288650000000001</v>
      </c>
      <c r="X8176">
        <v>0.98489479999999996</v>
      </c>
      <c r="Y8176">
        <v>7.5489539999999994E-2</v>
      </c>
      <c r="Z8176">
        <v>-1.148191E-3</v>
      </c>
      <c r="AA8176">
        <v>0.99714599999999998</v>
      </c>
      <c r="AB8176">
        <v>19</v>
      </c>
      <c r="AC8176">
        <v>71.951899999999895</v>
      </c>
      <c r="AD8176">
        <v>-1.1032768100000001</v>
      </c>
      <c r="AE8176">
        <v>-3.2394400000000001</v>
      </c>
      <c r="AF8176">
        <v>5.4443788068241998</v>
      </c>
      <c r="AG8176">
        <v>-1.1032768100000001</v>
      </c>
      <c r="AH8176">
        <v>71.801776034131606</v>
      </c>
      <c r="AI8176">
        <v>90.877794899902696</v>
      </c>
      <c r="AJ8176">
        <v>85.663837705559402</v>
      </c>
      <c r="AK8176">
        <v>72.016342047949706</v>
      </c>
      <c r="AL8176">
        <v>81.205759176014894</v>
      </c>
      <c r="AM8176">
        <v>85.281738573724198</v>
      </c>
      <c r="AN8176">
        <v>0.99999998580272298</v>
      </c>
    </row>
    <row r="8177" spans="1:40" x14ac:dyDescent="0.25">
      <c r="A8177" t="str">
        <f>"20190303162113943"</f>
        <v>20190303162113943</v>
      </c>
      <c r="B8177" t="str">
        <f>"1551601273930988"</f>
        <v>1551601273930988</v>
      </c>
      <c r="C8177" t="s">
        <v>40</v>
      </c>
      <c r="D8177">
        <v>4.5320320000000001</v>
      </c>
      <c r="E8177">
        <v>0.49685780000000002</v>
      </c>
      <c r="F8177" t="s">
        <v>76</v>
      </c>
      <c r="G8177">
        <v>-279.68</v>
      </c>
      <c r="H8177">
        <v>5.303335E-2</v>
      </c>
      <c r="I8177">
        <v>14.53809</v>
      </c>
      <c r="J8177">
        <v>-351.5324</v>
      </c>
      <c r="K8177">
        <v>1.1219950000000001</v>
      </c>
      <c r="L8177">
        <v>17.849</v>
      </c>
      <c r="M8177">
        <v>0.99942299999999995</v>
      </c>
      <c r="N8177">
        <v>-1.4203540000000001E-2</v>
      </c>
      <c r="O8177">
        <v>3.0851739999999999E-2</v>
      </c>
      <c r="P8177">
        <v>0.98892780000000002</v>
      </c>
      <c r="Q8177">
        <v>0.138967799999999</v>
      </c>
      <c r="R8177">
        <v>-5.205767E-2</v>
      </c>
      <c r="S8177">
        <v>3.0324710000000001</v>
      </c>
      <c r="T8177">
        <v>-4.5051929999999997E-2</v>
      </c>
      <c r="U8177">
        <v>-0.13940429999999901</v>
      </c>
      <c r="V8177">
        <v>8.2490510000000003E-2</v>
      </c>
      <c r="W8177">
        <v>0.15300050000000001</v>
      </c>
      <c r="X8177">
        <v>0.98477720000000002</v>
      </c>
      <c r="Y8177">
        <v>7.6705949999999995E-2</v>
      </c>
      <c r="Z8177">
        <v>-1.1347219999999999E-3</v>
      </c>
      <c r="AA8177">
        <v>0.99705310000000003</v>
      </c>
      <c r="AB8177">
        <v>19</v>
      </c>
      <c r="AC8177">
        <v>71.852399999999903</v>
      </c>
      <c r="AD8177">
        <v>-1.0689616500000001</v>
      </c>
      <c r="AE8177">
        <v>-3.3109099999999998</v>
      </c>
      <c r="AF8177">
        <v>5.5251086204363098</v>
      </c>
      <c r="AG8177">
        <v>-1.0689616500000001</v>
      </c>
      <c r="AH8177">
        <v>71.700195846326096</v>
      </c>
      <c r="AI8177">
        <v>90.851621901435493</v>
      </c>
      <c r="AJ8177">
        <v>85.593581928133005</v>
      </c>
      <c r="AK8177">
        <v>71.920703477359794</v>
      </c>
      <c r="AL8177">
        <v>81.199149692870407</v>
      </c>
      <c r="AM8177">
        <v>85.211759650479394</v>
      </c>
      <c r="AN8177">
        <v>0.99999998544007496</v>
      </c>
    </row>
    <row r="8178" spans="1:40" x14ac:dyDescent="0.25">
      <c r="A8178" t="str">
        <f>"20190303162113955"</f>
        <v>20190303162113955</v>
      </c>
      <c r="B8178" t="str">
        <f>"1551601273941724"</f>
        <v>1551601273941724</v>
      </c>
      <c r="C8178" t="s">
        <v>40</v>
      </c>
      <c r="D8178">
        <v>4.5802740000000002</v>
      </c>
      <c r="E8178">
        <v>0.49691980000000002</v>
      </c>
      <c r="F8178" t="s">
        <v>76</v>
      </c>
      <c r="G8178">
        <v>-279.68</v>
      </c>
      <c r="H8178">
        <v>7.2156670000000006E-2</v>
      </c>
      <c r="I8178">
        <v>14.4611</v>
      </c>
      <c r="J8178">
        <v>-351.43450000000001</v>
      </c>
      <c r="K8178">
        <v>1.1219950000000001</v>
      </c>
      <c r="L8178">
        <v>17.8522</v>
      </c>
      <c r="M8178">
        <v>0.99941780000000002</v>
      </c>
      <c r="N8178">
        <v>-1.4201190000000001E-2</v>
      </c>
      <c r="O8178">
        <v>3.1020849999999999E-2</v>
      </c>
      <c r="P8178">
        <v>0.98885080000000003</v>
      </c>
      <c r="Q8178">
        <v>0.13920489999999999</v>
      </c>
      <c r="R8178">
        <v>-5.287787E-2</v>
      </c>
      <c r="S8178">
        <v>3.0322879999999999</v>
      </c>
      <c r="T8178">
        <v>-4.4304730000000001E-2</v>
      </c>
      <c r="U8178">
        <v>-0.14297489999999999</v>
      </c>
      <c r="V8178">
        <v>8.3474740000000006E-2</v>
      </c>
      <c r="W8178">
        <v>0.15323429999999999</v>
      </c>
      <c r="X8178">
        <v>0.98465789999999997</v>
      </c>
      <c r="Y8178">
        <v>7.8048969999999995E-2</v>
      </c>
      <c r="Z8178">
        <v>-1.137143E-3</v>
      </c>
      <c r="AA8178">
        <v>0.99694890000000003</v>
      </c>
      <c r="AB8178">
        <v>19</v>
      </c>
      <c r="AC8178">
        <v>71.754499999999993</v>
      </c>
      <c r="AD8178">
        <v>-1.04983833</v>
      </c>
      <c r="AE8178">
        <v>-3.3910999999999998</v>
      </c>
      <c r="AF8178">
        <v>5.6143786670410298</v>
      </c>
      <c r="AG8178">
        <v>-1.04983833</v>
      </c>
      <c r="AH8178">
        <v>71.599462055450005</v>
      </c>
      <c r="AI8178">
        <v>90.837477755876407</v>
      </c>
      <c r="AJ8178">
        <v>85.516400419896698</v>
      </c>
      <c r="AK8178">
        <v>71.826919570352501</v>
      </c>
      <c r="AL8178">
        <v>81.185594056570196</v>
      </c>
      <c r="AM8178">
        <v>85.154315225337001</v>
      </c>
      <c r="AN8178">
        <v>0.99999998147348301</v>
      </c>
    </row>
    <row r="8179" spans="1:40" x14ac:dyDescent="0.25">
      <c r="A8179" t="str">
        <f>"20190303162113967"</f>
        <v>20190303162113967</v>
      </c>
      <c r="B8179" t="str">
        <f>"1551601273961245"</f>
        <v>1551601273961245</v>
      </c>
      <c r="C8179" t="s">
        <v>40</v>
      </c>
      <c r="D8179">
        <v>4.6228360000000004</v>
      </c>
      <c r="E8179">
        <v>0.49697350000000001</v>
      </c>
      <c r="F8179" t="s">
        <v>76</v>
      </c>
      <c r="G8179">
        <v>-279.68</v>
      </c>
      <c r="H8179">
        <v>9.863305E-2</v>
      </c>
      <c r="I8179">
        <v>14.401579999999999</v>
      </c>
      <c r="J8179">
        <v>-351.33679999999998</v>
      </c>
      <c r="K8179">
        <v>1.1219939999999999</v>
      </c>
      <c r="L8179">
        <v>17.855439999999899</v>
      </c>
      <c r="M8179">
        <v>0.99941270000000004</v>
      </c>
      <c r="N8179">
        <v>-1.4198830000000001E-2</v>
      </c>
      <c r="O8179">
        <v>3.1189959999999999E-2</v>
      </c>
      <c r="P8179">
        <v>0.98877969999999904</v>
      </c>
      <c r="Q8179">
        <v>0.13949339999999999</v>
      </c>
      <c r="R8179">
        <v>-5.3449900000000002E-2</v>
      </c>
      <c r="S8179">
        <v>3.0321349999999998</v>
      </c>
      <c r="T8179">
        <v>-4.3244119999999997E-2</v>
      </c>
      <c r="U8179">
        <v>-0.145813</v>
      </c>
      <c r="V8179">
        <v>8.4210980000000005E-2</v>
      </c>
      <c r="W8179">
        <v>0.15351890000000001</v>
      </c>
      <c r="X8179">
        <v>0.98455090000000001</v>
      </c>
      <c r="Y8179">
        <v>7.91513999999999E-2</v>
      </c>
      <c r="Z8179">
        <v>-1.1283910000000001E-3</v>
      </c>
      <c r="AA8179">
        <v>0.99686200000000003</v>
      </c>
      <c r="AB8179">
        <v>19</v>
      </c>
      <c r="AC8179">
        <v>71.656799999999905</v>
      </c>
      <c r="AD8179">
        <v>-1.02336095</v>
      </c>
      <c r="AE8179">
        <v>-3.4538599999999899</v>
      </c>
      <c r="AF8179">
        <v>5.6862200718392302</v>
      </c>
      <c r="AG8179">
        <v>-1.02336095</v>
      </c>
      <c r="AH8179">
        <v>71.499644336923097</v>
      </c>
      <c r="AI8179">
        <v>90.817427152691906</v>
      </c>
      <c r="AJ8179">
        <v>85.452954276825096</v>
      </c>
      <c r="AK8179">
        <v>71.732694823531304</v>
      </c>
      <c r="AL8179">
        <v>81.169092665269503</v>
      </c>
      <c r="AM8179">
        <v>85.111254220147899</v>
      </c>
      <c r="AN8179">
        <v>1.00000000825029</v>
      </c>
    </row>
    <row r="8180" spans="1:40" x14ac:dyDescent="0.25">
      <c r="A8180" t="str">
        <f>"20190303162113977"</f>
        <v>20190303162113977</v>
      </c>
      <c r="B8180" t="str">
        <f>"1551601273971004"</f>
        <v>1551601273971004</v>
      </c>
      <c r="C8180" t="s">
        <v>40</v>
      </c>
      <c r="D8180">
        <v>4.6491119999999997</v>
      </c>
      <c r="E8180">
        <v>0.50803240000000005</v>
      </c>
      <c r="F8180" t="s">
        <v>76</v>
      </c>
      <c r="G8180">
        <v>-279.68</v>
      </c>
      <c r="H8180">
        <v>0.1247299</v>
      </c>
      <c r="I8180">
        <v>14.36106</v>
      </c>
      <c r="J8180">
        <v>-351.2414</v>
      </c>
      <c r="K8180">
        <v>1.1219950000000001</v>
      </c>
      <c r="L8180">
        <v>17.85858</v>
      </c>
      <c r="M8180">
        <v>0.99940739999999995</v>
      </c>
      <c r="N8180">
        <v>-1.419642E-2</v>
      </c>
      <c r="O8180">
        <v>3.1355429999999997E-2</v>
      </c>
      <c r="P8180">
        <v>0.98878449999999996</v>
      </c>
      <c r="Q8180">
        <v>0.13928740000000001</v>
      </c>
      <c r="R8180">
        <v>-5.3892290000000002E-2</v>
      </c>
      <c r="S8180">
        <v>3.0320130000000001</v>
      </c>
      <c r="T8180">
        <v>-4.2197110000000003E-2</v>
      </c>
      <c r="U8180">
        <v>-0.14785770000000001</v>
      </c>
      <c r="V8180">
        <v>8.481677E-2</v>
      </c>
      <c r="W8180">
        <v>0.15331059999999999</v>
      </c>
      <c r="X8180">
        <v>0.9845313</v>
      </c>
      <c r="Y8180">
        <v>7.998943E-2</v>
      </c>
      <c r="Z8180">
        <v>-1.115726E-3</v>
      </c>
      <c r="AA8180">
        <v>0.99679510000000004</v>
      </c>
      <c r="AB8180">
        <v>19</v>
      </c>
      <c r="AC8180">
        <v>71.561399999999907</v>
      </c>
      <c r="AD8180">
        <v>-0.99726510000000002</v>
      </c>
      <c r="AE8180">
        <v>-3.4975200000000002</v>
      </c>
      <c r="AF8180">
        <v>5.7387528451627396</v>
      </c>
      <c r="AG8180">
        <v>-0.99726510000000002</v>
      </c>
      <c r="AH8180">
        <v>71.402694868190295</v>
      </c>
      <c r="AI8180">
        <v>90.797613360995697</v>
      </c>
      <c r="AJ8180">
        <v>85.404920450346395</v>
      </c>
      <c r="AK8180">
        <v>71.639881744300993</v>
      </c>
      <c r="AL8180">
        <v>81.181169858530197</v>
      </c>
      <c r="AM8180">
        <v>85.076160699210902</v>
      </c>
      <c r="AN8180">
        <v>0.99999995261263996</v>
      </c>
    </row>
    <row r="8181" spans="1:40" x14ac:dyDescent="0.25">
      <c r="A8181" t="str">
        <f>"20190303162113989"</f>
        <v>20190303162113989</v>
      </c>
      <c r="B8181" t="str">
        <f>"1551601273980764"</f>
        <v>1551601273980764</v>
      </c>
      <c r="C8181" t="s">
        <v>40</v>
      </c>
      <c r="D8181">
        <v>4.6251600000000002</v>
      </c>
      <c r="E8181">
        <v>0.51058669999999995</v>
      </c>
      <c r="F8181" t="s">
        <v>83</v>
      </c>
      <c r="G8181">
        <v>-279.68</v>
      </c>
      <c r="H8181">
        <v>0.20415639999999999</v>
      </c>
      <c r="I8181">
        <v>12.254899999999999</v>
      </c>
      <c r="J8181">
        <v>-351.14780000000002</v>
      </c>
      <c r="K8181">
        <v>1.1219969999999999</v>
      </c>
      <c r="L8181">
        <v>17.861689999999999</v>
      </c>
      <c r="M8181">
        <v>0.99940249999999997</v>
      </c>
      <c r="N8181">
        <v>-1.419406E-2</v>
      </c>
      <c r="O8181">
        <v>3.1517330000000003E-2</v>
      </c>
      <c r="P8181">
        <v>0.98876410000000003</v>
      </c>
      <c r="Q8181">
        <v>0.139379799999999</v>
      </c>
      <c r="R8181">
        <v>-5.4029130000000002E-2</v>
      </c>
      <c r="S8181">
        <v>3.0265810000000002</v>
      </c>
      <c r="T8181">
        <v>-3.8819069999999997E-2</v>
      </c>
      <c r="U8181">
        <v>-0.2369995</v>
      </c>
      <c r="V8181">
        <v>8.5112839999999995E-2</v>
      </c>
      <c r="W8181">
        <v>0.1534006</v>
      </c>
      <c r="X8181">
        <v>0.98449180000000003</v>
      </c>
      <c r="Y8181">
        <v>0.10943360000000001</v>
      </c>
      <c r="Z8181">
        <v>-1.435712E-3</v>
      </c>
      <c r="AA8181">
        <v>0.99399300000000002</v>
      </c>
      <c r="AB8181">
        <v>19</v>
      </c>
      <c r="AC8181">
        <v>71.467799999999997</v>
      </c>
      <c r="AD8181">
        <v>-0.91784060000000001</v>
      </c>
      <c r="AE8181">
        <v>-5.6067900000000002</v>
      </c>
      <c r="AF8181">
        <v>7.8554172902750397</v>
      </c>
      <c r="AG8181">
        <v>-0.91784060000000001</v>
      </c>
      <c r="AH8181">
        <v>71.243880450221496</v>
      </c>
      <c r="AI8181">
        <v>90.733659508238603</v>
      </c>
      <c r="AJ8181">
        <v>83.707929860654502</v>
      </c>
      <c r="AK8181">
        <v>71.681521424819195</v>
      </c>
      <c r="AL8181">
        <v>81.175952127273405</v>
      </c>
      <c r="AM8181">
        <v>85.058860725641694</v>
      </c>
      <c r="AN8181">
        <v>1.0000000219402301</v>
      </c>
    </row>
    <row r="8182" spans="1:40" x14ac:dyDescent="0.25">
      <c r="A8182" t="str">
        <f>"20190303162114000"</f>
        <v>20190303162114000</v>
      </c>
      <c r="B8182" t="str">
        <f>"1551601273990525"</f>
        <v>1551601273990525</v>
      </c>
      <c r="C8182" t="s">
        <v>40</v>
      </c>
      <c r="D8182">
        <v>4.6470630000000002</v>
      </c>
      <c r="E8182">
        <v>0.51189180000000001</v>
      </c>
      <c r="F8182" t="s">
        <v>44</v>
      </c>
      <c r="G8182">
        <v>-275.76330000000002</v>
      </c>
      <c r="H8182">
        <v>-0.05</v>
      </c>
      <c r="I8182">
        <v>11.44041</v>
      </c>
      <c r="J8182">
        <v>-351.05119999999999</v>
      </c>
      <c r="K8182">
        <v>1.121993</v>
      </c>
      <c r="L8182">
        <v>17.864929999999902</v>
      </c>
      <c r="M8182">
        <v>0.99939730000000004</v>
      </c>
      <c r="N8182">
        <v>-1.419166E-2</v>
      </c>
      <c r="O8182">
        <v>3.1684400000000001E-2</v>
      </c>
      <c r="P8182">
        <v>0.98871100000000001</v>
      </c>
      <c r="Q8182">
        <v>0.13960129999999901</v>
      </c>
      <c r="R8182">
        <v>-5.4428589999999999E-2</v>
      </c>
      <c r="S8182">
        <v>3.026672</v>
      </c>
      <c r="T8182">
        <v>-4.7055479999999997E-2</v>
      </c>
      <c r="U8182">
        <v>-0.2578125</v>
      </c>
      <c r="V8182">
        <v>8.5675310000000005E-2</v>
      </c>
      <c r="W8182">
        <v>0.15361830000000001</v>
      </c>
      <c r="X8182">
        <v>0.98440899999999998</v>
      </c>
      <c r="Y8182">
        <v>0.1163766</v>
      </c>
      <c r="Z8182">
        <v>-1.7733919999999999E-3</v>
      </c>
      <c r="AA8182">
        <v>0.99320359999999996</v>
      </c>
      <c r="AB8182">
        <v>19</v>
      </c>
      <c r="AC8182">
        <v>75.287899999999894</v>
      </c>
      <c r="AD8182">
        <v>-1.1719930000000001</v>
      </c>
      <c r="AE8182">
        <v>-6.4245199999999896</v>
      </c>
      <c r="AF8182">
        <v>8.8048674016375603</v>
      </c>
      <c r="AG8182">
        <v>-1.1719930000000001</v>
      </c>
      <c r="AH8182">
        <v>75.028464661833794</v>
      </c>
      <c r="AI8182">
        <v>90.888825751518795</v>
      </c>
      <c r="AJ8182">
        <v>83.306742915405707</v>
      </c>
      <c r="AK8182">
        <v>75.552430583433306</v>
      </c>
      <c r="AL8182">
        <v>81.1633286680716</v>
      </c>
      <c r="AM8182">
        <v>85.025954118782394</v>
      </c>
      <c r="AN8182">
        <v>0.99999996005974201</v>
      </c>
    </row>
    <row r="8183" spans="1:40" x14ac:dyDescent="0.25">
      <c r="A8183" t="str">
        <f>"20190303162114012"</f>
        <v>20190303162114012</v>
      </c>
      <c r="B8183" t="str">
        <f>"1551601274001261"</f>
        <v>1551601274001261</v>
      </c>
      <c r="C8183" t="s">
        <v>40</v>
      </c>
      <c r="D8183">
        <v>4.6604590000000004</v>
      </c>
      <c r="E8183">
        <v>0.51315500000000003</v>
      </c>
      <c r="F8183" t="s">
        <v>44</v>
      </c>
      <c r="G8183">
        <v>-281.91140000000001</v>
      </c>
      <c r="H8183">
        <v>-0.05</v>
      </c>
      <c r="I8183">
        <v>11.71341</v>
      </c>
      <c r="J8183">
        <v>-350.9529</v>
      </c>
      <c r="K8183">
        <v>1.121993</v>
      </c>
      <c r="L8183">
        <v>17.868230000000001</v>
      </c>
      <c r="M8183">
        <v>0.9993919</v>
      </c>
      <c r="N8183">
        <v>-1.4189230000000001E-2</v>
      </c>
      <c r="O8183">
        <v>3.1854279999999999E-2</v>
      </c>
      <c r="P8183">
        <v>0.98865239999999999</v>
      </c>
      <c r="Q8183">
        <v>0.139917299999999</v>
      </c>
      <c r="R8183">
        <v>-5.4679619999999998E-2</v>
      </c>
      <c r="S8183">
        <v>3.0266419999999998</v>
      </c>
      <c r="T8183">
        <v>-5.1304820000000001E-2</v>
      </c>
      <c r="U8183">
        <v>-0.269287099999999</v>
      </c>
      <c r="V8183">
        <v>8.6092169999999996E-2</v>
      </c>
      <c r="W8183">
        <v>0.15393119999999999</v>
      </c>
      <c r="X8183">
        <v>0.98432379999999997</v>
      </c>
      <c r="Y8183">
        <v>0.1202776</v>
      </c>
      <c r="Z8183">
        <v>-1.960467E-3</v>
      </c>
      <c r="AA8183">
        <v>0.99273840000000002</v>
      </c>
      <c r="AB8183">
        <v>19</v>
      </c>
      <c r="AC8183">
        <v>69.0414999999999</v>
      </c>
      <c r="AD8183">
        <v>-1.1719930000000001</v>
      </c>
      <c r="AE8183">
        <v>-6.1548199999999902</v>
      </c>
      <c r="AF8183">
        <v>8.3487976281698995</v>
      </c>
      <c r="AG8183">
        <v>-1.1719930000000001</v>
      </c>
      <c r="AH8183">
        <v>68.790712687554603</v>
      </c>
      <c r="AI8183">
        <v>90.968949831913605</v>
      </c>
      <c r="AJ8183">
        <v>83.080130068708996</v>
      </c>
      <c r="AK8183">
        <v>69.305397636041704</v>
      </c>
      <c r="AL8183">
        <v>81.145185458665694</v>
      </c>
      <c r="AM8183">
        <v>85.001444371827205</v>
      </c>
      <c r="AN8183">
        <v>1.0000000096575901</v>
      </c>
    </row>
    <row r="8184" spans="1:40" x14ac:dyDescent="0.25">
      <c r="A8184" t="str">
        <f>"20190303162114022"</f>
        <v>20190303162114022</v>
      </c>
      <c r="B8184" t="str">
        <f>"1551601274011020"</f>
        <v>1551601274011020</v>
      </c>
      <c r="C8184" t="s">
        <v>40</v>
      </c>
      <c r="D8184">
        <v>4.646852</v>
      </c>
      <c r="E8184">
        <v>0.51315500000000003</v>
      </c>
      <c r="F8184" t="s">
        <v>44</v>
      </c>
      <c r="G8184">
        <v>-287.4067</v>
      </c>
      <c r="H8184">
        <v>-0.05</v>
      </c>
      <c r="I8184">
        <v>11.99507</v>
      </c>
      <c r="J8184">
        <v>-350.8612</v>
      </c>
      <c r="K8184">
        <v>1.1219939999999999</v>
      </c>
      <c r="L8184">
        <v>17.87134</v>
      </c>
      <c r="M8184">
        <v>0.99938680000000002</v>
      </c>
      <c r="N8184">
        <v>-1.418698E-2</v>
      </c>
      <c r="O8184">
        <v>3.2012350000000002E-2</v>
      </c>
      <c r="P8184">
        <v>0.98862640000000002</v>
      </c>
      <c r="Q8184">
        <v>0.14006729999999901</v>
      </c>
      <c r="R8184">
        <v>-5.4767339999999998E-2</v>
      </c>
      <c r="S8184">
        <v>3.0268860000000002</v>
      </c>
      <c r="T8184">
        <v>-5.5825350000000003E-2</v>
      </c>
      <c r="U8184">
        <v>-0.27975460000000002</v>
      </c>
      <c r="V8184">
        <v>8.6335110000000007E-2</v>
      </c>
      <c r="W8184">
        <v>0.15407770000000001</v>
      </c>
      <c r="X8184">
        <v>0.98427960000000003</v>
      </c>
      <c r="Y8184">
        <v>0.1238262</v>
      </c>
      <c r="Z8184">
        <v>-2.155901E-3</v>
      </c>
      <c r="AA8184">
        <v>0.99230160000000001</v>
      </c>
      <c r="AB8184">
        <v>19</v>
      </c>
      <c r="AC8184">
        <v>63.454500000000003</v>
      </c>
      <c r="AD8184">
        <v>-1.171994</v>
      </c>
      <c r="AE8184">
        <v>-5.8762699999999999</v>
      </c>
      <c r="AF8184">
        <v>7.9021169631641799</v>
      </c>
      <c r="AG8184">
        <v>-1.171994</v>
      </c>
      <c r="AH8184">
        <v>63.212458583157797</v>
      </c>
      <c r="AI8184">
        <v>91.053972267551202</v>
      </c>
      <c r="AJ8184">
        <v>82.874484197608993</v>
      </c>
      <c r="AK8184">
        <v>63.715241053950301</v>
      </c>
      <c r="AL8184">
        <v>81.136690283189196</v>
      </c>
      <c r="AM8184">
        <v>84.987186964737504</v>
      </c>
      <c r="AN8184">
        <v>1.00000000991608</v>
      </c>
    </row>
    <row r="8185" spans="1:40" x14ac:dyDescent="0.25">
      <c r="A8185" t="str">
        <f>"20190303162114034"</f>
        <v>20190303162114034</v>
      </c>
      <c r="B8185" t="str">
        <f>"1551601274020781"</f>
        <v>1551601274020781</v>
      </c>
      <c r="C8185" t="s">
        <v>40</v>
      </c>
      <c r="D8185">
        <v>4.6075359999999996</v>
      </c>
      <c r="E8185">
        <v>0.52080059999999995</v>
      </c>
      <c r="F8185" t="s">
        <v>44</v>
      </c>
      <c r="G8185">
        <v>-286.93669999999997</v>
      </c>
      <c r="H8185">
        <v>-0.05</v>
      </c>
      <c r="I8185">
        <v>11.96959</v>
      </c>
      <c r="J8185">
        <v>-350.77050000000003</v>
      </c>
      <c r="K8185">
        <v>1.121996</v>
      </c>
      <c r="L8185">
        <v>17.874420000000001</v>
      </c>
      <c r="M8185">
        <v>0.99938179999999999</v>
      </c>
      <c r="N8185">
        <v>-1.418468E-2</v>
      </c>
      <c r="O8185">
        <v>3.2168450000000001E-2</v>
      </c>
      <c r="P8185">
        <v>0.98856040000000001</v>
      </c>
      <c r="Q8185">
        <v>0.1403623</v>
      </c>
      <c r="R8185">
        <v>-5.5197990000000002E-2</v>
      </c>
      <c r="S8185">
        <v>3.0268549999999999</v>
      </c>
      <c r="T8185">
        <v>-5.5494429999999997E-2</v>
      </c>
      <c r="U8185">
        <v>-0.27944950000000002</v>
      </c>
      <c r="V8185">
        <v>8.6917649999999999E-2</v>
      </c>
      <c r="W8185">
        <v>0.15436929999999999</v>
      </c>
      <c r="X8185">
        <v>0.98418260000000002</v>
      </c>
      <c r="Y8185">
        <v>0.123883199999999</v>
      </c>
      <c r="Z8185">
        <v>-2.1471789999999999E-3</v>
      </c>
      <c r="AA8185">
        <v>0.99229449999999997</v>
      </c>
      <c r="AB8185">
        <v>19</v>
      </c>
      <c r="AC8185">
        <v>63.833799999999997</v>
      </c>
      <c r="AD8185">
        <v>-1.17199599999999</v>
      </c>
      <c r="AE8185">
        <v>-5.9048299999999996</v>
      </c>
      <c r="AF8185">
        <v>7.9527563463942501</v>
      </c>
      <c r="AG8185">
        <v>-1.17199599999999</v>
      </c>
      <c r="AH8185">
        <v>63.589534781186998</v>
      </c>
      <c r="AI8185">
        <v>91.047718457345098</v>
      </c>
      <c r="AJ8185">
        <v>82.8713778050641</v>
      </c>
      <c r="AK8185">
        <v>64.095622641619798</v>
      </c>
      <c r="AL8185">
        <v>81.119780207519796</v>
      </c>
      <c r="AM8185">
        <v>84.953042636316198</v>
      </c>
      <c r="AN8185">
        <v>0.99999997440338595</v>
      </c>
    </row>
    <row r="8186" spans="1:40" x14ac:dyDescent="0.25">
      <c r="A8186" t="str">
        <f>"20190303162114046"</f>
        <v>20190303162114046</v>
      </c>
      <c r="B8186" t="str">
        <f>"1551601274041277"</f>
        <v>1551601274041277</v>
      </c>
      <c r="C8186" t="s">
        <v>40</v>
      </c>
      <c r="D8186">
        <v>4.8355030000000001</v>
      </c>
      <c r="E8186">
        <v>0.52106009999999903</v>
      </c>
      <c r="F8186" t="s">
        <v>41</v>
      </c>
      <c r="G8186">
        <v>-324.09530000000001</v>
      </c>
      <c r="H8186" s="1">
        <v>-3.6149750000000001E-6</v>
      </c>
      <c r="I8186">
        <v>14.86206</v>
      </c>
      <c r="J8186">
        <v>-350.6696</v>
      </c>
      <c r="K8186">
        <v>1.1219950000000001</v>
      </c>
      <c r="L8186">
        <v>17.877870000000001</v>
      </c>
      <c r="M8186">
        <v>0.9993763</v>
      </c>
      <c r="N8186">
        <v>-1.41821E-2</v>
      </c>
      <c r="O8186">
        <v>3.234153E-2</v>
      </c>
      <c r="P8186">
        <v>0.98858049999999997</v>
      </c>
      <c r="Q8186">
        <v>0.1401838</v>
      </c>
      <c r="R8186">
        <v>-5.5295509999999999E-2</v>
      </c>
      <c r="S8186">
        <v>3.033722</v>
      </c>
      <c r="T8186">
        <v>-0.1276031</v>
      </c>
      <c r="U8186">
        <v>-0.34259030000000001</v>
      </c>
      <c r="V8186">
        <v>8.7187009999999995E-2</v>
      </c>
      <c r="W8186">
        <v>0.1541884</v>
      </c>
      <c r="X8186">
        <v>0.98418720000000004</v>
      </c>
      <c r="Y8186">
        <v>0.14411470000000001</v>
      </c>
      <c r="Z8186">
        <v>-4.9446450000000001E-3</v>
      </c>
      <c r="AA8186">
        <v>0.9895486</v>
      </c>
      <c r="AB8186">
        <v>19</v>
      </c>
      <c r="AC8186">
        <v>26.574299999999901</v>
      </c>
      <c r="AD8186">
        <v>-1.1219986149750001</v>
      </c>
      <c r="AE8186">
        <v>-3.0158099999999899</v>
      </c>
      <c r="AF8186">
        <v>3.8669662491519698</v>
      </c>
      <c r="AG8186">
        <v>-1.1219986149750001</v>
      </c>
      <c r="AH8186">
        <v>26.4163580358051</v>
      </c>
      <c r="AI8186">
        <v>92.406481403541704</v>
      </c>
      <c r="AJ8186">
        <v>81.671891219110094</v>
      </c>
      <c r="AK8186">
        <v>26.721457309434498</v>
      </c>
      <c r="AL8186">
        <v>81.130271207994696</v>
      </c>
      <c r="AM8186">
        <v>84.937506679821496</v>
      </c>
      <c r="AN8186">
        <v>1.0000000410255601</v>
      </c>
    </row>
    <row r="8187" spans="1:40" x14ac:dyDescent="0.25">
      <c r="A8187" t="str">
        <f>"20190303162114057"</f>
        <v>20190303162114057</v>
      </c>
      <c r="B8187" t="str">
        <f>"1551601274051036"</f>
        <v>1551601274051036</v>
      </c>
      <c r="C8187" t="s">
        <v>40</v>
      </c>
      <c r="D8187">
        <v>4.696053</v>
      </c>
      <c r="E8187">
        <v>0.52109939999999999</v>
      </c>
      <c r="F8187" t="s">
        <v>41</v>
      </c>
      <c r="G8187">
        <v>-322.7473</v>
      </c>
      <c r="H8187" s="1">
        <v>-4.2803180000000004E-6</v>
      </c>
      <c r="I8187">
        <v>14.703569999999999</v>
      </c>
      <c r="J8187">
        <v>-350.56699999999898</v>
      </c>
      <c r="K8187">
        <v>1.121993</v>
      </c>
      <c r="L8187">
        <v>17.88138</v>
      </c>
      <c r="M8187">
        <v>0.9993706</v>
      </c>
      <c r="N8187">
        <v>-1.4179489999999999E-2</v>
      </c>
      <c r="O8187">
        <v>3.251718E-2</v>
      </c>
      <c r="P8187">
        <v>0.98864169999999996</v>
      </c>
      <c r="Q8187">
        <v>0.139709</v>
      </c>
      <c r="R8187">
        <v>-5.5399820000000002E-2</v>
      </c>
      <c r="S8187">
        <v>3.0326230000000001</v>
      </c>
      <c r="T8187">
        <v>-0.1218593</v>
      </c>
      <c r="U8187">
        <v>-0.34475709999999998</v>
      </c>
      <c r="V8187">
        <v>8.7467199999999995E-2</v>
      </c>
      <c r="W8187">
        <v>0.1537116</v>
      </c>
      <c r="X8187">
        <v>0.98423689999999997</v>
      </c>
      <c r="Y8187">
        <v>0.14504010000000001</v>
      </c>
      <c r="Z8187">
        <v>-4.7787430000000002E-3</v>
      </c>
      <c r="AA8187">
        <v>0.98941429999999997</v>
      </c>
      <c r="AB8187">
        <v>19</v>
      </c>
      <c r="AC8187">
        <v>27.819699999999902</v>
      </c>
      <c r="AD8187">
        <v>-1.1219972803180001</v>
      </c>
      <c r="AE8187">
        <v>-3.1778099999999898</v>
      </c>
      <c r="AF8187">
        <v>4.0742964390849501</v>
      </c>
      <c r="AG8187">
        <v>-1.1219972803180001</v>
      </c>
      <c r="AH8187">
        <v>27.657233921392798</v>
      </c>
      <c r="AI8187">
        <v>92.298320942939299</v>
      </c>
      <c r="AJ8187">
        <v>81.619806035994699</v>
      </c>
      <c r="AK8187">
        <v>27.978230064698899</v>
      </c>
      <c r="AL8187">
        <v>81.157919262511697</v>
      </c>
      <c r="AM8187">
        <v>84.921577573554003</v>
      </c>
      <c r="AN8187">
        <v>1.0000000211860001</v>
      </c>
    </row>
    <row r="8188" spans="1:40" x14ac:dyDescent="0.25">
      <c r="A8188" t="str">
        <f>"20190303162114071"</f>
        <v>20190303162114071</v>
      </c>
      <c r="B8188" t="str">
        <f>"1551601274060796"</f>
        <v>1551601274060796</v>
      </c>
      <c r="C8188" t="s">
        <v>40</v>
      </c>
      <c r="D8188">
        <v>4.6940099999999996</v>
      </c>
      <c r="E8188">
        <v>0.52123189999999997</v>
      </c>
      <c r="F8188" t="s">
        <v>41</v>
      </c>
      <c r="G8188">
        <v>-321.23649999999998</v>
      </c>
      <c r="H8188" s="1">
        <v>-5.0229520000000004E-6</v>
      </c>
      <c r="I8188">
        <v>14.54316</v>
      </c>
      <c r="J8188">
        <v>-350.46280000000002</v>
      </c>
      <c r="K8188">
        <v>1.1219859999999999</v>
      </c>
      <c r="L8188">
        <v>17.884979999999999</v>
      </c>
      <c r="M8188">
        <v>0.99936499999999995</v>
      </c>
      <c r="N8188">
        <v>-1.4176909999999999E-2</v>
      </c>
      <c r="O8188">
        <v>3.2694920000000002E-2</v>
      </c>
      <c r="P8188">
        <v>0.98867959999999999</v>
      </c>
      <c r="Q8188">
        <v>0.13938809999999999</v>
      </c>
      <c r="R8188">
        <v>-5.5533069999999997E-2</v>
      </c>
      <c r="S8188">
        <v>3.031555</v>
      </c>
      <c r="T8188">
        <v>-0.1159678</v>
      </c>
      <c r="U8188">
        <v>-0.3450317</v>
      </c>
      <c r="V8188">
        <v>8.7777350000000004E-2</v>
      </c>
      <c r="W8188">
        <v>0.15338840000000001</v>
      </c>
      <c r="X8188">
        <v>0.98425969999999996</v>
      </c>
      <c r="Y8188">
        <v>0.14535770000000001</v>
      </c>
      <c r="Z8188">
        <v>-4.5893599999999998E-3</v>
      </c>
      <c r="AA8188">
        <v>0.98936860000000004</v>
      </c>
      <c r="AB8188">
        <v>19</v>
      </c>
      <c r="AC8188">
        <v>29.226299999999998</v>
      </c>
      <c r="AD8188">
        <v>-1.121991022952</v>
      </c>
      <c r="AE8188">
        <v>-3.34181999999999</v>
      </c>
      <c r="AF8188">
        <v>4.2894403629504199</v>
      </c>
      <c r="AG8188">
        <v>-1.121991022952</v>
      </c>
      <c r="AH8188">
        <v>29.059126443189601</v>
      </c>
      <c r="AI8188">
        <v>92.187448230028096</v>
      </c>
      <c r="AJ8188">
        <v>81.603160929005</v>
      </c>
      <c r="AK8188">
        <v>29.395424680112601</v>
      </c>
      <c r="AL8188">
        <v>81.176659407943106</v>
      </c>
      <c r="AM8188">
        <v>84.903782089518202</v>
      </c>
      <c r="AN8188">
        <v>1.00000001073583</v>
      </c>
    </row>
    <row r="8189" spans="1:40" x14ac:dyDescent="0.25">
      <c r="A8189" t="str">
        <f>"20190303162114090"</f>
        <v>20190303162114090</v>
      </c>
      <c r="B8189" t="str">
        <f>"1551601274080316"</f>
        <v>1551601274080316</v>
      </c>
      <c r="C8189" t="s">
        <v>40</v>
      </c>
      <c r="D8189">
        <v>4.7155079999999998</v>
      </c>
      <c r="E8189">
        <v>0.52104150000000005</v>
      </c>
      <c r="F8189" t="s">
        <v>41</v>
      </c>
      <c r="G8189">
        <v>-320.21559999999999</v>
      </c>
      <c r="H8189" s="1">
        <v>-5.5260199999999998E-6</v>
      </c>
      <c r="I8189">
        <v>14.427490000000001</v>
      </c>
      <c r="J8189">
        <v>-350.31279999999998</v>
      </c>
      <c r="K8189">
        <v>1.121977</v>
      </c>
      <c r="L8189">
        <v>17.890170000000001</v>
      </c>
      <c r="M8189">
        <v>0.99935660000000004</v>
      </c>
      <c r="N8189">
        <v>-1.417326E-2</v>
      </c>
      <c r="O8189">
        <v>3.2950199999999902E-2</v>
      </c>
      <c r="P8189">
        <v>0.98883089999999996</v>
      </c>
      <c r="Q8189">
        <v>0.13821829999999999</v>
      </c>
      <c r="R8189">
        <v>-5.5762220000000001E-2</v>
      </c>
      <c r="S8189">
        <v>3.0307309999999998</v>
      </c>
      <c r="T8189">
        <v>-0.1124222</v>
      </c>
      <c r="U8189">
        <v>-0.34643550000000001</v>
      </c>
      <c r="V8189">
        <v>8.8264350000000005E-2</v>
      </c>
      <c r="W8189">
        <v>0.1522164</v>
      </c>
      <c r="X8189">
        <v>0.98439810000000005</v>
      </c>
      <c r="Y8189">
        <v>0.14610049999999999</v>
      </c>
      <c r="Z8189">
        <v>-4.4922979999999996E-3</v>
      </c>
      <c r="AA8189">
        <v>0.98925949999999996</v>
      </c>
      <c r="AB8189">
        <v>19</v>
      </c>
      <c r="AC8189">
        <v>30.097199999999901</v>
      </c>
      <c r="AD8189">
        <v>-1.12198252602</v>
      </c>
      <c r="AE8189">
        <v>-3.4626800000000002</v>
      </c>
      <c r="AF8189">
        <v>4.44650907181253</v>
      </c>
      <c r="AG8189">
        <v>-1.12198252602</v>
      </c>
      <c r="AH8189">
        <v>29.925701969037199</v>
      </c>
      <c r="AI8189">
        <v>92.123848284680406</v>
      </c>
      <c r="AJ8189">
        <v>81.548542854371703</v>
      </c>
      <c r="AK8189">
        <v>30.275038002520201</v>
      </c>
      <c r="AL8189">
        <v>81.244608115042496</v>
      </c>
      <c r="AM8189">
        <v>84.876374356993296</v>
      </c>
      <c r="AN8189">
        <v>1.0000000235967399</v>
      </c>
    </row>
    <row r="8190" spans="1:40" x14ac:dyDescent="0.25">
      <c r="A8190" t="str">
        <f>"20190303162114104"</f>
        <v>20190303162114104</v>
      </c>
      <c r="B8190" t="str">
        <f>"1551601274091052"</f>
        <v>1551601274091052</v>
      </c>
      <c r="C8190" t="s">
        <v>40</v>
      </c>
      <c r="D8190">
        <v>4.7144199999999996</v>
      </c>
      <c r="E8190">
        <v>0.52103500000000003</v>
      </c>
      <c r="F8190" t="s">
        <v>41</v>
      </c>
      <c r="G8190">
        <v>-321.75040000000001</v>
      </c>
      <c r="H8190" s="1">
        <v>-4.7639070000000002E-6</v>
      </c>
      <c r="I8190">
        <v>14.63391</v>
      </c>
      <c r="J8190">
        <v>-350.18119999999999</v>
      </c>
      <c r="K8190">
        <v>1.1219699999999999</v>
      </c>
      <c r="L8190">
        <v>17.894739999999999</v>
      </c>
      <c r="M8190">
        <v>0.99934920000000005</v>
      </c>
      <c r="N8190">
        <v>-1.417001E-2</v>
      </c>
      <c r="O8190">
        <v>3.3173359999999999E-2</v>
      </c>
      <c r="P8190">
        <v>0.98891430000000002</v>
      </c>
      <c r="Q8190">
        <v>0.13755410000000001</v>
      </c>
      <c r="R8190">
        <v>-5.5925679999999998E-2</v>
      </c>
      <c r="S8190">
        <v>3.0310060000000001</v>
      </c>
      <c r="T8190">
        <v>-0.1190634</v>
      </c>
      <c r="U8190">
        <v>-0.34555049999999998</v>
      </c>
      <c r="V8190">
        <v>8.8651199999999999E-2</v>
      </c>
      <c r="W8190">
        <v>0.15154999999999999</v>
      </c>
      <c r="X8190">
        <v>0.98446610000000001</v>
      </c>
      <c r="Y8190">
        <v>0.14601020000000001</v>
      </c>
      <c r="Z8190">
        <v>-4.7263729999999999E-3</v>
      </c>
      <c r="AA8190">
        <v>0.98927180000000003</v>
      </c>
      <c r="AB8190">
        <v>19</v>
      </c>
      <c r="AC8190">
        <v>28.430799999999898</v>
      </c>
      <c r="AD8190">
        <v>-1.1219747639069999</v>
      </c>
      <c r="AE8190">
        <v>-3.2608299999999901</v>
      </c>
      <c r="AF8190">
        <v>4.1958251906323802</v>
      </c>
      <c r="AG8190">
        <v>-1.1219747639069999</v>
      </c>
      <c r="AH8190">
        <v>28.2635204857581</v>
      </c>
      <c r="AI8190">
        <v>92.2486547233501</v>
      </c>
      <c r="AJ8190">
        <v>81.555898909427199</v>
      </c>
      <c r="AK8190">
        <v>28.5952857417102</v>
      </c>
      <c r="AL8190">
        <v>81.283237719508904</v>
      </c>
      <c r="AM8190">
        <v>84.8543920852902</v>
      </c>
      <c r="AN8190">
        <v>0.99999996990532403</v>
      </c>
    </row>
    <row r="8191" spans="1:40" x14ac:dyDescent="0.25">
      <c r="A8191" t="str">
        <f>"20190303162114119"</f>
        <v>20190303162114119</v>
      </c>
      <c r="B8191" t="str">
        <f>"1551601274110573"</f>
        <v>1551601274110573</v>
      </c>
      <c r="C8191" t="s">
        <v>40</v>
      </c>
      <c r="D8191">
        <v>4.7289379999999896</v>
      </c>
      <c r="E8191">
        <v>0.52097590000000005</v>
      </c>
      <c r="F8191" t="s">
        <v>41</v>
      </c>
      <c r="G8191">
        <v>-322.21370000000002</v>
      </c>
      <c r="H8191" s="1">
        <v>-4.5325820000000004E-6</v>
      </c>
      <c r="I8191">
        <v>14.70349</v>
      </c>
      <c r="J8191">
        <v>-350.06240000000003</v>
      </c>
      <c r="K8191">
        <v>1.121966</v>
      </c>
      <c r="L8191">
        <v>17.89893</v>
      </c>
      <c r="M8191">
        <v>0.99934250000000002</v>
      </c>
      <c r="N8191">
        <v>-1.41670999999999E-2</v>
      </c>
      <c r="O8191">
        <v>3.3374109999999998E-2</v>
      </c>
      <c r="P8191">
        <v>0.98897760000000001</v>
      </c>
      <c r="Q8191">
        <v>0.13702629999999999</v>
      </c>
      <c r="R8191">
        <v>-5.6100810000000001E-2</v>
      </c>
      <c r="S8191">
        <v>3.0310060000000001</v>
      </c>
      <c r="T8191">
        <v>-0.1215951</v>
      </c>
      <c r="U8191">
        <v>-0.34585569999999999</v>
      </c>
      <c r="V8191">
        <v>8.902678E-2</v>
      </c>
      <c r="W8191">
        <v>0.15102019999999999</v>
      </c>
      <c r="X8191">
        <v>0.98451359999999999</v>
      </c>
      <c r="Y8191">
        <v>0.1463005</v>
      </c>
      <c r="Z8191">
        <v>-4.8276389999999999E-3</v>
      </c>
      <c r="AA8191">
        <v>0.98922840000000001</v>
      </c>
      <c r="AB8191">
        <v>19</v>
      </c>
      <c r="AC8191">
        <v>27.848700000000001</v>
      </c>
      <c r="AD8191">
        <v>-1.121970532582</v>
      </c>
      <c r="AE8191">
        <v>-3.1954400000000001</v>
      </c>
      <c r="AF8191">
        <v>4.1165835142486698</v>
      </c>
      <c r="AG8191">
        <v>-1.121970532582</v>
      </c>
      <c r="AH8191">
        <v>27.682179647238801</v>
      </c>
      <c r="AI8191">
        <v>92.2957340032128</v>
      </c>
      <c r="AJ8191">
        <v>81.541600850945599</v>
      </c>
      <c r="AK8191">
        <v>28.009072596709899</v>
      </c>
      <c r="AL8191">
        <v>81.313946289781498</v>
      </c>
      <c r="AM8191">
        <v>84.832957909679095</v>
      </c>
      <c r="AN8191">
        <v>0.999999948475082</v>
      </c>
    </row>
    <row r="8192" spans="1:40" x14ac:dyDescent="0.25">
      <c r="A8192" t="str">
        <f>"20190303162114133"</f>
        <v>20190303162114133</v>
      </c>
      <c r="B8192" t="str">
        <f>"1551601274121309"</f>
        <v>1551601274121309</v>
      </c>
      <c r="C8192" t="s">
        <v>40</v>
      </c>
      <c r="D8192">
        <v>4.739109</v>
      </c>
      <c r="E8192">
        <v>0.52097590000000005</v>
      </c>
      <c r="F8192" t="s">
        <v>41</v>
      </c>
      <c r="G8192">
        <v>-323.12520000000001</v>
      </c>
      <c r="H8192" s="1">
        <v>-4.0800659999999996E-6</v>
      </c>
      <c r="I8192">
        <v>14.82527</v>
      </c>
      <c r="J8192">
        <v>-349.94029999999998</v>
      </c>
      <c r="K8192">
        <v>1.121956</v>
      </c>
      <c r="L8192">
        <v>17.90326</v>
      </c>
      <c r="M8192">
        <v>0.99933570000000005</v>
      </c>
      <c r="N8192">
        <v>-1.416413E-2</v>
      </c>
      <c r="O8192">
        <v>3.3580279999999997E-2</v>
      </c>
      <c r="P8192">
        <v>0.98907610000000001</v>
      </c>
      <c r="Q8192">
        <v>0.13619579999999901</v>
      </c>
      <c r="R8192">
        <v>-5.638688E-2</v>
      </c>
      <c r="S8192">
        <v>3.0313110000000001</v>
      </c>
      <c r="T8192">
        <v>-0.12625829999999999</v>
      </c>
      <c r="U8192">
        <v>-0.34588619999999998</v>
      </c>
      <c r="V8192">
        <v>8.9519959999999996E-2</v>
      </c>
      <c r="W8192">
        <v>0.15018819999999999</v>
      </c>
      <c r="X8192">
        <v>0.98459620000000003</v>
      </c>
      <c r="Y8192">
        <v>0.14649089999999901</v>
      </c>
      <c r="Z8192">
        <v>-5.0012520000000003E-3</v>
      </c>
      <c r="AA8192">
        <v>0.9891993</v>
      </c>
      <c r="AB8192">
        <v>19</v>
      </c>
      <c r="AC8192">
        <v>26.815099999999902</v>
      </c>
      <c r="AD8192">
        <v>-1.1219600800659999</v>
      </c>
      <c r="AE8192">
        <v>-3.07798999999999</v>
      </c>
      <c r="AF8192">
        <v>3.96994305134946</v>
      </c>
      <c r="AG8192">
        <v>-1.1219600800659999</v>
      </c>
      <c r="AH8192">
        <v>26.6505550388237</v>
      </c>
      <c r="AI8192">
        <v>92.384389314970505</v>
      </c>
      <c r="AJ8192">
        <v>81.527359025425</v>
      </c>
      <c r="AK8192">
        <v>26.967968520628201</v>
      </c>
      <c r="AL8192">
        <v>81.362166803656393</v>
      </c>
      <c r="AM8192">
        <v>84.804923843476601</v>
      </c>
      <c r="AN8192">
        <v>0.99999999785603999</v>
      </c>
    </row>
    <row r="8193" spans="1:40" x14ac:dyDescent="0.25">
      <c r="A8193" t="str">
        <f>"20190303162114147"</f>
        <v>20190303162114147</v>
      </c>
      <c r="B8193" t="str">
        <f>"1551601274131068"</f>
        <v>1551601274131068</v>
      </c>
      <c r="C8193" t="s">
        <v>40</v>
      </c>
      <c r="D8193">
        <v>4.9557409999999997</v>
      </c>
      <c r="E8193">
        <v>0.50698969999999999</v>
      </c>
      <c r="F8193" t="s">
        <v>41</v>
      </c>
      <c r="G8193">
        <v>-323.55889999999999</v>
      </c>
      <c r="H8193" s="1">
        <v>-3.8638649999999996E-6</v>
      </c>
      <c r="I8193">
        <v>14.88836</v>
      </c>
      <c r="J8193">
        <v>-349.83300000000003</v>
      </c>
      <c r="K8193">
        <v>1.121953</v>
      </c>
      <c r="L8193">
        <v>17.907070000000001</v>
      </c>
      <c r="M8193">
        <v>0.99932949999999998</v>
      </c>
      <c r="N8193">
        <v>-1.4161389999999999E-2</v>
      </c>
      <c r="O8193">
        <v>3.3761430000000002E-2</v>
      </c>
      <c r="P8193">
        <v>0.98910299999999995</v>
      </c>
      <c r="Q8193">
        <v>0.13600770000000001</v>
      </c>
      <c r="R8193">
        <v>-5.6366890000000003E-2</v>
      </c>
      <c r="S8193">
        <v>3.031158</v>
      </c>
      <c r="T8193">
        <v>-0.12891069999999999</v>
      </c>
      <c r="U8193">
        <v>-0.34640500000000002</v>
      </c>
      <c r="V8193">
        <v>8.9679800000000004E-2</v>
      </c>
      <c r="W8193">
        <v>0.1499972</v>
      </c>
      <c r="X8193">
        <v>0.98461080000000001</v>
      </c>
      <c r="Y8193">
        <v>0.1468354</v>
      </c>
      <c r="Z8193">
        <v>-5.109298E-3</v>
      </c>
      <c r="AA8193">
        <v>0.98914769999999996</v>
      </c>
      <c r="AB8193">
        <v>19</v>
      </c>
      <c r="AC8193">
        <v>26.274100000000001</v>
      </c>
      <c r="AD8193">
        <v>-1.1219568638649999</v>
      </c>
      <c r="AE8193">
        <v>-3.01871</v>
      </c>
      <c r="AF8193">
        <v>3.8971153166191299</v>
      </c>
      <c r="AG8193">
        <v>-1.1219568638649999</v>
      </c>
      <c r="AH8193">
        <v>26.110201813437701</v>
      </c>
      <c r="AI8193">
        <v>92.433564708737507</v>
      </c>
      <c r="AJ8193">
        <v>81.510905280813105</v>
      </c>
      <c r="AK8193">
        <v>26.423265008962201</v>
      </c>
      <c r="AL8193">
        <v>81.373235940078203</v>
      </c>
      <c r="AM8193">
        <v>84.795775550616298</v>
      </c>
      <c r="AN8193">
        <v>1.0000000270062499</v>
      </c>
    </row>
    <row r="8194" spans="1:40" x14ac:dyDescent="0.25">
      <c r="A8194" t="str">
        <f>"20190303162114160"</f>
        <v>20190303162114160</v>
      </c>
      <c r="B8194" t="str">
        <f>"1551601274150589"</f>
        <v>1551601274150589</v>
      </c>
      <c r="C8194" t="s">
        <v>40</v>
      </c>
      <c r="D8194">
        <v>4.8163119999999999</v>
      </c>
      <c r="E8194">
        <v>0.50046210000000002</v>
      </c>
      <c r="F8194" t="s">
        <v>42</v>
      </c>
      <c r="G8194">
        <v>-348.95510000000002</v>
      </c>
      <c r="H8194">
        <v>1.0352440000000001</v>
      </c>
      <c r="I8194">
        <v>17.8385</v>
      </c>
      <c r="J8194">
        <v>-349.71850000000001</v>
      </c>
      <c r="K8194">
        <v>1.1219520000000001</v>
      </c>
      <c r="L8194">
        <v>17.911159999999999</v>
      </c>
      <c r="M8194">
        <v>0.99932319999999997</v>
      </c>
      <c r="N8194">
        <v>-1.4157670000000001E-2</v>
      </c>
      <c r="O8194">
        <v>3.3954440000000002E-2</v>
      </c>
      <c r="P8194">
        <v>0.98914400000000002</v>
      </c>
      <c r="Q8194">
        <v>0.13576089999999999</v>
      </c>
      <c r="R8194">
        <v>-5.6245650000000001E-2</v>
      </c>
      <c r="S8194">
        <v>3.061035</v>
      </c>
      <c r="T8194">
        <v>-0.30236410000000002</v>
      </c>
      <c r="U8194">
        <v>-0.23825070000000001</v>
      </c>
      <c r="V8194">
        <v>8.9750860000000002E-2</v>
      </c>
      <c r="W8194">
        <v>0.1497474</v>
      </c>
      <c r="X8194">
        <v>0.98464229999999997</v>
      </c>
      <c r="Y8194">
        <v>0.1106756</v>
      </c>
      <c r="Z8194">
        <v>-9.0940689999999998E-3</v>
      </c>
      <c r="AA8194">
        <v>0.993815</v>
      </c>
      <c r="AB8194">
        <v>19</v>
      </c>
      <c r="AC8194">
        <v>0.76339999999998998</v>
      </c>
      <c r="AD8194">
        <v>-8.6707999999999993E-2</v>
      </c>
      <c r="AE8194">
        <v>-7.2659999999999003E-2</v>
      </c>
      <c r="AF8194">
        <v>9.7297569663228403E-2</v>
      </c>
      <c r="AG8194">
        <v>-8.6707999999999993E-2</v>
      </c>
      <c r="AH8194">
        <v>0.75089226067092696</v>
      </c>
      <c r="AI8194">
        <v>96.532822030918993</v>
      </c>
      <c r="AJ8194">
        <v>82.616982285023497</v>
      </c>
      <c r="AK8194">
        <v>0.76211828574169904</v>
      </c>
      <c r="AL8194">
        <v>81.387711516938197</v>
      </c>
      <c r="AM8194">
        <v>84.791840230281693</v>
      </c>
      <c r="AN8194">
        <v>0.99999997981339395</v>
      </c>
    </row>
    <row r="8195" spans="1:40" x14ac:dyDescent="0.25">
      <c r="A8195" t="str">
        <f>"20190303162114174"</f>
        <v>20190303162114174</v>
      </c>
      <c r="B8195" t="str">
        <f>"1551601274160350"</f>
        <v>1551601274160350</v>
      </c>
      <c r="C8195" t="s">
        <v>40</v>
      </c>
      <c r="D8195">
        <v>4.8068600000000004</v>
      </c>
      <c r="E8195">
        <v>0.49907170000000001</v>
      </c>
      <c r="F8195" t="s">
        <v>42</v>
      </c>
      <c r="G8195">
        <v>-348.97</v>
      </c>
      <c r="H8195">
        <v>1.0072509999999999</v>
      </c>
      <c r="I8195">
        <v>17.86505</v>
      </c>
      <c r="J8195">
        <v>-349.61759999999998</v>
      </c>
      <c r="K8195">
        <v>1.121956</v>
      </c>
      <c r="L8195">
        <v>17.91479</v>
      </c>
      <c r="M8195">
        <v>0.99931729999999996</v>
      </c>
      <c r="N8195">
        <v>-1.415229E-2</v>
      </c>
      <c r="O8195">
        <v>3.4124990000000001E-2</v>
      </c>
      <c r="P8195">
        <v>0.98916859999999995</v>
      </c>
      <c r="Q8195">
        <v>0.13567679999999999</v>
      </c>
      <c r="R8195">
        <v>-5.6009290000000003E-2</v>
      </c>
      <c r="S8195">
        <v>3.0871279999999999</v>
      </c>
      <c r="T8195">
        <v>-0.47308620000000001</v>
      </c>
      <c r="U8195">
        <v>-0.1891785</v>
      </c>
      <c r="V8195">
        <v>8.9684269999999996E-2</v>
      </c>
      <c r="W8195">
        <v>0.14965780000000001</v>
      </c>
      <c r="X8195">
        <v>0.98466200000000004</v>
      </c>
      <c r="Y8195">
        <v>9.3674729999999998E-2</v>
      </c>
      <c r="Z8195">
        <v>-1.251207E-2</v>
      </c>
      <c r="AA8195">
        <v>0.99552419999999997</v>
      </c>
      <c r="AB8195">
        <v>19</v>
      </c>
      <c r="AC8195">
        <v>0.64759999999995399</v>
      </c>
      <c r="AD8195">
        <v>-0.114704999999999</v>
      </c>
      <c r="AE8195">
        <v>-4.9739999999999798E-2</v>
      </c>
      <c r="AF8195">
        <v>6.9640587039347293E-2</v>
      </c>
      <c r="AG8195">
        <v>-0.114704999999999</v>
      </c>
      <c r="AH8195">
        <v>0.626001071361449</v>
      </c>
      <c r="AI8195">
        <v>100.321090828517</v>
      </c>
      <c r="AJ8195">
        <v>83.6521313945683</v>
      </c>
      <c r="AK8195">
        <v>0.64022214092755902</v>
      </c>
      <c r="AL8195">
        <v>81.392903816303203</v>
      </c>
      <c r="AM8195">
        <v>84.795786709982707</v>
      </c>
      <c r="AN8195">
        <v>0.99999998981513605</v>
      </c>
    </row>
    <row r="8196" spans="1:40" x14ac:dyDescent="0.25">
      <c r="A8196" t="str">
        <f>"20190303162114189"</f>
        <v>20190303162114189</v>
      </c>
      <c r="B8196" t="str">
        <f>"1551601274180844"</f>
        <v>1551601274180844</v>
      </c>
      <c r="C8196" t="s">
        <v>40</v>
      </c>
      <c r="D8196">
        <v>4.8244879999999997</v>
      </c>
      <c r="E8196">
        <v>0.49690459999999897</v>
      </c>
      <c r="F8196" t="s">
        <v>42</v>
      </c>
      <c r="G8196">
        <v>-348.81729999999999</v>
      </c>
      <c r="H8196">
        <v>0.9820641</v>
      </c>
      <c r="I8196">
        <v>17.86825</v>
      </c>
      <c r="J8196">
        <v>-349.48410000000001</v>
      </c>
      <c r="K8196">
        <v>1.1219589999999999</v>
      </c>
      <c r="L8196">
        <v>17.919619999999998</v>
      </c>
      <c r="M8196">
        <v>0.99930989999999997</v>
      </c>
      <c r="N8196">
        <v>-1.4142409999999999E-2</v>
      </c>
      <c r="O8196">
        <v>3.4350350000000002E-2</v>
      </c>
      <c r="P8196">
        <v>0.98918569999999995</v>
      </c>
      <c r="Q8196">
        <v>0.1358219</v>
      </c>
      <c r="R8196">
        <v>-5.5354979999999998E-2</v>
      </c>
      <c r="S8196">
        <v>3.0969850000000001</v>
      </c>
      <c r="T8196">
        <v>-0.54137679999999999</v>
      </c>
      <c r="U8196">
        <v>-0.17895510000000001</v>
      </c>
      <c r="V8196">
        <v>8.9253360000000004E-2</v>
      </c>
      <c r="W8196">
        <v>0.14979310000000001</v>
      </c>
      <c r="X8196">
        <v>0.98468060000000002</v>
      </c>
      <c r="Y8196">
        <v>9.0037740000000005E-2</v>
      </c>
      <c r="Z8196">
        <v>-1.391969E-2</v>
      </c>
      <c r="AA8196">
        <v>0.99584110000000003</v>
      </c>
      <c r="AB8196">
        <v>19</v>
      </c>
      <c r="AC8196">
        <v>0.66680000000002304</v>
      </c>
      <c r="AD8196">
        <v>-0.13989489999999899</v>
      </c>
      <c r="AE8196">
        <v>-5.1370000000002101E-2</v>
      </c>
      <c r="AF8196">
        <v>7.1134195959835E-2</v>
      </c>
      <c r="AG8196">
        <v>-0.13989489999999899</v>
      </c>
      <c r="AH8196">
        <v>0.63677845786992104</v>
      </c>
      <c r="AI8196">
        <v>102.316314902325</v>
      </c>
      <c r="AJ8196">
        <v>83.625944074047297</v>
      </c>
      <c r="AK8196">
        <v>0.65583340970711201</v>
      </c>
      <c r="AL8196">
        <v>81.385063487369706</v>
      </c>
      <c r="AM8196">
        <v>84.820752605254</v>
      </c>
      <c r="AN8196">
        <v>1.00000000954762</v>
      </c>
    </row>
    <row r="8197" spans="1:40" x14ac:dyDescent="0.25">
      <c r="A8197" t="str">
        <f>"20190303162114201"</f>
        <v>20190303162114201</v>
      </c>
      <c r="B8197" t="str">
        <f>"1551601274190605"</f>
        <v>1551601274190605</v>
      </c>
      <c r="C8197" t="s">
        <v>40</v>
      </c>
      <c r="D8197">
        <v>4.8098580000000002</v>
      </c>
      <c r="E8197">
        <v>0.49667630000000002</v>
      </c>
      <c r="F8197" t="s">
        <v>42</v>
      </c>
      <c r="G8197">
        <v>-348.66410000000002</v>
      </c>
      <c r="H8197">
        <v>0.95879130000000001</v>
      </c>
      <c r="I8197">
        <v>17.87687</v>
      </c>
      <c r="J8197">
        <v>-349.38389999999998</v>
      </c>
      <c r="K8197">
        <v>1.121955</v>
      </c>
      <c r="L8197">
        <v>17.923249999999999</v>
      </c>
      <c r="M8197">
        <v>0.99930410000000003</v>
      </c>
      <c r="N8197">
        <v>-1.413213E-2</v>
      </c>
      <c r="O8197">
        <v>3.4520049999999997E-2</v>
      </c>
      <c r="P8197">
        <v>0.98917339999999998</v>
      </c>
      <c r="Q8197">
        <v>0.13605809999999999</v>
      </c>
      <c r="R8197">
        <v>-5.4992989999999999E-2</v>
      </c>
      <c r="S8197">
        <v>3.108673</v>
      </c>
      <c r="T8197">
        <v>-0.61861279999999996</v>
      </c>
      <c r="U8197">
        <v>-0.1617432</v>
      </c>
      <c r="V8197">
        <v>8.9058730000000003E-2</v>
      </c>
      <c r="W8197">
        <v>0.15001889999999901</v>
      </c>
      <c r="X8197">
        <v>0.98466379999999998</v>
      </c>
      <c r="Y8197">
        <v>8.4058809999999998E-2</v>
      </c>
      <c r="Z8197">
        <v>-1.5193160000000001E-2</v>
      </c>
      <c r="AA8197">
        <v>0.99634500000000004</v>
      </c>
      <c r="AB8197">
        <v>18</v>
      </c>
      <c r="AC8197">
        <v>0.71979999999996302</v>
      </c>
      <c r="AD8197">
        <v>-0.16316369999999999</v>
      </c>
      <c r="AE8197">
        <v>-4.63799999999992E-2</v>
      </c>
      <c r="AF8197">
        <v>6.7736233609534E-2</v>
      </c>
      <c r="AG8197">
        <v>-0.16316369999999999</v>
      </c>
      <c r="AH8197">
        <v>0.68282868117312101</v>
      </c>
      <c r="AI8197">
        <v>103.375702662789</v>
      </c>
      <c r="AJ8197">
        <v>84.334824117439993</v>
      </c>
      <c r="AK8197">
        <v>0.70531241175377002</v>
      </c>
      <c r="AL8197">
        <v>81.371977839178001</v>
      </c>
      <c r="AM8197">
        <v>84.8318977893137</v>
      </c>
      <c r="AN8197">
        <v>0.99999996338843</v>
      </c>
    </row>
    <row r="8198" spans="1:40" x14ac:dyDescent="0.25">
      <c r="A8198" t="str">
        <f>"20190303162114212"</f>
        <v>20190303162114212</v>
      </c>
      <c r="B8198" t="str">
        <f>"1551601274200365"</f>
        <v>1551601274200365</v>
      </c>
      <c r="C8198" t="s">
        <v>40</v>
      </c>
      <c r="D8198">
        <v>4.8609960000000001</v>
      </c>
      <c r="E8198">
        <v>0.49721579999999899</v>
      </c>
      <c r="F8198" t="s">
        <v>42</v>
      </c>
      <c r="G8198">
        <v>-348.65910000000002</v>
      </c>
      <c r="H8198">
        <v>0.96954870000000004</v>
      </c>
      <c r="I8198">
        <v>17.88608</v>
      </c>
      <c r="J8198">
        <v>-349.29649999999998</v>
      </c>
      <c r="K8198">
        <v>1.121955</v>
      </c>
      <c r="L8198">
        <v>17.926449999999999</v>
      </c>
      <c r="M8198">
        <v>0.99929920000000005</v>
      </c>
      <c r="N8198">
        <v>-1.412212E-2</v>
      </c>
      <c r="O8198">
        <v>3.4667690000000001E-2</v>
      </c>
      <c r="P8198">
        <v>0.98920249999999998</v>
      </c>
      <c r="Q8198">
        <v>0.1360075</v>
      </c>
      <c r="R8198">
        <v>-5.459642E-2</v>
      </c>
      <c r="S8198">
        <v>3.1140439999999998</v>
      </c>
      <c r="T8198">
        <v>-0.65482130000000005</v>
      </c>
      <c r="U8198">
        <v>-0.1593628</v>
      </c>
      <c r="V8198">
        <v>8.8809189999999996E-2</v>
      </c>
      <c r="W8198">
        <v>0.14995899999999901</v>
      </c>
      <c r="X8198">
        <v>0.98469549999999995</v>
      </c>
      <c r="Y8198">
        <v>8.3107280000000006E-2</v>
      </c>
      <c r="Z8198">
        <v>-1.5954590000000001E-2</v>
      </c>
      <c r="AA8198">
        <v>0.99641290000000005</v>
      </c>
      <c r="AB8198">
        <v>18</v>
      </c>
      <c r="AC8198">
        <v>0.637399999999956</v>
      </c>
      <c r="AD8198">
        <v>-0.15240629999999999</v>
      </c>
      <c r="AE8198">
        <v>-4.0369999999999302E-2</v>
      </c>
      <c r="AF8198">
        <v>5.9080853724202097E-2</v>
      </c>
      <c r="AG8198">
        <v>-0.15240629999999999</v>
      </c>
      <c r="AH8198">
        <v>0.60137291115206204</v>
      </c>
      <c r="AI8198">
        <v>104.155699335732</v>
      </c>
      <c r="AJ8198">
        <v>84.389079572681197</v>
      </c>
      <c r="AK8198">
        <v>0.62319146802886904</v>
      </c>
      <c r="AL8198">
        <v>81.375449450064295</v>
      </c>
      <c r="AM8198">
        <v>84.846465590632206</v>
      </c>
      <c r="AN8198">
        <v>1.00000000081485</v>
      </c>
    </row>
    <row r="8199" spans="1:40" x14ac:dyDescent="0.25">
      <c r="A8199" t="str">
        <f>"20190303162114224"</f>
        <v>20190303162114224</v>
      </c>
      <c r="B8199" t="str">
        <f>"1551601274220860"</f>
        <v>1551601274220860</v>
      </c>
      <c r="C8199" t="s">
        <v>40</v>
      </c>
      <c r="D8199">
        <v>4.8503339999999904</v>
      </c>
      <c r="E8199">
        <v>0.4986043</v>
      </c>
      <c r="F8199" t="s">
        <v>42</v>
      </c>
      <c r="G8199">
        <v>-348.50450000000001</v>
      </c>
      <c r="H8199">
        <v>0.9490132</v>
      </c>
      <c r="I8199">
        <v>17.884929999999901</v>
      </c>
      <c r="J8199">
        <v>-349.19150000000002</v>
      </c>
      <c r="K8199">
        <v>1.1219520000000001</v>
      </c>
      <c r="L8199">
        <v>17.930299999999999</v>
      </c>
      <c r="M8199">
        <v>0.99929310000000005</v>
      </c>
      <c r="N8199">
        <v>-1.410935E-2</v>
      </c>
      <c r="O8199">
        <v>3.4845630000000002E-2</v>
      </c>
      <c r="P8199">
        <v>0.98918810000000001</v>
      </c>
      <c r="Q8199">
        <v>0.13622229999999999</v>
      </c>
      <c r="R8199">
        <v>-5.4319289999999999E-2</v>
      </c>
      <c r="S8199">
        <v>3.1174010000000001</v>
      </c>
      <c r="T8199">
        <v>-0.68078719999999904</v>
      </c>
      <c r="U8199">
        <v>-0.16226199999999999</v>
      </c>
      <c r="V8199">
        <v>8.8707389999999997E-2</v>
      </c>
      <c r="W8199">
        <v>0.15016079999999901</v>
      </c>
      <c r="X8199">
        <v>0.98467389999999999</v>
      </c>
      <c r="Y8199">
        <v>8.3929290000000004E-2</v>
      </c>
      <c r="Z8199">
        <v>-1.6682280000000001E-2</v>
      </c>
      <c r="AA8199">
        <v>0.996332</v>
      </c>
      <c r="AB8199">
        <v>18</v>
      </c>
      <c r="AC8199">
        <v>0.68700000000001105</v>
      </c>
      <c r="AD8199">
        <v>-0.1729388</v>
      </c>
      <c r="AE8199">
        <v>-4.5370000000001902E-2</v>
      </c>
      <c r="AF8199">
        <v>6.5171881069740895E-2</v>
      </c>
      <c r="AG8199">
        <v>-0.1729388</v>
      </c>
      <c r="AH8199">
        <v>0.64434774916427096</v>
      </c>
      <c r="AI8199">
        <v>104.950913867624</v>
      </c>
      <c r="AJ8199">
        <v>84.224519278050593</v>
      </c>
      <c r="AK8199">
        <v>0.67032769932374903</v>
      </c>
      <c r="AL8199">
        <v>81.3637545439706</v>
      </c>
      <c r="AM8199">
        <v>84.852228903324004</v>
      </c>
      <c r="AN8199">
        <v>0.99999997811923003</v>
      </c>
    </row>
    <row r="8200" spans="1:40" x14ac:dyDescent="0.25">
      <c r="A8200" t="str">
        <f>"20190303162114235"</f>
        <v>20190303162114235</v>
      </c>
      <c r="B8200" t="str">
        <f>"1551601274230621"</f>
        <v>1551601274230621</v>
      </c>
      <c r="C8200" t="s">
        <v>40</v>
      </c>
      <c r="D8200">
        <v>4.8760190000000003</v>
      </c>
      <c r="E8200">
        <v>0.49941049999999998</v>
      </c>
      <c r="F8200" t="s">
        <v>42</v>
      </c>
      <c r="G8200">
        <v>-348.49759999999998</v>
      </c>
      <c r="H8200">
        <v>0.96353239999999996</v>
      </c>
      <c r="I8200">
        <v>17.891660000000002</v>
      </c>
      <c r="J8200">
        <v>-349.10050000000001</v>
      </c>
      <c r="K8200">
        <v>1.121947</v>
      </c>
      <c r="L8200">
        <v>17.933620000000001</v>
      </c>
      <c r="M8200">
        <v>0.99928790000000001</v>
      </c>
      <c r="N8200">
        <v>-1.4098319999999999E-2</v>
      </c>
      <c r="O8200">
        <v>3.49999E-2</v>
      </c>
      <c r="P8200">
        <v>0.98925560000000001</v>
      </c>
      <c r="Q8200">
        <v>0.13580590000000001</v>
      </c>
      <c r="R8200">
        <v>-5.413043E-2</v>
      </c>
      <c r="S8200">
        <v>3.1214599999999999</v>
      </c>
      <c r="T8200">
        <v>-0.7126884</v>
      </c>
      <c r="U8200">
        <v>-0.17245479999999899</v>
      </c>
      <c r="V8200">
        <v>8.8673719999999998E-2</v>
      </c>
      <c r="W8200">
        <v>0.14973420000000001</v>
      </c>
      <c r="X8200">
        <v>0.98474189999999995</v>
      </c>
      <c r="Y8200">
        <v>8.6916999999999994E-2</v>
      </c>
      <c r="Z8200">
        <v>-1.7807920000000001E-2</v>
      </c>
      <c r="AA8200">
        <v>0.99605639999999995</v>
      </c>
      <c r="AB8200">
        <v>18</v>
      </c>
      <c r="AC8200">
        <v>0.60290000000003297</v>
      </c>
      <c r="AD8200">
        <v>-0.15841459999999899</v>
      </c>
      <c r="AE8200">
        <v>-4.1959999999999498E-2</v>
      </c>
      <c r="AF8200">
        <v>5.89851288118588E-2</v>
      </c>
      <c r="AG8200">
        <v>-0.15841459999999899</v>
      </c>
      <c r="AH8200">
        <v>0.56241960464945595</v>
      </c>
      <c r="AI8200">
        <v>105.64914324647</v>
      </c>
      <c r="AJ8200">
        <v>84.012852687410401</v>
      </c>
      <c r="AK8200">
        <v>0.587273567094724</v>
      </c>
      <c r="AL8200">
        <v>81.3884764857563</v>
      </c>
      <c r="AM8200">
        <v>84.8545257428231</v>
      </c>
      <c r="AN8200">
        <v>0.99999998444194305</v>
      </c>
    </row>
    <row r="8201" spans="1:40" x14ac:dyDescent="0.25">
      <c r="A8201" t="str">
        <f>"20190303162114258"</f>
        <v>20190303162114258</v>
      </c>
      <c r="B8201" t="str">
        <f>"1551601274251116"</f>
        <v>1551601274251116</v>
      </c>
      <c r="C8201" t="s">
        <v>40</v>
      </c>
      <c r="D8201">
        <v>4.8850680000000004</v>
      </c>
      <c r="E8201">
        <v>0.50068420000000002</v>
      </c>
      <c r="F8201" t="s">
        <v>42</v>
      </c>
      <c r="G8201">
        <v>-348.34210000000002</v>
      </c>
      <c r="H8201">
        <v>0.94561930000000005</v>
      </c>
      <c r="I8201">
        <v>17.8903</v>
      </c>
      <c r="J8201">
        <v>-348.91890000000001</v>
      </c>
      <c r="K8201">
        <v>1.121939</v>
      </c>
      <c r="L8201">
        <v>17.940370000000001</v>
      </c>
      <c r="M8201">
        <v>0.99927750000000004</v>
      </c>
      <c r="N8201">
        <v>-1.4077299999999999E-2</v>
      </c>
      <c r="O8201">
        <v>3.5307039999999998E-2</v>
      </c>
      <c r="P8201">
        <v>0.98936979999999997</v>
      </c>
      <c r="Q8201">
        <v>0.13524330000000001</v>
      </c>
      <c r="R8201">
        <v>-5.3452930000000003E-2</v>
      </c>
      <c r="S8201">
        <v>3.122528</v>
      </c>
      <c r="T8201">
        <v>-0.72594449999999999</v>
      </c>
      <c r="U8201">
        <v>-0.177948</v>
      </c>
      <c r="V8201">
        <v>8.8304140000000003E-2</v>
      </c>
      <c r="W8201">
        <v>0.149151799999999</v>
      </c>
      <c r="X8201">
        <v>0.9848635</v>
      </c>
      <c r="Y8201">
        <v>8.877707E-2</v>
      </c>
      <c r="Z8201">
        <v>-1.8414420000000001E-2</v>
      </c>
      <c r="AA8201">
        <v>0.99588129999999997</v>
      </c>
      <c r="AB8201">
        <v>18</v>
      </c>
      <c r="AC8201">
        <v>0.57679999999999099</v>
      </c>
      <c r="AD8201">
        <v>-0.176319699999999</v>
      </c>
      <c r="AE8201">
        <v>-5.0070000000001599E-2</v>
      </c>
      <c r="AF8201">
        <v>6.4430298701793606E-2</v>
      </c>
      <c r="AG8201">
        <v>-0.176319699999999</v>
      </c>
      <c r="AH8201">
        <v>0.52589786407488004</v>
      </c>
      <c r="AI8201">
        <v>108.406690523889</v>
      </c>
      <c r="AJ8201">
        <v>83.015224195698707</v>
      </c>
      <c r="AK8201">
        <v>0.55839812270226397</v>
      </c>
      <c r="AL8201">
        <v>81.422224637220197</v>
      </c>
      <c r="AM8201">
        <v>84.876486277757607</v>
      </c>
      <c r="AN8201">
        <v>0.999999997108314</v>
      </c>
    </row>
    <row r="8202" spans="1:40" x14ac:dyDescent="0.25">
      <c r="A8202" t="str">
        <f>"20190303162114272"</f>
        <v>20190303162114272</v>
      </c>
      <c r="B8202" t="str">
        <f>"1551601274260877"</f>
        <v>1551601274260877</v>
      </c>
      <c r="C8202" t="s">
        <v>40</v>
      </c>
      <c r="D8202">
        <v>4.8990470000000004</v>
      </c>
      <c r="E8202">
        <v>0.50127579999999905</v>
      </c>
      <c r="F8202" t="s">
        <v>42</v>
      </c>
      <c r="G8202">
        <v>-348.17840000000001</v>
      </c>
      <c r="H8202">
        <v>0.94520950000000004</v>
      </c>
      <c r="I8202">
        <v>17.895630000000001</v>
      </c>
      <c r="J8202">
        <v>-348.80070000000001</v>
      </c>
      <c r="K8202">
        <v>1.1219349999999999</v>
      </c>
      <c r="L8202">
        <v>17.944790000000001</v>
      </c>
      <c r="M8202">
        <v>0.99927060000000001</v>
      </c>
      <c r="N8202">
        <v>-1.4063340000000001E-2</v>
      </c>
      <c r="O8202">
        <v>3.5506429999999999E-2</v>
      </c>
      <c r="P8202">
        <v>0.98941319999999999</v>
      </c>
      <c r="Q8202">
        <v>0.13508419999999999</v>
      </c>
      <c r="R8202">
        <v>-5.3045559999999999E-2</v>
      </c>
      <c r="S8202">
        <v>3.1240839999999999</v>
      </c>
      <c r="T8202">
        <v>-0.74565269999999995</v>
      </c>
      <c r="U8202">
        <v>-0.1864624</v>
      </c>
      <c r="V8202">
        <v>8.8096160000000007E-2</v>
      </c>
      <c r="W8202">
        <v>0.148979799999999</v>
      </c>
      <c r="X8202">
        <v>0.98490820000000001</v>
      </c>
      <c r="Y8202">
        <v>9.1393370000000002E-2</v>
      </c>
      <c r="Z8202">
        <v>-1.925785E-2</v>
      </c>
      <c r="AA8202">
        <v>0.99562870000000003</v>
      </c>
      <c r="AB8202">
        <v>18</v>
      </c>
      <c r="AC8202">
        <v>0.62229999999999497</v>
      </c>
      <c r="AD8202">
        <v>-0.17672550000000001</v>
      </c>
      <c r="AE8202">
        <v>-4.9160000000000502E-2</v>
      </c>
      <c r="AF8202">
        <v>6.5941683592334793E-2</v>
      </c>
      <c r="AG8202">
        <v>-0.17672550000000001</v>
      </c>
      <c r="AH8202">
        <v>0.57414484235202301</v>
      </c>
      <c r="AI8202">
        <v>107.00343331742999</v>
      </c>
      <c r="AJ8202">
        <v>83.448172818439502</v>
      </c>
      <c r="AK8202">
        <v>0.60433641954185702</v>
      </c>
      <c r="AL8202">
        <v>81.432191216938904</v>
      </c>
      <c r="AM8202">
        <v>84.888720286287494</v>
      </c>
      <c r="AN8202">
        <v>1.0000000383210099</v>
      </c>
    </row>
    <row r="8203" spans="1:40" x14ac:dyDescent="0.25">
      <c r="A8203" t="str">
        <f>"20190303162114287"</f>
        <v>20190303162114287</v>
      </c>
      <c r="B8203" t="str">
        <f>"1551601274280397"</f>
        <v>1551601274280397</v>
      </c>
      <c r="C8203" t="s">
        <v>40</v>
      </c>
      <c r="D8203">
        <v>4.846114</v>
      </c>
      <c r="E8203">
        <v>0.50215240000000005</v>
      </c>
      <c r="F8203" t="s">
        <v>42</v>
      </c>
      <c r="G8203">
        <v>-348.02030000000002</v>
      </c>
      <c r="H8203">
        <v>0.93380580000000002</v>
      </c>
      <c r="I8203">
        <v>17.89723</v>
      </c>
      <c r="J8203">
        <v>-348.6866</v>
      </c>
      <c r="K8203">
        <v>1.1219330000000001</v>
      </c>
      <c r="L8203">
        <v>17.949069999999999</v>
      </c>
      <c r="M8203">
        <v>0.99926389999999998</v>
      </c>
      <c r="N8203">
        <v>-1.404888E-2</v>
      </c>
      <c r="O8203">
        <v>3.5698729999999998E-2</v>
      </c>
      <c r="P8203">
        <v>0.98945479999999997</v>
      </c>
      <c r="Q8203">
        <v>0.13502739999999999</v>
      </c>
      <c r="R8203">
        <v>-5.2412790000000001E-2</v>
      </c>
      <c r="S8203">
        <v>3.1247859999999998</v>
      </c>
      <c r="T8203">
        <v>-0.75323960000000001</v>
      </c>
      <c r="U8203">
        <v>-0.19009400000000001</v>
      </c>
      <c r="V8203">
        <v>8.7655460000000004E-2</v>
      </c>
      <c r="W8203">
        <v>0.1489085</v>
      </c>
      <c r="X8203">
        <v>0.98495820000000001</v>
      </c>
      <c r="Y8203">
        <v>9.2612479999999997E-2</v>
      </c>
      <c r="Z8203">
        <v>-1.9638599999999999E-2</v>
      </c>
      <c r="AA8203">
        <v>0.99550859999999997</v>
      </c>
      <c r="AB8203">
        <v>18</v>
      </c>
      <c r="AC8203">
        <v>0.66629999999997802</v>
      </c>
      <c r="AD8203">
        <v>-0.188127199999999</v>
      </c>
      <c r="AE8203">
        <v>-5.18400000000021E-2</v>
      </c>
      <c r="AF8203">
        <v>7.0045017613599506E-2</v>
      </c>
      <c r="AG8203">
        <v>-0.188127199999999</v>
      </c>
      <c r="AH8203">
        <v>0.61527058117132005</v>
      </c>
      <c r="AI8203">
        <v>106.898833376516</v>
      </c>
      <c r="AJ8203">
        <v>83.505167441646506</v>
      </c>
      <c r="AK8203">
        <v>0.64719088059646102</v>
      </c>
      <c r="AL8203">
        <v>81.436321625488802</v>
      </c>
      <c r="AM8203">
        <v>84.914411792597903</v>
      </c>
      <c r="AN8203">
        <v>0.99999993839364898</v>
      </c>
    </row>
    <row r="8204" spans="1:40" x14ac:dyDescent="0.25">
      <c r="A8204" t="str">
        <f>"20190303162114300"</f>
        <v>20190303162114300</v>
      </c>
      <c r="B8204" t="str">
        <f>"1551601274291133"</f>
        <v>1551601274291133</v>
      </c>
      <c r="C8204" t="s">
        <v>40</v>
      </c>
      <c r="D8204">
        <v>4.8351709999999999</v>
      </c>
      <c r="E8204">
        <v>0.50244319999999998</v>
      </c>
      <c r="F8204" t="s">
        <v>42</v>
      </c>
      <c r="G8204">
        <v>-347.86290000000002</v>
      </c>
      <c r="H8204">
        <v>0.92073510000000003</v>
      </c>
      <c r="I8204">
        <v>17.897289999999899</v>
      </c>
      <c r="J8204">
        <v>-348.56819999999999</v>
      </c>
      <c r="K8204">
        <v>1.121931</v>
      </c>
      <c r="L8204">
        <v>17.95355</v>
      </c>
      <c r="M8204">
        <v>0.99925699999999995</v>
      </c>
      <c r="N8204">
        <v>-1.403106E-2</v>
      </c>
      <c r="O8204">
        <v>3.5896650000000002E-2</v>
      </c>
      <c r="P8204">
        <v>0.98938300000000001</v>
      </c>
      <c r="Q8204">
        <v>0.135656</v>
      </c>
      <c r="R8204">
        <v>-5.2142500000000001E-2</v>
      </c>
      <c r="S8204">
        <v>3.1258539999999999</v>
      </c>
      <c r="T8204">
        <v>-0.76361109999999999</v>
      </c>
      <c r="U8204">
        <v>-0.19497680000000001</v>
      </c>
      <c r="V8204">
        <v>8.7578669999999997E-2</v>
      </c>
      <c r="W8204">
        <v>0.1495187</v>
      </c>
      <c r="X8204">
        <v>0.98487259999999999</v>
      </c>
      <c r="Y8204">
        <v>9.4186220000000001E-2</v>
      </c>
      <c r="Z8204">
        <v>-2.0137349999999998E-2</v>
      </c>
      <c r="AA8204">
        <v>0.99535090000000004</v>
      </c>
      <c r="AB8204">
        <v>18</v>
      </c>
      <c r="AC8204">
        <v>0.70529999999996495</v>
      </c>
      <c r="AD8204">
        <v>-0.20119590000000001</v>
      </c>
      <c r="AE8204">
        <v>-5.6260000000001698E-2</v>
      </c>
      <c r="AF8204">
        <v>7.5443723866953194E-2</v>
      </c>
      <c r="AG8204">
        <v>-0.20119590000000001</v>
      </c>
      <c r="AH8204">
        <v>0.65024641960756702</v>
      </c>
      <c r="AI8204">
        <v>107.084971224181</v>
      </c>
      <c r="AJ8204">
        <v>83.381945843198196</v>
      </c>
      <c r="AK8204">
        <v>0.68482987074176505</v>
      </c>
      <c r="AL8204">
        <v>81.400964022852804</v>
      </c>
      <c r="AM8204">
        <v>84.918404341333002</v>
      </c>
      <c r="AN8204">
        <v>0.99999995165970801</v>
      </c>
    </row>
    <row r="8205" spans="1:40" x14ac:dyDescent="0.25">
      <c r="A8205" t="str">
        <f>"20190303162114313"</f>
        <v>20190303162114313</v>
      </c>
      <c r="B8205" t="str">
        <f>"1551601274300893"</f>
        <v>1551601274300893</v>
      </c>
      <c r="C8205" t="s">
        <v>40</v>
      </c>
      <c r="D8205">
        <v>4.8830920000000004</v>
      </c>
      <c r="E8205">
        <v>0.50281290000000001</v>
      </c>
      <c r="F8205" t="s">
        <v>42</v>
      </c>
      <c r="G8205">
        <v>-347.851</v>
      </c>
      <c r="H8205">
        <v>0.94622910000000005</v>
      </c>
      <c r="I8205">
        <v>17.908259999999999</v>
      </c>
      <c r="J8205">
        <v>-348.47430000000003</v>
      </c>
      <c r="K8205">
        <v>1.1219269999999999</v>
      </c>
      <c r="L8205">
        <v>17.957090000000001</v>
      </c>
      <c r="M8205">
        <v>0.99925169999999996</v>
      </c>
      <c r="N8205">
        <v>-1.4014799999999999E-2</v>
      </c>
      <c r="O8205">
        <v>3.6051819999999998E-2</v>
      </c>
      <c r="P8205">
        <v>0.98938329999999997</v>
      </c>
      <c r="Q8205">
        <v>0.135704399999999</v>
      </c>
      <c r="R8205">
        <v>-5.2007659999999997E-2</v>
      </c>
      <c r="S8205">
        <v>3.1269840000000002</v>
      </c>
      <c r="T8205">
        <v>-0.76612380000000002</v>
      </c>
      <c r="U8205">
        <v>-0.1957092</v>
      </c>
      <c r="V8205">
        <v>8.759786E-2</v>
      </c>
      <c r="W8205">
        <v>0.1495503</v>
      </c>
      <c r="X8205">
        <v>0.98486609999999997</v>
      </c>
      <c r="Y8205">
        <v>9.4514269999999997E-2</v>
      </c>
      <c r="Z8205">
        <v>-2.02711E-2</v>
      </c>
      <c r="AA8205">
        <v>0.99531709999999995</v>
      </c>
      <c r="AB8205">
        <v>18</v>
      </c>
      <c r="AC8205">
        <v>0.62330000000002805</v>
      </c>
      <c r="AD8205">
        <v>-0.17569789999999999</v>
      </c>
      <c r="AE8205">
        <v>-4.8829999999998798E-2</v>
      </c>
      <c r="AF8205">
        <v>6.6054961400953294E-2</v>
      </c>
      <c r="AG8205">
        <v>-0.17569789999999999</v>
      </c>
      <c r="AH8205">
        <v>0.57567133788988201</v>
      </c>
      <c r="AI8205">
        <v>106.868124580364</v>
      </c>
      <c r="AJ8205">
        <v>83.454267578383195</v>
      </c>
      <c r="AK8205">
        <v>0.60550020582822195</v>
      </c>
      <c r="AL8205">
        <v>81.399132926414495</v>
      </c>
      <c r="AM8205">
        <v>84.917263338134603</v>
      </c>
      <c r="AN8205">
        <v>0.99999995611793802</v>
      </c>
    </row>
    <row r="8206" spans="1:40" x14ac:dyDescent="0.25">
      <c r="A8206" t="str">
        <f>"20190303162114324"</f>
        <v>20190303162114324</v>
      </c>
      <c r="B8206" t="str">
        <f>"1551601274311629"</f>
        <v>1551601274311629</v>
      </c>
      <c r="C8206" t="s">
        <v>40</v>
      </c>
      <c r="D8206">
        <v>4.9485950000000001</v>
      </c>
      <c r="E8206">
        <v>0.50281290000000001</v>
      </c>
      <c r="F8206" t="s">
        <v>42</v>
      </c>
      <c r="G8206">
        <v>-347.69549999999998</v>
      </c>
      <c r="H8206">
        <v>0.93025639999999998</v>
      </c>
      <c r="I8206">
        <v>17.907710000000002</v>
      </c>
      <c r="J8206">
        <v>-348.37360000000001</v>
      </c>
      <c r="K8206">
        <v>1.1219209999999999</v>
      </c>
      <c r="L8206">
        <v>17.960940000000001</v>
      </c>
      <c r="M8206">
        <v>0.99924599999999997</v>
      </c>
      <c r="N8206">
        <v>-1.399603E-2</v>
      </c>
      <c r="O8206">
        <v>3.6217430000000002E-2</v>
      </c>
      <c r="P8206">
        <v>0.98940209999999995</v>
      </c>
      <c r="Q8206">
        <v>0.1356318</v>
      </c>
      <c r="R8206">
        <v>-5.1846429999999999E-2</v>
      </c>
      <c r="S8206">
        <v>3.127319</v>
      </c>
      <c r="T8206">
        <v>-0.76965419999999996</v>
      </c>
      <c r="U8206">
        <v>-0.1984863</v>
      </c>
      <c r="V8206">
        <v>8.7601570000000004E-2</v>
      </c>
      <c r="W8206">
        <v>0.1494588</v>
      </c>
      <c r="X8206">
        <v>0.98487970000000002</v>
      </c>
      <c r="Y8206">
        <v>9.5483769999999996E-2</v>
      </c>
      <c r="Z8206">
        <v>-2.0520549999999999E-2</v>
      </c>
      <c r="AA8206">
        <v>0.99521950000000003</v>
      </c>
      <c r="AB8206">
        <v>18</v>
      </c>
      <c r="AC8206">
        <v>0.67810000000002801</v>
      </c>
      <c r="AD8206">
        <v>-0.19166459999999999</v>
      </c>
      <c r="AE8206">
        <v>-5.3229999999999202E-2</v>
      </c>
      <c r="AF8206">
        <v>7.2036696265044095E-2</v>
      </c>
      <c r="AG8206">
        <v>-0.19166459999999999</v>
      </c>
      <c r="AH8206">
        <v>0.62602009347167598</v>
      </c>
      <c r="AI8206">
        <v>106.917482892338</v>
      </c>
      <c r="AJ8206">
        <v>83.435794320808796</v>
      </c>
      <c r="AK8206">
        <v>0.65865450877696696</v>
      </c>
      <c r="AL8206">
        <v>81.404435424157001</v>
      </c>
      <c r="AM8206">
        <v>84.917119020253494</v>
      </c>
      <c r="AN8206">
        <v>0.99999999571799703</v>
      </c>
    </row>
    <row r="8207" spans="1:40" x14ac:dyDescent="0.25">
      <c r="A8207" t="str">
        <f>"20190303162114336"</f>
        <v>20190303162114336</v>
      </c>
      <c r="B8207" t="str">
        <f>"1551601274331149"</f>
        <v>1551601274331149</v>
      </c>
      <c r="C8207" t="s">
        <v>40</v>
      </c>
      <c r="D8207">
        <v>4.8768310000000001</v>
      </c>
      <c r="E8207">
        <v>0.51401289999999999</v>
      </c>
      <c r="F8207" t="s">
        <v>42</v>
      </c>
      <c r="G8207">
        <v>-347.685</v>
      </c>
      <c r="H8207">
        <v>0.95239229999999997</v>
      </c>
      <c r="I8207">
        <v>17.917400000000001</v>
      </c>
      <c r="J8207">
        <v>-348.2801</v>
      </c>
      <c r="K8207">
        <v>1.121915</v>
      </c>
      <c r="L8207">
        <v>17.964510000000001</v>
      </c>
      <c r="M8207">
        <v>0.99924109999999999</v>
      </c>
      <c r="N8207">
        <v>-1.397233E-2</v>
      </c>
      <c r="O8207">
        <v>3.6364809999999997E-2</v>
      </c>
      <c r="P8207">
        <v>0.98943490000000001</v>
      </c>
      <c r="Q8207">
        <v>0.13543839999999999</v>
      </c>
      <c r="R8207">
        <v>-5.1725720000000003E-2</v>
      </c>
      <c r="S8207">
        <v>3.1272579999999999</v>
      </c>
      <c r="T8207">
        <v>-0.76988389999999995</v>
      </c>
      <c r="U8207">
        <v>-0.197937</v>
      </c>
      <c r="V8207">
        <v>8.7629349999999995E-2</v>
      </c>
      <c r="W8207">
        <v>0.1492415</v>
      </c>
      <c r="X8207">
        <v>0.98491019999999896</v>
      </c>
      <c r="Y8207">
        <v>9.5452259999999997E-2</v>
      </c>
      <c r="Z8207">
        <v>-2.0556270000000001E-2</v>
      </c>
      <c r="AA8207">
        <v>0.99522169999999999</v>
      </c>
      <c r="AB8207">
        <v>18</v>
      </c>
      <c r="AC8207">
        <v>0.59510000000000196</v>
      </c>
      <c r="AD8207">
        <v>-0.169522699999999</v>
      </c>
      <c r="AE8207">
        <v>-4.7109999999999902E-2</v>
      </c>
      <c r="AF8207">
        <v>6.3593331531544603E-2</v>
      </c>
      <c r="AG8207">
        <v>-0.169522699999999</v>
      </c>
      <c r="AH8207">
        <v>0.54874126589083805</v>
      </c>
      <c r="AI8207">
        <v>107.06000650142801</v>
      </c>
      <c r="AJ8207">
        <v>83.389511302402497</v>
      </c>
      <c r="AK8207">
        <v>0.57783997310851598</v>
      </c>
      <c r="AL8207">
        <v>81.417027188125303</v>
      </c>
      <c r="AM8207">
        <v>84.915672224273294</v>
      </c>
      <c r="AN8207">
        <v>1.00000001518385</v>
      </c>
    </row>
    <row r="8208" spans="1:40" x14ac:dyDescent="0.25">
      <c r="A8208" t="str">
        <f>"20190303162114346"</f>
        <v>20190303162114346</v>
      </c>
      <c r="B8208" t="str">
        <f>"1551601274340909"</f>
        <v>1551601274340909</v>
      </c>
      <c r="C8208" t="s">
        <v>40</v>
      </c>
      <c r="D8208">
        <v>4.9032879999999999</v>
      </c>
      <c r="E8208">
        <v>0.51469330000000002</v>
      </c>
      <c r="F8208" t="s">
        <v>42</v>
      </c>
      <c r="G8208">
        <v>-347.54309999999998</v>
      </c>
      <c r="H8208">
        <v>0.90605329999999995</v>
      </c>
      <c r="I8208">
        <v>17.896439999999998</v>
      </c>
      <c r="J8208">
        <v>-348.19069999999999</v>
      </c>
      <c r="K8208">
        <v>1.1219059999999901</v>
      </c>
      <c r="L8208">
        <v>17.967929999999999</v>
      </c>
      <c r="M8208">
        <v>0.99923629999999997</v>
      </c>
      <c r="N8208">
        <v>-1.3947599999999999E-2</v>
      </c>
      <c r="O8208">
        <v>3.6503069999999999E-2</v>
      </c>
      <c r="P8208">
        <v>0.98953639999999998</v>
      </c>
      <c r="Q8208">
        <v>0.134841299999999</v>
      </c>
      <c r="R8208">
        <v>-5.133799E-2</v>
      </c>
      <c r="S8208">
        <v>3.142944</v>
      </c>
      <c r="T8208">
        <v>-0.92059559999999996</v>
      </c>
      <c r="U8208">
        <v>-0.28900150000000002</v>
      </c>
      <c r="V8208">
        <v>8.7383879999999997E-2</v>
      </c>
      <c r="W8208">
        <v>0.14862040000000001</v>
      </c>
      <c r="X8208">
        <v>0.98502590000000001</v>
      </c>
      <c r="Y8208">
        <v>0.12117219999999999</v>
      </c>
      <c r="Z8208">
        <v>-2.8167419999999999E-2</v>
      </c>
      <c r="AA8208">
        <v>0.9922318</v>
      </c>
      <c r="AB8208">
        <v>18</v>
      </c>
      <c r="AC8208">
        <v>0.64760000000001094</v>
      </c>
      <c r="AD8208">
        <v>-0.21585269999999901</v>
      </c>
      <c r="AE8208">
        <v>-7.1490000000000706E-2</v>
      </c>
      <c r="AF8208">
        <v>8.5679879497722405E-2</v>
      </c>
      <c r="AG8208">
        <v>-0.21585269999999901</v>
      </c>
      <c r="AH8208">
        <v>0.58080931630960797</v>
      </c>
      <c r="AI8208">
        <v>110.186573404283</v>
      </c>
      <c r="AJ8208">
        <v>81.608358723195494</v>
      </c>
      <c r="AK8208">
        <v>0.62551809866707098</v>
      </c>
      <c r="AL8208">
        <v>81.453014770637097</v>
      </c>
      <c r="AM8208">
        <v>84.930432690955499</v>
      </c>
      <c r="AN8208">
        <v>0.99999999472541201</v>
      </c>
    </row>
    <row r="8209" spans="1:40" x14ac:dyDescent="0.25">
      <c r="A8209" t="str">
        <f>"20190303162114358"</f>
        <v>20190303162114358</v>
      </c>
      <c r="B8209" t="str">
        <f>"1551601274350669"</f>
        <v>1551601274350669</v>
      </c>
      <c r="C8209" t="s">
        <v>40</v>
      </c>
      <c r="D8209">
        <v>4.8853039999999996</v>
      </c>
      <c r="E8209">
        <v>0.51515489999999997</v>
      </c>
      <c r="F8209" t="s">
        <v>42</v>
      </c>
      <c r="G8209">
        <v>-347.38749999999999</v>
      </c>
      <c r="H8209">
        <v>0.88748899999999997</v>
      </c>
      <c r="I8209">
        <v>17.892689999999899</v>
      </c>
      <c r="J8209">
        <v>-348.09199999999998</v>
      </c>
      <c r="K8209">
        <v>1.121891</v>
      </c>
      <c r="L8209">
        <v>17.971710000000002</v>
      </c>
      <c r="M8209">
        <v>0.99923150000000005</v>
      </c>
      <c r="N8209">
        <v>-1.3911379999999999E-2</v>
      </c>
      <c r="O8209">
        <v>3.6645520000000001E-2</v>
      </c>
      <c r="P8209">
        <v>0.98961719999999997</v>
      </c>
      <c r="Q8209">
        <v>0.13437569999999999</v>
      </c>
      <c r="R8209">
        <v>-5.1000429999999999E-2</v>
      </c>
      <c r="S8209">
        <v>3.1414789999999999</v>
      </c>
      <c r="T8209">
        <v>-0.91691089999999997</v>
      </c>
      <c r="U8209">
        <v>-0.29315190000000002</v>
      </c>
      <c r="V8209">
        <v>8.719325E-2</v>
      </c>
      <c r="W8209">
        <v>0.14811869999999999</v>
      </c>
      <c r="X8209">
        <v>0.98511839999999995</v>
      </c>
      <c r="Y8209">
        <v>0.1226337</v>
      </c>
      <c r="Z8209">
        <v>-2.8327959999999999E-2</v>
      </c>
      <c r="AA8209">
        <v>0.99204760000000003</v>
      </c>
      <c r="AB8209">
        <v>18</v>
      </c>
      <c r="AC8209">
        <v>0.70449999999999502</v>
      </c>
      <c r="AD8209">
        <v>-0.234402</v>
      </c>
      <c r="AE8209">
        <v>-7.9020000000003393E-2</v>
      </c>
      <c r="AF8209">
        <v>9.4459162124244697E-2</v>
      </c>
      <c r="AG8209">
        <v>-0.234402</v>
      </c>
      <c r="AH8209">
        <v>0.63203199288301704</v>
      </c>
      <c r="AI8209">
        <v>110.142868551657</v>
      </c>
      <c r="AJ8209">
        <v>81.499880477779797</v>
      </c>
      <c r="AK8209">
        <v>0.68068441361683296</v>
      </c>
      <c r="AL8209">
        <v>81.482082141117502</v>
      </c>
      <c r="AM8209">
        <v>84.941907149905404</v>
      </c>
      <c r="AN8209">
        <v>1.0000000370769</v>
      </c>
    </row>
    <row r="8210" spans="1:40" x14ac:dyDescent="0.25">
      <c r="A8210" t="str">
        <f>"20190303162114371"</f>
        <v>20190303162114371</v>
      </c>
      <c r="B8210" t="str">
        <f>"1551601274361404"</f>
        <v>1551601274361404</v>
      </c>
      <c r="C8210" t="s">
        <v>40</v>
      </c>
      <c r="D8210">
        <v>4.9239030000000001</v>
      </c>
      <c r="E8210">
        <v>0.51541999999999999</v>
      </c>
      <c r="F8210" t="s">
        <v>42</v>
      </c>
      <c r="G8210">
        <v>-347.37709999999998</v>
      </c>
      <c r="H8210">
        <v>0.91320590000000001</v>
      </c>
      <c r="I8210">
        <v>17.903970000000001</v>
      </c>
      <c r="J8210">
        <v>-347.99619999999999</v>
      </c>
      <c r="K8210">
        <v>1.121874</v>
      </c>
      <c r="L8210">
        <v>17.975370000000002</v>
      </c>
      <c r="M8210">
        <v>0.99922730000000004</v>
      </c>
      <c r="N8210">
        <v>-1.3871E-2</v>
      </c>
      <c r="O8210">
        <v>3.6775349999999998E-2</v>
      </c>
      <c r="P8210">
        <v>0.98970219999999998</v>
      </c>
      <c r="Q8210">
        <v>0.13390669999999999</v>
      </c>
      <c r="R8210">
        <v>-5.0585440000000002E-2</v>
      </c>
      <c r="S8210">
        <v>3.1406860000000001</v>
      </c>
      <c r="T8210">
        <v>-0.91679980000000005</v>
      </c>
      <c r="U8210">
        <v>-0.29632570000000003</v>
      </c>
      <c r="V8210">
        <v>8.691314E-2</v>
      </c>
      <c r="W8210">
        <v>0.1476094</v>
      </c>
      <c r="X8210">
        <v>0.98521950000000003</v>
      </c>
      <c r="Y8210">
        <v>0.1237263</v>
      </c>
      <c r="Z8210">
        <v>-2.8528189999999998E-2</v>
      </c>
      <c r="AA8210">
        <v>0.99190619999999996</v>
      </c>
      <c r="AB8210">
        <v>18</v>
      </c>
      <c r="AC8210">
        <v>0.61910000000000298</v>
      </c>
      <c r="AD8210">
        <v>-0.208668099999999</v>
      </c>
      <c r="AE8210">
        <v>-7.1400000000000505E-2</v>
      </c>
      <c r="AF8210">
        <v>8.4633113152344203E-2</v>
      </c>
      <c r="AG8210">
        <v>-0.208668099999999</v>
      </c>
      <c r="AH8210">
        <v>0.55395060192544499</v>
      </c>
      <c r="AI8210">
        <v>110.423818306797</v>
      </c>
      <c r="AJ8210">
        <v>81.313466400840497</v>
      </c>
      <c r="AK8210">
        <v>0.59796856871664195</v>
      </c>
      <c r="AL8210">
        <v>81.511586430966702</v>
      </c>
      <c r="AM8210">
        <v>84.958587200572197</v>
      </c>
      <c r="AN8210">
        <v>0.999999946026633</v>
      </c>
    </row>
    <row r="8211" spans="1:40" x14ac:dyDescent="0.25">
      <c r="A8211" t="str">
        <f>"20190303162114382"</f>
        <v>20190303162114382</v>
      </c>
      <c r="B8211" t="str">
        <f>"1551601274371165"</f>
        <v>1551601274371165</v>
      </c>
      <c r="C8211" t="s">
        <v>40</v>
      </c>
      <c r="D8211">
        <v>4.8837699999999904</v>
      </c>
      <c r="E8211">
        <v>0.51554650000000002</v>
      </c>
      <c r="F8211" t="s">
        <v>42</v>
      </c>
      <c r="G8211">
        <v>-347.22129999999999</v>
      </c>
      <c r="H8211">
        <v>0.89655659999999904</v>
      </c>
      <c r="I8211">
        <v>17.901679999999999</v>
      </c>
      <c r="J8211">
        <v>-347.89699999999999</v>
      </c>
      <c r="K8211">
        <v>1.1218520000000001</v>
      </c>
      <c r="L8211">
        <v>17.979189999999999</v>
      </c>
      <c r="M8211">
        <v>0.99922330000000004</v>
      </c>
      <c r="N8211">
        <v>-1.382396E-2</v>
      </c>
      <c r="O8211">
        <v>3.6901730000000001E-2</v>
      </c>
      <c r="P8211">
        <v>0.98973800000000001</v>
      </c>
      <c r="Q8211">
        <v>0.13387449999999901</v>
      </c>
      <c r="R8211">
        <v>-4.996635E-2</v>
      </c>
      <c r="S8211">
        <v>3.139526</v>
      </c>
      <c r="T8211">
        <v>-0.91289949999999997</v>
      </c>
      <c r="U8211">
        <v>-0.29727170000000003</v>
      </c>
      <c r="V8211">
        <v>8.6424780000000007E-2</v>
      </c>
      <c r="W8211">
        <v>0.1475292</v>
      </c>
      <c r="X8211">
        <v>0.9852746</v>
      </c>
      <c r="Y8211">
        <v>0.12420829999999999</v>
      </c>
      <c r="Z8211">
        <v>-2.8527400000000001E-2</v>
      </c>
      <c r="AA8211">
        <v>0.99184600000000001</v>
      </c>
      <c r="AB8211">
        <v>18</v>
      </c>
      <c r="AC8211">
        <v>0.67570000000000596</v>
      </c>
      <c r="AD8211">
        <v>-0.22529540000000001</v>
      </c>
      <c r="AE8211">
        <v>-7.7510000000000107E-2</v>
      </c>
      <c r="AF8211">
        <v>9.2269487533087793E-2</v>
      </c>
      <c r="AG8211">
        <v>-0.22529540000000001</v>
      </c>
      <c r="AH8211">
        <v>0.60589520043387102</v>
      </c>
      <c r="AI8211">
        <v>110.18346766797499</v>
      </c>
      <c r="AJ8211">
        <v>81.341169443517401</v>
      </c>
      <c r="AK8211">
        <v>0.65297830706661297</v>
      </c>
      <c r="AL8211">
        <v>81.516233498581698</v>
      </c>
      <c r="AM8211">
        <v>84.987048779214604</v>
      </c>
      <c r="AN8211">
        <v>1.0000000724279201</v>
      </c>
    </row>
    <row r="8212" spans="1:40" x14ac:dyDescent="0.25">
      <c r="A8212" t="str">
        <f>"20190303162114394"</f>
        <v>20190303162114394</v>
      </c>
      <c r="B8212" t="str">
        <f>"1551601274390685"</f>
        <v>1551601274390685</v>
      </c>
      <c r="C8212" t="s">
        <v>40</v>
      </c>
      <c r="D8212">
        <v>4.9152149999999999</v>
      </c>
      <c r="E8212">
        <v>0.5159243</v>
      </c>
      <c r="F8212" t="s">
        <v>42</v>
      </c>
      <c r="G8212">
        <v>-347.21039999999999</v>
      </c>
      <c r="H8212">
        <v>0.92269190000000001</v>
      </c>
      <c r="I8212">
        <v>17.913979999999999</v>
      </c>
      <c r="J8212">
        <v>-347.80340000000001</v>
      </c>
      <c r="K8212">
        <v>1.1218319999999999</v>
      </c>
      <c r="L8212">
        <v>17.98282</v>
      </c>
      <c r="M8212">
        <v>0.99922040000000001</v>
      </c>
      <c r="N8212">
        <v>-1.377363E-2</v>
      </c>
      <c r="O8212">
        <v>3.7000810000000002E-2</v>
      </c>
      <c r="P8212">
        <v>0.98980699999999999</v>
      </c>
      <c r="Q8212">
        <v>0.133733399999999</v>
      </c>
      <c r="R8212">
        <v>-4.8969400000000003E-2</v>
      </c>
      <c r="S8212">
        <v>3.139313</v>
      </c>
      <c r="T8212">
        <v>-0.91065169999999995</v>
      </c>
      <c r="U8212">
        <v>-0.29669190000000001</v>
      </c>
      <c r="V8212">
        <v>8.5533609999999996E-2</v>
      </c>
      <c r="W8212">
        <v>0.14733679999999999</v>
      </c>
      <c r="X8212">
        <v>0.98538110000000001</v>
      </c>
      <c r="Y8212">
        <v>0.1241613</v>
      </c>
      <c r="Z8212">
        <v>-2.8481139999999999E-2</v>
      </c>
      <c r="AA8212">
        <v>0.99185319999999999</v>
      </c>
      <c r="AB8212">
        <v>18</v>
      </c>
      <c r="AC8212">
        <v>0.59300000000001696</v>
      </c>
      <c r="AD8212">
        <v>-0.19914009999999999</v>
      </c>
      <c r="AE8212">
        <v>-6.8840000000001497E-2</v>
      </c>
      <c r="AF8212">
        <v>8.1650786776438694E-2</v>
      </c>
      <c r="AG8212">
        <v>-0.19914009999999999</v>
      </c>
      <c r="AH8212">
        <v>0.53096390309285102</v>
      </c>
      <c r="AI8212">
        <v>110.33956516507401</v>
      </c>
      <c r="AJ8212">
        <v>81.257629258391702</v>
      </c>
      <c r="AK8212">
        <v>0.57292782861091296</v>
      </c>
      <c r="AL8212">
        <v>81.5273785699966</v>
      </c>
      <c r="AM8212">
        <v>85.039014085977897</v>
      </c>
      <c r="AN8212">
        <v>1.00000002165554</v>
      </c>
    </row>
    <row r="8213" spans="1:40" x14ac:dyDescent="0.25">
      <c r="A8213" t="str">
        <f>"20190303162114407"</f>
        <v>20190303162114407</v>
      </c>
      <c r="B8213" t="str">
        <f>"1551601274401421"</f>
        <v>1551601274401421</v>
      </c>
      <c r="C8213" t="s">
        <v>40</v>
      </c>
      <c r="D8213">
        <v>4.911645</v>
      </c>
      <c r="E8213">
        <v>0.51590899999999995</v>
      </c>
      <c r="F8213" t="s">
        <v>42</v>
      </c>
      <c r="G8213">
        <v>-347.05540000000002</v>
      </c>
      <c r="H8213">
        <v>0.90560750000000001</v>
      </c>
      <c r="I8213">
        <v>17.91179</v>
      </c>
      <c r="J8213">
        <v>-347.7088</v>
      </c>
      <c r="K8213">
        <v>1.121799</v>
      </c>
      <c r="L8213">
        <v>17.986450000000001</v>
      </c>
      <c r="M8213">
        <v>0.99921760000000004</v>
      </c>
      <c r="N8213">
        <v>-1.372114E-2</v>
      </c>
      <c r="O8213">
        <v>3.7094040000000002E-2</v>
      </c>
      <c r="P8213">
        <v>0.98982780000000004</v>
      </c>
      <c r="Q8213">
        <v>0.13382239999999901</v>
      </c>
      <c r="R8213">
        <v>-4.8297840000000002E-2</v>
      </c>
      <c r="S8213">
        <v>3.1387939999999999</v>
      </c>
      <c r="T8213">
        <v>-0.90728240000000004</v>
      </c>
      <c r="U8213">
        <v>-0.29696660000000002</v>
      </c>
      <c r="V8213">
        <v>8.4960640000000004E-2</v>
      </c>
      <c r="W8213">
        <v>0.14737120000000001</v>
      </c>
      <c r="X8213">
        <v>0.98542549999999995</v>
      </c>
      <c r="Y8213">
        <v>0.1243886</v>
      </c>
      <c r="Z8213">
        <v>-2.8442749999999999E-2</v>
      </c>
      <c r="AA8213">
        <v>0.99182579999999998</v>
      </c>
      <c r="AB8213">
        <v>18</v>
      </c>
      <c r="AC8213">
        <v>0.653399999999976</v>
      </c>
      <c r="AD8213">
        <v>-0.21619149999999901</v>
      </c>
      <c r="AE8213">
        <v>-7.4660000000001503E-2</v>
      </c>
      <c r="AF8213">
        <v>8.9207877497510996E-2</v>
      </c>
      <c r="AG8213">
        <v>-0.21619149999999901</v>
      </c>
      <c r="AH8213">
        <v>0.58677106262408296</v>
      </c>
      <c r="AI8213">
        <v>110.014510324258</v>
      </c>
      <c r="AJ8213">
        <v>81.355414977708406</v>
      </c>
      <c r="AK8213">
        <v>0.63166216446202905</v>
      </c>
      <c r="AL8213">
        <v>81.525385644520497</v>
      </c>
      <c r="AM8213">
        <v>85.072303337496606</v>
      </c>
      <c r="AN8213">
        <v>0.99999999849444898</v>
      </c>
    </row>
    <row r="8214" spans="1:40" x14ac:dyDescent="0.25">
      <c r="A8214" t="str">
        <f>"20190303162114418"</f>
        <v>20190303162114418</v>
      </c>
      <c r="B8214" t="str">
        <f>"1551601274411181"</f>
        <v>1551601274411181</v>
      </c>
      <c r="C8214" t="s">
        <v>40</v>
      </c>
      <c r="D8214">
        <v>4.9295030000000004</v>
      </c>
      <c r="E8214">
        <v>0.51603390000000005</v>
      </c>
      <c r="F8214" t="s">
        <v>42</v>
      </c>
      <c r="G8214">
        <v>-346.8997</v>
      </c>
      <c r="H8214">
        <v>0.88847589999999999</v>
      </c>
      <c r="I8214">
        <v>17.910049999999998</v>
      </c>
      <c r="J8214">
        <v>-347.61520000000002</v>
      </c>
      <c r="K8214">
        <v>1.121769</v>
      </c>
      <c r="L8214">
        <v>17.99005</v>
      </c>
      <c r="M8214">
        <v>0.99921579999999999</v>
      </c>
      <c r="N8214">
        <v>-1.3665439999999999E-2</v>
      </c>
      <c r="O8214">
        <v>3.7162779999999999E-2</v>
      </c>
      <c r="P8214">
        <v>0.9898555</v>
      </c>
      <c r="Q8214">
        <v>0.13391629999999999</v>
      </c>
      <c r="R8214">
        <v>-4.745775E-2</v>
      </c>
      <c r="S8214">
        <v>3.1387939999999999</v>
      </c>
      <c r="T8214">
        <v>-0.90513350000000004</v>
      </c>
      <c r="U8214">
        <v>-0.29516599999999998</v>
      </c>
      <c r="V8214">
        <v>8.4197060000000004E-2</v>
      </c>
      <c r="W8214">
        <v>0.14740710000000001</v>
      </c>
      <c r="X8214">
        <v>0.98548570000000002</v>
      </c>
      <c r="Y8214">
        <v>0.1239401</v>
      </c>
      <c r="Z8214">
        <v>-2.8329960000000001E-2</v>
      </c>
      <c r="AA8214">
        <v>0.99188520000000002</v>
      </c>
      <c r="AB8214">
        <v>18</v>
      </c>
      <c r="AC8214">
        <v>0.71550000000002001</v>
      </c>
      <c r="AD8214">
        <v>-0.2332931</v>
      </c>
      <c r="AE8214">
        <v>-8.0000000000001806E-2</v>
      </c>
      <c r="AF8214">
        <v>9.6413746471394002E-2</v>
      </c>
      <c r="AG8214">
        <v>-0.2332931</v>
      </c>
      <c r="AH8214">
        <v>0.64437323772076205</v>
      </c>
      <c r="AI8214">
        <v>109.700450359953</v>
      </c>
      <c r="AJ8214">
        <v>81.490300781626203</v>
      </c>
      <c r="AK8214">
        <v>0.69205357488203001</v>
      </c>
      <c r="AL8214">
        <v>81.523306295123305</v>
      </c>
      <c r="AM8214">
        <v>85.116672522215694</v>
      </c>
      <c r="AN8214">
        <v>1.00000003147377</v>
      </c>
    </row>
    <row r="8215" spans="1:40" x14ac:dyDescent="0.25">
      <c r="A8215" t="str">
        <f>"20190303162114428"</f>
        <v>20190303162114428</v>
      </c>
      <c r="B8215" t="str">
        <f>"1551601274420941"</f>
        <v>1551601274420941</v>
      </c>
      <c r="C8215" t="s">
        <v>40</v>
      </c>
      <c r="D8215">
        <v>4.9148009999999998</v>
      </c>
      <c r="E8215">
        <v>0.51628830000000003</v>
      </c>
      <c r="F8215" t="s">
        <v>42</v>
      </c>
      <c r="G8215">
        <v>-346.88979999999998</v>
      </c>
      <c r="H8215">
        <v>0.91333410000000004</v>
      </c>
      <c r="I8215">
        <v>17.921949999999999</v>
      </c>
      <c r="J8215">
        <v>-347.52609999999999</v>
      </c>
      <c r="K8215">
        <v>1.1217410000000001</v>
      </c>
      <c r="L8215">
        <v>17.993469999999999</v>
      </c>
      <c r="M8215">
        <v>0.99921450000000001</v>
      </c>
      <c r="N8215">
        <v>-1.361218E-2</v>
      </c>
      <c r="O8215">
        <v>3.7219090000000003E-2</v>
      </c>
      <c r="P8215">
        <v>0.989896</v>
      </c>
      <c r="Q8215">
        <v>0.1338839</v>
      </c>
      <c r="R8215">
        <v>-4.6703929999999998E-2</v>
      </c>
      <c r="S8215">
        <v>3.1386409999999998</v>
      </c>
      <c r="T8215">
        <v>-0.90180740000000004</v>
      </c>
      <c r="U8215">
        <v>-0.29330440000000002</v>
      </c>
      <c r="V8215">
        <v>8.3507869999999998E-2</v>
      </c>
      <c r="W8215">
        <v>0.147318899999999</v>
      </c>
      <c r="X8215">
        <v>0.98555749999999998</v>
      </c>
      <c r="Y8215">
        <v>0.1234813</v>
      </c>
      <c r="Z8215">
        <v>-2.817894E-2</v>
      </c>
      <c r="AA8215">
        <v>0.99194680000000002</v>
      </c>
      <c r="AB8215">
        <v>18</v>
      </c>
      <c r="AC8215">
        <v>0.63630000000000497</v>
      </c>
      <c r="AD8215">
        <v>-0.20840689999999901</v>
      </c>
      <c r="AE8215">
        <v>-7.1520000000003095E-2</v>
      </c>
      <c r="AF8215">
        <v>8.6040280836893995E-2</v>
      </c>
      <c r="AG8215">
        <v>-0.20840689999999901</v>
      </c>
      <c r="AH8215">
        <v>0.57254332674314501</v>
      </c>
      <c r="AI8215">
        <v>109.796853776502</v>
      </c>
      <c r="AJ8215">
        <v>81.453694996347096</v>
      </c>
      <c r="AK8215">
        <v>0.61533911536014796</v>
      </c>
      <c r="AL8215">
        <v>81.528415330754001</v>
      </c>
      <c r="AM8215">
        <v>85.156804949243394</v>
      </c>
      <c r="AN8215">
        <v>1.00000000422769</v>
      </c>
    </row>
    <row r="8216" spans="1:40" x14ac:dyDescent="0.25">
      <c r="A8216" t="str">
        <f>"20190303162114440"</f>
        <v>20190303162114440</v>
      </c>
      <c r="B8216" t="str">
        <f>"1551601274430701"</f>
        <v>1551601274430701</v>
      </c>
      <c r="C8216" t="s">
        <v>40</v>
      </c>
      <c r="D8216">
        <v>4.9168050000000001</v>
      </c>
      <c r="E8216">
        <v>0.51650079999999998</v>
      </c>
      <c r="F8216" t="s">
        <v>42</v>
      </c>
      <c r="G8216">
        <v>-346.73540000000003</v>
      </c>
      <c r="H8216">
        <v>0.89433069999999903</v>
      </c>
      <c r="I8216">
        <v>17.919499999999999</v>
      </c>
      <c r="J8216">
        <v>-347.4323</v>
      </c>
      <c r="K8216">
        <v>1.1217090000000001</v>
      </c>
      <c r="L8216">
        <v>17.99701</v>
      </c>
      <c r="M8216">
        <v>0.99921380000000004</v>
      </c>
      <c r="N8216">
        <v>-1.3555640000000001E-2</v>
      </c>
      <c r="O8216">
        <v>3.7261120000000002E-2</v>
      </c>
      <c r="P8216">
        <v>0.98994119999999997</v>
      </c>
      <c r="Q8216">
        <v>0.1338299</v>
      </c>
      <c r="R8216">
        <v>-4.5893349999999999E-2</v>
      </c>
      <c r="S8216">
        <v>3.1388850000000001</v>
      </c>
      <c r="T8216">
        <v>-0.90265689999999998</v>
      </c>
      <c r="U8216">
        <v>-0.29302979999999901</v>
      </c>
      <c r="V8216">
        <v>8.2749399999999904E-2</v>
      </c>
      <c r="W8216">
        <v>0.14720520000000001</v>
      </c>
      <c r="X8216">
        <v>0.98563840000000003</v>
      </c>
      <c r="Y8216">
        <v>0.1234201</v>
      </c>
      <c r="Z8216">
        <v>-2.8202930000000001E-2</v>
      </c>
      <c r="AA8216">
        <v>0.99195370000000005</v>
      </c>
      <c r="AB8216">
        <v>18</v>
      </c>
      <c r="AC8216">
        <v>0.69689999999997099</v>
      </c>
      <c r="AD8216">
        <v>-0.22737830000000001</v>
      </c>
      <c r="AE8216">
        <v>-7.7510000000000107E-2</v>
      </c>
      <c r="AF8216">
        <v>9.3585149274125007E-2</v>
      </c>
      <c r="AG8216">
        <v>-0.22737830000000001</v>
      </c>
      <c r="AH8216">
        <v>0.62754041790015302</v>
      </c>
      <c r="AI8216">
        <v>109.716126004006</v>
      </c>
      <c r="AJ8216">
        <v>81.517986868469393</v>
      </c>
      <c r="AK8216">
        <v>0.67399261685410905</v>
      </c>
      <c r="AL8216">
        <v>81.535001161841706</v>
      </c>
      <c r="AM8216">
        <v>85.200979508693294</v>
      </c>
      <c r="AN8216">
        <v>0.99999994483097798</v>
      </c>
    </row>
    <row r="8217" spans="1:40" x14ac:dyDescent="0.25">
      <c r="A8217" t="str">
        <f>"20190303162114457"</f>
        <v>20190303162114457</v>
      </c>
      <c r="B8217" t="str">
        <f>"1551601274451197"</f>
        <v>1551601274451197</v>
      </c>
      <c r="C8217" t="s">
        <v>40</v>
      </c>
      <c r="D8217">
        <v>4.8816449999999998</v>
      </c>
      <c r="E8217">
        <v>0.51680649999999995</v>
      </c>
      <c r="F8217" t="s">
        <v>42</v>
      </c>
      <c r="G8217">
        <v>-346.72539999999998</v>
      </c>
      <c r="H8217">
        <v>0.91850010000000004</v>
      </c>
      <c r="I8217">
        <v>17.931059999999999</v>
      </c>
      <c r="J8217">
        <v>-347.2971</v>
      </c>
      <c r="K8217">
        <v>1.1216600000000001</v>
      </c>
      <c r="L8217">
        <v>18.002140000000001</v>
      </c>
      <c r="M8217">
        <v>0.99921329999999997</v>
      </c>
      <c r="N8217">
        <v>-1.347404E-2</v>
      </c>
      <c r="O8217">
        <v>3.7297339999999998E-2</v>
      </c>
      <c r="P8217">
        <v>0.99013499999999999</v>
      </c>
      <c r="Q8217">
        <v>0.13294329999999999</v>
      </c>
      <c r="R8217">
        <v>-4.425871E-2</v>
      </c>
      <c r="S8217">
        <v>3.1389469999999999</v>
      </c>
      <c r="T8217">
        <v>-0.9023544</v>
      </c>
      <c r="U8217">
        <v>-0.29220580000000002</v>
      </c>
      <c r="V8217">
        <v>8.1170359999999997E-2</v>
      </c>
      <c r="W8217">
        <v>0.14623549999999999</v>
      </c>
      <c r="X8217">
        <v>0.98591410000000002</v>
      </c>
      <c r="Y8217">
        <v>0.1232087</v>
      </c>
      <c r="Z8217">
        <v>-2.8170069999999998E-2</v>
      </c>
      <c r="AA8217">
        <v>0.99198090000000005</v>
      </c>
      <c r="AB8217">
        <v>18</v>
      </c>
      <c r="AC8217">
        <v>0.57170000000002097</v>
      </c>
      <c r="AD8217">
        <v>-0.2031599</v>
      </c>
      <c r="AE8217">
        <v>-7.1079999999998394E-2</v>
      </c>
      <c r="AF8217">
        <v>8.2140449117662703E-2</v>
      </c>
      <c r="AG8217">
        <v>-0.2031599</v>
      </c>
      <c r="AH8217">
        <v>0.50575551223860304</v>
      </c>
      <c r="AI8217">
        <v>111.62835403067599</v>
      </c>
      <c r="AJ8217">
        <v>80.775060921007906</v>
      </c>
      <c r="AK8217">
        <v>0.55118929281054896</v>
      </c>
      <c r="AL8217">
        <v>81.591169456707206</v>
      </c>
      <c r="AM8217">
        <v>85.293450326139194</v>
      </c>
      <c r="AN8217">
        <v>1.0000000306907899</v>
      </c>
    </row>
    <row r="8218" spans="1:40" x14ac:dyDescent="0.25">
      <c r="A8218" t="str">
        <f>"20190303162114470"</f>
        <v>20190303162114470</v>
      </c>
      <c r="B8218" t="str">
        <f>"1551601274460957"</f>
        <v>1551601274460957</v>
      </c>
      <c r="C8218" t="s">
        <v>40</v>
      </c>
      <c r="D8218">
        <v>4.8802789999999998</v>
      </c>
      <c r="E8218">
        <v>0.51679579999999903</v>
      </c>
      <c r="F8218" t="s">
        <v>42</v>
      </c>
      <c r="G8218">
        <v>-346.56650000000002</v>
      </c>
      <c r="H8218">
        <v>0.91123810000000005</v>
      </c>
      <c r="I8218">
        <v>17.934290000000001</v>
      </c>
      <c r="J8218">
        <v>-347.19549999999998</v>
      </c>
      <c r="K8218">
        <v>1.121629</v>
      </c>
      <c r="L8218">
        <v>18.005979999999902</v>
      </c>
      <c r="M8218">
        <v>0.99921389999999999</v>
      </c>
      <c r="N8218">
        <v>-1.341321E-2</v>
      </c>
      <c r="O8218">
        <v>3.7306690000000003E-2</v>
      </c>
      <c r="P8218">
        <v>0.99019999999999997</v>
      </c>
      <c r="Q8218">
        <v>0.13269410000000001</v>
      </c>
      <c r="R8218">
        <v>-4.3549770000000002E-2</v>
      </c>
      <c r="S8218">
        <v>3.138306</v>
      </c>
      <c r="T8218">
        <v>-0.90387629999999997</v>
      </c>
      <c r="U8218">
        <v>-0.289856</v>
      </c>
      <c r="V8218">
        <v>8.0481689999999995E-2</v>
      </c>
      <c r="W8218">
        <v>0.14592269999999999</v>
      </c>
      <c r="X8218">
        <v>0.98601689999999997</v>
      </c>
      <c r="Y8218">
        <v>0.1225054</v>
      </c>
      <c r="Z8218">
        <v>-2.8118540000000001E-2</v>
      </c>
      <c r="AA8218">
        <v>0.99206939999999999</v>
      </c>
      <c r="AB8218">
        <v>18</v>
      </c>
      <c r="AC8218">
        <v>0.62899999999996203</v>
      </c>
      <c r="AD8218">
        <v>-0.21039089999999999</v>
      </c>
      <c r="AE8218">
        <v>-7.1689999999996701E-2</v>
      </c>
      <c r="AF8218">
        <v>8.5648613190645095E-2</v>
      </c>
      <c r="AG8218">
        <v>-0.21039089999999999</v>
      </c>
      <c r="AH8218">
        <v>0.56363629587338204</v>
      </c>
      <c r="AI8218">
        <v>110.255967633845</v>
      </c>
      <c r="AJ8218">
        <v>81.359592344620296</v>
      </c>
      <c r="AK8218">
        <v>0.60768897453397797</v>
      </c>
      <c r="AL8218">
        <v>81.6092859234396</v>
      </c>
      <c r="AM8218">
        <v>85.333689167257504</v>
      </c>
      <c r="AN8218">
        <v>1.00000003194307</v>
      </c>
    </row>
    <row r="8219" spans="1:40" x14ac:dyDescent="0.25">
      <c r="A8219" t="str">
        <f>"20190303162114483"</f>
        <v>20190303162114483</v>
      </c>
      <c r="B8219" t="str">
        <f>"1551601274470718"</f>
        <v>1551601274470718</v>
      </c>
      <c r="C8219" t="s">
        <v>40</v>
      </c>
      <c r="D8219">
        <v>4.9180929999999998</v>
      </c>
      <c r="E8219">
        <v>0.51689390000000002</v>
      </c>
      <c r="F8219" t="s">
        <v>42</v>
      </c>
      <c r="G8219">
        <v>-346.41090000000003</v>
      </c>
      <c r="H8219">
        <v>0.8955014</v>
      </c>
      <c r="I8219">
        <v>17.933989999999898</v>
      </c>
      <c r="J8219">
        <v>-347.0804</v>
      </c>
      <c r="K8219">
        <v>1.12159599999999</v>
      </c>
      <c r="L8219">
        <v>18.010279999999899</v>
      </c>
      <c r="M8219">
        <v>0.99921510000000002</v>
      </c>
      <c r="N8219">
        <v>-1.334508E-2</v>
      </c>
      <c r="O8219">
        <v>3.729735E-2</v>
      </c>
      <c r="P8219">
        <v>0.99025580000000002</v>
      </c>
      <c r="Q8219">
        <v>0.13248789999999999</v>
      </c>
      <c r="R8219">
        <v>-4.2897350000000001E-2</v>
      </c>
      <c r="S8219">
        <v>3.1382140000000001</v>
      </c>
      <c r="T8219">
        <v>-0.90444250000000004</v>
      </c>
      <c r="U8219">
        <v>-0.28741460000000002</v>
      </c>
      <c r="V8219">
        <v>7.9831150000000003E-2</v>
      </c>
      <c r="W8219">
        <v>0.14564630000000001</v>
      </c>
      <c r="X8219">
        <v>0.98611059999999995</v>
      </c>
      <c r="Y8219">
        <v>0.121757199999999</v>
      </c>
      <c r="Z8219">
        <v>-2.802205E-2</v>
      </c>
      <c r="AA8219">
        <v>0.9921643</v>
      </c>
      <c r="AB8219">
        <v>18</v>
      </c>
      <c r="AC8219">
        <v>0.66949999999997001</v>
      </c>
      <c r="AD8219">
        <v>-0.22609459999999901</v>
      </c>
      <c r="AE8219">
        <v>-7.6290000000000094E-2</v>
      </c>
      <c r="AF8219">
        <v>9.0968158139148006E-2</v>
      </c>
      <c r="AG8219">
        <v>-0.22609459999999901</v>
      </c>
      <c r="AH8219">
        <v>0.59877589120237995</v>
      </c>
      <c r="AI8219">
        <v>110.47116237243</v>
      </c>
      <c r="AJ8219">
        <v>81.361478899544494</v>
      </c>
      <c r="AK8219">
        <v>0.64647238288235698</v>
      </c>
      <c r="AL8219">
        <v>81.625293110616894</v>
      </c>
      <c r="AM8219">
        <v>85.371680685092599</v>
      </c>
      <c r="AN8219">
        <v>0.99999998632318599</v>
      </c>
    </row>
    <row r="8220" spans="1:40" x14ac:dyDescent="0.25">
      <c r="A8220" t="str">
        <f>"20190303162114497"</f>
        <v>20190303162114497</v>
      </c>
      <c r="B8220" t="str">
        <f>"1551601274491214"</f>
        <v>1551601274491214</v>
      </c>
      <c r="C8220" t="s">
        <v>40</v>
      </c>
      <c r="D8220">
        <v>4.9170150000000001</v>
      </c>
      <c r="E8220">
        <v>0.51689560000000001</v>
      </c>
      <c r="F8220" t="s">
        <v>42</v>
      </c>
      <c r="G8220">
        <v>-346.39839999999998</v>
      </c>
      <c r="H8220">
        <v>0.92513199999999995</v>
      </c>
      <c r="I8220">
        <v>17.948070000000001</v>
      </c>
      <c r="J8220">
        <v>-346.97739999999999</v>
      </c>
      <c r="K8220">
        <v>1.12157</v>
      </c>
      <c r="L8220">
        <v>18.014099999999999</v>
      </c>
      <c r="M8220">
        <v>0.99921729999999997</v>
      </c>
      <c r="N8220">
        <v>-1.328669E-2</v>
      </c>
      <c r="O8220">
        <v>3.7259090000000002E-2</v>
      </c>
      <c r="P8220">
        <v>0.99026910000000001</v>
      </c>
      <c r="Q8220">
        <v>0.13256670000000001</v>
      </c>
      <c r="R8220">
        <v>-4.2348759999999999E-2</v>
      </c>
      <c r="S8220">
        <v>3.1381230000000002</v>
      </c>
      <c r="T8220">
        <v>-0.90407369999999998</v>
      </c>
      <c r="U8220">
        <v>-0.28567500000000001</v>
      </c>
      <c r="V8220">
        <v>7.9251680000000005E-2</v>
      </c>
      <c r="W8220">
        <v>0.14566460000000001</v>
      </c>
      <c r="X8220">
        <v>0.98615469999999905</v>
      </c>
      <c r="Y8220">
        <v>0.12120599999999999</v>
      </c>
      <c r="Z8220">
        <v>-2.7919340000000001E-2</v>
      </c>
      <c r="AA8220">
        <v>0.99223459999999997</v>
      </c>
      <c r="AB8220">
        <v>18</v>
      </c>
      <c r="AC8220">
        <v>0.57900000000000695</v>
      </c>
      <c r="AD8220">
        <v>-0.196438</v>
      </c>
      <c r="AE8220">
        <v>-6.6029999999997799E-2</v>
      </c>
      <c r="AF8220">
        <v>7.8625113695934501E-2</v>
      </c>
      <c r="AG8220">
        <v>-0.196438</v>
      </c>
      <c r="AH8220">
        <v>0.51735220475560995</v>
      </c>
      <c r="AI8220">
        <v>110.575553197896</v>
      </c>
      <c r="AJ8220">
        <v>81.358542009085696</v>
      </c>
      <c r="AK8220">
        <v>0.55894820879325602</v>
      </c>
      <c r="AL8220">
        <v>81.624233819017903</v>
      </c>
      <c r="AM8220">
        <v>85.405336464019399</v>
      </c>
      <c r="AN8220">
        <v>1.0000000484040299</v>
      </c>
    </row>
    <row r="8221" spans="1:40" x14ac:dyDescent="0.25">
      <c r="A8221" t="str">
        <f>"20190303162114514"</f>
        <v>20190303162114514</v>
      </c>
      <c r="B8221" t="str">
        <f>"1551601274510733"</f>
        <v>1551601274510733</v>
      </c>
      <c r="C8221" t="s">
        <v>40</v>
      </c>
      <c r="D8221">
        <v>4.8571730000000004</v>
      </c>
      <c r="E8221">
        <v>0.49973879999999998</v>
      </c>
      <c r="F8221" t="s">
        <v>42</v>
      </c>
      <c r="G8221">
        <v>-346.2432</v>
      </c>
      <c r="H8221">
        <v>0.90995720000000002</v>
      </c>
      <c r="I8221">
        <v>17.94754</v>
      </c>
      <c r="J8221">
        <v>-346.83969999999999</v>
      </c>
      <c r="K8221">
        <v>1.1215409999999999</v>
      </c>
      <c r="L8221">
        <v>18.019200000000001</v>
      </c>
      <c r="M8221">
        <v>0.99922140000000004</v>
      </c>
      <c r="N8221">
        <v>-1.321225E-2</v>
      </c>
      <c r="O8221">
        <v>3.7179490000000003E-2</v>
      </c>
      <c r="P8221">
        <v>0.99040479999999997</v>
      </c>
      <c r="Q8221">
        <v>0.1319235</v>
      </c>
      <c r="R8221">
        <v>-4.1166429999999997E-2</v>
      </c>
      <c r="S8221">
        <v>3.138458</v>
      </c>
      <c r="T8221">
        <v>-0.90453519999999998</v>
      </c>
      <c r="U8221">
        <v>-0.2834778</v>
      </c>
      <c r="V8221">
        <v>7.8004390000000007E-2</v>
      </c>
      <c r="W8221">
        <v>0.14494609999999999</v>
      </c>
      <c r="X8221">
        <v>0.98636000000000001</v>
      </c>
      <c r="Y8221">
        <v>0.120458</v>
      </c>
      <c r="Z8221">
        <v>-2.779701E-2</v>
      </c>
      <c r="AA8221">
        <v>0.99232920000000002</v>
      </c>
      <c r="AB8221">
        <v>18</v>
      </c>
      <c r="AC8221">
        <v>0.59649999999999104</v>
      </c>
      <c r="AD8221">
        <v>-0.21158379999999899</v>
      </c>
      <c r="AE8221">
        <v>-7.1660000000001306E-2</v>
      </c>
      <c r="AF8221">
        <v>8.3440907913315501E-2</v>
      </c>
      <c r="AG8221">
        <v>-0.21158379999999899</v>
      </c>
      <c r="AH8221">
        <v>0.52794309469026102</v>
      </c>
      <c r="AI8221">
        <v>111.596454728701</v>
      </c>
      <c r="AJ8221">
        <v>81.018746806889993</v>
      </c>
      <c r="AK8221">
        <v>0.57485128578352196</v>
      </c>
      <c r="AL8221">
        <v>81.665842473756499</v>
      </c>
      <c r="AM8221">
        <v>85.478283901569</v>
      </c>
      <c r="AN8221">
        <v>1.00000005318223</v>
      </c>
    </row>
    <row r="8222" spans="1:40" x14ac:dyDescent="0.25">
      <c r="A8222" t="str">
        <f>"20190303162114526"</f>
        <v>20190303162114526</v>
      </c>
      <c r="B8222" t="str">
        <f>"1551601274521469"</f>
        <v>1551601274521469</v>
      </c>
      <c r="C8222" t="s">
        <v>40</v>
      </c>
      <c r="D8222">
        <v>4.9032289999999996</v>
      </c>
      <c r="E8222">
        <v>0.49383080000000001</v>
      </c>
      <c r="F8222" t="s">
        <v>42</v>
      </c>
      <c r="G8222">
        <v>-346.03809999999999</v>
      </c>
      <c r="H8222">
        <v>1.0013099999999999</v>
      </c>
      <c r="I8222">
        <v>17.98387</v>
      </c>
      <c r="J8222">
        <v>-346.738</v>
      </c>
      <c r="K8222">
        <v>1.1215200000000001</v>
      </c>
      <c r="L8222">
        <v>18.022950000000002</v>
      </c>
      <c r="M8222">
        <v>0.99922500000000003</v>
      </c>
      <c r="N8222">
        <v>-1.3160109999999999E-2</v>
      </c>
      <c r="O8222">
        <v>3.7100189999999998E-2</v>
      </c>
      <c r="P8222">
        <v>0.99045030000000001</v>
      </c>
      <c r="Q8222">
        <v>0.131814299999999</v>
      </c>
      <c r="R8222">
        <v>-4.0416779999999999E-2</v>
      </c>
      <c r="S8222">
        <v>3.085083</v>
      </c>
      <c r="T8222">
        <v>-0.46278599999999998</v>
      </c>
      <c r="U8222">
        <v>-0.13510129999999901</v>
      </c>
      <c r="V8222">
        <v>7.7184240000000001E-2</v>
      </c>
      <c r="W8222">
        <v>0.14478379999999999</v>
      </c>
      <c r="X8222">
        <v>0.98644829999999994</v>
      </c>
      <c r="Y8222">
        <v>7.9476050000000006E-2</v>
      </c>
      <c r="Z8222">
        <v>-1.1497800000000001E-2</v>
      </c>
      <c r="AA8222">
        <v>0.99677039999999995</v>
      </c>
      <c r="AB8222">
        <v>18</v>
      </c>
      <c r="AC8222">
        <v>0.69990000000007002</v>
      </c>
      <c r="AD8222">
        <v>-0.120209999999999</v>
      </c>
      <c r="AE8222">
        <v>-3.9080000000001898E-2</v>
      </c>
      <c r="AF8222">
        <v>6.3164260244244097E-2</v>
      </c>
      <c r="AG8222">
        <v>-0.120209999999999</v>
      </c>
      <c r="AH8222">
        <v>0.67802897011903196</v>
      </c>
      <c r="AI8222">
        <v>100.011223106523</v>
      </c>
      <c r="AJ8222">
        <v>84.677763737310201</v>
      </c>
      <c r="AK8222">
        <v>0.69149363857730295</v>
      </c>
      <c r="AL8222">
        <v>81.675240288047306</v>
      </c>
      <c r="AM8222">
        <v>85.526030728256103</v>
      </c>
      <c r="AN8222">
        <v>1.0000000021098501</v>
      </c>
    </row>
    <row r="8223" spans="1:40" x14ac:dyDescent="0.25">
      <c r="A8223" t="str">
        <f>"20190303162114537"</f>
        <v>20190303162114537</v>
      </c>
      <c r="B8223" t="str">
        <f>"1551601274531229"</f>
        <v>1551601274531229</v>
      </c>
      <c r="C8223" t="s">
        <v>40</v>
      </c>
      <c r="D8223">
        <v>4.9123739999999998</v>
      </c>
      <c r="E8223">
        <v>0.48948659999999999</v>
      </c>
      <c r="F8223" t="s">
        <v>42</v>
      </c>
      <c r="G8223">
        <v>-345.87029999999999</v>
      </c>
      <c r="H8223">
        <v>1.0140910000000001</v>
      </c>
      <c r="I8223">
        <v>17.998639999999899</v>
      </c>
      <c r="J8223">
        <v>-346.64370000000002</v>
      </c>
      <c r="K8223">
        <v>1.1214980000000001</v>
      </c>
      <c r="L8223">
        <v>18.026340000000001</v>
      </c>
      <c r="M8223">
        <v>0.99922920000000004</v>
      </c>
      <c r="N8223">
        <v>-1.3116020000000001E-2</v>
      </c>
      <c r="O8223">
        <v>3.7000459999999999E-2</v>
      </c>
      <c r="P8223">
        <v>0.9905098</v>
      </c>
      <c r="Q8223">
        <v>0.13144990000000001</v>
      </c>
      <c r="R8223">
        <v>-4.0140080000000002E-2</v>
      </c>
      <c r="S8223">
        <v>3.0761409999999998</v>
      </c>
      <c r="T8223">
        <v>-0.38078580000000001</v>
      </c>
      <c r="U8223">
        <v>-8.4625240000000004E-2</v>
      </c>
      <c r="V8223">
        <v>7.6816980000000007E-2</v>
      </c>
      <c r="W8223">
        <v>0.1443738</v>
      </c>
      <c r="X8223">
        <v>0.986537</v>
      </c>
      <c r="Y8223">
        <v>6.3707169999999994E-2</v>
      </c>
      <c r="Z8223">
        <v>-8.4250739999999994E-3</v>
      </c>
      <c r="AA8223">
        <v>0.99793310000000002</v>
      </c>
      <c r="AB8223">
        <v>18</v>
      </c>
      <c r="AC8223">
        <v>0.77340000000003695</v>
      </c>
      <c r="AD8223">
        <v>-0.107406999999999</v>
      </c>
      <c r="AE8223">
        <v>-2.7700000000002899E-2</v>
      </c>
      <c r="AF8223">
        <v>5.5235698909604301E-2</v>
      </c>
      <c r="AG8223">
        <v>-0.107406999999999</v>
      </c>
      <c r="AH8223">
        <v>0.75725904080422302</v>
      </c>
      <c r="AI8223">
        <v>98.051677941175598</v>
      </c>
      <c r="AJ8223">
        <v>85.828141490511896</v>
      </c>
      <c r="AK8223">
        <v>0.76683016435372697</v>
      </c>
      <c r="AL8223">
        <v>81.698980537613195</v>
      </c>
      <c r="AM8223">
        <v>85.547631806587404</v>
      </c>
      <c r="AN8223">
        <v>0.99999994745587895</v>
      </c>
    </row>
    <row r="8224" spans="1:40" x14ac:dyDescent="0.25">
      <c r="A8224" t="str">
        <f>"20190303162114550"</f>
        <v>20190303162114550</v>
      </c>
      <c r="B8224" t="str">
        <f>"1551601274541406"</f>
        <v>1551601274541406</v>
      </c>
      <c r="C8224" t="s">
        <v>40</v>
      </c>
      <c r="D8224">
        <v>5.1025830000000001</v>
      </c>
      <c r="E8224">
        <v>0.48685109999999898</v>
      </c>
      <c r="F8224" t="s">
        <v>42</v>
      </c>
      <c r="G8224">
        <v>-345.85899999999998</v>
      </c>
      <c r="H8224">
        <v>1.037849</v>
      </c>
      <c r="I8224">
        <v>18.013559999999998</v>
      </c>
      <c r="J8224">
        <v>-346.54669999999999</v>
      </c>
      <c r="K8224">
        <v>1.121478</v>
      </c>
      <c r="L8224">
        <v>18.029820000000001</v>
      </c>
      <c r="M8224">
        <v>0.99923399999999996</v>
      </c>
      <c r="N8224">
        <v>-1.3072540000000001E-2</v>
      </c>
      <c r="O8224">
        <v>3.6887650000000001E-2</v>
      </c>
      <c r="P8224">
        <v>0.99052130000000005</v>
      </c>
      <c r="Q8224">
        <v>0.1315037</v>
      </c>
      <c r="R8224">
        <v>-3.9680189999999997E-2</v>
      </c>
      <c r="S8224">
        <v>3.0701900000000002</v>
      </c>
      <c r="T8224">
        <v>-0.32727719999999999</v>
      </c>
      <c r="U8224">
        <v>-4.8278809999999998E-2</v>
      </c>
      <c r="V8224">
        <v>7.6252249999999994E-2</v>
      </c>
      <c r="W8224">
        <v>0.14438229999999999</v>
      </c>
      <c r="X8224">
        <v>0.9865796</v>
      </c>
      <c r="Y8224">
        <v>5.210625E-2</v>
      </c>
      <c r="Z8224">
        <v>-6.5502729999999997E-3</v>
      </c>
      <c r="AA8224">
        <v>0.99862010000000001</v>
      </c>
      <c r="AB8224">
        <v>18</v>
      </c>
      <c r="AC8224">
        <v>0.68769999999994902</v>
      </c>
      <c r="AD8224">
        <v>-8.3628999999999898E-2</v>
      </c>
      <c r="AE8224">
        <v>-1.6259999999999001E-2</v>
      </c>
      <c r="AF8224">
        <v>4.1012570513444299E-2</v>
      </c>
      <c r="AG8224">
        <v>-8.3628999999999898E-2</v>
      </c>
      <c r="AH8224">
        <v>0.67663145930989199</v>
      </c>
      <c r="AI8224">
        <v>97.033023955549695</v>
      </c>
      <c r="AJ8224">
        <v>86.531382371134001</v>
      </c>
      <c r="AK8224">
        <v>0.68301242471052703</v>
      </c>
      <c r="AL8224">
        <v>81.698488644378898</v>
      </c>
      <c r="AM8224">
        <v>85.580423885222402</v>
      </c>
      <c r="AN8224">
        <v>0.99999998065975604</v>
      </c>
    </row>
    <row r="8225" spans="1:40" x14ac:dyDescent="0.25">
      <c r="A8225" t="str">
        <f>"20190303162114560"</f>
        <v>20190303162114560</v>
      </c>
      <c r="B8225" t="str">
        <f>"1551601274551166"</f>
        <v>1551601274551166</v>
      </c>
      <c r="C8225" t="s">
        <v>40</v>
      </c>
      <c r="D8225">
        <v>5.0468199999999896</v>
      </c>
      <c r="E8225">
        <v>0.4859368</v>
      </c>
      <c r="F8225" t="s">
        <v>42</v>
      </c>
      <c r="G8225">
        <v>-345.6936</v>
      </c>
      <c r="H8225">
        <v>1.0441240000000001</v>
      </c>
      <c r="I8225">
        <v>18.02291</v>
      </c>
      <c r="J8225">
        <v>-346.45650000000001</v>
      </c>
      <c r="K8225">
        <v>1.1214599999999999</v>
      </c>
      <c r="L8225">
        <v>18.033049999999999</v>
      </c>
      <c r="M8225">
        <v>0.99923879999999998</v>
      </c>
      <c r="N8225">
        <v>-1.303466E-2</v>
      </c>
      <c r="O8225">
        <v>3.6768200000000001E-2</v>
      </c>
      <c r="P8225">
        <v>0.99052059999999997</v>
      </c>
      <c r="Q8225">
        <v>0.13162470000000001</v>
      </c>
      <c r="R8225">
        <v>-3.929552E-2</v>
      </c>
      <c r="S8225">
        <v>3.064575</v>
      </c>
      <c r="T8225">
        <v>-0.27785850000000001</v>
      </c>
      <c r="U8225">
        <v>-2.505493E-2</v>
      </c>
      <c r="V8225">
        <v>7.5755690000000001E-2</v>
      </c>
      <c r="W8225">
        <v>0.14446349999999999</v>
      </c>
      <c r="X8225">
        <v>0.98660599999999998</v>
      </c>
      <c r="Y8225">
        <v>4.4619979999999997E-2</v>
      </c>
      <c r="Z8225">
        <v>-5.158007E-3</v>
      </c>
      <c r="AA8225">
        <v>0.99899070000000001</v>
      </c>
      <c r="AB8225">
        <v>18</v>
      </c>
      <c r="AC8225">
        <v>0.76290000000000102</v>
      </c>
      <c r="AD8225">
        <v>-7.7336000000000002E-2</v>
      </c>
      <c r="AE8225">
        <v>-1.01399999999998E-2</v>
      </c>
      <c r="AF8225">
        <v>3.7797642013720101E-2</v>
      </c>
      <c r="AG8225">
        <v>-7.7336000000000002E-2</v>
      </c>
      <c r="AH8225">
        <v>0.75426169712543401</v>
      </c>
      <c r="AI8225">
        <v>95.846910447339098</v>
      </c>
      <c r="AJ8225">
        <v>87.131187634946301</v>
      </c>
      <c r="AK8225">
        <v>0.75915757678385698</v>
      </c>
      <c r="AL8225">
        <v>81.693787207709605</v>
      </c>
      <c r="AM8225">
        <v>85.609208588290201</v>
      </c>
      <c r="AN8225">
        <v>1.00000001331781</v>
      </c>
    </row>
    <row r="8226" spans="1:40" x14ac:dyDescent="0.25">
      <c r="A8226" t="str">
        <f>"20190303162114571"</f>
        <v>20190303162114571</v>
      </c>
      <c r="B8226" t="str">
        <f>"1551601274560927"</f>
        <v>1551601274560927</v>
      </c>
      <c r="C8226" t="s">
        <v>40</v>
      </c>
      <c r="D8226">
        <v>5.040737</v>
      </c>
      <c r="E8226">
        <v>0.48525400000000002</v>
      </c>
      <c r="F8226" t="s">
        <v>41</v>
      </c>
      <c r="G8226">
        <v>-332.43950000000001</v>
      </c>
      <c r="H8226" s="1">
        <v>-3.5196569999999998E-6</v>
      </c>
      <c r="I8226">
        <v>17.959309999999999</v>
      </c>
      <c r="J8226">
        <v>-346.36939999999998</v>
      </c>
      <c r="K8226">
        <v>1.1214379999999999</v>
      </c>
      <c r="L8226">
        <v>18.03613</v>
      </c>
      <c r="M8226">
        <v>0.99924409999999997</v>
      </c>
      <c r="N8226">
        <v>-1.300048E-2</v>
      </c>
      <c r="O8226">
        <v>3.6637259999999998E-2</v>
      </c>
      <c r="P8226">
        <v>0.99051120000000004</v>
      </c>
      <c r="Q8226">
        <v>0.13174710000000001</v>
      </c>
      <c r="R8226">
        <v>-3.9121169999999997E-2</v>
      </c>
      <c r="S8226">
        <v>3.0606080000000002</v>
      </c>
      <c r="T8226">
        <v>-0.2448707</v>
      </c>
      <c r="U8226">
        <v>-1.6082760000000001E-2</v>
      </c>
      <c r="V8226">
        <v>7.5457739999999995E-2</v>
      </c>
      <c r="W8226">
        <v>0.14454929999999999</v>
      </c>
      <c r="X8226">
        <v>0.9866163</v>
      </c>
      <c r="Y8226">
        <v>4.1654129999999998E-2</v>
      </c>
      <c r="Z8226">
        <v>-4.3852989999999996E-3</v>
      </c>
      <c r="AA8226">
        <v>0.99912239999999997</v>
      </c>
      <c r="AB8226">
        <v>18</v>
      </c>
      <c r="AC8226">
        <v>13.9298999999999</v>
      </c>
      <c r="AD8226">
        <v>-1.121441519657</v>
      </c>
      <c r="AE8226">
        <v>-7.6819999999997807E-2</v>
      </c>
      <c r="AF8226">
        <v>0.58338397045548396</v>
      </c>
      <c r="AG8226">
        <v>-1.121441519657</v>
      </c>
      <c r="AH8226">
        <v>13.8281111846419</v>
      </c>
      <c r="AI8226">
        <v>94.632362337431104</v>
      </c>
      <c r="AJ8226">
        <v>87.584223232100797</v>
      </c>
      <c r="AK8226">
        <v>13.8857706618615</v>
      </c>
      <c r="AL8226">
        <v>81.688819366059604</v>
      </c>
      <c r="AM8226">
        <v>85.626456083217406</v>
      </c>
      <c r="AN8226">
        <v>1.00000004704104</v>
      </c>
    </row>
    <row r="8227" spans="1:40" x14ac:dyDescent="0.25">
      <c r="A8227" t="str">
        <f>"20190303162114583"</f>
        <v>20190303162114583</v>
      </c>
      <c r="B8227" t="str">
        <f>"1551601274570686"</f>
        <v>1551601274570686</v>
      </c>
      <c r="C8227" t="s">
        <v>40</v>
      </c>
      <c r="D8227">
        <v>5.0339269999999896</v>
      </c>
      <c r="E8227">
        <v>0.48469800000000002</v>
      </c>
      <c r="F8227" t="s">
        <v>41</v>
      </c>
      <c r="G8227">
        <v>-331.02870000000001</v>
      </c>
      <c r="H8227" s="1">
        <v>-4.1201389999999998E-6</v>
      </c>
      <c r="I8227">
        <v>17.986149999999999</v>
      </c>
      <c r="J8227">
        <v>-346.27620000000002</v>
      </c>
      <c r="K8227">
        <v>1.1214189999999999</v>
      </c>
      <c r="L8227">
        <v>18.039429999999999</v>
      </c>
      <c r="M8227">
        <v>0.99925019999999998</v>
      </c>
      <c r="N8227">
        <v>-1.29654E-2</v>
      </c>
      <c r="O8227">
        <v>3.6486980000000002E-2</v>
      </c>
      <c r="P8227">
        <v>0.99048979999999998</v>
      </c>
      <c r="Q8227">
        <v>0.13196659999999999</v>
      </c>
      <c r="R8227">
        <v>-3.8924380000000001E-2</v>
      </c>
      <c r="S8227">
        <v>3.0580750000000001</v>
      </c>
      <c r="T8227">
        <v>-0.22355179999999999</v>
      </c>
      <c r="U8227">
        <v>-9.9487299999999994E-3</v>
      </c>
      <c r="V8227">
        <v>7.5118679999999993E-2</v>
      </c>
      <c r="W8227">
        <v>0.144731</v>
      </c>
      <c r="X8227">
        <v>0.98661549999999998</v>
      </c>
      <c r="Y8227">
        <v>3.9550780000000001E-2</v>
      </c>
      <c r="Z8227">
        <v>-3.891172E-3</v>
      </c>
      <c r="AA8227">
        <v>0.99921000000000004</v>
      </c>
      <c r="AB8227">
        <v>18</v>
      </c>
      <c r="AC8227">
        <v>15.2475</v>
      </c>
      <c r="AD8227">
        <v>-1.1214231201389999</v>
      </c>
      <c r="AE8227">
        <v>-5.3280000000000799E-2</v>
      </c>
      <c r="AF8227">
        <v>0.60634653390057403</v>
      </c>
      <c r="AG8227">
        <v>-1.1214231201389999</v>
      </c>
      <c r="AH8227">
        <v>15.1534326436282</v>
      </c>
      <c r="AI8227">
        <v>94.229061730172802</v>
      </c>
      <c r="AJ8227">
        <v>87.708600120896094</v>
      </c>
      <c r="AK8227">
        <v>15.2069644182701</v>
      </c>
      <c r="AL8227">
        <v>81.678297788361704</v>
      </c>
      <c r="AM8227">
        <v>85.646028806158697</v>
      </c>
      <c r="AN8227">
        <v>1.00000001164309</v>
      </c>
    </row>
    <row r="8228" spans="1:40" x14ac:dyDescent="0.25">
      <c r="A8228" t="str">
        <f>"20190303162114595"</f>
        <v>20190303162114595</v>
      </c>
      <c r="B8228" t="str">
        <f>"1551601274581421"</f>
        <v>1551601274581421</v>
      </c>
      <c r="C8228" t="s">
        <v>40</v>
      </c>
      <c r="D8228">
        <v>5.0985040000000001</v>
      </c>
      <c r="E8228">
        <v>0.48455769999999998</v>
      </c>
      <c r="F8228" t="s">
        <v>41</v>
      </c>
      <c r="G8228">
        <v>-330.03339999999997</v>
      </c>
      <c r="H8228" s="1">
        <v>-4.5426289999999997E-6</v>
      </c>
      <c r="I8228">
        <v>18.011299999999999</v>
      </c>
      <c r="J8228">
        <v>-346.17899999999997</v>
      </c>
      <c r="K8228">
        <v>1.1213979999999999</v>
      </c>
      <c r="L8228">
        <v>18.04279</v>
      </c>
      <c r="M8228">
        <v>0.99925730000000001</v>
      </c>
      <c r="N8228">
        <v>-1.293205E-2</v>
      </c>
      <c r="O8228">
        <v>3.6302319999999999E-2</v>
      </c>
      <c r="P8228">
        <v>0.99045360000000005</v>
      </c>
      <c r="Q8228">
        <v>0.1323387</v>
      </c>
      <c r="R8228">
        <v>-3.8579200000000001E-2</v>
      </c>
      <c r="S8228">
        <v>3.0567319999999998</v>
      </c>
      <c r="T8228">
        <v>-0.21104149999999999</v>
      </c>
      <c r="U8228">
        <v>-5.2795409999999996E-3</v>
      </c>
      <c r="V8228">
        <v>7.4597689999999994E-2</v>
      </c>
      <c r="W8228">
        <v>0.145066</v>
      </c>
      <c r="X8228">
        <v>0.98660579999999998</v>
      </c>
      <c r="Y8228">
        <v>3.7867230000000002E-2</v>
      </c>
      <c r="Z8228">
        <v>-3.5847470000000001E-3</v>
      </c>
      <c r="AA8228">
        <v>0.99927630000000001</v>
      </c>
      <c r="AB8228">
        <v>18</v>
      </c>
      <c r="AC8228">
        <v>16.145600000000002</v>
      </c>
      <c r="AD8228">
        <v>-1.121402542629</v>
      </c>
      <c r="AE8228">
        <v>-3.1490000000001503E-2</v>
      </c>
      <c r="AF8228">
        <v>0.61467568750303003</v>
      </c>
      <c r="AG8228">
        <v>-1.121402542629</v>
      </c>
      <c r="AH8228">
        <v>16.0563557667457</v>
      </c>
      <c r="AI8228">
        <v>93.992230020715596</v>
      </c>
      <c r="AJ8228">
        <v>87.807651147619396</v>
      </c>
      <c r="AK8228">
        <v>16.107201196102601</v>
      </c>
      <c r="AL8228">
        <v>81.658898729733593</v>
      </c>
      <c r="AM8228">
        <v>85.676068759816502</v>
      </c>
      <c r="AN8228">
        <v>0.999999982151487</v>
      </c>
    </row>
    <row r="8229" spans="1:40" x14ac:dyDescent="0.25">
      <c r="A8229" t="str">
        <f>"20190303162114606"</f>
        <v>20190303162114606</v>
      </c>
      <c r="B8229" t="str">
        <f>"1551601274600942"</f>
        <v>1551601274600942</v>
      </c>
      <c r="C8229" t="s">
        <v>40</v>
      </c>
      <c r="D8229">
        <v>5.0351169999999996</v>
      </c>
      <c r="E8229">
        <v>0.48435149999999999</v>
      </c>
      <c r="F8229" t="s">
        <v>41</v>
      </c>
      <c r="G8229">
        <v>-329.09039999999999</v>
      </c>
      <c r="H8229" s="1">
        <v>-7.573647E-7</v>
      </c>
      <c r="I8229">
        <v>18.023330000000001</v>
      </c>
      <c r="J8229">
        <v>-346.08420000000001</v>
      </c>
      <c r="K8229">
        <v>1.1213770000000001</v>
      </c>
      <c r="L8229">
        <v>18.046050000000001</v>
      </c>
      <c r="M8229">
        <v>0.9992645</v>
      </c>
      <c r="N8229">
        <v>-1.290064E-2</v>
      </c>
      <c r="O8229">
        <v>3.6110860000000002E-2</v>
      </c>
      <c r="P8229">
        <v>0.99042889999999995</v>
      </c>
      <c r="Q8229">
        <v>0.13271069999999999</v>
      </c>
      <c r="R8229">
        <v>-3.793055E-2</v>
      </c>
      <c r="S8229">
        <v>3.055542</v>
      </c>
      <c r="T8229">
        <v>-0.20051260000000001</v>
      </c>
      <c r="U8229">
        <v>-3.479004E-3</v>
      </c>
      <c r="V8229">
        <v>7.3767200000000005E-2</v>
      </c>
      <c r="W8229">
        <v>0.145403799999999</v>
      </c>
      <c r="X8229">
        <v>0.98661849999999995</v>
      </c>
      <c r="Y8229">
        <v>3.7106050000000002E-2</v>
      </c>
      <c r="Z8229">
        <v>-3.357077E-3</v>
      </c>
      <c r="AA8229">
        <v>0.99930569999999996</v>
      </c>
      <c r="AB8229">
        <v>18</v>
      </c>
      <c r="AC8229">
        <v>16.9938</v>
      </c>
      <c r="AD8229">
        <v>-1.1213777573646999</v>
      </c>
      <c r="AE8229">
        <v>-2.2720000000003099E-2</v>
      </c>
      <c r="AF8229">
        <v>0.63365783472791304</v>
      </c>
      <c r="AG8229">
        <v>-1.1213777573646999</v>
      </c>
      <c r="AH8229">
        <v>16.9082698099872</v>
      </c>
      <c r="AI8229">
        <v>93.791717641624601</v>
      </c>
      <c r="AJ8229">
        <v>87.853775845203302</v>
      </c>
      <c r="AK8229">
        <v>16.957257982750299</v>
      </c>
      <c r="AL8229">
        <v>81.639336656834999</v>
      </c>
      <c r="AM8229">
        <v>85.724082031226104</v>
      </c>
      <c r="AN8229">
        <v>0.99999996469626395</v>
      </c>
    </row>
    <row r="8230" spans="1:40" x14ac:dyDescent="0.25">
      <c r="A8230" t="str">
        <f>"20190303162114617"</f>
        <v>20190303162114617</v>
      </c>
      <c r="B8230" t="str">
        <f>"1551601274610702"</f>
        <v>1551601274610702</v>
      </c>
      <c r="C8230" t="s">
        <v>40</v>
      </c>
      <c r="D8230">
        <v>5.0958759999999996</v>
      </c>
      <c r="E8230">
        <v>0.48440939999999999</v>
      </c>
      <c r="F8230" t="s">
        <v>41</v>
      </c>
      <c r="G8230">
        <v>-327.84289999999999</v>
      </c>
      <c r="H8230" s="1">
        <v>-1.278778E-6</v>
      </c>
      <c r="I8230">
        <v>18.045500000000001</v>
      </c>
      <c r="J8230">
        <v>-345.99200000000002</v>
      </c>
      <c r="K8230">
        <v>1.121354</v>
      </c>
      <c r="L8230">
        <v>18.049130000000002</v>
      </c>
      <c r="M8230">
        <v>0.99927270000000001</v>
      </c>
      <c r="N8230">
        <v>-1.287291E-2</v>
      </c>
      <c r="O8230">
        <v>3.5893010000000003E-2</v>
      </c>
      <c r="P8230">
        <v>0.99038179999999998</v>
      </c>
      <c r="Q8230">
        <v>0.13318050000000001</v>
      </c>
      <c r="R8230">
        <v>-3.751032E-2</v>
      </c>
      <c r="S8230">
        <v>3.0541689999999999</v>
      </c>
      <c r="T8230">
        <v>-0.1877538</v>
      </c>
      <c r="U8230" s="1">
        <v>-9.1552730000000004E-5</v>
      </c>
      <c r="V8230">
        <v>7.3138599999999998E-2</v>
      </c>
      <c r="W8230">
        <v>0.145842</v>
      </c>
      <c r="X8230">
        <v>0.98660060000000005</v>
      </c>
      <c r="Y8230">
        <v>3.5801859999999998E-2</v>
      </c>
      <c r="Z8230">
        <v>-3.0723999999999999E-3</v>
      </c>
      <c r="AA8230">
        <v>0.99935419999999997</v>
      </c>
      <c r="AB8230">
        <v>18</v>
      </c>
      <c r="AC8230">
        <v>18.149099999999901</v>
      </c>
      <c r="AD8230">
        <v>-1.1213552787779999</v>
      </c>
      <c r="AE8230">
        <v>-3.6299999999975701E-3</v>
      </c>
      <c r="AF8230">
        <v>0.65261614006078805</v>
      </c>
      <c r="AG8230">
        <v>-1.1213552787779999</v>
      </c>
      <c r="AH8230">
        <v>18.068297888832198</v>
      </c>
      <c r="AI8230">
        <v>93.549029232249097</v>
      </c>
      <c r="AJ8230">
        <v>87.931409883023406</v>
      </c>
      <c r="AK8230">
        <v>18.114820840601499</v>
      </c>
      <c r="AL8230">
        <v>81.613958948839098</v>
      </c>
      <c r="AM8230">
        <v>85.760308786302502</v>
      </c>
      <c r="AN8230">
        <v>0.99999994384715796</v>
      </c>
    </row>
    <row r="8231" spans="1:40" x14ac:dyDescent="0.25">
      <c r="A8231" t="str">
        <f>"20190303162114629"</f>
        <v>20190303162114629</v>
      </c>
      <c r="B8231" t="str">
        <f>"1551601274621438"</f>
        <v>1551601274621438</v>
      </c>
      <c r="C8231" t="s">
        <v>40</v>
      </c>
      <c r="D8231">
        <v>5.0959570000000003</v>
      </c>
      <c r="E8231">
        <v>0.48447570000000001</v>
      </c>
      <c r="F8231" t="s">
        <v>41</v>
      </c>
      <c r="G8231">
        <v>-327.11219999999997</v>
      </c>
      <c r="H8231" s="1">
        <v>-1.6229989999999999E-6</v>
      </c>
      <c r="I8231">
        <v>18.052150000000001</v>
      </c>
      <c r="J8231">
        <v>-345.90019999999998</v>
      </c>
      <c r="K8231">
        <v>1.1213310000000001</v>
      </c>
      <c r="L8231">
        <v>18.05219</v>
      </c>
      <c r="M8231">
        <v>0.99928159999999999</v>
      </c>
      <c r="N8231">
        <v>-1.2846649999999999E-2</v>
      </c>
      <c r="O8231">
        <v>3.5659290000000003E-2</v>
      </c>
      <c r="P8231">
        <v>0.99027679999999996</v>
      </c>
      <c r="Q8231">
        <v>0.1340684</v>
      </c>
      <c r="R8231">
        <v>-3.7122719999999998E-2</v>
      </c>
      <c r="S8231">
        <v>3.053528</v>
      </c>
      <c r="T8231">
        <v>-0.18136289999999999</v>
      </c>
      <c r="U8231">
        <v>4.8828130000000002E-4</v>
      </c>
      <c r="V8231">
        <v>7.2524939999999996E-2</v>
      </c>
      <c r="W8231">
        <v>0.14669960000000001</v>
      </c>
      <c r="X8231">
        <v>0.98651880000000003</v>
      </c>
      <c r="Y8231">
        <v>3.5387979999999999E-2</v>
      </c>
      <c r="Z8231">
        <v>-2.9354479999999998E-3</v>
      </c>
      <c r="AA8231">
        <v>0.99936930000000002</v>
      </c>
      <c r="AB8231">
        <v>18</v>
      </c>
      <c r="AC8231">
        <v>18.788</v>
      </c>
      <c r="AD8231">
        <v>-1.1213326229989999</v>
      </c>
      <c r="AE8231" s="1">
        <v>-3.9999999998485603E-5</v>
      </c>
      <c r="AF8231">
        <v>0.66768352846789603</v>
      </c>
      <c r="AG8231">
        <v>-1.1213326229989999</v>
      </c>
      <c r="AH8231">
        <v>18.709402511443201</v>
      </c>
      <c r="AI8231">
        <v>93.427695642318099</v>
      </c>
      <c r="AJ8231">
        <v>87.956149570986597</v>
      </c>
      <c r="AK8231">
        <v>18.754864181880599</v>
      </c>
      <c r="AL8231">
        <v>81.564288252706802</v>
      </c>
      <c r="AM8231">
        <v>85.795405923707094</v>
      </c>
      <c r="AN8231">
        <v>0.99999999115780103</v>
      </c>
    </row>
    <row r="8232" spans="1:40" x14ac:dyDescent="0.25">
      <c r="A8232" t="str">
        <f>"20190303162114640"</f>
        <v>20190303162114640</v>
      </c>
      <c r="B8232" t="str">
        <f>"1551601274631198"</f>
        <v>1551601274631198</v>
      </c>
      <c r="C8232" t="s">
        <v>40</v>
      </c>
      <c r="D8232">
        <v>5.09457</v>
      </c>
      <c r="E8232">
        <v>0.48440070000000002</v>
      </c>
      <c r="F8232" t="s">
        <v>41</v>
      </c>
      <c r="G8232">
        <v>-326.35890000000001</v>
      </c>
      <c r="H8232" s="1">
        <v>-1.9780170000000002E-6</v>
      </c>
      <c r="I8232">
        <v>18.058240000000001</v>
      </c>
      <c r="J8232">
        <v>-345.81079999999997</v>
      </c>
      <c r="K8232">
        <v>1.1213070000000001</v>
      </c>
      <c r="L8232">
        <v>18.055109999999999</v>
      </c>
      <c r="M8232">
        <v>0.99929069999999998</v>
      </c>
      <c r="N8232">
        <v>-1.282283E-2</v>
      </c>
      <c r="O8232">
        <v>3.5410240000000003E-2</v>
      </c>
      <c r="P8232">
        <v>0.99020439999999998</v>
      </c>
      <c r="Q8232">
        <v>0.13475219999999999</v>
      </c>
      <c r="R8232">
        <v>-3.6569890000000001E-2</v>
      </c>
      <c r="S8232">
        <v>3.053223</v>
      </c>
      <c r="T8232">
        <v>-0.17520229999999901</v>
      </c>
      <c r="U8232">
        <v>9.4604490000000003E-4</v>
      </c>
      <c r="V8232">
        <v>7.1732329999999997E-2</v>
      </c>
      <c r="W8232">
        <v>0.14735570000000001</v>
      </c>
      <c r="X8232">
        <v>0.98647899999999999</v>
      </c>
      <c r="Y8232">
        <v>3.4997929999999997E-2</v>
      </c>
      <c r="Z8232">
        <v>-2.804019E-3</v>
      </c>
      <c r="AA8232">
        <v>0.99938340000000003</v>
      </c>
      <c r="AB8232">
        <v>18</v>
      </c>
      <c r="AC8232">
        <v>19.451899999999899</v>
      </c>
      <c r="AD8232">
        <v>-1.121308978017</v>
      </c>
      <c r="AE8232">
        <v>3.1299999999987401E-3</v>
      </c>
      <c r="AF8232">
        <v>0.68345387464066598</v>
      </c>
      <c r="AG8232">
        <v>-1.121308978017</v>
      </c>
      <c r="AH8232">
        <v>19.375425814826801</v>
      </c>
      <c r="AI8232">
        <v>93.310115152382593</v>
      </c>
      <c r="AJ8232">
        <v>87.979771206889197</v>
      </c>
      <c r="AK8232">
        <v>19.4198756053895</v>
      </c>
      <c r="AL8232">
        <v>81.526283745023093</v>
      </c>
      <c r="AM8232">
        <v>85.841027745140295</v>
      </c>
      <c r="AN8232">
        <v>1.0000000234653501</v>
      </c>
    </row>
    <row r="8233" spans="1:40" x14ac:dyDescent="0.25">
      <c r="A8233" t="str">
        <f>"20190303162114651"</f>
        <v>20190303162114651</v>
      </c>
      <c r="B8233" t="str">
        <f>"1551601274640958"</f>
        <v>1551601274640958</v>
      </c>
      <c r="C8233" t="s">
        <v>40</v>
      </c>
      <c r="D8233">
        <v>5.1552689999999997</v>
      </c>
      <c r="E8233">
        <v>0.48444520000000002</v>
      </c>
      <c r="F8233" t="s">
        <v>41</v>
      </c>
      <c r="G8233">
        <v>-325.69319999999999</v>
      </c>
      <c r="H8233" s="1">
        <v>-2.2897689999999999E-6</v>
      </c>
      <c r="I8233">
        <v>18.074819999999999</v>
      </c>
      <c r="J8233">
        <v>-345.72430000000003</v>
      </c>
      <c r="K8233">
        <v>1.1212850000000001</v>
      </c>
      <c r="L8233">
        <v>18.057919999999999</v>
      </c>
      <c r="M8233">
        <v>0.99930010000000002</v>
      </c>
      <c r="N8233">
        <v>-1.2801460000000001E-2</v>
      </c>
      <c r="O8233">
        <v>3.5146110000000001E-2</v>
      </c>
      <c r="P8233">
        <v>0.99013720000000005</v>
      </c>
      <c r="Q8233">
        <v>0.1353974</v>
      </c>
      <c r="R8233">
        <v>-3.5996779999999999E-2</v>
      </c>
      <c r="S8233">
        <v>3.0529480000000002</v>
      </c>
      <c r="T8233">
        <v>-0.17016400000000001</v>
      </c>
      <c r="U8233">
        <v>2.9907229999999998E-3</v>
      </c>
      <c r="V8233">
        <v>7.0904640000000005E-2</v>
      </c>
      <c r="W8233">
        <v>0.14797630000000001</v>
      </c>
      <c r="X8233">
        <v>0.98644589999999999</v>
      </c>
      <c r="Y8233">
        <v>3.4072560000000002E-2</v>
      </c>
      <c r="Z8233">
        <v>-2.6745179999999999E-3</v>
      </c>
      <c r="AA8233">
        <v>0.99941579999999997</v>
      </c>
      <c r="AB8233">
        <v>18</v>
      </c>
      <c r="AC8233">
        <v>20.031099999999999</v>
      </c>
      <c r="AD8233">
        <v>-1.1212872897690001</v>
      </c>
      <c r="AE8233">
        <v>1.6899999999999599E-2</v>
      </c>
      <c r="AF8233">
        <v>0.685036910223489</v>
      </c>
      <c r="AG8233">
        <v>-1.1212872897690001</v>
      </c>
      <c r="AH8233">
        <v>19.9567827227823</v>
      </c>
      <c r="AI8233">
        <v>93.213937705458406</v>
      </c>
      <c r="AJ8233">
        <v>88.034035869576101</v>
      </c>
      <c r="AK8233">
        <v>19.9999934349716</v>
      </c>
      <c r="AL8233">
        <v>81.490331511401294</v>
      </c>
      <c r="AM8233">
        <v>85.888713449325493</v>
      </c>
      <c r="AN8233">
        <v>0.99999998348101404</v>
      </c>
    </row>
    <row r="8234" spans="1:40" x14ac:dyDescent="0.25">
      <c r="A8234" t="str">
        <f>"20190303162114664"</f>
        <v>20190303162114664</v>
      </c>
      <c r="B8234" t="str">
        <f>"1551601274650718"</f>
        <v>1551601274650718</v>
      </c>
      <c r="C8234" t="s">
        <v>40</v>
      </c>
      <c r="D8234">
        <v>5.0936669999999999</v>
      </c>
      <c r="E8234">
        <v>0.48450720000000003</v>
      </c>
      <c r="F8234" t="s">
        <v>41</v>
      </c>
      <c r="G8234">
        <v>-325.09660000000002</v>
      </c>
      <c r="H8234" s="1">
        <v>-2.569862E-6</v>
      </c>
      <c r="I8234">
        <v>18.085550000000001</v>
      </c>
      <c r="J8234">
        <v>-345.62299999999999</v>
      </c>
      <c r="K8234">
        <v>1.121259</v>
      </c>
      <c r="L8234">
        <v>18.061129999999999</v>
      </c>
      <c r="M8234">
        <v>0.99931199999999998</v>
      </c>
      <c r="N8234">
        <v>-1.277765E-2</v>
      </c>
      <c r="O8234">
        <v>3.4819389999999999E-2</v>
      </c>
      <c r="P8234">
        <v>0.99009020000000003</v>
      </c>
      <c r="Q8234">
        <v>0.13596900000000001</v>
      </c>
      <c r="R8234">
        <v>-3.5131460000000003E-2</v>
      </c>
      <c r="S8234">
        <v>3.0527039999999999</v>
      </c>
      <c r="T8234">
        <v>-0.1659398</v>
      </c>
      <c r="U8234">
        <v>4.0893550000000002E-3</v>
      </c>
      <c r="V8234">
        <v>6.9725040000000002E-2</v>
      </c>
      <c r="W8234">
        <v>0.14852099999999999</v>
      </c>
      <c r="X8234">
        <v>0.9864482</v>
      </c>
      <c r="Y8234">
        <v>3.339247E-2</v>
      </c>
      <c r="Z8234">
        <v>-2.566732E-3</v>
      </c>
      <c r="AA8234">
        <v>0.99943899999999997</v>
      </c>
      <c r="AB8234">
        <v>18</v>
      </c>
      <c r="AC8234">
        <v>20.526399999999999</v>
      </c>
      <c r="AD8234">
        <v>-1.1212615698620001</v>
      </c>
      <c r="AE8234">
        <v>2.44200000000027E-2</v>
      </c>
      <c r="AF8234">
        <v>0.68831596032594999</v>
      </c>
      <c r="AG8234">
        <v>-1.1212615698620001</v>
      </c>
      <c r="AH8234">
        <v>20.453769071278298</v>
      </c>
      <c r="AI8234">
        <v>93.136002945012095</v>
      </c>
      <c r="AJ8234">
        <v>88.072593755660293</v>
      </c>
      <c r="AK8234">
        <v>20.496040485676001</v>
      </c>
      <c r="AL8234">
        <v>81.458774448425402</v>
      </c>
      <c r="AM8234">
        <v>85.956891232236501</v>
      </c>
      <c r="AN8234">
        <v>1.0000000599636101</v>
      </c>
    </row>
    <row r="8235" spans="1:40" x14ac:dyDescent="0.25">
      <c r="A8235" t="str">
        <f>"20190303162114679"</f>
        <v>20190303162114679</v>
      </c>
      <c r="B8235" t="str">
        <f>"1551601274671214"</f>
        <v>1551601274671214</v>
      </c>
      <c r="C8235" t="s">
        <v>40</v>
      </c>
      <c r="D8235">
        <v>5.0920199999999998</v>
      </c>
      <c r="E8235">
        <v>0.48454449999999999</v>
      </c>
      <c r="F8235" t="s">
        <v>41</v>
      </c>
      <c r="G8235">
        <v>-324.50220000000002</v>
      </c>
      <c r="H8235" s="1">
        <v>-2.8480519999999998E-6</v>
      </c>
      <c r="I8235">
        <v>18.10125</v>
      </c>
      <c r="J8235">
        <v>-345.50510000000003</v>
      </c>
      <c r="K8235">
        <v>1.121229</v>
      </c>
      <c r="L8235">
        <v>18.064789999999999</v>
      </c>
      <c r="M8235">
        <v>0.99932730000000003</v>
      </c>
      <c r="N8235">
        <v>-1.275305E-2</v>
      </c>
      <c r="O8235">
        <v>3.4388050000000003E-2</v>
      </c>
      <c r="P8235">
        <v>0.99005989999999999</v>
      </c>
      <c r="Q8235">
        <v>0.13635439999999999</v>
      </c>
      <c r="R8235">
        <v>-3.448565E-2</v>
      </c>
      <c r="S8235">
        <v>3.05246</v>
      </c>
      <c r="T8235">
        <v>-0.16204950000000001</v>
      </c>
      <c r="U8235">
        <v>5.7983399999999999E-3</v>
      </c>
      <c r="V8235">
        <v>6.8663879999999997E-2</v>
      </c>
      <c r="W8235">
        <v>0.14887839999999999</v>
      </c>
      <c r="X8235">
        <v>0.98646869999999998</v>
      </c>
      <c r="Y8235">
        <v>3.2407789999999999E-2</v>
      </c>
      <c r="Z8235">
        <v>-2.452091E-3</v>
      </c>
      <c r="AA8235">
        <v>0.99947169999999996</v>
      </c>
      <c r="AB8235">
        <v>18</v>
      </c>
      <c r="AC8235">
        <v>21.0029</v>
      </c>
      <c r="AD8235">
        <v>-1.121231848052</v>
      </c>
      <c r="AE8235">
        <v>3.6460000000001699E-2</v>
      </c>
      <c r="AF8235">
        <v>0.68391989052722801</v>
      </c>
      <c r="AG8235">
        <v>-1.121231848052</v>
      </c>
      <c r="AH8235">
        <v>20.932075322237498</v>
      </c>
      <c r="AI8235">
        <v>93.064500320006999</v>
      </c>
      <c r="AJ8235">
        <v>88.1286237790884</v>
      </c>
      <c r="AK8235">
        <v>20.9732373411825</v>
      </c>
      <c r="AL8235">
        <v>81.438066211126397</v>
      </c>
      <c r="AM8235">
        <v>86.018307183604406</v>
      </c>
      <c r="AN8235">
        <v>1.0000000012414501</v>
      </c>
    </row>
    <row r="8236" spans="1:40" x14ac:dyDescent="0.25">
      <c r="A8236" t="str">
        <f>"20190303162114693"</f>
        <v>20190303162114693</v>
      </c>
      <c r="B8236" t="str">
        <f>"1551601274680973"</f>
        <v>1551601274680973</v>
      </c>
      <c r="C8236" t="s">
        <v>40</v>
      </c>
      <c r="D8236">
        <v>5.0926589999999896</v>
      </c>
      <c r="E8236">
        <v>0.4845758</v>
      </c>
      <c r="F8236" t="s">
        <v>41</v>
      </c>
      <c r="G8236">
        <v>-323.7749</v>
      </c>
      <c r="H8236" s="1">
        <v>-3.1894060000000001E-6</v>
      </c>
      <c r="I8236">
        <v>18.115200000000002</v>
      </c>
      <c r="J8236">
        <v>-345.39179999999999</v>
      </c>
      <c r="K8236">
        <v>1.121202</v>
      </c>
      <c r="L8236">
        <v>18.068210000000001</v>
      </c>
      <c r="M8236">
        <v>0.99934270000000003</v>
      </c>
      <c r="N8236">
        <v>-1.273115E-2</v>
      </c>
      <c r="O8236">
        <v>3.3940049999999999E-2</v>
      </c>
      <c r="P8236">
        <v>0.9899464</v>
      </c>
      <c r="Q8236">
        <v>0.13751379999999999</v>
      </c>
      <c r="R8236">
        <v>-3.3110939999999998E-2</v>
      </c>
      <c r="S8236">
        <v>3.052063</v>
      </c>
      <c r="T8236">
        <v>-0.157479799999999</v>
      </c>
      <c r="U8236">
        <v>7.0800780000000001E-3</v>
      </c>
      <c r="V8236">
        <v>6.6855990000000004E-2</v>
      </c>
      <c r="W8236">
        <v>0.15001229999999999</v>
      </c>
      <c r="X8236">
        <v>0.98642110000000005</v>
      </c>
      <c r="Y8236">
        <v>3.1546360000000002E-2</v>
      </c>
      <c r="Z8236">
        <v>-2.332139E-3</v>
      </c>
      <c r="AA8236">
        <v>0.99949960000000004</v>
      </c>
      <c r="AB8236">
        <v>18</v>
      </c>
      <c r="AC8236">
        <v>21.616899999999902</v>
      </c>
      <c r="AD8236">
        <v>-1.121205189406</v>
      </c>
      <c r="AE8236">
        <v>4.6990000000000899E-2</v>
      </c>
      <c r="AF8236">
        <v>0.68493267507488098</v>
      </c>
      <c r="AG8236">
        <v>-1.121205189406</v>
      </c>
      <c r="AH8236">
        <v>21.548070632015602</v>
      </c>
      <c r="AI8236">
        <v>92.977069477568193</v>
      </c>
      <c r="AJ8236">
        <v>88.1793941856765</v>
      </c>
      <c r="AK8236">
        <v>21.588088887358001</v>
      </c>
      <c r="AL8236">
        <v>81.372360638235705</v>
      </c>
      <c r="AM8236">
        <v>86.122632843840506</v>
      </c>
      <c r="AN8236">
        <v>1.0000000000376901</v>
      </c>
    </row>
    <row r="8237" spans="1:40" x14ac:dyDescent="0.25">
      <c r="A8237" t="str">
        <f>"20190303162114706"</f>
        <v>20190303162114706</v>
      </c>
      <c r="B8237" t="str">
        <f>"1551601274701470"</f>
        <v>1551601274701470</v>
      </c>
      <c r="C8237" t="s">
        <v>40</v>
      </c>
      <c r="D8237">
        <v>5.1465170000000002</v>
      </c>
      <c r="E8237">
        <v>0.48472929999999997</v>
      </c>
      <c r="F8237" t="s">
        <v>41</v>
      </c>
      <c r="G8237">
        <v>-323.05950000000001</v>
      </c>
      <c r="H8237" s="1">
        <v>-3.5231300000000002E-6</v>
      </c>
      <c r="I8237">
        <v>18.14011</v>
      </c>
      <c r="J8237">
        <v>-345.28730000000002</v>
      </c>
      <c r="K8237">
        <v>1.121173</v>
      </c>
      <c r="L8237">
        <v>18.071259999999999</v>
      </c>
      <c r="M8237">
        <v>0.99935790000000002</v>
      </c>
      <c r="N8237">
        <v>-1.271224E-2</v>
      </c>
      <c r="O8237">
        <v>3.3500349999999998E-2</v>
      </c>
      <c r="P8237">
        <v>0.9899019</v>
      </c>
      <c r="Q8237">
        <v>0.13789370000000001</v>
      </c>
      <c r="R8237">
        <v>-3.2866689999999997E-2</v>
      </c>
      <c r="S8237">
        <v>3.052155</v>
      </c>
      <c r="T8237">
        <v>-0.15323580000000001</v>
      </c>
      <c r="U8237">
        <v>9.8266599999999992E-3</v>
      </c>
      <c r="V8237">
        <v>6.6187109999999993E-2</v>
      </c>
      <c r="W8237">
        <v>0.15036869999999999</v>
      </c>
      <c r="X8237">
        <v>0.98641190000000001</v>
      </c>
      <c r="Y8237">
        <v>3.021391E-2</v>
      </c>
      <c r="Z8237">
        <v>-2.2050239999999999E-3</v>
      </c>
      <c r="AA8237">
        <v>0.99954100000000001</v>
      </c>
      <c r="AB8237">
        <v>18</v>
      </c>
      <c r="AC8237">
        <v>22.227799999999998</v>
      </c>
      <c r="AD8237">
        <v>-1.1211765231299999</v>
      </c>
      <c r="AE8237">
        <v>6.8849999999997594E-2</v>
      </c>
      <c r="AF8237">
        <v>0.67417264476246197</v>
      </c>
      <c r="AG8237">
        <v>-1.1211765231299999</v>
      </c>
      <c r="AH8237">
        <v>22.1612457416621</v>
      </c>
      <c r="AI8237">
        <v>92.894888322587903</v>
      </c>
      <c r="AJ8237">
        <v>88.257528553122498</v>
      </c>
      <c r="AK8237">
        <v>22.1998278906234</v>
      </c>
      <c r="AL8237">
        <v>81.351705773253201</v>
      </c>
      <c r="AM8237">
        <v>86.161272820783793</v>
      </c>
      <c r="AN8237">
        <v>0.99999995796572505</v>
      </c>
    </row>
    <row r="8238" spans="1:40" x14ac:dyDescent="0.25">
      <c r="A8238" t="str">
        <f>"20190303162114726"</f>
        <v>20190303162114726</v>
      </c>
      <c r="B8238" t="str">
        <f>"1551601274720991"</f>
        <v>1551601274720991</v>
      </c>
      <c r="C8238" t="s">
        <v>40</v>
      </c>
      <c r="D8238">
        <v>4.9297440000000003</v>
      </c>
      <c r="E8238">
        <v>0.48484280000000002</v>
      </c>
      <c r="F8238" t="s">
        <v>41</v>
      </c>
      <c r="G8238">
        <v>-322.71550000000002</v>
      </c>
      <c r="H8238" s="1">
        <v>-3.6862169999999998E-6</v>
      </c>
      <c r="I8238">
        <v>18.13739</v>
      </c>
      <c r="J8238">
        <v>-345.11840000000001</v>
      </c>
      <c r="K8238">
        <v>1.121124</v>
      </c>
      <c r="L8238">
        <v>18.07602</v>
      </c>
      <c r="M8238">
        <v>0.99938439999999995</v>
      </c>
      <c r="N8238">
        <v>-1.2685449999999999E-2</v>
      </c>
      <c r="O8238">
        <v>3.270957E-2</v>
      </c>
      <c r="P8238">
        <v>0.98978869999999997</v>
      </c>
      <c r="Q8238">
        <v>0.13863900000000001</v>
      </c>
      <c r="R8238">
        <v>-3.3125450000000001E-2</v>
      </c>
      <c r="S8238">
        <v>3.052063</v>
      </c>
      <c r="T8238">
        <v>-0.15160129999999999</v>
      </c>
      <c r="U8238">
        <v>8.9416500000000006E-3</v>
      </c>
      <c r="V8238">
        <v>6.5679009999999996E-2</v>
      </c>
      <c r="W8238">
        <v>0.15107960000000001</v>
      </c>
      <c r="X8238">
        <v>0.98633729999999997</v>
      </c>
      <c r="Y8238">
        <v>2.971559E-2</v>
      </c>
      <c r="Z8238">
        <v>-2.1348669999999999E-3</v>
      </c>
      <c r="AA8238">
        <v>0.99955609999999995</v>
      </c>
      <c r="AB8238">
        <v>18</v>
      </c>
      <c r="AC8238">
        <v>22.402899999999899</v>
      </c>
      <c r="AD8238">
        <v>-1.1211276862170001</v>
      </c>
      <c r="AE8238">
        <v>6.1370000000000098E-2</v>
      </c>
      <c r="AF8238">
        <v>0.66983352138436003</v>
      </c>
      <c r="AG8238">
        <v>-1.1211276862170001</v>
      </c>
      <c r="AH8238">
        <v>22.336977753481399</v>
      </c>
      <c r="AI8238">
        <v>92.872064231889496</v>
      </c>
      <c r="AJ8238">
        <v>88.282348835908707</v>
      </c>
      <c r="AK8238">
        <v>22.375124120207602</v>
      </c>
      <c r="AL8238">
        <v>81.310504075378802</v>
      </c>
      <c r="AM8238">
        <v>86.190367295701293</v>
      </c>
      <c r="AN8238">
        <v>1.00000002363101</v>
      </c>
    </row>
    <row r="8239" spans="1:40" x14ac:dyDescent="0.25">
      <c r="A8239" t="str">
        <f>"20190303162114739"</f>
        <v>20190303162114739</v>
      </c>
      <c r="B8239" t="str">
        <f>"1551601274730749"</f>
        <v>1551601274730749</v>
      </c>
      <c r="C8239" t="s">
        <v>40</v>
      </c>
      <c r="D8239">
        <v>4.8975200000000001</v>
      </c>
      <c r="E8239">
        <v>0.48488989999999998</v>
      </c>
      <c r="F8239" t="s">
        <v>41</v>
      </c>
      <c r="G8239">
        <v>-322.1558</v>
      </c>
      <c r="H8239" s="1">
        <v>-3.9519180000000003E-6</v>
      </c>
      <c r="I8239">
        <v>18.131119999999999</v>
      </c>
      <c r="J8239">
        <v>-345.0136</v>
      </c>
      <c r="K8239">
        <v>1.121092</v>
      </c>
      <c r="L8239">
        <v>18.078859999999999</v>
      </c>
      <c r="M8239">
        <v>0.99940169999999995</v>
      </c>
      <c r="N8239">
        <v>-1.267078E-2</v>
      </c>
      <c r="O8239">
        <v>3.2179230000000003E-2</v>
      </c>
      <c r="P8239">
        <v>0.98975500000000005</v>
      </c>
      <c r="Q8239">
        <v>0.138757399999999</v>
      </c>
      <c r="R8239">
        <v>-3.363857E-2</v>
      </c>
      <c r="S8239">
        <v>3.0520939999999999</v>
      </c>
      <c r="T8239">
        <v>-0.14901589999999901</v>
      </c>
      <c r="U8239">
        <v>7.3242189999999999E-3</v>
      </c>
      <c r="V8239">
        <v>6.5676289999999998E-2</v>
      </c>
      <c r="W8239">
        <v>0.15117900000000001</v>
      </c>
      <c r="X8239">
        <v>0.98632220000000004</v>
      </c>
      <c r="Y8239">
        <v>2.971764E-2</v>
      </c>
      <c r="Z8239">
        <v>-2.0757979999999998E-3</v>
      </c>
      <c r="AA8239">
        <v>0.99955620000000001</v>
      </c>
      <c r="AB8239">
        <v>18</v>
      </c>
      <c r="AC8239">
        <v>22.857800000000001</v>
      </c>
      <c r="AD8239">
        <v>-1.1210959519179999</v>
      </c>
      <c r="AE8239">
        <v>5.2260000000003901E-2</v>
      </c>
      <c r="AF8239">
        <v>0.68173265305339303</v>
      </c>
      <c r="AG8239">
        <v>-1.1210959519179999</v>
      </c>
      <c r="AH8239">
        <v>22.792812936486101</v>
      </c>
      <c r="AI8239">
        <v>92.814645898628996</v>
      </c>
      <c r="AJ8239">
        <v>88.286794954690507</v>
      </c>
      <c r="AK8239">
        <v>22.830548331156901</v>
      </c>
      <c r="AL8239">
        <v>81.304742262021506</v>
      </c>
      <c r="AM8239">
        <v>86.190466452447595</v>
      </c>
      <c r="AN8239">
        <v>0.99999997366100102</v>
      </c>
    </row>
    <row r="8240" spans="1:40" x14ac:dyDescent="0.25">
      <c r="A8240" t="str">
        <f>"20190303162114751"</f>
        <v>20190303162114751</v>
      </c>
      <c r="B8240" t="str">
        <f>"1551601274740510"</f>
        <v>1551601274740510</v>
      </c>
      <c r="C8240" t="s">
        <v>40</v>
      </c>
      <c r="D8240">
        <v>5.0812589999999904</v>
      </c>
      <c r="E8240">
        <v>0.4849329</v>
      </c>
      <c r="F8240" t="s">
        <v>41</v>
      </c>
      <c r="G8240">
        <v>-321.97120000000001</v>
      </c>
      <c r="H8240" s="1">
        <v>-4.040947E-6</v>
      </c>
      <c r="I8240">
        <v>18.12125</v>
      </c>
      <c r="J8240">
        <v>-344.92270000000002</v>
      </c>
      <c r="K8240">
        <v>1.121068</v>
      </c>
      <c r="L8240">
        <v>18.081209999999999</v>
      </c>
      <c r="M8240">
        <v>0.99941720000000001</v>
      </c>
      <c r="N8240">
        <v>-1.2658859999999999E-2</v>
      </c>
      <c r="O8240">
        <v>3.1701420000000001E-2</v>
      </c>
      <c r="P8240">
        <v>0.989757</v>
      </c>
      <c r="Q8240">
        <v>0.1386588</v>
      </c>
      <c r="R8240">
        <v>-3.398516E-2</v>
      </c>
      <c r="S8240">
        <v>3.0520939999999999</v>
      </c>
      <c r="T8240">
        <v>-0.14849519999999999</v>
      </c>
      <c r="U8240">
        <v>5.6152340000000002E-3</v>
      </c>
      <c r="V8240">
        <v>6.5557969999999993E-2</v>
      </c>
      <c r="W8240">
        <v>0.151065899999999</v>
      </c>
      <c r="X8240">
        <v>0.98634739999999999</v>
      </c>
      <c r="Y8240">
        <v>2.9800090000000001E-2</v>
      </c>
      <c r="Z8240">
        <v>-2.053348E-3</v>
      </c>
      <c r="AA8240">
        <v>0.99955369999999999</v>
      </c>
      <c r="AB8240">
        <v>18</v>
      </c>
      <c r="AC8240">
        <v>22.951499999999999</v>
      </c>
      <c r="AD8240">
        <v>-1.1210720409470001</v>
      </c>
      <c r="AE8240">
        <v>4.0039999999997598E-2</v>
      </c>
      <c r="AF8240">
        <v>0.68599689836626299</v>
      </c>
      <c r="AG8240">
        <v>-1.1210720409470001</v>
      </c>
      <c r="AH8240">
        <v>22.886627662671</v>
      </c>
      <c r="AI8240">
        <v>92.803061779748603</v>
      </c>
      <c r="AJ8240">
        <v>88.283147556592397</v>
      </c>
      <c r="AK8240">
        <v>22.924334669414002</v>
      </c>
      <c r="AL8240">
        <v>81.311297702633595</v>
      </c>
      <c r="AM8240">
        <v>86.197406283213297</v>
      </c>
      <c r="AN8240">
        <v>0.99999997353004499</v>
      </c>
    </row>
    <row r="8241" spans="1:40" x14ac:dyDescent="0.25">
      <c r="A8241" t="str">
        <f>"20190303162114762"</f>
        <v>20190303162114762</v>
      </c>
      <c r="B8241" t="str">
        <f>"1551601274751246"</f>
        <v>1551601274751246</v>
      </c>
      <c r="C8241" t="s">
        <v>40</v>
      </c>
      <c r="D8241">
        <v>4.818295</v>
      </c>
      <c r="E8241">
        <v>0.48497420000000002</v>
      </c>
      <c r="F8241" t="s">
        <v>41</v>
      </c>
      <c r="G8241">
        <v>-321.91759999999999</v>
      </c>
      <c r="H8241" s="1">
        <v>-4.0676489999999997E-6</v>
      </c>
      <c r="I8241">
        <v>18.11365</v>
      </c>
      <c r="J8241">
        <v>-344.82670000000002</v>
      </c>
      <c r="K8241">
        <v>1.1210469999999999</v>
      </c>
      <c r="L8241">
        <v>18.083680000000001</v>
      </c>
      <c r="M8241">
        <v>0.99943369999999998</v>
      </c>
      <c r="N8241">
        <v>-1.264702E-2</v>
      </c>
      <c r="O8241">
        <v>3.1180900000000001E-2</v>
      </c>
      <c r="P8241">
        <v>0.98978129999999998</v>
      </c>
      <c r="Q8241">
        <v>0.1383325</v>
      </c>
      <c r="R8241">
        <v>-3.4601489999999999E-2</v>
      </c>
      <c r="S8241">
        <v>3.0520320000000001</v>
      </c>
      <c r="T8241">
        <v>-0.14872969999999999</v>
      </c>
      <c r="U8241">
        <v>4.3029790000000002E-3</v>
      </c>
      <c r="V8241">
        <v>6.5666939999999993E-2</v>
      </c>
      <c r="W8241">
        <v>0.1507251</v>
      </c>
      <c r="X8241">
        <v>0.9863923</v>
      </c>
      <c r="Y8241">
        <v>2.9709490000000002E-2</v>
      </c>
      <c r="Z8241">
        <v>-2.0356329999999998E-3</v>
      </c>
      <c r="AA8241">
        <v>0.99955649999999996</v>
      </c>
      <c r="AB8241">
        <v>18</v>
      </c>
      <c r="AC8241">
        <v>22.909099999999999</v>
      </c>
      <c r="AD8241">
        <v>-1.121051067649</v>
      </c>
      <c r="AE8241">
        <v>2.99700000000022E-2</v>
      </c>
      <c r="AF8241">
        <v>0.68279307505087605</v>
      </c>
      <c r="AG8241">
        <v>-1.121051067649</v>
      </c>
      <c r="AH8241">
        <v>22.844190578715398</v>
      </c>
      <c r="AI8241">
        <v>92.808215266769906</v>
      </c>
      <c r="AJ8241">
        <v>88.287988457186003</v>
      </c>
      <c r="AK8241">
        <v>22.881870663830799</v>
      </c>
      <c r="AL8241">
        <v>81.331050387594004</v>
      </c>
      <c r="AM8241">
        <v>86.191277096913396</v>
      </c>
      <c r="AN8241">
        <v>0.99999998613913099</v>
      </c>
    </row>
    <row r="8242" spans="1:40" x14ac:dyDescent="0.25">
      <c r="A8242" t="str">
        <f>"20190303162114775"</f>
        <v>20190303162114775</v>
      </c>
      <c r="B8242" t="str">
        <f>"1551601274770766"</f>
        <v>1551601274770766</v>
      </c>
      <c r="C8242" t="s">
        <v>40</v>
      </c>
      <c r="D8242">
        <v>4.912401</v>
      </c>
      <c r="E8242">
        <v>0.48503950000000001</v>
      </c>
      <c r="F8242" t="s">
        <v>41</v>
      </c>
      <c r="G8242">
        <v>-321.97579999999999</v>
      </c>
      <c r="H8242" s="1">
        <v>-4.0424380000000002E-6</v>
      </c>
      <c r="I8242">
        <v>18.10059</v>
      </c>
      <c r="J8242">
        <v>-344.72660000000002</v>
      </c>
      <c r="K8242">
        <v>1.1210249999999999</v>
      </c>
      <c r="L8242">
        <v>18.08615</v>
      </c>
      <c r="M8242">
        <v>0.99945150000000005</v>
      </c>
      <c r="N8242">
        <v>-1.2635820000000001E-2</v>
      </c>
      <c r="O8242">
        <v>3.061299E-2</v>
      </c>
      <c r="P8242">
        <v>0.98976569999999997</v>
      </c>
      <c r="Q8242">
        <v>0.13816389999999901</v>
      </c>
      <c r="R8242">
        <v>-3.5708509999999999E-2</v>
      </c>
      <c r="S8242">
        <v>3.0520019999999999</v>
      </c>
      <c r="T8242">
        <v>-0.14972929999999901</v>
      </c>
      <c r="U8242">
        <v>2.2583009999999999E-3</v>
      </c>
      <c r="V8242">
        <v>6.6216830000000004E-2</v>
      </c>
      <c r="W8242">
        <v>0.1505417</v>
      </c>
      <c r="X8242">
        <v>0.98638360000000003</v>
      </c>
      <c r="Y8242">
        <v>2.981046E-2</v>
      </c>
      <c r="Z8242">
        <v>-2.0333529999999999E-3</v>
      </c>
      <c r="AA8242">
        <v>0.99955349999999998</v>
      </c>
      <c r="AB8242">
        <v>18</v>
      </c>
      <c r="AC8242">
        <v>22.750800000000002</v>
      </c>
      <c r="AD8242">
        <v>-1.1210290424379901</v>
      </c>
      <c r="AE8242">
        <v>1.44400000000004E-2</v>
      </c>
      <c r="AF8242">
        <v>0.68044027053144995</v>
      </c>
      <c r="AG8242">
        <v>-1.1210290424379901</v>
      </c>
      <c r="AH8242">
        <v>22.685498056894101</v>
      </c>
      <c r="AI8242">
        <v>92.827763514076295</v>
      </c>
      <c r="AJ8242">
        <v>88.281956591848001</v>
      </c>
      <c r="AK8242">
        <v>22.723369626116099</v>
      </c>
      <c r="AL8242">
        <v>81.341680180439795</v>
      </c>
      <c r="AM8242">
        <v>86.159444418869995</v>
      </c>
      <c r="AN8242">
        <v>1.00000003918154</v>
      </c>
    </row>
    <row r="8243" spans="1:40" x14ac:dyDescent="0.25">
      <c r="A8243" t="str">
        <f>"20190303162114787"</f>
        <v>20190303162114787</v>
      </c>
      <c r="B8243" t="str">
        <f>"1551601274781502"</f>
        <v>1551601274781502</v>
      </c>
      <c r="C8243" t="s">
        <v>40</v>
      </c>
      <c r="D8243">
        <v>4.874187</v>
      </c>
      <c r="E8243">
        <v>0.48821720000000002</v>
      </c>
      <c r="F8243" t="s">
        <v>41</v>
      </c>
      <c r="G8243">
        <v>-321.93270000000001</v>
      </c>
      <c r="H8243" s="1">
        <v>-4.0674890000000004E-6</v>
      </c>
      <c r="I8243">
        <v>18.074069999999999</v>
      </c>
      <c r="J8243">
        <v>-344.63229999999999</v>
      </c>
      <c r="K8243">
        <v>1.121011</v>
      </c>
      <c r="L8243">
        <v>18.08841</v>
      </c>
      <c r="M8243">
        <v>0.99946809999999997</v>
      </c>
      <c r="N8243">
        <v>-1.262569E-2</v>
      </c>
      <c r="O8243">
        <v>3.006969E-2</v>
      </c>
      <c r="P8243">
        <v>0.98973949999999999</v>
      </c>
      <c r="Q8243">
        <v>0.138125</v>
      </c>
      <c r="R8243">
        <v>-3.6573670000000003E-2</v>
      </c>
      <c r="S8243">
        <v>3.051971</v>
      </c>
      <c r="T8243">
        <v>-0.1500996</v>
      </c>
      <c r="U8243">
        <v>-1.617432E-3</v>
      </c>
      <c r="V8243">
        <v>6.6548590000000005E-2</v>
      </c>
      <c r="W8243">
        <v>0.15049029999999899</v>
      </c>
      <c r="X8243">
        <v>0.9863691</v>
      </c>
      <c r="Y8243">
        <v>3.0535340000000001E-2</v>
      </c>
      <c r="Z8243">
        <v>-2.0416169999999999E-3</v>
      </c>
      <c r="AA8243">
        <v>0.99953159999999996</v>
      </c>
      <c r="AB8243">
        <v>18</v>
      </c>
      <c r="AC8243">
        <v>22.699599999999901</v>
      </c>
      <c r="AD8243">
        <v>-1.121015067489</v>
      </c>
      <c r="AE8243">
        <v>-1.43399999999971E-2</v>
      </c>
      <c r="AF8243">
        <v>0.69526218834168396</v>
      </c>
      <c r="AG8243">
        <v>-1.121015067489</v>
      </c>
      <c r="AH8243">
        <v>22.6337021157346</v>
      </c>
      <c r="AI8243">
        <v>92.834126789353704</v>
      </c>
      <c r="AJ8243">
        <v>88.240541190894604</v>
      </c>
      <c r="AK8243">
        <v>22.672109203951099</v>
      </c>
      <c r="AL8243">
        <v>81.344658982494195</v>
      </c>
      <c r="AM8243">
        <v>86.140203890886397</v>
      </c>
      <c r="AN8243">
        <v>1.00000002332994</v>
      </c>
    </row>
    <row r="8244" spans="1:40" x14ac:dyDescent="0.25">
      <c r="A8244" t="str">
        <f>"20190303162114802"</f>
        <v>20190303162114802</v>
      </c>
      <c r="B8244" t="str">
        <f>"1551601274791262"</f>
        <v>1551601274791262</v>
      </c>
      <c r="C8244" t="s">
        <v>40</v>
      </c>
      <c r="D8244">
        <v>4.895022</v>
      </c>
      <c r="E8244">
        <v>0.48774469999999998</v>
      </c>
      <c r="F8244" t="s">
        <v>41</v>
      </c>
      <c r="G8244">
        <v>-330.19290000000001</v>
      </c>
      <c r="H8244" s="1">
        <v>-4.4869810000000001E-6</v>
      </c>
      <c r="I8244">
        <v>17.939440000000001</v>
      </c>
      <c r="J8244">
        <v>-344.50380000000001</v>
      </c>
      <c r="K8244">
        <v>1.121</v>
      </c>
      <c r="L8244">
        <v>18.091370000000001</v>
      </c>
      <c r="M8244">
        <v>0.99949089999999996</v>
      </c>
      <c r="N8244">
        <v>-1.2613320000000001E-2</v>
      </c>
      <c r="O8244">
        <v>2.9306570000000001E-2</v>
      </c>
      <c r="P8244">
        <v>0.98955300000000002</v>
      </c>
      <c r="Q8244">
        <v>0.13876849999999999</v>
      </c>
      <c r="R8244">
        <v>-3.909286E-2</v>
      </c>
      <c r="S8244">
        <v>3.06311</v>
      </c>
      <c r="T8244">
        <v>-0.23780689999999999</v>
      </c>
      <c r="U8244">
        <v>-3.158569E-2</v>
      </c>
      <c r="V8244">
        <v>6.8311559999999993E-2</v>
      </c>
      <c r="W8244">
        <v>0.151114</v>
      </c>
      <c r="X8244">
        <v>0.98615319999999995</v>
      </c>
      <c r="Y8244">
        <v>3.9414240000000003E-2</v>
      </c>
      <c r="Z8244">
        <v>-3.6790429999999999E-3</v>
      </c>
      <c r="AA8244">
        <v>0.9992162</v>
      </c>
      <c r="AB8244">
        <v>18</v>
      </c>
      <c r="AC8244">
        <v>14.3109</v>
      </c>
      <c r="AD8244">
        <v>-1.1210044869810001</v>
      </c>
      <c r="AE8244">
        <v>-0.15193000000000001</v>
      </c>
      <c r="AF8244">
        <v>0.56781778328126498</v>
      </c>
      <c r="AG8244">
        <v>-1.1210044869810001</v>
      </c>
      <c r="AH8244">
        <v>14.213098332065901</v>
      </c>
      <c r="AI8244">
        <v>94.506073145855794</v>
      </c>
      <c r="AJ8244">
        <v>87.712232044449095</v>
      </c>
      <c r="AK8244">
        <v>14.2685399495469</v>
      </c>
      <c r="AL8244">
        <v>81.308510195108198</v>
      </c>
      <c r="AM8244">
        <v>86.037409054437504</v>
      </c>
      <c r="AN8244">
        <v>1.0000000220479299</v>
      </c>
    </row>
    <row r="8245" spans="1:40" x14ac:dyDescent="0.25">
      <c r="A8245" t="str">
        <f>"20190303162114815"</f>
        <v>20190303162114815</v>
      </c>
      <c r="B8245" t="str">
        <f>"1551601274801998"</f>
        <v>1551601274801998</v>
      </c>
      <c r="C8245" t="s">
        <v>40</v>
      </c>
      <c r="D8245">
        <v>4.8606109999999996</v>
      </c>
      <c r="E8245">
        <v>0.48708030000000002</v>
      </c>
      <c r="F8245" t="s">
        <v>41</v>
      </c>
      <c r="G8245">
        <v>-330.0138</v>
      </c>
      <c r="H8245" s="1">
        <v>-4.5663459999999998E-6</v>
      </c>
      <c r="I8245">
        <v>17.925000000000001</v>
      </c>
      <c r="J8245">
        <v>-344.40519999999998</v>
      </c>
      <c r="K8245">
        <v>1.120997</v>
      </c>
      <c r="L8245">
        <v>18.093540000000001</v>
      </c>
      <c r="M8245">
        <v>0.99950839999999996</v>
      </c>
      <c r="N8245">
        <v>-1.260468E-2</v>
      </c>
      <c r="O8245">
        <v>2.8709430000000001E-2</v>
      </c>
      <c r="P8245">
        <v>0.98943020000000004</v>
      </c>
      <c r="Q8245">
        <v>0.13914749999999901</v>
      </c>
      <c r="R8245">
        <v>-4.0814299999999998E-2</v>
      </c>
      <c r="S8245">
        <v>3.063507</v>
      </c>
      <c r="T8245">
        <v>-0.23700460000000001</v>
      </c>
      <c r="U8245">
        <v>-3.515625E-2</v>
      </c>
      <c r="V8245">
        <v>6.9439769999999998E-2</v>
      </c>
      <c r="W8245">
        <v>0.1514807</v>
      </c>
      <c r="X8245">
        <v>0.98601810000000001</v>
      </c>
      <c r="Y8245">
        <v>3.9981080000000002E-2</v>
      </c>
      <c r="Z8245">
        <v>-3.652719E-3</v>
      </c>
      <c r="AA8245">
        <v>0.99919380000000002</v>
      </c>
      <c r="AB8245">
        <v>18</v>
      </c>
      <c r="AC8245">
        <v>14.3913999999999</v>
      </c>
      <c r="AD8245">
        <v>-1.121001566346</v>
      </c>
      <c r="AE8245">
        <v>-0.16854</v>
      </c>
      <c r="AF8245">
        <v>0.57816469650668301</v>
      </c>
      <c r="AG8245">
        <v>-1.121001566346</v>
      </c>
      <c r="AH8245">
        <v>14.293912109742999</v>
      </c>
      <c r="AI8245">
        <v>94.480600288942298</v>
      </c>
      <c r="AJ8245">
        <v>87.6837447459625</v>
      </c>
      <c r="AK8245">
        <v>14.3494544261827</v>
      </c>
      <c r="AL8245">
        <v>81.287254859658603</v>
      </c>
      <c r="AM8245">
        <v>85.971627881593506</v>
      </c>
      <c r="AN8245">
        <v>0.99999998882887597</v>
      </c>
    </row>
    <row r="8246" spans="1:40" x14ac:dyDescent="0.25">
      <c r="A8246" t="str">
        <f>"20190303162114828"</f>
        <v>20190303162114828</v>
      </c>
      <c r="B8246" t="str">
        <f>"1551601274821518"</f>
        <v>1551601274821518</v>
      </c>
      <c r="C8246" t="s">
        <v>40</v>
      </c>
      <c r="D8246">
        <v>4.8657750000000002</v>
      </c>
      <c r="E8246">
        <v>0.48646929999999999</v>
      </c>
      <c r="F8246" t="s">
        <v>41</v>
      </c>
      <c r="G8246">
        <v>-329.51240000000001</v>
      </c>
      <c r="H8246" s="1">
        <v>-6.208987E-7</v>
      </c>
      <c r="I8246">
        <v>17.927199999999999</v>
      </c>
      <c r="J8246">
        <v>-344.29849999999999</v>
      </c>
      <c r="K8246">
        <v>1.1209990000000001</v>
      </c>
      <c r="L8246">
        <v>18.095829999999999</v>
      </c>
      <c r="M8246">
        <v>0.9995269</v>
      </c>
      <c r="N8246">
        <v>-1.2595739999999999E-2</v>
      </c>
      <c r="O8246">
        <v>2.8060140000000001E-2</v>
      </c>
      <c r="P8246">
        <v>0.98929800000000001</v>
      </c>
      <c r="Q8246">
        <v>0.1394299</v>
      </c>
      <c r="R8246">
        <v>-4.2996359999999997E-2</v>
      </c>
      <c r="S8246">
        <v>3.0630489999999999</v>
      </c>
      <c r="T8246">
        <v>-0.2305596</v>
      </c>
      <c r="U8246">
        <v>-3.4210209999999998E-2</v>
      </c>
      <c r="V8246">
        <v>7.0975880000000005E-2</v>
      </c>
      <c r="W8246">
        <v>0.1517503</v>
      </c>
      <c r="X8246">
        <v>0.9858673</v>
      </c>
      <c r="Y8246">
        <v>3.9040209999999999E-2</v>
      </c>
      <c r="Z8246">
        <v>-3.4693770000000001E-3</v>
      </c>
      <c r="AA8246">
        <v>0.9992316</v>
      </c>
      <c r="AB8246">
        <v>18</v>
      </c>
      <c r="AC8246">
        <v>14.7860999999999</v>
      </c>
      <c r="AD8246">
        <v>-1.1209996208986901</v>
      </c>
      <c r="AE8246">
        <v>-0.16863</v>
      </c>
      <c r="AF8246">
        <v>0.58016229313166101</v>
      </c>
      <c r="AG8246">
        <v>-1.1209996208986901</v>
      </c>
      <c r="AH8246">
        <v>14.691113705021699</v>
      </c>
      <c r="AI8246">
        <v>94.360090910965795</v>
      </c>
      <c r="AJ8246">
        <v>87.7385249492621</v>
      </c>
      <c r="AK8246">
        <v>14.7452382256206</v>
      </c>
      <c r="AL8246">
        <v>81.271627627386394</v>
      </c>
      <c r="AM8246">
        <v>85.882189902153499</v>
      </c>
      <c r="AN8246">
        <v>1.0000000311505699</v>
      </c>
    </row>
    <row r="8247" spans="1:40" x14ac:dyDescent="0.25">
      <c r="A8247" t="str">
        <f>"20190303162114839"</f>
        <v>20190303162114839</v>
      </c>
      <c r="B8247" t="str">
        <f>"1551601274831279"</f>
        <v>1551601274831279</v>
      </c>
      <c r="C8247" t="s">
        <v>40</v>
      </c>
      <c r="D8247">
        <v>4.8469119999999997</v>
      </c>
      <c r="E8247">
        <v>0.48629889999999998</v>
      </c>
      <c r="F8247" t="s">
        <v>41</v>
      </c>
      <c r="G8247">
        <v>-329.3021</v>
      </c>
      <c r="H8247" s="1">
        <v>-7.0253529999999999E-7</v>
      </c>
      <c r="I8247">
        <v>17.923860000000001</v>
      </c>
      <c r="J8247">
        <v>-344.20429999999999</v>
      </c>
      <c r="K8247">
        <v>1.121005</v>
      </c>
      <c r="L8247">
        <v>18.097809999999999</v>
      </c>
      <c r="M8247">
        <v>0.99954310000000002</v>
      </c>
      <c r="N8247">
        <v>-1.25884E-2</v>
      </c>
      <c r="O8247">
        <v>2.748314E-2</v>
      </c>
      <c r="P8247">
        <v>0.98918019999999995</v>
      </c>
      <c r="Q8247">
        <v>0.1395739</v>
      </c>
      <c r="R8247">
        <v>-4.5187789999999999E-2</v>
      </c>
      <c r="S8247">
        <v>3.0631409999999999</v>
      </c>
      <c r="T8247">
        <v>-0.22897400000000001</v>
      </c>
      <c r="U8247">
        <v>-3.5125730000000001E-2</v>
      </c>
      <c r="V8247">
        <v>7.2591580000000003E-2</v>
      </c>
      <c r="W8247">
        <v>0.1518832</v>
      </c>
      <c r="X8247">
        <v>0.98572919999999997</v>
      </c>
      <c r="Y8247">
        <v>3.8766229999999999E-2</v>
      </c>
      <c r="Z8247">
        <v>-3.3970369999999999E-3</v>
      </c>
      <c r="AA8247">
        <v>0.99924250000000003</v>
      </c>
      <c r="AB8247">
        <v>18</v>
      </c>
      <c r="AC8247">
        <v>14.902199999999899</v>
      </c>
      <c r="AD8247">
        <v>-1.1210057025353</v>
      </c>
      <c r="AE8247">
        <v>-0.173949999999997</v>
      </c>
      <c r="AF8247">
        <v>0.58019326709837904</v>
      </c>
      <c r="AG8247">
        <v>-1.1210057025353</v>
      </c>
      <c r="AH8247">
        <v>14.808006683867401</v>
      </c>
      <c r="AI8247">
        <v>94.3258797212508</v>
      </c>
      <c r="AJ8247">
        <v>87.756238836931999</v>
      </c>
      <c r="AK8247">
        <v>14.8617071684839</v>
      </c>
      <c r="AL8247">
        <v>81.263923884365298</v>
      </c>
      <c r="AM8247">
        <v>85.7881974111353</v>
      </c>
      <c r="AN8247">
        <v>1.0000000498308801</v>
      </c>
    </row>
    <row r="8248" spans="1:40" x14ac:dyDescent="0.25">
      <c r="A8248" t="str">
        <f>"20190303162114851"</f>
        <v>20190303162114851</v>
      </c>
      <c r="B8248" t="str">
        <f>"1551601274840921"</f>
        <v>1551601274840921</v>
      </c>
      <c r="C8248" t="s">
        <v>40</v>
      </c>
      <c r="D8248">
        <v>4.8126480000000003</v>
      </c>
      <c r="E8248">
        <v>0.4862708</v>
      </c>
      <c r="F8248" t="s">
        <v>41</v>
      </c>
      <c r="G8248">
        <v>-328.96</v>
      </c>
      <c r="H8248" s="1">
        <v>-8.3988659999999999E-7</v>
      </c>
      <c r="I8248">
        <v>17.901409999999998</v>
      </c>
      <c r="J8248">
        <v>-344.11189999999999</v>
      </c>
      <c r="K8248">
        <v>1.1210119999999999</v>
      </c>
      <c r="L8248">
        <v>18.09967</v>
      </c>
      <c r="M8248">
        <v>0.99955859999999996</v>
      </c>
      <c r="N8248">
        <v>-1.258168E-2</v>
      </c>
      <c r="O8248">
        <v>2.691853E-2</v>
      </c>
      <c r="P8248">
        <v>0.98909999999999998</v>
      </c>
      <c r="Q8248">
        <v>0.13947709999999999</v>
      </c>
      <c r="R8248">
        <v>-4.7201460000000001E-2</v>
      </c>
      <c r="S8248">
        <v>3.062805</v>
      </c>
      <c r="T8248">
        <v>-0.22522719999999999</v>
      </c>
      <c r="U8248">
        <v>-3.9459229999999998E-2</v>
      </c>
      <c r="V8248">
        <v>7.4041270000000006E-2</v>
      </c>
      <c r="W8248">
        <v>0.1517781</v>
      </c>
      <c r="X8248">
        <v>0.98563750000000006</v>
      </c>
      <c r="Y8248">
        <v>3.9620799999999998E-2</v>
      </c>
      <c r="Z8248">
        <v>-3.3427470000000001E-3</v>
      </c>
      <c r="AA8248">
        <v>0.99920920000000002</v>
      </c>
      <c r="AB8248">
        <v>18</v>
      </c>
      <c r="AC8248">
        <v>15.151899999999999</v>
      </c>
      <c r="AD8248">
        <v>-1.1210128398865999</v>
      </c>
      <c r="AE8248">
        <v>-0.19825999999999699</v>
      </c>
      <c r="AF8248">
        <v>0.60278828197474799</v>
      </c>
      <c r="AG8248">
        <v>-1.1210128398865999</v>
      </c>
      <c r="AH8248">
        <v>15.0586576582071</v>
      </c>
      <c r="AI8248">
        <v>94.254026937915299</v>
      </c>
      <c r="AJ8248">
        <v>87.707710999149995</v>
      </c>
      <c r="AK8248">
        <v>15.1123523637836</v>
      </c>
      <c r="AL8248">
        <v>81.270015788319</v>
      </c>
      <c r="AM8248">
        <v>85.703999234571</v>
      </c>
      <c r="AN8248">
        <v>0.99999999135453599</v>
      </c>
    </row>
    <row r="8249" spans="1:40" x14ac:dyDescent="0.25">
      <c r="A8249" t="str">
        <f>"20190303162114863"</f>
        <v>20190303162114863</v>
      </c>
      <c r="B8249" t="str">
        <f>"1551601274850681"</f>
        <v>1551601274850681</v>
      </c>
      <c r="C8249" t="s">
        <v>40</v>
      </c>
      <c r="D8249">
        <v>4.7214739999999997</v>
      </c>
      <c r="E8249">
        <v>0.48598069999999999</v>
      </c>
      <c r="F8249" t="s">
        <v>41</v>
      </c>
      <c r="G8249">
        <v>-328.72739999999999</v>
      </c>
      <c r="H8249" s="1">
        <v>-9.3642320000000003E-7</v>
      </c>
      <c r="I8249">
        <v>17.874300000000002</v>
      </c>
      <c r="J8249">
        <v>-344.01609999999999</v>
      </c>
      <c r="K8249">
        <v>1.1210169999999999</v>
      </c>
      <c r="L8249">
        <v>18.101559999999999</v>
      </c>
      <c r="M8249">
        <v>0.99957419999999997</v>
      </c>
      <c r="N8249">
        <v>-1.2575060000000001E-2</v>
      </c>
      <c r="O8249">
        <v>2.6333269999999999E-2</v>
      </c>
      <c r="P8249">
        <v>0.98902939999999995</v>
      </c>
      <c r="Q8249">
        <v>0.13928689999999999</v>
      </c>
      <c r="R8249">
        <v>-4.9198190000000003E-2</v>
      </c>
      <c r="S8249">
        <v>3.0623779999999998</v>
      </c>
      <c r="T8249">
        <v>-0.22314410000000001</v>
      </c>
      <c r="U8249">
        <v>-4.4860839999999999E-2</v>
      </c>
      <c r="V8249">
        <v>7.5453419999999993E-2</v>
      </c>
      <c r="W8249">
        <v>0.1515801</v>
      </c>
      <c r="X8249">
        <v>0.98556089999999996</v>
      </c>
      <c r="Y8249">
        <v>4.0800259999999998E-2</v>
      </c>
      <c r="Z8249">
        <v>-3.326692E-3</v>
      </c>
      <c r="AA8249">
        <v>0.99916179999999999</v>
      </c>
      <c r="AB8249">
        <v>18</v>
      </c>
      <c r="AC8249">
        <v>15.2887</v>
      </c>
      <c r="AD8249">
        <v>-1.1210179364232</v>
      </c>
      <c r="AE8249">
        <v>-0.22725999999999699</v>
      </c>
      <c r="AF8249">
        <v>0.62644721984921303</v>
      </c>
      <c r="AG8249">
        <v>-1.1210179364232</v>
      </c>
      <c r="AH8249">
        <v>15.195733493997601</v>
      </c>
      <c r="AI8249">
        <v>94.215607060712898</v>
      </c>
      <c r="AJ8249">
        <v>87.639306517298195</v>
      </c>
      <c r="AK8249">
        <v>15.2498994670011</v>
      </c>
      <c r="AL8249">
        <v>81.281493368806096</v>
      </c>
      <c r="AM8249">
        <v>85.622040501100798</v>
      </c>
      <c r="AN8249">
        <v>1.00000001645725</v>
      </c>
    </row>
    <row r="8250" spans="1:40" x14ac:dyDescent="0.25">
      <c r="A8250" t="str">
        <f>"20190303162114876"</f>
        <v>20190303162114876</v>
      </c>
      <c r="B8250" t="str">
        <f>"1551601274871177"</f>
        <v>1551601274871177</v>
      </c>
      <c r="C8250" t="s">
        <v>40</v>
      </c>
      <c r="D8250">
        <v>4.8425449999999897</v>
      </c>
      <c r="E8250">
        <v>0.48557460000000002</v>
      </c>
      <c r="F8250" t="s">
        <v>41</v>
      </c>
      <c r="G8250">
        <v>-328.6028</v>
      </c>
      <c r="H8250" s="1">
        <v>-9.8855910000000002E-7</v>
      </c>
      <c r="I8250">
        <v>17.858250000000002</v>
      </c>
      <c r="J8250">
        <v>-343.91899999999998</v>
      </c>
      <c r="K8250">
        <v>1.121024</v>
      </c>
      <c r="L8250">
        <v>18.10342</v>
      </c>
      <c r="M8250">
        <v>0.99958950000000002</v>
      </c>
      <c r="N8250">
        <v>-1.256883E-2</v>
      </c>
      <c r="O8250">
        <v>2.5747119999999998E-2</v>
      </c>
      <c r="P8250">
        <v>0.9890082</v>
      </c>
      <c r="Q8250">
        <v>0.13887639999999901</v>
      </c>
      <c r="R8250">
        <v>-5.0756460000000003E-2</v>
      </c>
      <c r="S8250">
        <v>3.062195</v>
      </c>
      <c r="T8250">
        <v>-0.2227143</v>
      </c>
      <c r="U8250">
        <v>-4.8339840000000002E-2</v>
      </c>
      <c r="V8250">
        <v>7.6426099999999997E-2</v>
      </c>
      <c r="W8250">
        <v>0.1511644</v>
      </c>
      <c r="X8250">
        <v>0.98554980000000003</v>
      </c>
      <c r="Y8250">
        <v>4.1350110000000002E-2</v>
      </c>
      <c r="Z8250">
        <v>-3.3086040000000001E-3</v>
      </c>
      <c r="AA8250">
        <v>0.99913920000000001</v>
      </c>
      <c r="AB8250">
        <v>18</v>
      </c>
      <c r="AC8250">
        <v>15.3162</v>
      </c>
      <c r="AD8250">
        <v>-1.1210249885590999</v>
      </c>
      <c r="AE8250">
        <v>-0.245169999999998</v>
      </c>
      <c r="AF8250">
        <v>0.63606132890050904</v>
      </c>
      <c r="AG8250">
        <v>-1.1210249885590999</v>
      </c>
      <c r="AH8250">
        <v>15.223277275329</v>
      </c>
      <c r="AI8250">
        <v>94.207936724359698</v>
      </c>
      <c r="AJ8250">
        <v>87.607450482073205</v>
      </c>
      <c r="AK8250">
        <v>15.2777433556349</v>
      </c>
      <c r="AL8250">
        <v>81.305588880635099</v>
      </c>
      <c r="AM8250">
        <v>85.565777559131007</v>
      </c>
      <c r="AN8250">
        <v>1.0000000164342999</v>
      </c>
    </row>
    <row r="8251" spans="1:40" x14ac:dyDescent="0.25">
      <c r="A8251" t="str">
        <f>"20190303162114889"</f>
        <v>20190303162114889</v>
      </c>
      <c r="B8251" t="str">
        <f>"1551601274880937"</f>
        <v>1551601274880937</v>
      </c>
      <c r="C8251" t="s">
        <v>40</v>
      </c>
      <c r="D8251">
        <v>4.8561249999999996</v>
      </c>
      <c r="E8251">
        <v>0.48557929999999999</v>
      </c>
      <c r="F8251" t="s">
        <v>41</v>
      </c>
      <c r="G8251">
        <v>-328.55439999999999</v>
      </c>
      <c r="H8251" s="1">
        <v>-1.0083679999999999E-6</v>
      </c>
      <c r="I8251">
        <v>17.853529999999999</v>
      </c>
      <c r="J8251">
        <v>-343.8098</v>
      </c>
      <c r="K8251">
        <v>1.1210359999999999</v>
      </c>
      <c r="L8251">
        <v>18.10547</v>
      </c>
      <c r="M8251">
        <v>0.99960629999999995</v>
      </c>
      <c r="N8251">
        <v>-1.2562139999999999E-2</v>
      </c>
      <c r="O8251">
        <v>2.5093609999999999E-2</v>
      </c>
      <c r="P8251">
        <v>0.98905460000000001</v>
      </c>
      <c r="Q8251">
        <v>0.13812199999999999</v>
      </c>
      <c r="R8251">
        <v>-5.1898840000000002E-2</v>
      </c>
      <c r="S8251">
        <v>3.0621640000000001</v>
      </c>
      <c r="T8251">
        <v>-0.22342010000000001</v>
      </c>
      <c r="U8251">
        <v>-4.9804689999999999E-2</v>
      </c>
      <c r="V8251">
        <v>7.6916609999999996E-2</v>
      </c>
      <c r="W8251">
        <v>0.1504064</v>
      </c>
      <c r="X8251">
        <v>0.98562760000000005</v>
      </c>
      <c r="Y8251">
        <v>4.117552E-2</v>
      </c>
      <c r="Z8251">
        <v>-3.2724609999999999E-3</v>
      </c>
      <c r="AA8251">
        <v>0.9991466</v>
      </c>
      <c r="AB8251">
        <v>18</v>
      </c>
      <c r="AC8251">
        <v>15.2554</v>
      </c>
      <c r="AD8251">
        <v>-1.1210370083679999</v>
      </c>
      <c r="AE8251">
        <v>-0.251940000000001</v>
      </c>
      <c r="AF8251">
        <v>0.63129581223778697</v>
      </c>
      <c r="AG8251">
        <v>-1.1210370083679999</v>
      </c>
      <c r="AH8251">
        <v>15.1624182892776</v>
      </c>
      <c r="AI8251">
        <v>94.224836356398299</v>
      </c>
      <c r="AJ8251">
        <v>87.615835028669807</v>
      </c>
      <c r="AK8251">
        <v>15.2169046377934</v>
      </c>
      <c r="AL8251">
        <v>81.349521309537593</v>
      </c>
      <c r="AM8251">
        <v>85.537783715552905</v>
      </c>
      <c r="AN8251">
        <v>1.0000000079683</v>
      </c>
    </row>
    <row r="8252" spans="1:40" x14ac:dyDescent="0.25">
      <c r="A8252" t="str">
        <f>"20190303162114904"</f>
        <v>20190303162114904</v>
      </c>
      <c r="B8252" t="str">
        <f>"1551601274890697"</f>
        <v>1551601274890697</v>
      </c>
      <c r="C8252" t="s">
        <v>40</v>
      </c>
      <c r="D8252">
        <v>4.7883170000000002</v>
      </c>
      <c r="E8252">
        <v>0.4853594</v>
      </c>
      <c r="F8252" t="s">
        <v>41</v>
      </c>
      <c r="G8252">
        <v>-328.63249999999999</v>
      </c>
      <c r="H8252" s="1">
        <v>-9.8210250000000006E-7</v>
      </c>
      <c r="I8252">
        <v>17.83954</v>
      </c>
      <c r="J8252">
        <v>-343.69029999999998</v>
      </c>
      <c r="K8252">
        <v>1.1210500000000001</v>
      </c>
      <c r="L8252">
        <v>18.107600000000001</v>
      </c>
      <c r="M8252">
        <v>0.9996237</v>
      </c>
      <c r="N8252">
        <v>-1.255536E-2</v>
      </c>
      <c r="O8252">
        <v>2.4389620000000001E-2</v>
      </c>
      <c r="P8252">
        <v>0.98909590000000003</v>
      </c>
      <c r="Q8252">
        <v>0.13722200000000001</v>
      </c>
      <c r="R8252">
        <v>-5.3472119999999998E-2</v>
      </c>
      <c r="S8252">
        <v>3.0619809999999998</v>
      </c>
      <c r="T8252">
        <v>-0.22616600000000001</v>
      </c>
      <c r="U8252">
        <v>-5.36499E-2</v>
      </c>
      <c r="V8252">
        <v>7.7786300000000003E-2</v>
      </c>
      <c r="W8252">
        <v>0.14950359999999999</v>
      </c>
      <c r="X8252">
        <v>0.98569669999999998</v>
      </c>
      <c r="Y8252">
        <v>4.1722450000000001E-2</v>
      </c>
      <c r="Z8252">
        <v>-3.2940059999999999E-3</v>
      </c>
      <c r="AA8252">
        <v>0.99912380000000001</v>
      </c>
      <c r="AB8252">
        <v>18</v>
      </c>
      <c r="AC8252">
        <v>15.057799999999901</v>
      </c>
      <c r="AD8252">
        <v>-1.1210509821025001</v>
      </c>
      <c r="AE8252">
        <v>-0.26806000000000202</v>
      </c>
      <c r="AF8252">
        <v>0.63176259930240497</v>
      </c>
      <c r="AG8252">
        <v>-1.1210509821025001</v>
      </c>
      <c r="AH8252">
        <v>14.9638664878412</v>
      </c>
      <c r="AI8252">
        <v>94.280636615855897</v>
      </c>
      <c r="AJ8252">
        <v>87.582453250844793</v>
      </c>
      <c r="AK8252">
        <v>15.0190938325948</v>
      </c>
      <c r="AL8252">
        <v>81.401839526409603</v>
      </c>
      <c r="AM8252">
        <v>85.487852038328597</v>
      </c>
      <c r="AN8252">
        <v>1.00000000963577</v>
      </c>
    </row>
    <row r="8253" spans="1:40" x14ac:dyDescent="0.25">
      <c r="A8253" t="str">
        <f>"20190303162114918"</f>
        <v>20190303162114918</v>
      </c>
      <c r="B8253" t="str">
        <f>"1551601274911192"</f>
        <v>1551601274911192</v>
      </c>
      <c r="C8253" t="s">
        <v>40</v>
      </c>
      <c r="D8253">
        <v>4.8111129999999998</v>
      </c>
      <c r="E8253">
        <v>0.48550549999999998</v>
      </c>
      <c r="F8253" t="s">
        <v>41</v>
      </c>
      <c r="G8253">
        <v>-328.70859999999999</v>
      </c>
      <c r="H8253" s="1">
        <v>-9.5726859999999995E-7</v>
      </c>
      <c r="I8253">
        <v>17.823129999999999</v>
      </c>
      <c r="J8253">
        <v>-343.5849</v>
      </c>
      <c r="K8253">
        <v>1.1210659999999999</v>
      </c>
      <c r="L8253">
        <v>18.109439999999999</v>
      </c>
      <c r="M8253">
        <v>0.99963840000000004</v>
      </c>
      <c r="N8253">
        <v>-1.2549899999999999E-2</v>
      </c>
      <c r="O8253">
        <v>2.378477E-2</v>
      </c>
      <c r="P8253">
        <v>0.98906550000000004</v>
      </c>
      <c r="Q8253">
        <v>0.13720270000000001</v>
      </c>
      <c r="R8253">
        <v>-5.40857E-2</v>
      </c>
      <c r="S8253">
        <v>3.0617070000000002</v>
      </c>
      <c r="T8253">
        <v>-0.2291011</v>
      </c>
      <c r="U8253">
        <v>-5.8135989999999999E-2</v>
      </c>
      <c r="V8253">
        <v>7.7794749999999996E-2</v>
      </c>
      <c r="W8253">
        <v>0.14948239999999999</v>
      </c>
      <c r="X8253">
        <v>0.9856992</v>
      </c>
      <c r="Y8253">
        <v>4.2576599999999999E-2</v>
      </c>
      <c r="Z8253">
        <v>-3.3371849999999999E-3</v>
      </c>
      <c r="AA8253">
        <v>0.99908759999999996</v>
      </c>
      <c r="AB8253">
        <v>18</v>
      </c>
      <c r="AC8253">
        <v>14.876300000000001</v>
      </c>
      <c r="AD8253">
        <v>-1.1210669572685901</v>
      </c>
      <c r="AE8253">
        <v>-0.28631000000000001</v>
      </c>
      <c r="AF8253">
        <v>0.63647300298551601</v>
      </c>
      <c r="AG8253">
        <v>-1.1210669572685901</v>
      </c>
      <c r="AH8253">
        <v>14.7813679406513</v>
      </c>
      <c r="AI8253">
        <v>94.333194717932699</v>
      </c>
      <c r="AJ8253">
        <v>87.534416016072498</v>
      </c>
      <c r="AK8253">
        <v>14.837477117189501</v>
      </c>
      <c r="AL8253">
        <v>81.403067588586097</v>
      </c>
      <c r="AM8253">
        <v>85.487375301795197</v>
      </c>
      <c r="AN8253">
        <v>0.99999996195898</v>
      </c>
    </row>
    <row r="8254" spans="1:40" x14ac:dyDescent="0.25">
      <c r="A8254" t="str">
        <f>"20190303162114929"</f>
        <v>20190303162114929</v>
      </c>
      <c r="B8254" t="str">
        <f>"1551601274920953"</f>
        <v>1551601274920953</v>
      </c>
      <c r="C8254" t="s">
        <v>40</v>
      </c>
      <c r="D8254">
        <v>4.813008</v>
      </c>
      <c r="E8254">
        <v>0.50670609999999905</v>
      </c>
      <c r="F8254" t="s">
        <v>41</v>
      </c>
      <c r="G8254">
        <v>-328.51519999999999</v>
      </c>
      <c r="H8254" s="1">
        <v>-1.036033E-6</v>
      </c>
      <c r="I8254">
        <v>17.806139999999999</v>
      </c>
      <c r="J8254">
        <v>-343.48140000000001</v>
      </c>
      <c r="K8254">
        <v>1.1210850000000001</v>
      </c>
      <c r="L8254">
        <v>18.11121</v>
      </c>
      <c r="M8254">
        <v>0.99965230000000005</v>
      </c>
      <c r="N8254">
        <v>-1.254473E-2</v>
      </c>
      <c r="O8254">
        <v>2.3199560000000001E-2</v>
      </c>
      <c r="P8254">
        <v>0.98902109999999999</v>
      </c>
      <c r="Q8254">
        <v>0.13727600000000001</v>
      </c>
      <c r="R8254">
        <v>-5.4709580000000001E-2</v>
      </c>
      <c r="S8254">
        <v>3.0613709999999998</v>
      </c>
      <c r="T8254">
        <v>-0.22774269999999999</v>
      </c>
      <c r="U8254">
        <v>-6.1614990000000001E-2</v>
      </c>
      <c r="V8254">
        <v>7.7832970000000001E-2</v>
      </c>
      <c r="W8254">
        <v>0.14955360000000001</v>
      </c>
      <c r="X8254">
        <v>0.98568540000000004</v>
      </c>
      <c r="Y8254">
        <v>4.3130210000000002E-2</v>
      </c>
      <c r="Z8254">
        <v>-3.3055239999999998E-3</v>
      </c>
      <c r="AA8254">
        <v>0.99906399999999995</v>
      </c>
      <c r="AB8254">
        <v>18</v>
      </c>
      <c r="AC8254">
        <v>14.966200000000001</v>
      </c>
      <c r="AD8254">
        <v>-1.1210860360329999</v>
      </c>
      <c r="AE8254">
        <v>-0.30507000000000001</v>
      </c>
      <c r="AF8254">
        <v>0.64858657359673</v>
      </c>
      <c r="AG8254">
        <v>-1.1210860360329999</v>
      </c>
      <c r="AH8254">
        <v>14.871680098488</v>
      </c>
      <c r="AI8254">
        <v>94.306949958657498</v>
      </c>
      <c r="AJ8254">
        <v>87.502787890478601</v>
      </c>
      <c r="AK8254">
        <v>14.9279726485347</v>
      </c>
      <c r="AL8254">
        <v>81.398941899224496</v>
      </c>
      <c r="AM8254">
        <v>85.485104497336593</v>
      </c>
      <c r="AN8254">
        <v>0.99999997913256999</v>
      </c>
    </row>
    <row r="8255" spans="1:40" x14ac:dyDescent="0.25">
      <c r="A8255" t="str">
        <f>"20190303162114941"</f>
        <v>20190303162114941</v>
      </c>
      <c r="B8255" t="str">
        <f>"1551601274930713"</f>
        <v>1551601274930713</v>
      </c>
      <c r="C8255" t="s">
        <v>40</v>
      </c>
      <c r="D8255">
        <v>4.7673100000000002</v>
      </c>
      <c r="E8255">
        <v>0.51338850000000003</v>
      </c>
      <c r="F8255" t="s">
        <v>41</v>
      </c>
      <c r="G8255">
        <v>-321.00970000000001</v>
      </c>
      <c r="H8255" s="1">
        <v>-4.7999749999999997E-6</v>
      </c>
      <c r="I8255">
        <v>16.404399999999999</v>
      </c>
      <c r="J8255">
        <v>-343.38659999999999</v>
      </c>
      <c r="K8255">
        <v>1.1211009999999999</v>
      </c>
      <c r="L8255">
        <v>18.112760000000002</v>
      </c>
      <c r="M8255">
        <v>0.99966440000000001</v>
      </c>
      <c r="N8255">
        <v>-1.25402E-2</v>
      </c>
      <c r="O8255">
        <v>2.2673269999999999E-2</v>
      </c>
      <c r="P8255">
        <v>0.9889715</v>
      </c>
      <c r="Q8255">
        <v>0.13746259999999999</v>
      </c>
      <c r="R8255">
        <v>-5.513415E-2</v>
      </c>
      <c r="S8255">
        <v>3.0415649999999999</v>
      </c>
      <c r="T8255">
        <v>-0.15174079999999901</v>
      </c>
      <c r="U8255">
        <v>-0.2310181</v>
      </c>
      <c r="V8255">
        <v>7.7731129999999996E-2</v>
      </c>
      <c r="W8255">
        <v>0.14973839999999999</v>
      </c>
      <c r="X8255">
        <v>0.98566540000000002</v>
      </c>
      <c r="Y8255">
        <v>9.815815E-2</v>
      </c>
      <c r="Z8255">
        <v>-3.9055589999999999E-3</v>
      </c>
      <c r="AA8255">
        <v>0.99516309999999997</v>
      </c>
      <c r="AB8255">
        <v>18</v>
      </c>
      <c r="AC8255">
        <v>22.3768999999999</v>
      </c>
      <c r="AD8255">
        <v>-1.121105799975</v>
      </c>
      <c r="AE8255">
        <v>-1.7083600000000001</v>
      </c>
      <c r="AF8255">
        <v>2.2098033758651998</v>
      </c>
      <c r="AG8255">
        <v>-1.121105799975</v>
      </c>
      <c r="AH8255">
        <v>22.276816172245201</v>
      </c>
      <c r="AI8255">
        <v>92.866996187026402</v>
      </c>
      <c r="AJ8255">
        <v>84.334937879679501</v>
      </c>
      <c r="AK8255">
        <v>22.414206386725599</v>
      </c>
      <c r="AL8255">
        <v>81.388233224828696</v>
      </c>
      <c r="AM8255">
        <v>85.490896489412904</v>
      </c>
      <c r="AN8255">
        <v>0.99999999888139801</v>
      </c>
    </row>
    <row r="8256" spans="1:40" x14ac:dyDescent="0.25">
      <c r="A8256" t="str">
        <f>"20190303162114959"</f>
        <v>20190303162114959</v>
      </c>
      <c r="B8256" t="str">
        <f>"1551601274951209"</f>
        <v>1551601274951209</v>
      </c>
      <c r="C8256" t="s">
        <v>40</v>
      </c>
      <c r="D8256">
        <v>4.8203969999999998</v>
      </c>
      <c r="E8256">
        <v>0.5214704</v>
      </c>
      <c r="F8256" t="s">
        <v>41</v>
      </c>
      <c r="G8256">
        <v>-321.05540000000002</v>
      </c>
      <c r="H8256" s="1">
        <v>-4.8478130000000001E-6</v>
      </c>
      <c r="I8256">
        <v>16.012929999999901</v>
      </c>
      <c r="J8256">
        <v>-343.2509</v>
      </c>
      <c r="K8256">
        <v>1.121119</v>
      </c>
      <c r="L8256">
        <v>18.11496</v>
      </c>
      <c r="M8256">
        <v>0.99968089999999998</v>
      </c>
      <c r="N8256">
        <v>-1.253431E-2</v>
      </c>
      <c r="O8256">
        <v>2.1939400000000001E-2</v>
      </c>
      <c r="P8256">
        <v>0.98891739999999995</v>
      </c>
      <c r="Q8256">
        <v>0.1376375</v>
      </c>
      <c r="R8256">
        <v>-5.5665970000000002E-2</v>
      </c>
      <c r="S8256">
        <v>3.0387270000000002</v>
      </c>
      <c r="T8256">
        <v>-0.15255529999999901</v>
      </c>
      <c r="U8256">
        <v>-0.28573609999999999</v>
      </c>
      <c r="V8256">
        <v>7.7529639999999997E-2</v>
      </c>
      <c r="W8256">
        <v>0.1499114</v>
      </c>
      <c r="X8256">
        <v>0.98565499999999995</v>
      </c>
      <c r="Y8256">
        <v>0.11524520000000001</v>
      </c>
      <c r="Z8256">
        <v>-4.4334650000000001E-3</v>
      </c>
      <c r="AA8256">
        <v>0.99332719999999997</v>
      </c>
      <c r="AB8256">
        <v>18</v>
      </c>
      <c r="AC8256">
        <v>22.1954999999999</v>
      </c>
      <c r="AD8256">
        <v>-1.1211238478129999</v>
      </c>
      <c r="AE8256">
        <v>-2.1020300000000001</v>
      </c>
      <c r="AF8256">
        <v>2.5819889842406201</v>
      </c>
      <c r="AG8256">
        <v>-1.1211238478129999</v>
      </c>
      <c r="AH8256">
        <v>22.088181206299002</v>
      </c>
      <c r="AI8256">
        <v>92.886035462397004</v>
      </c>
      <c r="AJ8256">
        <v>83.332691356881895</v>
      </c>
      <c r="AK8256">
        <v>22.266821389663502</v>
      </c>
      <c r="AL8256">
        <v>81.378208129886602</v>
      </c>
      <c r="AM8256">
        <v>85.502489444478996</v>
      </c>
      <c r="AN8256">
        <v>1.0000000259767401</v>
      </c>
    </row>
    <row r="8257" spans="1:40" x14ac:dyDescent="0.25">
      <c r="A8257" t="str">
        <f>"20190303162114971"</f>
        <v>20190303162114971</v>
      </c>
      <c r="B8257" t="str">
        <f>"1551601274960969"</f>
        <v>1551601274960969</v>
      </c>
      <c r="C8257" t="s">
        <v>40</v>
      </c>
      <c r="D8257">
        <v>4.8030749999999998</v>
      </c>
      <c r="E8257">
        <v>0.52327400000000002</v>
      </c>
      <c r="F8257" t="s">
        <v>41</v>
      </c>
      <c r="G8257">
        <v>-321.18849999999998</v>
      </c>
      <c r="H8257" s="1">
        <v>-4.8660289999999998E-6</v>
      </c>
      <c r="I8257">
        <v>15.55561</v>
      </c>
      <c r="J8257">
        <v>-343.15030000000002</v>
      </c>
      <c r="K8257">
        <v>1.121132</v>
      </c>
      <c r="L8257">
        <v>18.116489999999999</v>
      </c>
      <c r="M8257">
        <v>0.99969229999999998</v>
      </c>
      <c r="N8257">
        <v>-1.253026E-2</v>
      </c>
      <c r="O8257">
        <v>2.1409089999999999E-2</v>
      </c>
      <c r="P8257">
        <v>0.98894269999999995</v>
      </c>
      <c r="Q8257">
        <v>0.13733399999999901</v>
      </c>
      <c r="R8257">
        <v>-5.5962539999999998E-2</v>
      </c>
      <c r="S8257">
        <v>3.0353089999999998</v>
      </c>
      <c r="T8257">
        <v>-0.15424280000000001</v>
      </c>
      <c r="U8257">
        <v>-0.35211179999999997</v>
      </c>
      <c r="V8257">
        <v>7.7297370000000004E-2</v>
      </c>
      <c r="W8257">
        <v>0.14960780000000001</v>
      </c>
      <c r="X8257">
        <v>0.98571929999999996</v>
      </c>
      <c r="Y8257">
        <v>0.1362419</v>
      </c>
      <c r="Z8257">
        <v>-5.1217060000000002E-3</v>
      </c>
      <c r="AA8257">
        <v>0.9906623</v>
      </c>
      <c r="AB8257">
        <v>18</v>
      </c>
      <c r="AC8257">
        <v>21.9618</v>
      </c>
      <c r="AD8257">
        <v>-1.121136866029</v>
      </c>
      <c r="AE8257">
        <v>-2.5608799999999898</v>
      </c>
      <c r="AF8257">
        <v>3.0227402920118198</v>
      </c>
      <c r="AG8257">
        <v>-1.121136866029</v>
      </c>
      <c r="AH8257">
        <v>21.845767851439302</v>
      </c>
      <c r="AI8257">
        <v>92.910195418121702</v>
      </c>
      <c r="AJ8257">
        <v>82.122157675325994</v>
      </c>
      <c r="AK8257">
        <v>22.082379395443301</v>
      </c>
      <c r="AL8257">
        <v>81.395800947933907</v>
      </c>
      <c r="AM8257">
        <v>85.516199753657801</v>
      </c>
      <c r="AN8257">
        <v>0.99999995781112205</v>
      </c>
    </row>
    <row r="8258" spans="1:40" x14ac:dyDescent="0.25">
      <c r="A8258" t="str">
        <f>"20190303162114982"</f>
        <v>20190303162114982</v>
      </c>
      <c r="B8258" t="str">
        <f>"1551601274970729"</f>
        <v>1551601274970729</v>
      </c>
      <c r="C8258" t="s">
        <v>40</v>
      </c>
      <c r="D8258">
        <v>4.7662389999999997</v>
      </c>
      <c r="E8258">
        <v>0.52413329999999902</v>
      </c>
      <c r="F8258" t="s">
        <v>41</v>
      </c>
      <c r="G8258">
        <v>-321.69040000000001</v>
      </c>
      <c r="H8258" s="1">
        <v>-4.6357840000000001E-6</v>
      </c>
      <c r="I8258">
        <v>15.5161</v>
      </c>
      <c r="J8258">
        <v>-343.05849999999998</v>
      </c>
      <c r="K8258">
        <v>1.121143</v>
      </c>
      <c r="L8258">
        <v>18.117889999999999</v>
      </c>
      <c r="M8258">
        <v>0.99970250000000005</v>
      </c>
      <c r="N8258">
        <v>-1.252673E-2</v>
      </c>
      <c r="O8258">
        <v>2.0933029999999998E-2</v>
      </c>
      <c r="P8258">
        <v>0.98899289999999995</v>
      </c>
      <c r="Q8258">
        <v>0.13689490000000001</v>
      </c>
      <c r="R8258">
        <v>-5.6153380000000003E-2</v>
      </c>
      <c r="S8258">
        <v>3.0347900000000001</v>
      </c>
      <c r="T8258">
        <v>-0.1585474</v>
      </c>
      <c r="U8258">
        <v>-0.36773679999999997</v>
      </c>
      <c r="V8258">
        <v>7.701392E-2</v>
      </c>
      <c r="W8258">
        <v>0.14916840000000001</v>
      </c>
      <c r="X8258">
        <v>0.98580809999999996</v>
      </c>
      <c r="Y8258">
        <v>0.14079849999999999</v>
      </c>
      <c r="Z8258">
        <v>-5.3759740000000004E-3</v>
      </c>
      <c r="AA8258">
        <v>0.99002369999999995</v>
      </c>
      <c r="AB8258">
        <v>18</v>
      </c>
      <c r="AC8258">
        <v>21.368099999999899</v>
      </c>
      <c r="AD8258">
        <v>-1.121147635784</v>
      </c>
      <c r="AE8258">
        <v>-2.6017899999999901</v>
      </c>
      <c r="AF8258">
        <v>3.0403064885106699</v>
      </c>
      <c r="AG8258">
        <v>-1.121147635784</v>
      </c>
      <c r="AH8258">
        <v>21.2513009891614</v>
      </c>
      <c r="AI8258">
        <v>92.989550995767303</v>
      </c>
      <c r="AJ8258">
        <v>81.8582556004624</v>
      </c>
      <c r="AK8258">
        <v>21.496935346631101</v>
      </c>
      <c r="AL8258">
        <v>81.421262642603494</v>
      </c>
      <c r="AM8258">
        <v>85.532975989466294</v>
      </c>
      <c r="AN8258">
        <v>0.99999998272896795</v>
      </c>
    </row>
    <row r="8259" spans="1:40" x14ac:dyDescent="0.25">
      <c r="A8259" t="str">
        <f>"20190303162114994"</f>
        <v>20190303162114994</v>
      </c>
      <c r="B8259" t="str">
        <f>"1551601274981465"</f>
        <v>1551601274981465</v>
      </c>
      <c r="C8259" t="s">
        <v>40</v>
      </c>
      <c r="D8259">
        <v>4.7352080000000001</v>
      </c>
      <c r="E8259">
        <v>0.52479849999999995</v>
      </c>
      <c r="F8259" t="s">
        <v>41</v>
      </c>
      <c r="G8259">
        <v>-322.14</v>
      </c>
      <c r="H8259" s="1">
        <v>-4.4212790000000004E-6</v>
      </c>
      <c r="I8259">
        <v>15.52721</v>
      </c>
      <c r="J8259">
        <v>-342.97289999999998</v>
      </c>
      <c r="K8259">
        <v>1.121156</v>
      </c>
      <c r="L8259">
        <v>18.119140000000002</v>
      </c>
      <c r="M8259">
        <v>0.99971149999999998</v>
      </c>
      <c r="N8259">
        <v>-1.2523589999999999E-2</v>
      </c>
      <c r="O8259">
        <v>2.050364E-2</v>
      </c>
      <c r="P8259">
        <v>0.98899329999999996</v>
      </c>
      <c r="Q8259">
        <v>0.13659749999999901</v>
      </c>
      <c r="R8259">
        <v>-5.6865369999999998E-2</v>
      </c>
      <c r="S8259">
        <v>3.0346069999999998</v>
      </c>
      <c r="T8259">
        <v>-0.162642799999999</v>
      </c>
      <c r="U8259">
        <v>-0.37582399999999999</v>
      </c>
      <c r="V8259">
        <v>7.7296909999999996E-2</v>
      </c>
      <c r="W8259">
        <v>0.14887040000000001</v>
      </c>
      <c r="X8259">
        <v>0.98583100000000001</v>
      </c>
      <c r="Y8259">
        <v>0.1429638</v>
      </c>
      <c r="Z8259">
        <v>-5.5519339999999997E-3</v>
      </c>
      <c r="AA8259">
        <v>0.98971240000000005</v>
      </c>
      <c r="AB8259">
        <v>18</v>
      </c>
      <c r="AC8259">
        <v>20.832899999999899</v>
      </c>
      <c r="AD8259">
        <v>-1.1211604212790001</v>
      </c>
      <c r="AE8259">
        <v>-2.5919299999999899</v>
      </c>
      <c r="AF8259">
        <v>3.0099839674547999</v>
      </c>
      <c r="AG8259">
        <v>-1.1211604212790001</v>
      </c>
      <c r="AH8259">
        <v>20.716286665268601</v>
      </c>
      <c r="AI8259">
        <v>93.065683510124401</v>
      </c>
      <c r="AJ8259">
        <v>81.733029206916896</v>
      </c>
      <c r="AK8259">
        <v>20.963814952726601</v>
      </c>
      <c r="AL8259">
        <v>81.438529597864402</v>
      </c>
      <c r="AM8259">
        <v>85.516732292734403</v>
      </c>
      <c r="AN8259">
        <v>0.99999998442635296</v>
      </c>
    </row>
    <row r="8260" spans="1:40" x14ac:dyDescent="0.25">
      <c r="A8260" t="str">
        <f>"20190303162115005"</f>
        <v>20190303162115005</v>
      </c>
      <c r="B8260" t="str">
        <f>"1551601275000985"</f>
        <v>1551601275000985</v>
      </c>
      <c r="C8260" t="s">
        <v>40</v>
      </c>
      <c r="D8260">
        <v>4.9724339999999998</v>
      </c>
      <c r="E8260">
        <v>0.52611759999999996</v>
      </c>
      <c r="F8260" t="s">
        <v>41</v>
      </c>
      <c r="G8260">
        <v>-322.51310000000001</v>
      </c>
      <c r="H8260" s="1">
        <v>-4.2440700000000002E-6</v>
      </c>
      <c r="I8260">
        <v>15.53196</v>
      </c>
      <c r="J8260">
        <v>-342.87880000000001</v>
      </c>
      <c r="K8260">
        <v>1.121175</v>
      </c>
      <c r="L8260">
        <v>18.120480000000001</v>
      </c>
      <c r="M8260">
        <v>0.99972090000000002</v>
      </c>
      <c r="N8260">
        <v>-1.252021E-2</v>
      </c>
      <c r="O8260">
        <v>2.0037019999999999E-2</v>
      </c>
      <c r="P8260">
        <v>0.98895650000000002</v>
      </c>
      <c r="Q8260">
        <v>0.13644489999999901</v>
      </c>
      <c r="R8260">
        <v>-5.7862719999999999E-2</v>
      </c>
      <c r="S8260">
        <v>3.034332</v>
      </c>
      <c r="T8260">
        <v>-0.16627600000000001</v>
      </c>
      <c r="U8260">
        <v>-0.38369750000000002</v>
      </c>
      <c r="V8260">
        <v>7.782741E-2</v>
      </c>
      <c r="W8260">
        <v>0.14871619999999999</v>
      </c>
      <c r="X8260">
        <v>0.98581249999999998</v>
      </c>
      <c r="Y8260">
        <v>0.1450265</v>
      </c>
      <c r="Z8260">
        <v>-5.7106960000000003E-3</v>
      </c>
      <c r="AA8260">
        <v>0.98941129999999999</v>
      </c>
      <c r="AB8260">
        <v>18</v>
      </c>
      <c r="AC8260">
        <v>20.3657</v>
      </c>
      <c r="AD8260">
        <v>-1.1211792440699999</v>
      </c>
      <c r="AE8260">
        <v>-2.5885199999999999</v>
      </c>
      <c r="AF8260">
        <v>2.9871906233176899</v>
      </c>
      <c r="AG8260">
        <v>-1.1211792440699999</v>
      </c>
      <c r="AH8260">
        <v>20.2493452185454</v>
      </c>
      <c r="AI8260">
        <v>93.135291908206398</v>
      </c>
      <c r="AJ8260">
        <v>81.6082314896003</v>
      </c>
      <c r="AK8260">
        <v>20.4991788249481</v>
      </c>
      <c r="AL8260">
        <v>81.447463762073099</v>
      </c>
      <c r="AM8260">
        <v>85.486005340360094</v>
      </c>
      <c r="AN8260">
        <v>0.99999994952299698</v>
      </c>
    </row>
    <row r="8261" spans="1:40" x14ac:dyDescent="0.25">
      <c r="A8261" t="str">
        <f>"20190303162115016"</f>
        <v>20190303162115016</v>
      </c>
      <c r="B8261" t="str">
        <f>"1551601275010746"</f>
        <v>1551601275010746</v>
      </c>
      <c r="C8261" t="s">
        <v>40</v>
      </c>
      <c r="D8261">
        <v>4.7560449999999896</v>
      </c>
      <c r="E8261">
        <v>0.52619919999999998</v>
      </c>
      <c r="F8261" t="s">
        <v>41</v>
      </c>
      <c r="G8261">
        <v>-323.89190000000002</v>
      </c>
      <c r="H8261" s="1">
        <v>-3.5744060000000002E-6</v>
      </c>
      <c r="I8261">
        <v>15.632809999999999</v>
      </c>
      <c r="J8261">
        <v>-342.78640000000001</v>
      </c>
      <c r="K8261">
        <v>1.121192</v>
      </c>
      <c r="L8261">
        <v>18.1218</v>
      </c>
      <c r="M8261">
        <v>0.9997296</v>
      </c>
      <c r="N8261">
        <v>-1.2517169999999999E-2</v>
      </c>
      <c r="O8261">
        <v>1.96022E-2</v>
      </c>
      <c r="P8261">
        <v>0.98881580000000002</v>
      </c>
      <c r="Q8261">
        <v>0.1367014</v>
      </c>
      <c r="R8261">
        <v>-5.9636149999999999E-2</v>
      </c>
      <c r="S8261">
        <v>3.0349729999999999</v>
      </c>
      <c r="T8261">
        <v>-0.17921609999999999</v>
      </c>
      <c r="U8261">
        <v>-0.397644</v>
      </c>
      <c r="V8261">
        <v>7.916252E-2</v>
      </c>
      <c r="W8261">
        <v>0.1489694</v>
      </c>
      <c r="X8261">
        <v>0.98566799999999999</v>
      </c>
      <c r="Y8261">
        <v>0.14899189999999901</v>
      </c>
      <c r="Z8261">
        <v>-6.2217949999999996E-3</v>
      </c>
      <c r="AA8261">
        <v>0.9888188</v>
      </c>
      <c r="AB8261">
        <v>18</v>
      </c>
      <c r="AC8261">
        <v>18.894499999999901</v>
      </c>
      <c r="AD8261">
        <v>-1.121195574406</v>
      </c>
      <c r="AE8261">
        <v>-2.4889899999999998</v>
      </c>
      <c r="AF8261">
        <v>2.8490534385732</v>
      </c>
      <c r="AG8261">
        <v>-1.121195574406</v>
      </c>
      <c r="AH8261">
        <v>18.777085231259999</v>
      </c>
      <c r="AI8261">
        <v>93.378543820749599</v>
      </c>
      <c r="AJ8261">
        <v>81.372299761897494</v>
      </c>
      <c r="AK8261">
        <v>19.025065434681601</v>
      </c>
      <c r="AL8261">
        <v>81.432793456155395</v>
      </c>
      <c r="AM8261">
        <v>85.408226964818297</v>
      </c>
      <c r="AN8261">
        <v>0.99999999646655502</v>
      </c>
    </row>
    <row r="8262" spans="1:40" x14ac:dyDescent="0.25">
      <c r="A8262" t="str">
        <f>"20190303162115029"</f>
        <v>20190303162115029</v>
      </c>
      <c r="B8262" t="str">
        <f>"1551601275020504"</f>
        <v>1551601275020504</v>
      </c>
      <c r="C8262" t="s">
        <v>40</v>
      </c>
      <c r="D8262">
        <v>4.7605040000000001</v>
      </c>
      <c r="E8262">
        <v>0.52629459999999995</v>
      </c>
      <c r="F8262" t="s">
        <v>41</v>
      </c>
      <c r="G8262">
        <v>-323.80560000000003</v>
      </c>
      <c r="H8262" s="1">
        <v>-3.6209430000000001E-6</v>
      </c>
      <c r="I8262">
        <v>15.60046</v>
      </c>
      <c r="J8262">
        <v>-342.68830000000003</v>
      </c>
      <c r="K8262">
        <v>1.1212089999999999</v>
      </c>
      <c r="L8262">
        <v>18.123139999999999</v>
      </c>
      <c r="M8262">
        <v>0.99973840000000003</v>
      </c>
      <c r="N8262">
        <v>-1.2514030000000001E-2</v>
      </c>
      <c r="O8262">
        <v>1.9149309999999999E-2</v>
      </c>
      <c r="P8262">
        <v>0.98858619999999997</v>
      </c>
      <c r="Q8262">
        <v>0.1372409</v>
      </c>
      <c r="R8262">
        <v>-6.2147710000000002E-2</v>
      </c>
      <c r="S8262">
        <v>3.0343930000000001</v>
      </c>
      <c r="T8262">
        <v>-0.17924129999999899</v>
      </c>
      <c r="U8262">
        <v>-0.4030762</v>
      </c>
      <c r="V8262">
        <v>8.1216099999999999E-2</v>
      </c>
      <c r="W8262">
        <v>0.14950450000000001</v>
      </c>
      <c r="X8262">
        <v>0.98541990000000002</v>
      </c>
      <c r="Y8262">
        <v>0.15030560000000001</v>
      </c>
      <c r="Z8262">
        <v>-6.2488190000000001E-3</v>
      </c>
      <c r="AA8262">
        <v>0.98861980000000005</v>
      </c>
      <c r="AB8262">
        <v>18</v>
      </c>
      <c r="AC8262">
        <v>18.8827</v>
      </c>
      <c r="AD8262">
        <v>-1.121212620943</v>
      </c>
      <c r="AE8262">
        <v>-2.5226799999999998</v>
      </c>
      <c r="AF8262">
        <v>2.8738814949487699</v>
      </c>
      <c r="AG8262">
        <v>-1.121212620943</v>
      </c>
      <c r="AH8262">
        <v>18.765922488387101</v>
      </c>
      <c r="AI8262">
        <v>93.379890090128399</v>
      </c>
      <c r="AJ8262">
        <v>81.293162846396399</v>
      </c>
      <c r="AK8262">
        <v>19.0177853450007</v>
      </c>
      <c r="AL8262">
        <v>81.401787419400605</v>
      </c>
      <c r="AM8262">
        <v>85.288458995029899</v>
      </c>
      <c r="AN8262">
        <v>1.0000000148677299</v>
      </c>
    </row>
    <row r="8263" spans="1:40" x14ac:dyDescent="0.25">
      <c r="A8263" t="str">
        <f>"20190303162115040"</f>
        <v>20190303162115040</v>
      </c>
      <c r="B8263" t="str">
        <f>"1551601275031240"</f>
        <v>1551601275031240</v>
      </c>
      <c r="C8263" t="s">
        <v>40</v>
      </c>
      <c r="D8263">
        <v>4.7561739999999997</v>
      </c>
      <c r="E8263">
        <v>0.52636309999999997</v>
      </c>
      <c r="F8263" t="s">
        <v>41</v>
      </c>
      <c r="G8263">
        <v>-323.37529999999998</v>
      </c>
      <c r="H8263" s="1">
        <v>-3.8398430000000002E-6</v>
      </c>
      <c r="I8263">
        <v>15.51324</v>
      </c>
      <c r="J8263">
        <v>-342.59309999999999</v>
      </c>
      <c r="K8263">
        <v>1.121232</v>
      </c>
      <c r="L8263">
        <v>18.124389999999998</v>
      </c>
      <c r="M8263">
        <v>0.99974649999999998</v>
      </c>
      <c r="N8263">
        <v>-1.2511130000000001E-2</v>
      </c>
      <c r="O8263">
        <v>1.8726360000000001E-2</v>
      </c>
      <c r="P8263">
        <v>0.98837529999999996</v>
      </c>
      <c r="Q8263">
        <v>0.13753379999999901</v>
      </c>
      <c r="R8263">
        <v>-6.4803879999999994E-2</v>
      </c>
      <c r="S8263">
        <v>3.033325</v>
      </c>
      <c r="T8263">
        <v>-0.1760987</v>
      </c>
      <c r="U8263">
        <v>-0.4099121</v>
      </c>
      <c r="V8263">
        <v>8.3442810000000006E-2</v>
      </c>
      <c r="W8263">
        <v>0.14979310000000001</v>
      </c>
      <c r="X8263">
        <v>0.98519000000000001</v>
      </c>
      <c r="Y8263">
        <v>0.15212870000000001</v>
      </c>
      <c r="Z8263">
        <v>-6.197826E-3</v>
      </c>
      <c r="AA8263">
        <v>0.98834129999999998</v>
      </c>
      <c r="AB8263">
        <v>18</v>
      </c>
      <c r="AC8263">
        <v>19.2178</v>
      </c>
      <c r="AD8263">
        <v>-1.121235839843</v>
      </c>
      <c r="AE8263">
        <v>-2.6111499999999901</v>
      </c>
      <c r="AF8263">
        <v>2.9607041280721198</v>
      </c>
      <c r="AG8263">
        <v>-1.121235839843</v>
      </c>
      <c r="AH8263">
        <v>19.101685320737399</v>
      </c>
      <c r="AI8263">
        <v>93.319758254628397</v>
      </c>
      <c r="AJ8263">
        <v>81.189434258248198</v>
      </c>
      <c r="AK8263">
        <v>19.362265384892499</v>
      </c>
      <c r="AL8263">
        <v>81.385063454180298</v>
      </c>
      <c r="AM8263">
        <v>85.158763646941594</v>
      </c>
      <c r="AN8263">
        <v>1.00000000572415</v>
      </c>
    </row>
    <row r="8264" spans="1:40" x14ac:dyDescent="0.25">
      <c r="A8264" t="str">
        <f>"20190303162115053"</f>
        <v>20190303162115053</v>
      </c>
      <c r="B8264" t="str">
        <f>"1551601275041508"</f>
        <v>1551601275041508</v>
      </c>
      <c r="C8264" t="s">
        <v>40</v>
      </c>
      <c r="D8264">
        <v>4.7843239999999998</v>
      </c>
      <c r="E8264">
        <v>0.52647330000000003</v>
      </c>
      <c r="F8264" t="s">
        <v>41</v>
      </c>
      <c r="G8264">
        <v>-323.40499999999997</v>
      </c>
      <c r="H8264" s="1">
        <v>-3.830302E-6</v>
      </c>
      <c r="I8264">
        <v>15.487719999999999</v>
      </c>
      <c r="J8264">
        <v>-342.50049999999999</v>
      </c>
      <c r="K8264">
        <v>1.1212569999999999</v>
      </c>
      <c r="L8264">
        <v>18.125640000000001</v>
      </c>
      <c r="M8264">
        <v>0.99975369999999997</v>
      </c>
      <c r="N8264">
        <v>-1.2508450000000001E-2</v>
      </c>
      <c r="O8264">
        <v>1.8336769999999999E-2</v>
      </c>
      <c r="P8264">
        <v>0.9881858</v>
      </c>
      <c r="Q8264">
        <v>0.1373693</v>
      </c>
      <c r="R8264">
        <v>-6.7960499999999993E-2</v>
      </c>
      <c r="S8264">
        <v>3.0326230000000001</v>
      </c>
      <c r="T8264">
        <v>-0.1772079</v>
      </c>
      <c r="U8264">
        <v>-0.41671750000000002</v>
      </c>
      <c r="V8264">
        <v>8.6202459999999995E-2</v>
      </c>
      <c r="W8264">
        <v>0.1496257</v>
      </c>
      <c r="X8264">
        <v>0.98497780000000001</v>
      </c>
      <c r="Y8264">
        <v>0.153944</v>
      </c>
      <c r="Z8264">
        <v>-6.2790830000000004E-3</v>
      </c>
      <c r="AA8264">
        <v>0.98805960000000004</v>
      </c>
      <c r="AB8264">
        <v>18</v>
      </c>
      <c r="AC8264">
        <v>19.095500000000001</v>
      </c>
      <c r="AD8264">
        <v>-1.121260830302</v>
      </c>
      <c r="AE8264">
        <v>-2.6379199999999998</v>
      </c>
      <c r="AF8264">
        <v>2.9775795038765702</v>
      </c>
      <c r="AG8264">
        <v>-1.121260830302</v>
      </c>
      <c r="AH8264">
        <v>18.979700055482802</v>
      </c>
      <c r="AI8264">
        <v>93.340164289948902</v>
      </c>
      <c r="AJ8264">
        <v>81.083978049100594</v>
      </c>
      <c r="AK8264">
        <v>19.244537400196698</v>
      </c>
      <c r="AL8264">
        <v>81.394763960138306</v>
      </c>
      <c r="AM8264">
        <v>84.998379662496404</v>
      </c>
      <c r="AN8264">
        <v>0.99999999035168996</v>
      </c>
    </row>
    <row r="8265" spans="1:40" x14ac:dyDescent="0.25">
      <c r="A8265" t="str">
        <f>"20190303162115066"</f>
        <v>20190303162115066</v>
      </c>
      <c r="B8265" t="str">
        <f>"1551601275061028"</f>
        <v>1551601275061028</v>
      </c>
      <c r="C8265" t="s">
        <v>40</v>
      </c>
      <c r="D8265">
        <v>4.781269</v>
      </c>
      <c r="E8265">
        <v>0.52660390000000001</v>
      </c>
      <c r="F8265" t="s">
        <v>41</v>
      </c>
      <c r="G8265">
        <v>-323.42599999999999</v>
      </c>
      <c r="H8265" s="1">
        <v>-3.8276350000000003E-6</v>
      </c>
      <c r="I8265">
        <v>15.446870000000001</v>
      </c>
      <c r="J8265">
        <v>-342.39359999999999</v>
      </c>
      <c r="K8265">
        <v>1.121283</v>
      </c>
      <c r="L8265">
        <v>18.127009999999999</v>
      </c>
      <c r="M8265">
        <v>0.99976160000000003</v>
      </c>
      <c r="N8265">
        <v>-1.2505459999999999E-2</v>
      </c>
      <c r="O8265">
        <v>1.7902290000000001E-2</v>
      </c>
      <c r="P8265">
        <v>0.98802800000000002</v>
      </c>
      <c r="Q8265">
        <v>0.13674890000000001</v>
      </c>
      <c r="R8265">
        <v>-7.1417969999999997E-2</v>
      </c>
      <c r="S8265">
        <v>3.0314030000000001</v>
      </c>
      <c r="T8265">
        <v>-0.1781951</v>
      </c>
      <c r="U8265">
        <v>-0.42572019999999999</v>
      </c>
      <c r="V8265">
        <v>8.9216589999999998E-2</v>
      </c>
      <c r="W8265">
        <v>0.14900329999999901</v>
      </c>
      <c r="X8265">
        <v>0.98480369999999995</v>
      </c>
      <c r="Y8265">
        <v>0.156438299999999</v>
      </c>
      <c r="Z8265">
        <v>-6.3796369999999996E-3</v>
      </c>
      <c r="AA8265">
        <v>0.98766710000000002</v>
      </c>
      <c r="AB8265">
        <v>18</v>
      </c>
      <c r="AC8265">
        <v>18.967600000000001</v>
      </c>
      <c r="AD8265">
        <v>-1.1212868276350001</v>
      </c>
      <c r="AE8265">
        <v>-2.6801400000000002</v>
      </c>
      <c r="AF8265">
        <v>3.0089907758719598</v>
      </c>
      <c r="AG8265">
        <v>-1.1212868276350001</v>
      </c>
      <c r="AH8265">
        <v>18.851983212128999</v>
      </c>
      <c r="AI8265">
        <v>93.361405746572999</v>
      </c>
      <c r="AJ8265">
        <v>80.931435722464997</v>
      </c>
      <c r="AK8265">
        <v>19.123508586802402</v>
      </c>
      <c r="AL8265">
        <v>81.430828852504504</v>
      </c>
      <c r="AM8265">
        <v>84.823518341781593</v>
      </c>
      <c r="AN8265">
        <v>0.99999995543790299</v>
      </c>
    </row>
    <row r="8266" spans="1:40" x14ac:dyDescent="0.25">
      <c r="A8266" t="str">
        <f>"20190303162115079"</f>
        <v>20190303162115079</v>
      </c>
      <c r="B8266" t="str">
        <f>"1551601275070788"</f>
        <v>1551601275070788</v>
      </c>
      <c r="C8266" t="s">
        <v>40</v>
      </c>
      <c r="D8266">
        <v>4.7618010000000002</v>
      </c>
      <c r="E8266">
        <v>0.52654100000000004</v>
      </c>
      <c r="F8266" t="s">
        <v>41</v>
      </c>
      <c r="G8266">
        <v>-323.7353</v>
      </c>
      <c r="H8266" s="1">
        <v>-3.6824769999999999E-6</v>
      </c>
      <c r="I8266">
        <v>15.441050000000001</v>
      </c>
      <c r="J8266">
        <v>-342.28719999999998</v>
      </c>
      <c r="K8266">
        <v>1.1213089999999999</v>
      </c>
      <c r="L8266">
        <v>18.128419999999998</v>
      </c>
      <c r="M8266">
        <v>0.99976860000000001</v>
      </c>
      <c r="N8266">
        <v>-1.2502630000000001E-2</v>
      </c>
      <c r="O8266">
        <v>1.7512610000000001E-2</v>
      </c>
      <c r="P8266">
        <v>0.98799530000000002</v>
      </c>
      <c r="Q8266">
        <v>0.1354312</v>
      </c>
      <c r="R8266">
        <v>-7.432337E-2</v>
      </c>
      <c r="S8266">
        <v>3.0300289999999999</v>
      </c>
      <c r="T8266">
        <v>-0.182092</v>
      </c>
      <c r="U8266">
        <v>-0.43618770000000001</v>
      </c>
      <c r="V8266">
        <v>9.1722609999999996E-2</v>
      </c>
      <c r="W8266">
        <v>0.1476886</v>
      </c>
      <c r="X8266">
        <v>0.98477150000000002</v>
      </c>
      <c r="Y8266">
        <v>0.15943850000000001</v>
      </c>
      <c r="Z8266">
        <v>-6.5936789999999999E-3</v>
      </c>
      <c r="AA8266">
        <v>0.9871858</v>
      </c>
      <c r="AB8266">
        <v>18</v>
      </c>
      <c r="AC8266">
        <v>18.5518999999999</v>
      </c>
      <c r="AD8266">
        <v>-1.1213126824769999</v>
      </c>
      <c r="AE8266">
        <v>-2.68737</v>
      </c>
      <c r="AF8266">
        <v>3.0011368470479001</v>
      </c>
      <c r="AG8266">
        <v>-1.1213126824769999</v>
      </c>
      <c r="AH8266">
        <v>18.436021187920002</v>
      </c>
      <c r="AI8266">
        <v>93.435436400842505</v>
      </c>
      <c r="AJ8266">
        <v>80.754117061723505</v>
      </c>
      <c r="AK8266">
        <v>18.7123232589657</v>
      </c>
      <c r="AL8266">
        <v>81.506998211141195</v>
      </c>
      <c r="AM8266">
        <v>84.678765589209107</v>
      </c>
      <c r="AN8266">
        <v>0.99999993348370797</v>
      </c>
    </row>
    <row r="8267" spans="1:40" x14ac:dyDescent="0.25">
      <c r="A8267" t="str">
        <f>"20190303162115096"</f>
        <v>20190303162115096</v>
      </c>
      <c r="B8267" t="str">
        <f>"1551601275091284"</f>
        <v>1551601275091284</v>
      </c>
      <c r="C8267" t="s">
        <v>40</v>
      </c>
      <c r="D8267">
        <v>4.7894350000000001</v>
      </c>
      <c r="E8267">
        <v>0.52643700000000004</v>
      </c>
      <c r="F8267" t="s">
        <v>41</v>
      </c>
      <c r="G8267">
        <v>-323.98910000000001</v>
      </c>
      <c r="H8267" s="1">
        <v>-3.5612720000000002E-6</v>
      </c>
      <c r="I8267">
        <v>15.44782</v>
      </c>
      <c r="J8267">
        <v>-342.16239999999999</v>
      </c>
      <c r="K8267">
        <v>1.1213409999999999</v>
      </c>
      <c r="L8267">
        <v>18.130040000000001</v>
      </c>
      <c r="M8267">
        <v>0.99977590000000005</v>
      </c>
      <c r="N8267">
        <v>-1.2499379999999999E-2</v>
      </c>
      <c r="O8267">
        <v>1.7091220000000001E-2</v>
      </c>
      <c r="P8267">
        <v>0.98803390000000002</v>
      </c>
      <c r="Q8267">
        <v>0.1324679</v>
      </c>
      <c r="R8267">
        <v>-7.9004459999999999E-2</v>
      </c>
      <c r="S8267">
        <v>3.0285030000000002</v>
      </c>
      <c r="T8267">
        <v>-0.18558810000000001</v>
      </c>
      <c r="U8267">
        <v>-0.44366460000000002</v>
      </c>
      <c r="V8267">
        <v>9.5970169999999994E-2</v>
      </c>
      <c r="W8267">
        <v>0.1447291</v>
      </c>
      <c r="X8267">
        <v>0.98480619999999996</v>
      </c>
      <c r="Y8267">
        <v>0.16146179999999999</v>
      </c>
      <c r="Z8267">
        <v>-6.7608619999999899E-3</v>
      </c>
      <c r="AA8267">
        <v>0.98685579999999995</v>
      </c>
      <c r="AB8267">
        <v>18</v>
      </c>
      <c r="AC8267">
        <v>18.173299999999902</v>
      </c>
      <c r="AD8267">
        <v>-1.1213445612720001</v>
      </c>
      <c r="AE8267">
        <v>-2.6822199999999898</v>
      </c>
      <c r="AF8267">
        <v>2.9813475330370198</v>
      </c>
      <c r="AG8267">
        <v>-1.1213445612720001</v>
      </c>
      <c r="AH8267">
        <v>18.057515410741502</v>
      </c>
      <c r="AI8267">
        <v>93.506074990951603</v>
      </c>
      <c r="AJ8267">
        <v>80.624877459946305</v>
      </c>
      <c r="AK8267">
        <v>18.336294869656999</v>
      </c>
      <c r="AL8267">
        <v>81.678407868182006</v>
      </c>
      <c r="AM8267">
        <v>84.434054306953897</v>
      </c>
      <c r="AN8267">
        <v>1.00000001873753</v>
      </c>
    </row>
    <row r="8268" spans="1:40" x14ac:dyDescent="0.25">
      <c r="A8268" t="str">
        <f>"20190303162115117"</f>
        <v>20190303162115117</v>
      </c>
      <c r="B8268" t="str">
        <f>"1551601275110804"</f>
        <v>1551601275110804</v>
      </c>
      <c r="C8268" t="s">
        <v>40</v>
      </c>
      <c r="D8268">
        <v>4.7311670000000001</v>
      </c>
      <c r="E8268">
        <v>0.5265666</v>
      </c>
      <c r="F8268" t="s">
        <v>41</v>
      </c>
      <c r="G8268">
        <v>-324.678</v>
      </c>
      <c r="H8268" s="1">
        <v>-3.2271640000000001E-6</v>
      </c>
      <c r="I8268">
        <v>15.49555</v>
      </c>
      <c r="J8268">
        <v>-341.9905</v>
      </c>
      <c r="K8268">
        <v>1.1213900000000001</v>
      </c>
      <c r="L8268">
        <v>18.132290000000001</v>
      </c>
      <c r="M8268">
        <v>0.99978469999999997</v>
      </c>
      <c r="N8268">
        <v>-1.2488890000000001E-2</v>
      </c>
      <c r="O8268">
        <v>1.6582139999999999E-2</v>
      </c>
      <c r="P8268">
        <v>0.98786059999999998</v>
      </c>
      <c r="Q8268">
        <v>0.13113620000000001</v>
      </c>
      <c r="R8268">
        <v>-8.3277169999999998E-2</v>
      </c>
      <c r="S8268">
        <v>3.025909</v>
      </c>
      <c r="T8268">
        <v>-0.19406390000000001</v>
      </c>
      <c r="U8268">
        <v>-0.45593260000000002</v>
      </c>
      <c r="V8268">
        <v>9.971489E-2</v>
      </c>
      <c r="W8268">
        <v>0.143398</v>
      </c>
      <c r="X8268">
        <v>0.98462890000000003</v>
      </c>
      <c r="Y8268">
        <v>0.16495319999999999</v>
      </c>
      <c r="Z8268">
        <v>-7.1426900000000002E-3</v>
      </c>
      <c r="AA8268">
        <v>0.98627560000000003</v>
      </c>
      <c r="AB8268">
        <v>18</v>
      </c>
      <c r="AC8268">
        <v>17.3125</v>
      </c>
      <c r="AD8268">
        <v>-1.1213932271639999</v>
      </c>
      <c r="AE8268">
        <v>-2.6367400000000001</v>
      </c>
      <c r="AF8268">
        <v>2.9115392610291</v>
      </c>
      <c r="AG8268">
        <v>-1.1213932271639999</v>
      </c>
      <c r="AH8268">
        <v>17.195881278996001</v>
      </c>
      <c r="AI8268">
        <v>93.678926438099893</v>
      </c>
      <c r="AJ8268">
        <v>80.390043889089497</v>
      </c>
      <c r="AK8268">
        <v>17.476639167750999</v>
      </c>
      <c r="AL8268">
        <v>81.755478577047199</v>
      </c>
      <c r="AM8268">
        <v>84.217283144417706</v>
      </c>
      <c r="AN8268">
        <v>1.0000000582034501</v>
      </c>
    </row>
    <row r="8269" spans="1:40" x14ac:dyDescent="0.25">
      <c r="A8269" t="str">
        <f>"20190303162115132"</f>
        <v>20190303162115132</v>
      </c>
      <c r="B8269" t="str">
        <f>"1551601275120564"</f>
        <v>1551601275120564</v>
      </c>
      <c r="C8269" t="s">
        <v>40</v>
      </c>
      <c r="D8269">
        <v>4.7474740000000004</v>
      </c>
      <c r="E8269">
        <v>0.5266845</v>
      </c>
      <c r="F8269" t="s">
        <v>41</v>
      </c>
      <c r="G8269">
        <v>-324.58730000000003</v>
      </c>
      <c r="H8269" s="1">
        <v>-3.2808060000000002E-6</v>
      </c>
      <c r="I8269">
        <v>15.434839999999999</v>
      </c>
      <c r="J8269">
        <v>-341.87209999999999</v>
      </c>
      <c r="K8269">
        <v>1.121426</v>
      </c>
      <c r="L8269">
        <v>18.133880000000001</v>
      </c>
      <c r="M8269">
        <v>0.9997897</v>
      </c>
      <c r="N8269">
        <v>-1.2471070000000001E-2</v>
      </c>
      <c r="O8269">
        <v>1.6282609999999999E-2</v>
      </c>
      <c r="P8269">
        <v>0.9877262</v>
      </c>
      <c r="Q8269">
        <v>0.13089120000000001</v>
      </c>
      <c r="R8269">
        <v>-8.5232710000000003E-2</v>
      </c>
      <c r="S8269">
        <v>3.0232540000000001</v>
      </c>
      <c r="T8269">
        <v>-0.19480710000000001</v>
      </c>
      <c r="U8269">
        <v>-0.4685974</v>
      </c>
      <c r="V8269">
        <v>0.101358</v>
      </c>
      <c r="W8269">
        <v>0.14314270000000001</v>
      </c>
      <c r="X8269">
        <v>0.98449819999999999</v>
      </c>
      <c r="Y8269">
        <v>0.16880899999999999</v>
      </c>
      <c r="Z8269">
        <v>-7.3016569999999996E-3</v>
      </c>
      <c r="AA8269">
        <v>0.98562179999999999</v>
      </c>
      <c r="AB8269">
        <v>18</v>
      </c>
      <c r="AC8269">
        <v>17.284799999999901</v>
      </c>
      <c r="AD8269">
        <v>-1.121429280806</v>
      </c>
      <c r="AE8269">
        <v>-2.6990399999999899</v>
      </c>
      <c r="AF8269">
        <v>2.9679498944672802</v>
      </c>
      <c r="AG8269">
        <v>-1.121429280806</v>
      </c>
      <c r="AH8269">
        <v>17.168011320050901</v>
      </c>
      <c r="AI8269">
        <v>93.682825926679001</v>
      </c>
      <c r="AJ8269">
        <v>80.191835582432503</v>
      </c>
      <c r="AK8269">
        <v>17.4587211127652</v>
      </c>
      <c r="AL8269">
        <v>81.770258111497498</v>
      </c>
      <c r="AM8269">
        <v>84.121881958629899</v>
      </c>
      <c r="AN8269">
        <v>0.99999999126526395</v>
      </c>
    </row>
    <row r="8270" spans="1:40" x14ac:dyDescent="0.25">
      <c r="A8270" t="str">
        <f>"20190303162115145"</f>
        <v>20190303162115145</v>
      </c>
      <c r="B8270" t="str">
        <f>"1551601275140592"</f>
        <v>1551601275140592</v>
      </c>
      <c r="C8270" t="s">
        <v>40</v>
      </c>
      <c r="D8270">
        <v>4.7544009999999997</v>
      </c>
      <c r="E8270">
        <v>0.52684129999999996</v>
      </c>
      <c r="F8270" t="s">
        <v>41</v>
      </c>
      <c r="G8270">
        <v>-324.34989999999999</v>
      </c>
      <c r="H8270" s="1">
        <v>-3.4025189999999999E-6</v>
      </c>
      <c r="I8270">
        <v>15.3814299999999</v>
      </c>
      <c r="J8270">
        <v>-341.76209999999998</v>
      </c>
      <c r="K8270">
        <v>1.1214459999999999</v>
      </c>
      <c r="L8270">
        <v>18.135349999999999</v>
      </c>
      <c r="M8270">
        <v>0.99979410000000002</v>
      </c>
      <c r="N8270">
        <v>-1.2445650000000001E-2</v>
      </c>
      <c r="O8270">
        <v>1.6034E-2</v>
      </c>
      <c r="P8270">
        <v>0.98762130000000004</v>
      </c>
      <c r="Q8270">
        <v>0.13062760000000001</v>
      </c>
      <c r="R8270">
        <v>-8.6838199999999893E-2</v>
      </c>
      <c r="S8270">
        <v>3.021973</v>
      </c>
      <c r="T8270">
        <v>-0.19340750000000001</v>
      </c>
      <c r="U8270">
        <v>-0.47470089999999998</v>
      </c>
      <c r="V8270">
        <v>0.1027042</v>
      </c>
      <c r="W8270">
        <v>0.14286090000000001</v>
      </c>
      <c r="X8270">
        <v>0.98439960000000004</v>
      </c>
      <c r="Y8270">
        <v>0.170572</v>
      </c>
      <c r="Z8270">
        <v>-7.3099169999999896E-3</v>
      </c>
      <c r="AA8270">
        <v>0.98531809999999997</v>
      </c>
      <c r="AB8270">
        <v>18</v>
      </c>
      <c r="AC8270">
        <v>17.412199999999899</v>
      </c>
      <c r="AD8270">
        <v>-1.121449402519</v>
      </c>
      <c r="AE8270">
        <v>-2.7539199999999999</v>
      </c>
      <c r="AF8270">
        <v>3.0205508755880799</v>
      </c>
      <c r="AG8270">
        <v>-1.121449402519</v>
      </c>
      <c r="AH8270">
        <v>17.295807175017899</v>
      </c>
      <c r="AI8270">
        <v>93.654669102463998</v>
      </c>
      <c r="AJ8270">
        <v>80.093733564646101</v>
      </c>
      <c r="AK8270">
        <v>17.593360173367302</v>
      </c>
      <c r="AL8270">
        <v>81.786571641516502</v>
      </c>
      <c r="AM8270">
        <v>84.043776197938797</v>
      </c>
      <c r="AN8270">
        <v>0.999999980963304</v>
      </c>
    </row>
    <row r="8271" spans="1:40" x14ac:dyDescent="0.25">
      <c r="A8271" t="str">
        <f>"20190303162115160"</f>
        <v>20190303162115160</v>
      </c>
      <c r="B8271" t="str">
        <f>"1551601275151328"</f>
        <v>1551601275151328</v>
      </c>
      <c r="C8271" t="s">
        <v>40</v>
      </c>
      <c r="D8271">
        <v>4.7511650000000003</v>
      </c>
      <c r="E8271">
        <v>0.5269102</v>
      </c>
      <c r="F8271" t="s">
        <v>41</v>
      </c>
      <c r="G8271">
        <v>-323.74619999999999</v>
      </c>
      <c r="H8271" s="1">
        <v>-3.7077169999999999E-6</v>
      </c>
      <c r="I8271">
        <v>15.26965</v>
      </c>
      <c r="J8271">
        <v>-341.6413</v>
      </c>
      <c r="K8271">
        <v>1.1214649999999999</v>
      </c>
      <c r="L8271">
        <v>18.136959999999998</v>
      </c>
      <c r="M8271">
        <v>0.99979819999999997</v>
      </c>
      <c r="N8271">
        <v>-1.239617E-2</v>
      </c>
      <c r="O8271">
        <v>1.5808989999999998E-2</v>
      </c>
      <c r="P8271">
        <v>0.98747750000000001</v>
      </c>
      <c r="Q8271">
        <v>0.13027</v>
      </c>
      <c r="R8271">
        <v>-8.8983489999999998E-2</v>
      </c>
      <c r="S8271">
        <v>3.020203</v>
      </c>
      <c r="T8271">
        <v>-0.1880009</v>
      </c>
      <c r="U8271">
        <v>-0.48040769999999999</v>
      </c>
      <c r="V8271">
        <v>0.1046151</v>
      </c>
      <c r="W8271">
        <v>0.14245929999999901</v>
      </c>
      <c r="X8271">
        <v>0.98425660000000004</v>
      </c>
      <c r="Y8271">
        <v>0.17227329999999999</v>
      </c>
      <c r="Z8271">
        <v>-7.1816789999999998E-3</v>
      </c>
      <c r="AA8271">
        <v>0.98502299999999998</v>
      </c>
      <c r="AB8271">
        <v>18</v>
      </c>
      <c r="AC8271">
        <v>17.895099999999999</v>
      </c>
      <c r="AD8271">
        <v>-1.121468707717</v>
      </c>
      <c r="AE8271">
        <v>-2.8673099999999998</v>
      </c>
      <c r="AF8271">
        <v>3.1378616142055802</v>
      </c>
      <c r="AG8271">
        <v>-1.121468707717</v>
      </c>
      <c r="AH8271">
        <v>17.779451203516</v>
      </c>
      <c r="AI8271">
        <v>93.554457186259398</v>
      </c>
      <c r="AJ8271">
        <v>79.991046990481294</v>
      </c>
      <c r="AK8271">
        <v>18.0890229882794</v>
      </c>
      <c r="AL8271">
        <v>81.809819675409798</v>
      </c>
      <c r="AM8271">
        <v>83.932899617523503</v>
      </c>
      <c r="AN8271">
        <v>1.0000000129740201</v>
      </c>
    </row>
    <row r="8272" spans="1:40" x14ac:dyDescent="0.25">
      <c r="A8272" t="str">
        <f>"20190303162115173"</f>
        <v>20190303162115173</v>
      </c>
      <c r="B8272" t="str">
        <f>"1551601275161087"</f>
        <v>1551601275161087</v>
      </c>
      <c r="C8272" t="s">
        <v>40</v>
      </c>
      <c r="D8272">
        <v>4.8468809999999998</v>
      </c>
      <c r="E8272">
        <v>0.52669140000000003</v>
      </c>
      <c r="F8272" t="s">
        <v>41</v>
      </c>
      <c r="G8272">
        <v>-323.44490000000002</v>
      </c>
      <c r="H8272" s="1">
        <v>-3.8633080000000001E-6</v>
      </c>
      <c r="I8272">
        <v>15.195550000000001</v>
      </c>
      <c r="J8272">
        <v>-341.53930000000003</v>
      </c>
      <c r="K8272">
        <v>1.1214740000000001</v>
      </c>
      <c r="L8272">
        <v>18.138369999999998</v>
      </c>
      <c r="M8272">
        <v>0.99980159999999996</v>
      </c>
      <c r="N8272">
        <v>-1.2341029999999999E-2</v>
      </c>
      <c r="O8272">
        <v>1.5638570000000001E-2</v>
      </c>
      <c r="P8272">
        <v>0.98745019999999994</v>
      </c>
      <c r="Q8272">
        <v>0.13010619999999901</v>
      </c>
      <c r="R8272">
        <v>-8.9524809999999996E-2</v>
      </c>
      <c r="S8272">
        <v>3.0185849999999999</v>
      </c>
      <c r="T8272">
        <v>-0.1860386</v>
      </c>
      <c r="U8272">
        <v>-0.48794559999999998</v>
      </c>
      <c r="V8272">
        <v>0.104981</v>
      </c>
      <c r="W8272">
        <v>0.1422464</v>
      </c>
      <c r="X8272">
        <v>0.98424840000000002</v>
      </c>
      <c r="Y8272">
        <v>0.17458789999999999</v>
      </c>
      <c r="Z8272">
        <v>-7.1912690000000001E-3</v>
      </c>
      <c r="AA8272">
        <v>0.98461529999999997</v>
      </c>
      <c r="AB8272">
        <v>18</v>
      </c>
      <c r="AC8272">
        <v>18.0944</v>
      </c>
      <c r="AD8272">
        <v>-1.121477863308</v>
      </c>
      <c r="AE8272">
        <v>-2.9428200000000002</v>
      </c>
      <c r="AF8272">
        <v>3.2134260892694102</v>
      </c>
      <c r="AG8272">
        <v>-1.121477863308</v>
      </c>
      <c r="AH8272">
        <v>17.978877025430599</v>
      </c>
      <c r="AI8272">
        <v>93.513803090657106</v>
      </c>
      <c r="AJ8272">
        <v>79.866334265083296</v>
      </c>
      <c r="AK8272">
        <v>18.298192231055001</v>
      </c>
      <c r="AL8272">
        <v>81.822143187360794</v>
      </c>
      <c r="AM8272">
        <v>83.911788183894501</v>
      </c>
      <c r="AN8272">
        <v>0.99999998078825902</v>
      </c>
    </row>
    <row r="8273" spans="1:40" x14ac:dyDescent="0.25">
      <c r="A8273" t="str">
        <f>"20190303162115188"</f>
        <v>20190303162115188</v>
      </c>
      <c r="B8273" t="str">
        <f>"1551601275181584"</f>
        <v>1551601275181584</v>
      </c>
      <c r="C8273" t="s">
        <v>40</v>
      </c>
      <c r="D8273">
        <v>4.8553309999999996</v>
      </c>
      <c r="E8273">
        <v>0.52628900000000001</v>
      </c>
      <c r="F8273" t="s">
        <v>41</v>
      </c>
      <c r="G8273">
        <v>-323.31389999999999</v>
      </c>
      <c r="H8273" s="1">
        <v>-3.9261990000000004E-6</v>
      </c>
      <c r="I8273">
        <v>15.18984</v>
      </c>
      <c r="J8273">
        <v>-341.42630000000003</v>
      </c>
      <c r="K8273">
        <v>1.1214759999999999</v>
      </c>
      <c r="L8273">
        <v>18.139949999999999</v>
      </c>
      <c r="M8273">
        <v>0.99980519999999995</v>
      </c>
      <c r="N8273">
        <v>-1.2266910000000001E-2</v>
      </c>
      <c r="O8273">
        <v>1.5465660000000001E-2</v>
      </c>
      <c r="P8273">
        <v>0.98737560000000002</v>
      </c>
      <c r="Q8273">
        <v>0.13034289999999901</v>
      </c>
      <c r="R8273">
        <v>-9.0002860000000004E-2</v>
      </c>
      <c r="S8273">
        <v>3.0183409999999999</v>
      </c>
      <c r="T8273">
        <v>-0.1857306</v>
      </c>
      <c r="U8273">
        <v>-0.48831180000000002</v>
      </c>
      <c r="V8273">
        <v>0.10528179999999999</v>
      </c>
      <c r="W8273">
        <v>0.14241300000000001</v>
      </c>
      <c r="X8273">
        <v>0.98419219999999996</v>
      </c>
      <c r="Y8273">
        <v>0.17454839999999999</v>
      </c>
      <c r="Z8273">
        <v>-7.166029E-3</v>
      </c>
      <c r="AA8273">
        <v>0.98462249999999996</v>
      </c>
      <c r="AB8273">
        <v>18</v>
      </c>
      <c r="AC8273">
        <v>18.112400000000001</v>
      </c>
      <c r="AD8273">
        <v>-1.1214799261989901</v>
      </c>
      <c r="AE8273">
        <v>-2.9501099999999898</v>
      </c>
      <c r="AF8273">
        <v>3.2178804684597502</v>
      </c>
      <c r="AG8273">
        <v>-1.1214799261989901</v>
      </c>
      <c r="AH8273">
        <v>17.997389129700299</v>
      </c>
      <c r="AI8273">
        <v>93.510165666545007</v>
      </c>
      <c r="AJ8273">
        <v>79.862799972013903</v>
      </c>
      <c r="AK8273">
        <v>18.317163738417999</v>
      </c>
      <c r="AL8273">
        <v>81.8124997164267</v>
      </c>
      <c r="AM8273">
        <v>83.894129314737796</v>
      </c>
      <c r="AN8273">
        <v>1.0000000032605401</v>
      </c>
    </row>
    <row r="8274" spans="1:40" x14ac:dyDescent="0.25">
      <c r="A8274" t="str">
        <f>"20190303162115200"</f>
        <v>20190303162115200</v>
      </c>
      <c r="B8274" t="str">
        <f>"1551601275191344"</f>
        <v>1551601275191344</v>
      </c>
      <c r="C8274" t="s">
        <v>40</v>
      </c>
      <c r="D8274">
        <v>4.8416600000000001</v>
      </c>
      <c r="E8274">
        <v>0.52609490000000003</v>
      </c>
      <c r="F8274" t="s">
        <v>41</v>
      </c>
      <c r="G8274">
        <v>-322.89389999999997</v>
      </c>
      <c r="H8274" s="1">
        <v>-4.1319709999999901E-6</v>
      </c>
      <c r="I8274">
        <v>15.149139999999999</v>
      </c>
      <c r="J8274">
        <v>-341.32389999999998</v>
      </c>
      <c r="K8274">
        <v>1.1214660000000001</v>
      </c>
      <c r="L8274">
        <v>18.141359999999999</v>
      </c>
      <c r="M8274">
        <v>0.99980840000000004</v>
      </c>
      <c r="N8274">
        <v>-1.2178069999999999E-2</v>
      </c>
      <c r="O8274">
        <v>1.53256E-2</v>
      </c>
      <c r="P8274">
        <v>0.98728570000000004</v>
      </c>
      <c r="Q8274">
        <v>0.1311098</v>
      </c>
      <c r="R8274">
        <v>-8.9874289999999996E-2</v>
      </c>
      <c r="S8274">
        <v>3.0180359999999999</v>
      </c>
      <c r="T8274">
        <v>-0.1826354</v>
      </c>
      <c r="U8274">
        <v>-0.48706050000000001</v>
      </c>
      <c r="V8274">
        <v>0.1050116</v>
      </c>
      <c r="W8274">
        <v>0.14309359999999999</v>
      </c>
      <c r="X8274">
        <v>0.98412230000000001</v>
      </c>
      <c r="Y8274">
        <v>0.17404229999999901</v>
      </c>
      <c r="Z8274">
        <v>-7.0308929999999999E-3</v>
      </c>
      <c r="AA8274">
        <v>0.98471310000000001</v>
      </c>
      <c r="AB8274">
        <v>18</v>
      </c>
      <c r="AC8274">
        <v>18.43</v>
      </c>
      <c r="AD8274">
        <v>-1.1214701319710001</v>
      </c>
      <c r="AE8274">
        <v>-2.9922200000000001</v>
      </c>
      <c r="AF8274">
        <v>3.2625700480299198</v>
      </c>
      <c r="AG8274">
        <v>-1.1214701319710001</v>
      </c>
      <c r="AH8274">
        <v>18.315896743371301</v>
      </c>
      <c r="AI8274">
        <v>93.449641956962793</v>
      </c>
      <c r="AJ8274">
        <v>79.899963844522503</v>
      </c>
      <c r="AK8274">
        <v>18.6379755362283</v>
      </c>
      <c r="AL8274">
        <v>81.773100319763401</v>
      </c>
      <c r="AM8274">
        <v>83.909252447190596</v>
      </c>
      <c r="AN8274">
        <v>0.99999995792640395</v>
      </c>
    </row>
    <row r="8275" spans="1:40" x14ac:dyDescent="0.25">
      <c r="A8275" t="str">
        <f>"20190303162115215"</f>
        <v>20190303162115215</v>
      </c>
      <c r="B8275" t="str">
        <f>"1551601275210864"</f>
        <v>1551601275210864</v>
      </c>
      <c r="C8275" t="s">
        <v>40</v>
      </c>
      <c r="D8275">
        <v>4.7899969999999996</v>
      </c>
      <c r="E8275">
        <v>0.52581499999999903</v>
      </c>
      <c r="F8275" t="s">
        <v>41</v>
      </c>
      <c r="G8275">
        <v>-322.4255</v>
      </c>
      <c r="H8275" s="1">
        <v>-4.3623870000000002E-6</v>
      </c>
      <c r="I8275">
        <v>15.098319999999999</v>
      </c>
      <c r="J8275">
        <v>-341.19909999999999</v>
      </c>
      <c r="K8275">
        <v>1.1214489999999999</v>
      </c>
      <c r="L8275">
        <v>18.143070000000002</v>
      </c>
      <c r="M8275">
        <v>0.99981249999999999</v>
      </c>
      <c r="N8275">
        <v>-1.20462E-2</v>
      </c>
      <c r="O8275">
        <v>1.5164499999999999E-2</v>
      </c>
      <c r="P8275">
        <v>0.98711389999999999</v>
      </c>
      <c r="Q8275">
        <v>0.13257769999999999</v>
      </c>
      <c r="R8275">
        <v>-8.9606740000000004E-2</v>
      </c>
      <c r="S8275">
        <v>3.0181879999999999</v>
      </c>
      <c r="T8275">
        <v>-0.17910580000000001</v>
      </c>
      <c r="U8275">
        <v>-0.48599239999999999</v>
      </c>
      <c r="V8275">
        <v>0.1045822</v>
      </c>
      <c r="W8275">
        <v>0.14443</v>
      </c>
      <c r="X8275">
        <v>0.98397279999999998</v>
      </c>
      <c r="Y8275">
        <v>0.17355190000000001</v>
      </c>
      <c r="Z8275">
        <v>-6.8775080000000001E-3</v>
      </c>
      <c r="AA8275">
        <v>0.98480069999999997</v>
      </c>
      <c r="AB8275">
        <v>18</v>
      </c>
      <c r="AC8275">
        <v>18.773599999999899</v>
      </c>
      <c r="AD8275">
        <v>-1.121453362387</v>
      </c>
      <c r="AE8275">
        <v>-3.0447500000000001</v>
      </c>
      <c r="AF8275">
        <v>3.31757786895747</v>
      </c>
      <c r="AG8275">
        <v>-1.121453362387</v>
      </c>
      <c r="AH8275">
        <v>18.660385285398799</v>
      </c>
      <c r="AI8275">
        <v>93.386255785147</v>
      </c>
      <c r="AJ8275">
        <v>79.918878049773795</v>
      </c>
      <c r="AK8275">
        <v>18.986151783869499</v>
      </c>
      <c r="AL8275">
        <v>81.695726566076402</v>
      </c>
      <c r="AM8275">
        <v>83.933057114497402</v>
      </c>
      <c r="AN8275">
        <v>0.99999996629833898</v>
      </c>
    </row>
    <row r="8276" spans="1:40" x14ac:dyDescent="0.25">
      <c r="A8276" t="str">
        <f>"20190303162115228"</f>
        <v>20190303162115228</v>
      </c>
      <c r="B8276" t="str">
        <f>"1551601275220624"</f>
        <v>1551601275220624</v>
      </c>
      <c r="C8276" t="s">
        <v>40</v>
      </c>
      <c r="D8276">
        <v>4.8830289999999996</v>
      </c>
      <c r="E8276">
        <v>0.52564069999999996</v>
      </c>
      <c r="F8276" t="s">
        <v>41</v>
      </c>
      <c r="G8276">
        <v>-321.43329999999997</v>
      </c>
      <c r="H8276" s="1">
        <v>-4.8540980000000002E-6</v>
      </c>
      <c r="I8276">
        <v>14.97035</v>
      </c>
      <c r="J8276">
        <v>-341.09730000000002</v>
      </c>
      <c r="K8276">
        <v>1.1214249999999999</v>
      </c>
      <c r="L8276">
        <v>18.144469999999998</v>
      </c>
      <c r="M8276">
        <v>0.99981589999999998</v>
      </c>
      <c r="N8276">
        <v>-1.192288E-2</v>
      </c>
      <c r="O8276">
        <v>1.503725E-2</v>
      </c>
      <c r="P8276">
        <v>0.98701300000000003</v>
      </c>
      <c r="Q8276">
        <v>0.13358100000000001</v>
      </c>
      <c r="R8276">
        <v>-8.9227039999999994E-2</v>
      </c>
      <c r="S8276">
        <v>3.0181879999999999</v>
      </c>
      <c r="T8276">
        <v>-0.17124349999999999</v>
      </c>
      <c r="U8276">
        <v>-0.48446660000000002</v>
      </c>
      <c r="V8276">
        <v>0.1040769</v>
      </c>
      <c r="W8276">
        <v>0.14530989999999999</v>
      </c>
      <c r="X8276">
        <v>0.98389689999999996</v>
      </c>
      <c r="Y8276">
        <v>0.17297290000000001</v>
      </c>
      <c r="Z8276">
        <v>-6.5800049999999999E-3</v>
      </c>
      <c r="AA8276">
        <v>0.98490460000000002</v>
      </c>
      <c r="AB8276">
        <v>18</v>
      </c>
      <c r="AC8276">
        <v>19.664000000000001</v>
      </c>
      <c r="AD8276">
        <v>-1.1214298540979999</v>
      </c>
      <c r="AE8276">
        <v>-3.1741199999999998</v>
      </c>
      <c r="AF8276">
        <v>3.4585118193561999</v>
      </c>
      <c r="AG8276">
        <v>-1.1214298540979999</v>
      </c>
      <c r="AH8276">
        <v>19.552067118219</v>
      </c>
      <c r="AI8276">
        <v>93.232590568493904</v>
      </c>
      <c r="AJ8276">
        <v>79.968868649415697</v>
      </c>
      <c r="AK8276">
        <v>19.887238056543399</v>
      </c>
      <c r="AL8276">
        <v>81.6447751094816</v>
      </c>
      <c r="AM8276">
        <v>83.961690808467097</v>
      </c>
      <c r="AN8276">
        <v>1.0000000389906101</v>
      </c>
    </row>
    <row r="8277" spans="1:40" x14ac:dyDescent="0.25">
      <c r="A8277" t="str">
        <f>"20190303162115239"</f>
        <v>20190303162115239</v>
      </c>
      <c r="B8277" t="str">
        <f>"1551601275231359"</f>
        <v>1551601275231359</v>
      </c>
      <c r="C8277" t="s">
        <v>40</v>
      </c>
      <c r="D8277">
        <v>4.8593010000000003</v>
      </c>
      <c r="E8277">
        <v>0.52545419999999998</v>
      </c>
      <c r="F8277" t="s">
        <v>41</v>
      </c>
      <c r="G8277">
        <v>-320.90050000000002</v>
      </c>
      <c r="H8277" s="1">
        <v>-5.1154320000000002E-6</v>
      </c>
      <c r="I8277">
        <v>14.917249999999999</v>
      </c>
      <c r="J8277">
        <v>-341.00909999999999</v>
      </c>
      <c r="K8277">
        <v>1.121397</v>
      </c>
      <c r="L8277">
        <v>18.145689999999998</v>
      </c>
      <c r="M8277">
        <v>0.99981900000000001</v>
      </c>
      <c r="N8277">
        <v>-1.1799840000000001E-2</v>
      </c>
      <c r="O8277">
        <v>1.4929E-2</v>
      </c>
      <c r="P8277">
        <v>0.98692880000000005</v>
      </c>
      <c r="Q8277">
        <v>0.134493899999999</v>
      </c>
      <c r="R8277">
        <v>-8.878867E-2</v>
      </c>
      <c r="S8277">
        <v>3.0185550000000001</v>
      </c>
      <c r="T8277">
        <v>-0.16760549999999999</v>
      </c>
      <c r="U8277">
        <v>-0.48233029999999999</v>
      </c>
      <c r="V8277">
        <v>0.10353279999999999</v>
      </c>
      <c r="W8277">
        <v>0.14609910000000001</v>
      </c>
      <c r="X8277">
        <v>0.98383739999999997</v>
      </c>
      <c r="Y8277">
        <v>0.17218339999999999</v>
      </c>
      <c r="Z8277">
        <v>-6.4181730000000001E-3</v>
      </c>
      <c r="AA8277">
        <v>0.98504400000000003</v>
      </c>
      <c r="AB8277">
        <v>18</v>
      </c>
      <c r="AC8277">
        <v>20.1085999999999</v>
      </c>
      <c r="AD8277">
        <v>-1.121402115432</v>
      </c>
      <c r="AE8277">
        <v>-3.2284399999999902</v>
      </c>
      <c r="AF8277">
        <v>3.5176374136223401</v>
      </c>
      <c r="AG8277">
        <v>-1.121402115432</v>
      </c>
      <c r="AH8277">
        <v>19.997528656196099</v>
      </c>
      <c r="AI8277">
        <v>93.161182403798406</v>
      </c>
      <c r="AJ8277">
        <v>80.023527797317499</v>
      </c>
      <c r="AK8277">
        <v>20.335497732625001</v>
      </c>
      <c r="AL8277">
        <v>81.599069261251799</v>
      </c>
      <c r="AM8277">
        <v>83.9926662325461</v>
      </c>
      <c r="AN8277">
        <v>1.0000000086676999</v>
      </c>
    </row>
    <row r="8278" spans="1:40" x14ac:dyDescent="0.25">
      <c r="A8278" t="str">
        <f>"20190303162115252"</f>
        <v>20190303162115252</v>
      </c>
      <c r="B8278" t="str">
        <f>"1551601275240536"</f>
        <v>1551601275240536</v>
      </c>
      <c r="C8278" t="s">
        <v>40</v>
      </c>
      <c r="D8278">
        <v>4.7952629999999896</v>
      </c>
      <c r="E8278">
        <v>0.52535919999999903</v>
      </c>
      <c r="F8278" t="s">
        <v>41</v>
      </c>
      <c r="G8278">
        <v>-320.39370000000002</v>
      </c>
      <c r="H8278" s="1">
        <v>-5.3632069999999997E-6</v>
      </c>
      <c r="I8278">
        <v>14.870810000000001</v>
      </c>
      <c r="J8278">
        <v>-340.91590000000002</v>
      </c>
      <c r="K8278">
        <v>1.121364</v>
      </c>
      <c r="L8278">
        <v>18.146909999999998</v>
      </c>
      <c r="M8278">
        <v>0.99982230000000005</v>
      </c>
      <c r="N8278">
        <v>-1.1659259999999999E-2</v>
      </c>
      <c r="O8278">
        <v>1.481205E-2</v>
      </c>
      <c r="P8278">
        <v>0.98685800000000001</v>
      </c>
      <c r="Q8278">
        <v>0.1354341</v>
      </c>
      <c r="R8278">
        <v>-8.8142159999999997E-2</v>
      </c>
      <c r="S8278">
        <v>3.0189819999999998</v>
      </c>
      <c r="T8278">
        <v>-0.1642216</v>
      </c>
      <c r="U8278">
        <v>-0.4795837</v>
      </c>
      <c r="V8278">
        <v>0.10277360000000001</v>
      </c>
      <c r="W8278">
        <v>0.14689859999999999</v>
      </c>
      <c r="X8278">
        <v>0.9837979</v>
      </c>
      <c r="Y8278">
        <v>0.17118699999999901</v>
      </c>
      <c r="Z8278">
        <v>-6.2575479999999999E-3</v>
      </c>
      <c r="AA8278">
        <v>0.9852187</v>
      </c>
      <c r="AB8278">
        <v>18</v>
      </c>
      <c r="AC8278">
        <v>20.522200000000002</v>
      </c>
      <c r="AD8278">
        <v>-1.1213693632070001</v>
      </c>
      <c r="AE8278">
        <v>-3.2761</v>
      </c>
      <c r="AF8278">
        <v>3.5693448286256202</v>
      </c>
      <c r="AG8278">
        <v>-1.1213693632070001</v>
      </c>
      <c r="AH8278">
        <v>20.411989222679399</v>
      </c>
      <c r="AI8278">
        <v>93.097577549795801</v>
      </c>
      <c r="AJ8278">
        <v>80.081253397393297</v>
      </c>
      <c r="AK8278">
        <v>20.7520359430384</v>
      </c>
      <c r="AL8278">
        <v>81.552761248675793</v>
      </c>
      <c r="AM8278">
        <v>84.036161318903297</v>
      </c>
      <c r="AN8278">
        <v>0.99999995979166401</v>
      </c>
    </row>
    <row r="8279" spans="1:40" x14ac:dyDescent="0.25">
      <c r="A8279" t="str">
        <f>"20190303162115272"</f>
        <v>20190303162115272</v>
      </c>
      <c r="B8279" t="str">
        <f>"1551601275261031"</f>
        <v>1551601275261031</v>
      </c>
      <c r="C8279" t="s">
        <v>40</v>
      </c>
      <c r="D8279">
        <v>4.968121</v>
      </c>
      <c r="E8279">
        <v>0.52525239999999995</v>
      </c>
      <c r="F8279" t="s">
        <v>44</v>
      </c>
      <c r="G8279">
        <v>-318.78899999999999</v>
      </c>
      <c r="H8279">
        <v>-0.05</v>
      </c>
      <c r="I8279">
        <v>14.651730000000001</v>
      </c>
      <c r="J8279">
        <v>-340.7475</v>
      </c>
      <c r="K8279">
        <v>1.121294</v>
      </c>
      <c r="L8279">
        <v>18.149139999999999</v>
      </c>
      <c r="M8279">
        <v>0.99982879999999996</v>
      </c>
      <c r="N8279">
        <v>-1.138164E-2</v>
      </c>
      <c r="O8279">
        <v>1.4588800000000001E-2</v>
      </c>
      <c r="P8279">
        <v>0.98682590000000003</v>
      </c>
      <c r="Q8279">
        <v>0.13624929999999999</v>
      </c>
      <c r="R8279">
        <v>-8.7240699999999893E-2</v>
      </c>
      <c r="S8279">
        <v>3.0192869999999998</v>
      </c>
      <c r="T8279">
        <v>-0.15983620000000001</v>
      </c>
      <c r="U8279">
        <v>-0.47692869999999998</v>
      </c>
      <c r="V8279">
        <v>0.1016601</v>
      </c>
      <c r="W8279">
        <v>0.14743489999999901</v>
      </c>
      <c r="X8279">
        <v>0.98383339999999997</v>
      </c>
      <c r="Y8279">
        <v>0.17012479999999999</v>
      </c>
      <c r="Z8279">
        <v>-6.049525E-3</v>
      </c>
      <c r="AA8279">
        <v>0.98540399999999995</v>
      </c>
      <c r="AB8279">
        <v>18</v>
      </c>
      <c r="AC8279">
        <v>21.958500000000001</v>
      </c>
      <c r="AD8279">
        <v>-1.1712940000000001</v>
      </c>
      <c r="AE8279">
        <v>-3.4974099999999999</v>
      </c>
      <c r="AF8279">
        <v>3.80684307172571</v>
      </c>
      <c r="AG8279">
        <v>-1.1712940000000001</v>
      </c>
      <c r="AH8279">
        <v>21.844520234895299</v>
      </c>
      <c r="AI8279">
        <v>93.023750709208102</v>
      </c>
      <c r="AJ8279">
        <v>80.114346321369695</v>
      </c>
      <c r="AK8279">
        <v>22.204662755825201</v>
      </c>
      <c r="AL8279">
        <v>81.5216955423424</v>
      </c>
      <c r="AM8279">
        <v>84.100529649387099</v>
      </c>
      <c r="AN8279">
        <v>0.99999999231279002</v>
      </c>
    </row>
    <row r="8280" spans="1:40" x14ac:dyDescent="0.25">
      <c r="A8280" t="str">
        <f>"20190303162115284"</f>
        <v>20190303162115284</v>
      </c>
      <c r="B8280" t="str">
        <f>"1551601275270791"</f>
        <v>1551601275270791</v>
      </c>
      <c r="C8280" t="s">
        <v>40</v>
      </c>
      <c r="D8280">
        <v>4.9437439999999997</v>
      </c>
      <c r="E8280">
        <v>0.52558199999999999</v>
      </c>
      <c r="F8280" t="s">
        <v>44</v>
      </c>
      <c r="G8280">
        <v>-318.33789999999999</v>
      </c>
      <c r="H8280">
        <v>-0.05</v>
      </c>
      <c r="I8280">
        <v>14.640549999999999</v>
      </c>
      <c r="J8280">
        <v>-340.64519999999999</v>
      </c>
      <c r="K8280">
        <v>1.1212519999999999</v>
      </c>
      <c r="L8280">
        <v>18.150480000000002</v>
      </c>
      <c r="M8280">
        <v>0.99983290000000002</v>
      </c>
      <c r="N8280">
        <v>-1.120437E-2</v>
      </c>
      <c r="O8280">
        <v>1.444406E-2</v>
      </c>
      <c r="P8280">
        <v>0.98684740000000004</v>
      </c>
      <c r="Q8280">
        <v>0.13634450000000001</v>
      </c>
      <c r="R8280">
        <v>-8.6846220000000002E-2</v>
      </c>
      <c r="S8280">
        <v>3.0200499999999999</v>
      </c>
      <c r="T8280">
        <v>-0.1578505</v>
      </c>
      <c r="U8280">
        <v>-0.47283940000000002</v>
      </c>
      <c r="V8280">
        <v>0.101129</v>
      </c>
      <c r="W8280">
        <v>0.14735279999999901</v>
      </c>
      <c r="X8280">
        <v>0.98390040000000001</v>
      </c>
      <c r="Y8280">
        <v>0.16865139999999901</v>
      </c>
      <c r="Z8280">
        <v>-5.918548E-3</v>
      </c>
      <c r="AA8280">
        <v>0.98565800000000003</v>
      </c>
      <c r="AB8280">
        <v>18</v>
      </c>
      <c r="AC8280">
        <v>22.307300000000001</v>
      </c>
      <c r="AD8280">
        <v>-1.171252</v>
      </c>
      <c r="AE8280">
        <v>-3.50992999999999</v>
      </c>
      <c r="AF8280">
        <v>3.8215113460324099</v>
      </c>
      <c r="AG8280">
        <v>-1.171252</v>
      </c>
      <c r="AH8280">
        <v>22.1945638024585</v>
      </c>
      <c r="AI8280">
        <v>92.977084421019597</v>
      </c>
      <c r="AJ8280">
        <v>80.230473387575699</v>
      </c>
      <c r="AK8280">
        <v>22.551595123111799</v>
      </c>
      <c r="AL8280">
        <v>81.526451192443602</v>
      </c>
      <c r="AM8280">
        <v>84.131531257526902</v>
      </c>
      <c r="AN8280">
        <v>0.99999995971449895</v>
      </c>
    </row>
    <row r="8281" spans="1:40" x14ac:dyDescent="0.25">
      <c r="A8281" t="str">
        <f>"20190303162115298"</f>
        <v>20190303162115298</v>
      </c>
      <c r="B8281" t="str">
        <f>"1551601275291288"</f>
        <v>1551601275291288</v>
      </c>
      <c r="C8281" t="s">
        <v>40</v>
      </c>
      <c r="D8281">
        <v>4.905246</v>
      </c>
      <c r="E8281">
        <v>0.54240109999999997</v>
      </c>
      <c r="F8281" t="s">
        <v>44</v>
      </c>
      <c r="G8281">
        <v>-318.18599999999998</v>
      </c>
      <c r="H8281">
        <v>-0.05</v>
      </c>
      <c r="I8281">
        <v>14.62622</v>
      </c>
      <c r="J8281">
        <v>-340.53949999999998</v>
      </c>
      <c r="K8281">
        <v>1.1212059999999999</v>
      </c>
      <c r="L8281">
        <v>18.151859999999999</v>
      </c>
      <c r="M8281">
        <v>0.99983750000000005</v>
      </c>
      <c r="N8281">
        <v>-1.102013E-2</v>
      </c>
      <c r="O8281">
        <v>1.427548E-2</v>
      </c>
      <c r="P8281">
        <v>0.98689280000000001</v>
      </c>
      <c r="Q8281">
        <v>0.1362911</v>
      </c>
      <c r="R8281">
        <v>-8.6415809999999996E-2</v>
      </c>
      <c r="S8281">
        <v>3.0200809999999998</v>
      </c>
      <c r="T8281">
        <v>-0.1574981</v>
      </c>
      <c r="U8281">
        <v>-0.47390749999999998</v>
      </c>
      <c r="V8281">
        <v>0.1005394</v>
      </c>
      <c r="W8281">
        <v>0.1471142</v>
      </c>
      <c r="X8281">
        <v>0.9839966</v>
      </c>
      <c r="Y8281">
        <v>0.1688257</v>
      </c>
      <c r="Z8281">
        <v>-5.8925380000000001E-3</v>
      </c>
      <c r="AA8281">
        <v>0.98562830000000001</v>
      </c>
      <c r="AB8281">
        <v>18</v>
      </c>
      <c r="AC8281">
        <v>22.3535</v>
      </c>
      <c r="AD8281">
        <v>-1.171206</v>
      </c>
      <c r="AE8281">
        <v>-3.5256399999999899</v>
      </c>
      <c r="AF8281">
        <v>3.8341369437294999</v>
      </c>
      <c r="AG8281">
        <v>-1.171206</v>
      </c>
      <c r="AH8281">
        <v>22.241313588260301</v>
      </c>
      <c r="AI8281">
        <v>92.970619453843199</v>
      </c>
      <c r="AJ8281">
        <v>80.219024703055595</v>
      </c>
      <c r="AK8281">
        <v>22.599742470414199</v>
      </c>
      <c r="AL8281">
        <v>81.540273226322995</v>
      </c>
      <c r="AM8281">
        <v>84.1660752239451</v>
      </c>
      <c r="AN8281">
        <v>1.0000000338027699</v>
      </c>
    </row>
    <row r="8282" spans="1:40" x14ac:dyDescent="0.25">
      <c r="A8282" t="str">
        <f>"20190303162115312"</f>
        <v>20190303162115312</v>
      </c>
      <c r="B8282" t="str">
        <f>"1551601275301048"</f>
        <v>1551601275301048</v>
      </c>
      <c r="C8282" t="s">
        <v>40</v>
      </c>
      <c r="D8282">
        <v>4.8943859999999999</v>
      </c>
      <c r="E8282">
        <v>0.54345580000000004</v>
      </c>
      <c r="F8282" t="s">
        <v>41</v>
      </c>
      <c r="G8282">
        <v>-320.0874</v>
      </c>
      <c r="H8282" s="1">
        <v>-5.6566150000000004E-6</v>
      </c>
      <c r="I8282">
        <v>14.0329</v>
      </c>
      <c r="J8282">
        <v>-340.42430000000002</v>
      </c>
      <c r="K8282">
        <v>1.1211549999999999</v>
      </c>
      <c r="L8282">
        <v>18.15326</v>
      </c>
      <c r="M8282">
        <v>0.99984249999999997</v>
      </c>
      <c r="N8282">
        <v>-1.0824E-2</v>
      </c>
      <c r="O8282">
        <v>1.4077950000000001E-2</v>
      </c>
      <c r="P8282">
        <v>0.98694380000000004</v>
      </c>
      <c r="Q8282">
        <v>0.13620760000000001</v>
      </c>
      <c r="R8282">
        <v>-8.5964760000000001E-2</v>
      </c>
      <c r="S8282">
        <v>3.0095519999999998</v>
      </c>
      <c r="T8282">
        <v>-0.164988</v>
      </c>
      <c r="U8282">
        <v>-0.60610959999999903</v>
      </c>
      <c r="V8282">
        <v>9.9901710000000005E-2</v>
      </c>
      <c r="W8282">
        <v>0.14683399999999999</v>
      </c>
      <c r="X8282">
        <v>0.98410339999999996</v>
      </c>
      <c r="Y8282">
        <v>0.21083370000000001</v>
      </c>
      <c r="Z8282">
        <v>-7.4839599999999996E-3</v>
      </c>
      <c r="AA8282">
        <v>0.97749330000000001</v>
      </c>
      <c r="AB8282">
        <v>18</v>
      </c>
      <c r="AC8282">
        <v>20.3369</v>
      </c>
      <c r="AD8282">
        <v>-1.1211606566150001</v>
      </c>
      <c r="AE8282">
        <v>-4.1203599999999998</v>
      </c>
      <c r="AF8282">
        <v>4.3934439444844404</v>
      </c>
      <c r="AG8282">
        <v>-1.1211606566150001</v>
      </c>
      <c r="AH8282">
        <v>20.2178505884904</v>
      </c>
      <c r="AI8282">
        <v>93.101784739421106</v>
      </c>
      <c r="AJ8282">
        <v>77.739937472992906</v>
      </c>
      <c r="AK8282">
        <v>20.720058719265001</v>
      </c>
      <c r="AL8282">
        <v>81.556503801734607</v>
      </c>
      <c r="AM8282">
        <v>84.203450021938593</v>
      </c>
      <c r="AN8282">
        <v>1.00000003855424</v>
      </c>
    </row>
    <row r="8283" spans="1:40" x14ac:dyDescent="0.25">
      <c r="A8283" t="str">
        <f>"20190303162115329"</f>
        <v>20190303162115329</v>
      </c>
      <c r="B8283" t="str">
        <f>"1551601275320567"</f>
        <v>1551601275320567</v>
      </c>
      <c r="C8283" t="s">
        <v>40</v>
      </c>
      <c r="D8283">
        <v>4.8742049999999999</v>
      </c>
      <c r="E8283">
        <v>0.54392220000000002</v>
      </c>
      <c r="F8283" t="s">
        <v>41</v>
      </c>
      <c r="G8283">
        <v>-320.77609999999999</v>
      </c>
      <c r="H8283" s="1">
        <v>-5.30960799999999E-6</v>
      </c>
      <c r="I8283">
        <v>14.154019999999999</v>
      </c>
      <c r="J8283">
        <v>-340.286</v>
      </c>
      <c r="K8283">
        <v>1.1211009999999999</v>
      </c>
      <c r="L8283">
        <v>18.15494</v>
      </c>
      <c r="M8283">
        <v>0.99984850000000003</v>
      </c>
      <c r="N8283">
        <v>-1.059878E-2</v>
      </c>
      <c r="O8283">
        <v>1.3815879999999999E-2</v>
      </c>
      <c r="P8283">
        <v>0.98702789999999996</v>
      </c>
      <c r="Q8283">
        <v>0.135821</v>
      </c>
      <c r="R8283">
        <v>-8.5609359999999995E-2</v>
      </c>
      <c r="S8283">
        <v>3.01004</v>
      </c>
      <c r="T8283">
        <v>-0.17175789999999999</v>
      </c>
      <c r="U8283">
        <v>-0.61267090000000002</v>
      </c>
      <c r="V8283">
        <v>9.9298579999999997E-2</v>
      </c>
      <c r="W8283">
        <v>0.1462204</v>
      </c>
      <c r="X8283">
        <v>0.98425569999999896</v>
      </c>
      <c r="Y8283">
        <v>0.21256240000000001</v>
      </c>
      <c r="Z8283">
        <v>-7.7724559999999996E-3</v>
      </c>
      <c r="AA8283">
        <v>0.9771166</v>
      </c>
      <c r="AB8283">
        <v>18</v>
      </c>
      <c r="AC8283">
        <v>19.509899999999998</v>
      </c>
      <c r="AD8283">
        <v>-1.1211063096080001</v>
      </c>
      <c r="AE8283">
        <v>-4.00091999999999</v>
      </c>
      <c r="AF8283">
        <v>4.25661134141441</v>
      </c>
      <c r="AG8283">
        <v>-1.1211063096080001</v>
      </c>
      <c r="AH8283">
        <v>19.3913114074116</v>
      </c>
      <c r="AI8283">
        <v>93.2320809780921</v>
      </c>
      <c r="AJ8283">
        <v>77.619293788344194</v>
      </c>
      <c r="AK8283">
        <v>19.884631693056601</v>
      </c>
      <c r="AL8283">
        <v>81.592043324921704</v>
      </c>
      <c r="AM8283">
        <v>84.239094548854595</v>
      </c>
      <c r="AN8283">
        <v>0.99999994817433102</v>
      </c>
    </row>
    <row r="8284" spans="1:40" x14ac:dyDescent="0.25">
      <c r="A8284" t="str">
        <f>"20190303162115342"</f>
        <v>20190303162115342</v>
      </c>
      <c r="B8284" t="str">
        <f>"1551601275331304"</f>
        <v>1551601275331304</v>
      </c>
      <c r="C8284" t="s">
        <v>40</v>
      </c>
      <c r="D8284">
        <v>4.9091709999999997</v>
      </c>
      <c r="E8284">
        <v>0.544041199999999</v>
      </c>
      <c r="F8284" t="s">
        <v>41</v>
      </c>
      <c r="G8284">
        <v>-320.8535</v>
      </c>
      <c r="H8284" s="1">
        <v>-5.2672329999999996E-6</v>
      </c>
      <c r="I8284">
        <v>14.18671</v>
      </c>
      <c r="J8284">
        <v>-340.18110000000001</v>
      </c>
      <c r="K8284">
        <v>1.1210580000000001</v>
      </c>
      <c r="L8284">
        <v>18.15616</v>
      </c>
      <c r="M8284">
        <v>0.9998532</v>
      </c>
      <c r="N8284">
        <v>-1.043876E-2</v>
      </c>
      <c r="O8284">
        <v>1.359631E-2</v>
      </c>
      <c r="P8284">
        <v>0.98706139999999998</v>
      </c>
      <c r="Q8284">
        <v>0.13570650000000001</v>
      </c>
      <c r="R8284">
        <v>-8.540615E-2</v>
      </c>
      <c r="S8284">
        <v>3.009979</v>
      </c>
      <c r="T8284">
        <v>-0.17365239999999901</v>
      </c>
      <c r="U8284">
        <v>-0.61465449999999999</v>
      </c>
      <c r="V8284">
        <v>9.8886799999999997E-2</v>
      </c>
      <c r="W8284">
        <v>0.14594389999999999</v>
      </c>
      <c r="X8284">
        <v>0.98433820000000005</v>
      </c>
      <c r="Y8284">
        <v>0.21296180000000001</v>
      </c>
      <c r="Z8284">
        <v>-7.8351159999999996E-3</v>
      </c>
      <c r="AA8284">
        <v>0.97702909999999998</v>
      </c>
      <c r="AB8284">
        <v>18</v>
      </c>
      <c r="AC8284">
        <v>19.3276</v>
      </c>
      <c r="AD8284">
        <v>-1.1210632672330001</v>
      </c>
      <c r="AE8284">
        <v>-3.9694500000000001</v>
      </c>
      <c r="AF8284">
        <v>4.2182639345755302</v>
      </c>
      <c r="AG8284">
        <v>-1.1210632672330001</v>
      </c>
      <c r="AH8284">
        <v>19.2098271215282</v>
      </c>
      <c r="AI8284">
        <v>93.262372424802393</v>
      </c>
      <c r="AJ8284">
        <v>77.615052788763293</v>
      </c>
      <c r="AK8284">
        <v>19.699441400960598</v>
      </c>
      <c r="AL8284">
        <v>81.608057471410504</v>
      </c>
      <c r="AM8284">
        <v>84.263302317420994</v>
      </c>
      <c r="AN8284">
        <v>0.99999995657034402</v>
      </c>
    </row>
    <row r="8285" spans="1:40" x14ac:dyDescent="0.25">
      <c r="A8285" t="str">
        <f>"20190303162115353"</f>
        <v>20190303162115353</v>
      </c>
      <c r="B8285" t="str">
        <f>"1551601275341064"</f>
        <v>1551601275341064</v>
      </c>
      <c r="C8285" t="s">
        <v>40</v>
      </c>
      <c r="D8285">
        <v>4.9065750000000001</v>
      </c>
      <c r="E8285">
        <v>0.54432190000000003</v>
      </c>
      <c r="F8285" t="s">
        <v>41</v>
      </c>
      <c r="G8285">
        <v>-320.58929999999998</v>
      </c>
      <c r="H8285" s="1">
        <v>-5.3978009999999996E-6</v>
      </c>
      <c r="I8285">
        <v>14.15461</v>
      </c>
      <c r="J8285">
        <v>-340.08069999999998</v>
      </c>
      <c r="K8285">
        <v>1.121024</v>
      </c>
      <c r="L8285">
        <v>18.157260000000001</v>
      </c>
      <c r="M8285">
        <v>0.99985769999999996</v>
      </c>
      <c r="N8285">
        <v>-1.0296659999999999E-2</v>
      </c>
      <c r="O8285">
        <v>1.3368430000000001E-2</v>
      </c>
      <c r="P8285">
        <v>0.98704860000000005</v>
      </c>
      <c r="Q8285">
        <v>0.13570189999999999</v>
      </c>
      <c r="R8285">
        <v>-8.5557690000000006E-2</v>
      </c>
      <c r="S8285">
        <v>3.009827</v>
      </c>
      <c r="T8285">
        <v>-0.1722255</v>
      </c>
      <c r="U8285">
        <v>-0.61474609999999996</v>
      </c>
      <c r="V8285">
        <v>9.8820950000000005E-2</v>
      </c>
      <c r="W8285">
        <v>0.14579489999999901</v>
      </c>
      <c r="X8285">
        <v>0.98436699999999999</v>
      </c>
      <c r="Y8285">
        <v>0.2127851</v>
      </c>
      <c r="Z8285">
        <v>-7.749311E-3</v>
      </c>
      <c r="AA8285">
        <v>0.9770683</v>
      </c>
      <c r="AB8285">
        <v>18</v>
      </c>
      <c r="AC8285">
        <v>19.491399999999999</v>
      </c>
      <c r="AD8285">
        <v>-1.121029397801</v>
      </c>
      <c r="AE8285">
        <v>-4.00265</v>
      </c>
      <c r="AF8285">
        <v>4.2493878636436699</v>
      </c>
      <c r="AG8285">
        <v>-1.121029397801</v>
      </c>
      <c r="AH8285">
        <v>19.374650601435899</v>
      </c>
      <c r="AI8285">
        <v>93.234757361330097</v>
      </c>
      <c r="AJ8285">
        <v>77.629355651742799</v>
      </c>
      <c r="AK8285">
        <v>19.866833921240101</v>
      </c>
      <c r="AL8285">
        <v>81.616687732966398</v>
      </c>
      <c r="AM8285">
        <v>84.267263616614997</v>
      </c>
      <c r="AN8285">
        <v>1.00000006185695</v>
      </c>
    </row>
    <row r="8286" spans="1:40" x14ac:dyDescent="0.25">
      <c r="A8286" t="str">
        <f>"20190303162115366"</f>
        <v>20190303162115366</v>
      </c>
      <c r="B8286" t="str">
        <f>"1551601275360583"</f>
        <v>1551601275360583</v>
      </c>
      <c r="C8286" t="s">
        <v>40</v>
      </c>
      <c r="D8286">
        <v>4.9212899999999999</v>
      </c>
      <c r="E8286">
        <v>0.54468399999999995</v>
      </c>
      <c r="F8286" t="s">
        <v>41</v>
      </c>
      <c r="G8286">
        <v>-320.62790000000001</v>
      </c>
      <c r="H8286" s="1">
        <v>-5.3774819999999997E-6</v>
      </c>
      <c r="I8286">
        <v>14.166320000000001</v>
      </c>
      <c r="J8286">
        <v>-339.98329999999999</v>
      </c>
      <c r="K8286">
        <v>1.120994</v>
      </c>
      <c r="L8286">
        <v>18.158329999999999</v>
      </c>
      <c r="M8286">
        <v>0.99986209999999998</v>
      </c>
      <c r="N8286">
        <v>-1.0163500000000001E-2</v>
      </c>
      <c r="O8286">
        <v>1.313918E-2</v>
      </c>
      <c r="P8286">
        <v>0.98701340000000004</v>
      </c>
      <c r="Q8286">
        <v>0.13586029999999999</v>
      </c>
      <c r="R8286">
        <v>-8.5711930000000006E-2</v>
      </c>
      <c r="S8286">
        <v>3.009674</v>
      </c>
      <c r="T8286">
        <v>-0.1734414</v>
      </c>
      <c r="U8286">
        <v>-0.61746219999999996</v>
      </c>
      <c r="V8286">
        <v>9.8755629999999997E-2</v>
      </c>
      <c r="W8286">
        <v>0.145817</v>
      </c>
      <c r="X8286">
        <v>0.98437019999999997</v>
      </c>
      <c r="Y8286">
        <v>0.2134115</v>
      </c>
      <c r="Z8286">
        <v>-7.7946700000000001E-3</v>
      </c>
      <c r="AA8286">
        <v>0.97693129999999995</v>
      </c>
      <c r="AB8286">
        <v>18</v>
      </c>
      <c r="AC8286">
        <v>19.3553999999999</v>
      </c>
      <c r="AD8286">
        <v>-1.120999377482</v>
      </c>
      <c r="AE8286">
        <v>-3.9920099999999898</v>
      </c>
      <c r="AF8286">
        <v>4.2323750255357897</v>
      </c>
      <c r="AG8286">
        <v>-1.120999377482</v>
      </c>
      <c r="AH8286">
        <v>19.2393724743653</v>
      </c>
      <c r="AI8286">
        <v>93.256918057498297</v>
      </c>
      <c r="AJ8286">
        <v>77.593396486694104</v>
      </c>
      <c r="AK8286">
        <v>19.7312719095465</v>
      </c>
      <c r="AL8286">
        <v>81.615407137809697</v>
      </c>
      <c r="AM8286">
        <v>84.271046203229602</v>
      </c>
      <c r="AN8286">
        <v>0.99999998129686796</v>
      </c>
    </row>
    <row r="8287" spans="1:40" x14ac:dyDescent="0.25">
      <c r="A8287" t="str">
        <f>"20190303162115377"</f>
        <v>20190303162115377</v>
      </c>
      <c r="B8287" t="str">
        <f>"1551601275371320"</f>
        <v>1551601275371320</v>
      </c>
      <c r="C8287" t="s">
        <v>40</v>
      </c>
      <c r="D8287">
        <v>4.9381089999999999</v>
      </c>
      <c r="E8287">
        <v>0.54482680000000006</v>
      </c>
      <c r="F8287" t="s">
        <v>41</v>
      </c>
      <c r="G8287">
        <v>-319.9776</v>
      </c>
      <c r="H8287" s="1">
        <v>-5.7089209999999996E-6</v>
      </c>
      <c r="I8287">
        <v>14.030620000000001</v>
      </c>
      <c r="J8287">
        <v>-339.8854</v>
      </c>
      <c r="K8287">
        <v>1.1209579999999999</v>
      </c>
      <c r="L8287">
        <v>18.159330000000001</v>
      </c>
      <c r="M8287">
        <v>0.99986649999999999</v>
      </c>
      <c r="N8287">
        <v>-1.004237E-2</v>
      </c>
      <c r="O8287">
        <v>1.288681E-2</v>
      </c>
      <c r="P8287">
        <v>0.98697469999999998</v>
      </c>
      <c r="Q8287">
        <v>0.1361195</v>
      </c>
      <c r="R8287">
        <v>-8.5747199999999996E-2</v>
      </c>
      <c r="S8287">
        <v>3.008759</v>
      </c>
      <c r="T8287">
        <v>-0.1685934</v>
      </c>
      <c r="U8287">
        <v>-0.62078859999999902</v>
      </c>
      <c r="V8287">
        <v>9.8548549999999999E-2</v>
      </c>
      <c r="W8287">
        <v>0.14595239999999901</v>
      </c>
      <c r="X8287">
        <v>0.98437090000000005</v>
      </c>
      <c r="Y8287">
        <v>0.2142801</v>
      </c>
      <c r="Z8287">
        <v>-7.6108719999999899E-3</v>
      </c>
      <c r="AA8287">
        <v>0.97674260000000002</v>
      </c>
      <c r="AB8287">
        <v>18</v>
      </c>
      <c r="AC8287">
        <v>19.907800000000002</v>
      </c>
      <c r="AD8287">
        <v>-1.1209637089209901</v>
      </c>
      <c r="AE8287">
        <v>-4.1287099999999901</v>
      </c>
      <c r="AF8287">
        <v>4.3716391186766597</v>
      </c>
      <c r="AG8287">
        <v>-1.1209637089209901</v>
      </c>
      <c r="AH8287">
        <v>19.7927717138116</v>
      </c>
      <c r="AI8287">
        <v>93.165355098530895</v>
      </c>
      <c r="AJ8287">
        <v>77.545017484277693</v>
      </c>
      <c r="AK8287">
        <v>20.300778318471501</v>
      </c>
      <c r="AL8287">
        <v>81.607565504662105</v>
      </c>
      <c r="AM8287">
        <v>84.282983585366694</v>
      </c>
      <c r="AN8287">
        <v>0.99999999426983599</v>
      </c>
    </row>
    <row r="8288" spans="1:40" x14ac:dyDescent="0.25">
      <c r="A8288" t="str">
        <f>"20190303162115388"</f>
        <v>20190303162115388</v>
      </c>
      <c r="B8288" t="str">
        <f>"1551601275381079"</f>
        <v>1551601275381079</v>
      </c>
      <c r="C8288" t="s">
        <v>40</v>
      </c>
      <c r="D8288">
        <v>4.9493479999999996</v>
      </c>
      <c r="E8288">
        <v>0.54504549999999996</v>
      </c>
      <c r="F8288" t="s">
        <v>44</v>
      </c>
      <c r="G8288">
        <v>-318.7955</v>
      </c>
      <c r="H8288">
        <v>-0.05</v>
      </c>
      <c r="I8288">
        <v>13.798019999999999</v>
      </c>
      <c r="J8288">
        <v>-339.79669999999999</v>
      </c>
      <c r="K8288">
        <v>1.1209340000000001</v>
      </c>
      <c r="L8288">
        <v>18.160250000000001</v>
      </c>
      <c r="M8288">
        <v>0.9998707</v>
      </c>
      <c r="N8288">
        <v>-9.9366599999999999E-3</v>
      </c>
      <c r="O8288">
        <v>1.265118E-2</v>
      </c>
      <c r="P8288">
        <v>0.98684989999999995</v>
      </c>
      <c r="Q8288">
        <v>0.13681189999999999</v>
      </c>
      <c r="R8288">
        <v>-8.6083309999999996E-2</v>
      </c>
      <c r="S8288">
        <v>3.008575</v>
      </c>
      <c r="T8288">
        <v>-0.16704240000000001</v>
      </c>
      <c r="U8288">
        <v>-0.62216190000000005</v>
      </c>
      <c r="V8288">
        <v>9.8657040000000001E-2</v>
      </c>
      <c r="W8288">
        <v>0.14653550000000001</v>
      </c>
      <c r="X8288">
        <v>0.98427339999999997</v>
      </c>
      <c r="Y8288">
        <v>0.21449650000000001</v>
      </c>
      <c r="Z8288">
        <v>-7.536198E-3</v>
      </c>
      <c r="AA8288">
        <v>0.97669570000000006</v>
      </c>
      <c r="AB8288">
        <v>18</v>
      </c>
      <c r="AC8288">
        <v>21.001199999999901</v>
      </c>
      <c r="AD8288">
        <v>-1.1709339999999999</v>
      </c>
      <c r="AE8288">
        <v>-4.3622300000000003</v>
      </c>
      <c r="AF8288">
        <v>4.6138341868193304</v>
      </c>
      <c r="AG8288">
        <v>-1.1709339999999999</v>
      </c>
      <c r="AH8288">
        <v>20.882098138729599</v>
      </c>
      <c r="AI8288">
        <v>93.133989397933803</v>
      </c>
      <c r="AJ8288">
        <v>77.540844765241104</v>
      </c>
      <c r="AK8288">
        <v>21.417763072070599</v>
      </c>
      <c r="AL8288">
        <v>81.573793241524996</v>
      </c>
      <c r="AM8288">
        <v>84.276168433122606</v>
      </c>
      <c r="AN8288">
        <v>0.99999999512468496</v>
      </c>
    </row>
    <row r="8289" spans="1:40" x14ac:dyDescent="0.25">
      <c r="A8289" t="str">
        <f>"20190303162115399"</f>
        <v>20190303162115399</v>
      </c>
      <c r="B8289" t="str">
        <f>"1551601275390840"</f>
        <v>1551601275390840</v>
      </c>
      <c r="C8289" t="s">
        <v>40</v>
      </c>
      <c r="D8289">
        <v>4.9111269999999996</v>
      </c>
      <c r="E8289">
        <v>0.54509849999999904</v>
      </c>
      <c r="F8289" t="s">
        <v>44</v>
      </c>
      <c r="G8289">
        <v>-318.48970000000003</v>
      </c>
      <c r="H8289">
        <v>-0.05</v>
      </c>
      <c r="I8289">
        <v>13.733169999999999</v>
      </c>
      <c r="J8289">
        <v>-339.70370000000003</v>
      </c>
      <c r="K8289">
        <v>1.1209119999999999</v>
      </c>
      <c r="L8289">
        <v>18.16113</v>
      </c>
      <c r="M8289">
        <v>0.99987490000000001</v>
      </c>
      <c r="N8289">
        <v>-9.8340630000000005E-3</v>
      </c>
      <c r="O8289">
        <v>1.239081E-2</v>
      </c>
      <c r="P8289">
        <v>0.98673440000000001</v>
      </c>
      <c r="Q8289">
        <v>0.13734199999999999</v>
      </c>
      <c r="R8289">
        <v>-8.6560120000000004E-2</v>
      </c>
      <c r="S8289">
        <v>3.008362</v>
      </c>
      <c r="T8289">
        <v>-0.16532520000000001</v>
      </c>
      <c r="U8289">
        <v>-0.62506099999999998</v>
      </c>
      <c r="V8289">
        <v>9.8882239999999996E-2</v>
      </c>
      <c r="W8289">
        <v>0.14695899999999901</v>
      </c>
      <c r="X8289">
        <v>0.9841877</v>
      </c>
      <c r="Y8289">
        <v>0.2151653</v>
      </c>
      <c r="Z8289">
        <v>-7.4685719999999997E-3</v>
      </c>
      <c r="AA8289">
        <v>0.97654909999999995</v>
      </c>
      <c r="AB8289">
        <v>18</v>
      </c>
      <c r="AC8289">
        <v>21.213999999999999</v>
      </c>
      <c r="AD8289">
        <v>-1.170912</v>
      </c>
      <c r="AE8289">
        <v>-4.4279599999999899</v>
      </c>
      <c r="AF8289">
        <v>4.67683816069529</v>
      </c>
      <c r="AG8289">
        <v>-1.170912</v>
      </c>
      <c r="AH8289">
        <v>21.0959167065357</v>
      </c>
      <c r="AI8289">
        <v>93.101740880163902</v>
      </c>
      <c r="AJ8289">
        <v>77.500036181958805</v>
      </c>
      <c r="AK8289">
        <v>21.639814042227101</v>
      </c>
      <c r="AL8289">
        <v>81.549263269818596</v>
      </c>
      <c r="AM8289">
        <v>84.262693738919197</v>
      </c>
      <c r="AN8289">
        <v>1.0000000369498501</v>
      </c>
    </row>
    <row r="8290" spans="1:40" x14ac:dyDescent="0.25">
      <c r="A8290" t="str">
        <f>"20190303162115410"</f>
        <v>20190303162115410</v>
      </c>
      <c r="B8290" t="str">
        <f>"1551601275400600"</f>
        <v>1551601275400600</v>
      </c>
      <c r="C8290" t="s">
        <v>40</v>
      </c>
      <c r="D8290">
        <v>4.988029</v>
      </c>
      <c r="E8290">
        <v>0.54522219999999999</v>
      </c>
      <c r="F8290" t="s">
        <v>44</v>
      </c>
      <c r="G8290">
        <v>-318.1456</v>
      </c>
      <c r="H8290">
        <v>-0.05</v>
      </c>
      <c r="I8290">
        <v>13.666090000000001</v>
      </c>
      <c r="J8290">
        <v>-339.6182</v>
      </c>
      <c r="K8290">
        <v>1.1209009999999999</v>
      </c>
      <c r="L8290">
        <v>18.161930000000002</v>
      </c>
      <c r="M8290">
        <v>0.99987890000000001</v>
      </c>
      <c r="N8290">
        <v>-9.7452230000000008E-3</v>
      </c>
      <c r="O8290">
        <v>1.214315E-2</v>
      </c>
      <c r="P8290">
        <v>0.98664019999999997</v>
      </c>
      <c r="Q8290">
        <v>0.1377591</v>
      </c>
      <c r="R8290">
        <v>-8.6970049999999993E-2</v>
      </c>
      <c r="S8290">
        <v>3.0080260000000001</v>
      </c>
      <c r="T8290">
        <v>-0.16337850000000001</v>
      </c>
      <c r="U8290">
        <v>-0.62719729999999996</v>
      </c>
      <c r="V8290">
        <v>9.9052119999999994E-2</v>
      </c>
      <c r="W8290">
        <v>0.1472849</v>
      </c>
      <c r="X8290">
        <v>0.98412189999999999</v>
      </c>
      <c r="Y8290">
        <v>0.21561810000000001</v>
      </c>
      <c r="Z8290">
        <v>-7.3871169999999899E-3</v>
      </c>
      <c r="AA8290">
        <v>0.97644980000000003</v>
      </c>
      <c r="AB8290">
        <v>18</v>
      </c>
      <c r="AC8290">
        <v>21.4726</v>
      </c>
      <c r="AD8290">
        <v>-1.170901</v>
      </c>
      <c r="AE8290">
        <v>-4.4958399999999896</v>
      </c>
      <c r="AF8290">
        <v>4.7427554270247798</v>
      </c>
      <c r="AG8290">
        <v>-1.170901</v>
      </c>
      <c r="AH8290">
        <v>21.355585988717099</v>
      </c>
      <c r="AI8290">
        <v>93.063816545373001</v>
      </c>
      <c r="AJ8290">
        <v>77.4786844860771</v>
      </c>
      <c r="AK8290">
        <v>21.907208656373001</v>
      </c>
      <c r="AL8290">
        <v>81.530385169803196</v>
      </c>
      <c r="AM8290">
        <v>84.252521265844095</v>
      </c>
      <c r="AN8290">
        <v>1.00000003915205</v>
      </c>
    </row>
    <row r="8291" spans="1:40" x14ac:dyDescent="0.25">
      <c r="A8291" t="str">
        <f>"20190303162115422"</f>
        <v>20190303162115422</v>
      </c>
      <c r="B8291" t="str">
        <f>"1551601275411336"</f>
        <v>1551601275411336</v>
      </c>
      <c r="C8291" t="s">
        <v>40</v>
      </c>
      <c r="D8291">
        <v>4.941319</v>
      </c>
      <c r="E8291">
        <v>0.54544539999999997</v>
      </c>
      <c r="F8291" t="s">
        <v>44</v>
      </c>
      <c r="G8291">
        <v>-317.84399999999999</v>
      </c>
      <c r="H8291">
        <v>-0.05</v>
      </c>
      <c r="I8291">
        <v>13.604810000000001</v>
      </c>
      <c r="J8291">
        <v>-339.5231</v>
      </c>
      <c r="K8291">
        <v>1.1208880000000001</v>
      </c>
      <c r="L8291">
        <v>18.162780000000001</v>
      </c>
      <c r="M8291">
        <v>0.99988319999999997</v>
      </c>
      <c r="N8291">
        <v>-9.6522799999999992E-3</v>
      </c>
      <c r="O8291">
        <v>1.1859929999999999E-2</v>
      </c>
      <c r="P8291">
        <v>0.98647580000000001</v>
      </c>
      <c r="Q8291">
        <v>0.13853209999999999</v>
      </c>
      <c r="R8291">
        <v>-8.7605169999999996E-2</v>
      </c>
      <c r="S8291">
        <v>3.0077210000000001</v>
      </c>
      <c r="T8291">
        <v>-0.16173950000000001</v>
      </c>
      <c r="U8291">
        <v>-0.62948609999999905</v>
      </c>
      <c r="V8291">
        <v>9.9411659999999999E-2</v>
      </c>
      <c r="W8291">
        <v>0.14796119999999999</v>
      </c>
      <c r="X8291">
        <v>0.98398419999999998</v>
      </c>
      <c r="Y8291">
        <v>0.2160803</v>
      </c>
      <c r="Z8291">
        <v>-7.3159599999999998E-3</v>
      </c>
      <c r="AA8291">
        <v>0.9763482</v>
      </c>
      <c r="AB8291">
        <v>18</v>
      </c>
      <c r="AC8291">
        <v>21.679099999999998</v>
      </c>
      <c r="AD8291">
        <v>-1.1708879999999999</v>
      </c>
      <c r="AE8291">
        <v>-4.5579699999999903</v>
      </c>
      <c r="AF8291">
        <v>4.8013609161336701</v>
      </c>
      <c r="AG8291">
        <v>-1.1708879999999999</v>
      </c>
      <c r="AH8291">
        <v>21.563276431982299</v>
      </c>
      <c r="AI8291">
        <v>93.033957231334796</v>
      </c>
      <c r="AJ8291">
        <v>77.447085008928497</v>
      </c>
      <c r="AK8291">
        <v>22.122362799610801</v>
      </c>
      <c r="AL8291">
        <v>81.491206880598895</v>
      </c>
      <c r="AM8291">
        <v>84.230997692648202</v>
      </c>
      <c r="AN8291">
        <v>1.0000000503495099</v>
      </c>
    </row>
    <row r="8292" spans="1:40" x14ac:dyDescent="0.25">
      <c r="A8292" t="str">
        <f>"20190303162115434"</f>
        <v>20190303162115434</v>
      </c>
      <c r="B8292" t="str">
        <f>"1551601275421097"</f>
        <v>1551601275421097</v>
      </c>
      <c r="C8292" t="s">
        <v>40</v>
      </c>
      <c r="D8292">
        <v>4.9526690000000002</v>
      </c>
      <c r="E8292">
        <v>0.545602699999999</v>
      </c>
      <c r="F8292" t="s">
        <v>44</v>
      </c>
      <c r="G8292">
        <v>-317.40249999999997</v>
      </c>
      <c r="H8292">
        <v>-0.05</v>
      </c>
      <c r="I8292">
        <v>13.5034299999999</v>
      </c>
      <c r="J8292">
        <v>-339.4212</v>
      </c>
      <c r="K8292">
        <v>1.1208769999999999</v>
      </c>
      <c r="L8292">
        <v>18.163640000000001</v>
      </c>
      <c r="M8292">
        <v>0.99988779999999999</v>
      </c>
      <c r="N8292">
        <v>-9.5613309999999993E-3</v>
      </c>
      <c r="O8292">
        <v>1.1546219999999999E-2</v>
      </c>
      <c r="P8292">
        <v>0.98629889999999998</v>
      </c>
      <c r="Q8292">
        <v>0.13946819999999999</v>
      </c>
      <c r="R8292">
        <v>-8.8111350000000005E-2</v>
      </c>
      <c r="S8292">
        <v>3.0072329999999998</v>
      </c>
      <c r="T8292">
        <v>-0.1591785</v>
      </c>
      <c r="U8292">
        <v>-0.63342290000000001</v>
      </c>
      <c r="V8292">
        <v>9.9611359999999996E-2</v>
      </c>
      <c r="W8292">
        <v>0.148803399999999</v>
      </c>
      <c r="X8292">
        <v>0.98383690000000001</v>
      </c>
      <c r="Y8292">
        <v>0.2170397</v>
      </c>
      <c r="Z8292">
        <v>-7.2228650000000002E-3</v>
      </c>
      <c r="AA8292">
        <v>0.97613609999999995</v>
      </c>
      <c r="AB8292">
        <v>18</v>
      </c>
      <c r="AC8292">
        <v>22.018699999999999</v>
      </c>
      <c r="AD8292">
        <v>-1.1708769999999999</v>
      </c>
      <c r="AE8292">
        <v>-4.6602100000000002</v>
      </c>
      <c r="AF8292">
        <v>4.9008794195840499</v>
      </c>
      <c r="AG8292">
        <v>-1.1708769999999999</v>
      </c>
      <c r="AH8292">
        <v>21.904138270495899</v>
      </c>
      <c r="AI8292">
        <v>92.986118897818599</v>
      </c>
      <c r="AJ8292">
        <v>77.388230674179596</v>
      </c>
      <c r="AK8292">
        <v>22.476228451575999</v>
      </c>
      <c r="AL8292">
        <v>81.4424114468314</v>
      </c>
      <c r="AM8292">
        <v>84.218627618321904</v>
      </c>
      <c r="AN8292">
        <v>0.99999996034710903</v>
      </c>
    </row>
    <row r="8293" spans="1:40" x14ac:dyDescent="0.25">
      <c r="A8293" t="str">
        <f>"20190303162115445"</f>
        <v>20190303162115445</v>
      </c>
      <c r="B8293" t="str">
        <f>"1551601275440616"</f>
        <v>1551601275440616</v>
      </c>
      <c r="C8293" t="s">
        <v>40</v>
      </c>
      <c r="D8293">
        <v>4.9015230000000001</v>
      </c>
      <c r="E8293">
        <v>0.54630859999999903</v>
      </c>
      <c r="F8293" t="s">
        <v>44</v>
      </c>
      <c r="G8293">
        <v>-316.79050000000001</v>
      </c>
      <c r="H8293">
        <v>-0.05</v>
      </c>
      <c r="I8293">
        <v>13.37561</v>
      </c>
      <c r="J8293">
        <v>-339.32940000000002</v>
      </c>
      <c r="K8293">
        <v>1.12087</v>
      </c>
      <c r="L8293">
        <v>18.164400000000001</v>
      </c>
      <c r="M8293">
        <v>0.99989159999999999</v>
      </c>
      <c r="N8293">
        <v>-9.4822919999999998E-3</v>
      </c>
      <c r="O8293">
        <v>1.126072E-2</v>
      </c>
      <c r="P8293">
        <v>0.98612509999999998</v>
      </c>
      <c r="Q8293">
        <v>0.14019719999999999</v>
      </c>
      <c r="R8293">
        <v>-8.8895189999999999E-2</v>
      </c>
      <c r="S8293">
        <v>3.006866</v>
      </c>
      <c r="T8293">
        <v>-0.15557029999999999</v>
      </c>
      <c r="U8293">
        <v>-0.6361694</v>
      </c>
      <c r="V8293">
        <v>0.10011539999999999</v>
      </c>
      <c r="W8293">
        <v>0.14945079999999999</v>
      </c>
      <c r="X8293">
        <v>0.9836876</v>
      </c>
      <c r="Y8293">
        <v>0.21765309999999999</v>
      </c>
      <c r="Z8293">
        <v>-7.079793E-3</v>
      </c>
      <c r="AA8293">
        <v>0.97600050000000005</v>
      </c>
      <c r="AB8293">
        <v>18</v>
      </c>
      <c r="AC8293">
        <v>22.538900000000002</v>
      </c>
      <c r="AD8293">
        <v>-1.1708700000000001</v>
      </c>
      <c r="AE8293">
        <v>-4.7887899999999997</v>
      </c>
      <c r="AF8293">
        <v>5.0293157108237603</v>
      </c>
      <c r="AG8293">
        <v>-1.1708700000000001</v>
      </c>
      <c r="AH8293">
        <v>22.4256374840086</v>
      </c>
      <c r="AI8293">
        <v>92.9164562934278</v>
      </c>
      <c r="AJ8293">
        <v>77.359632728244605</v>
      </c>
      <c r="AK8293">
        <v>23.012478563601299</v>
      </c>
      <c r="AL8293">
        <v>81.4048987280689</v>
      </c>
      <c r="AM8293">
        <v>84.188697308433305</v>
      </c>
      <c r="AN8293">
        <v>0.99999996466577901</v>
      </c>
    </row>
    <row r="8294" spans="1:40" x14ac:dyDescent="0.25">
      <c r="A8294" t="str">
        <f>"20190303162115455"</f>
        <v>20190303162115455</v>
      </c>
      <c r="B8294" t="str">
        <f>"1551601275451352"</f>
        <v>1551601275451352</v>
      </c>
      <c r="C8294" t="s">
        <v>40</v>
      </c>
      <c r="D8294">
        <v>4.8671989999999896</v>
      </c>
      <c r="E8294">
        <v>0.54660520000000001</v>
      </c>
      <c r="F8294" t="s">
        <v>44</v>
      </c>
      <c r="G8294">
        <v>-315.33150000000001</v>
      </c>
      <c r="H8294">
        <v>-0.05</v>
      </c>
      <c r="I8294">
        <v>13.02061</v>
      </c>
      <c r="J8294">
        <v>-339.24090000000001</v>
      </c>
      <c r="K8294">
        <v>1.1208670000000001</v>
      </c>
      <c r="L8294">
        <v>18.165040000000001</v>
      </c>
      <c r="M8294">
        <v>0.99989550000000005</v>
      </c>
      <c r="N8294">
        <v>-9.4150380000000006E-3</v>
      </c>
      <c r="O8294">
        <v>1.0978730000000001E-2</v>
      </c>
      <c r="P8294">
        <v>0.98587919999999996</v>
      </c>
      <c r="Q8294">
        <v>0.1412649</v>
      </c>
      <c r="R8294">
        <v>-8.992319E-2</v>
      </c>
      <c r="S8294">
        <v>3.0050050000000001</v>
      </c>
      <c r="T8294">
        <v>-0.14661589999999999</v>
      </c>
      <c r="U8294">
        <v>-0.64410400000000001</v>
      </c>
      <c r="V8294">
        <v>0.1008655</v>
      </c>
      <c r="W8294">
        <v>0.1504479</v>
      </c>
      <c r="X8294">
        <v>0.98345899999999997</v>
      </c>
      <c r="Y8294">
        <v>0.21999750000000001</v>
      </c>
      <c r="Z8294">
        <v>-6.7789410000000001E-3</v>
      </c>
      <c r="AA8294">
        <v>0.97547689999999998</v>
      </c>
      <c r="AB8294">
        <v>19</v>
      </c>
      <c r="AC8294">
        <v>23.909400000000002</v>
      </c>
      <c r="AD8294">
        <v>-1.1708670000000001</v>
      </c>
      <c r="AE8294">
        <v>-5.1444299999999998</v>
      </c>
      <c r="AF8294">
        <v>5.3942624828994399</v>
      </c>
      <c r="AG8294">
        <v>-1.1708670000000001</v>
      </c>
      <c r="AH8294">
        <v>23.796933406742902</v>
      </c>
      <c r="AI8294">
        <v>92.7472340669038</v>
      </c>
      <c r="AJ8294">
        <v>77.228091240049196</v>
      </c>
      <c r="AK8294">
        <v>24.428733836018999</v>
      </c>
      <c r="AL8294">
        <v>81.347116203655006</v>
      </c>
      <c r="AM8294">
        <v>84.144106894531205</v>
      </c>
      <c r="AN8294">
        <v>1.0000000121928201</v>
      </c>
    </row>
    <row r="8295" spans="1:40" x14ac:dyDescent="0.25">
      <c r="A8295" t="str">
        <f>"20190303162115466"</f>
        <v>20190303162115466</v>
      </c>
      <c r="B8295" t="str">
        <f>"1551601275461112"</f>
        <v>1551601275461112</v>
      </c>
      <c r="C8295" t="s">
        <v>40</v>
      </c>
      <c r="D8295">
        <v>4.8900930000000002</v>
      </c>
      <c r="E8295">
        <v>0.54680850000000003</v>
      </c>
      <c r="F8295" t="s">
        <v>44</v>
      </c>
      <c r="G8295">
        <v>-314.17439999999999</v>
      </c>
      <c r="H8295">
        <v>-0.05</v>
      </c>
      <c r="I8295">
        <v>12.74606</v>
      </c>
      <c r="J8295">
        <v>-339.15030000000002</v>
      </c>
      <c r="K8295">
        <v>1.1208640000000001</v>
      </c>
      <c r="L8295">
        <v>18.16574</v>
      </c>
      <c r="M8295">
        <v>0.99989910000000004</v>
      </c>
      <c r="N8295">
        <v>-9.3474969999999998E-3</v>
      </c>
      <c r="O8295">
        <v>1.0689300000000001E-2</v>
      </c>
      <c r="P8295">
        <v>0.98566699999999996</v>
      </c>
      <c r="Q8295">
        <v>0.1418304</v>
      </c>
      <c r="R8295">
        <v>-9.1348449999999998E-2</v>
      </c>
      <c r="S8295">
        <v>3.0038450000000001</v>
      </c>
      <c r="T8295">
        <v>-0.14031080000000001</v>
      </c>
      <c r="U8295">
        <v>-0.6493835</v>
      </c>
      <c r="V8295">
        <v>0.1020051</v>
      </c>
      <c r="W8295">
        <v>0.15094379999999999</v>
      </c>
      <c r="X8295">
        <v>0.98326550000000001</v>
      </c>
      <c r="Y8295">
        <v>0.22145319999999999</v>
      </c>
      <c r="Z8295">
        <v>-6.5526059999999999E-3</v>
      </c>
      <c r="AA8295">
        <v>0.97514900000000004</v>
      </c>
      <c r="AB8295">
        <v>19</v>
      </c>
      <c r="AC8295">
        <v>24.975899999999999</v>
      </c>
      <c r="AD8295">
        <v>-1.1708639999999999</v>
      </c>
      <c r="AE8295">
        <v>-5.4196799999999996</v>
      </c>
      <c r="AF8295">
        <v>5.6744469225554601</v>
      </c>
      <c r="AG8295">
        <v>-1.1708639999999999</v>
      </c>
      <c r="AH8295">
        <v>24.864350531133098</v>
      </c>
      <c r="AI8295">
        <v>92.628586056546496</v>
      </c>
      <c r="AJ8295">
        <v>77.144343950690399</v>
      </c>
      <c r="AK8295">
        <v>25.530495446004501</v>
      </c>
      <c r="AL8295">
        <v>81.3183754021277</v>
      </c>
      <c r="AM8295">
        <v>84.077256245977395</v>
      </c>
      <c r="AN8295">
        <v>1.00000005733734</v>
      </c>
    </row>
    <row r="8296" spans="1:40" x14ac:dyDescent="0.25">
      <c r="A8296" t="str">
        <f>"20190303162115478"</f>
        <v>20190303162115478</v>
      </c>
      <c r="B8296" t="str">
        <f>"1551601275470871"</f>
        <v>1551601275470871</v>
      </c>
      <c r="C8296" t="s">
        <v>40</v>
      </c>
      <c r="D8296">
        <v>4.8722890000000003</v>
      </c>
      <c r="E8296">
        <v>0.54703089999999999</v>
      </c>
      <c r="F8296" t="s">
        <v>44</v>
      </c>
      <c r="G8296">
        <v>-313.40629999999999</v>
      </c>
      <c r="H8296">
        <v>-0.05</v>
      </c>
      <c r="I8296">
        <v>12.55147</v>
      </c>
      <c r="J8296">
        <v>-339.05059999999997</v>
      </c>
      <c r="K8296">
        <v>1.1208629999999999</v>
      </c>
      <c r="L8296">
        <v>18.166409999999999</v>
      </c>
      <c r="M8296">
        <v>0.99990319999999999</v>
      </c>
      <c r="N8296">
        <v>-9.2808119999999994E-3</v>
      </c>
      <c r="O8296">
        <v>1.036801E-2</v>
      </c>
      <c r="P8296">
        <v>0.98543340000000001</v>
      </c>
      <c r="Q8296">
        <v>0.14254240000000001</v>
      </c>
      <c r="R8296">
        <v>-9.2751500000000001E-2</v>
      </c>
      <c r="S8296">
        <v>3.0026250000000001</v>
      </c>
      <c r="T8296">
        <v>-0.13656270000000001</v>
      </c>
      <c r="U8296">
        <v>-0.654815699999999</v>
      </c>
      <c r="V8296">
        <v>0.103089899999999</v>
      </c>
      <c r="W8296">
        <v>0.15158720000000001</v>
      </c>
      <c r="X8296">
        <v>0.98305330000000002</v>
      </c>
      <c r="Y8296">
        <v>0.2229189</v>
      </c>
      <c r="Z8296">
        <v>-6.425928E-3</v>
      </c>
      <c r="AA8296">
        <v>0.97481580000000001</v>
      </c>
      <c r="AB8296">
        <v>19</v>
      </c>
      <c r="AC8296">
        <v>25.644299999999902</v>
      </c>
      <c r="AD8296">
        <v>-1.170863</v>
      </c>
      <c r="AE8296">
        <v>-5.6149399999999901</v>
      </c>
      <c r="AF8296">
        <v>5.8688552469672297</v>
      </c>
      <c r="AG8296">
        <v>-1.170863</v>
      </c>
      <c r="AH8296">
        <v>25.533909438157298</v>
      </c>
      <c r="AI8296">
        <v>92.558842844575295</v>
      </c>
      <c r="AJ8296">
        <v>77.055640944187303</v>
      </c>
      <c r="AK8296">
        <v>26.225844376695299</v>
      </c>
      <c r="AL8296">
        <v>81.281081656665705</v>
      </c>
      <c r="AM8296">
        <v>84.013441536780803</v>
      </c>
      <c r="AN8296">
        <v>0.99999999866336997</v>
      </c>
    </row>
    <row r="8297" spans="1:40" x14ac:dyDescent="0.25">
      <c r="A8297" t="str">
        <f>"20190303162115491"</f>
        <v>20190303162115491</v>
      </c>
      <c r="B8297" t="str">
        <f>"1551601275480632"</f>
        <v>1551601275480632</v>
      </c>
      <c r="C8297" t="s">
        <v>40</v>
      </c>
      <c r="D8297">
        <v>4.9269259999999999</v>
      </c>
      <c r="E8297">
        <v>0.54726549999999996</v>
      </c>
      <c r="F8297" t="s">
        <v>44</v>
      </c>
      <c r="G8297">
        <v>-312.738</v>
      </c>
      <c r="H8297">
        <v>-0.05</v>
      </c>
      <c r="I8297">
        <v>12.37846</v>
      </c>
      <c r="J8297">
        <v>-338.95080000000002</v>
      </c>
      <c r="K8297">
        <v>1.1208629999999999</v>
      </c>
      <c r="L8297">
        <v>18.167079999999999</v>
      </c>
      <c r="M8297">
        <v>0.99990710000000005</v>
      </c>
      <c r="N8297">
        <v>-9.216007E-3</v>
      </c>
      <c r="O8297">
        <v>1.0046309999999999E-2</v>
      </c>
      <c r="P8297">
        <v>0.98522279999999995</v>
      </c>
      <c r="Q8297">
        <v>0.14293040000000001</v>
      </c>
      <c r="R8297">
        <v>-9.4377619999999995E-2</v>
      </c>
      <c r="S8297">
        <v>3.0015559999999999</v>
      </c>
      <c r="T8297">
        <v>-0.13356379999999901</v>
      </c>
      <c r="U8297">
        <v>-0.66024780000000005</v>
      </c>
      <c r="V8297">
        <v>0.10439710000000001</v>
      </c>
      <c r="W8297">
        <v>0.15190870000000001</v>
      </c>
      <c r="X8297">
        <v>0.98286569999999995</v>
      </c>
      <c r="Y8297">
        <v>0.22437029999999999</v>
      </c>
      <c r="Z8297">
        <v>-6.3276670000000004E-3</v>
      </c>
      <c r="AA8297">
        <v>0.9744834</v>
      </c>
      <c r="AB8297">
        <v>19</v>
      </c>
      <c r="AC8297">
        <v>26.212800000000001</v>
      </c>
      <c r="AD8297">
        <v>-1.170863</v>
      </c>
      <c r="AE8297">
        <v>-5.7886199999999901</v>
      </c>
      <c r="AF8297">
        <v>6.0401899598970896</v>
      </c>
      <c r="AG8297">
        <v>-1.170863</v>
      </c>
      <c r="AH8297">
        <v>26.1036601775013</v>
      </c>
      <c r="AI8297">
        <v>92.502217519527406</v>
      </c>
      <c r="AJ8297">
        <v>76.971485299862593</v>
      </c>
      <c r="AK8297">
        <v>26.818946466609699</v>
      </c>
      <c r="AL8297">
        <v>81.262445215171695</v>
      </c>
      <c r="AM8297">
        <v>83.936944105605093</v>
      </c>
      <c r="AN8297">
        <v>0.99999999593029398</v>
      </c>
    </row>
    <row r="8298" spans="1:40" x14ac:dyDescent="0.25">
      <c r="A8298" t="str">
        <f>"20190303162115507"</f>
        <v>20190303162115507</v>
      </c>
      <c r="B8298" t="str">
        <f>"1551601275501128"</f>
        <v>1551601275501128</v>
      </c>
      <c r="C8298" t="s">
        <v>40</v>
      </c>
      <c r="D8298">
        <v>4.9288439999999998</v>
      </c>
      <c r="E8298">
        <v>0.54775010000000002</v>
      </c>
      <c r="F8298" t="s">
        <v>44</v>
      </c>
      <c r="G8298">
        <v>-312.15350000000001</v>
      </c>
      <c r="H8298">
        <v>-0.05</v>
      </c>
      <c r="I8298">
        <v>12.21529</v>
      </c>
      <c r="J8298">
        <v>-338.80869999999999</v>
      </c>
      <c r="K8298">
        <v>1.1208549999999999</v>
      </c>
      <c r="L8298">
        <v>18.167999999999999</v>
      </c>
      <c r="M8298">
        <v>0.99991249999999998</v>
      </c>
      <c r="N8298">
        <v>-9.1260170000000002E-3</v>
      </c>
      <c r="O8298">
        <v>9.5886989999999991E-3</v>
      </c>
      <c r="P8298">
        <v>0.98498410000000003</v>
      </c>
      <c r="Q8298">
        <v>0.1427871</v>
      </c>
      <c r="R8298">
        <v>-9.7048570000000001E-2</v>
      </c>
      <c r="S8298">
        <v>3.0001829999999998</v>
      </c>
      <c r="T8298">
        <v>-0.13108789999999901</v>
      </c>
      <c r="U8298">
        <v>-0.66635129999999998</v>
      </c>
      <c r="V8298">
        <v>0.10661370000000001</v>
      </c>
      <c r="W8298">
        <v>0.1516739</v>
      </c>
      <c r="X8298">
        <v>0.98266399999999998</v>
      </c>
      <c r="Y8298">
        <v>0.22591549999999999</v>
      </c>
      <c r="Z8298">
        <v>-6.2451310000000001E-3</v>
      </c>
      <c r="AA8298">
        <v>0.97412690000000002</v>
      </c>
      <c r="AB8298">
        <v>19</v>
      </c>
      <c r="AC8298">
        <v>26.655199999999901</v>
      </c>
      <c r="AD8298">
        <v>-1.170855</v>
      </c>
      <c r="AE8298">
        <v>-5.9527099999999997</v>
      </c>
      <c r="AF8298">
        <v>6.1966472287282599</v>
      </c>
      <c r="AG8298">
        <v>-1.170855</v>
      </c>
      <c r="AH8298">
        <v>26.5481024485935</v>
      </c>
      <c r="AI8298">
        <v>92.459268942153003</v>
      </c>
      <c r="AJ8298">
        <v>76.861700073260394</v>
      </c>
      <c r="AK8298">
        <v>27.2868298255651</v>
      </c>
      <c r="AL8298">
        <v>81.276055969331097</v>
      </c>
      <c r="AM8298">
        <v>83.807939442683605</v>
      </c>
      <c r="AN8298">
        <v>0.99999999493244995</v>
      </c>
    </row>
    <row r="8299" spans="1:40" x14ac:dyDescent="0.25">
      <c r="A8299" t="str">
        <f>"20190303162115521"</f>
        <v>20190303162115521</v>
      </c>
      <c r="B8299" t="str">
        <f>"1551601275510888"</f>
        <v>1551601275510888</v>
      </c>
      <c r="C8299" t="s">
        <v>40</v>
      </c>
      <c r="D8299">
        <v>4.9378830000000002</v>
      </c>
      <c r="E8299">
        <v>0.54791979999999996</v>
      </c>
      <c r="F8299" t="s">
        <v>44</v>
      </c>
      <c r="G8299">
        <v>-311.85359999999997</v>
      </c>
      <c r="H8299">
        <v>-0.05</v>
      </c>
      <c r="I8299">
        <v>12.08151</v>
      </c>
      <c r="J8299">
        <v>-338.69029999999998</v>
      </c>
      <c r="K8299">
        <v>1.1208499999999999</v>
      </c>
      <c r="L8299">
        <v>18.168669999999999</v>
      </c>
      <c r="M8299">
        <v>0.99991669999999999</v>
      </c>
      <c r="N8299">
        <v>-9.0473959999999992E-3</v>
      </c>
      <c r="O8299">
        <v>9.2100649999999999E-3</v>
      </c>
      <c r="P8299">
        <v>0.98490480000000002</v>
      </c>
      <c r="Q8299">
        <v>0.1424088</v>
      </c>
      <c r="R8299">
        <v>-9.8400119999999994E-2</v>
      </c>
      <c r="S8299">
        <v>2.9979550000000001</v>
      </c>
      <c r="T8299">
        <v>-0.1302229</v>
      </c>
      <c r="U8299">
        <v>-0.67694089999999996</v>
      </c>
      <c r="V8299">
        <v>0.10759000000000001</v>
      </c>
      <c r="W8299">
        <v>0.15121809999999999</v>
      </c>
      <c r="X8299">
        <v>0.98262780000000005</v>
      </c>
      <c r="Y8299">
        <v>0.22897529999999999</v>
      </c>
      <c r="Z8299">
        <v>-6.2710169999999898E-3</v>
      </c>
      <c r="AA8299">
        <v>0.97341200000000005</v>
      </c>
      <c r="AB8299">
        <v>19</v>
      </c>
      <c r="AC8299">
        <v>26.8367</v>
      </c>
      <c r="AD8299">
        <v>-1.1708499999999999</v>
      </c>
      <c r="AE8299">
        <v>-6.0871599999999999</v>
      </c>
      <c r="AF8299">
        <v>6.3226336410977098</v>
      </c>
      <c r="AG8299">
        <v>-1.1708499999999999</v>
      </c>
      <c r="AH8299">
        <v>26.731104269842302</v>
      </c>
      <c r="AI8299">
        <v>92.440751158715003</v>
      </c>
      <c r="AJ8299">
        <v>76.692553548618605</v>
      </c>
      <c r="AK8299">
        <v>27.493608736708602</v>
      </c>
      <c r="AL8299">
        <v>81.302475801266297</v>
      </c>
      <c r="AM8299">
        <v>83.751454639837903</v>
      </c>
      <c r="AN8299">
        <v>0.99999995760022398</v>
      </c>
    </row>
    <row r="8300" spans="1:40" x14ac:dyDescent="0.25">
      <c r="A8300" t="str">
        <f>"20190303162115536"</f>
        <v>20190303162115536</v>
      </c>
      <c r="B8300" t="str">
        <f>"1551601275530408"</f>
        <v>1551601275530408</v>
      </c>
      <c r="C8300" t="s">
        <v>40</v>
      </c>
      <c r="D8300">
        <v>4.9118259999999996</v>
      </c>
      <c r="E8300">
        <v>0.54821799999999998</v>
      </c>
      <c r="F8300" t="s">
        <v>44</v>
      </c>
      <c r="G8300">
        <v>-311.75299999999999</v>
      </c>
      <c r="H8300">
        <v>-0.05</v>
      </c>
      <c r="I8300">
        <v>12.03613</v>
      </c>
      <c r="J8300">
        <v>-338.57499999999999</v>
      </c>
      <c r="K8300">
        <v>1.120841</v>
      </c>
      <c r="L8300">
        <v>18.169309999999999</v>
      </c>
      <c r="M8300">
        <v>0.9999207</v>
      </c>
      <c r="N8300">
        <v>-8.9633719999999903E-3</v>
      </c>
      <c r="O8300">
        <v>8.8450419999999991E-3</v>
      </c>
      <c r="P8300">
        <v>0.98485540000000005</v>
      </c>
      <c r="Q8300">
        <v>0.14199879999999901</v>
      </c>
      <c r="R8300">
        <v>-9.9481249999999993E-2</v>
      </c>
      <c r="S8300">
        <v>2.9966740000000001</v>
      </c>
      <c r="T8300">
        <v>-0.13025239999999999</v>
      </c>
      <c r="U8300">
        <v>-0.68222050000000001</v>
      </c>
      <c r="V8300">
        <v>0.1083094</v>
      </c>
      <c r="W8300">
        <v>0.150726</v>
      </c>
      <c r="X8300">
        <v>0.98262439999999995</v>
      </c>
      <c r="Y8300">
        <v>0.23033919999999999</v>
      </c>
      <c r="Z8300">
        <v>-6.2876579999999998E-3</v>
      </c>
      <c r="AA8300">
        <v>0.97309009999999996</v>
      </c>
      <c r="AB8300">
        <v>19</v>
      </c>
      <c r="AC8300">
        <v>26.821999999999999</v>
      </c>
      <c r="AD8300">
        <v>-1.170841</v>
      </c>
      <c r="AE8300">
        <v>-6.1331799999999896</v>
      </c>
      <c r="AF8300">
        <v>6.3586767791325496</v>
      </c>
      <c r="AG8300">
        <v>-1.170841</v>
      </c>
      <c r="AH8300">
        <v>26.7183177344351</v>
      </c>
      <c r="AI8300">
        <v>92.441098170006697</v>
      </c>
      <c r="AJ8300">
        <v>76.613240377287596</v>
      </c>
      <c r="AK8300">
        <v>27.4894914755982</v>
      </c>
      <c r="AL8300">
        <v>81.330998192283701</v>
      </c>
      <c r="AM8300">
        <v>83.709985968568006</v>
      </c>
      <c r="AN8300">
        <v>0.99999998233985898</v>
      </c>
    </row>
    <row r="8301" spans="1:40" x14ac:dyDescent="0.25">
      <c r="A8301" t="str">
        <f>"20190303162115547"</f>
        <v>20190303162115547</v>
      </c>
      <c r="B8301" t="str">
        <f>"1551601275541144"</f>
        <v>1551601275541144</v>
      </c>
      <c r="C8301" t="s">
        <v>40</v>
      </c>
      <c r="D8301">
        <v>4.9034769999999996</v>
      </c>
      <c r="E8301">
        <v>0.54835649999999903</v>
      </c>
      <c r="F8301" t="s">
        <v>44</v>
      </c>
      <c r="G8301">
        <v>-311.88310000000001</v>
      </c>
      <c r="H8301">
        <v>-0.05</v>
      </c>
      <c r="I8301">
        <v>12.041259999999999</v>
      </c>
      <c r="J8301">
        <v>-338.46629999999999</v>
      </c>
      <c r="K8301">
        <v>1.1208309999999999</v>
      </c>
      <c r="L8301">
        <v>18.169889999999999</v>
      </c>
      <c r="M8301">
        <v>0.99992449999999999</v>
      </c>
      <c r="N8301">
        <v>-8.8785779999999998E-3</v>
      </c>
      <c r="O8301">
        <v>8.5030790000000002E-3</v>
      </c>
      <c r="P8301">
        <v>0.98477170000000003</v>
      </c>
      <c r="Q8301">
        <v>0.14176929999999999</v>
      </c>
      <c r="R8301">
        <v>-0.10062889999999999</v>
      </c>
      <c r="S8301">
        <v>2.9956049999999999</v>
      </c>
      <c r="T8301">
        <v>-0.1314024</v>
      </c>
      <c r="U8301">
        <v>-0.68774409999999997</v>
      </c>
      <c r="V8301">
        <v>0.1091183</v>
      </c>
      <c r="W8301">
        <v>0.15041299999999999</v>
      </c>
      <c r="X8301">
        <v>0.98258290000000004</v>
      </c>
      <c r="Y8301">
        <v>0.23178119999999999</v>
      </c>
      <c r="Z8301">
        <v>-6.3523260000000002E-3</v>
      </c>
      <c r="AA8301">
        <v>0.97274720000000003</v>
      </c>
      <c r="AB8301">
        <v>19</v>
      </c>
      <c r="AC8301">
        <v>26.583199999999898</v>
      </c>
      <c r="AD8301">
        <v>-1.170831</v>
      </c>
      <c r="AE8301">
        <v>-6.1286299999999896</v>
      </c>
      <c r="AF8301">
        <v>6.3427731494691599</v>
      </c>
      <c r="AG8301">
        <v>-1.170831</v>
      </c>
      <c r="AH8301">
        <v>26.481346696260399</v>
      </c>
      <c r="AI8301">
        <v>92.462045323721398</v>
      </c>
      <c r="AJ8301">
        <v>76.530353512360804</v>
      </c>
      <c r="AK8301">
        <v>27.255519428250299</v>
      </c>
      <c r="AL8301">
        <v>81.3491388643438</v>
      </c>
      <c r="AM8301">
        <v>83.663124771557804</v>
      </c>
      <c r="AN8301">
        <v>1.00000001466815</v>
      </c>
    </row>
    <row r="8302" spans="1:40" x14ac:dyDescent="0.25">
      <c r="A8302" t="str">
        <f>"20190303162115562"</f>
        <v>20190303162115562</v>
      </c>
      <c r="B8302" t="str">
        <f>"1551601275550903"</f>
        <v>1551601275550903</v>
      </c>
      <c r="C8302" t="s">
        <v>40</v>
      </c>
      <c r="D8302">
        <v>4.8727340000000003</v>
      </c>
      <c r="E8302">
        <v>0.54846090000000003</v>
      </c>
      <c r="F8302" t="s">
        <v>44</v>
      </c>
      <c r="G8302">
        <v>-311.94069999999999</v>
      </c>
      <c r="H8302">
        <v>-0.05</v>
      </c>
      <c r="I8302">
        <v>12.04073</v>
      </c>
      <c r="J8302">
        <v>-338.34480000000002</v>
      </c>
      <c r="K8302">
        <v>1.120817</v>
      </c>
      <c r="L8302">
        <v>18.170500000000001</v>
      </c>
      <c r="M8302">
        <v>0.9999287</v>
      </c>
      <c r="N8302">
        <v>-8.7730489999999998E-3</v>
      </c>
      <c r="O8302">
        <v>8.1257440000000007E-3</v>
      </c>
      <c r="P8302">
        <v>0.98455380000000003</v>
      </c>
      <c r="Q8302">
        <v>0.1420902</v>
      </c>
      <c r="R8302">
        <v>-0.1022959</v>
      </c>
      <c r="S8302">
        <v>2.9947509999999999</v>
      </c>
      <c r="T8302">
        <v>-0.13218740000000001</v>
      </c>
      <c r="U8302">
        <v>-0.69198609999999905</v>
      </c>
      <c r="V8302">
        <v>0.1104112</v>
      </c>
      <c r="W8302">
        <v>0.15062799999999901</v>
      </c>
      <c r="X8302">
        <v>0.98240550000000004</v>
      </c>
      <c r="Y8302">
        <v>0.2327796</v>
      </c>
      <c r="Z8302">
        <v>-6.3867949999999998E-3</v>
      </c>
      <c r="AA8302">
        <v>0.9725085</v>
      </c>
      <c r="AB8302">
        <v>19</v>
      </c>
      <c r="AC8302">
        <v>26.4041</v>
      </c>
      <c r="AD8302">
        <v>-1.170817</v>
      </c>
      <c r="AE8302">
        <v>-6.1297699999999997</v>
      </c>
      <c r="AF8302">
        <v>6.3323146866489299</v>
      </c>
      <c r="AG8302">
        <v>-1.170817</v>
      </c>
      <c r="AH8302">
        <v>26.3043417774415</v>
      </c>
      <c r="AI8302">
        <v>92.477880232826607</v>
      </c>
      <c r="AJ8302">
        <v>76.464580188029203</v>
      </c>
      <c r="AK8302">
        <v>27.0811266029073</v>
      </c>
      <c r="AL8302">
        <v>81.336678152706895</v>
      </c>
      <c r="AM8302">
        <v>83.587515103207394</v>
      </c>
      <c r="AN8302">
        <v>0.99999999694984498</v>
      </c>
    </row>
    <row r="8303" spans="1:40" x14ac:dyDescent="0.25">
      <c r="A8303" t="str">
        <f>"20190303162115574"</f>
        <v>20190303162115574</v>
      </c>
      <c r="B8303" t="str">
        <f>"1551601275560664"</f>
        <v>1551601275560664</v>
      </c>
      <c r="C8303" t="s">
        <v>40</v>
      </c>
      <c r="D8303">
        <v>4.9061669999999999</v>
      </c>
      <c r="E8303">
        <v>0.54856000000000005</v>
      </c>
      <c r="F8303" t="s">
        <v>44</v>
      </c>
      <c r="G8303">
        <v>-311.73009999999999</v>
      </c>
      <c r="H8303">
        <v>-0.05</v>
      </c>
      <c r="I8303">
        <v>11.970610000000001</v>
      </c>
      <c r="J8303">
        <v>-338.24970000000002</v>
      </c>
      <c r="K8303">
        <v>1.120798</v>
      </c>
      <c r="L8303">
        <v>18.1709</v>
      </c>
      <c r="M8303">
        <v>0.99993160000000003</v>
      </c>
      <c r="N8303">
        <v>-8.6814309999999999E-3</v>
      </c>
      <c r="O8303">
        <v>7.8338499999999998E-3</v>
      </c>
      <c r="P8303">
        <v>0.9844157</v>
      </c>
      <c r="Q8303">
        <v>0.14229829999999999</v>
      </c>
      <c r="R8303">
        <v>-0.1033297</v>
      </c>
      <c r="S8303">
        <v>2.9935909999999999</v>
      </c>
      <c r="T8303">
        <v>-0.13169220000000001</v>
      </c>
      <c r="U8303">
        <v>-0.69735719999999901</v>
      </c>
      <c r="V8303">
        <v>0.111156</v>
      </c>
      <c r="W8303">
        <v>0.15074589999999999</v>
      </c>
      <c r="X8303">
        <v>0.98230340000000005</v>
      </c>
      <c r="Y8303">
        <v>0.23423459999999999</v>
      </c>
      <c r="Z8303">
        <v>-6.3854000000000003E-3</v>
      </c>
      <c r="AA8303">
        <v>0.97215910000000005</v>
      </c>
      <c r="AB8303">
        <v>19</v>
      </c>
      <c r="AC8303">
        <v>26.519600000000001</v>
      </c>
      <c r="AD8303">
        <v>-1.170798</v>
      </c>
      <c r="AE8303">
        <v>-6.2002899999999901</v>
      </c>
      <c r="AF8303">
        <v>6.3960378603829904</v>
      </c>
      <c r="AG8303">
        <v>-1.170798</v>
      </c>
      <c r="AH8303">
        <v>26.421383860938299</v>
      </c>
      <c r="AI8303">
        <v>92.466121229013496</v>
      </c>
      <c r="AJ8303">
        <v>76.391739388676299</v>
      </c>
      <c r="AK8303">
        <v>27.2097334311696</v>
      </c>
      <c r="AL8303">
        <v>81.3298447741372</v>
      </c>
      <c r="AM8303">
        <v>83.543957079958403</v>
      </c>
      <c r="AN8303">
        <v>0.99999997617718395</v>
      </c>
    </row>
    <row r="8304" spans="1:40" x14ac:dyDescent="0.25">
      <c r="A8304" t="str">
        <f>"20190303162115586"</f>
        <v>20190303162115586</v>
      </c>
      <c r="B8304" t="str">
        <f>"1551601275581161"</f>
        <v>1551601275581161</v>
      </c>
      <c r="C8304" t="s">
        <v>40</v>
      </c>
      <c r="D8304">
        <v>4.8834790000000003</v>
      </c>
      <c r="E8304">
        <v>0.54875799999999997</v>
      </c>
      <c r="F8304" t="s">
        <v>44</v>
      </c>
      <c r="G8304">
        <v>-311.69409999999999</v>
      </c>
      <c r="H8304">
        <v>-0.05</v>
      </c>
      <c r="I8304">
        <v>11.951219999999999</v>
      </c>
      <c r="J8304">
        <v>-338.14609999999999</v>
      </c>
      <c r="K8304">
        <v>1.1207800000000001</v>
      </c>
      <c r="L8304">
        <v>18.171389999999999</v>
      </c>
      <c r="M8304">
        <v>0.99993500000000002</v>
      </c>
      <c r="N8304">
        <v>-8.5782710000000002E-3</v>
      </c>
      <c r="O8304">
        <v>7.5173280000000002E-3</v>
      </c>
      <c r="P8304">
        <v>0.98437810000000003</v>
      </c>
      <c r="Q8304">
        <v>0.14198629999999901</v>
      </c>
      <c r="R8304">
        <v>-0.1041147</v>
      </c>
      <c r="S8304">
        <v>2.99295</v>
      </c>
      <c r="T8304">
        <v>-0.13195479999999901</v>
      </c>
      <c r="U8304">
        <v>-0.70098879999999997</v>
      </c>
      <c r="V8304">
        <v>0.1116282</v>
      </c>
      <c r="W8304">
        <v>0.15033239999999901</v>
      </c>
      <c r="X8304">
        <v>0.9823132</v>
      </c>
      <c r="Y8304">
        <v>0.2350901</v>
      </c>
      <c r="Z8304">
        <v>-6.3965230000000003E-3</v>
      </c>
      <c r="AA8304">
        <v>0.97195260000000006</v>
      </c>
      <c r="AB8304">
        <v>19</v>
      </c>
      <c r="AC8304">
        <v>26.452000000000002</v>
      </c>
      <c r="AD8304">
        <v>-1.1707799999999999</v>
      </c>
      <c r="AE8304">
        <v>-6.2201700000000004</v>
      </c>
      <c r="AF8304">
        <v>6.4069563537637899</v>
      </c>
      <c r="AG8304">
        <v>-1.1707799999999999</v>
      </c>
      <c r="AH8304">
        <v>26.355566627914602</v>
      </c>
      <c r="AI8304">
        <v>92.471657956843003</v>
      </c>
      <c r="AJ8304">
        <v>76.336609981460199</v>
      </c>
      <c r="AK8304">
        <v>27.1484015699982</v>
      </c>
      <c r="AL8304">
        <v>81.353809491277403</v>
      </c>
      <c r="AM8304">
        <v>83.516828414641296</v>
      </c>
      <c r="AN8304">
        <v>0.99999995420961896</v>
      </c>
    </row>
    <row r="8305" spans="1:40" x14ac:dyDescent="0.25">
      <c r="A8305" t="str">
        <f>"20190303162115596"</f>
        <v>20190303162115596</v>
      </c>
      <c r="B8305" t="str">
        <f>"1551601275590920"</f>
        <v>1551601275590920</v>
      </c>
      <c r="C8305" t="s">
        <v>40</v>
      </c>
      <c r="D8305">
        <v>4.8502419999999997</v>
      </c>
      <c r="E8305">
        <v>0.54887609999999998</v>
      </c>
      <c r="F8305" t="s">
        <v>44</v>
      </c>
      <c r="G8305">
        <v>-312.04590000000002</v>
      </c>
      <c r="H8305">
        <v>-0.05</v>
      </c>
      <c r="I8305">
        <v>12.02425</v>
      </c>
      <c r="J8305">
        <v>-338.05040000000002</v>
      </c>
      <c r="K8305">
        <v>1.1207609999999999</v>
      </c>
      <c r="L8305">
        <v>18.171779999999998</v>
      </c>
      <c r="M8305">
        <v>0.99993810000000005</v>
      </c>
      <c r="N8305">
        <v>-8.4754819999999995E-3</v>
      </c>
      <c r="O8305">
        <v>7.2280859999999999E-3</v>
      </c>
      <c r="P8305">
        <v>0.98441109999999998</v>
      </c>
      <c r="Q8305">
        <v>0.1411142</v>
      </c>
      <c r="R8305">
        <v>-0.10498440000000001</v>
      </c>
      <c r="S8305">
        <v>2.9924010000000001</v>
      </c>
      <c r="T8305">
        <v>-0.13423070000000001</v>
      </c>
      <c r="U8305">
        <v>-0.70477290000000004</v>
      </c>
      <c r="V8305">
        <v>0.1122127</v>
      </c>
      <c r="W8305">
        <v>0.14935889999999999</v>
      </c>
      <c r="X8305">
        <v>0.98239520000000002</v>
      </c>
      <c r="Y8305">
        <v>0.2360044</v>
      </c>
      <c r="Z8305">
        <v>-6.4928729999999997E-3</v>
      </c>
      <c r="AA8305">
        <v>0.97173030000000005</v>
      </c>
      <c r="AB8305">
        <v>19</v>
      </c>
      <c r="AC8305">
        <v>26.0045</v>
      </c>
      <c r="AD8305">
        <v>-1.1707609999999999</v>
      </c>
      <c r="AE8305">
        <v>-6.1475299999999899</v>
      </c>
      <c r="AF8305">
        <v>6.3232005430275802</v>
      </c>
      <c r="AG8305">
        <v>-1.1707609999999999</v>
      </c>
      <c r="AH8305">
        <v>25.909646681122702</v>
      </c>
      <c r="AI8305">
        <v>92.513552632861405</v>
      </c>
      <c r="AJ8305">
        <v>76.2851610594862</v>
      </c>
      <c r="AK8305">
        <v>26.695755047705202</v>
      </c>
      <c r="AL8305">
        <v>81.410224719147095</v>
      </c>
      <c r="AM8305">
        <v>83.483712217517393</v>
      </c>
      <c r="AN8305">
        <v>1.0000000500167601</v>
      </c>
    </row>
    <row r="8306" spans="1:40" x14ac:dyDescent="0.25">
      <c r="A8306" t="str">
        <f>"20190303162115607"</f>
        <v>20190303162115607</v>
      </c>
      <c r="B8306" t="str">
        <f>"1551601275600681"</f>
        <v>1551601275600681</v>
      </c>
      <c r="C8306" t="s">
        <v>40</v>
      </c>
      <c r="D8306">
        <v>4.8451620000000002</v>
      </c>
      <c r="E8306">
        <v>0.54899699999999996</v>
      </c>
      <c r="F8306" t="s">
        <v>44</v>
      </c>
      <c r="G8306">
        <v>-312.36860000000001</v>
      </c>
      <c r="H8306">
        <v>-0.05</v>
      </c>
      <c r="I8306">
        <v>12.09023</v>
      </c>
      <c r="J8306">
        <v>-337.96159999999998</v>
      </c>
      <c r="K8306">
        <v>1.1207389999999999</v>
      </c>
      <c r="L8306">
        <v>18.172090000000001</v>
      </c>
      <c r="M8306">
        <v>0.99994079999999996</v>
      </c>
      <c r="N8306">
        <v>-8.3796679999999998E-3</v>
      </c>
      <c r="O8306">
        <v>6.9607979999999998E-3</v>
      </c>
      <c r="P8306">
        <v>0.98446239999999996</v>
      </c>
      <c r="Q8306">
        <v>0.14021439999999999</v>
      </c>
      <c r="R8306">
        <v>-0.1057072</v>
      </c>
      <c r="S8306">
        <v>2.9915159999999998</v>
      </c>
      <c r="T8306">
        <v>-0.13637479999999999</v>
      </c>
      <c r="U8306">
        <v>-0.70840449999999999</v>
      </c>
      <c r="V8306">
        <v>0.1126717</v>
      </c>
      <c r="W8306">
        <v>0.14836579999999999</v>
      </c>
      <c r="X8306">
        <v>0.98249310000000001</v>
      </c>
      <c r="Y8306">
        <v>0.2369175</v>
      </c>
      <c r="Z8306">
        <v>-6.5860780000000004E-3</v>
      </c>
      <c r="AA8306">
        <v>0.97150740000000002</v>
      </c>
      <c r="AB8306">
        <v>19</v>
      </c>
      <c r="AC8306">
        <v>25.5929999999999</v>
      </c>
      <c r="AD8306">
        <v>-1.170739</v>
      </c>
      <c r="AE8306">
        <v>-6.0818599999999998</v>
      </c>
      <c r="AF8306">
        <v>6.24749213755595</v>
      </c>
      <c r="AG8306">
        <v>-1.170739</v>
      </c>
      <c r="AH8306">
        <v>25.499536768834201</v>
      </c>
      <c r="AI8306">
        <v>92.553314619173804</v>
      </c>
      <c r="AJ8306">
        <v>76.233475412636494</v>
      </c>
      <c r="AK8306">
        <v>26.2798052359616</v>
      </c>
      <c r="AL8306">
        <v>81.467765920604705</v>
      </c>
      <c r="AM8306">
        <v>83.457934631728094</v>
      </c>
      <c r="AN8306">
        <v>1.00000000706907</v>
      </c>
    </row>
    <row r="8307" spans="1:40" x14ac:dyDescent="0.25">
      <c r="A8307" t="str">
        <f>"20190303162115618"</f>
        <v>20190303162115618</v>
      </c>
      <c r="B8307" t="str">
        <f>"1551601275610440"</f>
        <v>1551601275610440</v>
      </c>
      <c r="C8307" t="s">
        <v>40</v>
      </c>
      <c r="D8307">
        <v>4.8878659999999998</v>
      </c>
      <c r="E8307">
        <v>0.54897299999999905</v>
      </c>
      <c r="F8307" t="s">
        <v>44</v>
      </c>
      <c r="G8307">
        <v>-312.65519999999998</v>
      </c>
      <c r="H8307">
        <v>-0.05</v>
      </c>
      <c r="I8307">
        <v>12.15436</v>
      </c>
      <c r="J8307">
        <v>-337.87</v>
      </c>
      <c r="K8307">
        <v>1.120719</v>
      </c>
      <c r="L8307">
        <v>18.172419999999999</v>
      </c>
      <c r="M8307">
        <v>0.99994329999999998</v>
      </c>
      <c r="N8307">
        <v>-8.2790339999999994E-3</v>
      </c>
      <c r="O8307">
        <v>6.6863679999999998E-3</v>
      </c>
      <c r="P8307">
        <v>0.98454249999999999</v>
      </c>
      <c r="Q8307">
        <v>0.1389339</v>
      </c>
      <c r="R8307">
        <v>-0.106646699999999</v>
      </c>
      <c r="S8307">
        <v>2.9907530000000002</v>
      </c>
      <c r="T8307">
        <v>-0.1383597</v>
      </c>
      <c r="U8307">
        <v>-0.71118159999999997</v>
      </c>
      <c r="V8307">
        <v>0.1133407</v>
      </c>
      <c r="W8307">
        <v>0.14698729999999999</v>
      </c>
      <c r="X8307">
        <v>0.98262329999999998</v>
      </c>
      <c r="Y8307">
        <v>0.2375526</v>
      </c>
      <c r="Z8307">
        <v>-6.6644470000000004E-3</v>
      </c>
      <c r="AA8307">
        <v>0.97135179999999999</v>
      </c>
      <c r="AB8307">
        <v>19</v>
      </c>
      <c r="AC8307">
        <v>25.2148</v>
      </c>
      <c r="AD8307">
        <v>-1.1707190000000001</v>
      </c>
      <c r="AE8307">
        <v>-6.0180600000000002</v>
      </c>
      <c r="AF8307">
        <v>6.1739346473626799</v>
      </c>
      <c r="AG8307">
        <v>-1.1707190000000001</v>
      </c>
      <c r="AH8307">
        <v>25.122756886601501</v>
      </c>
      <c r="AI8307">
        <v>92.591064941860793</v>
      </c>
      <c r="AJ8307">
        <v>76.193130967625194</v>
      </c>
      <c r="AK8307">
        <v>25.8967365818581</v>
      </c>
      <c r="AL8307">
        <v>81.547623386466199</v>
      </c>
      <c r="AM8307">
        <v>83.420294437444596</v>
      </c>
      <c r="AN8307">
        <v>0.99999996517033396</v>
      </c>
    </row>
    <row r="8308" spans="1:40" x14ac:dyDescent="0.25">
      <c r="A8308" t="str">
        <f>"20190303162115629"</f>
        <v>20190303162115629</v>
      </c>
      <c r="B8308" t="str">
        <f>"1551601275621176"</f>
        <v>1551601275621176</v>
      </c>
      <c r="C8308" t="s">
        <v>40</v>
      </c>
      <c r="D8308">
        <v>4.8901250000000003</v>
      </c>
      <c r="E8308">
        <v>0.54898169999999902</v>
      </c>
      <c r="F8308" t="s">
        <v>44</v>
      </c>
      <c r="G8308">
        <v>-313.37459999999999</v>
      </c>
      <c r="H8308">
        <v>-0.05</v>
      </c>
      <c r="I8308">
        <v>12.325810000000001</v>
      </c>
      <c r="J8308">
        <v>-337.77269999999999</v>
      </c>
      <c r="K8308">
        <v>1.120698</v>
      </c>
      <c r="L8308">
        <v>18.172730000000001</v>
      </c>
      <c r="M8308">
        <v>0.99994620000000001</v>
      </c>
      <c r="N8308">
        <v>-8.1731489999999993E-3</v>
      </c>
      <c r="O8308">
        <v>6.3953259999999998E-3</v>
      </c>
      <c r="P8308">
        <v>0.98458860000000004</v>
      </c>
      <c r="Q8308">
        <v>0.13796269999999999</v>
      </c>
      <c r="R8308">
        <v>-0.1074808</v>
      </c>
      <c r="S8308">
        <v>2.98996</v>
      </c>
      <c r="T8308">
        <v>-0.14290069999999999</v>
      </c>
      <c r="U8308">
        <v>-0.7136536</v>
      </c>
      <c r="V8308">
        <v>0.11388769999999999</v>
      </c>
      <c r="W8308">
        <v>0.14591179999999901</v>
      </c>
      <c r="X8308">
        <v>0.98272040000000005</v>
      </c>
      <c r="Y8308">
        <v>0.2380699</v>
      </c>
      <c r="Z8308">
        <v>-6.8440330000000002E-3</v>
      </c>
      <c r="AA8308">
        <v>0.97122390000000003</v>
      </c>
      <c r="AB8308">
        <v>19</v>
      </c>
      <c r="AC8308">
        <v>24.398099999999999</v>
      </c>
      <c r="AD8308">
        <v>-1.170698</v>
      </c>
      <c r="AE8308">
        <v>-5.8469199999999901</v>
      </c>
      <c r="AF8308">
        <v>5.9897976116751304</v>
      </c>
      <c r="AG8308">
        <v>-1.170698</v>
      </c>
      <c r="AH8308">
        <v>24.307281634964099</v>
      </c>
      <c r="AI8308">
        <v>92.677403922583395</v>
      </c>
      <c r="AJ8308">
        <v>76.156977693122101</v>
      </c>
      <c r="AK8308">
        <v>25.061766691865401</v>
      </c>
      <c r="AL8308">
        <v>81.6099171292704</v>
      </c>
      <c r="AM8308">
        <v>83.389467639552294</v>
      </c>
      <c r="AN8308">
        <v>1.0000000230833399</v>
      </c>
    </row>
    <row r="8309" spans="1:40" x14ac:dyDescent="0.25">
      <c r="A8309" t="str">
        <f>"20190303162115639"</f>
        <v>20190303162115639</v>
      </c>
      <c r="B8309" t="str">
        <f>"1551601275630936"</f>
        <v>1551601275630936</v>
      </c>
      <c r="C8309" t="s">
        <v>40</v>
      </c>
      <c r="D8309">
        <v>4.8893440000000004</v>
      </c>
      <c r="E8309">
        <v>0.54896880000000003</v>
      </c>
      <c r="F8309" t="s">
        <v>44</v>
      </c>
      <c r="G8309">
        <v>-313.88659999999999</v>
      </c>
      <c r="H8309">
        <v>-0.05</v>
      </c>
      <c r="I8309">
        <v>12.451280000000001</v>
      </c>
      <c r="J8309">
        <v>-337.68119999999999</v>
      </c>
      <c r="K8309">
        <v>1.120679</v>
      </c>
      <c r="L8309">
        <v>18.173030000000001</v>
      </c>
      <c r="M8309">
        <v>0.99994859999999997</v>
      </c>
      <c r="N8309">
        <v>-8.0747730000000004E-3</v>
      </c>
      <c r="O8309">
        <v>6.1224809999999999E-3</v>
      </c>
      <c r="P8309">
        <v>0.98457649999999997</v>
      </c>
      <c r="Q8309">
        <v>0.1374581</v>
      </c>
      <c r="R8309">
        <v>-0.108234999999999</v>
      </c>
      <c r="S8309">
        <v>2.9893190000000001</v>
      </c>
      <c r="T8309">
        <v>-0.1465118</v>
      </c>
      <c r="U8309">
        <v>-0.7160339</v>
      </c>
      <c r="V8309">
        <v>0.11437310000000001</v>
      </c>
      <c r="W8309">
        <v>0.14531040000000001</v>
      </c>
      <c r="X8309">
        <v>0.98275310000000005</v>
      </c>
      <c r="Y8309">
        <v>0.2385689</v>
      </c>
      <c r="Z8309">
        <v>-6.9858289999999998E-3</v>
      </c>
      <c r="AA8309">
        <v>0.97110039999999997</v>
      </c>
      <c r="AB8309">
        <v>19</v>
      </c>
      <c r="AC8309">
        <v>23.794599999999999</v>
      </c>
      <c r="AD8309">
        <v>-1.170679</v>
      </c>
      <c r="AE8309">
        <v>-5.7217499999999903</v>
      </c>
      <c r="AF8309">
        <v>5.85393415964319</v>
      </c>
      <c r="AG8309">
        <v>-1.170679</v>
      </c>
      <c r="AH8309">
        <v>23.704878568132301</v>
      </c>
      <c r="AI8309">
        <v>92.744958217101697</v>
      </c>
      <c r="AJ8309">
        <v>76.128313989382704</v>
      </c>
      <c r="AK8309">
        <v>24.4450465820047</v>
      </c>
      <c r="AL8309">
        <v>81.644745716393501</v>
      </c>
      <c r="AM8309">
        <v>83.361762796465399</v>
      </c>
      <c r="AN8309">
        <v>0.99999998695569003</v>
      </c>
    </row>
    <row r="8310" spans="1:40" x14ac:dyDescent="0.25">
      <c r="A8310" t="str">
        <f>"20190303162115651"</f>
        <v>20190303162115651</v>
      </c>
      <c r="B8310" t="str">
        <f>"1551601275641672"</f>
        <v>1551601275641672</v>
      </c>
      <c r="C8310" t="s">
        <v>40</v>
      </c>
      <c r="D8310">
        <v>4.8582650000000003</v>
      </c>
      <c r="E8310">
        <v>0.54895479999999997</v>
      </c>
      <c r="F8310" t="s">
        <v>44</v>
      </c>
      <c r="G8310">
        <v>-314.13249999999999</v>
      </c>
      <c r="H8310">
        <v>-0.05</v>
      </c>
      <c r="I8310">
        <v>12.51329</v>
      </c>
      <c r="J8310">
        <v>-337.58499999999998</v>
      </c>
      <c r="K8310">
        <v>1.120662</v>
      </c>
      <c r="L8310">
        <v>18.173279999999998</v>
      </c>
      <c r="M8310">
        <v>0.99995120000000004</v>
      </c>
      <c r="N8310">
        <v>-7.9744469999999904E-3</v>
      </c>
      <c r="O8310">
        <v>5.8363449999999997E-3</v>
      </c>
      <c r="P8310">
        <v>0.98458230000000002</v>
      </c>
      <c r="Q8310">
        <v>0.13696620000000001</v>
      </c>
      <c r="R8310">
        <v>-0.10880380000000001</v>
      </c>
      <c r="S8310">
        <v>2.9887389999999998</v>
      </c>
      <c r="T8310">
        <v>-0.14857999999999999</v>
      </c>
      <c r="U8310">
        <v>-0.71832280000000004</v>
      </c>
      <c r="V8310">
        <v>0.1146601</v>
      </c>
      <c r="W8310">
        <v>0.14471970000000001</v>
      </c>
      <c r="X8310">
        <v>0.98280690000000004</v>
      </c>
      <c r="Y8310">
        <v>0.2390285</v>
      </c>
      <c r="Z8310">
        <v>-7.0617639999999999E-3</v>
      </c>
      <c r="AA8310">
        <v>0.97098689999999999</v>
      </c>
      <c r="AB8310">
        <v>19</v>
      </c>
      <c r="AC8310">
        <v>23.452499999999901</v>
      </c>
      <c r="AD8310">
        <v>-1.1706620000000001</v>
      </c>
      <c r="AE8310">
        <v>-5.6599899999999899</v>
      </c>
      <c r="AF8310">
        <v>5.7831583738402896</v>
      </c>
      <c r="AG8310">
        <v>-1.1706620000000001</v>
      </c>
      <c r="AH8310">
        <v>23.3640551512343</v>
      </c>
      <c r="AI8310">
        <v>92.784526083043502</v>
      </c>
      <c r="AJ8310">
        <v>76.097367405810502</v>
      </c>
      <c r="AK8310">
        <v>24.097602441012299</v>
      </c>
      <c r="AL8310">
        <v>81.678952578362995</v>
      </c>
      <c r="AM8310">
        <v>83.345615502253693</v>
      </c>
      <c r="AN8310">
        <v>1.00000006639385</v>
      </c>
    </row>
    <row r="8311" spans="1:40" x14ac:dyDescent="0.25">
      <c r="A8311" t="str">
        <f>"20190303162115663"</f>
        <v>20190303162115663</v>
      </c>
      <c r="B8311" t="str">
        <f>"1551601275651433"</f>
        <v>1551601275651433</v>
      </c>
      <c r="C8311" t="s">
        <v>40</v>
      </c>
      <c r="D8311">
        <v>4.8424319999999996</v>
      </c>
      <c r="E8311">
        <v>0.54898769999999997</v>
      </c>
      <c r="F8311" t="s">
        <v>44</v>
      </c>
      <c r="G8311">
        <v>-314.35669999999999</v>
      </c>
      <c r="H8311">
        <v>-0.05</v>
      </c>
      <c r="I8311">
        <v>12.57654</v>
      </c>
      <c r="J8311">
        <v>-337.48309999999998</v>
      </c>
      <c r="K8311">
        <v>1.12064599999999</v>
      </c>
      <c r="L8311">
        <v>18.17352</v>
      </c>
      <c r="M8311">
        <v>0.9999538</v>
      </c>
      <c r="N8311">
        <v>-7.8705349999999997E-3</v>
      </c>
      <c r="O8311">
        <v>5.5332309999999996E-3</v>
      </c>
      <c r="P8311">
        <v>0.98452729999999999</v>
      </c>
      <c r="Q8311">
        <v>0.13695750000000001</v>
      </c>
      <c r="R8311">
        <v>-0.10931159999999999</v>
      </c>
      <c r="S8311">
        <v>2.9883730000000002</v>
      </c>
      <c r="T8311">
        <v>-0.15060809999999999</v>
      </c>
      <c r="U8311">
        <v>-0.72003169999999905</v>
      </c>
      <c r="V8311">
        <v>0.1148694</v>
      </c>
      <c r="W8311">
        <v>0.1446083</v>
      </c>
      <c r="X8311">
        <v>0.98279879999999997</v>
      </c>
      <c r="Y8311">
        <v>0.23927809999999999</v>
      </c>
      <c r="Z8311">
        <v>-7.1283780000000003E-3</v>
      </c>
      <c r="AA8311">
        <v>0.97092489999999998</v>
      </c>
      <c r="AB8311">
        <v>19</v>
      </c>
      <c r="AC8311">
        <v>23.126399999999901</v>
      </c>
      <c r="AD8311">
        <v>-1.1706460000000001</v>
      </c>
      <c r="AE8311">
        <v>-5.5969800000000003</v>
      </c>
      <c r="AF8311">
        <v>5.7110381087729598</v>
      </c>
      <c r="AG8311">
        <v>-1.1706460000000001</v>
      </c>
      <c r="AH8311">
        <v>23.0393077398416</v>
      </c>
      <c r="AI8311">
        <v>92.823437438066406</v>
      </c>
      <c r="AJ8311">
        <v>76.078007663700703</v>
      </c>
      <c r="AK8311">
        <v>23.765438549883701</v>
      </c>
      <c r="AL8311">
        <v>81.685402713727697</v>
      </c>
      <c r="AM8311">
        <v>83.333523403410894</v>
      </c>
      <c r="AN8311">
        <v>1.00000001038334</v>
      </c>
    </row>
    <row r="8312" spans="1:40" x14ac:dyDescent="0.25">
      <c r="A8312" t="str">
        <f>"20190303162115673"</f>
        <v>20190303162115673</v>
      </c>
      <c r="B8312" t="str">
        <f>"1551601275662168"</f>
        <v>1551601275662168</v>
      </c>
      <c r="C8312" t="s">
        <v>40</v>
      </c>
      <c r="D8312">
        <v>4.8333539999999999</v>
      </c>
      <c r="E8312">
        <v>0.54893819999999904</v>
      </c>
      <c r="F8312" t="s">
        <v>44</v>
      </c>
      <c r="G8312">
        <v>-314.32279999999997</v>
      </c>
      <c r="H8312">
        <v>-0.05</v>
      </c>
      <c r="I8312">
        <v>12.57658</v>
      </c>
      <c r="J8312">
        <v>-337.39</v>
      </c>
      <c r="K8312">
        <v>1.12063</v>
      </c>
      <c r="L8312">
        <v>18.173739999999999</v>
      </c>
      <c r="M8312">
        <v>0.99995590000000001</v>
      </c>
      <c r="N8312">
        <v>-7.7815389999999996E-3</v>
      </c>
      <c r="O8312">
        <v>5.2563319999999998E-3</v>
      </c>
      <c r="P8312">
        <v>0.98444620000000005</v>
      </c>
      <c r="Q8312">
        <v>0.13715239999999901</v>
      </c>
      <c r="R8312">
        <v>-0.1097949</v>
      </c>
      <c r="S8312">
        <v>2.9879760000000002</v>
      </c>
      <c r="T8312">
        <v>-0.15102789999999999</v>
      </c>
      <c r="U8312">
        <v>-0.72207639999999995</v>
      </c>
      <c r="V8312">
        <v>0.1150803</v>
      </c>
      <c r="W8312">
        <v>0.14471500000000001</v>
      </c>
      <c r="X8312">
        <v>0.98275840000000003</v>
      </c>
      <c r="Y8312">
        <v>0.23966489999999999</v>
      </c>
      <c r="Z8312">
        <v>-7.1352439999999998E-3</v>
      </c>
      <c r="AA8312">
        <v>0.97082950000000001</v>
      </c>
      <c r="AB8312">
        <v>19</v>
      </c>
      <c r="AC8312">
        <v>23.0672</v>
      </c>
      <c r="AD8312">
        <v>-1.1706299999999901</v>
      </c>
      <c r="AE8312">
        <v>-5.5971599999999899</v>
      </c>
      <c r="AF8312">
        <v>5.7044606658017099</v>
      </c>
      <c r="AG8312">
        <v>-1.1706299999999901</v>
      </c>
      <c r="AH8312">
        <v>22.981563525568401</v>
      </c>
      <c r="AI8312">
        <v>92.830259271385003</v>
      </c>
      <c r="AJ8312">
        <v>76.059838033277202</v>
      </c>
      <c r="AK8312">
        <v>23.707878609532202</v>
      </c>
      <c r="AL8312">
        <v>81.679224090981705</v>
      </c>
      <c r="AM8312">
        <v>83.321122162611502</v>
      </c>
      <c r="AN8312">
        <v>0.99999998972182502</v>
      </c>
    </row>
    <row r="8313" spans="1:40" x14ac:dyDescent="0.25">
      <c r="A8313" t="str">
        <f>"20190303162115686"</f>
        <v>20190303162115686</v>
      </c>
      <c r="B8313" t="str">
        <f>"1551601275680712"</f>
        <v>1551601275680712</v>
      </c>
      <c r="C8313" t="s">
        <v>40</v>
      </c>
      <c r="D8313">
        <v>4.8377089999999896</v>
      </c>
      <c r="E8313">
        <v>0.54895989999999995</v>
      </c>
      <c r="F8313" t="s">
        <v>44</v>
      </c>
      <c r="G8313">
        <v>-314.20639999999997</v>
      </c>
      <c r="H8313">
        <v>-0.05</v>
      </c>
      <c r="I8313">
        <v>12.56302</v>
      </c>
      <c r="J8313">
        <v>-337.28120000000001</v>
      </c>
      <c r="K8313">
        <v>1.120619</v>
      </c>
      <c r="L8313">
        <v>18.173950000000001</v>
      </c>
      <c r="M8313">
        <v>0.99995840000000003</v>
      </c>
      <c r="N8313">
        <v>-7.6801100000000004E-3</v>
      </c>
      <c r="O8313">
        <v>4.9331059999999996E-3</v>
      </c>
      <c r="P8313">
        <v>0.98439529999999997</v>
      </c>
      <c r="Q8313">
        <v>0.137258299999999</v>
      </c>
      <c r="R8313">
        <v>-0.1101193</v>
      </c>
      <c r="S8313">
        <v>2.9877929999999999</v>
      </c>
      <c r="T8313">
        <v>-0.1508652</v>
      </c>
      <c r="U8313">
        <v>-0.72308349999999999</v>
      </c>
      <c r="V8313">
        <v>0.1150866</v>
      </c>
      <c r="W8313">
        <v>0.1447206</v>
      </c>
      <c r="X8313">
        <v>0.98275690000000004</v>
      </c>
      <c r="Y8313">
        <v>0.23967530000000001</v>
      </c>
      <c r="Z8313">
        <v>-7.1035580000000003E-3</v>
      </c>
      <c r="AA8313">
        <v>0.97082710000000005</v>
      </c>
      <c r="AB8313">
        <v>19</v>
      </c>
      <c r="AC8313">
        <v>23.0748</v>
      </c>
      <c r="AD8313">
        <v>-1.1706190000000001</v>
      </c>
      <c r="AE8313">
        <v>-5.6109299999999998</v>
      </c>
      <c r="AF8313">
        <v>5.7108182038851396</v>
      </c>
      <c r="AG8313">
        <v>-1.1706190000000001</v>
      </c>
      <c r="AH8313">
        <v>22.990970963531002</v>
      </c>
      <c r="AI8313">
        <v>92.828960952330405</v>
      </c>
      <c r="AJ8313">
        <v>76.050395896140301</v>
      </c>
      <c r="AK8313">
        <v>23.7185273414458</v>
      </c>
      <c r="AL8313">
        <v>81.678900334788494</v>
      </c>
      <c r="AM8313">
        <v>83.320749732485098</v>
      </c>
      <c r="AN8313">
        <v>1.0000000510307601</v>
      </c>
    </row>
    <row r="8314" spans="1:40" x14ac:dyDescent="0.25">
      <c r="A8314" t="str">
        <f>"20190303162115697"</f>
        <v>20190303162115697</v>
      </c>
      <c r="B8314" t="str">
        <f>"1551601275691448"</f>
        <v>1551601275691448</v>
      </c>
      <c r="C8314" t="s">
        <v>40</v>
      </c>
      <c r="D8314">
        <v>4.8665779999999996</v>
      </c>
      <c r="E8314">
        <v>0.5489619</v>
      </c>
      <c r="F8314" t="s">
        <v>44</v>
      </c>
      <c r="G8314">
        <v>-314.26080000000002</v>
      </c>
      <c r="H8314">
        <v>-0.05</v>
      </c>
      <c r="I8314">
        <v>12.59262</v>
      </c>
      <c r="J8314">
        <v>-337.17939999999999</v>
      </c>
      <c r="K8314">
        <v>1.120611</v>
      </c>
      <c r="L8314">
        <v>18.174099999999999</v>
      </c>
      <c r="M8314">
        <v>0.99996050000000003</v>
      </c>
      <c r="N8314">
        <v>-7.5937230000000001E-3</v>
      </c>
      <c r="O8314">
        <v>4.6303749999999999E-3</v>
      </c>
      <c r="P8314">
        <v>0.98426880000000005</v>
      </c>
      <c r="Q8314">
        <v>0.13773740000000001</v>
      </c>
      <c r="R8314">
        <v>-0.11065129999999999</v>
      </c>
      <c r="S8314">
        <v>2.9876710000000002</v>
      </c>
      <c r="T8314">
        <v>-0.15192720000000001</v>
      </c>
      <c r="U8314">
        <v>-0.72436519999999904</v>
      </c>
      <c r="V8314">
        <v>0.1153208</v>
      </c>
      <c r="W8314">
        <v>0.1451141</v>
      </c>
      <c r="X8314">
        <v>0.98267139999999997</v>
      </c>
      <c r="Y8314">
        <v>0.2397801</v>
      </c>
      <c r="Z8314">
        <v>-7.1272239999999997E-3</v>
      </c>
      <c r="AA8314">
        <v>0.97080109999999997</v>
      </c>
      <c r="AB8314">
        <v>19</v>
      </c>
      <c r="AC8314">
        <v>22.918599999999898</v>
      </c>
      <c r="AD8314">
        <v>-1.1706110000000001</v>
      </c>
      <c r="AE8314">
        <v>-5.5814799999999902</v>
      </c>
      <c r="AF8314">
        <v>5.6735721477784402</v>
      </c>
      <c r="AG8314">
        <v>-1.1706110000000001</v>
      </c>
      <c r="AH8314">
        <v>22.836268415474901</v>
      </c>
      <c r="AI8314">
        <v>92.848040241347903</v>
      </c>
      <c r="AJ8314">
        <v>76.047604732970996</v>
      </c>
      <c r="AK8314">
        <v>23.559603268582102</v>
      </c>
      <c r="AL8314">
        <v>81.656113770045394</v>
      </c>
      <c r="AM8314">
        <v>83.306703674120101</v>
      </c>
      <c r="AN8314">
        <v>1.0000000346547</v>
      </c>
    </row>
    <row r="8315" spans="1:40" x14ac:dyDescent="0.25">
      <c r="A8315" t="str">
        <f>"20190303162115710"</f>
        <v>20190303162115710</v>
      </c>
      <c r="B8315" t="str">
        <f>"1551601275701208"</f>
        <v>1551601275701208</v>
      </c>
      <c r="C8315" t="s">
        <v>40</v>
      </c>
      <c r="D8315">
        <v>4.8148030000000004</v>
      </c>
      <c r="E8315">
        <v>0.54898480000000005</v>
      </c>
      <c r="F8315" t="s">
        <v>44</v>
      </c>
      <c r="G8315">
        <v>-313.99540000000002</v>
      </c>
      <c r="H8315">
        <v>-0.05</v>
      </c>
      <c r="I8315">
        <v>12.5406</v>
      </c>
      <c r="J8315">
        <v>-337.06810000000002</v>
      </c>
      <c r="K8315">
        <v>1.120601</v>
      </c>
      <c r="L8315">
        <v>18.17426</v>
      </c>
      <c r="M8315">
        <v>0.99996260000000003</v>
      </c>
      <c r="N8315">
        <v>-7.5036979999999996E-3</v>
      </c>
      <c r="O8315">
        <v>4.2986860000000003E-3</v>
      </c>
      <c r="P8315">
        <v>0.98415459999999999</v>
      </c>
      <c r="Q8315">
        <v>0.13814889999999999</v>
      </c>
      <c r="R8315">
        <v>-0.1111511</v>
      </c>
      <c r="S8315">
        <v>2.987457</v>
      </c>
      <c r="T8315">
        <v>-0.150842899999999</v>
      </c>
      <c r="U8315">
        <v>-0.72592159999999994</v>
      </c>
      <c r="V8315">
        <v>0.11549470000000001</v>
      </c>
      <c r="W8315">
        <v>0.14543589999999901</v>
      </c>
      <c r="X8315">
        <v>0.98260340000000002</v>
      </c>
      <c r="Y8315">
        <v>0.23995669999999999</v>
      </c>
      <c r="Z8315">
        <v>-7.0633309999999999E-3</v>
      </c>
      <c r="AA8315">
        <v>0.97075789999999995</v>
      </c>
      <c r="AB8315">
        <v>19</v>
      </c>
      <c r="AC8315">
        <v>23.072700000000001</v>
      </c>
      <c r="AD8315">
        <v>-1.170601</v>
      </c>
      <c r="AE8315">
        <v>-5.6336599999999999</v>
      </c>
      <c r="AF8315">
        <v>5.7189004238647101</v>
      </c>
      <c r="AG8315">
        <v>-1.170601</v>
      </c>
      <c r="AH8315">
        <v>22.992414597143899</v>
      </c>
      <c r="AI8315">
        <v>92.828518113557195</v>
      </c>
      <c r="AJ8315">
        <v>76.0322689878885</v>
      </c>
      <c r="AK8315">
        <v>23.7218729818334</v>
      </c>
      <c r="AL8315">
        <v>81.637478287127394</v>
      </c>
      <c r="AM8315">
        <v>83.296242512172896</v>
      </c>
      <c r="AN8315">
        <v>1.0000000342142199</v>
      </c>
    </row>
    <row r="8316" spans="1:40" x14ac:dyDescent="0.25">
      <c r="A8316" t="str">
        <f>"20190303162115723"</f>
        <v>20190303162115723</v>
      </c>
      <c r="B8316" t="str">
        <f>"1551601275710968"</f>
        <v>1551601275710968</v>
      </c>
      <c r="C8316" t="s">
        <v>40</v>
      </c>
      <c r="D8316">
        <v>4.8135879999999904</v>
      </c>
      <c r="E8316">
        <v>0.54899659999999995</v>
      </c>
      <c r="F8316" t="s">
        <v>44</v>
      </c>
      <c r="G8316">
        <v>-313.81979999999999</v>
      </c>
      <c r="H8316">
        <v>-0.05</v>
      </c>
      <c r="I8316">
        <v>12.51459</v>
      </c>
      <c r="J8316">
        <v>-336.95299999999997</v>
      </c>
      <c r="K8316">
        <v>1.120593</v>
      </c>
      <c r="L8316">
        <v>18.17435</v>
      </c>
      <c r="M8316">
        <v>0.99996479999999999</v>
      </c>
      <c r="N8316">
        <v>-7.4167919999999898E-3</v>
      </c>
      <c r="O8316">
        <v>3.9556529999999999E-3</v>
      </c>
      <c r="P8316">
        <v>0.98406899999999997</v>
      </c>
      <c r="Q8316">
        <v>0.13827900000000001</v>
      </c>
      <c r="R8316">
        <v>-0.1117484</v>
      </c>
      <c r="S8316">
        <v>2.9872740000000002</v>
      </c>
      <c r="T8316">
        <v>-0.15041570000000001</v>
      </c>
      <c r="U8316">
        <v>-0.72723389999999999</v>
      </c>
      <c r="V8316">
        <v>0.1157545</v>
      </c>
      <c r="W8316">
        <v>0.14547969999999999</v>
      </c>
      <c r="X8316">
        <v>0.9825663</v>
      </c>
      <c r="Y8316">
        <v>0.24004249999999999</v>
      </c>
      <c r="Z8316">
        <v>-7.023662E-3</v>
      </c>
      <c r="AA8316">
        <v>0.97073699999999996</v>
      </c>
      <c r="AB8316">
        <v>20</v>
      </c>
      <c r="AC8316">
        <v>23.133199999999999</v>
      </c>
      <c r="AD8316">
        <v>-1.170593</v>
      </c>
      <c r="AE8316">
        <v>-5.6597599999999897</v>
      </c>
      <c r="AF8316">
        <v>5.7373638020670903</v>
      </c>
      <c r="AG8316">
        <v>-1.170593</v>
      </c>
      <c r="AH8316">
        <v>23.054930188757201</v>
      </c>
      <c r="AI8316">
        <v>92.820758087120794</v>
      </c>
      <c r="AJ8316">
        <v>76.025449557320897</v>
      </c>
      <c r="AK8316">
        <v>23.786917357602</v>
      </c>
      <c r="AL8316">
        <v>81.634941387550398</v>
      </c>
      <c r="AM8316">
        <v>83.281049058278199</v>
      </c>
      <c r="AN8316">
        <v>0.99999999063901501</v>
      </c>
    </row>
    <row r="8317" spans="1:40" x14ac:dyDescent="0.25">
      <c r="A8317" t="str">
        <f>"20190303162115736"</f>
        <v>20190303162115736</v>
      </c>
      <c r="B8317" t="str">
        <f>"1551601275730490"</f>
        <v>1551601275730490</v>
      </c>
      <c r="C8317" t="s">
        <v>40</v>
      </c>
      <c r="D8317">
        <v>4.822222</v>
      </c>
      <c r="E8317">
        <v>0.54894790000000004</v>
      </c>
      <c r="F8317" t="s">
        <v>44</v>
      </c>
      <c r="G8317">
        <v>-313.61340000000001</v>
      </c>
      <c r="H8317">
        <v>-0.05</v>
      </c>
      <c r="I8317">
        <v>12.479749999999999</v>
      </c>
      <c r="J8317">
        <v>-336.84210000000002</v>
      </c>
      <c r="K8317">
        <v>1.120584</v>
      </c>
      <c r="L8317">
        <v>18.174410000000002</v>
      </c>
      <c r="M8317">
        <v>0.99996649999999998</v>
      </c>
      <c r="N8317">
        <v>-7.3420419999999896E-3</v>
      </c>
      <c r="O8317">
        <v>3.6249640000000001E-3</v>
      </c>
      <c r="P8317">
        <v>0.98404029999999998</v>
      </c>
      <c r="Q8317">
        <v>0.13815839999999999</v>
      </c>
      <c r="R8317">
        <v>-0.1121477</v>
      </c>
      <c r="S8317">
        <v>2.986847</v>
      </c>
      <c r="T8317">
        <v>-0.1498051</v>
      </c>
      <c r="U8317">
        <v>-0.72875979999999996</v>
      </c>
      <c r="V8317">
        <v>0.115829</v>
      </c>
      <c r="W8317">
        <v>0.14528529999999901</v>
      </c>
      <c r="X8317">
        <v>0.98258630000000002</v>
      </c>
      <c r="Y8317">
        <v>0.2402244</v>
      </c>
      <c r="Z8317">
        <v>-6.981676E-3</v>
      </c>
      <c r="AA8317">
        <v>0.97069229999999995</v>
      </c>
      <c r="AB8317">
        <v>20</v>
      </c>
      <c r="AC8317">
        <v>23.2287</v>
      </c>
      <c r="AD8317">
        <v>-1.1705840000000001</v>
      </c>
      <c r="AE8317">
        <v>-5.6946599999999998</v>
      </c>
      <c r="AF8317">
        <v>5.7650175799426702</v>
      </c>
      <c r="AG8317">
        <v>-1.1705840000000001</v>
      </c>
      <c r="AH8317">
        <v>23.1524407144151</v>
      </c>
      <c r="AI8317">
        <v>92.808779295978397</v>
      </c>
      <c r="AJ8317">
        <v>76.017555200656801</v>
      </c>
      <c r="AK8317">
        <v>23.888097572486</v>
      </c>
      <c r="AL8317">
        <v>81.646199428290601</v>
      </c>
      <c r="AM8317">
        <v>83.276899886716095</v>
      </c>
      <c r="AN8317">
        <v>1.0000000062923899</v>
      </c>
    </row>
    <row r="8318" spans="1:40" x14ac:dyDescent="0.25">
      <c r="A8318" t="str">
        <f>"20190303162115750"</f>
        <v>20190303162115750</v>
      </c>
      <c r="B8318" t="str">
        <f>"1551601275741224"</f>
        <v>1551601275741224</v>
      </c>
      <c r="C8318" t="s">
        <v>40</v>
      </c>
      <c r="D8318">
        <v>4.7814839999999998</v>
      </c>
      <c r="E8318">
        <v>0.54898019999999903</v>
      </c>
      <c r="F8318" t="s">
        <v>44</v>
      </c>
      <c r="G8318">
        <v>-313.69409999999999</v>
      </c>
      <c r="H8318">
        <v>-0.05</v>
      </c>
      <c r="I8318">
        <v>12.52209</v>
      </c>
      <c r="J8318">
        <v>-336.72559999999999</v>
      </c>
      <c r="K8318">
        <v>1.1205750000000001</v>
      </c>
      <c r="L8318">
        <v>18.174469999999999</v>
      </c>
      <c r="M8318">
        <v>0.99996830000000003</v>
      </c>
      <c r="N8318">
        <v>-7.267857E-3</v>
      </c>
      <c r="O8318">
        <v>3.2771020000000001E-3</v>
      </c>
      <c r="P8318">
        <v>0.98398549999999996</v>
      </c>
      <c r="Q8318">
        <v>0.13798640000000001</v>
      </c>
      <c r="R8318">
        <v>-0.1128387</v>
      </c>
      <c r="S8318">
        <v>2.986755</v>
      </c>
      <c r="T8318">
        <v>-0.15103849999999999</v>
      </c>
      <c r="U8318">
        <v>-0.72930909999999904</v>
      </c>
      <c r="V8318">
        <v>0.1161779</v>
      </c>
      <c r="W8318">
        <v>0.1450391</v>
      </c>
      <c r="X8318">
        <v>0.9825815</v>
      </c>
      <c r="Y8318">
        <v>0.24005799999999999</v>
      </c>
      <c r="Z8318">
        <v>-7.0036439999999998E-3</v>
      </c>
      <c r="AA8318">
        <v>0.97073330000000002</v>
      </c>
      <c r="AB8318">
        <v>20</v>
      </c>
      <c r="AC8318">
        <v>23.031499999999902</v>
      </c>
      <c r="AD8318">
        <v>-1.1705749999999999</v>
      </c>
      <c r="AE8318">
        <v>-5.65238</v>
      </c>
      <c r="AF8318">
        <v>5.7139066844986699</v>
      </c>
      <c r="AG8318">
        <v>-1.1705749999999999</v>
      </c>
      <c r="AH8318">
        <v>22.956919517524401</v>
      </c>
      <c r="AI8318">
        <v>92.832710822680497</v>
      </c>
      <c r="AJ8318">
        <v>76.023255736342094</v>
      </c>
      <c r="AK8318">
        <v>23.686264567547902</v>
      </c>
      <c r="AL8318">
        <v>81.660456817053401</v>
      </c>
      <c r="AM8318">
        <v>83.256802141425894</v>
      </c>
      <c r="AN8318">
        <v>1.00000002455973</v>
      </c>
    </row>
    <row r="8319" spans="1:40" x14ac:dyDescent="0.25">
      <c r="A8319" t="str">
        <f>"20190303162115763"</f>
        <v>20190303162115763</v>
      </c>
      <c r="B8319" t="str">
        <f>"1551601275750984"</f>
        <v>1551601275750984</v>
      </c>
      <c r="C8319" t="s">
        <v>40</v>
      </c>
      <c r="D8319">
        <v>4.8144600000000004</v>
      </c>
      <c r="E8319">
        <v>0.54900039999999894</v>
      </c>
      <c r="F8319" t="s">
        <v>44</v>
      </c>
      <c r="G8319">
        <v>-313.7124</v>
      </c>
      <c r="H8319">
        <v>-0.05</v>
      </c>
      <c r="I8319">
        <v>12.536530000000001</v>
      </c>
      <c r="J8319">
        <v>-336.59960000000001</v>
      </c>
      <c r="K8319">
        <v>1.120563</v>
      </c>
      <c r="L8319">
        <v>18.174440000000001</v>
      </c>
      <c r="M8319">
        <v>0.99997000000000003</v>
      </c>
      <c r="N8319">
        <v>-7.1947460000000001E-3</v>
      </c>
      <c r="O8319">
        <v>2.9005020000000001E-3</v>
      </c>
      <c r="P8319">
        <v>0.98395290000000002</v>
      </c>
      <c r="Q8319">
        <v>0.1374495</v>
      </c>
      <c r="R8319">
        <v>-0.1137739</v>
      </c>
      <c r="S8319">
        <v>2.9862669999999998</v>
      </c>
      <c r="T8319">
        <v>-0.15189739999999999</v>
      </c>
      <c r="U8319">
        <v>-0.73159790000000002</v>
      </c>
      <c r="V8319">
        <v>0.11674279999999999</v>
      </c>
      <c r="W8319">
        <v>0.1444299</v>
      </c>
      <c r="X8319">
        <v>0.98260429999999999</v>
      </c>
      <c r="Y8319">
        <v>0.24042759999999999</v>
      </c>
      <c r="Z8319">
        <v>-7.0247779999999998E-3</v>
      </c>
      <c r="AA8319">
        <v>0.97064170000000005</v>
      </c>
      <c r="AB8319">
        <v>20</v>
      </c>
      <c r="AC8319">
        <v>22.8872</v>
      </c>
      <c r="AD8319">
        <v>-1.170563</v>
      </c>
      <c r="AE8319">
        <v>-5.6379099999999998</v>
      </c>
      <c r="AF8319">
        <v>5.6902393783883802</v>
      </c>
      <c r="AG8319">
        <v>-1.170563</v>
      </c>
      <c r="AH8319">
        <v>22.8144865734128</v>
      </c>
      <c r="AI8319">
        <v>92.849992671679999</v>
      </c>
      <c r="AJ8319">
        <v>75.995391872934306</v>
      </c>
      <c r="AK8319">
        <v>23.542511325871001</v>
      </c>
      <c r="AL8319">
        <v>81.695733005108494</v>
      </c>
      <c r="AM8319">
        <v>83.224474084576698</v>
      </c>
      <c r="AN8319">
        <v>1.0000000438721599</v>
      </c>
    </row>
    <row r="8320" spans="1:40" x14ac:dyDescent="0.25">
      <c r="A8320" t="str">
        <f>"20190303162115776"</f>
        <v>20190303162115776</v>
      </c>
      <c r="B8320" t="str">
        <f>"1551601275770504"</f>
        <v>1551601275770504</v>
      </c>
      <c r="C8320" t="s">
        <v>40</v>
      </c>
      <c r="D8320">
        <v>4.7914680000000001</v>
      </c>
      <c r="E8320">
        <v>0.54897609999999997</v>
      </c>
      <c r="F8320" t="s">
        <v>44</v>
      </c>
      <c r="G8320">
        <v>-313.93180000000001</v>
      </c>
      <c r="H8320">
        <v>-0.05</v>
      </c>
      <c r="I8320">
        <v>12.600160000000001</v>
      </c>
      <c r="J8320">
        <v>-336.49119999999999</v>
      </c>
      <c r="K8320">
        <v>1.1205540000000001</v>
      </c>
      <c r="L8320">
        <v>18.174379999999999</v>
      </c>
      <c r="M8320">
        <v>0.99997119999999995</v>
      </c>
      <c r="N8320">
        <v>-7.138831E-3</v>
      </c>
      <c r="O8320">
        <v>2.576105E-3</v>
      </c>
      <c r="P8320">
        <v>0.98389919999999997</v>
      </c>
      <c r="Q8320">
        <v>0.137215899999999</v>
      </c>
      <c r="R8320">
        <v>-0.1145173</v>
      </c>
      <c r="S8320">
        <v>2.9855960000000001</v>
      </c>
      <c r="T8320">
        <v>-0.154175799999999</v>
      </c>
      <c r="U8320">
        <v>-0.73419190000000001</v>
      </c>
      <c r="V8320">
        <v>0.1171676</v>
      </c>
      <c r="W8320">
        <v>0.14413979999999901</v>
      </c>
      <c r="X8320">
        <v>0.98259629999999998</v>
      </c>
      <c r="Y8320">
        <v>0.24094879999999999</v>
      </c>
      <c r="Z8320">
        <v>-7.1122590000000001E-3</v>
      </c>
      <c r="AA8320">
        <v>0.97051180000000004</v>
      </c>
      <c r="AB8320">
        <v>20</v>
      </c>
      <c r="AC8320">
        <v>22.559399999999901</v>
      </c>
      <c r="AD8320">
        <v>-1.1705540000000001</v>
      </c>
      <c r="AE8320">
        <v>-5.5742199999999897</v>
      </c>
      <c r="AF8320">
        <v>5.6180630460920096</v>
      </c>
      <c r="AG8320">
        <v>-1.1705540000000001</v>
      </c>
      <c r="AH8320">
        <v>22.487904000028699</v>
      </c>
      <c r="AI8320">
        <v>92.891010217145805</v>
      </c>
      <c r="AJ8320">
        <v>75.973140083216506</v>
      </c>
      <c r="AK8320">
        <v>23.2085901202828</v>
      </c>
      <c r="AL8320">
        <v>81.712529979054906</v>
      </c>
      <c r="AM8320">
        <v>83.1999951187439</v>
      </c>
      <c r="AN8320">
        <v>1.0000000086037399</v>
      </c>
    </row>
    <row r="8321" spans="1:40" x14ac:dyDescent="0.25">
      <c r="A8321" t="str">
        <f>"20190303162115787"</f>
        <v>20190303162115787</v>
      </c>
      <c r="B8321" t="str">
        <f>"1551601275781241"</f>
        <v>1551601275781241</v>
      </c>
      <c r="C8321" t="s">
        <v>40</v>
      </c>
      <c r="D8321">
        <v>4.8030210000000002</v>
      </c>
      <c r="E8321">
        <v>0.54153479999999998</v>
      </c>
      <c r="F8321" t="s">
        <v>44</v>
      </c>
      <c r="G8321">
        <v>-314.0498</v>
      </c>
      <c r="H8321">
        <v>-0.05</v>
      </c>
      <c r="I8321">
        <v>12.641859999999999</v>
      </c>
      <c r="J8321">
        <v>-336.39319999999998</v>
      </c>
      <c r="K8321">
        <v>1.1205449999999999</v>
      </c>
      <c r="L8321">
        <v>18.174320000000002</v>
      </c>
      <c r="M8321">
        <v>0.99997230000000004</v>
      </c>
      <c r="N8321">
        <v>-7.0901549999999999E-3</v>
      </c>
      <c r="O8321">
        <v>2.2826140000000001E-3</v>
      </c>
      <c r="P8321">
        <v>0.98385009999999995</v>
      </c>
      <c r="Q8321">
        <v>0.1368868</v>
      </c>
      <c r="R8321">
        <v>-0.1153322</v>
      </c>
      <c r="S8321">
        <v>2.9851380000000001</v>
      </c>
      <c r="T8321">
        <v>-0.15570629999999999</v>
      </c>
      <c r="U8321">
        <v>-0.73593140000000001</v>
      </c>
      <c r="V8321">
        <v>0.1176938</v>
      </c>
      <c r="W8321">
        <v>0.1437618</v>
      </c>
      <c r="X8321">
        <v>0.98258880000000004</v>
      </c>
      <c r="Y8321">
        <v>0.2412253</v>
      </c>
      <c r="Z8321">
        <v>-7.1641099999999996E-3</v>
      </c>
      <c r="AA8321">
        <v>0.97044269999999999</v>
      </c>
      <c r="AB8321">
        <v>20</v>
      </c>
      <c r="AC8321">
        <v>22.3433999999999</v>
      </c>
      <c r="AD8321">
        <v>-1.1705449999999999</v>
      </c>
      <c r="AE8321">
        <v>-5.5324599999999897</v>
      </c>
      <c r="AF8321">
        <v>5.56904645277951</v>
      </c>
      <c r="AG8321">
        <v>-1.1705449999999999</v>
      </c>
      <c r="AH8321">
        <v>22.273113861158201</v>
      </c>
      <c r="AI8321">
        <v>92.918676311717107</v>
      </c>
      <c r="AJ8321">
        <v>75.961897172524104</v>
      </c>
      <c r="AK8321">
        <v>22.988607070946198</v>
      </c>
      <c r="AL8321">
        <v>81.734415803573597</v>
      </c>
      <c r="AM8321">
        <v>83.169692507983896</v>
      </c>
      <c r="AN8321">
        <v>1.00000001779155</v>
      </c>
    </row>
    <row r="8322" spans="1:40" x14ac:dyDescent="0.25">
      <c r="A8322" t="str">
        <f>"20190303162115796"</f>
        <v>20190303162115796</v>
      </c>
      <c r="B8322" t="str">
        <f>"1551601275791000"</f>
        <v>1551601275791000</v>
      </c>
      <c r="C8322" t="s">
        <v>40</v>
      </c>
      <c r="D8322">
        <v>4.8390870000000001</v>
      </c>
      <c r="E8322">
        <v>0.53671059999999904</v>
      </c>
      <c r="F8322" t="s">
        <v>41</v>
      </c>
      <c r="G8322">
        <v>-325.87</v>
      </c>
      <c r="H8322" s="1">
        <v>-2.6099639999999999E-6</v>
      </c>
      <c r="I8322">
        <v>15.798400000000001</v>
      </c>
      <c r="J8322">
        <v>-336.29579999999999</v>
      </c>
      <c r="K8322">
        <v>1.120536</v>
      </c>
      <c r="L8322">
        <v>18.174219999999998</v>
      </c>
      <c r="M8322">
        <v>0.99997320000000001</v>
      </c>
      <c r="N8322">
        <v>-7.0474930000000002E-3</v>
      </c>
      <c r="O8322">
        <v>1.9909459999999999E-3</v>
      </c>
      <c r="P8322">
        <v>0.98380599999999996</v>
      </c>
      <c r="Q8322">
        <v>0.13651460000000001</v>
      </c>
      <c r="R8322">
        <v>-0.116144899999999</v>
      </c>
      <c r="S8322">
        <v>3.0141909999999998</v>
      </c>
      <c r="T8322">
        <v>-0.32096219999999998</v>
      </c>
      <c r="U8322">
        <v>-0.68054199999999998</v>
      </c>
      <c r="V8322">
        <v>0.1182198</v>
      </c>
      <c r="W8322">
        <v>0.143347</v>
      </c>
      <c r="X8322">
        <v>0.98258630000000002</v>
      </c>
      <c r="Y8322">
        <v>0.22089729999999999</v>
      </c>
      <c r="Z8322">
        <v>-1.256855E-2</v>
      </c>
      <c r="AA8322">
        <v>0.97521610000000003</v>
      </c>
      <c r="AB8322">
        <v>20</v>
      </c>
      <c r="AC8322">
        <v>10.425799999999899</v>
      </c>
      <c r="AD8322">
        <v>-1.120538609964</v>
      </c>
      <c r="AE8322">
        <v>-2.37582</v>
      </c>
      <c r="AF8322">
        <v>2.3705416949892801</v>
      </c>
      <c r="AG8322">
        <v>-1.120538609964</v>
      </c>
      <c r="AH8322">
        <v>10.3078567844271</v>
      </c>
      <c r="AI8322">
        <v>96.047460186863105</v>
      </c>
      <c r="AJ8322">
        <v>77.048636408499107</v>
      </c>
      <c r="AK8322">
        <v>10.6361170636827</v>
      </c>
      <c r="AL8322">
        <v>81.758431182275402</v>
      </c>
      <c r="AM8322">
        <v>83.139439347557001</v>
      </c>
      <c r="AN8322">
        <v>1.0000000602343599</v>
      </c>
    </row>
    <row r="8323" spans="1:40" x14ac:dyDescent="0.25">
      <c r="A8323" t="str">
        <f>"20190303162115809"</f>
        <v>20190303162115809</v>
      </c>
      <c r="B8323" t="str">
        <f>"1551601275800760"</f>
        <v>1551601275800760</v>
      </c>
      <c r="C8323" t="s">
        <v>40</v>
      </c>
      <c r="D8323">
        <v>4.8285720000000003</v>
      </c>
      <c r="E8323">
        <v>0.53304200000000002</v>
      </c>
      <c r="F8323" t="s">
        <v>42</v>
      </c>
      <c r="G8323">
        <v>-335.51400000000001</v>
      </c>
      <c r="H8323">
        <v>1.0131570000000001</v>
      </c>
      <c r="I8323">
        <v>18.007709999999999</v>
      </c>
      <c r="J8323">
        <v>-336.19130000000001</v>
      </c>
      <c r="K8323">
        <v>1.12052</v>
      </c>
      <c r="L8323">
        <v>18.17407</v>
      </c>
      <c r="M8323">
        <v>0.99997420000000004</v>
      </c>
      <c r="N8323">
        <v>-7.003876E-3</v>
      </c>
      <c r="O8323">
        <v>1.6772860000000001E-3</v>
      </c>
      <c r="P8323">
        <v>0.98379459999999996</v>
      </c>
      <c r="Q8323">
        <v>0.13599339999999999</v>
      </c>
      <c r="R8323">
        <v>-0.1168525</v>
      </c>
      <c r="S8323">
        <v>3.0309140000000001</v>
      </c>
      <c r="T8323">
        <v>-0.4163095</v>
      </c>
      <c r="U8323">
        <v>-0.64520259999999996</v>
      </c>
      <c r="V8323">
        <v>0.1186189</v>
      </c>
      <c r="W8323">
        <v>0.1427821</v>
      </c>
      <c r="X8323">
        <v>0.98262039999999995</v>
      </c>
      <c r="Y8323">
        <v>0.20786840000000001</v>
      </c>
      <c r="Z8323">
        <v>-1.5008509999999999E-2</v>
      </c>
      <c r="AA8323">
        <v>0.97804159999999996</v>
      </c>
      <c r="AB8323">
        <v>20</v>
      </c>
      <c r="AC8323">
        <v>0.67730000000000201</v>
      </c>
      <c r="AD8323">
        <v>-0.107363</v>
      </c>
      <c r="AE8323">
        <v>-0.16636000000000001</v>
      </c>
      <c r="AF8323">
        <v>0.16361844104078599</v>
      </c>
      <c r="AG8323">
        <v>-0.107363</v>
      </c>
      <c r="AH8323">
        <v>0.66134759930654696</v>
      </c>
      <c r="AI8323">
        <v>98.955510000651401</v>
      </c>
      <c r="AJ8323">
        <v>76.103962910671001</v>
      </c>
      <c r="AK8323">
        <v>0.68969446505401999</v>
      </c>
      <c r="AL8323">
        <v>81.791133561504196</v>
      </c>
      <c r="AM8323">
        <v>83.116737114784499</v>
      </c>
      <c r="AN8323">
        <v>1.0000000110068801</v>
      </c>
    </row>
    <row r="8324" spans="1:40" x14ac:dyDescent="0.25">
      <c r="A8324" t="str">
        <f>"20190303162115826"</f>
        <v>20190303162115826</v>
      </c>
      <c r="B8324" t="str">
        <f>"1551601275821256"</f>
        <v>1551601275821256</v>
      </c>
      <c r="C8324" t="s">
        <v>40</v>
      </c>
      <c r="D8324">
        <v>4.7746700000000004</v>
      </c>
      <c r="E8324">
        <v>0.52926439999999997</v>
      </c>
      <c r="F8324" t="s">
        <v>42</v>
      </c>
      <c r="G8324">
        <v>-335.34960000000001</v>
      </c>
      <c r="H8324">
        <v>0.97987630000000003</v>
      </c>
      <c r="I8324">
        <v>18.002839999999999</v>
      </c>
      <c r="J8324">
        <v>-336.04660000000001</v>
      </c>
      <c r="K8324">
        <v>1.120509</v>
      </c>
      <c r="L8324">
        <v>18.173829999999999</v>
      </c>
      <c r="M8324">
        <v>0.99997510000000001</v>
      </c>
      <c r="N8324">
        <v>-6.9491539999999999E-3</v>
      </c>
      <c r="O8324">
        <v>1.2442149999999999E-3</v>
      </c>
      <c r="P8324">
        <v>0.98376439999999998</v>
      </c>
      <c r="Q8324">
        <v>0.13540360000000001</v>
      </c>
      <c r="R8324">
        <v>-0.1177868</v>
      </c>
      <c r="S8324">
        <v>3.0462340000000001</v>
      </c>
      <c r="T8324">
        <v>-0.50897539999999997</v>
      </c>
      <c r="U8324">
        <v>-0.61889649999999996</v>
      </c>
      <c r="V8324">
        <v>0.11912739999999999</v>
      </c>
      <c r="W8324">
        <v>0.14213789999999901</v>
      </c>
      <c r="X8324">
        <v>0.98265219999999998</v>
      </c>
      <c r="Y8324">
        <v>0.19755880000000001</v>
      </c>
      <c r="Z8324">
        <v>-1.7122410000000001E-2</v>
      </c>
      <c r="AA8324">
        <v>0.9801415</v>
      </c>
      <c r="AB8324">
        <v>20</v>
      </c>
      <c r="AC8324">
        <v>0.69700000000000195</v>
      </c>
      <c r="AD8324">
        <v>-0.140632699999999</v>
      </c>
      <c r="AE8324">
        <v>-0.170989999999999</v>
      </c>
      <c r="AF8324">
        <v>0.16550190782591601</v>
      </c>
      <c r="AG8324">
        <v>-0.140632699999999</v>
      </c>
      <c r="AH8324">
        <v>0.67101984760225797</v>
      </c>
      <c r="AI8324">
        <v>101.50167413013099</v>
      </c>
      <c r="AJ8324">
        <v>76.144962183827005</v>
      </c>
      <c r="AK8324">
        <v>0.70529148136034203</v>
      </c>
      <c r="AL8324">
        <v>81.828423202010498</v>
      </c>
      <c r="AM8324">
        <v>83.087736111168098</v>
      </c>
      <c r="AN8324">
        <v>0.99999993310600199</v>
      </c>
    </row>
    <row r="8325" spans="1:40" x14ac:dyDescent="0.25">
      <c r="A8325" t="str">
        <f>"20190303162115835"</f>
        <v>20190303162115835</v>
      </c>
      <c r="B8325" t="str">
        <f>"1551601275831016"</f>
        <v>1551601275831016</v>
      </c>
      <c r="C8325" t="s">
        <v>40</v>
      </c>
      <c r="D8325">
        <v>4.7725410000000004</v>
      </c>
      <c r="E8325">
        <v>0.52804799999999996</v>
      </c>
      <c r="F8325" t="s">
        <v>42</v>
      </c>
      <c r="G8325">
        <v>-335.18540000000002</v>
      </c>
      <c r="H8325">
        <v>0.94485949999999996</v>
      </c>
      <c r="I8325">
        <v>18.007239999999999</v>
      </c>
      <c r="J8325">
        <v>-335.94420000000002</v>
      </c>
      <c r="K8325">
        <v>1.1205000000000001</v>
      </c>
      <c r="L8325">
        <v>18.17361</v>
      </c>
      <c r="M8325">
        <v>0.99997559999999996</v>
      </c>
      <c r="N8325">
        <v>-6.9157200000000002E-3</v>
      </c>
      <c r="O8325">
        <v>9.3730769999999998E-4</v>
      </c>
      <c r="P8325">
        <v>0.98380009999999996</v>
      </c>
      <c r="Q8325">
        <v>0.1347689</v>
      </c>
      <c r="R8325">
        <v>-0.1182169</v>
      </c>
      <c r="S8325">
        <v>3.064514</v>
      </c>
      <c r="T8325">
        <v>-0.62499169999999904</v>
      </c>
      <c r="U8325">
        <v>-0.59274289999999996</v>
      </c>
      <c r="V8325">
        <v>0.1192556</v>
      </c>
      <c r="W8325">
        <v>0.1414704</v>
      </c>
      <c r="X8325">
        <v>0.98273310000000003</v>
      </c>
      <c r="Y8325">
        <v>0.1869614</v>
      </c>
      <c r="Z8325">
        <v>-1.95427E-2</v>
      </c>
      <c r="AA8325">
        <v>0.98217279999999996</v>
      </c>
      <c r="AB8325">
        <v>20</v>
      </c>
      <c r="AC8325">
        <v>0.75880000000000702</v>
      </c>
      <c r="AD8325">
        <v>-0.1756405</v>
      </c>
      <c r="AE8325">
        <v>-0.16636999999999999</v>
      </c>
      <c r="AF8325">
        <v>0.15895515046931699</v>
      </c>
      <c r="AG8325">
        <v>-0.1756405</v>
      </c>
      <c r="AH8325">
        <v>0.72174695063231198</v>
      </c>
      <c r="AI8325">
        <v>103.36885229521501</v>
      </c>
      <c r="AJ8325">
        <v>77.579647522360901</v>
      </c>
      <c r="AK8325">
        <v>0.75962818921365405</v>
      </c>
      <c r="AL8325">
        <v>81.867059589796995</v>
      </c>
      <c r="AM8325">
        <v>83.080933611732306</v>
      </c>
      <c r="AN8325">
        <v>1.0000000590215601</v>
      </c>
    </row>
    <row r="8326" spans="1:40" x14ac:dyDescent="0.25">
      <c r="A8326" t="str">
        <f>"20190303162115846"</f>
        <v>20190303162115846</v>
      </c>
      <c r="B8326" t="str">
        <f>"1551601275840777"</f>
        <v>1551601275840777</v>
      </c>
      <c r="C8326" t="s">
        <v>40</v>
      </c>
      <c r="D8326">
        <v>4.7937659999999997</v>
      </c>
      <c r="E8326">
        <v>0.52687249999999997</v>
      </c>
      <c r="F8326" t="s">
        <v>42</v>
      </c>
      <c r="G8326">
        <v>-335.18119999999999</v>
      </c>
      <c r="H8326">
        <v>0.95572380000000001</v>
      </c>
      <c r="I8326">
        <v>18.028220000000001</v>
      </c>
      <c r="J8326">
        <v>-335.85419999999999</v>
      </c>
      <c r="K8326">
        <v>1.1204909999999999</v>
      </c>
      <c r="L8326">
        <v>18.17343</v>
      </c>
      <c r="M8326">
        <v>0.99997599999999998</v>
      </c>
      <c r="N8326">
        <v>-6.8870190000000003E-3</v>
      </c>
      <c r="O8326">
        <v>6.6763640000000002E-4</v>
      </c>
      <c r="P8326">
        <v>0.98384190000000005</v>
      </c>
      <c r="Q8326">
        <v>0.134077</v>
      </c>
      <c r="R8326">
        <v>-0.11865299999999999</v>
      </c>
      <c r="S8326">
        <v>3.0699459999999998</v>
      </c>
      <c r="T8326">
        <v>-0.66295800000000005</v>
      </c>
      <c r="U8326">
        <v>-0.5849915</v>
      </c>
      <c r="V8326">
        <v>0.1194267</v>
      </c>
      <c r="W8326">
        <v>0.14075009999999999</v>
      </c>
      <c r="X8326">
        <v>0.98281569999999996</v>
      </c>
      <c r="Y8326">
        <v>0.1836053</v>
      </c>
      <c r="Z8326">
        <v>-2.021187E-2</v>
      </c>
      <c r="AA8326">
        <v>0.98279229999999995</v>
      </c>
      <c r="AB8326">
        <v>20</v>
      </c>
      <c r="AC8326">
        <v>0.67300000000000104</v>
      </c>
      <c r="AD8326">
        <v>-0.164767199999999</v>
      </c>
      <c r="AE8326">
        <v>-0.14520999999999801</v>
      </c>
      <c r="AF8326">
        <v>0.137768869219866</v>
      </c>
      <c r="AG8326">
        <v>-0.164767199999999</v>
      </c>
      <c r="AH8326">
        <v>0.63645145331824104</v>
      </c>
      <c r="AI8326">
        <v>104.199202163443</v>
      </c>
      <c r="AJ8326">
        <v>77.7859654633845</v>
      </c>
      <c r="AK8326">
        <v>0.67171343886575696</v>
      </c>
      <c r="AL8326">
        <v>81.908746497031899</v>
      </c>
      <c r="AM8326">
        <v>83.0716797040145</v>
      </c>
      <c r="AN8326">
        <v>1.0000000137446901</v>
      </c>
    </row>
    <row r="8327" spans="1:40" x14ac:dyDescent="0.25">
      <c r="A8327" t="str">
        <f>"20190303162115857"</f>
        <v>20190303162115857</v>
      </c>
      <c r="B8327" t="str">
        <f>"1551601275850536"</f>
        <v>1551601275850536</v>
      </c>
      <c r="C8327" t="s">
        <v>40</v>
      </c>
      <c r="D8327">
        <v>4.7971839999999997</v>
      </c>
      <c r="E8327">
        <v>0.5264335</v>
      </c>
      <c r="F8327" t="s">
        <v>42</v>
      </c>
      <c r="G8327">
        <v>-335.01060000000001</v>
      </c>
      <c r="H8327">
        <v>0.93062869999999998</v>
      </c>
      <c r="I8327">
        <v>18.014620000000001</v>
      </c>
      <c r="J8327">
        <v>-335.74549999999999</v>
      </c>
      <c r="K8327">
        <v>1.120485</v>
      </c>
      <c r="L8327">
        <v>18.17313</v>
      </c>
      <c r="M8327">
        <v>0.99997650000000005</v>
      </c>
      <c r="N8327">
        <v>-6.8569549999999996E-3</v>
      </c>
      <c r="O8327">
        <v>3.419397E-4</v>
      </c>
      <c r="P8327">
        <v>0.98390180000000005</v>
      </c>
      <c r="Q8327">
        <v>0.1332999</v>
      </c>
      <c r="R8327">
        <v>-0.119032</v>
      </c>
      <c r="S8327">
        <v>3.0738829999999999</v>
      </c>
      <c r="T8327">
        <v>-0.69169380000000003</v>
      </c>
      <c r="U8327">
        <v>-0.57748409999999994</v>
      </c>
      <c r="V8327">
        <v>0.1194853</v>
      </c>
      <c r="W8327">
        <v>0.13994319999999999</v>
      </c>
      <c r="X8327">
        <v>0.98292380000000001</v>
      </c>
      <c r="Y8327">
        <v>0.18046590000000001</v>
      </c>
      <c r="Z8327">
        <v>-2.0590850000000001E-2</v>
      </c>
      <c r="AA8327">
        <v>0.98336570000000001</v>
      </c>
      <c r="AB8327">
        <v>20</v>
      </c>
      <c r="AC8327">
        <v>0.73489999999998101</v>
      </c>
      <c r="AD8327">
        <v>-0.18985630000000001</v>
      </c>
      <c r="AE8327">
        <v>-0.15850999999999901</v>
      </c>
      <c r="AF8327">
        <v>0.14924340460688701</v>
      </c>
      <c r="AG8327">
        <v>-0.18985630000000001</v>
      </c>
      <c r="AH8327">
        <v>0.69079108407783696</v>
      </c>
      <c r="AI8327">
        <v>105.036969064754</v>
      </c>
      <c r="AJ8327">
        <v>77.808788947497504</v>
      </c>
      <c r="AK8327">
        <v>0.73178639664165601</v>
      </c>
      <c r="AL8327">
        <v>81.955440641977205</v>
      </c>
      <c r="AM8327">
        <v>83.069068116931703</v>
      </c>
      <c r="AN8327">
        <v>1.0000000163743801</v>
      </c>
    </row>
    <row r="8328" spans="1:40" x14ac:dyDescent="0.25">
      <c r="A8328" t="str">
        <f>"20190303162115869"</f>
        <v>20190303162115869</v>
      </c>
      <c r="B8328" t="str">
        <f>"1551601275861272"</f>
        <v>1551601275861272</v>
      </c>
      <c r="C8328" t="s">
        <v>40</v>
      </c>
      <c r="D8328">
        <v>4.805504</v>
      </c>
      <c r="E8328">
        <v>0.52621609999999996</v>
      </c>
      <c r="F8328" t="s">
        <v>42</v>
      </c>
      <c r="G8328">
        <v>-335.00349999999997</v>
      </c>
      <c r="H8328">
        <v>0.94798850000000001</v>
      </c>
      <c r="I8328">
        <v>18.03387</v>
      </c>
      <c r="J8328">
        <v>-335.64980000000003</v>
      </c>
      <c r="K8328">
        <v>1.1204780000000001</v>
      </c>
      <c r="L8328">
        <v>18.17285</v>
      </c>
      <c r="M8328">
        <v>0.9999768</v>
      </c>
      <c r="N8328">
        <v>-6.8320079999999997E-3</v>
      </c>
      <c r="O8328" s="1">
        <v>5.4787789999999997E-5</v>
      </c>
      <c r="P8328">
        <v>0.98393909999999996</v>
      </c>
      <c r="Q8328">
        <v>0.13289189999999901</v>
      </c>
      <c r="R8328">
        <v>-0.1191823</v>
      </c>
      <c r="S8328">
        <v>3.076263</v>
      </c>
      <c r="T8328">
        <v>-0.71508309999999997</v>
      </c>
      <c r="U8328">
        <v>-0.57604979999999995</v>
      </c>
      <c r="V8328">
        <v>0.119353</v>
      </c>
      <c r="W8328">
        <v>0.1395112</v>
      </c>
      <c r="X8328">
        <v>0.98300129999999997</v>
      </c>
      <c r="Y8328">
        <v>0.179345</v>
      </c>
      <c r="Z8328">
        <v>-2.103789E-2</v>
      </c>
      <c r="AA8328">
        <v>0.98356129999999997</v>
      </c>
      <c r="AB8328">
        <v>20</v>
      </c>
      <c r="AC8328">
        <v>0.64630000000005305</v>
      </c>
      <c r="AD8328">
        <v>-0.17248949999999999</v>
      </c>
      <c r="AE8328">
        <v>-0.13897999999999999</v>
      </c>
      <c r="AF8328">
        <v>0.13015439030109199</v>
      </c>
      <c r="AG8328">
        <v>-0.17248949999999999</v>
      </c>
      <c r="AH8328">
        <v>0.60509688297951403</v>
      </c>
      <c r="AI8328">
        <v>105.57245746354</v>
      </c>
      <c r="AJ8328">
        <v>77.860819919693697</v>
      </c>
      <c r="AK8328">
        <v>0.64252239705431502</v>
      </c>
      <c r="AL8328">
        <v>81.980437785799197</v>
      </c>
      <c r="AM8328">
        <v>83.077208400659401</v>
      </c>
      <c r="AN8328">
        <v>1.00000003466806</v>
      </c>
    </row>
    <row r="8329" spans="1:40" x14ac:dyDescent="0.25">
      <c r="A8329" t="str">
        <f>"20190303162115879"</f>
        <v>20190303162115879</v>
      </c>
      <c r="B8329" t="str">
        <f>"1551601275871033"</f>
        <v>1551601275871033</v>
      </c>
      <c r="C8329" t="s">
        <v>40</v>
      </c>
      <c r="D8329">
        <v>4.8005659999999999</v>
      </c>
      <c r="E8329">
        <v>0.52598350000000005</v>
      </c>
      <c r="F8329" t="s">
        <v>42</v>
      </c>
      <c r="G8329">
        <v>-334.83069999999998</v>
      </c>
      <c r="H8329">
        <v>0.9256624</v>
      </c>
      <c r="I8329">
        <v>18.019459999999999</v>
      </c>
      <c r="J8329">
        <v>-335.54340000000002</v>
      </c>
      <c r="K8329">
        <v>1.1204799999999999</v>
      </c>
      <c r="L8329">
        <v>18.172550000000001</v>
      </c>
      <c r="M8329">
        <v>0.99997689999999995</v>
      </c>
      <c r="N8329">
        <v>-6.8070650000000002E-3</v>
      </c>
      <c r="O8329">
        <v>-2.6485199999999999E-4</v>
      </c>
      <c r="P8329">
        <v>0.98396950000000005</v>
      </c>
      <c r="Q8329">
        <v>0.13271620000000001</v>
      </c>
      <c r="R8329">
        <v>-0.1191241</v>
      </c>
      <c r="S8329">
        <v>3.0781860000000001</v>
      </c>
      <c r="T8329">
        <v>-0.73198069999999904</v>
      </c>
      <c r="U8329">
        <v>-0.57562259999999998</v>
      </c>
      <c r="V8329">
        <v>0.11898110000000001</v>
      </c>
      <c r="W8329">
        <v>0.13931099999999999</v>
      </c>
      <c r="X8329">
        <v>0.98307469999999997</v>
      </c>
      <c r="Y8329">
        <v>0.17860129999999999</v>
      </c>
      <c r="Z8329">
        <v>-2.1332130000000001E-2</v>
      </c>
      <c r="AA8329">
        <v>0.98369030000000002</v>
      </c>
      <c r="AB8329">
        <v>20</v>
      </c>
      <c r="AC8329">
        <v>0.71270000000003997</v>
      </c>
      <c r="AD8329">
        <v>-0.19481759999999901</v>
      </c>
      <c r="AE8329">
        <v>-0.15308999999999801</v>
      </c>
      <c r="AF8329">
        <v>0.142708231649116</v>
      </c>
      <c r="AG8329">
        <v>-0.19481759999999901</v>
      </c>
      <c r="AH8329">
        <v>0.66522642994731196</v>
      </c>
      <c r="AI8329">
        <v>105.97875909797899</v>
      </c>
      <c r="AJ8329">
        <v>77.892091623732995</v>
      </c>
      <c r="AK8329">
        <v>0.70770455682482603</v>
      </c>
      <c r="AL8329">
        <v>81.992020929228104</v>
      </c>
      <c r="AM8329">
        <v>83.099081543225196</v>
      </c>
      <c r="AN8329">
        <v>0.99999996132914903</v>
      </c>
    </row>
    <row r="8330" spans="1:40" x14ac:dyDescent="0.25">
      <c r="A8330" t="str">
        <f>"20190303162115891"</f>
        <v>20190303162115891</v>
      </c>
      <c r="B8330" t="str">
        <f>"1551601275880795"</f>
        <v>1551601275880795</v>
      </c>
      <c r="C8330" t="s">
        <v>40</v>
      </c>
      <c r="D8330">
        <v>4.8159039999999997</v>
      </c>
      <c r="E8330">
        <v>0.5258313</v>
      </c>
      <c r="F8330" t="s">
        <v>42</v>
      </c>
      <c r="G8330">
        <v>-334.82209999999998</v>
      </c>
      <c r="H8330">
        <v>0.94632169999999904</v>
      </c>
      <c r="I8330">
        <v>18.037859999999998</v>
      </c>
      <c r="J8330">
        <v>-335.4468</v>
      </c>
      <c r="K8330">
        <v>1.1204750000000001</v>
      </c>
      <c r="L8330">
        <v>18.172180000000001</v>
      </c>
      <c r="M8330">
        <v>0.99997689999999995</v>
      </c>
      <c r="N8330">
        <v>-6.7866309999999996E-3</v>
      </c>
      <c r="O8330">
        <v>-5.5590299999999995E-4</v>
      </c>
      <c r="P8330">
        <v>0.98400089999999996</v>
      </c>
      <c r="Q8330">
        <v>0.13264519999999999</v>
      </c>
      <c r="R8330">
        <v>-0.11894449999999999</v>
      </c>
      <c r="S8330">
        <v>3.0796809999999999</v>
      </c>
      <c r="T8330">
        <v>-0.74358239999999998</v>
      </c>
      <c r="U8330">
        <v>-0.57424929999999996</v>
      </c>
      <c r="V8330">
        <v>0.1185156</v>
      </c>
      <c r="W8330">
        <v>0.13922029999999999</v>
      </c>
      <c r="X8330">
        <v>0.98314380000000001</v>
      </c>
      <c r="Y8330">
        <v>0.1776895</v>
      </c>
      <c r="Z8330">
        <v>-2.1463300000000001E-2</v>
      </c>
      <c r="AA8330">
        <v>0.98385250000000002</v>
      </c>
      <c r="AB8330">
        <v>20</v>
      </c>
      <c r="AC8330">
        <v>0.62470000000001802</v>
      </c>
      <c r="AD8330">
        <v>-0.17415330000000001</v>
      </c>
      <c r="AE8330">
        <v>-0.134319999999995</v>
      </c>
      <c r="AF8330">
        <v>0.124708881394013</v>
      </c>
      <c r="AG8330">
        <v>-0.17415330000000001</v>
      </c>
      <c r="AH8330">
        <v>0.58157325357020795</v>
      </c>
      <c r="AI8330">
        <v>106.31982254685499</v>
      </c>
      <c r="AJ8330">
        <v>77.897138643071699</v>
      </c>
      <c r="AK8330">
        <v>0.61976538001704595</v>
      </c>
      <c r="AL8330">
        <v>81.997268990917206</v>
      </c>
      <c r="AM8330">
        <v>83.126300281204095</v>
      </c>
      <c r="AN8330">
        <v>0.99999998542694402</v>
      </c>
    </row>
    <row r="8331" spans="1:40" x14ac:dyDescent="0.25">
      <c r="A8331" t="str">
        <f>"20190303162115903"</f>
        <v>20190303162115903</v>
      </c>
      <c r="B8331" t="str">
        <f>"1551601275890552"</f>
        <v>1551601275890552</v>
      </c>
      <c r="C8331" t="s">
        <v>40</v>
      </c>
      <c r="D8331">
        <v>4.8097830000000004</v>
      </c>
      <c r="E8331">
        <v>0.5256286</v>
      </c>
      <c r="F8331" t="s">
        <v>42</v>
      </c>
      <c r="G8331">
        <v>-334.64780000000002</v>
      </c>
      <c r="H8331">
        <v>0.92567529999999998</v>
      </c>
      <c r="I8331">
        <v>18.023160000000001</v>
      </c>
      <c r="J8331">
        <v>-335.3347</v>
      </c>
      <c r="K8331">
        <v>1.120468</v>
      </c>
      <c r="L8331">
        <v>18.171749999999999</v>
      </c>
      <c r="M8331">
        <v>0.99997670000000005</v>
      </c>
      <c r="N8331">
        <v>-6.7646609999999999E-3</v>
      </c>
      <c r="O8331">
        <v>-8.9499719999999998E-4</v>
      </c>
      <c r="P8331">
        <v>0.98396709999999998</v>
      </c>
      <c r="Q8331">
        <v>0.13297439999999999</v>
      </c>
      <c r="R8331">
        <v>-0.1188564</v>
      </c>
      <c r="S8331">
        <v>3.0807500000000001</v>
      </c>
      <c r="T8331">
        <v>-0.75096229999999997</v>
      </c>
      <c r="U8331">
        <v>-0.57315059999999995</v>
      </c>
      <c r="V8331">
        <v>0.1180953</v>
      </c>
      <c r="W8331">
        <v>0.13952719999999999</v>
      </c>
      <c r="X8331">
        <v>0.98315090000000005</v>
      </c>
      <c r="Y8331">
        <v>0.17689299999999999</v>
      </c>
      <c r="Z8331">
        <v>-2.1480050000000001E-2</v>
      </c>
      <c r="AA8331">
        <v>0.98399570000000003</v>
      </c>
      <c r="AB8331">
        <v>20</v>
      </c>
      <c r="AC8331">
        <v>0.68689999999997997</v>
      </c>
      <c r="AD8331">
        <v>-0.19479270000000001</v>
      </c>
      <c r="AE8331">
        <v>-0.148589999999998</v>
      </c>
      <c r="AF8331">
        <v>0.13741813941113201</v>
      </c>
      <c r="AG8331">
        <v>-0.19479270000000001</v>
      </c>
      <c r="AH8331">
        <v>0.63801763796445998</v>
      </c>
      <c r="AI8331">
        <v>106.618516779733</v>
      </c>
      <c r="AJ8331">
        <v>77.845147913374504</v>
      </c>
      <c r="AK8331">
        <v>0.68109797192933796</v>
      </c>
      <c r="AL8331">
        <v>81.979511846216695</v>
      </c>
      <c r="AM8331">
        <v>83.150493952673699</v>
      </c>
      <c r="AN8331">
        <v>1.00000001579636</v>
      </c>
    </row>
    <row r="8332" spans="1:40" x14ac:dyDescent="0.25">
      <c r="A8332" t="str">
        <f>"20190303162115917"</f>
        <v>20190303162115917</v>
      </c>
      <c r="B8332" t="str">
        <f>"1551601275911048"</f>
        <v>1551601275911048</v>
      </c>
      <c r="C8332" t="s">
        <v>40</v>
      </c>
      <c r="D8332">
        <v>4.7965499999999999</v>
      </c>
      <c r="E8332">
        <v>0.52560069999999903</v>
      </c>
      <c r="F8332" t="s">
        <v>42</v>
      </c>
      <c r="G8332">
        <v>-334.6379</v>
      </c>
      <c r="H8332">
        <v>0.94910899999999998</v>
      </c>
      <c r="I8332">
        <v>18.042259999999999</v>
      </c>
      <c r="J8332">
        <v>-335.21080000000001</v>
      </c>
      <c r="K8332">
        <v>1.1204620000000001</v>
      </c>
      <c r="L8332">
        <v>18.171230000000001</v>
      </c>
      <c r="M8332">
        <v>0.99997659999999999</v>
      </c>
      <c r="N8332">
        <v>-6.7440959999999998E-3</v>
      </c>
      <c r="O8332">
        <v>-1.2756009999999999E-3</v>
      </c>
      <c r="P8332">
        <v>0.98391139999999999</v>
      </c>
      <c r="Q8332">
        <v>0.13368769999999999</v>
      </c>
      <c r="R8332">
        <v>-0.11851730000000001</v>
      </c>
      <c r="S8332">
        <v>3.082306</v>
      </c>
      <c r="T8332">
        <v>-0.75789319999999905</v>
      </c>
      <c r="U8332">
        <v>-0.57119750000000002</v>
      </c>
      <c r="V8332">
        <v>0.1173843</v>
      </c>
      <c r="W8332">
        <v>0.14021889999999901</v>
      </c>
      <c r="X8332">
        <v>0.98313759999999994</v>
      </c>
      <c r="Y8332">
        <v>0.1757822</v>
      </c>
      <c r="Z8332">
        <v>-2.1430149999999999E-2</v>
      </c>
      <c r="AA8332">
        <v>0.98419579999999995</v>
      </c>
      <c r="AB8332">
        <v>20</v>
      </c>
      <c r="AC8332">
        <v>0.57290000000000396</v>
      </c>
      <c r="AD8332">
        <v>-0.17135300000000001</v>
      </c>
      <c r="AE8332">
        <v>-0.128969999999998</v>
      </c>
      <c r="AF8332">
        <v>0.11817697798096</v>
      </c>
      <c r="AG8332">
        <v>-0.17135300000000001</v>
      </c>
      <c r="AH8332">
        <v>0.52809934595525698</v>
      </c>
      <c r="AI8332">
        <v>107.569863426373</v>
      </c>
      <c r="AJ8332">
        <v>77.386279499282196</v>
      </c>
      <c r="AK8332">
        <v>0.567641231705452</v>
      </c>
      <c r="AL8332">
        <v>81.939486574328896</v>
      </c>
      <c r="AM8332">
        <v>83.191252296589298</v>
      </c>
      <c r="AN8332">
        <v>0.99999997716872902</v>
      </c>
    </row>
    <row r="8333" spans="1:40" x14ac:dyDescent="0.25">
      <c r="A8333" t="str">
        <f>"20190303162115931"</f>
        <v>20190303162115931</v>
      </c>
      <c r="B8333" t="str">
        <f>"1551601275920807"</f>
        <v>1551601275920807</v>
      </c>
      <c r="C8333" t="s">
        <v>40</v>
      </c>
      <c r="D8333">
        <v>4.8632819999999999</v>
      </c>
      <c r="E8333">
        <v>0.52551000000000003</v>
      </c>
      <c r="F8333" t="s">
        <v>42</v>
      </c>
      <c r="G8333">
        <v>-334.46069999999997</v>
      </c>
      <c r="H8333">
        <v>0.93394900000000003</v>
      </c>
      <c r="I8333">
        <v>18.03238</v>
      </c>
      <c r="J8333">
        <v>-335.07749999999999</v>
      </c>
      <c r="K8333">
        <v>1.120455</v>
      </c>
      <c r="L8333">
        <v>18.17062</v>
      </c>
      <c r="M8333">
        <v>0.99997590000000003</v>
      </c>
      <c r="N8333">
        <v>-6.7242559999999996E-3</v>
      </c>
      <c r="O8333">
        <v>-1.6898429999999999E-3</v>
      </c>
      <c r="P8333">
        <v>0.98391600000000001</v>
      </c>
      <c r="Q8333">
        <v>0.1345295</v>
      </c>
      <c r="R8333">
        <v>-0.11751929999999999</v>
      </c>
      <c r="S8333">
        <v>3.0845639999999999</v>
      </c>
      <c r="T8333">
        <v>-0.76686669999999901</v>
      </c>
      <c r="U8333">
        <v>-0.57034300000000004</v>
      </c>
      <c r="V8333">
        <v>0.1159819</v>
      </c>
      <c r="W8333">
        <v>0.14104040000000001</v>
      </c>
      <c r="X8333">
        <v>0.98318649999999996</v>
      </c>
      <c r="Y8333">
        <v>0.1749078</v>
      </c>
      <c r="Z8333">
        <v>-2.144654E-2</v>
      </c>
      <c r="AA8333">
        <v>0.98435119999999998</v>
      </c>
      <c r="AB8333">
        <v>20</v>
      </c>
      <c r="AC8333">
        <v>0.61680000000001201</v>
      </c>
      <c r="AD8333">
        <v>-0.18650599999999901</v>
      </c>
      <c r="AE8333">
        <v>-0.138239999999999</v>
      </c>
      <c r="AF8333">
        <v>0.12620983148353901</v>
      </c>
      <c r="AG8333">
        <v>-0.18650599999999901</v>
      </c>
      <c r="AH8333">
        <v>0.56761679962989198</v>
      </c>
      <c r="AI8333">
        <v>107.783342424607</v>
      </c>
      <c r="AJ8333">
        <v>77.464193167864593</v>
      </c>
      <c r="AK8333">
        <v>0.61065722039552195</v>
      </c>
      <c r="AL8333">
        <v>81.891945374768795</v>
      </c>
      <c r="AM8333">
        <v>83.272178357202804</v>
      </c>
      <c r="AN8333">
        <v>0.99999994467100795</v>
      </c>
    </row>
    <row r="8334" spans="1:40" x14ac:dyDescent="0.25">
      <c r="A8334" t="str">
        <f>"20190303162115953"</f>
        <v>20190303162115953</v>
      </c>
      <c r="B8334" t="str">
        <f>"1551601275941304"</f>
        <v>1551601275941304</v>
      </c>
      <c r="C8334" t="s">
        <v>40</v>
      </c>
      <c r="D8334">
        <v>4.8037140000000003</v>
      </c>
      <c r="E8334">
        <v>0.52469900000000003</v>
      </c>
      <c r="F8334" t="s">
        <v>42</v>
      </c>
      <c r="G8334">
        <v>-334.28100000000001</v>
      </c>
      <c r="H8334">
        <v>0.92196769999999995</v>
      </c>
      <c r="I8334">
        <v>18.02393</v>
      </c>
      <c r="J8334">
        <v>-334.87079999999997</v>
      </c>
      <c r="K8334">
        <v>1.1204339999999999</v>
      </c>
      <c r="L8334">
        <v>18.169530000000002</v>
      </c>
      <c r="M8334">
        <v>0.99997480000000005</v>
      </c>
      <c r="N8334">
        <v>-6.6990119999999998E-3</v>
      </c>
      <c r="O8334">
        <v>-2.34804E-3</v>
      </c>
      <c r="P8334">
        <v>0.98391719999999905</v>
      </c>
      <c r="Q8334">
        <v>0.13563269999999999</v>
      </c>
      <c r="R8334">
        <v>-0.11623699999999999</v>
      </c>
      <c r="S8334">
        <v>3.0864259999999999</v>
      </c>
      <c r="T8334">
        <v>-0.76907060000000005</v>
      </c>
      <c r="U8334">
        <v>-0.56768799999999997</v>
      </c>
      <c r="V8334">
        <v>0.114058199999999</v>
      </c>
      <c r="W8334">
        <v>0.14211660000000001</v>
      </c>
      <c r="X8334">
        <v>0.98325660000000004</v>
      </c>
      <c r="Y8334">
        <v>0.17337649999999999</v>
      </c>
      <c r="Z8334">
        <v>-2.114429E-2</v>
      </c>
      <c r="AA8334">
        <v>0.98462859999999996</v>
      </c>
      <c r="AB8334">
        <v>21</v>
      </c>
      <c r="AC8334">
        <v>0.58979999999996802</v>
      </c>
      <c r="AD8334">
        <v>-0.19846630000000001</v>
      </c>
      <c r="AE8334">
        <v>-0.14559999999999801</v>
      </c>
      <c r="AF8334">
        <v>0.130307428176338</v>
      </c>
      <c r="AG8334">
        <v>-0.19846630000000001</v>
      </c>
      <c r="AH8334">
        <v>0.53323040240168096</v>
      </c>
      <c r="AI8334">
        <v>109.877805159947</v>
      </c>
      <c r="AJ8334">
        <v>76.267562472773704</v>
      </c>
      <c r="AK8334">
        <v>0.58369817553173797</v>
      </c>
      <c r="AL8334">
        <v>81.829656431753094</v>
      </c>
      <c r="AM8334">
        <v>83.383237125066998</v>
      </c>
      <c r="AN8334">
        <v>0.99999997121317896</v>
      </c>
    </row>
    <row r="8335" spans="1:40" x14ac:dyDescent="0.25">
      <c r="A8335" t="str">
        <f>"20190303162115966"</f>
        <v>20190303162115966</v>
      </c>
      <c r="B8335" t="str">
        <f>"1551601275960824"</f>
        <v>1551601275960824</v>
      </c>
      <c r="C8335" t="s">
        <v>40</v>
      </c>
      <c r="D8335">
        <v>4.8140340000000004</v>
      </c>
      <c r="E8335">
        <v>0.52349699999999999</v>
      </c>
      <c r="F8335" t="s">
        <v>42</v>
      </c>
      <c r="G8335">
        <v>-334.09449999999998</v>
      </c>
      <c r="H8335">
        <v>0.92507059999999997</v>
      </c>
      <c r="I8335">
        <v>18.02938</v>
      </c>
      <c r="J8335">
        <v>-334.75170000000003</v>
      </c>
      <c r="K8335">
        <v>1.120422</v>
      </c>
      <c r="L8335">
        <v>18.168849999999999</v>
      </c>
      <c r="M8335">
        <v>0.99997409999999998</v>
      </c>
      <c r="N8335">
        <v>-6.6866419999999996E-3</v>
      </c>
      <c r="O8335">
        <v>-2.734799E-3</v>
      </c>
      <c r="P8335">
        <v>0.98384749999999999</v>
      </c>
      <c r="Q8335">
        <v>0.1362245</v>
      </c>
      <c r="R8335">
        <v>-0.11613560000000001</v>
      </c>
      <c r="S8335">
        <v>3.0903019999999999</v>
      </c>
      <c r="T8335">
        <v>-0.77774580000000004</v>
      </c>
      <c r="U8335">
        <v>-0.55825809999999998</v>
      </c>
      <c r="V8335">
        <v>0.113580399999999</v>
      </c>
      <c r="W8335">
        <v>0.14269389999999901</v>
      </c>
      <c r="X8335">
        <v>0.98322830000000006</v>
      </c>
      <c r="Y8335">
        <v>0.16988149999999999</v>
      </c>
      <c r="Z8335">
        <v>-2.0814249999999999E-2</v>
      </c>
      <c r="AA8335">
        <v>0.98524469999999997</v>
      </c>
      <c r="AB8335">
        <v>21</v>
      </c>
      <c r="AC8335">
        <v>0.65720000000004497</v>
      </c>
      <c r="AD8335">
        <v>-0.19535140000000001</v>
      </c>
      <c r="AE8335">
        <v>-0.13946999999999901</v>
      </c>
      <c r="AF8335">
        <v>0.12693956640296999</v>
      </c>
      <c r="AG8335">
        <v>-0.19535140000000001</v>
      </c>
      <c r="AH8335">
        <v>0.60631582092464098</v>
      </c>
      <c r="AI8335">
        <v>107.50302396348501</v>
      </c>
      <c r="AJ8335">
        <v>78.175229447653194</v>
      </c>
      <c r="AK8335">
        <v>0.64953421596098804</v>
      </c>
      <c r="AL8335">
        <v>81.796239016892102</v>
      </c>
      <c r="AM8335">
        <v>83.410523084295903</v>
      </c>
      <c r="AN8335">
        <v>0.99999997314112898</v>
      </c>
    </row>
    <row r="8336" spans="1:40" x14ac:dyDescent="0.25">
      <c r="A8336" t="str">
        <f>"20190303162115979"</f>
        <v>20190303162115979</v>
      </c>
      <c r="B8336" t="str">
        <f>"1551601275970584"</f>
        <v>1551601275970584</v>
      </c>
      <c r="C8336" t="s">
        <v>40</v>
      </c>
      <c r="D8336">
        <v>4.7952919999999999</v>
      </c>
      <c r="E8336">
        <v>0.52302939999999998</v>
      </c>
      <c r="F8336" t="s">
        <v>42</v>
      </c>
      <c r="G8336">
        <v>-333.91559999999998</v>
      </c>
      <c r="H8336">
        <v>0.90660439999999998</v>
      </c>
      <c r="I8336">
        <v>18.020330000000001</v>
      </c>
      <c r="J8336">
        <v>-334.63</v>
      </c>
      <c r="K8336">
        <v>1.1204160000000001</v>
      </c>
      <c r="L8336">
        <v>18.168060000000001</v>
      </c>
      <c r="M8336">
        <v>0.99997290000000005</v>
      </c>
      <c r="N8336">
        <v>-6.6766489999999998E-3</v>
      </c>
      <c r="O8336">
        <v>-3.139102E-3</v>
      </c>
      <c r="P8336">
        <v>0.98376419999999998</v>
      </c>
      <c r="Q8336">
        <v>0.1366578</v>
      </c>
      <c r="R8336">
        <v>-0.11633159999999999</v>
      </c>
      <c r="S8336">
        <v>3.0939939999999999</v>
      </c>
      <c r="T8336">
        <v>-0.79116960000000003</v>
      </c>
      <c r="U8336">
        <v>-0.54864499999999905</v>
      </c>
      <c r="V8336">
        <v>0.1133832</v>
      </c>
      <c r="W8336">
        <v>0.1431144</v>
      </c>
      <c r="X8336">
        <v>0.98319000000000001</v>
      </c>
      <c r="Y8336">
        <v>0.16627129999999901</v>
      </c>
      <c r="Z8336">
        <v>-2.0572110000000001E-2</v>
      </c>
      <c r="AA8336">
        <v>0.9858654</v>
      </c>
      <c r="AB8336">
        <v>21</v>
      </c>
      <c r="AC8336">
        <v>0.71440000000001103</v>
      </c>
      <c r="AD8336">
        <v>-0.21381159999999999</v>
      </c>
      <c r="AE8336">
        <v>-0.147730000000002</v>
      </c>
      <c r="AF8336">
        <v>0.13397790801520601</v>
      </c>
      <c r="AG8336">
        <v>-0.21381159999999999</v>
      </c>
      <c r="AH8336">
        <v>0.65831111989588398</v>
      </c>
      <c r="AI8336">
        <v>107.654389228824</v>
      </c>
      <c r="AJ8336">
        <v>78.496406573030001</v>
      </c>
      <c r="AK8336">
        <v>0.70500993660321098</v>
      </c>
      <c r="AL8336">
        <v>81.771896761336606</v>
      </c>
      <c r="AM8336">
        <v>83.421609471369194</v>
      </c>
      <c r="AN8336">
        <v>1.0000000288147901</v>
      </c>
    </row>
    <row r="8337" spans="1:40" x14ac:dyDescent="0.25">
      <c r="A8337" t="str">
        <f>"20190303162115990"</f>
        <v>20190303162115990</v>
      </c>
      <c r="B8337" t="str">
        <f>"1551601275981321"</f>
        <v>1551601275981321</v>
      </c>
      <c r="C8337" t="s">
        <v>40</v>
      </c>
      <c r="D8337">
        <v>4.8117299999999998</v>
      </c>
      <c r="E8337">
        <v>0.5226227</v>
      </c>
      <c r="F8337" t="s">
        <v>42</v>
      </c>
      <c r="G8337">
        <v>-333.90480000000002</v>
      </c>
      <c r="H8337">
        <v>0.93359610000000004</v>
      </c>
      <c r="I8337">
        <v>18.039909999999999</v>
      </c>
      <c r="J8337">
        <v>-334.53719999999998</v>
      </c>
      <c r="K8337">
        <v>1.1204080000000001</v>
      </c>
      <c r="L8337">
        <v>18.16742</v>
      </c>
      <c r="M8337">
        <v>0.99997190000000002</v>
      </c>
      <c r="N8337">
        <v>-6.6698490000000003E-3</v>
      </c>
      <c r="O8337">
        <v>-3.4513629999999998E-3</v>
      </c>
      <c r="P8337">
        <v>0.9837072</v>
      </c>
      <c r="Q8337">
        <v>0.1368606</v>
      </c>
      <c r="R8337">
        <v>-0.11657530000000001</v>
      </c>
      <c r="S8337">
        <v>3.095764</v>
      </c>
      <c r="T8337">
        <v>-0.79736949999999995</v>
      </c>
      <c r="U8337">
        <v>-0.54586789999999996</v>
      </c>
      <c r="V8337">
        <v>0.1133229</v>
      </c>
      <c r="W8337">
        <v>0.143308299999999</v>
      </c>
      <c r="X8337">
        <v>0.98316870000000001</v>
      </c>
      <c r="Y8337">
        <v>0.1649852</v>
      </c>
      <c r="Z8337">
        <v>-2.0471179999999999E-2</v>
      </c>
      <c r="AA8337">
        <v>0.98608359999999995</v>
      </c>
      <c r="AB8337">
        <v>21</v>
      </c>
      <c r="AC8337">
        <v>0.63239999999996099</v>
      </c>
      <c r="AD8337">
        <v>-0.1868119</v>
      </c>
      <c r="AE8337">
        <v>-0.12751000000000001</v>
      </c>
      <c r="AF8337">
        <v>0.115630572431293</v>
      </c>
      <c r="AG8337">
        <v>-0.1868119</v>
      </c>
      <c r="AH8337">
        <v>0.58387649333328695</v>
      </c>
      <c r="AI8337">
        <v>107.424757153028</v>
      </c>
      <c r="AJ8337">
        <v>78.798119622272395</v>
      </c>
      <c r="AK8337">
        <v>0.62384363003045396</v>
      </c>
      <c r="AL8337">
        <v>81.760671332152299</v>
      </c>
      <c r="AM8337">
        <v>83.424936185624404</v>
      </c>
      <c r="AN8337">
        <v>1.0000000205864901</v>
      </c>
    </row>
    <row r="8338" spans="1:40" x14ac:dyDescent="0.25">
      <c r="A8338" t="str">
        <f>"20190303162116000"</f>
        <v>20190303162116000</v>
      </c>
      <c r="B8338" t="str">
        <f>"1551601275991080"</f>
        <v>1551601275991080</v>
      </c>
      <c r="C8338" t="s">
        <v>40</v>
      </c>
      <c r="D8338">
        <v>4.7980229999999997</v>
      </c>
      <c r="E8338">
        <v>0.52229349999999997</v>
      </c>
      <c r="F8338" t="s">
        <v>42</v>
      </c>
      <c r="G8338">
        <v>-333.72730000000001</v>
      </c>
      <c r="H8338">
        <v>0.91036419999999996</v>
      </c>
      <c r="I8338">
        <v>18.025010000000002</v>
      </c>
      <c r="J8338">
        <v>-334.43150000000003</v>
      </c>
      <c r="K8338">
        <v>1.120398</v>
      </c>
      <c r="L8338">
        <v>18.166689999999999</v>
      </c>
      <c r="M8338">
        <v>0.99997060000000004</v>
      </c>
      <c r="N8338">
        <v>-6.6632009999999997E-3</v>
      </c>
      <c r="O8338">
        <v>-3.812392E-3</v>
      </c>
      <c r="P8338">
        <v>0.98361220000000005</v>
      </c>
      <c r="Q8338">
        <v>0.13692950000000001</v>
      </c>
      <c r="R8338">
        <v>-0.1172916</v>
      </c>
      <c r="S8338">
        <v>3.0969540000000002</v>
      </c>
      <c r="T8338">
        <v>-0.80307949999999995</v>
      </c>
      <c r="U8338">
        <v>-0.54373169999999904</v>
      </c>
      <c r="V8338">
        <v>0.1136881</v>
      </c>
      <c r="W8338">
        <v>0.14336679999999999</v>
      </c>
      <c r="X8338">
        <v>0.98311800000000005</v>
      </c>
      <c r="Y8338">
        <v>0.1638821</v>
      </c>
      <c r="Z8338">
        <v>-2.03699E-2</v>
      </c>
      <c r="AA8338">
        <v>0.98626959999999997</v>
      </c>
      <c r="AB8338">
        <v>21</v>
      </c>
      <c r="AC8338">
        <v>0.70420000000001404</v>
      </c>
      <c r="AD8338">
        <v>-0.21003379999999999</v>
      </c>
      <c r="AE8338">
        <v>-0.141679999999997</v>
      </c>
      <c r="AF8338">
        <v>0.12804656836914599</v>
      </c>
      <c r="AG8338">
        <v>-0.21003379999999999</v>
      </c>
      <c r="AH8338">
        <v>0.64922771460175499</v>
      </c>
      <c r="AI8338">
        <v>107.609380801231</v>
      </c>
      <c r="AJ8338">
        <v>78.842805743883403</v>
      </c>
      <c r="AK8338">
        <v>0.69426705684525503</v>
      </c>
      <c r="AL8338">
        <v>81.757284491125304</v>
      </c>
      <c r="AM8338">
        <v>83.403596319592793</v>
      </c>
      <c r="AN8338">
        <v>1.0000000126739199</v>
      </c>
    </row>
    <row r="8339" spans="1:40" x14ac:dyDescent="0.25">
      <c r="A8339" t="str">
        <f>"20190303162116011"</f>
        <v>20190303162116011</v>
      </c>
      <c r="B8339" t="str">
        <f>"1551601276000841"</f>
        <v>1551601276000841</v>
      </c>
      <c r="C8339" t="s">
        <v>40</v>
      </c>
      <c r="D8339">
        <v>4.8176079999999999</v>
      </c>
      <c r="E8339">
        <v>0.52197660000000001</v>
      </c>
      <c r="F8339" t="s">
        <v>42</v>
      </c>
      <c r="G8339">
        <v>-333.7176</v>
      </c>
      <c r="H8339">
        <v>0.93395450000000002</v>
      </c>
      <c r="I8339">
        <v>18.041149999999998</v>
      </c>
      <c r="J8339">
        <v>-334.33429999999998</v>
      </c>
      <c r="K8339">
        <v>1.1203909999999999</v>
      </c>
      <c r="L8339">
        <v>18.16592</v>
      </c>
      <c r="M8339">
        <v>0.9999692</v>
      </c>
      <c r="N8339">
        <v>-6.6581019999999999E-3</v>
      </c>
      <c r="O8339">
        <v>-4.1492150000000004E-3</v>
      </c>
      <c r="P8339">
        <v>0.98348979999999997</v>
      </c>
      <c r="Q8339">
        <v>0.13731289999999999</v>
      </c>
      <c r="R8339">
        <v>-0.1178703</v>
      </c>
      <c r="S8339">
        <v>3.0977480000000002</v>
      </c>
      <c r="T8339">
        <v>-0.80899869999999996</v>
      </c>
      <c r="U8339">
        <v>-0.54388429999999999</v>
      </c>
      <c r="V8339">
        <v>0.1139389</v>
      </c>
      <c r="W8339">
        <v>0.14374200000000001</v>
      </c>
      <c r="X8339">
        <v>0.98303410000000002</v>
      </c>
      <c r="Y8339">
        <v>0.16350410000000001</v>
      </c>
      <c r="Z8339">
        <v>-2.0372680000000001E-2</v>
      </c>
      <c r="AA8339">
        <v>0.98633230000000005</v>
      </c>
      <c r="AB8339">
        <v>21</v>
      </c>
      <c r="AC8339">
        <v>0.61669999999998004</v>
      </c>
      <c r="AD8339">
        <v>-0.18643649999999901</v>
      </c>
      <c r="AE8339">
        <v>-0.12477000000000101</v>
      </c>
      <c r="AF8339">
        <v>0.112346131975812</v>
      </c>
      <c r="AG8339">
        <v>-0.18643649999999901</v>
      </c>
      <c r="AH8339">
        <v>0.56739545369611399</v>
      </c>
      <c r="AI8339">
        <v>107.865445161911</v>
      </c>
      <c r="AJ8339">
        <v>78.800115945340806</v>
      </c>
      <c r="AK8339">
        <v>0.60771524810325095</v>
      </c>
      <c r="AL8339">
        <v>81.735561507587306</v>
      </c>
      <c r="AM8339">
        <v>83.388613858883502</v>
      </c>
      <c r="AN8339">
        <v>0.99999993863000802</v>
      </c>
    </row>
    <row r="8340" spans="1:40" x14ac:dyDescent="0.25">
      <c r="A8340" t="str">
        <f>"20190303162116022"</f>
        <v>20190303162116022</v>
      </c>
      <c r="B8340" t="str">
        <f>"1551601276010600"</f>
        <v>1551601276010600</v>
      </c>
      <c r="C8340" t="s">
        <v>40</v>
      </c>
      <c r="D8340">
        <v>4.8113890000000001</v>
      </c>
      <c r="E8340">
        <v>0.52166809999999997</v>
      </c>
      <c r="F8340" t="s">
        <v>42</v>
      </c>
      <c r="G8340">
        <v>-333.53910000000002</v>
      </c>
      <c r="H8340">
        <v>0.91145869999999996</v>
      </c>
      <c r="I8340">
        <v>18.025939999999999</v>
      </c>
      <c r="J8340">
        <v>-334.22840000000002</v>
      </c>
      <c r="K8340">
        <v>1.120384</v>
      </c>
      <c r="L8340">
        <v>18.165099999999999</v>
      </c>
      <c r="M8340">
        <v>0.99996779999999996</v>
      </c>
      <c r="N8340">
        <v>-6.6532800000000001E-3</v>
      </c>
      <c r="O8340">
        <v>-4.5197780000000003E-3</v>
      </c>
      <c r="P8340">
        <v>0.98334100000000002</v>
      </c>
      <c r="Q8340">
        <v>0.1376616</v>
      </c>
      <c r="R8340">
        <v>-0.1187024</v>
      </c>
      <c r="S8340">
        <v>3.0988769999999999</v>
      </c>
      <c r="T8340">
        <v>-0.81401800000000002</v>
      </c>
      <c r="U8340">
        <v>-0.54388429999999999</v>
      </c>
      <c r="V8340">
        <v>0.11441030000000001</v>
      </c>
      <c r="W8340">
        <v>0.14408270000000001</v>
      </c>
      <c r="X8340">
        <v>0.98292950000000001</v>
      </c>
      <c r="Y8340">
        <v>0.1630443</v>
      </c>
      <c r="Z8340">
        <v>-2.0331140000000001E-2</v>
      </c>
      <c r="AA8340">
        <v>0.98640919999999999</v>
      </c>
      <c r="AB8340">
        <v>21</v>
      </c>
      <c r="AC8340">
        <v>0.68930000000000202</v>
      </c>
      <c r="AD8340">
        <v>-0.20892530000000001</v>
      </c>
      <c r="AE8340">
        <v>-0.13916000000000001</v>
      </c>
      <c r="AF8340">
        <v>0.12500846270949401</v>
      </c>
      <c r="AG8340">
        <v>-0.20892530000000001</v>
      </c>
      <c r="AH8340">
        <v>0.633961795926129</v>
      </c>
      <c r="AI8340">
        <v>107.917528355637</v>
      </c>
      <c r="AJ8340">
        <v>78.845173979152406</v>
      </c>
      <c r="AK8340">
        <v>0.67910562906146199</v>
      </c>
      <c r="AL8340">
        <v>81.715835769899101</v>
      </c>
      <c r="AM8340">
        <v>83.360804045815399</v>
      </c>
      <c r="AN8340">
        <v>0.99999997157781395</v>
      </c>
    </row>
    <row r="8341" spans="1:40" x14ac:dyDescent="0.25">
      <c r="A8341" t="str">
        <f>"20190303162116034"</f>
        <v>20190303162116034</v>
      </c>
      <c r="B8341" t="str">
        <f>"1551601276021336"</f>
        <v>1551601276021336</v>
      </c>
      <c r="C8341" t="s">
        <v>40</v>
      </c>
      <c r="D8341">
        <v>4.8458610000000002</v>
      </c>
      <c r="E8341">
        <v>0.52136340000000003</v>
      </c>
      <c r="F8341" t="s">
        <v>42</v>
      </c>
      <c r="G8341">
        <v>-333.529</v>
      </c>
      <c r="H8341">
        <v>0.93569860000000005</v>
      </c>
      <c r="I8341">
        <v>18.041930000000001</v>
      </c>
      <c r="J8341">
        <v>-334.11989999999997</v>
      </c>
      <c r="K8341">
        <v>1.1203780000000001</v>
      </c>
      <c r="L8341">
        <v>18.164180000000002</v>
      </c>
      <c r="M8341">
        <v>0.99996600000000002</v>
      </c>
      <c r="N8341">
        <v>-6.6496139999999999E-3</v>
      </c>
      <c r="O8341">
        <v>-4.9054709999999998E-3</v>
      </c>
      <c r="P8341">
        <v>0.98311389999999999</v>
      </c>
      <c r="Q8341">
        <v>0.13821410000000001</v>
      </c>
      <c r="R8341">
        <v>-0.1199342</v>
      </c>
      <c r="S8341">
        <v>3.099701</v>
      </c>
      <c r="T8341">
        <v>-0.81834629999999997</v>
      </c>
      <c r="U8341">
        <v>-0.54409790000000002</v>
      </c>
      <c r="V8341">
        <v>0.1152672</v>
      </c>
      <c r="W8341">
        <v>0.1446267</v>
      </c>
      <c r="X8341">
        <v>0.98274950000000005</v>
      </c>
      <c r="Y8341">
        <v>0.1626581</v>
      </c>
      <c r="Z8341">
        <v>-2.0279430000000001E-2</v>
      </c>
      <c r="AA8341">
        <v>0.98647399999999996</v>
      </c>
      <c r="AB8341">
        <v>21</v>
      </c>
      <c r="AC8341">
        <v>0.590899999999976</v>
      </c>
      <c r="AD8341">
        <v>-0.18467939999999999</v>
      </c>
      <c r="AE8341">
        <v>-0.122250000000001</v>
      </c>
      <c r="AF8341">
        <v>0.109127683649065</v>
      </c>
      <c r="AG8341">
        <v>-0.18467939999999999</v>
      </c>
      <c r="AH8341">
        <v>0.54083211550051102</v>
      </c>
      <c r="AI8341">
        <v>108.50676562268799</v>
      </c>
      <c r="AJ8341">
        <v>78.592181860219</v>
      </c>
      <c r="AK8341">
        <v>0.58182016919296298</v>
      </c>
      <c r="AL8341">
        <v>81.684337140146695</v>
      </c>
      <c r="AM8341">
        <v>83.310313305413104</v>
      </c>
      <c r="AN8341">
        <v>0.99999999474948997</v>
      </c>
    </row>
    <row r="8342" spans="1:40" x14ac:dyDescent="0.25">
      <c r="A8342" t="str">
        <f>"20190303162116045"</f>
        <v>20190303162116045</v>
      </c>
      <c r="B8342" t="str">
        <f>"1551601276040857"</f>
        <v>1551601276040857</v>
      </c>
      <c r="C8342" t="s">
        <v>40</v>
      </c>
      <c r="D8342">
        <v>4.8204269999999996</v>
      </c>
      <c r="E8342">
        <v>0.52085159999999997</v>
      </c>
      <c r="F8342" t="s">
        <v>42</v>
      </c>
      <c r="G8342">
        <v>-333.34870000000001</v>
      </c>
      <c r="H8342">
        <v>0.91603699999999999</v>
      </c>
      <c r="I8342">
        <v>18.028479999999998</v>
      </c>
      <c r="J8342">
        <v>-334.01130000000001</v>
      </c>
      <c r="K8342">
        <v>1.1203700000000001</v>
      </c>
      <c r="L8342">
        <v>18.163239999999998</v>
      </c>
      <c r="M8342">
        <v>0.99996390000000002</v>
      </c>
      <c r="N8342">
        <v>-6.6463609999999999E-3</v>
      </c>
      <c r="O8342">
        <v>-5.2927099999999999E-3</v>
      </c>
      <c r="P8342">
        <v>0.98289870000000001</v>
      </c>
      <c r="Q8342">
        <v>0.13844679999999901</v>
      </c>
      <c r="R8342">
        <v>-0.1214186</v>
      </c>
      <c r="S8342">
        <v>3.1004939999999999</v>
      </c>
      <c r="T8342">
        <v>-0.82149059999999896</v>
      </c>
      <c r="U8342">
        <v>-0.54528809999999905</v>
      </c>
      <c r="V8342">
        <v>0.11637450000000001</v>
      </c>
      <c r="W8342">
        <v>0.1448527</v>
      </c>
      <c r="X8342">
        <v>0.98258570000000001</v>
      </c>
      <c r="Y8342">
        <v>0.16257869999999999</v>
      </c>
      <c r="Z8342">
        <v>-2.0238849999999999E-2</v>
      </c>
      <c r="AA8342">
        <v>0.98648800000000003</v>
      </c>
      <c r="AB8342">
        <v>21</v>
      </c>
      <c r="AC8342">
        <v>0.66259999999999697</v>
      </c>
      <c r="AD8342">
        <v>-0.20433299999999999</v>
      </c>
      <c r="AE8342">
        <v>-0.13475999999999999</v>
      </c>
      <c r="AF8342">
        <v>0.12026805868698601</v>
      </c>
      <c r="AG8342">
        <v>-0.20433299999999999</v>
      </c>
      <c r="AH8342">
        <v>0.60779902777064698</v>
      </c>
      <c r="AI8342">
        <v>108.252077486929</v>
      </c>
      <c r="AJ8342">
        <v>78.807201705610794</v>
      </c>
      <c r="AK8342">
        <v>0.652407877779139</v>
      </c>
      <c r="AL8342">
        <v>81.671250477028494</v>
      </c>
      <c r="AM8342">
        <v>83.245525032275197</v>
      </c>
      <c r="AN8342">
        <v>0.99999999339601497</v>
      </c>
    </row>
    <row r="8343" spans="1:40" x14ac:dyDescent="0.25">
      <c r="A8343" t="str">
        <f>"20190303162116056"</f>
        <v>20190303162116056</v>
      </c>
      <c r="B8343" t="str">
        <f>"1551601276050616"</f>
        <v>1551601276050616</v>
      </c>
      <c r="C8343" t="s">
        <v>40</v>
      </c>
      <c r="D8343">
        <v>4.8406599999999997</v>
      </c>
      <c r="E8343">
        <v>0.52060770000000001</v>
      </c>
      <c r="F8343" t="s">
        <v>42</v>
      </c>
      <c r="G8343">
        <v>-333.1678</v>
      </c>
      <c r="H8343">
        <v>0.89465450000000002</v>
      </c>
      <c r="I8343">
        <v>18.014620000000001</v>
      </c>
      <c r="J8343">
        <v>-333.90839999999997</v>
      </c>
      <c r="K8343">
        <v>1.1203650000000001</v>
      </c>
      <c r="L8343">
        <v>18.16226</v>
      </c>
      <c r="M8343">
        <v>0.99996189999999996</v>
      </c>
      <c r="N8343">
        <v>-6.6445810000000001E-3</v>
      </c>
      <c r="O8343">
        <v>-5.6646719999999999E-3</v>
      </c>
      <c r="P8343">
        <v>0.98267610000000005</v>
      </c>
      <c r="Q8343">
        <v>0.13857710000000001</v>
      </c>
      <c r="R8343">
        <v>-0.12306159999999999</v>
      </c>
      <c r="S8343">
        <v>3.1017459999999999</v>
      </c>
      <c r="T8343">
        <v>-0.82987080000000002</v>
      </c>
      <c r="U8343">
        <v>-0.54522709999999996</v>
      </c>
      <c r="V8343">
        <v>0.1176545</v>
      </c>
      <c r="W8343">
        <v>0.1449773</v>
      </c>
      <c r="X8343">
        <v>0.98241489999999998</v>
      </c>
      <c r="Y8343">
        <v>0.16205240000000001</v>
      </c>
      <c r="Z8343">
        <v>-2.0259929999999999E-2</v>
      </c>
      <c r="AA8343">
        <v>0.98657419999999996</v>
      </c>
      <c r="AB8343">
        <v>21</v>
      </c>
      <c r="AC8343">
        <v>0.74059999999997195</v>
      </c>
      <c r="AD8343">
        <v>-0.22571050000000001</v>
      </c>
      <c r="AE8343">
        <v>-0.14763999999999899</v>
      </c>
      <c r="AF8343">
        <v>0.131679028288677</v>
      </c>
      <c r="AG8343">
        <v>-0.22571050000000001</v>
      </c>
      <c r="AH8343">
        <v>0.68062255948249795</v>
      </c>
      <c r="AI8343">
        <v>108.03453523395</v>
      </c>
      <c r="AJ8343">
        <v>79.050349126865797</v>
      </c>
      <c r="AK8343">
        <v>0.72906218169495496</v>
      </c>
      <c r="AL8343">
        <v>81.6640354605901</v>
      </c>
      <c r="AM8343">
        <v>83.170754491780897</v>
      </c>
      <c r="AN8343">
        <v>1.00000001731377</v>
      </c>
    </row>
    <row r="8344" spans="1:40" x14ac:dyDescent="0.25">
      <c r="A8344" t="str">
        <f>"20190303162116067"</f>
        <v>20190303162116067</v>
      </c>
      <c r="B8344" t="str">
        <f>"1551601276061352"</f>
        <v>1551601276061352</v>
      </c>
      <c r="C8344" t="s">
        <v>40</v>
      </c>
      <c r="D8344">
        <v>4.7903320000000003</v>
      </c>
      <c r="E8344">
        <v>0.52034269999999905</v>
      </c>
      <c r="F8344" t="s">
        <v>42</v>
      </c>
      <c r="G8344">
        <v>-333.15820000000002</v>
      </c>
      <c r="H8344">
        <v>0.9189929</v>
      </c>
      <c r="I8344">
        <v>18.029489999999999</v>
      </c>
      <c r="J8344">
        <v>-333.80880000000002</v>
      </c>
      <c r="K8344">
        <v>1.120349</v>
      </c>
      <c r="L8344">
        <v>18.16132</v>
      </c>
      <c r="M8344">
        <v>0.99995990000000001</v>
      </c>
      <c r="N8344">
        <v>-6.6430650000000001E-3</v>
      </c>
      <c r="O8344">
        <v>-6.0251860000000001E-3</v>
      </c>
      <c r="P8344">
        <v>0.98250930000000003</v>
      </c>
      <c r="Q8344">
        <v>0.138353</v>
      </c>
      <c r="R8344">
        <v>-0.1246362</v>
      </c>
      <c r="S8344">
        <v>3.1017459999999999</v>
      </c>
      <c r="T8344">
        <v>-0.83257389999999998</v>
      </c>
      <c r="U8344">
        <v>-0.54760739999999997</v>
      </c>
      <c r="V8344">
        <v>0.1188766</v>
      </c>
      <c r="W8344">
        <v>0.14474790000000001</v>
      </c>
      <c r="X8344">
        <v>0.9823016</v>
      </c>
      <c r="Y8344">
        <v>0.16239709999999999</v>
      </c>
      <c r="Z8344">
        <v>-2.0274850000000001E-2</v>
      </c>
      <c r="AA8344">
        <v>0.98651719999999998</v>
      </c>
      <c r="AB8344">
        <v>21</v>
      </c>
      <c r="AC8344">
        <v>0.65059999999999696</v>
      </c>
      <c r="AD8344">
        <v>-0.20135610000000001</v>
      </c>
      <c r="AE8344">
        <v>-0.13183</v>
      </c>
      <c r="AF8344">
        <v>0.11713056492714601</v>
      </c>
      <c r="AG8344">
        <v>-0.20135610000000001</v>
      </c>
      <c r="AH8344">
        <v>0.59649966020047995</v>
      </c>
      <c r="AI8344">
        <v>108.326791471134</v>
      </c>
      <c r="AJ8344">
        <v>78.890567453230204</v>
      </c>
      <c r="AK8344">
        <v>0.64037152721420298</v>
      </c>
      <c r="AL8344">
        <v>81.677319229479195</v>
      </c>
      <c r="AM8344">
        <v>83.099709983968907</v>
      </c>
      <c r="AN8344">
        <v>1.00000001697226</v>
      </c>
    </row>
    <row r="8345" spans="1:40" x14ac:dyDescent="0.25">
      <c r="A8345" t="str">
        <f>"20190303162116077"</f>
        <v>20190303162116077</v>
      </c>
      <c r="B8345" t="str">
        <f>"1551601276071112"</f>
        <v>1551601276071112</v>
      </c>
      <c r="C8345" t="s">
        <v>40</v>
      </c>
      <c r="D8345">
        <v>4.7927799999999996</v>
      </c>
      <c r="E8345">
        <v>0.52010849999999997</v>
      </c>
      <c r="F8345" t="s">
        <v>42</v>
      </c>
      <c r="G8345">
        <v>-332.97710000000001</v>
      </c>
      <c r="H8345">
        <v>0.89587709999999998</v>
      </c>
      <c r="I8345">
        <v>18.013670000000001</v>
      </c>
      <c r="J8345">
        <v>-333.702</v>
      </c>
      <c r="K8345">
        <v>1.1203430000000001</v>
      </c>
      <c r="L8345">
        <v>18.160250000000001</v>
      </c>
      <c r="M8345">
        <v>0.9999574</v>
      </c>
      <c r="N8345">
        <v>-6.6424530000000004E-3</v>
      </c>
      <c r="O8345">
        <v>-6.4139419999999997E-3</v>
      </c>
      <c r="P8345">
        <v>0.98229239999999995</v>
      </c>
      <c r="Q8345">
        <v>0.13819029999999999</v>
      </c>
      <c r="R8345">
        <v>-0.1265126</v>
      </c>
      <c r="S8345">
        <v>3.1015630000000001</v>
      </c>
      <c r="T8345">
        <v>-0.83704319999999899</v>
      </c>
      <c r="U8345">
        <v>-0.54965209999999998</v>
      </c>
      <c r="V8345">
        <v>0.1203726</v>
      </c>
      <c r="W8345">
        <v>0.1445814</v>
      </c>
      <c r="X8345">
        <v>0.98214389999999996</v>
      </c>
      <c r="Y8345">
        <v>0.16260250000000001</v>
      </c>
      <c r="Z8345">
        <v>-2.0305009999999998E-2</v>
      </c>
      <c r="AA8345">
        <v>0.98648270000000005</v>
      </c>
      <c r="AB8345">
        <v>21</v>
      </c>
      <c r="AC8345">
        <v>0.72489999999999</v>
      </c>
      <c r="AD8345">
        <v>-0.2244659</v>
      </c>
      <c r="AE8345">
        <v>-0.14657999999999999</v>
      </c>
      <c r="AF8345">
        <v>0.129956215287344</v>
      </c>
      <c r="AG8345">
        <v>-0.2244659</v>
      </c>
      <c r="AH8345">
        <v>0.66460383178754801</v>
      </c>
      <c r="AI8345">
        <v>108.33862642714099</v>
      </c>
      <c r="AJ8345">
        <v>78.936022394928401</v>
      </c>
      <c r="AK8345">
        <v>0.71342260363778298</v>
      </c>
      <c r="AL8345">
        <v>81.686960186974801</v>
      </c>
      <c r="AM8345">
        <v>83.012615661741293</v>
      </c>
      <c r="AN8345">
        <v>0.999999992181964</v>
      </c>
    </row>
    <row r="8346" spans="1:40" x14ac:dyDescent="0.25">
      <c r="A8346" t="str">
        <f>"20190303162116090"</f>
        <v>20190303162116090</v>
      </c>
      <c r="B8346" t="str">
        <f>"1551601276080873"</f>
        <v>1551601276080873</v>
      </c>
      <c r="C8346" t="s">
        <v>40</v>
      </c>
      <c r="D8346">
        <v>4.8603759999999996</v>
      </c>
      <c r="E8346">
        <v>0.51988129999999999</v>
      </c>
      <c r="F8346" t="s">
        <v>42</v>
      </c>
      <c r="G8346">
        <v>-332.96719999999999</v>
      </c>
      <c r="H8346">
        <v>0.92110990000000004</v>
      </c>
      <c r="I8346">
        <v>18.0289</v>
      </c>
      <c r="J8346">
        <v>-333.5881</v>
      </c>
      <c r="K8346">
        <v>1.1203379999999901</v>
      </c>
      <c r="L8346">
        <v>18.15906</v>
      </c>
      <c r="M8346">
        <v>0.99995480000000003</v>
      </c>
      <c r="N8346">
        <v>-6.642289E-3</v>
      </c>
      <c r="O8346">
        <v>-6.8293989999999999E-3</v>
      </c>
      <c r="P8346">
        <v>0.98210529999999996</v>
      </c>
      <c r="Q8346">
        <v>0.138074</v>
      </c>
      <c r="R8346">
        <v>-0.12808339999999999</v>
      </c>
      <c r="S8346">
        <v>3.1011660000000001</v>
      </c>
      <c r="T8346">
        <v>-0.84079230000000005</v>
      </c>
      <c r="U8346">
        <v>-0.55328369999999905</v>
      </c>
      <c r="V8346">
        <v>0.12153659999999999</v>
      </c>
      <c r="W8346">
        <v>0.14446249999999999</v>
      </c>
      <c r="X8346">
        <v>0.9820181</v>
      </c>
      <c r="Y8346">
        <v>0.16327559999999999</v>
      </c>
      <c r="Z8346">
        <v>-2.037506E-2</v>
      </c>
      <c r="AA8346">
        <v>0.98637010000000003</v>
      </c>
      <c r="AB8346">
        <v>21</v>
      </c>
      <c r="AC8346">
        <v>0.620900000000006</v>
      </c>
      <c r="AD8346">
        <v>-0.19922809999999899</v>
      </c>
      <c r="AE8346">
        <v>-0.13016</v>
      </c>
      <c r="AF8346">
        <v>0.114612972130548</v>
      </c>
      <c r="AG8346">
        <v>-0.19922809999999899</v>
      </c>
      <c r="AH8346">
        <v>0.56595775253054803</v>
      </c>
      <c r="AI8346">
        <v>109.035241424734</v>
      </c>
      <c r="AJ8346">
        <v>78.5517689696714</v>
      </c>
      <c r="AK8346">
        <v>0.61084871028728305</v>
      </c>
      <c r="AL8346">
        <v>81.693845450232999</v>
      </c>
      <c r="AM8346">
        <v>82.944830808502601</v>
      </c>
      <c r="AN8346">
        <v>1.0000000538867</v>
      </c>
    </row>
    <row r="8347" spans="1:40" x14ac:dyDescent="0.25">
      <c r="A8347" t="str">
        <f>"20190303162116102"</f>
        <v>20190303162116102</v>
      </c>
      <c r="B8347" t="str">
        <f>"1551601276090633"</f>
        <v>1551601276090633</v>
      </c>
      <c r="C8347" t="s">
        <v>40</v>
      </c>
      <c r="D8347">
        <v>4.819502</v>
      </c>
      <c r="E8347">
        <v>0.51964730000000003</v>
      </c>
      <c r="F8347" t="s">
        <v>42</v>
      </c>
      <c r="G8347">
        <v>-332.78399999999999</v>
      </c>
      <c r="H8347">
        <v>0.90133730000000001</v>
      </c>
      <c r="I8347">
        <v>18.014569999999999</v>
      </c>
      <c r="J8347">
        <v>-333.4676</v>
      </c>
      <c r="K8347">
        <v>1.1203399999999999</v>
      </c>
      <c r="L8347">
        <v>18.15775</v>
      </c>
      <c r="M8347">
        <v>0.9999517</v>
      </c>
      <c r="N8347">
        <v>-6.6428260000000001E-3</v>
      </c>
      <c r="O8347">
        <v>-7.2697650000000001E-3</v>
      </c>
      <c r="P8347">
        <v>0.98189970000000004</v>
      </c>
      <c r="Q8347">
        <v>0.13783509999999999</v>
      </c>
      <c r="R8347">
        <v>-0.12990409999999999</v>
      </c>
      <c r="S8347">
        <v>3.1008909999999998</v>
      </c>
      <c r="T8347">
        <v>-0.84446659999999996</v>
      </c>
      <c r="U8347">
        <v>-0.55615230000000004</v>
      </c>
      <c r="V8347">
        <v>0.1229259</v>
      </c>
      <c r="W8347">
        <v>0.14422189999999999</v>
      </c>
      <c r="X8347">
        <v>0.98188050000000004</v>
      </c>
      <c r="Y8347">
        <v>0.163692899999999</v>
      </c>
      <c r="Z8347">
        <v>-2.040163E-2</v>
      </c>
      <c r="AA8347">
        <v>0.98630030000000002</v>
      </c>
      <c r="AB8347">
        <v>21</v>
      </c>
      <c r="AC8347">
        <v>0.68360000000001198</v>
      </c>
      <c r="AD8347">
        <v>-0.219002699999999</v>
      </c>
      <c r="AE8347">
        <v>-0.143179999999997</v>
      </c>
      <c r="AF8347">
        <v>0.125834275435247</v>
      </c>
      <c r="AG8347">
        <v>-0.219002699999999</v>
      </c>
      <c r="AH8347">
        <v>0.623335528463554</v>
      </c>
      <c r="AI8347">
        <v>109.003330662566</v>
      </c>
      <c r="AJ8347">
        <v>78.586947121626594</v>
      </c>
      <c r="AK8347">
        <v>0.67256496230962004</v>
      </c>
      <c r="AL8347">
        <v>81.707776461656493</v>
      </c>
      <c r="AM8347">
        <v>82.864019274620006</v>
      </c>
      <c r="AN8347">
        <v>1.00000002480533</v>
      </c>
    </row>
    <row r="8348" spans="1:40" x14ac:dyDescent="0.25">
      <c r="A8348" t="str">
        <f>"20190303162116116"</f>
        <v>20190303162116116</v>
      </c>
      <c r="B8348" t="str">
        <f>"1551601276111129"</f>
        <v>1551601276111129</v>
      </c>
      <c r="C8348" t="s">
        <v>40</v>
      </c>
      <c r="D8348">
        <v>4.7976830000000001</v>
      </c>
      <c r="E8348">
        <v>0.51953609999999995</v>
      </c>
      <c r="F8348" t="s">
        <v>42</v>
      </c>
      <c r="G8348">
        <v>-332.77229999999997</v>
      </c>
      <c r="H8348">
        <v>0.93004889999999996</v>
      </c>
      <c r="I8348">
        <v>18.031980000000001</v>
      </c>
      <c r="J8348">
        <v>-333.34519999999998</v>
      </c>
      <c r="K8348">
        <v>1.1203350000000001</v>
      </c>
      <c r="L8348">
        <v>18.15634</v>
      </c>
      <c r="M8348">
        <v>0.99994830000000001</v>
      </c>
      <c r="N8348">
        <v>-6.6442430000000002E-3</v>
      </c>
      <c r="O8348">
        <v>-7.7163290000000001E-3</v>
      </c>
      <c r="P8348">
        <v>0.98169550000000005</v>
      </c>
      <c r="Q8348">
        <v>0.13778799999999999</v>
      </c>
      <c r="R8348">
        <v>-0.13148679999999999</v>
      </c>
      <c r="S8348">
        <v>3.1003720000000001</v>
      </c>
      <c r="T8348">
        <v>-0.848400499999999</v>
      </c>
      <c r="U8348">
        <v>-0.55963130000000005</v>
      </c>
      <c r="V8348">
        <v>0.1240714</v>
      </c>
      <c r="W8348">
        <v>0.1441733</v>
      </c>
      <c r="X8348">
        <v>0.98174349999999999</v>
      </c>
      <c r="Y8348">
        <v>0.16429479999999999</v>
      </c>
      <c r="Z8348">
        <v>-2.0458380000000002E-2</v>
      </c>
      <c r="AA8348">
        <v>0.9861991</v>
      </c>
      <c r="AB8348">
        <v>21</v>
      </c>
      <c r="AC8348">
        <v>0.57290000000000396</v>
      </c>
      <c r="AD8348">
        <v>-0.19028610000000001</v>
      </c>
      <c r="AE8348">
        <v>-0.124360000000002</v>
      </c>
      <c r="AF8348">
        <v>0.10850395161364899</v>
      </c>
      <c r="AG8348">
        <v>-0.19028610000000001</v>
      </c>
      <c r="AH8348">
        <v>0.51914719157501299</v>
      </c>
      <c r="AI8348">
        <v>109.737142146484</v>
      </c>
      <c r="AJ8348">
        <v>78.194876227200993</v>
      </c>
      <c r="AK8348">
        <v>0.56346758015808696</v>
      </c>
      <c r="AL8348">
        <v>81.710590040430205</v>
      </c>
      <c r="AM8348">
        <v>82.797222354738494</v>
      </c>
      <c r="AN8348">
        <v>0.99999997626154902</v>
      </c>
    </row>
    <row r="8349" spans="1:40" x14ac:dyDescent="0.25">
      <c r="A8349" t="str">
        <f>"20190303162116129"</f>
        <v>20190303162116129</v>
      </c>
      <c r="B8349" t="str">
        <f>"1551601276120889"</f>
        <v>1551601276120889</v>
      </c>
      <c r="C8349" t="s">
        <v>40</v>
      </c>
      <c r="D8349">
        <v>4.7878449999999999</v>
      </c>
      <c r="E8349">
        <v>0.51953609999999995</v>
      </c>
      <c r="F8349" t="s">
        <v>42</v>
      </c>
      <c r="G8349">
        <v>-332.58769999999998</v>
      </c>
      <c r="H8349">
        <v>0.91268159999999998</v>
      </c>
      <c r="I8349">
        <v>18.01848</v>
      </c>
      <c r="J8349">
        <v>-333.2115</v>
      </c>
      <c r="K8349">
        <v>1.1203320000000001</v>
      </c>
      <c r="L8349">
        <v>18.154820000000001</v>
      </c>
      <c r="M8349">
        <v>0.99994430000000001</v>
      </c>
      <c r="N8349">
        <v>-6.6463299999999998E-3</v>
      </c>
      <c r="O8349">
        <v>-8.2041389999999992E-3</v>
      </c>
      <c r="P8349">
        <v>0.98152890000000004</v>
      </c>
      <c r="Q8349">
        <v>0.13738729999999999</v>
      </c>
      <c r="R8349">
        <v>-0.1331397</v>
      </c>
      <c r="S8349">
        <v>3.0997309999999998</v>
      </c>
      <c r="T8349">
        <v>-0.84974590000000005</v>
      </c>
      <c r="U8349">
        <v>-0.56350710000000004</v>
      </c>
      <c r="V8349">
        <v>0.12524589999999999</v>
      </c>
      <c r="W8349">
        <v>0.1437727</v>
      </c>
      <c r="X8349">
        <v>0.9816532</v>
      </c>
      <c r="Y8349">
        <v>0.16501540000000001</v>
      </c>
      <c r="Z8349">
        <v>-2.0462480000000002E-2</v>
      </c>
      <c r="AA8349">
        <v>0.98607869999999997</v>
      </c>
      <c r="AB8349">
        <v>21</v>
      </c>
      <c r="AC8349">
        <v>0.62380000000001701</v>
      </c>
      <c r="AD8349">
        <v>-0.20765039999999901</v>
      </c>
      <c r="AE8349">
        <v>-0.13633999999999999</v>
      </c>
      <c r="AF8349">
        <v>0.118667632634641</v>
      </c>
      <c r="AG8349">
        <v>-0.20765039999999901</v>
      </c>
      <c r="AH8349">
        <v>0.56513105907994299</v>
      </c>
      <c r="AI8349">
        <v>109.77834936219899</v>
      </c>
      <c r="AJ8349">
        <v>78.141181206130099</v>
      </c>
      <c r="AK8349">
        <v>0.61365610042766505</v>
      </c>
      <c r="AL8349">
        <v>81.733785115775106</v>
      </c>
      <c r="AM8349">
        <v>82.7291030836262</v>
      </c>
      <c r="AN8349">
        <v>1.00000006490116</v>
      </c>
    </row>
    <row r="8350" spans="1:40" x14ac:dyDescent="0.25">
      <c r="A8350" t="str">
        <f>"20190303162116144"</f>
        <v>20190303162116144</v>
      </c>
      <c r="B8350" t="str">
        <f>"1551601276141385"</f>
        <v>1551601276141385</v>
      </c>
      <c r="C8350" t="s">
        <v>40</v>
      </c>
      <c r="D8350">
        <v>4.7658100000000001</v>
      </c>
      <c r="E8350">
        <v>0.54090649999999996</v>
      </c>
      <c r="F8350" t="s">
        <v>42</v>
      </c>
      <c r="G8350">
        <v>-332.40109999999999</v>
      </c>
      <c r="H8350">
        <v>0.89769379999999999</v>
      </c>
      <c r="I8350">
        <v>18.005779999999898</v>
      </c>
      <c r="J8350">
        <v>-333.06400000000002</v>
      </c>
      <c r="K8350">
        <v>1.120325</v>
      </c>
      <c r="L8350">
        <v>18.152979999999999</v>
      </c>
      <c r="M8350">
        <v>0.99993969999999999</v>
      </c>
      <c r="N8350">
        <v>-6.649421E-3</v>
      </c>
      <c r="O8350">
        <v>-8.7407089999999993E-3</v>
      </c>
      <c r="P8350">
        <v>0.98112189999999999</v>
      </c>
      <c r="Q8350">
        <v>0.13699790000000001</v>
      </c>
      <c r="R8350">
        <v>-0.13649829999999999</v>
      </c>
      <c r="S8350">
        <v>3.0984799999999999</v>
      </c>
      <c r="T8350">
        <v>-0.85112809999999905</v>
      </c>
      <c r="U8350">
        <v>-0.56851200000000002</v>
      </c>
      <c r="V8350">
        <v>0.12808030000000001</v>
      </c>
      <c r="W8350">
        <v>0.14338099999999901</v>
      </c>
      <c r="X8350">
        <v>0.98134460000000001</v>
      </c>
      <c r="Y8350">
        <v>0.16605739999999999</v>
      </c>
      <c r="Z8350">
        <v>-2.050186E-2</v>
      </c>
      <c r="AA8350">
        <v>0.98590299999999997</v>
      </c>
      <c r="AB8350">
        <v>21</v>
      </c>
      <c r="AC8350">
        <v>0.66290000000003602</v>
      </c>
      <c r="AD8350">
        <v>-0.2226312</v>
      </c>
      <c r="AE8350">
        <v>-0.147200000000001</v>
      </c>
      <c r="AF8350">
        <v>0.127675986945329</v>
      </c>
      <c r="AG8350">
        <v>-0.2226312</v>
      </c>
      <c r="AH8350">
        <v>0.59969897164271402</v>
      </c>
      <c r="AI8350">
        <v>109.955980766259</v>
      </c>
      <c r="AJ8350">
        <v>77.981167420702803</v>
      </c>
      <c r="AK8350">
        <v>0.65230718641237795</v>
      </c>
      <c r="AL8350">
        <v>81.756461870621493</v>
      </c>
      <c r="AM8350">
        <v>82.564066556240903</v>
      </c>
      <c r="AN8350">
        <v>0.99999994917912305</v>
      </c>
    </row>
    <row r="8351" spans="1:40" x14ac:dyDescent="0.25">
      <c r="A8351" t="str">
        <f>"20190303162116158"</f>
        <v>20190303162116158</v>
      </c>
      <c r="B8351" t="str">
        <f>"1551601276151145"</f>
        <v>1551601276151145</v>
      </c>
      <c r="C8351" t="s">
        <v>40</v>
      </c>
      <c r="D8351">
        <v>4.7188809999999997</v>
      </c>
      <c r="E8351">
        <v>0.54440279999999996</v>
      </c>
      <c r="F8351" t="s">
        <v>41</v>
      </c>
      <c r="G8351">
        <v>-324.2201</v>
      </c>
      <c r="H8351" s="1">
        <v>-3.3591569999999998E-6</v>
      </c>
      <c r="I8351">
        <v>15.97181</v>
      </c>
      <c r="J8351">
        <v>-332.92989999999998</v>
      </c>
      <c r="K8351">
        <v>1.120322</v>
      </c>
      <c r="L8351">
        <v>18.15128</v>
      </c>
      <c r="M8351">
        <v>0.99993529999999997</v>
      </c>
      <c r="N8351">
        <v>-6.6531350000000001E-3</v>
      </c>
      <c r="O8351">
        <v>-9.2267389999999994E-3</v>
      </c>
      <c r="P8351">
        <v>0.98092789999999996</v>
      </c>
      <c r="Q8351">
        <v>0.13650010000000001</v>
      </c>
      <c r="R8351">
        <v>-0.1383779</v>
      </c>
      <c r="S8351">
        <v>3.0077210000000001</v>
      </c>
      <c r="T8351">
        <v>-0.38100990000000001</v>
      </c>
      <c r="U8351">
        <v>-0.74179079999999997</v>
      </c>
      <c r="V8351">
        <v>0.12948380000000001</v>
      </c>
      <c r="W8351">
        <v>0.1428845</v>
      </c>
      <c r="X8351">
        <v>0.98123289999999996</v>
      </c>
      <c r="Y8351">
        <v>0.22872960000000001</v>
      </c>
      <c r="Z8351">
        <v>-1.390779E-2</v>
      </c>
      <c r="AA8351">
        <v>0.97339059999999999</v>
      </c>
      <c r="AB8351">
        <v>21</v>
      </c>
      <c r="AC8351">
        <v>8.7097999999999693</v>
      </c>
      <c r="AD8351">
        <v>-1.1203253591569999</v>
      </c>
      <c r="AE8351">
        <v>-2.17946999999999</v>
      </c>
      <c r="AF8351">
        <v>2.06683130979575</v>
      </c>
      <c r="AG8351">
        <v>-1.1203253591569999</v>
      </c>
      <c r="AH8351">
        <v>8.5957018427892002</v>
      </c>
      <c r="AI8351">
        <v>97.222235840534296</v>
      </c>
      <c r="AJ8351">
        <v>76.479923088642494</v>
      </c>
      <c r="AK8351">
        <v>8.91139779965253</v>
      </c>
      <c r="AL8351">
        <v>81.785205763504905</v>
      </c>
      <c r="AM8351">
        <v>82.482664677053407</v>
      </c>
      <c r="AN8351">
        <v>1.00000001942254</v>
      </c>
    </row>
    <row r="8352" spans="1:40" x14ac:dyDescent="0.25">
      <c r="A8352" t="str">
        <f>"20190303162116172"</f>
        <v>20190303162116172</v>
      </c>
      <c r="B8352" t="str">
        <f>"1551601276160905"</f>
        <v>1551601276160905</v>
      </c>
      <c r="C8352" t="s">
        <v>40</v>
      </c>
      <c r="D8352">
        <v>4.7532110000000003</v>
      </c>
      <c r="E8352">
        <v>0.54509189999999996</v>
      </c>
      <c r="F8352" t="s">
        <v>41</v>
      </c>
      <c r="G8352">
        <v>-322.81240000000003</v>
      </c>
      <c r="H8352" s="1">
        <v>-4.1019420000000004E-6</v>
      </c>
      <c r="I8352">
        <v>15.53572</v>
      </c>
      <c r="J8352">
        <v>-332.79500000000002</v>
      </c>
      <c r="K8352">
        <v>1.120317</v>
      </c>
      <c r="L8352">
        <v>18.149480000000001</v>
      </c>
      <c r="M8352">
        <v>0.99993069999999895</v>
      </c>
      <c r="N8352">
        <v>-6.6596199999999998E-3</v>
      </c>
      <c r="O8352">
        <v>-9.7138559999999999E-3</v>
      </c>
      <c r="P8352">
        <v>0.9806494</v>
      </c>
      <c r="Q8352">
        <v>0.13645959999999999</v>
      </c>
      <c r="R8352">
        <v>-0.14037769999999999</v>
      </c>
      <c r="S8352">
        <v>2.9952390000000002</v>
      </c>
      <c r="T8352">
        <v>-0.3316673</v>
      </c>
      <c r="U8352">
        <v>-0.77432250000000002</v>
      </c>
      <c r="V8352">
        <v>0.13100800000000001</v>
      </c>
      <c r="W8352">
        <v>0.1428468</v>
      </c>
      <c r="X8352">
        <v>0.98103600000000002</v>
      </c>
      <c r="Y8352">
        <v>0.23946329999999999</v>
      </c>
      <c r="Z8352">
        <v>-1.2827160000000001E-2</v>
      </c>
      <c r="AA8352">
        <v>0.97082069999999998</v>
      </c>
      <c r="AB8352">
        <v>22</v>
      </c>
      <c r="AC8352">
        <v>9.9825999999999908</v>
      </c>
      <c r="AD8352">
        <v>-1.1203211019419901</v>
      </c>
      <c r="AE8352">
        <v>-2.6137599999999899</v>
      </c>
      <c r="AF8352">
        <v>2.4873468231707001</v>
      </c>
      <c r="AG8352">
        <v>-1.1203211019419901</v>
      </c>
      <c r="AH8352">
        <v>9.8909355350063102</v>
      </c>
      <c r="AI8352">
        <v>96.268652789255498</v>
      </c>
      <c r="AJ8352">
        <v>75.884114436098898</v>
      </c>
      <c r="AK8352">
        <v>10.260244604679</v>
      </c>
      <c r="AL8352">
        <v>81.787387783112806</v>
      </c>
      <c r="AM8352">
        <v>82.393696682779705</v>
      </c>
      <c r="AN8352">
        <v>0.99999996881511899</v>
      </c>
    </row>
    <row r="8353" spans="1:40" x14ac:dyDescent="0.25">
      <c r="A8353" t="str">
        <f>"20190303162116188"</f>
        <v>20190303162116188</v>
      </c>
      <c r="B8353" t="str">
        <f>"1551601276180424"</f>
        <v>1551601276180424</v>
      </c>
      <c r="C8353" t="s">
        <v>40</v>
      </c>
      <c r="D8353">
        <v>4.7490329999999998</v>
      </c>
      <c r="E8353">
        <v>0.54603740000000001</v>
      </c>
      <c r="F8353" t="s">
        <v>41</v>
      </c>
      <c r="G8353">
        <v>-321.7593</v>
      </c>
      <c r="H8353" s="1">
        <v>-4.6504499999999997E-6</v>
      </c>
      <c r="I8353">
        <v>15.24968</v>
      </c>
      <c r="J8353">
        <v>-332.64229999999998</v>
      </c>
      <c r="K8353">
        <v>1.1203080000000001</v>
      </c>
      <c r="L8353">
        <v>18.147400000000001</v>
      </c>
      <c r="M8353">
        <v>0.99992499999999995</v>
      </c>
      <c r="N8353">
        <v>-6.6710780000000004E-3</v>
      </c>
      <c r="O8353">
        <v>-1.0263700000000001E-2</v>
      </c>
      <c r="P8353">
        <v>0.98020390000000002</v>
      </c>
      <c r="Q8353">
        <v>0.13572200000000001</v>
      </c>
      <c r="R8353">
        <v>-0.144152</v>
      </c>
      <c r="S8353">
        <v>2.9889830000000002</v>
      </c>
      <c r="T8353">
        <v>-0.30343579999999998</v>
      </c>
      <c r="U8353">
        <v>-0.7854004</v>
      </c>
      <c r="V8353">
        <v>0.13424620000000001</v>
      </c>
      <c r="W8353">
        <v>0.142114299999999</v>
      </c>
      <c r="X8353">
        <v>0.98070460000000004</v>
      </c>
      <c r="Y8353">
        <v>0.24299190000000001</v>
      </c>
      <c r="Z8353">
        <v>-1.197022E-2</v>
      </c>
      <c r="AA8353">
        <v>0.96995450000000005</v>
      </c>
      <c r="AB8353">
        <v>22</v>
      </c>
      <c r="AC8353">
        <v>10.8829999999999</v>
      </c>
      <c r="AD8353">
        <v>-1.1203126504500001</v>
      </c>
      <c r="AE8353">
        <v>-2.8977200000000001</v>
      </c>
      <c r="AF8353">
        <v>2.7585678266289801</v>
      </c>
      <c r="AG8353">
        <v>-1.1203126504500001</v>
      </c>
      <c r="AH8353">
        <v>10.805246250589899</v>
      </c>
      <c r="AI8353">
        <v>95.736692252593599</v>
      </c>
      <c r="AJ8353">
        <v>75.678367488927407</v>
      </c>
      <c r="AK8353">
        <v>11.2079500099152</v>
      </c>
      <c r="AL8353">
        <v>81.829789919156198</v>
      </c>
      <c r="AM8353">
        <v>82.205368873070498</v>
      </c>
      <c r="AN8353">
        <v>1.0000000144700401</v>
      </c>
    </row>
    <row r="8354" spans="1:40" x14ac:dyDescent="0.25">
      <c r="A8354" t="str">
        <f>"20190303162116198"</f>
        <v>20190303162116198</v>
      </c>
      <c r="B8354" t="str">
        <f>"1551601276191160"</f>
        <v>1551601276191160</v>
      </c>
      <c r="C8354" t="s">
        <v>40</v>
      </c>
      <c r="D8354">
        <v>4.7525870000000001</v>
      </c>
      <c r="E8354">
        <v>0.54639179999999998</v>
      </c>
      <c r="F8354" t="s">
        <v>41</v>
      </c>
      <c r="G8354">
        <v>-320.85129999999998</v>
      </c>
      <c r="H8354" s="1">
        <v>-5.1292339999999996E-6</v>
      </c>
      <c r="I8354">
        <v>14.97049</v>
      </c>
      <c r="J8354">
        <v>-332.53460000000001</v>
      </c>
      <c r="K8354">
        <v>1.1203080000000001</v>
      </c>
      <c r="L8354">
        <v>18.145869999999999</v>
      </c>
      <c r="M8354">
        <v>0.99992110000000001</v>
      </c>
      <c r="N8354">
        <v>-6.6831620000000003E-3</v>
      </c>
      <c r="O8354">
        <v>-1.065047E-2</v>
      </c>
      <c r="P8354">
        <v>0.97995909999999997</v>
      </c>
      <c r="Q8354">
        <v>0.13538049999999999</v>
      </c>
      <c r="R8354">
        <v>-0.146124799999999</v>
      </c>
      <c r="S8354">
        <v>2.9817200000000001</v>
      </c>
      <c r="T8354">
        <v>-0.28330420000000001</v>
      </c>
      <c r="U8354">
        <v>-0.80337519999999996</v>
      </c>
      <c r="V8354">
        <v>0.13584199999999999</v>
      </c>
      <c r="W8354">
        <v>0.14178099999999999</v>
      </c>
      <c r="X8354">
        <v>0.98053310000000005</v>
      </c>
      <c r="Y8354">
        <v>0.2487741</v>
      </c>
      <c r="Z8354">
        <v>-1.151251E-2</v>
      </c>
      <c r="AA8354">
        <v>0.9684931</v>
      </c>
      <c r="AB8354">
        <v>22</v>
      </c>
      <c r="AC8354">
        <v>11.683299999999999</v>
      </c>
      <c r="AD8354">
        <v>-1.1203131292340001</v>
      </c>
      <c r="AE8354">
        <v>-3.1753800000000001</v>
      </c>
      <c r="AF8354">
        <v>3.0248643307768299</v>
      </c>
      <c r="AG8354">
        <v>-1.1203131292340001</v>
      </c>
      <c r="AH8354">
        <v>11.616987808944801</v>
      </c>
      <c r="AI8354">
        <v>95.3317232879579</v>
      </c>
      <c r="AJ8354">
        <v>75.405239280700201</v>
      </c>
      <c r="AK8354">
        <v>12.0565049446476</v>
      </c>
      <c r="AL8354">
        <v>81.849082082226303</v>
      </c>
      <c r="AM8354">
        <v>82.112510305094204</v>
      </c>
      <c r="AN8354">
        <v>1.0000000305603001</v>
      </c>
    </row>
    <row r="8355" spans="1:40" x14ac:dyDescent="0.25">
      <c r="A8355" t="str">
        <f>"20190303162116210"</f>
        <v>20190303162116210</v>
      </c>
      <c r="B8355" t="str">
        <f>"1551601276200920"</f>
        <v>1551601276200920</v>
      </c>
      <c r="C8355" t="s">
        <v>40</v>
      </c>
      <c r="D8355">
        <v>4.7100569999999999</v>
      </c>
      <c r="E8355">
        <v>0.54658130000000005</v>
      </c>
      <c r="F8355" t="s">
        <v>41</v>
      </c>
      <c r="G8355">
        <v>-320.55799999999999</v>
      </c>
      <c r="H8355" s="1">
        <v>-5.2834379999999999E-6</v>
      </c>
      <c r="I8355">
        <v>14.8827</v>
      </c>
      <c r="J8355">
        <v>-332.42619999999999</v>
      </c>
      <c r="K8355">
        <v>1.120306</v>
      </c>
      <c r="L8355">
        <v>18.144290000000002</v>
      </c>
      <c r="M8355">
        <v>0.99991680000000005</v>
      </c>
      <c r="N8355">
        <v>-6.6969179999999996E-3</v>
      </c>
      <c r="O8355">
        <v>-1.1039149999999999E-2</v>
      </c>
      <c r="P8355">
        <v>0.97970259999999998</v>
      </c>
      <c r="Q8355">
        <v>0.13492750000000001</v>
      </c>
      <c r="R8355">
        <v>-0.14824889999999999</v>
      </c>
      <c r="S8355">
        <v>2.9788209999999999</v>
      </c>
      <c r="T8355">
        <v>-0.27864410000000001</v>
      </c>
      <c r="U8355">
        <v>-0.81161499999999998</v>
      </c>
      <c r="V8355">
        <v>0.13758699999999999</v>
      </c>
      <c r="W8355">
        <v>0.14133780000000001</v>
      </c>
      <c r="X8355">
        <v>0.98035369999999999</v>
      </c>
      <c r="Y8355">
        <v>0.25115290000000001</v>
      </c>
      <c r="Z8355">
        <v>-1.143127E-2</v>
      </c>
      <c r="AA8355">
        <v>0.96787990000000002</v>
      </c>
      <c r="AB8355">
        <v>22</v>
      </c>
      <c r="AC8355">
        <v>11.8682</v>
      </c>
      <c r="AD8355">
        <v>-1.120311283438</v>
      </c>
      <c r="AE8355">
        <v>-3.2615899999999902</v>
      </c>
      <c r="AF8355">
        <v>3.1046517624253198</v>
      </c>
      <c r="AG8355">
        <v>-1.120311283438</v>
      </c>
      <c r="AH8355">
        <v>11.805673943774799</v>
      </c>
      <c r="AI8355">
        <v>95.243661697716902</v>
      </c>
      <c r="AJ8355">
        <v>75.265989897527305</v>
      </c>
      <c r="AK8355">
        <v>12.258380692589499</v>
      </c>
      <c r="AL8355">
        <v>81.874733368460895</v>
      </c>
      <c r="AM8355">
        <v>82.011045881840403</v>
      </c>
      <c r="AN8355">
        <v>0.99999996669076396</v>
      </c>
    </row>
    <row r="8356" spans="1:40" x14ac:dyDescent="0.25">
      <c r="A8356" t="str">
        <f>"20190303162116220"</f>
        <v>20190303162116220</v>
      </c>
      <c r="B8356" t="str">
        <f>"1551601276210681"</f>
        <v>1551601276210681</v>
      </c>
      <c r="C8356" t="s">
        <v>40</v>
      </c>
      <c r="D8356">
        <v>4.7498639999999996</v>
      </c>
      <c r="E8356">
        <v>0.5467978</v>
      </c>
      <c r="F8356" t="s">
        <v>41</v>
      </c>
      <c r="G8356">
        <v>-320.32979999999998</v>
      </c>
      <c r="H8356" s="1">
        <v>-5.4033889999999997E-6</v>
      </c>
      <c r="I8356">
        <v>14.81465</v>
      </c>
      <c r="J8356">
        <v>-332.32409999999999</v>
      </c>
      <c r="K8356">
        <v>1.1203019999999999</v>
      </c>
      <c r="L8356">
        <v>18.14273</v>
      </c>
      <c r="M8356">
        <v>0.99991249999999998</v>
      </c>
      <c r="N8356">
        <v>-6.7114929999999998E-3</v>
      </c>
      <c r="O8356">
        <v>-1.1404589999999999E-2</v>
      </c>
      <c r="P8356">
        <v>0.97940919999999998</v>
      </c>
      <c r="Q8356">
        <v>0.13450799999999999</v>
      </c>
      <c r="R8356">
        <v>-0.1505502</v>
      </c>
      <c r="S8356">
        <v>2.9761660000000001</v>
      </c>
      <c r="T8356">
        <v>-0.2756382</v>
      </c>
      <c r="U8356">
        <v>-0.81921390000000005</v>
      </c>
      <c r="V8356">
        <v>0.13953289999999999</v>
      </c>
      <c r="W8356">
        <v>0.140929</v>
      </c>
      <c r="X8356">
        <v>0.98013749999999999</v>
      </c>
      <c r="Y8356">
        <v>0.25332900000000003</v>
      </c>
      <c r="Z8356">
        <v>-1.1401659999999999E-2</v>
      </c>
      <c r="AA8356">
        <v>0.96731299999999998</v>
      </c>
      <c r="AB8356">
        <v>22</v>
      </c>
      <c r="AC8356">
        <v>11.994300000000001</v>
      </c>
      <c r="AD8356">
        <v>-1.1203074033889999</v>
      </c>
      <c r="AE8356">
        <v>-3.3280799999999999</v>
      </c>
      <c r="AF8356">
        <v>3.16542879697684</v>
      </c>
      <c r="AG8356">
        <v>-1.1203074033889999</v>
      </c>
      <c r="AH8356">
        <v>11.934798139282201</v>
      </c>
      <c r="AI8356">
        <v>95.184361738635602</v>
      </c>
      <c r="AJ8356">
        <v>75.145629470717097</v>
      </c>
      <c r="AK8356">
        <v>12.3981625562917</v>
      </c>
      <c r="AL8356">
        <v>81.8983926950024</v>
      </c>
      <c r="AM8356">
        <v>81.897783981508496</v>
      </c>
      <c r="AN8356">
        <v>0.99999996606482899</v>
      </c>
    </row>
    <row r="8357" spans="1:40" x14ac:dyDescent="0.25">
      <c r="A8357" t="str">
        <f>"20190303162116232"</f>
        <v>20190303162116232</v>
      </c>
      <c r="B8357" t="str">
        <f>"1551601276221417"</f>
        <v>1551601276221417</v>
      </c>
      <c r="C8357" t="s">
        <v>40</v>
      </c>
      <c r="D8357">
        <v>4.7485169999999997</v>
      </c>
      <c r="E8357">
        <v>0.54687819999999898</v>
      </c>
      <c r="F8357" t="s">
        <v>41</v>
      </c>
      <c r="G8357">
        <v>-320.04790000000003</v>
      </c>
      <c r="H8357" s="1">
        <v>-5.5524039999999997E-6</v>
      </c>
      <c r="I8357">
        <v>14.72589</v>
      </c>
      <c r="J8357">
        <v>-332.214</v>
      </c>
      <c r="K8357">
        <v>1.120301</v>
      </c>
      <c r="L8357">
        <v>18.14105</v>
      </c>
      <c r="M8357">
        <v>0.99990780000000001</v>
      </c>
      <c r="N8357">
        <v>-6.7279549999999999E-3</v>
      </c>
      <c r="O8357">
        <v>-1.179842E-2</v>
      </c>
      <c r="P8357">
        <v>0.97917540000000003</v>
      </c>
      <c r="Q8357">
        <v>0.133985299999999</v>
      </c>
      <c r="R8357">
        <v>-0.15252399999999999</v>
      </c>
      <c r="S8357">
        <v>2.9731450000000001</v>
      </c>
      <c r="T8357">
        <v>-0.2713237</v>
      </c>
      <c r="U8357">
        <v>-0.82751459999999999</v>
      </c>
      <c r="V8357">
        <v>0.1411229</v>
      </c>
      <c r="W8357">
        <v>0.14041909999999999</v>
      </c>
      <c r="X8357">
        <v>0.97998300000000005</v>
      </c>
      <c r="Y8357">
        <v>0.25572840000000002</v>
      </c>
      <c r="Z8357">
        <v>-1.1330359999999999E-2</v>
      </c>
      <c r="AA8357">
        <v>0.96668229999999999</v>
      </c>
      <c r="AB8357">
        <v>22</v>
      </c>
      <c r="AC8357">
        <v>12.166099999999901</v>
      </c>
      <c r="AD8357">
        <v>-1.1203065524039999</v>
      </c>
      <c r="AE8357">
        <v>-3.41515999999999</v>
      </c>
      <c r="AF8357">
        <v>3.2458653086568301</v>
      </c>
      <c r="AG8357">
        <v>-1.1203065524039999</v>
      </c>
      <c r="AH8357">
        <v>12.1103583859067</v>
      </c>
      <c r="AI8357">
        <v>95.106064885872001</v>
      </c>
      <c r="AJ8357">
        <v>74.996007158869304</v>
      </c>
      <c r="AK8357">
        <v>12.587752325510699</v>
      </c>
      <c r="AL8357">
        <v>81.9279010238034</v>
      </c>
      <c r="AM8357">
        <v>81.805430340877294</v>
      </c>
      <c r="AN8357">
        <v>0.99999993841910795</v>
      </c>
    </row>
    <row r="8358" spans="1:40" x14ac:dyDescent="0.25">
      <c r="A8358" t="str">
        <f>"20190303162116243"</f>
        <v>20190303162116243</v>
      </c>
      <c r="B8358" t="str">
        <f>"1551601276231177"</f>
        <v>1551601276231177</v>
      </c>
      <c r="C8358" t="s">
        <v>40</v>
      </c>
      <c r="D8358">
        <v>4.7925940000000002</v>
      </c>
      <c r="E8358">
        <v>0.546705</v>
      </c>
      <c r="F8358" t="s">
        <v>44</v>
      </c>
      <c r="G8358">
        <v>-319.30290000000002</v>
      </c>
      <c r="H8358">
        <v>-0.05</v>
      </c>
      <c r="I8358">
        <v>14.51755</v>
      </c>
      <c r="J8358">
        <v>-332.09640000000002</v>
      </c>
      <c r="K8358">
        <v>1.1202989999999999</v>
      </c>
      <c r="L8358">
        <v>18.139220000000002</v>
      </c>
      <c r="M8358">
        <v>0.99990259999999997</v>
      </c>
      <c r="N8358">
        <v>-6.7460039999999999E-3</v>
      </c>
      <c r="O8358">
        <v>-1.221859E-2</v>
      </c>
      <c r="P8358">
        <v>0.97888260000000005</v>
      </c>
      <c r="Q8358">
        <v>0.13359379999999901</v>
      </c>
      <c r="R8358">
        <v>-0.1547306</v>
      </c>
      <c r="S8358">
        <v>2.9707340000000002</v>
      </c>
      <c r="T8358">
        <v>-0.26927689999999999</v>
      </c>
      <c r="U8358">
        <v>-0.83374020000000004</v>
      </c>
      <c r="V8358">
        <v>0.14292079999999999</v>
      </c>
      <c r="W8358">
        <v>0.1400409</v>
      </c>
      <c r="X8358">
        <v>0.9797766</v>
      </c>
      <c r="Y8358">
        <v>0.25741160000000002</v>
      </c>
      <c r="Z8358">
        <v>-1.130637E-2</v>
      </c>
      <c r="AA8358">
        <v>0.96623570000000003</v>
      </c>
      <c r="AB8358">
        <v>22</v>
      </c>
      <c r="AC8358">
        <v>12.7934999999999</v>
      </c>
      <c r="AD8358">
        <v>-1.170299</v>
      </c>
      <c r="AE8358">
        <v>-3.6216699999999999</v>
      </c>
      <c r="AF8358">
        <v>3.43843982261764</v>
      </c>
      <c r="AG8358">
        <v>-1.170299</v>
      </c>
      <c r="AH8358">
        <v>12.738114982468399</v>
      </c>
      <c r="AI8358">
        <v>95.068820400780595</v>
      </c>
      <c r="AJ8358">
        <v>74.893993566606994</v>
      </c>
      <c r="AK8358">
        <v>13.245831097736</v>
      </c>
      <c r="AL8358">
        <v>81.9497870182349</v>
      </c>
      <c r="AM8358">
        <v>81.700752860557103</v>
      </c>
      <c r="AN8358">
        <v>0.99999999732650502</v>
      </c>
    </row>
    <row r="8359" spans="1:40" x14ac:dyDescent="0.25">
      <c r="A8359" t="str">
        <f>"20190303162116255"</f>
        <v>20190303162116255</v>
      </c>
      <c r="B8359" t="str">
        <f>"1551601276250701"</f>
        <v>1551601276250701</v>
      </c>
      <c r="C8359" t="s">
        <v>40</v>
      </c>
      <c r="D8359">
        <v>4.7680309999999997</v>
      </c>
      <c r="E8359">
        <v>0.54694299999999996</v>
      </c>
      <c r="F8359" t="s">
        <v>44</v>
      </c>
      <c r="G8359">
        <v>-319.12090000000001</v>
      </c>
      <c r="H8359">
        <v>-0.05</v>
      </c>
      <c r="I8359">
        <v>14.474119999999999</v>
      </c>
      <c r="J8359">
        <v>-331.98430000000002</v>
      </c>
      <c r="K8359">
        <v>1.120298</v>
      </c>
      <c r="L8359">
        <v>18.13739</v>
      </c>
      <c r="M8359">
        <v>0.99989749999999999</v>
      </c>
      <c r="N8359">
        <v>-6.7632150000000004E-3</v>
      </c>
      <c r="O8359">
        <v>-1.261897E-2</v>
      </c>
      <c r="P8359">
        <v>0.97856460000000001</v>
      </c>
      <c r="Q8359">
        <v>0.13331279999999901</v>
      </c>
      <c r="R8359">
        <v>-0.156969</v>
      </c>
      <c r="S8359">
        <v>2.96875</v>
      </c>
      <c r="T8359">
        <v>-0.26776030000000001</v>
      </c>
      <c r="U8359">
        <v>-0.83856200000000003</v>
      </c>
      <c r="V8359">
        <v>0.1447706</v>
      </c>
      <c r="W8359">
        <v>0.13977229999999999</v>
      </c>
      <c r="X8359">
        <v>0.97954330000000001</v>
      </c>
      <c r="Y8359">
        <v>0.25865270000000001</v>
      </c>
      <c r="Z8359">
        <v>-1.128179E-2</v>
      </c>
      <c r="AA8359">
        <v>0.96590450000000005</v>
      </c>
      <c r="AB8359">
        <v>22</v>
      </c>
      <c r="AC8359">
        <v>12.8634</v>
      </c>
      <c r="AD8359">
        <v>-1.1702980000000001</v>
      </c>
      <c r="AE8359">
        <v>-3.66326999999999</v>
      </c>
      <c r="AF8359">
        <v>3.4740535753016002</v>
      </c>
      <c r="AG8359">
        <v>-1.1702980000000001</v>
      </c>
      <c r="AH8359">
        <v>12.810523149836699</v>
      </c>
      <c r="AI8359">
        <v>95.038728534301299</v>
      </c>
      <c r="AJ8359">
        <v>74.827028831704396</v>
      </c>
      <c r="AK8359">
        <v>13.3247194726708</v>
      </c>
      <c r="AL8359">
        <v>81.965329143268505</v>
      </c>
      <c r="AM8359">
        <v>81.592888694131503</v>
      </c>
      <c r="AN8359">
        <v>0.99999994952326798</v>
      </c>
    </row>
    <row r="8360" spans="1:40" x14ac:dyDescent="0.25">
      <c r="A8360" t="str">
        <f>"20190303162116266"</f>
        <v>20190303162116266</v>
      </c>
      <c r="B8360" t="str">
        <f>"1551601276260461"</f>
        <v>1551601276260461</v>
      </c>
      <c r="C8360" t="s">
        <v>40</v>
      </c>
      <c r="D8360">
        <v>4.7657579999999999</v>
      </c>
      <c r="E8360">
        <v>0.54699929999999997</v>
      </c>
      <c r="F8360" t="s">
        <v>44</v>
      </c>
      <c r="G8360">
        <v>-318.93610000000001</v>
      </c>
      <c r="H8360">
        <v>-0.05</v>
      </c>
      <c r="I8360">
        <v>14.41283</v>
      </c>
      <c r="J8360">
        <v>-331.87720000000002</v>
      </c>
      <c r="K8360">
        <v>1.1202920000000001</v>
      </c>
      <c r="L8360">
        <v>18.135649999999998</v>
      </c>
      <c r="M8360">
        <v>0.99989249999999996</v>
      </c>
      <c r="N8360">
        <v>-6.7798219999999996E-3</v>
      </c>
      <c r="O8360">
        <v>-1.300159E-2</v>
      </c>
      <c r="P8360">
        <v>0.97824080000000002</v>
      </c>
      <c r="Q8360">
        <v>0.1333261</v>
      </c>
      <c r="R8360">
        <v>-0.1589624</v>
      </c>
      <c r="S8360">
        <v>2.9661870000000001</v>
      </c>
      <c r="T8360">
        <v>-0.26603779999999999</v>
      </c>
      <c r="U8360">
        <v>-0.84667969999999904</v>
      </c>
      <c r="V8360">
        <v>0.1463932</v>
      </c>
      <c r="W8360">
        <v>0.13979829999999999</v>
      </c>
      <c r="X8360">
        <v>0.97929849999999996</v>
      </c>
      <c r="Y8360">
        <v>0.26095030000000002</v>
      </c>
      <c r="Z8360">
        <v>-1.130098E-2</v>
      </c>
      <c r="AA8360">
        <v>0.96528610000000004</v>
      </c>
      <c r="AB8360">
        <v>22</v>
      </c>
      <c r="AC8360">
        <v>12.9411</v>
      </c>
      <c r="AD8360">
        <v>-1.1702920000000001</v>
      </c>
      <c r="AE8360">
        <v>-3.7228199999999898</v>
      </c>
      <c r="AF8360">
        <v>3.52760284636441</v>
      </c>
      <c r="AG8360">
        <v>-1.1702920000000001</v>
      </c>
      <c r="AH8360">
        <v>12.891044677803601</v>
      </c>
      <c r="AI8360">
        <v>95.004282917369807</v>
      </c>
      <c r="AJ8360">
        <v>74.695814947197107</v>
      </c>
      <c r="AK8360">
        <v>13.4161320093413</v>
      </c>
      <c r="AL8360">
        <v>81.963825437193407</v>
      </c>
      <c r="AM8360">
        <v>81.497936426020999</v>
      </c>
      <c r="AN8360">
        <v>1.0000000428956799</v>
      </c>
    </row>
    <row r="8361" spans="1:40" x14ac:dyDescent="0.25">
      <c r="A8361" t="str">
        <f>"20190303162116278"</f>
        <v>20190303162116278</v>
      </c>
      <c r="B8361" t="str">
        <f>"1551601276271197"</f>
        <v>1551601276271197</v>
      </c>
      <c r="C8361" t="s">
        <v>40</v>
      </c>
      <c r="D8361">
        <v>4.7641080000000002</v>
      </c>
      <c r="E8361">
        <v>0.54698840000000004</v>
      </c>
      <c r="F8361" t="s">
        <v>44</v>
      </c>
      <c r="G8361">
        <v>-318.74770000000001</v>
      </c>
      <c r="H8361">
        <v>-0.05</v>
      </c>
      <c r="I8361">
        <v>14.359859999999999</v>
      </c>
      <c r="J8361">
        <v>-331.76049999999998</v>
      </c>
      <c r="K8361">
        <v>1.120288</v>
      </c>
      <c r="L8361">
        <v>18.133669999999999</v>
      </c>
      <c r="M8361">
        <v>0.99988699999999997</v>
      </c>
      <c r="N8361">
        <v>-6.7992269999999997E-3</v>
      </c>
      <c r="O8361">
        <v>-1.3418319999999999E-2</v>
      </c>
      <c r="P8361">
        <v>0.97785160000000004</v>
      </c>
      <c r="Q8361">
        <v>0.13318440000000001</v>
      </c>
      <c r="R8361">
        <v>-0.1614572</v>
      </c>
      <c r="S8361">
        <v>2.9642029999999999</v>
      </c>
      <c r="T8361">
        <v>-0.26421260000000002</v>
      </c>
      <c r="U8361">
        <v>-0.85244750000000002</v>
      </c>
      <c r="V8361">
        <v>0.1484849</v>
      </c>
      <c r="W8361">
        <v>0.13966979999999901</v>
      </c>
      <c r="X8361">
        <v>0.97900180000000003</v>
      </c>
      <c r="Y8361">
        <v>0.26246170000000002</v>
      </c>
      <c r="Z8361">
        <v>-1.127505E-2</v>
      </c>
      <c r="AA8361">
        <v>0.96487650000000003</v>
      </c>
      <c r="AB8361">
        <v>22</v>
      </c>
      <c r="AC8361">
        <v>13.012799999999899</v>
      </c>
      <c r="AD8361">
        <v>-1.170288</v>
      </c>
      <c r="AE8361">
        <v>-3.7738100000000001</v>
      </c>
      <c r="AF8361">
        <v>3.5722055600628702</v>
      </c>
      <c r="AG8361">
        <v>-1.170288</v>
      </c>
      <c r="AH8361">
        <v>12.965537264319501</v>
      </c>
      <c r="AI8361">
        <v>94.973298437267403</v>
      </c>
      <c r="AJ8361">
        <v>74.596296798876196</v>
      </c>
      <c r="AK8361">
        <v>13.4994586231724</v>
      </c>
      <c r="AL8361">
        <v>81.9712603161326</v>
      </c>
      <c r="AM8361">
        <v>81.375696290773405</v>
      </c>
      <c r="AN8361">
        <v>0.99999997148164399</v>
      </c>
    </row>
    <row r="8362" spans="1:40" x14ac:dyDescent="0.25">
      <c r="A8362" t="str">
        <f>"20190303162116289"</f>
        <v>20190303162116289</v>
      </c>
      <c r="B8362" t="str">
        <f>"1551601276280957"</f>
        <v>1551601276280957</v>
      </c>
      <c r="C8362" t="s">
        <v>40</v>
      </c>
      <c r="D8362">
        <v>4.7919559999999999</v>
      </c>
      <c r="E8362">
        <v>0.54697510000000005</v>
      </c>
      <c r="F8362" t="s">
        <v>44</v>
      </c>
      <c r="G8362">
        <v>-318.53750000000002</v>
      </c>
      <c r="H8362">
        <v>-0.05</v>
      </c>
      <c r="I8362">
        <v>14.29735</v>
      </c>
      <c r="J8362">
        <v>-331.64589999999998</v>
      </c>
      <c r="K8362">
        <v>1.120287</v>
      </c>
      <c r="L8362">
        <v>18.13165</v>
      </c>
      <c r="M8362">
        <v>0.99988129999999997</v>
      </c>
      <c r="N8362">
        <v>-6.8190330000000004E-3</v>
      </c>
      <c r="O8362">
        <v>-1.382777E-2</v>
      </c>
      <c r="P8362">
        <v>0.97753599999999996</v>
      </c>
      <c r="Q8362">
        <v>0.13279489999999999</v>
      </c>
      <c r="R8362">
        <v>-0.16367429999999999</v>
      </c>
      <c r="S8362">
        <v>2.9617610000000001</v>
      </c>
      <c r="T8362">
        <v>-0.26212819999999998</v>
      </c>
      <c r="U8362">
        <v>-0.85928340000000003</v>
      </c>
      <c r="V8362">
        <v>0.1503051</v>
      </c>
      <c r="W8362">
        <v>0.13929540000000001</v>
      </c>
      <c r="X8362">
        <v>0.97877740000000002</v>
      </c>
      <c r="Y8362">
        <v>0.26434049999999998</v>
      </c>
      <c r="Z8362">
        <v>-1.125752E-2</v>
      </c>
      <c r="AA8362">
        <v>0.96436370000000005</v>
      </c>
      <c r="AB8362">
        <v>22</v>
      </c>
      <c r="AC8362">
        <v>13.1083999999999</v>
      </c>
      <c r="AD8362">
        <v>-1.1702870000000001</v>
      </c>
      <c r="AE8362">
        <v>-3.8342999999999998</v>
      </c>
      <c r="AF8362">
        <v>3.6260457955606999</v>
      </c>
      <c r="AG8362">
        <v>-1.1702870000000001</v>
      </c>
      <c r="AH8362">
        <v>13.0642462598547</v>
      </c>
      <c r="AI8362">
        <v>94.933331430186399</v>
      </c>
      <c r="AJ8362">
        <v>74.487743945237696</v>
      </c>
      <c r="AK8362">
        <v>13.6085381328047</v>
      </c>
      <c r="AL8362">
        <v>81.992923977888196</v>
      </c>
      <c r="AM8362">
        <v>81.269623562891198</v>
      </c>
      <c r="AN8362">
        <v>1.0000000151489601</v>
      </c>
    </row>
    <row r="8363" spans="1:40" x14ac:dyDescent="0.25">
      <c r="A8363" t="str">
        <f>"20190303162116301"</f>
        <v>20190303162116301</v>
      </c>
      <c r="B8363" t="str">
        <f>"1551601276290717"</f>
        <v>1551601276290717</v>
      </c>
      <c r="C8363" t="s">
        <v>40</v>
      </c>
      <c r="D8363">
        <v>4.7631329999999998</v>
      </c>
      <c r="E8363">
        <v>0.54687280000000005</v>
      </c>
      <c r="F8363" t="s">
        <v>44</v>
      </c>
      <c r="G8363">
        <v>-318.387</v>
      </c>
      <c r="H8363">
        <v>-0.05</v>
      </c>
      <c r="I8363">
        <v>14.25502</v>
      </c>
      <c r="J8363">
        <v>-331.52339999999998</v>
      </c>
      <c r="K8363">
        <v>1.1202890000000001</v>
      </c>
      <c r="L8363">
        <v>18.129490000000001</v>
      </c>
      <c r="M8363">
        <v>0.99987490000000001</v>
      </c>
      <c r="N8363">
        <v>-6.8414039999999997E-3</v>
      </c>
      <c r="O8363">
        <v>-1.4265369999999999E-2</v>
      </c>
      <c r="P8363">
        <v>0.97723139999999997</v>
      </c>
      <c r="Q8363">
        <v>0.132553</v>
      </c>
      <c r="R8363">
        <v>-0.16567699999999999</v>
      </c>
      <c r="S8363">
        <v>2.9595030000000002</v>
      </c>
      <c r="T8363">
        <v>-0.26121820000000001</v>
      </c>
      <c r="U8363">
        <v>-0.86529539999999905</v>
      </c>
      <c r="V8363">
        <v>0.151883399999999</v>
      </c>
      <c r="W8363">
        <v>0.139072</v>
      </c>
      <c r="X8363">
        <v>0.97856549999999998</v>
      </c>
      <c r="Y8363">
        <v>0.26592169999999998</v>
      </c>
      <c r="Z8363">
        <v>-1.126924E-2</v>
      </c>
      <c r="AA8363">
        <v>0.96392880000000003</v>
      </c>
      <c r="AB8363">
        <v>22</v>
      </c>
      <c r="AC8363">
        <v>13.136399999999901</v>
      </c>
      <c r="AD8363">
        <v>-1.1702889999999999</v>
      </c>
      <c r="AE8363">
        <v>-3.8744699999999899</v>
      </c>
      <c r="AF8363">
        <v>3.6599528721215302</v>
      </c>
      <c r="AG8363">
        <v>-1.1702889999999999</v>
      </c>
      <c r="AH8363">
        <v>13.0947250907872</v>
      </c>
      <c r="AI8363">
        <v>94.919454073632593</v>
      </c>
      <c r="AJ8363">
        <v>74.384414664677806</v>
      </c>
      <c r="AK8363">
        <v>13.6468551898583</v>
      </c>
      <c r="AL8363">
        <v>82.005849649417399</v>
      </c>
      <c r="AM8363">
        <v>81.177503341865602</v>
      </c>
      <c r="AN8363">
        <v>1.0000000130849001</v>
      </c>
    </row>
    <row r="8364" spans="1:40" x14ac:dyDescent="0.25">
      <c r="A8364" t="str">
        <f>"20190303162116315"</f>
        <v>20190303162116315</v>
      </c>
      <c r="B8364" t="str">
        <f>"1551601276301454"</f>
        <v>1551601276301454</v>
      </c>
      <c r="C8364" t="s">
        <v>40</v>
      </c>
      <c r="D8364">
        <v>4.766127</v>
      </c>
      <c r="E8364">
        <v>0.54679940000000005</v>
      </c>
      <c r="F8364" t="s">
        <v>44</v>
      </c>
      <c r="G8364">
        <v>-318.25830000000002</v>
      </c>
      <c r="H8364">
        <v>-0.05</v>
      </c>
      <c r="I8364">
        <v>14.224299999999999</v>
      </c>
      <c r="J8364">
        <v>-331.3965</v>
      </c>
      <c r="K8364">
        <v>1.120288</v>
      </c>
      <c r="L8364">
        <v>18.12717</v>
      </c>
      <c r="M8364">
        <v>0.99986819999999998</v>
      </c>
      <c r="N8364">
        <v>-6.8653000000000004E-3</v>
      </c>
      <c r="O8364">
        <v>-1.4720270000000001E-2</v>
      </c>
      <c r="P8364">
        <v>0.97692520000000005</v>
      </c>
      <c r="Q8364">
        <v>0.13218179999999999</v>
      </c>
      <c r="R8364">
        <v>-0.16776559999999999</v>
      </c>
      <c r="S8364">
        <v>2.9576720000000001</v>
      </c>
      <c r="T8364">
        <v>-0.26093539999999998</v>
      </c>
      <c r="U8364">
        <v>-0.87072749999999999</v>
      </c>
      <c r="V8364">
        <v>0.1535311</v>
      </c>
      <c r="W8364">
        <v>0.13871929999999999</v>
      </c>
      <c r="X8364">
        <v>0.97835839999999996</v>
      </c>
      <c r="Y8364">
        <v>0.26727099999999998</v>
      </c>
      <c r="Z8364">
        <v>-1.129227E-2</v>
      </c>
      <c r="AA8364">
        <v>0.96355519999999995</v>
      </c>
      <c r="AB8364">
        <v>22</v>
      </c>
      <c r="AC8364">
        <v>13.1381999999999</v>
      </c>
      <c r="AD8364">
        <v>-1.170288</v>
      </c>
      <c r="AE8364">
        <v>-3.9028699999999898</v>
      </c>
      <c r="AF8364">
        <v>3.68219784960284</v>
      </c>
      <c r="AG8364">
        <v>-1.170288</v>
      </c>
      <c r="AH8364">
        <v>13.0987263707616</v>
      </c>
      <c r="AI8364">
        <v>94.915903623855499</v>
      </c>
      <c r="AJ8364">
        <v>74.298735537966195</v>
      </c>
      <c r="AK8364">
        <v>13.656675567013</v>
      </c>
      <c r="AL8364">
        <v>82.026255567605006</v>
      </c>
      <c r="AM8364">
        <v>81.081465588768296</v>
      </c>
      <c r="AN8364">
        <v>1.00000000085513</v>
      </c>
    </row>
    <row r="8365" spans="1:40" x14ac:dyDescent="0.25">
      <c r="A8365" t="str">
        <f>"20190303162116327"</f>
        <v>20190303162116327</v>
      </c>
      <c r="B8365" t="str">
        <f>"1551601276320973"</f>
        <v>1551601276320973</v>
      </c>
      <c r="C8365" t="s">
        <v>40</v>
      </c>
      <c r="D8365">
        <v>4.824274</v>
      </c>
      <c r="E8365">
        <v>0.54648730000000001</v>
      </c>
      <c r="F8365" t="s">
        <v>44</v>
      </c>
      <c r="G8365">
        <v>-318.18860000000001</v>
      </c>
      <c r="H8365">
        <v>-0.05</v>
      </c>
      <c r="I8365">
        <v>14.21161</v>
      </c>
      <c r="J8365">
        <v>-331.26760000000002</v>
      </c>
      <c r="K8365">
        <v>1.120288</v>
      </c>
      <c r="L8365">
        <v>18.124790000000001</v>
      </c>
      <c r="M8365">
        <v>0.999861</v>
      </c>
      <c r="N8365">
        <v>-6.8901190000000001E-3</v>
      </c>
      <c r="O8365">
        <v>-1.5183520000000001E-2</v>
      </c>
      <c r="P8365">
        <v>0.97659560000000001</v>
      </c>
      <c r="Q8365">
        <v>0.13216910000000001</v>
      </c>
      <c r="R8365">
        <v>-0.169683</v>
      </c>
      <c r="S8365">
        <v>2.9558409999999999</v>
      </c>
      <c r="T8365">
        <v>-0.26190409999999997</v>
      </c>
      <c r="U8365">
        <v>-0.87628169999999905</v>
      </c>
      <c r="V8365">
        <v>0.15500059999999999</v>
      </c>
      <c r="W8365">
        <v>0.13872689999999999</v>
      </c>
      <c r="X8365">
        <v>0.97812560000000004</v>
      </c>
      <c r="Y8365">
        <v>0.26863949999999998</v>
      </c>
      <c r="Z8365">
        <v>-1.136475E-2</v>
      </c>
      <c r="AA8365">
        <v>0.96317370000000002</v>
      </c>
      <c r="AB8365">
        <v>22</v>
      </c>
      <c r="AC8365">
        <v>13.079000000000001</v>
      </c>
      <c r="AD8365">
        <v>-1.170288</v>
      </c>
      <c r="AE8365">
        <v>-3.9131800000000001</v>
      </c>
      <c r="AF8365">
        <v>3.6870444608501298</v>
      </c>
      <c r="AG8365">
        <v>-1.170288</v>
      </c>
      <c r="AH8365">
        <v>13.0410764081049</v>
      </c>
      <c r="AI8365">
        <v>94.935456939323899</v>
      </c>
      <c r="AJ8365">
        <v>74.213051032628599</v>
      </c>
      <c r="AK8365">
        <v>13.6027035820553</v>
      </c>
      <c r="AL8365">
        <v>82.025815974461196</v>
      </c>
      <c r="AM8365">
        <v>80.995387180239007</v>
      </c>
      <c r="AN8365">
        <v>1.0000000140796601</v>
      </c>
    </row>
    <row r="8366" spans="1:40" x14ac:dyDescent="0.25">
      <c r="A8366" t="str">
        <f>"20190303162116339"</f>
        <v>20190303162116339</v>
      </c>
      <c r="B8366" t="str">
        <f>"1551601276330734"</f>
        <v>1551601276330734</v>
      </c>
      <c r="C8366" t="s">
        <v>40</v>
      </c>
      <c r="D8366">
        <v>4.7628259999999996</v>
      </c>
      <c r="E8366">
        <v>0.54648730000000001</v>
      </c>
      <c r="F8366" t="s">
        <v>44</v>
      </c>
      <c r="G8366">
        <v>-317.76679999999999</v>
      </c>
      <c r="H8366">
        <v>-0.05</v>
      </c>
      <c r="I8366">
        <v>14.10411</v>
      </c>
      <c r="J8366">
        <v>-331.14370000000002</v>
      </c>
      <c r="K8366">
        <v>1.1202859999999999</v>
      </c>
      <c r="L8366">
        <v>18.122409999999999</v>
      </c>
      <c r="M8366">
        <v>0.99985400000000002</v>
      </c>
      <c r="N8366">
        <v>-6.9152440000000001E-3</v>
      </c>
      <c r="O8366">
        <v>-1.5634039999999998E-2</v>
      </c>
      <c r="P8366">
        <v>0.97625130000000004</v>
      </c>
      <c r="Q8366">
        <v>0.1321494</v>
      </c>
      <c r="R8366">
        <v>-0.17166970000000001</v>
      </c>
      <c r="S8366">
        <v>2.9537049999999998</v>
      </c>
      <c r="T8366">
        <v>-0.2560346</v>
      </c>
      <c r="U8366">
        <v>-0.879638699999999</v>
      </c>
      <c r="V8366">
        <v>0.15655289999999999</v>
      </c>
      <c r="W8366">
        <v>0.1387264</v>
      </c>
      <c r="X8366">
        <v>0.97787840000000004</v>
      </c>
      <c r="Y8366">
        <v>0.26944069999999998</v>
      </c>
      <c r="Z8366">
        <v>-1.114537E-2</v>
      </c>
      <c r="AA8366">
        <v>0.96295249999999999</v>
      </c>
      <c r="AB8366">
        <v>22</v>
      </c>
      <c r="AC8366">
        <v>13.376899999999999</v>
      </c>
      <c r="AD8366">
        <v>-1.1702859999999999</v>
      </c>
      <c r="AE8366">
        <v>-4.0183</v>
      </c>
      <c r="AF8366">
        <v>3.7821174625874701</v>
      </c>
      <c r="AG8366">
        <v>-1.1702859999999999</v>
      </c>
      <c r="AH8366">
        <v>13.3444075890067</v>
      </c>
      <c r="AI8366">
        <v>94.822918477053904</v>
      </c>
      <c r="AJ8366">
        <v>74.176028840399596</v>
      </c>
      <c r="AK8366">
        <v>13.919310174148199</v>
      </c>
      <c r="AL8366">
        <v>82.025844747890005</v>
      </c>
      <c r="AM8366">
        <v>80.904446912801305</v>
      </c>
      <c r="AN8366">
        <v>0.99999999487096403</v>
      </c>
    </row>
    <row r="8367" spans="1:40" x14ac:dyDescent="0.25">
      <c r="A8367" t="str">
        <f>"20190303162116357"</f>
        <v>20190303162116357</v>
      </c>
      <c r="B8367" t="str">
        <f>"1551601276351229"</f>
        <v>1551601276351229</v>
      </c>
      <c r="C8367" t="s">
        <v>40</v>
      </c>
      <c r="D8367">
        <v>4.7595020000000003</v>
      </c>
      <c r="E8367">
        <v>0.5530176</v>
      </c>
      <c r="F8367" t="s">
        <v>44</v>
      </c>
      <c r="G8367">
        <v>-317.66180000000003</v>
      </c>
      <c r="H8367">
        <v>-0.05</v>
      </c>
      <c r="I8367">
        <v>14.07855</v>
      </c>
      <c r="J8367">
        <v>-330.98219999999998</v>
      </c>
      <c r="K8367">
        <v>1.1202810000000001</v>
      </c>
      <c r="L8367">
        <v>18.119199999999999</v>
      </c>
      <c r="M8367">
        <v>0.99984430000000002</v>
      </c>
      <c r="N8367">
        <v>-6.9492360000000001E-3</v>
      </c>
      <c r="O8367">
        <v>-1.6230310000000001E-2</v>
      </c>
      <c r="P8367">
        <v>0.97557139999999998</v>
      </c>
      <c r="Q8367">
        <v>0.13229299999999999</v>
      </c>
      <c r="R8367">
        <v>-0.17538309999999999</v>
      </c>
      <c r="S8367">
        <v>2.951965</v>
      </c>
      <c r="T8367">
        <v>-0.25624409999999997</v>
      </c>
      <c r="U8367">
        <v>-0.88543700000000003</v>
      </c>
      <c r="V8367">
        <v>0.1596967</v>
      </c>
      <c r="W8367">
        <v>0.13889219999999999</v>
      </c>
      <c r="X8367">
        <v>0.97734639999999995</v>
      </c>
      <c r="Y8367">
        <v>0.2707522</v>
      </c>
      <c r="Z8367">
        <v>-1.117579E-2</v>
      </c>
      <c r="AA8367">
        <v>0.9625842</v>
      </c>
      <c r="AB8367">
        <v>22</v>
      </c>
      <c r="AC8367">
        <v>13.3203999999999</v>
      </c>
      <c r="AD8367">
        <v>-1.1702809999999999</v>
      </c>
      <c r="AE8367">
        <v>-4.0406499999999896</v>
      </c>
      <c r="AF8367">
        <v>3.7970793510333198</v>
      </c>
      <c r="AG8367">
        <v>-1.1702809999999999</v>
      </c>
      <c r="AH8367">
        <v>13.290287877709099</v>
      </c>
      <c r="AI8367">
        <v>94.839552554279905</v>
      </c>
      <c r="AJ8367">
        <v>74.055185049118293</v>
      </c>
      <c r="AK8367">
        <v>13.8715219456766</v>
      </c>
      <c r="AL8367">
        <v>82.016252545390898</v>
      </c>
      <c r="AM8367">
        <v>80.719978532852295</v>
      </c>
      <c r="AN8367">
        <v>1.0000000324023399</v>
      </c>
    </row>
    <row r="8368" spans="1:40" x14ac:dyDescent="0.25">
      <c r="A8368" t="str">
        <f>"20190303162116369"</f>
        <v>20190303162116369</v>
      </c>
      <c r="B8368" t="str">
        <f>"1551601276360990"</f>
        <v>1551601276360990</v>
      </c>
      <c r="C8368" t="s">
        <v>40</v>
      </c>
      <c r="D8368">
        <v>4.7677550000000002</v>
      </c>
      <c r="E8368">
        <v>0.55319430000000003</v>
      </c>
      <c r="F8368" t="s">
        <v>44</v>
      </c>
      <c r="G8368">
        <v>-283.81630000000001</v>
      </c>
      <c r="H8368">
        <v>-0.05</v>
      </c>
      <c r="I8368">
        <v>2.8179319999999999</v>
      </c>
      <c r="J8368">
        <v>-330.84589999999997</v>
      </c>
      <c r="K8368">
        <v>1.120269</v>
      </c>
      <c r="L8368">
        <v>18.116420000000002</v>
      </c>
      <c r="M8368">
        <v>0.99983549999999999</v>
      </c>
      <c r="N8368">
        <v>-6.9785280000000003E-3</v>
      </c>
      <c r="O8368">
        <v>-1.6744930000000002E-2</v>
      </c>
      <c r="P8368">
        <v>0.97510969999999997</v>
      </c>
      <c r="Q8368">
        <v>0.1327864</v>
      </c>
      <c r="R8368">
        <v>-0.17756449999999999</v>
      </c>
      <c r="S8368">
        <v>2.9149479999999999</v>
      </c>
      <c r="T8368">
        <v>-7.2325589999999995E-2</v>
      </c>
      <c r="U8368">
        <v>-0.94564820000000005</v>
      </c>
      <c r="V8368">
        <v>0.1613868</v>
      </c>
      <c r="W8368">
        <v>0.13940439999999901</v>
      </c>
      <c r="X8368">
        <v>0.97699579999999997</v>
      </c>
      <c r="Y8368">
        <v>0.29250619999999999</v>
      </c>
      <c r="Z8368">
        <v>-4.2931820000000004E-3</v>
      </c>
      <c r="AA8368">
        <v>0.95625400000000005</v>
      </c>
      <c r="AB8368">
        <v>22</v>
      </c>
      <c r="AC8368">
        <v>47.029599999999903</v>
      </c>
      <c r="AD8368">
        <v>-1.170269</v>
      </c>
      <c r="AE8368">
        <v>-15.298488000000001</v>
      </c>
      <c r="AF8368">
        <v>14.5006968659075</v>
      </c>
      <c r="AG8368">
        <v>-1.170269</v>
      </c>
      <c r="AH8368">
        <v>47.252725227792602</v>
      </c>
      <c r="AI8368">
        <v>91.356305261306403</v>
      </c>
      <c r="AJ8368">
        <v>72.940040490204893</v>
      </c>
      <c r="AK8368">
        <v>49.441478341394401</v>
      </c>
      <c r="AL8368">
        <v>81.986617401223796</v>
      </c>
      <c r="AM8368">
        <v>80.620196587394801</v>
      </c>
      <c r="AN8368">
        <v>1.0000000395856099</v>
      </c>
    </row>
    <row r="8369" spans="1:40" x14ac:dyDescent="0.25">
      <c r="A8369" t="str">
        <f>"20190303162116380"</f>
        <v>20190303162116380</v>
      </c>
      <c r="B8369" t="str">
        <f>"1551601276370749"</f>
        <v>1551601276370749</v>
      </c>
      <c r="C8369" t="s">
        <v>40</v>
      </c>
      <c r="D8369">
        <v>4.7950790000000003</v>
      </c>
      <c r="E8369">
        <v>0.55356300000000003</v>
      </c>
      <c r="F8369" t="s">
        <v>44</v>
      </c>
      <c r="G8369">
        <v>-279.74079999999998</v>
      </c>
      <c r="H8369">
        <v>-0.05</v>
      </c>
      <c r="I8369">
        <v>1.3869929999999999</v>
      </c>
      <c r="J8369">
        <v>-330.73099999999999</v>
      </c>
      <c r="K8369">
        <v>1.1202559999999999</v>
      </c>
      <c r="L8369">
        <v>18.114039999999999</v>
      </c>
      <c r="M8369">
        <v>0.99982780000000004</v>
      </c>
      <c r="N8369">
        <v>-7.0034719999999898E-3</v>
      </c>
      <c r="O8369">
        <v>-1.7191370000000001E-2</v>
      </c>
      <c r="P8369">
        <v>0.97468699999999997</v>
      </c>
      <c r="Q8369">
        <v>0.1327969</v>
      </c>
      <c r="R8369">
        <v>-0.17986350000000001</v>
      </c>
      <c r="S8369">
        <v>2.9120789999999999</v>
      </c>
      <c r="T8369">
        <v>-6.6684370000000007E-2</v>
      </c>
      <c r="U8369">
        <v>-0.95327759999999995</v>
      </c>
      <c r="V8369">
        <v>0.1632605</v>
      </c>
      <c r="W8369">
        <v>0.13942950000000001</v>
      </c>
      <c r="X8369">
        <v>0.97668080000000002</v>
      </c>
      <c r="Y8369">
        <v>0.29463240000000002</v>
      </c>
      <c r="Z8369">
        <v>-4.0794350000000002E-3</v>
      </c>
      <c r="AA8369">
        <v>0.9556019</v>
      </c>
      <c r="AB8369">
        <v>22</v>
      </c>
      <c r="AC8369">
        <v>50.990200000000002</v>
      </c>
      <c r="AD8369">
        <v>-1.170256</v>
      </c>
      <c r="AE8369">
        <v>-16.727046999999999</v>
      </c>
      <c r="AF8369">
        <v>15.8404291316286</v>
      </c>
      <c r="AG8369">
        <v>-1.170256</v>
      </c>
      <c r="AH8369">
        <v>51.245861849236199</v>
      </c>
      <c r="AI8369">
        <v>91.249857035767107</v>
      </c>
      <c r="AJ8369">
        <v>72.823280856180006</v>
      </c>
      <c r="AK8369">
        <v>53.6509743700027</v>
      </c>
      <c r="AL8369">
        <v>81.985164618658303</v>
      </c>
      <c r="AM8369">
        <v>80.510261485107605</v>
      </c>
      <c r="AN8369">
        <v>0.99999998070956897</v>
      </c>
    </row>
    <row r="8370" spans="1:40" x14ac:dyDescent="0.25">
      <c r="A8370" t="str">
        <f>"20190303162116391"</f>
        <v>20190303162116391</v>
      </c>
      <c r="B8370" t="str">
        <f>"1551601276380509"</f>
        <v>1551601276380509</v>
      </c>
      <c r="C8370" t="s">
        <v>40</v>
      </c>
      <c r="D8370">
        <v>4.7940040000000002</v>
      </c>
      <c r="E8370">
        <v>0.55351399999999995</v>
      </c>
      <c r="F8370" t="s">
        <v>44</v>
      </c>
      <c r="G8370">
        <v>-278.51799999999997</v>
      </c>
      <c r="H8370">
        <v>-0.05</v>
      </c>
      <c r="I8370">
        <v>0.82858279999999995</v>
      </c>
      <c r="J8370">
        <v>-330.62880000000001</v>
      </c>
      <c r="K8370">
        <v>1.120239</v>
      </c>
      <c r="L8370">
        <v>18.11185</v>
      </c>
      <c r="M8370">
        <v>0.9998205</v>
      </c>
      <c r="N8370">
        <v>-7.0253080000000001E-3</v>
      </c>
      <c r="O8370">
        <v>-1.7601699999999901E-2</v>
      </c>
      <c r="P8370">
        <v>0.97435930000000004</v>
      </c>
      <c r="Q8370">
        <v>0.13282189999999999</v>
      </c>
      <c r="R8370">
        <v>-0.18160989999999999</v>
      </c>
      <c r="S8370">
        <v>2.9090880000000001</v>
      </c>
      <c r="T8370">
        <v>-6.5201759999999997E-2</v>
      </c>
      <c r="U8370">
        <v>-0.96307370000000003</v>
      </c>
      <c r="V8370">
        <v>0.16461719999999999</v>
      </c>
      <c r="W8370">
        <v>0.139465899999999</v>
      </c>
      <c r="X8370">
        <v>0.97644790000000004</v>
      </c>
      <c r="Y8370">
        <v>0.2974349</v>
      </c>
      <c r="Z8370">
        <v>-4.0549260000000004E-3</v>
      </c>
      <c r="AA8370">
        <v>0.95473350000000001</v>
      </c>
      <c r="AB8370">
        <v>22</v>
      </c>
      <c r="AC8370">
        <v>52.110799999999998</v>
      </c>
      <c r="AD8370">
        <v>-1.170239</v>
      </c>
      <c r="AE8370">
        <v>-17.283267199999901</v>
      </c>
      <c r="AF8370">
        <v>16.3558973458148</v>
      </c>
      <c r="AG8370">
        <v>-1.170239</v>
      </c>
      <c r="AH8370">
        <v>52.383149681458903</v>
      </c>
      <c r="AI8370">
        <v>91.221628751973299</v>
      </c>
      <c r="AJ8370">
        <v>72.659764499746402</v>
      </c>
      <c r="AK8370">
        <v>54.889700380436402</v>
      </c>
      <c r="AL8370">
        <v>81.983058876677404</v>
      </c>
      <c r="AM8370">
        <v>80.430613567368297</v>
      </c>
      <c r="AN8370">
        <v>1.00000003060652</v>
      </c>
    </row>
    <row r="8371" spans="1:40" x14ac:dyDescent="0.25">
      <c r="A8371" t="str">
        <f>"20190303162116401"</f>
        <v>20190303162116401</v>
      </c>
      <c r="B8371" t="str">
        <f>"1551601276391245"</f>
        <v>1551601276391245</v>
      </c>
      <c r="C8371" t="s">
        <v>40</v>
      </c>
      <c r="D8371">
        <v>4.7993189999999997</v>
      </c>
      <c r="E8371">
        <v>0.55345800000000001</v>
      </c>
      <c r="F8371" t="s">
        <v>44</v>
      </c>
      <c r="G8371">
        <v>-278.35090000000002</v>
      </c>
      <c r="H8371">
        <v>-0.05</v>
      </c>
      <c r="I8371">
        <v>0.70359799999999995</v>
      </c>
      <c r="J8371">
        <v>-330.51499999999999</v>
      </c>
      <c r="K8371">
        <v>1.1202209999999999</v>
      </c>
      <c r="L8371">
        <v>18.109380000000002</v>
      </c>
      <c r="M8371">
        <v>0.99981189999999998</v>
      </c>
      <c r="N8371">
        <v>-7.0494420000000004E-3</v>
      </c>
      <c r="O8371">
        <v>-1.8068710000000002E-2</v>
      </c>
      <c r="P8371">
        <v>0.97405169999999996</v>
      </c>
      <c r="Q8371">
        <v>0.132797</v>
      </c>
      <c r="R8371">
        <v>-0.18327109999999999</v>
      </c>
      <c r="S8371">
        <v>2.9073790000000002</v>
      </c>
      <c r="T8371">
        <v>-6.5081479999999997E-2</v>
      </c>
      <c r="U8371">
        <v>-0.96813959999999999</v>
      </c>
      <c r="V8371">
        <v>0.16583390000000001</v>
      </c>
      <c r="W8371">
        <v>0.1394531</v>
      </c>
      <c r="X8371">
        <v>0.97624379999999999</v>
      </c>
      <c r="Y8371">
        <v>0.29865419999999998</v>
      </c>
      <c r="Z8371">
        <v>-4.0655910000000003E-3</v>
      </c>
      <c r="AA8371">
        <v>0.95435270000000005</v>
      </c>
      <c r="AB8371">
        <v>22</v>
      </c>
      <c r="AC8371">
        <v>52.164099999999898</v>
      </c>
      <c r="AD8371">
        <v>-1.170221</v>
      </c>
      <c r="AE8371">
        <v>-17.405781999999999</v>
      </c>
      <c r="AF8371">
        <v>16.452928342598302</v>
      </c>
      <c r="AG8371">
        <v>-1.170221</v>
      </c>
      <c r="AH8371">
        <v>52.446341623425099</v>
      </c>
      <c r="AI8371">
        <v>91.219626149877698</v>
      </c>
      <c r="AJ8371">
        <v>72.582850623239906</v>
      </c>
      <c r="AK8371">
        <v>54.978968869164198</v>
      </c>
      <c r="AL8371">
        <v>81.983799279543504</v>
      </c>
      <c r="AM8371">
        <v>80.359230260079798</v>
      </c>
      <c r="AN8371">
        <v>1.00000000326363</v>
      </c>
    </row>
    <row r="8372" spans="1:40" x14ac:dyDescent="0.25">
      <c r="A8372" t="str">
        <f>"20190303162116414"</f>
        <v>20190303162116414</v>
      </c>
      <c r="B8372" t="str">
        <f>"1551601276410765"</f>
        <v>1551601276410765</v>
      </c>
      <c r="C8372" t="s">
        <v>40</v>
      </c>
      <c r="D8372">
        <v>4.7821290000000003</v>
      </c>
      <c r="E8372">
        <v>0.55306829999999996</v>
      </c>
      <c r="F8372" t="s">
        <v>44</v>
      </c>
      <c r="G8372">
        <v>-277.49610000000001</v>
      </c>
      <c r="H8372">
        <v>-0.05</v>
      </c>
      <c r="I8372">
        <v>0.35748289999999999</v>
      </c>
      <c r="J8372">
        <v>-330.39580000000001</v>
      </c>
      <c r="K8372">
        <v>1.120193</v>
      </c>
      <c r="L8372">
        <v>18.106660000000002</v>
      </c>
      <c r="M8372">
        <v>0.99980239999999998</v>
      </c>
      <c r="N8372">
        <v>-7.0739080000000003E-3</v>
      </c>
      <c r="O8372">
        <v>-1.858694E-2</v>
      </c>
      <c r="P8372">
        <v>0.97371870000000005</v>
      </c>
      <c r="Q8372">
        <v>0.1329919</v>
      </c>
      <c r="R8372">
        <v>-0.18489269999999999</v>
      </c>
      <c r="S8372">
        <v>2.905548</v>
      </c>
      <c r="T8372">
        <v>-6.413054E-2</v>
      </c>
      <c r="U8372">
        <v>-0.97283940000000002</v>
      </c>
      <c r="V8372">
        <v>0.16696469999999999</v>
      </c>
      <c r="W8372">
        <v>0.13965749999999999</v>
      </c>
      <c r="X8372">
        <v>0.97602180000000005</v>
      </c>
      <c r="Y8372">
        <v>0.2997302</v>
      </c>
      <c r="Z8372">
        <v>-4.037138E-3</v>
      </c>
      <c r="AA8372">
        <v>0.95401539999999996</v>
      </c>
      <c r="AB8372">
        <v>22</v>
      </c>
      <c r="AC8372">
        <v>52.899700000000003</v>
      </c>
      <c r="AD8372">
        <v>-1.170193</v>
      </c>
      <c r="AE8372">
        <v>-17.749177100000001</v>
      </c>
      <c r="AF8372">
        <v>16.7554733109049</v>
      </c>
      <c r="AG8372">
        <v>-1.170193</v>
      </c>
      <c r="AH8372">
        <v>53.197074772871296</v>
      </c>
      <c r="AI8372">
        <v>91.201957518526001</v>
      </c>
      <c r="AJ8372">
        <v>72.517145546318403</v>
      </c>
      <c r="AK8372">
        <v>55.785697108848197</v>
      </c>
      <c r="AL8372">
        <v>81.971972189199505</v>
      </c>
      <c r="AM8372">
        <v>80.292571771734799</v>
      </c>
      <c r="AN8372">
        <v>0.99999999121378902</v>
      </c>
    </row>
    <row r="8373" spans="1:40" x14ac:dyDescent="0.25">
      <c r="A8373" t="str">
        <f>"20190303162116426"</f>
        <v>20190303162116426</v>
      </c>
      <c r="B8373" t="str">
        <f>"1551601276421501"</f>
        <v>1551601276421501</v>
      </c>
      <c r="C8373" t="s">
        <v>40</v>
      </c>
      <c r="D8373">
        <v>4.8073829999999997</v>
      </c>
      <c r="E8373">
        <v>0.55285850000000003</v>
      </c>
      <c r="F8373" t="s">
        <v>44</v>
      </c>
      <c r="G8373">
        <v>-276.67380000000003</v>
      </c>
      <c r="H8373">
        <v>-0.05</v>
      </c>
      <c r="I8373">
        <v>7.2509770000000001E-2</v>
      </c>
      <c r="J8373">
        <v>-330.27699999999999</v>
      </c>
      <c r="K8373">
        <v>1.1201650000000001</v>
      </c>
      <c r="L8373">
        <v>18.103909999999999</v>
      </c>
      <c r="M8373">
        <v>0.99979220000000002</v>
      </c>
      <c r="N8373">
        <v>-7.0981229999999996E-3</v>
      </c>
      <c r="O8373">
        <v>-1.9114610000000001E-2</v>
      </c>
      <c r="P8373">
        <v>0.97348990000000002</v>
      </c>
      <c r="Q8373">
        <v>0.13305249999999999</v>
      </c>
      <c r="R8373">
        <v>-0.18605070000000001</v>
      </c>
      <c r="S8373">
        <v>2.9044490000000001</v>
      </c>
      <c r="T8373">
        <v>-6.3265799999999997E-2</v>
      </c>
      <c r="U8373">
        <v>-0.97500609999999999</v>
      </c>
      <c r="V8373">
        <v>0.1676214</v>
      </c>
      <c r="W8373">
        <v>0.13972789999999999</v>
      </c>
      <c r="X8373">
        <v>0.97589919999999997</v>
      </c>
      <c r="Y8373">
        <v>0.29997689999999999</v>
      </c>
      <c r="Z8373">
        <v>-4.0000740000000002E-3</v>
      </c>
      <c r="AA8373">
        <v>0.95393810000000001</v>
      </c>
      <c r="AB8373">
        <v>23</v>
      </c>
      <c r="AC8373">
        <v>53.603199999999902</v>
      </c>
      <c r="AD8373">
        <v>-1.1701649999999999</v>
      </c>
      <c r="AE8373">
        <v>-18.031400229999999</v>
      </c>
      <c r="AF8373">
        <v>16.9961994710273</v>
      </c>
      <c r="AG8373">
        <v>-1.1701649999999999</v>
      </c>
      <c r="AH8373">
        <v>53.914996368344198</v>
      </c>
      <c r="AI8373">
        <v>91.185836678582106</v>
      </c>
      <c r="AJ8373">
        <v>72.503029011745397</v>
      </c>
      <c r="AK8373">
        <v>56.542611506586297</v>
      </c>
      <c r="AL8373">
        <v>81.967898971890705</v>
      </c>
      <c r="AM8373">
        <v>80.253920763447098</v>
      </c>
      <c r="AN8373">
        <v>1.0000000341685</v>
      </c>
    </row>
    <row r="8374" spans="1:40" x14ac:dyDescent="0.25">
      <c r="A8374" t="str">
        <f>"20190303162116438"</f>
        <v>20190303162116438</v>
      </c>
      <c r="B8374" t="str">
        <f>"1551601276431261"</f>
        <v>1551601276431261</v>
      </c>
      <c r="C8374" t="s">
        <v>40</v>
      </c>
      <c r="D8374">
        <v>4.7958660000000002</v>
      </c>
      <c r="E8374">
        <v>0.55258409999999902</v>
      </c>
      <c r="F8374" t="s">
        <v>44</v>
      </c>
      <c r="G8374">
        <v>-277.25150000000002</v>
      </c>
      <c r="H8374">
        <v>-0.05</v>
      </c>
      <c r="I8374">
        <v>0.25523380000000001</v>
      </c>
      <c r="J8374">
        <v>-330.15350000000001</v>
      </c>
      <c r="K8374">
        <v>1.1201299999999901</v>
      </c>
      <c r="L8374">
        <v>18.100919999999999</v>
      </c>
      <c r="M8374">
        <v>0.99978049999999996</v>
      </c>
      <c r="N8374">
        <v>-7.1239909999999997E-3</v>
      </c>
      <c r="O8374">
        <v>-1.970425E-2</v>
      </c>
      <c r="P8374">
        <v>0.97333840000000005</v>
      </c>
      <c r="Q8374">
        <v>0.132769</v>
      </c>
      <c r="R8374">
        <v>-0.1870433</v>
      </c>
      <c r="S8374">
        <v>2.9036559999999998</v>
      </c>
      <c r="T8374">
        <v>-6.4077729999999999E-2</v>
      </c>
      <c r="U8374">
        <v>-0.97738650000000005</v>
      </c>
      <c r="V8374">
        <v>0.16805320000000001</v>
      </c>
      <c r="W8374">
        <v>0.1394531</v>
      </c>
      <c r="X8374">
        <v>0.97586419999999996</v>
      </c>
      <c r="Y8374">
        <v>0.30019359999999901</v>
      </c>
      <c r="Z8374">
        <v>-4.0352189999999996E-3</v>
      </c>
      <c r="AA8374">
        <v>0.95386979999999999</v>
      </c>
      <c r="AB8374">
        <v>23</v>
      </c>
      <c r="AC8374">
        <v>52.902000000000001</v>
      </c>
      <c r="AD8374">
        <v>-1.1701299999999999</v>
      </c>
      <c r="AE8374">
        <v>-17.845686199999999</v>
      </c>
      <c r="AF8374">
        <v>16.792424478250599</v>
      </c>
      <c r="AG8374">
        <v>-1.1701299999999999</v>
      </c>
      <c r="AH8374">
        <v>53.219996194095202</v>
      </c>
      <c r="AI8374">
        <v>91.201182951146905</v>
      </c>
      <c r="AJ8374">
        <v>72.488030492292197</v>
      </c>
      <c r="AK8374">
        <v>55.818659236622302</v>
      </c>
      <c r="AL8374">
        <v>81.983799180474307</v>
      </c>
      <c r="AM8374">
        <v>80.228954078167703</v>
      </c>
      <c r="AN8374">
        <v>0.99999999098574399</v>
      </c>
    </row>
    <row r="8375" spans="1:40" x14ac:dyDescent="0.25">
      <c r="A8375" t="str">
        <f>"20190303162116448"</f>
        <v>20190303162116448</v>
      </c>
      <c r="B8375" t="str">
        <f>"1551601276441021"</f>
        <v>1551601276441021</v>
      </c>
      <c r="C8375" t="s">
        <v>40</v>
      </c>
      <c r="D8375">
        <v>4.8086820000000001</v>
      </c>
      <c r="E8375">
        <v>0.55239280000000002</v>
      </c>
      <c r="F8375" t="s">
        <v>44</v>
      </c>
      <c r="G8375">
        <v>-278.81920000000002</v>
      </c>
      <c r="H8375">
        <v>-0.05</v>
      </c>
      <c r="I8375">
        <v>0.79844669999999995</v>
      </c>
      <c r="J8375">
        <v>-330.04649999999998</v>
      </c>
      <c r="K8375">
        <v>1.1200950000000001</v>
      </c>
      <c r="L8375">
        <v>18.098299999999998</v>
      </c>
      <c r="M8375">
        <v>0.99976989999999999</v>
      </c>
      <c r="N8375">
        <v>-7.1473350000000003E-3</v>
      </c>
      <c r="O8375">
        <v>-2.02297E-2</v>
      </c>
      <c r="P8375">
        <v>0.97318539999999998</v>
      </c>
      <c r="Q8375">
        <v>0.1326888</v>
      </c>
      <c r="R8375">
        <v>-0.18789320000000001</v>
      </c>
      <c r="S8375">
        <v>2.9031370000000001</v>
      </c>
      <c r="T8375">
        <v>-6.6174979999999994E-2</v>
      </c>
      <c r="U8375">
        <v>-0.97851560000000004</v>
      </c>
      <c r="V8375">
        <v>0.1684041</v>
      </c>
      <c r="W8375">
        <v>0.1393809</v>
      </c>
      <c r="X8375">
        <v>0.97581399999999996</v>
      </c>
      <c r="Y8375">
        <v>0.30007209999999901</v>
      </c>
      <c r="Z8375">
        <v>-4.12152E-3</v>
      </c>
      <c r="AA8375">
        <v>0.95390759999999997</v>
      </c>
      <c r="AB8375">
        <v>23</v>
      </c>
      <c r="AC8375">
        <v>51.2272999999999</v>
      </c>
      <c r="AD8375">
        <v>-1.1700950000000001</v>
      </c>
      <c r="AE8375">
        <v>-17.299853299999999</v>
      </c>
      <c r="AF8375">
        <v>16.252362376834899</v>
      </c>
      <c r="AG8375">
        <v>-1.1700950000000001</v>
      </c>
      <c r="AH8375">
        <v>51.542657909517096</v>
      </c>
      <c r="AI8375">
        <v>91.240298236147495</v>
      </c>
      <c r="AJ8375">
        <v>72.498963866979494</v>
      </c>
      <c r="AK8375">
        <v>54.056951352388403</v>
      </c>
      <c r="AL8375">
        <v>81.987976560618904</v>
      </c>
      <c r="AM8375">
        <v>80.2084523840972</v>
      </c>
      <c r="AN8375">
        <v>0.99999996938880897</v>
      </c>
    </row>
    <row r="8376" spans="1:40" x14ac:dyDescent="0.25">
      <c r="A8376" t="str">
        <f>"20190303162116459"</f>
        <v>20190303162116459</v>
      </c>
      <c r="B8376" t="str">
        <f>"1551601276450781"</f>
        <v>1551601276450781</v>
      </c>
      <c r="C8376" t="s">
        <v>40</v>
      </c>
      <c r="D8376">
        <v>4.7810790000000001</v>
      </c>
      <c r="E8376">
        <v>0.55218610000000001</v>
      </c>
      <c r="F8376" t="s">
        <v>44</v>
      </c>
      <c r="G8376">
        <v>-279.58890000000002</v>
      </c>
      <c r="H8376">
        <v>-0.05</v>
      </c>
      <c r="I8376">
        <v>1.067429</v>
      </c>
      <c r="J8376">
        <v>-329.93310000000002</v>
      </c>
      <c r="K8376">
        <v>1.120058</v>
      </c>
      <c r="L8376">
        <v>18.095369999999999</v>
      </c>
      <c r="M8376">
        <v>0.99975769999999997</v>
      </c>
      <c r="N8376">
        <v>-7.1738180000000002E-3</v>
      </c>
      <c r="O8376">
        <v>-2.0812919999999999E-2</v>
      </c>
      <c r="P8376">
        <v>0.97303470000000003</v>
      </c>
      <c r="Q8376">
        <v>0.13225419999999999</v>
      </c>
      <c r="R8376">
        <v>-0.18897729999999999</v>
      </c>
      <c r="S8376">
        <v>2.902679</v>
      </c>
      <c r="T8376">
        <v>-6.7312239999999995E-2</v>
      </c>
      <c r="U8376">
        <v>-0.9797363</v>
      </c>
      <c r="V8376">
        <v>0.16893320000000001</v>
      </c>
      <c r="W8376">
        <v>0.13895589999999999</v>
      </c>
      <c r="X8376">
        <v>0.97578319999999996</v>
      </c>
      <c r="Y8376">
        <v>0.29991869999999998</v>
      </c>
      <c r="Z8376">
        <v>-4.1645609999999998E-3</v>
      </c>
      <c r="AA8376">
        <v>0.95395569999999996</v>
      </c>
      <c r="AB8376">
        <v>23</v>
      </c>
      <c r="AC8376">
        <v>50.344200000000001</v>
      </c>
      <c r="AD8376">
        <v>-1.170058</v>
      </c>
      <c r="AE8376">
        <v>-17.027940999999998</v>
      </c>
      <c r="AF8376">
        <v>15.968675581865901</v>
      </c>
      <c r="AG8376">
        <v>-1.170058</v>
      </c>
      <c r="AH8376">
        <v>50.663148012054698</v>
      </c>
      <c r="AI8376">
        <v>91.261828380498798</v>
      </c>
      <c r="AJ8376">
        <v>72.505507198677606</v>
      </c>
      <c r="AK8376">
        <v>53.133061290063097</v>
      </c>
      <c r="AL8376">
        <v>82.012566892772</v>
      </c>
      <c r="AM8376">
        <v>80.177983077911506</v>
      </c>
      <c r="AN8376">
        <v>1.0000000108046401</v>
      </c>
    </row>
    <row r="8377" spans="1:40" x14ac:dyDescent="0.25">
      <c r="A8377" t="str">
        <f>"20190303162116471"</f>
        <v>20190303162116471</v>
      </c>
      <c r="B8377" t="str">
        <f>"1551601276460541"</f>
        <v>1551601276460541</v>
      </c>
      <c r="C8377" t="s">
        <v>40</v>
      </c>
      <c r="D8377">
        <v>4.7943740000000004</v>
      </c>
      <c r="E8377">
        <v>0.55200609999999894</v>
      </c>
      <c r="F8377" t="s">
        <v>44</v>
      </c>
      <c r="G8377">
        <v>-281.41730000000001</v>
      </c>
      <c r="H8377">
        <v>-0.05</v>
      </c>
      <c r="I8377">
        <v>1.6866909999999999</v>
      </c>
      <c r="J8377">
        <v>-329.8263</v>
      </c>
      <c r="K8377">
        <v>1.120018</v>
      </c>
      <c r="L8377">
        <v>18.092559999999999</v>
      </c>
      <c r="M8377">
        <v>0.99974540000000001</v>
      </c>
      <c r="N8377">
        <v>-7.1999819999999997E-3</v>
      </c>
      <c r="O8377">
        <v>-2.138383E-2</v>
      </c>
      <c r="P8377">
        <v>0.9729679</v>
      </c>
      <c r="Q8377">
        <v>0.13164400000000001</v>
      </c>
      <c r="R8377">
        <v>-0.18974479999999999</v>
      </c>
      <c r="S8377">
        <v>2.9020389999999998</v>
      </c>
      <c r="T8377">
        <v>-6.9988610000000007E-2</v>
      </c>
      <c r="U8377">
        <v>-0.98150630000000005</v>
      </c>
      <c r="V8377">
        <v>0.169155</v>
      </c>
      <c r="W8377">
        <v>0.1383566</v>
      </c>
      <c r="X8377">
        <v>0.97582990000000003</v>
      </c>
      <c r="Y8377">
        <v>0.29995339999999998</v>
      </c>
      <c r="Z8377">
        <v>-4.2765879999999996E-3</v>
      </c>
      <c r="AA8377">
        <v>0.95394429999999997</v>
      </c>
      <c r="AB8377">
        <v>23</v>
      </c>
      <c r="AC8377">
        <v>48.408999999999899</v>
      </c>
      <c r="AD8377">
        <v>-1.170018</v>
      </c>
      <c r="AE8377">
        <v>-16.405868999999999</v>
      </c>
      <c r="AF8377">
        <v>15.358873017503599</v>
      </c>
      <c r="AG8377">
        <v>-1.170018</v>
      </c>
      <c r="AH8377">
        <v>48.723229618220898</v>
      </c>
      <c r="AI8377">
        <v>91.3119933844266</v>
      </c>
      <c r="AJ8377">
        <v>72.503746142701999</v>
      </c>
      <c r="AK8377">
        <v>51.100068756490003</v>
      </c>
      <c r="AL8377">
        <v>82.047238907546301</v>
      </c>
      <c r="AM8377">
        <v>80.165800423122903</v>
      </c>
      <c r="AN8377">
        <v>0.99999997826128395</v>
      </c>
    </row>
    <row r="8378" spans="1:40" x14ac:dyDescent="0.25">
      <c r="A8378" t="str">
        <f>"20190303162116481"</f>
        <v>20190303162116481</v>
      </c>
      <c r="B8378" t="str">
        <f>"1551601276471277"</f>
        <v>1551601276471277</v>
      </c>
      <c r="C8378" t="s">
        <v>40</v>
      </c>
      <c r="D8378">
        <v>4.7978649999999998</v>
      </c>
      <c r="E8378">
        <v>0.55181469999999999</v>
      </c>
      <c r="F8378" t="s">
        <v>44</v>
      </c>
      <c r="G8378">
        <v>-283.02190000000002</v>
      </c>
      <c r="H8378">
        <v>-0.05</v>
      </c>
      <c r="I8378">
        <v>2.2430110000000001</v>
      </c>
      <c r="J8378">
        <v>-329.7131</v>
      </c>
      <c r="K8378">
        <v>1.1199809999999999</v>
      </c>
      <c r="L8378">
        <v>18.089449999999999</v>
      </c>
      <c r="M8378">
        <v>0.9997317</v>
      </c>
      <c r="N8378">
        <v>-7.22893199999999E-3</v>
      </c>
      <c r="O8378">
        <v>-2.201094E-2</v>
      </c>
      <c r="P8378">
        <v>0.97283699999999995</v>
      </c>
      <c r="Q8378">
        <v>0.13094600000000001</v>
      </c>
      <c r="R8378">
        <v>-0.1908966</v>
      </c>
      <c r="S8378">
        <v>2.9015810000000002</v>
      </c>
      <c r="T8378">
        <v>-7.2533849999999997E-2</v>
      </c>
      <c r="U8378">
        <v>-0.98257450000000002</v>
      </c>
      <c r="V8378">
        <v>0.1697081</v>
      </c>
      <c r="W8378">
        <v>0.1376704</v>
      </c>
      <c r="X8378">
        <v>0.97583089999999995</v>
      </c>
      <c r="Y8378">
        <v>0.29970930000000001</v>
      </c>
      <c r="Z8378">
        <v>-4.3770390000000001E-3</v>
      </c>
      <c r="AA8378">
        <v>0.95402050000000005</v>
      </c>
      <c r="AB8378">
        <v>23</v>
      </c>
      <c r="AC8378">
        <v>46.691199999999903</v>
      </c>
      <c r="AD8378">
        <v>-1.1699809999999999</v>
      </c>
      <c r="AE8378">
        <v>-15.846439</v>
      </c>
      <c r="AF8378">
        <v>14.8065190405148</v>
      </c>
      <c r="AG8378">
        <v>-1.1699809999999999</v>
      </c>
      <c r="AH8378">
        <v>47.002227390607104</v>
      </c>
      <c r="AI8378">
        <v>91.360053394328702</v>
      </c>
      <c r="AJ8378">
        <v>72.514666199981406</v>
      </c>
      <c r="AK8378">
        <v>49.293115557000696</v>
      </c>
      <c r="AL8378">
        <v>82.086935021461002</v>
      </c>
      <c r="AM8378">
        <v>80.134285481680294</v>
      </c>
      <c r="AN8378">
        <v>0.99999996181828898</v>
      </c>
    </row>
    <row r="8379" spans="1:40" x14ac:dyDescent="0.25">
      <c r="A8379" t="str">
        <f>"20190303162116491"</f>
        <v>20190303162116491</v>
      </c>
      <c r="B8379" t="str">
        <f>"1551601276481037"</f>
        <v>1551601276481037</v>
      </c>
      <c r="C8379" t="s">
        <v>40</v>
      </c>
      <c r="D8379">
        <v>4.7844379999999997</v>
      </c>
      <c r="E8379">
        <v>0.55162889999999998</v>
      </c>
      <c r="F8379" t="s">
        <v>44</v>
      </c>
      <c r="G8379">
        <v>-284.80009999999999</v>
      </c>
      <c r="H8379">
        <v>-0.05</v>
      </c>
      <c r="I8379">
        <v>2.8467709999999999</v>
      </c>
      <c r="J8379">
        <v>-329.60750000000002</v>
      </c>
      <c r="K8379">
        <v>1.1199490000000001</v>
      </c>
      <c r="L8379">
        <v>18.086490000000001</v>
      </c>
      <c r="M8379">
        <v>0.99971779999999999</v>
      </c>
      <c r="N8379">
        <v>-7.2572380000000001E-3</v>
      </c>
      <c r="O8379">
        <v>-2.2622989999999999E-2</v>
      </c>
      <c r="P8379">
        <v>0.9727479</v>
      </c>
      <c r="Q8379">
        <v>0.13032289999999999</v>
      </c>
      <c r="R8379">
        <v>-0.19177559999999999</v>
      </c>
      <c r="S8379">
        <v>2.900757</v>
      </c>
      <c r="T8379">
        <v>-7.5564619999999999E-2</v>
      </c>
      <c r="U8379">
        <v>-0.98446659999999997</v>
      </c>
      <c r="V8379">
        <v>0.17000079999999901</v>
      </c>
      <c r="W8379">
        <v>0.13706019999999999</v>
      </c>
      <c r="X8379">
        <v>0.97586589999999995</v>
      </c>
      <c r="Y8379">
        <v>0.29975770000000002</v>
      </c>
      <c r="Z8379">
        <v>-4.5021879999999998E-3</v>
      </c>
      <c r="AA8379">
        <v>0.95400469999999904</v>
      </c>
      <c r="AB8379">
        <v>23</v>
      </c>
      <c r="AC8379">
        <v>44.807400000000001</v>
      </c>
      <c r="AD8379">
        <v>-1.1699489999999999</v>
      </c>
      <c r="AE8379">
        <v>-15.2397189999999</v>
      </c>
      <c r="AF8379">
        <v>14.213428988415499</v>
      </c>
      <c r="AG8379">
        <v>-1.1699489999999999</v>
      </c>
      <c r="AH8379">
        <v>45.1131412369893</v>
      </c>
      <c r="AI8379">
        <v>91.416925294495798</v>
      </c>
      <c r="AJ8379">
        <v>72.512349742537197</v>
      </c>
      <c r="AK8379">
        <v>47.313696289128302</v>
      </c>
      <c r="AL8379">
        <v>82.122231905216793</v>
      </c>
      <c r="AM8379">
        <v>80.117952465235305</v>
      </c>
      <c r="AN8379">
        <v>1.0000000126037401</v>
      </c>
    </row>
    <row r="8380" spans="1:40" x14ac:dyDescent="0.25">
      <c r="A8380" t="str">
        <f>"20190303162116502"</f>
        <v>20190303162116502</v>
      </c>
      <c r="B8380" t="str">
        <f>"1551601276490798"</f>
        <v>1551601276490798</v>
      </c>
      <c r="C8380" t="s">
        <v>40</v>
      </c>
      <c r="D8380">
        <v>4.7827570000000001</v>
      </c>
      <c r="E8380">
        <v>0.55143509999999996</v>
      </c>
      <c r="F8380" t="s">
        <v>44</v>
      </c>
      <c r="G8380">
        <v>-286.18849999999998</v>
      </c>
      <c r="H8380">
        <v>-0.05</v>
      </c>
      <c r="I8380">
        <v>3.3294980000000001</v>
      </c>
      <c r="J8380">
        <v>-329.4923</v>
      </c>
      <c r="K8380">
        <v>1.1199190000000001</v>
      </c>
      <c r="L8380">
        <v>18.083159999999999</v>
      </c>
      <c r="M8380">
        <v>0.99970190000000003</v>
      </c>
      <c r="N8380">
        <v>-7.2888140000000002E-3</v>
      </c>
      <c r="O8380">
        <v>-2.3305780000000002E-2</v>
      </c>
      <c r="P8380">
        <v>0.97252110000000003</v>
      </c>
      <c r="Q8380">
        <v>0.1301456</v>
      </c>
      <c r="R8380">
        <v>-0.19304189999999999</v>
      </c>
      <c r="S8380">
        <v>2.9001459999999999</v>
      </c>
      <c r="T8380">
        <v>-7.8146220000000002E-2</v>
      </c>
      <c r="U8380">
        <v>-0.98568730000000004</v>
      </c>
      <c r="V8380">
        <v>0.17061670000000001</v>
      </c>
      <c r="W8380">
        <v>0.13689670000000001</v>
      </c>
      <c r="X8380">
        <v>0.97578129999999996</v>
      </c>
      <c r="Y8380">
        <v>0.29952050000000002</v>
      </c>
      <c r="Z8380">
        <v>-4.6014070000000001E-3</v>
      </c>
      <c r="AA8380">
        <v>0.9540788</v>
      </c>
      <c r="AB8380">
        <v>23</v>
      </c>
      <c r="AC8380">
        <v>43.303800000000003</v>
      </c>
      <c r="AD8380">
        <v>-1.1699189999999999</v>
      </c>
      <c r="AE8380">
        <v>-14.753661999999901</v>
      </c>
      <c r="AF8380">
        <v>13.731418801644899</v>
      </c>
      <c r="AG8380">
        <v>-1.1699189999999999</v>
      </c>
      <c r="AH8380">
        <v>43.607373649464897</v>
      </c>
      <c r="AI8380">
        <v>91.465866500274004</v>
      </c>
      <c r="AJ8380">
        <v>72.521434483860105</v>
      </c>
      <c r="AK8380">
        <v>45.733178430727598</v>
      </c>
      <c r="AL8380">
        <v>82.1316884512445</v>
      </c>
      <c r="AM8380">
        <v>80.082017360805906</v>
      </c>
      <c r="AN8380">
        <v>0.99999995510973305</v>
      </c>
    </row>
    <row r="8381" spans="1:40" x14ac:dyDescent="0.25">
      <c r="A8381" t="str">
        <f>"20190303162116513"</f>
        <v>20190303162116513</v>
      </c>
      <c r="B8381" t="str">
        <f>"1551601276500557"</f>
        <v>1551601276500557</v>
      </c>
      <c r="C8381" t="s">
        <v>40</v>
      </c>
      <c r="D8381">
        <v>4.8293119999999998</v>
      </c>
      <c r="E8381">
        <v>0.55103150000000001</v>
      </c>
      <c r="F8381" t="s">
        <v>44</v>
      </c>
      <c r="G8381">
        <v>-287.04500000000002</v>
      </c>
      <c r="H8381">
        <v>-0.05</v>
      </c>
      <c r="I8381">
        <v>3.6260829999999999</v>
      </c>
      <c r="J8381">
        <v>-329.38749999999999</v>
      </c>
      <c r="K8381">
        <v>1.1198950000000001</v>
      </c>
      <c r="L8381">
        <v>18.080020000000001</v>
      </c>
      <c r="M8381">
        <v>0.99968619999999997</v>
      </c>
      <c r="N8381">
        <v>-7.3184280000000001E-3</v>
      </c>
      <c r="O8381">
        <v>-2.3958210000000001E-2</v>
      </c>
      <c r="P8381">
        <v>0.97223709999999997</v>
      </c>
      <c r="Q8381">
        <v>0.13033429999999999</v>
      </c>
      <c r="R8381">
        <v>-0.19434000000000001</v>
      </c>
      <c r="S8381">
        <v>2.8994450000000001</v>
      </c>
      <c r="T8381">
        <v>-7.9913499999999998E-2</v>
      </c>
      <c r="U8381">
        <v>-0.98751829999999996</v>
      </c>
      <c r="V8381">
        <v>0.17129449999999999</v>
      </c>
      <c r="W8381">
        <v>0.13709939999999901</v>
      </c>
      <c r="X8381">
        <v>0.97563409999999995</v>
      </c>
      <c r="Y8381">
        <v>0.29950329999999997</v>
      </c>
      <c r="Z8381">
        <v>-4.6690280000000004E-3</v>
      </c>
      <c r="AA8381">
        <v>0.95408389999999998</v>
      </c>
      <c r="AB8381">
        <v>23</v>
      </c>
      <c r="AC8381">
        <v>42.342499999999902</v>
      </c>
      <c r="AD8381">
        <v>-1.1698949999999999</v>
      </c>
      <c r="AE8381">
        <v>-14.453937</v>
      </c>
      <c r="AF8381">
        <v>13.426130697641501</v>
      </c>
      <c r="AG8381">
        <v>-1.1698949999999999</v>
      </c>
      <c r="AH8381">
        <v>42.647486580701297</v>
      </c>
      <c r="AI8381">
        <v>91.4988443363833</v>
      </c>
      <c r="AJ8381">
        <v>72.525140049340393</v>
      </c>
      <c r="AK8381">
        <v>44.726253492465403</v>
      </c>
      <c r="AL8381">
        <v>82.119964201493303</v>
      </c>
      <c r="AM8381">
        <v>80.041931489009599</v>
      </c>
      <c r="AN8381">
        <v>0.99999997414670905</v>
      </c>
    </row>
    <row r="8382" spans="1:40" x14ac:dyDescent="0.25">
      <c r="A8382" t="str">
        <f>"20190303162116525"</f>
        <v>20190303162116525</v>
      </c>
      <c r="B8382" t="str">
        <f>"1551601276521054"</f>
        <v>1551601276521054</v>
      </c>
      <c r="C8382" t="s">
        <v>40</v>
      </c>
      <c r="D8382">
        <v>4.8042480000000003</v>
      </c>
      <c r="E8382">
        <v>0.55071590000000004</v>
      </c>
      <c r="F8382" t="s">
        <v>44</v>
      </c>
      <c r="G8382">
        <v>-288.64460000000003</v>
      </c>
      <c r="H8382">
        <v>-0.05</v>
      </c>
      <c r="I8382">
        <v>4.1920010000000003</v>
      </c>
      <c r="J8382">
        <v>-329.2627</v>
      </c>
      <c r="K8382">
        <v>1.119864</v>
      </c>
      <c r="L8382">
        <v>18.0762</v>
      </c>
      <c r="M8382">
        <v>0.99966679999999997</v>
      </c>
      <c r="N8382">
        <v>-7.3539080000000001E-3</v>
      </c>
      <c r="O8382">
        <v>-2.474556E-2</v>
      </c>
      <c r="P8382">
        <v>0.97180200000000005</v>
      </c>
      <c r="Q8382">
        <v>0.13105410000000001</v>
      </c>
      <c r="R8382">
        <v>-0.19602610000000001</v>
      </c>
      <c r="S8382">
        <v>2.899292</v>
      </c>
      <c r="T8382">
        <v>-8.3250519999999995E-2</v>
      </c>
      <c r="U8382">
        <v>-0.98828130000000003</v>
      </c>
      <c r="V8382">
        <v>0.17223479999999999</v>
      </c>
      <c r="W8382">
        <v>0.13783519999999999</v>
      </c>
      <c r="X8382">
        <v>0.97536489999999998</v>
      </c>
      <c r="Y8382">
        <v>0.298983</v>
      </c>
      <c r="Z8382">
        <v>-4.790641E-3</v>
      </c>
      <c r="AA8382">
        <v>0.95424640000000005</v>
      </c>
      <c r="AB8382">
        <v>23</v>
      </c>
      <c r="AC8382">
        <v>40.618099999999899</v>
      </c>
      <c r="AD8382">
        <v>-1.169864</v>
      </c>
      <c r="AE8382">
        <v>-13.884199000000001</v>
      </c>
      <c r="AF8382">
        <v>12.865246841199699</v>
      </c>
      <c r="AG8382">
        <v>-1.169864</v>
      </c>
      <c r="AH8382">
        <v>40.918850620980898</v>
      </c>
      <c r="AI8382">
        <v>91.562273823758204</v>
      </c>
      <c r="AJ8382">
        <v>72.546393330498603</v>
      </c>
      <c r="AK8382">
        <v>42.909620065967097</v>
      </c>
      <c r="AL8382">
        <v>82.077402323979896</v>
      </c>
      <c r="AM8382">
        <v>79.9856636100439</v>
      </c>
      <c r="AN8382">
        <v>1.00000002842104</v>
      </c>
    </row>
    <row r="8383" spans="1:40" x14ac:dyDescent="0.25">
      <c r="A8383" t="str">
        <f>"20190303162116537"</f>
        <v>20190303162116537</v>
      </c>
      <c r="B8383" t="str">
        <f>"1551601276530814"</f>
        <v>1551601276530814</v>
      </c>
      <c r="C8383" t="s">
        <v>40</v>
      </c>
      <c r="D8383">
        <v>4.8054779999999999</v>
      </c>
      <c r="E8383">
        <v>0.54597379999999995</v>
      </c>
      <c r="F8383" t="s">
        <v>44</v>
      </c>
      <c r="G8383">
        <v>-288.95870000000002</v>
      </c>
      <c r="H8383">
        <v>-0.05</v>
      </c>
      <c r="I8383">
        <v>4.3011019999999904</v>
      </c>
      <c r="J8383">
        <v>-329.13339999999999</v>
      </c>
      <c r="K8383">
        <v>1.119837</v>
      </c>
      <c r="L8383">
        <v>18.072050000000001</v>
      </c>
      <c r="M8383">
        <v>0.99964520000000001</v>
      </c>
      <c r="N8383">
        <v>-7.3903519999999898E-3</v>
      </c>
      <c r="O8383">
        <v>-2.559902E-2</v>
      </c>
      <c r="P8383">
        <v>0.9713948</v>
      </c>
      <c r="Q8383">
        <v>0.13113069999999999</v>
      </c>
      <c r="R8383">
        <v>-0.1979834</v>
      </c>
      <c r="S8383">
        <v>2.8985289999999999</v>
      </c>
      <c r="T8383">
        <v>-8.4132789999999999E-2</v>
      </c>
      <c r="U8383">
        <v>-0.99066160000000003</v>
      </c>
      <c r="V8383">
        <v>0.17337849999999999</v>
      </c>
      <c r="W8383">
        <v>0.1379302</v>
      </c>
      <c r="X8383">
        <v>0.97514880000000004</v>
      </c>
      <c r="Y8383">
        <v>0.2989444</v>
      </c>
      <c r="Z8383">
        <v>-4.8160080000000001E-3</v>
      </c>
      <c r="AA8383">
        <v>0.95425839999999995</v>
      </c>
      <c r="AB8383">
        <v>23</v>
      </c>
      <c r="AC8383">
        <v>40.174699999999902</v>
      </c>
      <c r="AD8383">
        <v>-1.169837</v>
      </c>
      <c r="AE8383">
        <v>-13.770948000000001</v>
      </c>
      <c r="AF8383">
        <v>12.7283164670053</v>
      </c>
      <c r="AG8383">
        <v>-1.169837</v>
      </c>
      <c r="AH8383">
        <v>40.483349213709701</v>
      </c>
      <c r="AI8383">
        <v>91.579035218154601</v>
      </c>
      <c r="AJ8383">
        <v>72.546399639063495</v>
      </c>
      <c r="AK8383">
        <v>42.453269865229203</v>
      </c>
      <c r="AL8383">
        <v>82.071906613169503</v>
      </c>
      <c r="AM8383">
        <v>79.918336182196498</v>
      </c>
      <c r="AN8383">
        <v>1.0000000132378599</v>
      </c>
    </row>
    <row r="8384" spans="1:40" x14ac:dyDescent="0.25">
      <c r="A8384" t="str">
        <f>"20190303162116551"</f>
        <v>20190303162116551</v>
      </c>
      <c r="B8384" t="str">
        <f>"1551601276541549"</f>
        <v>1551601276541549</v>
      </c>
      <c r="C8384" t="s">
        <v>40</v>
      </c>
      <c r="D8384">
        <v>4.810988</v>
      </c>
      <c r="E8384">
        <v>0.54660089999999995</v>
      </c>
      <c r="F8384" t="s">
        <v>44</v>
      </c>
      <c r="G8384">
        <v>-302.03680000000003</v>
      </c>
      <c r="H8384">
        <v>-0.05</v>
      </c>
      <c r="I8384">
        <v>9.136215</v>
      </c>
      <c r="J8384">
        <v>-329.00209999999998</v>
      </c>
      <c r="K8384">
        <v>1.1198129999999999</v>
      </c>
      <c r="L8384">
        <v>18.06775</v>
      </c>
      <c r="M8384">
        <v>0.9996218</v>
      </c>
      <c r="N8384">
        <v>-7.4266610000000002E-3</v>
      </c>
      <c r="O8384">
        <v>-2.64794E-2</v>
      </c>
      <c r="P8384">
        <v>0.97091170000000004</v>
      </c>
      <c r="Q8384">
        <v>0.13095770000000001</v>
      </c>
      <c r="R8384">
        <v>-0.20045209999999999</v>
      </c>
      <c r="S8384">
        <v>2.909729</v>
      </c>
      <c r="T8384">
        <v>-0.12562129999999999</v>
      </c>
      <c r="U8384">
        <v>-0.95956419999999998</v>
      </c>
      <c r="V8384">
        <v>0.175008</v>
      </c>
      <c r="W8384">
        <v>0.1377757</v>
      </c>
      <c r="X8384">
        <v>0.97487950000000001</v>
      </c>
      <c r="Y8384">
        <v>0.28765839999999998</v>
      </c>
      <c r="Z8384">
        <v>-6.222778E-3</v>
      </c>
      <c r="AA8384">
        <v>0.95771289999999998</v>
      </c>
      <c r="AB8384">
        <v>23</v>
      </c>
      <c r="AC8384">
        <v>26.9652999999999</v>
      </c>
      <c r="AD8384">
        <v>-1.169813</v>
      </c>
      <c r="AE8384">
        <v>-8.9315350000000002</v>
      </c>
      <c r="AF8384">
        <v>8.2004508670066194</v>
      </c>
      <c r="AG8384">
        <v>-1.169813</v>
      </c>
      <c r="AH8384">
        <v>27.146313728375301</v>
      </c>
      <c r="AI8384">
        <v>92.362212945397403</v>
      </c>
      <c r="AJ8384">
        <v>73.191304644351305</v>
      </c>
      <c r="AK8384">
        <v>28.382004966466699</v>
      </c>
      <c r="AL8384">
        <v>82.080843967313598</v>
      </c>
      <c r="AM8384">
        <v>79.822802198826807</v>
      </c>
      <c r="AN8384">
        <v>0.99999999154736996</v>
      </c>
    </row>
    <row r="8385" spans="1:40" x14ac:dyDescent="0.25">
      <c r="A8385" t="str">
        <f>"20190303162116563"</f>
        <v>20190303162116563</v>
      </c>
      <c r="B8385" t="str">
        <f>"1551601276551310"</f>
        <v>1551601276551310</v>
      </c>
      <c r="C8385" t="s">
        <v>40</v>
      </c>
      <c r="D8385">
        <v>4.7946650000000002</v>
      </c>
      <c r="E8385">
        <v>0.54648799999999997</v>
      </c>
      <c r="F8385" t="s">
        <v>44</v>
      </c>
      <c r="G8385">
        <v>-301.24200000000002</v>
      </c>
      <c r="H8385">
        <v>-0.05</v>
      </c>
      <c r="I8385">
        <v>8.7893220000000003</v>
      </c>
      <c r="J8385">
        <v>-328.87299999999999</v>
      </c>
      <c r="K8385">
        <v>1.1197900000000001</v>
      </c>
      <c r="L8385">
        <v>18.063389999999998</v>
      </c>
      <c r="M8385">
        <v>0.99959779999999998</v>
      </c>
      <c r="N8385">
        <v>-7.4614549999999997E-3</v>
      </c>
      <c r="O8385">
        <v>-2.7361259999999998E-2</v>
      </c>
      <c r="P8385">
        <v>0.97035830000000001</v>
      </c>
      <c r="Q8385">
        <v>0.13070950000000001</v>
      </c>
      <c r="R8385">
        <v>-0.2032738</v>
      </c>
      <c r="S8385">
        <v>2.9058839999999999</v>
      </c>
      <c r="T8385">
        <v>-0.1224543</v>
      </c>
      <c r="U8385">
        <v>-0.97125240000000002</v>
      </c>
      <c r="V8385">
        <v>0.1769897</v>
      </c>
      <c r="W8385">
        <v>0.13754479999999999</v>
      </c>
      <c r="X8385">
        <v>0.97455429999999998</v>
      </c>
      <c r="Y8385">
        <v>0.29066760000000003</v>
      </c>
      <c r="Z8385">
        <v>-6.1517339999999998E-3</v>
      </c>
      <c r="AA8385">
        <v>0.95680430000000005</v>
      </c>
      <c r="AB8385">
        <v>23</v>
      </c>
      <c r="AC8385">
        <v>27.631</v>
      </c>
      <c r="AD8385">
        <v>-1.1697899999999899</v>
      </c>
      <c r="AE8385">
        <v>-9.2740679999999909</v>
      </c>
      <c r="AF8385">
        <v>8.5008618580713495</v>
      </c>
      <c r="AG8385">
        <v>-1.1697899999999899</v>
      </c>
      <c r="AH8385">
        <v>27.829581877734899</v>
      </c>
      <c r="AI8385">
        <v>92.302072918591904</v>
      </c>
      <c r="AJ8385">
        <v>73.014113119027002</v>
      </c>
      <c r="AK8385">
        <v>29.1224773751077</v>
      </c>
      <c r="AL8385">
        <v>82.094200831153103</v>
      </c>
      <c r="AM8385">
        <v>79.706649342057801</v>
      </c>
      <c r="AN8385">
        <v>1.00000000478081</v>
      </c>
    </row>
    <row r="8386" spans="1:40" x14ac:dyDescent="0.25">
      <c r="A8386" t="str">
        <f>"20190303162116579"</f>
        <v>20190303162116579</v>
      </c>
      <c r="B8386" t="str">
        <f>"1551601276570829"</f>
        <v>1551601276570829</v>
      </c>
      <c r="C8386" t="s">
        <v>40</v>
      </c>
      <c r="D8386">
        <v>4.730111</v>
      </c>
      <c r="E8386">
        <v>0.54779730000000004</v>
      </c>
      <c r="F8386" t="s">
        <v>44</v>
      </c>
      <c r="G8386">
        <v>-302.44889999999998</v>
      </c>
      <c r="H8386">
        <v>-0.05</v>
      </c>
      <c r="I8386">
        <v>9.1614229999999992</v>
      </c>
      <c r="J8386">
        <v>-328.70749999999998</v>
      </c>
      <c r="K8386">
        <v>1.119761</v>
      </c>
      <c r="L8386">
        <v>18.057590000000001</v>
      </c>
      <c r="M8386">
        <v>0.99956529999999999</v>
      </c>
      <c r="N8386">
        <v>-7.5036310000000002E-3</v>
      </c>
      <c r="O8386">
        <v>-2.8513009999999998E-2</v>
      </c>
      <c r="P8386">
        <v>0.96940340000000003</v>
      </c>
      <c r="Q8386">
        <v>0.12921630000000001</v>
      </c>
      <c r="R8386">
        <v>-0.20871110000000001</v>
      </c>
      <c r="S8386">
        <v>2.9040219999999999</v>
      </c>
      <c r="T8386">
        <v>-0.12856099999999901</v>
      </c>
      <c r="U8386">
        <v>-0.97833250000000005</v>
      </c>
      <c r="V8386">
        <v>0.18133070000000001</v>
      </c>
      <c r="W8386">
        <v>0.1360692</v>
      </c>
      <c r="X8386">
        <v>0.97396320000000003</v>
      </c>
      <c r="Y8386">
        <v>0.29182089999999999</v>
      </c>
      <c r="Z8386">
        <v>-6.3900809999999997E-3</v>
      </c>
      <c r="AA8386">
        <v>0.95645170000000002</v>
      </c>
      <c r="AB8386">
        <v>23</v>
      </c>
      <c r="AC8386">
        <v>26.258600000000001</v>
      </c>
      <c r="AD8386">
        <v>-1.1697610000000001</v>
      </c>
      <c r="AE8386">
        <v>-8.8961670000000002</v>
      </c>
      <c r="AF8386">
        <v>8.1293453896102204</v>
      </c>
      <c r="AG8386">
        <v>-1.1697610000000001</v>
      </c>
      <c r="AH8386">
        <v>26.454493258036301</v>
      </c>
      <c r="AI8386">
        <v>92.420292226859502</v>
      </c>
      <c r="AJ8386">
        <v>72.918045105892702</v>
      </c>
      <c r="AK8386">
        <v>27.7000868374124</v>
      </c>
      <c r="AL8386">
        <v>82.179548782452699</v>
      </c>
      <c r="AM8386">
        <v>79.453524560735403</v>
      </c>
      <c r="AN8386">
        <v>0.99999998245268396</v>
      </c>
    </row>
    <row r="8387" spans="1:40" x14ac:dyDescent="0.25">
      <c r="A8387" t="str">
        <f>"20190303162116590"</f>
        <v>20190303162116590</v>
      </c>
      <c r="B8387" t="str">
        <f>"1551601276581565"</f>
        <v>1551601276581565</v>
      </c>
      <c r="C8387" t="s">
        <v>40</v>
      </c>
      <c r="D8387">
        <v>4.7256269999999896</v>
      </c>
      <c r="E8387">
        <v>0.5481722</v>
      </c>
      <c r="F8387" t="s">
        <v>44</v>
      </c>
      <c r="G8387">
        <v>-300.38940000000002</v>
      </c>
      <c r="H8387">
        <v>-0.05</v>
      </c>
      <c r="I8387">
        <v>8.23596199999999</v>
      </c>
      <c r="J8387">
        <v>-328.59769999999997</v>
      </c>
      <c r="K8387">
        <v>1.119748</v>
      </c>
      <c r="L8387">
        <v>18.053650000000001</v>
      </c>
      <c r="M8387">
        <v>0.99954279999999995</v>
      </c>
      <c r="N8387">
        <v>-7.5304530000000003E-3</v>
      </c>
      <c r="O8387">
        <v>-2.9282740000000002E-2</v>
      </c>
      <c r="P8387">
        <v>0.96885189999999999</v>
      </c>
      <c r="Q8387">
        <v>0.12829689999999999</v>
      </c>
      <c r="R8387">
        <v>-0.21181610000000001</v>
      </c>
      <c r="S8387">
        <v>2.894501</v>
      </c>
      <c r="T8387">
        <v>-0.1195658</v>
      </c>
      <c r="U8387">
        <v>-1.003906</v>
      </c>
      <c r="V8387">
        <v>0.18370040000000001</v>
      </c>
      <c r="W8387">
        <v>0.13516300000000001</v>
      </c>
      <c r="X8387">
        <v>0.97364530000000005</v>
      </c>
      <c r="Y8387">
        <v>0.29961739999999998</v>
      </c>
      <c r="Z8387">
        <v>-6.2121919999999897E-3</v>
      </c>
      <c r="AA8387">
        <v>0.95403919999999998</v>
      </c>
      <c r="AB8387">
        <v>23</v>
      </c>
      <c r="AC8387">
        <v>28.208299999999898</v>
      </c>
      <c r="AD8387">
        <v>-1.169748</v>
      </c>
      <c r="AE8387">
        <v>-9.8176880000000004</v>
      </c>
      <c r="AF8387">
        <v>8.9736739203874194</v>
      </c>
      <c r="AG8387">
        <v>-1.169748</v>
      </c>
      <c r="AH8387">
        <v>28.440077804370699</v>
      </c>
      <c r="AI8387">
        <v>92.246220504822702</v>
      </c>
      <c r="AJ8387">
        <v>72.487994922196805</v>
      </c>
      <c r="AK8387">
        <v>29.845153032470801</v>
      </c>
      <c r="AL8387">
        <v>82.231954679836406</v>
      </c>
      <c r="AM8387">
        <v>79.315443338521803</v>
      </c>
      <c r="AN8387">
        <v>1.00000002187062</v>
      </c>
    </row>
    <row r="8388" spans="1:40" x14ac:dyDescent="0.25">
      <c r="A8388" t="str">
        <f>"20190303162116601"</f>
        <v>20190303162116601</v>
      </c>
      <c r="B8388" t="str">
        <f>"1551601276591325"</f>
        <v>1551601276591325</v>
      </c>
      <c r="C8388" t="s">
        <v>40</v>
      </c>
      <c r="D8388">
        <v>4.7747739999999999</v>
      </c>
      <c r="E8388">
        <v>0.54780410000000002</v>
      </c>
      <c r="F8388" t="s">
        <v>44</v>
      </c>
      <c r="G8388">
        <v>-299.83780000000002</v>
      </c>
      <c r="H8388">
        <v>-0.05</v>
      </c>
      <c r="I8388">
        <v>7.9457699999999898</v>
      </c>
      <c r="J8388">
        <v>-328.47449999999998</v>
      </c>
      <c r="K8388">
        <v>1.119739</v>
      </c>
      <c r="L8388">
        <v>18.049099999999999</v>
      </c>
      <c r="M8388">
        <v>0.99951679999999998</v>
      </c>
      <c r="N8388">
        <v>-7.5592089999999999E-3</v>
      </c>
      <c r="O8388">
        <v>-3.0152350000000001E-2</v>
      </c>
      <c r="P8388">
        <v>0.96827350000000001</v>
      </c>
      <c r="Q8388">
        <v>0.12735639999999901</v>
      </c>
      <c r="R8388">
        <v>-0.21500469999999999</v>
      </c>
      <c r="S8388">
        <v>2.890015</v>
      </c>
      <c r="T8388">
        <v>-0.1175451</v>
      </c>
      <c r="U8388">
        <v>-1.015717</v>
      </c>
      <c r="V8388">
        <v>0.1860569</v>
      </c>
      <c r="W8388">
        <v>0.13423879999999999</v>
      </c>
      <c r="X8388">
        <v>0.97332560000000001</v>
      </c>
      <c r="Y8388">
        <v>0.30272379999999999</v>
      </c>
      <c r="Z8388">
        <v>-6.1858449999999997E-3</v>
      </c>
      <c r="AA8388">
        <v>0.95305819999999997</v>
      </c>
      <c r="AB8388">
        <v>23</v>
      </c>
      <c r="AC8388">
        <v>28.636699999999902</v>
      </c>
      <c r="AD8388">
        <v>-1.1697389999999901</v>
      </c>
      <c r="AE8388">
        <v>-10.10333</v>
      </c>
      <c r="AF8388">
        <v>9.2215643198598904</v>
      </c>
      <c r="AG8388">
        <v>-1.1697389999999901</v>
      </c>
      <c r="AH8388">
        <v>28.885465474639101</v>
      </c>
      <c r="AI8388">
        <v>92.209237003315806</v>
      </c>
      <c r="AJ8388">
        <v>72.294534083164095</v>
      </c>
      <c r="AK8388">
        <v>30.344285351940702</v>
      </c>
      <c r="AL8388">
        <v>82.285394106780103</v>
      </c>
      <c r="AM8388">
        <v>79.178127592552798</v>
      </c>
      <c r="AN8388">
        <v>0.99999997453920397</v>
      </c>
    </row>
    <row r="8389" spans="1:40" x14ac:dyDescent="0.25">
      <c r="A8389" t="str">
        <f>"20190303162116611"</f>
        <v>20190303162116611</v>
      </c>
      <c r="B8389" t="str">
        <f>"1551601276602061"</f>
        <v>1551601276602061</v>
      </c>
      <c r="C8389" t="s">
        <v>40</v>
      </c>
      <c r="D8389">
        <v>4.7590180000000002</v>
      </c>
      <c r="E8389">
        <v>0.54743120000000001</v>
      </c>
      <c r="F8389" t="s">
        <v>44</v>
      </c>
      <c r="G8389">
        <v>-301.00279999999998</v>
      </c>
      <c r="H8389">
        <v>-0.05</v>
      </c>
      <c r="I8389">
        <v>8.32305899999999</v>
      </c>
      <c r="J8389">
        <v>-328.36419999999998</v>
      </c>
      <c r="K8389">
        <v>1.1197330000000001</v>
      </c>
      <c r="L8389">
        <v>18.044920000000001</v>
      </c>
      <c r="M8389">
        <v>0.99949279999999996</v>
      </c>
      <c r="N8389">
        <v>-7.5836209999999996E-3</v>
      </c>
      <c r="O8389">
        <v>-3.0932370000000001E-2</v>
      </c>
      <c r="P8389">
        <v>0.96767309999999995</v>
      </c>
      <c r="Q8389">
        <v>0.12672359999999999</v>
      </c>
      <c r="R8389">
        <v>-0.21806120000000001</v>
      </c>
      <c r="S8389">
        <v>2.8874819999999999</v>
      </c>
      <c r="T8389">
        <v>-0.1229483</v>
      </c>
      <c r="U8389">
        <v>-1.022278</v>
      </c>
      <c r="V8389">
        <v>0.18836929999999999</v>
      </c>
      <c r="W8389">
        <v>0.13361979999999901</v>
      </c>
      <c r="X8389">
        <v>0.972966</v>
      </c>
      <c r="Y8389">
        <v>0.30414439999999998</v>
      </c>
      <c r="Z8389">
        <v>-6.4214449999999996E-3</v>
      </c>
      <c r="AA8389">
        <v>0.95260429999999996</v>
      </c>
      <c r="AB8389">
        <v>23</v>
      </c>
      <c r="AC8389">
        <v>27.3614</v>
      </c>
      <c r="AD8389">
        <v>-1.1697329999999999</v>
      </c>
      <c r="AE8389">
        <v>-9.7218610000000005</v>
      </c>
      <c r="AF8389">
        <v>8.8564592165198803</v>
      </c>
      <c r="AG8389">
        <v>-1.1697329999999999</v>
      </c>
      <c r="AH8389">
        <v>27.604239125990901</v>
      </c>
      <c r="AI8389">
        <v>92.310589799246998</v>
      </c>
      <c r="AJ8389">
        <v>72.211840845435503</v>
      </c>
      <c r="AK8389">
        <v>29.0137753984216</v>
      </c>
      <c r="AL8389">
        <v>82.321183129169</v>
      </c>
      <c r="AM8389">
        <v>79.0429120042145</v>
      </c>
      <c r="AN8389">
        <v>1.00000004064526</v>
      </c>
    </row>
    <row r="8390" spans="1:40" x14ac:dyDescent="0.25">
      <c r="A8390" t="str">
        <f>"20190303162116623"</f>
        <v>20190303162116623</v>
      </c>
      <c r="B8390" t="str">
        <f>"1551601276610846"</f>
        <v>1551601276610846</v>
      </c>
      <c r="C8390" t="s">
        <v>40</v>
      </c>
      <c r="D8390">
        <v>4.776008</v>
      </c>
      <c r="E8390">
        <v>0.54714399999999996</v>
      </c>
      <c r="F8390" t="s">
        <v>44</v>
      </c>
      <c r="G8390">
        <v>-301.99560000000002</v>
      </c>
      <c r="H8390">
        <v>-0.05</v>
      </c>
      <c r="I8390">
        <v>8.6485899999999898</v>
      </c>
      <c r="J8390">
        <v>-328.2432</v>
      </c>
      <c r="K8390">
        <v>1.119726</v>
      </c>
      <c r="L8390">
        <v>18.040279999999999</v>
      </c>
      <c r="M8390">
        <v>0.99946579999999996</v>
      </c>
      <c r="N8390">
        <v>-7.6097140000000001E-3</v>
      </c>
      <c r="O8390">
        <v>-3.179034E-2</v>
      </c>
      <c r="P8390">
        <v>0.96708019999999995</v>
      </c>
      <c r="Q8390">
        <v>0.12619359999999999</v>
      </c>
      <c r="R8390">
        <v>-0.22097900000000001</v>
      </c>
      <c r="S8390">
        <v>2.8853149999999999</v>
      </c>
      <c r="T8390">
        <v>-0.12799479999999999</v>
      </c>
      <c r="U8390">
        <v>-1.028168</v>
      </c>
      <c r="V8390">
        <v>0.1904679</v>
      </c>
      <c r="W8390">
        <v>0.1331061</v>
      </c>
      <c r="X8390">
        <v>0.97262780000000004</v>
      </c>
      <c r="Y8390">
        <v>0.30525649999999999</v>
      </c>
      <c r="Z8390">
        <v>-6.6317750000000003E-3</v>
      </c>
      <c r="AA8390">
        <v>0.95224710000000001</v>
      </c>
      <c r="AB8390">
        <v>23</v>
      </c>
      <c r="AC8390">
        <v>26.247599999999899</v>
      </c>
      <c r="AD8390">
        <v>-1.169726</v>
      </c>
      <c r="AE8390">
        <v>-9.3916899999999899</v>
      </c>
      <c r="AF8390">
        <v>8.5374673250450499</v>
      </c>
      <c r="AG8390">
        <v>-1.169726</v>
      </c>
      <c r="AH8390">
        <v>26.4862736287456</v>
      </c>
      <c r="AI8390">
        <v>92.406940905419006</v>
      </c>
      <c r="AJ8390">
        <v>72.134024173063906</v>
      </c>
      <c r="AK8390">
        <v>27.852814902233298</v>
      </c>
      <c r="AL8390">
        <v>82.350881297399198</v>
      </c>
      <c r="AM8390">
        <v>78.920086944093299</v>
      </c>
      <c r="AN8390">
        <v>1.0000000460602201</v>
      </c>
    </row>
    <row r="8391" spans="1:40" x14ac:dyDescent="0.25">
      <c r="A8391" t="str">
        <f>"20190303162116635"</f>
        <v>20190303162116635</v>
      </c>
      <c r="B8391" t="str">
        <f>"1551601276631342"</f>
        <v>1551601276631342</v>
      </c>
      <c r="C8391" t="s">
        <v>40</v>
      </c>
      <c r="D8391">
        <v>4.7622879999999999</v>
      </c>
      <c r="E8391">
        <v>0.54659519999999995</v>
      </c>
      <c r="F8391" t="s">
        <v>44</v>
      </c>
      <c r="G8391">
        <v>-302.13920000000002</v>
      </c>
      <c r="H8391">
        <v>-0.05</v>
      </c>
      <c r="I8391">
        <v>8.6704249999999998</v>
      </c>
      <c r="J8391">
        <v>-328.12630000000001</v>
      </c>
      <c r="K8391">
        <v>1.119726</v>
      </c>
      <c r="L8391">
        <v>18.035679999999999</v>
      </c>
      <c r="M8391">
        <v>0.99943879999999996</v>
      </c>
      <c r="N8391">
        <v>-7.6332229999999997E-3</v>
      </c>
      <c r="O8391">
        <v>-3.2617269999999997E-2</v>
      </c>
      <c r="P8391">
        <v>0.96648400000000001</v>
      </c>
      <c r="Q8391">
        <v>0.1257827</v>
      </c>
      <c r="R8391">
        <v>-0.223803</v>
      </c>
      <c r="S8391">
        <v>2.8825379999999998</v>
      </c>
      <c r="T8391">
        <v>-0.12916710000000001</v>
      </c>
      <c r="U8391">
        <v>-1.0346679999999999</v>
      </c>
      <c r="V8391">
        <v>0.19250300000000001</v>
      </c>
      <c r="W8391">
        <v>0.13271050000000001</v>
      </c>
      <c r="X8391">
        <v>0.97228110000000001</v>
      </c>
      <c r="Y8391">
        <v>0.30665569999999998</v>
      </c>
      <c r="Z8391">
        <v>-6.6932399999999996E-3</v>
      </c>
      <c r="AA8391">
        <v>0.95179689999999995</v>
      </c>
      <c r="AB8391">
        <v>23</v>
      </c>
      <c r="AC8391">
        <v>25.987100000000002</v>
      </c>
      <c r="AD8391">
        <v>-1.169726</v>
      </c>
      <c r="AE8391">
        <v>-9.3652549999999994</v>
      </c>
      <c r="AF8391">
        <v>8.4973813921630601</v>
      </c>
      <c r="AG8391">
        <v>-1.169726</v>
      </c>
      <c r="AH8391">
        <v>26.231711768233399</v>
      </c>
      <c r="AI8391">
        <v>92.429134840882</v>
      </c>
      <c r="AJ8391">
        <v>72.051022761874805</v>
      </c>
      <c r="AK8391">
        <v>27.598486402892298</v>
      </c>
      <c r="AL8391">
        <v>82.373750114178506</v>
      </c>
      <c r="AM8391">
        <v>78.800784927337901</v>
      </c>
      <c r="AN8391">
        <v>1.00000000961823</v>
      </c>
    </row>
    <row r="8392" spans="1:40" x14ac:dyDescent="0.25">
      <c r="A8392" t="str">
        <f>"20190303162116645"</f>
        <v>20190303162116645</v>
      </c>
      <c r="B8392" t="str">
        <f>"1551601276641101"</f>
        <v>1551601276641101</v>
      </c>
      <c r="C8392" t="s">
        <v>40</v>
      </c>
      <c r="D8392">
        <v>4.7011120000000002</v>
      </c>
      <c r="E8392">
        <v>0.54627999999999999</v>
      </c>
      <c r="F8392" t="s">
        <v>44</v>
      </c>
      <c r="G8392">
        <v>-302.17930000000001</v>
      </c>
      <c r="H8392">
        <v>-0.05</v>
      </c>
      <c r="I8392">
        <v>8.6808169999999993</v>
      </c>
      <c r="J8392">
        <v>-328.01220000000001</v>
      </c>
      <c r="K8392">
        <v>1.1197280000000001</v>
      </c>
      <c r="L8392">
        <v>18.031099999999999</v>
      </c>
      <c r="M8392">
        <v>0.99941199999999997</v>
      </c>
      <c r="N8392">
        <v>-7.6559480000000001E-3</v>
      </c>
      <c r="O8392">
        <v>-3.3424299999999997E-2</v>
      </c>
      <c r="P8392">
        <v>0.96580080000000001</v>
      </c>
      <c r="Q8392">
        <v>0.12561739999999999</v>
      </c>
      <c r="R8392">
        <v>-0.22682450000000001</v>
      </c>
      <c r="S8392">
        <v>2.8804630000000002</v>
      </c>
      <c r="T8392">
        <v>-0.129855</v>
      </c>
      <c r="U8392">
        <v>-1.038513</v>
      </c>
      <c r="V8392">
        <v>0.19475909999999999</v>
      </c>
      <c r="W8392">
        <v>0.13255829999999999</v>
      </c>
      <c r="X8392">
        <v>0.97185239999999995</v>
      </c>
      <c r="Y8392">
        <v>0.30722670000000002</v>
      </c>
      <c r="Z8392">
        <v>-6.7137229999999996E-3</v>
      </c>
      <c r="AA8392">
        <v>0.95161269999999998</v>
      </c>
      <c r="AB8392">
        <v>23</v>
      </c>
      <c r="AC8392">
        <v>25.832899999999899</v>
      </c>
      <c r="AD8392">
        <v>-1.1697280000000001</v>
      </c>
      <c r="AE8392">
        <v>-9.3502829999999992</v>
      </c>
      <c r="AF8392">
        <v>8.4662385451187792</v>
      </c>
      <c r="AG8392">
        <v>-1.1697280000000001</v>
      </c>
      <c r="AH8392">
        <v>26.083715526024498</v>
      </c>
      <c r="AI8392">
        <v>92.442444008036901</v>
      </c>
      <c r="AJ8392">
        <v>72.017633855358994</v>
      </c>
      <c r="AK8392">
        <v>27.448236270103301</v>
      </c>
      <c r="AL8392">
        <v>82.382547796017903</v>
      </c>
      <c r="AM8392">
        <v>78.668039239693698</v>
      </c>
      <c r="AN8392">
        <v>0.99999994865872799</v>
      </c>
    </row>
    <row r="8393" spans="1:40" x14ac:dyDescent="0.25">
      <c r="A8393" t="str">
        <f>"20190303162116656"</f>
        <v>20190303162116656</v>
      </c>
      <c r="B8393" t="str">
        <f>"1551601276650861"</f>
        <v>1551601276650861</v>
      </c>
      <c r="C8393" t="s">
        <v>40</v>
      </c>
      <c r="D8393">
        <v>4.7228009999999996</v>
      </c>
      <c r="E8393">
        <v>0.54601480000000002</v>
      </c>
      <c r="F8393" t="s">
        <v>44</v>
      </c>
      <c r="G8393">
        <v>-302.02870000000001</v>
      </c>
      <c r="H8393">
        <v>-0.05</v>
      </c>
      <c r="I8393">
        <v>8.5955049999999993</v>
      </c>
      <c r="J8393">
        <v>-327.89269999999999</v>
      </c>
      <c r="K8393">
        <v>1.1197280000000001</v>
      </c>
      <c r="L8393">
        <v>18.02618</v>
      </c>
      <c r="M8393">
        <v>0.99938340000000003</v>
      </c>
      <c r="N8393">
        <v>-7.679679E-3</v>
      </c>
      <c r="O8393">
        <v>-3.4266360000000003E-2</v>
      </c>
      <c r="P8393">
        <v>0.96508530000000003</v>
      </c>
      <c r="Q8393">
        <v>0.1259807</v>
      </c>
      <c r="R8393">
        <v>-0.2296513</v>
      </c>
      <c r="S8393">
        <v>2.8776549999999999</v>
      </c>
      <c r="T8393">
        <v>-0.1295462</v>
      </c>
      <c r="U8393">
        <v>-1.044983</v>
      </c>
      <c r="V8393">
        <v>0.19678950000000001</v>
      </c>
      <c r="W8393">
        <v>0.13293640000000001</v>
      </c>
      <c r="X8393">
        <v>0.97139169999999997</v>
      </c>
      <c r="Y8393">
        <v>0.30861230000000001</v>
      </c>
      <c r="Z8393">
        <v>-6.7144229999999997E-3</v>
      </c>
      <c r="AA8393">
        <v>0.95116420000000002</v>
      </c>
      <c r="AB8393">
        <v>23</v>
      </c>
      <c r="AC8393">
        <v>25.863999999999901</v>
      </c>
      <c r="AD8393">
        <v>-1.1697280000000001</v>
      </c>
      <c r="AE8393">
        <v>-9.4306750000000008</v>
      </c>
      <c r="AF8393">
        <v>8.5234572377273494</v>
      </c>
      <c r="AG8393">
        <v>-1.1697280000000001</v>
      </c>
      <c r="AH8393">
        <v>26.124809460826299</v>
      </c>
      <c r="AI8393">
        <v>92.437403193817502</v>
      </c>
      <c r="AJ8393">
        <v>71.930612567472906</v>
      </c>
      <c r="AK8393">
        <v>27.5049678465878</v>
      </c>
      <c r="AL8393">
        <v>82.360691328699005</v>
      </c>
      <c r="AM8393">
        <v>78.547719140531896</v>
      </c>
      <c r="AN8393">
        <v>1.00000001429205</v>
      </c>
    </row>
    <row r="8394" spans="1:40" x14ac:dyDescent="0.25">
      <c r="A8394" t="str">
        <f>"20190303162116668"</f>
        <v>20190303162116668</v>
      </c>
      <c r="B8394" t="str">
        <f>"1551601276661598"</f>
        <v>1551601276661598</v>
      </c>
      <c r="C8394" t="s">
        <v>40</v>
      </c>
      <c r="D8394">
        <v>4.7365629999999896</v>
      </c>
      <c r="E8394">
        <v>0.54575509999999905</v>
      </c>
      <c r="F8394" t="s">
        <v>44</v>
      </c>
      <c r="G8394">
        <v>-301.93990000000002</v>
      </c>
      <c r="H8394">
        <v>-0.05</v>
      </c>
      <c r="I8394">
        <v>8.5376890000000003</v>
      </c>
      <c r="J8394">
        <v>-327.77289999999999</v>
      </c>
      <c r="K8394">
        <v>1.1197269999999999</v>
      </c>
      <c r="L8394">
        <v>18.021180000000001</v>
      </c>
      <c r="M8394">
        <v>0.99935379999999996</v>
      </c>
      <c r="N8394">
        <v>-7.7036319999999898E-3</v>
      </c>
      <c r="O8394">
        <v>-3.5109260000000003E-2</v>
      </c>
      <c r="P8394">
        <v>0.96435249999999995</v>
      </c>
      <c r="Q8394">
        <v>0.12609200000000001</v>
      </c>
      <c r="R8394">
        <v>-0.2326481</v>
      </c>
      <c r="S8394">
        <v>2.8753359999999999</v>
      </c>
      <c r="T8394">
        <v>-0.12959519999999999</v>
      </c>
      <c r="U8394">
        <v>-1.051239</v>
      </c>
      <c r="V8394">
        <v>0.19898979999999999</v>
      </c>
      <c r="W8394">
        <v>0.1330626</v>
      </c>
      <c r="X8394">
        <v>0.97092599999999996</v>
      </c>
      <c r="Y8394">
        <v>0.30988139999999997</v>
      </c>
      <c r="Z8394">
        <v>-6.7258659999999996E-3</v>
      </c>
      <c r="AA8394">
        <v>0.95075140000000002</v>
      </c>
      <c r="AB8394">
        <v>23</v>
      </c>
      <c r="AC8394">
        <v>25.832999999999899</v>
      </c>
      <c r="AD8394">
        <v>-1.169727</v>
      </c>
      <c r="AE8394">
        <v>-9.4834909999999901</v>
      </c>
      <c r="AF8394">
        <v>8.5551818930857806</v>
      </c>
      <c r="AG8394">
        <v>-1.169727</v>
      </c>
      <c r="AH8394">
        <v>26.1028778020343</v>
      </c>
      <c r="AI8394">
        <v>92.438374677281402</v>
      </c>
      <c r="AJ8394">
        <v>71.853515056767904</v>
      </c>
      <c r="AK8394">
        <v>27.493992580675599</v>
      </c>
      <c r="AL8394">
        <v>82.353395269049898</v>
      </c>
      <c r="AM8394">
        <v>78.417707079752702</v>
      </c>
      <c r="AN8394">
        <v>0.99999994674939796</v>
      </c>
    </row>
    <row r="8395" spans="1:40" x14ac:dyDescent="0.25">
      <c r="A8395" t="str">
        <f>"20190303162116679"</f>
        <v>20190303162116679</v>
      </c>
      <c r="B8395" t="str">
        <f>"1551601276671357"</f>
        <v>1551601276671357</v>
      </c>
      <c r="C8395" t="s">
        <v>40</v>
      </c>
      <c r="D8395">
        <v>4.7004279999999996</v>
      </c>
      <c r="E8395">
        <v>0.5454966</v>
      </c>
      <c r="F8395" t="s">
        <v>44</v>
      </c>
      <c r="G8395">
        <v>-301.37130000000002</v>
      </c>
      <c r="H8395">
        <v>-0.05</v>
      </c>
      <c r="I8395">
        <v>8.2980959999999993</v>
      </c>
      <c r="J8395">
        <v>-327.65629999999999</v>
      </c>
      <c r="K8395">
        <v>1.119729</v>
      </c>
      <c r="L8395">
        <v>18.016200000000001</v>
      </c>
      <c r="M8395">
        <v>0.99932469999999995</v>
      </c>
      <c r="N8395">
        <v>-7.72725699999999E-3</v>
      </c>
      <c r="O8395">
        <v>-3.5926300000000001E-2</v>
      </c>
      <c r="P8395">
        <v>0.96362219999999998</v>
      </c>
      <c r="Q8395">
        <v>0.12618099999999999</v>
      </c>
      <c r="R8395">
        <v>-0.23560700000000001</v>
      </c>
      <c r="S8395">
        <v>2.8723749999999999</v>
      </c>
      <c r="T8395">
        <v>-0.12726129999999999</v>
      </c>
      <c r="U8395">
        <v>-1.057831</v>
      </c>
      <c r="V8395">
        <v>0.20117850000000001</v>
      </c>
      <c r="W8395">
        <v>0.1331657</v>
      </c>
      <c r="X8395">
        <v>0.97046080000000001</v>
      </c>
      <c r="Y8395">
        <v>0.31135079999999998</v>
      </c>
      <c r="Z8395">
        <v>-6.6483080000000003E-3</v>
      </c>
      <c r="AA8395">
        <v>0.9502718</v>
      </c>
      <c r="AB8395">
        <v>23</v>
      </c>
      <c r="AC8395">
        <v>26.284999999999901</v>
      </c>
      <c r="AD8395">
        <v>-1.169729</v>
      </c>
      <c r="AE8395">
        <v>-9.7181039999999896</v>
      </c>
      <c r="AF8395">
        <v>8.7522305624032093</v>
      </c>
      <c r="AG8395">
        <v>-1.169729</v>
      </c>
      <c r="AH8395">
        <v>26.570883193645901</v>
      </c>
      <c r="AI8395">
        <v>92.394315361924598</v>
      </c>
      <c r="AJ8395">
        <v>71.768541777622403</v>
      </c>
      <c r="AK8395">
        <v>27.999672130960299</v>
      </c>
      <c r="AL8395">
        <v>82.347435660790097</v>
      </c>
      <c r="AM8395">
        <v>78.288353736267396</v>
      </c>
      <c r="AN8395">
        <v>1.00000002842768</v>
      </c>
    </row>
    <row r="8396" spans="1:40" x14ac:dyDescent="0.25">
      <c r="A8396" t="str">
        <f>"20190303162116690"</f>
        <v>20190303162116690</v>
      </c>
      <c r="B8396" t="str">
        <f>"1551601276681117"</f>
        <v>1551601276681117</v>
      </c>
      <c r="C8396" t="s">
        <v>40</v>
      </c>
      <c r="D8396">
        <v>4.6741650000000003</v>
      </c>
      <c r="E8396">
        <v>0.54527959999999998</v>
      </c>
      <c r="F8396" t="s">
        <v>44</v>
      </c>
      <c r="G8396">
        <v>-301.08530000000002</v>
      </c>
      <c r="H8396">
        <v>-0.05</v>
      </c>
      <c r="I8396">
        <v>8.1585239999999999</v>
      </c>
      <c r="J8396">
        <v>-327.5412</v>
      </c>
      <c r="K8396">
        <v>1.119731</v>
      </c>
      <c r="L8396">
        <v>18.011229999999902</v>
      </c>
      <c r="M8396">
        <v>0.99929520000000005</v>
      </c>
      <c r="N8396">
        <v>-7.7514539999999996E-3</v>
      </c>
      <c r="O8396">
        <v>-3.6732870000000001E-2</v>
      </c>
      <c r="P8396">
        <v>0.96306349999999996</v>
      </c>
      <c r="Q8396">
        <v>0.12601389999999901</v>
      </c>
      <c r="R8396">
        <v>-0.2379696</v>
      </c>
      <c r="S8396">
        <v>2.869507</v>
      </c>
      <c r="T8396">
        <v>-0.12632409999999999</v>
      </c>
      <c r="U8396">
        <v>-1.064575</v>
      </c>
      <c r="V8396">
        <v>0.2027757</v>
      </c>
      <c r="W8396">
        <v>0.133015299999999</v>
      </c>
      <c r="X8396">
        <v>0.97014889999999998</v>
      </c>
      <c r="Y8396">
        <v>0.31285869999999999</v>
      </c>
      <c r="Z8396">
        <v>-6.6284279999999996E-3</v>
      </c>
      <c r="AA8396">
        <v>0.94977650000000002</v>
      </c>
      <c r="AB8396">
        <v>23</v>
      </c>
      <c r="AC8396">
        <v>26.4558999999999</v>
      </c>
      <c r="AD8396">
        <v>-1.1697309999999901</v>
      </c>
      <c r="AE8396">
        <v>-9.8527059999999906</v>
      </c>
      <c r="AF8396">
        <v>8.8590168873853798</v>
      </c>
      <c r="AG8396">
        <v>-1.1697309999999901</v>
      </c>
      <c r="AH8396">
        <v>26.754042123153699</v>
      </c>
      <c r="AI8396">
        <v>92.376718937847201</v>
      </c>
      <c r="AJ8396">
        <v>71.678838433641502</v>
      </c>
      <c r="AK8396">
        <v>28.206900232936299</v>
      </c>
      <c r="AL8396">
        <v>82.356129855371407</v>
      </c>
      <c r="AM8396">
        <v>78.194282630295305</v>
      </c>
      <c r="AN8396">
        <v>0.99999997135789398</v>
      </c>
    </row>
    <row r="8397" spans="1:40" x14ac:dyDescent="0.25">
      <c r="A8397" t="str">
        <f>"20190303162116700"</f>
        <v>20190303162116700</v>
      </c>
      <c r="B8397" t="str">
        <f>"1551601276690878"</f>
        <v>1551601276690878</v>
      </c>
      <c r="C8397" t="s">
        <v>40</v>
      </c>
      <c r="D8397">
        <v>4.674309</v>
      </c>
      <c r="E8397">
        <v>0.54509149999999995</v>
      </c>
      <c r="F8397" t="s">
        <v>44</v>
      </c>
      <c r="G8397">
        <v>-300.64679999999998</v>
      </c>
      <c r="H8397">
        <v>-0.05</v>
      </c>
      <c r="I8397">
        <v>7.9747159999999999</v>
      </c>
      <c r="J8397">
        <v>-327.42849999999999</v>
      </c>
      <c r="K8397">
        <v>1.1197330000000001</v>
      </c>
      <c r="L8397">
        <v>18.006260000000001</v>
      </c>
      <c r="M8397">
        <v>0.99926559999999998</v>
      </c>
      <c r="N8397">
        <v>-7.7759650000000001E-3</v>
      </c>
      <c r="O8397">
        <v>-3.7522649999999998E-2</v>
      </c>
      <c r="P8397">
        <v>0.96225519999999998</v>
      </c>
      <c r="Q8397">
        <v>0.1259661</v>
      </c>
      <c r="R8397">
        <v>-0.24124190000000001</v>
      </c>
      <c r="S8397">
        <v>2.8670040000000001</v>
      </c>
      <c r="T8397">
        <v>-0.124696</v>
      </c>
      <c r="U8397">
        <v>-1.0699160000000001</v>
      </c>
      <c r="V8397">
        <v>0.20530909999999999</v>
      </c>
      <c r="W8397">
        <v>0.13297989999999901</v>
      </c>
      <c r="X8397">
        <v>0.96962079999999995</v>
      </c>
      <c r="Y8397">
        <v>0.31393789999999999</v>
      </c>
      <c r="Z8397">
        <v>-6.5703669999999997E-3</v>
      </c>
      <c r="AA8397">
        <v>0.94942079999999995</v>
      </c>
      <c r="AB8397">
        <v>23</v>
      </c>
      <c r="AC8397">
        <v>26.781700000000001</v>
      </c>
      <c r="AD8397">
        <v>-1.1697329999999999</v>
      </c>
      <c r="AE8397">
        <v>-10.031544</v>
      </c>
      <c r="AF8397">
        <v>9.0044646299957094</v>
      </c>
      <c r="AG8397">
        <v>-1.1697329999999999</v>
      </c>
      <c r="AH8397">
        <v>27.0939337834326</v>
      </c>
      <c r="AI8397">
        <v>92.346090137798001</v>
      </c>
      <c r="AJ8397">
        <v>71.616161882595904</v>
      </c>
      <c r="AK8397">
        <v>28.574987426509299</v>
      </c>
      <c r="AL8397">
        <v>82.358176434428003</v>
      </c>
      <c r="AM8397">
        <v>78.044680526718395</v>
      </c>
      <c r="AN8397">
        <v>0.99999998806972901</v>
      </c>
    </row>
    <row r="8398" spans="1:40" x14ac:dyDescent="0.25">
      <c r="A8398" t="str">
        <f>"20190303162116713"</f>
        <v>20190303162116713</v>
      </c>
      <c r="B8398" t="str">
        <f>"1551601276700638"</f>
        <v>1551601276700638</v>
      </c>
      <c r="C8398" t="s">
        <v>40</v>
      </c>
      <c r="D8398">
        <v>4.6742049999999997</v>
      </c>
      <c r="E8398">
        <v>0.54488210000000004</v>
      </c>
      <c r="F8398" t="s">
        <v>44</v>
      </c>
      <c r="G8398">
        <v>-300.66390000000001</v>
      </c>
      <c r="H8398">
        <v>-0.05</v>
      </c>
      <c r="I8398">
        <v>7.9292449999999999</v>
      </c>
      <c r="J8398">
        <v>-327.30579999999998</v>
      </c>
      <c r="K8398">
        <v>1.1197299999999999</v>
      </c>
      <c r="L8398">
        <v>18.000699999999998</v>
      </c>
      <c r="M8398">
        <v>0.99923249999999997</v>
      </c>
      <c r="N8398">
        <v>-7.8048179999999998E-3</v>
      </c>
      <c r="O8398">
        <v>-3.8389529999999998E-2</v>
      </c>
      <c r="P8398">
        <v>0.96143719999999999</v>
      </c>
      <c r="Q8398">
        <v>0.12608989999999901</v>
      </c>
      <c r="R8398">
        <v>-0.24441850000000001</v>
      </c>
      <c r="S8398">
        <v>2.8637389999999998</v>
      </c>
      <c r="T8398">
        <v>-0.12515850000000001</v>
      </c>
      <c r="U8398">
        <v>-1.078217</v>
      </c>
      <c r="V8398">
        <v>0.207675</v>
      </c>
      <c r="W8398">
        <v>0.1331175</v>
      </c>
      <c r="X8398">
        <v>0.96909800000000001</v>
      </c>
      <c r="Y8398">
        <v>0.31587700000000002</v>
      </c>
      <c r="Z8398">
        <v>-6.6170339999999999E-3</v>
      </c>
      <c r="AA8398">
        <v>0.94877710000000004</v>
      </c>
      <c r="AB8398">
        <v>23</v>
      </c>
      <c r="AC8398">
        <v>26.6418999999999</v>
      </c>
      <c r="AD8398">
        <v>-1.1697299999999999</v>
      </c>
      <c r="AE8398">
        <v>-10.071454999999901</v>
      </c>
      <c r="AF8398">
        <v>9.0260054555131592</v>
      </c>
      <c r="AG8398">
        <v>-1.1697299999999999</v>
      </c>
      <c r="AH8398">
        <v>26.9634315009923</v>
      </c>
      <c r="AI8398">
        <v>92.355725404434295</v>
      </c>
      <c r="AJ8398">
        <v>71.492036321695196</v>
      </c>
      <c r="AK8398">
        <v>28.458103961166501</v>
      </c>
      <c r="AL8398">
        <v>82.350222322031996</v>
      </c>
      <c r="AM8398">
        <v>77.904613050433596</v>
      </c>
      <c r="AN8398">
        <v>1.0000000540176199</v>
      </c>
    </row>
    <row r="8399" spans="1:40" x14ac:dyDescent="0.25">
      <c r="A8399" t="str">
        <f>"20190303162116736"</f>
        <v>20190303162116736</v>
      </c>
      <c r="B8399" t="str">
        <f>"1551601276730893"</f>
        <v>1551601276730893</v>
      </c>
      <c r="C8399" t="s">
        <v>40</v>
      </c>
      <c r="D8399">
        <v>4.6324639999999997</v>
      </c>
      <c r="E8399">
        <v>0.57176729999999998</v>
      </c>
      <c r="F8399" t="s">
        <v>44</v>
      </c>
      <c r="G8399">
        <v>-300.07839999999999</v>
      </c>
      <c r="H8399">
        <v>-0.05</v>
      </c>
      <c r="I8399">
        <v>7.6586149999999904</v>
      </c>
      <c r="J8399">
        <v>-327.0616</v>
      </c>
      <c r="K8399">
        <v>1.1197140000000001</v>
      </c>
      <c r="L8399">
        <v>17.989380000000001</v>
      </c>
      <c r="M8399">
        <v>0.99916280000000002</v>
      </c>
      <c r="N8399">
        <v>-7.8684199999999992E-3</v>
      </c>
      <c r="O8399">
        <v>-4.0148549999999998E-2</v>
      </c>
      <c r="P8399">
        <v>0.95978560000000002</v>
      </c>
      <c r="Q8399">
        <v>0.12659780000000001</v>
      </c>
      <c r="R8399">
        <v>-0.25056919999999999</v>
      </c>
      <c r="S8399">
        <v>2.8602910000000001</v>
      </c>
      <c r="T8399">
        <v>-0.12288250000000001</v>
      </c>
      <c r="U8399">
        <v>-1.0864560000000001</v>
      </c>
      <c r="V8399">
        <v>0.2121902</v>
      </c>
      <c r="W8399">
        <v>0.13365239999999901</v>
      </c>
      <c r="X8399">
        <v>0.96804570000000001</v>
      </c>
      <c r="Y8399">
        <v>0.31698320000000002</v>
      </c>
      <c r="Z8399">
        <v>-6.5098469999999896E-3</v>
      </c>
      <c r="AA8399">
        <v>0.94840880000000005</v>
      </c>
      <c r="AB8399">
        <v>24</v>
      </c>
      <c r="AC8399">
        <v>26.9832</v>
      </c>
      <c r="AD8399">
        <v>-1.1697139999999999</v>
      </c>
      <c r="AE8399">
        <v>-10.330765</v>
      </c>
      <c r="AF8399">
        <v>9.2239475308778207</v>
      </c>
      <c r="AG8399">
        <v>-1.1697139999999999</v>
      </c>
      <c r="AH8399">
        <v>27.3314256988997</v>
      </c>
      <c r="AI8399">
        <v>92.322094064881696</v>
      </c>
      <c r="AJ8399">
        <v>71.351230300604797</v>
      </c>
      <c r="AK8399">
        <v>28.869642700051902</v>
      </c>
      <c r="AL8399">
        <v>82.319298539937293</v>
      </c>
      <c r="AM8399">
        <v>77.636615296558602</v>
      </c>
      <c r="AN8399">
        <v>1.0000000611451401</v>
      </c>
    </row>
    <row r="8400" spans="1:40" x14ac:dyDescent="0.25">
      <c r="A8400" t="str">
        <f>"20190303162116750"</f>
        <v>20190303162116750</v>
      </c>
      <c r="B8400" t="str">
        <f>"1551601276740654"</f>
        <v>1551601276740654</v>
      </c>
      <c r="C8400" t="s">
        <v>40</v>
      </c>
      <c r="D8400">
        <v>4.714302</v>
      </c>
      <c r="E8400">
        <v>0.57620819999999995</v>
      </c>
      <c r="F8400" t="s">
        <v>44</v>
      </c>
      <c r="G8400">
        <v>-283.13959999999997</v>
      </c>
      <c r="H8400">
        <v>-0.05</v>
      </c>
      <c r="I8400">
        <v>-2.6496580000000001</v>
      </c>
      <c r="J8400">
        <v>-326.9205</v>
      </c>
      <c r="K8400">
        <v>1.1196950000000001</v>
      </c>
      <c r="L8400">
        <v>17.982600000000001</v>
      </c>
      <c r="M8400">
        <v>0.9991198</v>
      </c>
      <c r="N8400">
        <v>-7.9089329999999999E-3</v>
      </c>
      <c r="O8400">
        <v>-4.1198039999999998E-2</v>
      </c>
      <c r="P8400">
        <v>0.95885719999999997</v>
      </c>
      <c r="Q8400">
        <v>0.1269846</v>
      </c>
      <c r="R8400">
        <v>-0.25390620000000003</v>
      </c>
      <c r="S8400">
        <v>2.7928769999999998</v>
      </c>
      <c r="T8400">
        <v>-7.4378849999999996E-2</v>
      </c>
      <c r="U8400">
        <v>-1.312378</v>
      </c>
      <c r="V8400">
        <v>0.21455489999999999</v>
      </c>
      <c r="W8400">
        <v>0.1340517</v>
      </c>
      <c r="X8400">
        <v>0.96746900000000002</v>
      </c>
      <c r="Y8400">
        <v>0.3874939</v>
      </c>
      <c r="Z8400">
        <v>-5.7816250000000003E-3</v>
      </c>
      <c r="AA8400">
        <v>0.92185410000000001</v>
      </c>
      <c r="AB8400">
        <v>24</v>
      </c>
      <c r="AC8400">
        <v>43.780900000000003</v>
      </c>
      <c r="AD8400">
        <v>-1.1696949999999999</v>
      </c>
      <c r="AE8400">
        <v>-20.632258</v>
      </c>
      <c r="AF8400">
        <v>18.800015883485301</v>
      </c>
      <c r="AG8400">
        <v>-1.1696949999999999</v>
      </c>
      <c r="AH8400">
        <v>44.567731606122599</v>
      </c>
      <c r="AI8400">
        <v>91.385250719021698</v>
      </c>
      <c r="AJ8400">
        <v>67.128513059920294</v>
      </c>
      <c r="AK8400">
        <v>48.384827003180497</v>
      </c>
      <c r="AL8400">
        <v>82.296211845835202</v>
      </c>
      <c r="AM8400">
        <v>77.495925284402702</v>
      </c>
      <c r="AN8400">
        <v>0.99999996467394903</v>
      </c>
    </row>
    <row r="8401" spans="1:40" x14ac:dyDescent="0.25">
      <c r="A8401" t="str">
        <f>"20190303162116762"</f>
        <v>20190303162116762</v>
      </c>
      <c r="B8401" t="str">
        <f>"1551601276751390"</f>
        <v>1551601276751390</v>
      </c>
      <c r="C8401" t="s">
        <v>40</v>
      </c>
      <c r="D8401">
        <v>4.7370999999999999</v>
      </c>
      <c r="E8401">
        <v>0.57941480000000001</v>
      </c>
      <c r="F8401" t="s">
        <v>44</v>
      </c>
      <c r="G8401">
        <v>-294.86</v>
      </c>
      <c r="H8401">
        <v>-0.05</v>
      </c>
      <c r="I8401">
        <v>2.341812</v>
      </c>
      <c r="J8401">
        <v>-326.78309999999999</v>
      </c>
      <c r="K8401">
        <v>1.1196680000000001</v>
      </c>
      <c r="L8401">
        <v>17.975829999999998</v>
      </c>
      <c r="M8401">
        <v>0.99907550000000001</v>
      </c>
      <c r="N8401">
        <v>-7.9506190000000008E-3</v>
      </c>
      <c r="O8401">
        <v>-4.2250040000000003E-2</v>
      </c>
      <c r="P8401">
        <v>0.95821460000000003</v>
      </c>
      <c r="Q8401">
        <v>0.127365899999999</v>
      </c>
      <c r="R8401">
        <v>-0.2561311</v>
      </c>
      <c r="S8401">
        <v>2.7826840000000002</v>
      </c>
      <c r="T8401">
        <v>-0.10152360000000001</v>
      </c>
      <c r="U8401">
        <v>-1.3575440000000001</v>
      </c>
      <c r="V8401">
        <v>0.21579860000000001</v>
      </c>
      <c r="W8401">
        <v>0.1344477</v>
      </c>
      <c r="X8401">
        <v>0.96713740000000004</v>
      </c>
      <c r="Y8401">
        <v>0.39983869999999999</v>
      </c>
      <c r="Z8401">
        <v>-7.4416859999999899E-3</v>
      </c>
      <c r="AA8401">
        <v>0.91655529999999996</v>
      </c>
      <c r="AB8401">
        <v>24</v>
      </c>
      <c r="AC8401">
        <v>31.923099999999899</v>
      </c>
      <c r="AD8401">
        <v>-1.1696679999999999</v>
      </c>
      <c r="AE8401">
        <v>-15.6340179999999</v>
      </c>
      <c r="AF8401">
        <v>14.255826030780799</v>
      </c>
      <c r="AG8401">
        <v>-1.1696679999999999</v>
      </c>
      <c r="AH8401">
        <v>32.519939236590297</v>
      </c>
      <c r="AI8401">
        <v>91.886728569054895</v>
      </c>
      <c r="AJ8401">
        <v>66.328707502670795</v>
      </c>
      <c r="AK8401">
        <v>35.526654036112603</v>
      </c>
      <c r="AL8401">
        <v>82.273315606422102</v>
      </c>
      <c r="AM8401">
        <v>77.421568087788302</v>
      </c>
      <c r="AN8401">
        <v>0.99999998513800403</v>
      </c>
    </row>
    <row r="8402" spans="1:40" x14ac:dyDescent="0.25">
      <c r="A8402" t="str">
        <f>"20190303162116775"</f>
        <v>20190303162116775</v>
      </c>
      <c r="B8402" t="str">
        <f>"1551601276770909"</f>
        <v>1551601276770909</v>
      </c>
      <c r="C8402" t="s">
        <v>40</v>
      </c>
      <c r="D8402">
        <v>4.6885490000000001</v>
      </c>
      <c r="E8402">
        <v>0.58328829999999998</v>
      </c>
      <c r="F8402" t="s">
        <v>44</v>
      </c>
      <c r="G8402">
        <v>-299.1497</v>
      </c>
      <c r="H8402">
        <v>-0.05</v>
      </c>
      <c r="I8402">
        <v>4.1324310000000004</v>
      </c>
      <c r="J8402">
        <v>-326.65019999999998</v>
      </c>
      <c r="K8402">
        <v>1.1196269999999999</v>
      </c>
      <c r="L8402">
        <v>17.969089999999898</v>
      </c>
      <c r="M8402">
        <v>0.99902930000000001</v>
      </c>
      <c r="N8402">
        <v>-7.9931380000000003E-3</v>
      </c>
      <c r="O8402">
        <v>-4.3320480000000001E-2</v>
      </c>
      <c r="P8402">
        <v>0.95725510000000003</v>
      </c>
      <c r="Q8402">
        <v>0.1280347</v>
      </c>
      <c r="R8402">
        <v>-0.25936439999999999</v>
      </c>
      <c r="S8402">
        <v>2.7748409999999999</v>
      </c>
      <c r="T8402">
        <v>-0.1174539</v>
      </c>
      <c r="U8402">
        <v>-1.3901059999999901</v>
      </c>
      <c r="V8402">
        <v>0.21805169999999999</v>
      </c>
      <c r="W8402">
        <v>0.13511999999999999</v>
      </c>
      <c r="X8402">
        <v>0.96653820000000001</v>
      </c>
      <c r="Y8402">
        <v>0.40841549999999999</v>
      </c>
      <c r="Z8402">
        <v>-8.4837369999999999E-3</v>
      </c>
      <c r="AA8402">
        <v>0.91275669999999998</v>
      </c>
      <c r="AB8402">
        <v>24</v>
      </c>
      <c r="AC8402">
        <v>27.500499999999899</v>
      </c>
      <c r="AD8402">
        <v>-1.169627</v>
      </c>
      <c r="AE8402">
        <v>-13.8366589999999</v>
      </c>
      <c r="AF8402">
        <v>12.6140876873097</v>
      </c>
      <c r="AG8402">
        <v>-1.169627</v>
      </c>
      <c r="AH8402">
        <v>28.033645543833199</v>
      </c>
      <c r="AI8402">
        <v>92.178936447467706</v>
      </c>
      <c r="AJ8402">
        <v>65.7740441050166</v>
      </c>
      <c r="AK8402">
        <v>30.763103191640901</v>
      </c>
      <c r="AL8402">
        <v>82.234441234698906</v>
      </c>
      <c r="AM8402">
        <v>77.286861271938903</v>
      </c>
      <c r="AN8402">
        <v>1.0000000251660599</v>
      </c>
    </row>
    <row r="8403" spans="1:40" x14ac:dyDescent="0.25">
      <c r="A8403" t="str">
        <f>"20190303162116786"</f>
        <v>20190303162116786</v>
      </c>
      <c r="B8403" t="str">
        <f>"1551601276780670"</f>
        <v>1551601276780670</v>
      </c>
      <c r="C8403" t="s">
        <v>40</v>
      </c>
      <c r="D8403">
        <v>4.6663059999999996</v>
      </c>
      <c r="E8403">
        <v>0.58425050000000001</v>
      </c>
      <c r="F8403" t="s">
        <v>44</v>
      </c>
      <c r="G8403">
        <v>-302.565</v>
      </c>
      <c r="H8403">
        <v>-0.05</v>
      </c>
      <c r="I8403">
        <v>5.505325</v>
      </c>
      <c r="J8403">
        <v>-326.52210000000002</v>
      </c>
      <c r="K8403">
        <v>1.119583</v>
      </c>
      <c r="L8403">
        <v>17.962429999999902</v>
      </c>
      <c r="M8403">
        <v>0.99898240000000005</v>
      </c>
      <c r="N8403">
        <v>-8.0349340000000005E-3</v>
      </c>
      <c r="O8403">
        <v>-4.4381450000000003E-2</v>
      </c>
      <c r="P8403">
        <v>0.95656620000000003</v>
      </c>
      <c r="Q8403">
        <v>0.12893859999999999</v>
      </c>
      <c r="R8403">
        <v>-0.26145000000000002</v>
      </c>
      <c r="S8403">
        <v>2.7643430000000002</v>
      </c>
      <c r="T8403">
        <v>-0.13424239999999901</v>
      </c>
      <c r="U8403">
        <v>-1.4305110000000001</v>
      </c>
      <c r="V8403">
        <v>0.21915950000000001</v>
      </c>
      <c r="W8403">
        <v>0.1360285</v>
      </c>
      <c r="X8403">
        <v>0.96616009999999997</v>
      </c>
      <c r="Y8403">
        <v>0.41928759999999998</v>
      </c>
      <c r="Z8403">
        <v>-9.6739110000000003E-3</v>
      </c>
      <c r="AA8403">
        <v>0.90780190000000005</v>
      </c>
      <c r="AB8403">
        <v>24</v>
      </c>
      <c r="AC8403">
        <v>23.957100000000001</v>
      </c>
      <c r="AD8403">
        <v>-1.169583</v>
      </c>
      <c r="AE8403">
        <v>-12.457105</v>
      </c>
      <c r="AF8403">
        <v>11.3602313812642</v>
      </c>
      <c r="AG8403">
        <v>-1.169583</v>
      </c>
      <c r="AH8403">
        <v>24.440521261736901</v>
      </c>
      <c r="AI8403">
        <v>92.484821405261997</v>
      </c>
      <c r="AJ8403">
        <v>65.070460777494802</v>
      </c>
      <c r="AK8403">
        <v>26.9770617557799</v>
      </c>
      <c r="AL8403">
        <v>82.181902658108598</v>
      </c>
      <c r="AM8403">
        <v>77.219551933463407</v>
      </c>
      <c r="AN8403">
        <v>0.99999998904225396</v>
      </c>
    </row>
    <row r="8404" spans="1:40" x14ac:dyDescent="0.25">
      <c r="A8404" t="str">
        <f>"20190303162116797"</f>
        <v>20190303162116797</v>
      </c>
      <c r="B8404" t="str">
        <f>"1551601276791405"</f>
        <v>1551601276791405</v>
      </c>
      <c r="C8404" t="s">
        <v>40</v>
      </c>
      <c r="D8404">
        <v>4.6688999999999998</v>
      </c>
      <c r="E8404">
        <v>0.58483390000000002</v>
      </c>
      <c r="F8404" t="s">
        <v>44</v>
      </c>
      <c r="G8404">
        <v>-303.0829</v>
      </c>
      <c r="H8404">
        <v>-0.05</v>
      </c>
      <c r="I8404">
        <v>5.6912839999999996</v>
      </c>
      <c r="J8404">
        <v>-326.40210000000002</v>
      </c>
      <c r="K8404">
        <v>1.119526</v>
      </c>
      <c r="L8404">
        <v>17.95599</v>
      </c>
      <c r="M8404">
        <v>0.99893390000000004</v>
      </c>
      <c r="N8404">
        <v>-8.0755050000000002E-3</v>
      </c>
      <c r="O8404">
        <v>-4.5453250000000001E-2</v>
      </c>
      <c r="P8404">
        <v>0.9559301</v>
      </c>
      <c r="Q8404">
        <v>0.12994929999999999</v>
      </c>
      <c r="R8404">
        <v>-0.26327030000000001</v>
      </c>
      <c r="S8404">
        <v>2.7598880000000001</v>
      </c>
      <c r="T8404">
        <v>-0.13771429999999901</v>
      </c>
      <c r="U8404">
        <v>-1.444885</v>
      </c>
      <c r="V8404">
        <v>0.21999540000000001</v>
      </c>
      <c r="W8404">
        <v>0.13703560000000001</v>
      </c>
      <c r="X8404">
        <v>0.96582780000000001</v>
      </c>
      <c r="Y8404">
        <v>0.42260350000000002</v>
      </c>
      <c r="Z8404">
        <v>-9.9340090000000006E-3</v>
      </c>
      <c r="AA8404">
        <v>0.90626019999999896</v>
      </c>
      <c r="AB8404">
        <v>24</v>
      </c>
      <c r="AC8404">
        <v>23.319199999999999</v>
      </c>
      <c r="AD8404">
        <v>-1.1695260000000001</v>
      </c>
      <c r="AE8404">
        <v>-12.264706</v>
      </c>
      <c r="AF8404">
        <v>11.1700530436324</v>
      </c>
      <c r="AG8404">
        <v>-1.1695260000000001</v>
      </c>
      <c r="AH8404">
        <v>23.805682061774899</v>
      </c>
      <c r="AI8404">
        <v>92.546574641565101</v>
      </c>
      <c r="AJ8404">
        <v>64.863188027535898</v>
      </c>
      <c r="AK8404">
        <v>26.322013116183701</v>
      </c>
      <c r="AL8404">
        <v>82.123654988530006</v>
      </c>
      <c r="AM8404">
        <v>77.168148205426405</v>
      </c>
      <c r="AN8404">
        <v>1.00000003547067</v>
      </c>
    </row>
    <row r="8405" spans="1:40" x14ac:dyDescent="0.25">
      <c r="A8405" t="str">
        <f>"20190303162116813"</f>
        <v>20190303162116813</v>
      </c>
      <c r="B8405" t="str">
        <f>"1551601276801165"</f>
        <v>1551601276801165</v>
      </c>
      <c r="C8405" t="s">
        <v>40</v>
      </c>
      <c r="D8405">
        <v>4.6628509999999999</v>
      </c>
      <c r="E8405">
        <v>0.58524319999999996</v>
      </c>
      <c r="F8405" t="s">
        <v>44</v>
      </c>
      <c r="G8405">
        <v>-303.71969999999999</v>
      </c>
      <c r="H8405">
        <v>-0.05</v>
      </c>
      <c r="I8405">
        <v>5.9850770000000004</v>
      </c>
      <c r="J8405">
        <v>-326.23680000000002</v>
      </c>
      <c r="K8405">
        <v>1.1194329999999999</v>
      </c>
      <c r="L8405">
        <v>17.946809999999999</v>
      </c>
      <c r="M8405">
        <v>0.99886160000000002</v>
      </c>
      <c r="N8405">
        <v>-8.1316840000000001E-3</v>
      </c>
      <c r="O8405">
        <v>-4.7005369999999998E-2</v>
      </c>
      <c r="P8405">
        <v>0.95468569999999997</v>
      </c>
      <c r="Q8405">
        <v>0.1316976</v>
      </c>
      <c r="R8405">
        <v>-0.26689230000000003</v>
      </c>
      <c r="S8405">
        <v>2.7568969999999999</v>
      </c>
      <c r="T8405">
        <v>-0.14214830000000001</v>
      </c>
      <c r="U8405">
        <v>-1.454987</v>
      </c>
      <c r="V8405">
        <v>0.22221109999999999</v>
      </c>
      <c r="W8405">
        <v>0.138767</v>
      </c>
      <c r="X8405">
        <v>0.96507299999999996</v>
      </c>
      <c r="Y8405">
        <v>0.42417149999999998</v>
      </c>
      <c r="Z8405">
        <v>-1.018374E-2</v>
      </c>
      <c r="AA8405">
        <v>0.90552460000000001</v>
      </c>
      <c r="AB8405">
        <v>24</v>
      </c>
      <c r="AC8405">
        <v>22.517099999999999</v>
      </c>
      <c r="AD8405">
        <v>-1.1694329999999999</v>
      </c>
      <c r="AE8405">
        <v>-11.961733000000001</v>
      </c>
      <c r="AF8405">
        <v>10.867190011527599</v>
      </c>
      <c r="AG8405">
        <v>-1.1694329999999999</v>
      </c>
      <c r="AH8405">
        <v>23.0060967874029</v>
      </c>
      <c r="AI8405">
        <v>92.631564641390995</v>
      </c>
      <c r="AJ8405">
        <v>64.715762030567106</v>
      </c>
      <c r="AK8405">
        <v>25.470451147937801</v>
      </c>
      <c r="AL8405">
        <v>82.023495654941897</v>
      </c>
      <c r="AM8405">
        <v>77.033460456383196</v>
      </c>
      <c r="AN8405">
        <v>0.99999997429060405</v>
      </c>
    </row>
    <row r="8406" spans="1:40" x14ac:dyDescent="0.25">
      <c r="A8406" t="str">
        <f>"20190303162116826"</f>
        <v>20190303162116826</v>
      </c>
      <c r="B8406" t="str">
        <f>"1551601276820685"</f>
        <v>1551601276820685</v>
      </c>
      <c r="C8406" t="s">
        <v>40</v>
      </c>
      <c r="D8406">
        <v>4.6674790000000002</v>
      </c>
      <c r="E8406">
        <v>0.58582860000000003</v>
      </c>
      <c r="F8406" t="s">
        <v>44</v>
      </c>
      <c r="G8406">
        <v>-303.6001</v>
      </c>
      <c r="H8406">
        <v>-0.05</v>
      </c>
      <c r="I8406">
        <v>5.8568419999999897</v>
      </c>
      <c r="J8406">
        <v>-326.10320000000002</v>
      </c>
      <c r="K8406">
        <v>1.1193519999999999</v>
      </c>
      <c r="L8406">
        <v>17.939209999999999</v>
      </c>
      <c r="M8406">
        <v>0.99879859999999998</v>
      </c>
      <c r="N8406">
        <v>-8.1773200000000001E-3</v>
      </c>
      <c r="O8406">
        <v>-4.8320189999999999E-2</v>
      </c>
      <c r="P8406">
        <v>0.95405799999999996</v>
      </c>
      <c r="Q8406">
        <v>0.1324912</v>
      </c>
      <c r="R8406">
        <v>-0.26873730000000001</v>
      </c>
      <c r="S8406">
        <v>2.7512210000000001</v>
      </c>
      <c r="T8406">
        <v>-0.1421306</v>
      </c>
      <c r="U8406">
        <v>-1.4693909999999999</v>
      </c>
      <c r="V8406">
        <v>0.2228472</v>
      </c>
      <c r="W8406">
        <v>0.1395499</v>
      </c>
      <c r="X8406">
        <v>0.96481340000000004</v>
      </c>
      <c r="Y8406">
        <v>0.42744080000000001</v>
      </c>
      <c r="Z8406">
        <v>-1.024252E-2</v>
      </c>
      <c r="AA8406">
        <v>0.90398529999999999</v>
      </c>
      <c r="AB8406">
        <v>24</v>
      </c>
      <c r="AC8406">
        <v>22.5031</v>
      </c>
      <c r="AD8406">
        <v>-1.1693519999999999</v>
      </c>
      <c r="AE8406">
        <v>-12.082368000000001</v>
      </c>
      <c r="AF8406">
        <v>10.9578954651163</v>
      </c>
      <c r="AG8406">
        <v>-1.1693519999999999</v>
      </c>
      <c r="AH8406">
        <v>23.012419670279399</v>
      </c>
      <c r="AI8406">
        <v>92.626786491317304</v>
      </c>
      <c r="AJ8406">
        <v>64.537465987763795</v>
      </c>
      <c r="AK8406">
        <v>25.514982190967402</v>
      </c>
      <c r="AL8406">
        <v>81.978198036211396</v>
      </c>
      <c r="AM8406">
        <v>76.994222534044596</v>
      </c>
      <c r="AN8406">
        <v>0.99999997297870402</v>
      </c>
    </row>
    <row r="8407" spans="1:40" x14ac:dyDescent="0.25">
      <c r="A8407" t="str">
        <f>"20190303162116837"</f>
        <v>20190303162116837</v>
      </c>
      <c r="B8407" t="str">
        <f>"1551601276831421"</f>
        <v>1551601276831421</v>
      </c>
      <c r="C8407" t="s">
        <v>40</v>
      </c>
      <c r="D8407">
        <v>4.6976120000000003</v>
      </c>
      <c r="E8407">
        <v>0.58593700000000004</v>
      </c>
      <c r="F8407" t="s">
        <v>44</v>
      </c>
      <c r="G8407">
        <v>-304.21199999999999</v>
      </c>
      <c r="H8407">
        <v>-0.05</v>
      </c>
      <c r="I8407">
        <v>6.1526949999999996</v>
      </c>
      <c r="J8407">
        <v>-325.97899999999998</v>
      </c>
      <c r="K8407">
        <v>1.119264</v>
      </c>
      <c r="L8407">
        <v>17.931760000000001</v>
      </c>
      <c r="M8407">
        <v>0.99873299999999998</v>
      </c>
      <c r="N8407">
        <v>-8.2208079999999996E-3</v>
      </c>
      <c r="O8407">
        <v>-4.964855E-2</v>
      </c>
      <c r="P8407">
        <v>0.95347210000000004</v>
      </c>
      <c r="Q8407">
        <v>0.13311389999999901</v>
      </c>
      <c r="R8407">
        <v>-0.27050370000000001</v>
      </c>
      <c r="S8407">
        <v>2.7480470000000001</v>
      </c>
      <c r="T8407">
        <v>-0.146791</v>
      </c>
      <c r="U8407">
        <v>-1.479584</v>
      </c>
      <c r="V8407">
        <v>0.22339120000000001</v>
      </c>
      <c r="W8407">
        <v>0.140158</v>
      </c>
      <c r="X8407">
        <v>0.9645994</v>
      </c>
      <c r="Y8407">
        <v>0.42924380000000001</v>
      </c>
      <c r="Z8407">
        <v>-1.051709E-2</v>
      </c>
      <c r="AA8407">
        <v>0.90312740000000002</v>
      </c>
      <c r="AB8407">
        <v>24</v>
      </c>
      <c r="AC8407">
        <v>21.766999999999999</v>
      </c>
      <c r="AD8407">
        <v>-1.1692639999999901</v>
      </c>
      <c r="AE8407">
        <v>-11.779064999999999</v>
      </c>
      <c r="AF8407">
        <v>10.6600084620607</v>
      </c>
      <c r="AG8407">
        <v>-1.1692639999999901</v>
      </c>
      <c r="AH8407">
        <v>22.275269953817102</v>
      </c>
      <c r="AI8407">
        <v>92.710871427348096</v>
      </c>
      <c r="AJ8407">
        <v>64.426181622776298</v>
      </c>
      <c r="AK8407">
        <v>24.722269520178099</v>
      </c>
      <c r="AL8407">
        <v>81.943010450711697</v>
      </c>
      <c r="AM8407">
        <v>76.960763525343097</v>
      </c>
      <c r="AN8407">
        <v>0.99999994784089796</v>
      </c>
    </row>
    <row r="8408" spans="1:40" x14ac:dyDescent="0.25">
      <c r="A8408" t="str">
        <f>"20190303162116848"</f>
        <v>20190303162116848</v>
      </c>
      <c r="B8408" t="str">
        <f>"1551601276841181"</f>
        <v>1551601276841181</v>
      </c>
      <c r="C8408" t="s">
        <v>40</v>
      </c>
      <c r="D8408">
        <v>4.551329</v>
      </c>
      <c r="E8408">
        <v>0.58656540000000001</v>
      </c>
      <c r="F8408" t="s">
        <v>44</v>
      </c>
      <c r="G8408">
        <v>-304.49619999999999</v>
      </c>
      <c r="H8408">
        <v>-0.05</v>
      </c>
      <c r="I8408">
        <v>6.3084720000000001</v>
      </c>
      <c r="J8408">
        <v>-325.87150000000003</v>
      </c>
      <c r="K8408">
        <v>1.1191879999999901</v>
      </c>
      <c r="L8408">
        <v>17.925229999999999</v>
      </c>
      <c r="M8408">
        <v>0.99867340000000004</v>
      </c>
      <c r="N8408">
        <v>-8.2584359999999992E-3</v>
      </c>
      <c r="O8408">
        <v>-5.0826169999999997E-2</v>
      </c>
      <c r="P8408">
        <v>0.952874</v>
      </c>
      <c r="Q8408">
        <v>0.133573</v>
      </c>
      <c r="R8408">
        <v>-0.27237790000000001</v>
      </c>
      <c r="S8408">
        <v>2.7457579999999999</v>
      </c>
      <c r="T8408">
        <v>-0.14944589999999999</v>
      </c>
      <c r="U8408">
        <v>-1.4855959999999999</v>
      </c>
      <c r="V8408">
        <v>0.2241853</v>
      </c>
      <c r="W8408">
        <v>0.140601799999999</v>
      </c>
      <c r="X8408">
        <v>0.96435059999999995</v>
      </c>
      <c r="Y8408">
        <v>0.43000640000000001</v>
      </c>
      <c r="Z8408">
        <v>-1.0651890000000001E-2</v>
      </c>
      <c r="AA8408">
        <v>0.90276299999999998</v>
      </c>
      <c r="AB8408">
        <v>24</v>
      </c>
      <c r="AC8408">
        <v>21.375299999999999</v>
      </c>
      <c r="AD8408">
        <v>-1.1691879999999999</v>
      </c>
      <c r="AE8408">
        <v>-11.616758000000001</v>
      </c>
      <c r="AF8408">
        <v>10.4910496854075</v>
      </c>
      <c r="AG8408">
        <v>-1.1691879999999999</v>
      </c>
      <c r="AH8408">
        <v>21.8875726120907</v>
      </c>
      <c r="AI8408">
        <v>92.7578242926499</v>
      </c>
      <c r="AJ8408">
        <v>64.390884306784997</v>
      </c>
      <c r="AK8408">
        <v>24.300102035394399</v>
      </c>
      <c r="AL8408">
        <v>81.917328672405702</v>
      </c>
      <c r="AM8408">
        <v>76.9127448483775</v>
      </c>
      <c r="AN8408">
        <v>0.99999999730984401</v>
      </c>
    </row>
    <row r="8409" spans="1:40" x14ac:dyDescent="0.25">
      <c r="A8409" t="str">
        <f>"20190303162116858"</f>
        <v>20190303162116858</v>
      </c>
      <c r="B8409" t="str">
        <f>"1551601276850941"</f>
        <v>1551601276850941</v>
      </c>
      <c r="C8409" t="s">
        <v>40</v>
      </c>
      <c r="D8409">
        <v>4.5619350000000001</v>
      </c>
      <c r="E8409">
        <v>0.58696899999999996</v>
      </c>
      <c r="F8409" t="s">
        <v>44</v>
      </c>
      <c r="G8409">
        <v>-303.98340000000002</v>
      </c>
      <c r="H8409">
        <v>-0.05</v>
      </c>
      <c r="I8409">
        <v>5.9834899999999998</v>
      </c>
      <c r="J8409">
        <v>-325.75389999999999</v>
      </c>
      <c r="K8409">
        <v>1.1190990000000001</v>
      </c>
      <c r="L8409">
        <v>17.91779</v>
      </c>
      <c r="M8409">
        <v>0.99860230000000005</v>
      </c>
      <c r="N8409">
        <v>-8.2998610000000004E-3</v>
      </c>
      <c r="O8409">
        <v>-5.2197340000000002E-2</v>
      </c>
      <c r="P8409">
        <v>0.95225689999999996</v>
      </c>
      <c r="Q8409">
        <v>0.1342372</v>
      </c>
      <c r="R8409">
        <v>-0.27420329999999998</v>
      </c>
      <c r="S8409">
        <v>2.7413639999999999</v>
      </c>
      <c r="T8409">
        <v>-0.14643439999999999</v>
      </c>
      <c r="U8409">
        <v>-1.495636</v>
      </c>
      <c r="V8409">
        <v>0.2247497</v>
      </c>
      <c r="W8409">
        <v>0.14125090000000001</v>
      </c>
      <c r="X8409">
        <v>0.96412430000000005</v>
      </c>
      <c r="Y8409">
        <v>0.43194060000000001</v>
      </c>
      <c r="Z8409">
        <v>-1.050074E-2</v>
      </c>
      <c r="AA8409">
        <v>0.90184089999999995</v>
      </c>
      <c r="AB8409">
        <v>24</v>
      </c>
      <c r="AC8409">
        <v>21.770499999999899</v>
      </c>
      <c r="AD8409">
        <v>-1.1690989999999899</v>
      </c>
      <c r="AE8409">
        <v>-11.9343</v>
      </c>
      <c r="AF8409">
        <v>10.7577738342336</v>
      </c>
      <c r="AG8409">
        <v>-1.1690989999999899</v>
      </c>
      <c r="AH8409">
        <v>22.314299663527901</v>
      </c>
      <c r="AI8409">
        <v>92.7020209799133</v>
      </c>
      <c r="AJ8409">
        <v>64.261179956342204</v>
      </c>
      <c r="AK8409">
        <v>24.799686687820198</v>
      </c>
      <c r="AL8409">
        <v>81.879762734742997</v>
      </c>
      <c r="AM8409">
        <v>76.877962340572395</v>
      </c>
      <c r="AN8409">
        <v>0.99999995512569395</v>
      </c>
    </row>
    <row r="8410" spans="1:40" x14ac:dyDescent="0.25">
      <c r="A8410" t="str">
        <f>"20190303162116868"</f>
        <v>20190303162116868</v>
      </c>
      <c r="B8410" t="str">
        <f>"1551601276860701"</f>
        <v>1551601276860701</v>
      </c>
      <c r="C8410" t="s">
        <v>40</v>
      </c>
      <c r="D8410">
        <v>4.5510489999999999</v>
      </c>
      <c r="E8410">
        <v>0.58745550000000002</v>
      </c>
      <c r="F8410" t="s">
        <v>44</v>
      </c>
      <c r="G8410">
        <v>-303.40899999999999</v>
      </c>
      <c r="H8410">
        <v>-0.05</v>
      </c>
      <c r="I8410">
        <v>5.6449740000000004</v>
      </c>
      <c r="J8410">
        <v>-325.64449999999999</v>
      </c>
      <c r="K8410">
        <v>1.1190249999999999</v>
      </c>
      <c r="L8410">
        <v>17.910710000000002</v>
      </c>
      <c r="M8410">
        <v>0.99853230000000004</v>
      </c>
      <c r="N8410">
        <v>-8.3380829999999996E-3</v>
      </c>
      <c r="O8410">
        <v>-5.3513819999999997E-2</v>
      </c>
      <c r="P8410">
        <v>0.95165</v>
      </c>
      <c r="Q8410">
        <v>0.13446920000000001</v>
      </c>
      <c r="R8410">
        <v>-0.27618939999999997</v>
      </c>
      <c r="S8410">
        <v>2.7376399999999999</v>
      </c>
      <c r="T8410">
        <v>-0.14323469999999999</v>
      </c>
      <c r="U8410">
        <v>-1.5036320000000001</v>
      </c>
      <c r="V8410">
        <v>0.2255238</v>
      </c>
      <c r="W8410">
        <v>0.14146710000000001</v>
      </c>
      <c r="X8410">
        <v>0.96391190000000004</v>
      </c>
      <c r="Y8410">
        <v>0.43331150000000002</v>
      </c>
      <c r="Z8410">
        <v>-1.032427E-2</v>
      </c>
      <c r="AA8410">
        <v>0.90118509999999996</v>
      </c>
      <c r="AB8410">
        <v>24</v>
      </c>
      <c r="AC8410">
        <v>22.235499999999998</v>
      </c>
      <c r="AD8410">
        <v>-1.169025</v>
      </c>
      <c r="AE8410">
        <v>-12.265736</v>
      </c>
      <c r="AF8410">
        <v>11.0348260625784</v>
      </c>
      <c r="AG8410">
        <v>-1.169025</v>
      </c>
      <c r="AH8410">
        <v>22.811702672094601</v>
      </c>
      <c r="AI8410">
        <v>92.641334277226406</v>
      </c>
      <c r="AJ8410">
        <v>64.185306410348403</v>
      </c>
      <c r="AK8410">
        <v>25.3674552228251</v>
      </c>
      <c r="AL8410">
        <v>81.867250413461704</v>
      </c>
      <c r="AM8410">
        <v>76.831538068529596</v>
      </c>
      <c r="AN8410">
        <v>1.0000000378552201</v>
      </c>
    </row>
    <row r="8411" spans="1:40" x14ac:dyDescent="0.25">
      <c r="A8411" t="str">
        <f>"20190303162116879"</f>
        <v>20190303162116879</v>
      </c>
      <c r="B8411" t="str">
        <f>"1551601276871437"</f>
        <v>1551601276871437</v>
      </c>
      <c r="C8411" t="s">
        <v>40</v>
      </c>
      <c r="D8411">
        <v>4.5423119999999999</v>
      </c>
      <c r="E8411">
        <v>0.58780959999999904</v>
      </c>
      <c r="F8411" t="s">
        <v>44</v>
      </c>
      <c r="G8411">
        <v>-303.16770000000002</v>
      </c>
      <c r="H8411">
        <v>-0.05</v>
      </c>
      <c r="I8411">
        <v>5.4765169999999896</v>
      </c>
      <c r="J8411">
        <v>-325.52359999999999</v>
      </c>
      <c r="K8411">
        <v>1.1189359999999999</v>
      </c>
      <c r="L8411">
        <v>17.902619999999999</v>
      </c>
      <c r="M8411">
        <v>0.99844860000000002</v>
      </c>
      <c r="N8411">
        <v>-8.3798780000000003E-3</v>
      </c>
      <c r="O8411">
        <v>-5.5046739999999997E-2</v>
      </c>
      <c r="P8411">
        <v>0.95093419999999895</v>
      </c>
      <c r="Q8411">
        <v>0.13470289999999999</v>
      </c>
      <c r="R8411">
        <v>-0.27853099999999997</v>
      </c>
      <c r="S8411">
        <v>2.7336119999999999</v>
      </c>
      <c r="T8411">
        <v>-0.1421762</v>
      </c>
      <c r="U8411">
        <v>-1.512238</v>
      </c>
      <c r="V8411">
        <v>0.2264535</v>
      </c>
      <c r="W8411">
        <v>0.14168239999999999</v>
      </c>
      <c r="X8411">
        <v>0.96366229999999997</v>
      </c>
      <c r="Y8411">
        <v>0.43466840000000001</v>
      </c>
      <c r="Z8411">
        <v>-1.026022E-2</v>
      </c>
      <c r="AA8411">
        <v>0.90053209999999995</v>
      </c>
      <c r="AB8411">
        <v>24</v>
      </c>
      <c r="AC8411">
        <v>22.355899999999899</v>
      </c>
      <c r="AD8411">
        <v>-1.168936</v>
      </c>
      <c r="AE8411">
        <v>-12.426102999999999</v>
      </c>
      <c r="AF8411">
        <v>11.1533024813619</v>
      </c>
      <c r="AG8411">
        <v>-1.168936</v>
      </c>
      <c r="AH8411">
        <v>22.958089202995399</v>
      </c>
      <c r="AI8411">
        <v>92.6221817600089</v>
      </c>
      <c r="AJ8411">
        <v>64.088987995468301</v>
      </c>
      <c r="AK8411">
        <v>25.550663933947899</v>
      </c>
      <c r="AL8411">
        <v>81.854789292773006</v>
      </c>
      <c r="AM8411">
        <v>76.775851137429299</v>
      </c>
      <c r="AN8411">
        <v>1.00000005928664</v>
      </c>
    </row>
    <row r="8412" spans="1:40" x14ac:dyDescent="0.25">
      <c r="A8412" t="str">
        <f>"20190303162116891"</f>
        <v>20190303162116891</v>
      </c>
      <c r="B8412" t="str">
        <f>"1551601276881198"</f>
        <v>1551601276881198</v>
      </c>
      <c r="C8412" t="s">
        <v>40</v>
      </c>
      <c r="D8412">
        <v>4.5784229999999999</v>
      </c>
      <c r="E8412">
        <v>0.58811910000000001</v>
      </c>
      <c r="F8412" t="s">
        <v>44</v>
      </c>
      <c r="G8412">
        <v>-303.02519999999998</v>
      </c>
      <c r="H8412">
        <v>-0.05</v>
      </c>
      <c r="I8412">
        <v>5.3656160000000002</v>
      </c>
      <c r="J8412">
        <v>-325.40170000000001</v>
      </c>
      <c r="K8412">
        <v>1.1188450000000001</v>
      </c>
      <c r="L8412">
        <v>17.894200000000001</v>
      </c>
      <c r="M8412">
        <v>0.99835819999999997</v>
      </c>
      <c r="N8412">
        <v>-8.4207339999999992E-3</v>
      </c>
      <c r="O8412">
        <v>-5.6656659999999998E-2</v>
      </c>
      <c r="P8412">
        <v>0.95019560000000003</v>
      </c>
      <c r="Q8412">
        <v>0.1346231</v>
      </c>
      <c r="R8412">
        <v>-0.28107880000000002</v>
      </c>
      <c r="S8412">
        <v>2.7294010000000002</v>
      </c>
      <c r="T8412">
        <v>-0.141810299999999</v>
      </c>
      <c r="U8412">
        <v>-1.5209349999999999</v>
      </c>
      <c r="V8412">
        <v>0.22751469999999999</v>
      </c>
      <c r="W8412">
        <v>0.14158370000000001</v>
      </c>
      <c r="X8412">
        <v>0.96342680000000003</v>
      </c>
      <c r="Y8412">
        <v>0.4359981</v>
      </c>
      <c r="Z8412">
        <v>-1.023132E-2</v>
      </c>
      <c r="AA8412">
        <v>0.89988950000000001</v>
      </c>
      <c r="AB8412">
        <v>24</v>
      </c>
      <c r="AC8412">
        <v>22.3765</v>
      </c>
      <c r="AD8412">
        <v>-1.1688449999999999</v>
      </c>
      <c r="AE8412">
        <v>-12.528584</v>
      </c>
      <c r="AF8412">
        <v>11.2173334514414</v>
      </c>
      <c r="AG8412">
        <v>-1.1688449999999999</v>
      </c>
      <c r="AH8412">
        <v>23.002623607900301</v>
      </c>
      <c r="AI8412">
        <v>92.615014045590399</v>
      </c>
      <c r="AJ8412">
        <v>64.003613382169505</v>
      </c>
      <c r="AK8412">
        <v>25.618654555647201</v>
      </c>
      <c r="AL8412">
        <v>81.860501823350901</v>
      </c>
      <c r="AM8412">
        <v>76.712940714495701</v>
      </c>
      <c r="AN8412">
        <v>1.0000000408900001</v>
      </c>
    </row>
    <row r="8413" spans="1:40" x14ac:dyDescent="0.25">
      <c r="A8413" t="str">
        <f>"20190303162116901"</f>
        <v>20190303162116901</v>
      </c>
      <c r="B8413" t="str">
        <f>"1551601276890957"</f>
        <v>1551601276890957</v>
      </c>
      <c r="C8413" t="s">
        <v>40</v>
      </c>
      <c r="D8413">
        <v>4.5671359999999996</v>
      </c>
      <c r="E8413">
        <v>0.588319699999999</v>
      </c>
      <c r="F8413" t="s">
        <v>44</v>
      </c>
      <c r="G8413">
        <v>-303.10809999999998</v>
      </c>
      <c r="H8413">
        <v>-0.05</v>
      </c>
      <c r="I8413">
        <v>5.379715</v>
      </c>
      <c r="J8413">
        <v>-325.28339999999997</v>
      </c>
      <c r="K8413">
        <v>1.118757</v>
      </c>
      <c r="L8413">
        <v>17.885829999999999</v>
      </c>
      <c r="M8413">
        <v>0.99826510000000002</v>
      </c>
      <c r="N8413">
        <v>-8.4593159999999997E-3</v>
      </c>
      <c r="O8413">
        <v>-5.8270330000000002E-2</v>
      </c>
      <c r="P8413">
        <v>0.94910899999999998</v>
      </c>
      <c r="Q8413">
        <v>0.13464470000000001</v>
      </c>
      <c r="R8413">
        <v>-0.28471649999999998</v>
      </c>
      <c r="S8413">
        <v>2.7249759999999998</v>
      </c>
      <c r="T8413">
        <v>-0.14286949999999901</v>
      </c>
      <c r="U8413">
        <v>-1.529663</v>
      </c>
      <c r="V8413">
        <v>0.22968040000000001</v>
      </c>
      <c r="W8413">
        <v>0.14157809999999901</v>
      </c>
      <c r="X8413">
        <v>0.96291360000000004</v>
      </c>
      <c r="Y8413">
        <v>0.43735099999999999</v>
      </c>
      <c r="Z8413">
        <v>-1.028132E-2</v>
      </c>
      <c r="AA8413">
        <v>0.89923209999999998</v>
      </c>
      <c r="AB8413">
        <v>24</v>
      </c>
      <c r="AC8413">
        <v>22.1753</v>
      </c>
      <c r="AD8413">
        <v>-1.168757</v>
      </c>
      <c r="AE8413">
        <v>-12.5061149999999</v>
      </c>
      <c r="AF8413">
        <v>11.1691161299683</v>
      </c>
      <c r="AG8413">
        <v>-1.168757</v>
      </c>
      <c r="AH8413">
        <v>22.818289023092198</v>
      </c>
      <c r="AI8413">
        <v>92.634015807197599</v>
      </c>
      <c r="AJ8413">
        <v>63.919135700707201</v>
      </c>
      <c r="AK8413">
        <v>25.4320557956123</v>
      </c>
      <c r="AL8413">
        <v>81.860825796477499</v>
      </c>
      <c r="AM8413">
        <v>76.5841212574678</v>
      </c>
      <c r="AN8413">
        <v>1.00000002280436</v>
      </c>
    </row>
    <row r="8414" spans="1:40" x14ac:dyDescent="0.25">
      <c r="A8414" t="str">
        <f>"20190303162116914"</f>
        <v>20190303162116914</v>
      </c>
      <c r="B8414" t="str">
        <f>"1551601276901694"</f>
        <v>1551601276901694</v>
      </c>
      <c r="C8414" t="s">
        <v>40</v>
      </c>
      <c r="D8414">
        <v>4.5600529999999999</v>
      </c>
      <c r="E8414">
        <v>0.58854259999999903</v>
      </c>
      <c r="F8414" t="s">
        <v>44</v>
      </c>
      <c r="G8414">
        <v>-303.19970000000001</v>
      </c>
      <c r="H8414">
        <v>-0.05</v>
      </c>
      <c r="I8414">
        <v>5.3767399999999999</v>
      </c>
      <c r="J8414">
        <v>-325.15769999999998</v>
      </c>
      <c r="K8414">
        <v>1.118671</v>
      </c>
      <c r="L8414">
        <v>17.876560000000001</v>
      </c>
      <c r="M8414">
        <v>0.99815790000000004</v>
      </c>
      <c r="N8414">
        <v>-8.4984829999999994E-3</v>
      </c>
      <c r="O8414">
        <v>-6.0071289999999999E-2</v>
      </c>
      <c r="P8414">
        <v>0.94797699999999996</v>
      </c>
      <c r="Q8414">
        <v>0.13455049999999999</v>
      </c>
      <c r="R8414">
        <v>-0.28850609999999999</v>
      </c>
      <c r="S8414">
        <v>2.7192379999999998</v>
      </c>
      <c r="T8414">
        <v>-0.1439126</v>
      </c>
      <c r="U8414">
        <v>-1.5402830000000001</v>
      </c>
      <c r="V8414">
        <v>0.231821</v>
      </c>
      <c r="W8414">
        <v>0.14145720000000001</v>
      </c>
      <c r="X8414">
        <v>0.96241829999999995</v>
      </c>
      <c r="Y8414">
        <v>0.43919209999999897</v>
      </c>
      <c r="Z8414">
        <v>-1.0339070000000001E-2</v>
      </c>
      <c r="AA8414">
        <v>0.89833369999999901</v>
      </c>
      <c r="AB8414">
        <v>24</v>
      </c>
      <c r="AC8414">
        <v>21.957999999999899</v>
      </c>
      <c r="AD8414">
        <v>-1.168671</v>
      </c>
      <c r="AE8414">
        <v>-12.49982</v>
      </c>
      <c r="AF8414">
        <v>11.1343309765622</v>
      </c>
      <c r="AG8414">
        <v>-1.168671</v>
      </c>
      <c r="AH8414">
        <v>22.6208553090908</v>
      </c>
      <c r="AI8414">
        <v>92.653909451016304</v>
      </c>
      <c r="AJ8414">
        <v>63.792883324685398</v>
      </c>
      <c r="AK8414">
        <v>25.239695186683502</v>
      </c>
      <c r="AL8414">
        <v>81.867823501830003</v>
      </c>
      <c r="AM8414">
        <v>76.456957621371302</v>
      </c>
      <c r="AN8414">
        <v>1.0000000498238599</v>
      </c>
    </row>
    <row r="8415" spans="1:40" x14ac:dyDescent="0.25">
      <c r="A8415" t="str">
        <f>"20190303162116924"</f>
        <v>20190303162116924</v>
      </c>
      <c r="B8415" t="str">
        <f>"1551601276911453"</f>
        <v>1551601276911453</v>
      </c>
      <c r="C8415" t="s">
        <v>40</v>
      </c>
      <c r="D8415">
        <v>4.5566370000000003</v>
      </c>
      <c r="E8415">
        <v>0.58876569999999995</v>
      </c>
      <c r="F8415" t="s">
        <v>44</v>
      </c>
      <c r="G8415">
        <v>-303.2269</v>
      </c>
      <c r="H8415">
        <v>-0.05</v>
      </c>
      <c r="I8415">
        <v>5.3291629999999897</v>
      </c>
      <c r="J8415">
        <v>-325.04300000000001</v>
      </c>
      <c r="K8415">
        <v>1.1185929999999999</v>
      </c>
      <c r="L8415">
        <v>17.867979999999999</v>
      </c>
      <c r="M8415">
        <v>0.99805600000000005</v>
      </c>
      <c r="N8415">
        <v>-8.5334279999999992E-3</v>
      </c>
      <c r="O8415">
        <v>-6.1737380000000001E-2</v>
      </c>
      <c r="P8415">
        <v>0.94684420000000002</v>
      </c>
      <c r="Q8415">
        <v>0.1345227</v>
      </c>
      <c r="R8415">
        <v>-0.29221589999999997</v>
      </c>
      <c r="S8415">
        <v>2.712799</v>
      </c>
      <c r="T8415">
        <v>-0.14456269999999999</v>
      </c>
      <c r="U8415">
        <v>-1.5520940000000001</v>
      </c>
      <c r="V8415">
        <v>0.23401130000000001</v>
      </c>
      <c r="W8415">
        <v>0.1414029</v>
      </c>
      <c r="X8415">
        <v>0.96189599999999997</v>
      </c>
      <c r="Y8415">
        <v>0.4415502</v>
      </c>
      <c r="Z8415">
        <v>-1.0395700000000001E-2</v>
      </c>
      <c r="AA8415">
        <v>0.89717630000000004</v>
      </c>
      <c r="AB8415">
        <v>24</v>
      </c>
      <c r="AC8415">
        <v>21.816099999999999</v>
      </c>
      <c r="AD8415">
        <v>-1.168593</v>
      </c>
      <c r="AE8415">
        <v>-12.538817</v>
      </c>
      <c r="AF8415">
        <v>11.143943463355299</v>
      </c>
      <c r="AG8415">
        <v>-1.168593</v>
      </c>
      <c r="AH8415">
        <v>22.500094812284001</v>
      </c>
      <c r="AI8415">
        <v>92.664711211529195</v>
      </c>
      <c r="AJ8415">
        <v>63.651508553292999</v>
      </c>
      <c r="AK8415">
        <v>25.135778326438999</v>
      </c>
      <c r="AL8415">
        <v>81.870965777248202</v>
      </c>
      <c r="AM8415">
        <v>76.326634726546303</v>
      </c>
      <c r="AN8415">
        <v>0.99999999173605003</v>
      </c>
    </row>
    <row r="8416" spans="1:40" x14ac:dyDescent="0.25">
      <c r="A8416" t="str">
        <f>"20190303162116936"</f>
        <v>20190303162116936</v>
      </c>
      <c r="B8416" t="str">
        <f>"1551601276930973"</f>
        <v>1551601276930973</v>
      </c>
      <c r="C8416" t="s">
        <v>40</v>
      </c>
      <c r="D8416">
        <v>4.5609270000000004</v>
      </c>
      <c r="E8416">
        <v>0.58898159999999999</v>
      </c>
      <c r="F8416" t="s">
        <v>44</v>
      </c>
      <c r="G8416">
        <v>-303.2722</v>
      </c>
      <c r="H8416">
        <v>-0.05</v>
      </c>
      <c r="I8416">
        <v>5.2907409999999997</v>
      </c>
      <c r="J8416">
        <v>-324.91129999999998</v>
      </c>
      <c r="K8416">
        <v>1.1185149999999999</v>
      </c>
      <c r="L8416">
        <v>17.85764</v>
      </c>
      <c r="M8416">
        <v>0.99792919999999996</v>
      </c>
      <c r="N8416">
        <v>-8.5706389999999997E-3</v>
      </c>
      <c r="O8416">
        <v>-6.3748379999999993E-2</v>
      </c>
      <c r="P8416">
        <v>0.94561300000000004</v>
      </c>
      <c r="Q8416">
        <v>0.1342971</v>
      </c>
      <c r="R8416">
        <v>-0.29627769999999998</v>
      </c>
      <c r="S8416">
        <v>2.7064819999999998</v>
      </c>
      <c r="T8416">
        <v>-0.1452763</v>
      </c>
      <c r="U8416">
        <v>-1.5635680000000001</v>
      </c>
      <c r="V8416">
        <v>0.23622760000000001</v>
      </c>
      <c r="W8416">
        <v>0.14115229999999901</v>
      </c>
      <c r="X8416">
        <v>0.961391</v>
      </c>
      <c r="Y8416">
        <v>0.44349420000000001</v>
      </c>
      <c r="Z8416">
        <v>-1.0429900000000001E-2</v>
      </c>
      <c r="AA8416">
        <v>0.89621659999999903</v>
      </c>
      <c r="AB8416">
        <v>24</v>
      </c>
      <c r="AC8416">
        <v>21.6390999999999</v>
      </c>
      <c r="AD8416">
        <v>-1.168515</v>
      </c>
      <c r="AE8416">
        <v>-12.566898999999999</v>
      </c>
      <c r="AF8416">
        <v>11.137541607779699</v>
      </c>
      <c r="AG8416">
        <v>-1.168515</v>
      </c>
      <c r="AH8416">
        <v>22.347501380733998</v>
      </c>
      <c r="AI8416">
        <v>92.679399012455207</v>
      </c>
      <c r="AJ8416">
        <v>63.509264850332301</v>
      </c>
      <c r="AK8416">
        <v>24.996421310502701</v>
      </c>
      <c r="AL8416">
        <v>81.885470071701903</v>
      </c>
      <c r="AM8416">
        <v>76.195092128113103</v>
      </c>
      <c r="AN8416">
        <v>1.00000005283902</v>
      </c>
    </row>
    <row r="8417" spans="1:40" x14ac:dyDescent="0.25">
      <c r="A8417" t="str">
        <f>"20190303162116949"</f>
        <v>20190303162116949</v>
      </c>
      <c r="B8417" t="str">
        <f>"1551601276940734"</f>
        <v>1551601276940734</v>
      </c>
      <c r="C8417" t="s">
        <v>40</v>
      </c>
      <c r="D8417">
        <v>4.569115</v>
      </c>
      <c r="E8417">
        <v>0.58916309999999905</v>
      </c>
      <c r="F8417" t="s">
        <v>44</v>
      </c>
      <c r="G8417">
        <v>-303.4101</v>
      </c>
      <c r="H8417">
        <v>-0.05</v>
      </c>
      <c r="I8417">
        <v>5.3049929999999996</v>
      </c>
      <c r="J8417">
        <v>-324.77690000000001</v>
      </c>
      <c r="K8417">
        <v>1.118441</v>
      </c>
      <c r="L8417">
        <v>17.84686</v>
      </c>
      <c r="M8417">
        <v>0.99779370000000001</v>
      </c>
      <c r="N8417">
        <v>-8.6072309999999999E-3</v>
      </c>
      <c r="O8417">
        <v>-6.5831360000000005E-2</v>
      </c>
      <c r="P8417">
        <v>0.94436339999999996</v>
      </c>
      <c r="Q8417">
        <v>0.13376689999999999</v>
      </c>
      <c r="R8417">
        <v>-0.30047430000000003</v>
      </c>
      <c r="S8417">
        <v>2.6995849999999999</v>
      </c>
      <c r="T8417">
        <v>-0.14671310000000001</v>
      </c>
      <c r="U8417">
        <v>-1.57605</v>
      </c>
      <c r="V8417">
        <v>0.23850979999999999</v>
      </c>
      <c r="W8417">
        <v>0.14059659999999999</v>
      </c>
      <c r="X8417">
        <v>0.96090880000000001</v>
      </c>
      <c r="Y8417">
        <v>0.4456985</v>
      </c>
      <c r="Z8417">
        <v>-1.050829E-2</v>
      </c>
      <c r="AA8417">
        <v>0.89512150000000001</v>
      </c>
      <c r="AB8417">
        <v>24</v>
      </c>
      <c r="AC8417">
        <v>21.366800000000001</v>
      </c>
      <c r="AD8417">
        <v>-1.1684410000000001</v>
      </c>
      <c r="AE8417">
        <v>-12.541867</v>
      </c>
      <c r="AF8417">
        <v>11.0833504125783</v>
      </c>
      <c r="AG8417">
        <v>-1.1684410000000001</v>
      </c>
      <c r="AH8417">
        <v>22.096979149443701</v>
      </c>
      <c r="AI8417">
        <v>92.706101550415397</v>
      </c>
      <c r="AJ8417">
        <v>63.362681273476397</v>
      </c>
      <c r="AK8417">
        <v>24.748381730315899</v>
      </c>
      <c r="AL8417">
        <v>81.917629827208003</v>
      </c>
      <c r="AM8417">
        <v>76.060176114276501</v>
      </c>
      <c r="AN8417">
        <v>1.0000000252725101</v>
      </c>
    </row>
    <row r="8418" spans="1:40" x14ac:dyDescent="0.25">
      <c r="A8418" t="str">
        <f>"20190303162116962"</f>
        <v>20190303162116962</v>
      </c>
      <c r="B8418" t="str">
        <f>"1551601276951000"</f>
        <v>1551601276951000</v>
      </c>
      <c r="C8418" t="s">
        <v>40</v>
      </c>
      <c r="D8418">
        <v>4.5676769999999998</v>
      </c>
      <c r="E8418">
        <v>0.58927419999999997</v>
      </c>
      <c r="F8418" t="s">
        <v>44</v>
      </c>
      <c r="G8418">
        <v>-303.56760000000003</v>
      </c>
      <c r="H8418">
        <v>-0.05</v>
      </c>
      <c r="I8418">
        <v>5.3287659999999999</v>
      </c>
      <c r="J8418">
        <v>-324.63130000000001</v>
      </c>
      <c r="K8418">
        <v>1.118366</v>
      </c>
      <c r="L8418">
        <v>17.834810000000001</v>
      </c>
      <c r="M8418">
        <v>0.99763769999999996</v>
      </c>
      <c r="N8418">
        <v>-8.6445549999999999E-3</v>
      </c>
      <c r="O8418">
        <v>-6.8150450000000001E-2</v>
      </c>
      <c r="P8418">
        <v>0.94307879999999999</v>
      </c>
      <c r="Q8418">
        <v>0.13304639999999901</v>
      </c>
      <c r="R8418">
        <v>-0.3047974</v>
      </c>
      <c r="S8418">
        <v>2.6921689999999998</v>
      </c>
      <c r="T8418">
        <v>-0.14831359999999999</v>
      </c>
      <c r="U8418">
        <v>-1.588959</v>
      </c>
      <c r="V8418">
        <v>0.24069299999999999</v>
      </c>
      <c r="W8418">
        <v>0.13985400000000001</v>
      </c>
      <c r="X8418">
        <v>0.96047260000000001</v>
      </c>
      <c r="Y8418">
        <v>0.44786690000000001</v>
      </c>
      <c r="Z8418">
        <v>-1.05851E-2</v>
      </c>
      <c r="AA8418">
        <v>0.89403759999999999</v>
      </c>
      <c r="AB8418">
        <v>24</v>
      </c>
      <c r="AC8418">
        <v>21.063699999999901</v>
      </c>
      <c r="AD8418">
        <v>-1.168366</v>
      </c>
      <c r="AE8418">
        <v>-12.506043999999999</v>
      </c>
      <c r="AF8418">
        <v>11.0163515498704</v>
      </c>
      <c r="AG8418">
        <v>-1.168366</v>
      </c>
      <c r="AH8418">
        <v>21.8174178652541</v>
      </c>
      <c r="AI8418">
        <v>92.7368631761628</v>
      </c>
      <c r="AJ8418">
        <v>63.209247019568203</v>
      </c>
      <c r="AK8418">
        <v>24.4688537305571</v>
      </c>
      <c r="AL8418">
        <v>81.960601554343199</v>
      </c>
      <c r="AM8418">
        <v>75.931486303011795</v>
      </c>
      <c r="AN8418">
        <v>0.99999993845787805</v>
      </c>
    </row>
    <row r="8419" spans="1:40" x14ac:dyDescent="0.25">
      <c r="A8419" t="str">
        <f>"20190303162116976"</f>
        <v>20190303162116976</v>
      </c>
      <c r="B8419" t="str">
        <f>"1551601276971496"</f>
        <v>1551601276971496</v>
      </c>
      <c r="C8419" t="s">
        <v>40</v>
      </c>
      <c r="D8419">
        <v>4.6130079999999998</v>
      </c>
      <c r="E8419">
        <v>0.5895321</v>
      </c>
      <c r="F8419" t="s">
        <v>44</v>
      </c>
      <c r="G8419">
        <v>-303.82780000000002</v>
      </c>
      <c r="H8419">
        <v>-0.05</v>
      </c>
      <c r="I8419">
        <v>5.4240570000000004</v>
      </c>
      <c r="J8419">
        <v>-324.48829999999998</v>
      </c>
      <c r="K8419">
        <v>1.1182989999999999</v>
      </c>
      <c r="L8419">
        <v>17.82254</v>
      </c>
      <c r="M8419">
        <v>0.99747529999999995</v>
      </c>
      <c r="N8419">
        <v>-8.6784749999999997E-3</v>
      </c>
      <c r="O8419">
        <v>-7.0483599999999993E-2</v>
      </c>
      <c r="P8419">
        <v>0.94163730000000001</v>
      </c>
      <c r="Q8419">
        <v>0.13253289999999901</v>
      </c>
      <c r="R8419">
        <v>-0.30944260000000001</v>
      </c>
      <c r="S8419">
        <v>2.684723</v>
      </c>
      <c r="T8419">
        <v>-0.1507792</v>
      </c>
      <c r="U8419">
        <v>-1.6016239999999999</v>
      </c>
      <c r="V8419">
        <v>0.24319489999999999</v>
      </c>
      <c r="W8419">
        <v>0.13931849999999901</v>
      </c>
      <c r="X8419">
        <v>0.95992010000000005</v>
      </c>
      <c r="Y8419">
        <v>0.44995819999999997</v>
      </c>
      <c r="Z8419">
        <v>-1.070317E-2</v>
      </c>
      <c r="AA8419">
        <v>0.89298549999999999</v>
      </c>
      <c r="AB8419">
        <v>24</v>
      </c>
      <c r="AC8419">
        <v>20.6604999999999</v>
      </c>
      <c r="AD8419">
        <v>-1.168299</v>
      </c>
      <c r="AE8419">
        <v>-12.398483000000001</v>
      </c>
      <c r="AF8419">
        <v>10.8857716813318</v>
      </c>
      <c r="AG8419">
        <v>-1.168299</v>
      </c>
      <c r="AH8419">
        <v>21.4326472310775</v>
      </c>
      <c r="AI8419">
        <v>92.782430559395806</v>
      </c>
      <c r="AJ8419">
        <v>63.073708346406598</v>
      </c>
      <c r="AK8419">
        <v>24.067058710679699</v>
      </c>
      <c r="AL8419">
        <v>81.991587299689499</v>
      </c>
      <c r="AM8419">
        <v>75.783297275749106</v>
      </c>
      <c r="AN8419">
        <v>1.0000000011061301</v>
      </c>
    </row>
    <row r="8420" spans="1:40" x14ac:dyDescent="0.25">
      <c r="A8420" t="str">
        <f>"20190303162116988"</f>
        <v>20190303162116988</v>
      </c>
      <c r="B8420" t="str">
        <f>"1551601276981256"</f>
        <v>1551601276981256</v>
      </c>
      <c r="C8420" t="s">
        <v>40</v>
      </c>
      <c r="D8420">
        <v>4.5981249999999996</v>
      </c>
      <c r="E8420">
        <v>0.58961919999999901</v>
      </c>
      <c r="F8420" t="s">
        <v>44</v>
      </c>
      <c r="G8420">
        <v>-303.96030000000002</v>
      </c>
      <c r="H8420">
        <v>-0.05</v>
      </c>
      <c r="I8420">
        <v>5.4258579999999998</v>
      </c>
      <c r="J8420">
        <v>-324.35270000000003</v>
      </c>
      <c r="K8420">
        <v>1.1182479999999999</v>
      </c>
      <c r="L8420">
        <v>17.81061</v>
      </c>
      <c r="M8420">
        <v>0.99731409999999998</v>
      </c>
      <c r="N8420">
        <v>-8.7091479999999999E-3</v>
      </c>
      <c r="O8420">
        <v>-7.2723709999999997E-2</v>
      </c>
      <c r="P8420">
        <v>0.94010749999999998</v>
      </c>
      <c r="Q8420">
        <v>0.13212939999999901</v>
      </c>
      <c r="R8420">
        <v>-0.31422870000000003</v>
      </c>
      <c r="S8420">
        <v>2.6762389999999998</v>
      </c>
      <c r="T8420">
        <v>-0.1523108</v>
      </c>
      <c r="U8420">
        <v>-1.61615</v>
      </c>
      <c r="V8420">
        <v>0.2459346</v>
      </c>
      <c r="W8420">
        <v>0.1388926</v>
      </c>
      <c r="X8420">
        <v>0.95928360000000001</v>
      </c>
      <c r="Y8420">
        <v>0.45274189999999997</v>
      </c>
      <c r="Z8420">
        <v>-1.079625E-2</v>
      </c>
      <c r="AA8420">
        <v>0.89157619999999904</v>
      </c>
      <c r="AB8420">
        <v>24</v>
      </c>
      <c r="AC8420">
        <v>20.392399999999999</v>
      </c>
      <c r="AD8420">
        <v>-1.168248</v>
      </c>
      <c r="AE8420">
        <v>-12.384752000000001</v>
      </c>
      <c r="AF8420">
        <v>10.842891852496701</v>
      </c>
      <c r="AG8420">
        <v>-1.168248</v>
      </c>
      <c r="AH8420">
        <v>21.188297121690098</v>
      </c>
      <c r="AI8420">
        <v>92.809989105575795</v>
      </c>
      <c r="AJ8420">
        <v>62.8993733508307</v>
      </c>
      <c r="AK8420">
        <v>23.8301708351296</v>
      </c>
      <c r="AL8420">
        <v>82.016229170678898</v>
      </c>
      <c r="AM8420">
        <v>75.620597972879693</v>
      </c>
      <c r="AN8420">
        <v>1.0000000035204399</v>
      </c>
    </row>
    <row r="8421" spans="1:40" x14ac:dyDescent="0.25">
      <c r="A8421" t="str">
        <f>"20190303162116998"</f>
        <v>20190303162116998</v>
      </c>
      <c r="B8421" t="str">
        <f>"1551601276991019"</f>
        <v>1551601276991019</v>
      </c>
      <c r="C8421" t="s">
        <v>40</v>
      </c>
      <c r="D8421">
        <v>4.9315519999999999</v>
      </c>
      <c r="E8421">
        <v>0.58961919999999901</v>
      </c>
      <c r="F8421" t="s">
        <v>44</v>
      </c>
      <c r="G8421">
        <v>-304.04480000000001</v>
      </c>
      <c r="H8421">
        <v>-0.05</v>
      </c>
      <c r="I8421">
        <v>5.4049379999999996</v>
      </c>
      <c r="J8421">
        <v>-324.23320000000001</v>
      </c>
      <c r="K8421">
        <v>1.1182049999999999</v>
      </c>
      <c r="L8421">
        <v>17.799769999999999</v>
      </c>
      <c r="M8421">
        <v>0.99716550000000004</v>
      </c>
      <c r="N8421">
        <v>-8.7340730000000002E-3</v>
      </c>
      <c r="O8421">
        <v>-7.473109E-2</v>
      </c>
      <c r="P8421">
        <v>0.93854040000000005</v>
      </c>
      <c r="Q8421">
        <v>0.1317634</v>
      </c>
      <c r="R8421">
        <v>-0.31903049999999999</v>
      </c>
      <c r="S8421">
        <v>2.6679379999999999</v>
      </c>
      <c r="T8421">
        <v>-0.15347810000000001</v>
      </c>
      <c r="U8421">
        <v>-1.629791</v>
      </c>
      <c r="V8421">
        <v>0.248916</v>
      </c>
      <c r="W8421">
        <v>0.1385035</v>
      </c>
      <c r="X8421">
        <v>0.95857060000000005</v>
      </c>
      <c r="Y8421">
        <v>0.4554879</v>
      </c>
      <c r="Z8421">
        <v>-1.087691E-2</v>
      </c>
      <c r="AA8421">
        <v>0.89017549999999901</v>
      </c>
      <c r="AB8421">
        <v>24</v>
      </c>
      <c r="AC8421">
        <v>20.188400000000001</v>
      </c>
      <c r="AD8421">
        <v>-1.1682049999999999</v>
      </c>
      <c r="AE8421">
        <v>-12.394831999999999</v>
      </c>
      <c r="AF8421">
        <v>10.8250874775425</v>
      </c>
      <c r="AG8421">
        <v>-1.1682049999999999</v>
      </c>
      <c r="AH8421">
        <v>21.007173864425202</v>
      </c>
      <c r="AI8421">
        <v>92.829977637223706</v>
      </c>
      <c r="AJ8421">
        <v>62.737753059832698</v>
      </c>
      <c r="AK8421">
        <v>23.6611194914497</v>
      </c>
      <c r="AL8421">
        <v>82.038740468032501</v>
      </c>
      <c r="AM8421">
        <v>75.443273176074698</v>
      </c>
      <c r="AN8421">
        <v>0.99999999487630498</v>
      </c>
    </row>
    <row r="8422" spans="1:40" x14ac:dyDescent="0.25">
      <c r="A8422" t="str">
        <f>"20190303162117014"</f>
        <v>20190303162117014</v>
      </c>
      <c r="B8422" t="str">
        <f>"1551601277011513"</f>
        <v>1551601277011513</v>
      </c>
      <c r="C8422" t="s">
        <v>40</v>
      </c>
      <c r="D8422">
        <v>4.5105440000000003</v>
      </c>
      <c r="E8422">
        <v>0.58424869999999995</v>
      </c>
      <c r="F8422" t="s">
        <v>44</v>
      </c>
      <c r="G8422">
        <v>-304.20339999999999</v>
      </c>
      <c r="H8422">
        <v>-0.05</v>
      </c>
      <c r="I8422">
        <v>5.4278870000000001</v>
      </c>
      <c r="J8422">
        <v>-324.06619999999998</v>
      </c>
      <c r="K8422">
        <v>1.118158</v>
      </c>
      <c r="L8422">
        <v>17.784179999999999</v>
      </c>
      <c r="M8422">
        <v>0.99694830000000001</v>
      </c>
      <c r="N8422">
        <v>-8.7669110000000005E-3</v>
      </c>
      <c r="O8422">
        <v>-7.7570520000000004E-2</v>
      </c>
      <c r="P8422">
        <v>0.93555739999999998</v>
      </c>
      <c r="Q8422">
        <v>0.1306986</v>
      </c>
      <c r="R8422">
        <v>-0.32810159999999899</v>
      </c>
      <c r="S8422">
        <v>2.6597900000000001</v>
      </c>
      <c r="T8422">
        <v>-0.15512779999999901</v>
      </c>
      <c r="U8422">
        <v>-1.6428830000000001</v>
      </c>
      <c r="V8422">
        <v>0.25546439999999998</v>
      </c>
      <c r="W8422">
        <v>0.13738610000000001</v>
      </c>
      <c r="X8422">
        <v>0.95700730000000001</v>
      </c>
      <c r="Y8422">
        <v>0.45733030000000002</v>
      </c>
      <c r="Z8422">
        <v>-1.091954E-2</v>
      </c>
      <c r="AA8422">
        <v>0.88922990000000002</v>
      </c>
      <c r="AB8422">
        <v>24</v>
      </c>
      <c r="AC8422">
        <v>19.8628</v>
      </c>
      <c r="AD8422">
        <v>-1.168158</v>
      </c>
      <c r="AE8422">
        <v>-12.356293000000001</v>
      </c>
      <c r="AF8422">
        <v>10.751420833213</v>
      </c>
      <c r="AG8422">
        <v>-1.168158</v>
      </c>
      <c r="AH8422">
        <v>20.7098222913834</v>
      </c>
      <c r="AI8422">
        <v>92.865938955633695</v>
      </c>
      <c r="AJ8422">
        <v>62.564098975661501</v>
      </c>
      <c r="AK8422">
        <v>23.363526754034599</v>
      </c>
      <c r="AL8422">
        <v>82.103380673302894</v>
      </c>
      <c r="AM8422">
        <v>75.053913998134604</v>
      </c>
      <c r="AN8422">
        <v>0.99999998619692998</v>
      </c>
    </row>
    <row r="8423" spans="1:40" x14ac:dyDescent="0.25">
      <c r="A8423" t="str">
        <f>"20190303162117025"</f>
        <v>20190303162117025</v>
      </c>
      <c r="B8423" t="str">
        <f>"1551601277021272"</f>
        <v>1551601277021272</v>
      </c>
      <c r="C8423" t="s">
        <v>40</v>
      </c>
      <c r="D8423">
        <v>4.4516479999999996</v>
      </c>
      <c r="E8423">
        <v>0.63295459999999903</v>
      </c>
      <c r="F8423" t="s">
        <v>44</v>
      </c>
      <c r="G8423">
        <v>-315.90440000000001</v>
      </c>
      <c r="H8423">
        <v>-0.05</v>
      </c>
      <c r="I8423">
        <v>12.832409999999999</v>
      </c>
      <c r="J8423">
        <v>-323.94479999999999</v>
      </c>
      <c r="K8423">
        <v>1.118128</v>
      </c>
      <c r="L8423">
        <v>17.77261</v>
      </c>
      <c r="M8423">
        <v>0.99678429999999996</v>
      </c>
      <c r="N8423">
        <v>-8.7897069999999904E-3</v>
      </c>
      <c r="O8423">
        <v>-7.9648930000000007E-2</v>
      </c>
      <c r="P8423">
        <v>0.93370419999999998</v>
      </c>
      <c r="Q8423">
        <v>0.1303184</v>
      </c>
      <c r="R8423">
        <v>-0.33348739999999999</v>
      </c>
      <c r="S8423">
        <v>2.6883849999999998</v>
      </c>
      <c r="T8423">
        <v>-0.38477549999999999</v>
      </c>
      <c r="U8423">
        <v>-1.6310420000000001</v>
      </c>
      <c r="V8423">
        <v>0.25898949999999998</v>
      </c>
      <c r="W8423">
        <v>0.1369775</v>
      </c>
      <c r="X8423">
        <v>0.95611800000000002</v>
      </c>
      <c r="Y8423">
        <v>0.44592300000000001</v>
      </c>
      <c r="Z8423">
        <v>-2.1666399999999999E-2</v>
      </c>
      <c r="AA8423">
        <v>0.89480910000000002</v>
      </c>
      <c r="AB8423">
        <v>24</v>
      </c>
      <c r="AC8423">
        <v>8.0403999999999698</v>
      </c>
      <c r="AD8423">
        <v>-1.1681280000000001</v>
      </c>
      <c r="AE8423">
        <v>-4.9401999999999902</v>
      </c>
      <c r="AF8423">
        <v>4.2194177255709997</v>
      </c>
      <c r="AG8423">
        <v>-1.1681280000000001</v>
      </c>
      <c r="AH8423">
        <v>8.2814577542976302</v>
      </c>
      <c r="AI8423">
        <v>97.163415798505895</v>
      </c>
      <c r="AJ8423">
        <v>63.001075236126603</v>
      </c>
      <c r="AK8423">
        <v>9.3675264346284699</v>
      </c>
      <c r="AL8423">
        <v>82.1270153870489</v>
      </c>
      <c r="AM8423">
        <v>74.843649913236504</v>
      </c>
      <c r="AN8423">
        <v>1.00000001327025</v>
      </c>
    </row>
    <row r="8424" spans="1:40" x14ac:dyDescent="0.25">
      <c r="A8424" t="str">
        <f>"20190303162117035"</f>
        <v>20190303162117035</v>
      </c>
      <c r="B8424" t="str">
        <f>"1551601277031033"</f>
        <v>1551601277031033</v>
      </c>
      <c r="C8424" t="s">
        <v>40</v>
      </c>
      <c r="D8424">
        <v>4.4173239999999998</v>
      </c>
      <c r="E8424">
        <v>0.63510639999999996</v>
      </c>
      <c r="F8424" t="s">
        <v>44</v>
      </c>
      <c r="G8424">
        <v>-311.08359999999999</v>
      </c>
      <c r="H8424">
        <v>-0.05</v>
      </c>
      <c r="I8424">
        <v>7.5465390000000001</v>
      </c>
      <c r="J8424">
        <v>-323.82530000000003</v>
      </c>
      <c r="K8424">
        <v>1.118101</v>
      </c>
      <c r="L8424">
        <v>17.7608</v>
      </c>
      <c r="M8424">
        <v>0.99661580000000005</v>
      </c>
      <c r="N8424">
        <v>-8.8105609999999997E-3</v>
      </c>
      <c r="O8424">
        <v>-8.1727499999999995E-2</v>
      </c>
      <c r="P8424">
        <v>0.93188559999999998</v>
      </c>
      <c r="Q8424">
        <v>0.13020570000000001</v>
      </c>
      <c r="R8424">
        <v>-0.33857969999999998</v>
      </c>
      <c r="S8424">
        <v>2.5273439999999998</v>
      </c>
      <c r="T8424">
        <v>-0.22954830000000001</v>
      </c>
      <c r="U8424">
        <v>-2.0095209999999999</v>
      </c>
      <c r="V8424">
        <v>0.26222430000000002</v>
      </c>
      <c r="W8424">
        <v>0.1368386</v>
      </c>
      <c r="X8424">
        <v>0.95525579999999999</v>
      </c>
      <c r="Y8424">
        <v>0.55489350000000004</v>
      </c>
      <c r="Z8424">
        <v>-1.9022839999999999E-2</v>
      </c>
      <c r="AA8424">
        <v>0.83170390000000005</v>
      </c>
      <c r="AB8424">
        <v>24</v>
      </c>
      <c r="AC8424">
        <v>12.7417</v>
      </c>
      <c r="AD8424">
        <v>-1.1681010000000001</v>
      </c>
      <c r="AE8424">
        <v>-10.214261</v>
      </c>
      <c r="AF8424">
        <v>9.0921815226247702</v>
      </c>
      <c r="AG8424">
        <v>-1.1681010000000001</v>
      </c>
      <c r="AH8424">
        <v>13.464997714713</v>
      </c>
      <c r="AI8424">
        <v>94.112215857602607</v>
      </c>
      <c r="AJ8424">
        <v>55.970980790575197</v>
      </c>
      <c r="AK8424">
        <v>16.289210792539599</v>
      </c>
      <c r="AL8424">
        <v>82.135049432407101</v>
      </c>
      <c r="AM8424">
        <v>74.650018697448402</v>
      </c>
      <c r="AN8424">
        <v>1.00000001469704</v>
      </c>
    </row>
    <row r="8425" spans="1:40" x14ac:dyDescent="0.25">
      <c r="A8425" t="str">
        <f>"20190303162117048"</f>
        <v>20190303162117048</v>
      </c>
      <c r="B8425" t="str">
        <f>"1551601277040792"</f>
        <v>1551601277040792</v>
      </c>
      <c r="C8425" t="s">
        <v>40</v>
      </c>
      <c r="D8425">
        <v>4.3929619999999998</v>
      </c>
      <c r="E8425">
        <v>0.63653719999999903</v>
      </c>
      <c r="F8425" t="s">
        <v>44</v>
      </c>
      <c r="G8425">
        <v>-311.19400000000002</v>
      </c>
      <c r="H8425">
        <v>-0.05</v>
      </c>
      <c r="I8425">
        <v>7.4984890000000002</v>
      </c>
      <c r="J8425">
        <v>-323.70330000000001</v>
      </c>
      <c r="K8425">
        <v>1.1180779999999999</v>
      </c>
      <c r="L8425">
        <v>17.7486</v>
      </c>
      <c r="M8425">
        <v>0.99643859999999995</v>
      </c>
      <c r="N8425">
        <v>-8.831429E-3</v>
      </c>
      <c r="O8425">
        <v>-8.3858440000000006E-2</v>
      </c>
      <c r="P8425">
        <v>0.93005749999999998</v>
      </c>
      <c r="Q8425">
        <v>0.13039780000000001</v>
      </c>
      <c r="R8425">
        <v>-0.34349619999999997</v>
      </c>
      <c r="S8425">
        <v>2.5106510000000002</v>
      </c>
      <c r="T8425">
        <v>-0.2321751</v>
      </c>
      <c r="U8425">
        <v>-2.0397639999999999</v>
      </c>
      <c r="V8425">
        <v>0.26524130000000001</v>
      </c>
      <c r="W8425">
        <v>0.13700590000000001</v>
      </c>
      <c r="X8425">
        <v>0.95439850000000004</v>
      </c>
      <c r="Y8425">
        <v>0.56180629999999998</v>
      </c>
      <c r="Z8425">
        <v>-1.9408160000000001E-2</v>
      </c>
      <c r="AA8425">
        <v>0.82704109999999997</v>
      </c>
      <c r="AB8425">
        <v>24</v>
      </c>
      <c r="AC8425">
        <v>12.5092999999999</v>
      </c>
      <c r="AD8425">
        <v>-1.1680779999999999</v>
      </c>
      <c r="AE8425">
        <v>-10.250111</v>
      </c>
      <c r="AF8425">
        <v>9.1173903399203304</v>
      </c>
      <c r="AG8425">
        <v>-1.1680779999999999</v>
      </c>
      <c r="AH8425">
        <v>13.2556760813696</v>
      </c>
      <c r="AI8425">
        <v>94.152576426104801</v>
      </c>
      <c r="AJ8425">
        <v>55.479406693262298</v>
      </c>
      <c r="AK8425">
        <v>16.130845024323801</v>
      </c>
      <c r="AL8425">
        <v>82.125372835202398</v>
      </c>
      <c r="AM8425">
        <v>74.468610219941993</v>
      </c>
      <c r="AN8425">
        <v>1.0000000303313701</v>
      </c>
    </row>
    <row r="8426" spans="1:40" x14ac:dyDescent="0.25">
      <c r="A8426" t="str">
        <f>"20190303162117057"</f>
        <v>20190303162117057</v>
      </c>
      <c r="B8426" t="str">
        <f>"1551601277051058"</f>
        <v>1551601277051058</v>
      </c>
      <c r="C8426" t="s">
        <v>40</v>
      </c>
      <c r="D8426">
        <v>4.4734759999999998</v>
      </c>
      <c r="E8426">
        <v>0.63608520000000002</v>
      </c>
      <c r="F8426" t="s">
        <v>44</v>
      </c>
      <c r="G8426">
        <v>-311.19110000000001</v>
      </c>
      <c r="H8426">
        <v>-0.05</v>
      </c>
      <c r="I8426">
        <v>7.4039000000000001</v>
      </c>
      <c r="J8426">
        <v>-323.584</v>
      </c>
      <c r="K8426">
        <v>1.118052</v>
      </c>
      <c r="L8426">
        <v>17.7363</v>
      </c>
      <c r="M8426">
        <v>0.9962588</v>
      </c>
      <c r="N8426">
        <v>-8.8506799999999997E-3</v>
      </c>
      <c r="O8426">
        <v>-8.5965860000000005E-2</v>
      </c>
      <c r="P8426">
        <v>0.92822210000000005</v>
      </c>
      <c r="Q8426">
        <v>0.130991</v>
      </c>
      <c r="R8426">
        <v>-0.34820329999999999</v>
      </c>
      <c r="S8426">
        <v>2.496124</v>
      </c>
      <c r="T8426">
        <v>-0.23302610000000001</v>
      </c>
      <c r="U8426">
        <v>-2.0637210000000001</v>
      </c>
      <c r="V8426">
        <v>0.26807959999999997</v>
      </c>
      <c r="W8426">
        <v>0.1375731</v>
      </c>
      <c r="X8426">
        <v>0.95352349999999997</v>
      </c>
      <c r="Y8426">
        <v>0.56710969999999905</v>
      </c>
      <c r="Z8426">
        <v>-1.9600639999999999E-2</v>
      </c>
      <c r="AA8426">
        <v>0.82340899999999995</v>
      </c>
      <c r="AB8426">
        <v>24</v>
      </c>
      <c r="AC8426">
        <v>12.3928999999999</v>
      </c>
      <c r="AD8426">
        <v>-1.1680520000000001</v>
      </c>
      <c r="AE8426">
        <v>-10.3324</v>
      </c>
      <c r="AF8426">
        <v>9.1806275001913296</v>
      </c>
      <c r="AG8426">
        <v>-1.1680520000000001</v>
      </c>
      <c r="AH8426">
        <v>13.166288349561899</v>
      </c>
      <c r="AI8426">
        <v>94.162147329594404</v>
      </c>
      <c r="AJ8426">
        <v>55.112595999800099</v>
      </c>
      <c r="AK8426">
        <v>16.093458785350698</v>
      </c>
      <c r="AL8426">
        <v>82.092564137573405</v>
      </c>
      <c r="AM8426">
        <v>74.296868578132404</v>
      </c>
      <c r="AN8426">
        <v>1.000000047416</v>
      </c>
    </row>
    <row r="8427" spans="1:40" x14ac:dyDescent="0.25">
      <c r="A8427" t="str">
        <f>"20190303162117069"</f>
        <v>20190303162117069</v>
      </c>
      <c r="B8427" t="str">
        <f>"1551601277060819"</f>
        <v>1551601277060819</v>
      </c>
      <c r="C8427" t="s">
        <v>40</v>
      </c>
      <c r="D8427">
        <v>4.5132309999999896</v>
      </c>
      <c r="E8427">
        <v>0.63571540000000004</v>
      </c>
      <c r="F8427" t="s">
        <v>44</v>
      </c>
      <c r="G8427">
        <v>-310.9683</v>
      </c>
      <c r="H8427">
        <v>-0.05</v>
      </c>
      <c r="I8427">
        <v>7.2158199999999999</v>
      </c>
      <c r="J8427">
        <v>-323.46210000000002</v>
      </c>
      <c r="K8427">
        <v>1.1180209999999999</v>
      </c>
      <c r="L8427">
        <v>17.723510000000001</v>
      </c>
      <c r="M8427">
        <v>0.99606939999999999</v>
      </c>
      <c r="N8427">
        <v>-8.8698490000000008E-3</v>
      </c>
      <c r="O8427">
        <v>-8.8131760000000003E-2</v>
      </c>
      <c r="P8427">
        <v>0.92631669999999999</v>
      </c>
      <c r="Q8427">
        <v>0.13182479999999999</v>
      </c>
      <c r="R8427">
        <v>-0.35292990000000002</v>
      </c>
      <c r="S8427">
        <v>2.4866030000000001</v>
      </c>
      <c r="T8427">
        <v>-0.23022909999999999</v>
      </c>
      <c r="U8427">
        <v>-2.073639</v>
      </c>
      <c r="V8427">
        <v>0.270895099999999</v>
      </c>
      <c r="W8427">
        <v>0.138378799999999</v>
      </c>
      <c r="X8427">
        <v>0.95261070000000003</v>
      </c>
      <c r="Y8427">
        <v>0.56883419999999996</v>
      </c>
      <c r="Z8427">
        <v>-1.937233E-2</v>
      </c>
      <c r="AA8427">
        <v>0.82222399999999995</v>
      </c>
      <c r="AB8427">
        <v>24</v>
      </c>
      <c r="AC8427">
        <v>12.4938</v>
      </c>
      <c r="AD8427">
        <v>-1.168021</v>
      </c>
      <c r="AE8427">
        <v>-10.50769</v>
      </c>
      <c r="AF8427">
        <v>9.3179561814419998</v>
      </c>
      <c r="AG8427">
        <v>-1.168021</v>
      </c>
      <c r="AH8427">
        <v>13.303177947677</v>
      </c>
      <c r="AI8427">
        <v>94.113294780809696</v>
      </c>
      <c r="AJ8427">
        <v>54.991415607850797</v>
      </c>
      <c r="AK8427">
        <v>16.2838301380011</v>
      </c>
      <c r="AL8427">
        <v>82.045954734244802</v>
      </c>
      <c r="AM8427">
        <v>74.125771771154902</v>
      </c>
      <c r="AN8427">
        <v>0.99999999662396999</v>
      </c>
    </row>
    <row r="8428" spans="1:40" x14ac:dyDescent="0.25">
      <c r="A8428" t="str">
        <f>"20190303162117080"</f>
        <v>20190303162117080</v>
      </c>
      <c r="B8428" t="str">
        <f>"1551601277071554"</f>
        <v>1551601277071554</v>
      </c>
      <c r="C8428" t="s">
        <v>40</v>
      </c>
      <c r="D8428">
        <v>4.4127539999999996</v>
      </c>
      <c r="E8428">
        <v>0.63610889999999998</v>
      </c>
      <c r="F8428" t="s">
        <v>44</v>
      </c>
      <c r="G8428">
        <v>-310.76620000000003</v>
      </c>
      <c r="H8428">
        <v>-0.05</v>
      </c>
      <c r="I8428">
        <v>7.0432740000000003</v>
      </c>
      <c r="J8428">
        <v>-323.34129999999999</v>
      </c>
      <c r="K8428">
        <v>1.117996</v>
      </c>
      <c r="L8428">
        <v>17.710570000000001</v>
      </c>
      <c r="M8428">
        <v>0.99587510000000001</v>
      </c>
      <c r="N8428">
        <v>-8.8881949999999998E-3</v>
      </c>
      <c r="O8428">
        <v>-9.0299119999999997E-2</v>
      </c>
      <c r="P8428">
        <v>0.92446360000000005</v>
      </c>
      <c r="Q8428">
        <v>0.13244929999999999</v>
      </c>
      <c r="R8428">
        <v>-0.35752590000000001</v>
      </c>
      <c r="S8428">
        <v>2.4771420000000002</v>
      </c>
      <c r="T8428">
        <v>-0.2278973</v>
      </c>
      <c r="U8428">
        <v>-2.0838619999999999</v>
      </c>
      <c r="V8428">
        <v>0.27357779999999998</v>
      </c>
      <c r="W8428">
        <v>0.13897379999999901</v>
      </c>
      <c r="X8428">
        <v>0.95175710000000002</v>
      </c>
      <c r="Y8428">
        <v>0.57060059999999901</v>
      </c>
      <c r="Z8428">
        <v>-1.9178009999999999E-2</v>
      </c>
      <c r="AA8428">
        <v>0.8210037</v>
      </c>
      <c r="AB8428">
        <v>24</v>
      </c>
      <c r="AC8428">
        <v>12.5750999999999</v>
      </c>
      <c r="AD8428">
        <v>-1.16799599999999</v>
      </c>
      <c r="AE8428">
        <v>-10.667296</v>
      </c>
      <c r="AF8428">
        <v>9.4407847208993001</v>
      </c>
      <c r="AG8428">
        <v>-1.16799599999999</v>
      </c>
      <c r="AH8428">
        <v>13.4196830946661</v>
      </c>
      <c r="AI8428">
        <v>94.071752154509596</v>
      </c>
      <c r="AJ8428">
        <v>54.8735060150902</v>
      </c>
      <c r="AK8428">
        <v>16.4493320582827</v>
      </c>
      <c r="AL8428">
        <v>82.011531593671194</v>
      </c>
      <c r="AM8428">
        <v>73.962968508686302</v>
      </c>
      <c r="AN8428">
        <v>1.0000000535698399</v>
      </c>
    </row>
    <row r="8429" spans="1:40" x14ac:dyDescent="0.25">
      <c r="A8429" t="str">
        <f>"20190303162117093"</f>
        <v>20190303162117093</v>
      </c>
      <c r="B8429" t="str">
        <f>"1551601277081315"</f>
        <v>1551601277081315</v>
      </c>
      <c r="C8429" t="s">
        <v>40</v>
      </c>
      <c r="D8429">
        <v>4.4184109999999999</v>
      </c>
      <c r="E8429">
        <v>0.63644499999999904</v>
      </c>
      <c r="F8429" t="s">
        <v>44</v>
      </c>
      <c r="G8429">
        <v>-310.54399999999998</v>
      </c>
      <c r="H8429">
        <v>-0.05</v>
      </c>
      <c r="I8429">
        <v>6.8148350000000004</v>
      </c>
      <c r="J8429">
        <v>-323.20780000000002</v>
      </c>
      <c r="K8429">
        <v>1.1179600000000001</v>
      </c>
      <c r="L8429">
        <v>17.695889999999999</v>
      </c>
      <c r="M8429">
        <v>0.99565179999999998</v>
      </c>
      <c r="N8429">
        <v>-8.9080240000000005E-3</v>
      </c>
      <c r="O8429">
        <v>-9.2726790000000003E-2</v>
      </c>
      <c r="P8429">
        <v>0.92233589999999999</v>
      </c>
      <c r="Q8429">
        <v>0.1330886</v>
      </c>
      <c r="R8429">
        <v>-0.36274529999999999</v>
      </c>
      <c r="S8429">
        <v>2.4655459999999998</v>
      </c>
      <c r="T8429">
        <v>-0.22502720000000001</v>
      </c>
      <c r="U8429">
        <v>-2.0991819999999999</v>
      </c>
      <c r="V8429">
        <v>0.27666590000000002</v>
      </c>
      <c r="W8429">
        <v>0.1395749</v>
      </c>
      <c r="X8429">
        <v>0.95077590000000001</v>
      </c>
      <c r="Y8429">
        <v>0.57348789999999905</v>
      </c>
      <c r="Z8429">
        <v>-1.8983360000000001E-2</v>
      </c>
      <c r="AA8429">
        <v>0.818994</v>
      </c>
      <c r="AB8429">
        <v>24</v>
      </c>
      <c r="AC8429">
        <v>12.663799999999901</v>
      </c>
      <c r="AD8429">
        <v>-1.1679600000000001</v>
      </c>
      <c r="AE8429">
        <v>-10.8810549999999</v>
      </c>
      <c r="AF8429">
        <v>9.6128118008795091</v>
      </c>
      <c r="AG8429">
        <v>-1.1679600000000001</v>
      </c>
      <c r="AH8429">
        <v>13.551925043210799</v>
      </c>
      <c r="AI8429">
        <v>94.021002997761201</v>
      </c>
      <c r="AJ8429">
        <v>54.650708800309097</v>
      </c>
      <c r="AK8429">
        <v>16.656078579831799</v>
      </c>
      <c r="AL8429">
        <v>81.976751642155605</v>
      </c>
      <c r="AM8429">
        <v>73.775553416262497</v>
      </c>
      <c r="AN8429">
        <v>0.99999999247681504</v>
      </c>
    </row>
    <row r="8430" spans="1:40" x14ac:dyDescent="0.25">
      <c r="A8430" t="str">
        <f>"20190303162117103"</f>
        <v>20190303162117103</v>
      </c>
      <c r="B8430" t="str">
        <f>"1551601277091075"</f>
        <v>1551601277091075</v>
      </c>
      <c r="C8430" t="s">
        <v>40</v>
      </c>
      <c r="D8430">
        <v>4.8350989999999996</v>
      </c>
      <c r="E8430">
        <v>0.63190709999999894</v>
      </c>
      <c r="F8430" t="s">
        <v>44</v>
      </c>
      <c r="G8430">
        <v>-310.29539999999997</v>
      </c>
      <c r="H8430">
        <v>-0.05</v>
      </c>
      <c r="I8430">
        <v>6.5565800000000003</v>
      </c>
      <c r="J8430">
        <v>-323.08100000000002</v>
      </c>
      <c r="K8430">
        <v>1.11792</v>
      </c>
      <c r="L8430">
        <v>17.681699999999999</v>
      </c>
      <c r="M8430">
        <v>0.9954326</v>
      </c>
      <c r="N8430">
        <v>-8.9264740000000002E-3</v>
      </c>
      <c r="O8430">
        <v>-9.5048610000000006E-2</v>
      </c>
      <c r="P8430">
        <v>0.92021640000000005</v>
      </c>
      <c r="Q8430">
        <v>0.1337043</v>
      </c>
      <c r="R8430">
        <v>-0.36786570000000002</v>
      </c>
      <c r="S8430">
        <v>2.4524840000000001</v>
      </c>
      <c r="T8430">
        <v>-0.22183410000000001</v>
      </c>
      <c r="U8430">
        <v>-2.115723</v>
      </c>
      <c r="V8430">
        <v>0.27976139999999999</v>
      </c>
      <c r="W8430">
        <v>0.14015050000000001</v>
      </c>
      <c r="X8430">
        <v>0.94978490000000004</v>
      </c>
      <c r="Y8430">
        <v>0.57692659999999996</v>
      </c>
      <c r="Z8430">
        <v>-1.8803940000000002E-2</v>
      </c>
      <c r="AA8430">
        <v>0.81657950000000001</v>
      </c>
      <c r="AB8430">
        <v>24</v>
      </c>
      <c r="AC8430">
        <v>12.785599999999899</v>
      </c>
      <c r="AD8430">
        <v>-1.1679200000000001</v>
      </c>
      <c r="AE8430">
        <v>-11.125120000000001</v>
      </c>
      <c r="AF8430">
        <v>9.8128475355359797</v>
      </c>
      <c r="AG8430">
        <v>-1.1679200000000001</v>
      </c>
      <c r="AH8430">
        <v>13.7200262959866</v>
      </c>
      <c r="AI8430">
        <v>93.960757883057198</v>
      </c>
      <c r="AJ8430">
        <v>54.4268633778997</v>
      </c>
      <c r="AK8430">
        <v>16.908433855465098</v>
      </c>
      <c r="AL8430">
        <v>81.9434447130172</v>
      </c>
      <c r="AM8430">
        <v>73.587537306407</v>
      </c>
      <c r="AN8430">
        <v>0.99999997992410905</v>
      </c>
    </row>
    <row r="8431" spans="1:40" x14ac:dyDescent="0.25">
      <c r="A8431" t="str">
        <f>"20190303162117116"</f>
        <v>20190303162117116</v>
      </c>
      <c r="B8431" t="str">
        <f>"1551601277111571"</f>
        <v>1551601277111571</v>
      </c>
      <c r="C8431" t="s">
        <v>40</v>
      </c>
      <c r="D8431">
        <v>4.7810889999999997</v>
      </c>
      <c r="E8431">
        <v>0.62613629999999998</v>
      </c>
      <c r="F8431" t="s">
        <v>44</v>
      </c>
      <c r="G8431">
        <v>-311.25110000000001</v>
      </c>
      <c r="H8431">
        <v>-0.05</v>
      </c>
      <c r="I8431">
        <v>7.5883940000000001</v>
      </c>
      <c r="J8431">
        <v>-322.95370000000003</v>
      </c>
      <c r="K8431">
        <v>1.1178729999999999</v>
      </c>
      <c r="L8431">
        <v>17.666929999999901</v>
      </c>
      <c r="M8431">
        <v>0.99520180000000003</v>
      </c>
      <c r="N8431">
        <v>-8.9448879999999998E-3</v>
      </c>
      <c r="O8431">
        <v>-9.7434900000000005E-2</v>
      </c>
      <c r="P8431">
        <v>0.91799569999999997</v>
      </c>
      <c r="Q8431">
        <v>0.13439389999999901</v>
      </c>
      <c r="R8431">
        <v>-0.3731255</v>
      </c>
      <c r="S8431">
        <v>2.457214</v>
      </c>
      <c r="T8431">
        <v>-0.24259030000000001</v>
      </c>
      <c r="U8431">
        <v>-2.0964969999999998</v>
      </c>
      <c r="V8431">
        <v>0.28295399999999998</v>
      </c>
      <c r="W8431">
        <v>0.14079069999999999</v>
      </c>
      <c r="X8431">
        <v>0.94874389999999997</v>
      </c>
      <c r="Y8431">
        <v>0.57027439999999996</v>
      </c>
      <c r="Z8431">
        <v>-1.9733520000000001E-2</v>
      </c>
      <c r="AA8431">
        <v>0.82121719999999898</v>
      </c>
      <c r="AB8431">
        <v>24</v>
      </c>
      <c r="AC8431">
        <v>11.7026</v>
      </c>
      <c r="AD8431">
        <v>-1.1678729999999999</v>
      </c>
      <c r="AE8431">
        <v>-10.0785359999999</v>
      </c>
      <c r="AF8431">
        <v>8.8397437063814195</v>
      </c>
      <c r="AG8431">
        <v>-1.1678729999999999</v>
      </c>
      <c r="AH8431">
        <v>12.5571506049086</v>
      </c>
      <c r="AI8431">
        <v>94.349004877732696</v>
      </c>
      <c r="AJ8431">
        <v>54.855950386480202</v>
      </c>
      <c r="AK8431">
        <v>15.400877489708</v>
      </c>
      <c r="AL8431">
        <v>81.906396678286697</v>
      </c>
      <c r="AM8431">
        <v>73.393280464307097</v>
      </c>
      <c r="AN8431">
        <v>0.99999998755484998</v>
      </c>
    </row>
    <row r="8432" spans="1:40" x14ac:dyDescent="0.25">
      <c r="A8432" t="str">
        <f>"20190303162117128"</f>
        <v>20190303162117128</v>
      </c>
      <c r="B8432" t="str">
        <f>"1551601277121331"</f>
        <v>1551601277121331</v>
      </c>
      <c r="C8432" t="s">
        <v>40</v>
      </c>
      <c r="D8432">
        <v>4.8020699999999996</v>
      </c>
      <c r="E8432">
        <v>0.623417</v>
      </c>
      <c r="F8432" t="s">
        <v>44</v>
      </c>
      <c r="G8432">
        <v>-312.05520000000001</v>
      </c>
      <c r="H8432">
        <v>-0.05</v>
      </c>
      <c r="I8432">
        <v>8.5231320000000004</v>
      </c>
      <c r="J8432">
        <v>-322.82139999999998</v>
      </c>
      <c r="K8432">
        <v>1.117821</v>
      </c>
      <c r="L8432">
        <v>17.651429999999898</v>
      </c>
      <c r="M8432">
        <v>0.99495330000000004</v>
      </c>
      <c r="N8432">
        <v>-8.9639179999999995E-3</v>
      </c>
      <c r="O8432">
        <v>-9.9939230000000004E-2</v>
      </c>
      <c r="P8432">
        <v>0.91574869999999997</v>
      </c>
      <c r="Q8432">
        <v>0.1351031</v>
      </c>
      <c r="R8432">
        <v>-0.37835459999999999</v>
      </c>
      <c r="S8432">
        <v>2.4657900000000001</v>
      </c>
      <c r="T8432">
        <v>-0.2642311</v>
      </c>
      <c r="U8432">
        <v>-2.0687869999999999</v>
      </c>
      <c r="V8432">
        <v>0.2860143</v>
      </c>
      <c r="W8432">
        <v>0.1414473</v>
      </c>
      <c r="X8432">
        <v>0.94772800000000001</v>
      </c>
      <c r="Y8432">
        <v>0.56114739999999996</v>
      </c>
      <c r="Z8432">
        <v>-2.049436E-2</v>
      </c>
      <c r="AA8432">
        <v>0.82746209999999898</v>
      </c>
      <c r="AB8432">
        <v>25</v>
      </c>
      <c r="AC8432">
        <v>10.7661999999999</v>
      </c>
      <c r="AD8432">
        <v>-1.167821</v>
      </c>
      <c r="AE8432">
        <v>-9.1282979999999903</v>
      </c>
      <c r="AF8432">
        <v>7.9521514251900696</v>
      </c>
      <c r="AG8432">
        <v>-1.167821</v>
      </c>
      <c r="AH8432">
        <v>11.5455755884349</v>
      </c>
      <c r="AI8432">
        <v>94.761844173097899</v>
      </c>
      <c r="AJ8432">
        <v>55.442413804619399</v>
      </c>
      <c r="AK8432">
        <v>14.0677231222916</v>
      </c>
      <c r="AL8432">
        <v>81.868395594200393</v>
      </c>
      <c r="AM8432">
        <v>73.206740488294201</v>
      </c>
      <c r="AN8432">
        <v>0.99999994023288796</v>
      </c>
    </row>
    <row r="8433" spans="1:40" x14ac:dyDescent="0.25">
      <c r="A8433" t="str">
        <f>"20190303162117142"</f>
        <v>20190303162117142</v>
      </c>
      <c r="B8433" t="str">
        <f>"1551601277131091"</f>
        <v>1551601277131091</v>
      </c>
      <c r="C8433" t="s">
        <v>40</v>
      </c>
      <c r="D8433">
        <v>4.8028040000000001</v>
      </c>
      <c r="E8433">
        <v>0.62099249999999995</v>
      </c>
      <c r="F8433" t="s">
        <v>44</v>
      </c>
      <c r="G8433">
        <v>-312.30619999999999</v>
      </c>
      <c r="H8433">
        <v>-0.05</v>
      </c>
      <c r="I8433">
        <v>8.8434139999999992</v>
      </c>
      <c r="J8433">
        <v>-322.65730000000002</v>
      </c>
      <c r="K8433">
        <v>1.1177490000000001</v>
      </c>
      <c r="L8433">
        <v>17.631529999999898</v>
      </c>
      <c r="M8433">
        <v>0.99462839999999997</v>
      </c>
      <c r="N8433">
        <v>-8.9877240000000008E-3</v>
      </c>
      <c r="O8433">
        <v>-0.10312060000000001</v>
      </c>
      <c r="P8433">
        <v>0.91314700000000004</v>
      </c>
      <c r="Q8433">
        <v>0.13601959999999999</v>
      </c>
      <c r="R8433">
        <v>-0.38426739999999998</v>
      </c>
      <c r="S8433">
        <v>2.4637150000000001</v>
      </c>
      <c r="T8433">
        <v>-0.27362110000000001</v>
      </c>
      <c r="U8433">
        <v>-2.0637210000000001</v>
      </c>
      <c r="V8433">
        <v>0.28916330000000001</v>
      </c>
      <c r="W8433">
        <v>0.14229459999999999</v>
      </c>
      <c r="X8433">
        <v>0.94664510000000002</v>
      </c>
      <c r="Y8433">
        <v>0.55774250000000003</v>
      </c>
      <c r="Z8433">
        <v>-2.066639E-2</v>
      </c>
      <c r="AA8433">
        <v>0.82975669999999901</v>
      </c>
      <c r="AB8433">
        <v>25</v>
      </c>
      <c r="AC8433">
        <v>10.351100000000001</v>
      </c>
      <c r="AD8433">
        <v>-1.1677489999999999</v>
      </c>
      <c r="AE8433">
        <v>-8.7881159999999898</v>
      </c>
      <c r="AF8433">
        <v>7.61746852008599</v>
      </c>
      <c r="AG8433">
        <v>-1.1677489999999999</v>
      </c>
      <c r="AH8433">
        <v>11.119942108381199</v>
      </c>
      <c r="AI8433">
        <v>94.951500101332101</v>
      </c>
      <c r="AJ8433">
        <v>55.587775867215797</v>
      </c>
      <c r="AK8433">
        <v>13.529322853537501</v>
      </c>
      <c r="AL8433">
        <v>81.819353771967798</v>
      </c>
      <c r="AM8433">
        <v>73.014124040609502</v>
      </c>
      <c r="AN8433">
        <v>1.00000005630502</v>
      </c>
    </row>
    <row r="8434" spans="1:40" x14ac:dyDescent="0.25">
      <c r="A8434" t="str">
        <f>"20190303162117157"</f>
        <v>20190303162117157</v>
      </c>
      <c r="B8434" t="str">
        <f>"1551601277151587"</f>
        <v>1551601277151587</v>
      </c>
      <c r="C8434" t="s">
        <v>40</v>
      </c>
      <c r="D8434">
        <v>4.7737230000000004</v>
      </c>
      <c r="E8434">
        <v>0.58751750000000003</v>
      </c>
      <c r="F8434" t="s">
        <v>44</v>
      </c>
      <c r="G8434">
        <v>-312.42939999999999</v>
      </c>
      <c r="H8434">
        <v>-0.05</v>
      </c>
      <c r="I8434">
        <v>9.050827</v>
      </c>
      <c r="J8434">
        <v>-322.50779999999997</v>
      </c>
      <c r="K8434">
        <v>1.1176699999999999</v>
      </c>
      <c r="L8434">
        <v>17.61279</v>
      </c>
      <c r="M8434">
        <v>0.9943149</v>
      </c>
      <c r="N8434">
        <v>-9.0098079999999994E-3</v>
      </c>
      <c r="O8434">
        <v>-0.106098499999999</v>
      </c>
      <c r="P8434">
        <v>0.91060149999999995</v>
      </c>
      <c r="Q8434">
        <v>0.136572</v>
      </c>
      <c r="R8434">
        <v>-0.39006859999999999</v>
      </c>
      <c r="S8434">
        <v>2.459015</v>
      </c>
      <c r="T8434">
        <v>-0.28075240000000001</v>
      </c>
      <c r="U8434">
        <v>-2.0629879999999998</v>
      </c>
      <c r="V8434">
        <v>0.29239559999999998</v>
      </c>
      <c r="W8434">
        <v>0.1427736</v>
      </c>
      <c r="X8434">
        <v>0.94557950000000002</v>
      </c>
      <c r="Y8434">
        <v>0.55581400000000003</v>
      </c>
      <c r="Z8434">
        <v>-2.077559E-2</v>
      </c>
      <c r="AA8434">
        <v>0.83104699999999998</v>
      </c>
      <c r="AB8434">
        <v>25</v>
      </c>
      <c r="AC8434">
        <v>10.078399999999901</v>
      </c>
      <c r="AD8434">
        <v>-1.16767</v>
      </c>
      <c r="AE8434">
        <v>-8.5619630000000004</v>
      </c>
      <c r="AF8434">
        <v>7.3866957348032596</v>
      </c>
      <c r="AG8434">
        <v>-1.16767</v>
      </c>
      <c r="AH8434">
        <v>10.845401726191801</v>
      </c>
      <c r="AI8434">
        <v>95.085122459574706</v>
      </c>
      <c r="AJ8434">
        <v>55.7416102209841</v>
      </c>
      <c r="AK8434">
        <v>13.1738174311756</v>
      </c>
      <c r="AL8434">
        <v>81.791625850595196</v>
      </c>
      <c r="AM8434">
        <v>72.817151316099398</v>
      </c>
      <c r="AN8434">
        <v>1.00000003928828</v>
      </c>
    </row>
    <row r="8435" spans="1:40" x14ac:dyDescent="0.25">
      <c r="A8435" t="str">
        <f>"20190303162117172"</f>
        <v>20190303162117172</v>
      </c>
      <c r="B8435" t="str">
        <f>"1551601277161347"</f>
        <v>1551601277161347</v>
      </c>
      <c r="C8435" t="s">
        <v>40</v>
      </c>
      <c r="D8435">
        <v>4.8009649999999997</v>
      </c>
      <c r="E8435">
        <v>0.58874709999999997</v>
      </c>
      <c r="F8435" t="s">
        <v>44</v>
      </c>
      <c r="G8435">
        <v>-315.45420000000001</v>
      </c>
      <c r="H8435">
        <v>-0.05</v>
      </c>
      <c r="I8435">
        <v>12.5694</v>
      </c>
      <c r="J8435">
        <v>-322.34190000000001</v>
      </c>
      <c r="K8435">
        <v>1.1175729999999999</v>
      </c>
      <c r="L8435">
        <v>17.59149</v>
      </c>
      <c r="M8435">
        <v>0.99394839999999995</v>
      </c>
      <c r="N8435">
        <v>-9.0374979999999997E-3</v>
      </c>
      <c r="O8435">
        <v>-0.109475</v>
      </c>
      <c r="P8435">
        <v>0.90655419999999998</v>
      </c>
      <c r="Q8435">
        <v>0.1356743</v>
      </c>
      <c r="R8435">
        <v>-0.3996904</v>
      </c>
      <c r="S8435">
        <v>2.5709529999999998</v>
      </c>
      <c r="T8435">
        <v>-0.42560239999999999</v>
      </c>
      <c r="U8435">
        <v>-1.838257</v>
      </c>
      <c r="V8435">
        <v>0.29921249999999999</v>
      </c>
      <c r="W8435">
        <v>0.14175599999999999</v>
      </c>
      <c r="X8435">
        <v>0.94359800000000005</v>
      </c>
      <c r="Y8435">
        <v>0.48531229999999997</v>
      </c>
      <c r="Z8435">
        <v>-2.3168350000000001E-2</v>
      </c>
      <c r="AA8435">
        <v>0.87403390000000003</v>
      </c>
      <c r="AB8435">
        <v>25</v>
      </c>
      <c r="AC8435">
        <v>6.8876999999999899</v>
      </c>
      <c r="AD8435">
        <v>-1.167573</v>
      </c>
      <c r="AE8435">
        <v>-5.0220900000000004</v>
      </c>
      <c r="AF8435">
        <v>4.1597976649825403</v>
      </c>
      <c r="AG8435">
        <v>-1.167573</v>
      </c>
      <c r="AH8435">
        <v>7.2599091898372903</v>
      </c>
      <c r="AI8435">
        <v>97.943843712578996</v>
      </c>
      <c r="AJ8435">
        <v>60.188065356671302</v>
      </c>
      <c r="AK8435">
        <v>8.4482793969309</v>
      </c>
      <c r="AL8435">
        <v>81.850529125237301</v>
      </c>
      <c r="AM8435">
        <v>72.406312508659099</v>
      </c>
      <c r="AN8435">
        <v>1.0000000346481199</v>
      </c>
    </row>
    <row r="8436" spans="1:40" x14ac:dyDescent="0.25">
      <c r="A8436" t="str">
        <f>"20190303162117184"</f>
        <v>20190303162117184</v>
      </c>
      <c r="B8436" t="str">
        <f>"1551601277173059"</f>
        <v>1551601277173059</v>
      </c>
      <c r="C8436" t="s">
        <v>40</v>
      </c>
      <c r="D8436">
        <v>4.8097949999999896</v>
      </c>
      <c r="E8436">
        <v>0.58867669999999905</v>
      </c>
      <c r="F8436" t="s">
        <v>44</v>
      </c>
      <c r="G8436">
        <v>-315.20690000000002</v>
      </c>
      <c r="H8436">
        <v>-0.05</v>
      </c>
      <c r="I8436">
        <v>12.33723</v>
      </c>
      <c r="J8436">
        <v>-322.19110000000001</v>
      </c>
      <c r="K8436">
        <v>1.117475</v>
      </c>
      <c r="L8436">
        <v>17.571660000000001</v>
      </c>
      <c r="M8436">
        <v>0.99359739999999996</v>
      </c>
      <c r="N8436">
        <v>-9.0666080000000003E-3</v>
      </c>
      <c r="O8436">
        <v>-0.11261599999999999</v>
      </c>
      <c r="P8436">
        <v>0.90405049999999998</v>
      </c>
      <c r="Q8436">
        <v>0.13434360000000001</v>
      </c>
      <c r="R8436">
        <v>-0.40576519999999999</v>
      </c>
      <c r="S8436">
        <v>2.545258</v>
      </c>
      <c r="T8436">
        <v>-0.41650379999999998</v>
      </c>
      <c r="U8436">
        <v>-1.8743289999999999</v>
      </c>
      <c r="V8436">
        <v>0.302566</v>
      </c>
      <c r="W8436">
        <v>0.1403441</v>
      </c>
      <c r="X8436">
        <v>0.94273929999999995</v>
      </c>
      <c r="Y8436">
        <v>0.49483660000000002</v>
      </c>
      <c r="Z8436">
        <v>-2.317375E-2</v>
      </c>
      <c r="AA8436">
        <v>0.86867700000000003</v>
      </c>
      <c r="AB8436">
        <v>25</v>
      </c>
      <c r="AC8436">
        <v>6.98419999999998</v>
      </c>
      <c r="AD8436">
        <v>-1.167475</v>
      </c>
      <c r="AE8436">
        <v>-5.2344299999999997</v>
      </c>
      <c r="AF8436">
        <v>4.3369661395043897</v>
      </c>
      <c r="AG8436">
        <v>-1.167475</v>
      </c>
      <c r="AH8436">
        <v>7.3969243603590797</v>
      </c>
      <c r="AI8436">
        <v>97.753432138760203</v>
      </c>
      <c r="AJ8436">
        <v>59.616042890494803</v>
      </c>
      <c r="AK8436">
        <v>8.6537138364812005</v>
      </c>
      <c r="AL8436">
        <v>81.932241842682899</v>
      </c>
      <c r="AM8436">
        <v>72.206307434954596</v>
      </c>
      <c r="AN8436">
        <v>1.0000000192626399</v>
      </c>
    </row>
    <row r="8437" spans="1:40" x14ac:dyDescent="0.25">
      <c r="A8437" t="str">
        <f>"20190303162117197"</f>
        <v>20190303162117197</v>
      </c>
      <c r="B8437" t="str">
        <f>"1551601277191603"</f>
        <v>1551601277191603</v>
      </c>
      <c r="C8437" t="s">
        <v>40</v>
      </c>
      <c r="D8437">
        <v>4.8294569999999997</v>
      </c>
      <c r="E8437">
        <v>0.58880719999999998</v>
      </c>
      <c r="F8437" t="s">
        <v>44</v>
      </c>
      <c r="G8437">
        <v>-315.1995</v>
      </c>
      <c r="H8437">
        <v>-0.05</v>
      </c>
      <c r="I8437">
        <v>12.35257</v>
      </c>
      <c r="J8437">
        <v>-322.05619999999999</v>
      </c>
      <c r="K8437">
        <v>1.117383</v>
      </c>
      <c r="L8437">
        <v>17.553129999999999</v>
      </c>
      <c r="M8437">
        <v>0.99326119999999996</v>
      </c>
      <c r="N8437">
        <v>-9.1061289999999993E-3</v>
      </c>
      <c r="O8437">
        <v>-0.1155394</v>
      </c>
      <c r="P8437">
        <v>0.90163369999999998</v>
      </c>
      <c r="Q8437">
        <v>0.13293679999999999</v>
      </c>
      <c r="R8437">
        <v>-0.41156379999999998</v>
      </c>
      <c r="S8437">
        <v>2.532715</v>
      </c>
      <c r="T8437">
        <v>-0.42292170000000001</v>
      </c>
      <c r="U8437">
        <v>-1.890625</v>
      </c>
      <c r="V8437">
        <v>0.30584689999999998</v>
      </c>
      <c r="W8437">
        <v>0.13886709999999999</v>
      </c>
      <c r="X8437">
        <v>0.94189889999999998</v>
      </c>
      <c r="Y8437">
        <v>0.4978089</v>
      </c>
      <c r="Z8437">
        <v>-2.3377169999999999E-2</v>
      </c>
      <c r="AA8437">
        <v>0.86697159999999995</v>
      </c>
      <c r="AB8437">
        <v>25</v>
      </c>
      <c r="AC8437">
        <v>6.8566999999999796</v>
      </c>
      <c r="AD8437">
        <v>-1.1673830000000001</v>
      </c>
      <c r="AE8437">
        <v>-5.2005599999999896</v>
      </c>
      <c r="AF8437">
        <v>4.29445423296686</v>
      </c>
      <c r="AG8437">
        <v>-1.1673830000000001</v>
      </c>
      <c r="AH8437">
        <v>7.2777525054650898</v>
      </c>
      <c r="AI8437">
        <v>97.865427491537304</v>
      </c>
      <c r="AJ8437">
        <v>59.456006655815898</v>
      </c>
      <c r="AK8437">
        <v>8.5305803881412103</v>
      </c>
      <c r="AL8437">
        <v>82.017704222916606</v>
      </c>
      <c r="AM8437">
        <v>72.0107080446178</v>
      </c>
      <c r="AN8437">
        <v>0.99999996776161404</v>
      </c>
    </row>
    <row r="8438" spans="1:40" x14ac:dyDescent="0.25">
      <c r="A8438" t="str">
        <f>"20190303162117208"</f>
        <v>20190303162117208</v>
      </c>
      <c r="B8438" t="str">
        <f>"1551601277201363"</f>
        <v>1551601277201363</v>
      </c>
      <c r="C8438" t="s">
        <v>40</v>
      </c>
      <c r="D8438">
        <v>4.8094999999999999</v>
      </c>
      <c r="E8438">
        <v>0.5879508</v>
      </c>
      <c r="F8438" t="s">
        <v>44</v>
      </c>
      <c r="G8438">
        <v>-315.10090000000002</v>
      </c>
      <c r="H8438">
        <v>-0.05</v>
      </c>
      <c r="I8438">
        <v>12.28558</v>
      </c>
      <c r="J8438">
        <v>-321.93680000000001</v>
      </c>
      <c r="K8438">
        <v>1.1173010000000001</v>
      </c>
      <c r="L8438">
        <v>17.536560000000001</v>
      </c>
      <c r="M8438">
        <v>0.99295230000000001</v>
      </c>
      <c r="N8438">
        <v>-9.1488209999999997E-3</v>
      </c>
      <c r="O8438">
        <v>-0.11816069999999999</v>
      </c>
      <c r="P8438">
        <v>0.89948790000000001</v>
      </c>
      <c r="Q8438">
        <v>0.13129959999999999</v>
      </c>
      <c r="R8438">
        <v>-0.41675210000000001</v>
      </c>
      <c r="S8438">
        <v>2.5188899999999999</v>
      </c>
      <c r="T8438">
        <v>-0.4227706</v>
      </c>
      <c r="U8438">
        <v>-1.907654</v>
      </c>
      <c r="V8438">
        <v>0.30877749999999998</v>
      </c>
      <c r="W8438">
        <v>0.1371716</v>
      </c>
      <c r="X8438">
        <v>0.941191</v>
      </c>
      <c r="Y8438">
        <v>0.50150749999999999</v>
      </c>
      <c r="Z8438">
        <v>-2.3378289999999999E-2</v>
      </c>
      <c r="AA8438">
        <v>0.86483729999999903</v>
      </c>
      <c r="AB8438">
        <v>25</v>
      </c>
      <c r="AC8438">
        <v>6.8358999999999801</v>
      </c>
      <c r="AD8438">
        <v>-1.1673009999999999</v>
      </c>
      <c r="AE8438">
        <v>-5.2509800000000002</v>
      </c>
      <c r="AF8438">
        <v>4.3270706263293999</v>
      </c>
      <c r="AG8438">
        <v>-1.1673009999999999</v>
      </c>
      <c r="AH8438">
        <v>7.2750785596531999</v>
      </c>
      <c r="AI8438">
        <v>97.851739024570193</v>
      </c>
      <c r="AJ8438">
        <v>59.256668170184099</v>
      </c>
      <c r="AK8438">
        <v>8.5447586202870198</v>
      </c>
      <c r="AL8438">
        <v>82.115788555987606</v>
      </c>
      <c r="AM8438">
        <v>71.836835242947501</v>
      </c>
      <c r="AN8438">
        <v>1.0000000454169</v>
      </c>
    </row>
    <row r="8439" spans="1:40" x14ac:dyDescent="0.25">
      <c r="A8439" t="str">
        <f>"20190303162117217"</f>
        <v>20190303162117217</v>
      </c>
      <c r="B8439" t="str">
        <f>"1551601277211123"</f>
        <v>1551601277211123</v>
      </c>
      <c r="C8439" t="s">
        <v>40</v>
      </c>
      <c r="D8439">
        <v>4.8314979999999998</v>
      </c>
      <c r="E8439">
        <v>0.58765449999999997</v>
      </c>
      <c r="F8439" t="s">
        <v>44</v>
      </c>
      <c r="G8439">
        <v>-315.11959999999999</v>
      </c>
      <c r="H8439">
        <v>-0.05</v>
      </c>
      <c r="I8439">
        <v>12.332700000000001</v>
      </c>
      <c r="J8439">
        <v>-321.8159</v>
      </c>
      <c r="K8439">
        <v>1.117221</v>
      </c>
      <c r="L8439">
        <v>17.519259999999999</v>
      </c>
      <c r="M8439">
        <v>0.9926218</v>
      </c>
      <c r="N8439">
        <v>-9.2139390000000009E-3</v>
      </c>
      <c r="O8439">
        <v>-0.12090049999999999</v>
      </c>
      <c r="P8439">
        <v>0.897393199999999</v>
      </c>
      <c r="Q8439">
        <v>0.13030519999999901</v>
      </c>
      <c r="R8439">
        <v>-0.42155219999999999</v>
      </c>
      <c r="S8439">
        <v>2.5101930000000001</v>
      </c>
      <c r="T8439">
        <v>-0.42981730000000001</v>
      </c>
      <c r="U8439">
        <v>-1.9161379999999999</v>
      </c>
      <c r="V8439">
        <v>0.31121749999999998</v>
      </c>
      <c r="W8439">
        <v>0.13613720000000001</v>
      </c>
      <c r="X8439">
        <v>0.94053730000000002</v>
      </c>
      <c r="Y8439">
        <v>0.50229809999999997</v>
      </c>
      <c r="Z8439">
        <v>-2.345465E-2</v>
      </c>
      <c r="AA8439">
        <v>0.86437640000000004</v>
      </c>
      <c r="AB8439">
        <v>25</v>
      </c>
      <c r="AC8439">
        <v>6.6962999999999999</v>
      </c>
      <c r="AD8439">
        <v>-1.1672209999999901</v>
      </c>
      <c r="AE8439">
        <v>-5.1865599999999903</v>
      </c>
      <c r="AF8439">
        <v>4.25802827199088</v>
      </c>
      <c r="AG8439">
        <v>-1.1672209999999901</v>
      </c>
      <c r="AH8439">
        <v>7.1386919611838699</v>
      </c>
      <c r="AI8439">
        <v>97.993412280564897</v>
      </c>
      <c r="AJ8439">
        <v>59.185116296443397</v>
      </c>
      <c r="AK8439">
        <v>8.39369600024839</v>
      </c>
      <c r="AL8439">
        <v>82.175616536044203</v>
      </c>
      <c r="AM8439">
        <v>71.690965900603103</v>
      </c>
      <c r="AN8439">
        <v>1.00000004111068</v>
      </c>
    </row>
    <row r="8440" spans="1:40" x14ac:dyDescent="0.25">
      <c r="A8440" t="str">
        <f>"20190303162117228"</f>
        <v>20190303162117228</v>
      </c>
      <c r="B8440" t="str">
        <f>"1551601277220883"</f>
        <v>1551601277220883</v>
      </c>
      <c r="C8440" t="s">
        <v>40</v>
      </c>
      <c r="D8440">
        <v>4.8599579999999998</v>
      </c>
      <c r="E8440">
        <v>0.58775529999999998</v>
      </c>
      <c r="F8440" t="s">
        <v>44</v>
      </c>
      <c r="G8440">
        <v>-315.05380000000002</v>
      </c>
      <c r="H8440">
        <v>-0.05</v>
      </c>
      <c r="I8440">
        <v>12.306520000000001</v>
      </c>
      <c r="J8440">
        <v>-321.7106</v>
      </c>
      <c r="K8440">
        <v>1.1171519999999999</v>
      </c>
      <c r="L8440">
        <v>17.50394</v>
      </c>
      <c r="M8440">
        <v>0.99232319999999996</v>
      </c>
      <c r="N8440">
        <v>-9.2829929999999998E-3</v>
      </c>
      <c r="O8440">
        <v>-0.1233245</v>
      </c>
      <c r="P8440">
        <v>0.89523660000000005</v>
      </c>
      <c r="Q8440">
        <v>0.12989909999999999</v>
      </c>
      <c r="R8440">
        <v>-0.4262378</v>
      </c>
      <c r="S8440">
        <v>2.5002749999999998</v>
      </c>
      <c r="T8440">
        <v>-0.43157630000000002</v>
      </c>
      <c r="U8440">
        <v>-1.9273990000000001</v>
      </c>
      <c r="V8440">
        <v>0.31385740000000001</v>
      </c>
      <c r="W8440">
        <v>0.13569779999999901</v>
      </c>
      <c r="X8440">
        <v>0.93972319999999998</v>
      </c>
      <c r="Y8440">
        <v>0.50424629999999904</v>
      </c>
      <c r="Z8440">
        <v>-2.342406E-2</v>
      </c>
      <c r="AA8440">
        <v>0.86324210000000001</v>
      </c>
      <c r="AB8440">
        <v>25</v>
      </c>
      <c r="AC8440">
        <v>6.6567999999999703</v>
      </c>
      <c r="AD8440">
        <v>-1.167152</v>
      </c>
      <c r="AE8440">
        <v>-5.1974200000000002</v>
      </c>
      <c r="AF8440">
        <v>4.25548518034641</v>
      </c>
      <c r="AG8440">
        <v>-1.167152</v>
      </c>
      <c r="AH8440">
        <v>7.1111623268962196</v>
      </c>
      <c r="AI8440">
        <v>98.016685525308006</v>
      </c>
      <c r="AJ8440">
        <v>59.102715137527703</v>
      </c>
      <c r="AK8440">
        <v>8.3689920271631202</v>
      </c>
      <c r="AL8440">
        <v>82.201028001800097</v>
      </c>
      <c r="AM8440">
        <v>71.531237269945905</v>
      </c>
      <c r="AN8440">
        <v>1.00000002653891</v>
      </c>
    </row>
    <row r="8441" spans="1:40" x14ac:dyDescent="0.25">
      <c r="A8441" t="str">
        <f>"20190303162117238"</f>
        <v>20190303162117238</v>
      </c>
      <c r="B8441" t="str">
        <f>"1551601277230644"</f>
        <v>1551601277230644</v>
      </c>
      <c r="C8441" t="s">
        <v>40</v>
      </c>
      <c r="D8441">
        <v>4.8754099999999996</v>
      </c>
      <c r="E8441">
        <v>0.58733610000000003</v>
      </c>
      <c r="F8441" t="s">
        <v>44</v>
      </c>
      <c r="G8441">
        <v>-314.94409999999999</v>
      </c>
      <c r="H8441">
        <v>-0.05</v>
      </c>
      <c r="I8441">
        <v>12.22705</v>
      </c>
      <c r="J8441">
        <v>-321.59480000000002</v>
      </c>
      <c r="K8441">
        <v>1.117083</v>
      </c>
      <c r="L8441">
        <v>17.486629999999899</v>
      </c>
      <c r="M8441">
        <v>0.99197749999999996</v>
      </c>
      <c r="N8441">
        <v>-9.3846750000000003E-3</v>
      </c>
      <c r="O8441">
        <v>-0.1260657</v>
      </c>
      <c r="P8441">
        <v>0.89302950000000003</v>
      </c>
      <c r="Q8441">
        <v>0.12927939999999999</v>
      </c>
      <c r="R8441">
        <v>-0.43102829999999898</v>
      </c>
      <c r="S8441">
        <v>2.4891359999999998</v>
      </c>
      <c r="T8441">
        <v>-0.42935000000000001</v>
      </c>
      <c r="U8441">
        <v>-1.9411620000000001</v>
      </c>
      <c r="V8441">
        <v>0.3163145</v>
      </c>
      <c r="W8441">
        <v>0.13506899999999999</v>
      </c>
      <c r="X8441">
        <v>0.93898959999999998</v>
      </c>
      <c r="Y8441">
        <v>0.50672629999999996</v>
      </c>
      <c r="Z8441">
        <v>-2.3227609999999999E-2</v>
      </c>
      <c r="AA8441">
        <v>0.86179409999999901</v>
      </c>
      <c r="AB8441">
        <v>25</v>
      </c>
      <c r="AC8441">
        <v>6.65070000000002</v>
      </c>
      <c r="AD8441">
        <v>-1.1670830000000001</v>
      </c>
      <c r="AE8441">
        <v>-5.2595799999999899</v>
      </c>
      <c r="AF8441">
        <v>4.2977303083303102</v>
      </c>
      <c r="AG8441">
        <v>-1.1670830000000001</v>
      </c>
      <c r="AH8441">
        <v>7.12571726312978</v>
      </c>
      <c r="AI8441">
        <v>97.983667311161796</v>
      </c>
      <c r="AJ8441">
        <v>58.9045818854377</v>
      </c>
      <c r="AK8441">
        <v>8.4028813538033305</v>
      </c>
      <c r="AL8441">
        <v>82.237390027719997</v>
      </c>
      <c r="AM8441">
        <v>71.383032991515805</v>
      </c>
      <c r="AN8441">
        <v>0.99999998328970396</v>
      </c>
    </row>
    <row r="8442" spans="1:40" x14ac:dyDescent="0.25">
      <c r="A8442" t="str">
        <f>"20190303162117250"</f>
        <v>20190303162117250</v>
      </c>
      <c r="B8442" t="str">
        <f>"1551601277241379"</f>
        <v>1551601277241379</v>
      </c>
      <c r="C8442" t="s">
        <v>40</v>
      </c>
      <c r="D8442">
        <v>4.8722000000000003</v>
      </c>
      <c r="E8442">
        <v>0.58712730000000002</v>
      </c>
      <c r="F8442" t="s">
        <v>44</v>
      </c>
      <c r="G8442">
        <v>-314.87889999999999</v>
      </c>
      <c r="H8442">
        <v>-0.05</v>
      </c>
      <c r="I8442">
        <v>12.202260000000001</v>
      </c>
      <c r="J8442">
        <v>-321.47280000000001</v>
      </c>
      <c r="K8442">
        <v>1.1170119999999999</v>
      </c>
      <c r="L8442">
        <v>17.468019999999999</v>
      </c>
      <c r="M8442">
        <v>0.99159759999999997</v>
      </c>
      <c r="N8442">
        <v>-9.5129080000000005E-3</v>
      </c>
      <c r="O8442">
        <v>-0.12901119999999999</v>
      </c>
      <c r="P8442">
        <v>0.89054049999999996</v>
      </c>
      <c r="Q8442">
        <v>0.12904069999999901</v>
      </c>
      <c r="R8442">
        <v>-0.4362182</v>
      </c>
      <c r="S8442">
        <v>2.4799190000000002</v>
      </c>
      <c r="T8442">
        <v>-0.43095299999999997</v>
      </c>
      <c r="U8442">
        <v>-1.9512940000000001</v>
      </c>
      <c r="V8442">
        <v>0.3190209</v>
      </c>
      <c r="W8442">
        <v>0.1348356</v>
      </c>
      <c r="X8442">
        <v>0.93810709999999997</v>
      </c>
      <c r="Y8442">
        <v>0.50787170000000004</v>
      </c>
      <c r="Z8442">
        <v>-2.3072289999999999E-2</v>
      </c>
      <c r="AA8442">
        <v>0.86112369999999905</v>
      </c>
      <c r="AB8442">
        <v>25</v>
      </c>
      <c r="AC8442">
        <v>6.5939000000000103</v>
      </c>
      <c r="AD8442">
        <v>-1.1670119999999999</v>
      </c>
      <c r="AE8442">
        <v>-5.2657600000000002</v>
      </c>
      <c r="AF8442">
        <v>4.2889942412148097</v>
      </c>
      <c r="AG8442">
        <v>-1.1670119999999999</v>
      </c>
      <c r="AH8442">
        <v>7.0826998885731802</v>
      </c>
      <c r="AI8442">
        <v>98.022522971091405</v>
      </c>
      <c r="AJ8442">
        <v>58.802611877173099</v>
      </c>
      <c r="AK8442">
        <v>8.3619391483622003</v>
      </c>
      <c r="AL8442">
        <v>82.250886084660294</v>
      </c>
      <c r="AM8442">
        <v>71.218436425275698</v>
      </c>
      <c r="AN8442">
        <v>0.999999952367288</v>
      </c>
    </row>
    <row r="8443" spans="1:40" x14ac:dyDescent="0.25">
      <c r="A8443" t="str">
        <f>"20190303162117260"</f>
        <v>20190303162117260</v>
      </c>
      <c r="B8443" t="str">
        <f>"1551601277251143"</f>
        <v>1551601277251143</v>
      </c>
      <c r="C8443" t="s">
        <v>40</v>
      </c>
      <c r="D8443">
        <v>4.8721420000000002</v>
      </c>
      <c r="E8443">
        <v>0.58678629999999998</v>
      </c>
      <c r="F8443" t="s">
        <v>44</v>
      </c>
      <c r="G8443">
        <v>-314.76990000000001</v>
      </c>
      <c r="H8443">
        <v>-0.05</v>
      </c>
      <c r="I8443">
        <v>12.13458</v>
      </c>
      <c r="J8443">
        <v>-321.3458</v>
      </c>
      <c r="K8443">
        <v>1.1169420000000001</v>
      </c>
      <c r="L8443">
        <v>17.448179999999901</v>
      </c>
      <c r="M8443">
        <v>0.99118289999999998</v>
      </c>
      <c r="N8443">
        <v>-9.6745970000000001E-3</v>
      </c>
      <c r="O8443">
        <v>-0.13214790000000001</v>
      </c>
      <c r="P8443">
        <v>0.88794329999999999</v>
      </c>
      <c r="Q8443">
        <v>0.12852529999999901</v>
      </c>
      <c r="R8443">
        <v>-0.44163150000000001</v>
      </c>
      <c r="S8443">
        <v>2.4687809999999999</v>
      </c>
      <c r="T8443">
        <v>-0.42982690000000001</v>
      </c>
      <c r="U8443">
        <v>-1.964386</v>
      </c>
      <c r="V8443">
        <v>0.32178759999999901</v>
      </c>
      <c r="W8443">
        <v>0.1343522</v>
      </c>
      <c r="X8443">
        <v>0.93723109999999998</v>
      </c>
      <c r="Y8443">
        <v>0.50984719999999994</v>
      </c>
      <c r="Z8443">
        <v>-2.285674E-2</v>
      </c>
      <c r="AA8443">
        <v>0.85996130000000004</v>
      </c>
      <c r="AB8443">
        <v>25</v>
      </c>
      <c r="AC8443">
        <v>6.5758999999999901</v>
      </c>
      <c r="AD8443">
        <v>-1.1669419999999999</v>
      </c>
      <c r="AE8443">
        <v>-5.3135999999999903</v>
      </c>
      <c r="AF8443">
        <v>4.3157413058299996</v>
      </c>
      <c r="AG8443">
        <v>-1.1669419999999999</v>
      </c>
      <c r="AH8443">
        <v>7.0854481537906704</v>
      </c>
      <c r="AI8443">
        <v>98.006555225937703</v>
      </c>
      <c r="AJ8443">
        <v>58.654436399169597</v>
      </c>
      <c r="AK8443">
        <v>8.3780040696019604</v>
      </c>
      <c r="AL8443">
        <v>82.278837210206305</v>
      </c>
      <c r="AM8443">
        <v>71.050676132409507</v>
      </c>
      <c r="AN8443">
        <v>0.99999995398290298</v>
      </c>
    </row>
    <row r="8444" spans="1:40" x14ac:dyDescent="0.25">
      <c r="A8444" t="str">
        <f>"20190303162117271"</f>
        <v>20190303162117271</v>
      </c>
      <c r="B8444" t="str">
        <f>"1551601277260900"</f>
        <v>1551601277260900</v>
      </c>
      <c r="C8444" t="s">
        <v>40</v>
      </c>
      <c r="D8444">
        <v>4.8897589999999997</v>
      </c>
      <c r="E8444">
        <v>0.58648230000000001</v>
      </c>
      <c r="F8444" t="s">
        <v>44</v>
      </c>
      <c r="G8444">
        <v>-314.69439999999997</v>
      </c>
      <c r="H8444">
        <v>-0.05</v>
      </c>
      <c r="I8444">
        <v>12.09679</v>
      </c>
      <c r="J8444">
        <v>-321.23669999999998</v>
      </c>
      <c r="K8444">
        <v>1.1168610000000001</v>
      </c>
      <c r="L8444">
        <v>17.430730000000001</v>
      </c>
      <c r="M8444">
        <v>0.99076839999999999</v>
      </c>
      <c r="N8444">
        <v>-9.7084230000000007E-3</v>
      </c>
      <c r="O8444">
        <v>-0.13521749999999999</v>
      </c>
      <c r="P8444">
        <v>0.88553969999999904</v>
      </c>
      <c r="Q8444">
        <v>0.12798219999999999</v>
      </c>
      <c r="R8444">
        <v>-0.44658730000000002</v>
      </c>
      <c r="S8444">
        <v>2.457611</v>
      </c>
      <c r="T8444">
        <v>-0.4311683</v>
      </c>
      <c r="U8444">
        <v>-1.9772639999999999</v>
      </c>
      <c r="V8444">
        <v>0.32413350000000002</v>
      </c>
      <c r="W8444">
        <v>0.1337507</v>
      </c>
      <c r="X8444">
        <v>0.93650849999999997</v>
      </c>
      <c r="Y8444">
        <v>0.51180270000000005</v>
      </c>
      <c r="Z8444">
        <v>-2.2705199999999998E-2</v>
      </c>
      <c r="AA8444">
        <v>0.85880299999999998</v>
      </c>
      <c r="AB8444">
        <v>25</v>
      </c>
      <c r="AC8444">
        <v>6.5423000000000098</v>
      </c>
      <c r="AD8444">
        <v>-1.1668609999999999</v>
      </c>
      <c r="AE8444">
        <v>-5.3339400000000001</v>
      </c>
      <c r="AF8444">
        <v>4.3177649356370704</v>
      </c>
      <c r="AG8444">
        <v>-1.1668609999999999</v>
      </c>
      <c r="AH8444">
        <v>7.06841524231044</v>
      </c>
      <c r="AI8444">
        <v>98.018873867388294</v>
      </c>
      <c r="AJ8444">
        <v>58.581189651151703</v>
      </c>
      <c r="AK8444">
        <v>8.3646370316030207</v>
      </c>
      <c r="AL8444">
        <v>82.313614658300907</v>
      </c>
      <c r="AM8444">
        <v>70.908831020960093</v>
      </c>
      <c r="AN8444">
        <v>0.999999973072494</v>
      </c>
    </row>
    <row r="8445" spans="1:40" x14ac:dyDescent="0.25">
      <c r="A8445" t="str">
        <f>"20190303162117281"</f>
        <v>20190303162117281</v>
      </c>
      <c r="B8445" t="str">
        <f>"1551601277271635"</f>
        <v>1551601277271635</v>
      </c>
      <c r="C8445" t="s">
        <v>40</v>
      </c>
      <c r="D8445">
        <v>4.9182990000000002</v>
      </c>
      <c r="E8445">
        <v>0.5861286</v>
      </c>
      <c r="F8445" t="s">
        <v>44</v>
      </c>
      <c r="G8445">
        <v>-314.63819999999998</v>
      </c>
      <c r="H8445">
        <v>-0.05</v>
      </c>
      <c r="I8445">
        <v>12.06897</v>
      </c>
      <c r="J8445">
        <v>-321.11759999999998</v>
      </c>
      <c r="K8445">
        <v>1.116768</v>
      </c>
      <c r="L8445">
        <v>17.411439999999999</v>
      </c>
      <c r="M8445">
        <v>0.99027270000000001</v>
      </c>
      <c r="N8445">
        <v>-9.6768140000000006E-3</v>
      </c>
      <c r="O8445">
        <v>-0.13880399999999901</v>
      </c>
      <c r="P8445">
        <v>0.88287229999999906</v>
      </c>
      <c r="Q8445">
        <v>0.12729389999999999</v>
      </c>
      <c r="R8445">
        <v>-0.4520323</v>
      </c>
      <c r="S8445">
        <v>2.4473880000000001</v>
      </c>
      <c r="T8445">
        <v>-0.43278879999999997</v>
      </c>
      <c r="U8445">
        <v>-1.9886779999999999</v>
      </c>
      <c r="V8445">
        <v>0.32651370000000002</v>
      </c>
      <c r="W8445">
        <v>0.13294539999999999</v>
      </c>
      <c r="X8445">
        <v>0.93579610000000002</v>
      </c>
      <c r="Y8445">
        <v>0.51285099999999995</v>
      </c>
      <c r="Z8445">
        <v>-2.2386099999999999E-2</v>
      </c>
      <c r="AA8445">
        <v>0.85818570000000005</v>
      </c>
      <c r="AB8445">
        <v>25</v>
      </c>
      <c r="AC8445">
        <v>6.4793999999999903</v>
      </c>
      <c r="AD8445">
        <v>-1.166768</v>
      </c>
      <c r="AE8445">
        <v>-5.3424699999999898</v>
      </c>
      <c r="AF8445">
        <v>4.3081792415738098</v>
      </c>
      <c r="AG8445">
        <v>-1.166768</v>
      </c>
      <c r="AH8445">
        <v>7.02270320446722</v>
      </c>
      <c r="AI8445">
        <v>98.060495670822505</v>
      </c>
      <c r="AJ8445">
        <v>58.472361299979802</v>
      </c>
      <c r="AK8445">
        <v>8.3210646098552594</v>
      </c>
      <c r="AL8445">
        <v>82.360171002017196</v>
      </c>
      <c r="AM8445">
        <v>70.7653321340796</v>
      </c>
      <c r="AN8445">
        <v>1.0000000082220299</v>
      </c>
    </row>
    <row r="8446" spans="1:40" x14ac:dyDescent="0.25">
      <c r="A8446" t="str">
        <f>"20190303162117293"</f>
        <v>20190303162117293</v>
      </c>
      <c r="B8446" t="str">
        <f>"1551601277281395"</f>
        <v>1551601277281395</v>
      </c>
      <c r="C8446" t="s">
        <v>40</v>
      </c>
      <c r="D8446">
        <v>4.8786649999999998</v>
      </c>
      <c r="E8446">
        <v>0.58596939999999997</v>
      </c>
      <c r="F8446" t="s">
        <v>44</v>
      </c>
      <c r="G8446">
        <v>-314.59350000000001</v>
      </c>
      <c r="H8446">
        <v>-0.05</v>
      </c>
      <c r="I8446">
        <v>12.051740000000001</v>
      </c>
      <c r="J8446">
        <v>-320.99090000000001</v>
      </c>
      <c r="K8446">
        <v>1.116552</v>
      </c>
      <c r="L8446">
        <v>17.390260000000001</v>
      </c>
      <c r="M8446">
        <v>0.98972550000000004</v>
      </c>
      <c r="N8446">
        <v>-9.5633000000000003E-3</v>
      </c>
      <c r="O8446">
        <v>-0.1426607</v>
      </c>
      <c r="P8446">
        <v>0.88016679999999903</v>
      </c>
      <c r="Q8446">
        <v>0.126578</v>
      </c>
      <c r="R8446">
        <v>-0.4574763</v>
      </c>
      <c r="S8446">
        <v>2.4361269999999999</v>
      </c>
      <c r="T8446">
        <v>-0.43567820000000002</v>
      </c>
      <c r="U8446">
        <v>-2.0013429999999999</v>
      </c>
      <c r="V8446">
        <v>0.32867210000000002</v>
      </c>
      <c r="W8446">
        <v>0.13198080000000001</v>
      </c>
      <c r="X8446">
        <v>0.93517680000000003</v>
      </c>
      <c r="Y8446">
        <v>0.51409070000000001</v>
      </c>
      <c r="Z8446">
        <v>-2.206195E-2</v>
      </c>
      <c r="AA8446">
        <v>0.85745210000000005</v>
      </c>
      <c r="AB8446">
        <v>25</v>
      </c>
      <c r="AC8446">
        <v>6.3974000000000002</v>
      </c>
      <c r="AD8446">
        <v>-1.166552</v>
      </c>
      <c r="AE8446">
        <v>-5.3385199999999999</v>
      </c>
      <c r="AF8446">
        <v>4.2871776420890404</v>
      </c>
      <c r="AG8446">
        <v>-1.166552</v>
      </c>
      <c r="AH8446">
        <v>6.95722103164535</v>
      </c>
      <c r="AI8446">
        <v>98.124005362853893</v>
      </c>
      <c r="AJ8446">
        <v>58.3578004600258</v>
      </c>
      <c r="AK8446">
        <v>8.25491733372907</v>
      </c>
      <c r="AL8446">
        <v>82.415929526548993</v>
      </c>
      <c r="AM8446">
        <v>70.635745126717296</v>
      </c>
      <c r="AN8446">
        <v>0.99999996407264402</v>
      </c>
    </row>
    <row r="8447" spans="1:40" x14ac:dyDescent="0.25">
      <c r="A8447" t="str">
        <f>"20190303162117305"</f>
        <v>20190303162117305</v>
      </c>
      <c r="B8447" t="str">
        <f>"1551601277300916"</f>
        <v>1551601277300916</v>
      </c>
      <c r="C8447" t="s">
        <v>40</v>
      </c>
      <c r="D8447">
        <v>4.9392149999999999</v>
      </c>
      <c r="E8447">
        <v>0.58572209999999902</v>
      </c>
      <c r="F8447" t="s">
        <v>44</v>
      </c>
      <c r="G8447">
        <v>-314.50380000000001</v>
      </c>
      <c r="H8447">
        <v>-0.05</v>
      </c>
      <c r="I8447">
        <v>11.996729999999999</v>
      </c>
      <c r="J8447">
        <v>-320.85739999999998</v>
      </c>
      <c r="K8447">
        <v>1.1162749999999999</v>
      </c>
      <c r="L8447">
        <v>17.367739999999898</v>
      </c>
      <c r="M8447">
        <v>0.98913139999999999</v>
      </c>
      <c r="N8447">
        <v>-9.4128509999999999E-3</v>
      </c>
      <c r="O8447">
        <v>-0.14673340000000001</v>
      </c>
      <c r="P8447">
        <v>0.87725219999999904</v>
      </c>
      <c r="Q8447">
        <v>0.12613350000000001</v>
      </c>
      <c r="R8447">
        <v>-0.46316230000000003</v>
      </c>
      <c r="S8447">
        <v>2.423737</v>
      </c>
      <c r="T8447">
        <v>-0.43585439999999998</v>
      </c>
      <c r="U8447">
        <v>-2.0151669999999999</v>
      </c>
      <c r="V8447">
        <v>0.33091749999999998</v>
      </c>
      <c r="W8447">
        <v>0.13122210000000001</v>
      </c>
      <c r="X8447">
        <v>0.93449150000000003</v>
      </c>
      <c r="Y8447">
        <v>0.51562750000000002</v>
      </c>
      <c r="Z8447">
        <v>-2.1603859999999999E-2</v>
      </c>
      <c r="AA8447">
        <v>0.85654039999999998</v>
      </c>
      <c r="AB8447">
        <v>25</v>
      </c>
      <c r="AC8447">
        <v>6.3535999999999699</v>
      </c>
      <c r="AD8447">
        <v>-1.166275</v>
      </c>
      <c r="AE8447">
        <v>-5.3710099999999903</v>
      </c>
      <c r="AF8447">
        <v>4.2961177688149803</v>
      </c>
      <c r="AG8447">
        <v>-1.166275</v>
      </c>
      <c r="AH8447">
        <v>6.9366488858571902</v>
      </c>
      <c r="AI8447">
        <v>98.134676316274494</v>
      </c>
      <c r="AJ8447">
        <v>58.228567807434402</v>
      </c>
      <c r="AK8447">
        <v>8.2422037723424797</v>
      </c>
      <c r="AL8447">
        <v>82.459781481399801</v>
      </c>
      <c r="AM8447">
        <v>70.500179568838405</v>
      </c>
      <c r="AN8447">
        <v>0.99999999745345403</v>
      </c>
    </row>
    <row r="8448" spans="1:40" x14ac:dyDescent="0.25">
      <c r="A8448" t="str">
        <f>"20190303162117316"</f>
        <v>20190303162117316</v>
      </c>
      <c r="B8448" t="str">
        <f>"1551601277310675"</f>
        <v>1551601277310675</v>
      </c>
      <c r="C8448" t="s">
        <v>40</v>
      </c>
      <c r="D8448">
        <v>4.9458060000000001</v>
      </c>
      <c r="E8448">
        <v>0.60267109999999902</v>
      </c>
      <c r="F8448" t="s">
        <v>44</v>
      </c>
      <c r="G8448">
        <v>-314.41289999999998</v>
      </c>
      <c r="H8448">
        <v>-0.05</v>
      </c>
      <c r="I8448">
        <v>11.944660000000001</v>
      </c>
      <c r="J8448">
        <v>-320.72410000000002</v>
      </c>
      <c r="K8448">
        <v>1.1158889999999999</v>
      </c>
      <c r="L8448">
        <v>17.344239999999999</v>
      </c>
      <c r="M8448">
        <v>0.98854830000000005</v>
      </c>
      <c r="N8448">
        <v>-9.4478389999999995E-3</v>
      </c>
      <c r="O8448">
        <v>-0.150609299999999</v>
      </c>
      <c r="P8448">
        <v>0.87437710000000002</v>
      </c>
      <c r="Q8448">
        <v>0.1261206</v>
      </c>
      <c r="R8448">
        <v>-0.46857130000000002</v>
      </c>
      <c r="S8448">
        <v>2.4112239999999998</v>
      </c>
      <c r="T8448">
        <v>-0.43636429999999998</v>
      </c>
      <c r="U8448">
        <v>-2.0290530000000002</v>
      </c>
      <c r="V8448">
        <v>0.33310889999999999</v>
      </c>
      <c r="W8448">
        <v>0.1310037</v>
      </c>
      <c r="X8448">
        <v>0.93374330000000005</v>
      </c>
      <c r="Y8448">
        <v>0.517347</v>
      </c>
      <c r="Z8448">
        <v>-2.127855E-2</v>
      </c>
      <c r="AA8448">
        <v>0.85551109999999897</v>
      </c>
      <c r="AB8448">
        <v>25</v>
      </c>
      <c r="AC8448">
        <v>6.3112000000000403</v>
      </c>
      <c r="AD8448">
        <v>-1.165889</v>
      </c>
      <c r="AE8448">
        <v>-5.3995799999999896</v>
      </c>
      <c r="AF8448">
        <v>4.3026375610467298</v>
      </c>
      <c r="AG8448">
        <v>-1.165889</v>
      </c>
      <c r="AH8448">
        <v>6.9161922292373896</v>
      </c>
      <c r="AI8448">
        <v>98.145752701377901</v>
      </c>
      <c r="AJ8448">
        <v>58.113812561107899</v>
      </c>
      <c r="AK8448">
        <v>8.2283474704107409</v>
      </c>
      <c r="AL8448">
        <v>82.472404085466593</v>
      </c>
      <c r="AM8448">
        <v>70.366360155573304</v>
      </c>
      <c r="AN8448">
        <v>1.00000002948389</v>
      </c>
    </row>
    <row r="8449" spans="1:40" x14ac:dyDescent="0.25">
      <c r="A8449" t="str">
        <f>"20190303162117328"</f>
        <v>20190303162117328</v>
      </c>
      <c r="B8449" t="str">
        <f>"1551601277321411"</f>
        <v>1551601277321411</v>
      </c>
      <c r="C8449" t="s">
        <v>40</v>
      </c>
      <c r="D8449">
        <v>4.8955760000000001</v>
      </c>
      <c r="E8449">
        <v>0.60783419999999999</v>
      </c>
      <c r="F8449" t="s">
        <v>44</v>
      </c>
      <c r="G8449">
        <v>-312.6671</v>
      </c>
      <c r="H8449">
        <v>-0.05</v>
      </c>
      <c r="I8449">
        <v>9.8557279999999992</v>
      </c>
      <c r="J8449">
        <v>-320.60079999999999</v>
      </c>
      <c r="K8449">
        <v>1.115521</v>
      </c>
      <c r="L8449">
        <v>17.322240000000001</v>
      </c>
      <c r="M8449">
        <v>0.9880004</v>
      </c>
      <c r="N8449">
        <v>-9.5519969999999996E-3</v>
      </c>
      <c r="O8449">
        <v>-0.15415580000000001</v>
      </c>
      <c r="P8449">
        <v>0.87149719999999997</v>
      </c>
      <c r="Q8449">
        <v>0.12640090000000001</v>
      </c>
      <c r="R8449">
        <v>-0.4738309</v>
      </c>
      <c r="S8449">
        <v>2.322632</v>
      </c>
      <c r="T8449">
        <v>-0.33609689999999998</v>
      </c>
      <c r="U8449">
        <v>-2.1587519999999998</v>
      </c>
      <c r="V8449">
        <v>0.33547120000000002</v>
      </c>
      <c r="W8449">
        <v>0.13115450000000001</v>
      </c>
      <c r="X8449">
        <v>0.93287589999999998</v>
      </c>
      <c r="Y8449">
        <v>0.55711199999999905</v>
      </c>
      <c r="Z8449">
        <v>-1.985603E-2</v>
      </c>
      <c r="AA8449">
        <v>0.83020000000000005</v>
      </c>
      <c r="AB8449">
        <v>25</v>
      </c>
      <c r="AC8449">
        <v>7.9336999999999804</v>
      </c>
      <c r="AD8449">
        <v>-1.16552099999999</v>
      </c>
      <c r="AE8449">
        <v>-7.4665119999999998</v>
      </c>
      <c r="AF8449">
        <v>6.08453387351428</v>
      </c>
      <c r="AG8449">
        <v>-1.16552099999999</v>
      </c>
      <c r="AH8449">
        <v>8.88818917046056</v>
      </c>
      <c r="AI8449">
        <v>96.1757133667397</v>
      </c>
      <c r="AJ8449">
        <v>55.605864896181899</v>
      </c>
      <c r="AK8449">
        <v>10.8342004037804</v>
      </c>
      <c r="AL8449">
        <v>82.463687982760803</v>
      </c>
      <c r="AM8449">
        <v>70.220924201691801</v>
      </c>
      <c r="AN8449">
        <v>0.99999993685024802</v>
      </c>
    </row>
    <row r="8450" spans="1:40" x14ac:dyDescent="0.25">
      <c r="A8450" t="str">
        <f>"20190303162117338"</f>
        <v>20190303162117338</v>
      </c>
      <c r="B8450" t="str">
        <f>"1551601277331170"</f>
        <v>1551601277331170</v>
      </c>
      <c r="C8450" t="s">
        <v>40</v>
      </c>
      <c r="D8450">
        <v>4.6742439999999998</v>
      </c>
      <c r="E8450">
        <v>0.61999169999999904</v>
      </c>
      <c r="F8450" t="s">
        <v>44</v>
      </c>
      <c r="G8450">
        <v>-313.13690000000003</v>
      </c>
      <c r="H8450">
        <v>-0.05</v>
      </c>
      <c r="I8450">
        <v>10.125920000000001</v>
      </c>
      <c r="J8450">
        <v>-320.4846</v>
      </c>
      <c r="K8450">
        <v>1.1151519999999999</v>
      </c>
      <c r="L8450">
        <v>17.300840000000001</v>
      </c>
      <c r="M8450">
        <v>0.9874851</v>
      </c>
      <c r="N8450">
        <v>-9.8258440000000002E-3</v>
      </c>
      <c r="O8450">
        <v>-0.15740670000000001</v>
      </c>
      <c r="P8450">
        <v>0.86910959999999904</v>
      </c>
      <c r="Q8450">
        <v>0.1268994</v>
      </c>
      <c r="R8450">
        <v>-0.47806419999999999</v>
      </c>
      <c r="S8450">
        <v>2.2925420000000001</v>
      </c>
      <c r="T8450">
        <v>-0.357991</v>
      </c>
      <c r="U8450">
        <v>-2.2103579999999998</v>
      </c>
      <c r="V8450">
        <v>0.33702939999999998</v>
      </c>
      <c r="W8450">
        <v>0.13170799999999999</v>
      </c>
      <c r="X8450">
        <v>0.93223610000000001</v>
      </c>
      <c r="Y8450">
        <v>0.56911699999999998</v>
      </c>
      <c r="Z8450">
        <v>-2.1524580000000001E-2</v>
      </c>
      <c r="AA8450">
        <v>0.82197480000000001</v>
      </c>
      <c r="AB8450">
        <v>25</v>
      </c>
      <c r="AC8450">
        <v>7.3476999999999704</v>
      </c>
      <c r="AD8450">
        <v>-1.165152</v>
      </c>
      <c r="AE8450">
        <v>-7.1749200000000002</v>
      </c>
      <c r="AF8450">
        <v>5.8534891714472703</v>
      </c>
      <c r="AG8450">
        <v>-1.165152</v>
      </c>
      <c r="AH8450">
        <v>8.27896231285421</v>
      </c>
      <c r="AI8450">
        <v>96.5553851441842</v>
      </c>
      <c r="AJ8450">
        <v>54.738476587058003</v>
      </c>
      <c r="AK8450">
        <v>10.205985089202001</v>
      </c>
      <c r="AL8450">
        <v>82.431697583979897</v>
      </c>
      <c r="AM8450">
        <v>70.123660786184004</v>
      </c>
      <c r="AN8450">
        <v>0.99999997993578404</v>
      </c>
    </row>
    <row r="8451" spans="1:40" x14ac:dyDescent="0.25">
      <c r="A8451" t="str">
        <f>"20190303162117351"</f>
        <v>20190303162117351</v>
      </c>
      <c r="B8451" t="str">
        <f>"1551601277340931"</f>
        <v>1551601277340931</v>
      </c>
      <c r="C8451" t="s">
        <v>40</v>
      </c>
      <c r="D8451">
        <v>4.6122969999999999</v>
      </c>
      <c r="E8451">
        <v>0.62838240000000001</v>
      </c>
      <c r="F8451" t="s">
        <v>44</v>
      </c>
      <c r="G8451">
        <v>-312.7885</v>
      </c>
      <c r="H8451">
        <v>-0.05</v>
      </c>
      <c r="I8451">
        <v>9.3435970000000008</v>
      </c>
      <c r="J8451">
        <v>-320.34690000000001</v>
      </c>
      <c r="K8451">
        <v>1.1146929999999999</v>
      </c>
      <c r="L8451">
        <v>17.275020000000001</v>
      </c>
      <c r="M8451">
        <v>0.98685880000000004</v>
      </c>
      <c r="N8451">
        <v>-1.0266269999999999E-2</v>
      </c>
      <c r="O8451">
        <v>-0.1612585</v>
      </c>
      <c r="P8451">
        <v>0.86685759999999901</v>
      </c>
      <c r="Q8451">
        <v>0.12742020000000001</v>
      </c>
      <c r="R8451">
        <v>-0.48199799999999998</v>
      </c>
      <c r="S8451">
        <v>2.2318419999999999</v>
      </c>
      <c r="T8451">
        <v>-0.33788759999999901</v>
      </c>
      <c r="U8451">
        <v>-2.3075559999999999</v>
      </c>
      <c r="V8451">
        <v>0.33771780000000001</v>
      </c>
      <c r="W8451">
        <v>0.1324331</v>
      </c>
      <c r="X8451">
        <v>0.93188419999999905</v>
      </c>
      <c r="Y8451">
        <v>0.59447490000000003</v>
      </c>
      <c r="Z8451">
        <v>-2.2227050000000002E-2</v>
      </c>
      <c r="AA8451">
        <v>0.80380689999999999</v>
      </c>
      <c r="AB8451">
        <v>25</v>
      </c>
      <c r="AC8451">
        <v>7.5583999999999998</v>
      </c>
      <c r="AD8451">
        <v>-1.164693</v>
      </c>
      <c r="AE8451">
        <v>-7.9314229999999997</v>
      </c>
      <c r="AF8451">
        <v>6.5348379086294699</v>
      </c>
      <c r="AG8451">
        <v>-1.164693</v>
      </c>
      <c r="AH8451">
        <v>8.6408946788720602</v>
      </c>
      <c r="AI8451">
        <v>96.136097727650494</v>
      </c>
      <c r="AJ8451">
        <v>52.900925505714198</v>
      </c>
      <c r="AK8451">
        <v>10.8961312917782</v>
      </c>
      <c r="AL8451">
        <v>82.389785429939707</v>
      </c>
      <c r="AM8451">
        <v>70.079322438288102</v>
      </c>
      <c r="AN8451">
        <v>1.0000000003110401</v>
      </c>
    </row>
    <row r="8452" spans="1:40" x14ac:dyDescent="0.25">
      <c r="A8452" t="str">
        <f>"20190303162117363"</f>
        <v>20190303162117363</v>
      </c>
      <c r="B8452" t="str">
        <f>"1551601277350691"</f>
        <v>1551601277350691</v>
      </c>
      <c r="C8452" t="s">
        <v>40</v>
      </c>
      <c r="D8452">
        <v>4.6264580000000004</v>
      </c>
      <c r="E8452">
        <v>0.63395859999999904</v>
      </c>
      <c r="F8452" t="s">
        <v>44</v>
      </c>
      <c r="G8452">
        <v>-312.42869999999999</v>
      </c>
      <c r="H8452">
        <v>-0.05</v>
      </c>
      <c r="I8452">
        <v>8.6603239999999992</v>
      </c>
      <c r="J8452">
        <v>-320.20359999999999</v>
      </c>
      <c r="K8452">
        <v>1.1141810000000001</v>
      </c>
      <c r="L8452">
        <v>17.247589999999999</v>
      </c>
      <c r="M8452">
        <v>0.98619029999999996</v>
      </c>
      <c r="N8452">
        <v>-1.08562E-2</v>
      </c>
      <c r="O8452">
        <v>-0.16525979999999901</v>
      </c>
      <c r="P8452">
        <v>0.8647859</v>
      </c>
      <c r="Q8452">
        <v>0.12839120000000001</v>
      </c>
      <c r="R8452">
        <v>-0.48544959999999998</v>
      </c>
      <c r="S8452">
        <v>2.185791</v>
      </c>
      <c r="T8452">
        <v>-0.3215131</v>
      </c>
      <c r="U8452">
        <v>-2.378082</v>
      </c>
      <c r="V8452">
        <v>0.33777020000000002</v>
      </c>
      <c r="W8452">
        <v>0.13376579999999999</v>
      </c>
      <c r="X8452">
        <v>0.93167480000000003</v>
      </c>
      <c r="Y8452">
        <v>0.61165049999999999</v>
      </c>
      <c r="Z8452">
        <v>-2.2508469999999999E-2</v>
      </c>
      <c r="AA8452">
        <v>0.79080779999999995</v>
      </c>
      <c r="AB8452">
        <v>25</v>
      </c>
      <c r="AC8452">
        <v>7.7748999999999997</v>
      </c>
      <c r="AD8452">
        <v>-1.1641809999999999</v>
      </c>
      <c r="AE8452">
        <v>-8.5872659999999907</v>
      </c>
      <c r="AF8452">
        <v>7.1123885738881896</v>
      </c>
      <c r="AG8452">
        <v>-1.1641809999999999</v>
      </c>
      <c r="AH8452">
        <v>8.9963337654913804</v>
      </c>
      <c r="AI8452">
        <v>95.796447437346401</v>
      </c>
      <c r="AJ8452">
        <v>51.670545999317198</v>
      </c>
      <c r="AK8452">
        <v>11.527159660855601</v>
      </c>
      <c r="AL8452">
        <v>82.312741585512498</v>
      </c>
      <c r="AM8452">
        <v>70.072349257752805</v>
      </c>
      <c r="AN8452">
        <v>0.99999996510635902</v>
      </c>
    </row>
    <row r="8453" spans="1:40" x14ac:dyDescent="0.25">
      <c r="A8453" t="str">
        <f>"20190303162117378"</f>
        <v>20190303162117378</v>
      </c>
      <c r="B8453" t="str">
        <f>"1551601277371188"</f>
        <v>1551601277371188</v>
      </c>
      <c r="C8453" t="s">
        <v>40</v>
      </c>
      <c r="D8453">
        <v>4.6301040000000002</v>
      </c>
      <c r="E8453">
        <v>0.64028439999999998</v>
      </c>
      <c r="F8453" t="s">
        <v>44</v>
      </c>
      <c r="G8453">
        <v>-311.91379999999998</v>
      </c>
      <c r="H8453">
        <v>-0.05</v>
      </c>
      <c r="I8453">
        <v>7.8902890000000001</v>
      </c>
      <c r="J8453">
        <v>-320.05650000000003</v>
      </c>
      <c r="K8453">
        <v>1.1135949999999999</v>
      </c>
      <c r="L8453">
        <v>17.21848</v>
      </c>
      <c r="M8453">
        <v>0.98550280000000001</v>
      </c>
      <c r="N8453">
        <v>-1.1714749999999999E-2</v>
      </c>
      <c r="O8453">
        <v>-0.16925399999999999</v>
      </c>
      <c r="P8453">
        <v>0.86311740000000003</v>
      </c>
      <c r="Q8453">
        <v>0.1287211</v>
      </c>
      <c r="R8453">
        <v>-0.48832300000000001</v>
      </c>
      <c r="S8453">
        <v>2.15097</v>
      </c>
      <c r="T8453">
        <v>-0.30207499999999998</v>
      </c>
      <c r="U8453">
        <v>-2.4279790000000001</v>
      </c>
      <c r="V8453">
        <v>0.3371767</v>
      </c>
      <c r="W8453">
        <v>0.13475479999999901</v>
      </c>
      <c r="X8453">
        <v>0.93174729999999995</v>
      </c>
      <c r="Y8453">
        <v>0.623062</v>
      </c>
      <c r="Z8453">
        <v>-2.2334639999999999E-2</v>
      </c>
      <c r="AA8453">
        <v>0.78185349999999998</v>
      </c>
      <c r="AB8453">
        <v>25</v>
      </c>
      <c r="AC8453">
        <v>8.1427000000000405</v>
      </c>
      <c r="AD8453">
        <v>-1.1635949999999999</v>
      </c>
      <c r="AE8453">
        <v>-9.3281910000000003</v>
      </c>
      <c r="AF8453">
        <v>7.7468977590512402</v>
      </c>
      <c r="AG8453">
        <v>-1.1635949999999999</v>
      </c>
      <c r="AH8453">
        <v>9.5200751842876592</v>
      </c>
      <c r="AI8453">
        <v>95.415633340720404</v>
      </c>
      <c r="AJ8453">
        <v>50.863256784170503</v>
      </c>
      <c r="AK8453">
        <v>12.3288365115167</v>
      </c>
      <c r="AL8453">
        <v>82.255558650731899</v>
      </c>
      <c r="AM8453">
        <v>70.106041318566795</v>
      </c>
      <c r="AN8453">
        <v>1.0000000071016</v>
      </c>
    </row>
    <row r="8454" spans="1:40" x14ac:dyDescent="0.25">
      <c r="A8454" t="str">
        <f>"20190303162117390"</f>
        <v>20190303162117390</v>
      </c>
      <c r="B8454" t="str">
        <f>"1551601277380947"</f>
        <v>1551601277380947</v>
      </c>
      <c r="C8454" t="s">
        <v>40</v>
      </c>
      <c r="D8454">
        <v>4.6475689999999998</v>
      </c>
      <c r="E8454">
        <v>0.64199700000000004</v>
      </c>
      <c r="F8454" t="s">
        <v>44</v>
      </c>
      <c r="G8454">
        <v>-311.29629999999997</v>
      </c>
      <c r="H8454">
        <v>-0.05</v>
      </c>
      <c r="I8454">
        <v>6.9409179999999902</v>
      </c>
      <c r="J8454">
        <v>-319.91840000000002</v>
      </c>
      <c r="K8454">
        <v>1.113016</v>
      </c>
      <c r="L8454">
        <v>17.190670000000001</v>
      </c>
      <c r="M8454">
        <v>0.98485080000000003</v>
      </c>
      <c r="N8454">
        <v>-1.261965E-2</v>
      </c>
      <c r="O8454">
        <v>-0.17294389999999901</v>
      </c>
      <c r="P8454">
        <v>0.86135519999999999</v>
      </c>
      <c r="Q8454">
        <v>0.1287488</v>
      </c>
      <c r="R8454">
        <v>-0.4914172</v>
      </c>
      <c r="S8454">
        <v>2.1142880000000002</v>
      </c>
      <c r="T8454">
        <v>-0.280835</v>
      </c>
      <c r="U8454">
        <v>-2.480499</v>
      </c>
      <c r="V8454">
        <v>0.33709210000000001</v>
      </c>
      <c r="W8454">
        <v>0.1355036</v>
      </c>
      <c r="X8454">
        <v>0.93166930000000003</v>
      </c>
      <c r="Y8454">
        <v>0.63520940000000004</v>
      </c>
      <c r="Z8454">
        <v>-2.2146430000000002E-2</v>
      </c>
      <c r="AA8454">
        <v>0.7720224</v>
      </c>
      <c r="AB8454">
        <v>25</v>
      </c>
      <c r="AC8454">
        <v>8.6221000000000405</v>
      </c>
      <c r="AD8454">
        <v>-1.163016</v>
      </c>
      <c r="AE8454">
        <v>-10.249752000000001</v>
      </c>
      <c r="AF8454">
        <v>8.5396359914196402</v>
      </c>
      <c r="AG8454">
        <v>-1.163016</v>
      </c>
      <c r="AH8454">
        <v>10.188116567378</v>
      </c>
      <c r="AI8454">
        <v>94.999853888804495</v>
      </c>
      <c r="AJ8454">
        <v>50.030404366024698</v>
      </c>
      <c r="AK8454">
        <v>13.344501049971401</v>
      </c>
      <c r="AL8454">
        <v>82.212258341044105</v>
      </c>
      <c r="AM8454">
        <v>70.109106815009994</v>
      </c>
      <c r="AN8454">
        <v>0.99999999702893005</v>
      </c>
    </row>
    <row r="8455" spans="1:40" x14ac:dyDescent="0.25">
      <c r="A8455" t="str">
        <f>"20190303162117401"</f>
        <v>20190303162117401</v>
      </c>
      <c r="B8455" t="str">
        <f>"1551601277390709"</f>
        <v>1551601277390709</v>
      </c>
      <c r="C8455" t="s">
        <v>40</v>
      </c>
      <c r="D8455">
        <v>4.6892699999999996</v>
      </c>
      <c r="E8455">
        <v>0.64315219999999995</v>
      </c>
      <c r="F8455" t="s">
        <v>44</v>
      </c>
      <c r="G8455">
        <v>-311.00400000000002</v>
      </c>
      <c r="H8455">
        <v>-0.05</v>
      </c>
      <c r="I8455">
        <v>6.5572049999999997</v>
      </c>
      <c r="J8455">
        <v>-319.78039999999999</v>
      </c>
      <c r="K8455">
        <v>1.1123909999999999</v>
      </c>
      <c r="L8455">
        <v>17.16226</v>
      </c>
      <c r="M8455">
        <v>0.98419829999999997</v>
      </c>
      <c r="N8455">
        <v>-1.3653780000000001E-2</v>
      </c>
      <c r="O8455">
        <v>-0.176542899999999</v>
      </c>
      <c r="P8455">
        <v>0.85938689999999995</v>
      </c>
      <c r="Q8455">
        <v>0.12791069999999999</v>
      </c>
      <c r="R8455">
        <v>-0.49506889999999998</v>
      </c>
      <c r="S8455">
        <v>2.0968019999999998</v>
      </c>
      <c r="T8455">
        <v>-0.27355980000000002</v>
      </c>
      <c r="U8455">
        <v>-2.50116</v>
      </c>
      <c r="V8455">
        <v>0.33765859999999998</v>
      </c>
      <c r="W8455">
        <v>0.13552210000000001</v>
      </c>
      <c r="X8455">
        <v>0.93146150000000005</v>
      </c>
      <c r="Y8455">
        <v>0.63874659999999905</v>
      </c>
      <c r="Z8455">
        <v>-2.224402E-2</v>
      </c>
      <c r="AA8455">
        <v>0.76909550000000004</v>
      </c>
      <c r="AB8455">
        <v>25</v>
      </c>
      <c r="AC8455">
        <v>8.7763999999999598</v>
      </c>
      <c r="AD8455">
        <v>-1.162391</v>
      </c>
      <c r="AE8455">
        <v>-10.605055</v>
      </c>
      <c r="AF8455">
        <v>8.8259616167853991</v>
      </c>
      <c r="AG8455">
        <v>-1.162391</v>
      </c>
      <c r="AH8455">
        <v>10.436527905642601</v>
      </c>
      <c r="AI8455">
        <v>94.860947702949602</v>
      </c>
      <c r="AJ8455">
        <v>49.779471094890098</v>
      </c>
      <c r="AK8455">
        <v>13.717502178717</v>
      </c>
      <c r="AL8455">
        <v>82.211188898859305</v>
      </c>
      <c r="AM8455">
        <v>70.074212405891302</v>
      </c>
      <c r="AN8455">
        <v>1.0000000478622999</v>
      </c>
    </row>
    <row r="8456" spans="1:40" x14ac:dyDescent="0.25">
      <c r="A8456" t="str">
        <f>"20190303162117416"</f>
        <v>20190303162117416</v>
      </c>
      <c r="B8456" t="str">
        <f>"1551601277411203"</f>
        <v>1551601277411203</v>
      </c>
      <c r="C8456" t="s">
        <v>40</v>
      </c>
      <c r="D8456">
        <v>4.70702</v>
      </c>
      <c r="E8456">
        <v>0.6445883</v>
      </c>
      <c r="F8456" t="s">
        <v>44</v>
      </c>
      <c r="G8456">
        <v>-310.86360000000002</v>
      </c>
      <c r="H8456">
        <v>-0.05</v>
      </c>
      <c r="I8456">
        <v>6.3701319999999999</v>
      </c>
      <c r="J8456">
        <v>-319.63040000000001</v>
      </c>
      <c r="K8456">
        <v>1.111659</v>
      </c>
      <c r="L8456">
        <v>17.130489999999899</v>
      </c>
      <c r="M8456">
        <v>0.98347260000000003</v>
      </c>
      <c r="N8456">
        <v>-1.4922899999999999E-2</v>
      </c>
      <c r="O8456">
        <v>-0.18044160000000001</v>
      </c>
      <c r="P8456">
        <v>0.85626259999999998</v>
      </c>
      <c r="Q8456">
        <v>0.1246452</v>
      </c>
      <c r="R8456">
        <v>-0.50127679999999997</v>
      </c>
      <c r="S8456">
        <v>2.080597</v>
      </c>
      <c r="T8456">
        <v>-0.27122410000000002</v>
      </c>
      <c r="U8456">
        <v>-2.5181580000000001</v>
      </c>
      <c r="V8456">
        <v>0.3406149</v>
      </c>
      <c r="W8456">
        <v>0.133326799999999</v>
      </c>
      <c r="X8456">
        <v>0.93070160000000002</v>
      </c>
      <c r="Y8456">
        <v>0.64116660000000003</v>
      </c>
      <c r="Z8456">
        <v>-2.2662169999999999E-2</v>
      </c>
      <c r="AA8456">
        <v>0.76706700000000005</v>
      </c>
      <c r="AB8456">
        <v>25</v>
      </c>
      <c r="AC8456">
        <v>8.7667999999999893</v>
      </c>
      <c r="AD8456">
        <v>-1.161659</v>
      </c>
      <c r="AE8456">
        <v>-10.760357999999901</v>
      </c>
      <c r="AF8456">
        <v>8.9390057613293692</v>
      </c>
      <c r="AG8456">
        <v>-1.161659</v>
      </c>
      <c r="AH8456">
        <v>10.491208476169399</v>
      </c>
      <c r="AI8456">
        <v>94.817615573258806</v>
      </c>
      <c r="AJ8456">
        <v>49.5674328368452</v>
      </c>
      <c r="AK8456">
        <v>13.8318737314874</v>
      </c>
      <c r="AL8456">
        <v>82.338122097659607</v>
      </c>
      <c r="AM8456">
        <v>69.8985623817385</v>
      </c>
      <c r="AN8456">
        <v>1.0000000069713999</v>
      </c>
    </row>
    <row r="8457" spans="1:40" x14ac:dyDescent="0.25">
      <c r="A8457" t="str">
        <f>"20190303162117427"</f>
        <v>20190303162117427</v>
      </c>
      <c r="B8457" t="str">
        <f>"1551601277420964"</f>
        <v>1551601277420964</v>
      </c>
      <c r="C8457" t="s">
        <v>40</v>
      </c>
      <c r="D8457">
        <v>4.7104200000000001</v>
      </c>
      <c r="E8457">
        <v>0.64500789999999997</v>
      </c>
      <c r="F8457" t="s">
        <v>44</v>
      </c>
      <c r="G8457">
        <v>-311.21249999999998</v>
      </c>
      <c r="H8457">
        <v>-0.05</v>
      </c>
      <c r="I8457">
        <v>6.7398069999999999</v>
      </c>
      <c r="J8457">
        <v>-319.50209999999998</v>
      </c>
      <c r="K8457">
        <v>1.1110310000000001</v>
      </c>
      <c r="L8457">
        <v>17.102910000000001</v>
      </c>
      <c r="M8457">
        <v>0.98283030000000005</v>
      </c>
      <c r="N8457">
        <v>-1.6067270000000002E-2</v>
      </c>
      <c r="O8457">
        <v>-0.18381120000000001</v>
      </c>
      <c r="P8457">
        <v>0.8538346</v>
      </c>
      <c r="Q8457">
        <v>0.1218901</v>
      </c>
      <c r="R8457">
        <v>-0.506073</v>
      </c>
      <c r="S8457">
        <v>2.0578919999999998</v>
      </c>
      <c r="T8457">
        <v>-0.28398499999999999</v>
      </c>
      <c r="U8457">
        <v>-2.5401609999999999</v>
      </c>
      <c r="V8457">
        <v>0.34255809999999998</v>
      </c>
      <c r="W8457">
        <v>0.13157469999999999</v>
      </c>
      <c r="X8457">
        <v>0.9302376</v>
      </c>
      <c r="Y8457">
        <v>0.64567859999999999</v>
      </c>
      <c r="Z8457">
        <v>-2.4030699999999999E-2</v>
      </c>
      <c r="AA8457">
        <v>0.76323109999999905</v>
      </c>
      <c r="AB8457">
        <v>25</v>
      </c>
      <c r="AC8457">
        <v>8.2896000000000001</v>
      </c>
      <c r="AD8457">
        <v>-1.1610309999999999</v>
      </c>
      <c r="AE8457">
        <v>-10.363103000000001</v>
      </c>
      <c r="AF8457">
        <v>8.5967666061616406</v>
      </c>
      <c r="AG8457">
        <v>-1.1610309999999999</v>
      </c>
      <c r="AH8457">
        <v>9.9770551994011392</v>
      </c>
      <c r="AI8457">
        <v>95.038055577639796</v>
      </c>
      <c r="AJ8457">
        <v>49.250046648451502</v>
      </c>
      <c r="AK8457">
        <v>13.2209689325583</v>
      </c>
      <c r="AL8457">
        <v>82.439402108619902</v>
      </c>
      <c r="AM8457">
        <v>69.783873196352701</v>
      </c>
      <c r="AN8457">
        <v>0.99999997300472898</v>
      </c>
    </row>
    <row r="8458" spans="1:40" x14ac:dyDescent="0.25">
      <c r="A8458" t="str">
        <f>"20190303162117438"</f>
        <v>20190303162117438</v>
      </c>
      <c r="B8458" t="str">
        <f>"1551601277430723"</f>
        <v>1551601277430723</v>
      </c>
      <c r="C8458" t="s">
        <v>40</v>
      </c>
      <c r="D8458">
        <v>4.7154119999999997</v>
      </c>
      <c r="E8458">
        <v>0.64552940000000003</v>
      </c>
      <c r="F8458" t="s">
        <v>44</v>
      </c>
      <c r="G8458">
        <v>-311.4076</v>
      </c>
      <c r="H8458">
        <v>-0.05</v>
      </c>
      <c r="I8458">
        <v>6.9868620000000004</v>
      </c>
      <c r="J8458">
        <v>-319.38470000000001</v>
      </c>
      <c r="K8458">
        <v>1.1104499999999999</v>
      </c>
      <c r="L8458">
        <v>17.077059999999999</v>
      </c>
      <c r="M8458">
        <v>0.98220719999999995</v>
      </c>
      <c r="N8458">
        <v>-1.7196220000000002E-2</v>
      </c>
      <c r="O8458">
        <v>-0.18701190000000001</v>
      </c>
      <c r="P8458">
        <v>0.85133309999999995</v>
      </c>
      <c r="Q8458">
        <v>0.11945699999999999</v>
      </c>
      <c r="R8458">
        <v>-0.51084459999999998</v>
      </c>
      <c r="S8458">
        <v>2.0424500000000001</v>
      </c>
      <c r="T8458">
        <v>-0.29295969999999999</v>
      </c>
      <c r="U8458">
        <v>-2.5525509999999998</v>
      </c>
      <c r="V8458">
        <v>0.34464359999999999</v>
      </c>
      <c r="W8458">
        <v>0.130167899999999</v>
      </c>
      <c r="X8458">
        <v>0.92966510000000002</v>
      </c>
      <c r="Y8458">
        <v>0.64762589999999998</v>
      </c>
      <c r="Z8458">
        <v>-2.5026030000000001E-2</v>
      </c>
      <c r="AA8458">
        <v>0.76154730000000004</v>
      </c>
      <c r="AB8458">
        <v>25</v>
      </c>
      <c r="AC8458">
        <v>7.9771000000000001</v>
      </c>
      <c r="AD8458">
        <v>-1.16045</v>
      </c>
      <c r="AE8458">
        <v>-10.090198000000001</v>
      </c>
      <c r="AF8458">
        <v>8.35211516118828</v>
      </c>
      <c r="AG8458">
        <v>-1.16045</v>
      </c>
      <c r="AH8458">
        <v>9.64508339260599</v>
      </c>
      <c r="AI8458">
        <v>95.196943089262703</v>
      </c>
      <c r="AJ8458">
        <v>49.109226291715601</v>
      </c>
      <c r="AK8458">
        <v>12.811405290543799</v>
      </c>
      <c r="AL8458">
        <v>82.520705624355102</v>
      </c>
      <c r="AM8458">
        <v>69.659349332791294</v>
      </c>
      <c r="AN8458">
        <v>1.00000004568468</v>
      </c>
    </row>
    <row r="8459" spans="1:40" x14ac:dyDescent="0.25">
      <c r="A8459" t="str">
        <f>"20190303162117449"</f>
        <v>20190303162117449</v>
      </c>
      <c r="B8459" t="str">
        <f>"1551601277441460"</f>
        <v>1551601277441460</v>
      </c>
      <c r="C8459" t="s">
        <v>40</v>
      </c>
      <c r="D8459">
        <v>4.7405599999999897</v>
      </c>
      <c r="E8459">
        <v>0.64559820000000001</v>
      </c>
      <c r="F8459" t="s">
        <v>44</v>
      </c>
      <c r="G8459">
        <v>-311.55619999999999</v>
      </c>
      <c r="H8459">
        <v>-0.05</v>
      </c>
      <c r="I8459">
        <v>7.1640779999999999</v>
      </c>
      <c r="J8459">
        <v>-319.26580000000001</v>
      </c>
      <c r="K8459">
        <v>1.1098410000000001</v>
      </c>
      <c r="L8459">
        <v>17.05048</v>
      </c>
      <c r="M8459">
        <v>0.9815429</v>
      </c>
      <c r="N8459">
        <v>-1.8351550000000001E-2</v>
      </c>
      <c r="O8459">
        <v>-0.19036030000000001</v>
      </c>
      <c r="P8459">
        <v>0.84865650000000004</v>
      </c>
      <c r="Q8459">
        <v>0.11718530000000001</v>
      </c>
      <c r="R8459">
        <v>-0.51580099999999995</v>
      </c>
      <c r="S8459">
        <v>2.026367</v>
      </c>
      <c r="T8459">
        <v>-0.30037550000000002</v>
      </c>
      <c r="U8459">
        <v>-2.5659179999999999</v>
      </c>
      <c r="V8459">
        <v>0.34680759999999899</v>
      </c>
      <c r="W8459">
        <v>0.1289508</v>
      </c>
      <c r="X8459">
        <v>0.92902969999999896</v>
      </c>
      <c r="Y8459">
        <v>0.64972529999999995</v>
      </c>
      <c r="Z8459">
        <v>-2.5951040000000002E-2</v>
      </c>
      <c r="AA8459">
        <v>0.75972600000000001</v>
      </c>
      <c r="AB8459">
        <v>25</v>
      </c>
      <c r="AC8459">
        <v>7.7096000000000204</v>
      </c>
      <c r="AD8459">
        <v>-1.1598409999999999</v>
      </c>
      <c r="AE8459">
        <v>-9.8864020000000004</v>
      </c>
      <c r="AF8459">
        <v>8.1678070043781901</v>
      </c>
      <c r="AG8459">
        <v>-1.1598409999999999</v>
      </c>
      <c r="AH8459">
        <v>9.3706719622174806</v>
      </c>
      <c r="AI8459">
        <v>95.330520061719696</v>
      </c>
      <c r="AJ8459">
        <v>48.923449046263897</v>
      </c>
      <c r="AK8459">
        <v>12.484702456588099</v>
      </c>
      <c r="AL8459">
        <v>82.591032735365999</v>
      </c>
      <c r="AM8459">
        <v>69.529352721850998</v>
      </c>
      <c r="AN8459">
        <v>1.00000000186024</v>
      </c>
    </row>
    <row r="8460" spans="1:40" x14ac:dyDescent="0.25">
      <c r="A8460" t="str">
        <f>"20190303162117460"</f>
        <v>20190303162117460</v>
      </c>
      <c r="B8460" t="str">
        <f>"1551601277451219"</f>
        <v>1551601277451219</v>
      </c>
      <c r="C8460" t="s">
        <v>40</v>
      </c>
      <c r="D8460">
        <v>4.7290239999999999</v>
      </c>
      <c r="E8460">
        <v>0.64594479999999999</v>
      </c>
      <c r="F8460" t="s">
        <v>44</v>
      </c>
      <c r="G8460">
        <v>-311.72840000000002</v>
      </c>
      <c r="H8460">
        <v>-0.05</v>
      </c>
      <c r="I8460">
        <v>7.3962859999999999</v>
      </c>
      <c r="J8460">
        <v>-319.14819999999997</v>
      </c>
      <c r="K8460">
        <v>1.1092139999999999</v>
      </c>
      <c r="L8460">
        <v>17.023679999999999</v>
      </c>
      <c r="M8460">
        <v>0.98084210000000005</v>
      </c>
      <c r="N8460">
        <v>-1.951015E-2</v>
      </c>
      <c r="O8460">
        <v>-0.19382559999999999</v>
      </c>
      <c r="P8460">
        <v>0.8456882</v>
      </c>
      <c r="Q8460">
        <v>0.1155823</v>
      </c>
      <c r="R8460">
        <v>-0.52101120000000001</v>
      </c>
      <c r="S8460">
        <v>2.0117189999999998</v>
      </c>
      <c r="T8460">
        <v>-0.30956009999999901</v>
      </c>
      <c r="U8460">
        <v>-2.5766909999999998</v>
      </c>
      <c r="V8460">
        <v>0.34917799999999999</v>
      </c>
      <c r="W8460">
        <v>0.12840889999999999</v>
      </c>
      <c r="X8460">
        <v>0.9282165</v>
      </c>
      <c r="Y8460">
        <v>0.65106459999999999</v>
      </c>
      <c r="Z8460">
        <v>-2.6902570000000001E-2</v>
      </c>
      <c r="AA8460">
        <v>0.75854540000000004</v>
      </c>
      <c r="AB8460">
        <v>24</v>
      </c>
      <c r="AC8460">
        <v>7.4197999999999498</v>
      </c>
      <c r="AD8460">
        <v>-1.159214</v>
      </c>
      <c r="AE8460">
        <v>-9.6273940000000007</v>
      </c>
      <c r="AF8460">
        <v>7.9341636179129003</v>
      </c>
      <c r="AG8460">
        <v>-1.159214</v>
      </c>
      <c r="AH8460">
        <v>9.0629944409963201</v>
      </c>
      <c r="AI8460">
        <v>95.497102680151201</v>
      </c>
      <c r="AJ8460">
        <v>48.799600055156098</v>
      </c>
      <c r="AK8460">
        <v>12.100933751208499</v>
      </c>
      <c r="AL8460">
        <v>82.622341571858001</v>
      </c>
      <c r="AM8460">
        <v>69.384622093630796</v>
      </c>
      <c r="AN8460">
        <v>0.99999999607773005</v>
      </c>
    </row>
    <row r="8461" spans="1:40" x14ac:dyDescent="0.25">
      <c r="A8461" t="str">
        <f>"20190303162117471"</f>
        <v>20190303162117471</v>
      </c>
      <c r="B8461" t="str">
        <f>"1551601277460980"</f>
        <v>1551601277460980</v>
      </c>
      <c r="C8461" t="s">
        <v>40</v>
      </c>
      <c r="D8461">
        <v>4.7081309999999998</v>
      </c>
      <c r="E8461">
        <v>0.64621729999999999</v>
      </c>
      <c r="F8461" t="s">
        <v>44</v>
      </c>
      <c r="G8461">
        <v>-311.81180000000001</v>
      </c>
      <c r="H8461">
        <v>-0.05</v>
      </c>
      <c r="I8461">
        <v>7.4965520000000003</v>
      </c>
      <c r="J8461">
        <v>-319.02940000000001</v>
      </c>
      <c r="K8461">
        <v>1.108533</v>
      </c>
      <c r="L8461">
        <v>16.996089999999999</v>
      </c>
      <c r="M8461">
        <v>0.98009230000000003</v>
      </c>
      <c r="N8461">
        <v>-2.064978E-2</v>
      </c>
      <c r="O8461">
        <v>-0.19746630000000001</v>
      </c>
      <c r="P8461">
        <v>0.842398599999999</v>
      </c>
      <c r="Q8461">
        <v>0.1148086</v>
      </c>
      <c r="R8461">
        <v>-0.52648289999999998</v>
      </c>
      <c r="S8461">
        <v>1.994659</v>
      </c>
      <c r="T8461">
        <v>-0.31517469999999997</v>
      </c>
      <c r="U8461">
        <v>-2.5903019999999999</v>
      </c>
      <c r="V8461">
        <v>0.3517267</v>
      </c>
      <c r="W8461">
        <v>0.1286534</v>
      </c>
      <c r="X8461">
        <v>0.92721980000000004</v>
      </c>
      <c r="Y8461">
        <v>0.65315599999999996</v>
      </c>
      <c r="Z8461">
        <v>-2.770179E-2</v>
      </c>
      <c r="AA8461">
        <v>0.75671650000000001</v>
      </c>
      <c r="AB8461">
        <v>24</v>
      </c>
      <c r="AC8461">
        <v>7.2176</v>
      </c>
      <c r="AD8461">
        <v>-1.158533</v>
      </c>
      <c r="AE8461">
        <v>-9.4995379999999905</v>
      </c>
      <c r="AF8461">
        <v>7.8131946072658396</v>
      </c>
      <c r="AG8461">
        <v>-1.158533</v>
      </c>
      <c r="AH8461">
        <v>8.8680360267101594</v>
      </c>
      <c r="AI8461">
        <v>95.598428771205704</v>
      </c>
      <c r="AJ8461">
        <v>48.618293985641898</v>
      </c>
      <c r="AK8461">
        <v>11.8756166852137</v>
      </c>
      <c r="AL8461">
        <v>82.608215340666305</v>
      </c>
      <c r="AM8461">
        <v>69.226522409138994</v>
      </c>
      <c r="AN8461">
        <v>0.99999996316824402</v>
      </c>
    </row>
    <row r="8462" spans="1:40" x14ac:dyDescent="0.25">
      <c r="A8462" t="str">
        <f>"20190303162117482"</f>
        <v>20190303162117482</v>
      </c>
      <c r="B8462" t="str">
        <f>"1551601277471716"</f>
        <v>1551601277471716</v>
      </c>
      <c r="C8462" t="s">
        <v>40</v>
      </c>
      <c r="D8462">
        <v>4.8139390000000004</v>
      </c>
      <c r="E8462">
        <v>0.64655940000000001</v>
      </c>
      <c r="F8462" t="s">
        <v>44</v>
      </c>
      <c r="G8462">
        <v>-311.81209999999999</v>
      </c>
      <c r="H8462">
        <v>-0.05</v>
      </c>
      <c r="I8462">
        <v>7.4875030000000002</v>
      </c>
      <c r="J8462">
        <v>-318.90780000000001</v>
      </c>
      <c r="K8462">
        <v>1.107793</v>
      </c>
      <c r="L8462">
        <v>16.967469999999999</v>
      </c>
      <c r="M8462">
        <v>0.97928700000000002</v>
      </c>
      <c r="N8462">
        <v>-2.1793449999999999E-2</v>
      </c>
      <c r="O8462">
        <v>-0.20130120000000001</v>
      </c>
      <c r="P8462">
        <v>0.83897089999999996</v>
      </c>
      <c r="Q8462">
        <v>0.1142339</v>
      </c>
      <c r="R8462">
        <v>-0.53205150000000001</v>
      </c>
      <c r="S8462">
        <v>1.976807</v>
      </c>
      <c r="T8462">
        <v>-0.31732179999999999</v>
      </c>
      <c r="U8462">
        <v>-2.6044010000000002</v>
      </c>
      <c r="V8462">
        <v>0.35423009999999999</v>
      </c>
      <c r="W8462">
        <v>0.12908610000000001</v>
      </c>
      <c r="X8462">
        <v>0.92620619999999998</v>
      </c>
      <c r="Y8462">
        <v>0.65535459999999901</v>
      </c>
      <c r="Z8462">
        <v>-2.8324780000000001E-2</v>
      </c>
      <c r="AA8462">
        <v>0.75479010000000002</v>
      </c>
      <c r="AB8462">
        <v>24</v>
      </c>
      <c r="AC8462">
        <v>7.0957000000000203</v>
      </c>
      <c r="AD8462">
        <v>-1.1577930000000001</v>
      </c>
      <c r="AE8462">
        <v>-9.4799670000000003</v>
      </c>
      <c r="AF8462">
        <v>7.7826987681182498</v>
      </c>
      <c r="AG8462">
        <v>-1.1577930000000001</v>
      </c>
      <c r="AH8462">
        <v>8.7752677506502899</v>
      </c>
      <c r="AI8462">
        <v>95.637389417414198</v>
      </c>
      <c r="AJ8462">
        <v>48.430496179138601</v>
      </c>
      <c r="AK8462">
        <v>11.7862720502167</v>
      </c>
      <c r="AL8462">
        <v>82.583215675508399</v>
      </c>
      <c r="AM8462">
        <v>69.070509636813</v>
      </c>
      <c r="AN8462">
        <v>1.0000000549388199</v>
      </c>
    </row>
    <row r="8463" spans="1:40" x14ac:dyDescent="0.25">
      <c r="A8463" t="str">
        <f>"20190303162117495"</f>
        <v>20190303162117495</v>
      </c>
      <c r="B8463" t="str">
        <f>"1551601277491236"</f>
        <v>1551601277491236</v>
      </c>
      <c r="C8463" t="s">
        <v>40</v>
      </c>
      <c r="D8463">
        <v>4.7306809999999997</v>
      </c>
      <c r="E8463">
        <v>0.6473681</v>
      </c>
      <c r="F8463" t="s">
        <v>44</v>
      </c>
      <c r="G8463">
        <v>-311.78059999999999</v>
      </c>
      <c r="H8463">
        <v>-0.05</v>
      </c>
      <c r="I8463">
        <v>7.4347529999999997</v>
      </c>
      <c r="J8463">
        <v>-318.78269999999998</v>
      </c>
      <c r="K8463">
        <v>1.1069659999999999</v>
      </c>
      <c r="L8463">
        <v>16.937190000000001</v>
      </c>
      <c r="M8463">
        <v>0.97836769999999995</v>
      </c>
      <c r="N8463">
        <v>-2.2791700000000002E-2</v>
      </c>
      <c r="O8463">
        <v>-0.2056143</v>
      </c>
      <c r="P8463">
        <v>0.83509199999999995</v>
      </c>
      <c r="Q8463">
        <v>0.1141658</v>
      </c>
      <c r="R8463">
        <v>-0.53813389999999905</v>
      </c>
      <c r="S8463">
        <v>1.9581299999999999</v>
      </c>
      <c r="T8463">
        <v>-0.31809579999999998</v>
      </c>
      <c r="U8463">
        <v>-2.619049</v>
      </c>
      <c r="V8463">
        <v>0.35689559999999998</v>
      </c>
      <c r="W8463">
        <v>0.12986909999999999</v>
      </c>
      <c r="X8463">
        <v>0.92507269999999997</v>
      </c>
      <c r="Y8463">
        <v>0.65743490000000004</v>
      </c>
      <c r="Z8463">
        <v>-2.8753500000000001E-2</v>
      </c>
      <c r="AA8463">
        <v>0.75296249999999998</v>
      </c>
      <c r="AB8463">
        <v>24</v>
      </c>
      <c r="AC8463">
        <v>7.00209999999998</v>
      </c>
      <c r="AD8463">
        <v>-1.1569659999999999</v>
      </c>
      <c r="AE8463">
        <v>-9.5024369999999898</v>
      </c>
      <c r="AF8463">
        <v>7.7843983256670501</v>
      </c>
      <c r="AG8463">
        <v>-1.1569659999999999</v>
      </c>
      <c r="AH8463">
        <v>8.7229472057191497</v>
      </c>
      <c r="AI8463">
        <v>95.6515614668442</v>
      </c>
      <c r="AJ8463">
        <v>48.254130502539901</v>
      </c>
      <c r="AK8463">
        <v>11.748414172626299</v>
      </c>
      <c r="AL8463">
        <v>82.537971648180303</v>
      </c>
      <c r="AM8463">
        <v>68.903247970379297</v>
      </c>
      <c r="AN8463">
        <v>0.99999997635972904</v>
      </c>
    </row>
    <row r="8464" spans="1:40" x14ac:dyDescent="0.25">
      <c r="A8464" t="str">
        <f>"20190303162117504"</f>
        <v>20190303162117504</v>
      </c>
      <c r="B8464" t="str">
        <f>"1551601277500996"</f>
        <v>1551601277500996</v>
      </c>
      <c r="C8464" t="s">
        <v>40</v>
      </c>
      <c r="D8464">
        <v>4.7706499999999998</v>
      </c>
      <c r="E8464">
        <v>0.64759180000000005</v>
      </c>
      <c r="F8464" t="s">
        <v>44</v>
      </c>
      <c r="G8464">
        <v>-311.63839999999999</v>
      </c>
      <c r="H8464">
        <v>-0.05</v>
      </c>
      <c r="I8464">
        <v>7.1984709999999996</v>
      </c>
      <c r="J8464">
        <v>-318.66660000000002</v>
      </c>
      <c r="K8464">
        <v>1.1061810000000001</v>
      </c>
      <c r="L8464">
        <v>16.908909999999999</v>
      </c>
      <c r="M8464">
        <v>0.97747870000000003</v>
      </c>
      <c r="N8464">
        <v>-2.3674520000000001E-2</v>
      </c>
      <c r="O8464">
        <v>-0.20970179999999999</v>
      </c>
      <c r="P8464">
        <v>0.83146019999999898</v>
      </c>
      <c r="Q8464">
        <v>0.1137338</v>
      </c>
      <c r="R8464">
        <v>-0.54381880000000005</v>
      </c>
      <c r="S8464">
        <v>1.935303</v>
      </c>
      <c r="T8464">
        <v>-0.31340990000000002</v>
      </c>
      <c r="U8464">
        <v>-2.6381230000000002</v>
      </c>
      <c r="V8464">
        <v>0.35934090000000002</v>
      </c>
      <c r="W8464">
        <v>0.13018160000000001</v>
      </c>
      <c r="X8464">
        <v>0.92408159999999895</v>
      </c>
      <c r="Y8464">
        <v>0.66112769999999899</v>
      </c>
      <c r="Z8464">
        <v>-2.9016469999999999E-2</v>
      </c>
      <c r="AA8464">
        <v>0.74971219999999905</v>
      </c>
      <c r="AB8464">
        <v>24</v>
      </c>
      <c r="AC8464">
        <v>7.0282000000000204</v>
      </c>
      <c r="AD8464">
        <v>-1.1561809999999999</v>
      </c>
      <c r="AE8464">
        <v>-9.7104389999999992</v>
      </c>
      <c r="AF8464">
        <v>7.9462440720682004</v>
      </c>
      <c r="AG8464">
        <v>-1.1561809999999999</v>
      </c>
      <c r="AH8464">
        <v>8.8265943385661192</v>
      </c>
      <c r="AI8464">
        <v>95.560235244308402</v>
      </c>
      <c r="AJ8464">
        <v>48.004507132992103</v>
      </c>
      <c r="AK8464">
        <v>11.932657582250799</v>
      </c>
      <c r="AL8464">
        <v>82.5199133470486</v>
      </c>
      <c r="AM8464">
        <v>68.750796067501497</v>
      </c>
      <c r="AN8464">
        <v>0.999999967424964</v>
      </c>
    </row>
    <row r="8465" spans="1:40" x14ac:dyDescent="0.25">
      <c r="A8465" t="str">
        <f>"20190303162117516"</f>
        <v>20190303162117516</v>
      </c>
      <c r="B8465" t="str">
        <f>"1551601277510756"</f>
        <v>1551601277510756</v>
      </c>
      <c r="C8465" t="s">
        <v>40</v>
      </c>
      <c r="D8465">
        <v>4.7601490000000002</v>
      </c>
      <c r="E8465">
        <v>0.64790000000000003</v>
      </c>
      <c r="F8465" t="s">
        <v>44</v>
      </c>
      <c r="G8465">
        <v>-311.5806</v>
      </c>
      <c r="H8465">
        <v>-0.05</v>
      </c>
      <c r="I8465">
        <v>7.0980679999999996</v>
      </c>
      <c r="J8465">
        <v>-318.54750000000001</v>
      </c>
      <c r="K8465">
        <v>1.105237</v>
      </c>
      <c r="L8465">
        <v>16.87885</v>
      </c>
      <c r="M8465">
        <v>0.9765083</v>
      </c>
      <c r="N8465">
        <v>-2.4413089999999998E-2</v>
      </c>
      <c r="O8465">
        <v>-0.2140929</v>
      </c>
      <c r="P8465">
        <v>0.82779349999999996</v>
      </c>
      <c r="Q8465">
        <v>0.1134521</v>
      </c>
      <c r="R8465">
        <v>-0.54944249999999994</v>
      </c>
      <c r="S8465">
        <v>1.9158630000000001</v>
      </c>
      <c r="T8465">
        <v>-0.31259999999999999</v>
      </c>
      <c r="U8465">
        <v>-2.6525880000000002</v>
      </c>
      <c r="V8465">
        <v>0.36148550000000002</v>
      </c>
      <c r="W8465">
        <v>0.13043640000000001</v>
      </c>
      <c r="X8465">
        <v>0.9232089</v>
      </c>
      <c r="Y8465">
        <v>0.66327609999999904</v>
      </c>
      <c r="Z8465">
        <v>-2.9242319999999999E-2</v>
      </c>
      <c r="AA8465">
        <v>0.747803199999999</v>
      </c>
      <c r="AB8465">
        <v>24</v>
      </c>
      <c r="AC8465">
        <v>6.9669000000000096</v>
      </c>
      <c r="AD8465">
        <v>-1.1552370000000001</v>
      </c>
      <c r="AE8465">
        <v>-9.7807820000000003</v>
      </c>
      <c r="AF8465">
        <v>7.9879252233476397</v>
      </c>
      <c r="AG8465">
        <v>-1.1552370000000001</v>
      </c>
      <c r="AH8465">
        <v>8.8182707938807194</v>
      </c>
      <c r="AI8465">
        <v>95.545627739871094</v>
      </c>
      <c r="AJ8465">
        <v>47.828518830532502</v>
      </c>
      <c r="AK8465">
        <v>11.9542219192288</v>
      </c>
      <c r="AL8465">
        <v>82.505189432870495</v>
      </c>
      <c r="AM8465">
        <v>68.6170084633155</v>
      </c>
      <c r="AN8465">
        <v>1.0000000470971999</v>
      </c>
    </row>
    <row r="8466" spans="1:40" x14ac:dyDescent="0.25">
      <c r="A8466" t="str">
        <f>"20190303162117528"</f>
        <v>20190303162117528</v>
      </c>
      <c r="B8466" t="str">
        <f>"1551601277521491"</f>
        <v>1551601277521491</v>
      </c>
      <c r="C8466" t="s">
        <v>40</v>
      </c>
      <c r="D8466">
        <v>4.7630179999999998</v>
      </c>
      <c r="E8466">
        <v>0.64800230000000003</v>
      </c>
      <c r="F8466" t="s">
        <v>44</v>
      </c>
      <c r="G8466">
        <v>-311.50510000000003</v>
      </c>
      <c r="H8466">
        <v>-0.05</v>
      </c>
      <c r="I8466">
        <v>6.9705659999999998</v>
      </c>
      <c r="J8466">
        <v>-318.41570000000002</v>
      </c>
      <c r="K8466">
        <v>1.1041399999999999</v>
      </c>
      <c r="L8466">
        <v>16.84525</v>
      </c>
      <c r="M8466">
        <v>0.97542399999999996</v>
      </c>
      <c r="N8466">
        <v>-2.5182690000000001E-2</v>
      </c>
      <c r="O8466">
        <v>-0.21889259999999999</v>
      </c>
      <c r="P8466">
        <v>0.82386299999999901</v>
      </c>
      <c r="Q8466">
        <v>0.112613</v>
      </c>
      <c r="R8466">
        <v>-0.55548889999999995</v>
      </c>
      <c r="S8466">
        <v>1.8960570000000001</v>
      </c>
      <c r="T8466">
        <v>-0.31103150000000002</v>
      </c>
      <c r="U8466">
        <v>-2.6676639999999998</v>
      </c>
      <c r="V8466">
        <v>0.36372989999999999</v>
      </c>
      <c r="W8466">
        <v>0.13011539999999999</v>
      </c>
      <c r="X8466">
        <v>0.92237219999999998</v>
      </c>
      <c r="Y8466">
        <v>0.66526399999999997</v>
      </c>
      <c r="Z8466">
        <v>-2.9411050000000001E-2</v>
      </c>
      <c r="AA8466">
        <v>0.74602880000000005</v>
      </c>
      <c r="AB8466">
        <v>24</v>
      </c>
      <c r="AC8466">
        <v>6.9105999999999801</v>
      </c>
      <c r="AD8466">
        <v>-1.1541399999999999</v>
      </c>
      <c r="AE8466">
        <v>-9.8746839999999896</v>
      </c>
      <c r="AF8466">
        <v>8.0481013888510908</v>
      </c>
      <c r="AG8466">
        <v>-1.1541399999999999</v>
      </c>
      <c r="AH8466">
        <v>8.8241692166206196</v>
      </c>
      <c r="AI8466">
        <v>95.519721907108604</v>
      </c>
      <c r="AJ8466">
        <v>47.633557365927203</v>
      </c>
      <c r="AK8466">
        <v>11.998747329133201</v>
      </c>
      <c r="AL8466">
        <v>82.523738857988803</v>
      </c>
      <c r="AM8466">
        <v>68.478610349297497</v>
      </c>
      <c r="AN8466">
        <v>0.99999996640200395</v>
      </c>
    </row>
    <row r="8467" spans="1:40" x14ac:dyDescent="0.25">
      <c r="A8467" t="str">
        <f>"20190303162117541"</f>
        <v>20190303162117541</v>
      </c>
      <c r="B8467" t="str">
        <f>"1551601277531251"</f>
        <v>1551601277531251</v>
      </c>
      <c r="C8467" t="s">
        <v>40</v>
      </c>
      <c r="D8467">
        <v>4.8116219999999998</v>
      </c>
      <c r="E8467">
        <v>0.64807550000000003</v>
      </c>
      <c r="F8467" t="s">
        <v>44</v>
      </c>
      <c r="G8467">
        <v>-311.44389999999999</v>
      </c>
      <c r="H8467">
        <v>-0.05</v>
      </c>
      <c r="I8467">
        <v>6.8719330000000003</v>
      </c>
      <c r="J8467">
        <v>-318.28269999999998</v>
      </c>
      <c r="K8467">
        <v>1.1029089999999999</v>
      </c>
      <c r="L8467">
        <v>16.810389999999899</v>
      </c>
      <c r="M8467">
        <v>0.97433639999999999</v>
      </c>
      <c r="N8467">
        <v>-2.58433E-2</v>
      </c>
      <c r="O8467">
        <v>-0.22360830000000001</v>
      </c>
      <c r="P8467">
        <v>0.82015659999999901</v>
      </c>
      <c r="Q8467">
        <v>0.1116254</v>
      </c>
      <c r="R8467">
        <v>-0.56114489999999995</v>
      </c>
      <c r="S8467">
        <v>1.875183</v>
      </c>
      <c r="T8467">
        <v>-0.31042639999999999</v>
      </c>
      <c r="U8467">
        <v>-2.6824949999999999</v>
      </c>
      <c r="V8467">
        <v>0.36566009999999999</v>
      </c>
      <c r="W8467">
        <v>0.12946669999999999</v>
      </c>
      <c r="X8467">
        <v>0.92170010000000002</v>
      </c>
      <c r="Y8467">
        <v>0.667458199999999</v>
      </c>
      <c r="Z8467">
        <v>-2.9598380000000001E-2</v>
      </c>
      <c r="AA8467">
        <v>0.74405880000000002</v>
      </c>
      <c r="AB8467">
        <v>24</v>
      </c>
      <c r="AC8467">
        <v>6.8387999999999902</v>
      </c>
      <c r="AD8467">
        <v>-1.152909</v>
      </c>
      <c r="AE8467">
        <v>-9.9384569999999908</v>
      </c>
      <c r="AF8467">
        <v>8.0830916371604893</v>
      </c>
      <c r="AG8467">
        <v>-1.152909</v>
      </c>
      <c r="AH8467">
        <v>8.8081396166356996</v>
      </c>
      <c r="AI8467">
        <v>95.508465819317294</v>
      </c>
      <c r="AJ8467">
        <v>47.4578849633304</v>
      </c>
      <c r="AK8467">
        <v>12.010366067825</v>
      </c>
      <c r="AL8467">
        <v>82.561223989458199</v>
      </c>
      <c r="AM8467">
        <v>68.360608458550004</v>
      </c>
      <c r="AN8467">
        <v>1.00000000474045</v>
      </c>
    </row>
    <row r="8468" spans="1:40" x14ac:dyDescent="0.25">
      <c r="A8468" t="str">
        <f>"20190303162117554"</f>
        <v>20190303162117554</v>
      </c>
      <c r="B8468" t="str">
        <f>"1551601277550771"</f>
        <v>1551601277550771</v>
      </c>
      <c r="C8468" t="s">
        <v>40</v>
      </c>
      <c r="D8468">
        <v>5.084282</v>
      </c>
      <c r="E8468">
        <v>0.64811619999999903</v>
      </c>
      <c r="F8468" t="s">
        <v>44</v>
      </c>
      <c r="G8468">
        <v>-311.37180000000001</v>
      </c>
      <c r="H8468">
        <v>-0.05</v>
      </c>
      <c r="I8468">
        <v>6.7683259999999903</v>
      </c>
      <c r="J8468">
        <v>-318.1481</v>
      </c>
      <c r="K8468">
        <v>1.1015779999999999</v>
      </c>
      <c r="L8468">
        <v>16.7742</v>
      </c>
      <c r="M8468">
        <v>0.97324600000000006</v>
      </c>
      <c r="N8468">
        <v>-2.6420430000000002E-2</v>
      </c>
      <c r="O8468">
        <v>-0.22824120000000001</v>
      </c>
      <c r="P8468">
        <v>0.81659309999999996</v>
      </c>
      <c r="Q8468">
        <v>0.1104339</v>
      </c>
      <c r="R8468">
        <v>-0.56655129999999998</v>
      </c>
      <c r="S8468">
        <v>1.8553770000000001</v>
      </c>
      <c r="T8468">
        <v>-0.30952020000000002</v>
      </c>
      <c r="U8468">
        <v>-2.6959840000000002</v>
      </c>
      <c r="V8468">
        <v>0.3674133</v>
      </c>
      <c r="W8468">
        <v>0.1284959</v>
      </c>
      <c r="X8468">
        <v>0.92113860000000003</v>
      </c>
      <c r="Y8468">
        <v>0.6693441</v>
      </c>
      <c r="Z8468">
        <v>-2.9709840000000001E-2</v>
      </c>
      <c r="AA8468">
        <v>0.74235830000000003</v>
      </c>
      <c r="AB8468">
        <v>24</v>
      </c>
      <c r="AC8468">
        <v>6.7762999999999902</v>
      </c>
      <c r="AD8468">
        <v>-1.151578</v>
      </c>
      <c r="AE8468">
        <v>-10.005874</v>
      </c>
      <c r="AF8468">
        <v>8.1206643736306301</v>
      </c>
      <c r="AG8468">
        <v>-1.151578</v>
      </c>
      <c r="AH8468">
        <v>8.80193145461344</v>
      </c>
      <c r="AI8468">
        <v>95.492614539959703</v>
      </c>
      <c r="AJ8468">
        <v>47.305359183951197</v>
      </c>
      <c r="AK8468">
        <v>12.0310148820019</v>
      </c>
      <c r="AL8468">
        <v>82.617315412676106</v>
      </c>
      <c r="AM8468">
        <v>68.254493505479005</v>
      </c>
      <c r="AN8468">
        <v>1.0000000248718199</v>
      </c>
    </row>
    <row r="8469" spans="1:40" x14ac:dyDescent="0.25">
      <c r="A8469" t="str">
        <f>"20190303162117566"</f>
        <v>20190303162117566</v>
      </c>
      <c r="B8469" t="str">
        <f>"1551601277561508"</f>
        <v>1551601277561508</v>
      </c>
      <c r="C8469" t="s">
        <v>40</v>
      </c>
      <c r="D8469">
        <v>5.1177549999999998</v>
      </c>
      <c r="E8469">
        <v>0.61162850000000002</v>
      </c>
      <c r="F8469" t="s">
        <v>44</v>
      </c>
      <c r="G8469">
        <v>-311.30430000000001</v>
      </c>
      <c r="H8469">
        <v>-0.05</v>
      </c>
      <c r="I8469">
        <v>6.6777340000000001</v>
      </c>
      <c r="J8469">
        <v>-318.01389999999998</v>
      </c>
      <c r="K8469">
        <v>1.100203</v>
      </c>
      <c r="L8469">
        <v>16.73752</v>
      </c>
      <c r="M8469">
        <v>0.97215220000000002</v>
      </c>
      <c r="N8469">
        <v>-2.6936829999999998E-2</v>
      </c>
      <c r="O8469">
        <v>-0.2327968</v>
      </c>
      <c r="P8469">
        <v>0.81323840000000003</v>
      </c>
      <c r="Q8469">
        <v>0.1091</v>
      </c>
      <c r="R8469">
        <v>-0.57161249999999997</v>
      </c>
      <c r="S8469">
        <v>1.836182</v>
      </c>
      <c r="T8469">
        <v>-0.30896560000000001</v>
      </c>
      <c r="U8469">
        <v>-2.7088619999999999</v>
      </c>
      <c r="V8469">
        <v>0.36886530000000001</v>
      </c>
      <c r="W8469">
        <v>0.12731509999999999</v>
      </c>
      <c r="X8469">
        <v>0.92072209999999999</v>
      </c>
      <c r="Y8469">
        <v>0.67108730000000005</v>
      </c>
      <c r="Z8469">
        <v>-2.9800009999999998E-2</v>
      </c>
      <c r="AA8469">
        <v>0.74077919999999997</v>
      </c>
      <c r="AB8469">
        <v>24</v>
      </c>
      <c r="AC8469">
        <v>6.70959999999996</v>
      </c>
      <c r="AD8469">
        <v>-1.1502030000000001</v>
      </c>
      <c r="AE8469">
        <v>-10.059786000000001</v>
      </c>
      <c r="AF8469">
        <v>8.1469405417341108</v>
      </c>
      <c r="AG8469">
        <v>-1.1502030000000001</v>
      </c>
      <c r="AH8469">
        <v>8.7883408174837498</v>
      </c>
      <c r="AI8469">
        <v>95.482518689816899</v>
      </c>
      <c r="AJ8469">
        <v>47.168961460036101</v>
      </c>
      <c r="AK8469">
        <v>12.038710124262099</v>
      </c>
      <c r="AL8469">
        <v>82.685530124778694</v>
      </c>
      <c r="AM8469">
        <v>68.167672508943099</v>
      </c>
      <c r="AN8469">
        <v>0.999999964830254</v>
      </c>
    </row>
    <row r="8470" spans="1:40" x14ac:dyDescent="0.25">
      <c r="A8470" t="str">
        <f>"20190303162117578"</f>
        <v>20190303162117578</v>
      </c>
      <c r="B8470" t="str">
        <f>"1551601277571268"</f>
        <v>1551601277571268</v>
      </c>
      <c r="C8470" t="s">
        <v>40</v>
      </c>
      <c r="D8470">
        <v>5.1658119999999998</v>
      </c>
      <c r="E8470">
        <v>0.61165029999999998</v>
      </c>
      <c r="F8470" t="s">
        <v>44</v>
      </c>
      <c r="G8470">
        <v>-312.69639999999998</v>
      </c>
      <c r="H8470">
        <v>-0.05</v>
      </c>
      <c r="I8470">
        <v>10.1051</v>
      </c>
      <c r="J8470">
        <v>-317.88600000000002</v>
      </c>
      <c r="K8470">
        <v>1.098841</v>
      </c>
      <c r="L8470">
        <v>16.701419999999999</v>
      </c>
      <c r="M8470">
        <v>0.97108930000000004</v>
      </c>
      <c r="N8470">
        <v>-2.7306790000000001E-2</v>
      </c>
      <c r="O8470">
        <v>-0.23714979999999999</v>
      </c>
      <c r="P8470">
        <v>0.81004229999999999</v>
      </c>
      <c r="Q8470">
        <v>0.1078098</v>
      </c>
      <c r="R8470">
        <v>-0.57637550000000004</v>
      </c>
      <c r="S8470">
        <v>1.9965520000000001</v>
      </c>
      <c r="T8470">
        <v>-0.43186989999999997</v>
      </c>
      <c r="U8470">
        <v>-2.4902950000000001</v>
      </c>
      <c r="V8470">
        <v>0.37018020000000001</v>
      </c>
      <c r="W8470">
        <v>0.1260626</v>
      </c>
      <c r="X8470">
        <v>0.92036669999999998</v>
      </c>
      <c r="Y8470">
        <v>0.6044853</v>
      </c>
      <c r="Z8470">
        <v>-2.7548860000000001E-2</v>
      </c>
      <c r="AA8470">
        <v>0.79613979999999995</v>
      </c>
      <c r="AB8470">
        <v>24</v>
      </c>
      <c r="AC8470">
        <v>5.18959999999998</v>
      </c>
      <c r="AD8470">
        <v>-1.148841</v>
      </c>
      <c r="AE8470">
        <v>-6.5963200000000004</v>
      </c>
      <c r="AF8470">
        <v>5.0816234072034101</v>
      </c>
      <c r="AG8470">
        <v>-1.148841</v>
      </c>
      <c r="AH8470">
        <v>6.4848433236737</v>
      </c>
      <c r="AI8470">
        <v>97.938394398347299</v>
      </c>
      <c r="AJ8470">
        <v>51.917202221857401</v>
      </c>
      <c r="AK8470">
        <v>8.3184088038827504</v>
      </c>
      <c r="AL8470">
        <v>82.757876359197596</v>
      </c>
      <c r="AM8470">
        <v>68.089541707996503</v>
      </c>
      <c r="AN8470">
        <v>1.0000000110298399</v>
      </c>
    </row>
    <row r="8471" spans="1:40" x14ac:dyDescent="0.25">
      <c r="A8471" t="str">
        <f>"20190303162117589"</f>
        <v>20190303162117589</v>
      </c>
      <c r="B8471" t="str">
        <f>"1551601277581027"</f>
        <v>1551601277581027</v>
      </c>
      <c r="C8471" t="s">
        <v>40</v>
      </c>
      <c r="D8471">
        <v>5.138808</v>
      </c>
      <c r="E8471">
        <v>0.61132759999999997</v>
      </c>
      <c r="F8471" t="s">
        <v>44</v>
      </c>
      <c r="G8471">
        <v>-312.59219999999999</v>
      </c>
      <c r="H8471">
        <v>-0.05</v>
      </c>
      <c r="I8471">
        <v>10.008039999999999</v>
      </c>
      <c r="J8471">
        <v>-317.7672</v>
      </c>
      <c r="K8471">
        <v>1.0975729999999999</v>
      </c>
      <c r="L8471">
        <v>16.66733</v>
      </c>
      <c r="M8471">
        <v>0.97006150000000002</v>
      </c>
      <c r="N8471">
        <v>-2.7587690000000002E-2</v>
      </c>
      <c r="O8471">
        <v>-0.24128740000000001</v>
      </c>
      <c r="P8471">
        <v>0.80729139999999999</v>
      </c>
      <c r="Q8471">
        <v>0.1066428</v>
      </c>
      <c r="R8471">
        <v>-0.58043800000000001</v>
      </c>
      <c r="S8471">
        <v>1.9796750000000001</v>
      </c>
      <c r="T8471">
        <v>-0.42962050000000002</v>
      </c>
      <c r="U8471">
        <v>-2.5030519999999998</v>
      </c>
      <c r="V8471">
        <v>0.37090580000000001</v>
      </c>
      <c r="W8471">
        <v>0.124904</v>
      </c>
      <c r="X8471">
        <v>0.92023250000000001</v>
      </c>
      <c r="Y8471">
        <v>0.60638769999999997</v>
      </c>
      <c r="Z8471">
        <v>-2.7359149999999999E-2</v>
      </c>
      <c r="AA8471">
        <v>0.79469829999999997</v>
      </c>
      <c r="AB8471">
        <v>24</v>
      </c>
      <c r="AC8471">
        <v>5.1750000000000096</v>
      </c>
      <c r="AD8471">
        <v>-1.147573</v>
      </c>
      <c r="AE8471">
        <v>-6.6592899999999897</v>
      </c>
      <c r="AF8471">
        <v>5.1184733930047503</v>
      </c>
      <c r="AG8471">
        <v>-1.147573</v>
      </c>
      <c r="AH8471">
        <v>6.5088812470760002</v>
      </c>
      <c r="AI8471">
        <v>97.890350059942904</v>
      </c>
      <c r="AJ8471">
        <v>51.8190922988165</v>
      </c>
      <c r="AK8471">
        <v>8.3594993123849299</v>
      </c>
      <c r="AL8471">
        <v>82.8247879741795</v>
      </c>
      <c r="AM8471">
        <v>68.047774513620496</v>
      </c>
      <c r="AN8471">
        <v>0.99999998787294397</v>
      </c>
    </row>
    <row r="8472" spans="1:40" x14ac:dyDescent="0.25">
      <c r="A8472" t="str">
        <f>"20190303162117602"</f>
        <v>20190303162117602</v>
      </c>
      <c r="B8472" t="str">
        <f>"1551601277590789"</f>
        <v>1551601277590789</v>
      </c>
      <c r="C8472" t="s">
        <v>40</v>
      </c>
      <c r="D8472">
        <v>5.0937210000000004</v>
      </c>
      <c r="E8472">
        <v>0.61048150000000001</v>
      </c>
      <c r="F8472" t="s">
        <v>44</v>
      </c>
      <c r="G8472">
        <v>-312.52640000000002</v>
      </c>
      <c r="H8472">
        <v>-0.05</v>
      </c>
      <c r="I8472">
        <v>9.972137</v>
      </c>
      <c r="J8472">
        <v>-317.63189999999997</v>
      </c>
      <c r="K8472">
        <v>1.096114</v>
      </c>
      <c r="L8472">
        <v>16.627749999999999</v>
      </c>
      <c r="M8472">
        <v>0.96883459999999999</v>
      </c>
      <c r="N8472">
        <v>-2.781074E-2</v>
      </c>
      <c r="O8472">
        <v>-0.24614259999999999</v>
      </c>
      <c r="P8472">
        <v>0.80369369999999996</v>
      </c>
      <c r="Q8472">
        <v>0.1063823</v>
      </c>
      <c r="R8472">
        <v>-0.5854568</v>
      </c>
      <c r="S8472">
        <v>1.9666440000000001</v>
      </c>
      <c r="T8472">
        <v>-0.43063040000000002</v>
      </c>
      <c r="U8472">
        <v>-2.5123899999999999</v>
      </c>
      <c r="V8472">
        <v>0.37210369999999998</v>
      </c>
      <c r="W8472">
        <v>0.1245757</v>
      </c>
      <c r="X8472">
        <v>0.91979330000000004</v>
      </c>
      <c r="Y8472">
        <v>0.60639409999999905</v>
      </c>
      <c r="Z8472">
        <v>-2.6930820000000001E-2</v>
      </c>
      <c r="AA8472">
        <v>0.79470810000000003</v>
      </c>
      <c r="AB8472">
        <v>24</v>
      </c>
      <c r="AC8472">
        <v>5.1054999999999398</v>
      </c>
      <c r="AD8472">
        <v>-1.1461139999999901</v>
      </c>
      <c r="AE8472">
        <v>-6.65561299999999</v>
      </c>
      <c r="AF8472">
        <v>5.0983373809183403</v>
      </c>
      <c r="AG8472">
        <v>-1.1461139999999901</v>
      </c>
      <c r="AH8472">
        <v>6.4664437015725298</v>
      </c>
      <c r="AI8472">
        <v>97.923718856732705</v>
      </c>
      <c r="AJ8472">
        <v>51.746698476808596</v>
      </c>
      <c r="AK8472">
        <v>8.3139350187665304</v>
      </c>
      <c r="AL8472">
        <v>82.843746280080396</v>
      </c>
      <c r="AM8472">
        <v>67.974135271409693</v>
      </c>
      <c r="AN8472">
        <v>0.99999999165453501</v>
      </c>
    </row>
    <row r="8473" spans="1:40" x14ac:dyDescent="0.25">
      <c r="A8473" t="str">
        <f>"20190303162117617"</f>
        <v>20190303162117617</v>
      </c>
      <c r="B8473" t="str">
        <f>"1551601277611283"</f>
        <v>1551601277611283</v>
      </c>
      <c r="C8473" t="s">
        <v>40</v>
      </c>
      <c r="D8473">
        <v>5.1533559999999996</v>
      </c>
      <c r="E8473">
        <v>0.60957209999999995</v>
      </c>
      <c r="F8473" t="s">
        <v>44</v>
      </c>
      <c r="G8473">
        <v>-312.43869999999998</v>
      </c>
      <c r="H8473">
        <v>-0.05</v>
      </c>
      <c r="I8473">
        <v>9.9257659999999994</v>
      </c>
      <c r="J8473">
        <v>-317.48599999999999</v>
      </c>
      <c r="K8473">
        <v>1.0945260000000001</v>
      </c>
      <c r="L8473">
        <v>16.5838</v>
      </c>
      <c r="M8473">
        <v>0.96742620000000001</v>
      </c>
      <c r="N8473">
        <v>-2.7941770000000001E-2</v>
      </c>
      <c r="O8473">
        <v>-0.25160690000000002</v>
      </c>
      <c r="P8473">
        <v>0.79917819999999995</v>
      </c>
      <c r="Q8473">
        <v>0.1076763</v>
      </c>
      <c r="R8473">
        <v>-0.59137169999999994</v>
      </c>
      <c r="S8473">
        <v>1.95343</v>
      </c>
      <c r="T8473">
        <v>-0.43110779999999899</v>
      </c>
      <c r="U8473">
        <v>-2.5209350000000001</v>
      </c>
      <c r="V8473">
        <v>0.37385200000000002</v>
      </c>
      <c r="W8473">
        <v>0.1257064</v>
      </c>
      <c r="X8473">
        <v>0.91893009999999997</v>
      </c>
      <c r="Y8473">
        <v>0.60583969999999998</v>
      </c>
      <c r="Z8473">
        <v>-2.62995E-2</v>
      </c>
      <c r="AA8473">
        <v>0.79515190000000002</v>
      </c>
      <c r="AB8473">
        <v>24</v>
      </c>
      <c r="AC8473">
        <v>5.0472999999999999</v>
      </c>
      <c r="AD8473">
        <v>-1.1445259999999999</v>
      </c>
      <c r="AE8473">
        <v>-6.65803399999999</v>
      </c>
      <c r="AF8473">
        <v>5.0779485792775603</v>
      </c>
      <c r="AG8473">
        <v>-1.1445259999999999</v>
      </c>
      <c r="AH8473">
        <v>6.4398102482839796</v>
      </c>
      <c r="AI8473">
        <v>97.944826803850006</v>
      </c>
      <c r="AJ8473">
        <v>51.743352880590699</v>
      </c>
      <c r="AK8473">
        <v>8.2804986306602597</v>
      </c>
      <c r="AL8473">
        <v>82.778448493664797</v>
      </c>
      <c r="AM8473">
        <v>67.861837252240093</v>
      </c>
      <c r="AN8473">
        <v>0.99999997279548403</v>
      </c>
    </row>
    <row r="8474" spans="1:40" x14ac:dyDescent="0.25">
      <c r="A8474" t="str">
        <f>"20190303162117628"</f>
        <v>20190303162117628</v>
      </c>
      <c r="B8474" t="str">
        <f>"1551601277621043"</f>
        <v>1551601277621043</v>
      </c>
      <c r="C8474" t="s">
        <v>40</v>
      </c>
      <c r="D8474">
        <v>5.1448729999999996</v>
      </c>
      <c r="E8474">
        <v>0.60862680000000002</v>
      </c>
      <c r="F8474" t="s">
        <v>44</v>
      </c>
      <c r="G8474">
        <v>-312.29070000000002</v>
      </c>
      <c r="H8474">
        <v>-0.05</v>
      </c>
      <c r="I8474">
        <v>9.7918850000000006</v>
      </c>
      <c r="J8474">
        <v>-317.36649999999997</v>
      </c>
      <c r="K8474">
        <v>1.093216</v>
      </c>
      <c r="L8474">
        <v>16.547270000000001</v>
      </c>
      <c r="M8474">
        <v>0.96622699999999995</v>
      </c>
      <c r="N8474">
        <v>-2.8004970000000001E-2</v>
      </c>
      <c r="O8474">
        <v>-0.25616660000000002</v>
      </c>
      <c r="P8474">
        <v>0.79529709999999998</v>
      </c>
      <c r="Q8474">
        <v>0.1096859</v>
      </c>
      <c r="R8474">
        <v>-0.59621420000000003</v>
      </c>
      <c r="S8474">
        <v>1.9372860000000001</v>
      </c>
      <c r="T8474">
        <v>-0.42678050000000001</v>
      </c>
      <c r="U8474">
        <v>-2.5326230000000001</v>
      </c>
      <c r="V8474">
        <v>0.37527559999999999</v>
      </c>
      <c r="W8474">
        <v>0.12754679999999999</v>
      </c>
      <c r="X8474">
        <v>0.91809589999999996</v>
      </c>
      <c r="Y8474">
        <v>0.60714419999999902</v>
      </c>
      <c r="Z8474">
        <v>-2.583272E-2</v>
      </c>
      <c r="AA8474">
        <v>0.79417159999999998</v>
      </c>
      <c r="AB8474">
        <v>24</v>
      </c>
      <c r="AC8474">
        <v>5.0757999999999504</v>
      </c>
      <c r="AD8474">
        <v>-1.143216</v>
      </c>
      <c r="AE8474">
        <v>-6.7553850000000004</v>
      </c>
      <c r="AF8474">
        <v>5.1350394952018199</v>
      </c>
      <c r="AG8474">
        <v>-1.143216</v>
      </c>
      <c r="AH8474">
        <v>6.5181679458677602</v>
      </c>
      <c r="AI8474">
        <v>97.844355806078994</v>
      </c>
      <c r="AJ8474">
        <v>51.768814893058298</v>
      </c>
      <c r="AK8474">
        <v>8.3762812041189498</v>
      </c>
      <c r="AL8474">
        <v>82.672145994145694</v>
      </c>
      <c r="AM8474">
        <v>67.767502145832296</v>
      </c>
      <c r="AN8474">
        <v>1.0000000218712</v>
      </c>
    </row>
    <row r="8475" spans="1:40" x14ac:dyDescent="0.25">
      <c r="A8475" t="str">
        <f>"20190303162117638"</f>
        <v>20190303162117638</v>
      </c>
      <c r="B8475" t="str">
        <f>"1551601277630804"</f>
        <v>1551601277630804</v>
      </c>
      <c r="C8475" t="s">
        <v>40</v>
      </c>
      <c r="D8475">
        <v>5.1406169999999998</v>
      </c>
      <c r="E8475">
        <v>0.60820640000000004</v>
      </c>
      <c r="F8475" t="s">
        <v>44</v>
      </c>
      <c r="G8475">
        <v>-312.15879999999999</v>
      </c>
      <c r="H8475">
        <v>-0.05</v>
      </c>
      <c r="I8475">
        <v>9.6789249999999996</v>
      </c>
      <c r="J8475">
        <v>-317.25279999999998</v>
      </c>
      <c r="K8475">
        <v>1.0919509999999999</v>
      </c>
      <c r="L8475">
        <v>16.51163</v>
      </c>
      <c r="M8475">
        <v>0.96503059999999996</v>
      </c>
      <c r="N8475">
        <v>-2.800155E-2</v>
      </c>
      <c r="O8475">
        <v>-0.26063750000000002</v>
      </c>
      <c r="P8475">
        <v>0.79148339999999995</v>
      </c>
      <c r="Q8475">
        <v>0.1122382</v>
      </c>
      <c r="R8475">
        <v>-0.60079680000000002</v>
      </c>
      <c r="S8475">
        <v>1.926086</v>
      </c>
      <c r="T8475">
        <v>-0.42281679999999999</v>
      </c>
      <c r="U8475">
        <v>-2.5402529999999999</v>
      </c>
      <c r="V8475">
        <v>0.37653009999999998</v>
      </c>
      <c r="W8475">
        <v>0.12989319999999999</v>
      </c>
      <c r="X8475">
        <v>0.91725290000000004</v>
      </c>
      <c r="Y8475">
        <v>0.60694340000000002</v>
      </c>
      <c r="Z8475">
        <v>-2.5191149999999999E-2</v>
      </c>
      <c r="AA8475">
        <v>0.79434569999999904</v>
      </c>
      <c r="AB8475">
        <v>24</v>
      </c>
      <c r="AC8475">
        <v>5.0939999999999896</v>
      </c>
      <c r="AD8475">
        <v>-1.1419509999999999</v>
      </c>
      <c r="AE8475">
        <v>-6.8327049999999998</v>
      </c>
      <c r="AF8475">
        <v>5.1752336687906197</v>
      </c>
      <c r="AG8475">
        <v>-1.1419509999999999</v>
      </c>
      <c r="AH8475">
        <v>6.5811958398831596</v>
      </c>
      <c r="AI8475">
        <v>97.767017381850394</v>
      </c>
      <c r="AJ8475">
        <v>51.819666223080802</v>
      </c>
      <c r="AK8475">
        <v>8.4498067608603105</v>
      </c>
      <c r="AL8475">
        <v>82.536579359438903</v>
      </c>
      <c r="AM8475">
        <v>67.681968372512699</v>
      </c>
      <c r="AN8475">
        <v>1.0000000210853199</v>
      </c>
    </row>
    <row r="8476" spans="1:40" x14ac:dyDescent="0.25">
      <c r="A8476" t="str">
        <f>"20190303162117650"</f>
        <v>20190303162117650</v>
      </c>
      <c r="B8476" t="str">
        <f>"1551601277641539"</f>
        <v>1551601277641539</v>
      </c>
      <c r="C8476" t="s">
        <v>40</v>
      </c>
      <c r="D8476">
        <v>5.1977609999999999</v>
      </c>
      <c r="E8476">
        <v>0.60742959999999901</v>
      </c>
      <c r="F8476" t="s">
        <v>44</v>
      </c>
      <c r="G8476">
        <v>-311.97230000000002</v>
      </c>
      <c r="H8476">
        <v>-0.05</v>
      </c>
      <c r="I8476">
        <v>9.4733280000000004</v>
      </c>
      <c r="J8476">
        <v>-317.14400000000001</v>
      </c>
      <c r="K8476">
        <v>1.0907439999999999</v>
      </c>
      <c r="L8476">
        <v>16.47702</v>
      </c>
      <c r="M8476">
        <v>0.96384910000000001</v>
      </c>
      <c r="N8476">
        <v>-2.7956040000000001E-2</v>
      </c>
      <c r="O8476">
        <v>-0.26497850000000001</v>
      </c>
      <c r="P8476">
        <v>0.78765669999999899</v>
      </c>
      <c r="Q8476">
        <v>0.1151348</v>
      </c>
      <c r="R8476">
        <v>-0.60526169999999901</v>
      </c>
      <c r="S8476">
        <v>1.9132690000000001</v>
      </c>
      <c r="T8476">
        <v>-0.4137554</v>
      </c>
      <c r="U8476">
        <v>-2.5501399999999999</v>
      </c>
      <c r="V8476">
        <v>0.37781090000000001</v>
      </c>
      <c r="W8476">
        <v>0.13255929999999999</v>
      </c>
      <c r="X8476">
        <v>0.9163443</v>
      </c>
      <c r="Y8476">
        <v>0.60758780000000001</v>
      </c>
      <c r="Z8476">
        <v>-2.45416E-2</v>
      </c>
      <c r="AA8476">
        <v>0.7938733</v>
      </c>
      <c r="AB8476">
        <v>24</v>
      </c>
      <c r="AC8476">
        <v>5.17169999999998</v>
      </c>
      <c r="AD8476">
        <v>-1.140744</v>
      </c>
      <c r="AE8476">
        <v>-7.0036919999999903</v>
      </c>
      <c r="AF8476">
        <v>5.2913740465125096</v>
      </c>
      <c r="AG8476">
        <v>-1.140744</v>
      </c>
      <c r="AH8476">
        <v>6.7277387907808999</v>
      </c>
      <c r="AI8476">
        <v>97.5914071352571</v>
      </c>
      <c r="AJ8476">
        <v>51.814910095952598</v>
      </c>
      <c r="AK8476">
        <v>8.6349525424648608</v>
      </c>
      <c r="AL8476">
        <v>82.382490078228997</v>
      </c>
      <c r="AM8476">
        <v>67.593531415068298</v>
      </c>
      <c r="AN8476">
        <v>0.99999996015889403</v>
      </c>
    </row>
    <row r="8477" spans="1:40" x14ac:dyDescent="0.25">
      <c r="A8477" t="str">
        <f>"20190303162117661"</f>
        <v>20190303162117661</v>
      </c>
      <c r="B8477" t="str">
        <f>"1551601277651300"</f>
        <v>1551601277651300</v>
      </c>
      <c r="C8477" t="s">
        <v>40</v>
      </c>
      <c r="D8477">
        <v>5.1561779999999997</v>
      </c>
      <c r="E8477">
        <v>0.60636730000000005</v>
      </c>
      <c r="F8477" t="s">
        <v>44</v>
      </c>
      <c r="G8477">
        <v>-311.81150000000002</v>
      </c>
      <c r="H8477">
        <v>-0.05</v>
      </c>
      <c r="I8477">
        <v>9.3105930000000008</v>
      </c>
      <c r="J8477">
        <v>-317.02659999999997</v>
      </c>
      <c r="K8477">
        <v>1.0894330000000001</v>
      </c>
      <c r="L8477">
        <v>16.438960000000002</v>
      </c>
      <c r="M8477">
        <v>0.96252680000000002</v>
      </c>
      <c r="N8477">
        <v>-2.7849539999999999E-2</v>
      </c>
      <c r="O8477">
        <v>-0.26975290000000002</v>
      </c>
      <c r="P8477">
        <v>0.78328560000000003</v>
      </c>
      <c r="Q8477">
        <v>0.118156399999999</v>
      </c>
      <c r="R8477">
        <v>-0.6103305</v>
      </c>
      <c r="S8477">
        <v>1.9030149999999999</v>
      </c>
      <c r="T8477">
        <v>-0.40709899999999999</v>
      </c>
      <c r="U8477">
        <v>-2.5574949999999999</v>
      </c>
      <c r="V8477">
        <v>0.3794188</v>
      </c>
      <c r="W8477">
        <v>0.13528589999999999</v>
      </c>
      <c r="X8477">
        <v>0.91528089999999995</v>
      </c>
      <c r="Y8477">
        <v>0.60695730000000003</v>
      </c>
      <c r="Z8477">
        <v>-2.3738660000000002E-2</v>
      </c>
      <c r="AA8477">
        <v>0.79437979999999997</v>
      </c>
      <c r="AB8477">
        <v>24</v>
      </c>
      <c r="AC8477">
        <v>5.2150999999999499</v>
      </c>
      <c r="AD8477">
        <v>-1.1394329999999999</v>
      </c>
      <c r="AE8477">
        <v>-7.1283669999999999</v>
      </c>
      <c r="AF8477">
        <v>5.3672470187075803</v>
      </c>
      <c r="AG8477">
        <v>-1.1394329999999999</v>
      </c>
      <c r="AH8477">
        <v>6.8315694509795204</v>
      </c>
      <c r="AI8477">
        <v>97.471888573703296</v>
      </c>
      <c r="AJ8477">
        <v>51.844923906611001</v>
      </c>
      <c r="AK8477">
        <v>8.7621908952539407</v>
      </c>
      <c r="AL8477">
        <v>82.224847683804398</v>
      </c>
      <c r="AM8477">
        <v>67.484130587017304</v>
      </c>
      <c r="AN8477">
        <v>1.0000000132185201</v>
      </c>
    </row>
    <row r="8478" spans="1:40" x14ac:dyDescent="0.25">
      <c r="A8478" t="str">
        <f>"20190303162117673"</f>
        <v>20190303162117673</v>
      </c>
      <c r="B8478" t="str">
        <f>"1551601277661059"</f>
        <v>1551601277661059</v>
      </c>
      <c r="C8478" t="s">
        <v>40</v>
      </c>
      <c r="D8478">
        <v>5.1699820000000001</v>
      </c>
      <c r="E8478">
        <v>0.60558310000000004</v>
      </c>
      <c r="F8478" t="s">
        <v>44</v>
      </c>
      <c r="G8478">
        <v>-311.6927</v>
      </c>
      <c r="H8478">
        <v>-0.05</v>
      </c>
      <c r="I8478">
        <v>9.2087710000000005</v>
      </c>
      <c r="J8478">
        <v>-316.90339999999998</v>
      </c>
      <c r="K8478">
        <v>1.0880639999999999</v>
      </c>
      <c r="L8478">
        <v>16.398070000000001</v>
      </c>
      <c r="M8478">
        <v>0.96107909999999996</v>
      </c>
      <c r="N8478">
        <v>-2.7660730000000001E-2</v>
      </c>
      <c r="O8478">
        <v>-0.2748854</v>
      </c>
      <c r="P8478">
        <v>0.77868519999999997</v>
      </c>
      <c r="Q8478">
        <v>0.1210649</v>
      </c>
      <c r="R8478">
        <v>-0.61562419999999995</v>
      </c>
      <c r="S8478">
        <v>1.892334</v>
      </c>
      <c r="T8478">
        <v>-0.40424840000000001</v>
      </c>
      <c r="U8478">
        <v>-2.5651250000000001</v>
      </c>
      <c r="V8478">
        <v>0.38096679999999999</v>
      </c>
      <c r="W8478">
        <v>0.13784749999999901</v>
      </c>
      <c r="X8478">
        <v>0.91425509999999999</v>
      </c>
      <c r="Y8478">
        <v>0.60609469999999899</v>
      </c>
      <c r="Z8478">
        <v>-2.2902530000000001E-2</v>
      </c>
      <c r="AA8478">
        <v>0.79506269999999901</v>
      </c>
      <c r="AB8478">
        <v>24</v>
      </c>
      <c r="AC8478">
        <v>5.2106999999999699</v>
      </c>
      <c r="AD8478">
        <v>-1.138064</v>
      </c>
      <c r="AE8478">
        <v>-7.1892990000000001</v>
      </c>
      <c r="AF8478">
        <v>5.3906744886914097</v>
      </c>
      <c r="AG8478">
        <v>-1.138064</v>
      </c>
      <c r="AH8478">
        <v>6.87387286917658</v>
      </c>
      <c r="AI8478">
        <v>97.422681557111304</v>
      </c>
      <c r="AJ8478">
        <v>51.895511158608898</v>
      </c>
      <c r="AK8478">
        <v>8.8093523787351309</v>
      </c>
      <c r="AL8478">
        <v>82.076690662269797</v>
      </c>
      <c r="AM8478">
        <v>67.3786839564508</v>
      </c>
      <c r="AN8478">
        <v>1.0000000119172401</v>
      </c>
    </row>
    <row r="8479" spans="1:40" x14ac:dyDescent="0.25">
      <c r="A8479" t="str">
        <f>"20190303162117683"</f>
        <v>20190303162117683</v>
      </c>
      <c r="B8479" t="str">
        <f>"1551601277670820"</f>
        <v>1551601277670820</v>
      </c>
      <c r="C8479" t="s">
        <v>40</v>
      </c>
      <c r="D8479">
        <v>5.2062200000000001</v>
      </c>
      <c r="E8479">
        <v>0.6049078</v>
      </c>
      <c r="F8479" t="s">
        <v>44</v>
      </c>
      <c r="G8479">
        <v>-311.53989999999999</v>
      </c>
      <c r="H8479">
        <v>-0.05</v>
      </c>
      <c r="I8479">
        <v>9.0509950000000003</v>
      </c>
      <c r="J8479">
        <v>-316.79149999999998</v>
      </c>
      <c r="K8479">
        <v>1.0868310000000001</v>
      </c>
      <c r="L8479">
        <v>16.360469999999999</v>
      </c>
      <c r="M8479">
        <v>0.95972259999999998</v>
      </c>
      <c r="N8479">
        <v>-2.7454039999999999E-2</v>
      </c>
      <c r="O8479">
        <v>-0.27960469999999998</v>
      </c>
      <c r="P8479">
        <v>0.77411989999999997</v>
      </c>
      <c r="Q8479">
        <v>0.1245406</v>
      </c>
      <c r="R8479">
        <v>-0.62066790000000005</v>
      </c>
      <c r="S8479">
        <v>1.879364</v>
      </c>
      <c r="T8479">
        <v>-0.39877030000000002</v>
      </c>
      <c r="U8479">
        <v>-2.5743710000000002</v>
      </c>
      <c r="V8479">
        <v>0.38267869999999998</v>
      </c>
      <c r="W8479">
        <v>0.1409743</v>
      </c>
      <c r="X8479">
        <v>0.91306259999999995</v>
      </c>
      <c r="Y8479">
        <v>0.606294</v>
      </c>
      <c r="Z8479">
        <v>-2.2183439999999999E-2</v>
      </c>
      <c r="AA8479">
        <v>0.7949311</v>
      </c>
      <c r="AB8479">
        <v>24</v>
      </c>
      <c r="AC8479">
        <v>5.2515999999999901</v>
      </c>
      <c r="AD8479">
        <v>-1.1368309999999999</v>
      </c>
      <c r="AE8479">
        <v>-7.3094749999999902</v>
      </c>
      <c r="AF8479">
        <v>5.4616535094181202</v>
      </c>
      <c r="AG8479">
        <v>-1.1368309999999999</v>
      </c>
      <c r="AH8479">
        <v>6.9752322053651197</v>
      </c>
      <c r="AI8479">
        <v>97.312439717896595</v>
      </c>
      <c r="AJ8479">
        <v>51.938818207051099</v>
      </c>
      <c r="AK8479">
        <v>8.9317360069732796</v>
      </c>
      <c r="AL8479">
        <v>81.895771512446004</v>
      </c>
      <c r="AM8479">
        <v>67.260686220027907</v>
      </c>
      <c r="AN8479">
        <v>1.0000000261064601</v>
      </c>
    </row>
    <row r="8480" spans="1:40" x14ac:dyDescent="0.25">
      <c r="A8480" t="str">
        <f>"20190303162117696"</f>
        <v>20190303162117696</v>
      </c>
      <c r="B8480" t="str">
        <f>"1551601277691315"</f>
        <v>1551601277691315</v>
      </c>
      <c r="C8480" t="s">
        <v>40</v>
      </c>
      <c r="D8480">
        <v>5.1802539999999997</v>
      </c>
      <c r="E8480">
        <v>0.60338099999999995</v>
      </c>
      <c r="F8480" t="s">
        <v>44</v>
      </c>
      <c r="G8480">
        <v>-311.3553</v>
      </c>
      <c r="H8480">
        <v>-0.05</v>
      </c>
      <c r="I8480">
        <v>8.8357849999999996</v>
      </c>
      <c r="J8480">
        <v>-316.67619999999999</v>
      </c>
      <c r="K8480">
        <v>1.0856049999999999</v>
      </c>
      <c r="L8480">
        <v>16.320529999999899</v>
      </c>
      <c r="M8480">
        <v>0.95825009999999999</v>
      </c>
      <c r="N8480">
        <v>-2.7156329999999999E-2</v>
      </c>
      <c r="O8480">
        <v>-0.28463899999999998</v>
      </c>
      <c r="P8480">
        <v>0.76908469999999995</v>
      </c>
      <c r="Q8480">
        <v>0.1281148</v>
      </c>
      <c r="R8480">
        <v>-0.62617519999999904</v>
      </c>
      <c r="S8480">
        <v>1.866608</v>
      </c>
      <c r="T8480">
        <v>-0.39035189999999997</v>
      </c>
      <c r="U8480">
        <v>-2.5837400000000001</v>
      </c>
      <c r="V8480">
        <v>0.38466840000000002</v>
      </c>
      <c r="W8480">
        <v>0.14414679999999999</v>
      </c>
      <c r="X8480">
        <v>0.91173020000000005</v>
      </c>
      <c r="Y8480">
        <v>0.60625819999999997</v>
      </c>
      <c r="Z8480">
        <v>-2.1327539999999999E-2</v>
      </c>
      <c r="AA8480">
        <v>0.79498179999999996</v>
      </c>
      <c r="AB8480">
        <v>24</v>
      </c>
      <c r="AC8480">
        <v>5.3208999999999902</v>
      </c>
      <c r="AD8480">
        <v>-1.135605</v>
      </c>
      <c r="AE8480">
        <v>-7.4847449999999904</v>
      </c>
      <c r="AF8480">
        <v>5.5745646733190002</v>
      </c>
      <c r="AG8480">
        <v>-1.135605</v>
      </c>
      <c r="AH8480">
        <v>7.1229483077841902</v>
      </c>
      <c r="AI8480">
        <v>97.156068842674202</v>
      </c>
      <c r="AJ8480">
        <v>51.952541485154804</v>
      </c>
      <c r="AK8480">
        <v>9.1160168170318094</v>
      </c>
      <c r="AL8480">
        <v>81.712124752290094</v>
      </c>
      <c r="AM8480">
        <v>67.124615855457094</v>
      </c>
      <c r="AN8480">
        <v>1.00000001775041</v>
      </c>
    </row>
    <row r="8481" spans="1:40" x14ac:dyDescent="0.25">
      <c r="A8481" t="str">
        <f>"20190303162117707"</f>
        <v>20190303162117707</v>
      </c>
      <c r="B8481" t="str">
        <f>"1551601277701075"</f>
        <v>1551601277701075</v>
      </c>
      <c r="C8481" t="s">
        <v>40</v>
      </c>
      <c r="D8481">
        <v>5.1941540000000002</v>
      </c>
      <c r="E8481">
        <v>0.60269479999999997</v>
      </c>
      <c r="F8481" t="s">
        <v>44</v>
      </c>
      <c r="G8481">
        <v>-311.21879999999999</v>
      </c>
      <c r="H8481">
        <v>-0.05</v>
      </c>
      <c r="I8481">
        <v>8.7127379999999999</v>
      </c>
      <c r="J8481">
        <v>-316.5523</v>
      </c>
      <c r="K8481">
        <v>1.0843100000000001</v>
      </c>
      <c r="L8481">
        <v>16.277100000000001</v>
      </c>
      <c r="M8481">
        <v>0.95661719999999895</v>
      </c>
      <c r="N8481">
        <v>-2.681395E-2</v>
      </c>
      <c r="O8481">
        <v>-0.29011120000000001</v>
      </c>
      <c r="P8481">
        <v>0.76325919999999903</v>
      </c>
      <c r="Q8481">
        <v>0.13236489999999901</v>
      </c>
      <c r="R8481">
        <v>-0.63238850000000002</v>
      </c>
      <c r="S8481">
        <v>1.857178</v>
      </c>
      <c r="T8481">
        <v>-0.38645459999999998</v>
      </c>
      <c r="U8481">
        <v>-2.5889890000000002</v>
      </c>
      <c r="V8481">
        <v>0.3871715</v>
      </c>
      <c r="W8481">
        <v>0.14794660000000001</v>
      </c>
      <c r="X8481">
        <v>0.91006050000000005</v>
      </c>
      <c r="Y8481">
        <v>0.60452379999999994</v>
      </c>
      <c r="Z8481">
        <v>-2.0302210000000001E-2</v>
      </c>
      <c r="AA8481">
        <v>0.79632829999999999</v>
      </c>
      <c r="AB8481">
        <v>24</v>
      </c>
      <c r="AC8481">
        <v>5.3335000000000097</v>
      </c>
      <c r="AD8481">
        <v>-1.1343099999999999</v>
      </c>
      <c r="AE8481">
        <v>-7.564362</v>
      </c>
      <c r="AF8481">
        <v>5.6067266923853296</v>
      </c>
      <c r="AG8481">
        <v>-1.1343099999999999</v>
      </c>
      <c r="AH8481">
        <v>7.19123964112209</v>
      </c>
      <c r="AI8481">
        <v>97.090875187126301</v>
      </c>
      <c r="AJ8481">
        <v>52.0578591338857</v>
      </c>
      <c r="AK8481">
        <v>9.1889047745230208</v>
      </c>
      <c r="AL8481">
        <v>81.492052621433004</v>
      </c>
      <c r="AM8481">
        <v>66.953405464660804</v>
      </c>
      <c r="AN8481">
        <v>1.0000000402620199</v>
      </c>
    </row>
    <row r="8482" spans="1:40" x14ac:dyDescent="0.25">
      <c r="A8482" t="str">
        <f>"20190303162117717"</f>
        <v>20190303162117717</v>
      </c>
      <c r="B8482" t="str">
        <f>"1551601277710836"</f>
        <v>1551601277710836</v>
      </c>
      <c r="C8482" t="s">
        <v>40</v>
      </c>
      <c r="D8482">
        <v>5.1650580000000001</v>
      </c>
      <c r="E8482">
        <v>0.60269479999999997</v>
      </c>
      <c r="F8482" t="s">
        <v>44</v>
      </c>
      <c r="G8482">
        <v>-311.0197</v>
      </c>
      <c r="H8482">
        <v>-0.05</v>
      </c>
      <c r="I8482">
        <v>8.4573669999999996</v>
      </c>
      <c r="J8482">
        <v>-316.44740000000002</v>
      </c>
      <c r="K8482">
        <v>1.083251</v>
      </c>
      <c r="L8482">
        <v>16.23929</v>
      </c>
      <c r="M8482">
        <v>0.95515950000000005</v>
      </c>
      <c r="N8482">
        <v>-2.648118E-2</v>
      </c>
      <c r="O8482">
        <v>-0.29490519999999998</v>
      </c>
      <c r="P8482">
        <v>0.7583493</v>
      </c>
      <c r="Q8482">
        <v>0.13579959999999999</v>
      </c>
      <c r="R8482">
        <v>-0.63754609999999901</v>
      </c>
      <c r="S8482">
        <v>1.840576</v>
      </c>
      <c r="T8482">
        <v>-0.37735859999999999</v>
      </c>
      <c r="U8482">
        <v>-2.6014400000000002</v>
      </c>
      <c r="V8482">
        <v>0.38903159999999998</v>
      </c>
      <c r="W8482">
        <v>0.15100459999999999</v>
      </c>
      <c r="X8482">
        <v>0.90876400000000002</v>
      </c>
      <c r="Y8482">
        <v>0.60589029999999999</v>
      </c>
      <c r="Z8482">
        <v>-1.9626859999999999E-2</v>
      </c>
      <c r="AA8482">
        <v>0.79530610000000002</v>
      </c>
      <c r="AB8482">
        <v>24</v>
      </c>
      <c r="AC8482">
        <v>5.4277000000000104</v>
      </c>
      <c r="AD8482">
        <v>-1.133251</v>
      </c>
      <c r="AE8482">
        <v>-7.7819229999999999</v>
      </c>
      <c r="AF8482">
        <v>5.7523007758326603</v>
      </c>
      <c r="AG8482">
        <v>-1.133251</v>
      </c>
      <c r="AH8482">
        <v>7.3766328277427302</v>
      </c>
      <c r="AI8482">
        <v>96.907554635181697</v>
      </c>
      <c r="AJ8482">
        <v>52.052882324818</v>
      </c>
      <c r="AK8482">
        <v>9.4227349490462604</v>
      </c>
      <c r="AL8482">
        <v>81.314850848606795</v>
      </c>
      <c r="AM8482">
        <v>66.824780039153396</v>
      </c>
      <c r="AN8482">
        <v>0.999999991357859</v>
      </c>
    </row>
    <row r="8483" spans="1:40" x14ac:dyDescent="0.25">
      <c r="A8483" t="str">
        <f>"20190303162117730"</f>
        <v>20190303162117730</v>
      </c>
      <c r="B8483" t="str">
        <f>"1551601277720596"</f>
        <v>1551601277720596</v>
      </c>
      <c r="C8483" t="s">
        <v>40</v>
      </c>
      <c r="D8483">
        <v>5.0447739999999897</v>
      </c>
      <c r="E8483">
        <v>0.60336979999999996</v>
      </c>
      <c r="F8483" t="s">
        <v>44</v>
      </c>
      <c r="G8483">
        <v>-310.82170000000002</v>
      </c>
      <c r="H8483">
        <v>-0.05</v>
      </c>
      <c r="I8483">
        <v>8.1697849999999992</v>
      </c>
      <c r="J8483">
        <v>-316.32589999999999</v>
      </c>
      <c r="K8483">
        <v>1.082052</v>
      </c>
      <c r="L8483">
        <v>16.194949999999999</v>
      </c>
      <c r="M8483">
        <v>0.9534068</v>
      </c>
      <c r="N8483">
        <v>-2.6089669999999999E-2</v>
      </c>
      <c r="O8483">
        <v>-0.30055769999999998</v>
      </c>
      <c r="P8483">
        <v>0.7525058</v>
      </c>
      <c r="Q8483">
        <v>0.13871989999999901</v>
      </c>
      <c r="R8483">
        <v>-0.64381049999999995</v>
      </c>
      <c r="S8483">
        <v>1.823151</v>
      </c>
      <c r="T8483">
        <v>-0.36726130000000001</v>
      </c>
      <c r="U8483">
        <v>-2.6151430000000002</v>
      </c>
      <c r="V8483">
        <v>0.39140180000000002</v>
      </c>
      <c r="W8483">
        <v>0.1535</v>
      </c>
      <c r="X8483">
        <v>0.90732710000000005</v>
      </c>
      <c r="Y8483">
        <v>0.60690219999999995</v>
      </c>
      <c r="Z8483">
        <v>-1.8804330000000001E-2</v>
      </c>
      <c r="AA8483">
        <v>0.79455410000000004</v>
      </c>
      <c r="AB8483">
        <v>24</v>
      </c>
      <c r="AC8483">
        <v>5.50419999999996</v>
      </c>
      <c r="AD8483">
        <v>-1.1320520000000001</v>
      </c>
      <c r="AE8483">
        <v>-8.0251649999999906</v>
      </c>
      <c r="AF8483">
        <v>5.9188605264875997</v>
      </c>
      <c r="AG8483">
        <v>-1.1320520000000001</v>
      </c>
      <c r="AH8483">
        <v>7.5600663098793799</v>
      </c>
      <c r="AI8483">
        <v>96.724384484060195</v>
      </c>
      <c r="AJ8483">
        <v>51.942210506766898</v>
      </c>
      <c r="AK8483">
        <v>9.6679395050077908</v>
      </c>
      <c r="AL8483">
        <v>81.170188851538995</v>
      </c>
      <c r="AM8483">
        <v>66.665650136608605</v>
      </c>
      <c r="AN8483">
        <v>1.00000004271882</v>
      </c>
    </row>
    <row r="8484" spans="1:40" x14ac:dyDescent="0.25">
      <c r="A8484" t="str">
        <f>"20190303162117741"</f>
        <v>20190303162117741</v>
      </c>
      <c r="B8484" t="str">
        <f>"1551601277731332"</f>
        <v>1551601277731332</v>
      </c>
      <c r="C8484" t="s">
        <v>40</v>
      </c>
      <c r="D8484">
        <v>4.9156510000000004</v>
      </c>
      <c r="E8484">
        <v>0.60447329999999999</v>
      </c>
      <c r="F8484" t="s">
        <v>44</v>
      </c>
      <c r="G8484">
        <v>-310.54340000000002</v>
      </c>
      <c r="H8484">
        <v>-0.05</v>
      </c>
      <c r="I8484">
        <v>7.722092</v>
      </c>
      <c r="J8484">
        <v>-316.21019999999999</v>
      </c>
      <c r="K8484">
        <v>1.080954</v>
      </c>
      <c r="L8484">
        <v>16.151789999999998</v>
      </c>
      <c r="M8484">
        <v>0.95165759999999999</v>
      </c>
      <c r="N8484">
        <v>-2.5708729999999999E-2</v>
      </c>
      <c r="O8484">
        <v>-0.30608350000000001</v>
      </c>
      <c r="P8484">
        <v>0.74697979999999997</v>
      </c>
      <c r="Q8484">
        <v>0.1409609</v>
      </c>
      <c r="R8484">
        <v>-0.64973210000000003</v>
      </c>
      <c r="S8484">
        <v>1.7978209999999999</v>
      </c>
      <c r="T8484">
        <v>-0.351964</v>
      </c>
      <c r="U8484">
        <v>-2.634277</v>
      </c>
      <c r="V8484">
        <v>0.39346379999999997</v>
      </c>
      <c r="W8484">
        <v>0.15536469999999999</v>
      </c>
      <c r="X8484">
        <v>0.90611699999999995</v>
      </c>
      <c r="Y8484">
        <v>0.61043069999999999</v>
      </c>
      <c r="Z8484">
        <v>-1.8232749999999999E-2</v>
      </c>
      <c r="AA8484">
        <v>0.7918598</v>
      </c>
      <c r="AB8484">
        <v>24</v>
      </c>
      <c r="AC8484">
        <v>5.6667999999999603</v>
      </c>
      <c r="AD8484">
        <v>-1.130954</v>
      </c>
      <c r="AE8484">
        <v>-8.4296979999999895</v>
      </c>
      <c r="AF8484">
        <v>6.2127294498139998</v>
      </c>
      <c r="AG8484">
        <v>-1.130954</v>
      </c>
      <c r="AH8484">
        <v>7.8780140667707403</v>
      </c>
      <c r="AI8484">
        <v>96.431426284763802</v>
      </c>
      <c r="AJ8484">
        <v>51.740115964591403</v>
      </c>
      <c r="AK8484">
        <v>10.096542467743101</v>
      </c>
      <c r="AL8484">
        <v>81.062051600376293</v>
      </c>
      <c r="AM8484">
        <v>66.528035399096098</v>
      </c>
      <c r="AN8484">
        <v>0.99999998480276397</v>
      </c>
    </row>
    <row r="8485" spans="1:40" x14ac:dyDescent="0.25">
      <c r="A8485" t="str">
        <f>"20190303162117753"</f>
        <v>20190303162117753</v>
      </c>
      <c r="B8485" t="str">
        <f>"1551601277741091"</f>
        <v>1551601277741091</v>
      </c>
      <c r="C8485" t="s">
        <v>40</v>
      </c>
      <c r="D8485">
        <v>4.9452089999999904</v>
      </c>
      <c r="E8485">
        <v>0.60565179999999996</v>
      </c>
      <c r="F8485" t="s">
        <v>44</v>
      </c>
      <c r="G8485">
        <v>-310.26659999999998</v>
      </c>
      <c r="H8485">
        <v>-0.05</v>
      </c>
      <c r="I8485">
        <v>7.237152</v>
      </c>
      <c r="J8485">
        <v>-316.09019999999998</v>
      </c>
      <c r="K8485">
        <v>1.0798620000000001</v>
      </c>
      <c r="L8485">
        <v>16.105989999999998</v>
      </c>
      <c r="M8485">
        <v>0.94974709999999996</v>
      </c>
      <c r="N8485">
        <v>-2.5314840000000002E-2</v>
      </c>
      <c r="O8485">
        <v>-0.31199290000000002</v>
      </c>
      <c r="P8485">
        <v>0.74126389999999998</v>
      </c>
      <c r="Q8485">
        <v>0.142038</v>
      </c>
      <c r="R8485">
        <v>-0.65601319999999996</v>
      </c>
      <c r="S8485">
        <v>1.7702639999999901</v>
      </c>
      <c r="T8485">
        <v>-0.3368447</v>
      </c>
      <c r="U8485">
        <v>-2.655151</v>
      </c>
      <c r="V8485">
        <v>0.3955439</v>
      </c>
      <c r="W8485">
        <v>0.15607409999999999</v>
      </c>
      <c r="X8485">
        <v>0.90508889999999997</v>
      </c>
      <c r="Y8485">
        <v>0.61429889999999998</v>
      </c>
      <c r="Z8485">
        <v>-1.7676549999999999E-2</v>
      </c>
      <c r="AA8485">
        <v>0.78887529999999995</v>
      </c>
      <c r="AB8485">
        <v>24</v>
      </c>
      <c r="AC8485">
        <v>5.8235999999999901</v>
      </c>
      <c r="AD8485">
        <v>-1.1298619999999999</v>
      </c>
      <c r="AE8485">
        <v>-8.8688379999999896</v>
      </c>
      <c r="AF8485">
        <v>6.5342486695672104</v>
      </c>
      <c r="AG8485">
        <v>-1.1298619999999999</v>
      </c>
      <c r="AH8485">
        <v>8.2075456606108901</v>
      </c>
      <c r="AI8485">
        <v>96.146984482287394</v>
      </c>
      <c r="AJ8485">
        <v>51.4757566337451</v>
      </c>
      <c r="AK8485">
        <v>10.551625447569499</v>
      </c>
      <c r="AL8485">
        <v>81.0209042481426</v>
      </c>
      <c r="AM8485">
        <v>66.393606371600399</v>
      </c>
      <c r="AN8485">
        <v>1.0000000092106101</v>
      </c>
    </row>
    <row r="8486" spans="1:40" x14ac:dyDescent="0.25">
      <c r="A8486" t="str">
        <f>"20190303162117767"</f>
        <v>20190303162117767</v>
      </c>
      <c r="B8486" t="str">
        <f>"1551601277760611"</f>
        <v>1551601277760611</v>
      </c>
      <c r="C8486" t="s">
        <v>40</v>
      </c>
      <c r="D8486">
        <v>5.1661900000000003</v>
      </c>
      <c r="E8486">
        <v>0.605464</v>
      </c>
      <c r="F8486" t="s">
        <v>44</v>
      </c>
      <c r="G8486">
        <v>-310.02780000000001</v>
      </c>
      <c r="H8486">
        <v>-0.05</v>
      </c>
      <c r="I8486">
        <v>6.7845760000000004</v>
      </c>
      <c r="J8486">
        <v>-315.95569999999998</v>
      </c>
      <c r="K8486">
        <v>1.0786659999999999</v>
      </c>
      <c r="L8486">
        <v>16.053799999999999</v>
      </c>
      <c r="M8486">
        <v>0.94752170000000002</v>
      </c>
      <c r="N8486">
        <v>-2.4874520000000001E-2</v>
      </c>
      <c r="O8486">
        <v>-0.31872230000000001</v>
      </c>
      <c r="P8486">
        <v>0.73473980000000005</v>
      </c>
      <c r="Q8486">
        <v>0.143292</v>
      </c>
      <c r="R8486">
        <v>-0.66304219999999903</v>
      </c>
      <c r="S8486">
        <v>1.7406919999999999</v>
      </c>
      <c r="T8486">
        <v>-0.3244165</v>
      </c>
      <c r="U8486">
        <v>-2.676453</v>
      </c>
      <c r="V8486">
        <v>0.3978196</v>
      </c>
      <c r="W8486">
        <v>0.1569237</v>
      </c>
      <c r="X8486">
        <v>0.90394390000000002</v>
      </c>
      <c r="Y8486">
        <v>0.61788909999999997</v>
      </c>
      <c r="Z8486">
        <v>-1.7031000000000001E-2</v>
      </c>
      <c r="AA8486">
        <v>0.78608080000000002</v>
      </c>
      <c r="AB8486">
        <v>24</v>
      </c>
      <c r="AC8486">
        <v>5.9278999999999602</v>
      </c>
      <c r="AD8486">
        <v>-1.1286659999999999</v>
      </c>
      <c r="AE8486">
        <v>-9.2692239999999995</v>
      </c>
      <c r="AF8486">
        <v>6.8237647040024196</v>
      </c>
      <c r="AG8486">
        <v>-1.1286659999999999</v>
      </c>
      <c r="AH8486">
        <v>8.4844935861823796</v>
      </c>
      <c r="AI8486">
        <v>95.918180289981905</v>
      </c>
      <c r="AJ8486">
        <v>51.191565256789403</v>
      </c>
      <c r="AK8486">
        <v>10.9464278689038</v>
      </c>
      <c r="AL8486">
        <v>80.971618631352698</v>
      </c>
      <c r="AM8486">
        <v>66.246029893847506</v>
      </c>
      <c r="AN8486">
        <v>1.00000002805652</v>
      </c>
    </row>
    <row r="8487" spans="1:40" x14ac:dyDescent="0.25">
      <c r="A8487" t="str">
        <f>"20190303162117780"</f>
        <v>20190303162117780</v>
      </c>
      <c r="B8487" t="str">
        <f>"1551601277771348"</f>
        <v>1551601277771348</v>
      </c>
      <c r="C8487" t="s">
        <v>40</v>
      </c>
      <c r="D8487">
        <v>5.1731239999999996</v>
      </c>
      <c r="E8487">
        <v>0.60492609999999902</v>
      </c>
      <c r="F8487" t="s">
        <v>44</v>
      </c>
      <c r="G8487">
        <v>-309.78019999999998</v>
      </c>
      <c r="H8487">
        <v>-0.05</v>
      </c>
      <c r="I8487">
        <v>6.3660889999999997</v>
      </c>
      <c r="J8487">
        <v>-315.8272</v>
      </c>
      <c r="K8487">
        <v>1.0775589999999999</v>
      </c>
      <c r="L8487">
        <v>16.002500000000001</v>
      </c>
      <c r="M8487">
        <v>0.94528809999999996</v>
      </c>
      <c r="N8487">
        <v>-2.4452209999999999E-2</v>
      </c>
      <c r="O8487">
        <v>-0.32531919999999998</v>
      </c>
      <c r="P8487">
        <v>0.72853080000000003</v>
      </c>
      <c r="Q8487">
        <v>0.14278160000000001</v>
      </c>
      <c r="R8487">
        <v>-0.66996739999999999</v>
      </c>
      <c r="S8487">
        <v>1.71557599999999</v>
      </c>
      <c r="T8487">
        <v>-0.31355129999999998</v>
      </c>
      <c r="U8487">
        <v>-2.6913149999999999</v>
      </c>
      <c r="V8487">
        <v>0.40001059999999999</v>
      </c>
      <c r="W8487">
        <v>0.1560185</v>
      </c>
      <c r="X8487">
        <v>0.90313330000000003</v>
      </c>
      <c r="Y8487">
        <v>0.61976489999999995</v>
      </c>
      <c r="Z8487">
        <v>-1.6299620000000001E-2</v>
      </c>
      <c r="AA8487">
        <v>0.78461829999999999</v>
      </c>
      <c r="AB8487">
        <v>23</v>
      </c>
      <c r="AC8487">
        <v>6.0470000000000201</v>
      </c>
      <c r="AD8487">
        <v>-1.127559</v>
      </c>
      <c r="AE8487">
        <v>-9.6364110000000007</v>
      </c>
      <c r="AF8487">
        <v>7.0746195189843499</v>
      </c>
      <c r="AG8487">
        <v>-1.127559</v>
      </c>
      <c r="AH8487">
        <v>8.7675873959514394</v>
      </c>
      <c r="AI8487">
        <v>95.715465094078695</v>
      </c>
      <c r="AJ8487">
        <v>51.099729540566798</v>
      </c>
      <c r="AK8487">
        <v>11.3222002889244</v>
      </c>
      <c r="AL8487">
        <v>81.024129364427097</v>
      </c>
      <c r="AM8487">
        <v>66.110765067704705</v>
      </c>
      <c r="AN8487">
        <v>1.0000000050117499</v>
      </c>
    </row>
    <row r="8488" spans="1:40" x14ac:dyDescent="0.25">
      <c r="A8488" t="str">
        <f>"20190303162117792"</f>
        <v>20190303162117792</v>
      </c>
      <c r="B8488" t="str">
        <f>"1551601277781108"</f>
        <v>1551601277781108</v>
      </c>
      <c r="C8488" t="s">
        <v>40</v>
      </c>
      <c r="D8488">
        <v>5.1938459999999997</v>
      </c>
      <c r="E8488">
        <v>0.60463599999999995</v>
      </c>
      <c r="F8488" t="s">
        <v>44</v>
      </c>
      <c r="G8488">
        <v>-309.81220000000002</v>
      </c>
      <c r="H8488">
        <v>-0.05</v>
      </c>
      <c r="I8488">
        <v>6.3989409999999998</v>
      </c>
      <c r="J8488">
        <v>-315.70440000000002</v>
      </c>
      <c r="K8488">
        <v>1.076524</v>
      </c>
      <c r="L8488">
        <v>15.95248</v>
      </c>
      <c r="M8488">
        <v>0.94308579999999997</v>
      </c>
      <c r="N8488">
        <v>-2.4045380000000002E-2</v>
      </c>
      <c r="O8488">
        <v>-0.331679</v>
      </c>
      <c r="P8488">
        <v>0.7226281</v>
      </c>
      <c r="Q8488">
        <v>0.14202110000000001</v>
      </c>
      <c r="R8488">
        <v>-0.67649009999999998</v>
      </c>
      <c r="S8488">
        <v>1.6935420000000001</v>
      </c>
      <c r="T8488">
        <v>-0.31746829999999998</v>
      </c>
      <c r="U8488">
        <v>-2.7039179999999998</v>
      </c>
      <c r="V8488">
        <v>0.40196539999999997</v>
      </c>
      <c r="W8488">
        <v>0.1548696</v>
      </c>
      <c r="X8488">
        <v>0.90246280000000001</v>
      </c>
      <c r="Y8488">
        <v>0.62070630000000004</v>
      </c>
      <c r="Z8488">
        <v>-1.5541080000000001E-2</v>
      </c>
      <c r="AA8488">
        <v>0.78388919999999995</v>
      </c>
      <c r="AB8488">
        <v>23</v>
      </c>
      <c r="AC8488">
        <v>5.8921999999999999</v>
      </c>
      <c r="AD8488">
        <v>-1.1265240000000001</v>
      </c>
      <c r="AE8488">
        <v>-9.5535390000000007</v>
      </c>
      <c r="AF8488">
        <v>6.9871483258133402</v>
      </c>
      <c r="AG8488">
        <v>-1.1265240000000001</v>
      </c>
      <c r="AH8488">
        <v>8.6410424256767406</v>
      </c>
      <c r="AI8488">
        <v>95.788550477199095</v>
      </c>
      <c r="AJ8488">
        <v>51.040990466140798</v>
      </c>
      <c r="AK8488">
        <v>11.1694633824475</v>
      </c>
      <c r="AL8488">
        <v>81.090765904868903</v>
      </c>
      <c r="AM8488">
        <v>65.991360089307193</v>
      </c>
      <c r="AN8488">
        <v>0.99999994059257802</v>
      </c>
    </row>
    <row r="8489" spans="1:40" x14ac:dyDescent="0.25">
      <c r="A8489" t="str">
        <f>"20190303162117806"</f>
        <v>20190303162117806</v>
      </c>
      <c r="B8489" t="str">
        <f>"1551601277800627"</f>
        <v>1551601277800627</v>
      </c>
      <c r="C8489" t="s">
        <v>40</v>
      </c>
      <c r="D8489">
        <v>5.0262010000000004</v>
      </c>
      <c r="E8489">
        <v>0.60509029999999997</v>
      </c>
      <c r="F8489" t="s">
        <v>44</v>
      </c>
      <c r="G8489">
        <v>-309.7867</v>
      </c>
      <c r="H8489">
        <v>-0.05</v>
      </c>
      <c r="I8489">
        <v>6.3290559999999996</v>
      </c>
      <c r="J8489">
        <v>-315.56079999999997</v>
      </c>
      <c r="K8489">
        <v>1.075332</v>
      </c>
      <c r="L8489">
        <v>15.89282</v>
      </c>
      <c r="M8489">
        <v>0.94042720000000002</v>
      </c>
      <c r="N8489">
        <v>-2.3565880000000001E-2</v>
      </c>
      <c r="O8489">
        <v>-0.33917730000000001</v>
      </c>
      <c r="P8489">
        <v>0.71477619999999997</v>
      </c>
      <c r="Q8489">
        <v>0.13889270000000001</v>
      </c>
      <c r="R8489">
        <v>-0.68542259999999999</v>
      </c>
      <c r="S8489">
        <v>1.6706540000000001</v>
      </c>
      <c r="T8489">
        <v>-0.31803360000000003</v>
      </c>
      <c r="U8489">
        <v>-2.7168269999999999</v>
      </c>
      <c r="V8489">
        <v>0.40571420000000002</v>
      </c>
      <c r="W8489">
        <v>0.15123229999999999</v>
      </c>
      <c r="X8489">
        <v>0.90140160000000003</v>
      </c>
      <c r="Y8489">
        <v>0.62096569999999995</v>
      </c>
      <c r="Z8489">
        <v>-1.455979E-2</v>
      </c>
      <c r="AA8489">
        <v>0.78370260000000003</v>
      </c>
      <c r="AB8489">
        <v>23</v>
      </c>
      <c r="AC8489">
        <v>5.7740999999999696</v>
      </c>
      <c r="AD8489">
        <v>-1.125332</v>
      </c>
      <c r="AE8489">
        <v>-9.5637640000000008</v>
      </c>
      <c r="AF8489">
        <v>6.9668441351818498</v>
      </c>
      <c r="AG8489">
        <v>-1.125332</v>
      </c>
      <c r="AH8489">
        <v>8.5891900019347602</v>
      </c>
      <c r="AI8489">
        <v>95.810027561067997</v>
      </c>
      <c r="AJ8489">
        <v>50.953879338957101</v>
      </c>
      <c r="AK8489">
        <v>11.1165405681568</v>
      </c>
      <c r="AL8489">
        <v>81.3016533924729</v>
      </c>
      <c r="AM8489">
        <v>65.767842162814802</v>
      </c>
      <c r="AN8489">
        <v>1.0000000325637399</v>
      </c>
    </row>
    <row r="8490" spans="1:40" x14ac:dyDescent="0.25">
      <c r="A8490" t="str">
        <f>"20190303162117819"</f>
        <v>20190303162117819</v>
      </c>
      <c r="B8490" t="str">
        <f>"1551601277811364"</f>
        <v>1551601277811364</v>
      </c>
      <c r="C8490" t="s">
        <v>40</v>
      </c>
      <c r="D8490">
        <v>5.3108279999999999</v>
      </c>
      <c r="E8490">
        <v>0.60510249999999999</v>
      </c>
      <c r="F8490" t="s">
        <v>44</v>
      </c>
      <c r="G8490">
        <v>-309.82569999999998</v>
      </c>
      <c r="H8490">
        <v>-0.05</v>
      </c>
      <c r="I8490">
        <v>6.2756499999999997</v>
      </c>
      <c r="J8490">
        <v>-315.43779999999998</v>
      </c>
      <c r="K8490">
        <v>1.07437</v>
      </c>
      <c r="L8490">
        <v>15.84024</v>
      </c>
      <c r="M8490">
        <v>0.93807850000000004</v>
      </c>
      <c r="N8490">
        <v>-2.3153690000000001E-2</v>
      </c>
      <c r="O8490">
        <v>-0.34564820000000002</v>
      </c>
      <c r="P8490">
        <v>0.70925519999999997</v>
      </c>
      <c r="Q8490">
        <v>0.13630680000000001</v>
      </c>
      <c r="R8490">
        <v>-0.69164879999999995</v>
      </c>
      <c r="S8490">
        <v>1.6331789999999999</v>
      </c>
      <c r="T8490">
        <v>-0.320461</v>
      </c>
      <c r="U8490">
        <v>-2.7386780000000002</v>
      </c>
      <c r="V8490">
        <v>0.4071516</v>
      </c>
      <c r="W8490">
        <v>0.148255</v>
      </c>
      <c r="X8490">
        <v>0.90124800000000005</v>
      </c>
      <c r="Y8490">
        <v>0.6261911</v>
      </c>
      <c r="Z8490">
        <v>-1.4109160000000001E-2</v>
      </c>
      <c r="AA8490">
        <v>0.77954190000000001</v>
      </c>
      <c r="AB8490">
        <v>23</v>
      </c>
      <c r="AC8490">
        <v>5.6120999999999901</v>
      </c>
      <c r="AD8490">
        <v>-1.1243700000000001</v>
      </c>
      <c r="AE8490">
        <v>-9.5645900000000008</v>
      </c>
      <c r="AF8490">
        <v>6.9628315010430297</v>
      </c>
      <c r="AG8490">
        <v>-1.1243700000000001</v>
      </c>
      <c r="AH8490">
        <v>8.4856390828632495</v>
      </c>
      <c r="AI8490">
        <v>95.848567938130302</v>
      </c>
      <c r="AJ8490">
        <v>50.629650359654697</v>
      </c>
      <c r="AK8490">
        <v>11.034097201558099</v>
      </c>
      <c r="AL8490">
        <v>81.474184915273</v>
      </c>
      <c r="AM8490">
        <v>65.688250014617097</v>
      </c>
      <c r="AN8490">
        <v>0.99999996395577895</v>
      </c>
    </row>
    <row r="8491" spans="1:40" x14ac:dyDescent="0.25">
      <c r="A8491" t="str">
        <f>"20190303162117834"</f>
        <v>20190303162117834</v>
      </c>
      <c r="B8491" t="str">
        <f>"1551601277830883"</f>
        <v>1551601277830883</v>
      </c>
      <c r="C8491" t="s">
        <v>40</v>
      </c>
      <c r="D8491">
        <v>5.1496459999999997</v>
      </c>
      <c r="E8491">
        <v>0.60728070000000001</v>
      </c>
      <c r="F8491" t="s">
        <v>44</v>
      </c>
      <c r="G8491">
        <v>-309.95740000000001</v>
      </c>
      <c r="H8491">
        <v>-0.05</v>
      </c>
      <c r="I8491">
        <v>6.4672239999999999</v>
      </c>
      <c r="J8491">
        <v>-315.29340000000002</v>
      </c>
      <c r="K8491">
        <v>1.0733079999999999</v>
      </c>
      <c r="L8491">
        <v>15.77716</v>
      </c>
      <c r="M8491">
        <v>0.93523909999999999</v>
      </c>
      <c r="N8491">
        <v>-2.267477E-2</v>
      </c>
      <c r="O8491">
        <v>-0.3532903</v>
      </c>
      <c r="P8491">
        <v>0.70270449999999995</v>
      </c>
      <c r="Q8491">
        <v>0.13492750000000001</v>
      </c>
      <c r="R8491">
        <v>-0.698571099999999</v>
      </c>
      <c r="S8491">
        <v>1.609283</v>
      </c>
      <c r="T8491">
        <v>-0.33016299999999998</v>
      </c>
      <c r="U8491">
        <v>-2.752319</v>
      </c>
      <c r="V8491">
        <v>0.40850120000000001</v>
      </c>
      <c r="W8491">
        <v>0.1464326</v>
      </c>
      <c r="X8491">
        <v>0.90093520000000005</v>
      </c>
      <c r="Y8491">
        <v>0.62649880000000002</v>
      </c>
      <c r="Z8491">
        <v>-1.302033E-2</v>
      </c>
      <c r="AA8491">
        <v>0.77931359999999905</v>
      </c>
      <c r="AB8491">
        <v>23</v>
      </c>
      <c r="AC8491">
        <v>5.3360000000000101</v>
      </c>
      <c r="AD8491">
        <v>-1.123308</v>
      </c>
      <c r="AE8491">
        <v>-9.3099360000000004</v>
      </c>
      <c r="AF8491">
        <v>6.7496478300381799</v>
      </c>
      <c r="AG8491">
        <v>-1.123308</v>
      </c>
      <c r="AH8491">
        <v>8.1919046010216192</v>
      </c>
      <c r="AI8491">
        <v>96.041063044953802</v>
      </c>
      <c r="AJ8491">
        <v>50.513483537735603</v>
      </c>
      <c r="AK8491">
        <v>10.6736529681567</v>
      </c>
      <c r="AL8491">
        <v>81.579753187706203</v>
      </c>
      <c r="AM8491">
        <v>65.609554146819306</v>
      </c>
      <c r="AN8491">
        <v>0.99999998567161996</v>
      </c>
    </row>
    <row r="8492" spans="1:40" x14ac:dyDescent="0.25">
      <c r="A8492" t="str">
        <f>"20190303162117845"</f>
        <v>20190303162117845</v>
      </c>
      <c r="B8492" t="str">
        <f>"1551601277840643"</f>
        <v>1551601277840643</v>
      </c>
      <c r="C8492" t="s">
        <v>40</v>
      </c>
      <c r="D8492">
        <v>5.1932929999999997</v>
      </c>
      <c r="E8492">
        <v>0.60853950000000001</v>
      </c>
      <c r="F8492" t="s">
        <v>44</v>
      </c>
      <c r="G8492">
        <v>-310.06939999999997</v>
      </c>
      <c r="H8492">
        <v>-0.05</v>
      </c>
      <c r="I8492">
        <v>6.529541</v>
      </c>
      <c r="J8492">
        <v>-315.1832</v>
      </c>
      <c r="K8492">
        <v>1.0725309999999999</v>
      </c>
      <c r="L8492">
        <v>15.72836</v>
      </c>
      <c r="M8492">
        <v>0.93302030000000002</v>
      </c>
      <c r="N8492">
        <v>-2.2313159999999999E-2</v>
      </c>
      <c r="O8492">
        <v>-0.3591318</v>
      </c>
      <c r="P8492">
        <v>0.69704089999999996</v>
      </c>
      <c r="Q8492">
        <v>0.13377620000000001</v>
      </c>
      <c r="R8492">
        <v>-0.70444240000000002</v>
      </c>
      <c r="S8492">
        <v>1.570435</v>
      </c>
      <c r="T8492">
        <v>-0.33768979999999998</v>
      </c>
      <c r="U8492">
        <v>-2.7800289999999999</v>
      </c>
      <c r="V8492">
        <v>0.41031319999999999</v>
      </c>
      <c r="W8492">
        <v>0.14492579999999999</v>
      </c>
      <c r="X8492">
        <v>0.90035529999999997</v>
      </c>
      <c r="Y8492">
        <v>0.63310929999999999</v>
      </c>
      <c r="Z8492">
        <v>-1.270581E-2</v>
      </c>
      <c r="AA8492">
        <v>0.77395809999999998</v>
      </c>
      <c r="AB8492">
        <v>23</v>
      </c>
      <c r="AC8492">
        <v>5.1138000000000199</v>
      </c>
      <c r="AD8492">
        <v>-1.1225309999999999</v>
      </c>
      <c r="AE8492">
        <v>-9.1988190000000003</v>
      </c>
      <c r="AF8492">
        <v>6.6719374327419203</v>
      </c>
      <c r="AG8492">
        <v>-1.1225309999999999</v>
      </c>
      <c r="AH8492">
        <v>7.9860303167339097</v>
      </c>
      <c r="AI8492">
        <v>96.156698511843203</v>
      </c>
      <c r="AJ8492">
        <v>50.122895100554601</v>
      </c>
      <c r="AK8492">
        <v>10.466685491222901</v>
      </c>
      <c r="AL8492">
        <v>81.667017862156996</v>
      </c>
      <c r="AM8492">
        <v>65.500123803725302</v>
      </c>
      <c r="AN8492">
        <v>1.00000003791898</v>
      </c>
    </row>
    <row r="8493" spans="1:40" x14ac:dyDescent="0.25">
      <c r="A8493" t="str">
        <f>"20190303162117858"</f>
        <v>20190303162117858</v>
      </c>
      <c r="B8493" t="str">
        <f>"1551601277851380"</f>
        <v>1551601277851380</v>
      </c>
      <c r="C8493" t="s">
        <v>40</v>
      </c>
      <c r="D8493">
        <v>5.1971129999999999</v>
      </c>
      <c r="E8493">
        <v>0.60982499999999995</v>
      </c>
      <c r="F8493" t="s">
        <v>44</v>
      </c>
      <c r="G8493">
        <v>-310.15460000000002</v>
      </c>
      <c r="H8493">
        <v>-0.05</v>
      </c>
      <c r="I8493">
        <v>6.592041</v>
      </c>
      <c r="J8493">
        <v>-315.05900000000003</v>
      </c>
      <c r="K8493">
        <v>1.071755</v>
      </c>
      <c r="L8493">
        <v>15.671659999999999</v>
      </c>
      <c r="M8493">
        <v>0.93043560000000003</v>
      </c>
      <c r="N8493">
        <v>-2.1921880000000001E-2</v>
      </c>
      <c r="O8493">
        <v>-0.3657995</v>
      </c>
      <c r="P8493">
        <v>0.69065279999999996</v>
      </c>
      <c r="Q8493">
        <v>0.13377169999999999</v>
      </c>
      <c r="R8493">
        <v>-0.71070699999999998</v>
      </c>
      <c r="S8493">
        <v>1.540802</v>
      </c>
      <c r="T8493">
        <v>-0.34394849999999999</v>
      </c>
      <c r="U8493">
        <v>-2.7994080000000001</v>
      </c>
      <c r="V8493">
        <v>0.41198269999999998</v>
      </c>
      <c r="W8493">
        <v>0.14456060000000001</v>
      </c>
      <c r="X8493">
        <v>0.89965130000000004</v>
      </c>
      <c r="Y8493">
        <v>0.63608129999999996</v>
      </c>
      <c r="Z8493">
        <v>-1.195682E-2</v>
      </c>
      <c r="AA8493">
        <v>0.77152940000000003</v>
      </c>
      <c r="AB8493">
        <v>23</v>
      </c>
      <c r="AC8493">
        <v>4.9044000000000096</v>
      </c>
      <c r="AD8493">
        <v>-1.1217549999999901</v>
      </c>
      <c r="AE8493">
        <v>-9.0796189999999992</v>
      </c>
      <c r="AF8493">
        <v>6.5778473548479699</v>
      </c>
      <c r="AG8493">
        <v>-1.1217549999999901</v>
      </c>
      <c r="AH8493">
        <v>7.7943434416245498</v>
      </c>
      <c r="AI8493">
        <v>96.276541238054406</v>
      </c>
      <c r="AJ8493">
        <v>49.838117790760499</v>
      </c>
      <c r="AK8493">
        <v>10.260516545949301</v>
      </c>
      <c r="AL8493">
        <v>81.688164547794997</v>
      </c>
      <c r="AM8493">
        <v>65.395252379788602</v>
      </c>
      <c r="AN8493">
        <v>0.99999998688167002</v>
      </c>
    </row>
    <row r="8494" spans="1:40" x14ac:dyDescent="0.25">
      <c r="A8494" t="str">
        <f>"20190303162117869"</f>
        <v>20190303162117869</v>
      </c>
      <c r="B8494" t="str">
        <f>"1551601277861139"</f>
        <v>1551601277861139</v>
      </c>
      <c r="C8494" t="s">
        <v>40</v>
      </c>
      <c r="D8494">
        <v>5.1662299999999997</v>
      </c>
      <c r="E8494">
        <v>0.61098949999999996</v>
      </c>
      <c r="F8494" t="s">
        <v>44</v>
      </c>
      <c r="G8494">
        <v>-310.17649999999998</v>
      </c>
      <c r="H8494">
        <v>-0.05</v>
      </c>
      <c r="I8494">
        <v>6.5511629999999998</v>
      </c>
      <c r="J8494">
        <v>-314.95519999999999</v>
      </c>
      <c r="K8494">
        <v>1.0711440000000001</v>
      </c>
      <c r="L8494">
        <v>15.62369</v>
      </c>
      <c r="M8494">
        <v>0.9282224</v>
      </c>
      <c r="N8494">
        <v>-2.1603029999999999E-2</v>
      </c>
      <c r="O8494">
        <v>-0.3713979</v>
      </c>
      <c r="P8494">
        <v>0.68439069999999902</v>
      </c>
      <c r="Q8494">
        <v>0.13395109999999999</v>
      </c>
      <c r="R8494">
        <v>-0.71670540000000005</v>
      </c>
      <c r="S8494">
        <v>1.5094299999999901</v>
      </c>
      <c r="T8494">
        <v>-0.34678720000000002</v>
      </c>
      <c r="U8494">
        <v>-2.8195800000000002</v>
      </c>
      <c r="V8494">
        <v>0.41441529999999999</v>
      </c>
      <c r="W8494">
        <v>0.14442049999999901</v>
      </c>
      <c r="X8494">
        <v>0.89855589999999996</v>
      </c>
      <c r="Y8494">
        <v>0.6403797</v>
      </c>
      <c r="Z8494">
        <v>-1.149994E-2</v>
      </c>
      <c r="AA8494">
        <v>0.7679724</v>
      </c>
      <c r="AB8494">
        <v>23</v>
      </c>
      <c r="AC8494">
        <v>4.7787000000000104</v>
      </c>
      <c r="AD8494">
        <v>-1.1211439999999999</v>
      </c>
      <c r="AE8494">
        <v>-9.0725269999999991</v>
      </c>
      <c r="AF8494">
        <v>6.5695406169957797</v>
      </c>
      <c r="AG8494">
        <v>-1.1211439999999999</v>
      </c>
      <c r="AH8494">
        <v>7.7148103631941796</v>
      </c>
      <c r="AI8494">
        <v>96.313704238965201</v>
      </c>
      <c r="AJ8494">
        <v>49.583971426540202</v>
      </c>
      <c r="AK8494">
        <v>10.194808812682099</v>
      </c>
      <c r="AL8494">
        <v>81.696277038381496</v>
      </c>
      <c r="AM8494">
        <v>65.240779060729395</v>
      </c>
      <c r="AN8494">
        <v>1.0000000135595699</v>
      </c>
    </row>
    <row r="8495" spans="1:40" x14ac:dyDescent="0.25">
      <c r="A8495" t="str">
        <f>"20190303162117881"</f>
        <v>20190303162117881</v>
      </c>
      <c r="B8495" t="str">
        <f>"1551601277870900"</f>
        <v>1551601277870900</v>
      </c>
      <c r="C8495" t="s">
        <v>40</v>
      </c>
      <c r="D8495">
        <v>5.1776839999999904</v>
      </c>
      <c r="E8495">
        <v>0.61209340000000001</v>
      </c>
      <c r="F8495" t="s">
        <v>44</v>
      </c>
      <c r="G8495">
        <v>-310.20350000000002</v>
      </c>
      <c r="H8495">
        <v>-0.05</v>
      </c>
      <c r="I8495">
        <v>6.5076140000000002</v>
      </c>
      <c r="J8495">
        <v>-314.8356</v>
      </c>
      <c r="K8495">
        <v>1.0705</v>
      </c>
      <c r="L8495">
        <v>15.567379999999901</v>
      </c>
      <c r="M8495">
        <v>0.92560390000000003</v>
      </c>
      <c r="N8495">
        <v>-2.1250580000000002E-2</v>
      </c>
      <c r="O8495">
        <v>-0.37789689999999998</v>
      </c>
      <c r="P8495">
        <v>0.67780959999999901</v>
      </c>
      <c r="Q8495">
        <v>0.13358010000000001</v>
      </c>
      <c r="R8495">
        <v>-0.72300129999999996</v>
      </c>
      <c r="S8495">
        <v>1.4794620000000001</v>
      </c>
      <c r="T8495">
        <v>-0.34907149999999998</v>
      </c>
      <c r="U8495">
        <v>-2.8383180000000001</v>
      </c>
      <c r="V8495">
        <v>0.41636459999999997</v>
      </c>
      <c r="W8495">
        <v>0.1437359</v>
      </c>
      <c r="X8495">
        <v>0.89776420000000001</v>
      </c>
      <c r="Y8495">
        <v>0.64345559999999902</v>
      </c>
      <c r="Z8495">
        <v>-1.080829E-2</v>
      </c>
      <c r="AA8495">
        <v>0.76540719999999995</v>
      </c>
      <c r="AB8495">
        <v>23</v>
      </c>
      <c r="AC8495">
        <v>4.6320999999999799</v>
      </c>
      <c r="AD8495">
        <v>-1.1205000000000001</v>
      </c>
      <c r="AE8495">
        <v>-9.0597659999999909</v>
      </c>
      <c r="AF8495">
        <v>6.5572799468662701</v>
      </c>
      <c r="AG8495">
        <v>-1.1205000000000001</v>
      </c>
      <c r="AH8495">
        <v>7.6204787981836901</v>
      </c>
      <c r="AI8495">
        <v>96.359683064649602</v>
      </c>
      <c r="AJ8495">
        <v>49.2886186302024</v>
      </c>
      <c r="AK8495">
        <v>10.1155888442117</v>
      </c>
      <c r="AL8495">
        <v>81.735915389280905</v>
      </c>
      <c r="AM8495">
        <v>65.119098010544803</v>
      </c>
      <c r="AN8495">
        <v>1.0000000239418001</v>
      </c>
    </row>
    <row r="8496" spans="1:40" x14ac:dyDescent="0.25">
      <c r="A8496" t="str">
        <f>"20190303162117896"</f>
        <v>20190303162117896</v>
      </c>
      <c r="B8496" t="str">
        <f>"1551601277891397"</f>
        <v>1551601277891397</v>
      </c>
      <c r="C8496" t="s">
        <v>40</v>
      </c>
      <c r="D8496">
        <v>5.1491059999999997</v>
      </c>
      <c r="E8496">
        <v>0.61404479999999995</v>
      </c>
      <c r="F8496" t="s">
        <v>44</v>
      </c>
      <c r="G8496">
        <v>-310.23160000000001</v>
      </c>
      <c r="H8496">
        <v>-0.05</v>
      </c>
      <c r="I8496">
        <v>6.4853820000000004</v>
      </c>
      <c r="J8496">
        <v>-314.69690000000003</v>
      </c>
      <c r="K8496">
        <v>1.0698299999999901</v>
      </c>
      <c r="L8496">
        <v>15.50055</v>
      </c>
      <c r="M8496">
        <v>0.92246510000000004</v>
      </c>
      <c r="N8496">
        <v>-2.086586E-2</v>
      </c>
      <c r="O8496">
        <v>-0.38551619999999998</v>
      </c>
      <c r="P8496">
        <v>0.66938999999999904</v>
      </c>
      <c r="Q8496">
        <v>0.131742</v>
      </c>
      <c r="R8496">
        <v>-0.73113700000000004</v>
      </c>
      <c r="S8496">
        <v>1.4482120000000001</v>
      </c>
      <c r="T8496">
        <v>-0.35245749999999998</v>
      </c>
      <c r="U8496">
        <v>-2.8567809999999998</v>
      </c>
      <c r="V8496">
        <v>0.41960229999999998</v>
      </c>
      <c r="W8496">
        <v>0.14153940000000001</v>
      </c>
      <c r="X8496">
        <v>0.89660499999999899</v>
      </c>
      <c r="Y8496">
        <v>0.64580850000000001</v>
      </c>
      <c r="Z8496">
        <v>-9.8751949999999998E-3</v>
      </c>
      <c r="AA8496">
        <v>0.76343549999999905</v>
      </c>
      <c r="AB8496">
        <v>23</v>
      </c>
      <c r="AC8496">
        <v>4.4653000000000098</v>
      </c>
      <c r="AD8496">
        <v>-1.1198300000000001</v>
      </c>
      <c r="AE8496">
        <v>-9.0151679999999992</v>
      </c>
      <c r="AF8496">
        <v>6.5154421351155101</v>
      </c>
      <c r="AG8496">
        <v>-1.1198300000000001</v>
      </c>
      <c r="AH8496">
        <v>7.5032650974659596</v>
      </c>
      <c r="AI8496">
        <v>96.429510595016097</v>
      </c>
      <c r="AJ8496">
        <v>49.0306633837533</v>
      </c>
      <c r="AK8496">
        <v>10.000199626396901</v>
      </c>
      <c r="AL8496">
        <v>81.863065585914498</v>
      </c>
      <c r="AM8496">
        <v>64.920869385984901</v>
      </c>
      <c r="AN8496">
        <v>1.0000000089713199</v>
      </c>
    </row>
    <row r="8497" spans="1:40" x14ac:dyDescent="0.25">
      <c r="A8497" t="str">
        <f>"20190303162117911"</f>
        <v>20190303162117911</v>
      </c>
      <c r="B8497" t="str">
        <f>"1551601277901156"</f>
        <v>1551601277901156</v>
      </c>
      <c r="C8497" t="s">
        <v>40</v>
      </c>
      <c r="D8497">
        <v>5.1545540000000001</v>
      </c>
      <c r="E8497">
        <v>0.61490619999999996</v>
      </c>
      <c r="F8497" t="s">
        <v>44</v>
      </c>
      <c r="G8497">
        <v>-310.33249999999998</v>
      </c>
      <c r="H8497">
        <v>-0.05</v>
      </c>
      <c r="I8497">
        <v>6.5375519999999998</v>
      </c>
      <c r="J8497">
        <v>-314.5575</v>
      </c>
      <c r="K8497">
        <v>1.0692090000000001</v>
      </c>
      <c r="L8497">
        <v>15.4321</v>
      </c>
      <c r="M8497">
        <v>0.91921109999999995</v>
      </c>
      <c r="N8497">
        <v>-2.049958E-2</v>
      </c>
      <c r="O8497">
        <v>-0.3932312</v>
      </c>
      <c r="P8497">
        <v>0.66258109999999903</v>
      </c>
      <c r="Q8497">
        <v>0.13099189999999999</v>
      </c>
      <c r="R8497">
        <v>-0.73744659999999995</v>
      </c>
      <c r="S8497">
        <v>1.403778</v>
      </c>
      <c r="T8497">
        <v>-0.3601837</v>
      </c>
      <c r="U8497">
        <v>-2.8828740000000002</v>
      </c>
      <c r="V8497">
        <v>0.4204811</v>
      </c>
      <c r="W8497">
        <v>0.1405197</v>
      </c>
      <c r="X8497">
        <v>0.89635370000000003</v>
      </c>
      <c r="Y8497">
        <v>0.65156380000000003</v>
      </c>
      <c r="Z8497">
        <v>-9.1598909999999999E-3</v>
      </c>
      <c r="AA8497">
        <v>0.7585385</v>
      </c>
      <c r="AB8497">
        <v>23</v>
      </c>
      <c r="AC8497">
        <v>4.2250000000000201</v>
      </c>
      <c r="AD8497">
        <v>-1.1192089999999999</v>
      </c>
      <c r="AE8497">
        <v>-8.8945480000000003</v>
      </c>
      <c r="AF8497">
        <v>6.4328316698458101</v>
      </c>
      <c r="AG8497">
        <v>-1.1192089999999999</v>
      </c>
      <c r="AH8497">
        <v>7.2886728410448098</v>
      </c>
      <c r="AI8497">
        <v>96.567439980198998</v>
      </c>
      <c r="AJ8497">
        <v>48.569043517578599</v>
      </c>
      <c r="AK8497">
        <v>9.7856376318580498</v>
      </c>
      <c r="AL8497">
        <v>81.922080241567997</v>
      </c>
      <c r="AM8497">
        <v>64.868643582756107</v>
      </c>
      <c r="AN8497">
        <v>1.00000004852449</v>
      </c>
    </row>
    <row r="8498" spans="1:40" x14ac:dyDescent="0.25">
      <c r="A8498" t="str">
        <f>"20190303162117923"</f>
        <v>20190303162117923</v>
      </c>
      <c r="B8498" t="str">
        <f>"1551601277910917"</f>
        <v>1551601277910917</v>
      </c>
      <c r="C8498" t="s">
        <v>40</v>
      </c>
      <c r="D8498">
        <v>5.1227429999999998</v>
      </c>
      <c r="E8498">
        <v>0.61572130000000003</v>
      </c>
      <c r="F8498" t="s">
        <v>44</v>
      </c>
      <c r="G8498">
        <v>-310.31979999999999</v>
      </c>
      <c r="H8498">
        <v>-0.05</v>
      </c>
      <c r="I8498">
        <v>6.4725799999999998</v>
      </c>
      <c r="J8498">
        <v>-314.43599999999998</v>
      </c>
      <c r="K8498">
        <v>1.0687120000000001</v>
      </c>
      <c r="L8498">
        <v>15.3714</v>
      </c>
      <c r="M8498">
        <v>0.91629450000000001</v>
      </c>
      <c r="N8498">
        <v>-2.019731E-2</v>
      </c>
      <c r="O8498">
        <v>-0.39999590000000002</v>
      </c>
      <c r="P8498">
        <v>0.65634130000000002</v>
      </c>
      <c r="Q8498">
        <v>0.13044990000000001</v>
      </c>
      <c r="R8498">
        <v>-0.74310140000000002</v>
      </c>
      <c r="S8498">
        <v>1.3716740000000001</v>
      </c>
      <c r="T8498">
        <v>-0.36226639999999999</v>
      </c>
      <c r="U8498">
        <v>-2.9000240000000002</v>
      </c>
      <c r="V8498">
        <v>0.42148160000000001</v>
      </c>
      <c r="W8498">
        <v>0.1397486</v>
      </c>
      <c r="X8498">
        <v>0.89600419999999903</v>
      </c>
      <c r="Y8498">
        <v>0.65457460000000001</v>
      </c>
      <c r="Z8498">
        <v>-8.4122959999999997E-3</v>
      </c>
      <c r="AA8498">
        <v>0.75595059999999903</v>
      </c>
      <c r="AB8498">
        <v>23</v>
      </c>
      <c r="AC8498">
        <v>4.1161999999999903</v>
      </c>
      <c r="AD8498">
        <v>-1.1187119999999999</v>
      </c>
      <c r="AE8498">
        <v>-8.89881999999999</v>
      </c>
      <c r="AF8498">
        <v>6.4251562668127402</v>
      </c>
      <c r="AG8498">
        <v>-1.1187119999999999</v>
      </c>
      <c r="AH8498">
        <v>7.2384030179234902</v>
      </c>
      <c r="AI8498">
        <v>96.593275858903894</v>
      </c>
      <c r="AJ8498">
        <v>48.406191584547599</v>
      </c>
      <c r="AK8498">
        <v>9.7431323424138601</v>
      </c>
      <c r="AL8498">
        <v>81.9667006653074</v>
      </c>
      <c r="AM8498">
        <v>64.807642607482094</v>
      </c>
      <c r="AN8498">
        <v>0.99999996837907901</v>
      </c>
    </row>
    <row r="8499" spans="1:40" x14ac:dyDescent="0.25">
      <c r="A8499" t="str">
        <f>"20190303162117935"</f>
        <v>20190303162117935</v>
      </c>
      <c r="B8499" t="str">
        <f>"1551601277931411"</f>
        <v>1551601277931411</v>
      </c>
      <c r="C8499" t="s">
        <v>40</v>
      </c>
      <c r="D8499">
        <v>5.1322390000000002</v>
      </c>
      <c r="E8499">
        <v>0.61710719999999997</v>
      </c>
      <c r="F8499" t="s">
        <v>44</v>
      </c>
      <c r="G8499">
        <v>-310.2998</v>
      </c>
      <c r="H8499">
        <v>-0.05</v>
      </c>
      <c r="I8499">
        <v>6.3836519999999997</v>
      </c>
      <c r="J8499">
        <v>-314.3313</v>
      </c>
      <c r="K8499">
        <v>1.0683260000000001</v>
      </c>
      <c r="L8499">
        <v>15.31772</v>
      </c>
      <c r="M8499">
        <v>0.91370560000000001</v>
      </c>
      <c r="N8499">
        <v>-1.9956290000000002E-2</v>
      </c>
      <c r="O8499">
        <v>-0.40588659999999999</v>
      </c>
      <c r="P8499">
        <v>0.65116830000000003</v>
      </c>
      <c r="Q8499">
        <v>0.1306438</v>
      </c>
      <c r="R8499">
        <v>-0.74760459999999995</v>
      </c>
      <c r="S8499">
        <v>1.3418270000000001</v>
      </c>
      <c r="T8499">
        <v>-0.3629172</v>
      </c>
      <c r="U8499">
        <v>-2.91568</v>
      </c>
      <c r="V8499">
        <v>0.42188639999999999</v>
      </c>
      <c r="W8499">
        <v>0.13976379999999999</v>
      </c>
      <c r="X8499">
        <v>0.89581129999999998</v>
      </c>
      <c r="Y8499">
        <v>0.65764809999999996</v>
      </c>
      <c r="Z8499">
        <v>-7.8305969999999999E-3</v>
      </c>
      <c r="AA8499">
        <v>0.75328459999999997</v>
      </c>
      <c r="AB8499">
        <v>23</v>
      </c>
      <c r="AC8499">
        <v>4.0314999999999896</v>
      </c>
      <c r="AD8499">
        <v>-1.1183259999999999</v>
      </c>
      <c r="AE8499">
        <v>-8.9340679999999999</v>
      </c>
      <c r="AF8499">
        <v>6.4441849896869403</v>
      </c>
      <c r="AG8499">
        <v>-1.1183259999999999</v>
      </c>
      <c r="AH8499">
        <v>7.2173226378630497</v>
      </c>
      <c r="AI8499">
        <v>96.593108721928999</v>
      </c>
      <c r="AJ8499">
        <v>48.239051320154601</v>
      </c>
      <c r="AK8499">
        <v>9.7400163902630599</v>
      </c>
      <c r="AL8499">
        <v>81.965821148797403</v>
      </c>
      <c r="AM8499">
        <v>64.781696136733601</v>
      </c>
      <c r="AN8499">
        <v>0.99999996975154404</v>
      </c>
    </row>
    <row r="8500" spans="1:40" x14ac:dyDescent="0.25">
      <c r="A8500" t="str">
        <f>"20190303162117948"</f>
        <v>20190303162117948</v>
      </c>
      <c r="B8500" t="str">
        <f>"1551601277941173"</f>
        <v>1551601277941173</v>
      </c>
      <c r="C8500" t="s">
        <v>40</v>
      </c>
      <c r="D8500">
        <v>5.167173</v>
      </c>
      <c r="E8500">
        <v>0.6176239</v>
      </c>
      <c r="F8500" t="s">
        <v>44</v>
      </c>
      <c r="G8500">
        <v>-310.25330000000002</v>
      </c>
      <c r="H8500">
        <v>-0.05</v>
      </c>
      <c r="I8500">
        <v>6.2113649999999998</v>
      </c>
      <c r="J8500">
        <v>-314.214</v>
      </c>
      <c r="K8500">
        <v>1.0679069999999999</v>
      </c>
      <c r="L8500">
        <v>15.25714</v>
      </c>
      <c r="M8500">
        <v>0.91075209999999995</v>
      </c>
      <c r="N8500">
        <v>-1.9694440000000001E-2</v>
      </c>
      <c r="O8500">
        <v>-0.41248380000000001</v>
      </c>
      <c r="P8500">
        <v>0.64523430000000004</v>
      </c>
      <c r="Q8500">
        <v>0.1313733</v>
      </c>
      <c r="R8500">
        <v>-0.75260479999999996</v>
      </c>
      <c r="S8500">
        <v>1.3130489999999999</v>
      </c>
      <c r="T8500">
        <v>-0.36008269999999998</v>
      </c>
      <c r="U8500">
        <v>-2.9320979999999999</v>
      </c>
      <c r="V8500">
        <v>0.4223749</v>
      </c>
      <c r="W8500">
        <v>0.14029349999999999</v>
      </c>
      <c r="X8500">
        <v>0.89549829999999997</v>
      </c>
      <c r="Y8500">
        <v>0.66000519999999996</v>
      </c>
      <c r="Z8500">
        <v>-7.1562120000000003E-3</v>
      </c>
      <c r="AA8500">
        <v>0.75122699999999998</v>
      </c>
      <c r="AB8500">
        <v>23</v>
      </c>
      <c r="AC8500">
        <v>3.9606999999999699</v>
      </c>
      <c r="AD8500">
        <v>-1.117907</v>
      </c>
      <c r="AE8500">
        <v>-9.0457750000000008</v>
      </c>
      <c r="AF8500">
        <v>6.5224242592181003</v>
      </c>
      <c r="AG8500">
        <v>-1.117907</v>
      </c>
      <c r="AH8500">
        <v>7.2469979987692499</v>
      </c>
      <c r="AI8500">
        <v>96.540858173867605</v>
      </c>
      <c r="AJ8500">
        <v>48.012236873276102</v>
      </c>
      <c r="AK8500">
        <v>9.8138022331842105</v>
      </c>
      <c r="AL8500">
        <v>81.935169934582703</v>
      </c>
      <c r="AM8500">
        <v>64.748404564955806</v>
      </c>
      <c r="AN8500">
        <v>1.00000001379757</v>
      </c>
    </row>
    <row r="8501" spans="1:40" x14ac:dyDescent="0.25">
      <c r="A8501" t="str">
        <f>"20190303162117961"</f>
        <v>20190303162117961</v>
      </c>
      <c r="B8501" t="str">
        <f>"1551601277951907"</f>
        <v>1551601277951907</v>
      </c>
      <c r="C8501" t="s">
        <v>40</v>
      </c>
      <c r="D8501">
        <v>4.9050699999999896</v>
      </c>
      <c r="E8501">
        <v>0.61916740000000003</v>
      </c>
      <c r="F8501" t="s">
        <v>44</v>
      </c>
      <c r="G8501">
        <v>-310.18779999999998</v>
      </c>
      <c r="H8501">
        <v>-0.05</v>
      </c>
      <c r="I8501">
        <v>6.0426789999999997</v>
      </c>
      <c r="J8501">
        <v>-314.08589999999998</v>
      </c>
      <c r="K8501">
        <v>1.0674840000000001</v>
      </c>
      <c r="L8501">
        <v>15.189360000000001</v>
      </c>
      <c r="M8501">
        <v>0.90743269999999998</v>
      </c>
      <c r="N8501">
        <v>-1.9428190000000001E-2</v>
      </c>
      <c r="O8501">
        <v>-0.41974810000000001</v>
      </c>
      <c r="P8501">
        <v>0.63876549999999999</v>
      </c>
      <c r="Q8501">
        <v>0.13181219999999999</v>
      </c>
      <c r="R8501">
        <v>-0.75802689999999995</v>
      </c>
      <c r="S8501">
        <v>1.28689599999999</v>
      </c>
      <c r="T8501">
        <v>-0.35731740000000001</v>
      </c>
      <c r="U8501">
        <v>-2.9452210000000001</v>
      </c>
      <c r="V8501">
        <v>0.42281380000000002</v>
      </c>
      <c r="W8501">
        <v>0.14051820000000001</v>
      </c>
      <c r="X8501">
        <v>0.89525589999999999</v>
      </c>
      <c r="Y8501">
        <v>0.6609159</v>
      </c>
      <c r="Z8501">
        <v>-6.270599E-3</v>
      </c>
      <c r="AA8501">
        <v>0.75043369999999998</v>
      </c>
      <c r="AB8501">
        <v>23</v>
      </c>
      <c r="AC8501">
        <v>3.8980999999999999</v>
      </c>
      <c r="AD8501">
        <v>-1.1174839999999999</v>
      </c>
      <c r="AE8501">
        <v>-9.1466809999999992</v>
      </c>
      <c r="AF8501">
        <v>6.5818921812427904</v>
      </c>
      <c r="AG8501">
        <v>-1.1174839999999999</v>
      </c>
      <c r="AH8501">
        <v>7.2859213800464797</v>
      </c>
      <c r="AI8501">
        <v>96.493028109815299</v>
      </c>
      <c r="AJ8501">
        <v>47.906247674582197</v>
      </c>
      <c r="AK8501">
        <v>9.8820405550665207</v>
      </c>
      <c r="AL8501">
        <v>81.922166653900007</v>
      </c>
      <c r="AM8501">
        <v>64.719448373530597</v>
      </c>
      <c r="AN8501">
        <v>1.0000000002432401</v>
      </c>
    </row>
    <row r="8502" spans="1:40" x14ac:dyDescent="0.25">
      <c r="A8502" t="str">
        <f>"20190303162117975"</f>
        <v>20190303162117975</v>
      </c>
      <c r="B8502" t="str">
        <f>"1551601277960692"</f>
        <v>1551601277960692</v>
      </c>
      <c r="C8502" t="s">
        <v>40</v>
      </c>
      <c r="D8502">
        <v>5.1386479999999999</v>
      </c>
      <c r="E8502">
        <v>0.61951460000000003</v>
      </c>
      <c r="F8502" t="s">
        <v>44</v>
      </c>
      <c r="G8502">
        <v>-310.10079999999999</v>
      </c>
      <c r="H8502">
        <v>-0.05</v>
      </c>
      <c r="I8502">
        <v>5.7593690000000004</v>
      </c>
      <c r="J8502">
        <v>-313.9631</v>
      </c>
      <c r="K8502">
        <v>1.0671090000000001</v>
      </c>
      <c r="L8502">
        <v>15.1230799999999</v>
      </c>
      <c r="M8502">
        <v>0.90416700000000005</v>
      </c>
      <c r="N8502">
        <v>-1.9189319999999999E-2</v>
      </c>
      <c r="O8502">
        <v>-0.42674830000000002</v>
      </c>
      <c r="P8502">
        <v>0.63261969999999901</v>
      </c>
      <c r="Q8502">
        <v>0.1325249</v>
      </c>
      <c r="R8502">
        <v>-0.76303969999999999</v>
      </c>
      <c r="S8502">
        <v>1.252319</v>
      </c>
      <c r="T8502">
        <v>-0.35117350000000003</v>
      </c>
      <c r="U8502">
        <v>-2.963409</v>
      </c>
      <c r="V8502">
        <v>0.42302240000000002</v>
      </c>
      <c r="W8502">
        <v>0.141032399999999</v>
      </c>
      <c r="X8502">
        <v>0.89507649999999905</v>
      </c>
      <c r="Y8502">
        <v>0.66429349999999998</v>
      </c>
      <c r="Z8502">
        <v>-5.7544950000000001E-3</v>
      </c>
      <c r="AA8502">
        <v>0.747449699999999</v>
      </c>
      <c r="AB8502">
        <v>23</v>
      </c>
      <c r="AC8502">
        <v>3.8622999999999998</v>
      </c>
      <c r="AD8502">
        <v>-1.1171089999999999</v>
      </c>
      <c r="AE8502">
        <v>-9.3637110000000003</v>
      </c>
      <c r="AF8502">
        <v>6.73743234766558</v>
      </c>
      <c r="AG8502">
        <v>-1.1171089999999999</v>
      </c>
      <c r="AH8502">
        <v>7.3994861678628503</v>
      </c>
      <c r="AI8502">
        <v>96.369545207342</v>
      </c>
      <c r="AJ8502">
        <v>47.681291167083302</v>
      </c>
      <c r="AK8502">
        <v>10.069425142759901</v>
      </c>
      <c r="AL8502">
        <v>81.892408941348293</v>
      </c>
      <c r="AM8502">
        <v>64.704098112182606</v>
      </c>
      <c r="AN8502">
        <v>1.0000000148018799</v>
      </c>
    </row>
    <row r="8503" spans="1:40" x14ac:dyDescent="0.25">
      <c r="A8503" t="str">
        <f>"20190303162117988"</f>
        <v>20190303162117988</v>
      </c>
      <c r="B8503" t="str">
        <f>"1551601277981189"</f>
        <v>1551601277981189</v>
      </c>
      <c r="C8503" t="s">
        <v>40</v>
      </c>
      <c r="D8503">
        <v>4.8885519999999998</v>
      </c>
      <c r="E8503">
        <v>0.62199450000000001</v>
      </c>
      <c r="F8503" t="s">
        <v>44</v>
      </c>
      <c r="G8503">
        <v>-310.03109999999998</v>
      </c>
      <c r="H8503">
        <v>-0.05</v>
      </c>
      <c r="I8503">
        <v>5.5858309999999998</v>
      </c>
      <c r="J8503">
        <v>-313.84190000000001</v>
      </c>
      <c r="K8503">
        <v>1.0667519999999999</v>
      </c>
      <c r="L8503">
        <v>15.056699999999999</v>
      </c>
      <c r="M8503">
        <v>0.9008678</v>
      </c>
      <c r="N8503">
        <v>-1.8964169999999999E-2</v>
      </c>
      <c r="O8503">
        <v>-0.4336795</v>
      </c>
      <c r="P8503">
        <v>0.62708149999999996</v>
      </c>
      <c r="Q8503">
        <v>0.13278229999999999</v>
      </c>
      <c r="R8503">
        <v>-0.76755340000000005</v>
      </c>
      <c r="S8503">
        <v>1.2266239999999999</v>
      </c>
      <c r="T8503">
        <v>-0.34848759999999901</v>
      </c>
      <c r="U8503">
        <v>-2.9751889999999999</v>
      </c>
      <c r="V8503">
        <v>0.42258259999999997</v>
      </c>
      <c r="W8503">
        <v>0.14111499999999999</v>
      </c>
      <c r="X8503">
        <v>0.89527119999999905</v>
      </c>
      <c r="Y8503">
        <v>0.66518710000000003</v>
      </c>
      <c r="Z8503">
        <v>-4.9531459999999899E-3</v>
      </c>
      <c r="AA8503">
        <v>0.7466604</v>
      </c>
      <c r="AB8503">
        <v>23</v>
      </c>
      <c r="AC8503">
        <v>3.8108000000000199</v>
      </c>
      <c r="AD8503">
        <v>-1.116752</v>
      </c>
      <c r="AE8503">
        <v>-9.4708690000000004</v>
      </c>
      <c r="AF8503">
        <v>6.7992090863468597</v>
      </c>
      <c r="AG8503">
        <v>-1.116752</v>
      </c>
      <c r="AH8503">
        <v>7.4525236947823803</v>
      </c>
      <c r="AI8503">
        <v>96.316931821472707</v>
      </c>
      <c r="AJ8503">
        <v>47.624662089463001</v>
      </c>
      <c r="AK8503">
        <v>10.149703870096801</v>
      </c>
      <c r="AL8503">
        <v>81.887628456365803</v>
      </c>
      <c r="AM8503">
        <v>64.731925702610695</v>
      </c>
      <c r="AN8503">
        <v>1.0000000092985999</v>
      </c>
    </row>
    <row r="8504" spans="1:40" x14ac:dyDescent="0.25">
      <c r="A8504" t="str">
        <f>"20190303162118001"</f>
        <v>20190303162118001</v>
      </c>
      <c r="B8504" t="str">
        <f>"1551601277990947"</f>
        <v>1551601277990947</v>
      </c>
      <c r="C8504" t="s">
        <v>40</v>
      </c>
      <c r="D8504">
        <v>4.7930769999999896</v>
      </c>
      <c r="E8504">
        <v>0.62319440000000004</v>
      </c>
      <c r="F8504" t="s">
        <v>44</v>
      </c>
      <c r="G8504">
        <v>-309.91309999999999</v>
      </c>
      <c r="H8504">
        <v>-0.05</v>
      </c>
      <c r="I8504">
        <v>5.1535489999999999</v>
      </c>
      <c r="J8504">
        <v>-313.70890000000003</v>
      </c>
      <c r="K8504">
        <v>1.0663879999999999</v>
      </c>
      <c r="L8504">
        <v>14.98221</v>
      </c>
      <c r="M8504">
        <v>0.89714559999999999</v>
      </c>
      <c r="N8504">
        <v>-1.8735499999999999E-2</v>
      </c>
      <c r="O8504">
        <v>-0.4413376</v>
      </c>
      <c r="P8504">
        <v>0.62089119999999998</v>
      </c>
      <c r="Q8504">
        <v>0.1334207</v>
      </c>
      <c r="R8504">
        <v>-0.77245940000000002</v>
      </c>
      <c r="S8504">
        <v>1.1885680000000001</v>
      </c>
      <c r="T8504">
        <v>-0.33784399999999998</v>
      </c>
      <c r="U8504">
        <v>-2.9959410000000002</v>
      </c>
      <c r="V8504">
        <v>0.42206359999999898</v>
      </c>
      <c r="W8504">
        <v>0.14156389999999999</v>
      </c>
      <c r="X8504">
        <v>0.89544519999999905</v>
      </c>
      <c r="Y8504">
        <v>0.66893919999999996</v>
      </c>
      <c r="Z8504">
        <v>-4.5738159999999996E-3</v>
      </c>
      <c r="AA8504">
        <v>0.74330309999999999</v>
      </c>
      <c r="AB8504">
        <v>23</v>
      </c>
      <c r="AC8504">
        <v>3.7958000000000398</v>
      </c>
      <c r="AD8504">
        <v>-1.1163879999999999</v>
      </c>
      <c r="AE8504">
        <v>-9.8286610000000003</v>
      </c>
      <c r="AF8504">
        <v>7.0644512415521499</v>
      </c>
      <c r="AG8504">
        <v>-1.1163879999999999</v>
      </c>
      <c r="AH8504">
        <v>7.6585192363970096</v>
      </c>
      <c r="AI8504">
        <v>96.115758507625202</v>
      </c>
      <c r="AJ8504">
        <v>47.310616237988697</v>
      </c>
      <c r="AK8504">
        <v>10.4788219951039</v>
      </c>
      <c r="AL8504">
        <v>81.861648005506893</v>
      </c>
      <c r="AM8504">
        <v>64.763389412340402</v>
      </c>
      <c r="AN8504">
        <v>1.0000000632156001</v>
      </c>
    </row>
    <row r="8505" spans="1:40" x14ac:dyDescent="0.25">
      <c r="A8505" t="str">
        <f>"20190303162118015"</f>
        <v>20190303162118015</v>
      </c>
      <c r="B8505" t="str">
        <f>"1551601278011444"</f>
        <v>1551601278011444</v>
      </c>
      <c r="C8505" t="s">
        <v>40</v>
      </c>
      <c r="D8505">
        <v>5.1190389999999999</v>
      </c>
      <c r="E8505">
        <v>0.62430200000000002</v>
      </c>
      <c r="F8505" t="s">
        <v>44</v>
      </c>
      <c r="G8505">
        <v>-309.80860000000001</v>
      </c>
      <c r="H8505">
        <v>-0.05</v>
      </c>
      <c r="I8505">
        <v>4.828201</v>
      </c>
      <c r="J8505">
        <v>-313.5949</v>
      </c>
      <c r="K8505">
        <v>1.0661</v>
      </c>
      <c r="L8505">
        <v>14.9169</v>
      </c>
      <c r="M8505">
        <v>0.89386309999999902</v>
      </c>
      <c r="N8505">
        <v>-1.855416E-2</v>
      </c>
      <c r="O8505">
        <v>-0.44795610000000002</v>
      </c>
      <c r="P8505">
        <v>0.61560360000000003</v>
      </c>
      <c r="Q8505">
        <v>0.13428109999999999</v>
      </c>
      <c r="R8505">
        <v>-0.77653190000000005</v>
      </c>
      <c r="S8505">
        <v>1.156647</v>
      </c>
      <c r="T8505">
        <v>-0.33106819999999998</v>
      </c>
      <c r="U8505">
        <v>-3.0112000000000001</v>
      </c>
      <c r="V8505">
        <v>0.42144209999999899</v>
      </c>
      <c r="W8505">
        <v>0.14227239999999999</v>
      </c>
      <c r="X8505">
        <v>0.89562559999999902</v>
      </c>
      <c r="Y8505">
        <v>0.67166689999999996</v>
      </c>
      <c r="Z8505">
        <v>-4.1621230000000002E-3</v>
      </c>
      <c r="AA8505">
        <v>0.74084169999999905</v>
      </c>
      <c r="AB8505">
        <v>23</v>
      </c>
      <c r="AC8505">
        <v>3.7862999999999798</v>
      </c>
      <c r="AD8505">
        <v>-1.1161000000000001</v>
      </c>
      <c r="AE8505">
        <v>-10.088699</v>
      </c>
      <c r="AF8505">
        <v>7.2453535478745703</v>
      </c>
      <c r="AG8505">
        <v>-1.1161000000000001</v>
      </c>
      <c r="AH8505">
        <v>7.8211848695280599</v>
      </c>
      <c r="AI8505">
        <v>95.976284829730204</v>
      </c>
      <c r="AJ8505">
        <v>47.188734621722197</v>
      </c>
      <c r="AK8505">
        <v>10.719690294361699</v>
      </c>
      <c r="AL8505">
        <v>81.820638739053194</v>
      </c>
      <c r="AM8505">
        <v>64.800383216200103</v>
      </c>
      <c r="AN8505">
        <v>1.0000000474147599</v>
      </c>
    </row>
    <row r="8506" spans="1:40" x14ac:dyDescent="0.25">
      <c r="A8506" t="str">
        <f>"20190303162118027"</f>
        <v>20190303162118027</v>
      </c>
      <c r="B8506" t="str">
        <f>"1551601278021204"</f>
        <v>1551601278021204</v>
      </c>
      <c r="C8506" t="s">
        <v>40</v>
      </c>
      <c r="D8506">
        <v>5.0891029999999997</v>
      </c>
      <c r="E8506">
        <v>0.62433490000000003</v>
      </c>
      <c r="F8506" t="s">
        <v>44</v>
      </c>
      <c r="G8506">
        <v>-309.70549999999997</v>
      </c>
      <c r="H8506">
        <v>-0.05</v>
      </c>
      <c r="I8506">
        <v>4.4996029999999996</v>
      </c>
      <c r="J8506">
        <v>-313.4855</v>
      </c>
      <c r="K8506">
        <v>1.0658399999999999</v>
      </c>
      <c r="L8506">
        <v>14.85355</v>
      </c>
      <c r="M8506">
        <v>0.89064789999999905</v>
      </c>
      <c r="N8506">
        <v>-1.8386690000000001E-2</v>
      </c>
      <c r="O8506">
        <v>-0.45432169999999999</v>
      </c>
      <c r="P8506">
        <v>0.61010369999999903</v>
      </c>
      <c r="Q8506">
        <v>0.13589570000000001</v>
      </c>
      <c r="R8506">
        <v>-0.78058039999999995</v>
      </c>
      <c r="S8506">
        <v>1.1291500000000001</v>
      </c>
      <c r="T8506">
        <v>-0.32401679999999999</v>
      </c>
      <c r="U8506">
        <v>-3.0242610000000001</v>
      </c>
      <c r="V8506">
        <v>0.42116320000000002</v>
      </c>
      <c r="W8506">
        <v>0.143733</v>
      </c>
      <c r="X8506">
        <v>0.89552350000000003</v>
      </c>
      <c r="Y8506">
        <v>0.67344130000000002</v>
      </c>
      <c r="Z8506">
        <v>-3.7383339999999998E-3</v>
      </c>
      <c r="AA8506">
        <v>0.73923130000000004</v>
      </c>
      <c r="AB8506">
        <v>23</v>
      </c>
      <c r="AC8506">
        <v>3.7800000000000198</v>
      </c>
      <c r="AD8506">
        <v>-1.1158399999999999</v>
      </c>
      <c r="AE8506">
        <v>-10.353947</v>
      </c>
      <c r="AF8506">
        <v>7.4295138461482999</v>
      </c>
      <c r="AG8506">
        <v>-1.1158399999999999</v>
      </c>
      <c r="AH8506">
        <v>7.9901507396052303</v>
      </c>
      <c r="AI8506">
        <v>95.839429447813899</v>
      </c>
      <c r="AJ8506">
        <v>47.082275156285597</v>
      </c>
      <c r="AK8506">
        <v>10.967464781676901</v>
      </c>
      <c r="AL8506">
        <v>81.736082905561602</v>
      </c>
      <c r="AM8506">
        <v>64.812477056843207</v>
      </c>
      <c r="AN8506">
        <v>0.99999997768774396</v>
      </c>
    </row>
    <row r="8507" spans="1:40" x14ac:dyDescent="0.25">
      <c r="A8507" t="str">
        <f>"20190303162118040"</f>
        <v>20190303162118040</v>
      </c>
      <c r="B8507" t="str">
        <f>"1551601278030964"</f>
        <v>1551601278030964</v>
      </c>
      <c r="C8507" t="s">
        <v>40</v>
      </c>
      <c r="D8507">
        <v>5.0901670000000001</v>
      </c>
      <c r="E8507">
        <v>0.62438090000000002</v>
      </c>
      <c r="F8507" t="s">
        <v>44</v>
      </c>
      <c r="G8507">
        <v>-309.60570000000001</v>
      </c>
      <c r="H8507">
        <v>-0.05</v>
      </c>
      <c r="I8507">
        <v>4.2350770000000004</v>
      </c>
      <c r="J8507">
        <v>-313.36040000000003</v>
      </c>
      <c r="K8507">
        <v>1.065582</v>
      </c>
      <c r="L8507">
        <v>14.779389999999999</v>
      </c>
      <c r="M8507">
        <v>0.88686529999999997</v>
      </c>
      <c r="N8507">
        <v>-1.8211669999999999E-2</v>
      </c>
      <c r="O8507">
        <v>-0.4616691</v>
      </c>
      <c r="P8507">
        <v>0.60274799999999995</v>
      </c>
      <c r="Q8507">
        <v>0.13939179999999901</v>
      </c>
      <c r="R8507">
        <v>-0.78566219999999998</v>
      </c>
      <c r="S8507">
        <v>1.108093</v>
      </c>
      <c r="T8507">
        <v>-0.31869219999999998</v>
      </c>
      <c r="U8507">
        <v>-3.032715</v>
      </c>
      <c r="V8507">
        <v>0.42170249999999998</v>
      </c>
      <c r="W8507">
        <v>0.147034</v>
      </c>
      <c r="X8507">
        <v>0.89473349999999996</v>
      </c>
      <c r="Y8507">
        <v>0.67262060000000001</v>
      </c>
      <c r="Z8507">
        <v>-2.9522329999999999E-3</v>
      </c>
      <c r="AA8507">
        <v>0.73998169999999996</v>
      </c>
      <c r="AB8507">
        <v>23</v>
      </c>
      <c r="AC8507">
        <v>3.7547000000000099</v>
      </c>
      <c r="AD8507">
        <v>-1.1155820000000001</v>
      </c>
      <c r="AE8507">
        <v>-10.544313000000001</v>
      </c>
      <c r="AF8507">
        <v>7.5442754971339703</v>
      </c>
      <c r="AG8507">
        <v>-1.1155820000000001</v>
      </c>
      <c r="AH8507">
        <v>8.1186066092724598</v>
      </c>
      <c r="AI8507">
        <v>95.7479804681536</v>
      </c>
      <c r="AJ8507">
        <v>47.099997435148197</v>
      </c>
      <c r="AK8507">
        <v>11.1387786247641</v>
      </c>
      <c r="AL8507">
        <v>81.544918713837404</v>
      </c>
      <c r="AM8507">
        <v>64.764733060331807</v>
      </c>
      <c r="AN8507">
        <v>1.00000001584224</v>
      </c>
    </row>
    <row r="8508" spans="1:40" x14ac:dyDescent="0.25">
      <c r="A8508" t="str">
        <f>"20190303162118052"</f>
        <v>20190303162118052</v>
      </c>
      <c r="B8508" t="str">
        <f>"1551601278040724"</f>
        <v>1551601278040724</v>
      </c>
      <c r="C8508" t="s">
        <v>40</v>
      </c>
      <c r="D8508">
        <v>5.0931749999999996</v>
      </c>
      <c r="E8508">
        <v>0.62442059999999999</v>
      </c>
      <c r="F8508" t="s">
        <v>44</v>
      </c>
      <c r="G8508">
        <v>-309.44389999999999</v>
      </c>
      <c r="H8508">
        <v>-0.05</v>
      </c>
      <c r="I8508">
        <v>3.753952</v>
      </c>
      <c r="J8508">
        <v>-313.25810000000001</v>
      </c>
      <c r="K8508">
        <v>1.06538</v>
      </c>
      <c r="L8508">
        <v>14.71762</v>
      </c>
      <c r="M8508">
        <v>0.88369209999999998</v>
      </c>
      <c r="N8508">
        <v>-1.807779E-2</v>
      </c>
      <c r="O8508">
        <v>-0.46771960000000001</v>
      </c>
      <c r="P8508">
        <v>0.59683009999999903</v>
      </c>
      <c r="Q8508">
        <v>0.14045629999999901</v>
      </c>
      <c r="R8508">
        <v>-0.78997859999999998</v>
      </c>
      <c r="S8508">
        <v>1.0811770000000001</v>
      </c>
      <c r="T8508">
        <v>-0.30795980000000001</v>
      </c>
      <c r="U8508">
        <v>-3.0436100000000001</v>
      </c>
      <c r="V8508">
        <v>0.42216740000000003</v>
      </c>
      <c r="W8508">
        <v>0.14795079999999999</v>
      </c>
      <c r="X8508">
        <v>0.89436299999999902</v>
      </c>
      <c r="Y8508">
        <v>0.67432950000000003</v>
      </c>
      <c r="Z8508">
        <v>-2.768384E-3</v>
      </c>
      <c r="AA8508">
        <v>0.73842540000000001</v>
      </c>
      <c r="AB8508">
        <v>23</v>
      </c>
      <c r="AC8508">
        <v>3.81420000000002</v>
      </c>
      <c r="AD8508">
        <v>-1.11538</v>
      </c>
      <c r="AE8508">
        <v>-10.963668</v>
      </c>
      <c r="AF8508">
        <v>7.8334997018941301</v>
      </c>
      <c r="AG8508">
        <v>-1.11538</v>
      </c>
      <c r="AH8508">
        <v>8.4221323388729399</v>
      </c>
      <c r="AI8508">
        <v>95.538807457848094</v>
      </c>
      <c r="AJ8508">
        <v>47.073831167795703</v>
      </c>
      <c r="AK8508">
        <v>11.5559553156571</v>
      </c>
      <c r="AL8508">
        <v>81.491808650402206</v>
      </c>
      <c r="AM8508">
        <v>64.731219208412298</v>
      </c>
      <c r="AN8508">
        <v>0.99999996430619897</v>
      </c>
    </row>
    <row r="8509" spans="1:40" x14ac:dyDescent="0.25">
      <c r="A8509" t="str">
        <f>"20190303162118065"</f>
        <v>20190303162118065</v>
      </c>
      <c r="B8509" t="str">
        <f>"1551601278061220"</f>
        <v>1551601278061220</v>
      </c>
      <c r="C8509" t="s">
        <v>40</v>
      </c>
      <c r="D8509">
        <v>5.0388010000000003</v>
      </c>
      <c r="E8509">
        <v>0.6242297</v>
      </c>
      <c r="F8509" t="s">
        <v>44</v>
      </c>
      <c r="G8509">
        <v>-309.37950000000001</v>
      </c>
      <c r="H8509">
        <v>-0.05</v>
      </c>
      <c r="I8509">
        <v>3.5364689999999999</v>
      </c>
      <c r="J8509">
        <v>-313.14359999999999</v>
      </c>
      <c r="K8509">
        <v>1.0651619999999999</v>
      </c>
      <c r="L8509">
        <v>14.64771</v>
      </c>
      <c r="M8509">
        <v>0.88006930000000005</v>
      </c>
      <c r="N8509">
        <v>-1.793401E-2</v>
      </c>
      <c r="O8509">
        <v>-0.4745066</v>
      </c>
      <c r="P8509">
        <v>0.59078900000000001</v>
      </c>
      <c r="Q8509">
        <v>0.14161000000000001</v>
      </c>
      <c r="R8509">
        <v>-0.7943017</v>
      </c>
      <c r="S8509">
        <v>1.0586549999999999</v>
      </c>
      <c r="T8509">
        <v>-0.30444149999999998</v>
      </c>
      <c r="U8509">
        <v>-3.0518800000000001</v>
      </c>
      <c r="V8509">
        <v>0.4219503</v>
      </c>
      <c r="W8509">
        <v>0.1489666</v>
      </c>
      <c r="X8509">
        <v>0.89429689999999995</v>
      </c>
      <c r="Y8509">
        <v>0.67419629999999997</v>
      </c>
      <c r="Z8509">
        <v>-2.1034199999999999E-3</v>
      </c>
      <c r="AA8509">
        <v>0.73854929999999996</v>
      </c>
      <c r="AB8509">
        <v>23</v>
      </c>
      <c r="AC8509">
        <v>3.76409999999998</v>
      </c>
      <c r="AD8509">
        <v>-1.115162</v>
      </c>
      <c r="AE8509">
        <v>-11.111241</v>
      </c>
      <c r="AF8509">
        <v>7.9222725469848001</v>
      </c>
      <c r="AG8509">
        <v>-1.115162</v>
      </c>
      <c r="AH8509">
        <v>8.5095158172842496</v>
      </c>
      <c r="AI8509">
        <v>95.478820255677206</v>
      </c>
      <c r="AJ8509">
        <v>47.046779476883501</v>
      </c>
      <c r="AK8509">
        <v>11.6798051370544</v>
      </c>
      <c r="AL8509">
        <v>81.432955936282596</v>
      </c>
      <c r="AM8509">
        <v>64.740959947220205</v>
      </c>
      <c r="AN8509">
        <v>1.0000000244676199</v>
      </c>
    </row>
    <row r="8510" spans="1:40" x14ac:dyDescent="0.25">
      <c r="A8510" t="str">
        <f>"20190303162118076"</f>
        <v>20190303162118076</v>
      </c>
      <c r="B8510" t="str">
        <f>"1551601278070979"</f>
        <v>1551601278070979</v>
      </c>
      <c r="C8510" t="s">
        <v>40</v>
      </c>
      <c r="D8510">
        <v>5.0713730000000004</v>
      </c>
      <c r="E8510">
        <v>0.62410900000000002</v>
      </c>
      <c r="F8510" t="s">
        <v>44</v>
      </c>
      <c r="G8510">
        <v>-309.29790000000003</v>
      </c>
      <c r="H8510">
        <v>-0.05</v>
      </c>
      <c r="I8510">
        <v>3.298737</v>
      </c>
      <c r="J8510">
        <v>-313.03870000000001</v>
      </c>
      <c r="K8510">
        <v>1.064994</v>
      </c>
      <c r="L8510">
        <v>14.581939999999999</v>
      </c>
      <c r="M8510">
        <v>0.87665389999999999</v>
      </c>
      <c r="N8510">
        <v>-1.7815399999999999E-2</v>
      </c>
      <c r="O8510">
        <v>-0.48079169999999999</v>
      </c>
      <c r="P8510">
        <v>0.58578030000000003</v>
      </c>
      <c r="Q8510">
        <v>0.14235500000000001</v>
      </c>
      <c r="R8510">
        <v>-0.79787010000000003</v>
      </c>
      <c r="S8510">
        <v>1.036713</v>
      </c>
      <c r="T8510">
        <v>-0.30062470000000002</v>
      </c>
      <c r="U8510">
        <v>-3.0594480000000002</v>
      </c>
      <c r="V8510">
        <v>0.4210758</v>
      </c>
      <c r="W8510">
        <v>0.1496219</v>
      </c>
      <c r="X8510">
        <v>0.89459959999999905</v>
      </c>
      <c r="Y8510">
        <v>0.67427959999999998</v>
      </c>
      <c r="Z8510">
        <v>-1.55065E-3</v>
      </c>
      <c r="AA8510">
        <v>0.73847450000000003</v>
      </c>
      <c r="AB8510">
        <v>23</v>
      </c>
      <c r="AC8510">
        <v>3.7407999999999699</v>
      </c>
      <c r="AD8510">
        <v>-1.114994</v>
      </c>
      <c r="AE8510">
        <v>-11.283203</v>
      </c>
      <c r="AF8510">
        <v>8.0236098201002406</v>
      </c>
      <c r="AG8510">
        <v>-1.114994</v>
      </c>
      <c r="AH8510">
        <v>8.6297131945998995</v>
      </c>
      <c r="AI8510">
        <v>95.405434890276396</v>
      </c>
      <c r="AJ8510">
        <v>47.084379436422701</v>
      </c>
      <c r="AK8510">
        <v>11.836108988442801</v>
      </c>
      <c r="AL8510">
        <v>81.394984188598499</v>
      </c>
      <c r="AM8510">
        <v>64.794275247470196</v>
      </c>
      <c r="AN8510">
        <v>0.99999999331270495</v>
      </c>
    </row>
    <row r="8511" spans="1:40" x14ac:dyDescent="0.25">
      <c r="A8511" t="str">
        <f>"20190303162118090"</f>
        <v>20190303162118090</v>
      </c>
      <c r="B8511" t="str">
        <f>"1551601278080740"</f>
        <v>1551601278080740</v>
      </c>
      <c r="C8511" t="s">
        <v>40</v>
      </c>
      <c r="D8511">
        <v>5.0195650000000001</v>
      </c>
      <c r="E8511">
        <v>0.62395269999999903</v>
      </c>
      <c r="F8511" t="s">
        <v>44</v>
      </c>
      <c r="G8511">
        <v>-309.2217</v>
      </c>
      <c r="H8511">
        <v>-0.05</v>
      </c>
      <c r="I8511">
        <v>3.086014</v>
      </c>
      <c r="J8511">
        <v>-312.92860000000002</v>
      </c>
      <c r="K8511">
        <v>1.0648230000000001</v>
      </c>
      <c r="L8511">
        <v>14.512119999999999</v>
      </c>
      <c r="M8511">
        <v>0.87299760000000004</v>
      </c>
      <c r="N8511">
        <v>-1.7694959999999999E-2</v>
      </c>
      <c r="O8511">
        <v>-0.48740349999999999</v>
      </c>
      <c r="P8511">
        <v>0.58075069999999995</v>
      </c>
      <c r="Q8511">
        <v>0.14261450000000001</v>
      </c>
      <c r="R8511">
        <v>-0.80149250000000005</v>
      </c>
      <c r="S8511">
        <v>1.017914</v>
      </c>
      <c r="T8511">
        <v>-0.2973499</v>
      </c>
      <c r="U8511">
        <v>-3.0657649999999999</v>
      </c>
      <c r="V8511">
        <v>0.41990349999999999</v>
      </c>
      <c r="W8511">
        <v>0.14980199999999999</v>
      </c>
      <c r="X8511">
        <v>0.89512039999999904</v>
      </c>
      <c r="Y8511">
        <v>0.67329419999999995</v>
      </c>
      <c r="Z8511">
        <v>-8.7397919999999995E-4</v>
      </c>
      <c r="AA8511">
        <v>0.73937430000000004</v>
      </c>
      <c r="AB8511">
        <v>23</v>
      </c>
      <c r="AC8511">
        <v>3.7069000000000099</v>
      </c>
      <c r="AD8511">
        <v>-1.1148229999999999</v>
      </c>
      <c r="AE8511">
        <v>-11.4261059999999</v>
      </c>
      <c r="AF8511">
        <v>8.0997228569836199</v>
      </c>
      <c r="AG8511">
        <v>-1.1148229999999999</v>
      </c>
      <c r="AH8511">
        <v>8.7314136064621799</v>
      </c>
      <c r="AI8511">
        <v>95.347623393406593</v>
      </c>
      <c r="AJ8511">
        <v>47.1493637476608</v>
      </c>
      <c r="AK8511">
        <v>11.9618528768909</v>
      </c>
      <c r="AL8511">
        <v>81.384548169238897</v>
      </c>
      <c r="AM8511">
        <v>64.868594098590606</v>
      </c>
      <c r="AN8511">
        <v>1.0000000595062</v>
      </c>
    </row>
    <row r="8512" spans="1:40" x14ac:dyDescent="0.25">
      <c r="A8512" t="str">
        <f>"20190303162118103"</f>
        <v>20190303162118103</v>
      </c>
      <c r="B8512" t="str">
        <f>"1551601278090500"</f>
        <v>1551601278090500</v>
      </c>
      <c r="C8512" t="s">
        <v>40</v>
      </c>
      <c r="D8512">
        <v>5.0695649999999999</v>
      </c>
      <c r="E8512">
        <v>0.62377969999999905</v>
      </c>
      <c r="F8512" t="s">
        <v>44</v>
      </c>
      <c r="G8512">
        <v>-309.1617</v>
      </c>
      <c r="H8512">
        <v>-0.05</v>
      </c>
      <c r="I8512">
        <v>2.925751</v>
      </c>
      <c r="J8512">
        <v>-312.80860000000001</v>
      </c>
      <c r="K8512">
        <v>1.0646549999999999</v>
      </c>
      <c r="L8512">
        <v>14.434749999999999</v>
      </c>
      <c r="M8512">
        <v>0.86892369999999997</v>
      </c>
      <c r="N8512">
        <v>-1.7571940000000001E-2</v>
      </c>
      <c r="O8512">
        <v>-0.49463400000000002</v>
      </c>
      <c r="P8512">
        <v>0.57525059999999995</v>
      </c>
      <c r="Q8512">
        <v>0.1428045</v>
      </c>
      <c r="R8512">
        <v>-0.805415199999999</v>
      </c>
      <c r="S8512">
        <v>0.99874879999999999</v>
      </c>
      <c r="T8512">
        <v>-0.2955796</v>
      </c>
      <c r="U8512">
        <v>-3.0719599999999998</v>
      </c>
      <c r="V8512">
        <v>0.41856919999999997</v>
      </c>
      <c r="W8512">
        <v>0.14991989999999999</v>
      </c>
      <c r="X8512">
        <v>0.89572529999999995</v>
      </c>
      <c r="Y8512">
        <v>0.67181840000000004</v>
      </c>
      <c r="Z8512" s="1">
        <v>-3.9391219999999998E-5</v>
      </c>
      <c r="AA8512">
        <v>0.74071599999999904</v>
      </c>
      <c r="AB8512">
        <v>23</v>
      </c>
      <c r="AC8512">
        <v>3.6469000000000098</v>
      </c>
      <c r="AD8512">
        <v>-1.114655</v>
      </c>
      <c r="AE8512">
        <v>-11.508998999999999</v>
      </c>
      <c r="AF8512">
        <v>8.1285381641940102</v>
      </c>
      <c r="AG8512">
        <v>-1.114655</v>
      </c>
      <c r="AH8512">
        <v>8.7880776478840392</v>
      </c>
      <c r="AI8512">
        <v>95.319665874734994</v>
      </c>
      <c r="AJ8512">
        <v>47.2326983052656</v>
      </c>
      <c r="AK8512">
        <v>12.0227242004889</v>
      </c>
      <c r="AL8512">
        <v>81.377715169832996</v>
      </c>
      <c r="AM8512">
        <v>64.953485487492301</v>
      </c>
      <c r="AN8512">
        <v>0.99999998233236898</v>
      </c>
    </row>
    <row r="8513" spans="1:40" x14ac:dyDescent="0.25">
      <c r="A8513" t="str">
        <f>"20190303162118115"</f>
        <v>20190303162118115</v>
      </c>
      <c r="B8513" t="str">
        <f>"1551601278110996"</f>
        <v>1551601278110996</v>
      </c>
      <c r="C8513" t="s">
        <v>40</v>
      </c>
      <c r="D8513">
        <v>5.0186349999999997</v>
      </c>
      <c r="E8513">
        <v>0.62331359999999902</v>
      </c>
      <c r="F8513" t="s">
        <v>44</v>
      </c>
      <c r="G8513">
        <v>-309.10570000000001</v>
      </c>
      <c r="H8513">
        <v>-0.05</v>
      </c>
      <c r="I8513">
        <v>2.7799680000000002</v>
      </c>
      <c r="J8513">
        <v>-312.69740000000002</v>
      </c>
      <c r="K8513">
        <v>1.064524</v>
      </c>
      <c r="L8513">
        <v>14.36139</v>
      </c>
      <c r="M8513">
        <v>0.86505309999999902</v>
      </c>
      <c r="N8513">
        <v>-1.7466450000000001E-2</v>
      </c>
      <c r="O8513">
        <v>-0.5013763</v>
      </c>
      <c r="P8513">
        <v>0.5701252</v>
      </c>
      <c r="Q8513">
        <v>0.142562299999999</v>
      </c>
      <c r="R8513">
        <v>-0.80909449999999905</v>
      </c>
      <c r="S8513">
        <v>0.97805790000000004</v>
      </c>
      <c r="T8513">
        <v>-0.29441889999999998</v>
      </c>
      <c r="U8513">
        <v>-3.07843</v>
      </c>
      <c r="V8513">
        <v>0.41731509999999999</v>
      </c>
      <c r="W8513">
        <v>0.1496285</v>
      </c>
      <c r="X8513">
        <v>0.89635900000000002</v>
      </c>
      <c r="Y8513">
        <v>0.67106969999999899</v>
      </c>
      <c r="Z8513">
        <v>7.0457720000000003E-4</v>
      </c>
      <c r="AA8513">
        <v>0.741394</v>
      </c>
      <c r="AB8513">
        <v>23</v>
      </c>
      <c r="AC8513">
        <v>3.5916999999999999</v>
      </c>
      <c r="AD8513">
        <v>-1.1145240000000001</v>
      </c>
      <c r="AE8513">
        <v>-11.581422</v>
      </c>
      <c r="AF8513">
        <v>8.1501493553648601</v>
      </c>
      <c r="AG8513">
        <v>-1.1145240000000001</v>
      </c>
      <c r="AH8513">
        <v>8.8403345153385899</v>
      </c>
      <c r="AI8513">
        <v>95.295708907692998</v>
      </c>
      <c r="AJ8513">
        <v>47.3261825374829</v>
      </c>
      <c r="AK8513">
        <v>12.075537777027399</v>
      </c>
      <c r="AL8513">
        <v>81.394601951956304</v>
      </c>
      <c r="AM8513">
        <v>65.034870742609897</v>
      </c>
      <c r="AN8513">
        <v>1.0000000187906299</v>
      </c>
    </row>
    <row r="8514" spans="1:40" x14ac:dyDescent="0.25">
      <c r="A8514" t="str">
        <f>"20190303162118130"</f>
        <v>20190303162118130</v>
      </c>
      <c r="B8514" t="str">
        <f>"1551601278120756"</f>
        <v>1551601278120756</v>
      </c>
      <c r="C8514" t="s">
        <v>40</v>
      </c>
      <c r="D8514">
        <v>5.0125739999999999</v>
      </c>
      <c r="E8514">
        <v>0.6230812</v>
      </c>
      <c r="F8514" t="s">
        <v>44</v>
      </c>
      <c r="G8514">
        <v>-309.07920000000001</v>
      </c>
      <c r="H8514">
        <v>-0.05</v>
      </c>
      <c r="I8514">
        <v>2.7588499999999998</v>
      </c>
      <c r="J8514">
        <v>-312.57549999999998</v>
      </c>
      <c r="K8514">
        <v>1.064384</v>
      </c>
      <c r="L8514">
        <v>14.27975</v>
      </c>
      <c r="M8514">
        <v>0.86072119999999996</v>
      </c>
      <c r="N8514">
        <v>-1.7355470000000001E-2</v>
      </c>
      <c r="O8514">
        <v>-0.50878080000000003</v>
      </c>
      <c r="P8514">
        <v>0.56391559999999996</v>
      </c>
      <c r="Q8514">
        <v>0.1424531</v>
      </c>
      <c r="R8514">
        <v>-0.81345369999999995</v>
      </c>
      <c r="S8514">
        <v>0.96133420000000003</v>
      </c>
      <c r="T8514">
        <v>-0.29611710000000002</v>
      </c>
      <c r="U8514">
        <v>-3.0826720000000001</v>
      </c>
      <c r="V8514">
        <v>0.41648940000000001</v>
      </c>
      <c r="W8514">
        <v>0.1494598</v>
      </c>
      <c r="X8514">
        <v>0.89677109999999904</v>
      </c>
      <c r="Y8514">
        <v>0.66868760000000005</v>
      </c>
      <c r="Z8514">
        <v>1.793787E-3</v>
      </c>
      <c r="AA8514">
        <v>0.74354129999999996</v>
      </c>
      <c r="AB8514">
        <v>23</v>
      </c>
      <c r="AC8514">
        <v>3.4962999999999602</v>
      </c>
      <c r="AD8514">
        <v>-1.114384</v>
      </c>
      <c r="AE8514">
        <v>-11.520899999999999</v>
      </c>
      <c r="AF8514">
        <v>8.0695252439171501</v>
      </c>
      <c r="AG8514">
        <v>-1.114384</v>
      </c>
      <c r="AH8514">
        <v>8.7969236703906901</v>
      </c>
      <c r="AI8514">
        <v>95.333207925468102</v>
      </c>
      <c r="AJ8514">
        <v>47.4694617190152</v>
      </c>
      <c r="AK8514">
        <v>11.989368433089</v>
      </c>
      <c r="AL8514">
        <v>81.404377765427895</v>
      </c>
      <c r="AM8514">
        <v>65.088325617052504</v>
      </c>
      <c r="AN8514">
        <v>1.0000000289618001</v>
      </c>
    </row>
    <row r="8515" spans="1:40" x14ac:dyDescent="0.25">
      <c r="A8515" t="str">
        <f>"20190303162118143"</f>
        <v>20190303162118143</v>
      </c>
      <c r="B8515" t="str">
        <f>"1551601278131492"</f>
        <v>1551601278131492</v>
      </c>
      <c r="C8515" t="s">
        <v>40</v>
      </c>
      <c r="D8515">
        <v>5.0145019999999896</v>
      </c>
      <c r="E8515">
        <v>0.62279799999999996</v>
      </c>
      <c r="F8515" t="s">
        <v>44</v>
      </c>
      <c r="G8515">
        <v>-309.05439999999999</v>
      </c>
      <c r="H8515">
        <v>-0.05</v>
      </c>
      <c r="I8515">
        <v>2.704269</v>
      </c>
      <c r="J8515">
        <v>-312.46469999999999</v>
      </c>
      <c r="K8515">
        <v>1.0642780000000001</v>
      </c>
      <c r="L8515">
        <v>14.20435</v>
      </c>
      <c r="M8515">
        <v>0.8567034</v>
      </c>
      <c r="N8515">
        <v>-1.7259779999999999E-2</v>
      </c>
      <c r="O8515">
        <v>-0.51552050000000005</v>
      </c>
      <c r="P8515">
        <v>0.55735009999999996</v>
      </c>
      <c r="Q8515">
        <v>0.1413005</v>
      </c>
      <c r="R8515">
        <v>-0.818165699999999</v>
      </c>
      <c r="S8515">
        <v>0.93954470000000001</v>
      </c>
      <c r="T8515">
        <v>-0.29735699999999998</v>
      </c>
      <c r="U8515">
        <v>-3.0887449999999999</v>
      </c>
      <c r="V8515">
        <v>0.41680830000000002</v>
      </c>
      <c r="W8515">
        <v>0.14823610000000001</v>
      </c>
      <c r="X8515">
        <v>0.89682600000000001</v>
      </c>
      <c r="Y8515">
        <v>0.66807890000000003</v>
      </c>
      <c r="Z8515">
        <v>2.6611719999999998E-3</v>
      </c>
      <c r="AA8515">
        <v>0.74408569999999996</v>
      </c>
      <c r="AB8515">
        <v>23</v>
      </c>
      <c r="AC8515">
        <v>3.4102999999999999</v>
      </c>
      <c r="AD8515">
        <v>-1.1142780000000001</v>
      </c>
      <c r="AE8515">
        <v>-11.500081</v>
      </c>
      <c r="AF8515">
        <v>8.0260250250223404</v>
      </c>
      <c r="AG8515">
        <v>-1.1142780000000001</v>
      </c>
      <c r="AH8515">
        <v>8.7757323213267302</v>
      </c>
      <c r="AI8515">
        <v>95.352768816262099</v>
      </c>
      <c r="AJ8515">
        <v>47.554886911129003</v>
      </c>
      <c r="AK8515">
        <v>11.9445456564554</v>
      </c>
      <c r="AL8515">
        <v>81.475280104885599</v>
      </c>
      <c r="AM8515">
        <v>65.072908656267899</v>
      </c>
      <c r="AN8515">
        <v>0.99999998728404904</v>
      </c>
    </row>
    <row r="8516" spans="1:40" x14ac:dyDescent="0.25">
      <c r="A8516" t="str">
        <f>"20190303162118156"</f>
        <v>20190303162118156</v>
      </c>
      <c r="B8516" t="str">
        <f>"1551601278151012"</f>
        <v>1551601278151012</v>
      </c>
      <c r="C8516" t="s">
        <v>40</v>
      </c>
      <c r="D8516">
        <v>5.0259859999999996</v>
      </c>
      <c r="E8516">
        <v>0.62220279999999994</v>
      </c>
      <c r="F8516" t="s">
        <v>44</v>
      </c>
      <c r="G8516">
        <v>-309.08280000000002</v>
      </c>
      <c r="H8516">
        <v>-0.05</v>
      </c>
      <c r="I8516">
        <v>2.7817080000000001</v>
      </c>
      <c r="J8516">
        <v>-312.35320000000002</v>
      </c>
      <c r="K8516">
        <v>1.064198</v>
      </c>
      <c r="L8516">
        <v>14.126709999999999</v>
      </c>
      <c r="M8516">
        <v>0.85257320000000003</v>
      </c>
      <c r="N8516">
        <v>-1.7169239999999999E-2</v>
      </c>
      <c r="O8516">
        <v>-0.52232590000000001</v>
      </c>
      <c r="P8516">
        <v>0.55057159999999905</v>
      </c>
      <c r="Q8516">
        <v>0.13939749999999901</v>
      </c>
      <c r="R8516">
        <v>-0.823067199999999</v>
      </c>
      <c r="S8516">
        <v>0.91625979999999996</v>
      </c>
      <c r="T8516">
        <v>-0.30188730000000003</v>
      </c>
      <c r="U8516">
        <v>-3.0946959999999999</v>
      </c>
      <c r="V8516">
        <v>0.41730309999999998</v>
      </c>
      <c r="W8516">
        <v>0.14627270000000001</v>
      </c>
      <c r="X8516">
        <v>0.89691829999999995</v>
      </c>
      <c r="Y8516">
        <v>0.66768289999999997</v>
      </c>
      <c r="Z8516">
        <v>3.72682E-3</v>
      </c>
      <c r="AA8516">
        <v>0.7444364</v>
      </c>
      <c r="AB8516">
        <v>23</v>
      </c>
      <c r="AC8516">
        <v>3.2703999999999902</v>
      </c>
      <c r="AD8516">
        <v>-1.114198</v>
      </c>
      <c r="AE8516">
        <v>-11.345001999999999</v>
      </c>
      <c r="AF8516">
        <v>7.89509534552408</v>
      </c>
      <c r="AG8516">
        <v>-1.114198</v>
      </c>
      <c r="AH8516">
        <v>8.6384002128488504</v>
      </c>
      <c r="AI8516">
        <v>95.438633114695406</v>
      </c>
      <c r="AJ8516">
        <v>47.574142508708398</v>
      </c>
      <c r="AK8516">
        <v>11.7556763282878</v>
      </c>
      <c r="AL8516">
        <v>81.589014697415095</v>
      </c>
      <c r="AM8516">
        <v>65.049173231439497</v>
      </c>
      <c r="AN8516">
        <v>1.0000000084548899</v>
      </c>
    </row>
    <row r="8517" spans="1:40" x14ac:dyDescent="0.25">
      <c r="A8517" t="str">
        <f>"20190303162118173"</f>
        <v>20190303162118173</v>
      </c>
      <c r="B8517" t="str">
        <f>"1551601278160773"</f>
        <v>1551601278160773</v>
      </c>
      <c r="C8517" t="s">
        <v>40</v>
      </c>
      <c r="D8517">
        <v>5.0081030000000002</v>
      </c>
      <c r="E8517">
        <v>0.62192449999999999</v>
      </c>
      <c r="F8517" t="s">
        <v>44</v>
      </c>
      <c r="G8517">
        <v>-309.12759999999997</v>
      </c>
      <c r="H8517">
        <v>-0.05</v>
      </c>
      <c r="I8517">
        <v>2.930634</v>
      </c>
      <c r="J8517">
        <v>-312.21660000000003</v>
      </c>
      <c r="K8517">
        <v>1.06412</v>
      </c>
      <c r="L8517">
        <v>14.03012</v>
      </c>
      <c r="M8517">
        <v>0.84741529999999998</v>
      </c>
      <c r="N8517">
        <v>-1.7062810000000001E-2</v>
      </c>
      <c r="O8517">
        <v>-0.53065640000000003</v>
      </c>
      <c r="P8517">
        <v>0.54240390000000005</v>
      </c>
      <c r="Q8517">
        <v>0.13748089999999999</v>
      </c>
      <c r="R8517">
        <v>-0.8287928</v>
      </c>
      <c r="S8517">
        <v>0.89306640000000004</v>
      </c>
      <c r="T8517">
        <v>-0.30847869999999999</v>
      </c>
      <c r="U8517">
        <v>-3.0997620000000001</v>
      </c>
      <c r="V8517">
        <v>0.41759930000000001</v>
      </c>
      <c r="W8517">
        <v>0.14430299999999999</v>
      </c>
      <c r="X8517">
        <v>0.89709950000000005</v>
      </c>
      <c r="Y8517">
        <v>0.66584239999999995</v>
      </c>
      <c r="Z8517">
        <v>5.2347440000000004E-3</v>
      </c>
      <c r="AA8517">
        <v>0.74607409999999996</v>
      </c>
      <c r="AB8517">
        <v>23</v>
      </c>
      <c r="AC8517">
        <v>3.0890000000000502</v>
      </c>
      <c r="AD8517">
        <v>-1.11412</v>
      </c>
      <c r="AE8517">
        <v>-11.099486000000001</v>
      </c>
      <c r="AF8517">
        <v>7.6958430776801796</v>
      </c>
      <c r="AG8517">
        <v>-1.11412</v>
      </c>
      <c r="AH8517">
        <v>8.4300874999267599</v>
      </c>
      <c r="AI8517">
        <v>95.574701561356306</v>
      </c>
      <c r="AJ8517">
        <v>47.606985718334499</v>
      </c>
      <c r="AK8517">
        <v>11.468811590879801</v>
      </c>
      <c r="AL8517">
        <v>81.703080630221706</v>
      </c>
      <c r="AM8517">
        <v>65.038049238448707</v>
      </c>
      <c r="AN8517">
        <v>1.0000000220348599</v>
      </c>
    </row>
    <row r="8518" spans="1:40" x14ac:dyDescent="0.25">
      <c r="A8518" t="str">
        <f>"20190303162118187"</f>
        <v>20190303162118187</v>
      </c>
      <c r="B8518" t="str">
        <f>"1551601278181268"</f>
        <v>1551601278181268</v>
      </c>
      <c r="C8518" t="s">
        <v>40</v>
      </c>
      <c r="D8518">
        <v>4.9586779999999999</v>
      </c>
      <c r="E8518">
        <v>0.62134809999999996</v>
      </c>
      <c r="F8518" t="s">
        <v>44</v>
      </c>
      <c r="G8518">
        <v>-309.15910000000002</v>
      </c>
      <c r="H8518">
        <v>-0.05</v>
      </c>
      <c r="I8518">
        <v>3.0224760000000002</v>
      </c>
      <c r="J8518">
        <v>-312.09660000000002</v>
      </c>
      <c r="K8518">
        <v>1.0640689999999999</v>
      </c>
      <c r="L8518">
        <v>13.943849999999999</v>
      </c>
      <c r="M8518">
        <v>0.84279819999999905</v>
      </c>
      <c r="N8518">
        <v>-1.6973559999999999E-2</v>
      </c>
      <c r="O8518">
        <v>-0.53796219999999995</v>
      </c>
      <c r="P8518">
        <v>0.53565839999999998</v>
      </c>
      <c r="Q8518">
        <v>0.13312959999999999</v>
      </c>
      <c r="R8518">
        <v>-0.83387509999999998</v>
      </c>
      <c r="S8518">
        <v>0.863037099999999</v>
      </c>
      <c r="T8518">
        <v>-0.3144749</v>
      </c>
      <c r="U8518">
        <v>-3.107056</v>
      </c>
      <c r="V8518">
        <v>0.41761470000000001</v>
      </c>
      <c r="W8518">
        <v>0.1399291</v>
      </c>
      <c r="X8518">
        <v>0.89778500000000006</v>
      </c>
      <c r="Y8518">
        <v>0.66651629999999995</v>
      </c>
      <c r="Z8518">
        <v>6.4400639999999997E-3</v>
      </c>
      <c r="AA8518">
        <v>0.74546269999999903</v>
      </c>
      <c r="AB8518">
        <v>23</v>
      </c>
      <c r="AC8518">
        <v>2.9375</v>
      </c>
      <c r="AD8518">
        <v>-1.114069</v>
      </c>
      <c r="AE8518">
        <v>-10.921374</v>
      </c>
      <c r="AF8518">
        <v>7.5520653260322499</v>
      </c>
      <c r="AG8518">
        <v>-1.114069</v>
      </c>
      <c r="AH8518">
        <v>8.27194024126843</v>
      </c>
      <c r="AI8518">
        <v>95.680130503221505</v>
      </c>
      <c r="AJ8518">
        <v>47.604737199219301</v>
      </c>
      <c r="AK8518">
        <v>11.256102157520401</v>
      </c>
      <c r="AL8518">
        <v>81.9562568002126</v>
      </c>
      <c r="AM8518">
        <v>65.053981272851303</v>
      </c>
      <c r="AN8518">
        <v>1.00000004845394</v>
      </c>
    </row>
    <row r="8519" spans="1:40" x14ac:dyDescent="0.25">
      <c r="A8519" t="str">
        <f>"20190303162118201"</f>
        <v>20190303162118201</v>
      </c>
      <c r="B8519" t="str">
        <f>"1551601278191028"</f>
        <v>1551601278191028</v>
      </c>
      <c r="C8519" t="s">
        <v>40</v>
      </c>
      <c r="D8519">
        <v>4.9928059999999999</v>
      </c>
      <c r="E8519">
        <v>0.62106660000000002</v>
      </c>
      <c r="F8519" t="s">
        <v>44</v>
      </c>
      <c r="G8519">
        <v>-309.24869999999999</v>
      </c>
      <c r="H8519">
        <v>-0.05</v>
      </c>
      <c r="I8519">
        <v>3.3908390000000002</v>
      </c>
      <c r="J8519">
        <v>-311.97469999999998</v>
      </c>
      <c r="K8519">
        <v>1.0640400000000001</v>
      </c>
      <c r="L8519">
        <v>13.85422</v>
      </c>
      <c r="M8519">
        <v>0.83801539999999997</v>
      </c>
      <c r="N8519">
        <v>-1.6887280000000001E-2</v>
      </c>
      <c r="O8519">
        <v>-0.54538529999999996</v>
      </c>
      <c r="P8519">
        <v>0.52826059999999997</v>
      </c>
      <c r="Q8519">
        <v>0.13193859999999999</v>
      </c>
      <c r="R8519">
        <v>-0.83876899999999999</v>
      </c>
      <c r="S8519">
        <v>0.83950809999999998</v>
      </c>
      <c r="T8519">
        <v>-0.32840390000000003</v>
      </c>
      <c r="U8519">
        <v>-3.1108090000000002</v>
      </c>
      <c r="V8519">
        <v>0.41774070000000002</v>
      </c>
      <c r="W8519">
        <v>0.13871700000000001</v>
      </c>
      <c r="X8519">
        <v>0.8979144</v>
      </c>
      <c r="Y8519">
        <v>0.66534249999999995</v>
      </c>
      <c r="Z8519">
        <v>8.3949569999999998E-3</v>
      </c>
      <c r="AA8519">
        <v>0.74649109999999996</v>
      </c>
      <c r="AB8519">
        <v>22</v>
      </c>
      <c r="AC8519">
        <v>2.7259999999999902</v>
      </c>
      <c r="AD8519">
        <v>-1.1140399999999999</v>
      </c>
      <c r="AE8519">
        <v>-10.463381</v>
      </c>
      <c r="AF8519">
        <v>7.2062943444152996</v>
      </c>
      <c r="AG8519">
        <v>-1.1140399999999999</v>
      </c>
      <c r="AH8519">
        <v>7.90819457044842</v>
      </c>
      <c r="AI8519">
        <v>95.944494718369299</v>
      </c>
      <c r="AJ8519">
        <v>47.658842695000097</v>
      </c>
      <c r="AK8519">
        <v>10.7569189205841</v>
      </c>
      <c r="AL8519">
        <v>82.026388500144606</v>
      </c>
      <c r="AM8519">
        <v>65.050529138075305</v>
      </c>
      <c r="AN8519">
        <v>0.99999998412642399</v>
      </c>
    </row>
    <row r="8520" spans="1:40" x14ac:dyDescent="0.25">
      <c r="A8520" t="str">
        <f>"20190303162118215"</f>
        <v>20190303162118215</v>
      </c>
      <c r="B8520" t="str">
        <f>"1551601278211524"</f>
        <v>1551601278211524</v>
      </c>
      <c r="C8520" t="s">
        <v>40</v>
      </c>
      <c r="D8520">
        <v>4.6325580000000004</v>
      </c>
      <c r="E8520">
        <v>0.62099780000000004</v>
      </c>
      <c r="F8520" t="s">
        <v>44</v>
      </c>
      <c r="G8520">
        <v>-309.2457</v>
      </c>
      <c r="H8520">
        <v>-0.05</v>
      </c>
      <c r="I8520">
        <v>3.3868260000000001</v>
      </c>
      <c r="J8520">
        <v>-311.85930000000002</v>
      </c>
      <c r="K8520">
        <v>1.0640289999999999</v>
      </c>
      <c r="L8520">
        <v>13.76782</v>
      </c>
      <c r="M8520">
        <v>0.83341430000000005</v>
      </c>
      <c r="N8520">
        <v>-1.680883E-2</v>
      </c>
      <c r="O8520">
        <v>-0.55239300000000002</v>
      </c>
      <c r="P8520">
        <v>0.52161959999999996</v>
      </c>
      <c r="Q8520">
        <v>0.13096440000000001</v>
      </c>
      <c r="R8520">
        <v>-0.84306669999999995</v>
      </c>
      <c r="S8520">
        <v>0.81265259999999995</v>
      </c>
      <c r="T8520">
        <v>-0.3317446</v>
      </c>
      <c r="U8520">
        <v>-3.117035</v>
      </c>
      <c r="V8520">
        <v>0.41738829999999999</v>
      </c>
      <c r="W8520">
        <v>0.13774410000000001</v>
      </c>
      <c r="X8520">
        <v>0.89822800000000003</v>
      </c>
      <c r="Y8520">
        <v>0.66547129999999999</v>
      </c>
      <c r="Z8520">
        <v>9.5036770000000003E-3</v>
      </c>
      <c r="AA8520">
        <v>0.746363</v>
      </c>
      <c r="AB8520">
        <v>22</v>
      </c>
      <c r="AC8520">
        <v>2.6136000000000101</v>
      </c>
      <c r="AD8520">
        <v>-1.1140289999999999</v>
      </c>
      <c r="AE8520">
        <v>-10.380993999999999</v>
      </c>
      <c r="AF8520">
        <v>7.1317174570269204</v>
      </c>
      <c r="AG8520">
        <v>-1.1140289999999999</v>
      </c>
      <c r="AH8520">
        <v>7.8289318199395703</v>
      </c>
      <c r="AI8520">
        <v>96.005072910044802</v>
      </c>
      <c r="AJ8520">
        <v>47.668237001014901</v>
      </c>
      <c r="AK8520">
        <v>10.6486913722281</v>
      </c>
      <c r="AL8520">
        <v>82.0826718905235</v>
      </c>
      <c r="AM8520">
        <v>65.0766642942461</v>
      </c>
      <c r="AN8520">
        <v>0.99999998502284904</v>
      </c>
    </row>
    <row r="8521" spans="1:40" x14ac:dyDescent="0.25">
      <c r="A8521" t="str">
        <f>"20190303162118230"</f>
        <v>20190303162118230</v>
      </c>
      <c r="B8521" t="str">
        <f>"1551601278221284"</f>
        <v>1551601278221284</v>
      </c>
      <c r="C8521" t="s">
        <v>40</v>
      </c>
      <c r="D8521">
        <v>4.7831609999999998</v>
      </c>
      <c r="E8521">
        <v>0.62078919999999904</v>
      </c>
      <c r="F8521" t="s">
        <v>44</v>
      </c>
      <c r="G8521">
        <v>-309.21159999999998</v>
      </c>
      <c r="H8521">
        <v>-0.05</v>
      </c>
      <c r="I8521">
        <v>3.269012</v>
      </c>
      <c r="J8521">
        <v>-311.7396</v>
      </c>
      <c r="K8521">
        <v>1.0640350000000001</v>
      </c>
      <c r="L8521">
        <v>13.676880000000001</v>
      </c>
      <c r="M8521">
        <v>0.82857139999999996</v>
      </c>
      <c r="N8521">
        <v>-1.6730040000000002E-2</v>
      </c>
      <c r="O8521">
        <v>-0.55963350000000001</v>
      </c>
      <c r="P8521">
        <v>0.51611859999999998</v>
      </c>
      <c r="Q8521">
        <v>0.129191</v>
      </c>
      <c r="R8521">
        <v>-0.84671810000000003</v>
      </c>
      <c r="S8521">
        <v>0.78750609999999999</v>
      </c>
      <c r="T8521">
        <v>-0.33134439999999998</v>
      </c>
      <c r="U8521">
        <v>-3.1226500000000001</v>
      </c>
      <c r="V8521">
        <v>0.41557359999999999</v>
      </c>
      <c r="W8521">
        <v>0.13602049999999999</v>
      </c>
      <c r="X8521">
        <v>0.89933149999999995</v>
      </c>
      <c r="Y8521">
        <v>0.66497139999999999</v>
      </c>
      <c r="Z8521">
        <v>1.0429320000000001E-2</v>
      </c>
      <c r="AA8521">
        <v>0.74679600000000002</v>
      </c>
      <c r="AB8521">
        <v>22</v>
      </c>
      <c r="AC8521">
        <v>2.52800000000002</v>
      </c>
      <c r="AD8521">
        <v>-1.1140350000000001</v>
      </c>
      <c r="AE8521">
        <v>-10.407868000000001</v>
      </c>
      <c r="AF8521">
        <v>7.1327491080308398</v>
      </c>
      <c r="AG8521">
        <v>-1.1140350000000001</v>
      </c>
      <c r="AH8521">
        <v>7.8355567782976401</v>
      </c>
      <c r="AI8521">
        <v>96.001958413312295</v>
      </c>
      <c r="AJ8521">
        <v>47.6882374865204</v>
      </c>
      <c r="AK8521">
        <v>10.654254260400601</v>
      </c>
      <c r="AL8521">
        <v>82.182365962766696</v>
      </c>
      <c r="AM8521">
        <v>65.1987343610529</v>
      </c>
      <c r="AN8521">
        <v>1.00000007016472</v>
      </c>
    </row>
    <row r="8522" spans="1:40" x14ac:dyDescent="0.25">
      <c r="A8522" t="str">
        <f>"20190303162118253"</f>
        <v>20190303162118253</v>
      </c>
      <c r="B8522" t="str">
        <f>"1551601278240804"</f>
        <v>1551601278240804</v>
      </c>
      <c r="C8522" t="s">
        <v>40</v>
      </c>
      <c r="D8522">
        <v>4.7429639999999997</v>
      </c>
      <c r="E8522">
        <v>0.5873216</v>
      </c>
      <c r="F8522" t="s">
        <v>44</v>
      </c>
      <c r="G8522">
        <v>-309.17610000000002</v>
      </c>
      <c r="H8522">
        <v>-0.05</v>
      </c>
      <c r="I8522">
        <v>3.2239689999999999</v>
      </c>
      <c r="J8522">
        <v>-311.55439999999999</v>
      </c>
      <c r="K8522">
        <v>1.0640750000000001</v>
      </c>
      <c r="L8522">
        <v>13.532780000000001</v>
      </c>
      <c r="M8522">
        <v>0.82093660000000002</v>
      </c>
      <c r="N8522">
        <v>-1.661323E-2</v>
      </c>
      <c r="O8522">
        <v>-0.57077769999999906</v>
      </c>
      <c r="P8522">
        <v>0.50724409999999998</v>
      </c>
      <c r="Q8522">
        <v>0.13033829999999999</v>
      </c>
      <c r="R8522">
        <v>-0.85188940000000002</v>
      </c>
      <c r="S8522">
        <v>0.76675419999999905</v>
      </c>
      <c r="T8522">
        <v>-0.3332176</v>
      </c>
      <c r="U8522">
        <v>-3.1265559999999999</v>
      </c>
      <c r="V8522">
        <v>0.41265020000000002</v>
      </c>
      <c r="W8522">
        <v>0.1372553</v>
      </c>
      <c r="X8522">
        <v>0.90048919999999999</v>
      </c>
      <c r="Y8522">
        <v>0.65981699999999999</v>
      </c>
      <c r="Z8522">
        <v>1.238233E-2</v>
      </c>
      <c r="AA8522">
        <v>0.75132429999999994</v>
      </c>
      <c r="AB8522">
        <v>22</v>
      </c>
      <c r="AC8522">
        <v>2.3782999999999599</v>
      </c>
      <c r="AD8522">
        <v>-1.1140749999999999</v>
      </c>
      <c r="AE8522">
        <v>-10.308811</v>
      </c>
      <c r="AF8522">
        <v>7.0284420384773298</v>
      </c>
      <c r="AG8522">
        <v>-1.1140749999999999</v>
      </c>
      <c r="AH8522">
        <v>7.7515971833644297</v>
      </c>
      <c r="AI8522">
        <v>96.077488900542903</v>
      </c>
      <c r="AJ8522">
        <v>47.8011239578938</v>
      </c>
      <c r="AK8522">
        <v>10.522709702686001</v>
      </c>
      <c r="AL8522">
        <v>82.1109467629406</v>
      </c>
      <c r="AM8522">
        <v>65.380327250049803</v>
      </c>
      <c r="AN8522">
        <v>1.00000000212738</v>
      </c>
    </row>
    <row r="8523" spans="1:40" x14ac:dyDescent="0.25">
      <c r="A8523" t="str">
        <f>"20190303162118265"</f>
        <v>20190303162118265</v>
      </c>
      <c r="B8523" t="str">
        <f>"1551601278261300"</f>
        <v>1551601278261300</v>
      </c>
      <c r="C8523" t="s">
        <v>40</v>
      </c>
      <c r="D8523">
        <v>4.7595219999999996</v>
      </c>
      <c r="E8523">
        <v>0.58216489999999999</v>
      </c>
      <c r="F8523" t="s">
        <v>41</v>
      </c>
      <c r="G8523">
        <v>-303.52820000000003</v>
      </c>
      <c r="H8523" s="1">
        <v>-4.5399950000000002E-6</v>
      </c>
      <c r="I8523">
        <v>-11.51131</v>
      </c>
      <c r="J8523">
        <v>-311.45859999999999</v>
      </c>
      <c r="K8523">
        <v>1.0641069999999999</v>
      </c>
      <c r="L8523">
        <v>13.45715</v>
      </c>
      <c r="M8523">
        <v>0.81692889999999996</v>
      </c>
      <c r="N8523">
        <v>-1.655483E-2</v>
      </c>
      <c r="O8523">
        <v>-0.57650089999999998</v>
      </c>
      <c r="P8523">
        <v>0.50244860000000002</v>
      </c>
      <c r="Q8523">
        <v>0.13179630000000001</v>
      </c>
      <c r="R8523">
        <v>-0.85450319999999902</v>
      </c>
      <c r="S8523">
        <v>0.95294190000000001</v>
      </c>
      <c r="T8523">
        <v>-0.12633800000000001</v>
      </c>
      <c r="U8523">
        <v>-2.9734799999999999</v>
      </c>
      <c r="V8523">
        <v>0.41123890000000002</v>
      </c>
      <c r="W8523">
        <v>0.13875799999999999</v>
      </c>
      <c r="X8523">
        <v>0.90090440000000005</v>
      </c>
      <c r="Y8523">
        <v>0.60163690000000003</v>
      </c>
      <c r="Z8523">
        <v>-1.8037859999999999E-3</v>
      </c>
      <c r="AA8523">
        <v>0.79876769999999997</v>
      </c>
      <c r="AB8523">
        <v>22</v>
      </c>
      <c r="AC8523">
        <v>7.9303999999999597</v>
      </c>
      <c r="AD8523">
        <v>-1.0641115399950001</v>
      </c>
      <c r="AE8523">
        <v>-24.96846</v>
      </c>
      <c r="AF8523">
        <v>15.801670702467099</v>
      </c>
      <c r="AG8523">
        <v>-1.0641115399950001</v>
      </c>
      <c r="AH8523">
        <v>20.8413859308857</v>
      </c>
      <c r="AI8523">
        <v>92.329831132317295</v>
      </c>
      <c r="AJ8523">
        <v>52.831063724499103</v>
      </c>
      <c r="AK8523">
        <v>26.176105475774701</v>
      </c>
      <c r="AL8523">
        <v>82.0240163736281</v>
      </c>
      <c r="AM8523">
        <v>65.464563234727706</v>
      </c>
      <c r="AN8523">
        <v>0.999999976688284</v>
      </c>
    </row>
    <row r="8524" spans="1:40" x14ac:dyDescent="0.25">
      <c r="A8524" t="str">
        <f>"20190303162118277"</f>
        <v>20190303162118277</v>
      </c>
      <c r="B8524" t="str">
        <f>"1551601278271061"</f>
        <v>1551601278271061</v>
      </c>
      <c r="C8524" t="s">
        <v>40</v>
      </c>
      <c r="D8524">
        <v>4.7430209999999997</v>
      </c>
      <c r="E8524">
        <v>0.58129200000000003</v>
      </c>
      <c r="F8524" t="s">
        <v>41</v>
      </c>
      <c r="G8524">
        <v>-304.44349999999997</v>
      </c>
      <c r="H8524" s="1">
        <v>-1.9408900000000001E-6</v>
      </c>
      <c r="I8524">
        <v>-7.8579189999999999</v>
      </c>
      <c r="J8524">
        <v>-311.35750000000002</v>
      </c>
      <c r="K8524">
        <v>1.0641480000000001</v>
      </c>
      <c r="L8524">
        <v>13.37543</v>
      </c>
      <c r="M8524">
        <v>0.8126485</v>
      </c>
      <c r="N8524">
        <v>-1.6494979999999999E-2</v>
      </c>
      <c r="O8524">
        <v>-0.582520699999999</v>
      </c>
      <c r="P8524">
        <v>0.49726629999999999</v>
      </c>
      <c r="Q8524">
        <v>0.13337969999999999</v>
      </c>
      <c r="R8524">
        <v>-0.85728439999999995</v>
      </c>
      <c r="S8524">
        <v>0.97439580000000003</v>
      </c>
      <c r="T8524">
        <v>-0.14780470000000001</v>
      </c>
      <c r="U8524">
        <v>-2.9606629999999998</v>
      </c>
      <c r="V8524">
        <v>0.40984150000000003</v>
      </c>
      <c r="W8524">
        <v>0.14038979999999901</v>
      </c>
      <c r="X8524">
        <v>0.90128830000000004</v>
      </c>
      <c r="Y8524">
        <v>0.58936909999999998</v>
      </c>
      <c r="Z8524">
        <v>1.07256E-3</v>
      </c>
      <c r="AA8524">
        <v>0.8078632</v>
      </c>
      <c r="AB8524">
        <v>22</v>
      </c>
      <c r="AC8524">
        <v>6.9140000000000397</v>
      </c>
      <c r="AD8524">
        <v>-1.0641499408899999</v>
      </c>
      <c r="AE8524">
        <v>-21.233349</v>
      </c>
      <c r="AF8524">
        <v>13.1995256499967</v>
      </c>
      <c r="AG8524">
        <v>-1.0641499408899999</v>
      </c>
      <c r="AH8524">
        <v>17.949203039867601</v>
      </c>
      <c r="AI8524">
        <v>92.734507095281899</v>
      </c>
      <c r="AJ8524">
        <v>53.669895926679303</v>
      </c>
      <c r="AK8524">
        <v>22.3054652999665</v>
      </c>
      <c r="AL8524">
        <v>81.929596886465404</v>
      </c>
      <c r="AM8524">
        <v>65.547352705473699</v>
      </c>
      <c r="AN8524">
        <v>0.99999997539158902</v>
      </c>
    </row>
    <row r="8525" spans="1:40" x14ac:dyDescent="0.25">
      <c r="A8525" t="str">
        <f>"20190303162118297"</f>
        <v>20190303162118297</v>
      </c>
      <c r="B8525" t="str">
        <f>"1551601278290580"</f>
        <v>1551601278290580</v>
      </c>
      <c r="C8525" t="s">
        <v>40</v>
      </c>
      <c r="D8525">
        <v>4.7303319999999998</v>
      </c>
      <c r="E8525">
        <v>0.58013019999999904</v>
      </c>
      <c r="F8525" t="s">
        <v>41</v>
      </c>
      <c r="G8525">
        <v>-304.51220000000001</v>
      </c>
      <c r="H8525" s="1">
        <v>-2.051149E-6</v>
      </c>
      <c r="I8525">
        <v>-7.6633469999999999</v>
      </c>
      <c r="J8525">
        <v>-311.20119999999997</v>
      </c>
      <c r="K8525">
        <v>1.0642229999999999</v>
      </c>
      <c r="L8525">
        <v>13.247249999999999</v>
      </c>
      <c r="M8525">
        <v>0.80594650000000001</v>
      </c>
      <c r="N8525">
        <v>-1.6405039999999999E-2</v>
      </c>
      <c r="O8525">
        <v>-0.59176139999999999</v>
      </c>
      <c r="P8525">
        <v>0.49009979999999997</v>
      </c>
      <c r="Q8525">
        <v>0.1353203</v>
      </c>
      <c r="R8525">
        <v>-0.861098699999999</v>
      </c>
      <c r="S8525">
        <v>0.96420289999999997</v>
      </c>
      <c r="T8525">
        <v>-0.14989350000000001</v>
      </c>
      <c r="U8525">
        <v>-2.96347</v>
      </c>
      <c r="V8525">
        <v>0.40681289999999998</v>
      </c>
      <c r="W8525">
        <v>0.14243520000000001</v>
      </c>
      <c r="X8525">
        <v>0.90233890000000005</v>
      </c>
      <c r="Y8525">
        <v>0.5828759</v>
      </c>
      <c r="Z8525">
        <v>2.0274999999999998E-3</v>
      </c>
      <c r="AA8525">
        <v>0.81255869999999997</v>
      </c>
      <c r="AB8525">
        <v>22</v>
      </c>
      <c r="AC8525">
        <v>6.6889999999999601</v>
      </c>
      <c r="AD8525">
        <v>-1.0642250511489999</v>
      </c>
      <c r="AE8525">
        <v>-20.910596999999999</v>
      </c>
      <c r="AF8525">
        <v>12.866030991232</v>
      </c>
      <c r="AG8525">
        <v>-1.0642250511489999</v>
      </c>
      <c r="AH8525">
        <v>17.725795988097101</v>
      </c>
      <c r="AI8525">
        <v>92.781713291876599</v>
      </c>
      <c r="AJ8525">
        <v>54.0264826542302</v>
      </c>
      <c r="AK8525">
        <v>21.928774973501799</v>
      </c>
      <c r="AL8525">
        <v>81.811214673457997</v>
      </c>
      <c r="AM8525">
        <v>65.732115352508501</v>
      </c>
      <c r="AN8525">
        <v>1.0000000061293299</v>
      </c>
    </row>
    <row r="8526" spans="1:40" x14ac:dyDescent="0.25">
      <c r="A8526" t="str">
        <f>"20190303162118310"</f>
        <v>20190303162118310</v>
      </c>
      <c r="B8526" t="str">
        <f>"1551601278301317"</f>
        <v>1551601278301317</v>
      </c>
      <c r="C8526" t="s">
        <v>40</v>
      </c>
      <c r="D8526">
        <v>4.7163659999999998</v>
      </c>
      <c r="E8526">
        <v>0.57996380000000003</v>
      </c>
      <c r="F8526" t="s">
        <v>41</v>
      </c>
      <c r="G8526">
        <v>-304.28719999999998</v>
      </c>
      <c r="H8526" s="1">
        <v>-1.6387000000000001E-6</v>
      </c>
      <c r="I8526">
        <v>-8.4092199999999995</v>
      </c>
      <c r="J8526">
        <v>-311.10489999999999</v>
      </c>
      <c r="K8526">
        <v>1.064273</v>
      </c>
      <c r="L8526">
        <v>13.16696</v>
      </c>
      <c r="M8526">
        <v>0.80177039999999999</v>
      </c>
      <c r="N8526">
        <v>-1.63512E-2</v>
      </c>
      <c r="O8526">
        <v>-0.59740850000000001</v>
      </c>
      <c r="P8526">
        <v>0.48604849999999999</v>
      </c>
      <c r="Q8526">
        <v>0.13564489999999901</v>
      </c>
      <c r="R8526">
        <v>-0.86334120000000003</v>
      </c>
      <c r="S8526">
        <v>0.94741819999999999</v>
      </c>
      <c r="T8526">
        <v>-0.14583090000000001</v>
      </c>
      <c r="U8526">
        <v>-2.96759</v>
      </c>
      <c r="V8526">
        <v>0.4046477</v>
      </c>
      <c r="W8526">
        <v>0.14283779999999999</v>
      </c>
      <c r="X8526">
        <v>0.90324839999999995</v>
      </c>
      <c r="Y8526">
        <v>0.5816846</v>
      </c>
      <c r="Z8526">
        <v>1.944138E-3</v>
      </c>
      <c r="AA8526">
        <v>0.81341209999999997</v>
      </c>
      <c r="AB8526">
        <v>22</v>
      </c>
      <c r="AC8526">
        <v>6.8177000000000003</v>
      </c>
      <c r="AD8526">
        <v>-1.0642746386999999</v>
      </c>
      <c r="AE8526">
        <v>-21.576179999999901</v>
      </c>
      <c r="AF8526">
        <v>13.198760179083299</v>
      </c>
      <c r="AG8526">
        <v>-1.0642746386999999</v>
      </c>
      <c r="AH8526">
        <v>18.317954047375601</v>
      </c>
      <c r="AI8526">
        <v>92.698822746992505</v>
      </c>
      <c r="AJ8526">
        <v>54.225861736778903</v>
      </c>
      <c r="AK8526">
        <v>22.602818214844401</v>
      </c>
      <c r="AL8526">
        <v>81.787909336427404</v>
      </c>
      <c r="AM8526">
        <v>65.868021026081493</v>
      </c>
      <c r="AN8526">
        <v>1.00000003516334</v>
      </c>
    </row>
    <row r="8527" spans="1:40" x14ac:dyDescent="0.25">
      <c r="A8527" t="str">
        <f>"20190303162118323"</f>
        <v>20190303162118323</v>
      </c>
      <c r="B8527" t="str">
        <f>"1551601278311075"</f>
        <v>1551601278311075</v>
      </c>
      <c r="C8527" t="s">
        <v>40</v>
      </c>
      <c r="D8527">
        <v>4.746702</v>
      </c>
      <c r="E8527">
        <v>0.57986549999999903</v>
      </c>
      <c r="F8527" t="s">
        <v>41</v>
      </c>
      <c r="G8527">
        <v>-304.15339999999998</v>
      </c>
      <c r="H8527" s="1">
        <v>-1.344201E-6</v>
      </c>
      <c r="I8527">
        <v>-8.9569119999999902</v>
      </c>
      <c r="J8527">
        <v>-310.99779999999998</v>
      </c>
      <c r="K8527">
        <v>1.0643309999999999</v>
      </c>
      <c r="L8527">
        <v>13.076449999999999</v>
      </c>
      <c r="M8527">
        <v>0.7970834</v>
      </c>
      <c r="N8527">
        <v>-1.6292709999999998E-2</v>
      </c>
      <c r="O8527">
        <v>-0.6036494</v>
      </c>
      <c r="P8527">
        <v>0.48134900000000003</v>
      </c>
      <c r="Q8527">
        <v>0.13582620000000001</v>
      </c>
      <c r="R8527">
        <v>-0.86594169999999904</v>
      </c>
      <c r="S8527">
        <v>0.93371579999999998</v>
      </c>
      <c r="T8527">
        <v>-0.14295339999999901</v>
      </c>
      <c r="U8527">
        <v>-2.9716800000000001</v>
      </c>
      <c r="V8527">
        <v>0.4024509</v>
      </c>
      <c r="W8527">
        <v>0.14310400000000001</v>
      </c>
      <c r="X8527">
        <v>0.90418730000000003</v>
      </c>
      <c r="Y8527">
        <v>0.57908519999999997</v>
      </c>
      <c r="Z8527">
        <v>2.0467829999999999E-3</v>
      </c>
      <c r="AA8527">
        <v>0.81526449999999995</v>
      </c>
      <c r="AB8527">
        <v>22</v>
      </c>
      <c r="AC8527">
        <v>6.8444000000000003</v>
      </c>
      <c r="AD8527">
        <v>-1.064332344201</v>
      </c>
      <c r="AE8527">
        <v>-22.033362</v>
      </c>
      <c r="AF8527">
        <v>13.4040673425371</v>
      </c>
      <c r="AG8527">
        <v>-1.064332344201</v>
      </c>
      <c r="AH8527">
        <v>18.718638731778199</v>
      </c>
      <c r="AI8527">
        <v>92.646852447896194</v>
      </c>
      <c r="AJ8527">
        <v>54.394256769381599</v>
      </c>
      <c r="AK8527">
        <v>23.047543483699201</v>
      </c>
      <c r="AL8527">
        <v>81.772499238819407</v>
      </c>
      <c r="AM8527">
        <v>66.006305293933494</v>
      </c>
      <c r="AN8527">
        <v>1.0000000776040401</v>
      </c>
    </row>
    <row r="8528" spans="1:40" x14ac:dyDescent="0.25">
      <c r="A8528" t="str">
        <f>"20190303162118337"</f>
        <v>20190303162118337</v>
      </c>
      <c r="B8528" t="str">
        <f>"1551601278330596"</f>
        <v>1551601278330596</v>
      </c>
      <c r="C8528" t="s">
        <v>40</v>
      </c>
      <c r="D8528">
        <v>4.7139199999999999</v>
      </c>
      <c r="E8528">
        <v>0.57932859999999997</v>
      </c>
      <c r="F8528" t="s">
        <v>41</v>
      </c>
      <c r="G8528">
        <v>-304.02800000000002</v>
      </c>
      <c r="H8528" s="1">
        <v>-1.041342E-6</v>
      </c>
      <c r="I8528">
        <v>-9.5270150000000005</v>
      </c>
      <c r="J8528">
        <v>-310.89769999999999</v>
      </c>
      <c r="K8528">
        <v>1.064397</v>
      </c>
      <c r="L8528">
        <v>12.9902</v>
      </c>
      <c r="M8528">
        <v>0.79267169999999998</v>
      </c>
      <c r="N8528">
        <v>-1.6238849999999999E-2</v>
      </c>
      <c r="O8528">
        <v>-0.60943249999999904</v>
      </c>
      <c r="P8528">
        <v>0.47744530000000002</v>
      </c>
      <c r="Q8528">
        <v>0.1364525</v>
      </c>
      <c r="R8528">
        <v>-0.86800169999999999</v>
      </c>
      <c r="S8528">
        <v>0.9177246</v>
      </c>
      <c r="T8528">
        <v>-0.1401434</v>
      </c>
      <c r="U8528">
        <v>-2.9762569999999999</v>
      </c>
      <c r="V8528">
        <v>0.3998411</v>
      </c>
      <c r="W8528">
        <v>0.14382690000000001</v>
      </c>
      <c r="X8528">
        <v>0.90522970000000003</v>
      </c>
      <c r="Y8528">
        <v>0.57752250000000005</v>
      </c>
      <c r="Z8528">
        <v>2.083742E-3</v>
      </c>
      <c r="AA8528">
        <v>0.81637209999999905</v>
      </c>
      <c r="AB8528">
        <v>22</v>
      </c>
      <c r="AC8528">
        <v>6.8696999999999599</v>
      </c>
      <c r="AD8528">
        <v>-1.064398041342</v>
      </c>
      <c r="AE8528">
        <v>-22.517215</v>
      </c>
      <c r="AF8528">
        <v>13.636066576843501</v>
      </c>
      <c r="AG8528">
        <v>-1.064398041342</v>
      </c>
      <c r="AH8528">
        <v>19.1315571881781</v>
      </c>
      <c r="AI8528">
        <v>92.594038950801504</v>
      </c>
      <c r="AJ8528">
        <v>54.520530461669402</v>
      </c>
      <c r="AK8528">
        <v>23.517902443097501</v>
      </c>
      <c r="AL8528">
        <v>81.730646081003997</v>
      </c>
      <c r="AM8528">
        <v>66.168891969945193</v>
      </c>
      <c r="AN8528">
        <v>0.99999994608745302</v>
      </c>
    </row>
    <row r="8529" spans="1:40" x14ac:dyDescent="0.25">
      <c r="A8529" t="str">
        <f>"20190303162118353"</f>
        <v>20190303162118353</v>
      </c>
      <c r="B8529" t="str">
        <f>"1551601278341332"</f>
        <v>1551601278341332</v>
      </c>
      <c r="C8529" t="s">
        <v>40</v>
      </c>
      <c r="D8529">
        <v>4.75542</v>
      </c>
      <c r="E8529">
        <v>0.57898090000000002</v>
      </c>
      <c r="F8529" t="s">
        <v>41</v>
      </c>
      <c r="G8529">
        <v>-304.05329999999998</v>
      </c>
      <c r="H8529" s="1">
        <v>-1.07611E-6</v>
      </c>
      <c r="I8529">
        <v>-9.4676799999999997</v>
      </c>
      <c r="J8529">
        <v>-310.78230000000002</v>
      </c>
      <c r="K8529">
        <v>1.064478</v>
      </c>
      <c r="L8529">
        <v>12.889559999999999</v>
      </c>
      <c r="M8529">
        <v>0.78754239999999998</v>
      </c>
      <c r="N8529">
        <v>-1.6177839999999999E-2</v>
      </c>
      <c r="O8529">
        <v>-0.61604829999999999</v>
      </c>
      <c r="P8529">
        <v>0.47234710000000002</v>
      </c>
      <c r="Q8529">
        <v>0.1374716</v>
      </c>
      <c r="R8529">
        <v>-0.87062640000000002</v>
      </c>
      <c r="S8529">
        <v>0.90789790000000004</v>
      </c>
      <c r="T8529">
        <v>-0.14119079999999901</v>
      </c>
      <c r="U8529">
        <v>-2.9790040000000002</v>
      </c>
      <c r="V8529">
        <v>0.39742080000000002</v>
      </c>
      <c r="W8529">
        <v>0.1449443</v>
      </c>
      <c r="X8529">
        <v>0.9061169</v>
      </c>
      <c r="Y8529">
        <v>0.57336149999999997</v>
      </c>
      <c r="Z8529">
        <v>2.6863249999999998E-3</v>
      </c>
      <c r="AA8529">
        <v>0.81929810000000003</v>
      </c>
      <c r="AB8529">
        <v>22</v>
      </c>
      <c r="AC8529">
        <v>6.7290000000000401</v>
      </c>
      <c r="AD8529">
        <v>-1.06447907611</v>
      </c>
      <c r="AE8529">
        <v>-22.357240000000001</v>
      </c>
      <c r="AF8529">
        <v>13.4357177391954</v>
      </c>
      <c r="AG8529">
        <v>-1.06447907611</v>
      </c>
      <c r="AH8529">
        <v>19.035438668525099</v>
      </c>
      <c r="AI8529">
        <v>92.615841187415199</v>
      </c>
      <c r="AJ8529">
        <v>54.7845415948712</v>
      </c>
      <c r="AK8529">
        <v>23.3237979791882</v>
      </c>
      <c r="AL8529">
        <v>81.665946171714396</v>
      </c>
      <c r="AM8529">
        <v>66.317853569418901</v>
      </c>
      <c r="AN8529">
        <v>0.99999998942036905</v>
      </c>
    </row>
    <row r="8530" spans="1:40" x14ac:dyDescent="0.25">
      <c r="A8530" t="str">
        <f>"20190303162118367"</f>
        <v>20190303162118367</v>
      </c>
      <c r="B8530" t="str">
        <f>"1551601278360853"</f>
        <v>1551601278360853</v>
      </c>
      <c r="C8530" t="s">
        <v>40</v>
      </c>
      <c r="D8530">
        <v>4.7398170000000004</v>
      </c>
      <c r="E8530">
        <v>0.57846519999999901</v>
      </c>
      <c r="F8530" t="s">
        <v>41</v>
      </c>
      <c r="G8530">
        <v>-304.03789999999998</v>
      </c>
      <c r="H8530" s="1">
        <v>-9.9271710000000003E-7</v>
      </c>
      <c r="I8530">
        <v>-9.6354330000000008</v>
      </c>
      <c r="J8530">
        <v>-310.66969999999998</v>
      </c>
      <c r="K8530">
        <v>1.064565</v>
      </c>
      <c r="L8530">
        <v>12.79007</v>
      </c>
      <c r="M8530">
        <v>0.78249869999999899</v>
      </c>
      <c r="N8530">
        <v>-1.611947E-2</v>
      </c>
      <c r="O8530">
        <v>-0.62244370000000004</v>
      </c>
      <c r="P8530">
        <v>0.46852109999999902</v>
      </c>
      <c r="Q8530">
        <v>0.14038210000000001</v>
      </c>
      <c r="R8530">
        <v>-0.8722278</v>
      </c>
      <c r="S8530">
        <v>0.89327999999999996</v>
      </c>
      <c r="T8530">
        <v>-0.14098849999999999</v>
      </c>
      <c r="U8530">
        <v>-2.9833980000000002</v>
      </c>
      <c r="V8530">
        <v>0.39365990000000001</v>
      </c>
      <c r="W8530">
        <v>0.1479838</v>
      </c>
      <c r="X8530">
        <v>0.90726660000000003</v>
      </c>
      <c r="Y8530">
        <v>0.57070989999999999</v>
      </c>
      <c r="Z8530">
        <v>3.0822279999999998E-3</v>
      </c>
      <c r="AA8530">
        <v>0.82114599999999904</v>
      </c>
      <c r="AB8530">
        <v>22</v>
      </c>
      <c r="AC8530">
        <v>6.6317999999999904</v>
      </c>
      <c r="AD8530">
        <v>-1.0645659927170901</v>
      </c>
      <c r="AE8530">
        <v>-22.425502999999999</v>
      </c>
      <c r="AF8530">
        <v>13.3939910378111</v>
      </c>
      <c r="AG8530">
        <v>-1.0645659927170901</v>
      </c>
      <c r="AH8530">
        <v>19.110870853368102</v>
      </c>
      <c r="AI8530">
        <v>92.611834858369207</v>
      </c>
      <c r="AJ8530">
        <v>54.975031497007897</v>
      </c>
      <c r="AK8530">
        <v>23.3614571773237</v>
      </c>
      <c r="AL8530">
        <v>81.489897174125005</v>
      </c>
      <c r="AM8530">
        <v>66.544141664033603</v>
      </c>
      <c r="AN8530">
        <v>1.000000002703</v>
      </c>
    </row>
    <row r="8531" spans="1:40" x14ac:dyDescent="0.25">
      <c r="A8531" t="str">
        <f>"20190303162118388"</f>
        <v>20190303162118388</v>
      </c>
      <c r="B8531" t="str">
        <f>"1551601278381348"</f>
        <v>1551601278381348</v>
      </c>
      <c r="C8531" t="s">
        <v>40</v>
      </c>
      <c r="D8531">
        <v>4.7551290000000002</v>
      </c>
      <c r="E8531">
        <v>0.57792379999999999</v>
      </c>
      <c r="F8531" t="s">
        <v>41</v>
      </c>
      <c r="G8531">
        <v>-303.74270000000001</v>
      </c>
      <c r="H8531" s="1">
        <v>-4.9052519999999998E-6</v>
      </c>
      <c r="I8531">
        <v>-10.549759999999999</v>
      </c>
      <c r="J8531">
        <v>-310.5093</v>
      </c>
      <c r="K8531">
        <v>1.0646899999999999</v>
      </c>
      <c r="L8531">
        <v>12.64526</v>
      </c>
      <c r="M8531">
        <v>0.77525059999999901</v>
      </c>
      <c r="N8531">
        <v>-1.603856E-2</v>
      </c>
      <c r="O8531">
        <v>-0.63145019999999996</v>
      </c>
      <c r="P8531">
        <v>0.4613352</v>
      </c>
      <c r="Q8531">
        <v>0.14256189999999999</v>
      </c>
      <c r="R8531">
        <v>-0.87569759999999996</v>
      </c>
      <c r="S8531">
        <v>0.88604740000000004</v>
      </c>
      <c r="T8531">
        <v>-0.13617119999999999</v>
      </c>
      <c r="U8531">
        <v>-2.9854430000000001</v>
      </c>
      <c r="V8531">
        <v>0.39033129999999999</v>
      </c>
      <c r="W8531">
        <v>0.1503013</v>
      </c>
      <c r="X8531">
        <v>0.9083232</v>
      </c>
      <c r="Y8531">
        <v>0.56320530000000002</v>
      </c>
      <c r="Z8531">
        <v>3.1865869999999998E-3</v>
      </c>
      <c r="AA8531">
        <v>0.82631089999999996</v>
      </c>
      <c r="AB8531">
        <v>22</v>
      </c>
      <c r="AC8531">
        <v>6.76659999999998</v>
      </c>
      <c r="AD8531">
        <v>-1.0646949052519901</v>
      </c>
      <c r="AE8531">
        <v>-23.19502</v>
      </c>
      <c r="AF8531">
        <v>13.6843738700291</v>
      </c>
      <c r="AG8531">
        <v>-1.0646949052519901</v>
      </c>
      <c r="AH8531">
        <v>19.856313250648</v>
      </c>
      <c r="AI8531">
        <v>92.5280044348047</v>
      </c>
      <c r="AJ8531">
        <v>55.426556937022198</v>
      </c>
      <c r="AK8531">
        <v>24.1385343250966</v>
      </c>
      <c r="AL8531">
        <v>81.355612442888997</v>
      </c>
      <c r="AM8531">
        <v>66.745481625616193</v>
      </c>
      <c r="AN8531">
        <v>1.0000000200998</v>
      </c>
    </row>
    <row r="8532" spans="1:40" x14ac:dyDescent="0.25">
      <c r="A8532" t="str">
        <f>"20190303162118409"</f>
        <v>20190303162118409</v>
      </c>
      <c r="B8532" t="str">
        <f>"1551601278400868"</f>
        <v>1551601278400868</v>
      </c>
      <c r="C8532" t="s">
        <v>40</v>
      </c>
      <c r="D8532">
        <v>4.7434500000000002</v>
      </c>
      <c r="E8532">
        <v>0.57764579999999999</v>
      </c>
      <c r="F8532" t="s">
        <v>41</v>
      </c>
      <c r="G8532">
        <v>-303.53519999999997</v>
      </c>
      <c r="H8532" s="1">
        <v>-4.5747109999999997E-6</v>
      </c>
      <c r="I8532">
        <v>-11.41296</v>
      </c>
      <c r="J8532">
        <v>-310.35160000000002</v>
      </c>
      <c r="K8532">
        <v>1.064813</v>
      </c>
      <c r="L8532">
        <v>12.49976</v>
      </c>
      <c r="M8532">
        <v>0.76804209999999995</v>
      </c>
      <c r="N8532">
        <v>-1.5962520000000001E-2</v>
      </c>
      <c r="O8532">
        <v>-0.64020069999999996</v>
      </c>
      <c r="P8532">
        <v>0.45424039999999999</v>
      </c>
      <c r="Q8532">
        <v>0.143812</v>
      </c>
      <c r="R8532">
        <v>-0.87919499999999995</v>
      </c>
      <c r="S8532">
        <v>0.86694340000000003</v>
      </c>
      <c r="T8532">
        <v>-0.13235150000000001</v>
      </c>
      <c r="U8532">
        <v>-2.9906619999999999</v>
      </c>
      <c r="V8532">
        <v>0.3871811</v>
      </c>
      <c r="W8532">
        <v>0.1516824</v>
      </c>
      <c r="X8532">
        <v>0.90944119999999995</v>
      </c>
      <c r="Y8532">
        <v>0.55910559999999998</v>
      </c>
      <c r="Z8532">
        <v>3.2578239999999999E-3</v>
      </c>
      <c r="AA8532">
        <v>0.82909009999999905</v>
      </c>
      <c r="AB8532">
        <v>22</v>
      </c>
      <c r="AC8532">
        <v>6.8164000000000398</v>
      </c>
      <c r="AD8532">
        <v>-1.064817574711</v>
      </c>
      <c r="AE8532">
        <v>-23.91272</v>
      </c>
      <c r="AF8532">
        <v>13.9782589649749</v>
      </c>
      <c r="AG8532">
        <v>-1.064817574711</v>
      </c>
      <c r="AH8532">
        <v>20.509225065258999</v>
      </c>
      <c r="AI8532">
        <v>92.456598511448405</v>
      </c>
      <c r="AJ8532">
        <v>55.723238674405501</v>
      </c>
      <c r="AK8532">
        <v>24.842581849251602</v>
      </c>
      <c r="AL8532">
        <v>81.275563522892995</v>
      </c>
      <c r="AM8532">
        <v>66.938839812720602</v>
      </c>
      <c r="AN8532">
        <v>1.0000000254621999</v>
      </c>
    </row>
    <row r="8533" spans="1:40" x14ac:dyDescent="0.25">
      <c r="A8533" t="str">
        <f>"20190303162118422"</f>
        <v>20190303162118422</v>
      </c>
      <c r="B8533" t="str">
        <f>"1551601278410629"</f>
        <v>1551601278410629</v>
      </c>
      <c r="C8533" t="s">
        <v>40</v>
      </c>
      <c r="D8533">
        <v>4.7412900000000002</v>
      </c>
      <c r="E8533">
        <v>0.57759950000000004</v>
      </c>
      <c r="F8533" t="s">
        <v>41</v>
      </c>
      <c r="G8533">
        <v>-303.57240000000002</v>
      </c>
      <c r="H8533" s="1">
        <v>-4.5478220000000001E-6</v>
      </c>
      <c r="I8533">
        <v>-11.51136</v>
      </c>
      <c r="J8533">
        <v>-310.25479999999999</v>
      </c>
      <c r="K8533">
        <v>1.0648799999999901</v>
      </c>
      <c r="L8533">
        <v>12.40906</v>
      </c>
      <c r="M8533">
        <v>0.76357900000000001</v>
      </c>
      <c r="N8533">
        <v>-1.5917879999999999E-2</v>
      </c>
      <c r="O8533">
        <v>-0.64551840000000005</v>
      </c>
      <c r="P8533">
        <v>0.44920700000000002</v>
      </c>
      <c r="Q8533">
        <v>0.14428769999999999</v>
      </c>
      <c r="R8533">
        <v>-0.88169989999999998</v>
      </c>
      <c r="S8533">
        <v>0.84609990000000002</v>
      </c>
      <c r="T8533">
        <v>-0.13289989999999999</v>
      </c>
      <c r="U8533">
        <v>-2.996826</v>
      </c>
      <c r="V8533">
        <v>0.38598120000000002</v>
      </c>
      <c r="W8533">
        <v>0.1522192</v>
      </c>
      <c r="X8533">
        <v>0.90986140000000004</v>
      </c>
      <c r="Y8533">
        <v>0.55913829999999998</v>
      </c>
      <c r="Z8533">
        <v>3.5883239999999999E-3</v>
      </c>
      <c r="AA8533">
        <v>0.82906659999999899</v>
      </c>
      <c r="AB8533">
        <v>22</v>
      </c>
      <c r="AC8533">
        <v>6.6823999999999701</v>
      </c>
      <c r="AD8533">
        <v>-1.0648845478219999</v>
      </c>
      <c r="AE8533">
        <v>-23.92042</v>
      </c>
      <c r="AF8533">
        <v>13.927680003479299</v>
      </c>
      <c r="AG8533">
        <v>-1.0648845478219999</v>
      </c>
      <c r="AH8533">
        <v>20.508509769513701</v>
      </c>
      <c r="AI8533">
        <v>92.459627367775894</v>
      </c>
      <c r="AJ8533">
        <v>55.818902838381703</v>
      </c>
      <c r="AK8533">
        <v>24.8135693189382</v>
      </c>
      <c r="AL8533">
        <v>81.244445317150195</v>
      </c>
      <c r="AM8533">
        <v>67.012382888873503</v>
      </c>
      <c r="AN8533">
        <v>0.99999996940601898</v>
      </c>
    </row>
    <row r="8534" spans="1:40" x14ac:dyDescent="0.25">
      <c r="A8534" t="str">
        <f>"20190303162118436"</f>
        <v>20190303162118436</v>
      </c>
      <c r="B8534" t="str">
        <f>"1551601278431125"</f>
        <v>1551601278431125</v>
      </c>
      <c r="C8534" t="s">
        <v>40</v>
      </c>
      <c r="D8534">
        <v>4.7371650000000001</v>
      </c>
      <c r="E8534">
        <v>0.5774975</v>
      </c>
      <c r="F8534" t="s">
        <v>41</v>
      </c>
      <c r="G8534">
        <v>-303.64929999999998</v>
      </c>
      <c r="H8534" s="1">
        <v>-4.5755160000000001E-6</v>
      </c>
      <c r="I8534">
        <v>-11.47003</v>
      </c>
      <c r="J8534">
        <v>-310.15589999999997</v>
      </c>
      <c r="K8534">
        <v>1.0649470000000001</v>
      </c>
      <c r="L8534">
        <v>12.31479</v>
      </c>
      <c r="M8534">
        <v>0.75899090000000002</v>
      </c>
      <c r="N8534">
        <v>-1.587357E-2</v>
      </c>
      <c r="O8534">
        <v>-0.65090760000000003</v>
      </c>
      <c r="P8534">
        <v>0.44395279999999998</v>
      </c>
      <c r="Q8534">
        <v>0.144821799999999</v>
      </c>
      <c r="R8534">
        <v>-0.88426979999999999</v>
      </c>
      <c r="S8534">
        <v>0.83026119999999903</v>
      </c>
      <c r="T8534">
        <v>-0.1338472</v>
      </c>
      <c r="U8534">
        <v>-3.001404</v>
      </c>
      <c r="V8534">
        <v>0.3848644</v>
      </c>
      <c r="W8534">
        <v>0.15281159999999999</v>
      </c>
      <c r="X8534">
        <v>0.91023509999999996</v>
      </c>
      <c r="Y8534">
        <v>0.55766059999999995</v>
      </c>
      <c r="Z8534">
        <v>4.0236710000000004E-3</v>
      </c>
      <c r="AA8534">
        <v>0.830059199999999</v>
      </c>
      <c r="AB8534">
        <v>22</v>
      </c>
      <c r="AC8534">
        <v>6.5065999999999899</v>
      </c>
      <c r="AD8534">
        <v>-1.0649515755159999</v>
      </c>
      <c r="AE8534">
        <v>-23.78482</v>
      </c>
      <c r="AF8534">
        <v>13.7932818267866</v>
      </c>
      <c r="AG8534">
        <v>-1.0649515755159999</v>
      </c>
      <c r="AH8534">
        <v>20.384723911810099</v>
      </c>
      <c r="AI8534">
        <v>92.477536564505598</v>
      </c>
      <c r="AJ8534">
        <v>55.915833215581998</v>
      </c>
      <c r="AK8534">
        <v>24.635862363068998</v>
      </c>
      <c r="AL8534">
        <v>81.210101466248204</v>
      </c>
      <c r="AM8534">
        <v>67.080450794200999</v>
      </c>
      <c r="AN8534">
        <v>0.99999996437696403</v>
      </c>
    </row>
    <row r="8535" spans="1:40" x14ac:dyDescent="0.25">
      <c r="A8535" t="str">
        <f>"20190303162118449"</f>
        <v>20190303162118449</v>
      </c>
      <c r="B8535" t="str">
        <f>"1551601278440884"</f>
        <v>1551601278440884</v>
      </c>
      <c r="C8535" t="s">
        <v>40</v>
      </c>
      <c r="D8535">
        <v>4.7181069999999998</v>
      </c>
      <c r="E8535">
        <v>0.57782549999999999</v>
      </c>
      <c r="F8535" t="s">
        <v>41</v>
      </c>
      <c r="G8535">
        <v>-303.79050000000001</v>
      </c>
      <c r="H8535" s="1">
        <v>-4.695938E-6</v>
      </c>
      <c r="I8535">
        <v>-11.18979</v>
      </c>
      <c r="J8535">
        <v>-310.06380000000001</v>
      </c>
      <c r="K8535">
        <v>1.065016</v>
      </c>
      <c r="L8535">
        <v>12.226229999999999</v>
      </c>
      <c r="M8535">
        <v>0.75469549999999996</v>
      </c>
      <c r="N8535">
        <v>-1.5833259999999998E-2</v>
      </c>
      <c r="O8535">
        <v>-0.65588449999999998</v>
      </c>
      <c r="P8535">
        <v>0.43931100000000001</v>
      </c>
      <c r="Q8535">
        <v>0.14462729999999999</v>
      </c>
      <c r="R8535">
        <v>-0.88661679999999998</v>
      </c>
      <c r="S8535">
        <v>0.81411739999999999</v>
      </c>
      <c r="T8535">
        <v>-0.13620560000000001</v>
      </c>
      <c r="U8535">
        <v>-3.006195</v>
      </c>
      <c r="V8535">
        <v>0.3836406</v>
      </c>
      <c r="W8535">
        <v>0.1526787</v>
      </c>
      <c r="X8535">
        <v>0.91077390000000003</v>
      </c>
      <c r="Y8535">
        <v>0.55668809999999902</v>
      </c>
      <c r="Z8535">
        <v>4.6199869999999999E-3</v>
      </c>
      <c r="AA8535">
        <v>0.83070869999999997</v>
      </c>
      <c r="AB8535">
        <v>22</v>
      </c>
      <c r="AC8535">
        <v>6.2732999999999999</v>
      </c>
      <c r="AD8535">
        <v>-1.065020695938</v>
      </c>
      <c r="AE8535">
        <v>-23.41602</v>
      </c>
      <c r="AF8535">
        <v>13.532980780469799</v>
      </c>
      <c r="AG8535">
        <v>-1.065020695938</v>
      </c>
      <c r="AH8535">
        <v>20.056438606154199</v>
      </c>
      <c r="AI8535">
        <v>92.520421691047403</v>
      </c>
      <c r="AJ8535">
        <v>55.9906901548161</v>
      </c>
      <c r="AK8535">
        <v>24.218517036552299</v>
      </c>
      <c r="AL8535">
        <v>81.217806770708805</v>
      </c>
      <c r="AM8535">
        <v>67.157964830874306</v>
      </c>
      <c r="AN8535">
        <v>0.99999999616163004</v>
      </c>
    </row>
    <row r="8536" spans="1:40" x14ac:dyDescent="0.25">
      <c r="A8536" t="str">
        <f>"20190303162118463"</f>
        <v>20190303162118463</v>
      </c>
      <c r="B8536" t="str">
        <f>"1551601278451620"</f>
        <v>1551601278451620</v>
      </c>
      <c r="C8536" t="s">
        <v>40</v>
      </c>
      <c r="D8536">
        <v>4.7942150000000003</v>
      </c>
      <c r="E8536">
        <v>0.57770469999999996</v>
      </c>
      <c r="F8536" t="s">
        <v>41</v>
      </c>
      <c r="G8536">
        <v>-303.90859999999998</v>
      </c>
      <c r="H8536" s="1">
        <v>-4.7649489999999998E-6</v>
      </c>
      <c r="I8536">
        <v>-11.04852</v>
      </c>
      <c r="J8536">
        <v>-309.96280000000002</v>
      </c>
      <c r="K8536">
        <v>1.065091</v>
      </c>
      <c r="L8536">
        <v>12.127750000000001</v>
      </c>
      <c r="M8536">
        <v>0.7499654</v>
      </c>
      <c r="N8536">
        <v>-1.578982E-2</v>
      </c>
      <c r="O8536">
        <v>-0.66128869999999995</v>
      </c>
      <c r="P8536">
        <v>0.43390580000000001</v>
      </c>
      <c r="Q8536">
        <v>0.14448710000000001</v>
      </c>
      <c r="R8536">
        <v>-0.88929740000000002</v>
      </c>
      <c r="S8536">
        <v>0.79641719999999905</v>
      </c>
      <c r="T8536">
        <v>-0.13780239999999999</v>
      </c>
      <c r="U8536">
        <v>-3.0115050000000001</v>
      </c>
      <c r="V8536">
        <v>0.38262249999999998</v>
      </c>
      <c r="W8536">
        <v>0.1526024</v>
      </c>
      <c r="X8536">
        <v>0.91121490000000005</v>
      </c>
      <c r="Y8536">
        <v>0.55564799999999903</v>
      </c>
      <c r="Z8536">
        <v>5.1441550000000001E-3</v>
      </c>
      <c r="AA8536">
        <v>0.83140179999999997</v>
      </c>
      <c r="AB8536">
        <v>22</v>
      </c>
      <c r="AC8536">
        <v>6.05420000000003</v>
      </c>
      <c r="AD8536">
        <v>-1.065095764949</v>
      </c>
      <c r="AE8536">
        <v>-23.176269999999999</v>
      </c>
      <c r="AF8536">
        <v>13.353093425134601</v>
      </c>
      <c r="AG8536">
        <v>-1.065095764949</v>
      </c>
      <c r="AH8536">
        <v>19.829916227788399</v>
      </c>
      <c r="AI8536">
        <v>92.550964524912402</v>
      </c>
      <c r="AJ8536">
        <v>56.044415193689801</v>
      </c>
      <c r="AK8536">
        <v>23.930422282316499</v>
      </c>
      <c r="AL8536">
        <v>81.222230591274794</v>
      </c>
      <c r="AM8536">
        <v>67.222285086117196</v>
      </c>
      <c r="AN8536">
        <v>1.0000000319869999</v>
      </c>
    </row>
    <row r="8537" spans="1:40" x14ac:dyDescent="0.25">
      <c r="A8537" t="str">
        <f>"20190303162118476"</f>
        <v>20190303162118476</v>
      </c>
      <c r="B8537" t="str">
        <f>"1551601278471140"</f>
        <v>1551601278471140</v>
      </c>
      <c r="C8537" t="s">
        <v>40</v>
      </c>
      <c r="D8537">
        <v>4.7825559999999996</v>
      </c>
      <c r="E8537">
        <v>0.57737369999999899</v>
      </c>
      <c r="F8537" t="s">
        <v>41</v>
      </c>
      <c r="G8537">
        <v>-304.10090000000002</v>
      </c>
      <c r="H8537" s="1">
        <v>-4.9662930000000002E-6</v>
      </c>
      <c r="I8537">
        <v>-10.5571</v>
      </c>
      <c r="J8537">
        <v>-309.86559999999997</v>
      </c>
      <c r="K8537">
        <v>1.0651569999999999</v>
      </c>
      <c r="L8537">
        <v>12.03152</v>
      </c>
      <c r="M8537">
        <v>0.74540260000000003</v>
      </c>
      <c r="N8537">
        <v>-1.5747980000000002E-2</v>
      </c>
      <c r="O8537">
        <v>-0.66642840000000003</v>
      </c>
      <c r="P8537">
        <v>0.43053799999999998</v>
      </c>
      <c r="Q8537">
        <v>0.1430932</v>
      </c>
      <c r="R8537">
        <v>-0.89115730000000004</v>
      </c>
      <c r="S8537">
        <v>0.77938839999999998</v>
      </c>
      <c r="T8537">
        <v>-0.14161360000000001</v>
      </c>
      <c r="U8537">
        <v>-3.0161440000000002</v>
      </c>
      <c r="V8537">
        <v>0.37991029999999998</v>
      </c>
      <c r="W8537">
        <v>0.15131520000000001</v>
      </c>
      <c r="X8537">
        <v>0.91256340000000002</v>
      </c>
      <c r="Y8537">
        <v>0.55463769999999901</v>
      </c>
      <c r="Z8537">
        <v>5.977708E-3</v>
      </c>
      <c r="AA8537">
        <v>0.83207050000000005</v>
      </c>
      <c r="AB8537">
        <v>22</v>
      </c>
      <c r="AC8537">
        <v>5.76469999999994</v>
      </c>
      <c r="AD8537">
        <v>-1.0651619662930001</v>
      </c>
      <c r="AE8537">
        <v>-22.588619999999999</v>
      </c>
      <c r="AF8537">
        <v>12.970391910706599</v>
      </c>
      <c r="AG8537">
        <v>-1.0651619662930001</v>
      </c>
      <c r="AH8537">
        <v>19.312804020807601</v>
      </c>
      <c r="AI8537">
        <v>92.621500732783105</v>
      </c>
      <c r="AJ8537">
        <v>56.1148690850085</v>
      </c>
      <c r="AK8537">
        <v>23.288409895866302</v>
      </c>
      <c r="AL8537">
        <v>81.296848361116602</v>
      </c>
      <c r="AM8537">
        <v>67.3974945819011</v>
      </c>
      <c r="AN8537">
        <v>1.00000004240834</v>
      </c>
    </row>
    <row r="8538" spans="1:40" x14ac:dyDescent="0.25">
      <c r="A8538" t="str">
        <f>"20190303162118492"</f>
        <v>20190303162118492</v>
      </c>
      <c r="B8538" t="str">
        <f>"1551601278480900"</f>
        <v>1551601278480900</v>
      </c>
      <c r="C8538" t="s">
        <v>40</v>
      </c>
      <c r="D8538">
        <v>4.7893169999999996</v>
      </c>
      <c r="E8538">
        <v>0.57717769999999902</v>
      </c>
      <c r="F8538" t="s">
        <v>41</v>
      </c>
      <c r="G8538">
        <v>-304.4196</v>
      </c>
      <c r="H8538" s="1">
        <v>-1.249903E-6</v>
      </c>
      <c r="I8538">
        <v>-9.3062170000000002</v>
      </c>
      <c r="J8538">
        <v>-309.75959999999998</v>
      </c>
      <c r="K8538">
        <v>1.0652410000000001</v>
      </c>
      <c r="L8538">
        <v>11.925380000000001</v>
      </c>
      <c r="M8538">
        <v>0.74040159999999999</v>
      </c>
      <c r="N8538">
        <v>-1.5702839999999999E-2</v>
      </c>
      <c r="O8538">
        <v>-0.6719813</v>
      </c>
      <c r="P8538">
        <v>0.42525629999999998</v>
      </c>
      <c r="Q8538">
        <v>0.14177219999999999</v>
      </c>
      <c r="R8538">
        <v>-0.89390049999999899</v>
      </c>
      <c r="S8538">
        <v>0.77038569999999995</v>
      </c>
      <c r="T8538">
        <v>-0.15067710000000001</v>
      </c>
      <c r="U8538">
        <v>-3.0184329999999999</v>
      </c>
      <c r="V8538">
        <v>0.37858520000000001</v>
      </c>
      <c r="W8538">
        <v>0.1500755</v>
      </c>
      <c r="X8538">
        <v>0.91331850000000003</v>
      </c>
      <c r="Y8538">
        <v>0.55088000000000004</v>
      </c>
      <c r="Z8538">
        <v>7.6933309999999899E-3</v>
      </c>
      <c r="AA8538">
        <v>0.83454899999999999</v>
      </c>
      <c r="AB8538">
        <v>22</v>
      </c>
      <c r="AC8538">
        <v>5.3399999999999697</v>
      </c>
      <c r="AD8538">
        <v>-1.0652422499030001</v>
      </c>
      <c r="AE8538">
        <v>-21.231597000000001</v>
      </c>
      <c r="AF8538">
        <v>12.1043670939763</v>
      </c>
      <c r="AG8538">
        <v>-1.0652422499030001</v>
      </c>
      <c r="AH8538">
        <v>18.180185931518999</v>
      </c>
      <c r="AI8538">
        <v>92.792234909604801</v>
      </c>
      <c r="AJ8538">
        <v>56.344325220915898</v>
      </c>
      <c r="AK8538">
        <v>21.867089525158999</v>
      </c>
      <c r="AL8538">
        <v>81.368698481283403</v>
      </c>
      <c r="AM8538">
        <v>67.4852071920821</v>
      </c>
      <c r="AN8538">
        <v>1.0000000459007601</v>
      </c>
    </row>
    <row r="8539" spans="1:40" x14ac:dyDescent="0.25">
      <c r="A8539" t="str">
        <f>"20190303162118510"</f>
        <v>20190303162118510</v>
      </c>
      <c r="B8539" t="str">
        <f>"1551601278501397"</f>
        <v>1551601278501397</v>
      </c>
      <c r="C8539" t="s">
        <v>40</v>
      </c>
      <c r="D8539">
        <v>4.7802059999999997</v>
      </c>
      <c r="E8539">
        <v>0.57685450000000005</v>
      </c>
      <c r="F8539" t="s">
        <v>41</v>
      </c>
      <c r="G8539">
        <v>-304.62959999999998</v>
      </c>
      <c r="H8539" s="1">
        <v>-1.614385E-6</v>
      </c>
      <c r="I8539">
        <v>-8.6533759999999997</v>
      </c>
      <c r="J8539">
        <v>-309.63470000000001</v>
      </c>
      <c r="K8539">
        <v>1.0653360000000001</v>
      </c>
      <c r="L8539">
        <v>11.79852</v>
      </c>
      <c r="M8539">
        <v>0.73448249999999904</v>
      </c>
      <c r="N8539">
        <v>-1.5650460000000001E-2</v>
      </c>
      <c r="O8539">
        <v>-0.67844749999999998</v>
      </c>
      <c r="P8539">
        <v>0.4203382</v>
      </c>
      <c r="Q8539">
        <v>0.13953289999999999</v>
      </c>
      <c r="R8539">
        <v>-0.89657520000000002</v>
      </c>
      <c r="S8539">
        <v>0.75344849999999997</v>
      </c>
      <c r="T8539">
        <v>-0.15645529999999999</v>
      </c>
      <c r="U8539">
        <v>-3.0224609999999998</v>
      </c>
      <c r="V8539">
        <v>0.37576690000000001</v>
      </c>
      <c r="W8539">
        <v>0.14796210000000001</v>
      </c>
      <c r="X8539">
        <v>0.91482589999999997</v>
      </c>
      <c r="Y8539">
        <v>0.54821830000000005</v>
      </c>
      <c r="Z8539">
        <v>8.9987790000000002E-3</v>
      </c>
      <c r="AA8539">
        <v>0.8362868</v>
      </c>
      <c r="AB8539">
        <v>22</v>
      </c>
      <c r="AC8539">
        <v>5.0051000000000201</v>
      </c>
      <c r="AD8539">
        <v>-1.065337614385</v>
      </c>
      <c r="AE8539">
        <v>-20.451896000000001</v>
      </c>
      <c r="AF8539">
        <v>11.5975930607941</v>
      </c>
      <c r="AG8539">
        <v>-1.065337614385</v>
      </c>
      <c r="AH8539">
        <v>17.5090179501235</v>
      </c>
      <c r="AI8539">
        <v>92.903916383241906</v>
      </c>
      <c r="AJ8539">
        <v>56.480374092957703</v>
      </c>
      <c r="AK8539">
        <v>21.0286665914448</v>
      </c>
      <c r="AL8539">
        <v>81.491154195253301</v>
      </c>
      <c r="AM8539">
        <v>67.669476885988303</v>
      </c>
      <c r="AN8539">
        <v>0.99999998674141399</v>
      </c>
    </row>
    <row r="8540" spans="1:40" x14ac:dyDescent="0.25">
      <c r="A8540" t="str">
        <f>"20190303162118523"</f>
        <v>20190303162118523</v>
      </c>
      <c r="B8540" t="str">
        <f>"1551601278511158"</f>
        <v>1551601278511158</v>
      </c>
      <c r="C8540" t="s">
        <v>40</v>
      </c>
      <c r="D8540">
        <v>4.776891</v>
      </c>
      <c r="E8540">
        <v>0.57668719999999996</v>
      </c>
      <c r="F8540" t="s">
        <v>41</v>
      </c>
      <c r="G8540">
        <v>-304.93560000000002</v>
      </c>
      <c r="H8540" s="1">
        <v>-2.268716E-6</v>
      </c>
      <c r="I8540">
        <v>-7.4413919999999996</v>
      </c>
      <c r="J8540">
        <v>-309.53680000000003</v>
      </c>
      <c r="K8540">
        <v>1.0654159999999999</v>
      </c>
      <c r="L8540">
        <v>11.69763</v>
      </c>
      <c r="M8540">
        <v>0.72980909999999999</v>
      </c>
      <c r="N8540">
        <v>-1.5610580000000001E-2</v>
      </c>
      <c r="O8540">
        <v>-0.68347279999999999</v>
      </c>
      <c r="P8540">
        <v>0.41543750000000002</v>
      </c>
      <c r="Q8540">
        <v>0.13865160000000001</v>
      </c>
      <c r="R8540">
        <v>-0.89899249999999997</v>
      </c>
      <c r="S8540">
        <v>0.73898319999999995</v>
      </c>
      <c r="T8540">
        <v>-0.16753479999999901</v>
      </c>
      <c r="U8540">
        <v>-3.025665</v>
      </c>
      <c r="V8540">
        <v>0.37453199999999998</v>
      </c>
      <c r="W8540">
        <v>0.14715429999999999</v>
      </c>
      <c r="X8540">
        <v>0.91546240000000001</v>
      </c>
      <c r="Y8540">
        <v>0.54643350000000002</v>
      </c>
      <c r="Z8540">
        <v>1.101443E-2</v>
      </c>
      <c r="AA8540">
        <v>0.83743009999999996</v>
      </c>
      <c r="AB8540">
        <v>22</v>
      </c>
      <c r="AC8540">
        <v>4.6012000000000004</v>
      </c>
      <c r="AD8540">
        <v>-1.0654182687160001</v>
      </c>
      <c r="AE8540">
        <v>-19.139022000000001</v>
      </c>
      <c r="AF8540">
        <v>10.7927382120675</v>
      </c>
      <c r="AG8540">
        <v>-1.0654182687160001</v>
      </c>
      <c r="AH8540">
        <v>16.392977506472299</v>
      </c>
      <c r="AI8540">
        <v>93.107179313869807</v>
      </c>
      <c r="AJ8540">
        <v>56.640063743980299</v>
      </c>
      <c r="AK8540">
        <v>19.6557377304756</v>
      </c>
      <c r="AL8540">
        <v>81.537950151686204</v>
      </c>
      <c r="AM8540">
        <v>67.749654523953097</v>
      </c>
      <c r="AN8540">
        <v>1.00000000642312</v>
      </c>
    </row>
    <row r="8541" spans="1:40" x14ac:dyDescent="0.25">
      <c r="A8541" t="str">
        <f>"20190303162118536"</f>
        <v>20190303162118536</v>
      </c>
      <c r="B8541" t="str">
        <f>"1551601278530676"</f>
        <v>1551601278530676</v>
      </c>
      <c r="C8541" t="s">
        <v>40</v>
      </c>
      <c r="D8541">
        <v>4.7968129999999896</v>
      </c>
      <c r="E8541">
        <v>0.57642479999999996</v>
      </c>
      <c r="F8541" t="s">
        <v>41</v>
      </c>
      <c r="G8541">
        <v>-305.06299999999999</v>
      </c>
      <c r="H8541" s="1">
        <v>-2.5030469999999998E-6</v>
      </c>
      <c r="I8541">
        <v>-7.0173800000000002</v>
      </c>
      <c r="J8541">
        <v>-309.44729999999998</v>
      </c>
      <c r="K8541">
        <v>1.065485</v>
      </c>
      <c r="L8541">
        <v>11.60397</v>
      </c>
      <c r="M8541">
        <v>0.72551949999999998</v>
      </c>
      <c r="N8541">
        <v>-1.557595E-2</v>
      </c>
      <c r="O8541">
        <v>-0.68802549999999996</v>
      </c>
      <c r="P8541">
        <v>0.41103509999999999</v>
      </c>
      <c r="Q8541">
        <v>0.13811209999999999</v>
      </c>
      <c r="R8541">
        <v>-0.90109720000000004</v>
      </c>
      <c r="S8541">
        <v>0.72409060000000003</v>
      </c>
      <c r="T8541">
        <v>-0.1724396</v>
      </c>
      <c r="U8541">
        <v>-3.0290530000000002</v>
      </c>
      <c r="V8541">
        <v>0.373305</v>
      </c>
      <c r="W8541">
        <v>0.146677</v>
      </c>
      <c r="X8541">
        <v>0.91603999999999997</v>
      </c>
      <c r="Y8541">
        <v>0.54529399999999995</v>
      </c>
      <c r="Z8541">
        <v>1.2089569999999999E-2</v>
      </c>
      <c r="AA8541">
        <v>0.83815769999999901</v>
      </c>
      <c r="AB8541">
        <v>22</v>
      </c>
      <c r="AC8541">
        <v>4.3842999999999899</v>
      </c>
      <c r="AD8541">
        <v>-1.0654875030469999</v>
      </c>
      <c r="AE8541">
        <v>-18.62135</v>
      </c>
      <c r="AF8541">
        <v>10.4624595709655</v>
      </c>
      <c r="AG8541">
        <v>-1.0654875030469999</v>
      </c>
      <c r="AH8541">
        <v>15.9453346177014</v>
      </c>
      <c r="AI8541">
        <v>93.197702789258102</v>
      </c>
      <c r="AJ8541">
        <v>56.729297232493501</v>
      </c>
      <c r="AK8541">
        <v>19.1010999673763</v>
      </c>
      <c r="AL8541">
        <v>81.565597572160897</v>
      </c>
      <c r="AM8541">
        <v>67.828101305496901</v>
      </c>
      <c r="AN8541">
        <v>1.0000000234769899</v>
      </c>
    </row>
    <row r="8542" spans="1:40" x14ac:dyDescent="0.25">
      <c r="A8542" t="str">
        <f>"20190303162118550"</f>
        <v>20190303162118550</v>
      </c>
      <c r="B8542" t="str">
        <f>"1551601278541412"</f>
        <v>1551601278541412</v>
      </c>
      <c r="C8542" t="s">
        <v>40</v>
      </c>
      <c r="D8542">
        <v>4.8033640000000002</v>
      </c>
      <c r="E8542">
        <v>0.57628740000000001</v>
      </c>
      <c r="F8542" t="s">
        <v>41</v>
      </c>
      <c r="G8542">
        <v>-305.13420000000002</v>
      </c>
      <c r="H8542" s="1">
        <v>-2.636581E-6</v>
      </c>
      <c r="I8542">
        <v>-6.7749959999999998</v>
      </c>
      <c r="J8542">
        <v>-309.3553</v>
      </c>
      <c r="K8542">
        <v>1.065555</v>
      </c>
      <c r="L8542">
        <v>11.506769999999999</v>
      </c>
      <c r="M8542">
        <v>0.72107580000000004</v>
      </c>
      <c r="N8542">
        <v>-1.554208E-2</v>
      </c>
      <c r="O8542">
        <v>-0.69268169999999996</v>
      </c>
      <c r="P8542">
        <v>0.4062211</v>
      </c>
      <c r="Q8542">
        <v>0.1380207</v>
      </c>
      <c r="R8542">
        <v>-0.90329119999999996</v>
      </c>
      <c r="S8542">
        <v>0.71145630000000004</v>
      </c>
      <c r="T8542">
        <v>-0.175756</v>
      </c>
      <c r="U8542">
        <v>-3.0316770000000002</v>
      </c>
      <c r="V8542">
        <v>0.37227710000000003</v>
      </c>
      <c r="W8542">
        <v>0.14663870000000001</v>
      </c>
      <c r="X8542">
        <v>0.91646430000000001</v>
      </c>
      <c r="Y8542">
        <v>0.54336799999999996</v>
      </c>
      <c r="Z8542">
        <v>1.2975169999999999E-2</v>
      </c>
      <c r="AA8542">
        <v>0.83939430000000004</v>
      </c>
      <c r="AB8542">
        <v>22</v>
      </c>
      <c r="AC8542">
        <v>4.2210999999999697</v>
      </c>
      <c r="AD8542">
        <v>-1.065557636581</v>
      </c>
      <c r="AE8542">
        <v>-18.281766000000001</v>
      </c>
      <c r="AF8542">
        <v>10.2269163899257</v>
      </c>
      <c r="AG8542">
        <v>-1.065557636581</v>
      </c>
      <c r="AH8542">
        <v>15.6585742374582</v>
      </c>
      <c r="AI8542">
        <v>93.260861542659399</v>
      </c>
      <c r="AJ8542">
        <v>56.8506732724247</v>
      </c>
      <c r="AK8542">
        <v>18.732756846588199</v>
      </c>
      <c r="AL8542">
        <v>81.567815621250602</v>
      </c>
      <c r="AM8542">
        <v>67.892511519157296</v>
      </c>
      <c r="AN8542">
        <v>0.99999998034829396</v>
      </c>
    </row>
    <row r="8543" spans="1:40" x14ac:dyDescent="0.25">
      <c r="A8543" t="str">
        <f>"20190303162118567"</f>
        <v>20190303162118567</v>
      </c>
      <c r="B8543" t="str">
        <f>"1551601278561439"</f>
        <v>1551601278561439</v>
      </c>
      <c r="C8543" t="s">
        <v>40</v>
      </c>
      <c r="D8543">
        <v>4.7859350000000003</v>
      </c>
      <c r="E8543">
        <v>0.57597410000000004</v>
      </c>
      <c r="F8543" t="s">
        <v>41</v>
      </c>
      <c r="G8543">
        <v>-305.14940000000001</v>
      </c>
      <c r="H8543" s="1">
        <v>-2.6115720000000002E-6</v>
      </c>
      <c r="I8543">
        <v>-6.8364349999999998</v>
      </c>
      <c r="J8543">
        <v>-309.24579999999997</v>
      </c>
      <c r="K8543">
        <v>1.0656330000000001</v>
      </c>
      <c r="L8543">
        <v>11.38974</v>
      </c>
      <c r="M8543">
        <v>0.715754</v>
      </c>
      <c r="N8543">
        <v>-1.550442E-2</v>
      </c>
      <c r="O8543">
        <v>-0.69818059999999904</v>
      </c>
      <c r="P8543">
        <v>0.40167140000000001</v>
      </c>
      <c r="Q8543">
        <v>0.1390142</v>
      </c>
      <c r="R8543">
        <v>-0.90517150000000002</v>
      </c>
      <c r="S8543">
        <v>0.69592290000000001</v>
      </c>
      <c r="T8543">
        <v>-0.17631229999999901</v>
      </c>
      <c r="U8543">
        <v>-3.0351560000000002</v>
      </c>
      <c r="V8543">
        <v>0.36974770000000001</v>
      </c>
      <c r="W8543">
        <v>0.1477127</v>
      </c>
      <c r="X8543">
        <v>0.9173154</v>
      </c>
      <c r="Y8543">
        <v>0.54123959999999904</v>
      </c>
      <c r="Z8543">
        <v>1.350588E-2</v>
      </c>
      <c r="AA8543">
        <v>0.84075999999999995</v>
      </c>
      <c r="AB8543">
        <v>22</v>
      </c>
      <c r="AC8543">
        <v>4.0963999999999601</v>
      </c>
      <c r="AD8543">
        <v>-1.065635611572</v>
      </c>
      <c r="AE8543">
        <v>-18.226175000000001</v>
      </c>
      <c r="AF8543">
        <v>10.153613053511</v>
      </c>
      <c r="AG8543">
        <v>-1.065635611572</v>
      </c>
      <c r="AH8543">
        <v>15.608266057911701</v>
      </c>
      <c r="AI8543">
        <v>93.275460038486699</v>
      </c>
      <c r="AJ8543">
        <v>56.954873375164198</v>
      </c>
      <c r="AK8543">
        <v>18.6507213434666</v>
      </c>
      <c r="AL8543">
        <v>81.505602410216497</v>
      </c>
      <c r="AM8543">
        <v>68.046825813972802</v>
      </c>
      <c r="AN8543">
        <v>0.99999997323686896</v>
      </c>
    </row>
    <row r="8544" spans="1:40" x14ac:dyDescent="0.25">
      <c r="A8544" t="str">
        <f>"20190303162118588"</f>
        <v>20190303162118588</v>
      </c>
      <c r="B8544" t="str">
        <f>"1551601278580959"</f>
        <v>1551601278580959</v>
      </c>
      <c r="C8544" t="s">
        <v>40</v>
      </c>
      <c r="D8544">
        <v>4.8172560000000004</v>
      </c>
      <c r="E8544">
        <v>0.57574320000000001</v>
      </c>
      <c r="F8544" t="s">
        <v>41</v>
      </c>
      <c r="G8544">
        <v>-305.05680000000001</v>
      </c>
      <c r="H8544" s="1">
        <v>-2.385644E-6</v>
      </c>
      <c r="I8544">
        <v>-7.2622220000000004</v>
      </c>
      <c r="J8544">
        <v>-309.09690000000001</v>
      </c>
      <c r="K8544">
        <v>1.06572</v>
      </c>
      <c r="L8544">
        <v>11.22733</v>
      </c>
      <c r="M8544">
        <v>0.70842459999999996</v>
      </c>
      <c r="N8544">
        <v>-1.545852E-2</v>
      </c>
      <c r="O8544">
        <v>-0.705617099999999</v>
      </c>
      <c r="P8544">
        <v>0.39516180000000001</v>
      </c>
      <c r="Q8544">
        <v>0.14184639999999901</v>
      </c>
      <c r="R8544">
        <v>-0.90759409999999896</v>
      </c>
      <c r="S8544">
        <v>0.68234249999999996</v>
      </c>
      <c r="T8544">
        <v>-0.17357899999999901</v>
      </c>
      <c r="U8544">
        <v>-3.0381770000000001</v>
      </c>
      <c r="V8544">
        <v>0.36645280000000002</v>
      </c>
      <c r="W8544">
        <v>0.15062610000000001</v>
      </c>
      <c r="X8544">
        <v>0.91816350000000002</v>
      </c>
      <c r="Y8544">
        <v>0.53622599999999998</v>
      </c>
      <c r="Z8544">
        <v>1.373628E-2</v>
      </c>
      <c r="AA8544">
        <v>0.84396269999999995</v>
      </c>
      <c r="AB8544">
        <v>22</v>
      </c>
      <c r="AC8544">
        <v>4.04009999999999</v>
      </c>
      <c r="AD8544">
        <v>-1.0657223856439999</v>
      </c>
      <c r="AE8544">
        <v>-18.489552</v>
      </c>
      <c r="AF8544">
        <v>10.2165197900254</v>
      </c>
      <c r="AG8544">
        <v>-1.0657223856439999</v>
      </c>
      <c r="AH8544">
        <v>15.8602614971627</v>
      </c>
      <c r="AI8544">
        <v>93.233151529878199</v>
      </c>
      <c r="AJ8544">
        <v>57.212052386186201</v>
      </c>
      <c r="AK8544">
        <v>18.896056085374699</v>
      </c>
      <c r="AL8544">
        <v>81.336788687748495</v>
      </c>
      <c r="AM8544">
        <v>68.2423179394725</v>
      </c>
      <c r="AN8544">
        <v>1.0000000446806401</v>
      </c>
    </row>
    <row r="8545" spans="1:40" x14ac:dyDescent="0.25">
      <c r="A8545" t="str">
        <f>"20190303162118610"</f>
        <v>20190303162118610</v>
      </c>
      <c r="B8545" t="str">
        <f>"1551601278601455"</f>
        <v>1551601278601455</v>
      </c>
      <c r="C8545" t="s">
        <v>40</v>
      </c>
      <c r="D8545">
        <v>4.8148569999999999</v>
      </c>
      <c r="E8545">
        <v>0.57563889999999995</v>
      </c>
      <c r="F8545" t="s">
        <v>41</v>
      </c>
      <c r="G8545">
        <v>-304.78289999999998</v>
      </c>
      <c r="H8545" s="1">
        <v>-1.676764E-6</v>
      </c>
      <c r="I8545">
        <v>-8.6077049999999993</v>
      </c>
      <c r="J8545">
        <v>-308.95589999999999</v>
      </c>
      <c r="K8545">
        <v>1.065777</v>
      </c>
      <c r="L8545">
        <v>11.07047</v>
      </c>
      <c r="M8545">
        <v>0.70137419999999995</v>
      </c>
      <c r="N8545">
        <v>-1.5420140000000001E-2</v>
      </c>
      <c r="O8545">
        <v>-0.71262650000000005</v>
      </c>
      <c r="P8545">
        <v>0.38806990000000002</v>
      </c>
      <c r="Q8545">
        <v>0.14533289999999999</v>
      </c>
      <c r="R8545">
        <v>-0.91009910000000005</v>
      </c>
      <c r="S8545">
        <v>0.66180419999999995</v>
      </c>
      <c r="T8545">
        <v>-0.16349159999999999</v>
      </c>
      <c r="U8545">
        <v>-3.0428769999999998</v>
      </c>
      <c r="V8545">
        <v>0.36413139999999999</v>
      </c>
      <c r="W8545">
        <v>0.15415209999999999</v>
      </c>
      <c r="X8545">
        <v>0.91850169999999998</v>
      </c>
      <c r="Y8545">
        <v>0.53357209999999999</v>
      </c>
      <c r="Z8545">
        <v>1.263503E-2</v>
      </c>
      <c r="AA8545">
        <v>0.84566019999999897</v>
      </c>
      <c r="AB8545">
        <v>22</v>
      </c>
      <c r="AC8545">
        <v>4.173</v>
      </c>
      <c r="AD8545">
        <v>-1.0657786767640001</v>
      </c>
      <c r="AE8545">
        <v>-19.678175</v>
      </c>
      <c r="AF8545">
        <v>10.7989471135129</v>
      </c>
      <c r="AG8545">
        <v>-1.0657786767640001</v>
      </c>
      <c r="AH8545">
        <v>16.904585271288099</v>
      </c>
      <c r="AI8545">
        <v>93.0413197919883</v>
      </c>
      <c r="AJ8545">
        <v>57.428842295699901</v>
      </c>
      <c r="AK8545">
        <v>20.0877611032824</v>
      </c>
      <c r="AL8545">
        <v>81.132375484088399</v>
      </c>
      <c r="AM8545">
        <v>68.374613261264997</v>
      </c>
      <c r="AN8545">
        <v>0.99999995965162902</v>
      </c>
    </row>
    <row r="8546" spans="1:40" x14ac:dyDescent="0.25">
      <c r="A8546" t="str">
        <f>"20190303162118625"</f>
        <v>20190303162118625</v>
      </c>
      <c r="B8546" t="str">
        <f>"1551601278620975"</f>
        <v>1551601278620975</v>
      </c>
      <c r="C8546" t="s">
        <v>40</v>
      </c>
      <c r="D8546">
        <v>4.8119579999999997</v>
      </c>
      <c r="E8546">
        <v>0.57535959999999997</v>
      </c>
      <c r="F8546" t="s">
        <v>41</v>
      </c>
      <c r="G8546">
        <v>-304.49349999999998</v>
      </c>
      <c r="H8546" s="1">
        <v>-8.5807599999999996E-7</v>
      </c>
      <c r="I8546">
        <v>-10.176740000000001</v>
      </c>
      <c r="J8546">
        <v>-308.85680000000002</v>
      </c>
      <c r="K8546">
        <v>1.065801</v>
      </c>
      <c r="L8546">
        <v>10.95862</v>
      </c>
      <c r="M8546">
        <v>0.69634750000000001</v>
      </c>
      <c r="N8546">
        <v>-1.5395560000000001E-2</v>
      </c>
      <c r="O8546">
        <v>-0.71753979999999995</v>
      </c>
      <c r="P8546">
        <v>0.38234050000000003</v>
      </c>
      <c r="Q8546">
        <v>0.14710599999999999</v>
      </c>
      <c r="R8546">
        <v>-0.91223699999999996</v>
      </c>
      <c r="S8546">
        <v>0.64010619999999996</v>
      </c>
      <c r="T8546">
        <v>-0.152881399999999</v>
      </c>
      <c r="U8546">
        <v>-3.0478209999999999</v>
      </c>
      <c r="V8546">
        <v>0.3632687</v>
      </c>
      <c r="W8546">
        <v>0.1559314</v>
      </c>
      <c r="X8546">
        <v>0.918543</v>
      </c>
      <c r="Y8546">
        <v>0.53369500000000003</v>
      </c>
      <c r="Z8546">
        <v>1.117692E-2</v>
      </c>
      <c r="AA8546">
        <v>0.845603199999999</v>
      </c>
      <c r="AB8546">
        <v>22</v>
      </c>
      <c r="AC8546">
        <v>4.3633000000000299</v>
      </c>
      <c r="AD8546">
        <v>-1.065801858076</v>
      </c>
      <c r="AE8546">
        <v>-21.135359999999999</v>
      </c>
      <c r="AF8546">
        <v>11.5598914587293</v>
      </c>
      <c r="AG8546">
        <v>-1.065801858076</v>
      </c>
      <c r="AH8546">
        <v>18.161694746956201</v>
      </c>
      <c r="AI8546">
        <v>92.8341967883009</v>
      </c>
      <c r="AJ8546">
        <v>57.523308167426798</v>
      </c>
      <c r="AK8546">
        <v>21.554910814473299</v>
      </c>
      <c r="AL8546">
        <v>81.029181583713495</v>
      </c>
      <c r="AM8546">
        <v>68.422015084105794</v>
      </c>
      <c r="AN8546">
        <v>0.99999999637732495</v>
      </c>
    </row>
    <row r="8547" spans="1:40" x14ac:dyDescent="0.25">
      <c r="A8547" t="str">
        <f>"20190303162118638"</f>
        <v>20190303162118638</v>
      </c>
      <c r="B8547" t="str">
        <f>"1551601278630736"</f>
        <v>1551601278630736</v>
      </c>
      <c r="C8547" t="s">
        <v>40</v>
      </c>
      <c r="D8547">
        <v>4.808522</v>
      </c>
      <c r="E8547">
        <v>0.57524449999999905</v>
      </c>
      <c r="F8547" t="s">
        <v>41</v>
      </c>
      <c r="G8547">
        <v>-304.38139999999999</v>
      </c>
      <c r="H8547" s="1">
        <v>-4.888299E-6</v>
      </c>
      <c r="I8547">
        <v>-10.93249</v>
      </c>
      <c r="J8547">
        <v>-308.76920000000001</v>
      </c>
      <c r="K8547">
        <v>1.0658110000000001</v>
      </c>
      <c r="L8547">
        <v>10.85791</v>
      </c>
      <c r="M8547">
        <v>0.69183249999999996</v>
      </c>
      <c r="N8547">
        <v>-1.537439E-2</v>
      </c>
      <c r="O8547">
        <v>-0.72189459999999905</v>
      </c>
      <c r="P8547">
        <v>0.37735429999999998</v>
      </c>
      <c r="Q8547">
        <v>0.14831839999999999</v>
      </c>
      <c r="R8547">
        <v>-0.91411500000000001</v>
      </c>
      <c r="S8547">
        <v>0.62377930000000004</v>
      </c>
      <c r="T8547">
        <v>-0.1485503</v>
      </c>
      <c r="U8547">
        <v>-3.0511469999999998</v>
      </c>
      <c r="V8547">
        <v>0.36239860000000002</v>
      </c>
      <c r="W8547">
        <v>0.15714600000000001</v>
      </c>
      <c r="X8547">
        <v>0.91867969999999999</v>
      </c>
      <c r="Y8547">
        <v>0.53292629999999996</v>
      </c>
      <c r="Z8547">
        <v>1.072467E-2</v>
      </c>
      <c r="AA8547">
        <v>0.84609369999999995</v>
      </c>
      <c r="AB8547">
        <v>22</v>
      </c>
      <c r="AC8547">
        <v>4.3878000000000199</v>
      </c>
      <c r="AD8547">
        <v>-1.0658158882989901</v>
      </c>
      <c r="AE8547">
        <v>-21.790400000000002</v>
      </c>
      <c r="AF8547">
        <v>11.8818645299816</v>
      </c>
      <c r="AG8547">
        <v>-1.0658158882989901</v>
      </c>
      <c r="AH8547">
        <v>18.725156892872501</v>
      </c>
      <c r="AI8547">
        <v>92.751515834691205</v>
      </c>
      <c r="AJ8547">
        <v>57.603231488406998</v>
      </c>
      <c r="AK8547">
        <v>22.202391062209401</v>
      </c>
      <c r="AL8547">
        <v>80.958721521701904</v>
      </c>
      <c r="AM8547">
        <v>68.471874296693997</v>
      </c>
      <c r="AN8547">
        <v>1.0000000008950201</v>
      </c>
    </row>
    <row r="8548" spans="1:40" x14ac:dyDescent="0.25">
      <c r="A8548" t="str">
        <f>"20190303162118652"</f>
        <v>20190303162118652</v>
      </c>
      <c r="B8548" t="str">
        <f>"1551601278641471"</f>
        <v>1551601278641471</v>
      </c>
      <c r="C8548" t="s">
        <v>40</v>
      </c>
      <c r="D8548">
        <v>4.8177000000000003</v>
      </c>
      <c r="E8548">
        <v>0.57512450000000004</v>
      </c>
      <c r="F8548" t="s">
        <v>41</v>
      </c>
      <c r="G8548">
        <v>-304.3134</v>
      </c>
      <c r="H8548" s="1">
        <v>-4.6894070000000003E-6</v>
      </c>
      <c r="I8548">
        <v>-11.4815</v>
      </c>
      <c r="J8548">
        <v>-308.68239999999997</v>
      </c>
      <c r="K8548">
        <v>1.0658179999999999</v>
      </c>
      <c r="L8548">
        <v>10.75714</v>
      </c>
      <c r="M8548">
        <v>0.68730380000000002</v>
      </c>
      <c r="N8548">
        <v>-1.5353250000000001E-2</v>
      </c>
      <c r="O8548">
        <v>-0.72620769999999901</v>
      </c>
      <c r="P8548">
        <v>0.37241489999999999</v>
      </c>
      <c r="Q8548">
        <v>0.149412299999999</v>
      </c>
      <c r="R8548">
        <v>-0.91596029999999995</v>
      </c>
      <c r="S8548">
        <v>0.60916139999999996</v>
      </c>
      <c r="T8548">
        <v>-0.1457089</v>
      </c>
      <c r="U8548">
        <v>-3.0540470000000002</v>
      </c>
      <c r="V8548">
        <v>0.36150060000000001</v>
      </c>
      <c r="W8548">
        <v>0.15824070000000001</v>
      </c>
      <c r="X8548">
        <v>0.91884560000000004</v>
      </c>
      <c r="Y8548">
        <v>0.53169200000000005</v>
      </c>
      <c r="Z8548">
        <v>1.051932E-2</v>
      </c>
      <c r="AA8548">
        <v>0.84687250000000003</v>
      </c>
      <c r="AB8548">
        <v>22</v>
      </c>
      <c r="AC8548">
        <v>4.3689999999999696</v>
      </c>
      <c r="AD8548">
        <v>-1.065822689407</v>
      </c>
      <c r="AE8548">
        <v>-22.23864</v>
      </c>
      <c r="AF8548">
        <v>12.086598240992499</v>
      </c>
      <c r="AG8548">
        <v>-1.065822689407</v>
      </c>
      <c r="AH8548">
        <v>19.112691380960399</v>
      </c>
      <c r="AI8548">
        <v>92.698448300660999</v>
      </c>
      <c r="AJ8548">
        <v>57.691312940238099</v>
      </c>
      <c r="AK8548">
        <v>22.638834043922301</v>
      </c>
      <c r="AL8548">
        <v>80.895205292997701</v>
      </c>
      <c r="AM8548">
        <v>68.523879833003605</v>
      </c>
      <c r="AN8548">
        <v>1.0000000197881</v>
      </c>
    </row>
    <row r="8549" spans="1:40" x14ac:dyDescent="0.25">
      <c r="A8549" t="str">
        <f>"20190303162118665"</f>
        <v>20190303162118665</v>
      </c>
      <c r="B8549" t="str">
        <f>"1551601278660991"</f>
        <v>1551601278660991</v>
      </c>
      <c r="C8549" t="s">
        <v>40</v>
      </c>
      <c r="D8549">
        <v>4.8318450000000004</v>
      </c>
      <c r="E8549">
        <v>0.57491179999999997</v>
      </c>
      <c r="F8549" t="s">
        <v>41</v>
      </c>
      <c r="G8549">
        <v>-304.25540000000001</v>
      </c>
      <c r="H8549" s="1">
        <v>-4.4958960000000003E-6</v>
      </c>
      <c r="I8549">
        <v>-12.019909999999999</v>
      </c>
      <c r="J8549">
        <v>-308.59379999999999</v>
      </c>
      <c r="K8549">
        <v>1.065825</v>
      </c>
      <c r="L8549">
        <v>10.653079999999999</v>
      </c>
      <c r="M8549">
        <v>0.68261709999999998</v>
      </c>
      <c r="N8549">
        <v>-1.533147E-2</v>
      </c>
      <c r="O8549">
        <v>-0.73061540000000003</v>
      </c>
      <c r="P8549">
        <v>0.36902410000000002</v>
      </c>
      <c r="Q8549">
        <v>0.15052879999999999</v>
      </c>
      <c r="R8549">
        <v>-0.9171492</v>
      </c>
      <c r="S8549">
        <v>0.59417719999999996</v>
      </c>
      <c r="T8549">
        <v>-0.1430486</v>
      </c>
      <c r="U8549">
        <v>-3.057007</v>
      </c>
      <c r="V8549">
        <v>0.35887019999999997</v>
      </c>
      <c r="W8549">
        <v>0.15939130000000001</v>
      </c>
      <c r="X8549">
        <v>0.91967739999999998</v>
      </c>
      <c r="Y8549">
        <v>0.53040489999999996</v>
      </c>
      <c r="Z8549">
        <v>1.034055E-2</v>
      </c>
      <c r="AA8549">
        <v>0.84768140000000003</v>
      </c>
      <c r="AB8549">
        <v>22</v>
      </c>
      <c r="AC8549">
        <v>4.3383999999999698</v>
      </c>
      <c r="AD8549">
        <v>-1.065829495896</v>
      </c>
      <c r="AE8549">
        <v>-22.672989999999999</v>
      </c>
      <c r="AF8549">
        <v>12.282531814691</v>
      </c>
      <c r="AG8549">
        <v>-1.065829495896</v>
      </c>
      <c r="AH8549">
        <v>19.487453957170899</v>
      </c>
      <c r="AI8549">
        <v>92.649160863853794</v>
      </c>
      <c r="AJ8549">
        <v>57.777632625287801</v>
      </c>
      <c r="AK8549">
        <v>23.059866478929901</v>
      </c>
      <c r="AL8549">
        <v>80.828432789080594</v>
      </c>
      <c r="AM8549">
        <v>68.683617679832295</v>
      </c>
      <c r="AN8549">
        <v>0.99999996351724396</v>
      </c>
    </row>
    <row r="8550" spans="1:40" x14ac:dyDescent="0.25">
      <c r="A8550" t="str">
        <f>"20190303162118683"</f>
        <v>20190303162118683</v>
      </c>
      <c r="B8550" t="str">
        <f>"1551601278671727"</f>
        <v>1551601278671727</v>
      </c>
      <c r="C8550" t="s">
        <v>40</v>
      </c>
      <c r="D8550">
        <v>4.8294920000000001</v>
      </c>
      <c r="E8550">
        <v>0.57478750000000001</v>
      </c>
      <c r="F8550" t="s">
        <v>41</v>
      </c>
      <c r="G8550">
        <v>-304.14550000000003</v>
      </c>
      <c r="H8550" s="1">
        <v>-4.2645819999999997E-6</v>
      </c>
      <c r="I8550">
        <v>-12.64237</v>
      </c>
      <c r="J8550">
        <v>-308.48899999999998</v>
      </c>
      <c r="K8550">
        <v>1.0658299999999901</v>
      </c>
      <c r="L8550">
        <v>10.527950000000001</v>
      </c>
      <c r="M8550">
        <v>0.67698000000000003</v>
      </c>
      <c r="N8550">
        <v>-1.5305900000000001E-2</v>
      </c>
      <c r="O8550">
        <v>-0.73584249999999995</v>
      </c>
      <c r="P8550">
        <v>0.36349730000000002</v>
      </c>
      <c r="Q8550">
        <v>0.1510561</v>
      </c>
      <c r="R8550">
        <v>-0.91926739999999996</v>
      </c>
      <c r="S8550">
        <v>0.58410640000000003</v>
      </c>
      <c r="T8550">
        <v>-0.13995560000000001</v>
      </c>
      <c r="U8550">
        <v>-3.0589599999999999</v>
      </c>
      <c r="V8550">
        <v>0.35727750000000003</v>
      </c>
      <c r="W8550">
        <v>0.1599303</v>
      </c>
      <c r="X8550">
        <v>0.92020389999999996</v>
      </c>
      <c r="Y8550">
        <v>0.52668729999999997</v>
      </c>
      <c r="Z8550">
        <v>1.0182719999999999E-2</v>
      </c>
      <c r="AA8550">
        <v>0.84999809999999998</v>
      </c>
      <c r="AB8550">
        <v>22</v>
      </c>
      <c r="AC8550">
        <v>4.3434999999999997</v>
      </c>
      <c r="AD8550">
        <v>-1.06583426458199</v>
      </c>
      <c r="AE8550">
        <v>-23.17032</v>
      </c>
      <c r="AF8550">
        <v>12.4656903152054</v>
      </c>
      <c r="AG8550">
        <v>-1.06583426458199</v>
      </c>
      <c r="AH8550">
        <v>19.9517224405996</v>
      </c>
      <c r="AI8550">
        <v>92.594003102089104</v>
      </c>
      <c r="AJ8550">
        <v>58.003159100712701</v>
      </c>
      <c r="AK8550">
        <v>23.549961062831699</v>
      </c>
      <c r="AL8550">
        <v>80.797149996628505</v>
      </c>
      <c r="AM8550">
        <v>68.780847172848198</v>
      </c>
      <c r="AN8550">
        <v>1.00000006521977</v>
      </c>
    </row>
    <row r="8551" spans="1:40" x14ac:dyDescent="0.25">
      <c r="A8551" t="str">
        <f>"20190303162118700"</f>
        <v>20190303162118700</v>
      </c>
      <c r="B8551" t="str">
        <f>"1551601278691247"</f>
        <v>1551601278691247</v>
      </c>
      <c r="C8551" t="s">
        <v>40</v>
      </c>
      <c r="D8551">
        <v>4.7983779999999996</v>
      </c>
      <c r="E8551">
        <v>0.57466850000000003</v>
      </c>
      <c r="F8551" t="s">
        <v>41</v>
      </c>
      <c r="G8551">
        <v>-304.14269999999999</v>
      </c>
      <c r="H8551" s="1">
        <v>-4.1446309999999999E-6</v>
      </c>
      <c r="I8551">
        <v>-12.99339</v>
      </c>
      <c r="J8551">
        <v>-308.38589999999999</v>
      </c>
      <c r="K8551">
        <v>1.0658449999999999</v>
      </c>
      <c r="L8551">
        <v>10.402889999999999</v>
      </c>
      <c r="M8551">
        <v>0.67133830000000005</v>
      </c>
      <c r="N8551">
        <v>-1.5281680000000001E-2</v>
      </c>
      <c r="O8551">
        <v>-0.74099389999999998</v>
      </c>
      <c r="P8551">
        <v>0.35929919999999999</v>
      </c>
      <c r="Q8551">
        <v>0.1515879</v>
      </c>
      <c r="R8551">
        <v>-0.92082929999999996</v>
      </c>
      <c r="S8551">
        <v>0.56588749999999999</v>
      </c>
      <c r="T8551">
        <v>-0.1387726</v>
      </c>
      <c r="U8551">
        <v>-3.0625</v>
      </c>
      <c r="V8551">
        <v>0.35438209999999998</v>
      </c>
      <c r="W8551">
        <v>0.1605055</v>
      </c>
      <c r="X8551">
        <v>0.92122269999999995</v>
      </c>
      <c r="Y8551">
        <v>0.5252637</v>
      </c>
      <c r="Z8551">
        <v>1.028139E-2</v>
      </c>
      <c r="AA8551">
        <v>0.85087739999999901</v>
      </c>
      <c r="AB8551">
        <v>22</v>
      </c>
      <c r="AC8551">
        <v>4.2431999999999999</v>
      </c>
      <c r="AD8551">
        <v>-1.0658491446309999</v>
      </c>
      <c r="AE8551">
        <v>-23.396280000000001</v>
      </c>
      <c r="AF8551">
        <v>12.538902565029</v>
      </c>
      <c r="AG8551">
        <v>-1.0658491446309999</v>
      </c>
      <c r="AH8551">
        <v>20.146993505639202</v>
      </c>
      <c r="AI8551">
        <v>92.571721973799697</v>
      </c>
      <c r="AJ8551">
        <v>58.103067393429498</v>
      </c>
      <c r="AK8551">
        <v>23.7541882465108</v>
      </c>
      <c r="AL8551">
        <v>80.7637613163579</v>
      </c>
      <c r="AM8551">
        <v>68.958930651314901</v>
      </c>
      <c r="AN8551">
        <v>0.99999997566297405</v>
      </c>
    </row>
    <row r="8552" spans="1:40" x14ac:dyDescent="0.25">
      <c r="A8552" t="str">
        <f>"20190303162118723"</f>
        <v>20190303162118723</v>
      </c>
      <c r="B8552" t="str">
        <f>"1551601278710767"</f>
        <v>1551601278710767</v>
      </c>
      <c r="C8552" t="s">
        <v>40</v>
      </c>
      <c r="D8552">
        <v>4.8083140000000002</v>
      </c>
      <c r="E8552">
        <v>0.57453279999999995</v>
      </c>
      <c r="F8552" t="s">
        <v>41</v>
      </c>
      <c r="G8552">
        <v>-304.10469999999998</v>
      </c>
      <c r="H8552" s="1">
        <v>-4.0231639999999997E-6</v>
      </c>
      <c r="I8552">
        <v>-13.330539999999999</v>
      </c>
      <c r="J8552">
        <v>-308.24380000000002</v>
      </c>
      <c r="K8552">
        <v>1.0658700000000001</v>
      </c>
      <c r="L8552">
        <v>10.227510000000001</v>
      </c>
      <c r="M8552">
        <v>0.66341700000000003</v>
      </c>
      <c r="N8552">
        <v>-1.5249510000000001E-2</v>
      </c>
      <c r="O8552">
        <v>-0.74809459999999905</v>
      </c>
      <c r="P8552">
        <v>0.3521031</v>
      </c>
      <c r="Q8552">
        <v>0.1505821</v>
      </c>
      <c r="R8552">
        <v>-0.92376910000000001</v>
      </c>
      <c r="S8552">
        <v>0.55285640000000003</v>
      </c>
      <c r="T8552">
        <v>-0.13763989999999901</v>
      </c>
      <c r="U8552">
        <v>-3.0648499999999999</v>
      </c>
      <c r="V8552">
        <v>0.3518462</v>
      </c>
      <c r="W8552">
        <v>0.1595443</v>
      </c>
      <c r="X8552">
        <v>0.92236099999999999</v>
      </c>
      <c r="Y8552">
        <v>0.51982890000000004</v>
      </c>
      <c r="Z8552">
        <v>1.0586190000000001E-2</v>
      </c>
      <c r="AA8552">
        <v>0.85420479999999999</v>
      </c>
      <c r="AB8552">
        <v>21</v>
      </c>
      <c r="AC8552">
        <v>4.13910000000004</v>
      </c>
      <c r="AD8552">
        <v>-1.065874023164</v>
      </c>
      <c r="AE8552">
        <v>-23.558050000000001</v>
      </c>
      <c r="AF8552">
        <v>12.5089887287486</v>
      </c>
      <c r="AG8552">
        <v>-1.065874023164</v>
      </c>
      <c r="AH8552">
        <v>20.331592286020399</v>
      </c>
      <c r="AI8552">
        <v>92.556586335583106</v>
      </c>
      <c r="AJ8552">
        <v>58.398140307360897</v>
      </c>
      <c r="AK8552">
        <v>23.8952826167464</v>
      </c>
      <c r="AL8552">
        <v>80.819552989527594</v>
      </c>
      <c r="AM8552">
        <v>69.120019089589704</v>
      </c>
      <c r="AN8552">
        <v>0.99999997321896394</v>
      </c>
    </row>
    <row r="8553" spans="1:40" x14ac:dyDescent="0.25">
      <c r="A8553" t="str">
        <f>"20190303162118744"</f>
        <v>20190303162118744</v>
      </c>
      <c r="B8553" t="str">
        <f>"1551601278731264"</f>
        <v>1551601278731264</v>
      </c>
      <c r="C8553" t="s">
        <v>40</v>
      </c>
      <c r="D8553">
        <v>4.8337940000000001</v>
      </c>
      <c r="E8553">
        <v>0.57437749999999999</v>
      </c>
      <c r="F8553" t="s">
        <v>41</v>
      </c>
      <c r="G8553">
        <v>-304.26799999999997</v>
      </c>
      <c r="H8553" s="1">
        <v>-4.2365449999999998E-6</v>
      </c>
      <c r="I8553">
        <v>-12.788600000000001</v>
      </c>
      <c r="J8553">
        <v>-308.11180000000002</v>
      </c>
      <c r="K8553">
        <v>1.0659019999999999</v>
      </c>
      <c r="L8553">
        <v>10.061</v>
      </c>
      <c r="M8553">
        <v>0.65590439999999905</v>
      </c>
      <c r="N8553">
        <v>-1.522022E-2</v>
      </c>
      <c r="O8553">
        <v>-0.75469059999999999</v>
      </c>
      <c r="P8553">
        <v>0.34482010000000002</v>
      </c>
      <c r="Q8553">
        <v>0.14914439999999901</v>
      </c>
      <c r="R8553">
        <v>-0.92674460000000003</v>
      </c>
      <c r="S8553">
        <v>0.53009030000000001</v>
      </c>
      <c r="T8553">
        <v>-0.1421096</v>
      </c>
      <c r="U8553">
        <v>-3.0686650000000002</v>
      </c>
      <c r="V8553">
        <v>0.34999540000000001</v>
      </c>
      <c r="W8553">
        <v>0.15815409999999999</v>
      </c>
      <c r="X8553">
        <v>0.92330409999999996</v>
      </c>
      <c r="Y8553">
        <v>0.51761449999999998</v>
      </c>
      <c r="Z8553">
        <v>1.180488E-2</v>
      </c>
      <c r="AA8553">
        <v>0.85553250000000003</v>
      </c>
      <c r="AB8553">
        <v>21</v>
      </c>
      <c r="AC8553">
        <v>3.8438000000000399</v>
      </c>
      <c r="AD8553">
        <v>-1.0659062365449901</v>
      </c>
      <c r="AE8553">
        <v>-22.849599999999999</v>
      </c>
      <c r="AF8553">
        <v>12.0621465772874</v>
      </c>
      <c r="AG8553">
        <v>-1.0659062365449901</v>
      </c>
      <c r="AH8553">
        <v>19.726087273463701</v>
      </c>
      <c r="AI8553">
        <v>92.639454276340103</v>
      </c>
      <c r="AJ8553">
        <v>58.554966284329602</v>
      </c>
      <c r="AK8553">
        <v>23.146275192293398</v>
      </c>
      <c r="AL8553">
        <v>80.900230022759999</v>
      </c>
      <c r="AM8553">
        <v>69.239865526609904</v>
      </c>
      <c r="AN8553">
        <v>0.99999998022238901</v>
      </c>
    </row>
    <row r="8554" spans="1:40" x14ac:dyDescent="0.25">
      <c r="A8554" t="str">
        <f>"20190303162118761"</f>
        <v>20190303162118761</v>
      </c>
      <c r="B8554" t="str">
        <f>"1551601278750783"</f>
        <v>1551601278750783</v>
      </c>
      <c r="C8554" t="s">
        <v>40</v>
      </c>
      <c r="D8554">
        <v>4.8413639999999996</v>
      </c>
      <c r="E8554">
        <v>0.57418409999999998</v>
      </c>
      <c r="F8554" t="s">
        <v>41</v>
      </c>
      <c r="G8554">
        <v>-304.48239999999998</v>
      </c>
      <c r="H8554" s="1">
        <v>-4.5769019999999998E-6</v>
      </c>
      <c r="I8554">
        <v>-11.90021</v>
      </c>
      <c r="J8554">
        <v>-308.01310000000001</v>
      </c>
      <c r="K8554">
        <v>1.065941</v>
      </c>
      <c r="L8554">
        <v>9.9340820000000001</v>
      </c>
      <c r="M8554">
        <v>0.65020319999999898</v>
      </c>
      <c r="N8554">
        <v>-1.51977E-2</v>
      </c>
      <c r="O8554">
        <v>-0.75960839999999996</v>
      </c>
      <c r="P8554">
        <v>0.33869460000000001</v>
      </c>
      <c r="Q8554">
        <v>0.14877779999999999</v>
      </c>
      <c r="R8554">
        <v>-0.92905930000000003</v>
      </c>
      <c r="S8554">
        <v>0.50772090000000003</v>
      </c>
      <c r="T8554">
        <v>-0.1491121</v>
      </c>
      <c r="U8554">
        <v>-3.0722049999999999</v>
      </c>
      <c r="V8554">
        <v>0.34915180000000001</v>
      </c>
      <c r="W8554">
        <v>0.15782170000000001</v>
      </c>
      <c r="X8554">
        <v>0.92368030000000001</v>
      </c>
      <c r="Y8554">
        <v>0.51738399999999996</v>
      </c>
      <c r="Z8554">
        <v>1.337814E-2</v>
      </c>
      <c r="AA8554">
        <v>0.85564879999999999</v>
      </c>
      <c r="AB8554">
        <v>21</v>
      </c>
      <c r="AC8554">
        <v>3.5307000000000199</v>
      </c>
      <c r="AD8554">
        <v>-1.0659455769020001</v>
      </c>
      <c r="AE8554">
        <v>-21.834292000000001</v>
      </c>
      <c r="AF8554">
        <v>11.489420854614</v>
      </c>
      <c r="AG8554">
        <v>-1.0659455769020001</v>
      </c>
      <c r="AH8554">
        <v>18.839606441993201</v>
      </c>
      <c r="AI8554">
        <v>92.765563065324102</v>
      </c>
      <c r="AJ8554">
        <v>58.6228804581432</v>
      </c>
      <c r="AK8554">
        <v>22.092392410885498</v>
      </c>
      <c r="AL8554">
        <v>80.919517390259799</v>
      </c>
      <c r="AM8554">
        <v>69.293372768867201</v>
      </c>
      <c r="AN8554">
        <v>0.999999982521109</v>
      </c>
    </row>
    <row r="8555" spans="1:40" x14ac:dyDescent="0.25">
      <c r="A8555" t="str">
        <f>"20190303162118779"</f>
        <v>20190303162118779</v>
      </c>
      <c r="B8555" t="str">
        <f>"1551601278770810"</f>
        <v>1551601278770810</v>
      </c>
      <c r="C8555" t="s">
        <v>40</v>
      </c>
      <c r="D8555">
        <v>4.8555919999999997</v>
      </c>
      <c r="E8555">
        <v>0.57395200000000002</v>
      </c>
      <c r="F8555" t="s">
        <v>41</v>
      </c>
      <c r="G8555">
        <v>-304.60509999999999</v>
      </c>
      <c r="H8555" s="1">
        <v>-4.7568610000000001E-6</v>
      </c>
      <c r="I8555">
        <v>-11.43535</v>
      </c>
      <c r="J8555">
        <v>-307.9049</v>
      </c>
      <c r="K8555">
        <v>1.0659989999999999</v>
      </c>
      <c r="L8555">
        <v>9.7929379999999995</v>
      </c>
      <c r="M8555">
        <v>0.64389010000000002</v>
      </c>
      <c r="N8555">
        <v>-1.517188E-2</v>
      </c>
      <c r="O8555">
        <v>-0.76496759999999997</v>
      </c>
      <c r="P8555">
        <v>0.33179710000000001</v>
      </c>
      <c r="Q8555">
        <v>0.14809710000000001</v>
      </c>
      <c r="R8555">
        <v>-0.93165359999999997</v>
      </c>
      <c r="S8555">
        <v>0.49038700000000002</v>
      </c>
      <c r="T8555">
        <v>-0.15338099999999999</v>
      </c>
      <c r="U8555">
        <v>-3.0748899999999999</v>
      </c>
      <c r="V8555">
        <v>0.34838439999999998</v>
      </c>
      <c r="W8555">
        <v>0.15718550000000001</v>
      </c>
      <c r="X8555">
        <v>0.92407850000000002</v>
      </c>
      <c r="Y8555">
        <v>0.51511289999999998</v>
      </c>
      <c r="Z8555">
        <v>1.454986E-2</v>
      </c>
      <c r="AA8555">
        <v>0.85699890000000001</v>
      </c>
      <c r="AB8555">
        <v>21</v>
      </c>
      <c r="AC8555">
        <v>3.2997999999999998</v>
      </c>
      <c r="AD8555">
        <v>-1.0660037568609999</v>
      </c>
      <c r="AE8555">
        <v>-21.228287999999999</v>
      </c>
      <c r="AF8555">
        <v>11.118351536666699</v>
      </c>
      <c r="AG8555">
        <v>-1.0660037568609999</v>
      </c>
      <c r="AH8555">
        <v>18.320665622242501</v>
      </c>
      <c r="AI8555">
        <v>92.847686033358002</v>
      </c>
      <c r="AJ8555">
        <v>58.747488679149697</v>
      </c>
      <c r="AK8555">
        <v>21.456954437770499</v>
      </c>
      <c r="AL8555">
        <v>80.956430058546403</v>
      </c>
      <c r="AM8555">
        <v>69.343187613971807</v>
      </c>
      <c r="AN8555">
        <v>1.00000002286792</v>
      </c>
    </row>
    <row r="8556" spans="1:40" x14ac:dyDescent="0.25">
      <c r="A8556" t="str">
        <f>"20190303162118801"</f>
        <v>20190303162118801</v>
      </c>
      <c r="B8556" t="str">
        <f>"1551601278791305"</f>
        <v>1551601278791305</v>
      </c>
      <c r="C8556" t="s">
        <v>40</v>
      </c>
      <c r="D8556">
        <v>4.9035520000000004</v>
      </c>
      <c r="E8556">
        <v>0.57370750000000004</v>
      </c>
      <c r="F8556" t="s">
        <v>41</v>
      </c>
      <c r="G8556">
        <v>-304.74329999999998</v>
      </c>
      <c r="H8556" s="1">
        <v>-4.9973469999999998E-6</v>
      </c>
      <c r="I8556">
        <v>-10.80072</v>
      </c>
      <c r="J8556">
        <v>-307.78039999999999</v>
      </c>
      <c r="K8556">
        <v>1.066084</v>
      </c>
      <c r="L8556">
        <v>9.6276250000000001</v>
      </c>
      <c r="M8556">
        <v>0.63654999999999995</v>
      </c>
      <c r="N8556">
        <v>-1.514046E-2</v>
      </c>
      <c r="O8556">
        <v>-0.77108690000000002</v>
      </c>
      <c r="P8556">
        <v>0.32413449999999999</v>
      </c>
      <c r="Q8556">
        <v>0.1472734</v>
      </c>
      <c r="R8556">
        <v>-0.93447769999999997</v>
      </c>
      <c r="S8556">
        <v>0.4724121</v>
      </c>
      <c r="T8556">
        <v>-0.1592846</v>
      </c>
      <c r="U8556">
        <v>-3.0771480000000002</v>
      </c>
      <c r="V8556">
        <v>0.34717619999999999</v>
      </c>
      <c r="W8556">
        <v>0.15643199999999999</v>
      </c>
      <c r="X8556">
        <v>0.92466090000000001</v>
      </c>
      <c r="Y8556">
        <v>0.51189879999999999</v>
      </c>
      <c r="Z8556">
        <v>1.6134119999999998E-2</v>
      </c>
      <c r="AA8556">
        <v>0.85889419999999905</v>
      </c>
      <c r="AB8556">
        <v>21</v>
      </c>
      <c r="AC8556">
        <v>3.0371000000000001</v>
      </c>
      <c r="AD8556">
        <v>-1.066088997347</v>
      </c>
      <c r="AE8556">
        <v>-20.428345</v>
      </c>
      <c r="AF8556">
        <v>10.634679685156</v>
      </c>
      <c r="AG8556">
        <v>-1.066088997347</v>
      </c>
      <c r="AH8556">
        <v>17.640317609477901</v>
      </c>
      <c r="AI8556">
        <v>92.962810627819906</v>
      </c>
      <c r="AJ8556">
        <v>58.9158157549737</v>
      </c>
      <c r="AK8556">
        <v>20.625560916479198</v>
      </c>
      <c r="AL8556">
        <v>81.000143289374094</v>
      </c>
      <c r="AM8556">
        <v>69.420687665613499</v>
      </c>
      <c r="AN8556">
        <v>1.0000000322296201</v>
      </c>
    </row>
    <row r="8557" spans="1:40" x14ac:dyDescent="0.25">
      <c r="A8557" t="str">
        <f>"20190303162118824"</f>
        <v>20190303162118824</v>
      </c>
      <c r="B8557" t="str">
        <f>"1551601278812777"</f>
        <v>1551601278812777</v>
      </c>
      <c r="C8557" t="s">
        <v>40</v>
      </c>
      <c r="D8557">
        <v>4.8854340000000001</v>
      </c>
      <c r="E8557">
        <v>0.56630709999999995</v>
      </c>
      <c r="F8557" t="s">
        <v>41</v>
      </c>
      <c r="G8557">
        <v>-304.858</v>
      </c>
      <c r="H8557" s="1">
        <v>-8.6878499999999995E-7</v>
      </c>
      <c r="I8557">
        <v>-10.359220000000001</v>
      </c>
      <c r="J8557">
        <v>-307.6472</v>
      </c>
      <c r="K8557">
        <v>1.0661929999999999</v>
      </c>
      <c r="L8557">
        <v>9.4474490000000007</v>
      </c>
      <c r="M8557">
        <v>0.62863239999999998</v>
      </c>
      <c r="N8557">
        <v>-1.5104680000000001E-2</v>
      </c>
      <c r="O8557">
        <v>-0.77755609999999997</v>
      </c>
      <c r="P8557">
        <v>0.31638319999999998</v>
      </c>
      <c r="Q8557">
        <v>0.14620710000000001</v>
      </c>
      <c r="R8557">
        <v>-0.93729700000000005</v>
      </c>
      <c r="S8557">
        <v>0.45034790000000002</v>
      </c>
      <c r="T8557">
        <v>-0.16428770000000001</v>
      </c>
      <c r="U8557">
        <v>-3.0800480000000001</v>
      </c>
      <c r="V8557">
        <v>0.34542279999999997</v>
      </c>
      <c r="W8557">
        <v>0.15546179999999901</v>
      </c>
      <c r="X8557">
        <v>0.92548079999999999</v>
      </c>
      <c r="Y8557">
        <v>0.50924999999999998</v>
      </c>
      <c r="Z8557">
        <v>1.7589090000000002E-2</v>
      </c>
      <c r="AA8557">
        <v>0.86043890000000001</v>
      </c>
      <c r="AB8557">
        <v>21</v>
      </c>
      <c r="AC8557">
        <v>2.7891999999999899</v>
      </c>
      <c r="AD8557">
        <v>-1.0661938687850001</v>
      </c>
      <c r="AE8557">
        <v>-19.806668999999999</v>
      </c>
      <c r="AF8557">
        <v>10.254389754934699</v>
      </c>
      <c r="AG8557">
        <v>-1.0661938687850001</v>
      </c>
      <c r="AH8557">
        <v>17.1075240395433</v>
      </c>
      <c r="AI8557">
        <v>93.059866042345803</v>
      </c>
      <c r="AJ8557">
        <v>59.061183141885202</v>
      </c>
      <c r="AK8557">
        <v>19.9738994033588</v>
      </c>
      <c r="AL8557">
        <v>81.056419856872907</v>
      </c>
      <c r="AM8557">
        <v>69.532612612798303</v>
      </c>
      <c r="AN8557">
        <v>0.99999999659385896</v>
      </c>
    </row>
    <row r="8558" spans="1:40" x14ac:dyDescent="0.25">
      <c r="A8558" t="str">
        <f>"20190303162118846"</f>
        <v>20190303162118846</v>
      </c>
      <c r="B8558" t="str">
        <f>"1551601278841082"</f>
        <v>1551601278841082</v>
      </c>
      <c r="C8558" t="s">
        <v>40</v>
      </c>
      <c r="D8558">
        <v>4.9258600000000001</v>
      </c>
      <c r="E8558">
        <v>0.56543460000000001</v>
      </c>
      <c r="F8558" t="s">
        <v>41</v>
      </c>
      <c r="G8558">
        <v>-305.01459999999997</v>
      </c>
      <c r="H8558" s="1">
        <v>-2.3660840000000001E-6</v>
      </c>
      <c r="I8558">
        <v>-7.2798629999999998</v>
      </c>
      <c r="J8558">
        <v>-307.52370000000002</v>
      </c>
      <c r="K8558">
        <v>1.066306</v>
      </c>
      <c r="L8558">
        <v>9.2772830000000006</v>
      </c>
      <c r="M8558">
        <v>0.62125750000000002</v>
      </c>
      <c r="N8558">
        <v>-1.5069600000000001E-2</v>
      </c>
      <c r="O8558">
        <v>-0.78346169999999904</v>
      </c>
      <c r="P8558">
        <v>0.30906139999999999</v>
      </c>
      <c r="Q8558">
        <v>0.14617579999999999</v>
      </c>
      <c r="R8558">
        <v>-0.93974150000000001</v>
      </c>
      <c r="S8558">
        <v>0.48287960000000002</v>
      </c>
      <c r="T8558">
        <v>-0.19556680000000001</v>
      </c>
      <c r="U8558">
        <v>-3.0682070000000001</v>
      </c>
      <c r="V8558">
        <v>0.34385250000000001</v>
      </c>
      <c r="W8558">
        <v>0.15552340000000001</v>
      </c>
      <c r="X8558">
        <v>0.92605499999999996</v>
      </c>
      <c r="Y8558">
        <v>0.49160280000000001</v>
      </c>
      <c r="Z8558">
        <v>2.4739460000000001E-2</v>
      </c>
      <c r="AA8558">
        <v>0.87046809999999997</v>
      </c>
      <c r="AB8558">
        <v>21</v>
      </c>
      <c r="AC8558">
        <v>2.5091000000000401</v>
      </c>
      <c r="AD8558">
        <v>-1.066308366084</v>
      </c>
      <c r="AE8558">
        <v>-16.557145999999999</v>
      </c>
      <c r="AF8558">
        <v>8.2878087680486292</v>
      </c>
      <c r="AG8558">
        <v>-1.066308366084</v>
      </c>
      <c r="AH8558">
        <v>14.473652642166201</v>
      </c>
      <c r="AI8558">
        <v>93.658105318135696</v>
      </c>
      <c r="AJ8558">
        <v>60.203965536648496</v>
      </c>
      <c r="AK8558">
        <v>16.712612258812499</v>
      </c>
      <c r="AL8558">
        <v>81.052846707458599</v>
      </c>
      <c r="AM8558">
        <v>69.629588438326294</v>
      </c>
      <c r="AN8558">
        <v>0.99999996636440402</v>
      </c>
    </row>
    <row r="8559" spans="1:40" x14ac:dyDescent="0.25">
      <c r="A8559" t="str">
        <f>"20190303162118867"</f>
        <v>20190303162118867</v>
      </c>
      <c r="B8559" t="str">
        <f>"1551601278861577"</f>
        <v>1551601278861577</v>
      </c>
      <c r="C8559" t="s">
        <v>40</v>
      </c>
      <c r="D8559">
        <v>4.9678250000000004</v>
      </c>
      <c r="E8559">
        <v>0.56521899999999903</v>
      </c>
      <c r="F8559" t="s">
        <v>41</v>
      </c>
      <c r="G8559">
        <v>-305.02199999999999</v>
      </c>
      <c r="H8559" s="1">
        <v>-2.4197969999999998E-6</v>
      </c>
      <c r="I8559">
        <v>-7.1704129999999999</v>
      </c>
      <c r="J8559">
        <v>-307.3999</v>
      </c>
      <c r="K8559">
        <v>1.066424</v>
      </c>
      <c r="L8559">
        <v>9.1031189999999995</v>
      </c>
      <c r="M8559">
        <v>0.61382939999999997</v>
      </c>
      <c r="N8559">
        <v>-1.503294E-2</v>
      </c>
      <c r="O8559">
        <v>-0.78929579999999999</v>
      </c>
      <c r="P8559">
        <v>0.30058230000000002</v>
      </c>
      <c r="Q8559">
        <v>0.14766760000000001</v>
      </c>
      <c r="R8559">
        <v>-0.94225539999999997</v>
      </c>
      <c r="S8559">
        <v>0.46691890000000003</v>
      </c>
      <c r="T8559">
        <v>-0.19901350000000001</v>
      </c>
      <c r="U8559">
        <v>-3.069763</v>
      </c>
      <c r="V8559">
        <v>0.34327800000000003</v>
      </c>
      <c r="W8559">
        <v>0.15708810000000001</v>
      </c>
      <c r="X8559">
        <v>0.9260041</v>
      </c>
      <c r="Y8559">
        <v>0.48786610000000002</v>
      </c>
      <c r="Z8559">
        <v>2.602198E-2</v>
      </c>
      <c r="AA8559">
        <v>0.87253049999999999</v>
      </c>
      <c r="AB8559">
        <v>21</v>
      </c>
      <c r="AC8559">
        <v>2.3779000000000101</v>
      </c>
      <c r="AD8559">
        <v>-1.0664264197969999</v>
      </c>
      <c r="AE8559">
        <v>-16.273531999999999</v>
      </c>
      <c r="AF8559">
        <v>8.0792512658428102</v>
      </c>
      <c r="AG8559">
        <v>-1.0664264197969999</v>
      </c>
      <c r="AH8559">
        <v>14.2459708588997</v>
      </c>
      <c r="AI8559">
        <v>93.7255780009788</v>
      </c>
      <c r="AJ8559">
        <v>60.4413286674746</v>
      </c>
      <c r="AK8559">
        <v>16.412167804348201</v>
      </c>
      <c r="AL8559">
        <v>80.962080886115999</v>
      </c>
      <c r="AM8559">
        <v>69.659806352205806</v>
      </c>
      <c r="AN8559">
        <v>1.0000000248312</v>
      </c>
    </row>
    <row r="8560" spans="1:40" x14ac:dyDescent="0.25">
      <c r="A8560" t="str">
        <f>"20190303162118889"</f>
        <v>20190303162118889</v>
      </c>
      <c r="B8560" t="str">
        <f>"1551601278881098"</f>
        <v>1551601278881098</v>
      </c>
      <c r="C8560" t="s">
        <v>40</v>
      </c>
      <c r="D8560">
        <v>4.9633669999999999</v>
      </c>
      <c r="E8560">
        <v>0.56477270000000002</v>
      </c>
      <c r="F8560" t="s">
        <v>41</v>
      </c>
      <c r="G8560">
        <v>-304.99340000000001</v>
      </c>
      <c r="H8560" s="1">
        <v>-2.208174E-6</v>
      </c>
      <c r="I8560">
        <v>-7.6019920000000001</v>
      </c>
      <c r="J8560">
        <v>-307.27980000000002</v>
      </c>
      <c r="K8560">
        <v>1.0665370000000001</v>
      </c>
      <c r="L8560">
        <v>8.9310609999999997</v>
      </c>
      <c r="M8560">
        <v>0.60658069999999997</v>
      </c>
      <c r="N8560">
        <v>-1.499749E-2</v>
      </c>
      <c r="O8560">
        <v>-0.79488059999999905</v>
      </c>
      <c r="P8560">
        <v>0.29339979999999999</v>
      </c>
      <c r="Q8560">
        <v>0.14908299999999999</v>
      </c>
      <c r="R8560">
        <v>-0.94429419999999997</v>
      </c>
      <c r="S8560">
        <v>0.442749</v>
      </c>
      <c r="T8560">
        <v>-0.19619829999999999</v>
      </c>
      <c r="U8560">
        <v>-3.0733640000000002</v>
      </c>
      <c r="V8560">
        <v>0.3416921</v>
      </c>
      <c r="W8560">
        <v>0.1585849</v>
      </c>
      <c r="X8560">
        <v>0.92633540000000003</v>
      </c>
      <c r="Y8560">
        <v>0.48675400000000002</v>
      </c>
      <c r="Z8560">
        <v>2.5935039999999999E-2</v>
      </c>
      <c r="AA8560">
        <v>0.87315399999999999</v>
      </c>
      <c r="AB8560">
        <v>21</v>
      </c>
      <c r="AC8560">
        <v>2.2864000000000102</v>
      </c>
      <c r="AD8560">
        <v>-1.0665392081739999</v>
      </c>
      <c r="AE8560">
        <v>-16.533052999999999</v>
      </c>
      <c r="AF8560">
        <v>8.1787415507387902</v>
      </c>
      <c r="AG8560">
        <v>-1.0665392081739999</v>
      </c>
      <c r="AH8560">
        <v>14.4712300955147</v>
      </c>
      <c r="AI8560">
        <v>93.671196025470294</v>
      </c>
      <c r="AJ8560">
        <v>60.526059584123701</v>
      </c>
      <c r="AK8560">
        <v>16.656704947668501</v>
      </c>
      <c r="AL8560">
        <v>80.875231399965301</v>
      </c>
      <c r="AM8560">
        <v>69.752780498813806</v>
      </c>
      <c r="AN8560">
        <v>0.99999996750178899</v>
      </c>
    </row>
    <row r="8561" spans="1:40" x14ac:dyDescent="0.25">
      <c r="A8561" t="str">
        <f>"20190303162118912"</f>
        <v>20190303162118912</v>
      </c>
      <c r="B8561" t="str">
        <f>"1551601278901593"</f>
        <v>1551601278901593</v>
      </c>
      <c r="C8561" t="s">
        <v>40</v>
      </c>
      <c r="D8561">
        <v>4.9654910000000001</v>
      </c>
      <c r="E8561">
        <v>0.56429640000000003</v>
      </c>
      <c r="F8561" t="s">
        <v>41</v>
      </c>
      <c r="G8561">
        <v>-304.90559999999999</v>
      </c>
      <c r="H8561" s="1">
        <v>-1.839793E-6</v>
      </c>
      <c r="I8561">
        <v>-8.3318919999999999</v>
      </c>
      <c r="J8561">
        <v>-307.15559999999999</v>
      </c>
      <c r="K8561">
        <v>1.066635</v>
      </c>
      <c r="L8561">
        <v>8.7498780000000007</v>
      </c>
      <c r="M8561">
        <v>0.59903930000000005</v>
      </c>
      <c r="N8561">
        <v>-1.496244E-2</v>
      </c>
      <c r="O8561">
        <v>-0.80057999999999996</v>
      </c>
      <c r="P8561">
        <v>0.28752070000000002</v>
      </c>
      <c r="Q8561">
        <v>0.1491519</v>
      </c>
      <c r="R8561">
        <v>-0.94609019999999999</v>
      </c>
      <c r="S8561">
        <v>0.42297360000000001</v>
      </c>
      <c r="T8561">
        <v>-0.19001409999999999</v>
      </c>
      <c r="U8561">
        <v>-3.0755620000000001</v>
      </c>
      <c r="V8561">
        <v>0.33864509999999998</v>
      </c>
      <c r="W8561">
        <v>0.1587539</v>
      </c>
      <c r="X8561">
        <v>0.92742480000000005</v>
      </c>
      <c r="Y8561">
        <v>0.4841028</v>
      </c>
      <c r="Z8561">
        <v>2.5196929999999999E-2</v>
      </c>
      <c r="AA8561">
        <v>0.87464830000000005</v>
      </c>
      <c r="AB8561">
        <v>21</v>
      </c>
      <c r="AC8561">
        <v>2.25</v>
      </c>
      <c r="AD8561">
        <v>-1.0666368397929999</v>
      </c>
      <c r="AE8561">
        <v>-17.081769999999999</v>
      </c>
      <c r="AF8561">
        <v>8.4000947791626395</v>
      </c>
      <c r="AG8561">
        <v>-1.0666368397929999</v>
      </c>
      <c r="AH8561">
        <v>14.9674767588003</v>
      </c>
      <c r="AI8561">
        <v>93.556102741330406</v>
      </c>
      <c r="AJ8561">
        <v>60.697849949041</v>
      </c>
      <c r="AK8561">
        <v>17.1966469688758</v>
      </c>
      <c r="AL8561">
        <v>80.865424767677794</v>
      </c>
      <c r="AM8561">
        <v>69.940555858084096</v>
      </c>
      <c r="AN8561">
        <v>1.0000000320871201</v>
      </c>
    </row>
    <row r="8562" spans="1:40" x14ac:dyDescent="0.25">
      <c r="A8562" t="str">
        <f>"20190303162118934"</f>
        <v>20190303162118934</v>
      </c>
      <c r="B8562" t="str">
        <f>"1551601278921113"</f>
        <v>1551601278921113</v>
      </c>
      <c r="C8562" t="s">
        <v>40</v>
      </c>
      <c r="D8562">
        <v>5.0199749999999996</v>
      </c>
      <c r="E8562">
        <v>0.56398169999999903</v>
      </c>
      <c r="F8562" t="s">
        <v>41</v>
      </c>
      <c r="G8562">
        <v>-304.87189999999998</v>
      </c>
      <c r="H8562" s="1">
        <v>-1.7013699999999999E-6</v>
      </c>
      <c r="I8562">
        <v>-8.605753</v>
      </c>
      <c r="J8562">
        <v>-307.03590000000003</v>
      </c>
      <c r="K8562">
        <v>1.0667070000000001</v>
      </c>
      <c r="L8562">
        <v>8.5720209999999994</v>
      </c>
      <c r="M8562">
        <v>0.59171629999999997</v>
      </c>
      <c r="N8562">
        <v>-1.4930819999999999E-2</v>
      </c>
      <c r="O8562">
        <v>-0.80600799999999995</v>
      </c>
      <c r="P8562">
        <v>0.28261560000000002</v>
      </c>
      <c r="Q8562">
        <v>0.14873129999999901</v>
      </c>
      <c r="R8562">
        <v>-0.94763269999999999</v>
      </c>
      <c r="S8562">
        <v>0.4049683</v>
      </c>
      <c r="T8562">
        <v>-0.18914819999999999</v>
      </c>
      <c r="U8562">
        <v>-3.0776979999999998</v>
      </c>
      <c r="V8562">
        <v>0.33498810000000001</v>
      </c>
      <c r="W8562">
        <v>0.158432399999999</v>
      </c>
      <c r="X8562">
        <v>0.92880680000000004</v>
      </c>
      <c r="Y8562">
        <v>0.48124030000000001</v>
      </c>
      <c r="Z8562">
        <v>2.552167E-2</v>
      </c>
      <c r="AA8562">
        <v>0.87621709999999997</v>
      </c>
      <c r="AB8562">
        <v>21</v>
      </c>
      <c r="AC8562">
        <v>2.1640000000000401</v>
      </c>
      <c r="AD8562">
        <v>-1.0667087013700001</v>
      </c>
      <c r="AE8562">
        <v>-17.177773999999999</v>
      </c>
      <c r="AF8562">
        <v>8.38926108920265</v>
      </c>
      <c r="AG8562">
        <v>-1.0667087013700001</v>
      </c>
      <c r="AH8562">
        <v>15.0703772889985</v>
      </c>
      <c r="AI8562">
        <v>93.538955819963505</v>
      </c>
      <c r="AJ8562">
        <v>60.896526525656398</v>
      </c>
      <c r="AK8562">
        <v>17.281025453055399</v>
      </c>
      <c r="AL8562">
        <v>80.884080835988598</v>
      </c>
      <c r="AM8562">
        <v>70.167400790629799</v>
      </c>
      <c r="AN8562">
        <v>0.99999996211880404</v>
      </c>
    </row>
    <row r="8563" spans="1:40" x14ac:dyDescent="0.25">
      <c r="A8563" t="str">
        <f>"20190303162118957"</f>
        <v>20190303162118957</v>
      </c>
      <c r="B8563" t="str">
        <f>"1551601278951369"</f>
        <v>1551601278951369</v>
      </c>
      <c r="C8563" t="s">
        <v>40</v>
      </c>
      <c r="D8563">
        <v>5.014303</v>
      </c>
      <c r="E8563">
        <v>0.56039150000000004</v>
      </c>
      <c r="F8563" t="s">
        <v>41</v>
      </c>
      <c r="G8563">
        <v>-304.84010000000001</v>
      </c>
      <c r="H8563" s="1">
        <v>-1.6160559999999999E-6</v>
      </c>
      <c r="I8563">
        <v>-8.7683039999999899</v>
      </c>
      <c r="J8563">
        <v>-306.91800000000001</v>
      </c>
      <c r="K8563">
        <v>1.0667599999999999</v>
      </c>
      <c r="L8563">
        <v>8.3934630000000006</v>
      </c>
      <c r="M8563">
        <v>0.58443140000000005</v>
      </c>
      <c r="N8563">
        <v>-1.4901670000000001E-2</v>
      </c>
      <c r="O8563">
        <v>-0.81130630000000004</v>
      </c>
      <c r="P8563">
        <v>0.2780745</v>
      </c>
      <c r="Q8563">
        <v>0.14759159999999999</v>
      </c>
      <c r="R8563">
        <v>-0.94915309999999997</v>
      </c>
      <c r="S8563">
        <v>0.38992310000000002</v>
      </c>
      <c r="T8563">
        <v>-0.1894218</v>
      </c>
      <c r="U8563">
        <v>-3.079224</v>
      </c>
      <c r="V8563">
        <v>0.33112190000000002</v>
      </c>
      <c r="W8563">
        <v>0.15738559999999999</v>
      </c>
      <c r="X8563">
        <v>0.93036989999999997</v>
      </c>
      <c r="Y8563">
        <v>0.4776146</v>
      </c>
      <c r="Z8563">
        <v>2.609531E-2</v>
      </c>
      <c r="AA8563">
        <v>0.87818189999999996</v>
      </c>
      <c r="AB8563">
        <v>21</v>
      </c>
      <c r="AC8563">
        <v>2.0779000000000001</v>
      </c>
      <c r="AD8563">
        <v>-1.0667616160559901</v>
      </c>
      <c r="AE8563">
        <v>-17.161766999999902</v>
      </c>
      <c r="AF8563">
        <v>8.3133319211265597</v>
      </c>
      <c r="AG8563">
        <v>-1.0667616160559901</v>
      </c>
      <c r="AH8563">
        <v>15.082088749522599</v>
      </c>
      <c r="AI8563">
        <v>93.544572722069006</v>
      </c>
      <c r="AJ8563">
        <v>61.136199603494902</v>
      </c>
      <c r="AK8563">
        <v>17.254531840209101</v>
      </c>
      <c r="AL8563">
        <v>80.944820877933395</v>
      </c>
      <c r="AM8563">
        <v>70.409177986525293</v>
      </c>
      <c r="AN8563">
        <v>1.0000000452864799</v>
      </c>
    </row>
    <row r="8564" spans="1:40" x14ac:dyDescent="0.25">
      <c r="A8564" t="str">
        <f>"20190303162118979"</f>
        <v>20190303162118979</v>
      </c>
      <c r="B8564" t="str">
        <f>"1551601278970890"</f>
        <v>1551601278970890</v>
      </c>
      <c r="C8564" t="s">
        <v>40</v>
      </c>
      <c r="D8564">
        <v>5.0174349999999999</v>
      </c>
      <c r="E8564">
        <v>0.5583515</v>
      </c>
      <c r="F8564" t="s">
        <v>41</v>
      </c>
      <c r="G8564">
        <v>-304.59679999999997</v>
      </c>
      <c r="H8564" s="1">
        <v>-1.2754460000000001E-6</v>
      </c>
      <c r="I8564">
        <v>-9.3519179999999995</v>
      </c>
      <c r="J8564">
        <v>-306.8021</v>
      </c>
      <c r="K8564">
        <v>1.0667879999999901</v>
      </c>
      <c r="L8564">
        <v>8.2146299999999997</v>
      </c>
      <c r="M8564">
        <v>0.57718459999999905</v>
      </c>
      <c r="N8564">
        <v>-1.4874999999999999E-2</v>
      </c>
      <c r="O8564">
        <v>-0.81647840000000005</v>
      </c>
      <c r="P8564">
        <v>0.2733255</v>
      </c>
      <c r="Q8564">
        <v>0.14584250000000001</v>
      </c>
      <c r="R8564">
        <v>-0.95080160000000002</v>
      </c>
      <c r="S8564">
        <v>0.4017944</v>
      </c>
      <c r="T8564">
        <v>-0.18465580000000001</v>
      </c>
      <c r="U8564">
        <v>-3.0717159999999999</v>
      </c>
      <c r="V8564">
        <v>0.32759379999999999</v>
      </c>
      <c r="W8564">
        <v>0.15571660000000001</v>
      </c>
      <c r="X8564">
        <v>0.93189840000000002</v>
      </c>
      <c r="Y8564">
        <v>0.46616859999999999</v>
      </c>
      <c r="Z8564">
        <v>2.584622E-2</v>
      </c>
      <c r="AA8564">
        <v>0.8843183</v>
      </c>
      <c r="AB8564">
        <v>21</v>
      </c>
      <c r="AC8564">
        <v>2.2053000000000198</v>
      </c>
      <c r="AD8564">
        <v>-1.06678927544599</v>
      </c>
      <c r="AE8564">
        <v>-17.566547999999901</v>
      </c>
      <c r="AF8564">
        <v>8.3093137375685</v>
      </c>
      <c r="AG8564">
        <v>-1.06678927544599</v>
      </c>
      <c r="AH8564">
        <v>15.5608007250447</v>
      </c>
      <c r="AI8564">
        <v>93.460705195039196</v>
      </c>
      <c r="AJ8564">
        <v>61.898223794025697</v>
      </c>
      <c r="AK8564">
        <v>17.672613087828999</v>
      </c>
      <c r="AL8564">
        <v>81.041640875993494</v>
      </c>
      <c r="AM8564">
        <v>70.631700704544699</v>
      </c>
      <c r="AN8564">
        <v>0.99999999261827999</v>
      </c>
    </row>
    <row r="8565" spans="1:40" x14ac:dyDescent="0.25">
      <c r="A8565" t="str">
        <f>"20190303162119002"</f>
        <v>20190303162119002</v>
      </c>
      <c r="B8565" t="str">
        <f>"1551601278991386"</f>
        <v>1551601278991386</v>
      </c>
      <c r="C8565" t="s">
        <v>40</v>
      </c>
      <c r="D8565">
        <v>5.0467000000000004</v>
      </c>
      <c r="E8565">
        <v>0.55662029999999996</v>
      </c>
      <c r="F8565" t="s">
        <v>41</v>
      </c>
      <c r="G8565">
        <v>-304.48039999999997</v>
      </c>
      <c r="H8565" s="1">
        <v>-1.1542990000000001E-6</v>
      </c>
      <c r="I8565">
        <v>-9.5426780000000004</v>
      </c>
      <c r="J8565">
        <v>-306.68549999999999</v>
      </c>
      <c r="K8565">
        <v>1.066811</v>
      </c>
      <c r="L8565">
        <v>8.0313420000000004</v>
      </c>
      <c r="M8565">
        <v>0.56978589999999996</v>
      </c>
      <c r="N8565">
        <v>-1.485059E-2</v>
      </c>
      <c r="O8565">
        <v>-0.82165889999999997</v>
      </c>
      <c r="P8565">
        <v>0.26850829999999998</v>
      </c>
      <c r="Q8565">
        <v>0.14299049999999999</v>
      </c>
      <c r="R8565">
        <v>-0.95260540000000005</v>
      </c>
      <c r="S8565">
        <v>0.4011536</v>
      </c>
      <c r="T8565">
        <v>-0.18432390000000001</v>
      </c>
      <c r="U8565">
        <v>-3.0681759999999998</v>
      </c>
      <c r="V8565">
        <v>0.32407900000000001</v>
      </c>
      <c r="W8565">
        <v>0.1529402</v>
      </c>
      <c r="X8565">
        <v>0.93358560000000002</v>
      </c>
      <c r="Y8565">
        <v>0.45822190000000002</v>
      </c>
      <c r="Z8565">
        <v>2.6412350000000001E-2</v>
      </c>
      <c r="AA8565">
        <v>0.88844529999999999</v>
      </c>
      <c r="AB8565">
        <v>21</v>
      </c>
      <c r="AC8565">
        <v>2.2051000000000101</v>
      </c>
      <c r="AD8565">
        <v>-1.0668121542989999</v>
      </c>
      <c r="AE8565">
        <v>-17.574020000000001</v>
      </c>
      <c r="AF8565">
        <v>8.1728440168416991</v>
      </c>
      <c r="AG8565">
        <v>-1.0668121542989999</v>
      </c>
      <c r="AH8565">
        <v>15.6412728414188</v>
      </c>
      <c r="AI8565">
        <v>93.459329111723903</v>
      </c>
      <c r="AJ8565">
        <v>62.412129622031898</v>
      </c>
      <c r="AK8565">
        <v>17.680013676348999</v>
      </c>
      <c r="AL8565">
        <v>81.202645795265795</v>
      </c>
      <c r="AM8565">
        <v>70.8563902087256</v>
      </c>
      <c r="AN8565">
        <v>0.99999998777219901</v>
      </c>
    </row>
    <row r="8566" spans="1:40" x14ac:dyDescent="0.25">
      <c r="A8566" t="str">
        <f>"20190303162119024"</f>
        <v>20190303162119024</v>
      </c>
      <c r="B8566" t="str">
        <f>"1551601279010906"</f>
        <v>1551601279010906</v>
      </c>
      <c r="C8566" t="s">
        <v>40</v>
      </c>
      <c r="D8566">
        <v>5.0393699999999999</v>
      </c>
      <c r="E8566">
        <v>0.55559150000000002</v>
      </c>
      <c r="F8566" t="s">
        <v>41</v>
      </c>
      <c r="G8566">
        <v>-304.44369999999998</v>
      </c>
      <c r="H8566" s="1">
        <v>-1.290311E-6</v>
      </c>
      <c r="I8566">
        <v>-9.2342849999999999</v>
      </c>
      <c r="J8566">
        <v>-306.57490000000001</v>
      </c>
      <c r="K8566">
        <v>1.066821</v>
      </c>
      <c r="L8566">
        <v>7.8539729999999999</v>
      </c>
      <c r="M8566">
        <v>0.56263769999999902</v>
      </c>
      <c r="N8566">
        <v>-1.483021E-2</v>
      </c>
      <c r="O8566">
        <v>-0.82657060000000004</v>
      </c>
      <c r="P8566">
        <v>0.26462259999999999</v>
      </c>
      <c r="Q8566">
        <v>0.13868239999999901</v>
      </c>
      <c r="R8566">
        <v>-0.95432819999999996</v>
      </c>
      <c r="S8566">
        <v>0.39804079999999997</v>
      </c>
      <c r="T8566">
        <v>-0.1894112</v>
      </c>
      <c r="U8566">
        <v>-3.0654910000000002</v>
      </c>
      <c r="V8566">
        <v>0.32006899999999999</v>
      </c>
      <c r="W8566">
        <v>0.14871429999999999</v>
      </c>
      <c r="X8566">
        <v>0.93564950000000002</v>
      </c>
      <c r="Y8566">
        <v>0.45129200000000003</v>
      </c>
      <c r="Z8566">
        <v>2.8127989999999999E-2</v>
      </c>
      <c r="AA8566">
        <v>0.89193299999999998</v>
      </c>
      <c r="AB8566">
        <v>21</v>
      </c>
      <c r="AC8566">
        <v>2.13120000000003</v>
      </c>
      <c r="AD8566">
        <v>-1.0668222903110001</v>
      </c>
      <c r="AE8566">
        <v>-17.088258</v>
      </c>
      <c r="AF8566">
        <v>7.8237481434131997</v>
      </c>
      <c r="AG8566">
        <v>-1.0668222903110001</v>
      </c>
      <c r="AH8566">
        <v>15.2668384801174</v>
      </c>
      <c r="AI8566">
        <v>93.558524551073603</v>
      </c>
      <c r="AJ8566">
        <v>62.866366084197701</v>
      </c>
      <c r="AK8566">
        <v>17.187946415690799</v>
      </c>
      <c r="AL8566">
        <v>81.447574690861998</v>
      </c>
      <c r="AM8566">
        <v>71.115097769352801</v>
      </c>
      <c r="AN8566">
        <v>1.0000000473178601</v>
      </c>
    </row>
    <row r="8567" spans="1:40" x14ac:dyDescent="0.25">
      <c r="A8567" t="str">
        <f>"20190303162119047"</f>
        <v>20190303162119047</v>
      </c>
      <c r="B8567" t="str">
        <f>"1551601279041162"</f>
        <v>1551601279041162</v>
      </c>
      <c r="C8567" t="s">
        <v>40</v>
      </c>
      <c r="D8567">
        <v>5.0731140000000003</v>
      </c>
      <c r="E8567">
        <v>0.55418100000000003</v>
      </c>
      <c r="F8567" t="s">
        <v>41</v>
      </c>
      <c r="G8567">
        <v>-304.45870000000002</v>
      </c>
      <c r="H8567" s="1">
        <v>-1.5599230000000001E-6</v>
      </c>
      <c r="I8567">
        <v>-8.67240099999999</v>
      </c>
      <c r="J8567">
        <v>-306.46539999999999</v>
      </c>
      <c r="K8567">
        <v>1.066835</v>
      </c>
      <c r="L8567">
        <v>7.6749270000000003</v>
      </c>
      <c r="M8567">
        <v>0.55542309999999995</v>
      </c>
      <c r="N8567">
        <v>-1.4813099999999999E-2</v>
      </c>
      <c r="O8567">
        <v>-0.83143590000000001</v>
      </c>
      <c r="P8567">
        <v>0.26159690000000002</v>
      </c>
      <c r="Q8567">
        <v>0.13648869999999999</v>
      </c>
      <c r="R8567">
        <v>-0.95547780000000004</v>
      </c>
      <c r="S8567">
        <v>0.39227289999999998</v>
      </c>
      <c r="T8567">
        <v>-0.19775960000000001</v>
      </c>
      <c r="U8567">
        <v>-3.0635379999999999</v>
      </c>
      <c r="V8567">
        <v>0.3150174</v>
      </c>
      <c r="W8567">
        <v>0.14660999999999999</v>
      </c>
      <c r="X8567">
        <v>0.93769369999999996</v>
      </c>
      <c r="Y8567">
        <v>0.44509789999999999</v>
      </c>
      <c r="Z8567">
        <v>3.0579200000000001E-2</v>
      </c>
      <c r="AA8567">
        <v>0.89495970000000002</v>
      </c>
      <c r="AB8567">
        <v>21</v>
      </c>
      <c r="AC8567">
        <v>2.00669999999996</v>
      </c>
      <c r="AD8567">
        <v>-1.0668365599230001</v>
      </c>
      <c r="AE8567">
        <v>-16.347327999999901</v>
      </c>
      <c r="AF8567">
        <v>7.3810857863607904</v>
      </c>
      <c r="AG8567">
        <v>-1.0668365599230001</v>
      </c>
      <c r="AH8567">
        <v>14.646484765721301</v>
      </c>
      <c r="AI8567">
        <v>93.721628747330001</v>
      </c>
      <c r="AJ8567">
        <v>63.254212230153101</v>
      </c>
      <c r="AK8567">
        <v>16.435877938939299</v>
      </c>
      <c r="AL8567">
        <v>81.569477843693406</v>
      </c>
      <c r="AM8567">
        <v>71.430269546686105</v>
      </c>
      <c r="AN8567">
        <v>0.99999996471122399</v>
      </c>
    </row>
    <row r="8568" spans="1:40" x14ac:dyDescent="0.25">
      <c r="A8568" t="str">
        <f>"20190303162119068"</f>
        <v>20190303162119068</v>
      </c>
      <c r="B8568" t="str">
        <f>"1551601279060682"</f>
        <v>1551601279060682</v>
      </c>
      <c r="C8568" t="s">
        <v>40</v>
      </c>
      <c r="D8568">
        <v>5.077985</v>
      </c>
      <c r="E8568">
        <v>0.55337760000000003</v>
      </c>
      <c r="F8568" t="s">
        <v>41</v>
      </c>
      <c r="G8568">
        <v>-304.35980000000001</v>
      </c>
      <c r="H8568" s="1">
        <v>-1.4763120000000001E-6</v>
      </c>
      <c r="I8568">
        <v>-8.7935920000000003</v>
      </c>
      <c r="J8568">
        <v>-306.35840000000002</v>
      </c>
      <c r="K8568">
        <v>1.066846</v>
      </c>
      <c r="L8568">
        <v>7.4965520000000003</v>
      </c>
      <c r="M8568">
        <v>0.54822869999999901</v>
      </c>
      <c r="N8568">
        <v>-1.47989E-2</v>
      </c>
      <c r="O8568">
        <v>-0.83619769999999904</v>
      </c>
      <c r="P8568">
        <v>0.25924130000000001</v>
      </c>
      <c r="Q8568">
        <v>0.13628399999999999</v>
      </c>
      <c r="R8568">
        <v>-0.95614909999999997</v>
      </c>
      <c r="S8568">
        <v>0.39135740000000002</v>
      </c>
      <c r="T8568">
        <v>-0.19829089999999999</v>
      </c>
      <c r="U8568">
        <v>-3.0609739999999999</v>
      </c>
      <c r="V8568">
        <v>0.30922919999999998</v>
      </c>
      <c r="W8568">
        <v>0.1464982</v>
      </c>
      <c r="X8568">
        <v>0.93963589999999997</v>
      </c>
      <c r="Y8568">
        <v>0.4375366</v>
      </c>
      <c r="Z8568">
        <v>3.131188E-2</v>
      </c>
      <c r="AA8568">
        <v>0.89865529999999905</v>
      </c>
      <c r="AB8568">
        <v>21</v>
      </c>
      <c r="AC8568">
        <v>1.9986000000000099</v>
      </c>
      <c r="AD8568">
        <v>-1.0668474763119999</v>
      </c>
      <c r="AE8568">
        <v>-16.290144000000002</v>
      </c>
      <c r="AF8568">
        <v>7.2297452314603499</v>
      </c>
      <c r="AG8568">
        <v>-1.0668474763119999</v>
      </c>
      <c r="AH8568">
        <v>14.6571483242745</v>
      </c>
      <c r="AI8568">
        <v>93.734834010677901</v>
      </c>
      <c r="AJ8568">
        <v>63.7448447793223</v>
      </c>
      <c r="AK8568">
        <v>16.378015039965</v>
      </c>
      <c r="AL8568">
        <v>81.575953922866404</v>
      </c>
      <c r="AM8568">
        <v>71.783898323160798</v>
      </c>
      <c r="AN8568">
        <v>1.00000002265234</v>
      </c>
    </row>
    <row r="8569" spans="1:40" x14ac:dyDescent="0.25">
      <c r="A8569" t="str">
        <f>"20190303162119090"</f>
        <v>20190303162119090</v>
      </c>
      <c r="B8569" t="str">
        <f>"1551601279081178"</f>
        <v>1551601279081178</v>
      </c>
      <c r="C8569" t="s">
        <v>40</v>
      </c>
      <c r="D8569">
        <v>5.0968839999999904</v>
      </c>
      <c r="E8569">
        <v>0.55284549999999999</v>
      </c>
      <c r="F8569" t="s">
        <v>41</v>
      </c>
      <c r="G8569">
        <v>-304.2441</v>
      </c>
      <c r="H8569" s="1">
        <v>-1.2866910000000001E-6</v>
      </c>
      <c r="I8569">
        <v>-9.1296320000000009</v>
      </c>
      <c r="J8569">
        <v>-306.2516</v>
      </c>
      <c r="K8569">
        <v>1.0668489999999999</v>
      </c>
      <c r="L8569">
        <v>7.3147279999999997</v>
      </c>
      <c r="M8569">
        <v>0.54088009999999997</v>
      </c>
      <c r="N8569">
        <v>-1.478668E-2</v>
      </c>
      <c r="O8569">
        <v>-0.84096990000000005</v>
      </c>
      <c r="P8569">
        <v>0.25640449999999998</v>
      </c>
      <c r="Q8569">
        <v>0.136852</v>
      </c>
      <c r="R8569">
        <v>-0.95683249999999997</v>
      </c>
      <c r="S8569">
        <v>0.38912960000000002</v>
      </c>
      <c r="T8569">
        <v>-0.1963538</v>
      </c>
      <c r="U8569">
        <v>-3.0600589999999999</v>
      </c>
      <c r="V8569">
        <v>0.3037261</v>
      </c>
      <c r="W8569">
        <v>0.14714859999999999</v>
      </c>
      <c r="X8569">
        <v>0.94132760000000004</v>
      </c>
      <c r="Y8569">
        <v>0.43026560000000003</v>
      </c>
      <c r="Z8569">
        <v>3.1442230000000002E-2</v>
      </c>
      <c r="AA8569">
        <v>0.90215460000000003</v>
      </c>
      <c r="AB8569">
        <v>21</v>
      </c>
      <c r="AC8569">
        <v>2.0074999999999901</v>
      </c>
      <c r="AD8569">
        <v>-1.0668502866909999</v>
      </c>
      <c r="AE8569">
        <v>-16.44436</v>
      </c>
      <c r="AF8569">
        <v>7.1772020090706699</v>
      </c>
      <c r="AG8569">
        <v>-1.0668502866909999</v>
      </c>
      <c r="AH8569">
        <v>14.8550512234665</v>
      </c>
      <c r="AI8569">
        <v>93.699899610406007</v>
      </c>
      <c r="AJ8569">
        <v>64.212539139398302</v>
      </c>
      <c r="AK8569">
        <v>16.532481515641699</v>
      </c>
      <c r="AL8569">
        <v>81.538279871604004</v>
      </c>
      <c r="AM8569">
        <v>72.117332159804405</v>
      </c>
      <c r="AN8569">
        <v>0.99999995241246298</v>
      </c>
    </row>
    <row r="8570" spans="1:40" x14ac:dyDescent="0.25">
      <c r="A8570" t="str">
        <f>"20190303162119113"</f>
        <v>20190303162119113</v>
      </c>
      <c r="B8570" t="str">
        <f>"1551601279100698"</f>
        <v>1551601279100698</v>
      </c>
      <c r="C8570" t="s">
        <v>40</v>
      </c>
      <c r="D8570">
        <v>5.1014679999999997</v>
      </c>
      <c r="E8570">
        <v>0.55250089999999996</v>
      </c>
      <c r="F8570" t="s">
        <v>41</v>
      </c>
      <c r="G8570">
        <v>-304.1157</v>
      </c>
      <c r="H8570" s="1">
        <v>-9.8248510000000007E-7</v>
      </c>
      <c r="I8570">
        <v>-9.7008709999999994</v>
      </c>
      <c r="J8570">
        <v>-306.1438</v>
      </c>
      <c r="K8570">
        <v>1.0668489999999999</v>
      </c>
      <c r="L8570">
        <v>7.127472</v>
      </c>
      <c r="M8570">
        <v>0.53329190000000004</v>
      </c>
      <c r="N8570">
        <v>-1.477581E-2</v>
      </c>
      <c r="O8570">
        <v>-0.84580230000000001</v>
      </c>
      <c r="P8570">
        <v>0.2523165</v>
      </c>
      <c r="Q8570">
        <v>0.1363336</v>
      </c>
      <c r="R8570">
        <v>-0.95799270000000003</v>
      </c>
      <c r="S8570">
        <v>0.3840942</v>
      </c>
      <c r="T8570">
        <v>-0.1918472</v>
      </c>
      <c r="U8570">
        <v>-3.0598450000000001</v>
      </c>
      <c r="V8570">
        <v>0.2992959</v>
      </c>
      <c r="W8570">
        <v>0.1466963</v>
      </c>
      <c r="X8570">
        <v>0.94281610000000005</v>
      </c>
      <c r="Y8570">
        <v>0.42359910000000001</v>
      </c>
      <c r="Z8570">
        <v>3.0938549999999999E-2</v>
      </c>
      <c r="AA8570">
        <v>0.90532120000000005</v>
      </c>
      <c r="AB8570">
        <v>21</v>
      </c>
      <c r="AC8570">
        <v>2.02809999999999</v>
      </c>
      <c r="AD8570">
        <v>-1.0668499824851001</v>
      </c>
      <c r="AE8570">
        <v>-16.828343</v>
      </c>
      <c r="AF8570">
        <v>7.2311930326018903</v>
      </c>
      <c r="AG8570">
        <v>-1.0668499824851001</v>
      </c>
      <c r="AH8570">
        <v>15.256253892134101</v>
      </c>
      <c r="AI8570">
        <v>93.6157085948701</v>
      </c>
      <c r="AJ8570">
        <v>64.639880224094298</v>
      </c>
      <c r="AK8570">
        <v>16.9169029193034</v>
      </c>
      <c r="AL8570">
        <v>81.564479635869603</v>
      </c>
      <c r="AM8570">
        <v>72.388018307768206</v>
      </c>
      <c r="AN8570">
        <v>1.0000000193048499</v>
      </c>
    </row>
    <row r="8571" spans="1:40" x14ac:dyDescent="0.25">
      <c r="A8571" t="str">
        <f>"20190303162119135"</f>
        <v>20190303162119135</v>
      </c>
      <c r="B8571" t="str">
        <f>"1551601279130954"</f>
        <v>1551601279130954</v>
      </c>
      <c r="C8571" t="s">
        <v>40</v>
      </c>
      <c r="D8571">
        <v>5.1393110000000002</v>
      </c>
      <c r="E8571">
        <v>0.55193159999999997</v>
      </c>
      <c r="F8571" t="s">
        <v>41</v>
      </c>
      <c r="G8571">
        <v>-304.05689999999998</v>
      </c>
      <c r="H8571" s="1">
        <v>-8.4336969999999898E-7</v>
      </c>
      <c r="I8571">
        <v>-9.9620660000000001</v>
      </c>
      <c r="J8571">
        <v>-306.0412</v>
      </c>
      <c r="K8571">
        <v>1.066848</v>
      </c>
      <c r="L8571">
        <v>6.9454650000000004</v>
      </c>
      <c r="M8571">
        <v>0.52589249999999998</v>
      </c>
      <c r="N8571">
        <v>-1.476674E-2</v>
      </c>
      <c r="O8571">
        <v>-0.85042289999999998</v>
      </c>
      <c r="P8571">
        <v>0.2476874</v>
      </c>
      <c r="Q8571">
        <v>0.1354494</v>
      </c>
      <c r="R8571">
        <v>-0.95932499999999998</v>
      </c>
      <c r="S8571">
        <v>0.3737183</v>
      </c>
      <c r="T8571">
        <v>-0.19104579999999999</v>
      </c>
      <c r="U8571">
        <v>-3.0603030000000002</v>
      </c>
      <c r="V8571">
        <v>0.29566819999999999</v>
      </c>
      <c r="W8571">
        <v>0.1458661</v>
      </c>
      <c r="X8571">
        <v>0.9440887</v>
      </c>
      <c r="Y8571">
        <v>0.41873830000000001</v>
      </c>
      <c r="Z8571">
        <v>3.1227749999999999E-2</v>
      </c>
      <c r="AA8571">
        <v>0.90756979999999998</v>
      </c>
      <c r="AB8571">
        <v>21</v>
      </c>
      <c r="AC8571">
        <v>1.9843000000000099</v>
      </c>
      <c r="AD8571">
        <v>-1.0668488433697001</v>
      </c>
      <c r="AE8571">
        <v>-16.907530999999999</v>
      </c>
      <c r="AF8571">
        <v>7.1766493261718196</v>
      </c>
      <c r="AG8571">
        <v>-1.0668488433697001</v>
      </c>
      <c r="AH8571">
        <v>15.3634228851079</v>
      </c>
      <c r="AI8571">
        <v>93.600021195014804</v>
      </c>
      <c r="AJ8571">
        <v>64.961514105033501</v>
      </c>
      <c r="AK8571">
        <v>16.9905039581555</v>
      </c>
      <c r="AL8571">
        <v>81.612563994428399</v>
      </c>
      <c r="AM8571">
        <v>72.610570251876098</v>
      </c>
      <c r="AN8571">
        <v>1.0000000385440599</v>
      </c>
    </row>
    <row r="8572" spans="1:40" x14ac:dyDescent="0.25">
      <c r="A8572" t="str">
        <f>"20190303162119158"</f>
        <v>20190303162119158</v>
      </c>
      <c r="B8572" t="str">
        <f>"1551601279151450"</f>
        <v>1551601279151450</v>
      </c>
      <c r="C8572" t="s">
        <v>40</v>
      </c>
      <c r="D8572">
        <v>5.1259040000000002</v>
      </c>
      <c r="E8572">
        <v>0.55160330000000002</v>
      </c>
      <c r="F8572" t="s">
        <v>41</v>
      </c>
      <c r="G8572">
        <v>-304.0102</v>
      </c>
      <c r="H8572" s="1">
        <v>-7.4231820000000003E-7</v>
      </c>
      <c r="I8572">
        <v>-10.14953</v>
      </c>
      <c r="J8572">
        <v>-305.93729999999999</v>
      </c>
      <c r="K8572">
        <v>1.066856</v>
      </c>
      <c r="L8572">
        <v>6.7573239999999997</v>
      </c>
      <c r="M8572">
        <v>0.51822079999999904</v>
      </c>
      <c r="N8572">
        <v>-1.4758510000000001E-2</v>
      </c>
      <c r="O8572">
        <v>-0.85511979999999999</v>
      </c>
      <c r="P8572">
        <v>0.2425996</v>
      </c>
      <c r="Q8572">
        <v>0.13603390000000001</v>
      </c>
      <c r="R8572">
        <v>-0.96054189999999995</v>
      </c>
      <c r="S8572">
        <v>0.36358639999999998</v>
      </c>
      <c r="T8572">
        <v>-0.1909845</v>
      </c>
      <c r="U8572">
        <v>-3.0603030000000002</v>
      </c>
      <c r="V8572">
        <v>0.29213280000000003</v>
      </c>
      <c r="W8572">
        <v>0.14650150000000001</v>
      </c>
      <c r="X8572">
        <v>0.9450904</v>
      </c>
      <c r="Y8572">
        <v>0.41353200000000001</v>
      </c>
      <c r="Z8572">
        <v>3.1708170000000001E-2</v>
      </c>
      <c r="AA8572">
        <v>0.90993729999999995</v>
      </c>
      <c r="AB8572">
        <v>21</v>
      </c>
      <c r="AC8572">
        <v>1.92709999999999</v>
      </c>
      <c r="AD8572">
        <v>-1.0668567423182</v>
      </c>
      <c r="AE8572">
        <v>-16.906853999999999</v>
      </c>
      <c r="AF8572">
        <v>7.0864995784345002</v>
      </c>
      <c r="AG8572">
        <v>-1.0668567423182</v>
      </c>
      <c r="AH8572">
        <v>15.397205447517599</v>
      </c>
      <c r="AI8572">
        <v>93.601588739519201</v>
      </c>
      <c r="AJ8572">
        <v>65.285945784665103</v>
      </c>
      <c r="AK8572">
        <v>16.983244542102302</v>
      </c>
      <c r="AL8572">
        <v>81.575763129082006</v>
      </c>
      <c r="AM8572">
        <v>72.823324474991594</v>
      </c>
      <c r="AN8572">
        <v>1.00000006325512</v>
      </c>
    </row>
    <row r="8573" spans="1:40" x14ac:dyDescent="0.25">
      <c r="A8573" t="str">
        <f>"20190303162119179"</f>
        <v>20190303162119179</v>
      </c>
      <c r="B8573" t="str">
        <f>"1551601279170969"</f>
        <v>1551601279170969</v>
      </c>
      <c r="C8573" t="s">
        <v>40</v>
      </c>
      <c r="D8573">
        <v>5.1661849999999996</v>
      </c>
      <c r="E8573">
        <v>0.55135730000000005</v>
      </c>
      <c r="F8573" t="s">
        <v>41</v>
      </c>
      <c r="G8573">
        <v>-303.9316</v>
      </c>
      <c r="H8573" s="1">
        <v>-4.8600099999999999E-6</v>
      </c>
      <c r="I8573">
        <v>-10.7812</v>
      </c>
      <c r="J8573">
        <v>-305.84199999999998</v>
      </c>
      <c r="K8573">
        <v>1.06687</v>
      </c>
      <c r="L8573">
        <v>6.5811770000000003</v>
      </c>
      <c r="M8573">
        <v>0.51101669999999999</v>
      </c>
      <c r="N8573">
        <v>-1.475154E-2</v>
      </c>
      <c r="O8573">
        <v>-0.85944419999999899</v>
      </c>
      <c r="P8573">
        <v>0.23679359999999999</v>
      </c>
      <c r="Q8573">
        <v>0.13762920000000001</v>
      </c>
      <c r="R8573">
        <v>-0.96176280000000003</v>
      </c>
      <c r="S8573">
        <v>0.35006710000000002</v>
      </c>
      <c r="T8573">
        <v>-0.18621080000000001</v>
      </c>
      <c r="U8573">
        <v>-3.061188</v>
      </c>
      <c r="V8573">
        <v>0.28979500000000002</v>
      </c>
      <c r="W8573">
        <v>0.14812819999999999</v>
      </c>
      <c r="X8573">
        <v>0.94555639999999996</v>
      </c>
      <c r="Y8573">
        <v>0.40988180000000002</v>
      </c>
      <c r="Z8573">
        <v>3.0973179999999999E-2</v>
      </c>
      <c r="AA8573">
        <v>0.9116126</v>
      </c>
      <c r="AB8573">
        <v>21</v>
      </c>
      <c r="AC8573">
        <v>1.9103999999999799</v>
      </c>
      <c r="AD8573">
        <v>-1.06687486001</v>
      </c>
      <c r="AE8573">
        <v>-17.362376999999999</v>
      </c>
      <c r="AF8573">
        <v>7.2044919148232198</v>
      </c>
      <c r="AG8573">
        <v>-1.06687486001</v>
      </c>
      <c r="AH8573">
        <v>15.8408740715729</v>
      </c>
      <c r="AI8573">
        <v>93.508227234551498</v>
      </c>
      <c r="AJ8573">
        <v>65.543772347486197</v>
      </c>
      <c r="AK8573">
        <v>17.4349137385048</v>
      </c>
      <c r="AL8573">
        <v>81.481531489959494</v>
      </c>
      <c r="AM8573">
        <v>72.960696945625301</v>
      </c>
      <c r="AN8573">
        <v>1.00000000562059</v>
      </c>
    </row>
    <row r="8574" spans="1:40" x14ac:dyDescent="0.25">
      <c r="A8574" t="str">
        <f>"20190303162119203"</f>
        <v>20190303162119203</v>
      </c>
      <c r="B8574" t="str">
        <f>"1551601279191466"</f>
        <v>1551601279191466</v>
      </c>
      <c r="C8574" t="s">
        <v>40</v>
      </c>
      <c r="D8574">
        <v>5.2408190000000001</v>
      </c>
      <c r="E8574">
        <v>0.56039329999999998</v>
      </c>
      <c r="F8574" t="s">
        <v>41</v>
      </c>
      <c r="G8574">
        <v>-303.84550000000002</v>
      </c>
      <c r="H8574" s="1">
        <v>-4.5275229999999999E-6</v>
      </c>
      <c r="I8574">
        <v>-11.71332</v>
      </c>
      <c r="J8574">
        <v>-305.74059999999997</v>
      </c>
      <c r="K8574">
        <v>1.066878</v>
      </c>
      <c r="L8574">
        <v>6.3897089999999999</v>
      </c>
      <c r="M8574">
        <v>0.50317000000000001</v>
      </c>
      <c r="N8574">
        <v>-1.474432E-2</v>
      </c>
      <c r="O8574">
        <v>-0.864062</v>
      </c>
      <c r="P8574">
        <v>0.22988320000000001</v>
      </c>
      <c r="Q8574">
        <v>0.13797679999999901</v>
      </c>
      <c r="R8574">
        <v>-0.96338809999999997</v>
      </c>
      <c r="S8574">
        <v>0.33422849999999998</v>
      </c>
      <c r="T8574">
        <v>-0.17859659999999999</v>
      </c>
      <c r="U8574">
        <v>-3.0625309999999999</v>
      </c>
      <c r="V8574">
        <v>0.2879448</v>
      </c>
      <c r="W8574">
        <v>0.14850450000000001</v>
      </c>
      <c r="X8574">
        <v>0.94606239999999997</v>
      </c>
      <c r="Y8574">
        <v>0.40628500000000001</v>
      </c>
      <c r="Z8574">
        <v>2.9536429999999999E-2</v>
      </c>
      <c r="AA8574">
        <v>0.91326890000000005</v>
      </c>
      <c r="AB8574">
        <v>21</v>
      </c>
      <c r="AC8574">
        <v>1.89509999999995</v>
      </c>
      <c r="AD8574">
        <v>-1.0668825275229901</v>
      </c>
      <c r="AE8574">
        <v>-18.103028999999999</v>
      </c>
      <c r="AF8574">
        <v>7.4466439051106397</v>
      </c>
      <c r="AG8574">
        <v>-1.0668825275229901</v>
      </c>
      <c r="AH8574">
        <v>16.540669842005101</v>
      </c>
      <c r="AI8574">
        <v>93.365973796497599</v>
      </c>
      <c r="AJ8574">
        <v>65.7626270400132</v>
      </c>
      <c r="AK8574">
        <v>18.170979681879398</v>
      </c>
      <c r="AL8574">
        <v>81.459729307837307</v>
      </c>
      <c r="AM8574">
        <v>73.071779385639005</v>
      </c>
      <c r="AN8574">
        <v>0.99999992953052197</v>
      </c>
    </row>
    <row r="8575" spans="1:40" x14ac:dyDescent="0.25">
      <c r="A8575" t="str">
        <f>"20190303162119226"</f>
        <v>20190303162119226</v>
      </c>
      <c r="B8575" t="str">
        <f>"1551601279220746"</f>
        <v>1551601279220746</v>
      </c>
      <c r="C8575" t="s">
        <v>40</v>
      </c>
      <c r="D8575">
        <v>5.1872129999999999</v>
      </c>
      <c r="E8575">
        <v>0.56471000000000005</v>
      </c>
      <c r="F8575" t="s">
        <v>41</v>
      </c>
      <c r="G8575">
        <v>-303.3999</v>
      </c>
      <c r="H8575" s="1">
        <v>-3.7893720000000002E-6</v>
      </c>
      <c r="I8575">
        <v>-23.650169999999999</v>
      </c>
      <c r="J8575">
        <v>-305.64420000000001</v>
      </c>
      <c r="K8575">
        <v>1.0668759999999999</v>
      </c>
      <c r="L8575">
        <v>6.2036129999999998</v>
      </c>
      <c r="M8575">
        <v>0.4955272</v>
      </c>
      <c r="N8575">
        <v>-1.4737419999999999E-2</v>
      </c>
      <c r="O8575">
        <v>-0.86846749999999995</v>
      </c>
      <c r="P8575">
        <v>0.2229429</v>
      </c>
      <c r="Q8575">
        <v>0.13603760000000001</v>
      </c>
      <c r="R8575">
        <v>-0.96529299999999996</v>
      </c>
      <c r="S8575">
        <v>0.2394104</v>
      </c>
      <c r="T8575">
        <v>-0.1091218</v>
      </c>
      <c r="U8575">
        <v>-3.0725099999999999</v>
      </c>
      <c r="V8575">
        <v>0.28651339999999997</v>
      </c>
      <c r="W8575">
        <v>0.146593899999999</v>
      </c>
      <c r="X8575">
        <v>0.94679469999999999</v>
      </c>
      <c r="Y8575">
        <v>0.42643399999999998</v>
      </c>
      <c r="Z8575">
        <v>1.2378729999999999E-2</v>
      </c>
      <c r="AA8575">
        <v>0.90443399999999996</v>
      </c>
      <c r="AB8575">
        <v>21</v>
      </c>
      <c r="AC8575">
        <v>2.2443</v>
      </c>
      <c r="AD8575">
        <v>-1.0668797893719999</v>
      </c>
      <c r="AE8575">
        <v>-29.853783</v>
      </c>
      <c r="AF8575">
        <v>12.829361113134</v>
      </c>
      <c r="AG8575">
        <v>-1.0668797893719999</v>
      </c>
      <c r="AH8575">
        <v>27.0077877565889</v>
      </c>
      <c r="AI8575">
        <v>92.043534475076498</v>
      </c>
      <c r="AJ8575">
        <v>64.591136158818003</v>
      </c>
      <c r="AK8575">
        <v>29.9190798414844</v>
      </c>
      <c r="AL8575">
        <v>81.570410272728907</v>
      </c>
      <c r="AM8575">
        <v>73.163446266497701</v>
      </c>
      <c r="AN8575">
        <v>0.99999995192242797</v>
      </c>
    </row>
    <row r="8576" spans="1:40" x14ac:dyDescent="0.25">
      <c r="A8576" t="str">
        <f>"20190303162119247"</f>
        <v>20190303162119247</v>
      </c>
      <c r="B8576" t="str">
        <f>"1551601279241242"</f>
        <v>1551601279241242</v>
      </c>
      <c r="C8576" t="s">
        <v>40</v>
      </c>
      <c r="D8576">
        <v>5.1731809999999996</v>
      </c>
      <c r="E8576">
        <v>0.56557230000000003</v>
      </c>
      <c r="F8576" t="s">
        <v>41</v>
      </c>
      <c r="G8576">
        <v>-304.10919999999999</v>
      </c>
      <c r="H8576" s="1">
        <v>-1.405125E-6</v>
      </c>
      <c r="I8576">
        <v>-19.684149999999999</v>
      </c>
      <c r="J8576">
        <v>-305.5532</v>
      </c>
      <c r="K8576">
        <v>1.0668759999999999</v>
      </c>
      <c r="L8576">
        <v>6.0238649999999998</v>
      </c>
      <c r="M8576">
        <v>0.48812899999999998</v>
      </c>
      <c r="N8576">
        <v>-1.473116E-2</v>
      </c>
      <c r="O8576">
        <v>-0.87264750000000002</v>
      </c>
      <c r="P8576">
        <v>0.21663579999999999</v>
      </c>
      <c r="Q8576">
        <v>0.13328970000000001</v>
      </c>
      <c r="R8576">
        <v>-0.96711100000000005</v>
      </c>
      <c r="S8576">
        <v>0.18283079999999999</v>
      </c>
      <c r="T8576">
        <v>-0.12707839999999901</v>
      </c>
      <c r="U8576">
        <v>-3.0835569999999999</v>
      </c>
      <c r="V8576">
        <v>0.28479529999999997</v>
      </c>
      <c r="W8576">
        <v>0.14388020000000001</v>
      </c>
      <c r="X8576">
        <v>0.94772889999999999</v>
      </c>
      <c r="Y8576">
        <v>0.43546839999999998</v>
      </c>
      <c r="Z8576">
        <v>1.6779789999999999E-2</v>
      </c>
      <c r="AA8576">
        <v>0.90004759999999995</v>
      </c>
      <c r="AB8576">
        <v>21</v>
      </c>
      <c r="AC8576">
        <v>1.4440000000000099</v>
      </c>
      <c r="AD8576">
        <v>-1.0668774051249901</v>
      </c>
      <c r="AE8576">
        <v>-25.708015</v>
      </c>
      <c r="AF8576">
        <v>11.2705968676501</v>
      </c>
      <c r="AG8576">
        <v>-1.0668774051249901</v>
      </c>
      <c r="AH8576">
        <v>23.1017361184043</v>
      </c>
      <c r="AI8576">
        <v>92.376732743500597</v>
      </c>
      <c r="AJ8576">
        <v>63.993734637671601</v>
      </c>
      <c r="AK8576">
        <v>25.7265386874145</v>
      </c>
      <c r="AL8576">
        <v>81.727560329307394</v>
      </c>
      <c r="AM8576">
        <v>73.274323570146194</v>
      </c>
      <c r="AN8576">
        <v>0.99999997137466901</v>
      </c>
    </row>
    <row r="8577" spans="1:40" x14ac:dyDescent="0.25">
      <c r="A8577" t="str">
        <f>"20190303162119269"</f>
        <v>20190303162119269</v>
      </c>
      <c r="B8577" t="str">
        <f>"1551601279260763"</f>
        <v>1551601279260763</v>
      </c>
      <c r="C8577" t="s">
        <v>40</v>
      </c>
      <c r="D8577">
        <v>5.1651949999999998</v>
      </c>
      <c r="E8577">
        <v>0.56544150000000004</v>
      </c>
      <c r="F8577" t="s">
        <v>41</v>
      </c>
      <c r="G8577">
        <v>-304.37729999999999</v>
      </c>
      <c r="H8577" s="1">
        <v>-2.4221909999999998E-6</v>
      </c>
      <c r="I8577">
        <v>-17.479649999999999</v>
      </c>
      <c r="J8577">
        <v>-305.46109999999999</v>
      </c>
      <c r="K8577">
        <v>1.066878</v>
      </c>
      <c r="L8577">
        <v>5.8380429999999999</v>
      </c>
      <c r="M8577">
        <v>0.48046410000000001</v>
      </c>
      <c r="N8577">
        <v>-1.4725200000000001E-2</v>
      </c>
      <c r="O8577">
        <v>-0.87689079999999997</v>
      </c>
      <c r="P8577">
        <v>0.21020939999999999</v>
      </c>
      <c r="Q8577">
        <v>0.13207449999999901</v>
      </c>
      <c r="R8577">
        <v>-0.96869430000000001</v>
      </c>
      <c r="S8577">
        <v>0.1544189</v>
      </c>
      <c r="T8577">
        <v>-0.14011379999999901</v>
      </c>
      <c r="U8577">
        <v>-3.0867309999999999</v>
      </c>
      <c r="V8577">
        <v>0.28284199999999998</v>
      </c>
      <c r="W8577">
        <v>0.14269860000000001</v>
      </c>
      <c r="X8577">
        <v>0.94849220000000001</v>
      </c>
      <c r="Y8577">
        <v>0.4358804</v>
      </c>
      <c r="Z8577">
        <v>2.0200470000000002E-2</v>
      </c>
      <c r="AA8577">
        <v>0.89977790000000002</v>
      </c>
      <c r="AB8577">
        <v>20</v>
      </c>
      <c r="AC8577">
        <v>1.0837999999999901</v>
      </c>
      <c r="AD8577">
        <v>-1.066880422191</v>
      </c>
      <c r="AE8577">
        <v>-23.317692999999998</v>
      </c>
      <c r="AF8577">
        <v>10.232676289609399</v>
      </c>
      <c r="AG8577">
        <v>-1.066880422191</v>
      </c>
      <c r="AH8577">
        <v>20.926356845087302</v>
      </c>
      <c r="AI8577">
        <v>92.622328273798999</v>
      </c>
      <c r="AJ8577">
        <v>63.9420566525095</v>
      </c>
      <c r="AK8577">
        <v>23.318625789079501</v>
      </c>
      <c r="AL8577">
        <v>81.795966920087594</v>
      </c>
      <c r="AM8577">
        <v>73.395329262220201</v>
      </c>
      <c r="AN8577">
        <v>0.99999997043339905</v>
      </c>
    </row>
    <row r="8578" spans="1:40" x14ac:dyDescent="0.25">
      <c r="A8578" t="str">
        <f>"20190303162119291"</f>
        <v>20190303162119291</v>
      </c>
      <c r="B8578" t="str">
        <f>"1551601279281258"</f>
        <v>1551601279281258</v>
      </c>
      <c r="C8578" t="s">
        <v>40</v>
      </c>
      <c r="D8578">
        <v>5.1691370000000001</v>
      </c>
      <c r="E8578">
        <v>0.56512649999999998</v>
      </c>
      <c r="F8578" t="s">
        <v>41</v>
      </c>
      <c r="G8578">
        <v>-304.47449999999998</v>
      </c>
      <c r="H8578" s="1">
        <v>-2.6313999999999999E-6</v>
      </c>
      <c r="I8578">
        <v>-17.052219999999998</v>
      </c>
      <c r="J8578">
        <v>-305.36919999999998</v>
      </c>
      <c r="K8578">
        <v>1.0668839999999999</v>
      </c>
      <c r="L8578">
        <v>5.6484069999999997</v>
      </c>
      <c r="M8578">
        <v>0.4726129</v>
      </c>
      <c r="N8578">
        <v>-1.472E-2</v>
      </c>
      <c r="O8578">
        <v>-0.88114729999999997</v>
      </c>
      <c r="P8578">
        <v>0.20433809999999999</v>
      </c>
      <c r="Q8578">
        <v>0.13311239999999999</v>
      </c>
      <c r="R8578">
        <v>-0.96980789999999994</v>
      </c>
      <c r="S8578">
        <v>0.13308719999999999</v>
      </c>
      <c r="T8578">
        <v>-0.14391199999999901</v>
      </c>
      <c r="U8578">
        <v>-3.0876769999999998</v>
      </c>
      <c r="V8578">
        <v>0.28005330000000001</v>
      </c>
      <c r="W8578">
        <v>0.1437764</v>
      </c>
      <c r="X8578">
        <v>0.94915669999999996</v>
      </c>
      <c r="Y8578">
        <v>0.43405539999999998</v>
      </c>
      <c r="Z8578">
        <v>2.142285E-2</v>
      </c>
      <c r="AA8578">
        <v>0.90063139999999997</v>
      </c>
      <c r="AB8578">
        <v>20</v>
      </c>
      <c r="AC8578">
        <v>0.89470000000000005</v>
      </c>
      <c r="AD8578">
        <v>-1.0668866313999901</v>
      </c>
      <c r="AE8578">
        <v>-22.700626999999901</v>
      </c>
      <c r="AF8578">
        <v>9.9194464728148706</v>
      </c>
      <c r="AG8578">
        <v>-1.0668866313999901</v>
      </c>
      <c r="AH8578">
        <v>20.382702238985299</v>
      </c>
      <c r="AI8578">
        <v>92.694650050503498</v>
      </c>
      <c r="AJ8578">
        <v>64.049664685159499</v>
      </c>
      <c r="AK8578">
        <v>22.693351801231</v>
      </c>
      <c r="AL8578">
        <v>81.733570127389399</v>
      </c>
      <c r="AM8578">
        <v>73.561049060385301</v>
      </c>
      <c r="AN8578">
        <v>0.99999997259636897</v>
      </c>
    </row>
    <row r="8579" spans="1:40" x14ac:dyDescent="0.25">
      <c r="A8579" t="str">
        <f>"20190303162119314"</f>
        <v>20190303162119314</v>
      </c>
      <c r="B8579" t="str">
        <f>"1551601279311513"</f>
        <v>1551601279311513</v>
      </c>
      <c r="C8579" t="s">
        <v>40</v>
      </c>
      <c r="D8579">
        <v>5.1640579999999998</v>
      </c>
      <c r="E8579">
        <v>0.56452780000000002</v>
      </c>
      <c r="F8579" t="s">
        <v>41</v>
      </c>
      <c r="G8579">
        <v>-304.48</v>
      </c>
      <c r="H8579" s="1">
        <v>-2.1704719999999999E-6</v>
      </c>
      <c r="I8579">
        <v>-18.130089999999999</v>
      </c>
      <c r="J8579">
        <v>-305.28019999999998</v>
      </c>
      <c r="K8579">
        <v>1.0668789999999999</v>
      </c>
      <c r="L8579">
        <v>5.4603580000000003</v>
      </c>
      <c r="M8579">
        <v>0.46478649999999999</v>
      </c>
      <c r="N8579">
        <v>-1.4716190000000001E-2</v>
      </c>
      <c r="O8579">
        <v>-0.88530069999999905</v>
      </c>
      <c r="P8579">
        <v>0.19945860000000001</v>
      </c>
      <c r="Q8579">
        <v>0.13508489999999901</v>
      </c>
      <c r="R8579">
        <v>-0.9705511</v>
      </c>
      <c r="S8579">
        <v>0.1154785</v>
      </c>
      <c r="T8579">
        <v>-0.1385547</v>
      </c>
      <c r="U8579">
        <v>-3.0880740000000002</v>
      </c>
      <c r="V8579">
        <v>0.27630579999999999</v>
      </c>
      <c r="W8579">
        <v>0.14579629999999999</v>
      </c>
      <c r="X8579">
        <v>0.94994659999999997</v>
      </c>
      <c r="Y8579">
        <v>0.43121219999999999</v>
      </c>
      <c r="Z8579">
        <v>2.0369720000000001E-2</v>
      </c>
      <c r="AA8579">
        <v>0.90202059999999995</v>
      </c>
      <c r="AB8579">
        <v>20</v>
      </c>
      <c r="AC8579">
        <v>0.80019999999996105</v>
      </c>
      <c r="AD8579">
        <v>-1.066881170472</v>
      </c>
      <c r="AE8579">
        <v>-23.590447999999999</v>
      </c>
      <c r="AF8579">
        <v>10.236300527187201</v>
      </c>
      <c r="AG8579">
        <v>-1.066881170472</v>
      </c>
      <c r="AH8579">
        <v>21.2155177805157</v>
      </c>
      <c r="AI8579">
        <v>92.593238346834099</v>
      </c>
      <c r="AJ8579">
        <v>64.243100008315693</v>
      </c>
      <c r="AK8579">
        <v>23.580039834787801</v>
      </c>
      <c r="AL8579">
        <v>81.616606126236903</v>
      </c>
      <c r="AM8579">
        <v>73.782158680773904</v>
      </c>
      <c r="AN8579">
        <v>0.99999999952944496</v>
      </c>
    </row>
    <row r="8580" spans="1:40" x14ac:dyDescent="0.25">
      <c r="A8580" t="str">
        <f>"20190303162119336"</f>
        <v>20190303162119336</v>
      </c>
      <c r="B8580" t="str">
        <f>"1551601279331034"</f>
        <v>1551601279331034</v>
      </c>
      <c r="C8580" t="s">
        <v>40</v>
      </c>
      <c r="D8580">
        <v>5.1421549999999998</v>
      </c>
      <c r="E8580">
        <v>0.5639691</v>
      </c>
      <c r="F8580" t="s">
        <v>41</v>
      </c>
      <c r="G8580">
        <v>-304.45299999999997</v>
      </c>
      <c r="H8580" s="1">
        <v>-1.7302E-6</v>
      </c>
      <c r="I8580">
        <v>-19.139600000000002</v>
      </c>
      <c r="J8580">
        <v>-305.19439999999997</v>
      </c>
      <c r="K8580">
        <v>1.0668709999999999</v>
      </c>
      <c r="L8580">
        <v>5.27475</v>
      </c>
      <c r="M8580">
        <v>0.45700869999999999</v>
      </c>
      <c r="N8580">
        <v>-1.4714319999999999E-2</v>
      </c>
      <c r="O8580">
        <v>-0.88934059999999904</v>
      </c>
      <c r="P8580">
        <v>0.1953635</v>
      </c>
      <c r="Q8580">
        <v>0.13674029999999901</v>
      </c>
      <c r="R8580">
        <v>-0.97115169999999995</v>
      </c>
      <c r="S8580">
        <v>0.10385129999999999</v>
      </c>
      <c r="T8580">
        <v>-0.1339378</v>
      </c>
      <c r="U8580">
        <v>-3.0883180000000001</v>
      </c>
      <c r="V8580">
        <v>0.27189459999999999</v>
      </c>
      <c r="W8580">
        <v>0.1475052</v>
      </c>
      <c r="X8580">
        <v>0.95095510000000005</v>
      </c>
      <c r="Y8580">
        <v>0.42670239999999998</v>
      </c>
      <c r="Z8580">
        <v>1.9497779999999999E-2</v>
      </c>
      <c r="AA8580">
        <v>0.90418189999999998</v>
      </c>
      <c r="AB8580">
        <v>20</v>
      </c>
      <c r="AC8580">
        <v>0.74139999999999795</v>
      </c>
      <c r="AD8580">
        <v>-1.0668727301999901</v>
      </c>
      <c r="AE8580">
        <v>-24.414349999999999</v>
      </c>
      <c r="AF8580">
        <v>10.479356441627401</v>
      </c>
      <c r="AG8580">
        <v>-1.0668727301999901</v>
      </c>
      <c r="AH8580">
        <v>22.011890231755</v>
      </c>
      <c r="AI8580">
        <v>92.505766951257797</v>
      </c>
      <c r="AJ8580">
        <v>64.541951315965804</v>
      </c>
      <c r="AK8580">
        <v>24.402426937252699</v>
      </c>
      <c r="AL8580">
        <v>81.517623444279494</v>
      </c>
      <c r="AM8580">
        <v>74.043845934641098</v>
      </c>
      <c r="AN8580">
        <v>1.0000000298761</v>
      </c>
    </row>
    <row r="8581" spans="1:40" x14ac:dyDescent="0.25">
      <c r="A8581" t="str">
        <f>"20190303162119358"</f>
        <v>20190303162119358</v>
      </c>
      <c r="B8581" t="str">
        <f>"1551601279351530"</f>
        <v>1551601279351530</v>
      </c>
      <c r="C8581" t="s">
        <v>40</v>
      </c>
      <c r="D8581">
        <v>5.1486919999999996</v>
      </c>
      <c r="E8581">
        <v>0.56346090000000004</v>
      </c>
      <c r="F8581" t="s">
        <v>41</v>
      </c>
      <c r="G8581">
        <v>-304.42660000000001</v>
      </c>
      <c r="H8581" s="1">
        <v>-1.4220619999999999E-6</v>
      </c>
      <c r="I8581">
        <v>-19.84151</v>
      </c>
      <c r="J8581">
        <v>-305.11059999999998</v>
      </c>
      <c r="K8581">
        <v>1.066846</v>
      </c>
      <c r="L8581">
        <v>5.0890500000000003</v>
      </c>
      <c r="M8581">
        <v>0.44916020000000001</v>
      </c>
      <c r="N8581">
        <v>-1.4714629999999999E-2</v>
      </c>
      <c r="O8581">
        <v>-0.89332999999999996</v>
      </c>
      <c r="P8581">
        <v>0.19126080000000001</v>
      </c>
      <c r="Q8581">
        <v>0.13742449999999901</v>
      </c>
      <c r="R8581">
        <v>-0.97187159999999995</v>
      </c>
      <c r="S8581">
        <v>9.4421389999999994E-2</v>
      </c>
      <c r="T8581">
        <v>-0.13119520000000001</v>
      </c>
      <c r="U8581">
        <v>-3.0885929999999999</v>
      </c>
      <c r="V8581">
        <v>0.26750089999999999</v>
      </c>
      <c r="W8581">
        <v>0.14823900000000001</v>
      </c>
      <c r="X8581">
        <v>0.9520864</v>
      </c>
      <c r="Y8581">
        <v>0.42150009999999999</v>
      </c>
      <c r="Z8581">
        <v>1.908895E-2</v>
      </c>
      <c r="AA8581">
        <v>0.90662739999999997</v>
      </c>
      <c r="AB8581">
        <v>20</v>
      </c>
      <c r="AC8581">
        <v>0.68399999999996897</v>
      </c>
      <c r="AD8581">
        <v>-1.0668474220619999</v>
      </c>
      <c r="AE8581">
        <v>-24.93056</v>
      </c>
      <c r="AF8581">
        <v>10.568585617204</v>
      </c>
      <c r="AG8581">
        <v>-1.0668474220619999</v>
      </c>
      <c r="AH8581">
        <v>22.539644670951301</v>
      </c>
      <c r="AI8581">
        <v>92.453905443864301</v>
      </c>
      <c r="AJ8581">
        <v>64.8786481923851</v>
      </c>
      <c r="AK8581">
        <v>24.917237954132801</v>
      </c>
      <c r="AL8581">
        <v>81.475112396263697</v>
      </c>
      <c r="AM8581">
        <v>74.3066102437095</v>
      </c>
      <c r="AN8581">
        <v>1.0000000228433801</v>
      </c>
    </row>
    <row r="8582" spans="1:40" x14ac:dyDescent="0.25">
      <c r="A8582" t="str">
        <f>"20190303162119380"</f>
        <v>20190303162119380</v>
      </c>
      <c r="B8582" t="str">
        <f>"1551601279371050"</f>
        <v>1551601279371050</v>
      </c>
      <c r="C8582" t="s">
        <v>40</v>
      </c>
      <c r="D8582">
        <v>5.1629370000000003</v>
      </c>
      <c r="E8582">
        <v>0.5629345</v>
      </c>
      <c r="F8582" t="s">
        <v>41</v>
      </c>
      <c r="G8582">
        <v>-304.4203</v>
      </c>
      <c r="H8582" s="1">
        <v>-1.2967509999999999E-6</v>
      </c>
      <c r="I8582">
        <v>-20.129750000000001</v>
      </c>
      <c r="J8582">
        <v>-305.02800000000002</v>
      </c>
      <c r="K8582">
        <v>1.066816</v>
      </c>
      <c r="L8582">
        <v>4.9014889999999998</v>
      </c>
      <c r="M8582">
        <v>0.44115910000000003</v>
      </c>
      <c r="N8582">
        <v>-1.4716949999999999E-2</v>
      </c>
      <c r="O8582">
        <v>-0.89730840000000001</v>
      </c>
      <c r="P8582">
        <v>0.18662129999999999</v>
      </c>
      <c r="Q8582">
        <v>0.1376366</v>
      </c>
      <c r="R8582">
        <v>-0.97274300000000002</v>
      </c>
      <c r="S8582">
        <v>8.4533689999999995E-2</v>
      </c>
      <c r="T8582">
        <v>-0.13066269999999999</v>
      </c>
      <c r="U8582">
        <v>-3.0886840000000002</v>
      </c>
      <c r="V8582">
        <v>0.26352779999999998</v>
      </c>
      <c r="W8582">
        <v>0.1484926</v>
      </c>
      <c r="X8582">
        <v>0.95315419999999995</v>
      </c>
      <c r="Y8582">
        <v>0.41629470000000002</v>
      </c>
      <c r="Z8582">
        <v>1.9237979999999998E-2</v>
      </c>
      <c r="AA8582">
        <v>0.90902620000000001</v>
      </c>
      <c r="AB8582">
        <v>20</v>
      </c>
      <c r="AC8582">
        <v>0.607700000000022</v>
      </c>
      <c r="AD8582">
        <v>-1.0668172967509999</v>
      </c>
      <c r="AE8582">
        <v>-25.031238999999999</v>
      </c>
      <c r="AF8582">
        <v>10.4795758941143</v>
      </c>
      <c r="AG8582">
        <v>-1.0668172967509999</v>
      </c>
      <c r="AH8582">
        <v>22.69010134661</v>
      </c>
      <c r="AI8582">
        <v>92.444142477762995</v>
      </c>
      <c r="AJ8582">
        <v>65.209828377179704</v>
      </c>
      <c r="AK8582">
        <v>25.016001063011299</v>
      </c>
      <c r="AL8582">
        <v>81.460418873290095</v>
      </c>
      <c r="AM8582">
        <v>74.544958080494197</v>
      </c>
      <c r="AN8582">
        <v>0.99999994130261805</v>
      </c>
    </row>
    <row r="8583" spans="1:40" x14ac:dyDescent="0.25">
      <c r="A8583" t="str">
        <f>"20190303162119404"</f>
        <v>20190303162119404</v>
      </c>
      <c r="B8583" t="str">
        <f>"1551601279391546"</f>
        <v>1551601279391546</v>
      </c>
      <c r="C8583" t="s">
        <v>40</v>
      </c>
      <c r="D8583">
        <v>5.1516640000000002</v>
      </c>
      <c r="E8583">
        <v>0.56230849999999999</v>
      </c>
      <c r="F8583" t="s">
        <v>41</v>
      </c>
      <c r="G8583">
        <v>-304.4316</v>
      </c>
      <c r="H8583" s="1">
        <v>-1.434775E-6</v>
      </c>
      <c r="I8583">
        <v>-19.815010000000001</v>
      </c>
      <c r="J8583">
        <v>-304.94510000000002</v>
      </c>
      <c r="K8583">
        <v>1.0667879999999901</v>
      </c>
      <c r="L8583">
        <v>4.7082819999999996</v>
      </c>
      <c r="M8583">
        <v>0.43283870000000002</v>
      </c>
      <c r="N8583">
        <v>-1.472071E-2</v>
      </c>
      <c r="O8583">
        <v>-0.90135120000000002</v>
      </c>
      <c r="P8583">
        <v>0.1827849</v>
      </c>
      <c r="Q8583">
        <v>0.13988689999999901</v>
      </c>
      <c r="R8583">
        <v>-0.97315039999999997</v>
      </c>
      <c r="S8583">
        <v>7.4523930000000002E-2</v>
      </c>
      <c r="T8583">
        <v>-0.1333116</v>
      </c>
      <c r="U8583">
        <v>-3.0886230000000001</v>
      </c>
      <c r="V8583">
        <v>0.25835609999999998</v>
      </c>
      <c r="W8583">
        <v>0.1508005</v>
      </c>
      <c r="X8583">
        <v>0.95420720000000003</v>
      </c>
      <c r="Y8583">
        <v>0.41082000000000002</v>
      </c>
      <c r="Z8583">
        <v>2.022183E-2</v>
      </c>
      <c r="AA8583">
        <v>0.91149219999999997</v>
      </c>
      <c r="AB8583">
        <v>20</v>
      </c>
      <c r="AC8583">
        <v>0.51350000000002105</v>
      </c>
      <c r="AD8583">
        <v>-1.06678943477499</v>
      </c>
      <c r="AE8583">
        <v>-24.523292000000001</v>
      </c>
      <c r="AF8583">
        <v>10.1337179142811</v>
      </c>
      <c r="AG8583">
        <v>-1.06678943477499</v>
      </c>
      <c r="AH8583">
        <v>22.286625052023201</v>
      </c>
      <c r="AI8583">
        <v>92.495016622167896</v>
      </c>
      <c r="AJ8583">
        <v>65.548729440322603</v>
      </c>
      <c r="AK8583">
        <v>24.505589865861999</v>
      </c>
      <c r="AL8583">
        <v>81.326680656949605</v>
      </c>
      <c r="AM8583">
        <v>74.8501286183171</v>
      </c>
      <c r="AN8583">
        <v>1.00000002286964</v>
      </c>
    </row>
    <row r="8584" spans="1:40" x14ac:dyDescent="0.25">
      <c r="A8584" t="str">
        <f>"20190303162119437"</f>
        <v>20190303162119437</v>
      </c>
      <c r="B8584" t="str">
        <f>"1551601279431565"</f>
        <v>1551601279431565</v>
      </c>
      <c r="C8584" t="s">
        <v>40</v>
      </c>
      <c r="D8584">
        <v>5.0976920000000003</v>
      </c>
      <c r="E8584">
        <v>0.56121189999999999</v>
      </c>
      <c r="F8584" t="s">
        <v>41</v>
      </c>
      <c r="G8584">
        <v>-304.37650000000002</v>
      </c>
      <c r="H8584" s="1">
        <v>-5.0464450000000003E-6</v>
      </c>
      <c r="I8584">
        <v>-20.465240000000001</v>
      </c>
      <c r="J8584">
        <v>-304.82799999999997</v>
      </c>
      <c r="K8584">
        <v>1.066775</v>
      </c>
      <c r="L8584">
        <v>4.425262</v>
      </c>
      <c r="M8584">
        <v>0.42051179999999999</v>
      </c>
      <c r="N8584">
        <v>-1.47286E-2</v>
      </c>
      <c r="O8584">
        <v>-0.90716759999999996</v>
      </c>
      <c r="P8584">
        <v>0.1727658</v>
      </c>
      <c r="Q8584">
        <v>0.14334920000000001</v>
      </c>
      <c r="R8584">
        <v>-0.97447589999999995</v>
      </c>
      <c r="S8584">
        <v>6.9763179999999994E-2</v>
      </c>
      <c r="T8584">
        <v>-0.13088319999999901</v>
      </c>
      <c r="U8584">
        <v>-3.0885009999999999</v>
      </c>
      <c r="V8584">
        <v>0.25500089999999997</v>
      </c>
      <c r="W8584">
        <v>0.15429200000000001</v>
      </c>
      <c r="X8584">
        <v>0.9545515</v>
      </c>
      <c r="Y8584">
        <v>0.39977620000000003</v>
      </c>
      <c r="Z8584">
        <v>2.0045469999999999E-2</v>
      </c>
      <c r="AA8584">
        <v>0.91639360000000003</v>
      </c>
      <c r="AB8584">
        <v>20</v>
      </c>
      <c r="AC8584">
        <v>0.45149999999995299</v>
      </c>
      <c r="AD8584">
        <v>-1.0667800464449999</v>
      </c>
      <c r="AE8584">
        <v>-24.890502000000001</v>
      </c>
      <c r="AF8584">
        <v>10.039817912837201</v>
      </c>
      <c r="AG8584">
        <v>-1.0667800464449999</v>
      </c>
      <c r="AH8584">
        <v>22.730446825083501</v>
      </c>
      <c r="AI8584">
        <v>92.458230399124105</v>
      </c>
      <c r="AJ8584">
        <v>66.169417392912095</v>
      </c>
      <c r="AK8584">
        <v>24.8718551028742</v>
      </c>
      <c r="AL8584">
        <v>81.124263313789996</v>
      </c>
      <c r="AM8584">
        <v>75.043153563001596</v>
      </c>
      <c r="AN8584">
        <v>1.00000002320852</v>
      </c>
    </row>
    <row r="8585" spans="1:40" x14ac:dyDescent="0.25">
      <c r="A8585" t="str">
        <f>"20190303162119458"</f>
        <v>20190303162119458</v>
      </c>
      <c r="B8585" t="str">
        <f>"1551601279451081"</f>
        <v>1551601279451081</v>
      </c>
      <c r="C8585" t="s">
        <v>40</v>
      </c>
      <c r="D8585">
        <v>5.1019269999999999</v>
      </c>
      <c r="E8585">
        <v>0.56110300000000002</v>
      </c>
      <c r="F8585" t="s">
        <v>41</v>
      </c>
      <c r="G8585">
        <v>-304.4117</v>
      </c>
      <c r="H8585" s="1">
        <v>-4.6118700000000003E-6</v>
      </c>
      <c r="I8585">
        <v>-21.7606</v>
      </c>
      <c r="J8585">
        <v>-304.75450000000001</v>
      </c>
      <c r="K8585">
        <v>1.0667789999999999</v>
      </c>
      <c r="L8585">
        <v>4.2418519999999997</v>
      </c>
      <c r="M8585">
        <v>0.41245920000000003</v>
      </c>
      <c r="N8585">
        <v>-1.473797E-2</v>
      </c>
      <c r="O8585">
        <v>-0.91085680000000002</v>
      </c>
      <c r="P8585">
        <v>0.16612270000000001</v>
      </c>
      <c r="Q8585">
        <v>0.1461672</v>
      </c>
      <c r="R8585">
        <v>-0.97521230000000003</v>
      </c>
      <c r="S8585">
        <v>4.9102779999999999E-2</v>
      </c>
      <c r="T8585">
        <v>-0.1258167</v>
      </c>
      <c r="U8585">
        <v>-3.0883790000000002</v>
      </c>
      <c r="V8585">
        <v>0.25290889999999999</v>
      </c>
      <c r="W8585">
        <v>0.15714220000000001</v>
      </c>
      <c r="X8585">
        <v>0.95464309999999997</v>
      </c>
      <c r="Y8585">
        <v>0.39779029999999999</v>
      </c>
      <c r="Z8585">
        <v>1.8914920000000002E-2</v>
      </c>
      <c r="AA8585">
        <v>0.91728140000000002</v>
      </c>
      <c r="AB8585">
        <v>20</v>
      </c>
      <c r="AC8585">
        <v>0.34280000000001098</v>
      </c>
      <c r="AD8585">
        <v>-1.06678361187</v>
      </c>
      <c r="AE8585">
        <v>-26.002452000000002</v>
      </c>
      <c r="AF8585">
        <v>10.396344737973299</v>
      </c>
      <c r="AG8585">
        <v>-1.06678361187</v>
      </c>
      <c r="AH8585">
        <v>23.788457620398201</v>
      </c>
      <c r="AI8585">
        <v>92.353059502899399</v>
      </c>
      <c r="AJ8585">
        <v>66.393077002061204</v>
      </c>
      <c r="AK8585">
        <v>25.982931457840198</v>
      </c>
      <c r="AL8585">
        <v>80.958942118363197</v>
      </c>
      <c r="AM8585">
        <v>75.161783928337002</v>
      </c>
      <c r="AN8585">
        <v>1.00000001554882</v>
      </c>
    </row>
    <row r="8586" spans="1:40" x14ac:dyDescent="0.25">
      <c r="A8586" t="str">
        <f>"20190303162119481"</f>
        <v>20190303162119481</v>
      </c>
      <c r="B8586" t="str">
        <f>"1551601279471579"</f>
        <v>1551601279471579</v>
      </c>
      <c r="C8586" t="s">
        <v>40</v>
      </c>
      <c r="D8586">
        <v>5.0070739999999896</v>
      </c>
      <c r="E8586">
        <v>0.57096210000000003</v>
      </c>
      <c r="F8586" t="s">
        <v>41</v>
      </c>
      <c r="G8586">
        <v>-304.49180000000001</v>
      </c>
      <c r="H8586" s="1">
        <v>-3.8690700000000004E-6</v>
      </c>
      <c r="I8586">
        <v>-23.985099999999999</v>
      </c>
      <c r="J8586">
        <v>-304.67899999999997</v>
      </c>
      <c r="K8586">
        <v>1.0667979999999999</v>
      </c>
      <c r="L8586">
        <v>4.0481569999999998</v>
      </c>
      <c r="M8586">
        <v>0.40391899999999997</v>
      </c>
      <c r="N8586">
        <v>-1.475018E-2</v>
      </c>
      <c r="O8586">
        <v>-0.91467589999999999</v>
      </c>
      <c r="P8586">
        <v>0.15783029999999901</v>
      </c>
      <c r="Q8586">
        <v>0.1474588</v>
      </c>
      <c r="R8586">
        <v>-0.9763944</v>
      </c>
      <c r="S8586">
        <v>2.8747559999999998E-2</v>
      </c>
      <c r="T8586">
        <v>-0.1167377</v>
      </c>
      <c r="U8586">
        <v>-3.088867</v>
      </c>
      <c r="V8586">
        <v>0.25202049999999998</v>
      </c>
      <c r="W8586">
        <v>0.15846299999999999</v>
      </c>
      <c r="X8586">
        <v>0.9546597</v>
      </c>
      <c r="Y8586">
        <v>0.39526309999999998</v>
      </c>
      <c r="Z8586">
        <v>1.6689679999999998E-2</v>
      </c>
      <c r="AA8586">
        <v>0.91841629999999996</v>
      </c>
      <c r="AB8586">
        <v>20</v>
      </c>
      <c r="AC8586">
        <v>0.18720000000001799</v>
      </c>
      <c r="AD8586">
        <v>-1.0668018690700001</v>
      </c>
      <c r="AE8586">
        <v>-28.033256999999999</v>
      </c>
      <c r="AF8586">
        <v>11.1370228232228</v>
      </c>
      <c r="AG8586">
        <v>-1.0668018690700001</v>
      </c>
      <c r="AH8586">
        <v>25.682563475011499</v>
      </c>
      <c r="AI8586">
        <v>92.182435909294895</v>
      </c>
      <c r="AJ8586">
        <v>66.556448325753806</v>
      </c>
      <c r="AK8586">
        <v>28.013664705654499</v>
      </c>
      <c r="AL8586">
        <v>80.882305490799894</v>
      </c>
      <c r="AM8586">
        <v>75.211864421479405</v>
      </c>
      <c r="AN8586">
        <v>0.99999999879666901</v>
      </c>
    </row>
    <row r="8587" spans="1:40" x14ac:dyDescent="0.25">
      <c r="A8587" t="str">
        <f>"20190303162119503"</f>
        <v>20190303162119503</v>
      </c>
      <c r="B8587" t="str">
        <f>"1551601279491098"</f>
        <v>1551601279491098</v>
      </c>
      <c r="C8587" t="s">
        <v>40</v>
      </c>
      <c r="D8587">
        <v>4.9909829999999999</v>
      </c>
      <c r="E8587">
        <v>0.57260290000000003</v>
      </c>
      <c r="F8587" t="s">
        <v>62</v>
      </c>
      <c r="G8587">
        <v>-306.43939999999998</v>
      </c>
      <c r="H8587" s="1">
        <v>-8.0806859999999903E-6</v>
      </c>
      <c r="I8587">
        <v>-68.359800000000007</v>
      </c>
      <c r="J8587">
        <v>-304.6069</v>
      </c>
      <c r="K8587">
        <v>1.0668280000000001</v>
      </c>
      <c r="L8587">
        <v>3.858276</v>
      </c>
      <c r="M8587">
        <v>0.3955264</v>
      </c>
      <c r="N8587">
        <v>-1.476121E-2</v>
      </c>
      <c r="O8587">
        <v>-0.91833620000000005</v>
      </c>
      <c r="P8587">
        <v>0.1496306</v>
      </c>
      <c r="Q8587">
        <v>0.1486198</v>
      </c>
      <c r="R8587">
        <v>-0.97750879999999996</v>
      </c>
      <c r="S8587">
        <v>-7.5164789999999995E-2</v>
      </c>
      <c r="T8587">
        <v>-4.5548680000000001E-2</v>
      </c>
      <c r="U8587">
        <v>-3.0915530000000002</v>
      </c>
      <c r="V8587">
        <v>0.25122359999999999</v>
      </c>
      <c r="W8587">
        <v>0.1596601</v>
      </c>
      <c r="X8587">
        <v>0.95467029999999997</v>
      </c>
      <c r="Y8587">
        <v>0.41768110000000003</v>
      </c>
      <c r="Z8587">
        <v>-2.58392E-3</v>
      </c>
      <c r="AA8587">
        <v>0.90859000000000001</v>
      </c>
      <c r="AB8587">
        <v>20</v>
      </c>
      <c r="AC8587">
        <v>-1.83249999999998</v>
      </c>
      <c r="AD8587">
        <v>-1.066836080686</v>
      </c>
      <c r="AE8587">
        <v>-72.218075999999996</v>
      </c>
      <c r="AF8587">
        <v>30.243700788660401</v>
      </c>
      <c r="AG8587">
        <v>-1.066836080686</v>
      </c>
      <c r="AH8587">
        <v>65.588501934145597</v>
      </c>
      <c r="AI8587">
        <v>90.846248214586296</v>
      </c>
      <c r="AJ8587">
        <v>65.244966247776603</v>
      </c>
      <c r="AK8587">
        <v>72.2334490563928</v>
      </c>
      <c r="AL8587">
        <v>80.812832354904899</v>
      </c>
      <c r="AM8587">
        <v>75.256741738905703</v>
      </c>
      <c r="AN8587">
        <v>1.00000001321552</v>
      </c>
    </row>
    <row r="8588" spans="1:40" x14ac:dyDescent="0.25">
      <c r="A8588" t="str">
        <f>"20190303162119526"</f>
        <v>20190303162119526</v>
      </c>
      <c r="B8588" t="str">
        <f>"1551601279521354"</f>
        <v>1551601279521354</v>
      </c>
      <c r="C8588" t="s">
        <v>40</v>
      </c>
      <c r="D8588">
        <v>4.8993949999999904</v>
      </c>
      <c r="E8588">
        <v>0.57288919999999999</v>
      </c>
      <c r="F8588" t="s">
        <v>62</v>
      </c>
      <c r="G8588">
        <v>-307.3021</v>
      </c>
      <c r="H8588" s="1">
        <v>-7.6725229999999994E-6</v>
      </c>
      <c r="I8588">
        <v>-69.305660000000003</v>
      </c>
      <c r="J8588">
        <v>-304.53699999999998</v>
      </c>
      <c r="K8588">
        <v>1.0668839999999999</v>
      </c>
      <c r="L8588">
        <v>3.6688839999999998</v>
      </c>
      <c r="M8588">
        <v>0.38716210000000001</v>
      </c>
      <c r="N8588">
        <v>-1.476884E-2</v>
      </c>
      <c r="O8588">
        <v>-0.92189339999999997</v>
      </c>
      <c r="P8588">
        <v>0.14232310000000001</v>
      </c>
      <c r="Q8588">
        <v>0.1506045</v>
      </c>
      <c r="R8588">
        <v>-0.97829569999999999</v>
      </c>
      <c r="S8588">
        <v>-0.1139526</v>
      </c>
      <c r="T8588">
        <v>-4.5105100000000002E-2</v>
      </c>
      <c r="U8588">
        <v>-3.0933229999999998</v>
      </c>
      <c r="V8588">
        <v>0.2495655</v>
      </c>
      <c r="W8588">
        <v>0.1616985</v>
      </c>
      <c r="X8588">
        <v>0.95476209999999995</v>
      </c>
      <c r="Y8588">
        <v>0.42078860000000001</v>
      </c>
      <c r="Z8588">
        <v>-2.6898479999999999E-3</v>
      </c>
      <c r="AA8588">
        <v>0.90715469999999998</v>
      </c>
      <c r="AB8588">
        <v>20</v>
      </c>
      <c r="AC8588">
        <v>-2.7650999999999599</v>
      </c>
      <c r="AD8588">
        <v>-1.066891672523</v>
      </c>
      <c r="AE8588">
        <v>-72.974543999999995</v>
      </c>
      <c r="AF8588">
        <v>30.798890458627</v>
      </c>
      <c r="AG8588">
        <v>-1.066891672523</v>
      </c>
      <c r="AH8588">
        <v>66.197299110264296</v>
      </c>
      <c r="AI8588">
        <v>90.837185695287204</v>
      </c>
      <c r="AJ8588">
        <v>65.049371281433295</v>
      </c>
      <c r="AK8588">
        <v>73.019122980334402</v>
      </c>
      <c r="AL8588">
        <v>80.694503055083302</v>
      </c>
      <c r="AM8588">
        <v>75.351197616456204</v>
      </c>
      <c r="AN8588">
        <v>1.00000000564445</v>
      </c>
    </row>
    <row r="8589" spans="1:40" x14ac:dyDescent="0.25">
      <c r="A8589" t="str">
        <f>"20190303162119548"</f>
        <v>20190303162119548</v>
      </c>
      <c r="B8589" t="str">
        <f>"1551601279540876"</f>
        <v>1551601279540876</v>
      </c>
      <c r="C8589" t="s">
        <v>40</v>
      </c>
      <c r="D8589">
        <v>4.9071850000000001</v>
      </c>
      <c r="E8589">
        <v>0.57195379999999996</v>
      </c>
      <c r="F8589" t="s">
        <v>62</v>
      </c>
      <c r="G8589">
        <v>-308.09500000000003</v>
      </c>
      <c r="H8589">
        <v>7.9987719999999998E-2</v>
      </c>
      <c r="I8589">
        <v>-75.234679999999997</v>
      </c>
      <c r="J8589">
        <v>-304.4692</v>
      </c>
      <c r="K8589">
        <v>1.0669470000000001</v>
      </c>
      <c r="L8589">
        <v>3.4796140000000002</v>
      </c>
      <c r="M8589">
        <v>0.37883539999999999</v>
      </c>
      <c r="N8589">
        <v>-1.4772540000000001E-2</v>
      </c>
      <c r="O8589">
        <v>-0.92534609999999995</v>
      </c>
      <c r="P8589">
        <v>0.13575770000000001</v>
      </c>
      <c r="Q8589">
        <v>0.1531894</v>
      </c>
      <c r="R8589">
        <v>-0.97882729999999996</v>
      </c>
      <c r="S8589">
        <v>-0.13946529999999999</v>
      </c>
      <c r="T8589">
        <v>-3.868365E-2</v>
      </c>
      <c r="U8589">
        <v>-3.0928040000000001</v>
      </c>
      <c r="V8589">
        <v>0.24721609999999999</v>
      </c>
      <c r="W8589">
        <v>0.16434860000000001</v>
      </c>
      <c r="X8589">
        <v>0.95492080000000001</v>
      </c>
      <c r="Y8589">
        <v>0.42009370000000001</v>
      </c>
      <c r="Z8589">
        <v>-4.3841490000000004E-3</v>
      </c>
      <c r="AA8589">
        <v>0.90747009999999995</v>
      </c>
      <c r="AB8589">
        <v>20</v>
      </c>
      <c r="AC8589">
        <v>-3.6258000000000199</v>
      </c>
      <c r="AD8589">
        <v>-0.98695927999999999</v>
      </c>
      <c r="AE8589">
        <v>-78.714293999999995</v>
      </c>
      <c r="AF8589">
        <v>33.173298888035298</v>
      </c>
      <c r="AG8589">
        <v>-0.98695927999999999</v>
      </c>
      <c r="AH8589">
        <v>71.460975556980003</v>
      </c>
      <c r="AI8589">
        <v>90.717717313539794</v>
      </c>
      <c r="AJ8589">
        <v>65.098536633802496</v>
      </c>
      <c r="AK8589">
        <v>78.791578707946996</v>
      </c>
      <c r="AL8589">
        <v>80.540604565967897</v>
      </c>
      <c r="AM8589">
        <v>75.485559330593901</v>
      </c>
      <c r="AN8589">
        <v>0.99999999834690501</v>
      </c>
    </row>
    <row r="8590" spans="1:40" x14ac:dyDescent="0.25">
      <c r="A8590" t="str">
        <f>"20190303162119571"</f>
        <v>20190303162119571</v>
      </c>
      <c r="B8590" t="str">
        <f>"1551601279561370"</f>
        <v>1551601279561370</v>
      </c>
      <c r="C8590" t="s">
        <v>40</v>
      </c>
      <c r="D8590">
        <v>4.9115140000000004</v>
      </c>
      <c r="E8590">
        <v>0.57107379999999996</v>
      </c>
      <c r="F8590" t="s">
        <v>44</v>
      </c>
      <c r="G8590">
        <v>-309.41460000000001</v>
      </c>
      <c r="H8590">
        <v>-0.05</v>
      </c>
      <c r="I8590">
        <v>-96.278959999999998</v>
      </c>
      <c r="J8590">
        <v>-304.40230000000003</v>
      </c>
      <c r="K8590">
        <v>1.0670090000000001</v>
      </c>
      <c r="L8590">
        <v>3.2876280000000002</v>
      </c>
      <c r="M8590">
        <v>0.37042370000000002</v>
      </c>
      <c r="N8590">
        <v>-1.477292E-2</v>
      </c>
      <c r="O8590">
        <v>-0.9287453</v>
      </c>
      <c r="P8590">
        <v>0.12936239999999999</v>
      </c>
      <c r="Q8590">
        <v>0.1548175</v>
      </c>
      <c r="R8590">
        <v>-0.97943720000000001</v>
      </c>
      <c r="S8590">
        <v>-0.15325929999999999</v>
      </c>
      <c r="T8590">
        <v>-3.461492E-2</v>
      </c>
      <c r="U8590">
        <v>-3.091583</v>
      </c>
      <c r="V8590">
        <v>0.2446834</v>
      </c>
      <c r="W8590">
        <v>0.16604630000000001</v>
      </c>
      <c r="X8590">
        <v>0.9552794</v>
      </c>
      <c r="Y8590">
        <v>0.41591660000000003</v>
      </c>
      <c r="Z8590">
        <v>-5.4301979999999998E-3</v>
      </c>
      <c r="AA8590">
        <v>0.90938660000000004</v>
      </c>
      <c r="AB8590">
        <v>20</v>
      </c>
      <c r="AC8590">
        <v>-5.0122999999999802</v>
      </c>
      <c r="AD8590">
        <v>-1.1170089999999999</v>
      </c>
      <c r="AE8590">
        <v>-99.566587999999996</v>
      </c>
      <c r="AF8590">
        <v>41.536297090364002</v>
      </c>
      <c r="AG8590">
        <v>-1.1170089999999999</v>
      </c>
      <c r="AH8590">
        <v>90.613849233432802</v>
      </c>
      <c r="AI8590">
        <v>90.642025702856102</v>
      </c>
      <c r="AJ8590">
        <v>65.373848953146506</v>
      </c>
      <c r="AK8590">
        <v>99.686415112513501</v>
      </c>
      <c r="AL8590">
        <v>80.441978799093505</v>
      </c>
      <c r="AM8590">
        <v>75.633240659355195</v>
      </c>
      <c r="AN8590">
        <v>1.0000000360218</v>
      </c>
    </row>
    <row r="8591" spans="1:40" x14ac:dyDescent="0.25">
      <c r="A8591" t="str">
        <f>"20190303162119594"</f>
        <v>20190303162119594</v>
      </c>
      <c r="B8591" t="str">
        <f>"1551601279580890"</f>
        <v>1551601279580890</v>
      </c>
      <c r="C8591" t="s">
        <v>40</v>
      </c>
      <c r="D8591">
        <v>4.8992139999999997</v>
      </c>
      <c r="E8591">
        <v>0.57035440000000004</v>
      </c>
      <c r="F8591" t="s">
        <v>44</v>
      </c>
      <c r="G8591">
        <v>-309.9674</v>
      </c>
      <c r="H8591">
        <v>-0.05</v>
      </c>
      <c r="I8591">
        <v>-99.886319999999998</v>
      </c>
      <c r="J8591">
        <v>-304.33479999999997</v>
      </c>
      <c r="K8591">
        <v>1.0670729999999999</v>
      </c>
      <c r="L8591">
        <v>3.0882260000000001</v>
      </c>
      <c r="M8591">
        <v>0.36173630000000001</v>
      </c>
      <c r="N8591">
        <v>-1.4770230000000001E-2</v>
      </c>
      <c r="O8591">
        <v>-0.93216350000000003</v>
      </c>
      <c r="P8591">
        <v>0.12154420000000001</v>
      </c>
      <c r="Q8591">
        <v>0.15672039999999901</v>
      </c>
      <c r="R8591">
        <v>-0.98013589999999995</v>
      </c>
      <c r="S8591">
        <v>-0.166687</v>
      </c>
      <c r="T8591">
        <v>-3.345704E-2</v>
      </c>
      <c r="U8591">
        <v>-3.0903019999999999</v>
      </c>
      <c r="V8591">
        <v>0.24326980000000001</v>
      </c>
      <c r="W8591">
        <v>0.1680006</v>
      </c>
      <c r="X8591">
        <v>0.95529869999999995</v>
      </c>
      <c r="Y8591">
        <v>0.41138239999999998</v>
      </c>
      <c r="Z8591">
        <v>-5.6839730000000002E-3</v>
      </c>
      <c r="AA8591">
        <v>0.91144510000000001</v>
      </c>
      <c r="AB8591">
        <v>20</v>
      </c>
      <c r="AC8591">
        <v>-5.6326000000000196</v>
      </c>
      <c r="AD8591">
        <v>-1.117073</v>
      </c>
      <c r="AE8591">
        <v>-102.97454599999899</v>
      </c>
      <c r="AF8591">
        <v>42.499783447854099</v>
      </c>
      <c r="AG8591">
        <v>-1.117073</v>
      </c>
      <c r="AH8591">
        <v>93.950819307425306</v>
      </c>
      <c r="AI8591">
        <v>90.620668259316304</v>
      </c>
      <c r="AJ8591">
        <v>65.659810006929405</v>
      </c>
      <c r="AK8591">
        <v>103.122431574019</v>
      </c>
      <c r="AL8591">
        <v>80.328410001471497</v>
      </c>
      <c r="AM8591">
        <v>75.713110700638396</v>
      </c>
      <c r="AN8591">
        <v>1.0000000017070401</v>
      </c>
    </row>
    <row r="8592" spans="1:40" x14ac:dyDescent="0.25">
      <c r="A8592" t="str">
        <f>"20190303162119617"</f>
        <v>20190303162119617</v>
      </c>
      <c r="B8592" t="str">
        <f>"1551601279611147"</f>
        <v>1551601279611147</v>
      </c>
      <c r="C8592" t="s">
        <v>40</v>
      </c>
      <c r="D8592">
        <v>4.7977400000000001</v>
      </c>
      <c r="E8592">
        <v>0.56937749999999998</v>
      </c>
      <c r="F8592" t="s">
        <v>84</v>
      </c>
      <c r="G8592">
        <v>-309.97710000000001</v>
      </c>
      <c r="H8592">
        <v>0.1110783</v>
      </c>
      <c r="I8592">
        <v>-91.564989999999995</v>
      </c>
      <c r="J8592">
        <v>-304.27089999999998</v>
      </c>
      <c r="K8592">
        <v>1.0671360000000001</v>
      </c>
      <c r="L8592">
        <v>2.8939210000000002</v>
      </c>
      <c r="M8592">
        <v>0.35333700000000001</v>
      </c>
      <c r="N8592">
        <v>-1.4764660000000001E-2</v>
      </c>
      <c r="O8592">
        <v>-0.93537969999999904</v>
      </c>
      <c r="P8592">
        <v>0.11371149999999999</v>
      </c>
      <c r="Q8592">
        <v>0.15751319999999999</v>
      </c>
      <c r="R8592">
        <v>-0.98094840000000005</v>
      </c>
      <c r="S8592">
        <v>-0.18411250000000001</v>
      </c>
      <c r="T8592">
        <v>-3.1194570000000001E-2</v>
      </c>
      <c r="U8592">
        <v>-3.0886230000000001</v>
      </c>
      <c r="V8592">
        <v>0.2422416</v>
      </c>
      <c r="W8592">
        <v>0.16884150000000001</v>
      </c>
      <c r="X8592">
        <v>0.95541169999999997</v>
      </c>
      <c r="Y8592">
        <v>0.4083369</v>
      </c>
      <c r="Z8592">
        <v>-6.2557919999999996E-3</v>
      </c>
      <c r="AA8592">
        <v>0.9128098</v>
      </c>
      <c r="AB8592">
        <v>20</v>
      </c>
      <c r="AC8592">
        <v>-5.7062000000000204</v>
      </c>
      <c r="AD8592">
        <v>-0.95605770000000001</v>
      </c>
      <c r="AE8592">
        <v>-94.458911000000001</v>
      </c>
      <c r="AF8592">
        <v>38.713556570410901</v>
      </c>
      <c r="AG8592">
        <v>-0.95605770000000001</v>
      </c>
      <c r="AH8592">
        <v>86.339326558744602</v>
      </c>
      <c r="AI8592">
        <v>90.578898413156196</v>
      </c>
      <c r="AJ8592">
        <v>65.849086977780104</v>
      </c>
      <c r="AK8592">
        <v>94.626279749727402</v>
      </c>
      <c r="AL8592">
        <v>80.279531554228598</v>
      </c>
      <c r="AM8592">
        <v>75.772652804269896</v>
      </c>
      <c r="AN8592">
        <v>0.99999998069484897</v>
      </c>
    </row>
    <row r="8593" spans="1:40" x14ac:dyDescent="0.25">
      <c r="A8593" t="str">
        <f>"20190303162119640"</f>
        <v>20190303162119640</v>
      </c>
      <c r="B8593" t="str">
        <f>"1551601279631642"</f>
        <v>1551601279631642</v>
      </c>
      <c r="C8593" t="s">
        <v>40</v>
      </c>
      <c r="D8593">
        <v>4.8548619999999998</v>
      </c>
      <c r="E8593">
        <v>0.56870659999999995</v>
      </c>
      <c r="F8593" t="s">
        <v>84</v>
      </c>
      <c r="G8593">
        <v>-310.3809</v>
      </c>
      <c r="H8593">
        <v>9.7135310000000002E-2</v>
      </c>
      <c r="I8593">
        <v>-91.564989999999995</v>
      </c>
      <c r="J8593">
        <v>-304.20729999999998</v>
      </c>
      <c r="K8593">
        <v>1.06721</v>
      </c>
      <c r="L8593">
        <v>2.6950989999999999</v>
      </c>
      <c r="M8593">
        <v>0.3448254</v>
      </c>
      <c r="N8593">
        <v>-1.4755580000000001E-2</v>
      </c>
      <c r="O8593">
        <v>-0.93855089999999997</v>
      </c>
      <c r="P8593">
        <v>0.107081</v>
      </c>
      <c r="Q8593">
        <v>0.15614320000000001</v>
      </c>
      <c r="R8593">
        <v>-0.98191300000000004</v>
      </c>
      <c r="S8593">
        <v>-0.19964599999999999</v>
      </c>
      <c r="T8593">
        <v>-3.1694769999999997E-2</v>
      </c>
      <c r="U8593">
        <v>-3.086487</v>
      </c>
      <c r="V8593">
        <v>0.24003920000000001</v>
      </c>
      <c r="W8593">
        <v>0.16754559999999999</v>
      </c>
      <c r="X8593">
        <v>0.95619540000000003</v>
      </c>
      <c r="Y8593">
        <v>0.4046556</v>
      </c>
      <c r="Z8593">
        <v>-6.0549690000000003E-3</v>
      </c>
      <c r="AA8593">
        <v>0.91444910000000001</v>
      </c>
      <c r="AB8593">
        <v>20</v>
      </c>
      <c r="AC8593">
        <v>-6.17360000000002</v>
      </c>
      <c r="AD8593">
        <v>-0.97007469000000002</v>
      </c>
      <c r="AE8593">
        <v>-94.260088999999994</v>
      </c>
      <c r="AF8593">
        <v>38.297640225214202</v>
      </c>
      <c r="AG8593">
        <v>-0.97007469000000002</v>
      </c>
      <c r="AH8593">
        <v>86.339369214228995</v>
      </c>
      <c r="AI8593">
        <v>90.588438388892897</v>
      </c>
      <c r="AJ8593">
        <v>66.079314521497807</v>
      </c>
      <c r="AK8593">
        <v>94.457064151047405</v>
      </c>
      <c r="AL8593">
        <v>80.354854341915797</v>
      </c>
      <c r="AM8593">
        <v>75.907918540615896</v>
      </c>
      <c r="AN8593">
        <v>0.99999999429858</v>
      </c>
    </row>
    <row r="8594" spans="1:40" x14ac:dyDescent="0.25">
      <c r="A8594" t="str">
        <f>"20190303162119660"</f>
        <v>20190303162119660</v>
      </c>
      <c r="B8594" t="str">
        <f>"1551601279651162"</f>
        <v>1551601279651162</v>
      </c>
      <c r="C8594" t="s">
        <v>40</v>
      </c>
      <c r="D8594">
        <v>4.8378139999999998</v>
      </c>
      <c r="E8594">
        <v>0.56170149999999996</v>
      </c>
      <c r="F8594" t="s">
        <v>62</v>
      </c>
      <c r="G8594">
        <v>-309.23610000000002</v>
      </c>
      <c r="H8594">
        <v>7.9987909999999995E-2</v>
      </c>
      <c r="I8594">
        <v>-69.261219999999994</v>
      </c>
      <c r="J8594">
        <v>-304.15249999999997</v>
      </c>
      <c r="K8594">
        <v>1.0672870000000001</v>
      </c>
      <c r="L8594">
        <v>2.5186160000000002</v>
      </c>
      <c r="M8594">
        <v>0.3373544</v>
      </c>
      <c r="N8594">
        <v>-1.4744429999999999E-2</v>
      </c>
      <c r="O8594">
        <v>-0.94126240000000005</v>
      </c>
      <c r="P8594">
        <v>0.1026002</v>
      </c>
      <c r="Q8594">
        <v>0.15469089999999999</v>
      </c>
      <c r="R8594">
        <v>-0.98262110000000003</v>
      </c>
      <c r="S8594">
        <v>-0.2156372</v>
      </c>
      <c r="T8594">
        <v>-4.2332410000000001E-2</v>
      </c>
      <c r="U8594">
        <v>-3.0855100000000002</v>
      </c>
      <c r="V8594">
        <v>0.23682039999999999</v>
      </c>
      <c r="W8594">
        <v>0.16617979999999999</v>
      </c>
      <c r="X8594">
        <v>0.95723579999999997</v>
      </c>
      <c r="Y8594">
        <v>0.40211239999999998</v>
      </c>
      <c r="Z8594">
        <v>-3.0108420000000001E-3</v>
      </c>
      <c r="AA8594">
        <v>0.91558530000000005</v>
      </c>
      <c r="AB8594">
        <v>20</v>
      </c>
      <c r="AC8594">
        <v>-5.0836000000000396</v>
      </c>
      <c r="AD8594">
        <v>-0.98729909000000005</v>
      </c>
      <c r="AE8594">
        <v>-71.779835999999904</v>
      </c>
      <c r="AF8594">
        <v>28.9979349086437</v>
      </c>
      <c r="AG8594">
        <v>-0.98729909000000005</v>
      </c>
      <c r="AH8594">
        <v>65.843440429040498</v>
      </c>
      <c r="AI8594">
        <v>90.786207088189997</v>
      </c>
      <c r="AJ8594">
        <v>66.230954776698496</v>
      </c>
      <c r="AK8594">
        <v>71.952857038422394</v>
      </c>
      <c r="AL8594">
        <v>80.434221720354898</v>
      </c>
      <c r="AM8594">
        <v>76.104033381636498</v>
      </c>
      <c r="AN8594">
        <v>1.0000000022929101</v>
      </c>
    </row>
    <row r="8595" spans="1:40" x14ac:dyDescent="0.25">
      <c r="A8595" t="str">
        <f>"20190303162119682"</f>
        <v>20190303162119682</v>
      </c>
      <c r="B8595" t="str">
        <f>"1551601279671658"</f>
        <v>1551601279671658</v>
      </c>
      <c r="C8595" t="s">
        <v>40</v>
      </c>
      <c r="D8595">
        <v>4.8137740000000004</v>
      </c>
      <c r="E8595">
        <v>0.56075869999999906</v>
      </c>
      <c r="F8595" t="s">
        <v>41</v>
      </c>
      <c r="G8595">
        <v>-305.81569999999999</v>
      </c>
      <c r="H8595" s="1">
        <v>-3.0070819999999999E-6</v>
      </c>
      <c r="I8595">
        <v>-27.008330000000001</v>
      </c>
      <c r="J8595">
        <v>-304.09519999999998</v>
      </c>
      <c r="K8595">
        <v>1.0673790000000001</v>
      </c>
      <c r="L8595">
        <v>2.3291629999999999</v>
      </c>
      <c r="M8595">
        <v>0.32942549999999998</v>
      </c>
      <c r="N8595">
        <v>-1.472976E-2</v>
      </c>
      <c r="O8595">
        <v>-0.94406679999999998</v>
      </c>
      <c r="P8595">
        <v>9.7107330000000006E-2</v>
      </c>
      <c r="Q8595">
        <v>0.15525459999999999</v>
      </c>
      <c r="R8595">
        <v>-0.98309049999999998</v>
      </c>
      <c r="S8595">
        <v>-0.17398069999999999</v>
      </c>
      <c r="T8595">
        <v>-0.1116489</v>
      </c>
      <c r="U8595">
        <v>-3.0888059999999999</v>
      </c>
      <c r="V8595">
        <v>0.2340497</v>
      </c>
      <c r="W8595">
        <v>0.1668221</v>
      </c>
      <c r="X8595">
        <v>0.95780540000000003</v>
      </c>
      <c r="Y8595">
        <v>0.38187500000000002</v>
      </c>
      <c r="Z8595">
        <v>1.682985E-2</v>
      </c>
      <c r="AA8595">
        <v>0.92406080000000002</v>
      </c>
      <c r="AB8595">
        <v>20</v>
      </c>
      <c r="AC8595">
        <v>-1.7205000000000099</v>
      </c>
      <c r="AD8595">
        <v>-1.0673820070819999</v>
      </c>
      <c r="AE8595">
        <v>-29.337492999999998</v>
      </c>
      <c r="AF8595">
        <v>11.2751347799743</v>
      </c>
      <c r="AG8595">
        <v>-1.0673820070819999</v>
      </c>
      <c r="AH8595">
        <v>27.096971116363001</v>
      </c>
      <c r="AI8595">
        <v>92.0828362989525</v>
      </c>
      <c r="AJ8595">
        <v>67.407651942656898</v>
      </c>
      <c r="AK8595">
        <v>29.368585467070702</v>
      </c>
      <c r="AL8595">
        <v>80.3968999386977</v>
      </c>
      <c r="AM8595">
        <v>76.268276265593897</v>
      </c>
      <c r="AN8595">
        <v>1.0000000296938201</v>
      </c>
    </row>
    <row r="8596" spans="1:40" x14ac:dyDescent="0.25">
      <c r="A8596" t="str">
        <f>"20190303162119704"</f>
        <v>20190303162119704</v>
      </c>
      <c r="B8596" t="str">
        <f>"1551601279700939"</f>
        <v>1551601279700939</v>
      </c>
      <c r="C8596" t="s">
        <v>40</v>
      </c>
      <c r="D8596">
        <v>4.7756730000000003</v>
      </c>
      <c r="E8596">
        <v>0.56024719999999995</v>
      </c>
      <c r="F8596" t="s">
        <v>41</v>
      </c>
      <c r="G8596">
        <v>-305.99020000000002</v>
      </c>
      <c r="H8596" s="1">
        <v>-1.9765020000000001E-6</v>
      </c>
      <c r="I8596">
        <v>-29.518889999999999</v>
      </c>
      <c r="J8596">
        <v>-304.03969999999998</v>
      </c>
      <c r="K8596">
        <v>1.0674870000000001</v>
      </c>
      <c r="L8596">
        <v>2.140228</v>
      </c>
      <c r="M8596">
        <v>0.32161889999999999</v>
      </c>
      <c r="N8596">
        <v>-1.4713250000000001E-2</v>
      </c>
      <c r="O8596">
        <v>-0.94675489999999995</v>
      </c>
      <c r="P8596">
        <v>9.152602E-2</v>
      </c>
      <c r="Q8596">
        <v>0.15714729999999999</v>
      </c>
      <c r="R8596">
        <v>-0.9833248</v>
      </c>
      <c r="S8596">
        <v>-0.18362429999999999</v>
      </c>
      <c r="T8596">
        <v>-0.1034297</v>
      </c>
      <c r="U8596">
        <v>-3.08609</v>
      </c>
      <c r="V8596">
        <v>0.2314544</v>
      </c>
      <c r="W8596">
        <v>0.16878609999999999</v>
      </c>
      <c r="X8596">
        <v>0.9580919</v>
      </c>
      <c r="Y8596">
        <v>0.3771756</v>
      </c>
      <c r="Z8596">
        <v>1.470105E-2</v>
      </c>
      <c r="AA8596">
        <v>0.92602510000000005</v>
      </c>
      <c r="AB8596">
        <v>20</v>
      </c>
      <c r="AC8596">
        <v>-1.9505000000000301</v>
      </c>
      <c r="AD8596">
        <v>-1.0674889765019999</v>
      </c>
      <c r="AE8596">
        <v>-31.659117999999999</v>
      </c>
      <c r="AF8596">
        <v>12.0165079983681</v>
      </c>
      <c r="AG8596">
        <v>-1.0674889765019999</v>
      </c>
      <c r="AH8596">
        <v>29.316079871178001</v>
      </c>
      <c r="AI8596">
        <v>91.929709377642595</v>
      </c>
      <c r="AJ8596">
        <v>67.711532300202293</v>
      </c>
      <c r="AK8596">
        <v>31.7012387171714</v>
      </c>
      <c r="AL8596">
        <v>80.282752029963603</v>
      </c>
      <c r="AM8596">
        <v>76.418781949115697</v>
      </c>
      <c r="AN8596">
        <v>0.99999998783908906</v>
      </c>
    </row>
    <row r="8597" spans="1:40" x14ac:dyDescent="0.25">
      <c r="A8597" t="str">
        <f>"20190303162119727"</f>
        <v>20190303162119727</v>
      </c>
      <c r="B8597" t="str">
        <f>"1551601279721434"</f>
        <v>1551601279721434</v>
      </c>
      <c r="C8597" t="s">
        <v>40</v>
      </c>
      <c r="D8597">
        <v>4.7745639999999998</v>
      </c>
      <c r="E8597">
        <v>0.56303890000000001</v>
      </c>
      <c r="F8597" t="s">
        <v>41</v>
      </c>
      <c r="G8597">
        <v>-306.41210000000001</v>
      </c>
      <c r="H8597" s="1">
        <v>-3.831544E-6</v>
      </c>
      <c r="I8597">
        <v>-35.096319999999999</v>
      </c>
      <c r="J8597">
        <v>-303.98390000000001</v>
      </c>
      <c r="K8597">
        <v>1.0675889999999999</v>
      </c>
      <c r="L8597">
        <v>1.9447019999999999</v>
      </c>
      <c r="M8597">
        <v>0.31365169999999998</v>
      </c>
      <c r="N8597">
        <v>-1.46947E-2</v>
      </c>
      <c r="O8597">
        <v>-0.94942459999999995</v>
      </c>
      <c r="P8597">
        <v>8.6493760000000003E-2</v>
      </c>
      <c r="Q8597">
        <v>0.1584526</v>
      </c>
      <c r="R8597">
        <v>-0.98357110000000003</v>
      </c>
      <c r="S8597">
        <v>-0.1964417</v>
      </c>
      <c r="T8597">
        <v>-8.8390949999999996E-2</v>
      </c>
      <c r="U8597">
        <v>-3.0832820000000001</v>
      </c>
      <c r="V8597">
        <v>0.2282043</v>
      </c>
      <c r="W8597">
        <v>0.17016999999999999</v>
      </c>
      <c r="X8597">
        <v>0.9586266</v>
      </c>
      <c r="Y8597">
        <v>0.37329570000000001</v>
      </c>
      <c r="Z8597">
        <v>1.057515E-2</v>
      </c>
      <c r="AA8597">
        <v>0.92765209999999998</v>
      </c>
      <c r="AB8597">
        <v>20</v>
      </c>
      <c r="AC8597">
        <v>-2.4281999999999999</v>
      </c>
      <c r="AD8597">
        <v>-1.067592831544</v>
      </c>
      <c r="AE8597">
        <v>-37.041021999999998</v>
      </c>
      <c r="AF8597">
        <v>13.9133646910508</v>
      </c>
      <c r="AG8597">
        <v>-1.067592831544</v>
      </c>
      <c r="AH8597">
        <v>34.381318549906602</v>
      </c>
      <c r="AI8597">
        <v>91.648744415582797</v>
      </c>
      <c r="AJ8597">
        <v>67.9679017400573</v>
      </c>
      <c r="AK8597">
        <v>37.105209023940297</v>
      </c>
      <c r="AL8597">
        <v>80.202296589361197</v>
      </c>
      <c r="AM8597">
        <v>76.609772025516605</v>
      </c>
      <c r="AN8597">
        <v>0.99999999483302504</v>
      </c>
    </row>
    <row r="8598" spans="1:40" x14ac:dyDescent="0.25">
      <c r="A8598" t="str">
        <f>"20190303162119749"</f>
        <v>20190303162119749</v>
      </c>
      <c r="B8598" t="str">
        <f>"1551601279740954"</f>
        <v>1551601279740954</v>
      </c>
      <c r="C8598" t="s">
        <v>40</v>
      </c>
      <c r="D8598">
        <v>4.6897359999999999</v>
      </c>
      <c r="E8598">
        <v>0.58887609999999901</v>
      </c>
      <c r="F8598" t="s">
        <v>62</v>
      </c>
      <c r="G8598">
        <v>-307.69170000000003</v>
      </c>
      <c r="H8598" s="1">
        <v>-4.7301130000000004E-6</v>
      </c>
      <c r="I8598">
        <v>-46.756860000000003</v>
      </c>
      <c r="J8598">
        <v>-303.93209999999999</v>
      </c>
      <c r="K8598">
        <v>1.067672</v>
      </c>
      <c r="L8598">
        <v>1.7578739999999999</v>
      </c>
      <c r="M8598">
        <v>0.3061354</v>
      </c>
      <c r="N8598">
        <v>-1.467663E-2</v>
      </c>
      <c r="O8598">
        <v>-0.95187500000000003</v>
      </c>
      <c r="P8598">
        <v>8.3043329999999999E-2</v>
      </c>
      <c r="Q8598">
        <v>0.15906139999999999</v>
      </c>
      <c r="R8598">
        <v>-0.98377029999999999</v>
      </c>
      <c r="S8598">
        <v>-0.2346191</v>
      </c>
      <c r="T8598">
        <v>-6.7552920000000002E-2</v>
      </c>
      <c r="U8598">
        <v>-3.0816349999999999</v>
      </c>
      <c r="V8598">
        <v>0.22391639999999999</v>
      </c>
      <c r="W8598">
        <v>0.1708645</v>
      </c>
      <c r="X8598">
        <v>0.95951379999999997</v>
      </c>
      <c r="Y8598">
        <v>0.37744840000000002</v>
      </c>
      <c r="Z8598">
        <v>4.6409550000000004E-3</v>
      </c>
      <c r="AA8598">
        <v>0.92601900000000004</v>
      </c>
      <c r="AB8598">
        <v>20</v>
      </c>
      <c r="AC8598">
        <v>-3.75960000000003</v>
      </c>
      <c r="AD8598">
        <v>-1.0676767301129999</v>
      </c>
      <c r="AE8598">
        <v>-48.514733999999997</v>
      </c>
      <c r="AF8598">
        <v>18.423859532490901</v>
      </c>
      <c r="AG8598">
        <v>-1.0676767301129999</v>
      </c>
      <c r="AH8598">
        <v>45.012189297031298</v>
      </c>
      <c r="AI8598">
        <v>91.2575576461998</v>
      </c>
      <c r="AJ8598">
        <v>67.740310673605194</v>
      </c>
      <c r="AK8598">
        <v>48.648491435858098</v>
      </c>
      <c r="AL8598">
        <v>80.161913114990995</v>
      </c>
      <c r="AM8598">
        <v>76.864287484058494</v>
      </c>
      <c r="AN8598">
        <v>0.99999998196982398</v>
      </c>
    </row>
    <row r="8599" spans="1:40" x14ac:dyDescent="0.25">
      <c r="A8599" t="str">
        <f>"20190303162119772"</f>
        <v>20190303162119772</v>
      </c>
      <c r="B8599" t="str">
        <f>"1551601279761451"</f>
        <v>1551601279761451</v>
      </c>
      <c r="C8599" t="s">
        <v>40</v>
      </c>
      <c r="D8599">
        <v>4.8301540000000003</v>
      </c>
      <c r="E8599">
        <v>0.58373280000000005</v>
      </c>
      <c r="F8599" t="s">
        <v>84</v>
      </c>
      <c r="G8599">
        <v>-317.53370000000001</v>
      </c>
      <c r="H8599">
        <v>1.4113039999999999</v>
      </c>
      <c r="I8599">
        <v>-90.976820000000004</v>
      </c>
      <c r="J8599">
        <v>-303.87979999999999</v>
      </c>
      <c r="K8599">
        <v>1.067747</v>
      </c>
      <c r="L8599">
        <v>1.5636289999999999</v>
      </c>
      <c r="M8599">
        <v>0.29840260000000002</v>
      </c>
      <c r="N8599">
        <v>-1.4658279999999999E-2</v>
      </c>
      <c r="O8599">
        <v>-0.95432779999999995</v>
      </c>
      <c r="P8599">
        <v>7.9932939999999994E-2</v>
      </c>
      <c r="Q8599">
        <v>0.158999</v>
      </c>
      <c r="R8599">
        <v>-0.98403810000000003</v>
      </c>
      <c r="S8599">
        <v>-0.45260620000000001</v>
      </c>
      <c r="T8599">
        <v>1.143515E-2</v>
      </c>
      <c r="U8599">
        <v>-3.0858460000000001</v>
      </c>
      <c r="V8599">
        <v>0.2191234</v>
      </c>
      <c r="W8599">
        <v>0.17088699999999901</v>
      </c>
      <c r="X8599">
        <v>0.96061569999999996</v>
      </c>
      <c r="Y8599">
        <v>0.4337221</v>
      </c>
      <c r="Z8599">
        <v>-1.8237710000000001E-2</v>
      </c>
      <c r="AA8599">
        <v>0.9008621</v>
      </c>
      <c r="AB8599">
        <v>20</v>
      </c>
      <c r="AC8599">
        <v>-13.6539</v>
      </c>
      <c r="AD8599">
        <v>0.343557</v>
      </c>
      <c r="AE8599">
        <v>-92.540448999999995</v>
      </c>
      <c r="AF8599">
        <v>40.648415178186603</v>
      </c>
      <c r="AG8599">
        <v>0.343557</v>
      </c>
      <c r="AH8599">
        <v>84.247456767460704</v>
      </c>
      <c r="AI8599">
        <v>89.789565350503395</v>
      </c>
      <c r="AJ8599">
        <v>64.243232913020407</v>
      </c>
      <c r="AK8599">
        <v>93.541678730369497</v>
      </c>
      <c r="AL8599">
        <v>80.160604668792303</v>
      </c>
      <c r="AM8599">
        <v>77.150276291009703</v>
      </c>
      <c r="AN8599">
        <v>0.999999977141524</v>
      </c>
    </row>
    <row r="8600" spans="1:40" x14ac:dyDescent="0.25">
      <c r="A8600" t="str">
        <f>"20190303162119795"</f>
        <v>20190303162119795</v>
      </c>
      <c r="B8600" t="str">
        <f>"1551601279780970"</f>
        <v>1551601279780970</v>
      </c>
      <c r="C8600" t="s">
        <v>40</v>
      </c>
      <c r="D8600">
        <v>4.6566689999999999</v>
      </c>
      <c r="E8600">
        <v>0.58158049999999994</v>
      </c>
      <c r="F8600" t="s">
        <v>84</v>
      </c>
      <c r="G8600">
        <v>-315.12959999999998</v>
      </c>
      <c r="H8600">
        <v>0.81370120000000001</v>
      </c>
      <c r="I8600">
        <v>-80.464519999999993</v>
      </c>
      <c r="J8600">
        <v>-303.82850000000002</v>
      </c>
      <c r="K8600">
        <v>1.0678030000000001</v>
      </c>
      <c r="L8600">
        <v>1.36673</v>
      </c>
      <c r="M8600">
        <v>0.29064269999999998</v>
      </c>
      <c r="N8600">
        <v>-1.4640530000000001E-2</v>
      </c>
      <c r="O8600">
        <v>-0.95671980000000001</v>
      </c>
      <c r="P8600">
        <v>7.7256909999999998E-2</v>
      </c>
      <c r="Q8600">
        <v>0.15904509999999999</v>
      </c>
      <c r="R8600">
        <v>-0.98424400000000001</v>
      </c>
      <c r="S8600">
        <v>-0.42303469999999999</v>
      </c>
      <c r="T8600">
        <v>-9.5525980000000007E-3</v>
      </c>
      <c r="U8600">
        <v>-3.0845639999999999</v>
      </c>
      <c r="V8600">
        <v>0.21389250000000001</v>
      </c>
      <c r="W8600">
        <v>0.17101529999999901</v>
      </c>
      <c r="X8600">
        <v>0.96177120000000005</v>
      </c>
      <c r="Y8600">
        <v>0.41792109999999899</v>
      </c>
      <c r="Z8600">
        <v>-1.2200249999999999E-2</v>
      </c>
      <c r="AA8600">
        <v>0.90840140000000003</v>
      </c>
      <c r="AB8600">
        <v>20</v>
      </c>
      <c r="AC8600">
        <v>-11.3010999999999</v>
      </c>
      <c r="AD8600">
        <v>-0.25410179999999999</v>
      </c>
      <c r="AE8600">
        <v>-81.831249999999997</v>
      </c>
      <c r="AF8600">
        <v>34.599017318837497</v>
      </c>
      <c r="AG8600">
        <v>-0.25410179999999999</v>
      </c>
      <c r="AH8600">
        <v>75.012313687330703</v>
      </c>
      <c r="AI8600">
        <v>90.176242818575901</v>
      </c>
      <c r="AJ8600">
        <v>65.238745862516694</v>
      </c>
      <c r="AK8600">
        <v>82.607528542382198</v>
      </c>
      <c r="AL8600">
        <v>80.153144395258806</v>
      </c>
      <c r="AM8600">
        <v>77.4617934558146</v>
      </c>
      <c r="AN8600">
        <v>1.0000000377698799</v>
      </c>
    </row>
    <row r="8601" spans="1:40" x14ac:dyDescent="0.25">
      <c r="A8601" t="str">
        <f>"20190303162119820"</f>
        <v>20190303162119820</v>
      </c>
      <c r="B8601" t="str">
        <f>"1551601279811227"</f>
        <v>1551601279811227</v>
      </c>
      <c r="C8601" t="s">
        <v>40</v>
      </c>
      <c r="D8601">
        <v>4.7881390000000001</v>
      </c>
      <c r="E8601">
        <v>0.57846109999999995</v>
      </c>
      <c r="F8601" t="s">
        <v>84</v>
      </c>
      <c r="G8601">
        <v>-314.84219999999999</v>
      </c>
      <c r="H8601">
        <v>0.63281009999999904</v>
      </c>
      <c r="I8601">
        <v>-80.464519999999993</v>
      </c>
      <c r="J8601">
        <v>-303.77480000000003</v>
      </c>
      <c r="K8601">
        <v>1.068052</v>
      </c>
      <c r="L8601">
        <v>1.1551209999999901</v>
      </c>
      <c r="M8601">
        <v>0.28183049999999998</v>
      </c>
      <c r="N8601">
        <v>-1.491287E-2</v>
      </c>
      <c r="O8601">
        <v>-0.95934839999999999</v>
      </c>
      <c r="P8601">
        <v>7.3272000000000004E-2</v>
      </c>
      <c r="Q8601">
        <v>0.1586477</v>
      </c>
      <c r="R8601">
        <v>-0.98461290000000001</v>
      </c>
      <c r="S8601">
        <v>-0.41497800000000001</v>
      </c>
      <c r="T8601">
        <v>-1.6389250000000001E-2</v>
      </c>
      <c r="U8601">
        <v>-3.0832519999999999</v>
      </c>
      <c r="V8601">
        <v>0.20887030000000001</v>
      </c>
      <c r="W8601">
        <v>0.17103460000000001</v>
      </c>
      <c r="X8601">
        <v>0.96287089999999997</v>
      </c>
      <c r="Y8601">
        <v>0.40725450000000002</v>
      </c>
      <c r="Z8601">
        <v>-1.046503E-2</v>
      </c>
      <c r="AA8601">
        <v>0.91325480000000003</v>
      </c>
      <c r="AB8601">
        <v>19</v>
      </c>
      <c r="AC8601">
        <v>-11.0673999999999</v>
      </c>
      <c r="AD8601">
        <v>-0.43524190000000001</v>
      </c>
      <c r="AE8601">
        <v>-81.619640999999902</v>
      </c>
      <c r="AF8601">
        <v>33.623193989731199</v>
      </c>
      <c r="AG8601">
        <v>-0.43524190000000001</v>
      </c>
      <c r="AH8601">
        <v>75.1887964427073</v>
      </c>
      <c r="AI8601">
        <v>90.302768292709303</v>
      </c>
      <c r="AJ8601">
        <v>65.906591347443793</v>
      </c>
      <c r="AK8601">
        <v>82.365427942101306</v>
      </c>
      <c r="AL8601">
        <v>80.152021708505799</v>
      </c>
      <c r="AM8601">
        <v>77.760767067681897</v>
      </c>
      <c r="AN8601">
        <v>1.0000000033430201</v>
      </c>
    </row>
    <row r="8602" spans="1:40" x14ac:dyDescent="0.25">
      <c r="A8602" t="str">
        <f>"20190303162119842"</f>
        <v>20190303162119842</v>
      </c>
      <c r="B8602" t="str">
        <f>"1551601279830746"</f>
        <v>1551601279830746</v>
      </c>
      <c r="C8602" t="s">
        <v>40</v>
      </c>
      <c r="D8602">
        <v>4.6663940000000004</v>
      </c>
      <c r="E8602">
        <v>0.57795609999999997</v>
      </c>
      <c r="F8602" t="s">
        <v>44</v>
      </c>
      <c r="G8602">
        <v>-315.08620000000002</v>
      </c>
      <c r="H8602">
        <v>-0.05</v>
      </c>
      <c r="I8602">
        <v>-85.603849999999994</v>
      </c>
      <c r="J8602">
        <v>-303.72730000000001</v>
      </c>
      <c r="K8602">
        <v>1.0683910000000001</v>
      </c>
      <c r="L8602">
        <v>0.96371459999999998</v>
      </c>
      <c r="M8602">
        <v>0.27284649999999999</v>
      </c>
      <c r="N8602">
        <v>-1.539634E-2</v>
      </c>
      <c r="O8602">
        <v>-0.96193439999999997</v>
      </c>
      <c r="P8602">
        <v>7.1343309999999993E-2</v>
      </c>
      <c r="Q8602">
        <v>0.15817629999999999</v>
      </c>
      <c r="R8602">
        <v>-0.98483019999999999</v>
      </c>
      <c r="S8602">
        <v>-0.40197749999999999</v>
      </c>
      <c r="T8602">
        <v>-3.9732690000000001E-2</v>
      </c>
      <c r="U8602">
        <v>-3.0831909999999998</v>
      </c>
      <c r="V8602">
        <v>0.20171700000000001</v>
      </c>
      <c r="W8602">
        <v>0.17116139999999999</v>
      </c>
      <c r="X8602">
        <v>0.96437229999999996</v>
      </c>
      <c r="Y8602">
        <v>0.3948777</v>
      </c>
      <c r="Z8602">
        <v>-4.1017349999999996E-3</v>
      </c>
      <c r="AA8602">
        <v>0.91872450000000005</v>
      </c>
      <c r="AB8602">
        <v>19</v>
      </c>
      <c r="AC8602">
        <v>-11.3589</v>
      </c>
      <c r="AD8602">
        <v>-1.1183909999999999</v>
      </c>
      <c r="AE8602">
        <v>-86.567564599999997</v>
      </c>
      <c r="AF8602">
        <v>34.544599900540902</v>
      </c>
      <c r="AG8602">
        <v>-1.1183909999999999</v>
      </c>
      <c r="AH8602">
        <v>80.169429874535496</v>
      </c>
      <c r="AI8602">
        <v>90.734009611413995</v>
      </c>
      <c r="AJ8602">
        <v>66.689035539673597</v>
      </c>
      <c r="AK8602">
        <v>87.302449376437295</v>
      </c>
      <c r="AL8602">
        <v>80.144647367792302</v>
      </c>
      <c r="AM8602">
        <v>78.185818272555807</v>
      </c>
      <c r="AN8602">
        <v>0.99999995297312305</v>
      </c>
    </row>
    <row r="8603" spans="1:40" x14ac:dyDescent="0.25">
      <c r="A8603" t="str">
        <f>"20190303162119861"</f>
        <v>20190303162119861</v>
      </c>
      <c r="B8603" t="str">
        <f>"1551601279851243"</f>
        <v>1551601279851243</v>
      </c>
      <c r="C8603" t="s">
        <v>40</v>
      </c>
      <c r="D8603">
        <v>4.6309670000000001</v>
      </c>
      <c r="E8603">
        <v>0.57853699999999997</v>
      </c>
      <c r="F8603" t="s">
        <v>62</v>
      </c>
      <c r="G8603">
        <v>-313.71120000000002</v>
      </c>
      <c r="H8603">
        <v>7.9987329999999995E-2</v>
      </c>
      <c r="I8603">
        <v>-75.040599999999998</v>
      </c>
      <c r="J8603">
        <v>-303.68920000000003</v>
      </c>
      <c r="K8603">
        <v>1.068281</v>
      </c>
      <c r="L8603">
        <v>0.8069153</v>
      </c>
      <c r="M8603">
        <v>0.26521709999999998</v>
      </c>
      <c r="N8603">
        <v>-1.556373E-2</v>
      </c>
      <c r="O8603">
        <v>-0.96406329999999996</v>
      </c>
      <c r="P8603">
        <v>7.058093E-2</v>
      </c>
      <c r="Q8603">
        <v>0.15642719999999999</v>
      </c>
      <c r="R8603">
        <v>-0.98516479999999995</v>
      </c>
      <c r="S8603">
        <v>-0.40484619999999999</v>
      </c>
      <c r="T8603">
        <v>-4.0079709999999998E-2</v>
      </c>
      <c r="U8603">
        <v>-3.0819700000000001</v>
      </c>
      <c r="V8603">
        <v>0.1950402</v>
      </c>
      <c r="W8603">
        <v>0.1694572</v>
      </c>
      <c r="X8603">
        <v>0.9660453</v>
      </c>
      <c r="Y8603">
        <v>0.38847739999999997</v>
      </c>
      <c r="Z8603">
        <v>-4.1016170000000001E-3</v>
      </c>
      <c r="AA8603">
        <v>0.92144910000000002</v>
      </c>
      <c r="AB8603">
        <v>19</v>
      </c>
      <c r="AC8603">
        <v>-10.021999999999901</v>
      </c>
      <c r="AD8603">
        <v>-0.98829367000000001</v>
      </c>
      <c r="AE8603">
        <v>-75.847515299999998</v>
      </c>
      <c r="AF8603">
        <v>29.776533149593799</v>
      </c>
      <c r="AG8603">
        <v>-0.98829367000000001</v>
      </c>
      <c r="AH8603">
        <v>70.460564678840299</v>
      </c>
      <c r="AI8603">
        <v>90.7402136205408</v>
      </c>
      <c r="AJ8603">
        <v>67.091150659752302</v>
      </c>
      <c r="AK8603">
        <v>76.5003910163082</v>
      </c>
      <c r="AL8603">
        <v>80.243738696894397</v>
      </c>
      <c r="AM8603">
        <v>78.585678561300796</v>
      </c>
      <c r="AN8603">
        <v>0.99999997194998402</v>
      </c>
    </row>
    <row r="8604" spans="1:40" x14ac:dyDescent="0.25">
      <c r="A8604" t="str">
        <f>"20190303162119884"</f>
        <v>20190303162119884</v>
      </c>
      <c r="B8604" t="str">
        <f>"1551601279870763"</f>
        <v>1551601279870763</v>
      </c>
      <c r="C8604" t="s">
        <v>40</v>
      </c>
      <c r="D8604">
        <v>4.6515680000000001</v>
      </c>
      <c r="E8604">
        <v>0.57812269999999999</v>
      </c>
      <c r="F8604" t="s">
        <v>62</v>
      </c>
      <c r="G8604">
        <v>-313.67309999999998</v>
      </c>
      <c r="H8604">
        <v>7.9987230000000006E-2</v>
      </c>
      <c r="I8604">
        <v>-73.599299999999999</v>
      </c>
      <c r="J8604">
        <v>-303.64449999999999</v>
      </c>
      <c r="K8604">
        <v>1.0677270000000001</v>
      </c>
      <c r="L8604">
        <v>0.6162415</v>
      </c>
      <c r="M8604">
        <v>0.2583435</v>
      </c>
      <c r="N8604">
        <v>-1.5536929999999999E-2</v>
      </c>
      <c r="O8604">
        <v>-0.96592820000000001</v>
      </c>
      <c r="P8604">
        <v>7.1296330000000005E-2</v>
      </c>
      <c r="Q8604">
        <v>0.15462239999999999</v>
      </c>
      <c r="R8604">
        <v>-0.98539810000000005</v>
      </c>
      <c r="S8604">
        <v>-0.41345209999999999</v>
      </c>
      <c r="T8604">
        <v>-4.092705E-2</v>
      </c>
      <c r="U8604">
        <v>-3.081299</v>
      </c>
      <c r="V8604">
        <v>0.18792990000000001</v>
      </c>
      <c r="W8604">
        <v>0.16723629999999901</v>
      </c>
      <c r="X8604">
        <v>0.96784009999999998</v>
      </c>
      <c r="Y8604">
        <v>0.38446590000000003</v>
      </c>
      <c r="Z8604">
        <v>-3.7757189999999999E-3</v>
      </c>
      <c r="AA8604">
        <v>0.92313149999999999</v>
      </c>
      <c r="AB8604">
        <v>19</v>
      </c>
      <c r="AC8604">
        <v>-10.0285999999999</v>
      </c>
      <c r="AD8604">
        <v>-0.98773977000000002</v>
      </c>
      <c r="AE8604">
        <v>-74.2155415</v>
      </c>
      <c r="AF8604">
        <v>28.858473506936999</v>
      </c>
      <c r="AG8604">
        <v>-0.98773977000000002</v>
      </c>
      <c r="AH8604">
        <v>69.092381448826004</v>
      </c>
      <c r="AI8604">
        <v>90.755773065939806</v>
      </c>
      <c r="AJ8604">
        <v>67.330704709471902</v>
      </c>
      <c r="AK8604">
        <v>74.883538226194304</v>
      </c>
      <c r="AL8604">
        <v>80.372830021941496</v>
      </c>
      <c r="AM8604">
        <v>79.011361254822603</v>
      </c>
      <c r="AN8604">
        <v>1.0000000432598499</v>
      </c>
    </row>
    <row r="8605" spans="1:40" x14ac:dyDescent="0.25">
      <c r="A8605" t="str">
        <f>"20190303162119906"</f>
        <v>20190303162119906</v>
      </c>
      <c r="B8605" t="str">
        <f>"1551601279901019"</f>
        <v>1551601279901019</v>
      </c>
      <c r="C8605" t="s">
        <v>40</v>
      </c>
      <c r="D8605">
        <v>4.593782</v>
      </c>
      <c r="E8605">
        <v>0.57839099999999999</v>
      </c>
      <c r="F8605" t="s">
        <v>62</v>
      </c>
      <c r="G8605">
        <v>-312.4425</v>
      </c>
      <c r="H8605">
        <v>7.9987760000000005E-2</v>
      </c>
      <c r="I8605">
        <v>-65.402690000000007</v>
      </c>
      <c r="J8605">
        <v>-303.60419999999999</v>
      </c>
      <c r="K8605">
        <v>1.0675349999999999</v>
      </c>
      <c r="L8605">
        <v>0.43316650000000001</v>
      </c>
      <c r="M8605">
        <v>0.25492290000000001</v>
      </c>
      <c r="N8605">
        <v>-1.4984819999999999E-2</v>
      </c>
      <c r="O8605">
        <v>-0.96684539999999997</v>
      </c>
      <c r="P8605">
        <v>7.7373670000000005E-2</v>
      </c>
      <c r="Q8605">
        <v>0.1545591</v>
      </c>
      <c r="R8605">
        <v>-0.98494919999999997</v>
      </c>
      <c r="S8605">
        <v>-0.41064450000000002</v>
      </c>
      <c r="T8605">
        <v>-4.6102520000000001E-2</v>
      </c>
      <c r="U8605">
        <v>-3.0814210000000002</v>
      </c>
      <c r="V8605">
        <v>0.17887320000000001</v>
      </c>
      <c r="W8605">
        <v>0.166382</v>
      </c>
      <c r="X8605">
        <v>0.9697017</v>
      </c>
      <c r="Y8605">
        <v>0.3803627</v>
      </c>
      <c r="Z8605">
        <v>-1.6529170000000001E-3</v>
      </c>
      <c r="AA8605">
        <v>0.92483590000000004</v>
      </c>
      <c r="AB8605">
        <v>19</v>
      </c>
      <c r="AC8605">
        <v>-8.8383000000000003</v>
      </c>
      <c r="AD8605">
        <v>-0.98754724000000005</v>
      </c>
      <c r="AE8605">
        <v>-65.835856499999906</v>
      </c>
      <c r="AF8605">
        <v>25.3255805711193</v>
      </c>
      <c r="AG8605">
        <v>-0.98754724000000005</v>
      </c>
      <c r="AH8605">
        <v>61.393327520774697</v>
      </c>
      <c r="AI8605">
        <v>90.851928851891003</v>
      </c>
      <c r="AJ8605">
        <v>67.583188190051501</v>
      </c>
      <c r="AK8605">
        <v>66.419130865200202</v>
      </c>
      <c r="AL8605">
        <v>80.422472826716501</v>
      </c>
      <c r="AM8605">
        <v>79.548584915398806</v>
      </c>
      <c r="AN8605">
        <v>0.99999998929256495</v>
      </c>
    </row>
    <row r="8606" spans="1:40" x14ac:dyDescent="0.25">
      <c r="A8606" t="str">
        <f>"20190303162119928"</f>
        <v>20190303162119928</v>
      </c>
      <c r="B8606" t="str">
        <f>"1551601279921514"</f>
        <v>1551601279921514</v>
      </c>
      <c r="C8606" t="s">
        <v>40</v>
      </c>
      <c r="D8606">
        <v>4.6300610000000004</v>
      </c>
      <c r="E8606">
        <v>0.57829629999999999</v>
      </c>
      <c r="F8606" t="s">
        <v>62</v>
      </c>
      <c r="G8606">
        <v>-313.04329999999999</v>
      </c>
      <c r="H8606">
        <v>7.9987199999999994E-2</v>
      </c>
      <c r="I8606">
        <v>-73.256010000000003</v>
      </c>
      <c r="J8606">
        <v>-303.56569999999999</v>
      </c>
      <c r="K8606">
        <v>1.068516</v>
      </c>
      <c r="L8606">
        <v>0.25018309999999999</v>
      </c>
      <c r="M8606">
        <v>0.2519034</v>
      </c>
      <c r="N8606">
        <v>-1.373594E-2</v>
      </c>
      <c r="O8606">
        <v>-0.96765489999999998</v>
      </c>
      <c r="P8606">
        <v>8.4471989999999997E-2</v>
      </c>
      <c r="Q8606">
        <v>0.15548779999999901</v>
      </c>
      <c r="R8606">
        <v>-0.98421979999999998</v>
      </c>
      <c r="S8606">
        <v>-0.39495849999999999</v>
      </c>
      <c r="T8606">
        <v>-4.132152E-2</v>
      </c>
      <c r="U8606">
        <v>-3.0833439999999999</v>
      </c>
      <c r="V8606">
        <v>0.16877200000000001</v>
      </c>
      <c r="W8606">
        <v>0.16628180000000001</v>
      </c>
      <c r="X8606">
        <v>0.9715279</v>
      </c>
      <c r="Y8606">
        <v>0.37277349999999998</v>
      </c>
      <c r="Z8606">
        <v>-1.746428E-3</v>
      </c>
      <c r="AA8606">
        <v>0.92792079999999999</v>
      </c>
      <c r="AB8606">
        <v>19</v>
      </c>
      <c r="AC8606">
        <v>-9.47759999999999</v>
      </c>
      <c r="AD8606">
        <v>-0.98852879999999999</v>
      </c>
      <c r="AE8606">
        <v>-73.506193100000004</v>
      </c>
      <c r="AF8606">
        <v>27.6851932046713</v>
      </c>
      <c r="AG8606">
        <v>-0.98852879999999999</v>
      </c>
      <c r="AH8606">
        <v>68.735446067170898</v>
      </c>
      <c r="AI8606">
        <v>90.764291856552802</v>
      </c>
      <c r="AJ8606">
        <v>68.061460015480407</v>
      </c>
      <c r="AK8606">
        <v>74.108087669439698</v>
      </c>
      <c r="AL8606">
        <v>80.428295483694598</v>
      </c>
      <c r="AM8606">
        <v>80.145033847712298</v>
      </c>
      <c r="AN8606">
        <v>1.0000000427368201</v>
      </c>
    </row>
    <row r="8607" spans="1:40" x14ac:dyDescent="0.25">
      <c r="A8607" t="str">
        <f>"20190303162119950"</f>
        <v>20190303162119950</v>
      </c>
      <c r="B8607" t="str">
        <f>"1551601279941035"</f>
        <v>1551601279941035</v>
      </c>
      <c r="C8607" t="s">
        <v>40</v>
      </c>
      <c r="D8607">
        <v>5.881869</v>
      </c>
      <c r="E8607">
        <v>0.57734890000000005</v>
      </c>
      <c r="F8607" t="s">
        <v>84</v>
      </c>
      <c r="G8607">
        <v>-313.25740000000002</v>
      </c>
      <c r="H8607">
        <v>5.9638499999999997E-2</v>
      </c>
      <c r="I8607">
        <v>-80.464519999999993</v>
      </c>
      <c r="J8607">
        <v>-303.52640000000002</v>
      </c>
      <c r="K8607">
        <v>1.070627</v>
      </c>
      <c r="L8607">
        <v>6.14624E-2</v>
      </c>
      <c r="M8607">
        <v>0.24615390000000001</v>
      </c>
      <c r="N8607">
        <v>-1.1775580000000001E-2</v>
      </c>
      <c r="O8607">
        <v>-0.9691594</v>
      </c>
      <c r="P8607">
        <v>8.8075849999999997E-2</v>
      </c>
      <c r="Q8607">
        <v>0.1550076</v>
      </c>
      <c r="R8607">
        <v>-0.98397959999999995</v>
      </c>
      <c r="S8607">
        <v>-0.3705444</v>
      </c>
      <c r="T8607">
        <v>-3.8572309999999999E-2</v>
      </c>
      <c r="U8607">
        <v>-3.0859990000000002</v>
      </c>
      <c r="V8607">
        <v>0.15900639999999999</v>
      </c>
      <c r="W8607">
        <v>0.16443559999999999</v>
      </c>
      <c r="X8607">
        <v>0.97348749999999995</v>
      </c>
      <c r="Y8607">
        <v>0.35991119999999999</v>
      </c>
      <c r="Z8607">
        <v>-4.9447330000000004E-4</v>
      </c>
      <c r="AA8607">
        <v>0.93298639999999999</v>
      </c>
      <c r="AB8607">
        <v>19</v>
      </c>
      <c r="AC8607">
        <v>-9.7309999999999892</v>
      </c>
      <c r="AD8607">
        <v>-1.0109885000000001</v>
      </c>
      <c r="AE8607">
        <v>-80.525982399999904</v>
      </c>
      <c r="AF8607">
        <v>29.250153843900499</v>
      </c>
      <c r="AG8607">
        <v>-1.0109885000000001</v>
      </c>
      <c r="AH8607">
        <v>75.640670167332601</v>
      </c>
      <c r="AI8607">
        <v>90.714216219154494</v>
      </c>
      <c r="AJ8607">
        <v>68.858575241795407</v>
      </c>
      <c r="AK8607">
        <v>81.105515108420207</v>
      </c>
      <c r="AL8607">
        <v>80.535551165610201</v>
      </c>
      <c r="AM8607">
        <v>80.723404489161894</v>
      </c>
      <c r="AN8607">
        <v>1.0000000072222801</v>
      </c>
    </row>
    <row r="8608" spans="1:40" x14ac:dyDescent="0.25">
      <c r="A8608" t="str">
        <f>"20190303162119973"</f>
        <v>20190303162119973</v>
      </c>
      <c r="B8608" t="str">
        <f>"1551601279961530"</f>
        <v>1551601279961530</v>
      </c>
      <c r="C8608" t="s">
        <v>40</v>
      </c>
      <c r="D8608">
        <v>4.6977370000000001</v>
      </c>
      <c r="E8608">
        <v>0.51560870000000003</v>
      </c>
      <c r="F8608" t="s">
        <v>62</v>
      </c>
      <c r="G8608">
        <v>-309.95780000000002</v>
      </c>
      <c r="H8608">
        <v>3.1933360000000001E-2</v>
      </c>
      <c r="I8608">
        <v>-56.833260000000003</v>
      </c>
      <c r="J8608">
        <v>-303.4871</v>
      </c>
      <c r="K8608">
        <v>1.0730309999999901</v>
      </c>
      <c r="L8608">
        <v>-0.1272278</v>
      </c>
      <c r="M8608">
        <v>0.23835319999999999</v>
      </c>
      <c r="N8608">
        <v>-9.7713920000000003E-3</v>
      </c>
      <c r="O8608">
        <v>-0.97112949999999998</v>
      </c>
      <c r="P8608">
        <v>8.8663899999999907E-2</v>
      </c>
      <c r="Q8608">
        <v>0.1548331</v>
      </c>
      <c r="R8608">
        <v>-0.9839542</v>
      </c>
      <c r="S8608">
        <v>-0.3491821</v>
      </c>
      <c r="T8608">
        <v>-5.6393859999999997E-2</v>
      </c>
      <c r="U8608">
        <v>-3.0889890000000002</v>
      </c>
      <c r="V8608">
        <v>0.1501237</v>
      </c>
      <c r="W8608">
        <v>0.16282579999999999</v>
      </c>
      <c r="X8608">
        <v>0.97516700000000001</v>
      </c>
      <c r="Y8608">
        <v>0.34589259999999999</v>
      </c>
      <c r="Z8608">
        <v>6.9389990000000004E-3</v>
      </c>
      <c r="AA8608">
        <v>0.93824850000000004</v>
      </c>
      <c r="AB8608">
        <v>19</v>
      </c>
      <c r="AC8608">
        <v>-6.4707000000000203</v>
      </c>
      <c r="AD8608">
        <v>-1.0410976399999901</v>
      </c>
      <c r="AE8608">
        <v>-56.706032200000003</v>
      </c>
      <c r="AF8608">
        <v>19.7943085204803</v>
      </c>
      <c r="AG8608">
        <v>-1.0410976399999901</v>
      </c>
      <c r="AH8608">
        <v>53.511332532828703</v>
      </c>
      <c r="AI8608">
        <v>91.045374498202705</v>
      </c>
      <c r="AJ8608">
        <v>69.700126621205996</v>
      </c>
      <c r="AK8608">
        <v>57.064535777827402</v>
      </c>
      <c r="AL8608">
        <v>80.629046218999804</v>
      </c>
      <c r="AM8608">
        <v>81.2482125391046</v>
      </c>
      <c r="AN8608">
        <v>1.00000002216816</v>
      </c>
    </row>
    <row r="8609" spans="1:40" x14ac:dyDescent="0.25">
      <c r="A8609" t="str">
        <f>"20190303162119999"</f>
        <v>20190303162119999</v>
      </c>
      <c r="B8609" t="str">
        <f>"1551601279990812"</f>
        <v>1551601279990812</v>
      </c>
      <c r="C8609" t="s">
        <v>40</v>
      </c>
      <c r="D8609">
        <v>4.6243749999999997</v>
      </c>
      <c r="E8609">
        <v>0.51580689999999996</v>
      </c>
      <c r="F8609" t="s">
        <v>62</v>
      </c>
      <c r="G8609">
        <v>-300.70030000000003</v>
      </c>
      <c r="H8609" s="1">
        <v>-9.1230969999999992E-6</v>
      </c>
      <c r="I8609">
        <v>-58.622689999999999</v>
      </c>
      <c r="J8609">
        <v>-303.44200000000001</v>
      </c>
      <c r="K8609">
        <v>1.0755749999999999</v>
      </c>
      <c r="L8609">
        <v>-0.34674070000000001</v>
      </c>
      <c r="M8609">
        <v>0.22864200000000001</v>
      </c>
      <c r="N8609">
        <v>-7.6960149999999996E-3</v>
      </c>
      <c r="O8609">
        <v>-0.97348029999999997</v>
      </c>
      <c r="P8609">
        <v>8.5913429999999999E-2</v>
      </c>
      <c r="Q8609">
        <v>0.15501899999999999</v>
      </c>
      <c r="R8609">
        <v>-0.98416899999999996</v>
      </c>
      <c r="S8609">
        <v>0.14505000000000001</v>
      </c>
      <c r="T8609">
        <v>-5.5850980000000001E-2</v>
      </c>
      <c r="U8609">
        <v>-3.0446469999999999</v>
      </c>
      <c r="V8609">
        <v>0.14276179999999999</v>
      </c>
      <c r="W8609">
        <v>0.16133710000000001</v>
      </c>
      <c r="X8609">
        <v>0.97651900000000003</v>
      </c>
      <c r="Y8609">
        <v>0.18204690000000001</v>
      </c>
      <c r="Z8609">
        <v>9.7974340000000007E-3</v>
      </c>
      <c r="AA8609">
        <v>0.98324100000000003</v>
      </c>
      <c r="AB8609">
        <v>19</v>
      </c>
      <c r="AC8609">
        <v>2.7416999999999798</v>
      </c>
      <c r="AD8609">
        <v>-1.075584123097</v>
      </c>
      <c r="AE8609">
        <v>-58.275949300000001</v>
      </c>
      <c r="AF8609">
        <v>10.652032080536999</v>
      </c>
      <c r="AG8609">
        <v>-1.075584123097</v>
      </c>
      <c r="AH8609">
        <v>57.339557157196801</v>
      </c>
      <c r="AI8609">
        <v>91.056564255696003</v>
      </c>
      <c r="AJ8609">
        <v>79.476069536265001</v>
      </c>
      <c r="AK8609">
        <v>58.330502171969101</v>
      </c>
      <c r="AL8609">
        <v>80.715484957290698</v>
      </c>
      <c r="AM8609">
        <v>81.682588332404293</v>
      </c>
      <c r="AN8609">
        <v>0.999999974368324</v>
      </c>
    </row>
    <row r="8610" spans="1:40" x14ac:dyDescent="0.25">
      <c r="A8610" t="str">
        <f>"20190303162120021"</f>
        <v>20190303162120021</v>
      </c>
      <c r="B8610" t="str">
        <f>"1551601280011306"</f>
        <v>1551601280011306</v>
      </c>
      <c r="C8610" t="s">
        <v>40</v>
      </c>
      <c r="D8610">
        <v>4.6437629999999999</v>
      </c>
      <c r="E8610">
        <v>0.51717389999999996</v>
      </c>
      <c r="F8610" t="s">
        <v>62</v>
      </c>
      <c r="G8610">
        <v>-300.3426</v>
      </c>
      <c r="H8610" s="1">
        <v>-1.0232359999999999E-5</v>
      </c>
      <c r="I8610">
        <v>-69.011200000000002</v>
      </c>
      <c r="J8610">
        <v>-303.40539999999999</v>
      </c>
      <c r="K8610">
        <v>1.077291</v>
      </c>
      <c r="L8610">
        <v>-0.52963260000000001</v>
      </c>
      <c r="M8610">
        <v>0.22147929999999999</v>
      </c>
      <c r="N8610">
        <v>-6.1287729999999997E-3</v>
      </c>
      <c r="O8610">
        <v>-0.97514579999999995</v>
      </c>
      <c r="P8610">
        <v>8.4228529999999996E-2</v>
      </c>
      <c r="Q8610">
        <v>0.15517300000000001</v>
      </c>
      <c r="R8610">
        <v>-0.9842902</v>
      </c>
      <c r="S8610">
        <v>0.13739009999999999</v>
      </c>
      <c r="T8610">
        <v>-4.7679069999999997E-2</v>
      </c>
      <c r="U8610">
        <v>-3.043793</v>
      </c>
      <c r="V8610">
        <v>0.13715939999999999</v>
      </c>
      <c r="W8610">
        <v>0.16006919999999999</v>
      </c>
      <c r="X8610">
        <v>0.97753009999999996</v>
      </c>
      <c r="Y8610">
        <v>0.17727579999999901</v>
      </c>
      <c r="Z8610">
        <v>8.8509299999999999E-3</v>
      </c>
      <c r="AA8610">
        <v>0.98412140000000004</v>
      </c>
      <c r="AB8610">
        <v>19</v>
      </c>
      <c r="AC8610">
        <v>3.0627999999999802</v>
      </c>
      <c r="AD8610">
        <v>-1.07730123236</v>
      </c>
      <c r="AE8610">
        <v>-68.481567400000003</v>
      </c>
      <c r="AF8610">
        <v>12.177794332118699</v>
      </c>
      <c r="AG8610">
        <v>-1.07730123236</v>
      </c>
      <c r="AH8610">
        <v>67.442470642356099</v>
      </c>
      <c r="AI8610">
        <v>90.900582818499203</v>
      </c>
      <c r="AJ8610">
        <v>79.764636484064297</v>
      </c>
      <c r="AK8610">
        <v>68.5415647551592</v>
      </c>
      <c r="AL8610">
        <v>80.789086891992099</v>
      </c>
      <c r="AM8610">
        <v>82.012846412601505</v>
      </c>
      <c r="AN8610">
        <v>0.99999997310150401</v>
      </c>
    </row>
    <row r="8611" spans="1:40" x14ac:dyDescent="0.25">
      <c r="A8611" t="str">
        <f>"20190303162120041"</f>
        <v>20190303162120041</v>
      </c>
      <c r="B8611" t="str">
        <f>"1551601280030826"</f>
        <v>1551601280030826</v>
      </c>
      <c r="C8611" t="s">
        <v>40</v>
      </c>
      <c r="D8611">
        <v>4.6499610000000002</v>
      </c>
      <c r="E8611">
        <v>0.51877309999999999</v>
      </c>
      <c r="F8611" t="s">
        <v>62</v>
      </c>
      <c r="G8611">
        <v>-300.608</v>
      </c>
      <c r="H8611">
        <v>5.1748860000000001E-2</v>
      </c>
      <c r="I8611">
        <v>-70.385459999999995</v>
      </c>
      <c r="J8611">
        <v>-303.37259999999998</v>
      </c>
      <c r="K8611">
        <v>1.0786549999999999</v>
      </c>
      <c r="L8611">
        <v>-0.70016480000000003</v>
      </c>
      <c r="M8611">
        <v>0.21594820000000001</v>
      </c>
      <c r="N8611">
        <v>-4.7371280000000002E-3</v>
      </c>
      <c r="O8611">
        <v>-0.97639350000000003</v>
      </c>
      <c r="P8611">
        <v>8.3202680000000001E-2</v>
      </c>
      <c r="Q8611">
        <v>0.1533331</v>
      </c>
      <c r="R8611">
        <v>-0.98466560000000003</v>
      </c>
      <c r="S8611">
        <v>0.1219177</v>
      </c>
      <c r="T8611">
        <v>-4.4695730000000003E-2</v>
      </c>
      <c r="U8611">
        <v>-3.044495</v>
      </c>
      <c r="V8611">
        <v>0.13267979999999999</v>
      </c>
      <c r="W8611">
        <v>0.15689729999999999</v>
      </c>
      <c r="X8611">
        <v>0.97866200000000003</v>
      </c>
      <c r="Y8611">
        <v>0.1767019</v>
      </c>
      <c r="Z8611">
        <v>9.3232569999999997E-3</v>
      </c>
      <c r="AA8611">
        <v>0.98422030000000005</v>
      </c>
      <c r="AB8611">
        <v>19</v>
      </c>
      <c r="AC8611">
        <v>2.76459999999997</v>
      </c>
      <c r="AD8611">
        <v>-1.0269061399999999</v>
      </c>
      <c r="AE8611">
        <v>-69.685295199999999</v>
      </c>
      <c r="AF8611">
        <v>12.346536147575801</v>
      </c>
      <c r="AG8611">
        <v>-1.0269061399999999</v>
      </c>
      <c r="AH8611">
        <v>68.623159638109399</v>
      </c>
      <c r="AI8611">
        <v>90.843788282033202</v>
      </c>
      <c r="AJ8611">
        <v>79.800581589668099</v>
      </c>
      <c r="AK8611">
        <v>69.732557172250694</v>
      </c>
      <c r="AL8611">
        <v>80.973149967018799</v>
      </c>
      <c r="AM8611">
        <v>82.279331564454907</v>
      </c>
      <c r="AN8611">
        <v>1.0000000011596599</v>
      </c>
    </row>
    <row r="8612" spans="1:40" x14ac:dyDescent="0.25">
      <c r="A8612" t="str">
        <f>"20190303162120063"</f>
        <v>20190303162120063</v>
      </c>
      <c r="B8612" t="str">
        <f>"1551601280051323"</f>
        <v>1551601280051323</v>
      </c>
      <c r="C8612" t="s">
        <v>40</v>
      </c>
      <c r="D8612">
        <v>4.652374</v>
      </c>
      <c r="E8612">
        <v>0.52008659999999995</v>
      </c>
      <c r="F8612" t="s">
        <v>62</v>
      </c>
      <c r="G8612">
        <v>-301.20339999999999</v>
      </c>
      <c r="H8612" s="1">
        <v>-1.056396E-5</v>
      </c>
      <c r="I8612">
        <v>-62.558570000000003</v>
      </c>
      <c r="J8612">
        <v>-303.33859999999999</v>
      </c>
      <c r="K8612">
        <v>1.080076</v>
      </c>
      <c r="L8612">
        <v>-0.88278199999999996</v>
      </c>
      <c r="M8612">
        <v>0.21089350000000001</v>
      </c>
      <c r="N8612">
        <v>-3.3135579999999999E-3</v>
      </c>
      <c r="O8612">
        <v>-0.97750349999999997</v>
      </c>
      <c r="P8612">
        <v>8.1974720000000001E-2</v>
      </c>
      <c r="Q8612">
        <v>0.1514086</v>
      </c>
      <c r="R8612">
        <v>-0.98506660000000001</v>
      </c>
      <c r="S8612">
        <v>0.1068115</v>
      </c>
      <c r="T8612">
        <v>-5.3114410000000001E-2</v>
      </c>
      <c r="U8612">
        <v>-3.0459589999999999</v>
      </c>
      <c r="V8612">
        <v>0.12887219999999999</v>
      </c>
      <c r="W8612">
        <v>0.15360889999999999</v>
      </c>
      <c r="X8612">
        <v>0.97969189999999995</v>
      </c>
      <c r="Y8612">
        <v>0.176505</v>
      </c>
      <c r="Z8612">
        <v>1.340479E-2</v>
      </c>
      <c r="AA8612">
        <v>0.98420850000000004</v>
      </c>
      <c r="AB8612">
        <v>19</v>
      </c>
      <c r="AC8612">
        <v>2.13519999999999</v>
      </c>
      <c r="AD8612">
        <v>-1.0800865639599999</v>
      </c>
      <c r="AE8612">
        <v>-61.675787999999997</v>
      </c>
      <c r="AF8612">
        <v>10.9165726006817</v>
      </c>
      <c r="AG8612">
        <v>-1.0800865639599999</v>
      </c>
      <c r="AH8612">
        <v>60.7203281013322</v>
      </c>
      <c r="AI8612">
        <v>91.002986375389199</v>
      </c>
      <c r="AJ8612">
        <v>79.807987593638202</v>
      </c>
      <c r="AK8612">
        <v>61.703293178444198</v>
      </c>
      <c r="AL8612">
        <v>81.163873881940503</v>
      </c>
      <c r="AM8612">
        <v>82.506133124313806</v>
      </c>
      <c r="AN8612">
        <v>0.99999997850882905</v>
      </c>
    </row>
    <row r="8613" spans="1:40" x14ac:dyDescent="0.25">
      <c r="A8613" t="str">
        <f>"20190303162120085"</f>
        <v>20190303162120085</v>
      </c>
      <c r="B8613" t="str">
        <f>"1551601280070843"</f>
        <v>1551601280070843</v>
      </c>
      <c r="C8613" t="s">
        <v>40</v>
      </c>
      <c r="D8613">
        <v>4.6675899999999997</v>
      </c>
      <c r="E8613">
        <v>0.52119609999999905</v>
      </c>
      <c r="F8613" t="s">
        <v>62</v>
      </c>
      <c r="G8613">
        <v>-301.59309999999999</v>
      </c>
      <c r="H8613" s="1">
        <v>-8.7686049999999997E-6</v>
      </c>
      <c r="I8613">
        <v>-57.625129999999999</v>
      </c>
      <c r="J8613">
        <v>-303.30549999999999</v>
      </c>
      <c r="K8613">
        <v>1.0815790000000001</v>
      </c>
      <c r="L8613">
        <v>-1.0661320000000001</v>
      </c>
      <c r="M8613">
        <v>0.2062744</v>
      </c>
      <c r="N8613">
        <v>-2.0037789999999998E-3</v>
      </c>
      <c r="O8613">
        <v>-0.97849229999999998</v>
      </c>
      <c r="P8613">
        <v>8.0587560000000003E-2</v>
      </c>
      <c r="Q8613">
        <v>0.1501342</v>
      </c>
      <c r="R8613">
        <v>-0.98537629999999998</v>
      </c>
      <c r="S8613">
        <v>9.3719479999999994E-2</v>
      </c>
      <c r="T8613">
        <v>-5.799174E-2</v>
      </c>
      <c r="U8613">
        <v>-3.0466000000000002</v>
      </c>
      <c r="V8613">
        <v>0.12558359999999999</v>
      </c>
      <c r="W8613">
        <v>0.15112619999999999</v>
      </c>
      <c r="X8613">
        <v>0.98050479999999995</v>
      </c>
      <c r="Y8613">
        <v>0.1760912</v>
      </c>
      <c r="Z8613">
        <v>1.6268169999999998E-2</v>
      </c>
      <c r="AA8613">
        <v>0.98423939999999999</v>
      </c>
      <c r="AB8613">
        <v>19</v>
      </c>
      <c r="AC8613">
        <v>1.7123999999999999</v>
      </c>
      <c r="AD8613">
        <v>-1.0815877686049999</v>
      </c>
      <c r="AE8613">
        <v>-56.558997999999903</v>
      </c>
      <c r="AF8613">
        <v>9.9874725667864492</v>
      </c>
      <c r="AG8613">
        <v>-1.0815877686049999</v>
      </c>
      <c r="AH8613">
        <v>55.675529433118697</v>
      </c>
      <c r="AI8613">
        <v>91.095442176355107</v>
      </c>
      <c r="AJ8613">
        <v>79.830043624056103</v>
      </c>
      <c r="AK8613">
        <v>56.574588094228098</v>
      </c>
      <c r="AL8613">
        <v>81.307803011397894</v>
      </c>
      <c r="AM8613">
        <v>82.701262617205401</v>
      </c>
      <c r="AN8613">
        <v>1.0000000158692099</v>
      </c>
    </row>
    <row r="8614" spans="1:40" x14ac:dyDescent="0.25">
      <c r="A8614" t="str">
        <f>"20190303162120108"</f>
        <v>20190303162120108</v>
      </c>
      <c r="B8614" t="str">
        <f>"1551601280101098"</f>
        <v>1551601280101098</v>
      </c>
      <c r="C8614" t="s">
        <v>40</v>
      </c>
      <c r="D8614">
        <v>4.7078829999999998</v>
      </c>
      <c r="E8614">
        <v>0.52259179999999905</v>
      </c>
      <c r="F8614" t="s">
        <v>62</v>
      </c>
      <c r="G8614">
        <v>-301.87360000000001</v>
      </c>
      <c r="H8614" s="1">
        <v>-7.9998260000000003E-6</v>
      </c>
      <c r="I8614">
        <v>-55.697659999999999</v>
      </c>
      <c r="J8614">
        <v>-303.27100000000002</v>
      </c>
      <c r="K8614">
        <v>1.083283</v>
      </c>
      <c r="L8614">
        <v>-1.2600709999999999</v>
      </c>
      <c r="M8614">
        <v>0.20163890000000001</v>
      </c>
      <c r="N8614">
        <v>-8.1626240000000003E-4</v>
      </c>
      <c r="O8614">
        <v>-0.97945959999999999</v>
      </c>
      <c r="P8614">
        <v>7.9530149999999994E-2</v>
      </c>
      <c r="Q8614">
        <v>0.14954419999999999</v>
      </c>
      <c r="R8614">
        <v>-0.98555139999999997</v>
      </c>
      <c r="S8614">
        <v>7.9864500000000005E-2</v>
      </c>
      <c r="T8614">
        <v>-6.0327649999999997E-2</v>
      </c>
      <c r="U8614">
        <v>-3.04718</v>
      </c>
      <c r="V8614">
        <v>0.12186039999999999</v>
      </c>
      <c r="W8614">
        <v>0.14951020000000001</v>
      </c>
      <c r="X8614">
        <v>0.98122200000000004</v>
      </c>
      <c r="Y8614">
        <v>0.17591019999999999</v>
      </c>
      <c r="Z8614">
        <v>1.8213179999999999E-2</v>
      </c>
      <c r="AA8614">
        <v>0.98423769999999999</v>
      </c>
      <c r="AB8614">
        <v>19</v>
      </c>
      <c r="AC8614">
        <v>1.39739999999994</v>
      </c>
      <c r="AD8614">
        <v>-1.0832909998260001</v>
      </c>
      <c r="AE8614">
        <v>-54.437589000000003</v>
      </c>
      <c r="AF8614">
        <v>9.6042410713151103</v>
      </c>
      <c r="AG8614">
        <v>-1.0832909998260001</v>
      </c>
      <c r="AH8614">
        <v>53.580003079843102</v>
      </c>
      <c r="AI8614">
        <v>91.140093196022406</v>
      </c>
      <c r="AJ8614">
        <v>79.837628516556194</v>
      </c>
      <c r="AK8614">
        <v>54.444758204828503</v>
      </c>
      <c r="AL8614">
        <v>81.401456430360298</v>
      </c>
      <c r="AM8614">
        <v>82.9205434825314</v>
      </c>
      <c r="AN8614">
        <v>0.99999993513809704</v>
      </c>
    </row>
    <row r="8615" spans="1:40" x14ac:dyDescent="0.25">
      <c r="A8615" t="str">
        <f>"20190303162120131"</f>
        <v>20190303162120131</v>
      </c>
      <c r="B8615" t="str">
        <f>"1551601280121594"</f>
        <v>1551601280121594</v>
      </c>
      <c r="C8615" t="s">
        <v>40</v>
      </c>
      <c r="D8615">
        <v>4.7113490000000002</v>
      </c>
      <c r="E8615">
        <v>0.52329720000000002</v>
      </c>
      <c r="F8615" t="s">
        <v>62</v>
      </c>
      <c r="G8615">
        <v>-302.02980000000002</v>
      </c>
      <c r="H8615" s="1">
        <v>-9.654013E-6</v>
      </c>
      <c r="I8615">
        <v>-59.639560000000003</v>
      </c>
      <c r="J8615">
        <v>-303.2373</v>
      </c>
      <c r="K8615">
        <v>1.0849869999999999</v>
      </c>
      <c r="L8615">
        <v>-1.4515990000000001</v>
      </c>
      <c r="M8615">
        <v>0.19712440000000001</v>
      </c>
      <c r="N8615" s="1">
        <v>9.7431589999999997E-5</v>
      </c>
      <c r="O8615">
        <v>-0.98037859999999999</v>
      </c>
      <c r="P8615">
        <v>7.8405030000000001E-2</v>
      </c>
      <c r="Q8615">
        <v>0.1499249</v>
      </c>
      <c r="R8615">
        <v>-0.98558380000000001</v>
      </c>
      <c r="S8615">
        <v>6.4788819999999997E-2</v>
      </c>
      <c r="T8615">
        <v>-5.6546449999999998E-2</v>
      </c>
      <c r="U8615">
        <v>-3.0473330000000001</v>
      </c>
      <c r="V8615">
        <v>0.1182733</v>
      </c>
      <c r="W8615">
        <v>0.149153799999999</v>
      </c>
      <c r="X8615">
        <v>0.98171509999999995</v>
      </c>
      <c r="Y8615">
        <v>0.17624419999999999</v>
      </c>
      <c r="Z8615">
        <v>1.79572E-2</v>
      </c>
      <c r="AA8615">
        <v>0.98418269999999997</v>
      </c>
      <c r="AB8615">
        <v>19</v>
      </c>
      <c r="AC8615">
        <v>1.20749999999998</v>
      </c>
      <c r="AD8615">
        <v>-1.0849966540130001</v>
      </c>
      <c r="AE8615">
        <v>-58.187961000000001</v>
      </c>
      <c r="AF8615">
        <v>10.2828848616196</v>
      </c>
      <c r="AG8615">
        <v>-1.0849966540130001</v>
      </c>
      <c r="AH8615">
        <v>57.264351317817699</v>
      </c>
      <c r="AI8615">
        <v>91.068378084098498</v>
      </c>
      <c r="AJ8615">
        <v>79.819964468611701</v>
      </c>
      <c r="AK8615">
        <v>58.190384692550303</v>
      </c>
      <c r="AL8615">
        <v>81.422108632245497</v>
      </c>
      <c r="AM8615">
        <v>83.130331442232304</v>
      </c>
      <c r="AN8615">
        <v>0.99999998355766895</v>
      </c>
    </row>
    <row r="8616" spans="1:40" x14ac:dyDescent="0.25">
      <c r="A8616" t="str">
        <f>"20190303162120154"</f>
        <v>20190303162120154</v>
      </c>
      <c r="B8616" t="str">
        <f>"1551601280141116"</f>
        <v>1551601280141116</v>
      </c>
      <c r="C8616" t="s">
        <v>40</v>
      </c>
      <c r="D8616">
        <v>4.7311779999999999</v>
      </c>
      <c r="E8616">
        <v>0.52372029999999903</v>
      </c>
      <c r="F8616" t="s">
        <v>62</v>
      </c>
      <c r="G8616">
        <v>-302.09769999999997</v>
      </c>
      <c r="H8616" s="1">
        <v>-1.0134520000000001E-5</v>
      </c>
      <c r="I8616">
        <v>-63.602490000000003</v>
      </c>
      <c r="J8616">
        <v>-303.20350000000002</v>
      </c>
      <c r="K8616">
        <v>1.086686</v>
      </c>
      <c r="L8616">
        <v>-1.6424559999999999</v>
      </c>
      <c r="M8616">
        <v>0.1920538</v>
      </c>
      <c r="N8616">
        <v>4.7268910000000002E-4</v>
      </c>
      <c r="O8616">
        <v>-0.98138429999999999</v>
      </c>
      <c r="P8616">
        <v>7.7013650000000003E-2</v>
      </c>
      <c r="Q8616">
        <v>0.1517242</v>
      </c>
      <c r="R8616">
        <v>-0.98541809999999996</v>
      </c>
      <c r="S8616">
        <v>5.5877690000000001E-2</v>
      </c>
      <c r="T8616">
        <v>-5.3201909999999998E-2</v>
      </c>
      <c r="U8616">
        <v>-3.0475159999999999</v>
      </c>
      <c r="V8616">
        <v>0.1143902</v>
      </c>
      <c r="W8616">
        <v>0.15071889999999999</v>
      </c>
      <c r="X8616">
        <v>0.98193620000000004</v>
      </c>
      <c r="Y8616">
        <v>0.17403370000000001</v>
      </c>
      <c r="Z8616">
        <v>1.730491E-2</v>
      </c>
      <c r="AA8616">
        <v>0.98458769999999995</v>
      </c>
      <c r="AB8616">
        <v>19</v>
      </c>
      <c r="AC8616">
        <v>1.1058000000000401</v>
      </c>
      <c r="AD8616">
        <v>-1.0866961345199999</v>
      </c>
      <c r="AE8616">
        <v>-61.960034</v>
      </c>
      <c r="AF8616">
        <v>10.8111217729939</v>
      </c>
      <c r="AG8616">
        <v>-1.0866961345199999</v>
      </c>
      <c r="AH8616">
        <v>61.000225613669301</v>
      </c>
      <c r="AI8616">
        <v>91.004937248703001</v>
      </c>
      <c r="AJ8616">
        <v>79.949781532777095</v>
      </c>
      <c r="AK8616">
        <v>61.960380788031301</v>
      </c>
      <c r="AL8616">
        <v>81.331409871744199</v>
      </c>
      <c r="AM8616">
        <v>83.355305187473107</v>
      </c>
      <c r="AN8616">
        <v>1.0000000027718401</v>
      </c>
    </row>
    <row r="8617" spans="1:40" x14ac:dyDescent="0.25">
      <c r="A8617" t="str">
        <f>"20190303162120176"</f>
        <v>20190303162120176</v>
      </c>
      <c r="B8617" t="str">
        <f>"1551601280160635"</f>
        <v>1551601280160635</v>
      </c>
      <c r="C8617" t="s">
        <v>40</v>
      </c>
      <c r="D8617">
        <v>4.739058</v>
      </c>
      <c r="E8617">
        <v>0.52405939999999995</v>
      </c>
      <c r="F8617" t="s">
        <v>62</v>
      </c>
      <c r="G8617">
        <v>-302.09199999999998</v>
      </c>
      <c r="H8617">
        <v>7.9986340000000003E-2</v>
      </c>
      <c r="I8617">
        <v>-71.051540000000003</v>
      </c>
      <c r="J8617">
        <v>-303.17140000000001</v>
      </c>
      <c r="K8617">
        <v>1.0880289999999999</v>
      </c>
      <c r="L8617">
        <v>-1.8223879999999999</v>
      </c>
      <c r="M8617">
        <v>0.1876826</v>
      </c>
      <c r="N8617">
        <v>3.3747950000000002E-4</v>
      </c>
      <c r="O8617">
        <v>-0.98222969999999998</v>
      </c>
      <c r="P8617">
        <v>7.7131560000000002E-2</v>
      </c>
      <c r="Q8617">
        <v>0.15288189999999999</v>
      </c>
      <c r="R8617">
        <v>-0.98523000000000005</v>
      </c>
      <c r="S8617">
        <v>4.8797609999999998E-2</v>
      </c>
      <c r="T8617">
        <v>-4.419899E-2</v>
      </c>
      <c r="U8617">
        <v>-3.0473940000000002</v>
      </c>
      <c r="V8617">
        <v>0.1098952</v>
      </c>
      <c r="W8617">
        <v>0.1520137</v>
      </c>
      <c r="X8617">
        <v>0.98224990000000001</v>
      </c>
      <c r="Y8617">
        <v>0.17193420000000001</v>
      </c>
      <c r="Z8617">
        <v>1.4344040000000001E-2</v>
      </c>
      <c r="AA8617">
        <v>0.98500399999999999</v>
      </c>
      <c r="AB8617">
        <v>19</v>
      </c>
      <c r="AC8617">
        <v>1.0794000000000199</v>
      </c>
      <c r="AD8617">
        <v>-1.0080426600000001</v>
      </c>
      <c r="AE8617">
        <v>-69.229151999999999</v>
      </c>
      <c r="AF8617">
        <v>11.9303599741528</v>
      </c>
      <c r="AG8617">
        <v>-1.0080426600000001</v>
      </c>
      <c r="AH8617">
        <v>68.187062173660195</v>
      </c>
      <c r="AI8617">
        <v>90.834297806058899</v>
      </c>
      <c r="AJ8617">
        <v>80.075691592483096</v>
      </c>
      <c r="AK8617">
        <v>69.230232463800405</v>
      </c>
      <c r="AL8617">
        <v>81.256358443899202</v>
      </c>
      <c r="AM8617">
        <v>83.616232803985596</v>
      </c>
      <c r="AN8617">
        <v>0.99999999301037001</v>
      </c>
    </row>
    <row r="8618" spans="1:40" x14ac:dyDescent="0.25">
      <c r="A8618" t="str">
        <f>"20190303162120196"</f>
        <v>20190303162120196</v>
      </c>
      <c r="B8618" t="str">
        <f>"1551601280190891"</f>
        <v>1551601280190891</v>
      </c>
      <c r="C8618" t="s">
        <v>40</v>
      </c>
      <c r="D8618">
        <v>4.7895580000000004</v>
      </c>
      <c r="E8618">
        <v>0.52444060000000003</v>
      </c>
      <c r="F8618" t="s">
        <v>44</v>
      </c>
      <c r="G8618">
        <v>-301.75470000000001</v>
      </c>
      <c r="H8618">
        <v>-0.05</v>
      </c>
      <c r="I8618">
        <v>-96.371489999999994</v>
      </c>
      <c r="J8618">
        <v>-303.14179999999999</v>
      </c>
      <c r="K8618">
        <v>1.0891280000000001</v>
      </c>
      <c r="L8618">
        <v>-1.9895940000000001</v>
      </c>
      <c r="M8618">
        <v>0.18535689999999999</v>
      </c>
      <c r="N8618" s="1">
        <v>-3.763876E-5</v>
      </c>
      <c r="O8618">
        <v>-0.98267130000000003</v>
      </c>
      <c r="P8618">
        <v>8.0292859999999994E-2</v>
      </c>
      <c r="Q8618">
        <v>0.15277370000000001</v>
      </c>
      <c r="R8618">
        <v>-0.98499400000000004</v>
      </c>
      <c r="S8618">
        <v>4.5654300000000002E-2</v>
      </c>
      <c r="T8618">
        <v>-3.6675930000000002E-2</v>
      </c>
      <c r="U8618">
        <v>-3.0470890000000002</v>
      </c>
      <c r="V8618">
        <v>0.10458000000000001</v>
      </c>
      <c r="W8618">
        <v>0.15219189999999999</v>
      </c>
      <c r="X8618">
        <v>0.98280250000000002</v>
      </c>
      <c r="Y8618">
        <v>0.170615299999999</v>
      </c>
      <c r="Z8618">
        <v>1.159636E-2</v>
      </c>
      <c r="AA8618">
        <v>0.98526950000000002</v>
      </c>
      <c r="AB8618">
        <v>19</v>
      </c>
      <c r="AC8618">
        <v>1.38709999999997</v>
      </c>
      <c r="AD8618">
        <v>-1.1391279999999999</v>
      </c>
      <c r="AE8618">
        <v>-94.381895999999998</v>
      </c>
      <c r="AF8618">
        <v>16.128922800957898</v>
      </c>
      <c r="AG8618">
        <v>-1.1391279999999999</v>
      </c>
      <c r="AH8618">
        <v>92.989943165262403</v>
      </c>
      <c r="AI8618">
        <v>90.691515186145693</v>
      </c>
      <c r="AJ8618">
        <v>80.1600559973337</v>
      </c>
      <c r="AK8618">
        <v>94.385217556555801</v>
      </c>
      <c r="AL8618">
        <v>81.246028663611</v>
      </c>
      <c r="AM8618">
        <v>83.926013526000503</v>
      </c>
      <c r="AN8618">
        <v>1.00000005241592</v>
      </c>
    </row>
    <row r="8619" spans="1:40" x14ac:dyDescent="0.25">
      <c r="A8619" t="str">
        <f>"20190303162120222"</f>
        <v>20190303162120222</v>
      </c>
      <c r="B8619" t="str">
        <f>"1551601280211387"</f>
        <v>1551601280211387</v>
      </c>
      <c r="C8619" t="s">
        <v>40</v>
      </c>
      <c r="D8619">
        <v>4.7866660000000003</v>
      </c>
      <c r="E8619">
        <v>0.52466199999999996</v>
      </c>
      <c r="F8619" t="s">
        <v>84</v>
      </c>
      <c r="G8619">
        <v>-301.65499999999997</v>
      </c>
      <c r="H8619">
        <v>0.1488237</v>
      </c>
      <c r="I8619">
        <v>-90.976820000000004</v>
      </c>
      <c r="J8619">
        <v>-303.10660000000001</v>
      </c>
      <c r="K8619">
        <v>1.0908639999999901</v>
      </c>
      <c r="L8619">
        <v>-2.1952210000000001</v>
      </c>
      <c r="M8619">
        <v>0.18457809999999999</v>
      </c>
      <c r="N8619">
        <v>-5.3932950000000002E-4</v>
      </c>
      <c r="O8619">
        <v>-0.98281779999999996</v>
      </c>
      <c r="P8619">
        <v>8.4258239999999998E-2</v>
      </c>
      <c r="Q8619">
        <v>0.1516884</v>
      </c>
      <c r="R8619">
        <v>-0.9848306</v>
      </c>
      <c r="S8619">
        <v>5.0903320000000002E-2</v>
      </c>
      <c r="T8619">
        <v>-3.219151E-2</v>
      </c>
      <c r="U8619">
        <v>-3.0465390000000001</v>
      </c>
      <c r="V8619">
        <v>0.10003330000000001</v>
      </c>
      <c r="W8619">
        <v>0.15152070000000001</v>
      </c>
      <c r="X8619">
        <v>0.98337929999999996</v>
      </c>
      <c r="Y8619">
        <v>0.16813339999999999</v>
      </c>
      <c r="Z8619">
        <v>9.6794389999999998E-3</v>
      </c>
      <c r="AA8619">
        <v>0.98571679999999995</v>
      </c>
      <c r="AB8619">
        <v>18</v>
      </c>
      <c r="AC8619">
        <v>1.45160000000004</v>
      </c>
      <c r="AD8619">
        <v>-0.94204029999999905</v>
      </c>
      <c r="AE8619">
        <v>-88.7815989999999</v>
      </c>
      <c r="AF8619">
        <v>14.9587975309044</v>
      </c>
      <c r="AG8619">
        <v>-0.94204029999999905</v>
      </c>
      <c r="AH8619">
        <v>87.514223185453503</v>
      </c>
      <c r="AI8619">
        <v>90.607916166584104</v>
      </c>
      <c r="AJ8619">
        <v>80.300179758975204</v>
      </c>
      <c r="AK8619">
        <v>88.788469539973406</v>
      </c>
      <c r="AL8619">
        <v>81.284936500858095</v>
      </c>
      <c r="AM8619">
        <v>84.1916223346972</v>
      </c>
      <c r="AN8619">
        <v>1.0000000156529301</v>
      </c>
    </row>
    <row r="8620" spans="1:40" x14ac:dyDescent="0.25">
      <c r="A8620" t="str">
        <f>"20190303162120245"</f>
        <v>20190303162120245</v>
      </c>
      <c r="B8620" t="str">
        <f>"1551601280231883"</f>
        <v>1551601280231883</v>
      </c>
      <c r="C8620" t="s">
        <v>40</v>
      </c>
      <c r="D8620">
        <v>4.785806</v>
      </c>
      <c r="E8620">
        <v>0.52474359999999998</v>
      </c>
      <c r="F8620" t="s">
        <v>84</v>
      </c>
      <c r="G8620">
        <v>-301.3571</v>
      </c>
      <c r="H8620">
        <v>0.10609250000000001</v>
      </c>
      <c r="I8620">
        <v>-90.976820000000004</v>
      </c>
      <c r="J8620">
        <v>-303.07510000000002</v>
      </c>
      <c r="K8620">
        <v>1.093089</v>
      </c>
      <c r="L8620">
        <v>-2.3826290000000001</v>
      </c>
      <c r="M8620">
        <v>0.18381359999999999</v>
      </c>
      <c r="N8620">
        <v>-8.7936009999999996E-4</v>
      </c>
      <c r="O8620">
        <v>-0.98296090000000003</v>
      </c>
      <c r="P8620">
        <v>8.7058099999999999E-2</v>
      </c>
      <c r="Q8620">
        <v>0.15048889999999901</v>
      </c>
      <c r="R8620">
        <v>-0.98477119999999996</v>
      </c>
      <c r="S8620">
        <v>6.0028079999999998E-2</v>
      </c>
      <c r="T8620">
        <v>-3.3789279999999998E-2</v>
      </c>
      <c r="U8620">
        <v>-3.0462950000000002</v>
      </c>
      <c r="V8620">
        <v>9.6476699999999999E-2</v>
      </c>
      <c r="W8620">
        <v>0.15069540000000001</v>
      </c>
      <c r="X8620">
        <v>0.98386130000000005</v>
      </c>
      <c r="Y8620">
        <v>0.16441229999999901</v>
      </c>
      <c r="Z8620">
        <v>9.8537339999999994E-3</v>
      </c>
      <c r="AA8620">
        <v>0.98634250000000001</v>
      </c>
      <c r="AB8620">
        <v>18</v>
      </c>
      <c r="AC8620">
        <v>1.71800000000001</v>
      </c>
      <c r="AD8620">
        <v>-0.98699650000000005</v>
      </c>
      <c r="AE8620">
        <v>-88.594190999999995</v>
      </c>
      <c r="AF8620">
        <v>14.594282821540499</v>
      </c>
      <c r="AG8620">
        <v>-0.98699650000000005</v>
      </c>
      <c r="AH8620">
        <v>87.389594061378006</v>
      </c>
      <c r="AI8620">
        <v>90.638244780102198</v>
      </c>
      <c r="AJ8620">
        <v>80.518955664524796</v>
      </c>
      <c r="AK8620">
        <v>88.605352001888505</v>
      </c>
      <c r="AL8620">
        <v>81.332771482782505</v>
      </c>
      <c r="AM8620">
        <v>84.399523780292796</v>
      </c>
      <c r="AN8620">
        <v>0.999999957430869</v>
      </c>
    </row>
    <row r="8621" spans="1:40" x14ac:dyDescent="0.25">
      <c r="A8621" t="str">
        <f>"20190303162120266"</f>
        <v>20190303162120266</v>
      </c>
      <c r="B8621" t="str">
        <f>"1551601280261164"</f>
        <v>1551601280261164</v>
      </c>
      <c r="C8621" t="s">
        <v>40</v>
      </c>
      <c r="D8621">
        <v>4.7995609999999997</v>
      </c>
      <c r="E8621">
        <v>0.52494099999999999</v>
      </c>
      <c r="F8621" t="s">
        <v>44</v>
      </c>
      <c r="G8621">
        <v>-300.9359</v>
      </c>
      <c r="H8621">
        <v>-0.05</v>
      </c>
      <c r="I8621">
        <v>-97.067930000000004</v>
      </c>
      <c r="J8621">
        <v>-303.04539999999997</v>
      </c>
      <c r="K8621">
        <v>1.095699</v>
      </c>
      <c r="L8621">
        <v>-2.559723</v>
      </c>
      <c r="M8621">
        <v>0.181787</v>
      </c>
      <c r="N8621">
        <v>-1.354648E-3</v>
      </c>
      <c r="O8621">
        <v>-0.98333700000000002</v>
      </c>
      <c r="P8621">
        <v>8.718302E-2</v>
      </c>
      <c r="Q8621">
        <v>0.14809339999999999</v>
      </c>
      <c r="R8621">
        <v>-0.98512310000000003</v>
      </c>
      <c r="S8621">
        <v>6.8817139999999999E-2</v>
      </c>
      <c r="T8621">
        <v>-3.6772010000000001E-2</v>
      </c>
      <c r="U8621">
        <v>-3.0459290000000001</v>
      </c>
      <c r="V8621">
        <v>9.4229300000000002E-2</v>
      </c>
      <c r="W8621">
        <v>0.1488756</v>
      </c>
      <c r="X8621">
        <v>0.98435609999999996</v>
      </c>
      <c r="Y8621">
        <v>0.15952939999999999</v>
      </c>
      <c r="Z8621">
        <v>1.0339589999999999E-2</v>
      </c>
      <c r="AA8621">
        <v>0.98713899999999999</v>
      </c>
      <c r="AB8621">
        <v>18</v>
      </c>
      <c r="AC8621">
        <v>2.1094999999999602</v>
      </c>
      <c r="AD8621">
        <v>-1.145699</v>
      </c>
      <c r="AE8621">
        <v>-94.508206999999999</v>
      </c>
      <c r="AF8621">
        <v>15.103809289265101</v>
      </c>
      <c r="AG8621">
        <v>-1.145699</v>
      </c>
      <c r="AH8621">
        <v>93.3032767456437</v>
      </c>
      <c r="AI8621">
        <v>90.694477214842294</v>
      </c>
      <c r="AJ8621">
        <v>80.804801516355596</v>
      </c>
      <c r="AK8621">
        <v>94.524806970018602</v>
      </c>
      <c r="AL8621">
        <v>81.4382285955882</v>
      </c>
      <c r="AM8621">
        <v>84.531917887435696</v>
      </c>
      <c r="AN8621">
        <v>1.00000001843052</v>
      </c>
    </row>
    <row r="8622" spans="1:40" x14ac:dyDescent="0.25">
      <c r="A8622" t="str">
        <f>"20190303162120286"</f>
        <v>20190303162120286</v>
      </c>
      <c r="B8622" t="str">
        <f>"1551601280280683"</f>
        <v>1551601280280683</v>
      </c>
      <c r="C8622" t="s">
        <v>40</v>
      </c>
      <c r="D8622">
        <v>4.7971570000000003</v>
      </c>
      <c r="E8622">
        <v>0.5250939</v>
      </c>
      <c r="F8622" t="s">
        <v>62</v>
      </c>
      <c r="G8622">
        <v>-301.46850000000001</v>
      </c>
      <c r="H8622">
        <v>7.9986409999999994E-2</v>
      </c>
      <c r="I8622">
        <v>-72.789050000000003</v>
      </c>
      <c r="J8622">
        <v>-303.01749999999998</v>
      </c>
      <c r="K8622">
        <v>1.09833799999999</v>
      </c>
      <c r="L8622">
        <v>-2.725708</v>
      </c>
      <c r="M8622">
        <v>0.17887629999999999</v>
      </c>
      <c r="N8622">
        <v>-2.1283230000000001E-3</v>
      </c>
      <c r="O8622">
        <v>-0.98386960000000001</v>
      </c>
      <c r="P8622">
        <v>8.6354829999999994E-2</v>
      </c>
      <c r="Q8622">
        <v>0.144338299999999</v>
      </c>
      <c r="R8622">
        <v>-0.98575369999999995</v>
      </c>
      <c r="S8622">
        <v>6.8389889999999995E-2</v>
      </c>
      <c r="T8622">
        <v>-4.4051769999999997E-2</v>
      </c>
      <c r="U8622">
        <v>-3.045868</v>
      </c>
      <c r="V8622">
        <v>9.2062469999999993E-2</v>
      </c>
      <c r="W8622">
        <v>0.14599819999999999</v>
      </c>
      <c r="X8622">
        <v>0.98499190000000003</v>
      </c>
      <c r="Y8622">
        <v>0.15674469999999999</v>
      </c>
      <c r="Z8622">
        <v>1.18967E-2</v>
      </c>
      <c r="AA8622">
        <v>0.98756750000000004</v>
      </c>
      <c r="AB8622">
        <v>19</v>
      </c>
      <c r="AC8622">
        <v>1.54899999999997</v>
      </c>
      <c r="AD8622">
        <v>-1.01835158999999</v>
      </c>
      <c r="AE8622">
        <v>-70.063342000000006</v>
      </c>
      <c r="AF8622">
        <v>11.0063546783901</v>
      </c>
      <c r="AG8622">
        <v>-1.01835158999999</v>
      </c>
      <c r="AH8622">
        <v>69.195794863016403</v>
      </c>
      <c r="AI8622">
        <v>90.8326922674364</v>
      </c>
      <c r="AJ8622">
        <v>80.962186667828803</v>
      </c>
      <c r="AK8622">
        <v>70.0730683643297</v>
      </c>
      <c r="AL8622">
        <v>81.604913059811295</v>
      </c>
      <c r="AM8622">
        <v>84.660350761639705</v>
      </c>
      <c r="AN8622">
        <v>1.0000000079256699</v>
      </c>
    </row>
    <row r="8623" spans="1:40" x14ac:dyDescent="0.25">
      <c r="A8623" t="str">
        <f>"20190303162120308"</f>
        <v>20190303162120308</v>
      </c>
      <c r="B8623" t="str">
        <f>"1551601280301179"</f>
        <v>1551601280301179</v>
      </c>
      <c r="C8623" t="s">
        <v>40</v>
      </c>
      <c r="D8623">
        <v>4.8061669999999896</v>
      </c>
      <c r="E8623">
        <v>0.52523310000000001</v>
      </c>
      <c r="F8623" t="s">
        <v>62</v>
      </c>
      <c r="G8623">
        <v>-301.7276</v>
      </c>
      <c r="H8623" s="1">
        <v>-1.029557E-5</v>
      </c>
      <c r="I8623">
        <v>-63.337510000000002</v>
      </c>
      <c r="J8623">
        <v>-302.98669999999998</v>
      </c>
      <c r="K8623">
        <v>1.1011169999999999</v>
      </c>
      <c r="L8623">
        <v>-2.909637</v>
      </c>
      <c r="M8623">
        <v>0.1754155</v>
      </c>
      <c r="N8623">
        <v>-3.2690359999999999E-3</v>
      </c>
      <c r="O8623">
        <v>-0.98448910000000001</v>
      </c>
      <c r="P8623">
        <v>8.4686300000000006E-2</v>
      </c>
      <c r="Q8623">
        <v>0.1422118</v>
      </c>
      <c r="R8623">
        <v>-0.98620680000000005</v>
      </c>
      <c r="S8623">
        <v>6.4819340000000003E-2</v>
      </c>
      <c r="T8623">
        <v>-5.519259E-2</v>
      </c>
      <c r="U8623">
        <v>-3.045776</v>
      </c>
      <c r="V8623">
        <v>9.0191170000000001E-2</v>
      </c>
      <c r="W8623">
        <v>0.1450825</v>
      </c>
      <c r="X8623">
        <v>0.98530030000000002</v>
      </c>
      <c r="Y8623">
        <v>0.15442639999999999</v>
      </c>
      <c r="Z8623">
        <v>1.4323829999999999E-2</v>
      </c>
      <c r="AA8623">
        <v>0.98790040000000001</v>
      </c>
      <c r="AB8623">
        <v>19</v>
      </c>
      <c r="AC8623">
        <v>1.2590999999999799</v>
      </c>
      <c r="AD8623">
        <v>-1.10112729557</v>
      </c>
      <c r="AE8623">
        <v>-60.427872999999899</v>
      </c>
      <c r="AF8623">
        <v>9.35735926714176</v>
      </c>
      <c r="AG8623">
        <v>-1.10112729557</v>
      </c>
      <c r="AH8623">
        <v>59.6919528895166</v>
      </c>
      <c r="AI8623">
        <v>91.044058046267907</v>
      </c>
      <c r="AJ8623">
        <v>81.090772966619994</v>
      </c>
      <c r="AK8623">
        <v>60.430968001014897</v>
      </c>
      <c r="AL8623">
        <v>81.657943643575805</v>
      </c>
      <c r="AM8623">
        <v>84.769906664600995</v>
      </c>
      <c r="AN8623">
        <v>1.00000003006615</v>
      </c>
    </row>
    <row r="8624" spans="1:40" x14ac:dyDescent="0.25">
      <c r="A8624" t="str">
        <f>"20190303162120330"</f>
        <v>20190303162120330</v>
      </c>
      <c r="B8624" t="str">
        <f>"1551601280320699"</f>
        <v>1551601280320699</v>
      </c>
      <c r="C8624" t="s">
        <v>40</v>
      </c>
      <c r="D8624">
        <v>4.8163539999999996</v>
      </c>
      <c r="E8624">
        <v>0.52532659999999998</v>
      </c>
      <c r="F8624" t="s">
        <v>62</v>
      </c>
      <c r="G8624">
        <v>-301.9443</v>
      </c>
      <c r="H8624" s="1">
        <v>-8.8278799999999992E-6</v>
      </c>
      <c r="I8624">
        <v>-57.720599999999997</v>
      </c>
      <c r="J8624">
        <v>-302.95699999999999</v>
      </c>
      <c r="K8624">
        <v>1.103485</v>
      </c>
      <c r="L8624">
        <v>-3.0897519999999998</v>
      </c>
      <c r="M8624">
        <v>0.17262439999999901</v>
      </c>
      <c r="N8624">
        <v>-4.4138999999999897E-3</v>
      </c>
      <c r="O8624">
        <v>-0.98497809999999997</v>
      </c>
      <c r="P8624">
        <v>8.4171940000000001E-2</v>
      </c>
      <c r="Q8624">
        <v>0.14273329999999901</v>
      </c>
      <c r="R8624">
        <v>-0.98617600000000005</v>
      </c>
      <c r="S8624">
        <v>5.7922359999999999E-2</v>
      </c>
      <c r="T8624">
        <v>-6.1188819999999998E-2</v>
      </c>
      <c r="U8624">
        <v>-3.0458069999999999</v>
      </c>
      <c r="V8624">
        <v>8.7872740000000005E-2</v>
      </c>
      <c r="W8624">
        <v>0.1467609</v>
      </c>
      <c r="X8624">
        <v>0.98526119999999995</v>
      </c>
      <c r="Y8624">
        <v>0.15386029999999901</v>
      </c>
      <c r="Z8624">
        <v>1.51062E-2</v>
      </c>
      <c r="AA8624">
        <v>0.98797710000000005</v>
      </c>
      <c r="AB8624">
        <v>19</v>
      </c>
      <c r="AC8624">
        <v>1.0126999999999899</v>
      </c>
      <c r="AD8624">
        <v>-1.1034938278799999</v>
      </c>
      <c r="AE8624">
        <v>-54.630848</v>
      </c>
      <c r="AF8624">
        <v>8.4297717835126793</v>
      </c>
      <c r="AG8624">
        <v>-1.1034938278799999</v>
      </c>
      <c r="AH8624">
        <v>53.963507614543197</v>
      </c>
      <c r="AI8624">
        <v>91.157438726095506</v>
      </c>
      <c r="AJ8624">
        <v>81.121440993822702</v>
      </c>
      <c r="AK8624">
        <v>54.629103095466803</v>
      </c>
      <c r="AL8624">
        <v>81.560737718952396</v>
      </c>
      <c r="AM8624">
        <v>84.903431590341299</v>
      </c>
      <c r="AN8624">
        <v>1.0000000062146699</v>
      </c>
    </row>
    <row r="8625" spans="1:40" x14ac:dyDescent="0.25">
      <c r="A8625" t="str">
        <f>"20190303162120352"</f>
        <v>20190303162120352</v>
      </c>
      <c r="B8625" t="str">
        <f>"1551601280341195"</f>
        <v>1551601280341195</v>
      </c>
      <c r="C8625" t="s">
        <v>40</v>
      </c>
      <c r="D8625">
        <v>4.8096489999999896</v>
      </c>
      <c r="E8625">
        <v>0.52540609999999999</v>
      </c>
      <c r="F8625" t="s">
        <v>62</v>
      </c>
      <c r="G8625">
        <v>-301.93709999999999</v>
      </c>
      <c r="H8625" s="1">
        <v>-1.0507699999999999E-5</v>
      </c>
      <c r="I8625">
        <v>-60.665129999999998</v>
      </c>
      <c r="J8625">
        <v>-302.92660000000001</v>
      </c>
      <c r="K8625">
        <v>1.1055999999999999</v>
      </c>
      <c r="L8625">
        <v>-3.2792659999999998</v>
      </c>
      <c r="M8625">
        <v>0.1704637</v>
      </c>
      <c r="N8625">
        <v>-5.4772859999999996E-3</v>
      </c>
      <c r="O8625">
        <v>-0.98534880000000002</v>
      </c>
      <c r="P8625">
        <v>8.3578910000000006E-2</v>
      </c>
      <c r="Q8625">
        <v>0.14171829999999999</v>
      </c>
      <c r="R8625">
        <v>-0.98637260000000004</v>
      </c>
      <c r="S8625">
        <v>5.3955080000000002E-2</v>
      </c>
      <c r="T8625">
        <v>-5.8377980000000003E-2</v>
      </c>
      <c r="U8625">
        <v>-3.0458980000000002</v>
      </c>
      <c r="V8625">
        <v>8.635951E-2</v>
      </c>
      <c r="W8625">
        <v>0.14678260000000001</v>
      </c>
      <c r="X8625">
        <v>0.98539169999999998</v>
      </c>
      <c r="Y8625">
        <v>0.15297849999999999</v>
      </c>
      <c r="Z8625">
        <v>1.315963E-2</v>
      </c>
      <c r="AA8625">
        <v>0.98814190000000002</v>
      </c>
      <c r="AB8625">
        <v>18</v>
      </c>
      <c r="AC8625">
        <v>0.98950000000002003</v>
      </c>
      <c r="AD8625">
        <v>-1.1056105077</v>
      </c>
      <c r="AE8625">
        <v>-57.385863999999998</v>
      </c>
      <c r="AF8625">
        <v>8.8040686057577897</v>
      </c>
      <c r="AG8625">
        <v>-1.1056105077</v>
      </c>
      <c r="AH8625">
        <v>56.693575334323398</v>
      </c>
      <c r="AI8625">
        <v>91.103983773106904</v>
      </c>
      <c r="AJ8625">
        <v>81.172920111340503</v>
      </c>
      <c r="AK8625">
        <v>57.383756262536799</v>
      </c>
      <c r="AL8625">
        <v>81.559480306530105</v>
      </c>
      <c r="AM8625">
        <v>84.991407650382499</v>
      </c>
      <c r="AN8625">
        <v>0.99999994952954296</v>
      </c>
    </row>
    <row r="8626" spans="1:40" x14ac:dyDescent="0.25">
      <c r="A8626" t="str">
        <f>"20190303162120375"</f>
        <v>20190303162120375</v>
      </c>
      <c r="B8626" t="str">
        <f>"1551601280371451"</f>
        <v>1551601280371451</v>
      </c>
      <c r="C8626" t="s">
        <v>40</v>
      </c>
      <c r="D8626">
        <v>4.8289799999999996</v>
      </c>
      <c r="E8626">
        <v>0.52545949999999997</v>
      </c>
      <c r="F8626" t="s">
        <v>62</v>
      </c>
      <c r="G8626">
        <v>-302.01479999999998</v>
      </c>
      <c r="H8626" s="1">
        <v>-9.2584949999999992E-6</v>
      </c>
      <c r="I8626">
        <v>-58.737720000000003</v>
      </c>
      <c r="J8626">
        <v>-302.89909999999998</v>
      </c>
      <c r="K8626">
        <v>1.107356</v>
      </c>
      <c r="L8626">
        <v>-3.455994</v>
      </c>
      <c r="M8626">
        <v>0.168715899999999</v>
      </c>
      <c r="N8626">
        <v>-6.3320360000000001E-3</v>
      </c>
      <c r="O8626">
        <v>-0.98564459999999998</v>
      </c>
      <c r="P8626">
        <v>8.2611340000000005E-2</v>
      </c>
      <c r="Q8626">
        <v>0.13787430000000001</v>
      </c>
      <c r="R8626">
        <v>-0.98699859999999995</v>
      </c>
      <c r="S8626">
        <v>5.0079350000000002E-2</v>
      </c>
      <c r="T8626">
        <v>-6.0723069999999997E-2</v>
      </c>
      <c r="U8626">
        <v>-3.0459290000000001</v>
      </c>
      <c r="V8626">
        <v>8.568576E-2</v>
      </c>
      <c r="W8626">
        <v>0.14377179999999901</v>
      </c>
      <c r="X8626">
        <v>0.9858943</v>
      </c>
      <c r="Y8626">
        <v>0.15248139999999999</v>
      </c>
      <c r="Z8626">
        <v>1.306329E-2</v>
      </c>
      <c r="AA8626">
        <v>0.98821999999999999</v>
      </c>
      <c r="AB8626">
        <v>18</v>
      </c>
      <c r="AC8626">
        <v>0.88429999999999598</v>
      </c>
      <c r="AD8626">
        <v>-1.107365258495</v>
      </c>
      <c r="AE8626">
        <v>-55.2817259999999</v>
      </c>
      <c r="AF8626">
        <v>8.4520777851053293</v>
      </c>
      <c r="AG8626">
        <v>-1.107365258495</v>
      </c>
      <c r="AH8626">
        <v>54.616504432868503</v>
      </c>
      <c r="AI8626">
        <v>91.147869323507905</v>
      </c>
      <c r="AJ8626">
        <v>81.203077445006002</v>
      </c>
      <c r="AK8626">
        <v>55.277720947654203</v>
      </c>
      <c r="AL8626">
        <v>81.733836477965795</v>
      </c>
      <c r="AM8626">
        <v>85.032807507512004</v>
      </c>
      <c r="AN8626">
        <v>0.99999997535725305</v>
      </c>
    </row>
    <row r="8627" spans="1:40" x14ac:dyDescent="0.25">
      <c r="A8627" t="str">
        <f>"20190303162120396"</f>
        <v>20190303162120396</v>
      </c>
      <c r="B8627" t="str">
        <f>"1551601280390970"</f>
        <v>1551601280390970</v>
      </c>
      <c r="C8627" t="s">
        <v>40</v>
      </c>
      <c r="D8627">
        <v>4.810778</v>
      </c>
      <c r="E8627">
        <v>0.52550629999999998</v>
      </c>
      <c r="F8627" t="s">
        <v>62</v>
      </c>
      <c r="G8627">
        <v>-302.18329999999997</v>
      </c>
      <c r="H8627" s="1">
        <v>-5.8933209999999999E-6</v>
      </c>
      <c r="I8627">
        <v>-50.481659999999998</v>
      </c>
      <c r="J8627">
        <v>-302.87090000000001</v>
      </c>
      <c r="K8627">
        <v>1.1091059999999999</v>
      </c>
      <c r="L8627">
        <v>-3.6400760000000001</v>
      </c>
      <c r="M8627">
        <v>0.16667699999999999</v>
      </c>
      <c r="N8627">
        <v>-7.1412849999999998E-3</v>
      </c>
      <c r="O8627">
        <v>-0.98598580000000002</v>
      </c>
      <c r="P8627">
        <v>8.070869E-2</v>
      </c>
      <c r="Q8627">
        <v>0.1318549</v>
      </c>
      <c r="R8627">
        <v>-0.98797800000000002</v>
      </c>
      <c r="S8627">
        <v>4.6356199999999903E-2</v>
      </c>
      <c r="T8627">
        <v>-7.1719169999999999E-2</v>
      </c>
      <c r="U8627">
        <v>-3.0456539999999999</v>
      </c>
      <c r="V8627">
        <v>8.5650950000000003E-2</v>
      </c>
      <c r="W8627">
        <v>0.13856389999999999</v>
      </c>
      <c r="X8627">
        <v>0.98664280000000004</v>
      </c>
      <c r="Y8627">
        <v>0.1516411</v>
      </c>
      <c r="Z8627">
        <v>1.577955E-2</v>
      </c>
      <c r="AA8627">
        <v>0.98830969999999996</v>
      </c>
      <c r="AB8627">
        <v>18</v>
      </c>
      <c r="AC8627">
        <v>0.68760000000003096</v>
      </c>
      <c r="AD8627">
        <v>-1.109111893321</v>
      </c>
      <c r="AE8627">
        <v>-46.841583999999997</v>
      </c>
      <c r="AF8627">
        <v>7.1256377943641001</v>
      </c>
      <c r="AG8627">
        <v>-1.109111893321</v>
      </c>
      <c r="AH8627">
        <v>46.274981145687299</v>
      </c>
      <c r="AI8627">
        <v>91.357006052722397</v>
      </c>
      <c r="AJ8627">
        <v>81.2460848952921</v>
      </c>
      <c r="AK8627">
        <v>46.833521362397001</v>
      </c>
      <c r="AL8627">
        <v>82.035246368512503</v>
      </c>
      <c r="AM8627">
        <v>85.038563294431398</v>
      </c>
      <c r="AN8627">
        <v>1.0000000272054701</v>
      </c>
    </row>
    <row r="8628" spans="1:40" x14ac:dyDescent="0.25">
      <c r="A8628" t="str">
        <f>"20190303162120420"</f>
        <v>20190303162120420</v>
      </c>
      <c r="B8628" t="str">
        <f>"1551601280411467"</f>
        <v>1551601280411467</v>
      </c>
      <c r="C8628" t="s">
        <v>40</v>
      </c>
      <c r="D8628">
        <v>4.8200419999999999</v>
      </c>
      <c r="E8628">
        <v>0.5255495</v>
      </c>
      <c r="F8628" t="s">
        <v>62</v>
      </c>
      <c r="G8628">
        <v>-302.3766</v>
      </c>
      <c r="H8628" s="1">
        <v>-1.0564829999999999E-6</v>
      </c>
      <c r="I8628">
        <v>-41.468829999999997</v>
      </c>
      <c r="J8628">
        <v>-302.84249999999997</v>
      </c>
      <c r="K8628">
        <v>1.1108260000000001</v>
      </c>
      <c r="L8628">
        <v>-3.8280029999999998</v>
      </c>
      <c r="M8628">
        <v>0.16418669999999999</v>
      </c>
      <c r="N8628">
        <v>-7.9263990000000006E-3</v>
      </c>
      <c r="O8628">
        <v>-0.98639759999999999</v>
      </c>
      <c r="P8628">
        <v>7.8290310000000002E-2</v>
      </c>
      <c r="Q8628">
        <v>0.12588050000000001</v>
      </c>
      <c r="R8628">
        <v>-0.98895160000000004</v>
      </c>
      <c r="S8628">
        <v>3.9794919999999998E-2</v>
      </c>
      <c r="T8628">
        <v>-8.9281680000000002E-2</v>
      </c>
      <c r="U8628">
        <v>-3.045166</v>
      </c>
      <c r="V8628">
        <v>8.5633189999999998E-2</v>
      </c>
      <c r="W8628">
        <v>0.13340199999999999</v>
      </c>
      <c r="X8628">
        <v>0.98735550000000005</v>
      </c>
      <c r="Y8628">
        <v>0.15126809999999999</v>
      </c>
      <c r="Z8628">
        <v>2.062508E-2</v>
      </c>
      <c r="AA8628">
        <v>0.98827759999999998</v>
      </c>
      <c r="AB8628">
        <v>18</v>
      </c>
      <c r="AC8628">
        <v>0.465899999999976</v>
      </c>
      <c r="AD8628">
        <v>-1.1108270564830001</v>
      </c>
      <c r="AE8628">
        <v>-37.640827000000002</v>
      </c>
      <c r="AF8628">
        <v>5.7157621440290702</v>
      </c>
      <c r="AG8628">
        <v>-1.1108270564830001</v>
      </c>
      <c r="AH8628">
        <v>37.174108320024501</v>
      </c>
      <c r="AI8628">
        <v>91.691719829644896</v>
      </c>
      <c r="AJ8628">
        <v>81.258853777501699</v>
      </c>
      <c r="AK8628">
        <v>37.627359766869702</v>
      </c>
      <c r="AL8628">
        <v>82.333774643531399</v>
      </c>
      <c r="AM8628">
        <v>85.043149645999307</v>
      </c>
      <c r="AN8628">
        <v>1.00000001010691</v>
      </c>
    </row>
    <row r="8629" spans="1:40" x14ac:dyDescent="0.25">
      <c r="A8629" t="str">
        <f>"20190303162120442"</f>
        <v>20190303162120442</v>
      </c>
      <c r="B8629" t="str">
        <f>"1551601280430988"</f>
        <v>1551601280430988</v>
      </c>
      <c r="C8629" t="s">
        <v>40</v>
      </c>
      <c r="D8629">
        <v>4.8136749999999999</v>
      </c>
      <c r="E8629">
        <v>0.52557100000000001</v>
      </c>
      <c r="F8629" t="s">
        <v>41</v>
      </c>
      <c r="G8629">
        <v>-302.51339999999999</v>
      </c>
      <c r="H8629" s="1">
        <v>-2.7423840000000002E-6</v>
      </c>
      <c r="I8629">
        <v>-35.577199999999998</v>
      </c>
      <c r="J8629">
        <v>-302.81509999999997</v>
      </c>
      <c r="K8629">
        <v>1.112339</v>
      </c>
      <c r="L8629">
        <v>-4.0108639999999998</v>
      </c>
      <c r="M8629">
        <v>0.1615405</v>
      </c>
      <c r="N8629">
        <v>-8.6427409999999903E-3</v>
      </c>
      <c r="O8629">
        <v>-0.98682820000000004</v>
      </c>
      <c r="P8629">
        <v>7.5978550000000006E-2</v>
      </c>
      <c r="Q8629">
        <v>0.1204177</v>
      </c>
      <c r="R8629">
        <v>-0.98981180000000002</v>
      </c>
      <c r="S8629">
        <v>3.1555180000000002E-2</v>
      </c>
      <c r="T8629">
        <v>-0.1065228</v>
      </c>
      <c r="U8629">
        <v>-3.0445859999999998</v>
      </c>
      <c r="V8629">
        <v>8.5335309999999998E-2</v>
      </c>
      <c r="W8629">
        <v>0.12868750000000001</v>
      </c>
      <c r="X8629">
        <v>0.98800679999999996</v>
      </c>
      <c r="Y8629">
        <v>0.15128440000000001</v>
      </c>
      <c r="Z8629">
        <v>2.5444040000000001E-2</v>
      </c>
      <c r="AA8629">
        <v>0.98816280000000001</v>
      </c>
      <c r="AB8629">
        <v>18</v>
      </c>
      <c r="AC8629">
        <v>0.30169999999998198</v>
      </c>
      <c r="AD8629">
        <v>-1.1123417423840001</v>
      </c>
      <c r="AE8629">
        <v>-31.566336</v>
      </c>
      <c r="AF8629">
        <v>4.7957406646030902</v>
      </c>
      <c r="AG8629">
        <v>-1.1123417423840001</v>
      </c>
      <c r="AH8629">
        <v>31.161762718003899</v>
      </c>
      <c r="AI8629">
        <v>92.020578180961706</v>
      </c>
      <c r="AJ8629">
        <v>81.250922037299105</v>
      </c>
      <c r="AK8629">
        <v>31.548246993567801</v>
      </c>
      <c r="AL8629">
        <v>82.606245542777202</v>
      </c>
      <c r="AM8629">
        <v>85.063547053706301</v>
      </c>
      <c r="AN8629">
        <v>1.00000001231764</v>
      </c>
    </row>
    <row r="8630" spans="1:40" x14ac:dyDescent="0.25">
      <c r="A8630" t="str">
        <f>"20190303162120466"</f>
        <v>20190303162120466</v>
      </c>
      <c r="B8630" t="str">
        <f>"1551601280461243"</f>
        <v>1551601280461243</v>
      </c>
      <c r="C8630" t="s">
        <v>40</v>
      </c>
      <c r="D8630">
        <v>4.8440110000000001</v>
      </c>
      <c r="E8630">
        <v>0.52310069999999997</v>
      </c>
      <c r="F8630" t="s">
        <v>41</v>
      </c>
      <c r="G8630">
        <v>-302.60599999999999</v>
      </c>
      <c r="H8630" s="1">
        <v>-4.3191639999999999E-6</v>
      </c>
      <c r="I8630">
        <v>-31.679490000000001</v>
      </c>
      <c r="J8630">
        <v>-302.7876</v>
      </c>
      <c r="K8630">
        <v>1.113642</v>
      </c>
      <c r="L8630">
        <v>-4.1971129999999999</v>
      </c>
      <c r="M8630">
        <v>0.1589013</v>
      </c>
      <c r="N8630">
        <v>-9.2955880000000005E-3</v>
      </c>
      <c r="O8630">
        <v>-0.98725070000000004</v>
      </c>
      <c r="P8630">
        <v>7.3511160000000006E-2</v>
      </c>
      <c r="Q8630">
        <v>0.1156976</v>
      </c>
      <c r="R8630">
        <v>-0.99056049999999995</v>
      </c>
      <c r="S8630">
        <v>2.3010249999999999E-2</v>
      </c>
      <c r="T8630">
        <v>-0.1223762</v>
      </c>
      <c r="U8630">
        <v>-3.044006</v>
      </c>
      <c r="V8630">
        <v>8.5203210000000001E-2</v>
      </c>
      <c r="W8630">
        <v>0.1246386</v>
      </c>
      <c r="X8630">
        <v>0.98853709999999995</v>
      </c>
      <c r="Y8630">
        <v>0.151408399999999</v>
      </c>
      <c r="Z8630">
        <v>2.9888339999999999E-2</v>
      </c>
      <c r="AA8630">
        <v>0.98801930000000004</v>
      </c>
      <c r="AB8630">
        <v>18</v>
      </c>
      <c r="AC8630">
        <v>0.18160000000000301</v>
      </c>
      <c r="AD8630">
        <v>-1.113646319164</v>
      </c>
      <c r="AE8630">
        <v>-27.482377</v>
      </c>
      <c r="AF8630">
        <v>4.1810165608082404</v>
      </c>
      <c r="AG8630">
        <v>-1.113646319164</v>
      </c>
      <c r="AH8630">
        <v>27.117499962783299</v>
      </c>
      <c r="AI8630">
        <v>92.324236671608702</v>
      </c>
      <c r="AJ8630">
        <v>81.235069553194805</v>
      </c>
      <c r="AK8630">
        <v>27.460515505676401</v>
      </c>
      <c r="AL8630">
        <v>82.840114003177405</v>
      </c>
      <c r="AM8630">
        <v>85.073782126426806</v>
      </c>
      <c r="AN8630">
        <v>0.99999998284033598</v>
      </c>
    </row>
    <row r="8631" spans="1:40" x14ac:dyDescent="0.25">
      <c r="A8631" t="str">
        <f>"20190303162120487"</f>
        <v>20190303162120487</v>
      </c>
      <c r="B8631" t="str">
        <f>"1551601280481270"</f>
        <v>1551601280481270</v>
      </c>
      <c r="C8631" t="s">
        <v>40</v>
      </c>
      <c r="D8631">
        <v>4.8345799999999999</v>
      </c>
      <c r="E8631">
        <v>0.52351059999999905</v>
      </c>
      <c r="F8631" t="s">
        <v>84</v>
      </c>
      <c r="G8631">
        <v>-301.7842</v>
      </c>
      <c r="H8631">
        <v>0.16110039999999901</v>
      </c>
      <c r="I8631">
        <v>-90.976820000000004</v>
      </c>
      <c r="J8631">
        <v>-302.76240000000001</v>
      </c>
      <c r="K8631">
        <v>1.1146370000000001</v>
      </c>
      <c r="L8631">
        <v>-4.3706670000000001</v>
      </c>
      <c r="M8631">
        <v>0.1566244</v>
      </c>
      <c r="N8631">
        <v>-9.8211719999999995E-3</v>
      </c>
      <c r="O8631">
        <v>-0.98760970000000003</v>
      </c>
      <c r="P8631">
        <v>7.1729139999999997E-2</v>
      </c>
      <c r="Q8631">
        <v>0.1123668</v>
      </c>
      <c r="R8631">
        <v>-0.99107500000000004</v>
      </c>
      <c r="S8631">
        <v>3.5034179999999998E-2</v>
      </c>
      <c r="T8631">
        <v>-3.3257130000000003E-2</v>
      </c>
      <c r="U8631">
        <v>-3.0298769999999999</v>
      </c>
      <c r="V8631">
        <v>8.4747489999999995E-2</v>
      </c>
      <c r="W8631">
        <v>0.12183720000000001</v>
      </c>
      <c r="X8631">
        <v>0.98892550000000001</v>
      </c>
      <c r="Y8631">
        <v>0.14518710000000001</v>
      </c>
      <c r="Z8631">
        <v>9.0193200000000004E-4</v>
      </c>
      <c r="AA8631">
        <v>0.98940380000000006</v>
      </c>
      <c r="AB8631">
        <v>18</v>
      </c>
      <c r="AC8631">
        <v>0.97820000000001495</v>
      </c>
      <c r="AD8631">
        <v>-0.95353659999999996</v>
      </c>
      <c r="AE8631">
        <v>-86.606152999999907</v>
      </c>
      <c r="AF8631">
        <v>12.5976340449144</v>
      </c>
      <c r="AG8631">
        <v>-0.95353659999999996</v>
      </c>
      <c r="AH8631">
        <v>85.680009895148302</v>
      </c>
      <c r="AI8631">
        <v>90.630839149651607</v>
      </c>
      <c r="AJ8631">
        <v>81.635663499891095</v>
      </c>
      <c r="AK8631">
        <v>86.606429964580798</v>
      </c>
      <c r="AL8631">
        <v>83.001855807083103</v>
      </c>
      <c r="AM8631">
        <v>85.1019170976694</v>
      </c>
      <c r="AN8631">
        <v>1.00000004245769</v>
      </c>
    </row>
    <row r="8632" spans="1:40" x14ac:dyDescent="0.25">
      <c r="A8632" t="str">
        <f>"20190303162120508"</f>
        <v>20190303162120508</v>
      </c>
      <c r="B8632" t="str">
        <f>"1551601280500790"</f>
        <v>1551601280500790</v>
      </c>
      <c r="C8632" t="s">
        <v>40</v>
      </c>
      <c r="D8632">
        <v>4.8159039999999997</v>
      </c>
      <c r="E8632">
        <v>0.52405859999999904</v>
      </c>
      <c r="F8632" t="s">
        <v>62</v>
      </c>
      <c r="G8632">
        <v>-302.15699999999998</v>
      </c>
      <c r="H8632">
        <v>7.9986409999999994E-2</v>
      </c>
      <c r="I8632">
        <v>-73.939819999999997</v>
      </c>
      <c r="J8632">
        <v>-302.73700000000002</v>
      </c>
      <c r="K8632">
        <v>1.115491</v>
      </c>
      <c r="L8632">
        <v>-4.5485230000000003</v>
      </c>
      <c r="M8632">
        <v>0.1544056</v>
      </c>
      <c r="N8632">
        <v>-1.029511E-2</v>
      </c>
      <c r="O8632">
        <v>-0.98795409999999995</v>
      </c>
      <c r="P8632">
        <v>7.1174409999999994E-2</v>
      </c>
      <c r="Q8632">
        <v>0.1101205</v>
      </c>
      <c r="R8632">
        <v>-0.99136670000000005</v>
      </c>
      <c r="S8632">
        <v>2.6367189999999999E-2</v>
      </c>
      <c r="T8632">
        <v>-4.5066120000000001E-2</v>
      </c>
      <c r="U8632">
        <v>-3.0302120000000001</v>
      </c>
      <c r="V8632">
        <v>8.3113880000000001E-2</v>
      </c>
      <c r="W8632">
        <v>0.1200674</v>
      </c>
      <c r="X8632">
        <v>0.98928050000000001</v>
      </c>
      <c r="Y8632">
        <v>0.14579220000000001</v>
      </c>
      <c r="Z8632">
        <v>4.235646E-3</v>
      </c>
      <c r="AA8632">
        <v>0.98930620000000002</v>
      </c>
      <c r="AB8632">
        <v>18</v>
      </c>
      <c r="AC8632">
        <v>0.58000000000004004</v>
      </c>
      <c r="AD8632">
        <v>-1.0355045899999999</v>
      </c>
      <c r="AE8632">
        <v>-69.391296999999994</v>
      </c>
      <c r="AF8632">
        <v>10.1396692028278</v>
      </c>
      <c r="AG8632">
        <v>-1.0355045899999999</v>
      </c>
      <c r="AH8632">
        <v>68.633313954414405</v>
      </c>
      <c r="AI8632">
        <v>90.855103991313996</v>
      </c>
      <c r="AJ8632">
        <v>81.596092223979198</v>
      </c>
      <c r="AK8632">
        <v>69.385999637274793</v>
      </c>
      <c r="AL8632">
        <v>83.104007578982007</v>
      </c>
      <c r="AM8632">
        <v>85.197603211194803</v>
      </c>
      <c r="AN8632">
        <v>1.00000000263583</v>
      </c>
    </row>
    <row r="8633" spans="1:40" x14ac:dyDescent="0.25">
      <c r="A8633" t="str">
        <f>"20190303162120531"</f>
        <v>20190303162120531</v>
      </c>
      <c r="B8633" t="str">
        <f>"1551601280521286"</f>
        <v>1551601280521286</v>
      </c>
      <c r="C8633" t="s">
        <v>40</v>
      </c>
      <c r="D8633">
        <v>5.0092990000000004</v>
      </c>
      <c r="E8633">
        <v>0.52781299999999998</v>
      </c>
      <c r="F8633" t="s">
        <v>62</v>
      </c>
      <c r="G8633">
        <v>-302.37150000000003</v>
      </c>
      <c r="H8633" s="1">
        <v>-9.9835950000000001E-6</v>
      </c>
      <c r="I8633">
        <v>-60.324919999999999</v>
      </c>
      <c r="J8633">
        <v>-302.71170000000001</v>
      </c>
      <c r="K8633">
        <v>1.1162589999999999</v>
      </c>
      <c r="L8633">
        <v>-4.7293399999999997</v>
      </c>
      <c r="M8633">
        <v>0.1521527</v>
      </c>
      <c r="N8633">
        <v>-1.0725480000000001E-2</v>
      </c>
      <c r="O8633">
        <v>-0.98829900000000004</v>
      </c>
      <c r="P8633">
        <v>7.0964600000000003E-2</v>
      </c>
      <c r="Q8633">
        <v>0.1098707</v>
      </c>
      <c r="R8633">
        <v>-0.99140980000000001</v>
      </c>
      <c r="S8633">
        <v>1.986694E-2</v>
      </c>
      <c r="T8633">
        <v>-6.0627220000000002E-2</v>
      </c>
      <c r="U8633">
        <v>-3.0314329999999998</v>
      </c>
      <c r="V8633">
        <v>8.1070909999999996E-2</v>
      </c>
      <c r="W8633">
        <v>0.1202511</v>
      </c>
      <c r="X8633">
        <v>0.98942770000000002</v>
      </c>
      <c r="Y8633">
        <v>0.14565690000000001</v>
      </c>
      <c r="Z8633">
        <v>8.8204359999999992E-3</v>
      </c>
      <c r="AA8633">
        <v>0.98929579999999995</v>
      </c>
      <c r="AB8633">
        <v>18</v>
      </c>
      <c r="AC8633">
        <v>0.34019999999998102</v>
      </c>
      <c r="AD8633">
        <v>-1.1162689835949999</v>
      </c>
      <c r="AE8633">
        <v>-55.595579999999998</v>
      </c>
      <c r="AF8633">
        <v>8.1199905540113306</v>
      </c>
      <c r="AG8633">
        <v>-1.1162689835949999</v>
      </c>
      <c r="AH8633">
        <v>54.977808234193503</v>
      </c>
      <c r="AI8633">
        <v>91.150693709012899</v>
      </c>
      <c r="AJ8633">
        <v>81.5983944909581</v>
      </c>
      <c r="AK8633">
        <v>55.585427058508103</v>
      </c>
      <c r="AL8633">
        <v>83.093405486024096</v>
      </c>
      <c r="AM8633">
        <v>85.315809770697598</v>
      </c>
      <c r="AN8633">
        <v>0.99999999651336402</v>
      </c>
    </row>
    <row r="8634" spans="1:40" x14ac:dyDescent="0.25">
      <c r="A8634" t="str">
        <f>"20190303162120553"</f>
        <v>20190303162120553</v>
      </c>
      <c r="B8634" t="str">
        <f>"1551601280540806"</f>
        <v>1551601280540806</v>
      </c>
      <c r="C8634" t="s">
        <v>40</v>
      </c>
      <c r="D8634">
        <v>4.9247489999999896</v>
      </c>
      <c r="E8634">
        <v>0.55474780000000001</v>
      </c>
      <c r="F8634" t="s">
        <v>62</v>
      </c>
      <c r="G8634">
        <v>-302.88459999999998</v>
      </c>
      <c r="H8634" s="1">
        <v>-7.4816989999999996E-6</v>
      </c>
      <c r="I8634">
        <v>-54.281489999999998</v>
      </c>
      <c r="J8634">
        <v>-302.68669999999997</v>
      </c>
      <c r="K8634">
        <v>1.116946</v>
      </c>
      <c r="L8634">
        <v>-4.9105829999999999</v>
      </c>
      <c r="M8634">
        <v>0.149831399999999</v>
      </c>
      <c r="N8634">
        <v>-1.111229E-2</v>
      </c>
      <c r="O8634">
        <v>-0.98864920000000001</v>
      </c>
      <c r="P8634">
        <v>7.0469039999999997E-2</v>
      </c>
      <c r="Q8634">
        <v>0.1104445</v>
      </c>
      <c r="R8634">
        <v>-0.99138099999999996</v>
      </c>
      <c r="S8634">
        <v>-1.0589599999999999E-2</v>
      </c>
      <c r="T8634">
        <v>-6.8354730000000002E-2</v>
      </c>
      <c r="U8634">
        <v>-3.034332</v>
      </c>
      <c r="V8634">
        <v>7.922912E-2</v>
      </c>
      <c r="W8634">
        <v>0.1212172</v>
      </c>
      <c r="X8634">
        <v>0.98945899999999998</v>
      </c>
      <c r="Y8634">
        <v>0.15326110000000001</v>
      </c>
      <c r="Z8634">
        <v>1.0893140000000001E-2</v>
      </c>
      <c r="AA8634">
        <v>0.9881257</v>
      </c>
      <c r="AB8634">
        <v>18</v>
      </c>
      <c r="AC8634">
        <v>-0.19790000000000399</v>
      </c>
      <c r="AD8634">
        <v>-1.1169534816990001</v>
      </c>
      <c r="AE8634">
        <v>-49.370907000000003</v>
      </c>
      <c r="AF8634">
        <v>7.58954946625951</v>
      </c>
      <c r="AG8634">
        <v>-1.1169534816990001</v>
      </c>
      <c r="AH8634">
        <v>48.758907960271998</v>
      </c>
      <c r="AI8634">
        <v>91.296675173873396</v>
      </c>
      <c r="AJ8634">
        <v>81.152643446305206</v>
      </c>
      <c r="AK8634">
        <v>49.358686688964397</v>
      </c>
      <c r="AL8634">
        <v>83.037644069208397</v>
      </c>
      <c r="AM8634">
        <v>85.4219130185149</v>
      </c>
      <c r="AN8634">
        <v>0.99999998785640698</v>
      </c>
    </row>
    <row r="8635" spans="1:40" x14ac:dyDescent="0.25">
      <c r="A8635" t="str">
        <f>"20190303162120577"</f>
        <v>20190303162120577</v>
      </c>
      <c r="B8635" t="str">
        <f>"1551601280571570"</f>
        <v>1551601280571570</v>
      </c>
      <c r="C8635" t="s">
        <v>40</v>
      </c>
      <c r="D8635">
        <v>4.8827360000000004</v>
      </c>
      <c r="E8635">
        <v>0.55723339999999999</v>
      </c>
      <c r="F8635" t="s">
        <v>41</v>
      </c>
      <c r="G8635">
        <v>-305.1789</v>
      </c>
      <c r="H8635" s="1">
        <v>-2.1983970000000001E-6</v>
      </c>
      <c r="I8635">
        <v>-38.498429999999999</v>
      </c>
      <c r="J8635">
        <v>-302.66149999999999</v>
      </c>
      <c r="K8635">
        <v>1.117559</v>
      </c>
      <c r="L8635">
        <v>-5.096527</v>
      </c>
      <c r="M8635">
        <v>0.147392299999999</v>
      </c>
      <c r="N8635">
        <v>-1.1464480000000001E-2</v>
      </c>
      <c r="O8635">
        <v>-0.98901209999999995</v>
      </c>
      <c r="P8635">
        <v>6.9073999999999997E-2</v>
      </c>
      <c r="Q8635">
        <v>0.1123736</v>
      </c>
      <c r="R8635">
        <v>-0.9912628</v>
      </c>
      <c r="S8635">
        <v>-0.2265625</v>
      </c>
      <c r="T8635">
        <v>-0.1015426</v>
      </c>
      <c r="U8635">
        <v>-3.0534970000000001</v>
      </c>
      <c r="V8635">
        <v>7.8147659999999994E-2</v>
      </c>
      <c r="W8635">
        <v>0.1235002</v>
      </c>
      <c r="X8635">
        <v>0.98926270000000005</v>
      </c>
      <c r="Y8635">
        <v>0.22011040000000001</v>
      </c>
      <c r="Z8635">
        <v>2.071547E-2</v>
      </c>
      <c r="AA8635">
        <v>0.97525499999999998</v>
      </c>
      <c r="AB8635">
        <v>18</v>
      </c>
      <c r="AC8635">
        <v>-2.5173999999999999</v>
      </c>
      <c r="AD8635">
        <v>-1.117561198397</v>
      </c>
      <c r="AE8635">
        <v>-33.401902999999997</v>
      </c>
      <c r="AF8635">
        <v>7.4051635861682801</v>
      </c>
      <c r="AG8635">
        <v>-1.117561198397</v>
      </c>
      <c r="AH8635">
        <v>32.629653039103196</v>
      </c>
      <c r="AI8635">
        <v>91.912998024294794</v>
      </c>
      <c r="AJ8635">
        <v>77.213545269589602</v>
      </c>
      <c r="AK8635">
        <v>33.478047258200903</v>
      </c>
      <c r="AL8635">
        <v>82.905847695362297</v>
      </c>
      <c r="AM8635">
        <v>85.483250269727904</v>
      </c>
      <c r="AN8635">
        <v>1.0000000228874</v>
      </c>
    </row>
    <row r="8636" spans="1:40" x14ac:dyDescent="0.25">
      <c r="A8636" t="str">
        <f>"20190303162120598"</f>
        <v>20190303162120598</v>
      </c>
      <c r="B8636" t="str">
        <f>"1551601280591089"</f>
        <v>1551601280591089</v>
      </c>
      <c r="C8636" t="s">
        <v>40</v>
      </c>
      <c r="D8636">
        <v>4.8933229999999996</v>
      </c>
      <c r="E8636">
        <v>0.55791899999999905</v>
      </c>
      <c r="F8636" t="s">
        <v>41</v>
      </c>
      <c r="G8636">
        <v>-305.39690000000002</v>
      </c>
      <c r="H8636" s="1">
        <v>-2.2245870000000001E-6</v>
      </c>
      <c r="I8636">
        <v>-38.57264</v>
      </c>
      <c r="J8636">
        <v>-302.63839999999999</v>
      </c>
      <c r="K8636">
        <v>1.1180349999999999</v>
      </c>
      <c r="L8636">
        <v>-5.270416</v>
      </c>
      <c r="M8636">
        <v>0.145101799999999</v>
      </c>
      <c r="N8636">
        <v>-1.175407E-2</v>
      </c>
      <c r="O8636">
        <v>-0.98934719999999998</v>
      </c>
      <c r="P8636">
        <v>6.6661170000000006E-2</v>
      </c>
      <c r="Q8636">
        <v>0.1134806</v>
      </c>
      <c r="R8636">
        <v>-0.99130180000000001</v>
      </c>
      <c r="S8636">
        <v>-0.24966430000000001</v>
      </c>
      <c r="T8636">
        <v>-0.1020017</v>
      </c>
      <c r="U8636">
        <v>-3.0554199999999998</v>
      </c>
      <c r="V8636">
        <v>7.8246049999999998E-2</v>
      </c>
      <c r="W8636">
        <v>0.12489500000000001</v>
      </c>
      <c r="X8636">
        <v>0.98907979999999995</v>
      </c>
      <c r="Y8636">
        <v>0.2251302</v>
      </c>
      <c r="Z8636">
        <v>2.053253E-2</v>
      </c>
      <c r="AA8636">
        <v>0.97411230000000004</v>
      </c>
      <c r="AB8636">
        <v>18</v>
      </c>
      <c r="AC8636">
        <v>-2.7585000000000202</v>
      </c>
      <c r="AD8636">
        <v>-1.1180372245870001</v>
      </c>
      <c r="AE8636">
        <v>-33.302224000000002</v>
      </c>
      <c r="AF8636">
        <v>7.5533916320869299</v>
      </c>
      <c r="AG8636">
        <v>-1.1180372245870001</v>
      </c>
      <c r="AH8636">
        <v>32.5130419616887</v>
      </c>
      <c r="AI8636">
        <v>91.918423162157595</v>
      </c>
      <c r="AJ8636">
        <v>76.921115932673899</v>
      </c>
      <c r="AK8636">
        <v>33.397629107255199</v>
      </c>
      <c r="AL8636">
        <v>82.825307995909995</v>
      </c>
      <c r="AM8636">
        <v>85.476754324078598</v>
      </c>
      <c r="AN8636">
        <v>1.00000002806682</v>
      </c>
    </row>
    <row r="8637" spans="1:40" x14ac:dyDescent="0.25">
      <c r="A8637" t="str">
        <f>"20190303162120621"</f>
        <v>20190303162120621</v>
      </c>
      <c r="B8637" t="str">
        <f>"1551601280611586"</f>
        <v>1551601280611586</v>
      </c>
      <c r="C8637" t="s">
        <v>40</v>
      </c>
      <c r="D8637">
        <v>4.8169950000000004</v>
      </c>
      <c r="E8637">
        <v>0.55741019999999997</v>
      </c>
      <c r="F8637" t="s">
        <v>41</v>
      </c>
      <c r="G8637">
        <v>-305.64120000000003</v>
      </c>
      <c r="H8637" s="1">
        <v>-1.5300890000000001E-6</v>
      </c>
      <c r="I8637">
        <v>-40.343029999999999</v>
      </c>
      <c r="J8637">
        <v>-302.61470000000003</v>
      </c>
      <c r="K8637">
        <v>1.1184419999999999</v>
      </c>
      <c r="L8637">
        <v>-5.4518740000000001</v>
      </c>
      <c r="M8637">
        <v>0.14273259999999999</v>
      </c>
      <c r="N8637">
        <v>-1.201989E-2</v>
      </c>
      <c r="O8637">
        <v>-0.98968860000000003</v>
      </c>
      <c r="P8637">
        <v>6.3844979999999996E-2</v>
      </c>
      <c r="Q8637">
        <v>0.1124791</v>
      </c>
      <c r="R8637">
        <v>-0.99160099999999995</v>
      </c>
      <c r="S8637">
        <v>-0.26156620000000003</v>
      </c>
      <c r="T8637">
        <v>-9.7388269999999999E-2</v>
      </c>
      <c r="U8637">
        <v>-3.0550540000000002</v>
      </c>
      <c r="V8637">
        <v>7.8700569999999997E-2</v>
      </c>
      <c r="W8637">
        <v>0.1241574</v>
      </c>
      <c r="X8637">
        <v>0.98913660000000003</v>
      </c>
      <c r="Y8637">
        <v>0.22657859999999999</v>
      </c>
      <c r="Z8637">
        <v>1.8810529999999999E-2</v>
      </c>
      <c r="AA8637">
        <v>0.97381119999999999</v>
      </c>
      <c r="AB8637">
        <v>18</v>
      </c>
      <c r="AC8637">
        <v>-3.0264999999999902</v>
      </c>
      <c r="AD8637">
        <v>-1.1184435300890001</v>
      </c>
      <c r="AE8637">
        <v>-34.891155999999903</v>
      </c>
      <c r="AF8637">
        <v>7.9678456586516901</v>
      </c>
      <c r="AG8637">
        <v>-1.1184435300890001</v>
      </c>
      <c r="AH8637">
        <v>34.067108698250898</v>
      </c>
      <c r="AI8637">
        <v>91.831000435429004</v>
      </c>
      <c r="AJ8637">
        <v>76.835909634945594</v>
      </c>
      <c r="AK8637">
        <v>35.004362234277799</v>
      </c>
      <c r="AL8637">
        <v>82.867900881485696</v>
      </c>
      <c r="AM8637">
        <v>85.450849572814306</v>
      </c>
      <c r="AN8637">
        <v>1.00000002657632</v>
      </c>
    </row>
    <row r="8638" spans="1:40" x14ac:dyDescent="0.25">
      <c r="A8638" t="str">
        <f>"20190303162120644"</f>
        <v>20190303162120644</v>
      </c>
      <c r="B8638" t="str">
        <f>"1551601280631106"</f>
        <v>1551601280631106</v>
      </c>
      <c r="C8638" t="s">
        <v>40</v>
      </c>
      <c r="D8638">
        <v>4.8051240000000002</v>
      </c>
      <c r="E8638">
        <v>0.55712030000000001</v>
      </c>
      <c r="F8638" t="s">
        <v>62</v>
      </c>
      <c r="G8638">
        <v>-305.88139999999999</v>
      </c>
      <c r="H8638" s="1">
        <v>-2.5969460000000001E-6</v>
      </c>
      <c r="I8638">
        <v>-43.060409999999997</v>
      </c>
      <c r="J8638">
        <v>-302.59059999999999</v>
      </c>
      <c r="K8638">
        <v>1.118787</v>
      </c>
      <c r="L8638">
        <v>-5.6397709999999996</v>
      </c>
      <c r="M8638">
        <v>0.1403016</v>
      </c>
      <c r="N8638">
        <v>-1.226206E-2</v>
      </c>
      <c r="O8638">
        <v>-0.99003300000000005</v>
      </c>
      <c r="P8638">
        <v>6.0237730000000003E-2</v>
      </c>
      <c r="Q8638">
        <v>0.1098856</v>
      </c>
      <c r="R8638">
        <v>-0.99211760000000004</v>
      </c>
      <c r="S8638">
        <v>-0.26516719999999999</v>
      </c>
      <c r="T8638">
        <v>-9.0786580000000006E-2</v>
      </c>
      <c r="U8638">
        <v>-3.052765</v>
      </c>
      <c r="V8638">
        <v>7.9905290000000004E-2</v>
      </c>
      <c r="W8638">
        <v>0.1218027</v>
      </c>
      <c r="X8638">
        <v>0.98933269999999995</v>
      </c>
      <c r="Y8638">
        <v>0.2253946</v>
      </c>
      <c r="Z8638">
        <v>1.651333E-2</v>
      </c>
      <c r="AA8638">
        <v>0.97412759999999998</v>
      </c>
      <c r="AB8638">
        <v>18</v>
      </c>
      <c r="AC8638">
        <v>-3.2907999999999902</v>
      </c>
      <c r="AD8638">
        <v>-1.118789596946</v>
      </c>
      <c r="AE8638">
        <v>-37.420639000000001</v>
      </c>
      <c r="AF8638">
        <v>8.5012740980118799</v>
      </c>
      <c r="AG8638">
        <v>-1.118789596946</v>
      </c>
      <c r="AH8638">
        <v>36.556283632858303</v>
      </c>
      <c r="AI8638">
        <v>91.707432147235707</v>
      </c>
      <c r="AJ8638">
        <v>76.908385303926593</v>
      </c>
      <c r="AK8638">
        <v>37.548438376286001</v>
      </c>
      <c r="AL8638">
        <v>83.003846849890806</v>
      </c>
      <c r="AM8638">
        <v>85.382423308693703</v>
      </c>
      <c r="AN8638">
        <v>0.99999997219328096</v>
      </c>
    </row>
    <row r="8639" spans="1:40" x14ac:dyDescent="0.25">
      <c r="A8639" t="str">
        <f>"20190303162120666"</f>
        <v>20190303162120666</v>
      </c>
      <c r="B8639" t="str">
        <f>"1551601280661361"</f>
        <v>1551601280661361</v>
      </c>
      <c r="C8639" t="s">
        <v>40</v>
      </c>
      <c r="D8639">
        <v>4.892144</v>
      </c>
      <c r="E8639">
        <v>0.55694829999999995</v>
      </c>
      <c r="F8639" t="s">
        <v>62</v>
      </c>
      <c r="G8639">
        <v>-305.96420000000001</v>
      </c>
      <c r="H8639" s="1">
        <v>-2.7349319999999999E-6</v>
      </c>
      <c r="I8639">
        <v>-43.363990000000001</v>
      </c>
      <c r="J8639">
        <v>-302.56819999999999</v>
      </c>
      <c r="K8639">
        <v>1.1190439999999999</v>
      </c>
      <c r="L8639">
        <v>-5.8183290000000003</v>
      </c>
      <c r="M8639">
        <v>0.13798629999999901</v>
      </c>
      <c r="N8639">
        <v>-1.2458769999999999E-2</v>
      </c>
      <c r="O8639">
        <v>-0.99035569999999895</v>
      </c>
      <c r="P8639">
        <v>5.5379890000000001E-2</v>
      </c>
      <c r="Q8639">
        <v>0.1053448</v>
      </c>
      <c r="R8639">
        <v>-0.99289260000000001</v>
      </c>
      <c r="S8639">
        <v>-0.2727966</v>
      </c>
      <c r="T8639">
        <v>-9.0466379999999999E-2</v>
      </c>
      <c r="U8639">
        <v>-3.0504150000000001</v>
      </c>
      <c r="V8639">
        <v>8.2495860000000004E-2</v>
      </c>
      <c r="W8639">
        <v>0.117453</v>
      </c>
      <c r="X8639">
        <v>0.98964600000000003</v>
      </c>
      <c r="Y8639">
        <v>0.2255984</v>
      </c>
      <c r="Z8639">
        <v>1.624546E-2</v>
      </c>
      <c r="AA8639">
        <v>0.97408490000000003</v>
      </c>
      <c r="AB8639">
        <v>18</v>
      </c>
      <c r="AC8639">
        <v>-3.3960000000000101</v>
      </c>
      <c r="AD8639">
        <v>-1.1190467349319999</v>
      </c>
      <c r="AE8639">
        <v>-37.545660999999903</v>
      </c>
      <c r="AF8639">
        <v>8.53717628004968</v>
      </c>
      <c r="AG8639">
        <v>-1.1190467349319999</v>
      </c>
      <c r="AH8639">
        <v>36.685485852440003</v>
      </c>
      <c r="AI8639">
        <v>91.701753205605399</v>
      </c>
      <c r="AJ8639">
        <v>76.899709164392803</v>
      </c>
      <c r="AK8639">
        <v>37.682363469681398</v>
      </c>
      <c r="AL8639">
        <v>83.254869276247405</v>
      </c>
      <c r="AM8639">
        <v>85.234900215092907</v>
      </c>
      <c r="AN8639">
        <v>0.99999998972106896</v>
      </c>
    </row>
    <row r="8640" spans="1:40" x14ac:dyDescent="0.25">
      <c r="A8640" t="str">
        <f>"20190303162120689"</f>
        <v>20190303162120689</v>
      </c>
      <c r="B8640" t="str">
        <f>"1551601280681389"</f>
        <v>1551601280681389</v>
      </c>
      <c r="C8640" t="s">
        <v>40</v>
      </c>
      <c r="D8640">
        <v>4.870679</v>
      </c>
      <c r="E8640">
        <v>0.55691429999999997</v>
      </c>
      <c r="F8640" t="s">
        <v>41</v>
      </c>
      <c r="G8640">
        <v>-305.68430000000001</v>
      </c>
      <c r="H8640" s="1">
        <v>-2.0472129999999998E-6</v>
      </c>
      <c r="I8640">
        <v>-39.164340000000003</v>
      </c>
      <c r="J8640">
        <v>-302.54660000000001</v>
      </c>
      <c r="K8640">
        <v>1.1192409999999999</v>
      </c>
      <c r="L8640">
        <v>-5.9934079999999996</v>
      </c>
      <c r="M8640">
        <v>0.13568740000000001</v>
      </c>
      <c r="N8640">
        <v>-1.2618600000000001E-2</v>
      </c>
      <c r="O8640">
        <v>-0.99067150000000004</v>
      </c>
      <c r="P8640">
        <v>5.0053670000000001E-2</v>
      </c>
      <c r="Q8640">
        <v>0.1014111</v>
      </c>
      <c r="R8640">
        <v>-0.99358480000000005</v>
      </c>
      <c r="S8640">
        <v>-0.28485110000000002</v>
      </c>
      <c r="T8640">
        <v>-0.102294</v>
      </c>
      <c r="U8640">
        <v>-3.0482179999999999</v>
      </c>
      <c r="V8640">
        <v>8.5557869999999994E-2</v>
      </c>
      <c r="W8640">
        <v>0.11366950000000001</v>
      </c>
      <c r="X8640">
        <v>0.98982780000000004</v>
      </c>
      <c r="Y8640">
        <v>0.2272064</v>
      </c>
      <c r="Z8640">
        <v>1.986949E-2</v>
      </c>
      <c r="AA8640">
        <v>0.97364390000000001</v>
      </c>
      <c r="AB8640">
        <v>18</v>
      </c>
      <c r="AC8640">
        <v>-3.1376999999999899</v>
      </c>
      <c r="AD8640">
        <v>-1.1192430472129999</v>
      </c>
      <c r="AE8640">
        <v>-33.170932000000001</v>
      </c>
      <c r="AF8640">
        <v>7.6013347673421903</v>
      </c>
      <c r="AG8640">
        <v>-1.1192430472129999</v>
      </c>
      <c r="AH8640">
        <v>32.401765771310501</v>
      </c>
      <c r="AI8640">
        <v>91.926110484697404</v>
      </c>
      <c r="AJ8640">
        <v>76.797369886588797</v>
      </c>
      <c r="AK8640">
        <v>33.300261565681602</v>
      </c>
      <c r="AL8640">
        <v>83.473110127957995</v>
      </c>
      <c r="AM8640">
        <v>85.059796458926101</v>
      </c>
      <c r="AN8640">
        <v>0.99999998900101295</v>
      </c>
    </row>
    <row r="8641" spans="1:40" x14ac:dyDescent="0.25">
      <c r="A8641" t="str">
        <f>"20190303162120710"</f>
        <v>20190303162120710</v>
      </c>
      <c r="B8641" t="str">
        <f>"1551601280700909"</f>
        <v>1551601280700909</v>
      </c>
      <c r="C8641" t="s">
        <v>40</v>
      </c>
      <c r="D8641">
        <v>4.8647989999999997</v>
      </c>
      <c r="E8641">
        <v>0.55671669999999995</v>
      </c>
      <c r="F8641" t="s">
        <v>41</v>
      </c>
      <c r="G8641">
        <v>-305.41239999999999</v>
      </c>
      <c r="H8641" s="1">
        <v>-3.6302180000000001E-6</v>
      </c>
      <c r="I8641">
        <v>-35.16686</v>
      </c>
      <c r="J8641">
        <v>-302.52600000000001</v>
      </c>
      <c r="K8641">
        <v>1.1194010000000001</v>
      </c>
      <c r="L8641">
        <v>-6.1647639999999999</v>
      </c>
      <c r="M8641">
        <v>0.13341149999999999</v>
      </c>
      <c r="N8641">
        <v>-1.2746479999999999E-2</v>
      </c>
      <c r="O8641">
        <v>-0.99097880000000005</v>
      </c>
      <c r="P8641">
        <v>4.4998950000000003E-2</v>
      </c>
      <c r="Q8641">
        <v>9.9551710000000002E-2</v>
      </c>
      <c r="R8641">
        <v>-0.99401459999999997</v>
      </c>
      <c r="S8641">
        <v>-0.2992554</v>
      </c>
      <c r="T8641">
        <v>-0.1168752</v>
      </c>
      <c r="U8641">
        <v>-3.0463870000000002</v>
      </c>
      <c r="V8641">
        <v>8.8345629999999994E-2</v>
      </c>
      <c r="W8641">
        <v>0.111926</v>
      </c>
      <c r="X8641">
        <v>0.98978160000000004</v>
      </c>
      <c r="Y8641">
        <v>0.2295663</v>
      </c>
      <c r="Z8641">
        <v>2.4396330000000001E-2</v>
      </c>
      <c r="AA8641">
        <v>0.97298720000000005</v>
      </c>
      <c r="AB8641">
        <v>18</v>
      </c>
      <c r="AC8641">
        <v>-2.8863999999999801</v>
      </c>
      <c r="AD8641">
        <v>-1.1194046302180001</v>
      </c>
      <c r="AE8641">
        <v>-29.002096000000002</v>
      </c>
      <c r="AF8641">
        <v>6.7202075269116097</v>
      </c>
      <c r="AG8641">
        <v>-1.1194046302180001</v>
      </c>
      <c r="AH8641">
        <v>28.3159158279772</v>
      </c>
      <c r="AI8641">
        <v>92.202755115704093</v>
      </c>
      <c r="AJ8641">
        <v>76.649018924805304</v>
      </c>
      <c r="AK8641">
        <v>29.123965133683299</v>
      </c>
      <c r="AL8641">
        <v>83.573647019707195</v>
      </c>
      <c r="AM8641">
        <v>84.899427106734393</v>
      </c>
      <c r="AN8641">
        <v>0.99999999775732795</v>
      </c>
    </row>
    <row r="8642" spans="1:40" x14ac:dyDescent="0.25">
      <c r="A8642" t="str">
        <f>"20190303162120733"</f>
        <v>20190303162120733</v>
      </c>
      <c r="B8642" t="str">
        <f>"1551601280721405"</f>
        <v>1551601280721405</v>
      </c>
      <c r="C8642" t="s">
        <v>40</v>
      </c>
      <c r="D8642">
        <v>4.8958029999999999</v>
      </c>
      <c r="E8642">
        <v>0.55731009999999903</v>
      </c>
      <c r="F8642" t="s">
        <v>41</v>
      </c>
      <c r="G8642">
        <v>-305.48090000000002</v>
      </c>
      <c r="H8642" s="1">
        <v>-3.7126269999999999E-6</v>
      </c>
      <c r="I8642">
        <v>-34.960410000000003</v>
      </c>
      <c r="J8642">
        <v>-302.50439999999998</v>
      </c>
      <c r="K8642">
        <v>1.119542</v>
      </c>
      <c r="L8642">
        <v>-6.3471679999999999</v>
      </c>
      <c r="M8642">
        <v>0.13096659999999999</v>
      </c>
      <c r="N8642">
        <v>-1.2854020000000001E-2</v>
      </c>
      <c r="O8642">
        <v>-0.99130339999999995</v>
      </c>
      <c r="P8642">
        <v>4.0121360000000002E-2</v>
      </c>
      <c r="Q8642">
        <v>9.8579710000000001E-2</v>
      </c>
      <c r="R8642">
        <v>-0.99431990000000003</v>
      </c>
      <c r="S8642">
        <v>-0.31237789999999999</v>
      </c>
      <c r="T8642">
        <v>-0.11833539999999999</v>
      </c>
      <c r="U8642">
        <v>-3.0440670000000001</v>
      </c>
      <c r="V8642">
        <v>9.0777200000000002E-2</v>
      </c>
      <c r="W8642">
        <v>0.1110498</v>
      </c>
      <c r="X8642">
        <v>0.98966030000000005</v>
      </c>
      <c r="Y8642">
        <v>0.2313868</v>
      </c>
      <c r="Z8642">
        <v>2.4781549999999999E-2</v>
      </c>
      <c r="AA8642">
        <v>0.97254620000000003</v>
      </c>
      <c r="AB8642">
        <v>18</v>
      </c>
      <c r="AC8642">
        <v>-2.9765000000000401</v>
      </c>
      <c r="AD8642">
        <v>-1.1195457126270001</v>
      </c>
      <c r="AE8642">
        <v>-28.613242</v>
      </c>
      <c r="AF8642">
        <v>6.6884175650921103</v>
      </c>
      <c r="AG8642">
        <v>-1.1195457126270001</v>
      </c>
      <c r="AH8642">
        <v>27.934587138761099</v>
      </c>
      <c r="AI8642">
        <v>92.232018006214901</v>
      </c>
      <c r="AJ8642">
        <v>76.535074256923707</v>
      </c>
      <c r="AK8642">
        <v>28.745947031550902</v>
      </c>
      <c r="AL8642">
        <v>83.624164750640304</v>
      </c>
      <c r="AM8642">
        <v>84.759174584646104</v>
      </c>
      <c r="AN8642">
        <v>1.00000003375798</v>
      </c>
    </row>
    <row r="8643" spans="1:40" x14ac:dyDescent="0.25">
      <c r="A8643" t="str">
        <f>"20190303162120754"</f>
        <v>20190303162120754</v>
      </c>
      <c r="B8643" t="str">
        <f>"1551601280740925"</f>
        <v>1551601280740925</v>
      </c>
      <c r="C8643" t="s">
        <v>40</v>
      </c>
      <c r="D8643">
        <v>4.943041</v>
      </c>
      <c r="E8643">
        <v>0.57352499999999995</v>
      </c>
      <c r="F8643" t="s">
        <v>41</v>
      </c>
      <c r="G8643">
        <v>-305.6968</v>
      </c>
      <c r="H8643" s="1">
        <v>-3.5581049999999998E-6</v>
      </c>
      <c r="I8643">
        <v>-35.527000000000001</v>
      </c>
      <c r="J8643">
        <v>-302.48469999999998</v>
      </c>
      <c r="K8643">
        <v>1.119653</v>
      </c>
      <c r="L8643">
        <v>-6.517334</v>
      </c>
      <c r="M8643">
        <v>0.12867020000000001</v>
      </c>
      <c r="N8643">
        <v>-1.2928810000000001E-2</v>
      </c>
      <c r="O8643">
        <v>-0.99160320000000002</v>
      </c>
      <c r="P8643">
        <v>3.626269E-2</v>
      </c>
      <c r="Q8643">
        <v>9.8568230000000007E-2</v>
      </c>
      <c r="R8643">
        <v>-0.99446959999999995</v>
      </c>
      <c r="S8643">
        <v>-0.33282469999999997</v>
      </c>
      <c r="T8643">
        <v>-0.1167183</v>
      </c>
      <c r="U8643">
        <v>-3.0421450000000001</v>
      </c>
      <c r="V8643">
        <v>9.2331010000000005E-2</v>
      </c>
      <c r="W8643">
        <v>0.1111033</v>
      </c>
      <c r="X8643">
        <v>0.98951049999999996</v>
      </c>
      <c r="Y8643">
        <v>0.23565810000000001</v>
      </c>
      <c r="Z8643">
        <v>2.4195169999999998E-2</v>
      </c>
      <c r="AA8643">
        <v>0.97153480000000003</v>
      </c>
      <c r="AB8643">
        <v>18</v>
      </c>
      <c r="AC8643">
        <v>-3.2121000000000199</v>
      </c>
      <c r="AD8643">
        <v>-1.119656558105</v>
      </c>
      <c r="AE8643">
        <v>-29.009665999999999</v>
      </c>
      <c r="AF8643">
        <v>6.9082199373839703</v>
      </c>
      <c r="AG8643">
        <v>-1.119656558105</v>
      </c>
      <c r="AH8643">
        <v>28.313478543641299</v>
      </c>
      <c r="AI8643">
        <v>92.200106956455201</v>
      </c>
      <c r="AJ8643">
        <v>76.288276579397206</v>
      </c>
      <c r="AK8643">
        <v>29.165565325441801</v>
      </c>
      <c r="AL8643">
        <v>83.621080086012896</v>
      </c>
      <c r="AM8643">
        <v>84.669178805056802</v>
      </c>
      <c r="AN8643">
        <v>0.99999999414437901</v>
      </c>
    </row>
    <row r="8644" spans="1:40" x14ac:dyDescent="0.25">
      <c r="A8644" t="str">
        <f>"20190303162120777"</f>
        <v>20190303162120777</v>
      </c>
      <c r="B8644" t="str">
        <f>"1551601280770713"</f>
        <v>1551601280770713</v>
      </c>
      <c r="C8644" t="s">
        <v>40</v>
      </c>
      <c r="D8644">
        <v>4.9497530000000003</v>
      </c>
      <c r="E8644">
        <v>0.57151169999999996</v>
      </c>
      <c r="F8644" t="s">
        <v>41</v>
      </c>
      <c r="G8644">
        <v>-306.35399999999998</v>
      </c>
      <c r="H8644" s="1">
        <v>-5.0878879999999997E-6</v>
      </c>
      <c r="I8644">
        <v>-31.37425</v>
      </c>
      <c r="J8644">
        <v>-302.46420000000001</v>
      </c>
      <c r="K8644">
        <v>1.119756</v>
      </c>
      <c r="L8644">
        <v>-6.6990049999999997</v>
      </c>
      <c r="M8644">
        <v>0.1262028</v>
      </c>
      <c r="N8644">
        <v>-1.2983679999999999E-2</v>
      </c>
      <c r="O8644">
        <v>-0.99191949999999995</v>
      </c>
      <c r="P8644">
        <v>3.292867E-2</v>
      </c>
      <c r="Q8644">
        <v>9.983736E-2</v>
      </c>
      <c r="R8644">
        <v>-0.99445870000000003</v>
      </c>
      <c r="S8644">
        <v>-0.47439579999999998</v>
      </c>
      <c r="T8644">
        <v>-0.13727549999999999</v>
      </c>
      <c r="U8644">
        <v>-3.047577</v>
      </c>
      <c r="V8644">
        <v>9.3178399999999995E-2</v>
      </c>
      <c r="W8644">
        <v>0.1124188</v>
      </c>
      <c r="X8644">
        <v>0.98928249999999995</v>
      </c>
      <c r="Y8644">
        <v>0.27711629999999998</v>
      </c>
      <c r="Z8644">
        <v>3.0213520000000001E-2</v>
      </c>
      <c r="AA8644">
        <v>0.96036120000000003</v>
      </c>
      <c r="AB8644">
        <v>18</v>
      </c>
      <c r="AC8644">
        <v>-3.8898000000000299</v>
      </c>
      <c r="AD8644">
        <v>-1.119761087888</v>
      </c>
      <c r="AE8644">
        <v>-24.675245</v>
      </c>
      <c r="AF8644">
        <v>6.9590576277333103</v>
      </c>
      <c r="AG8644">
        <v>-1.119761087888</v>
      </c>
      <c r="AH8644">
        <v>23.938871848125601</v>
      </c>
      <c r="AI8644">
        <v>92.571794753639793</v>
      </c>
      <c r="AJ8644">
        <v>73.790791338722002</v>
      </c>
      <c r="AK8644">
        <v>24.9549981631144</v>
      </c>
      <c r="AL8644">
        <v>83.545232554507507</v>
      </c>
      <c r="AM8644">
        <v>84.619307107861601</v>
      </c>
      <c r="AN8644">
        <v>1.00000003281312</v>
      </c>
    </row>
    <row r="8645" spans="1:40" x14ac:dyDescent="0.25">
      <c r="A8645" t="str">
        <f>"20190303162120799"</f>
        <v>20190303162120799</v>
      </c>
      <c r="B8645" t="str">
        <f>"1551601280791209"</f>
        <v>1551601280791209</v>
      </c>
      <c r="C8645" t="s">
        <v>40</v>
      </c>
      <c r="D8645">
        <v>4.943111</v>
      </c>
      <c r="E8645">
        <v>0.57095929999999995</v>
      </c>
      <c r="F8645" t="s">
        <v>41</v>
      </c>
      <c r="G8645">
        <v>-304.95240000000001</v>
      </c>
      <c r="H8645" s="1">
        <v>-4.3143899999999999E-6</v>
      </c>
      <c r="I8645">
        <v>-22.916599999999999</v>
      </c>
      <c r="J8645">
        <v>-302.44490000000002</v>
      </c>
      <c r="K8645">
        <v>1.119856</v>
      </c>
      <c r="L8645">
        <v>-6.8735660000000003</v>
      </c>
      <c r="M8645">
        <v>0.1238158</v>
      </c>
      <c r="N8645">
        <v>-1.301954E-2</v>
      </c>
      <c r="O8645">
        <v>-0.99221979999999999</v>
      </c>
      <c r="P8645">
        <v>3.079374E-2</v>
      </c>
      <c r="Q8645">
        <v>0.1024278</v>
      </c>
      <c r="R8645">
        <v>-0.99426380000000003</v>
      </c>
      <c r="S8645">
        <v>-0.46847529999999998</v>
      </c>
      <c r="T8645">
        <v>-0.2108254</v>
      </c>
      <c r="U8645">
        <v>-3.0534059999999998</v>
      </c>
      <c r="V8645">
        <v>9.2898060000000005E-2</v>
      </c>
      <c r="W8645">
        <v>0.1150409</v>
      </c>
      <c r="X8645">
        <v>0.98900739999999998</v>
      </c>
      <c r="Y8645">
        <v>0.27251350000000002</v>
      </c>
      <c r="Z8645">
        <v>5.327614E-2</v>
      </c>
      <c r="AA8645">
        <v>0.96067579999999997</v>
      </c>
      <c r="AB8645">
        <v>18</v>
      </c>
      <c r="AC8645">
        <v>-2.5074999999999901</v>
      </c>
      <c r="AD8645">
        <v>-1.1198603143899999</v>
      </c>
      <c r="AE8645">
        <v>-16.043033999999999</v>
      </c>
      <c r="AF8645">
        <v>4.4535688438172096</v>
      </c>
      <c r="AG8645">
        <v>-1.1198603143899999</v>
      </c>
      <c r="AH8645">
        <v>15.5351803419574</v>
      </c>
      <c r="AI8645">
        <v>93.963931067339203</v>
      </c>
      <c r="AJ8645">
        <v>74.003654845335703</v>
      </c>
      <c r="AK8645">
        <v>16.1996972449334</v>
      </c>
      <c r="AL8645">
        <v>83.394016213906397</v>
      </c>
      <c r="AM8645">
        <v>84.633917578207104</v>
      </c>
      <c r="AN8645">
        <v>1.00000004773966</v>
      </c>
    </row>
    <row r="8646" spans="1:40" x14ac:dyDescent="0.25">
      <c r="A8646" t="str">
        <f>"20190303162120822"</f>
        <v>20190303162120822</v>
      </c>
      <c r="B8646" t="str">
        <f>"1551601280810729"</f>
        <v>1551601280810729</v>
      </c>
      <c r="C8646" t="s">
        <v>40</v>
      </c>
      <c r="D8646">
        <v>4.9402939999999997</v>
      </c>
      <c r="E8646">
        <v>0.57031239999999905</v>
      </c>
      <c r="F8646" t="s">
        <v>41</v>
      </c>
      <c r="G8646">
        <v>-305.0883</v>
      </c>
      <c r="H8646" s="1">
        <v>-3.9648539999999999E-6</v>
      </c>
      <c r="I8646">
        <v>-24.014569999999999</v>
      </c>
      <c r="J8646">
        <v>-302.42540000000002</v>
      </c>
      <c r="K8646">
        <v>1.1199509999999999</v>
      </c>
      <c r="L8646">
        <v>-7.054138</v>
      </c>
      <c r="M8646">
        <v>0.1213322</v>
      </c>
      <c r="N8646">
        <v>-1.3044180000000001E-2</v>
      </c>
      <c r="O8646">
        <v>-0.99252620000000003</v>
      </c>
      <c r="P8646">
        <v>2.837046E-2</v>
      </c>
      <c r="Q8646">
        <v>0.10500230000000001</v>
      </c>
      <c r="R8646">
        <v>-0.99406740000000005</v>
      </c>
      <c r="S8646">
        <v>-0.47073359999999898</v>
      </c>
      <c r="T8646">
        <v>-0.19942190000000001</v>
      </c>
      <c r="U8646">
        <v>-3.0524290000000001</v>
      </c>
      <c r="V8646">
        <v>9.2808219999999997E-2</v>
      </c>
      <c r="W8646">
        <v>0.1176367</v>
      </c>
      <c r="X8646">
        <v>0.98871039999999999</v>
      </c>
      <c r="Y8646">
        <v>0.2708817</v>
      </c>
      <c r="Z8646">
        <v>4.9735630000000003E-2</v>
      </c>
      <c r="AA8646">
        <v>0.96132700000000004</v>
      </c>
      <c r="AB8646">
        <v>18</v>
      </c>
      <c r="AC8646">
        <v>-2.6628999999999698</v>
      </c>
      <c r="AD8646">
        <v>-1.1199549648539999</v>
      </c>
      <c r="AE8646">
        <v>-16.960432000000001</v>
      </c>
      <c r="AF8646">
        <v>4.6813233277610298</v>
      </c>
      <c r="AG8646">
        <v>-1.1199549648539999</v>
      </c>
      <c r="AH8646">
        <v>16.442014060005</v>
      </c>
      <c r="AI8646">
        <v>93.748196524611501</v>
      </c>
      <c r="AJ8646">
        <v>74.107438023670198</v>
      </c>
      <c r="AK8646">
        <v>17.132101843374102</v>
      </c>
      <c r="AL8646">
        <v>83.244270683786496</v>
      </c>
      <c r="AM8646">
        <v>84.637475780342697</v>
      </c>
      <c r="AN8646">
        <v>1.0000000069773001</v>
      </c>
    </row>
    <row r="8647" spans="1:40" x14ac:dyDescent="0.25">
      <c r="A8647" t="str">
        <f>"20190303162120845"</f>
        <v>20190303162120845</v>
      </c>
      <c r="B8647" t="str">
        <f>"1551601280841961"</f>
        <v>1551601280841961</v>
      </c>
      <c r="C8647" t="s">
        <v>40</v>
      </c>
      <c r="D8647">
        <v>4.9418189999999997</v>
      </c>
      <c r="E8647">
        <v>0.56952669999999905</v>
      </c>
      <c r="F8647" t="s">
        <v>41</v>
      </c>
      <c r="G8647">
        <v>-305.0634</v>
      </c>
      <c r="H8647" s="1">
        <v>-3.93674699999999E-6</v>
      </c>
      <c r="I8647">
        <v>-24.084219999999998</v>
      </c>
      <c r="J8647">
        <v>-302.40589999999997</v>
      </c>
      <c r="K8647">
        <v>1.1200300000000001</v>
      </c>
      <c r="L8647">
        <v>-7.2391360000000002</v>
      </c>
      <c r="M8647">
        <v>0.1187757</v>
      </c>
      <c r="N8647">
        <v>-1.305795E-2</v>
      </c>
      <c r="O8647">
        <v>-0.99283549999999998</v>
      </c>
      <c r="P8647">
        <v>2.6703629999999999E-2</v>
      </c>
      <c r="Q8647">
        <v>0.1074055</v>
      </c>
      <c r="R8647">
        <v>-0.99385710000000005</v>
      </c>
      <c r="S8647">
        <v>-0.47286990000000001</v>
      </c>
      <c r="T8647">
        <v>-0.20075009999999999</v>
      </c>
      <c r="U8647">
        <v>-3.0526119999999999</v>
      </c>
      <c r="V8647">
        <v>9.1893959999999997E-2</v>
      </c>
      <c r="W8647">
        <v>0.1200547</v>
      </c>
      <c r="X8647">
        <v>0.98850510000000003</v>
      </c>
      <c r="Y8647">
        <v>0.26904749999999999</v>
      </c>
      <c r="Z8647">
        <v>5.0181249999999997E-2</v>
      </c>
      <c r="AA8647">
        <v>0.96181879999999997</v>
      </c>
      <c r="AB8647">
        <v>18</v>
      </c>
      <c r="AC8647">
        <v>-2.6575000000000202</v>
      </c>
      <c r="AD8647">
        <v>-1.12003393674699</v>
      </c>
      <c r="AE8647">
        <v>-16.845084</v>
      </c>
      <c r="AF8647">
        <v>4.6197138048035304</v>
      </c>
      <c r="AG8647">
        <v>-1.12003393674699</v>
      </c>
      <c r="AH8647">
        <v>16.3396632332406</v>
      </c>
      <c r="AI8647">
        <v>93.773835588360498</v>
      </c>
      <c r="AJ8647">
        <v>74.212808051858403</v>
      </c>
      <c r="AK8647">
        <v>17.017074549800601</v>
      </c>
      <c r="AL8647">
        <v>83.104740392868493</v>
      </c>
      <c r="AM8647">
        <v>84.688902396875704</v>
      </c>
      <c r="AN8647">
        <v>0.99999998180129002</v>
      </c>
    </row>
    <row r="8648" spans="1:40" x14ac:dyDescent="0.25">
      <c r="A8648" t="str">
        <f>"20190303162120871"</f>
        <v>20190303162120871</v>
      </c>
      <c r="B8648" t="str">
        <f>"1551601280861482"</f>
        <v>1551601280861482</v>
      </c>
      <c r="C8648" t="s">
        <v>40</v>
      </c>
      <c r="D8648">
        <v>4.9710530000000004</v>
      </c>
      <c r="E8648">
        <v>0.56939289999999998</v>
      </c>
      <c r="F8648" t="s">
        <v>41</v>
      </c>
      <c r="G8648">
        <v>-305.09199999999998</v>
      </c>
      <c r="H8648" s="1">
        <v>-3.7427420000000001E-6</v>
      </c>
      <c r="I8648">
        <v>-24.66919</v>
      </c>
      <c r="J8648">
        <v>-302.38490000000002</v>
      </c>
      <c r="K8648">
        <v>1.1201129999999999</v>
      </c>
      <c r="L8648">
        <v>-7.4445499999999996</v>
      </c>
      <c r="M8648">
        <v>0.1159289</v>
      </c>
      <c r="N8648">
        <v>-1.3062829999999999E-2</v>
      </c>
      <c r="O8648">
        <v>-0.99317160000000004</v>
      </c>
      <c r="P8648">
        <v>2.4884340000000001E-2</v>
      </c>
      <c r="Q8648">
        <v>0.10916240000000001</v>
      </c>
      <c r="R8648">
        <v>-0.9937125</v>
      </c>
      <c r="S8648">
        <v>-0.47039789999999998</v>
      </c>
      <c r="T8648">
        <v>-0.19614139999999999</v>
      </c>
      <c r="U8648">
        <v>-3.052368</v>
      </c>
      <c r="V8648">
        <v>9.0849429999999995E-2</v>
      </c>
      <c r="W8648">
        <v>0.12181930000000001</v>
      </c>
      <c r="X8648">
        <v>0.98838579999999998</v>
      </c>
      <c r="Y8648">
        <v>0.26555089999999998</v>
      </c>
      <c r="Z8648">
        <v>4.8802489999999997E-2</v>
      </c>
      <c r="AA8648">
        <v>0.96286079999999996</v>
      </c>
      <c r="AB8648">
        <v>18</v>
      </c>
      <c r="AC8648">
        <v>-2.7070999999999601</v>
      </c>
      <c r="AD8648">
        <v>-1.120116742742</v>
      </c>
      <c r="AE8648">
        <v>-17.224640000000001</v>
      </c>
      <c r="AF8648">
        <v>4.6665894903465599</v>
      </c>
      <c r="AG8648">
        <v>-1.120116742742</v>
      </c>
      <c r="AH8648">
        <v>16.7255995938559</v>
      </c>
      <c r="AI8648">
        <v>93.690834665977405</v>
      </c>
      <c r="AJ8648">
        <v>74.410429838439001</v>
      </c>
      <c r="AK8648">
        <v>17.4005000147346</v>
      </c>
      <c r="AL8648">
        <v>83.002888977006904</v>
      </c>
      <c r="AM8648">
        <v>84.748302316113694</v>
      </c>
      <c r="AN8648">
        <v>1.0000000252127199</v>
      </c>
    </row>
    <row r="8649" spans="1:40" x14ac:dyDescent="0.25">
      <c r="A8649" t="str">
        <f>"20190303162120889"</f>
        <v>20190303162120889</v>
      </c>
      <c r="B8649" t="str">
        <f>"1551601280881508"</f>
        <v>1551601280881508</v>
      </c>
      <c r="C8649" t="s">
        <v>40</v>
      </c>
      <c r="D8649">
        <v>4.8276370000000002</v>
      </c>
      <c r="E8649">
        <v>0.5704823</v>
      </c>
      <c r="F8649" t="s">
        <v>41</v>
      </c>
      <c r="G8649">
        <v>-305.34730000000002</v>
      </c>
      <c r="H8649" s="1">
        <v>-3.0994049999999998E-6</v>
      </c>
      <c r="I8649">
        <v>-26.502600000000001</v>
      </c>
      <c r="J8649">
        <v>-302.37090000000001</v>
      </c>
      <c r="K8649">
        <v>1.120161</v>
      </c>
      <c r="L8649">
        <v>-7.5841369999999904</v>
      </c>
      <c r="M8649">
        <v>0.1139942</v>
      </c>
      <c r="N8649">
        <v>-1.3063669999999999E-2</v>
      </c>
      <c r="O8649">
        <v>-0.99339560000000005</v>
      </c>
      <c r="P8649">
        <v>2.3125670000000001E-2</v>
      </c>
      <c r="Q8649">
        <v>0.11198669999999999</v>
      </c>
      <c r="R8649">
        <v>-0.99344089999999996</v>
      </c>
      <c r="S8649">
        <v>-0.4741821</v>
      </c>
      <c r="T8649">
        <v>-0.179293799999999</v>
      </c>
      <c r="U8649">
        <v>-3.0505680000000002</v>
      </c>
      <c r="V8649">
        <v>9.0644859999999994E-2</v>
      </c>
      <c r="W8649">
        <v>0.1246414</v>
      </c>
      <c r="X8649">
        <v>0.98805270000000001</v>
      </c>
      <c r="Y8649">
        <v>0.26497330000000002</v>
      </c>
      <c r="Z8649">
        <v>4.3547389999999998E-2</v>
      </c>
      <c r="AA8649">
        <v>0.96327189999999996</v>
      </c>
      <c r="AB8649">
        <v>18</v>
      </c>
      <c r="AC8649">
        <v>-2.9764000000000101</v>
      </c>
      <c r="AD8649">
        <v>-1.1201640994049999</v>
      </c>
      <c r="AE8649">
        <v>-18.918462999999999</v>
      </c>
      <c r="AF8649">
        <v>5.0963383317012196</v>
      </c>
      <c r="AG8649">
        <v>-1.1201640994049999</v>
      </c>
      <c r="AH8649">
        <v>18.392874147415899</v>
      </c>
      <c r="AI8649">
        <v>93.358879130873802</v>
      </c>
      <c r="AJ8649">
        <v>74.512893595581303</v>
      </c>
      <c r="AK8649">
        <v>19.118714690152199</v>
      </c>
      <c r="AL8649">
        <v>82.839952823498805</v>
      </c>
      <c r="AM8649">
        <v>84.758305223110895</v>
      </c>
      <c r="AN8649">
        <v>1.00000005360783</v>
      </c>
    </row>
    <row r="8650" spans="1:40" x14ac:dyDescent="0.25">
      <c r="A8650" t="str">
        <f>"20190303162120910"</f>
        <v>20190303162120910</v>
      </c>
      <c r="B8650" t="str">
        <f>"1551601280901028"</f>
        <v>1551601280901028</v>
      </c>
      <c r="C8650" t="s">
        <v>40</v>
      </c>
      <c r="D8650">
        <v>4.8304900000000002</v>
      </c>
      <c r="E8650">
        <v>0.57121189999999999</v>
      </c>
      <c r="F8650" t="s">
        <v>41</v>
      </c>
      <c r="G8650">
        <v>-305.89589999999998</v>
      </c>
      <c r="H8650" s="1">
        <v>-1.9247500000000001E-6</v>
      </c>
      <c r="I8650">
        <v>-29.581060000000001</v>
      </c>
      <c r="J8650">
        <v>-302.35390000000001</v>
      </c>
      <c r="K8650">
        <v>1.1201970000000001</v>
      </c>
      <c r="L8650">
        <v>-7.7574459999999998</v>
      </c>
      <c r="M8650">
        <v>0.11158999999999999</v>
      </c>
      <c r="N8650">
        <v>-1.306243E-2</v>
      </c>
      <c r="O8650">
        <v>-0.99366849999999995</v>
      </c>
      <c r="P8650">
        <v>2.1161550000000001E-2</v>
      </c>
      <c r="Q8650">
        <v>0.1137616</v>
      </c>
      <c r="R8650">
        <v>-0.99328289999999997</v>
      </c>
      <c r="S8650">
        <v>-0.48855589999999999</v>
      </c>
      <c r="T8650">
        <v>-0.15524959999999999</v>
      </c>
      <c r="U8650">
        <v>-3.0486759999999999</v>
      </c>
      <c r="V8650">
        <v>9.0188989999999997E-2</v>
      </c>
      <c r="W8650">
        <v>0.126414</v>
      </c>
      <c r="X8650">
        <v>0.98786909999999994</v>
      </c>
      <c r="Y8650">
        <v>0.26722249999999997</v>
      </c>
      <c r="Z8650">
        <v>3.5975750000000001E-2</v>
      </c>
      <c r="AA8650">
        <v>0.96296309999999996</v>
      </c>
      <c r="AB8650">
        <v>18</v>
      </c>
      <c r="AC8650">
        <v>-3.5419999999999701</v>
      </c>
      <c r="AD8650">
        <v>-1.1201989247499999</v>
      </c>
      <c r="AE8650">
        <v>-21.823613999999999</v>
      </c>
      <c r="AF8650">
        <v>5.9401298964434801</v>
      </c>
      <c r="AG8650">
        <v>-1.1201989247499999</v>
      </c>
      <c r="AH8650">
        <v>21.237483103976501</v>
      </c>
      <c r="AI8650">
        <v>92.907940115883804</v>
      </c>
      <c r="AJ8650">
        <v>74.373679198752498</v>
      </c>
      <c r="AK8650">
        <v>22.081002635961099</v>
      </c>
      <c r="AL8650">
        <v>82.737579850800401</v>
      </c>
      <c r="AM8650">
        <v>84.783556972402906</v>
      </c>
      <c r="AN8650">
        <v>0.99999995602401404</v>
      </c>
    </row>
    <row r="8651" spans="1:40" x14ac:dyDescent="0.25">
      <c r="A8651" t="str">
        <f>"20190303162120933"</f>
        <v>20190303162120933</v>
      </c>
      <c r="B8651" t="str">
        <f>"1551601280921524"</f>
        <v>1551601280921524</v>
      </c>
      <c r="C8651" t="s">
        <v>40</v>
      </c>
      <c r="D8651">
        <v>4.8408100000000003</v>
      </c>
      <c r="E8651">
        <v>0.57142950000000003</v>
      </c>
      <c r="F8651" t="s">
        <v>41</v>
      </c>
      <c r="G8651">
        <v>-306.47500000000002</v>
      </c>
      <c r="H8651" s="1">
        <v>-4.6105930000000004E-6</v>
      </c>
      <c r="I8651">
        <v>-32.839849999999998</v>
      </c>
      <c r="J8651">
        <v>-302.3372</v>
      </c>
      <c r="K8651">
        <v>1.1202160000000001</v>
      </c>
      <c r="L8651">
        <v>-7.9331050000000003</v>
      </c>
      <c r="M8651">
        <v>0.1091442</v>
      </c>
      <c r="N8651">
        <v>-1.305416E-2</v>
      </c>
      <c r="O8651">
        <v>-0.99394039999999995</v>
      </c>
      <c r="P8651">
        <v>1.974764E-2</v>
      </c>
      <c r="Q8651">
        <v>0.1135205</v>
      </c>
      <c r="R8651">
        <v>-0.99333950000000004</v>
      </c>
      <c r="S8651">
        <v>-0.50054929999999997</v>
      </c>
      <c r="T8651">
        <v>-0.13606109999999999</v>
      </c>
      <c r="U8651">
        <v>-3.0465390000000001</v>
      </c>
      <c r="V8651">
        <v>8.9165809999999998E-2</v>
      </c>
      <c r="W8651">
        <v>0.126169</v>
      </c>
      <c r="X8651">
        <v>0.98799340000000002</v>
      </c>
      <c r="Y8651">
        <v>0.26869320000000002</v>
      </c>
      <c r="Z8651">
        <v>2.9944599999999998E-2</v>
      </c>
      <c r="AA8651">
        <v>0.96276019999999896</v>
      </c>
      <c r="AB8651">
        <v>18</v>
      </c>
      <c r="AC8651">
        <v>-4.1378000000000199</v>
      </c>
      <c r="AD8651">
        <v>-1.1202206105929999</v>
      </c>
      <c r="AE8651">
        <v>-24.906745000000001</v>
      </c>
      <c r="AF8651">
        <v>6.8183118794616204</v>
      </c>
      <c r="AG8651">
        <v>-1.1202206105929999</v>
      </c>
      <c r="AH8651">
        <v>24.258515239498202</v>
      </c>
      <c r="AI8651">
        <v>92.545455222812706</v>
      </c>
      <c r="AJ8651">
        <v>74.300983343732497</v>
      </c>
      <c r="AK8651">
        <v>25.223398516595001</v>
      </c>
      <c r="AL8651">
        <v>82.751731365782206</v>
      </c>
      <c r="AM8651">
        <v>84.843061095477196</v>
      </c>
      <c r="AN8651">
        <v>1.0000000583387501</v>
      </c>
    </row>
    <row r="8652" spans="1:40" x14ac:dyDescent="0.25">
      <c r="A8652" t="str">
        <f>"20190303162120956"</f>
        <v>20190303162120956</v>
      </c>
      <c r="B8652" t="str">
        <f>"1551601280950804"</f>
        <v>1551601280950804</v>
      </c>
      <c r="C8652" t="s">
        <v>40</v>
      </c>
      <c r="D8652">
        <v>4.8497389999999996</v>
      </c>
      <c r="E8652">
        <v>0.57210369999999899</v>
      </c>
      <c r="F8652" t="s">
        <v>41</v>
      </c>
      <c r="G8652">
        <v>-306.84980000000002</v>
      </c>
      <c r="H8652" s="1">
        <v>-3.9364189999999996E-6</v>
      </c>
      <c r="I8652">
        <v>-35.016330000000004</v>
      </c>
      <c r="J8652">
        <v>-302.32060000000001</v>
      </c>
      <c r="K8652">
        <v>1.120225</v>
      </c>
      <c r="L8652">
        <v>-8.1121219999999994</v>
      </c>
      <c r="M8652">
        <v>0.10663499999999999</v>
      </c>
      <c r="N8652">
        <v>-1.3034830000000001E-2</v>
      </c>
      <c r="O8652">
        <v>-0.99421289999999996</v>
      </c>
      <c r="P8652">
        <v>1.9408559999999998E-2</v>
      </c>
      <c r="Q8652">
        <v>0.1119227</v>
      </c>
      <c r="R8652">
        <v>-0.99352750000000001</v>
      </c>
      <c r="S8652">
        <v>-0.50729369999999996</v>
      </c>
      <c r="T8652">
        <v>-0.1259305</v>
      </c>
      <c r="U8652">
        <v>-3.0445859999999998</v>
      </c>
      <c r="V8652">
        <v>8.7022929999999998E-2</v>
      </c>
      <c r="W8652">
        <v>0.12456150000000001</v>
      </c>
      <c r="X8652">
        <v>0.9883883</v>
      </c>
      <c r="Y8652">
        <v>0.26845770000000002</v>
      </c>
      <c r="Z8652">
        <v>2.6795949999999999E-2</v>
      </c>
      <c r="AA8652">
        <v>0.96291870000000002</v>
      </c>
      <c r="AB8652">
        <v>18</v>
      </c>
      <c r="AC8652">
        <v>-4.5292000000000003</v>
      </c>
      <c r="AD8652">
        <v>-1.1202289364189999</v>
      </c>
      <c r="AE8652">
        <v>-26.904208000000001</v>
      </c>
      <c r="AF8652">
        <v>7.3601362397891599</v>
      </c>
      <c r="AG8652">
        <v>-1.1202289364189999</v>
      </c>
      <c r="AH8652">
        <v>26.223557392937298</v>
      </c>
      <c r="AI8652">
        <v>92.355199320266195</v>
      </c>
      <c r="AJ8652">
        <v>74.322222376168796</v>
      </c>
      <c r="AK8652">
        <v>27.259887759837198</v>
      </c>
      <c r="AL8652">
        <v>82.844566288240699</v>
      </c>
      <c r="AM8652">
        <v>84.968351702435697</v>
      </c>
      <c r="AN8652">
        <v>0.99999999460246203</v>
      </c>
    </row>
    <row r="8653" spans="1:40" x14ac:dyDescent="0.25">
      <c r="A8653" t="str">
        <f>"20190303162120978"</f>
        <v>20190303162120978</v>
      </c>
      <c r="B8653" t="str">
        <f>"1551601280971300"</f>
        <v>1551601280971300</v>
      </c>
      <c r="C8653" t="s">
        <v>40</v>
      </c>
      <c r="D8653">
        <v>4.8477220000000001</v>
      </c>
      <c r="E8653">
        <v>0.57238880000000003</v>
      </c>
      <c r="F8653" t="s">
        <v>41</v>
      </c>
      <c r="G8653">
        <v>-307.22750000000002</v>
      </c>
      <c r="H8653" s="1">
        <v>-3.2878219999999999E-6</v>
      </c>
      <c r="I8653">
        <v>-37.119120000000002</v>
      </c>
      <c r="J8653">
        <v>-302.3048</v>
      </c>
      <c r="K8653">
        <v>1.1202299999999901</v>
      </c>
      <c r="L8653">
        <v>-8.2865599999999997</v>
      </c>
      <c r="M8653">
        <v>0.10416839999999999</v>
      </c>
      <c r="N8653">
        <v>-1.3009059999999999E-2</v>
      </c>
      <c r="O8653">
        <v>-0.99447459999999999</v>
      </c>
      <c r="P8653">
        <v>2.0449910000000002E-2</v>
      </c>
      <c r="Q8653">
        <v>0.1098644</v>
      </c>
      <c r="R8653">
        <v>-0.99373599999999995</v>
      </c>
      <c r="S8653">
        <v>-0.51473999999999998</v>
      </c>
      <c r="T8653">
        <v>-0.11751250000000001</v>
      </c>
      <c r="U8653">
        <v>-3.0428470000000001</v>
      </c>
      <c r="V8653">
        <v>8.3550920000000001E-2</v>
      </c>
      <c r="W8653">
        <v>0.1224922</v>
      </c>
      <c r="X8653">
        <v>0.9889464</v>
      </c>
      <c r="Y8653">
        <v>0.26846550000000002</v>
      </c>
      <c r="Z8653">
        <v>2.4184520000000001E-2</v>
      </c>
      <c r="AA8653">
        <v>0.96298569999999994</v>
      </c>
      <c r="AB8653">
        <v>18</v>
      </c>
      <c r="AC8653">
        <v>-4.9227000000000096</v>
      </c>
      <c r="AD8653">
        <v>-1.1202332878219901</v>
      </c>
      <c r="AE8653">
        <v>-28.832559999999901</v>
      </c>
      <c r="AF8653">
        <v>7.8880399474837297</v>
      </c>
      <c r="AG8653">
        <v>-1.1202332878219901</v>
      </c>
      <c r="AH8653">
        <v>28.121592831578699</v>
      </c>
      <c r="AI8653">
        <v>92.196505351949995</v>
      </c>
      <c r="AJ8653">
        <v>74.331318065307897</v>
      </c>
      <c r="AK8653">
        <v>29.228412208283601</v>
      </c>
      <c r="AL8653">
        <v>82.964043828213406</v>
      </c>
      <c r="AM8653">
        <v>85.170846477225496</v>
      </c>
      <c r="AN8653">
        <v>1.0000000386833201</v>
      </c>
    </row>
    <row r="8654" spans="1:40" x14ac:dyDescent="0.25">
      <c r="A8654" t="str">
        <f>"20190303162121000"</f>
        <v>20190303162121000</v>
      </c>
      <c r="B8654" t="str">
        <f>"1551601280991795"</f>
        <v>1551601280991795</v>
      </c>
      <c r="C8654" t="s">
        <v>40</v>
      </c>
      <c r="D8654">
        <v>4.8281850000000004</v>
      </c>
      <c r="E8654">
        <v>0.57254459999999996</v>
      </c>
      <c r="F8654" t="s">
        <v>41</v>
      </c>
      <c r="G8654">
        <v>-307.26670000000001</v>
      </c>
      <c r="H8654" s="1">
        <v>-3.134269E-6</v>
      </c>
      <c r="I8654">
        <v>-37.590760000000003</v>
      </c>
      <c r="J8654">
        <v>-302.28949999999998</v>
      </c>
      <c r="K8654">
        <v>1.120225</v>
      </c>
      <c r="L8654">
        <v>-8.4616089999999993</v>
      </c>
      <c r="M8654">
        <v>0.1016697</v>
      </c>
      <c r="N8654">
        <v>-1.298235E-2</v>
      </c>
      <c r="O8654">
        <v>-0.99473350000000005</v>
      </c>
      <c r="P8654">
        <v>2.149626E-2</v>
      </c>
      <c r="Q8654">
        <v>0.10877630000000001</v>
      </c>
      <c r="R8654">
        <v>-0.99383410000000005</v>
      </c>
      <c r="S8654">
        <v>-0.5151367</v>
      </c>
      <c r="T8654">
        <v>-0.1163025</v>
      </c>
      <c r="U8654">
        <v>-3.0423580000000001</v>
      </c>
      <c r="V8654">
        <v>8.0032560000000003E-2</v>
      </c>
      <c r="W8654">
        <v>0.1213905</v>
      </c>
      <c r="X8654">
        <v>0.98937310000000001</v>
      </c>
      <c r="Y8654">
        <v>0.26619530000000002</v>
      </c>
      <c r="Z8654">
        <v>2.3862589999999999E-2</v>
      </c>
      <c r="AA8654">
        <v>0.96362369999999997</v>
      </c>
      <c r="AB8654">
        <v>18</v>
      </c>
      <c r="AC8654">
        <v>-4.97720000000003</v>
      </c>
      <c r="AD8654">
        <v>-1.1202281342689999</v>
      </c>
      <c r="AE8654">
        <v>-29.129151</v>
      </c>
      <c r="AF8654">
        <v>7.9018514472547396</v>
      </c>
      <c r="AG8654">
        <v>-1.1202281342689999</v>
      </c>
      <c r="AH8654">
        <v>28.4312553185556</v>
      </c>
      <c r="AI8654">
        <v>92.174039858723404</v>
      </c>
      <c r="AJ8654">
        <v>74.4678809602201</v>
      </c>
      <c r="AK8654">
        <v>29.5301616378269</v>
      </c>
      <c r="AL8654">
        <v>83.027640908975201</v>
      </c>
      <c r="AM8654">
        <v>85.375288528373503</v>
      </c>
      <c r="AN8654">
        <v>0.99999999757700597</v>
      </c>
    </row>
    <row r="8655" spans="1:40" x14ac:dyDescent="0.25">
      <c r="A8655" t="str">
        <f>"20190303162121034"</f>
        <v>20190303162121034</v>
      </c>
      <c r="B8655" t="str">
        <f>"1551601281021075"</f>
        <v>1551601281021075</v>
      </c>
      <c r="C8655" t="s">
        <v>40</v>
      </c>
      <c r="D8655">
        <v>4.9346050000000004</v>
      </c>
      <c r="E8655">
        <v>0.53431980000000001</v>
      </c>
      <c r="F8655" t="s">
        <v>41</v>
      </c>
      <c r="G8655">
        <v>-307.34820000000002</v>
      </c>
      <c r="H8655" s="1">
        <v>-2.8299510000000001E-6</v>
      </c>
      <c r="I8655">
        <v>-38.371749999999999</v>
      </c>
      <c r="J8655">
        <v>-302.2672</v>
      </c>
      <c r="K8655">
        <v>1.1202299999999901</v>
      </c>
      <c r="L8655">
        <v>-8.7279970000000002</v>
      </c>
      <c r="M8655">
        <v>9.7826259999999998E-2</v>
      </c>
      <c r="N8655">
        <v>-1.294652E-2</v>
      </c>
      <c r="O8655">
        <v>-0.99511930000000004</v>
      </c>
      <c r="P8655">
        <v>2.111505E-2</v>
      </c>
      <c r="Q8655">
        <v>0.10971160000000001</v>
      </c>
      <c r="R8655">
        <v>-0.99373940000000005</v>
      </c>
      <c r="S8655">
        <v>-0.51452640000000005</v>
      </c>
      <c r="T8655">
        <v>-0.1139401</v>
      </c>
      <c r="U8655">
        <v>-3.0422060000000002</v>
      </c>
      <c r="V8655">
        <v>7.6582070000000002E-2</v>
      </c>
      <c r="W8655">
        <v>0.12229959999999999</v>
      </c>
      <c r="X8655">
        <v>0.98953420000000003</v>
      </c>
      <c r="Y8655">
        <v>0.26229520000000001</v>
      </c>
      <c r="Z8655">
        <v>2.3197079999999998E-2</v>
      </c>
      <c r="AA8655">
        <v>0.96470880000000003</v>
      </c>
      <c r="AB8655">
        <v>18</v>
      </c>
      <c r="AC8655">
        <v>-5.0810000000000102</v>
      </c>
      <c r="AD8655">
        <v>-1.12023282995099</v>
      </c>
      <c r="AE8655">
        <v>-29.643753</v>
      </c>
      <c r="AF8655">
        <v>7.9457821641547799</v>
      </c>
      <c r="AG8655">
        <v>-1.12023282995099</v>
      </c>
      <c r="AH8655">
        <v>28.964263650370899</v>
      </c>
      <c r="AI8655">
        <v>92.136047847584194</v>
      </c>
      <c r="AJ8655">
        <v>74.659415124657798</v>
      </c>
      <c r="AK8655">
        <v>30.055264839985998</v>
      </c>
      <c r="AL8655">
        <v>82.975162103005999</v>
      </c>
      <c r="AM8655">
        <v>85.574584078595393</v>
      </c>
      <c r="AN8655">
        <v>0.99999996928764201</v>
      </c>
    </row>
    <row r="8656" spans="1:40" x14ac:dyDescent="0.25">
      <c r="A8656" t="str">
        <f>"20190303162121057"</f>
        <v>20190303162121057</v>
      </c>
      <c r="B8656" t="str">
        <f>"1551601281051332"</f>
        <v>1551601281051332</v>
      </c>
      <c r="C8656" t="s">
        <v>40</v>
      </c>
      <c r="D8656">
        <v>4.8589219999999997</v>
      </c>
      <c r="E8656">
        <v>0.51392119999999997</v>
      </c>
      <c r="F8656" t="s">
        <v>41</v>
      </c>
      <c r="G8656">
        <v>-303.44889999999998</v>
      </c>
      <c r="H8656" s="1">
        <v>-2.8794139999999999E-6</v>
      </c>
      <c r="I8656">
        <v>-25.837980000000002</v>
      </c>
      <c r="J8656">
        <v>-302.25279999999998</v>
      </c>
      <c r="K8656">
        <v>1.1202379999999901</v>
      </c>
      <c r="L8656">
        <v>-8.9060670000000002</v>
      </c>
      <c r="M8656">
        <v>9.5237550000000004E-2</v>
      </c>
      <c r="N8656">
        <v>-1.2925000000000001E-2</v>
      </c>
      <c r="O8656">
        <v>-0.9953708</v>
      </c>
      <c r="P8656">
        <v>1.8770220000000001E-2</v>
      </c>
      <c r="Q8656">
        <v>0.111443</v>
      </c>
      <c r="R8656">
        <v>-0.99359390000000003</v>
      </c>
      <c r="S8656">
        <v>-0.21032709999999999</v>
      </c>
      <c r="T8656">
        <v>-0.1993885</v>
      </c>
      <c r="U8656">
        <v>-3.0453800000000002</v>
      </c>
      <c r="V8656">
        <v>7.6330289999999995E-2</v>
      </c>
      <c r="W8656">
        <v>0.1240074</v>
      </c>
      <c r="X8656">
        <v>0.98934109999999997</v>
      </c>
      <c r="Y8656">
        <v>0.16343050000000001</v>
      </c>
      <c r="Z8656">
        <v>5.142588E-2</v>
      </c>
      <c r="AA8656">
        <v>0.98521360000000002</v>
      </c>
      <c r="AB8656">
        <v>18</v>
      </c>
      <c r="AC8656">
        <v>-1.1960999999999999</v>
      </c>
      <c r="AD8656">
        <v>-1.12024087941399</v>
      </c>
      <c r="AE8656">
        <v>-16.931912999999899</v>
      </c>
      <c r="AF8656">
        <v>2.7911933573888299</v>
      </c>
      <c r="AG8656">
        <v>-1.12024087941399</v>
      </c>
      <c r="AH8656">
        <v>16.668413145832901</v>
      </c>
      <c r="AI8656">
        <v>93.792274523851702</v>
      </c>
      <c r="AJ8656">
        <v>80.493788722050496</v>
      </c>
      <c r="AK8656">
        <v>16.937582377258501</v>
      </c>
      <c r="AL8656">
        <v>82.876561852002993</v>
      </c>
      <c r="AM8656">
        <v>85.588218543241993</v>
      </c>
      <c r="AN8656">
        <v>0.99999998028772596</v>
      </c>
    </row>
    <row r="8657" spans="1:40" x14ac:dyDescent="0.25">
      <c r="A8657" t="str">
        <f>"20190303162121078"</f>
        <v>20190303162121078</v>
      </c>
      <c r="B8657" t="str">
        <f>"1551601281070851"</f>
        <v>1551601281070851</v>
      </c>
      <c r="C8657" t="s">
        <v>40</v>
      </c>
      <c r="D8657">
        <v>4.7799690000000004</v>
      </c>
      <c r="E8657">
        <v>0.50796809999999903</v>
      </c>
      <c r="F8657" t="s">
        <v>42</v>
      </c>
      <c r="G8657">
        <v>-302.26670000000001</v>
      </c>
      <c r="H8657">
        <v>1.0429330000000001</v>
      </c>
      <c r="I8657">
        <v>-9.7032880000000006</v>
      </c>
      <c r="J8657">
        <v>-302.23930000000001</v>
      </c>
      <c r="K8657">
        <v>1.1202570000000001</v>
      </c>
      <c r="L8657">
        <v>-9.0788879999999992</v>
      </c>
      <c r="M8657">
        <v>9.272118E-2</v>
      </c>
      <c r="N8657">
        <v>-1.290527E-2</v>
      </c>
      <c r="O8657">
        <v>-0.99560850000000001</v>
      </c>
      <c r="P8657">
        <v>1.6547050000000001E-2</v>
      </c>
      <c r="Q8657">
        <v>0.1127763</v>
      </c>
      <c r="R8657">
        <v>-0.9934828</v>
      </c>
      <c r="S8657">
        <v>-5.2673339999999999E-2</v>
      </c>
      <c r="T8657">
        <v>-0.2959639</v>
      </c>
      <c r="U8657">
        <v>-3.053528</v>
      </c>
      <c r="V8657">
        <v>7.6030760000000003E-2</v>
      </c>
      <c r="W8657">
        <v>0.12532180000000001</v>
      </c>
      <c r="X8657">
        <v>0.98919860000000004</v>
      </c>
      <c r="Y8657">
        <v>0.10974979999999999</v>
      </c>
      <c r="Z8657">
        <v>8.2688559999999994E-2</v>
      </c>
      <c r="AA8657">
        <v>0.9905138</v>
      </c>
      <c r="AB8657">
        <v>18</v>
      </c>
      <c r="AC8657">
        <v>-2.7400000000000001E-2</v>
      </c>
      <c r="AD8657">
        <v>-7.7324000000000101E-2</v>
      </c>
      <c r="AE8657">
        <v>-0.62439999999999896</v>
      </c>
      <c r="AF8657">
        <v>8.38977141950248E-2</v>
      </c>
      <c r="AG8657">
        <v>-7.7324000000000101E-2</v>
      </c>
      <c r="AH8657">
        <v>0.60983468346968395</v>
      </c>
      <c r="AI8657">
        <v>97.159532436456701</v>
      </c>
      <c r="AJ8657">
        <v>82.166733045297093</v>
      </c>
      <c r="AK8657">
        <v>0.62041612534307899</v>
      </c>
      <c r="AL8657">
        <v>82.8006606640011</v>
      </c>
      <c r="AM8657">
        <v>85.604832419867606</v>
      </c>
      <c r="AN8657">
        <v>1.0000000501316799</v>
      </c>
    </row>
    <row r="8658" spans="1:40" x14ac:dyDescent="0.25">
      <c r="A8658" t="str">
        <f>"20190303162121102"</f>
        <v>20190303162121102</v>
      </c>
      <c r="B8658" t="str">
        <f>"1551601281091348"</f>
        <v>1551601281091348</v>
      </c>
      <c r="C8658" t="s">
        <v>40</v>
      </c>
      <c r="D8658">
        <v>4.9036660000000003</v>
      </c>
      <c r="E8658">
        <v>0.50453239999999999</v>
      </c>
      <c r="F8658" t="s">
        <v>42</v>
      </c>
      <c r="G8658">
        <v>-302.24239999999998</v>
      </c>
      <c r="H8658">
        <v>1.0308839999999999</v>
      </c>
      <c r="I8658">
        <v>-9.8530490000000004</v>
      </c>
      <c r="J8658">
        <v>-302.226</v>
      </c>
      <c r="K8658">
        <v>1.1202890000000001</v>
      </c>
      <c r="L8658">
        <v>-9.2556150000000006</v>
      </c>
      <c r="M8658">
        <v>9.0157639999999997E-2</v>
      </c>
      <c r="N8658">
        <v>-1.288652E-2</v>
      </c>
      <c r="O8658">
        <v>-0.99584410000000001</v>
      </c>
      <c r="P8658">
        <v>1.458981E-2</v>
      </c>
      <c r="Q8658">
        <v>0.1140844</v>
      </c>
      <c r="R8658">
        <v>-0.99336429999999998</v>
      </c>
      <c r="S8658">
        <v>-1.147461E-2</v>
      </c>
      <c r="T8658">
        <v>-0.35300369999999998</v>
      </c>
      <c r="U8658">
        <v>-3.0599370000000001</v>
      </c>
      <c r="V8658">
        <v>7.5417559999999995E-2</v>
      </c>
      <c r="W8658">
        <v>0.12661410000000001</v>
      </c>
      <c r="X8658">
        <v>0.98908090000000004</v>
      </c>
      <c r="Y8658">
        <v>9.3801140000000005E-2</v>
      </c>
      <c r="Z8658">
        <v>0.100838</v>
      </c>
      <c r="AA8658">
        <v>0.99047110000000005</v>
      </c>
      <c r="AB8658">
        <v>18</v>
      </c>
      <c r="AC8658">
        <v>-1.6399999999975899E-2</v>
      </c>
      <c r="AD8658">
        <v>-8.9404999999999901E-2</v>
      </c>
      <c r="AE8658">
        <v>-0.59743400000000102</v>
      </c>
      <c r="AF8658">
        <v>6.8664359610419307E-2</v>
      </c>
      <c r="AG8658">
        <v>-8.9404999999999901E-2</v>
      </c>
      <c r="AH8658">
        <v>0.58053086100915097</v>
      </c>
      <c r="AI8658">
        <v>98.695409654560507</v>
      </c>
      <c r="AJ8658">
        <v>83.254476897521997</v>
      </c>
      <c r="AK8658">
        <v>0.59137477870613897</v>
      </c>
      <c r="AL8658">
        <v>82.726022291258204</v>
      </c>
      <c r="AM8658">
        <v>85.639626087543306</v>
      </c>
      <c r="AN8658">
        <v>0.99999998270998602</v>
      </c>
    </row>
    <row r="8659" spans="1:40" x14ac:dyDescent="0.25">
      <c r="A8659" t="str">
        <f>"20190303162121126"</f>
        <v>20190303162121126</v>
      </c>
      <c r="B8659" t="str">
        <f>"1551601281110868"</f>
        <v>1551601281110868</v>
      </c>
      <c r="C8659" t="s">
        <v>40</v>
      </c>
      <c r="D8659">
        <v>4.7978209999999999</v>
      </c>
      <c r="E8659">
        <v>0.50253649999999905</v>
      </c>
      <c r="F8659" t="s">
        <v>42</v>
      </c>
      <c r="G8659">
        <v>-302.22399999999999</v>
      </c>
      <c r="H8659">
        <v>1.0247599999999999</v>
      </c>
      <c r="I8659">
        <v>-10.00623</v>
      </c>
      <c r="J8659">
        <v>-302.2122</v>
      </c>
      <c r="K8659">
        <v>1.1203289999999999</v>
      </c>
      <c r="L8659">
        <v>-9.4438479999999991</v>
      </c>
      <c r="M8659">
        <v>8.7450130000000001E-2</v>
      </c>
      <c r="N8659">
        <v>-1.2868579999999999E-2</v>
      </c>
      <c r="O8659">
        <v>-0.99608580000000002</v>
      </c>
      <c r="P8659">
        <v>1.1579010000000001E-2</v>
      </c>
      <c r="Q8659">
        <v>0.1150973</v>
      </c>
      <c r="R8659">
        <v>-0.99328689999999997</v>
      </c>
      <c r="S8659">
        <v>9.5825200000000006E-3</v>
      </c>
      <c r="T8659">
        <v>-0.38958989999999999</v>
      </c>
      <c r="U8659">
        <v>-3.0646360000000001</v>
      </c>
      <c r="V8659">
        <v>7.5712059999999998E-2</v>
      </c>
      <c r="W8659">
        <v>0.12761110000000001</v>
      </c>
      <c r="X8659">
        <v>0.98893030000000004</v>
      </c>
      <c r="Y8659">
        <v>8.4284970000000001E-2</v>
      </c>
      <c r="Z8659">
        <v>0.1123875</v>
      </c>
      <c r="AA8659">
        <v>0.99008339999999995</v>
      </c>
      <c r="AB8659">
        <v>18</v>
      </c>
      <c r="AC8659">
        <v>-1.17999999999938E-2</v>
      </c>
      <c r="AD8659">
        <v>-9.5569000000000001E-2</v>
      </c>
      <c r="AE8659">
        <v>-0.56238200000000105</v>
      </c>
      <c r="AF8659">
        <v>5.9229541676044599E-2</v>
      </c>
      <c r="AG8659">
        <v>-9.5569000000000001E-2</v>
      </c>
      <c r="AH8659">
        <v>0.543506480112663</v>
      </c>
      <c r="AI8659">
        <v>99.915288860633197</v>
      </c>
      <c r="AJ8659">
        <v>83.780637854038105</v>
      </c>
      <c r="AK8659">
        <v>0.55501429377324196</v>
      </c>
      <c r="AL8659">
        <v>82.668431534985103</v>
      </c>
      <c r="AM8659">
        <v>85.622001185192303</v>
      </c>
      <c r="AN8659">
        <v>1.0000000235653701</v>
      </c>
    </row>
    <row r="8660" spans="1:40" x14ac:dyDescent="0.25">
      <c r="A8660" t="str">
        <f>"20190303162121147"</f>
        <v>20190303162121147</v>
      </c>
      <c r="B8660" t="str">
        <f>"1551601281141124"</f>
        <v>1551601281141124</v>
      </c>
      <c r="C8660" t="s">
        <v>40</v>
      </c>
      <c r="D8660">
        <v>4.7732539999999997</v>
      </c>
      <c r="E8660">
        <v>0.50038459999999996</v>
      </c>
      <c r="F8660" t="s">
        <v>42</v>
      </c>
      <c r="G8660">
        <v>-302.20819999999998</v>
      </c>
      <c r="H8660">
        <v>1.0050669999999999</v>
      </c>
      <c r="I8660">
        <v>-10.3104</v>
      </c>
      <c r="J8660">
        <v>-302.2</v>
      </c>
      <c r="K8660">
        <v>1.1203590000000001</v>
      </c>
      <c r="L8660">
        <v>-9.6168820000000004</v>
      </c>
      <c r="M8660">
        <v>8.4995849999999998E-2</v>
      </c>
      <c r="N8660">
        <v>-1.2854040000000001E-2</v>
      </c>
      <c r="O8660">
        <v>-0.99629829999999997</v>
      </c>
      <c r="P8660">
        <v>9.2471649999999999E-3</v>
      </c>
      <c r="Q8660">
        <v>0.1157849</v>
      </c>
      <c r="R8660">
        <v>-0.99323119999999998</v>
      </c>
      <c r="S8660">
        <v>1.5533450000000001E-2</v>
      </c>
      <c r="T8660">
        <v>-0.40762100000000001</v>
      </c>
      <c r="U8660">
        <v>-3.0673219999999999</v>
      </c>
      <c r="V8660">
        <v>7.5584020000000002E-2</v>
      </c>
      <c r="W8660">
        <v>0.12828879999999901</v>
      </c>
      <c r="X8660">
        <v>0.98885239999999996</v>
      </c>
      <c r="Y8660">
        <v>7.9915680000000003E-2</v>
      </c>
      <c r="Z8660">
        <v>0.11805889999999999</v>
      </c>
      <c r="AA8660">
        <v>0.98978560000000004</v>
      </c>
      <c r="AB8660">
        <v>17</v>
      </c>
      <c r="AC8660">
        <v>-8.1999999999879895E-3</v>
      </c>
      <c r="AD8660">
        <v>-0.11529200000000001</v>
      </c>
      <c r="AE8660">
        <v>-0.69351799999999897</v>
      </c>
      <c r="AF8660">
        <v>6.5316483263752195E-2</v>
      </c>
      <c r="AG8660">
        <v>-0.11529200000000001</v>
      </c>
      <c r="AH8660">
        <v>0.67174874853603705</v>
      </c>
      <c r="AI8660">
        <v>99.693926378776098</v>
      </c>
      <c r="AJ8660">
        <v>84.446388737308794</v>
      </c>
      <c r="AK8660">
        <v>0.684693266660098</v>
      </c>
      <c r="AL8660">
        <v>82.629280321238795</v>
      </c>
      <c r="AM8660">
        <v>85.629033324108406</v>
      </c>
      <c r="AN8660">
        <v>1.0000000146352801</v>
      </c>
    </row>
    <row r="8661" spans="1:40" x14ac:dyDescent="0.25">
      <c r="A8661" t="str">
        <f>"20190303162121168"</f>
        <v>20190303162121168</v>
      </c>
      <c r="B8661" t="str">
        <f>"1551601281161621"</f>
        <v>1551601281161621</v>
      </c>
      <c r="C8661" t="s">
        <v>40</v>
      </c>
      <c r="D8661">
        <v>4.7555310000000004</v>
      </c>
      <c r="E8661">
        <v>0.49955820000000001</v>
      </c>
      <c r="F8661" t="s">
        <v>42</v>
      </c>
      <c r="G8661">
        <v>-302.1934</v>
      </c>
      <c r="H8661">
        <v>1.0019100000000001</v>
      </c>
      <c r="I8661">
        <v>-10.465009999999999</v>
      </c>
      <c r="J8661">
        <v>-302.18869999999998</v>
      </c>
      <c r="K8661">
        <v>1.120385</v>
      </c>
      <c r="L8661">
        <v>-9.7819210000000005</v>
      </c>
      <c r="M8661">
        <v>8.2683209999999993E-2</v>
      </c>
      <c r="N8661">
        <v>-1.2841429999999999E-2</v>
      </c>
      <c r="O8661">
        <v>-0.99649310000000002</v>
      </c>
      <c r="P8661">
        <v>8.5891379999999996E-3</v>
      </c>
      <c r="Q8661">
        <v>0.1153318</v>
      </c>
      <c r="R8661">
        <v>-0.9932898</v>
      </c>
      <c r="S8661">
        <v>2.44751E-2</v>
      </c>
      <c r="T8661">
        <v>-0.42867480000000002</v>
      </c>
      <c r="U8661">
        <v>-3.0701900000000002</v>
      </c>
      <c r="V8661">
        <v>7.393682E-2</v>
      </c>
      <c r="W8661">
        <v>0.1278348</v>
      </c>
      <c r="X8661">
        <v>0.98903569999999996</v>
      </c>
      <c r="Y8661">
        <v>7.4731480000000003E-2</v>
      </c>
      <c r="Z8661">
        <v>0.1246549</v>
      </c>
      <c r="AA8661">
        <v>0.98938179999999998</v>
      </c>
      <c r="AB8661">
        <v>17</v>
      </c>
      <c r="AC8661">
        <v>-4.7000000000139101E-3</v>
      </c>
      <c r="AD8661">
        <v>-0.118474999999999</v>
      </c>
      <c r="AE8661">
        <v>-0.68308899999999995</v>
      </c>
      <c r="AF8661">
        <v>5.9382332610825199E-2</v>
      </c>
      <c r="AG8661">
        <v>-0.118474999999999</v>
      </c>
      <c r="AH8661">
        <v>0.66049333181675995</v>
      </c>
      <c r="AI8661">
        <v>100.129196311085</v>
      </c>
      <c r="AJ8661">
        <v>84.862576370380097</v>
      </c>
      <c r="AK8661">
        <v>0.67365720394404305</v>
      </c>
      <c r="AL8661">
        <v>82.655508474907293</v>
      </c>
      <c r="AM8661">
        <v>85.724721979957707</v>
      </c>
      <c r="AN8661">
        <v>1.00000000265862</v>
      </c>
    </row>
    <row r="8662" spans="1:40" x14ac:dyDescent="0.25">
      <c r="A8662" t="str">
        <f>"20190303162121192"</f>
        <v>20190303162121192</v>
      </c>
      <c r="B8662" t="str">
        <f>"1551601281181140"</f>
        <v>1551601281181140</v>
      </c>
      <c r="C8662" t="s">
        <v>40</v>
      </c>
      <c r="D8662">
        <v>4.6277819999999998</v>
      </c>
      <c r="E8662">
        <v>0.49901529999999999</v>
      </c>
      <c r="F8662" t="s">
        <v>42</v>
      </c>
      <c r="G8662">
        <v>-302.1816</v>
      </c>
      <c r="H8662">
        <v>1.000122</v>
      </c>
      <c r="I8662">
        <v>-10.62041</v>
      </c>
      <c r="J8662">
        <v>-302.17630000000003</v>
      </c>
      <c r="K8662">
        <v>1.120404</v>
      </c>
      <c r="L8662">
        <v>-9.9692380000000007</v>
      </c>
      <c r="M8662">
        <v>8.0096680000000003E-2</v>
      </c>
      <c r="N8662">
        <v>-1.2828300000000001E-2</v>
      </c>
      <c r="O8662">
        <v>-0.99670460000000005</v>
      </c>
      <c r="P8662">
        <v>8.8506339999999996E-3</v>
      </c>
      <c r="Q8662">
        <v>0.114757399999999</v>
      </c>
      <c r="R8662">
        <v>-0.99335430000000002</v>
      </c>
      <c r="S8662">
        <v>2.7313230000000001E-2</v>
      </c>
      <c r="T8662">
        <v>-0.4399807</v>
      </c>
      <c r="U8662">
        <v>-3.0711059999999999</v>
      </c>
      <c r="V8662">
        <v>7.1101040000000004E-2</v>
      </c>
      <c r="W8662">
        <v>0.12726299999999999</v>
      </c>
      <c r="X8662">
        <v>0.98931729999999996</v>
      </c>
      <c r="Y8662">
        <v>7.1237010000000003E-2</v>
      </c>
      <c r="Z8662">
        <v>0.128247</v>
      </c>
      <c r="AA8662">
        <v>0.98918039999999996</v>
      </c>
      <c r="AB8662">
        <v>17</v>
      </c>
      <c r="AC8662">
        <v>-5.2999999999769898E-3</v>
      </c>
      <c r="AD8662">
        <v>-0.120282</v>
      </c>
      <c r="AE8662">
        <v>-0.65117199999999997</v>
      </c>
      <c r="AF8662">
        <v>5.5548771439486701E-2</v>
      </c>
      <c r="AG8662">
        <v>-0.120282</v>
      </c>
      <c r="AH8662">
        <v>0.62725441372478197</v>
      </c>
      <c r="AI8662">
        <v>100.81391736093001</v>
      </c>
      <c r="AJ8662">
        <v>84.939168609897393</v>
      </c>
      <c r="AK8662">
        <v>0.641094006421567</v>
      </c>
      <c r="AL8662">
        <v>82.688539787612399</v>
      </c>
      <c r="AM8662">
        <v>85.8892892174254</v>
      </c>
      <c r="AN8662">
        <v>0.99999997456868495</v>
      </c>
    </row>
    <row r="8663" spans="1:40" x14ac:dyDescent="0.25">
      <c r="A8663" t="str">
        <f>"20190303162121213"</f>
        <v>20190303162121213</v>
      </c>
      <c r="B8663" t="str">
        <f>"1551601281201636"</f>
        <v>1551601281201636</v>
      </c>
      <c r="C8663" t="s">
        <v>40</v>
      </c>
      <c r="D8663">
        <v>4.8301800000000004</v>
      </c>
      <c r="E8663">
        <v>0.49884309999999998</v>
      </c>
      <c r="F8663" t="s">
        <v>42</v>
      </c>
      <c r="G8663">
        <v>-302.16809999999998</v>
      </c>
      <c r="H8663">
        <v>1.0023150000000001</v>
      </c>
      <c r="I8663">
        <v>-10.77753</v>
      </c>
      <c r="J8663">
        <v>-302.16590000000002</v>
      </c>
      <c r="K8663">
        <v>1.120428</v>
      </c>
      <c r="L8663">
        <v>-10.13275</v>
      </c>
      <c r="M8663">
        <v>7.7871609999999994E-2</v>
      </c>
      <c r="N8663">
        <v>-1.2817820000000001E-2</v>
      </c>
      <c r="O8663">
        <v>-0.99688089999999996</v>
      </c>
      <c r="P8663">
        <v>1.067682E-2</v>
      </c>
      <c r="Q8663">
        <v>0.1144082</v>
      </c>
      <c r="R8663">
        <v>-0.99337660000000005</v>
      </c>
      <c r="S8663">
        <v>3.1707760000000001E-2</v>
      </c>
      <c r="T8663">
        <v>-0.44860109999999997</v>
      </c>
      <c r="U8663">
        <v>-3.071625</v>
      </c>
      <c r="V8663">
        <v>6.7063419999999999E-2</v>
      </c>
      <c r="W8663">
        <v>0.12692200000000001</v>
      </c>
      <c r="X8663">
        <v>0.98964300000000005</v>
      </c>
      <c r="Y8663">
        <v>6.7602720000000005E-2</v>
      </c>
      <c r="Z8663">
        <v>0.130999</v>
      </c>
      <c r="AA8663">
        <v>0.98907489999999998</v>
      </c>
      <c r="AB8663">
        <v>17</v>
      </c>
      <c r="AC8663">
        <v>-2.1999999999593399E-3</v>
      </c>
      <c r="AD8663">
        <v>-0.118112999999999</v>
      </c>
      <c r="AE8663">
        <v>-0.64478000000000002</v>
      </c>
      <c r="AF8663">
        <v>5.0706025143404297E-2</v>
      </c>
      <c r="AG8663">
        <v>-0.118112999999999</v>
      </c>
      <c r="AH8663">
        <v>0.62178589848205501</v>
      </c>
      <c r="AI8663">
        <v>100.720865988817</v>
      </c>
      <c r="AJ8663">
        <v>85.337902267471705</v>
      </c>
      <c r="AK8663">
        <v>0.63493266202486398</v>
      </c>
      <c r="AL8663">
        <v>82.708237433257395</v>
      </c>
      <c r="AM8663">
        <v>86.123263238439094</v>
      </c>
      <c r="AN8663">
        <v>0.99999998191754802</v>
      </c>
    </row>
    <row r="8664" spans="1:40" x14ac:dyDescent="0.25">
      <c r="A8664" t="str">
        <f>"20190303162121237"</f>
        <v>20190303162121237</v>
      </c>
      <c r="B8664" t="str">
        <f>"1551601281230918"</f>
        <v>1551601281230918</v>
      </c>
      <c r="C8664" t="s">
        <v>40</v>
      </c>
      <c r="D8664">
        <v>4.8267119999999997</v>
      </c>
      <c r="E8664">
        <v>0.50264319999999996</v>
      </c>
      <c r="F8664" t="s">
        <v>42</v>
      </c>
      <c r="G8664">
        <v>-302.15640000000002</v>
      </c>
      <c r="H8664">
        <v>1.001503</v>
      </c>
      <c r="I8664">
        <v>-10.933210000000001</v>
      </c>
      <c r="J8664">
        <v>-302.1542</v>
      </c>
      <c r="K8664">
        <v>1.12046</v>
      </c>
      <c r="L8664">
        <v>-10.320499999999999</v>
      </c>
      <c r="M8664">
        <v>7.5351039999999994E-2</v>
      </c>
      <c r="N8664">
        <v>-1.2806959999999999E-2</v>
      </c>
      <c r="O8664">
        <v>-0.99707500000000004</v>
      </c>
      <c r="P8664">
        <v>1.200552E-2</v>
      </c>
      <c r="Q8664">
        <v>0.11545370000000001</v>
      </c>
      <c r="R8664">
        <v>-0.99324040000000002</v>
      </c>
      <c r="S8664">
        <v>3.7170410000000001E-2</v>
      </c>
      <c r="T8664">
        <v>-0.45619110000000002</v>
      </c>
      <c r="U8664">
        <v>-3.0721440000000002</v>
      </c>
      <c r="V8664">
        <v>6.3219299999999895E-2</v>
      </c>
      <c r="W8664">
        <v>0.12797149999999999</v>
      </c>
      <c r="X8664">
        <v>0.98976090000000005</v>
      </c>
      <c r="Y8664">
        <v>6.333039E-2</v>
      </c>
      <c r="Z8664">
        <v>0.13343139999999901</v>
      </c>
      <c r="AA8664">
        <v>0.98903249999999998</v>
      </c>
      <c r="AB8664">
        <v>17</v>
      </c>
      <c r="AC8664">
        <v>-2.2000000000161799E-3</v>
      </c>
      <c r="AD8664">
        <v>-0.11895699999999899</v>
      </c>
      <c r="AE8664">
        <v>-0.61271000000000098</v>
      </c>
      <c r="AF8664">
        <v>4.6609010131055402E-2</v>
      </c>
      <c r="AG8664">
        <v>-0.11895699999999899</v>
      </c>
      <c r="AH8664">
        <v>0.58861517243904804</v>
      </c>
      <c r="AI8664">
        <v>101.390661774126</v>
      </c>
      <c r="AJ8664">
        <v>85.472527496546206</v>
      </c>
      <c r="AK8664">
        <v>0.60232133359183604</v>
      </c>
      <c r="AL8664">
        <v>82.647611348126304</v>
      </c>
      <c r="AM8664">
        <v>86.345293950606901</v>
      </c>
      <c r="AN8664">
        <v>1.00000001193677</v>
      </c>
    </row>
    <row r="8665" spans="1:40" x14ac:dyDescent="0.25">
      <c r="A8665" t="str">
        <f>"20190303162121261"</f>
        <v>20190303162121261</v>
      </c>
      <c r="B8665" t="str">
        <f>"1551601281251412"</f>
        <v>1551601281251412</v>
      </c>
      <c r="C8665" t="s">
        <v>40</v>
      </c>
      <c r="D8665">
        <v>4.8695890000000004</v>
      </c>
      <c r="E8665">
        <v>0.5044845</v>
      </c>
      <c r="F8665" t="s">
        <v>42</v>
      </c>
      <c r="G8665">
        <v>-302.15230000000003</v>
      </c>
      <c r="H8665">
        <v>0.92212519999999998</v>
      </c>
      <c r="I8665">
        <v>-11.05105</v>
      </c>
      <c r="J8665">
        <v>-302.14350000000002</v>
      </c>
      <c r="K8665">
        <v>1.120476</v>
      </c>
      <c r="L8665">
        <v>-10.500920000000001</v>
      </c>
      <c r="M8665">
        <v>7.2954459999999999E-2</v>
      </c>
      <c r="N8665">
        <v>-1.279779E-2</v>
      </c>
      <c r="O8665">
        <v>-0.99725319999999995</v>
      </c>
      <c r="P8665">
        <v>1.3291509999999999E-2</v>
      </c>
      <c r="Q8665">
        <v>0.1168989</v>
      </c>
      <c r="R8665">
        <v>-0.99305520000000003</v>
      </c>
      <c r="S8665">
        <v>8.2092290000000002E-3</v>
      </c>
      <c r="T8665">
        <v>-0.84672449999999999</v>
      </c>
      <c r="U8665">
        <v>-3.118744</v>
      </c>
      <c r="V8665">
        <v>5.9540210000000003E-2</v>
      </c>
      <c r="W8665">
        <v>0.12941989999999901</v>
      </c>
      <c r="X8665">
        <v>0.98980069999999998</v>
      </c>
      <c r="Y8665">
        <v>7.0288600000000007E-2</v>
      </c>
      <c r="Z8665">
        <v>0.24828069999999999</v>
      </c>
      <c r="AA8665">
        <v>0.96613470000000001</v>
      </c>
      <c r="AB8665">
        <v>17</v>
      </c>
      <c r="AC8665">
        <v>-8.8000000000079091E-3</v>
      </c>
      <c r="AD8665">
        <v>-0.19835079999999899</v>
      </c>
      <c r="AE8665">
        <v>-0.55013000000000101</v>
      </c>
      <c r="AF8665">
        <v>4.3288307655318797E-2</v>
      </c>
      <c r="AG8665">
        <v>-0.19835079999999899</v>
      </c>
      <c r="AH8665">
        <v>0.48499006655729499</v>
      </c>
      <c r="AI8665">
        <v>112.164000078968</v>
      </c>
      <c r="AJ8665">
        <v>84.899519773199302</v>
      </c>
      <c r="AK8665">
        <v>0.52576827795099201</v>
      </c>
      <c r="AL8665">
        <v>82.563928045787804</v>
      </c>
      <c r="AM8665">
        <v>86.557592890929101</v>
      </c>
      <c r="AN8665">
        <v>0.99999998642167198</v>
      </c>
    </row>
    <row r="8666" spans="1:40" x14ac:dyDescent="0.25">
      <c r="A8666" t="str">
        <f>"20190303162121283"</f>
        <v>20190303162121283</v>
      </c>
      <c r="B8666" t="str">
        <f>"1551601281270932"</f>
        <v>1551601281270932</v>
      </c>
      <c r="C8666" t="s">
        <v>40</v>
      </c>
      <c r="D8666">
        <v>4.9989080000000001</v>
      </c>
      <c r="E8666">
        <v>0.50634290000000004</v>
      </c>
      <c r="F8666" t="s">
        <v>42</v>
      </c>
      <c r="G8666">
        <v>-302.14420000000001</v>
      </c>
      <c r="H8666">
        <v>0.92434850000000002</v>
      </c>
      <c r="I8666">
        <v>-11.208130000000001</v>
      </c>
      <c r="J8666">
        <v>-302.13350000000003</v>
      </c>
      <c r="K8666">
        <v>1.1204860000000001</v>
      </c>
      <c r="L8666">
        <v>-10.67578</v>
      </c>
      <c r="M8666">
        <v>7.0644709999999999E-2</v>
      </c>
      <c r="N8666">
        <v>-1.2789979999999999E-2</v>
      </c>
      <c r="O8666">
        <v>-0.99741970000000002</v>
      </c>
      <c r="P8666">
        <v>1.328972E-2</v>
      </c>
      <c r="Q8666">
        <v>0.116479399999999</v>
      </c>
      <c r="R8666">
        <v>-0.99310430000000005</v>
      </c>
      <c r="S8666">
        <v>-1.6784669999999999E-3</v>
      </c>
      <c r="T8666">
        <v>-0.86562249999999996</v>
      </c>
      <c r="U8666">
        <v>-3.1228940000000001</v>
      </c>
      <c r="V8666">
        <v>5.7245600000000001E-2</v>
      </c>
      <c r="W8666">
        <v>0.1290019</v>
      </c>
      <c r="X8666">
        <v>0.9899907</v>
      </c>
      <c r="Y8666">
        <v>7.1035989999999993E-2</v>
      </c>
      <c r="Z8666">
        <v>0.25344070000000002</v>
      </c>
      <c r="AA8666">
        <v>0.96473920000000002</v>
      </c>
      <c r="AB8666">
        <v>17</v>
      </c>
      <c r="AC8666">
        <v>-1.06999999999857E-2</v>
      </c>
      <c r="AD8666">
        <v>-0.19613749999999999</v>
      </c>
      <c r="AE8666">
        <v>-0.53235000000000099</v>
      </c>
      <c r="AF8666">
        <v>4.25151207499209E-2</v>
      </c>
      <c r="AG8666">
        <v>-0.19613749999999999</v>
      </c>
      <c r="AH8666">
        <v>0.46690845040946799</v>
      </c>
      <c r="AI8666">
        <v>112.701813777479</v>
      </c>
      <c r="AJ8666">
        <v>84.797185819777795</v>
      </c>
      <c r="AK8666">
        <v>0.50821349397905702</v>
      </c>
      <c r="AL8666">
        <v>82.588080750281307</v>
      </c>
      <c r="AM8666">
        <v>86.690592209776796</v>
      </c>
      <c r="AN8666">
        <v>1.00000006750472</v>
      </c>
    </row>
    <row r="8667" spans="1:40" x14ac:dyDescent="0.25">
      <c r="A8667" t="str">
        <f>"20190303162121302"</f>
        <v>20190303162121302</v>
      </c>
      <c r="B8667" t="str">
        <f>"1551601281291428"</f>
        <v>1551601281291428</v>
      </c>
      <c r="C8667" t="s">
        <v>40</v>
      </c>
      <c r="D8667">
        <v>4.894323</v>
      </c>
      <c r="E8667">
        <v>0.50856049999999997</v>
      </c>
      <c r="F8667" t="s">
        <v>42</v>
      </c>
      <c r="G8667">
        <v>-302.13690000000003</v>
      </c>
      <c r="H8667">
        <v>0.92909600000000003</v>
      </c>
      <c r="I8667">
        <v>-11.36627</v>
      </c>
      <c r="J8667">
        <v>-302.12529999999998</v>
      </c>
      <c r="K8667">
        <v>1.120479</v>
      </c>
      <c r="L8667">
        <v>-10.82471</v>
      </c>
      <c r="M8667">
        <v>6.8683069999999999E-2</v>
      </c>
      <c r="N8667">
        <v>-1.2784159999999999E-2</v>
      </c>
      <c r="O8667">
        <v>-0.99755680000000002</v>
      </c>
      <c r="P8667">
        <v>1.328056E-2</v>
      </c>
      <c r="Q8667">
        <v>0.11487219999999999</v>
      </c>
      <c r="R8667">
        <v>-0.99329199999999995</v>
      </c>
      <c r="S8667">
        <v>-1.5197749999999999E-2</v>
      </c>
      <c r="T8667">
        <v>-0.86545799999999995</v>
      </c>
      <c r="U8667">
        <v>-3.122528</v>
      </c>
      <c r="V8667">
        <v>5.5312260000000002E-2</v>
      </c>
      <c r="W8667">
        <v>0.12739880000000001</v>
      </c>
      <c r="X8667">
        <v>0.99030810000000002</v>
      </c>
      <c r="Y8667">
        <v>7.3246770000000003E-2</v>
      </c>
      <c r="Z8667">
        <v>0.2534573</v>
      </c>
      <c r="AA8667">
        <v>0.96456949999999997</v>
      </c>
      <c r="AB8667">
        <v>17</v>
      </c>
      <c r="AC8667">
        <v>-1.1600000000044E-2</v>
      </c>
      <c r="AD8667">
        <v>-0.191383</v>
      </c>
      <c r="AE8667">
        <v>-0.54155999999999804</v>
      </c>
      <c r="AF8667">
        <v>4.3359171206028099E-2</v>
      </c>
      <c r="AG8667">
        <v>-0.191383</v>
      </c>
      <c r="AH8667">
        <v>0.47961448564582398</v>
      </c>
      <c r="AI8667">
        <v>111.67358327581201</v>
      </c>
      <c r="AJ8667">
        <v>84.834262530801197</v>
      </c>
      <c r="AK8667">
        <v>0.51820606447433804</v>
      </c>
      <c r="AL8667">
        <v>82.680695477237606</v>
      </c>
      <c r="AM8667">
        <v>86.803146737155203</v>
      </c>
      <c r="AN8667">
        <v>1.00000001663667</v>
      </c>
    </row>
    <row r="8668" spans="1:40" x14ac:dyDescent="0.25">
      <c r="A8668" t="str">
        <f>"20190303162121324"</f>
        <v>20190303162121324</v>
      </c>
      <c r="B8668" t="str">
        <f>"1551601281321684"</f>
        <v>1551601281321684</v>
      </c>
      <c r="C8668" t="s">
        <v>40</v>
      </c>
      <c r="D8668">
        <v>4.8240170000000004</v>
      </c>
      <c r="E8668">
        <v>0.53013440000000001</v>
      </c>
      <c r="F8668" t="s">
        <v>42</v>
      </c>
      <c r="G8668">
        <v>-302.13249999999999</v>
      </c>
      <c r="H8668">
        <v>0.92588040000000005</v>
      </c>
      <c r="I8668">
        <v>-11.520709999999999</v>
      </c>
      <c r="J8668">
        <v>-302.11599999999999</v>
      </c>
      <c r="K8668">
        <v>1.1204689999999999</v>
      </c>
      <c r="L8668">
        <v>-11.000640000000001</v>
      </c>
      <c r="M8668">
        <v>6.6370170000000006E-2</v>
      </c>
      <c r="N8668">
        <v>-1.277797E-2</v>
      </c>
      <c r="O8668">
        <v>-0.99771310000000002</v>
      </c>
      <c r="P8668">
        <v>1.2866549999999999E-2</v>
      </c>
      <c r="Q8668">
        <v>0.11195049999999999</v>
      </c>
      <c r="R8668">
        <v>-0.99363040000000002</v>
      </c>
      <c r="S8668">
        <v>-3.2165529999999998E-2</v>
      </c>
      <c r="T8668">
        <v>-0.87272929999999904</v>
      </c>
      <c r="U8668">
        <v>-3.121613</v>
      </c>
      <c r="V8668">
        <v>5.3440179999999997E-2</v>
      </c>
      <c r="W8668">
        <v>0.12448149999999999</v>
      </c>
      <c r="X8668">
        <v>0.99078180000000005</v>
      </c>
      <c r="Y8668">
        <v>7.6165499999999997E-2</v>
      </c>
      <c r="Z8668">
        <v>0.2556407</v>
      </c>
      <c r="AA8668">
        <v>0.96376689999999998</v>
      </c>
      <c r="AB8668">
        <v>17</v>
      </c>
      <c r="AC8668">
        <v>-1.6500000000007699E-2</v>
      </c>
      <c r="AD8668">
        <v>-0.1945886</v>
      </c>
      <c r="AE8668">
        <v>-0.52007000000000203</v>
      </c>
      <c r="AF8668">
        <v>4.472816653232E-2</v>
      </c>
      <c r="AG8668">
        <v>-0.1945886</v>
      </c>
      <c r="AH8668">
        <v>0.45429326032138301</v>
      </c>
      <c r="AI8668">
        <v>113.087168701875</v>
      </c>
      <c r="AJ8668">
        <v>84.376975344219503</v>
      </c>
      <c r="AK8668">
        <v>0.49623351207343303</v>
      </c>
      <c r="AL8668">
        <v>82.849186202710598</v>
      </c>
      <c r="AM8668">
        <v>86.912607118060805</v>
      </c>
      <c r="AN8668">
        <v>1.00000003594596</v>
      </c>
    </row>
    <row r="8669" spans="1:40" x14ac:dyDescent="0.25">
      <c r="A8669" t="str">
        <f>"20190303162121347"</f>
        <v>20190303162121347</v>
      </c>
      <c r="B8669" t="str">
        <f>"1551601281341205"</f>
        <v>1551601281341205</v>
      </c>
      <c r="C8669" t="s">
        <v>40</v>
      </c>
      <c r="D8669">
        <v>4.8225339999999903</v>
      </c>
      <c r="E8669">
        <v>0.53021189999999996</v>
      </c>
      <c r="F8669" t="s">
        <v>42</v>
      </c>
      <c r="G8669">
        <v>-302.16030000000001</v>
      </c>
      <c r="H8669">
        <v>0.91249979999999997</v>
      </c>
      <c r="I8669">
        <v>-11.67238</v>
      </c>
      <c r="J8669">
        <v>-302.10739999999998</v>
      </c>
      <c r="K8669">
        <v>1.1204540000000001</v>
      </c>
      <c r="L8669">
        <v>-11.17178</v>
      </c>
      <c r="M8669">
        <v>6.4128939999999995E-2</v>
      </c>
      <c r="N8669">
        <v>-1.2772560000000001E-2</v>
      </c>
      <c r="O8669">
        <v>-0.99785979999999996</v>
      </c>
      <c r="P8669">
        <v>1.317224E-2</v>
      </c>
      <c r="Q8669">
        <v>0.1107243</v>
      </c>
      <c r="R8669">
        <v>-0.99376379999999997</v>
      </c>
      <c r="S8669">
        <v>-0.20690919999999999</v>
      </c>
      <c r="T8669">
        <v>-0.9694893</v>
      </c>
      <c r="U8669">
        <v>-3.1311339999999999</v>
      </c>
      <c r="V8669">
        <v>5.0910539999999997E-2</v>
      </c>
      <c r="W8669">
        <v>0.1232608</v>
      </c>
      <c r="X8669">
        <v>0.99106749999999999</v>
      </c>
      <c r="Y8669">
        <v>0.12685859999999999</v>
      </c>
      <c r="Z8669">
        <v>0.28112490000000001</v>
      </c>
      <c r="AA8669">
        <v>0.95124949999999997</v>
      </c>
      <c r="AB8669">
        <v>17</v>
      </c>
      <c r="AC8669">
        <v>-5.2900000000022297E-2</v>
      </c>
      <c r="AD8669">
        <v>-0.20795420000000001</v>
      </c>
      <c r="AE8669">
        <v>-0.50060000000000004</v>
      </c>
      <c r="AF8669">
        <v>7.2520362091746296E-2</v>
      </c>
      <c r="AG8669">
        <v>-0.20795420000000001</v>
      </c>
      <c r="AH8669">
        <v>0.42384368724676502</v>
      </c>
      <c r="AI8669">
        <v>115.808917833732</v>
      </c>
      <c r="AJ8669">
        <v>80.290617871027493</v>
      </c>
      <c r="AK8669">
        <v>0.47764801207007201</v>
      </c>
      <c r="AL8669">
        <v>82.919669386465401</v>
      </c>
      <c r="AM8669">
        <v>87.059335153560895</v>
      </c>
      <c r="AN8669">
        <v>0.99999994872798903</v>
      </c>
    </row>
    <row r="8670" spans="1:40" x14ac:dyDescent="0.25">
      <c r="A8670" t="str">
        <f>"20190303162121369"</f>
        <v>20190303162121369</v>
      </c>
      <c r="B8670" t="str">
        <f>"1551601281361700"</f>
        <v>1551601281361700</v>
      </c>
      <c r="C8670" t="s">
        <v>40</v>
      </c>
      <c r="D8670">
        <v>4.8153199999999998</v>
      </c>
      <c r="E8670">
        <v>0.53046949999999904</v>
      </c>
      <c r="F8670" t="s">
        <v>42</v>
      </c>
      <c r="G8670">
        <v>-302.1601</v>
      </c>
      <c r="H8670">
        <v>0.8738456</v>
      </c>
      <c r="I8670">
        <v>-11.967980000000001</v>
      </c>
      <c r="J8670">
        <v>-302.09890000000001</v>
      </c>
      <c r="K8670">
        <v>1.1204750000000001</v>
      </c>
      <c r="L8670">
        <v>-11.345829999999999</v>
      </c>
      <c r="M8670">
        <v>6.1867190000000002E-2</v>
      </c>
      <c r="N8670">
        <v>-1.276741E-2</v>
      </c>
      <c r="O8670">
        <v>-0.99800259999999996</v>
      </c>
      <c r="P8670">
        <v>1.3030089999999999E-2</v>
      </c>
      <c r="Q8670">
        <v>0.1112239</v>
      </c>
      <c r="R8670">
        <v>-0.99371019999999999</v>
      </c>
      <c r="S8670">
        <v>-0.20700070000000001</v>
      </c>
      <c r="T8670">
        <v>-0.96926800000000002</v>
      </c>
      <c r="U8670">
        <v>-3.129578</v>
      </c>
      <c r="V8670">
        <v>4.879791E-2</v>
      </c>
      <c r="W8670">
        <v>0.12376230000000001</v>
      </c>
      <c r="X8670">
        <v>0.99111130000000003</v>
      </c>
      <c r="Y8670">
        <v>0.12467200000000001</v>
      </c>
      <c r="Z8670">
        <v>0.28130620000000001</v>
      </c>
      <c r="AA8670">
        <v>0.95148500000000003</v>
      </c>
      <c r="AB8670">
        <v>17</v>
      </c>
      <c r="AC8670">
        <v>-6.1199999999985197E-2</v>
      </c>
      <c r="AD8670">
        <v>-0.2466294</v>
      </c>
      <c r="AE8670">
        <v>-0.62215000000000098</v>
      </c>
      <c r="AF8670">
        <v>8.6165831653569294E-2</v>
      </c>
      <c r="AG8670">
        <v>-0.2466294</v>
      </c>
      <c r="AH8670">
        <v>0.53405228329488397</v>
      </c>
      <c r="AI8670">
        <v>114.50879446807301</v>
      </c>
      <c r="AJ8670">
        <v>80.834686831808</v>
      </c>
      <c r="AK8670">
        <v>0.59452708330352</v>
      </c>
      <c r="AL8670">
        <v>82.890714037086099</v>
      </c>
      <c r="AM8670">
        <v>87.181286961677799</v>
      </c>
      <c r="AN8670">
        <v>0.99999997595467305</v>
      </c>
    </row>
    <row r="8671" spans="1:40" x14ac:dyDescent="0.25">
      <c r="A8671" t="str">
        <f>"20190303162121391"</f>
        <v>20190303162121391</v>
      </c>
      <c r="B8671" t="str">
        <f>"1551601281381220"</f>
        <v>1551601281381220</v>
      </c>
      <c r="C8671" t="s">
        <v>40</v>
      </c>
      <c r="D8671">
        <v>4.7973059999999998</v>
      </c>
      <c r="E8671">
        <v>0.53075269999999997</v>
      </c>
      <c r="F8671" t="s">
        <v>42</v>
      </c>
      <c r="G8671">
        <v>-302.15089999999998</v>
      </c>
      <c r="H8671">
        <v>0.88051990000000002</v>
      </c>
      <c r="I8671">
        <v>-12.12566</v>
      </c>
      <c r="J8671">
        <v>-302.09070000000003</v>
      </c>
      <c r="K8671">
        <v>1.1204989999999999</v>
      </c>
      <c r="L8671">
        <v>-11.52173</v>
      </c>
      <c r="M8671">
        <v>5.9600119999999999E-2</v>
      </c>
      <c r="N8671">
        <v>-1.276237E-2</v>
      </c>
      <c r="O8671">
        <v>-0.99814080000000005</v>
      </c>
      <c r="P8671">
        <v>1.432462E-2</v>
      </c>
      <c r="Q8671">
        <v>0.11281330000000001</v>
      </c>
      <c r="R8671">
        <v>-0.99351299999999998</v>
      </c>
      <c r="S8671">
        <v>-0.2080688</v>
      </c>
      <c r="T8671">
        <v>-0.96276510000000004</v>
      </c>
      <c r="U8671">
        <v>-3.129486</v>
      </c>
      <c r="V8671">
        <v>4.5238479999999998E-2</v>
      </c>
      <c r="W8671">
        <v>0.1253572</v>
      </c>
      <c r="X8671">
        <v>0.99107970000000001</v>
      </c>
      <c r="Y8671">
        <v>0.1227838</v>
      </c>
      <c r="Z8671">
        <v>0.2796054</v>
      </c>
      <c r="AA8671">
        <v>0.95223150000000001</v>
      </c>
      <c r="AB8671">
        <v>17</v>
      </c>
      <c r="AC8671">
        <v>-6.0199999999952E-2</v>
      </c>
      <c r="AD8671">
        <v>-0.239979099999999</v>
      </c>
      <c r="AE8671">
        <v>-0.60392999999999997</v>
      </c>
      <c r="AF8671">
        <v>8.3098319065567597E-2</v>
      </c>
      <c r="AG8671">
        <v>-0.239979099999999</v>
      </c>
      <c r="AH8671">
        <v>0.51824396783246396</v>
      </c>
      <c r="AI8671">
        <v>114.570900809321</v>
      </c>
      <c r="AJ8671">
        <v>80.890397658452997</v>
      </c>
      <c r="AK8671">
        <v>0.57712399816943105</v>
      </c>
      <c r="AL8671">
        <v>82.798615616619301</v>
      </c>
      <c r="AM8671">
        <v>87.386510817883007</v>
      </c>
      <c r="AN8671">
        <v>0.99999995970831901</v>
      </c>
    </row>
    <row r="8672" spans="1:40" x14ac:dyDescent="0.25">
      <c r="A8672" t="str">
        <f>"20190303162121414"</f>
        <v>20190303162121414</v>
      </c>
      <c r="B8672" t="str">
        <f>"1551601281401717"</f>
        <v>1551601281401717</v>
      </c>
      <c r="C8672" t="s">
        <v>40</v>
      </c>
      <c r="D8672">
        <v>4.8272309999999896</v>
      </c>
      <c r="E8672">
        <v>0.53100130000000001</v>
      </c>
      <c r="F8672" t="s">
        <v>42</v>
      </c>
      <c r="G8672">
        <v>-302.1404</v>
      </c>
      <c r="H8672">
        <v>0.88872399999999996</v>
      </c>
      <c r="I8672">
        <v>-12.283720000000001</v>
      </c>
      <c r="J8672">
        <v>-302.0831</v>
      </c>
      <c r="K8672">
        <v>1.1205369999999999</v>
      </c>
      <c r="L8672">
        <v>-11.69464</v>
      </c>
      <c r="M8672">
        <v>5.7404990000000003E-2</v>
      </c>
      <c r="N8672">
        <v>-1.275743E-2</v>
      </c>
      <c r="O8672">
        <v>-0.99826970000000004</v>
      </c>
      <c r="P8672">
        <v>1.86242E-2</v>
      </c>
      <c r="Q8672">
        <v>0.116008399999999</v>
      </c>
      <c r="R8672">
        <v>-0.99307380000000001</v>
      </c>
      <c r="S8672">
        <v>-0.20358280000000001</v>
      </c>
      <c r="T8672">
        <v>-0.95207350000000002</v>
      </c>
      <c r="U8672">
        <v>-3.130646</v>
      </c>
      <c r="V8672">
        <v>3.8738420000000003E-2</v>
      </c>
      <c r="W8672">
        <v>0.1285645</v>
      </c>
      <c r="X8672">
        <v>0.9909443</v>
      </c>
      <c r="Y8672">
        <v>0.11928610000000001</v>
      </c>
      <c r="Z8672">
        <v>0.27666679999999999</v>
      </c>
      <c r="AA8672">
        <v>0.95353359999999998</v>
      </c>
      <c r="AB8672">
        <v>17</v>
      </c>
      <c r="AC8672">
        <v>-5.7299999999997901E-2</v>
      </c>
      <c r="AD8672">
        <v>-0.23181299999999999</v>
      </c>
      <c r="AE8672">
        <v>-0.58907999999999905</v>
      </c>
      <c r="AF8672">
        <v>7.8918015882035703E-2</v>
      </c>
      <c r="AG8672">
        <v>-0.23181299999999999</v>
      </c>
      <c r="AH8672">
        <v>0.507037221425785</v>
      </c>
      <c r="AI8672">
        <v>114.31117199585</v>
      </c>
      <c r="AJ8672">
        <v>81.153158897085305</v>
      </c>
      <c r="AK8672">
        <v>0.56307376436035195</v>
      </c>
      <c r="AL8672">
        <v>82.613352240946995</v>
      </c>
      <c r="AM8672">
        <v>87.7613087279193</v>
      </c>
      <c r="AN8672">
        <v>1.0000000507734099</v>
      </c>
    </row>
    <row r="8673" spans="1:40" x14ac:dyDescent="0.25">
      <c r="A8673" t="str">
        <f>"20190303162121436"</f>
        <v>20190303162121436</v>
      </c>
      <c r="B8673" t="str">
        <f>"1551601281430996"</f>
        <v>1551601281430996</v>
      </c>
      <c r="C8673" t="s">
        <v>40</v>
      </c>
      <c r="D8673">
        <v>5.047326</v>
      </c>
      <c r="E8673">
        <v>0.53119519999999998</v>
      </c>
      <c r="F8673" t="s">
        <v>42</v>
      </c>
      <c r="G8673">
        <v>-302.12830000000002</v>
      </c>
      <c r="H8673">
        <v>0.89668199999999998</v>
      </c>
      <c r="I8673">
        <v>-12.441319999999999</v>
      </c>
      <c r="J8673">
        <v>-302.07549999999998</v>
      </c>
      <c r="K8673">
        <v>1.120582</v>
      </c>
      <c r="L8673">
        <v>-11.8728</v>
      </c>
      <c r="M8673">
        <v>5.5204030000000001E-2</v>
      </c>
      <c r="N8673">
        <v>-1.2752090000000001E-2</v>
      </c>
      <c r="O8673">
        <v>-0.99839359999999999</v>
      </c>
      <c r="P8673">
        <v>2.5136909999999998E-2</v>
      </c>
      <c r="Q8673">
        <v>0.1176118</v>
      </c>
      <c r="R8673">
        <v>-0.99274150000000005</v>
      </c>
      <c r="S8673">
        <v>-0.1896362</v>
      </c>
      <c r="T8673">
        <v>-0.9395654</v>
      </c>
      <c r="U8673">
        <v>-3.1342469999999998</v>
      </c>
      <c r="V8673">
        <v>3.0020729999999999E-2</v>
      </c>
      <c r="W8673">
        <v>0.13018869999999999</v>
      </c>
      <c r="X8673">
        <v>0.99103459999999999</v>
      </c>
      <c r="Y8673">
        <v>0.1128783</v>
      </c>
      <c r="Z8673">
        <v>0.273076599999999</v>
      </c>
      <c r="AA8673">
        <v>0.9553469</v>
      </c>
      <c r="AB8673">
        <v>17</v>
      </c>
      <c r="AC8673">
        <v>-5.2800000000047399E-2</v>
      </c>
      <c r="AD8673">
        <v>-0.22389999999999999</v>
      </c>
      <c r="AE8673">
        <v>-0.56851999999999903</v>
      </c>
      <c r="AF8673">
        <v>7.2896876015169407E-2</v>
      </c>
      <c r="AG8673">
        <v>-0.22389999999999999</v>
      </c>
      <c r="AH8673">
        <v>0.48946954339600102</v>
      </c>
      <c r="AI8673">
        <v>114.344080794253</v>
      </c>
      <c r="AJ8673">
        <v>81.529180962682403</v>
      </c>
      <c r="AK8673">
        <v>0.54316258932759698</v>
      </c>
      <c r="AL8673">
        <v>82.519503000317201</v>
      </c>
      <c r="AM8673">
        <v>88.264908921304396</v>
      </c>
      <c r="AN8673">
        <v>0.99999996011728998</v>
      </c>
    </row>
    <row r="8674" spans="1:40" x14ac:dyDescent="0.25">
      <c r="A8674" t="str">
        <f>"20190303162121461"</f>
        <v>20190303162121461</v>
      </c>
      <c r="B8674" t="str">
        <f>"1551601281451492"</f>
        <v>1551601281451492</v>
      </c>
      <c r="C8674" t="s">
        <v>40</v>
      </c>
      <c r="D8674">
        <v>4.7901629999999997</v>
      </c>
      <c r="E8674">
        <v>0.52893230000000002</v>
      </c>
      <c r="F8674" t="s">
        <v>42</v>
      </c>
      <c r="G8674">
        <v>-302.1148</v>
      </c>
      <c r="H8674">
        <v>0.90464149999999999</v>
      </c>
      <c r="I8674">
        <v>-12.59918</v>
      </c>
      <c r="J8674">
        <v>-302.06790000000001</v>
      </c>
      <c r="K8674">
        <v>1.120652</v>
      </c>
      <c r="L8674">
        <v>-12.05865</v>
      </c>
      <c r="M8674">
        <v>5.3004200000000001E-2</v>
      </c>
      <c r="N8674">
        <v>-1.2746149999999999E-2</v>
      </c>
      <c r="O8674">
        <v>-0.99851299999999998</v>
      </c>
      <c r="P8674">
        <v>3.2650270000000002E-2</v>
      </c>
      <c r="Q8674">
        <v>0.1181724</v>
      </c>
      <c r="R8674">
        <v>-0.99245629999999996</v>
      </c>
      <c r="S8674">
        <v>-0.1694946</v>
      </c>
      <c r="T8674">
        <v>-0.93236850000000004</v>
      </c>
      <c r="U8674">
        <v>-3.1366879999999999</v>
      </c>
      <c r="V8674">
        <v>2.0297820000000001E-2</v>
      </c>
      <c r="W8674">
        <v>0.13077159999999999</v>
      </c>
      <c r="X8674">
        <v>0.99120469999999905</v>
      </c>
      <c r="Y8674">
        <v>0.1045768</v>
      </c>
      <c r="Z8674">
        <v>0.27109549999999999</v>
      </c>
      <c r="AA8674">
        <v>0.95685469999999895</v>
      </c>
      <c r="AB8674">
        <v>17</v>
      </c>
      <c r="AC8674">
        <v>-4.6899999999993697E-2</v>
      </c>
      <c r="AD8674">
        <v>-0.21601049999999899</v>
      </c>
      <c r="AE8674">
        <v>-0.54052999999999995</v>
      </c>
      <c r="AF8674">
        <v>6.5158556757396902E-2</v>
      </c>
      <c r="AG8674">
        <v>-0.21601049999999899</v>
      </c>
      <c r="AH8674">
        <v>0.46377208996055203</v>
      </c>
      <c r="AI8674">
        <v>114.76097579773101</v>
      </c>
      <c r="AJ8674">
        <v>82.002466614945604</v>
      </c>
      <c r="AK8674">
        <v>0.51574288657754197</v>
      </c>
      <c r="AL8674">
        <v>82.485817495630798</v>
      </c>
      <c r="AM8674">
        <v>88.826865029218695</v>
      </c>
      <c r="AN8674">
        <v>0.99999998508270005</v>
      </c>
    </row>
    <row r="8675" spans="1:40" x14ac:dyDescent="0.25">
      <c r="A8675" t="str">
        <f>"20190303162121482"</f>
        <v>20190303162121482</v>
      </c>
      <c r="B8675" t="str">
        <f>"1551601281471012"</f>
        <v>1551601281471012</v>
      </c>
      <c r="C8675" t="s">
        <v>40</v>
      </c>
      <c r="D8675">
        <v>4.816624</v>
      </c>
      <c r="E8675">
        <v>0.46462189999999998</v>
      </c>
      <c r="F8675" t="s">
        <v>42</v>
      </c>
      <c r="G8675">
        <v>-302.09679999999997</v>
      </c>
      <c r="H8675">
        <v>0.91742679999999999</v>
      </c>
      <c r="I8675">
        <v>-12.75915</v>
      </c>
      <c r="J8675">
        <v>-302.06119999999999</v>
      </c>
      <c r="K8675">
        <v>1.120733</v>
      </c>
      <c r="L8675">
        <v>-12.22519</v>
      </c>
      <c r="M8675">
        <v>5.114573E-2</v>
      </c>
      <c r="N8675">
        <v>-1.2740339999999999E-2</v>
      </c>
      <c r="O8675">
        <v>-0.99860979999999999</v>
      </c>
      <c r="P8675">
        <v>4.0482869999999997E-2</v>
      </c>
      <c r="Q8675">
        <v>0.11931650000000001</v>
      </c>
      <c r="R8675">
        <v>-0.99203070000000004</v>
      </c>
      <c r="S8675">
        <v>-0.1281128</v>
      </c>
      <c r="T8675">
        <v>-0.90932809999999997</v>
      </c>
      <c r="U8675">
        <v>-3.135284</v>
      </c>
      <c r="V8675">
        <v>1.058537E-2</v>
      </c>
      <c r="W8675">
        <v>0.131934</v>
      </c>
      <c r="X8675">
        <v>0.99120200000000003</v>
      </c>
      <c r="Y8675">
        <v>9.0241199999999994E-2</v>
      </c>
      <c r="Z8675">
        <v>0.26506030000000003</v>
      </c>
      <c r="AA8675">
        <v>0.95999979999999996</v>
      </c>
      <c r="AB8675">
        <v>17</v>
      </c>
      <c r="AC8675">
        <v>-3.5599999999988002E-2</v>
      </c>
      <c r="AD8675">
        <v>-0.20330619999999999</v>
      </c>
      <c r="AE8675">
        <v>-0.53395999999999999</v>
      </c>
      <c r="AF8675">
        <v>5.4936404381867497E-2</v>
      </c>
      <c r="AG8675">
        <v>-0.20330619999999999</v>
      </c>
      <c r="AH8675">
        <v>0.46441144865234202</v>
      </c>
      <c r="AI8675">
        <v>113.496541409934</v>
      </c>
      <c r="AJ8675">
        <v>83.253688141505506</v>
      </c>
      <c r="AK8675">
        <v>0.50993079248483797</v>
      </c>
      <c r="AL8675">
        <v>82.418635032421406</v>
      </c>
      <c r="AM8675">
        <v>89.388142910761601</v>
      </c>
      <c r="AN8675">
        <v>1.00000001760901</v>
      </c>
    </row>
    <row r="8676" spans="1:40" x14ac:dyDescent="0.25">
      <c r="A8676" t="str">
        <f>"20190303162121503"</f>
        <v>20190303162121503</v>
      </c>
      <c r="B8676" t="str">
        <f>"1551601281492485"</f>
        <v>1551601281492485</v>
      </c>
      <c r="C8676" t="s">
        <v>40</v>
      </c>
      <c r="D8676">
        <v>4.8810140000000004</v>
      </c>
      <c r="E8676">
        <v>0.45952399999999999</v>
      </c>
      <c r="F8676" t="s">
        <v>41</v>
      </c>
      <c r="G8676">
        <v>-299.74400000000003</v>
      </c>
      <c r="H8676" s="1">
        <v>-4.0721920000000003E-7</v>
      </c>
      <c r="I8676">
        <v>-29.52383</v>
      </c>
      <c r="J8676">
        <v>-302.05509999999998</v>
      </c>
      <c r="K8676">
        <v>1.1208119999999999</v>
      </c>
      <c r="L8676">
        <v>-12.386229999999999</v>
      </c>
      <c r="M8676">
        <v>4.9466929999999999E-2</v>
      </c>
      <c r="N8676">
        <v>-1.273439E-2</v>
      </c>
      <c r="O8676">
        <v>-0.99869470000000005</v>
      </c>
      <c r="P8676">
        <v>4.7757630000000002E-2</v>
      </c>
      <c r="Q8676">
        <v>0.1203504</v>
      </c>
      <c r="R8676">
        <v>-0.99158199999999996</v>
      </c>
      <c r="S8676">
        <v>0.40603640000000002</v>
      </c>
      <c r="T8676">
        <v>-0.19638059999999999</v>
      </c>
      <c r="U8676">
        <v>-3.031158</v>
      </c>
      <c r="V8676">
        <v>1.603805E-3</v>
      </c>
      <c r="W8676">
        <v>0.13297989999999901</v>
      </c>
      <c r="X8676">
        <v>0.99111740000000004</v>
      </c>
      <c r="Y8676">
        <v>-8.3356040000000006E-2</v>
      </c>
      <c r="Z8676">
        <v>5.1464389999999999E-2</v>
      </c>
      <c r="AA8676">
        <v>0.99519000000000002</v>
      </c>
      <c r="AB8676">
        <v>17</v>
      </c>
      <c r="AC8676">
        <v>2.31109999999995</v>
      </c>
      <c r="AD8676">
        <v>-1.1208124072192001</v>
      </c>
      <c r="AE8676">
        <v>-17.137599999999999</v>
      </c>
      <c r="AF8676">
        <v>-1.45434758635162</v>
      </c>
      <c r="AG8676">
        <v>-1.1208124072192001</v>
      </c>
      <c r="AH8676">
        <v>17.158866296738299</v>
      </c>
      <c r="AI8676">
        <v>93.723920951334804</v>
      </c>
      <c r="AJ8676">
        <v>94.844684573872598</v>
      </c>
      <c r="AK8676">
        <v>17.256825894220601</v>
      </c>
      <c r="AL8676">
        <v>82.358176243924206</v>
      </c>
      <c r="AM8676">
        <v>89.907285274724899</v>
      </c>
      <c r="AN8676">
        <v>0.99999996328862295</v>
      </c>
    </row>
    <row r="8677" spans="1:40" x14ac:dyDescent="0.25">
      <c r="A8677" t="str">
        <f>"20190303162121525"</f>
        <v>20190303162121525</v>
      </c>
      <c r="B8677" t="str">
        <f>"1551601281511029"</f>
        <v>1551601281511029</v>
      </c>
      <c r="C8677" t="s">
        <v>40</v>
      </c>
      <c r="D8677">
        <v>4.8693939999999998</v>
      </c>
      <c r="E8677">
        <v>0.4599548</v>
      </c>
      <c r="F8677" t="s">
        <v>41</v>
      </c>
      <c r="G8677">
        <v>-298.28289999999998</v>
      </c>
      <c r="H8677" s="1">
        <v>-1.8722789999999999E-6</v>
      </c>
      <c r="I8677">
        <v>-36.712890000000002</v>
      </c>
      <c r="J8677">
        <v>-302.04849999999999</v>
      </c>
      <c r="K8677">
        <v>1.12090499999999</v>
      </c>
      <c r="L8677">
        <v>-12.557980000000001</v>
      </c>
      <c r="M8677">
        <v>4.7812470000000003E-2</v>
      </c>
      <c r="N8677">
        <v>-1.272793E-2</v>
      </c>
      <c r="O8677">
        <v>-0.99877550000000004</v>
      </c>
      <c r="P8677">
        <v>5.3920009999999997E-2</v>
      </c>
      <c r="Q8677">
        <v>0.12062249999999999</v>
      </c>
      <c r="R8677">
        <v>-0.99123340000000004</v>
      </c>
      <c r="S8677">
        <v>0.4682617</v>
      </c>
      <c r="T8677">
        <v>-0.13913299999999901</v>
      </c>
      <c r="U8677">
        <v>-3.019806</v>
      </c>
      <c r="V8677">
        <v>-6.2426259999999898E-3</v>
      </c>
      <c r="W8677">
        <v>0.13325780000000001</v>
      </c>
      <c r="X8677">
        <v>0.99106170000000005</v>
      </c>
      <c r="Y8677">
        <v>-0.1056836</v>
      </c>
      <c r="Z8677">
        <v>3.2873939999999997E-2</v>
      </c>
      <c r="AA8677">
        <v>0.99385630000000003</v>
      </c>
      <c r="AB8677">
        <v>17</v>
      </c>
      <c r="AC8677">
        <v>3.7656000000000001</v>
      </c>
      <c r="AD8677">
        <v>-1.1209068722790001</v>
      </c>
      <c r="AE8677">
        <v>-24.154910000000001</v>
      </c>
      <c r="AF8677">
        <v>-2.60082575780587</v>
      </c>
      <c r="AG8677">
        <v>-1.1209068722790001</v>
      </c>
      <c r="AH8677">
        <v>24.256342748747802</v>
      </c>
      <c r="AI8677">
        <v>92.6307481368993</v>
      </c>
      <c r="AJ8677">
        <v>96.120015049405694</v>
      </c>
      <c r="AK8677">
        <v>24.421115666232801</v>
      </c>
      <c r="AL8677">
        <v>82.342110680990899</v>
      </c>
      <c r="AM8677">
        <v>90.360897199989495</v>
      </c>
      <c r="AN8677">
        <v>0.999999952423551</v>
      </c>
    </row>
    <row r="8678" spans="1:40" x14ac:dyDescent="0.25">
      <c r="A8678" t="str">
        <f>"20190303162121548"</f>
        <v>20190303162121548</v>
      </c>
      <c r="B8678" t="str">
        <f>"1551601281541285"</f>
        <v>1551601281541285</v>
      </c>
      <c r="C8678" t="s">
        <v>40</v>
      </c>
      <c r="D8678">
        <v>4.9702400000000004</v>
      </c>
      <c r="E8678">
        <v>0.46215109999999898</v>
      </c>
      <c r="F8678" t="s">
        <v>62</v>
      </c>
      <c r="G8678">
        <v>-297.45780000000002</v>
      </c>
      <c r="H8678" s="1">
        <v>-1.1775679999999999E-6</v>
      </c>
      <c r="I8678">
        <v>-41.192279999999997</v>
      </c>
      <c r="J8678">
        <v>-302.04219999999998</v>
      </c>
      <c r="K8678">
        <v>1.1209929999999999</v>
      </c>
      <c r="L8678">
        <v>-12.72852</v>
      </c>
      <c r="M8678">
        <v>4.6317230000000001E-2</v>
      </c>
      <c r="N8678">
        <v>-1.2721690000000001E-2</v>
      </c>
      <c r="O8678">
        <v>-0.99884600000000001</v>
      </c>
      <c r="P8678">
        <v>5.9455090000000002E-2</v>
      </c>
      <c r="Q8678">
        <v>0.12103079999999999</v>
      </c>
      <c r="R8678">
        <v>-0.99086700000000005</v>
      </c>
      <c r="S8678">
        <v>0.48330689999999998</v>
      </c>
      <c r="T8678">
        <v>-0.118009</v>
      </c>
      <c r="U8678">
        <v>-3.014618</v>
      </c>
      <c r="V8678">
        <v>-1.3302410000000001E-2</v>
      </c>
      <c r="W8678">
        <v>0.13366710000000001</v>
      </c>
      <c r="X8678">
        <v>0.99093699999999996</v>
      </c>
      <c r="Y8678">
        <v>-0.11230279999999999</v>
      </c>
      <c r="Z8678">
        <v>2.6014079999999998E-2</v>
      </c>
      <c r="AA8678">
        <v>0.99333349999999998</v>
      </c>
      <c r="AB8678">
        <v>17</v>
      </c>
      <c r="AC8678">
        <v>4.5843999999999596</v>
      </c>
      <c r="AD8678">
        <v>-1.1209941775679999</v>
      </c>
      <c r="AE8678">
        <v>-28.463760000000001</v>
      </c>
      <c r="AF8678">
        <v>-3.2560876126017302</v>
      </c>
      <c r="AG8678">
        <v>-1.1209941775679999</v>
      </c>
      <c r="AH8678">
        <v>28.602319524497101</v>
      </c>
      <c r="AI8678">
        <v>92.230022828905703</v>
      </c>
      <c r="AJ8678">
        <v>96.494591315258305</v>
      </c>
      <c r="AK8678">
        <v>28.808877393409599</v>
      </c>
      <c r="AL8678">
        <v>82.318448138587698</v>
      </c>
      <c r="AM8678">
        <v>90.769096494248004</v>
      </c>
      <c r="AN8678">
        <v>0.99999999285160901</v>
      </c>
    </row>
    <row r="8679" spans="1:40" x14ac:dyDescent="0.25">
      <c r="A8679" t="str">
        <f>"20190303162121569"</f>
        <v>20190303162121569</v>
      </c>
      <c r="B8679" t="str">
        <f>"1551601281561779"</f>
        <v>1551601281561779</v>
      </c>
      <c r="C8679" t="s">
        <v>40</v>
      </c>
      <c r="D8679">
        <v>4.8855399999999998</v>
      </c>
      <c r="E8679">
        <v>0.4633099</v>
      </c>
      <c r="F8679" t="s">
        <v>62</v>
      </c>
      <c r="G8679">
        <v>-296.82929999999999</v>
      </c>
      <c r="H8679" s="1">
        <v>-3.8322030000000002E-6</v>
      </c>
      <c r="I8679">
        <v>-45.314129999999999</v>
      </c>
      <c r="J8679">
        <v>-302.036</v>
      </c>
      <c r="K8679">
        <v>1.1210659999999999</v>
      </c>
      <c r="L8679">
        <v>-12.8992</v>
      </c>
      <c r="M8679">
        <v>4.4933359999999999E-2</v>
      </c>
      <c r="N8679">
        <v>-1.2715880000000001E-2</v>
      </c>
      <c r="O8679">
        <v>-0.99890909999999999</v>
      </c>
      <c r="P8679">
        <v>6.4226999999999895E-2</v>
      </c>
      <c r="Q8679">
        <v>0.1214594</v>
      </c>
      <c r="R8679">
        <v>-0.99051659999999997</v>
      </c>
      <c r="S8679">
        <v>0.48175050000000003</v>
      </c>
      <c r="T8679">
        <v>-0.10359740000000001</v>
      </c>
      <c r="U8679">
        <v>-3.0114139999999998</v>
      </c>
      <c r="V8679">
        <v>-1.9480540000000001E-2</v>
      </c>
      <c r="W8679">
        <v>0.13409380000000001</v>
      </c>
      <c r="X8679">
        <v>0.99077709999999997</v>
      </c>
      <c r="Y8679">
        <v>-0.11336450000000001</v>
      </c>
      <c r="Z8679">
        <v>2.1336629999999999E-2</v>
      </c>
      <c r="AA8679">
        <v>0.99332430000000005</v>
      </c>
      <c r="AB8679">
        <v>17</v>
      </c>
      <c r="AC8679">
        <v>5.2067000000000103</v>
      </c>
      <c r="AD8679">
        <v>-1.1210698322029999</v>
      </c>
      <c r="AE8679">
        <v>-32.414929999999998</v>
      </c>
      <c r="AF8679">
        <v>-3.7404493908074601</v>
      </c>
      <c r="AG8679">
        <v>-1.1210698322029999</v>
      </c>
      <c r="AH8679">
        <v>32.578171290021203</v>
      </c>
      <c r="AI8679">
        <v>91.958013447654196</v>
      </c>
      <c r="AJ8679">
        <v>96.549711647203395</v>
      </c>
      <c r="AK8679">
        <v>32.811354800066297</v>
      </c>
      <c r="AL8679">
        <v>82.293777605131893</v>
      </c>
      <c r="AM8679">
        <v>91.126397579244994</v>
      </c>
      <c r="AN8679">
        <v>0.99999995026076904</v>
      </c>
    </row>
    <row r="8680" spans="1:40" x14ac:dyDescent="0.25">
      <c r="A8680" t="str">
        <f>"20190303162121593"</f>
        <v>20190303162121593</v>
      </c>
      <c r="B8680" t="str">
        <f>"1551601281581301"</f>
        <v>1551601281581301</v>
      </c>
      <c r="C8680" t="s">
        <v>40</v>
      </c>
      <c r="D8680">
        <v>5.0239339999999997</v>
      </c>
      <c r="E8680">
        <v>0.46408949999999999</v>
      </c>
      <c r="F8680" t="s">
        <v>62</v>
      </c>
      <c r="G8680">
        <v>-296.60570000000001</v>
      </c>
      <c r="H8680" s="1">
        <v>-4.4771639999999999E-6</v>
      </c>
      <c r="I8680">
        <v>-46.477510000000002</v>
      </c>
      <c r="J8680">
        <v>-302.02969999999999</v>
      </c>
      <c r="K8680">
        <v>1.1211100000000001</v>
      </c>
      <c r="L8680">
        <v>-13.07315</v>
      </c>
      <c r="M8680">
        <v>4.3621439999999997E-2</v>
      </c>
      <c r="N8680">
        <v>-1.27105E-2</v>
      </c>
      <c r="O8680">
        <v>-0.99896739999999995</v>
      </c>
      <c r="P8680">
        <v>6.7817459999999996E-2</v>
      </c>
      <c r="Q8680">
        <v>0.122672</v>
      </c>
      <c r="R8680">
        <v>-0.99012739999999999</v>
      </c>
      <c r="S8680">
        <v>0.48669430000000002</v>
      </c>
      <c r="T8680">
        <v>-0.1004771</v>
      </c>
      <c r="U8680">
        <v>-3.0094910000000001</v>
      </c>
      <c r="V8680">
        <v>-2.4399520000000001E-2</v>
      </c>
      <c r="W8680">
        <v>0.1353019</v>
      </c>
      <c r="X8680">
        <v>0.99050400000000005</v>
      </c>
      <c r="Y8680">
        <v>-0.1163617</v>
      </c>
      <c r="Z8680">
        <v>2.0331459999999999E-2</v>
      </c>
      <c r="AA8680">
        <v>0.99299879999999996</v>
      </c>
      <c r="AB8680">
        <v>17</v>
      </c>
      <c r="AC8680">
        <v>5.4239999999999702</v>
      </c>
      <c r="AD8680">
        <v>-1.121114477164</v>
      </c>
      <c r="AE8680">
        <v>-33.404359999999997</v>
      </c>
      <c r="AF8680">
        <v>-3.9572294826904999</v>
      </c>
      <c r="AG8680">
        <v>-1.121114477164</v>
      </c>
      <c r="AH8680">
        <v>33.572335555554901</v>
      </c>
      <c r="AI8680">
        <v>91.8994841237934</v>
      </c>
      <c r="AJ8680">
        <v>96.722533804586902</v>
      </c>
      <c r="AK8680">
        <v>33.823339242368696</v>
      </c>
      <c r="AL8680">
        <v>82.223922789672102</v>
      </c>
      <c r="AM8680">
        <v>91.411106720846703</v>
      </c>
      <c r="AN8680">
        <v>1.00000005736791</v>
      </c>
    </row>
    <row r="8681" spans="1:40" x14ac:dyDescent="0.25">
      <c r="A8681" t="str">
        <f>"20190303162121614"</f>
        <v>20190303162121614</v>
      </c>
      <c r="B8681" t="str">
        <f>"1551601281601796"</f>
        <v>1551601281601796</v>
      </c>
      <c r="C8681" t="s">
        <v>40</v>
      </c>
      <c r="D8681">
        <v>5.0791389999999996</v>
      </c>
      <c r="E8681">
        <v>0.46492919999999999</v>
      </c>
      <c r="F8681" t="s">
        <v>62</v>
      </c>
      <c r="G8681">
        <v>-296.3383</v>
      </c>
      <c r="H8681" s="1">
        <v>-5.2709389999999998E-6</v>
      </c>
      <c r="I8681">
        <v>-47.91901</v>
      </c>
      <c r="J8681">
        <v>-302.02379999999999</v>
      </c>
      <c r="K8681">
        <v>1.12114</v>
      </c>
      <c r="L8681">
        <v>-13.243589999999999</v>
      </c>
      <c r="M8681">
        <v>4.2413699999999901E-2</v>
      </c>
      <c r="N8681">
        <v>-1.270579E-2</v>
      </c>
      <c r="O8681">
        <v>-0.99901949999999995</v>
      </c>
      <c r="P8681">
        <v>7.1037260000000005E-2</v>
      </c>
      <c r="Q8681">
        <v>0.1242366</v>
      </c>
      <c r="R8681">
        <v>-0.98970659999999999</v>
      </c>
      <c r="S8681">
        <v>0.49133300000000002</v>
      </c>
      <c r="T8681">
        <v>-9.6785780000000002E-2</v>
      </c>
      <c r="U8681">
        <v>-3.0082399999999998</v>
      </c>
      <c r="V8681">
        <v>-2.8837930000000001E-2</v>
      </c>
      <c r="W8681">
        <v>0.13686129999999999</v>
      </c>
      <c r="X8681">
        <v>0.99017040000000001</v>
      </c>
      <c r="Y8681">
        <v>-0.1191228</v>
      </c>
      <c r="Z8681">
        <v>1.9130500000000002E-2</v>
      </c>
      <c r="AA8681">
        <v>0.9926952</v>
      </c>
      <c r="AB8681">
        <v>17</v>
      </c>
      <c r="AC8681">
        <v>5.6854999999999896</v>
      </c>
      <c r="AD8681">
        <v>-1.121145270939</v>
      </c>
      <c r="AE8681">
        <v>-34.675420000000003</v>
      </c>
      <c r="AF8681">
        <v>-4.2052705587533703</v>
      </c>
      <c r="AG8681">
        <v>-1.121145270939</v>
      </c>
      <c r="AH8681">
        <v>34.849896157489297</v>
      </c>
      <c r="AI8681">
        <v>91.829348241617296</v>
      </c>
      <c r="AJ8681">
        <v>96.880506020900199</v>
      </c>
      <c r="AK8681">
        <v>35.120599786715701</v>
      </c>
      <c r="AL8681">
        <v>82.133736597310403</v>
      </c>
      <c r="AM8681">
        <v>91.668222709742494</v>
      </c>
      <c r="AN8681">
        <v>1.0000000313402599</v>
      </c>
    </row>
    <row r="8682" spans="1:40" x14ac:dyDescent="0.25">
      <c r="A8682" t="str">
        <f>"20190303162121637"</f>
        <v>20190303162121637</v>
      </c>
      <c r="B8682" t="str">
        <f>"1551601281631076"</f>
        <v>1551601281631076</v>
      </c>
      <c r="C8682" t="s">
        <v>40</v>
      </c>
      <c r="D8682">
        <v>5.0788849999999996</v>
      </c>
      <c r="E8682">
        <v>0.46581729999999999</v>
      </c>
      <c r="F8682" t="s">
        <v>62</v>
      </c>
      <c r="G8682">
        <v>-296.05079999999998</v>
      </c>
      <c r="H8682" s="1">
        <v>-6.0284029999999996E-6</v>
      </c>
      <c r="I8682">
        <v>-49.57497</v>
      </c>
      <c r="J8682">
        <v>-302.0179</v>
      </c>
      <c r="K8682">
        <v>1.121151</v>
      </c>
      <c r="L8682">
        <v>-13.41846</v>
      </c>
      <c r="M8682">
        <v>4.1232940000000003E-2</v>
      </c>
      <c r="N8682">
        <v>-1.2701560000000001E-2</v>
      </c>
      <c r="O8682">
        <v>-0.99906910000000004</v>
      </c>
      <c r="P8682">
        <v>7.4355389999999993E-2</v>
      </c>
      <c r="Q8682">
        <v>0.125995</v>
      </c>
      <c r="R8682">
        <v>-0.98924080000000003</v>
      </c>
      <c r="S8682">
        <v>0.4944153</v>
      </c>
      <c r="T8682">
        <v>-9.28036E-2</v>
      </c>
      <c r="U8682">
        <v>-3.007355</v>
      </c>
      <c r="V8682">
        <v>-3.3344099999999897E-2</v>
      </c>
      <c r="W8682">
        <v>0.1386154</v>
      </c>
      <c r="X8682">
        <v>0.98978480000000002</v>
      </c>
      <c r="Y8682">
        <v>-0.1213375</v>
      </c>
      <c r="Z8682">
        <v>1.783117E-2</v>
      </c>
      <c r="AA8682">
        <v>0.99245110000000003</v>
      </c>
      <c r="AB8682">
        <v>17</v>
      </c>
      <c r="AC8682">
        <v>5.9671000000000101</v>
      </c>
      <c r="AD8682">
        <v>-1.1211570284029999</v>
      </c>
      <c r="AE8682">
        <v>-36.156509999999997</v>
      </c>
      <c r="AF8682">
        <v>-4.4668843243277596</v>
      </c>
      <c r="AG8682">
        <v>-1.1211570284029999</v>
      </c>
      <c r="AH8682">
        <v>36.337803750431902</v>
      </c>
      <c r="AI8682">
        <v>91.754033727363407</v>
      </c>
      <c r="AJ8682">
        <v>97.008019807788102</v>
      </c>
      <c r="AK8682">
        <v>36.628486592461996</v>
      </c>
      <c r="AL8682">
        <v>82.032266699238406</v>
      </c>
      <c r="AM8682">
        <v>91.929463821001093</v>
      </c>
      <c r="AN8682">
        <v>1.0000000042165</v>
      </c>
    </row>
    <row r="8683" spans="1:40" x14ac:dyDescent="0.25">
      <c r="A8683" t="str">
        <f>"20190303162121665"</f>
        <v>20190303162121665</v>
      </c>
      <c r="B8683" t="str">
        <f>"1551601281651572"</f>
        <v>1551601281651572</v>
      </c>
      <c r="C8683" t="s">
        <v>40</v>
      </c>
      <c r="D8683">
        <v>5.1365049999999997</v>
      </c>
      <c r="E8683">
        <v>0.46648070000000003</v>
      </c>
      <c r="F8683" t="s">
        <v>62</v>
      </c>
      <c r="G8683">
        <v>-295.79360000000003</v>
      </c>
      <c r="H8683" s="1">
        <v>-8.6781909999999997E-6</v>
      </c>
      <c r="I8683">
        <v>-51.00938</v>
      </c>
      <c r="J8683">
        <v>-302.01100000000002</v>
      </c>
      <c r="K8683">
        <v>1.1211549999999999</v>
      </c>
      <c r="L8683">
        <v>-13.627750000000001</v>
      </c>
      <c r="M8683">
        <v>3.9862469999999997E-2</v>
      </c>
      <c r="N8683">
        <v>-1.2697140000000001E-2</v>
      </c>
      <c r="O8683">
        <v>-0.99912460000000003</v>
      </c>
      <c r="P8683">
        <v>7.7670459999999997E-2</v>
      </c>
      <c r="Q8683">
        <v>0.126752</v>
      </c>
      <c r="R8683">
        <v>-0.98888920000000002</v>
      </c>
      <c r="S8683">
        <v>0.49783329999999998</v>
      </c>
      <c r="T8683">
        <v>-8.9674229999999994E-2</v>
      </c>
      <c r="U8683">
        <v>-3.006653</v>
      </c>
      <c r="V8683">
        <v>-3.8030509999999997E-2</v>
      </c>
      <c r="W8683">
        <v>0.13936999999999999</v>
      </c>
      <c r="X8683">
        <v>0.98950979999999999</v>
      </c>
      <c r="Y8683">
        <v>-0.12383719999999999</v>
      </c>
      <c r="Z8683">
        <v>1.6809009999999999E-2</v>
      </c>
      <c r="AA8683">
        <v>0.99216020000000005</v>
      </c>
      <c r="AB8683">
        <v>17</v>
      </c>
      <c r="AC8683">
        <v>6.2173999999999401</v>
      </c>
      <c r="AD8683">
        <v>-1.1211636781909999</v>
      </c>
      <c r="AE8683">
        <v>-37.381630000000001</v>
      </c>
      <c r="AF8683">
        <v>-4.7180835072175897</v>
      </c>
      <c r="AG8683">
        <v>-1.1211636781909999</v>
      </c>
      <c r="AH8683">
        <v>37.566890918516002</v>
      </c>
      <c r="AI8683">
        <v>91.696137771031005</v>
      </c>
      <c r="AJ8683">
        <v>97.158384969632493</v>
      </c>
      <c r="AK8683">
        <v>37.878603633952203</v>
      </c>
      <c r="AL8683">
        <v>81.988607329460095</v>
      </c>
      <c r="AM8683">
        <v>92.201004749647595</v>
      </c>
      <c r="AN8683">
        <v>0.99999998044344895</v>
      </c>
    </row>
    <row r="8684" spans="1:40" x14ac:dyDescent="0.25">
      <c r="A8684" t="str">
        <f>"20190303162121685"</f>
        <v>20190303162121685</v>
      </c>
      <c r="B8684" t="str">
        <f>"1551601281671092"</f>
        <v>1551601281671092</v>
      </c>
      <c r="C8684" t="s">
        <v>40</v>
      </c>
      <c r="D8684">
        <v>5.0744999999999996</v>
      </c>
      <c r="E8684">
        <v>0.46710679999999999</v>
      </c>
      <c r="F8684" t="s">
        <v>62</v>
      </c>
      <c r="G8684">
        <v>-295.68770000000001</v>
      </c>
      <c r="H8684" s="1">
        <v>-8.6653199999999996E-6</v>
      </c>
      <c r="I8684">
        <v>-51.454509999999999</v>
      </c>
      <c r="J8684">
        <v>-302.0061</v>
      </c>
      <c r="K8684">
        <v>1.121164</v>
      </c>
      <c r="L8684">
        <v>-13.78049</v>
      </c>
      <c r="M8684">
        <v>3.8877200000000001E-2</v>
      </c>
      <c r="N8684">
        <v>-1.269429E-2</v>
      </c>
      <c r="O8684">
        <v>-0.99916340000000003</v>
      </c>
      <c r="P8684">
        <v>8.1048560000000006E-2</v>
      </c>
      <c r="Q8684">
        <v>0.12640370000000001</v>
      </c>
      <c r="R8684">
        <v>-0.98866240000000005</v>
      </c>
      <c r="S8684">
        <v>0.50244140000000004</v>
      </c>
      <c r="T8684">
        <v>-8.9086529999999997E-2</v>
      </c>
      <c r="U8684">
        <v>-3.0056759999999998</v>
      </c>
      <c r="V8684">
        <v>-4.2393399999999998E-2</v>
      </c>
      <c r="W8684">
        <v>0.13902200000000001</v>
      </c>
      <c r="X8684">
        <v>0.98938150000000002</v>
      </c>
      <c r="Y8684">
        <v>-0.1263473</v>
      </c>
      <c r="Z8684">
        <v>1.6621009999999999E-2</v>
      </c>
      <c r="AA8684">
        <v>0.99184680000000003</v>
      </c>
      <c r="AB8684">
        <v>17</v>
      </c>
      <c r="AC8684">
        <v>6.3183999999999898</v>
      </c>
      <c r="AD8684">
        <v>-1.12117266532</v>
      </c>
      <c r="AE8684">
        <v>-37.674019999999999</v>
      </c>
      <c r="AF8684">
        <v>-4.8446708292793099</v>
      </c>
      <c r="AG8684">
        <v>-1.12117266532</v>
      </c>
      <c r="AH8684">
        <v>37.858583102642598</v>
      </c>
      <c r="AI8684">
        <v>91.682591806323401</v>
      </c>
      <c r="AJ8684">
        <v>97.292368070929498</v>
      </c>
      <c r="AK8684">
        <v>38.183768516599102</v>
      </c>
      <c r="AL8684">
        <v>82.008742714347093</v>
      </c>
      <c r="AM8684">
        <v>92.453530839352197</v>
      </c>
      <c r="AN8684">
        <v>1.0000000346949001</v>
      </c>
    </row>
    <row r="8685" spans="1:40" x14ac:dyDescent="0.25">
      <c r="A8685" t="str">
        <f>"20190303162121705"</f>
        <v>20190303162121705</v>
      </c>
      <c r="B8685" t="str">
        <f>"1551601281691588"</f>
        <v>1551601281691588</v>
      </c>
      <c r="C8685" t="s">
        <v>40</v>
      </c>
      <c r="D8685">
        <v>5.080031</v>
      </c>
      <c r="E8685">
        <v>0.46771170000000001</v>
      </c>
      <c r="F8685" t="s">
        <v>62</v>
      </c>
      <c r="G8685">
        <v>-295.86009999999999</v>
      </c>
      <c r="H8685" s="1">
        <v>-6.2737039999999999E-6</v>
      </c>
      <c r="I8685">
        <v>-50.144440000000003</v>
      </c>
      <c r="J8685">
        <v>-302.00139999999999</v>
      </c>
      <c r="K8685">
        <v>1.1211679999999999</v>
      </c>
      <c r="L8685">
        <v>-13.9306</v>
      </c>
      <c r="M8685">
        <v>3.7918769999999997E-2</v>
      </c>
      <c r="N8685">
        <v>-1.269177E-2</v>
      </c>
      <c r="O8685">
        <v>-0.99920039999999999</v>
      </c>
      <c r="P8685">
        <v>8.2977640000000005E-2</v>
      </c>
      <c r="Q8685">
        <v>0.12580649999999999</v>
      </c>
      <c r="R8685">
        <v>-0.98857870000000003</v>
      </c>
      <c r="S8685">
        <v>0.5078125</v>
      </c>
      <c r="T8685">
        <v>-9.2637780000000003E-2</v>
      </c>
      <c r="U8685">
        <v>-3.0046080000000002</v>
      </c>
      <c r="V8685">
        <v>-4.527722E-2</v>
      </c>
      <c r="W8685">
        <v>0.1384242</v>
      </c>
      <c r="X8685">
        <v>0.98933749999999998</v>
      </c>
      <c r="Y8685">
        <v>-0.129075</v>
      </c>
      <c r="Z8685">
        <v>1.7791580000000001E-2</v>
      </c>
      <c r="AA8685">
        <v>0.9914752</v>
      </c>
      <c r="AB8685">
        <v>17</v>
      </c>
      <c r="AC8685">
        <v>6.1413000000000002</v>
      </c>
      <c r="AD8685">
        <v>-1.121174273704</v>
      </c>
      <c r="AE8685">
        <v>-36.213839999999998</v>
      </c>
      <c r="AF8685">
        <v>-4.7591538026924196</v>
      </c>
      <c r="AG8685">
        <v>-1.121174273704</v>
      </c>
      <c r="AH8685">
        <v>36.386778835773498</v>
      </c>
      <c r="AI8685">
        <v>91.749982721004898</v>
      </c>
      <c r="AJ8685">
        <v>97.451615660350896</v>
      </c>
      <c r="AK8685">
        <v>36.7138155292145</v>
      </c>
      <c r="AL8685">
        <v>82.043328154636399</v>
      </c>
      <c r="AM8685">
        <v>92.620323952191995</v>
      </c>
      <c r="AN8685">
        <v>0.99999998735140905</v>
      </c>
    </row>
    <row r="8686" spans="1:40" x14ac:dyDescent="0.25">
      <c r="A8686" t="str">
        <f>"20190303162121728"</f>
        <v>20190303162121728</v>
      </c>
      <c r="B8686" t="str">
        <f>"1551601281720869"</f>
        <v>1551601281720869</v>
      </c>
      <c r="C8686" t="s">
        <v>40</v>
      </c>
      <c r="D8686">
        <v>5.1344570000000003</v>
      </c>
      <c r="E8686">
        <v>0.4685492</v>
      </c>
      <c r="F8686" t="s">
        <v>62</v>
      </c>
      <c r="G8686">
        <v>-296.05889999999999</v>
      </c>
      <c r="H8686" s="1">
        <v>-5.7947090000000002E-6</v>
      </c>
      <c r="I8686">
        <v>-48.960830000000001</v>
      </c>
      <c r="J8686">
        <v>-301.99599999999998</v>
      </c>
      <c r="K8686">
        <v>1.121175</v>
      </c>
      <c r="L8686">
        <v>-14.10956</v>
      </c>
      <c r="M8686">
        <v>3.6799110000000003E-2</v>
      </c>
      <c r="N8686">
        <v>-1.2688939999999999E-2</v>
      </c>
      <c r="O8686">
        <v>-0.99924210000000002</v>
      </c>
      <c r="P8686">
        <v>8.5217619999999994E-2</v>
      </c>
      <c r="Q8686">
        <v>0.12540770000000001</v>
      </c>
      <c r="R8686">
        <v>-0.9884385</v>
      </c>
      <c r="S8686">
        <v>0.50961299999999998</v>
      </c>
      <c r="T8686">
        <v>-9.6149559999999995E-2</v>
      </c>
      <c r="U8686">
        <v>-3.0041199999999999</v>
      </c>
      <c r="V8686">
        <v>-4.8636220000000001E-2</v>
      </c>
      <c r="W8686">
        <v>0.13802320000000001</v>
      </c>
      <c r="X8686">
        <v>0.98923410000000001</v>
      </c>
      <c r="Y8686">
        <v>-0.13078519999999999</v>
      </c>
      <c r="Z8686">
        <v>1.8948420000000001E-2</v>
      </c>
      <c r="AA8686">
        <v>0.99122969999999999</v>
      </c>
      <c r="AB8686">
        <v>17</v>
      </c>
      <c r="AC8686">
        <v>5.9370999999999796</v>
      </c>
      <c r="AD8686">
        <v>-1.121180794709</v>
      </c>
      <c r="AE8686">
        <v>-34.85127</v>
      </c>
      <c r="AF8686">
        <v>-4.6458065329140501</v>
      </c>
      <c r="AG8686">
        <v>-1.121180794709</v>
      </c>
      <c r="AH8686">
        <v>35.010946197934501</v>
      </c>
      <c r="AI8686">
        <v>91.818269745054394</v>
      </c>
      <c r="AJ8686">
        <v>97.558752087174696</v>
      </c>
      <c r="AK8686">
        <v>35.335632418146403</v>
      </c>
      <c r="AL8686">
        <v>82.066526504267102</v>
      </c>
      <c r="AM8686">
        <v>92.8147109420768</v>
      </c>
      <c r="AN8686">
        <v>0.99999999511846904</v>
      </c>
    </row>
    <row r="8687" spans="1:40" x14ac:dyDescent="0.25">
      <c r="A8687" t="str">
        <f>"20190303162121749"</f>
        <v>20190303162121749</v>
      </c>
      <c r="B8687" t="str">
        <f>"1551601281741364"</f>
        <v>1551601281741364</v>
      </c>
      <c r="C8687" t="s">
        <v>40</v>
      </c>
      <c r="D8687">
        <v>5.0715070000000004</v>
      </c>
      <c r="E8687">
        <v>0.46903109999999998</v>
      </c>
      <c r="F8687" t="s">
        <v>62</v>
      </c>
      <c r="G8687">
        <v>-296.2817</v>
      </c>
      <c r="H8687" s="1">
        <v>-5.1865729999999999E-6</v>
      </c>
      <c r="I8687">
        <v>-47.72878</v>
      </c>
      <c r="J8687">
        <v>-301.99119999999999</v>
      </c>
      <c r="K8687">
        <v>1.1211819999999999</v>
      </c>
      <c r="L8687">
        <v>-14.271879999999999</v>
      </c>
      <c r="M8687">
        <v>3.5814150000000003E-2</v>
      </c>
      <c r="N8687">
        <v>-1.2686380000000001E-2</v>
      </c>
      <c r="O8687">
        <v>-0.999278</v>
      </c>
      <c r="P8687">
        <v>8.8283490000000006E-2</v>
      </c>
      <c r="Q8687">
        <v>0.1248243</v>
      </c>
      <c r="R8687">
        <v>-0.98824339999999999</v>
      </c>
      <c r="S8687">
        <v>0.51055909999999904</v>
      </c>
      <c r="T8687">
        <v>-0.10017429999999999</v>
      </c>
      <c r="U8687">
        <v>-3.003784</v>
      </c>
      <c r="V8687">
        <v>-5.2689710000000001E-2</v>
      </c>
      <c r="W8687">
        <v>0.13743759999999999</v>
      </c>
      <c r="X8687">
        <v>0.98910799999999999</v>
      </c>
      <c r="Y8687">
        <v>-0.13207820000000001</v>
      </c>
      <c r="Z8687">
        <v>2.0273220000000002E-2</v>
      </c>
      <c r="AA8687">
        <v>0.99103189999999997</v>
      </c>
      <c r="AB8687">
        <v>17</v>
      </c>
      <c r="AC8687">
        <v>5.7094999999999896</v>
      </c>
      <c r="AD8687">
        <v>-1.1211871865730001</v>
      </c>
      <c r="AE8687">
        <v>-33.456899999999997</v>
      </c>
      <c r="AF8687">
        <v>-4.5025963951092098</v>
      </c>
      <c r="AG8687">
        <v>-1.1211871865730001</v>
      </c>
      <c r="AH8687">
        <v>33.6032611722556</v>
      </c>
      <c r="AI8687">
        <v>91.894074226993894</v>
      </c>
      <c r="AJ8687">
        <v>97.631767066104103</v>
      </c>
      <c r="AK8687">
        <v>33.922110730545803</v>
      </c>
      <c r="AL8687">
        <v>82.100401533649404</v>
      </c>
      <c r="AM8687">
        <v>93.049259836432498</v>
      </c>
      <c r="AN8687">
        <v>0.99999996754882103</v>
      </c>
    </row>
    <row r="8688" spans="1:40" x14ac:dyDescent="0.25">
      <c r="A8688" t="str">
        <f>"20190303162121771"</f>
        <v>20190303162121771</v>
      </c>
      <c r="B8688" t="str">
        <f>"1551601281760885"</f>
        <v>1551601281760885</v>
      </c>
      <c r="C8688" t="s">
        <v>40</v>
      </c>
      <c r="D8688">
        <v>5.0104939999999996</v>
      </c>
      <c r="E8688">
        <v>0.46948410000000002</v>
      </c>
      <c r="F8688" t="s">
        <v>62</v>
      </c>
      <c r="G8688">
        <v>-296.39879999999999</v>
      </c>
      <c r="H8688" s="1">
        <v>-4.6643810000000003E-6</v>
      </c>
      <c r="I8688">
        <v>-46.754910000000002</v>
      </c>
      <c r="J8688">
        <v>-301.98630000000003</v>
      </c>
      <c r="K8688">
        <v>1.121192</v>
      </c>
      <c r="L8688">
        <v>-14.442259999999999</v>
      </c>
      <c r="M8688">
        <v>3.4814190000000002E-2</v>
      </c>
      <c r="N8688">
        <v>-1.2683710000000001E-2</v>
      </c>
      <c r="O8688">
        <v>-0.99931340000000002</v>
      </c>
      <c r="P8688">
        <v>9.1056590000000007E-2</v>
      </c>
      <c r="Q8688">
        <v>0.124447</v>
      </c>
      <c r="R8688">
        <v>-0.98803940000000001</v>
      </c>
      <c r="S8688">
        <v>0.51693729999999904</v>
      </c>
      <c r="T8688">
        <v>-0.1036377</v>
      </c>
      <c r="U8688">
        <v>-3.0025940000000002</v>
      </c>
      <c r="V8688">
        <v>-5.6465939999999999E-2</v>
      </c>
      <c r="W8688">
        <v>0.13705729999999999</v>
      </c>
      <c r="X8688">
        <v>0.98895239999999995</v>
      </c>
      <c r="Y8688">
        <v>-0.13517379999999901</v>
      </c>
      <c r="Z8688">
        <v>2.1414349999999999E-2</v>
      </c>
      <c r="AA8688">
        <v>0.99059050000000004</v>
      </c>
      <c r="AB8688">
        <v>17</v>
      </c>
      <c r="AC8688">
        <v>5.5875000000000297</v>
      </c>
      <c r="AD8688">
        <v>-1.1211966643809901</v>
      </c>
      <c r="AE8688">
        <v>-32.312649999999898</v>
      </c>
      <c r="AF8688">
        <v>-4.4538765079304099</v>
      </c>
      <c r="AG8688">
        <v>-1.1211966643809901</v>
      </c>
      <c r="AH8688">
        <v>32.449664531600099</v>
      </c>
      <c r="AI8688">
        <v>91.960522867498696</v>
      </c>
      <c r="AJ8688">
        <v>97.815295252046099</v>
      </c>
      <c r="AK8688">
        <v>32.773080815228496</v>
      </c>
      <c r="AL8688">
        <v>82.122399368973603</v>
      </c>
      <c r="AM8688">
        <v>93.267853155870597</v>
      </c>
      <c r="AN8688">
        <v>0.99999997766456605</v>
      </c>
    </row>
    <row r="8689" spans="1:40" x14ac:dyDescent="0.25">
      <c r="A8689" t="str">
        <f>"20190303162121794"</f>
        <v>20190303162121794</v>
      </c>
      <c r="B8689" t="str">
        <f>"1551601281781380"</f>
        <v>1551601281781380</v>
      </c>
      <c r="C8689" t="s">
        <v>40</v>
      </c>
      <c r="D8689">
        <v>5.0690660000000003</v>
      </c>
      <c r="E8689">
        <v>0.46994809999999998</v>
      </c>
      <c r="F8689" t="s">
        <v>62</v>
      </c>
      <c r="G8689">
        <v>-296.50049999999999</v>
      </c>
      <c r="H8689" s="1">
        <v>-4.2656280000000002E-6</v>
      </c>
      <c r="I8689">
        <v>-46.016599999999997</v>
      </c>
      <c r="J8689">
        <v>-301.98140000000001</v>
      </c>
      <c r="K8689">
        <v>1.121208</v>
      </c>
      <c r="L8689">
        <v>-14.614990000000001</v>
      </c>
      <c r="M8689">
        <v>3.3850110000000003E-2</v>
      </c>
      <c r="N8689">
        <v>-1.267947E-2</v>
      </c>
      <c r="O8689">
        <v>-0.99934670000000003</v>
      </c>
      <c r="P8689">
        <v>9.2563930000000003E-2</v>
      </c>
      <c r="Q8689">
        <v>0.1241979</v>
      </c>
      <c r="R8689">
        <v>-0.987931</v>
      </c>
      <c r="S8689">
        <v>0.5215149</v>
      </c>
      <c r="T8689">
        <v>-0.1065888</v>
      </c>
      <c r="U8689">
        <v>-3.0016780000000001</v>
      </c>
      <c r="V8689">
        <v>-5.8939360000000003E-2</v>
      </c>
      <c r="W8689">
        <v>0.136801799999999</v>
      </c>
      <c r="X8689">
        <v>0.98884349999999999</v>
      </c>
      <c r="Y8689">
        <v>-0.137641299999999</v>
      </c>
      <c r="Z8689">
        <v>2.238855E-2</v>
      </c>
      <c r="AA8689">
        <v>0.99022909999999997</v>
      </c>
      <c r="AB8689">
        <v>17</v>
      </c>
      <c r="AC8689">
        <v>5.4809000000000099</v>
      </c>
      <c r="AD8689">
        <v>-1.1212122656279999</v>
      </c>
      <c r="AE8689">
        <v>-31.401610000000002</v>
      </c>
      <c r="AF8689">
        <v>-4.4092701921242403</v>
      </c>
      <c r="AG8689">
        <v>-1.1212122656279999</v>
      </c>
      <c r="AH8689">
        <v>31.530146464968901</v>
      </c>
      <c r="AI8689">
        <v>92.016970186630104</v>
      </c>
      <c r="AJ8689">
        <v>97.960787545583699</v>
      </c>
      <c r="AK8689">
        <v>31.856693435982098</v>
      </c>
      <c r="AL8689">
        <v>82.137178007840404</v>
      </c>
      <c r="AM8689">
        <v>93.411041257773505</v>
      </c>
      <c r="AN8689">
        <v>1.00000002406634</v>
      </c>
    </row>
    <row r="8690" spans="1:40" x14ac:dyDescent="0.25">
      <c r="A8690" t="str">
        <f>"20190303162121816"</f>
        <v>20190303162121816</v>
      </c>
      <c r="B8690" t="str">
        <f>"1551601281811637"</f>
        <v>1551601281811637</v>
      </c>
      <c r="C8690" t="s">
        <v>40</v>
      </c>
      <c r="D8690">
        <v>4.8366769999999999</v>
      </c>
      <c r="E8690">
        <v>0.48610550000000002</v>
      </c>
      <c r="F8690" t="s">
        <v>62</v>
      </c>
      <c r="G8690">
        <v>-296.58929999999998</v>
      </c>
      <c r="H8690" s="1">
        <v>-4.0339660000000002E-6</v>
      </c>
      <c r="I8690">
        <v>-45.600540000000002</v>
      </c>
      <c r="J8690">
        <v>-301.97669999999999</v>
      </c>
      <c r="K8690">
        <v>1.121227</v>
      </c>
      <c r="L8690">
        <v>-14.78687</v>
      </c>
      <c r="M8690">
        <v>3.295907E-2</v>
      </c>
      <c r="N8690">
        <v>-1.2665879999999999E-2</v>
      </c>
      <c r="O8690">
        <v>-0.99937670000000001</v>
      </c>
      <c r="P8690">
        <v>9.246277E-2</v>
      </c>
      <c r="Q8690">
        <v>0.1239856</v>
      </c>
      <c r="R8690">
        <v>-0.98796700000000004</v>
      </c>
      <c r="S8690">
        <v>0.52230829999999995</v>
      </c>
      <c r="T8690">
        <v>-0.1086047</v>
      </c>
      <c r="U8690">
        <v>-3.0013730000000001</v>
      </c>
      <c r="V8690">
        <v>-5.9730100000000001E-2</v>
      </c>
      <c r="W8690">
        <v>0.1365722</v>
      </c>
      <c r="X8690">
        <v>0.98882780000000003</v>
      </c>
      <c r="Y8690">
        <v>-0.1387919</v>
      </c>
      <c r="Z8690">
        <v>2.3064500000000002E-2</v>
      </c>
      <c r="AA8690">
        <v>0.99005290000000001</v>
      </c>
      <c r="AB8690">
        <v>17</v>
      </c>
      <c r="AC8690">
        <v>5.3874000000000102</v>
      </c>
      <c r="AD8690">
        <v>-1.1212310339660001</v>
      </c>
      <c r="AE8690">
        <v>-30.813669999999998</v>
      </c>
      <c r="AF8690">
        <v>-4.3631957328649902</v>
      </c>
      <c r="AG8690">
        <v>-1.1212310339660001</v>
      </c>
      <c r="AH8690">
        <v>30.934760056759401</v>
      </c>
      <c r="AI8690">
        <v>92.055451191493901</v>
      </c>
      <c r="AJ8690">
        <v>98.0283296066943</v>
      </c>
      <c r="AK8690">
        <v>31.2610622948757</v>
      </c>
      <c r="AL8690">
        <v>82.150457839740696</v>
      </c>
      <c r="AM8690">
        <v>93.456748857032906</v>
      </c>
      <c r="AN8690">
        <v>1.00000003435584</v>
      </c>
    </row>
    <row r="8691" spans="1:40" x14ac:dyDescent="0.25">
      <c r="A8691" t="str">
        <f>"20190303162121841"</f>
        <v>20190303162121841</v>
      </c>
      <c r="B8691" t="str">
        <f>"1551601281831156"</f>
        <v>1551601281831156</v>
      </c>
      <c r="C8691" t="s">
        <v>40</v>
      </c>
      <c r="D8691">
        <v>5.0053739999999998</v>
      </c>
      <c r="E8691">
        <v>0.48729749999999999</v>
      </c>
      <c r="F8691" t="s">
        <v>62</v>
      </c>
      <c r="G8691">
        <v>-296.62099999999998</v>
      </c>
      <c r="H8691" s="1">
        <v>-7.8539669999999994E-6</v>
      </c>
      <c r="I8691">
        <v>-55.755229999999997</v>
      </c>
      <c r="J8691">
        <v>-301.97160000000002</v>
      </c>
      <c r="K8691">
        <v>1.1212660000000001</v>
      </c>
      <c r="L8691">
        <v>-14.97672</v>
      </c>
      <c r="M8691">
        <v>3.2081180000000001E-2</v>
      </c>
      <c r="N8691">
        <v>-1.262695E-2</v>
      </c>
      <c r="O8691">
        <v>-0.99940560000000001</v>
      </c>
      <c r="P8691">
        <v>9.1510690000000006E-2</v>
      </c>
      <c r="Q8691">
        <v>0.1239685</v>
      </c>
      <c r="R8691">
        <v>-0.98805759999999998</v>
      </c>
      <c r="S8691">
        <v>0.3934937</v>
      </c>
      <c r="T8691">
        <v>-8.23797E-2</v>
      </c>
      <c r="U8691">
        <v>-3.01004</v>
      </c>
      <c r="V8691">
        <v>-5.9662720000000002E-2</v>
      </c>
      <c r="W8691">
        <v>0.13650889999999999</v>
      </c>
      <c r="X8691">
        <v>0.98884059999999996</v>
      </c>
      <c r="Y8691">
        <v>-9.7706180000000004E-2</v>
      </c>
      <c r="Z8691">
        <v>1.455798E-2</v>
      </c>
      <c r="AA8691">
        <v>0.99510880000000002</v>
      </c>
      <c r="AB8691">
        <v>17</v>
      </c>
      <c r="AC8691">
        <v>5.35060000000004</v>
      </c>
      <c r="AD8691">
        <v>-1.121273853967</v>
      </c>
      <c r="AE8691">
        <v>-40.778509999999997</v>
      </c>
      <c r="AF8691">
        <v>-4.0365183044456598</v>
      </c>
      <c r="AG8691">
        <v>-1.121273853967</v>
      </c>
      <c r="AH8691">
        <v>40.898784929575498</v>
      </c>
      <c r="AI8691">
        <v>91.562828248056604</v>
      </c>
      <c r="AJ8691">
        <v>95.636570582546497</v>
      </c>
      <c r="AK8691">
        <v>41.112788081002101</v>
      </c>
      <c r="AL8691">
        <v>82.154118885257404</v>
      </c>
      <c r="AM8691">
        <v>93.452814239358105</v>
      </c>
      <c r="AN8691">
        <v>1.00000002607268</v>
      </c>
    </row>
    <row r="8692" spans="1:40" x14ac:dyDescent="0.25">
      <c r="A8692" t="str">
        <f>"20190303162121864"</f>
        <v>20190303162121864</v>
      </c>
      <c r="B8692" t="str">
        <f>"1551601281851653"</f>
        <v>1551601281851653</v>
      </c>
      <c r="C8692" t="s">
        <v>40</v>
      </c>
      <c r="D8692">
        <v>4.9451900000000002</v>
      </c>
      <c r="E8692">
        <v>0.48792960000000002</v>
      </c>
      <c r="F8692" t="s">
        <v>62</v>
      </c>
      <c r="G8692">
        <v>-296.32400000000001</v>
      </c>
      <c r="H8692" s="1">
        <v>-7.558855E-6</v>
      </c>
      <c r="I8692">
        <v>-59.6278199999999</v>
      </c>
      <c r="J8692">
        <v>-301.96690000000001</v>
      </c>
      <c r="K8692">
        <v>1.1213120000000001</v>
      </c>
      <c r="L8692">
        <v>-15.14761</v>
      </c>
      <c r="M8692">
        <v>3.1401560000000002E-2</v>
      </c>
      <c r="N8692">
        <v>-1.2555429999999999E-2</v>
      </c>
      <c r="O8692">
        <v>-0.99942810000000004</v>
      </c>
      <c r="P8692">
        <v>9.0359830000000002E-2</v>
      </c>
      <c r="Q8692">
        <v>0.1235356</v>
      </c>
      <c r="R8692">
        <v>-0.98821769999999998</v>
      </c>
      <c r="S8692">
        <v>0.38076779999999999</v>
      </c>
      <c r="T8692">
        <v>-7.5598479999999996E-2</v>
      </c>
      <c r="U8692">
        <v>-3.0104679999999999</v>
      </c>
      <c r="V8692">
        <v>-5.9201530000000002E-2</v>
      </c>
      <c r="W8692">
        <v>0.135997799999999</v>
      </c>
      <c r="X8692">
        <v>0.98893869999999895</v>
      </c>
      <c r="Y8692">
        <v>-9.4232170000000004E-2</v>
      </c>
      <c r="Z8692">
        <v>1.240165E-2</v>
      </c>
      <c r="AA8692">
        <v>0.99547300000000005</v>
      </c>
      <c r="AB8692">
        <v>17</v>
      </c>
      <c r="AC8692">
        <v>5.6428999999999903</v>
      </c>
      <c r="AD8692">
        <v>-1.121319558855</v>
      </c>
      <c r="AE8692">
        <v>-44.4802099999999</v>
      </c>
      <c r="AF8692">
        <v>-4.2406065532540902</v>
      </c>
      <c r="AG8692">
        <v>-1.121319558855</v>
      </c>
      <c r="AH8692">
        <v>44.607581197342199</v>
      </c>
      <c r="AI8692">
        <v>91.433504675373698</v>
      </c>
      <c r="AJ8692">
        <v>95.430486647860704</v>
      </c>
      <c r="AK8692">
        <v>44.822721936201603</v>
      </c>
      <c r="AL8692">
        <v>82.183678126367198</v>
      </c>
      <c r="AM8692">
        <v>93.425848917294104</v>
      </c>
      <c r="AN8692">
        <v>0.999999987558435</v>
      </c>
    </row>
    <row r="8693" spans="1:40" x14ac:dyDescent="0.25">
      <c r="A8693" t="str">
        <f>"20190303162121886"</f>
        <v>20190303162121886</v>
      </c>
      <c r="B8693" t="str">
        <f>"1551601281880932"</f>
        <v>1551601281880932</v>
      </c>
      <c r="C8693" t="s">
        <v>40</v>
      </c>
      <c r="D8693">
        <v>4.8023150000000001</v>
      </c>
      <c r="E8693">
        <v>0.488535</v>
      </c>
      <c r="F8693" t="s">
        <v>62</v>
      </c>
      <c r="G8693">
        <v>-296.51240000000001</v>
      </c>
      <c r="H8693" s="1">
        <v>-7.5179380000000003E-6</v>
      </c>
      <c r="I8693">
        <v>-59.351779999999998</v>
      </c>
      <c r="J8693">
        <v>-301.9624</v>
      </c>
      <c r="K8693">
        <v>1.1213599999999999</v>
      </c>
      <c r="L8693">
        <v>-15.313230000000001</v>
      </c>
      <c r="M8693">
        <v>3.0853889999999998E-2</v>
      </c>
      <c r="N8693">
        <v>-1.244349E-2</v>
      </c>
      <c r="O8693">
        <v>-0.99944659999999996</v>
      </c>
      <c r="P8693">
        <v>8.9692350000000004E-2</v>
      </c>
      <c r="Q8693">
        <v>0.1230912</v>
      </c>
      <c r="R8693">
        <v>-0.98833389999999999</v>
      </c>
      <c r="S8693">
        <v>0.37158200000000002</v>
      </c>
      <c r="T8693">
        <v>-7.6388479999999995E-2</v>
      </c>
      <c r="U8693">
        <v>-3.0113530000000002</v>
      </c>
      <c r="V8693">
        <v>-5.9097219999999999E-2</v>
      </c>
      <c r="W8693">
        <v>0.1354332</v>
      </c>
      <c r="X8693">
        <v>0.98902239999999997</v>
      </c>
      <c r="Y8693">
        <v>-9.1751219999999994E-2</v>
      </c>
      <c r="Z8693">
        <v>1.277374E-2</v>
      </c>
      <c r="AA8693">
        <v>0.99570000000000003</v>
      </c>
      <c r="AB8693">
        <v>17</v>
      </c>
      <c r="AC8693">
        <v>5.4499999999999797</v>
      </c>
      <c r="AD8693">
        <v>-1.121367517938</v>
      </c>
      <c r="AE8693">
        <v>-44.038550000000001</v>
      </c>
      <c r="AF8693">
        <v>-4.0859300329827803</v>
      </c>
      <c r="AG8693">
        <v>-1.121367517938</v>
      </c>
      <c r="AH8693">
        <v>44.157547923881197</v>
      </c>
      <c r="AI8693">
        <v>91.448511106396893</v>
      </c>
      <c r="AJ8693">
        <v>95.286566706366798</v>
      </c>
      <c r="AK8693">
        <v>44.360357617974401</v>
      </c>
      <c r="AL8693">
        <v>82.216329284518594</v>
      </c>
      <c r="AM8693">
        <v>93.419538359374101</v>
      </c>
      <c r="AN8693">
        <v>0.99999997038786304</v>
      </c>
    </row>
    <row r="8694" spans="1:40" x14ac:dyDescent="0.25">
      <c r="A8694" t="str">
        <f>"20190303162121905"</f>
        <v>20190303162121905</v>
      </c>
      <c r="B8694" t="str">
        <f>"1551601281891669"</f>
        <v>1551601281891669</v>
      </c>
      <c r="C8694" t="s">
        <v>40</v>
      </c>
      <c r="D8694">
        <v>5.0031699999999999</v>
      </c>
      <c r="E8694">
        <v>0.48870439999999998</v>
      </c>
      <c r="F8694" t="s">
        <v>62</v>
      </c>
      <c r="G8694">
        <v>-296.577</v>
      </c>
      <c r="H8694" s="1">
        <v>-7.441037E-6</v>
      </c>
      <c r="I8694">
        <v>-59.886510000000001</v>
      </c>
      <c r="J8694">
        <v>-301.95819999999998</v>
      </c>
      <c r="K8694">
        <v>1.1214</v>
      </c>
      <c r="L8694">
        <v>-15.465579999999999</v>
      </c>
      <c r="M8694">
        <v>3.0456270000000001E-2</v>
      </c>
      <c r="N8694">
        <v>-1.230844E-2</v>
      </c>
      <c r="O8694">
        <v>-0.99946029999999997</v>
      </c>
      <c r="P8694">
        <v>8.9606920000000007E-2</v>
      </c>
      <c r="Q8694">
        <v>0.1233032</v>
      </c>
      <c r="R8694">
        <v>-0.98831539999999996</v>
      </c>
      <c r="S8694">
        <v>0.36389159999999998</v>
      </c>
      <c r="T8694">
        <v>-7.5770619999999997E-2</v>
      </c>
      <c r="U8694">
        <v>-3.0118100000000001</v>
      </c>
      <c r="V8694">
        <v>-5.9430089999999998E-2</v>
      </c>
      <c r="W8694">
        <v>0.13550129999999999</v>
      </c>
      <c r="X8694">
        <v>0.98899320000000002</v>
      </c>
      <c r="Y8694">
        <v>-8.9624739999999994E-2</v>
      </c>
      <c r="Z8694">
        <v>1.2707039999999999E-2</v>
      </c>
      <c r="AA8694">
        <v>0.99589459999999996</v>
      </c>
      <c r="AB8694">
        <v>17</v>
      </c>
      <c r="AC8694">
        <v>5.3811999999999696</v>
      </c>
      <c r="AD8694">
        <v>-1.1214074410370001</v>
      </c>
      <c r="AE8694">
        <v>-44.420929999999998</v>
      </c>
      <c r="AF8694">
        <v>-4.0231780029554001</v>
      </c>
      <c r="AG8694">
        <v>-1.1214074410370001</v>
      </c>
      <c r="AH8694">
        <v>44.536250769097798</v>
      </c>
      <c r="AI8694">
        <v>91.436536220412194</v>
      </c>
      <c r="AJ8694">
        <v>95.161798478345105</v>
      </c>
      <c r="AK8694">
        <v>44.731657117306099</v>
      </c>
      <c r="AL8694">
        <v>82.212391714339901</v>
      </c>
      <c r="AM8694">
        <v>93.438854387835207</v>
      </c>
      <c r="AN8694">
        <v>1.0000000437726599</v>
      </c>
    </row>
    <row r="8695" spans="1:40" x14ac:dyDescent="0.25">
      <c r="A8695" t="str">
        <f>"20190303162121928"</f>
        <v>20190303162121928</v>
      </c>
      <c r="B8695" t="str">
        <f>"1551601281920949"</f>
        <v>1551601281920949</v>
      </c>
      <c r="C8695" t="s">
        <v>40</v>
      </c>
      <c r="D8695">
        <v>4.9459770000000001</v>
      </c>
      <c r="E8695">
        <v>0.48882700000000001</v>
      </c>
      <c r="F8695" t="s">
        <v>62</v>
      </c>
      <c r="G8695">
        <v>-296.5111</v>
      </c>
      <c r="H8695" s="1">
        <v>-1.190255E-5</v>
      </c>
      <c r="I8695">
        <v>-60.782859999999999</v>
      </c>
      <c r="J8695">
        <v>-301.95319999999998</v>
      </c>
      <c r="K8695">
        <v>1.12144</v>
      </c>
      <c r="L8695">
        <v>-15.6434</v>
      </c>
      <c r="M8695">
        <v>3.011082E-2</v>
      </c>
      <c r="N8695">
        <v>-1.2133089999999999E-2</v>
      </c>
      <c r="O8695">
        <v>-0.99947319999999995</v>
      </c>
      <c r="P8695">
        <v>8.937676E-2</v>
      </c>
      <c r="Q8695">
        <v>0.1232224</v>
      </c>
      <c r="R8695">
        <v>-0.98834650000000002</v>
      </c>
      <c r="S8695">
        <v>0.36203000000000002</v>
      </c>
      <c r="T8695">
        <v>-7.4532630000000002E-2</v>
      </c>
      <c r="U8695">
        <v>-3.0119319999999998</v>
      </c>
      <c r="V8695">
        <v>-5.9564770000000003E-2</v>
      </c>
      <c r="W8695">
        <v>0.135236299999999</v>
      </c>
      <c r="X8695">
        <v>0.98902140000000005</v>
      </c>
      <c r="Y8695">
        <v>-8.9358549999999995E-2</v>
      </c>
      <c r="Z8695">
        <v>1.247414E-2</v>
      </c>
      <c r="AA8695">
        <v>0.99592139999999996</v>
      </c>
      <c r="AB8695">
        <v>17</v>
      </c>
      <c r="AC8695">
        <v>5.4420999999999804</v>
      </c>
      <c r="AD8695">
        <v>-1.12145190255</v>
      </c>
      <c r="AE8695">
        <v>-45.13946</v>
      </c>
      <c r="AF8695">
        <v>-4.0778652425042203</v>
      </c>
      <c r="AG8695">
        <v>-1.12145190255</v>
      </c>
      <c r="AH8695">
        <v>45.255334507607003</v>
      </c>
      <c r="AI8695">
        <v>91.413804477227302</v>
      </c>
      <c r="AJ8695">
        <v>95.148899659819705</v>
      </c>
      <c r="AK8695">
        <v>45.452524030037701</v>
      </c>
      <c r="AL8695">
        <v>82.227716390076296</v>
      </c>
      <c r="AM8695">
        <v>93.446530690048107</v>
      </c>
      <c r="AN8695">
        <v>1.0000000741603901</v>
      </c>
    </row>
    <row r="8696" spans="1:40" x14ac:dyDescent="0.25">
      <c r="A8696" t="str">
        <f>"20190303162121950"</f>
        <v>20190303162121950</v>
      </c>
      <c r="B8696" t="str">
        <f>"1551601281941445"</f>
        <v>1551601281941445</v>
      </c>
      <c r="C8696" t="s">
        <v>40</v>
      </c>
      <c r="D8696">
        <v>4.7482689999999996</v>
      </c>
      <c r="E8696">
        <v>0.48887920000000001</v>
      </c>
      <c r="F8696" t="s">
        <v>62</v>
      </c>
      <c r="G8696">
        <v>-296.47109999999998</v>
      </c>
      <c r="H8696" s="1">
        <v>-1.203588E-5</v>
      </c>
      <c r="I8696">
        <v>-61.441519999999997</v>
      </c>
      <c r="J8696">
        <v>-301.9486</v>
      </c>
      <c r="K8696">
        <v>1.121459</v>
      </c>
      <c r="L8696">
        <v>-15.804600000000001</v>
      </c>
      <c r="M8696">
        <v>2.98941E-2</v>
      </c>
      <c r="N8696">
        <v>-1.1963079999999999E-2</v>
      </c>
      <c r="O8696">
        <v>-0.99948170000000003</v>
      </c>
      <c r="P8696">
        <v>9.0158020000000005E-2</v>
      </c>
      <c r="Q8696">
        <v>0.1238316</v>
      </c>
      <c r="R8696">
        <v>-0.98819920000000006</v>
      </c>
      <c r="S8696">
        <v>0.36053469999999999</v>
      </c>
      <c r="T8696">
        <v>-7.3753479999999996E-2</v>
      </c>
      <c r="U8696">
        <v>-3.0119630000000002</v>
      </c>
      <c r="V8696">
        <v>-6.0581200000000002E-2</v>
      </c>
      <c r="W8696">
        <v>0.1356685</v>
      </c>
      <c r="X8696">
        <v>0.98890040000000001</v>
      </c>
      <c r="Y8696">
        <v>-8.908663E-2</v>
      </c>
      <c r="Z8696">
        <v>1.238772E-2</v>
      </c>
      <c r="AA8696">
        <v>0.99594680000000002</v>
      </c>
      <c r="AB8696">
        <v>17</v>
      </c>
      <c r="AC8696">
        <v>5.4775000000000196</v>
      </c>
      <c r="AD8696">
        <v>-1.12147103588</v>
      </c>
      <c r="AE8696">
        <v>-45.636920000000003</v>
      </c>
      <c r="AF8696">
        <v>-4.1082340070655103</v>
      </c>
      <c r="AG8696">
        <v>-1.12147103588</v>
      </c>
      <c r="AH8696">
        <v>45.7530407342513</v>
      </c>
      <c r="AI8696">
        <v>91.398494430342197</v>
      </c>
      <c r="AJ8696">
        <v>95.130913967555301</v>
      </c>
      <c r="AK8696">
        <v>45.950799997075002</v>
      </c>
      <c r="AL8696">
        <v>82.202722326853902</v>
      </c>
      <c r="AM8696">
        <v>93.505625671349705</v>
      </c>
      <c r="AN8696">
        <v>1.00000001240292</v>
      </c>
    </row>
    <row r="8697" spans="1:40" x14ac:dyDescent="0.25">
      <c r="A8697" t="str">
        <f>"20190303162121973"</f>
        <v>20190303162121973</v>
      </c>
      <c r="B8697" t="str">
        <f>"1551601281960965"</f>
        <v>1551601281960965</v>
      </c>
      <c r="C8697" t="s">
        <v>40</v>
      </c>
      <c r="D8697">
        <v>4.8873769999999999</v>
      </c>
      <c r="E8697">
        <v>0.4888538</v>
      </c>
      <c r="F8697" t="s">
        <v>62</v>
      </c>
      <c r="G8697">
        <v>-296.37920000000003</v>
      </c>
      <c r="H8697" s="1">
        <v>-1.218465E-5</v>
      </c>
      <c r="I8697">
        <v>-62.242170000000002</v>
      </c>
      <c r="J8697">
        <v>-301.9436</v>
      </c>
      <c r="K8697">
        <v>1.1214630000000001</v>
      </c>
      <c r="L8697">
        <v>-15.97659</v>
      </c>
      <c r="M8697">
        <v>2.9757760000000001E-2</v>
      </c>
      <c r="N8697">
        <v>-1.17626E-2</v>
      </c>
      <c r="O8697">
        <v>-0.99948809999999999</v>
      </c>
      <c r="P8697">
        <v>9.1457659999999996E-2</v>
      </c>
      <c r="Q8697">
        <v>0.1231448</v>
      </c>
      <c r="R8697">
        <v>-0.98816559999999998</v>
      </c>
      <c r="S8697">
        <v>0.36123660000000002</v>
      </c>
      <c r="T8697">
        <v>-7.273984E-2</v>
      </c>
      <c r="U8697">
        <v>-3.0119929999999999</v>
      </c>
      <c r="V8697">
        <v>-6.202742E-2</v>
      </c>
      <c r="W8697">
        <v>0.13477790000000001</v>
      </c>
      <c r="X8697">
        <v>0.98893249999999999</v>
      </c>
      <c r="Y8697">
        <v>-8.9450899999999903E-2</v>
      </c>
      <c r="Z8697">
        <v>1.225273E-2</v>
      </c>
      <c r="AA8697">
        <v>0.99591589999999997</v>
      </c>
      <c r="AB8697">
        <v>17</v>
      </c>
      <c r="AC8697">
        <v>5.5643999999999698</v>
      </c>
      <c r="AD8697">
        <v>-1.12147518465</v>
      </c>
      <c r="AE8697">
        <v>-46.2655799999999</v>
      </c>
      <c r="AF8697">
        <v>-4.1826577845278301</v>
      </c>
      <c r="AG8697">
        <v>-1.12147518465</v>
      </c>
      <c r="AH8697">
        <v>46.383818131618803</v>
      </c>
      <c r="AI8697">
        <v>91.379441493919103</v>
      </c>
      <c r="AJ8697">
        <v>95.152706904758901</v>
      </c>
      <c r="AK8697">
        <v>46.585522613783603</v>
      </c>
      <c r="AL8697">
        <v>82.254222771363004</v>
      </c>
      <c r="AM8697">
        <v>93.588981039759304</v>
      </c>
      <c r="AN8697">
        <v>0.99999998635825804</v>
      </c>
    </row>
    <row r="8698" spans="1:40" x14ac:dyDescent="0.25">
      <c r="A8698" t="str">
        <f>"20190303162121995"</f>
        <v>20190303162121995</v>
      </c>
      <c r="B8698" t="str">
        <f>"1551601281982437"</f>
        <v>1551601281982437</v>
      </c>
      <c r="C8698" t="s">
        <v>40</v>
      </c>
      <c r="D8698">
        <v>4.9493790000000004</v>
      </c>
      <c r="E8698">
        <v>0.48883840000000001</v>
      </c>
      <c r="F8698" t="s">
        <v>62</v>
      </c>
      <c r="G8698">
        <v>-296.43459999999999</v>
      </c>
      <c r="H8698" s="1">
        <v>-1.202884E-5</v>
      </c>
      <c r="I8698">
        <v>-61.460529999999999</v>
      </c>
      <c r="J8698">
        <v>-301.93860000000001</v>
      </c>
      <c r="K8698">
        <v>1.121453</v>
      </c>
      <c r="L8698">
        <v>-16.148859999999999</v>
      </c>
      <c r="M8698">
        <v>2.9691550000000001E-2</v>
      </c>
      <c r="N8698">
        <v>-1.153743E-2</v>
      </c>
      <c r="O8698">
        <v>-0.99949290000000002</v>
      </c>
      <c r="P8698">
        <v>9.3372259999999999E-2</v>
      </c>
      <c r="Q8698">
        <v>0.1235144</v>
      </c>
      <c r="R8698">
        <v>-0.9879405</v>
      </c>
      <c r="S8698">
        <v>0.36474610000000002</v>
      </c>
      <c r="T8698">
        <v>-7.4250940000000001E-2</v>
      </c>
      <c r="U8698">
        <v>-3.0114139999999998</v>
      </c>
      <c r="V8698">
        <v>-6.4019329999999999E-2</v>
      </c>
      <c r="W8698">
        <v>0.13492019999999999</v>
      </c>
      <c r="X8698">
        <v>0.98878619999999995</v>
      </c>
      <c r="Y8698">
        <v>-9.0682440000000003E-2</v>
      </c>
      <c r="Z8698">
        <v>1.2977570000000001E-2</v>
      </c>
      <c r="AA8698">
        <v>0.99579530000000005</v>
      </c>
      <c r="AB8698">
        <v>17</v>
      </c>
      <c r="AC8698">
        <v>5.5040000000000102</v>
      </c>
      <c r="AD8698">
        <v>-1.1214650288400001</v>
      </c>
      <c r="AE8698">
        <v>-45.311669999999999</v>
      </c>
      <c r="AF8698">
        <v>-4.1536029046369602</v>
      </c>
      <c r="AG8698">
        <v>-1.1214650288400001</v>
      </c>
      <c r="AH8698">
        <v>45.427700197945001</v>
      </c>
      <c r="AI8698">
        <v>91.408290767218105</v>
      </c>
      <c r="AJ8698">
        <v>95.224214231242598</v>
      </c>
      <c r="AK8698">
        <v>45.630976826873798</v>
      </c>
      <c r="AL8698">
        <v>82.245994860605805</v>
      </c>
      <c r="AM8698">
        <v>93.704465983894806</v>
      </c>
      <c r="AN8698">
        <v>1.00000004214606</v>
      </c>
    </row>
    <row r="8699" spans="1:40" x14ac:dyDescent="0.25">
      <c r="A8699" t="str">
        <f>"20190303162122017"</f>
        <v>20190303162122017</v>
      </c>
      <c r="B8699" t="str">
        <f>"1551601282010740"</f>
        <v>1551601282010740</v>
      </c>
      <c r="C8699" t="s">
        <v>40</v>
      </c>
      <c r="D8699">
        <v>4.8941800000000004</v>
      </c>
      <c r="E8699">
        <v>0.48872399999999999</v>
      </c>
      <c r="F8699" t="s">
        <v>62</v>
      </c>
      <c r="G8699">
        <v>-296.1592</v>
      </c>
      <c r="H8699" s="1">
        <v>-1.232244E-5</v>
      </c>
      <c r="I8699">
        <v>-63.171329999999998</v>
      </c>
      <c r="J8699">
        <v>-301.93349999999998</v>
      </c>
      <c r="K8699">
        <v>1.1214200000000001</v>
      </c>
      <c r="L8699">
        <v>-16.322199999999999</v>
      </c>
      <c r="M8699">
        <v>2.9662790000000001E-2</v>
      </c>
      <c r="N8699">
        <v>-1.127941E-2</v>
      </c>
      <c r="O8699">
        <v>-0.99949650000000001</v>
      </c>
      <c r="P8699">
        <v>9.5734070000000004E-2</v>
      </c>
      <c r="Q8699">
        <v>0.12538199999999999</v>
      </c>
      <c r="R8699">
        <v>-0.98747890000000005</v>
      </c>
      <c r="S8699">
        <v>0.37002560000000001</v>
      </c>
      <c r="T8699">
        <v>-7.1802019999999994E-2</v>
      </c>
      <c r="U8699">
        <v>-3.0106199999999999</v>
      </c>
      <c r="V8699">
        <v>-6.6422659999999994E-2</v>
      </c>
      <c r="W8699">
        <v>0.13652739999999999</v>
      </c>
      <c r="X8699">
        <v>0.98840700000000004</v>
      </c>
      <c r="Y8699">
        <v>-9.2464459999999998E-2</v>
      </c>
      <c r="Z8699">
        <v>1.242966E-2</v>
      </c>
      <c r="AA8699">
        <v>0.99563840000000003</v>
      </c>
      <c r="AB8699">
        <v>17</v>
      </c>
      <c r="AC8699">
        <v>5.7742999999999798</v>
      </c>
      <c r="AD8699">
        <v>-1.12143232244</v>
      </c>
      <c r="AE8699">
        <v>-46.849130000000002</v>
      </c>
      <c r="AF8699">
        <v>-4.3795228563678998</v>
      </c>
      <c r="AG8699">
        <v>-1.12143232244</v>
      </c>
      <c r="AH8699">
        <v>46.973292504513203</v>
      </c>
      <c r="AI8699">
        <v>91.361706450967205</v>
      </c>
      <c r="AJ8699">
        <v>95.326534620470795</v>
      </c>
      <c r="AK8699">
        <v>47.190338413893798</v>
      </c>
      <c r="AL8699">
        <v>82.153049078130806</v>
      </c>
      <c r="AM8699">
        <v>93.844594948584302</v>
      </c>
      <c r="AN8699">
        <v>1.00000004918061</v>
      </c>
    </row>
    <row r="8700" spans="1:40" x14ac:dyDescent="0.25">
      <c r="A8700" t="str">
        <f>"20190303162122039"</f>
        <v>20190303162122039</v>
      </c>
      <c r="B8700" t="str">
        <f>"1551601282031237"</f>
        <v>1551601282031237</v>
      </c>
      <c r="C8700" t="s">
        <v>40</v>
      </c>
      <c r="D8700">
        <v>4.9570059999999998</v>
      </c>
      <c r="E8700">
        <v>0.48873349999999999</v>
      </c>
      <c r="F8700" t="s">
        <v>62</v>
      </c>
      <c r="G8700">
        <v>-295.58690000000001</v>
      </c>
      <c r="H8700" s="1">
        <v>-1.2940160000000001E-5</v>
      </c>
      <c r="I8700">
        <v>-66.895919999999904</v>
      </c>
      <c r="J8700">
        <v>-301.92860000000002</v>
      </c>
      <c r="K8700">
        <v>1.121372</v>
      </c>
      <c r="L8700">
        <v>-16.490479999999899</v>
      </c>
      <c r="M8700">
        <v>2.9644670000000001E-2</v>
      </c>
      <c r="N8700">
        <v>-1.099081E-2</v>
      </c>
      <c r="O8700">
        <v>-0.99950030000000001</v>
      </c>
      <c r="P8700">
        <v>9.7848030000000003E-2</v>
      </c>
      <c r="Q8700">
        <v>0.12738920000000001</v>
      </c>
      <c r="R8700">
        <v>-0.98701459999999996</v>
      </c>
      <c r="S8700">
        <v>0.3777161</v>
      </c>
      <c r="T8700">
        <v>-6.674194E-2</v>
      </c>
      <c r="U8700">
        <v>-3.0098880000000001</v>
      </c>
      <c r="V8700">
        <v>-6.856363E-2</v>
      </c>
      <c r="W8700">
        <v>0.13824700000000001</v>
      </c>
      <c r="X8700">
        <v>0.9880217</v>
      </c>
      <c r="Y8700">
        <v>-9.5019939999999997E-2</v>
      </c>
      <c r="Z8700">
        <v>1.104861E-2</v>
      </c>
      <c r="AA8700">
        <v>0.99541409999999997</v>
      </c>
      <c r="AB8700">
        <v>17</v>
      </c>
      <c r="AC8700">
        <v>6.3417000000000003</v>
      </c>
      <c r="AD8700">
        <v>-1.12138494016</v>
      </c>
      <c r="AE8700">
        <v>-50.405439999999899</v>
      </c>
      <c r="AF8700">
        <v>-4.8422106633636197</v>
      </c>
      <c r="AG8700">
        <v>-1.12138494016</v>
      </c>
      <c r="AH8700">
        <v>50.546665220317401</v>
      </c>
      <c r="AI8700">
        <v>91.265116663959404</v>
      </c>
      <c r="AJ8700">
        <v>95.472056153509996</v>
      </c>
      <c r="AK8700">
        <v>50.790450610200899</v>
      </c>
      <c r="AL8700">
        <v>82.053579966893096</v>
      </c>
      <c r="AM8700">
        <v>93.969668728108005</v>
      </c>
      <c r="AN8700">
        <v>1.00000004201933</v>
      </c>
    </row>
    <row r="8701" spans="1:40" x14ac:dyDescent="0.25">
      <c r="A8701" t="str">
        <f>"20190303162122063"</f>
        <v>20190303162122063</v>
      </c>
      <c r="B8701" t="str">
        <f>"1551601282050757"</f>
        <v>1551601282050757</v>
      </c>
      <c r="C8701" t="s">
        <v>40</v>
      </c>
      <c r="D8701">
        <v>4.8881579999999998</v>
      </c>
      <c r="E8701">
        <v>0.48869780000000002</v>
      </c>
      <c r="F8701" t="s">
        <v>62</v>
      </c>
      <c r="G8701">
        <v>-295.04320000000001</v>
      </c>
      <c r="H8701">
        <v>2.667069E-2</v>
      </c>
      <c r="I8701">
        <v>-70.383709999999994</v>
      </c>
      <c r="J8701">
        <v>-301.923</v>
      </c>
      <c r="K8701">
        <v>1.121289</v>
      </c>
      <c r="L8701">
        <v>-16.67841</v>
      </c>
      <c r="M8701">
        <v>2.9616750000000001E-2</v>
      </c>
      <c r="N8701">
        <v>-1.0618000000000001E-2</v>
      </c>
      <c r="O8701">
        <v>-0.99950499999999998</v>
      </c>
      <c r="P8701">
        <v>9.9209549999999994E-2</v>
      </c>
      <c r="Q8701">
        <v>0.12820390000000001</v>
      </c>
      <c r="R8701">
        <v>-0.98677320000000002</v>
      </c>
      <c r="S8701">
        <v>0.38446039999999998</v>
      </c>
      <c r="T8701">
        <v>-6.1125039999999999E-2</v>
      </c>
      <c r="U8701">
        <v>-3.0092469999999998</v>
      </c>
      <c r="V8701">
        <v>-6.9951799999999995E-2</v>
      </c>
      <c r="W8701">
        <v>0.1386947</v>
      </c>
      <c r="X8701">
        <v>0.98786160000000001</v>
      </c>
      <c r="Y8701">
        <v>-9.7272780000000003E-2</v>
      </c>
      <c r="Z8701">
        <v>9.5678240000000008E-3</v>
      </c>
      <c r="AA8701">
        <v>0.99521179999999998</v>
      </c>
      <c r="AB8701">
        <v>17</v>
      </c>
      <c r="AC8701">
        <v>6.8797999999999799</v>
      </c>
      <c r="AD8701">
        <v>-1.09461831</v>
      </c>
      <c r="AE8701">
        <v>-53.705300000000001</v>
      </c>
      <c r="AF8701">
        <v>-5.2839560406634902</v>
      </c>
      <c r="AG8701">
        <v>-1.09461831</v>
      </c>
      <c r="AH8701">
        <v>53.863492223951503</v>
      </c>
      <c r="AI8701">
        <v>91.158649077104698</v>
      </c>
      <c r="AJ8701">
        <v>95.602733482903702</v>
      </c>
      <c r="AK8701">
        <v>54.1331153291951</v>
      </c>
      <c r="AL8701">
        <v>82.027678854384703</v>
      </c>
      <c r="AM8701">
        <v>94.050429792126494</v>
      </c>
      <c r="AN8701">
        <v>1.00000000744294</v>
      </c>
    </row>
    <row r="8702" spans="1:40" x14ac:dyDescent="0.25">
      <c r="A8702" t="str">
        <f>"20190303162122085"</f>
        <v>20190303162122085</v>
      </c>
      <c r="B8702" t="str">
        <f>"1551601282081012"</f>
        <v>1551601282081012</v>
      </c>
      <c r="C8702" t="s">
        <v>40</v>
      </c>
      <c r="D8702">
        <v>4.7455679999999996</v>
      </c>
      <c r="E8702">
        <v>0.52105800000000002</v>
      </c>
      <c r="F8702" t="s">
        <v>62</v>
      </c>
      <c r="G8702">
        <v>-294.97699999999998</v>
      </c>
      <c r="H8702">
        <v>6.0873049999999998E-2</v>
      </c>
      <c r="I8702">
        <v>-70.39461</v>
      </c>
      <c r="J8702">
        <v>-301.91789999999997</v>
      </c>
      <c r="K8702">
        <v>1.1211990000000001</v>
      </c>
      <c r="L8702">
        <v>-16.8537</v>
      </c>
      <c r="M8702">
        <v>2.9572999999999999E-2</v>
      </c>
      <c r="N8702">
        <v>-1.0222490000000001E-2</v>
      </c>
      <c r="O8702">
        <v>-0.99951049999999997</v>
      </c>
      <c r="P8702">
        <v>0.10021430000000001</v>
      </c>
      <c r="Q8702">
        <v>0.127577</v>
      </c>
      <c r="R8702">
        <v>-0.9867532</v>
      </c>
      <c r="S8702">
        <v>0.38906859999999999</v>
      </c>
      <c r="T8702">
        <v>-5.939734E-2</v>
      </c>
      <c r="U8702">
        <v>-3.0088200000000001</v>
      </c>
      <c r="V8702">
        <v>-7.0991600000000002E-2</v>
      </c>
      <c r="W8702">
        <v>0.13768129999999901</v>
      </c>
      <c r="X8702">
        <v>0.98792919999999995</v>
      </c>
      <c r="Y8702">
        <v>-9.8834580000000005E-2</v>
      </c>
      <c r="Z8702">
        <v>9.3923500000000007E-3</v>
      </c>
      <c r="AA8702">
        <v>0.99505949999999999</v>
      </c>
      <c r="AB8702">
        <v>17</v>
      </c>
      <c r="AC8702">
        <v>6.9408999999999397</v>
      </c>
      <c r="AD8702">
        <v>-1.06032595</v>
      </c>
      <c r="AE8702">
        <v>-53.540909999999997</v>
      </c>
      <c r="AF8702">
        <v>-5.3523515699279196</v>
      </c>
      <c r="AG8702">
        <v>-1.06032595</v>
      </c>
      <c r="AH8702">
        <v>53.702050120798503</v>
      </c>
      <c r="AI8702">
        <v>91.125560568644701</v>
      </c>
      <c r="AJ8702">
        <v>95.691732922743299</v>
      </c>
      <c r="AK8702">
        <v>53.9785341188987</v>
      </c>
      <c r="AL8702">
        <v>82.086305003716305</v>
      </c>
      <c r="AM8702">
        <v>94.110152329099705</v>
      </c>
      <c r="AN8702">
        <v>1.0000000259264401</v>
      </c>
    </row>
    <row r="8703" spans="1:40" x14ac:dyDescent="0.25">
      <c r="A8703" t="str">
        <f>"20190303162122110"</f>
        <v>20190303162122110</v>
      </c>
      <c r="B8703" t="str">
        <f>"1551601282101509"</f>
        <v>1551601282101509</v>
      </c>
      <c r="C8703" t="s">
        <v>40</v>
      </c>
      <c r="D8703">
        <v>4.7021490000000004</v>
      </c>
      <c r="E8703">
        <v>0.52489849999999905</v>
      </c>
      <c r="F8703" t="s">
        <v>62</v>
      </c>
      <c r="G8703">
        <v>-299.3879</v>
      </c>
      <c r="H8703">
        <v>7.9986559999999998E-2</v>
      </c>
      <c r="I8703">
        <v>-73.42107</v>
      </c>
      <c r="J8703">
        <v>-301.91230000000002</v>
      </c>
      <c r="K8703">
        <v>1.121094</v>
      </c>
      <c r="L8703">
        <v>-17.047519999999999</v>
      </c>
      <c r="M8703">
        <v>2.9497220000000001E-2</v>
      </c>
      <c r="N8703">
        <v>-9.7537879999999993E-3</v>
      </c>
      <c r="O8703">
        <v>-0.9995174</v>
      </c>
      <c r="P8703">
        <v>9.9649119999999994E-2</v>
      </c>
      <c r="Q8703">
        <v>0.12732579999999999</v>
      </c>
      <c r="R8703">
        <v>-0.98684260000000001</v>
      </c>
      <c r="S8703">
        <v>0.1356812</v>
      </c>
      <c r="T8703">
        <v>-5.584049E-2</v>
      </c>
      <c r="U8703">
        <v>-3.033722</v>
      </c>
      <c r="V8703">
        <v>-7.049076E-2</v>
      </c>
      <c r="W8703">
        <v>0.13697229999999999</v>
      </c>
      <c r="X8703">
        <v>0.98806360000000004</v>
      </c>
      <c r="Y8703">
        <v>-1.5187310000000001E-2</v>
      </c>
      <c r="Z8703">
        <v>8.6346419999999997E-3</v>
      </c>
      <c r="AA8703">
        <v>0.99984740000000005</v>
      </c>
      <c r="AB8703">
        <v>18</v>
      </c>
      <c r="AC8703">
        <v>2.5244000000000102</v>
      </c>
      <c r="AD8703">
        <v>-1.04110744</v>
      </c>
      <c r="AE8703">
        <v>-56.373550000000002</v>
      </c>
      <c r="AF8703">
        <v>-0.86006678114895296</v>
      </c>
      <c r="AG8703">
        <v>-1.04110744</v>
      </c>
      <c r="AH8703">
        <v>56.404284562642999</v>
      </c>
      <c r="AI8703">
        <v>91.0573196477404</v>
      </c>
      <c r="AJ8703">
        <v>90.873592819455396</v>
      </c>
      <c r="AK8703">
        <v>56.420447858850501</v>
      </c>
      <c r="AL8703">
        <v>82.127316196936505</v>
      </c>
      <c r="AM8703">
        <v>94.080700596481506</v>
      </c>
      <c r="AN8703">
        <v>1.00000001792881</v>
      </c>
    </row>
    <row r="8704" spans="1:40" x14ac:dyDescent="0.25">
      <c r="A8704" t="str">
        <f>"20190303162122133"</f>
        <v>20190303162122133</v>
      </c>
      <c r="B8704" t="str">
        <f>"1551601282121030"</f>
        <v>1551601282121030</v>
      </c>
      <c r="C8704" t="s">
        <v>40</v>
      </c>
      <c r="D8704">
        <v>4.7151630000000004</v>
      </c>
      <c r="E8704">
        <v>0.52544919999999995</v>
      </c>
      <c r="F8704" t="s">
        <v>62</v>
      </c>
      <c r="G8704">
        <v>-300.0806</v>
      </c>
      <c r="H8704">
        <v>4.99268E-2</v>
      </c>
      <c r="I8704">
        <v>-70.383700000000005</v>
      </c>
      <c r="J8704">
        <v>-301.90710000000001</v>
      </c>
      <c r="K8704">
        <v>1.1210150000000001</v>
      </c>
      <c r="L8704">
        <v>-17.22644</v>
      </c>
      <c r="M8704">
        <v>2.9405669999999998E-2</v>
      </c>
      <c r="N8704">
        <v>-9.3236480000000004E-3</v>
      </c>
      <c r="O8704">
        <v>-0.99952439999999998</v>
      </c>
      <c r="P8704">
        <v>9.8623569999999994E-2</v>
      </c>
      <c r="Q8704">
        <v>0.12694819999999901</v>
      </c>
      <c r="R8704">
        <v>-0.98699490000000001</v>
      </c>
      <c r="S8704">
        <v>0.1043091</v>
      </c>
      <c r="T8704">
        <v>-6.099951E-2</v>
      </c>
      <c r="U8704">
        <v>-3.0373230000000002</v>
      </c>
      <c r="V8704">
        <v>-6.9545800000000005E-2</v>
      </c>
      <c r="W8704">
        <v>0.1361735</v>
      </c>
      <c r="X8704">
        <v>0.98824100000000004</v>
      </c>
      <c r="Y8704">
        <v>-4.9150909999999999E-3</v>
      </c>
      <c r="Z8704">
        <v>1.074228E-2</v>
      </c>
      <c r="AA8704">
        <v>0.99993019999999999</v>
      </c>
      <c r="AB8704">
        <v>18</v>
      </c>
      <c r="AC8704">
        <v>1.82650000000001</v>
      </c>
      <c r="AD8704">
        <v>-1.0710881999999999</v>
      </c>
      <c r="AE8704">
        <v>-53.157260000000001</v>
      </c>
      <c r="AF8704">
        <v>-0.26241138304153899</v>
      </c>
      <c r="AG8704">
        <v>-1.0710881999999999</v>
      </c>
      <c r="AH8704">
        <v>53.166422376166501</v>
      </c>
      <c r="AI8704">
        <v>91.154107857450995</v>
      </c>
      <c r="AJ8704">
        <v>90.282790189481702</v>
      </c>
      <c r="AK8704">
        <v>53.177857778845002</v>
      </c>
      <c r="AL8704">
        <v>82.173517275819293</v>
      </c>
      <c r="AM8704">
        <v>94.025457740845795</v>
      </c>
      <c r="AN8704">
        <v>1.0000000572404399</v>
      </c>
    </row>
    <row r="8705" spans="1:40" x14ac:dyDescent="0.25">
      <c r="A8705" t="str">
        <f>"20190303162122154"</f>
        <v>20190303162122154</v>
      </c>
      <c r="B8705" t="str">
        <f>"1551601282141525"</f>
        <v>1551601282141525</v>
      </c>
      <c r="C8705" t="s">
        <v>40</v>
      </c>
      <c r="D8705">
        <v>4.6995930000000001</v>
      </c>
      <c r="E8705">
        <v>0.52584799999999998</v>
      </c>
      <c r="F8705" t="s">
        <v>62</v>
      </c>
      <c r="G8705">
        <v>-300.09809999999999</v>
      </c>
      <c r="H8705">
        <v>7.9986550000000003E-2</v>
      </c>
      <c r="I8705">
        <v>-73.715519999999998</v>
      </c>
      <c r="J8705">
        <v>-301.90230000000003</v>
      </c>
      <c r="K8705">
        <v>1.1209480000000001</v>
      </c>
      <c r="L8705">
        <v>-17.394410000000001</v>
      </c>
      <c r="M8705">
        <v>2.9303470000000002E-2</v>
      </c>
      <c r="N8705">
        <v>-8.9327950000000003E-3</v>
      </c>
      <c r="O8705">
        <v>-0.99953080000000005</v>
      </c>
      <c r="P8705">
        <v>9.7463359999999999E-2</v>
      </c>
      <c r="Q8705">
        <v>0.12656780000000001</v>
      </c>
      <c r="R8705">
        <v>-0.98715869999999994</v>
      </c>
      <c r="S8705">
        <v>9.7259520000000002E-2</v>
      </c>
      <c r="T8705">
        <v>-5.5968759999999999E-2</v>
      </c>
      <c r="U8705">
        <v>-3.0370180000000002</v>
      </c>
      <c r="V8705">
        <v>-6.8478600000000001E-2</v>
      </c>
      <c r="W8705">
        <v>0.13540959999999999</v>
      </c>
      <c r="X8705">
        <v>0.98842039999999998</v>
      </c>
      <c r="Y8705">
        <v>-2.7031360000000001E-3</v>
      </c>
      <c r="Z8705">
        <v>9.4812860000000002E-3</v>
      </c>
      <c r="AA8705">
        <v>0.99995140000000005</v>
      </c>
      <c r="AB8705">
        <v>18</v>
      </c>
      <c r="AC8705">
        <v>1.80420000000003</v>
      </c>
      <c r="AD8705">
        <v>-1.04096145</v>
      </c>
      <c r="AE8705">
        <v>-56.321109999999997</v>
      </c>
      <c r="AF8705">
        <v>-0.15290341183672401</v>
      </c>
      <c r="AG8705">
        <v>-1.04096145</v>
      </c>
      <c r="AH8705">
        <v>56.330569828398801</v>
      </c>
      <c r="AI8705">
        <v>91.058673655745807</v>
      </c>
      <c r="AJ8705">
        <v>90.155522990128205</v>
      </c>
      <c r="AK8705">
        <v>56.340394721601399</v>
      </c>
      <c r="AL8705">
        <v>82.217694133990193</v>
      </c>
      <c r="AM8705">
        <v>93.963167234562704</v>
      </c>
      <c r="AN8705">
        <v>0.99999998278313895</v>
      </c>
    </row>
    <row r="8706" spans="1:40" x14ac:dyDescent="0.25">
      <c r="A8706" t="str">
        <f>"20190303162122175"</f>
        <v>20190303162122175</v>
      </c>
      <c r="B8706" t="str">
        <f>"1551601282171781"</f>
        <v>1551601282171781</v>
      </c>
      <c r="C8706" t="s">
        <v>40</v>
      </c>
      <c r="D8706">
        <v>4.7275400000000003</v>
      </c>
      <c r="E8706">
        <v>0.52637339999999999</v>
      </c>
      <c r="F8706" t="s">
        <v>62</v>
      </c>
      <c r="G8706">
        <v>-300.20519999999999</v>
      </c>
      <c r="H8706">
        <v>7.9986550000000003E-2</v>
      </c>
      <c r="I8706">
        <v>-74.282349999999994</v>
      </c>
      <c r="J8706">
        <v>-301.8972</v>
      </c>
      <c r="K8706">
        <v>1.1208880000000001</v>
      </c>
      <c r="L8706">
        <v>-17.56992</v>
      </c>
      <c r="M8706">
        <v>2.9184990000000001E-2</v>
      </c>
      <c r="N8706">
        <v>-8.5339979999999992E-3</v>
      </c>
      <c r="O8706">
        <v>-0.99953800000000004</v>
      </c>
      <c r="P8706">
        <v>9.6600920000000007E-2</v>
      </c>
      <c r="Q8706">
        <v>0.12630659999999999</v>
      </c>
      <c r="R8706">
        <v>-0.98727690000000001</v>
      </c>
      <c r="S8706">
        <v>9.0606690000000004E-2</v>
      </c>
      <c r="T8706">
        <v>-5.5576090000000002E-2</v>
      </c>
      <c r="U8706">
        <v>-3.037201</v>
      </c>
      <c r="V8706">
        <v>-6.7727709999999997E-2</v>
      </c>
      <c r="W8706">
        <v>0.13475719999999999</v>
      </c>
      <c r="X8706">
        <v>0.98856129999999998</v>
      </c>
      <c r="Y8706">
        <v>-6.3178140000000002E-4</v>
      </c>
      <c r="Z8706">
        <v>9.7501189999999998E-3</v>
      </c>
      <c r="AA8706">
        <v>0.99995230000000002</v>
      </c>
      <c r="AB8706">
        <v>18</v>
      </c>
      <c r="AC8706">
        <v>1.6919999999999999</v>
      </c>
      <c r="AD8706">
        <v>-1.04090144999999</v>
      </c>
      <c r="AE8706">
        <v>-56.712429999999998</v>
      </c>
      <c r="AF8706">
        <v>-3.6055757143359499E-2</v>
      </c>
      <c r="AG8706">
        <v>-1.04090144999999</v>
      </c>
      <c r="AH8706">
        <v>56.718563295785202</v>
      </c>
      <c r="AI8706">
        <v>91.051376310774202</v>
      </c>
      <c r="AJ8706">
        <v>90.036422686209704</v>
      </c>
      <c r="AK8706">
        <v>56.728125283533103</v>
      </c>
      <c r="AL8706">
        <v>82.255419778862503</v>
      </c>
      <c r="AM8706">
        <v>93.919289090200195</v>
      </c>
      <c r="AN8706">
        <v>0.99999999475568602</v>
      </c>
    </row>
    <row r="8707" spans="1:40" x14ac:dyDescent="0.25">
      <c r="A8707" t="str">
        <f>"20190303162122198"</f>
        <v>20190303162122198</v>
      </c>
      <c r="B8707" t="str">
        <f>"1551601282191301"</f>
        <v>1551601282191301</v>
      </c>
      <c r="C8707" t="s">
        <v>40</v>
      </c>
      <c r="D8707">
        <v>4.7143769999999998</v>
      </c>
      <c r="E8707">
        <v>0.52568579999999998</v>
      </c>
      <c r="F8707" t="s">
        <v>62</v>
      </c>
      <c r="G8707">
        <v>-300.30650000000003</v>
      </c>
      <c r="H8707">
        <v>7.9986539999999995E-2</v>
      </c>
      <c r="I8707">
        <v>-75.102919999999997</v>
      </c>
      <c r="J8707">
        <v>-301.8922</v>
      </c>
      <c r="K8707">
        <v>1.12083</v>
      </c>
      <c r="L8707">
        <v>-17.749110000000002</v>
      </c>
      <c r="M8707">
        <v>2.9057860000000001E-2</v>
      </c>
      <c r="N8707">
        <v>-8.1233490000000002E-3</v>
      </c>
      <c r="O8707">
        <v>-0.99954489999999996</v>
      </c>
      <c r="P8707">
        <v>9.5430509999999996E-2</v>
      </c>
      <c r="Q8707">
        <v>0.12678589999999901</v>
      </c>
      <c r="R8707">
        <v>-0.98732920000000002</v>
      </c>
      <c r="S8707">
        <v>8.3984379999999997E-2</v>
      </c>
      <c r="T8707">
        <v>-5.495477E-2</v>
      </c>
      <c r="U8707">
        <v>-3.0374759999999998</v>
      </c>
      <c r="V8707">
        <v>-6.6679600000000006E-2</v>
      </c>
      <c r="W8707">
        <v>0.13483139999999999</v>
      </c>
      <c r="X8707">
        <v>0.98862240000000001</v>
      </c>
      <c r="Y8707">
        <v>1.4217710000000001E-3</v>
      </c>
      <c r="Z8707">
        <v>9.9550209999999997E-3</v>
      </c>
      <c r="AA8707">
        <v>0.99994950000000005</v>
      </c>
      <c r="AB8707">
        <v>18</v>
      </c>
      <c r="AC8707">
        <v>1.5856999999999699</v>
      </c>
      <c r="AD8707">
        <v>-1.0408434600000001</v>
      </c>
      <c r="AE8707">
        <v>-57.353810000000003</v>
      </c>
      <c r="AF8707">
        <v>8.1576465538344606E-2</v>
      </c>
      <c r="AG8707">
        <v>-1.0408434600000001</v>
      </c>
      <c r="AH8707">
        <v>57.356792711624003</v>
      </c>
      <c r="AI8707">
        <v>91.039621104832705</v>
      </c>
      <c r="AJ8707">
        <v>89.918510366245897</v>
      </c>
      <c r="AK8707">
        <v>57.366293936353898</v>
      </c>
      <c r="AL8707">
        <v>82.251129024706202</v>
      </c>
      <c r="AM8707">
        <v>93.858583629571697</v>
      </c>
      <c r="AN8707">
        <v>0.99999996263193902</v>
      </c>
    </row>
    <row r="8708" spans="1:40" x14ac:dyDescent="0.25">
      <c r="A8708" t="str">
        <f>"20190303162122218"</f>
        <v>20190303162122218</v>
      </c>
      <c r="B8708" t="str">
        <f>"1551601282210821"</f>
        <v>1551601282210821</v>
      </c>
      <c r="C8708" t="s">
        <v>40</v>
      </c>
      <c r="D8708">
        <v>4.7615460000000001</v>
      </c>
      <c r="E8708">
        <v>0.52555359999999995</v>
      </c>
      <c r="F8708" t="s">
        <v>44</v>
      </c>
      <c r="G8708">
        <v>-299.71539999999999</v>
      </c>
      <c r="H8708">
        <v>-0.05</v>
      </c>
      <c r="I8708">
        <v>-94.32535</v>
      </c>
      <c r="J8708">
        <v>-301.88740000000001</v>
      </c>
      <c r="K8708">
        <v>1.1207769999999999</v>
      </c>
      <c r="L8708">
        <v>-17.917210000000001</v>
      </c>
      <c r="M8708">
        <v>2.893718E-2</v>
      </c>
      <c r="N8708">
        <v>-7.723939E-3</v>
      </c>
      <c r="O8708">
        <v>-0.99955139999999998</v>
      </c>
      <c r="P8708">
        <v>9.4033080000000005E-2</v>
      </c>
      <c r="Q8708">
        <v>0.12679389999999999</v>
      </c>
      <c r="R8708">
        <v>-0.9874617</v>
      </c>
      <c r="S8708">
        <v>8.6303710000000006E-2</v>
      </c>
      <c r="T8708">
        <v>-4.6421169999999998E-2</v>
      </c>
      <c r="U8708">
        <v>-3.0361020000000001</v>
      </c>
      <c r="V8708">
        <v>-6.5396990000000002E-2</v>
      </c>
      <c r="W8708">
        <v>0.134445799999999</v>
      </c>
      <c r="X8708">
        <v>0.98876059999999999</v>
      </c>
      <c r="Y8708">
        <v>5.2467520000000001E-4</v>
      </c>
      <c r="Z8708">
        <v>7.5549359999999999E-3</v>
      </c>
      <c r="AA8708">
        <v>0.99997130000000001</v>
      </c>
      <c r="AB8708">
        <v>18</v>
      </c>
      <c r="AC8708">
        <v>2.1720000000000201</v>
      </c>
      <c r="AD8708">
        <v>-1.170777</v>
      </c>
      <c r="AE8708">
        <v>-76.408140000000003</v>
      </c>
      <c r="AF8708">
        <v>4.0002268655058897E-2</v>
      </c>
      <c r="AG8708">
        <v>-1.170777</v>
      </c>
      <c r="AH8708">
        <v>76.421066263821103</v>
      </c>
      <c r="AI8708">
        <v>90.877707255789403</v>
      </c>
      <c r="AJ8708">
        <v>89.970008780724896</v>
      </c>
      <c r="AK8708">
        <v>76.430044405747694</v>
      </c>
      <c r="AL8708">
        <v>82.273425439699196</v>
      </c>
      <c r="AM8708">
        <v>93.784052526803507</v>
      </c>
      <c r="AN8708">
        <v>0.99999998177552896</v>
      </c>
    </row>
    <row r="8709" spans="1:40" x14ac:dyDescent="0.25">
      <c r="A8709" t="str">
        <f>"20190303162122240"</f>
        <v>20190303162122240</v>
      </c>
      <c r="B8709" t="str">
        <f>"1551601282231317"</f>
        <v>1551601282231317</v>
      </c>
      <c r="C8709" t="s">
        <v>40</v>
      </c>
      <c r="D8709">
        <v>4.7273269999999998</v>
      </c>
      <c r="E8709">
        <v>0.5253814</v>
      </c>
      <c r="F8709" t="s">
        <v>84</v>
      </c>
      <c r="G8709">
        <v>-299.89400000000001</v>
      </c>
      <c r="H8709">
        <v>0.11326219999999999</v>
      </c>
      <c r="I8709">
        <v>-90.976820000000004</v>
      </c>
      <c r="J8709">
        <v>-301.88240000000002</v>
      </c>
      <c r="K8709">
        <v>1.1207129999999901</v>
      </c>
      <c r="L8709">
        <v>-18.094360000000002</v>
      </c>
      <c r="M8709">
        <v>2.8811420000000001E-2</v>
      </c>
      <c r="N8709">
        <v>-7.2848319999999998E-3</v>
      </c>
      <c r="O8709">
        <v>-0.99955850000000002</v>
      </c>
      <c r="P8709">
        <v>9.3953800000000004E-2</v>
      </c>
      <c r="Q8709">
        <v>0.1269855</v>
      </c>
      <c r="R8709">
        <v>-0.98744489999999996</v>
      </c>
      <c r="S8709">
        <v>8.2824709999999996E-2</v>
      </c>
      <c r="T8709">
        <v>-4.1861059999999999E-2</v>
      </c>
      <c r="U8709">
        <v>-3.0355829999999999</v>
      </c>
      <c r="V8709">
        <v>-6.5441579999999999E-2</v>
      </c>
      <c r="W8709">
        <v>0.1342034</v>
      </c>
      <c r="X8709">
        <v>0.98879059999999996</v>
      </c>
      <c r="Y8709">
        <v>1.538787E-3</v>
      </c>
      <c r="Z8709">
        <v>6.4960110000000003E-3</v>
      </c>
      <c r="AA8709">
        <v>0.99997769999999997</v>
      </c>
      <c r="AB8709">
        <v>18</v>
      </c>
      <c r="AC8709">
        <v>1.9884000000000099</v>
      </c>
      <c r="AD8709">
        <v>-1.00745079999999</v>
      </c>
      <c r="AE8709">
        <v>-72.882459999999895</v>
      </c>
      <c r="AF8709">
        <v>0.112306561670956</v>
      </c>
      <c r="AG8709">
        <v>-1.00745079999999</v>
      </c>
      <c r="AH8709">
        <v>72.895574381673399</v>
      </c>
      <c r="AI8709">
        <v>90.791803017035704</v>
      </c>
      <c r="AJ8709">
        <v>89.911727331064597</v>
      </c>
      <c r="AK8709">
        <v>72.9026222732235</v>
      </c>
      <c r="AL8709">
        <v>82.287441109582204</v>
      </c>
      <c r="AM8709">
        <v>93.7865105726775</v>
      </c>
      <c r="AN8709">
        <v>1.0000000018063999</v>
      </c>
    </row>
    <row r="8710" spans="1:40" x14ac:dyDescent="0.25">
      <c r="A8710" t="str">
        <f>"20190303162122263"</f>
        <v>20190303162122263</v>
      </c>
      <c r="B8710" t="str">
        <f>"1551601282250837"</f>
        <v>1551601282250837</v>
      </c>
      <c r="C8710" t="s">
        <v>40</v>
      </c>
      <c r="D8710">
        <v>5.0481249999999998</v>
      </c>
      <c r="E8710">
        <v>0.52496489999999996</v>
      </c>
      <c r="F8710" t="s">
        <v>84</v>
      </c>
      <c r="G8710">
        <v>-299.87369999999999</v>
      </c>
      <c r="H8710">
        <v>0.19813539999999999</v>
      </c>
      <c r="I8710">
        <v>-90.976820000000004</v>
      </c>
      <c r="J8710">
        <v>-301.87700000000001</v>
      </c>
      <c r="K8710">
        <v>1.120644</v>
      </c>
      <c r="L8710">
        <v>-18.28726</v>
      </c>
      <c r="M8710">
        <v>2.867772E-2</v>
      </c>
      <c r="N8710">
        <v>-6.7919399999999998E-3</v>
      </c>
      <c r="O8710">
        <v>-0.9995657</v>
      </c>
      <c r="P8710">
        <v>9.4170970000000007E-2</v>
      </c>
      <c r="Q8710">
        <v>0.12761829999999999</v>
      </c>
      <c r="R8710">
        <v>-0.98734270000000002</v>
      </c>
      <c r="S8710">
        <v>8.3648680000000003E-2</v>
      </c>
      <c r="T8710">
        <v>-3.8419370000000001E-2</v>
      </c>
      <c r="U8710">
        <v>-3.035126</v>
      </c>
      <c r="V8710">
        <v>-6.5792470000000006E-2</v>
      </c>
      <c r="W8710">
        <v>0.13434889999999999</v>
      </c>
      <c r="X8710">
        <v>0.9887475</v>
      </c>
      <c r="Y8710">
        <v>1.1294899999999999E-3</v>
      </c>
      <c r="Z8710">
        <v>5.8580150000000003E-3</v>
      </c>
      <c r="AA8710">
        <v>0.99998220000000004</v>
      </c>
      <c r="AB8710">
        <v>18</v>
      </c>
      <c r="AC8710">
        <v>2.0033000000000198</v>
      </c>
      <c r="AD8710">
        <v>-0.92250859999999901</v>
      </c>
      <c r="AE8710">
        <v>-72.689559999999901</v>
      </c>
      <c r="AF8710">
        <v>8.2129553066153799E-2</v>
      </c>
      <c r="AG8710">
        <v>-0.92250859999999901</v>
      </c>
      <c r="AH8710">
        <v>72.705412213886603</v>
      </c>
      <c r="AI8710">
        <v>90.726946974304099</v>
      </c>
      <c r="AJ8710">
        <v>89.935277517599403</v>
      </c>
      <c r="AK8710">
        <v>72.711310898454698</v>
      </c>
      <c r="AL8710">
        <v>82.279027965008297</v>
      </c>
      <c r="AM8710">
        <v>93.806919306541204</v>
      </c>
      <c r="AN8710">
        <v>0.99999994739807896</v>
      </c>
    </row>
    <row r="8711" spans="1:40" x14ac:dyDescent="0.25">
      <c r="A8711" t="str">
        <f>"20190303162122285"</f>
        <v>20190303162122285</v>
      </c>
      <c r="B8711" t="str">
        <f>"1551601282271333"</f>
        <v>1551601282271333</v>
      </c>
      <c r="C8711" t="s">
        <v>40</v>
      </c>
      <c r="D8711">
        <v>4.7423599999999997</v>
      </c>
      <c r="E8711">
        <v>0.52468930000000003</v>
      </c>
      <c r="F8711" t="s">
        <v>84</v>
      </c>
      <c r="G8711">
        <v>-299.80090000000001</v>
      </c>
      <c r="H8711">
        <v>0.30880069999999998</v>
      </c>
      <c r="I8711">
        <v>-90.976820000000004</v>
      </c>
      <c r="J8711">
        <v>-301.87169999999998</v>
      </c>
      <c r="K8711">
        <v>1.120573</v>
      </c>
      <c r="L8711">
        <v>-18.474060000000001</v>
      </c>
      <c r="M8711">
        <v>2.85515E-2</v>
      </c>
      <c r="N8711">
        <v>-6.3101950000000002E-3</v>
      </c>
      <c r="O8711">
        <v>-0.99957260000000003</v>
      </c>
      <c r="P8711">
        <v>9.4291959999999994E-2</v>
      </c>
      <c r="Q8711">
        <v>0.1280714</v>
      </c>
      <c r="R8711">
        <v>-0.98727259999999994</v>
      </c>
      <c r="S8711">
        <v>8.6669919999999998E-2</v>
      </c>
      <c r="T8711">
        <v>-3.3891560000000001E-2</v>
      </c>
      <c r="U8711">
        <v>-3.0345759999999999</v>
      </c>
      <c r="V8711">
        <v>-6.603974E-2</v>
      </c>
      <c r="W8711">
        <v>0.13432529999999901</v>
      </c>
      <c r="X8711">
        <v>0.98873429999999995</v>
      </c>
      <c r="Y8711" s="1">
        <v>3.2493369999999999E-6</v>
      </c>
      <c r="Z8711">
        <v>4.8512149999999999E-3</v>
      </c>
      <c r="AA8711">
        <v>0.99998830000000005</v>
      </c>
      <c r="AB8711">
        <v>18</v>
      </c>
      <c r="AC8711">
        <v>2.0707999999999598</v>
      </c>
      <c r="AD8711">
        <v>-0.8117723</v>
      </c>
      <c r="AE8711">
        <v>-72.502759999999995</v>
      </c>
      <c r="AF8711">
        <v>1.4759648260342901E-4</v>
      </c>
      <c r="AG8711">
        <v>-0.8117723</v>
      </c>
      <c r="AH8711">
        <v>72.523242614251799</v>
      </c>
      <c r="AI8711">
        <v>90.641300398823603</v>
      </c>
      <c r="AJ8711">
        <v>89.999883393857999</v>
      </c>
      <c r="AK8711">
        <v>72.527785665732694</v>
      </c>
      <c r="AL8711">
        <v>82.280393114844898</v>
      </c>
      <c r="AM8711">
        <v>93.821235530628201</v>
      </c>
      <c r="AN8711">
        <v>1.0000000247379199</v>
      </c>
    </row>
    <row r="8712" spans="1:40" x14ac:dyDescent="0.25">
      <c r="A8712" t="str">
        <f>"20190303162122307"</f>
        <v>20190303162122307</v>
      </c>
      <c r="B8712" t="str">
        <f>"1551601282301589"</f>
        <v>1551601282301589</v>
      </c>
      <c r="C8712" t="s">
        <v>40</v>
      </c>
      <c r="D8712">
        <v>4.7744350000000004</v>
      </c>
      <c r="E8712">
        <v>0.52449069999999998</v>
      </c>
      <c r="F8712" t="s">
        <v>84</v>
      </c>
      <c r="G8712">
        <v>-299.74450000000002</v>
      </c>
      <c r="H8712">
        <v>0.40420719999999999</v>
      </c>
      <c r="I8712">
        <v>-90.976830000000007</v>
      </c>
      <c r="J8712">
        <v>-301.8664</v>
      </c>
      <c r="K8712">
        <v>1.1205099999999999</v>
      </c>
      <c r="L8712">
        <v>-18.66422</v>
      </c>
      <c r="M8712">
        <v>2.8426699999999999E-2</v>
      </c>
      <c r="N8712">
        <v>-5.8339459999999996E-3</v>
      </c>
      <c r="O8712">
        <v>-0.999579</v>
      </c>
      <c r="P8712">
        <v>9.4715099999999997E-2</v>
      </c>
      <c r="Q8712">
        <v>0.12821949999999999</v>
      </c>
      <c r="R8712">
        <v>-0.98721309999999995</v>
      </c>
      <c r="S8712">
        <v>8.9019780000000007E-2</v>
      </c>
      <c r="T8712">
        <v>-2.997756E-2</v>
      </c>
      <c r="U8712">
        <v>-3.0340579999999999</v>
      </c>
      <c r="V8712">
        <v>-6.6587660000000007E-2</v>
      </c>
      <c r="W8712">
        <v>0.13400300000000001</v>
      </c>
      <c r="X8712">
        <v>0.98874130000000005</v>
      </c>
      <c r="Y8712">
        <v>-9.004719E-4</v>
      </c>
      <c r="Z8712">
        <v>4.0403610000000001E-3</v>
      </c>
      <c r="AA8712">
        <v>0.99999139999999997</v>
      </c>
      <c r="AB8712">
        <v>19</v>
      </c>
      <c r="AC8712">
        <v>2.1218999999999801</v>
      </c>
      <c r="AD8712">
        <v>-0.71630280000000002</v>
      </c>
      <c r="AE8712">
        <v>-72.312609999999907</v>
      </c>
      <c r="AF8712">
        <v>-6.5392501975549605E-2</v>
      </c>
      <c r="AG8712">
        <v>-0.71630280000000002</v>
      </c>
      <c r="AH8712">
        <v>72.336613965033607</v>
      </c>
      <c r="AI8712">
        <v>90.567344348914105</v>
      </c>
      <c r="AJ8712">
        <v>90.051795531322199</v>
      </c>
      <c r="AK8712">
        <v>72.340189976298106</v>
      </c>
      <c r="AL8712">
        <v>82.299028133706699</v>
      </c>
      <c r="AM8712">
        <v>93.852817351533901</v>
      </c>
      <c r="AN8712">
        <v>1.0000000393994799</v>
      </c>
    </row>
    <row r="8713" spans="1:40" x14ac:dyDescent="0.25">
      <c r="A8713" t="str">
        <f>"20190303162122329"</f>
        <v>20190303162122329</v>
      </c>
      <c r="B8713" t="str">
        <f>"1551601282321109"</f>
        <v>1551601282321109</v>
      </c>
      <c r="C8713" t="s">
        <v>40</v>
      </c>
      <c r="D8713">
        <v>4.8009769999999996</v>
      </c>
      <c r="E8713">
        <v>0.524339</v>
      </c>
      <c r="F8713" t="s">
        <v>84</v>
      </c>
      <c r="G8713">
        <v>-299.6739</v>
      </c>
      <c r="H8713">
        <v>0.47410960000000002</v>
      </c>
      <c r="I8713">
        <v>-90.976820000000004</v>
      </c>
      <c r="J8713">
        <v>-301.86130000000003</v>
      </c>
      <c r="K8713">
        <v>1.120457</v>
      </c>
      <c r="L8713">
        <v>-18.848880000000001</v>
      </c>
      <c r="M8713">
        <v>2.8307539999999999E-2</v>
      </c>
      <c r="N8713">
        <v>-5.3981840000000003E-3</v>
      </c>
      <c r="O8713">
        <v>-0.99958499999999995</v>
      </c>
      <c r="P8713">
        <v>9.5324039999999999E-2</v>
      </c>
      <c r="Q8713">
        <v>0.127938</v>
      </c>
      <c r="R8713">
        <v>-0.98719100000000004</v>
      </c>
      <c r="S8713">
        <v>9.1979980000000003E-2</v>
      </c>
      <c r="T8713">
        <v>-2.7116419999999999E-2</v>
      </c>
      <c r="U8713">
        <v>-3.033569</v>
      </c>
      <c r="V8713">
        <v>-6.7314570000000004E-2</v>
      </c>
      <c r="W8713">
        <v>0.13329089999999999</v>
      </c>
      <c r="X8713">
        <v>0.98878829999999995</v>
      </c>
      <c r="Y8713">
        <v>-1.9994280000000001E-3</v>
      </c>
      <c r="Z8713">
        <v>3.5352119999999998E-3</v>
      </c>
      <c r="AA8713">
        <v>0.99999179999999999</v>
      </c>
      <c r="AB8713">
        <v>19</v>
      </c>
      <c r="AC8713">
        <v>2.1874000000000202</v>
      </c>
      <c r="AD8713">
        <v>-0.64634740000000002</v>
      </c>
      <c r="AE8713">
        <v>-72.127939999999995</v>
      </c>
      <c r="AF8713">
        <v>-0.14471813509886899</v>
      </c>
      <c r="AG8713">
        <v>-0.64634740000000002</v>
      </c>
      <c r="AH8713">
        <v>72.155166652711202</v>
      </c>
      <c r="AI8713">
        <v>90.513226077673806</v>
      </c>
      <c r="AJ8713">
        <v>90.114915225431901</v>
      </c>
      <c r="AK8713">
        <v>72.158206622536198</v>
      </c>
      <c r="AL8713">
        <v>82.340197554394393</v>
      </c>
      <c r="AM8713">
        <v>93.894563659493997</v>
      </c>
      <c r="AN8713">
        <v>1.00000000878699</v>
      </c>
    </row>
    <row r="8714" spans="1:40" x14ac:dyDescent="0.25">
      <c r="A8714" t="str">
        <f>"20190303162122353"</f>
        <v>20190303162122353</v>
      </c>
      <c r="B8714" t="str">
        <f>"1551601282341605"</f>
        <v>1551601282341605</v>
      </c>
      <c r="C8714" t="s">
        <v>40</v>
      </c>
      <c r="D8714">
        <v>4.7754979999999998</v>
      </c>
      <c r="E8714">
        <v>0.52416980000000002</v>
      </c>
      <c r="F8714" t="s">
        <v>84</v>
      </c>
      <c r="G8714">
        <v>-299.6001</v>
      </c>
      <c r="H8714">
        <v>0.48399730000000002</v>
      </c>
      <c r="I8714">
        <v>-90.976820000000004</v>
      </c>
      <c r="J8714">
        <v>-301.85579999999999</v>
      </c>
      <c r="K8714">
        <v>1.120417</v>
      </c>
      <c r="L8714">
        <v>-19.049589999999998</v>
      </c>
      <c r="M8714">
        <v>2.8178709999999999E-2</v>
      </c>
      <c r="N8714">
        <v>-4.9672459999999998E-3</v>
      </c>
      <c r="O8714">
        <v>-0.99959089999999995</v>
      </c>
      <c r="P8714">
        <v>9.5687549999999996E-2</v>
      </c>
      <c r="Q8714">
        <v>0.12892870000000001</v>
      </c>
      <c r="R8714">
        <v>-0.98702719999999999</v>
      </c>
      <c r="S8714">
        <v>9.5092769999999993E-2</v>
      </c>
      <c r="T8714">
        <v>-2.6764509999999998E-2</v>
      </c>
      <c r="U8714">
        <v>-3.0332029999999999</v>
      </c>
      <c r="V8714">
        <v>-6.7809140000000004E-2</v>
      </c>
      <c r="W8714">
        <v>0.1338551</v>
      </c>
      <c r="X8714">
        <v>0.98867830000000001</v>
      </c>
      <c r="Y8714">
        <v>-3.157221E-3</v>
      </c>
      <c r="Z8714">
        <v>3.8510910000000001E-3</v>
      </c>
      <c r="AA8714">
        <v>0.99998759999999998</v>
      </c>
      <c r="AB8714">
        <v>19</v>
      </c>
      <c r="AC8714">
        <v>2.2556999999999898</v>
      </c>
      <c r="AD8714">
        <v>-0.63641969999999903</v>
      </c>
      <c r="AE8714">
        <v>-71.927229999999994</v>
      </c>
      <c r="AF8714">
        <v>-0.22794554454181001</v>
      </c>
      <c r="AG8714">
        <v>-0.63641969999999903</v>
      </c>
      <c r="AH8714">
        <v>71.956602711268204</v>
      </c>
      <c r="AI8714">
        <v>90.506736390145505</v>
      </c>
      <c r="AJ8714">
        <v>90.181502092679494</v>
      </c>
      <c r="AK8714">
        <v>71.959778091327607</v>
      </c>
      <c r="AL8714">
        <v>82.307579097949599</v>
      </c>
      <c r="AM8714">
        <v>93.923523682273895</v>
      </c>
      <c r="AN8714">
        <v>1.00000002407721</v>
      </c>
    </row>
    <row r="8715" spans="1:40" x14ac:dyDescent="0.25">
      <c r="A8715" t="str">
        <f>"20190303162122374"</f>
        <v>20190303162122374</v>
      </c>
      <c r="B8715" t="str">
        <f>"1551601282361125"</f>
        <v>1551601282361125</v>
      </c>
      <c r="C8715" t="s">
        <v>40</v>
      </c>
      <c r="D8715">
        <v>4.7977270000000001</v>
      </c>
      <c r="E8715">
        <v>0.52401699999999996</v>
      </c>
      <c r="F8715" t="s">
        <v>84</v>
      </c>
      <c r="G8715">
        <v>-299.54129999999998</v>
      </c>
      <c r="H8715">
        <v>0.58104519999999904</v>
      </c>
      <c r="I8715">
        <v>-90.976820000000004</v>
      </c>
      <c r="J8715">
        <v>-301.85059999999999</v>
      </c>
      <c r="K8715">
        <v>1.1203890000000001</v>
      </c>
      <c r="L8715">
        <v>-19.237300000000001</v>
      </c>
      <c r="M8715">
        <v>2.8056709999999999E-2</v>
      </c>
      <c r="N8715">
        <v>-4.6084569999999998E-3</v>
      </c>
      <c r="O8715">
        <v>-0.99959569999999998</v>
      </c>
      <c r="P8715">
        <v>9.5835279999999995E-2</v>
      </c>
      <c r="Q8715">
        <v>0.13062380000000001</v>
      </c>
      <c r="R8715">
        <v>-0.98678929999999998</v>
      </c>
      <c r="S8715">
        <v>9.7595210000000002E-2</v>
      </c>
      <c r="T8715">
        <v>-2.2742990000000001E-2</v>
      </c>
      <c r="U8715">
        <v>-3.0329280000000001</v>
      </c>
      <c r="V8715">
        <v>-6.8083290000000005E-2</v>
      </c>
      <c r="W8715">
        <v>0.1351947</v>
      </c>
      <c r="X8715">
        <v>0.98847719999999994</v>
      </c>
      <c r="Y8715">
        <v>-4.1064939999999996E-3</v>
      </c>
      <c r="Z8715">
        <v>2.8857539999999999E-3</v>
      </c>
      <c r="AA8715">
        <v>0.99998739999999997</v>
      </c>
      <c r="AB8715">
        <v>19</v>
      </c>
      <c r="AC8715">
        <v>2.3092999999999999</v>
      </c>
      <c r="AD8715">
        <v>-0.53934379999999904</v>
      </c>
      <c r="AE8715">
        <v>-71.739519999999899</v>
      </c>
      <c r="AF8715">
        <v>-0.295577894415957</v>
      </c>
      <c r="AG8715">
        <v>-0.53934379999999904</v>
      </c>
      <c r="AH8715">
        <v>71.772017498672597</v>
      </c>
      <c r="AI8715">
        <v>90.430547737422899</v>
      </c>
      <c r="AJ8715">
        <v>90.235959231962596</v>
      </c>
      <c r="AK8715">
        <v>71.774652586104693</v>
      </c>
      <c r="AL8715">
        <v>82.230121861273602</v>
      </c>
      <c r="AM8715">
        <v>93.9401354206327</v>
      </c>
      <c r="AN8715">
        <v>1.0000000581025701</v>
      </c>
    </row>
    <row r="8716" spans="1:40" x14ac:dyDescent="0.25">
      <c r="A8716" t="str">
        <f>"20190303162122396"</f>
        <v>20190303162122396</v>
      </c>
      <c r="B8716" t="str">
        <f>"1551601282390891"</f>
        <v>1551601282390891</v>
      </c>
      <c r="C8716" t="s">
        <v>40</v>
      </c>
      <c r="D8716">
        <v>4.7856809999999896</v>
      </c>
      <c r="E8716">
        <v>0.52384090000000005</v>
      </c>
      <c r="F8716" t="s">
        <v>84</v>
      </c>
      <c r="G8716">
        <v>-299.49509999999998</v>
      </c>
      <c r="H8716">
        <v>0.70973209999999998</v>
      </c>
      <c r="I8716">
        <v>-90.976820000000004</v>
      </c>
      <c r="J8716">
        <v>-301.84519999999998</v>
      </c>
      <c r="K8716">
        <v>1.1203529999999999</v>
      </c>
      <c r="L8716">
        <v>-19.437069999999999</v>
      </c>
      <c r="M8716">
        <v>2.7919820000000001E-2</v>
      </c>
      <c r="N8716">
        <v>-4.2762219999999997E-3</v>
      </c>
      <c r="O8716">
        <v>-0.99960119999999997</v>
      </c>
      <c r="P8716">
        <v>9.4657889999999995E-2</v>
      </c>
      <c r="Q8716">
        <v>0.13154160000000001</v>
      </c>
      <c r="R8716">
        <v>-0.98678140000000003</v>
      </c>
      <c r="S8716">
        <v>9.9578860000000005E-2</v>
      </c>
      <c r="T8716">
        <v>-1.735985E-2</v>
      </c>
      <c r="U8716">
        <v>-3.0327760000000001</v>
      </c>
      <c r="V8716">
        <v>-6.7039879999999996E-2</v>
      </c>
      <c r="W8716">
        <v>0.13578479999999901</v>
      </c>
      <c r="X8716">
        <v>0.9884676</v>
      </c>
      <c r="Y8716">
        <v>-4.8985840000000001E-3</v>
      </c>
      <c r="Z8716">
        <v>1.4448200000000001E-3</v>
      </c>
      <c r="AA8716">
        <v>0.99998690000000001</v>
      </c>
      <c r="AB8716">
        <v>19</v>
      </c>
      <c r="AC8716">
        <v>2.3500999999999901</v>
      </c>
      <c r="AD8716">
        <v>-0.41062090000000001</v>
      </c>
      <c r="AE8716">
        <v>-71.539749999999898</v>
      </c>
      <c r="AF8716">
        <v>-0.35177741337532298</v>
      </c>
      <c r="AG8716">
        <v>-0.41062090000000001</v>
      </c>
      <c r="AH8716">
        <v>71.575120330479606</v>
      </c>
      <c r="AI8716">
        <v>90.328693856258397</v>
      </c>
      <c r="AJ8716">
        <v>90.281595039417596</v>
      </c>
      <c r="AK8716">
        <v>71.577162609275803</v>
      </c>
      <c r="AL8716">
        <v>82.195996703314293</v>
      </c>
      <c r="AM8716">
        <v>93.879974330534196</v>
      </c>
      <c r="AN8716">
        <v>1.0000000268356</v>
      </c>
    </row>
    <row r="8717" spans="1:40" x14ac:dyDescent="0.25">
      <c r="A8717" t="str">
        <f>"20190303162122419"</f>
        <v>20190303162122419</v>
      </c>
      <c r="B8717" t="str">
        <f>"1551601282411388"</f>
        <v>1551601282411388</v>
      </c>
      <c r="C8717" t="s">
        <v>40</v>
      </c>
      <c r="D8717">
        <v>4.8628470000000004</v>
      </c>
      <c r="E8717">
        <v>0.52379109999999995</v>
      </c>
      <c r="F8717" t="s">
        <v>84</v>
      </c>
      <c r="G8717">
        <v>-299.54160000000002</v>
      </c>
      <c r="H8717">
        <v>0.7759762</v>
      </c>
      <c r="I8717">
        <v>-90.976820000000004</v>
      </c>
      <c r="J8717">
        <v>-301.83980000000003</v>
      </c>
      <c r="K8717">
        <v>1.1203160000000001</v>
      </c>
      <c r="L8717">
        <v>-19.634550000000001</v>
      </c>
      <c r="M8717">
        <v>2.7770989999999999E-2</v>
      </c>
      <c r="N8717">
        <v>-3.9973309999999998E-3</v>
      </c>
      <c r="O8717">
        <v>-0.99960669999999996</v>
      </c>
      <c r="P8717">
        <v>9.3036759999999996E-2</v>
      </c>
      <c r="Q8717">
        <v>0.13027830000000001</v>
      </c>
      <c r="R8717">
        <v>-0.98710310000000001</v>
      </c>
      <c r="S8717">
        <v>9.765625E-2</v>
      </c>
      <c r="T8717">
        <v>-1.459861E-2</v>
      </c>
      <c r="U8717">
        <v>-3.0327760000000001</v>
      </c>
      <c r="V8717">
        <v>-6.5555269999999999E-2</v>
      </c>
      <c r="W8717">
        <v>0.134247799999999</v>
      </c>
      <c r="X8717">
        <v>0.98877700000000002</v>
      </c>
      <c r="Y8717">
        <v>-4.4142870000000002E-3</v>
      </c>
      <c r="Z8717">
        <v>8.1396799999999998E-4</v>
      </c>
      <c r="AA8717">
        <v>0.99998989999999999</v>
      </c>
      <c r="AB8717">
        <v>20</v>
      </c>
      <c r="AC8717">
        <v>2.2982</v>
      </c>
      <c r="AD8717">
        <v>-0.34433979999999997</v>
      </c>
      <c r="AE8717">
        <v>-71.3422699999999</v>
      </c>
      <c r="AF8717">
        <v>-0.316045701004047</v>
      </c>
      <c r="AG8717">
        <v>-0.34433979999999997</v>
      </c>
      <c r="AH8717">
        <v>71.3769164057246</v>
      </c>
      <c r="AI8717">
        <v>90.276404078558699</v>
      </c>
      <c r="AJ8717">
        <v>90.253694995146304</v>
      </c>
      <c r="AK8717">
        <v>71.378446679461902</v>
      </c>
      <c r="AL8717">
        <v>82.284873625416793</v>
      </c>
      <c r="AM8717">
        <v>93.793121614027896</v>
      </c>
      <c r="AN8717">
        <v>0.99999996047930495</v>
      </c>
    </row>
    <row r="8718" spans="1:40" x14ac:dyDescent="0.25">
      <c r="A8718" t="str">
        <f>"20190303162122441"</f>
        <v>20190303162122441</v>
      </c>
      <c r="B8718" t="str">
        <f>"1551601282430908"</f>
        <v>1551601282430908</v>
      </c>
      <c r="C8718" t="s">
        <v>40</v>
      </c>
      <c r="D8718">
        <v>4.9478489999999997</v>
      </c>
      <c r="E8718">
        <v>0.54414940000000001</v>
      </c>
      <c r="F8718" t="s">
        <v>84</v>
      </c>
      <c r="G8718">
        <v>-299.65839999999997</v>
      </c>
      <c r="H8718">
        <v>0.65845869999999995</v>
      </c>
      <c r="I8718">
        <v>-90.976820000000004</v>
      </c>
      <c r="J8718">
        <v>-301.83449999999999</v>
      </c>
      <c r="K8718">
        <v>1.120266</v>
      </c>
      <c r="L8718">
        <v>-19.832460000000001</v>
      </c>
      <c r="M8718">
        <v>2.76035E-2</v>
      </c>
      <c r="N8718">
        <v>-3.7645529999999999E-3</v>
      </c>
      <c r="O8718">
        <v>-0.9996119</v>
      </c>
      <c r="P8718">
        <v>9.164013E-2</v>
      </c>
      <c r="Q8718">
        <v>0.12708639999999999</v>
      </c>
      <c r="R8718">
        <v>-0.98764929999999995</v>
      </c>
      <c r="S8718">
        <v>9.2742920000000006E-2</v>
      </c>
      <c r="T8718">
        <v>-1.9634840000000001E-2</v>
      </c>
      <c r="U8718">
        <v>-3.0330509999999999</v>
      </c>
      <c r="V8718">
        <v>-6.4306680000000005E-2</v>
      </c>
      <c r="W8718">
        <v>0.13082930000000001</v>
      </c>
      <c r="X8718">
        <v>0.98931709999999995</v>
      </c>
      <c r="Y8718">
        <v>-2.9605410000000001E-3</v>
      </c>
      <c r="Z8718">
        <v>2.705336E-3</v>
      </c>
      <c r="AA8718">
        <v>0.99999199999999999</v>
      </c>
      <c r="AB8718">
        <v>20</v>
      </c>
      <c r="AC8718">
        <v>2.1761000000000101</v>
      </c>
      <c r="AD8718">
        <v>-0.46180729999999998</v>
      </c>
      <c r="AE8718">
        <v>-71.144359999999907</v>
      </c>
      <c r="AF8718">
        <v>-0.211414704882501</v>
      </c>
      <c r="AG8718">
        <v>-0.46180729999999998</v>
      </c>
      <c r="AH8718">
        <v>71.1743224049833</v>
      </c>
      <c r="AI8718">
        <v>90.3717509393895</v>
      </c>
      <c r="AJ8718">
        <v>90.170189673497603</v>
      </c>
      <c r="AK8718">
        <v>71.176134567481895</v>
      </c>
      <c r="AL8718">
        <v>82.482482914569403</v>
      </c>
      <c r="AM8718">
        <v>93.719055594419402</v>
      </c>
      <c r="AN8718">
        <v>0.99999998959176095</v>
      </c>
    </row>
    <row r="8719" spans="1:40" x14ac:dyDescent="0.25">
      <c r="A8719" t="str">
        <f>"20190303162122464"</f>
        <v>20190303162122464</v>
      </c>
      <c r="B8719" t="str">
        <f>"1551601282451405"</f>
        <v>1551601282451405</v>
      </c>
      <c r="C8719" t="s">
        <v>40</v>
      </c>
      <c r="D8719">
        <v>4.8639720000000004</v>
      </c>
      <c r="E8719">
        <v>0.54959019999999903</v>
      </c>
      <c r="F8719" t="s">
        <v>42</v>
      </c>
      <c r="G8719">
        <v>-301.85210000000001</v>
      </c>
      <c r="H8719">
        <v>1.0388949999999999</v>
      </c>
      <c r="I8719">
        <v>-20.590599999999998</v>
      </c>
      <c r="J8719">
        <v>-301.82909999999998</v>
      </c>
      <c r="K8719">
        <v>1.12022</v>
      </c>
      <c r="L8719">
        <v>-20.03546</v>
      </c>
      <c r="M8719">
        <v>2.740981E-2</v>
      </c>
      <c r="N8719">
        <v>-3.5689279999999999E-3</v>
      </c>
      <c r="O8719">
        <v>-0.99961809999999995</v>
      </c>
      <c r="P8719">
        <v>9.0883030000000004E-2</v>
      </c>
      <c r="Q8719">
        <v>0.123956</v>
      </c>
      <c r="R8719">
        <v>-0.98811709999999997</v>
      </c>
      <c r="S8719">
        <v>-7.0983889999999994E-2</v>
      </c>
      <c r="T8719">
        <v>-0.33128879999999999</v>
      </c>
      <c r="U8719">
        <v>-3.0867309999999999</v>
      </c>
      <c r="V8719">
        <v>-6.3724950000000002E-2</v>
      </c>
      <c r="W8719">
        <v>0.12750939999999999</v>
      </c>
      <c r="X8719">
        <v>0.98978809999999995</v>
      </c>
      <c r="Y8719">
        <v>5.0252060000000001E-2</v>
      </c>
      <c r="Z8719">
        <v>0.10302210000000001</v>
      </c>
      <c r="AA8719">
        <v>0.99340890000000004</v>
      </c>
      <c r="AB8719">
        <v>20</v>
      </c>
      <c r="AC8719">
        <v>-2.3000000000024501E-2</v>
      </c>
      <c r="AD8719">
        <v>-8.13249999999998E-2</v>
      </c>
      <c r="AE8719">
        <v>-0.55513999999999797</v>
      </c>
      <c r="AF8719">
        <v>3.7406344984130799E-2</v>
      </c>
      <c r="AG8719">
        <v>-8.13249999999998E-2</v>
      </c>
      <c r="AH8719">
        <v>0.542674787852511</v>
      </c>
      <c r="AI8719">
        <v>98.503015162609003</v>
      </c>
      <c r="AJ8719">
        <v>86.056863104308604</v>
      </c>
      <c r="AK8719">
        <v>0.55000810506831599</v>
      </c>
      <c r="AL8719">
        <v>82.674306332957002</v>
      </c>
      <c r="AM8719">
        <v>93.683756530545395</v>
      </c>
      <c r="AN8719">
        <v>0.99999999962123598</v>
      </c>
    </row>
    <row r="8720" spans="1:40" x14ac:dyDescent="0.25">
      <c r="A8720" t="str">
        <f>"20190303162122487"</f>
        <v>20190303162122487</v>
      </c>
      <c r="B8720" t="str">
        <f>"1551601282481091"</f>
        <v>1551601282481091</v>
      </c>
      <c r="C8720" t="s">
        <v>40</v>
      </c>
      <c r="D8720">
        <v>4.8536429999999999</v>
      </c>
      <c r="E8720">
        <v>0.54863819999999996</v>
      </c>
      <c r="F8720" t="s">
        <v>42</v>
      </c>
      <c r="G8720">
        <v>-301.85419999999999</v>
      </c>
      <c r="H8720">
        <v>0.94443670000000002</v>
      </c>
      <c r="I8720">
        <v>-20.72645</v>
      </c>
      <c r="J8720">
        <v>-301.82350000000002</v>
      </c>
      <c r="K8720">
        <v>1.1201810000000001</v>
      </c>
      <c r="L8720">
        <v>-20.247990000000001</v>
      </c>
      <c r="M8720">
        <v>2.7182890000000001E-2</v>
      </c>
      <c r="N8720">
        <v>-3.405099E-3</v>
      </c>
      <c r="O8720">
        <v>-0.99962499999999999</v>
      </c>
      <c r="P8720">
        <v>9.0015709999999999E-2</v>
      </c>
      <c r="Q8720">
        <v>0.1217044</v>
      </c>
      <c r="R8720">
        <v>-0.98847680000000004</v>
      </c>
      <c r="S8720">
        <v>-0.112793</v>
      </c>
      <c r="T8720">
        <v>-0.80049199999999998</v>
      </c>
      <c r="U8720">
        <v>-3.146881</v>
      </c>
      <c r="V8720">
        <v>-6.3068609999999997E-2</v>
      </c>
      <c r="W8720">
        <v>0.12509899999999999</v>
      </c>
      <c r="X8720">
        <v>0.99013770000000001</v>
      </c>
      <c r="Y8720">
        <v>6.1872070000000001E-2</v>
      </c>
      <c r="Z8720">
        <v>0.24277489999999999</v>
      </c>
      <c r="AA8720">
        <v>0.96810750000000001</v>
      </c>
      <c r="AB8720">
        <v>20</v>
      </c>
      <c r="AC8720">
        <v>-3.06999999999675E-2</v>
      </c>
      <c r="AD8720">
        <v>-0.17574429999999899</v>
      </c>
      <c r="AE8720">
        <v>-0.478460000000001</v>
      </c>
      <c r="AF8720">
        <v>3.8519033629794197E-2</v>
      </c>
      <c r="AG8720">
        <v>-0.17574429999999899</v>
      </c>
      <c r="AH8720">
        <v>0.42089502215630298</v>
      </c>
      <c r="AI8720">
        <v>112.57809601638699</v>
      </c>
      <c r="AJ8720">
        <v>84.771030036711096</v>
      </c>
      <c r="AK8720">
        <v>0.45773616266383998</v>
      </c>
      <c r="AL8720">
        <v>82.813527328044003</v>
      </c>
      <c r="AM8720">
        <v>93.644634427692395</v>
      </c>
      <c r="AN8720">
        <v>1.0000000371648099</v>
      </c>
    </row>
    <row r="8721" spans="1:40" x14ac:dyDescent="0.25">
      <c r="A8721" t="str">
        <f>"20190303162122513"</f>
        <v>20190303162122513</v>
      </c>
      <c r="B8721" t="str">
        <f>"1551601282501588"</f>
        <v>1551601282501588</v>
      </c>
      <c r="C8721" t="s">
        <v>40</v>
      </c>
      <c r="D8721">
        <v>4.898123</v>
      </c>
      <c r="E8721">
        <v>0.54781599999999997</v>
      </c>
      <c r="F8721" t="s">
        <v>42</v>
      </c>
      <c r="G8721">
        <v>-301.85210000000001</v>
      </c>
      <c r="H8721">
        <v>0.89263009999999998</v>
      </c>
      <c r="I8721">
        <v>-21.06953</v>
      </c>
      <c r="J8721">
        <v>-301.81729999999999</v>
      </c>
      <c r="K8721">
        <v>1.1201449999999999</v>
      </c>
      <c r="L8721">
        <v>-20.4877</v>
      </c>
      <c r="M8721">
        <v>2.6902829999999999E-2</v>
      </c>
      <c r="N8721">
        <v>-3.2594490000000002E-3</v>
      </c>
      <c r="O8721">
        <v>-0.99963299999999999</v>
      </c>
      <c r="P8721">
        <v>8.9517529999999998E-2</v>
      </c>
      <c r="Q8721">
        <v>0.1207298</v>
      </c>
      <c r="R8721">
        <v>-0.98864160000000001</v>
      </c>
      <c r="S8721">
        <v>-0.1085815</v>
      </c>
      <c r="T8721">
        <v>-0.87311380000000005</v>
      </c>
      <c r="U8721">
        <v>-3.152374</v>
      </c>
      <c r="V8721">
        <v>-6.2839030000000004E-2</v>
      </c>
      <c r="W8721">
        <v>0.1239833</v>
      </c>
      <c r="X8721">
        <v>0.99029259999999997</v>
      </c>
      <c r="Y8721">
        <v>6.0054820000000002E-2</v>
      </c>
      <c r="Z8721">
        <v>0.26331759999999999</v>
      </c>
      <c r="AA8721">
        <v>0.96283810000000003</v>
      </c>
      <c r="AB8721">
        <v>20</v>
      </c>
      <c r="AC8721">
        <v>-3.4800000000018302E-2</v>
      </c>
      <c r="AD8721">
        <v>-0.22751489999999999</v>
      </c>
      <c r="AE8721">
        <v>-0.58182999999999996</v>
      </c>
      <c r="AF8721">
        <v>4.3771278289332499E-2</v>
      </c>
      <c r="AG8721">
        <v>-0.22751489999999999</v>
      </c>
      <c r="AH8721">
        <v>0.50390692759459199</v>
      </c>
      <c r="AI8721">
        <v>114.218598575079</v>
      </c>
      <c r="AJ8721">
        <v>85.035531138911693</v>
      </c>
      <c r="AK8721">
        <v>0.55461801828187396</v>
      </c>
      <c r="AL8721">
        <v>82.8779536892485</v>
      </c>
      <c r="AM8721">
        <v>93.630836432153899</v>
      </c>
      <c r="AN8721">
        <v>1.0000000179924899</v>
      </c>
    </row>
    <row r="8722" spans="1:40" x14ac:dyDescent="0.25">
      <c r="A8722" t="str">
        <f>"20190303162122533"</f>
        <v>20190303162122533</v>
      </c>
      <c r="B8722" t="str">
        <f>"1551601282521107"</f>
        <v>1551601282521107</v>
      </c>
      <c r="C8722" t="s">
        <v>40</v>
      </c>
      <c r="D8722">
        <v>4.9165320000000001</v>
      </c>
      <c r="E8722">
        <v>0.54786279999999998</v>
      </c>
      <c r="F8722" t="s">
        <v>42</v>
      </c>
      <c r="G8722">
        <v>-301.84289999999999</v>
      </c>
      <c r="H8722">
        <v>0.9029874</v>
      </c>
      <c r="I8722">
        <v>-21.259219999999999</v>
      </c>
      <c r="J8722">
        <v>-301.8125</v>
      </c>
      <c r="K8722">
        <v>1.1201289999999999</v>
      </c>
      <c r="L8722">
        <v>-20.677489999999999</v>
      </c>
      <c r="M8722">
        <v>2.6669060000000001E-2</v>
      </c>
      <c r="N8722">
        <v>-3.1654420000000001E-3</v>
      </c>
      <c r="O8722">
        <v>-0.99963939999999996</v>
      </c>
      <c r="P8722">
        <v>8.8439719999999999E-2</v>
      </c>
      <c r="Q8722">
        <v>0.1200112</v>
      </c>
      <c r="R8722">
        <v>-0.98882570000000003</v>
      </c>
      <c r="S8722">
        <v>-0.1046448</v>
      </c>
      <c r="T8722">
        <v>-0.88727900000000004</v>
      </c>
      <c r="U8722">
        <v>-3.1523129999999999</v>
      </c>
      <c r="V8722">
        <v>-6.1985409999999998E-2</v>
      </c>
      <c r="W8722">
        <v>0.123172699999999</v>
      </c>
      <c r="X8722">
        <v>0.99044750000000004</v>
      </c>
      <c r="Y8722">
        <v>5.8584289999999997E-2</v>
      </c>
      <c r="Z8722">
        <v>0.26744479999999998</v>
      </c>
      <c r="AA8722">
        <v>0.96179060000000005</v>
      </c>
      <c r="AB8722">
        <v>21</v>
      </c>
      <c r="AC8722">
        <v>-3.03999999999859E-2</v>
      </c>
      <c r="AD8722">
        <v>-0.21714159999999999</v>
      </c>
      <c r="AE8722">
        <v>-0.58173000000000297</v>
      </c>
      <c r="AF8722">
        <v>4.03033083987413E-2</v>
      </c>
      <c r="AG8722">
        <v>-0.21714159999999999</v>
      </c>
      <c r="AH8722">
        <v>0.50986637753937503</v>
      </c>
      <c r="AI8722">
        <v>113.003897371747</v>
      </c>
      <c r="AJ8722">
        <v>85.480349548431604</v>
      </c>
      <c r="AK8722">
        <v>0.55564246963633801</v>
      </c>
      <c r="AL8722">
        <v>82.924756111084406</v>
      </c>
      <c r="AM8722">
        <v>93.581084886027497</v>
      </c>
      <c r="AN8722">
        <v>0.99999997766720305</v>
      </c>
    </row>
    <row r="8723" spans="1:40" x14ac:dyDescent="0.25">
      <c r="A8723" t="str">
        <f>"20190303162122554"</f>
        <v>20190303162122554</v>
      </c>
      <c r="B8723" t="str">
        <f>"1551601282541604"</f>
        <v>1551601282541604</v>
      </c>
      <c r="C8723" t="s">
        <v>40</v>
      </c>
      <c r="D8723">
        <v>4.8967409999999996</v>
      </c>
      <c r="E8723">
        <v>0.54787859999999999</v>
      </c>
      <c r="F8723" t="s">
        <v>42</v>
      </c>
      <c r="G8723">
        <v>-301.83890000000002</v>
      </c>
      <c r="H8723">
        <v>0.9033388</v>
      </c>
      <c r="I8723">
        <v>-21.445920000000001</v>
      </c>
      <c r="J8723">
        <v>-301.8075</v>
      </c>
      <c r="K8723">
        <v>1.120117</v>
      </c>
      <c r="L8723">
        <v>-20.872160000000001</v>
      </c>
      <c r="M8723">
        <v>2.642195E-2</v>
      </c>
      <c r="N8723">
        <v>-3.0862210000000001E-3</v>
      </c>
      <c r="O8723">
        <v>-0.99964629999999999</v>
      </c>
      <c r="P8723">
        <v>8.7676829999999997E-2</v>
      </c>
      <c r="Q8723">
        <v>0.1197309</v>
      </c>
      <c r="R8723">
        <v>-0.98892769999999997</v>
      </c>
      <c r="S8723">
        <v>-0.10696410000000001</v>
      </c>
      <c r="T8723">
        <v>-0.88902680000000001</v>
      </c>
      <c r="U8723">
        <v>-3.151367</v>
      </c>
      <c r="V8723">
        <v>-6.1463919999999998E-2</v>
      </c>
      <c r="W8723">
        <v>0.12281499999999999</v>
      </c>
      <c r="X8723">
        <v>0.99052439999999997</v>
      </c>
      <c r="Y8723">
        <v>5.9048499999999997E-2</v>
      </c>
      <c r="Z8723">
        <v>0.2680863</v>
      </c>
      <c r="AA8723">
        <v>0.96158359999999998</v>
      </c>
      <c r="AB8723">
        <v>21</v>
      </c>
      <c r="AC8723">
        <v>-3.14000000000191E-2</v>
      </c>
      <c r="AD8723">
        <v>-0.21677819999999901</v>
      </c>
      <c r="AE8723">
        <v>-0.57376000000000005</v>
      </c>
      <c r="AF8723">
        <v>4.07494268316171E-2</v>
      </c>
      <c r="AG8723">
        <v>-0.21677819999999901</v>
      </c>
      <c r="AH8723">
        <v>0.50137356718312598</v>
      </c>
      <c r="AI8723">
        <v>113.31351061338501</v>
      </c>
      <c r="AJ8723">
        <v>85.353465635457695</v>
      </c>
      <c r="AK8723">
        <v>0.54774880890083</v>
      </c>
      <c r="AL8723">
        <v>82.945407501218099</v>
      </c>
      <c r="AM8723">
        <v>93.550759265618893</v>
      </c>
      <c r="AN8723">
        <v>0.99999996234106203</v>
      </c>
    </row>
    <row r="8724" spans="1:40" x14ac:dyDescent="0.25">
      <c r="A8724" t="str">
        <f>"20190303162122575"</f>
        <v>20190303162122575</v>
      </c>
      <c r="B8724" t="str">
        <f>"1551601282570884"</f>
        <v>1551601282570884</v>
      </c>
      <c r="C8724" t="s">
        <v>40</v>
      </c>
      <c r="D8724">
        <v>4.9759989999999998</v>
      </c>
      <c r="E8724">
        <v>0.54794370000000003</v>
      </c>
      <c r="F8724" t="s">
        <v>42</v>
      </c>
      <c r="G8724">
        <v>-301.83370000000002</v>
      </c>
      <c r="H8724">
        <v>0.90521039999999997</v>
      </c>
      <c r="I8724">
        <v>-21.634699999999999</v>
      </c>
      <c r="J8724">
        <v>-301.80250000000001</v>
      </c>
      <c r="K8724">
        <v>1.1201139999999901</v>
      </c>
      <c r="L8724">
        <v>-21.07394</v>
      </c>
      <c r="M8724">
        <v>2.6161520000000001E-2</v>
      </c>
      <c r="N8724">
        <v>-3.0195600000000001E-3</v>
      </c>
      <c r="O8724">
        <v>-0.99965349999999997</v>
      </c>
      <c r="P8724">
        <v>8.7659390000000004E-2</v>
      </c>
      <c r="Q8724">
        <v>0.1190104</v>
      </c>
      <c r="R8724">
        <v>-0.98901589999999995</v>
      </c>
      <c r="S8724">
        <v>-0.10812380000000001</v>
      </c>
      <c r="T8724">
        <v>-0.88794340000000005</v>
      </c>
      <c r="U8724">
        <v>-3.150665</v>
      </c>
      <c r="V8724">
        <v>-6.1701390000000002E-2</v>
      </c>
      <c r="W8724">
        <v>0.1220289</v>
      </c>
      <c r="X8724">
        <v>0.99060680000000001</v>
      </c>
      <c r="Y8724">
        <v>5.9151559999999999E-2</v>
      </c>
      <c r="Z8724">
        <v>0.26790049999999999</v>
      </c>
      <c r="AA8724">
        <v>0.96162899999999996</v>
      </c>
      <c r="AB8724">
        <v>21</v>
      </c>
      <c r="AC8724">
        <v>-3.1200000000012499E-2</v>
      </c>
      <c r="AD8724">
        <v>-0.214903599999999</v>
      </c>
      <c r="AE8724">
        <v>-0.56075999999999804</v>
      </c>
      <c r="AF8724">
        <v>4.0002655426153E-2</v>
      </c>
      <c r="AG8724">
        <v>-0.214903599999999</v>
      </c>
      <c r="AH8724">
        <v>0.48826204727431299</v>
      </c>
      <c r="AI8724">
        <v>113.68562472148599</v>
      </c>
      <c r="AJ8724">
        <v>85.316294337086902</v>
      </c>
      <c r="AK8724">
        <v>0.53496130378056905</v>
      </c>
      <c r="AL8724">
        <v>82.990789145758299</v>
      </c>
      <c r="AM8724">
        <v>93.564146831701706</v>
      </c>
      <c r="AN8724">
        <v>0.99999997308469002</v>
      </c>
    </row>
    <row r="8725" spans="1:40" x14ac:dyDescent="0.25">
      <c r="A8725" t="str">
        <f>"20190303162122599"</f>
        <v>20190303162122599</v>
      </c>
      <c r="B8725" t="str">
        <f>"1551601282591380"</f>
        <v>1551601282591380</v>
      </c>
      <c r="C8725" t="s">
        <v>40</v>
      </c>
      <c r="D8725">
        <v>4.9580549999999999</v>
      </c>
      <c r="E8725">
        <v>0.54824050000000002</v>
      </c>
      <c r="F8725" t="s">
        <v>42</v>
      </c>
      <c r="G8725">
        <v>-301.82870000000003</v>
      </c>
      <c r="H8725">
        <v>0.90913940000000004</v>
      </c>
      <c r="I8725">
        <v>-21.825769999999999</v>
      </c>
      <c r="J8725">
        <v>-301.7971</v>
      </c>
      <c r="K8725">
        <v>1.120101</v>
      </c>
      <c r="L8725">
        <v>-21.291350000000001</v>
      </c>
      <c r="M8725">
        <v>2.5879329999999999E-2</v>
      </c>
      <c r="N8725">
        <v>-2.9624220000000001E-3</v>
      </c>
      <c r="O8725">
        <v>-0.99966060000000001</v>
      </c>
      <c r="P8725">
        <v>8.7672730000000004E-2</v>
      </c>
      <c r="Q8725">
        <v>0.1183937</v>
      </c>
      <c r="R8725">
        <v>-0.98908870000000004</v>
      </c>
      <c r="S8725">
        <v>-0.1088562</v>
      </c>
      <c r="T8725">
        <v>-0.88370409999999899</v>
      </c>
      <c r="U8725">
        <v>-3.149292</v>
      </c>
      <c r="V8725">
        <v>-6.1993260000000001E-2</v>
      </c>
      <c r="W8725">
        <v>0.1213559</v>
      </c>
      <c r="X8725">
        <v>0.99067130000000003</v>
      </c>
      <c r="Y8725">
        <v>5.9118070000000002E-2</v>
      </c>
      <c r="Z8725">
        <v>0.26686729999999997</v>
      </c>
      <c r="AA8725">
        <v>0.96191839999999995</v>
      </c>
      <c r="AB8725">
        <v>21</v>
      </c>
      <c r="AC8725">
        <v>-3.1600000000025802E-2</v>
      </c>
      <c r="AD8725">
        <v>-0.2109616</v>
      </c>
      <c r="AE8725">
        <v>-0.53442000000000001</v>
      </c>
      <c r="AF8725">
        <v>3.9314943058603898E-2</v>
      </c>
      <c r="AG8725">
        <v>-0.2109616</v>
      </c>
      <c r="AH8725">
        <v>0.46172490345388301</v>
      </c>
      <c r="AI8725">
        <v>114.47747479378</v>
      </c>
      <c r="AJ8725">
        <v>85.133119349036704</v>
      </c>
      <c r="AK8725">
        <v>0.50915650628442299</v>
      </c>
      <c r="AL8725">
        <v>83.029638277316394</v>
      </c>
      <c r="AM8725">
        <v>93.580730233369295</v>
      </c>
      <c r="AN8725">
        <v>1.00000002169696</v>
      </c>
    </row>
    <row r="8726" spans="1:40" x14ac:dyDescent="0.25">
      <c r="A8726" t="str">
        <f>"20190303162122620"</f>
        <v>20190303162122620</v>
      </c>
      <c r="B8726" t="str">
        <f>"1551601282610900"</f>
        <v>1551601282610900</v>
      </c>
      <c r="C8726" t="s">
        <v>40</v>
      </c>
      <c r="D8726">
        <v>4.9228860000000001</v>
      </c>
      <c r="E8726">
        <v>0.54834259999999901</v>
      </c>
      <c r="F8726" t="s">
        <v>42</v>
      </c>
      <c r="G8726">
        <v>-301.82299999999998</v>
      </c>
      <c r="H8726">
        <v>0.91467419999999999</v>
      </c>
      <c r="I8726">
        <v>-22.018920000000001</v>
      </c>
      <c r="J8726">
        <v>-301.7921</v>
      </c>
      <c r="K8726">
        <v>1.1200909999999999</v>
      </c>
      <c r="L8726">
        <v>-21.496860000000002</v>
      </c>
      <c r="M8726">
        <v>2.5613319999999998E-2</v>
      </c>
      <c r="N8726">
        <v>-2.9239100000000001E-3</v>
      </c>
      <c r="O8726">
        <v>-0.9996678</v>
      </c>
      <c r="P8726">
        <v>8.7425390000000006E-2</v>
      </c>
      <c r="Q8726">
        <v>0.118355</v>
      </c>
      <c r="R8726">
        <v>-0.98911559999999998</v>
      </c>
      <c r="S8726">
        <v>-0.111969</v>
      </c>
      <c r="T8726">
        <v>-0.88922199999999996</v>
      </c>
      <c r="U8726">
        <v>-3.1494450000000001</v>
      </c>
      <c r="V8726">
        <v>-6.2008969999999997E-2</v>
      </c>
      <c r="W8726">
        <v>0.1212792</v>
      </c>
      <c r="X8726">
        <v>0.99067969999999905</v>
      </c>
      <c r="Y8726">
        <v>5.9784669999999998E-2</v>
      </c>
      <c r="Z8726">
        <v>0.26844679999999999</v>
      </c>
      <c r="AA8726">
        <v>0.96143749999999994</v>
      </c>
      <c r="AB8726">
        <v>21</v>
      </c>
      <c r="AC8726">
        <v>-3.0899999999974101E-2</v>
      </c>
      <c r="AD8726">
        <v>-0.20541679999999901</v>
      </c>
      <c r="AE8726">
        <v>-0.52205999999999897</v>
      </c>
      <c r="AF8726">
        <v>3.8345610498558197E-2</v>
      </c>
      <c r="AG8726">
        <v>-0.20541679999999901</v>
      </c>
      <c r="AH8726">
        <v>0.45144752051843301</v>
      </c>
      <c r="AI8726">
        <v>114.38885234750499</v>
      </c>
      <c r="AJ8726">
        <v>85.144993266394195</v>
      </c>
      <c r="AK8726">
        <v>0.49746488453858601</v>
      </c>
      <c r="AL8726">
        <v>83.034065499155304</v>
      </c>
      <c r="AM8726">
        <v>93.581604991362894</v>
      </c>
      <c r="AN8726">
        <v>1.0000000123525901</v>
      </c>
    </row>
    <row r="8727" spans="1:40" x14ac:dyDescent="0.25">
      <c r="A8727" t="str">
        <f>"20190303162122642"</f>
        <v>20190303162122642</v>
      </c>
      <c r="B8727" t="str">
        <f>"1551601282631395"</f>
        <v>1551601282631395</v>
      </c>
      <c r="C8727" t="s">
        <v>40</v>
      </c>
      <c r="D8727">
        <v>4.9737790000000004</v>
      </c>
      <c r="E8727">
        <v>0.54831269999999999</v>
      </c>
      <c r="F8727" t="s">
        <v>42</v>
      </c>
      <c r="G8727">
        <v>-301.81810000000002</v>
      </c>
      <c r="H8727">
        <v>0.91656040000000005</v>
      </c>
      <c r="I8727">
        <v>-22.21181</v>
      </c>
      <c r="J8727">
        <v>-301.78680000000003</v>
      </c>
      <c r="K8727">
        <v>1.120093</v>
      </c>
      <c r="L8727">
        <v>-21.712890000000002</v>
      </c>
      <c r="M8727">
        <v>2.5336439999999998E-2</v>
      </c>
      <c r="N8727">
        <v>-2.903363E-3</v>
      </c>
      <c r="O8727">
        <v>-0.99967490000000003</v>
      </c>
      <c r="P8727">
        <v>8.7487170000000003E-2</v>
      </c>
      <c r="Q8727">
        <v>0.11856940000000001</v>
      </c>
      <c r="R8727">
        <v>-0.98908410000000002</v>
      </c>
      <c r="S8727">
        <v>-0.113525399999999</v>
      </c>
      <c r="T8727">
        <v>-0.89679039999999999</v>
      </c>
      <c r="U8727">
        <v>-3.15036</v>
      </c>
      <c r="V8727">
        <v>-6.2346169999999999E-2</v>
      </c>
      <c r="W8727">
        <v>0.12147330000000001</v>
      </c>
      <c r="X8727">
        <v>0.99063469999999998</v>
      </c>
      <c r="Y8727">
        <v>5.9951549999999999E-2</v>
      </c>
      <c r="Z8727">
        <v>0.2705304</v>
      </c>
      <c r="AA8727">
        <v>0.96084290000000006</v>
      </c>
      <c r="AB8727">
        <v>21</v>
      </c>
      <c r="AC8727">
        <v>-3.12999999999874E-2</v>
      </c>
      <c r="AD8727">
        <v>-0.20353260000000001</v>
      </c>
      <c r="AE8727">
        <v>-0.49892000000000097</v>
      </c>
      <c r="AF8727">
        <v>3.7684056480683598E-2</v>
      </c>
      <c r="AG8727">
        <v>-0.20353260000000001</v>
      </c>
      <c r="AH8727">
        <v>0.42715778824263501</v>
      </c>
      <c r="AI8727">
        <v>115.39077572970101</v>
      </c>
      <c r="AJ8727">
        <v>84.958392310324598</v>
      </c>
      <c r="AK8727">
        <v>0.47466765576763198</v>
      </c>
      <c r="AL8727">
        <v>83.022861173086199</v>
      </c>
      <c r="AM8727">
        <v>93.601193520247605</v>
      </c>
      <c r="AN8727">
        <v>0.99999995818532295</v>
      </c>
    </row>
    <row r="8728" spans="1:40" x14ac:dyDescent="0.25">
      <c r="A8728" t="str">
        <f>"20190303162122665"</f>
        <v>20190303162122665</v>
      </c>
      <c r="B8728" t="str">
        <f>"1551601282650916"</f>
        <v>1551601282650916</v>
      </c>
      <c r="C8728" t="s">
        <v>40</v>
      </c>
      <c r="D8728">
        <v>4.9370099999999999</v>
      </c>
      <c r="E8728">
        <v>0.54835990000000001</v>
      </c>
      <c r="F8728" t="s">
        <v>42</v>
      </c>
      <c r="G8728">
        <v>-301.81189999999998</v>
      </c>
      <c r="H8728">
        <v>0.92111209999999999</v>
      </c>
      <c r="I8728">
        <v>-22.407219999999999</v>
      </c>
      <c r="J8728">
        <v>-301.78160000000003</v>
      </c>
      <c r="K8728">
        <v>1.1200870000000001</v>
      </c>
      <c r="L8728">
        <v>-21.930789999999998</v>
      </c>
      <c r="M8728">
        <v>2.5060220000000001E-2</v>
      </c>
      <c r="N8728">
        <v>-2.9026400000000002E-3</v>
      </c>
      <c r="O8728">
        <v>-0.99968210000000002</v>
      </c>
      <c r="P8728">
        <v>8.8369669999999997E-2</v>
      </c>
      <c r="Q8728">
        <v>0.119037</v>
      </c>
      <c r="R8728">
        <v>-0.98894979999999999</v>
      </c>
      <c r="S8728">
        <v>-0.1132507</v>
      </c>
      <c r="T8728">
        <v>-0.90310239999999997</v>
      </c>
      <c r="U8728">
        <v>-3.1513979999999999</v>
      </c>
      <c r="V8728">
        <v>-6.3505919999999993E-2</v>
      </c>
      <c r="W8728">
        <v>0.1219404</v>
      </c>
      <c r="X8728">
        <v>0.99050369999999999</v>
      </c>
      <c r="Y8728">
        <v>5.9563520000000002E-2</v>
      </c>
      <c r="Z8728">
        <v>0.27223360000000002</v>
      </c>
      <c r="AA8728">
        <v>0.96038590000000001</v>
      </c>
      <c r="AB8728">
        <v>21</v>
      </c>
      <c r="AC8728">
        <v>-3.02999999999542E-2</v>
      </c>
      <c r="AD8728">
        <v>-0.19897490000000001</v>
      </c>
      <c r="AE8728">
        <v>-0.47643000000000402</v>
      </c>
      <c r="AF8728">
        <v>3.5979650180219397E-2</v>
      </c>
      <c r="AG8728">
        <v>-0.19897490000000001</v>
      </c>
      <c r="AH8728">
        <v>0.40514072493675402</v>
      </c>
      <c r="AI8728">
        <v>116.06788353331299</v>
      </c>
      <c r="AJ8728">
        <v>84.925002685115402</v>
      </c>
      <c r="AK8728">
        <v>0.45279637041321302</v>
      </c>
      <c r="AL8728">
        <v>82.995898315083394</v>
      </c>
      <c r="AM8728">
        <v>93.668484717475494</v>
      </c>
      <c r="AN8728">
        <v>1.0000000213704401</v>
      </c>
    </row>
    <row r="8729" spans="1:40" x14ac:dyDescent="0.25">
      <c r="A8729" t="str">
        <f>"20190303162122690"</f>
        <v>20190303162122690</v>
      </c>
      <c r="B8729" t="str">
        <f>"1551601282681678"</f>
        <v>1551601282681678</v>
      </c>
      <c r="C8729" t="s">
        <v>40</v>
      </c>
      <c r="D8729">
        <v>4.9244240000000001</v>
      </c>
      <c r="E8729">
        <v>0.54848580000000002</v>
      </c>
      <c r="F8729" t="s">
        <v>42</v>
      </c>
      <c r="G8729">
        <v>-301.80560000000003</v>
      </c>
      <c r="H8729">
        <v>0.92649099999999995</v>
      </c>
      <c r="I8729">
        <v>-22.604299999999999</v>
      </c>
      <c r="J8729">
        <v>-301.77589999999998</v>
      </c>
      <c r="K8729">
        <v>1.120085</v>
      </c>
      <c r="L8729">
        <v>-22.170500000000001</v>
      </c>
      <c r="M8729">
        <v>2.4759380000000001E-2</v>
      </c>
      <c r="N8729">
        <v>-2.9200799999999998E-3</v>
      </c>
      <c r="O8729">
        <v>-0.99968950000000001</v>
      </c>
      <c r="P8729">
        <v>8.9783810000000006E-2</v>
      </c>
      <c r="Q8729">
        <v>0.11935369999999999</v>
      </c>
      <c r="R8729">
        <v>-0.98878410000000005</v>
      </c>
      <c r="S8729">
        <v>-0.1113281</v>
      </c>
      <c r="T8729">
        <v>-0.906111</v>
      </c>
      <c r="U8729">
        <v>-3.1525270000000001</v>
      </c>
      <c r="V8729">
        <v>-6.5221379999999995E-2</v>
      </c>
      <c r="W8729">
        <v>0.1222746</v>
      </c>
      <c r="X8729">
        <v>0.99035099999999998</v>
      </c>
      <c r="Y8729">
        <v>5.8658479999999999E-2</v>
      </c>
      <c r="Z8729">
        <v>0.27298600000000001</v>
      </c>
      <c r="AA8729">
        <v>0.96022799999999997</v>
      </c>
      <c r="AB8729">
        <v>22</v>
      </c>
      <c r="AC8729">
        <v>-2.9700000000048001E-2</v>
      </c>
      <c r="AD8729">
        <v>-0.19359399999999999</v>
      </c>
      <c r="AE8729">
        <v>-0.43379999999999802</v>
      </c>
      <c r="AF8729">
        <v>3.3742678359957701E-2</v>
      </c>
      <c r="AG8729">
        <v>-0.19359399999999999</v>
      </c>
      <c r="AH8729">
        <v>0.36130871352819299</v>
      </c>
      <c r="AI8729">
        <v>118.079556511833</v>
      </c>
      <c r="AJ8729">
        <v>84.664613357325095</v>
      </c>
      <c r="AK8729">
        <v>0.41129210015547502</v>
      </c>
      <c r="AL8729">
        <v>82.976605579308199</v>
      </c>
      <c r="AM8729">
        <v>93.767877595852397</v>
      </c>
      <c r="AN8729">
        <v>1.0000000047076301</v>
      </c>
    </row>
    <row r="8730" spans="1:40" x14ac:dyDescent="0.25">
      <c r="A8730" t="str">
        <f>"20190303162122711"</f>
        <v>20190303162122711</v>
      </c>
      <c r="B8730" t="str">
        <f>"1551601282701199"</f>
        <v>1551601282701199</v>
      </c>
      <c r="C8730" t="s">
        <v>40</v>
      </c>
      <c r="D8730">
        <v>4.8913479999999998</v>
      </c>
      <c r="E8730">
        <v>0.54857389999999995</v>
      </c>
      <c r="F8730" t="s">
        <v>42</v>
      </c>
      <c r="G8730">
        <v>-301.80410000000001</v>
      </c>
      <c r="H8730">
        <v>0.88693330000000004</v>
      </c>
      <c r="I8730">
        <v>-22.980319999999999</v>
      </c>
      <c r="J8730">
        <v>-301.77080000000001</v>
      </c>
      <c r="K8730">
        <v>1.12008</v>
      </c>
      <c r="L8730">
        <v>-22.392060000000001</v>
      </c>
      <c r="M8730">
        <v>2.4483080000000001E-2</v>
      </c>
      <c r="N8730">
        <v>-2.948272E-3</v>
      </c>
      <c r="O8730">
        <v>-0.99969609999999998</v>
      </c>
      <c r="P8730">
        <v>9.1884400000000005E-2</v>
      </c>
      <c r="Q8730">
        <v>0.120154399999999</v>
      </c>
      <c r="R8730">
        <v>-0.98849430000000005</v>
      </c>
      <c r="S8730">
        <v>-0.1089783</v>
      </c>
      <c r="T8730">
        <v>-0.9078832</v>
      </c>
      <c r="U8730">
        <v>-3.1535340000000001</v>
      </c>
      <c r="V8730">
        <v>-6.7601850000000005E-2</v>
      </c>
      <c r="W8730">
        <v>0.1231032</v>
      </c>
      <c r="X8730">
        <v>0.99008870000000004</v>
      </c>
      <c r="Y8730">
        <v>5.7653330000000003E-2</v>
      </c>
      <c r="Z8730">
        <v>0.27339020000000003</v>
      </c>
      <c r="AA8730">
        <v>0.96017390000000002</v>
      </c>
      <c r="AB8730">
        <v>22</v>
      </c>
      <c r="AC8730">
        <v>-3.3299999999996999E-2</v>
      </c>
      <c r="AD8730">
        <v>-0.23314670000000001</v>
      </c>
      <c r="AE8730">
        <v>-0.588260000000001</v>
      </c>
      <c r="AF8730">
        <v>4.1235868575992797E-2</v>
      </c>
      <c r="AG8730">
        <v>-0.23314670000000001</v>
      </c>
      <c r="AH8730">
        <v>0.50776378600024497</v>
      </c>
      <c r="AI8730">
        <v>114.591533560516</v>
      </c>
      <c r="AJ8730">
        <v>85.357156735329198</v>
      </c>
      <c r="AK8730">
        <v>0.560251588977139</v>
      </c>
      <c r="AL8730">
        <v>82.928769012864905</v>
      </c>
      <c r="AM8730">
        <v>93.906012066874098</v>
      </c>
      <c r="AN8730">
        <v>1.0000000209206701</v>
      </c>
    </row>
    <row r="8731" spans="1:40" x14ac:dyDescent="0.25">
      <c r="A8731" t="str">
        <f>"20190303162122734"</f>
        <v>20190303162122734</v>
      </c>
      <c r="B8731" t="str">
        <f>"1551601282721696"</f>
        <v>1551601282721696</v>
      </c>
      <c r="C8731" t="s">
        <v>40</v>
      </c>
      <c r="D8731">
        <v>4.9033419999999897</v>
      </c>
      <c r="E8731">
        <v>0.548427</v>
      </c>
      <c r="F8731" t="s">
        <v>42</v>
      </c>
      <c r="G8731">
        <v>-301.79700000000003</v>
      </c>
      <c r="H8731">
        <v>0.89334760000000002</v>
      </c>
      <c r="I8731">
        <v>-23.181629999999998</v>
      </c>
      <c r="J8731">
        <v>-301.76560000000001</v>
      </c>
      <c r="K8731">
        <v>1.120088</v>
      </c>
      <c r="L8731">
        <v>-22.612670000000001</v>
      </c>
      <c r="M8731">
        <v>2.4208690000000001E-2</v>
      </c>
      <c r="N8731">
        <v>-2.9851069999999999E-3</v>
      </c>
      <c r="O8731">
        <v>-0.9997026</v>
      </c>
      <c r="P8731">
        <v>9.568219E-2</v>
      </c>
      <c r="Q8731">
        <v>0.1211552</v>
      </c>
      <c r="R8731">
        <v>-0.98801130000000004</v>
      </c>
      <c r="S8731">
        <v>-0.103241</v>
      </c>
      <c r="T8731">
        <v>-0.90581460000000003</v>
      </c>
      <c r="U8731">
        <v>-3.154633</v>
      </c>
      <c r="V8731">
        <v>-7.1680850000000004E-2</v>
      </c>
      <c r="W8731">
        <v>0.1241418</v>
      </c>
      <c r="X8731">
        <v>0.989672</v>
      </c>
      <c r="Y8731">
        <v>5.5630440000000003E-2</v>
      </c>
      <c r="Z8731">
        <v>0.27271079999999998</v>
      </c>
      <c r="AA8731">
        <v>0.96048639999999996</v>
      </c>
      <c r="AB8731">
        <v>22</v>
      </c>
      <c r="AC8731">
        <v>-3.14000000000191E-2</v>
      </c>
      <c r="AD8731">
        <v>-0.22674039999999901</v>
      </c>
      <c r="AE8731">
        <v>-0.56895999999999702</v>
      </c>
      <c r="AF8731">
        <v>3.89910350149104E-2</v>
      </c>
      <c r="AG8731">
        <v>-0.22674039999999901</v>
      </c>
      <c r="AH8731">
        <v>0.49038809163126201</v>
      </c>
      <c r="AI8731">
        <v>114.74566902475399</v>
      </c>
      <c r="AJ8731">
        <v>85.453943960241105</v>
      </c>
      <c r="AK8731">
        <v>0.54167517039037805</v>
      </c>
      <c r="AL8731">
        <v>82.868801468092499</v>
      </c>
      <c r="AM8731">
        <v>94.142636127009197</v>
      </c>
      <c r="AN8731">
        <v>0.99999999917398097</v>
      </c>
    </row>
    <row r="8732" spans="1:40" x14ac:dyDescent="0.25">
      <c r="A8732" t="str">
        <f>"20190303162122757"</f>
        <v>20190303162122757</v>
      </c>
      <c r="B8732" t="str">
        <f>"1551601282751952"</f>
        <v>1551601282751952</v>
      </c>
      <c r="C8732" t="s">
        <v>40</v>
      </c>
      <c r="D8732">
        <v>4.7771410000000003</v>
      </c>
      <c r="E8732">
        <v>0.53596299999999997</v>
      </c>
      <c r="F8732" t="s">
        <v>42</v>
      </c>
      <c r="G8732">
        <v>-301.7876</v>
      </c>
      <c r="H8732">
        <v>0.89881929999999999</v>
      </c>
      <c r="I8732">
        <v>-23.383890000000001</v>
      </c>
      <c r="J8732">
        <v>-301.76029999999997</v>
      </c>
      <c r="K8732">
        <v>1.120085</v>
      </c>
      <c r="L8732">
        <v>-22.84573</v>
      </c>
      <c r="M8732">
        <v>2.391772E-2</v>
      </c>
      <c r="N8732">
        <v>-3.0296540000000001E-3</v>
      </c>
      <c r="O8732">
        <v>-0.99970970000000003</v>
      </c>
      <c r="P8732">
        <v>0.1010104</v>
      </c>
      <c r="Q8732">
        <v>0.1225632</v>
      </c>
      <c r="R8732">
        <v>-0.98730739999999995</v>
      </c>
      <c r="S8732">
        <v>-8.9355470000000006E-2</v>
      </c>
      <c r="T8732">
        <v>-0.90548249999999997</v>
      </c>
      <c r="U8732">
        <v>-3.1560969999999999</v>
      </c>
      <c r="V8732">
        <v>-7.7311840000000007E-2</v>
      </c>
      <c r="W8732">
        <v>0.125594699999999</v>
      </c>
      <c r="X8732">
        <v>0.98906459999999996</v>
      </c>
      <c r="Y8732">
        <v>5.1106289999999999E-2</v>
      </c>
      <c r="Z8732">
        <v>0.27251009999999998</v>
      </c>
      <c r="AA8732">
        <v>0.9607947</v>
      </c>
      <c r="AB8732">
        <v>22</v>
      </c>
      <c r="AC8732">
        <v>-2.73000000000252E-2</v>
      </c>
      <c r="AD8732">
        <v>-0.22126569999999901</v>
      </c>
      <c r="AE8732">
        <v>-0.53816000000000097</v>
      </c>
      <c r="AF8732">
        <v>3.4368802728135098E-2</v>
      </c>
      <c r="AG8732">
        <v>-0.22126569999999901</v>
      </c>
      <c r="AH8732">
        <v>0.45982153435194401</v>
      </c>
      <c r="AI8732">
        <v>115.634511539619</v>
      </c>
      <c r="AJ8732">
        <v>85.725444772266002</v>
      </c>
      <c r="AK8732">
        <v>0.51144458942414395</v>
      </c>
      <c r="AL8732">
        <v>82.784899511532998</v>
      </c>
      <c r="AM8732">
        <v>94.469529425109002</v>
      </c>
      <c r="AN8732">
        <v>0.99999996612271702</v>
      </c>
    </row>
    <row r="8733" spans="1:40" x14ac:dyDescent="0.25">
      <c r="A8733" t="str">
        <f>"20190303162122776"</f>
        <v>20190303162122776</v>
      </c>
      <c r="B8733" t="str">
        <f>"1551601282771472"</f>
        <v>1551601282771472</v>
      </c>
      <c r="C8733" t="s">
        <v>40</v>
      </c>
      <c r="D8733">
        <v>4.8318669999999999</v>
      </c>
      <c r="E8733">
        <v>0.47825289999999998</v>
      </c>
      <c r="F8733" t="s">
        <v>42</v>
      </c>
      <c r="G8733">
        <v>-301.75400000000002</v>
      </c>
      <c r="H8733">
        <v>0.94355060000000002</v>
      </c>
      <c r="I8733">
        <v>-23.604980000000001</v>
      </c>
      <c r="J8733">
        <v>-301.75569999999999</v>
      </c>
      <c r="K8733">
        <v>1.1200810000000001</v>
      </c>
      <c r="L8733">
        <v>-23.047969999999999</v>
      </c>
      <c r="M8733">
        <v>2.3662140000000002E-2</v>
      </c>
      <c r="N8733">
        <v>-3.0719549999999999E-3</v>
      </c>
      <c r="O8733">
        <v>-0.99971569999999998</v>
      </c>
      <c r="P8733">
        <v>0.1069893</v>
      </c>
      <c r="Q8733">
        <v>0.1231138</v>
      </c>
      <c r="R8733">
        <v>-0.98660890000000001</v>
      </c>
      <c r="S8733">
        <v>2.5848389999999999E-2</v>
      </c>
      <c r="T8733">
        <v>-0.72685679999999997</v>
      </c>
      <c r="U8733">
        <v>-3.12616</v>
      </c>
      <c r="V8733">
        <v>-8.355667E-2</v>
      </c>
      <c r="W8733">
        <v>0.12618889999999999</v>
      </c>
      <c r="X8733">
        <v>0.98848100000000005</v>
      </c>
      <c r="Y8733">
        <v>1.559903E-2</v>
      </c>
      <c r="Z8733">
        <v>0.2233627</v>
      </c>
      <c r="AA8733">
        <v>0.97461059999999999</v>
      </c>
      <c r="AB8733">
        <v>22</v>
      </c>
      <c r="AC8733">
        <v>1.6999999999711599E-3</v>
      </c>
      <c r="AD8733">
        <v>-0.176530399999999</v>
      </c>
      <c r="AE8733">
        <v>-0.55700999999999801</v>
      </c>
      <c r="AF8733">
        <v>1.04327141073764E-2</v>
      </c>
      <c r="AG8733">
        <v>-0.176530399999999</v>
      </c>
      <c r="AH8733">
        <v>0.50606484866795398</v>
      </c>
      <c r="AI8733">
        <v>109.22649860867401</v>
      </c>
      <c r="AJ8733">
        <v>88.818993592700906</v>
      </c>
      <c r="AK8733">
        <v>0.53607224765429295</v>
      </c>
      <c r="AL8733">
        <v>82.750581724783302</v>
      </c>
      <c r="AM8733">
        <v>94.831747366547305</v>
      </c>
      <c r="AN8733">
        <v>1.00000002147284</v>
      </c>
    </row>
    <row r="8734" spans="1:40" x14ac:dyDescent="0.25">
      <c r="A8734" t="str">
        <f>"20190303162122799"</f>
        <v>20190303162122799</v>
      </c>
      <c r="B8734" t="str">
        <f>"1551601282791499"</f>
        <v>1551601282791499</v>
      </c>
      <c r="C8734" t="s">
        <v>40</v>
      </c>
      <c r="D8734">
        <v>4.9159930000000003</v>
      </c>
      <c r="E8734">
        <v>0.46661439999999998</v>
      </c>
      <c r="F8734" t="s">
        <v>41</v>
      </c>
      <c r="G8734">
        <v>-299.1764</v>
      </c>
      <c r="H8734" s="1">
        <v>-8.7746579999999999E-7</v>
      </c>
      <c r="I8734">
        <v>-38.662379999999999</v>
      </c>
      <c r="J8734">
        <v>-301.75080000000003</v>
      </c>
      <c r="K8734">
        <v>1.1200760000000001</v>
      </c>
      <c r="L8734">
        <v>-23.267910000000001</v>
      </c>
      <c r="M8734">
        <v>2.3379710000000001E-2</v>
      </c>
      <c r="N8734">
        <v>-3.1236720000000001E-3</v>
      </c>
      <c r="O8734">
        <v>-0.99972190000000005</v>
      </c>
      <c r="P8734">
        <v>0.11327959999999999</v>
      </c>
      <c r="Q8734">
        <v>0.123935</v>
      </c>
      <c r="R8734">
        <v>-0.98580319999999999</v>
      </c>
      <c r="S8734">
        <v>0.49783329999999998</v>
      </c>
      <c r="T8734">
        <v>-0.2161845</v>
      </c>
      <c r="U8734">
        <v>-3.0137019999999999</v>
      </c>
      <c r="V8734">
        <v>-9.0142029999999998E-2</v>
      </c>
      <c r="W8734">
        <v>0.1270635</v>
      </c>
      <c r="X8734">
        <v>0.9877901</v>
      </c>
      <c r="Y8734">
        <v>-0.13948089999999999</v>
      </c>
      <c r="Z8734">
        <v>6.7584480000000002E-2</v>
      </c>
      <c r="AA8734">
        <v>0.98791569999999995</v>
      </c>
      <c r="AB8734">
        <v>22</v>
      </c>
      <c r="AC8734">
        <v>2.5744000000000198</v>
      </c>
      <c r="AD8734">
        <v>-1.1200768774658001</v>
      </c>
      <c r="AE8734">
        <v>-15.394469999999901</v>
      </c>
      <c r="AF8734">
        <v>-2.20243431851849</v>
      </c>
      <c r="AG8734">
        <v>-1.1200768774658001</v>
      </c>
      <c r="AH8734">
        <v>15.3712924187589</v>
      </c>
      <c r="AI8734">
        <v>94.125681705302497</v>
      </c>
      <c r="AJ8734">
        <v>98.153974129867294</v>
      </c>
      <c r="AK8734">
        <v>15.568619712801</v>
      </c>
      <c r="AL8734">
        <v>82.700064038195805</v>
      </c>
      <c r="AM8734">
        <v>95.214156558498203</v>
      </c>
      <c r="AN8734">
        <v>1.00000000013139</v>
      </c>
    </row>
    <row r="8735" spans="1:40" x14ac:dyDescent="0.25">
      <c r="A8735" t="str">
        <f>"20190303162122822"</f>
        <v>20190303162122822</v>
      </c>
      <c r="B8735" t="str">
        <f>"1551601282812970"</f>
        <v>1551601282812970</v>
      </c>
      <c r="C8735" t="s">
        <v>40</v>
      </c>
      <c r="D8735">
        <v>4.8494440000000001</v>
      </c>
      <c r="E8735">
        <v>0.46430670000000002</v>
      </c>
      <c r="F8735" t="s">
        <v>62</v>
      </c>
      <c r="G8735">
        <v>-297.33440000000002</v>
      </c>
      <c r="H8735" s="1">
        <v>-3.5374389999999998E-6</v>
      </c>
      <c r="I8735">
        <v>-44.979950000000002</v>
      </c>
      <c r="J8735">
        <v>-301.74540000000002</v>
      </c>
      <c r="K8735">
        <v>1.1200749999999999</v>
      </c>
      <c r="L8735">
        <v>-23.510349999999999</v>
      </c>
      <c r="M8735">
        <v>2.306275E-2</v>
      </c>
      <c r="N8735">
        <v>-3.187849E-3</v>
      </c>
      <c r="O8735">
        <v>-0.99972899999999998</v>
      </c>
      <c r="P8735">
        <v>0.11831410000000001</v>
      </c>
      <c r="Q8735">
        <v>0.124579</v>
      </c>
      <c r="R8735">
        <v>-0.98513059999999997</v>
      </c>
      <c r="S8735">
        <v>0.60873409999999994</v>
      </c>
      <c r="T8735">
        <v>-0.154386</v>
      </c>
      <c r="U8735">
        <v>-2.9926759999999999</v>
      </c>
      <c r="V8735">
        <v>-9.5501470000000005E-2</v>
      </c>
      <c r="W8735">
        <v>0.12777289999999999</v>
      </c>
      <c r="X8735">
        <v>0.98719480000000004</v>
      </c>
      <c r="Y8735">
        <v>-0.17643429999999999</v>
      </c>
      <c r="Z8735">
        <v>4.7401850000000002E-2</v>
      </c>
      <c r="AA8735">
        <v>0.9831704</v>
      </c>
      <c r="AB8735">
        <v>23</v>
      </c>
      <c r="AC8735">
        <v>4.4109999999999996</v>
      </c>
      <c r="AD8735">
        <v>-1.1200785374390001</v>
      </c>
      <c r="AE8735">
        <v>-21.4696</v>
      </c>
      <c r="AF8735">
        <v>-3.90447961881604</v>
      </c>
      <c r="AG8735">
        <v>-1.1200785374390001</v>
      </c>
      <c r="AH8735">
        <v>21.509447392790701</v>
      </c>
      <c r="AI8735">
        <v>92.933069848862502</v>
      </c>
      <c r="AJ8735">
        <v>100.288526242388</v>
      </c>
      <c r="AK8735">
        <v>21.889629146402001</v>
      </c>
      <c r="AL8735">
        <v>82.659084454636798</v>
      </c>
      <c r="AM8735">
        <v>95.525613267396196</v>
      </c>
      <c r="AN8735">
        <v>1.0000000089468</v>
      </c>
    </row>
    <row r="8736" spans="1:40" x14ac:dyDescent="0.25">
      <c r="A8736" t="str">
        <f>"20190303162122844"</f>
        <v>20190303162122844</v>
      </c>
      <c r="B8736" t="str">
        <f>"1551601282831516"</f>
        <v>1551601282831516</v>
      </c>
      <c r="C8736" t="s">
        <v>40</v>
      </c>
      <c r="D8736">
        <v>4.8027089999999903</v>
      </c>
      <c r="E8736">
        <v>0.46379019999999999</v>
      </c>
      <c r="F8736" t="s">
        <v>62</v>
      </c>
      <c r="G8736">
        <v>-296.2441</v>
      </c>
      <c r="H8736" s="1">
        <v>-5.8029470000000002E-6</v>
      </c>
      <c r="I8736">
        <v>-49.05903</v>
      </c>
      <c r="J8736">
        <v>-301.74059999999997</v>
      </c>
      <c r="K8736">
        <v>1.120088</v>
      </c>
      <c r="L8736">
        <v>-23.730440000000002</v>
      </c>
      <c r="M8736">
        <v>2.2768610000000002E-2</v>
      </c>
      <c r="N8736">
        <v>-3.2501370000000002E-3</v>
      </c>
      <c r="O8736">
        <v>-0.9997355</v>
      </c>
      <c r="P8736">
        <v>0.12226049999999999</v>
      </c>
      <c r="Q8736">
        <v>0.12514210000000001</v>
      </c>
      <c r="R8736">
        <v>-0.98457709999999998</v>
      </c>
      <c r="S8736">
        <v>0.64266969999999901</v>
      </c>
      <c r="T8736">
        <v>-0.1308501</v>
      </c>
      <c r="U8736">
        <v>-2.9846499999999998</v>
      </c>
      <c r="V8736">
        <v>-9.9747379999999997E-2</v>
      </c>
      <c r="W8736">
        <v>0.1283995</v>
      </c>
      <c r="X8736">
        <v>0.9866935</v>
      </c>
      <c r="Y8736">
        <v>-0.1880078</v>
      </c>
      <c r="Z8736">
        <v>3.9661330000000002E-2</v>
      </c>
      <c r="AA8736">
        <v>0.98136639999999997</v>
      </c>
      <c r="AB8736">
        <v>23</v>
      </c>
      <c r="AC8736">
        <v>5.4964999999999602</v>
      </c>
      <c r="AD8736">
        <v>-1.120093802947</v>
      </c>
      <c r="AE8736">
        <v>-25.328589999999998</v>
      </c>
      <c r="AF8736">
        <v>-4.9092064480124504</v>
      </c>
      <c r="AG8736">
        <v>-1.120093802947</v>
      </c>
      <c r="AH8736">
        <v>25.399733612557799</v>
      </c>
      <c r="AI8736">
        <v>92.479206595159596</v>
      </c>
      <c r="AJ8736">
        <v>100.939122142382</v>
      </c>
      <c r="AK8736">
        <v>25.8940415089168</v>
      </c>
      <c r="AL8736">
        <v>82.622884804352694</v>
      </c>
      <c r="AM8736">
        <v>95.772566161968498</v>
      </c>
      <c r="AN8736">
        <v>1.0000000171796799</v>
      </c>
    </row>
    <row r="8737" spans="1:40" x14ac:dyDescent="0.25">
      <c r="A8737" t="str">
        <f>"20190303162122866"</f>
        <v>20190303162122866</v>
      </c>
      <c r="B8737" t="str">
        <f>"1551601282860795"</f>
        <v>1551601282860795</v>
      </c>
      <c r="C8737" t="s">
        <v>40</v>
      </c>
      <c r="D8737">
        <v>4.7885160000000004</v>
      </c>
      <c r="E8737">
        <v>0.46412530000000002</v>
      </c>
      <c r="F8737" t="s">
        <v>62</v>
      </c>
      <c r="G8737">
        <v>-295.45159999999998</v>
      </c>
      <c r="H8737" s="1">
        <v>-8.6619129999999997E-6</v>
      </c>
      <c r="I8737">
        <v>-52.221409999999999</v>
      </c>
      <c r="J8737">
        <v>-301.73570000000001</v>
      </c>
      <c r="K8737">
        <v>1.12009</v>
      </c>
      <c r="L8737">
        <v>-23.959140000000001</v>
      </c>
      <c r="M8737">
        <v>2.2454769999999999E-2</v>
      </c>
      <c r="N8737">
        <v>-3.318419E-3</v>
      </c>
      <c r="O8737">
        <v>-0.99974269999999998</v>
      </c>
      <c r="P8737">
        <v>0.12539500000000001</v>
      </c>
      <c r="Q8737">
        <v>0.12605430000000001</v>
      </c>
      <c r="R8737">
        <v>-0.98406669999999996</v>
      </c>
      <c r="S8737">
        <v>0.65783689999999995</v>
      </c>
      <c r="T8737">
        <v>-0.1171637</v>
      </c>
      <c r="U8737">
        <v>-2.980194</v>
      </c>
      <c r="V8737">
        <v>-0.1031991</v>
      </c>
      <c r="W8737">
        <v>0.1293812</v>
      </c>
      <c r="X8737">
        <v>0.98621020000000004</v>
      </c>
      <c r="Y8737">
        <v>-0.19341990000000001</v>
      </c>
      <c r="Z8737">
        <v>3.5128109999999997E-2</v>
      </c>
      <c r="AA8737">
        <v>0.980487</v>
      </c>
      <c r="AB8737">
        <v>23</v>
      </c>
      <c r="AC8737">
        <v>6.28410000000002</v>
      </c>
      <c r="AD8737">
        <v>-1.120098661913</v>
      </c>
      <c r="AE8737">
        <v>-28.262270000000001</v>
      </c>
      <c r="AF8737">
        <v>-5.6394487761212799</v>
      </c>
      <c r="AG8737">
        <v>-1.120098661913</v>
      </c>
      <c r="AH8737">
        <v>28.353814841659801</v>
      </c>
      <c r="AI8737">
        <v>92.218837844740406</v>
      </c>
      <c r="AJ8737">
        <v>101.249075396644</v>
      </c>
      <c r="AK8737">
        <v>28.930897317332601</v>
      </c>
      <c r="AL8737">
        <v>82.566164697332596</v>
      </c>
      <c r="AM8737">
        <v>95.973809285560606</v>
      </c>
      <c r="AN8737">
        <v>1.00000005386914</v>
      </c>
    </row>
    <row r="8738" spans="1:40" x14ac:dyDescent="0.25">
      <c r="A8738" t="str">
        <f>"20190303162122888"</f>
        <v>20190303162122888</v>
      </c>
      <c r="B8738" t="str">
        <f>"1551601282880824"</f>
        <v>1551601282880824</v>
      </c>
      <c r="C8738" t="s">
        <v>40</v>
      </c>
      <c r="D8738">
        <v>4.9674509999999996</v>
      </c>
      <c r="E8738">
        <v>0.46453509999999998</v>
      </c>
      <c r="F8738" t="s">
        <v>62</v>
      </c>
      <c r="G8738">
        <v>-294.79289999999997</v>
      </c>
      <c r="H8738" s="1">
        <v>-8.5701820000000005E-6</v>
      </c>
      <c r="I8738">
        <v>-55.092559999999999</v>
      </c>
      <c r="J8738">
        <v>-301.73079999999999</v>
      </c>
      <c r="K8738">
        <v>1.1200829999999999</v>
      </c>
      <c r="L8738">
        <v>-24.194579999999998</v>
      </c>
      <c r="M8738">
        <v>2.2120879999999999E-2</v>
      </c>
      <c r="N8738">
        <v>-3.3948509999999999E-3</v>
      </c>
      <c r="O8738">
        <v>-0.99974960000000002</v>
      </c>
      <c r="P8738">
        <v>0.1290491</v>
      </c>
      <c r="Q8738">
        <v>0.12665280000000001</v>
      </c>
      <c r="R8738">
        <v>-0.98351710000000003</v>
      </c>
      <c r="S8738">
        <v>0.66403199999999996</v>
      </c>
      <c r="T8738">
        <v>-0.1071295</v>
      </c>
      <c r="U8738">
        <v>-2.9776919999999998</v>
      </c>
      <c r="V8738">
        <v>-0.1071911</v>
      </c>
      <c r="W8738">
        <v>0.1300577</v>
      </c>
      <c r="X8738">
        <v>0.98569519999999999</v>
      </c>
      <c r="Y8738">
        <v>-0.19588949999999999</v>
      </c>
      <c r="Z8738">
        <v>3.1776720000000001E-2</v>
      </c>
      <c r="AA8738">
        <v>0.98011099999999995</v>
      </c>
      <c r="AB8738">
        <v>23</v>
      </c>
      <c r="AC8738">
        <v>6.9379000000000097</v>
      </c>
      <c r="AD8738">
        <v>-1.120091570182</v>
      </c>
      <c r="AE8738">
        <v>-30.89798</v>
      </c>
      <c r="AF8738">
        <v>-6.2448950469222204</v>
      </c>
      <c r="AG8738">
        <v>-1.120091570182</v>
      </c>
      <c r="AH8738">
        <v>31.005102823157099</v>
      </c>
      <c r="AI8738">
        <v>92.028272389154793</v>
      </c>
      <c r="AJ8738">
        <v>101.38787055101</v>
      </c>
      <c r="AK8738">
        <v>31.647586327352201</v>
      </c>
      <c r="AL8738">
        <v>82.527073276615297</v>
      </c>
      <c r="AM8738">
        <v>96.206338546443206</v>
      </c>
      <c r="AN8738">
        <v>0.99999998227576903</v>
      </c>
    </row>
    <row r="8739" spans="1:40" x14ac:dyDescent="0.25">
      <c r="A8739" t="str">
        <f>"20190303162122914"</f>
        <v>20190303162122914</v>
      </c>
      <c r="B8739" t="str">
        <f>"1551601282901319"</f>
        <v>1551601282901319</v>
      </c>
      <c r="C8739" t="s">
        <v>40</v>
      </c>
      <c r="D8739">
        <v>4.9586870000000003</v>
      </c>
      <c r="E8739">
        <v>0.46524379999999999</v>
      </c>
      <c r="F8739" t="s">
        <v>62</v>
      </c>
      <c r="G8739">
        <v>-294.52120000000002</v>
      </c>
      <c r="H8739" s="1">
        <v>-8.5640699999999995E-6</v>
      </c>
      <c r="I8739">
        <v>-56.126890000000003</v>
      </c>
      <c r="J8739">
        <v>-301.72550000000001</v>
      </c>
      <c r="K8739">
        <v>1.1200669999999999</v>
      </c>
      <c r="L8739">
        <v>-24.456050000000001</v>
      </c>
      <c r="M8739">
        <v>2.1739270000000002E-2</v>
      </c>
      <c r="N8739">
        <v>-3.4856700000000002E-3</v>
      </c>
      <c r="O8739">
        <v>-0.99975769999999997</v>
      </c>
      <c r="P8739">
        <v>0.13259689999999999</v>
      </c>
      <c r="Q8739">
        <v>0.1263956</v>
      </c>
      <c r="R8739">
        <v>-0.98307829999999996</v>
      </c>
      <c r="S8739">
        <v>0.67181400000000002</v>
      </c>
      <c r="T8739">
        <v>-0.1043737</v>
      </c>
      <c r="U8739">
        <v>-2.9755549999999999</v>
      </c>
      <c r="V8739">
        <v>-0.1111206</v>
      </c>
      <c r="W8739">
        <v>0.1298937</v>
      </c>
      <c r="X8739">
        <v>0.98528159999999998</v>
      </c>
      <c r="Y8739">
        <v>-0.19885929999999999</v>
      </c>
      <c r="Z8739">
        <v>3.078701E-2</v>
      </c>
      <c r="AA8739">
        <v>0.97954430000000003</v>
      </c>
      <c r="AB8739">
        <v>23</v>
      </c>
      <c r="AC8739">
        <v>7.2042999999999804</v>
      </c>
      <c r="AD8739">
        <v>-1.12007556407</v>
      </c>
      <c r="AE8739">
        <v>-31.670839999999998</v>
      </c>
      <c r="AF8739">
        <v>-6.5063548221439804</v>
      </c>
      <c r="AG8739">
        <v>-1.12007556407</v>
      </c>
      <c r="AH8739">
        <v>31.782176168515502</v>
      </c>
      <c r="AI8739">
        <v>91.977420043588197</v>
      </c>
      <c r="AJ8739">
        <v>101.56956989491</v>
      </c>
      <c r="AK8739">
        <v>32.460652247720198</v>
      </c>
      <c r="AL8739">
        <v>82.536550279766402</v>
      </c>
      <c r="AM8739">
        <v>96.434659624691307</v>
      </c>
      <c r="AN8739">
        <v>0.99999999617130497</v>
      </c>
    </row>
    <row r="8740" spans="1:40" x14ac:dyDescent="0.25">
      <c r="A8740" t="str">
        <f>"20190303162122934"</f>
        <v>20190303162122934</v>
      </c>
      <c r="B8740" t="str">
        <f>"1551601282920839"</f>
        <v>1551601282920839</v>
      </c>
      <c r="C8740" t="s">
        <v>40</v>
      </c>
      <c r="D8740">
        <v>4.8320160000000003</v>
      </c>
      <c r="E8740">
        <v>0.46577869999999999</v>
      </c>
      <c r="F8740" t="s">
        <v>62</v>
      </c>
      <c r="G8740">
        <v>-294.34019999999998</v>
      </c>
      <c r="H8740" s="1">
        <v>-8.5532740000000005E-6</v>
      </c>
      <c r="I8740">
        <v>-56.893729999999998</v>
      </c>
      <c r="J8740">
        <v>-301.72109999999998</v>
      </c>
      <c r="K8740">
        <v>1.120069</v>
      </c>
      <c r="L8740">
        <v>-24.672450000000001</v>
      </c>
      <c r="M8740">
        <v>2.1413479999999999E-2</v>
      </c>
      <c r="N8740">
        <v>-3.5655560000000001E-3</v>
      </c>
      <c r="O8740">
        <v>-0.9997646</v>
      </c>
      <c r="P8740">
        <v>0.1357554</v>
      </c>
      <c r="Q8740">
        <v>0.126027</v>
      </c>
      <c r="R8740">
        <v>-0.98269459999999997</v>
      </c>
      <c r="S8740">
        <v>0.67700199999999999</v>
      </c>
      <c r="T8740">
        <v>-0.10267660000000001</v>
      </c>
      <c r="U8740">
        <v>-2.973541</v>
      </c>
      <c r="V8740">
        <v>-0.114606</v>
      </c>
      <c r="W8740">
        <v>0.12960669999999999</v>
      </c>
      <c r="X8740">
        <v>0.98492009999999997</v>
      </c>
      <c r="Y8740">
        <v>-0.20095009999999999</v>
      </c>
      <c r="Z8740">
        <v>3.0159720000000001E-2</v>
      </c>
      <c r="AA8740">
        <v>0.97913709999999998</v>
      </c>
      <c r="AB8740">
        <v>23</v>
      </c>
      <c r="AC8740">
        <v>7.3808999999999898</v>
      </c>
      <c r="AD8740">
        <v>-1.1200775532739999</v>
      </c>
      <c r="AE8740">
        <v>-32.22128</v>
      </c>
      <c r="AF8740">
        <v>-6.6815621746306597</v>
      </c>
      <c r="AG8740">
        <v>-1.1200775532739999</v>
      </c>
      <c r="AH8740">
        <v>32.3348181350432</v>
      </c>
      <c r="AI8740">
        <v>91.942917525632197</v>
      </c>
      <c r="AJ8740">
        <v>101.675094688138</v>
      </c>
      <c r="AK8740">
        <v>33.036923444006199</v>
      </c>
      <c r="AL8740">
        <v>82.553134519449998</v>
      </c>
      <c r="AM8740">
        <v>96.637129688628804</v>
      </c>
      <c r="AN8740">
        <v>1.00000001765244</v>
      </c>
    </row>
    <row r="8741" spans="1:40" x14ac:dyDescent="0.25">
      <c r="A8741" t="str">
        <f>"20190303162122955"</f>
        <v>20190303162122955</v>
      </c>
      <c r="B8741" t="str">
        <f>"1551601282941336"</f>
        <v>1551601282941336</v>
      </c>
      <c r="C8741" t="s">
        <v>40</v>
      </c>
      <c r="D8741">
        <v>4.9607530000000004</v>
      </c>
      <c r="E8741">
        <v>0.46634819999999999</v>
      </c>
      <c r="F8741" t="s">
        <v>62</v>
      </c>
      <c r="G8741">
        <v>-294.31130000000002</v>
      </c>
      <c r="H8741" s="1">
        <v>-8.5554719999999997E-6</v>
      </c>
      <c r="I8741">
        <v>-56.976909999999997</v>
      </c>
      <c r="J8741">
        <v>-301.71660000000003</v>
      </c>
      <c r="K8741">
        <v>1.120066</v>
      </c>
      <c r="L8741">
        <v>-24.896360000000001</v>
      </c>
      <c r="M8741">
        <v>2.1064719999999999E-2</v>
      </c>
      <c r="N8741">
        <v>-3.6552120000000001E-3</v>
      </c>
      <c r="O8741">
        <v>-0.99977159999999998</v>
      </c>
      <c r="P8741">
        <v>0.13912669999999999</v>
      </c>
      <c r="Q8741">
        <v>0.1258301</v>
      </c>
      <c r="R8741">
        <v>-0.98224789999999995</v>
      </c>
      <c r="S8741">
        <v>0.68167109999999997</v>
      </c>
      <c r="T8741">
        <v>-0.1030431</v>
      </c>
      <c r="U8741">
        <v>-2.9718930000000001</v>
      </c>
      <c r="V8741">
        <v>-0.118326</v>
      </c>
      <c r="W8741">
        <v>0.1295017</v>
      </c>
      <c r="X8741">
        <v>0.98449390000000003</v>
      </c>
      <c r="Y8741">
        <v>-0.2028701</v>
      </c>
      <c r="Z8741">
        <v>3.0196480000000001E-2</v>
      </c>
      <c r="AA8741">
        <v>0.97874000000000005</v>
      </c>
      <c r="AB8741">
        <v>24</v>
      </c>
      <c r="AC8741">
        <v>7.4053000000000102</v>
      </c>
      <c r="AD8741">
        <v>-1.120074555472</v>
      </c>
      <c r="AE8741">
        <v>-32.080549999999903</v>
      </c>
      <c r="AF8741">
        <v>-6.7201071306903</v>
      </c>
      <c r="AG8741">
        <v>-1.120074555472</v>
      </c>
      <c r="AH8741">
        <v>32.192165688724103</v>
      </c>
      <c r="AI8741">
        <v>91.950695060274498</v>
      </c>
      <c r="AJ8741">
        <v>101.79115448810801</v>
      </c>
      <c r="AK8741">
        <v>32.905165834379801</v>
      </c>
      <c r="AL8741">
        <v>82.559201470472999</v>
      </c>
      <c r="AM8741">
        <v>96.853486369626793</v>
      </c>
      <c r="AN8741">
        <v>0.99999998585804994</v>
      </c>
    </row>
    <row r="8742" spans="1:40" x14ac:dyDescent="0.25">
      <c r="A8742" t="str">
        <f>"20190303162122988"</f>
        <v>20190303162122988</v>
      </c>
      <c r="B8742" t="str">
        <f>"1551601282980881"</f>
        <v>1551601282980881</v>
      </c>
      <c r="C8742" t="s">
        <v>40</v>
      </c>
      <c r="D8742">
        <v>4.9572479999999999</v>
      </c>
      <c r="E8742">
        <v>0.46689750000000002</v>
      </c>
      <c r="F8742" t="s">
        <v>62</v>
      </c>
      <c r="G8742">
        <v>-294.27730000000003</v>
      </c>
      <c r="H8742" s="1">
        <v>-8.5598230000000002E-6</v>
      </c>
      <c r="I8742">
        <v>-57.057119999999998</v>
      </c>
      <c r="J8742">
        <v>-301.70979999999997</v>
      </c>
      <c r="K8742">
        <v>1.1200650000000001</v>
      </c>
      <c r="L8742">
        <v>-25.25159</v>
      </c>
      <c r="M8742">
        <v>2.0484260000000001E-2</v>
      </c>
      <c r="N8742">
        <v>-3.8175240000000001E-3</v>
      </c>
      <c r="O8742">
        <v>-0.99978299999999998</v>
      </c>
      <c r="P8742">
        <v>0.144623799999999</v>
      </c>
      <c r="Q8742">
        <v>0.12563750000000001</v>
      </c>
      <c r="R8742">
        <v>-0.98147839999999997</v>
      </c>
      <c r="S8742">
        <v>0.68704219999999905</v>
      </c>
      <c r="T8742">
        <v>-0.103442699999999</v>
      </c>
      <c r="U8742">
        <v>-2.970154</v>
      </c>
      <c r="V8742">
        <v>-0.1244039</v>
      </c>
      <c r="W8742">
        <v>0.12947519999999901</v>
      </c>
      <c r="X8742">
        <v>0.98374779999999995</v>
      </c>
      <c r="Y8742">
        <v>-0.20524290000000001</v>
      </c>
      <c r="Z8742">
        <v>3.0170240000000001E-2</v>
      </c>
      <c r="AA8742">
        <v>0.9782459</v>
      </c>
      <c r="AB8742">
        <v>24</v>
      </c>
      <c r="AC8742">
        <v>7.4324999999999397</v>
      </c>
      <c r="AD8742">
        <v>-1.1200735598229901</v>
      </c>
      <c r="AE8742">
        <v>-31.805530000000001</v>
      </c>
      <c r="AF8742">
        <v>-6.7714600019558198</v>
      </c>
      <c r="AG8742">
        <v>-1.1200735598229901</v>
      </c>
      <c r="AH8742">
        <v>31.913577263868</v>
      </c>
      <c r="AI8742">
        <v>91.966349265242599</v>
      </c>
      <c r="AJ8742">
        <v>101.979419542805</v>
      </c>
      <c r="AK8742">
        <v>32.6432787739585</v>
      </c>
      <c r="AL8742">
        <v>82.560732401073196</v>
      </c>
      <c r="AM8742">
        <v>97.207317838627901</v>
      </c>
      <c r="AN8742">
        <v>0.99999994587754304</v>
      </c>
    </row>
    <row r="8743" spans="1:40" x14ac:dyDescent="0.25">
      <c r="A8743" t="str">
        <f>"20190303162123011"</f>
        <v>20190303162123011</v>
      </c>
      <c r="B8743" t="str">
        <f>"1551601283001377"</f>
        <v>1551601283001377</v>
      </c>
      <c r="C8743" t="s">
        <v>40</v>
      </c>
      <c r="D8743">
        <v>4.8396119999999998</v>
      </c>
      <c r="E8743">
        <v>0.46701910000000002</v>
      </c>
      <c r="F8743" t="s">
        <v>62</v>
      </c>
      <c r="G8743">
        <v>-294.19400000000002</v>
      </c>
      <c r="H8743" s="1">
        <v>-8.5825889999999997E-6</v>
      </c>
      <c r="I8743">
        <v>-57.132539999999999</v>
      </c>
      <c r="J8743">
        <v>-301.70519999999999</v>
      </c>
      <c r="K8743">
        <v>1.120061</v>
      </c>
      <c r="L8743">
        <v>-25.491969999999998</v>
      </c>
      <c r="M8743">
        <v>2.007024E-2</v>
      </c>
      <c r="N8743">
        <v>-3.9401050000000002E-3</v>
      </c>
      <c r="O8743">
        <v>-0.99979090000000004</v>
      </c>
      <c r="P8743">
        <v>0.1483681</v>
      </c>
      <c r="Q8743">
        <v>0.125670899999999</v>
      </c>
      <c r="R8743">
        <v>-0.98091510000000004</v>
      </c>
      <c r="S8743">
        <v>0.69943239999999995</v>
      </c>
      <c r="T8743">
        <v>-0.1042356</v>
      </c>
      <c r="U8743">
        <v>-2.966888</v>
      </c>
      <c r="V8743">
        <v>-0.12856129999999999</v>
      </c>
      <c r="W8743">
        <v>0.1296341</v>
      </c>
      <c r="X8743">
        <v>0.98319230000000002</v>
      </c>
      <c r="Y8743">
        <v>-0.2097542</v>
      </c>
      <c r="Z8743">
        <v>3.0312660000000002E-2</v>
      </c>
      <c r="AA8743">
        <v>0.97728409999999999</v>
      </c>
      <c r="AB8743">
        <v>24</v>
      </c>
      <c r="AC8743">
        <v>7.5111999999999703</v>
      </c>
      <c r="AD8743">
        <v>-1.1200695825889999</v>
      </c>
      <c r="AE8743">
        <v>-31.64057</v>
      </c>
      <c r="AF8743">
        <v>-6.86650263123515</v>
      </c>
      <c r="AG8743">
        <v>-1.1200695825889999</v>
      </c>
      <c r="AH8743">
        <v>31.747287805386499</v>
      </c>
      <c r="AI8743">
        <v>91.974973612170302</v>
      </c>
      <c r="AJ8743">
        <v>102.204303487833</v>
      </c>
      <c r="AK8743">
        <v>32.500672258472498</v>
      </c>
      <c r="AL8743">
        <v>82.551551524961994</v>
      </c>
      <c r="AM8743">
        <v>97.449676069172298</v>
      </c>
      <c r="AN8743">
        <v>1.0000000532598901</v>
      </c>
    </row>
    <row r="8744" spans="1:40" x14ac:dyDescent="0.25">
      <c r="A8744" t="str">
        <f>"20190303162123033"</f>
        <v>20190303162123033</v>
      </c>
      <c r="B8744" t="str">
        <f>"1551601283021873"</f>
        <v>1551601283021873</v>
      </c>
      <c r="C8744" t="s">
        <v>40</v>
      </c>
      <c r="D8744">
        <v>4.9613899999999997</v>
      </c>
      <c r="E8744">
        <v>0.46719110000000003</v>
      </c>
      <c r="F8744" t="s">
        <v>62</v>
      </c>
      <c r="G8744">
        <v>-294.12389999999999</v>
      </c>
      <c r="H8744" s="1">
        <v>-8.6055809999999906E-6</v>
      </c>
      <c r="I8744">
        <v>-57.157539999999997</v>
      </c>
      <c r="J8744">
        <v>-301.70069999999998</v>
      </c>
      <c r="K8744">
        <v>1.120069</v>
      </c>
      <c r="L8744">
        <v>-25.737580000000001</v>
      </c>
      <c r="M8744">
        <v>1.9633060000000001E-2</v>
      </c>
      <c r="N8744">
        <v>-4.0716759999999998E-3</v>
      </c>
      <c r="O8744">
        <v>-0.99979910000000005</v>
      </c>
      <c r="P8744">
        <v>0.15212979999999901</v>
      </c>
      <c r="Q8744">
        <v>0.1257895</v>
      </c>
      <c r="R8744">
        <v>-0.98032339999999996</v>
      </c>
      <c r="S8744">
        <v>0.70974729999999997</v>
      </c>
      <c r="T8744">
        <v>-0.1048579</v>
      </c>
      <c r="U8744">
        <v>-2.9644469999999998</v>
      </c>
      <c r="V8744">
        <v>-0.13275960000000001</v>
      </c>
      <c r="W8744">
        <v>0.129887</v>
      </c>
      <c r="X8744">
        <v>0.98260069999999999</v>
      </c>
      <c r="Y8744">
        <v>-0.21357699999999999</v>
      </c>
      <c r="Z8744">
        <v>3.0385530000000001E-2</v>
      </c>
      <c r="AA8744">
        <v>0.97645360000000003</v>
      </c>
      <c r="AB8744">
        <v>24</v>
      </c>
      <c r="AC8744">
        <v>7.5767999999999898</v>
      </c>
      <c r="AD8744">
        <v>-1.120077605581</v>
      </c>
      <c r="AE8744">
        <v>-31.41996</v>
      </c>
      <c r="AF8744">
        <v>-6.9501176030828304</v>
      </c>
      <c r="AG8744">
        <v>-1.120077605581</v>
      </c>
      <c r="AH8744">
        <v>31.524800002555299</v>
      </c>
      <c r="AI8744">
        <v>91.987184943105504</v>
      </c>
      <c r="AJ8744">
        <v>102.43283307074</v>
      </c>
      <c r="AK8744">
        <v>32.301265048606297</v>
      </c>
      <c r="AL8744">
        <v>82.536937019041403</v>
      </c>
      <c r="AM8744">
        <v>97.694661425811802</v>
      </c>
      <c r="AN8744">
        <v>0.99999993990082303</v>
      </c>
    </row>
    <row r="8745" spans="1:40" x14ac:dyDescent="0.25">
      <c r="A8745" t="str">
        <f>"20190303162123056"</f>
        <v>20190303162123056</v>
      </c>
      <c r="B8745" t="str">
        <f>"1551601283041394"</f>
        <v>1551601283041394</v>
      </c>
      <c r="C8745" t="s">
        <v>40</v>
      </c>
      <c r="D8745">
        <v>4.9583190000000004</v>
      </c>
      <c r="E8745">
        <v>0.46747899999999998</v>
      </c>
      <c r="F8745" t="s">
        <v>62</v>
      </c>
      <c r="G8745">
        <v>-294.0401</v>
      </c>
      <c r="H8745" s="1">
        <v>-8.6261349999999994E-6</v>
      </c>
      <c r="I8745">
        <v>-57.256749999999997</v>
      </c>
      <c r="J8745">
        <v>-301.69639999999998</v>
      </c>
      <c r="K8745">
        <v>1.1200760000000001</v>
      </c>
      <c r="L8745">
        <v>-25.978580000000001</v>
      </c>
      <c r="M8745">
        <v>1.919156E-2</v>
      </c>
      <c r="N8745">
        <v>-4.2166449999999998E-3</v>
      </c>
      <c r="O8745">
        <v>-0.99980690000000005</v>
      </c>
      <c r="P8745">
        <v>0.15663920000000001</v>
      </c>
      <c r="Q8745">
        <v>0.12613669999999999</v>
      </c>
      <c r="R8745">
        <v>-0.9795682</v>
      </c>
      <c r="S8745">
        <v>0.71990969999999999</v>
      </c>
      <c r="T8745">
        <v>-0.1052589</v>
      </c>
      <c r="U8745">
        <v>-2.9620060000000001</v>
      </c>
      <c r="V8745">
        <v>-0.13771259999999999</v>
      </c>
      <c r="W8745">
        <v>0.13038159999999999</v>
      </c>
      <c r="X8745">
        <v>0.98185330000000004</v>
      </c>
      <c r="Y8745">
        <v>-0.21735389999999999</v>
      </c>
      <c r="Z8745">
        <v>3.037231E-2</v>
      </c>
      <c r="AA8745">
        <v>0.97562020000000005</v>
      </c>
      <c r="AB8745">
        <v>24</v>
      </c>
      <c r="AC8745">
        <v>7.6562999999999803</v>
      </c>
      <c r="AD8745">
        <v>-1.1200846261349999</v>
      </c>
      <c r="AE8745">
        <v>-31.278169999999999</v>
      </c>
      <c r="AF8745">
        <v>-7.0460826395069702</v>
      </c>
      <c r="AG8745">
        <v>-1.1200846261349999</v>
      </c>
      <c r="AH8745">
        <v>31.381378793131201</v>
      </c>
      <c r="AI8745">
        <v>91.994553586439096</v>
      </c>
      <c r="AJ8745">
        <v>102.65478713488901</v>
      </c>
      <c r="AK8745">
        <v>32.182181484331501</v>
      </c>
      <c r="AL8745">
        <v>82.508356023045906</v>
      </c>
      <c r="AM8745">
        <v>97.984097717981697</v>
      </c>
      <c r="AN8745">
        <v>1.0000000122691</v>
      </c>
    </row>
    <row r="8746" spans="1:40" x14ac:dyDescent="0.25">
      <c r="A8746" t="str">
        <f>"20190303162123078"</f>
        <v>20190303162123078</v>
      </c>
      <c r="B8746" t="str">
        <f>"1551601283071649"</f>
        <v>1551601283071649</v>
      </c>
      <c r="C8746" t="s">
        <v>40</v>
      </c>
      <c r="D8746">
        <v>4.9594750000000003</v>
      </c>
      <c r="E8746">
        <v>0.46794930000000001</v>
      </c>
      <c r="F8746" t="s">
        <v>62</v>
      </c>
      <c r="G8746">
        <v>-293.90069999999997</v>
      </c>
      <c r="H8746" s="1">
        <v>-8.6495590000000005E-6</v>
      </c>
      <c r="I8746">
        <v>-57.529389999999999</v>
      </c>
      <c r="J8746">
        <v>-301.69209999999998</v>
      </c>
      <c r="K8746">
        <v>1.1200950000000001</v>
      </c>
      <c r="L8746">
        <v>-26.227229999999999</v>
      </c>
      <c r="M8746">
        <v>1.8724370000000001E-2</v>
      </c>
      <c r="N8746">
        <v>-4.4086780000000001E-3</v>
      </c>
      <c r="O8746">
        <v>-0.99981509999999996</v>
      </c>
      <c r="P8746">
        <v>0.16230159999999999</v>
      </c>
      <c r="Q8746">
        <v>0.12606680000000001</v>
      </c>
      <c r="R8746">
        <v>-0.97865500000000005</v>
      </c>
      <c r="S8746">
        <v>0.73117069999999995</v>
      </c>
      <c r="T8746">
        <v>-0.10505440000000001</v>
      </c>
      <c r="U8746">
        <v>-2.9591980000000002</v>
      </c>
      <c r="V8746">
        <v>-0.1438469</v>
      </c>
      <c r="W8746">
        <v>0.1305045</v>
      </c>
      <c r="X8746">
        <v>0.98095699999999997</v>
      </c>
      <c r="Y8746">
        <v>-0.2215231</v>
      </c>
      <c r="Z8746">
        <v>3.011405E-2</v>
      </c>
      <c r="AA8746">
        <v>0.97468999999999995</v>
      </c>
      <c r="AB8746">
        <v>24</v>
      </c>
      <c r="AC8746">
        <v>7.7914000000000003</v>
      </c>
      <c r="AD8746">
        <v>-1.120103649559</v>
      </c>
      <c r="AE8746">
        <v>-31.302159999999901</v>
      </c>
      <c r="AF8746">
        <v>-7.1952394306206999</v>
      </c>
      <c r="AG8746">
        <v>-1.120103649559</v>
      </c>
      <c r="AH8746">
        <v>31.4046960002118</v>
      </c>
      <c r="AI8746">
        <v>91.991139846234404</v>
      </c>
      <c r="AJ8746">
        <v>102.904513739547</v>
      </c>
      <c r="AK8746">
        <v>32.237881963854797</v>
      </c>
      <c r="AL8746">
        <v>82.501253561645996</v>
      </c>
      <c r="AM8746">
        <v>98.342359586672401</v>
      </c>
      <c r="AN8746">
        <v>0.99999999550442997</v>
      </c>
    </row>
    <row r="8747" spans="1:40" x14ac:dyDescent="0.25">
      <c r="A8747" t="str">
        <f>"20190303162123104"</f>
        <v>20190303162123104</v>
      </c>
      <c r="B8747" t="str">
        <f>"1551601283091676"</f>
        <v>1551601283091676</v>
      </c>
      <c r="C8747" t="s">
        <v>40</v>
      </c>
      <c r="D8747">
        <v>4.7334329999999998</v>
      </c>
      <c r="E8747">
        <v>0.46828570000000003</v>
      </c>
      <c r="F8747" t="s">
        <v>62</v>
      </c>
      <c r="G8747">
        <v>-293.92860000000002</v>
      </c>
      <c r="H8747" s="1">
        <v>-8.6877589999999996E-6</v>
      </c>
      <c r="I8747">
        <v>-57.045400000000001</v>
      </c>
      <c r="J8747">
        <v>-301.6875</v>
      </c>
      <c r="K8747">
        <v>1.1201350000000001</v>
      </c>
      <c r="L8747">
        <v>-26.504549999999998</v>
      </c>
      <c r="M8747">
        <v>1.8190350000000001E-2</v>
      </c>
      <c r="N8747">
        <v>-4.710466E-3</v>
      </c>
      <c r="O8747">
        <v>-0.99982349999999998</v>
      </c>
      <c r="P8747">
        <v>0.16758210000000001</v>
      </c>
      <c r="Q8747">
        <v>0.12493609999999999</v>
      </c>
      <c r="R8747">
        <v>-0.97790969999999999</v>
      </c>
      <c r="S8747">
        <v>0.74459839999999999</v>
      </c>
      <c r="T8747">
        <v>-0.1074295</v>
      </c>
      <c r="U8747">
        <v>-2.9557799999999999</v>
      </c>
      <c r="V8747">
        <v>-0.1496614</v>
      </c>
      <c r="W8747">
        <v>0.1296757</v>
      </c>
      <c r="X8747">
        <v>0.98019679999999998</v>
      </c>
      <c r="Y8747">
        <v>-0.22646579999999999</v>
      </c>
      <c r="Z8747">
        <v>3.0593019999999999E-2</v>
      </c>
      <c r="AA8747">
        <v>0.97353860000000003</v>
      </c>
      <c r="AB8747">
        <v>24</v>
      </c>
      <c r="AC8747">
        <v>7.7588999999999801</v>
      </c>
      <c r="AD8747">
        <v>-1.1201436877590001</v>
      </c>
      <c r="AE8747">
        <v>-30.540849999999999</v>
      </c>
      <c r="AF8747">
        <v>-7.1929720014819702</v>
      </c>
      <c r="AG8747">
        <v>-1.1201436877590001</v>
      </c>
      <c r="AH8747">
        <v>30.638219701827499</v>
      </c>
      <c r="AI8747">
        <v>92.038445629019407</v>
      </c>
      <c r="AJ8747">
        <v>103.212128058649</v>
      </c>
      <c r="AK8747">
        <v>31.491174550860801</v>
      </c>
      <c r="AL8747">
        <v>82.549147663345195</v>
      </c>
      <c r="AM8747">
        <v>98.681162926988193</v>
      </c>
      <c r="AN8747">
        <v>1.0000000442753401</v>
      </c>
    </row>
    <row r="8748" spans="1:40" x14ac:dyDescent="0.25">
      <c r="A8748" t="str">
        <f>"20190303162123128"</f>
        <v>20190303162123128</v>
      </c>
      <c r="B8748" t="str">
        <f>"1551601283122908"</f>
        <v>1551601283122908</v>
      </c>
      <c r="C8748" t="s">
        <v>40</v>
      </c>
      <c r="D8748">
        <v>4.7847400000000002</v>
      </c>
      <c r="E8748">
        <v>0.46889239999999999</v>
      </c>
      <c r="F8748" t="s">
        <v>62</v>
      </c>
      <c r="G8748">
        <v>-294.13740000000001</v>
      </c>
      <c r="H8748" s="1">
        <v>-8.7237349999999999E-6</v>
      </c>
      <c r="I8748">
        <v>-55.9255</v>
      </c>
      <c r="J8748">
        <v>-301.6832</v>
      </c>
      <c r="K8748">
        <v>1.1201950000000001</v>
      </c>
      <c r="L8748">
        <v>-26.772860000000001</v>
      </c>
      <c r="M8748">
        <v>1.765738E-2</v>
      </c>
      <c r="N8748">
        <v>-5.1319649999999996E-3</v>
      </c>
      <c r="O8748">
        <v>-0.99983109999999997</v>
      </c>
      <c r="P8748">
        <v>0.17117929999999901</v>
      </c>
      <c r="Q8748">
        <v>0.12357849999999999</v>
      </c>
      <c r="R8748">
        <v>-0.97745930000000003</v>
      </c>
      <c r="S8748">
        <v>0.75762940000000001</v>
      </c>
      <c r="T8748">
        <v>-0.1124029</v>
      </c>
      <c r="U8748">
        <v>-2.9523009999999998</v>
      </c>
      <c r="V8748">
        <v>-0.15378559999999999</v>
      </c>
      <c r="W8748">
        <v>0.12873570000000001</v>
      </c>
      <c r="X8748">
        <v>0.9796821</v>
      </c>
      <c r="Y8748">
        <v>-0.2312767</v>
      </c>
      <c r="Z8748">
        <v>3.1806069999999999E-2</v>
      </c>
      <c r="AA8748">
        <v>0.97236800000000001</v>
      </c>
      <c r="AB8748">
        <v>24</v>
      </c>
      <c r="AC8748">
        <v>7.5457999999999803</v>
      </c>
      <c r="AD8748">
        <v>-1.120203723735</v>
      </c>
      <c r="AE8748">
        <v>-29.152640000000002</v>
      </c>
      <c r="AF8748">
        <v>-7.0201431065948103</v>
      </c>
      <c r="AG8748">
        <v>-1.120203723735</v>
      </c>
      <c r="AH8748">
        <v>29.240871985011601</v>
      </c>
      <c r="AI8748">
        <v>92.133339507739194</v>
      </c>
      <c r="AJ8748">
        <v>103.50005714711</v>
      </c>
      <c r="AK8748">
        <v>30.0926213558004</v>
      </c>
      <c r="AL8748">
        <v>82.603460289580298</v>
      </c>
      <c r="AM8748">
        <v>98.921204257525005</v>
      </c>
      <c r="AN8748">
        <v>0.99999995414112897</v>
      </c>
    </row>
    <row r="8749" spans="1:40" x14ac:dyDescent="0.25">
      <c r="A8749" t="str">
        <f>"20190303162123149"</f>
        <v>20190303162123149</v>
      </c>
      <c r="B8749" t="str">
        <f>"1551601283141453"</f>
        <v>1551601283141453</v>
      </c>
      <c r="C8749" t="s">
        <v>40</v>
      </c>
      <c r="D8749">
        <v>4.7728250000000001</v>
      </c>
      <c r="E8749">
        <v>0.46929559999999998</v>
      </c>
      <c r="F8749" t="s">
        <v>62</v>
      </c>
      <c r="G8749">
        <v>-294.48540000000003</v>
      </c>
      <c r="H8749" s="1">
        <v>-8.7352189999999993E-6</v>
      </c>
      <c r="I8749">
        <v>-54.584969999999998</v>
      </c>
      <c r="J8749">
        <v>-301.67970000000003</v>
      </c>
      <c r="K8749">
        <v>1.1202620000000001</v>
      </c>
      <c r="L8749">
        <v>-26.99765</v>
      </c>
      <c r="M8749">
        <v>1.719679E-2</v>
      </c>
      <c r="N8749">
        <v>-5.5708759999999998E-3</v>
      </c>
      <c r="O8749">
        <v>-0.99983690000000003</v>
      </c>
      <c r="P8749">
        <v>0.17404430000000001</v>
      </c>
      <c r="Q8749">
        <v>0.122754</v>
      </c>
      <c r="R8749">
        <v>-0.97705730000000002</v>
      </c>
      <c r="S8749">
        <v>0.76358029999999999</v>
      </c>
      <c r="T8749">
        <v>-0.1188377</v>
      </c>
      <c r="U8749">
        <v>-2.9504700000000001</v>
      </c>
      <c r="V8749">
        <v>-0.1571052</v>
      </c>
      <c r="W8749">
        <v>0.1283465</v>
      </c>
      <c r="X8749">
        <v>0.97920640000000003</v>
      </c>
      <c r="Y8749">
        <v>-0.2336907</v>
      </c>
      <c r="Z8749">
        <v>3.3481940000000002E-2</v>
      </c>
      <c r="AA8749">
        <v>0.97173430000000005</v>
      </c>
      <c r="AB8749">
        <v>25</v>
      </c>
      <c r="AC8749">
        <v>7.1942999999999904</v>
      </c>
      <c r="AD8749">
        <v>-1.120270735219</v>
      </c>
      <c r="AE8749">
        <v>-27.587319999999998</v>
      </c>
      <c r="AF8749">
        <v>-6.7084575505660498</v>
      </c>
      <c r="AG8749">
        <v>-1.120270735219</v>
      </c>
      <c r="AH8749">
        <v>27.664247013798899</v>
      </c>
      <c r="AI8749">
        <v>92.253693756066994</v>
      </c>
      <c r="AJ8749">
        <v>103.630855115873</v>
      </c>
      <c r="AK8749">
        <v>28.4880496360915</v>
      </c>
      <c r="AL8749">
        <v>82.625946843158005</v>
      </c>
      <c r="AM8749">
        <v>99.114931698680607</v>
      </c>
      <c r="AN8749">
        <v>1.0000000208651201</v>
      </c>
    </row>
    <row r="8750" spans="1:40" x14ac:dyDescent="0.25">
      <c r="A8750" t="str">
        <f>"20190303162123172"</f>
        <v>20190303162123172</v>
      </c>
      <c r="B8750" t="str">
        <f>"1551601283160972"</f>
        <v>1551601283160972</v>
      </c>
      <c r="C8750" t="s">
        <v>40</v>
      </c>
      <c r="D8750">
        <v>4.6861179999999996</v>
      </c>
      <c r="E8750">
        <v>0.46965839999999998</v>
      </c>
      <c r="F8750" t="s">
        <v>62</v>
      </c>
      <c r="G8750">
        <v>-294.67630000000003</v>
      </c>
      <c r="H8750" s="1">
        <v>-8.7452499999999905E-6</v>
      </c>
      <c r="I8750">
        <v>-53.90016</v>
      </c>
      <c r="J8750">
        <v>-301.67599999999999</v>
      </c>
      <c r="K8750">
        <v>1.1203289999999999</v>
      </c>
      <c r="L8750">
        <v>-27.245699999999999</v>
      </c>
      <c r="M8750">
        <v>1.6675410000000002E-2</v>
      </c>
      <c r="N8750">
        <v>-6.1069439999999996E-3</v>
      </c>
      <c r="O8750">
        <v>-0.99984260000000003</v>
      </c>
      <c r="P8750">
        <v>0.17587349999999999</v>
      </c>
      <c r="Q8750">
        <v>0.12229230000000001</v>
      </c>
      <c r="R8750">
        <v>-0.97678770000000004</v>
      </c>
      <c r="S8750">
        <v>0.76773069999999999</v>
      </c>
      <c r="T8750">
        <v>-0.1228071</v>
      </c>
      <c r="U8750">
        <v>-2.9491269999999998</v>
      </c>
      <c r="V8750">
        <v>-0.15944449999999999</v>
      </c>
      <c r="W8750">
        <v>0.12841649999999999</v>
      </c>
      <c r="X8750">
        <v>0.97881899999999999</v>
      </c>
      <c r="Y8750">
        <v>-0.2355748</v>
      </c>
      <c r="Z8750">
        <v>3.4251080000000003E-2</v>
      </c>
      <c r="AA8750">
        <v>0.97125240000000002</v>
      </c>
      <c r="AB8750">
        <v>25</v>
      </c>
      <c r="AC8750">
        <v>6.9996999999999598</v>
      </c>
      <c r="AD8750">
        <v>-1.1203377452500001</v>
      </c>
      <c r="AE8750">
        <v>-26.654459999999901</v>
      </c>
      <c r="AF8750">
        <v>-6.54343013071081</v>
      </c>
      <c r="AG8750">
        <v>-1.1203377452500001</v>
      </c>
      <c r="AH8750">
        <v>26.723312973964401</v>
      </c>
      <c r="AI8750">
        <v>92.331833709140398</v>
      </c>
      <c r="AJ8750">
        <v>103.75865176693399</v>
      </c>
      <c r="AK8750">
        <v>27.535560478105001</v>
      </c>
      <c r="AL8750">
        <v>82.621902446608104</v>
      </c>
      <c r="AM8750">
        <v>99.251921847588605</v>
      </c>
      <c r="AN8750">
        <v>0.99999999040674903</v>
      </c>
    </row>
    <row r="8751" spans="1:40" x14ac:dyDescent="0.25">
      <c r="A8751" t="str">
        <f>"20190303162123201"</f>
        <v>20190303162123201</v>
      </c>
      <c r="B8751" t="str">
        <f>"1551601283191736"</f>
        <v>1551601283191736</v>
      </c>
      <c r="C8751" t="s">
        <v>40</v>
      </c>
      <c r="D8751">
        <v>4.727195</v>
      </c>
      <c r="E8751">
        <v>0.47006579999999898</v>
      </c>
      <c r="F8751" t="s">
        <v>62</v>
      </c>
      <c r="G8751">
        <v>-294.80099999999999</v>
      </c>
      <c r="H8751" s="1">
        <v>-8.7351269999999993E-6</v>
      </c>
      <c r="I8751">
        <v>-53.600830000000002</v>
      </c>
      <c r="J8751">
        <v>-301.67129999999997</v>
      </c>
      <c r="K8751">
        <v>1.120412</v>
      </c>
      <c r="L8751">
        <v>-27.572569999999999</v>
      </c>
      <c r="M8751">
        <v>1.596537E-2</v>
      </c>
      <c r="N8751">
        <v>-6.8446389999999996E-3</v>
      </c>
      <c r="O8751">
        <v>-0.99984910000000005</v>
      </c>
      <c r="P8751">
        <v>0.1780273</v>
      </c>
      <c r="Q8751">
        <v>0.1218255</v>
      </c>
      <c r="R8751">
        <v>-0.97645519999999997</v>
      </c>
      <c r="S8751">
        <v>0.76913450000000005</v>
      </c>
      <c r="T8751">
        <v>-0.12533810000000001</v>
      </c>
      <c r="U8751">
        <v>-2.9484859999999999</v>
      </c>
      <c r="V8751">
        <v>-0.16228989999999999</v>
      </c>
      <c r="W8751">
        <v>0.12868270000000001</v>
      </c>
      <c r="X8751">
        <v>0.97831630000000003</v>
      </c>
      <c r="Y8751">
        <v>-0.23674290000000001</v>
      </c>
      <c r="Z8751">
        <v>3.4345960000000002E-2</v>
      </c>
      <c r="AA8751">
        <v>0.97096499999999997</v>
      </c>
      <c r="AB8751">
        <v>25</v>
      </c>
      <c r="AC8751">
        <v>6.8702999999999799</v>
      </c>
      <c r="AD8751">
        <v>-1.1204207351269999</v>
      </c>
      <c r="AE8751">
        <v>-26.02826</v>
      </c>
      <c r="AF8751">
        <v>-6.4427031188735198</v>
      </c>
      <c r="AG8751">
        <v>-1.1204207351269999</v>
      </c>
      <c r="AH8751">
        <v>26.089437341916501</v>
      </c>
      <c r="AI8751">
        <v>92.3874453863897</v>
      </c>
      <c r="AJ8751">
        <v>103.871480514684</v>
      </c>
      <c r="AK8751">
        <v>26.8965147727254</v>
      </c>
      <c r="AL8751">
        <v>82.606522894848197</v>
      </c>
      <c r="AM8751">
        <v>99.418849256590306</v>
      </c>
      <c r="AN8751">
        <v>1.0000000158834901</v>
      </c>
    </row>
    <row r="8752" spans="1:40" x14ac:dyDescent="0.25">
      <c r="A8752" t="str">
        <f>"20190303162123223"</f>
        <v>20190303162123223</v>
      </c>
      <c r="B8752" t="str">
        <f>"1551601283211256"</f>
        <v>1551601283211256</v>
      </c>
      <c r="C8752" t="s">
        <v>40</v>
      </c>
      <c r="D8752">
        <v>4.618995</v>
      </c>
      <c r="E8752">
        <v>0.50499550000000004</v>
      </c>
      <c r="F8752" t="s">
        <v>62</v>
      </c>
      <c r="G8752">
        <v>-294.95190000000002</v>
      </c>
      <c r="H8752" s="1">
        <v>-8.7224940000000002E-6</v>
      </c>
      <c r="I8752">
        <v>-53.242429999999999</v>
      </c>
      <c r="J8752">
        <v>-301.66800000000001</v>
      </c>
      <c r="K8752">
        <v>1.1204620000000001</v>
      </c>
      <c r="L8752">
        <v>-27.817779999999999</v>
      </c>
      <c r="M8752">
        <v>1.5404859999999999E-2</v>
      </c>
      <c r="N8752">
        <v>-7.3918650000000001E-3</v>
      </c>
      <c r="O8752">
        <v>-0.99985420000000003</v>
      </c>
      <c r="P8752">
        <v>0.1793786</v>
      </c>
      <c r="Q8752">
        <v>0.1212357</v>
      </c>
      <c r="R8752">
        <v>-0.97628130000000002</v>
      </c>
      <c r="S8752">
        <v>0.77160640000000003</v>
      </c>
      <c r="T8752">
        <v>-0.128660199999999</v>
      </c>
      <c r="U8752">
        <v>-2.9477229999999999</v>
      </c>
      <c r="V8752">
        <v>-0.1641859</v>
      </c>
      <c r="W8752">
        <v>0.12863640000000001</v>
      </c>
      <c r="X8752">
        <v>0.97800589999999998</v>
      </c>
      <c r="Y8752">
        <v>-0.23810139999999999</v>
      </c>
      <c r="Z8752">
        <v>3.4888919999999997E-2</v>
      </c>
      <c r="AA8752">
        <v>0.97061350000000002</v>
      </c>
      <c r="AB8752">
        <v>25</v>
      </c>
      <c r="AC8752">
        <v>6.7160999999999804</v>
      </c>
      <c r="AD8752">
        <v>-1.120470722494</v>
      </c>
      <c r="AE8752">
        <v>-25.42465</v>
      </c>
      <c r="AF8752">
        <v>-6.3121694459623896</v>
      </c>
      <c r="AG8752">
        <v>-1.120470722494</v>
      </c>
      <c r="AH8752">
        <v>25.478839372488402</v>
      </c>
      <c r="AI8752">
        <v>92.444248297039707</v>
      </c>
      <c r="AJ8752">
        <v>103.91439583703099</v>
      </c>
      <c r="AK8752">
        <v>26.272993615566001</v>
      </c>
      <c r="AL8752">
        <v>82.609197334263996</v>
      </c>
      <c r="AM8752">
        <v>99.529850260393104</v>
      </c>
      <c r="AN8752">
        <v>0.999999936799288</v>
      </c>
    </row>
    <row r="8753" spans="1:40" x14ac:dyDescent="0.25">
      <c r="A8753" t="str">
        <f>"20190303162123246"</f>
        <v>20190303162123246</v>
      </c>
      <c r="B8753" t="str">
        <f>"1551601283241512"</f>
        <v>1551601283241512</v>
      </c>
      <c r="C8753" t="s">
        <v>40</v>
      </c>
      <c r="D8753">
        <v>4.5961069999999999</v>
      </c>
      <c r="E8753">
        <v>0.51361599999999996</v>
      </c>
      <c r="F8753" t="s">
        <v>62</v>
      </c>
      <c r="G8753">
        <v>-295.78989999999999</v>
      </c>
      <c r="H8753" s="1">
        <v>-1.216135E-5</v>
      </c>
      <c r="I8753">
        <v>-62.956319999999998</v>
      </c>
      <c r="J8753">
        <v>-301.66489999999999</v>
      </c>
      <c r="K8753">
        <v>1.120501</v>
      </c>
      <c r="L8753">
        <v>-28.062709999999999</v>
      </c>
      <c r="M8753">
        <v>1.480591E-2</v>
      </c>
      <c r="N8753">
        <v>-7.9077580000000008E-3</v>
      </c>
      <c r="O8753">
        <v>-0.99985930000000001</v>
      </c>
      <c r="P8753">
        <v>0.18076829999999999</v>
      </c>
      <c r="Q8753">
        <v>0.1207015</v>
      </c>
      <c r="R8753">
        <v>-0.9760913</v>
      </c>
      <c r="S8753">
        <v>0.50064090000000006</v>
      </c>
      <c r="T8753">
        <v>-9.543037E-2</v>
      </c>
      <c r="U8753">
        <v>-2.992737</v>
      </c>
      <c r="V8753">
        <v>-0.16615829999999901</v>
      </c>
      <c r="W8753">
        <v>0.12861510000000001</v>
      </c>
      <c r="X8753">
        <v>0.97767559999999998</v>
      </c>
      <c r="Y8753">
        <v>-0.15030199999999999</v>
      </c>
      <c r="Z8753">
        <v>2.3571419999999999E-2</v>
      </c>
      <c r="AA8753">
        <v>0.98835910000000005</v>
      </c>
      <c r="AB8753">
        <v>25</v>
      </c>
      <c r="AC8753">
        <v>5.875</v>
      </c>
      <c r="AD8753">
        <v>-1.1205131613499999</v>
      </c>
      <c r="AE8753">
        <v>-34.893609999999903</v>
      </c>
      <c r="AF8753">
        <v>-5.35234109749429</v>
      </c>
      <c r="AG8753">
        <v>-1.1205131613499999</v>
      </c>
      <c r="AH8753">
        <v>34.9417338030512</v>
      </c>
      <c r="AI8753">
        <v>91.815572110858795</v>
      </c>
      <c r="AJ8753">
        <v>98.708819252227201</v>
      </c>
      <c r="AK8753">
        <v>35.367044916588299</v>
      </c>
      <c r="AL8753">
        <v>82.610428439396898</v>
      </c>
      <c r="AM8753">
        <v>99.645393786684195</v>
      </c>
      <c r="AN8753">
        <v>1.0000000017211299</v>
      </c>
    </row>
    <row r="8754" spans="1:40" x14ac:dyDescent="0.25">
      <c r="A8754" t="str">
        <f>"20190303162123267"</f>
        <v>20190303162123267</v>
      </c>
      <c r="B8754" t="str">
        <f>"1551601283261032"</f>
        <v>1551601283261032</v>
      </c>
      <c r="C8754" t="s">
        <v>40</v>
      </c>
      <c r="D8754">
        <v>4.612412</v>
      </c>
      <c r="E8754">
        <v>0.51626459999999996</v>
      </c>
      <c r="F8754" t="s">
        <v>62</v>
      </c>
      <c r="G8754">
        <v>-296.15550000000002</v>
      </c>
      <c r="H8754" s="1">
        <v>-1.294467E-5</v>
      </c>
      <c r="I8754">
        <v>-65.990899999999996</v>
      </c>
      <c r="J8754">
        <v>-301.66199999999998</v>
      </c>
      <c r="K8754">
        <v>1.12053799999999</v>
      </c>
      <c r="L8754">
        <v>-28.311219999999999</v>
      </c>
      <c r="M8754">
        <v>1.414841E-2</v>
      </c>
      <c r="N8754">
        <v>-8.3830599999999995E-3</v>
      </c>
      <c r="O8754">
        <v>-0.9998648</v>
      </c>
      <c r="P8754">
        <v>0.1811835</v>
      </c>
      <c r="Q8754">
        <v>0.12063119999999999</v>
      </c>
      <c r="R8754">
        <v>-0.97602279999999997</v>
      </c>
      <c r="S8754">
        <v>0.43630980000000003</v>
      </c>
      <c r="T8754">
        <v>-8.8736410000000002E-2</v>
      </c>
      <c r="U8754">
        <v>-3.0036320000000001</v>
      </c>
      <c r="V8754">
        <v>-0.1672109</v>
      </c>
      <c r="W8754">
        <v>0.12901750000000001</v>
      </c>
      <c r="X8754">
        <v>0.97744310000000001</v>
      </c>
      <c r="Y8754">
        <v>-0.1296841</v>
      </c>
      <c r="Z8754">
        <v>2.08758E-2</v>
      </c>
      <c r="AA8754">
        <v>0.99133559999999998</v>
      </c>
      <c r="AB8754">
        <v>25</v>
      </c>
      <c r="AC8754">
        <v>5.5065000000000097</v>
      </c>
      <c r="AD8754">
        <v>-1.1205509446699899</v>
      </c>
      <c r="AE8754">
        <v>-37.679679999999898</v>
      </c>
      <c r="AF8754">
        <v>-4.9685202425463597</v>
      </c>
      <c r="AG8754">
        <v>-1.1205509446699899</v>
      </c>
      <c r="AH8754">
        <v>37.721156171823303</v>
      </c>
      <c r="AI8754">
        <v>91.686975036675406</v>
      </c>
      <c r="AJ8754">
        <v>97.503636775107793</v>
      </c>
      <c r="AK8754">
        <v>38.0634660896676</v>
      </c>
      <c r="AL8754">
        <v>82.587178953356997</v>
      </c>
      <c r="AM8754">
        <v>99.707602675252701</v>
      </c>
      <c r="AN8754">
        <v>1.00000000706133</v>
      </c>
    </row>
    <row r="8755" spans="1:40" x14ac:dyDescent="0.25">
      <c r="A8755" t="str">
        <f>"20190303162123291"</f>
        <v>20190303162123291</v>
      </c>
      <c r="B8755" t="str">
        <f>"1551601283281528"</f>
        <v>1551601283281528</v>
      </c>
      <c r="C8755" t="s">
        <v>40</v>
      </c>
      <c r="D8755">
        <v>4.6151150000000003</v>
      </c>
      <c r="E8755">
        <v>0.51787260000000002</v>
      </c>
      <c r="F8755" t="s">
        <v>62</v>
      </c>
      <c r="G8755">
        <v>-295.96620000000001</v>
      </c>
      <c r="H8755" s="1">
        <v>-1.3551069999999999E-5</v>
      </c>
      <c r="I8755">
        <v>-69.466480000000004</v>
      </c>
      <c r="J8755">
        <v>-301.65929999999997</v>
      </c>
      <c r="K8755">
        <v>1.12056</v>
      </c>
      <c r="L8755">
        <v>-28.56146</v>
      </c>
      <c r="M8755">
        <v>1.3447499999999999E-2</v>
      </c>
      <c r="N8755">
        <v>-8.8127740000000006E-3</v>
      </c>
      <c r="O8755">
        <v>-0.99987110000000001</v>
      </c>
      <c r="P8755">
        <v>0.18075369999999999</v>
      </c>
      <c r="Q8755">
        <v>0.1201073</v>
      </c>
      <c r="R8755">
        <v>-0.97616760000000002</v>
      </c>
      <c r="S8755">
        <v>0.41610720000000001</v>
      </c>
      <c r="T8755">
        <v>-8.1860899999999903E-2</v>
      </c>
      <c r="U8755">
        <v>-3.006561</v>
      </c>
      <c r="V8755">
        <v>-0.16745950000000001</v>
      </c>
      <c r="W8755">
        <v>0.12892110000000001</v>
      </c>
      <c r="X8755">
        <v>0.97741319999999998</v>
      </c>
      <c r="Y8755">
        <v>-0.12371749999999999</v>
      </c>
      <c r="Z8755">
        <v>1.8178179999999999E-2</v>
      </c>
      <c r="AA8755">
        <v>0.99215100000000001</v>
      </c>
      <c r="AB8755">
        <v>25</v>
      </c>
      <c r="AC8755">
        <v>5.6930999999999496</v>
      </c>
      <c r="AD8755">
        <v>-1.1205735510699999</v>
      </c>
      <c r="AE8755">
        <v>-40.90502</v>
      </c>
      <c r="AF8755">
        <v>-5.1387106443339201</v>
      </c>
      <c r="AG8755">
        <v>-1.1205735510699999</v>
      </c>
      <c r="AH8755">
        <v>40.947736227306599</v>
      </c>
      <c r="AI8755">
        <v>91.5553682775856</v>
      </c>
      <c r="AJ8755">
        <v>97.152904580916797</v>
      </c>
      <c r="AK8755">
        <v>41.28412690503</v>
      </c>
      <c r="AL8755">
        <v>82.592748348803198</v>
      </c>
      <c r="AM8755">
        <v>99.722051903950799</v>
      </c>
      <c r="AN8755">
        <v>0.999999948849848</v>
      </c>
    </row>
    <row r="8756" spans="1:40" x14ac:dyDescent="0.25">
      <c r="A8756" t="str">
        <f>"20190303162123314"</f>
        <v>20190303162123314</v>
      </c>
      <c r="B8756" t="str">
        <f>"1551601283301048"</f>
        <v>1551601283301048</v>
      </c>
      <c r="C8756" t="s">
        <v>40</v>
      </c>
      <c r="D8756">
        <v>4.6144089999999904</v>
      </c>
      <c r="E8756">
        <v>0.51875260000000001</v>
      </c>
      <c r="F8756" t="s">
        <v>62</v>
      </c>
      <c r="G8756">
        <v>-296.1454</v>
      </c>
      <c r="H8756" s="1">
        <v>-1.367444E-5</v>
      </c>
      <c r="I8756">
        <v>-69.798550000000006</v>
      </c>
      <c r="J8756">
        <v>-301.6567</v>
      </c>
      <c r="K8756">
        <v>1.120571</v>
      </c>
      <c r="L8756">
        <v>-28.818999999999999</v>
      </c>
      <c r="M8756">
        <v>1.269058E-2</v>
      </c>
      <c r="N8756">
        <v>-9.2053670000000008E-3</v>
      </c>
      <c r="O8756">
        <v>-0.99987709999999996</v>
      </c>
      <c r="P8756">
        <v>0.1810853</v>
      </c>
      <c r="Q8756">
        <v>0.1201826</v>
      </c>
      <c r="R8756">
        <v>-0.97609639999999998</v>
      </c>
      <c r="S8756">
        <v>0.40231319999999998</v>
      </c>
      <c r="T8756">
        <v>-8.1761479999999997E-2</v>
      </c>
      <c r="U8756">
        <v>-3.0088200000000001</v>
      </c>
      <c r="V8756">
        <v>-0.16852619999999999</v>
      </c>
      <c r="W8756">
        <v>0.12938820000000001</v>
      </c>
      <c r="X8756">
        <v>0.97716809999999998</v>
      </c>
      <c r="Y8756">
        <v>-0.1199013</v>
      </c>
      <c r="Z8756">
        <v>1.774748E-2</v>
      </c>
      <c r="AA8756">
        <v>0.99262720000000004</v>
      </c>
      <c r="AB8756">
        <v>25</v>
      </c>
      <c r="AC8756">
        <v>5.5113000000000003</v>
      </c>
      <c r="AD8756">
        <v>-1.1205846744399901</v>
      </c>
      <c r="AE8756">
        <v>-40.979550000000003</v>
      </c>
      <c r="AF8756">
        <v>-4.9871169993347904</v>
      </c>
      <c r="AG8756">
        <v>-1.1205846744399901</v>
      </c>
      <c r="AH8756">
        <v>41.016069460799898</v>
      </c>
      <c r="AI8756">
        <v>91.553531363655907</v>
      </c>
      <c r="AJ8756">
        <v>96.932526507276904</v>
      </c>
      <c r="AK8756">
        <v>41.333340053651703</v>
      </c>
      <c r="AL8756">
        <v>82.565759383437396</v>
      </c>
      <c r="AM8756">
        <v>99.785193820359794</v>
      </c>
      <c r="AN8756">
        <v>0.99999994102164302</v>
      </c>
    </row>
    <row r="8757" spans="1:40" x14ac:dyDescent="0.25">
      <c r="A8757" t="str">
        <f>"20190303162123338"</f>
        <v>20190303162123338</v>
      </c>
      <c r="B8757" t="str">
        <f>"1551601283331304"</f>
        <v>1551601283331304</v>
      </c>
      <c r="C8757" t="s">
        <v>40</v>
      </c>
      <c r="D8757">
        <v>4.6000220000000001</v>
      </c>
      <c r="E8757">
        <v>0.51945589999999997</v>
      </c>
      <c r="F8757" t="s">
        <v>62</v>
      </c>
      <c r="G8757">
        <v>-296.18090000000001</v>
      </c>
      <c r="H8757">
        <v>6.8248129999999999E-3</v>
      </c>
      <c r="I8757">
        <v>-70.383709999999994</v>
      </c>
      <c r="J8757">
        <v>-301.65429999999998</v>
      </c>
      <c r="K8757">
        <v>1.1205620000000001</v>
      </c>
      <c r="L8757">
        <v>-29.07742</v>
      </c>
      <c r="M8757">
        <v>1.1897410000000001E-2</v>
      </c>
      <c r="N8757">
        <v>-9.5524200000000007E-3</v>
      </c>
      <c r="O8757">
        <v>-0.99988379999999999</v>
      </c>
      <c r="P8757">
        <v>0.18188889999999999</v>
      </c>
      <c r="Q8757">
        <v>0.12053460000000001</v>
      </c>
      <c r="R8757">
        <v>-0.97590390000000005</v>
      </c>
      <c r="S8757">
        <v>0.3965149</v>
      </c>
      <c r="T8757">
        <v>-8.0649730000000003E-2</v>
      </c>
      <c r="U8757">
        <v>-3.009827</v>
      </c>
      <c r="V8757">
        <v>-0.1701001</v>
      </c>
      <c r="W8757">
        <v>0.13008699999999901</v>
      </c>
      <c r="X8757">
        <v>0.97680259999999997</v>
      </c>
      <c r="Y8757">
        <v>-0.118767</v>
      </c>
      <c r="Z8757">
        <v>1.7030730000000001E-2</v>
      </c>
      <c r="AA8757">
        <v>0.99277610000000005</v>
      </c>
      <c r="AB8757">
        <v>25</v>
      </c>
      <c r="AC8757">
        <v>5.4733999999999696</v>
      </c>
      <c r="AD8757">
        <v>-1.1137371869999999</v>
      </c>
      <c r="AE8757">
        <v>-41.306289999999898</v>
      </c>
      <c r="AF8757">
        <v>-4.9779958408880196</v>
      </c>
      <c r="AG8757">
        <v>-1.1137371869999999</v>
      </c>
      <c r="AH8757">
        <v>41.338953707176699</v>
      </c>
      <c r="AI8757">
        <v>91.532202426262501</v>
      </c>
      <c r="AJ8757">
        <v>96.866438889046293</v>
      </c>
      <c r="AK8757">
        <v>41.652490282307298</v>
      </c>
      <c r="AL8757">
        <v>82.525380225338196</v>
      </c>
      <c r="AM8757">
        <v>99.878411001365905</v>
      </c>
      <c r="AN8757">
        <v>0.99999999547788498</v>
      </c>
    </row>
    <row r="8758" spans="1:40" x14ac:dyDescent="0.25">
      <c r="A8758" t="str">
        <f>"20190303162123358"</f>
        <v>20190303162123358</v>
      </c>
      <c r="B8758" t="str">
        <f>"1551601283351799"</f>
        <v>1551601283351799</v>
      </c>
      <c r="C8758" t="s">
        <v>40</v>
      </c>
      <c r="D8758">
        <v>4.6309699999999996</v>
      </c>
      <c r="E8758">
        <v>0.51944120000000005</v>
      </c>
      <c r="F8758" t="s">
        <v>62</v>
      </c>
      <c r="G8758">
        <v>-296.31740000000002</v>
      </c>
      <c r="H8758" s="1">
        <v>-1.376574E-5</v>
      </c>
      <c r="I8758">
        <v>-69.972809999999996</v>
      </c>
      <c r="J8758">
        <v>-301.6524</v>
      </c>
      <c r="K8758">
        <v>1.120557</v>
      </c>
      <c r="L8758">
        <v>-29.30453</v>
      </c>
      <c r="M8758">
        <v>1.117247E-2</v>
      </c>
      <c r="N8758">
        <v>-9.8204659999999999E-3</v>
      </c>
      <c r="O8758">
        <v>-0.99988960000000005</v>
      </c>
      <c r="P8758">
        <v>0.1829422</v>
      </c>
      <c r="Q8758">
        <v>0.12087290000000001</v>
      </c>
      <c r="R8758">
        <v>-0.97566520000000001</v>
      </c>
      <c r="S8758">
        <v>0.39294430000000002</v>
      </c>
      <c r="T8758">
        <v>-8.250499E-2</v>
      </c>
      <c r="U8758">
        <v>-3.0110169999999998</v>
      </c>
      <c r="V8758">
        <v>-0.17185780000000001</v>
      </c>
      <c r="W8758">
        <v>0.13069449999999999</v>
      </c>
      <c r="X8758">
        <v>0.9764138</v>
      </c>
      <c r="Y8758">
        <v>-0.1182769</v>
      </c>
      <c r="Z8758">
        <v>1.736594E-2</v>
      </c>
      <c r="AA8758">
        <v>0.99282879999999996</v>
      </c>
      <c r="AB8758">
        <v>25</v>
      </c>
      <c r="AC8758">
        <v>5.3349999999999804</v>
      </c>
      <c r="AD8758">
        <v>-1.1205707657399999</v>
      </c>
      <c r="AE8758">
        <v>-40.668280000000003</v>
      </c>
      <c r="AF8758">
        <v>-4.8766402487719303</v>
      </c>
      <c r="AG8758">
        <v>-1.1205707657399999</v>
      </c>
      <c r="AH8758">
        <v>40.694975785527397</v>
      </c>
      <c r="AI8758">
        <v>91.566090500393003</v>
      </c>
      <c r="AJ8758">
        <v>96.833395091236099</v>
      </c>
      <c r="AK8758">
        <v>41.001443305591501</v>
      </c>
      <c r="AL8758">
        <v>82.490273597827596</v>
      </c>
      <c r="AM8758">
        <v>99.982339898567503</v>
      </c>
      <c r="AN8758">
        <v>1.0000000322907601</v>
      </c>
    </row>
    <row r="8759" spans="1:40" x14ac:dyDescent="0.25">
      <c r="A8759" t="str">
        <f>"20190303162123379"</f>
        <v>20190303162123379</v>
      </c>
      <c r="B8759" t="str">
        <f>"1551601283371320"</f>
        <v>1551601283371320</v>
      </c>
      <c r="C8759" t="s">
        <v>40</v>
      </c>
      <c r="D8759">
        <v>4.6769210000000001</v>
      </c>
      <c r="E8759">
        <v>0.51921359999999905</v>
      </c>
      <c r="F8759" t="s">
        <v>62</v>
      </c>
      <c r="G8759">
        <v>-296.46809999999999</v>
      </c>
      <c r="H8759" s="1">
        <v>-1.3584199999999999E-5</v>
      </c>
      <c r="I8759">
        <v>-68.729029999999995</v>
      </c>
      <c r="J8759">
        <v>-301.6506</v>
      </c>
      <c r="K8759">
        <v>1.1205540000000001</v>
      </c>
      <c r="L8759">
        <v>-29.535340000000001</v>
      </c>
      <c r="M8759">
        <v>1.0408570000000001E-2</v>
      </c>
      <c r="N8759">
        <v>-1.0061169999999999E-2</v>
      </c>
      <c r="O8759">
        <v>-0.99989519999999998</v>
      </c>
      <c r="P8759">
        <v>0.18265709999999999</v>
      </c>
      <c r="Q8759">
        <v>0.1209828</v>
      </c>
      <c r="R8759">
        <v>-0.97570469999999998</v>
      </c>
      <c r="S8759">
        <v>0.39596559999999997</v>
      </c>
      <c r="T8759">
        <v>-8.5587979999999994E-2</v>
      </c>
      <c r="U8759">
        <v>-3.0112000000000001</v>
      </c>
      <c r="V8759">
        <v>-0.17231150000000001</v>
      </c>
      <c r="W8759">
        <v>0.13104859999999999</v>
      </c>
      <c r="X8759">
        <v>0.9762864</v>
      </c>
      <c r="Y8759">
        <v>-0.1200035</v>
      </c>
      <c r="Z8759">
        <v>1.8133839999999998E-2</v>
      </c>
      <c r="AA8759">
        <v>0.99260780000000004</v>
      </c>
      <c r="AB8759">
        <v>25</v>
      </c>
      <c r="AC8759">
        <v>5.1825000000000001</v>
      </c>
      <c r="AD8759">
        <v>-1.1205675842</v>
      </c>
      <c r="AE8759">
        <v>-39.193689999999997</v>
      </c>
      <c r="AF8759">
        <v>-4.7704158986352203</v>
      </c>
      <c r="AG8759">
        <v>-1.1205675842</v>
      </c>
      <c r="AH8759">
        <v>39.214008388211397</v>
      </c>
      <c r="AI8759">
        <v>91.624848993566005</v>
      </c>
      <c r="AJ8759">
        <v>96.9359969109654</v>
      </c>
      <c r="AK8759">
        <v>39.518995349419299</v>
      </c>
      <c r="AL8759">
        <v>82.469809377809796</v>
      </c>
      <c r="AM8759">
        <v>100.009440502383</v>
      </c>
      <c r="AN8759">
        <v>1.0000000617095799</v>
      </c>
    </row>
    <row r="8760" spans="1:40" x14ac:dyDescent="0.25">
      <c r="A8760" t="str">
        <f>"20190303162123402"</f>
        <v>20190303162123402</v>
      </c>
      <c r="B8760" t="str">
        <f>"1551601283391816"</f>
        <v>1551601283391816</v>
      </c>
      <c r="C8760" t="s">
        <v>40</v>
      </c>
      <c r="D8760">
        <v>4.7327329999999996</v>
      </c>
      <c r="E8760">
        <v>0.51920639999999996</v>
      </c>
      <c r="F8760" t="s">
        <v>62</v>
      </c>
      <c r="G8760">
        <v>-296.5779</v>
      </c>
      <c r="H8760" s="1">
        <v>-1.34917899999999E-5</v>
      </c>
      <c r="I8760">
        <v>-68.035640000000001</v>
      </c>
      <c r="J8760">
        <v>-301.649</v>
      </c>
      <c r="K8760">
        <v>1.120539</v>
      </c>
      <c r="L8760">
        <v>-29.784300000000002</v>
      </c>
      <c r="M8760">
        <v>9.5551679999999993E-3</v>
      </c>
      <c r="N8760">
        <v>-1.028924E-2</v>
      </c>
      <c r="O8760">
        <v>-0.9999017</v>
      </c>
      <c r="P8760">
        <v>0.1822056</v>
      </c>
      <c r="Q8760">
        <v>0.120809</v>
      </c>
      <c r="R8760">
        <v>-0.97581059999999997</v>
      </c>
      <c r="S8760">
        <v>0.39675899999999997</v>
      </c>
      <c r="T8760">
        <v>-8.7644929999999996E-2</v>
      </c>
      <c r="U8760">
        <v>-3.0112920000000001</v>
      </c>
      <c r="V8760">
        <v>-0.1726858</v>
      </c>
      <c r="W8760">
        <v>0.13110720000000001</v>
      </c>
      <c r="X8760">
        <v>0.97621230000000003</v>
      </c>
      <c r="Y8760">
        <v>-0.1211015</v>
      </c>
      <c r="Z8760">
        <v>1.8579459999999999E-2</v>
      </c>
      <c r="AA8760">
        <v>0.99246619999999997</v>
      </c>
      <c r="AB8760">
        <v>25</v>
      </c>
      <c r="AC8760">
        <v>5.0711000000000004</v>
      </c>
      <c r="AD8760">
        <v>-1.1205524917899901</v>
      </c>
      <c r="AE8760">
        <v>-38.251339999999999</v>
      </c>
      <c r="AF8760">
        <v>-4.7013863658302597</v>
      </c>
      <c r="AG8760">
        <v>-1.1205524917899901</v>
      </c>
      <c r="AH8760">
        <v>38.265780152821698</v>
      </c>
      <c r="AI8760">
        <v>91.664825394140607</v>
      </c>
      <c r="AJ8760">
        <v>97.004335718377604</v>
      </c>
      <c r="AK8760">
        <v>38.569788725785799</v>
      </c>
      <c r="AL8760">
        <v>82.466421922510094</v>
      </c>
      <c r="AM8760">
        <v>100.03148813336</v>
      </c>
      <c r="AN8760">
        <v>0.99999996904238397</v>
      </c>
    </row>
    <row r="8761" spans="1:40" x14ac:dyDescent="0.25">
      <c r="A8761" t="str">
        <f>"20190303162123424"</f>
        <v>20190303162123424</v>
      </c>
      <c r="B8761" t="str">
        <f>"1551601283411336"</f>
        <v>1551601283411336</v>
      </c>
      <c r="C8761" t="s">
        <v>40</v>
      </c>
      <c r="D8761">
        <v>4.6968769999999997</v>
      </c>
      <c r="E8761">
        <v>0.51926260000000002</v>
      </c>
      <c r="F8761" t="s">
        <v>62</v>
      </c>
      <c r="G8761">
        <v>-296.86349999999999</v>
      </c>
      <c r="H8761" s="1">
        <v>-1.3217410000000001E-5</v>
      </c>
      <c r="I8761">
        <v>-66.239990000000006</v>
      </c>
      <c r="J8761">
        <v>-301.64760000000001</v>
      </c>
      <c r="K8761">
        <v>1.12052</v>
      </c>
      <c r="L8761">
        <v>-30.02966</v>
      </c>
      <c r="M8761">
        <v>8.6839740000000006E-3</v>
      </c>
      <c r="N8761">
        <v>-1.04817E-2</v>
      </c>
      <c r="O8761">
        <v>-0.99990769999999995</v>
      </c>
      <c r="P8761">
        <v>0.1821873</v>
      </c>
      <c r="Q8761">
        <v>0.1200755</v>
      </c>
      <c r="R8761">
        <v>-0.97590489999999996</v>
      </c>
      <c r="S8761">
        <v>0.39538570000000001</v>
      </c>
      <c r="T8761">
        <v>-9.2580800000000005E-2</v>
      </c>
      <c r="U8761">
        <v>-3.0119929999999999</v>
      </c>
      <c r="V8761">
        <v>-0.17351279999999999</v>
      </c>
      <c r="W8761">
        <v>0.1305711</v>
      </c>
      <c r="X8761">
        <v>0.97613749999999999</v>
      </c>
      <c r="Y8761">
        <v>-0.12148639999999999</v>
      </c>
      <c r="Z8761">
        <v>2.0004230000000001E-2</v>
      </c>
      <c r="AA8761">
        <v>0.99239149999999998</v>
      </c>
      <c r="AB8761">
        <v>25</v>
      </c>
      <c r="AC8761">
        <v>4.78410000000002</v>
      </c>
      <c r="AD8761">
        <v>-1.12053321741</v>
      </c>
      <c r="AE8761">
        <v>-36.210329999999999</v>
      </c>
      <c r="AF8761">
        <v>-4.4652502887684404</v>
      </c>
      <c r="AG8761">
        <v>-1.12053321741</v>
      </c>
      <c r="AH8761">
        <v>36.216425869254699</v>
      </c>
      <c r="AI8761">
        <v>91.758851808111999</v>
      </c>
      <c r="AJ8761">
        <v>97.028725803576705</v>
      </c>
      <c r="AK8761">
        <v>36.5078561076364</v>
      </c>
      <c r="AL8761">
        <v>82.497404472289105</v>
      </c>
      <c r="AM8761">
        <v>100.079303233098</v>
      </c>
      <c r="AN8761">
        <v>0.99999996141264902</v>
      </c>
    </row>
    <row r="8762" spans="1:40" x14ac:dyDescent="0.25">
      <c r="A8762" t="str">
        <f>"20190303162123447"</f>
        <v>20190303162123447</v>
      </c>
      <c r="B8762" t="str">
        <f>"1551601283441592"</f>
        <v>1551601283441592</v>
      </c>
      <c r="C8762" t="s">
        <v>40</v>
      </c>
      <c r="D8762">
        <v>4.7008260000000002</v>
      </c>
      <c r="E8762">
        <v>0.51927479999999904</v>
      </c>
      <c r="F8762" t="s">
        <v>62</v>
      </c>
      <c r="G8762">
        <v>-297.08269999999999</v>
      </c>
      <c r="H8762" s="1">
        <v>-1.298563E-5</v>
      </c>
      <c r="I8762">
        <v>-64.886889999999994</v>
      </c>
      <c r="J8762">
        <v>-301.6465</v>
      </c>
      <c r="K8762">
        <v>1.120511</v>
      </c>
      <c r="L8762">
        <v>-30.27966</v>
      </c>
      <c r="M8762">
        <v>7.7645669999999896E-3</v>
      </c>
      <c r="N8762">
        <v>-1.064448E-2</v>
      </c>
      <c r="O8762">
        <v>-0.9999133</v>
      </c>
      <c r="P8762">
        <v>0.1830736</v>
      </c>
      <c r="Q8762">
        <v>0.118947</v>
      </c>
      <c r="R8762">
        <v>-0.97587679999999999</v>
      </c>
      <c r="S8762">
        <v>0.39450069999999998</v>
      </c>
      <c r="T8762">
        <v>-9.6835370000000004E-2</v>
      </c>
      <c r="U8762">
        <v>-3.0123289999999998</v>
      </c>
      <c r="V8762">
        <v>-0.1752928</v>
      </c>
      <c r="W8762">
        <v>0.12961049999999999</v>
      </c>
      <c r="X8762">
        <v>0.97594749999999997</v>
      </c>
      <c r="Y8762">
        <v>-0.1220933</v>
      </c>
      <c r="Z8762">
        <v>2.123674E-2</v>
      </c>
      <c r="AA8762">
        <v>0.99229140000000005</v>
      </c>
      <c r="AB8762">
        <v>25</v>
      </c>
      <c r="AC8762">
        <v>4.5638000000000103</v>
      </c>
      <c r="AD8762">
        <v>-1.12052398563</v>
      </c>
      <c r="AE8762">
        <v>-34.607230000000001</v>
      </c>
      <c r="AF8762">
        <v>-4.29051595649109</v>
      </c>
      <c r="AG8762">
        <v>-1.12052398563</v>
      </c>
      <c r="AH8762">
        <v>34.605965375548799</v>
      </c>
      <c r="AI8762">
        <v>91.840479219171698</v>
      </c>
      <c r="AJ8762">
        <v>97.067578034138293</v>
      </c>
      <c r="AK8762">
        <v>34.888922894651898</v>
      </c>
      <c r="AL8762">
        <v>82.552914699617602</v>
      </c>
      <c r="AM8762">
        <v>100.18249136409899</v>
      </c>
      <c r="AN8762">
        <v>0.99999998509916899</v>
      </c>
    </row>
    <row r="8763" spans="1:40" x14ac:dyDescent="0.25">
      <c r="A8763" t="str">
        <f>"20190303162123468"</f>
        <v>20190303162123468</v>
      </c>
      <c r="B8763" t="str">
        <f>"1551601283461112"</f>
        <v>1551601283461112</v>
      </c>
      <c r="C8763" t="s">
        <v>40</v>
      </c>
      <c r="D8763">
        <v>4.6911430000000003</v>
      </c>
      <c r="E8763">
        <v>0.51927270000000003</v>
      </c>
      <c r="F8763" t="s">
        <v>62</v>
      </c>
      <c r="G8763">
        <v>-297.3689</v>
      </c>
      <c r="H8763" s="1">
        <v>-1.260841E-5</v>
      </c>
      <c r="I8763">
        <v>-62.782710000000002</v>
      </c>
      <c r="J8763">
        <v>-301.6456</v>
      </c>
      <c r="K8763">
        <v>1.120493</v>
      </c>
      <c r="L8763">
        <v>-30.522490000000001</v>
      </c>
      <c r="M8763">
        <v>6.8449260000000003E-3</v>
      </c>
      <c r="N8763">
        <v>-1.077354E-2</v>
      </c>
      <c r="O8763">
        <v>-0.99991859999999999</v>
      </c>
      <c r="P8763">
        <v>0.18368329999999999</v>
      </c>
      <c r="Q8763">
        <v>0.11877500000000001</v>
      </c>
      <c r="R8763">
        <v>-0.97578330000000002</v>
      </c>
      <c r="S8763">
        <v>0.39645390000000003</v>
      </c>
      <c r="T8763">
        <v>-0.1038525</v>
      </c>
      <c r="U8763">
        <v>-3.012451</v>
      </c>
      <c r="V8763">
        <v>-0.17679710000000001</v>
      </c>
      <c r="W8763">
        <v>0.12957069999999901</v>
      </c>
      <c r="X8763">
        <v>0.97568140000000003</v>
      </c>
      <c r="Y8763">
        <v>-0.123624499999999</v>
      </c>
      <c r="Z8763">
        <v>2.340909E-2</v>
      </c>
      <c r="AA8763">
        <v>0.99205290000000002</v>
      </c>
      <c r="AB8763">
        <v>25</v>
      </c>
      <c r="AC8763">
        <v>4.2766999999999999</v>
      </c>
      <c r="AD8763">
        <v>-1.12050560841</v>
      </c>
      <c r="AE8763">
        <v>-32.260219999999897</v>
      </c>
      <c r="AF8763">
        <v>-4.0509654752218598</v>
      </c>
      <c r="AG8763">
        <v>-1.12050560841</v>
      </c>
      <c r="AH8763">
        <v>32.250504320671197</v>
      </c>
      <c r="AI8763">
        <v>91.974371480976799</v>
      </c>
      <c r="AJ8763">
        <v>97.159390856704704</v>
      </c>
      <c r="AK8763">
        <v>32.523236048055701</v>
      </c>
      <c r="AL8763">
        <v>82.555214482867797</v>
      </c>
      <c r="AM8763">
        <v>100.270763356846</v>
      </c>
      <c r="AN8763">
        <v>0.99999998758643005</v>
      </c>
    </row>
    <row r="8764" spans="1:40" x14ac:dyDescent="0.25">
      <c r="A8764" t="str">
        <f>"20190303162123492"</f>
        <v>20190303162123492</v>
      </c>
      <c r="B8764" t="str">
        <f>"1551601283481608"</f>
        <v>1551601283481608</v>
      </c>
      <c r="C8764" t="s">
        <v>40</v>
      </c>
      <c r="D8764">
        <v>4.6821080000000004</v>
      </c>
      <c r="E8764">
        <v>0.51919320000000002</v>
      </c>
      <c r="F8764" t="s">
        <v>62</v>
      </c>
      <c r="G8764">
        <v>-297.43259999999998</v>
      </c>
      <c r="H8764" s="1">
        <v>-1.254113E-5</v>
      </c>
      <c r="I8764">
        <v>-62.389879999999998</v>
      </c>
      <c r="J8764">
        <v>-301.64499999999998</v>
      </c>
      <c r="K8764">
        <v>1.1204829999999999</v>
      </c>
      <c r="L8764">
        <v>-30.772130000000001</v>
      </c>
      <c r="M8764">
        <v>5.8791310000000001E-3</v>
      </c>
      <c r="N8764">
        <v>-1.0881679999999999E-2</v>
      </c>
      <c r="O8764">
        <v>-0.99992360000000002</v>
      </c>
      <c r="P8764">
        <v>0.1850019</v>
      </c>
      <c r="Q8764">
        <v>0.11911330000000001</v>
      </c>
      <c r="R8764">
        <v>-0.97549300000000005</v>
      </c>
      <c r="S8764">
        <v>0.39825440000000001</v>
      </c>
      <c r="T8764">
        <v>-0.10592020000000001</v>
      </c>
      <c r="U8764">
        <v>-3.0123899999999999</v>
      </c>
      <c r="V8764">
        <v>-0.17905639999999901</v>
      </c>
      <c r="W8764">
        <v>0.130019</v>
      </c>
      <c r="X8764">
        <v>0.97520969999999996</v>
      </c>
      <c r="Y8764">
        <v>-0.12516530000000001</v>
      </c>
      <c r="Z8764">
        <v>2.397643E-2</v>
      </c>
      <c r="AA8764">
        <v>0.99184609999999995</v>
      </c>
      <c r="AB8764">
        <v>25</v>
      </c>
      <c r="AC8764">
        <v>4.2123999999999997</v>
      </c>
      <c r="AD8764">
        <v>-1.1204955411299999</v>
      </c>
      <c r="AE8764">
        <v>-31.617750000000001</v>
      </c>
      <c r="AF8764">
        <v>-4.0214687915701601</v>
      </c>
      <c r="AG8764">
        <v>-1.1204955411299999</v>
      </c>
      <c r="AH8764">
        <v>31.6029719702317</v>
      </c>
      <c r="AI8764">
        <v>92.014363592314893</v>
      </c>
      <c r="AJ8764">
        <v>97.251896433545994</v>
      </c>
      <c r="AK8764">
        <v>31.877508667562399</v>
      </c>
      <c r="AL8764">
        <v>82.529310097352706</v>
      </c>
      <c r="AM8764">
        <v>100.404088104343</v>
      </c>
      <c r="AN8764">
        <v>1.0000000468580199</v>
      </c>
    </row>
    <row r="8765" spans="1:40" x14ac:dyDescent="0.25">
      <c r="A8765" t="str">
        <f>"20190303162123516"</f>
        <v>20190303162123516</v>
      </c>
      <c r="B8765" t="str">
        <f>"1551601283501128"</f>
        <v>1551601283501128</v>
      </c>
      <c r="C8765" t="s">
        <v>40</v>
      </c>
      <c r="D8765">
        <v>4.7877769999999904</v>
      </c>
      <c r="E8765">
        <v>0.51916490000000004</v>
      </c>
      <c r="F8765" t="s">
        <v>62</v>
      </c>
      <c r="G8765">
        <v>-297.39850000000001</v>
      </c>
      <c r="H8765" s="1">
        <v>-1.255898E-5</v>
      </c>
      <c r="I8765">
        <v>-62.517969999999998</v>
      </c>
      <c r="J8765">
        <v>-301.64460000000003</v>
      </c>
      <c r="K8765">
        <v>1.1204780000000001</v>
      </c>
      <c r="L8765">
        <v>-31.044280000000001</v>
      </c>
      <c r="M8765">
        <v>4.8089140000000001E-3</v>
      </c>
      <c r="N8765">
        <v>-1.0978369999999999E-2</v>
      </c>
      <c r="O8765">
        <v>-0.99992840000000005</v>
      </c>
      <c r="P8765">
        <v>0.18706729999999999</v>
      </c>
      <c r="Q8765">
        <v>0.1184119</v>
      </c>
      <c r="R8765">
        <v>-0.97518450000000001</v>
      </c>
      <c r="S8765">
        <v>0.4028931</v>
      </c>
      <c r="T8765">
        <v>-0.1063086</v>
      </c>
      <c r="U8765">
        <v>-3.0119319999999998</v>
      </c>
      <c r="V8765">
        <v>-0.1821661</v>
      </c>
      <c r="W8765">
        <v>0.12941559999999999</v>
      </c>
      <c r="X8765">
        <v>0.97471390000000002</v>
      </c>
      <c r="Y8765">
        <v>-0.1277461</v>
      </c>
      <c r="Z8765">
        <v>2.4002989999999998E-2</v>
      </c>
      <c r="AA8765">
        <v>0.99151639999999996</v>
      </c>
      <c r="AB8765">
        <v>25</v>
      </c>
      <c r="AC8765">
        <v>4.24610000000001</v>
      </c>
      <c r="AD8765">
        <v>-1.1204905589799901</v>
      </c>
      <c r="AE8765">
        <v>-31.473690000000001</v>
      </c>
      <c r="AF8765">
        <v>-4.0895969496202396</v>
      </c>
      <c r="AG8765">
        <v>-1.1204905589799901</v>
      </c>
      <c r="AH8765">
        <v>31.454592775443999</v>
      </c>
      <c r="AI8765">
        <v>92.023141279320697</v>
      </c>
      <c r="AJ8765">
        <v>97.407807560994996</v>
      </c>
      <c r="AK8765">
        <v>31.739119536813199</v>
      </c>
      <c r="AL8765">
        <v>82.564176879270505</v>
      </c>
      <c r="AM8765">
        <v>100.58599144828401</v>
      </c>
      <c r="AN8765">
        <v>1.00000003618288</v>
      </c>
    </row>
    <row r="8766" spans="1:40" x14ac:dyDescent="0.25">
      <c r="A8766" t="str">
        <f>"20190303162123539"</f>
        <v>20190303162123539</v>
      </c>
      <c r="B8766" t="str">
        <f>"1551601283531384"</f>
        <v>1551601283531384</v>
      </c>
      <c r="C8766" t="s">
        <v>40</v>
      </c>
      <c r="D8766">
        <v>5.0421950000000004</v>
      </c>
      <c r="E8766">
        <v>0.51890209999999903</v>
      </c>
      <c r="F8766" t="s">
        <v>62</v>
      </c>
      <c r="G8766">
        <v>-297.46019999999999</v>
      </c>
      <c r="H8766" s="1">
        <v>-1.2433600000000001E-5</v>
      </c>
      <c r="I8766">
        <v>-61.865090000000002</v>
      </c>
      <c r="J8766">
        <v>-301.64449999999999</v>
      </c>
      <c r="K8766">
        <v>1.1204750000000001</v>
      </c>
      <c r="L8766">
        <v>-31.286930000000002</v>
      </c>
      <c r="M8766">
        <v>3.844152E-3</v>
      </c>
      <c r="N8766">
        <v>-1.1050310000000001E-2</v>
      </c>
      <c r="O8766">
        <v>-0.99993149999999997</v>
      </c>
      <c r="P8766">
        <v>0.19220319999999999</v>
      </c>
      <c r="Q8766">
        <v>0.11869449999999999</v>
      </c>
      <c r="R8766">
        <v>-0.97415079999999998</v>
      </c>
      <c r="S8766">
        <v>0.4088135</v>
      </c>
      <c r="T8766">
        <v>-0.10947220000000001</v>
      </c>
      <c r="U8766">
        <v>-3.0112000000000001</v>
      </c>
      <c r="V8766">
        <v>-0.1882452</v>
      </c>
      <c r="W8766">
        <v>0.12976789999999999</v>
      </c>
      <c r="X8766">
        <v>0.97351120000000002</v>
      </c>
      <c r="Y8766">
        <v>-0.13064400000000001</v>
      </c>
      <c r="Z8766">
        <v>2.4967550000000002E-2</v>
      </c>
      <c r="AA8766">
        <v>0.99111490000000002</v>
      </c>
      <c r="AB8766">
        <v>25</v>
      </c>
      <c r="AC8766">
        <v>4.1843000000000004</v>
      </c>
      <c r="AD8766">
        <v>-1.1204874335999999</v>
      </c>
      <c r="AE8766">
        <v>-30.57816</v>
      </c>
      <c r="AF8766">
        <v>-4.0613616930747796</v>
      </c>
      <c r="AG8766">
        <v>-1.1204874335999999</v>
      </c>
      <c r="AH8766">
        <v>30.553748513355099</v>
      </c>
      <c r="AI8766">
        <v>92.081951592915402</v>
      </c>
      <c r="AJ8766">
        <v>97.571663632235698</v>
      </c>
      <c r="AK8766">
        <v>30.842854911764899</v>
      </c>
      <c r="AL8766">
        <v>82.5438197179719</v>
      </c>
      <c r="AM8766">
        <v>100.944059591697</v>
      </c>
      <c r="AN8766">
        <v>1.0000000098594399</v>
      </c>
    </row>
    <row r="8767" spans="1:40" x14ac:dyDescent="0.25">
      <c r="A8767" t="str">
        <f>"20190303162123558"</f>
        <v>20190303162123558</v>
      </c>
      <c r="B8767" t="str">
        <f>"1551601283551879"</f>
        <v>1551601283551879</v>
      </c>
      <c r="C8767" t="s">
        <v>40</v>
      </c>
      <c r="D8767">
        <v>4.8019749999999997</v>
      </c>
      <c r="E8767">
        <v>0.47012080000000001</v>
      </c>
      <c r="F8767" t="s">
        <v>62</v>
      </c>
      <c r="G8767">
        <v>-297.23059999999998</v>
      </c>
      <c r="H8767" s="1">
        <v>-1.2477240000000001E-5</v>
      </c>
      <c r="I8767">
        <v>-62.381709999999998</v>
      </c>
      <c r="J8767">
        <v>-301.64460000000003</v>
      </c>
      <c r="K8767">
        <v>1.1204809999999901</v>
      </c>
      <c r="L8767">
        <v>-31.509370000000001</v>
      </c>
      <c r="M8767">
        <v>2.9556690000000002E-3</v>
      </c>
      <c r="N8767">
        <v>-1.110424E-2</v>
      </c>
      <c r="O8767">
        <v>-0.99993410000000005</v>
      </c>
      <c r="P8767">
        <v>0.2006696</v>
      </c>
      <c r="Q8767">
        <v>0.11910129999999999</v>
      </c>
      <c r="R8767">
        <v>-0.97239249999999999</v>
      </c>
      <c r="S8767">
        <v>0.42706300000000003</v>
      </c>
      <c r="T8767">
        <v>-0.1084117</v>
      </c>
      <c r="U8767">
        <v>-3.0085449999999998</v>
      </c>
      <c r="V8767">
        <v>-0.19758100000000001</v>
      </c>
      <c r="W8767">
        <v>0.1302228</v>
      </c>
      <c r="X8767">
        <v>0.97159859999999998</v>
      </c>
      <c r="Y8767">
        <v>-0.13753609999999999</v>
      </c>
      <c r="Z8767">
        <v>2.4564369999999999E-2</v>
      </c>
      <c r="AA8767">
        <v>0.99019210000000002</v>
      </c>
      <c r="AB8767">
        <v>25</v>
      </c>
      <c r="AC8767">
        <v>4.4140000000000397</v>
      </c>
      <c r="AD8767">
        <v>-1.1204934772399999</v>
      </c>
      <c r="AE8767">
        <v>-30.872340000000001</v>
      </c>
      <c r="AF8767">
        <v>-4.3171536882503503</v>
      </c>
      <c r="AG8767">
        <v>-1.1204934772399999</v>
      </c>
      <c r="AH8767">
        <v>30.845434016532302</v>
      </c>
      <c r="AI8767">
        <v>92.060351154957104</v>
      </c>
      <c r="AJ8767">
        <v>97.967411328786298</v>
      </c>
      <c r="AK8767">
        <v>31.166233671535601</v>
      </c>
      <c r="AL8767">
        <v>82.517532997466404</v>
      </c>
      <c r="AM8767">
        <v>101.494735358746</v>
      </c>
      <c r="AN8767">
        <v>1.00000003436139</v>
      </c>
    </row>
    <row r="8768" spans="1:40" x14ac:dyDescent="0.25">
      <c r="A8768" t="str">
        <f>"20190303162123581"</f>
        <v>20190303162123581</v>
      </c>
      <c r="B8768" t="str">
        <f>"1551601283571400"</f>
        <v>1551601283571400</v>
      </c>
      <c r="C8768" t="s">
        <v>40</v>
      </c>
      <c r="D8768">
        <v>4.7713369999999999</v>
      </c>
      <c r="E8768">
        <v>0.4032096</v>
      </c>
      <c r="F8768" t="s">
        <v>84</v>
      </c>
      <c r="G8768">
        <v>-287.63060000000002</v>
      </c>
      <c r="H8768">
        <v>0.51010509999999998</v>
      </c>
      <c r="I8768">
        <v>-80.464519999999993</v>
      </c>
      <c r="J8768">
        <v>-301.64499999999998</v>
      </c>
      <c r="K8768">
        <v>1.1204860000000001</v>
      </c>
      <c r="L8768">
        <v>-31.75562</v>
      </c>
      <c r="M8768">
        <v>1.9703630000000001E-3</v>
      </c>
      <c r="N8768">
        <v>-1.115056E-2</v>
      </c>
      <c r="O8768">
        <v>-0.99993600000000005</v>
      </c>
      <c r="P8768">
        <v>0.20988329999999999</v>
      </c>
      <c r="Q8768">
        <v>0.118984199999999</v>
      </c>
      <c r="R8768">
        <v>-0.97045990000000004</v>
      </c>
      <c r="S8768">
        <v>0.83511349999999995</v>
      </c>
      <c r="T8768">
        <v>-3.6372179999999997E-2</v>
      </c>
      <c r="U8768">
        <v>-2.917297</v>
      </c>
      <c r="V8768">
        <v>-0.20775669999999999</v>
      </c>
      <c r="W8768">
        <v>0.13014519999999999</v>
      </c>
      <c r="X8768">
        <v>0.96948409999999996</v>
      </c>
      <c r="Y8768">
        <v>-0.27327899999999999</v>
      </c>
      <c r="Z8768">
        <v>8.4136009999999904E-4</v>
      </c>
      <c r="AA8768">
        <v>0.96193439999999997</v>
      </c>
      <c r="AB8768">
        <v>25</v>
      </c>
      <c r="AC8768">
        <v>14.014399999999901</v>
      </c>
      <c r="AD8768">
        <v>-0.6103809</v>
      </c>
      <c r="AE8768">
        <v>-48.7088999999999</v>
      </c>
      <c r="AF8768">
        <v>-13.9163743919836</v>
      </c>
      <c r="AG8768">
        <v>-0.6103809</v>
      </c>
      <c r="AH8768">
        <v>48.729353604669001</v>
      </c>
      <c r="AI8768">
        <v>90.690059989376607</v>
      </c>
      <c r="AJ8768">
        <v>105.938549311907</v>
      </c>
      <c r="AK8768">
        <v>50.681238577898</v>
      </c>
      <c r="AL8768">
        <v>82.522017202586895</v>
      </c>
      <c r="AM8768">
        <v>102.09532817631199</v>
      </c>
      <c r="AN8768">
        <v>1.00000001981536</v>
      </c>
    </row>
    <row r="8769" spans="1:40" x14ac:dyDescent="0.25">
      <c r="A8769" t="str">
        <f>"20190303162123603"</f>
        <v>20190303162123603</v>
      </c>
      <c r="B8769" t="str">
        <f>"1551601283591896"</f>
        <v>1551601283591896</v>
      </c>
      <c r="C8769" t="s">
        <v>40</v>
      </c>
      <c r="D8769">
        <v>4.5212500000000002</v>
      </c>
      <c r="E8769">
        <v>0.33851029999999999</v>
      </c>
      <c r="F8769" t="s">
        <v>62</v>
      </c>
      <c r="G8769">
        <v>-288.38249999999999</v>
      </c>
      <c r="H8769" s="1">
        <v>-2.1917289999999999E-6</v>
      </c>
      <c r="I8769">
        <v>-58.647300000000001</v>
      </c>
      <c r="J8769">
        <v>-301.6456</v>
      </c>
      <c r="K8769">
        <v>1.120487</v>
      </c>
      <c r="L8769">
        <v>-31.997499999999999</v>
      </c>
      <c r="M8769">
        <v>1.002609E-3</v>
      </c>
      <c r="N8769">
        <v>-1.1184980000000001E-2</v>
      </c>
      <c r="O8769">
        <v>-0.99993719999999997</v>
      </c>
      <c r="P8769">
        <v>0.21654000000000001</v>
      </c>
      <c r="Q8769">
        <v>0.11843960000000001</v>
      </c>
      <c r="R8769">
        <v>-0.96906300000000001</v>
      </c>
      <c r="S8769">
        <v>1.3840330000000001</v>
      </c>
      <c r="T8769">
        <v>-0.1169307</v>
      </c>
      <c r="U8769">
        <v>-2.8063349999999998</v>
      </c>
      <c r="V8769">
        <v>-0.2153552</v>
      </c>
      <c r="W8769">
        <v>0.12962789999999999</v>
      </c>
      <c r="X8769">
        <v>0.96789400000000003</v>
      </c>
      <c r="Y8769">
        <v>-0.4411505</v>
      </c>
      <c r="Z8769">
        <v>2.617562E-2</v>
      </c>
      <c r="AA8769">
        <v>0.8970513</v>
      </c>
      <c r="AB8769">
        <v>25</v>
      </c>
      <c r="AC8769">
        <v>13.2631</v>
      </c>
      <c r="AD8769">
        <v>-1.1204891917290001</v>
      </c>
      <c r="AE8769">
        <v>-26.649799999999999</v>
      </c>
      <c r="AF8769">
        <v>-13.2176449999323</v>
      </c>
      <c r="AG8769">
        <v>-1.1204891917290001</v>
      </c>
      <c r="AH8769">
        <v>26.6253611564266</v>
      </c>
      <c r="AI8769">
        <v>92.158703298836201</v>
      </c>
      <c r="AJ8769">
        <v>116.401210152621</v>
      </c>
      <c r="AK8769">
        <v>29.746789609690101</v>
      </c>
      <c r="AL8769">
        <v>82.551909569441705</v>
      </c>
      <c r="AM8769">
        <v>102.543904815709</v>
      </c>
      <c r="AN8769">
        <v>1.0000000249307199</v>
      </c>
    </row>
    <row r="8770" spans="1:40" x14ac:dyDescent="0.25">
      <c r="A8770" t="str">
        <f>"20190303162123626"</f>
        <v>20190303162123626</v>
      </c>
      <c r="B8770" t="str">
        <f>"1551601283621176"</f>
        <v>1551601283621176</v>
      </c>
      <c r="C8770" t="s">
        <v>40</v>
      </c>
      <c r="D8770">
        <v>4.6220569999999999</v>
      </c>
      <c r="E8770">
        <v>0.33718530000000002</v>
      </c>
      <c r="F8770" t="s">
        <v>42</v>
      </c>
      <c r="G8770">
        <v>-301.12860000000001</v>
      </c>
      <c r="H8770">
        <v>1.040178</v>
      </c>
      <c r="I8770">
        <v>-32.731050000000003</v>
      </c>
      <c r="J8770">
        <v>-301.64640000000003</v>
      </c>
      <c r="K8770">
        <v>1.120493</v>
      </c>
      <c r="L8770">
        <v>-32.245420000000003</v>
      </c>
      <c r="M8770" s="1">
        <v>1.1719969999999999E-5</v>
      </c>
      <c r="N8770">
        <v>-1.1212939999999999E-2</v>
      </c>
      <c r="O8770">
        <v>-0.99993719999999997</v>
      </c>
      <c r="P8770">
        <v>0.22149820000000001</v>
      </c>
      <c r="Q8770">
        <v>0.1175349</v>
      </c>
      <c r="R8770">
        <v>-0.96805169999999996</v>
      </c>
      <c r="S8770">
        <v>1.906738</v>
      </c>
      <c r="T8770">
        <v>-0.29623310000000003</v>
      </c>
      <c r="U8770">
        <v>-2.705902</v>
      </c>
      <c r="V8770">
        <v>-0.22127559999999999</v>
      </c>
      <c r="W8770">
        <v>0.1287461</v>
      </c>
      <c r="X8770">
        <v>0.96667550000000002</v>
      </c>
      <c r="Y8770">
        <v>-0.57396059999999904</v>
      </c>
      <c r="Z8770">
        <v>7.7966359999999998E-2</v>
      </c>
      <c r="AA8770">
        <v>0.81516279999999997</v>
      </c>
      <c r="AB8770">
        <v>25</v>
      </c>
      <c r="AC8770">
        <v>0.51780000000002202</v>
      </c>
      <c r="AD8770">
        <v>-8.03149999999999E-2</v>
      </c>
      <c r="AE8770">
        <v>-0.48563000000000001</v>
      </c>
      <c r="AF8770">
        <v>-0.51125040780386399</v>
      </c>
      <c r="AG8770">
        <v>-8.03149999999999E-2</v>
      </c>
      <c r="AH8770">
        <v>0.47949858551910901</v>
      </c>
      <c r="AI8770">
        <v>96.536688163877699</v>
      </c>
      <c r="AJ8770">
        <v>136.835604133293</v>
      </c>
      <c r="AK8770">
        <v>0.70551142600204797</v>
      </c>
      <c r="AL8770">
        <v>82.602859649055006</v>
      </c>
      <c r="AM8770">
        <v>102.89309283852501</v>
      </c>
      <c r="AN8770">
        <v>0.99999998586040995</v>
      </c>
    </row>
    <row r="8771" spans="1:40" x14ac:dyDescent="0.25">
      <c r="A8771" t="str">
        <f>"20190303162123647"</f>
        <v>20190303162123647</v>
      </c>
      <c r="B8771" t="str">
        <f>"1551601283641672"</f>
        <v>1551601283641672</v>
      </c>
      <c r="C8771" t="s">
        <v>40</v>
      </c>
      <c r="D8771">
        <v>4.7618960000000001</v>
      </c>
      <c r="E8771">
        <v>0.34159990000000001</v>
      </c>
      <c r="F8771" t="s">
        <v>62</v>
      </c>
      <c r="G8771">
        <v>-294.6909</v>
      </c>
      <c r="H8771" s="1">
        <v>-2.4036760000000001E-6</v>
      </c>
      <c r="I8771">
        <v>-41.962989999999998</v>
      </c>
      <c r="J8771">
        <v>-301.64749999999998</v>
      </c>
      <c r="K8771">
        <v>1.120498</v>
      </c>
      <c r="L8771">
        <v>-32.493009999999998</v>
      </c>
      <c r="M8771">
        <v>-9.7634209999999998E-4</v>
      </c>
      <c r="N8771">
        <v>-1.1235409999999999E-2</v>
      </c>
      <c r="O8771">
        <v>-0.99993620000000005</v>
      </c>
      <c r="P8771">
        <v>0.22607160000000001</v>
      </c>
      <c r="Q8771">
        <v>0.1177713</v>
      </c>
      <c r="R8771">
        <v>-0.96696479999999996</v>
      </c>
      <c r="S8771">
        <v>1.92923</v>
      </c>
      <c r="T8771">
        <v>-0.3107859</v>
      </c>
      <c r="U8771">
        <v>-2.6953130000000001</v>
      </c>
      <c r="V8771">
        <v>-0.2268046</v>
      </c>
      <c r="W8771">
        <v>0.12899720000000001</v>
      </c>
      <c r="X8771">
        <v>0.96535970000000004</v>
      </c>
      <c r="Y8771">
        <v>-0.58055760000000001</v>
      </c>
      <c r="Z8771">
        <v>8.2134319999999997E-2</v>
      </c>
      <c r="AA8771">
        <v>0.81006599999999995</v>
      </c>
      <c r="AB8771">
        <v>25</v>
      </c>
      <c r="AC8771">
        <v>6.9565999999999804</v>
      </c>
      <c r="AD8771">
        <v>-1.120500403676</v>
      </c>
      <c r="AE8771">
        <v>-9.4699799999999996</v>
      </c>
      <c r="AF8771">
        <v>-6.9030732171148896</v>
      </c>
      <c r="AG8771">
        <v>-1.120500403676</v>
      </c>
      <c r="AH8771">
        <v>9.3779092332219101</v>
      </c>
      <c r="AI8771">
        <v>95.496340021654007</v>
      </c>
      <c r="AJ8771">
        <v>126.356761665047</v>
      </c>
      <c r="AK8771">
        <v>11.6984239358144</v>
      </c>
      <c r="AL8771">
        <v>82.588351636977293</v>
      </c>
      <c r="AM8771">
        <v>103.22146161150501</v>
      </c>
      <c r="AN8771">
        <v>0.999999977286544</v>
      </c>
    </row>
    <row r="8772" spans="1:40" x14ac:dyDescent="0.25">
      <c r="A8772" t="str">
        <f>"20190303162123669"</f>
        <v>20190303162123669</v>
      </c>
      <c r="B8772" t="str">
        <f>"1551601283661192"</f>
        <v>1551601283661192</v>
      </c>
      <c r="C8772" t="s">
        <v>40</v>
      </c>
      <c r="D8772">
        <v>4.7392849999999997</v>
      </c>
      <c r="E8772">
        <v>0.34590700000000002</v>
      </c>
      <c r="F8772" t="s">
        <v>62</v>
      </c>
      <c r="G8772">
        <v>-294.64749999999998</v>
      </c>
      <c r="H8772" s="1">
        <v>-2.6810989999999998E-6</v>
      </c>
      <c r="I8772">
        <v>-42.381300000000003</v>
      </c>
      <c r="J8772">
        <v>-301.64879999999999</v>
      </c>
      <c r="K8772">
        <v>1.1205039999999999</v>
      </c>
      <c r="L8772">
        <v>-32.73901</v>
      </c>
      <c r="M8772">
        <v>-1.9554590000000001E-3</v>
      </c>
      <c r="N8772">
        <v>-1.1253839999999999E-2</v>
      </c>
      <c r="O8772">
        <v>-0.99993480000000001</v>
      </c>
      <c r="P8772">
        <v>0.2301397</v>
      </c>
      <c r="Q8772">
        <v>0.11851150000000001</v>
      </c>
      <c r="R8772">
        <v>-0.96591450000000001</v>
      </c>
      <c r="S8772">
        <v>1.906982</v>
      </c>
      <c r="T8772">
        <v>-0.30525239999999998</v>
      </c>
      <c r="U8772">
        <v>-2.6938170000000001</v>
      </c>
      <c r="V8772">
        <v>-0.2318163</v>
      </c>
      <c r="W8772">
        <v>0.129749</v>
      </c>
      <c r="X8772">
        <v>0.96406760000000002</v>
      </c>
      <c r="Y8772">
        <v>-0.57718859999999905</v>
      </c>
      <c r="Z8772">
        <v>8.0823759999999994E-2</v>
      </c>
      <c r="AA8772">
        <v>0.81260129999999997</v>
      </c>
      <c r="AB8772">
        <v>25</v>
      </c>
      <c r="AC8772">
        <v>7.0013000000000103</v>
      </c>
      <c r="AD8772">
        <v>-1.1205066810989901</v>
      </c>
      <c r="AE8772">
        <v>-9.6422899999999991</v>
      </c>
      <c r="AF8772">
        <v>-6.95861277997495</v>
      </c>
      <c r="AG8772">
        <v>-1.1205066810989901</v>
      </c>
      <c r="AH8772">
        <v>9.5441873907642094</v>
      </c>
      <c r="AI8772">
        <v>95.419144768157594</v>
      </c>
      <c r="AJ8772">
        <v>126.09557745887101</v>
      </c>
      <c r="AK8772">
        <v>11.8646255732762</v>
      </c>
      <c r="AL8772">
        <v>82.544911532500805</v>
      </c>
      <c r="AM8772">
        <v>103.52046056240501</v>
      </c>
      <c r="AN8772">
        <v>0.99999996865822405</v>
      </c>
    </row>
    <row r="8773" spans="1:40" x14ac:dyDescent="0.25">
      <c r="A8773" t="str">
        <f>"20190303162123705"</f>
        <v>20190303162123705</v>
      </c>
      <c r="B8773" t="str">
        <f>"1551601283691448"</f>
        <v>1551601283691448</v>
      </c>
      <c r="C8773" t="s">
        <v>40</v>
      </c>
      <c r="D8773">
        <v>4.7574300000000003</v>
      </c>
      <c r="E8773">
        <v>0.35019640000000002</v>
      </c>
      <c r="F8773" t="s">
        <v>42</v>
      </c>
      <c r="G8773">
        <v>-301.04689999999999</v>
      </c>
      <c r="H8773">
        <v>1.0247329999999999</v>
      </c>
      <c r="I8773">
        <v>-33.599379999999996</v>
      </c>
      <c r="J8773">
        <v>-301.65129999999999</v>
      </c>
      <c r="K8773">
        <v>1.120511</v>
      </c>
      <c r="L8773">
        <v>-33.120640000000002</v>
      </c>
      <c r="M8773">
        <v>-3.466841E-3</v>
      </c>
      <c r="N8773">
        <v>-1.127679E-2</v>
      </c>
      <c r="O8773">
        <v>-0.99993050000000006</v>
      </c>
      <c r="P8773">
        <v>0.2357949</v>
      </c>
      <c r="Q8773">
        <v>0.11740979999999999</v>
      </c>
      <c r="R8773">
        <v>-0.96468449999999994</v>
      </c>
      <c r="S8773">
        <v>1.884552</v>
      </c>
      <c r="T8773">
        <v>-0.2998403</v>
      </c>
      <c r="U8773">
        <v>-2.6936339999999999</v>
      </c>
      <c r="V8773">
        <v>-0.23892859999999999</v>
      </c>
      <c r="W8773">
        <v>0.1286619</v>
      </c>
      <c r="X8773">
        <v>0.96247559999999999</v>
      </c>
      <c r="Y8773">
        <v>-0.57398309999999997</v>
      </c>
      <c r="Z8773">
        <v>7.9488660000000003E-2</v>
      </c>
      <c r="AA8773">
        <v>0.81499999999999995</v>
      </c>
      <c r="AB8773">
        <v>25</v>
      </c>
      <c r="AC8773">
        <v>0.60439999999999805</v>
      </c>
      <c r="AD8773">
        <v>-9.5778000000000099E-2</v>
      </c>
      <c r="AE8773">
        <v>-0.478739999999994</v>
      </c>
      <c r="AF8773">
        <v>-0.59684642246463904</v>
      </c>
      <c r="AG8773">
        <v>-9.5778000000000099E-2</v>
      </c>
      <c r="AH8773">
        <v>0.469398477769286</v>
      </c>
      <c r="AI8773">
        <v>97.189163391186796</v>
      </c>
      <c r="AJ8773">
        <v>141.81620886546801</v>
      </c>
      <c r="AK8773">
        <v>0.76533261280632903</v>
      </c>
      <c r="AL8773">
        <v>82.607724671258197</v>
      </c>
      <c r="AM8773">
        <v>103.941500527618</v>
      </c>
      <c r="AN8773">
        <v>1.00000002050246</v>
      </c>
    </row>
    <row r="8774" spans="1:40" x14ac:dyDescent="0.25">
      <c r="A8774" t="str">
        <f>"20190303162123731"</f>
        <v>20190303162123731</v>
      </c>
      <c r="B8774" t="str">
        <f>"1551601283721704"</f>
        <v>1551601283721704</v>
      </c>
      <c r="C8774" t="s">
        <v>40</v>
      </c>
      <c r="D8774">
        <v>4.7841170000000002</v>
      </c>
      <c r="E8774">
        <v>0.35307270000000002</v>
      </c>
      <c r="F8774" t="s">
        <v>42</v>
      </c>
      <c r="G8774">
        <v>-301.15170000000001</v>
      </c>
      <c r="H8774">
        <v>1.040025</v>
      </c>
      <c r="I8774">
        <v>-33.84187</v>
      </c>
      <c r="J8774">
        <v>-301.65359999999998</v>
      </c>
      <c r="K8774">
        <v>1.1205179999999999</v>
      </c>
      <c r="L8774">
        <v>-33.404299999999999</v>
      </c>
      <c r="M8774">
        <v>-4.5831329999999997E-3</v>
      </c>
      <c r="N8774">
        <v>-1.129019E-2</v>
      </c>
      <c r="O8774">
        <v>-0.99992590000000003</v>
      </c>
      <c r="P8774">
        <v>0.23932010000000001</v>
      </c>
      <c r="Q8774">
        <v>0.1168203</v>
      </c>
      <c r="R8774">
        <v>-0.96388770000000001</v>
      </c>
      <c r="S8774">
        <v>1.864838</v>
      </c>
      <c r="T8774">
        <v>-0.30027999999999999</v>
      </c>
      <c r="U8774">
        <v>-2.6905519999999998</v>
      </c>
      <c r="V8774">
        <v>-0.2435274</v>
      </c>
      <c r="W8774">
        <v>0.12807879999999999</v>
      </c>
      <c r="X8774">
        <v>0.96140020000000004</v>
      </c>
      <c r="Y8774">
        <v>-0.57128939999999995</v>
      </c>
      <c r="Z8774">
        <v>7.9951700000000001E-2</v>
      </c>
      <c r="AA8774">
        <v>0.8168453</v>
      </c>
      <c r="AB8774">
        <v>25</v>
      </c>
      <c r="AC8774">
        <v>0.50189999999997703</v>
      </c>
      <c r="AD8774">
        <v>-8.0493000000000106E-2</v>
      </c>
      <c r="AE8774">
        <v>-0.43757000000000001</v>
      </c>
      <c r="AF8774">
        <v>-0.49664269947496598</v>
      </c>
      <c r="AG8774">
        <v>-8.0493000000000106E-2</v>
      </c>
      <c r="AH8774">
        <v>0.42899592914703599</v>
      </c>
      <c r="AI8774">
        <v>96.992522929199296</v>
      </c>
      <c r="AJ8774">
        <v>139.179812918312</v>
      </c>
      <c r="AK8774">
        <v>0.661188778803384</v>
      </c>
      <c r="AL8774">
        <v>82.641412848931395</v>
      </c>
      <c r="AM8774">
        <v>104.214323635554</v>
      </c>
      <c r="AN8774">
        <v>1.0000000590601099</v>
      </c>
    </row>
    <row r="8775" spans="1:40" x14ac:dyDescent="0.25">
      <c r="A8775" t="str">
        <f>"20190303162123750"</f>
        <v>20190303162123750</v>
      </c>
      <c r="B8775" t="str">
        <f>"1551601283741225"</f>
        <v>1551601283741225</v>
      </c>
      <c r="C8775" t="s">
        <v>40</v>
      </c>
      <c r="D8775">
        <v>4.7842010000000004</v>
      </c>
      <c r="E8775">
        <v>0.35472910000000002</v>
      </c>
      <c r="F8775" t="s">
        <v>42</v>
      </c>
      <c r="G8775">
        <v>-301.06099999999998</v>
      </c>
      <c r="H8775">
        <v>1.0251920000000001</v>
      </c>
      <c r="I8775">
        <v>-34.265540000000001</v>
      </c>
      <c r="J8775">
        <v>-301.65559999999999</v>
      </c>
      <c r="K8775">
        <v>1.12053</v>
      </c>
      <c r="L8775">
        <v>-33.633150000000001</v>
      </c>
      <c r="M8775">
        <v>-5.4804390000000001E-3</v>
      </c>
      <c r="N8775">
        <v>-1.129953E-2</v>
      </c>
      <c r="O8775">
        <v>-0.99992110000000001</v>
      </c>
      <c r="P8775">
        <v>0.2425281</v>
      </c>
      <c r="Q8775">
        <v>0.117846699999999</v>
      </c>
      <c r="R8775">
        <v>-0.96296009999999999</v>
      </c>
      <c r="S8775">
        <v>1.851013</v>
      </c>
      <c r="T8775">
        <v>-0.2976393</v>
      </c>
      <c r="U8775">
        <v>-2.6888730000000001</v>
      </c>
      <c r="V8775">
        <v>-0.24759349999999999</v>
      </c>
      <c r="W8775">
        <v>0.1291059</v>
      </c>
      <c r="X8775">
        <v>0.96022350000000001</v>
      </c>
      <c r="Y8775">
        <v>-0.5694477</v>
      </c>
      <c r="Z8775">
        <v>7.9371520000000001E-2</v>
      </c>
      <c r="AA8775">
        <v>0.81818669999999905</v>
      </c>
      <c r="AB8775">
        <v>25</v>
      </c>
      <c r="AC8775">
        <v>0.59460000000001401</v>
      </c>
      <c r="AD8775">
        <v>-9.5337999999999895E-2</v>
      </c>
      <c r="AE8775">
        <v>-0.63239000000000001</v>
      </c>
      <c r="AF8775">
        <v>-0.59092848303532197</v>
      </c>
      <c r="AG8775">
        <v>-9.5337999999999895E-2</v>
      </c>
      <c r="AH8775">
        <v>0.62162276584357701</v>
      </c>
      <c r="AI8775">
        <v>96.342861534376596</v>
      </c>
      <c r="AJ8775">
        <v>133.54993562992701</v>
      </c>
      <c r="AK8775">
        <v>0.86296041005450896</v>
      </c>
      <c r="AL8775">
        <v>82.582071402574002</v>
      </c>
      <c r="AM8775">
        <v>104.45876281908301</v>
      </c>
      <c r="AN8775">
        <v>1.0000000223046499</v>
      </c>
    </row>
    <row r="8776" spans="1:40" x14ac:dyDescent="0.25">
      <c r="A8776" t="str">
        <f>"20190303162123770"</f>
        <v>20190303162123770</v>
      </c>
      <c r="B8776" t="str">
        <f>"1551601283761721"</f>
        <v>1551601283761721</v>
      </c>
      <c r="C8776" t="s">
        <v>40</v>
      </c>
      <c r="D8776">
        <v>4.8045549999999997</v>
      </c>
      <c r="E8776">
        <v>0.35614790000000002</v>
      </c>
      <c r="F8776" t="s">
        <v>42</v>
      </c>
      <c r="G8776">
        <v>-301.0677</v>
      </c>
      <c r="H8776">
        <v>1.0269060000000001</v>
      </c>
      <c r="I8776">
        <v>-34.48845</v>
      </c>
      <c r="J8776">
        <v>-301.65769999999998</v>
      </c>
      <c r="K8776">
        <v>1.120536</v>
      </c>
      <c r="L8776">
        <v>-33.849699999999999</v>
      </c>
      <c r="M8776">
        <v>-6.3280960000000001E-3</v>
      </c>
      <c r="N8776">
        <v>-1.1307350000000001E-2</v>
      </c>
      <c r="O8776">
        <v>-0.99991640000000004</v>
      </c>
      <c r="P8776">
        <v>0.2477239</v>
      </c>
      <c r="Q8776">
        <v>0.11830599999999999</v>
      </c>
      <c r="R8776">
        <v>-0.96158089999999996</v>
      </c>
      <c r="S8776">
        <v>1.846436</v>
      </c>
      <c r="T8776">
        <v>-0.2940546</v>
      </c>
      <c r="U8776">
        <v>-2.68634</v>
      </c>
      <c r="V8776">
        <v>-0.25359520000000002</v>
      </c>
      <c r="W8776">
        <v>0.12956319999999999</v>
      </c>
      <c r="X8776">
        <v>0.95859419999999995</v>
      </c>
      <c r="Y8776">
        <v>-0.56960419999999901</v>
      </c>
      <c r="Z8776">
        <v>7.8380160000000004E-2</v>
      </c>
      <c r="AA8776">
        <v>0.81817329999999999</v>
      </c>
      <c r="AB8776">
        <v>25</v>
      </c>
      <c r="AC8776">
        <v>0.58999999999997499</v>
      </c>
      <c r="AD8776">
        <v>-9.3630000000000102E-2</v>
      </c>
      <c r="AE8776">
        <v>-0.63875000000000104</v>
      </c>
      <c r="AF8776">
        <v>-0.58722200112392597</v>
      </c>
      <c r="AG8776">
        <v>-9.3630000000000102E-2</v>
      </c>
      <c r="AH8776">
        <v>0.62772526969914899</v>
      </c>
      <c r="AI8776">
        <v>96.216489085861298</v>
      </c>
      <c r="AJ8776">
        <v>133.09061079852901</v>
      </c>
      <c r="AK8776">
        <v>0.86465904825130802</v>
      </c>
      <c r="AL8776">
        <v>82.555647904250094</v>
      </c>
      <c r="AM8776">
        <v>104.818083054943</v>
      </c>
      <c r="AN8776">
        <v>0.99999999426546005</v>
      </c>
    </row>
    <row r="8777" spans="1:40" x14ac:dyDescent="0.25">
      <c r="A8777" t="str">
        <f>"20190303162123792"</f>
        <v>20190303162123792</v>
      </c>
      <c r="B8777" t="str">
        <f>"1551601283781240"</f>
        <v>1551601283781240</v>
      </c>
      <c r="C8777" t="s">
        <v>40</v>
      </c>
      <c r="D8777">
        <v>4.8822869999999998</v>
      </c>
      <c r="E8777">
        <v>0.3573114</v>
      </c>
      <c r="F8777" t="s">
        <v>42</v>
      </c>
      <c r="G8777">
        <v>-301.06380000000001</v>
      </c>
      <c r="H8777">
        <v>1.0273270000000001</v>
      </c>
      <c r="I8777">
        <v>-34.710209999999996</v>
      </c>
      <c r="J8777">
        <v>-301.66030000000001</v>
      </c>
      <c r="K8777">
        <v>1.1205369999999999</v>
      </c>
      <c r="L8777">
        <v>-34.099330000000002</v>
      </c>
      <c r="M8777">
        <v>-7.3010180000000003E-3</v>
      </c>
      <c r="N8777">
        <v>-1.1315250000000001E-2</v>
      </c>
      <c r="O8777">
        <v>-0.99990950000000001</v>
      </c>
      <c r="P8777">
        <v>0.25486249999999999</v>
      </c>
      <c r="Q8777">
        <v>0.1178761</v>
      </c>
      <c r="R8777">
        <v>-0.95976589999999995</v>
      </c>
      <c r="S8777">
        <v>1.849548</v>
      </c>
      <c r="T8777">
        <v>-0.29020879999999999</v>
      </c>
      <c r="U8777">
        <v>-2.6791079999999998</v>
      </c>
      <c r="V8777">
        <v>-0.26165660000000002</v>
      </c>
      <c r="W8777">
        <v>0.12912770000000001</v>
      </c>
      <c r="X8777">
        <v>0.95648409999999995</v>
      </c>
      <c r="Y8777">
        <v>-0.57212390000000002</v>
      </c>
      <c r="Z8777">
        <v>7.7288599999999999E-2</v>
      </c>
      <c r="AA8777">
        <v>0.81651750000000001</v>
      </c>
      <c r="AB8777">
        <v>25</v>
      </c>
      <c r="AC8777">
        <v>0.59649999999999104</v>
      </c>
      <c r="AD8777">
        <v>-9.3210000000000001E-2</v>
      </c>
      <c r="AE8777">
        <v>-0.61087999999999398</v>
      </c>
      <c r="AF8777">
        <v>-0.59386669316465501</v>
      </c>
      <c r="AG8777">
        <v>-9.3210000000000001E-2</v>
      </c>
      <c r="AH8777">
        <v>0.59936511340952303</v>
      </c>
      <c r="AI8777">
        <v>96.303957757182303</v>
      </c>
      <c r="AJ8777">
        <v>134.73598252869601</v>
      </c>
      <c r="AK8777">
        <v>0.84888414552442504</v>
      </c>
      <c r="AL8777">
        <v>82.580811543119395</v>
      </c>
      <c r="AM8777">
        <v>105.299563066018</v>
      </c>
      <c r="AN8777">
        <v>0.99999998639182897</v>
      </c>
    </row>
    <row r="8778" spans="1:40" x14ac:dyDescent="0.25">
      <c r="A8778" t="str">
        <f>"20190303162123816"</f>
        <v>20190303162123816</v>
      </c>
      <c r="B8778" t="str">
        <f>"1551601283801736"</f>
        <v>1551601283801736</v>
      </c>
      <c r="C8778" t="s">
        <v>40</v>
      </c>
      <c r="D8778">
        <v>4.787852</v>
      </c>
      <c r="E8778">
        <v>0.358265</v>
      </c>
      <c r="F8778" t="s">
        <v>42</v>
      </c>
      <c r="G8778">
        <v>-301.07850000000002</v>
      </c>
      <c r="H8778">
        <v>1.029061</v>
      </c>
      <c r="I8778">
        <v>-34.933819999999997</v>
      </c>
      <c r="J8778">
        <v>-301.66320000000002</v>
      </c>
      <c r="K8778">
        <v>1.120547</v>
      </c>
      <c r="L8778">
        <v>-34.349670000000003</v>
      </c>
      <c r="M8778">
        <v>-8.2620999999999997E-3</v>
      </c>
      <c r="N8778">
        <v>-1.1322209999999999E-2</v>
      </c>
      <c r="O8778">
        <v>-0.99990199999999996</v>
      </c>
      <c r="P8778">
        <v>0.261017</v>
      </c>
      <c r="Q8778">
        <v>0.1159751</v>
      </c>
      <c r="R8778">
        <v>-0.95834260000000004</v>
      </c>
      <c r="S8778">
        <v>1.859955</v>
      </c>
      <c r="T8778">
        <v>-0.29243390000000002</v>
      </c>
      <c r="U8778">
        <v>-2.6677550000000001</v>
      </c>
      <c r="V8778">
        <v>-0.26872489999999999</v>
      </c>
      <c r="W8778">
        <v>0.127220899999999</v>
      </c>
      <c r="X8778">
        <v>0.95477840000000003</v>
      </c>
      <c r="Y8778">
        <v>-0.57663339999999996</v>
      </c>
      <c r="Z8778">
        <v>7.8015139999999997E-2</v>
      </c>
      <c r="AA8778">
        <v>0.81326969999999899</v>
      </c>
      <c r="AB8778">
        <v>25</v>
      </c>
      <c r="AC8778">
        <v>0.584699999999997</v>
      </c>
      <c r="AD8778">
        <v>-9.1485999999999901E-2</v>
      </c>
      <c r="AE8778">
        <v>-0.58415000000000095</v>
      </c>
      <c r="AF8778">
        <v>-0.58237120229330297</v>
      </c>
      <c r="AG8778">
        <v>-9.1485999999999901E-2</v>
      </c>
      <c r="AH8778">
        <v>0.57228700443278602</v>
      </c>
      <c r="AI8778">
        <v>96.393146018848398</v>
      </c>
      <c r="AJ8778">
        <v>135.500379492908</v>
      </c>
      <c r="AK8778">
        <v>0.821607157283333</v>
      </c>
      <c r="AL8778">
        <v>82.690971976485002</v>
      </c>
      <c r="AM8778">
        <v>105.719396525097</v>
      </c>
      <c r="AN8778">
        <v>1.00000001119169</v>
      </c>
    </row>
    <row r="8779" spans="1:40" x14ac:dyDescent="0.25">
      <c r="A8779" t="str">
        <f>"20190303162123849"</f>
        <v>20190303162123849</v>
      </c>
      <c r="B8779" t="str">
        <f>"1551601283841752"</f>
        <v>1551601283841752</v>
      </c>
      <c r="C8779" t="s">
        <v>40</v>
      </c>
      <c r="D8779">
        <v>4.7954639999999999</v>
      </c>
      <c r="E8779">
        <v>0.39001659999999999</v>
      </c>
      <c r="F8779" t="s">
        <v>42</v>
      </c>
      <c r="G8779">
        <v>-301.09440000000001</v>
      </c>
      <c r="H8779">
        <v>1.0306299999999999</v>
      </c>
      <c r="I8779">
        <v>-35.158720000000002</v>
      </c>
      <c r="J8779">
        <v>-301.66789999999997</v>
      </c>
      <c r="K8779">
        <v>1.120573</v>
      </c>
      <c r="L8779">
        <v>-34.718719999999998</v>
      </c>
      <c r="M8779">
        <v>-9.6163359999999996E-3</v>
      </c>
      <c r="N8779">
        <v>-1.133089E-2</v>
      </c>
      <c r="O8779">
        <v>-0.99988969999999999</v>
      </c>
      <c r="P8779">
        <v>0.26957100000000001</v>
      </c>
      <c r="Q8779">
        <v>0.1138131</v>
      </c>
      <c r="R8779">
        <v>-0.95623139999999995</v>
      </c>
      <c r="S8779">
        <v>1.8687130000000001</v>
      </c>
      <c r="T8779">
        <v>-0.29533209999999999</v>
      </c>
      <c r="U8779">
        <v>-2.6571660000000001</v>
      </c>
      <c r="V8779">
        <v>-0.27856540000000002</v>
      </c>
      <c r="W8779">
        <v>0.1250327</v>
      </c>
      <c r="X8779">
        <v>0.95224370000000003</v>
      </c>
      <c r="Y8779">
        <v>-0.58099630000000002</v>
      </c>
      <c r="Z8779">
        <v>7.8938510000000003E-2</v>
      </c>
      <c r="AA8779">
        <v>0.81006909999999999</v>
      </c>
      <c r="AB8779">
        <v>25</v>
      </c>
      <c r="AC8779">
        <v>0.57349999999996704</v>
      </c>
      <c r="AD8779">
        <v>-8.9943000000000106E-2</v>
      </c>
      <c r="AE8779">
        <v>-0.439999999999997</v>
      </c>
      <c r="AF8779">
        <v>-0.56889688080435497</v>
      </c>
      <c r="AG8779">
        <v>-8.9943000000000106E-2</v>
      </c>
      <c r="AH8779">
        <v>0.42784021093853702</v>
      </c>
      <c r="AI8779">
        <v>97.201500429229199</v>
      </c>
      <c r="AJ8779">
        <v>143.054919847468</v>
      </c>
      <c r="AK8779">
        <v>0.71748216028961798</v>
      </c>
      <c r="AL8779">
        <v>82.817355551168006</v>
      </c>
      <c r="AM8779">
        <v>106.306089033672</v>
      </c>
      <c r="AN8779">
        <v>0.999999961168069</v>
      </c>
    </row>
    <row r="8780" spans="1:40" x14ac:dyDescent="0.25">
      <c r="A8780" t="str">
        <f>"20190303162123871"</f>
        <v>20190303162123871</v>
      </c>
      <c r="B8780" t="str">
        <f>"1551601283861273"</f>
        <v>1551601283861273</v>
      </c>
      <c r="C8780" t="s">
        <v>40</v>
      </c>
      <c r="D8780">
        <v>4.7461469999999997</v>
      </c>
      <c r="E8780">
        <v>0.3907948</v>
      </c>
      <c r="F8780" t="s">
        <v>42</v>
      </c>
      <c r="G8780">
        <v>-301.12450000000001</v>
      </c>
      <c r="H8780">
        <v>1.0498270000000001</v>
      </c>
      <c r="I8780">
        <v>-35.608310000000003</v>
      </c>
      <c r="J8780">
        <v>-301.6712</v>
      </c>
      <c r="K8780">
        <v>1.1206179999999999</v>
      </c>
      <c r="L8780">
        <v>-34.965269999999997</v>
      </c>
      <c r="M8780">
        <v>-1.043736E-2</v>
      </c>
      <c r="N8780">
        <v>-1.1335639999999999E-2</v>
      </c>
      <c r="O8780">
        <v>-0.99988140000000003</v>
      </c>
      <c r="P8780">
        <v>0.27765980000000001</v>
      </c>
      <c r="Q8780">
        <v>0.11406760000000001</v>
      </c>
      <c r="R8780">
        <v>-0.95388329999999999</v>
      </c>
      <c r="S8780">
        <v>1.648773</v>
      </c>
      <c r="T8780">
        <v>-0.2145755</v>
      </c>
      <c r="U8780">
        <v>-2.6980590000000002</v>
      </c>
      <c r="V8780">
        <v>-0.28742590000000001</v>
      </c>
      <c r="W8780">
        <v>0.1252432</v>
      </c>
      <c r="X8780">
        <v>0.94957910000000001</v>
      </c>
      <c r="Y8780">
        <v>-0.52927570000000002</v>
      </c>
      <c r="Z8780">
        <v>5.6155360000000001E-2</v>
      </c>
      <c r="AA8780">
        <v>0.84658960000000005</v>
      </c>
      <c r="AB8780">
        <v>25</v>
      </c>
      <c r="AC8780">
        <v>0.54669999999998697</v>
      </c>
      <c r="AD8780">
        <v>-7.0791000000000007E-2</v>
      </c>
      <c r="AE8780">
        <v>-0.64303999999999195</v>
      </c>
      <c r="AF8780">
        <v>-0.54951662080535302</v>
      </c>
      <c r="AG8780">
        <v>-7.0791000000000007E-2</v>
      </c>
      <c r="AH8780">
        <v>0.63284663247667605</v>
      </c>
      <c r="AI8780">
        <v>94.827911097428796</v>
      </c>
      <c r="AJ8780">
        <v>130.96860237164699</v>
      </c>
      <c r="AK8780">
        <v>0.84111517787958301</v>
      </c>
      <c r="AL8780">
        <v>82.805199420438797</v>
      </c>
      <c r="AM8780">
        <v>106.84041753368599</v>
      </c>
      <c r="AN8780">
        <v>0.99999998714692895</v>
      </c>
    </row>
    <row r="8781" spans="1:40" x14ac:dyDescent="0.25">
      <c r="A8781" t="str">
        <f>"20190303162123894"</f>
        <v>20190303162123894</v>
      </c>
      <c r="B8781" t="str">
        <f>"1551601283881768"</f>
        <v>1551601283881768</v>
      </c>
      <c r="C8781" t="s">
        <v>40</v>
      </c>
      <c r="D8781">
        <v>4.7026309999999896</v>
      </c>
      <c r="E8781">
        <v>0.39180310000000002</v>
      </c>
      <c r="F8781" t="s">
        <v>42</v>
      </c>
      <c r="G8781">
        <v>-301.13350000000003</v>
      </c>
      <c r="H8781">
        <v>1.052065</v>
      </c>
      <c r="I8781">
        <v>-35.83184</v>
      </c>
      <c r="J8781">
        <v>-301.6746</v>
      </c>
      <c r="K8781">
        <v>1.120684</v>
      </c>
      <c r="L8781">
        <v>-35.217350000000003</v>
      </c>
      <c r="M8781">
        <v>-1.1188210000000001E-2</v>
      </c>
      <c r="N8781">
        <v>-1.133986E-2</v>
      </c>
      <c r="O8781">
        <v>-0.99987340000000002</v>
      </c>
      <c r="P8781">
        <v>0.28582150000000001</v>
      </c>
      <c r="Q8781">
        <v>0.1137191</v>
      </c>
      <c r="R8781">
        <v>-0.95151160000000001</v>
      </c>
      <c r="S8781">
        <v>1.666199</v>
      </c>
      <c r="T8781">
        <v>-0.2124376</v>
      </c>
      <c r="U8781">
        <v>-2.685425</v>
      </c>
      <c r="V8781">
        <v>-0.29629490000000003</v>
      </c>
      <c r="W8781">
        <v>0.1248335</v>
      </c>
      <c r="X8781">
        <v>0.9469033</v>
      </c>
      <c r="Y8781">
        <v>-0.53566320000000001</v>
      </c>
      <c r="Z8781">
        <v>5.5494460000000002E-2</v>
      </c>
      <c r="AA8781">
        <v>0.84260630000000003</v>
      </c>
      <c r="AB8781">
        <v>25</v>
      </c>
      <c r="AC8781">
        <v>0.54109999999997105</v>
      </c>
      <c r="AD8781">
        <v>-6.8618999999999902E-2</v>
      </c>
      <c r="AE8781">
        <v>-0.61448999999999598</v>
      </c>
      <c r="AF8781">
        <v>-0.54411990183437797</v>
      </c>
      <c r="AG8781">
        <v>-6.8618999999999902E-2</v>
      </c>
      <c r="AH8781">
        <v>0.60415383901799602</v>
      </c>
      <c r="AI8781">
        <v>94.824095527371199</v>
      </c>
      <c r="AJ8781">
        <v>132.00719243035701</v>
      </c>
      <c r="AK8781">
        <v>0.81595152793130798</v>
      </c>
      <c r="AL8781">
        <v>82.828859026259806</v>
      </c>
      <c r="AM8781">
        <v>107.375389729559</v>
      </c>
      <c r="AN8781">
        <v>0.999999965019574</v>
      </c>
    </row>
    <row r="8782" spans="1:40" x14ac:dyDescent="0.25">
      <c r="A8782" t="str">
        <f>"20190303162123920"</f>
        <v>20190303162123920</v>
      </c>
      <c r="B8782" t="str">
        <f>"1551601283911048"</f>
        <v>1551601283911048</v>
      </c>
      <c r="C8782" t="s">
        <v>40</v>
      </c>
      <c r="D8782">
        <v>4.6745080000000003</v>
      </c>
      <c r="E8782">
        <v>0.39325919999999998</v>
      </c>
      <c r="F8782" t="s">
        <v>42</v>
      </c>
      <c r="G8782">
        <v>-301.1472</v>
      </c>
      <c r="H8782">
        <v>1.0556669999999999</v>
      </c>
      <c r="I8782">
        <v>-36.056289999999997</v>
      </c>
      <c r="J8782">
        <v>-301.67880000000002</v>
      </c>
      <c r="K8782">
        <v>1.120808</v>
      </c>
      <c r="L8782">
        <v>-35.514650000000003</v>
      </c>
      <c r="M8782">
        <v>-1.187507E-2</v>
      </c>
      <c r="N8782">
        <v>-1.1344150000000001E-2</v>
      </c>
      <c r="O8782">
        <v>-0.99986549999999996</v>
      </c>
      <c r="P8782">
        <v>0.29387909999999901</v>
      </c>
      <c r="Q8782">
        <v>0.1123036</v>
      </c>
      <c r="R8782">
        <v>-0.94922269999999997</v>
      </c>
      <c r="S8782">
        <v>1.6813049999999901</v>
      </c>
      <c r="T8782">
        <v>-0.2071402</v>
      </c>
      <c r="U8782">
        <v>-2.6726070000000002</v>
      </c>
      <c r="V8782">
        <v>-0.30501450000000002</v>
      </c>
      <c r="W8782">
        <v>0.1233138</v>
      </c>
      <c r="X8782">
        <v>0.94433040000000001</v>
      </c>
      <c r="Y8782">
        <v>-0.54150790000000004</v>
      </c>
      <c r="Z8782">
        <v>5.3869060000000003E-2</v>
      </c>
      <c r="AA8782">
        <v>0.83896800000000005</v>
      </c>
      <c r="AB8782">
        <v>25</v>
      </c>
      <c r="AC8782">
        <v>0.53160000000002505</v>
      </c>
      <c r="AD8782">
        <v>-6.5141000000000102E-2</v>
      </c>
      <c r="AE8782">
        <v>-0.54164000000000101</v>
      </c>
      <c r="AF8782">
        <v>-0.534060364132393</v>
      </c>
      <c r="AG8782">
        <v>-6.5141000000000102E-2</v>
      </c>
      <c r="AH8782">
        <v>0.53137383288908902</v>
      </c>
      <c r="AI8782">
        <v>94.941800779069496</v>
      </c>
      <c r="AJ8782">
        <v>135.14447309460499</v>
      </c>
      <c r="AK8782">
        <v>0.75618911172898196</v>
      </c>
      <c r="AL8782">
        <v>82.916609882714397</v>
      </c>
      <c r="AM8782">
        <v>107.900224795238</v>
      </c>
      <c r="AN8782">
        <v>1.0000000214224201</v>
      </c>
    </row>
    <row r="8783" spans="1:40" x14ac:dyDescent="0.25">
      <c r="A8783" t="str">
        <f>"20190303162123940"</f>
        <v>20190303162123940</v>
      </c>
      <c r="B8783" t="str">
        <f>"1551601283931546"</f>
        <v>1551601283931546</v>
      </c>
      <c r="C8783" t="s">
        <v>40</v>
      </c>
      <c r="D8783">
        <v>4.6867039999999998</v>
      </c>
      <c r="E8783">
        <v>0.39411259999999998</v>
      </c>
      <c r="F8783" t="s">
        <v>42</v>
      </c>
      <c r="G8783">
        <v>-301.18729999999999</v>
      </c>
      <c r="H8783">
        <v>1.061806</v>
      </c>
      <c r="I8783">
        <v>-36.287059999999997</v>
      </c>
      <c r="J8783">
        <v>-301.68189999999998</v>
      </c>
      <c r="K8783">
        <v>1.120941</v>
      </c>
      <c r="L8783">
        <v>-35.736909999999902</v>
      </c>
      <c r="M8783">
        <v>-1.21832E-2</v>
      </c>
      <c r="N8783">
        <v>-1.134719E-2</v>
      </c>
      <c r="O8783">
        <v>-0.99986140000000001</v>
      </c>
      <c r="P8783">
        <v>0.30057699999999998</v>
      </c>
      <c r="Q8783">
        <v>0.11047129999999999</v>
      </c>
      <c r="R8783">
        <v>-0.94733820000000002</v>
      </c>
      <c r="S8783">
        <v>1.6931149999999999</v>
      </c>
      <c r="T8783">
        <v>-0.2032186</v>
      </c>
      <c r="U8783">
        <v>-2.660339</v>
      </c>
      <c r="V8783">
        <v>-0.31202049999999998</v>
      </c>
      <c r="W8783">
        <v>0.1213687</v>
      </c>
      <c r="X8783">
        <v>0.94229130000000005</v>
      </c>
      <c r="Y8783">
        <v>-0.54619030000000002</v>
      </c>
      <c r="Z8783">
        <v>5.2707469999999999E-2</v>
      </c>
      <c r="AA8783">
        <v>0.83600129999999995</v>
      </c>
      <c r="AB8783">
        <v>25</v>
      </c>
      <c r="AC8783">
        <v>0.49459999999999099</v>
      </c>
      <c r="AD8783">
        <v>-5.9134999999999903E-2</v>
      </c>
      <c r="AE8783">
        <v>-0.55015000000000203</v>
      </c>
      <c r="AF8783">
        <v>-0.49808378875336101</v>
      </c>
      <c r="AG8783">
        <v>-5.9134999999999903E-2</v>
      </c>
      <c r="AH8783">
        <v>0.54062860669304302</v>
      </c>
      <c r="AI8783">
        <v>94.599267873557395</v>
      </c>
      <c r="AJ8783">
        <v>132.65452235192501</v>
      </c>
      <c r="AK8783">
        <v>0.73747115144849196</v>
      </c>
      <c r="AL8783">
        <v>83.028899445488804</v>
      </c>
      <c r="AM8783">
        <v>108.32123337631801</v>
      </c>
      <c r="AN8783">
        <v>1.00000002390781</v>
      </c>
    </row>
    <row r="8784" spans="1:40" x14ac:dyDescent="0.25">
      <c r="A8784" t="str">
        <f>"20190303162123961"</f>
        <v>20190303162123961</v>
      </c>
      <c r="B8784" t="str">
        <f>"1551601283951065"</f>
        <v>1551601283951065</v>
      </c>
      <c r="C8784" t="s">
        <v>40</v>
      </c>
      <c r="D8784">
        <v>4.6577869999999999</v>
      </c>
      <c r="E8784">
        <v>0.39503660000000002</v>
      </c>
      <c r="F8784" t="s">
        <v>42</v>
      </c>
      <c r="G8784">
        <v>-301.18619999999999</v>
      </c>
      <c r="H8784">
        <v>1.061712</v>
      </c>
      <c r="I8784">
        <v>-36.507390000000001</v>
      </c>
      <c r="J8784">
        <v>-301.68490000000003</v>
      </c>
      <c r="K8784">
        <v>1.121129</v>
      </c>
      <c r="L8784">
        <v>-35.966769999999997</v>
      </c>
      <c r="M8784">
        <v>-1.22632E-2</v>
      </c>
      <c r="N8784">
        <v>-1.135072E-2</v>
      </c>
      <c r="O8784">
        <v>-0.99986030000000004</v>
      </c>
      <c r="P8784">
        <v>0.30749199999999999</v>
      </c>
      <c r="Q8784">
        <v>0.1107938</v>
      </c>
      <c r="R8784">
        <v>-0.94507859999999999</v>
      </c>
      <c r="S8784">
        <v>1.7056579999999999</v>
      </c>
      <c r="T8784">
        <v>-0.20367779999999999</v>
      </c>
      <c r="U8784">
        <v>-2.6493229999999999</v>
      </c>
      <c r="V8784">
        <v>-0.31903530000000002</v>
      </c>
      <c r="W8784">
        <v>0.1215343</v>
      </c>
      <c r="X8784">
        <v>0.93991800000000003</v>
      </c>
      <c r="Y8784">
        <v>-0.55061819999999995</v>
      </c>
      <c r="Z8784">
        <v>5.2894829999999997E-2</v>
      </c>
      <c r="AA8784">
        <v>0.83307969999999898</v>
      </c>
      <c r="AB8784">
        <v>25</v>
      </c>
      <c r="AC8784">
        <v>0.498700000000042</v>
      </c>
      <c r="AD8784">
        <v>-5.9416999999999998E-2</v>
      </c>
      <c r="AE8784">
        <v>-0.54061999999999699</v>
      </c>
      <c r="AF8784">
        <v>-0.50201649532791104</v>
      </c>
      <c r="AG8784">
        <v>-5.9416999999999998E-2</v>
      </c>
      <c r="AH8784">
        <v>0.53099799834376404</v>
      </c>
      <c r="AI8784">
        <v>94.648541491928697</v>
      </c>
      <c r="AJ8784">
        <v>133.39297283923099</v>
      </c>
      <c r="AK8784">
        <v>0.73315060916254005</v>
      </c>
      <c r="AL8784">
        <v>83.019340179276796</v>
      </c>
      <c r="AM8784">
        <v>108.748695363813</v>
      </c>
      <c r="AN8784">
        <v>0.99999997772328897</v>
      </c>
    </row>
    <row r="8785" spans="1:40" x14ac:dyDescent="0.25">
      <c r="A8785" t="str">
        <f>"20190303162123983"</f>
        <v>20190303162123983</v>
      </c>
      <c r="B8785" t="str">
        <f>"1551601283971561"</f>
        <v>1551601283971561</v>
      </c>
      <c r="C8785" t="s">
        <v>40</v>
      </c>
      <c r="D8785">
        <v>4.6318999999999999</v>
      </c>
      <c r="E8785">
        <v>0.40481929999999999</v>
      </c>
      <c r="F8785" t="s">
        <v>42</v>
      </c>
      <c r="G8785">
        <v>-301.18779999999998</v>
      </c>
      <c r="H8785">
        <v>1.0636639999999999</v>
      </c>
      <c r="I8785">
        <v>-36.730269999999997</v>
      </c>
      <c r="J8785">
        <v>-301.68770000000001</v>
      </c>
      <c r="K8785">
        <v>1.121378</v>
      </c>
      <c r="L8785">
        <v>-36.209290000000003</v>
      </c>
      <c r="M8785">
        <v>-1.2031740000000001E-2</v>
      </c>
      <c r="N8785">
        <v>-1.135562E-2</v>
      </c>
      <c r="O8785">
        <v>-0.99986330000000001</v>
      </c>
      <c r="P8785">
        <v>0.31495010000000001</v>
      </c>
      <c r="Q8785">
        <v>0.11331189999999999</v>
      </c>
      <c r="R8785">
        <v>-0.94231980000000004</v>
      </c>
      <c r="S8785">
        <v>1.7178340000000001</v>
      </c>
      <c r="T8785">
        <v>-0.19860320000000001</v>
      </c>
      <c r="U8785">
        <v>-2.6387019999999999</v>
      </c>
      <c r="V8785">
        <v>-0.32631250000000001</v>
      </c>
      <c r="W8785">
        <v>0.123839</v>
      </c>
      <c r="X8785">
        <v>0.93711480000000003</v>
      </c>
      <c r="Y8785">
        <v>-0.55469539999999995</v>
      </c>
      <c r="Z8785">
        <v>5.1342600000000002E-2</v>
      </c>
      <c r="AA8785">
        <v>0.83046790000000004</v>
      </c>
      <c r="AB8785">
        <v>25</v>
      </c>
      <c r="AC8785">
        <v>0.49990000000002499</v>
      </c>
      <c r="AD8785">
        <v>-5.7714000000000001E-2</v>
      </c>
      <c r="AE8785">
        <v>-0.520980000000001</v>
      </c>
      <c r="AF8785">
        <v>-0.50291917455175905</v>
      </c>
      <c r="AG8785">
        <v>-5.7714000000000001E-2</v>
      </c>
      <c r="AH8785">
        <v>0.51165805984119395</v>
      </c>
      <c r="AI8785">
        <v>94.599211550377902</v>
      </c>
      <c r="AJ8785">
        <v>134.50650493026001</v>
      </c>
      <c r="AK8785">
        <v>0.71975869020684902</v>
      </c>
      <c r="AL8785">
        <v>82.886285889378499</v>
      </c>
      <c r="AM8785">
        <v>109.198614951777</v>
      </c>
      <c r="AN8785">
        <v>1.00000004697814</v>
      </c>
    </row>
    <row r="8786" spans="1:40" x14ac:dyDescent="0.25">
      <c r="A8786" t="str">
        <f>"20190303162124007"</f>
        <v>20190303162124007</v>
      </c>
      <c r="B8786" t="str">
        <f>"1551601284001816"</f>
        <v>1551601284001816</v>
      </c>
      <c r="C8786" t="s">
        <v>40</v>
      </c>
      <c r="D8786">
        <v>4.7207910000000002</v>
      </c>
      <c r="E8786">
        <v>0.40529720000000002</v>
      </c>
      <c r="F8786" t="s">
        <v>62</v>
      </c>
      <c r="G8786">
        <v>-290.91180000000003</v>
      </c>
      <c r="H8786" s="1">
        <v>-1.0153530000000001E-5</v>
      </c>
      <c r="I8786">
        <v>-53.352710000000002</v>
      </c>
      <c r="J8786">
        <v>-301.69029999999998</v>
      </c>
      <c r="K8786">
        <v>1.1216870000000001</v>
      </c>
      <c r="L8786">
        <v>-36.475589999999997</v>
      </c>
      <c r="M8786">
        <v>-1.132446E-2</v>
      </c>
      <c r="N8786">
        <v>-1.13635E-2</v>
      </c>
      <c r="O8786">
        <v>-0.99987130000000002</v>
      </c>
      <c r="P8786">
        <v>0.3218509</v>
      </c>
      <c r="Q8786">
        <v>0.1141548</v>
      </c>
      <c r="R8786">
        <v>-0.93988320000000003</v>
      </c>
      <c r="S8786">
        <v>1.6645509999999999</v>
      </c>
      <c r="T8786">
        <v>-0.17321989999999901</v>
      </c>
      <c r="U8786">
        <v>-2.6481319999999999</v>
      </c>
      <c r="V8786">
        <v>-0.33261560000000001</v>
      </c>
      <c r="W8786">
        <v>0.12440909999999999</v>
      </c>
      <c r="X8786">
        <v>0.9348204</v>
      </c>
      <c r="Y8786">
        <v>-0.54102989999999995</v>
      </c>
      <c r="Z8786">
        <v>4.3723190000000002E-2</v>
      </c>
      <c r="AA8786">
        <v>0.839866</v>
      </c>
      <c r="AB8786">
        <v>25</v>
      </c>
      <c r="AC8786">
        <v>10.7784999999999</v>
      </c>
      <c r="AD8786">
        <v>-1.12169715352999</v>
      </c>
      <c r="AE8786">
        <v>-16.877119999999898</v>
      </c>
      <c r="AF8786">
        <v>-10.934637246760101</v>
      </c>
      <c r="AG8786">
        <v>-1.12169715352999</v>
      </c>
      <c r="AH8786">
        <v>16.701566835366201</v>
      </c>
      <c r="AI8786">
        <v>93.216051149327697</v>
      </c>
      <c r="AJ8786">
        <v>123.213060463586</v>
      </c>
      <c r="AK8786">
        <v>19.994169924722399</v>
      </c>
      <c r="AL8786">
        <v>82.853366448548201</v>
      </c>
      <c r="AM8786">
        <v>109.585912346423</v>
      </c>
      <c r="AN8786">
        <v>0.99999997089116399</v>
      </c>
    </row>
    <row r="8787" spans="1:40" x14ac:dyDescent="0.25">
      <c r="A8787" t="str">
        <f>"20190303162124028"</f>
        <v>20190303162124028</v>
      </c>
      <c r="B8787" t="str">
        <f>"1551601284021337"</f>
        <v>1551601284021337</v>
      </c>
      <c r="C8787" t="s">
        <v>40</v>
      </c>
      <c r="D8787">
        <v>4.6693759999999997</v>
      </c>
      <c r="E8787">
        <v>0.40572859999999999</v>
      </c>
      <c r="F8787" t="s">
        <v>42</v>
      </c>
      <c r="G8787">
        <v>-301.11430000000001</v>
      </c>
      <c r="H8787">
        <v>1.0658069999999999</v>
      </c>
      <c r="I8787">
        <v>-37.379449999999999</v>
      </c>
      <c r="J8787">
        <v>-301.6918</v>
      </c>
      <c r="K8787">
        <v>1.1219809999999999</v>
      </c>
      <c r="L8787">
        <v>-36.70682</v>
      </c>
      <c r="M8787">
        <v>-1.0282070000000001E-2</v>
      </c>
      <c r="N8787">
        <v>-1.1373049999999999E-2</v>
      </c>
      <c r="O8787">
        <v>-0.99988239999999995</v>
      </c>
      <c r="P8787">
        <v>0.3276133</v>
      </c>
      <c r="Q8787">
        <v>0.11260340000000001</v>
      </c>
      <c r="R8787">
        <v>-0.93807790000000002</v>
      </c>
      <c r="S8787">
        <v>1.6805110000000001</v>
      </c>
      <c r="T8787">
        <v>-0.16298560000000001</v>
      </c>
      <c r="U8787">
        <v>-2.6362299999999999</v>
      </c>
      <c r="V8787">
        <v>-0.3374704</v>
      </c>
      <c r="W8787">
        <v>0.1225987</v>
      </c>
      <c r="X8787">
        <v>0.93331839999999999</v>
      </c>
      <c r="Y8787">
        <v>-0.54555779999999998</v>
      </c>
      <c r="Z8787">
        <v>4.0507990000000001E-2</v>
      </c>
      <c r="AA8787">
        <v>0.83709369999999905</v>
      </c>
      <c r="AB8787">
        <v>25</v>
      </c>
      <c r="AC8787">
        <v>0.57749999999998602</v>
      </c>
      <c r="AD8787">
        <v>-5.6173999999999898E-2</v>
      </c>
      <c r="AE8787">
        <v>-0.67262999999999795</v>
      </c>
      <c r="AF8787">
        <v>-0.58204903292323196</v>
      </c>
      <c r="AG8787">
        <v>-5.6173999999999898E-2</v>
      </c>
      <c r="AH8787">
        <v>0.66399025530727196</v>
      </c>
      <c r="AI8787">
        <v>93.6401503771948</v>
      </c>
      <c r="AJ8787">
        <v>131.23756971607699</v>
      </c>
      <c r="AK8787">
        <v>0.88477096140520195</v>
      </c>
      <c r="AL8787">
        <v>82.957895029105302</v>
      </c>
      <c r="AM8787">
        <v>109.87903852778901</v>
      </c>
      <c r="AN8787">
        <v>0.99999997394820395</v>
      </c>
    </row>
    <row r="8788" spans="1:40" x14ac:dyDescent="0.25">
      <c r="A8788" t="str">
        <f>"20190303162124049"</f>
        <v>20190303162124049</v>
      </c>
      <c r="B8788" t="str">
        <f>"1551601284041833"</f>
        <v>1551601284041833</v>
      </c>
      <c r="C8788" t="s">
        <v>40</v>
      </c>
      <c r="D8788">
        <v>4.6662030000000003</v>
      </c>
      <c r="E8788">
        <v>0.40652509999999997</v>
      </c>
      <c r="F8788" t="s">
        <v>42</v>
      </c>
      <c r="G8788">
        <v>-301.1157</v>
      </c>
      <c r="H8788">
        <v>1.065731</v>
      </c>
      <c r="I8788">
        <v>-37.600859999999997</v>
      </c>
      <c r="J8788">
        <v>-301.69279999999998</v>
      </c>
      <c r="K8788">
        <v>1.122261</v>
      </c>
      <c r="L8788">
        <v>-36.949129999999997</v>
      </c>
      <c r="M8788">
        <v>-8.8115390000000002E-3</v>
      </c>
      <c r="N8788">
        <v>-1.138392E-2</v>
      </c>
      <c r="O8788">
        <v>-0.99989660000000002</v>
      </c>
      <c r="P8788">
        <v>0.33307439999999999</v>
      </c>
      <c r="Q8788">
        <v>0.1106814</v>
      </c>
      <c r="R8788">
        <v>-0.93638220000000005</v>
      </c>
      <c r="S8788">
        <v>1.69278</v>
      </c>
      <c r="T8788">
        <v>-0.165263299999999</v>
      </c>
      <c r="U8788">
        <v>-2.6266780000000001</v>
      </c>
      <c r="V8788">
        <v>-0.34162429999999999</v>
      </c>
      <c r="W8788">
        <v>0.120421</v>
      </c>
      <c r="X8788">
        <v>0.93208990000000003</v>
      </c>
      <c r="Y8788">
        <v>-0.54844879999999996</v>
      </c>
      <c r="Z8788">
        <v>4.1272299999999998E-2</v>
      </c>
      <c r="AA8788">
        <v>0.83516499999999905</v>
      </c>
      <c r="AB8788">
        <v>25</v>
      </c>
      <c r="AC8788">
        <v>0.57709999999997297</v>
      </c>
      <c r="AD8788">
        <v>-5.65299999999999E-2</v>
      </c>
      <c r="AE8788">
        <v>-0.65173000000000003</v>
      </c>
      <c r="AF8788">
        <v>-0.580373263527312</v>
      </c>
      <c r="AG8788">
        <v>-5.65299999999999E-2</v>
      </c>
      <c r="AH8788">
        <v>0.64390387340260102</v>
      </c>
      <c r="AI8788">
        <v>93.731113161421504</v>
      </c>
      <c r="AJ8788">
        <v>132.02945218845201</v>
      </c>
      <c r="AK8788">
        <v>0.86870073333698505</v>
      </c>
      <c r="AL8788">
        <v>83.083599565976201</v>
      </c>
      <c r="AM8788">
        <v>110.128608915396</v>
      </c>
      <c r="AN8788">
        <v>0.999999980636749</v>
      </c>
    </row>
    <row r="8789" spans="1:40" x14ac:dyDescent="0.25">
      <c r="A8789" t="str">
        <f>"20190303162124073"</f>
        <v>20190303162124073</v>
      </c>
      <c r="B8789" t="str">
        <f>"1551601284061353"</f>
        <v>1551601284061353</v>
      </c>
      <c r="C8789" t="s">
        <v>40</v>
      </c>
      <c r="D8789">
        <v>4.6593939999999998</v>
      </c>
      <c r="E8789">
        <v>0.4071516</v>
      </c>
      <c r="F8789" t="s">
        <v>42</v>
      </c>
      <c r="G8789">
        <v>-301.12419999999997</v>
      </c>
      <c r="H8789">
        <v>1.0678859999999999</v>
      </c>
      <c r="I8789">
        <v>-37.823650000000001</v>
      </c>
      <c r="J8789">
        <v>-301.69290000000001</v>
      </c>
      <c r="K8789">
        <v>1.122544</v>
      </c>
      <c r="L8789">
        <v>-37.205469999999998</v>
      </c>
      <c r="M8789">
        <v>-6.8112090000000004E-3</v>
      </c>
      <c r="N8789">
        <v>-1.1391170000000001E-2</v>
      </c>
      <c r="O8789">
        <v>-0.99991209999999997</v>
      </c>
      <c r="P8789">
        <v>0.33674399999999999</v>
      </c>
      <c r="Q8789">
        <v>0.10946069999999999</v>
      </c>
      <c r="R8789">
        <v>-0.9352125</v>
      </c>
      <c r="S8789">
        <v>1.7022090000000001</v>
      </c>
      <c r="T8789">
        <v>-0.16275609999999999</v>
      </c>
      <c r="U8789">
        <v>-2.6175839999999999</v>
      </c>
      <c r="V8789">
        <v>-0.34349930000000001</v>
      </c>
      <c r="W8789">
        <v>0.11895210000000001</v>
      </c>
      <c r="X8789">
        <v>0.93158929999999995</v>
      </c>
      <c r="Y8789">
        <v>-0.55023109999999997</v>
      </c>
      <c r="Z8789">
        <v>4.0547340000000001E-2</v>
      </c>
      <c r="AA8789">
        <v>0.83402730000000003</v>
      </c>
      <c r="AB8789">
        <v>25</v>
      </c>
      <c r="AC8789">
        <v>0.56870000000003496</v>
      </c>
      <c r="AD8789">
        <v>-5.4657999999999797E-2</v>
      </c>
      <c r="AE8789">
        <v>-0.61818000000000195</v>
      </c>
      <c r="AF8789">
        <v>-0.57048210596619797</v>
      </c>
      <c r="AG8789">
        <v>-5.4657999999999797E-2</v>
      </c>
      <c r="AH8789">
        <v>0.61170181539945301</v>
      </c>
      <c r="AI8789">
        <v>93.738741707508495</v>
      </c>
      <c r="AJ8789">
        <v>133.00305268668501</v>
      </c>
      <c r="AK8789">
        <v>0.83822219080301996</v>
      </c>
      <c r="AL8789">
        <v>83.168370820049802</v>
      </c>
      <c r="AM8789">
        <v>110.24013929952901</v>
      </c>
      <c r="AN8789">
        <v>0.99999999753469404</v>
      </c>
    </row>
    <row r="8790" spans="1:40" x14ac:dyDescent="0.25">
      <c r="A8790" t="str">
        <f>"20190303162124095"</f>
        <v>20190303162124095</v>
      </c>
      <c r="B8790" t="str">
        <f>"1551601284091608"</f>
        <v>1551601284091608</v>
      </c>
      <c r="C8790" t="s">
        <v>40</v>
      </c>
      <c r="D8790">
        <v>4.6844950000000001</v>
      </c>
      <c r="E8790">
        <v>0.40766140000000001</v>
      </c>
      <c r="F8790" t="s">
        <v>42</v>
      </c>
      <c r="G8790">
        <v>-301.1198</v>
      </c>
      <c r="H8790">
        <v>1.0690230000000001</v>
      </c>
      <c r="I8790">
        <v>-38.082329999999999</v>
      </c>
      <c r="J8790">
        <v>-301.69209999999998</v>
      </c>
      <c r="K8790">
        <v>1.122814</v>
      </c>
      <c r="L8790">
        <v>-37.451079999999997</v>
      </c>
      <c r="M8790">
        <v>-4.4449959999999997E-3</v>
      </c>
      <c r="N8790">
        <v>-1.1394960000000001E-2</v>
      </c>
      <c r="O8790">
        <v>-0.99992519999999996</v>
      </c>
      <c r="P8790">
        <v>0.34124450000000001</v>
      </c>
      <c r="Q8790">
        <v>0.10789509999999999</v>
      </c>
      <c r="R8790">
        <v>-0.93376150000000002</v>
      </c>
      <c r="S8790">
        <v>1.7072750000000001</v>
      </c>
      <c r="T8790">
        <v>-0.15941729999999901</v>
      </c>
      <c r="U8790">
        <v>-2.611755</v>
      </c>
      <c r="V8790">
        <v>-0.34585870000000002</v>
      </c>
      <c r="W8790">
        <v>0.11714140000000001</v>
      </c>
      <c r="X8790">
        <v>0.93094560000000004</v>
      </c>
      <c r="Y8790">
        <v>-0.55026529999999996</v>
      </c>
      <c r="Z8790">
        <v>3.9559329999999997E-2</v>
      </c>
      <c r="AA8790">
        <v>0.83405229999999997</v>
      </c>
      <c r="AB8790">
        <v>25</v>
      </c>
      <c r="AC8790">
        <v>0.57229999999998404</v>
      </c>
      <c r="AD8790">
        <v>-5.3790999999999901E-2</v>
      </c>
      <c r="AE8790">
        <v>-0.63125000000000098</v>
      </c>
      <c r="AF8790">
        <v>-0.57281748047288605</v>
      </c>
      <c r="AG8790">
        <v>-5.3790999999999901E-2</v>
      </c>
      <c r="AH8790">
        <v>0.62620400499282303</v>
      </c>
      <c r="AI8790">
        <v>93.626683558882206</v>
      </c>
      <c r="AJ8790">
        <v>132.45058481284599</v>
      </c>
      <c r="AK8790">
        <v>0.85037920569905601</v>
      </c>
      <c r="AL8790">
        <v>83.272847008288906</v>
      </c>
      <c r="AM8790">
        <v>110.380702660323</v>
      </c>
      <c r="AN8790">
        <v>1.0000000290594999</v>
      </c>
    </row>
    <row r="8791" spans="1:40" x14ac:dyDescent="0.25">
      <c r="A8791" t="str">
        <f>"20190303162124122"</f>
        <v>20190303162124122</v>
      </c>
      <c r="B8791" t="str">
        <f>"1551601284111129"</f>
        <v>1551601284111129</v>
      </c>
      <c r="C8791" t="s">
        <v>40</v>
      </c>
      <c r="D8791">
        <v>4.6794229999999999</v>
      </c>
      <c r="E8791">
        <v>0.40798859999999998</v>
      </c>
      <c r="F8791" t="s">
        <v>42</v>
      </c>
      <c r="G8791">
        <v>-301.14589999999998</v>
      </c>
      <c r="H8791">
        <v>1.069752</v>
      </c>
      <c r="I8791">
        <v>-38.281109999999998</v>
      </c>
      <c r="J8791">
        <v>-301.68970000000002</v>
      </c>
      <c r="K8791">
        <v>1.1231640000000001</v>
      </c>
      <c r="L8791">
        <v>-37.755249999999997</v>
      </c>
      <c r="M8791">
        <v>-9.2650480000000003E-4</v>
      </c>
      <c r="N8791">
        <v>-1.1401029999999999E-2</v>
      </c>
      <c r="O8791">
        <v>-0.99993469999999995</v>
      </c>
      <c r="P8791">
        <v>0.34814309999999998</v>
      </c>
      <c r="Q8791">
        <v>0.1051047</v>
      </c>
      <c r="R8791">
        <v>-0.93153079999999999</v>
      </c>
      <c r="S8791">
        <v>1.7152400000000001</v>
      </c>
      <c r="T8791">
        <v>-0.16655429999999999</v>
      </c>
      <c r="U8791">
        <v>-2.6052249999999999</v>
      </c>
      <c r="V8791">
        <v>-0.3495606</v>
      </c>
      <c r="W8791">
        <v>0.11402859999999999</v>
      </c>
      <c r="X8791">
        <v>0.92994889999999997</v>
      </c>
      <c r="Y8791">
        <v>-0.55000749999999998</v>
      </c>
      <c r="Z8791">
        <v>4.1916849999999999E-2</v>
      </c>
      <c r="AA8791">
        <v>0.83410720000000005</v>
      </c>
      <c r="AB8791">
        <v>25</v>
      </c>
      <c r="AC8791">
        <v>0.54380000000003204</v>
      </c>
      <c r="AD8791">
        <v>-5.3412000000000001E-2</v>
      </c>
      <c r="AE8791">
        <v>-0.52586000000000099</v>
      </c>
      <c r="AF8791">
        <v>-0.54158701930078901</v>
      </c>
      <c r="AG8791">
        <v>-5.3412000000000001E-2</v>
      </c>
      <c r="AH8791">
        <v>0.52274982722552099</v>
      </c>
      <c r="AI8791">
        <v>94.058840977406604</v>
      </c>
      <c r="AJ8791">
        <v>136.01394491495</v>
      </c>
      <c r="AK8791">
        <v>0.75461031207069096</v>
      </c>
      <c r="AL8791">
        <v>83.452400933354497</v>
      </c>
      <c r="AM8791">
        <v>110.600852335995</v>
      </c>
      <c r="AN8791">
        <v>1.0000000456507601</v>
      </c>
    </row>
    <row r="8792" spans="1:40" x14ac:dyDescent="0.25">
      <c r="A8792" t="str">
        <f>"20190303162124144"</f>
        <v>20190303162124144</v>
      </c>
      <c r="B8792" t="str">
        <f>"1551601284131625"</f>
        <v>1551601284131625</v>
      </c>
      <c r="C8792" t="s">
        <v>40</v>
      </c>
      <c r="D8792">
        <v>4.6951999999999998</v>
      </c>
      <c r="E8792">
        <v>0.4084449</v>
      </c>
      <c r="F8792" t="s">
        <v>42</v>
      </c>
      <c r="G8792">
        <v>-301.15359999999998</v>
      </c>
      <c r="H8792">
        <v>1.0696479999999999</v>
      </c>
      <c r="I8792">
        <v>-38.558720000000001</v>
      </c>
      <c r="J8792">
        <v>-301.68650000000002</v>
      </c>
      <c r="K8792">
        <v>1.1234420000000001</v>
      </c>
      <c r="L8792">
        <v>-38.000610000000002</v>
      </c>
      <c r="M8792">
        <v>2.3795880000000002E-3</v>
      </c>
      <c r="N8792">
        <v>-1.1409509999999999E-2</v>
      </c>
      <c r="O8792">
        <v>-0.9999323</v>
      </c>
      <c r="P8792">
        <v>0.356068</v>
      </c>
      <c r="Q8792">
        <v>0.1006976</v>
      </c>
      <c r="R8792">
        <v>-0.92901869999999998</v>
      </c>
      <c r="S8792">
        <v>1.7305299999999999</v>
      </c>
      <c r="T8792">
        <v>-0.17273150000000001</v>
      </c>
      <c r="U8792">
        <v>-2.5932309999999998</v>
      </c>
      <c r="V8792">
        <v>-0.35446699999999998</v>
      </c>
      <c r="W8792">
        <v>0.1093398</v>
      </c>
      <c r="X8792">
        <v>0.92865379999999997</v>
      </c>
      <c r="Y8792">
        <v>-0.55237049999999999</v>
      </c>
      <c r="Z8792">
        <v>4.3974409999999998E-2</v>
      </c>
      <c r="AA8792">
        <v>0.83243799999999901</v>
      </c>
      <c r="AB8792">
        <v>25</v>
      </c>
      <c r="AC8792">
        <v>0.53290000000004001</v>
      </c>
      <c r="AD8792">
        <v>-5.3794000000000099E-2</v>
      </c>
      <c r="AE8792">
        <v>-0.55811000000000599</v>
      </c>
      <c r="AF8792">
        <v>-0.52899956021836703</v>
      </c>
      <c r="AG8792">
        <v>-5.3794000000000099E-2</v>
      </c>
      <c r="AH8792">
        <v>0.55667133536411495</v>
      </c>
      <c r="AI8792">
        <v>94.007037343219693</v>
      </c>
      <c r="AJ8792">
        <v>133.539950979336</v>
      </c>
      <c r="AK8792">
        <v>0.76981640977787202</v>
      </c>
      <c r="AL8792">
        <v>83.7227404251704</v>
      </c>
      <c r="AM8792">
        <v>110.89184713056</v>
      </c>
      <c r="AN8792">
        <v>0.99999996310373895</v>
      </c>
    </row>
    <row r="8793" spans="1:40" x14ac:dyDescent="0.25">
      <c r="A8793" t="str">
        <f>"20190303162124163"</f>
        <v>20190303162124163</v>
      </c>
      <c r="B8793" t="str">
        <f>"1551601284151144"</f>
        <v>1551601284151144</v>
      </c>
      <c r="C8793" t="s">
        <v>40</v>
      </c>
      <c r="D8793">
        <v>4.7187640000000002</v>
      </c>
      <c r="E8793">
        <v>0.40895809999999999</v>
      </c>
      <c r="F8793" t="s">
        <v>42</v>
      </c>
      <c r="G8793">
        <v>-301.18009999999998</v>
      </c>
      <c r="H8793">
        <v>1.0704209999999901</v>
      </c>
      <c r="I8793">
        <v>-38.748240000000003</v>
      </c>
      <c r="J8793">
        <v>-301.68259999999998</v>
      </c>
      <c r="K8793">
        <v>1.123677</v>
      </c>
      <c r="L8793">
        <v>-38.212339999999998</v>
      </c>
      <c r="M8793">
        <v>5.5723719999999999E-3</v>
      </c>
      <c r="N8793">
        <v>-1.141911E-2</v>
      </c>
      <c r="O8793">
        <v>-0.99991920000000001</v>
      </c>
      <c r="P8793">
        <v>0.36417189999999999</v>
      </c>
      <c r="Q8793">
        <v>9.7383129999999998E-2</v>
      </c>
      <c r="R8793">
        <v>-0.92622649999999995</v>
      </c>
      <c r="S8793">
        <v>1.747711</v>
      </c>
      <c r="T8793">
        <v>-0.18292220000000001</v>
      </c>
      <c r="U8793">
        <v>-2.5791930000000001</v>
      </c>
      <c r="V8793">
        <v>-0.35966100000000001</v>
      </c>
      <c r="W8793">
        <v>0.10576960000000001</v>
      </c>
      <c r="X8793">
        <v>0.92706889999999997</v>
      </c>
      <c r="Y8793">
        <v>-0.55550999999999995</v>
      </c>
      <c r="Z8793">
        <v>4.7328469999999997E-2</v>
      </c>
      <c r="AA8793">
        <v>0.83016179999999995</v>
      </c>
      <c r="AB8793">
        <v>25</v>
      </c>
      <c r="AC8793">
        <v>0.50249999999999695</v>
      </c>
      <c r="AD8793">
        <v>-5.3256000000000102E-2</v>
      </c>
      <c r="AE8793">
        <v>-0.53589999999999705</v>
      </c>
      <c r="AF8793">
        <v>-0.496894491882512</v>
      </c>
      <c r="AG8793">
        <v>-5.3256000000000102E-2</v>
      </c>
      <c r="AH8793">
        <v>0.53587584752135597</v>
      </c>
      <c r="AI8793">
        <v>94.167986076290404</v>
      </c>
      <c r="AJ8793">
        <v>132.83842801595199</v>
      </c>
      <c r="AK8793">
        <v>0.73273682967072995</v>
      </c>
      <c r="AL8793">
        <v>83.928491655701094</v>
      </c>
      <c r="AM8793">
        <v>111.20401133399599</v>
      </c>
      <c r="AN8793">
        <v>0.99999999427618502</v>
      </c>
    </row>
    <row r="8794" spans="1:40" x14ac:dyDescent="0.25">
      <c r="A8794" t="str">
        <f>"20190303162124194"</f>
        <v>20190303162124194</v>
      </c>
      <c r="B8794" t="str">
        <f>"1551601284181405"</f>
        <v>1551601284181405</v>
      </c>
      <c r="C8794" t="s">
        <v>40</v>
      </c>
      <c r="D8794">
        <v>4.7544469999999999</v>
      </c>
      <c r="E8794">
        <v>0.40934209999999999</v>
      </c>
      <c r="F8794" t="s">
        <v>42</v>
      </c>
      <c r="G8794">
        <v>-301.18090000000001</v>
      </c>
      <c r="H8794">
        <v>1.070101</v>
      </c>
      <c r="I8794">
        <v>-38.940959999999997</v>
      </c>
      <c r="J8794">
        <v>-301.67439999999999</v>
      </c>
      <c r="K8794">
        <v>1.1240209999999999</v>
      </c>
      <c r="L8794">
        <v>-38.545259999999999</v>
      </c>
      <c r="M8794">
        <v>1.1185209999999999E-2</v>
      </c>
      <c r="N8794">
        <v>-1.14366E-2</v>
      </c>
      <c r="O8794">
        <v>-0.99987219999999999</v>
      </c>
      <c r="P8794">
        <v>0.37489549999999999</v>
      </c>
      <c r="Q8794">
        <v>9.4319689999999998E-2</v>
      </c>
      <c r="R8794">
        <v>-0.92225679999999999</v>
      </c>
      <c r="S8794">
        <v>1.7656559999999999</v>
      </c>
      <c r="T8794">
        <v>-0.1885715</v>
      </c>
      <c r="U8794">
        <v>-2.5645449999999999</v>
      </c>
      <c r="V8794">
        <v>-0.36528519999999998</v>
      </c>
      <c r="W8794">
        <v>0.102339899999999</v>
      </c>
      <c r="X8794">
        <v>0.92525310000000005</v>
      </c>
      <c r="Y8794">
        <v>-0.55693689999999996</v>
      </c>
      <c r="Z8794">
        <v>4.927811E-2</v>
      </c>
      <c r="AA8794">
        <v>0.82909169999999999</v>
      </c>
      <c r="AB8794">
        <v>25</v>
      </c>
      <c r="AC8794">
        <v>0.49349999999998301</v>
      </c>
      <c r="AD8794">
        <v>-5.3919999999999899E-2</v>
      </c>
      <c r="AE8794">
        <v>-0.395699999999997</v>
      </c>
      <c r="AF8794">
        <v>-0.48551498799160397</v>
      </c>
      <c r="AG8794">
        <v>-5.3919999999999899E-2</v>
      </c>
      <c r="AH8794">
        <v>0.39830135810325401</v>
      </c>
      <c r="AI8794">
        <v>94.907467289113896</v>
      </c>
      <c r="AJ8794">
        <v>140.635614005425</v>
      </c>
      <c r="AK8794">
        <v>0.63029845456845601</v>
      </c>
      <c r="AL8794">
        <v>84.126071768075093</v>
      </c>
      <c r="AM8794">
        <v>111.543853615217</v>
      </c>
      <c r="AN8794">
        <v>1.0000000157653199</v>
      </c>
    </row>
    <row r="8795" spans="1:40" x14ac:dyDescent="0.25">
      <c r="A8795" t="str">
        <f>"20190303162124213"</f>
        <v>20190303162124213</v>
      </c>
      <c r="B8795" t="str">
        <f>"1551601284200921"</f>
        <v>1551601284200921</v>
      </c>
      <c r="C8795" t="s">
        <v>40</v>
      </c>
      <c r="D8795">
        <v>4.813955</v>
      </c>
      <c r="E8795">
        <v>0.4095818</v>
      </c>
      <c r="F8795" t="s">
        <v>42</v>
      </c>
      <c r="G8795">
        <v>-301.09820000000002</v>
      </c>
      <c r="H8795">
        <v>1.0614429999999999</v>
      </c>
      <c r="I8795">
        <v>-39.363849999999999</v>
      </c>
      <c r="J8795">
        <v>-301.66770000000002</v>
      </c>
      <c r="K8795">
        <v>1.124217</v>
      </c>
      <c r="L8795">
        <v>-38.759309999999999</v>
      </c>
      <c r="M8795">
        <v>1.510921E-2</v>
      </c>
      <c r="N8795">
        <v>-1.1448460000000001E-2</v>
      </c>
      <c r="O8795">
        <v>-0.99982040000000005</v>
      </c>
      <c r="P8795">
        <v>0.3846079</v>
      </c>
      <c r="Q8795">
        <v>9.0546109999999999E-2</v>
      </c>
      <c r="R8795">
        <v>-0.91862860000000002</v>
      </c>
      <c r="S8795">
        <v>1.7910459999999999</v>
      </c>
      <c r="T8795">
        <v>-0.1945326</v>
      </c>
      <c r="U8795">
        <v>-2.544708</v>
      </c>
      <c r="V8795">
        <v>-0.37143559999999998</v>
      </c>
      <c r="W8795">
        <v>9.8322850000000003E-2</v>
      </c>
      <c r="X8795">
        <v>0.92323789999999994</v>
      </c>
      <c r="Y8795">
        <v>-0.56217090000000003</v>
      </c>
      <c r="Z8795">
        <v>5.130287E-2</v>
      </c>
      <c r="AA8795">
        <v>0.82542839999999995</v>
      </c>
      <c r="AB8795">
        <v>25</v>
      </c>
      <c r="AC8795">
        <v>0.569500000000005</v>
      </c>
      <c r="AD8795">
        <v>-6.2773999999999802E-2</v>
      </c>
      <c r="AE8795">
        <v>-0.60453999999999997</v>
      </c>
      <c r="AF8795">
        <v>-0.55711764851170098</v>
      </c>
      <c r="AG8795">
        <v>-6.2773999999999802E-2</v>
      </c>
      <c r="AH8795">
        <v>0.60959384816838103</v>
      </c>
      <c r="AI8795">
        <v>94.346910819683799</v>
      </c>
      <c r="AJ8795">
        <v>132.42469348420801</v>
      </c>
      <c r="AK8795">
        <v>0.82820607887405795</v>
      </c>
      <c r="AL8795">
        <v>84.357399129770897</v>
      </c>
      <c r="AM8795">
        <v>111.915830671457</v>
      </c>
      <c r="AN8795">
        <v>1.00000000388794</v>
      </c>
    </row>
    <row r="8796" spans="1:40" x14ac:dyDescent="0.25">
      <c r="A8796" t="str">
        <f>"20190303162124230"</f>
        <v>20190303162124230</v>
      </c>
      <c r="B8796" t="str">
        <f>"1551601284221417"</f>
        <v>1551601284221417</v>
      </c>
      <c r="C8796" t="s">
        <v>40</v>
      </c>
      <c r="D8796">
        <v>4.8001069999999997</v>
      </c>
      <c r="E8796">
        <v>0.409858</v>
      </c>
      <c r="F8796" t="s">
        <v>42</v>
      </c>
      <c r="G8796">
        <v>-301.07819999999998</v>
      </c>
      <c r="H8796">
        <v>1.0575810000000001</v>
      </c>
      <c r="I8796">
        <v>-39.580460000000002</v>
      </c>
      <c r="J8796">
        <v>-301.66109999999998</v>
      </c>
      <c r="K8796">
        <v>1.124374</v>
      </c>
      <c r="L8796">
        <v>-38.945709999999998</v>
      </c>
      <c r="M8796">
        <v>1.8704620000000002E-2</v>
      </c>
      <c r="N8796">
        <v>-1.145855E-2</v>
      </c>
      <c r="O8796">
        <v>-0.99975950000000002</v>
      </c>
      <c r="P8796">
        <v>0.39496690000000001</v>
      </c>
      <c r="Q8796">
        <v>9.0355329999999998E-2</v>
      </c>
      <c r="R8796">
        <v>-0.91424119999999998</v>
      </c>
      <c r="S8796">
        <v>1.8144229999999999</v>
      </c>
      <c r="T8796">
        <v>-0.20501420000000001</v>
      </c>
      <c r="U8796">
        <v>-2.5262760000000002</v>
      </c>
      <c r="V8796">
        <v>-0.37858389999999997</v>
      </c>
      <c r="W8796">
        <v>9.7910960000000005E-2</v>
      </c>
      <c r="X8796">
        <v>0.92037369999999996</v>
      </c>
      <c r="Y8796">
        <v>-0.56695850000000003</v>
      </c>
      <c r="Z8796">
        <v>5.4776310000000002E-2</v>
      </c>
      <c r="AA8796">
        <v>0.82192310000000002</v>
      </c>
      <c r="AB8796">
        <v>25</v>
      </c>
      <c r="AC8796">
        <v>0.58289999999999498</v>
      </c>
      <c r="AD8796">
        <v>-6.6793000000000102E-2</v>
      </c>
      <c r="AE8796">
        <v>-0.63474999999999604</v>
      </c>
      <c r="AF8796">
        <v>-0.56751538942956303</v>
      </c>
      <c r="AG8796">
        <v>-6.6793000000000102E-2</v>
      </c>
      <c r="AH8796">
        <v>0.64168793355931997</v>
      </c>
      <c r="AI8796">
        <v>94.458368562936997</v>
      </c>
      <c r="AJ8796">
        <v>131.48987428944599</v>
      </c>
      <c r="AK8796">
        <v>0.85924293780281902</v>
      </c>
      <c r="AL8796">
        <v>84.381113294964393</v>
      </c>
      <c r="AM8796">
        <v>112.359186396081</v>
      </c>
      <c r="AN8796">
        <v>1.0000000365395101</v>
      </c>
    </row>
    <row r="8797" spans="1:40" x14ac:dyDescent="0.25">
      <c r="A8797" t="str">
        <f>"20190303162124251"</f>
        <v>20190303162124251</v>
      </c>
      <c r="B8797" t="str">
        <f>"1551601284240937"</f>
        <v>1551601284240937</v>
      </c>
      <c r="C8797" t="s">
        <v>40</v>
      </c>
      <c r="D8797">
        <v>4.9247249999999996</v>
      </c>
      <c r="E8797">
        <v>0.4096844</v>
      </c>
      <c r="F8797" t="s">
        <v>42</v>
      </c>
      <c r="G8797">
        <v>-301.03820000000002</v>
      </c>
      <c r="H8797">
        <v>1.0564199999999999</v>
      </c>
      <c r="I8797">
        <v>-39.79345</v>
      </c>
      <c r="J8797">
        <v>-301.65159999999997</v>
      </c>
      <c r="K8797">
        <v>1.124555</v>
      </c>
      <c r="L8797">
        <v>-39.176969999999997</v>
      </c>
      <c r="M8797">
        <v>2.342294E-2</v>
      </c>
      <c r="N8797">
        <v>-1.1471179999999999E-2</v>
      </c>
      <c r="O8797">
        <v>-0.99965999999999999</v>
      </c>
      <c r="P8797">
        <v>0.40672550000000002</v>
      </c>
      <c r="Q8797">
        <v>9.1544680000000003E-2</v>
      </c>
      <c r="R8797">
        <v>-0.90895219999999999</v>
      </c>
      <c r="S8797">
        <v>1.8410949999999999</v>
      </c>
      <c r="T8797">
        <v>-0.20086589999999999</v>
      </c>
      <c r="U8797">
        <v>-2.5058590000000001</v>
      </c>
      <c r="V8797">
        <v>-0.38616200000000001</v>
      </c>
      <c r="W8797">
        <v>9.8847649999999995E-2</v>
      </c>
      <c r="X8797">
        <v>0.91711940000000003</v>
      </c>
      <c r="Y8797">
        <v>-0.57197880000000001</v>
      </c>
      <c r="Z8797">
        <v>5.355973E-2</v>
      </c>
      <c r="AA8797">
        <v>0.81851790000000002</v>
      </c>
      <c r="AB8797">
        <v>25</v>
      </c>
      <c r="AC8797">
        <v>0.61339999999995598</v>
      </c>
      <c r="AD8797">
        <v>-6.8134999999999807E-2</v>
      </c>
      <c r="AE8797">
        <v>-0.61647999999999503</v>
      </c>
      <c r="AF8797">
        <v>-0.595137880878995</v>
      </c>
      <c r="AG8797">
        <v>-6.8134999999999807E-2</v>
      </c>
      <c r="AH8797">
        <v>0.62683178776669302</v>
      </c>
      <c r="AI8797">
        <v>94.507173830009194</v>
      </c>
      <c r="AJ8797">
        <v>133.51426748819901</v>
      </c>
      <c r="AK8797">
        <v>0.867034927576121</v>
      </c>
      <c r="AL8797">
        <v>84.327182923249097</v>
      </c>
      <c r="AM8797">
        <v>112.83399714994</v>
      </c>
      <c r="AN8797">
        <v>0.99999997100544002</v>
      </c>
    </row>
    <row r="8798" spans="1:40" x14ac:dyDescent="0.25">
      <c r="A8798" t="str">
        <f>"20190303162124273"</f>
        <v>20190303162124273</v>
      </c>
      <c r="B8798" t="str">
        <f>"1551601284261433"</f>
        <v>1551601284261433</v>
      </c>
      <c r="C8798" t="s">
        <v>40</v>
      </c>
      <c r="D8798">
        <v>4.9184400000000004</v>
      </c>
      <c r="E8798">
        <v>0.37708330000000001</v>
      </c>
      <c r="F8798" t="s">
        <v>42</v>
      </c>
      <c r="G8798">
        <v>-301.02140000000003</v>
      </c>
      <c r="H8798">
        <v>1.059971</v>
      </c>
      <c r="I8798">
        <v>-40.010849999999998</v>
      </c>
      <c r="J8798">
        <v>-301.63990000000001</v>
      </c>
      <c r="K8798">
        <v>1.124736</v>
      </c>
      <c r="L8798">
        <v>-39.425660000000001</v>
      </c>
      <c r="M8798">
        <v>2.8819560000000001E-2</v>
      </c>
      <c r="N8798">
        <v>-1.148709E-2</v>
      </c>
      <c r="O8798">
        <v>-0.99951869999999998</v>
      </c>
      <c r="P8798">
        <v>0.42131020000000002</v>
      </c>
      <c r="Q8798">
        <v>9.0874510000000006E-2</v>
      </c>
      <c r="R8798">
        <v>-0.90235220000000005</v>
      </c>
      <c r="S8798">
        <v>1.8756409999999999</v>
      </c>
      <c r="T8798">
        <v>-0.1921284</v>
      </c>
      <c r="U8798">
        <v>-2.4805600000000001</v>
      </c>
      <c r="V8798">
        <v>-0.39600740000000001</v>
      </c>
      <c r="W8798">
        <v>9.7877259999999994E-2</v>
      </c>
      <c r="X8798">
        <v>0.91301600000000005</v>
      </c>
      <c r="Y8798">
        <v>-0.57889489999999999</v>
      </c>
      <c r="Z8798">
        <v>5.0848650000000002E-2</v>
      </c>
      <c r="AA8798">
        <v>0.81381519999999996</v>
      </c>
      <c r="AB8798">
        <v>25</v>
      </c>
      <c r="AC8798">
        <v>0.61849999999998295</v>
      </c>
      <c r="AD8798">
        <v>-6.4764999999999906E-2</v>
      </c>
      <c r="AE8798">
        <v>-0.58518999999999699</v>
      </c>
      <c r="AF8798">
        <v>-0.59791771284487405</v>
      </c>
      <c r="AG8798">
        <v>-6.4764999999999906E-2</v>
      </c>
      <c r="AH8798">
        <v>0.59930562321597303</v>
      </c>
      <c r="AI8798">
        <v>94.374791946821205</v>
      </c>
      <c r="AJ8798">
        <v>134.933578499025</v>
      </c>
      <c r="AK8798">
        <v>0.84903906068974899</v>
      </c>
      <c r="AL8798">
        <v>84.383053374792098</v>
      </c>
      <c r="AM8798">
        <v>113.448086886948</v>
      </c>
      <c r="AN8798">
        <v>1.00000001756793</v>
      </c>
    </row>
    <row r="8799" spans="1:40" x14ac:dyDescent="0.25">
      <c r="A8799" t="str">
        <f>"20190303162124298"</f>
        <v>20190303162124298</v>
      </c>
      <c r="B8799" t="str">
        <f>"1551601284291689"</f>
        <v>1551601284291689</v>
      </c>
      <c r="C8799" t="s">
        <v>40</v>
      </c>
      <c r="D8799">
        <v>4.8955769999999896</v>
      </c>
      <c r="E8799">
        <v>0.37151380000000001</v>
      </c>
      <c r="F8799" t="s">
        <v>62</v>
      </c>
      <c r="G8799">
        <v>-292.37509999999997</v>
      </c>
      <c r="H8799" s="1">
        <v>-6.5838889999999997E-6</v>
      </c>
      <c r="I8799">
        <v>-49.525759999999998</v>
      </c>
      <c r="J8799">
        <v>-301.62520000000001</v>
      </c>
      <c r="K8799">
        <v>1.1249670000000001</v>
      </c>
      <c r="L8799">
        <v>-39.696689999999997</v>
      </c>
      <c r="M8799">
        <v>3.509698E-2</v>
      </c>
      <c r="N8799">
        <v>-1.1510009999999999E-2</v>
      </c>
      <c r="O8799">
        <v>-0.99931769999999998</v>
      </c>
      <c r="P8799">
        <v>0.43473200000000001</v>
      </c>
      <c r="Q8799">
        <v>8.9591939999999995E-2</v>
      </c>
      <c r="R8799">
        <v>-0.89609240000000001</v>
      </c>
      <c r="S8799">
        <v>2.1520999999999999</v>
      </c>
      <c r="T8799">
        <v>-0.2612641</v>
      </c>
      <c r="U8799">
        <v>-2.34613</v>
      </c>
      <c r="V8799">
        <v>-0.40393560000000001</v>
      </c>
      <c r="W8799">
        <v>9.6273170000000005E-2</v>
      </c>
      <c r="X8799">
        <v>0.90970740000000005</v>
      </c>
      <c r="Y8799">
        <v>-0.64767919999999901</v>
      </c>
      <c r="Z8799">
        <v>7.1480870000000002E-2</v>
      </c>
      <c r="AA8799">
        <v>0.75855269999999997</v>
      </c>
      <c r="AB8799">
        <v>25</v>
      </c>
      <c r="AC8799">
        <v>9.25010000000003</v>
      </c>
      <c r="AD8799">
        <v>-1.124973583889</v>
      </c>
      <c r="AE8799">
        <v>-9.8290699999999909</v>
      </c>
      <c r="AF8799">
        <v>-8.83800940049424</v>
      </c>
      <c r="AG8799">
        <v>-1.124973583889</v>
      </c>
      <c r="AH8799">
        <v>10.0776762772657</v>
      </c>
      <c r="AI8799">
        <v>94.797451686882596</v>
      </c>
      <c r="AJ8799">
        <v>131.250400121935</v>
      </c>
      <c r="AK8799">
        <v>13.4512280062839</v>
      </c>
      <c r="AL8799">
        <v>84.475397134958399</v>
      </c>
      <c r="AM8799">
        <v>113.94256338121301</v>
      </c>
      <c r="AN8799">
        <v>1.0000000229119801</v>
      </c>
    </row>
    <row r="8800" spans="1:40" x14ac:dyDescent="0.25">
      <c r="A8800" t="str">
        <f>"20190303162124321"</f>
        <v>20190303162124321</v>
      </c>
      <c r="B8800" t="str">
        <f>"1551601284311209"</f>
        <v>1551601284311209</v>
      </c>
      <c r="C8800" t="s">
        <v>40</v>
      </c>
      <c r="D8800">
        <v>4.89391</v>
      </c>
      <c r="E8800">
        <v>0.37176389999999998</v>
      </c>
      <c r="F8800" t="s">
        <v>62</v>
      </c>
      <c r="G8800">
        <v>-293.101</v>
      </c>
      <c r="H8800" s="1">
        <v>-6.0749379999999998E-6</v>
      </c>
      <c r="I8800">
        <v>-48.480539999999998</v>
      </c>
      <c r="J8800">
        <v>-301.60919999999999</v>
      </c>
      <c r="K8800">
        <v>1.1252679999999999</v>
      </c>
      <c r="L8800">
        <v>-39.955959999999997</v>
      </c>
      <c r="M8800">
        <v>4.155205E-2</v>
      </c>
      <c r="N8800">
        <v>-1.153975E-2</v>
      </c>
      <c r="O8800">
        <v>-0.99906980000000001</v>
      </c>
      <c r="P8800">
        <v>0.44410060000000001</v>
      </c>
      <c r="Q8800">
        <v>9.0810349999999998E-2</v>
      </c>
      <c r="R8800">
        <v>-0.89136299999999902</v>
      </c>
      <c r="S8800">
        <v>2.2283330000000001</v>
      </c>
      <c r="T8800">
        <v>-0.29408129999999999</v>
      </c>
      <c r="U8800">
        <v>-2.2962039999999999</v>
      </c>
      <c r="V8800">
        <v>-0.40767880000000001</v>
      </c>
      <c r="W8800">
        <v>9.7182969999999994E-2</v>
      </c>
      <c r="X8800">
        <v>0.9079391</v>
      </c>
      <c r="Y8800">
        <v>-0.66335959999999905</v>
      </c>
      <c r="Z8800">
        <v>8.1594739999999999E-2</v>
      </c>
      <c r="AA8800">
        <v>0.74383889999999997</v>
      </c>
      <c r="AB8800">
        <v>25</v>
      </c>
      <c r="AC8800">
        <v>8.5081999999999791</v>
      </c>
      <c r="AD8800">
        <v>-1.1252740749379999</v>
      </c>
      <c r="AE8800">
        <v>-8.5245800000000092</v>
      </c>
      <c r="AF8800">
        <v>-8.0761153700970105</v>
      </c>
      <c r="AG8800">
        <v>-1.1252740749379999</v>
      </c>
      <c r="AH8800">
        <v>8.7940085606641603</v>
      </c>
      <c r="AI8800">
        <v>95.383985548808894</v>
      </c>
      <c r="AJ8800">
        <v>132.56329894657699</v>
      </c>
      <c r="AK8800">
        <v>11.9926839272899</v>
      </c>
      <c r="AL8800">
        <v>84.423023559884797</v>
      </c>
      <c r="AM8800">
        <v>114.18082308498801</v>
      </c>
      <c r="AN8800">
        <v>0.99999997146813502</v>
      </c>
    </row>
    <row r="8801" spans="1:40" x14ac:dyDescent="0.25">
      <c r="A8801" t="str">
        <f>"20190303162124346"</f>
        <v>20190303162124346</v>
      </c>
      <c r="B8801" t="str">
        <f>"1551601284331705"</f>
        <v>1551601284331705</v>
      </c>
      <c r="C8801" t="s">
        <v>40</v>
      </c>
      <c r="D8801">
        <v>4.9144180000000004</v>
      </c>
      <c r="E8801">
        <v>0.37296400000000002</v>
      </c>
      <c r="F8801" t="s">
        <v>62</v>
      </c>
      <c r="G8801">
        <v>-292.86270000000002</v>
      </c>
      <c r="H8801" s="1">
        <v>-6.2269550000000001E-6</v>
      </c>
      <c r="I8801">
        <v>-48.783859999999997</v>
      </c>
      <c r="J8801">
        <v>-301.59039999999999</v>
      </c>
      <c r="K8801">
        <v>1.125658</v>
      </c>
      <c r="L8801">
        <v>-40.222320000000003</v>
      </c>
      <c r="M8801">
        <v>4.8746959999999999E-2</v>
      </c>
      <c r="N8801">
        <v>-1.158149E-2</v>
      </c>
      <c r="O8801">
        <v>-0.99874410000000002</v>
      </c>
      <c r="P8801">
        <v>0.45160459999999902</v>
      </c>
      <c r="Q8801">
        <v>9.5148410000000003E-2</v>
      </c>
      <c r="R8801">
        <v>-0.88713009999999903</v>
      </c>
      <c r="S8801">
        <v>2.2521360000000001</v>
      </c>
      <c r="T8801">
        <v>-0.2897477</v>
      </c>
      <c r="U8801">
        <v>-2.2731020000000002</v>
      </c>
      <c r="V8801">
        <v>-0.40895670000000001</v>
      </c>
      <c r="W8801">
        <v>0.1011701</v>
      </c>
      <c r="X8801">
        <v>0.90692839999999997</v>
      </c>
      <c r="Y8801">
        <v>-0.66576239999999998</v>
      </c>
      <c r="Z8801">
        <v>8.0451919999999996E-2</v>
      </c>
      <c r="AA8801">
        <v>0.74181390000000003</v>
      </c>
      <c r="AB8801">
        <v>25</v>
      </c>
      <c r="AC8801">
        <v>8.7276999999999703</v>
      </c>
      <c r="AD8801">
        <v>-1.1256642269549999</v>
      </c>
      <c r="AE8801">
        <v>-8.5615399999999902</v>
      </c>
      <c r="AF8801">
        <v>-8.2301763746592194</v>
      </c>
      <c r="AG8801">
        <v>-1.1256642269549999</v>
      </c>
      <c r="AH8801">
        <v>8.9013783268526492</v>
      </c>
      <c r="AI8801">
        <v>95.304850903364098</v>
      </c>
      <c r="AJ8801">
        <v>132.756340247792</v>
      </c>
      <c r="AK8801">
        <v>12.175280663196499</v>
      </c>
      <c r="AL8801">
        <v>84.193446263923903</v>
      </c>
      <c r="AM8801">
        <v>114.27180432440601</v>
      </c>
      <c r="AN8801">
        <v>1.00000004716772</v>
      </c>
    </row>
    <row r="8802" spans="1:40" x14ac:dyDescent="0.25">
      <c r="A8802" t="str">
        <f>"20190303162124362"</f>
        <v>20190303162124362</v>
      </c>
      <c r="B8802" t="str">
        <f>"1551601284351225"</f>
        <v>1551601284351225</v>
      </c>
      <c r="C8802" t="s">
        <v>40</v>
      </c>
      <c r="D8802">
        <v>4.9189249999999998</v>
      </c>
      <c r="E8802">
        <v>0.37322090000000002</v>
      </c>
      <c r="F8802" t="s">
        <v>62</v>
      </c>
      <c r="G8802">
        <v>-292.1123</v>
      </c>
      <c r="H8802" s="1">
        <v>-6.6745460000000002E-6</v>
      </c>
      <c r="I8802">
        <v>-49.656840000000003</v>
      </c>
      <c r="J8802">
        <v>-301.57479999999998</v>
      </c>
      <c r="K8802">
        <v>1.1260110000000001</v>
      </c>
      <c r="L8802">
        <v>-40.417879999999997</v>
      </c>
      <c r="M8802">
        <v>5.4510660000000002E-2</v>
      </c>
      <c r="N8802">
        <v>-1.1623349999999999E-2</v>
      </c>
      <c r="O8802">
        <v>-0.99844549999999999</v>
      </c>
      <c r="P8802">
        <v>0.45595780000000002</v>
      </c>
      <c r="Q8802">
        <v>9.9183859999999999E-2</v>
      </c>
      <c r="R8802">
        <v>-0.88445750000000001</v>
      </c>
      <c r="S8802">
        <v>2.2669679999999999</v>
      </c>
      <c r="T8802">
        <v>-0.26923439999999998</v>
      </c>
      <c r="U8802">
        <v>-2.2565309999999998</v>
      </c>
      <c r="V8802">
        <v>-0.408329</v>
      </c>
      <c r="W8802">
        <v>0.10492650000000001</v>
      </c>
      <c r="X8802">
        <v>0.90678440000000005</v>
      </c>
      <c r="Y8802">
        <v>-0.66697869999999904</v>
      </c>
      <c r="Z8802">
        <v>7.4181789999999997E-2</v>
      </c>
      <c r="AA8802">
        <v>0.7413748</v>
      </c>
      <c r="AB8802">
        <v>25</v>
      </c>
      <c r="AC8802">
        <v>9.4624999999999702</v>
      </c>
      <c r="AD8802">
        <v>-1.126017674546</v>
      </c>
      <c r="AE8802">
        <v>-9.2389600000000005</v>
      </c>
      <c r="AF8802">
        <v>-8.8803949785380993</v>
      </c>
      <c r="AG8802">
        <v>-1.126017674546</v>
      </c>
      <c r="AH8802">
        <v>9.6709540700136092</v>
      </c>
      <c r="AI8802">
        <v>94.901759434574004</v>
      </c>
      <c r="AJ8802">
        <v>132.55983729251199</v>
      </c>
      <c r="AK8802">
        <v>13.177886150765801</v>
      </c>
      <c r="AL8802">
        <v>83.977068345570103</v>
      </c>
      <c r="AM8802">
        <v>114.242247207121</v>
      </c>
      <c r="AN8802">
        <v>1.0000000453633</v>
      </c>
    </row>
    <row r="8803" spans="1:40" x14ac:dyDescent="0.25">
      <c r="A8803" t="str">
        <f>"20190303162124386"</f>
        <v>20190303162124386</v>
      </c>
      <c r="B8803" t="str">
        <f>"1551601284381480"</f>
        <v>1551601284381480</v>
      </c>
      <c r="C8803" t="s">
        <v>40</v>
      </c>
      <c r="D8803">
        <v>4.9757619999999996</v>
      </c>
      <c r="E8803">
        <v>0.37414609999999998</v>
      </c>
      <c r="F8803" t="s">
        <v>62</v>
      </c>
      <c r="G8803">
        <v>-290.97969999999998</v>
      </c>
      <c r="H8803" s="1">
        <v>-1.038667E-5</v>
      </c>
      <c r="I8803">
        <v>-50.842820000000003</v>
      </c>
      <c r="J8803">
        <v>-301.55290000000002</v>
      </c>
      <c r="K8803">
        <v>1.1264510000000001</v>
      </c>
      <c r="L8803">
        <v>-40.665100000000002</v>
      </c>
      <c r="M8803">
        <v>6.2249640000000002E-2</v>
      </c>
      <c r="N8803">
        <v>-1.1684180000000001E-2</v>
      </c>
      <c r="O8803">
        <v>-0.99799230000000005</v>
      </c>
      <c r="P8803">
        <v>0.45981539999999999</v>
      </c>
      <c r="Q8803">
        <v>0.10238700000000001</v>
      </c>
      <c r="R8803">
        <v>-0.88209210000000005</v>
      </c>
      <c r="S8803">
        <v>2.2802120000000001</v>
      </c>
      <c r="T8803">
        <v>-0.2423353</v>
      </c>
      <c r="U8803">
        <v>-2.2435909999999999</v>
      </c>
      <c r="V8803">
        <v>-0.405422</v>
      </c>
      <c r="W8803">
        <v>0.1078244</v>
      </c>
      <c r="X8803">
        <v>0.90774820000000001</v>
      </c>
      <c r="Y8803">
        <v>-0.66594830000000005</v>
      </c>
      <c r="Z8803">
        <v>6.5839869999999995E-2</v>
      </c>
      <c r="AA8803">
        <v>0.74308689999999999</v>
      </c>
      <c r="AB8803">
        <v>25</v>
      </c>
      <c r="AC8803">
        <v>10.5732</v>
      </c>
      <c r="AD8803">
        <v>-1.12646138667</v>
      </c>
      <c r="AE8803">
        <v>-10.1777199999999</v>
      </c>
      <c r="AF8803">
        <v>-9.8609924320297306</v>
      </c>
      <c r="AG8803">
        <v>-1.12646138667</v>
      </c>
      <c r="AH8803">
        <v>10.7528504666084</v>
      </c>
      <c r="AI8803">
        <v>94.414973891217798</v>
      </c>
      <c r="AJ8803">
        <v>132.52264274656201</v>
      </c>
      <c r="AK8803">
        <v>14.6332457150642</v>
      </c>
      <c r="AL8803">
        <v>83.810082774639795</v>
      </c>
      <c r="AM8803">
        <v>114.066678305785</v>
      </c>
      <c r="AN8803">
        <v>0.99999994696129801</v>
      </c>
    </row>
    <row r="8804" spans="1:40" x14ac:dyDescent="0.25">
      <c r="A8804" t="str">
        <f>"20190303162124407"</f>
        <v>20190303162124407</v>
      </c>
      <c r="B8804" t="str">
        <f>"1551601284401001"</f>
        <v>1551601284401001</v>
      </c>
      <c r="C8804" t="s">
        <v>40</v>
      </c>
      <c r="D8804">
        <v>4.9846069999999996</v>
      </c>
      <c r="E8804">
        <v>0.37460830000000001</v>
      </c>
      <c r="F8804" t="s">
        <v>62</v>
      </c>
      <c r="G8804">
        <v>-289.96769999999998</v>
      </c>
      <c r="H8804" s="1">
        <v>-1.0631589999999999E-5</v>
      </c>
      <c r="I8804">
        <v>-52.00365</v>
      </c>
      <c r="J8804">
        <v>-301.52910000000003</v>
      </c>
      <c r="K8804">
        <v>1.1268990000000001</v>
      </c>
      <c r="L8804">
        <v>-40.904510000000002</v>
      </c>
      <c r="M8804">
        <v>7.039144E-2</v>
      </c>
      <c r="N8804">
        <v>-1.175112E-2</v>
      </c>
      <c r="O8804">
        <v>-0.99745039999999996</v>
      </c>
      <c r="P8804">
        <v>0.46398129999999999</v>
      </c>
      <c r="Q8804">
        <v>0.1051584</v>
      </c>
      <c r="R8804">
        <v>-0.87958159999999896</v>
      </c>
      <c r="S8804">
        <v>2.2845460000000002</v>
      </c>
      <c r="T8804">
        <v>-0.2221322</v>
      </c>
      <c r="U8804">
        <v>-2.2359010000000001</v>
      </c>
      <c r="V8804">
        <v>-0.40247240000000001</v>
      </c>
      <c r="W8804">
        <v>0.1102982</v>
      </c>
      <c r="X8804">
        <v>0.90876310000000005</v>
      </c>
      <c r="Y8804">
        <v>-0.66214229999999996</v>
      </c>
      <c r="Z8804">
        <v>5.9620409999999999E-2</v>
      </c>
      <c r="AA8804">
        <v>0.74700269999999902</v>
      </c>
      <c r="AB8804">
        <v>25</v>
      </c>
      <c r="AC8804">
        <v>11.561400000000001</v>
      </c>
      <c r="AD8804">
        <v>-1.12690963158999</v>
      </c>
      <c r="AE8804">
        <v>-11.09914</v>
      </c>
      <c r="AF8804">
        <v>-10.6984847593538</v>
      </c>
      <c r="AG8804">
        <v>-1.12690963158999</v>
      </c>
      <c r="AH8804">
        <v>11.827009952387</v>
      </c>
      <c r="AI8804">
        <v>94.041911120511898</v>
      </c>
      <c r="AJ8804">
        <v>132.13188482063001</v>
      </c>
      <c r="AK8804">
        <v>15.9876723095564</v>
      </c>
      <c r="AL8804">
        <v>83.667494538338701</v>
      </c>
      <c r="AM8804">
        <v>113.887563081653</v>
      </c>
      <c r="AN8804">
        <v>1.0000000488033001</v>
      </c>
    </row>
    <row r="8805" spans="1:40" x14ac:dyDescent="0.25">
      <c r="A8805" t="str">
        <f>"20190303162124429"</f>
        <v>20190303162124429</v>
      </c>
      <c r="B8805" t="str">
        <f>"1551601284421496"</f>
        <v>1551601284421496</v>
      </c>
      <c r="C8805" t="s">
        <v>40</v>
      </c>
      <c r="D8805">
        <v>4.9949760000000003</v>
      </c>
      <c r="E8805">
        <v>0.37507750000000001</v>
      </c>
      <c r="F8805" t="s">
        <v>62</v>
      </c>
      <c r="G8805">
        <v>-289.5489</v>
      </c>
      <c r="H8805" s="1">
        <v>-2.8562689999999999E-6</v>
      </c>
      <c r="I8805">
        <v>-52.553879999999999</v>
      </c>
      <c r="J8805">
        <v>-301.50259999999997</v>
      </c>
      <c r="K8805">
        <v>1.1273249999999999</v>
      </c>
      <c r="L8805">
        <v>-41.143889999999999</v>
      </c>
      <c r="M8805">
        <v>7.9099580000000003E-2</v>
      </c>
      <c r="N8805">
        <v>-1.1821740000000001E-2</v>
      </c>
      <c r="O8805">
        <v>-0.99679669999999998</v>
      </c>
      <c r="P8805">
        <v>0.47054180000000001</v>
      </c>
      <c r="Q8805">
        <v>0.10682460000000001</v>
      </c>
      <c r="R8805">
        <v>-0.87588750000000004</v>
      </c>
      <c r="S8805">
        <v>2.2911679999999999</v>
      </c>
      <c r="T8805">
        <v>-0.21551629999999999</v>
      </c>
      <c r="U8805">
        <v>-2.2279049999999998</v>
      </c>
      <c r="V8805">
        <v>-0.401474</v>
      </c>
      <c r="W8805">
        <v>0.1116583</v>
      </c>
      <c r="X8805">
        <v>0.90903849999999997</v>
      </c>
      <c r="Y8805">
        <v>-0.65810609999999903</v>
      </c>
      <c r="Z8805">
        <v>5.7668770000000001E-2</v>
      </c>
      <c r="AA8805">
        <v>0.75071339999999998</v>
      </c>
      <c r="AB8805">
        <v>25</v>
      </c>
      <c r="AC8805">
        <v>11.9536999999999</v>
      </c>
      <c r="AD8805">
        <v>-1.1273278562689999</v>
      </c>
      <c r="AE8805">
        <v>-11.409990000000001</v>
      </c>
      <c r="AF8805">
        <v>-10.9626335875578</v>
      </c>
      <c r="AG8805">
        <v>-1.1273278562689999</v>
      </c>
      <c r="AH8805">
        <v>12.2627638790514</v>
      </c>
      <c r="AI8805">
        <v>93.920727871117805</v>
      </c>
      <c r="AJ8805">
        <v>131.795993930957</v>
      </c>
      <c r="AK8805">
        <v>16.487133808638202</v>
      </c>
      <c r="AL8805">
        <v>83.589081682829203</v>
      </c>
      <c r="AM8805">
        <v>113.82849991576801</v>
      </c>
      <c r="AN8805">
        <v>0.99999997155856901</v>
      </c>
    </row>
    <row r="8806" spans="1:40" x14ac:dyDescent="0.25">
      <c r="A8806" t="str">
        <f>"20190303162124452"</f>
        <v>20190303162124452</v>
      </c>
      <c r="B8806" t="str">
        <f>"1551601284441017"</f>
        <v>1551601284441017</v>
      </c>
      <c r="C8806" t="s">
        <v>40</v>
      </c>
      <c r="D8806">
        <v>4.9800950000000004</v>
      </c>
      <c r="E8806">
        <v>0.37534820000000002</v>
      </c>
      <c r="F8806" t="s">
        <v>62</v>
      </c>
      <c r="G8806">
        <v>-289.58339999999998</v>
      </c>
      <c r="H8806" s="1">
        <v>-2.8223620000000001E-6</v>
      </c>
      <c r="I8806">
        <v>-52.614449999999998</v>
      </c>
      <c r="J8806">
        <v>-301.47219999999999</v>
      </c>
      <c r="K8806">
        <v>1.1277200000000001</v>
      </c>
      <c r="L8806">
        <v>-41.39246</v>
      </c>
      <c r="M8806">
        <v>8.8731589999999999E-2</v>
      </c>
      <c r="N8806">
        <v>-1.189773E-2</v>
      </c>
      <c r="O8806">
        <v>-0.99598450000000005</v>
      </c>
      <c r="P8806">
        <v>0.48191909999999999</v>
      </c>
      <c r="Q8806">
        <v>0.1083668</v>
      </c>
      <c r="R8806">
        <v>-0.8694885</v>
      </c>
      <c r="S8806">
        <v>2.301758</v>
      </c>
      <c r="T8806">
        <v>-0.21770220000000001</v>
      </c>
      <c r="U8806">
        <v>-2.2151179999999999</v>
      </c>
      <c r="V8806">
        <v>-0.40468480000000001</v>
      </c>
      <c r="W8806">
        <v>0.1128253</v>
      </c>
      <c r="X8806">
        <v>0.90746939999999998</v>
      </c>
      <c r="Y8806">
        <v>-0.65468349999999997</v>
      </c>
      <c r="Z8806">
        <v>5.8546679999999997E-2</v>
      </c>
      <c r="AA8806">
        <v>0.75363249999999904</v>
      </c>
      <c r="AB8806">
        <v>25</v>
      </c>
      <c r="AC8806">
        <v>11.8888</v>
      </c>
      <c r="AD8806">
        <v>-1.1277228223619999</v>
      </c>
      <c r="AE8806">
        <v>-11.2219899999999</v>
      </c>
      <c r="AF8806">
        <v>-10.794719771218601</v>
      </c>
      <c r="AG8806">
        <v>-1.1277228223619999</v>
      </c>
      <c r="AH8806">
        <v>12.1747760526761</v>
      </c>
      <c r="AI8806">
        <v>93.964716404829304</v>
      </c>
      <c r="AJ8806">
        <v>131.561680720331</v>
      </c>
      <c r="AK8806">
        <v>16.3102086325108</v>
      </c>
      <c r="AL8806">
        <v>83.521792635360498</v>
      </c>
      <c r="AM8806">
        <v>114.034419820978</v>
      </c>
      <c r="AN8806">
        <v>1.0000000238037401</v>
      </c>
    </row>
    <row r="8807" spans="1:40" x14ac:dyDescent="0.25">
      <c r="A8807" t="str">
        <f>"20190303162124475"</f>
        <v>20190303162124475</v>
      </c>
      <c r="B8807" t="str">
        <f>"1551601284471273"</f>
        <v>1551601284471273</v>
      </c>
      <c r="C8807" t="s">
        <v>40</v>
      </c>
      <c r="D8807">
        <v>4.940156</v>
      </c>
      <c r="E8807">
        <v>0.3476225</v>
      </c>
      <c r="F8807" t="s">
        <v>62</v>
      </c>
      <c r="G8807">
        <v>-289.23200000000003</v>
      </c>
      <c r="H8807" s="1">
        <v>-2.9703920000000002E-6</v>
      </c>
      <c r="I8807">
        <v>-52.884250000000002</v>
      </c>
      <c r="J8807">
        <v>-301.4391</v>
      </c>
      <c r="K8807">
        <v>1.128069</v>
      </c>
      <c r="L8807">
        <v>-41.639400000000002</v>
      </c>
      <c r="M8807">
        <v>9.8866309999999999E-2</v>
      </c>
      <c r="N8807">
        <v>-1.1974210000000001E-2</v>
      </c>
      <c r="O8807">
        <v>-0.99502889999999999</v>
      </c>
      <c r="P8807">
        <v>0.49550300000000003</v>
      </c>
      <c r="Q8807">
        <v>0.1060994</v>
      </c>
      <c r="R8807">
        <v>-0.86210209999999998</v>
      </c>
      <c r="S8807">
        <v>2.328735</v>
      </c>
      <c r="T8807">
        <v>-0.21455189999999999</v>
      </c>
      <c r="U8807">
        <v>-2.18634</v>
      </c>
      <c r="V8807">
        <v>-0.40971990000000003</v>
      </c>
      <c r="W8807">
        <v>0.1101698</v>
      </c>
      <c r="X8807">
        <v>0.90553430000000001</v>
      </c>
      <c r="Y8807">
        <v>-0.65634079999999995</v>
      </c>
      <c r="Z8807">
        <v>5.7726300000000001E-2</v>
      </c>
      <c r="AA8807">
        <v>0.75225299999999995</v>
      </c>
      <c r="AB8807">
        <v>25</v>
      </c>
      <c r="AC8807">
        <v>12.207099999999899</v>
      </c>
      <c r="AD8807">
        <v>-1.1280719703919999</v>
      </c>
      <c r="AE8807">
        <v>-11.24485</v>
      </c>
      <c r="AF8807">
        <v>-10.9847229103913</v>
      </c>
      <c r="AG8807">
        <v>-1.1280719703919999</v>
      </c>
      <c r="AH8807">
        <v>12.339701786018701</v>
      </c>
      <c r="AI8807">
        <v>93.906234448925801</v>
      </c>
      <c r="AJ8807">
        <v>131.67526999758601</v>
      </c>
      <c r="AK8807">
        <v>16.559134154790002</v>
      </c>
      <c r="AL8807">
        <v>83.674896591297696</v>
      </c>
      <c r="AM8807">
        <v>114.34494670286</v>
      </c>
      <c r="AN8807">
        <v>1.0000000748822599</v>
      </c>
    </row>
    <row r="8808" spans="1:40" x14ac:dyDescent="0.25">
      <c r="A8808" t="str">
        <f>"20190303162124497"</f>
        <v>20190303162124497</v>
      </c>
      <c r="B8808" t="str">
        <f>"1551601284491769"</f>
        <v>1551601284491769</v>
      </c>
      <c r="C8808" t="s">
        <v>40</v>
      </c>
      <c r="D8808">
        <v>4.9425290000000004</v>
      </c>
      <c r="E8808">
        <v>0.3323758</v>
      </c>
      <c r="F8808" t="s">
        <v>62</v>
      </c>
      <c r="G8808">
        <v>-292.42829999999998</v>
      </c>
      <c r="H8808" s="1">
        <v>-6.3257479999999999E-6</v>
      </c>
      <c r="I8808">
        <v>-48.865639999999999</v>
      </c>
      <c r="J8808">
        <v>-301.40350000000001</v>
      </c>
      <c r="K8808">
        <v>1.1283609999999999</v>
      </c>
      <c r="L8808">
        <v>-41.881680000000003</v>
      </c>
      <c r="M8808">
        <v>0.10931780000000001</v>
      </c>
      <c r="N8808">
        <v>-1.204933E-2</v>
      </c>
      <c r="O8808">
        <v>-0.99393370000000003</v>
      </c>
      <c r="P8808">
        <v>0.50970660000000001</v>
      </c>
      <c r="Q8808">
        <v>0.1012807</v>
      </c>
      <c r="R8808">
        <v>-0.85436630000000002</v>
      </c>
      <c r="S8808">
        <v>2.5562740000000002</v>
      </c>
      <c r="T8808">
        <v>-0.320025</v>
      </c>
      <c r="U8808">
        <v>-2.0500180000000001</v>
      </c>
      <c r="V8808">
        <v>-0.41513420000000001</v>
      </c>
      <c r="W8808">
        <v>0.10497910000000001</v>
      </c>
      <c r="X8808">
        <v>0.90368300000000001</v>
      </c>
      <c r="Y8808">
        <v>-0.70358540000000003</v>
      </c>
      <c r="Z8808">
        <v>8.9634829999999999E-2</v>
      </c>
      <c r="AA8808">
        <v>0.70493479999999997</v>
      </c>
      <c r="AB8808">
        <v>25</v>
      </c>
      <c r="AC8808">
        <v>8.9752000000000294</v>
      </c>
      <c r="AD8808">
        <v>-1.128367325748</v>
      </c>
      <c r="AE8808">
        <v>-6.9839599999999997</v>
      </c>
      <c r="AF8808">
        <v>-8.0783469597957094</v>
      </c>
      <c r="AG8808">
        <v>-1.128367325748</v>
      </c>
      <c r="AH8808">
        <v>7.8460762578611503</v>
      </c>
      <c r="AI8808">
        <v>95.721779918720998</v>
      </c>
      <c r="AJ8808">
        <v>135.835646422688</v>
      </c>
      <c r="AK8808">
        <v>11.3178538190254</v>
      </c>
      <c r="AL8808">
        <v>83.974037515854505</v>
      </c>
      <c r="AM8808">
        <v>114.673119816023</v>
      </c>
      <c r="AN8808">
        <v>0.99999998996772499</v>
      </c>
    </row>
    <row r="8809" spans="1:40" x14ac:dyDescent="0.25">
      <c r="A8809" t="str">
        <f>"20190303162124522"</f>
        <v>20190303162124522</v>
      </c>
      <c r="B8809" t="str">
        <f>"1551601284511289"</f>
        <v>1551601284511289</v>
      </c>
      <c r="C8809" t="s">
        <v>40</v>
      </c>
      <c r="D8809">
        <v>4.943549</v>
      </c>
      <c r="E8809">
        <v>0.32919500000000002</v>
      </c>
      <c r="F8809" t="s">
        <v>62</v>
      </c>
      <c r="G8809">
        <v>-292.98180000000002</v>
      </c>
      <c r="H8809" s="1">
        <v>-5.9036520000000003E-6</v>
      </c>
      <c r="I8809">
        <v>-47.978729999999999</v>
      </c>
      <c r="J8809">
        <v>-301.36099999999999</v>
      </c>
      <c r="K8809">
        <v>1.1286639999999999</v>
      </c>
      <c r="L8809">
        <v>-42.147979999999997</v>
      </c>
      <c r="M8809">
        <v>0.1213037</v>
      </c>
      <c r="N8809">
        <v>-1.2129940000000001E-2</v>
      </c>
      <c r="O8809">
        <v>-0.99254149999999997</v>
      </c>
      <c r="P8809">
        <v>0.52415599999999996</v>
      </c>
      <c r="Q8809">
        <v>9.8333000000000004E-2</v>
      </c>
      <c r="R8809">
        <v>-0.84592630000000002</v>
      </c>
      <c r="S8809">
        <v>2.691376</v>
      </c>
      <c r="T8809">
        <v>-0.36059629999999998</v>
      </c>
      <c r="U8809">
        <v>-1.948456</v>
      </c>
      <c r="V8809">
        <v>-0.41957889999999998</v>
      </c>
      <c r="W8809">
        <v>0.10168000000000001</v>
      </c>
      <c r="X8809">
        <v>0.90200599999999997</v>
      </c>
      <c r="Y8809">
        <v>-0.72835760000000005</v>
      </c>
      <c r="Z8809">
        <v>0.1014586</v>
      </c>
      <c r="AA8809">
        <v>0.67764399999999902</v>
      </c>
      <c r="AB8809">
        <v>25</v>
      </c>
      <c r="AC8809">
        <v>8.37919999999996</v>
      </c>
      <c r="AD8809">
        <v>-1.12866990365199</v>
      </c>
      <c r="AE8809">
        <v>-5.8307500000000001</v>
      </c>
      <c r="AF8809">
        <v>-7.5180663127252396</v>
      </c>
      <c r="AG8809">
        <v>-1.12866990365199</v>
      </c>
      <c r="AH8809">
        <v>6.7220156000445002</v>
      </c>
      <c r="AI8809">
        <v>96.385738231966499</v>
      </c>
      <c r="AJ8809">
        <v>138.19962510016401</v>
      </c>
      <c r="AK8809">
        <v>10.147941198153701</v>
      </c>
      <c r="AL8809">
        <v>84.164079724957503</v>
      </c>
      <c r="AM8809">
        <v>114.94605814360899</v>
      </c>
      <c r="AN8809">
        <v>1.0000000498806001</v>
      </c>
    </row>
    <row r="8810" spans="1:40" x14ac:dyDescent="0.25">
      <c r="A8810" t="str">
        <f>"20190303162124547"</f>
        <v>20190303162124547</v>
      </c>
      <c r="B8810" t="str">
        <f>"1551601284541545"</f>
        <v>1551601284541545</v>
      </c>
      <c r="C8810" t="s">
        <v>40</v>
      </c>
      <c r="D8810">
        <v>4.9923270000000004</v>
      </c>
      <c r="E8810">
        <v>0.32705210000000001</v>
      </c>
      <c r="F8810" t="s">
        <v>62</v>
      </c>
      <c r="G8810">
        <v>-293.1071</v>
      </c>
      <c r="H8810" s="1">
        <v>-5.829023E-6</v>
      </c>
      <c r="I8810">
        <v>-47.833280000000002</v>
      </c>
      <c r="J8810">
        <v>-301.3152</v>
      </c>
      <c r="K8810">
        <v>1.128925</v>
      </c>
      <c r="L8810">
        <v>-42.41122</v>
      </c>
      <c r="M8810">
        <v>0.1336088</v>
      </c>
      <c r="N8810">
        <v>-1.220479E-2</v>
      </c>
      <c r="O8810">
        <v>-0.99095900000000003</v>
      </c>
      <c r="P8810">
        <v>0.53653739999999905</v>
      </c>
      <c r="Q8810">
        <v>9.8101919999999995E-2</v>
      </c>
      <c r="R8810">
        <v>-0.83815490000000004</v>
      </c>
      <c r="S8810">
        <v>2.7437740000000002</v>
      </c>
      <c r="T8810">
        <v>-0.37519550000000002</v>
      </c>
      <c r="U8810">
        <v>-1.889923</v>
      </c>
      <c r="V8810">
        <v>-0.42171209999999998</v>
      </c>
      <c r="W8810">
        <v>0.1011872</v>
      </c>
      <c r="X8810">
        <v>0.90106609999999998</v>
      </c>
      <c r="Y8810">
        <v>-0.73534460000000001</v>
      </c>
      <c r="Z8810">
        <v>0.10620309999999999</v>
      </c>
      <c r="AA8810">
        <v>0.66932000000000003</v>
      </c>
      <c r="AB8810">
        <v>25</v>
      </c>
      <c r="AC8810">
        <v>8.2081</v>
      </c>
      <c r="AD8810">
        <v>-1.128930829023</v>
      </c>
      <c r="AE8810">
        <v>-5.4220600000000001</v>
      </c>
      <c r="AF8810">
        <v>-7.3136860937064796</v>
      </c>
      <c r="AG8810">
        <v>-1.128930829023</v>
      </c>
      <c r="AH8810">
        <v>6.3860904647875198</v>
      </c>
      <c r="AI8810">
        <v>96.632122080503706</v>
      </c>
      <c r="AJ8810">
        <v>138.87351716414</v>
      </c>
      <c r="AK8810">
        <v>9.77479618807698</v>
      </c>
      <c r="AL8810">
        <v>84.192461356098093</v>
      </c>
      <c r="AM8810">
        <v>115.08028074009501</v>
      </c>
      <c r="AN8810">
        <v>1.0000000306497201</v>
      </c>
    </row>
    <row r="8811" spans="1:40" x14ac:dyDescent="0.25">
      <c r="A8811" t="str">
        <f>"20190303162124566"</f>
        <v>20190303162124566</v>
      </c>
      <c r="B8811" t="str">
        <f>"1551601284561066"</f>
        <v>1551601284561066</v>
      </c>
      <c r="C8811" t="s">
        <v>40</v>
      </c>
      <c r="D8811">
        <v>4.9832989999999997</v>
      </c>
      <c r="E8811">
        <v>0.32695550000000001</v>
      </c>
      <c r="F8811" t="s">
        <v>62</v>
      </c>
      <c r="G8811">
        <v>-292.95299999999997</v>
      </c>
      <c r="H8811" s="1">
        <v>-5.8920789999999999E-6</v>
      </c>
      <c r="I8811">
        <v>-47.936279999999996</v>
      </c>
      <c r="J8811">
        <v>-301.27370000000002</v>
      </c>
      <c r="K8811">
        <v>1.1291059999999999</v>
      </c>
      <c r="L8811">
        <v>-42.631740000000001</v>
      </c>
      <c r="M8811">
        <v>0.14423329999999901</v>
      </c>
      <c r="N8811">
        <v>-1.226227E-2</v>
      </c>
      <c r="O8811">
        <v>-0.98946769999999995</v>
      </c>
      <c r="P8811">
        <v>0.54653689999999999</v>
      </c>
      <c r="Q8811">
        <v>9.845342E-2</v>
      </c>
      <c r="R8811">
        <v>-0.83162780000000003</v>
      </c>
      <c r="S8811">
        <v>2.7853089999999998</v>
      </c>
      <c r="T8811">
        <v>-0.37602790000000003</v>
      </c>
      <c r="U8811">
        <v>-1.8403020000000001</v>
      </c>
      <c r="V8811">
        <v>-0.4228981</v>
      </c>
      <c r="W8811">
        <v>0.1013641</v>
      </c>
      <c r="X8811">
        <v>0.90049020000000002</v>
      </c>
      <c r="Y8811">
        <v>-0.74097480000000004</v>
      </c>
      <c r="Z8811">
        <v>0.1066994</v>
      </c>
      <c r="AA8811">
        <v>0.66300199999999998</v>
      </c>
      <c r="AB8811">
        <v>25</v>
      </c>
      <c r="AC8811">
        <v>8.3207000000000395</v>
      </c>
      <c r="AD8811">
        <v>-1.129111892079</v>
      </c>
      <c r="AE8811">
        <v>-5.3045399999999896</v>
      </c>
      <c r="AF8811">
        <v>-7.3720126072814596</v>
      </c>
      <c r="AG8811">
        <v>-1.129111892079</v>
      </c>
      <c r="AH8811">
        <v>6.3659290212713699</v>
      </c>
      <c r="AI8811">
        <v>96.612372685631698</v>
      </c>
      <c r="AJ8811">
        <v>139.18851836169901</v>
      </c>
      <c r="AK8811">
        <v>9.8054329761931491</v>
      </c>
      <c r="AL8811">
        <v>84.182273416788306</v>
      </c>
      <c r="AM8811">
        <v>115.156204530697</v>
      </c>
      <c r="AN8811">
        <v>1.0000000420242201</v>
      </c>
    </row>
    <row r="8812" spans="1:40" x14ac:dyDescent="0.25">
      <c r="A8812" t="str">
        <f>"20190303162124586"</f>
        <v>20190303162124586</v>
      </c>
      <c r="B8812" t="str">
        <f>"1551601284581561"</f>
        <v>1551601284581561</v>
      </c>
      <c r="C8812" t="s">
        <v>40</v>
      </c>
      <c r="D8812">
        <v>4.9796849999999999</v>
      </c>
      <c r="E8812">
        <v>0.3269031</v>
      </c>
      <c r="F8812" t="s">
        <v>62</v>
      </c>
      <c r="G8812">
        <v>-292.75720000000001</v>
      </c>
      <c r="H8812" s="1">
        <v>-5.9868260000000003E-6</v>
      </c>
      <c r="I8812">
        <v>-48.105829999999997</v>
      </c>
      <c r="J8812">
        <v>-301.23050000000001</v>
      </c>
      <c r="K8812">
        <v>1.1292489999999999</v>
      </c>
      <c r="L8812">
        <v>-42.847720000000002</v>
      </c>
      <c r="M8812">
        <v>0.15484489999999901</v>
      </c>
      <c r="N8812">
        <v>-1.2312480000000001E-2</v>
      </c>
      <c r="O8812">
        <v>-0.98786220000000002</v>
      </c>
      <c r="P8812">
        <v>0.55561340000000004</v>
      </c>
      <c r="Q8812">
        <v>9.7937499999999997E-2</v>
      </c>
      <c r="R8812">
        <v>-0.82565259999999996</v>
      </c>
      <c r="S8812">
        <v>2.8088989999999998</v>
      </c>
      <c r="T8812">
        <v>-0.37240119999999999</v>
      </c>
      <c r="U8812">
        <v>-1.80545</v>
      </c>
      <c r="V8812">
        <v>-0.42311549999999998</v>
      </c>
      <c r="W8812">
        <v>0.10073409999999999</v>
      </c>
      <c r="X8812">
        <v>0.9004588</v>
      </c>
      <c r="Y8812">
        <v>-0.74225010000000002</v>
      </c>
      <c r="Z8812">
        <v>0.1059489</v>
      </c>
      <c r="AA8812">
        <v>0.66169449999999996</v>
      </c>
      <c r="AB8812">
        <v>25</v>
      </c>
      <c r="AC8812">
        <v>8.4732999999999894</v>
      </c>
      <c r="AD8812">
        <v>-1.129254986826</v>
      </c>
      <c r="AE8812">
        <v>-5.2581099999999896</v>
      </c>
      <c r="AF8812">
        <v>-7.4611557058867</v>
      </c>
      <c r="AG8812">
        <v>-1.129254986826</v>
      </c>
      <c r="AH8812">
        <v>6.4244445549313998</v>
      </c>
      <c r="AI8812">
        <v>96.542811273238001</v>
      </c>
      <c r="AJ8812">
        <v>139.26983144562601</v>
      </c>
      <c r="AK8812">
        <v>9.9104767358661796</v>
      </c>
      <c r="AL8812">
        <v>84.218555618772498</v>
      </c>
      <c r="AM8812">
        <v>115.168305521818</v>
      </c>
      <c r="AN8812">
        <v>1.0000000678702401</v>
      </c>
    </row>
    <row r="8813" spans="1:40" x14ac:dyDescent="0.25">
      <c r="A8813" t="str">
        <f>"20190303162124609"</f>
        <v>20190303162124609</v>
      </c>
      <c r="B8813" t="str">
        <f>"1551601284601284"</f>
        <v>1551601284601284</v>
      </c>
      <c r="C8813" t="s">
        <v>40</v>
      </c>
      <c r="D8813">
        <v>4.9781009999999997</v>
      </c>
      <c r="E8813">
        <v>0.3275884</v>
      </c>
      <c r="F8813" t="s">
        <v>62</v>
      </c>
      <c r="G8813">
        <v>-292.5283</v>
      </c>
      <c r="H8813" s="1">
        <v>-6.09350699999999E-6</v>
      </c>
      <c r="I8813">
        <v>-48.293230000000001</v>
      </c>
      <c r="J8813">
        <v>-301.17989999999998</v>
      </c>
      <c r="K8813">
        <v>1.129375</v>
      </c>
      <c r="L8813">
        <v>-43.085050000000003</v>
      </c>
      <c r="M8813">
        <v>0.16671029999999901</v>
      </c>
      <c r="N8813">
        <v>-1.2360609999999999E-2</v>
      </c>
      <c r="O8813">
        <v>-0.98592840000000004</v>
      </c>
      <c r="P8813">
        <v>0.56496299999999999</v>
      </c>
      <c r="Q8813">
        <v>9.7815059999999995E-2</v>
      </c>
      <c r="R8813">
        <v>-0.81929810000000003</v>
      </c>
      <c r="S8813">
        <v>2.8313600000000001</v>
      </c>
      <c r="T8813">
        <v>-0.36741580000000001</v>
      </c>
      <c r="U8813">
        <v>-1.7717590000000001</v>
      </c>
      <c r="V8813">
        <v>-0.42255150000000002</v>
      </c>
      <c r="W8813">
        <v>0.10053910000000001</v>
      </c>
      <c r="X8813">
        <v>0.90074529999999997</v>
      </c>
      <c r="Y8813">
        <v>-0.74238800000000005</v>
      </c>
      <c r="Z8813">
        <v>0.104781399999999</v>
      </c>
      <c r="AA8813">
        <v>0.66172580000000003</v>
      </c>
      <c r="AB8813">
        <v>25</v>
      </c>
      <c r="AC8813">
        <v>8.65159999999997</v>
      </c>
      <c r="AD8813">
        <v>-1.1293810935069999</v>
      </c>
      <c r="AE8813">
        <v>-5.2081799999999898</v>
      </c>
      <c r="AF8813">
        <v>-7.5675322879308897</v>
      </c>
      <c r="AG8813">
        <v>-1.1293810935069999</v>
      </c>
      <c r="AH8813">
        <v>6.4964489561044596</v>
      </c>
      <c r="AI8813">
        <v>96.460527619497</v>
      </c>
      <c r="AJ8813">
        <v>139.35511951671299</v>
      </c>
      <c r="AK8813">
        <v>10.037275308693999</v>
      </c>
      <c r="AL8813">
        <v>84.229784843633496</v>
      </c>
      <c r="AM8813">
        <v>115.131893038903</v>
      </c>
      <c r="AN8813">
        <v>0.99999998812657398</v>
      </c>
    </row>
    <row r="8814" spans="1:40" x14ac:dyDescent="0.25">
      <c r="A8814" t="str">
        <f>"20190303162124631"</f>
        <v>20190303162124631</v>
      </c>
      <c r="B8814" t="str">
        <f>"1551601284621780"</f>
        <v>1551601284621780</v>
      </c>
      <c r="C8814" t="s">
        <v>40</v>
      </c>
      <c r="D8814">
        <v>4.9575709999999997</v>
      </c>
      <c r="E8814">
        <v>0.32812730000000001</v>
      </c>
      <c r="F8814" t="s">
        <v>62</v>
      </c>
      <c r="G8814">
        <v>-292.18610000000001</v>
      </c>
      <c r="H8814" s="1">
        <v>-6.254836E-6</v>
      </c>
      <c r="I8814">
        <v>-48.578290000000003</v>
      </c>
      <c r="J8814">
        <v>-301.12610000000001</v>
      </c>
      <c r="K8814">
        <v>1.1294630000000001</v>
      </c>
      <c r="L8814">
        <v>-43.322420000000001</v>
      </c>
      <c r="M8814">
        <v>0.17875369999999999</v>
      </c>
      <c r="N8814">
        <v>-1.2402760000000001E-2</v>
      </c>
      <c r="O8814">
        <v>-0.98381580000000002</v>
      </c>
      <c r="P8814">
        <v>0.573934099999999</v>
      </c>
      <c r="Q8814">
        <v>9.8175460000000006E-2</v>
      </c>
      <c r="R8814">
        <v>-0.81299540000000003</v>
      </c>
      <c r="S8814">
        <v>2.8487550000000001</v>
      </c>
      <c r="T8814">
        <v>-0.35772710000000002</v>
      </c>
      <c r="U8814">
        <v>-1.73996</v>
      </c>
      <c r="V8814">
        <v>-0.42147679999999998</v>
      </c>
      <c r="W8814">
        <v>0.1008622</v>
      </c>
      <c r="X8814">
        <v>0.90121260000000003</v>
      </c>
      <c r="Y8814">
        <v>-0.74166799999999999</v>
      </c>
      <c r="Z8814">
        <v>0.1022062</v>
      </c>
      <c r="AA8814">
        <v>0.66293469999999999</v>
      </c>
      <c r="AB8814">
        <v>25</v>
      </c>
      <c r="AC8814">
        <v>8.9399999999999906</v>
      </c>
      <c r="AD8814">
        <v>-1.1294692548359999</v>
      </c>
      <c r="AE8814">
        <v>-5.2558699999999998</v>
      </c>
      <c r="AF8814">
        <v>-7.7643123386383799</v>
      </c>
      <c r="AG8814">
        <v>-1.1294692548359999</v>
      </c>
      <c r="AH8814">
        <v>6.6900306644305196</v>
      </c>
      <c r="AI8814">
        <v>96.288811139427494</v>
      </c>
      <c r="AJ8814">
        <v>139.25054575962201</v>
      </c>
      <c r="AK8814">
        <v>10.3110017544646</v>
      </c>
      <c r="AL8814">
        <v>84.211178140657594</v>
      </c>
      <c r="AM8814">
        <v>115.064431300485</v>
      </c>
      <c r="AN8814">
        <v>1.0000000133629201</v>
      </c>
    </row>
    <row r="8815" spans="1:40" x14ac:dyDescent="0.25">
      <c r="A8815" t="str">
        <f>"20190303162124653"</f>
        <v>20190303162124653</v>
      </c>
      <c r="B8815" t="str">
        <f>"1551601284641301"</f>
        <v>1551601284641301</v>
      </c>
      <c r="C8815" t="s">
        <v>40</v>
      </c>
      <c r="D8815">
        <v>4.977671</v>
      </c>
      <c r="E8815">
        <v>0.32871129999999998</v>
      </c>
      <c r="F8815" t="s">
        <v>62</v>
      </c>
      <c r="G8815">
        <v>-291.91989999999998</v>
      </c>
      <c r="H8815" s="1">
        <v>-6.3868389999999996E-6</v>
      </c>
      <c r="I8815">
        <v>-48.817210000000003</v>
      </c>
      <c r="J8815">
        <v>-301.06920000000002</v>
      </c>
      <c r="K8815">
        <v>1.129545</v>
      </c>
      <c r="L8815">
        <v>-43.559539999999998</v>
      </c>
      <c r="M8815">
        <v>0.19093470000000001</v>
      </c>
      <c r="N8815">
        <v>-1.244087E-2</v>
      </c>
      <c r="O8815">
        <v>-0.98152410000000001</v>
      </c>
      <c r="P8815">
        <v>0.58346430000000005</v>
      </c>
      <c r="Q8815">
        <v>9.8313360000000002E-2</v>
      </c>
      <c r="R8815">
        <v>-0.80616650000000001</v>
      </c>
      <c r="S8815">
        <v>2.86496</v>
      </c>
      <c r="T8815">
        <v>-0.35148679999999999</v>
      </c>
      <c r="U8815">
        <v>-1.7099610000000001</v>
      </c>
      <c r="V8815">
        <v>-0.42094090000000001</v>
      </c>
      <c r="W8815">
        <v>0.1009623</v>
      </c>
      <c r="X8815">
        <v>0.90145180000000003</v>
      </c>
      <c r="Y8815">
        <v>-0.74031880000000005</v>
      </c>
      <c r="Z8815">
        <v>0.1006655</v>
      </c>
      <c r="AA8815">
        <v>0.66467619999999905</v>
      </c>
      <c r="AB8815">
        <v>25</v>
      </c>
      <c r="AC8815">
        <v>9.1493000000000393</v>
      </c>
      <c r="AD8815">
        <v>-1.1295513868389999</v>
      </c>
      <c r="AE8815">
        <v>-5.2576699999999903</v>
      </c>
      <c r="AF8815">
        <v>-7.8866370566272401</v>
      </c>
      <c r="AG8815">
        <v>-1.1295513868389999</v>
      </c>
      <c r="AH8815">
        <v>6.8297265354963397</v>
      </c>
      <c r="AI8815">
        <v>96.1792756400652</v>
      </c>
      <c r="AJ8815">
        <v>139.10785704109699</v>
      </c>
      <c r="AK8815">
        <v>10.4938122218828</v>
      </c>
      <c r="AL8815">
        <v>84.205413255866901</v>
      </c>
      <c r="AM8815">
        <v>115.03063922118299</v>
      </c>
      <c r="AN8815">
        <v>0.99999998751867003</v>
      </c>
    </row>
    <row r="8816" spans="1:40" x14ac:dyDescent="0.25">
      <c r="A8816" t="str">
        <f>"20190303162124675"</f>
        <v>20190303162124675</v>
      </c>
      <c r="B8816" t="str">
        <f>"1551601284671557"</f>
        <v>1551601284671557</v>
      </c>
      <c r="C8816" t="s">
        <v>40</v>
      </c>
      <c r="D8816">
        <v>4.957605</v>
      </c>
      <c r="E8816">
        <v>0.32986959999999999</v>
      </c>
      <c r="F8816" t="s">
        <v>62</v>
      </c>
      <c r="G8816">
        <v>-291.7577</v>
      </c>
      <c r="H8816" s="1">
        <v>-6.4756479999999999E-6</v>
      </c>
      <c r="I8816">
        <v>-48.984949999999998</v>
      </c>
      <c r="J8816">
        <v>-301.00839999999999</v>
      </c>
      <c r="K8816">
        <v>1.1296310000000001</v>
      </c>
      <c r="L8816">
        <v>-43.799500000000002</v>
      </c>
      <c r="M8816">
        <v>0.20339969999999999</v>
      </c>
      <c r="N8816">
        <v>-1.247702E-2</v>
      </c>
      <c r="O8816">
        <v>-0.97901649999999996</v>
      </c>
      <c r="P8816">
        <v>0.59313760000000004</v>
      </c>
      <c r="Q8816">
        <v>9.9352179999999998E-2</v>
      </c>
      <c r="R8816">
        <v>-0.79894759999999998</v>
      </c>
      <c r="S8816">
        <v>2.8811339999999999</v>
      </c>
      <c r="T8816">
        <v>-0.34950160000000002</v>
      </c>
      <c r="U8816">
        <v>-1.6787110000000001</v>
      </c>
      <c r="V8816">
        <v>-0.42040929999999999</v>
      </c>
      <c r="W8816">
        <v>0.1019646</v>
      </c>
      <c r="X8816">
        <v>0.90158709999999997</v>
      </c>
      <c r="Y8816">
        <v>-0.73885109999999998</v>
      </c>
      <c r="Z8816">
        <v>0.10045900000000001</v>
      </c>
      <c r="AA8816">
        <v>0.6663386</v>
      </c>
      <c r="AB8816">
        <v>25</v>
      </c>
      <c r="AC8816">
        <v>9.2506999999999895</v>
      </c>
      <c r="AD8816">
        <v>-1.1296374756479901</v>
      </c>
      <c r="AE8816">
        <v>-5.1854499999999897</v>
      </c>
      <c r="AF8816">
        <v>-7.9127083600404902</v>
      </c>
      <c r="AG8816">
        <v>-1.1296374756479901</v>
      </c>
      <c r="AH8816">
        <v>6.8806988226887302</v>
      </c>
      <c r="AI8816">
        <v>96.148690252117404</v>
      </c>
      <c r="AJ8816">
        <v>138.99057146003599</v>
      </c>
      <c r="AK8816">
        <v>10.5466132339245</v>
      </c>
      <c r="AL8816">
        <v>84.147688030937402</v>
      </c>
      <c r="AM8816">
        <v>114.999599669028</v>
      </c>
      <c r="AN8816">
        <v>1.00000002903302</v>
      </c>
    </row>
    <row r="8817" spans="1:40" x14ac:dyDescent="0.25">
      <c r="A8817" t="str">
        <f>"20190303162124698"</f>
        <v>20190303162124698</v>
      </c>
      <c r="B8817" t="str">
        <f>"1551601284691584"</f>
        <v>1551601284691584</v>
      </c>
      <c r="C8817" t="s">
        <v>40</v>
      </c>
      <c r="D8817">
        <v>4.948372</v>
      </c>
      <c r="E8817">
        <v>0.33056449999999998</v>
      </c>
      <c r="F8817" t="s">
        <v>62</v>
      </c>
      <c r="G8817">
        <v>-291.49540000000002</v>
      </c>
      <c r="H8817" s="1">
        <v>-6.6057699999999999E-6</v>
      </c>
      <c r="I8817">
        <v>-49.220529999999997</v>
      </c>
      <c r="J8817">
        <v>-300.94420000000002</v>
      </c>
      <c r="K8817">
        <v>1.1297109999999999</v>
      </c>
      <c r="L8817">
        <v>-44.039610000000003</v>
      </c>
      <c r="M8817">
        <v>0.2160029</v>
      </c>
      <c r="N8817">
        <v>-1.251186E-2</v>
      </c>
      <c r="O8817">
        <v>-0.97631279999999998</v>
      </c>
      <c r="P8817">
        <v>0.60267409999999999</v>
      </c>
      <c r="Q8817">
        <v>9.9201579999999998E-2</v>
      </c>
      <c r="R8817">
        <v>-0.79179759999999999</v>
      </c>
      <c r="S8817">
        <v>2.894012</v>
      </c>
      <c r="T8817">
        <v>-0.34365499999999999</v>
      </c>
      <c r="U8817">
        <v>-1.64917</v>
      </c>
      <c r="V8817">
        <v>-0.41960969999999997</v>
      </c>
      <c r="W8817">
        <v>0.101783</v>
      </c>
      <c r="X8817">
        <v>0.90198</v>
      </c>
      <c r="Y8817">
        <v>-0.73675210000000002</v>
      </c>
      <c r="Z8817">
        <v>9.9050410000000005E-2</v>
      </c>
      <c r="AA8817">
        <v>0.66886869999999998</v>
      </c>
      <c r="AB8817">
        <v>25</v>
      </c>
      <c r="AC8817">
        <v>9.4488000000000003</v>
      </c>
      <c r="AD8817">
        <v>-1.12971760577</v>
      </c>
      <c r="AE8817">
        <v>-5.1809199999999898</v>
      </c>
      <c r="AF8817">
        <v>-8.0183952813250396</v>
      </c>
      <c r="AG8817">
        <v>-1.12971760577</v>
      </c>
      <c r="AH8817">
        <v>7.0225379792971196</v>
      </c>
      <c r="AI8817">
        <v>96.050127579943194</v>
      </c>
      <c r="AJ8817">
        <v>138.788013790826</v>
      </c>
      <c r="AK8817">
        <v>10.7185336882911</v>
      </c>
      <c r="AL8817">
        <v>84.158147189926297</v>
      </c>
      <c r="AM8817">
        <v>114.94829814759299</v>
      </c>
      <c r="AN8817">
        <v>0.99999999991154498</v>
      </c>
    </row>
    <row r="8818" spans="1:40" x14ac:dyDescent="0.25">
      <c r="A8818" t="str">
        <f>"20190303162124721"</f>
        <v>20190303162124721</v>
      </c>
      <c r="B8818" t="str">
        <f>"1551601284711103"</f>
        <v>1551601284711103</v>
      </c>
      <c r="C8818" t="s">
        <v>40</v>
      </c>
      <c r="D8818">
        <v>4.894533</v>
      </c>
      <c r="E8818">
        <v>0.3311655</v>
      </c>
      <c r="F8818" t="s">
        <v>62</v>
      </c>
      <c r="G8818">
        <v>-291.399</v>
      </c>
      <c r="H8818" s="1">
        <v>-6.6699399999999904E-6</v>
      </c>
      <c r="I8818">
        <v>-49.35031</v>
      </c>
      <c r="J8818">
        <v>-300.87520000000001</v>
      </c>
      <c r="K8818">
        <v>1.1297809999999999</v>
      </c>
      <c r="L8818">
        <v>-44.284269999999999</v>
      </c>
      <c r="M8818">
        <v>0.22898180000000001</v>
      </c>
      <c r="N8818">
        <v>-1.254682E-2</v>
      </c>
      <c r="O8818">
        <v>-0.97335000000000005</v>
      </c>
      <c r="P8818">
        <v>0.61240919999999999</v>
      </c>
      <c r="Q8818">
        <v>9.7413490000000005E-2</v>
      </c>
      <c r="R8818">
        <v>-0.78451630000000006</v>
      </c>
      <c r="S8818">
        <v>2.9084469999999998</v>
      </c>
      <c r="T8818">
        <v>-0.34423029999999999</v>
      </c>
      <c r="U8818">
        <v>-1.6181950000000001</v>
      </c>
      <c r="V8818">
        <v>-0.41867690000000002</v>
      </c>
      <c r="W8818">
        <v>9.9960779999999999E-2</v>
      </c>
      <c r="X8818">
        <v>0.90261709999999995</v>
      </c>
      <c r="Y8818">
        <v>-0.73460049999999999</v>
      </c>
      <c r="Z8818">
        <v>9.9633650000000004E-2</v>
      </c>
      <c r="AA8818">
        <v>0.67114479999999999</v>
      </c>
      <c r="AB8818">
        <v>25</v>
      </c>
      <c r="AC8818">
        <v>9.4762000000000004</v>
      </c>
      <c r="AD8818">
        <v>-1.12978766994</v>
      </c>
      <c r="AE8818">
        <v>-5.0660400000000001</v>
      </c>
      <c r="AF8818">
        <v>-7.9760878905378298</v>
      </c>
      <c r="AG8818">
        <v>-1.12978766994</v>
      </c>
      <c r="AH8818">
        <v>7.0238184440192502</v>
      </c>
      <c r="AI8818">
        <v>96.067985395477905</v>
      </c>
      <c r="AJ8818">
        <v>138.63254915058599</v>
      </c>
      <c r="AK8818">
        <v>10.687769821215101</v>
      </c>
      <c r="AL8818">
        <v>84.263088363186696</v>
      </c>
      <c r="AM8818">
        <v>114.884121228178</v>
      </c>
      <c r="AN8818">
        <v>1.0000000666721101</v>
      </c>
    </row>
    <row r="8819" spans="1:40" x14ac:dyDescent="0.25">
      <c r="A8819" t="str">
        <f>"20190303162124747"</f>
        <v>20190303162124747</v>
      </c>
      <c r="B8819" t="str">
        <f>"1551601284741359"</f>
        <v>1551601284741359</v>
      </c>
      <c r="C8819" t="s">
        <v>40</v>
      </c>
      <c r="D8819">
        <v>4.8738989999999998</v>
      </c>
      <c r="E8819">
        <v>0.3321172</v>
      </c>
      <c r="F8819" t="s">
        <v>62</v>
      </c>
      <c r="G8819">
        <v>-291.42680000000001</v>
      </c>
      <c r="H8819" s="1">
        <v>-6.6876619999999997E-6</v>
      </c>
      <c r="I8819">
        <v>-49.408610000000003</v>
      </c>
      <c r="J8819">
        <v>-300.79750000000001</v>
      </c>
      <c r="K8819">
        <v>1.1298760000000001</v>
      </c>
      <c r="L8819">
        <v>-44.545349999999999</v>
      </c>
      <c r="M8819">
        <v>0.24300099999999999</v>
      </c>
      <c r="N8819">
        <v>-1.2584710000000001E-2</v>
      </c>
      <c r="O8819">
        <v>-0.96994469999999999</v>
      </c>
      <c r="P8819">
        <v>0.62354739999999997</v>
      </c>
      <c r="Q8819">
        <v>9.5372429999999994E-2</v>
      </c>
      <c r="R8819">
        <v>-0.77594640000000004</v>
      </c>
      <c r="S8819">
        <v>2.923279</v>
      </c>
      <c r="T8819">
        <v>-0.34955160000000002</v>
      </c>
      <c r="U8819">
        <v>-1.5854490000000001</v>
      </c>
      <c r="V8819">
        <v>-0.4184638</v>
      </c>
      <c r="W8819">
        <v>9.7850220000000002E-2</v>
      </c>
      <c r="X8819">
        <v>0.9029471</v>
      </c>
      <c r="Y8819">
        <v>-0.73191090000000003</v>
      </c>
      <c r="Z8819">
        <v>0.10173119999999999</v>
      </c>
      <c r="AA8819">
        <v>0.67376349999999996</v>
      </c>
      <c r="AB8819">
        <v>25</v>
      </c>
      <c r="AC8819">
        <v>9.3706999999999994</v>
      </c>
      <c r="AD8819">
        <v>-1.1298826876620001</v>
      </c>
      <c r="AE8819">
        <v>-4.8632599999999897</v>
      </c>
      <c r="AF8819">
        <v>-7.8183592193984603</v>
      </c>
      <c r="AG8819">
        <v>-1.1298826876620001</v>
      </c>
      <c r="AH8819">
        <v>6.9155268393615996</v>
      </c>
      <c r="AI8819">
        <v>96.178060331542795</v>
      </c>
      <c r="AJ8819">
        <v>138.50646719671099</v>
      </c>
      <c r="AK8819">
        <v>10.4989469584983</v>
      </c>
      <c r="AL8819">
        <v>84.384610259753799</v>
      </c>
      <c r="AM8819">
        <v>114.864997241618</v>
      </c>
      <c r="AN8819">
        <v>1.0000000414314401</v>
      </c>
    </row>
    <row r="8820" spans="1:40" x14ac:dyDescent="0.25">
      <c r="A8820" t="str">
        <f>"20190303162124766"</f>
        <v>20190303162124766</v>
      </c>
      <c r="B8820" t="str">
        <f>"1551601284760879"</f>
        <v>1551601284760879</v>
      </c>
      <c r="C8820" t="s">
        <v>40</v>
      </c>
      <c r="D8820">
        <v>4.8757830000000002</v>
      </c>
      <c r="E8820">
        <v>0.34397630000000001</v>
      </c>
      <c r="F8820" t="s">
        <v>62</v>
      </c>
      <c r="G8820">
        <v>-291.42509999999999</v>
      </c>
      <c r="H8820" s="1">
        <v>-6.7170740000000002E-6</v>
      </c>
      <c r="I8820">
        <v>-49.485599999999998</v>
      </c>
      <c r="J8820">
        <v>-300.73090000000002</v>
      </c>
      <c r="K8820">
        <v>1.1299600000000001</v>
      </c>
      <c r="L8820">
        <v>-44.757899999999999</v>
      </c>
      <c r="M8820">
        <v>0.25456770000000001</v>
      </c>
      <c r="N8820">
        <v>-1.261721E-2</v>
      </c>
      <c r="O8820">
        <v>-0.96697279999999997</v>
      </c>
      <c r="P8820">
        <v>0.63407469999999999</v>
      </c>
      <c r="Q8820">
        <v>9.2790259999999999E-2</v>
      </c>
      <c r="R8820">
        <v>-0.76768459999999905</v>
      </c>
      <c r="S8820">
        <v>2.9381409999999999</v>
      </c>
      <c r="T8820">
        <v>-0.35420380000000001</v>
      </c>
      <c r="U8820">
        <v>-1.5487059999999999</v>
      </c>
      <c r="V8820">
        <v>-0.41988700000000001</v>
      </c>
      <c r="W8820">
        <v>9.5159170000000001E-2</v>
      </c>
      <c r="X8820">
        <v>0.90257390000000004</v>
      </c>
      <c r="Y8820">
        <v>-0.73163829999999996</v>
      </c>
      <c r="Z8820">
        <v>0.1036499</v>
      </c>
      <c r="AA8820">
        <v>0.67376709999999995</v>
      </c>
      <c r="AB8820">
        <v>25</v>
      </c>
      <c r="AC8820">
        <v>9.3058000000000298</v>
      </c>
      <c r="AD8820">
        <v>-1.129966717074</v>
      </c>
      <c r="AE8820">
        <v>-4.7276999999999898</v>
      </c>
      <c r="AF8820">
        <v>-7.7052536542721297</v>
      </c>
      <c r="AG8820">
        <v>-1.129966717074</v>
      </c>
      <c r="AH8820">
        <v>6.8606615766690302</v>
      </c>
      <c r="AI8820">
        <v>96.250417689029803</v>
      </c>
      <c r="AJ8820">
        <v>138.31853072280799</v>
      </c>
      <c r="AK8820">
        <v>10.3786528956291</v>
      </c>
      <c r="AL8820">
        <v>84.539518929490896</v>
      </c>
      <c r="AM8820">
        <v>114.948350962945</v>
      </c>
      <c r="AN8820">
        <v>1.0000000026826401</v>
      </c>
    </row>
    <row r="8821" spans="1:40" x14ac:dyDescent="0.25">
      <c r="A8821" t="str">
        <f>"20190303162124787"</f>
        <v>20190303162124787</v>
      </c>
      <c r="B8821" t="str">
        <f>"1551601284781375"</f>
        <v>1551601284781375</v>
      </c>
      <c r="C8821" t="s">
        <v>40</v>
      </c>
      <c r="D8821">
        <v>4.8188079999999998</v>
      </c>
      <c r="E8821">
        <v>0.34296700000000002</v>
      </c>
      <c r="F8821" t="s">
        <v>62</v>
      </c>
      <c r="G8821">
        <v>-290.26639999999998</v>
      </c>
      <c r="H8821" s="1">
        <v>-1.06829399999999E-5</v>
      </c>
      <c r="I8821">
        <v>-50.434519999999999</v>
      </c>
      <c r="J8821">
        <v>-300.65989999999999</v>
      </c>
      <c r="K8821">
        <v>1.1300429999999999</v>
      </c>
      <c r="L8821">
        <v>-44.974699999999999</v>
      </c>
      <c r="M8821">
        <v>0.26649630000000002</v>
      </c>
      <c r="N8821">
        <v>-1.265115E-2</v>
      </c>
      <c r="O8821">
        <v>-0.96375310000000003</v>
      </c>
      <c r="P8821">
        <v>0.64605419999999902</v>
      </c>
      <c r="Q8821">
        <v>8.7890179999999998E-2</v>
      </c>
      <c r="R8821">
        <v>-0.75821499999999997</v>
      </c>
      <c r="S8821">
        <v>2.8832399999999998</v>
      </c>
      <c r="T8821">
        <v>-0.31133690000000003</v>
      </c>
      <c r="U8821">
        <v>-1.5640559999999999</v>
      </c>
      <c r="V8821">
        <v>-0.42267359999999998</v>
      </c>
      <c r="W8821">
        <v>9.0114570000000005E-2</v>
      </c>
      <c r="X8821">
        <v>0.90179069999999995</v>
      </c>
      <c r="Y8821">
        <v>-0.71613349999999998</v>
      </c>
      <c r="Z8821">
        <v>9.1039259999999997E-2</v>
      </c>
      <c r="AA8821">
        <v>0.69200050000000002</v>
      </c>
      <c r="AB8821">
        <v>25</v>
      </c>
      <c r="AC8821">
        <v>10.3935</v>
      </c>
      <c r="AD8821">
        <v>-1.1300536829400001</v>
      </c>
      <c r="AE8821">
        <v>-5.4598199999999997</v>
      </c>
      <c r="AF8821">
        <v>-8.4838279498582896</v>
      </c>
      <c r="AG8821">
        <v>-1.1300536829400001</v>
      </c>
      <c r="AH8821">
        <v>7.9586530448496804</v>
      </c>
      <c r="AI8821">
        <v>95.548649591440096</v>
      </c>
      <c r="AJ8821">
        <v>136.829412447332</v>
      </c>
      <c r="AK8821">
        <v>11.6872801069118</v>
      </c>
      <c r="AL8821">
        <v>84.829801942121705</v>
      </c>
      <c r="AM8821">
        <v>115.112710065351</v>
      </c>
      <c r="AN8821">
        <v>1.0000000372348601</v>
      </c>
    </row>
    <row r="8822" spans="1:40" x14ac:dyDescent="0.25">
      <c r="A8822" t="str">
        <f>"20190303162124809"</f>
        <v>20190303162124809</v>
      </c>
      <c r="B8822" t="str">
        <f>"1551601284800895"</f>
        <v>1551601284800895</v>
      </c>
      <c r="C8822" t="s">
        <v>40</v>
      </c>
      <c r="D8822">
        <v>4.8173949999999897</v>
      </c>
      <c r="E8822">
        <v>0.34321180000000001</v>
      </c>
      <c r="F8822" t="s">
        <v>62</v>
      </c>
      <c r="G8822">
        <v>-290.73849999999999</v>
      </c>
      <c r="H8822" s="1">
        <v>-7.0681729999999998E-6</v>
      </c>
      <c r="I8822">
        <v>-50.12997</v>
      </c>
      <c r="J8822">
        <v>-300.58150000000001</v>
      </c>
      <c r="K8822">
        <v>1.1301289999999999</v>
      </c>
      <c r="L8822">
        <v>-45.203699999999998</v>
      </c>
      <c r="M8822">
        <v>0.27925409999999901</v>
      </c>
      <c r="N8822">
        <v>-1.268742E-2</v>
      </c>
      <c r="O8822">
        <v>-0.96013369999999998</v>
      </c>
      <c r="P8822">
        <v>0.65794519999999901</v>
      </c>
      <c r="Q8822">
        <v>8.4225709999999995E-2</v>
      </c>
      <c r="R8822">
        <v>-0.74834129999999999</v>
      </c>
      <c r="S8822">
        <v>2.9125670000000001</v>
      </c>
      <c r="T8822">
        <v>-0.33174090000000001</v>
      </c>
      <c r="U8822">
        <v>-1.5133970000000001</v>
      </c>
      <c r="V8822">
        <v>-0.42477999999999999</v>
      </c>
      <c r="W8822">
        <v>8.6314740000000001E-2</v>
      </c>
      <c r="X8822">
        <v>0.90117250000000004</v>
      </c>
      <c r="Y8822">
        <v>-0.71865129999999999</v>
      </c>
      <c r="Z8822">
        <v>9.7922919999999997E-2</v>
      </c>
      <c r="AA8822">
        <v>0.68844130000000003</v>
      </c>
      <c r="AB8822">
        <v>25</v>
      </c>
      <c r="AC8822">
        <v>9.8430000000000106</v>
      </c>
      <c r="AD8822">
        <v>-1.1301360681729999</v>
      </c>
      <c r="AE8822">
        <v>-4.9262699999999997</v>
      </c>
      <c r="AF8822">
        <v>-7.9913172565263597</v>
      </c>
      <c r="AG8822">
        <v>-1.1301360681729999</v>
      </c>
      <c r="AH8822">
        <v>7.40115204551046</v>
      </c>
      <c r="AI8822">
        <v>95.923656069926594</v>
      </c>
      <c r="AJ8822">
        <v>137.19571144745001</v>
      </c>
      <c r="AK8822">
        <v>10.950589510515099</v>
      </c>
      <c r="AL8822">
        <v>85.048368580839906</v>
      </c>
      <c r="AM8822">
        <v>115.237487973735</v>
      </c>
      <c r="AN8822">
        <v>1.00000007874875</v>
      </c>
    </row>
    <row r="8823" spans="1:40" x14ac:dyDescent="0.25">
      <c r="A8823" t="str">
        <f>"20190303162124834"</f>
        <v>20190303162124834</v>
      </c>
      <c r="B8823" t="str">
        <f>"1551601284821391"</f>
        <v>1551601284821391</v>
      </c>
      <c r="C8823" t="s">
        <v>40</v>
      </c>
      <c r="D8823">
        <v>4.7970100000000002</v>
      </c>
      <c r="E8823">
        <v>0.34483730000000001</v>
      </c>
      <c r="F8823" t="s">
        <v>62</v>
      </c>
      <c r="G8823">
        <v>-290.82069999999999</v>
      </c>
      <c r="H8823" s="1">
        <v>-7.0391839999999999E-6</v>
      </c>
      <c r="I8823">
        <v>-50.087299999999999</v>
      </c>
      <c r="J8823">
        <v>-300.49200000000002</v>
      </c>
      <c r="K8823">
        <v>1.1302369999999999</v>
      </c>
      <c r="L8823">
        <v>-45.453189999999999</v>
      </c>
      <c r="M8823">
        <v>0.29336630000000002</v>
      </c>
      <c r="N8823">
        <v>-1.272904E-2</v>
      </c>
      <c r="O8823">
        <v>-0.95591539999999997</v>
      </c>
      <c r="P8823">
        <v>0.67056179999999999</v>
      </c>
      <c r="Q8823">
        <v>8.147886E-2</v>
      </c>
      <c r="R8823">
        <v>-0.73736550000000001</v>
      </c>
      <c r="S8823">
        <v>2.9336850000000001</v>
      </c>
      <c r="T8823">
        <v>-0.33967140000000001</v>
      </c>
      <c r="U8823">
        <v>-1.4678040000000001</v>
      </c>
      <c r="V8823">
        <v>-0.42669030000000002</v>
      </c>
      <c r="W8823">
        <v>8.3420330000000001E-2</v>
      </c>
      <c r="X8823">
        <v>0.90054230000000002</v>
      </c>
      <c r="Y8823">
        <v>-0.71873149999999997</v>
      </c>
      <c r="Z8823">
        <v>0.10084659999999999</v>
      </c>
      <c r="AA8823">
        <v>0.68793530000000003</v>
      </c>
      <c r="AB8823">
        <v>25</v>
      </c>
      <c r="AC8823">
        <v>9.6713000000000306</v>
      </c>
      <c r="AD8823">
        <v>-1.1302440391840001</v>
      </c>
      <c r="AE8823">
        <v>-4.6341099999999997</v>
      </c>
      <c r="AF8823">
        <v>-7.79945980568717</v>
      </c>
      <c r="AG8823">
        <v>-1.1302440391840001</v>
      </c>
      <c r="AH8823">
        <v>7.1878013658305298</v>
      </c>
      <c r="AI8823">
        <v>96.082615316079</v>
      </c>
      <c r="AJ8823">
        <v>137.33705203212301</v>
      </c>
      <c r="AK8823">
        <v>10.666466768488799</v>
      </c>
      <c r="AL8823">
        <v>85.214806188989698</v>
      </c>
      <c r="AM8823">
        <v>115.352288252702</v>
      </c>
      <c r="AN8823">
        <v>0.99999999883034396</v>
      </c>
    </row>
    <row r="8824" spans="1:40" x14ac:dyDescent="0.25">
      <c r="A8824" t="str">
        <f>"20190303162124855"</f>
        <v>20190303162124855</v>
      </c>
      <c r="B8824" t="str">
        <f>"1551601284851647"</f>
        <v>1551601284851647</v>
      </c>
      <c r="C8824" t="s">
        <v>40</v>
      </c>
      <c r="D8824">
        <v>4.8666830000000001</v>
      </c>
      <c r="E8824">
        <v>0.36672969999999999</v>
      </c>
      <c r="F8824" t="s">
        <v>62</v>
      </c>
      <c r="G8824">
        <v>-290.76830000000001</v>
      </c>
      <c r="H8824" s="1">
        <v>-7.0734629999999997E-6</v>
      </c>
      <c r="I8824">
        <v>-50.15625</v>
      </c>
      <c r="J8824">
        <v>-300.40699999999998</v>
      </c>
      <c r="K8824">
        <v>1.130369</v>
      </c>
      <c r="L8824">
        <v>-45.679259999999999</v>
      </c>
      <c r="M8824">
        <v>0.30637300000000001</v>
      </c>
      <c r="N8824">
        <v>-1.2771009999999999E-2</v>
      </c>
      <c r="O8824">
        <v>-0.95182599999999995</v>
      </c>
      <c r="P8824">
        <v>0.68211140000000003</v>
      </c>
      <c r="Q8824">
        <v>7.7921770000000001E-2</v>
      </c>
      <c r="R8824">
        <v>-0.72708490000000003</v>
      </c>
      <c r="S8824">
        <v>2.9476930000000001</v>
      </c>
      <c r="T8824">
        <v>-0.34262989999999999</v>
      </c>
      <c r="U8824">
        <v>-1.4257200000000001</v>
      </c>
      <c r="V8824">
        <v>-0.42844729999999998</v>
      </c>
      <c r="W8824">
        <v>7.9715770000000005E-2</v>
      </c>
      <c r="X8824">
        <v>0.9000435</v>
      </c>
      <c r="Y8824">
        <v>-0.71839969999999997</v>
      </c>
      <c r="Z8824">
        <v>0.1022454</v>
      </c>
      <c r="AA8824">
        <v>0.6880754</v>
      </c>
      <c r="AB8824">
        <v>25</v>
      </c>
      <c r="AC8824">
        <v>9.6386999999999698</v>
      </c>
      <c r="AD8824">
        <v>-1.130376073463</v>
      </c>
      <c r="AE8824">
        <v>-4.4769899999999998</v>
      </c>
      <c r="AF8824">
        <v>-7.7160818691406501</v>
      </c>
      <c r="AG8824">
        <v>-1.130376073463</v>
      </c>
      <c r="AH8824">
        <v>7.1342327662042599</v>
      </c>
      <c r="AI8824">
        <v>96.139390029442893</v>
      </c>
      <c r="AJ8824">
        <v>137.243754097275</v>
      </c>
      <c r="AK8824">
        <v>10.569434546896099</v>
      </c>
      <c r="AL8824">
        <v>85.427771608952298</v>
      </c>
      <c r="AM8824">
        <v>115.455828406001</v>
      </c>
      <c r="AN8824">
        <v>0.99999999737811596</v>
      </c>
    </row>
    <row r="8825" spans="1:40" x14ac:dyDescent="0.25">
      <c r="A8825" t="str">
        <f>"20190303162124877"</f>
        <v>20190303162124877</v>
      </c>
      <c r="B8825" t="str">
        <f>"1551601284871167"</f>
        <v>1551601284871167</v>
      </c>
      <c r="C8825" t="s">
        <v>40</v>
      </c>
      <c r="D8825">
        <v>4.8479429999999999</v>
      </c>
      <c r="E8825">
        <v>0.36838530000000003</v>
      </c>
      <c r="F8825" t="s">
        <v>62</v>
      </c>
      <c r="G8825">
        <v>-290.62700000000001</v>
      </c>
      <c r="H8825" s="1">
        <v>-1.051166E-5</v>
      </c>
      <c r="I8825">
        <v>-50.832000000000001</v>
      </c>
      <c r="J8825">
        <v>-300.32139999999998</v>
      </c>
      <c r="K8825">
        <v>1.1305229999999999</v>
      </c>
      <c r="L8825">
        <v>-45.897950000000002</v>
      </c>
      <c r="M8825">
        <v>0.31918449999999998</v>
      </c>
      <c r="N8825">
        <v>-1.2817449999999999E-2</v>
      </c>
      <c r="O8825">
        <v>-0.94760599999999995</v>
      </c>
      <c r="P8825">
        <v>0.69318639999999998</v>
      </c>
      <c r="Q8825">
        <v>7.7732679999999998E-2</v>
      </c>
      <c r="R8825">
        <v>-0.71655469999999999</v>
      </c>
      <c r="S8825">
        <v>2.8404240000000001</v>
      </c>
      <c r="T8825">
        <v>-0.32829809999999998</v>
      </c>
      <c r="U8825">
        <v>-1.496521</v>
      </c>
      <c r="V8825">
        <v>-0.43013509999999999</v>
      </c>
      <c r="W8825">
        <v>7.9364489999999996E-2</v>
      </c>
      <c r="X8825">
        <v>0.89926919999999899</v>
      </c>
      <c r="Y8825">
        <v>-0.68489290000000003</v>
      </c>
      <c r="Z8825">
        <v>9.8895150000000001E-2</v>
      </c>
      <c r="AA8825">
        <v>0.72190140000000003</v>
      </c>
      <c r="AB8825">
        <v>25</v>
      </c>
      <c r="AC8825">
        <v>9.6943999999999697</v>
      </c>
      <c r="AD8825">
        <v>-1.1305335116599999</v>
      </c>
      <c r="AE8825">
        <v>-4.9340499999999903</v>
      </c>
      <c r="AF8825">
        <v>-7.5308789079723297</v>
      </c>
      <c r="AG8825">
        <v>-1.1305335116599999</v>
      </c>
      <c r="AH8825">
        <v>7.6874390803323802</v>
      </c>
      <c r="AI8825">
        <v>95.997101211467097</v>
      </c>
      <c r="AJ8825">
        <v>134.41058396282199</v>
      </c>
      <c r="AK8825">
        <v>10.820765350073399</v>
      </c>
      <c r="AL8825">
        <v>85.447962500798198</v>
      </c>
      <c r="AM8825">
        <v>115.562548981606</v>
      </c>
      <c r="AN8825">
        <v>1.0000000102968001</v>
      </c>
    </row>
    <row r="8826" spans="1:40" x14ac:dyDescent="0.25">
      <c r="A8826" t="str">
        <f>"20190303162124900"</f>
        <v>20190303162124900</v>
      </c>
      <c r="B8826" t="str">
        <f>"1551601284891664"</f>
        <v>1551601284891664</v>
      </c>
      <c r="C8826" t="s">
        <v>40</v>
      </c>
      <c r="D8826">
        <v>4.838565</v>
      </c>
      <c r="E8826">
        <v>0.37005749999999998</v>
      </c>
      <c r="F8826" t="s">
        <v>62</v>
      </c>
      <c r="G8826">
        <v>-290.48160000000001</v>
      </c>
      <c r="H8826" s="1">
        <v>-1.055096E-5</v>
      </c>
      <c r="I8826">
        <v>-50.940249999999999</v>
      </c>
      <c r="J8826">
        <v>-300.22399999999999</v>
      </c>
      <c r="K8826">
        <v>1.1307199999999999</v>
      </c>
      <c r="L8826">
        <v>-46.135829999999999</v>
      </c>
      <c r="M8826">
        <v>0.33341009999999999</v>
      </c>
      <c r="N8826">
        <v>-1.287546E-2</v>
      </c>
      <c r="O8826">
        <v>-0.94269389999999997</v>
      </c>
      <c r="P8826">
        <v>0.70393439999999996</v>
      </c>
      <c r="Q8826">
        <v>7.9569810000000005E-2</v>
      </c>
      <c r="R8826">
        <v>-0.70579399999999903</v>
      </c>
      <c r="S8826">
        <v>2.8532099999999998</v>
      </c>
      <c r="T8826">
        <v>-0.32781680000000002</v>
      </c>
      <c r="U8826">
        <v>-1.462097</v>
      </c>
      <c r="V8826">
        <v>-0.43033769999999999</v>
      </c>
      <c r="W8826">
        <v>8.1048969999999998E-2</v>
      </c>
      <c r="X8826">
        <v>0.89902199999999999</v>
      </c>
      <c r="Y8826">
        <v>-0.68216540000000003</v>
      </c>
      <c r="Z8826">
        <v>9.8973149999999996E-2</v>
      </c>
      <c r="AA8826">
        <v>0.72446849999999996</v>
      </c>
      <c r="AB8826">
        <v>25</v>
      </c>
      <c r="AC8826">
        <v>9.7423999999999698</v>
      </c>
      <c r="AD8826">
        <v>-1.1307305509600001</v>
      </c>
      <c r="AE8826">
        <v>-4.8044199999999897</v>
      </c>
      <c r="AF8826">
        <v>-7.5016045316665503</v>
      </c>
      <c r="AG8826">
        <v>-1.1307305509600001</v>
      </c>
      <c r="AH8826">
        <v>7.6945827902039303</v>
      </c>
      <c r="AI8826">
        <v>96.006645024186199</v>
      </c>
      <c r="AJ8826">
        <v>134.27243293302499</v>
      </c>
      <c r="AK8826">
        <v>10.805518332948999</v>
      </c>
      <c r="AL8826">
        <v>85.351136965130493</v>
      </c>
      <c r="AM8826">
        <v>115.57918708317401</v>
      </c>
      <c r="AN8826">
        <v>1.00000001403167</v>
      </c>
    </row>
    <row r="8827" spans="1:40" x14ac:dyDescent="0.25">
      <c r="A8827" t="str">
        <f>"20190303162124922"</f>
        <v>20190303162124922</v>
      </c>
      <c r="B8827" t="str">
        <f>"1551601284911186"</f>
        <v>1551601284911186</v>
      </c>
      <c r="C8827" t="s">
        <v>40</v>
      </c>
      <c r="D8827">
        <v>4.7258839999999998</v>
      </c>
      <c r="E8827">
        <v>0.369556</v>
      </c>
      <c r="F8827" t="s">
        <v>62</v>
      </c>
      <c r="G8827">
        <v>-289.98790000000002</v>
      </c>
      <c r="H8827" s="1">
        <v>-1.070069E-5</v>
      </c>
      <c r="I8827">
        <v>-51.238129999999998</v>
      </c>
      <c r="J8827">
        <v>-300.12740000000002</v>
      </c>
      <c r="K8827">
        <v>1.130941</v>
      </c>
      <c r="L8827">
        <v>-46.361660000000001</v>
      </c>
      <c r="M8827">
        <v>0.34722969999999997</v>
      </c>
      <c r="N8827">
        <v>-1.293857E-2</v>
      </c>
      <c r="O8827">
        <v>-0.93769100000000005</v>
      </c>
      <c r="P8827">
        <v>0.71245009999999998</v>
      </c>
      <c r="Q8827">
        <v>8.2425929999999994E-2</v>
      </c>
      <c r="R8827">
        <v>-0.69686530000000002</v>
      </c>
      <c r="S8827">
        <v>2.8654480000000002</v>
      </c>
      <c r="T8827">
        <v>-0.31653140000000002</v>
      </c>
      <c r="U8827">
        <v>-1.4283140000000001</v>
      </c>
      <c r="V8827">
        <v>-0.42825940000000001</v>
      </c>
      <c r="W8827">
        <v>8.3808060000000004E-2</v>
      </c>
      <c r="X8827">
        <v>0.89976109999999898</v>
      </c>
      <c r="Y8827">
        <v>-0.67985499999999999</v>
      </c>
      <c r="Z8827">
        <v>9.5437369999999994E-2</v>
      </c>
      <c r="AA8827">
        <v>0.72710989999999998</v>
      </c>
      <c r="AB8827">
        <v>25</v>
      </c>
      <c r="AC8827">
        <v>10.1394999999999</v>
      </c>
      <c r="AD8827">
        <v>-1.1309517006899901</v>
      </c>
      <c r="AE8827">
        <v>-4.8764699999999896</v>
      </c>
      <c r="AF8827">
        <v>-7.7369421631817596</v>
      </c>
      <c r="AG8827">
        <v>-1.1309517006899901</v>
      </c>
      <c r="AH8827">
        <v>8.0130703830616703</v>
      </c>
      <c r="AI8827">
        <v>95.797600330600005</v>
      </c>
      <c r="AJ8827">
        <v>133.99559693064899</v>
      </c>
      <c r="AK8827">
        <v>11.1959199152911</v>
      </c>
      <c r="AL8827">
        <v>85.192512694511805</v>
      </c>
      <c r="AM8827">
        <v>115.45305249746799</v>
      </c>
      <c r="AN8827">
        <v>0.99999997084126602</v>
      </c>
    </row>
    <row r="8828" spans="1:40" x14ac:dyDescent="0.25">
      <c r="A8828" t="str">
        <f>"20190303162124946"</f>
        <v>20190303162124946</v>
      </c>
      <c r="B8828" t="str">
        <f>"1551601284941439"</f>
        <v>1551601284941439</v>
      </c>
      <c r="C8828" t="s">
        <v>40</v>
      </c>
      <c r="D8828">
        <v>4.8271600000000001</v>
      </c>
      <c r="E8828">
        <v>0.37011699999999997</v>
      </c>
      <c r="F8828" t="s">
        <v>62</v>
      </c>
      <c r="G8828">
        <v>-289.19369999999998</v>
      </c>
      <c r="H8828" s="1">
        <v>-3.2608420000000001E-6</v>
      </c>
      <c r="I8828">
        <v>-51.622259999999997</v>
      </c>
      <c r="J8828">
        <v>-300.02569999999997</v>
      </c>
      <c r="K8828">
        <v>1.131184</v>
      </c>
      <c r="L8828">
        <v>-46.589230000000001</v>
      </c>
      <c r="M8828">
        <v>0.36151070000000002</v>
      </c>
      <c r="N8828">
        <v>-1.301099E-2</v>
      </c>
      <c r="O8828">
        <v>-0.93227749999999998</v>
      </c>
      <c r="P8828">
        <v>0.71928939999999997</v>
      </c>
      <c r="Q8828">
        <v>8.6120639999999998E-2</v>
      </c>
      <c r="R8828">
        <v>-0.68935230000000003</v>
      </c>
      <c r="S8828">
        <v>2.8868100000000001</v>
      </c>
      <c r="T8828">
        <v>-0.29860130000000001</v>
      </c>
      <c r="U8828">
        <v>-1.3889469999999999</v>
      </c>
      <c r="V8828">
        <v>-0.42368470000000003</v>
      </c>
      <c r="W8828">
        <v>8.7462890000000001E-2</v>
      </c>
      <c r="X8828">
        <v>0.90157719999999997</v>
      </c>
      <c r="Y8828">
        <v>-0.67938609999999999</v>
      </c>
      <c r="Z8828">
        <v>8.9518840000000002E-2</v>
      </c>
      <c r="AA8828">
        <v>0.72829999999999995</v>
      </c>
      <c r="AB8828">
        <v>25</v>
      </c>
      <c r="AC8828">
        <v>10.831999999999899</v>
      </c>
      <c r="AD8828">
        <v>-1.1311872608419999</v>
      </c>
      <c r="AE8828">
        <v>-5.0330299999999903</v>
      </c>
      <c r="AF8828">
        <v>-8.2060321066249298</v>
      </c>
      <c r="AG8828">
        <v>-1.1311872608419999</v>
      </c>
      <c r="AH8828">
        <v>8.5322626737741594</v>
      </c>
      <c r="AI8828">
        <v>95.458355618014394</v>
      </c>
      <c r="AJ8828">
        <v>133.88344250848399</v>
      </c>
      <c r="AK8828">
        <v>11.891932302545699</v>
      </c>
      <c r="AL8828">
        <v>84.982334120963301</v>
      </c>
      <c r="AM8828">
        <v>115.1705791281</v>
      </c>
      <c r="AN8828">
        <v>0.99999996485053999</v>
      </c>
    </row>
    <row r="8829" spans="1:40" x14ac:dyDescent="0.25">
      <c r="A8829" t="str">
        <f>"20190303162124965"</f>
        <v>20190303162124965</v>
      </c>
      <c r="B8829" t="str">
        <f>"1551601284960959"</f>
        <v>1551601284960959</v>
      </c>
      <c r="C8829" t="s">
        <v>40</v>
      </c>
      <c r="D8829">
        <v>4.7229720000000004</v>
      </c>
      <c r="E8829">
        <v>0.37781429999999999</v>
      </c>
      <c r="F8829" t="s">
        <v>62</v>
      </c>
      <c r="G8829">
        <v>-287.78519999999997</v>
      </c>
      <c r="H8829" s="1">
        <v>-3.8435620000000001E-6</v>
      </c>
      <c r="I8829">
        <v>-52.33032</v>
      </c>
      <c r="J8829">
        <v>-299.93200000000002</v>
      </c>
      <c r="K8829">
        <v>1.131419</v>
      </c>
      <c r="L8829">
        <v>-46.789639999999999</v>
      </c>
      <c r="M8829">
        <v>0.37443920000000003</v>
      </c>
      <c r="N8829">
        <v>-1.308376E-2</v>
      </c>
      <c r="O8829">
        <v>-0.92715919999999996</v>
      </c>
      <c r="P8829">
        <v>0.7243501</v>
      </c>
      <c r="Q8829">
        <v>8.762085E-2</v>
      </c>
      <c r="R8829">
        <v>-0.68384199999999995</v>
      </c>
      <c r="S8829">
        <v>2.8995359999999999</v>
      </c>
      <c r="T8829">
        <v>-0.2679569</v>
      </c>
      <c r="U8829">
        <v>-1.359955</v>
      </c>
      <c r="V8829">
        <v>-0.4179368</v>
      </c>
      <c r="W8829">
        <v>8.8972839999999997E-2</v>
      </c>
      <c r="X8829">
        <v>0.90410880000000005</v>
      </c>
      <c r="Y8829">
        <v>-0.67724069999999903</v>
      </c>
      <c r="Z8829">
        <v>7.9370860000000001E-2</v>
      </c>
      <c r="AA8829">
        <v>0.7314678</v>
      </c>
      <c r="AB8829">
        <v>25</v>
      </c>
      <c r="AC8829">
        <v>12.146800000000001</v>
      </c>
      <c r="AD8829">
        <v>-1.131422843562</v>
      </c>
      <c r="AE8829">
        <v>-5.5406799999999903</v>
      </c>
      <c r="AF8829">
        <v>-9.1226384224626003</v>
      </c>
      <c r="AG8829">
        <v>-1.131422843562</v>
      </c>
      <c r="AH8829">
        <v>9.6170908817052307</v>
      </c>
      <c r="AI8829">
        <v>94.878617728040197</v>
      </c>
      <c r="AJ8829">
        <v>133.488587156899</v>
      </c>
      <c r="AK8829">
        <v>13.3037997002699</v>
      </c>
      <c r="AL8829">
        <v>84.895482053868903</v>
      </c>
      <c r="AM8829">
        <v>114.809393400605</v>
      </c>
      <c r="AN8829">
        <v>1.00000002864467</v>
      </c>
    </row>
    <row r="8830" spans="1:40" x14ac:dyDescent="0.25">
      <c r="A8830" t="str">
        <f>"20190303162124988"</f>
        <v>20190303162124988</v>
      </c>
      <c r="B8830" t="str">
        <f>"1551601284981455"</f>
        <v>1551601284981455</v>
      </c>
      <c r="C8830" t="s">
        <v>40</v>
      </c>
      <c r="D8830">
        <v>4.8079839999999896</v>
      </c>
      <c r="E8830">
        <v>0.3767916</v>
      </c>
      <c r="F8830" t="s">
        <v>62</v>
      </c>
      <c r="G8830">
        <v>-282.56189999999998</v>
      </c>
      <c r="H8830" s="1">
        <v>-5.8810640000000002E-6</v>
      </c>
      <c r="I8830">
        <v>-55.130049999999997</v>
      </c>
      <c r="J8830">
        <v>-299.8227</v>
      </c>
      <c r="K8830">
        <v>1.1316850000000001</v>
      </c>
      <c r="L8830">
        <v>-47.013669999999998</v>
      </c>
      <c r="M8830">
        <v>0.38925159999999998</v>
      </c>
      <c r="N8830">
        <v>-1.317133E-2</v>
      </c>
      <c r="O8830">
        <v>-0.92103740000000001</v>
      </c>
      <c r="P8830">
        <v>0.73087659999999999</v>
      </c>
      <c r="Q8830">
        <v>8.801138E-2</v>
      </c>
      <c r="R8830">
        <v>-0.67681139999999995</v>
      </c>
      <c r="S8830">
        <v>2.8653559999999998</v>
      </c>
      <c r="T8830">
        <v>-0.18663859999999999</v>
      </c>
      <c r="U8830">
        <v>-1.3758239999999999</v>
      </c>
      <c r="V8830">
        <v>-0.41219030000000001</v>
      </c>
      <c r="W8830">
        <v>8.9370370000000005E-2</v>
      </c>
      <c r="X8830">
        <v>0.90670390000000001</v>
      </c>
      <c r="Y8830">
        <v>-0.66035809999999995</v>
      </c>
      <c r="Z8830">
        <v>5.2438600000000002E-2</v>
      </c>
      <c r="AA8830">
        <v>0.7491177</v>
      </c>
      <c r="AB8830">
        <v>25</v>
      </c>
      <c r="AC8830">
        <v>17.2608</v>
      </c>
      <c r="AD8830">
        <v>-1.1316908810640001</v>
      </c>
      <c r="AE8830">
        <v>-8.1163799999999995</v>
      </c>
      <c r="AF8830">
        <v>-12.6949423491755</v>
      </c>
      <c r="AG8830">
        <v>-1.1316908810640001</v>
      </c>
      <c r="AH8830">
        <v>14.1457164399052</v>
      </c>
      <c r="AI8830">
        <v>93.407425509835306</v>
      </c>
      <c r="AJ8830">
        <v>131.906095892152</v>
      </c>
      <c r="AK8830">
        <v>19.040577173430901</v>
      </c>
      <c r="AL8830">
        <v>84.872613679091401</v>
      </c>
      <c r="AM8830">
        <v>114.446686575439</v>
      </c>
      <c r="AN8830">
        <v>0.99999993436161605</v>
      </c>
    </row>
    <row r="8831" spans="1:40" x14ac:dyDescent="0.25">
      <c r="A8831" t="str">
        <f>"20190303162125010"</f>
        <v>20190303162125010</v>
      </c>
      <c r="B8831" t="str">
        <f>"1551601285000976"</f>
        <v>1551601285000976</v>
      </c>
      <c r="C8831" t="s">
        <v>40</v>
      </c>
      <c r="D8831">
        <v>4.8274670000000004</v>
      </c>
      <c r="E8831">
        <v>0.3770037</v>
      </c>
      <c r="F8831" t="s">
        <v>62</v>
      </c>
      <c r="G8831">
        <v>-281.55770000000001</v>
      </c>
      <c r="H8831" s="1">
        <v>-6.1749E-6</v>
      </c>
      <c r="I8831">
        <v>-55.5062</v>
      </c>
      <c r="J8831">
        <v>-299.71319999999997</v>
      </c>
      <c r="K8831">
        <v>1.1319380000000001</v>
      </c>
      <c r="L8831">
        <v>-47.228580000000001</v>
      </c>
      <c r="M8831">
        <v>0.40381230000000001</v>
      </c>
      <c r="N8831">
        <v>-1.3258310000000001E-2</v>
      </c>
      <c r="O8831">
        <v>-0.91474569999999999</v>
      </c>
      <c r="P8831">
        <v>0.73742159999999901</v>
      </c>
      <c r="Q8831">
        <v>9.0435779999999993E-2</v>
      </c>
      <c r="R8831">
        <v>-0.66935119999999904</v>
      </c>
      <c r="S8831">
        <v>2.8843079999999999</v>
      </c>
      <c r="T8831">
        <v>-0.1787108</v>
      </c>
      <c r="U8831">
        <v>-1.3410949999999999</v>
      </c>
      <c r="V8831">
        <v>-0.40685670000000002</v>
      </c>
      <c r="W8831">
        <v>9.1806479999999996E-2</v>
      </c>
      <c r="X8831">
        <v>0.90886699999999998</v>
      </c>
      <c r="Y8831">
        <v>-0.65789830000000005</v>
      </c>
      <c r="Z8831">
        <v>4.9733260000000001E-2</v>
      </c>
      <c r="AA8831">
        <v>0.75146290000000004</v>
      </c>
      <c r="AB8831">
        <v>25</v>
      </c>
      <c r="AC8831">
        <v>18.1554999999999</v>
      </c>
      <c r="AD8831">
        <v>-1.1319441749000001</v>
      </c>
      <c r="AE8831">
        <v>-8.27761999999999</v>
      </c>
      <c r="AF8831">
        <v>-13.223671396278201</v>
      </c>
      <c r="AG8831">
        <v>-1.1319441749000001</v>
      </c>
      <c r="AH8831">
        <v>14.8568304234972</v>
      </c>
      <c r="AI8831">
        <v>93.257288820809904</v>
      </c>
      <c r="AJ8831">
        <v>131.67143316147599</v>
      </c>
      <c r="AK8831">
        <v>19.9216513633883</v>
      </c>
      <c r="AL8831">
        <v>84.732458973336406</v>
      </c>
      <c r="AM8831">
        <v>114.115801324434</v>
      </c>
      <c r="AN8831">
        <v>1.00000001389694</v>
      </c>
    </row>
    <row r="8832" spans="1:40" x14ac:dyDescent="0.25">
      <c r="A8832" t="str">
        <f>"20190303162125033"</f>
        <v>20190303162125033</v>
      </c>
      <c r="B8832" t="str">
        <f>"1551601285021472"</f>
        <v>1551601285021472</v>
      </c>
      <c r="C8832" t="s">
        <v>40</v>
      </c>
      <c r="D8832">
        <v>4.8661479999999999</v>
      </c>
      <c r="E8832">
        <v>0.37792959999999998</v>
      </c>
      <c r="F8832" t="s">
        <v>85</v>
      </c>
      <c r="G8832">
        <v>-279.87079999999997</v>
      </c>
      <c r="H8832" s="1">
        <v>-4.3092829999999997E-6</v>
      </c>
      <c r="I8832">
        <v>-56.220359999999999</v>
      </c>
      <c r="J8832">
        <v>-299.60000000000002</v>
      </c>
      <c r="K8832">
        <v>1.1321779999999999</v>
      </c>
      <c r="L8832">
        <v>-47.44162</v>
      </c>
      <c r="M8832">
        <v>0.4186047</v>
      </c>
      <c r="N8832">
        <v>-1.334684E-2</v>
      </c>
      <c r="O8832">
        <v>-0.90807040000000006</v>
      </c>
      <c r="P8832">
        <v>0.74423439999999996</v>
      </c>
      <c r="Q8832">
        <v>9.1657459999999996E-2</v>
      </c>
      <c r="R8832">
        <v>-0.66159939999999995</v>
      </c>
      <c r="S8832">
        <v>2.8969420000000001</v>
      </c>
      <c r="T8832">
        <v>-0.1652604</v>
      </c>
      <c r="U8832">
        <v>-1.312775</v>
      </c>
      <c r="V8832">
        <v>-0.40155469999999999</v>
      </c>
      <c r="W8832">
        <v>9.3052360000000001E-2</v>
      </c>
      <c r="X8832">
        <v>0.91109560000000001</v>
      </c>
      <c r="Y8832">
        <v>-0.65321830000000003</v>
      </c>
      <c r="Z8832">
        <v>4.5184309999999998E-2</v>
      </c>
      <c r="AA8832">
        <v>0.7558203</v>
      </c>
      <c r="AB8832">
        <v>25</v>
      </c>
      <c r="AC8832">
        <v>19.729199999999999</v>
      </c>
      <c r="AD8832">
        <v>-1.1321823092829999</v>
      </c>
      <c r="AE8832">
        <v>-8.7787399999999902</v>
      </c>
      <c r="AF8832">
        <v>-14.202907620526</v>
      </c>
      <c r="AG8832">
        <v>-1.1321823092829999</v>
      </c>
      <c r="AH8832">
        <v>16.187398880922999</v>
      </c>
      <c r="AI8832">
        <v>93.009506504380496</v>
      </c>
      <c r="AJ8832">
        <v>131.26388197187001</v>
      </c>
      <c r="AK8832">
        <v>21.564700419638399</v>
      </c>
      <c r="AL8832">
        <v>84.660768636736407</v>
      </c>
      <c r="AM8832">
        <v>113.784923725615</v>
      </c>
      <c r="AN8832">
        <v>1.0000000555665001</v>
      </c>
    </row>
    <row r="8833" spans="1:40" x14ac:dyDescent="0.25">
      <c r="A8833" t="str">
        <f>"20190303162125055"</f>
        <v>20190303162125055</v>
      </c>
      <c r="B8833" t="str">
        <f>"1551601285051728"</f>
        <v>1551601285051728</v>
      </c>
      <c r="C8833" t="s">
        <v>40</v>
      </c>
      <c r="D8833">
        <v>4.9055410000000004</v>
      </c>
      <c r="E8833">
        <v>0.37966250000000001</v>
      </c>
      <c r="F8833" t="s">
        <v>85</v>
      </c>
      <c r="G8833">
        <v>-279.21719999999999</v>
      </c>
      <c r="H8833" s="1">
        <v>-3.9735600000000001E-6</v>
      </c>
      <c r="I8833">
        <v>-56.470739999999999</v>
      </c>
      <c r="J8833">
        <v>-299.48180000000002</v>
      </c>
      <c r="K8833">
        <v>1.132396</v>
      </c>
      <c r="L8833">
        <v>-47.654879999999999</v>
      </c>
      <c r="M8833">
        <v>0.43376350000000002</v>
      </c>
      <c r="N8833">
        <v>-1.343799E-2</v>
      </c>
      <c r="O8833">
        <v>-0.90092669999999997</v>
      </c>
      <c r="P8833">
        <v>0.75388299999999997</v>
      </c>
      <c r="Q8833">
        <v>8.8938340000000005E-2</v>
      </c>
      <c r="R8833">
        <v>-0.65096119999999902</v>
      </c>
      <c r="S8833">
        <v>2.906342</v>
      </c>
      <c r="T8833">
        <v>-0.16143560000000001</v>
      </c>
      <c r="U8833">
        <v>-1.287445</v>
      </c>
      <c r="V8833">
        <v>-0.39949630000000003</v>
      </c>
      <c r="W8833">
        <v>9.0267470000000002E-2</v>
      </c>
      <c r="X8833">
        <v>0.91227979999999997</v>
      </c>
      <c r="Y8833">
        <v>-0.64698610000000001</v>
      </c>
      <c r="Z8833">
        <v>4.3835770000000003E-2</v>
      </c>
      <c r="AA8833">
        <v>0.76124069999999899</v>
      </c>
      <c r="AB8833">
        <v>25</v>
      </c>
      <c r="AC8833">
        <v>20.264600000000002</v>
      </c>
      <c r="AD8833">
        <v>-1.1323999735600001</v>
      </c>
      <c r="AE8833">
        <v>-8.8158600000000007</v>
      </c>
      <c r="AF8833">
        <v>-14.396421362727301</v>
      </c>
      <c r="AG8833">
        <v>-1.1323999735600001</v>
      </c>
      <c r="AH8833">
        <v>16.690172530504899</v>
      </c>
      <c r="AI8833">
        <v>92.941058395482202</v>
      </c>
      <c r="AJ8833">
        <v>130.780028696307</v>
      </c>
      <c r="AK8833">
        <v>22.070367845854602</v>
      </c>
      <c r="AL8833">
        <v>84.821005227517006</v>
      </c>
      <c r="AM8833">
        <v>113.64908426583</v>
      </c>
      <c r="AN8833">
        <v>0.99999997167096499</v>
      </c>
    </row>
    <row r="8834" spans="1:40" x14ac:dyDescent="0.25">
      <c r="A8834" t="str">
        <f>"20190303162125078"</f>
        <v>20190303162125078</v>
      </c>
      <c r="B8834" t="str">
        <f>"1551601285071248"</f>
        <v>1551601285071248</v>
      </c>
      <c r="C8834" t="s">
        <v>40</v>
      </c>
      <c r="D8834">
        <v>4.9077590000000004</v>
      </c>
      <c r="E8834">
        <v>0.38081379999999998</v>
      </c>
      <c r="F8834" t="s">
        <v>62</v>
      </c>
      <c r="G8834">
        <v>-280.31959999999998</v>
      </c>
      <c r="H8834" s="1">
        <v>-6.5440419999999901E-6</v>
      </c>
      <c r="I8834">
        <v>-55.908949999999997</v>
      </c>
      <c r="J8834">
        <v>-299.35680000000002</v>
      </c>
      <c r="K8834">
        <v>1.132593</v>
      </c>
      <c r="L8834">
        <v>-47.871029999999998</v>
      </c>
      <c r="M8834">
        <v>0.44945040000000003</v>
      </c>
      <c r="N8834">
        <v>-1.353032E-2</v>
      </c>
      <c r="O8834">
        <v>-0.89320279999999996</v>
      </c>
      <c r="P8834">
        <v>0.7666096</v>
      </c>
      <c r="Q8834">
        <v>8.5794510000000004E-2</v>
      </c>
      <c r="R8834">
        <v>-0.63635609999999998</v>
      </c>
      <c r="S8834">
        <v>2.915375</v>
      </c>
      <c r="T8834">
        <v>-0.17228669999999999</v>
      </c>
      <c r="U8834">
        <v>-1.255798</v>
      </c>
      <c r="V8834">
        <v>-0.40135389999999999</v>
      </c>
      <c r="W8834">
        <v>8.6943690000000004E-2</v>
      </c>
      <c r="X8834">
        <v>0.91178720000000002</v>
      </c>
      <c r="Y8834">
        <v>-0.64129199999999997</v>
      </c>
      <c r="Z8834">
        <v>4.740424E-2</v>
      </c>
      <c r="AA8834">
        <v>0.76583120000000005</v>
      </c>
      <c r="AB8834">
        <v>25</v>
      </c>
      <c r="AC8834">
        <v>19.037199999999999</v>
      </c>
      <c r="AD8834">
        <v>-1.132599544042</v>
      </c>
      <c r="AE8834">
        <v>-8.0379199999999997</v>
      </c>
      <c r="AF8834">
        <v>-13.3525489238602</v>
      </c>
      <c r="AG8834">
        <v>-1.132599544042</v>
      </c>
      <c r="AH8834">
        <v>15.6900774339842</v>
      </c>
      <c r="AI8834">
        <v>93.146582033824799</v>
      </c>
      <c r="AJ8834">
        <v>130.39840391855699</v>
      </c>
      <c r="AK8834">
        <v>20.633755702141698</v>
      </c>
      <c r="AL8834">
        <v>85.012196164901596</v>
      </c>
      <c r="AM8834">
        <v>113.75831388567001</v>
      </c>
      <c r="AN8834">
        <v>1.0000000281799299</v>
      </c>
    </row>
    <row r="8835" spans="1:40" x14ac:dyDescent="0.25">
      <c r="A8835" t="str">
        <f>"20190303162125100"</f>
        <v>20190303162125100</v>
      </c>
      <c r="B8835" t="str">
        <f>"1551601285091744"</f>
        <v>1551601285091744</v>
      </c>
      <c r="C8835" t="s">
        <v>40</v>
      </c>
      <c r="D8835">
        <v>4.9199000000000002</v>
      </c>
      <c r="E8835">
        <v>0.38193660000000001</v>
      </c>
      <c r="F8835" t="s">
        <v>62</v>
      </c>
      <c r="G8835">
        <v>-281.55110000000002</v>
      </c>
      <c r="H8835" s="1">
        <v>-6.2117449999999999E-6</v>
      </c>
      <c r="I8835">
        <v>-55.198250000000002</v>
      </c>
      <c r="J8835">
        <v>-299.23360000000002</v>
      </c>
      <c r="K8835">
        <v>1.132754</v>
      </c>
      <c r="L8835">
        <v>-48.07544</v>
      </c>
      <c r="M8835">
        <v>0.46454230000000002</v>
      </c>
      <c r="N8835">
        <v>-1.361267E-2</v>
      </c>
      <c r="O8835">
        <v>-0.88544650000000003</v>
      </c>
      <c r="P8835">
        <v>0.77891560000000004</v>
      </c>
      <c r="Q8835">
        <v>8.2961560000000004E-2</v>
      </c>
      <c r="R8835">
        <v>-0.62161730000000004</v>
      </c>
      <c r="S8835">
        <v>2.9324949999999999</v>
      </c>
      <c r="T8835">
        <v>-0.18653349999999999</v>
      </c>
      <c r="U8835">
        <v>-1.2067570000000001</v>
      </c>
      <c r="V8835">
        <v>-0.40350419999999998</v>
      </c>
      <c r="W8835">
        <v>8.3948700000000001E-2</v>
      </c>
      <c r="X8835">
        <v>0.91111850000000005</v>
      </c>
      <c r="Y8835">
        <v>-0.64054609999999901</v>
      </c>
      <c r="Z8835">
        <v>5.216291E-2</v>
      </c>
      <c r="AA8835">
        <v>0.76614599999999999</v>
      </c>
      <c r="AB8835">
        <v>25</v>
      </c>
      <c r="AC8835">
        <v>17.682500000000001</v>
      </c>
      <c r="AD8835">
        <v>-1.132760211745</v>
      </c>
      <c r="AE8835">
        <v>-7.1228100000000003</v>
      </c>
      <c r="AF8835">
        <v>-12.3057529029993</v>
      </c>
      <c r="AG8835">
        <v>-1.132760211745</v>
      </c>
      <c r="AH8835">
        <v>14.4713824803333</v>
      </c>
      <c r="AI8835">
        <v>93.4125718662292</v>
      </c>
      <c r="AJ8835">
        <v>130.37620610191999</v>
      </c>
      <c r="AK8835">
        <v>19.029861037303601</v>
      </c>
      <c r="AL8835">
        <v>85.184426126001995</v>
      </c>
      <c r="AM8835">
        <v>113.886965952099</v>
      </c>
      <c r="AN8835">
        <v>0.99999997234578897</v>
      </c>
    </row>
    <row r="8836" spans="1:40" x14ac:dyDescent="0.25">
      <c r="A8836" t="str">
        <f>"20190303162125122"</f>
        <v>20190303162125122</v>
      </c>
      <c r="B8836" t="str">
        <f>"1551601285111264"</f>
        <v>1551601285111264</v>
      </c>
      <c r="C8836" t="s">
        <v>40</v>
      </c>
      <c r="D8836">
        <v>4.9207970000000003</v>
      </c>
      <c r="E8836">
        <v>0.38244010000000001</v>
      </c>
      <c r="F8836" t="s">
        <v>62</v>
      </c>
      <c r="G8836">
        <v>-282.11239999999998</v>
      </c>
      <c r="H8836" s="1">
        <v>-6.0697459999999997E-6</v>
      </c>
      <c r="I8836">
        <v>-54.7904699999999</v>
      </c>
      <c r="J8836">
        <v>-299.10219999999998</v>
      </c>
      <c r="K8836">
        <v>1.132871</v>
      </c>
      <c r="L8836">
        <v>-48.284730000000003</v>
      </c>
      <c r="M8836">
        <v>0.48020279999999999</v>
      </c>
      <c r="N8836">
        <v>-1.368722E-2</v>
      </c>
      <c r="O8836">
        <v>-0.87705069999999996</v>
      </c>
      <c r="P8836">
        <v>0.78990550000000004</v>
      </c>
      <c r="Q8836">
        <v>8.1408540000000001E-2</v>
      </c>
      <c r="R8836">
        <v>-0.60780089999999998</v>
      </c>
      <c r="S8836">
        <v>2.9491580000000002</v>
      </c>
      <c r="T8836">
        <v>-0.19512009999999999</v>
      </c>
      <c r="U8836">
        <v>-1.156677</v>
      </c>
      <c r="V8836">
        <v>-0.4034894</v>
      </c>
      <c r="W8836">
        <v>8.2331180000000004E-2</v>
      </c>
      <c r="X8836">
        <v>0.91127270000000005</v>
      </c>
      <c r="Y8836">
        <v>-0.63948389999999999</v>
      </c>
      <c r="Z8836">
        <v>5.5016910000000002E-2</v>
      </c>
      <c r="AA8836">
        <v>0.7668334</v>
      </c>
      <c r="AB8836">
        <v>25</v>
      </c>
      <c r="AC8836">
        <v>16.989799999999999</v>
      </c>
      <c r="AD8836">
        <v>-1.132877069746</v>
      </c>
      <c r="AE8836">
        <v>-6.5057399999999896</v>
      </c>
      <c r="AF8836">
        <v>-11.732450596918699</v>
      </c>
      <c r="AG8836">
        <v>-1.132877069746</v>
      </c>
      <c r="AH8836">
        <v>13.812153779490499</v>
      </c>
      <c r="AI8836">
        <v>93.577024459734702</v>
      </c>
      <c r="AJ8836">
        <v>130.34555392232201</v>
      </c>
      <c r="AK8836">
        <v>18.157901847201099</v>
      </c>
      <c r="AL8836">
        <v>85.277425437985798</v>
      </c>
      <c r="AM8836">
        <v>113.882598186767</v>
      </c>
      <c r="AN8836">
        <v>1.0000000264389199</v>
      </c>
    </row>
    <row r="8837" spans="1:40" x14ac:dyDescent="0.25">
      <c r="A8837" t="str">
        <f>"20190303162125147"</f>
        <v>20190303162125147</v>
      </c>
      <c r="B8837" t="str">
        <f>"1551601285141521"</f>
        <v>1551601285141521</v>
      </c>
      <c r="C8837" t="s">
        <v>40</v>
      </c>
      <c r="D8837">
        <v>4.9982730000000002</v>
      </c>
      <c r="E8837">
        <v>0.39578099999999999</v>
      </c>
      <c r="F8837" t="s">
        <v>62</v>
      </c>
      <c r="G8837">
        <v>-282.0367</v>
      </c>
      <c r="H8837" s="1">
        <v>-6.1114350000000004E-6</v>
      </c>
      <c r="I8837">
        <v>-54.644959999999998</v>
      </c>
      <c r="J8837">
        <v>-298.96210000000002</v>
      </c>
      <c r="K8837">
        <v>1.132946</v>
      </c>
      <c r="L8837">
        <v>-48.498750000000001</v>
      </c>
      <c r="M8837">
        <v>0.49639</v>
      </c>
      <c r="N8837">
        <v>-1.375037E-2</v>
      </c>
      <c r="O8837">
        <v>-0.86799099999999996</v>
      </c>
      <c r="P8837">
        <v>0.80116019999999999</v>
      </c>
      <c r="Q8837">
        <v>7.9131660000000006E-2</v>
      </c>
      <c r="R8837">
        <v>-0.59319569999999999</v>
      </c>
      <c r="S8837">
        <v>2.967285</v>
      </c>
      <c r="T8837">
        <v>-0.19698080000000001</v>
      </c>
      <c r="U8837">
        <v>-1.105896</v>
      </c>
      <c r="V8837">
        <v>-0.40346860000000001</v>
      </c>
      <c r="W8837">
        <v>8.0019489999999999E-2</v>
      </c>
      <c r="X8837">
        <v>0.91148779999999996</v>
      </c>
      <c r="Y8837">
        <v>-0.63825189999999998</v>
      </c>
      <c r="Z8837">
        <v>5.5585349999999999E-2</v>
      </c>
      <c r="AA8837">
        <v>0.76781820000000001</v>
      </c>
      <c r="AB8837">
        <v>25</v>
      </c>
      <c r="AC8837">
        <v>16.9254</v>
      </c>
      <c r="AD8837">
        <v>-1.1329521114350001</v>
      </c>
      <c r="AE8837">
        <v>-6.1462099999999902</v>
      </c>
      <c r="AF8837">
        <v>-11.5953731640765</v>
      </c>
      <c r="AG8837">
        <v>-1.1329521114350001</v>
      </c>
      <c r="AH8837">
        <v>13.6835809093254</v>
      </c>
      <c r="AI8837">
        <v>93.614404126119496</v>
      </c>
      <c r="AJ8837">
        <v>130.277713959316</v>
      </c>
      <c r="AK8837">
        <v>17.971551012726898</v>
      </c>
      <c r="AL8837">
        <v>85.410314068799096</v>
      </c>
      <c r="AM8837">
        <v>113.87649924558799</v>
      </c>
      <c r="AN8837">
        <v>1.00000001975732</v>
      </c>
    </row>
    <row r="8838" spans="1:40" x14ac:dyDescent="0.25">
      <c r="A8838" t="str">
        <f>"20190303162125167"</f>
        <v>20190303162125167</v>
      </c>
      <c r="B8838" t="str">
        <f>"1551601285162016"</f>
        <v>1551601285162016</v>
      </c>
      <c r="C8838" t="s">
        <v>40</v>
      </c>
      <c r="D8838">
        <v>4.8951409999999997</v>
      </c>
      <c r="E8838">
        <v>0.39516699999999999</v>
      </c>
      <c r="F8838" t="s">
        <v>62</v>
      </c>
      <c r="G8838">
        <v>-282.2081</v>
      </c>
      <c r="H8838" s="1">
        <v>-6.0144850000000004E-6</v>
      </c>
      <c r="I8838">
        <v>-54.996729999999999</v>
      </c>
      <c r="J8838">
        <v>-298.83049999999997</v>
      </c>
      <c r="K8838">
        <v>1.132962</v>
      </c>
      <c r="L8838">
        <v>-48.691769999999998</v>
      </c>
      <c r="M8838">
        <v>0.51110710000000004</v>
      </c>
      <c r="N8838">
        <v>-1.3795139999999999E-2</v>
      </c>
      <c r="O8838">
        <v>-0.85940629999999996</v>
      </c>
      <c r="P8838">
        <v>0.81251839999999997</v>
      </c>
      <c r="Q8838">
        <v>7.5631370000000003E-2</v>
      </c>
      <c r="R8838">
        <v>-0.57800839999999998</v>
      </c>
      <c r="S8838">
        <v>2.9243160000000001</v>
      </c>
      <c r="T8838">
        <v>-0.19775039999999999</v>
      </c>
      <c r="U8838">
        <v>-1.1341859999999999</v>
      </c>
      <c r="V8838">
        <v>-0.4052925</v>
      </c>
      <c r="W8838">
        <v>7.645275E-2</v>
      </c>
      <c r="X8838">
        <v>0.91098460000000003</v>
      </c>
      <c r="Y8838">
        <v>-0.61468269999999903</v>
      </c>
      <c r="Z8838">
        <v>5.5751229999999999E-2</v>
      </c>
      <c r="AA8838">
        <v>0.7868018</v>
      </c>
      <c r="AB8838">
        <v>25</v>
      </c>
      <c r="AC8838">
        <v>16.622399999999899</v>
      </c>
      <c r="AD8838">
        <v>-1.1329680144850001</v>
      </c>
      <c r="AE8838">
        <v>-6.3049600000000003</v>
      </c>
      <c r="AF8838">
        <v>-11.019185729148299</v>
      </c>
      <c r="AG8838">
        <v>-1.1329680144850001</v>
      </c>
      <c r="AH8838">
        <v>13.859385648902</v>
      </c>
      <c r="AI8838">
        <v>93.661224432295299</v>
      </c>
      <c r="AJ8838">
        <v>128.487166951093</v>
      </c>
      <c r="AK8838">
        <v>17.7422839910848</v>
      </c>
      <c r="AL8838">
        <v>85.615301498771103</v>
      </c>
      <c r="AM8838">
        <v>113.98404250332899</v>
      </c>
      <c r="AN8838">
        <v>0.99999998748798602</v>
      </c>
    </row>
    <row r="8839" spans="1:40" x14ac:dyDescent="0.25">
      <c r="A8839" t="str">
        <f>"20190303162125190"</f>
        <v>20190303162125190</v>
      </c>
      <c r="B8839" t="str">
        <f>"1551601285181536"</f>
        <v>1551601285181536</v>
      </c>
      <c r="C8839" t="s">
        <v>40</v>
      </c>
      <c r="D8839">
        <v>4.9151049999999996</v>
      </c>
      <c r="E8839">
        <v>0.3682378</v>
      </c>
      <c r="F8839" t="s">
        <v>62</v>
      </c>
      <c r="G8839">
        <v>-282.7801</v>
      </c>
      <c r="H8839" s="1">
        <v>-5.8747519999999996E-6</v>
      </c>
      <c r="I8839">
        <v>-54.536720000000003</v>
      </c>
      <c r="J8839">
        <v>-298.69099999999997</v>
      </c>
      <c r="K8839">
        <v>1.1329499999999999</v>
      </c>
      <c r="L8839">
        <v>-48.888820000000003</v>
      </c>
      <c r="M8839">
        <v>0.5262019</v>
      </c>
      <c r="N8839">
        <v>-1.3829920000000001E-2</v>
      </c>
      <c r="O8839">
        <v>-0.85024730000000004</v>
      </c>
      <c r="P8839">
        <v>0.82389679999999998</v>
      </c>
      <c r="Q8839">
        <v>7.1518960000000006E-2</v>
      </c>
      <c r="R8839">
        <v>-0.56220950000000003</v>
      </c>
      <c r="S8839">
        <v>2.9479060000000001</v>
      </c>
      <c r="T8839">
        <v>-0.2080873</v>
      </c>
      <c r="U8839">
        <v>-1.0735170000000001</v>
      </c>
      <c r="V8839">
        <v>-0.40699730000000001</v>
      </c>
      <c r="W8839">
        <v>7.2297689999999998E-2</v>
      </c>
      <c r="X8839">
        <v>0.91056369999999998</v>
      </c>
      <c r="Y8839">
        <v>-0.61687789999999998</v>
      </c>
      <c r="Z8839">
        <v>5.9112419999999999E-2</v>
      </c>
      <c r="AA8839">
        <v>0.78483590000000003</v>
      </c>
      <c r="AB8839">
        <v>25</v>
      </c>
      <c r="AC8839">
        <v>15.9108999999999</v>
      </c>
      <c r="AD8839">
        <v>-1.1329558747520001</v>
      </c>
      <c r="AE8839">
        <v>-5.6478999999999902</v>
      </c>
      <c r="AF8839">
        <v>-10.5099470903402</v>
      </c>
      <c r="AG8839">
        <v>-1.1329558747520001</v>
      </c>
      <c r="AH8839">
        <v>13.1166529120192</v>
      </c>
      <c r="AI8839">
        <v>93.856254242654501</v>
      </c>
      <c r="AJ8839">
        <v>128.70406124681199</v>
      </c>
      <c r="AK8839">
        <v>16.846042872742199</v>
      </c>
      <c r="AL8839">
        <v>85.8540303515571</v>
      </c>
      <c r="AM8839">
        <v>114.08334928233</v>
      </c>
      <c r="AN8839">
        <v>1.00000000497215</v>
      </c>
    </row>
    <row r="8840" spans="1:40" x14ac:dyDescent="0.25">
      <c r="A8840" t="str">
        <f>"20190303162125211"</f>
        <v>20190303162125211</v>
      </c>
      <c r="B8840" t="str">
        <f>"1551601285202031"</f>
        <v>1551601285202031</v>
      </c>
      <c r="C8840" t="s">
        <v>40</v>
      </c>
      <c r="D8840">
        <v>4.9153890000000002</v>
      </c>
      <c r="E8840">
        <v>0.32531110000000002</v>
      </c>
      <c r="F8840" t="s">
        <v>62</v>
      </c>
      <c r="G8840">
        <v>-284.06369999999998</v>
      </c>
      <c r="H8840" s="1">
        <v>-5.5886710000000002E-6</v>
      </c>
      <c r="I8840">
        <v>-52.859659999999998</v>
      </c>
      <c r="J8840">
        <v>-298.54989999999998</v>
      </c>
      <c r="K8840">
        <v>1.1329209999999901</v>
      </c>
      <c r="L8840">
        <v>-49.081119999999999</v>
      </c>
      <c r="M8840">
        <v>0.54095890000000002</v>
      </c>
      <c r="N8840">
        <v>-1.3853910000000001E-2</v>
      </c>
      <c r="O8840">
        <v>-0.84093510000000005</v>
      </c>
      <c r="P8840">
        <v>0.83336939999999904</v>
      </c>
      <c r="Q8840">
        <v>7.0384290000000002E-2</v>
      </c>
      <c r="R8840">
        <v>-0.54821660000000005</v>
      </c>
      <c r="S8840">
        <v>3.0896910000000002</v>
      </c>
      <c r="T8840">
        <v>-0.2393103</v>
      </c>
      <c r="U8840">
        <v>-0.83874509999999902</v>
      </c>
      <c r="V8840">
        <v>-0.40653010000000001</v>
      </c>
      <c r="W8840">
        <v>7.1212360000000002E-2</v>
      </c>
      <c r="X8840">
        <v>0.9108579</v>
      </c>
      <c r="Y8840">
        <v>-0.66706140000000003</v>
      </c>
      <c r="Z8840">
        <v>6.9418530000000006E-2</v>
      </c>
      <c r="AA8840">
        <v>0.74176140000000002</v>
      </c>
      <c r="AB8840">
        <v>25</v>
      </c>
      <c r="AC8840">
        <v>14.486199999999901</v>
      </c>
      <c r="AD8840">
        <v>-1.1329265886709901</v>
      </c>
      <c r="AE8840">
        <v>-3.77854</v>
      </c>
      <c r="AF8840">
        <v>-10.0811583549731</v>
      </c>
      <c r="AG8840">
        <v>-1.1329265886709901</v>
      </c>
      <c r="AH8840">
        <v>10.952280126375699</v>
      </c>
      <c r="AI8840">
        <v>94.352316953909707</v>
      </c>
      <c r="AJ8840">
        <v>132.628390967895</v>
      </c>
      <c r="AK8840">
        <v>14.9286876985208</v>
      </c>
      <c r="AL8840">
        <v>85.916375945859699</v>
      </c>
      <c r="AM8840">
        <v>114.051952595955</v>
      </c>
      <c r="AN8840">
        <v>1.0000000182075901</v>
      </c>
    </row>
    <row r="8841" spans="1:40" x14ac:dyDescent="0.25">
      <c r="A8841" t="str">
        <f>"20190303162125234"</f>
        <v>20190303162125234</v>
      </c>
      <c r="B8841" t="str">
        <f>"1551601285231312"</f>
        <v>1551601285231312</v>
      </c>
      <c r="C8841" t="s">
        <v>40</v>
      </c>
      <c r="D8841">
        <v>4.9393320000000003</v>
      </c>
      <c r="E8841">
        <v>0.31627460000000002</v>
      </c>
      <c r="F8841" t="s">
        <v>62</v>
      </c>
      <c r="G8841">
        <v>-287.55790000000002</v>
      </c>
      <c r="H8841" s="1">
        <v>-4.2374019999999999E-6</v>
      </c>
      <c r="I8841">
        <v>-50.760640000000002</v>
      </c>
      <c r="J8841">
        <v>-298.40120000000002</v>
      </c>
      <c r="K8841">
        <v>1.1328800000000001</v>
      </c>
      <c r="L8841">
        <v>-49.276519999999998</v>
      </c>
      <c r="M8841">
        <v>0.555944199999999</v>
      </c>
      <c r="N8841">
        <v>-1.3868139999999999E-2</v>
      </c>
      <c r="O8841">
        <v>-0.83110390000000001</v>
      </c>
      <c r="P8841">
        <v>0.84183339999999995</v>
      </c>
      <c r="Q8841">
        <v>7.2915389999999997E-2</v>
      </c>
      <c r="R8841">
        <v>-0.53478939999999997</v>
      </c>
      <c r="S8841">
        <v>3.2971499999999998</v>
      </c>
      <c r="T8841">
        <v>-0.33982990000000002</v>
      </c>
      <c r="U8841">
        <v>-0.50378420000000002</v>
      </c>
      <c r="V8841">
        <v>-0.40468969999999999</v>
      </c>
      <c r="W8841">
        <v>7.3854210000000003E-2</v>
      </c>
      <c r="X8841">
        <v>0.91146680000000002</v>
      </c>
      <c r="Y8841">
        <v>-0.73170239999999998</v>
      </c>
      <c r="Z8841">
        <v>0.1008913</v>
      </c>
      <c r="AA8841">
        <v>0.6741161</v>
      </c>
      <c r="AB8841">
        <v>25</v>
      </c>
      <c r="AC8841">
        <v>10.843299999999999</v>
      </c>
      <c r="AD8841">
        <v>-1.1328842374019901</v>
      </c>
      <c r="AE8841">
        <v>-1.4841200000000001</v>
      </c>
      <c r="AF8841">
        <v>-8.1008092522849999</v>
      </c>
      <c r="AG8841">
        <v>-1.1328842374019901</v>
      </c>
      <c r="AH8841">
        <v>7.1854350493057799</v>
      </c>
      <c r="AI8841">
        <v>95.972662925307105</v>
      </c>
      <c r="AJ8841">
        <v>138.42690607084</v>
      </c>
      <c r="AK8841">
        <v>10.887470509032401</v>
      </c>
      <c r="AL8841">
        <v>85.764609057925298</v>
      </c>
      <c r="AM8841">
        <v>113.941139181488</v>
      </c>
      <c r="AN8841">
        <v>0.99999996256152601</v>
      </c>
    </row>
    <row r="8842" spans="1:40" x14ac:dyDescent="0.25">
      <c r="A8842" t="str">
        <f>"20190303162125257"</f>
        <v>20190303162125257</v>
      </c>
      <c r="B8842" t="str">
        <f>"1551601285251807"</f>
        <v>1551601285251807</v>
      </c>
      <c r="C8842" t="s">
        <v>40</v>
      </c>
      <c r="D8842">
        <v>4.9582930000000003</v>
      </c>
      <c r="E8842">
        <v>0.31700869999999998</v>
      </c>
      <c r="F8842" t="s">
        <v>62</v>
      </c>
      <c r="G8842">
        <v>-287.52379999999999</v>
      </c>
      <c r="H8842" s="1">
        <v>-4.2924209999999997E-6</v>
      </c>
      <c r="I8842">
        <v>-50.547789999999999</v>
      </c>
      <c r="J8842">
        <v>-298.24689999999998</v>
      </c>
      <c r="K8842">
        <v>1.1328309999999999</v>
      </c>
      <c r="L8842">
        <v>-49.472110000000001</v>
      </c>
      <c r="M8842">
        <v>0.57089919999999905</v>
      </c>
      <c r="N8842">
        <v>-1.387176E-2</v>
      </c>
      <c r="O8842">
        <v>-0.82090300000000005</v>
      </c>
      <c r="P8842">
        <v>0.84949249999999898</v>
      </c>
      <c r="Q8842">
        <v>7.6047939999999994E-2</v>
      </c>
      <c r="R8842">
        <v>-0.52209119999999998</v>
      </c>
      <c r="S8842">
        <v>3.3454280000000001</v>
      </c>
      <c r="T8842">
        <v>-0.34842859999999998</v>
      </c>
      <c r="U8842">
        <v>-0.39099119999999998</v>
      </c>
      <c r="V8842">
        <v>-0.4017231</v>
      </c>
      <c r="W8842">
        <v>7.7147350000000003E-2</v>
      </c>
      <c r="X8842">
        <v>0.91250580000000003</v>
      </c>
      <c r="Y8842">
        <v>-0.74285730000000005</v>
      </c>
      <c r="Z8842">
        <v>0.1030804</v>
      </c>
      <c r="AA8842">
        <v>0.66146609999999995</v>
      </c>
      <c r="AB8842">
        <v>25</v>
      </c>
      <c r="AC8842">
        <v>10.723099999999899</v>
      </c>
      <c r="AD8842">
        <v>-1.1328352924209999</v>
      </c>
      <c r="AE8842">
        <v>-1.07567999999999</v>
      </c>
      <c r="AF8842">
        <v>-8.0998086280881996</v>
      </c>
      <c r="AG8842">
        <v>-1.1328352924209999</v>
      </c>
      <c r="AH8842">
        <v>6.9289502551158799</v>
      </c>
      <c r="AI8842">
        <v>96.066526257188997</v>
      </c>
      <c r="AJ8842">
        <v>139.45479285640701</v>
      </c>
      <c r="AK8842">
        <v>10.7191682162972</v>
      </c>
      <c r="AL8842">
        <v>85.575386009453695</v>
      </c>
      <c r="AM8842">
        <v>113.761095417734</v>
      </c>
      <c r="AN8842">
        <v>0.99999999885963597</v>
      </c>
    </row>
    <row r="8843" spans="1:40" x14ac:dyDescent="0.25">
      <c r="A8843" t="str">
        <f>"20190303162125278"</f>
        <v>20190303162125278</v>
      </c>
      <c r="B8843" t="str">
        <f>"1551601285271328"</f>
        <v>1551601285271328</v>
      </c>
      <c r="C8843" t="s">
        <v>40</v>
      </c>
      <c r="D8843">
        <v>4.9346680000000003</v>
      </c>
      <c r="E8843">
        <v>0.31835799999999997</v>
      </c>
      <c r="F8843" t="s">
        <v>62</v>
      </c>
      <c r="G8843">
        <v>-286.8571</v>
      </c>
      <c r="H8843" s="1">
        <v>-4.6096680000000001E-6</v>
      </c>
      <c r="I8843">
        <v>-50.650530000000003</v>
      </c>
      <c r="J8843">
        <v>-298.09910000000002</v>
      </c>
      <c r="K8843">
        <v>1.1327609999999999</v>
      </c>
      <c r="L8843">
        <v>-49.653230000000001</v>
      </c>
      <c r="M8843">
        <v>0.58466830000000003</v>
      </c>
      <c r="N8843">
        <v>-1.386532E-2</v>
      </c>
      <c r="O8843">
        <v>-0.81115429999999999</v>
      </c>
      <c r="P8843">
        <v>0.85654209999999997</v>
      </c>
      <c r="Q8843">
        <v>7.817731E-2</v>
      </c>
      <c r="R8843">
        <v>-0.51012209999999902</v>
      </c>
      <c r="S8843">
        <v>3.3484189999999998</v>
      </c>
      <c r="T8843">
        <v>-0.33303369999999999</v>
      </c>
      <c r="U8843">
        <v>-0.34643550000000001</v>
      </c>
      <c r="V8843">
        <v>-0.39901769999999998</v>
      </c>
      <c r="W8843">
        <v>7.9432470000000005E-2</v>
      </c>
      <c r="X8843">
        <v>0.91349630000000004</v>
      </c>
      <c r="Y8843">
        <v>-0.74098229999999998</v>
      </c>
      <c r="Z8843">
        <v>9.8023849999999996E-2</v>
      </c>
      <c r="AA8843">
        <v>0.66433169999999897</v>
      </c>
      <c r="AB8843">
        <v>25</v>
      </c>
      <c r="AC8843">
        <v>11.242000000000001</v>
      </c>
      <c r="AD8843">
        <v>-1.1327656096680001</v>
      </c>
      <c r="AE8843">
        <v>-0.99729999999999497</v>
      </c>
      <c r="AF8843">
        <v>-8.4515864979357396</v>
      </c>
      <c r="AG8843">
        <v>-1.1327656096680001</v>
      </c>
      <c r="AH8843">
        <v>7.3088853547680301</v>
      </c>
      <c r="AI8843">
        <v>95.788801877296393</v>
      </c>
      <c r="AJ8843">
        <v>139.146930885552</v>
      </c>
      <c r="AK8843">
        <v>11.230862717871601</v>
      </c>
      <c r="AL8843">
        <v>85.444055453266301</v>
      </c>
      <c r="AM8843">
        <v>113.595837991284</v>
      </c>
      <c r="AN8843">
        <v>1.0000000661586299</v>
      </c>
    </row>
    <row r="8844" spans="1:40" x14ac:dyDescent="0.25">
      <c r="A8844" t="str">
        <f>"20190303162125301"</f>
        <v>20190303162125301</v>
      </c>
      <c r="B8844" t="str">
        <f>"1551601285291823"</f>
        <v>1551601285291823</v>
      </c>
      <c r="C8844" t="s">
        <v>40</v>
      </c>
      <c r="D8844">
        <v>4.9631780000000001</v>
      </c>
      <c r="E8844">
        <v>0.31983889999999998</v>
      </c>
      <c r="F8844" t="s">
        <v>62</v>
      </c>
      <c r="G8844">
        <v>-286.37110000000001</v>
      </c>
      <c r="H8844" s="1">
        <v>-4.8389789999999998E-6</v>
      </c>
      <c r="I8844">
        <v>-50.736199999999997</v>
      </c>
      <c r="J8844">
        <v>-297.94049999999999</v>
      </c>
      <c r="K8844">
        <v>1.132665</v>
      </c>
      <c r="L8844">
        <v>-49.841030000000003</v>
      </c>
      <c r="M8844">
        <v>0.59884399999999904</v>
      </c>
      <c r="N8844">
        <v>-1.384911E-2</v>
      </c>
      <c r="O8844">
        <v>-0.80074579999999995</v>
      </c>
      <c r="P8844">
        <v>0.8632379</v>
      </c>
      <c r="Q8844">
        <v>8.0329189999999995E-2</v>
      </c>
      <c r="R8844">
        <v>-0.4983648</v>
      </c>
      <c r="S8844">
        <v>3.347839</v>
      </c>
      <c r="T8844">
        <v>-0.32335599999999998</v>
      </c>
      <c r="U8844">
        <v>-0.309143099999999</v>
      </c>
      <c r="V8844">
        <v>-0.39531840000000001</v>
      </c>
      <c r="W8844">
        <v>8.178465E-2</v>
      </c>
      <c r="X8844">
        <v>0.91489600000000004</v>
      </c>
      <c r="Y8844">
        <v>-0.73690990000000001</v>
      </c>
      <c r="Z8844">
        <v>9.4705380000000006E-2</v>
      </c>
      <c r="AA8844">
        <v>0.66932400000000003</v>
      </c>
      <c r="AB8844">
        <v>25</v>
      </c>
      <c r="AC8844">
        <v>11.5693999999999</v>
      </c>
      <c r="AD8844">
        <v>-1.132669838979</v>
      </c>
      <c r="AE8844">
        <v>-0.89517000000000002</v>
      </c>
      <c r="AF8844">
        <v>-8.6465369147677702</v>
      </c>
      <c r="AG8844">
        <v>-1.132669838979</v>
      </c>
      <c r="AH8844">
        <v>7.5736433501849199</v>
      </c>
      <c r="AI8844">
        <v>95.627784663621796</v>
      </c>
      <c r="AJ8844">
        <v>138.784351020683</v>
      </c>
      <c r="AK8844">
        <v>11.550134855419399</v>
      </c>
      <c r="AL8844">
        <v>85.308845271406994</v>
      </c>
      <c r="AM8844">
        <v>113.368742061974</v>
      </c>
      <c r="AN8844">
        <v>1.0000000285850901</v>
      </c>
    </row>
    <row r="8845" spans="1:40" x14ac:dyDescent="0.25">
      <c r="A8845" t="str">
        <f>"20190303162125324"</f>
        <v>20190303162125324</v>
      </c>
      <c r="B8845" t="str">
        <f>"1551601285311343"</f>
        <v>1551601285311343</v>
      </c>
      <c r="C8845" t="s">
        <v>40</v>
      </c>
      <c r="D8845">
        <v>4.9163079999999999</v>
      </c>
      <c r="E8845">
        <v>0.32121430000000001</v>
      </c>
      <c r="F8845" t="s">
        <v>62</v>
      </c>
      <c r="G8845">
        <v>-285.90539999999999</v>
      </c>
      <c r="H8845" s="1">
        <v>-5.0574269999999997E-6</v>
      </c>
      <c r="I8845">
        <v>-50.825470000000003</v>
      </c>
      <c r="J8845">
        <v>-297.77730000000003</v>
      </c>
      <c r="K8845">
        <v>1.1325540000000001</v>
      </c>
      <c r="L8845">
        <v>-50.028019999999998</v>
      </c>
      <c r="M8845">
        <v>0.61281969999999997</v>
      </c>
      <c r="N8845">
        <v>-1.382368E-2</v>
      </c>
      <c r="O8845">
        <v>-0.79010199999999997</v>
      </c>
      <c r="P8845">
        <v>0.86920390000000003</v>
      </c>
      <c r="Q8845">
        <v>8.2203509999999994E-2</v>
      </c>
      <c r="R8845">
        <v>-0.48757339999999999</v>
      </c>
      <c r="S8845">
        <v>3.346619</v>
      </c>
      <c r="T8845">
        <v>-0.31496239999999998</v>
      </c>
      <c r="U8845">
        <v>-0.27374270000000001</v>
      </c>
      <c r="V8845">
        <v>-0.39052439999999999</v>
      </c>
      <c r="W8845">
        <v>8.3903569999999997E-2</v>
      </c>
      <c r="X8845">
        <v>0.9167611</v>
      </c>
      <c r="Y8845">
        <v>-0.73239940000000003</v>
      </c>
      <c r="Z8845">
        <v>9.1758350000000002E-2</v>
      </c>
      <c r="AA8845">
        <v>0.67466400000000004</v>
      </c>
      <c r="AB8845">
        <v>25</v>
      </c>
      <c r="AC8845">
        <v>11.8719</v>
      </c>
      <c r="AD8845">
        <v>-1.1325590574269999</v>
      </c>
      <c r="AE8845">
        <v>-0.79745000000000399</v>
      </c>
      <c r="AF8845">
        <v>-8.8123281028619491</v>
      </c>
      <c r="AG8845">
        <v>-1.1325590574269999</v>
      </c>
      <c r="AH8845">
        <v>7.8351692006724303</v>
      </c>
      <c r="AI8845">
        <v>95.486211496646504</v>
      </c>
      <c r="AJ8845">
        <v>138.359238589809</v>
      </c>
      <c r="AK8845">
        <v>11.846083446194999</v>
      </c>
      <c r="AL8845">
        <v>85.187021246564399</v>
      </c>
      <c r="AM8845">
        <v>113.073167263385</v>
      </c>
      <c r="AN8845">
        <v>1.0000000152636499</v>
      </c>
    </row>
    <row r="8846" spans="1:40" x14ac:dyDescent="0.25">
      <c r="A8846" t="str">
        <f>"20190303162125346"</f>
        <v>20190303162125346</v>
      </c>
      <c r="B8846" t="str">
        <f>"1551601285341600"</f>
        <v>1551601285341600</v>
      </c>
      <c r="C8846" t="s">
        <v>40</v>
      </c>
      <c r="D8846">
        <v>4.9291960000000001</v>
      </c>
      <c r="E8846">
        <v>0.32403779999999999</v>
      </c>
      <c r="F8846" t="s">
        <v>62</v>
      </c>
      <c r="G8846">
        <v>-285.39339999999999</v>
      </c>
      <c r="H8846" s="1">
        <v>-5.2980620000000004E-6</v>
      </c>
      <c r="I8846">
        <v>-50.920909999999999</v>
      </c>
      <c r="J8846">
        <v>-297.61520000000002</v>
      </c>
      <c r="K8846">
        <v>1.132436</v>
      </c>
      <c r="L8846">
        <v>-50.207520000000002</v>
      </c>
      <c r="M8846">
        <v>0.62608799999999998</v>
      </c>
      <c r="N8846">
        <v>-1.379011E-2</v>
      </c>
      <c r="O8846">
        <v>-0.77963059999999995</v>
      </c>
      <c r="P8846">
        <v>0.87411479999999997</v>
      </c>
      <c r="Q8846">
        <v>8.2791879999999998E-2</v>
      </c>
      <c r="R8846">
        <v>-0.47861120000000001</v>
      </c>
      <c r="S8846">
        <v>3.3450319999999998</v>
      </c>
      <c r="T8846">
        <v>-0.30591699999999999</v>
      </c>
      <c r="U8846">
        <v>-0.24118039999999999</v>
      </c>
      <c r="V8846">
        <v>-0.3843857</v>
      </c>
      <c r="W8846">
        <v>8.4785899999999997E-2</v>
      </c>
      <c r="X8846">
        <v>0.9192709</v>
      </c>
      <c r="Y8846">
        <v>-0.72776249999999998</v>
      </c>
      <c r="Z8846">
        <v>8.8595510000000002E-2</v>
      </c>
      <c r="AA8846">
        <v>0.68008290000000005</v>
      </c>
      <c r="AB8846">
        <v>25</v>
      </c>
      <c r="AC8846">
        <v>12.2218</v>
      </c>
      <c r="AD8846">
        <v>-1.132441298062</v>
      </c>
      <c r="AE8846">
        <v>-0.71338999999999597</v>
      </c>
      <c r="AF8846">
        <v>-9.0056523043435597</v>
      </c>
      <c r="AG8846">
        <v>-1.132441298062</v>
      </c>
      <c r="AH8846">
        <v>8.1392411922907897</v>
      </c>
      <c r="AI8846">
        <v>95.329782650925594</v>
      </c>
      <c r="AJ8846">
        <v>137.892960937982</v>
      </c>
      <c r="AK8846">
        <v>12.191449622853201</v>
      </c>
      <c r="AL8846">
        <v>85.136286607055396</v>
      </c>
      <c r="AM8846">
        <v>112.691849228812</v>
      </c>
      <c r="AN8846">
        <v>1.0000000013950501</v>
      </c>
    </row>
    <row r="8847" spans="1:40" x14ac:dyDescent="0.25">
      <c r="A8847" t="str">
        <f>"20190303162125367"</f>
        <v>20190303162125367</v>
      </c>
      <c r="B8847" t="str">
        <f>"1551601285361120"</f>
        <v>1551601285361120</v>
      </c>
      <c r="C8847" t="s">
        <v>40</v>
      </c>
      <c r="D8847">
        <v>4.8721949999999996</v>
      </c>
      <c r="E8847">
        <v>0.32491759999999997</v>
      </c>
      <c r="F8847" t="s">
        <v>62</v>
      </c>
      <c r="G8847">
        <v>-284.77170000000001</v>
      </c>
      <c r="H8847" s="1">
        <v>-5.5768249999999998E-6</v>
      </c>
      <c r="I8847">
        <v>-51.073480000000004</v>
      </c>
      <c r="J8847">
        <v>-297.44959999999998</v>
      </c>
      <c r="K8847">
        <v>1.1322920000000001</v>
      </c>
      <c r="L8847">
        <v>-50.384889999999999</v>
      </c>
      <c r="M8847">
        <v>0.63902780000000003</v>
      </c>
      <c r="N8847">
        <v>-1.374886E-2</v>
      </c>
      <c r="O8847">
        <v>-0.76906090000000005</v>
      </c>
      <c r="P8847">
        <v>0.87889629999999996</v>
      </c>
      <c r="Q8847">
        <v>8.3244940000000003E-2</v>
      </c>
      <c r="R8847">
        <v>-0.46969309999999997</v>
      </c>
      <c r="S8847">
        <v>3.3367309999999999</v>
      </c>
      <c r="T8847">
        <v>-0.29420770000000002</v>
      </c>
      <c r="U8847">
        <v>-0.2249756</v>
      </c>
      <c r="V8847">
        <v>-0.3783146</v>
      </c>
      <c r="W8847">
        <v>8.5533250000000005E-2</v>
      </c>
      <c r="X8847">
        <v>0.92171700000000001</v>
      </c>
      <c r="Y8847">
        <v>-0.71987659999999998</v>
      </c>
      <c r="Z8847">
        <v>8.457278E-2</v>
      </c>
      <c r="AA8847">
        <v>0.6889305</v>
      </c>
      <c r="AB8847">
        <v>25</v>
      </c>
      <c r="AC8847">
        <v>12.6778999999999</v>
      </c>
      <c r="AD8847">
        <v>-1.1322975768250001</v>
      </c>
      <c r="AE8847">
        <v>-0.68858999999999004</v>
      </c>
      <c r="AF8847">
        <v>-9.2374597743812004</v>
      </c>
      <c r="AG8847">
        <v>-1.1322975768250001</v>
      </c>
      <c r="AH8847">
        <v>8.56380262635364</v>
      </c>
      <c r="AI8847">
        <v>95.136543624620103</v>
      </c>
      <c r="AJ8847">
        <v>137.167222806154</v>
      </c>
      <c r="AK8847">
        <v>12.647192427923899</v>
      </c>
      <c r="AL8847">
        <v>85.093310729810298</v>
      </c>
      <c r="AM8847">
        <v>112.315477968235</v>
      </c>
      <c r="AN8847">
        <v>1.00000005075886</v>
      </c>
    </row>
    <row r="8848" spans="1:40" x14ac:dyDescent="0.25">
      <c r="A8848" t="str">
        <f>"20190303162125390"</f>
        <v>20190303162125390</v>
      </c>
      <c r="B8848" t="str">
        <f>"1551601285381615"</f>
        <v>1551601285381615</v>
      </c>
      <c r="C8848" t="s">
        <v>40</v>
      </c>
      <c r="D8848">
        <v>4.8450389999999999</v>
      </c>
      <c r="E8848">
        <v>0.34168870000000001</v>
      </c>
      <c r="F8848" t="s">
        <v>62</v>
      </c>
      <c r="G8848">
        <v>-284.3682</v>
      </c>
      <c r="H8848" s="1">
        <v>-5.7235929999999997E-6</v>
      </c>
      <c r="I8848">
        <v>-51.154380000000003</v>
      </c>
      <c r="J8848">
        <v>-297.28339999999997</v>
      </c>
      <c r="K8848">
        <v>1.1321540000000001</v>
      </c>
      <c r="L8848">
        <v>-50.557369999999999</v>
      </c>
      <c r="M8848">
        <v>0.65146419999999905</v>
      </c>
      <c r="N8848">
        <v>-1.370481E-2</v>
      </c>
      <c r="O8848">
        <v>-0.7585556</v>
      </c>
      <c r="P8848">
        <v>0.88391629999999999</v>
      </c>
      <c r="Q8848">
        <v>8.3152760000000006E-2</v>
      </c>
      <c r="R8848">
        <v>-0.46019300000000002</v>
      </c>
      <c r="S8848">
        <v>3.3358460000000001</v>
      </c>
      <c r="T8848">
        <v>-0.2887441</v>
      </c>
      <c r="U8848">
        <v>-0.19622800000000001</v>
      </c>
      <c r="V8848">
        <v>-0.37320710000000001</v>
      </c>
      <c r="W8848">
        <v>8.5691450000000002E-2</v>
      </c>
      <c r="X8848">
        <v>0.92378210000000005</v>
      </c>
      <c r="Y8848">
        <v>-0.71470480000000003</v>
      </c>
      <c r="Z8848">
        <v>8.2457559999999999E-2</v>
      </c>
      <c r="AA8848">
        <v>0.69454869999999902</v>
      </c>
      <c r="AB8848">
        <v>25</v>
      </c>
      <c r="AC8848">
        <v>12.915199999999899</v>
      </c>
      <c r="AD8848">
        <v>-1.1321597235930001</v>
      </c>
      <c r="AE8848">
        <v>-0.59700999999999704</v>
      </c>
      <c r="AF8848">
        <v>-9.3372514581761692</v>
      </c>
      <c r="AG8848">
        <v>-1.1321597235930001</v>
      </c>
      <c r="AH8848">
        <v>8.8000093050044192</v>
      </c>
      <c r="AI8848">
        <v>95.0426615634683</v>
      </c>
      <c r="AJ8848">
        <v>136.69665698066299</v>
      </c>
      <c r="AK8848">
        <v>12.880458617654201</v>
      </c>
      <c r="AL8848">
        <v>85.084212719578403</v>
      </c>
      <c r="AM8848">
        <v>111.998661919357</v>
      </c>
      <c r="AN8848">
        <v>0.99999996618695997</v>
      </c>
    </row>
    <row r="8849" spans="1:40" x14ac:dyDescent="0.25">
      <c r="A8849" t="str">
        <f>"20190303162125412"</f>
        <v>20190303162125412</v>
      </c>
      <c r="B8849" t="str">
        <f>"1551601285401136"</f>
        <v>1551601285401136</v>
      </c>
      <c r="C8849" t="s">
        <v>40</v>
      </c>
      <c r="D8849">
        <v>4.8058639999999997</v>
      </c>
      <c r="E8849">
        <v>0.34291250000000001</v>
      </c>
      <c r="F8849" t="s">
        <v>62</v>
      </c>
      <c r="G8849">
        <v>-283.41539999999998</v>
      </c>
      <c r="H8849" s="1">
        <v>-5.9771779999999999E-6</v>
      </c>
      <c r="I8849">
        <v>-51.735529999999997</v>
      </c>
      <c r="J8849">
        <v>-297.1105</v>
      </c>
      <c r="K8849">
        <v>1.1320190000000001</v>
      </c>
      <c r="L8849">
        <v>-50.73151</v>
      </c>
      <c r="M8849">
        <v>0.66385669999999897</v>
      </c>
      <c r="N8849">
        <v>-1.365807E-2</v>
      </c>
      <c r="O8849">
        <v>-0.74773519999999905</v>
      </c>
      <c r="P8849">
        <v>0.88929919999999996</v>
      </c>
      <c r="Q8849">
        <v>8.394422E-2</v>
      </c>
      <c r="R8849">
        <v>-0.44955620000000002</v>
      </c>
      <c r="S8849">
        <v>3.2743229999999999</v>
      </c>
      <c r="T8849">
        <v>-0.26730910000000002</v>
      </c>
      <c r="U8849">
        <v>-0.27816770000000002</v>
      </c>
      <c r="V8849">
        <v>-0.36901859999999997</v>
      </c>
      <c r="W8849">
        <v>8.6698109999999995E-2</v>
      </c>
      <c r="X8849">
        <v>0.92536949999999996</v>
      </c>
      <c r="Y8849">
        <v>-0.68519929999999996</v>
      </c>
      <c r="Z8849">
        <v>7.5510069999999999E-2</v>
      </c>
      <c r="AA8849">
        <v>0.72443089999999999</v>
      </c>
      <c r="AB8849">
        <v>25</v>
      </c>
      <c r="AC8849">
        <v>13.6951</v>
      </c>
      <c r="AD8849">
        <v>-1.132024977178</v>
      </c>
      <c r="AE8849">
        <v>-1.0040199999999899</v>
      </c>
      <c r="AF8849">
        <v>-9.5100448015108103</v>
      </c>
      <c r="AG8849">
        <v>-1.132024977178</v>
      </c>
      <c r="AH8849">
        <v>9.7767990180188207</v>
      </c>
      <c r="AI8849">
        <v>94.744567890343106</v>
      </c>
      <c r="AJ8849">
        <v>134.20759889703399</v>
      </c>
      <c r="AK8849">
        <v>13.686059758543699</v>
      </c>
      <c r="AL8849">
        <v>85.026320057176207</v>
      </c>
      <c r="AM8849">
        <v>111.741111480002</v>
      </c>
      <c r="AN8849">
        <v>1.0000000004768901</v>
      </c>
    </row>
    <row r="8850" spans="1:40" x14ac:dyDescent="0.25">
      <c r="A8850" t="str">
        <f>"20190303162125435"</f>
        <v>20190303162125435</v>
      </c>
      <c r="B8850" t="str">
        <f>"1551601285431392"</f>
        <v>1551601285431392</v>
      </c>
      <c r="C8850" t="s">
        <v>40</v>
      </c>
      <c r="D8850">
        <v>4.8398640000000004</v>
      </c>
      <c r="E8850">
        <v>0.39485619999999999</v>
      </c>
      <c r="F8850" t="s">
        <v>62</v>
      </c>
      <c r="G8850">
        <v>-283.05919999999998</v>
      </c>
      <c r="H8850" s="1">
        <v>-6.0890719999999999E-6</v>
      </c>
      <c r="I8850">
        <v>-51.80077</v>
      </c>
      <c r="J8850">
        <v>-296.93560000000002</v>
      </c>
      <c r="K8850">
        <v>1.1318760000000001</v>
      </c>
      <c r="L8850">
        <v>-50.902340000000002</v>
      </c>
      <c r="M8850">
        <v>0.67582819999999899</v>
      </c>
      <c r="N8850">
        <v>-1.3608550000000001E-2</v>
      </c>
      <c r="O8850">
        <v>-0.73693359999999997</v>
      </c>
      <c r="P8850">
        <v>0.89456619999999998</v>
      </c>
      <c r="Q8850">
        <v>8.5042980000000004E-2</v>
      </c>
      <c r="R8850">
        <v>-0.4387701</v>
      </c>
      <c r="S8850">
        <v>3.2724609999999998</v>
      </c>
      <c r="T8850">
        <v>-0.26364100000000001</v>
      </c>
      <c r="U8850">
        <v>-0.24902340000000001</v>
      </c>
      <c r="V8850">
        <v>-0.36520089999999999</v>
      </c>
      <c r="W8850">
        <v>8.800202E-2</v>
      </c>
      <c r="X8850">
        <v>0.92675989999999997</v>
      </c>
      <c r="Y8850">
        <v>-0.67997289999999999</v>
      </c>
      <c r="Z8850">
        <v>7.3978730000000006E-2</v>
      </c>
      <c r="AA8850">
        <v>0.72949569999999997</v>
      </c>
      <c r="AB8850">
        <v>25</v>
      </c>
      <c r="AC8850">
        <v>13.8764</v>
      </c>
      <c r="AD8850">
        <v>-1.1318820890719901</v>
      </c>
      <c r="AE8850">
        <v>-0.89842999999999695</v>
      </c>
      <c r="AF8850">
        <v>-9.55637378167253</v>
      </c>
      <c r="AG8850">
        <v>-1.1318820890719901</v>
      </c>
      <c r="AH8850">
        <v>9.9749838106357398</v>
      </c>
      <c r="AI8850">
        <v>94.684222923417295</v>
      </c>
      <c r="AJ8850">
        <v>133.77218384387399</v>
      </c>
      <c r="AK8850">
        <v>13.860221460750299</v>
      </c>
      <c r="AL8850">
        <v>84.951324765425198</v>
      </c>
      <c r="AM8850">
        <v>111.507517320951</v>
      </c>
      <c r="AN8850">
        <v>0.99999998256644995</v>
      </c>
    </row>
    <row r="8851" spans="1:40" x14ac:dyDescent="0.25">
      <c r="A8851" t="str">
        <f>"20190303162125457"</f>
        <v>20190303162125457</v>
      </c>
      <c r="B8851" t="str">
        <f>"1551601285451888"</f>
        <v>1551601285451888</v>
      </c>
      <c r="C8851" t="s">
        <v>40</v>
      </c>
      <c r="D8851">
        <v>4.7608670000000002</v>
      </c>
      <c r="E8851">
        <v>0.41879450000000001</v>
      </c>
      <c r="F8851" t="s">
        <v>42</v>
      </c>
      <c r="G8851">
        <v>-295.94959999999998</v>
      </c>
      <c r="H8851">
        <v>1.0888530000000001</v>
      </c>
      <c r="I8851">
        <v>-51.087139999999998</v>
      </c>
      <c r="J8851">
        <v>-296.75439999999998</v>
      </c>
      <c r="K8851">
        <v>1.131715</v>
      </c>
      <c r="L8851">
        <v>-51.074100000000001</v>
      </c>
      <c r="M8851">
        <v>0.68764820000000004</v>
      </c>
      <c r="N8851">
        <v>-1.355224E-2</v>
      </c>
      <c r="O8851">
        <v>-0.72591749999999999</v>
      </c>
      <c r="P8851">
        <v>0.89870110000000003</v>
      </c>
      <c r="Q8851">
        <v>8.5363140000000004E-2</v>
      </c>
      <c r="R8851">
        <v>-0.430174</v>
      </c>
      <c r="S8851">
        <v>3.0829469999999999</v>
      </c>
      <c r="T8851">
        <v>-0.13452649999999999</v>
      </c>
      <c r="U8851">
        <v>-0.57785030000000004</v>
      </c>
      <c r="V8851">
        <v>-0.35904550000000002</v>
      </c>
      <c r="W8851">
        <v>8.8610939999999999E-2</v>
      </c>
      <c r="X8851">
        <v>0.92910409999999999</v>
      </c>
      <c r="Y8851">
        <v>-0.58601530000000002</v>
      </c>
      <c r="Z8851">
        <v>3.3845800000000002E-2</v>
      </c>
      <c r="AA8851">
        <v>0.8095928</v>
      </c>
      <c r="AB8851">
        <v>25</v>
      </c>
      <c r="AC8851">
        <v>0.80479999999999996</v>
      </c>
      <c r="AD8851">
        <v>-4.28619999999999E-2</v>
      </c>
      <c r="AE8851">
        <v>-1.30400000000037E-2</v>
      </c>
      <c r="AF8851">
        <v>-0.57367756860195496</v>
      </c>
      <c r="AG8851">
        <v>-4.28619999999999E-2</v>
      </c>
      <c r="AH8851">
        <v>0.56134516703051995</v>
      </c>
      <c r="AI8851">
        <v>93.056803631564605</v>
      </c>
      <c r="AJ8851">
        <v>135.622513307709</v>
      </c>
      <c r="AK8851">
        <v>0.80377328912422397</v>
      </c>
      <c r="AL8851">
        <v>84.916299471131794</v>
      </c>
      <c r="AM8851">
        <v>111.128660823087</v>
      </c>
      <c r="AN8851">
        <v>0.99999999919737104</v>
      </c>
    </row>
    <row r="8852" spans="1:40" x14ac:dyDescent="0.25">
      <c r="A8852" t="str">
        <f>"20190303162125480"</f>
        <v>20190303162125480</v>
      </c>
      <c r="B8852" t="str">
        <f>"1551601285471408"</f>
        <v>1551601285471408</v>
      </c>
      <c r="C8852" t="s">
        <v>40</v>
      </c>
      <c r="D8852">
        <v>4.7012219999999996</v>
      </c>
      <c r="E8852">
        <v>0.42835509999999899</v>
      </c>
      <c r="F8852" t="s">
        <v>41</v>
      </c>
      <c r="G8852">
        <v>-269.19439999999997</v>
      </c>
      <c r="H8852" s="1">
        <v>-3.4298230000000002E-6</v>
      </c>
      <c r="I8852">
        <v>-57.676609999999997</v>
      </c>
      <c r="J8852">
        <v>-296.57569999999998</v>
      </c>
      <c r="K8852">
        <v>1.1315309999999901</v>
      </c>
      <c r="L8852">
        <v>-51.238709999999998</v>
      </c>
      <c r="M8852">
        <v>0.69874759999999903</v>
      </c>
      <c r="N8852">
        <v>-1.3490520000000001E-2</v>
      </c>
      <c r="O8852">
        <v>-0.71524119999999902</v>
      </c>
      <c r="P8852">
        <v>0.90185550000000003</v>
      </c>
      <c r="Q8852">
        <v>8.5591269999999997E-2</v>
      </c>
      <c r="R8852">
        <v>-0.42347499999999999</v>
      </c>
      <c r="S8852">
        <v>3.0052490000000001</v>
      </c>
      <c r="T8852">
        <v>-0.1234069</v>
      </c>
      <c r="U8852">
        <v>-0.71997069999999996</v>
      </c>
      <c r="V8852">
        <v>-0.35157959999999999</v>
      </c>
      <c r="W8852">
        <v>8.9174699999999996E-2</v>
      </c>
      <c r="X8852">
        <v>0.93190110000000004</v>
      </c>
      <c r="Y8852">
        <v>-0.53213840000000001</v>
      </c>
      <c r="Z8852">
        <v>2.9659049999999999E-2</v>
      </c>
      <c r="AA8852">
        <v>0.84613780000000005</v>
      </c>
      <c r="AB8852">
        <v>25</v>
      </c>
      <c r="AC8852">
        <v>27.3813</v>
      </c>
      <c r="AD8852">
        <v>-1.1315344298229999</v>
      </c>
      <c r="AE8852">
        <v>-6.4378999999999902</v>
      </c>
      <c r="AF8852">
        <v>-15.062762239357699</v>
      </c>
      <c r="AG8852">
        <v>-1.1315344298229999</v>
      </c>
      <c r="AH8852">
        <v>23.701071751566101</v>
      </c>
      <c r="AI8852">
        <v>92.307382265713002</v>
      </c>
      <c r="AJ8852">
        <v>122.43721746068</v>
      </c>
      <c r="AK8852">
        <v>28.105301610517898</v>
      </c>
      <c r="AL8852">
        <v>84.8838700305744</v>
      </c>
      <c r="AM8852">
        <v>110.670054946489</v>
      </c>
      <c r="AN8852">
        <v>1.00000000121873</v>
      </c>
    </row>
    <row r="8853" spans="1:40" x14ac:dyDescent="0.25">
      <c r="A8853" t="str">
        <f>"20190303162125502"</f>
        <v>20190303162125502</v>
      </c>
      <c r="B8853" t="str">
        <f>"1551601285491903"</f>
        <v>1551601285491903</v>
      </c>
      <c r="C8853" t="s">
        <v>40</v>
      </c>
      <c r="D8853">
        <v>4.8643939999999999</v>
      </c>
      <c r="E8853">
        <v>0.43348389999999998</v>
      </c>
      <c r="F8853" t="s">
        <v>85</v>
      </c>
      <c r="G8853">
        <v>-270.90499999999997</v>
      </c>
      <c r="H8853" s="1">
        <v>-2.4485039999999999E-7</v>
      </c>
      <c r="I8853">
        <v>-57.84534</v>
      </c>
      <c r="J8853">
        <v>-296.3929</v>
      </c>
      <c r="K8853">
        <v>1.1313169999999999</v>
      </c>
      <c r="L8853">
        <v>-51.4024</v>
      </c>
      <c r="M8853">
        <v>0.70954989999999996</v>
      </c>
      <c r="N8853">
        <v>-1.3422359999999999E-2</v>
      </c>
      <c r="O8853">
        <v>-0.70452729999999997</v>
      </c>
      <c r="P8853">
        <v>0.90502289999999996</v>
      </c>
      <c r="Q8853">
        <v>8.5559940000000001E-2</v>
      </c>
      <c r="R8853">
        <v>-0.41666890000000001</v>
      </c>
      <c r="S8853">
        <v>2.9789430000000001</v>
      </c>
      <c r="T8853">
        <v>-0.1313078</v>
      </c>
      <c r="U8853">
        <v>-0.76666259999999997</v>
      </c>
      <c r="V8853">
        <v>-0.34435650000000001</v>
      </c>
      <c r="W8853">
        <v>8.9479130000000004E-2</v>
      </c>
      <c r="X8853">
        <v>0.93456519999999998</v>
      </c>
      <c r="Y8853">
        <v>-0.50473900000000005</v>
      </c>
      <c r="Z8853">
        <v>3.1388520000000003E-2</v>
      </c>
      <c r="AA8853">
        <v>0.86270119999999895</v>
      </c>
      <c r="AB8853">
        <v>25</v>
      </c>
      <c r="AC8853">
        <v>25.4879</v>
      </c>
      <c r="AD8853">
        <v>-1.1313172448504001</v>
      </c>
      <c r="AE8853">
        <v>-6.4429400000000001</v>
      </c>
      <c r="AF8853">
        <v>-13.3617965633163</v>
      </c>
      <c r="AG8853">
        <v>-1.1313172448504001</v>
      </c>
      <c r="AH8853">
        <v>22.584380670183702</v>
      </c>
      <c r="AI8853">
        <v>92.468637043911798</v>
      </c>
      <c r="AJ8853">
        <v>120.610207042181</v>
      </c>
      <c r="AK8853">
        <v>26.2654095030653</v>
      </c>
      <c r="AL8853">
        <v>84.866357530284105</v>
      </c>
      <c r="AM8853">
        <v>110.227180839285</v>
      </c>
      <c r="AN8853">
        <v>1.00000001342442</v>
      </c>
    </row>
    <row r="8854" spans="1:40" x14ac:dyDescent="0.25">
      <c r="A8854" t="str">
        <f>"20190303162125525"</f>
        <v>20190303162125525</v>
      </c>
      <c r="B8854" t="str">
        <f>"1551601285511423"</f>
        <v>1551601285511423</v>
      </c>
      <c r="C8854" t="s">
        <v>40</v>
      </c>
      <c r="D8854">
        <v>4.6308600000000002</v>
      </c>
      <c r="E8854">
        <v>0.43711359999999999</v>
      </c>
      <c r="F8854" t="s">
        <v>41</v>
      </c>
      <c r="G8854">
        <v>-269.66800000000001</v>
      </c>
      <c r="H8854" s="1">
        <v>-3.496987E-6</v>
      </c>
      <c r="I8854">
        <v>-58.443280000000001</v>
      </c>
      <c r="J8854">
        <v>-296.2038</v>
      </c>
      <c r="K8854">
        <v>1.1310770000000001</v>
      </c>
      <c r="L8854">
        <v>-51.567140000000002</v>
      </c>
      <c r="M8854">
        <v>0.72016939999999996</v>
      </c>
      <c r="N8854">
        <v>-1.334897E-2</v>
      </c>
      <c r="O8854">
        <v>-0.69367000000000001</v>
      </c>
      <c r="P8854">
        <v>0.90822630000000004</v>
      </c>
      <c r="Q8854">
        <v>8.5017949999999995E-2</v>
      </c>
      <c r="R8854">
        <v>-0.40975250000000002</v>
      </c>
      <c r="S8854">
        <v>2.9668580000000002</v>
      </c>
      <c r="T8854">
        <v>-0.12559289999999901</v>
      </c>
      <c r="U8854">
        <v>-0.78164669999999903</v>
      </c>
      <c r="V8854">
        <v>-0.33724419999999999</v>
      </c>
      <c r="W8854">
        <v>8.9275389999999996E-2</v>
      </c>
      <c r="X8854">
        <v>0.93717459999999997</v>
      </c>
      <c r="Y8854">
        <v>-0.48667759999999999</v>
      </c>
      <c r="Z8854">
        <v>2.9278149999999999E-2</v>
      </c>
      <c r="AA8854">
        <v>0.8730909</v>
      </c>
      <c r="AB8854">
        <v>25</v>
      </c>
      <c r="AC8854">
        <v>26.535799999999899</v>
      </c>
      <c r="AD8854">
        <v>-1.1310804969869901</v>
      </c>
      <c r="AE8854">
        <v>-6.8761400000000004</v>
      </c>
      <c r="AF8854">
        <v>-13.4334291929543</v>
      </c>
      <c r="AG8854">
        <v>-1.1310804969869901</v>
      </c>
      <c r="AH8854">
        <v>23.841577055436399</v>
      </c>
      <c r="AI8854">
        <v>92.366810775250798</v>
      </c>
      <c r="AJ8854">
        <v>119.398889023515</v>
      </c>
      <c r="AK8854">
        <v>27.388997051062201</v>
      </c>
      <c r="AL8854">
        <v>84.8780777498432</v>
      </c>
      <c r="AM8854">
        <v>109.79137159843</v>
      </c>
      <c r="AN8854">
        <v>0.99999998828922598</v>
      </c>
    </row>
    <row r="8855" spans="1:40" x14ac:dyDescent="0.25">
      <c r="A8855" t="str">
        <f>"20190303162125548"</f>
        <v>20190303162125548</v>
      </c>
      <c r="B8855" t="str">
        <f>"1551601285541680"</f>
        <v>1551601285541680</v>
      </c>
      <c r="C8855" t="s">
        <v>40</v>
      </c>
      <c r="D8855">
        <v>4.6483420000000004</v>
      </c>
      <c r="E8855">
        <v>0.44063419999999998</v>
      </c>
      <c r="F8855" t="s">
        <v>41</v>
      </c>
      <c r="G8855">
        <v>-268.75729999999999</v>
      </c>
      <c r="H8855" s="1">
        <v>-3.0343150000000001E-6</v>
      </c>
      <c r="I8855">
        <v>-58.849220000000003</v>
      </c>
      <c r="J8855">
        <v>-296.01190000000003</v>
      </c>
      <c r="K8855">
        <v>1.13083</v>
      </c>
      <c r="L8855">
        <v>-51.729399999999998</v>
      </c>
      <c r="M8855">
        <v>0.73036069999999997</v>
      </c>
      <c r="N8855">
        <v>-1.327308E-2</v>
      </c>
      <c r="O8855">
        <v>-0.68293269999999995</v>
      </c>
      <c r="P8855">
        <v>0.91295470000000001</v>
      </c>
      <c r="Q8855">
        <v>8.4323540000000002E-2</v>
      </c>
      <c r="R8855">
        <v>-0.39925319999999997</v>
      </c>
      <c r="S8855">
        <v>2.960175</v>
      </c>
      <c r="T8855">
        <v>-0.1219901</v>
      </c>
      <c r="U8855">
        <v>-0.7854004</v>
      </c>
      <c r="V8855">
        <v>-0.3341422</v>
      </c>
      <c r="W8855">
        <v>8.880043E-2</v>
      </c>
      <c r="X8855">
        <v>0.9383302</v>
      </c>
      <c r="Y8855">
        <v>-0.47221340000000001</v>
      </c>
      <c r="Z8855">
        <v>2.786143E-2</v>
      </c>
      <c r="AA8855">
        <v>0.88104389999999999</v>
      </c>
      <c r="AB8855">
        <v>25</v>
      </c>
      <c r="AC8855">
        <v>27.2546</v>
      </c>
      <c r="AD8855">
        <v>-1.1308330343149999</v>
      </c>
      <c r="AE8855">
        <v>-7.11981999999999</v>
      </c>
      <c r="AF8855">
        <v>-13.3926194737362</v>
      </c>
      <c r="AG8855">
        <v>-1.1308330343149999</v>
      </c>
      <c r="AH8855">
        <v>24.730374121366001</v>
      </c>
      <c r="AI8855">
        <v>92.302564012494997</v>
      </c>
      <c r="AJ8855">
        <v>118.43755486023301</v>
      </c>
      <c r="AK8855">
        <v>28.146624023184799</v>
      </c>
      <c r="AL8855">
        <v>84.905399759995106</v>
      </c>
      <c r="AM8855">
        <v>109.600967034915</v>
      </c>
      <c r="AN8855">
        <v>1.00000004521053</v>
      </c>
    </row>
    <row r="8856" spans="1:40" x14ac:dyDescent="0.25">
      <c r="A8856" t="str">
        <f>"20190303162125569"</f>
        <v>20190303162125569</v>
      </c>
      <c r="B8856" t="str">
        <f>"1551601285561200"</f>
        <v>1551601285561200</v>
      </c>
      <c r="C8856" t="s">
        <v>40</v>
      </c>
      <c r="D8856">
        <v>4.604203</v>
      </c>
      <c r="E8856">
        <v>0.44208730000000002</v>
      </c>
      <c r="F8856" t="s">
        <v>41</v>
      </c>
      <c r="G8856">
        <v>-268.42250000000001</v>
      </c>
      <c r="H8856" s="1">
        <v>-2.8687749999999999E-6</v>
      </c>
      <c r="I8856">
        <v>-58.972830000000002</v>
      </c>
      <c r="J8856">
        <v>-295.83199999999999</v>
      </c>
      <c r="K8856">
        <v>1.1306020000000001</v>
      </c>
      <c r="L8856">
        <v>-51.877749999999999</v>
      </c>
      <c r="M8856">
        <v>0.739452</v>
      </c>
      <c r="N8856">
        <v>-1.320285E-2</v>
      </c>
      <c r="O8856">
        <v>-0.67307989999999995</v>
      </c>
      <c r="P8856">
        <v>0.91608270000000003</v>
      </c>
      <c r="Q8856">
        <v>8.428795E-2</v>
      </c>
      <c r="R8856">
        <v>-0.39203070000000001</v>
      </c>
      <c r="S8856">
        <v>2.9576419999999999</v>
      </c>
      <c r="T8856">
        <v>-0.1212279</v>
      </c>
      <c r="U8856">
        <v>-0.77651979999999998</v>
      </c>
      <c r="V8856">
        <v>-0.32891379999999998</v>
      </c>
      <c r="W8856">
        <v>8.9026519999999998E-2</v>
      </c>
      <c r="X8856">
        <v>0.9401543</v>
      </c>
      <c r="Y8856">
        <v>-0.46267140000000001</v>
      </c>
      <c r="Z8856">
        <v>2.737032E-2</v>
      </c>
      <c r="AA8856">
        <v>0.88610730000000004</v>
      </c>
      <c r="AB8856">
        <v>25</v>
      </c>
      <c r="AC8856">
        <v>27.409499999999898</v>
      </c>
      <c r="AD8856">
        <v>-1.1306048687749899</v>
      </c>
      <c r="AE8856">
        <v>-7.0950800000000003</v>
      </c>
      <c r="AF8856">
        <v>-13.182441647887099</v>
      </c>
      <c r="AG8856">
        <v>-1.1306048687749899</v>
      </c>
      <c r="AH8856">
        <v>25.005872308940901</v>
      </c>
      <c r="AI8856">
        <v>92.290390524667004</v>
      </c>
      <c r="AJ8856">
        <v>117.797025161758</v>
      </c>
      <c r="AK8856">
        <v>28.2904345159332</v>
      </c>
      <c r="AL8856">
        <v>84.892394315338393</v>
      </c>
      <c r="AM8856">
        <v>109.282433832519</v>
      </c>
      <c r="AN8856">
        <v>1.00000005845111</v>
      </c>
    </row>
    <row r="8857" spans="1:40" x14ac:dyDescent="0.25">
      <c r="A8857" t="str">
        <f>"20190303162125581"</f>
        <v>20190303162125581</v>
      </c>
      <c r="B8857" t="str">
        <f>"1551601285571936"</f>
        <v>1551601285571936</v>
      </c>
      <c r="C8857" t="s">
        <v>40</v>
      </c>
      <c r="D8857">
        <v>4.6265749999999999</v>
      </c>
      <c r="E8857">
        <v>0.44263720000000001</v>
      </c>
      <c r="F8857" t="s">
        <v>41</v>
      </c>
      <c r="G8857">
        <v>-268.69810000000001</v>
      </c>
      <c r="H8857" s="1">
        <v>-3.003609E-6</v>
      </c>
      <c r="I8857">
        <v>-58.878990000000002</v>
      </c>
      <c r="J8857">
        <v>-295.7174</v>
      </c>
      <c r="K8857">
        <v>1.130474</v>
      </c>
      <c r="L8857">
        <v>-51.970460000000003</v>
      </c>
      <c r="M8857">
        <v>0.74503960000000002</v>
      </c>
      <c r="N8857">
        <v>-1.3160120000000001E-2</v>
      </c>
      <c r="O8857">
        <v>-0.66689049999999905</v>
      </c>
      <c r="P8857">
        <v>0.9183443</v>
      </c>
      <c r="Q8857">
        <v>8.4111920000000007E-2</v>
      </c>
      <c r="R8857">
        <v>-0.38674180000000002</v>
      </c>
      <c r="S8857">
        <v>2.9594119999999999</v>
      </c>
      <c r="T8857">
        <v>-0.1233114</v>
      </c>
      <c r="U8857">
        <v>-0.76361080000000003</v>
      </c>
      <c r="V8857">
        <v>-0.32646950000000002</v>
      </c>
      <c r="W8857">
        <v>8.8980439999999994E-2</v>
      </c>
      <c r="X8857">
        <v>0.94101020000000002</v>
      </c>
      <c r="Y8857">
        <v>-0.45900639999999998</v>
      </c>
      <c r="Z8857">
        <v>2.780815E-2</v>
      </c>
      <c r="AA8857">
        <v>0.88799760000000005</v>
      </c>
      <c r="AB8857">
        <v>25</v>
      </c>
      <c r="AC8857">
        <v>27.019299999999902</v>
      </c>
      <c r="AD8857">
        <v>-1.1304770036089999</v>
      </c>
      <c r="AE8857">
        <v>-6.9085299999999998</v>
      </c>
      <c r="AF8857">
        <v>-12.851782812499801</v>
      </c>
      <c r="AG8857">
        <v>-1.1304770036089999</v>
      </c>
      <c r="AH8857">
        <v>24.699238189912499</v>
      </c>
      <c r="AI8857">
        <v>92.325054877961307</v>
      </c>
      <c r="AJ8857">
        <v>117.489364296348</v>
      </c>
      <c r="AK8857">
        <v>27.8657256657239</v>
      </c>
      <c r="AL8857">
        <v>84.895044852383705</v>
      </c>
      <c r="AM8857">
        <v>109.133456987206</v>
      </c>
      <c r="AN8857">
        <v>1.00000002481844</v>
      </c>
    </row>
    <row r="8858" spans="1:40" x14ac:dyDescent="0.25">
      <c r="A8858" t="str">
        <f>"20190303162125594"</f>
        <v>20190303162125594</v>
      </c>
      <c r="B8858" t="str">
        <f>"1551601285581697"</f>
        <v>1551601285581697</v>
      </c>
      <c r="C8858" t="s">
        <v>40</v>
      </c>
      <c r="D8858">
        <v>4.6045429999999996</v>
      </c>
      <c r="E8858">
        <v>0.4431872</v>
      </c>
      <c r="F8858" t="s">
        <v>41</v>
      </c>
      <c r="G8858">
        <v>-268.54790000000003</v>
      </c>
      <c r="H8858" s="1">
        <v>-2.943023E-6</v>
      </c>
      <c r="I8858">
        <v>-58.857509999999998</v>
      </c>
      <c r="J8858">
        <v>-295.61130000000003</v>
      </c>
      <c r="K8858">
        <v>1.1303669999999999</v>
      </c>
      <c r="L8858">
        <v>-52.054810000000003</v>
      </c>
      <c r="M8858">
        <v>0.75005319999999998</v>
      </c>
      <c r="N8858">
        <v>-1.3122299999999899E-2</v>
      </c>
      <c r="O8858">
        <v>-0.66124740000000004</v>
      </c>
      <c r="P8858">
        <v>0.91997799999999996</v>
      </c>
      <c r="Q8858">
        <v>8.4194820000000004E-2</v>
      </c>
      <c r="R8858">
        <v>-0.38282100000000002</v>
      </c>
      <c r="S8858">
        <v>2.9618530000000001</v>
      </c>
      <c r="T8858">
        <v>-0.12323779999999999</v>
      </c>
      <c r="U8858">
        <v>-0.7507935</v>
      </c>
      <c r="V8858">
        <v>-0.32334780000000002</v>
      </c>
      <c r="W8858">
        <v>8.9197970000000001E-2</v>
      </c>
      <c r="X8858">
        <v>0.94206679999999998</v>
      </c>
      <c r="Y8858">
        <v>-0.4560862</v>
      </c>
      <c r="Z8858">
        <v>2.7657210000000002E-2</v>
      </c>
      <c r="AA8858">
        <v>0.88950569999999896</v>
      </c>
      <c r="AB8858">
        <v>25</v>
      </c>
      <c r="AC8858">
        <v>27.063400000000001</v>
      </c>
      <c r="AD8858">
        <v>-1.1303699430230001</v>
      </c>
      <c r="AE8858">
        <v>-6.8026999999999997</v>
      </c>
      <c r="AF8858">
        <v>-12.7733576576874</v>
      </c>
      <c r="AG8858">
        <v>-1.1303699430230001</v>
      </c>
      <c r="AH8858">
        <v>24.758765812667001</v>
      </c>
      <c r="AI8858">
        <v>92.323436533807197</v>
      </c>
      <c r="AJ8858">
        <v>117.289776313856</v>
      </c>
      <c r="AK8858">
        <v>27.882483508930498</v>
      </c>
      <c r="AL8858">
        <v>84.882531245951895</v>
      </c>
      <c r="AM8858">
        <v>108.943878626943</v>
      </c>
      <c r="AN8858">
        <v>0.999999966639599</v>
      </c>
    </row>
    <row r="8859" spans="1:40" x14ac:dyDescent="0.25">
      <c r="A8859" t="str">
        <f>"20190303162125609"</f>
        <v>20190303162125609</v>
      </c>
      <c r="B8859" t="str">
        <f>"1551601285601216"</f>
        <v>1551601285601216</v>
      </c>
      <c r="C8859" t="s">
        <v>40</v>
      </c>
      <c r="D8859">
        <v>4.5987260000000001</v>
      </c>
      <c r="E8859">
        <v>0.4442004</v>
      </c>
      <c r="F8859" t="s">
        <v>41</v>
      </c>
      <c r="G8859">
        <v>-267.702</v>
      </c>
      <c r="H8859" s="1">
        <v>-2.5468030000000002E-6</v>
      </c>
      <c r="I8859">
        <v>-59.045360000000002</v>
      </c>
      <c r="J8859">
        <v>-295.4873</v>
      </c>
      <c r="K8859">
        <v>1.1302479999999999</v>
      </c>
      <c r="L8859">
        <v>-52.152250000000002</v>
      </c>
      <c r="M8859">
        <v>0.75577499999999997</v>
      </c>
      <c r="N8859">
        <v>-1.3079790000000001E-2</v>
      </c>
      <c r="O8859">
        <v>-0.65470079999999997</v>
      </c>
      <c r="P8859">
        <v>0.9218092</v>
      </c>
      <c r="Q8859">
        <v>8.3682809999999996E-2</v>
      </c>
      <c r="R8859">
        <v>-0.3785037</v>
      </c>
      <c r="S8859">
        <v>2.963104</v>
      </c>
      <c r="T8859">
        <v>-0.1200103</v>
      </c>
      <c r="U8859">
        <v>-0.7421875</v>
      </c>
      <c r="V8859">
        <v>-0.31955850000000002</v>
      </c>
      <c r="W8859">
        <v>8.884367E-2</v>
      </c>
      <c r="X8859">
        <v>0.94339229999999996</v>
      </c>
      <c r="Y8859">
        <v>-0.45090059999999899</v>
      </c>
      <c r="Z8859">
        <v>2.6577650000000001E-2</v>
      </c>
      <c r="AA8859">
        <v>0.89217839999999904</v>
      </c>
      <c r="AB8859">
        <v>25</v>
      </c>
      <c r="AC8859">
        <v>27.785299999999999</v>
      </c>
      <c r="AD8859">
        <v>-1.130250546803</v>
      </c>
      <c r="AE8859">
        <v>-6.8931099999999903</v>
      </c>
      <c r="AF8859">
        <v>-12.9623228534325</v>
      </c>
      <c r="AG8859">
        <v>-1.130250546803</v>
      </c>
      <c r="AH8859">
        <v>25.474832219725101</v>
      </c>
      <c r="AI8859">
        <v>92.264451783214497</v>
      </c>
      <c r="AJ8859">
        <v>116.96829304064001</v>
      </c>
      <c r="AK8859">
        <v>28.605355384583302</v>
      </c>
      <c r="AL8859">
        <v>84.902911881821296</v>
      </c>
      <c r="AM8859">
        <v>108.71295820280299</v>
      </c>
      <c r="AN8859">
        <v>0.99999993216030203</v>
      </c>
    </row>
    <row r="8860" spans="1:40" x14ac:dyDescent="0.25">
      <c r="A8860" t="str">
        <f>"20190303162125621"</f>
        <v>20190303162125621</v>
      </c>
      <c r="B8860" t="str">
        <f>"1551601285611952"</f>
        <v>1551601285611952</v>
      </c>
      <c r="C8860" t="s">
        <v>40</v>
      </c>
      <c r="D8860">
        <v>4.6751589999999998</v>
      </c>
      <c r="E8860">
        <v>0.44481759999999898</v>
      </c>
      <c r="F8860" t="s">
        <v>86</v>
      </c>
      <c r="G8860">
        <v>-266.51339999999999</v>
      </c>
      <c r="H8860" s="1">
        <v>-1.984101E-6</v>
      </c>
      <c r="I8860">
        <v>-59.342849999999999</v>
      </c>
      <c r="J8860">
        <v>-295.37200000000001</v>
      </c>
      <c r="K8860">
        <v>1.1301369999999999</v>
      </c>
      <c r="L8860">
        <v>-52.241390000000003</v>
      </c>
      <c r="M8860">
        <v>0.76092079999999995</v>
      </c>
      <c r="N8860">
        <v>-1.304116E-2</v>
      </c>
      <c r="O8860">
        <v>-0.6487136</v>
      </c>
      <c r="P8860">
        <v>0.92308190000000001</v>
      </c>
      <c r="Q8860">
        <v>8.3263989999999996E-2</v>
      </c>
      <c r="R8860">
        <v>-0.37548239999999999</v>
      </c>
      <c r="S8860">
        <v>2.9630130000000001</v>
      </c>
      <c r="T8860">
        <v>-0.1155847</v>
      </c>
      <c r="U8860">
        <v>-0.73535159999999999</v>
      </c>
      <c r="V8860">
        <v>-0.31518350000000001</v>
      </c>
      <c r="W8860">
        <v>8.859098E-2</v>
      </c>
      <c r="X8860">
        <v>0.94488680000000003</v>
      </c>
      <c r="Y8860">
        <v>-0.44582899999999998</v>
      </c>
      <c r="Z8860">
        <v>2.5203719999999999E-2</v>
      </c>
      <c r="AA8860">
        <v>0.89476319999999998</v>
      </c>
      <c r="AB8860">
        <v>25</v>
      </c>
      <c r="AC8860">
        <v>28.858599999999999</v>
      </c>
      <c r="AD8860">
        <v>-1.1301389841009899</v>
      </c>
      <c r="AE8860">
        <v>-7.1014599999999897</v>
      </c>
      <c r="AF8860">
        <v>-13.299219926069799</v>
      </c>
      <c r="AG8860">
        <v>-1.1301389841009899</v>
      </c>
      <c r="AH8860">
        <v>26.529820565683799</v>
      </c>
      <c r="AI8860">
        <v>92.180873750831196</v>
      </c>
      <c r="AJ8860">
        <v>116.624298639182</v>
      </c>
      <c r="AK8860">
        <v>29.6981117920439</v>
      </c>
      <c r="AL8860">
        <v>84.917447780569901</v>
      </c>
      <c r="AM8860">
        <v>108.447021550811</v>
      </c>
      <c r="AN8860">
        <v>1.0000000326119201</v>
      </c>
    </row>
    <row r="8861" spans="1:40" x14ac:dyDescent="0.25">
      <c r="A8861" t="str">
        <f>"20190303162125635"</f>
        <v>20190303162125635</v>
      </c>
      <c r="B8861" t="str">
        <f>"1551601285621712"</f>
        <v>1551601285621712</v>
      </c>
      <c r="C8861" t="s">
        <v>40</v>
      </c>
      <c r="D8861">
        <v>4.6099379999999996</v>
      </c>
      <c r="E8861">
        <v>0.44540380000000002</v>
      </c>
      <c r="F8861" t="s">
        <v>86</v>
      </c>
      <c r="G8861">
        <v>-266.37810000000002</v>
      </c>
      <c r="H8861" s="1">
        <v>-1.919026E-6</v>
      </c>
      <c r="I8861">
        <v>-59.382480000000001</v>
      </c>
      <c r="J8861">
        <v>-295.25330000000002</v>
      </c>
      <c r="K8861">
        <v>1.130023</v>
      </c>
      <c r="L8861">
        <v>-52.331539999999997</v>
      </c>
      <c r="M8861">
        <v>0.76604779999999995</v>
      </c>
      <c r="N8861">
        <v>-1.300138E-2</v>
      </c>
      <c r="O8861">
        <v>-0.64265229999999995</v>
      </c>
      <c r="P8861">
        <v>0.92416640000000005</v>
      </c>
      <c r="Q8861">
        <v>8.288334E-2</v>
      </c>
      <c r="R8861">
        <v>-0.3728902</v>
      </c>
      <c r="S8861">
        <v>2.963562</v>
      </c>
      <c r="T8861">
        <v>-0.11551500000000001</v>
      </c>
      <c r="U8861">
        <v>-0.7299194</v>
      </c>
      <c r="V8861">
        <v>-0.31031350000000002</v>
      </c>
      <c r="W8861">
        <v>8.8387220000000002E-2</v>
      </c>
      <c r="X8861">
        <v>0.94651640000000004</v>
      </c>
      <c r="Y8861">
        <v>-0.4403048</v>
      </c>
      <c r="Z8861">
        <v>2.4995650000000001E-2</v>
      </c>
      <c r="AA8861">
        <v>0.89750039999999998</v>
      </c>
      <c r="AB8861">
        <v>25</v>
      </c>
      <c r="AC8861">
        <v>28.8752</v>
      </c>
      <c r="AD8861">
        <v>-1.1300249190260001</v>
      </c>
      <c r="AE8861">
        <v>-7.0509399999999998</v>
      </c>
      <c r="AF8861">
        <v>-13.1374787489968</v>
      </c>
      <c r="AG8861">
        <v>-1.1300249190260001</v>
      </c>
      <c r="AH8861">
        <v>26.614867944486399</v>
      </c>
      <c r="AI8861">
        <v>92.180352231019896</v>
      </c>
      <c r="AJ8861">
        <v>116.27160412169199</v>
      </c>
      <c r="AK8861">
        <v>29.702213720536299</v>
      </c>
      <c r="AL8861">
        <v>84.929168344250698</v>
      </c>
      <c r="AM8861">
        <v>108.15162661394</v>
      </c>
      <c r="AN8861">
        <v>1.00000003220526</v>
      </c>
    </row>
    <row r="8862" spans="1:40" x14ac:dyDescent="0.25">
      <c r="A8862" t="str">
        <f>"20190303162125650"</f>
        <v>20190303162125650</v>
      </c>
      <c r="B8862" t="str">
        <f>"1551601285641232"</f>
        <v>1551601285641232</v>
      </c>
      <c r="C8862" t="s">
        <v>40</v>
      </c>
      <c r="D8862">
        <v>4.6394719999999996</v>
      </c>
      <c r="E8862">
        <v>0.44620890000000002</v>
      </c>
      <c r="F8862" t="s">
        <v>41</v>
      </c>
      <c r="G8862">
        <v>-265.98070000000001</v>
      </c>
      <c r="H8862" s="1">
        <v>-1.7277739999999999E-6</v>
      </c>
      <c r="I8862">
        <v>-59.49953</v>
      </c>
      <c r="J8862">
        <v>-295.1293</v>
      </c>
      <c r="K8862">
        <v>1.129893</v>
      </c>
      <c r="L8862">
        <v>-52.424619999999997</v>
      </c>
      <c r="M8862">
        <v>0.77126439999999996</v>
      </c>
      <c r="N8862">
        <v>-1.2960279999999999E-2</v>
      </c>
      <c r="O8862">
        <v>-0.63638309999999998</v>
      </c>
      <c r="P8862">
        <v>0.92323860000000002</v>
      </c>
      <c r="Q8862">
        <v>8.1894960000000003E-2</v>
      </c>
      <c r="R8862">
        <v>-0.37539820000000002</v>
      </c>
      <c r="S8862">
        <v>2.9636230000000001</v>
      </c>
      <c r="T8862">
        <v>-0.11440599999999999</v>
      </c>
      <c r="U8862">
        <v>-0.72570800000000002</v>
      </c>
      <c r="V8862">
        <v>-0.30000379999999999</v>
      </c>
      <c r="W8862">
        <v>8.7716559999999999E-2</v>
      </c>
      <c r="X8862">
        <v>0.94989659999999998</v>
      </c>
      <c r="Y8862">
        <v>-0.43419609999999897</v>
      </c>
      <c r="Z8862">
        <v>2.4494640000000002E-2</v>
      </c>
      <c r="AA8862">
        <v>0.90048530000000004</v>
      </c>
      <c r="AB8862">
        <v>25</v>
      </c>
      <c r="AC8862">
        <v>29.148599999999899</v>
      </c>
      <c r="AD8862">
        <v>-1.1298947277739999</v>
      </c>
      <c r="AE8862">
        <v>-7.07491</v>
      </c>
      <c r="AF8862">
        <v>-13.075594506535399</v>
      </c>
      <c r="AG8862">
        <v>-1.1298947277739999</v>
      </c>
      <c r="AH8862">
        <v>26.9476559655971</v>
      </c>
      <c r="AI8862">
        <v>92.160343707744403</v>
      </c>
      <c r="AJ8862">
        <v>115.883680025693</v>
      </c>
      <c r="AK8862">
        <v>29.973721754820101</v>
      </c>
      <c r="AL8862">
        <v>84.967744066100096</v>
      </c>
      <c r="AM8862">
        <v>107.527567715747</v>
      </c>
      <c r="AN8862">
        <v>1.00000001280211</v>
      </c>
    </row>
    <row r="8863" spans="1:40" x14ac:dyDescent="0.25">
      <c r="A8863" t="str">
        <f>"20190303162125669"</f>
        <v>20190303162125669</v>
      </c>
      <c r="B8863" t="str">
        <f>"1551601285661728"</f>
        <v>1551601285661728</v>
      </c>
      <c r="C8863" t="s">
        <v>40</v>
      </c>
      <c r="D8863">
        <v>4.6206239999999896</v>
      </c>
      <c r="E8863">
        <v>0.44711099999999998</v>
      </c>
      <c r="F8863" t="s">
        <v>41</v>
      </c>
      <c r="G8863">
        <v>-267.14659999999998</v>
      </c>
      <c r="H8863" s="1">
        <v>-2.2425199999999998E-6</v>
      </c>
      <c r="I8863">
        <v>-59.4174199999999</v>
      </c>
      <c r="J8863">
        <v>-294.95089999999999</v>
      </c>
      <c r="K8863">
        <v>1.129718</v>
      </c>
      <c r="L8863">
        <v>-52.555880000000002</v>
      </c>
      <c r="M8863">
        <v>0.77848390000000001</v>
      </c>
      <c r="N8863">
        <v>-1.290083E-2</v>
      </c>
      <c r="O8863">
        <v>-0.62753190000000003</v>
      </c>
      <c r="P8863">
        <v>0.92378660000000001</v>
      </c>
      <c r="Q8863">
        <v>8.1553349999999997E-2</v>
      </c>
      <c r="R8863">
        <v>-0.37412230000000002</v>
      </c>
      <c r="S8863">
        <v>2.95932</v>
      </c>
      <c r="T8863">
        <v>-0.1194924</v>
      </c>
      <c r="U8863">
        <v>-0.73953250000000004</v>
      </c>
      <c r="V8863">
        <v>-0.2904156</v>
      </c>
      <c r="W8863">
        <v>8.7687570000000006E-2</v>
      </c>
      <c r="X8863">
        <v>0.95287440000000001</v>
      </c>
      <c r="Y8863">
        <v>-0.41954730000000001</v>
      </c>
      <c r="Z8863">
        <v>2.5392689999999999E-2</v>
      </c>
      <c r="AA8863">
        <v>0.90737820000000002</v>
      </c>
      <c r="AB8863">
        <v>25</v>
      </c>
      <c r="AC8863">
        <v>27.804300000000001</v>
      </c>
      <c r="AD8863">
        <v>-1.1297202425199999</v>
      </c>
      <c r="AE8863">
        <v>-6.86153999999999</v>
      </c>
      <c r="AF8863">
        <v>-12.0886835194546</v>
      </c>
      <c r="AG8863">
        <v>-1.1297202425199999</v>
      </c>
      <c r="AH8863">
        <v>25.912872679777301</v>
      </c>
      <c r="AI8863">
        <v>92.262526969659902</v>
      </c>
      <c r="AJ8863">
        <v>115.009647769849</v>
      </c>
      <c r="AK8863">
        <v>28.616245518555399</v>
      </c>
      <c r="AL8863">
        <v>84.969411312232594</v>
      </c>
      <c r="AM8863">
        <v>106.950092590575</v>
      </c>
      <c r="AN8863">
        <v>0.999999976415612</v>
      </c>
    </row>
    <row r="8864" spans="1:40" x14ac:dyDescent="0.25">
      <c r="A8864" t="str">
        <f>"20190303162125682"</f>
        <v>20190303162125682</v>
      </c>
      <c r="B8864" t="str">
        <f>"1551601285672464"</f>
        <v>1551601285672464</v>
      </c>
      <c r="C8864" t="s">
        <v>40</v>
      </c>
      <c r="D8864">
        <v>4.6866589999999997</v>
      </c>
      <c r="E8864">
        <v>0.44711099999999998</v>
      </c>
      <c r="F8864" t="s">
        <v>86</v>
      </c>
      <c r="G8864">
        <v>-267.52069999999998</v>
      </c>
      <c r="H8864" s="1">
        <v>-2.3990569999999999E-6</v>
      </c>
      <c r="I8864">
        <v>-59.439680000000003</v>
      </c>
      <c r="J8864">
        <v>-294.8338</v>
      </c>
      <c r="K8864">
        <v>1.1296040000000001</v>
      </c>
      <c r="L8864">
        <v>-52.640529999999998</v>
      </c>
      <c r="M8864">
        <v>0.78306350000000002</v>
      </c>
      <c r="N8864">
        <v>-1.2862749999999999E-2</v>
      </c>
      <c r="O8864">
        <v>-0.6218089</v>
      </c>
      <c r="P8864">
        <v>0.92437579999999997</v>
      </c>
      <c r="Q8864">
        <v>8.1662570000000004E-2</v>
      </c>
      <c r="R8864">
        <v>-0.37264019999999998</v>
      </c>
      <c r="S8864">
        <v>2.9576419999999999</v>
      </c>
      <c r="T8864">
        <v>-0.1218114</v>
      </c>
      <c r="U8864">
        <v>-0.74224849999999998</v>
      </c>
      <c r="V8864">
        <v>-0.28492009999999901</v>
      </c>
      <c r="W8864">
        <v>8.7976840000000001E-2</v>
      </c>
      <c r="X8864">
        <v>0.95450539999999995</v>
      </c>
      <c r="Y8864">
        <v>-0.4119582</v>
      </c>
      <c r="Z8864">
        <v>2.5744300000000001E-2</v>
      </c>
      <c r="AA8864">
        <v>0.91083899999999995</v>
      </c>
      <c r="AB8864">
        <v>25</v>
      </c>
      <c r="AC8864">
        <v>27.313099999999999</v>
      </c>
      <c r="AD8864">
        <v>-1.129606399057</v>
      </c>
      <c r="AE8864">
        <v>-6.7991499999999903</v>
      </c>
      <c r="AF8864">
        <v>-11.6415754357289</v>
      </c>
      <c r="AG8864">
        <v>-1.129606399057</v>
      </c>
      <c r="AH8864">
        <v>25.5765854811427</v>
      </c>
      <c r="AI8864">
        <v>92.301909539449099</v>
      </c>
      <c r="AJ8864">
        <v>114.47338346693699</v>
      </c>
      <c r="AK8864">
        <v>28.124082458219998</v>
      </c>
      <c r="AL8864">
        <v>84.952773043217107</v>
      </c>
      <c r="AM8864">
        <v>106.62037743875899</v>
      </c>
      <c r="AN8864">
        <v>0.99999997319477696</v>
      </c>
    </row>
    <row r="8865" spans="1:40" x14ac:dyDescent="0.25">
      <c r="A8865" t="str">
        <f>"20190303162125694"</f>
        <v>20190303162125694</v>
      </c>
      <c r="B8865" t="str">
        <f>"1551601285681248"</f>
        <v>1551601285681248</v>
      </c>
      <c r="C8865" t="s">
        <v>40</v>
      </c>
      <c r="D8865">
        <v>4.7319740000000001</v>
      </c>
      <c r="E8865">
        <v>0.47634890000000002</v>
      </c>
      <c r="F8865" t="s">
        <v>86</v>
      </c>
      <c r="G8865">
        <v>-267.30070000000001</v>
      </c>
      <c r="H8865" s="1">
        <v>-2.2934209999999999E-6</v>
      </c>
      <c r="I8865">
        <v>-59.50309</v>
      </c>
      <c r="J8865">
        <v>-294.721</v>
      </c>
      <c r="K8865">
        <v>1.1295029999999999</v>
      </c>
      <c r="L8865">
        <v>-52.720700000000001</v>
      </c>
      <c r="M8865">
        <v>0.78734530000000003</v>
      </c>
      <c r="N8865">
        <v>-1.282754E-2</v>
      </c>
      <c r="O8865">
        <v>-0.61637889999999995</v>
      </c>
      <c r="P8865">
        <v>0.92470929999999996</v>
      </c>
      <c r="Q8865">
        <v>8.2044649999999997E-2</v>
      </c>
      <c r="R8865">
        <v>-0.371728</v>
      </c>
      <c r="S8865">
        <v>2.9588320000000001</v>
      </c>
      <c r="T8865">
        <v>-0.1213926</v>
      </c>
      <c r="U8865">
        <v>-0.73748780000000003</v>
      </c>
      <c r="V8865">
        <v>-0.27921560000000001</v>
      </c>
      <c r="W8865">
        <v>8.853635E-2</v>
      </c>
      <c r="X8865">
        <v>0.95613809999999999</v>
      </c>
      <c r="Y8865">
        <v>-0.40712700000000002</v>
      </c>
      <c r="Z8865">
        <v>2.543919E-2</v>
      </c>
      <c r="AA8865">
        <v>0.91301730000000003</v>
      </c>
      <c r="AB8865">
        <v>25</v>
      </c>
      <c r="AC8865">
        <v>27.420300000000001</v>
      </c>
      <c r="AD8865">
        <v>-1.1295052934209999</v>
      </c>
      <c r="AE8865">
        <v>-6.7823900000000004</v>
      </c>
      <c r="AF8865">
        <v>-11.543703960483301</v>
      </c>
      <c r="AG8865">
        <v>-1.1295052934209999</v>
      </c>
      <c r="AH8865">
        <v>25.730742458773602</v>
      </c>
      <c r="AI8865">
        <v>92.293536492328201</v>
      </c>
      <c r="AJ8865">
        <v>114.16265941348</v>
      </c>
      <c r="AK8865">
        <v>28.224173873027301</v>
      </c>
      <c r="AL8865">
        <v>84.920590292720306</v>
      </c>
      <c r="AM8865">
        <v>106.27908953217199</v>
      </c>
      <c r="AN8865">
        <v>1.00000005141314</v>
      </c>
    </row>
    <row r="8866" spans="1:40" x14ac:dyDescent="0.25">
      <c r="A8866" t="str">
        <f>"20190303162125714"</f>
        <v>20190303162125714</v>
      </c>
      <c r="B8866" t="str">
        <f>"1551601285701744"</f>
        <v>1551601285701744</v>
      </c>
      <c r="C8866" t="s">
        <v>40</v>
      </c>
      <c r="D8866">
        <v>4.7772899999999998</v>
      </c>
      <c r="E8866">
        <v>0.48593829999999999</v>
      </c>
      <c r="F8866" t="s">
        <v>41</v>
      </c>
      <c r="G8866">
        <v>-261.11360000000002</v>
      </c>
      <c r="H8866" s="1">
        <v>-4.0317599999999998E-7</v>
      </c>
      <c r="I8866">
        <v>-63.842030000000001</v>
      </c>
      <c r="J8866">
        <v>-294.54259999999999</v>
      </c>
      <c r="K8866">
        <v>1.1293420000000001</v>
      </c>
      <c r="L8866">
        <v>-52.845669999999998</v>
      </c>
      <c r="M8866">
        <v>0.79391259999999997</v>
      </c>
      <c r="N8866">
        <v>-1.277466E-2</v>
      </c>
      <c r="O8866">
        <v>-0.60789789999999999</v>
      </c>
      <c r="P8866">
        <v>0.92376590000000003</v>
      </c>
      <c r="Q8866">
        <v>8.3417309999999995E-2</v>
      </c>
      <c r="R8866">
        <v>-0.37376239999999999</v>
      </c>
      <c r="S8866">
        <v>2.870911</v>
      </c>
      <c r="T8866">
        <v>-9.648764E-2</v>
      </c>
      <c r="U8866">
        <v>-0.95004270000000002</v>
      </c>
      <c r="V8866">
        <v>-0.266737</v>
      </c>
      <c r="W8866">
        <v>9.0267459999999994E-2</v>
      </c>
      <c r="X8866">
        <v>0.95953279999999996</v>
      </c>
      <c r="Y8866">
        <v>-0.3274282</v>
      </c>
      <c r="Z8866">
        <v>1.7597789999999999E-2</v>
      </c>
      <c r="AA8866">
        <v>0.9447122</v>
      </c>
      <c r="AB8866">
        <v>25</v>
      </c>
      <c r="AC8866">
        <v>33.428999999999903</v>
      </c>
      <c r="AD8866">
        <v>-1.129342403176</v>
      </c>
      <c r="AE8866">
        <v>-10.996359999999999</v>
      </c>
      <c r="AF8866">
        <v>-11.5802882844135</v>
      </c>
      <c r="AG8866">
        <v>-1.129342403176</v>
      </c>
      <c r="AH8866">
        <v>33.192890867104403</v>
      </c>
      <c r="AI8866">
        <v>91.839976821896698</v>
      </c>
      <c r="AJ8866">
        <v>109.232785028647</v>
      </c>
      <c r="AK8866">
        <v>35.173093340353802</v>
      </c>
      <c r="AL8866">
        <v>84.8210060428449</v>
      </c>
      <c r="AM8866">
        <v>105.535203517063</v>
      </c>
      <c r="AN8866">
        <v>1.0000000178898401</v>
      </c>
    </row>
    <row r="8867" spans="1:40" x14ac:dyDescent="0.25">
      <c r="A8867" t="str">
        <f>"20190303162125729"</f>
        <v>20190303162125729</v>
      </c>
      <c r="B8867" t="str">
        <f>"1551601285721265"</f>
        <v>1551601285721265</v>
      </c>
      <c r="C8867" t="s">
        <v>40</v>
      </c>
      <c r="D8867">
        <v>4.5635370000000002</v>
      </c>
      <c r="E8867">
        <v>0.4875891</v>
      </c>
      <c r="F8867" t="s">
        <v>86</v>
      </c>
      <c r="G8867">
        <v>-261.6268</v>
      </c>
      <c r="H8867" s="1">
        <v>-8.6485620000000001E-7</v>
      </c>
      <c r="I8867">
        <v>-64.749669999999995</v>
      </c>
      <c r="J8867">
        <v>-294.41539999999998</v>
      </c>
      <c r="K8867">
        <v>1.1292310000000001</v>
      </c>
      <c r="L8867">
        <v>-52.933439999999997</v>
      </c>
      <c r="M8867">
        <v>0.79844579999999998</v>
      </c>
      <c r="N8867">
        <v>-1.2738660000000001E-2</v>
      </c>
      <c r="O8867">
        <v>-0.60193189999999996</v>
      </c>
      <c r="P8867">
        <v>0.92399620000000005</v>
      </c>
      <c r="Q8867">
        <v>8.4277480000000002E-2</v>
      </c>
      <c r="R8867">
        <v>-0.37299929999999998</v>
      </c>
      <c r="S8867">
        <v>2.8406980000000002</v>
      </c>
      <c r="T8867">
        <v>-9.7464439999999999E-2</v>
      </c>
      <c r="U8867">
        <v>-1.027344</v>
      </c>
      <c r="V8867">
        <v>-0.26027109999999998</v>
      </c>
      <c r="W8867">
        <v>9.1319780000000003E-2</v>
      </c>
      <c r="X8867">
        <v>0.96120740000000005</v>
      </c>
      <c r="Y8867">
        <v>-0.29424529999999999</v>
      </c>
      <c r="Z8867">
        <v>1.7154590000000001E-2</v>
      </c>
      <c r="AA8867">
        <v>0.95557590000000003</v>
      </c>
      <c r="AB8867">
        <v>25</v>
      </c>
      <c r="AC8867">
        <v>32.788599999999903</v>
      </c>
      <c r="AD8867">
        <v>-1.1292318648562001</v>
      </c>
      <c r="AE8867">
        <v>-11.8162299999999</v>
      </c>
      <c r="AF8867">
        <v>-10.291917057381299</v>
      </c>
      <c r="AG8867">
        <v>-1.1292318648562001</v>
      </c>
      <c r="AH8867">
        <v>33.260272183184398</v>
      </c>
      <c r="AI8867">
        <v>91.857684274266802</v>
      </c>
      <c r="AJ8867">
        <v>107.193936452063</v>
      </c>
      <c r="AK8867">
        <v>34.834529234943503</v>
      </c>
      <c r="AL8867">
        <v>84.7604624266488</v>
      </c>
      <c r="AM8867">
        <v>105.150963387524</v>
      </c>
      <c r="AN8867">
        <v>1.0000000067646</v>
      </c>
    </row>
    <row r="8868" spans="1:40" x14ac:dyDescent="0.25">
      <c r="A8868" t="str">
        <f>"20190303162125748"</f>
        <v>20190303162125748</v>
      </c>
      <c r="B8868" t="str">
        <f>"1551601285741762"</f>
        <v>1551601285741762</v>
      </c>
      <c r="C8868" t="s">
        <v>40</v>
      </c>
      <c r="D8868">
        <v>4.5536099999999999</v>
      </c>
      <c r="E8868">
        <v>0.48800880000000002</v>
      </c>
      <c r="F8868" t="s">
        <v>86</v>
      </c>
      <c r="G8868">
        <v>-262.6542</v>
      </c>
      <c r="H8868" s="1">
        <v>-1.252935E-6</v>
      </c>
      <c r="I8868">
        <v>-64.551749999999998</v>
      </c>
      <c r="J8868">
        <v>-294.22840000000002</v>
      </c>
      <c r="K8868">
        <v>1.1290709999999999</v>
      </c>
      <c r="L8868">
        <v>-53.05988</v>
      </c>
      <c r="M8868">
        <v>0.80485139999999999</v>
      </c>
      <c r="N8868">
        <v>-1.268701E-2</v>
      </c>
      <c r="O8868">
        <v>-0.59334119999999901</v>
      </c>
      <c r="P8868">
        <v>0.92323189999999999</v>
      </c>
      <c r="Q8868">
        <v>8.6017990000000003E-2</v>
      </c>
      <c r="R8868">
        <v>-0.3744922</v>
      </c>
      <c r="S8868">
        <v>2.8370669999999998</v>
      </c>
      <c r="T8868">
        <v>-0.10086870000000001</v>
      </c>
      <c r="U8868">
        <v>-1.037811</v>
      </c>
      <c r="V8868">
        <v>-0.2482866</v>
      </c>
      <c r="W8868">
        <v>9.3390849999999997E-2</v>
      </c>
      <c r="X8868">
        <v>0.96417419999999998</v>
      </c>
      <c r="Y8868">
        <v>-0.28045569999999997</v>
      </c>
      <c r="Z8868">
        <v>1.7585190000000001E-2</v>
      </c>
      <c r="AA8868">
        <v>0.9597059</v>
      </c>
      <c r="AB8868">
        <v>25</v>
      </c>
      <c r="AC8868">
        <v>31.574200000000001</v>
      </c>
      <c r="AD8868">
        <v>-1.1290722529349999</v>
      </c>
      <c r="AE8868">
        <v>-11.491869999999899</v>
      </c>
      <c r="AF8868">
        <v>-9.4750882511854293</v>
      </c>
      <c r="AG8868">
        <v>-1.1290722529349999</v>
      </c>
      <c r="AH8868">
        <v>32.197369270060101</v>
      </c>
      <c r="AI8868">
        <v>91.926748655608506</v>
      </c>
      <c r="AJ8868">
        <v>106.39817750548499</v>
      </c>
      <c r="AK8868">
        <v>33.581582592735401</v>
      </c>
      <c r="AL8868">
        <v>84.641289399307894</v>
      </c>
      <c r="AM8868">
        <v>104.440619578498</v>
      </c>
      <c r="AN8868">
        <v>0.99999998727446104</v>
      </c>
    </row>
    <row r="8869" spans="1:40" x14ac:dyDescent="0.25">
      <c r="A8869" t="str">
        <f>"20190303162125762"</f>
        <v>20190303162125762</v>
      </c>
      <c r="B8869" t="str">
        <f>"1551601285751521"</f>
        <v>1551601285751521</v>
      </c>
      <c r="C8869" t="s">
        <v>40</v>
      </c>
      <c r="D8869">
        <v>4.517404</v>
      </c>
      <c r="E8869">
        <v>0.4879559</v>
      </c>
      <c r="F8869" t="s">
        <v>41</v>
      </c>
      <c r="G8869">
        <v>-260.96409999999997</v>
      </c>
      <c r="H8869" s="1">
        <v>-7.3956800000000005E-7</v>
      </c>
      <c r="I8869">
        <v>-65.347390000000004</v>
      </c>
      <c r="J8869">
        <v>-294.09870000000001</v>
      </c>
      <c r="K8869">
        <v>1.128959</v>
      </c>
      <c r="L8869">
        <v>-53.146090000000001</v>
      </c>
      <c r="M8869">
        <v>0.80913869999999999</v>
      </c>
      <c r="N8869">
        <v>-1.265197E-2</v>
      </c>
      <c r="O8869">
        <v>-0.58748149999999999</v>
      </c>
      <c r="P8869">
        <v>0.92385050000000002</v>
      </c>
      <c r="Q8869">
        <v>8.6163509999999999E-2</v>
      </c>
      <c r="R8869">
        <v>-0.37292930000000002</v>
      </c>
      <c r="S8869">
        <v>2.8338009999999998</v>
      </c>
      <c r="T8869">
        <v>-9.618604E-2</v>
      </c>
      <c r="U8869">
        <v>-1.046783</v>
      </c>
      <c r="V8869">
        <v>-0.24287549999999999</v>
      </c>
      <c r="W8869">
        <v>9.3694219999999995E-2</v>
      </c>
      <c r="X8869">
        <v>0.96552210000000005</v>
      </c>
      <c r="Y8869">
        <v>-0.27047470000000001</v>
      </c>
      <c r="Z8869">
        <v>1.6228630000000001E-2</v>
      </c>
      <c r="AA8869">
        <v>0.96259030000000001</v>
      </c>
      <c r="AB8869">
        <v>25</v>
      </c>
      <c r="AC8869">
        <v>33.134599999999999</v>
      </c>
      <c r="AD8869">
        <v>-1.128959739568</v>
      </c>
      <c r="AE8869">
        <v>-12.2013</v>
      </c>
      <c r="AF8869">
        <v>-9.5843903821692997</v>
      </c>
      <c r="AG8869">
        <v>-1.128959739568</v>
      </c>
      <c r="AH8869">
        <v>33.946541844209897</v>
      </c>
      <c r="AI8869">
        <v>91.833170384934206</v>
      </c>
      <c r="AJ8869">
        <v>105.76637663080101</v>
      </c>
      <c r="AK8869">
        <v>35.291681629983003</v>
      </c>
      <c r="AL8869">
        <v>84.623831207407704</v>
      </c>
      <c r="AM8869">
        <v>104.11970894969301</v>
      </c>
      <c r="AN8869">
        <v>1.0000000204750299</v>
      </c>
    </row>
    <row r="8870" spans="1:40" x14ac:dyDescent="0.25">
      <c r="A8870" t="str">
        <f>"20190303162125776"</f>
        <v>20190303162125776</v>
      </c>
      <c r="B8870" t="str">
        <f>"1551601285772016"</f>
        <v>1551601285772016</v>
      </c>
      <c r="C8870" t="s">
        <v>40</v>
      </c>
      <c r="D8870">
        <v>4.5511670000000004</v>
      </c>
      <c r="E8870">
        <v>0.48816890000000002</v>
      </c>
      <c r="F8870" t="s">
        <v>41</v>
      </c>
      <c r="G8870">
        <v>-261.49540000000002</v>
      </c>
      <c r="H8870" s="1">
        <v>-9.0943079999999995E-7</v>
      </c>
      <c r="I8870">
        <v>-65.129109999999997</v>
      </c>
      <c r="J8870">
        <v>-293.96640000000002</v>
      </c>
      <c r="K8870">
        <v>1.1288480000000001</v>
      </c>
      <c r="L8870">
        <v>-53.232509999999998</v>
      </c>
      <c r="M8870">
        <v>0.81336949999999997</v>
      </c>
      <c r="N8870">
        <v>-1.2616749999999999E-2</v>
      </c>
      <c r="O8870">
        <v>-0.58161090000000004</v>
      </c>
      <c r="P8870">
        <v>0.92458870000000004</v>
      </c>
      <c r="Q8870">
        <v>8.6178589999999999E-2</v>
      </c>
      <c r="R8870">
        <v>-0.37109209999999998</v>
      </c>
      <c r="S8870">
        <v>2.835693</v>
      </c>
      <c r="T8870">
        <v>-9.8191979999999998E-2</v>
      </c>
      <c r="U8870">
        <v>-1.0422359999999999</v>
      </c>
      <c r="V8870">
        <v>-0.23777200000000001</v>
      </c>
      <c r="W8870">
        <v>9.385657E-2</v>
      </c>
      <c r="X8870">
        <v>0.96677579999999996</v>
      </c>
      <c r="Y8870">
        <v>-0.26506289999999999</v>
      </c>
      <c r="Z8870">
        <v>1.6512300000000001E-2</v>
      </c>
      <c r="AA8870">
        <v>0.9640898</v>
      </c>
      <c r="AB8870">
        <v>25</v>
      </c>
      <c r="AC8870">
        <v>32.470999999999997</v>
      </c>
      <c r="AD8870">
        <v>-1.1288489094308001</v>
      </c>
      <c r="AE8870">
        <v>-11.896599999999999</v>
      </c>
      <c r="AF8870">
        <v>-9.2000840573604492</v>
      </c>
      <c r="AG8870">
        <v>-1.1288489094308001</v>
      </c>
      <c r="AH8870">
        <v>33.297279977988197</v>
      </c>
      <c r="AI8870">
        <v>91.871629773557899</v>
      </c>
      <c r="AJ8870">
        <v>105.445548765697</v>
      </c>
      <c r="AK8870">
        <v>34.563343305521698</v>
      </c>
      <c r="AL8870">
        <v>84.614488028913698</v>
      </c>
      <c r="AM8870">
        <v>103.81727448349</v>
      </c>
      <c r="AN8870">
        <v>1.0000000135909</v>
      </c>
    </row>
    <row r="8871" spans="1:40" x14ac:dyDescent="0.25">
      <c r="A8871" t="str">
        <f>"20190303162125791"</f>
        <v>20190303162125791</v>
      </c>
      <c r="B8871" t="str">
        <f>"1551601285781776"</f>
        <v>1551601285781776</v>
      </c>
      <c r="C8871" t="s">
        <v>40</v>
      </c>
      <c r="D8871">
        <v>4.4732070000000004</v>
      </c>
      <c r="E8871">
        <v>0.48804140000000001</v>
      </c>
      <c r="F8871" t="s">
        <v>86</v>
      </c>
      <c r="G8871">
        <v>-261.70729999999998</v>
      </c>
      <c r="H8871" s="1">
        <v>-9.7577889999999995E-7</v>
      </c>
      <c r="I8871">
        <v>-65.036709999999999</v>
      </c>
      <c r="J8871">
        <v>-293.8381</v>
      </c>
      <c r="K8871">
        <v>1.1287339999999999</v>
      </c>
      <c r="L8871">
        <v>-53.315429999999999</v>
      </c>
      <c r="M8871">
        <v>0.81736469999999894</v>
      </c>
      <c r="N8871">
        <v>-1.2583169999999999E-2</v>
      </c>
      <c r="O8871">
        <v>-0.57598319999999903</v>
      </c>
      <c r="P8871">
        <v>0.92533799999999999</v>
      </c>
      <c r="Q8871">
        <v>8.6489499999999997E-2</v>
      </c>
      <c r="R8871">
        <v>-0.36914659999999999</v>
      </c>
      <c r="S8871">
        <v>2.83725</v>
      </c>
      <c r="T8871">
        <v>-9.9284529999999996E-2</v>
      </c>
      <c r="U8871">
        <v>-1.038208</v>
      </c>
      <c r="V8871">
        <v>-0.23308709999999999</v>
      </c>
      <c r="W8871">
        <v>9.4303300000000007E-2</v>
      </c>
      <c r="X8871">
        <v>0.96787259999999997</v>
      </c>
      <c r="Y8871">
        <v>-0.25977860000000003</v>
      </c>
      <c r="Z8871">
        <v>1.6584339999999999E-2</v>
      </c>
      <c r="AA8871">
        <v>0.96552570000000004</v>
      </c>
      <c r="AB8871">
        <v>25</v>
      </c>
      <c r="AC8871">
        <v>32.130800000000001</v>
      </c>
      <c r="AD8871">
        <v>-1.12873497577889</v>
      </c>
      <c r="AE8871">
        <v>-11.721279999999901</v>
      </c>
      <c r="AF8871">
        <v>-8.9172350332018198</v>
      </c>
      <c r="AG8871">
        <v>-1.12873497577889</v>
      </c>
      <c r="AH8871">
        <v>32.9805352339744</v>
      </c>
      <c r="AI8871">
        <v>91.892247495903206</v>
      </c>
      <c r="AJ8871">
        <v>105.129798085941</v>
      </c>
      <c r="AK8871">
        <v>34.183429137556402</v>
      </c>
      <c r="AL8871">
        <v>84.588778392538003</v>
      </c>
      <c r="AM8871">
        <v>103.540373695082</v>
      </c>
      <c r="AN8871">
        <v>1.00000003920402</v>
      </c>
    </row>
    <row r="8872" spans="1:40" x14ac:dyDescent="0.25">
      <c r="A8872" t="str">
        <f>"20190303162125804"</f>
        <v>20190303162125804</v>
      </c>
      <c r="B8872" t="str">
        <f>"1551601285791537"</f>
        <v>1551601285791537</v>
      </c>
      <c r="C8872" t="s">
        <v>40</v>
      </c>
      <c r="D8872">
        <v>4.7172390000000002</v>
      </c>
      <c r="E8872">
        <v>0.4880253</v>
      </c>
      <c r="F8872" t="s">
        <v>41</v>
      </c>
      <c r="G8872">
        <v>-261.54349999999999</v>
      </c>
      <c r="H8872" s="1">
        <v>-9.0739350000000002E-7</v>
      </c>
      <c r="I8872">
        <v>-65.043850000000006</v>
      </c>
      <c r="J8872">
        <v>-293.71210000000002</v>
      </c>
      <c r="K8872">
        <v>1.12862</v>
      </c>
      <c r="L8872">
        <v>-53.395940000000003</v>
      </c>
      <c r="M8872">
        <v>0.8211794</v>
      </c>
      <c r="N8872">
        <v>-1.25506E-2</v>
      </c>
      <c r="O8872">
        <v>-0.57053209999999999</v>
      </c>
      <c r="P8872">
        <v>0.92457469999999997</v>
      </c>
      <c r="Q8872">
        <v>8.7352979999999997E-2</v>
      </c>
      <c r="R8872">
        <v>-0.3708515</v>
      </c>
      <c r="S8872">
        <v>2.8399049999999999</v>
      </c>
      <c r="T8872">
        <v>-9.9257949999999998E-2</v>
      </c>
      <c r="U8872">
        <v>-1.031372</v>
      </c>
      <c r="V8872">
        <v>-0.2247894</v>
      </c>
      <c r="W8872">
        <v>9.5379420000000006E-2</v>
      </c>
      <c r="X8872">
        <v>0.96972809999999998</v>
      </c>
      <c r="Y8872">
        <v>-0.25569750000000002</v>
      </c>
      <c r="Z8872">
        <v>1.6424609999999999E-2</v>
      </c>
      <c r="AA8872">
        <v>0.96661730000000001</v>
      </c>
      <c r="AB8872">
        <v>25</v>
      </c>
      <c r="AC8872">
        <v>32.168599999999998</v>
      </c>
      <c r="AD8872">
        <v>-1.1286209073935001</v>
      </c>
      <c r="AE8872">
        <v>-11.64791</v>
      </c>
      <c r="AF8872">
        <v>-8.7793333054040801</v>
      </c>
      <c r="AG8872">
        <v>-1.1286209073935001</v>
      </c>
      <c r="AH8872">
        <v>33.028359364164899</v>
      </c>
      <c r="AI8872">
        <v>91.891476437380007</v>
      </c>
      <c r="AJ8872">
        <v>104.885688159675</v>
      </c>
      <c r="AK8872">
        <v>34.193902975945903</v>
      </c>
      <c r="AL8872">
        <v>84.526842121831393</v>
      </c>
      <c r="AM8872">
        <v>103.05103706348299</v>
      </c>
      <c r="AN8872">
        <v>1.00000004802075</v>
      </c>
    </row>
    <row r="8873" spans="1:40" x14ac:dyDescent="0.25">
      <c r="A8873" t="str">
        <f>"20190303162125816"</f>
        <v>20190303162125816</v>
      </c>
      <c r="B8873" t="str">
        <f>"1551601285801297"</f>
        <v>1551601285801297</v>
      </c>
      <c r="C8873" t="s">
        <v>40</v>
      </c>
      <c r="D8873">
        <v>4.5606080000000002</v>
      </c>
      <c r="E8873">
        <v>0.48805290000000001</v>
      </c>
      <c r="F8873" t="s">
        <v>41</v>
      </c>
      <c r="G8873">
        <v>-260.33879999999999</v>
      </c>
      <c r="H8873" s="1">
        <v>-5.3308339999999995E-7</v>
      </c>
      <c r="I8873">
        <v>-65.57938</v>
      </c>
      <c r="J8873">
        <v>-293.59629999999999</v>
      </c>
      <c r="K8873">
        <v>1.128509</v>
      </c>
      <c r="L8873">
        <v>-53.4685699999999</v>
      </c>
      <c r="M8873">
        <v>0.82455579999999995</v>
      </c>
      <c r="N8873">
        <v>-1.251997E-2</v>
      </c>
      <c r="O8873">
        <v>-0.56564239999999999</v>
      </c>
      <c r="P8873">
        <v>0.92538830000000005</v>
      </c>
      <c r="Q8873">
        <v>8.8301409999999997E-2</v>
      </c>
      <c r="R8873">
        <v>-0.36859170000000002</v>
      </c>
      <c r="S8873">
        <v>2.8381959999999999</v>
      </c>
      <c r="T8873">
        <v>-9.5982310000000001E-2</v>
      </c>
      <c r="U8873">
        <v>-1.036133</v>
      </c>
      <c r="V8873">
        <v>-0.22133069999999999</v>
      </c>
      <c r="W8873">
        <v>9.6430730000000006E-2</v>
      </c>
      <c r="X8873">
        <v>0.97041940000000004</v>
      </c>
      <c r="Y8873">
        <v>-0.24835189999999999</v>
      </c>
      <c r="Z8873">
        <v>1.548941E-2</v>
      </c>
      <c r="AA8873">
        <v>0.96854600000000002</v>
      </c>
      <c r="AB8873">
        <v>25</v>
      </c>
      <c r="AC8873">
        <v>33.257499999999901</v>
      </c>
      <c r="AD8873">
        <v>-1.1285095330833901</v>
      </c>
      <c r="AE8873">
        <v>-12.110810000000001</v>
      </c>
      <c r="AF8873">
        <v>-8.8175398359195203</v>
      </c>
      <c r="AG8873">
        <v>-1.1285095330833901</v>
      </c>
      <c r="AH8873">
        <v>34.240923287744302</v>
      </c>
      <c r="AI8873">
        <v>91.828068560889704</v>
      </c>
      <c r="AJ8873">
        <v>104.44075302746199</v>
      </c>
      <c r="AK8873">
        <v>35.376028184654601</v>
      </c>
      <c r="AL8873">
        <v>84.466327220861004</v>
      </c>
      <c r="AM8873">
        <v>102.848096439052</v>
      </c>
      <c r="AN8873">
        <v>0.99999998817359104</v>
      </c>
    </row>
    <row r="8874" spans="1:40" x14ac:dyDescent="0.25">
      <c r="A8874" t="str">
        <f>"20190303162125831"</f>
        <v>20190303162125831</v>
      </c>
      <c r="B8874" t="str">
        <f>"1551601285821792"</f>
        <v>1551601285821792</v>
      </c>
      <c r="C8874" t="s">
        <v>40</v>
      </c>
      <c r="D8874">
        <v>4.6099360000000003</v>
      </c>
      <c r="E8874">
        <v>0.4879946</v>
      </c>
      <c r="F8874" t="s">
        <v>87</v>
      </c>
      <c r="G8874">
        <v>-259.09160000000003</v>
      </c>
      <c r="H8874" s="1">
        <v>-3.8636149999999999E-6</v>
      </c>
      <c r="I8874">
        <v>-65.969040000000007</v>
      </c>
      <c r="J8874">
        <v>-293.45670000000001</v>
      </c>
      <c r="K8874">
        <v>1.128374</v>
      </c>
      <c r="L8874">
        <v>-53.555300000000003</v>
      </c>
      <c r="M8874">
        <v>0.82852349999999997</v>
      </c>
      <c r="N8874">
        <v>-1.2483640000000001E-2</v>
      </c>
      <c r="O8874">
        <v>-0.55981499999999995</v>
      </c>
      <c r="P8874">
        <v>0.926589</v>
      </c>
      <c r="Q8874">
        <v>8.9309769999999997E-2</v>
      </c>
      <c r="R8874">
        <v>-0.36531720000000001</v>
      </c>
      <c r="S8874">
        <v>2.840881</v>
      </c>
      <c r="T8874">
        <v>-9.2914220000000006E-2</v>
      </c>
      <c r="U8874">
        <v>-1.0292049999999999</v>
      </c>
      <c r="V8874">
        <v>-0.2178465</v>
      </c>
      <c r="W8874">
        <v>9.7548389999999999E-2</v>
      </c>
      <c r="X8874">
        <v>0.97109590000000001</v>
      </c>
      <c r="Y8874">
        <v>-0.24392169999999999</v>
      </c>
      <c r="Z8874">
        <v>1.4657679999999999E-2</v>
      </c>
      <c r="AA8874">
        <v>0.96968410000000005</v>
      </c>
      <c r="AB8874">
        <v>25</v>
      </c>
      <c r="AC8874">
        <v>34.365099999999899</v>
      </c>
      <c r="AD8874">
        <v>-1.1283778636149999</v>
      </c>
      <c r="AE8874">
        <v>-12.413740000000001</v>
      </c>
      <c r="AF8874">
        <v>-8.9451904986863706</v>
      </c>
      <c r="AG8874">
        <v>-1.1283778636149999</v>
      </c>
      <c r="AH8874">
        <v>35.3907017552974</v>
      </c>
      <c r="AI8874">
        <v>91.770526157907099</v>
      </c>
      <c r="AJ8874">
        <v>104.18473229117301</v>
      </c>
      <c r="AK8874">
        <v>36.521109517555701</v>
      </c>
      <c r="AL8874">
        <v>84.401986834639501</v>
      </c>
      <c r="AM8874">
        <v>102.643871113432</v>
      </c>
      <c r="AN8874">
        <v>1.00000001647532</v>
      </c>
    </row>
    <row r="8875" spans="1:40" x14ac:dyDescent="0.25">
      <c r="A8875" t="str">
        <f>"20190303162125844"</f>
        <v>20190303162125844</v>
      </c>
      <c r="B8875" t="str">
        <f>"1551601285831553"</f>
        <v>1551601285831553</v>
      </c>
      <c r="C8875" t="s">
        <v>40</v>
      </c>
      <c r="D8875">
        <v>4.5615119999999996</v>
      </c>
      <c r="E8875">
        <v>0.48799110000000001</v>
      </c>
      <c r="F8875" t="s">
        <v>87</v>
      </c>
      <c r="G8875">
        <v>-258.6893</v>
      </c>
      <c r="H8875" s="1">
        <v>-3.7316270000000001E-6</v>
      </c>
      <c r="I8875">
        <v>-66.005969999999905</v>
      </c>
      <c r="J8875">
        <v>-293.32679999999999</v>
      </c>
      <c r="K8875">
        <v>1.1282460000000001</v>
      </c>
      <c r="L8875">
        <v>-53.635159999999999</v>
      </c>
      <c r="M8875">
        <v>0.83211100000000005</v>
      </c>
      <c r="N8875">
        <v>-1.245015E-2</v>
      </c>
      <c r="O8875">
        <v>-0.55446949999999995</v>
      </c>
      <c r="P8875">
        <v>0.9275215</v>
      </c>
      <c r="Q8875">
        <v>8.9800679999999994E-2</v>
      </c>
      <c r="R8875">
        <v>-0.36282199999999998</v>
      </c>
      <c r="S8875">
        <v>2.84491</v>
      </c>
      <c r="T8875">
        <v>-9.2331529999999995E-2</v>
      </c>
      <c r="U8875">
        <v>-1.018799</v>
      </c>
      <c r="V8875">
        <v>-0.2141528</v>
      </c>
      <c r="W8875">
        <v>9.8150589999999996E-2</v>
      </c>
      <c r="X8875">
        <v>0.97185650000000001</v>
      </c>
      <c r="Y8875">
        <v>-0.24126230000000001</v>
      </c>
      <c r="Z8875">
        <v>1.4416139999999999E-2</v>
      </c>
      <c r="AA8875">
        <v>0.97035289999999996</v>
      </c>
      <c r="AB8875">
        <v>25</v>
      </c>
      <c r="AC8875">
        <v>34.637499999999903</v>
      </c>
      <c r="AD8875">
        <v>-1.1282497316269999</v>
      </c>
      <c r="AE8875">
        <v>-12.370809999999899</v>
      </c>
      <c r="AF8875">
        <v>-8.9038619860125596</v>
      </c>
      <c r="AG8875">
        <v>-1.1282497316269999</v>
      </c>
      <c r="AH8875">
        <v>35.650698198858102</v>
      </c>
      <c r="AI8875">
        <v>91.758669330109498</v>
      </c>
      <c r="AJ8875">
        <v>104.022912761141</v>
      </c>
      <c r="AK8875">
        <v>36.763079139116499</v>
      </c>
      <c r="AL8875">
        <v>84.3673168971889</v>
      </c>
      <c r="AM8875">
        <v>102.42678214418299</v>
      </c>
      <c r="AN8875">
        <v>1.0000000083287099</v>
      </c>
    </row>
    <row r="8876" spans="1:40" x14ac:dyDescent="0.25">
      <c r="A8876" t="str">
        <f>"20190303162125859"</f>
        <v>20190303162125859</v>
      </c>
      <c r="B8876" t="str">
        <f>"1551601285852048"</f>
        <v>1551601285852048</v>
      </c>
      <c r="C8876" t="s">
        <v>40</v>
      </c>
      <c r="D8876">
        <v>4.6146010000000004</v>
      </c>
      <c r="E8876">
        <v>0.48813119999999999</v>
      </c>
      <c r="F8876" t="s">
        <v>87</v>
      </c>
      <c r="G8876">
        <v>-258.7063</v>
      </c>
      <c r="H8876" s="1">
        <v>-3.726605E-6</v>
      </c>
      <c r="I8876">
        <v>-65.925110000000004</v>
      </c>
      <c r="J8876">
        <v>-293.18529999999998</v>
      </c>
      <c r="K8876">
        <v>1.1281080000000001</v>
      </c>
      <c r="L8876">
        <v>-53.720579999999998</v>
      </c>
      <c r="M8876">
        <v>0.83586849999999902</v>
      </c>
      <c r="N8876">
        <v>-1.2414110000000001E-2</v>
      </c>
      <c r="O8876">
        <v>-0.54878939999999998</v>
      </c>
      <c r="P8876">
        <v>0.92660450000000005</v>
      </c>
      <c r="Q8876">
        <v>8.8701279999999993E-2</v>
      </c>
      <c r="R8876">
        <v>-0.36542570000000002</v>
      </c>
      <c r="S8876">
        <v>2.847931</v>
      </c>
      <c r="T8876">
        <v>-9.2811229999999995E-2</v>
      </c>
      <c r="U8876">
        <v>-1.0109859999999999</v>
      </c>
      <c r="V8876">
        <v>-0.20479040000000001</v>
      </c>
      <c r="W8876">
        <v>9.7275500000000001E-2</v>
      </c>
      <c r="X8876">
        <v>0.97396020000000005</v>
      </c>
      <c r="Y8876">
        <v>-0.23733950000000001</v>
      </c>
      <c r="Z8876">
        <v>1.437717E-2</v>
      </c>
      <c r="AA8876">
        <v>0.97132039999999997</v>
      </c>
      <c r="AB8876">
        <v>25</v>
      </c>
      <c r="AC8876">
        <v>34.4789999999999</v>
      </c>
      <c r="AD8876">
        <v>-1.12811172660499</v>
      </c>
      <c r="AE8876">
        <v>-12.204529999999901</v>
      </c>
      <c r="AF8876">
        <v>-8.7127106640574699</v>
      </c>
      <c r="AG8876">
        <v>-1.12811172660499</v>
      </c>
      <c r="AH8876">
        <v>35.486603412237798</v>
      </c>
      <c r="AI8876">
        <v>91.7683245554568</v>
      </c>
      <c r="AJ8876">
        <v>103.79446460421801</v>
      </c>
      <c r="AK8876">
        <v>36.5579401077349</v>
      </c>
      <c r="AL8876">
        <v>84.417697188292806</v>
      </c>
      <c r="AM8876">
        <v>101.874357522106</v>
      </c>
      <c r="AN8876">
        <v>1.0000000510082201</v>
      </c>
    </row>
    <row r="8877" spans="1:40" x14ac:dyDescent="0.25">
      <c r="A8877" t="str">
        <f>"20190303162125872"</f>
        <v>20190303162125872</v>
      </c>
      <c r="B8877" t="str">
        <f>"1551601285861808"</f>
        <v>1551601285861808</v>
      </c>
      <c r="C8877" t="s">
        <v>40</v>
      </c>
      <c r="D8877">
        <v>4.7208009999999998</v>
      </c>
      <c r="E8877">
        <v>0.48804700000000001</v>
      </c>
      <c r="F8877" t="s">
        <v>41</v>
      </c>
      <c r="G8877">
        <v>-261.06630000000001</v>
      </c>
      <c r="H8877" s="1">
        <v>-7.5182810000000002E-7</v>
      </c>
      <c r="I8877">
        <v>-65.228519999999904</v>
      </c>
      <c r="J8877">
        <v>-293.0598</v>
      </c>
      <c r="K8877">
        <v>1.1279889999999999</v>
      </c>
      <c r="L8877">
        <v>-53.795529999999999</v>
      </c>
      <c r="M8877">
        <v>0.83910980000000002</v>
      </c>
      <c r="N8877">
        <v>-1.238351E-2</v>
      </c>
      <c r="O8877">
        <v>-0.54382109999999995</v>
      </c>
      <c r="P8877">
        <v>0.92689759999999999</v>
      </c>
      <c r="Q8877">
        <v>8.7697730000000002E-2</v>
      </c>
      <c r="R8877">
        <v>-0.36492469999999999</v>
      </c>
      <c r="S8877">
        <v>2.8451840000000002</v>
      </c>
      <c r="T8877">
        <v>-9.9930759999999993E-2</v>
      </c>
      <c r="U8877">
        <v>-1.019409</v>
      </c>
      <c r="V8877">
        <v>-0.19953689999999999</v>
      </c>
      <c r="W8877">
        <v>9.6404160000000003E-2</v>
      </c>
      <c r="X8877">
        <v>0.97513649999999996</v>
      </c>
      <c r="Y8877">
        <v>-0.22868620000000001</v>
      </c>
      <c r="Z8877">
        <v>1.566101E-2</v>
      </c>
      <c r="AA8877">
        <v>0.97337419999999997</v>
      </c>
      <c r="AB8877">
        <v>25</v>
      </c>
      <c r="AC8877">
        <v>31.993499999999901</v>
      </c>
      <c r="AD8877">
        <v>-1.1279897518280999</v>
      </c>
      <c r="AE8877">
        <v>-11.432989999999901</v>
      </c>
      <c r="AF8877">
        <v>-7.7972102393398401</v>
      </c>
      <c r="AG8877">
        <v>-1.1279897518280999</v>
      </c>
      <c r="AH8877">
        <v>33.029688079643002</v>
      </c>
      <c r="AI8877">
        <v>91.903651959104806</v>
      </c>
      <c r="AJ8877">
        <v>103.28245752594501</v>
      </c>
      <c r="AK8877">
        <v>33.956282821227703</v>
      </c>
      <c r="AL8877">
        <v>84.467856567428797</v>
      </c>
      <c r="AM8877">
        <v>101.564482402762</v>
      </c>
      <c r="AN8877">
        <v>0.999999965079582</v>
      </c>
    </row>
    <row r="8878" spans="1:40" x14ac:dyDescent="0.25">
      <c r="A8878" t="str">
        <f>"20190303162125884"</f>
        <v>20190303162125884</v>
      </c>
      <c r="B8878" t="str">
        <f>"1551601285871568"</f>
        <v>1551601285871568</v>
      </c>
      <c r="C8878" t="s">
        <v>40</v>
      </c>
      <c r="D8878">
        <v>4.8337459999999997</v>
      </c>
      <c r="E8878">
        <v>0.48798740000000002</v>
      </c>
      <c r="F8878" t="s">
        <v>41</v>
      </c>
      <c r="G8878">
        <v>-261.75920000000002</v>
      </c>
      <c r="H8878" s="1">
        <v>-9.8244750000000005E-7</v>
      </c>
      <c r="I8878">
        <v>-64.978139999999996</v>
      </c>
      <c r="J8878">
        <v>-292.94589999999999</v>
      </c>
      <c r="K8878">
        <v>1.1278840000000001</v>
      </c>
      <c r="L8878">
        <v>-53.863069999999901</v>
      </c>
      <c r="M8878">
        <v>0.84198949999999995</v>
      </c>
      <c r="N8878">
        <v>-1.2356819999999999E-2</v>
      </c>
      <c r="O8878">
        <v>-0.53935259999999996</v>
      </c>
      <c r="P8878">
        <v>0.92692629999999998</v>
      </c>
      <c r="Q8878">
        <v>8.6677840000000006E-2</v>
      </c>
      <c r="R8878">
        <v>-0.36509580000000003</v>
      </c>
      <c r="S8878">
        <v>2.8460079999999999</v>
      </c>
      <c r="T8878">
        <v>-0.1025625</v>
      </c>
      <c r="U8878">
        <v>-1.016785</v>
      </c>
      <c r="V8878">
        <v>-0.19417409999999999</v>
      </c>
      <c r="W8878">
        <v>9.5512799999999995E-2</v>
      </c>
      <c r="X8878">
        <v>0.97630609999999995</v>
      </c>
      <c r="Y8878">
        <v>-0.22438159999999999</v>
      </c>
      <c r="Z8878">
        <v>1.6063290000000001E-2</v>
      </c>
      <c r="AA8878">
        <v>0.97436900000000004</v>
      </c>
      <c r="AB8878">
        <v>25</v>
      </c>
      <c r="AC8878">
        <v>31.186699999999899</v>
      </c>
      <c r="AD8878">
        <v>-1.1278849824474999</v>
      </c>
      <c r="AE8878">
        <v>-11.115069999999999</v>
      </c>
      <c r="AF8878">
        <v>-7.4537740077108099</v>
      </c>
      <c r="AG8878">
        <v>-1.1278849824474999</v>
      </c>
      <c r="AH8878">
        <v>32.2188836578052</v>
      </c>
      <c r="AI8878">
        <v>91.953380579663602</v>
      </c>
      <c r="AJ8878">
        <v>103.02609666207</v>
      </c>
      <c r="AK8878">
        <v>33.089081819337999</v>
      </c>
      <c r="AL8878">
        <v>84.519164359626998</v>
      </c>
      <c r="AM8878">
        <v>101.24857413175801</v>
      </c>
      <c r="AN8878">
        <v>0.99999993848592805</v>
      </c>
    </row>
    <row r="8879" spans="1:40" x14ac:dyDescent="0.25">
      <c r="A8879" t="str">
        <f>"20190303162125894"</f>
        <v>20190303162125894</v>
      </c>
      <c r="B8879" t="str">
        <f>"1551601285881328"</f>
        <v>1551601285881328</v>
      </c>
      <c r="C8879" t="s">
        <v>40</v>
      </c>
      <c r="D8879">
        <v>4.7125919999999999</v>
      </c>
      <c r="E8879">
        <v>0.4879098</v>
      </c>
      <c r="F8879" t="s">
        <v>41</v>
      </c>
      <c r="G8879">
        <v>-262.51100000000002</v>
      </c>
      <c r="H8879" s="1">
        <v>-1.239094E-6</v>
      </c>
      <c r="I8879">
        <v>-64.730590000000007</v>
      </c>
      <c r="J8879">
        <v>-292.84010000000001</v>
      </c>
      <c r="K8879">
        <v>1.127799</v>
      </c>
      <c r="L8879">
        <v>-53.92465</v>
      </c>
      <c r="M8879">
        <v>0.84457090000000001</v>
      </c>
      <c r="N8879">
        <v>-1.233299E-2</v>
      </c>
      <c r="O8879">
        <v>-0.53530199999999994</v>
      </c>
      <c r="P8879">
        <v>0.92694279999999996</v>
      </c>
      <c r="Q8879">
        <v>8.602622E-2</v>
      </c>
      <c r="R8879">
        <v>-0.36520789999999997</v>
      </c>
      <c r="S8879">
        <v>2.846069</v>
      </c>
      <c r="T8879">
        <v>-0.10547239999999999</v>
      </c>
      <c r="U8879">
        <v>-1.0162659999999999</v>
      </c>
      <c r="V8879">
        <v>-0.1893601</v>
      </c>
      <c r="W8879">
        <v>9.4970250000000006E-2</v>
      </c>
      <c r="X8879">
        <v>0.97730419999999996</v>
      </c>
      <c r="Y8879">
        <v>-0.21984809999999999</v>
      </c>
      <c r="Z8879">
        <v>1.651422E-2</v>
      </c>
      <c r="AA8879">
        <v>0.97539430000000005</v>
      </c>
      <c r="AB8879">
        <v>25</v>
      </c>
      <c r="AC8879">
        <v>30.3291</v>
      </c>
      <c r="AD8879">
        <v>-1.1278002390940001</v>
      </c>
      <c r="AE8879">
        <v>-10.80594</v>
      </c>
      <c r="AF8879">
        <v>-7.1006724035150102</v>
      </c>
      <c r="AG8879">
        <v>-1.1278002390940001</v>
      </c>
      <c r="AH8879">
        <v>31.363416667865799</v>
      </c>
      <c r="AI8879">
        <v>92.008625874327507</v>
      </c>
      <c r="AJ8879">
        <v>102.75670057449599</v>
      </c>
      <c r="AK8879">
        <v>32.176938745683998</v>
      </c>
      <c r="AL8879">
        <v>84.550392738990894</v>
      </c>
      <c r="AM8879">
        <v>100.965615458702</v>
      </c>
      <c r="AN8879">
        <v>1.0000000475973501</v>
      </c>
    </row>
    <row r="8880" spans="1:40" x14ac:dyDescent="0.25">
      <c r="A8880" t="str">
        <f>"20190303162125907"</f>
        <v>20190303162125907</v>
      </c>
      <c r="B8880" t="str">
        <f>"1551601285901825"</f>
        <v>1551601285901825</v>
      </c>
      <c r="C8880" t="s">
        <v>40</v>
      </c>
      <c r="D8880">
        <v>4.5822929999999999</v>
      </c>
      <c r="E8880">
        <v>0.48776219999999998</v>
      </c>
      <c r="F8880" t="s">
        <v>86</v>
      </c>
      <c r="G8880">
        <v>-263.07310000000001</v>
      </c>
      <c r="H8880" s="1">
        <v>-1.4309039999999901E-6</v>
      </c>
      <c r="I8880">
        <v>-64.545230000000004</v>
      </c>
      <c r="J8880">
        <v>-292.72399999999999</v>
      </c>
      <c r="K8880">
        <v>1.1277090000000001</v>
      </c>
      <c r="L8880">
        <v>-53.991970000000002</v>
      </c>
      <c r="M8880">
        <v>0.84736440000000002</v>
      </c>
      <c r="N8880">
        <v>-1.230797E-2</v>
      </c>
      <c r="O8880">
        <v>-0.53086940000000005</v>
      </c>
      <c r="P8880">
        <v>0.92724200000000001</v>
      </c>
      <c r="Q8880">
        <v>8.6313669999999995E-2</v>
      </c>
      <c r="R8880">
        <v>-0.36437950000000002</v>
      </c>
      <c r="S8880">
        <v>2.8463750000000001</v>
      </c>
      <c r="T8880">
        <v>-0.1078422</v>
      </c>
      <c r="U8880">
        <v>-1.0155639999999999</v>
      </c>
      <c r="V8880">
        <v>-0.1850753</v>
      </c>
      <c r="W8880">
        <v>9.5355209999999996E-2</v>
      </c>
      <c r="X8880">
        <v>0.97808720000000005</v>
      </c>
      <c r="Y8880">
        <v>-0.21496979999999999</v>
      </c>
      <c r="Z8880">
        <v>1.682641E-2</v>
      </c>
      <c r="AA8880">
        <v>0.97647569999999995</v>
      </c>
      <c r="AB8880">
        <v>25</v>
      </c>
      <c r="AC8880">
        <v>29.650899999999901</v>
      </c>
      <c r="AD8880">
        <v>-1.127710430904</v>
      </c>
      <c r="AE8880">
        <v>-10.55326</v>
      </c>
      <c r="AF8880">
        <v>-6.7900952777267101</v>
      </c>
      <c r="AG8880">
        <v>-1.127710430904</v>
      </c>
      <c r="AH8880">
        <v>30.6904415372816</v>
      </c>
      <c r="AI8880">
        <v>92.054724673164102</v>
      </c>
      <c r="AJ8880">
        <v>102.475420432135</v>
      </c>
      <c r="AK8880">
        <v>31.452827002510901</v>
      </c>
      <c r="AL8880">
        <v>84.528235487255699</v>
      </c>
      <c r="AM8880">
        <v>100.714920090709</v>
      </c>
      <c r="AN8880">
        <v>1.0000000267740301</v>
      </c>
    </row>
    <row r="8881" spans="1:40" x14ac:dyDescent="0.25">
      <c r="A8881" t="str">
        <f>"20190303162125919"</f>
        <v>20190303162125919</v>
      </c>
      <c r="B8881" t="str">
        <f>"1551601285911584"</f>
        <v>1551601285911584</v>
      </c>
      <c r="C8881" t="s">
        <v>40</v>
      </c>
      <c r="D8881">
        <v>4.7741499999999997</v>
      </c>
      <c r="E8881">
        <v>0.48765760000000002</v>
      </c>
      <c r="F8881" t="s">
        <v>86</v>
      </c>
      <c r="G8881">
        <v>-263.11919999999998</v>
      </c>
      <c r="H8881" s="1">
        <v>-1.440599E-6</v>
      </c>
      <c r="I8881">
        <v>-64.507339999999999</v>
      </c>
      <c r="J8881">
        <v>-292.60550000000001</v>
      </c>
      <c r="K8881">
        <v>1.127632</v>
      </c>
      <c r="L8881">
        <v>-54.059690000000003</v>
      </c>
      <c r="M8881">
        <v>0.85012919999999903</v>
      </c>
      <c r="N8881">
        <v>-1.228371E-2</v>
      </c>
      <c r="O8881">
        <v>-0.52643119999999999</v>
      </c>
      <c r="P8881">
        <v>0.92750140000000003</v>
      </c>
      <c r="Q8881">
        <v>8.6940089999999998E-2</v>
      </c>
      <c r="R8881">
        <v>-0.36356949999999999</v>
      </c>
      <c r="S8881">
        <v>2.847931</v>
      </c>
      <c r="T8881">
        <v>-0.10848380000000001</v>
      </c>
      <c r="U8881">
        <v>-1.011566</v>
      </c>
      <c r="V8881">
        <v>-0.18076729999999999</v>
      </c>
      <c r="W8881">
        <v>9.6074270000000003E-2</v>
      </c>
      <c r="X8881">
        <v>0.97882219999999998</v>
      </c>
      <c r="Y8881">
        <v>-0.2112464</v>
      </c>
      <c r="Z8881">
        <v>1.6799080000000001E-2</v>
      </c>
      <c r="AA8881">
        <v>0.9772885</v>
      </c>
      <c r="AB8881">
        <v>25</v>
      </c>
      <c r="AC8881">
        <v>29.4863</v>
      </c>
      <c r="AD8881">
        <v>-1.1276334405990001</v>
      </c>
      <c r="AE8881">
        <v>-10.4476499999999</v>
      </c>
      <c r="AF8881">
        <v>-6.6325377187222099</v>
      </c>
      <c r="AG8881">
        <v>-1.1276334405990001</v>
      </c>
      <c r="AH8881">
        <v>30.529765072222901</v>
      </c>
      <c r="AI8881">
        <v>92.067114236821297</v>
      </c>
      <c r="AJ8881">
        <v>102.25694639271801</v>
      </c>
      <c r="AK8881">
        <v>31.2622563026368</v>
      </c>
      <c r="AL8881">
        <v>84.486846158936402</v>
      </c>
      <c r="AM8881">
        <v>100.463399562023</v>
      </c>
      <c r="AN8881">
        <v>0.99999999065908096</v>
      </c>
    </row>
    <row r="8882" spans="1:40" x14ac:dyDescent="0.25">
      <c r="A8882" t="str">
        <f>"20190303162125932"</f>
        <v>20190303162125932</v>
      </c>
      <c r="B8882" t="str">
        <f>"1551601285921345"</f>
        <v>1551601285921345</v>
      </c>
      <c r="C8882" t="s">
        <v>40</v>
      </c>
      <c r="D8882">
        <v>4.8352979999999999</v>
      </c>
      <c r="E8882">
        <v>0.4876298</v>
      </c>
      <c r="F8882" t="s">
        <v>86</v>
      </c>
      <c r="G8882">
        <v>-262.47730000000001</v>
      </c>
      <c r="H8882" s="1">
        <v>-1.2205499999999999E-6</v>
      </c>
      <c r="I8882">
        <v>-64.715220000000002</v>
      </c>
      <c r="J8882">
        <v>-292.48689999999999</v>
      </c>
      <c r="K8882">
        <v>1.127562</v>
      </c>
      <c r="L8882">
        <v>-54.126739999999998</v>
      </c>
      <c r="M8882">
        <v>0.85283609999999899</v>
      </c>
      <c r="N8882">
        <v>-1.226082E-2</v>
      </c>
      <c r="O8882">
        <v>-0.52203480000000002</v>
      </c>
      <c r="P8882">
        <v>0.92774710000000005</v>
      </c>
      <c r="Q8882">
        <v>8.8314680000000007E-2</v>
      </c>
      <c r="R8882">
        <v>-0.3626105</v>
      </c>
      <c r="S8882">
        <v>2.8494570000000001</v>
      </c>
      <c r="T8882">
        <v>-0.10664899999999999</v>
      </c>
      <c r="U8882">
        <v>-1.007782</v>
      </c>
      <c r="V8882">
        <v>-0.17665620000000001</v>
      </c>
      <c r="W8882">
        <v>9.75332E-2</v>
      </c>
      <c r="X8882">
        <v>0.97942839999999998</v>
      </c>
      <c r="Y8882">
        <v>-0.2075312</v>
      </c>
      <c r="Z8882">
        <v>1.6268100000000001E-2</v>
      </c>
      <c r="AA8882">
        <v>0.97809310000000005</v>
      </c>
      <c r="AB8882">
        <v>25</v>
      </c>
      <c r="AC8882">
        <v>30.009599999999899</v>
      </c>
      <c r="AD8882">
        <v>-1.1275632205499999</v>
      </c>
      <c r="AE8882">
        <v>-10.588479999999899</v>
      </c>
      <c r="AF8882">
        <v>-6.6279949195559604</v>
      </c>
      <c r="AG8882">
        <v>-1.1275632205499999</v>
      </c>
      <c r="AH8882">
        <v>31.084138514181799</v>
      </c>
      <c r="AI8882">
        <v>92.031831265459502</v>
      </c>
      <c r="AJ8882">
        <v>102.036778300394</v>
      </c>
      <c r="AK8882">
        <v>31.802914687789801</v>
      </c>
      <c r="AL8882">
        <v>84.402861596685099</v>
      </c>
      <c r="AM8882">
        <v>100.22431953514</v>
      </c>
      <c r="AN8882">
        <v>1.00000006441361</v>
      </c>
    </row>
    <row r="8883" spans="1:40" x14ac:dyDescent="0.25">
      <c r="A8883" t="str">
        <f>"20190303162125947"</f>
        <v>20190303162125947</v>
      </c>
      <c r="B8883" t="str">
        <f>"1551601285941841"</f>
        <v>1551601285941841</v>
      </c>
      <c r="C8883" t="s">
        <v>40</v>
      </c>
      <c r="D8883">
        <v>4.8352890000000004</v>
      </c>
      <c r="E8883">
        <v>0.4875159</v>
      </c>
      <c r="F8883" t="s">
        <v>41</v>
      </c>
      <c r="G8883">
        <v>-261.15980000000002</v>
      </c>
      <c r="H8883" s="1">
        <v>-7.7390190000000002E-7</v>
      </c>
      <c r="I8883">
        <v>-65.160839999999993</v>
      </c>
      <c r="J8883">
        <v>-292.33620000000002</v>
      </c>
      <c r="K8883">
        <v>1.127472</v>
      </c>
      <c r="L8883">
        <v>-54.211089999999999</v>
      </c>
      <c r="M8883">
        <v>0.85619639999999997</v>
      </c>
      <c r="N8883">
        <v>-1.223345E-2</v>
      </c>
      <c r="O8883">
        <v>-0.51650600000000002</v>
      </c>
      <c r="P8883">
        <v>0.9283479</v>
      </c>
      <c r="Q8883">
        <v>8.959259E-2</v>
      </c>
      <c r="R8883">
        <v>-0.36075459999999998</v>
      </c>
      <c r="S8883">
        <v>2.8508909999999998</v>
      </c>
      <c r="T8883">
        <v>-0.1026125</v>
      </c>
      <c r="U8883">
        <v>-1.0041500000000001</v>
      </c>
      <c r="V8883">
        <v>-0.17220639999999901</v>
      </c>
      <c r="W8883">
        <v>9.8900340000000003E-2</v>
      </c>
      <c r="X8883">
        <v>0.9800835</v>
      </c>
      <c r="Y8883">
        <v>-0.20249010000000001</v>
      </c>
      <c r="Z8883">
        <v>1.525633E-2</v>
      </c>
      <c r="AA8883">
        <v>0.97916550000000002</v>
      </c>
      <c r="AB8883">
        <v>25</v>
      </c>
      <c r="AC8883">
        <v>31.176400000000001</v>
      </c>
      <c r="AD8883">
        <v>-1.1274727739018999</v>
      </c>
      <c r="AE8883">
        <v>-10.94975</v>
      </c>
      <c r="AF8883">
        <v>-6.7203392247387903</v>
      </c>
      <c r="AG8883">
        <v>-1.1274727739018999</v>
      </c>
      <c r="AH8883">
        <v>32.3135269827931</v>
      </c>
      <c r="AI8883">
        <v>91.956503891459505</v>
      </c>
      <c r="AJ8883">
        <v>101.74849746360699</v>
      </c>
      <c r="AK8883">
        <v>33.0242059740904</v>
      </c>
      <c r="AL8883">
        <v>84.324149275050104</v>
      </c>
      <c r="AM8883">
        <v>99.965481032362604</v>
      </c>
      <c r="AN8883">
        <v>0.99999999421266195</v>
      </c>
    </row>
    <row r="8884" spans="1:40" x14ac:dyDescent="0.25">
      <c r="A8884" t="str">
        <f>"20190303162125960"</f>
        <v>20190303162125960</v>
      </c>
      <c r="B8884" t="str">
        <f>"1551601285951600"</f>
        <v>1551601285951600</v>
      </c>
      <c r="C8884" t="s">
        <v>40</v>
      </c>
      <c r="D8884">
        <v>4.8387200000000004</v>
      </c>
      <c r="E8884">
        <v>0.48746230000000002</v>
      </c>
      <c r="F8884" t="s">
        <v>41</v>
      </c>
      <c r="G8884">
        <v>-260.01670000000001</v>
      </c>
      <c r="H8884" s="1">
        <v>-3.7508019999999998E-7</v>
      </c>
      <c r="I8884">
        <v>-65.50497</v>
      </c>
      <c r="J8884">
        <v>-292.2038</v>
      </c>
      <c r="K8884">
        <v>1.127408</v>
      </c>
      <c r="L8884">
        <v>-54.284089999999999</v>
      </c>
      <c r="M8884">
        <v>0.85906059999999995</v>
      </c>
      <c r="N8884">
        <v>-1.221086E-2</v>
      </c>
      <c r="O8884">
        <v>-0.51172799999999996</v>
      </c>
      <c r="P8884">
        <v>0.92718710000000004</v>
      </c>
      <c r="Q8884">
        <v>8.9842469999999994E-2</v>
      </c>
      <c r="R8884">
        <v>-0.36366500000000002</v>
      </c>
      <c r="S8884">
        <v>2.8536380000000001</v>
      </c>
      <c r="T8884">
        <v>-9.9549529999999997E-2</v>
      </c>
      <c r="U8884">
        <v>-0.99719239999999998</v>
      </c>
      <c r="V8884">
        <v>-0.16363069999999999</v>
      </c>
      <c r="W8884">
        <v>9.9307439999999997E-2</v>
      </c>
      <c r="X8884">
        <v>0.98151060000000001</v>
      </c>
      <c r="Y8884">
        <v>-0.1994747</v>
      </c>
      <c r="Z8884">
        <v>1.4506399999999999E-2</v>
      </c>
      <c r="AA8884">
        <v>0.97979559999999999</v>
      </c>
      <c r="AB8884">
        <v>25</v>
      </c>
      <c r="AC8884">
        <v>32.187099999999901</v>
      </c>
      <c r="AD8884">
        <v>-1.1274083750802</v>
      </c>
      <c r="AE8884">
        <v>-11.220879999999999</v>
      </c>
      <c r="AF8884">
        <v>-6.8246689064867097</v>
      </c>
      <c r="AG8884">
        <v>-1.1274083750802</v>
      </c>
      <c r="AH8884">
        <v>33.358709726736102</v>
      </c>
      <c r="AI8884">
        <v>91.896410822253898</v>
      </c>
      <c r="AJ8884">
        <v>101.56226811371999</v>
      </c>
      <c r="AK8884">
        <v>34.068323556641403</v>
      </c>
      <c r="AL8884">
        <v>84.300708890695503</v>
      </c>
      <c r="AM8884">
        <v>99.464912149708894</v>
      </c>
      <c r="AN8884">
        <v>1.0000000157671001</v>
      </c>
    </row>
    <row r="8885" spans="1:40" x14ac:dyDescent="0.25">
      <c r="A8885" t="str">
        <f>"20190303162125975"</f>
        <v>20190303162125975</v>
      </c>
      <c r="B8885" t="str">
        <f>"1551601285961361"</f>
        <v>1551601285961361</v>
      </c>
      <c r="C8885" t="s">
        <v>40</v>
      </c>
      <c r="D8885">
        <v>4.833348</v>
      </c>
      <c r="E8885">
        <v>0.48741499999999999</v>
      </c>
      <c r="F8885" t="s">
        <v>87</v>
      </c>
      <c r="G8885">
        <v>-259.83980000000003</v>
      </c>
      <c r="H8885" s="1">
        <v>-4.0815830000000002E-6</v>
      </c>
      <c r="I8885">
        <v>-65.694980000000001</v>
      </c>
      <c r="J8885">
        <v>-292.07249999999999</v>
      </c>
      <c r="K8885">
        <v>1.127348</v>
      </c>
      <c r="L8885">
        <v>-54.355589999999999</v>
      </c>
      <c r="M8885">
        <v>0.86183699999999996</v>
      </c>
      <c r="N8885">
        <v>-1.2189800000000001E-2</v>
      </c>
      <c r="O8885">
        <v>-0.50703880000000001</v>
      </c>
      <c r="P8885">
        <v>0.92780859999999998</v>
      </c>
      <c r="Q8885">
        <v>8.9427409999999999E-2</v>
      </c>
      <c r="R8885">
        <v>-0.36217929999999998</v>
      </c>
      <c r="S8885">
        <v>2.8509519999999999</v>
      </c>
      <c r="T8885">
        <v>-9.9313970000000001E-2</v>
      </c>
      <c r="U8885">
        <v>-1.005188</v>
      </c>
      <c r="V8885">
        <v>-0.1598473</v>
      </c>
      <c r="W8885">
        <v>9.8962480000000005E-2</v>
      </c>
      <c r="X8885">
        <v>0.98216870000000001</v>
      </c>
      <c r="Y8885">
        <v>-0.1914013</v>
      </c>
      <c r="Z8885">
        <v>1.4222439999999999E-2</v>
      </c>
      <c r="AA8885">
        <v>0.98140879999999997</v>
      </c>
      <c r="AB8885">
        <v>25</v>
      </c>
      <c r="AC8885">
        <v>32.232699999999902</v>
      </c>
      <c r="AD8885">
        <v>-1.127352081583</v>
      </c>
      <c r="AE8885">
        <v>-11.33939</v>
      </c>
      <c r="AF8885">
        <v>-6.5638668976946901</v>
      </c>
      <c r="AG8885">
        <v>-1.127352081583</v>
      </c>
      <c r="AH8885">
        <v>33.494875207756998</v>
      </c>
      <c r="AI8885">
        <v>91.891747036008297</v>
      </c>
      <c r="AJ8885">
        <v>101.08753630944</v>
      </c>
      <c r="AK8885">
        <v>34.150577397017997</v>
      </c>
      <c r="AL8885">
        <v>84.320571643879902</v>
      </c>
      <c r="AM8885">
        <v>99.243803848646195</v>
      </c>
      <c r="AN8885">
        <v>1.0000000435123599</v>
      </c>
    </row>
    <row r="8886" spans="1:40" x14ac:dyDescent="0.25">
      <c r="A8886" t="str">
        <f>"20190303162125994"</f>
        <v>20190303162125994</v>
      </c>
      <c r="B8886" t="str">
        <f>"1551601285981856"</f>
        <v>1551601285981856</v>
      </c>
      <c r="C8886" t="s">
        <v>40</v>
      </c>
      <c r="D8886">
        <v>4.8329069999999996</v>
      </c>
      <c r="E8886">
        <v>0.48726760000000002</v>
      </c>
      <c r="F8886" t="s">
        <v>86</v>
      </c>
      <c r="G8886">
        <v>-260.30220000000003</v>
      </c>
      <c r="H8886" s="1">
        <v>-4.9567290000000003E-7</v>
      </c>
      <c r="I8886">
        <v>-65.497799999999998</v>
      </c>
      <c r="J8886">
        <v>-291.86939999999998</v>
      </c>
      <c r="K8886">
        <v>1.127254</v>
      </c>
      <c r="L8886">
        <v>-54.464570000000002</v>
      </c>
      <c r="M8886">
        <v>0.86600919999999904</v>
      </c>
      <c r="N8886">
        <v>-1.2159339999999999E-2</v>
      </c>
      <c r="O8886">
        <v>-0.49988060000000001</v>
      </c>
      <c r="P8886">
        <v>0.92852369999999995</v>
      </c>
      <c r="Q8886">
        <v>8.8576840000000004E-2</v>
      </c>
      <c r="R8886">
        <v>-0.36055280000000001</v>
      </c>
      <c r="S8886">
        <v>2.8526310000000001</v>
      </c>
      <c r="T8886">
        <v>-0.10122390000000001</v>
      </c>
      <c r="U8886">
        <v>-1.0004580000000001</v>
      </c>
      <c r="V8886">
        <v>-0.1534249</v>
      </c>
      <c r="W8886">
        <v>9.8229360000000002E-2</v>
      </c>
      <c r="X8886">
        <v>0.98326590000000003</v>
      </c>
      <c r="Y8886">
        <v>-0.184889</v>
      </c>
      <c r="Z8886">
        <v>1.434151E-2</v>
      </c>
      <c r="AA8886">
        <v>0.98265480000000005</v>
      </c>
      <c r="AB8886">
        <v>25</v>
      </c>
      <c r="AC8886">
        <v>31.5671999999999</v>
      </c>
      <c r="AD8886">
        <v>-1.1272544956729</v>
      </c>
      <c r="AE8886">
        <v>-11.03323</v>
      </c>
      <c r="AF8886">
        <v>-6.2183448909132997</v>
      </c>
      <c r="AG8886">
        <v>-1.1272544956729</v>
      </c>
      <c r="AH8886">
        <v>32.817912591661504</v>
      </c>
      <c r="AI8886">
        <v>91.932899900412195</v>
      </c>
      <c r="AJ8886">
        <v>100.72922010718101</v>
      </c>
      <c r="AK8886">
        <v>33.420860293449898</v>
      </c>
      <c r="AL8886">
        <v>84.362781851755699</v>
      </c>
      <c r="AM8886">
        <v>98.8686909301844</v>
      </c>
      <c r="AN8886">
        <v>1.00000001860441</v>
      </c>
    </row>
    <row r="8887" spans="1:40" x14ac:dyDescent="0.25">
      <c r="A8887" t="str">
        <f>"20190303162126006"</f>
        <v>20190303162126006</v>
      </c>
      <c r="B8887" t="str">
        <f>"1551601285991616"</f>
        <v>1551601285991616</v>
      </c>
      <c r="C8887" t="s">
        <v>40</v>
      </c>
      <c r="D8887">
        <v>4.8302829999999997</v>
      </c>
      <c r="E8887">
        <v>0.48715700000000001</v>
      </c>
      <c r="F8887" t="s">
        <v>41</v>
      </c>
      <c r="G8887">
        <v>-261.47859999999997</v>
      </c>
      <c r="H8887" s="1">
        <v>-8.8115709999999899E-7</v>
      </c>
      <c r="I8887">
        <v>-65.049899999999994</v>
      </c>
      <c r="J8887">
        <v>-291.75420000000003</v>
      </c>
      <c r="K8887">
        <v>1.1272</v>
      </c>
      <c r="L8887">
        <v>-54.52563</v>
      </c>
      <c r="M8887">
        <v>0.86831559999999897</v>
      </c>
      <c r="N8887">
        <v>-1.2142999999999999E-2</v>
      </c>
      <c r="O8887">
        <v>-0.49586350000000001</v>
      </c>
      <c r="P8887">
        <v>0.9291471</v>
      </c>
      <c r="Q8887">
        <v>8.852082E-2</v>
      </c>
      <c r="R8887">
        <v>-0.35895700000000003</v>
      </c>
      <c r="S8887">
        <v>2.854889</v>
      </c>
      <c r="T8887">
        <v>-0.1058935</v>
      </c>
      <c r="U8887">
        <v>-0.99438479999999996</v>
      </c>
      <c r="V8887">
        <v>-0.1505436</v>
      </c>
      <c r="W8887">
        <v>9.8226040000000001E-2</v>
      </c>
      <c r="X8887">
        <v>0.98371149999999996</v>
      </c>
      <c r="Y8887">
        <v>-0.18241850000000001</v>
      </c>
      <c r="Z8887">
        <v>1.511001E-2</v>
      </c>
      <c r="AA8887">
        <v>0.98310489999999995</v>
      </c>
      <c r="AB8887">
        <v>25</v>
      </c>
      <c r="AC8887">
        <v>30.275600000000001</v>
      </c>
      <c r="AD8887">
        <v>-1.1272008811570999</v>
      </c>
      <c r="AE8887">
        <v>-10.5242699999999</v>
      </c>
      <c r="AF8887">
        <v>-5.8673538284074001</v>
      </c>
      <c r="AG8887">
        <v>-1.1272008811570999</v>
      </c>
      <c r="AH8887">
        <v>31.470778765864502</v>
      </c>
      <c r="AI8887">
        <v>92.016589192690702</v>
      </c>
      <c r="AJ8887">
        <v>100.560870813886</v>
      </c>
      <c r="AK8887">
        <v>32.032894638233898</v>
      </c>
      <c r="AL8887">
        <v>84.362973022047996</v>
      </c>
      <c r="AM8887">
        <v>98.700830215440803</v>
      </c>
      <c r="AN8887">
        <v>1.0000000228336401</v>
      </c>
    </row>
    <row r="8888" spans="1:40" x14ac:dyDescent="0.25">
      <c r="A8888" t="str">
        <f>"20190303162126018"</f>
        <v>20190303162126018</v>
      </c>
      <c r="B8888" t="str">
        <f>"1551601286011137"</f>
        <v>1551601286011137</v>
      </c>
      <c r="C8888" t="s">
        <v>40</v>
      </c>
      <c r="D8888">
        <v>4.7797599999999996</v>
      </c>
      <c r="E8888">
        <v>0.48701689999999997</v>
      </c>
      <c r="F8888" t="s">
        <v>86</v>
      </c>
      <c r="G8888">
        <v>-261.51209999999998</v>
      </c>
      <c r="H8888" s="1">
        <v>-8.7962859999999905E-7</v>
      </c>
      <c r="I8888">
        <v>-64.990160000000003</v>
      </c>
      <c r="J8888">
        <v>-291.62560000000002</v>
      </c>
      <c r="K8888">
        <v>1.1271340000000001</v>
      </c>
      <c r="L8888">
        <v>-54.592739999999999</v>
      </c>
      <c r="M8888">
        <v>0.87082269999999995</v>
      </c>
      <c r="N8888">
        <v>-1.212506E-2</v>
      </c>
      <c r="O8888">
        <v>-0.49144749999999998</v>
      </c>
      <c r="P8888">
        <v>0.92998099999999995</v>
      </c>
      <c r="Q8888">
        <v>8.8287370000000004E-2</v>
      </c>
      <c r="R8888">
        <v>-0.3568481</v>
      </c>
      <c r="S8888">
        <v>2.8569640000000001</v>
      </c>
      <c r="T8888">
        <v>-0.1064862</v>
      </c>
      <c r="U8888">
        <v>-0.98858639999999998</v>
      </c>
      <c r="V8888">
        <v>-0.14776829999999999</v>
      </c>
      <c r="W8888">
        <v>9.8044290000000006E-2</v>
      </c>
      <c r="X8888">
        <v>0.98415030000000003</v>
      </c>
      <c r="Y8888">
        <v>-0.179426799999999</v>
      </c>
      <c r="Z8888">
        <v>1.50756E-2</v>
      </c>
      <c r="AA8888">
        <v>0.98365579999999997</v>
      </c>
      <c r="AB8888">
        <v>25</v>
      </c>
      <c r="AC8888">
        <v>30.113499999999998</v>
      </c>
      <c r="AD8888">
        <v>-1.1271348796286</v>
      </c>
      <c r="AE8888">
        <v>-10.39742</v>
      </c>
      <c r="AF8888">
        <v>-5.7381350626019199</v>
      </c>
      <c r="AG8888">
        <v>-1.1271348796286</v>
      </c>
      <c r="AH8888">
        <v>31.296436341256801</v>
      </c>
      <c r="AI8888">
        <v>92.028814615953294</v>
      </c>
      <c r="AJ8888">
        <v>100.38966383305301</v>
      </c>
      <c r="AK8888">
        <v>31.838083401735702</v>
      </c>
      <c r="AL8888">
        <v>84.373436814491797</v>
      </c>
      <c r="AM8888">
        <v>98.539064345196707</v>
      </c>
      <c r="AN8888">
        <v>0.99999998313829197</v>
      </c>
    </row>
    <row r="8889" spans="1:40" x14ac:dyDescent="0.25">
      <c r="A8889" t="str">
        <f>"20190303162126030"</f>
        <v>20190303162126030</v>
      </c>
      <c r="B8889" t="str">
        <f>"1551601286021873"</f>
        <v>1551601286021873</v>
      </c>
      <c r="C8889" t="s">
        <v>40</v>
      </c>
      <c r="D8889">
        <v>4.6141800000000002</v>
      </c>
      <c r="E8889">
        <v>0.48694579999999998</v>
      </c>
      <c r="F8889" t="s">
        <v>41</v>
      </c>
      <c r="G8889">
        <v>-261.99110000000002</v>
      </c>
      <c r="H8889" s="1">
        <v>-1.023967E-6</v>
      </c>
      <c r="I8889">
        <v>-64.760319999999993</v>
      </c>
      <c r="J8889">
        <v>-291.51400000000001</v>
      </c>
      <c r="K8889">
        <v>1.1270739999999999</v>
      </c>
      <c r="L8889">
        <v>-54.650539999999999</v>
      </c>
      <c r="M8889">
        <v>0.87295900000000004</v>
      </c>
      <c r="N8889">
        <v>-1.2109899999999899E-2</v>
      </c>
      <c r="O8889">
        <v>-0.4876434</v>
      </c>
      <c r="P8889">
        <v>0.93069239999999998</v>
      </c>
      <c r="Q8889">
        <v>8.7867550000000003E-2</v>
      </c>
      <c r="R8889">
        <v>-0.3550932</v>
      </c>
      <c r="S8889">
        <v>2.8597109999999999</v>
      </c>
      <c r="T8889">
        <v>-0.10876769999999999</v>
      </c>
      <c r="U8889">
        <v>-0.98117069999999995</v>
      </c>
      <c r="V8889">
        <v>-0.1453274</v>
      </c>
      <c r="W8889">
        <v>9.7669880000000001E-2</v>
      </c>
      <c r="X8889">
        <v>0.98455099999999995</v>
      </c>
      <c r="Y8889">
        <v>-0.17769570000000001</v>
      </c>
      <c r="Z8889">
        <v>1.539191E-2</v>
      </c>
      <c r="AA8889">
        <v>0.98396510000000004</v>
      </c>
      <c r="AB8889">
        <v>25</v>
      </c>
      <c r="AC8889">
        <v>29.5229</v>
      </c>
      <c r="AD8889">
        <v>-1.127075023967</v>
      </c>
      <c r="AE8889">
        <v>-10.109779999999899</v>
      </c>
      <c r="AF8889">
        <v>-5.5643735093491298</v>
      </c>
      <c r="AG8889">
        <v>-1.127075023967</v>
      </c>
      <c r="AH8889">
        <v>30.664497221147499</v>
      </c>
      <c r="AI8889">
        <v>92.071168491060803</v>
      </c>
      <c r="AJ8889">
        <v>100.28496848811101</v>
      </c>
      <c r="AK8889">
        <v>31.1856367657766</v>
      </c>
      <c r="AL8889">
        <v>84.394992845241603</v>
      </c>
      <c r="AM8889">
        <v>98.396671484083697</v>
      </c>
      <c r="AN8889">
        <v>1.0000000651254799</v>
      </c>
    </row>
    <row r="8890" spans="1:40" x14ac:dyDescent="0.25">
      <c r="A8890" t="str">
        <f>"20190303162126042"</f>
        <v>20190303162126042</v>
      </c>
      <c r="B8890" t="str">
        <f>"1551601286031633"</f>
        <v>1551601286031633</v>
      </c>
      <c r="C8890" t="s">
        <v>40</v>
      </c>
      <c r="D8890">
        <v>4.830203</v>
      </c>
      <c r="E8890">
        <v>0.48690030000000001</v>
      </c>
      <c r="F8890" t="s">
        <v>86</v>
      </c>
      <c r="G8890">
        <v>-262.39980000000003</v>
      </c>
      <c r="H8890" s="1">
        <v>-1.149615E-6</v>
      </c>
      <c r="I8890">
        <v>-64.573569999999904</v>
      </c>
      <c r="J8890">
        <v>-291.39069999999998</v>
      </c>
      <c r="K8890">
        <v>1.127006</v>
      </c>
      <c r="L8890">
        <v>-54.71378</v>
      </c>
      <c r="M8890">
        <v>0.87527339999999998</v>
      </c>
      <c r="N8890">
        <v>-1.209352E-2</v>
      </c>
      <c r="O8890">
        <v>-0.4834773</v>
      </c>
      <c r="P8890">
        <v>0.93160960000000004</v>
      </c>
      <c r="Q8890">
        <v>8.7209079999999994E-2</v>
      </c>
      <c r="R8890">
        <v>-0.35284310000000002</v>
      </c>
      <c r="S8890">
        <v>2.8617249999999999</v>
      </c>
      <c r="T8890">
        <v>-0.1107838</v>
      </c>
      <c r="U8890">
        <v>-0.97537229999999997</v>
      </c>
      <c r="V8890">
        <v>-0.1430159</v>
      </c>
      <c r="W8890">
        <v>9.7056729999999994E-2</v>
      </c>
      <c r="X8890">
        <v>0.98494990000000004</v>
      </c>
      <c r="Y8890">
        <v>-0.17499379999999901</v>
      </c>
      <c r="Z8890">
        <v>1.5624259999999999E-2</v>
      </c>
      <c r="AA8890">
        <v>0.98444560000000003</v>
      </c>
      <c r="AB8890">
        <v>25</v>
      </c>
      <c r="AC8890">
        <v>28.9908999999999</v>
      </c>
      <c r="AD8890">
        <v>-1.127007149615</v>
      </c>
      <c r="AE8890">
        <v>-9.8597899999999807</v>
      </c>
      <c r="AF8890">
        <v>-5.3795370126573197</v>
      </c>
      <c r="AG8890">
        <v>-1.127007149615</v>
      </c>
      <c r="AH8890">
        <v>30.103374978111699</v>
      </c>
      <c r="AI8890">
        <v>92.110627307288595</v>
      </c>
      <c r="AJ8890">
        <v>100.13192831626699</v>
      </c>
      <c r="AK8890">
        <v>30.601025287702999</v>
      </c>
      <c r="AL8890">
        <v>84.430290708304298</v>
      </c>
      <c r="AM8890">
        <v>98.261677010947295</v>
      </c>
      <c r="AN8890">
        <v>0.99999993100055395</v>
      </c>
    </row>
    <row r="8891" spans="1:40" x14ac:dyDescent="0.25">
      <c r="A8891" t="str">
        <f>"20190303162126054"</f>
        <v>20190303162126054</v>
      </c>
      <c r="B8891" t="str">
        <f>"1551601286041393"</f>
        <v>1551601286041393</v>
      </c>
      <c r="C8891" t="s">
        <v>40</v>
      </c>
      <c r="D8891">
        <v>4.887956</v>
      </c>
      <c r="E8891">
        <v>0.4868613</v>
      </c>
      <c r="F8891" t="s">
        <v>41</v>
      </c>
      <c r="G8891">
        <v>-262.9547</v>
      </c>
      <c r="H8891" s="1">
        <v>-1.3213820000000001E-6</v>
      </c>
      <c r="I8891">
        <v>-64.324469999999906</v>
      </c>
      <c r="J8891">
        <v>-291.27080000000001</v>
      </c>
      <c r="K8891">
        <v>1.1269370000000001</v>
      </c>
      <c r="L8891">
        <v>-54.774380000000001</v>
      </c>
      <c r="M8891">
        <v>0.877467199999999</v>
      </c>
      <c r="N8891">
        <v>-1.20778E-2</v>
      </c>
      <c r="O8891">
        <v>-0.47948489999999999</v>
      </c>
      <c r="P8891">
        <v>0.93270450000000005</v>
      </c>
      <c r="Q8891">
        <v>8.6568210000000007E-2</v>
      </c>
      <c r="R8891">
        <v>-0.35009790000000002</v>
      </c>
      <c r="S8891">
        <v>2.8642270000000001</v>
      </c>
      <c r="T8891">
        <v>-0.11351840000000001</v>
      </c>
      <c r="U8891">
        <v>-0.96804809999999997</v>
      </c>
      <c r="V8891">
        <v>-0.14143149999999999</v>
      </c>
      <c r="W8891">
        <v>9.6449240000000006E-2</v>
      </c>
      <c r="X8891">
        <v>0.98523839999999996</v>
      </c>
      <c r="Y8891">
        <v>-0.1730148</v>
      </c>
      <c r="Z8891">
        <v>1.6001029999999999E-2</v>
      </c>
      <c r="AA8891">
        <v>0.98478929999999998</v>
      </c>
      <c r="AB8891">
        <v>25</v>
      </c>
      <c r="AC8891">
        <v>28.316099999999999</v>
      </c>
      <c r="AD8891">
        <v>-1.1269383213819999</v>
      </c>
      <c r="AE8891">
        <v>-9.5500899999999795</v>
      </c>
      <c r="AF8891">
        <v>-5.1902485765996698</v>
      </c>
      <c r="AG8891">
        <v>-1.1269383213819999</v>
      </c>
      <c r="AH8891">
        <v>29.385923263893901</v>
      </c>
      <c r="AI8891">
        <v>92.162750956811294</v>
      </c>
      <c r="AJ8891">
        <v>100.016483663442</v>
      </c>
      <c r="AK8891">
        <v>29.862035368316</v>
      </c>
      <c r="AL8891">
        <v>84.465261858136998</v>
      </c>
      <c r="AM8891">
        <v>98.169032476400005</v>
      </c>
      <c r="AN8891">
        <v>1.0000000149616901</v>
      </c>
    </row>
    <row r="8892" spans="1:40" x14ac:dyDescent="0.25">
      <c r="A8892" t="str">
        <f>"20190303162126065"</f>
        <v>20190303162126065</v>
      </c>
      <c r="B8892" t="str">
        <f>"1551601286051152"</f>
        <v>1551601286051152</v>
      </c>
      <c r="C8892" t="s">
        <v>40</v>
      </c>
      <c r="D8892">
        <v>4.7439780000000003</v>
      </c>
      <c r="E8892">
        <v>0.48684660000000002</v>
      </c>
      <c r="F8892" t="s">
        <v>41</v>
      </c>
      <c r="G8892">
        <v>-263.50540000000001</v>
      </c>
      <c r="H8892" s="1">
        <v>-1.4884180000000001E-6</v>
      </c>
      <c r="I8892">
        <v>-64.064419999999998</v>
      </c>
      <c r="J8892">
        <v>-291.1567</v>
      </c>
      <c r="K8892">
        <v>1.12687</v>
      </c>
      <c r="L8892">
        <v>-54.831789999999998</v>
      </c>
      <c r="M8892">
        <v>0.87952249999999998</v>
      </c>
      <c r="N8892">
        <v>-1.206335E-2</v>
      </c>
      <c r="O8892">
        <v>-0.47570440000000003</v>
      </c>
      <c r="P8892">
        <v>0.93386239999999998</v>
      </c>
      <c r="Q8892">
        <v>8.6015720000000004E-2</v>
      </c>
      <c r="R8892">
        <v>-0.34713500000000003</v>
      </c>
      <c r="S8892">
        <v>2.8671259999999998</v>
      </c>
      <c r="T8892">
        <v>-0.1163706</v>
      </c>
      <c r="U8892">
        <v>-0.95932010000000001</v>
      </c>
      <c r="V8892">
        <v>-0.14032</v>
      </c>
      <c r="W8892">
        <v>9.5922889999999997E-2</v>
      </c>
      <c r="X8892">
        <v>0.98544869999999996</v>
      </c>
      <c r="Y8892">
        <v>-0.17175670000000001</v>
      </c>
      <c r="Z8892">
        <v>1.641165E-2</v>
      </c>
      <c r="AA8892">
        <v>0.98500270000000001</v>
      </c>
      <c r="AB8892">
        <v>26</v>
      </c>
      <c r="AC8892">
        <v>27.6512999999999</v>
      </c>
      <c r="AD8892">
        <v>-1.126871488418</v>
      </c>
      <c r="AE8892">
        <v>-9.2326299999999897</v>
      </c>
      <c r="AF8892">
        <v>-5.0263949501098297</v>
      </c>
      <c r="AG8892">
        <v>-1.126871488418</v>
      </c>
      <c r="AH8892">
        <v>28.671191193209399</v>
      </c>
      <c r="AI8892">
        <v>92.216976703106496</v>
      </c>
      <c r="AJ8892">
        <v>99.943572382431697</v>
      </c>
      <c r="AK8892">
        <v>29.130253860608001</v>
      </c>
      <c r="AL8892">
        <v>84.495560010337698</v>
      </c>
      <c r="AM8892">
        <v>98.103982303536995</v>
      </c>
      <c r="AN8892">
        <v>1.0000000217788201</v>
      </c>
    </row>
    <row r="8893" spans="1:40" x14ac:dyDescent="0.25">
      <c r="A8893" t="str">
        <f>"20190303162126077"</f>
        <v>20190303162126077</v>
      </c>
      <c r="B8893" t="str">
        <f>"1551601286061889"</f>
        <v>1551601286061889</v>
      </c>
      <c r="C8893" t="s">
        <v>40</v>
      </c>
      <c r="D8893">
        <v>4.7603559999999998</v>
      </c>
      <c r="E8893">
        <v>0.48681269999999999</v>
      </c>
      <c r="F8893" t="s">
        <v>86</v>
      </c>
      <c r="G8893">
        <v>-263.90649999999999</v>
      </c>
      <c r="H8893" s="1">
        <v>-1.602956E-6</v>
      </c>
      <c r="I8893">
        <v>-63.848210000000002</v>
      </c>
      <c r="J8893">
        <v>-291.03809999999999</v>
      </c>
      <c r="K8893">
        <v>1.1268009999999999</v>
      </c>
      <c r="L8893">
        <v>-54.890529999999998</v>
      </c>
      <c r="M8893">
        <v>0.88159650000000001</v>
      </c>
      <c r="N8893">
        <v>-1.204821E-2</v>
      </c>
      <c r="O8893">
        <v>-0.4718502</v>
      </c>
      <c r="P8893">
        <v>0.93506800000000001</v>
      </c>
      <c r="Q8893">
        <v>8.5734179999999993E-2</v>
      </c>
      <c r="R8893">
        <v>-0.34394409999999997</v>
      </c>
      <c r="S8893">
        <v>2.8703609999999999</v>
      </c>
      <c r="T8893">
        <v>-0.118697</v>
      </c>
      <c r="U8893">
        <v>-0.94973750000000001</v>
      </c>
      <c r="V8893">
        <v>-0.1393615</v>
      </c>
      <c r="W8893">
        <v>9.5665630000000001E-2</v>
      </c>
      <c r="X8893">
        <v>0.98560970000000003</v>
      </c>
      <c r="Y8893">
        <v>-0.1707273</v>
      </c>
      <c r="Z8893">
        <v>1.672214E-2</v>
      </c>
      <c r="AA8893">
        <v>0.98517639999999995</v>
      </c>
      <c r="AB8893">
        <v>26</v>
      </c>
      <c r="AC8893">
        <v>27.131599999999899</v>
      </c>
      <c r="AD8893">
        <v>-1.1268026029560001</v>
      </c>
      <c r="AE8893">
        <v>-8.9576799999999892</v>
      </c>
      <c r="AF8893">
        <v>-4.8977298000767702</v>
      </c>
      <c r="AG8893">
        <v>-1.1268026029560001</v>
      </c>
      <c r="AH8893">
        <v>28.104137347791799</v>
      </c>
      <c r="AI8893">
        <v>92.261923164344694</v>
      </c>
      <c r="AJ8893">
        <v>99.885700522514895</v>
      </c>
      <c r="AK8893">
        <v>28.549955820703701</v>
      </c>
      <c r="AL8893">
        <v>84.510367960429093</v>
      </c>
      <c r="AM8893">
        <v>98.048055808824898</v>
      </c>
      <c r="AN8893">
        <v>1.0000000105898099</v>
      </c>
    </row>
    <row r="8894" spans="1:40" x14ac:dyDescent="0.25">
      <c r="A8894" t="str">
        <f>"20190303162126089"</f>
        <v>20190303162126089</v>
      </c>
      <c r="B8894" t="str">
        <f>"1551601286081408"</f>
        <v>1551601286081408</v>
      </c>
      <c r="C8894" t="s">
        <v>40</v>
      </c>
      <c r="D8894">
        <v>5.0153589999999904</v>
      </c>
      <c r="E8894">
        <v>0.4867457</v>
      </c>
      <c r="F8894" t="s">
        <v>41</v>
      </c>
      <c r="G8894">
        <v>-264.18329999999997</v>
      </c>
      <c r="H8894" s="1">
        <v>-1.674053E-6</v>
      </c>
      <c r="I8894">
        <v>-63.669080000000001</v>
      </c>
      <c r="J8894">
        <v>-290.91899999999998</v>
      </c>
      <c r="K8894">
        <v>1.12673</v>
      </c>
      <c r="L8894">
        <v>-54.949190000000002</v>
      </c>
      <c r="M8894">
        <v>0.88364549999999997</v>
      </c>
      <c r="N8894">
        <v>-1.20334E-2</v>
      </c>
      <c r="O8894">
        <v>-0.46800209999999998</v>
      </c>
      <c r="P8894">
        <v>0.93636260000000004</v>
      </c>
      <c r="Q8894">
        <v>8.5421490000000003E-2</v>
      </c>
      <c r="R8894">
        <v>-0.34048299999999998</v>
      </c>
      <c r="S8894">
        <v>2.8738100000000002</v>
      </c>
      <c r="T8894">
        <v>-0.1205822</v>
      </c>
      <c r="U8894">
        <v>-0.9394226</v>
      </c>
      <c r="V8894">
        <v>-0.1387023</v>
      </c>
      <c r="W8894">
        <v>9.5372289999999998E-2</v>
      </c>
      <c r="X8894">
        <v>0.98573109999999997</v>
      </c>
      <c r="Y8894">
        <v>-0.16996539999999999</v>
      </c>
      <c r="Z8894">
        <v>1.6952910000000002E-2</v>
      </c>
      <c r="AA8894">
        <v>0.98530419999999996</v>
      </c>
      <c r="AB8894">
        <v>26</v>
      </c>
      <c r="AC8894">
        <v>26.735700000000001</v>
      </c>
      <c r="AD8894">
        <v>-1.126731674053</v>
      </c>
      <c r="AE8894">
        <v>-8.7198899999999995</v>
      </c>
      <c r="AF8894">
        <v>-4.7997149589333201</v>
      </c>
      <c r="AG8894">
        <v>-1.126731674053</v>
      </c>
      <c r="AH8894">
        <v>27.663404069598599</v>
      </c>
      <c r="AI8894">
        <v>92.2980743218979</v>
      </c>
      <c r="AJ8894">
        <v>99.843064389342601</v>
      </c>
      <c r="AK8894">
        <v>28.099300928496501</v>
      </c>
      <c r="AL8894">
        <v>84.527252256814094</v>
      </c>
      <c r="AM8894">
        <v>98.0095088853585</v>
      </c>
      <c r="AN8894">
        <v>1.0000000016161701</v>
      </c>
    </row>
    <row r="8895" spans="1:40" x14ac:dyDescent="0.25">
      <c r="A8895" t="str">
        <f>"20190303162126101"</f>
        <v>20190303162126101</v>
      </c>
      <c r="B8895" t="str">
        <f>"1551601286091169"</f>
        <v>1551601286091169</v>
      </c>
      <c r="C8895" t="s">
        <v>40</v>
      </c>
      <c r="D8895">
        <v>4.8964460000000001</v>
      </c>
      <c r="E8895">
        <v>0.48672680000000001</v>
      </c>
      <c r="F8895" t="s">
        <v>41</v>
      </c>
      <c r="G8895">
        <v>-264.5369</v>
      </c>
      <c r="H8895" s="1">
        <v>-1.769686E-6</v>
      </c>
      <c r="I8895">
        <v>-63.45834</v>
      </c>
      <c r="J8895">
        <v>-290.79219999999998</v>
      </c>
      <c r="K8895">
        <v>1.1266579999999999</v>
      </c>
      <c r="L8895">
        <v>-55.010890000000003</v>
      </c>
      <c r="M8895">
        <v>0.88577619999999901</v>
      </c>
      <c r="N8895">
        <v>-1.2017740000000001E-2</v>
      </c>
      <c r="O8895">
        <v>-0.46395740000000002</v>
      </c>
      <c r="P8895">
        <v>0.93774619999999997</v>
      </c>
      <c r="Q8895">
        <v>8.5523989999999994E-2</v>
      </c>
      <c r="R8895">
        <v>-0.33662789999999998</v>
      </c>
      <c r="S8895">
        <v>2.8775940000000002</v>
      </c>
      <c r="T8895">
        <v>-0.122896699999999</v>
      </c>
      <c r="U8895">
        <v>-0.92813109999999999</v>
      </c>
      <c r="V8895">
        <v>-0.13822970000000001</v>
      </c>
      <c r="W8895">
        <v>9.5491419999999994E-2</v>
      </c>
      <c r="X8895">
        <v>0.98578600000000005</v>
      </c>
      <c r="Y8895">
        <v>-0.1693279</v>
      </c>
      <c r="Z8895">
        <v>1.7252610000000002E-2</v>
      </c>
      <c r="AA8895">
        <v>0.98540879999999997</v>
      </c>
      <c r="AB8895">
        <v>26</v>
      </c>
      <c r="AC8895">
        <v>26.255299999999899</v>
      </c>
      <c r="AD8895">
        <v>-1.1266597696859999</v>
      </c>
      <c r="AE8895">
        <v>-8.4474499999999892</v>
      </c>
      <c r="AF8895">
        <v>-4.69130077950319</v>
      </c>
      <c r="AG8895">
        <v>-1.1266597696859999</v>
      </c>
      <c r="AH8895">
        <v>27.1322594427774</v>
      </c>
      <c r="AI8895">
        <v>92.343098538774001</v>
      </c>
      <c r="AJ8895">
        <v>99.809731183600704</v>
      </c>
      <c r="AK8895">
        <v>27.557887577072702</v>
      </c>
      <c r="AL8895">
        <v>84.520395578618206</v>
      </c>
      <c r="AM8895">
        <v>97.982131648864595</v>
      </c>
      <c r="AN8895">
        <v>1.0000000495258501</v>
      </c>
    </row>
    <row r="8896" spans="1:40" x14ac:dyDescent="0.25">
      <c r="A8896" t="str">
        <f>"20190303162126114"</f>
        <v>20190303162126114</v>
      </c>
      <c r="B8896" t="str">
        <f>"1551601286101436"</f>
        <v>1551601286101436</v>
      </c>
      <c r="C8896" t="s">
        <v>40</v>
      </c>
      <c r="D8896">
        <v>4.9565580000000002</v>
      </c>
      <c r="E8896">
        <v>0.48672769999999999</v>
      </c>
      <c r="F8896" t="s">
        <v>86</v>
      </c>
      <c r="G8896">
        <v>-264.42360000000002</v>
      </c>
      <c r="H8896" s="1">
        <v>-1.7038849999999999E-6</v>
      </c>
      <c r="I8896">
        <v>-63.393749999999997</v>
      </c>
      <c r="J8896">
        <v>-290.66680000000002</v>
      </c>
      <c r="K8896">
        <v>1.1265889999999901</v>
      </c>
      <c r="L8896">
        <v>-55.07123</v>
      </c>
      <c r="M8896">
        <v>0.88782999999999901</v>
      </c>
      <c r="N8896">
        <v>-1.20026E-2</v>
      </c>
      <c r="O8896">
        <v>-0.46001510000000001</v>
      </c>
      <c r="P8896">
        <v>0.93901619999999997</v>
      </c>
      <c r="Q8896">
        <v>8.5708690000000004E-2</v>
      </c>
      <c r="R8896">
        <v>-0.33302100000000001</v>
      </c>
      <c r="S8896">
        <v>2.8815309999999998</v>
      </c>
      <c r="T8896">
        <v>-0.1231201</v>
      </c>
      <c r="U8896">
        <v>-0.91607669999999997</v>
      </c>
      <c r="V8896">
        <v>-0.13761399999999999</v>
      </c>
      <c r="W8896">
        <v>9.5694119999999994E-2</v>
      </c>
      <c r="X8896">
        <v>0.98585239999999996</v>
      </c>
      <c r="Y8896">
        <v>-0.16907949999999999</v>
      </c>
      <c r="Z8896">
        <v>1.7187939999999999E-2</v>
      </c>
      <c r="AA8896">
        <v>0.98545249999999995</v>
      </c>
      <c r="AB8896">
        <v>26</v>
      </c>
      <c r="AC8896">
        <v>26.243200000000002</v>
      </c>
      <c r="AD8896">
        <v>-1.1265907038849901</v>
      </c>
      <c r="AE8896">
        <v>-8.3225199999999901</v>
      </c>
      <c r="AF8896">
        <v>-4.6757930417066698</v>
      </c>
      <c r="AG8896">
        <v>-1.1265907038849901</v>
      </c>
      <c r="AH8896">
        <v>27.084585896364501</v>
      </c>
      <c r="AI8896">
        <v>92.347179959337893</v>
      </c>
      <c r="AJ8896">
        <v>99.794808494171207</v>
      </c>
      <c r="AK8896">
        <v>27.508308569603098</v>
      </c>
      <c r="AL8896">
        <v>84.508727835074694</v>
      </c>
      <c r="AM8896">
        <v>97.946504617181006</v>
      </c>
      <c r="AN8896">
        <v>0.99999996609216601</v>
      </c>
    </row>
    <row r="8897" spans="1:40" x14ac:dyDescent="0.25">
      <c r="A8897" t="str">
        <f>"20190303162126128"</f>
        <v>20190303162126128</v>
      </c>
      <c r="B8897" t="str">
        <f>"1551601286121931"</f>
        <v>1551601286121931</v>
      </c>
      <c r="C8897" t="s">
        <v>40</v>
      </c>
      <c r="D8897">
        <v>4.89595</v>
      </c>
      <c r="E8897">
        <v>0.48673650000000002</v>
      </c>
      <c r="F8897" t="s">
        <v>86</v>
      </c>
      <c r="G8897">
        <v>-264.29790000000003</v>
      </c>
      <c r="H8897" s="1">
        <v>-1.6360830000000001E-6</v>
      </c>
      <c r="I8897">
        <v>-63.341529999999999</v>
      </c>
      <c r="J8897">
        <v>-290.52429999999998</v>
      </c>
      <c r="K8897">
        <v>1.1265160000000001</v>
      </c>
      <c r="L8897">
        <v>-55.139249999999997</v>
      </c>
      <c r="M8897">
        <v>0.8901154</v>
      </c>
      <c r="N8897">
        <v>-1.198601E-2</v>
      </c>
      <c r="O8897">
        <v>-0.45557789999999998</v>
      </c>
      <c r="P8897">
        <v>0.94026419999999999</v>
      </c>
      <c r="Q8897">
        <v>8.7265339999999997E-2</v>
      </c>
      <c r="R8897">
        <v>-0.32907140000000001</v>
      </c>
      <c r="S8897">
        <v>2.8851619999999998</v>
      </c>
      <c r="T8897">
        <v>-0.1232666</v>
      </c>
      <c r="U8897">
        <v>-0.90490720000000002</v>
      </c>
      <c r="V8897">
        <v>-0.13677220000000001</v>
      </c>
      <c r="W8897">
        <v>9.7271730000000001E-2</v>
      </c>
      <c r="X8897">
        <v>0.9858152</v>
      </c>
      <c r="Y8897">
        <v>-0.16798920000000001</v>
      </c>
      <c r="Z8897">
        <v>1.7076020000000001E-2</v>
      </c>
      <c r="AA8897">
        <v>0.98564090000000004</v>
      </c>
      <c r="AB8897">
        <v>26</v>
      </c>
      <c r="AC8897">
        <v>26.226399999999899</v>
      </c>
      <c r="AD8897">
        <v>-1.126517636083</v>
      </c>
      <c r="AE8897">
        <v>-8.20228</v>
      </c>
      <c r="AF8897">
        <v>-4.6397279803720801</v>
      </c>
      <c r="AG8897">
        <v>-1.126517636083</v>
      </c>
      <c r="AH8897">
        <v>27.037800918329499</v>
      </c>
      <c r="AI8897">
        <v>92.351490951748602</v>
      </c>
      <c r="AJ8897">
        <v>99.737205106141801</v>
      </c>
      <c r="AK8897">
        <v>27.456124930795902</v>
      </c>
      <c r="AL8897">
        <v>84.417914028540693</v>
      </c>
      <c r="AM8897">
        <v>97.898804628509595</v>
      </c>
      <c r="AN8897">
        <v>1.00000001635053</v>
      </c>
    </row>
    <row r="8898" spans="1:40" x14ac:dyDescent="0.25">
      <c r="A8898" t="str">
        <f>"20190303162126141"</f>
        <v>20190303162126141</v>
      </c>
      <c r="B8898" t="str">
        <f>"1551601286131692"</f>
        <v>1551601286131692</v>
      </c>
      <c r="C8898" t="s">
        <v>40</v>
      </c>
      <c r="D8898">
        <v>5.0097449999999997</v>
      </c>
      <c r="E8898">
        <v>0.4867612</v>
      </c>
      <c r="F8898" t="s">
        <v>41</v>
      </c>
      <c r="G8898">
        <v>-263.25069999999999</v>
      </c>
      <c r="H8898" s="1">
        <v>-1.24712E-6</v>
      </c>
      <c r="I8898">
        <v>-63.568179999999998</v>
      </c>
      <c r="J8898">
        <v>-290.3895</v>
      </c>
      <c r="K8898">
        <v>1.1264479999999999</v>
      </c>
      <c r="L8898">
        <v>-55.202669999999998</v>
      </c>
      <c r="M8898">
        <v>0.89221249999999996</v>
      </c>
      <c r="N8898">
        <v>-1.19708E-2</v>
      </c>
      <c r="O8898">
        <v>-0.45145770000000002</v>
      </c>
      <c r="P8898">
        <v>0.94166099999999997</v>
      </c>
      <c r="Q8898">
        <v>8.8558390000000001E-2</v>
      </c>
      <c r="R8898">
        <v>-0.32470389999999999</v>
      </c>
      <c r="S8898">
        <v>2.8891909999999998</v>
      </c>
      <c r="T8898">
        <v>-0.119335999999999</v>
      </c>
      <c r="U8898">
        <v>-0.89291379999999998</v>
      </c>
      <c r="V8898">
        <v>-0.13673479999999999</v>
      </c>
      <c r="W8898">
        <v>9.8573859999999999E-2</v>
      </c>
      <c r="X8898">
        <v>0.98569099999999998</v>
      </c>
      <c r="Y8898">
        <v>-0.16758049999999999</v>
      </c>
      <c r="Z8898">
        <v>1.6276909999999999E-2</v>
      </c>
      <c r="AA8898">
        <v>0.98572400000000004</v>
      </c>
      <c r="AB8898">
        <v>26</v>
      </c>
      <c r="AC8898">
        <v>27.1388</v>
      </c>
      <c r="AD8898">
        <v>-1.1264492471199901</v>
      </c>
      <c r="AE8898">
        <v>-8.3655100000000004</v>
      </c>
      <c r="AF8898">
        <v>-4.7810273995895596</v>
      </c>
      <c r="AG8898">
        <v>-1.1264492471199901</v>
      </c>
      <c r="AH8898">
        <v>27.9482772421824</v>
      </c>
      <c r="AI8898">
        <v>92.275032060819996</v>
      </c>
      <c r="AJ8898">
        <v>99.707451172254494</v>
      </c>
      <c r="AK8898">
        <v>28.376633198951801</v>
      </c>
      <c r="AL8898">
        <v>84.342946971862304</v>
      </c>
      <c r="AM8898">
        <v>97.897654422293698</v>
      </c>
      <c r="AN8898">
        <v>0.99999997944366903</v>
      </c>
    </row>
    <row r="8899" spans="1:40" x14ac:dyDescent="0.25">
      <c r="A8899" t="str">
        <f>"20190303162126155"</f>
        <v>20190303162126155</v>
      </c>
      <c r="B8899" t="str">
        <f>"1551601286141452"</f>
        <v>1551601286141452</v>
      </c>
      <c r="C8899" t="s">
        <v>40</v>
      </c>
      <c r="D8899">
        <v>4.9442740000000001</v>
      </c>
      <c r="E8899">
        <v>0.48677860000000001</v>
      </c>
      <c r="F8899" t="s">
        <v>41</v>
      </c>
      <c r="G8899">
        <v>-262.23989999999998</v>
      </c>
      <c r="H8899" s="1">
        <v>-8.650038E-7</v>
      </c>
      <c r="I8899">
        <v>-63.761809999999997</v>
      </c>
      <c r="J8899">
        <v>-290.25349999999997</v>
      </c>
      <c r="K8899">
        <v>1.1263829999999999</v>
      </c>
      <c r="L8899">
        <v>-55.26596</v>
      </c>
      <c r="M8899">
        <v>0.89427469999999998</v>
      </c>
      <c r="N8899">
        <v>-1.1955759999999999E-2</v>
      </c>
      <c r="O8899">
        <v>-0.44735900000000001</v>
      </c>
      <c r="P8899">
        <v>0.94304140000000003</v>
      </c>
      <c r="Q8899">
        <v>8.9395699999999995E-2</v>
      </c>
      <c r="R8899">
        <v>-0.32043929999999998</v>
      </c>
      <c r="S8899">
        <v>2.8933719999999998</v>
      </c>
      <c r="T8899">
        <v>-0.1157823</v>
      </c>
      <c r="U8899">
        <v>-0.87976069999999995</v>
      </c>
      <c r="V8899">
        <v>-0.13662969999999999</v>
      </c>
      <c r="W8899">
        <v>9.9420850000000005E-2</v>
      </c>
      <c r="X8899">
        <v>0.98562050000000001</v>
      </c>
      <c r="Y8899">
        <v>-0.167577799999999</v>
      </c>
      <c r="Z8899">
        <v>1.5564089999999999E-2</v>
      </c>
      <c r="AA8899">
        <v>0.98573599999999995</v>
      </c>
      <c r="AB8899">
        <v>26</v>
      </c>
      <c r="AC8899">
        <v>28.0136</v>
      </c>
      <c r="AD8899">
        <v>-1.1263838650037901</v>
      </c>
      <c r="AE8899">
        <v>-8.4958499999999901</v>
      </c>
      <c r="AF8899">
        <v>-4.9275689625355197</v>
      </c>
      <c r="AG8899">
        <v>-1.1263838650037901</v>
      </c>
      <c r="AH8899">
        <v>28.8119499385318</v>
      </c>
      <c r="AI8899">
        <v>92.206791069031695</v>
      </c>
      <c r="AJ8899">
        <v>99.7051243285308</v>
      </c>
      <c r="AK8899">
        <v>29.251976612741</v>
      </c>
      <c r="AL8899">
        <v>84.294178426864804</v>
      </c>
      <c r="AM8899">
        <v>97.892217839307193</v>
      </c>
      <c r="AN8899">
        <v>0.99999997517853001</v>
      </c>
    </row>
    <row r="8900" spans="1:40" x14ac:dyDescent="0.25">
      <c r="A8900" t="str">
        <f>"20190303162126169"</f>
        <v>20190303162126169</v>
      </c>
      <c r="B8900" t="str">
        <f>"1551601286161947"</f>
        <v>1551601286161947</v>
      </c>
      <c r="C8900" t="s">
        <v>40</v>
      </c>
      <c r="D8900">
        <v>5.0695560000000004</v>
      </c>
      <c r="E8900">
        <v>0.48684240000000001</v>
      </c>
      <c r="F8900" t="s">
        <v>41</v>
      </c>
      <c r="G8900">
        <v>-261.48939999999999</v>
      </c>
      <c r="H8900" s="1">
        <v>-5.724861E-7</v>
      </c>
      <c r="I8900">
        <v>-63.872309999999999</v>
      </c>
      <c r="J8900">
        <v>-290.10059999999999</v>
      </c>
      <c r="K8900">
        <v>1.1263080000000001</v>
      </c>
      <c r="L8900">
        <v>-55.336489999999998</v>
      </c>
      <c r="M8900">
        <v>0.89653909999999903</v>
      </c>
      <c r="N8900">
        <v>-1.193932E-2</v>
      </c>
      <c r="O8900">
        <v>-0.44280370000000002</v>
      </c>
      <c r="P8900">
        <v>0.9446869</v>
      </c>
      <c r="Q8900">
        <v>9.0524060000000003E-2</v>
      </c>
      <c r="R8900">
        <v>-0.3152336</v>
      </c>
      <c r="S8900">
        <v>2.8973689999999999</v>
      </c>
      <c r="T8900">
        <v>-0.11345909999999999</v>
      </c>
      <c r="U8900">
        <v>-0.86691280000000004</v>
      </c>
      <c r="V8900">
        <v>-0.1369995</v>
      </c>
      <c r="W8900">
        <v>0.1005524</v>
      </c>
      <c r="X8900">
        <v>0.98545439999999995</v>
      </c>
      <c r="Y8900">
        <v>-0.1669631</v>
      </c>
      <c r="Z8900">
        <v>1.504731E-2</v>
      </c>
      <c r="AA8900">
        <v>0.98584830000000001</v>
      </c>
      <c r="AB8900">
        <v>26</v>
      </c>
      <c r="AC8900">
        <v>28.6112</v>
      </c>
      <c r="AD8900">
        <v>-1.1263085724860999</v>
      </c>
      <c r="AE8900">
        <v>-8.5358199999999904</v>
      </c>
      <c r="AF8900">
        <v>-5.0096774701291897</v>
      </c>
      <c r="AG8900">
        <v>-1.1263085724860999</v>
      </c>
      <c r="AH8900">
        <v>29.391025560928799</v>
      </c>
      <c r="AI8900">
        <v>92.163415615736398</v>
      </c>
      <c r="AJ8900">
        <v>99.673059088342299</v>
      </c>
      <c r="AK8900">
        <v>29.836183115109499</v>
      </c>
      <c r="AL8900">
        <v>84.229019062693496</v>
      </c>
      <c r="AM8900">
        <v>97.914625451886494</v>
      </c>
      <c r="AN8900">
        <v>1.0000000113126799</v>
      </c>
    </row>
    <row r="8901" spans="1:40" x14ac:dyDescent="0.25">
      <c r="A8901" t="str">
        <f>"20190303162126183"</f>
        <v>20190303162126183</v>
      </c>
      <c r="B8901" t="str">
        <f>"1551601286171707"</f>
        <v>1551601286171707</v>
      </c>
      <c r="C8901" t="s">
        <v>40</v>
      </c>
      <c r="D8901">
        <v>5.1321839999999996</v>
      </c>
      <c r="E8901">
        <v>0.48690830000000002</v>
      </c>
      <c r="F8901" t="s">
        <v>86</v>
      </c>
      <c r="G8901">
        <v>-260.59129999999999</v>
      </c>
      <c r="H8901" s="1">
        <v>-2.2004090000000001E-7</v>
      </c>
      <c r="I8901">
        <v>-63.995849999999997</v>
      </c>
      <c r="J8901">
        <v>-289.95260000000002</v>
      </c>
      <c r="K8901">
        <v>1.1262319999999999</v>
      </c>
      <c r="L8901">
        <v>-55.403869999999998</v>
      </c>
      <c r="M8901">
        <v>0.89866789999999996</v>
      </c>
      <c r="N8901">
        <v>-1.19238E-2</v>
      </c>
      <c r="O8901">
        <v>-0.43846770000000002</v>
      </c>
      <c r="P8901">
        <v>0.94616129999999998</v>
      </c>
      <c r="Q8901">
        <v>9.1191289999999994E-2</v>
      </c>
      <c r="R8901">
        <v>-0.31058570000000002</v>
      </c>
      <c r="S8901">
        <v>2.9021300000000001</v>
      </c>
      <c r="T8901">
        <v>-0.1107682</v>
      </c>
      <c r="U8901">
        <v>-0.85162349999999998</v>
      </c>
      <c r="V8901">
        <v>-0.137045</v>
      </c>
      <c r="W8901">
        <v>0.1012279</v>
      </c>
      <c r="X8901">
        <v>0.98537889999999995</v>
      </c>
      <c r="Y8901">
        <v>-0.16743540000000001</v>
      </c>
      <c r="Z8901">
        <v>1.4503179999999999E-2</v>
      </c>
      <c r="AA8901">
        <v>0.9857764</v>
      </c>
      <c r="AB8901">
        <v>26</v>
      </c>
      <c r="AC8901">
        <v>29.3613</v>
      </c>
      <c r="AD8901">
        <v>-1.1262322200408901</v>
      </c>
      <c r="AE8901">
        <v>-8.5919799999999995</v>
      </c>
      <c r="AF8901">
        <v>-5.1460369240947204</v>
      </c>
      <c r="AG8901">
        <v>-1.1262322200408901</v>
      </c>
      <c r="AH8901">
        <v>30.114692621520501</v>
      </c>
      <c r="AI8901">
        <v>92.1111814443002</v>
      </c>
      <c r="AJ8901">
        <v>99.697112955688795</v>
      </c>
      <c r="AK8901">
        <v>30.571961120056802</v>
      </c>
      <c r="AL8901">
        <v>84.190117193034794</v>
      </c>
      <c r="AM8901">
        <v>97.917819640238093</v>
      </c>
      <c r="AN8901">
        <v>0.99999999816430996</v>
      </c>
    </row>
    <row r="8902" spans="1:40" x14ac:dyDescent="0.25">
      <c r="A8902" t="str">
        <f>"20190303162126196"</f>
        <v>20190303162126196</v>
      </c>
      <c r="B8902" t="str">
        <f>"1551601286181467"</f>
        <v>1551601286181467</v>
      </c>
      <c r="C8902" t="s">
        <v>40</v>
      </c>
      <c r="D8902">
        <v>5.0149949999999999</v>
      </c>
      <c r="E8902">
        <v>0.48696909999999999</v>
      </c>
      <c r="F8902" t="s">
        <v>86</v>
      </c>
      <c r="G8902">
        <v>-259.97750000000002</v>
      </c>
      <c r="H8902" s="1">
        <v>2.994784E-8</v>
      </c>
      <c r="I8902">
        <v>-64.045909999999907</v>
      </c>
      <c r="J8902">
        <v>-289.82310000000001</v>
      </c>
      <c r="K8902">
        <v>1.12617099999999</v>
      </c>
      <c r="L8902">
        <v>-55.462040000000002</v>
      </c>
      <c r="M8902">
        <v>0.90047649999999901</v>
      </c>
      <c r="N8902">
        <v>-1.191034E-2</v>
      </c>
      <c r="O8902">
        <v>-0.43474190000000001</v>
      </c>
      <c r="P8902">
        <v>0.94803769999999998</v>
      </c>
      <c r="Q8902">
        <v>9.1616879999999998E-2</v>
      </c>
      <c r="R8902">
        <v>-0.3046817</v>
      </c>
      <c r="S8902">
        <v>2.9062190000000001</v>
      </c>
      <c r="T8902">
        <v>-0.1091931</v>
      </c>
      <c r="U8902">
        <v>-0.83789059999999904</v>
      </c>
      <c r="V8902">
        <v>-0.13907949999999999</v>
      </c>
      <c r="W8902">
        <v>0.1016321</v>
      </c>
      <c r="X8902">
        <v>0.98505220000000004</v>
      </c>
      <c r="Y8902">
        <v>-0.16803109999999999</v>
      </c>
      <c r="Z8902">
        <v>1.417034E-2</v>
      </c>
      <c r="AA8902">
        <v>0.98567990000000005</v>
      </c>
      <c r="AB8902">
        <v>26</v>
      </c>
      <c r="AC8902">
        <v>29.845599999999902</v>
      </c>
      <c r="AD8902">
        <v>-1.1261709700521501</v>
      </c>
      <c r="AE8902">
        <v>-8.5838699999999903</v>
      </c>
      <c r="AF8902">
        <v>-5.2390414967125496</v>
      </c>
      <c r="AG8902">
        <v>-1.1261709700521501</v>
      </c>
      <c r="AH8902">
        <v>30.568997043268599</v>
      </c>
      <c r="AI8902">
        <v>92.079546919749802</v>
      </c>
      <c r="AJ8902">
        <v>99.725105892091904</v>
      </c>
      <c r="AK8902">
        <v>31.035131658967199</v>
      </c>
      <c r="AL8902">
        <v>84.166838273496893</v>
      </c>
      <c r="AM8902">
        <v>98.036469592001296</v>
      </c>
      <c r="AN8902">
        <v>1.0000000138977501</v>
      </c>
    </row>
    <row r="8903" spans="1:40" x14ac:dyDescent="0.25">
      <c r="A8903" t="str">
        <f>"20190303162126217"</f>
        <v>20190303162126217</v>
      </c>
      <c r="B8903" t="str">
        <f>"1551601286211254"</f>
        <v>1551601286211254</v>
      </c>
      <c r="C8903" t="s">
        <v>40</v>
      </c>
      <c r="D8903">
        <v>5.065817</v>
      </c>
      <c r="E8903">
        <v>0.48716130000000002</v>
      </c>
      <c r="F8903" t="s">
        <v>87</v>
      </c>
      <c r="G8903">
        <v>-259.65899999999999</v>
      </c>
      <c r="H8903" s="1">
        <v>-3.789612E-6</v>
      </c>
      <c r="I8903">
        <v>-63.971130000000002</v>
      </c>
      <c r="J8903">
        <v>-289.60809999999998</v>
      </c>
      <c r="K8903">
        <v>1.126069</v>
      </c>
      <c r="L8903">
        <v>-55.557560000000002</v>
      </c>
      <c r="M8903">
        <v>0.90339709999999995</v>
      </c>
      <c r="N8903">
        <v>-1.188896E-2</v>
      </c>
      <c r="O8903">
        <v>-0.42864049999999998</v>
      </c>
      <c r="P8903">
        <v>0.95087370000000004</v>
      </c>
      <c r="Q8903">
        <v>9.0795799999999996E-2</v>
      </c>
      <c r="R8903">
        <v>-0.29596609999999901</v>
      </c>
      <c r="S8903">
        <v>2.9109799999999999</v>
      </c>
      <c r="T8903">
        <v>-0.108681</v>
      </c>
      <c r="U8903">
        <v>-0.82116699999999998</v>
      </c>
      <c r="V8903">
        <v>-0.14145859999999999</v>
      </c>
      <c r="W8903">
        <v>0.1007929</v>
      </c>
      <c r="X8903">
        <v>0.9847996</v>
      </c>
      <c r="Y8903">
        <v>-0.16703390000000001</v>
      </c>
      <c r="Z8903">
        <v>1.3934820000000001E-2</v>
      </c>
      <c r="AA8903">
        <v>0.98585270000000003</v>
      </c>
      <c r="AB8903">
        <v>26</v>
      </c>
      <c r="AC8903">
        <v>29.949099999999898</v>
      </c>
      <c r="AD8903">
        <v>-1.126072789612</v>
      </c>
      <c r="AE8903">
        <v>-8.41357</v>
      </c>
      <c r="AF8903">
        <v>-5.2301185807351196</v>
      </c>
      <c r="AG8903">
        <v>-1.126072789612</v>
      </c>
      <c r="AH8903">
        <v>30.624361326108701</v>
      </c>
      <c r="AI8903">
        <v>92.075817136744107</v>
      </c>
      <c r="AJ8903">
        <v>99.691639024993506</v>
      </c>
      <c r="AK8903">
        <v>31.0881599154424</v>
      </c>
      <c r="AL8903">
        <v>84.215168988144796</v>
      </c>
      <c r="AM8903">
        <v>98.1741680293011</v>
      </c>
      <c r="AN8903">
        <v>0.99999999818226404</v>
      </c>
    </row>
    <row r="8904" spans="1:40" x14ac:dyDescent="0.25">
      <c r="A8904" t="str">
        <f>"20190303162126227"</f>
        <v>20190303162126227</v>
      </c>
      <c r="B8904" t="str">
        <f>"1551601286221989"</f>
        <v>1551601286221989</v>
      </c>
      <c r="C8904" t="s">
        <v>40</v>
      </c>
      <c r="D8904">
        <v>5.1220480000000004</v>
      </c>
      <c r="E8904">
        <v>0.4872668</v>
      </c>
      <c r="F8904" t="s">
        <v>86</v>
      </c>
      <c r="G8904">
        <v>-260.58670000000001</v>
      </c>
      <c r="H8904" s="1">
        <v>-8.1645789999999995E-8</v>
      </c>
      <c r="I8904">
        <v>-63.4831199999999</v>
      </c>
      <c r="J8904">
        <v>-289.49110000000002</v>
      </c>
      <c r="K8904">
        <v>1.126012</v>
      </c>
      <c r="L8904">
        <v>-55.60895</v>
      </c>
      <c r="M8904">
        <v>0.90494319999999895</v>
      </c>
      <c r="N8904">
        <v>-1.187788E-2</v>
      </c>
      <c r="O8904">
        <v>-0.42536689999999999</v>
      </c>
      <c r="P8904">
        <v>0.95241679999999995</v>
      </c>
      <c r="Q8904">
        <v>9.0569730000000001E-2</v>
      </c>
      <c r="R8904">
        <v>-0.29103200000000001</v>
      </c>
      <c r="S8904">
        <v>2.9178160000000002</v>
      </c>
      <c r="T8904">
        <v>-0.1132153</v>
      </c>
      <c r="U8904">
        <v>-0.79684449999999996</v>
      </c>
      <c r="V8904">
        <v>-0.14299229999999999</v>
      </c>
      <c r="W8904">
        <v>0.1005538</v>
      </c>
      <c r="X8904">
        <v>0.98460250000000005</v>
      </c>
      <c r="Y8904">
        <v>-0.1716695</v>
      </c>
      <c r="Z8904">
        <v>1.4722549999999999E-2</v>
      </c>
      <c r="AA8904">
        <v>0.98504460000000005</v>
      </c>
      <c r="AB8904">
        <v>26</v>
      </c>
      <c r="AC8904">
        <v>28.904399999999999</v>
      </c>
      <c r="AD8904">
        <v>-1.1260120816457899</v>
      </c>
      <c r="AE8904">
        <v>-7.8741699999999897</v>
      </c>
      <c r="AF8904">
        <v>-5.1623692210431296</v>
      </c>
      <c r="AG8904">
        <v>-1.1260120816457899</v>
      </c>
      <c r="AH8904">
        <v>29.466699743504002</v>
      </c>
      <c r="AI8904">
        <v>92.155582326991293</v>
      </c>
      <c r="AJ8904">
        <v>99.936992935422893</v>
      </c>
      <c r="AK8904">
        <v>29.9366723761377</v>
      </c>
      <c r="AL8904">
        <v>84.228938222643393</v>
      </c>
      <c r="AM8904">
        <v>98.263206788010905</v>
      </c>
      <c r="AN8904">
        <v>0.99999997377998895</v>
      </c>
    </row>
    <row r="8905" spans="1:40" x14ac:dyDescent="0.25">
      <c r="A8905" t="str">
        <f>"20190303162126238"</f>
        <v>20190303162126238</v>
      </c>
      <c r="B8905" t="str">
        <f>"1551601286231750"</f>
        <v>1551601286231750</v>
      </c>
      <c r="C8905" t="s">
        <v>40</v>
      </c>
      <c r="D8905">
        <v>5.0635209999999997</v>
      </c>
      <c r="E8905">
        <v>0.48736200000000002</v>
      </c>
      <c r="F8905" t="s">
        <v>41</v>
      </c>
      <c r="G8905">
        <v>-260.74279999999999</v>
      </c>
      <c r="H8905" s="1">
        <v>-1.0326110000000001E-7</v>
      </c>
      <c r="I8905">
        <v>-63.31268</v>
      </c>
      <c r="J8905">
        <v>-289.37720000000002</v>
      </c>
      <c r="K8905">
        <v>1.125966</v>
      </c>
      <c r="L8905">
        <v>-55.658360000000002</v>
      </c>
      <c r="M8905">
        <v>0.90641269999999996</v>
      </c>
      <c r="N8905">
        <v>-1.186743E-2</v>
      </c>
      <c r="O8905">
        <v>-0.4222263</v>
      </c>
      <c r="P8905">
        <v>0.953731</v>
      </c>
      <c r="Q8905">
        <v>9.0534660000000003E-2</v>
      </c>
      <c r="R8905">
        <v>-0.28670699999999999</v>
      </c>
      <c r="S8905">
        <v>2.9215390000000001</v>
      </c>
      <c r="T8905">
        <v>-0.1144308</v>
      </c>
      <c r="U8905">
        <v>-0.78289790000000004</v>
      </c>
      <c r="V8905">
        <v>-0.1440361</v>
      </c>
      <c r="W8905">
        <v>0.10051209999999999</v>
      </c>
      <c r="X8905">
        <v>0.98445459999999996</v>
      </c>
      <c r="Y8905">
        <v>-0.1729473</v>
      </c>
      <c r="Z8905">
        <v>1.4882919999999999E-2</v>
      </c>
      <c r="AA8905">
        <v>0.98481859999999999</v>
      </c>
      <c r="AB8905">
        <v>26</v>
      </c>
      <c r="AC8905">
        <v>28.634399999999999</v>
      </c>
      <c r="AD8905">
        <v>-1.1259661032610999</v>
      </c>
      <c r="AE8905">
        <v>-7.65432000000001</v>
      </c>
      <c r="AF8905">
        <v>-5.1451620485178298</v>
      </c>
      <c r="AG8905">
        <v>-1.1259661032610999</v>
      </c>
      <c r="AH8905">
        <v>29.146434848476702</v>
      </c>
      <c r="AI8905">
        <v>92.178660932590702</v>
      </c>
      <c r="AJ8905">
        <v>100.01117025272001</v>
      </c>
      <c r="AK8905">
        <v>29.618493488827198</v>
      </c>
      <c r="AL8905">
        <v>84.231339600428697</v>
      </c>
      <c r="AM8905">
        <v>98.323916594380904</v>
      </c>
      <c r="AN8905">
        <v>0.99999996990538897</v>
      </c>
    </row>
    <row r="8906" spans="1:40" x14ac:dyDescent="0.25">
      <c r="A8906" t="str">
        <f>"20190303162126250"</f>
        <v>20190303162126250</v>
      </c>
      <c r="B8906" t="str">
        <f>"1551601286241510"</f>
        <v>1551601286241510</v>
      </c>
      <c r="C8906" t="s">
        <v>40</v>
      </c>
      <c r="D8906">
        <v>5.1274790000000001</v>
      </c>
      <c r="E8906">
        <v>0.48747079999999998</v>
      </c>
      <c r="F8906" t="s">
        <v>86</v>
      </c>
      <c r="G8906">
        <v>-260.7697</v>
      </c>
      <c r="H8906" s="1">
        <v>-8.3726599999999997E-8</v>
      </c>
      <c r="I8906">
        <v>-63.195810000000002</v>
      </c>
      <c r="J8906">
        <v>-289.2627</v>
      </c>
      <c r="K8906">
        <v>1.1259239999999999</v>
      </c>
      <c r="L8906">
        <v>-55.707729999999998</v>
      </c>
      <c r="M8906">
        <v>0.90786739999999999</v>
      </c>
      <c r="N8906">
        <v>-1.185746E-2</v>
      </c>
      <c r="O8906">
        <v>-0.41908970000000001</v>
      </c>
      <c r="P8906">
        <v>0.95500940000000001</v>
      </c>
      <c r="Q8906">
        <v>9.0675320000000004E-2</v>
      </c>
      <c r="R8906">
        <v>-0.28237469999999998</v>
      </c>
      <c r="S8906">
        <v>2.9248050000000001</v>
      </c>
      <c r="T8906">
        <v>-0.11511780000000001</v>
      </c>
      <c r="U8906">
        <v>-0.77062989999999998</v>
      </c>
      <c r="V8906">
        <v>-0.14508599999999999</v>
      </c>
      <c r="W8906">
        <v>0.1006454</v>
      </c>
      <c r="X8906">
        <v>0.98428680000000002</v>
      </c>
      <c r="Y8906">
        <v>-0.1736714</v>
      </c>
      <c r="Z8906">
        <v>1.4941009999999999E-2</v>
      </c>
      <c r="AA8906">
        <v>0.98469030000000002</v>
      </c>
      <c r="AB8906">
        <v>26</v>
      </c>
      <c r="AC8906">
        <v>28.492999999999899</v>
      </c>
      <c r="AD8906">
        <v>-1.1259240837266</v>
      </c>
      <c r="AE8906">
        <v>-7.4880799999999796</v>
      </c>
      <c r="AF8906">
        <v>-5.1357992546910198</v>
      </c>
      <c r="AG8906">
        <v>-1.1259240837266</v>
      </c>
      <c r="AH8906">
        <v>28.9657744782686</v>
      </c>
      <c r="AI8906">
        <v>92.191862171409795</v>
      </c>
      <c r="AJ8906">
        <v>100.054380932006</v>
      </c>
      <c r="AK8906">
        <v>29.439093568802701</v>
      </c>
      <c r="AL8906">
        <v>84.223663171700196</v>
      </c>
      <c r="AM8906">
        <v>98.385140459762397</v>
      </c>
      <c r="AN8906">
        <v>0.99999997429569898</v>
      </c>
    </row>
    <row r="8907" spans="1:40" x14ac:dyDescent="0.25">
      <c r="A8907" t="str">
        <f>"20190303162126262"</f>
        <v>20190303162126262</v>
      </c>
      <c r="B8907" t="str">
        <f>"1551601286251270"</f>
        <v>1551601286251270</v>
      </c>
      <c r="C8907" t="s">
        <v>40</v>
      </c>
      <c r="D8907">
        <v>4.8947450000000003</v>
      </c>
      <c r="E8907">
        <v>0.48747079999999998</v>
      </c>
      <c r="F8907" t="s">
        <v>86</v>
      </c>
      <c r="G8907">
        <v>-260.65719999999999</v>
      </c>
      <c r="H8907" s="1">
        <v>-1.486649E-8</v>
      </c>
      <c r="I8907">
        <v>-63.118409999999997</v>
      </c>
      <c r="J8907">
        <v>-289.13569999999999</v>
      </c>
      <c r="K8907">
        <v>1.125877</v>
      </c>
      <c r="L8907">
        <v>-55.7620199999999</v>
      </c>
      <c r="M8907">
        <v>0.90945019999999999</v>
      </c>
      <c r="N8907">
        <v>-1.1847E-2</v>
      </c>
      <c r="O8907">
        <v>-0.41564390000000001</v>
      </c>
      <c r="P8907">
        <v>0.95619370000000004</v>
      </c>
      <c r="Q8907">
        <v>9.1217300000000001E-2</v>
      </c>
      <c r="R8907">
        <v>-0.2781594</v>
      </c>
      <c r="S8907">
        <v>2.9279790000000001</v>
      </c>
      <c r="T8907">
        <v>-0.11524669999999999</v>
      </c>
      <c r="U8907">
        <v>-0.75854489999999997</v>
      </c>
      <c r="V8907">
        <v>-0.1456674</v>
      </c>
      <c r="W8907">
        <v>0.1011867</v>
      </c>
      <c r="X8907">
        <v>0.98414550000000001</v>
      </c>
      <c r="Y8907">
        <v>-0.17400460000000001</v>
      </c>
      <c r="Z8907">
        <v>1.4889929999999999E-2</v>
      </c>
      <c r="AA8907">
        <v>0.98463230000000002</v>
      </c>
      <c r="AB8907">
        <v>26</v>
      </c>
      <c r="AC8907">
        <v>28.4785</v>
      </c>
      <c r="AD8907">
        <v>-1.1258770148664801</v>
      </c>
      <c r="AE8907">
        <v>-7.3563900000000002</v>
      </c>
      <c r="AF8907">
        <v>-5.1394756701665596</v>
      </c>
      <c r="AG8907">
        <v>-1.1258770148664801</v>
      </c>
      <c r="AH8907">
        <v>28.9170812631343</v>
      </c>
      <c r="AI8907">
        <v>92.195297046997098</v>
      </c>
      <c r="AJ8907">
        <v>100.078026607041</v>
      </c>
      <c r="AK8907">
        <v>29.3918253600478</v>
      </c>
      <c r="AL8907">
        <v>84.192490278677496</v>
      </c>
      <c r="AM8907">
        <v>98.419452834945304</v>
      </c>
      <c r="AN8907">
        <v>1.0000000524249399</v>
      </c>
    </row>
    <row r="8908" spans="1:40" x14ac:dyDescent="0.25">
      <c r="A8908" t="str">
        <f>"20190303162126272"</f>
        <v>20190303162126272</v>
      </c>
      <c r="B8908" t="str">
        <f>"1551601286262006"</f>
        <v>1551601286262006</v>
      </c>
      <c r="C8908" t="s">
        <v>40</v>
      </c>
      <c r="D8908">
        <v>5.1258080000000001</v>
      </c>
      <c r="E8908">
        <v>0.49479420000000002</v>
      </c>
      <c r="F8908" t="s">
        <v>41</v>
      </c>
      <c r="G8908">
        <v>-260.10289999999998</v>
      </c>
      <c r="H8908" s="1">
        <v>2.1460019999999999E-7</v>
      </c>
      <c r="I8908">
        <v>-63.149749999999997</v>
      </c>
      <c r="J8908">
        <v>-289.0283</v>
      </c>
      <c r="K8908">
        <v>1.12585</v>
      </c>
      <c r="L8908">
        <v>-55.807400000000001</v>
      </c>
      <c r="M8908">
        <v>0.91076190000000001</v>
      </c>
      <c r="N8908">
        <v>-1.183879E-2</v>
      </c>
      <c r="O8908">
        <v>-0.41276239999999997</v>
      </c>
      <c r="P8908">
        <v>0.95719050000000006</v>
      </c>
      <c r="Q8908">
        <v>9.1944540000000005E-2</v>
      </c>
      <c r="R8908">
        <v>-0.2744685</v>
      </c>
      <c r="S8908">
        <v>2.931305</v>
      </c>
      <c r="T8908">
        <v>-0.113674499999999</v>
      </c>
      <c r="U8908">
        <v>-0.74591059999999998</v>
      </c>
      <c r="V8908">
        <v>-0.14631959999999999</v>
      </c>
      <c r="W8908">
        <v>0.10190920000000001</v>
      </c>
      <c r="X8908">
        <v>0.98397409999999996</v>
      </c>
      <c r="Y8908">
        <v>-0.17514839999999901</v>
      </c>
      <c r="Z8908">
        <v>1.4592859999999999E-2</v>
      </c>
      <c r="AA8908">
        <v>0.98443389999999997</v>
      </c>
      <c r="AB8908">
        <v>26</v>
      </c>
      <c r="AC8908">
        <v>28.9254</v>
      </c>
      <c r="AD8908">
        <v>-1.1258497853998</v>
      </c>
      <c r="AE8908">
        <v>-7.3423499999999899</v>
      </c>
      <c r="AF8908">
        <v>-5.2450873693506201</v>
      </c>
      <c r="AG8908">
        <v>-1.1258497853998</v>
      </c>
      <c r="AH8908">
        <v>29.3351027531751</v>
      </c>
      <c r="AI8908">
        <v>92.163593296472101</v>
      </c>
      <c r="AJ8908">
        <v>100.137307736598</v>
      </c>
      <c r="AK8908">
        <v>29.821581661453699</v>
      </c>
      <c r="AL8908">
        <v>84.150878491463203</v>
      </c>
      <c r="AM8908">
        <v>98.458057308691295</v>
      </c>
      <c r="AN8908">
        <v>0.999999969929804</v>
      </c>
    </row>
    <row r="8909" spans="1:40" x14ac:dyDescent="0.25">
      <c r="A8909" t="str">
        <f>"20190303162126285"</f>
        <v>20190303162126285</v>
      </c>
      <c r="B8909" t="str">
        <f>"1551601286271766"</f>
        <v>1551601286271766</v>
      </c>
      <c r="C8909" t="s">
        <v>40</v>
      </c>
      <c r="D8909">
        <v>5.1166960000000001</v>
      </c>
      <c r="E8909">
        <v>0.495757</v>
      </c>
      <c r="F8909" t="s">
        <v>41</v>
      </c>
      <c r="G8909">
        <v>-266.92180000000002</v>
      </c>
      <c r="H8909" s="1">
        <v>-2.351297E-6</v>
      </c>
      <c r="I8909">
        <v>-61.798969999999997</v>
      </c>
      <c r="J8909">
        <v>-288.90210000000002</v>
      </c>
      <c r="K8909">
        <v>1.125812</v>
      </c>
      <c r="L8909">
        <v>-55.860410000000002</v>
      </c>
      <c r="M8909">
        <v>0.91228260000000005</v>
      </c>
      <c r="N8909">
        <v>-1.1829620000000001E-2</v>
      </c>
      <c r="O8909">
        <v>-0.4093907</v>
      </c>
      <c r="P8909">
        <v>0.95822819999999997</v>
      </c>
      <c r="Q8909">
        <v>9.2796320000000002E-2</v>
      </c>
      <c r="R8909">
        <v>-0.27053290000000002</v>
      </c>
      <c r="S8909">
        <v>2.9214169999999999</v>
      </c>
      <c r="T8909">
        <v>-0.14878420000000001</v>
      </c>
      <c r="U8909">
        <v>-0.79180909999999904</v>
      </c>
      <c r="V8909">
        <v>-0.1466895</v>
      </c>
      <c r="W8909">
        <v>0.10276150000000001</v>
      </c>
      <c r="X8909">
        <v>0.98383039999999999</v>
      </c>
      <c r="Y8909">
        <v>-0.15600890000000001</v>
      </c>
      <c r="Z8909">
        <v>1.963463E-2</v>
      </c>
      <c r="AA8909">
        <v>0.98756049999999995</v>
      </c>
      <c r="AB8909">
        <v>26</v>
      </c>
      <c r="AC8909">
        <v>21.9803</v>
      </c>
      <c r="AD8909">
        <v>-1.125814351297</v>
      </c>
      <c r="AE8909">
        <v>-5.9385599999999998</v>
      </c>
      <c r="AF8909">
        <v>-3.5724013068395801</v>
      </c>
      <c r="AG8909">
        <v>-1.125814351297</v>
      </c>
      <c r="AH8909">
        <v>22.4301667922409</v>
      </c>
      <c r="AI8909">
        <v>92.837671472417</v>
      </c>
      <c r="AJ8909">
        <v>99.049362436258207</v>
      </c>
      <c r="AK8909">
        <v>22.740753975592899</v>
      </c>
      <c r="AL8909">
        <v>84.101787718182905</v>
      </c>
      <c r="AM8909">
        <v>98.480349538955394</v>
      </c>
      <c r="AN8909">
        <v>0.99999999562832997</v>
      </c>
    </row>
    <row r="8910" spans="1:40" x14ac:dyDescent="0.25">
      <c r="A8910" t="str">
        <f>"20190303162126296"</f>
        <v>20190303162126296</v>
      </c>
      <c r="B8910" t="str">
        <f>"1551601286281526"</f>
        <v>1551601286281526</v>
      </c>
      <c r="C8910" t="s">
        <v>40</v>
      </c>
      <c r="D8910">
        <v>4.9153149999999997</v>
      </c>
      <c r="E8910">
        <v>0.49638349999999998</v>
      </c>
      <c r="F8910" t="s">
        <v>41</v>
      </c>
      <c r="G8910">
        <v>-266.0539</v>
      </c>
      <c r="H8910" s="1">
        <v>-2.0368379999999999E-6</v>
      </c>
      <c r="I8910">
        <v>-62.016469999999998</v>
      </c>
      <c r="J8910">
        <v>-288.78620000000001</v>
      </c>
      <c r="K8910">
        <v>1.125783</v>
      </c>
      <c r="L8910">
        <v>-55.9084199999999</v>
      </c>
      <c r="M8910">
        <v>0.91364849999999997</v>
      </c>
      <c r="N8910">
        <v>-1.1822010000000001E-2</v>
      </c>
      <c r="O8910">
        <v>-0.40633320000000001</v>
      </c>
      <c r="P8910">
        <v>0.95914509999999997</v>
      </c>
      <c r="Q8910">
        <v>9.362036E-2</v>
      </c>
      <c r="R8910">
        <v>-0.26697520000000002</v>
      </c>
      <c r="S8910">
        <v>2.9224549999999998</v>
      </c>
      <c r="T8910">
        <v>-0.14399989999999999</v>
      </c>
      <c r="U8910">
        <v>-0.78741459999999996</v>
      </c>
      <c r="V8910">
        <v>-0.14701429999999999</v>
      </c>
      <c r="W8910">
        <v>0.103584</v>
      </c>
      <c r="X8910">
        <v>0.98369569999999995</v>
      </c>
      <c r="Y8910">
        <v>-0.15421199999999999</v>
      </c>
      <c r="Z8910">
        <v>1.872681E-2</v>
      </c>
      <c r="AA8910">
        <v>0.98786030000000002</v>
      </c>
      <c r="AB8910">
        <v>26</v>
      </c>
      <c r="AC8910">
        <v>22.732299999999999</v>
      </c>
      <c r="AD8910">
        <v>-1.125785036838</v>
      </c>
      <c r="AE8910">
        <v>-6.1080500000000004</v>
      </c>
      <c r="AF8910">
        <v>-3.6481879794148599</v>
      </c>
      <c r="AG8910">
        <v>-1.125785036838</v>
      </c>
      <c r="AH8910">
        <v>23.199792013261899</v>
      </c>
      <c r="AI8910">
        <v>92.744463239254003</v>
      </c>
      <c r="AJ8910">
        <v>98.936630750190503</v>
      </c>
      <c r="AK8910">
        <v>23.511848437350199</v>
      </c>
      <c r="AL8910">
        <v>84.054409363438495</v>
      </c>
      <c r="AM8910">
        <v>98.499999579093796</v>
      </c>
      <c r="AN8910">
        <v>1.0000000398294799</v>
      </c>
    </row>
    <row r="8911" spans="1:40" x14ac:dyDescent="0.25">
      <c r="A8911" t="str">
        <f>"20190303162126307"</f>
        <v>20190303162126307</v>
      </c>
      <c r="B8911" t="str">
        <f>"1551601286301553"</f>
        <v>1551601286301553</v>
      </c>
      <c r="C8911" t="s">
        <v>40</v>
      </c>
      <c r="D8911">
        <v>5.1286829999999997</v>
      </c>
      <c r="E8911">
        <v>0.496998</v>
      </c>
      <c r="F8911" t="s">
        <v>41</v>
      </c>
      <c r="G8911">
        <v>-265.54450000000003</v>
      </c>
      <c r="H8911" s="1">
        <v>-1.8459829999999999E-6</v>
      </c>
      <c r="I8911">
        <v>-62.120530000000002</v>
      </c>
      <c r="J8911">
        <v>-288.67219999999998</v>
      </c>
      <c r="K8911">
        <v>1.1257539999999999</v>
      </c>
      <c r="L8911">
        <v>-55.955509999999997</v>
      </c>
      <c r="M8911">
        <v>0.91497839999999997</v>
      </c>
      <c r="N8911">
        <v>-1.181488E-2</v>
      </c>
      <c r="O8911">
        <v>-0.40333010000000002</v>
      </c>
      <c r="P8911">
        <v>0.96008879999999996</v>
      </c>
      <c r="Q8911">
        <v>9.395017E-2</v>
      </c>
      <c r="R8911">
        <v>-0.2634455</v>
      </c>
      <c r="S8911">
        <v>2.924042</v>
      </c>
      <c r="T8911">
        <v>-0.14163519999999999</v>
      </c>
      <c r="U8911">
        <v>-0.78155520000000001</v>
      </c>
      <c r="V8911">
        <v>-0.14738490000000001</v>
      </c>
      <c r="W8911">
        <v>0.10391259999999999</v>
      </c>
      <c r="X8911">
        <v>0.98360559999999997</v>
      </c>
      <c r="Y8911">
        <v>-0.15296760000000001</v>
      </c>
      <c r="Z8911">
        <v>1.8223960000000001E-2</v>
      </c>
      <c r="AA8911">
        <v>0.98806320000000003</v>
      </c>
      <c r="AB8911">
        <v>26</v>
      </c>
      <c r="AC8911">
        <v>23.127699999999901</v>
      </c>
      <c r="AD8911">
        <v>-1.1257558459829999</v>
      </c>
      <c r="AE8911">
        <v>-6.1650200000000002</v>
      </c>
      <c r="AF8911">
        <v>-3.6793551470014201</v>
      </c>
      <c r="AG8911">
        <v>-1.1257558459829999</v>
      </c>
      <c r="AH8911">
        <v>23.597331583999399</v>
      </c>
      <c r="AI8911">
        <v>92.6987739287907</v>
      </c>
      <c r="AJ8911">
        <v>98.862341570013697</v>
      </c>
      <c r="AK8911">
        <v>23.908974014117501</v>
      </c>
      <c r="AL8911">
        <v>84.035479920677105</v>
      </c>
      <c r="AM8911">
        <v>98.521881663126706</v>
      </c>
      <c r="AN8911">
        <v>1.0000000567690599</v>
      </c>
    </row>
    <row r="8912" spans="1:40" x14ac:dyDescent="0.25">
      <c r="A8912" t="str">
        <f>"20190303162126317"</f>
        <v>20190303162126317</v>
      </c>
      <c r="B8912" t="str">
        <f>"1551601286311313"</f>
        <v>1551601286311313</v>
      </c>
      <c r="C8912" t="s">
        <v>40</v>
      </c>
      <c r="D8912">
        <v>5.06928</v>
      </c>
      <c r="E8912">
        <v>0.48718669999999997</v>
      </c>
      <c r="F8912" t="s">
        <v>41</v>
      </c>
      <c r="G8912">
        <v>-266.44069999999999</v>
      </c>
      <c r="H8912" s="1">
        <v>-2.1582949999999998E-6</v>
      </c>
      <c r="I8912">
        <v>-61.849319999999999</v>
      </c>
      <c r="J8912">
        <v>-288.55669999999998</v>
      </c>
      <c r="K8912">
        <v>1.125734</v>
      </c>
      <c r="L8912">
        <v>-56.00253</v>
      </c>
      <c r="M8912">
        <v>0.91630180000000006</v>
      </c>
      <c r="N8912">
        <v>-1.180841E-2</v>
      </c>
      <c r="O8912">
        <v>-0.40031480000000003</v>
      </c>
      <c r="P8912">
        <v>0.96104940000000005</v>
      </c>
      <c r="Q8912">
        <v>9.4287750000000004E-2</v>
      </c>
      <c r="R8912">
        <v>-0.25979669999999999</v>
      </c>
      <c r="S8912">
        <v>2.926361</v>
      </c>
      <c r="T8912">
        <v>-0.1481847</v>
      </c>
      <c r="U8912">
        <v>-0.77581789999999995</v>
      </c>
      <c r="V8912">
        <v>-0.147867</v>
      </c>
      <c r="W8912">
        <v>0.1042455</v>
      </c>
      <c r="X8912">
        <v>0.98349799999999998</v>
      </c>
      <c r="Y8912">
        <v>-0.15167520000000001</v>
      </c>
      <c r="Z8912">
        <v>1.9101389999999999E-2</v>
      </c>
      <c r="AA8912">
        <v>0.98824579999999995</v>
      </c>
      <c r="AB8912">
        <v>26</v>
      </c>
      <c r="AC8912">
        <v>22.1159999999999</v>
      </c>
      <c r="AD8912">
        <v>-1.1257361582950001</v>
      </c>
      <c r="AE8912">
        <v>-5.8467899999999897</v>
      </c>
      <c r="AF8912">
        <v>-3.4877347845060802</v>
      </c>
      <c r="AG8912">
        <v>-1.1257361582950001</v>
      </c>
      <c r="AH8912">
        <v>22.552443966785901</v>
      </c>
      <c r="AI8912">
        <v>92.824108868759197</v>
      </c>
      <c r="AJ8912">
        <v>98.791147234236405</v>
      </c>
      <c r="AK8912">
        <v>22.848288879042201</v>
      </c>
      <c r="AL8912">
        <v>84.016301931149201</v>
      </c>
      <c r="AM8912">
        <v>98.550267223381894</v>
      </c>
      <c r="AN8912">
        <v>1.00000004498162</v>
      </c>
    </row>
    <row r="8913" spans="1:40" x14ac:dyDescent="0.25">
      <c r="A8913" t="str">
        <f>"20190303162126328"</f>
        <v>20190303162126328</v>
      </c>
      <c r="B8913" t="str">
        <f>"1551601286321072"</f>
        <v>1551601286321072</v>
      </c>
      <c r="C8913" t="s">
        <v>40</v>
      </c>
      <c r="D8913">
        <v>5.0605089999999997</v>
      </c>
      <c r="E8913">
        <v>0.48597879999999899</v>
      </c>
      <c r="F8913" t="s">
        <v>87</v>
      </c>
      <c r="G8913">
        <v>-254.6172</v>
      </c>
      <c r="H8913" s="1">
        <v>-1.906227E-6</v>
      </c>
      <c r="I8913">
        <v>-63.933349999999997</v>
      </c>
      <c r="J8913">
        <v>-288.44170000000003</v>
      </c>
      <c r="K8913">
        <v>1.1257140000000001</v>
      </c>
      <c r="L8913">
        <v>-56.049069999999901</v>
      </c>
      <c r="M8913">
        <v>0.91760390000000003</v>
      </c>
      <c r="N8913">
        <v>-1.1802379999999999E-2</v>
      </c>
      <c r="O8913">
        <v>-0.39732099999999998</v>
      </c>
      <c r="P8913">
        <v>0.96201639999999999</v>
      </c>
      <c r="Q8913">
        <v>9.497295E-2</v>
      </c>
      <c r="R8913">
        <v>-0.25593929999999998</v>
      </c>
      <c r="S8913">
        <v>2.9451290000000001</v>
      </c>
      <c r="T8913">
        <v>-9.7686529999999994E-2</v>
      </c>
      <c r="U8913">
        <v>-0.68820190000000003</v>
      </c>
      <c r="V8913">
        <v>-0.14857709999999999</v>
      </c>
      <c r="W8913">
        <v>0.10492269999999899</v>
      </c>
      <c r="X8913">
        <v>0.9833189</v>
      </c>
      <c r="Y8913">
        <v>-0.17791680000000001</v>
      </c>
      <c r="Z8913">
        <v>1.1769399999999999E-2</v>
      </c>
      <c r="AA8913">
        <v>0.98397520000000005</v>
      </c>
      <c r="AB8913">
        <v>26</v>
      </c>
      <c r="AC8913">
        <v>33.8245</v>
      </c>
      <c r="AD8913">
        <v>-1.1257159062269999</v>
      </c>
      <c r="AE8913">
        <v>-7.8842800000000004</v>
      </c>
      <c r="AF8913">
        <v>-6.1984578796594798</v>
      </c>
      <c r="AG8913">
        <v>-1.1257159062269999</v>
      </c>
      <c r="AH8913">
        <v>34.136597765178998</v>
      </c>
      <c r="AI8913">
        <v>91.858381557334994</v>
      </c>
      <c r="AJ8913">
        <v>100.291529303236</v>
      </c>
      <c r="AK8913">
        <v>34.713043994571699</v>
      </c>
      <c r="AL8913">
        <v>83.977286963620799</v>
      </c>
      <c r="AM8913">
        <v>98.592258221002595</v>
      </c>
      <c r="AN8913">
        <v>0.99999999335845402</v>
      </c>
    </row>
    <row r="8914" spans="1:40" x14ac:dyDescent="0.25">
      <c r="A8914" t="str">
        <f>"20190303162126339"</f>
        <v>20190303162126339</v>
      </c>
      <c r="B8914" t="str">
        <f>"1551601286331809"</f>
        <v>1551601286331809</v>
      </c>
      <c r="C8914" t="s">
        <v>40</v>
      </c>
      <c r="D8914">
        <v>5.1301949999999996</v>
      </c>
      <c r="E8914">
        <v>0.48490519999999998</v>
      </c>
      <c r="F8914" t="s">
        <v>87</v>
      </c>
      <c r="G8914">
        <v>-254.64179999999999</v>
      </c>
      <c r="H8914" s="1">
        <v>-1.8637189999999999E-6</v>
      </c>
      <c r="I8914">
        <v>-63.694560000000003</v>
      </c>
      <c r="J8914">
        <v>-288.32459999999998</v>
      </c>
      <c r="K8914">
        <v>1.125702</v>
      </c>
      <c r="L8914">
        <v>-56.09601</v>
      </c>
      <c r="M8914">
        <v>0.91891279999999997</v>
      </c>
      <c r="N8914">
        <v>-1.179682E-2</v>
      </c>
      <c r="O8914">
        <v>-0.39428479999999999</v>
      </c>
      <c r="P8914">
        <v>0.96299020000000002</v>
      </c>
      <c r="Q8914">
        <v>9.5424640000000005E-2</v>
      </c>
      <c r="R8914">
        <v>-0.25207990000000002</v>
      </c>
      <c r="S8914">
        <v>2.9505919999999999</v>
      </c>
      <c r="T8914">
        <v>-9.8270419999999997E-2</v>
      </c>
      <c r="U8914">
        <v>-0.6674194</v>
      </c>
      <c r="V8914">
        <v>-0.1492523</v>
      </c>
      <c r="W8914">
        <v>0.1053661</v>
      </c>
      <c r="X8914">
        <v>0.98316930000000002</v>
      </c>
      <c r="Y8914">
        <v>-0.1816441</v>
      </c>
      <c r="Z8914">
        <v>1.1880389999999999E-2</v>
      </c>
      <c r="AA8914">
        <v>0.98329259999999996</v>
      </c>
      <c r="AB8914">
        <v>26</v>
      </c>
      <c r="AC8914">
        <v>33.682799999999901</v>
      </c>
      <c r="AD8914">
        <v>-1.125703863719</v>
      </c>
      <c r="AE8914">
        <v>-7.5985499999999897</v>
      </c>
      <c r="AF8914">
        <v>-6.2919607854598096</v>
      </c>
      <c r="AG8914">
        <v>-1.125703863719</v>
      </c>
      <c r="AH8914">
        <v>33.913858876571503</v>
      </c>
      <c r="AI8914">
        <v>91.869247867743297</v>
      </c>
      <c r="AJ8914">
        <v>100.510450714858</v>
      </c>
      <c r="AK8914">
        <v>34.510951937241003</v>
      </c>
      <c r="AL8914">
        <v>83.951740863946</v>
      </c>
      <c r="AM8914">
        <v>98.632012020092702</v>
      </c>
      <c r="AN8914">
        <v>1.00000006827349</v>
      </c>
    </row>
    <row r="8915" spans="1:40" x14ac:dyDescent="0.25">
      <c r="A8915" t="str">
        <f>"20190303162126351"</f>
        <v>20190303162126351</v>
      </c>
      <c r="B8915" t="str">
        <f>"1551601286341568"</f>
        <v>1551601286341568</v>
      </c>
      <c r="C8915" t="s">
        <v>40</v>
      </c>
      <c r="D8915">
        <v>5.1317570000000003</v>
      </c>
      <c r="E8915">
        <v>0.48448989999999997</v>
      </c>
      <c r="F8915" t="s">
        <v>87</v>
      </c>
      <c r="G8915">
        <v>-250.13470000000001</v>
      </c>
      <c r="H8915" s="1">
        <v>-1.012988E-7</v>
      </c>
      <c r="I8915">
        <v>-64.464069999999893</v>
      </c>
      <c r="J8915">
        <v>-288.202</v>
      </c>
      <c r="K8915">
        <v>1.1256900000000001</v>
      </c>
      <c r="L8915">
        <v>-56.144649999999999</v>
      </c>
      <c r="M8915">
        <v>0.92026479999999999</v>
      </c>
      <c r="N8915">
        <v>-1.1791630000000001E-2</v>
      </c>
      <c r="O8915">
        <v>-0.39111849999999998</v>
      </c>
      <c r="P8915">
        <v>0.96399900000000005</v>
      </c>
      <c r="Q8915">
        <v>9.5765900000000001E-2</v>
      </c>
      <c r="R8915">
        <v>-0.2480628</v>
      </c>
      <c r="S8915">
        <v>2.954437</v>
      </c>
      <c r="T8915">
        <v>-8.7086440000000001E-2</v>
      </c>
      <c r="U8915">
        <v>-0.64736939999999998</v>
      </c>
      <c r="V8915">
        <v>-0.1499539</v>
      </c>
      <c r="W8915">
        <v>0.1056976</v>
      </c>
      <c r="X8915">
        <v>0.98302690000000004</v>
      </c>
      <c r="Y8915">
        <v>-0.18493860000000001</v>
      </c>
      <c r="Z8915">
        <v>1.0131319999999999E-2</v>
      </c>
      <c r="AA8915">
        <v>0.98269779999999995</v>
      </c>
      <c r="AB8915">
        <v>26</v>
      </c>
      <c r="AC8915">
        <v>38.067299999999904</v>
      </c>
      <c r="AD8915">
        <v>-1.1256901012988001</v>
      </c>
      <c r="AE8915">
        <v>-8.3194199999999903</v>
      </c>
      <c r="AF8915">
        <v>-7.22722694240269</v>
      </c>
      <c r="AG8915">
        <v>-1.1256901012988001</v>
      </c>
      <c r="AH8915">
        <v>38.256608343142098</v>
      </c>
      <c r="AI8915">
        <v>91.656149065762094</v>
      </c>
      <c r="AJ8915">
        <v>100.69792600306801</v>
      </c>
      <c r="AK8915">
        <v>38.9495580129187</v>
      </c>
      <c r="AL8915">
        <v>83.932640365971494</v>
      </c>
      <c r="AM8915">
        <v>98.673210733754601</v>
      </c>
      <c r="AN8915">
        <v>1.0000000204472801</v>
      </c>
    </row>
    <row r="8916" spans="1:40" x14ac:dyDescent="0.25">
      <c r="A8916" t="str">
        <f>"20190303162126363"</f>
        <v>20190303162126363</v>
      </c>
      <c r="B8916" t="str">
        <f>"1551601286351330"</f>
        <v>1551601286351330</v>
      </c>
      <c r="C8916" t="s">
        <v>40</v>
      </c>
      <c r="D8916">
        <v>5.1269039999999997</v>
      </c>
      <c r="E8916">
        <v>0.48419499999999999</v>
      </c>
      <c r="F8916" t="s">
        <v>88</v>
      </c>
      <c r="G8916">
        <v>-246.17789999999999</v>
      </c>
      <c r="H8916" s="1">
        <v>-2.8177639999999998E-6</v>
      </c>
      <c r="I8916">
        <v>-65.126710000000003</v>
      </c>
      <c r="J8916">
        <v>-288.0754</v>
      </c>
      <c r="K8916">
        <v>1.125678</v>
      </c>
      <c r="L8916">
        <v>-56.194519999999997</v>
      </c>
      <c r="M8916">
        <v>0.92164520000000005</v>
      </c>
      <c r="N8916">
        <v>-1.17868E-2</v>
      </c>
      <c r="O8916">
        <v>-0.3878549</v>
      </c>
      <c r="P8916">
        <v>0.96505949999999996</v>
      </c>
      <c r="Q8916">
        <v>9.551221E-2</v>
      </c>
      <c r="R8916">
        <v>-0.2440041</v>
      </c>
      <c r="S8916">
        <v>2.9572750000000001</v>
      </c>
      <c r="T8916">
        <v>-7.9215999999999995E-2</v>
      </c>
      <c r="U8916">
        <v>-0.63208009999999903</v>
      </c>
      <c r="V8916">
        <v>-0.15061099999999999</v>
      </c>
      <c r="W8916">
        <v>0.1054358</v>
      </c>
      <c r="X8916">
        <v>0.98295449999999995</v>
      </c>
      <c r="Y8916">
        <v>-0.18653620000000001</v>
      </c>
      <c r="Z8916">
        <v>8.8807290000000004E-3</v>
      </c>
      <c r="AA8916">
        <v>0.98240799999999995</v>
      </c>
      <c r="AB8916">
        <v>26</v>
      </c>
      <c r="AC8916">
        <v>41.897500000000001</v>
      </c>
      <c r="AD8916">
        <v>-1.1256808177640001</v>
      </c>
      <c r="AE8916">
        <v>-8.9321900000000003</v>
      </c>
      <c r="AF8916">
        <v>-8.0128640179412702</v>
      </c>
      <c r="AG8916">
        <v>-1.1256808177640001</v>
      </c>
      <c r="AH8916">
        <v>42.052905280053103</v>
      </c>
      <c r="AI8916">
        <v>91.506252329209005</v>
      </c>
      <c r="AJ8916">
        <v>100.787961846058</v>
      </c>
      <c r="AK8916">
        <v>42.824292049800597</v>
      </c>
      <c r="AL8916">
        <v>83.947724352708306</v>
      </c>
      <c r="AM8916">
        <v>98.711266924864404</v>
      </c>
      <c r="AN8916">
        <v>0.99999996515644396</v>
      </c>
    </row>
    <row r="8917" spans="1:40" x14ac:dyDescent="0.25">
      <c r="A8917" t="str">
        <f>"20190303162126375"</f>
        <v>20190303162126375</v>
      </c>
      <c r="B8917" t="str">
        <f>"1551601286361089"</f>
        <v>1551601286361089</v>
      </c>
      <c r="C8917" t="s">
        <v>40</v>
      </c>
      <c r="D8917">
        <v>5.1204489999999998</v>
      </c>
      <c r="E8917">
        <v>0.4841008</v>
      </c>
      <c r="F8917" t="s">
        <v>88</v>
      </c>
      <c r="G8917">
        <v>-244.7139</v>
      </c>
      <c r="H8917" s="1">
        <v>-2.3016589999999998E-6</v>
      </c>
      <c r="I8917">
        <v>-65.240390000000005</v>
      </c>
      <c r="J8917">
        <v>-287.95460000000003</v>
      </c>
      <c r="K8917">
        <v>1.1256710000000001</v>
      </c>
      <c r="L8917">
        <v>-56.24136</v>
      </c>
      <c r="M8917">
        <v>0.9229444</v>
      </c>
      <c r="N8917">
        <v>-1.1782890000000001E-2</v>
      </c>
      <c r="O8917">
        <v>-0.38475340000000002</v>
      </c>
      <c r="P8917">
        <v>0.96597650000000002</v>
      </c>
      <c r="Q8917">
        <v>9.5201530000000006E-2</v>
      </c>
      <c r="R8917">
        <v>-0.24047180000000001</v>
      </c>
      <c r="S8917">
        <v>2.960083</v>
      </c>
      <c r="T8917">
        <v>-7.6844930000000006E-2</v>
      </c>
      <c r="U8917">
        <v>-0.61752320000000005</v>
      </c>
      <c r="V8917">
        <v>-0.1509086</v>
      </c>
      <c r="W8917">
        <v>0.1051209</v>
      </c>
      <c r="X8917">
        <v>0.9829426</v>
      </c>
      <c r="Y8917">
        <v>-0.1880558</v>
      </c>
      <c r="Z8917">
        <v>8.5000709999999997E-3</v>
      </c>
      <c r="AA8917">
        <v>0.98212160000000004</v>
      </c>
      <c r="AB8917">
        <v>26</v>
      </c>
      <c r="AC8917">
        <v>43.240699999999997</v>
      </c>
      <c r="AD8917">
        <v>-1.1256733016589999</v>
      </c>
      <c r="AE8917">
        <v>-8.9990299999999994</v>
      </c>
      <c r="AF8917">
        <v>-8.3265701437749406</v>
      </c>
      <c r="AG8917">
        <v>-1.1256733016589999</v>
      </c>
      <c r="AH8917">
        <v>43.346015889069101</v>
      </c>
      <c r="AI8917">
        <v>91.460908817420403</v>
      </c>
      <c r="AJ8917">
        <v>100.87379678015699</v>
      </c>
      <c r="AK8917">
        <v>44.152870848866698</v>
      </c>
      <c r="AL8917">
        <v>83.965867722492007</v>
      </c>
      <c r="AM8917">
        <v>98.728319192687707</v>
      </c>
      <c r="AN8917">
        <v>0.99999998203276397</v>
      </c>
    </row>
    <row r="8918" spans="1:40" x14ac:dyDescent="0.25">
      <c r="A8918" t="str">
        <f>"20190303162126388"</f>
        <v>20190303162126388</v>
      </c>
      <c r="B8918" t="str">
        <f>"1551601286381585"</f>
        <v>1551601286381585</v>
      </c>
      <c r="C8918" t="s">
        <v>40</v>
      </c>
      <c r="D8918">
        <v>5.1209680000000004</v>
      </c>
      <c r="E8918">
        <v>0.4846182</v>
      </c>
      <c r="F8918" t="s">
        <v>88</v>
      </c>
      <c r="G8918">
        <v>-244.6994</v>
      </c>
      <c r="H8918" s="1">
        <v>-2.2563290000000001E-6</v>
      </c>
      <c r="I8918">
        <v>-65.093409999999906</v>
      </c>
      <c r="J8918">
        <v>-287.81540000000001</v>
      </c>
      <c r="K8918">
        <v>1.1256660000000001</v>
      </c>
      <c r="L8918">
        <v>-56.295070000000003</v>
      </c>
      <c r="M8918">
        <v>0.92442639999999998</v>
      </c>
      <c r="N8918">
        <v>-1.1778800000000001E-2</v>
      </c>
      <c r="O8918">
        <v>-0.38117830000000003</v>
      </c>
      <c r="P8918">
        <v>0.96697599999999995</v>
      </c>
      <c r="Q8918">
        <v>9.5110029999999998E-2</v>
      </c>
      <c r="R8918">
        <v>-0.23645659999999999</v>
      </c>
      <c r="S8918">
        <v>2.9623110000000001</v>
      </c>
      <c r="T8918">
        <v>-7.7091220000000002E-2</v>
      </c>
      <c r="U8918">
        <v>-0.60623169999999904</v>
      </c>
      <c r="V8918">
        <v>-0.1511885</v>
      </c>
      <c r="W8918">
        <v>0.1050242</v>
      </c>
      <c r="X8918">
        <v>0.9829099</v>
      </c>
      <c r="Y8918">
        <v>-0.18799199999999999</v>
      </c>
      <c r="Z8918">
        <v>8.4952440000000008E-3</v>
      </c>
      <c r="AA8918">
        <v>0.98213379999999995</v>
      </c>
      <c r="AB8918">
        <v>26</v>
      </c>
      <c r="AC8918">
        <v>43.116</v>
      </c>
      <c r="AD8918">
        <v>-1.1256682563289999</v>
      </c>
      <c r="AE8918">
        <v>-8.7983399999999907</v>
      </c>
      <c r="AF8918">
        <v>-8.2966134670307206</v>
      </c>
      <c r="AG8918">
        <v>-1.1256682563289999</v>
      </c>
      <c r="AH8918">
        <v>43.186047226460502</v>
      </c>
      <c r="AI8918">
        <v>91.466306493786206</v>
      </c>
      <c r="AJ8918">
        <v>100.87478528039701</v>
      </c>
      <c r="AK8918">
        <v>43.990176165715702</v>
      </c>
      <c r="AL8918">
        <v>83.971438920811195</v>
      </c>
      <c r="AM8918">
        <v>98.744544602110494</v>
      </c>
      <c r="AN8918">
        <v>0.99999995831794897</v>
      </c>
    </row>
    <row r="8919" spans="1:40" x14ac:dyDescent="0.25">
      <c r="A8919" t="str">
        <f>"20190303162126399"</f>
        <v>20190303162126399</v>
      </c>
      <c r="B8919" t="str">
        <f>"1551601286391345"</f>
        <v>1551601286391345</v>
      </c>
      <c r="C8919" t="s">
        <v>40</v>
      </c>
      <c r="D8919">
        <v>5.1838150000000001</v>
      </c>
      <c r="E8919">
        <v>0.48499599999999998</v>
      </c>
      <c r="F8919" t="s">
        <v>88</v>
      </c>
      <c r="G8919">
        <v>-244.7115</v>
      </c>
      <c r="H8919" s="1">
        <v>-2.2348350000000001E-6</v>
      </c>
      <c r="I8919">
        <v>-64.993099999999998</v>
      </c>
      <c r="J8919">
        <v>-287.68520000000001</v>
      </c>
      <c r="K8919">
        <v>1.1256619999999999</v>
      </c>
      <c r="L8919">
        <v>-56.3446</v>
      </c>
      <c r="M8919">
        <v>0.92579630000000002</v>
      </c>
      <c r="N8919">
        <v>-1.177572E-2</v>
      </c>
      <c r="O8919">
        <v>-0.37783919999999999</v>
      </c>
      <c r="P8919">
        <v>0.96783379999999997</v>
      </c>
      <c r="Q8919">
        <v>9.4827620000000001E-2</v>
      </c>
      <c r="R8919">
        <v>-0.23303579999999999</v>
      </c>
      <c r="S8919">
        <v>2.9638369999999998</v>
      </c>
      <c r="T8919">
        <v>-7.7401399999999995E-2</v>
      </c>
      <c r="U8919">
        <v>-0.59808349999999999</v>
      </c>
      <c r="V8919">
        <v>-0.1511227</v>
      </c>
      <c r="W8919">
        <v>0.1047416</v>
      </c>
      <c r="X8919">
        <v>0.9829502</v>
      </c>
      <c r="Y8919">
        <v>-0.18713869999999999</v>
      </c>
      <c r="Z8919">
        <v>8.4882810000000003E-3</v>
      </c>
      <c r="AA8919">
        <v>0.98229679999999997</v>
      </c>
      <c r="AB8919">
        <v>26</v>
      </c>
      <c r="AC8919">
        <v>42.973700000000001</v>
      </c>
      <c r="AD8919">
        <v>-1.1256642348350001</v>
      </c>
      <c r="AE8919">
        <v>-8.6484999999999896</v>
      </c>
      <c r="AF8919">
        <v>-8.2255459915154905</v>
      </c>
      <c r="AG8919">
        <v>-1.1256642348350001</v>
      </c>
      <c r="AH8919">
        <v>43.027248362804997</v>
      </c>
      <c r="AI8919">
        <v>91.471966859006699</v>
      </c>
      <c r="AJ8919">
        <v>100.822688146285</v>
      </c>
      <c r="AK8919">
        <v>43.8208948847765</v>
      </c>
      <c r="AL8919">
        <v>83.987720666366798</v>
      </c>
      <c r="AM8919">
        <v>98.740444773129198</v>
      </c>
      <c r="AN8919">
        <v>0.99999998445294402</v>
      </c>
    </row>
    <row r="8920" spans="1:40" x14ac:dyDescent="0.25">
      <c r="A8920" t="str">
        <f>"20190303162126411"</f>
        <v>20190303162126411</v>
      </c>
      <c r="B8920" t="str">
        <f>"1551601286401611"</f>
        <v>1551601286401611</v>
      </c>
      <c r="C8920" t="s">
        <v>40</v>
      </c>
      <c r="D8920">
        <v>5.1818460000000002</v>
      </c>
      <c r="E8920">
        <v>0.48525790000000002</v>
      </c>
      <c r="F8920" t="s">
        <v>88</v>
      </c>
      <c r="G8920">
        <v>-244.38310000000001</v>
      </c>
      <c r="H8920" s="1">
        <v>-2.0877369999999999E-6</v>
      </c>
      <c r="I8920">
        <v>-64.969830000000002</v>
      </c>
      <c r="J8920">
        <v>-287.56939999999997</v>
      </c>
      <c r="K8920">
        <v>1.1256619999999999</v>
      </c>
      <c r="L8920">
        <v>-56.388240000000003</v>
      </c>
      <c r="M8920">
        <v>0.92700199999999999</v>
      </c>
      <c r="N8920">
        <v>-1.177333E-2</v>
      </c>
      <c r="O8920">
        <v>-0.37487199999999998</v>
      </c>
      <c r="P8920">
        <v>0.96864879999999998</v>
      </c>
      <c r="Q8920">
        <v>9.4734739999999998E-2</v>
      </c>
      <c r="R8920">
        <v>-0.2296629</v>
      </c>
      <c r="S8920">
        <v>2.9650569999999998</v>
      </c>
      <c r="T8920">
        <v>-7.7078460000000001E-2</v>
      </c>
      <c r="U8920">
        <v>-0.59060669999999904</v>
      </c>
      <c r="V8920">
        <v>-0.15140039999999999</v>
      </c>
      <c r="W8920">
        <v>0.1046434</v>
      </c>
      <c r="X8920">
        <v>0.98291799999999996</v>
      </c>
      <c r="Y8920">
        <v>-0.1864537</v>
      </c>
      <c r="Z8920">
        <v>8.3917599999999998E-3</v>
      </c>
      <c r="AA8920">
        <v>0.98242790000000002</v>
      </c>
      <c r="AB8920">
        <v>26</v>
      </c>
      <c r="AC8920">
        <v>43.186299999999903</v>
      </c>
      <c r="AD8920">
        <v>-1.1256640877369899</v>
      </c>
      <c r="AE8920">
        <v>-8.5815899999999896</v>
      </c>
      <c r="AF8920">
        <v>-8.2293742566978807</v>
      </c>
      <c r="AG8920">
        <v>-1.1256640877369899</v>
      </c>
      <c r="AH8920">
        <v>43.225522981916598</v>
      </c>
      <c r="AI8920">
        <v>91.465430280373695</v>
      </c>
      <c r="AJ8920">
        <v>100.77910630155</v>
      </c>
      <c r="AK8920">
        <v>44.0163101288082</v>
      </c>
      <c r="AL8920">
        <v>83.993378648630198</v>
      </c>
      <c r="AM8920">
        <v>98.756539749861005</v>
      </c>
      <c r="AN8920">
        <v>1.00000005850385</v>
      </c>
    </row>
    <row r="8921" spans="1:40" x14ac:dyDescent="0.25">
      <c r="A8921" t="str">
        <f>"20190303162126421"</f>
        <v>20190303162126421</v>
      </c>
      <c r="B8921" t="str">
        <f>"1551601286411372"</f>
        <v>1551601286411372</v>
      </c>
      <c r="C8921" t="s">
        <v>40</v>
      </c>
      <c r="D8921">
        <v>5.2351640000000002</v>
      </c>
      <c r="E8921">
        <v>0.48549599999999998</v>
      </c>
      <c r="F8921" t="s">
        <v>88</v>
      </c>
      <c r="G8921">
        <v>-243.68199999999999</v>
      </c>
      <c r="H8921" s="1">
        <v>-1.7959579999999999E-6</v>
      </c>
      <c r="I8921">
        <v>-65.003569999999996</v>
      </c>
      <c r="J8921">
        <v>-287.45580000000001</v>
      </c>
      <c r="K8921">
        <v>1.1256600000000001</v>
      </c>
      <c r="L8921">
        <v>-56.430689999999998</v>
      </c>
      <c r="M8921">
        <v>0.92817430000000001</v>
      </c>
      <c r="N8921">
        <v>-1.1771220000000001E-2</v>
      </c>
      <c r="O8921">
        <v>-0.3719597</v>
      </c>
      <c r="P8921">
        <v>0.96937419999999996</v>
      </c>
      <c r="Q8921">
        <v>9.4940930000000007E-2</v>
      </c>
      <c r="R8921">
        <v>-0.22649549999999999</v>
      </c>
      <c r="S8921">
        <v>2.9664609999999998</v>
      </c>
      <c r="T8921">
        <v>-7.6086520000000005E-2</v>
      </c>
      <c r="U8921">
        <v>-0.58233639999999998</v>
      </c>
      <c r="V8921">
        <v>-0.1515223</v>
      </c>
      <c r="W8921">
        <v>0.10484589999999901</v>
      </c>
      <c r="X8921">
        <v>0.98287760000000002</v>
      </c>
      <c r="Y8921">
        <v>-0.18609780000000001</v>
      </c>
      <c r="Z8921">
        <v>8.2004999999999995E-3</v>
      </c>
      <c r="AA8921">
        <v>0.98249699999999995</v>
      </c>
      <c r="AB8921">
        <v>26</v>
      </c>
      <c r="AC8921">
        <v>43.773800000000001</v>
      </c>
      <c r="AD8921">
        <v>-1.125661795958</v>
      </c>
      <c r="AE8921">
        <v>-8.5728799999999907</v>
      </c>
      <c r="AF8921">
        <v>-8.3202401833100694</v>
      </c>
      <c r="AG8921">
        <v>-1.125661795958</v>
      </c>
      <c r="AH8921">
        <v>43.7936254622036</v>
      </c>
      <c r="AI8921">
        <v>91.446530295844596</v>
      </c>
      <c r="AJ8921">
        <v>100.75727428499199</v>
      </c>
      <c r="AK8921">
        <v>44.5912002788736</v>
      </c>
      <c r="AL8921">
        <v>83.981711865613093</v>
      </c>
      <c r="AM8921">
        <v>98.763835294765997</v>
      </c>
      <c r="AN8921">
        <v>1.00000002336292</v>
      </c>
    </row>
    <row r="8922" spans="1:40" x14ac:dyDescent="0.25">
      <c r="A8922" t="str">
        <f>"20190303162126432"</f>
        <v>20190303162126432</v>
      </c>
      <c r="B8922" t="str">
        <f>"1551601286421132"</f>
        <v>1551601286421132</v>
      </c>
      <c r="C8922" t="s">
        <v>40</v>
      </c>
      <c r="D8922">
        <v>5.1794570000000002</v>
      </c>
      <c r="E8922">
        <v>0.48564309999999999</v>
      </c>
      <c r="F8922" t="s">
        <v>88</v>
      </c>
      <c r="G8922">
        <v>-243.71279999999999</v>
      </c>
      <c r="H8922" s="1">
        <v>-1.782122E-6</v>
      </c>
      <c r="I8922">
        <v>-64.901889999999995</v>
      </c>
      <c r="J8922">
        <v>-287.34190000000001</v>
      </c>
      <c r="K8922">
        <v>1.1256600000000001</v>
      </c>
      <c r="L8922">
        <v>-56.472720000000002</v>
      </c>
      <c r="M8922">
        <v>0.92933829999999995</v>
      </c>
      <c r="N8922">
        <v>-1.17695E-2</v>
      </c>
      <c r="O8922">
        <v>-0.36904209999999998</v>
      </c>
      <c r="P8922">
        <v>0.9701668</v>
      </c>
      <c r="Q8922">
        <v>9.5062030000000006E-2</v>
      </c>
      <c r="R8922">
        <v>-0.2230251</v>
      </c>
      <c r="S8922">
        <v>2.9679259999999998</v>
      </c>
      <c r="T8922">
        <v>-7.6375250000000006E-2</v>
      </c>
      <c r="U8922">
        <v>-0.5747681</v>
      </c>
      <c r="V8922">
        <v>-0.15194920000000001</v>
      </c>
      <c r="W8922">
        <v>0.1049597</v>
      </c>
      <c r="X8922">
        <v>0.98279950000000005</v>
      </c>
      <c r="Y8922">
        <v>-0.18551609999999999</v>
      </c>
      <c r="Z8922">
        <v>8.1992690000000003E-3</v>
      </c>
      <c r="AA8922">
        <v>0.98260700000000001</v>
      </c>
      <c r="AB8922">
        <v>26</v>
      </c>
      <c r="AC8922">
        <v>43.629100000000001</v>
      </c>
      <c r="AD8922">
        <v>-1.1256617821220001</v>
      </c>
      <c r="AE8922">
        <v>-8.4291700000000098</v>
      </c>
      <c r="AF8922">
        <v>-8.2626933589592504</v>
      </c>
      <c r="AG8922">
        <v>-1.1256617821220001</v>
      </c>
      <c r="AH8922">
        <v>43.6319307455516</v>
      </c>
      <c r="AI8922">
        <v>91.452052039389599</v>
      </c>
      <c r="AJ8922">
        <v>100.723269723169</v>
      </c>
      <c r="AK8922">
        <v>44.421668097636001</v>
      </c>
      <c r="AL8922">
        <v>83.975155154072795</v>
      </c>
      <c r="AM8922">
        <v>98.788829136584397</v>
      </c>
      <c r="AN8922">
        <v>0.99999997760248904</v>
      </c>
    </row>
    <row r="8923" spans="1:40" x14ac:dyDescent="0.25">
      <c r="A8923" t="str">
        <f>"20190303162126443"</f>
        <v>20190303162126443</v>
      </c>
      <c r="B8923" t="str">
        <f>"1551601286431867"</f>
        <v>1551601286431867</v>
      </c>
      <c r="C8923" t="s">
        <v>40</v>
      </c>
      <c r="D8923">
        <v>5.1721329999999996</v>
      </c>
      <c r="E8923">
        <v>0.48595149999999998</v>
      </c>
      <c r="F8923" t="s">
        <v>88</v>
      </c>
      <c r="G8923">
        <v>-243.05760000000001</v>
      </c>
      <c r="H8923" s="1">
        <v>-1.502852E-6</v>
      </c>
      <c r="I8923">
        <v>-64.908739999999995</v>
      </c>
      <c r="J8923">
        <v>-287.2242</v>
      </c>
      <c r="K8923">
        <v>1.1256660000000001</v>
      </c>
      <c r="L8923">
        <v>-56.515929999999997</v>
      </c>
      <c r="M8923">
        <v>0.93053149999999996</v>
      </c>
      <c r="N8923">
        <v>-1.1767909999999999E-2</v>
      </c>
      <c r="O8923">
        <v>-0.36602299999999999</v>
      </c>
      <c r="P8923">
        <v>0.97097800000000001</v>
      </c>
      <c r="Q8923">
        <v>9.5396739999999994E-2</v>
      </c>
      <c r="R8923">
        <v>-0.21932090000000001</v>
      </c>
      <c r="S8923">
        <v>2.9696039999999999</v>
      </c>
      <c r="T8923">
        <v>-7.5484280000000001E-2</v>
      </c>
      <c r="U8923">
        <v>-0.56570430000000005</v>
      </c>
      <c r="V8923">
        <v>-0.1525012</v>
      </c>
      <c r="W8923">
        <v>0.1052855</v>
      </c>
      <c r="X8923">
        <v>0.98267919999999997</v>
      </c>
      <c r="Y8923">
        <v>-0.1853254</v>
      </c>
      <c r="Z8923">
        <v>8.0265159999999992E-3</v>
      </c>
      <c r="AA8923">
        <v>0.98264439999999997</v>
      </c>
      <c r="AB8923">
        <v>26</v>
      </c>
      <c r="AC8923">
        <v>44.166599999999903</v>
      </c>
      <c r="AD8923">
        <v>-1.125667502852</v>
      </c>
      <c r="AE8923">
        <v>-8.3928100000000008</v>
      </c>
      <c r="AF8923">
        <v>-8.3515592753757595</v>
      </c>
      <c r="AG8923">
        <v>-1.125667502852</v>
      </c>
      <c r="AH8923">
        <v>44.1457517720849</v>
      </c>
      <c r="AI8923">
        <v>91.435215826917499</v>
      </c>
      <c r="AJ8923">
        <v>100.712697357736</v>
      </c>
      <c r="AK8923">
        <v>44.942886747288803</v>
      </c>
      <c r="AL8923">
        <v>83.956384509522906</v>
      </c>
      <c r="AM8923">
        <v>98.821318777137904</v>
      </c>
      <c r="AN8923">
        <v>1.00000003131216</v>
      </c>
    </row>
    <row r="8924" spans="1:40" x14ac:dyDescent="0.25">
      <c r="A8924" t="str">
        <f>"20190303162126454"</f>
        <v>20190303162126454</v>
      </c>
      <c r="B8924" t="str">
        <f>"1551601286441627"</f>
        <v>1551601286441627</v>
      </c>
      <c r="C8924" t="s">
        <v>40</v>
      </c>
      <c r="D8924">
        <v>5.1719920000000004</v>
      </c>
      <c r="E8924">
        <v>0.48619849999999998</v>
      </c>
      <c r="F8924" t="s">
        <v>88</v>
      </c>
      <c r="G8924">
        <v>-242.29310000000001</v>
      </c>
      <c r="H8924" s="1">
        <v>-1.1826779999999999E-6</v>
      </c>
      <c r="I8924">
        <v>-64.938059999999993</v>
      </c>
      <c r="J8924">
        <v>-287.10629999999998</v>
      </c>
      <c r="K8924">
        <v>1.1256699999999999</v>
      </c>
      <c r="L8924">
        <v>-56.558500000000002</v>
      </c>
      <c r="M8924">
        <v>0.93171440000000005</v>
      </c>
      <c r="N8924">
        <v>-1.1766749999999999E-2</v>
      </c>
      <c r="O8924">
        <v>-0.36300149999999998</v>
      </c>
      <c r="P8924">
        <v>0.97183770000000003</v>
      </c>
      <c r="Q8924">
        <v>9.5186010000000001E-2</v>
      </c>
      <c r="R8924">
        <v>-0.21557219999999999</v>
      </c>
      <c r="S8924">
        <v>2.971222</v>
      </c>
      <c r="T8924">
        <v>-7.4438569999999996E-2</v>
      </c>
      <c r="U8924">
        <v>-0.55694580000000005</v>
      </c>
      <c r="V8924">
        <v>-0.153111</v>
      </c>
      <c r="W8924">
        <v>0.10506550000000001</v>
      </c>
      <c r="X8924">
        <v>0.98260789999999998</v>
      </c>
      <c r="Y8924">
        <v>-0.18503539999999999</v>
      </c>
      <c r="Z8924">
        <v>7.8304710000000003E-3</v>
      </c>
      <c r="AA8924">
        <v>0.98270060000000004</v>
      </c>
      <c r="AB8924">
        <v>26</v>
      </c>
      <c r="AC8924">
        <v>44.813199999999902</v>
      </c>
      <c r="AD8924">
        <v>-1.1256711826779999</v>
      </c>
      <c r="AE8924">
        <v>-8.3795599999999908</v>
      </c>
      <c r="AF8924">
        <v>-8.4553318375682593</v>
      </c>
      <c r="AG8924">
        <v>-1.1256711826779999</v>
      </c>
      <c r="AH8924">
        <v>44.770697202515301</v>
      </c>
      <c r="AI8924">
        <v>91.415278117752493</v>
      </c>
      <c r="AJ8924">
        <v>100.694835880608</v>
      </c>
      <c r="AK8924">
        <v>45.576036467580401</v>
      </c>
      <c r="AL8924">
        <v>83.969059761689905</v>
      </c>
      <c r="AM8924">
        <v>98.856666583415603</v>
      </c>
      <c r="AN8924">
        <v>1.0000000113768299</v>
      </c>
    </row>
    <row r="8925" spans="1:40" x14ac:dyDescent="0.25">
      <c r="A8925" t="str">
        <f>"20190303162126465"</f>
        <v>20190303162126465</v>
      </c>
      <c r="B8925" t="str">
        <f>"1551601286451388"</f>
        <v>1551601286451388</v>
      </c>
      <c r="C8925" t="s">
        <v>40</v>
      </c>
      <c r="D8925">
        <v>5.1805580000000004</v>
      </c>
      <c r="E8925">
        <v>0.48648049999999998</v>
      </c>
      <c r="F8925" t="s">
        <v>88</v>
      </c>
      <c r="G8925">
        <v>-241.89250000000001</v>
      </c>
      <c r="H8925" s="1">
        <v>-9.9719819999999999E-7</v>
      </c>
      <c r="I8925">
        <v>-64.886859999999999</v>
      </c>
      <c r="J8925">
        <v>-286.99220000000003</v>
      </c>
      <c r="K8925">
        <v>1.1256729999999999</v>
      </c>
      <c r="L8925">
        <v>-56.599640000000001</v>
      </c>
      <c r="M8925">
        <v>0.93284959999999995</v>
      </c>
      <c r="N8925">
        <v>-1.17657E-2</v>
      </c>
      <c r="O8925">
        <v>-0.3600737</v>
      </c>
      <c r="P8925">
        <v>0.97269810000000001</v>
      </c>
      <c r="Q8925">
        <v>9.4922679999999995E-2</v>
      </c>
      <c r="R8925">
        <v>-0.21177370000000001</v>
      </c>
      <c r="S8925">
        <v>2.9727169999999998</v>
      </c>
      <c r="T8925">
        <v>-7.4010610000000004E-2</v>
      </c>
      <c r="U8925">
        <v>-0.54757690000000003</v>
      </c>
      <c r="V8925">
        <v>-0.1538717</v>
      </c>
      <c r="W8925">
        <v>0.10479140000000001</v>
      </c>
      <c r="X8925">
        <v>0.98251829999999996</v>
      </c>
      <c r="Y8925">
        <v>-0.18503410000000001</v>
      </c>
      <c r="Z8925">
        <v>7.7345529999999999E-3</v>
      </c>
      <c r="AA8925">
        <v>0.98270170000000001</v>
      </c>
      <c r="AB8925">
        <v>26</v>
      </c>
      <c r="AC8925">
        <v>45.099699999999999</v>
      </c>
      <c r="AD8925">
        <v>-1.1256739971981999</v>
      </c>
      <c r="AE8925">
        <v>-8.2872199999999907</v>
      </c>
      <c r="AF8925">
        <v>-8.50395069290831</v>
      </c>
      <c r="AG8925">
        <v>-1.1256739971981999</v>
      </c>
      <c r="AH8925">
        <v>45.031231197655799</v>
      </c>
      <c r="AI8925">
        <v>91.407099995182193</v>
      </c>
      <c r="AJ8925">
        <v>100.69411689699599</v>
      </c>
      <c r="AK8925">
        <v>45.840987145916799</v>
      </c>
      <c r="AL8925">
        <v>83.984851482413404</v>
      </c>
      <c r="AM8925">
        <v>98.900765004714401</v>
      </c>
      <c r="AN8925">
        <v>0.99999997370486904</v>
      </c>
    </row>
    <row r="8926" spans="1:40" x14ac:dyDescent="0.25">
      <c r="A8926" t="str">
        <f>"20190303162126474"</f>
        <v>20190303162126474</v>
      </c>
      <c r="B8926" t="str">
        <f>"1551601286461148"</f>
        <v>1551601286461148</v>
      </c>
      <c r="C8926" t="s">
        <v>40</v>
      </c>
      <c r="D8926">
        <v>5.1879939999999998</v>
      </c>
      <c r="E8926">
        <v>0.48666579999999898</v>
      </c>
      <c r="F8926" t="s">
        <v>88</v>
      </c>
      <c r="G8926">
        <v>-242.13159999999999</v>
      </c>
      <c r="H8926" s="1">
        <v>-1.055596E-6</v>
      </c>
      <c r="I8926">
        <v>-64.720819999999904</v>
      </c>
      <c r="J8926">
        <v>-286.88959999999997</v>
      </c>
      <c r="K8926">
        <v>1.125677</v>
      </c>
      <c r="L8926">
        <v>-56.635930000000002</v>
      </c>
      <c r="M8926">
        <v>0.93386100000000005</v>
      </c>
      <c r="N8926">
        <v>-1.1765060000000001E-2</v>
      </c>
      <c r="O8926">
        <v>-0.35744290000000001</v>
      </c>
      <c r="P8926">
        <v>0.97341069999999996</v>
      </c>
      <c r="Q8926">
        <v>9.4635730000000001E-2</v>
      </c>
      <c r="R8926">
        <v>-0.2086036</v>
      </c>
      <c r="S8926">
        <v>2.974335</v>
      </c>
      <c r="T8926">
        <v>-7.4634080000000005E-2</v>
      </c>
      <c r="U8926">
        <v>-0.53845209999999999</v>
      </c>
      <c r="V8926">
        <v>-0.1543108</v>
      </c>
      <c r="W8926">
        <v>0.1044978</v>
      </c>
      <c r="X8926">
        <v>0.98248069999999998</v>
      </c>
      <c r="Y8926">
        <v>-0.185275</v>
      </c>
      <c r="Z8926">
        <v>7.8007500000000004E-3</v>
      </c>
      <c r="AA8926">
        <v>0.98265579999999997</v>
      </c>
      <c r="AB8926">
        <v>26</v>
      </c>
      <c r="AC8926">
        <v>44.757999999999903</v>
      </c>
      <c r="AD8926">
        <v>-1.125678055596</v>
      </c>
      <c r="AE8926">
        <v>-8.0848899999999801</v>
      </c>
      <c r="AF8926">
        <v>-8.4436775308839795</v>
      </c>
      <c r="AG8926">
        <v>-1.125678055596</v>
      </c>
      <c r="AH8926">
        <v>44.663366919462298</v>
      </c>
      <c r="AI8926">
        <v>91.418636526050193</v>
      </c>
      <c r="AJ8926">
        <v>100.70550769518</v>
      </c>
      <c r="AK8926">
        <v>45.468441648168699</v>
      </c>
      <c r="AL8926">
        <v>84.001766366929004</v>
      </c>
      <c r="AM8926">
        <v>98.926092608429997</v>
      </c>
      <c r="AN8926">
        <v>0.999999969536984</v>
      </c>
    </row>
    <row r="8927" spans="1:40" x14ac:dyDescent="0.25">
      <c r="A8927" t="str">
        <f>"20190303162126485"</f>
        <v>20190303162126485</v>
      </c>
      <c r="B8927" t="str">
        <f>"1551601286471883"</f>
        <v>1551601286471883</v>
      </c>
      <c r="C8927" t="s">
        <v>40</v>
      </c>
      <c r="D8927">
        <v>5.2409860000000004</v>
      </c>
      <c r="E8927">
        <v>0.48687720000000001</v>
      </c>
      <c r="F8927" t="s">
        <v>88</v>
      </c>
      <c r="G8927">
        <v>-242.1044</v>
      </c>
      <c r="H8927" s="1">
        <v>-1.0170970000000001E-6</v>
      </c>
      <c r="I8927">
        <v>-64.619950000000003</v>
      </c>
      <c r="J8927">
        <v>-286.77879999999999</v>
      </c>
      <c r="K8927">
        <v>1.125677</v>
      </c>
      <c r="L8927">
        <v>-56.675109999999997</v>
      </c>
      <c r="M8927">
        <v>0.93494469999999996</v>
      </c>
      <c r="N8927">
        <v>-1.176436E-2</v>
      </c>
      <c r="O8927">
        <v>-0.35459889999999999</v>
      </c>
      <c r="P8927">
        <v>0.97418800000000005</v>
      </c>
      <c r="Q8927">
        <v>9.4492660000000006E-2</v>
      </c>
      <c r="R8927">
        <v>-0.20501079999999999</v>
      </c>
      <c r="S8927">
        <v>2.9754939999999999</v>
      </c>
      <c r="T8927">
        <v>-7.4789170000000002E-2</v>
      </c>
      <c r="U8927">
        <v>-0.5304565</v>
      </c>
      <c r="V8927">
        <v>-0.15494939999999999</v>
      </c>
      <c r="W8927">
        <v>0.1043451</v>
      </c>
      <c r="X8927">
        <v>0.98239639999999995</v>
      </c>
      <c r="Y8927">
        <v>-0.18490889999999999</v>
      </c>
      <c r="Z8927">
        <v>7.7851190000000001E-3</v>
      </c>
      <c r="AA8927">
        <v>0.98272479999999995</v>
      </c>
      <c r="AB8927">
        <v>26</v>
      </c>
      <c r="AC8927">
        <v>44.674399999999899</v>
      </c>
      <c r="AD8927">
        <v>-1.125678017097</v>
      </c>
      <c r="AE8927">
        <v>-7.9448400000000001</v>
      </c>
      <c r="AF8927">
        <v>-8.4089125452274001</v>
      </c>
      <c r="AG8927">
        <v>-1.125678017097</v>
      </c>
      <c r="AH8927">
        <v>44.560977586427697</v>
      </c>
      <c r="AI8927">
        <v>91.421984422856596</v>
      </c>
      <c r="AJ8927">
        <v>100.68637861012699</v>
      </c>
      <c r="AK8927">
        <v>45.361411845858299</v>
      </c>
      <c r="AL8927">
        <v>84.010563417735796</v>
      </c>
      <c r="AM8927">
        <v>98.963190519889906</v>
      </c>
      <c r="AN8927">
        <v>0.99999995159366295</v>
      </c>
    </row>
    <row r="8928" spans="1:40" x14ac:dyDescent="0.25">
      <c r="A8928" t="str">
        <f>"20190303162126496"</f>
        <v>20190303162126496</v>
      </c>
      <c r="B8928" t="str">
        <f>"1551601286491404"</f>
        <v>1551601286491404</v>
      </c>
      <c r="C8928" t="s">
        <v>40</v>
      </c>
      <c r="D8928">
        <v>5.1823160000000001</v>
      </c>
      <c r="E8928">
        <v>0.48742570000000002</v>
      </c>
      <c r="F8928" t="s">
        <v>88</v>
      </c>
      <c r="G8928">
        <v>-242.1061</v>
      </c>
      <c r="H8928" s="1">
        <v>-9.8562189999999996E-7</v>
      </c>
      <c r="I8928">
        <v>-64.498909999999995</v>
      </c>
      <c r="J8928">
        <v>-286.65499999999997</v>
      </c>
      <c r="K8928">
        <v>1.125678</v>
      </c>
      <c r="L8928">
        <v>-56.718110000000003</v>
      </c>
      <c r="M8928">
        <v>0.93614370000000002</v>
      </c>
      <c r="N8928">
        <v>-1.176377E-2</v>
      </c>
      <c r="O8928">
        <v>-0.35142139999999999</v>
      </c>
      <c r="P8928">
        <v>0.97503669999999998</v>
      </c>
      <c r="Q8928">
        <v>9.4286919999999996E-2</v>
      </c>
      <c r="R8928">
        <v>-0.20103119999999999</v>
      </c>
      <c r="S8928">
        <v>2.9770509999999999</v>
      </c>
      <c r="T8928">
        <v>-7.5016739999999998E-2</v>
      </c>
      <c r="U8928">
        <v>-0.52139279999999999</v>
      </c>
      <c r="V8928">
        <v>-0.1556303</v>
      </c>
      <c r="W8928">
        <v>0.10412979999999999</v>
      </c>
      <c r="X8928">
        <v>0.98231170000000001</v>
      </c>
      <c r="Y8928">
        <v>-0.1845609</v>
      </c>
      <c r="Z8928">
        <v>7.7751879999999997E-3</v>
      </c>
      <c r="AA8928">
        <v>0.98279039999999995</v>
      </c>
      <c r="AB8928">
        <v>26</v>
      </c>
      <c r="AC8928">
        <v>44.548899999999897</v>
      </c>
      <c r="AD8928">
        <v>-1.1256789856219001</v>
      </c>
      <c r="AE8928">
        <v>-7.7807999999999904</v>
      </c>
      <c r="AF8928">
        <v>-8.3668834395022298</v>
      </c>
      <c r="AG8928">
        <v>-1.1256789856219001</v>
      </c>
      <c r="AH8928">
        <v>44.414059130047796</v>
      </c>
      <c r="AI8928">
        <v>91.426771159992796</v>
      </c>
      <c r="AJ8928">
        <v>100.66855844607601</v>
      </c>
      <c r="AK8928">
        <v>45.209297053551602</v>
      </c>
      <c r="AL8928">
        <v>84.022967302479401</v>
      </c>
      <c r="AM8928">
        <v>99.002697681136098</v>
      </c>
      <c r="AN8928">
        <v>1.0000000407415</v>
      </c>
    </row>
    <row r="8929" spans="1:40" x14ac:dyDescent="0.25">
      <c r="A8929" t="str">
        <f>"20190303162126508"</f>
        <v>20190303162126508</v>
      </c>
      <c r="B8929" t="str">
        <f>"1551601286501671"</f>
        <v>1551601286501671</v>
      </c>
      <c r="C8929" t="s">
        <v>40</v>
      </c>
      <c r="D8929">
        <v>5.2380870000000002</v>
      </c>
      <c r="E8929">
        <v>0.48771740000000002</v>
      </c>
      <c r="F8929" t="s">
        <v>88</v>
      </c>
      <c r="G8929">
        <v>-242.04660000000001</v>
      </c>
      <c r="H8929" s="1">
        <v>-9.3722039999999999E-7</v>
      </c>
      <c r="I8929">
        <v>-64.412959999999998</v>
      </c>
      <c r="J8929">
        <v>-286.52480000000003</v>
      </c>
      <c r="K8929">
        <v>1.125675</v>
      </c>
      <c r="L8929">
        <v>-56.763030000000001</v>
      </c>
      <c r="M8929">
        <v>0.93739269999999997</v>
      </c>
      <c r="N8929">
        <v>-1.1763249999999999E-2</v>
      </c>
      <c r="O8929">
        <v>-0.34807569999999999</v>
      </c>
      <c r="P8929">
        <v>0.97580529999999999</v>
      </c>
      <c r="Q8929">
        <v>9.4178129999999999E-2</v>
      </c>
      <c r="R8929">
        <v>-0.1973181</v>
      </c>
      <c r="S8929">
        <v>2.97818</v>
      </c>
      <c r="T8929">
        <v>-7.5153349999999994E-2</v>
      </c>
      <c r="U8929">
        <v>-0.51373290000000005</v>
      </c>
      <c r="V8929">
        <v>-0.155865</v>
      </c>
      <c r="W8929">
        <v>0.104016899999999</v>
      </c>
      <c r="X8929">
        <v>0.9822864</v>
      </c>
      <c r="Y8929">
        <v>-0.18356790000000001</v>
      </c>
      <c r="Z8929">
        <v>7.7387990000000002E-3</v>
      </c>
      <c r="AA8929">
        <v>0.98297659999999998</v>
      </c>
      <c r="AB8929">
        <v>26</v>
      </c>
      <c r="AC8929">
        <v>44.478200000000001</v>
      </c>
      <c r="AD8929">
        <v>-1.1256759372203999</v>
      </c>
      <c r="AE8929">
        <v>-7.6499299999999897</v>
      </c>
      <c r="AF8929">
        <v>-8.3061991125652206</v>
      </c>
      <c r="AG8929">
        <v>-1.1256759372203999</v>
      </c>
      <c r="AH8929">
        <v>44.331781273632799</v>
      </c>
      <c r="AI8929">
        <v>91.429678516529194</v>
      </c>
      <c r="AJ8929">
        <v>100.61215153693099</v>
      </c>
      <c r="AK8929">
        <v>45.1172574621556</v>
      </c>
      <c r="AL8929">
        <v>84.029471026885105</v>
      </c>
      <c r="AM8929">
        <v>99.016279851199997</v>
      </c>
      <c r="AN8929">
        <v>0.99999999266778505</v>
      </c>
    </row>
    <row r="8930" spans="1:40" x14ac:dyDescent="0.25">
      <c r="A8930" t="str">
        <f>"20190303162126520"</f>
        <v>20190303162126520</v>
      </c>
      <c r="B8930" t="str">
        <f>"1551601286511430"</f>
        <v>1551601286511430</v>
      </c>
      <c r="C8930" t="s">
        <v>40</v>
      </c>
      <c r="D8930">
        <v>5.2396940000000001</v>
      </c>
      <c r="E8930">
        <v>0.4879579</v>
      </c>
      <c r="F8930" t="s">
        <v>88</v>
      </c>
      <c r="G8930">
        <v>-241.97890000000001</v>
      </c>
      <c r="H8930" s="1">
        <v>-8.806322E-7</v>
      </c>
      <c r="I8930">
        <v>-64.30932</v>
      </c>
      <c r="J8930">
        <v>-286.4006</v>
      </c>
      <c r="K8930">
        <v>1.125677</v>
      </c>
      <c r="L8930">
        <v>-56.805329999999998</v>
      </c>
      <c r="M8930">
        <v>0.93857159999999995</v>
      </c>
      <c r="N8930">
        <v>-1.1762999999999999E-2</v>
      </c>
      <c r="O8930">
        <v>-0.34488410000000003</v>
      </c>
      <c r="P8930">
        <v>0.9764256</v>
      </c>
      <c r="Q8930">
        <v>9.4151819999999997E-2</v>
      </c>
      <c r="R8930">
        <v>-0.1942383</v>
      </c>
      <c r="S8930">
        <v>2.979584</v>
      </c>
      <c r="T8930">
        <v>-7.5294260000000002E-2</v>
      </c>
      <c r="U8930">
        <v>-0.50476069999999995</v>
      </c>
      <c r="V8930">
        <v>-0.15562229999999999</v>
      </c>
      <c r="W8930">
        <v>0.1039923</v>
      </c>
      <c r="X8930">
        <v>0.98232750000000002</v>
      </c>
      <c r="Y8930">
        <v>-0.18317659999999999</v>
      </c>
      <c r="Z8930">
        <v>7.7147219999999898E-3</v>
      </c>
      <c r="AA8930">
        <v>0.98304979999999997</v>
      </c>
      <c r="AB8930">
        <v>26</v>
      </c>
      <c r="AC8930">
        <v>44.421699999999902</v>
      </c>
      <c r="AD8930">
        <v>-1.1256778806321901</v>
      </c>
      <c r="AE8930">
        <v>-7.5039899999999902</v>
      </c>
      <c r="AF8930">
        <v>-8.2727136445520308</v>
      </c>
      <c r="AG8930">
        <v>-1.1256778806321901</v>
      </c>
      <c r="AH8930">
        <v>44.256384576609001</v>
      </c>
      <c r="AI8930">
        <v>91.432228850059801</v>
      </c>
      <c r="AJ8930">
        <v>100.587937059586</v>
      </c>
      <c r="AK8930">
        <v>45.037012750940903</v>
      </c>
      <c r="AL8930">
        <v>84.030888280371002</v>
      </c>
      <c r="AM8930">
        <v>99.002100063262006</v>
      </c>
      <c r="AN8930">
        <v>1.00000000798641</v>
      </c>
    </row>
    <row r="8931" spans="1:40" x14ac:dyDescent="0.25">
      <c r="A8931" t="str">
        <f>"20190303162126530"</f>
        <v>20190303162126530</v>
      </c>
      <c r="B8931" t="str">
        <f>"1551601286521190"</f>
        <v>1551601286521190</v>
      </c>
      <c r="C8931" t="s">
        <v>40</v>
      </c>
      <c r="D8931">
        <v>5.1789389999999997</v>
      </c>
      <c r="E8931">
        <v>0.4881934</v>
      </c>
      <c r="F8931" t="s">
        <v>88</v>
      </c>
      <c r="G8931">
        <v>-241.5472</v>
      </c>
      <c r="H8931" s="1">
        <v>-6.8896319999999895E-7</v>
      </c>
      <c r="I8931">
        <v>-64.285129999999995</v>
      </c>
      <c r="J8931">
        <v>-286.28789999999998</v>
      </c>
      <c r="K8931">
        <v>1.125678</v>
      </c>
      <c r="L8931">
        <v>-56.843319999999999</v>
      </c>
      <c r="M8931">
        <v>0.93963079999999999</v>
      </c>
      <c r="N8931">
        <v>-1.176279E-2</v>
      </c>
      <c r="O8931">
        <v>-0.34198779999999901</v>
      </c>
      <c r="P8931">
        <v>0.9770278</v>
      </c>
      <c r="Q8931">
        <v>9.4441349999999993E-2</v>
      </c>
      <c r="R8931">
        <v>-0.19104360000000001</v>
      </c>
      <c r="S8931">
        <v>2.9807130000000002</v>
      </c>
      <c r="T8931">
        <v>-7.4806330000000004E-2</v>
      </c>
      <c r="U8931">
        <v>-0.49707030000000002</v>
      </c>
      <c r="V8931">
        <v>-0.15579979999999999</v>
      </c>
      <c r="W8931">
        <v>0.1042783</v>
      </c>
      <c r="X8931">
        <v>0.98226899999999995</v>
      </c>
      <c r="Y8931">
        <v>-0.18267449999999999</v>
      </c>
      <c r="Z8931">
        <v>7.6028040000000003E-3</v>
      </c>
      <c r="AA8931">
        <v>0.98314400000000002</v>
      </c>
      <c r="AB8931">
        <v>26</v>
      </c>
      <c r="AC8931">
        <v>44.740699999999897</v>
      </c>
      <c r="AD8931">
        <v>-1.1256786889632</v>
      </c>
      <c r="AE8931">
        <v>-7.44181000000001</v>
      </c>
      <c r="AF8931">
        <v>-8.3036793161998403</v>
      </c>
      <c r="AG8931">
        <v>-1.1256786889632</v>
      </c>
      <c r="AH8931">
        <v>44.5603828202036</v>
      </c>
      <c r="AI8931">
        <v>91.422611828433503</v>
      </c>
      <c r="AJ8931">
        <v>100.555805732983</v>
      </c>
      <c r="AK8931">
        <v>45.341437557494402</v>
      </c>
      <c r="AL8931">
        <v>84.014411850301499</v>
      </c>
      <c r="AM8931">
        <v>99.0127271929654</v>
      </c>
      <c r="AN8931">
        <v>0.99999996494596399</v>
      </c>
    </row>
    <row r="8932" spans="1:40" x14ac:dyDescent="0.25">
      <c r="A8932" t="str">
        <f>"20190303162126540"</f>
        <v>20190303162126540</v>
      </c>
      <c r="B8932" t="str">
        <f>"1551601286531926"</f>
        <v>1551601286531926</v>
      </c>
      <c r="C8932" t="s">
        <v>40</v>
      </c>
      <c r="D8932">
        <v>5.1820130000000004</v>
      </c>
      <c r="E8932">
        <v>0.48840329999999899</v>
      </c>
      <c r="F8932" t="s">
        <v>88</v>
      </c>
      <c r="G8932">
        <v>-240.87899999999999</v>
      </c>
      <c r="H8932" s="1">
        <v>-4.0402840000000002E-7</v>
      </c>
      <c r="I8932">
        <v>-64.291510000000002</v>
      </c>
      <c r="J8932">
        <v>-286.17770000000002</v>
      </c>
      <c r="K8932">
        <v>1.125678</v>
      </c>
      <c r="L8932">
        <v>-56.880159999999997</v>
      </c>
      <c r="M8932">
        <v>0.94065710000000002</v>
      </c>
      <c r="N8932">
        <v>-1.176261E-2</v>
      </c>
      <c r="O8932">
        <v>-0.33915430000000002</v>
      </c>
      <c r="P8932">
        <v>0.97758630000000002</v>
      </c>
      <c r="Q8932">
        <v>9.4446909999999995E-2</v>
      </c>
      <c r="R8932">
        <v>-0.18816140000000001</v>
      </c>
      <c r="S8932">
        <v>2.982056</v>
      </c>
      <c r="T8932">
        <v>-7.3924660000000003E-2</v>
      </c>
      <c r="U8932">
        <v>-0.48913570000000001</v>
      </c>
      <c r="V8932">
        <v>-0.15573689999999901</v>
      </c>
      <c r="W8932">
        <v>0.104284</v>
      </c>
      <c r="X8932">
        <v>0.9822784</v>
      </c>
      <c r="Y8932">
        <v>-0.18233269999999999</v>
      </c>
      <c r="Z8932">
        <v>7.439233E-3</v>
      </c>
      <c r="AA8932">
        <v>0.98320879999999999</v>
      </c>
      <c r="AB8932">
        <v>26</v>
      </c>
      <c r="AC8932">
        <v>45.298699999999997</v>
      </c>
      <c r="AD8932">
        <v>-1.12567840402839</v>
      </c>
      <c r="AE8932">
        <v>-7.4113499999999997</v>
      </c>
      <c r="AF8932">
        <v>-8.3872470803393497</v>
      </c>
      <c r="AG8932">
        <v>-1.12567840402839</v>
      </c>
      <c r="AH8932">
        <v>45.100137446159799</v>
      </c>
      <c r="AI8932">
        <v>91.405688015546303</v>
      </c>
      <c r="AJ8932">
        <v>100.534915249458</v>
      </c>
      <c r="AK8932">
        <v>45.8872036968746</v>
      </c>
      <c r="AL8932">
        <v>84.014083653902404</v>
      </c>
      <c r="AM8932">
        <v>99.009063436677195</v>
      </c>
      <c r="AN8932">
        <v>0.99999999489208502</v>
      </c>
    </row>
    <row r="8933" spans="1:40" x14ac:dyDescent="0.25">
      <c r="A8933" t="str">
        <f>"20190303162126553"</f>
        <v>20190303162126553</v>
      </c>
      <c r="B8933" t="str">
        <f>"1551601286541686"</f>
        <v>1551601286541686</v>
      </c>
      <c r="C8933" t="s">
        <v>40</v>
      </c>
      <c r="D8933">
        <v>5.0844480000000001</v>
      </c>
      <c r="E8933">
        <v>0.48840329999999899</v>
      </c>
      <c r="F8933" t="s">
        <v>88</v>
      </c>
      <c r="G8933">
        <v>-240.59639999999999</v>
      </c>
      <c r="H8933" s="1">
        <v>-2.7047820000000001E-7</v>
      </c>
      <c r="I8933">
        <v>-64.245219999999904</v>
      </c>
      <c r="J8933">
        <v>-286.05110000000002</v>
      </c>
      <c r="K8933">
        <v>1.12568</v>
      </c>
      <c r="L8933">
        <v>-56.921909999999997</v>
      </c>
      <c r="M8933">
        <v>0.94182440000000001</v>
      </c>
      <c r="N8933">
        <v>-1.17625E-2</v>
      </c>
      <c r="O8933">
        <v>-0.33589980000000003</v>
      </c>
      <c r="P8933">
        <v>0.97826239999999998</v>
      </c>
      <c r="Q8933">
        <v>9.4300159999999994E-2</v>
      </c>
      <c r="R8933">
        <v>-0.1846902</v>
      </c>
      <c r="S8933">
        <v>2.9831539999999999</v>
      </c>
      <c r="T8933">
        <v>-7.3672180000000004E-2</v>
      </c>
      <c r="U8933">
        <v>-0.48202509999999998</v>
      </c>
      <c r="V8933">
        <v>-0.1558312</v>
      </c>
      <c r="W8933">
        <v>0.10413500000000001</v>
      </c>
      <c r="X8933">
        <v>0.98227920000000002</v>
      </c>
      <c r="Y8933">
        <v>-0.1812752</v>
      </c>
      <c r="Z8933">
        <v>7.3482790000000001E-3</v>
      </c>
      <c r="AA8933">
        <v>0.98340490000000003</v>
      </c>
      <c r="AB8933">
        <v>26</v>
      </c>
      <c r="AC8933">
        <v>45.454700000000003</v>
      </c>
      <c r="AD8933">
        <v>-1.1256802704782001</v>
      </c>
      <c r="AE8933">
        <v>-7.3233099999999904</v>
      </c>
      <c r="AF8933">
        <v>-8.3665294006859501</v>
      </c>
      <c r="AG8933">
        <v>-1.1256802704782001</v>
      </c>
      <c r="AH8933">
        <v>45.246323228883803</v>
      </c>
      <c r="AI8933">
        <v>91.401416395067798</v>
      </c>
      <c r="AJ8933">
        <v>100.476270992219</v>
      </c>
      <c r="AK8933">
        <v>46.027119571145398</v>
      </c>
      <c r="AL8933">
        <v>84.022667155077301</v>
      </c>
      <c r="AM8933">
        <v>99.014421729962706</v>
      </c>
      <c r="AN8933">
        <v>0.99999994393553804</v>
      </c>
    </row>
    <row r="8934" spans="1:40" x14ac:dyDescent="0.25">
      <c r="A8934" t="str">
        <f>"20190303162126566"</f>
        <v>20190303162126566</v>
      </c>
      <c r="B8934" t="str">
        <f>"1551601286552421"</f>
        <v>1551601286552421</v>
      </c>
      <c r="C8934" t="s">
        <v>40</v>
      </c>
      <c r="D8934">
        <v>5.0307979999999999</v>
      </c>
      <c r="E8934">
        <v>0.49458059999999998</v>
      </c>
      <c r="F8934" t="s">
        <v>88</v>
      </c>
      <c r="G8934">
        <v>-240.70519999999999</v>
      </c>
      <c r="H8934" s="1">
        <v>-2.7381290000000003E-7</v>
      </c>
      <c r="I8934">
        <v>-64.082409999999996</v>
      </c>
      <c r="J8934">
        <v>-285.90989999999999</v>
      </c>
      <c r="K8934">
        <v>1.1256809999999999</v>
      </c>
      <c r="L8934">
        <v>-56.968139999999998</v>
      </c>
      <c r="M8934">
        <v>0.94311239999999996</v>
      </c>
      <c r="N8934">
        <v>-1.1762430000000001E-2</v>
      </c>
      <c r="O8934">
        <v>-0.3322657</v>
      </c>
      <c r="P8934">
        <v>0.97896459999999996</v>
      </c>
      <c r="Q8934">
        <v>9.429419E-2</v>
      </c>
      <c r="R8934">
        <v>-0.18093400000000001</v>
      </c>
      <c r="S8934">
        <v>2.9848940000000002</v>
      </c>
      <c r="T8934">
        <v>-7.4097869999999996E-2</v>
      </c>
      <c r="U8934">
        <v>-0.47134399999999999</v>
      </c>
      <c r="V8934">
        <v>-0.15581439999999999</v>
      </c>
      <c r="W8934">
        <v>0.104128399999999</v>
      </c>
      <c r="X8934">
        <v>0.98228260000000001</v>
      </c>
      <c r="Y8934">
        <v>-0.1810041</v>
      </c>
      <c r="Z8934">
        <v>7.3607739999999996E-3</v>
      </c>
      <c r="AA8934">
        <v>0.98345479999999996</v>
      </c>
      <c r="AB8934">
        <v>26</v>
      </c>
      <c r="AC8934">
        <v>45.204700000000003</v>
      </c>
      <c r="AD8934">
        <v>-1.1256812738128901</v>
      </c>
      <c r="AE8934">
        <v>-7.1142699999999897</v>
      </c>
      <c r="AF8934">
        <v>-8.3059645483814499</v>
      </c>
      <c r="AG8934">
        <v>-1.1256812738128901</v>
      </c>
      <c r="AH8934">
        <v>44.9728437444127</v>
      </c>
      <c r="AI8934">
        <v>91.409992199672104</v>
      </c>
      <c r="AJ8934">
        <v>100.46395708473</v>
      </c>
      <c r="AK8934">
        <v>45.747271829788303</v>
      </c>
      <c r="AL8934">
        <v>84.023047582231598</v>
      </c>
      <c r="AM8934">
        <v>99.013435163743594</v>
      </c>
      <c r="AN8934">
        <v>0.999999978598339</v>
      </c>
    </row>
    <row r="8935" spans="1:40" x14ac:dyDescent="0.25">
      <c r="A8935" t="str">
        <f>"20190303162126577"</f>
        <v>20190303162126577</v>
      </c>
      <c r="B8935" t="str">
        <f>"1551601286571941"</f>
        <v>1551601286571941</v>
      </c>
      <c r="C8935" t="s">
        <v>40</v>
      </c>
      <c r="D8935">
        <v>5.0680579999999997</v>
      </c>
      <c r="E8935">
        <v>0.49587940000000003</v>
      </c>
      <c r="F8935" t="s">
        <v>89</v>
      </c>
      <c r="G8935">
        <v>-233.84950000000001</v>
      </c>
      <c r="H8935" s="1">
        <v>-2.094229E-6</v>
      </c>
      <c r="I8935">
        <v>-65.854460000000003</v>
      </c>
      <c r="J8935">
        <v>-285.77120000000002</v>
      </c>
      <c r="K8935">
        <v>1.1256900000000001</v>
      </c>
      <c r="L8935">
        <v>-57.012599999999999</v>
      </c>
      <c r="M8935">
        <v>0.94436010000000004</v>
      </c>
      <c r="N8935">
        <v>-1.1762480000000001E-2</v>
      </c>
      <c r="O8935">
        <v>-0.32870359999999998</v>
      </c>
      <c r="P8935">
        <v>0.9796376</v>
      </c>
      <c r="Q8935">
        <v>9.4237059999999997E-2</v>
      </c>
      <c r="R8935">
        <v>-0.17728469999999999</v>
      </c>
      <c r="S8935">
        <v>2.9767760000000001</v>
      </c>
      <c r="T8935">
        <v>-6.4365859999999997E-2</v>
      </c>
      <c r="U8935">
        <v>-0.50811770000000001</v>
      </c>
      <c r="V8935">
        <v>-0.15576809999999999</v>
      </c>
      <c r="W8935">
        <v>0.1040715</v>
      </c>
      <c r="X8935">
        <v>0.98229599999999995</v>
      </c>
      <c r="Y8935">
        <v>-0.1650597</v>
      </c>
      <c r="Z8935">
        <v>5.7349139999999998E-3</v>
      </c>
      <c r="AA8935">
        <v>0.98626689999999995</v>
      </c>
      <c r="AB8935">
        <v>26</v>
      </c>
      <c r="AC8935">
        <v>51.921700000000001</v>
      </c>
      <c r="AD8935">
        <v>-1.1256920942290001</v>
      </c>
      <c r="AE8935">
        <v>-8.8418600000000005</v>
      </c>
      <c r="AF8935">
        <v>-8.7135708448721108</v>
      </c>
      <c r="AG8935">
        <v>-1.1256920942290001</v>
      </c>
      <c r="AH8935">
        <v>51.918999146650002</v>
      </c>
      <c r="AI8935">
        <v>91.224948816462799</v>
      </c>
      <c r="AJ8935">
        <v>99.527168177287606</v>
      </c>
      <c r="AK8935">
        <v>52.657154992930103</v>
      </c>
      <c r="AL8935">
        <v>84.026325679131801</v>
      </c>
      <c r="AM8935">
        <v>99.010679882697005</v>
      </c>
      <c r="AN8935">
        <v>1.0000000048529201</v>
      </c>
    </row>
    <row r="8936" spans="1:40" x14ac:dyDescent="0.25">
      <c r="A8936" t="str">
        <f>"20190303162126591"</f>
        <v>20190303162126591</v>
      </c>
      <c r="B8936" t="str">
        <f>"1551601286581701"</f>
        <v>1551601286581701</v>
      </c>
      <c r="C8936" t="s">
        <v>40</v>
      </c>
      <c r="D8936">
        <v>5.0265570000000004</v>
      </c>
      <c r="E8936">
        <v>0.49587940000000003</v>
      </c>
      <c r="F8936" t="s">
        <v>89</v>
      </c>
      <c r="G8936">
        <v>-235.65520000000001</v>
      </c>
      <c r="H8936" s="1">
        <v>-2.7148709999999999E-6</v>
      </c>
      <c r="I8936">
        <v>-65.549390000000002</v>
      </c>
      <c r="J8936">
        <v>-285.62810000000002</v>
      </c>
      <c r="K8936">
        <v>1.125691</v>
      </c>
      <c r="L8936">
        <v>-57.058070000000001</v>
      </c>
      <c r="M8936">
        <v>0.94563200000000003</v>
      </c>
      <c r="N8936">
        <v>-1.176255E-2</v>
      </c>
      <c r="O8936">
        <v>-0.32502589999999998</v>
      </c>
      <c r="P8936">
        <v>0.98035439999999996</v>
      </c>
      <c r="Q8936">
        <v>9.3886890000000001E-2</v>
      </c>
      <c r="R8936">
        <v>-0.1734665</v>
      </c>
      <c r="S8936">
        <v>2.97702</v>
      </c>
      <c r="T8936">
        <v>-6.6869020000000001E-2</v>
      </c>
      <c r="U8936">
        <v>-0.50711059999999997</v>
      </c>
      <c r="V8936">
        <v>-0.15578029999999901</v>
      </c>
      <c r="W8936">
        <v>0.10372099999999999</v>
      </c>
      <c r="X8936">
        <v>0.98233119999999996</v>
      </c>
      <c r="Y8936">
        <v>-0.16155320000000001</v>
      </c>
      <c r="Z8936">
        <v>5.9801639999999996E-3</v>
      </c>
      <c r="AA8936">
        <v>0.98684590000000005</v>
      </c>
      <c r="AB8936">
        <v>26</v>
      </c>
      <c r="AC8936">
        <v>49.972900000000003</v>
      </c>
      <c r="AD8936">
        <v>-1.125693714871</v>
      </c>
      <c r="AE8936">
        <v>-8.49132</v>
      </c>
      <c r="AF8936">
        <v>-8.2093420727030892</v>
      </c>
      <c r="AG8936">
        <v>-1.125693714871</v>
      </c>
      <c r="AH8936">
        <v>49.994674250827003</v>
      </c>
      <c r="AI8936">
        <v>91.272829604779005</v>
      </c>
      <c r="AJ8936">
        <v>99.324999246297295</v>
      </c>
      <c r="AK8936">
        <v>50.676700139735402</v>
      </c>
      <c r="AL8936">
        <v>84.046517495051702</v>
      </c>
      <c r="AM8936">
        <v>99.011056425625796</v>
      </c>
      <c r="AN8936">
        <v>1.0000000671012601</v>
      </c>
    </row>
    <row r="8937" spans="1:40" x14ac:dyDescent="0.25">
      <c r="A8937" t="str">
        <f>"20190303162126603"</f>
        <v>20190303162126603</v>
      </c>
      <c r="B8937" t="str">
        <f>"1551601286591462"</f>
        <v>1551601286591462</v>
      </c>
      <c r="C8937" t="s">
        <v>40</v>
      </c>
      <c r="D8937">
        <v>5.1249840000000004</v>
      </c>
      <c r="E8937">
        <v>0.49555090000000002</v>
      </c>
      <c r="F8937" t="s">
        <v>89</v>
      </c>
      <c r="G8937">
        <v>-236.26329999999999</v>
      </c>
      <c r="H8937" s="1">
        <v>-2.8722030000000001E-6</v>
      </c>
      <c r="I8937">
        <v>-65.269809999999893</v>
      </c>
      <c r="J8937">
        <v>-285.49790000000002</v>
      </c>
      <c r="K8937">
        <v>1.125691</v>
      </c>
      <c r="L8937">
        <v>-57.099029999999999</v>
      </c>
      <c r="M8937">
        <v>0.94677560000000005</v>
      </c>
      <c r="N8937">
        <v>-1.1762659999999999E-2</v>
      </c>
      <c r="O8937">
        <v>-0.32167959999999901</v>
      </c>
      <c r="P8937">
        <v>0.98092469999999998</v>
      </c>
      <c r="Q8937">
        <v>9.3695849999999997E-2</v>
      </c>
      <c r="R8937">
        <v>-0.17031740000000001</v>
      </c>
      <c r="S8937">
        <v>2.9789430000000001</v>
      </c>
      <c r="T8937">
        <v>-6.7930459999999998E-2</v>
      </c>
      <c r="U8937">
        <v>-0.4955444</v>
      </c>
      <c r="V8937">
        <v>-0.15546389999999999</v>
      </c>
      <c r="W8937">
        <v>0.1035346</v>
      </c>
      <c r="X8937">
        <v>0.98240090000000002</v>
      </c>
      <c r="Y8937">
        <v>-0.16189200000000001</v>
      </c>
      <c r="Z8937">
        <v>6.0943280000000004E-3</v>
      </c>
      <c r="AA8937">
        <v>0.98678960000000004</v>
      </c>
      <c r="AB8937">
        <v>26</v>
      </c>
      <c r="AC8937">
        <v>49.2346</v>
      </c>
      <c r="AD8937">
        <v>-1.1256938722030001</v>
      </c>
      <c r="AE8937">
        <v>-8.1707799999999793</v>
      </c>
      <c r="AF8937">
        <v>-8.0983112091224196</v>
      </c>
      <c r="AG8937">
        <v>-1.1256938722030001</v>
      </c>
      <c r="AH8937">
        <v>49.220853282482501</v>
      </c>
      <c r="AI8937">
        <v>91.292766339167798</v>
      </c>
      <c r="AJ8937">
        <v>99.343172595554506</v>
      </c>
      <c r="AK8937">
        <v>49.895312695576699</v>
      </c>
      <c r="AL8937">
        <v>84.057254736251593</v>
      </c>
      <c r="AM8937">
        <v>98.992426172044503</v>
      </c>
      <c r="AN8937">
        <v>0.99999998296058901</v>
      </c>
    </row>
    <row r="8938" spans="1:40" x14ac:dyDescent="0.25">
      <c r="A8938" t="str">
        <f>"20190303162126615"</f>
        <v>20190303162126615</v>
      </c>
      <c r="B8938" t="str">
        <f>"1551601286601517"</f>
        <v>1551601286601517</v>
      </c>
      <c r="C8938" t="s">
        <v>40</v>
      </c>
      <c r="D8938">
        <v>5.1425850000000004</v>
      </c>
      <c r="E8938">
        <v>0.49270900000000001</v>
      </c>
      <c r="F8938" t="s">
        <v>88</v>
      </c>
      <c r="G8938">
        <v>-240.51390000000001</v>
      </c>
      <c r="H8938" s="1">
        <v>-2.7420229999999999E-7</v>
      </c>
      <c r="I8938">
        <v>-64.392250000000004</v>
      </c>
      <c r="J8938">
        <v>-285.37450000000001</v>
      </c>
      <c r="K8938">
        <v>1.1256900000000001</v>
      </c>
      <c r="L8938">
        <v>-57.137149999999998</v>
      </c>
      <c r="M8938">
        <v>0.94784559999999995</v>
      </c>
      <c r="N8938">
        <v>-1.17626E-2</v>
      </c>
      <c r="O8938">
        <v>-0.31851279999999998</v>
      </c>
      <c r="P8938">
        <v>0.98147329999999999</v>
      </c>
      <c r="Q8938">
        <v>9.3619579999999994E-2</v>
      </c>
      <c r="R8938">
        <v>-0.16716789999999901</v>
      </c>
      <c r="S8938">
        <v>2.9815369999999999</v>
      </c>
      <c r="T8938">
        <v>-7.4610709999999997E-2</v>
      </c>
      <c r="U8938">
        <v>-0.48339840000000001</v>
      </c>
      <c r="V8938">
        <v>-0.1553339</v>
      </c>
      <c r="W8938">
        <v>0.1034606</v>
      </c>
      <c r="X8938">
        <v>0.98242929999999995</v>
      </c>
      <c r="Y8938">
        <v>-0.1626281</v>
      </c>
      <c r="Z8938">
        <v>6.9495800000000003E-3</v>
      </c>
      <c r="AA8938">
        <v>0.98666299999999996</v>
      </c>
      <c r="AB8938">
        <v>26</v>
      </c>
      <c r="AC8938">
        <v>44.860599999999998</v>
      </c>
      <c r="AD8938">
        <v>-1.1256902742022901</v>
      </c>
      <c r="AE8938">
        <v>-7.2550999999999997</v>
      </c>
      <c r="AF8938">
        <v>-7.4079277463493698</v>
      </c>
      <c r="AG8938">
        <v>-1.1256902742022901</v>
      </c>
      <c r="AH8938">
        <v>44.807370916550397</v>
      </c>
      <c r="AI8938">
        <v>91.419866305431697</v>
      </c>
      <c r="AJ8938">
        <v>99.387697399225999</v>
      </c>
      <c r="AK8938">
        <v>45.429561527070597</v>
      </c>
      <c r="AL8938">
        <v>84.061517754257395</v>
      </c>
      <c r="AM8938">
        <v>98.984773866268597</v>
      </c>
      <c r="AN8938">
        <v>1.0000000228700201</v>
      </c>
    </row>
    <row r="8939" spans="1:40" x14ac:dyDescent="0.25">
      <c r="A8939" t="str">
        <f>"20190303162126625"</f>
        <v>20190303162126625</v>
      </c>
      <c r="B8939" t="str">
        <f>"1551601286611277"</f>
        <v>1551601286611277</v>
      </c>
      <c r="C8939" t="s">
        <v>40</v>
      </c>
      <c r="D8939">
        <v>5.0929060000000002</v>
      </c>
      <c r="E8939">
        <v>0.49270900000000001</v>
      </c>
      <c r="F8939" t="s">
        <v>89</v>
      </c>
      <c r="G8939">
        <v>-239.45339999999999</v>
      </c>
      <c r="H8939" s="1">
        <v>-3.7465200000000002E-6</v>
      </c>
      <c r="I8939">
        <v>-64.078569999999999</v>
      </c>
      <c r="J8939">
        <v>-285.25920000000002</v>
      </c>
      <c r="K8939">
        <v>1.125685</v>
      </c>
      <c r="L8939">
        <v>-57.172640000000001</v>
      </c>
      <c r="M8939">
        <v>0.94883439999999997</v>
      </c>
      <c r="N8939">
        <v>-1.176253E-2</v>
      </c>
      <c r="O8939">
        <v>-0.31555559999999899</v>
      </c>
      <c r="P8939">
        <v>0.9819428</v>
      </c>
      <c r="Q8939">
        <v>9.3499150000000003E-2</v>
      </c>
      <c r="R8939">
        <v>-0.164459299999999</v>
      </c>
      <c r="S8939">
        <v>2.9867249999999999</v>
      </c>
      <c r="T8939">
        <v>-7.3215600000000006E-2</v>
      </c>
      <c r="U8939">
        <v>-0.45147710000000002</v>
      </c>
      <c r="V8939">
        <v>-0.15498299999999901</v>
      </c>
      <c r="W8939">
        <v>0.1033449</v>
      </c>
      <c r="X8939">
        <v>0.98249690000000001</v>
      </c>
      <c r="Y8939">
        <v>-0.1701114</v>
      </c>
      <c r="Z8939">
        <v>6.8626819999999897E-3</v>
      </c>
      <c r="AA8939">
        <v>0.98540090000000002</v>
      </c>
      <c r="AB8939">
        <v>26</v>
      </c>
      <c r="AC8939">
        <v>45.805799999999998</v>
      </c>
      <c r="AD8939">
        <v>-1.1256887465200001</v>
      </c>
      <c r="AE8939">
        <v>-6.9059299999999899</v>
      </c>
      <c r="AF8939">
        <v>-7.8975741335613501</v>
      </c>
      <c r="AG8939">
        <v>-1.1256887465200001</v>
      </c>
      <c r="AH8939">
        <v>45.617533892269499</v>
      </c>
      <c r="AI8939">
        <v>91.392870565702097</v>
      </c>
      <c r="AJ8939">
        <v>99.822022150599096</v>
      </c>
      <c r="AK8939">
        <v>46.3098072848667</v>
      </c>
      <c r="AL8939">
        <v>84.068182636234695</v>
      </c>
      <c r="AM8939">
        <v>98.964200425966894</v>
      </c>
      <c r="AN8939">
        <v>1.0000000285773001</v>
      </c>
    </row>
    <row r="8940" spans="1:40" x14ac:dyDescent="0.25">
      <c r="A8940" t="str">
        <f>"20190303162126635"</f>
        <v>20190303162126635</v>
      </c>
      <c r="B8940" t="str">
        <f>"1551601286621038"</f>
        <v>1551601286621038</v>
      </c>
      <c r="C8940" t="s">
        <v>40</v>
      </c>
      <c r="D8940">
        <v>5.0281830000000003</v>
      </c>
      <c r="E8940">
        <v>0.46310669999999998</v>
      </c>
      <c r="F8940" t="s">
        <v>89</v>
      </c>
      <c r="G8940">
        <v>-239.55350000000001</v>
      </c>
      <c r="H8940" s="1">
        <v>-3.7581020000000001E-6</v>
      </c>
      <c r="I8940">
        <v>-63.951779999999999</v>
      </c>
      <c r="J8940">
        <v>-285.1397</v>
      </c>
      <c r="K8940">
        <v>1.1256759999999999</v>
      </c>
      <c r="L8940">
        <v>-57.208710000000004</v>
      </c>
      <c r="M8940">
        <v>0.94984500000000005</v>
      </c>
      <c r="N8940">
        <v>-1.176229E-2</v>
      </c>
      <c r="O8940">
        <v>-0.312500099999999</v>
      </c>
      <c r="P8940">
        <v>0.98237569999999996</v>
      </c>
      <c r="Q8940">
        <v>9.346061E-2</v>
      </c>
      <c r="R8940">
        <v>-0.16187509999999999</v>
      </c>
      <c r="S8940">
        <v>2.9879150000000001</v>
      </c>
      <c r="T8940">
        <v>-7.3589559999999998E-2</v>
      </c>
      <c r="U8940">
        <v>-0.44317630000000002</v>
      </c>
      <c r="V8940">
        <v>-0.1544044</v>
      </c>
      <c r="W8940">
        <v>0.10331600000000001</v>
      </c>
      <c r="X8940">
        <v>0.98259099999999999</v>
      </c>
      <c r="Y8940">
        <v>-0.16967470000000001</v>
      </c>
      <c r="Z8940">
        <v>6.8689989999999998E-3</v>
      </c>
      <c r="AA8940">
        <v>0.98547620000000002</v>
      </c>
      <c r="AB8940">
        <v>26</v>
      </c>
      <c r="AC8940">
        <v>45.586199999999899</v>
      </c>
      <c r="AD8940">
        <v>-1.1256797581019999</v>
      </c>
      <c r="AE8940">
        <v>-6.7430700000000003</v>
      </c>
      <c r="AF8940">
        <v>-7.8366862224425802</v>
      </c>
      <c r="AG8940">
        <v>-1.1256797581019999</v>
      </c>
      <c r="AH8940">
        <v>45.383090785525802</v>
      </c>
      <c r="AI8940">
        <v>91.400157018683103</v>
      </c>
      <c r="AJ8940">
        <v>99.797137804994094</v>
      </c>
      <c r="AK8940">
        <v>46.0684896118171</v>
      </c>
      <c r="AL8940">
        <v>84.0698471893825</v>
      </c>
      <c r="AM8940">
        <v>98.9304332032291</v>
      </c>
      <c r="AN8940">
        <v>0.99999999393817995</v>
      </c>
    </row>
    <row r="8941" spans="1:40" x14ac:dyDescent="0.25">
      <c r="A8941" t="str">
        <f>"20190303162126645"</f>
        <v>20190303162126645</v>
      </c>
      <c r="B8941" t="str">
        <f>"1551601286631773"</f>
        <v>1551601286631773</v>
      </c>
      <c r="C8941" t="s">
        <v>40</v>
      </c>
      <c r="D8941">
        <v>5.1413840000000004</v>
      </c>
      <c r="E8941">
        <v>0.46355079999999999</v>
      </c>
      <c r="F8941" t="s">
        <v>62</v>
      </c>
      <c r="G8941">
        <v>-185.07149999999999</v>
      </c>
      <c r="H8941" s="1">
        <v>-9.4739180000000001E-6</v>
      </c>
      <c r="I8941">
        <v>-63.882210000000001</v>
      </c>
      <c r="J8941">
        <v>-285.03809999999999</v>
      </c>
      <c r="K8941">
        <v>1.1256699999999999</v>
      </c>
      <c r="L8941">
        <v>-57.2393199999999</v>
      </c>
      <c r="M8941">
        <v>0.95069559999999997</v>
      </c>
      <c r="N8941">
        <v>-1.1762099999999999E-2</v>
      </c>
      <c r="O8941">
        <v>-0.30990289999999998</v>
      </c>
      <c r="P8941">
        <v>0.98277499999999995</v>
      </c>
      <c r="Q8941">
        <v>9.3144260000000006E-2</v>
      </c>
      <c r="R8941">
        <v>-0.15961719999999999</v>
      </c>
      <c r="S8941">
        <v>3.0238649999999998</v>
      </c>
      <c r="T8941">
        <v>-3.4016009999999999E-2</v>
      </c>
      <c r="U8941">
        <v>-0.20166020000000001</v>
      </c>
      <c r="V8941">
        <v>-0.15398110000000001</v>
      </c>
      <c r="W8941">
        <v>0.10300719999999999</v>
      </c>
      <c r="X8941">
        <v>0.98268990000000001</v>
      </c>
      <c r="Y8941">
        <v>-0.2459411</v>
      </c>
      <c r="Z8941">
        <v>2.562567E-3</v>
      </c>
      <c r="AA8941">
        <v>0.96928139999999996</v>
      </c>
      <c r="AB8941">
        <v>26</v>
      </c>
      <c r="AC8941">
        <v>99.9666</v>
      </c>
      <c r="AD8941">
        <v>-1.1256794739180001</v>
      </c>
      <c r="AE8941">
        <v>-6.6428900000000004</v>
      </c>
      <c r="AF8941">
        <v>-24.6631622848864</v>
      </c>
      <c r="AG8941">
        <v>-1.1256794739180001</v>
      </c>
      <c r="AH8941">
        <v>97.090904313902996</v>
      </c>
      <c r="AI8941">
        <v>90.643816711339298</v>
      </c>
      <c r="AJ8941">
        <v>104.25289034208799</v>
      </c>
      <c r="AK8941">
        <v>100.18074879267</v>
      </c>
      <c r="AL8941">
        <v>84.087635369858006</v>
      </c>
      <c r="AM8941">
        <v>98.905461427073703</v>
      </c>
      <c r="AN8941">
        <v>1.00000005098552</v>
      </c>
    </row>
    <row r="8942" spans="1:40" x14ac:dyDescent="0.25">
      <c r="A8942" t="str">
        <f>"20190303162126655"</f>
        <v>20190303162126655</v>
      </c>
      <c r="B8942" t="str">
        <f>"1551601286641533"</f>
        <v>1551601286641533</v>
      </c>
      <c r="C8942" t="s">
        <v>40</v>
      </c>
      <c r="D8942">
        <v>5.0741930000000002</v>
      </c>
      <c r="E8942">
        <v>0.46398250000000002</v>
      </c>
      <c r="F8942" t="s">
        <v>62</v>
      </c>
      <c r="G8942">
        <v>-192.79069999999999</v>
      </c>
      <c r="H8942" s="1">
        <v>-8.8141579999999995E-6</v>
      </c>
      <c r="I8942">
        <v>-63.288849999999996</v>
      </c>
      <c r="J8942">
        <v>-284.92689999999999</v>
      </c>
      <c r="K8942">
        <v>1.1256619999999999</v>
      </c>
      <c r="L8942">
        <v>-57.272190000000002</v>
      </c>
      <c r="M8942">
        <v>0.95161370000000001</v>
      </c>
      <c r="N8942">
        <v>-1.176144E-2</v>
      </c>
      <c r="O8942">
        <v>-0.3070717</v>
      </c>
      <c r="P8942">
        <v>0.98315520000000001</v>
      </c>
      <c r="Q8942">
        <v>9.2638750000000006E-2</v>
      </c>
      <c r="R8942">
        <v>-0.1575558</v>
      </c>
      <c r="S8942">
        <v>3.0238649999999998</v>
      </c>
      <c r="T8942">
        <v>-3.6899689999999999E-2</v>
      </c>
      <c r="U8942">
        <v>-0.19830320000000001</v>
      </c>
      <c r="V8942">
        <v>-0.15312249999999999</v>
      </c>
      <c r="W8942">
        <v>0.1025158</v>
      </c>
      <c r="X8942">
        <v>0.98287539999999995</v>
      </c>
      <c r="Y8942">
        <v>-0.24412310000000001</v>
      </c>
      <c r="Z8942">
        <v>2.9508009999999999E-3</v>
      </c>
      <c r="AA8942">
        <v>0.96973969999999998</v>
      </c>
      <c r="AB8942">
        <v>26</v>
      </c>
      <c r="AC8942">
        <v>92.136200000000002</v>
      </c>
      <c r="AD8942">
        <v>-1.1256708141580001</v>
      </c>
      <c r="AE8942">
        <v>-6.0166599999999901</v>
      </c>
      <c r="AF8942">
        <v>-22.565090652169101</v>
      </c>
      <c r="AG8942">
        <v>-1.1256708141580001</v>
      </c>
      <c r="AH8942">
        <v>89.518503825701202</v>
      </c>
      <c r="AI8942">
        <v>90.698590616547506</v>
      </c>
      <c r="AJ8942">
        <v>104.147911772036</v>
      </c>
      <c r="AK8942">
        <v>92.3255813851965</v>
      </c>
      <c r="AL8942">
        <v>84.115940181221006</v>
      </c>
      <c r="AM8942">
        <v>98.854948843782495</v>
      </c>
      <c r="AN8942">
        <v>1.00000002059052</v>
      </c>
    </row>
    <row r="8943" spans="1:40" x14ac:dyDescent="0.25">
      <c r="A8943" t="str">
        <f>"20190303162126665"</f>
        <v>20190303162126665</v>
      </c>
      <c r="B8943" t="str">
        <f>"1551601286652269"</f>
        <v>1551601286652269</v>
      </c>
      <c r="C8943" t="s">
        <v>40</v>
      </c>
      <c r="D8943">
        <v>5.0755670000000004</v>
      </c>
      <c r="E8943">
        <v>0.46451160000000002</v>
      </c>
      <c r="F8943" t="s">
        <v>62</v>
      </c>
      <c r="G8943">
        <v>-205.76669999999999</v>
      </c>
      <c r="H8943" s="1">
        <v>-2.9412319999999999E-6</v>
      </c>
      <c r="I8943">
        <v>-62.38635</v>
      </c>
      <c r="J8943">
        <v>-284.81729999999999</v>
      </c>
      <c r="K8943">
        <v>1.1256489999999999</v>
      </c>
      <c r="L8943">
        <v>-57.304499999999997</v>
      </c>
      <c r="M8943">
        <v>0.95250979999999996</v>
      </c>
      <c r="N8943">
        <v>-1.176084E-2</v>
      </c>
      <c r="O8943">
        <v>-0.30428110000000003</v>
      </c>
      <c r="P8943">
        <v>0.98341310000000004</v>
      </c>
      <c r="Q8943">
        <v>9.2573600000000006E-2</v>
      </c>
      <c r="R8943">
        <v>-0.15597749999999999</v>
      </c>
      <c r="S8943">
        <v>3.0241090000000002</v>
      </c>
      <c r="T8943">
        <v>-4.3003079999999999E-2</v>
      </c>
      <c r="U8943">
        <v>-0.19537350000000001</v>
      </c>
      <c r="V8943">
        <v>-0.15181639999999999</v>
      </c>
      <c r="W8943">
        <v>0.1024698</v>
      </c>
      <c r="X8943">
        <v>0.98308280000000003</v>
      </c>
      <c r="Y8943">
        <v>-0.24221129999999999</v>
      </c>
      <c r="Z8943">
        <v>3.778146E-3</v>
      </c>
      <c r="AA8943">
        <v>0.97021619999999997</v>
      </c>
      <c r="AB8943">
        <v>26</v>
      </c>
      <c r="AC8943">
        <v>79.050600000000003</v>
      </c>
      <c r="AD8943">
        <v>-1.1256519412320001</v>
      </c>
      <c r="AE8943">
        <v>-5.0818500000000002</v>
      </c>
      <c r="AF8943">
        <v>-19.210539094155401</v>
      </c>
      <c r="AG8943">
        <v>-1.1256519412320001</v>
      </c>
      <c r="AH8943">
        <v>76.832573367710197</v>
      </c>
      <c r="AI8943">
        <v>90.814300084447694</v>
      </c>
      <c r="AJ8943">
        <v>104.037924929816</v>
      </c>
      <c r="AK8943">
        <v>79.205784099934505</v>
      </c>
      <c r="AL8943">
        <v>84.118589827908906</v>
      </c>
      <c r="AM8943">
        <v>98.778776561366797</v>
      </c>
      <c r="AN8943">
        <v>1.00000003543841</v>
      </c>
    </row>
    <row r="8944" spans="1:40" x14ac:dyDescent="0.25">
      <c r="A8944" t="str">
        <f>"20190303162126675"</f>
        <v>20190303162126675</v>
      </c>
      <c r="B8944" t="str">
        <f>"1551601286662029"</f>
        <v>1551601286662029</v>
      </c>
      <c r="C8944" t="s">
        <v>40</v>
      </c>
      <c r="D8944">
        <v>5.0128209999999997</v>
      </c>
      <c r="E8944">
        <v>0.46522790000000003</v>
      </c>
      <c r="F8944" t="s">
        <v>62</v>
      </c>
      <c r="G8944">
        <v>-208.12309999999999</v>
      </c>
      <c r="H8944" s="1">
        <v>-1.4229759999999999E-6</v>
      </c>
      <c r="I8944">
        <v>-62.239519999999999</v>
      </c>
      <c r="J8944">
        <v>-284.7029</v>
      </c>
      <c r="K8944">
        <v>1.12564</v>
      </c>
      <c r="L8944">
        <v>-57.33755</v>
      </c>
      <c r="M8944">
        <v>0.95342910000000003</v>
      </c>
      <c r="N8944">
        <v>-1.1759850000000001E-2</v>
      </c>
      <c r="O8944">
        <v>-0.30138799999999999</v>
      </c>
      <c r="P8944">
        <v>0.98374499999999998</v>
      </c>
      <c r="Q8944">
        <v>9.2175679999999996E-2</v>
      </c>
      <c r="R8944">
        <v>-0.15410850000000001</v>
      </c>
      <c r="S8944">
        <v>3.0239259999999999</v>
      </c>
      <c r="T8944">
        <v>-4.4382570000000003E-2</v>
      </c>
      <c r="U8944">
        <v>-0.19458010000000001</v>
      </c>
      <c r="V8944">
        <v>-0.150702799999999</v>
      </c>
      <c r="W8944">
        <v>0.1020904</v>
      </c>
      <c r="X8944">
        <v>0.98329350000000004</v>
      </c>
      <c r="Y8944">
        <v>-0.23951259999999999</v>
      </c>
      <c r="Z8944">
        <v>3.9297170000000001E-3</v>
      </c>
      <c r="AA8944">
        <v>0.97088529999999995</v>
      </c>
      <c r="AB8944">
        <v>26</v>
      </c>
      <c r="AC8944">
        <v>76.579800000000006</v>
      </c>
      <c r="AD8944">
        <v>-1.1256414229759999</v>
      </c>
      <c r="AE8944">
        <v>-4.9019699999999897</v>
      </c>
      <c r="AF8944">
        <v>-18.403864081321</v>
      </c>
      <c r="AG8944">
        <v>-1.1256414229759999</v>
      </c>
      <c r="AH8944">
        <v>74.479927129853706</v>
      </c>
      <c r="AI8944">
        <v>90.8405872924818</v>
      </c>
      <c r="AJ8944">
        <v>103.87966201274099</v>
      </c>
      <c r="AK8944">
        <v>76.728279187045402</v>
      </c>
      <c r="AL8944">
        <v>84.140441919741505</v>
      </c>
      <c r="AM8944">
        <v>98.713536102737393</v>
      </c>
      <c r="AN8944">
        <v>0.99999994542112303</v>
      </c>
    </row>
    <row r="8945" spans="1:40" x14ac:dyDescent="0.25">
      <c r="A8945" t="str">
        <f>"20190303162126686"</f>
        <v>20190303162126686</v>
      </c>
      <c r="B8945" t="str">
        <f>"1551601286681549"</f>
        <v>1551601286681549</v>
      </c>
      <c r="C8945" t="s">
        <v>40</v>
      </c>
      <c r="D8945">
        <v>5.0712719999999996</v>
      </c>
      <c r="E8945">
        <v>0.46634150000000002</v>
      </c>
      <c r="F8945" t="s">
        <v>90</v>
      </c>
      <c r="G8945">
        <v>-214.99940000000001</v>
      </c>
      <c r="H8945" s="1">
        <v>-1.4965549999999901E-6</v>
      </c>
      <c r="I8945">
        <v>-61.82235</v>
      </c>
      <c r="J8945">
        <v>-284.58859999999999</v>
      </c>
      <c r="K8945">
        <v>1.125623</v>
      </c>
      <c r="L8945">
        <v>-57.370539999999998</v>
      </c>
      <c r="M8945">
        <v>0.95433749999999995</v>
      </c>
      <c r="N8945">
        <v>-1.1758869999999999E-2</v>
      </c>
      <c r="O8945">
        <v>-0.29849870000000001</v>
      </c>
      <c r="P8945">
        <v>0.98404650000000005</v>
      </c>
      <c r="Q8945">
        <v>9.1707269999999994E-2</v>
      </c>
      <c r="R8945">
        <v>-0.15245429999999999</v>
      </c>
      <c r="S8945">
        <v>3.023682</v>
      </c>
      <c r="T8945">
        <v>-4.8829440000000002E-2</v>
      </c>
      <c r="U8945">
        <v>-0.19454959999999999</v>
      </c>
      <c r="V8945">
        <v>-0.14938080000000001</v>
      </c>
      <c r="W8945">
        <v>0.101644</v>
      </c>
      <c r="X8945">
        <v>0.98354149999999996</v>
      </c>
      <c r="Y8945">
        <v>-0.23656740000000001</v>
      </c>
      <c r="Z8945">
        <v>4.4922909999999998E-3</v>
      </c>
      <c r="AA8945">
        <v>0.97160469999999999</v>
      </c>
      <c r="AB8945">
        <v>26</v>
      </c>
      <c r="AC8945">
        <v>69.589199999999906</v>
      </c>
      <c r="AD8945">
        <v>-1.125624496555</v>
      </c>
      <c r="AE8945">
        <v>-4.4518099999999903</v>
      </c>
      <c r="AF8945">
        <v>-16.520595761126899</v>
      </c>
      <c r="AG8945">
        <v>-1.125624496555</v>
      </c>
      <c r="AH8945">
        <v>67.727484920949294</v>
      </c>
      <c r="AI8945">
        <v>90.9250450310536</v>
      </c>
      <c r="AJ8945">
        <v>103.708316008758</v>
      </c>
      <c r="AK8945">
        <v>69.722373227875906</v>
      </c>
      <c r="AL8945">
        <v>84.166152847640603</v>
      </c>
      <c r="AM8945">
        <v>98.636111668254998</v>
      </c>
      <c r="AN8945">
        <v>1.00000000418344</v>
      </c>
    </row>
    <row r="8946" spans="1:40" x14ac:dyDescent="0.25">
      <c r="A8946" t="str">
        <f>"20190303162126698"</f>
        <v>20190303162126698</v>
      </c>
      <c r="B8946" t="str">
        <f>"1551601286691309"</f>
        <v>1551601286691309</v>
      </c>
      <c r="C8946" t="s">
        <v>40</v>
      </c>
      <c r="D8946">
        <v>5.0129700000000001</v>
      </c>
      <c r="E8946">
        <v>0.46671970000000002</v>
      </c>
      <c r="F8946" t="s">
        <v>91</v>
      </c>
      <c r="G8946">
        <v>-221.63640000000001</v>
      </c>
      <c r="H8946" s="1">
        <v>-6.8904740000000004E-8</v>
      </c>
      <c r="I8946">
        <v>-61.502749999999999</v>
      </c>
      <c r="J8946">
        <v>-284.45229999999998</v>
      </c>
      <c r="K8946">
        <v>1.125597</v>
      </c>
      <c r="L8946">
        <v>-57.409120000000001</v>
      </c>
      <c r="M8946">
        <v>0.95539940000000001</v>
      </c>
      <c r="N8946">
        <v>-1.1757149999999999E-2</v>
      </c>
      <c r="O8946">
        <v>-0.29508240000000002</v>
      </c>
      <c r="P8946">
        <v>0.98438979999999998</v>
      </c>
      <c r="Q8946">
        <v>9.1279020000000002E-2</v>
      </c>
      <c r="R8946">
        <v>-0.15048210000000001</v>
      </c>
      <c r="S8946">
        <v>3.0229189999999999</v>
      </c>
      <c r="T8946">
        <v>-5.4051639999999998E-2</v>
      </c>
      <c r="U8946">
        <v>-0.1984253</v>
      </c>
      <c r="V8946">
        <v>-0.147832399999999</v>
      </c>
      <c r="W8946">
        <v>0.1012422</v>
      </c>
      <c r="X8946">
        <v>0.98381689999999999</v>
      </c>
      <c r="Y8946">
        <v>-0.23182179999999999</v>
      </c>
      <c r="Z8946">
        <v>5.118587E-3</v>
      </c>
      <c r="AA8946">
        <v>0.97274479999999997</v>
      </c>
      <c r="AB8946">
        <v>26</v>
      </c>
      <c r="AC8946">
        <v>62.8158999999999</v>
      </c>
      <c r="AD8946">
        <v>-1.1255970689047401</v>
      </c>
      <c r="AE8946">
        <v>-4.0936300000000001</v>
      </c>
      <c r="AF8946">
        <v>-14.621151909751401</v>
      </c>
      <c r="AG8946">
        <v>-1.1255970689047401</v>
      </c>
      <c r="AH8946">
        <v>61.206897433619297</v>
      </c>
      <c r="AI8946">
        <v>91.024727198322296</v>
      </c>
      <c r="AJ8946">
        <v>103.435084290162</v>
      </c>
      <c r="AK8946">
        <v>62.939092346324401</v>
      </c>
      <c r="AL8946">
        <v>84.189293917924601</v>
      </c>
      <c r="AM8946">
        <v>98.545566096397394</v>
      </c>
      <c r="AN8946">
        <v>1.0000000471381001</v>
      </c>
    </row>
    <row r="8947" spans="1:40" x14ac:dyDescent="0.25">
      <c r="A8947" t="str">
        <f>"20190303162126708"</f>
        <v>20190303162126708</v>
      </c>
      <c r="B8947" t="str">
        <f>"1551601286701069"</f>
        <v>1551601286701069</v>
      </c>
      <c r="C8947" t="s">
        <v>40</v>
      </c>
      <c r="D8947">
        <v>4.6314820000000001</v>
      </c>
      <c r="E8947">
        <v>0.46726810000000002</v>
      </c>
      <c r="F8947" t="s">
        <v>91</v>
      </c>
      <c r="G8947">
        <v>-224.38239999999999</v>
      </c>
      <c r="H8947" s="1">
        <v>-1.2006110000000001E-6</v>
      </c>
      <c r="I8947">
        <v>-61.29448</v>
      </c>
      <c r="J8947">
        <v>-284.34410000000003</v>
      </c>
      <c r="K8947">
        <v>1.125577</v>
      </c>
      <c r="L8947">
        <v>-57.439509999999999</v>
      </c>
      <c r="M8947">
        <v>0.95622929999999995</v>
      </c>
      <c r="N8947">
        <v>-1.175559E-2</v>
      </c>
      <c r="O8947">
        <v>-0.29238239999999999</v>
      </c>
      <c r="P8947">
        <v>0.98466779999999998</v>
      </c>
      <c r="Q8947">
        <v>9.1058490000000006E-2</v>
      </c>
      <c r="R8947">
        <v>-0.14878759999999999</v>
      </c>
      <c r="S8947">
        <v>3.0229490000000001</v>
      </c>
      <c r="T8947">
        <v>-5.6644439999999997E-2</v>
      </c>
      <c r="U8947">
        <v>-0.19552610000000001</v>
      </c>
      <c r="V8947">
        <v>-0.14674319999999999</v>
      </c>
      <c r="W8947">
        <v>0.10104150000000001</v>
      </c>
      <c r="X8947">
        <v>0.98400049999999994</v>
      </c>
      <c r="Y8947">
        <v>-0.22999729999999999</v>
      </c>
      <c r="Z8947">
        <v>5.4244069999999896E-3</v>
      </c>
      <c r="AA8947">
        <v>0.97317609999999999</v>
      </c>
      <c r="AB8947">
        <v>26</v>
      </c>
      <c r="AC8947">
        <v>59.9617</v>
      </c>
      <c r="AD8947">
        <v>-1.125578200611</v>
      </c>
      <c r="AE8947">
        <v>-3.8549699999999998</v>
      </c>
      <c r="AF8947">
        <v>-13.841608988027801</v>
      </c>
      <c r="AG8947">
        <v>-1.125578200611</v>
      </c>
      <c r="AH8947">
        <v>58.447785260006597</v>
      </c>
      <c r="AI8947">
        <v>91.073569679799704</v>
      </c>
      <c r="AJ8947">
        <v>103.32333615056299</v>
      </c>
      <c r="AK8947">
        <v>60.074958738753999</v>
      </c>
      <c r="AL8947">
        <v>84.200851990283795</v>
      </c>
      <c r="AM8947">
        <v>98.481963696875795</v>
      </c>
      <c r="AN8947">
        <v>0.99999996773436906</v>
      </c>
    </row>
    <row r="8948" spans="1:40" x14ac:dyDescent="0.25">
      <c r="A8948" t="str">
        <f>"20190303162126719"</f>
        <v>20190303162126719</v>
      </c>
      <c r="B8948" t="str">
        <f>"1551601286711805"</f>
        <v>1551601286711805</v>
      </c>
      <c r="C8948" t="s">
        <v>40</v>
      </c>
      <c r="D8948">
        <v>5.0135459999999998</v>
      </c>
      <c r="E8948">
        <v>0.46778829999999999</v>
      </c>
      <c r="F8948" t="s">
        <v>91</v>
      </c>
      <c r="G8948">
        <v>-224.82259999999999</v>
      </c>
      <c r="H8948" s="1">
        <v>-1.38482E-6</v>
      </c>
      <c r="I8948">
        <v>-61.273670000000003</v>
      </c>
      <c r="J8948">
        <v>-284.22239999999999</v>
      </c>
      <c r="K8948">
        <v>1.1255520000000001</v>
      </c>
      <c r="L8948">
        <v>-57.473239999999997</v>
      </c>
      <c r="M8948">
        <v>0.95714339999999998</v>
      </c>
      <c r="N8948">
        <v>-1.1753410000000001E-2</v>
      </c>
      <c r="O8948">
        <v>-0.28937600000000002</v>
      </c>
      <c r="P8948">
        <v>0.9848981</v>
      </c>
      <c r="Q8948">
        <v>9.1199440000000007E-2</v>
      </c>
      <c r="R8948">
        <v>-0.1471671</v>
      </c>
      <c r="S8948">
        <v>3.0225520000000001</v>
      </c>
      <c r="T8948">
        <v>-5.715787E-2</v>
      </c>
      <c r="U8948">
        <v>-0.19470209999999999</v>
      </c>
      <c r="V8948">
        <v>-0.14525879999999999</v>
      </c>
      <c r="W8948">
        <v>0.1012094</v>
      </c>
      <c r="X8948">
        <v>0.98420350000000001</v>
      </c>
      <c r="Y8948">
        <v>-0.2271937</v>
      </c>
      <c r="Z8948">
        <v>5.4334600000000002E-3</v>
      </c>
      <c r="AA8948">
        <v>0.97383450000000005</v>
      </c>
      <c r="AB8948">
        <v>26</v>
      </c>
      <c r="AC8948">
        <v>59.399799999999999</v>
      </c>
      <c r="AD8948">
        <v>-1.1255533848199999</v>
      </c>
      <c r="AE8948">
        <v>-3.8004299999999902</v>
      </c>
      <c r="AF8948">
        <v>-13.547411009861699</v>
      </c>
      <c r="AG8948">
        <v>-1.1255533848199999</v>
      </c>
      <c r="AH8948">
        <v>57.937162346217498</v>
      </c>
      <c r="AI8948">
        <v>91.083727628878293</v>
      </c>
      <c r="AJ8948">
        <v>103.160973480199</v>
      </c>
      <c r="AK8948">
        <v>59.510620869086601</v>
      </c>
      <c r="AL8948">
        <v>84.191182621440802</v>
      </c>
      <c r="AM8948">
        <v>98.395685472461693</v>
      </c>
      <c r="AN8948">
        <v>0.99999999551902496</v>
      </c>
    </row>
    <row r="8949" spans="1:40" x14ac:dyDescent="0.25">
      <c r="A8949" t="str">
        <f>"20190303162126731"</f>
        <v>20190303162126731</v>
      </c>
      <c r="B8949" t="str">
        <f>"1551601286721565"</f>
        <v>1551601286721565</v>
      </c>
      <c r="C8949" t="s">
        <v>40</v>
      </c>
      <c r="D8949">
        <v>4.9543869999999997</v>
      </c>
      <c r="E8949">
        <v>0.4682115</v>
      </c>
      <c r="F8949" t="s">
        <v>91</v>
      </c>
      <c r="G8949">
        <v>-224.3544</v>
      </c>
      <c r="H8949" s="1">
        <v>-1.192868E-6</v>
      </c>
      <c r="I8949">
        <v>-61.313760000000002</v>
      </c>
      <c r="J8949">
        <v>-284.09750000000003</v>
      </c>
      <c r="K8949">
        <v>1.1255219999999999</v>
      </c>
      <c r="L8949">
        <v>-57.507510000000003</v>
      </c>
      <c r="M8949">
        <v>0.958063</v>
      </c>
      <c r="N8949">
        <v>-1.1750490000000001E-2</v>
      </c>
      <c r="O8949">
        <v>-0.28631679999999998</v>
      </c>
      <c r="P8949">
        <v>0.98514279999999999</v>
      </c>
      <c r="Q8949">
        <v>9.1675740000000006E-2</v>
      </c>
      <c r="R8949">
        <v>-0.1452214</v>
      </c>
      <c r="S8949">
        <v>3.022278</v>
      </c>
      <c r="T8949">
        <v>-5.6820509999999998E-2</v>
      </c>
      <c r="U8949">
        <v>-0.1938782</v>
      </c>
      <c r="V8949">
        <v>-0.14404049999999999</v>
      </c>
      <c r="W8949">
        <v>0.10171040000000001</v>
      </c>
      <c r="X8949">
        <v>0.98433090000000001</v>
      </c>
      <c r="Y8949">
        <v>-0.22434200000000001</v>
      </c>
      <c r="Z8949">
        <v>5.3287330000000004E-3</v>
      </c>
      <c r="AA8949">
        <v>0.97449589999999997</v>
      </c>
      <c r="AB8949">
        <v>26</v>
      </c>
      <c r="AC8949">
        <v>59.743099999999998</v>
      </c>
      <c r="AD8949">
        <v>-1.1255231928679901</v>
      </c>
      <c r="AE8949">
        <v>-3.8062499999999901</v>
      </c>
      <c r="AF8949">
        <v>-13.454998353060301</v>
      </c>
      <c r="AG8949">
        <v>-1.1255231928679901</v>
      </c>
      <c r="AH8949">
        <v>58.3108591416743</v>
      </c>
      <c r="AI8949">
        <v>91.077486903176194</v>
      </c>
      <c r="AJ8949">
        <v>102.993353852038</v>
      </c>
      <c r="AK8949">
        <v>59.853655502222502</v>
      </c>
      <c r="AL8949">
        <v>84.162328539944497</v>
      </c>
      <c r="AM8949">
        <v>98.325198739416905</v>
      </c>
      <c r="AN8949">
        <v>0.99999999590161004</v>
      </c>
    </row>
    <row r="8950" spans="1:40" x14ac:dyDescent="0.25">
      <c r="A8950" t="str">
        <f>"20190303162126742"</f>
        <v>20190303162126742</v>
      </c>
      <c r="B8950" t="str">
        <f>"1551601286732301"</f>
        <v>1551601286732301</v>
      </c>
      <c r="C8950" t="s">
        <v>40</v>
      </c>
      <c r="D8950">
        <v>4.9550769999999904</v>
      </c>
      <c r="E8950">
        <v>0.46857290000000001</v>
      </c>
      <c r="F8950" t="s">
        <v>91</v>
      </c>
      <c r="G8950">
        <v>-223.36879999999999</v>
      </c>
      <c r="H8950" s="1">
        <v>-7.7865910000000003E-7</v>
      </c>
      <c r="I8950">
        <v>-61.352319999999999</v>
      </c>
      <c r="J8950">
        <v>-283.97280000000001</v>
      </c>
      <c r="K8950">
        <v>1.1254850000000001</v>
      </c>
      <c r="L8950">
        <v>-57.541350000000001</v>
      </c>
      <c r="M8950">
        <v>0.95896159999999997</v>
      </c>
      <c r="N8950">
        <v>-1.17471E-2</v>
      </c>
      <c r="O8950">
        <v>-0.28329300000000002</v>
      </c>
      <c r="P8950">
        <v>0.98535039999999996</v>
      </c>
      <c r="Q8950">
        <v>9.2291730000000002E-2</v>
      </c>
      <c r="R8950">
        <v>-0.14341229999999999</v>
      </c>
      <c r="S8950">
        <v>3.022278</v>
      </c>
      <c r="T8950">
        <v>-5.6013819999999999E-2</v>
      </c>
      <c r="U8950">
        <v>-0.19134519999999999</v>
      </c>
      <c r="V8950">
        <v>-0.14272089999999901</v>
      </c>
      <c r="W8950">
        <v>0.1023531</v>
      </c>
      <c r="X8950">
        <v>0.98445649999999996</v>
      </c>
      <c r="Y8950">
        <v>-0.22208320000000001</v>
      </c>
      <c r="Z8950">
        <v>5.1731249999999998E-3</v>
      </c>
      <c r="AA8950">
        <v>0.97501400000000005</v>
      </c>
      <c r="AB8950">
        <v>26</v>
      </c>
      <c r="AC8950">
        <v>60.603999999999999</v>
      </c>
      <c r="AD8950">
        <v>-1.1254857786590999</v>
      </c>
      <c r="AE8950">
        <v>-3.81096999999999</v>
      </c>
      <c r="AF8950">
        <v>-13.510404584218801</v>
      </c>
      <c r="AG8950">
        <v>-1.1254857786590999</v>
      </c>
      <c r="AH8950">
        <v>59.180276652797403</v>
      </c>
      <c r="AI8950">
        <v>91.062193878564599</v>
      </c>
      <c r="AJ8950">
        <v>102.85980467461999</v>
      </c>
      <c r="AK8950">
        <v>60.7132843368639</v>
      </c>
      <c r="AL8950">
        <v>84.125311416030101</v>
      </c>
      <c r="AM8950">
        <v>98.248945501782799</v>
      </c>
      <c r="AN8950">
        <v>1.00000000638433</v>
      </c>
    </row>
    <row r="8951" spans="1:40" x14ac:dyDescent="0.25">
      <c r="A8951" t="str">
        <f>"20190303162126754"</f>
        <v>20190303162126754</v>
      </c>
      <c r="B8951" t="str">
        <f>"1551601286741085"</f>
        <v>1551601286741085</v>
      </c>
      <c r="C8951" t="s">
        <v>40</v>
      </c>
      <c r="D8951">
        <v>4.892493</v>
      </c>
      <c r="E8951">
        <v>0.46894380000000002</v>
      </c>
      <c r="F8951" t="s">
        <v>91</v>
      </c>
      <c r="G8951">
        <v>-221.58029999999999</v>
      </c>
      <c r="H8951" s="1">
        <v>-3.0880359999999998E-8</v>
      </c>
      <c r="I8951">
        <v>-61.439979999999998</v>
      </c>
      <c r="J8951">
        <v>-283.84190000000001</v>
      </c>
      <c r="K8951">
        <v>1.125429</v>
      </c>
      <c r="L8951">
        <v>-57.576390000000004</v>
      </c>
      <c r="M8951">
        <v>0.95987489999999998</v>
      </c>
      <c r="N8951">
        <v>-1.174218E-2</v>
      </c>
      <c r="O8951">
        <v>-0.28018270000000001</v>
      </c>
      <c r="P8951">
        <v>0.98548409999999997</v>
      </c>
      <c r="Q8951">
        <v>9.3227359999999995E-2</v>
      </c>
      <c r="R8951">
        <v>-0.1418787</v>
      </c>
      <c r="S8951">
        <v>3.022186</v>
      </c>
      <c r="T8951">
        <v>-5.4516549999999997E-2</v>
      </c>
      <c r="U8951">
        <v>-0.18884280000000001</v>
      </c>
      <c r="V8951">
        <v>-0.14102919999999999</v>
      </c>
      <c r="W8951">
        <v>0.1033245</v>
      </c>
      <c r="X8951">
        <v>0.9845988</v>
      </c>
      <c r="Y8951">
        <v>-0.21972810000000001</v>
      </c>
      <c r="Z8951">
        <v>4.9298889999999998E-3</v>
      </c>
      <c r="AA8951">
        <v>0.97554870000000005</v>
      </c>
      <c r="AB8951">
        <v>26</v>
      </c>
      <c r="AC8951">
        <v>62.261600000000001</v>
      </c>
      <c r="AD8951">
        <v>-1.1254290308803601</v>
      </c>
      <c r="AE8951">
        <v>-3.8635899999999999</v>
      </c>
      <c r="AF8951">
        <v>-13.732537165368401</v>
      </c>
      <c r="AG8951">
        <v>-1.1254290308803601</v>
      </c>
      <c r="AH8951">
        <v>60.830252674654098</v>
      </c>
      <c r="AI8951">
        <v>91.033903706250996</v>
      </c>
      <c r="AJ8951">
        <v>102.72137458227699</v>
      </c>
      <c r="AK8951">
        <v>62.371217784840702</v>
      </c>
      <c r="AL8951">
        <v>84.069357544793604</v>
      </c>
      <c r="AM8951">
        <v>98.151328742536805</v>
      </c>
      <c r="AN8951">
        <v>0.99999999225716496</v>
      </c>
    </row>
    <row r="8952" spans="1:40" x14ac:dyDescent="0.25">
      <c r="A8952" t="str">
        <f>"20190303162126766"</f>
        <v>20190303162126766</v>
      </c>
      <c r="B8952" t="str">
        <f>"1551601286751821"</f>
        <v>1551601286751821</v>
      </c>
      <c r="C8952" t="s">
        <v>40</v>
      </c>
      <c r="D8952">
        <v>4.8127879999999896</v>
      </c>
      <c r="E8952">
        <v>0.46918290000000001</v>
      </c>
      <c r="F8952" t="s">
        <v>90</v>
      </c>
      <c r="G8952">
        <v>-217.20050000000001</v>
      </c>
      <c r="H8952" s="1">
        <v>-2.4099439999999999E-6</v>
      </c>
      <c r="I8952">
        <v>-61.706330000000001</v>
      </c>
      <c r="J8952">
        <v>-283.71140000000003</v>
      </c>
      <c r="K8952">
        <v>1.125373</v>
      </c>
      <c r="L8952">
        <v>-57.611109999999996</v>
      </c>
      <c r="M8952">
        <v>0.96076640000000002</v>
      </c>
      <c r="N8952">
        <v>-1.1737040000000001E-2</v>
      </c>
      <c r="O8952">
        <v>-0.27711049999999998</v>
      </c>
      <c r="P8952">
        <v>0.98567550000000004</v>
      </c>
      <c r="Q8952">
        <v>9.4580590000000006E-2</v>
      </c>
      <c r="R8952">
        <v>-0.1396366</v>
      </c>
      <c r="S8952">
        <v>3.0220340000000001</v>
      </c>
      <c r="T8952">
        <v>-5.1035759999999999E-2</v>
      </c>
      <c r="U8952">
        <v>-0.18728639999999999</v>
      </c>
      <c r="V8952">
        <v>-0.14008019999999999</v>
      </c>
      <c r="W8952">
        <v>0.10470459999999999</v>
      </c>
      <c r="X8952">
        <v>0.98458849999999998</v>
      </c>
      <c r="Y8952">
        <v>-0.2171119</v>
      </c>
      <c r="Z8952">
        <v>4.436415E-3</v>
      </c>
      <c r="AA8952">
        <v>0.97613660000000002</v>
      </c>
      <c r="AB8952">
        <v>26</v>
      </c>
      <c r="AC8952">
        <v>66.510900000000007</v>
      </c>
      <c r="AD8952">
        <v>-1.1253754099440001</v>
      </c>
      <c r="AE8952">
        <v>-4.0952200000000003</v>
      </c>
      <c r="AF8952">
        <v>-14.4931835080446</v>
      </c>
      <c r="AG8952">
        <v>-1.1253754099440001</v>
      </c>
      <c r="AH8952">
        <v>65.022199447990701</v>
      </c>
      <c r="AI8952">
        <v>90.967805515680098</v>
      </c>
      <c r="AJ8952">
        <v>102.565586478706</v>
      </c>
      <c r="AK8952">
        <v>66.6273611894201</v>
      </c>
      <c r="AL8952">
        <v>83.989852515720401</v>
      </c>
      <c r="AM8952">
        <v>98.097291026506298</v>
      </c>
      <c r="AN8952">
        <v>1.00000001501272</v>
      </c>
    </row>
    <row r="8953" spans="1:40" x14ac:dyDescent="0.25">
      <c r="A8953" t="str">
        <f>"20190303162126778"</f>
        <v>20190303162126778</v>
      </c>
      <c r="B8953" t="str">
        <f>"1551601286771341"</f>
        <v>1551601286771341</v>
      </c>
      <c r="C8953" t="s">
        <v>40</v>
      </c>
      <c r="D8953">
        <v>4.7841779999999998</v>
      </c>
      <c r="E8953">
        <v>0.46966530000000001</v>
      </c>
      <c r="F8953" t="s">
        <v>62</v>
      </c>
      <c r="G8953">
        <v>-207.006</v>
      </c>
      <c r="H8953" s="1">
        <v>-2.1334289999999999E-6</v>
      </c>
      <c r="I8953">
        <v>-62.24248</v>
      </c>
      <c r="J8953">
        <v>-283.57600000000002</v>
      </c>
      <c r="K8953">
        <v>1.125294</v>
      </c>
      <c r="L8953">
        <v>-57.646479999999997</v>
      </c>
      <c r="M8953">
        <v>0.9616498</v>
      </c>
      <c r="N8953">
        <v>-1.17298E-2</v>
      </c>
      <c r="O8953">
        <v>-0.27402979999999999</v>
      </c>
      <c r="P8953">
        <v>0.98581929999999995</v>
      </c>
      <c r="Q8953">
        <v>9.6193219999999996E-2</v>
      </c>
      <c r="R8953">
        <v>-0.13750370000000001</v>
      </c>
      <c r="S8953">
        <v>3.0220030000000002</v>
      </c>
      <c r="T8953">
        <v>-4.4337029999999999E-2</v>
      </c>
      <c r="U8953">
        <v>-0.1824646</v>
      </c>
      <c r="V8953">
        <v>-0.13900499999999999</v>
      </c>
      <c r="W8953">
        <v>0.106350399999999</v>
      </c>
      <c r="X8953">
        <v>0.98456449999999995</v>
      </c>
      <c r="Y8953">
        <v>-0.21554690000000001</v>
      </c>
      <c r="Z8953">
        <v>3.5647399999999998E-3</v>
      </c>
      <c r="AA8953">
        <v>0.97648699999999999</v>
      </c>
      <c r="AB8953">
        <v>26</v>
      </c>
      <c r="AC8953">
        <v>76.569999999999993</v>
      </c>
      <c r="AD8953">
        <v>-1.1252961334289999</v>
      </c>
      <c r="AE8953">
        <v>-4.5960000000000001</v>
      </c>
      <c r="AF8953">
        <v>-16.560292833411101</v>
      </c>
      <c r="AG8953">
        <v>-1.1252961334289999</v>
      </c>
      <c r="AH8953">
        <v>74.881994176183895</v>
      </c>
      <c r="AI8953">
        <v>90.840644088088496</v>
      </c>
      <c r="AJ8953">
        <v>102.470353624154</v>
      </c>
      <c r="AK8953">
        <v>76.699560897819197</v>
      </c>
      <c r="AL8953">
        <v>83.895025703456298</v>
      </c>
      <c r="AM8953">
        <v>98.036147698372602</v>
      </c>
      <c r="AN8953">
        <v>1.0000000261327</v>
      </c>
    </row>
    <row r="8954" spans="1:40" x14ac:dyDescent="0.25">
      <c r="A8954" t="str">
        <f>"20190303162126790"</f>
        <v>20190303162126790</v>
      </c>
      <c r="B8954" t="str">
        <f>"1551601286781101"</f>
        <v>1551601286781101</v>
      </c>
      <c r="C8954" t="s">
        <v>40</v>
      </c>
      <c r="D8954">
        <v>4.7650129999999997</v>
      </c>
      <c r="E8954">
        <v>0.47001900000000002</v>
      </c>
      <c r="F8954" t="s">
        <v>62</v>
      </c>
      <c r="G8954">
        <v>-184.31809999999999</v>
      </c>
      <c r="H8954" s="1">
        <v>-9.5108259999999999E-6</v>
      </c>
      <c r="I8954">
        <v>-63.573709999999998</v>
      </c>
      <c r="J8954">
        <v>-283.44560000000001</v>
      </c>
      <c r="K8954">
        <v>1.125208</v>
      </c>
      <c r="L8954">
        <v>-57.680329999999998</v>
      </c>
      <c r="M8954">
        <v>0.96247660000000002</v>
      </c>
      <c r="N8954">
        <v>-1.1722369999999999E-2</v>
      </c>
      <c r="O8954">
        <v>-0.27111220000000003</v>
      </c>
      <c r="P8954">
        <v>0.98594820000000005</v>
      </c>
      <c r="Q8954">
        <v>9.7710679999999994E-2</v>
      </c>
      <c r="R8954">
        <v>-0.1354948</v>
      </c>
      <c r="S8954">
        <v>3.0213320000000001</v>
      </c>
      <c r="T8954">
        <v>-3.4253359999999997E-2</v>
      </c>
      <c r="U8954">
        <v>-0.18041989999999999</v>
      </c>
      <c r="V8954">
        <v>-0.13797419999999999</v>
      </c>
      <c r="W8954">
        <v>0.1079012</v>
      </c>
      <c r="X8954">
        <v>0.98454079999999999</v>
      </c>
      <c r="Y8954">
        <v>-0.21324499999999999</v>
      </c>
      <c r="Z8954">
        <v>2.281993E-3</v>
      </c>
      <c r="AA8954">
        <v>0.97699610000000003</v>
      </c>
      <c r="AB8954">
        <v>26</v>
      </c>
      <c r="AC8954">
        <v>99.127499999999998</v>
      </c>
      <c r="AD8954">
        <v>-1.1252175108260001</v>
      </c>
      <c r="AE8954">
        <v>-5.8933799999999898</v>
      </c>
      <c r="AF8954">
        <v>-21.2011643030187</v>
      </c>
      <c r="AG8954">
        <v>-1.1252175108260001</v>
      </c>
      <c r="AH8954">
        <v>96.999856056527193</v>
      </c>
      <c r="AI8954">
        <v>90.649285871067207</v>
      </c>
      <c r="AJ8954">
        <v>102.32919151148501</v>
      </c>
      <c r="AK8954">
        <v>99.296160838359</v>
      </c>
      <c r="AL8954">
        <v>83.805657387238597</v>
      </c>
      <c r="AM8954">
        <v>97.977514683853499</v>
      </c>
      <c r="AN8954">
        <v>1.00000006784585</v>
      </c>
    </row>
    <row r="8955" spans="1:40" x14ac:dyDescent="0.25">
      <c r="A8955" t="str">
        <f>"20190303162126801"</f>
        <v>20190303162126801</v>
      </c>
      <c r="B8955" t="str">
        <f>"1551601286791837"</f>
        <v>1551601286791837</v>
      </c>
      <c r="C8955" t="s">
        <v>40</v>
      </c>
      <c r="D8955">
        <v>4.6431110000000002</v>
      </c>
      <c r="E8955">
        <v>0.47033849999999999</v>
      </c>
      <c r="F8955" t="s">
        <v>62</v>
      </c>
      <c r="G8955">
        <v>-179.91640000000001</v>
      </c>
      <c r="H8955">
        <v>7.9986489999999993E-2</v>
      </c>
      <c r="I8955">
        <v>-63.77364</v>
      </c>
      <c r="J8955">
        <v>-283.31830000000002</v>
      </c>
      <c r="K8955">
        <v>1.1251150000000001</v>
      </c>
      <c r="L8955">
        <v>-57.713009999999997</v>
      </c>
      <c r="M8955">
        <v>0.96325550000000004</v>
      </c>
      <c r="N8955">
        <v>-1.171429E-2</v>
      </c>
      <c r="O8955">
        <v>-0.2683316</v>
      </c>
      <c r="P8955">
        <v>0.98605339999999997</v>
      </c>
      <c r="Q8955">
        <v>9.9085259999999994E-2</v>
      </c>
      <c r="R8955">
        <v>-0.1337197</v>
      </c>
      <c r="S8955">
        <v>3.0213009999999998</v>
      </c>
      <c r="T8955">
        <v>-3.05028E-2</v>
      </c>
      <c r="U8955">
        <v>-0.17782590000000001</v>
      </c>
      <c r="V8955">
        <v>-0.13685339999999999</v>
      </c>
      <c r="W8955">
        <v>0.1093109</v>
      </c>
      <c r="X8955">
        <v>0.98454169999999996</v>
      </c>
      <c r="Y8955">
        <v>-0.21126249999999999</v>
      </c>
      <c r="Z8955">
        <v>1.8038310000000001E-3</v>
      </c>
      <c r="AA8955">
        <v>0.97742770000000001</v>
      </c>
      <c r="AB8955">
        <v>26</v>
      </c>
      <c r="AC8955">
        <v>103.4019</v>
      </c>
      <c r="AD8955">
        <v>-1.0451285099999901</v>
      </c>
      <c r="AE8955">
        <v>-6.0606299999999997</v>
      </c>
      <c r="AF8955">
        <v>-21.907332483251899</v>
      </c>
      <c r="AG8955">
        <v>-1.0451285099999901</v>
      </c>
      <c r="AH8955">
        <v>101.225336203176</v>
      </c>
      <c r="AI8955">
        <v>90.578160703049207</v>
      </c>
      <c r="AJ8955">
        <v>102.211701263609</v>
      </c>
      <c r="AK8955">
        <v>103.574090387414</v>
      </c>
      <c r="AL8955">
        <v>83.724406758457107</v>
      </c>
      <c r="AM8955">
        <v>97.913528430483197</v>
      </c>
      <c r="AN8955">
        <v>1.00000004249462</v>
      </c>
    </row>
    <row r="8956" spans="1:40" x14ac:dyDescent="0.25">
      <c r="A8956" t="str">
        <f>"20190303162126813"</f>
        <v>20190303162126813</v>
      </c>
      <c r="B8956" t="str">
        <f>"1551601286801597"</f>
        <v>1551601286801597</v>
      </c>
      <c r="C8956" t="s">
        <v>40</v>
      </c>
      <c r="D8956">
        <v>4.6876379999999997</v>
      </c>
      <c r="E8956">
        <v>0.4705568</v>
      </c>
      <c r="F8956" t="s">
        <v>44</v>
      </c>
      <c r="G8956">
        <v>-152.59399999999999</v>
      </c>
      <c r="H8956">
        <v>-0.05</v>
      </c>
      <c r="I8956">
        <v>-65.305279999999996</v>
      </c>
      <c r="J8956">
        <v>-283.1936</v>
      </c>
      <c r="K8956">
        <v>1.125014</v>
      </c>
      <c r="L8956">
        <v>-57.744689999999999</v>
      </c>
      <c r="M8956">
        <v>0.96398329999999999</v>
      </c>
      <c r="N8956">
        <v>-1.170558E-2</v>
      </c>
      <c r="O8956">
        <v>-0.26570579999999999</v>
      </c>
      <c r="P8956">
        <v>0.98622209999999999</v>
      </c>
      <c r="Q8956">
        <v>9.9664299999999997E-2</v>
      </c>
      <c r="R8956">
        <v>-0.13203579999999901</v>
      </c>
      <c r="S8956">
        <v>3.0213619999999999</v>
      </c>
      <c r="T8956">
        <v>-2.715981E-2</v>
      </c>
      <c r="U8956">
        <v>-0.1754761</v>
      </c>
      <c r="V8956">
        <v>-0.13581119999999999</v>
      </c>
      <c r="W8956">
        <v>0.109928</v>
      </c>
      <c r="X8956">
        <v>0.98461719999999997</v>
      </c>
      <c r="Y8956">
        <v>-0.2093605</v>
      </c>
      <c r="Z8956">
        <v>1.3844669999999999E-3</v>
      </c>
      <c r="AA8956">
        <v>0.97783759999999997</v>
      </c>
      <c r="AB8956">
        <v>26</v>
      </c>
      <c r="AC8956">
        <v>130.59960000000001</v>
      </c>
      <c r="AD8956">
        <v>-1.175014</v>
      </c>
      <c r="AE8956">
        <v>-7.5605900000000004</v>
      </c>
      <c r="AF8956">
        <v>-27.4124499777643</v>
      </c>
      <c r="AG8956">
        <v>-1.175014</v>
      </c>
      <c r="AH8956">
        <v>127.903145566674</v>
      </c>
      <c r="AI8956">
        <v>90.514660276966694</v>
      </c>
      <c r="AJ8956">
        <v>102.096741386066</v>
      </c>
      <c r="AK8956">
        <v>130.812987572081</v>
      </c>
      <c r="AL8956">
        <v>83.688834509688704</v>
      </c>
      <c r="AM8956">
        <v>97.853423572721496</v>
      </c>
      <c r="AN8956">
        <v>0.99999993888263805</v>
      </c>
    </row>
    <row r="8957" spans="1:40" x14ac:dyDescent="0.25">
      <c r="A8957" t="str">
        <f>"20190303162126825"</f>
        <v>20190303162126825</v>
      </c>
      <c r="B8957" t="str">
        <f>"1551601286812333"</f>
        <v>1551601286812333</v>
      </c>
      <c r="C8957" t="s">
        <v>40</v>
      </c>
      <c r="D8957">
        <v>4.7361459999999997</v>
      </c>
      <c r="E8957">
        <v>0.47074769999999999</v>
      </c>
      <c r="F8957" t="s">
        <v>65</v>
      </c>
      <c r="G8957">
        <v>-157.3501</v>
      </c>
      <c r="H8957">
        <v>0.13684649999999901</v>
      </c>
      <c r="I8957">
        <v>-64.92801</v>
      </c>
      <c r="J8957">
        <v>-283.05329999999998</v>
      </c>
      <c r="K8957">
        <v>1.1248910000000001</v>
      </c>
      <c r="L8957">
        <v>-57.780180000000001</v>
      </c>
      <c r="M8957">
        <v>0.96477930000000001</v>
      </c>
      <c r="N8957">
        <v>-1.1695809999999999E-2</v>
      </c>
      <c r="O8957">
        <v>-0.2628007</v>
      </c>
      <c r="P8957">
        <v>0.98636349999999995</v>
      </c>
      <c r="Q8957">
        <v>0.10019749999999999</v>
      </c>
      <c r="R8957">
        <v>-0.13056709999999999</v>
      </c>
      <c r="S8957">
        <v>3.02121</v>
      </c>
      <c r="T8957">
        <v>-2.3724080000000002E-2</v>
      </c>
      <c r="U8957">
        <v>-0.17245479999999899</v>
      </c>
      <c r="V8957">
        <v>-0.13426569999999999</v>
      </c>
      <c r="W8957">
        <v>0.1105091</v>
      </c>
      <c r="X8957">
        <v>0.98476419999999998</v>
      </c>
      <c r="Y8957">
        <v>-0.20738870000000001</v>
      </c>
      <c r="Z8957">
        <v>9.6253810000000001E-4</v>
      </c>
      <c r="AA8957">
        <v>0.97825810000000002</v>
      </c>
      <c r="AB8957">
        <v>26</v>
      </c>
      <c r="AC8957">
        <v>125.703199999999</v>
      </c>
      <c r="AD8957">
        <v>-0.98804449999999999</v>
      </c>
      <c r="AE8957">
        <v>-7.1478299999999901</v>
      </c>
      <c r="AF8957">
        <v>-26.1389875175133</v>
      </c>
      <c r="AG8957">
        <v>-0.98804449999999999</v>
      </c>
      <c r="AH8957">
        <v>123.15513392458401</v>
      </c>
      <c r="AI8957">
        <v>90.449644874079098</v>
      </c>
      <c r="AJ8957">
        <v>101.982886516012</v>
      </c>
      <c r="AK8957">
        <v>125.90238247291801</v>
      </c>
      <c r="AL8957">
        <v>83.655336443908794</v>
      </c>
      <c r="AM8957">
        <v>97.764004919730198</v>
      </c>
      <c r="AN8957">
        <v>1.00000003449046</v>
      </c>
    </row>
    <row r="8958" spans="1:40" x14ac:dyDescent="0.25">
      <c r="A8958" t="str">
        <f>"20190303162126835"</f>
        <v>20190303162126835</v>
      </c>
      <c r="B8958" t="str">
        <f>"1551601286822094"</f>
        <v>1551601286822094</v>
      </c>
      <c r="C8958" t="s">
        <v>40</v>
      </c>
      <c r="D8958">
        <v>4.6843859999999999</v>
      </c>
      <c r="E8958">
        <v>0.47092699999999998</v>
      </c>
      <c r="F8958" t="s">
        <v>65</v>
      </c>
      <c r="G8958">
        <v>-157.3501</v>
      </c>
      <c r="H8958">
        <v>0.25372699999999998</v>
      </c>
      <c r="I8958">
        <v>-64.843959999999996</v>
      </c>
      <c r="J8958">
        <v>-282.9271</v>
      </c>
      <c r="K8958">
        <v>1.124757</v>
      </c>
      <c r="L8958">
        <v>-57.81165</v>
      </c>
      <c r="M8958">
        <v>0.9654372</v>
      </c>
      <c r="N8958">
        <v>-1.1685330000000001E-2</v>
      </c>
      <c r="O8958">
        <v>-0.26037339999999998</v>
      </c>
      <c r="P8958">
        <v>0.98638740000000003</v>
      </c>
      <c r="Q8958">
        <v>0.10086290000000001</v>
      </c>
      <c r="R8958">
        <v>-0.12987180000000001</v>
      </c>
      <c r="S8958">
        <v>3.021118</v>
      </c>
      <c r="T8958">
        <v>-2.0937799999999999E-2</v>
      </c>
      <c r="U8958">
        <v>-0.16976930000000001</v>
      </c>
      <c r="V8958">
        <v>-0.13243189999999999</v>
      </c>
      <c r="W8958">
        <v>0.11122700000000001</v>
      </c>
      <c r="X8958">
        <v>0.98493160000000002</v>
      </c>
      <c r="Y8958">
        <v>-0.2057947</v>
      </c>
      <c r="Z8958">
        <v>6.2739480000000003E-4</v>
      </c>
      <c r="AA8958">
        <v>0.97859499999999999</v>
      </c>
      <c r="AB8958">
        <v>26</v>
      </c>
      <c r="AC8958">
        <v>125.577</v>
      </c>
      <c r="AD8958">
        <v>-0.87102999999999997</v>
      </c>
      <c r="AE8958">
        <v>-7.0323099999999901</v>
      </c>
      <c r="AF8958">
        <v>-25.908185239439899</v>
      </c>
      <c r="AG8958">
        <v>-0.87102999999999997</v>
      </c>
      <c r="AH8958">
        <v>123.070244060734</v>
      </c>
      <c r="AI8958">
        <v>90.396807268925301</v>
      </c>
      <c r="AJ8958">
        <v>101.88806075028</v>
      </c>
      <c r="AK8958">
        <v>125.77073478687601</v>
      </c>
      <c r="AL8958">
        <v>83.613948145530998</v>
      </c>
      <c r="AM8958">
        <v>97.657945213498607</v>
      </c>
      <c r="AN8958">
        <v>0.999999955172584</v>
      </c>
    </row>
    <row r="8959" spans="1:40" x14ac:dyDescent="0.25">
      <c r="A8959" t="str">
        <f>"20190303162126865"</f>
        <v>20190303162126865</v>
      </c>
      <c r="B8959" t="str">
        <f>"1551601286851373"</f>
        <v>1551601286851373</v>
      </c>
      <c r="C8959" t="s">
        <v>40</v>
      </c>
      <c r="D8959">
        <v>4.6700730000000004</v>
      </c>
      <c r="E8959">
        <v>0.47131260000000003</v>
      </c>
      <c r="F8959" t="s">
        <v>65</v>
      </c>
      <c r="G8959">
        <v>-157.3501</v>
      </c>
      <c r="H8959">
        <v>0.37622830000000002</v>
      </c>
      <c r="I8959">
        <v>-64.848330000000004</v>
      </c>
      <c r="J8959">
        <v>-282.60849999999999</v>
      </c>
      <c r="K8959">
        <v>1.124404</v>
      </c>
      <c r="L8959">
        <v>-57.890410000000003</v>
      </c>
      <c r="M8959">
        <v>0.96698450000000002</v>
      </c>
      <c r="N8959">
        <v>-1.1658750000000001E-2</v>
      </c>
      <c r="O8959">
        <v>-0.25456839999999997</v>
      </c>
      <c r="P8959">
        <v>0.9863092</v>
      </c>
      <c r="Q8959">
        <v>0.1029297</v>
      </c>
      <c r="R8959">
        <v>-0.12884010000000001</v>
      </c>
      <c r="S8959">
        <v>3.0209959999999998</v>
      </c>
      <c r="T8959">
        <v>-1.8007760000000001E-2</v>
      </c>
      <c r="U8959">
        <v>-0.16928099999999999</v>
      </c>
      <c r="V8959">
        <v>-0.12739739999999999</v>
      </c>
      <c r="W8959">
        <v>0.1134313</v>
      </c>
      <c r="X8959">
        <v>0.9853442</v>
      </c>
      <c r="Y8959">
        <v>-0.20006869999999999</v>
      </c>
      <c r="Z8959">
        <v>2.6803640000000001E-4</v>
      </c>
      <c r="AA8959">
        <v>0.97978180000000004</v>
      </c>
      <c r="AB8959">
        <v>26</v>
      </c>
      <c r="AC8959">
        <v>125.25839999999999</v>
      </c>
      <c r="AD8959">
        <v>-0.7481757</v>
      </c>
      <c r="AE8959">
        <v>-6.9579199999999997</v>
      </c>
      <c r="AF8959">
        <v>-25.159444604092499</v>
      </c>
      <c r="AG8959">
        <v>-0.7481757</v>
      </c>
      <c r="AH8959">
        <v>122.898178564492</v>
      </c>
      <c r="AI8959">
        <v>90.341712339718597</v>
      </c>
      <c r="AJ8959">
        <v>101.569608526588</v>
      </c>
      <c r="AK8959">
        <v>125.449271477096</v>
      </c>
      <c r="AL8959">
        <v>83.486846736369003</v>
      </c>
      <c r="AM8959">
        <v>97.367033156104895</v>
      </c>
      <c r="AN8959">
        <v>0.999999974910044</v>
      </c>
    </row>
    <row r="8960" spans="1:40" x14ac:dyDescent="0.25">
      <c r="A8960" t="str">
        <f>"20190303162126876"</f>
        <v>20190303162126876</v>
      </c>
      <c r="B8960" t="str">
        <f>"1551601286871386"</f>
        <v>1551601286871386</v>
      </c>
      <c r="C8960" t="s">
        <v>40</v>
      </c>
      <c r="D8960">
        <v>4.7765250000000004</v>
      </c>
      <c r="E8960">
        <v>0.47169860000000002</v>
      </c>
      <c r="F8960" t="s">
        <v>65</v>
      </c>
      <c r="G8960">
        <v>-157.3501</v>
      </c>
      <c r="H8960">
        <v>0.66123009999999904</v>
      </c>
      <c r="I8960">
        <v>-64.946939999999998</v>
      </c>
      <c r="J8960">
        <v>-282.47680000000003</v>
      </c>
      <c r="K8960">
        <v>1.1242379999999901</v>
      </c>
      <c r="L8960">
        <v>-57.922519999999999</v>
      </c>
      <c r="M8960">
        <v>0.96754099999999998</v>
      </c>
      <c r="N8960">
        <v>-1.164663E-2</v>
      </c>
      <c r="O8960">
        <v>-0.25244539999999999</v>
      </c>
      <c r="P8960">
        <v>0.98637660000000005</v>
      </c>
      <c r="Q8960">
        <v>0.1037352</v>
      </c>
      <c r="R8960">
        <v>-0.1276716</v>
      </c>
      <c r="S8960">
        <v>3.0205690000000001</v>
      </c>
      <c r="T8960">
        <v>-1.1169790000000001E-2</v>
      </c>
      <c r="U8960">
        <v>-0.17016600000000001</v>
      </c>
      <c r="V8960">
        <v>-0.12633759999999999</v>
      </c>
      <c r="W8960">
        <v>0.11428629999999999</v>
      </c>
      <c r="X8960">
        <v>0.98538190000000003</v>
      </c>
      <c r="Y8960">
        <v>-0.19762479999999999</v>
      </c>
      <c r="Z8960">
        <v>-5.2700369999999998E-4</v>
      </c>
      <c r="AA8960">
        <v>0.98027759999999997</v>
      </c>
      <c r="AB8960">
        <v>26</v>
      </c>
      <c r="AC8960">
        <v>125.1267</v>
      </c>
      <c r="AD8960">
        <v>-0.46300789999999897</v>
      </c>
      <c r="AE8960">
        <v>-7.0244199999999903</v>
      </c>
      <c r="AF8960">
        <v>-24.792589750087402</v>
      </c>
      <c r="AG8960">
        <v>-0.46300789999999897</v>
      </c>
      <c r="AH8960">
        <v>122.84515569959299</v>
      </c>
      <c r="AI8960">
        <v>90.211680925302403</v>
      </c>
      <c r="AJ8960">
        <v>101.410156132748</v>
      </c>
      <c r="AK8960">
        <v>125.32285969323</v>
      </c>
      <c r="AL8960">
        <v>83.437538471002796</v>
      </c>
      <c r="AM8960">
        <v>97.306136355880795</v>
      </c>
      <c r="AN8960">
        <v>1.0000000181945199</v>
      </c>
    </row>
    <row r="8961" spans="1:40" x14ac:dyDescent="0.25">
      <c r="A8961" t="str">
        <f>"20190303162126887"</f>
        <v>20190303162126887</v>
      </c>
      <c r="B8961" t="str">
        <f>"1551601286881475"</f>
        <v>1551601286881475</v>
      </c>
      <c r="C8961" t="s">
        <v>40</v>
      </c>
      <c r="D8961">
        <v>4.6222099999999999</v>
      </c>
      <c r="E8961">
        <v>0.4718309</v>
      </c>
      <c r="F8961" t="s">
        <v>65</v>
      </c>
      <c r="G8961">
        <v>-157.3501</v>
      </c>
      <c r="H8961">
        <v>0.798234</v>
      </c>
      <c r="I8961">
        <v>-64.968609999999998</v>
      </c>
      <c r="J8961">
        <v>-282.35410000000002</v>
      </c>
      <c r="K8961">
        <v>1.1240840000000001</v>
      </c>
      <c r="L8961">
        <v>-57.952359999999999</v>
      </c>
      <c r="M8961">
        <v>0.96804049999999997</v>
      </c>
      <c r="N8961">
        <v>-1.163583E-2</v>
      </c>
      <c r="O8961">
        <v>-0.25052329999999901</v>
      </c>
      <c r="P8961">
        <v>0.98652640000000003</v>
      </c>
      <c r="Q8961">
        <v>0.1038709</v>
      </c>
      <c r="R8961">
        <v>-0.1263976</v>
      </c>
      <c r="S8961">
        <v>3.0202330000000002</v>
      </c>
      <c r="T8961">
        <v>-7.8693630000000007E-3</v>
      </c>
      <c r="U8961">
        <v>-0.17007449999999999</v>
      </c>
      <c r="V8961">
        <v>-0.1256043</v>
      </c>
      <c r="W8961">
        <v>0.11446729999999999</v>
      </c>
      <c r="X8961">
        <v>0.98545459999999996</v>
      </c>
      <c r="Y8961">
        <v>-0.1957006</v>
      </c>
      <c r="Z8961">
        <v>-9.0154129999999995E-4</v>
      </c>
      <c r="AA8961">
        <v>0.98066330000000002</v>
      </c>
      <c r="AB8961">
        <v>26</v>
      </c>
      <c r="AC8961">
        <v>125.004</v>
      </c>
      <c r="AD8961">
        <v>-0.32584999999999997</v>
      </c>
      <c r="AE8961">
        <v>-7.0162499999999897</v>
      </c>
      <c r="AF8961">
        <v>-24.525898044950001</v>
      </c>
      <c r="AG8961">
        <v>-0.32584999999999997</v>
      </c>
      <c r="AH8961">
        <v>122.774165649227</v>
      </c>
      <c r="AI8961">
        <v>90.149119826152997</v>
      </c>
      <c r="AJ8961">
        <v>101.296947928927</v>
      </c>
      <c r="AK8961">
        <v>125.20032589413501</v>
      </c>
      <c r="AL8961">
        <v>83.427099214409495</v>
      </c>
      <c r="AM8961">
        <v>97.263653526496199</v>
      </c>
      <c r="AN8961">
        <v>0.99999998580446903</v>
      </c>
    </row>
    <row r="8962" spans="1:40" x14ac:dyDescent="0.25">
      <c r="A8962" t="str">
        <f>"20190303162126898"</f>
        <v>20190303162126898</v>
      </c>
      <c r="B8962" t="str">
        <f>"1551601286891422"</f>
        <v>1551601286891422</v>
      </c>
      <c r="C8962" t="s">
        <v>40</v>
      </c>
      <c r="D8962">
        <v>4.6043180000000001</v>
      </c>
      <c r="E8962">
        <v>0.47197509999999998</v>
      </c>
      <c r="F8962" t="s">
        <v>65</v>
      </c>
      <c r="G8962">
        <v>-157.3501</v>
      </c>
      <c r="H8962">
        <v>0.80164340000000001</v>
      </c>
      <c r="I8962">
        <v>-64.895480000000006</v>
      </c>
      <c r="J8962">
        <v>-282.2276</v>
      </c>
      <c r="K8962">
        <v>1.123918</v>
      </c>
      <c r="L8962">
        <v>-57.982970000000002</v>
      </c>
      <c r="M8962">
        <v>0.96850789999999998</v>
      </c>
      <c r="N8962">
        <v>-1.1624489999999999E-2</v>
      </c>
      <c r="O8962">
        <v>-0.2487114</v>
      </c>
      <c r="P8962">
        <v>0.98663509999999999</v>
      </c>
      <c r="Q8962">
        <v>0.1042761</v>
      </c>
      <c r="R8962">
        <v>-0.12521199999999999</v>
      </c>
      <c r="S8962">
        <v>3.0202640000000001</v>
      </c>
      <c r="T8962">
        <v>-7.7910419999999998E-3</v>
      </c>
      <c r="U8962">
        <v>-0.16775509999999999</v>
      </c>
      <c r="V8962">
        <v>-0.1248857</v>
      </c>
      <c r="W8962">
        <v>0.1149211</v>
      </c>
      <c r="X8962">
        <v>0.98549310000000001</v>
      </c>
      <c r="Y8962">
        <v>-0.1946167</v>
      </c>
      <c r="Z8962">
        <v>-8.9933889999999897E-4</v>
      </c>
      <c r="AA8962">
        <v>0.9808789</v>
      </c>
      <c r="AB8962">
        <v>26</v>
      </c>
      <c r="AC8962">
        <v>124.8775</v>
      </c>
      <c r="AD8962">
        <v>-0.32227460000000002</v>
      </c>
      <c r="AE8962">
        <v>-6.9125100000000099</v>
      </c>
      <c r="AF8962">
        <v>-24.3651213039882</v>
      </c>
      <c r="AG8962">
        <v>-0.32227460000000002</v>
      </c>
      <c r="AH8962">
        <v>122.671536816106</v>
      </c>
      <c r="AI8962">
        <v>90.147639339365</v>
      </c>
      <c r="AJ8962">
        <v>101.233930476137</v>
      </c>
      <c r="AK8962">
        <v>125.06825713146</v>
      </c>
      <c r="AL8962">
        <v>83.400925585664893</v>
      </c>
      <c r="AM8962">
        <v>97.222258029228797</v>
      </c>
      <c r="AN8962">
        <v>0.99999997371865401</v>
      </c>
    </row>
    <row r="8963" spans="1:40" x14ac:dyDescent="0.25">
      <c r="A8963" t="str">
        <f>"20190303162126909"</f>
        <v>20190303162126909</v>
      </c>
      <c r="B8963" t="str">
        <f>"1551601286901181"</f>
        <v>1551601286901181</v>
      </c>
      <c r="C8963" t="s">
        <v>40</v>
      </c>
      <c r="D8963">
        <v>4.5851860000000002</v>
      </c>
      <c r="E8963">
        <v>0.47216780000000003</v>
      </c>
      <c r="F8963" t="s">
        <v>65</v>
      </c>
      <c r="G8963">
        <v>-157.3501</v>
      </c>
      <c r="H8963">
        <v>0.85820669999999899</v>
      </c>
      <c r="I8963">
        <v>-64.835790000000003</v>
      </c>
      <c r="J8963">
        <v>-282.10849999999999</v>
      </c>
      <c r="K8963">
        <v>1.1237549999999901</v>
      </c>
      <c r="L8963">
        <v>-58.011749999999999</v>
      </c>
      <c r="M8963">
        <v>0.9689198</v>
      </c>
      <c r="N8963">
        <v>-1.1614060000000001E-2</v>
      </c>
      <c r="O8963">
        <v>-0.24710299999999999</v>
      </c>
      <c r="P8963">
        <v>0.98671379999999997</v>
      </c>
      <c r="Q8963">
        <v>0.10503609999999999</v>
      </c>
      <c r="R8963">
        <v>-0.1239493</v>
      </c>
      <c r="S8963">
        <v>3.0202640000000001</v>
      </c>
      <c r="T8963">
        <v>-6.42693E-3</v>
      </c>
      <c r="U8963">
        <v>-0.165741</v>
      </c>
      <c r="V8963">
        <v>-0.1244469</v>
      </c>
      <c r="W8963">
        <v>0.11572440000000001</v>
      </c>
      <c r="X8963">
        <v>0.98545459999999996</v>
      </c>
      <c r="Y8963">
        <v>-0.1936399</v>
      </c>
      <c r="Z8963">
        <v>-1.0436550000000001E-3</v>
      </c>
      <c r="AA8963">
        <v>0.9810721</v>
      </c>
      <c r="AB8963">
        <v>26</v>
      </c>
      <c r="AC8963">
        <v>124.75839999999999</v>
      </c>
      <c r="AD8963">
        <v>-0.26554830000000001</v>
      </c>
      <c r="AE8963">
        <v>-6.8240400000000001</v>
      </c>
      <c r="AF8963">
        <v>-24.217747103114299</v>
      </c>
      <c r="AG8963">
        <v>-0.26554830000000001</v>
      </c>
      <c r="AH8963">
        <v>122.57481628331099</v>
      </c>
      <c r="AI8963">
        <v>90.121772426949704</v>
      </c>
      <c r="AJ8963">
        <v>101.176284547978</v>
      </c>
      <c r="AK8963">
        <v>124.944609237603</v>
      </c>
      <c r="AL8963">
        <v>83.354590703759996</v>
      </c>
      <c r="AM8963">
        <v>97.197426600735398</v>
      </c>
      <c r="AN8963">
        <v>0.99999996816806402</v>
      </c>
    </row>
    <row r="8964" spans="1:40" x14ac:dyDescent="0.25">
      <c r="A8964" t="str">
        <f>"20190303162126920"</f>
        <v>20190303162126920</v>
      </c>
      <c r="B8964" t="str">
        <f>"1551601286911916"</f>
        <v>1551601286911916</v>
      </c>
      <c r="C8964" t="s">
        <v>40</v>
      </c>
      <c r="D8964">
        <v>4.6221209999999999</v>
      </c>
      <c r="E8964">
        <v>0.47228249999999999</v>
      </c>
      <c r="F8964" t="s">
        <v>65</v>
      </c>
      <c r="G8964">
        <v>-157.3501</v>
      </c>
      <c r="H8964">
        <v>0.95998479999999997</v>
      </c>
      <c r="I8964">
        <v>-64.779949999999999</v>
      </c>
      <c r="J8964">
        <v>-281.98439999999999</v>
      </c>
      <c r="K8964">
        <v>1.1235809999999999</v>
      </c>
      <c r="L8964">
        <v>-58.041600000000003</v>
      </c>
      <c r="M8964">
        <v>0.96931210000000001</v>
      </c>
      <c r="N8964">
        <v>-1.160329E-2</v>
      </c>
      <c r="O8964">
        <v>-0.24555930000000001</v>
      </c>
      <c r="P8964">
        <v>0.98678100000000002</v>
      </c>
      <c r="Q8964">
        <v>0.1057498</v>
      </c>
      <c r="R8964">
        <v>-0.1228009</v>
      </c>
      <c r="S8964">
        <v>3.0202330000000002</v>
      </c>
      <c r="T8964">
        <v>-3.9651390000000003E-3</v>
      </c>
      <c r="U8964">
        <v>-0.16384889999999999</v>
      </c>
      <c r="V8964">
        <v>-0.12395689999999999</v>
      </c>
      <c r="W8964">
        <v>0.11648600000000001</v>
      </c>
      <c r="X8964">
        <v>0.98542669999999999</v>
      </c>
      <c r="Y8964">
        <v>-0.19268859999999999</v>
      </c>
      <c r="Z8964">
        <v>-1.3099279999999999E-3</v>
      </c>
      <c r="AA8964">
        <v>0.98125899999999999</v>
      </c>
      <c r="AB8964">
        <v>26</v>
      </c>
      <c r="AC8964">
        <v>124.6343</v>
      </c>
      <c r="AD8964">
        <v>-0.163596199999999</v>
      </c>
      <c r="AE8964">
        <v>-6.7383499999999898</v>
      </c>
      <c r="AF8964">
        <v>-24.075127228025298</v>
      </c>
      <c r="AG8964">
        <v>-0.163596199999999</v>
      </c>
      <c r="AH8964">
        <v>122.472236930953</v>
      </c>
      <c r="AI8964">
        <v>90.075097410591397</v>
      </c>
      <c r="AJ8964">
        <v>101.121184692271</v>
      </c>
      <c r="AK8964">
        <v>124.816214225691</v>
      </c>
      <c r="AL8964">
        <v>83.310657599740594</v>
      </c>
      <c r="AM8964">
        <v>97.1695836248538</v>
      </c>
      <c r="AN8964">
        <v>1.0000000411632399</v>
      </c>
    </row>
    <row r="8965" spans="1:40" x14ac:dyDescent="0.25">
      <c r="A8965" t="str">
        <f>"20190303162126932"</f>
        <v>20190303162126932</v>
      </c>
      <c r="B8965" t="str">
        <f>"1551601286921677"</f>
        <v>1551601286921677</v>
      </c>
      <c r="C8965" t="s">
        <v>40</v>
      </c>
      <c r="D8965">
        <v>4.6002960000000002</v>
      </c>
      <c r="E8965">
        <v>0.47243540000000001</v>
      </c>
      <c r="F8965" t="s">
        <v>65</v>
      </c>
      <c r="G8965">
        <v>-157.3501</v>
      </c>
      <c r="H8965">
        <v>1.0379750000000001</v>
      </c>
      <c r="I8965">
        <v>-64.710989999999995</v>
      </c>
      <c r="J8965">
        <v>-281.85719999999998</v>
      </c>
      <c r="K8965">
        <v>1.1233979999999999</v>
      </c>
      <c r="L8965">
        <v>-58.072110000000002</v>
      </c>
      <c r="M8965">
        <v>0.96967170000000003</v>
      </c>
      <c r="N8965">
        <v>-1.159262E-2</v>
      </c>
      <c r="O8965">
        <v>-0.24413689999999999</v>
      </c>
      <c r="P8965">
        <v>0.98682829999999999</v>
      </c>
      <c r="Q8965">
        <v>0.1067101</v>
      </c>
      <c r="R8965">
        <v>-0.1215861</v>
      </c>
      <c r="S8965">
        <v>3.0202939999999998</v>
      </c>
      <c r="T8965">
        <v>-2.0749570000000001E-3</v>
      </c>
      <c r="U8965">
        <v>-0.16162109999999999</v>
      </c>
      <c r="V8965">
        <v>-0.12364840000000001</v>
      </c>
      <c r="W8965">
        <v>0.11749469999999999</v>
      </c>
      <c r="X8965">
        <v>0.98534569999999999</v>
      </c>
      <c r="Y8965">
        <v>-0.1919709</v>
      </c>
      <c r="Z8965">
        <v>-1.50913E-3</v>
      </c>
      <c r="AA8965">
        <v>0.98139949999999998</v>
      </c>
      <c r="AB8965">
        <v>26</v>
      </c>
      <c r="AC8965">
        <v>124.507099999999</v>
      </c>
      <c r="AD8965">
        <v>-8.5422999999999805E-2</v>
      </c>
      <c r="AE8965">
        <v>-6.6388800000000003</v>
      </c>
      <c r="AF8965">
        <v>-23.960837170010802</v>
      </c>
      <c r="AG8965">
        <v>-8.5422999999999805E-2</v>
      </c>
      <c r="AH8965">
        <v>122.359945921894</v>
      </c>
      <c r="AI8965">
        <v>90.039254275085995</v>
      </c>
      <c r="AJ8965">
        <v>101.07960444738499</v>
      </c>
      <c r="AK8965">
        <v>124.683941953187</v>
      </c>
      <c r="AL8965">
        <v>83.2524637241184</v>
      </c>
      <c r="AM8965">
        <v>97.152507023267304</v>
      </c>
      <c r="AN8965">
        <v>1.0000000399295601</v>
      </c>
    </row>
    <row r="8966" spans="1:40" x14ac:dyDescent="0.25">
      <c r="A8966" t="str">
        <f>"20190303162126943"</f>
        <v>20190303162126943</v>
      </c>
      <c r="B8966" t="str">
        <f>"1551601286931437"</f>
        <v>1551601286931437</v>
      </c>
      <c r="C8966" t="s">
        <v>40</v>
      </c>
      <c r="D8966">
        <v>4.7769690000000002</v>
      </c>
      <c r="E8966">
        <v>0.47243540000000001</v>
      </c>
      <c r="F8966" t="s">
        <v>65</v>
      </c>
      <c r="G8966">
        <v>-157.3501</v>
      </c>
      <c r="H8966">
        <v>1.1520330000000001</v>
      </c>
      <c r="I8966">
        <v>-64.65034</v>
      </c>
      <c r="J8966">
        <v>-281.72919999999999</v>
      </c>
      <c r="K8966">
        <v>1.123208</v>
      </c>
      <c r="L8966">
        <v>-58.10284</v>
      </c>
      <c r="M8966">
        <v>0.97000710000000001</v>
      </c>
      <c r="N8966">
        <v>-1.158233E-2</v>
      </c>
      <c r="O8966">
        <v>-0.2428005</v>
      </c>
      <c r="P8966">
        <v>0.98682879999999995</v>
      </c>
      <c r="Q8966">
        <v>0.10814410000000001</v>
      </c>
      <c r="R8966">
        <v>-0.1203081</v>
      </c>
      <c r="S8966">
        <v>3.0203250000000001</v>
      </c>
      <c r="T8966">
        <v>6.9415570000000003E-4</v>
      </c>
      <c r="U8966">
        <v>-0.15957639999999901</v>
      </c>
      <c r="V8966">
        <v>-0.1234785</v>
      </c>
      <c r="W8966">
        <v>0.1189776</v>
      </c>
      <c r="X8966">
        <v>0.98518899999999998</v>
      </c>
      <c r="Y8966">
        <v>-0.19128010000000001</v>
      </c>
      <c r="Z8966">
        <v>-1.8048700000000001E-3</v>
      </c>
      <c r="AA8966">
        <v>0.98153380000000001</v>
      </c>
      <c r="AB8966">
        <v>26</v>
      </c>
      <c r="AC8966">
        <v>124.37909999999999</v>
      </c>
      <c r="AD8966">
        <v>2.8825000000000101E-2</v>
      </c>
      <c r="AE8966">
        <v>-6.5474999999999897</v>
      </c>
      <c r="AF8966">
        <v>-23.8497846012446</v>
      </c>
      <c r="AG8966">
        <v>2.8825000000000101E-2</v>
      </c>
      <c r="AH8966">
        <v>122.246539361133</v>
      </c>
      <c r="AI8966">
        <v>89.986739996341797</v>
      </c>
      <c r="AJ8966">
        <v>101.039495963308</v>
      </c>
      <c r="AK8966">
        <v>124.551312486779</v>
      </c>
      <c r="AL8966">
        <v>83.166899258870401</v>
      </c>
      <c r="AM8966">
        <v>97.143905010500703</v>
      </c>
      <c r="AN8966">
        <v>0.99999998749250496</v>
      </c>
    </row>
    <row r="8967" spans="1:40" x14ac:dyDescent="0.25">
      <c r="A8967" t="str">
        <f>"20190303162126954"</f>
        <v>20190303162126954</v>
      </c>
      <c r="B8967" t="str">
        <f>"1551601286941197"</f>
        <v>1551601286941197</v>
      </c>
      <c r="C8967" t="s">
        <v>40</v>
      </c>
      <c r="D8967">
        <v>4.5851629999999997</v>
      </c>
      <c r="E8967">
        <v>0.47927360000000002</v>
      </c>
      <c r="F8967" t="s">
        <v>65</v>
      </c>
      <c r="G8967">
        <v>-157.3501</v>
      </c>
      <c r="H8967">
        <v>1.318738</v>
      </c>
      <c r="I8967">
        <v>-64.534480000000002</v>
      </c>
      <c r="J8967">
        <v>-281.60250000000002</v>
      </c>
      <c r="K8967">
        <v>1.1230089999999999</v>
      </c>
      <c r="L8967">
        <v>-58.133180000000003</v>
      </c>
      <c r="M8967">
        <v>0.97028170000000002</v>
      </c>
      <c r="N8967">
        <v>-1.1572580000000001E-2</v>
      </c>
      <c r="O8967">
        <v>-0.24170220000000001</v>
      </c>
      <c r="P8967">
        <v>0.98674450000000002</v>
      </c>
      <c r="Q8967">
        <v>0.1101853</v>
      </c>
      <c r="R8967">
        <v>-0.1191417</v>
      </c>
      <c r="S8967">
        <v>3.0204770000000001</v>
      </c>
      <c r="T8967">
        <v>4.7478679999999997E-3</v>
      </c>
      <c r="U8967">
        <v>-0.15618899999999999</v>
      </c>
      <c r="V8967">
        <v>-0.1234222</v>
      </c>
      <c r="W8967">
        <v>0.1210667</v>
      </c>
      <c r="X8967">
        <v>0.98494150000000003</v>
      </c>
      <c r="Y8967">
        <v>-0.19126660000000001</v>
      </c>
      <c r="Z8967">
        <v>-2.2397039999999999E-3</v>
      </c>
      <c r="AA8967">
        <v>0.98153559999999995</v>
      </c>
      <c r="AB8967">
        <v>26</v>
      </c>
      <c r="AC8967">
        <v>124.25239999999999</v>
      </c>
      <c r="AD8967">
        <v>0.19572899999999999</v>
      </c>
      <c r="AE8967">
        <v>-6.4012999999999902</v>
      </c>
      <c r="AF8967">
        <v>-23.8225450762721</v>
      </c>
      <c r="AG8967">
        <v>0.19572899999999999</v>
      </c>
      <c r="AH8967">
        <v>122.114885555122</v>
      </c>
      <c r="AI8967">
        <v>89.909864025076899</v>
      </c>
      <c r="AJ8967">
        <v>101.038793375458</v>
      </c>
      <c r="AK8967">
        <v>124.41702953331099</v>
      </c>
      <c r="AL8967">
        <v>83.046330950390399</v>
      </c>
      <c r="AM8967">
        <v>97.142457188955603</v>
      </c>
      <c r="AN8967">
        <v>0.99999997186198897</v>
      </c>
    </row>
    <row r="8968" spans="1:40" x14ac:dyDescent="0.25">
      <c r="A8968" t="str">
        <f>"20190303162126966"</f>
        <v>20190303162126966</v>
      </c>
      <c r="B8968" t="str">
        <f>"1551601286951932"</f>
        <v>1551601286951932</v>
      </c>
      <c r="C8968" t="s">
        <v>40</v>
      </c>
      <c r="D8968">
        <v>4.7718879999999997</v>
      </c>
      <c r="E8968">
        <v>0.48078029999999999</v>
      </c>
      <c r="F8968" t="s">
        <v>65</v>
      </c>
      <c r="G8968">
        <v>-168.45060000000001</v>
      </c>
      <c r="H8968">
        <v>0.67679409999999995</v>
      </c>
      <c r="I8968">
        <v>-65.946119999999993</v>
      </c>
      <c r="J8968">
        <v>-281.471</v>
      </c>
      <c r="K8968">
        <v>1.1228039999999999</v>
      </c>
      <c r="L8968">
        <v>-58.164670000000001</v>
      </c>
      <c r="M8968">
        <v>0.97054790000000002</v>
      </c>
      <c r="N8968">
        <v>-1.156302E-2</v>
      </c>
      <c r="O8968">
        <v>-0.24063090000000001</v>
      </c>
      <c r="P8968">
        <v>0.98663469999999998</v>
      </c>
      <c r="Q8968">
        <v>0.1120746</v>
      </c>
      <c r="R8968">
        <v>-0.118286</v>
      </c>
      <c r="S8968">
        <v>3.0164789999999999</v>
      </c>
      <c r="T8968">
        <v>-1.189601E-2</v>
      </c>
      <c r="U8968">
        <v>-0.20828250000000001</v>
      </c>
      <c r="V8968">
        <v>-0.1230821</v>
      </c>
      <c r="W8968">
        <v>0.12300949999999999</v>
      </c>
      <c r="X8968">
        <v>0.98474340000000005</v>
      </c>
      <c r="Y8968">
        <v>-0.1732031</v>
      </c>
      <c r="Z8968">
        <v>-5.2320109999999997E-4</v>
      </c>
      <c r="AA8968">
        <v>0.98488600000000004</v>
      </c>
      <c r="AB8968">
        <v>26</v>
      </c>
      <c r="AC8968">
        <v>113.0204</v>
      </c>
      <c r="AD8968">
        <v>-0.44600990000000001</v>
      </c>
      <c r="AE8968">
        <v>-7.7814499999999898</v>
      </c>
      <c r="AF8968">
        <v>-19.644937918197201</v>
      </c>
      <c r="AG8968">
        <v>-0.44600990000000001</v>
      </c>
      <c r="AH8968">
        <v>111.569889997438</v>
      </c>
      <c r="AI8968">
        <v>90.225573388762498</v>
      </c>
      <c r="AJ8968">
        <v>99.986131563678498</v>
      </c>
      <c r="AK8968">
        <v>113.287081631937</v>
      </c>
      <c r="AL8968">
        <v>82.934178964640907</v>
      </c>
      <c r="AM8968">
        <v>97.124396201878199</v>
      </c>
      <c r="AN8968">
        <v>1.0000000521371</v>
      </c>
    </row>
    <row r="8969" spans="1:40" x14ac:dyDescent="0.25">
      <c r="A8969" t="str">
        <f>"20190303162126978"</f>
        <v>20190303162126978</v>
      </c>
      <c r="B8969" t="str">
        <f>"1551601286971453"</f>
        <v>1551601286971453</v>
      </c>
      <c r="C8969" t="s">
        <v>40</v>
      </c>
      <c r="D8969">
        <v>4.6073690000000003</v>
      </c>
      <c r="E8969">
        <v>0.4821725</v>
      </c>
      <c r="F8969" t="s">
        <v>65</v>
      </c>
      <c r="G8969">
        <v>-168.45060000000001</v>
      </c>
      <c r="H8969">
        <v>0.67608740000000001</v>
      </c>
      <c r="I8969">
        <v>-66.34187</v>
      </c>
      <c r="J8969">
        <v>-281.33589999999998</v>
      </c>
      <c r="K8969">
        <v>1.1225860000000001</v>
      </c>
      <c r="L8969">
        <v>-58.197049999999997</v>
      </c>
      <c r="M8969">
        <v>0.97075820000000002</v>
      </c>
      <c r="N8969">
        <v>-1.155394E-2</v>
      </c>
      <c r="O8969">
        <v>-0.23978140000000001</v>
      </c>
      <c r="P8969">
        <v>0.98654070000000005</v>
      </c>
      <c r="Q8969">
        <v>0.1136244</v>
      </c>
      <c r="R8969">
        <v>-0.1175884</v>
      </c>
      <c r="S8969">
        <v>3.0158390000000002</v>
      </c>
      <c r="T8969">
        <v>-1.1920689999999999E-2</v>
      </c>
      <c r="U8969">
        <v>-0.2182007</v>
      </c>
      <c r="V8969">
        <v>-0.1228117</v>
      </c>
      <c r="W8969">
        <v>0.1246164</v>
      </c>
      <c r="X8969">
        <v>0.98457499999999998</v>
      </c>
      <c r="Y8969">
        <v>-0.16910259999999999</v>
      </c>
      <c r="Z8969">
        <v>-5.4394549999999995E-4</v>
      </c>
      <c r="AA8969">
        <v>0.98559830000000004</v>
      </c>
      <c r="AB8969">
        <v>26</v>
      </c>
      <c r="AC8969">
        <v>112.88529999999901</v>
      </c>
      <c r="AD8969">
        <v>-0.44649860000000002</v>
      </c>
      <c r="AE8969">
        <v>-8.1448199999999993</v>
      </c>
      <c r="AF8969">
        <v>-19.162124389797601</v>
      </c>
      <c r="AG8969">
        <v>-0.44649860000000002</v>
      </c>
      <c r="AH8969">
        <v>111.54301109930999</v>
      </c>
      <c r="AI8969">
        <v>90.226038467228904</v>
      </c>
      <c r="AJ8969">
        <v>99.747769571181706</v>
      </c>
      <c r="AK8969">
        <v>113.177867523781</v>
      </c>
      <c r="AL8969">
        <v>82.841395697029895</v>
      </c>
      <c r="AM8969">
        <v>97.110108323504406</v>
      </c>
      <c r="AN8969">
        <v>0.99999994571542306</v>
      </c>
    </row>
    <row r="8970" spans="1:40" x14ac:dyDescent="0.25">
      <c r="A8970" t="str">
        <f>"20190303162126989"</f>
        <v>20190303162126989</v>
      </c>
      <c r="B8970" t="str">
        <f>"1551601286981213"</f>
        <v>1551601286981213</v>
      </c>
      <c r="C8970" t="s">
        <v>40</v>
      </c>
      <c r="D8970">
        <v>4.7158369999999996</v>
      </c>
      <c r="E8970">
        <v>0.4825796</v>
      </c>
      <c r="F8970" t="s">
        <v>65</v>
      </c>
      <c r="G8970">
        <v>-168.45060000000001</v>
      </c>
      <c r="H8970">
        <v>0.37791629999999998</v>
      </c>
      <c r="I8970">
        <v>-66.724930000000001</v>
      </c>
      <c r="J8970">
        <v>-281.2115</v>
      </c>
      <c r="K8970">
        <v>1.122384</v>
      </c>
      <c r="L8970">
        <v>-58.226959999999998</v>
      </c>
      <c r="M8970">
        <v>0.97092789999999995</v>
      </c>
      <c r="N8970">
        <v>-1.1546320000000001E-2</v>
      </c>
      <c r="O8970">
        <v>-0.23909369999999999</v>
      </c>
      <c r="P8970">
        <v>0.98639189999999999</v>
      </c>
      <c r="Q8970">
        <v>0.1153183</v>
      </c>
      <c r="R8970">
        <v>-0.11718720000000001</v>
      </c>
      <c r="S8970">
        <v>3.016022</v>
      </c>
      <c r="T8970">
        <v>-1.9896270000000001E-2</v>
      </c>
      <c r="U8970">
        <v>-0.2278442</v>
      </c>
      <c r="V8970">
        <v>-0.1224103</v>
      </c>
      <c r="W8970">
        <v>0.1263629</v>
      </c>
      <c r="X8970">
        <v>0.98440240000000001</v>
      </c>
      <c r="Y8970">
        <v>-0.16527269999999999</v>
      </c>
      <c r="Z8970">
        <v>2.7641740000000002E-4</v>
      </c>
      <c r="AA8970">
        <v>0.98624789999999996</v>
      </c>
      <c r="AB8970">
        <v>26</v>
      </c>
      <c r="AC8970">
        <v>112.76090000000001</v>
      </c>
      <c r="AD8970">
        <v>-0.74446769999999995</v>
      </c>
      <c r="AE8970">
        <v>-8.4979700000000005</v>
      </c>
      <c r="AF8970">
        <v>-18.7099400160477</v>
      </c>
      <c r="AG8970">
        <v>-0.74446769999999995</v>
      </c>
      <c r="AH8970">
        <v>111.517109966478</v>
      </c>
      <c r="AI8970">
        <v>90.377218252731097</v>
      </c>
      <c r="AJ8970">
        <v>99.524176012511603</v>
      </c>
      <c r="AK8970">
        <v>113.07821144162099</v>
      </c>
      <c r="AL8970">
        <v>82.740531469181093</v>
      </c>
      <c r="AM8970">
        <v>97.088336186232198</v>
      </c>
      <c r="AN8970">
        <v>0.99999997458412904</v>
      </c>
    </row>
    <row r="8971" spans="1:40" x14ac:dyDescent="0.25">
      <c r="A8971" t="str">
        <f>"20190303162127000"</f>
        <v>20190303162127000</v>
      </c>
      <c r="B8971" t="str">
        <f>"1551601286991949"</f>
        <v>1551601286991949</v>
      </c>
      <c r="C8971" t="s">
        <v>40</v>
      </c>
      <c r="D8971">
        <v>4.7145400000000004</v>
      </c>
      <c r="E8971">
        <v>0.48278759999999998</v>
      </c>
      <c r="F8971" t="s">
        <v>65</v>
      </c>
      <c r="G8971">
        <v>-168.45060000000001</v>
      </c>
      <c r="H8971">
        <v>0.43640420000000002</v>
      </c>
      <c r="I8971">
        <v>-66.821269999999998</v>
      </c>
      <c r="J8971">
        <v>-281.08319999999998</v>
      </c>
      <c r="K8971">
        <v>1.122177</v>
      </c>
      <c r="L8971">
        <v>-58.257840000000002</v>
      </c>
      <c r="M8971">
        <v>0.97106650000000005</v>
      </c>
      <c r="N8971">
        <v>-1.1539310000000001E-2</v>
      </c>
      <c r="O8971">
        <v>-0.23853089999999999</v>
      </c>
      <c r="P8971">
        <v>0.98627739999999997</v>
      </c>
      <c r="Q8971">
        <v>0.1162654</v>
      </c>
      <c r="R8971">
        <v>-0.1172164</v>
      </c>
      <c r="S8971">
        <v>3.016235</v>
      </c>
      <c r="T8971">
        <v>-1.8349770000000001E-2</v>
      </c>
      <c r="U8971">
        <v>-0.22988890000000001</v>
      </c>
      <c r="V8971">
        <v>-0.12172230000000001</v>
      </c>
      <c r="W8971">
        <v>0.1273647</v>
      </c>
      <c r="X8971">
        <v>0.98435859999999997</v>
      </c>
      <c r="Y8971">
        <v>-0.16404179999999999</v>
      </c>
      <c r="Z8971">
        <v>1.0627459999999999E-4</v>
      </c>
      <c r="AA8971">
        <v>0.98645340000000004</v>
      </c>
      <c r="AB8971">
        <v>26</v>
      </c>
      <c r="AC8971">
        <v>112.632599999999</v>
      </c>
      <c r="AD8971">
        <v>-0.68577279999999996</v>
      </c>
      <c r="AE8971">
        <v>-8.5634299999999897</v>
      </c>
      <c r="AF8971">
        <v>-18.5512441587891</v>
      </c>
      <c r="AG8971">
        <v>-0.68577279999999996</v>
      </c>
      <c r="AH8971">
        <v>111.419682909339</v>
      </c>
      <c r="AI8971">
        <v>90.347854670087798</v>
      </c>
      <c r="AJ8971">
        <v>99.452964178417204</v>
      </c>
      <c r="AK8971">
        <v>112.955587218118</v>
      </c>
      <c r="AL8971">
        <v>82.682664961430106</v>
      </c>
      <c r="AM8971">
        <v>97.049208989854293</v>
      </c>
      <c r="AN8971">
        <v>0.99999996925866896</v>
      </c>
    </row>
    <row r="8972" spans="1:40" x14ac:dyDescent="0.25">
      <c r="A8972" t="str">
        <f>"20190303162127014"</f>
        <v>20190303162127014</v>
      </c>
      <c r="B8972" t="str">
        <f>"1551601287001709"</f>
        <v>1551601287001709</v>
      </c>
      <c r="C8972" t="s">
        <v>40</v>
      </c>
      <c r="D8972">
        <v>4.7718069999999999</v>
      </c>
      <c r="E8972">
        <v>0.483103</v>
      </c>
      <c r="F8972" t="s">
        <v>65</v>
      </c>
      <c r="G8972">
        <v>-168.45060000000001</v>
      </c>
      <c r="H8972">
        <v>0.38134099999999999</v>
      </c>
      <c r="I8972">
        <v>-66.906459999999996</v>
      </c>
      <c r="J8972">
        <v>-280.93200000000002</v>
      </c>
      <c r="K8972">
        <v>1.121939</v>
      </c>
      <c r="L8972">
        <v>-58.294310000000003</v>
      </c>
      <c r="M8972">
        <v>0.9711824</v>
      </c>
      <c r="N8972">
        <v>-1.153204E-2</v>
      </c>
      <c r="O8972">
        <v>-0.23805860000000001</v>
      </c>
      <c r="P8972">
        <v>0.98631349999999995</v>
      </c>
      <c r="Q8972">
        <v>0.1160361</v>
      </c>
      <c r="R8972">
        <v>-0.1171391</v>
      </c>
      <c r="S8972">
        <v>3.0165410000000001</v>
      </c>
      <c r="T8972">
        <v>-1.9841669999999999E-2</v>
      </c>
      <c r="U8972">
        <v>-0.23162840000000001</v>
      </c>
      <c r="V8972">
        <v>-0.12125370000000001</v>
      </c>
      <c r="W8972">
        <v>0.12719819999999901</v>
      </c>
      <c r="X8972">
        <v>0.98443800000000004</v>
      </c>
      <c r="Y8972">
        <v>-0.1630037</v>
      </c>
      <c r="Z8972">
        <v>2.5753290000000002E-4</v>
      </c>
      <c r="AA8972">
        <v>0.98662539999999999</v>
      </c>
      <c r="AB8972">
        <v>26</v>
      </c>
      <c r="AC8972">
        <v>112.48139999999999</v>
      </c>
      <c r="AD8972">
        <v>-0.74059799999999998</v>
      </c>
      <c r="AE8972">
        <v>-8.6121499999999997</v>
      </c>
      <c r="AF8972">
        <v>-18.413625707028899</v>
      </c>
      <c r="AG8972">
        <v>-0.74059799999999998</v>
      </c>
      <c r="AH8972">
        <v>111.29274891933299</v>
      </c>
      <c r="AI8972">
        <v>90.376155732357105</v>
      </c>
      <c r="AJ8972">
        <v>99.394603504936697</v>
      </c>
      <c r="AK8972">
        <v>112.808182589287</v>
      </c>
      <c r="AL8972">
        <v>82.692283226337693</v>
      </c>
      <c r="AM8972">
        <v>97.021782057310105</v>
      </c>
      <c r="AN8972">
        <v>1.0000000088454599</v>
      </c>
    </row>
    <row r="8973" spans="1:40" x14ac:dyDescent="0.25">
      <c r="A8973" t="str">
        <f>"20190303162127026"</f>
        <v>20190303162127026</v>
      </c>
      <c r="B8973" t="str">
        <f>"1551601287011469"</f>
        <v>1551601287011469</v>
      </c>
      <c r="C8973" t="s">
        <v>40</v>
      </c>
      <c r="D8973">
        <v>4.5268509999999997</v>
      </c>
      <c r="E8973">
        <v>0.48336980000000002</v>
      </c>
      <c r="F8973" t="s">
        <v>65</v>
      </c>
      <c r="G8973">
        <v>-168.45060000000001</v>
      </c>
      <c r="H8973">
        <v>0.30358790000000002</v>
      </c>
      <c r="I8973">
        <v>-66.997320000000002</v>
      </c>
      <c r="J8973">
        <v>-280.79989999999998</v>
      </c>
      <c r="K8973">
        <v>1.121729</v>
      </c>
      <c r="L8973">
        <v>-58.326259999999998</v>
      </c>
      <c r="M8973">
        <v>0.97126020000000002</v>
      </c>
      <c r="N8973">
        <v>-1.15262E-2</v>
      </c>
      <c r="O8973">
        <v>-0.23774110000000001</v>
      </c>
      <c r="P8973">
        <v>0.98641880000000004</v>
      </c>
      <c r="Q8973">
        <v>0.1148417</v>
      </c>
      <c r="R8973">
        <v>-0.11742809999999999</v>
      </c>
      <c r="S8973">
        <v>3.0165410000000001</v>
      </c>
      <c r="T8973">
        <v>-2.1947149999999999E-2</v>
      </c>
      <c r="U8973">
        <v>-0.23339840000000001</v>
      </c>
      <c r="V8973">
        <v>-0.1206127</v>
      </c>
      <c r="W8973">
        <v>0.12606019999999901</v>
      </c>
      <c r="X8973">
        <v>0.98466310000000001</v>
      </c>
      <c r="Y8973">
        <v>-0.1621049</v>
      </c>
      <c r="Z8973">
        <v>4.7259480000000001E-4</v>
      </c>
      <c r="AA8973">
        <v>0.98677340000000002</v>
      </c>
      <c r="AB8973">
        <v>26</v>
      </c>
      <c r="AC8973">
        <v>112.349299999999</v>
      </c>
      <c r="AD8973">
        <v>-0.81814109999999995</v>
      </c>
      <c r="AE8973">
        <v>-8.6710600000000007</v>
      </c>
      <c r="AF8973">
        <v>-18.2884410116236</v>
      </c>
      <c r="AG8973">
        <v>-0.81814109999999995</v>
      </c>
      <c r="AH8973">
        <v>111.183392705507</v>
      </c>
      <c r="AI8973">
        <v>90.416012227546901</v>
      </c>
      <c r="AJ8973">
        <v>99.340878544786904</v>
      </c>
      <c r="AK8973">
        <v>112.680447474272</v>
      </c>
      <c r="AL8973">
        <v>82.7580149598368</v>
      </c>
      <c r="AM8973">
        <v>96.983448466671803</v>
      </c>
      <c r="AN8973">
        <v>1.00000000896347</v>
      </c>
    </row>
    <row r="8974" spans="1:40" x14ac:dyDescent="0.25">
      <c r="A8974" t="str">
        <f>"20190303162127036"</f>
        <v>20190303162127036</v>
      </c>
      <c r="B8974" t="str">
        <f>"1551601287031572"</f>
        <v>1551601287031572</v>
      </c>
      <c r="C8974" t="s">
        <v>40</v>
      </c>
      <c r="D8974">
        <v>4.6480739999999896</v>
      </c>
      <c r="E8974">
        <v>0.48391220000000001</v>
      </c>
      <c r="F8974" t="s">
        <v>65</v>
      </c>
      <c r="G8974">
        <v>-168.45060000000001</v>
      </c>
      <c r="H8974">
        <v>7.1243290000000001E-2</v>
      </c>
      <c r="I8974">
        <v>-67.112350000000006</v>
      </c>
      <c r="J8974">
        <v>-280.67430000000002</v>
      </c>
      <c r="K8974">
        <v>1.1215280000000001</v>
      </c>
      <c r="L8974">
        <v>-58.356780000000001</v>
      </c>
      <c r="M8974">
        <v>0.97128119999999996</v>
      </c>
      <c r="N8974">
        <v>-1.152151E-2</v>
      </c>
      <c r="O8974">
        <v>-0.2376559</v>
      </c>
      <c r="P8974">
        <v>0.98665749999999997</v>
      </c>
      <c r="Q8974">
        <v>0.112687</v>
      </c>
      <c r="R8974">
        <v>-0.11751109999999999</v>
      </c>
      <c r="S8974">
        <v>3.0165099999999998</v>
      </c>
      <c r="T8974">
        <v>-2.820539E-2</v>
      </c>
      <c r="U8974">
        <v>-0.2359009</v>
      </c>
      <c r="V8974">
        <v>-0.12044530000000001</v>
      </c>
      <c r="W8974">
        <v>0.12395730000000001</v>
      </c>
      <c r="X8974">
        <v>0.98495049999999995</v>
      </c>
      <c r="Y8974">
        <v>-0.16120100000000001</v>
      </c>
      <c r="Z8974">
        <v>1.119742E-3</v>
      </c>
      <c r="AA8974">
        <v>0.98692100000000005</v>
      </c>
      <c r="AB8974">
        <v>26</v>
      </c>
      <c r="AC8974">
        <v>112.22369999999999</v>
      </c>
      <c r="AD8974">
        <v>-1.0502847099999999</v>
      </c>
      <c r="AE8974">
        <v>-8.7555699999999899</v>
      </c>
      <c r="AF8974">
        <v>-18.1661260636359</v>
      </c>
      <c r="AG8974">
        <v>-1.0502847099999999</v>
      </c>
      <c r="AH8974">
        <v>111.079272610502</v>
      </c>
      <c r="AI8974">
        <v>90.534629030147201</v>
      </c>
      <c r="AJ8974">
        <v>99.288042709826101</v>
      </c>
      <c r="AK8974">
        <v>112.5598331458</v>
      </c>
      <c r="AL8974">
        <v>82.879454724136494</v>
      </c>
      <c r="AM8974">
        <v>96.971836675102296</v>
      </c>
      <c r="AN8974">
        <v>0.99999998498281395</v>
      </c>
    </row>
    <row r="8975" spans="1:40" x14ac:dyDescent="0.25">
      <c r="A8975" t="str">
        <f>"20190303162127048"</f>
        <v>20190303162127048</v>
      </c>
      <c r="B8975" t="str">
        <f>"1551601287041584"</f>
        <v>1551601287041584</v>
      </c>
      <c r="C8975" t="s">
        <v>40</v>
      </c>
      <c r="D8975">
        <v>4.7616449999999997</v>
      </c>
      <c r="E8975">
        <v>0.48408279999999898</v>
      </c>
      <c r="F8975" t="s">
        <v>62</v>
      </c>
      <c r="G8975">
        <v>-198.01859999999999</v>
      </c>
      <c r="H8975" s="1">
        <v>-6.7785749999999997E-6</v>
      </c>
      <c r="I8975">
        <v>-64.940869999999904</v>
      </c>
      <c r="J8975">
        <v>-280.54309999999998</v>
      </c>
      <c r="K8975">
        <v>1.1213280000000001</v>
      </c>
      <c r="L8975">
        <v>-58.38879</v>
      </c>
      <c r="M8975">
        <v>0.97128579999999998</v>
      </c>
      <c r="N8975">
        <v>-1.1517009999999999E-2</v>
      </c>
      <c r="O8975">
        <v>-0.2376373</v>
      </c>
      <c r="P8975">
        <v>0.98694459999999995</v>
      </c>
      <c r="Q8975">
        <v>0.11008510000000001</v>
      </c>
      <c r="R8975">
        <v>-0.11756460000000001</v>
      </c>
      <c r="S8975">
        <v>3.016632</v>
      </c>
      <c r="T8975">
        <v>-4.093194E-2</v>
      </c>
      <c r="U8975">
        <v>-0.24029539999999999</v>
      </c>
      <c r="V8975">
        <v>-0.1203858</v>
      </c>
      <c r="W8975">
        <v>0.1214094</v>
      </c>
      <c r="X8975">
        <v>0.98527509999999996</v>
      </c>
      <c r="Y8975">
        <v>-0.1597451</v>
      </c>
      <c r="Z8975">
        <v>2.432722E-3</v>
      </c>
      <c r="AA8975">
        <v>0.98715529999999996</v>
      </c>
      <c r="AB8975">
        <v>26</v>
      </c>
      <c r="AC8975">
        <v>82.524499999999904</v>
      </c>
      <c r="AD8975">
        <v>-1.1213347785750001</v>
      </c>
      <c r="AE8975">
        <v>-6.5520799999999797</v>
      </c>
      <c r="AF8975">
        <v>-13.2454039964957</v>
      </c>
      <c r="AG8975">
        <v>-1.1213347785750001</v>
      </c>
      <c r="AH8975">
        <v>81.702313517448303</v>
      </c>
      <c r="AI8975">
        <v>90.776182065563603</v>
      </c>
      <c r="AJ8975">
        <v>99.208553079773694</v>
      </c>
      <c r="AK8975">
        <v>82.776603897595606</v>
      </c>
      <c r="AL8975">
        <v>83.026549987407606</v>
      </c>
      <c r="AM8975">
        <v>96.966153262682994</v>
      </c>
      <c r="AN8975">
        <v>1.000000002965</v>
      </c>
    </row>
    <row r="8976" spans="1:40" x14ac:dyDescent="0.25">
      <c r="A8976" t="str">
        <f>"20190303162127058"</f>
        <v>20190303162127058</v>
      </c>
      <c r="B8976" t="str">
        <f>"1551601287051157"</f>
        <v>1551601287051157</v>
      </c>
      <c r="C8976" t="s">
        <v>40</v>
      </c>
      <c r="D8976">
        <v>4.628857</v>
      </c>
      <c r="E8976">
        <v>0.48435319999999998</v>
      </c>
      <c r="F8976" t="s">
        <v>90</v>
      </c>
      <c r="G8976">
        <v>-213.29409999999999</v>
      </c>
      <c r="H8976" s="1">
        <v>-1.2834760000000001E-6</v>
      </c>
      <c r="I8976">
        <v>-63.770919999999997</v>
      </c>
      <c r="J8976">
        <v>-280.42290000000003</v>
      </c>
      <c r="K8976">
        <v>1.121146</v>
      </c>
      <c r="L8976">
        <v>-58.418210000000002</v>
      </c>
      <c r="M8976">
        <v>0.97125530000000004</v>
      </c>
      <c r="N8976">
        <v>-1.1513590000000001E-2</v>
      </c>
      <c r="O8976">
        <v>-0.237762</v>
      </c>
      <c r="P8976">
        <v>0.98720669999999999</v>
      </c>
      <c r="Q8976">
        <v>0.1073943</v>
      </c>
      <c r="R8976">
        <v>-0.1178541</v>
      </c>
      <c r="S8976">
        <v>3.0165410000000001</v>
      </c>
      <c r="T8976">
        <v>-5.029869E-2</v>
      </c>
      <c r="U8976">
        <v>-0.24142459999999999</v>
      </c>
      <c r="V8976">
        <v>-0.12024550000000001</v>
      </c>
      <c r="W8976">
        <v>0.1187665</v>
      </c>
      <c r="X8976">
        <v>0.98561430000000005</v>
      </c>
      <c r="Y8976">
        <v>-0.15948970000000001</v>
      </c>
      <c r="Z8976">
        <v>3.407415E-3</v>
      </c>
      <c r="AA8976">
        <v>0.98719369999999995</v>
      </c>
      <c r="AB8976">
        <v>26</v>
      </c>
      <c r="AC8976">
        <v>67.128799999999998</v>
      </c>
      <c r="AD8976">
        <v>-1.1211472834759999</v>
      </c>
      <c r="AE8976">
        <v>-5.3527100000000001</v>
      </c>
      <c r="AF8976">
        <v>-10.7595598628681</v>
      </c>
      <c r="AG8976">
        <v>-1.1211472834759999</v>
      </c>
      <c r="AH8976">
        <v>66.457853318461304</v>
      </c>
      <c r="AI8976">
        <v>90.954070249379697</v>
      </c>
      <c r="AJ8976">
        <v>99.196418092411704</v>
      </c>
      <c r="AK8976">
        <v>67.332543152416306</v>
      </c>
      <c r="AL8976">
        <v>83.179080890646105</v>
      </c>
      <c r="AM8976">
        <v>96.955743223983603</v>
      </c>
      <c r="AN8976">
        <v>1.0000000050784901</v>
      </c>
    </row>
    <row r="8977" spans="1:40" x14ac:dyDescent="0.25">
      <c r="A8977" t="str">
        <f>"20190303162127069"</f>
        <v>20190303162127069</v>
      </c>
      <c r="B8977" t="str">
        <f>"1551601287061261"</f>
        <v>1551601287061261</v>
      </c>
      <c r="C8977" t="s">
        <v>40</v>
      </c>
      <c r="D8977">
        <v>4.8194429999999997</v>
      </c>
      <c r="E8977">
        <v>0.48460330000000001</v>
      </c>
      <c r="F8977" t="s">
        <v>91</v>
      </c>
      <c r="G8977">
        <v>-224.8038</v>
      </c>
      <c r="H8977" s="1">
        <v>-1.7422229999999901E-6</v>
      </c>
      <c r="I8977">
        <v>-62.917189999999998</v>
      </c>
      <c r="J8977">
        <v>-280.31569999999999</v>
      </c>
      <c r="K8977">
        <v>1.120984</v>
      </c>
      <c r="L8977">
        <v>-58.44455</v>
      </c>
      <c r="M8977">
        <v>0.9712113</v>
      </c>
      <c r="N8977">
        <v>-1.1510919999999999E-2</v>
      </c>
      <c r="O8977">
        <v>-0.23794129999999999</v>
      </c>
      <c r="P8977">
        <v>0.9875642</v>
      </c>
      <c r="Q8977">
        <v>0.103976399999999</v>
      </c>
      <c r="R8977">
        <v>-0.1179224</v>
      </c>
      <c r="S8977">
        <v>3.016327</v>
      </c>
      <c r="T8977">
        <v>-6.0801979999999999E-2</v>
      </c>
      <c r="U8977">
        <v>-0.24398800000000001</v>
      </c>
      <c r="V8977">
        <v>-0.1204066</v>
      </c>
      <c r="W8977">
        <v>0.11539240000000001</v>
      </c>
      <c r="X8977">
        <v>0.98599539999999997</v>
      </c>
      <c r="Y8977">
        <v>-0.15881429999999999</v>
      </c>
      <c r="Z8977">
        <v>4.4943300000000004E-3</v>
      </c>
      <c r="AA8977">
        <v>0.98729829999999996</v>
      </c>
      <c r="AB8977">
        <v>26</v>
      </c>
      <c r="AC8977">
        <v>55.511899999999997</v>
      </c>
      <c r="AD8977">
        <v>-1.1209857422229901</v>
      </c>
      <c r="AE8977">
        <v>-4.4726400000000002</v>
      </c>
      <c r="AF8977">
        <v>-8.8616923711498394</v>
      </c>
      <c r="AG8977">
        <v>-1.1209857422229901</v>
      </c>
      <c r="AH8977">
        <v>54.959387432520401</v>
      </c>
      <c r="AI8977">
        <v>91.153582793588697</v>
      </c>
      <c r="AJ8977">
        <v>99.159578254508006</v>
      </c>
      <c r="AK8977">
        <v>55.680521438587903</v>
      </c>
      <c r="AL8977">
        <v>83.373741690238504</v>
      </c>
      <c r="AM8977">
        <v>96.962305144903098</v>
      </c>
      <c r="AN8977">
        <v>1.0000000420612301</v>
      </c>
    </row>
    <row r="8978" spans="1:40" x14ac:dyDescent="0.25">
      <c r="A8978" t="str">
        <f>"20190303162127079"</f>
        <v>20190303162127079</v>
      </c>
      <c r="B8978" t="str">
        <f>"1551601287071244"</f>
        <v>1551601287071244</v>
      </c>
      <c r="C8978" t="s">
        <v>40</v>
      </c>
      <c r="D8978">
        <v>4.8822650000000003</v>
      </c>
      <c r="E8978">
        <v>0.48481429999999998</v>
      </c>
      <c r="F8978" t="s">
        <v>89</v>
      </c>
      <c r="G8978">
        <v>-233.49289999999999</v>
      </c>
      <c r="H8978" s="1">
        <v>-9.8490390000000005E-7</v>
      </c>
      <c r="I8978">
        <v>-62.26023</v>
      </c>
      <c r="J8978">
        <v>-280.20089999999999</v>
      </c>
      <c r="K8978">
        <v>1.120819</v>
      </c>
      <c r="L8978">
        <v>-58.472900000000003</v>
      </c>
      <c r="M8978">
        <v>0.97113709999999998</v>
      </c>
      <c r="N8978">
        <v>-1.1508640000000001E-2</v>
      </c>
      <c r="O8978">
        <v>-0.23824490000000001</v>
      </c>
      <c r="P8978">
        <v>0.98786890000000005</v>
      </c>
      <c r="Q8978">
        <v>0.1007198</v>
      </c>
      <c r="R8978">
        <v>-0.1181989</v>
      </c>
      <c r="S8978">
        <v>3.0160520000000002</v>
      </c>
      <c r="T8978">
        <v>-7.220733E-2</v>
      </c>
      <c r="U8978">
        <v>-0.2457886</v>
      </c>
      <c r="V8978">
        <v>-0.1204803</v>
      </c>
      <c r="W8978">
        <v>0.1121809</v>
      </c>
      <c r="X8978">
        <v>0.98635689999999998</v>
      </c>
      <c r="Y8978">
        <v>-0.1585047</v>
      </c>
      <c r="Z8978">
        <v>5.6821390000000001E-3</v>
      </c>
      <c r="AA8978">
        <v>0.98734189999999999</v>
      </c>
      <c r="AB8978">
        <v>26</v>
      </c>
      <c r="AC8978">
        <v>46.707999999999998</v>
      </c>
      <c r="AD8978">
        <v>-1.12081998490389</v>
      </c>
      <c r="AE8978">
        <v>-3.7873299999999999</v>
      </c>
      <c r="AF8978">
        <v>-7.4461585703370403</v>
      </c>
      <c r="AG8978">
        <v>-1.12081998490389</v>
      </c>
      <c r="AH8978">
        <v>46.2387882031001</v>
      </c>
      <c r="AI8978">
        <v>91.370912322008706</v>
      </c>
      <c r="AJ8978">
        <v>99.148203601422793</v>
      </c>
      <c r="AK8978">
        <v>46.847914034504399</v>
      </c>
      <c r="AL8978">
        <v>83.558949750796899</v>
      </c>
      <c r="AM8978">
        <v>96.963996699708602</v>
      </c>
      <c r="AN8978">
        <v>0.99999999559525499</v>
      </c>
    </row>
    <row r="8979" spans="1:40" x14ac:dyDescent="0.25">
      <c r="A8979" t="str">
        <f>"20190303162127088"</f>
        <v>20190303162127088</v>
      </c>
      <c r="B8979" t="str">
        <f>"1551601287081980"</f>
        <v>1551601287081980</v>
      </c>
      <c r="C8979" t="s">
        <v>40</v>
      </c>
      <c r="D8979">
        <v>4.7617440000000002</v>
      </c>
      <c r="E8979">
        <v>0.48497289999999998</v>
      </c>
      <c r="F8979" t="s">
        <v>89</v>
      </c>
      <c r="G8979">
        <v>-239.2294</v>
      </c>
      <c r="H8979" s="1">
        <v>-3.273443E-6</v>
      </c>
      <c r="I8979">
        <v>-61.84131</v>
      </c>
      <c r="J8979">
        <v>-280.08800000000002</v>
      </c>
      <c r="K8979">
        <v>1.1206609999999999</v>
      </c>
      <c r="L8979">
        <v>-58.500920000000001</v>
      </c>
      <c r="M8979">
        <v>0.97104880000000005</v>
      </c>
      <c r="N8979">
        <v>-1.150673E-2</v>
      </c>
      <c r="O8979">
        <v>-0.2386046</v>
      </c>
      <c r="P8979">
        <v>0.98817659999999996</v>
      </c>
      <c r="Q8979">
        <v>9.7321080000000004E-2</v>
      </c>
      <c r="R8979">
        <v>-0.118475</v>
      </c>
      <c r="S8979">
        <v>3.0155639999999999</v>
      </c>
      <c r="T8979">
        <v>-8.249426E-2</v>
      </c>
      <c r="U8979">
        <v>-0.2479248</v>
      </c>
      <c r="V8979">
        <v>-0.1206168</v>
      </c>
      <c r="W8979">
        <v>0.10882559999999999</v>
      </c>
      <c r="X8979">
        <v>0.98671600000000004</v>
      </c>
      <c r="Y8979">
        <v>-0.1581351</v>
      </c>
      <c r="Z8979">
        <v>6.7544650000000003E-3</v>
      </c>
      <c r="AA8979">
        <v>0.98739440000000001</v>
      </c>
      <c r="AB8979">
        <v>26</v>
      </c>
      <c r="AC8979">
        <v>40.858599999999903</v>
      </c>
      <c r="AD8979">
        <v>-1.1206642734429999</v>
      </c>
      <c r="AE8979">
        <v>-3.3403900000000002</v>
      </c>
      <c r="AF8979">
        <v>-6.5009397348899203</v>
      </c>
      <c r="AG8979">
        <v>-1.1206642734429999</v>
      </c>
      <c r="AH8979">
        <v>40.445175457592299</v>
      </c>
      <c r="AI8979">
        <v>91.567055003296801</v>
      </c>
      <c r="AJ8979">
        <v>99.131311973381003</v>
      </c>
      <c r="AK8979">
        <v>40.979633034543703</v>
      </c>
      <c r="AL8979">
        <v>83.752378659192402</v>
      </c>
      <c r="AM8979">
        <v>96.969296734959897</v>
      </c>
      <c r="AN8979">
        <v>0.99999994415679805</v>
      </c>
    </row>
    <row r="8980" spans="1:40" x14ac:dyDescent="0.25">
      <c r="A8980" t="str">
        <f>"20190303162127099"</f>
        <v>20190303162127099</v>
      </c>
      <c r="B8980" t="str">
        <f>"1551601287091740"</f>
        <v>1551601287091740</v>
      </c>
      <c r="C8980" t="s">
        <v>40</v>
      </c>
      <c r="D8980">
        <v>4.7677809999999896</v>
      </c>
      <c r="E8980">
        <v>0.48508200000000001</v>
      </c>
      <c r="F8980" t="s">
        <v>88</v>
      </c>
      <c r="G8980">
        <v>-243.67400000000001</v>
      </c>
      <c r="H8980" s="1">
        <v>-8.6451249999999997E-7</v>
      </c>
      <c r="I8980">
        <v>-61.515790000000003</v>
      </c>
      <c r="J8980">
        <v>-279.96660000000003</v>
      </c>
      <c r="K8980">
        <v>1.120492</v>
      </c>
      <c r="L8980">
        <v>-58.531190000000002</v>
      </c>
      <c r="M8980">
        <v>0.97092780000000001</v>
      </c>
      <c r="N8980">
        <v>-1.150523E-2</v>
      </c>
      <c r="O8980">
        <v>-0.239097</v>
      </c>
      <c r="P8980">
        <v>0.98844270000000001</v>
      </c>
      <c r="Q8980">
        <v>9.4322059999999999E-2</v>
      </c>
      <c r="R8980">
        <v>-0.11868040000000001</v>
      </c>
      <c r="S8980">
        <v>3.0150450000000002</v>
      </c>
      <c r="T8980">
        <v>-9.2789650000000001E-2</v>
      </c>
      <c r="U8980">
        <v>-0.24963379999999999</v>
      </c>
      <c r="V8980">
        <v>-0.12094829999999999</v>
      </c>
      <c r="W8980">
        <v>0.1058711</v>
      </c>
      <c r="X8980">
        <v>0.98699689999999995</v>
      </c>
      <c r="Y8980">
        <v>-0.1580336</v>
      </c>
      <c r="Z8980">
        <v>7.8370880000000007E-3</v>
      </c>
      <c r="AA8980">
        <v>0.98740260000000002</v>
      </c>
      <c r="AB8980">
        <v>26</v>
      </c>
      <c r="AC8980">
        <v>36.2926</v>
      </c>
      <c r="AD8980">
        <v>-1.1204928645125001</v>
      </c>
      <c r="AE8980">
        <v>-2.9845999999999999</v>
      </c>
      <c r="AF8980">
        <v>-5.7745343910632201</v>
      </c>
      <c r="AG8980">
        <v>-1.1204928645125001</v>
      </c>
      <c r="AH8980">
        <v>35.919464884336399</v>
      </c>
      <c r="AI8980">
        <v>91.764102275326294</v>
      </c>
      <c r="AJ8980">
        <v>99.132918233578195</v>
      </c>
      <c r="AK8980">
        <v>36.397921771305498</v>
      </c>
      <c r="AL8980">
        <v>83.922643520157706</v>
      </c>
      <c r="AM8980">
        <v>96.986292615905597</v>
      </c>
      <c r="AN8980">
        <v>1.0000000308488499</v>
      </c>
    </row>
    <row r="8981" spans="1:40" x14ac:dyDescent="0.25">
      <c r="A8981" t="str">
        <f>"20190303162127111"</f>
        <v>20190303162127111</v>
      </c>
      <c r="B8981" t="str">
        <f>"1551601287101501"</f>
        <v>1551601287101501</v>
      </c>
      <c r="C8981" t="s">
        <v>40</v>
      </c>
      <c r="D8981">
        <v>4.6669260000000001</v>
      </c>
      <c r="E8981">
        <v>0.4852667</v>
      </c>
      <c r="F8981" t="s">
        <v>88</v>
      </c>
      <c r="G8981">
        <v>-246.51230000000001</v>
      </c>
      <c r="H8981" s="1">
        <v>-2.0279710000000002E-6</v>
      </c>
      <c r="I8981">
        <v>-61.312260000000002</v>
      </c>
      <c r="J8981">
        <v>-279.84010000000001</v>
      </c>
      <c r="K8981">
        <v>1.1203430000000001</v>
      </c>
      <c r="L8981">
        <v>-58.562869999999997</v>
      </c>
      <c r="M8981">
        <v>0.97078319999999996</v>
      </c>
      <c r="N8981">
        <v>-1.1504E-2</v>
      </c>
      <c r="O8981">
        <v>-0.23968149999999999</v>
      </c>
      <c r="P8981">
        <v>0.9886914</v>
      </c>
      <c r="Q8981">
        <v>9.1526839999999998E-2</v>
      </c>
      <c r="R8981">
        <v>-0.1187926</v>
      </c>
      <c r="S8981">
        <v>3.0145870000000001</v>
      </c>
      <c r="T8981">
        <v>-0.1009684</v>
      </c>
      <c r="U8981">
        <v>-0.25061040000000001</v>
      </c>
      <c r="V8981">
        <v>-0.1214636</v>
      </c>
      <c r="W8981">
        <v>0.10311910000000001</v>
      </c>
      <c r="X8981">
        <v>0.98722489999999996</v>
      </c>
      <c r="Y8981">
        <v>-0.15826899999999999</v>
      </c>
      <c r="Z8981">
        <v>8.7106630000000004E-3</v>
      </c>
      <c r="AA8981">
        <v>0.98735759999999995</v>
      </c>
      <c r="AB8981">
        <v>26</v>
      </c>
      <c r="AC8981">
        <v>33.327800000000003</v>
      </c>
      <c r="AD8981">
        <v>-1.1203450279709899</v>
      </c>
      <c r="AE8981">
        <v>-2.7493899999999898</v>
      </c>
      <c r="AF8981">
        <v>-5.3133848732053899</v>
      </c>
      <c r="AG8981">
        <v>-1.1203450279709899</v>
      </c>
      <c r="AH8981">
        <v>32.978223322545396</v>
      </c>
      <c r="AI8981">
        <v>91.920964754139703</v>
      </c>
      <c r="AJ8981">
        <v>99.152722900032899</v>
      </c>
      <c r="AK8981">
        <v>33.422304607914</v>
      </c>
      <c r="AL8981">
        <v>84.081189220469199</v>
      </c>
      <c r="AM8981">
        <v>97.014157538397896</v>
      </c>
      <c r="AN8981">
        <v>0.99999997904488902</v>
      </c>
    </row>
    <row r="8982" spans="1:40" x14ac:dyDescent="0.25">
      <c r="A8982" t="str">
        <f>"20190303162127121"</f>
        <v>20190303162127121</v>
      </c>
      <c r="B8982" t="str">
        <f>"1551601287111262"</f>
        <v>1551601287111262</v>
      </c>
      <c r="C8982" t="s">
        <v>40</v>
      </c>
      <c r="D8982">
        <v>4.6921249999999999</v>
      </c>
      <c r="E8982">
        <v>0.48550199999999999</v>
      </c>
      <c r="F8982" t="s">
        <v>88</v>
      </c>
      <c r="G8982">
        <v>-249.4342</v>
      </c>
      <c r="H8982" s="1">
        <v>-3.2123000000000001E-6</v>
      </c>
      <c r="I8982">
        <v>-61.103679999999997</v>
      </c>
      <c r="J8982">
        <v>-279.71170000000001</v>
      </c>
      <c r="K8982">
        <v>1.1202049999999999</v>
      </c>
      <c r="L8982">
        <v>-58.595210000000002</v>
      </c>
      <c r="M8982">
        <v>0.97061960000000003</v>
      </c>
      <c r="N8982">
        <v>-1.1503009999999999E-2</v>
      </c>
      <c r="O8982">
        <v>-0.24034459999999999</v>
      </c>
      <c r="P8982">
        <v>0.98885509999999999</v>
      </c>
      <c r="Q8982">
        <v>8.92815E-2</v>
      </c>
      <c r="R8982">
        <v>-0.11914130000000001</v>
      </c>
      <c r="S8982">
        <v>3.014313</v>
      </c>
      <c r="T8982">
        <v>-0.1110666</v>
      </c>
      <c r="U8982">
        <v>-0.25189210000000001</v>
      </c>
      <c r="V8982">
        <v>-0.1218114</v>
      </c>
      <c r="W8982">
        <v>0.1009149</v>
      </c>
      <c r="X8982">
        <v>0.9874098</v>
      </c>
      <c r="Y8982">
        <v>-0.15847890000000001</v>
      </c>
      <c r="Z8982">
        <v>9.7899739999999999E-3</v>
      </c>
      <c r="AA8982">
        <v>0.98731380000000002</v>
      </c>
      <c r="AB8982">
        <v>26</v>
      </c>
      <c r="AC8982">
        <v>30.2775</v>
      </c>
      <c r="AD8982">
        <v>-1.1202082122999999</v>
      </c>
      <c r="AE8982">
        <v>-2.50847</v>
      </c>
      <c r="AF8982">
        <v>-4.8360085912999597</v>
      </c>
      <c r="AG8982">
        <v>-1.1202082122999999</v>
      </c>
      <c r="AH8982">
        <v>29.9520921609288</v>
      </c>
      <c r="AI8982">
        <v>92.114505240160398</v>
      </c>
      <c r="AJ8982">
        <v>99.171717305776298</v>
      </c>
      <c r="AK8982">
        <v>30.360659912966401</v>
      </c>
      <c r="AL8982">
        <v>84.208142937219506</v>
      </c>
      <c r="AM8982">
        <v>97.032737040768694</v>
      </c>
      <c r="AN8982">
        <v>0.99999997367400395</v>
      </c>
    </row>
    <row r="8983" spans="1:40" x14ac:dyDescent="0.25">
      <c r="A8983" t="str">
        <f>"20190303162127134"</f>
        <v>20190303162127134</v>
      </c>
      <c r="B8983" t="str">
        <f>"1551601287121021"</f>
        <v>1551601287121021</v>
      </c>
      <c r="C8983" t="s">
        <v>40</v>
      </c>
      <c r="D8983">
        <v>4.4401359999999999</v>
      </c>
      <c r="E8983">
        <v>0.48565970000000003</v>
      </c>
      <c r="F8983" t="s">
        <v>87</v>
      </c>
      <c r="G8983">
        <v>-250.7022</v>
      </c>
      <c r="H8983" s="1">
        <v>4.1658450000000001E-7</v>
      </c>
      <c r="I8983">
        <v>-61.040179999999999</v>
      </c>
      <c r="J8983">
        <v>-279.57650000000001</v>
      </c>
      <c r="K8983">
        <v>1.1200829999999999</v>
      </c>
      <c r="L8983">
        <v>-58.629489999999997</v>
      </c>
      <c r="M8983">
        <v>0.97042700000000004</v>
      </c>
      <c r="N8983">
        <v>-1.150193E-2</v>
      </c>
      <c r="O8983">
        <v>-0.24112140000000001</v>
      </c>
      <c r="P8983">
        <v>0.98900529999999998</v>
      </c>
      <c r="Q8983">
        <v>8.697038E-2</v>
      </c>
      <c r="R8983">
        <v>-0.1196026</v>
      </c>
      <c r="S8983">
        <v>3.0136720000000001</v>
      </c>
      <c r="T8983">
        <v>-0.1163734</v>
      </c>
      <c r="U8983">
        <v>-0.2539978</v>
      </c>
      <c r="V8983">
        <v>-0.122169899999999</v>
      </c>
      <c r="W8983">
        <v>9.8638400000000001E-2</v>
      </c>
      <c r="X8983">
        <v>0.98759560000000002</v>
      </c>
      <c r="Y8983">
        <v>-0.15854360000000001</v>
      </c>
      <c r="Z8983">
        <v>1.037078E-2</v>
      </c>
      <c r="AA8983">
        <v>0.98729750000000005</v>
      </c>
      <c r="AB8983">
        <v>26</v>
      </c>
      <c r="AC8983">
        <v>28.874300000000002</v>
      </c>
      <c r="AD8983">
        <v>-1.1200825834154999</v>
      </c>
      <c r="AE8983">
        <v>-2.4106900000000002</v>
      </c>
      <c r="AF8983">
        <v>-4.6162195223673201</v>
      </c>
      <c r="AG8983">
        <v>-1.1200825834154999</v>
      </c>
      <c r="AH8983">
        <v>28.5608751159082</v>
      </c>
      <c r="AI8983">
        <v>92.217096154613898</v>
      </c>
      <c r="AJ8983">
        <v>99.181168569960903</v>
      </c>
      <c r="AK8983">
        <v>28.953197665523199</v>
      </c>
      <c r="AL8983">
        <v>84.3392313578818</v>
      </c>
      <c r="AM8983">
        <v>97.051913149002601</v>
      </c>
      <c r="AN8983">
        <v>1.0000000437799601</v>
      </c>
    </row>
    <row r="8984" spans="1:40" x14ac:dyDescent="0.25">
      <c r="A8984" t="str">
        <f>"20190303162127147"</f>
        <v>20190303162127147</v>
      </c>
      <c r="B8984" t="str">
        <f>"1551601287141516"</f>
        <v>1551601287141516</v>
      </c>
      <c r="C8984" t="s">
        <v>40</v>
      </c>
      <c r="D8984">
        <v>4.6856260000000001</v>
      </c>
      <c r="E8984">
        <v>0.48605130000000002</v>
      </c>
      <c r="F8984" t="s">
        <v>87</v>
      </c>
      <c r="G8984">
        <v>-251.66239999999999</v>
      </c>
      <c r="H8984" s="1">
        <v>1.364492E-8</v>
      </c>
      <c r="I8984">
        <v>-60.999890000000001</v>
      </c>
      <c r="J8984">
        <v>-279.43689999999998</v>
      </c>
      <c r="K8984">
        <v>1.119977</v>
      </c>
      <c r="L8984">
        <v>-58.665010000000002</v>
      </c>
      <c r="M8984">
        <v>0.97021900000000005</v>
      </c>
      <c r="N8984">
        <v>-1.150057E-2</v>
      </c>
      <c r="O8984">
        <v>-0.2419568</v>
      </c>
      <c r="P8984">
        <v>0.98910900000000002</v>
      </c>
      <c r="Q8984">
        <v>8.4624980000000002E-2</v>
      </c>
      <c r="R8984">
        <v>-0.12042559999999999</v>
      </c>
      <c r="S8984">
        <v>3.0130309999999998</v>
      </c>
      <c r="T8984">
        <v>-0.12090090000000001</v>
      </c>
      <c r="U8984">
        <v>-0.25585940000000001</v>
      </c>
      <c r="V8984">
        <v>-0.1222293</v>
      </c>
      <c r="W8984">
        <v>9.6323939999999997E-2</v>
      </c>
      <c r="X8984">
        <v>0.98781660000000004</v>
      </c>
      <c r="Y8984">
        <v>-0.15874939999999901</v>
      </c>
      <c r="Z8984">
        <v>1.0877589999999999E-2</v>
      </c>
      <c r="AA8984">
        <v>0.987259</v>
      </c>
      <c r="AB8984">
        <v>26</v>
      </c>
      <c r="AC8984">
        <v>27.7744999999999</v>
      </c>
      <c r="AD8984">
        <v>-1.1199769863550799</v>
      </c>
      <c r="AE8984">
        <v>-2.3348800000000001</v>
      </c>
      <c r="AF8984">
        <v>-4.4479964776803502</v>
      </c>
      <c r="AG8984">
        <v>-1.1199769863550799</v>
      </c>
      <c r="AH8984">
        <v>27.469750783205999</v>
      </c>
      <c r="AI8984">
        <v>92.304743582887298</v>
      </c>
      <c r="AJ8984">
        <v>99.197698596188999</v>
      </c>
      <c r="AK8984">
        <v>27.850066951568898</v>
      </c>
      <c r="AL8984">
        <v>84.472474348283598</v>
      </c>
      <c r="AM8984">
        <v>97.0537447488053</v>
      </c>
      <c r="AN8984">
        <v>0.99999996921558598</v>
      </c>
    </row>
    <row r="8985" spans="1:40" x14ac:dyDescent="0.25">
      <c r="A8985" t="str">
        <f>"20190303162127158"</f>
        <v>20190303162127158</v>
      </c>
      <c r="B8985" t="str">
        <f>"1551601287151276"</f>
        <v>1551601287151276</v>
      </c>
      <c r="C8985" t="s">
        <v>40</v>
      </c>
      <c r="D8985">
        <v>4.6267290000000001</v>
      </c>
      <c r="E8985">
        <v>0.48618240000000001</v>
      </c>
      <c r="F8985" t="s">
        <v>87</v>
      </c>
      <c r="G8985">
        <v>-252.70859999999999</v>
      </c>
      <c r="H8985" s="1">
        <v>-4.3046110000000002E-7</v>
      </c>
      <c r="I8985">
        <v>-60.978729999999999</v>
      </c>
      <c r="J8985">
        <v>-279.30799999999999</v>
      </c>
      <c r="K8985">
        <v>1.1199159999999999</v>
      </c>
      <c r="L8985">
        <v>-58.698090000000001</v>
      </c>
      <c r="M8985">
        <v>0.97001420000000005</v>
      </c>
      <c r="N8985">
        <v>-1.149874E-2</v>
      </c>
      <c r="O8985">
        <v>-0.24277689999999999</v>
      </c>
      <c r="P8985">
        <v>0.98920350000000001</v>
      </c>
      <c r="Q8985">
        <v>8.2278499999999893E-2</v>
      </c>
      <c r="R8985">
        <v>-0.1212724</v>
      </c>
      <c r="S8985">
        <v>3.0121150000000001</v>
      </c>
      <c r="T8985">
        <v>-0.1262144</v>
      </c>
      <c r="U8985">
        <v>-0.26074219999999998</v>
      </c>
      <c r="V8985">
        <v>-0.1222599</v>
      </c>
      <c r="W8985">
        <v>9.3995659999999995E-2</v>
      </c>
      <c r="X8985">
        <v>0.9880371</v>
      </c>
      <c r="Y8985">
        <v>-0.15794530000000001</v>
      </c>
      <c r="Z8985">
        <v>1.144359E-2</v>
      </c>
      <c r="AA8985">
        <v>0.98738159999999997</v>
      </c>
      <c r="AB8985">
        <v>26</v>
      </c>
      <c r="AC8985">
        <v>26.599399999999999</v>
      </c>
      <c r="AD8985">
        <v>-1.1199164304611</v>
      </c>
      <c r="AE8985">
        <v>-2.28064</v>
      </c>
      <c r="AF8985">
        <v>-4.2382883014345101</v>
      </c>
      <c r="AG8985">
        <v>-1.1199164304611</v>
      </c>
      <c r="AH8985">
        <v>26.310919625801802</v>
      </c>
      <c r="AI8985">
        <v>92.406323614936497</v>
      </c>
      <c r="AJ8985">
        <v>99.150867706082295</v>
      </c>
      <c r="AK8985">
        <v>26.673616029565501</v>
      </c>
      <c r="AL8985">
        <v>84.606483239399694</v>
      </c>
      <c r="AM8985">
        <v>97.053934143739298</v>
      </c>
      <c r="AN8985">
        <v>0.99999998911162702</v>
      </c>
    </row>
    <row r="8986" spans="1:40" x14ac:dyDescent="0.25">
      <c r="A8986" t="str">
        <f>"20190303162127170"</f>
        <v>20190303162127170</v>
      </c>
      <c r="B8986" t="str">
        <f>"1551601287162013"</f>
        <v>1551601287162013</v>
      </c>
      <c r="C8986" t="s">
        <v>40</v>
      </c>
      <c r="D8986">
        <v>4.6989710000000002</v>
      </c>
      <c r="E8986">
        <v>0.48633759999999998</v>
      </c>
      <c r="F8986" t="s">
        <v>87</v>
      </c>
      <c r="G8986">
        <v>-253.90889999999999</v>
      </c>
      <c r="H8986" s="1">
        <v>-9.3287240000000004E-7</v>
      </c>
      <c r="I8986">
        <v>-60.922460000000001</v>
      </c>
      <c r="J8986">
        <v>-279.16590000000002</v>
      </c>
      <c r="K8986">
        <v>1.119874</v>
      </c>
      <c r="L8986">
        <v>-58.734679999999997</v>
      </c>
      <c r="M8986">
        <v>0.96978489999999995</v>
      </c>
      <c r="N8986">
        <v>-1.149638E-2</v>
      </c>
      <c r="O8986">
        <v>-0.2436905</v>
      </c>
      <c r="P8986">
        <v>0.98917390000000005</v>
      </c>
      <c r="Q8986">
        <v>8.0826949999999995E-2</v>
      </c>
      <c r="R8986">
        <v>-0.12248339999999899</v>
      </c>
      <c r="S8986">
        <v>3.011444</v>
      </c>
      <c r="T8986">
        <v>-0.13278319999999999</v>
      </c>
      <c r="U8986">
        <v>-0.26373289999999999</v>
      </c>
      <c r="V8986">
        <v>-0.12200320000000001</v>
      </c>
      <c r="W8986">
        <v>9.2557159999999999E-2</v>
      </c>
      <c r="X8986">
        <v>0.98820469999999905</v>
      </c>
      <c r="Y8986">
        <v>-0.1578503</v>
      </c>
      <c r="Z8986">
        <v>1.2166039999999999E-2</v>
      </c>
      <c r="AA8986">
        <v>0.98738809999999999</v>
      </c>
      <c r="AB8986">
        <v>26</v>
      </c>
      <c r="AC8986">
        <v>25.257000000000001</v>
      </c>
      <c r="AD8986">
        <v>-1.11987493287239</v>
      </c>
      <c r="AE8986">
        <v>-2.1877799999999898</v>
      </c>
      <c r="AF8986">
        <v>-4.0256262515660497</v>
      </c>
      <c r="AG8986">
        <v>-1.11987493287239</v>
      </c>
      <c r="AH8986">
        <v>24.979908854993901</v>
      </c>
      <c r="AI8986">
        <v>92.534255874494505</v>
      </c>
      <c r="AJ8986">
        <v>99.154765557570002</v>
      </c>
      <c r="AK8986">
        <v>25.326974414374401</v>
      </c>
      <c r="AL8986">
        <v>84.689264555216496</v>
      </c>
      <c r="AM8986">
        <v>97.038090375223703</v>
      </c>
      <c r="AN8986">
        <v>1.0000000688897901</v>
      </c>
    </row>
    <row r="8987" spans="1:40" x14ac:dyDescent="0.25">
      <c r="A8987" t="str">
        <f>"20190303162127183"</f>
        <v>20190303162127183</v>
      </c>
      <c r="B8987" t="str">
        <f>"1551601287171773"</f>
        <v>1551601287171773</v>
      </c>
      <c r="C8987" t="s">
        <v>40</v>
      </c>
      <c r="D8987">
        <v>4.7045719999999998</v>
      </c>
      <c r="E8987">
        <v>0.48653190000000002</v>
      </c>
      <c r="F8987" t="s">
        <v>87</v>
      </c>
      <c r="G8987">
        <v>-254.37960000000001</v>
      </c>
      <c r="H8987" s="1">
        <v>-1.1395080000000001E-6</v>
      </c>
      <c r="I8987">
        <v>-60.943600000000004</v>
      </c>
      <c r="J8987">
        <v>-279.0179</v>
      </c>
      <c r="K8987">
        <v>1.119853</v>
      </c>
      <c r="L8987">
        <v>-58.7729199999999</v>
      </c>
      <c r="M8987">
        <v>0.9695416</v>
      </c>
      <c r="N8987">
        <v>-1.149354E-2</v>
      </c>
      <c r="O8987">
        <v>-0.2446574</v>
      </c>
      <c r="P8987">
        <v>0.98909570000000002</v>
      </c>
      <c r="Q8987">
        <v>8.0422170000000001E-2</v>
      </c>
      <c r="R8987">
        <v>-0.12337919999999999</v>
      </c>
      <c r="S8987">
        <v>3.0107119999999998</v>
      </c>
      <c r="T8987">
        <v>-0.1360277</v>
      </c>
      <c r="U8987">
        <v>-0.26831050000000001</v>
      </c>
      <c r="V8987">
        <v>-0.12209730000000001</v>
      </c>
      <c r="W8987">
        <v>9.2157859999999994E-2</v>
      </c>
      <c r="X8987">
        <v>0.98823030000000001</v>
      </c>
      <c r="Y8987">
        <v>-0.15730759999999999</v>
      </c>
      <c r="Z8987">
        <v>1.2527999999999999E-2</v>
      </c>
      <c r="AA8987">
        <v>0.98747019999999996</v>
      </c>
      <c r="AB8987">
        <v>26</v>
      </c>
      <c r="AC8987">
        <v>24.638299999999902</v>
      </c>
      <c r="AD8987">
        <v>-1.1198541395079999</v>
      </c>
      <c r="AE8987">
        <v>-2.1706800000000102</v>
      </c>
      <c r="AF8987">
        <v>-3.9156097094469402</v>
      </c>
      <c r="AG8987">
        <v>-1.1198541395079999</v>
      </c>
      <c r="AH8987">
        <v>24.3705811155302</v>
      </c>
      <c r="AI8987">
        <v>92.597682301143195</v>
      </c>
      <c r="AJ8987">
        <v>99.127676478553795</v>
      </c>
      <c r="AK8987">
        <v>24.7085267994498</v>
      </c>
      <c r="AL8987">
        <v>84.712240457672607</v>
      </c>
      <c r="AM8987">
        <v>97.0432836607079</v>
      </c>
      <c r="AN8987">
        <v>0.99999997383257899</v>
      </c>
    </row>
    <row r="8988" spans="1:40" x14ac:dyDescent="0.25">
      <c r="A8988" t="str">
        <f>"20190303162127196"</f>
        <v>20190303162127196</v>
      </c>
      <c r="B8988" t="str">
        <f>"1551601287181532"</f>
        <v>1551601287181532</v>
      </c>
      <c r="C8988" t="s">
        <v>40</v>
      </c>
      <c r="D8988">
        <v>4.7272379999999998</v>
      </c>
      <c r="E8988">
        <v>0.48672199999999999</v>
      </c>
      <c r="F8988" t="s">
        <v>87</v>
      </c>
      <c r="G8988">
        <v>-254.18510000000001</v>
      </c>
      <c r="H8988" s="1">
        <v>-1.0731510000000001E-6</v>
      </c>
      <c r="I8988">
        <v>-61.020339999999997</v>
      </c>
      <c r="J8988">
        <v>-278.88130000000001</v>
      </c>
      <c r="K8988">
        <v>1.119869</v>
      </c>
      <c r="L8988">
        <v>-58.808410000000002</v>
      </c>
      <c r="M8988">
        <v>0.96931730000000005</v>
      </c>
      <c r="N8988">
        <v>-1.1490820000000001E-2</v>
      </c>
      <c r="O8988">
        <v>-0.24554480000000001</v>
      </c>
      <c r="P8988">
        <v>0.98881799999999997</v>
      </c>
      <c r="Q8988">
        <v>8.1952960000000005E-2</v>
      </c>
      <c r="R8988">
        <v>-0.1245903</v>
      </c>
      <c r="S8988">
        <v>3.0101930000000001</v>
      </c>
      <c r="T8988">
        <v>-0.13574739999999999</v>
      </c>
      <c r="U8988">
        <v>-0.27243040000000002</v>
      </c>
      <c r="V8988">
        <v>-0.12175709999999999</v>
      </c>
      <c r="W8988">
        <v>9.3681860000000006E-2</v>
      </c>
      <c r="X8988">
        <v>0.98812900000000004</v>
      </c>
      <c r="Y8988">
        <v>-0.15685729999999901</v>
      </c>
      <c r="Z8988">
        <v>1.2515500000000001E-2</v>
      </c>
      <c r="AA8988">
        <v>0.98754200000000003</v>
      </c>
      <c r="AB8988">
        <v>26</v>
      </c>
      <c r="AC8988">
        <v>24.696200000000001</v>
      </c>
      <c r="AD8988">
        <v>-1.1198700731510001</v>
      </c>
      <c r="AE8988">
        <v>-2.2119300000000002</v>
      </c>
      <c r="AF8988">
        <v>-3.9122391691993799</v>
      </c>
      <c r="AG8988">
        <v>-1.1198700731510001</v>
      </c>
      <c r="AH8988">
        <v>24.433353215793801</v>
      </c>
      <c r="AI8988">
        <v>92.59127731964</v>
      </c>
      <c r="AJ8988">
        <v>99.096913570096604</v>
      </c>
      <c r="AK8988">
        <v>24.769910651140801</v>
      </c>
      <c r="AL8988">
        <v>84.624542409350894</v>
      </c>
      <c r="AM8988">
        <v>97.024568108344297</v>
      </c>
      <c r="AN8988">
        <v>1.0000000014672299</v>
      </c>
    </row>
    <row r="8989" spans="1:40" x14ac:dyDescent="0.25">
      <c r="A8989" t="str">
        <f>"20190303162127208"</f>
        <v>20190303162127208</v>
      </c>
      <c r="B8989" t="str">
        <f>"1551601287202030"</f>
        <v>1551601287202030</v>
      </c>
      <c r="C8989" t="s">
        <v>40</v>
      </c>
      <c r="D8989">
        <v>4.722505</v>
      </c>
      <c r="E8989">
        <v>0.49143399999999998</v>
      </c>
      <c r="F8989" t="s">
        <v>87</v>
      </c>
      <c r="G8989">
        <v>-253.03989999999999</v>
      </c>
      <c r="H8989" s="1">
        <v>-6.2020000000000001E-7</v>
      </c>
      <c r="I8989">
        <v>-61.192799999999998</v>
      </c>
      <c r="J8989">
        <v>-278.73630000000003</v>
      </c>
      <c r="K8989">
        <v>1.1198999999999999</v>
      </c>
      <c r="L8989">
        <v>-58.84619</v>
      </c>
      <c r="M8989">
        <v>0.96908059999999996</v>
      </c>
      <c r="N8989">
        <v>-1.148803E-2</v>
      </c>
      <c r="O8989">
        <v>-0.246477</v>
      </c>
      <c r="P8989">
        <v>0.98843449999999999</v>
      </c>
      <c r="Q8989">
        <v>8.4667270000000003E-2</v>
      </c>
      <c r="R8989">
        <v>-0.12581249999999999</v>
      </c>
      <c r="S8989">
        <v>3.009735</v>
      </c>
      <c r="T8989">
        <v>-0.13043089999999999</v>
      </c>
      <c r="U8989">
        <v>-0.27771000000000001</v>
      </c>
      <c r="V8989">
        <v>-0.1214254</v>
      </c>
      <c r="W8989">
        <v>9.6384209999999998E-2</v>
      </c>
      <c r="X8989">
        <v>0.98790990000000001</v>
      </c>
      <c r="Y8989">
        <v>-0.156103399999999</v>
      </c>
      <c r="Z8989">
        <v>1.195824E-2</v>
      </c>
      <c r="AA8989">
        <v>0.98766830000000005</v>
      </c>
      <c r="AB8989">
        <v>26</v>
      </c>
      <c r="AC8989">
        <v>25.696400000000001</v>
      </c>
      <c r="AD8989">
        <v>-1.1199006201999999</v>
      </c>
      <c r="AE8989">
        <v>-2.3466099999999899</v>
      </c>
      <c r="AF8989">
        <v>-4.0521520984436403</v>
      </c>
      <c r="AG8989">
        <v>-1.1199006201999999</v>
      </c>
      <c r="AH8989">
        <v>25.434038800026801</v>
      </c>
      <c r="AI8989">
        <v>92.489833252613394</v>
      </c>
      <c r="AJ8989">
        <v>99.052286552461695</v>
      </c>
      <c r="AK8989">
        <v>25.779147458931099</v>
      </c>
      <c r="AL8989">
        <v>84.469005199286102</v>
      </c>
      <c r="AM8989">
        <v>97.007159934624596</v>
      </c>
      <c r="AN8989">
        <v>1.00000000711024</v>
      </c>
    </row>
    <row r="8990" spans="1:40" x14ac:dyDescent="0.25">
      <c r="A8990" t="str">
        <f>"20190303162127222"</f>
        <v>20190303162127222</v>
      </c>
      <c r="B8990" t="str">
        <f>"1551601287211789"</f>
        <v>1551601287211789</v>
      </c>
      <c r="C8990" t="s">
        <v>40</v>
      </c>
      <c r="D8990">
        <v>6.1765489999999996</v>
      </c>
      <c r="E8990">
        <v>0.49136760000000002</v>
      </c>
      <c r="F8990" t="s">
        <v>91</v>
      </c>
      <c r="G8990">
        <v>-224.03</v>
      </c>
      <c r="H8990" s="1">
        <v>-1.7919989999999999E-6</v>
      </c>
      <c r="I8990">
        <v>-64.633859999999999</v>
      </c>
      <c r="J8990">
        <v>-278.56909999999999</v>
      </c>
      <c r="K8990">
        <v>1.119964</v>
      </c>
      <c r="L8990">
        <v>-58.889890000000001</v>
      </c>
      <c r="M8990">
        <v>0.9688137</v>
      </c>
      <c r="N8990">
        <v>-1.1485169999999999E-2</v>
      </c>
      <c r="O8990">
        <v>-0.24752399999999999</v>
      </c>
      <c r="P8990">
        <v>0.98757899999999998</v>
      </c>
      <c r="Q8990">
        <v>9.1117589999999998E-2</v>
      </c>
      <c r="R8990">
        <v>-0.1280056</v>
      </c>
      <c r="S8990">
        <v>2.9999690000000001</v>
      </c>
      <c r="T8990">
        <v>-6.1412929999999998E-2</v>
      </c>
      <c r="U8990">
        <v>-0.31738280000000002</v>
      </c>
      <c r="V8990">
        <v>-0.1201493</v>
      </c>
      <c r="W8990">
        <v>0.1028109</v>
      </c>
      <c r="X8990">
        <v>0.98741789999999996</v>
      </c>
      <c r="Y8990">
        <v>-0.14417729999999901</v>
      </c>
      <c r="Z8990">
        <v>4.4313870000000002E-3</v>
      </c>
      <c r="AA8990">
        <v>0.98954189999999997</v>
      </c>
      <c r="AB8990">
        <v>26</v>
      </c>
      <c r="AC8990">
        <v>54.539099999999898</v>
      </c>
      <c r="AD8990">
        <v>-1.119965791999</v>
      </c>
      <c r="AE8990">
        <v>-5.7439699999999903</v>
      </c>
      <c r="AF8990">
        <v>-7.9321144543119102</v>
      </c>
      <c r="AG8990">
        <v>-1.119965791999</v>
      </c>
      <c r="AH8990">
        <v>54.240954105104002</v>
      </c>
      <c r="AI8990">
        <v>91.170428179826899</v>
      </c>
      <c r="AJ8990">
        <v>98.319873209566396</v>
      </c>
      <c r="AK8990">
        <v>54.829315747358599</v>
      </c>
      <c r="AL8990">
        <v>84.098942393698806</v>
      </c>
      <c r="AM8990">
        <v>96.937661535757698</v>
      </c>
      <c r="AN8990">
        <v>1.00000002234485</v>
      </c>
    </row>
    <row r="8991" spans="1:40" x14ac:dyDescent="0.25">
      <c r="A8991" t="str">
        <f>"20190303162127234"</f>
        <v>20190303162127234</v>
      </c>
      <c r="B8991" t="str">
        <f>"1551601287222524"</f>
        <v>1551601287222524</v>
      </c>
      <c r="C8991" t="s">
        <v>40</v>
      </c>
      <c r="D8991">
        <v>4.7296360000000002</v>
      </c>
      <c r="E8991">
        <v>0.49138019999999999</v>
      </c>
      <c r="F8991" t="s">
        <v>62</v>
      </c>
      <c r="G8991">
        <v>-180.9143</v>
      </c>
      <c r="H8991">
        <v>6.5415070000000006E-2</v>
      </c>
      <c r="I8991">
        <v>-69.434219999999996</v>
      </c>
      <c r="J8991">
        <v>-278.44209999999998</v>
      </c>
      <c r="K8991">
        <v>1.120015</v>
      </c>
      <c r="L8991">
        <v>-58.923219999999901</v>
      </c>
      <c r="M8991">
        <v>0.96861929999999996</v>
      </c>
      <c r="N8991">
        <v>-1.148336E-2</v>
      </c>
      <c r="O8991">
        <v>-0.248284</v>
      </c>
      <c r="P8991">
        <v>0.98710949999999997</v>
      </c>
      <c r="Q8991">
        <v>9.3769469999999994E-2</v>
      </c>
      <c r="R8991">
        <v>-0.12970100000000001</v>
      </c>
      <c r="S8991">
        <v>2.9987490000000001</v>
      </c>
      <c r="T8991">
        <v>-3.2382729999999998E-2</v>
      </c>
      <c r="U8991">
        <v>-0.32379150000000001</v>
      </c>
      <c r="V8991">
        <v>-0.11916789999999899</v>
      </c>
      <c r="W8991">
        <v>0.10544480000000001</v>
      </c>
      <c r="X8991">
        <v>0.987259</v>
      </c>
      <c r="Y8991">
        <v>-0.14285880000000001</v>
      </c>
      <c r="Z8991">
        <v>1.359767E-3</v>
      </c>
      <c r="AA8991">
        <v>0.98974220000000002</v>
      </c>
      <c r="AB8991">
        <v>26</v>
      </c>
      <c r="AC8991">
        <v>97.5277999999999</v>
      </c>
      <c r="AD8991">
        <v>-1.05459993</v>
      </c>
      <c r="AE8991">
        <v>-10.510999999999999</v>
      </c>
      <c r="AF8991">
        <v>-14.0327370946431</v>
      </c>
      <c r="AG8991">
        <v>-1.05459993</v>
      </c>
      <c r="AH8991">
        <v>97.072195849503402</v>
      </c>
      <c r="AI8991">
        <v>90.616038285261894</v>
      </c>
      <c r="AJ8991">
        <v>98.225683377424204</v>
      </c>
      <c r="AK8991">
        <v>98.086905845908305</v>
      </c>
      <c r="AL8991">
        <v>83.947205790976497</v>
      </c>
      <c r="AM8991">
        <v>96.882636099441001</v>
      </c>
      <c r="AN8991">
        <v>0.99999996365922394</v>
      </c>
    </row>
    <row r="8992" spans="1:40" x14ac:dyDescent="0.25">
      <c r="A8992" t="str">
        <f>"20190303162127244"</f>
        <v>20190303162127244</v>
      </c>
      <c r="B8992" t="str">
        <f>"1551601287231308"</f>
        <v>1551601287231308</v>
      </c>
      <c r="C8992" t="s">
        <v>40</v>
      </c>
      <c r="D8992">
        <v>4.7376579999999997</v>
      </c>
      <c r="E8992">
        <v>0.49142360000000002</v>
      </c>
      <c r="F8992" t="s">
        <v>44</v>
      </c>
      <c r="G8992">
        <v>-129.45519999999999</v>
      </c>
      <c r="H8992">
        <v>-0.05</v>
      </c>
      <c r="I8992">
        <v>-75.284759999999906</v>
      </c>
      <c r="J8992">
        <v>-278.32339999999999</v>
      </c>
      <c r="K8992">
        <v>1.120055</v>
      </c>
      <c r="L8992">
        <v>-58.95438</v>
      </c>
      <c r="M8992">
        <v>0.96843860000000004</v>
      </c>
      <c r="N8992">
        <v>-1.148178E-2</v>
      </c>
      <c r="O8992">
        <v>-0.24898799999999999</v>
      </c>
      <c r="P8992">
        <v>0.98676229999999998</v>
      </c>
      <c r="Q8992">
        <v>9.4998050000000001E-2</v>
      </c>
      <c r="R8992">
        <v>-0.13143740000000001</v>
      </c>
      <c r="S8992">
        <v>2.9981689999999999</v>
      </c>
      <c r="T8992">
        <v>-2.3545030000000002E-2</v>
      </c>
      <c r="U8992">
        <v>-0.3292542</v>
      </c>
      <c r="V8992">
        <v>-0.1181248</v>
      </c>
      <c r="W8992">
        <v>0.10665810000000001</v>
      </c>
      <c r="X8992">
        <v>0.98725410000000002</v>
      </c>
      <c r="Y8992">
        <v>-0.1417803</v>
      </c>
      <c r="Z8992">
        <v>4.157141E-4</v>
      </c>
      <c r="AA8992">
        <v>0.9898981</v>
      </c>
      <c r="AB8992">
        <v>26</v>
      </c>
      <c r="AC8992">
        <v>148.8682</v>
      </c>
      <c r="AD8992">
        <v>-1.1700549999999901</v>
      </c>
      <c r="AE8992">
        <v>-16.330379999999899</v>
      </c>
      <c r="AF8992">
        <v>-21.251526900297701</v>
      </c>
      <c r="AG8992">
        <v>-1.1700549999999901</v>
      </c>
      <c r="AH8992">
        <v>148.23649037892099</v>
      </c>
      <c r="AI8992">
        <v>90.447658894870202</v>
      </c>
      <c r="AJ8992">
        <v>98.158465871745804</v>
      </c>
      <c r="AK8992">
        <v>149.75664761257499</v>
      </c>
      <c r="AL8992">
        <v>83.877295019213307</v>
      </c>
      <c r="AM8992">
        <v>96.822994985681504</v>
      </c>
      <c r="AN8992">
        <v>1.00000003831872</v>
      </c>
    </row>
    <row r="8993" spans="1:40" x14ac:dyDescent="0.25">
      <c r="A8993" t="str">
        <f>"20190303162127256"</f>
        <v>20190303162127256</v>
      </c>
      <c r="B8993" t="str">
        <f>"1551601287251805"</f>
        <v>1551601287251805</v>
      </c>
      <c r="C8993" t="s">
        <v>40</v>
      </c>
      <c r="D8993">
        <v>4.8537730000000003</v>
      </c>
      <c r="E8993">
        <v>0.49123220000000001</v>
      </c>
      <c r="F8993" t="s">
        <v>44</v>
      </c>
      <c r="G8993">
        <v>-88.059049999999999</v>
      </c>
      <c r="H8993">
        <v>-0.05</v>
      </c>
      <c r="I8993">
        <v>-80.214780000000005</v>
      </c>
      <c r="J8993">
        <v>-278.19900000000001</v>
      </c>
      <c r="K8993">
        <v>1.12009</v>
      </c>
      <c r="L8993">
        <v>-58.987180000000002</v>
      </c>
      <c r="M8993">
        <v>0.96826109999999999</v>
      </c>
      <c r="N8993">
        <v>-1.1480509999999999E-2</v>
      </c>
      <c r="O8993">
        <v>-0.24967790000000001</v>
      </c>
      <c r="P8993">
        <v>0.98655720000000002</v>
      </c>
      <c r="Q8993">
        <v>9.4737050000000003E-2</v>
      </c>
      <c r="R8993">
        <v>-0.133154299999999</v>
      </c>
      <c r="S8993">
        <v>2.9973749999999999</v>
      </c>
      <c r="T8993">
        <v>-1.843274E-2</v>
      </c>
      <c r="U8993">
        <v>-0.33493040000000002</v>
      </c>
      <c r="V8993">
        <v>-0.11712590000000001</v>
      </c>
      <c r="W8993">
        <v>0.106383199999999</v>
      </c>
      <c r="X8993">
        <v>0.98740269999999997</v>
      </c>
      <c r="Y8993">
        <v>-0.14060610000000001</v>
      </c>
      <c r="Z8993">
        <v>-1.370058E-4</v>
      </c>
      <c r="AA8993">
        <v>0.99006559999999999</v>
      </c>
      <c r="AB8993">
        <v>26</v>
      </c>
      <c r="AC8993">
        <v>190.13995</v>
      </c>
      <c r="AD8993">
        <v>-1.1700900000000001</v>
      </c>
      <c r="AE8993">
        <v>-21.227599999999999</v>
      </c>
      <c r="AF8993">
        <v>-26.9206458250043</v>
      </c>
      <c r="AG8993">
        <v>-1.1700900000000001</v>
      </c>
      <c r="AH8993">
        <v>189.410539169635</v>
      </c>
      <c r="AI8993">
        <v>90.350420555161406</v>
      </c>
      <c r="AJ8993">
        <v>98.089187957470003</v>
      </c>
      <c r="AK8993">
        <v>191.317648508378</v>
      </c>
      <c r="AL8993">
        <v>83.893135377529006</v>
      </c>
      <c r="AM8993">
        <v>96.764825948119395</v>
      </c>
      <c r="AN8993">
        <v>0.99999997683016895</v>
      </c>
    </row>
    <row r="8994" spans="1:40" x14ac:dyDescent="0.25">
      <c r="A8994" t="str">
        <f>"20190303162127267"</f>
        <v>20190303162127267</v>
      </c>
      <c r="B8994" t="str">
        <f>"1551601287261565"</f>
        <v>1551601287261565</v>
      </c>
      <c r="C8994" t="s">
        <v>40</v>
      </c>
      <c r="D8994">
        <v>5.063326</v>
      </c>
      <c r="E8994">
        <v>0.4911316</v>
      </c>
      <c r="F8994" t="s">
        <v>44</v>
      </c>
      <c r="G8994">
        <v>-115.5615</v>
      </c>
      <c r="H8994">
        <v>-0.05</v>
      </c>
      <c r="I8994">
        <v>-77.36345</v>
      </c>
      <c r="J8994">
        <v>-278.07</v>
      </c>
      <c r="K8994">
        <v>1.120117</v>
      </c>
      <c r="L8994">
        <v>-59.021210000000004</v>
      </c>
      <c r="M8994">
        <v>0.96807909999999997</v>
      </c>
      <c r="N8994">
        <v>-1.14793E-2</v>
      </c>
      <c r="O8994">
        <v>-0.25038250000000001</v>
      </c>
      <c r="P8994">
        <v>0.98644829999999994</v>
      </c>
      <c r="Q8994">
        <v>9.3578339999999996E-2</v>
      </c>
      <c r="R8994">
        <v>-0.134770899999999</v>
      </c>
      <c r="S8994">
        <v>2.997223</v>
      </c>
      <c r="T8994">
        <v>-2.1563410000000002E-2</v>
      </c>
      <c r="U8994">
        <v>-0.338653599999999</v>
      </c>
      <c r="V8994">
        <v>-0.1162671</v>
      </c>
      <c r="W8994">
        <v>0.1052125</v>
      </c>
      <c r="X8994">
        <v>0.98762969999999894</v>
      </c>
      <c r="Y8994">
        <v>-0.14010610000000001</v>
      </c>
      <c r="Z8994">
        <v>1.8532800000000001E-4</v>
      </c>
      <c r="AA8994">
        <v>0.99013649999999997</v>
      </c>
      <c r="AB8994">
        <v>26</v>
      </c>
      <c r="AC8994">
        <v>162.5085</v>
      </c>
      <c r="AD8994">
        <v>-1.1701170000000001</v>
      </c>
      <c r="AE8994">
        <v>-18.34224</v>
      </c>
      <c r="AF8994">
        <v>-22.932878815351799</v>
      </c>
      <c r="AG8994">
        <v>-1.1701170000000001</v>
      </c>
      <c r="AH8994">
        <v>161.91601302027399</v>
      </c>
      <c r="AI8994">
        <v>90.409960283340794</v>
      </c>
      <c r="AJ8994">
        <v>98.061434293793496</v>
      </c>
      <c r="AK8994">
        <v>163.53617757834101</v>
      </c>
      <c r="AL8994">
        <v>83.9605906749414</v>
      </c>
      <c r="AM8994">
        <v>96.714149582458305</v>
      </c>
      <c r="AN8994">
        <v>1.0000000665103701</v>
      </c>
    </row>
    <row r="8995" spans="1:40" x14ac:dyDescent="0.25">
      <c r="A8995" t="str">
        <f>"20190303162127278"</f>
        <v>20190303162127278</v>
      </c>
      <c r="B8995" t="str">
        <f>"1551601287271325"</f>
        <v>1551601287271325</v>
      </c>
      <c r="C8995" t="s">
        <v>40</v>
      </c>
      <c r="D8995">
        <v>5.0101509999999996</v>
      </c>
      <c r="E8995">
        <v>0.4910562</v>
      </c>
      <c r="F8995" t="s">
        <v>44</v>
      </c>
      <c r="G8995">
        <v>-148.62350000000001</v>
      </c>
      <c r="H8995">
        <v>-0.05</v>
      </c>
      <c r="I8995">
        <v>-73.831969999999998</v>
      </c>
      <c r="J8995">
        <v>-277.94299999999998</v>
      </c>
      <c r="K8995">
        <v>1.120139</v>
      </c>
      <c r="L8995">
        <v>-59.054780000000001</v>
      </c>
      <c r="M8995">
        <v>0.96790989999999999</v>
      </c>
      <c r="N8995">
        <v>-1.1478240000000001E-2</v>
      </c>
      <c r="O8995">
        <v>-0.25103579999999998</v>
      </c>
      <c r="P8995">
        <v>0.98653329999999995</v>
      </c>
      <c r="Q8995">
        <v>9.1033939999999994E-2</v>
      </c>
      <c r="R8995">
        <v>-0.13588620000000001</v>
      </c>
      <c r="S8995">
        <v>2.996918</v>
      </c>
      <c r="T8995">
        <v>-2.7090309999999999E-2</v>
      </c>
      <c r="U8995">
        <v>-0.34289550000000002</v>
      </c>
      <c r="V8995">
        <v>-0.1158908</v>
      </c>
      <c r="W8995">
        <v>0.1026591</v>
      </c>
      <c r="X8995">
        <v>0.98794249999999995</v>
      </c>
      <c r="Y8995">
        <v>-0.13937769999999999</v>
      </c>
      <c r="Z8995">
        <v>7.5982000000000003E-4</v>
      </c>
      <c r="AA8995">
        <v>0.99023899999999998</v>
      </c>
      <c r="AB8995">
        <v>26</v>
      </c>
      <c r="AC8995">
        <v>129.31949999999901</v>
      </c>
      <c r="AD8995">
        <v>-1.170139</v>
      </c>
      <c r="AE8995">
        <v>-14.7771899999999</v>
      </c>
      <c r="AF8995">
        <v>-18.160561688866299</v>
      </c>
      <c r="AG8995">
        <v>-1.170139</v>
      </c>
      <c r="AH8995">
        <v>128.877283898576</v>
      </c>
      <c r="AI8995">
        <v>90.515112924255604</v>
      </c>
      <c r="AJ8995">
        <v>98.020942967704698</v>
      </c>
      <c r="AK8995">
        <v>130.15578946481301</v>
      </c>
      <c r="AL8995">
        <v>84.107685883087697</v>
      </c>
      <c r="AM8995">
        <v>96.6905168006612</v>
      </c>
      <c r="AN8995">
        <v>0.99999997582184896</v>
      </c>
    </row>
    <row r="8996" spans="1:40" x14ac:dyDescent="0.25">
      <c r="A8996" t="str">
        <f>"20190303162127289"</f>
        <v>20190303162127289</v>
      </c>
      <c r="B8996" t="str">
        <f>"1551601287281084"</f>
        <v>1551601287281084</v>
      </c>
      <c r="C8996" t="s">
        <v>40</v>
      </c>
      <c r="D8996">
        <v>5.0032480000000001</v>
      </c>
      <c r="E8996">
        <v>0.49104690000000001</v>
      </c>
      <c r="F8996" t="s">
        <v>62</v>
      </c>
      <c r="G8996">
        <v>-186.0232</v>
      </c>
      <c r="H8996" s="1">
        <v>-7.5349539999999999E-6</v>
      </c>
      <c r="I8996">
        <v>-69.661450000000002</v>
      </c>
      <c r="J8996">
        <v>-277.8186</v>
      </c>
      <c r="K8996">
        <v>1.1201620000000001</v>
      </c>
      <c r="L8996">
        <v>-59.087739999999997</v>
      </c>
      <c r="M8996">
        <v>0.96774789999999999</v>
      </c>
      <c r="N8996">
        <v>-1.1477319999999999E-2</v>
      </c>
      <c r="O8996">
        <v>-0.25165929999999997</v>
      </c>
      <c r="P8996">
        <v>0.98664379999999996</v>
      </c>
      <c r="Q8996">
        <v>8.8803869999999993E-2</v>
      </c>
      <c r="R8996">
        <v>-0.13655780000000001</v>
      </c>
      <c r="S8996">
        <v>2.9967350000000001</v>
      </c>
      <c r="T8996">
        <v>-3.651857E-2</v>
      </c>
      <c r="U8996">
        <v>-0.34579470000000001</v>
      </c>
      <c r="V8996">
        <v>-0.1159193</v>
      </c>
      <c r="W8996">
        <v>0.10042189999999999</v>
      </c>
      <c r="X8996">
        <v>0.98816910000000002</v>
      </c>
      <c r="Y8996">
        <v>-0.13905719999999999</v>
      </c>
      <c r="Z8996">
        <v>1.7526810000000001E-3</v>
      </c>
      <c r="AA8996">
        <v>0.99028280000000002</v>
      </c>
      <c r="AB8996">
        <v>26</v>
      </c>
      <c r="AC8996">
        <v>91.795400000000001</v>
      </c>
      <c r="AD8996">
        <v>-1.120169534954</v>
      </c>
      <c r="AE8996">
        <v>-10.573709999999901</v>
      </c>
      <c r="AF8996">
        <v>-12.867436273572901</v>
      </c>
      <c r="AG8996">
        <v>-1.120169534954</v>
      </c>
      <c r="AH8996">
        <v>91.488353803077999</v>
      </c>
      <c r="AI8996">
        <v>90.694649612843904</v>
      </c>
      <c r="AJ8996">
        <v>98.005887401137599</v>
      </c>
      <c r="AK8996">
        <v>92.395587435973695</v>
      </c>
      <c r="AL8996">
        <v>84.236534170956205</v>
      </c>
      <c r="AM8996">
        <v>96.690626536726199</v>
      </c>
      <c r="AN8996">
        <v>1.00000000615345</v>
      </c>
    </row>
    <row r="8997" spans="1:40" x14ac:dyDescent="0.25">
      <c r="A8997" t="str">
        <f>"20190303162127300"</f>
        <v>20190303162127300</v>
      </c>
      <c r="B8997" t="str">
        <f>"1551601287291820"</f>
        <v>1551601287291820</v>
      </c>
      <c r="C8997" t="s">
        <v>40</v>
      </c>
      <c r="D8997">
        <v>4.941268</v>
      </c>
      <c r="E8997">
        <v>0.49099890000000002</v>
      </c>
      <c r="F8997" t="s">
        <v>62</v>
      </c>
      <c r="G8997">
        <v>-203.62790000000001</v>
      </c>
      <c r="H8997" s="1">
        <v>-4.6575069999999999E-6</v>
      </c>
      <c r="I8997">
        <v>-67.704409999999996</v>
      </c>
      <c r="J8997">
        <v>-277.69670000000002</v>
      </c>
      <c r="K8997">
        <v>1.120185</v>
      </c>
      <c r="L8997">
        <v>-59.120119999999901</v>
      </c>
      <c r="M8997">
        <v>0.96759490000000004</v>
      </c>
      <c r="N8997">
        <v>-1.147654E-2</v>
      </c>
      <c r="O8997">
        <v>-0.25224639999999998</v>
      </c>
      <c r="P8997">
        <v>0.98669370000000001</v>
      </c>
      <c r="Q8997">
        <v>8.7487019999999999E-2</v>
      </c>
      <c r="R8997">
        <v>-0.1370458</v>
      </c>
      <c r="S8997">
        <v>2.996521</v>
      </c>
      <c r="T8997">
        <v>-4.5242909999999997E-2</v>
      </c>
      <c r="U8997">
        <v>-0.34802250000000001</v>
      </c>
      <c r="V8997">
        <v>-0.11606950000000001</v>
      </c>
      <c r="W8997">
        <v>9.909772E-2</v>
      </c>
      <c r="X8997">
        <v>0.98828510000000003</v>
      </c>
      <c r="Y8997">
        <v>-0.1389145</v>
      </c>
      <c r="Z8997">
        <v>2.6759900000000001E-3</v>
      </c>
      <c r="AA8997">
        <v>0.99030079999999998</v>
      </c>
      <c r="AB8997">
        <v>26</v>
      </c>
      <c r="AC8997">
        <v>74.068799999999996</v>
      </c>
      <c r="AD8997">
        <v>-1.1201896575070001</v>
      </c>
      <c r="AE8997">
        <v>-8.5842899999999993</v>
      </c>
      <c r="AF8997">
        <v>-10.375815451163801</v>
      </c>
      <c r="AG8997">
        <v>-1.1201896575070001</v>
      </c>
      <c r="AH8997">
        <v>73.822156711854106</v>
      </c>
      <c r="AI8997">
        <v>90.860888516349505</v>
      </c>
      <c r="AJ8997">
        <v>98.000599690253694</v>
      </c>
      <c r="AK8997">
        <v>74.5561747458582</v>
      </c>
      <c r="AL8997">
        <v>84.312784225808997</v>
      </c>
      <c r="AM8997">
        <v>96.698437854637703</v>
      </c>
      <c r="AN8997">
        <v>0.99999996291072801</v>
      </c>
    </row>
    <row r="8998" spans="1:40" x14ac:dyDescent="0.25">
      <c r="A8998" t="str">
        <f>"20190303162127312"</f>
        <v>20190303162127312</v>
      </c>
      <c r="B8998" t="str">
        <f>"1551601287301580"</f>
        <v>1551601287301580</v>
      </c>
      <c r="C8998" t="s">
        <v>40</v>
      </c>
      <c r="D8998">
        <v>4.9872930000000002</v>
      </c>
      <c r="E8998">
        <v>0.49099890000000002</v>
      </c>
      <c r="F8998" t="s">
        <v>90</v>
      </c>
      <c r="G8998">
        <v>-212.12809999999999</v>
      </c>
      <c r="H8998" s="1">
        <v>-1.5811190000000001E-6</v>
      </c>
      <c r="I8998">
        <v>-66.769619999999904</v>
      </c>
      <c r="J8998">
        <v>-277.56650000000002</v>
      </c>
      <c r="K8998">
        <v>1.1202049999999999</v>
      </c>
      <c r="L8998">
        <v>-59.154719999999998</v>
      </c>
      <c r="M8998">
        <v>0.96743690000000004</v>
      </c>
      <c r="N8998">
        <v>-1.1475819999999999E-2</v>
      </c>
      <c r="O8998">
        <v>-0.25285269999999999</v>
      </c>
      <c r="P8998">
        <v>0.98677380000000003</v>
      </c>
      <c r="Q8998">
        <v>8.6802539999999997E-2</v>
      </c>
      <c r="R8998">
        <v>-0.1369049</v>
      </c>
      <c r="S8998">
        <v>2.996429</v>
      </c>
      <c r="T8998">
        <v>-5.1191569999999999E-2</v>
      </c>
      <c r="U8998">
        <v>-0.34957890000000003</v>
      </c>
      <c r="V8998">
        <v>-0.1168527</v>
      </c>
      <c r="W8998">
        <v>9.8407789999999995E-2</v>
      </c>
      <c r="X8998">
        <v>0.98826179999999997</v>
      </c>
      <c r="Y8998">
        <v>-0.139016</v>
      </c>
      <c r="Z8998">
        <v>3.310913E-3</v>
      </c>
      <c r="AA8998">
        <v>0.99028459999999996</v>
      </c>
      <c r="AB8998">
        <v>26</v>
      </c>
      <c r="AC8998">
        <v>65.438400000000001</v>
      </c>
      <c r="AD8998">
        <v>-1.1202065811189901</v>
      </c>
      <c r="AE8998">
        <v>-7.6148999999999898</v>
      </c>
      <c r="AF8998">
        <v>-9.1772904097890198</v>
      </c>
      <c r="AG8998">
        <v>-1.1202065811189901</v>
      </c>
      <c r="AH8998">
        <v>65.2183992425621</v>
      </c>
      <c r="AI8998">
        <v>90.9744308181468</v>
      </c>
      <c r="AJ8998">
        <v>98.009857229931399</v>
      </c>
      <c r="AK8998">
        <v>65.8704571246641</v>
      </c>
      <c r="AL8998">
        <v>84.352508778097999</v>
      </c>
      <c r="AM8998">
        <v>96.7433794521218</v>
      </c>
      <c r="AN8998">
        <v>1.0000000159846001</v>
      </c>
    </row>
    <row r="8999" spans="1:40" x14ac:dyDescent="0.25">
      <c r="A8999" t="str">
        <f>"20190303162127322"</f>
        <v>20190303162127322</v>
      </c>
      <c r="B8999" t="str">
        <f>"1551601287311341"</f>
        <v>1551601287311341</v>
      </c>
      <c r="C8999" t="s">
        <v>40</v>
      </c>
      <c r="D8999">
        <v>4.9460369999999996</v>
      </c>
      <c r="E8999">
        <v>0.49046669999999998</v>
      </c>
      <c r="F8999" t="s">
        <v>90</v>
      </c>
      <c r="G8999">
        <v>-214.65119999999999</v>
      </c>
      <c r="H8999" s="1">
        <v>-2.5265139999999998E-6</v>
      </c>
      <c r="I8999">
        <v>-66.494769999999903</v>
      </c>
      <c r="J8999">
        <v>-277.44279999999998</v>
      </c>
      <c r="K8999">
        <v>1.1202259999999999</v>
      </c>
      <c r="L8999">
        <v>-59.187649999999998</v>
      </c>
      <c r="M8999">
        <v>0.96728959999999997</v>
      </c>
      <c r="N8999">
        <v>-1.147522E-2</v>
      </c>
      <c r="O8999">
        <v>-0.25341529999999901</v>
      </c>
      <c r="P8999">
        <v>0.98683509999999997</v>
      </c>
      <c r="Q8999">
        <v>8.7071060000000006E-2</v>
      </c>
      <c r="R8999">
        <v>-0.13629140000000001</v>
      </c>
      <c r="S8999">
        <v>2.9963989999999998</v>
      </c>
      <c r="T8999">
        <v>-5.3350809999999999E-2</v>
      </c>
      <c r="U8999">
        <v>-0.34957890000000003</v>
      </c>
      <c r="V8999">
        <v>-0.1180418</v>
      </c>
      <c r="W8999">
        <v>9.8670670000000002E-2</v>
      </c>
      <c r="X8999">
        <v>0.98809429999999998</v>
      </c>
      <c r="Y8999">
        <v>-0.1395874</v>
      </c>
      <c r="Z8999">
        <v>3.5517639999999998E-3</v>
      </c>
      <c r="AA8999">
        <v>0.99020339999999996</v>
      </c>
      <c r="AB8999">
        <v>26</v>
      </c>
      <c r="AC8999">
        <v>62.791599999999903</v>
      </c>
      <c r="AD8999">
        <v>-1.120228526514</v>
      </c>
      <c r="AE8999">
        <v>-7.3071199999999896</v>
      </c>
      <c r="AF8999">
        <v>-8.8420559519592601</v>
      </c>
      <c r="AG8999">
        <v>-1.120228526514</v>
      </c>
      <c r="AH8999">
        <v>62.573863854097198</v>
      </c>
      <c r="AI8999">
        <v>91.015541483280202</v>
      </c>
      <c r="AJ8999">
        <v>98.042981249211607</v>
      </c>
      <c r="AK8999">
        <v>63.205421468733903</v>
      </c>
      <c r="AL8999">
        <v>84.337373432644696</v>
      </c>
      <c r="AM8999">
        <v>96.812502774406298</v>
      </c>
      <c r="AN8999">
        <v>1.00000005667898</v>
      </c>
    </row>
    <row r="9000" spans="1:40" x14ac:dyDescent="0.25">
      <c r="A9000" t="str">
        <f>"20190303162127334"</f>
        <v>20190303162127334</v>
      </c>
      <c r="B9000" t="str">
        <f>"1551601287322076"</f>
        <v>1551601287322076</v>
      </c>
      <c r="C9000" t="s">
        <v>40</v>
      </c>
      <c r="D9000">
        <v>5.0687230000000003</v>
      </c>
      <c r="E9000">
        <v>0.490122</v>
      </c>
      <c r="F9000" t="s">
        <v>88</v>
      </c>
      <c r="G9000">
        <v>-242.98089999999999</v>
      </c>
      <c r="H9000" s="1">
        <v>-1.0029819999999999E-6</v>
      </c>
      <c r="I9000">
        <v>-63.153689999999997</v>
      </c>
      <c r="J9000">
        <v>-277.31130000000002</v>
      </c>
      <c r="K9000">
        <v>1.1202449999999999</v>
      </c>
      <c r="L9000">
        <v>-59.222810000000003</v>
      </c>
      <c r="M9000">
        <v>0.96713850000000001</v>
      </c>
      <c r="N9000">
        <v>-1.1474730000000001E-2</v>
      </c>
      <c r="O9000">
        <v>-0.25399169999999999</v>
      </c>
      <c r="P9000">
        <v>0.98687720000000001</v>
      </c>
      <c r="Q9000">
        <v>8.7400820000000004E-2</v>
      </c>
      <c r="R9000">
        <v>-0.1357746</v>
      </c>
      <c r="S9000">
        <v>3.0009459999999999</v>
      </c>
      <c r="T9000">
        <v>-9.7549319999999995E-2</v>
      </c>
      <c r="U9000">
        <v>-0.34536739999999999</v>
      </c>
      <c r="V9000">
        <v>-0.1191446</v>
      </c>
      <c r="W9000">
        <v>9.8995219999999995E-2</v>
      </c>
      <c r="X9000">
        <v>0.98792939999999996</v>
      </c>
      <c r="Y9000">
        <v>-0.14160929999999999</v>
      </c>
      <c r="Z9000">
        <v>8.2980959999999996E-3</v>
      </c>
      <c r="AA9000">
        <v>0.98988779999999998</v>
      </c>
      <c r="AB9000">
        <v>26</v>
      </c>
      <c r="AC9000">
        <v>34.330399999999997</v>
      </c>
      <c r="AD9000">
        <v>-1.1202460029820001</v>
      </c>
      <c r="AE9000">
        <v>-3.9308800000000002</v>
      </c>
      <c r="AF9000">
        <v>-4.9130904874020196</v>
      </c>
      <c r="AG9000">
        <v>-1.1202460029820001</v>
      </c>
      <c r="AH9000">
        <v>34.166998299415603</v>
      </c>
      <c r="AI9000">
        <v>91.858799551419906</v>
      </c>
      <c r="AJ9000">
        <v>98.182833141732701</v>
      </c>
      <c r="AK9000">
        <v>34.536606405911797</v>
      </c>
      <c r="AL9000">
        <v>84.318686243033596</v>
      </c>
      <c r="AM9000">
        <v>96.876678433139702</v>
      </c>
      <c r="AN9000">
        <v>0.99999999433818398</v>
      </c>
    </row>
    <row r="9001" spans="1:40" x14ac:dyDescent="0.25">
      <c r="A9001" t="str">
        <f>"20190303162127345"</f>
        <v>20190303162127345</v>
      </c>
      <c r="B9001" t="str">
        <f>"1551601287331836"</f>
        <v>1551601287331836</v>
      </c>
      <c r="C9001" t="s">
        <v>40</v>
      </c>
      <c r="D9001">
        <v>5.0016350000000003</v>
      </c>
      <c r="E9001">
        <v>0.49041699999999999</v>
      </c>
      <c r="F9001" t="s">
        <v>89</v>
      </c>
      <c r="G9001">
        <v>-238.3972</v>
      </c>
      <c r="H9001" s="1">
        <v>-3.310502E-6</v>
      </c>
      <c r="I9001">
        <v>-63.646709999999999</v>
      </c>
      <c r="J9001">
        <v>-277.18650000000002</v>
      </c>
      <c r="K9001">
        <v>1.1202650000000001</v>
      </c>
      <c r="L9001">
        <v>-59.2562</v>
      </c>
      <c r="M9001">
        <v>0.96699619999999997</v>
      </c>
      <c r="N9001">
        <v>-1.147432E-2</v>
      </c>
      <c r="O9001">
        <v>-0.25453229999999999</v>
      </c>
      <c r="P9001">
        <v>0.98690270000000002</v>
      </c>
      <c r="Q9001">
        <v>8.8368509999999997E-2</v>
      </c>
      <c r="R9001">
        <v>-0.1349602</v>
      </c>
      <c r="S9001">
        <v>3.00061</v>
      </c>
      <c r="T9001">
        <v>-8.638084E-2</v>
      </c>
      <c r="U9001">
        <v>-0.34112550000000003</v>
      </c>
      <c r="V9001">
        <v>-0.1204938</v>
      </c>
      <c r="W9001">
        <v>9.9957939999999995E-2</v>
      </c>
      <c r="X9001">
        <v>0.98766880000000001</v>
      </c>
      <c r="Y9001">
        <v>-0.1435659</v>
      </c>
      <c r="Z9001">
        <v>7.1551369999999998E-3</v>
      </c>
      <c r="AA9001">
        <v>0.98961489999999996</v>
      </c>
      <c r="AB9001">
        <v>26</v>
      </c>
      <c r="AC9001">
        <v>38.789299999999997</v>
      </c>
      <c r="AD9001">
        <v>-1.1202683105019999</v>
      </c>
      <c r="AE9001">
        <v>-4.3905099999999901</v>
      </c>
      <c r="AF9001">
        <v>-5.6232626931023102</v>
      </c>
      <c r="AG9001">
        <v>-1.1202683105019999</v>
      </c>
      <c r="AH9001">
        <v>38.597388309802</v>
      </c>
      <c r="AI9001">
        <v>91.645153905586199</v>
      </c>
      <c r="AJ9001">
        <v>98.289116787972702</v>
      </c>
      <c r="AK9001">
        <v>39.020949100973802</v>
      </c>
      <c r="AL9001">
        <v>84.263251530309702</v>
      </c>
      <c r="AM9001">
        <v>96.955608888121503</v>
      </c>
      <c r="AN9001">
        <v>1.00000000205046</v>
      </c>
    </row>
    <row r="9002" spans="1:40" x14ac:dyDescent="0.25">
      <c r="A9002" t="str">
        <f>"20190303162127357"</f>
        <v>20190303162127357</v>
      </c>
      <c r="B9002" t="str">
        <f>"1551601287351357"</f>
        <v>1551601287351357</v>
      </c>
      <c r="C9002" t="s">
        <v>40</v>
      </c>
      <c r="D9002">
        <v>5.0144349999999998</v>
      </c>
      <c r="E9002">
        <v>0.49009930000000002</v>
      </c>
      <c r="F9002" t="s">
        <v>89</v>
      </c>
      <c r="G9002">
        <v>-237.49780000000001</v>
      </c>
      <c r="H9002" s="1">
        <v>-3.0266489999999998E-6</v>
      </c>
      <c r="I9002">
        <v>-63.77205</v>
      </c>
      <c r="J9002">
        <v>-277.05149999999998</v>
      </c>
      <c r="K9002">
        <v>1.1202859999999999</v>
      </c>
      <c r="L9002">
        <v>-59.2924199999999</v>
      </c>
      <c r="M9002">
        <v>0.96684820000000005</v>
      </c>
      <c r="N9002">
        <v>-1.147401E-2</v>
      </c>
      <c r="O9002">
        <v>-0.2550946</v>
      </c>
      <c r="P9002">
        <v>0.98697820000000003</v>
      </c>
      <c r="Q9002">
        <v>8.9182200000000003E-2</v>
      </c>
      <c r="R9002">
        <v>-0.13386789999999901</v>
      </c>
      <c r="S9002">
        <v>3.000702</v>
      </c>
      <c r="T9002">
        <v>-8.4698919999999997E-2</v>
      </c>
      <c r="U9002">
        <v>-0.34143069999999998</v>
      </c>
      <c r="V9002">
        <v>-0.12214659999999999</v>
      </c>
      <c r="W9002">
        <v>0.10076640000000001</v>
      </c>
      <c r="X9002">
        <v>0.98738360000000003</v>
      </c>
      <c r="Y9002">
        <v>-0.14405009999999999</v>
      </c>
      <c r="Z9002">
        <v>6.9925689999999997E-3</v>
      </c>
      <c r="AA9002">
        <v>0.98954569999999997</v>
      </c>
      <c r="AB9002">
        <v>26</v>
      </c>
      <c r="AC9002">
        <v>39.5536999999999</v>
      </c>
      <c r="AD9002">
        <v>-1.120289026649</v>
      </c>
      <c r="AE9002">
        <v>-4.4796300000000002</v>
      </c>
      <c r="AF9002">
        <v>-5.7546332514473102</v>
      </c>
      <c r="AG9002">
        <v>-1.120289026649</v>
      </c>
      <c r="AH9002">
        <v>39.356566780966503</v>
      </c>
      <c r="AI9002">
        <v>91.613344459244601</v>
      </c>
      <c r="AJ9002">
        <v>98.318717138404295</v>
      </c>
      <c r="AK9002">
        <v>39.790830603878703</v>
      </c>
      <c r="AL9002">
        <v>84.216695201815497</v>
      </c>
      <c r="AM9002">
        <v>97.052080341044004</v>
      </c>
      <c r="AN9002">
        <v>1.00000001640474</v>
      </c>
    </row>
    <row r="9003" spans="1:40" x14ac:dyDescent="0.25">
      <c r="A9003" t="str">
        <f>"20190303162127368"</f>
        <v>20190303162127368</v>
      </c>
      <c r="B9003" t="str">
        <f>"1551601287362092"</f>
        <v>1551601287362092</v>
      </c>
      <c r="C9003" t="s">
        <v>40</v>
      </c>
      <c r="D9003">
        <v>5.1188640000000003</v>
      </c>
      <c r="E9003">
        <v>0.49010700000000001</v>
      </c>
      <c r="F9003" t="s">
        <v>89</v>
      </c>
      <c r="G9003">
        <v>-232.38319999999999</v>
      </c>
      <c r="H9003" s="1">
        <v>-1.049442E-6</v>
      </c>
      <c r="I9003">
        <v>-64.291989999999998</v>
      </c>
      <c r="J9003">
        <v>-276.92559999999997</v>
      </c>
      <c r="K9003">
        <v>1.120306</v>
      </c>
      <c r="L9003">
        <v>-59.326230000000002</v>
      </c>
      <c r="M9003">
        <v>0.96671149999999995</v>
      </c>
      <c r="N9003">
        <v>-1.1473769999999999E-2</v>
      </c>
      <c r="O9003">
        <v>-0.25561210000000001</v>
      </c>
      <c r="P9003">
        <v>0.98707900000000004</v>
      </c>
      <c r="Q9003">
        <v>8.9624690000000007E-2</v>
      </c>
      <c r="R9003">
        <v>-0.1328251</v>
      </c>
      <c r="S9003">
        <v>3.0008240000000002</v>
      </c>
      <c r="T9003">
        <v>-7.5261120000000001E-2</v>
      </c>
      <c r="U9003">
        <v>-0.33587650000000002</v>
      </c>
      <c r="V9003">
        <v>-0.1237125</v>
      </c>
      <c r="W9003">
        <v>0.1012038</v>
      </c>
      <c r="X9003">
        <v>0.98714389999999996</v>
      </c>
      <c r="Y9003">
        <v>-0.1464172</v>
      </c>
      <c r="Z9003">
        <v>6.0273339999999996E-3</v>
      </c>
      <c r="AA9003">
        <v>0.98920459999999999</v>
      </c>
      <c r="AB9003">
        <v>26</v>
      </c>
      <c r="AC9003">
        <v>44.542400000000001</v>
      </c>
      <c r="AD9003">
        <v>-1.120307049442</v>
      </c>
      <c r="AE9003">
        <v>-4.9657599999999897</v>
      </c>
      <c r="AF9003">
        <v>-6.5814392731246203</v>
      </c>
      <c r="AG9003">
        <v>-1.120307049442</v>
      </c>
      <c r="AH9003">
        <v>44.304187185368903</v>
      </c>
      <c r="AI9003">
        <v>91.432796811686103</v>
      </c>
      <c r="AJ9003">
        <v>98.449563772776898</v>
      </c>
      <c r="AK9003">
        <v>44.8043684582995</v>
      </c>
      <c r="AL9003">
        <v>84.191505367083096</v>
      </c>
      <c r="AM9003">
        <v>97.1432754469906</v>
      </c>
      <c r="AN9003">
        <v>1.00000003554894</v>
      </c>
    </row>
    <row r="9004" spans="1:40" x14ac:dyDescent="0.25">
      <c r="A9004" t="str">
        <f>"20190303162127379"</f>
        <v>20190303162127379</v>
      </c>
      <c r="B9004" t="str">
        <f>"1551601287371853"</f>
        <v>1551601287371853</v>
      </c>
      <c r="C9004" t="s">
        <v>40</v>
      </c>
      <c r="D9004">
        <v>5.0614939999999997</v>
      </c>
      <c r="E9004">
        <v>0.4901045</v>
      </c>
      <c r="F9004" t="s">
        <v>89</v>
      </c>
      <c r="G9004">
        <v>-231.95509999999999</v>
      </c>
      <c r="H9004" s="1">
        <v>-8.7242549999999997E-7</v>
      </c>
      <c r="I9004">
        <v>-64.316850000000002</v>
      </c>
      <c r="J9004">
        <v>-276.79700000000003</v>
      </c>
      <c r="K9004">
        <v>1.1203270000000001</v>
      </c>
      <c r="L9004">
        <v>-59.360840000000003</v>
      </c>
      <c r="M9004">
        <v>0.96657499999999996</v>
      </c>
      <c r="N9004">
        <v>-1.14736E-2</v>
      </c>
      <c r="O9004">
        <v>-0.2561271</v>
      </c>
      <c r="P9004">
        <v>0.98718859999999997</v>
      </c>
      <c r="Q9004">
        <v>8.978854E-2</v>
      </c>
      <c r="R9004">
        <v>-0.13189670000000001</v>
      </c>
      <c r="S9004">
        <v>3.0012509999999999</v>
      </c>
      <c r="T9004">
        <v>-7.4767349999999996E-2</v>
      </c>
      <c r="U9004">
        <v>-0.3330688</v>
      </c>
      <c r="V9004">
        <v>-0.125169</v>
      </c>
      <c r="W9004">
        <v>0.1013632</v>
      </c>
      <c r="X9004">
        <v>0.98694389999999999</v>
      </c>
      <c r="Y9004">
        <v>-0.14787429999999999</v>
      </c>
      <c r="Z9004">
        <v>6.0060649999999997E-3</v>
      </c>
      <c r="AA9004">
        <v>0.98898790000000003</v>
      </c>
      <c r="AB9004">
        <v>26</v>
      </c>
      <c r="AC9004">
        <v>44.841900000000003</v>
      </c>
      <c r="AD9004">
        <v>-1.1203278724254999</v>
      </c>
      <c r="AE9004">
        <v>-4.9560099999999903</v>
      </c>
      <c r="AF9004">
        <v>-6.69118504570989</v>
      </c>
      <c r="AG9004">
        <v>-1.1203278724254999</v>
      </c>
      <c r="AH9004">
        <v>44.587869700362397</v>
      </c>
      <c r="AI9004">
        <v>91.423395995935294</v>
      </c>
      <c r="AJ9004">
        <v>98.534541537133705</v>
      </c>
      <c r="AK9004">
        <v>45.101055600442002</v>
      </c>
      <c r="AL9004">
        <v>84.182325117364698</v>
      </c>
      <c r="AM9004">
        <v>97.227940077975504</v>
      </c>
      <c r="AN9004">
        <v>1.00000001931122</v>
      </c>
    </row>
    <row r="9005" spans="1:40" x14ac:dyDescent="0.25">
      <c r="A9005" t="str">
        <f>"20190303162127393"</f>
        <v>20190303162127393</v>
      </c>
      <c r="B9005" t="str">
        <f>"1551601287381612"</f>
        <v>1551601287381612</v>
      </c>
      <c r="C9005" t="s">
        <v>40</v>
      </c>
      <c r="D9005">
        <v>5.0065369999999998</v>
      </c>
      <c r="E9005">
        <v>0.48998999999999998</v>
      </c>
      <c r="F9005" t="s">
        <v>89</v>
      </c>
      <c r="G9005">
        <v>-233.3904</v>
      </c>
      <c r="H9005" s="1">
        <v>-1.441434E-6</v>
      </c>
      <c r="I9005">
        <v>-64.141269999999906</v>
      </c>
      <c r="J9005">
        <v>-276.65350000000001</v>
      </c>
      <c r="K9005">
        <v>1.120352</v>
      </c>
      <c r="L9005">
        <v>-59.399540000000002</v>
      </c>
      <c r="M9005">
        <v>0.96642720000000004</v>
      </c>
      <c r="N9005">
        <v>-1.147343E-2</v>
      </c>
      <c r="O9005">
        <v>-0.25668370000000001</v>
      </c>
      <c r="P9005">
        <v>0.98732359999999997</v>
      </c>
      <c r="Q9005">
        <v>8.969684E-2</v>
      </c>
      <c r="R9005">
        <v>-0.13094320000000001</v>
      </c>
      <c r="S9005">
        <v>3.0018009999999999</v>
      </c>
      <c r="T9005">
        <v>-7.7476740000000002E-2</v>
      </c>
      <c r="U9005">
        <v>-0.33059690000000003</v>
      </c>
      <c r="V9005">
        <v>-0.12670010000000001</v>
      </c>
      <c r="W9005">
        <v>0.10126449999999999</v>
      </c>
      <c r="X9005">
        <v>0.98675860000000004</v>
      </c>
      <c r="Y9005">
        <v>-0.14926039999999999</v>
      </c>
      <c r="Z9005">
        <v>6.3322869999999998E-3</v>
      </c>
      <c r="AA9005">
        <v>0.98877760000000003</v>
      </c>
      <c r="AB9005">
        <v>26</v>
      </c>
      <c r="AC9005">
        <v>43.263100000000001</v>
      </c>
      <c r="AD9005">
        <v>-1.120353441434</v>
      </c>
      <c r="AE9005">
        <v>-4.7417299999999898</v>
      </c>
      <c r="AF9005">
        <v>-6.5185065415152303</v>
      </c>
      <c r="AG9005">
        <v>-1.120353441434</v>
      </c>
      <c r="AH9005">
        <v>43.002104679729001</v>
      </c>
      <c r="AI9005">
        <v>91.475566360165104</v>
      </c>
      <c r="AJ9005">
        <v>98.619602689957802</v>
      </c>
      <c r="AK9005">
        <v>43.507782364214798</v>
      </c>
      <c r="AL9005">
        <v>84.188009197983106</v>
      </c>
      <c r="AM9005">
        <v>97.316760937304807</v>
      </c>
      <c r="AN9005">
        <v>0.99999997448710898</v>
      </c>
    </row>
    <row r="9006" spans="1:40" x14ac:dyDescent="0.25">
      <c r="A9006" t="str">
        <f>"20190303162127405"</f>
        <v>20190303162127405</v>
      </c>
      <c r="B9006" t="str">
        <f>"1551601287391373"</f>
        <v>1551601287391373</v>
      </c>
      <c r="C9006" t="s">
        <v>40</v>
      </c>
      <c r="D9006">
        <v>5.0178909999999997</v>
      </c>
      <c r="E9006">
        <v>0.48987269999999999</v>
      </c>
      <c r="F9006" t="s">
        <v>89</v>
      </c>
      <c r="G9006">
        <v>-234.77430000000001</v>
      </c>
      <c r="H9006" s="1">
        <v>-1.987024E-6</v>
      </c>
      <c r="I9006">
        <v>-63.960549999999998</v>
      </c>
      <c r="J9006">
        <v>-276.51620000000003</v>
      </c>
      <c r="K9006">
        <v>1.120374</v>
      </c>
      <c r="L9006">
        <v>-59.43665</v>
      </c>
      <c r="M9006">
        <v>0.96628890000000001</v>
      </c>
      <c r="N9006">
        <v>-1.147331E-2</v>
      </c>
      <c r="O9006">
        <v>-0.25720470000000001</v>
      </c>
      <c r="P9006">
        <v>0.98747130000000005</v>
      </c>
      <c r="Q9006">
        <v>8.9332899999999896E-2</v>
      </c>
      <c r="R9006">
        <v>-0.13007779999999999</v>
      </c>
      <c r="S9006">
        <v>3.0024410000000001</v>
      </c>
      <c r="T9006">
        <v>-8.0321310000000007E-2</v>
      </c>
      <c r="U9006">
        <v>-0.3269958</v>
      </c>
      <c r="V9006">
        <v>-0.1281146</v>
      </c>
      <c r="W9006">
        <v>0.100893</v>
      </c>
      <c r="X9006">
        <v>0.98661399999999999</v>
      </c>
      <c r="Y9006">
        <v>-0.15097929999999901</v>
      </c>
      <c r="Z9006">
        <v>6.6812190000000004E-3</v>
      </c>
      <c r="AA9006">
        <v>0.98851440000000002</v>
      </c>
      <c r="AB9006">
        <v>26</v>
      </c>
      <c r="AC9006">
        <v>41.741900000000001</v>
      </c>
      <c r="AD9006">
        <v>-1.120375987024</v>
      </c>
      <c r="AE9006">
        <v>-4.5238999999999896</v>
      </c>
      <c r="AF9006">
        <v>-6.3607078978702098</v>
      </c>
      <c r="AG9006">
        <v>-1.120375987024</v>
      </c>
      <c r="AH9006">
        <v>41.471501974291897</v>
      </c>
      <c r="AI9006">
        <v>91.529623147990804</v>
      </c>
      <c r="AJ9006">
        <v>98.719811413353796</v>
      </c>
      <c r="AK9006">
        <v>41.971410785414697</v>
      </c>
      <c r="AL9006">
        <v>84.209404110680694</v>
      </c>
      <c r="AM9006">
        <v>97.398618745674895</v>
      </c>
      <c r="AN9006">
        <v>0.99999996658907897</v>
      </c>
    </row>
    <row r="9007" spans="1:40" x14ac:dyDescent="0.25">
      <c r="A9007" t="str">
        <f>"20190303162127416"</f>
        <v>20190303162127416</v>
      </c>
      <c r="B9007" t="str">
        <f>"1551601287402109"</f>
        <v>1551601287402109</v>
      </c>
      <c r="C9007" t="s">
        <v>40</v>
      </c>
      <c r="D9007">
        <v>4.8642510000000003</v>
      </c>
      <c r="E9007">
        <v>0.49000300000000002</v>
      </c>
      <c r="F9007" t="s">
        <v>89</v>
      </c>
      <c r="G9007">
        <v>-234.8673</v>
      </c>
      <c r="H9007" s="1">
        <v>-2.0180660000000001E-6</v>
      </c>
      <c r="I9007">
        <v>-63.927250000000001</v>
      </c>
      <c r="J9007">
        <v>-276.38440000000003</v>
      </c>
      <c r="K9007">
        <v>1.1204130000000001</v>
      </c>
      <c r="L9007">
        <v>-59.472290000000001</v>
      </c>
      <c r="M9007">
        <v>0.9661672</v>
      </c>
      <c r="N9007">
        <v>-1.1473239999999999E-2</v>
      </c>
      <c r="O9007">
        <v>-0.25766149999999999</v>
      </c>
      <c r="P9007">
        <v>0.9875891</v>
      </c>
      <c r="Q9007">
        <v>8.9454430000000001E-2</v>
      </c>
      <c r="R9007">
        <v>-0.12909619999999999</v>
      </c>
      <c r="S9007">
        <v>3.0027469999999998</v>
      </c>
      <c r="T9007">
        <v>-8.0775260000000002E-2</v>
      </c>
      <c r="U9007">
        <v>-0.32376100000000002</v>
      </c>
      <c r="V9007">
        <v>-0.1295685</v>
      </c>
      <c r="W9007">
        <v>0.1010031</v>
      </c>
      <c r="X9007">
        <v>0.98641290000000004</v>
      </c>
      <c r="Y9007">
        <v>-0.1525078</v>
      </c>
      <c r="Z9007">
        <v>6.766368E-3</v>
      </c>
      <c r="AA9007">
        <v>0.98827909999999997</v>
      </c>
      <c r="AB9007">
        <v>26</v>
      </c>
      <c r="AC9007">
        <v>41.517099999999999</v>
      </c>
      <c r="AD9007">
        <v>-1.120415018066</v>
      </c>
      <c r="AE9007">
        <v>-4.4549599999999998</v>
      </c>
      <c r="AF9007">
        <v>-6.3889423678305803</v>
      </c>
      <c r="AG9007">
        <v>-1.120415018066</v>
      </c>
      <c r="AH9007">
        <v>41.233356954222401</v>
      </c>
      <c r="AI9007">
        <v>91.538143249301697</v>
      </c>
      <c r="AJ9007">
        <v>98.807709734083701</v>
      </c>
      <c r="AK9007">
        <v>41.740431719215501</v>
      </c>
      <c r="AL9007">
        <v>84.203063741664906</v>
      </c>
      <c r="AM9007">
        <v>97.483143536832202</v>
      </c>
      <c r="AN9007">
        <v>1.00000001584413</v>
      </c>
    </row>
    <row r="9008" spans="1:40" x14ac:dyDescent="0.25">
      <c r="A9008" t="str">
        <f>"20190303162127427"</f>
        <v>20190303162127427</v>
      </c>
      <c r="B9008" t="str">
        <f>"1551601287421628"</f>
        <v>1551601287421628</v>
      </c>
      <c r="C9008" t="s">
        <v>40</v>
      </c>
      <c r="D9008">
        <v>5.1006960000000001</v>
      </c>
      <c r="E9008">
        <v>0.51340229999999998</v>
      </c>
      <c r="F9008" t="s">
        <v>89</v>
      </c>
      <c r="G9008">
        <v>-234.47200000000001</v>
      </c>
      <c r="H9008" s="1">
        <v>-1.85924E-6</v>
      </c>
      <c r="I9008">
        <v>-63.967739999999999</v>
      </c>
      <c r="J9008">
        <v>-276.26249999999999</v>
      </c>
      <c r="K9008">
        <v>1.1204529999999999</v>
      </c>
      <c r="L9008">
        <v>-59.505279999999999</v>
      </c>
      <c r="M9008">
        <v>0.96605819999999998</v>
      </c>
      <c r="N9008">
        <v>-1.147316E-2</v>
      </c>
      <c r="O9008">
        <v>-0.25806980000000002</v>
      </c>
      <c r="P9008">
        <v>0.98771160000000002</v>
      </c>
      <c r="Q9008">
        <v>8.9878990000000006E-2</v>
      </c>
      <c r="R9008">
        <v>-0.127858</v>
      </c>
      <c r="S9008">
        <v>3.0028380000000001</v>
      </c>
      <c r="T9008">
        <v>-8.0272670000000004E-2</v>
      </c>
      <c r="U9008">
        <v>-0.32208249999999999</v>
      </c>
      <c r="V9008">
        <v>-0.1312227</v>
      </c>
      <c r="W9008">
        <v>0.1014158</v>
      </c>
      <c r="X9008">
        <v>0.98615180000000002</v>
      </c>
      <c r="Y9008">
        <v>-0.15347549999999999</v>
      </c>
      <c r="Z9008">
        <v>6.735408E-3</v>
      </c>
      <c r="AA9008">
        <v>0.98812949999999999</v>
      </c>
      <c r="AB9008">
        <v>26</v>
      </c>
      <c r="AC9008">
        <v>41.790499999999902</v>
      </c>
      <c r="AD9008">
        <v>-1.1204548592399901</v>
      </c>
      <c r="AE9008">
        <v>-4.4624599999999903</v>
      </c>
      <c r="AF9008">
        <v>-6.4696974450308797</v>
      </c>
      <c r="AG9008">
        <v>-1.1204548592399901</v>
      </c>
      <c r="AH9008">
        <v>41.4969190492085</v>
      </c>
      <c r="AI9008">
        <v>91.5282099065208</v>
      </c>
      <c r="AJ9008">
        <v>98.861524317859704</v>
      </c>
      <c r="AK9008">
        <v>42.013172871117398</v>
      </c>
      <c r="AL9008">
        <v>84.179295443332407</v>
      </c>
      <c r="AM9008">
        <v>97.579560466860599</v>
      </c>
      <c r="AN9008">
        <v>0.99999996706408401</v>
      </c>
    </row>
    <row r="9009" spans="1:40" x14ac:dyDescent="0.25">
      <c r="A9009" t="str">
        <f>"20190303162127437"</f>
        <v>20190303162127437</v>
      </c>
      <c r="B9009" t="str">
        <f>"1551601287431388"</f>
        <v>1551601287431388</v>
      </c>
      <c r="C9009" t="s">
        <v>40</v>
      </c>
      <c r="D9009">
        <v>5.0512079999999999</v>
      </c>
      <c r="E9009">
        <v>0.52048499999999998</v>
      </c>
      <c r="F9009" t="s">
        <v>41</v>
      </c>
      <c r="G9009">
        <v>-264.99209999999999</v>
      </c>
      <c r="H9009" s="1">
        <v>-1.4260399999999901E-6</v>
      </c>
      <c r="I9009">
        <v>-61.432879999999997</v>
      </c>
      <c r="J9009">
        <v>-276.14940000000001</v>
      </c>
      <c r="K9009">
        <v>1.120503</v>
      </c>
      <c r="L9009">
        <v>-59.53595</v>
      </c>
      <c r="M9009">
        <v>0.96597029999999995</v>
      </c>
      <c r="N9009">
        <v>-1.1472909999999999E-2</v>
      </c>
      <c r="O9009">
        <v>-0.2583992</v>
      </c>
      <c r="P9009">
        <v>0.98776929999999996</v>
      </c>
      <c r="Q9009">
        <v>9.0782080000000001E-2</v>
      </c>
      <c r="R9009">
        <v>-0.12676989999999999</v>
      </c>
      <c r="S9009">
        <v>2.9980769999999999</v>
      </c>
      <c r="T9009">
        <v>-0.29805579999999998</v>
      </c>
      <c r="U9009">
        <v>-0.51278690000000005</v>
      </c>
      <c r="V9009">
        <v>-0.1326357</v>
      </c>
      <c r="W9009">
        <v>0.1023024</v>
      </c>
      <c r="X9009">
        <v>0.98587119999999995</v>
      </c>
      <c r="Y9009">
        <v>-9.0440199999999998E-2</v>
      </c>
      <c r="Z9009">
        <v>2.7081879999999999E-2</v>
      </c>
      <c r="AA9009">
        <v>0.99553360000000002</v>
      </c>
      <c r="AB9009">
        <v>26</v>
      </c>
      <c r="AC9009">
        <v>11.157299999999999</v>
      </c>
      <c r="AD9009">
        <v>-1.1205044260399999</v>
      </c>
      <c r="AE9009">
        <v>-1.89693</v>
      </c>
      <c r="AF9009">
        <v>-1.04052860134078</v>
      </c>
      <c r="AG9009">
        <v>-1.1205044260399999</v>
      </c>
      <c r="AH9009">
        <v>11.1591384789696</v>
      </c>
      <c r="AI9009">
        <v>95.709327206459506</v>
      </c>
      <c r="AJ9009">
        <v>95.327114615275207</v>
      </c>
      <c r="AK9009">
        <v>11.263418731974999</v>
      </c>
      <c r="AL9009">
        <v>84.128231700515499</v>
      </c>
      <c r="AM9009">
        <v>97.662367149513798</v>
      </c>
      <c r="AN9009">
        <v>1.0000000164748399</v>
      </c>
    </row>
    <row r="9010" spans="1:40" x14ac:dyDescent="0.25">
      <c r="A9010" t="str">
        <f>"20190303162127447"</f>
        <v>20190303162127447</v>
      </c>
      <c r="B9010" t="str">
        <f>"1551601287442124"</f>
        <v>1551601287442124</v>
      </c>
      <c r="C9010" t="s">
        <v>40</v>
      </c>
      <c r="D9010">
        <v>4.9462780000000004</v>
      </c>
      <c r="E9010">
        <v>0.52724569999999904</v>
      </c>
      <c r="F9010" t="s">
        <v>41</v>
      </c>
      <c r="G9010">
        <v>-266.73039999999997</v>
      </c>
      <c r="H9010" s="1">
        <v>-2.1423179999999999E-6</v>
      </c>
      <c r="I9010">
        <v>-61.322220000000002</v>
      </c>
      <c r="J9010">
        <v>-276.03949999999998</v>
      </c>
      <c r="K9010">
        <v>1.1205590000000001</v>
      </c>
      <c r="L9010">
        <v>-59.5657</v>
      </c>
      <c r="M9010">
        <v>0.96588799999999997</v>
      </c>
      <c r="N9010">
        <v>-1.1472700000000001E-2</v>
      </c>
      <c r="O9010">
        <v>-0.25870579999999999</v>
      </c>
      <c r="P9010">
        <v>0.98783200000000004</v>
      </c>
      <c r="Q9010">
        <v>9.1676590000000002E-2</v>
      </c>
      <c r="R9010">
        <v>-0.12563170000000001</v>
      </c>
      <c r="S9010">
        <v>2.9969790000000001</v>
      </c>
      <c r="T9010">
        <v>-0.35652899999999998</v>
      </c>
      <c r="U9010">
        <v>-0.5683899</v>
      </c>
      <c r="V9010">
        <v>-0.13407549999999999</v>
      </c>
      <c r="W9010">
        <v>0.1031799</v>
      </c>
      <c r="X9010">
        <v>0.98558489999999999</v>
      </c>
      <c r="Y9010">
        <v>-7.2282360000000004E-2</v>
      </c>
      <c r="Z9010">
        <v>3.1644249999999999E-2</v>
      </c>
      <c r="AA9010">
        <v>0.99688209999999999</v>
      </c>
      <c r="AB9010">
        <v>26</v>
      </c>
      <c r="AC9010">
        <v>9.3091000000000008</v>
      </c>
      <c r="AD9010">
        <v>-1.120561142318</v>
      </c>
      <c r="AE9010">
        <v>-1.7565199999999901</v>
      </c>
      <c r="AF9010">
        <v>-0.70194225729015403</v>
      </c>
      <c r="AG9010">
        <v>-1.120561142318</v>
      </c>
      <c r="AH9010">
        <v>9.3162442467548594</v>
      </c>
      <c r="AI9010">
        <v>96.839406013602996</v>
      </c>
      <c r="AJ9010">
        <v>94.308869440340104</v>
      </c>
      <c r="AK9010">
        <v>9.4096114197896394</v>
      </c>
      <c r="AL9010">
        <v>84.077686861779796</v>
      </c>
      <c r="AM9010">
        <v>97.746762698446901</v>
      </c>
      <c r="AN9010">
        <v>0.99999996328613405</v>
      </c>
    </row>
    <row r="9011" spans="1:40" x14ac:dyDescent="0.25">
      <c r="A9011" t="str">
        <f>"20190303162127456"</f>
        <v>20190303162127456</v>
      </c>
      <c r="B9011" t="str">
        <f>"1551601287451885"</f>
        <v>1551601287451885</v>
      </c>
      <c r="C9011" t="s">
        <v>40</v>
      </c>
      <c r="D9011">
        <v>4.9468489999999896</v>
      </c>
      <c r="E9011">
        <v>0.52724569999999904</v>
      </c>
      <c r="F9011" t="s">
        <v>42</v>
      </c>
      <c r="G9011">
        <v>-275.13319999999999</v>
      </c>
      <c r="H9011">
        <v>0.99986390000000003</v>
      </c>
      <c r="I9011">
        <v>-59.753700000000002</v>
      </c>
      <c r="J9011">
        <v>-275.92259999999999</v>
      </c>
      <c r="K9011">
        <v>1.120627</v>
      </c>
      <c r="L9011">
        <v>-59.597380000000001</v>
      </c>
      <c r="M9011">
        <v>0.96581680000000003</v>
      </c>
      <c r="N9011">
        <v>-1.147256E-2</v>
      </c>
      <c r="O9011">
        <v>-0.25897199999999998</v>
      </c>
      <c r="P9011">
        <v>0.98784119999999997</v>
      </c>
      <c r="Q9011">
        <v>9.2703309999999997E-2</v>
      </c>
      <c r="R9011">
        <v>-0.12480380000000001</v>
      </c>
      <c r="S9011">
        <v>2.9950260000000002</v>
      </c>
      <c r="T9011">
        <v>-0.39880919999999997</v>
      </c>
      <c r="U9011">
        <v>-0.62072749999999999</v>
      </c>
      <c r="V9011">
        <v>-0.13516420000000001</v>
      </c>
      <c r="W9011">
        <v>0.1041839</v>
      </c>
      <c r="X9011">
        <v>0.98533059999999995</v>
      </c>
      <c r="Y9011">
        <v>-5.5316419999999998E-2</v>
      </c>
      <c r="Z9011">
        <v>3.4435250000000001E-2</v>
      </c>
      <c r="AA9011">
        <v>0.99787490000000001</v>
      </c>
      <c r="AB9011">
        <v>26</v>
      </c>
      <c r="AC9011">
        <v>0.78939999999999999</v>
      </c>
      <c r="AD9011">
        <v>-0.120763099999999</v>
      </c>
      <c r="AE9011">
        <v>-0.15631999999999999</v>
      </c>
      <c r="AF9011">
        <v>-5.2282130720894097E-2</v>
      </c>
      <c r="AG9011">
        <v>-0.120763099999999</v>
      </c>
      <c r="AH9011">
        <v>0.78526679149430401</v>
      </c>
      <c r="AI9011">
        <v>98.723784061025597</v>
      </c>
      <c r="AJ9011">
        <v>93.809063422988004</v>
      </c>
      <c r="AK9011">
        <v>0.79621673012948302</v>
      </c>
      <c r="AL9011">
        <v>84.019850516432797</v>
      </c>
      <c r="AM9011">
        <v>97.810884286117101</v>
      </c>
      <c r="AN9011">
        <v>1.0000000186386</v>
      </c>
    </row>
    <row r="9012" spans="1:40" x14ac:dyDescent="0.25">
      <c r="A9012" t="str">
        <f>"20190303162127468"</f>
        <v>20190303162127468</v>
      </c>
      <c r="B9012" t="str">
        <f>"1551601287461644"</f>
        <v>1551601287461644</v>
      </c>
      <c r="C9012" t="s">
        <v>40</v>
      </c>
      <c r="D9012">
        <v>4.9287970000000003</v>
      </c>
      <c r="E9012">
        <v>0.55345059999999902</v>
      </c>
      <c r="F9012" t="s">
        <v>86</v>
      </c>
      <c r="G9012">
        <v>-267.43849999999998</v>
      </c>
      <c r="H9012" s="1">
        <v>-2.4529580000000002E-6</v>
      </c>
      <c r="I9012">
        <v>-61.348010000000002</v>
      </c>
      <c r="J9012">
        <v>-275.79360000000003</v>
      </c>
      <c r="K9012">
        <v>1.1207149999999999</v>
      </c>
      <c r="L9012">
        <v>-59.632319999999901</v>
      </c>
      <c r="M9012">
        <v>0.96574629999999995</v>
      </c>
      <c r="N9012">
        <v>-1.14725E-2</v>
      </c>
      <c r="O9012">
        <v>-0.2592352</v>
      </c>
      <c r="P9012">
        <v>0.98784269999999996</v>
      </c>
      <c r="Q9012">
        <v>9.3394240000000003E-2</v>
      </c>
      <c r="R9012">
        <v>-0.1242762</v>
      </c>
      <c r="S9012">
        <v>2.9960019999999998</v>
      </c>
      <c r="T9012">
        <v>-0.39572819999999997</v>
      </c>
      <c r="U9012">
        <v>-0.61822509999999997</v>
      </c>
      <c r="V9012">
        <v>-0.13596129999999901</v>
      </c>
      <c r="W9012">
        <v>0.1048492</v>
      </c>
      <c r="X9012">
        <v>0.98515030000000003</v>
      </c>
      <c r="Y9012">
        <v>-5.6478309999999997E-2</v>
      </c>
      <c r="Z9012">
        <v>3.4255220000000003E-2</v>
      </c>
      <c r="AA9012">
        <v>0.99781600000000004</v>
      </c>
      <c r="AB9012">
        <v>26</v>
      </c>
      <c r="AC9012">
        <v>8.3551000000000499</v>
      </c>
      <c r="AD9012">
        <v>-1.120717452958</v>
      </c>
      <c r="AE9012">
        <v>-1.7156899999999999</v>
      </c>
      <c r="AF9012">
        <v>-0.500408882517972</v>
      </c>
      <c r="AG9012">
        <v>-1.120717452958</v>
      </c>
      <c r="AH9012">
        <v>8.3697342122643104</v>
      </c>
      <c r="AI9012">
        <v>97.613174029899497</v>
      </c>
      <c r="AJ9012">
        <v>93.421521709931596</v>
      </c>
      <c r="AK9012">
        <v>8.4592474513407598</v>
      </c>
      <c r="AL9012">
        <v>83.981521429644999</v>
      </c>
      <c r="AM9012">
        <v>97.857793531713199</v>
      </c>
      <c r="AN9012">
        <v>0.99999997171420896</v>
      </c>
    </row>
    <row r="9013" spans="1:40" x14ac:dyDescent="0.25">
      <c r="A9013" t="str">
        <f>"20190303162127479"</f>
        <v>20190303162127479</v>
      </c>
      <c r="B9013" t="str">
        <f>"1551601287471404"</f>
        <v>1551601287471404</v>
      </c>
      <c r="C9013" t="s">
        <v>40</v>
      </c>
      <c r="D9013">
        <v>4.9262680000000003</v>
      </c>
      <c r="E9013">
        <v>0.55370769999999903</v>
      </c>
      <c r="F9013" t="s">
        <v>42</v>
      </c>
      <c r="G9013">
        <v>-274.97379999999998</v>
      </c>
      <c r="H9013">
        <v>0.893092</v>
      </c>
      <c r="I9013">
        <v>-59.861449999999998</v>
      </c>
      <c r="J9013">
        <v>-275.67099999999999</v>
      </c>
      <c r="K9013">
        <v>1.1208009999999999</v>
      </c>
      <c r="L9013">
        <v>-59.665500000000002</v>
      </c>
      <c r="M9013">
        <v>0.96569640000000001</v>
      </c>
      <c r="N9013">
        <v>-1.1472599999999999E-2</v>
      </c>
      <c r="O9013">
        <v>-0.2594205</v>
      </c>
      <c r="P9013">
        <v>0.98781350000000001</v>
      </c>
      <c r="Q9013">
        <v>9.4177330000000004E-2</v>
      </c>
      <c r="R9013">
        <v>-0.12391530000000001</v>
      </c>
      <c r="S9013">
        <v>3.010132</v>
      </c>
      <c r="T9013">
        <v>-0.83572449999999998</v>
      </c>
      <c r="U9013">
        <v>-0.84097289999999902</v>
      </c>
      <c r="V9013">
        <v>-0.1365112</v>
      </c>
      <c r="W9013">
        <v>0.10560369999999999</v>
      </c>
      <c r="X9013">
        <v>0.98499369999999997</v>
      </c>
      <c r="Y9013">
        <v>1.742024E-2</v>
      </c>
      <c r="Z9013">
        <v>6.2860860000000005E-2</v>
      </c>
      <c r="AA9013">
        <v>0.99787029999999999</v>
      </c>
      <c r="AB9013">
        <v>26</v>
      </c>
      <c r="AC9013">
        <v>0.69720000000000903</v>
      </c>
      <c r="AD9013">
        <v>-0.227708999999999</v>
      </c>
      <c r="AE9013">
        <v>-0.19594999999999599</v>
      </c>
      <c r="AF9013">
        <v>7.6085887810533499E-3</v>
      </c>
      <c r="AG9013">
        <v>-0.227708999999999</v>
      </c>
      <c r="AH9013">
        <v>0.659013413253144</v>
      </c>
      <c r="AI9013">
        <v>109.06039550126999</v>
      </c>
      <c r="AJ9013">
        <v>89.338525365062097</v>
      </c>
      <c r="AK9013">
        <v>0.69728613793176697</v>
      </c>
      <c r="AL9013">
        <v>83.938050711497894</v>
      </c>
      <c r="AM9013">
        <v>97.890413724808795</v>
      </c>
      <c r="AN9013">
        <v>1.0000000191094001</v>
      </c>
    </row>
    <row r="9014" spans="1:40" x14ac:dyDescent="0.25">
      <c r="A9014" t="str">
        <f>"20190303162127490"</f>
        <v>20190303162127490</v>
      </c>
      <c r="B9014" t="str">
        <f>"1551601287482141"</f>
        <v>1551601287482141</v>
      </c>
      <c r="C9014" t="s">
        <v>40</v>
      </c>
      <c r="D9014">
        <v>4.9385440000000003</v>
      </c>
      <c r="E9014">
        <v>0.5537974</v>
      </c>
      <c r="F9014" t="s">
        <v>42</v>
      </c>
      <c r="G9014">
        <v>-274.96379999999999</v>
      </c>
      <c r="H9014">
        <v>0.91644760000000003</v>
      </c>
      <c r="I9014">
        <v>-59.862990000000003</v>
      </c>
      <c r="J9014">
        <v>-275.54730000000001</v>
      </c>
      <c r="K9014">
        <v>1.1208929999999999</v>
      </c>
      <c r="L9014">
        <v>-59.69894</v>
      </c>
      <c r="M9014">
        <v>0.96566260000000004</v>
      </c>
      <c r="N9014">
        <v>-1.147288E-2</v>
      </c>
      <c r="O9014">
        <v>-0.25954650000000001</v>
      </c>
      <c r="P9014">
        <v>0.98780950000000001</v>
      </c>
      <c r="Q9014">
        <v>9.4525109999999996E-2</v>
      </c>
      <c r="R9014">
        <v>-0.12368410000000001</v>
      </c>
      <c r="S9014">
        <v>3.0144959999999998</v>
      </c>
      <c r="T9014">
        <v>-0.87102520000000005</v>
      </c>
      <c r="U9014">
        <v>-0.84146119999999902</v>
      </c>
      <c r="V9014">
        <v>-0.13688520000000001</v>
      </c>
      <c r="W9014">
        <v>0.105920899999999</v>
      </c>
      <c r="X9014">
        <v>0.98490770000000005</v>
      </c>
      <c r="Y9014">
        <v>1.7696369999999999E-2</v>
      </c>
      <c r="Z9014">
        <v>6.5444699999999995E-2</v>
      </c>
      <c r="AA9014">
        <v>0.99769929999999996</v>
      </c>
      <c r="AB9014">
        <v>26</v>
      </c>
      <c r="AC9014">
        <v>0.58350000000001501</v>
      </c>
      <c r="AD9014">
        <v>-0.2044454</v>
      </c>
      <c r="AE9014">
        <v>-0.164050000000003</v>
      </c>
      <c r="AF9014">
        <v>6.2598337194515402E-3</v>
      </c>
      <c r="AG9014">
        <v>-0.2044454</v>
      </c>
      <c r="AH9014">
        <v>0.54417132318475403</v>
      </c>
      <c r="AI9014">
        <v>110.589973070102</v>
      </c>
      <c r="AJ9014">
        <v>89.340931397673401</v>
      </c>
      <c r="AK9014">
        <v>0.58134287307577903</v>
      </c>
      <c r="AL9014">
        <v>83.919773784009095</v>
      </c>
      <c r="AM9014">
        <v>97.912439809738203</v>
      </c>
      <c r="AN9014">
        <v>0.99999998627757003</v>
      </c>
    </row>
    <row r="9015" spans="1:40" x14ac:dyDescent="0.25">
      <c r="A9015" t="str">
        <f>"20190303162127500"</f>
        <v>20190303162127500</v>
      </c>
      <c r="B9015" t="str">
        <f>"1551601287491900"</f>
        <v>1551601287491900</v>
      </c>
      <c r="C9015" t="s">
        <v>40</v>
      </c>
      <c r="D9015">
        <v>4.9021019999999904</v>
      </c>
      <c r="E9015">
        <v>0.55372840000000001</v>
      </c>
      <c r="F9015" t="s">
        <v>42</v>
      </c>
      <c r="G9015">
        <v>-274.75029999999998</v>
      </c>
      <c r="H9015">
        <v>0.88593889999999997</v>
      </c>
      <c r="I9015">
        <v>-59.921069999999901</v>
      </c>
      <c r="J9015">
        <v>-275.42129999999997</v>
      </c>
      <c r="K9015">
        <v>1.1209990000000001</v>
      </c>
      <c r="L9015">
        <v>-59.732970000000002</v>
      </c>
      <c r="M9015">
        <v>0.96564570000000005</v>
      </c>
      <c r="N9015">
        <v>-1.147335E-2</v>
      </c>
      <c r="O9015">
        <v>-0.25960860000000002</v>
      </c>
      <c r="P9015">
        <v>0.9878673</v>
      </c>
      <c r="Q9015">
        <v>9.4816220000000007E-2</v>
      </c>
      <c r="R9015">
        <v>-0.12299599999999999</v>
      </c>
      <c r="S9015">
        <v>3.0169679999999999</v>
      </c>
      <c r="T9015">
        <v>-0.8893759</v>
      </c>
      <c r="U9015">
        <v>-0.83999630000000003</v>
      </c>
      <c r="V9015">
        <v>-0.13765479999999899</v>
      </c>
      <c r="W9015">
        <v>0.10617740000000001</v>
      </c>
      <c r="X9015">
        <v>0.9847728</v>
      </c>
      <c r="Y9015">
        <v>1.732858E-2</v>
      </c>
      <c r="Z9015">
        <v>6.6856789999999999E-2</v>
      </c>
      <c r="AA9015">
        <v>0.9976121</v>
      </c>
      <c r="AB9015">
        <v>26</v>
      </c>
      <c r="AC9015">
        <v>0.67099999999999205</v>
      </c>
      <c r="AD9015">
        <v>-0.23506009999999999</v>
      </c>
      <c r="AE9015">
        <v>-0.18809999999999799</v>
      </c>
      <c r="AF9015">
        <v>6.6809316347076998E-3</v>
      </c>
      <c r="AG9015">
        <v>-0.23506009999999999</v>
      </c>
      <c r="AH9015">
        <v>0.62564213423788595</v>
      </c>
      <c r="AI9015">
        <v>110.59063363179899</v>
      </c>
      <c r="AJ9015">
        <v>89.388189164353605</v>
      </c>
      <c r="AK9015">
        <v>0.66837561714447202</v>
      </c>
      <c r="AL9015">
        <v>83.904994008555306</v>
      </c>
      <c r="AM9015">
        <v>97.957433183910098</v>
      </c>
      <c r="AN9015">
        <v>0.999999975926819</v>
      </c>
    </row>
    <row r="9016" spans="1:40" x14ac:dyDescent="0.25">
      <c r="A9016" t="str">
        <f>"20190303162127513"</f>
        <v>20190303162127513</v>
      </c>
      <c r="B9016" t="str">
        <f>"1551601287502637"</f>
        <v>1551601287502637</v>
      </c>
      <c r="C9016" t="s">
        <v>40</v>
      </c>
      <c r="D9016">
        <v>4.8941280000000003</v>
      </c>
      <c r="E9016">
        <v>0.55359840000000005</v>
      </c>
      <c r="F9016" t="s">
        <v>42</v>
      </c>
      <c r="G9016">
        <v>-274.73700000000002</v>
      </c>
      <c r="H9016">
        <v>0.91683760000000003</v>
      </c>
      <c r="I9016">
        <v>-59.922759999999997</v>
      </c>
      <c r="J9016">
        <v>-275.291</v>
      </c>
      <c r="K9016">
        <v>1.1211230000000001</v>
      </c>
      <c r="L9016">
        <v>-59.768009999999997</v>
      </c>
      <c r="M9016">
        <v>0.96566059999999998</v>
      </c>
      <c r="N9016">
        <v>-1.147432E-2</v>
      </c>
      <c r="O9016">
        <v>-0.25955309999999998</v>
      </c>
      <c r="P9016">
        <v>0.98793229999999999</v>
      </c>
      <c r="Q9016">
        <v>9.4766160000000002E-2</v>
      </c>
      <c r="R9016">
        <v>-0.1225112</v>
      </c>
      <c r="S9016">
        <v>3.019196</v>
      </c>
      <c r="T9016">
        <v>-0.90078999999999998</v>
      </c>
      <c r="U9016">
        <v>-0.8364258</v>
      </c>
      <c r="V9016">
        <v>-0.13811499999999999</v>
      </c>
      <c r="W9016">
        <v>0.1060859</v>
      </c>
      <c r="X9016">
        <v>0.98471830000000005</v>
      </c>
      <c r="Y9016">
        <v>1.6353099999999999E-2</v>
      </c>
      <c r="Z9016">
        <v>6.7815130000000001E-2</v>
      </c>
      <c r="AA9016">
        <v>0.99756389999999995</v>
      </c>
      <c r="AB9016">
        <v>26</v>
      </c>
      <c r="AC9016">
        <v>0.55399999999997296</v>
      </c>
      <c r="AD9016">
        <v>-0.20428539999999901</v>
      </c>
      <c r="AE9016">
        <v>-0.154749999999999</v>
      </c>
      <c r="AF9016">
        <v>5.01178525001652E-3</v>
      </c>
      <c r="AG9016">
        <v>-0.20428539999999901</v>
      </c>
      <c r="AH9016">
        <v>0.51075686860087499</v>
      </c>
      <c r="AI9016">
        <v>111.798780842941</v>
      </c>
      <c r="AJ9016">
        <v>89.437805060156194</v>
      </c>
      <c r="AK9016">
        <v>0.55011837041451594</v>
      </c>
      <c r="AL9016">
        <v>83.910266808405098</v>
      </c>
      <c r="AM9016">
        <v>97.984129750280204</v>
      </c>
      <c r="AN9016">
        <v>1.0000000508793401</v>
      </c>
    </row>
    <row r="9017" spans="1:40" x14ac:dyDescent="0.25">
      <c r="A9017" t="str">
        <f>"20190303162127536"</f>
        <v>20190303162127536</v>
      </c>
      <c r="B9017" t="str">
        <f>"1551601287522156"</f>
        <v>1551601287522156</v>
      </c>
      <c r="C9017" t="s">
        <v>40</v>
      </c>
      <c r="D9017">
        <v>4.939654</v>
      </c>
      <c r="E9017">
        <v>0.55351649999999997</v>
      </c>
      <c r="F9017" t="s">
        <v>42</v>
      </c>
      <c r="G9017">
        <v>-274.52210000000002</v>
      </c>
      <c r="H9017">
        <v>0.88920469999999896</v>
      </c>
      <c r="I9017">
        <v>-59.980159999999998</v>
      </c>
      <c r="J9017">
        <v>-275.03179999999998</v>
      </c>
      <c r="K9017">
        <v>1.121413</v>
      </c>
      <c r="L9017">
        <v>-59.837400000000002</v>
      </c>
      <c r="M9017">
        <v>0.96577170000000001</v>
      </c>
      <c r="N9017">
        <v>-1.1477940000000001E-2</v>
      </c>
      <c r="O9017">
        <v>-0.25913930000000002</v>
      </c>
      <c r="P9017">
        <v>0.98802800000000002</v>
      </c>
      <c r="Q9017">
        <v>9.4526780000000005E-2</v>
      </c>
      <c r="R9017">
        <v>-0.12192359999999999</v>
      </c>
      <c r="S9017">
        <v>3.0206599999999999</v>
      </c>
      <c r="T9017">
        <v>-0.91099920000000001</v>
      </c>
      <c r="U9017">
        <v>-0.83328250000000004</v>
      </c>
      <c r="V9017">
        <v>-0.13836080000000001</v>
      </c>
      <c r="W9017">
        <v>0.1057516</v>
      </c>
      <c r="X9017">
        <v>0.98471969999999998</v>
      </c>
      <c r="Y9017">
        <v>1.5894769999999999E-2</v>
      </c>
      <c r="Z9017">
        <v>6.8524370000000001E-2</v>
      </c>
      <c r="AA9017">
        <v>0.99752280000000004</v>
      </c>
      <c r="AB9017">
        <v>26</v>
      </c>
      <c r="AC9017">
        <v>0.50969999999995197</v>
      </c>
      <c r="AD9017">
        <v>-0.23220830000000001</v>
      </c>
      <c r="AE9017">
        <v>-0.142759999999995</v>
      </c>
      <c r="AF9017">
        <v>4.8560771387925203E-3</v>
      </c>
      <c r="AG9017">
        <v>-0.23220830000000001</v>
      </c>
      <c r="AH9017">
        <v>0.44386070341954798</v>
      </c>
      <c r="AI9017">
        <v>117.61516767087799</v>
      </c>
      <c r="AJ9017">
        <v>89.3731780654837</v>
      </c>
      <c r="AK9017">
        <v>0.50095568677694802</v>
      </c>
      <c r="AL9017">
        <v>83.929528829609694</v>
      </c>
      <c r="AM9017">
        <v>97.998143979718705</v>
      </c>
      <c r="AN9017">
        <v>0.99999999972364495</v>
      </c>
    </row>
    <row r="9018" spans="1:40" x14ac:dyDescent="0.25">
      <c r="A9018" t="str">
        <f>"20190303162127547"</f>
        <v>20190303162127547</v>
      </c>
      <c r="B9018" t="str">
        <f>"1551601287541677"</f>
        <v>1551601287541677</v>
      </c>
      <c r="C9018" t="s">
        <v>40</v>
      </c>
      <c r="D9018">
        <v>4.9452740000000004</v>
      </c>
      <c r="E9018">
        <v>0.55348929999999996</v>
      </c>
      <c r="F9018" t="s">
        <v>42</v>
      </c>
      <c r="G9018">
        <v>-274.29289999999997</v>
      </c>
      <c r="H9018">
        <v>0.89600489999999999</v>
      </c>
      <c r="I9018">
        <v>-60.040419999999997</v>
      </c>
      <c r="J9018">
        <v>-274.90789999999998</v>
      </c>
      <c r="K9018">
        <v>1.1215759999999999</v>
      </c>
      <c r="L9018">
        <v>-59.870420000000003</v>
      </c>
      <c r="M9018">
        <v>0.96586139999999998</v>
      </c>
      <c r="N9018">
        <v>-1.1480600000000001E-2</v>
      </c>
      <c r="O9018">
        <v>-0.25880570000000003</v>
      </c>
      <c r="P9018">
        <v>0.98796240000000002</v>
      </c>
      <c r="Q9018">
        <v>9.5127329999999996E-2</v>
      </c>
      <c r="R9018">
        <v>-0.1219894</v>
      </c>
      <c r="S9018">
        <v>3.022186</v>
      </c>
      <c r="T9018">
        <v>-0.92197419999999997</v>
      </c>
      <c r="U9018">
        <v>-0.82946779999999998</v>
      </c>
      <c r="V9018">
        <v>-0.13798070000000001</v>
      </c>
      <c r="W9018">
        <v>0.1063016</v>
      </c>
      <c r="X9018">
        <v>0.98471379999999997</v>
      </c>
      <c r="Y9018">
        <v>1.5174989999999999E-2</v>
      </c>
      <c r="Z9018">
        <v>6.935152E-2</v>
      </c>
      <c r="AA9018">
        <v>0.9974769</v>
      </c>
      <c r="AB9018">
        <v>26</v>
      </c>
      <c r="AC9018">
        <v>0.61500000000000898</v>
      </c>
      <c r="AD9018">
        <v>-0.2255711</v>
      </c>
      <c r="AE9018">
        <v>-0.17000000000000101</v>
      </c>
      <c r="AF9018">
        <v>4.47231484184473E-3</v>
      </c>
      <c r="AG9018">
        <v>-0.2255711</v>
      </c>
      <c r="AH9018">
        <v>0.56716018475741004</v>
      </c>
      <c r="AI9018">
        <v>111.68810669280199</v>
      </c>
      <c r="AJ9018">
        <v>89.548206201625106</v>
      </c>
      <c r="AK9018">
        <v>0.61038758009097305</v>
      </c>
      <c r="AL9018">
        <v>83.897837430681193</v>
      </c>
      <c r="AM9018">
        <v>97.976502109807697</v>
      </c>
      <c r="AN9018">
        <v>0.99999998582274496</v>
      </c>
    </row>
    <row r="9019" spans="1:40" x14ac:dyDescent="0.25">
      <c r="A9019" t="str">
        <f>"20190303162127558"</f>
        <v>20190303162127558</v>
      </c>
      <c r="B9019" t="str">
        <f>"1551601287551437"</f>
        <v>1551601287551437</v>
      </c>
      <c r="C9019" t="s">
        <v>40</v>
      </c>
      <c r="D9019">
        <v>4.9383499999999998</v>
      </c>
      <c r="E9019">
        <v>0.5535504</v>
      </c>
      <c r="F9019" t="s">
        <v>42</v>
      </c>
      <c r="G9019">
        <v>-274.07810000000001</v>
      </c>
      <c r="H9019">
        <v>0.86784150000000004</v>
      </c>
      <c r="I9019">
        <v>-60.0974</v>
      </c>
      <c r="J9019">
        <v>-274.77629999999999</v>
      </c>
      <c r="K9019">
        <v>1.121759</v>
      </c>
      <c r="L9019">
        <v>-59.905149999999999</v>
      </c>
      <c r="M9019">
        <v>0.96600200000000003</v>
      </c>
      <c r="N9019">
        <v>-1.1484960000000001E-2</v>
      </c>
      <c r="O9019">
        <v>-0.25827990000000001</v>
      </c>
      <c r="P9019">
        <v>0.98783460000000001</v>
      </c>
      <c r="Q9019">
        <v>9.6025379999999994E-2</v>
      </c>
      <c r="R9019">
        <v>-0.1223202</v>
      </c>
      <c r="S9019">
        <v>3.0234070000000002</v>
      </c>
      <c r="T9019">
        <v>-0.9244367</v>
      </c>
      <c r="U9019">
        <v>-0.82723999999999998</v>
      </c>
      <c r="V9019">
        <v>-0.13713900000000001</v>
      </c>
      <c r="W9019">
        <v>0.1071455</v>
      </c>
      <c r="X9019">
        <v>0.98473999999999995</v>
      </c>
      <c r="Y9019">
        <v>1.496751E-2</v>
      </c>
      <c r="Z9019">
        <v>6.9406960000000004E-2</v>
      </c>
      <c r="AA9019">
        <v>0.99747620000000004</v>
      </c>
      <c r="AB9019">
        <v>26</v>
      </c>
      <c r="AC9019">
        <v>0.69819999999998505</v>
      </c>
      <c r="AD9019">
        <v>-0.25391749999999902</v>
      </c>
      <c r="AE9019">
        <v>-0.192250000000001</v>
      </c>
      <c r="AF9019">
        <v>4.79386380985658E-3</v>
      </c>
      <c r="AG9019">
        <v>-0.25391749999999902</v>
      </c>
      <c r="AH9019">
        <v>0.64488374559489803</v>
      </c>
      <c r="AI9019">
        <v>111.491079266141</v>
      </c>
      <c r="AJ9019">
        <v>89.574088963244705</v>
      </c>
      <c r="AK9019">
        <v>0.693088827834487</v>
      </c>
      <c r="AL9019">
        <v>83.849208275488806</v>
      </c>
      <c r="AM9019">
        <v>97.928256790563097</v>
      </c>
      <c r="AN9019">
        <v>1.00000006554562</v>
      </c>
    </row>
    <row r="9020" spans="1:40" x14ac:dyDescent="0.25">
      <c r="A9020" t="str">
        <f>"20190303162127569"</f>
        <v>20190303162127569</v>
      </c>
      <c r="B9020" t="str">
        <f>"1551601287562172"</f>
        <v>1551601287562172</v>
      </c>
      <c r="C9020" t="s">
        <v>40</v>
      </c>
      <c r="D9020">
        <v>4.966958</v>
      </c>
      <c r="E9020">
        <v>0.55350279999999996</v>
      </c>
      <c r="F9020" t="s">
        <v>42</v>
      </c>
      <c r="G9020">
        <v>-274.06299999999999</v>
      </c>
      <c r="H9020">
        <v>0.90411649999999999</v>
      </c>
      <c r="I9020">
        <v>-60.10004</v>
      </c>
      <c r="J9020">
        <v>-274.6576</v>
      </c>
      <c r="K9020">
        <v>1.121929</v>
      </c>
      <c r="L9020">
        <v>-59.936399999999999</v>
      </c>
      <c r="M9020">
        <v>0.96614840000000002</v>
      </c>
      <c r="N9020">
        <v>-1.148879E-2</v>
      </c>
      <c r="O9020">
        <v>-0.25773180000000001</v>
      </c>
      <c r="P9020">
        <v>0.98763140000000005</v>
      </c>
      <c r="Q9020">
        <v>9.7495520000000002E-2</v>
      </c>
      <c r="R9020">
        <v>-0.12279710000000001</v>
      </c>
      <c r="S9020">
        <v>3.024292</v>
      </c>
      <c r="T9020">
        <v>-0.92262169999999999</v>
      </c>
      <c r="U9020">
        <v>-0.82647709999999996</v>
      </c>
      <c r="V9020">
        <v>-0.13611239999999999</v>
      </c>
      <c r="W9020">
        <v>0.1085667</v>
      </c>
      <c r="X9020">
        <v>0.98472669999999995</v>
      </c>
      <c r="Y9020">
        <v>1.5157159999999999E-2</v>
      </c>
      <c r="Z9020">
        <v>6.9076369999999998E-2</v>
      </c>
      <c r="AA9020">
        <v>0.99749620000000006</v>
      </c>
      <c r="AB9020">
        <v>26</v>
      </c>
      <c r="AC9020">
        <v>0.59460000000001401</v>
      </c>
      <c r="AD9020">
        <v>-0.21781249999999999</v>
      </c>
      <c r="AE9020">
        <v>-0.16364000000000001</v>
      </c>
      <c r="AF9020">
        <v>4.3152303530754003E-3</v>
      </c>
      <c r="AG9020">
        <v>-0.21781249999999999</v>
      </c>
      <c r="AH9020">
        <v>0.54829316852536403</v>
      </c>
      <c r="AI9020">
        <v>111.665115751275</v>
      </c>
      <c r="AJ9020">
        <v>89.549074479976298</v>
      </c>
      <c r="AK9020">
        <v>0.58998839397129998</v>
      </c>
      <c r="AL9020">
        <v>83.767301261910603</v>
      </c>
      <c r="AM9020">
        <v>97.869758494869799</v>
      </c>
      <c r="AN9020">
        <v>0.99999999373776904</v>
      </c>
    </row>
    <row r="9021" spans="1:40" x14ac:dyDescent="0.25">
      <c r="A9021" t="str">
        <f>"20190303162127579"</f>
        <v>20190303162127579</v>
      </c>
      <c r="B9021" t="str">
        <f>"1551601287571933"</f>
        <v>1551601287571933</v>
      </c>
      <c r="C9021" t="s">
        <v>40</v>
      </c>
      <c r="D9021">
        <v>4.9701199999999996</v>
      </c>
      <c r="E9021">
        <v>0.55350449999999995</v>
      </c>
      <c r="F9021" t="s">
        <v>42</v>
      </c>
      <c r="G9021">
        <v>-273.84859999999998</v>
      </c>
      <c r="H9021">
        <v>0.87561389999999995</v>
      </c>
      <c r="I9021">
        <v>-60.157110000000003</v>
      </c>
      <c r="J9021">
        <v>-274.52910000000003</v>
      </c>
      <c r="K9021">
        <v>1.1221190000000001</v>
      </c>
      <c r="L9021">
        <v>-59.969970000000004</v>
      </c>
      <c r="M9021">
        <v>0.96634219999999904</v>
      </c>
      <c r="N9021">
        <v>-1.1492789999999999E-2</v>
      </c>
      <c r="O9021">
        <v>-0.25700440000000002</v>
      </c>
      <c r="P9021">
        <v>0.98751690000000003</v>
      </c>
      <c r="Q9021">
        <v>9.8358970000000004E-2</v>
      </c>
      <c r="R9021">
        <v>-0.12303070000000001</v>
      </c>
      <c r="S9021">
        <v>3.0260009999999999</v>
      </c>
      <c r="T9021">
        <v>-0.92134340000000003</v>
      </c>
      <c r="U9021">
        <v>-0.82485959999999903</v>
      </c>
      <c r="V9021">
        <v>-0.13516500000000001</v>
      </c>
      <c r="W9021">
        <v>0.1093763</v>
      </c>
      <c r="X9021">
        <v>0.98476759999999997</v>
      </c>
      <c r="Y9021">
        <v>1.520789E-2</v>
      </c>
      <c r="Z9021">
        <v>6.8744730000000004E-2</v>
      </c>
      <c r="AA9021">
        <v>0.99751840000000003</v>
      </c>
      <c r="AB9021">
        <v>26</v>
      </c>
      <c r="AC9021">
        <v>0.68050000000005095</v>
      </c>
      <c r="AD9021">
        <v>-0.2465051</v>
      </c>
      <c r="AE9021">
        <v>-0.187139999999999</v>
      </c>
      <c r="AF9021">
        <v>5.3032219373330101E-3</v>
      </c>
      <c r="AG9021">
        <v>-0.2465051</v>
      </c>
      <c r="AH9021">
        <v>0.62900415395685705</v>
      </c>
      <c r="AI9021">
        <v>111.39939251849</v>
      </c>
      <c r="AJ9021">
        <v>89.516942720430805</v>
      </c>
      <c r="AK9021">
        <v>0.67560277840156002</v>
      </c>
      <c r="AL9021">
        <v>83.720636674762801</v>
      </c>
      <c r="AM9021">
        <v>97.815340351461501</v>
      </c>
      <c r="AN9021">
        <v>0.99999998911822396</v>
      </c>
    </row>
    <row r="9022" spans="1:40" x14ac:dyDescent="0.25">
      <c r="A9022" t="str">
        <f>"20190303162127592"</f>
        <v>20190303162127592</v>
      </c>
      <c r="B9022" t="str">
        <f>"1551601287582669"</f>
        <v>1551601287582669</v>
      </c>
      <c r="C9022" t="s">
        <v>40</v>
      </c>
      <c r="D9022">
        <v>4.9624610000000002</v>
      </c>
      <c r="E9022">
        <v>0.5534618</v>
      </c>
      <c r="F9022" t="s">
        <v>42</v>
      </c>
      <c r="G9022">
        <v>-273.8338</v>
      </c>
      <c r="H9022">
        <v>0.91075899999999999</v>
      </c>
      <c r="I9022">
        <v>-60.1592699999999</v>
      </c>
      <c r="J9022">
        <v>-274.39760000000001</v>
      </c>
      <c r="K9022">
        <v>1.122312</v>
      </c>
      <c r="L9022">
        <v>-60.003999999999998</v>
      </c>
      <c r="M9022">
        <v>0.96657510000000002</v>
      </c>
      <c r="N9022">
        <v>-1.1496340000000001E-2</v>
      </c>
      <c r="O9022">
        <v>-0.25612620000000003</v>
      </c>
      <c r="P9022">
        <v>0.98741650000000003</v>
      </c>
      <c r="Q9022">
        <v>9.9169149999999998E-2</v>
      </c>
      <c r="R9022">
        <v>-0.1231831</v>
      </c>
      <c r="S9022">
        <v>3.0269780000000002</v>
      </c>
      <c r="T9022">
        <v>-0.92026330000000001</v>
      </c>
      <c r="U9022">
        <v>-0.82339479999999998</v>
      </c>
      <c r="V9022">
        <v>-0.13414779999999901</v>
      </c>
      <c r="W9022">
        <v>0.1101323</v>
      </c>
      <c r="X9022">
        <v>0.98482250000000005</v>
      </c>
      <c r="Y9022">
        <v>1.551484E-2</v>
      </c>
      <c r="Z9022">
        <v>6.8364659999999994E-2</v>
      </c>
      <c r="AA9022">
        <v>0.99753979999999998</v>
      </c>
      <c r="AB9022">
        <v>26</v>
      </c>
      <c r="AC9022">
        <v>0.56380000000001396</v>
      </c>
      <c r="AD9022">
        <v>-0.21155299999999999</v>
      </c>
      <c r="AE9022">
        <v>-0.155269999999994</v>
      </c>
      <c r="AF9022">
        <v>5.0196228532570697E-3</v>
      </c>
      <c r="AG9022">
        <v>-0.21155299999999999</v>
      </c>
      <c r="AH9022">
        <v>0.51709087660872399</v>
      </c>
      <c r="AI9022">
        <v>112.249579514185</v>
      </c>
      <c r="AJ9022">
        <v>89.443822771310096</v>
      </c>
      <c r="AK9022">
        <v>0.55871535068813705</v>
      </c>
      <c r="AL9022">
        <v>83.677058218326394</v>
      </c>
      <c r="AM9022">
        <v>97.756816689045493</v>
      </c>
      <c r="AN9022">
        <v>1.00000005612718</v>
      </c>
    </row>
    <row r="9023" spans="1:40" x14ac:dyDescent="0.25">
      <c r="A9023" t="str">
        <f>"20190303162127604"</f>
        <v>20190303162127604</v>
      </c>
      <c r="B9023" t="str">
        <f>"1551601287592429"</f>
        <v>1551601287592429</v>
      </c>
      <c r="C9023" t="s">
        <v>40</v>
      </c>
      <c r="D9023">
        <v>4.9785579999999996</v>
      </c>
      <c r="E9023">
        <v>0.55351099999999998</v>
      </c>
      <c r="F9023" t="s">
        <v>42</v>
      </c>
      <c r="G9023">
        <v>-273.61799999999999</v>
      </c>
      <c r="H9023">
        <v>0.8855999</v>
      </c>
      <c r="I9023">
        <v>-60.215829999999997</v>
      </c>
      <c r="J9023">
        <v>-274.26310000000001</v>
      </c>
      <c r="K9023">
        <v>1.1225130000000001</v>
      </c>
      <c r="L9023">
        <v>-60.038670000000003</v>
      </c>
      <c r="M9023">
        <v>0.96683790000000003</v>
      </c>
      <c r="N9023">
        <v>-1.149938E-2</v>
      </c>
      <c r="O9023">
        <v>-0.25513239999999998</v>
      </c>
      <c r="P9023">
        <v>0.98738340000000002</v>
      </c>
      <c r="Q9023">
        <v>0.1000562</v>
      </c>
      <c r="R9023">
        <v>-0.12273050000000001</v>
      </c>
      <c r="S9023">
        <v>3.0279850000000001</v>
      </c>
      <c r="T9023">
        <v>-0.91931030000000002</v>
      </c>
      <c r="U9023">
        <v>-0.82232669999999997</v>
      </c>
      <c r="V9023">
        <v>-0.13361689999999901</v>
      </c>
      <c r="W9023">
        <v>0.1109617</v>
      </c>
      <c r="X9023">
        <v>0.9848015</v>
      </c>
      <c r="Y9023">
        <v>1.6049000000000001E-2</v>
      </c>
      <c r="Z9023">
        <v>6.7927349999999997E-2</v>
      </c>
      <c r="AA9023">
        <v>0.99756120000000004</v>
      </c>
      <c r="AB9023">
        <v>26</v>
      </c>
      <c r="AC9023">
        <v>0.645100000000013</v>
      </c>
      <c r="AD9023">
        <v>-0.23691309999999899</v>
      </c>
      <c r="AE9023">
        <v>-0.17716000000000701</v>
      </c>
      <c r="AF9023">
        <v>5.9529489355887796E-3</v>
      </c>
      <c r="AG9023">
        <v>-0.23691309999999899</v>
      </c>
      <c r="AH9023">
        <v>0.59440384979350003</v>
      </c>
      <c r="AI9023">
        <v>111.72988417761201</v>
      </c>
      <c r="AJ9023">
        <v>89.426202493365494</v>
      </c>
      <c r="AK9023">
        <v>0.63990561116618805</v>
      </c>
      <c r="AL9023">
        <v>83.629243584620198</v>
      </c>
      <c r="AM9023">
        <v>97.726652814765799</v>
      </c>
      <c r="AN9023">
        <v>0.99999998461737405</v>
      </c>
    </row>
    <row r="9024" spans="1:40" x14ac:dyDescent="0.25">
      <c r="A9024" t="str">
        <f>"20190303162127616"</f>
        <v>20190303162127616</v>
      </c>
      <c r="B9024" t="str">
        <f>"1551601287611949"</f>
        <v>1551601287611949</v>
      </c>
      <c r="C9024" t="s">
        <v>40</v>
      </c>
      <c r="D9024">
        <v>5.0151659999999998</v>
      </c>
      <c r="E9024">
        <v>0.553844</v>
      </c>
      <c r="F9024" t="s">
        <v>42</v>
      </c>
      <c r="G9024">
        <v>-273.60210000000001</v>
      </c>
      <c r="H9024">
        <v>0.92267560000000004</v>
      </c>
      <c r="I9024">
        <v>-60.218049999999998</v>
      </c>
      <c r="J9024">
        <v>-274.12709999999998</v>
      </c>
      <c r="K9024">
        <v>1.122703</v>
      </c>
      <c r="L9024">
        <v>-60.073239999999998</v>
      </c>
      <c r="M9024">
        <v>0.96715589999999996</v>
      </c>
      <c r="N9024">
        <v>-1.150209E-2</v>
      </c>
      <c r="O9024">
        <v>-0.25392409999999999</v>
      </c>
      <c r="P9024">
        <v>0.9874754</v>
      </c>
      <c r="Q9024">
        <v>0.1008085</v>
      </c>
      <c r="R9024">
        <v>-0.1213678</v>
      </c>
      <c r="S9024">
        <v>3.0290530000000002</v>
      </c>
      <c r="T9024">
        <v>-0.91582779999999997</v>
      </c>
      <c r="U9024">
        <v>-0.82162479999999904</v>
      </c>
      <c r="V9024">
        <v>-0.13377929999999999</v>
      </c>
      <c r="W9024">
        <v>0.1116554</v>
      </c>
      <c r="X9024">
        <v>0.98470100000000005</v>
      </c>
      <c r="Y9024">
        <v>1.6843489999999999E-2</v>
      </c>
      <c r="Z9024">
        <v>6.7205290000000001E-2</v>
      </c>
      <c r="AA9024">
        <v>0.99759699999999996</v>
      </c>
      <c r="AB9024">
        <v>26</v>
      </c>
      <c r="AC9024">
        <v>0.52499999999997704</v>
      </c>
      <c r="AD9024">
        <v>-0.20002739999999999</v>
      </c>
      <c r="AE9024">
        <v>-0.144809999999992</v>
      </c>
      <c r="AF9024">
        <v>5.9424905051749799E-3</v>
      </c>
      <c r="AG9024">
        <v>-0.20002739999999999</v>
      </c>
      <c r="AH9024">
        <v>0.47983351105709898</v>
      </c>
      <c r="AI9024">
        <v>112.628149699857</v>
      </c>
      <c r="AJ9024">
        <v>89.290457601589495</v>
      </c>
      <c r="AK9024">
        <v>0.51989082726813596</v>
      </c>
      <c r="AL9024">
        <v>83.5892487114982</v>
      </c>
      <c r="AM9024">
        <v>97.736710235473694</v>
      </c>
      <c r="AN9024">
        <v>0.99999994442932305</v>
      </c>
    </row>
    <row r="9025" spans="1:40" x14ac:dyDescent="0.25">
      <c r="A9025" t="str">
        <f>"20190303162127628"</f>
        <v>20190303162127628</v>
      </c>
      <c r="B9025" t="str">
        <f>"1551601287621711"</f>
        <v>1551601287621711</v>
      </c>
      <c r="C9025" t="s">
        <v>40</v>
      </c>
      <c r="D9025">
        <v>4.9689399999999999</v>
      </c>
      <c r="E9025">
        <v>0.554069699999999</v>
      </c>
      <c r="F9025" t="s">
        <v>42</v>
      </c>
      <c r="G9025">
        <v>-273.38589999999999</v>
      </c>
      <c r="H9025">
        <v>0.89903909999999998</v>
      </c>
      <c r="I9025">
        <v>-60.274439999999998</v>
      </c>
      <c r="J9025">
        <v>-273.98180000000002</v>
      </c>
      <c r="K9025">
        <v>1.1229</v>
      </c>
      <c r="L9025">
        <v>-60.109990000000003</v>
      </c>
      <c r="M9025">
        <v>0.96751659999999995</v>
      </c>
      <c r="N9025">
        <v>-1.150469E-2</v>
      </c>
      <c r="O9025">
        <v>-0.25254569999999998</v>
      </c>
      <c r="P9025">
        <v>0.98766180000000003</v>
      </c>
      <c r="Q9025">
        <v>0.101229</v>
      </c>
      <c r="R9025">
        <v>-0.11948590000000001</v>
      </c>
      <c r="S9025">
        <v>3.0303960000000001</v>
      </c>
      <c r="T9025">
        <v>-0.91455509999999995</v>
      </c>
      <c r="U9025">
        <v>-0.82171629999999996</v>
      </c>
      <c r="V9025">
        <v>-0.134296</v>
      </c>
      <c r="W9025">
        <v>0.11201270000000001</v>
      </c>
      <c r="X9025">
        <v>0.98459019999999997</v>
      </c>
      <c r="Y9025">
        <v>1.8052430000000001E-2</v>
      </c>
      <c r="Z9025">
        <v>6.6531899999999894E-2</v>
      </c>
      <c r="AA9025">
        <v>0.99762099999999998</v>
      </c>
      <c r="AB9025">
        <v>26</v>
      </c>
      <c r="AC9025">
        <v>0.59590000000002796</v>
      </c>
      <c r="AD9025">
        <v>-0.2238609</v>
      </c>
      <c r="AE9025">
        <v>-0.16445000000000201</v>
      </c>
      <c r="AF9025">
        <v>7.6177100785217401E-3</v>
      </c>
      <c r="AG9025">
        <v>-0.2238609</v>
      </c>
      <c r="AH9025">
        <v>0.54645356210648699</v>
      </c>
      <c r="AI9025">
        <v>112.275063252512</v>
      </c>
      <c r="AJ9025">
        <v>89.201333108875005</v>
      </c>
      <c r="AK9025">
        <v>0.59057872260564703</v>
      </c>
      <c r="AL9025">
        <v>83.568648450442595</v>
      </c>
      <c r="AM9025">
        <v>97.767091296551698</v>
      </c>
      <c r="AN9025">
        <v>1.00000006125666</v>
      </c>
    </row>
    <row r="9026" spans="1:40" x14ac:dyDescent="0.25">
      <c r="A9026" t="str">
        <f>"20190303162127638"</f>
        <v>20190303162127638</v>
      </c>
      <c r="B9026" t="str">
        <f>"1551601287631469"</f>
        <v>1551601287631469</v>
      </c>
      <c r="C9026" t="s">
        <v>40</v>
      </c>
      <c r="D9026">
        <v>4.9765689999999996</v>
      </c>
      <c r="E9026">
        <v>0.55423549999999999</v>
      </c>
      <c r="F9026" t="s">
        <v>42</v>
      </c>
      <c r="G9026">
        <v>-273.16820000000001</v>
      </c>
      <c r="H9026">
        <v>0.87762119999999999</v>
      </c>
      <c r="I9026">
        <v>-60.32996</v>
      </c>
      <c r="J9026">
        <v>-273.86090000000002</v>
      </c>
      <c r="K9026">
        <v>1.1230579999999999</v>
      </c>
      <c r="L9026">
        <v>-60.140140000000002</v>
      </c>
      <c r="M9026">
        <v>0.96784979999999998</v>
      </c>
      <c r="N9026">
        <v>-1.150704E-2</v>
      </c>
      <c r="O9026">
        <v>-0.2512662</v>
      </c>
      <c r="P9026">
        <v>0.98791019999999896</v>
      </c>
      <c r="Q9026">
        <v>0.1016064</v>
      </c>
      <c r="R9026">
        <v>-0.117089</v>
      </c>
      <c r="S9026">
        <v>3.0320130000000001</v>
      </c>
      <c r="T9026">
        <v>-0.91409169999999995</v>
      </c>
      <c r="U9026">
        <v>-0.81958009999999903</v>
      </c>
      <c r="V9026">
        <v>-0.13541719999999999</v>
      </c>
      <c r="W9026">
        <v>0.1123358</v>
      </c>
      <c r="X9026">
        <v>0.98439969999999999</v>
      </c>
      <c r="Y9026">
        <v>1.8505110000000002E-2</v>
      </c>
      <c r="Z9026">
        <v>6.606128E-2</v>
      </c>
      <c r="AA9026">
        <v>0.99764390000000003</v>
      </c>
      <c r="AB9026">
        <v>26</v>
      </c>
      <c r="AC9026">
        <v>0.69270000000000198</v>
      </c>
      <c r="AD9026">
        <v>-0.24543679999999901</v>
      </c>
      <c r="AE9026">
        <v>-0.18981999999999699</v>
      </c>
      <c r="AF9026">
        <v>8.65510574196862E-3</v>
      </c>
      <c r="AG9026">
        <v>-0.24543679999999901</v>
      </c>
      <c r="AH9026">
        <v>0.64307802005912695</v>
      </c>
      <c r="AI9026">
        <v>110.888098794938</v>
      </c>
      <c r="AJ9026">
        <v>89.228909906223606</v>
      </c>
      <c r="AK9026">
        <v>0.688377420847612</v>
      </c>
      <c r="AL9026">
        <v>83.550017945938194</v>
      </c>
      <c r="AM9026">
        <v>97.832631935154396</v>
      </c>
      <c r="AN9026">
        <v>0.99999995968878397</v>
      </c>
    </row>
    <row r="9027" spans="1:40" x14ac:dyDescent="0.25">
      <c r="A9027" t="str">
        <f>"20190303162127649"</f>
        <v>20190303162127649</v>
      </c>
      <c r="B9027" t="str">
        <f>"1551601287642205"</f>
        <v>1551601287642205</v>
      </c>
      <c r="C9027" t="s">
        <v>40</v>
      </c>
      <c r="D9027">
        <v>4.974761</v>
      </c>
      <c r="E9027">
        <v>0.55442829999999999</v>
      </c>
      <c r="F9027" t="s">
        <v>42</v>
      </c>
      <c r="G9027">
        <v>-273.15410000000003</v>
      </c>
      <c r="H9027">
        <v>0.91010069999999998</v>
      </c>
      <c r="I9027">
        <v>-60.330460000000002</v>
      </c>
      <c r="J9027">
        <v>-273.74770000000001</v>
      </c>
      <c r="K9027">
        <v>1.1231930000000001</v>
      </c>
      <c r="L9027">
        <v>-60.16818</v>
      </c>
      <c r="M9027">
        <v>0.9681748</v>
      </c>
      <c r="N9027">
        <v>-1.150903E-2</v>
      </c>
      <c r="O9027">
        <v>-0.25000919999999999</v>
      </c>
      <c r="P9027">
        <v>0.98820419999999998</v>
      </c>
      <c r="Q9027">
        <v>0.1020216</v>
      </c>
      <c r="R9027">
        <v>-0.11421050000000001</v>
      </c>
      <c r="S9027">
        <v>3.0339049999999999</v>
      </c>
      <c r="T9027">
        <v>-0.91421629999999998</v>
      </c>
      <c r="U9027">
        <v>-0.81683349999999999</v>
      </c>
      <c r="V9027">
        <v>-0.13703589999999999</v>
      </c>
      <c r="W9027">
        <v>0.1126993</v>
      </c>
      <c r="X9027">
        <v>0.98413410000000001</v>
      </c>
      <c r="Y9027">
        <v>1.8744759999999999E-2</v>
      </c>
      <c r="Z9027">
        <v>6.5668249999999997E-2</v>
      </c>
      <c r="AA9027">
        <v>0.99766540000000004</v>
      </c>
      <c r="AB9027">
        <v>26</v>
      </c>
      <c r="AC9027">
        <v>0.59359999999998003</v>
      </c>
      <c r="AD9027">
        <v>-0.21309230000000001</v>
      </c>
      <c r="AE9027">
        <v>-0.16227999999998799</v>
      </c>
      <c r="AF9027">
        <v>7.7778988375114197E-3</v>
      </c>
      <c r="AG9027">
        <v>-0.21309230000000001</v>
      </c>
      <c r="AH9027">
        <v>0.54943926577983804</v>
      </c>
      <c r="AI9027">
        <v>111.19614807378601</v>
      </c>
      <c r="AJ9027">
        <v>89.188971301732806</v>
      </c>
      <c r="AK9027">
        <v>0.58936604144648796</v>
      </c>
      <c r="AL9027">
        <v>83.5290577537952</v>
      </c>
      <c r="AM9027">
        <v>97.927187663577897</v>
      </c>
      <c r="AN9027">
        <v>0.999999948446053</v>
      </c>
    </row>
    <row r="9028" spans="1:40" x14ac:dyDescent="0.25">
      <c r="A9028" t="str">
        <f>"20190303162127658"</f>
        <v>20190303162127658</v>
      </c>
      <c r="B9028" t="str">
        <f>"1551601287651964"</f>
        <v>1551601287651964</v>
      </c>
      <c r="C9028" t="s">
        <v>40</v>
      </c>
      <c r="D9028">
        <v>4.9764429999999997</v>
      </c>
      <c r="E9028">
        <v>0.55458790000000002</v>
      </c>
      <c r="F9028" t="s">
        <v>42</v>
      </c>
      <c r="G9028">
        <v>-272.93979999999999</v>
      </c>
      <c r="H9028">
        <v>0.880140699999999</v>
      </c>
      <c r="I9028">
        <v>-60.384500000000003</v>
      </c>
      <c r="J9028">
        <v>-273.63</v>
      </c>
      <c r="K9028">
        <v>1.1233200000000001</v>
      </c>
      <c r="L9028">
        <v>-60.197110000000002</v>
      </c>
      <c r="M9028">
        <v>0.96853370000000005</v>
      </c>
      <c r="N9028">
        <v>-1.151103E-2</v>
      </c>
      <c r="O9028">
        <v>-0.2486167</v>
      </c>
      <c r="P9028">
        <v>0.98853829999999998</v>
      </c>
      <c r="Q9028">
        <v>0.1024808</v>
      </c>
      <c r="R9028">
        <v>-0.1108595</v>
      </c>
      <c r="S9028">
        <v>3.0362239999999998</v>
      </c>
      <c r="T9028">
        <v>-0.91361329999999996</v>
      </c>
      <c r="U9028">
        <v>-0.81228639999999996</v>
      </c>
      <c r="V9028">
        <v>-0.13898369999999999</v>
      </c>
      <c r="W9028">
        <v>0.11310580000000001</v>
      </c>
      <c r="X9028">
        <v>0.98381430000000003</v>
      </c>
      <c r="Y9028">
        <v>1.8537379999999999E-2</v>
      </c>
      <c r="Z9028">
        <v>6.5251439999999994E-2</v>
      </c>
      <c r="AA9028">
        <v>0.99769660000000004</v>
      </c>
      <c r="AB9028">
        <v>26</v>
      </c>
      <c r="AC9028">
        <v>0.69020000000000403</v>
      </c>
      <c r="AD9028">
        <v>-0.24317929999999999</v>
      </c>
      <c r="AE9028">
        <v>-0.187390000000007</v>
      </c>
      <c r="AF9028">
        <v>8.87307517591426E-3</v>
      </c>
      <c r="AG9028">
        <v>-0.24317929999999999</v>
      </c>
      <c r="AH9028">
        <v>0.641007291155823</v>
      </c>
      <c r="AI9028">
        <v>110.77345091287501</v>
      </c>
      <c r="AJ9028">
        <v>89.206939923367599</v>
      </c>
      <c r="AK9028">
        <v>0.68564221772473499</v>
      </c>
      <c r="AL9028">
        <v>83.505617371359804</v>
      </c>
      <c r="AM9028">
        <v>98.040979258147999</v>
      </c>
      <c r="AN9028">
        <v>0.99999998387190903</v>
      </c>
    </row>
    <row r="9029" spans="1:40" x14ac:dyDescent="0.25">
      <c r="A9029" t="str">
        <f>"20190303162127668"</f>
        <v>20190303162127668</v>
      </c>
      <c r="B9029" t="str">
        <f>"1551601287661725"</f>
        <v>1551601287661725</v>
      </c>
      <c r="C9029" t="s">
        <v>40</v>
      </c>
      <c r="D9029">
        <v>4.984089</v>
      </c>
      <c r="E9029">
        <v>0.55472299999999997</v>
      </c>
      <c r="F9029" t="s">
        <v>42</v>
      </c>
      <c r="G9029">
        <v>-272.92579999999998</v>
      </c>
      <c r="H9029">
        <v>0.91190119999999997</v>
      </c>
      <c r="I9029">
        <v>-60.383960000000002</v>
      </c>
      <c r="J9029">
        <v>-273.52190000000002</v>
      </c>
      <c r="K9029">
        <v>1.1234329999999999</v>
      </c>
      <c r="L9029">
        <v>-60.22345</v>
      </c>
      <c r="M9029">
        <v>0.96887310000000004</v>
      </c>
      <c r="N9029">
        <v>-1.151247E-2</v>
      </c>
      <c r="O9029">
        <v>-0.2472906</v>
      </c>
      <c r="P9029">
        <v>0.98896119999999998</v>
      </c>
      <c r="Q9029">
        <v>0.1025938</v>
      </c>
      <c r="R9029">
        <v>-0.10691440000000001</v>
      </c>
      <c r="S9029">
        <v>3.0390630000000001</v>
      </c>
      <c r="T9029">
        <v>-0.91257969999999999</v>
      </c>
      <c r="U9029">
        <v>-0.80554199999999998</v>
      </c>
      <c r="V9029">
        <v>-0.14159150000000001</v>
      </c>
      <c r="W9029">
        <v>0.1131669</v>
      </c>
      <c r="X9029">
        <v>0.98343530000000001</v>
      </c>
      <c r="Y9029">
        <v>1.757133E-2</v>
      </c>
      <c r="Z9029">
        <v>6.4932939999999995E-2</v>
      </c>
      <c r="AA9029">
        <v>0.99773489999999998</v>
      </c>
      <c r="AB9029">
        <v>26</v>
      </c>
      <c r="AC9029">
        <v>0.59610000000003505</v>
      </c>
      <c r="AD9029">
        <v>-0.21153179999999999</v>
      </c>
      <c r="AE9029">
        <v>-0.16050999999999499</v>
      </c>
      <c r="AF9029">
        <v>7.2528555985959999E-3</v>
      </c>
      <c r="AG9029">
        <v>-0.21153179999999999</v>
      </c>
      <c r="AH9029">
        <v>0.55241798469225001</v>
      </c>
      <c r="AI9029">
        <v>110.95118491913099</v>
      </c>
      <c r="AJ9029">
        <v>89.247790348103194</v>
      </c>
      <c r="AK9029">
        <v>0.59157749799753301</v>
      </c>
      <c r="AL9029">
        <v>83.502093721534095</v>
      </c>
      <c r="AM9029">
        <v>98.192940095809902</v>
      </c>
      <c r="AN9029">
        <v>0.99999994470697295</v>
      </c>
    </row>
    <row r="9030" spans="1:40" x14ac:dyDescent="0.25">
      <c r="A9030" t="str">
        <f>"20190303162127680"</f>
        <v>20190303162127680</v>
      </c>
      <c r="B9030" t="str">
        <f>"1551601287671486"</f>
        <v>1551601287671486</v>
      </c>
      <c r="C9030" t="s">
        <v>40</v>
      </c>
      <c r="D9030">
        <v>5.0040969999999998</v>
      </c>
      <c r="E9030">
        <v>0.5548073</v>
      </c>
      <c r="F9030" t="s">
        <v>42</v>
      </c>
      <c r="G9030">
        <v>-272.71159999999998</v>
      </c>
      <c r="H9030">
        <v>0.88026329999999997</v>
      </c>
      <c r="I9030">
        <v>-60.435740000000003</v>
      </c>
      <c r="J9030">
        <v>-273.39359999999999</v>
      </c>
      <c r="K9030">
        <v>1.12354</v>
      </c>
      <c r="L9030">
        <v>-60.254390000000001</v>
      </c>
      <c r="M9030">
        <v>0.96929200000000004</v>
      </c>
      <c r="N9030">
        <v>-1.151373E-2</v>
      </c>
      <c r="O9030">
        <v>-0.2456429</v>
      </c>
      <c r="P9030">
        <v>0.98947839999999998</v>
      </c>
      <c r="Q9030">
        <v>0.1028657</v>
      </c>
      <c r="R9030">
        <v>-0.1017415</v>
      </c>
      <c r="S9030">
        <v>3.042084</v>
      </c>
      <c r="T9030">
        <v>-0.91297450000000002</v>
      </c>
      <c r="U9030">
        <v>-0.79681400000000002</v>
      </c>
      <c r="V9030">
        <v>-0.145091</v>
      </c>
      <c r="W9030">
        <v>0.1133763</v>
      </c>
      <c r="X9030">
        <v>0.98290100000000002</v>
      </c>
      <c r="Y9030">
        <v>1.6341809999999998E-2</v>
      </c>
      <c r="Z9030">
        <v>6.4673270000000005E-2</v>
      </c>
      <c r="AA9030">
        <v>0.99777269999999896</v>
      </c>
      <c r="AB9030">
        <v>26</v>
      </c>
      <c r="AC9030">
        <v>0.68200000000001604</v>
      </c>
      <c r="AD9030">
        <v>-0.24327670000000001</v>
      </c>
      <c r="AE9030">
        <v>-0.18135000000000101</v>
      </c>
      <c r="AF9030">
        <v>7.3765650955697403E-3</v>
      </c>
      <c r="AG9030">
        <v>-0.24327670000000001</v>
      </c>
      <c r="AH9030">
        <v>0.63069919090758397</v>
      </c>
      <c r="AI9030">
        <v>111.091578320994</v>
      </c>
      <c r="AJ9030">
        <v>89.329907532333607</v>
      </c>
      <c r="AK9030">
        <v>0.67603212637194998</v>
      </c>
      <c r="AL9030">
        <v>83.490018496795898</v>
      </c>
      <c r="AM9030">
        <v>98.397079550811</v>
      </c>
      <c r="AN9030">
        <v>0.99999997974184396</v>
      </c>
    </row>
    <row r="9031" spans="1:40" x14ac:dyDescent="0.25">
      <c r="A9031" t="str">
        <f>"20190303162127691"</f>
        <v>20190303162127691</v>
      </c>
      <c r="B9031" t="str">
        <f>"1551601287682221"</f>
        <v>1551601287682221</v>
      </c>
      <c r="C9031" t="s">
        <v>40</v>
      </c>
      <c r="D9031">
        <v>5.006513</v>
      </c>
      <c r="E9031">
        <v>0.55490319999999904</v>
      </c>
      <c r="F9031" t="s">
        <v>42</v>
      </c>
      <c r="G9031">
        <v>-272.6961</v>
      </c>
      <c r="H9031">
        <v>0.91444369999999997</v>
      </c>
      <c r="I9031">
        <v>-60.433959999999999</v>
      </c>
      <c r="J9031">
        <v>-273.26920000000001</v>
      </c>
      <c r="K9031">
        <v>1.1236280000000001</v>
      </c>
      <c r="L9031">
        <v>-60.284120000000001</v>
      </c>
      <c r="M9031">
        <v>0.96971050000000003</v>
      </c>
      <c r="N9031">
        <v>-1.1514450000000001E-2</v>
      </c>
      <c r="O9031">
        <v>-0.24398600000000001</v>
      </c>
      <c r="P9031">
        <v>0.99002840000000003</v>
      </c>
      <c r="Q9031">
        <v>0.102795</v>
      </c>
      <c r="R9031">
        <v>-9.6319210000000002E-2</v>
      </c>
      <c r="S9031">
        <v>3.0462340000000001</v>
      </c>
      <c r="T9031">
        <v>-0.91322610000000004</v>
      </c>
      <c r="U9031">
        <v>-0.7839661</v>
      </c>
      <c r="V9031">
        <v>-0.14882619999999999</v>
      </c>
      <c r="W9031">
        <v>0.1132455</v>
      </c>
      <c r="X9031">
        <v>0.98235749999999999</v>
      </c>
      <c r="Y9031">
        <v>1.3816470000000001E-2</v>
      </c>
      <c r="Z9031">
        <v>6.4585340000000005E-2</v>
      </c>
      <c r="AA9031">
        <v>0.99781660000000005</v>
      </c>
      <c r="AB9031">
        <v>26</v>
      </c>
      <c r="AC9031">
        <v>0.57310000000001005</v>
      </c>
      <c r="AD9031">
        <v>-0.20918429999999999</v>
      </c>
      <c r="AE9031">
        <v>-0.149840000000004</v>
      </c>
      <c r="AF9031">
        <v>4.8665313367873501E-3</v>
      </c>
      <c r="AG9031">
        <v>-0.20918429999999999</v>
      </c>
      <c r="AH9031">
        <v>0.52666229016847499</v>
      </c>
      <c r="AI9031">
        <v>111.661576631839</v>
      </c>
      <c r="AJ9031">
        <v>89.470583377260795</v>
      </c>
      <c r="AK9031">
        <v>0.566705322349495</v>
      </c>
      <c r="AL9031">
        <v>83.497561623404195</v>
      </c>
      <c r="AM9031">
        <v>98.614744739628094</v>
      </c>
      <c r="AN9031">
        <v>1.00000001944146</v>
      </c>
    </row>
    <row r="9032" spans="1:40" x14ac:dyDescent="0.25">
      <c r="A9032" t="str">
        <f>"20190303162127702"</f>
        <v>20190303162127702</v>
      </c>
      <c r="B9032" t="str">
        <f>"1551601287691981"</f>
        <v>1551601287691981</v>
      </c>
      <c r="C9032" t="s">
        <v>40</v>
      </c>
      <c r="D9032">
        <v>4.9740699999999904</v>
      </c>
      <c r="E9032">
        <v>0.55498389999999997</v>
      </c>
      <c r="F9032" t="s">
        <v>42</v>
      </c>
      <c r="G9032">
        <v>-272.4796</v>
      </c>
      <c r="H9032">
        <v>0.88698359999999998</v>
      </c>
      <c r="I9032">
        <v>-60.483750000000001</v>
      </c>
      <c r="J9032">
        <v>-273.13979999999998</v>
      </c>
      <c r="K9032">
        <v>1.1237079999999999</v>
      </c>
      <c r="L9032">
        <v>-60.314790000000002</v>
      </c>
      <c r="M9032">
        <v>0.97015359999999995</v>
      </c>
      <c r="N9032">
        <v>-1.1514760000000001E-2</v>
      </c>
      <c r="O9032">
        <v>-0.24221760000000001</v>
      </c>
      <c r="P9032">
        <v>0.9905446</v>
      </c>
      <c r="Q9032">
        <v>0.1024808</v>
      </c>
      <c r="R9032">
        <v>-9.1207999999999997E-2</v>
      </c>
      <c r="S9032">
        <v>3.050262</v>
      </c>
      <c r="T9032">
        <v>-0.91438439999999999</v>
      </c>
      <c r="U9032">
        <v>-0.76998900000000003</v>
      </c>
      <c r="V9032">
        <v>-0.15213840000000001</v>
      </c>
      <c r="W9032">
        <v>0.112875</v>
      </c>
      <c r="X9032">
        <v>0.9818926</v>
      </c>
      <c r="Y9032">
        <v>1.1092660000000001E-2</v>
      </c>
      <c r="Z9032">
        <v>6.4566949999999998E-2</v>
      </c>
      <c r="AA9032">
        <v>0.99785170000000001</v>
      </c>
      <c r="AB9032">
        <v>26</v>
      </c>
      <c r="AC9032">
        <v>0.66019999999997403</v>
      </c>
      <c r="AD9032">
        <v>-0.236724399999999</v>
      </c>
      <c r="AE9032">
        <v>-0.168959999999998</v>
      </c>
      <c r="AF9032">
        <v>3.5740891520186502E-3</v>
      </c>
      <c r="AG9032">
        <v>-0.236724399999999</v>
      </c>
      <c r="AH9032">
        <v>0.60809018677972204</v>
      </c>
      <c r="AI9032">
        <v>111.270210603987</v>
      </c>
      <c r="AJ9032">
        <v>89.663244251562006</v>
      </c>
      <c r="AK9032">
        <v>0.65255259629122897</v>
      </c>
      <c r="AL9032">
        <v>83.518926365627493</v>
      </c>
      <c r="AM9032">
        <v>98.807601552645394</v>
      </c>
      <c r="AN9032">
        <v>0.99999996815715897</v>
      </c>
    </row>
    <row r="9033" spans="1:40" x14ac:dyDescent="0.25">
      <c r="A9033" t="str">
        <f>"20190303162127713"</f>
        <v>20190303162127713</v>
      </c>
      <c r="B9033" t="str">
        <f>"1551601287701741"</f>
        <v>1551601287701741</v>
      </c>
      <c r="C9033" t="s">
        <v>40</v>
      </c>
      <c r="D9033">
        <v>5.003603</v>
      </c>
      <c r="E9033">
        <v>0.55506029999999995</v>
      </c>
      <c r="F9033" t="s">
        <v>42</v>
      </c>
      <c r="G9033">
        <v>-272.46420000000001</v>
      </c>
      <c r="H9033">
        <v>0.92098860000000005</v>
      </c>
      <c r="I9033">
        <v>-60.482500000000002</v>
      </c>
      <c r="J9033">
        <v>-273.01400000000001</v>
      </c>
      <c r="K9033">
        <v>1.1237710000000001</v>
      </c>
      <c r="L9033">
        <v>-60.344209999999997</v>
      </c>
      <c r="M9033">
        <v>0.97059680000000004</v>
      </c>
      <c r="N9033">
        <v>-1.151484E-2</v>
      </c>
      <c r="O9033">
        <v>-0.2404365</v>
      </c>
      <c r="P9033">
        <v>0.99109100000000006</v>
      </c>
      <c r="Q9033">
        <v>0.1021664</v>
      </c>
      <c r="R9033">
        <v>-8.5445430000000003E-2</v>
      </c>
      <c r="S9033">
        <v>3.0538020000000001</v>
      </c>
      <c r="T9033">
        <v>-0.91665240000000003</v>
      </c>
      <c r="U9033">
        <v>-0.75674439999999998</v>
      </c>
      <c r="V9033">
        <v>-0.15607480000000001</v>
      </c>
      <c r="W9033">
        <v>0.11250449999999999</v>
      </c>
      <c r="X9033">
        <v>0.9813172</v>
      </c>
      <c r="Y9033">
        <v>8.6558840000000008E-3</v>
      </c>
      <c r="Z9033">
        <v>6.45868E-2</v>
      </c>
      <c r="AA9033">
        <v>0.99787459999999994</v>
      </c>
      <c r="AB9033">
        <v>26</v>
      </c>
      <c r="AC9033">
        <v>0.54980000000000395</v>
      </c>
      <c r="AD9033">
        <v>-0.202782399999999</v>
      </c>
      <c r="AE9033">
        <v>-0.13829000000000399</v>
      </c>
      <c r="AF9033">
        <v>1.80149353023359E-3</v>
      </c>
      <c r="AG9033">
        <v>-0.202782399999999</v>
      </c>
      <c r="AH9033">
        <v>0.50261640397512897</v>
      </c>
      <c r="AI9033">
        <v>111.971661982792</v>
      </c>
      <c r="AJ9033">
        <v>89.794639543624896</v>
      </c>
      <c r="AK9033">
        <v>0.54198449855469999</v>
      </c>
      <c r="AL9033">
        <v>83.540290915370406</v>
      </c>
      <c r="AM9033">
        <v>99.0369859924606</v>
      </c>
      <c r="AN9033">
        <v>1.00000002636556</v>
      </c>
    </row>
    <row r="9034" spans="1:40" x14ac:dyDescent="0.25">
      <c r="A9034" t="str">
        <f>"20190303162127725"</f>
        <v>20190303162127725</v>
      </c>
      <c r="B9034" t="str">
        <f>"1551601287711501"</f>
        <v>1551601287711501</v>
      </c>
      <c r="C9034" t="s">
        <v>40</v>
      </c>
      <c r="D9034">
        <v>5.0094709999999996</v>
      </c>
      <c r="E9034">
        <v>0.55510749999999998</v>
      </c>
      <c r="F9034" t="s">
        <v>42</v>
      </c>
      <c r="G9034">
        <v>-272.2473</v>
      </c>
      <c r="H9034">
        <v>0.89336419999999905</v>
      </c>
      <c r="I9034">
        <v>-60.529980000000002</v>
      </c>
      <c r="J9034">
        <v>-272.88440000000003</v>
      </c>
      <c r="K9034">
        <v>1.1238330000000001</v>
      </c>
      <c r="L9034">
        <v>-60.374360000000003</v>
      </c>
      <c r="M9034">
        <v>0.97105370000000002</v>
      </c>
      <c r="N9034">
        <v>-1.151465E-2</v>
      </c>
      <c r="O9034">
        <v>-0.23858370000000001</v>
      </c>
      <c r="P9034">
        <v>0.99159169999999996</v>
      </c>
      <c r="Q9034">
        <v>0.10201880000000001</v>
      </c>
      <c r="R9034">
        <v>-7.9610420000000001E-2</v>
      </c>
      <c r="S9034">
        <v>3.0578310000000002</v>
      </c>
      <c r="T9034">
        <v>-0.91894640000000005</v>
      </c>
      <c r="U9034">
        <v>-0.74069209999999996</v>
      </c>
      <c r="V9034">
        <v>-0.16000220000000001</v>
      </c>
      <c r="W9034">
        <v>0.11230030000000001</v>
      </c>
      <c r="X9034">
        <v>0.98070789999999997</v>
      </c>
      <c r="Y9034">
        <v>5.4224959999999997E-3</v>
      </c>
      <c r="Z9034">
        <v>6.470621E-2</v>
      </c>
      <c r="AA9034">
        <v>0.99788960000000004</v>
      </c>
      <c r="AB9034">
        <v>26</v>
      </c>
      <c r="AC9034">
        <v>0.63710000000003197</v>
      </c>
      <c r="AD9034">
        <v>-0.2304688</v>
      </c>
      <c r="AE9034">
        <v>-0.155620000000006</v>
      </c>
      <c r="AF9034">
        <v>-7.8893021913736805E-4</v>
      </c>
      <c r="AG9034">
        <v>-0.2304688</v>
      </c>
      <c r="AH9034">
        <v>0.58374234526352098</v>
      </c>
      <c r="AI9034">
        <v>111.54471058521101</v>
      </c>
      <c r="AJ9034">
        <v>90.077435438309394</v>
      </c>
      <c r="AK9034">
        <v>0.62759191823834604</v>
      </c>
      <c r="AL9034">
        <v>83.552065310281904</v>
      </c>
      <c r="AM9034">
        <v>99.266149909816093</v>
      </c>
      <c r="AN9034">
        <v>1.0000000232536601</v>
      </c>
    </row>
    <row r="9035" spans="1:40" x14ac:dyDescent="0.25">
      <c r="A9035" t="str">
        <f>"20190303162127735"</f>
        <v>20190303162127735</v>
      </c>
      <c r="B9035" t="str">
        <f>"1551601287731996"</f>
        <v>1551601287731996</v>
      </c>
      <c r="C9035" t="s">
        <v>40</v>
      </c>
      <c r="D9035">
        <v>5.3973360000000001</v>
      </c>
      <c r="E9035">
        <v>0.55480319999999905</v>
      </c>
      <c r="F9035" t="s">
        <v>42</v>
      </c>
      <c r="G9035">
        <v>-272.02940000000001</v>
      </c>
      <c r="H9035">
        <v>0.86652569999999995</v>
      </c>
      <c r="I9035">
        <v>-60.576520000000002</v>
      </c>
      <c r="J9035">
        <v>-272.75889999999998</v>
      </c>
      <c r="K9035">
        <v>1.1238809999999999</v>
      </c>
      <c r="L9035">
        <v>-60.403109999999998</v>
      </c>
      <c r="M9035">
        <v>0.97150740000000002</v>
      </c>
      <c r="N9035">
        <v>-1.151456E-2</v>
      </c>
      <c r="O9035">
        <v>-0.23672940000000001</v>
      </c>
      <c r="P9035">
        <v>0.99204990000000004</v>
      </c>
      <c r="Q9035">
        <v>0.1020805</v>
      </c>
      <c r="R9035">
        <v>-7.3596830000000002E-2</v>
      </c>
      <c r="S9035">
        <v>3.0621640000000001</v>
      </c>
      <c r="T9035">
        <v>-0.92157770000000006</v>
      </c>
      <c r="U9035">
        <v>-0.72360230000000003</v>
      </c>
      <c r="V9035">
        <v>-0.16409109999999999</v>
      </c>
      <c r="W9035">
        <v>0.1123093</v>
      </c>
      <c r="X9035">
        <v>0.98003099999999999</v>
      </c>
      <c r="Y9035">
        <v>1.8676319999999999E-3</v>
      </c>
      <c r="Z9035">
        <v>6.4892519999999995E-2</v>
      </c>
      <c r="AA9035">
        <v>0.99789050000000001</v>
      </c>
      <c r="AB9035">
        <v>26</v>
      </c>
      <c r="AC9035">
        <v>0.72949999999997295</v>
      </c>
      <c r="AD9035">
        <v>-0.25735529999999901</v>
      </c>
      <c r="AE9035">
        <v>-0.17340999999999601</v>
      </c>
      <c r="AF9035">
        <v>-3.7799972825647002E-3</v>
      </c>
      <c r="AG9035">
        <v>-0.25735529999999901</v>
      </c>
      <c r="AH9035">
        <v>0.67079613413480998</v>
      </c>
      <c r="AI9035">
        <v>110.989331514241</v>
      </c>
      <c r="AJ9035">
        <v>90.322863516144096</v>
      </c>
      <c r="AK9035">
        <v>0.71847998746503206</v>
      </c>
      <c r="AL9035">
        <v>83.551546308407296</v>
      </c>
      <c r="AM9035">
        <v>99.505127124073297</v>
      </c>
      <c r="AN9035">
        <v>1.0000000144633401</v>
      </c>
    </row>
    <row r="9036" spans="1:40" x14ac:dyDescent="0.25">
      <c r="A9036" t="str">
        <f>"20190303162127747"</f>
        <v>20190303162127747</v>
      </c>
      <c r="B9036" t="str">
        <f>"1551601287741756"</f>
        <v>1551601287741756</v>
      </c>
      <c r="C9036" t="s">
        <v>40</v>
      </c>
      <c r="D9036">
        <v>5.13666</v>
      </c>
      <c r="E9036">
        <v>0.55480319999999905</v>
      </c>
      <c r="F9036" t="s">
        <v>42</v>
      </c>
      <c r="G9036">
        <v>-272.01420000000002</v>
      </c>
      <c r="H9036">
        <v>0.90002629999999995</v>
      </c>
      <c r="I9036">
        <v>-60.573740000000001</v>
      </c>
      <c r="J9036">
        <v>-272.62849999999997</v>
      </c>
      <c r="K9036">
        <v>1.123926</v>
      </c>
      <c r="L9036">
        <v>-60.4328</v>
      </c>
      <c r="M9036">
        <v>0.97197730000000004</v>
      </c>
      <c r="N9036">
        <v>-1.151432E-2</v>
      </c>
      <c r="O9036">
        <v>-0.23479249999999999</v>
      </c>
      <c r="P9036">
        <v>0.99243899999999996</v>
      </c>
      <c r="Q9036">
        <v>0.1025017</v>
      </c>
      <c r="R9036">
        <v>-6.7514669999999999E-2</v>
      </c>
      <c r="S9036">
        <v>3.0668329999999999</v>
      </c>
      <c r="T9036">
        <v>-0.92185649999999997</v>
      </c>
      <c r="U9036">
        <v>-0.702179</v>
      </c>
      <c r="V9036">
        <v>-0.1681539</v>
      </c>
      <c r="W9036">
        <v>0.1126765</v>
      </c>
      <c r="X9036">
        <v>0.9792999</v>
      </c>
      <c r="Y9036">
        <v>-2.9580409999999998E-3</v>
      </c>
      <c r="Z9036">
        <v>6.50868E-2</v>
      </c>
      <c r="AA9036">
        <v>0.99787519999999996</v>
      </c>
      <c r="AB9036">
        <v>26</v>
      </c>
      <c r="AC9036">
        <v>0.61429999999995699</v>
      </c>
      <c r="AD9036">
        <v>-0.22389969999999901</v>
      </c>
      <c r="AE9036">
        <v>-0.14094000000000001</v>
      </c>
      <c r="AF9036">
        <v>-6.4313789034762796E-3</v>
      </c>
      <c r="AG9036">
        <v>-0.22389969999999901</v>
      </c>
      <c r="AH9036">
        <v>0.55959681199820199</v>
      </c>
      <c r="AI9036">
        <v>111.805486305919</v>
      </c>
      <c r="AJ9036">
        <v>90.6584645173224</v>
      </c>
      <c r="AK9036">
        <v>0.60276117185270095</v>
      </c>
      <c r="AL9036">
        <v>83.5303728778525</v>
      </c>
      <c r="AM9036">
        <v>99.743146338991906</v>
      </c>
      <c r="AN9036">
        <v>1.0000000109387299</v>
      </c>
    </row>
    <row r="9037" spans="1:40" x14ac:dyDescent="0.25">
      <c r="A9037" t="str">
        <f>"20190303162127758"</f>
        <v>20190303162127758</v>
      </c>
      <c r="B9037" t="str">
        <f>"1551601287751516"</f>
        <v>1551601287751516</v>
      </c>
      <c r="C9037" t="s">
        <v>40</v>
      </c>
      <c r="D9037">
        <v>4.7344679999999997</v>
      </c>
      <c r="E9037">
        <v>0.50957399999999997</v>
      </c>
      <c r="F9037" t="s">
        <v>42</v>
      </c>
      <c r="G9037">
        <v>-271.79520000000002</v>
      </c>
      <c r="H9037">
        <v>0.87405299999999997</v>
      </c>
      <c r="I9037">
        <v>-60.617849999999997</v>
      </c>
      <c r="J9037">
        <v>-272.49770000000001</v>
      </c>
      <c r="K9037">
        <v>1.1239629999999901</v>
      </c>
      <c r="L9037">
        <v>-60.462249999999997</v>
      </c>
      <c r="M9037">
        <v>0.97245329999999996</v>
      </c>
      <c r="N9037">
        <v>-1.1514140000000001E-2</v>
      </c>
      <c r="O9037">
        <v>-0.23281379999999999</v>
      </c>
      <c r="P9037">
        <v>0.99282289999999995</v>
      </c>
      <c r="Q9037">
        <v>0.1026276</v>
      </c>
      <c r="R9037">
        <v>-6.1405179999999997E-2</v>
      </c>
      <c r="S9037">
        <v>3.0715330000000001</v>
      </c>
      <c r="T9037">
        <v>-0.92096109999999998</v>
      </c>
      <c r="U9037">
        <v>-0.68203740000000002</v>
      </c>
      <c r="V9037">
        <v>-0.17219960000000001</v>
      </c>
      <c r="W9037">
        <v>0.1127518</v>
      </c>
      <c r="X9037">
        <v>0.97858789999999996</v>
      </c>
      <c r="Y9037">
        <v>-7.3914289999999997E-3</v>
      </c>
      <c r="Z9037">
        <v>6.512105E-2</v>
      </c>
      <c r="AA9037">
        <v>0.99785000000000001</v>
      </c>
      <c r="AB9037">
        <v>26</v>
      </c>
      <c r="AC9037">
        <v>0.70249999999998602</v>
      </c>
      <c r="AD9037">
        <v>-0.24990999999999899</v>
      </c>
      <c r="AE9037">
        <v>-0.15559999999999899</v>
      </c>
      <c r="AF9037">
        <v>-1.09212791711235E-2</v>
      </c>
      <c r="AG9037">
        <v>-0.24990999999999899</v>
      </c>
      <c r="AH9037">
        <v>0.64197681494030401</v>
      </c>
      <c r="AI9037">
        <v>111.267264012987</v>
      </c>
      <c r="AJ9037">
        <v>90.974619074372399</v>
      </c>
      <c r="AK9037">
        <v>0.68899093851779403</v>
      </c>
      <c r="AL9037">
        <v>83.526030597860398</v>
      </c>
      <c r="AM9037">
        <v>99.980019347791696</v>
      </c>
      <c r="AN9037">
        <v>0.99999997433490395</v>
      </c>
    </row>
    <row r="9038" spans="1:40" x14ac:dyDescent="0.25">
      <c r="A9038" t="str">
        <f>"20190303162127769"</f>
        <v>20190303162127769</v>
      </c>
      <c r="B9038" t="str">
        <f>"1551601287761277"</f>
        <v>1551601287761277</v>
      </c>
      <c r="C9038" t="s">
        <v>40</v>
      </c>
      <c r="D9038">
        <v>5.1849920000000003</v>
      </c>
      <c r="E9038">
        <v>0.50957399999999997</v>
      </c>
      <c r="F9038" t="s">
        <v>41</v>
      </c>
      <c r="G9038">
        <v>-263.1748</v>
      </c>
      <c r="H9038" s="1">
        <v>-6.1866919999999998E-7</v>
      </c>
      <c r="I9038">
        <v>-61.328609999999998</v>
      </c>
      <c r="J9038">
        <v>-272.3784</v>
      </c>
      <c r="K9038">
        <v>1.1239939999999999</v>
      </c>
      <c r="L9038">
        <v>-60.488860000000003</v>
      </c>
      <c r="M9038">
        <v>0.97288669999999999</v>
      </c>
      <c r="N9038">
        <v>-1.1514089999999999E-2</v>
      </c>
      <c r="O9038">
        <v>-0.2309948</v>
      </c>
      <c r="P9038">
        <v>0.99312880000000003</v>
      </c>
      <c r="Q9038">
        <v>0.1025732</v>
      </c>
      <c r="R9038">
        <v>-5.633813E-2</v>
      </c>
      <c r="S9038">
        <v>3.042084</v>
      </c>
      <c r="T9038">
        <v>-0.36675059999999998</v>
      </c>
      <c r="U9038">
        <v>-0.28271479999999999</v>
      </c>
      <c r="V9038">
        <v>-0.175376</v>
      </c>
      <c r="W9038">
        <v>0.1126566</v>
      </c>
      <c r="X9038">
        <v>0.97803459999999998</v>
      </c>
      <c r="Y9038">
        <v>-0.13758399999999901</v>
      </c>
      <c r="Z9038">
        <v>3.3797250000000001E-2</v>
      </c>
      <c r="AA9038">
        <v>0.9899133</v>
      </c>
      <c r="AB9038">
        <v>26</v>
      </c>
      <c r="AC9038">
        <v>9.2035999999999891</v>
      </c>
      <c r="AD9038">
        <v>-1.1239946186692</v>
      </c>
      <c r="AE9038">
        <v>-0.83975000000000199</v>
      </c>
      <c r="AF9038">
        <v>-1.29000794509352</v>
      </c>
      <c r="AG9038">
        <v>-1.1239946186692</v>
      </c>
      <c r="AH9038">
        <v>9.0152959095932097</v>
      </c>
      <c r="AI9038">
        <v>97.035824545419402</v>
      </c>
      <c r="AJ9038">
        <v>98.143234453598893</v>
      </c>
      <c r="AK9038">
        <v>9.1762217027886699</v>
      </c>
      <c r="AL9038">
        <v>83.531520070695194</v>
      </c>
      <c r="AM9038">
        <v>100.165937723962</v>
      </c>
      <c r="AN9038">
        <v>0.99999996484835896</v>
      </c>
    </row>
    <row r="9039" spans="1:40" x14ac:dyDescent="0.25">
      <c r="A9039" t="str">
        <f>"20190303162127780"</f>
        <v>20190303162127780</v>
      </c>
      <c r="B9039" t="str">
        <f>"1551601287772013"</f>
        <v>1551601287772013</v>
      </c>
      <c r="C9039" t="s">
        <v>40</v>
      </c>
      <c r="D9039">
        <v>5.2480079999999996</v>
      </c>
      <c r="E9039">
        <v>0.47344599999999998</v>
      </c>
      <c r="F9039" t="s">
        <v>86</v>
      </c>
      <c r="G9039">
        <v>-263.05930000000001</v>
      </c>
      <c r="H9039" s="1">
        <v>-5.6227469999999896E-7</v>
      </c>
      <c r="I9039">
        <v>-61.302849999999999</v>
      </c>
      <c r="J9039">
        <v>-272.25130000000001</v>
      </c>
      <c r="K9039">
        <v>1.1240209999999999</v>
      </c>
      <c r="L9039">
        <v>-60.516939999999998</v>
      </c>
      <c r="M9039">
        <v>0.97335000000000005</v>
      </c>
      <c r="N9039">
        <v>-1.151427E-2</v>
      </c>
      <c r="O9039">
        <v>-0.2290354</v>
      </c>
      <c r="P9039">
        <v>0.99337940000000002</v>
      </c>
      <c r="Q9039">
        <v>0.1024293</v>
      </c>
      <c r="R9039">
        <v>-5.2018189999999999E-2</v>
      </c>
      <c r="S9039">
        <v>3.0435789999999998</v>
      </c>
      <c r="T9039">
        <v>-0.36709190000000003</v>
      </c>
      <c r="U9039">
        <v>-0.26586910000000002</v>
      </c>
      <c r="V9039">
        <v>-0.17767349999999901</v>
      </c>
      <c r="W9039">
        <v>0.11247989999999999</v>
      </c>
      <c r="X9039">
        <v>0.97764019999999996</v>
      </c>
      <c r="Y9039">
        <v>-0.1410486</v>
      </c>
      <c r="Z9039">
        <v>3.3847450000000001E-2</v>
      </c>
      <c r="AA9039">
        <v>0.98942390000000002</v>
      </c>
      <c r="AB9039">
        <v>26</v>
      </c>
      <c r="AC9039">
        <v>9.1920000000000002</v>
      </c>
      <c r="AD9039">
        <v>-1.1240215622746901</v>
      </c>
      <c r="AE9039">
        <v>-0.785909999999994</v>
      </c>
      <c r="AF9039">
        <v>-1.3208099612206901</v>
      </c>
      <c r="AG9039">
        <v>-1.1240215622746901</v>
      </c>
      <c r="AH9039">
        <v>8.9941259762073695</v>
      </c>
      <c r="AI9039">
        <v>97.048658252937798</v>
      </c>
      <c r="AJ9039">
        <v>98.354315031615698</v>
      </c>
      <c r="AK9039">
        <v>9.1598179841089902</v>
      </c>
      <c r="AL9039">
        <v>83.541709098208599</v>
      </c>
      <c r="AM9039">
        <v>100.30034971479</v>
      </c>
      <c r="AN9039">
        <v>0.99999998058114903</v>
      </c>
    </row>
    <row r="9040" spans="1:40" x14ac:dyDescent="0.25">
      <c r="A9040" t="str">
        <f>"20190303162127792"</f>
        <v>20190303162127792</v>
      </c>
      <c r="B9040" t="str">
        <f>"1551601287781773"</f>
        <v>1551601287781773</v>
      </c>
      <c r="C9040" t="s">
        <v>40</v>
      </c>
      <c r="D9040">
        <v>5.2972419999999998</v>
      </c>
      <c r="E9040">
        <v>0.47070220000000002</v>
      </c>
      <c r="F9040" t="s">
        <v>62</v>
      </c>
      <c r="G9040">
        <v>-178.3493</v>
      </c>
      <c r="H9040">
        <v>7.9986570000000007E-2</v>
      </c>
      <c r="I9040">
        <v>-59.086889999999997</v>
      </c>
      <c r="J9040">
        <v>-272.11439999999999</v>
      </c>
      <c r="K9040">
        <v>1.1240520000000001</v>
      </c>
      <c r="L9040">
        <v>-60.546779999999998</v>
      </c>
      <c r="M9040">
        <v>0.97384970000000004</v>
      </c>
      <c r="N9040">
        <v>-1.1514720000000001E-2</v>
      </c>
      <c r="O9040">
        <v>-0.22690170000000001</v>
      </c>
      <c r="P9040">
        <v>0.99360979999999999</v>
      </c>
      <c r="Q9040">
        <v>0.10191749999999999</v>
      </c>
      <c r="R9040">
        <v>-4.8502139999999999E-2</v>
      </c>
      <c r="S9040">
        <v>3.0258790000000002</v>
      </c>
      <c r="T9040">
        <v>-3.3642770000000002E-2</v>
      </c>
      <c r="U9040">
        <v>4.6081539999999997E-2</v>
      </c>
      <c r="V9040">
        <v>-0.17900959999999999</v>
      </c>
      <c r="W9040">
        <v>0.1119425</v>
      </c>
      <c r="X9040">
        <v>0.9774581</v>
      </c>
      <c r="Y9040">
        <v>-0.24169060000000001</v>
      </c>
      <c r="Z9040">
        <v>2.6133810000000001E-3</v>
      </c>
      <c r="AA9040">
        <v>0.97034980000000004</v>
      </c>
      <c r="AB9040">
        <v>26</v>
      </c>
      <c r="AC9040">
        <v>93.765100000000004</v>
      </c>
      <c r="AD9040">
        <v>-1.0440654300000001</v>
      </c>
      <c r="AE9040">
        <v>1.4598899999999999</v>
      </c>
      <c r="AF9040">
        <v>-22.6958632187417</v>
      </c>
      <c r="AG9040">
        <v>-1.0440654300000001</v>
      </c>
      <c r="AH9040">
        <v>90.976608585011107</v>
      </c>
      <c r="AI9040">
        <v>90.637958423758903</v>
      </c>
      <c r="AJ9040">
        <v>104.007617135068</v>
      </c>
      <c r="AK9040">
        <v>93.770654202134395</v>
      </c>
      <c r="AL9040">
        <v>83.572695344175102</v>
      </c>
      <c r="AM9040">
        <v>100.378022708694</v>
      </c>
      <c r="AN9040">
        <v>0.99999994872700804</v>
      </c>
    </row>
    <row r="9041" spans="1:40" x14ac:dyDescent="0.25">
      <c r="A9041" t="str">
        <f>"20190303162127805"</f>
        <v>20190303162127805</v>
      </c>
      <c r="B9041" t="str">
        <f>"1551601287791533"</f>
        <v>1551601287791533</v>
      </c>
      <c r="C9041" t="s">
        <v>40</v>
      </c>
      <c r="D9041">
        <v>5.2720370000000001</v>
      </c>
      <c r="E9041">
        <v>0.46904370000000001</v>
      </c>
      <c r="F9041" t="s">
        <v>65</v>
      </c>
      <c r="G9041">
        <v>-157.3501</v>
      </c>
      <c r="H9041">
        <v>8.5184570000000001E-2</v>
      </c>
      <c r="I9041">
        <v>-57.523580000000003</v>
      </c>
      <c r="J9041">
        <v>-271.97770000000003</v>
      </c>
      <c r="K9041">
        <v>1.1240749999999999</v>
      </c>
      <c r="L9041">
        <v>-60.576450000000001</v>
      </c>
      <c r="M9041">
        <v>0.97434719999999997</v>
      </c>
      <c r="N9041">
        <v>-1.151522E-2</v>
      </c>
      <c r="O9041">
        <v>-0.2247556</v>
      </c>
      <c r="P9041">
        <v>0.99376529999999996</v>
      </c>
      <c r="Q9041">
        <v>0.1012971</v>
      </c>
      <c r="R9041">
        <v>-4.6579229999999999E-2</v>
      </c>
      <c r="S9041">
        <v>3.02597</v>
      </c>
      <c r="T9041">
        <v>-2.7392150000000001E-2</v>
      </c>
      <c r="U9041">
        <v>7.9711909999999997E-2</v>
      </c>
      <c r="V9041">
        <v>-0.17876600000000001</v>
      </c>
      <c r="W9041">
        <v>0.1113118</v>
      </c>
      <c r="X9041">
        <v>0.97757479999999997</v>
      </c>
      <c r="Y9041">
        <v>-0.25032850000000001</v>
      </c>
      <c r="Z9041">
        <v>1.994352E-3</v>
      </c>
      <c r="AA9041">
        <v>0.96815890000000004</v>
      </c>
      <c r="AB9041">
        <v>26</v>
      </c>
      <c r="AC9041">
        <v>114.6276</v>
      </c>
      <c r="AD9041">
        <v>-1.0388904299999999</v>
      </c>
      <c r="AE9041">
        <v>3.0528699999999902</v>
      </c>
      <c r="AF9041">
        <v>-28.737294913842899</v>
      </c>
      <c r="AG9041">
        <v>-1.0388904299999999</v>
      </c>
      <c r="AH9041">
        <v>110.99917232631201</v>
      </c>
      <c r="AI9041">
        <v>90.519126226463001</v>
      </c>
      <c r="AJ9041">
        <v>104.514976729759</v>
      </c>
      <c r="AK9041">
        <v>114.663541151567</v>
      </c>
      <c r="AL9041">
        <v>83.609059677437003</v>
      </c>
      <c r="AM9041">
        <v>100.36299590172101</v>
      </c>
      <c r="AN9041">
        <v>1.00000004458513</v>
      </c>
    </row>
    <row r="9042" spans="1:40" x14ac:dyDescent="0.25">
      <c r="A9042" t="str">
        <f>"20190303162127817"</f>
        <v>20190303162127817</v>
      </c>
      <c r="B9042" t="str">
        <f>"1551601287812029"</f>
        <v>1551601287812029</v>
      </c>
      <c r="C9042" t="s">
        <v>40</v>
      </c>
      <c r="D9042">
        <v>5.1391400000000003</v>
      </c>
      <c r="E9042">
        <v>0.4695705</v>
      </c>
      <c r="F9042" t="s">
        <v>62</v>
      </c>
      <c r="G9042">
        <v>-189.0239</v>
      </c>
      <c r="H9042" s="1">
        <v>-1.230243E-5</v>
      </c>
      <c r="I9042">
        <v>-57.85313</v>
      </c>
      <c r="J9042">
        <v>-271.83780000000002</v>
      </c>
      <c r="K9042">
        <v>1.1241099999999999</v>
      </c>
      <c r="L9042">
        <v>-60.606200000000001</v>
      </c>
      <c r="M9042">
        <v>0.97485999999999995</v>
      </c>
      <c r="N9042">
        <v>-1.151657E-2</v>
      </c>
      <c r="O9042">
        <v>-0.22252050000000001</v>
      </c>
      <c r="P9042">
        <v>0.99390009999999995</v>
      </c>
      <c r="Q9042">
        <v>0.10094119999999999</v>
      </c>
      <c r="R9042">
        <v>-4.4422419999999997E-2</v>
      </c>
      <c r="S9042">
        <v>3.0276489999999998</v>
      </c>
      <c r="T9042">
        <v>-4.102695E-2</v>
      </c>
      <c r="U9042">
        <v>9.9395750000000005E-2</v>
      </c>
      <c r="V9042">
        <v>-0.17866119999999999</v>
      </c>
      <c r="W9042">
        <v>0.11094270000000001</v>
      </c>
      <c r="X9042">
        <v>0.9776359</v>
      </c>
      <c r="Y9042">
        <v>-0.25436120000000001</v>
      </c>
      <c r="Z9042">
        <v>3.610116E-3</v>
      </c>
      <c r="AA9042">
        <v>0.96710249999999998</v>
      </c>
      <c r="AB9042">
        <v>26</v>
      </c>
      <c r="AC9042">
        <v>82.813900000000004</v>
      </c>
      <c r="AD9042">
        <v>-1.12412230242999</v>
      </c>
      <c r="AE9042">
        <v>2.7530699999999899</v>
      </c>
      <c r="AF9042">
        <v>-21.109162988288698</v>
      </c>
      <c r="AG9042">
        <v>-1.12412230242999</v>
      </c>
      <c r="AH9042">
        <v>80.109912378113606</v>
      </c>
      <c r="AI9042">
        <v>90.7774033022</v>
      </c>
      <c r="AJ9042">
        <v>104.762027449163</v>
      </c>
      <c r="AK9042">
        <v>82.852027580778</v>
      </c>
      <c r="AL9042">
        <v>83.630339258011901</v>
      </c>
      <c r="AM9042">
        <v>100.356418918637</v>
      </c>
      <c r="AN9042">
        <v>1.0000000300187599</v>
      </c>
    </row>
    <row r="9043" spans="1:40" x14ac:dyDescent="0.25">
      <c r="A9043" t="str">
        <f>"20190303162127831"</f>
        <v>20190303162127831</v>
      </c>
      <c r="B9043" t="str">
        <f>"1551601287821789"</f>
        <v>1551601287821789</v>
      </c>
      <c r="C9043" t="s">
        <v>40</v>
      </c>
      <c r="D9043">
        <v>5.1214659999999999</v>
      </c>
      <c r="E9043">
        <v>0.470391</v>
      </c>
      <c r="F9043" t="s">
        <v>90</v>
      </c>
      <c r="G9043">
        <v>-210.38919999999999</v>
      </c>
      <c r="H9043" s="1">
        <v>4.0172459999999998E-7</v>
      </c>
      <c r="I9043">
        <v>-58.530650000000001</v>
      </c>
      <c r="J9043">
        <v>-271.68220000000002</v>
      </c>
      <c r="K9043">
        <v>1.124152</v>
      </c>
      <c r="L9043">
        <v>-60.639009999999999</v>
      </c>
      <c r="M9043">
        <v>0.97542830000000003</v>
      </c>
      <c r="N9043">
        <v>-1.1518270000000001E-2</v>
      </c>
      <c r="O9043">
        <v>-0.22001580000000001</v>
      </c>
      <c r="P9043">
        <v>0.99398140000000001</v>
      </c>
      <c r="Q9043">
        <v>0.1007593</v>
      </c>
      <c r="R9043">
        <v>-4.2996079999999999E-2</v>
      </c>
      <c r="S9043">
        <v>3.0286249999999999</v>
      </c>
      <c r="T9043">
        <v>-5.5404189999999999E-2</v>
      </c>
      <c r="U9043">
        <v>0.10229489999999999</v>
      </c>
      <c r="V9043">
        <v>-0.17756549999999999</v>
      </c>
      <c r="W9043">
        <v>0.11075500000000001</v>
      </c>
      <c r="X9043">
        <v>0.97785679999999997</v>
      </c>
      <c r="Y9043">
        <v>-0.25276130000000002</v>
      </c>
      <c r="Z9043">
        <v>5.2227549999999999E-3</v>
      </c>
      <c r="AA9043">
        <v>0.9675146</v>
      </c>
      <c r="AB9043">
        <v>26</v>
      </c>
      <c r="AC9043">
        <v>61.292999999999999</v>
      </c>
      <c r="AD9043">
        <v>-1.1241515982754</v>
      </c>
      <c r="AE9043">
        <v>2.10835999999999</v>
      </c>
      <c r="AF9043">
        <v>-15.5377931923669</v>
      </c>
      <c r="AG9043">
        <v>-1.1241515982754</v>
      </c>
      <c r="AH9043">
        <v>59.3070641083536</v>
      </c>
      <c r="AI9043">
        <v>91.050454098927901</v>
      </c>
      <c r="AJ9043">
        <v>104.680904989787</v>
      </c>
      <c r="AK9043">
        <v>61.318957812874103</v>
      </c>
      <c r="AL9043">
        <v>83.641160484577</v>
      </c>
      <c r="AM9043">
        <v>100.291991013771</v>
      </c>
      <c r="AN9043">
        <v>1.0000000490607399</v>
      </c>
    </row>
    <row r="9044" spans="1:40" x14ac:dyDescent="0.25">
      <c r="A9044" t="str">
        <f>"20190303162127844"</f>
        <v>20190303162127844</v>
      </c>
      <c r="B9044" t="str">
        <f>"1551601287831551"</f>
        <v>1551601287831551</v>
      </c>
      <c r="C9044" t="s">
        <v>40</v>
      </c>
      <c r="D9044">
        <v>5.1187060000000004</v>
      </c>
      <c r="E9044">
        <v>0.47123690000000001</v>
      </c>
      <c r="F9044" t="s">
        <v>90</v>
      </c>
      <c r="G9044">
        <v>-216.94290000000001</v>
      </c>
      <c r="H9044" s="1">
        <v>-2.2248779999999999E-6</v>
      </c>
      <c r="I9044">
        <v>-58.819989999999997</v>
      </c>
      <c r="J9044">
        <v>-271.52539999999999</v>
      </c>
      <c r="K9044">
        <v>1.124196</v>
      </c>
      <c r="L9044">
        <v>-60.671660000000003</v>
      </c>
      <c r="M9044">
        <v>0.9760008</v>
      </c>
      <c r="N9044">
        <v>-1.1520330000000001E-2</v>
      </c>
      <c r="O9044">
        <v>-0.2174625</v>
      </c>
      <c r="P9044">
        <v>0.99403109999999995</v>
      </c>
      <c r="Q9044">
        <v>0.1005925</v>
      </c>
      <c r="R9044">
        <v>-4.223147E-2</v>
      </c>
      <c r="S9044">
        <v>3.0288390000000001</v>
      </c>
      <c r="T9044">
        <v>-6.2201739999999998E-2</v>
      </c>
      <c r="U9044">
        <v>0.100647</v>
      </c>
      <c r="V9044">
        <v>-0.17577100000000001</v>
      </c>
      <c r="W9044">
        <v>0.1105878</v>
      </c>
      <c r="X9044">
        <v>0.97819979999999995</v>
      </c>
      <c r="Y9044">
        <v>-0.24968309999999999</v>
      </c>
      <c r="Z9044">
        <v>5.9255180000000003E-3</v>
      </c>
      <c r="AA9044">
        <v>0.96830950000000005</v>
      </c>
      <c r="AB9044">
        <v>26</v>
      </c>
      <c r="AC9044">
        <v>54.582499999999897</v>
      </c>
      <c r="AD9044">
        <v>-1.124198224878</v>
      </c>
      <c r="AE9044">
        <v>1.8516699999999899</v>
      </c>
      <c r="AF9044">
        <v>-13.6719913850657</v>
      </c>
      <c r="AG9044">
        <v>-1.124198224878</v>
      </c>
      <c r="AH9044">
        <v>52.851003792946301</v>
      </c>
      <c r="AI9044">
        <v>91.179736300786999</v>
      </c>
      <c r="AJ9044">
        <v>104.503853587878</v>
      </c>
      <c r="AK9044">
        <v>54.602342184233699</v>
      </c>
      <c r="AL9044">
        <v>83.650799093447901</v>
      </c>
      <c r="AM9044">
        <v>100.18667080825701</v>
      </c>
      <c r="AN9044">
        <v>0.99999997733493895</v>
      </c>
    </row>
    <row r="9045" spans="1:40" x14ac:dyDescent="0.25">
      <c r="A9045" t="str">
        <f>"20190303162127853"</f>
        <v>20190303162127853</v>
      </c>
      <c r="B9045" t="str">
        <f>"1551601287841309"</f>
        <v>1551601287841309</v>
      </c>
      <c r="C9045" t="s">
        <v>40</v>
      </c>
      <c r="D9045">
        <v>5.120654</v>
      </c>
      <c r="E9045">
        <v>0.47191699999999998</v>
      </c>
      <c r="F9045" t="s">
        <v>91</v>
      </c>
      <c r="G9045">
        <v>-220.6319</v>
      </c>
      <c r="H9045" s="1">
        <v>2.4771679999999998E-7</v>
      </c>
      <c r="I9045">
        <v>-59.042560000000002</v>
      </c>
      <c r="J9045">
        <v>-271.41180000000003</v>
      </c>
      <c r="K9045">
        <v>1.1242259999999999</v>
      </c>
      <c r="L9045">
        <v>-60.694890000000001</v>
      </c>
      <c r="M9045">
        <v>0.97641679999999997</v>
      </c>
      <c r="N9045">
        <v>-1.152221E-2</v>
      </c>
      <c r="O9045">
        <v>-0.2155869</v>
      </c>
      <c r="P9045">
        <v>0.99404159999999997</v>
      </c>
      <c r="Q9045">
        <v>0.1003062</v>
      </c>
      <c r="R9045">
        <v>-4.2665179999999997E-2</v>
      </c>
      <c r="S9045">
        <v>3.02887</v>
      </c>
      <c r="T9045">
        <v>-6.6905259999999994E-2</v>
      </c>
      <c r="U9045">
        <v>9.6954349999999995E-2</v>
      </c>
      <c r="V9045">
        <v>-0.173474499999999</v>
      </c>
      <c r="W9045">
        <v>0.11031100000000001</v>
      </c>
      <c r="X9045">
        <v>0.97864099999999998</v>
      </c>
      <c r="Y9045">
        <v>-0.2466295</v>
      </c>
      <c r="Z9045">
        <v>6.3845769999999998E-3</v>
      </c>
      <c r="AA9045">
        <v>0.96908890000000003</v>
      </c>
      <c r="AB9045">
        <v>26</v>
      </c>
      <c r="AC9045">
        <v>50.779899999999998</v>
      </c>
      <c r="AD9045">
        <v>-1.1242257522832</v>
      </c>
      <c r="AE9045">
        <v>1.6523300000000001</v>
      </c>
      <c r="AF9045">
        <v>-12.555528862644801</v>
      </c>
      <c r="AG9045">
        <v>-1.1242257522832</v>
      </c>
      <c r="AH9045">
        <v>49.205296682477098</v>
      </c>
      <c r="AI9045">
        <v>91.268224630076105</v>
      </c>
      <c r="AJ9045">
        <v>104.314492965599</v>
      </c>
      <c r="AK9045">
        <v>50.794354117100397</v>
      </c>
      <c r="AL9045">
        <v>83.666756739166004</v>
      </c>
      <c r="AM9045">
        <v>100.051871674343</v>
      </c>
      <c r="AN9045">
        <v>1.0000000628761201</v>
      </c>
    </row>
    <row r="9046" spans="1:40" x14ac:dyDescent="0.25">
      <c r="A9046" t="str">
        <f>"20190303162127863"</f>
        <v>20190303162127863</v>
      </c>
      <c r="B9046" t="str">
        <f>"1551601287852045"</f>
        <v>1551601287852045</v>
      </c>
      <c r="C9046" t="s">
        <v>40</v>
      </c>
      <c r="D9046">
        <v>5.178795</v>
      </c>
      <c r="E9046">
        <v>0.47262969999999999</v>
      </c>
      <c r="F9046" t="s">
        <v>91</v>
      </c>
      <c r="G9046">
        <v>-222.631</v>
      </c>
      <c r="H9046" s="1">
        <v>-5.0111730000000003E-7</v>
      </c>
      <c r="I9046">
        <v>-59.233199999999997</v>
      </c>
      <c r="J9046">
        <v>-271.29259999999999</v>
      </c>
      <c r="K9046">
        <v>1.1242559999999999</v>
      </c>
      <c r="L9046">
        <v>-60.719180000000001</v>
      </c>
      <c r="M9046">
        <v>0.9768502</v>
      </c>
      <c r="N9046">
        <v>-1.1524080000000001E-2</v>
      </c>
      <c r="O9046">
        <v>-0.21361440000000001</v>
      </c>
      <c r="P9046">
        <v>0.9941006</v>
      </c>
      <c r="Q9046">
        <v>9.9752460000000001E-2</v>
      </c>
      <c r="R9046">
        <v>-4.2590629999999997E-2</v>
      </c>
      <c r="S9046">
        <v>3.0289000000000001</v>
      </c>
      <c r="T9046">
        <v>-6.9805619999999999E-2</v>
      </c>
      <c r="U9046">
        <v>9.0759279999999998E-2</v>
      </c>
      <c r="V9046">
        <v>-0.1715854</v>
      </c>
      <c r="W9046">
        <v>0.1097636</v>
      </c>
      <c r="X9046">
        <v>0.9790354</v>
      </c>
      <c r="Y9046">
        <v>-0.24268239999999999</v>
      </c>
      <c r="Z9046">
        <v>6.6175189999999997E-3</v>
      </c>
      <c r="AA9046">
        <v>0.97008320000000003</v>
      </c>
      <c r="AB9046">
        <v>26</v>
      </c>
      <c r="AC9046">
        <v>48.6616</v>
      </c>
      <c r="AD9046">
        <v>-1.1242565011173</v>
      </c>
      <c r="AE9046">
        <v>1.4859800000000001</v>
      </c>
      <c r="AF9046">
        <v>-11.8408692236949</v>
      </c>
      <c r="AG9046">
        <v>-1.1242565011173</v>
      </c>
      <c r="AH9046">
        <v>47.1956288491089</v>
      </c>
      <c r="AI9046">
        <v>91.3235901650785</v>
      </c>
      <c r="AJ9046">
        <v>104.08417896852001</v>
      </c>
      <c r="AK9046">
        <v>48.671321320833201</v>
      </c>
      <c r="AL9046">
        <v>83.698311391571906</v>
      </c>
      <c r="AM9046">
        <v>99.940679566329095</v>
      </c>
      <c r="AN9046">
        <v>0.99999995591563895</v>
      </c>
    </row>
    <row r="9047" spans="1:40" x14ac:dyDescent="0.25">
      <c r="A9047" t="str">
        <f>"20190303162127873"</f>
        <v>20190303162127873</v>
      </c>
      <c r="B9047" t="str">
        <f>"1551601287861805"</f>
        <v>1551601287861805</v>
      </c>
      <c r="C9047" t="s">
        <v>40</v>
      </c>
      <c r="D9047">
        <v>5.1229870000000002</v>
      </c>
      <c r="E9047">
        <v>0.47327039999999998</v>
      </c>
      <c r="F9047" t="s">
        <v>91</v>
      </c>
      <c r="G9047">
        <v>-225.77340000000001</v>
      </c>
      <c r="H9047" s="1">
        <v>-1.805848E-6</v>
      </c>
      <c r="I9047">
        <v>-59.429099999999998</v>
      </c>
      <c r="J9047">
        <v>-271.19279999999998</v>
      </c>
      <c r="K9047">
        <v>1.124279</v>
      </c>
      <c r="L9047">
        <v>-60.739109999999997</v>
      </c>
      <c r="M9047">
        <v>0.97721460000000004</v>
      </c>
      <c r="N9047">
        <v>-1.152588E-2</v>
      </c>
      <c r="O9047">
        <v>-0.21193989999999999</v>
      </c>
      <c r="P9047">
        <v>0.99410180000000004</v>
      </c>
      <c r="Q9047">
        <v>9.9232730000000005E-2</v>
      </c>
      <c r="R9047">
        <v>-4.3751989999999998E-2</v>
      </c>
      <c r="S9047">
        <v>3.0289920000000001</v>
      </c>
      <c r="T9047">
        <v>-7.4811580000000003E-2</v>
      </c>
      <c r="U9047">
        <v>8.5845950000000004E-2</v>
      </c>
      <c r="V9047">
        <v>-0.16877329999999999</v>
      </c>
      <c r="W9047">
        <v>0.1092631</v>
      </c>
      <c r="X9047">
        <v>0.97958009999999995</v>
      </c>
      <c r="Y9047">
        <v>-0.2394309</v>
      </c>
      <c r="Z9047">
        <v>7.0884390000000002E-3</v>
      </c>
      <c r="AA9047">
        <v>0.97088750000000001</v>
      </c>
      <c r="AB9047">
        <v>26</v>
      </c>
      <c r="AC9047">
        <v>45.419399999999897</v>
      </c>
      <c r="AD9047">
        <v>-1.1242808058480001</v>
      </c>
      <c r="AE9047">
        <v>1.3100099999999899</v>
      </c>
      <c r="AF9047">
        <v>-10.900396493061001</v>
      </c>
      <c r="AG9047">
        <v>-1.1242808058480001</v>
      </c>
      <c r="AH9047">
        <v>44.082804854519203</v>
      </c>
      <c r="AI9047">
        <v>91.418249231473794</v>
      </c>
      <c r="AJ9047">
        <v>103.888983347722</v>
      </c>
      <c r="AK9047">
        <v>45.424402416299898</v>
      </c>
      <c r="AL9047">
        <v>83.727161808197906</v>
      </c>
      <c r="AM9047">
        <v>99.775600882220701</v>
      </c>
      <c r="AN9047">
        <v>1.0000000120652499</v>
      </c>
    </row>
    <row r="9048" spans="1:40" x14ac:dyDescent="0.25">
      <c r="A9048" t="str">
        <f>"20190303162127882"</f>
        <v>20190303162127882</v>
      </c>
      <c r="B9048" t="str">
        <f>"1551601287871566"</f>
        <v>1551601287871566</v>
      </c>
      <c r="C9048" t="s">
        <v>40</v>
      </c>
      <c r="D9048">
        <v>5.1192760000000002</v>
      </c>
      <c r="E9048">
        <v>0.47376810000000003</v>
      </c>
      <c r="F9048" t="s">
        <v>91</v>
      </c>
      <c r="G9048">
        <v>-228.15039999999999</v>
      </c>
      <c r="H9048" s="1">
        <v>-2.778887E-6</v>
      </c>
      <c r="I9048">
        <v>-59.640250000000002</v>
      </c>
      <c r="J9048">
        <v>-271.0831</v>
      </c>
      <c r="K9048">
        <v>1.124304</v>
      </c>
      <c r="L9048">
        <v>-60.76099</v>
      </c>
      <c r="M9048">
        <v>0.9776127</v>
      </c>
      <c r="N9048">
        <v>-1.152777E-2</v>
      </c>
      <c r="O9048">
        <v>-0.21009729999999999</v>
      </c>
      <c r="P9048">
        <v>0.99409950000000002</v>
      </c>
      <c r="Q9048">
        <v>9.8822560000000004E-2</v>
      </c>
      <c r="R9048">
        <v>-4.4728940000000002E-2</v>
      </c>
      <c r="S9048">
        <v>3.0291139999999999</v>
      </c>
      <c r="T9048">
        <v>-7.9121469999999999E-2</v>
      </c>
      <c r="U9048">
        <v>7.7331540000000004E-2</v>
      </c>
      <c r="V9048">
        <v>-0.16597300000000001</v>
      </c>
      <c r="W9048">
        <v>0.1088706</v>
      </c>
      <c r="X9048">
        <v>0.98010209999999998</v>
      </c>
      <c r="Y9048">
        <v>-0.23485739999999999</v>
      </c>
      <c r="Z9048">
        <v>7.4457899999999999E-3</v>
      </c>
      <c r="AA9048">
        <v>0.97200129999999996</v>
      </c>
      <c r="AB9048">
        <v>26</v>
      </c>
      <c r="AC9048">
        <v>42.932699999999997</v>
      </c>
      <c r="AD9048">
        <v>-1.124306778887</v>
      </c>
      <c r="AE9048">
        <v>1.1207399999999901</v>
      </c>
      <c r="AF9048">
        <v>-10.1094361464688</v>
      </c>
      <c r="AG9048">
        <v>-1.124306778887</v>
      </c>
      <c r="AH9048">
        <v>41.710269158706303</v>
      </c>
      <c r="AI9048">
        <v>91.500615919297402</v>
      </c>
      <c r="AJ9048">
        <v>103.62421284221099</v>
      </c>
      <c r="AK9048">
        <v>42.932636981954801</v>
      </c>
      <c r="AL9048">
        <v>83.749785196585705</v>
      </c>
      <c r="AM9048">
        <v>99.611430925087404</v>
      </c>
      <c r="AN9048">
        <v>0.99999998534888401</v>
      </c>
    </row>
    <row r="9049" spans="1:40" x14ac:dyDescent="0.25">
      <c r="A9049" t="str">
        <f>"20190303162127893"</f>
        <v>20190303162127893</v>
      </c>
      <c r="B9049" t="str">
        <f>"1551601287881325"</f>
        <v>1551601287881325</v>
      </c>
      <c r="C9049" t="s">
        <v>40</v>
      </c>
      <c r="D9049">
        <v>5.1162979999999996</v>
      </c>
      <c r="E9049">
        <v>0.47417290000000001</v>
      </c>
      <c r="F9049" t="s">
        <v>91</v>
      </c>
      <c r="G9049">
        <v>-229.56100000000001</v>
      </c>
      <c r="H9049" s="1">
        <v>-3.349458E-6</v>
      </c>
      <c r="I9049">
        <v>-59.796750000000003</v>
      </c>
      <c r="J9049">
        <v>-270.96460000000002</v>
      </c>
      <c r="K9049">
        <v>1.1243259999999999</v>
      </c>
      <c r="L9049">
        <v>-60.784239999999997</v>
      </c>
      <c r="M9049">
        <v>0.97804190000000002</v>
      </c>
      <c r="N9049">
        <v>-1.152978E-2</v>
      </c>
      <c r="O9049">
        <v>-0.20808960000000001</v>
      </c>
      <c r="P9049">
        <v>0.99410969999999999</v>
      </c>
      <c r="Q9049">
        <v>9.8560529999999993E-2</v>
      </c>
      <c r="R9049">
        <v>-4.5080769999999999E-2</v>
      </c>
      <c r="S9049">
        <v>3.0291139999999999</v>
      </c>
      <c r="T9049">
        <v>-8.2020399999999993E-2</v>
      </c>
      <c r="U9049">
        <v>7.0343020000000006E-2</v>
      </c>
      <c r="V9049">
        <v>-0.16362019999999999</v>
      </c>
      <c r="W9049">
        <v>0.1086232</v>
      </c>
      <c r="X9049">
        <v>0.98052510000000004</v>
      </c>
      <c r="Y9049">
        <v>-0.2306106</v>
      </c>
      <c r="Z9049">
        <v>7.6455830000000001E-3</v>
      </c>
      <c r="AA9049">
        <v>0.97301610000000005</v>
      </c>
      <c r="AB9049">
        <v>26</v>
      </c>
      <c r="AC9049">
        <v>41.403599999999997</v>
      </c>
      <c r="AD9049">
        <v>-1.124329349458</v>
      </c>
      <c r="AE9049">
        <v>0.98749000000000098</v>
      </c>
      <c r="AF9049">
        <v>-9.5750444907091392</v>
      </c>
      <c r="AG9049">
        <v>-1.124329349458</v>
      </c>
      <c r="AH9049">
        <v>40.261971035749603</v>
      </c>
      <c r="AI9049">
        <v>91.556208308689307</v>
      </c>
      <c r="AJ9049">
        <v>103.377495482264</v>
      </c>
      <c r="AK9049">
        <v>41.400143781980397</v>
      </c>
      <c r="AL9049">
        <v>83.764044959887002</v>
      </c>
      <c r="AM9049">
        <v>99.473655774857903</v>
      </c>
      <c r="AN9049">
        <v>1.0000000205781401</v>
      </c>
    </row>
    <row r="9050" spans="1:40" x14ac:dyDescent="0.25">
      <c r="A9050" t="str">
        <f>"20190303162127903"</f>
        <v>20190303162127903</v>
      </c>
      <c r="B9050" t="str">
        <f>"1551601287893037"</f>
        <v>1551601287893037</v>
      </c>
      <c r="C9050" t="s">
        <v>40</v>
      </c>
      <c r="D9050">
        <v>5.1224540000000003</v>
      </c>
      <c r="E9050">
        <v>0.4744931</v>
      </c>
      <c r="F9050" t="s">
        <v>89</v>
      </c>
      <c r="G9050">
        <v>-230.99680000000001</v>
      </c>
      <c r="H9050" s="1">
        <v>5.0264089999999999E-7</v>
      </c>
      <c r="I9050">
        <v>-59.918080000000003</v>
      </c>
      <c r="J9050">
        <v>-270.84109999999998</v>
      </c>
      <c r="K9050">
        <v>1.1243540000000001</v>
      </c>
      <c r="L9050">
        <v>-60.808349999999997</v>
      </c>
      <c r="M9050">
        <v>0.97848630000000003</v>
      </c>
      <c r="N9050">
        <v>-1.15318E-2</v>
      </c>
      <c r="O9050">
        <v>-0.2059897</v>
      </c>
      <c r="P9050">
        <v>0.99412239999999996</v>
      </c>
      <c r="Q9050">
        <v>9.8522750000000006E-2</v>
      </c>
      <c r="R9050">
        <v>-4.4878429999999997E-2</v>
      </c>
      <c r="S9050">
        <v>3.0292050000000001</v>
      </c>
      <c r="T9050">
        <v>-8.5213899999999995E-2</v>
      </c>
      <c r="U9050">
        <v>6.5643309999999996E-2</v>
      </c>
      <c r="V9050">
        <v>-0.16171969999999999</v>
      </c>
      <c r="W9050">
        <v>0.1085962</v>
      </c>
      <c r="X9050">
        <v>0.98084329999999997</v>
      </c>
      <c r="Y9050">
        <v>-0.2270016</v>
      </c>
      <c r="Z9050">
        <v>7.8794420000000004E-3</v>
      </c>
      <c r="AA9050">
        <v>0.97386249999999996</v>
      </c>
      <c r="AB9050">
        <v>26</v>
      </c>
      <c r="AC9050">
        <v>39.844299999999897</v>
      </c>
      <c r="AD9050">
        <v>-1.1243534973591001</v>
      </c>
      <c r="AE9050">
        <v>0.89026999999999301</v>
      </c>
      <c r="AF9050">
        <v>-9.0720149176141405</v>
      </c>
      <c r="AG9050">
        <v>-1.1243534973591001</v>
      </c>
      <c r="AH9050">
        <v>38.775430908897597</v>
      </c>
      <c r="AI9050">
        <v>91.617264593516296</v>
      </c>
      <c r="AJ9050">
        <v>103.168230276233</v>
      </c>
      <c r="AK9050">
        <v>39.838419492032202</v>
      </c>
      <c r="AL9050">
        <v>83.765600945115906</v>
      </c>
      <c r="AM9050">
        <v>99.362592558559498</v>
      </c>
      <c r="AN9050">
        <v>0.99999998758871</v>
      </c>
    </row>
    <row r="9051" spans="1:40" x14ac:dyDescent="0.25">
      <c r="A9051" t="str">
        <f>"20190303162127915"</f>
        <v>20190303162127915</v>
      </c>
      <c r="B9051" t="str">
        <f>"1551601287901821"</f>
        <v>1551601287901821</v>
      </c>
      <c r="C9051" t="s">
        <v>40</v>
      </c>
      <c r="D9051">
        <v>5.184558</v>
      </c>
      <c r="E9051">
        <v>0.47491810000000001</v>
      </c>
      <c r="F9051" t="s">
        <v>89</v>
      </c>
      <c r="G9051">
        <v>-231.9494</v>
      </c>
      <c r="H9051" s="1">
        <v>1.0800189999999901E-7</v>
      </c>
      <c r="I9051">
        <v>-59.997250000000001</v>
      </c>
      <c r="J9051">
        <v>-270.70859999999999</v>
      </c>
      <c r="K9051">
        <v>1.124366</v>
      </c>
      <c r="L9051">
        <v>-60.833680000000001</v>
      </c>
      <c r="M9051">
        <v>0.97896130000000003</v>
      </c>
      <c r="N9051">
        <v>-1.153363E-2</v>
      </c>
      <c r="O9051">
        <v>-0.2037197</v>
      </c>
      <c r="P9051">
        <v>0.99414550000000002</v>
      </c>
      <c r="Q9051">
        <v>9.8516480000000003E-2</v>
      </c>
      <c r="R9051">
        <v>-4.4376110000000003E-2</v>
      </c>
      <c r="S9051">
        <v>3.0292659999999998</v>
      </c>
      <c r="T9051">
        <v>-8.7575790000000001E-2</v>
      </c>
      <c r="U9051">
        <v>6.3171389999999994E-2</v>
      </c>
      <c r="V9051">
        <v>-0.159943</v>
      </c>
      <c r="W9051">
        <v>0.1086023</v>
      </c>
      <c r="X9051">
        <v>0.9811339</v>
      </c>
      <c r="Y9051">
        <v>-0.22394040000000001</v>
      </c>
      <c r="Z9051">
        <v>8.0272190000000004E-3</v>
      </c>
      <c r="AA9051">
        <v>0.97456980000000004</v>
      </c>
      <c r="AB9051">
        <v>26</v>
      </c>
      <c r="AC9051">
        <v>38.7591999999999</v>
      </c>
      <c r="AD9051">
        <v>-1.1243658919981001</v>
      </c>
      <c r="AE9051">
        <v>0.836430000000007</v>
      </c>
      <c r="AF9051">
        <v>-8.7081003885329498</v>
      </c>
      <c r="AG9051">
        <v>-1.1243658919981001</v>
      </c>
      <c r="AH9051">
        <v>37.744125060532603</v>
      </c>
      <c r="AI9051">
        <v>91.662637632455102</v>
      </c>
      <c r="AJ9051">
        <v>102.991615610688</v>
      </c>
      <c r="AK9051">
        <v>38.751957210197602</v>
      </c>
      <c r="AL9051">
        <v>83.765249290615898</v>
      </c>
      <c r="AM9051">
        <v>99.258828762780993</v>
      </c>
      <c r="AN9051">
        <v>0.99999997627174897</v>
      </c>
    </row>
    <row r="9052" spans="1:40" x14ac:dyDescent="0.25">
      <c r="A9052" t="str">
        <f>"20190303162127927"</f>
        <v>20190303162127927</v>
      </c>
      <c r="B9052" t="str">
        <f>"1551601287922179"</f>
        <v>1551601287922179</v>
      </c>
      <c r="C9052" t="s">
        <v>40</v>
      </c>
      <c r="D9052">
        <v>5.1244589999999999</v>
      </c>
      <c r="E9052">
        <v>0.47546430000000001</v>
      </c>
      <c r="F9052" t="s">
        <v>89</v>
      </c>
      <c r="G9052">
        <v>-232.44990000000001</v>
      </c>
      <c r="H9052" s="1">
        <v>-9.3996049999999999E-8</v>
      </c>
      <c r="I9052">
        <v>-60.068930000000002</v>
      </c>
      <c r="J9052">
        <v>-270.57229999999998</v>
      </c>
      <c r="K9052">
        <v>1.124377</v>
      </c>
      <c r="L9052">
        <v>-60.859560000000002</v>
      </c>
      <c r="M9052">
        <v>0.97944509999999996</v>
      </c>
      <c r="N9052">
        <v>-1.153536E-2</v>
      </c>
      <c r="O9052">
        <v>-0.201381</v>
      </c>
      <c r="P9052">
        <v>0.99425509999999995</v>
      </c>
      <c r="Q9052">
        <v>9.789697E-2</v>
      </c>
      <c r="R9052">
        <v>-4.3279089999999999E-2</v>
      </c>
      <c r="S9052">
        <v>3.029236</v>
      </c>
      <c r="T9052">
        <v>-8.9024899999999907E-2</v>
      </c>
      <c r="U9052">
        <v>6.0546879999999997E-2</v>
      </c>
      <c r="V9052">
        <v>-0.15869169999999999</v>
      </c>
      <c r="W9052">
        <v>0.1079913</v>
      </c>
      <c r="X9052">
        <v>0.98140450000000001</v>
      </c>
      <c r="Y9052">
        <v>-0.22076470000000001</v>
      </c>
      <c r="Z9052">
        <v>8.0721939999999996E-3</v>
      </c>
      <c r="AA9052">
        <v>0.97529370000000004</v>
      </c>
      <c r="AB9052">
        <v>26</v>
      </c>
      <c r="AC9052">
        <v>38.122399999999899</v>
      </c>
      <c r="AD9052">
        <v>-1.12437709399605</v>
      </c>
      <c r="AE9052">
        <v>0.79062999999999295</v>
      </c>
      <c r="AF9052">
        <v>-8.4447249386786698</v>
      </c>
      <c r="AG9052">
        <v>-1.12437709399605</v>
      </c>
      <c r="AH9052">
        <v>37.149750262029301</v>
      </c>
      <c r="AI9052">
        <v>91.690489292004003</v>
      </c>
      <c r="AJ9052">
        <v>102.806612332345</v>
      </c>
      <c r="AK9052">
        <v>38.114059711221898</v>
      </c>
      <c r="AL9052">
        <v>83.800464177285306</v>
      </c>
      <c r="AM9052">
        <v>99.1851431199361</v>
      </c>
      <c r="AN9052">
        <v>0.99999998457241401</v>
      </c>
    </row>
    <row r="9053" spans="1:40" x14ac:dyDescent="0.25">
      <c r="A9053" t="str">
        <f>"20190303162127937"</f>
        <v>20190303162127937</v>
      </c>
      <c r="B9053" t="str">
        <f>"1551601287931939"</f>
        <v>1551601287931939</v>
      </c>
      <c r="C9053" t="s">
        <v>40</v>
      </c>
      <c r="D9053">
        <v>5.1295900000000003</v>
      </c>
      <c r="E9053">
        <v>0.47568709999999997</v>
      </c>
      <c r="F9053" t="s">
        <v>89</v>
      </c>
      <c r="G9053">
        <v>-235.02369999999999</v>
      </c>
      <c r="H9053" s="1">
        <v>-1.1798689999999999E-6</v>
      </c>
      <c r="I9053">
        <v>-60.171909999999997</v>
      </c>
      <c r="J9053">
        <v>-270.44209999999998</v>
      </c>
      <c r="K9053">
        <v>1.124382</v>
      </c>
      <c r="L9053">
        <v>-60.883819999999901</v>
      </c>
      <c r="M9053">
        <v>0.97990359999999999</v>
      </c>
      <c r="N9053">
        <v>-1.153681E-2</v>
      </c>
      <c r="O9053">
        <v>-0.19913800000000001</v>
      </c>
      <c r="P9053">
        <v>0.99438230000000005</v>
      </c>
      <c r="Q9053">
        <v>9.7057270000000001E-2</v>
      </c>
      <c r="R9053">
        <v>-4.2235040000000001E-2</v>
      </c>
      <c r="S9053">
        <v>3.0293269999999999</v>
      </c>
      <c r="T9053">
        <v>-9.5815540000000005E-2</v>
      </c>
      <c r="U9053">
        <v>5.859375E-2</v>
      </c>
      <c r="V9053">
        <v>-0.15748579999999901</v>
      </c>
      <c r="W9053">
        <v>0.1071631</v>
      </c>
      <c r="X9053">
        <v>0.98168949999999999</v>
      </c>
      <c r="Y9053">
        <v>-0.2178776</v>
      </c>
      <c r="Z9053">
        <v>8.6620519999999999E-3</v>
      </c>
      <c r="AA9053">
        <v>0.97593770000000002</v>
      </c>
      <c r="AB9053">
        <v>26</v>
      </c>
      <c r="AC9053">
        <v>35.418399999999899</v>
      </c>
      <c r="AD9053">
        <v>-1.124383179869</v>
      </c>
      <c r="AE9053">
        <v>0.71190999999999505</v>
      </c>
      <c r="AF9053">
        <v>-7.7434673042119897</v>
      </c>
      <c r="AG9053">
        <v>-1.124383179869</v>
      </c>
      <c r="AH9053">
        <v>34.5323606062748</v>
      </c>
      <c r="AI9053">
        <v>91.819749210803096</v>
      </c>
      <c r="AJ9053">
        <v>102.63882081243101</v>
      </c>
      <c r="AK9053">
        <v>35.407759777602003</v>
      </c>
      <c r="AL9053">
        <v>83.848193568666801</v>
      </c>
      <c r="AM9053">
        <v>99.113919339217304</v>
      </c>
      <c r="AN9053">
        <v>0.99999999080674995</v>
      </c>
    </row>
    <row r="9054" spans="1:40" x14ac:dyDescent="0.25">
      <c r="A9054" t="str">
        <f>"20190303162127948"</f>
        <v>20190303162127948</v>
      </c>
      <c r="B9054" t="str">
        <f>"1551601287941700"</f>
        <v>1551601287941700</v>
      </c>
      <c r="C9054" t="s">
        <v>40</v>
      </c>
      <c r="D9054">
        <v>5.1232480000000002</v>
      </c>
      <c r="E9054">
        <v>0.4759543</v>
      </c>
      <c r="F9054" t="s">
        <v>89</v>
      </c>
      <c r="G9054">
        <v>-236.11859999999999</v>
      </c>
      <c r="H9054" s="1">
        <v>-1.643109E-6</v>
      </c>
      <c r="I9054">
        <v>-60.208419999999997</v>
      </c>
      <c r="J9054">
        <v>-270.3227</v>
      </c>
      <c r="K9054">
        <v>1.1243780000000001</v>
      </c>
      <c r="L9054">
        <v>-60.905909999999999</v>
      </c>
      <c r="M9054">
        <v>0.98031979999999996</v>
      </c>
      <c r="N9054">
        <v>-1.1538069999999999E-2</v>
      </c>
      <c r="O9054">
        <v>-0.19707939999999999</v>
      </c>
      <c r="P9054">
        <v>0.99448650000000005</v>
      </c>
      <c r="Q9054">
        <v>9.6387570000000006E-2</v>
      </c>
      <c r="R9054">
        <v>-4.1309690000000003E-2</v>
      </c>
      <c r="S9054">
        <v>3.029175</v>
      </c>
      <c r="T9054">
        <v>-9.9231E-2</v>
      </c>
      <c r="U9054">
        <v>5.960083E-2</v>
      </c>
      <c r="V9054">
        <v>-0.15634439999999999</v>
      </c>
      <c r="W9054">
        <v>0.1065045</v>
      </c>
      <c r="X9054">
        <v>0.98194360000000003</v>
      </c>
      <c r="Y9054">
        <v>-0.21614040000000001</v>
      </c>
      <c r="Z9054">
        <v>8.9277360000000004E-3</v>
      </c>
      <c r="AA9054">
        <v>0.97632149999999995</v>
      </c>
      <c r="AB9054">
        <v>26</v>
      </c>
      <c r="AC9054">
        <v>34.204099999999997</v>
      </c>
      <c r="AD9054">
        <v>-1.1243796431090001</v>
      </c>
      <c r="AE9054">
        <v>0.69749000000000105</v>
      </c>
      <c r="AF9054">
        <v>-7.4171680644213698</v>
      </c>
      <c r="AG9054">
        <v>-1.1243796431090001</v>
      </c>
      <c r="AH9054">
        <v>33.359679235240399</v>
      </c>
      <c r="AI9054">
        <v>91.884427277048204</v>
      </c>
      <c r="AJ9054">
        <v>102.53520048797201</v>
      </c>
      <c r="AK9054">
        <v>34.192788864844601</v>
      </c>
      <c r="AL9054">
        <v>83.886145872554295</v>
      </c>
      <c r="AM9054">
        <v>99.046658884832596</v>
      </c>
      <c r="AN9054">
        <v>1.00000000675628</v>
      </c>
    </row>
    <row r="9055" spans="1:40" x14ac:dyDescent="0.25">
      <c r="A9055" t="str">
        <f>"20190303162127960"</f>
        <v>20190303162127960</v>
      </c>
      <c r="B9055" t="str">
        <f>"1551601287951460"</f>
        <v>1551601287951460</v>
      </c>
      <c r="C9055" t="s">
        <v>40</v>
      </c>
      <c r="D9055">
        <v>5.1826780000000001</v>
      </c>
      <c r="E9055">
        <v>0.47619250000000002</v>
      </c>
      <c r="F9055" t="s">
        <v>89</v>
      </c>
      <c r="G9055">
        <v>-236.97730000000001</v>
      </c>
      <c r="H9055" s="1">
        <v>-2.0049079999999999E-6</v>
      </c>
      <c r="I9055">
        <v>-60.245370000000001</v>
      </c>
      <c r="J9055">
        <v>-270.19220000000001</v>
      </c>
      <c r="K9055">
        <v>1.1243700000000001</v>
      </c>
      <c r="L9055">
        <v>-60.929690000000001</v>
      </c>
      <c r="M9055">
        <v>0.98076929999999996</v>
      </c>
      <c r="N9055">
        <v>-1.153935E-2</v>
      </c>
      <c r="O9055">
        <v>-0.1948289</v>
      </c>
      <c r="P9055">
        <v>0.99462850000000003</v>
      </c>
      <c r="Q9055">
        <v>9.5463049999999994E-2</v>
      </c>
      <c r="R9055">
        <v>-4.0011209999999998E-2</v>
      </c>
      <c r="S9055">
        <v>3.029083</v>
      </c>
      <c r="T9055">
        <v>-0.1021383</v>
      </c>
      <c r="U9055">
        <v>5.9997559999999998E-2</v>
      </c>
      <c r="V9055">
        <v>-0.155381399999999</v>
      </c>
      <c r="W9055">
        <v>0.1055923</v>
      </c>
      <c r="X9055">
        <v>0.98219500000000004</v>
      </c>
      <c r="Y9055">
        <v>-0.2140176</v>
      </c>
      <c r="Z9055">
        <v>9.1232510000000006E-3</v>
      </c>
      <c r="AA9055">
        <v>0.97678719999999997</v>
      </c>
      <c r="AB9055">
        <v>26</v>
      </c>
      <c r="AC9055">
        <v>33.2149</v>
      </c>
      <c r="AD9055">
        <v>-1.1243720049079999</v>
      </c>
      <c r="AE9055">
        <v>0.68432000000000603</v>
      </c>
      <c r="AF9055">
        <v>-7.1346861857657897</v>
      </c>
      <c r="AG9055">
        <v>-1.1243720049079999</v>
      </c>
      <c r="AH9055">
        <v>32.407870057754998</v>
      </c>
      <c r="AI9055">
        <v>91.940611531234197</v>
      </c>
      <c r="AJ9055">
        <v>102.415773691089</v>
      </c>
      <c r="AK9055">
        <v>33.202981809697597</v>
      </c>
      <c r="AL9055">
        <v>83.938707839037903</v>
      </c>
      <c r="AM9055">
        <v>98.989585436164006</v>
      </c>
      <c r="AN9055">
        <v>1.00000006565512</v>
      </c>
    </row>
    <row r="9056" spans="1:40" x14ac:dyDescent="0.25">
      <c r="A9056" t="str">
        <f>"20190303162127970"</f>
        <v>20190303162127970</v>
      </c>
      <c r="B9056" t="str">
        <f>"1551601287962195"</f>
        <v>1551601287962195</v>
      </c>
      <c r="C9056" t="s">
        <v>40</v>
      </c>
      <c r="D9056">
        <v>5.1808129999999997</v>
      </c>
      <c r="E9056">
        <v>0.47636669999999998</v>
      </c>
      <c r="F9056" t="s">
        <v>89</v>
      </c>
      <c r="G9056">
        <v>-237.9727</v>
      </c>
      <c r="H9056" s="1">
        <v>-2.427346E-6</v>
      </c>
      <c r="I9056">
        <v>-60.271270000000001</v>
      </c>
      <c r="J9056">
        <v>-270.06979999999999</v>
      </c>
      <c r="K9056">
        <v>1.1243529999999999</v>
      </c>
      <c r="L9056">
        <v>-60.951720000000002</v>
      </c>
      <c r="M9056">
        <v>0.98118530000000004</v>
      </c>
      <c r="N9056">
        <v>-1.154031E-2</v>
      </c>
      <c r="O9056">
        <v>-0.1927239</v>
      </c>
      <c r="P9056">
        <v>0.99474779999999996</v>
      </c>
      <c r="Q9056">
        <v>9.4734849999999995E-2</v>
      </c>
      <c r="R9056">
        <v>-3.8757920000000001E-2</v>
      </c>
      <c r="S9056">
        <v>3.0288390000000001</v>
      </c>
      <c r="T9056">
        <v>-0.10569820000000001</v>
      </c>
      <c r="U9056">
        <v>6.1889649999999997E-2</v>
      </c>
      <c r="V9056">
        <v>-0.15451679999999901</v>
      </c>
      <c r="W9056">
        <v>0.1048753</v>
      </c>
      <c r="X9056">
        <v>0.98240810000000001</v>
      </c>
      <c r="Y9056">
        <v>-0.21251929999999999</v>
      </c>
      <c r="Z9056">
        <v>9.3949649999999999E-3</v>
      </c>
      <c r="AA9056">
        <v>0.97711170000000003</v>
      </c>
      <c r="AB9056">
        <v>26</v>
      </c>
      <c r="AC9056">
        <v>32.097099999999898</v>
      </c>
      <c r="AD9056">
        <v>-1.1243554273459999</v>
      </c>
      <c r="AE9056">
        <v>0.68045</v>
      </c>
      <c r="AF9056">
        <v>-6.8455849484384101</v>
      </c>
      <c r="AG9056">
        <v>-1.1243554273459999</v>
      </c>
      <c r="AH9056">
        <v>31.325725867851101</v>
      </c>
      <c r="AI9056">
        <v>92.008247979361201</v>
      </c>
      <c r="AJ9056">
        <v>102.327012024933</v>
      </c>
      <c r="AK9056">
        <v>32.084689644143999</v>
      </c>
      <c r="AL9056">
        <v>83.980017724117403</v>
      </c>
      <c r="AM9056">
        <v>98.938466249874807</v>
      </c>
      <c r="AN9056">
        <v>0.99999997248896899</v>
      </c>
    </row>
    <row r="9057" spans="1:40" x14ac:dyDescent="0.25">
      <c r="A9057" t="str">
        <f>"20190303162127981"</f>
        <v>20190303162127981</v>
      </c>
      <c r="B9057" t="str">
        <f>"1551601287971956"</f>
        <v>1551601287971956</v>
      </c>
      <c r="C9057" t="s">
        <v>40</v>
      </c>
      <c r="D9057">
        <v>5.181438</v>
      </c>
      <c r="E9057">
        <v>0.47649649999999999</v>
      </c>
      <c r="F9057" t="s">
        <v>89</v>
      </c>
      <c r="G9057">
        <v>-238.68879999999999</v>
      </c>
      <c r="H9057" s="1">
        <v>-2.731622E-6</v>
      </c>
      <c r="I9057">
        <v>-60.287640000000003</v>
      </c>
      <c r="J9057">
        <v>-269.93470000000002</v>
      </c>
      <c r="K9057">
        <v>1.124339</v>
      </c>
      <c r="L9057">
        <v>-60.9758</v>
      </c>
      <c r="M9057">
        <v>0.98163809999999996</v>
      </c>
      <c r="N9057">
        <v>-1.154114E-2</v>
      </c>
      <c r="O9057">
        <v>-0.19040360000000001</v>
      </c>
      <c r="P9057">
        <v>0.99488279999999996</v>
      </c>
      <c r="Q9057">
        <v>9.4042810000000004E-2</v>
      </c>
      <c r="R9057">
        <v>-3.6931020000000002E-2</v>
      </c>
      <c r="S9057">
        <v>3.0286870000000001</v>
      </c>
      <c r="T9057">
        <v>-0.108515</v>
      </c>
      <c r="U9057">
        <v>6.4086909999999997E-2</v>
      </c>
      <c r="V9057">
        <v>-0.154002799999999</v>
      </c>
      <c r="W9057">
        <v>0.10419340000000001</v>
      </c>
      <c r="X9057">
        <v>0.98256140000000003</v>
      </c>
      <c r="Y9057">
        <v>-0.21090819999999999</v>
      </c>
      <c r="Z9057">
        <v>9.5795619999999998E-3</v>
      </c>
      <c r="AA9057">
        <v>0.97745899999999997</v>
      </c>
      <c r="AB9057">
        <v>26</v>
      </c>
      <c r="AC9057">
        <v>31.245899999999999</v>
      </c>
      <c r="AD9057">
        <v>-1.1243417316219999</v>
      </c>
      <c r="AE9057">
        <v>0.688159999999996</v>
      </c>
      <c r="AF9057">
        <v>-6.61673353199276</v>
      </c>
      <c r="AG9057">
        <v>-1.1243417316219999</v>
      </c>
      <c r="AH9057">
        <v>30.5036928813253</v>
      </c>
      <c r="AI9057">
        <v>92.062987450221001</v>
      </c>
      <c r="AJ9057">
        <v>102.23875726367299</v>
      </c>
      <c r="AK9057">
        <v>31.233324932851499</v>
      </c>
      <c r="AL9057">
        <v>84.0193032114544</v>
      </c>
      <c r="AM9057">
        <v>98.907842467003903</v>
      </c>
      <c r="AN9057">
        <v>1.0000000158906699</v>
      </c>
    </row>
    <row r="9058" spans="1:40" x14ac:dyDescent="0.25">
      <c r="A9058" t="str">
        <f>"20190303162127994"</f>
        <v>20190303162127994</v>
      </c>
      <c r="B9058" t="str">
        <f>"1551601287981716"</f>
        <v>1551601287981716</v>
      </c>
      <c r="C9058" t="s">
        <v>40</v>
      </c>
      <c r="D9058">
        <v>5.1187860000000001</v>
      </c>
      <c r="E9058">
        <v>0.47661819999999999</v>
      </c>
      <c r="F9058" t="s">
        <v>89</v>
      </c>
      <c r="G9058">
        <v>-239.24600000000001</v>
      </c>
      <c r="H9058" s="1">
        <v>-2.9712710000000001E-6</v>
      </c>
      <c r="I9058">
        <v>-60.28425</v>
      </c>
      <c r="J9058">
        <v>-269.8023</v>
      </c>
      <c r="K9058">
        <v>1.1243209999999999</v>
      </c>
      <c r="L9058">
        <v>-60.998959999999997</v>
      </c>
      <c r="M9058">
        <v>0.9820721</v>
      </c>
      <c r="N9058">
        <v>-1.1541539999999999E-2</v>
      </c>
      <c r="O9058">
        <v>-0.1881516</v>
      </c>
      <c r="P9058">
        <v>0.9950194</v>
      </c>
      <c r="Q9058">
        <v>9.3490290000000004E-2</v>
      </c>
      <c r="R9058">
        <v>-3.4583650000000001E-2</v>
      </c>
      <c r="S9058">
        <v>3.0284420000000001</v>
      </c>
      <c r="T9058">
        <v>-0.110953</v>
      </c>
      <c r="U9058">
        <v>6.8237300000000001E-2</v>
      </c>
      <c r="V9058">
        <v>-0.15406929999999999</v>
      </c>
      <c r="W9058">
        <v>0.103647</v>
      </c>
      <c r="X9058">
        <v>0.9826087</v>
      </c>
      <c r="Y9058">
        <v>-0.2099973</v>
      </c>
      <c r="Z9058">
        <v>9.7408589999999993E-3</v>
      </c>
      <c r="AA9058">
        <v>0.97765340000000001</v>
      </c>
      <c r="AB9058">
        <v>26</v>
      </c>
      <c r="AC9058">
        <v>30.5563</v>
      </c>
      <c r="AD9058">
        <v>-1.12432397127099</v>
      </c>
      <c r="AE9058">
        <v>0.71470999999999596</v>
      </c>
      <c r="AF9058">
        <v>-6.4428256396575998</v>
      </c>
      <c r="AG9058">
        <v>-1.12432397127099</v>
      </c>
      <c r="AH9058">
        <v>29.835636265510502</v>
      </c>
      <c r="AI9058">
        <v>92.109529163629503</v>
      </c>
      <c r="AJ9058">
        <v>102.185565797327</v>
      </c>
      <c r="AK9058">
        <v>30.544055035035001</v>
      </c>
      <c r="AL9058">
        <v>84.050779680147599</v>
      </c>
      <c r="AM9058">
        <v>98.911205146121901</v>
      </c>
      <c r="AN9058">
        <v>0.99999995356358795</v>
      </c>
    </row>
    <row r="9059" spans="1:40" x14ac:dyDescent="0.25">
      <c r="A9059" t="str">
        <f>"20190303162128007"</f>
        <v>20190303162128007</v>
      </c>
      <c r="B9059" t="str">
        <f>"1551601287991475"</f>
        <v>1551601287991475</v>
      </c>
      <c r="C9059" t="s">
        <v>40</v>
      </c>
      <c r="D9059">
        <v>5.1208450000000001</v>
      </c>
      <c r="E9059">
        <v>0.47671970000000002</v>
      </c>
      <c r="F9059" t="s">
        <v>89</v>
      </c>
      <c r="G9059">
        <v>-239.58430000000001</v>
      </c>
      <c r="H9059" s="1">
        <v>-3.1204760000000002E-6</v>
      </c>
      <c r="I9059">
        <v>-60.261330000000001</v>
      </c>
      <c r="J9059">
        <v>-269.6567</v>
      </c>
      <c r="K9059">
        <v>1.1243050000000001</v>
      </c>
      <c r="L9059">
        <v>-61.024259999999998</v>
      </c>
      <c r="M9059">
        <v>0.98254220000000003</v>
      </c>
      <c r="N9059">
        <v>-1.154182E-2</v>
      </c>
      <c r="O9059">
        <v>-0.18568180000000001</v>
      </c>
      <c r="P9059">
        <v>0.99513110000000005</v>
      </c>
      <c r="Q9059">
        <v>9.3277879999999994E-2</v>
      </c>
      <c r="R9059">
        <v>-3.1832739999999998E-2</v>
      </c>
      <c r="S9059">
        <v>3.0282290000000001</v>
      </c>
      <c r="T9059">
        <v>-0.1126714</v>
      </c>
      <c r="U9059">
        <v>7.3913569999999998E-2</v>
      </c>
      <c r="V9059">
        <v>-0.15431300000000001</v>
      </c>
      <c r="W9059">
        <v>0.1034398</v>
      </c>
      <c r="X9059">
        <v>0.98259229999999997</v>
      </c>
      <c r="Y9059">
        <v>-0.20936579999999999</v>
      </c>
      <c r="Z9059">
        <v>9.8303439999999995E-3</v>
      </c>
      <c r="AA9059">
        <v>0.97778799999999999</v>
      </c>
      <c r="AB9059">
        <v>26</v>
      </c>
      <c r="AC9059">
        <v>30.072399999999899</v>
      </c>
      <c r="AD9059">
        <v>-1.1243081204759999</v>
      </c>
      <c r="AE9059">
        <v>0.76292999999999001</v>
      </c>
      <c r="AF9059">
        <v>-6.3250944859070302</v>
      </c>
      <c r="AG9059">
        <v>-1.1243081204759999</v>
      </c>
      <c r="AH9059">
        <v>29.366675561748401</v>
      </c>
      <c r="AI9059">
        <v>92.143402548194402</v>
      </c>
      <c r="AJ9059">
        <v>102.154875253806</v>
      </c>
      <c r="AK9059">
        <v>30.0611463945474</v>
      </c>
      <c r="AL9059">
        <v>84.062715567094202</v>
      </c>
      <c r="AM9059">
        <v>98.925220326063396</v>
      </c>
      <c r="AN9059">
        <v>0.99999996110616396</v>
      </c>
    </row>
    <row r="9060" spans="1:40" x14ac:dyDescent="0.25">
      <c r="A9060" t="str">
        <f>"20190303162128018"</f>
        <v>20190303162128018</v>
      </c>
      <c r="B9060" t="str">
        <f>"1551601288011971"</f>
        <v>1551601288011971</v>
      </c>
      <c r="C9060" t="s">
        <v>40</v>
      </c>
      <c r="D9060">
        <v>5.1326340000000004</v>
      </c>
      <c r="E9060">
        <v>0.47689280000000001</v>
      </c>
      <c r="F9060" t="s">
        <v>89</v>
      </c>
      <c r="G9060">
        <v>-239.58619999999999</v>
      </c>
      <c r="H9060" s="1">
        <v>-3.1285300000000002E-6</v>
      </c>
      <c r="I9060">
        <v>-60.220440000000004</v>
      </c>
      <c r="J9060">
        <v>-269.50850000000003</v>
      </c>
      <c r="K9060">
        <v>1.1242760000000001</v>
      </c>
      <c r="L9060">
        <v>-61.049500000000002</v>
      </c>
      <c r="M9060">
        <v>0.98300639999999995</v>
      </c>
      <c r="N9060">
        <v>-1.154139E-2</v>
      </c>
      <c r="O9060">
        <v>-0.18320829999999999</v>
      </c>
      <c r="P9060">
        <v>0.99524409999999996</v>
      </c>
      <c r="Q9060">
        <v>9.3080700000000002E-2</v>
      </c>
      <c r="R9060">
        <v>-2.8729129999999999E-2</v>
      </c>
      <c r="S9060">
        <v>3.0278930000000002</v>
      </c>
      <c r="T9060">
        <v>-0.11321000000000001</v>
      </c>
      <c r="U9060">
        <v>8.0932619999999997E-2</v>
      </c>
      <c r="V9060">
        <v>-0.15489890000000001</v>
      </c>
      <c r="W9060">
        <v>0.1032482</v>
      </c>
      <c r="X9060">
        <v>0.98252030000000001</v>
      </c>
      <c r="Y9060">
        <v>-0.2091711</v>
      </c>
      <c r="Z9060">
        <v>9.8160950000000004E-3</v>
      </c>
      <c r="AA9060">
        <v>0.97782979999999997</v>
      </c>
      <c r="AB9060">
        <v>26</v>
      </c>
      <c r="AC9060">
        <v>29.9223</v>
      </c>
      <c r="AD9060">
        <v>-1.12427912852999</v>
      </c>
      <c r="AE9060">
        <v>0.82905999999999802</v>
      </c>
      <c r="AF9060">
        <v>-6.2885331838835699</v>
      </c>
      <c r="AG9060">
        <v>-1.12427912852999</v>
      </c>
      <c r="AH9060">
        <v>29.222646359951298</v>
      </c>
      <c r="AI9060">
        <v>92.153985221262005</v>
      </c>
      <c r="AJ9060">
        <v>102.144494694974</v>
      </c>
      <c r="AK9060">
        <v>29.912751686236199</v>
      </c>
      <c r="AL9060">
        <v>84.073752765545606</v>
      </c>
      <c r="AM9060">
        <v>98.959205101032893</v>
      </c>
      <c r="AN9060">
        <v>0.99999999996827005</v>
      </c>
    </row>
    <row r="9061" spans="1:40" x14ac:dyDescent="0.25">
      <c r="A9061" t="str">
        <f>"20190303162128029"</f>
        <v>20190303162128029</v>
      </c>
      <c r="B9061" t="str">
        <f>"1551601288021732"</f>
        <v>1551601288021732</v>
      </c>
      <c r="C9061" t="s">
        <v>40</v>
      </c>
      <c r="D9061">
        <v>5.1175379999999997</v>
      </c>
      <c r="E9061">
        <v>0.477047</v>
      </c>
      <c r="F9061" t="s">
        <v>89</v>
      </c>
      <c r="G9061">
        <v>-239.50729999999999</v>
      </c>
      <c r="H9061" s="1">
        <v>-3.1032600000000002E-6</v>
      </c>
      <c r="I9061">
        <v>-60.172130000000003</v>
      </c>
      <c r="J9061">
        <v>-269.387</v>
      </c>
      <c r="K9061">
        <v>1.12425</v>
      </c>
      <c r="L9061">
        <v>-61.070010000000003</v>
      </c>
      <c r="M9061">
        <v>0.98337940000000001</v>
      </c>
      <c r="N9061">
        <v>-1.154081E-2</v>
      </c>
      <c r="O9061">
        <v>-0.1811961</v>
      </c>
      <c r="P9061">
        <v>0.99529460000000003</v>
      </c>
      <c r="Q9061">
        <v>9.3221250000000005E-2</v>
      </c>
      <c r="R9061">
        <v>-2.6429190000000002E-2</v>
      </c>
      <c r="S9061">
        <v>3.0274960000000002</v>
      </c>
      <c r="T9061">
        <v>-0.1134537</v>
      </c>
      <c r="U9061">
        <v>8.8531490000000004E-2</v>
      </c>
      <c r="V9061">
        <v>-0.15515139999999999</v>
      </c>
      <c r="W9061">
        <v>0.10339520000000001</v>
      </c>
      <c r="X9061">
        <v>0.98246500000000003</v>
      </c>
      <c r="Y9061">
        <v>-0.2096248</v>
      </c>
      <c r="Z9061">
        <v>9.8009959999999993E-3</v>
      </c>
      <c r="AA9061">
        <v>0.97773279999999996</v>
      </c>
      <c r="AB9061">
        <v>26</v>
      </c>
      <c r="AC9061">
        <v>29.8797</v>
      </c>
      <c r="AD9061">
        <v>-1.1242531032600001</v>
      </c>
      <c r="AE9061">
        <v>0.89787999999999302</v>
      </c>
      <c r="AF9061">
        <v>-6.2885655938259504</v>
      </c>
      <c r="AG9061">
        <v>-1.1242531032600001</v>
      </c>
      <c r="AH9061">
        <v>29.181056637701399</v>
      </c>
      <c r="AI9061">
        <v>92.156865853008597</v>
      </c>
      <c r="AJ9061">
        <v>102.161349359182</v>
      </c>
      <c r="AK9061">
        <v>29.872128627882802</v>
      </c>
      <c r="AL9061">
        <v>84.065284967979395</v>
      </c>
      <c r="AM9061">
        <v>98.974068870296094</v>
      </c>
      <c r="AN9061">
        <v>1.000000000265</v>
      </c>
    </row>
    <row r="9062" spans="1:40" x14ac:dyDescent="0.25">
      <c r="A9062" t="str">
        <f>"20190303162128041"</f>
        <v>20190303162128041</v>
      </c>
      <c r="B9062" t="str">
        <f>"1551601288031492"</f>
        <v>1551601288031492</v>
      </c>
      <c r="C9062" t="s">
        <v>40</v>
      </c>
      <c r="D9062">
        <v>5.0623559999999896</v>
      </c>
      <c r="E9062">
        <v>0.47721239999999998</v>
      </c>
      <c r="F9062" t="s">
        <v>89</v>
      </c>
      <c r="G9062">
        <v>-239.66220000000001</v>
      </c>
      <c r="H9062" s="1">
        <v>-3.173878E-6</v>
      </c>
      <c r="I9062">
        <v>-60.148560000000003</v>
      </c>
      <c r="J9062">
        <v>-269.24849999999998</v>
      </c>
      <c r="K9062">
        <v>1.124217</v>
      </c>
      <c r="L9062">
        <v>-61.09308</v>
      </c>
      <c r="M9062">
        <v>0.98379459999999996</v>
      </c>
      <c r="N9062">
        <v>-1.1539799999999999E-2</v>
      </c>
      <c r="O9062">
        <v>-0.17892729999999901</v>
      </c>
      <c r="P9062">
        <v>0.99530269999999998</v>
      </c>
      <c r="Q9062">
        <v>9.3794020000000006E-2</v>
      </c>
      <c r="R9062">
        <v>-2.3991539999999999E-2</v>
      </c>
      <c r="S9062">
        <v>3.0274350000000001</v>
      </c>
      <c r="T9062">
        <v>-0.1145036</v>
      </c>
      <c r="U9062">
        <v>9.3841549999999996E-2</v>
      </c>
      <c r="V9062">
        <v>-0.15527729999999901</v>
      </c>
      <c r="W9062">
        <v>0.1039781</v>
      </c>
      <c r="X9062">
        <v>0.98238360000000002</v>
      </c>
      <c r="Y9062">
        <v>-0.20907990000000001</v>
      </c>
      <c r="Z9062">
        <v>9.8285130000000005E-3</v>
      </c>
      <c r="AA9062">
        <v>0.97784919999999997</v>
      </c>
      <c r="AB9062">
        <v>26</v>
      </c>
      <c r="AC9062">
        <v>29.586299999999898</v>
      </c>
      <c r="AD9062">
        <v>-1.124220173878</v>
      </c>
      <c r="AE9062">
        <v>0.94452000000001102</v>
      </c>
      <c r="AF9062">
        <v>-6.2144613637061497</v>
      </c>
      <c r="AG9062">
        <v>-1.124220173878</v>
      </c>
      <c r="AH9062">
        <v>28.898087343638402</v>
      </c>
      <c r="AI9062">
        <v>92.178105160342795</v>
      </c>
      <c r="AJ9062">
        <v>102.13648130862801</v>
      </c>
      <c r="AK9062">
        <v>29.580109079597801</v>
      </c>
      <c r="AL9062">
        <v>84.0317063353463</v>
      </c>
      <c r="AM9062">
        <v>98.981964411458193</v>
      </c>
      <c r="AN9062">
        <v>1.0000000113619301</v>
      </c>
    </row>
    <row r="9063" spans="1:40" x14ac:dyDescent="0.25">
      <c r="A9063" t="str">
        <f>"20190303162128051"</f>
        <v>20190303162128051</v>
      </c>
      <c r="B9063" t="str">
        <f>"1551601288041252"</f>
        <v>1551601288041252</v>
      </c>
      <c r="C9063" t="s">
        <v>40</v>
      </c>
      <c r="D9063">
        <v>5.0859629999999996</v>
      </c>
      <c r="E9063">
        <v>0.47720889999999999</v>
      </c>
      <c r="F9063" t="s">
        <v>89</v>
      </c>
      <c r="G9063">
        <v>-239.32050000000001</v>
      </c>
      <c r="H9063" s="1">
        <v>-3.0347949999999998E-6</v>
      </c>
      <c r="I9063">
        <v>-60.106459999999998</v>
      </c>
      <c r="J9063">
        <v>-269.13420000000002</v>
      </c>
      <c r="K9063">
        <v>1.124188</v>
      </c>
      <c r="L9063">
        <v>-61.111849999999997</v>
      </c>
      <c r="M9063">
        <v>0.98412869999999997</v>
      </c>
      <c r="N9063">
        <v>-1.1538710000000001E-2</v>
      </c>
      <c r="O9063">
        <v>-0.17708080000000001</v>
      </c>
      <c r="P9063">
        <v>0.99527049999999995</v>
      </c>
      <c r="Q9063">
        <v>9.4511869999999998E-2</v>
      </c>
      <c r="R9063">
        <v>-2.2462490000000002E-2</v>
      </c>
      <c r="S9063">
        <v>3.0272830000000002</v>
      </c>
      <c r="T9063">
        <v>-0.1137172</v>
      </c>
      <c r="U9063">
        <v>9.9792480000000003E-2</v>
      </c>
      <c r="V9063">
        <v>-0.15492800000000001</v>
      </c>
      <c r="W9063">
        <v>0.10470839999999899</v>
      </c>
      <c r="X9063">
        <v>0.98236120000000005</v>
      </c>
      <c r="Y9063">
        <v>-0.20917060000000001</v>
      </c>
      <c r="Z9063">
        <v>9.7110649999999996E-3</v>
      </c>
      <c r="AA9063">
        <v>0.97783089999999995</v>
      </c>
      <c r="AB9063">
        <v>26</v>
      </c>
      <c r="AC9063">
        <v>29.813700000000001</v>
      </c>
      <c r="AD9063">
        <v>-1.1241910347949999</v>
      </c>
      <c r="AE9063">
        <v>1.00538999999999</v>
      </c>
      <c r="AF9063">
        <v>-6.2603930903945404</v>
      </c>
      <c r="AG9063">
        <v>-1.1241910347949999</v>
      </c>
      <c r="AH9063">
        <v>29.123062314740601</v>
      </c>
      <c r="AI9063">
        <v>92.161276709079004</v>
      </c>
      <c r="AJ9063">
        <v>102.13187690446399</v>
      </c>
      <c r="AK9063">
        <v>29.809546888828098</v>
      </c>
      <c r="AL9063">
        <v>83.9896336832293</v>
      </c>
      <c r="AM9063">
        <v>98.962288624211595</v>
      </c>
      <c r="AN9063">
        <v>1.0000000307399901</v>
      </c>
    </row>
    <row r="9064" spans="1:40" x14ac:dyDescent="0.25">
      <c r="A9064" t="str">
        <f>"20190303162128060"</f>
        <v>20190303162128060</v>
      </c>
      <c r="B9064" t="str">
        <f>"1551601288051987"</f>
        <v>1551601288051987</v>
      </c>
      <c r="C9064" t="s">
        <v>40</v>
      </c>
      <c r="D9064">
        <v>5.1388480000000003</v>
      </c>
      <c r="E9064">
        <v>0.47709990000000002</v>
      </c>
      <c r="F9064" t="s">
        <v>89</v>
      </c>
      <c r="G9064">
        <v>-238.20570000000001</v>
      </c>
      <c r="H9064" s="1">
        <v>-2.567532E-6</v>
      </c>
      <c r="I9064">
        <v>-60.044449999999998</v>
      </c>
      <c r="J9064">
        <v>-269.0224</v>
      </c>
      <c r="K9064">
        <v>1.1241589999999999</v>
      </c>
      <c r="L9064">
        <v>-61.130099999999999</v>
      </c>
      <c r="M9064">
        <v>0.98444929999999997</v>
      </c>
      <c r="N9064">
        <v>-1.153757E-2</v>
      </c>
      <c r="O9064">
        <v>-0.17528969999999999</v>
      </c>
      <c r="P9064">
        <v>0.99522940000000004</v>
      </c>
      <c r="Q9064">
        <v>9.5252530000000002E-2</v>
      </c>
      <c r="R9064">
        <v>-2.1111359999999999E-2</v>
      </c>
      <c r="S9064">
        <v>3.0270389999999998</v>
      </c>
      <c r="T9064">
        <v>-0.11002679999999999</v>
      </c>
      <c r="U9064">
        <v>0.1044617</v>
      </c>
      <c r="V9064">
        <v>-0.15445889999999901</v>
      </c>
      <c r="W9064">
        <v>0.1054633</v>
      </c>
      <c r="X9064">
        <v>0.98235430000000001</v>
      </c>
      <c r="Y9064">
        <v>-0.2089174</v>
      </c>
      <c r="Z9064">
        <v>9.3202230000000007E-3</v>
      </c>
      <c r="AA9064">
        <v>0.97788889999999995</v>
      </c>
      <c r="AB9064">
        <v>26</v>
      </c>
      <c r="AC9064">
        <v>30.816700000000001</v>
      </c>
      <c r="AD9064">
        <v>-1.12416156753199</v>
      </c>
      <c r="AE9064">
        <v>1.08565</v>
      </c>
      <c r="AF9064">
        <v>-6.4624590983339196</v>
      </c>
      <c r="AG9064">
        <v>-1.12416156753199</v>
      </c>
      <c r="AH9064">
        <v>30.1091648608705</v>
      </c>
      <c r="AI9064">
        <v>92.090643204582904</v>
      </c>
      <c r="AJ9064">
        <v>102.113850588402</v>
      </c>
      <c r="AK9064">
        <v>30.8154007834822</v>
      </c>
      <c r="AL9064">
        <v>83.946140188132901</v>
      </c>
      <c r="AM9064">
        <v>98.935652360558805</v>
      </c>
      <c r="AN9064">
        <v>1.0000000150822901</v>
      </c>
    </row>
    <row r="9065" spans="1:40" x14ac:dyDescent="0.25">
      <c r="A9065" t="str">
        <f>"20190303162128071"</f>
        <v>20190303162128071</v>
      </c>
      <c r="B9065" t="str">
        <f>"1551601288061748"</f>
        <v>1551601288061748</v>
      </c>
      <c r="C9065" t="s">
        <v>40</v>
      </c>
      <c r="D9065">
        <v>5.1316519999999999</v>
      </c>
      <c r="E9065">
        <v>0.47703109999999999</v>
      </c>
      <c r="F9065" t="s">
        <v>89</v>
      </c>
      <c r="G9065">
        <v>-236.66640000000001</v>
      </c>
      <c r="H9065" s="1">
        <v>-1.922805E-6</v>
      </c>
      <c r="I9065">
        <v>-59.956249999999997</v>
      </c>
      <c r="J9065">
        <v>-268.90679999999998</v>
      </c>
      <c r="K9065">
        <v>1.124123</v>
      </c>
      <c r="L9065">
        <v>-61.148739999999997</v>
      </c>
      <c r="M9065">
        <v>0.98477210000000004</v>
      </c>
      <c r="N9065">
        <v>-1.153623E-2</v>
      </c>
      <c r="O9065">
        <v>-0.17346710000000001</v>
      </c>
      <c r="P9065">
        <v>0.99519780000000002</v>
      </c>
      <c r="Q9065">
        <v>9.5887840000000002E-2</v>
      </c>
      <c r="R9065">
        <v>-1.9667230000000001E-2</v>
      </c>
      <c r="S9065">
        <v>3.026764</v>
      </c>
      <c r="T9065">
        <v>-0.10516010000000001</v>
      </c>
      <c r="U9065">
        <v>0.1098022</v>
      </c>
      <c r="V9065">
        <v>-0.15404999999999999</v>
      </c>
      <c r="W9065">
        <v>0.10611379999999999</v>
      </c>
      <c r="X9065">
        <v>0.98234840000000001</v>
      </c>
      <c r="Y9065">
        <v>-0.2088546</v>
      </c>
      <c r="Z9065">
        <v>8.8300359999999994E-3</v>
      </c>
      <c r="AA9065">
        <v>0.97790679999999996</v>
      </c>
      <c r="AB9065">
        <v>26</v>
      </c>
      <c r="AC9065">
        <v>32.240399999999902</v>
      </c>
      <c r="AD9065">
        <v>-1.1241249228049901</v>
      </c>
      <c r="AE9065">
        <v>1.19249</v>
      </c>
      <c r="AF9065">
        <v>-6.7592238816284604</v>
      </c>
      <c r="AG9065">
        <v>-1.1241249228049901</v>
      </c>
      <c r="AH9065">
        <v>31.506437411452499</v>
      </c>
      <c r="AI9065">
        <v>91.997978293844298</v>
      </c>
      <c r="AJ9065">
        <v>102.108395530442</v>
      </c>
      <c r="AK9065">
        <v>32.242927328110603</v>
      </c>
      <c r="AL9065">
        <v>83.908658626388899</v>
      </c>
      <c r="AM9065">
        <v>98.912429846235895</v>
      </c>
      <c r="AN9065">
        <v>0.99999996001649905</v>
      </c>
    </row>
    <row r="9066" spans="1:40" x14ac:dyDescent="0.25">
      <c r="A9066" t="str">
        <f>"20190303162128083"</f>
        <v>20190303162128083</v>
      </c>
      <c r="B9066" t="str">
        <f>"1551601288071508"</f>
        <v>1551601288071508</v>
      </c>
      <c r="C9066" t="s">
        <v>40</v>
      </c>
      <c r="D9066">
        <v>4.9613490000000002</v>
      </c>
      <c r="E9066">
        <v>0.47695209999999999</v>
      </c>
      <c r="F9066" t="s">
        <v>89</v>
      </c>
      <c r="G9066">
        <v>-235.44909999999999</v>
      </c>
      <c r="H9066" s="1">
        <v>-1.414746E-6</v>
      </c>
      <c r="I9066">
        <v>-59.876469999999998</v>
      </c>
      <c r="J9066">
        <v>-268.77370000000002</v>
      </c>
      <c r="K9066">
        <v>1.1240810000000001</v>
      </c>
      <c r="L9066">
        <v>-61.169980000000002</v>
      </c>
      <c r="M9066">
        <v>0.9851356</v>
      </c>
      <c r="N9066">
        <v>-1.153467E-2</v>
      </c>
      <c r="O9066">
        <v>-0.1713915</v>
      </c>
      <c r="P9066">
        <v>0.99517460000000002</v>
      </c>
      <c r="Q9066">
        <v>9.6423889999999998E-2</v>
      </c>
      <c r="R9066">
        <v>-1.8166829999999998E-2</v>
      </c>
      <c r="S9066">
        <v>3.0265200000000001</v>
      </c>
      <c r="T9066">
        <v>-0.1016861</v>
      </c>
      <c r="U9066">
        <v>0.1150818</v>
      </c>
      <c r="V9066">
        <v>-0.1534441</v>
      </c>
      <c r="W9066">
        <v>0.1066691</v>
      </c>
      <c r="X9066">
        <v>0.98238309999999995</v>
      </c>
      <c r="Y9066">
        <v>-0.20851500000000001</v>
      </c>
      <c r="Z9066">
        <v>8.4604569999999994E-3</v>
      </c>
      <c r="AA9066">
        <v>0.97798260000000004</v>
      </c>
      <c r="AB9066">
        <v>26</v>
      </c>
      <c r="AC9066">
        <v>33.324599999999997</v>
      </c>
      <c r="AD9066">
        <v>-1.12408241474599</v>
      </c>
      <c r="AE9066">
        <v>1.2935099999999999</v>
      </c>
      <c r="AF9066">
        <v>-6.9783717926287201</v>
      </c>
      <c r="AG9066">
        <v>-1.12408241474599</v>
      </c>
      <c r="AH9066">
        <v>32.5727130877344</v>
      </c>
      <c r="AI9066">
        <v>91.9326681214053</v>
      </c>
      <c r="AJ9066">
        <v>102.092242281773</v>
      </c>
      <c r="AK9066">
        <v>33.330809651839601</v>
      </c>
      <c r="AL9066">
        <v>83.876660741543702</v>
      </c>
      <c r="AM9066">
        <v>98.877626894445896</v>
      </c>
      <c r="AN9066">
        <v>0.99999997194261403</v>
      </c>
    </row>
    <row r="9067" spans="1:40" x14ac:dyDescent="0.25">
      <c r="A9067" t="str">
        <f>"20190303162128093"</f>
        <v>20190303162128093</v>
      </c>
      <c r="B9067" t="str">
        <f>"1551601288081268"</f>
        <v>1551601288081268</v>
      </c>
      <c r="C9067" t="s">
        <v>40</v>
      </c>
      <c r="D9067">
        <v>5.0216649999999996</v>
      </c>
      <c r="E9067">
        <v>0.47686200000000001</v>
      </c>
      <c r="F9067" t="s">
        <v>89</v>
      </c>
      <c r="G9067">
        <v>-233.9631</v>
      </c>
      <c r="H9067" s="1">
        <v>-7.937915E-7</v>
      </c>
      <c r="I9067">
        <v>-59.783290000000001</v>
      </c>
      <c r="J9067">
        <v>-268.63900000000001</v>
      </c>
      <c r="K9067">
        <v>1.1240380000000001</v>
      </c>
      <c r="L9067">
        <v>-61.191160000000004</v>
      </c>
      <c r="M9067">
        <v>0.98549059999999999</v>
      </c>
      <c r="N9067">
        <v>-1.153272E-2</v>
      </c>
      <c r="O9067">
        <v>-0.16933809999999999</v>
      </c>
      <c r="P9067">
        <v>0.99518549999999995</v>
      </c>
      <c r="Q9067">
        <v>9.6600640000000002E-2</v>
      </c>
      <c r="R9067">
        <v>-1.656556E-2</v>
      </c>
      <c r="S9067">
        <v>3.0262150000000001</v>
      </c>
      <c r="T9067">
        <v>-9.7720379999999996E-2</v>
      </c>
      <c r="U9067">
        <v>0.1205444</v>
      </c>
      <c r="V9067">
        <v>-0.1529635</v>
      </c>
      <c r="W9067">
        <v>0.1068644</v>
      </c>
      <c r="X9067">
        <v>0.9824368</v>
      </c>
      <c r="Y9067">
        <v>-0.20825920000000001</v>
      </c>
      <c r="Z9067">
        <v>8.0540469999999999E-3</v>
      </c>
      <c r="AA9067">
        <v>0.97804049999999998</v>
      </c>
      <c r="AB9067">
        <v>26</v>
      </c>
      <c r="AC9067">
        <v>34.675899999999999</v>
      </c>
      <c r="AD9067">
        <v>-1.1240387937915</v>
      </c>
      <c r="AE9067">
        <v>1.40786999999999</v>
      </c>
      <c r="AF9067">
        <v>-7.2522681387952401</v>
      </c>
      <c r="AG9067">
        <v>-1.1240387937915</v>
      </c>
      <c r="AH9067">
        <v>33.901058831306699</v>
      </c>
      <c r="AI9067">
        <v>91.857042204377294</v>
      </c>
      <c r="AJ9067">
        <v>102.074969910043</v>
      </c>
      <c r="AK9067">
        <v>34.686317853739503</v>
      </c>
      <c r="AL9067">
        <v>83.865406407244706</v>
      </c>
      <c r="AM9067">
        <v>98.849786169873497</v>
      </c>
      <c r="AN9067">
        <v>0.99999994915692303</v>
      </c>
    </row>
    <row r="9068" spans="1:40" x14ac:dyDescent="0.25">
      <c r="A9068" t="str">
        <f>"20190303162128107"</f>
        <v>20190303162128107</v>
      </c>
      <c r="B9068" t="str">
        <f>"1551601288101763"</f>
        <v>1551601288101763</v>
      </c>
      <c r="C9068" t="s">
        <v>40</v>
      </c>
      <c r="D9068">
        <v>5.019056</v>
      </c>
      <c r="E9068">
        <v>0.47682079999999999</v>
      </c>
      <c r="F9068" t="s">
        <v>89</v>
      </c>
      <c r="G9068">
        <v>-232.8879</v>
      </c>
      <c r="H9068" s="1">
        <v>-3.4698879999999899E-7</v>
      </c>
      <c r="I9068">
        <v>-59.70194</v>
      </c>
      <c r="J9068">
        <v>-268.49919999999997</v>
      </c>
      <c r="K9068">
        <v>1.1239920000000001</v>
      </c>
      <c r="L9068">
        <v>-61.212980000000002</v>
      </c>
      <c r="M9068">
        <v>0.98585109999999998</v>
      </c>
      <c r="N9068">
        <v>-1.153071E-2</v>
      </c>
      <c r="O9068">
        <v>-0.16722629999999999</v>
      </c>
      <c r="P9068">
        <v>0.99521519999999997</v>
      </c>
      <c r="Q9068">
        <v>9.6542489999999995E-2</v>
      </c>
      <c r="R9068">
        <v>-1.503988E-2</v>
      </c>
      <c r="S9068">
        <v>3.0258479999999999</v>
      </c>
      <c r="T9068">
        <v>-9.5134620000000003E-2</v>
      </c>
      <c r="U9068">
        <v>0.1260376</v>
      </c>
      <c r="V9068">
        <v>-0.1523523</v>
      </c>
      <c r="W9068">
        <v>0.1068274</v>
      </c>
      <c r="X9068">
        <v>0.98253579999999996</v>
      </c>
      <c r="Y9068">
        <v>-0.2079512</v>
      </c>
      <c r="Z9068">
        <v>7.7744619999999898E-3</v>
      </c>
      <c r="AA9068">
        <v>0.97810830000000004</v>
      </c>
      <c r="AB9068">
        <v>26</v>
      </c>
      <c r="AC9068">
        <v>35.6112999999999</v>
      </c>
      <c r="AD9068">
        <v>-1.1239923469888</v>
      </c>
      <c r="AE9068">
        <v>1.5110399999999999</v>
      </c>
      <c r="AF9068">
        <v>-7.4379050113294003</v>
      </c>
      <c r="AG9068">
        <v>-1.1239923469888</v>
      </c>
      <c r="AH9068">
        <v>34.8224431216209</v>
      </c>
      <c r="AI9068">
        <v>91.807985849228302</v>
      </c>
      <c r="AJ9068">
        <v>102.05692245058199</v>
      </c>
      <c r="AK9068">
        <v>35.625669603702498</v>
      </c>
      <c r="AL9068">
        <v>83.867538607809095</v>
      </c>
      <c r="AM9068">
        <v>98.814107066247701</v>
      </c>
      <c r="AN9068">
        <v>0.99999995749384396</v>
      </c>
    </row>
    <row r="9069" spans="1:40" x14ac:dyDescent="0.25">
      <c r="A9069" t="str">
        <f>"20190303162128118"</f>
        <v>20190303162128118</v>
      </c>
      <c r="B9069" t="str">
        <f>"1551601288111524"</f>
        <v>1551601288111524</v>
      </c>
      <c r="C9069" t="s">
        <v>40</v>
      </c>
      <c r="D9069">
        <v>4.9612689999999997</v>
      </c>
      <c r="E9069">
        <v>0.47681109999999999</v>
      </c>
      <c r="F9069" t="s">
        <v>89</v>
      </c>
      <c r="G9069">
        <v>-231.0745</v>
      </c>
      <c r="H9069" s="1">
        <v>4.1124119999999998E-7</v>
      </c>
      <c r="I9069">
        <v>-59.590670000000003</v>
      </c>
      <c r="J9069">
        <v>-268.35239999999999</v>
      </c>
      <c r="K9069">
        <v>1.1239410000000001</v>
      </c>
      <c r="L9069">
        <v>-61.235439999999997</v>
      </c>
      <c r="M9069">
        <v>0.98621400000000004</v>
      </c>
      <c r="N9069">
        <v>-1.1528190000000001E-2</v>
      </c>
      <c r="O9069">
        <v>-0.16507289999999999</v>
      </c>
      <c r="P9069">
        <v>0.99519349999999995</v>
      </c>
      <c r="Q9069">
        <v>9.6964579999999995E-2</v>
      </c>
      <c r="R9069">
        <v>-1.369944E-2</v>
      </c>
      <c r="S9069">
        <v>3.0252080000000001</v>
      </c>
      <c r="T9069">
        <v>-9.0857270000000004E-2</v>
      </c>
      <c r="U9069">
        <v>0.131134</v>
      </c>
      <c r="V9069">
        <v>-0.1515109</v>
      </c>
      <c r="W9069">
        <v>0.1072731</v>
      </c>
      <c r="X9069">
        <v>0.98261739999999997</v>
      </c>
      <c r="Y9069">
        <v>-0.20748430000000001</v>
      </c>
      <c r="Z9069">
        <v>7.3453099999999999E-3</v>
      </c>
      <c r="AA9069">
        <v>0.97821080000000005</v>
      </c>
      <c r="AB9069">
        <v>26</v>
      </c>
      <c r="AC9069">
        <v>37.277899999999903</v>
      </c>
      <c r="AD9069">
        <v>-1.1239405887588001</v>
      </c>
      <c r="AE9069">
        <v>1.6447700000000001</v>
      </c>
      <c r="AF9069">
        <v>-7.76913419624473</v>
      </c>
      <c r="AG9069">
        <v>-1.1239405887588001</v>
      </c>
      <c r="AH9069">
        <v>36.4618238693809</v>
      </c>
      <c r="AI9069">
        <v>91.726849736439902</v>
      </c>
      <c r="AJ9069">
        <v>102.02846400340501</v>
      </c>
      <c r="AK9069">
        <v>37.297282588522101</v>
      </c>
      <c r="AL9069">
        <v>83.841854627321297</v>
      </c>
      <c r="AM9069">
        <v>98.765470653958005</v>
      </c>
      <c r="AN9069">
        <v>1.0000000127925801</v>
      </c>
    </row>
    <row r="9070" spans="1:40" x14ac:dyDescent="0.25">
      <c r="A9070" t="str">
        <f>"20190303162128130"</f>
        <v>20190303162128130</v>
      </c>
      <c r="B9070" t="str">
        <f>"1551601288121284"</f>
        <v>1551601288121284</v>
      </c>
      <c r="C9070" t="s">
        <v>40</v>
      </c>
      <c r="D9070">
        <v>4.9009169999999997</v>
      </c>
      <c r="E9070">
        <v>0.47676249999999998</v>
      </c>
      <c r="F9070" t="s">
        <v>91</v>
      </c>
      <c r="G9070">
        <v>-229.6748</v>
      </c>
      <c r="H9070" s="1">
        <v>-3.4622690000000001E-6</v>
      </c>
      <c r="I9070">
        <v>-59.507190000000001</v>
      </c>
      <c r="J9070">
        <v>-268.2285</v>
      </c>
      <c r="K9070">
        <v>1.123902</v>
      </c>
      <c r="L9070">
        <v>-61.254269999999998</v>
      </c>
      <c r="M9070">
        <v>0.98651279999999997</v>
      </c>
      <c r="N9070">
        <v>-1.1526099999999999E-2</v>
      </c>
      <c r="O9070">
        <v>-0.16327829999999999</v>
      </c>
      <c r="P9070">
        <v>0.99513419999999997</v>
      </c>
      <c r="Q9070">
        <v>9.7677739999999999E-2</v>
      </c>
      <c r="R9070">
        <v>-1.2927309999999999E-2</v>
      </c>
      <c r="S9070">
        <v>3.0248719999999998</v>
      </c>
      <c r="T9070">
        <v>-8.7900759999999994E-2</v>
      </c>
      <c r="U9070">
        <v>0.13516239999999999</v>
      </c>
      <c r="V9070">
        <v>-0.15046609999999999</v>
      </c>
      <c r="W9070">
        <v>0.1080079</v>
      </c>
      <c r="X9070">
        <v>0.98269740000000005</v>
      </c>
      <c r="Y9070">
        <v>-0.20701990000000001</v>
      </c>
      <c r="Z9070">
        <v>7.0440609999999999E-3</v>
      </c>
      <c r="AA9070">
        <v>0.97831140000000005</v>
      </c>
      <c r="AB9070">
        <v>26</v>
      </c>
      <c r="AC9070">
        <v>38.5536999999999</v>
      </c>
      <c r="AD9070">
        <v>-1.1239054622689999</v>
      </c>
      <c r="AE9070">
        <v>1.74707999999999</v>
      </c>
      <c r="AF9070">
        <v>-8.0122364134920296</v>
      </c>
      <c r="AG9070">
        <v>-1.1239054622689999</v>
      </c>
      <c r="AH9070">
        <v>37.7189743107255</v>
      </c>
      <c r="AI9070">
        <v>91.669498842550396</v>
      </c>
      <c r="AJ9070">
        <v>101.99247275709401</v>
      </c>
      <c r="AK9070">
        <v>38.576937655637899</v>
      </c>
      <c r="AL9070">
        <v>83.799507361112603</v>
      </c>
      <c r="AM9070">
        <v>98.705256425585603</v>
      </c>
      <c r="AN9070">
        <v>0.99999996683918901</v>
      </c>
    </row>
    <row r="9071" spans="1:40" x14ac:dyDescent="0.25">
      <c r="A9071" t="str">
        <f>"20190303162128140"</f>
        <v>20190303162128140</v>
      </c>
      <c r="B9071" t="str">
        <f>"1551601288132020"</f>
        <v>1551601288132020</v>
      </c>
      <c r="C9071" t="s">
        <v>40</v>
      </c>
      <c r="D9071">
        <v>4.956944</v>
      </c>
      <c r="E9071">
        <v>0.47673880000000002</v>
      </c>
      <c r="F9071" t="s">
        <v>91</v>
      </c>
      <c r="G9071">
        <v>-227.68340000000001</v>
      </c>
      <c r="H9071" s="1">
        <v>-2.6308610000000001E-6</v>
      </c>
      <c r="I9071">
        <v>-59.40361</v>
      </c>
      <c r="J9071">
        <v>-268.09109999999998</v>
      </c>
      <c r="K9071">
        <v>1.1238629999999901</v>
      </c>
      <c r="L9071">
        <v>-61.274929999999998</v>
      </c>
      <c r="M9071">
        <v>0.98683430000000005</v>
      </c>
      <c r="N9071">
        <v>-1.152371E-2</v>
      </c>
      <c r="O9071">
        <v>-0.16132360000000001</v>
      </c>
      <c r="P9071">
        <v>0.99506439999999996</v>
      </c>
      <c r="Q9071">
        <v>9.8523280000000005E-2</v>
      </c>
      <c r="R9071">
        <v>-1.1834839999999999E-2</v>
      </c>
      <c r="S9071">
        <v>3.0247190000000002</v>
      </c>
      <c r="T9071">
        <v>-8.3844660000000001E-2</v>
      </c>
      <c r="U9071">
        <v>0.1380615</v>
      </c>
      <c r="V9071">
        <v>-0.14957699999999999</v>
      </c>
      <c r="W9071">
        <v>0.10887529999999999</v>
      </c>
      <c r="X9071">
        <v>0.98273739999999998</v>
      </c>
      <c r="Y9071">
        <v>-0.20603360000000001</v>
      </c>
      <c r="Z9071">
        <v>6.6373999999999999E-3</v>
      </c>
      <c r="AA9071">
        <v>0.97852240000000001</v>
      </c>
      <c r="AB9071">
        <v>26</v>
      </c>
      <c r="AC9071">
        <v>40.407699999999899</v>
      </c>
      <c r="AD9071">
        <v>-1.12386563086099</v>
      </c>
      <c r="AE9071">
        <v>1.8713200000000001</v>
      </c>
      <c r="AF9071">
        <v>-8.3595009131464995</v>
      </c>
      <c r="AG9071">
        <v>-1.12386563086099</v>
      </c>
      <c r="AH9071">
        <v>39.545917315909499</v>
      </c>
      <c r="AI9071">
        <v>91.592688708829698</v>
      </c>
      <c r="AJ9071">
        <v>101.93588174536301</v>
      </c>
      <c r="AK9071">
        <v>40.4354288443919</v>
      </c>
      <c r="AL9071">
        <v>83.7495140969787</v>
      </c>
      <c r="AM9071">
        <v>98.654251511657705</v>
      </c>
      <c r="AN9071">
        <v>0.99999995361892302</v>
      </c>
    </row>
    <row r="9072" spans="1:40" x14ac:dyDescent="0.25">
      <c r="A9072" t="str">
        <f>"20190303162128153"</f>
        <v>20190303162128153</v>
      </c>
      <c r="B9072" t="str">
        <f>"1551601288141779"</f>
        <v>1551601288141779</v>
      </c>
      <c r="C9072" t="s">
        <v>40</v>
      </c>
      <c r="D9072">
        <v>4.7624820000000003</v>
      </c>
      <c r="E9072">
        <v>0.47672130000000001</v>
      </c>
      <c r="F9072" t="s">
        <v>91</v>
      </c>
      <c r="G9072">
        <v>-225.34129999999999</v>
      </c>
      <c r="H9072" s="1">
        <v>-1.65464499999999E-6</v>
      </c>
      <c r="I9072">
        <v>-59.274720000000002</v>
      </c>
      <c r="J9072">
        <v>-267.95659999999998</v>
      </c>
      <c r="K9072">
        <v>1.12382</v>
      </c>
      <c r="L9072">
        <v>-61.294890000000002</v>
      </c>
      <c r="M9072">
        <v>0.98713859999999998</v>
      </c>
      <c r="N9072">
        <v>-1.152135E-2</v>
      </c>
      <c r="O9072">
        <v>-0.15945129999999999</v>
      </c>
      <c r="P9072">
        <v>0.9949346</v>
      </c>
      <c r="Q9072">
        <v>9.9941130000000003E-2</v>
      </c>
      <c r="R9072">
        <v>-1.0820919999999999E-2</v>
      </c>
      <c r="S9072">
        <v>3.0244450000000001</v>
      </c>
      <c r="T9072">
        <v>-7.9510810000000001E-2</v>
      </c>
      <c r="U9072">
        <v>0.14151</v>
      </c>
      <c r="V9072">
        <v>-0.14868679999999901</v>
      </c>
      <c r="W9072">
        <v>0.1103138</v>
      </c>
      <c r="X9072">
        <v>0.98271209999999998</v>
      </c>
      <c r="Y9072">
        <v>-0.2053084</v>
      </c>
      <c r="Z9072">
        <v>6.2195820000000004E-3</v>
      </c>
      <c r="AA9072">
        <v>0.97867760000000004</v>
      </c>
      <c r="AB9072">
        <v>26</v>
      </c>
      <c r="AC9072">
        <v>42.615299999999898</v>
      </c>
      <c r="AD9072">
        <v>-1.1238216546449999</v>
      </c>
      <c r="AE9072">
        <v>2.0201699999999998</v>
      </c>
      <c r="AF9072">
        <v>-8.7837409269661695</v>
      </c>
      <c r="AG9072">
        <v>-1.1238216546449999</v>
      </c>
      <c r="AH9072">
        <v>41.718910013088703</v>
      </c>
      <c r="AI9072">
        <v>91.509967975286898</v>
      </c>
      <c r="AJ9072">
        <v>101.88972655034701</v>
      </c>
      <c r="AK9072">
        <v>42.6483825304513</v>
      </c>
      <c r="AL9072">
        <v>83.666594832076996</v>
      </c>
      <c r="AM9072">
        <v>98.603737346619695</v>
      </c>
      <c r="AN9072">
        <v>0.99999998522554401</v>
      </c>
    </row>
    <row r="9073" spans="1:40" x14ac:dyDescent="0.25">
      <c r="A9073" t="str">
        <f>"20190303162128164"</f>
        <v>20190303162128164</v>
      </c>
      <c r="B9073" t="str">
        <f>"1551601288151540"</f>
        <v>1551601288151540</v>
      </c>
      <c r="C9073" t="s">
        <v>40</v>
      </c>
      <c r="D9073">
        <v>4.8955970000000004</v>
      </c>
      <c r="E9073">
        <v>0.47672320000000001</v>
      </c>
      <c r="F9073" t="s">
        <v>91</v>
      </c>
      <c r="G9073">
        <v>-221.79339999999999</v>
      </c>
      <c r="H9073" s="1">
        <v>-1.7402839999999899E-7</v>
      </c>
      <c r="I9073">
        <v>-59.087319999999998</v>
      </c>
      <c r="J9073">
        <v>-267.82119999999998</v>
      </c>
      <c r="K9073">
        <v>1.1237760000000001</v>
      </c>
      <c r="L9073">
        <v>-61.314819999999997</v>
      </c>
      <c r="M9073">
        <v>0.98743780000000003</v>
      </c>
      <c r="N9073">
        <v>-1.1519069999999999E-2</v>
      </c>
      <c r="O9073">
        <v>-0.1575878</v>
      </c>
      <c r="P9073">
        <v>0.99485579999999996</v>
      </c>
      <c r="Q9073">
        <v>0.1008222</v>
      </c>
      <c r="R9073">
        <v>-9.8518100000000008E-3</v>
      </c>
      <c r="S9073">
        <v>3.0242610000000001</v>
      </c>
      <c r="T9073">
        <v>-7.3624129999999996E-2</v>
      </c>
      <c r="U9073">
        <v>0.1446228</v>
      </c>
      <c r="V9073">
        <v>-0.14776689999999901</v>
      </c>
      <c r="W9073">
        <v>0.1112157</v>
      </c>
      <c r="X9073">
        <v>0.98274919999999999</v>
      </c>
      <c r="Y9073">
        <v>-0.2044861</v>
      </c>
      <c r="Z9073">
        <v>5.6730359999999898E-3</v>
      </c>
      <c r="AA9073">
        <v>0.97885299999999997</v>
      </c>
      <c r="AB9073">
        <v>27</v>
      </c>
      <c r="AC9073">
        <v>46.0277999999999</v>
      </c>
      <c r="AD9073">
        <v>-1.12377617402839</v>
      </c>
      <c r="AE9073">
        <v>2.2274999999999898</v>
      </c>
      <c r="AF9073">
        <v>-9.4479458314985401</v>
      </c>
      <c r="AG9073">
        <v>-1.12377617402839</v>
      </c>
      <c r="AH9073">
        <v>45.074748520765901</v>
      </c>
      <c r="AI9073">
        <v>91.397804035214506</v>
      </c>
      <c r="AJ9073">
        <v>101.83816621395999</v>
      </c>
      <c r="AK9073">
        <v>46.067987882417199</v>
      </c>
      <c r="AL9073">
        <v>83.614599849245906</v>
      </c>
      <c r="AM9073">
        <v>98.550978776607295</v>
      </c>
      <c r="AN9073">
        <v>0.99999998938136903</v>
      </c>
    </row>
    <row r="9074" spans="1:40" x14ac:dyDescent="0.25">
      <c r="A9074" t="str">
        <f>"20190303162128174"</f>
        <v>20190303162128174</v>
      </c>
      <c r="B9074" t="str">
        <f>"1551601288161300"</f>
        <v>1551601288161300</v>
      </c>
      <c r="C9074" t="s">
        <v>40</v>
      </c>
      <c r="D9074">
        <v>4.7402829999999998</v>
      </c>
      <c r="E9074">
        <v>0.47670259999999998</v>
      </c>
      <c r="F9074" t="s">
        <v>90</v>
      </c>
      <c r="G9074">
        <v>-218.93979999999999</v>
      </c>
      <c r="H9074" s="1">
        <v>-3.061393E-6</v>
      </c>
      <c r="I9074">
        <v>-58.933579999999999</v>
      </c>
      <c r="J9074">
        <v>-267.6979</v>
      </c>
      <c r="K9074">
        <v>1.1237280000000001</v>
      </c>
      <c r="L9074">
        <v>-61.332669999999901</v>
      </c>
      <c r="M9074">
        <v>0.98769839999999998</v>
      </c>
      <c r="N9074">
        <v>-1.1516780000000001E-2</v>
      </c>
      <c r="O9074">
        <v>-0.15594659999999999</v>
      </c>
      <c r="P9074">
        <v>0.99482689999999996</v>
      </c>
      <c r="Q9074">
        <v>0.1012096</v>
      </c>
      <c r="R9074">
        <v>-8.7416130000000005E-3</v>
      </c>
      <c r="S9074">
        <v>3.023987</v>
      </c>
      <c r="T9074">
        <v>-6.9521189999999997E-2</v>
      </c>
      <c r="U9074">
        <v>0.147308299999999</v>
      </c>
      <c r="V9074">
        <v>-0.14721419999999999</v>
      </c>
      <c r="W9074">
        <v>0.11162039999999999</v>
      </c>
      <c r="X9074">
        <v>0.9827863</v>
      </c>
      <c r="Y9074">
        <v>-0.2037418</v>
      </c>
      <c r="Z9074">
        <v>5.2907759999999996E-3</v>
      </c>
      <c r="AA9074">
        <v>0.9790103</v>
      </c>
      <c r="AB9074">
        <v>27</v>
      </c>
      <c r="AC9074">
        <v>48.758099999999999</v>
      </c>
      <c r="AD9074">
        <v>-1.1237310613930001</v>
      </c>
      <c r="AE9074">
        <v>2.3990899999999802</v>
      </c>
      <c r="AF9074">
        <v>-9.9686159939724401</v>
      </c>
      <c r="AG9074">
        <v>-1.1237310613930001</v>
      </c>
      <c r="AH9074">
        <v>47.762025779454099</v>
      </c>
      <c r="AI9074">
        <v>91.319369538548898</v>
      </c>
      <c r="AJ9074">
        <v>101.78920509461101</v>
      </c>
      <c r="AK9074">
        <v>48.804171777532098</v>
      </c>
      <c r="AL9074">
        <v>83.591267183453695</v>
      </c>
      <c r="AM9074">
        <v>98.519148438895201</v>
      </c>
      <c r="AN9074">
        <v>1.0000000229227399</v>
      </c>
    </row>
    <row r="9075" spans="1:40" x14ac:dyDescent="0.25">
      <c r="A9075" t="str">
        <f>"20190303162128185"</f>
        <v>20190303162128185</v>
      </c>
      <c r="B9075" t="str">
        <f>"1551601288172036"</f>
        <v>1551601288172036</v>
      </c>
      <c r="C9075" t="s">
        <v>40</v>
      </c>
      <c r="D9075">
        <v>4.8342280000000004</v>
      </c>
      <c r="E9075">
        <v>0.47668660000000002</v>
      </c>
      <c r="F9075" t="s">
        <v>90</v>
      </c>
      <c r="G9075">
        <v>-216.93819999999999</v>
      </c>
      <c r="H9075" s="1">
        <v>-2.225795E-6</v>
      </c>
      <c r="I9075">
        <v>-58.803379999999997</v>
      </c>
      <c r="J9075">
        <v>-267.57819999999998</v>
      </c>
      <c r="K9075">
        <v>1.1236900000000001</v>
      </c>
      <c r="L9075">
        <v>-61.349980000000002</v>
      </c>
      <c r="M9075">
        <v>0.98794820000000005</v>
      </c>
      <c r="N9075">
        <v>-1.1514699999999999E-2</v>
      </c>
      <c r="O9075">
        <v>-0.15435639999999901</v>
      </c>
      <c r="P9075">
        <v>0.99486370000000002</v>
      </c>
      <c r="Q9075">
        <v>0.1009391</v>
      </c>
      <c r="R9075">
        <v>-7.6083130000000002E-3</v>
      </c>
      <c r="S9075">
        <v>3.0237430000000001</v>
      </c>
      <c r="T9075">
        <v>-6.6940189999999997E-2</v>
      </c>
      <c r="U9075">
        <v>0.150665299999999</v>
      </c>
      <c r="V9075">
        <v>-0.14674229999999899</v>
      </c>
      <c r="W9075">
        <v>0.1113668</v>
      </c>
      <c r="X9075">
        <v>0.98288560000000003</v>
      </c>
      <c r="Y9075">
        <v>-0.20326060000000001</v>
      </c>
      <c r="Z9075">
        <v>5.047223E-3</v>
      </c>
      <c r="AA9075">
        <v>0.97911170000000003</v>
      </c>
      <c r="AB9075">
        <v>27</v>
      </c>
      <c r="AC9075">
        <v>50.639999999999901</v>
      </c>
      <c r="AD9075">
        <v>-1.1236922257949999</v>
      </c>
      <c r="AE9075">
        <v>2.54659999999999</v>
      </c>
      <c r="AF9075">
        <v>-10.328128734257</v>
      </c>
      <c r="AG9075">
        <v>-1.1236922257949999</v>
      </c>
      <c r="AH9075">
        <v>49.6155320362545</v>
      </c>
      <c r="AI9075">
        <v>91.2701936940623</v>
      </c>
      <c r="AJ9075">
        <v>101.75894708342901</v>
      </c>
      <c r="AK9075">
        <v>50.691556955870801</v>
      </c>
      <c r="AL9075">
        <v>83.605888309576102</v>
      </c>
      <c r="AM9075">
        <v>98.491393392175695</v>
      </c>
      <c r="AN9075">
        <v>0.99999998471944396</v>
      </c>
    </row>
    <row r="9076" spans="1:40" x14ac:dyDescent="0.25">
      <c r="A9076" t="str">
        <f>"20190303162128195"</f>
        <v>20190303162128195</v>
      </c>
      <c r="B9076" t="str">
        <f>"1551601288181796"</f>
        <v>1551601288181796</v>
      </c>
      <c r="C9076" t="s">
        <v>40</v>
      </c>
      <c r="D9076">
        <v>4.8322059999999896</v>
      </c>
      <c r="E9076">
        <v>0.4767072</v>
      </c>
      <c r="F9076" t="s">
        <v>90</v>
      </c>
      <c r="G9076">
        <v>-216.4873</v>
      </c>
      <c r="H9076" s="1">
        <v>-2.0426920000000001E-6</v>
      </c>
      <c r="I9076">
        <v>-58.745109999999997</v>
      </c>
      <c r="J9076">
        <v>-267.45240000000001</v>
      </c>
      <c r="K9076">
        <v>1.1236459999999999</v>
      </c>
      <c r="L9076">
        <v>-61.367800000000003</v>
      </c>
      <c r="M9076">
        <v>0.98819959999999996</v>
      </c>
      <c r="N9076">
        <v>-1.1512430000000001E-2</v>
      </c>
      <c r="O9076">
        <v>-0.15273889999999901</v>
      </c>
      <c r="P9076">
        <v>0.99490540000000005</v>
      </c>
      <c r="Q9076">
        <v>0.1006404</v>
      </c>
      <c r="R9076">
        <v>-5.8976559999999898E-3</v>
      </c>
      <c r="S9076">
        <v>3.0234070000000002</v>
      </c>
      <c r="T9076">
        <v>-6.6496609999999998E-2</v>
      </c>
      <c r="U9076">
        <v>0.15414430000000001</v>
      </c>
      <c r="V9076">
        <v>-0.14681449999999999</v>
      </c>
      <c r="W9076">
        <v>0.1110811</v>
      </c>
      <c r="X9076">
        <v>0.98290719999999998</v>
      </c>
      <c r="Y9076">
        <v>-0.2027882</v>
      </c>
      <c r="Z9076">
        <v>4.986061E-3</v>
      </c>
      <c r="AA9076">
        <v>0.97921000000000002</v>
      </c>
      <c r="AB9076">
        <v>27</v>
      </c>
      <c r="AC9076">
        <v>50.9651</v>
      </c>
      <c r="AD9076">
        <v>-1.1236480426919999</v>
      </c>
      <c r="AE9076">
        <v>2.62269</v>
      </c>
      <c r="AF9076">
        <v>-10.371753109721</v>
      </c>
      <c r="AG9076">
        <v>-1.1236480426919999</v>
      </c>
      <c r="AH9076">
        <v>49.942199827020801</v>
      </c>
      <c r="AI9076">
        <v>91.261961269780798</v>
      </c>
      <c r="AJ9076">
        <v>101.732140938171</v>
      </c>
      <c r="AK9076">
        <v>51.020183957478302</v>
      </c>
      <c r="AL9076">
        <v>83.622360242749096</v>
      </c>
      <c r="AM9076">
        <v>98.495326397030297</v>
      </c>
      <c r="AN9076">
        <v>1.0000000359996399</v>
      </c>
    </row>
    <row r="9077" spans="1:40" x14ac:dyDescent="0.25">
      <c r="A9077" t="str">
        <f>"20190303162128208"</f>
        <v>20190303162128208</v>
      </c>
      <c r="B9077" t="str">
        <f>"1551601288201317"</f>
        <v>1551601288201317</v>
      </c>
      <c r="C9077" t="s">
        <v>40</v>
      </c>
      <c r="D9077">
        <v>4.7746180000000003</v>
      </c>
      <c r="E9077">
        <v>0.47673159999999998</v>
      </c>
      <c r="F9077" t="s">
        <v>90</v>
      </c>
      <c r="G9077">
        <v>-216.02010000000001</v>
      </c>
      <c r="H9077" s="1">
        <v>-1.857647E-6</v>
      </c>
      <c r="I9077">
        <v>-58.6584199999999</v>
      </c>
      <c r="J9077">
        <v>-267.32409999999999</v>
      </c>
      <c r="K9077">
        <v>1.123605</v>
      </c>
      <c r="L9077">
        <v>-61.385930000000002</v>
      </c>
      <c r="M9077">
        <v>0.988452</v>
      </c>
      <c r="N9077">
        <v>-1.1510279999999999E-2</v>
      </c>
      <c r="O9077">
        <v>-0.1510966</v>
      </c>
      <c r="P9077">
        <v>0.99499479999999996</v>
      </c>
      <c r="Q9077">
        <v>9.9847409999999998E-2</v>
      </c>
      <c r="R9077">
        <v>-3.9601509999999899E-3</v>
      </c>
      <c r="S9077">
        <v>3.0229490000000001</v>
      </c>
      <c r="T9077">
        <v>-6.6042660000000003E-2</v>
      </c>
      <c r="U9077">
        <v>0.15924070000000001</v>
      </c>
      <c r="V9077">
        <v>-0.14709120000000001</v>
      </c>
      <c r="W9077">
        <v>0.1102996</v>
      </c>
      <c r="X9077">
        <v>0.98295379999999999</v>
      </c>
      <c r="Y9077">
        <v>-0.2028161</v>
      </c>
      <c r="Z9077">
        <v>4.9328619999999997E-3</v>
      </c>
      <c r="AA9077">
        <v>0.97920439999999997</v>
      </c>
      <c r="AB9077">
        <v>27</v>
      </c>
      <c r="AC9077">
        <v>51.303999999999903</v>
      </c>
      <c r="AD9077">
        <v>-1.123606857647</v>
      </c>
      <c r="AE9077">
        <v>2.7275100000000001</v>
      </c>
      <c r="AF9077">
        <v>-10.4435695569889</v>
      </c>
      <c r="AG9077">
        <v>-1.123606857647</v>
      </c>
      <c r="AH9077">
        <v>50.278707296068902</v>
      </c>
      <c r="AI9077">
        <v>91.253462347200696</v>
      </c>
      <c r="AJ9077">
        <v>101.734251763129</v>
      </c>
      <c r="AK9077">
        <v>51.364180562197198</v>
      </c>
      <c r="AL9077">
        <v>83.667413508187195</v>
      </c>
      <c r="AM9077">
        <v>98.510705595555606</v>
      </c>
      <c r="AN9077">
        <v>0.99999999790601901</v>
      </c>
    </row>
    <row r="9078" spans="1:40" x14ac:dyDescent="0.25">
      <c r="A9078" t="str">
        <f>"20190303162128218"</f>
        <v>20190303162128218</v>
      </c>
      <c r="B9078" t="str">
        <f>"1551601288211581"</f>
        <v>1551601288211581</v>
      </c>
      <c r="C9078" t="s">
        <v>40</v>
      </c>
      <c r="D9078">
        <v>4.8220989999999997</v>
      </c>
      <c r="E9078">
        <v>0.47678530000000002</v>
      </c>
      <c r="F9078" t="s">
        <v>90</v>
      </c>
      <c r="G9078">
        <v>-215.90799999999999</v>
      </c>
      <c r="H9078" s="1">
        <v>-1.8239870000000001E-6</v>
      </c>
      <c r="I9078">
        <v>-58.577210000000001</v>
      </c>
      <c r="J9078">
        <v>-267.1893</v>
      </c>
      <c r="K9078">
        <v>1.1235660000000001</v>
      </c>
      <c r="L9078">
        <v>-61.40466</v>
      </c>
      <c r="M9078">
        <v>0.98870860000000005</v>
      </c>
      <c r="N9078">
        <v>-1.15081E-2</v>
      </c>
      <c r="O9078">
        <v>-0.1494086</v>
      </c>
      <c r="P9078">
        <v>0.99502429999999997</v>
      </c>
      <c r="Q9078">
        <v>9.961594E-2</v>
      </c>
      <c r="R9078">
        <v>-1.8847130000000001E-3</v>
      </c>
      <c r="S9078">
        <v>3.0223689999999999</v>
      </c>
      <c r="T9078">
        <v>-6.6048499999999996E-2</v>
      </c>
      <c r="U9078">
        <v>0.1651001</v>
      </c>
      <c r="V9078">
        <v>-0.1474558</v>
      </c>
      <c r="W9078">
        <v>0.1100773</v>
      </c>
      <c r="X9078">
        <v>0.98292409999999997</v>
      </c>
      <c r="Y9078">
        <v>-0.2030469</v>
      </c>
      <c r="Z9078">
        <v>4.9213369999999996E-3</v>
      </c>
      <c r="AA9078">
        <v>0.97915669999999999</v>
      </c>
      <c r="AB9078">
        <v>27</v>
      </c>
      <c r="AC9078">
        <v>51.281300000000002</v>
      </c>
      <c r="AD9078">
        <v>-1.1235678239869999</v>
      </c>
      <c r="AE9078">
        <v>2.82744999999999</v>
      </c>
      <c r="AF9078">
        <v>-10.4530808604946</v>
      </c>
      <c r="AG9078">
        <v>-1.1235678239869999</v>
      </c>
      <c r="AH9078">
        <v>50.259091772210901</v>
      </c>
      <c r="AI9078">
        <v>91.253840345445894</v>
      </c>
      <c r="AJ9078">
        <v>101.74909820649999</v>
      </c>
      <c r="AK9078">
        <v>51.346914317207599</v>
      </c>
      <c r="AL9078">
        <v>83.680228442648897</v>
      </c>
      <c r="AM9078">
        <v>98.531745297872007</v>
      </c>
      <c r="AN9078">
        <v>1.0000000056448699</v>
      </c>
    </row>
    <row r="9079" spans="1:40" x14ac:dyDescent="0.25">
      <c r="A9079" t="str">
        <f>"20190303162128231"</f>
        <v>20190303162128231</v>
      </c>
      <c r="B9079" t="str">
        <f>"1551601288221342"</f>
        <v>1551601288221342</v>
      </c>
      <c r="C9079" t="s">
        <v>40</v>
      </c>
      <c r="D9079">
        <v>4.8342039999999997</v>
      </c>
      <c r="E9079">
        <v>0.47680210000000001</v>
      </c>
      <c r="F9079" t="s">
        <v>90</v>
      </c>
      <c r="G9079">
        <v>-215.9931</v>
      </c>
      <c r="H9079" s="1">
        <v>-1.8736219999999999E-6</v>
      </c>
      <c r="I9079">
        <v>-58.503120000000003</v>
      </c>
      <c r="J9079">
        <v>-267.04770000000002</v>
      </c>
      <c r="K9079">
        <v>1.1235329999999999</v>
      </c>
      <c r="L9079">
        <v>-61.424190000000003</v>
      </c>
      <c r="M9079">
        <v>0.98897299999999999</v>
      </c>
      <c r="N9079">
        <v>-1.150607E-2</v>
      </c>
      <c r="O9079">
        <v>-0.14764829999999901</v>
      </c>
      <c r="P9079">
        <v>0.99502299999999999</v>
      </c>
      <c r="Q9079">
        <v>9.9644650000000001E-2</v>
      </c>
      <c r="R9079">
        <v>3.8694400000000001E-4</v>
      </c>
      <c r="S9079">
        <v>3.0219420000000001</v>
      </c>
      <c r="T9079">
        <v>-6.6320420000000005E-2</v>
      </c>
      <c r="U9079">
        <v>0.17126459999999999</v>
      </c>
      <c r="V9079">
        <v>-0.14794019999999999</v>
      </c>
      <c r="W9079">
        <v>0.1101133</v>
      </c>
      <c r="X9079">
        <v>0.98284729999999998</v>
      </c>
      <c r="Y9079">
        <v>-0.20330200000000001</v>
      </c>
      <c r="Z9079">
        <v>4.9310619999999999E-3</v>
      </c>
      <c r="AA9079">
        <v>0.97910370000000002</v>
      </c>
      <c r="AB9079">
        <v>27</v>
      </c>
      <c r="AC9079">
        <v>51.054600000000001</v>
      </c>
      <c r="AD9079">
        <v>-1.1235348736220001</v>
      </c>
      <c r="AE9079">
        <v>2.9210699999999998</v>
      </c>
      <c r="AF9079">
        <v>-10.4226434260829</v>
      </c>
      <c r="AG9079">
        <v>-1.1235348736220001</v>
      </c>
      <c r="AH9079">
        <v>50.039489413127903</v>
      </c>
      <c r="AI9079">
        <v>91.259227770062793</v>
      </c>
      <c r="AJ9079">
        <v>101.76581957939101</v>
      </c>
      <c r="AK9079">
        <v>51.125769699106201</v>
      </c>
      <c r="AL9079">
        <v>83.678153323364597</v>
      </c>
      <c r="AM9079">
        <v>98.560016980284303</v>
      </c>
      <c r="AN9079">
        <v>1.0000000283651</v>
      </c>
    </row>
    <row r="9080" spans="1:40" x14ac:dyDescent="0.25">
      <c r="A9080" t="str">
        <f>"20190303162128242"</f>
        <v>20190303162128242</v>
      </c>
      <c r="B9080" t="str">
        <f>"1551601288232077"</f>
        <v>1551601288232077</v>
      </c>
      <c r="C9080" t="s">
        <v>40</v>
      </c>
      <c r="D9080">
        <v>4.5411029999999997</v>
      </c>
      <c r="E9080">
        <v>0.4768097</v>
      </c>
      <c r="F9080" t="s">
        <v>90</v>
      </c>
      <c r="G9080">
        <v>-214.7816</v>
      </c>
      <c r="H9080" s="1">
        <v>-1.382896E-6</v>
      </c>
      <c r="I9080">
        <v>-58.339590000000001</v>
      </c>
      <c r="J9080">
        <v>-266.90249999999997</v>
      </c>
      <c r="K9080">
        <v>1.123505</v>
      </c>
      <c r="L9080">
        <v>-61.444000000000003</v>
      </c>
      <c r="M9080">
        <v>0.9892379</v>
      </c>
      <c r="N9080">
        <v>-1.1504260000000001E-2</v>
      </c>
      <c r="O9080">
        <v>-0.145863299999999</v>
      </c>
      <c r="P9080">
        <v>0.99492510000000001</v>
      </c>
      <c r="Q9080">
        <v>0.1005858</v>
      </c>
      <c r="R9080">
        <v>2.5420579999999998E-3</v>
      </c>
      <c r="S9080">
        <v>3.0214539999999999</v>
      </c>
      <c r="T9080">
        <v>-6.4950469999999996E-2</v>
      </c>
      <c r="U9080">
        <v>0.17831420000000001</v>
      </c>
      <c r="V9080">
        <v>-0.1482793</v>
      </c>
      <c r="W9080">
        <v>0.111060199999999</v>
      </c>
      <c r="X9080">
        <v>0.98268960000000005</v>
      </c>
      <c r="Y9080">
        <v>-0.2038238</v>
      </c>
      <c r="Z9080">
        <v>4.8104139999999998E-3</v>
      </c>
      <c r="AA9080">
        <v>0.97899579999999997</v>
      </c>
      <c r="AB9080">
        <v>27</v>
      </c>
      <c r="AC9080">
        <v>52.120899999999899</v>
      </c>
      <c r="AD9080">
        <v>-1.1235063828959999</v>
      </c>
      <c r="AE9080">
        <v>3.1044099999999899</v>
      </c>
      <c r="AF9080">
        <v>-10.6692925151167</v>
      </c>
      <c r="AG9080">
        <v>-1.1235063828959999</v>
      </c>
      <c r="AH9080">
        <v>51.086876930775603</v>
      </c>
      <c r="AI9080">
        <v>91.233250334873404</v>
      </c>
      <c r="AJ9080">
        <v>101.79644063050701</v>
      </c>
      <c r="AK9080">
        <v>52.201197916386398</v>
      </c>
      <c r="AL9080">
        <v>83.623564849582493</v>
      </c>
      <c r="AM9080">
        <v>98.580702415578401</v>
      </c>
      <c r="AN9080">
        <v>0.99999998439034399</v>
      </c>
    </row>
    <row r="9081" spans="1:40" x14ac:dyDescent="0.25">
      <c r="A9081" t="str">
        <f>"20190303162128254"</f>
        <v>20190303162128254</v>
      </c>
      <c r="B9081" t="str">
        <f>"1551601288241838"</f>
        <v>1551601288241838</v>
      </c>
      <c r="C9081" t="s">
        <v>40</v>
      </c>
      <c r="D9081">
        <v>4.7773219999999998</v>
      </c>
      <c r="E9081">
        <v>0.47683520000000001</v>
      </c>
      <c r="F9081" t="s">
        <v>90</v>
      </c>
      <c r="G9081">
        <v>-210.96420000000001</v>
      </c>
      <c r="H9081" s="1">
        <v>6.9451690000000006E-8</v>
      </c>
      <c r="I9081">
        <v>-58.017270000000003</v>
      </c>
      <c r="J9081">
        <v>-266.7706</v>
      </c>
      <c r="K9081">
        <v>1.123497</v>
      </c>
      <c r="L9081">
        <v>-61.461669999999998</v>
      </c>
      <c r="M9081">
        <v>0.98947350000000001</v>
      </c>
      <c r="N9081">
        <v>-1.1503040000000001E-2</v>
      </c>
      <c r="O9081">
        <v>-0.1442562</v>
      </c>
      <c r="P9081">
        <v>0.99476439999999999</v>
      </c>
      <c r="Q9081">
        <v>0.1020911</v>
      </c>
      <c r="R9081">
        <v>4.5743310000000001E-3</v>
      </c>
      <c r="S9081">
        <v>3.020966</v>
      </c>
      <c r="T9081">
        <v>-6.0675260000000002E-2</v>
      </c>
      <c r="U9081">
        <v>0.18505859999999999</v>
      </c>
      <c r="V9081">
        <v>-0.14867239999999901</v>
      </c>
      <c r="W9081">
        <v>0.1125656</v>
      </c>
      <c r="X9081">
        <v>0.98245890000000002</v>
      </c>
      <c r="Y9081">
        <v>-0.2044299</v>
      </c>
      <c r="Z9081">
        <v>4.457529E-3</v>
      </c>
      <c r="AA9081">
        <v>0.97887100000000005</v>
      </c>
      <c r="AB9081">
        <v>27</v>
      </c>
      <c r="AC9081">
        <v>55.806399999999996</v>
      </c>
      <c r="AD9081">
        <v>-1.12349693054831</v>
      </c>
      <c r="AE9081">
        <v>3.4443999999999999</v>
      </c>
      <c r="AF9081">
        <v>-11.4546950597943</v>
      </c>
      <c r="AG9081">
        <v>-1.12349693054831</v>
      </c>
      <c r="AH9081">
        <v>54.703612045415497</v>
      </c>
      <c r="AI9081">
        <v>91.151600141266499</v>
      </c>
      <c r="AJ9081">
        <v>101.82660757513899</v>
      </c>
      <c r="AK9081">
        <v>55.901318902877001</v>
      </c>
      <c r="AL9081">
        <v>83.536767550136403</v>
      </c>
      <c r="AM9081">
        <v>98.605100524510306</v>
      </c>
      <c r="AN9081">
        <v>0.99999999350716495</v>
      </c>
    </row>
    <row r="9082" spans="1:40" x14ac:dyDescent="0.25">
      <c r="A9082" t="str">
        <f>"20190303162128266"</f>
        <v>20190303162128266</v>
      </c>
      <c r="B9082" t="str">
        <f>"1551601288251599"</f>
        <v>1551601288251599</v>
      </c>
      <c r="C9082" t="s">
        <v>40</v>
      </c>
      <c r="D9082">
        <v>4.5910250000000001</v>
      </c>
      <c r="E9082">
        <v>0.47684660000000001</v>
      </c>
      <c r="F9082" t="s">
        <v>62</v>
      </c>
      <c r="G9082">
        <v>-204.71889999999999</v>
      </c>
      <c r="H9082" s="1">
        <v>-3.9311030000000002E-6</v>
      </c>
      <c r="I9082">
        <v>-57.529539999999997</v>
      </c>
      <c r="J9082">
        <v>-266.63189999999997</v>
      </c>
      <c r="K9082">
        <v>1.1234900000000001</v>
      </c>
      <c r="L9082">
        <v>-61.48019</v>
      </c>
      <c r="M9082">
        <v>0.98971810000000005</v>
      </c>
      <c r="N9082">
        <v>-1.150196E-2</v>
      </c>
      <c r="O9082">
        <v>-0.1425691</v>
      </c>
      <c r="P9082">
        <v>0.99455389999999999</v>
      </c>
      <c r="Q9082">
        <v>0.1040432</v>
      </c>
      <c r="R9082">
        <v>6.1575719999999896E-3</v>
      </c>
      <c r="S9082">
        <v>3.0205380000000002</v>
      </c>
      <c r="T9082">
        <v>-5.468953E-2</v>
      </c>
      <c r="U9082">
        <v>0.1914063</v>
      </c>
      <c r="V9082">
        <v>-0.14853920000000001</v>
      </c>
      <c r="W9082">
        <v>0.11452030000000001</v>
      </c>
      <c r="X9082">
        <v>0.98225309999999999</v>
      </c>
      <c r="Y9082">
        <v>-0.2048307</v>
      </c>
      <c r="Z9082">
        <v>3.9659589999999998E-3</v>
      </c>
      <c r="AA9082">
        <v>0.97878940000000003</v>
      </c>
      <c r="AB9082">
        <v>27</v>
      </c>
      <c r="AC9082">
        <v>61.912999999999897</v>
      </c>
      <c r="AD9082">
        <v>-1.1234939311030001</v>
      </c>
      <c r="AE9082">
        <v>3.9506499999999898</v>
      </c>
      <c r="AF9082">
        <v>-12.733576046261801</v>
      </c>
      <c r="AG9082">
        <v>-1.1234939311030001</v>
      </c>
      <c r="AH9082">
        <v>60.697281731525898</v>
      </c>
      <c r="AI9082">
        <v>91.037824839779205</v>
      </c>
      <c r="AJ9082">
        <v>101.848158261219</v>
      </c>
      <c r="AK9082">
        <v>62.028753067713602</v>
      </c>
      <c r="AL9082">
        <v>83.424042350369206</v>
      </c>
      <c r="AM9082">
        <v>98.599280627127698</v>
      </c>
      <c r="AN9082">
        <v>0.99999997275416896</v>
      </c>
    </row>
    <row r="9083" spans="1:40" x14ac:dyDescent="0.25">
      <c r="A9083" t="str">
        <f>"20190303162128276"</f>
        <v>20190303162128276</v>
      </c>
      <c r="B9083" t="str">
        <f>"1551601288272093"</f>
        <v>1551601288272093</v>
      </c>
      <c r="C9083" t="s">
        <v>40</v>
      </c>
      <c r="D9083">
        <v>4.5850109999999997</v>
      </c>
      <c r="E9083">
        <v>0.47693750000000001</v>
      </c>
      <c r="F9083" t="s">
        <v>62</v>
      </c>
      <c r="G9083">
        <v>-195.8426</v>
      </c>
      <c r="H9083" s="1">
        <v>-8.0562820000000002E-6</v>
      </c>
      <c r="I9083">
        <v>-56.873060000000002</v>
      </c>
      <c r="J9083">
        <v>-266.49619999999999</v>
      </c>
      <c r="K9083">
        <v>1.123497</v>
      </c>
      <c r="L9083">
        <v>-61.497919999999901</v>
      </c>
      <c r="M9083">
        <v>0.989954</v>
      </c>
      <c r="N9083">
        <v>-1.150148E-2</v>
      </c>
      <c r="O9083">
        <v>-0.14092150000000001</v>
      </c>
      <c r="P9083">
        <v>0.99439569999999999</v>
      </c>
      <c r="Q9083">
        <v>0.1054488</v>
      </c>
      <c r="R9083">
        <v>7.5941089999999999E-3</v>
      </c>
      <c r="S9083">
        <v>3.0202330000000002</v>
      </c>
      <c r="T9083">
        <v>-4.7934169999999998E-2</v>
      </c>
      <c r="U9083">
        <v>0.19656370000000001</v>
      </c>
      <c r="V9083">
        <v>-0.1483092</v>
      </c>
      <c r="W9083">
        <v>0.11592619999999999</v>
      </c>
      <c r="X9083">
        <v>0.98212299999999997</v>
      </c>
      <c r="Y9083">
        <v>-0.20488439999999999</v>
      </c>
      <c r="Z9083">
        <v>3.4133919999999999E-3</v>
      </c>
      <c r="AA9083">
        <v>0.97878019999999999</v>
      </c>
      <c r="AB9083">
        <v>27</v>
      </c>
      <c r="AC9083">
        <v>70.653599999999898</v>
      </c>
      <c r="AD9083">
        <v>-1.1235050562819999</v>
      </c>
      <c r="AE9083">
        <v>4.6248599999999902</v>
      </c>
      <c r="AF9083">
        <v>-14.5323118978548</v>
      </c>
      <c r="AG9083">
        <v>-1.1235050562819999</v>
      </c>
      <c r="AH9083">
        <v>69.279209433896298</v>
      </c>
      <c r="AI9083">
        <v>90.9093012706997</v>
      </c>
      <c r="AJ9083">
        <v>101.846849857789</v>
      </c>
      <c r="AK9083">
        <v>70.795898274502406</v>
      </c>
      <c r="AL9083">
        <v>83.342950581994003</v>
      </c>
      <c r="AM9083">
        <v>98.587284432873901</v>
      </c>
      <c r="AN9083">
        <v>1.0000000448900299</v>
      </c>
    </row>
    <row r="9084" spans="1:40" x14ac:dyDescent="0.25">
      <c r="A9084" t="str">
        <f>"20190303162128287"</f>
        <v>20190303162128287</v>
      </c>
      <c r="B9084" t="str">
        <f>"1551601288281854"</f>
        <v>1551601288281854</v>
      </c>
      <c r="C9084" t="s">
        <v>40</v>
      </c>
      <c r="D9084">
        <v>4.5865790000000004</v>
      </c>
      <c r="E9084">
        <v>0.4770124</v>
      </c>
      <c r="F9084" t="s">
        <v>62</v>
      </c>
      <c r="G9084">
        <v>-185.9067</v>
      </c>
      <c r="H9084" s="1">
        <v>-1.246546E-5</v>
      </c>
      <c r="I9084">
        <v>-56.141530000000003</v>
      </c>
      <c r="J9084">
        <v>-266.3768</v>
      </c>
      <c r="K9084">
        <v>1.1235010000000001</v>
      </c>
      <c r="L9084">
        <v>-61.51343</v>
      </c>
      <c r="M9084">
        <v>0.99015969999999998</v>
      </c>
      <c r="N9084">
        <v>-1.150121E-2</v>
      </c>
      <c r="O9084">
        <v>-0.1394687</v>
      </c>
      <c r="P9084">
        <v>0.99427030000000005</v>
      </c>
      <c r="Q9084">
        <v>0.1065871</v>
      </c>
      <c r="R9084">
        <v>8.1181959999999994E-3</v>
      </c>
      <c r="S9084">
        <v>3.0198360000000002</v>
      </c>
      <c r="T9084">
        <v>-4.2099949999999997E-2</v>
      </c>
      <c r="U9084">
        <v>0.20071410000000001</v>
      </c>
      <c r="V9084">
        <v>-0.14737420000000001</v>
      </c>
      <c r="W9084">
        <v>0.1170689</v>
      </c>
      <c r="X9084">
        <v>0.98212809999999995</v>
      </c>
      <c r="Y9084">
        <v>-0.20480499999999999</v>
      </c>
      <c r="Z9084">
        <v>2.9403469999999998E-3</v>
      </c>
      <c r="AA9084">
        <v>0.97879839999999996</v>
      </c>
      <c r="AB9084">
        <v>27</v>
      </c>
      <c r="AC9084">
        <v>80.470100000000002</v>
      </c>
      <c r="AD9084">
        <v>-1.1235134654600001</v>
      </c>
      <c r="AE9084">
        <v>5.3719000000000001</v>
      </c>
      <c r="AF9084">
        <v>-16.5399831853385</v>
      </c>
      <c r="AG9084">
        <v>-1.1235134654600001</v>
      </c>
      <c r="AH9084">
        <v>78.918942146702193</v>
      </c>
      <c r="AI9084">
        <v>90.798283208895697</v>
      </c>
      <c r="AJ9084">
        <v>101.836834572844</v>
      </c>
      <c r="AK9084">
        <v>80.641383642847302</v>
      </c>
      <c r="AL9084">
        <v>83.2770291533906</v>
      </c>
      <c r="AM9084">
        <v>98.533902735072203</v>
      </c>
      <c r="AN9084">
        <v>0.999999943491228</v>
      </c>
    </row>
    <row r="9085" spans="1:40" x14ac:dyDescent="0.25">
      <c r="A9085" t="str">
        <f>"20190303162128297"</f>
        <v>20190303162128297</v>
      </c>
      <c r="B9085" t="str">
        <f>"1551601288291614"</f>
        <v>1551601288291614</v>
      </c>
      <c r="C9085" t="s">
        <v>40</v>
      </c>
      <c r="D9085">
        <v>4.6017289999999997</v>
      </c>
      <c r="E9085">
        <v>0.47708699999999998</v>
      </c>
      <c r="F9085" t="s">
        <v>62</v>
      </c>
      <c r="G9085">
        <v>-179.95769999999999</v>
      </c>
      <c r="H9085">
        <v>3.9001260000000003E-2</v>
      </c>
      <c r="I9085">
        <v>-55.72916</v>
      </c>
      <c r="J9085">
        <v>-266.25459999999998</v>
      </c>
      <c r="K9085">
        <v>1.123513</v>
      </c>
      <c r="L9085">
        <v>-61.52908</v>
      </c>
      <c r="M9085">
        <v>0.99036880000000005</v>
      </c>
      <c r="N9085">
        <v>-1.150138E-2</v>
      </c>
      <c r="O9085">
        <v>-0.1379764</v>
      </c>
      <c r="P9085">
        <v>0.9942299</v>
      </c>
      <c r="Q9085">
        <v>0.1069293</v>
      </c>
      <c r="R9085">
        <v>8.5711050000000007E-3</v>
      </c>
      <c r="S9085">
        <v>3.019714</v>
      </c>
      <c r="T9085">
        <v>-3.7895320000000003E-2</v>
      </c>
      <c r="U9085">
        <v>0.20211789999999999</v>
      </c>
      <c r="V9085">
        <v>-0.14633969999999999</v>
      </c>
      <c r="W9085">
        <v>0.11741509999999999</v>
      </c>
      <c r="X9085">
        <v>0.98224149999999999</v>
      </c>
      <c r="Y9085">
        <v>-0.20379140000000001</v>
      </c>
      <c r="Z9085">
        <v>2.590794E-3</v>
      </c>
      <c r="AA9085">
        <v>0.97901090000000002</v>
      </c>
      <c r="AB9085">
        <v>27</v>
      </c>
      <c r="AC9085">
        <v>86.296899999999994</v>
      </c>
      <c r="AD9085">
        <v>-1.0845117399999999</v>
      </c>
      <c r="AE9085">
        <v>5.7999200000000002</v>
      </c>
      <c r="AF9085">
        <v>-17.649386915684602</v>
      </c>
      <c r="AG9085">
        <v>-1.0845117399999999</v>
      </c>
      <c r="AH9085">
        <v>84.657789873933893</v>
      </c>
      <c r="AI9085">
        <v>90.718502943863399</v>
      </c>
      <c r="AJ9085">
        <v>101.77629768925701</v>
      </c>
      <c r="AK9085">
        <v>86.484787162557595</v>
      </c>
      <c r="AL9085">
        <v>83.2570559108959</v>
      </c>
      <c r="AM9085">
        <v>98.473907327800802</v>
      </c>
      <c r="AN9085">
        <v>0.99999998891317499</v>
      </c>
    </row>
    <row r="9086" spans="1:40" x14ac:dyDescent="0.25">
      <c r="A9086" t="str">
        <f>"20190303162128307"</f>
        <v>20190303162128307</v>
      </c>
      <c r="B9086" t="str">
        <f>"1551601288301374"</f>
        <v>1551601288301374</v>
      </c>
      <c r="C9086" t="s">
        <v>40</v>
      </c>
      <c r="D9086">
        <v>4.5832059999999997</v>
      </c>
      <c r="E9086">
        <v>0.47714709999999999</v>
      </c>
      <c r="F9086" t="s">
        <v>62</v>
      </c>
      <c r="G9086">
        <v>-178.8912</v>
      </c>
      <c r="H9086">
        <v>7.9986559999999998E-2</v>
      </c>
      <c r="I9086">
        <v>-55.646810000000002</v>
      </c>
      <c r="J9086">
        <v>-266.1474</v>
      </c>
      <c r="K9086">
        <v>1.123524</v>
      </c>
      <c r="L9086">
        <v>-61.54269</v>
      </c>
      <c r="M9086">
        <v>0.99055099999999996</v>
      </c>
      <c r="N9086">
        <v>-1.150165E-2</v>
      </c>
      <c r="O9086">
        <v>-0.13666210000000001</v>
      </c>
      <c r="P9086">
        <v>0.99424129999999999</v>
      </c>
      <c r="Q9086">
        <v>0.1068326</v>
      </c>
      <c r="R9086">
        <v>8.4330180000000005E-3</v>
      </c>
      <c r="S9086">
        <v>3.0195310000000002</v>
      </c>
      <c r="T9086">
        <v>-3.6067250000000002E-2</v>
      </c>
      <c r="U9086">
        <v>0.20330809999999999</v>
      </c>
      <c r="V9086">
        <v>-0.14490129999999901</v>
      </c>
      <c r="W9086">
        <v>0.1173261</v>
      </c>
      <c r="X9086">
        <v>0.98246540000000004</v>
      </c>
      <c r="Y9086">
        <v>-0.2028827</v>
      </c>
      <c r="Z9086">
        <v>2.4349549999999999E-3</v>
      </c>
      <c r="AA9086">
        <v>0.97919999999999996</v>
      </c>
      <c r="AB9086">
        <v>27</v>
      </c>
      <c r="AC9086">
        <v>87.256200000000007</v>
      </c>
      <c r="AD9086">
        <v>-1.0435374399999999</v>
      </c>
      <c r="AE9086">
        <v>5.89588</v>
      </c>
      <c r="AF9086">
        <v>-17.7634304767275</v>
      </c>
      <c r="AG9086">
        <v>-1.0435374399999999</v>
      </c>
      <c r="AH9086">
        <v>85.619442309477293</v>
      </c>
      <c r="AI9086">
        <v>90.683732807883004</v>
      </c>
      <c r="AJ9086">
        <v>101.720850444357</v>
      </c>
      <c r="AK9086">
        <v>87.448941297628807</v>
      </c>
      <c r="AL9086">
        <v>83.262191013416796</v>
      </c>
      <c r="AM9086">
        <v>98.389922315780595</v>
      </c>
      <c r="AN9086">
        <v>1.0000000313400199</v>
      </c>
    </row>
    <row r="9087" spans="1:40" x14ac:dyDescent="0.25">
      <c r="A9087" t="str">
        <f>"20190303162128317"</f>
        <v>20190303162128317</v>
      </c>
      <c r="B9087" t="str">
        <f>"1551601288311640"</f>
        <v>1551601288311640</v>
      </c>
      <c r="C9087" t="s">
        <v>40</v>
      </c>
      <c r="D9087">
        <v>4.6033850000000003</v>
      </c>
      <c r="E9087">
        <v>0.47721849999999999</v>
      </c>
      <c r="F9087" t="s">
        <v>62</v>
      </c>
      <c r="G9087">
        <v>-177.44880000000001</v>
      </c>
      <c r="H9087">
        <v>7.9986559999999998E-2</v>
      </c>
      <c r="I9087">
        <v>-55.58475</v>
      </c>
      <c r="J9087">
        <v>-266.02109999999999</v>
      </c>
      <c r="K9087">
        <v>1.1235440000000001</v>
      </c>
      <c r="L9087">
        <v>-61.558410000000002</v>
      </c>
      <c r="M9087">
        <v>0.99076629999999999</v>
      </c>
      <c r="N9087">
        <v>-1.1502429999999999E-2</v>
      </c>
      <c r="O9087">
        <v>-0.13509370000000001</v>
      </c>
      <c r="P9087">
        <v>0.99425750000000002</v>
      </c>
      <c r="Q9087">
        <v>0.1066911</v>
      </c>
      <c r="R9087">
        <v>8.3293429999999995E-3</v>
      </c>
      <c r="S9087">
        <v>3.0194700000000001</v>
      </c>
      <c r="T9087">
        <v>-3.5524010000000002E-2</v>
      </c>
      <c r="U9087">
        <v>0.20281979999999999</v>
      </c>
      <c r="V9087">
        <v>-0.1432483</v>
      </c>
      <c r="W9087">
        <v>0.11718969999999999</v>
      </c>
      <c r="X9087">
        <v>0.98272400000000004</v>
      </c>
      <c r="Y9087">
        <v>-0.20117670000000001</v>
      </c>
      <c r="Z9087">
        <v>2.3721329999999998E-3</v>
      </c>
      <c r="AA9087">
        <v>0.97955210000000004</v>
      </c>
      <c r="AB9087">
        <v>27</v>
      </c>
      <c r="AC9087">
        <v>88.572299999999899</v>
      </c>
      <c r="AD9087">
        <v>-1.0435574400000001</v>
      </c>
      <c r="AE9087">
        <v>5.97365999999999</v>
      </c>
      <c r="AF9087">
        <v>-17.882768534856801</v>
      </c>
      <c r="AG9087">
        <v>-1.0435574400000001</v>
      </c>
      <c r="AH9087">
        <v>86.941163770279701</v>
      </c>
      <c r="AI9087">
        <v>90.673589914967295</v>
      </c>
      <c r="AJ9087">
        <v>101.622959933526</v>
      </c>
      <c r="AK9087">
        <v>88.767383538845195</v>
      </c>
      <c r="AL9087">
        <v>83.270060102460604</v>
      </c>
      <c r="AM9087">
        <v>98.293398951300006</v>
      </c>
      <c r="AN9087">
        <v>0.99999998070748897</v>
      </c>
    </row>
    <row r="9088" spans="1:40" x14ac:dyDescent="0.25">
      <c r="A9088" t="str">
        <f>"20190303162128328"</f>
        <v>20190303162128328</v>
      </c>
      <c r="B9088" t="str">
        <f>"1551601288321400"</f>
        <v>1551601288321400</v>
      </c>
      <c r="C9088" t="s">
        <v>40</v>
      </c>
      <c r="D9088">
        <v>4.7699689999999997</v>
      </c>
      <c r="E9088">
        <v>0.4772845</v>
      </c>
      <c r="F9088" t="s">
        <v>62</v>
      </c>
      <c r="G9088">
        <v>-177.69329999999999</v>
      </c>
      <c r="H9088">
        <v>7.9986570000000007E-2</v>
      </c>
      <c r="I9088">
        <v>-55.639600000000002</v>
      </c>
      <c r="J9088">
        <v>-265.89890000000003</v>
      </c>
      <c r="K9088">
        <v>1.1235679999999999</v>
      </c>
      <c r="L9088">
        <v>-61.573520000000002</v>
      </c>
      <c r="M9088">
        <v>0.9909732</v>
      </c>
      <c r="N9088">
        <v>-1.150342E-2</v>
      </c>
      <c r="O9088">
        <v>-0.1335644</v>
      </c>
      <c r="P9088">
        <v>0.99425450000000004</v>
      </c>
      <c r="Q9088">
        <v>0.10670739999999899</v>
      </c>
      <c r="R9088">
        <v>8.4531789999999999E-3</v>
      </c>
      <c r="S9088">
        <v>3.0194399999999999</v>
      </c>
      <c r="T9088">
        <v>-3.5673499999999997E-2</v>
      </c>
      <c r="U9088">
        <v>0.2023315</v>
      </c>
      <c r="V9088">
        <v>-0.14185889999999901</v>
      </c>
      <c r="W9088">
        <v>0.1172101</v>
      </c>
      <c r="X9088">
        <v>0.9829232</v>
      </c>
      <c r="Y9088">
        <v>-0.19950760000000001</v>
      </c>
      <c r="Z9088">
        <v>2.3639960000000002E-3</v>
      </c>
      <c r="AA9088">
        <v>0.97989340000000003</v>
      </c>
      <c r="AB9088">
        <v>27</v>
      </c>
      <c r="AC9088">
        <v>88.205600000000004</v>
      </c>
      <c r="AD9088">
        <v>-1.0435814299999999</v>
      </c>
      <c r="AE9088">
        <v>5.9339199999999899</v>
      </c>
      <c r="AF9088">
        <v>-17.660194499873</v>
      </c>
      <c r="AG9088">
        <v>-1.0435814299999999</v>
      </c>
      <c r="AH9088">
        <v>86.610502474819995</v>
      </c>
      <c r="AI9088">
        <v>90.6764140422259</v>
      </c>
      <c r="AJ9088">
        <v>101.52482844245</v>
      </c>
      <c r="AK9088">
        <v>88.3988160040347</v>
      </c>
      <c r="AL9088">
        <v>83.2688838699558</v>
      </c>
      <c r="AM9088">
        <v>98.212420212689096</v>
      </c>
      <c r="AN9088">
        <v>1.00000008607472</v>
      </c>
    </row>
    <row r="9089" spans="1:40" x14ac:dyDescent="0.25">
      <c r="A9089" t="str">
        <f>"20190303162128338"</f>
        <v>20190303162128338</v>
      </c>
      <c r="B9089" t="str">
        <f>"1551601288332136"</f>
        <v>1551601288332136</v>
      </c>
      <c r="C9089" t="s">
        <v>40</v>
      </c>
      <c r="D9089">
        <v>4.5394199999999998</v>
      </c>
      <c r="E9089">
        <v>0.47733809999999899</v>
      </c>
      <c r="F9089" t="s">
        <v>62</v>
      </c>
      <c r="G9089">
        <v>-175.19210000000001</v>
      </c>
      <c r="H9089">
        <v>7.9986589999999996E-2</v>
      </c>
      <c r="I9089">
        <v>-55.488689999999998</v>
      </c>
      <c r="J9089">
        <v>-265.7706</v>
      </c>
      <c r="K9089">
        <v>1.12359599999999</v>
      </c>
      <c r="L9089">
        <v>-61.589109999999998</v>
      </c>
      <c r="M9089">
        <v>0.99119199999999996</v>
      </c>
      <c r="N9089">
        <v>-1.150499E-2</v>
      </c>
      <c r="O9089">
        <v>-0.131932299999999</v>
      </c>
      <c r="P9089">
        <v>0.99422580000000005</v>
      </c>
      <c r="Q9089">
        <v>0.10699309999999999</v>
      </c>
      <c r="R9089">
        <v>8.2200899999999993E-3</v>
      </c>
      <c r="S9089">
        <v>3.0193479999999999</v>
      </c>
      <c r="T9089">
        <v>-3.4737589999999999E-2</v>
      </c>
      <c r="U9089">
        <v>0.20254520000000001</v>
      </c>
      <c r="V9089">
        <v>-0.14001279999999999</v>
      </c>
      <c r="W9089">
        <v>0.1174999</v>
      </c>
      <c r="X9089">
        <v>0.98315319999999995</v>
      </c>
      <c r="Y9089">
        <v>-0.1979659</v>
      </c>
      <c r="Z9089">
        <v>2.274271E-3</v>
      </c>
      <c r="AA9089">
        <v>0.98020629999999997</v>
      </c>
      <c r="AB9089">
        <v>27</v>
      </c>
      <c r="AC9089">
        <v>90.578500000000005</v>
      </c>
      <c r="AD9089">
        <v>-1.04360940999999</v>
      </c>
      <c r="AE9089">
        <v>6.10041999999999</v>
      </c>
      <c r="AF9089">
        <v>-17.995729738854099</v>
      </c>
      <c r="AG9089">
        <v>-1.04360940999999</v>
      </c>
      <c r="AH9089">
        <v>88.969970709729594</v>
      </c>
      <c r="AI9089">
        <v>90.658705065668101</v>
      </c>
      <c r="AJ9089">
        <v>101.434796795937</v>
      </c>
      <c r="AK9089">
        <v>90.777701543521403</v>
      </c>
      <c r="AL9089">
        <v>83.2521635231071</v>
      </c>
      <c r="AM9089">
        <v>98.105105314960298</v>
      </c>
      <c r="AN9089">
        <v>1.0000000126670401</v>
      </c>
    </row>
    <row r="9090" spans="1:40" x14ac:dyDescent="0.25">
      <c r="A9090" t="str">
        <f>"20190303162128350"</f>
        <v>20190303162128350</v>
      </c>
      <c r="B9090" t="str">
        <f>"1551601288341896"</f>
        <v>1551601288341896</v>
      </c>
      <c r="C9090" t="s">
        <v>40</v>
      </c>
      <c r="D9090">
        <v>4.5950519999999999</v>
      </c>
      <c r="E9090">
        <v>0.47742329999999999</v>
      </c>
      <c r="F9090" t="s">
        <v>44</v>
      </c>
      <c r="G9090">
        <v>-159.25720000000001</v>
      </c>
      <c r="H9090">
        <v>-0.05</v>
      </c>
      <c r="I9090">
        <v>-54.472990000000003</v>
      </c>
      <c r="J9090">
        <v>-265.6413</v>
      </c>
      <c r="K9090">
        <v>1.123631</v>
      </c>
      <c r="L9090">
        <v>-61.604550000000003</v>
      </c>
      <c r="M9090">
        <v>0.99141270000000004</v>
      </c>
      <c r="N9090">
        <v>-1.1506829999999999E-2</v>
      </c>
      <c r="O9090">
        <v>-0.1302634</v>
      </c>
      <c r="P9090">
        <v>0.99415469999999895</v>
      </c>
      <c r="Q9090">
        <v>0.1076549</v>
      </c>
      <c r="R9090">
        <v>8.1955589999999998E-3</v>
      </c>
      <c r="S9090">
        <v>3.0193479999999999</v>
      </c>
      <c r="T9090">
        <v>-3.326809E-2</v>
      </c>
      <c r="U9090">
        <v>0.20172119999999999</v>
      </c>
      <c r="V9090">
        <v>-0.13833589999999901</v>
      </c>
      <c r="W9090">
        <v>0.1181637</v>
      </c>
      <c r="X9090">
        <v>0.98331100000000005</v>
      </c>
      <c r="Y9090">
        <v>-0.196051</v>
      </c>
      <c r="Z9090">
        <v>2.141422E-3</v>
      </c>
      <c r="AA9090">
        <v>0.9805914</v>
      </c>
      <c r="AB9090">
        <v>27</v>
      </c>
      <c r="AC9090">
        <v>106.3841</v>
      </c>
      <c r="AD9090">
        <v>-1.1736309999999901</v>
      </c>
      <c r="AE9090">
        <v>7.1315600000000003</v>
      </c>
      <c r="AF9090">
        <v>-20.9271227720537</v>
      </c>
      <c r="AG9090">
        <v>-1.1736309999999901</v>
      </c>
      <c r="AH9090">
        <v>104.535817280309</v>
      </c>
      <c r="AI9090">
        <v>90.630723364904995</v>
      </c>
      <c r="AJ9090">
        <v>101.320450975613</v>
      </c>
      <c r="AK9090">
        <v>106.61641042402</v>
      </c>
      <c r="AL9090">
        <v>83.213863698891203</v>
      </c>
      <c r="AM9090">
        <v>98.008030887780194</v>
      </c>
      <c r="AN9090">
        <v>1.0000000019737501</v>
      </c>
    </row>
    <row r="9091" spans="1:40" x14ac:dyDescent="0.25">
      <c r="A9091" t="str">
        <f>"20190303162128361"</f>
        <v>20190303162128361</v>
      </c>
      <c r="B9091" t="str">
        <f>"1551601288351656"</f>
        <v>1551601288351656</v>
      </c>
      <c r="C9091" t="s">
        <v>40</v>
      </c>
      <c r="D9091">
        <v>4.5671439999999999</v>
      </c>
      <c r="E9091">
        <v>0.47748289999999999</v>
      </c>
      <c r="F9091" t="s">
        <v>44</v>
      </c>
      <c r="G9091">
        <v>-151.9443</v>
      </c>
      <c r="H9091">
        <v>-0.05</v>
      </c>
      <c r="I9091">
        <v>-54.026960000000003</v>
      </c>
      <c r="J9091">
        <v>-265.50450000000001</v>
      </c>
      <c r="K9091">
        <v>1.1236740000000001</v>
      </c>
      <c r="L9091">
        <v>-61.620669999999997</v>
      </c>
      <c r="M9091">
        <v>0.99164660000000004</v>
      </c>
      <c r="N9091">
        <v>-1.150906E-2</v>
      </c>
      <c r="O9091">
        <v>-0.1284698</v>
      </c>
      <c r="P9091">
        <v>0.99407179999999995</v>
      </c>
      <c r="Q9091">
        <v>0.1084103</v>
      </c>
      <c r="R9091">
        <v>8.2812449999999996E-3</v>
      </c>
      <c r="S9091">
        <v>3.0193789999999998</v>
      </c>
      <c r="T9091">
        <v>-3.116739E-2</v>
      </c>
      <c r="U9091">
        <v>0.20123289999999999</v>
      </c>
      <c r="V9091">
        <v>-0.13664519999999999</v>
      </c>
      <c r="W9091">
        <v>0.118919899999999</v>
      </c>
      <c r="X9091">
        <v>0.98345629999999995</v>
      </c>
      <c r="Y9091">
        <v>-0.1941206</v>
      </c>
      <c r="Z9091">
        <v>1.9639810000000001E-3</v>
      </c>
      <c r="AA9091">
        <v>0.98097570000000001</v>
      </c>
      <c r="AB9091">
        <v>27</v>
      </c>
      <c r="AC9091">
        <v>113.56019999999999</v>
      </c>
      <c r="AD9091">
        <v>-1.1736739999999899</v>
      </c>
      <c r="AE9091">
        <v>7.5937099999999997</v>
      </c>
      <c r="AF9091">
        <v>-22.1184466603539</v>
      </c>
      <c r="AG9091">
        <v>-1.1736739999999899</v>
      </c>
      <c r="AH9091">
        <v>111.631551055336</v>
      </c>
      <c r="AI9091">
        <v>90.590889042889401</v>
      </c>
      <c r="AJ9091">
        <v>101.207311589383</v>
      </c>
      <c r="AK9091">
        <v>113.80776065078</v>
      </c>
      <c r="AL9091">
        <v>83.170229455542</v>
      </c>
      <c r="AM9091">
        <v>97.910251859205502</v>
      </c>
      <c r="AN9091">
        <v>1.0000000736543599</v>
      </c>
    </row>
    <row r="9092" spans="1:40" x14ac:dyDescent="0.25">
      <c r="A9092" t="str">
        <f>"20190303162128374"</f>
        <v>20190303162128374</v>
      </c>
      <c r="B9092" t="str">
        <f>"1551601288361417"</f>
        <v>1551601288361417</v>
      </c>
      <c r="C9092" t="s">
        <v>40</v>
      </c>
      <c r="D9092">
        <v>4.5373650000000003</v>
      </c>
      <c r="E9092">
        <v>0.47755940000000002</v>
      </c>
      <c r="F9092" t="s">
        <v>65</v>
      </c>
      <c r="G9092">
        <v>-157.9383</v>
      </c>
      <c r="H9092">
        <v>0.1047782</v>
      </c>
      <c r="I9092">
        <v>-54.459139999999998</v>
      </c>
      <c r="J9092">
        <v>-265.37430000000001</v>
      </c>
      <c r="K9092">
        <v>1.1237239999999999</v>
      </c>
      <c r="L9092">
        <v>-61.635680000000001</v>
      </c>
      <c r="M9092">
        <v>0.99187119999999995</v>
      </c>
      <c r="N9092">
        <v>-1.1511810000000001E-2</v>
      </c>
      <c r="O9092">
        <v>-0.12672449999999999</v>
      </c>
      <c r="P9092">
        <v>0.99396410000000002</v>
      </c>
      <c r="Q9092">
        <v>0.1093763</v>
      </c>
      <c r="R9092">
        <v>8.5106360000000002E-3</v>
      </c>
      <c r="S9092">
        <v>3.0193180000000002</v>
      </c>
      <c r="T9092">
        <v>-2.8600339999999998E-2</v>
      </c>
      <c r="U9092">
        <v>0.20101930000000001</v>
      </c>
      <c r="V9092">
        <v>-0.1351436</v>
      </c>
      <c r="W9092">
        <v>0.119885199999999</v>
      </c>
      <c r="X9092">
        <v>0.98354649999999999</v>
      </c>
      <c r="Y9092">
        <v>-0.19232879999999999</v>
      </c>
      <c r="Z9092">
        <v>1.757418E-3</v>
      </c>
      <c r="AA9092">
        <v>0.98132900000000001</v>
      </c>
      <c r="AB9092">
        <v>27</v>
      </c>
      <c r="AC9092">
        <v>107.43600000000001</v>
      </c>
      <c r="AD9092">
        <v>-1.0189458</v>
      </c>
      <c r="AE9092">
        <v>7.1765400000000001</v>
      </c>
      <c r="AF9092">
        <v>-20.7324930195708</v>
      </c>
      <c r="AG9092">
        <v>-1.0189458</v>
      </c>
      <c r="AH9092">
        <v>105.650765891086</v>
      </c>
      <c r="AI9092">
        <v>90.5422293873537</v>
      </c>
      <c r="AJ9092">
        <v>101.102421392075</v>
      </c>
      <c r="AK9092">
        <v>107.67060346595601</v>
      </c>
      <c r="AL9092">
        <v>83.114522707216906</v>
      </c>
      <c r="AM9092">
        <v>97.823699646083099</v>
      </c>
      <c r="AN9092">
        <v>0.99999998573112403</v>
      </c>
    </row>
    <row r="9093" spans="1:40" x14ac:dyDescent="0.25">
      <c r="A9093" t="str">
        <f>"20190303162128383"</f>
        <v>20190303162128383</v>
      </c>
      <c r="B9093" t="str">
        <f>"1551601288372152"</f>
        <v>1551601288372152</v>
      </c>
      <c r="C9093" t="s">
        <v>40</v>
      </c>
      <c r="D9093">
        <v>4.5220379999999896</v>
      </c>
      <c r="E9093">
        <v>0.47762939999999998</v>
      </c>
      <c r="F9093" t="s">
        <v>65</v>
      </c>
      <c r="G9093">
        <v>-157.9383</v>
      </c>
      <c r="H9093">
        <v>0.19327510000000001</v>
      </c>
      <c r="I9093">
        <v>-54.476529999999997</v>
      </c>
      <c r="J9093">
        <v>-265.24450000000002</v>
      </c>
      <c r="K9093">
        <v>1.1237729999999999</v>
      </c>
      <c r="L9093">
        <v>-61.650480000000002</v>
      </c>
      <c r="M9093">
        <v>0.99209369999999997</v>
      </c>
      <c r="N9093">
        <v>-1.1514669999999999E-2</v>
      </c>
      <c r="O9093">
        <v>-0.124969899999999</v>
      </c>
      <c r="P9093">
        <v>0.99385730000000005</v>
      </c>
      <c r="Q9093">
        <v>0.11032110000000001</v>
      </c>
      <c r="R9093">
        <v>8.7839189999999994E-3</v>
      </c>
      <c r="S9093">
        <v>3.019409</v>
      </c>
      <c r="T9093">
        <v>-2.6150110000000001E-2</v>
      </c>
      <c r="U9093">
        <v>0.2012024</v>
      </c>
      <c r="V9093">
        <v>-0.1336775</v>
      </c>
      <c r="W9093">
        <v>0.12082909999999999</v>
      </c>
      <c r="X9093">
        <v>0.98363140000000004</v>
      </c>
      <c r="Y9093">
        <v>-0.19065219999999999</v>
      </c>
      <c r="Z9093">
        <v>1.5649259999999999E-3</v>
      </c>
      <c r="AA9093">
        <v>0.98165639999999998</v>
      </c>
      <c r="AB9093">
        <v>27</v>
      </c>
      <c r="AC9093">
        <v>107.3062</v>
      </c>
      <c r="AD9093">
        <v>-0.93049789999999999</v>
      </c>
      <c r="AE9093">
        <v>7.1739499999999898</v>
      </c>
      <c r="AF9093">
        <v>-20.527100285789199</v>
      </c>
      <c r="AG9093">
        <v>-0.93049789999999999</v>
      </c>
      <c r="AH9093">
        <v>105.560375201309</v>
      </c>
      <c r="AI9093">
        <v>90.495754300641593</v>
      </c>
      <c r="AJ9093">
        <v>101.00431059261</v>
      </c>
      <c r="AK9093">
        <v>107.54171509291599</v>
      </c>
      <c r="AL9093">
        <v>83.060045568529304</v>
      </c>
      <c r="AM9093">
        <v>97.739198913792904</v>
      </c>
      <c r="AN9093">
        <v>1.0000000382395</v>
      </c>
    </row>
    <row r="9094" spans="1:40" x14ac:dyDescent="0.25">
      <c r="A9094" t="str">
        <f>"20190303162128395"</f>
        <v>20190303162128395</v>
      </c>
      <c r="B9094" t="str">
        <f>"1551601288391673"</f>
        <v>1551601288391673</v>
      </c>
      <c r="C9094" t="s">
        <v>40</v>
      </c>
      <c r="D9094">
        <v>4.6415899999999999</v>
      </c>
      <c r="E9094">
        <v>0.47771180000000002</v>
      </c>
      <c r="F9094" t="s">
        <v>65</v>
      </c>
      <c r="G9094">
        <v>-157.9383</v>
      </c>
      <c r="H9094">
        <v>0.29022419999999999</v>
      </c>
      <c r="I9094">
        <v>-54.488050000000001</v>
      </c>
      <c r="J9094">
        <v>-265.11470000000003</v>
      </c>
      <c r="K9094">
        <v>1.123821</v>
      </c>
      <c r="L9094">
        <v>-61.66489</v>
      </c>
      <c r="M9094">
        <v>0.99231899999999995</v>
      </c>
      <c r="N9094">
        <v>-1.1517879999999999E-2</v>
      </c>
      <c r="O9094">
        <v>-0.12316779999999999</v>
      </c>
      <c r="P9094">
        <v>0.9937317</v>
      </c>
      <c r="Q9094">
        <v>0.11140839999999901</v>
      </c>
      <c r="R9094">
        <v>9.2513950000000008E-3</v>
      </c>
      <c r="S9094">
        <v>3.019409</v>
      </c>
      <c r="T9094">
        <v>-2.3455139999999999E-2</v>
      </c>
      <c r="U9094">
        <v>0.2015381</v>
      </c>
      <c r="V9094">
        <v>-0.13235620000000001</v>
      </c>
      <c r="W9094">
        <v>0.12191440000000001</v>
      </c>
      <c r="X9094">
        <v>0.98367610000000005</v>
      </c>
      <c r="Y9094">
        <v>-0.1889798</v>
      </c>
      <c r="Z9094">
        <v>1.3592879999999999E-3</v>
      </c>
      <c r="AA9094">
        <v>0.98197999999999996</v>
      </c>
      <c r="AB9094">
        <v>27</v>
      </c>
      <c r="AC9094">
        <v>107.1764</v>
      </c>
      <c r="AD9094">
        <v>-0.83359679999999903</v>
      </c>
      <c r="AE9094">
        <v>7.1768399999999897</v>
      </c>
      <c r="AF9094">
        <v>-20.322520662499901</v>
      </c>
      <c r="AG9094">
        <v>-0.83359679999999903</v>
      </c>
      <c r="AH9094">
        <v>105.46986897476501</v>
      </c>
      <c r="AI9094">
        <v>90.444657296879399</v>
      </c>
      <c r="AJ9094">
        <v>100.90640364103299</v>
      </c>
      <c r="AK9094">
        <v>107.413188162612</v>
      </c>
      <c r="AL9094">
        <v>82.997398892264698</v>
      </c>
      <c r="AM9094">
        <v>97.6632722929442</v>
      </c>
      <c r="AN9094">
        <v>0.99999997715850397</v>
      </c>
    </row>
    <row r="9095" spans="1:40" x14ac:dyDescent="0.25">
      <c r="A9095" t="str">
        <f>"20190303162128407"</f>
        <v>20190303162128407</v>
      </c>
      <c r="B9095" t="str">
        <f>"1551601288401431"</f>
        <v>1551601288401431</v>
      </c>
      <c r="C9095" t="s">
        <v>40</v>
      </c>
      <c r="D9095">
        <v>4.5937089999999996</v>
      </c>
      <c r="E9095">
        <v>0.47775499999999999</v>
      </c>
      <c r="F9095" t="s">
        <v>65</v>
      </c>
      <c r="G9095">
        <v>-157.9383</v>
      </c>
      <c r="H9095">
        <v>0.39301930000000002</v>
      </c>
      <c r="I9095">
        <v>-54.487139999999997</v>
      </c>
      <c r="J9095">
        <v>-264.97280000000001</v>
      </c>
      <c r="K9095">
        <v>1.1238779999999999</v>
      </c>
      <c r="L9095">
        <v>-61.680480000000003</v>
      </c>
      <c r="M9095">
        <v>0.99256319999999998</v>
      </c>
      <c r="N9095">
        <v>-1.152126E-2</v>
      </c>
      <c r="O9095">
        <v>-0.1211835</v>
      </c>
      <c r="P9095">
        <v>0.99364779999999997</v>
      </c>
      <c r="Q9095">
        <v>0.1121091</v>
      </c>
      <c r="R9095">
        <v>9.7726319999999998E-3</v>
      </c>
      <c r="S9095">
        <v>3.0193479999999999</v>
      </c>
      <c r="T9095">
        <v>-2.0588519999999999E-2</v>
      </c>
      <c r="U9095">
        <v>0.20220949999999999</v>
      </c>
      <c r="V9095">
        <v>-0.13091120000000001</v>
      </c>
      <c r="W9095">
        <v>0.1226148</v>
      </c>
      <c r="X9095">
        <v>0.98378239999999995</v>
      </c>
      <c r="Y9095">
        <v>-0.18723670000000001</v>
      </c>
      <c r="Z9095">
        <v>1.14639E-3</v>
      </c>
      <c r="AA9095">
        <v>0.98231420000000003</v>
      </c>
      <c r="AB9095">
        <v>27</v>
      </c>
      <c r="AC9095">
        <v>107.03449999999999</v>
      </c>
      <c r="AD9095">
        <v>-0.73085869999999997</v>
      </c>
      <c r="AE9095">
        <v>7.1933399999999903</v>
      </c>
      <c r="AF9095">
        <v>-20.111062453951099</v>
      </c>
      <c r="AG9095">
        <v>-0.73085869999999997</v>
      </c>
      <c r="AH9095">
        <v>105.368900834518</v>
      </c>
      <c r="AI9095">
        <v>90.390361648245204</v>
      </c>
      <c r="AJ9095">
        <v>100.805702869577</v>
      </c>
      <c r="AK9095">
        <v>107.27345547963201</v>
      </c>
      <c r="AL9095">
        <v>82.956965533633394</v>
      </c>
      <c r="AM9095">
        <v>97.579777082317506</v>
      </c>
      <c r="AN9095">
        <v>0.99999997100711902</v>
      </c>
    </row>
    <row r="9096" spans="1:40" x14ac:dyDescent="0.25">
      <c r="A9096" t="str">
        <f>"20190303162128418"</f>
        <v>20190303162128418</v>
      </c>
      <c r="B9096" t="str">
        <f>"1551601288412168"</f>
        <v>1551601288412168</v>
      </c>
      <c r="C9096" t="s">
        <v>40</v>
      </c>
      <c r="D9096">
        <v>4.6592949999999904</v>
      </c>
      <c r="E9096">
        <v>0.47780020000000001</v>
      </c>
      <c r="F9096" t="s">
        <v>65</v>
      </c>
      <c r="G9096">
        <v>-157.9383</v>
      </c>
      <c r="H9096">
        <v>0.47425719999999999</v>
      </c>
      <c r="I9096">
        <v>-54.463329999999999</v>
      </c>
      <c r="J9096">
        <v>-264.84660000000002</v>
      </c>
      <c r="K9096">
        <v>1.1239170000000001</v>
      </c>
      <c r="L9096">
        <v>-61.693939999999998</v>
      </c>
      <c r="M9096">
        <v>0.99278149999999998</v>
      </c>
      <c r="N9096">
        <v>-1.152429E-2</v>
      </c>
      <c r="O9096">
        <v>-0.1193833</v>
      </c>
      <c r="P9096">
        <v>0.99354569999999998</v>
      </c>
      <c r="Q9096">
        <v>0.112946</v>
      </c>
      <c r="R9096">
        <v>1.0501119999999999E-2</v>
      </c>
      <c r="S9096">
        <v>3.0192570000000001</v>
      </c>
      <c r="T9096">
        <v>-1.8325210000000001E-2</v>
      </c>
      <c r="U9096">
        <v>0.20358280000000001</v>
      </c>
      <c r="V9096">
        <v>-0.129852</v>
      </c>
      <c r="W9096">
        <v>0.1234505</v>
      </c>
      <c r="X9096">
        <v>0.98381830000000003</v>
      </c>
      <c r="Y9096">
        <v>-0.18590319999999999</v>
      </c>
      <c r="Z9096">
        <v>9.8380350000000006E-4</v>
      </c>
      <c r="AA9096">
        <v>0.98256750000000004</v>
      </c>
      <c r="AB9096">
        <v>27</v>
      </c>
      <c r="AC9096">
        <v>106.9083</v>
      </c>
      <c r="AD9096">
        <v>-0.64965980000000001</v>
      </c>
      <c r="AE9096">
        <v>7.2306099999999898</v>
      </c>
      <c r="AF9096">
        <v>-19.9420699001227</v>
      </c>
      <c r="AG9096">
        <v>-0.64965980000000001</v>
      </c>
      <c r="AH9096">
        <v>105.27647462178101</v>
      </c>
      <c r="AI9096">
        <v>90.347389596321804</v>
      </c>
      <c r="AJ9096">
        <v>100.726205262486</v>
      </c>
      <c r="AK9096">
        <v>107.150568447151</v>
      </c>
      <c r="AL9096">
        <v>82.908717145720502</v>
      </c>
      <c r="AM9096">
        <v>97.518882541443404</v>
      </c>
      <c r="AN9096">
        <v>1.0000000076345601</v>
      </c>
    </row>
    <row r="9097" spans="1:40" x14ac:dyDescent="0.25">
      <c r="A9097" t="str">
        <f>"20190303162128429"</f>
        <v>20190303162128429</v>
      </c>
      <c r="B9097" t="str">
        <f>"1551601288421928"</f>
        <v>1551601288421928</v>
      </c>
      <c r="C9097" t="s">
        <v>40</v>
      </c>
      <c r="D9097">
        <v>4.5841839999999996</v>
      </c>
      <c r="E9097">
        <v>0.47786299999999998</v>
      </c>
      <c r="F9097" t="s">
        <v>65</v>
      </c>
      <c r="G9097">
        <v>-157.9383</v>
      </c>
      <c r="H9097">
        <v>0.57231639999999995</v>
      </c>
      <c r="I9097">
        <v>-54.412460000000003</v>
      </c>
      <c r="J9097">
        <v>-264.7063</v>
      </c>
      <c r="K9097">
        <v>1.123956</v>
      </c>
      <c r="L9097">
        <v>-61.708710000000004</v>
      </c>
      <c r="M9097">
        <v>0.99302170000000001</v>
      </c>
      <c r="N9097">
        <v>-1.152747E-2</v>
      </c>
      <c r="O9097">
        <v>-0.11736729999999999</v>
      </c>
      <c r="P9097">
        <v>0.99347450000000004</v>
      </c>
      <c r="Q9097">
        <v>0.11349629999999999</v>
      </c>
      <c r="R9097">
        <v>1.1287760000000001E-2</v>
      </c>
      <c r="S9097">
        <v>3.0190730000000001</v>
      </c>
      <c r="T9097">
        <v>-1.557767E-2</v>
      </c>
      <c r="U9097">
        <v>0.20562739999999999</v>
      </c>
      <c r="V9097">
        <v>-0.1286397</v>
      </c>
      <c r="W9097">
        <v>0.12400129999999999</v>
      </c>
      <c r="X9097">
        <v>0.98390829999999996</v>
      </c>
      <c r="Y9097">
        <v>-0.18457589999999999</v>
      </c>
      <c r="Z9097">
        <v>7.9276929999999904E-4</v>
      </c>
      <c r="AA9097">
        <v>0.98281790000000002</v>
      </c>
      <c r="AB9097">
        <v>27</v>
      </c>
      <c r="AC9097">
        <v>106.76799999999901</v>
      </c>
      <c r="AD9097">
        <v>-0.55163959999999901</v>
      </c>
      <c r="AE9097">
        <v>7.2962499999999997</v>
      </c>
      <c r="AF9097">
        <v>-19.777194452605698</v>
      </c>
      <c r="AG9097">
        <v>-0.55163959999999901</v>
      </c>
      <c r="AH9097">
        <v>105.170790048406</v>
      </c>
      <c r="AI9097">
        <v>90.295347252195498</v>
      </c>
      <c r="AJ9097">
        <v>100.65000385041201</v>
      </c>
      <c r="AK9097">
        <v>107.015591415785</v>
      </c>
      <c r="AL9097">
        <v>82.876914350679399</v>
      </c>
      <c r="AM9097">
        <v>97.448804463152996</v>
      </c>
      <c r="AN9097">
        <v>1.00000001881333</v>
      </c>
    </row>
    <row r="9098" spans="1:40" x14ac:dyDescent="0.25">
      <c r="A9098" t="str">
        <f>"20190303162128440"</f>
        <v>20190303162128440</v>
      </c>
      <c r="B9098" t="str">
        <f>"1551601288431688"</f>
        <v>1551601288431688</v>
      </c>
      <c r="C9098" t="s">
        <v>40</v>
      </c>
      <c r="D9098">
        <v>4.6451120000000001</v>
      </c>
      <c r="E9098">
        <v>0.47792410000000002</v>
      </c>
      <c r="F9098" t="s">
        <v>65</v>
      </c>
      <c r="G9098">
        <v>-157.9383</v>
      </c>
      <c r="H9098">
        <v>0.6207821</v>
      </c>
      <c r="I9098">
        <v>-54.364249999999998</v>
      </c>
      <c r="J9098">
        <v>-264.57740000000001</v>
      </c>
      <c r="K9098">
        <v>1.1239889999999999</v>
      </c>
      <c r="L9098">
        <v>-61.721980000000002</v>
      </c>
      <c r="M9098">
        <v>0.99324140000000005</v>
      </c>
      <c r="N9098">
        <v>-1.153027E-2</v>
      </c>
      <c r="O9098">
        <v>-0.1154936</v>
      </c>
      <c r="P9098">
        <v>0.99341699999999999</v>
      </c>
      <c r="Q9098">
        <v>0.1138892</v>
      </c>
      <c r="R9098">
        <v>1.2344559999999999E-2</v>
      </c>
      <c r="S9098">
        <v>3.0189819999999998</v>
      </c>
      <c r="T9098">
        <v>-1.4228340000000001E-2</v>
      </c>
      <c r="U9098">
        <v>0.2076721</v>
      </c>
      <c r="V9098">
        <v>-0.12783430000000001</v>
      </c>
      <c r="W9098">
        <v>0.124394</v>
      </c>
      <c r="X9098">
        <v>0.9839637</v>
      </c>
      <c r="Y9098">
        <v>-0.18338660000000001</v>
      </c>
      <c r="Z9098">
        <v>7.0241729999999999E-4</v>
      </c>
      <c r="AA9098">
        <v>0.98304060000000004</v>
      </c>
      <c r="AB9098">
        <v>27</v>
      </c>
      <c r="AC9098">
        <v>106.6391</v>
      </c>
      <c r="AD9098">
        <v>-0.50320689999999901</v>
      </c>
      <c r="AE9098">
        <v>7.3577300000000001</v>
      </c>
      <c r="AF9098">
        <v>-19.625003366365</v>
      </c>
      <c r="AG9098">
        <v>-0.50320689999999901</v>
      </c>
      <c r="AH9098">
        <v>105.07324428654</v>
      </c>
      <c r="AI9098">
        <v>90.269729149606405</v>
      </c>
      <c r="AJ9098">
        <v>100.57949403295</v>
      </c>
      <c r="AK9098">
        <v>106.891443246001</v>
      </c>
      <c r="AL9098">
        <v>82.854238735150403</v>
      </c>
      <c r="AM9098">
        <v>97.402274958554798</v>
      </c>
      <c r="AN9098">
        <v>1.00000001920509</v>
      </c>
    </row>
    <row r="9099" spans="1:40" x14ac:dyDescent="0.25">
      <c r="A9099" t="str">
        <f>"20190303162128452"</f>
        <v>20190303162128452</v>
      </c>
      <c r="B9099" t="str">
        <f>"1551601288441448"</f>
        <v>1551601288441448</v>
      </c>
      <c r="C9099" t="s">
        <v>40</v>
      </c>
      <c r="D9099">
        <v>4.6420750000000002</v>
      </c>
      <c r="E9099">
        <v>0.4779738</v>
      </c>
      <c r="F9099" t="s">
        <v>65</v>
      </c>
      <c r="G9099">
        <v>-157.9383</v>
      </c>
      <c r="H9099">
        <v>0.63583769999999995</v>
      </c>
      <c r="I9099">
        <v>-54.29663</v>
      </c>
      <c r="J9099">
        <v>-264.45229999999998</v>
      </c>
      <c r="K9099">
        <v>1.1240110000000001</v>
      </c>
      <c r="L9099">
        <v>-61.7346199999999</v>
      </c>
      <c r="M9099">
        <v>0.99345280000000002</v>
      </c>
      <c r="N9099">
        <v>-1.153276E-2</v>
      </c>
      <c r="O9099">
        <v>-0.113660999999999</v>
      </c>
      <c r="P9099">
        <v>0.99342220000000003</v>
      </c>
      <c r="Q9099">
        <v>0.1137248</v>
      </c>
      <c r="R9099">
        <v>1.33793E-2</v>
      </c>
      <c r="S9099">
        <v>3.0188600000000001</v>
      </c>
      <c r="T9099">
        <v>-1.3819690000000001E-2</v>
      </c>
      <c r="U9099">
        <v>0.21020510000000001</v>
      </c>
      <c r="V9099">
        <v>-0.127051</v>
      </c>
      <c r="W9099">
        <v>0.1242317</v>
      </c>
      <c r="X9099">
        <v>0.9840856</v>
      </c>
      <c r="Y9099">
        <v>-0.1823969</v>
      </c>
      <c r="Z9099">
        <v>6.7930129999999999E-4</v>
      </c>
      <c r="AA9099">
        <v>0.98322469999999995</v>
      </c>
      <c r="AB9099">
        <v>27</v>
      </c>
      <c r="AC9099">
        <v>106.513999999999</v>
      </c>
      <c r="AD9099">
        <v>-0.48817329999999998</v>
      </c>
      <c r="AE9099">
        <v>7.4379899999999797</v>
      </c>
      <c r="AF9099">
        <v>-19.496665977928998</v>
      </c>
      <c r="AG9099">
        <v>-0.48817329999999998</v>
      </c>
      <c r="AH9099">
        <v>104.975993901405</v>
      </c>
      <c r="AI9099">
        <v>90.261962841751796</v>
      </c>
      <c r="AJ9099">
        <v>100.52137747105699</v>
      </c>
      <c r="AK9099">
        <v>106.772269775507</v>
      </c>
      <c r="AL9099">
        <v>82.863610183449197</v>
      </c>
      <c r="AM9099">
        <v>97.356514872408596</v>
      </c>
      <c r="AN9099">
        <v>0.99999997000662399</v>
      </c>
    </row>
    <row r="9100" spans="1:40" x14ac:dyDescent="0.25">
      <c r="A9100" t="str">
        <f>"20190303162128461"</f>
        <v>20190303162128461</v>
      </c>
      <c r="B9100" t="str">
        <f>"1551601288452184"</f>
        <v>1551601288452184</v>
      </c>
      <c r="C9100" t="s">
        <v>40</v>
      </c>
      <c r="D9100">
        <v>4.7026560000000002</v>
      </c>
      <c r="E9100">
        <v>0.47803990000000002</v>
      </c>
      <c r="F9100" t="s">
        <v>65</v>
      </c>
      <c r="G9100">
        <v>-157.9383</v>
      </c>
      <c r="H9100">
        <v>0.59190109999999996</v>
      </c>
      <c r="I9100">
        <v>-54.237909999999999</v>
      </c>
      <c r="J9100">
        <v>-264.32560000000001</v>
      </c>
      <c r="K9100">
        <v>1.1240270000000001</v>
      </c>
      <c r="L9100">
        <v>-61.747190000000003</v>
      </c>
      <c r="M9100">
        <v>0.9936644</v>
      </c>
      <c r="N9100">
        <v>-1.15351E-2</v>
      </c>
      <c r="O9100">
        <v>-0.111794</v>
      </c>
      <c r="P9100">
        <v>0.99347629999999998</v>
      </c>
      <c r="Q9100">
        <v>0.11303239999999901</v>
      </c>
      <c r="R9100">
        <v>1.512172E-2</v>
      </c>
      <c r="S9100">
        <v>3.018707</v>
      </c>
      <c r="T9100">
        <v>-1.508105E-2</v>
      </c>
      <c r="U9100">
        <v>0.2124634</v>
      </c>
      <c r="V9100">
        <v>-0.12693769999999999</v>
      </c>
      <c r="W9100">
        <v>0.1235376</v>
      </c>
      <c r="X9100">
        <v>0.98418760000000005</v>
      </c>
      <c r="Y9100">
        <v>-0.18128420000000001</v>
      </c>
      <c r="Z9100">
        <v>7.6789839999999996E-4</v>
      </c>
      <c r="AA9100">
        <v>0.98343040000000004</v>
      </c>
      <c r="AB9100">
        <v>27</v>
      </c>
      <c r="AC9100">
        <v>106.3873</v>
      </c>
      <c r="AD9100">
        <v>-0.53212590000000004</v>
      </c>
      <c r="AE9100">
        <v>7.5092800000000004</v>
      </c>
      <c r="AF9100">
        <v>-19.355972990948001</v>
      </c>
      <c r="AG9100">
        <v>-0.53212590000000004</v>
      </c>
      <c r="AH9100">
        <v>104.87815264477599</v>
      </c>
      <c r="AI9100">
        <v>90.285874406284407</v>
      </c>
      <c r="AJ9100">
        <v>100.456661323688</v>
      </c>
      <c r="AK9100">
        <v>106.650662213513</v>
      </c>
      <c r="AL9100">
        <v>82.903687956518596</v>
      </c>
      <c r="AM9100">
        <v>97.349272916560494</v>
      </c>
      <c r="AN9100">
        <v>0.99999997514440397</v>
      </c>
    </row>
    <row r="9101" spans="1:40" x14ac:dyDescent="0.25">
      <c r="A9101" t="str">
        <f>"20190303162128474"</f>
        <v>20190303162128474</v>
      </c>
      <c r="B9101" t="str">
        <f>"1551601288461945"</f>
        <v>1551601288461945</v>
      </c>
      <c r="C9101" t="s">
        <v>40</v>
      </c>
      <c r="D9101">
        <v>4.7004000000000001</v>
      </c>
      <c r="E9101">
        <v>0.47809849999999998</v>
      </c>
      <c r="F9101" t="s">
        <v>65</v>
      </c>
      <c r="G9101">
        <v>-157.9383</v>
      </c>
      <c r="H9101">
        <v>0.4910429</v>
      </c>
      <c r="I9101">
        <v>-54.114669999999997</v>
      </c>
      <c r="J9101">
        <v>-264.1848</v>
      </c>
      <c r="K9101">
        <v>1.124042</v>
      </c>
      <c r="L9101">
        <v>-61.760800000000003</v>
      </c>
      <c r="M9101">
        <v>0.99389680000000002</v>
      </c>
      <c r="N9101">
        <v>-1.1537270000000001E-2</v>
      </c>
      <c r="O9101">
        <v>-0.1097086</v>
      </c>
      <c r="P9101">
        <v>0.99352739999999995</v>
      </c>
      <c r="Q9101">
        <v>0.112281199999999</v>
      </c>
      <c r="R9101">
        <v>1.7211190000000001E-2</v>
      </c>
      <c r="S9101">
        <v>3.0184630000000001</v>
      </c>
      <c r="T9101">
        <v>-1.795983E-2</v>
      </c>
      <c r="U9101">
        <v>0.21655269999999999</v>
      </c>
      <c r="V9101">
        <v>-0.1269506</v>
      </c>
      <c r="W9101">
        <v>0.1227857</v>
      </c>
      <c r="X9101">
        <v>0.98428000000000004</v>
      </c>
      <c r="Y9101">
        <v>-0.1805504</v>
      </c>
      <c r="Z9101">
        <v>9.6611080000000001E-4</v>
      </c>
      <c r="AA9101">
        <v>0.98356529999999998</v>
      </c>
      <c r="AB9101">
        <v>27</v>
      </c>
      <c r="AC9101">
        <v>106.2465</v>
      </c>
      <c r="AD9101">
        <v>-0.63299909999999904</v>
      </c>
      <c r="AE9101">
        <v>7.6461300000000003</v>
      </c>
      <c r="AF9101">
        <v>-19.256221218453099</v>
      </c>
      <c r="AG9101">
        <v>-0.63299909999999904</v>
      </c>
      <c r="AH9101">
        <v>104.76248697571999</v>
      </c>
      <c r="AI9101">
        <v>90.340486260522795</v>
      </c>
      <c r="AJ9101">
        <v>100.415187728961</v>
      </c>
      <c r="AK9101">
        <v>106.519394575883</v>
      </c>
      <c r="AL9101">
        <v>82.947098987796096</v>
      </c>
      <c r="AM9101">
        <v>97.349329173599997</v>
      </c>
      <c r="AN9101">
        <v>0.99999995068242298</v>
      </c>
    </row>
    <row r="9102" spans="1:40" x14ac:dyDescent="0.25">
      <c r="A9102" t="str">
        <f>"20190303162128484"</f>
        <v>20190303162128484</v>
      </c>
      <c r="B9102" t="str">
        <f>"1551601288471704"</f>
        <v>1551601288471704</v>
      </c>
      <c r="C9102" t="s">
        <v>40</v>
      </c>
      <c r="D9102">
        <v>4.6003689999999997</v>
      </c>
      <c r="E9102">
        <v>0.47813909999999998</v>
      </c>
      <c r="F9102" t="s">
        <v>65</v>
      </c>
      <c r="G9102">
        <v>-157.9383</v>
      </c>
      <c r="H9102">
        <v>0.38470599999999999</v>
      </c>
      <c r="I9102">
        <v>-53.949359999999999</v>
      </c>
      <c r="J9102">
        <v>-264.06040000000002</v>
      </c>
      <c r="K9102">
        <v>1.1240490000000001</v>
      </c>
      <c r="L9102">
        <v>-61.772709999999996</v>
      </c>
      <c r="M9102">
        <v>0.99409930000000002</v>
      </c>
      <c r="N9102">
        <v>-1.153904E-2</v>
      </c>
      <c r="O9102">
        <v>-0.1078595</v>
      </c>
      <c r="P9102">
        <v>0.99356949999999999</v>
      </c>
      <c r="Q9102">
        <v>0.11166520000000001</v>
      </c>
      <c r="R9102">
        <v>1.8732470000000001E-2</v>
      </c>
      <c r="S9102">
        <v>3.0180660000000001</v>
      </c>
      <c r="T9102">
        <v>-2.100229E-2</v>
      </c>
      <c r="U9102">
        <v>0.22189329999999999</v>
      </c>
      <c r="V9102">
        <v>-0.12663260000000001</v>
      </c>
      <c r="W9102">
        <v>0.1221719</v>
      </c>
      <c r="X9102">
        <v>0.98439739999999998</v>
      </c>
      <c r="Y9102">
        <v>-0.1804596</v>
      </c>
      <c r="Z9102">
        <v>1.1753289999999999E-3</v>
      </c>
      <c r="AA9102">
        <v>0.9835817</v>
      </c>
      <c r="AB9102">
        <v>27</v>
      </c>
      <c r="AC9102">
        <v>106.1221</v>
      </c>
      <c r="AD9102">
        <v>-0.73934299999999997</v>
      </c>
      <c r="AE9102">
        <v>7.8233499999999898</v>
      </c>
      <c r="AF9102">
        <v>-19.223812987846699</v>
      </c>
      <c r="AG9102">
        <v>-0.73934299999999997</v>
      </c>
      <c r="AH9102">
        <v>104.653985833596</v>
      </c>
      <c r="AI9102">
        <v>90.398106994832702</v>
      </c>
      <c r="AJ9102">
        <v>100.40858639977699</v>
      </c>
      <c r="AK9102">
        <v>106.407510847317</v>
      </c>
      <c r="AL9102">
        <v>82.982534377061896</v>
      </c>
      <c r="AM9102">
        <v>97.3302554701433</v>
      </c>
      <c r="AN9102">
        <v>1.00000001482956</v>
      </c>
    </row>
    <row r="9103" spans="1:40" x14ac:dyDescent="0.25">
      <c r="A9103" t="str">
        <f>"20190303162128496"</f>
        <v>20190303162128496</v>
      </c>
      <c r="B9103" t="str">
        <f>"1551601288491224"</f>
        <v>1551601288491224</v>
      </c>
      <c r="C9103" t="s">
        <v>40</v>
      </c>
      <c r="D9103">
        <v>4.7168869999999998</v>
      </c>
      <c r="E9103">
        <v>0.47821550000000002</v>
      </c>
      <c r="F9103" t="s">
        <v>65</v>
      </c>
      <c r="G9103">
        <v>-157.9383</v>
      </c>
      <c r="H9103">
        <v>0.29854389999999997</v>
      </c>
      <c r="I9103">
        <v>-53.826979999999999</v>
      </c>
      <c r="J9103">
        <v>-263.92660000000001</v>
      </c>
      <c r="K9103">
        <v>1.12405</v>
      </c>
      <c r="L9103">
        <v>-61.785029999999999</v>
      </c>
      <c r="M9103">
        <v>0.99431340000000001</v>
      </c>
      <c r="N9103">
        <v>-1.15406E-2</v>
      </c>
      <c r="O9103">
        <v>-0.1058675</v>
      </c>
      <c r="P9103">
        <v>0.99361940000000004</v>
      </c>
      <c r="Q9103">
        <v>0.1109571</v>
      </c>
      <c r="R9103">
        <v>2.023455E-2</v>
      </c>
      <c r="S9103">
        <v>3.017792</v>
      </c>
      <c r="T9103">
        <v>-2.3475409999999999E-2</v>
      </c>
      <c r="U9103">
        <v>0.22595209999999999</v>
      </c>
      <c r="V9103">
        <v>-0.1261526</v>
      </c>
      <c r="W9103">
        <v>0.1214686</v>
      </c>
      <c r="X9103">
        <v>0.98454609999999998</v>
      </c>
      <c r="Y9103">
        <v>-0.17980960000000001</v>
      </c>
      <c r="Z9103">
        <v>1.33887E-3</v>
      </c>
      <c r="AA9103">
        <v>0.98370049999999998</v>
      </c>
      <c r="AB9103">
        <v>27</v>
      </c>
      <c r="AC9103">
        <v>105.9883</v>
      </c>
      <c r="AD9103">
        <v>-0.82550609999999902</v>
      </c>
      <c r="AE9103">
        <v>7.9580500000000001</v>
      </c>
      <c r="AF9103">
        <v>-19.133629788214702</v>
      </c>
      <c r="AG9103">
        <v>-0.82550609999999902</v>
      </c>
      <c r="AH9103">
        <v>104.54373109130501</v>
      </c>
      <c r="AI9103">
        <v>90.445022220199704</v>
      </c>
      <c r="AJ9103">
        <v>100.371507116987</v>
      </c>
      <c r="AK9103">
        <v>106.28343690192099</v>
      </c>
      <c r="AL9103">
        <v>83.023133194170398</v>
      </c>
      <c r="AM9103">
        <v>97.301679630366493</v>
      </c>
      <c r="AN9103">
        <v>1.0000000611489599</v>
      </c>
    </row>
    <row r="9104" spans="1:40" x14ac:dyDescent="0.25">
      <c r="A9104" t="str">
        <f>"20190303162128506"</f>
        <v>20190303162128506</v>
      </c>
      <c r="B9104" t="str">
        <f>"1551601288501959"</f>
        <v>1551601288501959</v>
      </c>
      <c r="C9104" t="s">
        <v>40</v>
      </c>
      <c r="D9104">
        <v>4.6195559999999896</v>
      </c>
      <c r="E9104">
        <v>0.47827890000000001</v>
      </c>
      <c r="F9104" t="s">
        <v>65</v>
      </c>
      <c r="G9104">
        <v>-157.9383</v>
      </c>
      <c r="H9104">
        <v>0.2131661</v>
      </c>
      <c r="I9104">
        <v>-53.703809999999997</v>
      </c>
      <c r="J9104">
        <v>-263.79849999999999</v>
      </c>
      <c r="K9104">
        <v>1.12405</v>
      </c>
      <c r="L9104">
        <v>-61.796750000000003</v>
      </c>
      <c r="M9104">
        <v>0.99451460000000003</v>
      </c>
      <c r="N9104">
        <v>-1.154199E-2</v>
      </c>
      <c r="O9104">
        <v>-0.1039598</v>
      </c>
      <c r="P9104">
        <v>0.99363670000000004</v>
      </c>
      <c r="Q9104">
        <v>0.1106063</v>
      </c>
      <c r="R9104">
        <v>2.1276440000000001E-2</v>
      </c>
      <c r="S9104">
        <v>3.017487</v>
      </c>
      <c r="T9104">
        <v>-2.5933379999999999E-2</v>
      </c>
      <c r="U9104">
        <v>0.230072</v>
      </c>
      <c r="V9104">
        <v>-0.1252973</v>
      </c>
      <c r="W9104">
        <v>0.12112589999999999</v>
      </c>
      <c r="X9104">
        <v>0.9846975</v>
      </c>
      <c r="Y9104">
        <v>-0.1792636</v>
      </c>
      <c r="Z9104">
        <v>1.4984830000000001E-3</v>
      </c>
      <c r="AA9104">
        <v>0.98379989999999995</v>
      </c>
      <c r="AB9104">
        <v>27</v>
      </c>
      <c r="AC9104">
        <v>105.86020000000001</v>
      </c>
      <c r="AD9104">
        <v>-0.91088389999999997</v>
      </c>
      <c r="AE9104">
        <v>8.0929400000000005</v>
      </c>
      <c r="AF9104">
        <v>-19.053617564275001</v>
      </c>
      <c r="AG9104">
        <v>-0.91088389999999997</v>
      </c>
      <c r="AH9104">
        <v>104.43743602675799</v>
      </c>
      <c r="AI9104">
        <v>90.491596560173207</v>
      </c>
      <c r="AJ9104">
        <v>100.339357634854</v>
      </c>
      <c r="AK9104">
        <v>106.165192486088</v>
      </c>
      <c r="AL9104">
        <v>83.042914312076206</v>
      </c>
      <c r="AM9104">
        <v>97.251600733714398</v>
      </c>
      <c r="AN9104">
        <v>1.00000003177217</v>
      </c>
    </row>
    <row r="9105" spans="1:40" x14ac:dyDescent="0.25">
      <c r="A9105" t="str">
        <f>"20190303162128518"</f>
        <v>20190303162128518</v>
      </c>
      <c r="B9105" t="str">
        <f>"1551601288511721"</f>
        <v>1551601288511721</v>
      </c>
      <c r="C9105" t="s">
        <v>40</v>
      </c>
      <c r="D9105">
        <v>4.4395499999999997</v>
      </c>
      <c r="E9105">
        <v>0.4782284</v>
      </c>
      <c r="F9105" t="s">
        <v>65</v>
      </c>
      <c r="G9105">
        <v>-157.9383</v>
      </c>
      <c r="H9105">
        <v>0.1557711</v>
      </c>
      <c r="I9105">
        <v>-53.6188</v>
      </c>
      <c r="J9105">
        <v>-263.6592</v>
      </c>
      <c r="K9105">
        <v>1.1240460000000001</v>
      </c>
      <c r="L9105">
        <v>-61.809139999999999</v>
      </c>
      <c r="M9105">
        <v>0.99472879999999997</v>
      </c>
      <c r="N9105">
        <v>-1.154314E-2</v>
      </c>
      <c r="O9105">
        <v>-0.1018888</v>
      </c>
      <c r="P9105">
        <v>0.99366750000000004</v>
      </c>
      <c r="Q9105">
        <v>0.11018849999999999</v>
      </c>
      <c r="R9105">
        <v>2.198522E-2</v>
      </c>
      <c r="S9105">
        <v>3.0173030000000001</v>
      </c>
      <c r="T9105">
        <v>-2.7599100000000001E-2</v>
      </c>
      <c r="U9105">
        <v>0.2330933</v>
      </c>
      <c r="V9105">
        <v>-0.12394819999999999</v>
      </c>
      <c r="W9105">
        <v>0.1207221</v>
      </c>
      <c r="X9105">
        <v>0.98491779999999995</v>
      </c>
      <c r="Y9105">
        <v>-0.17819760000000001</v>
      </c>
      <c r="Z9105">
        <v>1.599322E-3</v>
      </c>
      <c r="AA9105">
        <v>0.98399340000000002</v>
      </c>
      <c r="AB9105">
        <v>27</v>
      </c>
      <c r="AC9105">
        <v>105.7209</v>
      </c>
      <c r="AD9105">
        <v>-0.96827490000000005</v>
      </c>
      <c r="AE9105">
        <v>8.1903399999999902</v>
      </c>
      <c r="AF9105">
        <v>-18.918626175729699</v>
      </c>
      <c r="AG9105">
        <v>-0.96827490000000005</v>
      </c>
      <c r="AH9105">
        <v>104.327374507782</v>
      </c>
      <c r="AI9105">
        <v>90.523221055732407</v>
      </c>
      <c r="AJ9105">
        <v>100.278270041147</v>
      </c>
      <c r="AK9105">
        <v>106.03326385783799</v>
      </c>
      <c r="AL9105">
        <v>83.066221348309099</v>
      </c>
      <c r="AM9105">
        <v>97.172751303102402</v>
      </c>
      <c r="AN9105">
        <v>1.00000002723424</v>
      </c>
    </row>
    <row r="9106" spans="1:40" x14ac:dyDescent="0.25">
      <c r="A9106" t="str">
        <f>"20190303162128530"</f>
        <v>20190303162128530</v>
      </c>
      <c r="B9106" t="str">
        <f>"1551601288521480"</f>
        <v>1551601288521480</v>
      </c>
      <c r="C9106" t="s">
        <v>40</v>
      </c>
      <c r="D9106">
        <v>4.8435969999999999</v>
      </c>
      <c r="E9106">
        <v>0.4782284</v>
      </c>
      <c r="F9106" t="s">
        <v>65</v>
      </c>
      <c r="G9106">
        <v>-157.9383</v>
      </c>
      <c r="H9106">
        <v>0.1014422</v>
      </c>
      <c r="I9106">
        <v>-53.537649999999999</v>
      </c>
      <c r="J9106">
        <v>-263.53050000000002</v>
      </c>
      <c r="K9106">
        <v>1.124039</v>
      </c>
      <c r="L9106">
        <v>-61.820340000000002</v>
      </c>
      <c r="M9106">
        <v>0.99492259999999999</v>
      </c>
      <c r="N9106">
        <v>-1.15441E-2</v>
      </c>
      <c r="O9106">
        <v>-9.9980749999999993E-2</v>
      </c>
      <c r="P9106">
        <v>0.99364980000000003</v>
      </c>
      <c r="Q9106">
        <v>0.1101249</v>
      </c>
      <c r="R9106">
        <v>2.3086510000000001E-2</v>
      </c>
      <c r="S9106">
        <v>3.01709</v>
      </c>
      <c r="T9106">
        <v>-2.9183859999999999E-2</v>
      </c>
      <c r="U9106">
        <v>0.2360535</v>
      </c>
      <c r="V9106">
        <v>-0.1231488</v>
      </c>
      <c r="W9106">
        <v>0.1206677</v>
      </c>
      <c r="X9106">
        <v>0.98502469999999998</v>
      </c>
      <c r="Y9106">
        <v>-0.17727399999999999</v>
      </c>
      <c r="Z9106">
        <v>1.693469E-3</v>
      </c>
      <c r="AA9106">
        <v>0.98416009999999998</v>
      </c>
      <c r="AB9106">
        <v>27</v>
      </c>
      <c r="AC9106">
        <v>105.59220000000001</v>
      </c>
      <c r="AD9106">
        <v>-1.0225968000000001</v>
      </c>
      <c r="AE9106">
        <v>8.2826900000000006</v>
      </c>
      <c r="AF9106">
        <v>-18.797319600785698</v>
      </c>
      <c r="AG9106">
        <v>-1.0225968000000001</v>
      </c>
      <c r="AH9106">
        <v>104.225166415112</v>
      </c>
      <c r="AI9106">
        <v>90.553210250041005</v>
      </c>
      <c r="AJ9106">
        <v>100.223562209295</v>
      </c>
      <c r="AK9106">
        <v>105.911615239534</v>
      </c>
      <c r="AL9106">
        <v>83.069360933967303</v>
      </c>
      <c r="AM9106">
        <v>97.126202591529506</v>
      </c>
      <c r="AN9106">
        <v>0.99999999018740904</v>
      </c>
    </row>
    <row r="9107" spans="1:40" x14ac:dyDescent="0.25">
      <c r="A9107" t="str">
        <f>"20190303162128541"</f>
        <v>20190303162128541</v>
      </c>
      <c r="B9107" t="str">
        <f>"1551601288531240"</f>
        <v>1551601288531240</v>
      </c>
      <c r="C9107" t="s">
        <v>40</v>
      </c>
      <c r="D9107">
        <v>5.7103710000000003</v>
      </c>
      <c r="E9107">
        <v>0.49870940000000002</v>
      </c>
      <c r="F9107" t="s">
        <v>65</v>
      </c>
      <c r="G9107">
        <v>-157.9383</v>
      </c>
      <c r="H9107">
        <v>0.1037102</v>
      </c>
      <c r="I9107">
        <v>-53.423589999999997</v>
      </c>
      <c r="J9107">
        <v>-263.4015</v>
      </c>
      <c r="K9107">
        <v>1.1240270000000001</v>
      </c>
      <c r="L9107">
        <v>-61.831330000000001</v>
      </c>
      <c r="M9107">
        <v>0.995112</v>
      </c>
      <c r="N9107">
        <v>-1.154496E-2</v>
      </c>
      <c r="O9107">
        <v>-9.8075259999999997E-2</v>
      </c>
      <c r="P9107">
        <v>0.99367709999999998</v>
      </c>
      <c r="Q9107">
        <v>0.1097151</v>
      </c>
      <c r="R9107">
        <v>2.383658E-2</v>
      </c>
      <c r="S9107">
        <v>3.0168149999999998</v>
      </c>
      <c r="T9107">
        <v>-2.9151799999999999E-2</v>
      </c>
      <c r="U9107">
        <v>0.23989869999999999</v>
      </c>
      <c r="V9107">
        <v>-0.1220038</v>
      </c>
      <c r="W9107">
        <v>0.1202705</v>
      </c>
      <c r="X9107">
        <v>0.98521570000000003</v>
      </c>
      <c r="Y9107">
        <v>-0.1766431</v>
      </c>
      <c r="Z9107">
        <v>1.688635E-3</v>
      </c>
      <c r="AA9107">
        <v>0.98427359999999997</v>
      </c>
      <c r="AB9107">
        <v>27</v>
      </c>
      <c r="AC9107">
        <v>105.4632</v>
      </c>
      <c r="AD9107">
        <v>-1.0203168</v>
      </c>
      <c r="AE9107">
        <v>8.4077399999999898</v>
      </c>
      <c r="AF9107">
        <v>-18.709481230319302</v>
      </c>
      <c r="AG9107">
        <v>-1.0203168</v>
      </c>
      <c r="AH9107">
        <v>104.120363790824</v>
      </c>
      <c r="AI9107">
        <v>90.552596227422896</v>
      </c>
      <c r="AJ9107">
        <v>100.1868181272</v>
      </c>
      <c r="AK9107">
        <v>105.79289149188401</v>
      </c>
      <c r="AL9107">
        <v>83.092285484689398</v>
      </c>
      <c r="AM9107">
        <v>97.059262165293703</v>
      </c>
      <c r="AN9107">
        <v>0.999999947955588</v>
      </c>
    </row>
    <row r="9108" spans="1:40" x14ac:dyDescent="0.25">
      <c r="A9108" t="str">
        <f>"20190303162128552"</f>
        <v>20190303162128552</v>
      </c>
      <c r="B9108" t="str">
        <f>"1551601288541976"</f>
        <v>1551601288541976</v>
      </c>
      <c r="C9108" t="s">
        <v>40</v>
      </c>
      <c r="D9108">
        <v>4.8404259999999999</v>
      </c>
      <c r="E9108">
        <v>0.49870940000000002</v>
      </c>
      <c r="F9108" t="s">
        <v>89</v>
      </c>
      <c r="G9108">
        <v>-237.08930000000001</v>
      </c>
      <c r="H9108" s="1">
        <v>-2.2323499999999999E-6</v>
      </c>
      <c r="I9108">
        <v>-61.149990000000003</v>
      </c>
      <c r="J9108">
        <v>-263.2645</v>
      </c>
      <c r="K9108">
        <v>1.1240129999999999</v>
      </c>
      <c r="L9108">
        <v>-61.842739999999999</v>
      </c>
      <c r="M9108">
        <v>0.99530839999999998</v>
      </c>
      <c r="N9108">
        <v>-1.1545730000000001E-2</v>
      </c>
      <c r="O9108">
        <v>-9.6063209999999996E-2</v>
      </c>
      <c r="P9108">
        <v>0.99368999999999996</v>
      </c>
      <c r="Q9108">
        <v>0.1093493</v>
      </c>
      <c r="R9108">
        <v>2.4964389999999999E-2</v>
      </c>
      <c r="S9108">
        <v>3.0314939999999999</v>
      </c>
      <c r="T9108">
        <v>-0.12950239999999999</v>
      </c>
      <c r="U9108">
        <v>7.8491210000000006E-2</v>
      </c>
      <c r="V9108">
        <v>-0.1211277</v>
      </c>
      <c r="W9108">
        <v>0.11991640000000001</v>
      </c>
      <c r="X9108">
        <v>0.98536699999999999</v>
      </c>
      <c r="Y9108">
        <v>-0.1216136</v>
      </c>
      <c r="Z9108">
        <v>6.2867390000000004E-3</v>
      </c>
      <c r="AA9108">
        <v>0.99255760000000004</v>
      </c>
      <c r="AB9108">
        <v>27</v>
      </c>
      <c r="AC9108">
        <v>26.175199999999901</v>
      </c>
      <c r="AD9108">
        <v>-1.1240152323499999</v>
      </c>
      <c r="AE9108">
        <v>0.69274999999999598</v>
      </c>
      <c r="AF9108">
        <v>-3.1982932202630199</v>
      </c>
      <c r="AG9108">
        <v>-1.1240152323499999</v>
      </c>
      <c r="AH9108">
        <v>25.939777655614801</v>
      </c>
      <c r="AI9108">
        <v>92.462548492454602</v>
      </c>
      <c r="AJ9108">
        <v>97.028915020987</v>
      </c>
      <c r="AK9108">
        <v>26.160362279373501</v>
      </c>
      <c r="AL9108">
        <v>83.112722144087996</v>
      </c>
      <c r="AM9108">
        <v>97.008010641839704</v>
      </c>
      <c r="AN9108">
        <v>0.99999999369262405</v>
      </c>
    </row>
    <row r="9109" spans="1:40" x14ac:dyDescent="0.25">
      <c r="A9109" t="str">
        <f>"20190303162128563"</f>
        <v>20190303162128563</v>
      </c>
      <c r="B9109" t="str">
        <f>"1551601288551737"</f>
        <v>1551601288551737</v>
      </c>
      <c r="C9109" t="s">
        <v>40</v>
      </c>
      <c r="D9109">
        <v>4.7359710000000002</v>
      </c>
      <c r="E9109">
        <v>0.54323169999999898</v>
      </c>
      <c r="F9109" t="s">
        <v>89</v>
      </c>
      <c r="G9109">
        <v>-237.17939999999999</v>
      </c>
      <c r="H9109" s="1">
        <v>-2.2668360000000002E-6</v>
      </c>
      <c r="I9109">
        <v>-61.134430000000002</v>
      </c>
      <c r="J9109">
        <v>-263.1352</v>
      </c>
      <c r="K9109">
        <v>1.1240000000000001</v>
      </c>
      <c r="L9109">
        <v>-61.853299999999997</v>
      </c>
      <c r="M9109">
        <v>0.99548919999999996</v>
      </c>
      <c r="N9109">
        <v>-1.154639E-2</v>
      </c>
      <c r="O9109">
        <v>-9.4170970000000007E-2</v>
      </c>
      <c r="P9109">
        <v>0.99371600000000004</v>
      </c>
      <c r="Q9109">
        <v>0.108781</v>
      </c>
      <c r="R9109">
        <v>2.637341E-2</v>
      </c>
      <c r="S9109">
        <v>3.031342</v>
      </c>
      <c r="T9109">
        <v>-0.13062119999999999</v>
      </c>
      <c r="U9109">
        <v>8.2305909999999996E-2</v>
      </c>
      <c r="V9109">
        <v>-0.12064999999999999</v>
      </c>
      <c r="W9109">
        <v>0.1193564</v>
      </c>
      <c r="X9109">
        <v>0.98549359999999997</v>
      </c>
      <c r="Y9109">
        <v>-0.1209746</v>
      </c>
      <c r="Z9109">
        <v>6.2680280000000001E-3</v>
      </c>
      <c r="AA9109">
        <v>0.99263579999999996</v>
      </c>
      <c r="AB9109">
        <v>27</v>
      </c>
      <c r="AC9109">
        <v>25.9558</v>
      </c>
      <c r="AD9109">
        <v>-1.1240022668359999</v>
      </c>
      <c r="AE9109">
        <v>0.71886999999999501</v>
      </c>
      <c r="AF9109">
        <v>-3.1542099822754701</v>
      </c>
      <c r="AG9109">
        <v>-1.1240022668359999</v>
      </c>
      <c r="AH9109">
        <v>25.7245332189446</v>
      </c>
      <c r="AI9109">
        <v>92.483303914936101</v>
      </c>
      <c r="AJ9109">
        <v>96.9904209425099</v>
      </c>
      <c r="AK9109">
        <v>25.9415502821386</v>
      </c>
      <c r="AL9109">
        <v>83.145039966904406</v>
      </c>
      <c r="AM9109">
        <v>96.979757958189097</v>
      </c>
      <c r="AN9109">
        <v>1.00000000418096</v>
      </c>
    </row>
    <row r="9110" spans="1:40" x14ac:dyDescent="0.25">
      <c r="A9110" t="str">
        <f>"20190303162128575"</f>
        <v>20190303162128575</v>
      </c>
      <c r="B9110" t="str">
        <f>"1551601288562221"</f>
        <v>1551601288562221</v>
      </c>
      <c r="C9110" t="s">
        <v>40</v>
      </c>
      <c r="D9110">
        <v>4.7395110000000003</v>
      </c>
      <c r="E9110">
        <v>0.54736289999999999</v>
      </c>
      <c r="F9110" t="s">
        <v>42</v>
      </c>
      <c r="G9110">
        <v>-262.40929999999997</v>
      </c>
      <c r="H9110">
        <v>0.99460899999999997</v>
      </c>
      <c r="I9110">
        <v>-61.916849999999997</v>
      </c>
      <c r="J9110">
        <v>-262.99209999999999</v>
      </c>
      <c r="K9110">
        <v>1.1239859999999999</v>
      </c>
      <c r="L9110">
        <v>-61.86459</v>
      </c>
      <c r="M9110">
        <v>0.99568270000000003</v>
      </c>
      <c r="N9110">
        <v>-1.1548320000000001E-2</v>
      </c>
      <c r="O9110">
        <v>-9.2101740000000001E-2</v>
      </c>
      <c r="P9110">
        <v>0.99372859999999996</v>
      </c>
      <c r="Q9110">
        <v>0.108347</v>
      </c>
      <c r="R9110">
        <v>2.7645119999999999E-2</v>
      </c>
      <c r="S9110">
        <v>3.0863649999999998</v>
      </c>
      <c r="T9110">
        <v>-0.55015519999999996</v>
      </c>
      <c r="U9110">
        <v>-0.27020260000000001</v>
      </c>
      <c r="V9110">
        <v>-0.1198591</v>
      </c>
      <c r="W9110">
        <v>0.118936</v>
      </c>
      <c r="X9110">
        <v>0.98564090000000004</v>
      </c>
      <c r="Y9110">
        <v>-3.5999489999999999E-3</v>
      </c>
      <c r="Z9110">
        <v>1.5507699999999999E-2</v>
      </c>
      <c r="AA9110">
        <v>0.99987329999999996</v>
      </c>
      <c r="AB9110">
        <v>27</v>
      </c>
      <c r="AC9110">
        <v>0.58280000000001997</v>
      </c>
      <c r="AD9110">
        <v>-0.12937699999999999</v>
      </c>
      <c r="AE9110">
        <v>-5.2259999999996802E-2</v>
      </c>
      <c r="AF9110">
        <v>-1.56606476095997E-3</v>
      </c>
      <c r="AG9110">
        <v>-0.12937699999999999</v>
      </c>
      <c r="AH9110">
        <v>0.55786359335699698</v>
      </c>
      <c r="AI9110">
        <v>103.0568862226</v>
      </c>
      <c r="AJ9110">
        <v>90.160843379293198</v>
      </c>
      <c r="AK9110">
        <v>0.57267150224279295</v>
      </c>
      <c r="AL9110">
        <v>83.169299756151105</v>
      </c>
      <c r="AM9110">
        <v>96.933424086078304</v>
      </c>
      <c r="AN9110">
        <v>0.99999997985080902</v>
      </c>
    </row>
    <row r="9111" spans="1:40" x14ac:dyDescent="0.25">
      <c r="A9111" t="str">
        <f>"20190303162128586"</f>
        <v>20190303162128586</v>
      </c>
      <c r="B9111" t="str">
        <f>"1551601288581202"</f>
        <v>1551601288581202</v>
      </c>
      <c r="C9111" t="s">
        <v>40</v>
      </c>
      <c r="D9111">
        <v>4.809857</v>
      </c>
      <c r="E9111">
        <v>0.54881809999999998</v>
      </c>
      <c r="F9111" t="s">
        <v>42</v>
      </c>
      <c r="G9111">
        <v>-262.19319999999999</v>
      </c>
      <c r="H9111">
        <v>0.95351220000000003</v>
      </c>
      <c r="I9111">
        <v>-61.941879999999998</v>
      </c>
      <c r="J9111">
        <v>-262.86790000000002</v>
      </c>
      <c r="K9111">
        <v>1.1239669999999999</v>
      </c>
      <c r="L9111">
        <v>-61.87433</v>
      </c>
      <c r="M9111">
        <v>0.99584669999999997</v>
      </c>
      <c r="N9111">
        <v>-1.1550319999999999E-2</v>
      </c>
      <c r="O9111">
        <v>-9.0310500000000002E-2</v>
      </c>
      <c r="P9111">
        <v>0.99371290000000001</v>
      </c>
      <c r="Q9111">
        <v>0.1082033</v>
      </c>
      <c r="R9111">
        <v>2.875873E-2</v>
      </c>
      <c r="S9111">
        <v>3.0993650000000001</v>
      </c>
      <c r="T9111">
        <v>-0.66149279999999999</v>
      </c>
      <c r="U9111">
        <v>-0.29913329999999999</v>
      </c>
      <c r="V9111">
        <v>-0.1191856</v>
      </c>
      <c r="W9111">
        <v>0.1188044</v>
      </c>
      <c r="X9111">
        <v>0.98573849999999996</v>
      </c>
      <c r="Y9111">
        <v>7.3972339999999999E-3</v>
      </c>
      <c r="Z9111">
        <v>1.7123180000000002E-2</v>
      </c>
      <c r="AA9111">
        <v>0.99982599999999999</v>
      </c>
      <c r="AB9111">
        <v>27</v>
      </c>
      <c r="AC9111">
        <v>0.67470000000002905</v>
      </c>
      <c r="AD9111">
        <v>-0.17045479999999999</v>
      </c>
      <c r="AE9111">
        <v>-6.7549999999997098E-2</v>
      </c>
      <c r="AF9111">
        <v>5.9607012762315599E-3</v>
      </c>
      <c r="AG9111">
        <v>-0.17045479999999999</v>
      </c>
      <c r="AH9111">
        <v>0.63774289540965901</v>
      </c>
      <c r="AI9111">
        <v>104.963502272642</v>
      </c>
      <c r="AJ9111">
        <v>89.464497238455905</v>
      </c>
      <c r="AK9111">
        <v>0.66015632197854401</v>
      </c>
      <c r="AL9111">
        <v>83.176894146569097</v>
      </c>
      <c r="AM9111">
        <v>96.894164471840199</v>
      </c>
      <c r="AN9111">
        <v>1.0000000415444801</v>
      </c>
    </row>
    <row r="9112" spans="1:40" x14ac:dyDescent="0.25">
      <c r="A9112" t="str">
        <f>"20190303162128596"</f>
        <v>20190303162128596</v>
      </c>
      <c r="B9112" t="str">
        <f>"1551601288591938"</f>
        <v>1551601288591938</v>
      </c>
      <c r="C9112" t="s">
        <v>40</v>
      </c>
      <c r="D9112">
        <v>4.78857</v>
      </c>
      <c r="E9112">
        <v>0.54900400000000005</v>
      </c>
      <c r="F9112" t="s">
        <v>42</v>
      </c>
      <c r="G9112">
        <v>-261.983</v>
      </c>
      <c r="H9112">
        <v>0.89490059999999905</v>
      </c>
      <c r="I9112">
        <v>-61.961750000000002</v>
      </c>
      <c r="J9112">
        <v>-262.73579999999998</v>
      </c>
      <c r="K9112">
        <v>1.123945</v>
      </c>
      <c r="L9112">
        <v>-61.884250000000002</v>
      </c>
      <c r="M9112">
        <v>0.99601459999999997</v>
      </c>
      <c r="N9112">
        <v>-1.155399E-2</v>
      </c>
      <c r="O9112">
        <v>-8.8438589999999997E-2</v>
      </c>
      <c r="P9112">
        <v>0.99369960000000002</v>
      </c>
      <c r="Q9112">
        <v>0.108032</v>
      </c>
      <c r="R9112">
        <v>2.9838440000000001E-2</v>
      </c>
      <c r="S9112">
        <v>3.115723</v>
      </c>
      <c r="T9112">
        <v>-0.80668519999999999</v>
      </c>
      <c r="U9112">
        <v>-0.30722050000000001</v>
      </c>
      <c r="V9112">
        <v>-0.11839719999999999</v>
      </c>
      <c r="W9112">
        <v>0.11864909999999999</v>
      </c>
      <c r="X9112">
        <v>0.98585219999999996</v>
      </c>
      <c r="Y9112">
        <v>1.194216E-2</v>
      </c>
      <c r="Z9112">
        <v>1.9834279999999999E-2</v>
      </c>
      <c r="AA9112">
        <v>0.99973199999999995</v>
      </c>
      <c r="AB9112">
        <v>27</v>
      </c>
      <c r="AC9112">
        <v>0.75279999999997904</v>
      </c>
      <c r="AD9112">
        <v>-0.22904440000000001</v>
      </c>
      <c r="AE9112">
        <v>-7.7500000000000499E-2</v>
      </c>
      <c r="AF9112">
        <v>9.7244937491909305E-3</v>
      </c>
      <c r="AG9112">
        <v>-0.22904440000000001</v>
      </c>
      <c r="AH9112">
        <v>0.69320577700427999</v>
      </c>
      <c r="AI9112">
        <v>108.282562306161</v>
      </c>
      <c r="AJ9112">
        <v>89.196290736007398</v>
      </c>
      <c r="AK9112">
        <v>0.73013022963177299</v>
      </c>
      <c r="AL9112">
        <v>83.185855507176797</v>
      </c>
      <c r="AM9112">
        <v>96.848212519131707</v>
      </c>
      <c r="AN9112">
        <v>1.00000003307174</v>
      </c>
    </row>
    <row r="9113" spans="1:40" x14ac:dyDescent="0.25">
      <c r="A9113" t="str">
        <f>"20190303162128608"</f>
        <v>20190303162128608</v>
      </c>
      <c r="B9113" t="str">
        <f>"1551601288601698"</f>
        <v>1551601288601698</v>
      </c>
      <c r="C9113" t="s">
        <v>40</v>
      </c>
      <c r="D9113">
        <v>4.726928</v>
      </c>
      <c r="E9113">
        <v>0.5495333</v>
      </c>
      <c r="F9113" t="s">
        <v>42</v>
      </c>
      <c r="G9113">
        <v>-261.97309999999999</v>
      </c>
      <c r="H9113">
        <v>0.91719329999999999</v>
      </c>
      <c r="I9113">
        <v>-61.958869999999997</v>
      </c>
      <c r="J9113">
        <v>-262.60149999999999</v>
      </c>
      <c r="K9113">
        <v>1.1239269999999999</v>
      </c>
      <c r="L9113">
        <v>-61.89423</v>
      </c>
      <c r="M9113">
        <v>0.99618099999999998</v>
      </c>
      <c r="N9113">
        <v>-1.1557960000000001E-2</v>
      </c>
      <c r="O9113">
        <v>-8.6545709999999998E-2</v>
      </c>
      <c r="P9113">
        <v>0.99367930000000004</v>
      </c>
      <c r="Q9113">
        <v>0.1079374</v>
      </c>
      <c r="R9113">
        <v>3.0840610000000001E-2</v>
      </c>
      <c r="S9113">
        <v>3.1201479999999999</v>
      </c>
      <c r="T9113">
        <v>-0.84596489999999902</v>
      </c>
      <c r="U9113">
        <v>-0.30459589999999998</v>
      </c>
      <c r="V9113">
        <v>-0.117510199999999</v>
      </c>
      <c r="W9113">
        <v>0.11857189999999999</v>
      </c>
      <c r="X9113">
        <v>0.98596760000000006</v>
      </c>
      <c r="Y9113">
        <v>1.299412E-2</v>
      </c>
      <c r="Z9113">
        <v>2.0165300000000001E-2</v>
      </c>
      <c r="AA9113">
        <v>0.99971220000000005</v>
      </c>
      <c r="AB9113">
        <v>27</v>
      </c>
      <c r="AC9113">
        <v>0.62839999999999896</v>
      </c>
      <c r="AD9113">
        <v>-0.20673369999999999</v>
      </c>
      <c r="AE9113">
        <v>-6.4639999999989997E-2</v>
      </c>
      <c r="AF9113">
        <v>9.04029067330539E-3</v>
      </c>
      <c r="AG9113">
        <v>-0.20673369999999999</v>
      </c>
      <c r="AH9113">
        <v>0.57053383541022995</v>
      </c>
      <c r="AI9113">
        <v>109.91574858436999</v>
      </c>
      <c r="AJ9113">
        <v>89.092206060586804</v>
      </c>
      <c r="AK9113">
        <v>0.60690148040604996</v>
      </c>
      <c r="AL9113">
        <v>83.190310135014897</v>
      </c>
      <c r="AM9113">
        <v>96.796601244120794</v>
      </c>
      <c r="AN9113">
        <v>1.0000000254117001</v>
      </c>
    </row>
    <row r="9114" spans="1:40" x14ac:dyDescent="0.25">
      <c r="A9114" t="str">
        <f>"20190303162128619"</f>
        <v>20190303162128619</v>
      </c>
      <c r="B9114" t="str">
        <f>"1551601288611459"</f>
        <v>1551601288611459</v>
      </c>
      <c r="C9114" t="s">
        <v>40</v>
      </c>
      <c r="D9114">
        <v>4.7368739999999896</v>
      </c>
      <c r="E9114">
        <v>0.54996719999999999</v>
      </c>
      <c r="F9114" t="s">
        <v>42</v>
      </c>
      <c r="G9114">
        <v>-261.74930000000001</v>
      </c>
      <c r="H9114">
        <v>0.88671219999999995</v>
      </c>
      <c r="I9114">
        <v>-61.977670000000003</v>
      </c>
      <c r="J9114">
        <v>-262.4658</v>
      </c>
      <c r="K9114">
        <v>1.123899</v>
      </c>
      <c r="L9114">
        <v>-61.904020000000003</v>
      </c>
      <c r="M9114">
        <v>0.99634299999999998</v>
      </c>
      <c r="N9114">
        <v>-1.156248E-2</v>
      </c>
      <c r="O9114">
        <v>-8.4657979999999994E-2</v>
      </c>
      <c r="P9114">
        <v>0.99362329999999999</v>
      </c>
      <c r="Q9114">
        <v>0.1079442</v>
      </c>
      <c r="R9114">
        <v>3.2569170000000001E-2</v>
      </c>
      <c r="S9114">
        <v>3.122986</v>
      </c>
      <c r="T9114">
        <v>-0.86941270000000004</v>
      </c>
      <c r="U9114">
        <v>-0.30514530000000001</v>
      </c>
      <c r="V9114">
        <v>-0.1173491</v>
      </c>
      <c r="W9114">
        <v>0.1185927</v>
      </c>
      <c r="X9114">
        <v>0.98598430000000004</v>
      </c>
      <c r="Y9114">
        <v>1.496518E-2</v>
      </c>
      <c r="Z9114">
        <v>1.9942789999999998E-2</v>
      </c>
      <c r="AA9114">
        <v>0.9996891</v>
      </c>
      <c r="AB9114">
        <v>27</v>
      </c>
      <c r="AC9114">
        <v>0.71649999999999603</v>
      </c>
      <c r="AD9114">
        <v>-0.2371868</v>
      </c>
      <c r="AE9114">
        <v>-7.3650000000000604E-2</v>
      </c>
      <c r="AF9114">
        <v>1.14792732060811E-2</v>
      </c>
      <c r="AG9114">
        <v>-0.2371868</v>
      </c>
      <c r="AH9114">
        <v>0.64970936784745903</v>
      </c>
      <c r="AI9114">
        <v>110.05253880042601</v>
      </c>
      <c r="AJ9114">
        <v>88.987785135121896</v>
      </c>
      <c r="AK9114">
        <v>0.69174533932389004</v>
      </c>
      <c r="AL9114">
        <v>83.189110012844793</v>
      </c>
      <c r="AM9114">
        <v>96.787256577696098</v>
      </c>
      <c r="AN9114">
        <v>1.00000003980529</v>
      </c>
    </row>
    <row r="9115" spans="1:40" x14ac:dyDescent="0.25">
      <c r="A9115" t="str">
        <f>"20190303162128631"</f>
        <v>20190303162128631</v>
      </c>
      <c r="B9115" t="str">
        <f>"1551601288621218"</f>
        <v>1551601288621218</v>
      </c>
      <c r="C9115" t="s">
        <v>40</v>
      </c>
      <c r="D9115">
        <v>4.7447530000000002</v>
      </c>
      <c r="E9115">
        <v>0.55028619999999995</v>
      </c>
      <c r="F9115" t="s">
        <v>42</v>
      </c>
      <c r="G9115">
        <v>-261.73570000000001</v>
      </c>
      <c r="H9115">
        <v>0.91776539999999995</v>
      </c>
      <c r="I9115">
        <v>-61.97495</v>
      </c>
      <c r="J9115">
        <v>-262.32330000000002</v>
      </c>
      <c r="K9115">
        <v>1.1238680000000001</v>
      </c>
      <c r="L9115">
        <v>-61.914029999999997</v>
      </c>
      <c r="M9115">
        <v>0.99650720000000004</v>
      </c>
      <c r="N9115">
        <v>-1.1567330000000001E-2</v>
      </c>
      <c r="O9115">
        <v>-8.2702579999999998E-2</v>
      </c>
      <c r="P9115">
        <v>0.99357320000000005</v>
      </c>
      <c r="Q9115">
        <v>0.10783139999999899</v>
      </c>
      <c r="R9115">
        <v>3.4420579999999999E-2</v>
      </c>
      <c r="S9115">
        <v>3.125092</v>
      </c>
      <c r="T9115">
        <v>-0.88251819999999903</v>
      </c>
      <c r="U9115">
        <v>-0.30288700000000002</v>
      </c>
      <c r="V9115">
        <v>-0.117242899999999</v>
      </c>
      <c r="W9115">
        <v>0.11849419999999999</v>
      </c>
      <c r="X9115">
        <v>0.98600880000000002</v>
      </c>
      <c r="Y9115">
        <v>1.6102180000000001E-2</v>
      </c>
      <c r="Z9115">
        <v>1.955513E-2</v>
      </c>
      <c r="AA9115">
        <v>0.99967910000000004</v>
      </c>
      <c r="AB9115">
        <v>27</v>
      </c>
      <c r="AC9115">
        <v>0.587600000000009</v>
      </c>
      <c r="AD9115">
        <v>-0.2061026</v>
      </c>
      <c r="AE9115">
        <v>-6.0919999999995797E-2</v>
      </c>
      <c r="AF9115">
        <v>1.0797701379088099E-2</v>
      </c>
      <c r="AG9115">
        <v>-0.2061026</v>
      </c>
      <c r="AH9115">
        <v>0.52653568900807302</v>
      </c>
      <c r="AI9115">
        <v>111.372846667163</v>
      </c>
      <c r="AJ9115">
        <v>88.825196414647095</v>
      </c>
      <c r="AK9115">
        <v>0.56553930356876003</v>
      </c>
      <c r="AL9115">
        <v>83.194793884530498</v>
      </c>
      <c r="AM9115">
        <v>96.781004462872204</v>
      </c>
      <c r="AN9115">
        <v>1.00000006335574</v>
      </c>
    </row>
    <row r="9116" spans="1:40" x14ac:dyDescent="0.25">
      <c r="A9116" t="str">
        <f>"20190303162128643"</f>
        <v>20190303162128643</v>
      </c>
      <c r="B9116" t="str">
        <f>"1551601288631954"</f>
        <v>1551601288631954</v>
      </c>
      <c r="C9116" t="s">
        <v>40</v>
      </c>
      <c r="D9116">
        <v>4.7366140000000003</v>
      </c>
      <c r="E9116">
        <v>0.55053680000000005</v>
      </c>
      <c r="F9116" t="s">
        <v>42</v>
      </c>
      <c r="G9116">
        <v>-261.50990000000002</v>
      </c>
      <c r="H9116">
        <v>0.891599699999999</v>
      </c>
      <c r="I9116">
        <v>-61.992080000000001</v>
      </c>
      <c r="J9116">
        <v>-262.17809999999997</v>
      </c>
      <c r="K9116">
        <v>1.123826</v>
      </c>
      <c r="L9116">
        <v>-61.924069999999901</v>
      </c>
      <c r="M9116">
        <v>0.99666880000000002</v>
      </c>
      <c r="N9116">
        <v>-1.157241E-2</v>
      </c>
      <c r="O9116">
        <v>-8.0731339999999999E-2</v>
      </c>
      <c r="P9116">
        <v>0.99354690000000001</v>
      </c>
      <c r="Q9116">
        <v>0.10726280000000001</v>
      </c>
      <c r="R9116">
        <v>3.687029E-2</v>
      </c>
      <c r="S9116">
        <v>3.126709</v>
      </c>
      <c r="T9116">
        <v>-0.89285159999999997</v>
      </c>
      <c r="U9116">
        <v>-0.29986570000000001</v>
      </c>
      <c r="V9116">
        <v>-0.11771570000000001</v>
      </c>
      <c r="W9116">
        <v>0.117937899999999</v>
      </c>
      <c r="X9116">
        <v>0.98601910000000004</v>
      </c>
      <c r="Y9116">
        <v>1.701801E-2</v>
      </c>
      <c r="Z9116">
        <v>1.9118619999999999E-2</v>
      </c>
      <c r="AA9116">
        <v>0.99967240000000002</v>
      </c>
      <c r="AB9116">
        <v>27</v>
      </c>
      <c r="AC9116">
        <v>0.66819999999995605</v>
      </c>
      <c r="AD9116">
        <v>-0.2322263</v>
      </c>
      <c r="AE9116">
        <v>-6.8010000000008106E-2</v>
      </c>
      <c r="AF9116">
        <v>1.2361879607783699E-2</v>
      </c>
      <c r="AG9116">
        <v>-0.2322263</v>
      </c>
      <c r="AH9116">
        <v>0.599805380322598</v>
      </c>
      <c r="AI9116">
        <v>111.160783550083</v>
      </c>
      <c r="AJ9116">
        <v>88.819311575769603</v>
      </c>
      <c r="AK9116">
        <v>0.64331047305563405</v>
      </c>
      <c r="AL9116">
        <v>83.226892172916394</v>
      </c>
      <c r="AM9116">
        <v>96.808023293617296</v>
      </c>
      <c r="AN9116">
        <v>0.99999999992385502</v>
      </c>
    </row>
    <row r="9117" spans="1:40" x14ac:dyDescent="0.25">
      <c r="A9117" t="str">
        <f>"20190303162128655"</f>
        <v>20190303162128655</v>
      </c>
      <c r="B9117" t="str">
        <f>"1551601288641714"</f>
        <v>1551601288641714</v>
      </c>
      <c r="C9117" t="s">
        <v>40</v>
      </c>
      <c r="D9117">
        <v>4.7236659999999997</v>
      </c>
      <c r="E9117">
        <v>0.55092350000000001</v>
      </c>
      <c r="F9117" t="s">
        <v>42</v>
      </c>
      <c r="G9117">
        <v>-261.49430000000001</v>
      </c>
      <c r="H9117">
        <v>0.9266953</v>
      </c>
      <c r="I9117">
        <v>-61.988590000000002</v>
      </c>
      <c r="J9117">
        <v>-262.04079999999999</v>
      </c>
      <c r="K9117">
        <v>1.123788</v>
      </c>
      <c r="L9117">
        <v>-61.933199999999999</v>
      </c>
      <c r="M9117">
        <v>0.99681390000000003</v>
      </c>
      <c r="N9117">
        <v>-1.1576589999999999E-2</v>
      </c>
      <c r="O9117">
        <v>-7.8916650000000005E-2</v>
      </c>
      <c r="P9117">
        <v>0.99352410000000002</v>
      </c>
      <c r="Q9117">
        <v>0.1065965</v>
      </c>
      <c r="R9117">
        <v>3.9333939999999998E-2</v>
      </c>
      <c r="S9117">
        <v>3.127777</v>
      </c>
      <c r="T9117">
        <v>-0.90169299999999997</v>
      </c>
      <c r="U9117">
        <v>-0.29492190000000001</v>
      </c>
      <c r="V9117">
        <v>-0.1183573</v>
      </c>
      <c r="W9117">
        <v>0.1172825</v>
      </c>
      <c r="X9117">
        <v>0.98602040000000002</v>
      </c>
      <c r="Y9117">
        <v>1.7210050000000001E-2</v>
      </c>
      <c r="Z9117">
        <v>1.8788320000000001E-2</v>
      </c>
      <c r="AA9117">
        <v>0.99967530000000004</v>
      </c>
      <c r="AB9117">
        <v>27</v>
      </c>
      <c r="AC9117">
        <v>0.54649999999998</v>
      </c>
      <c r="AD9117">
        <v>-0.19709269999999901</v>
      </c>
      <c r="AE9117">
        <v>-5.5390000000002701E-2</v>
      </c>
      <c r="AF9117">
        <v>1.0707830274288699E-2</v>
      </c>
      <c r="AG9117">
        <v>-0.19709269999999901</v>
      </c>
      <c r="AH9117">
        <v>0.48652975535309101</v>
      </c>
      <c r="AI9117">
        <v>112.04799124589201</v>
      </c>
      <c r="AJ9117">
        <v>88.739204648695704</v>
      </c>
      <c r="AK9117">
        <v>0.52504418182321699</v>
      </c>
      <c r="AL9117">
        <v>83.264705805492596</v>
      </c>
      <c r="AM9117">
        <v>96.844769839383503</v>
      </c>
      <c r="AN9117">
        <v>0.999999932242847</v>
      </c>
    </row>
    <row r="9118" spans="1:40" x14ac:dyDescent="0.25">
      <c r="A9118" t="str">
        <f>"20190303162128666"</f>
        <v>20190303162128666</v>
      </c>
      <c r="B9118" t="str">
        <f>"1551601288651474"</f>
        <v>1551601288651474</v>
      </c>
      <c r="C9118" t="s">
        <v>40</v>
      </c>
      <c r="D9118">
        <v>4.7260460000000002</v>
      </c>
      <c r="E9118">
        <v>0.55116980000000004</v>
      </c>
      <c r="F9118" t="s">
        <v>42</v>
      </c>
      <c r="G9118">
        <v>-261.26870000000002</v>
      </c>
      <c r="H9118">
        <v>0.90019119999999997</v>
      </c>
      <c r="I9118">
        <v>-62.005249999999997</v>
      </c>
      <c r="J9118">
        <v>-261.92039999999997</v>
      </c>
      <c r="K9118">
        <v>1.1237539999999999</v>
      </c>
      <c r="L9118">
        <v>-61.941160000000004</v>
      </c>
      <c r="M9118">
        <v>0.9969382</v>
      </c>
      <c r="N9118">
        <v>-1.158028E-2</v>
      </c>
      <c r="O9118">
        <v>-7.7333089999999993E-2</v>
      </c>
      <c r="P9118">
        <v>0.99346109999999999</v>
      </c>
      <c r="Q9118">
        <v>0.10628600000000001</v>
      </c>
      <c r="R9118">
        <v>4.1695360000000001E-2</v>
      </c>
      <c r="S9118">
        <v>3.1282649999999999</v>
      </c>
      <c r="T9118">
        <v>-0.90599779999999996</v>
      </c>
      <c r="U9118">
        <v>-0.291626</v>
      </c>
      <c r="V9118">
        <v>-0.1191256</v>
      </c>
      <c r="W9118">
        <v>0.116980399999999</v>
      </c>
      <c r="X9118">
        <v>0.98596379999999995</v>
      </c>
      <c r="Y9118">
        <v>1.768221E-2</v>
      </c>
      <c r="Z9118">
        <v>1.8378780000000001E-2</v>
      </c>
      <c r="AA9118">
        <v>0.99967470000000003</v>
      </c>
      <c r="AB9118">
        <v>27</v>
      </c>
      <c r="AC9118">
        <v>0.65169999999994799</v>
      </c>
      <c r="AD9118">
        <v>-0.22356280000000001</v>
      </c>
      <c r="AE9118">
        <v>-6.4090000000000202E-2</v>
      </c>
      <c r="AF9118">
        <v>1.2087824782236E-2</v>
      </c>
      <c r="AG9118">
        <v>-0.22356280000000001</v>
      </c>
      <c r="AH9118">
        <v>0.58636238808657803</v>
      </c>
      <c r="AI9118">
        <v>110.86633192787301</v>
      </c>
      <c r="AJ9118">
        <v>88.819018285427305</v>
      </c>
      <c r="AK9118">
        <v>0.62765220561581803</v>
      </c>
      <c r="AL9118">
        <v>83.282135082148102</v>
      </c>
      <c r="AM9118">
        <v>96.889167765131603</v>
      </c>
      <c r="AN9118">
        <v>0.99999996873497898</v>
      </c>
    </row>
    <row r="9119" spans="1:40" x14ac:dyDescent="0.25">
      <c r="A9119" t="str">
        <f>"20190303162128674"</f>
        <v>20190303162128674</v>
      </c>
      <c r="B9119" t="str">
        <f>"1551601288661235"</f>
        <v>1551601288661235</v>
      </c>
      <c r="C9119" t="s">
        <v>40</v>
      </c>
      <c r="D9119">
        <v>4.7245720000000002</v>
      </c>
      <c r="E9119">
        <v>0.5514057</v>
      </c>
      <c r="F9119" t="s">
        <v>42</v>
      </c>
      <c r="G9119">
        <v>-261.04450000000003</v>
      </c>
      <c r="H9119">
        <v>0.86922559999999904</v>
      </c>
      <c r="I9119">
        <v>-62.021560000000001</v>
      </c>
      <c r="J9119">
        <v>-261.80950000000001</v>
      </c>
      <c r="K9119">
        <v>1.1237159999999999</v>
      </c>
      <c r="L9119">
        <v>-61.948180000000001</v>
      </c>
      <c r="M9119">
        <v>0.99704630000000005</v>
      </c>
      <c r="N9119">
        <v>-1.158322E-2</v>
      </c>
      <c r="O9119">
        <v>-7.5923950000000004E-2</v>
      </c>
      <c r="P9119">
        <v>0.99333780000000005</v>
      </c>
      <c r="Q9119">
        <v>0.1064411</v>
      </c>
      <c r="R9119">
        <v>4.4162420000000001E-2</v>
      </c>
      <c r="S9119">
        <v>3.1290589999999998</v>
      </c>
      <c r="T9119">
        <v>-0.90924740000000004</v>
      </c>
      <c r="U9119">
        <v>-0.28701779999999999</v>
      </c>
      <c r="V9119">
        <v>-0.1201702</v>
      </c>
      <c r="W9119">
        <v>0.11714189999999999</v>
      </c>
      <c r="X9119">
        <v>0.98581790000000002</v>
      </c>
      <c r="Y9119">
        <v>1.7579029999999999E-2</v>
      </c>
      <c r="Z9119">
        <v>1.8074650000000001E-2</v>
      </c>
      <c r="AA9119">
        <v>0.99968210000000002</v>
      </c>
      <c r="AB9119">
        <v>27</v>
      </c>
      <c r="AC9119">
        <v>0.76499999999998602</v>
      </c>
      <c r="AD9119">
        <v>-0.25449040000000001</v>
      </c>
      <c r="AE9119">
        <v>-7.3379999999993104E-2</v>
      </c>
      <c r="AF9119">
        <v>1.35919727321784E-2</v>
      </c>
      <c r="AG9119">
        <v>-0.25449040000000001</v>
      </c>
      <c r="AH9119">
        <v>0.69243221342195904</v>
      </c>
      <c r="AI9119">
        <v>110.17637871302701</v>
      </c>
      <c r="AJ9119">
        <v>88.875467288911295</v>
      </c>
      <c r="AK9119">
        <v>0.73784312397646301</v>
      </c>
      <c r="AL9119">
        <v>83.272818079161695</v>
      </c>
      <c r="AM9119">
        <v>96.950008409345401</v>
      </c>
      <c r="AN9119">
        <v>1.00000001683203</v>
      </c>
    </row>
    <row r="9120" spans="1:40" x14ac:dyDescent="0.25">
      <c r="A9120" t="str">
        <f>"20190303162128686"</f>
        <v>20190303162128686</v>
      </c>
      <c r="B9120" t="str">
        <f>"1551601288681729"</f>
        <v>1551601288681729</v>
      </c>
      <c r="C9120" t="s">
        <v>40</v>
      </c>
      <c r="D9120">
        <v>4.7502649999999997</v>
      </c>
      <c r="E9120">
        <v>0.55173719999999904</v>
      </c>
      <c r="F9120" t="s">
        <v>42</v>
      </c>
      <c r="G9120">
        <v>-261.03210000000001</v>
      </c>
      <c r="H9120">
        <v>0.897611099999999</v>
      </c>
      <c r="I9120">
        <v>-62.018210000000003</v>
      </c>
      <c r="J9120">
        <v>-261.67180000000002</v>
      </c>
      <c r="K9120">
        <v>1.1236710000000001</v>
      </c>
      <c r="L9120">
        <v>-61.956879999999998</v>
      </c>
      <c r="M9120">
        <v>0.99717750000000005</v>
      </c>
      <c r="N9120">
        <v>-1.158694E-2</v>
      </c>
      <c r="O9120">
        <v>-7.4182289999999998E-2</v>
      </c>
      <c r="P9120">
        <v>0.99318249999999997</v>
      </c>
      <c r="Q9120">
        <v>0.1068046</v>
      </c>
      <c r="R9120">
        <v>4.6705610000000002E-2</v>
      </c>
      <c r="S9120">
        <v>3.130188</v>
      </c>
      <c r="T9120">
        <v>-0.91041950000000005</v>
      </c>
      <c r="U9120">
        <v>-0.2817383</v>
      </c>
      <c r="V9120">
        <v>-0.1209592</v>
      </c>
      <c r="W9120">
        <v>0.11751689999999999</v>
      </c>
      <c r="X9120">
        <v>0.98567680000000002</v>
      </c>
      <c r="Y9120">
        <v>1.7560119999999999E-2</v>
      </c>
      <c r="Z9120">
        <v>1.7622209999999999E-2</v>
      </c>
      <c r="AA9120">
        <v>0.99969050000000004</v>
      </c>
      <c r="AB9120">
        <v>27</v>
      </c>
      <c r="AC9120">
        <v>0.63970000000000404</v>
      </c>
      <c r="AD9120">
        <v>-0.22605990000000001</v>
      </c>
      <c r="AE9120">
        <v>-6.1329999999990899E-2</v>
      </c>
      <c r="AF9120">
        <v>1.21944280946772E-2</v>
      </c>
      <c r="AG9120">
        <v>-0.22605990000000001</v>
      </c>
      <c r="AH9120">
        <v>0.57173845754609198</v>
      </c>
      <c r="AI9120">
        <v>111.568912053242</v>
      </c>
      <c r="AJ9120">
        <v>88.7781417612387</v>
      </c>
      <c r="AK9120">
        <v>0.61492816352948998</v>
      </c>
      <c r="AL9120">
        <v>83.251182965988605</v>
      </c>
      <c r="AM9120">
        <v>96.996180787291394</v>
      </c>
      <c r="AN9120">
        <v>1.00000005195424</v>
      </c>
    </row>
    <row r="9121" spans="1:40" x14ac:dyDescent="0.25">
      <c r="A9121" t="str">
        <f>"20190303162128696"</f>
        <v>20190303162128696</v>
      </c>
      <c r="B9121" t="str">
        <f>"1551601288691490"</f>
        <v>1551601288691490</v>
      </c>
      <c r="C9121" t="s">
        <v>40</v>
      </c>
      <c r="D9121">
        <v>4.7657819999999997</v>
      </c>
      <c r="E9121">
        <v>0.55187059999999999</v>
      </c>
      <c r="F9121" t="s">
        <v>42</v>
      </c>
      <c r="G9121">
        <v>-260.8057</v>
      </c>
      <c r="H9121">
        <v>0.87130110000000005</v>
      </c>
      <c r="I9121">
        <v>-62.033549999999998</v>
      </c>
      <c r="J9121">
        <v>-261.54379999999998</v>
      </c>
      <c r="K9121">
        <v>1.123624</v>
      </c>
      <c r="L9121">
        <v>-61.964660000000002</v>
      </c>
      <c r="M9121">
        <v>0.99729250000000003</v>
      </c>
      <c r="N9121">
        <v>-1.15897E-2</v>
      </c>
      <c r="O9121">
        <v>-7.2618150000000006E-2</v>
      </c>
      <c r="P9121">
        <v>0.99298690000000001</v>
      </c>
      <c r="Q9121">
        <v>0.1074939</v>
      </c>
      <c r="R9121">
        <v>4.9219359999999997E-2</v>
      </c>
      <c r="S9121">
        <v>3.1317439999999999</v>
      </c>
      <c r="T9121">
        <v>-0.91273079999999995</v>
      </c>
      <c r="U9121">
        <v>-0.2766113</v>
      </c>
      <c r="V9121">
        <v>-0.12189419999999999</v>
      </c>
      <c r="W9121">
        <v>0.1182154</v>
      </c>
      <c r="X9121">
        <v>0.98547799999999997</v>
      </c>
      <c r="Y9121">
        <v>1.741649E-2</v>
      </c>
      <c r="Z9121">
        <v>1.7255010000000001E-2</v>
      </c>
      <c r="AA9121">
        <v>0.99969940000000002</v>
      </c>
      <c r="AB9121">
        <v>27</v>
      </c>
      <c r="AC9121">
        <v>0.738099999999974</v>
      </c>
      <c r="AD9121">
        <v>-0.25232289999999902</v>
      </c>
      <c r="AE9121">
        <v>-6.8890000000003199E-2</v>
      </c>
      <c r="AF9121">
        <v>1.35367349515096E-2</v>
      </c>
      <c r="AG9121">
        <v>-0.25232289999999902</v>
      </c>
      <c r="AH9121">
        <v>0.66420260232275896</v>
      </c>
      <c r="AI9121">
        <v>110.797256968932</v>
      </c>
      <c r="AJ9121">
        <v>88.832448983864694</v>
      </c>
      <c r="AK9121">
        <v>0.71064420492246505</v>
      </c>
      <c r="AL9121">
        <v>83.210880466808604</v>
      </c>
      <c r="AM9121">
        <v>97.051126136520296</v>
      </c>
      <c r="AN9121">
        <v>0.99999998263739898</v>
      </c>
    </row>
    <row r="9122" spans="1:40" x14ac:dyDescent="0.25">
      <c r="A9122" t="str">
        <f>"20190303162128708"</f>
        <v>20190303162128708</v>
      </c>
      <c r="B9122" t="str">
        <f>"1551601288702226"</f>
        <v>1551601288702226</v>
      </c>
      <c r="C9122" t="s">
        <v>40</v>
      </c>
      <c r="D9122">
        <v>4.7580479999999996</v>
      </c>
      <c r="E9122">
        <v>0.55200959999999999</v>
      </c>
      <c r="F9122" t="s">
        <v>42</v>
      </c>
      <c r="G9122">
        <v>-260.7912</v>
      </c>
      <c r="H9122">
        <v>0.90476699999999999</v>
      </c>
      <c r="I9122">
        <v>-62.0297699999999</v>
      </c>
      <c r="J9122">
        <v>-261.41140000000001</v>
      </c>
      <c r="K9122">
        <v>1.1235809999999999</v>
      </c>
      <c r="L9122">
        <v>-61.97269</v>
      </c>
      <c r="M9122">
        <v>0.99740759999999995</v>
      </c>
      <c r="N9122">
        <v>-1.1592470000000001E-2</v>
      </c>
      <c r="O9122">
        <v>-7.1019570000000004E-2</v>
      </c>
      <c r="P9122">
        <v>0.99280400000000002</v>
      </c>
      <c r="Q9122">
        <v>0.10794860000000001</v>
      </c>
      <c r="R9122">
        <v>5.1842069999999997E-2</v>
      </c>
      <c r="S9122">
        <v>3.13327</v>
      </c>
      <c r="T9122">
        <v>-0.91121949999999996</v>
      </c>
      <c r="U9122">
        <v>-0.27032469999999997</v>
      </c>
      <c r="V9122">
        <v>-0.1229027</v>
      </c>
      <c r="W9122">
        <v>0.1186803</v>
      </c>
      <c r="X9122">
        <v>0.98529679999999997</v>
      </c>
      <c r="Y9122">
        <v>1.6937520000000001E-2</v>
      </c>
      <c r="Z9122">
        <v>1.6855249999999999E-2</v>
      </c>
      <c r="AA9122">
        <v>0.99971449999999995</v>
      </c>
      <c r="AB9122">
        <v>27</v>
      </c>
      <c r="AC9122">
        <v>0.62020000000001096</v>
      </c>
      <c r="AD9122">
        <v>-0.21881399999999901</v>
      </c>
      <c r="AE9122">
        <v>-5.7079999999991998E-2</v>
      </c>
      <c r="AF9122">
        <v>1.14707144495888E-2</v>
      </c>
      <c r="AG9122">
        <v>-0.21881399999999901</v>
      </c>
      <c r="AH9122">
        <v>0.55427339908183304</v>
      </c>
      <c r="AI9122">
        <v>111.538742364946</v>
      </c>
      <c r="AJ9122">
        <v>88.814430342811093</v>
      </c>
      <c r="AK9122">
        <v>0.59601186633800596</v>
      </c>
      <c r="AL9122">
        <v>83.184054491393795</v>
      </c>
      <c r="AM9122">
        <v>97.110163621444997</v>
      </c>
      <c r="AN9122">
        <v>0.99999993568280798</v>
      </c>
    </row>
    <row r="9123" spans="1:40" x14ac:dyDescent="0.25">
      <c r="A9123" t="str">
        <f>"20190303162128717"</f>
        <v>20190303162128717</v>
      </c>
      <c r="B9123" t="str">
        <f>"1551601288711985"</f>
        <v>1551601288711985</v>
      </c>
      <c r="C9123" t="s">
        <v>40</v>
      </c>
      <c r="D9123">
        <v>4.8142189999999996</v>
      </c>
      <c r="E9123">
        <v>0.55210709999999996</v>
      </c>
      <c r="F9123" t="s">
        <v>42</v>
      </c>
      <c r="G9123">
        <v>-260.56479999999999</v>
      </c>
      <c r="H9123">
        <v>0.87791849999999905</v>
      </c>
      <c r="I9123">
        <v>-62.044029999999999</v>
      </c>
      <c r="J9123">
        <v>-261.2869</v>
      </c>
      <c r="K9123">
        <v>1.1235329999999999</v>
      </c>
      <c r="L9123">
        <v>-61.979979999999998</v>
      </c>
      <c r="M9123">
        <v>0.99751040000000002</v>
      </c>
      <c r="N9123">
        <v>-1.159458E-2</v>
      </c>
      <c r="O9123">
        <v>-6.9559280000000001E-2</v>
      </c>
      <c r="P9123">
        <v>0.99261080000000002</v>
      </c>
      <c r="Q9123">
        <v>0.10836229999999999</v>
      </c>
      <c r="R9123">
        <v>5.4604729999999997E-2</v>
      </c>
      <c r="S9123">
        <v>3.1344910000000001</v>
      </c>
      <c r="T9123">
        <v>-0.9095472</v>
      </c>
      <c r="U9123">
        <v>-0.26400759999999901</v>
      </c>
      <c r="V9123">
        <v>-0.1241883</v>
      </c>
      <c r="W9123">
        <v>0.1191012</v>
      </c>
      <c r="X9123">
        <v>0.98508479999999998</v>
      </c>
      <c r="Y9123">
        <v>1.6330150000000002E-2</v>
      </c>
      <c r="Z9123">
        <v>1.651217E-2</v>
      </c>
      <c r="AA9123">
        <v>0.99973029999999996</v>
      </c>
      <c r="AB9123">
        <v>27</v>
      </c>
      <c r="AC9123">
        <v>0.72210000000001096</v>
      </c>
      <c r="AD9123">
        <v>-0.24561450000000001</v>
      </c>
      <c r="AE9123">
        <v>-6.4050000000001703E-2</v>
      </c>
      <c r="AF9123">
        <v>1.2255837660740201E-2</v>
      </c>
      <c r="AG9123">
        <v>-0.24561450000000001</v>
      </c>
      <c r="AH9123">
        <v>0.65017204057904598</v>
      </c>
      <c r="AI9123">
        <v>110.691619883908</v>
      </c>
      <c r="AJ9123">
        <v>88.920094106013806</v>
      </c>
      <c r="AK9123">
        <v>0.69512615439050895</v>
      </c>
      <c r="AL9123">
        <v>83.159766503078501</v>
      </c>
      <c r="AM9123">
        <v>97.185294924024603</v>
      </c>
      <c r="AN9123">
        <v>0.99999994644468304</v>
      </c>
    </row>
    <row r="9124" spans="1:40" x14ac:dyDescent="0.25">
      <c r="A9124" t="str">
        <f>"20190303162128730"</f>
        <v>20190303162128730</v>
      </c>
      <c r="B9124" t="str">
        <f>"1551601288721746"</f>
        <v>1551601288721746</v>
      </c>
      <c r="C9124" t="s">
        <v>40</v>
      </c>
      <c r="D9124">
        <v>4.8359209999999999</v>
      </c>
      <c r="E9124">
        <v>0.55218769999999995</v>
      </c>
      <c r="F9124" t="s">
        <v>42</v>
      </c>
      <c r="G9124">
        <v>-260.55079999999998</v>
      </c>
      <c r="H9124">
        <v>0.90992989999999996</v>
      </c>
      <c r="I9124">
        <v>-62.040349999999997</v>
      </c>
      <c r="J9124">
        <v>-261.15370000000001</v>
      </c>
      <c r="K9124">
        <v>1.1234759999999999</v>
      </c>
      <c r="L9124">
        <v>-61.987639999999999</v>
      </c>
      <c r="M9124">
        <v>0.99761569999999999</v>
      </c>
      <c r="N9124">
        <v>-1.159664E-2</v>
      </c>
      <c r="O9124">
        <v>-6.8033609999999994E-2</v>
      </c>
      <c r="P9124">
        <v>0.99246869999999998</v>
      </c>
      <c r="Q9124">
        <v>0.1082309</v>
      </c>
      <c r="R9124">
        <v>5.7375809999999999E-2</v>
      </c>
      <c r="S9124">
        <v>3.1358030000000001</v>
      </c>
      <c r="T9124">
        <v>-0.91001500000000002</v>
      </c>
      <c r="U9124">
        <v>-0.257019</v>
      </c>
      <c r="V9124">
        <v>-0.12541739999999901</v>
      </c>
      <c r="W9124">
        <v>0.1189809</v>
      </c>
      <c r="X9124">
        <v>0.98494360000000003</v>
      </c>
      <c r="Y9124">
        <v>1.5586869999999999E-2</v>
      </c>
      <c r="Z9124">
        <v>1.6211030000000001E-2</v>
      </c>
      <c r="AA9124">
        <v>0.9997471</v>
      </c>
      <c r="AB9124">
        <v>27</v>
      </c>
      <c r="AC9124">
        <v>0.60290000000003297</v>
      </c>
      <c r="AD9124">
        <v>-0.21354609999999899</v>
      </c>
      <c r="AE9124">
        <v>-5.2709999999997502E-2</v>
      </c>
      <c r="AF9124">
        <v>1.02868729617365E-2</v>
      </c>
      <c r="AG9124">
        <v>-0.21354609999999899</v>
      </c>
      <c r="AH9124">
        <v>0.53809396852179503</v>
      </c>
      <c r="AI9124">
        <v>111.64238696819901</v>
      </c>
      <c r="AJ9124">
        <v>88.904796088559806</v>
      </c>
      <c r="AK9124">
        <v>0.57901025512513604</v>
      </c>
      <c r="AL9124">
        <v>83.166708483347705</v>
      </c>
      <c r="AM9124">
        <v>97.256683161720204</v>
      </c>
      <c r="AN9124">
        <v>0.99999993698426304</v>
      </c>
    </row>
    <row r="9125" spans="1:40" x14ac:dyDescent="0.25">
      <c r="A9125" t="str">
        <f>"20190303162128741"</f>
        <v>20190303162128741</v>
      </c>
      <c r="B9125" t="str">
        <f>"1551601288731506"</f>
        <v>1551601288731506</v>
      </c>
      <c r="C9125" t="s">
        <v>40</v>
      </c>
      <c r="D9125">
        <v>4.8009969999999997</v>
      </c>
      <c r="E9125">
        <v>0.55219319999999905</v>
      </c>
      <c r="F9125" t="s">
        <v>42</v>
      </c>
      <c r="G9125">
        <v>-260.32470000000001</v>
      </c>
      <c r="H9125">
        <v>0.88204689999999997</v>
      </c>
      <c r="I9125">
        <v>-62.053820000000002</v>
      </c>
      <c r="J9125">
        <v>-261.01979999999998</v>
      </c>
      <c r="K9125">
        <v>1.123416</v>
      </c>
      <c r="L9125">
        <v>-61.995179999999998</v>
      </c>
      <c r="M9125">
        <v>0.99771620000000005</v>
      </c>
      <c r="N9125">
        <v>-1.159843E-2</v>
      </c>
      <c r="O9125">
        <v>-6.6544430000000002E-2</v>
      </c>
      <c r="P9125">
        <v>0.99231800000000003</v>
      </c>
      <c r="Q9125">
        <v>0.10810889999999999</v>
      </c>
      <c r="R9125">
        <v>6.014589E-2</v>
      </c>
      <c r="S9125">
        <v>3.136841</v>
      </c>
      <c r="T9125">
        <v>-0.91369149999999999</v>
      </c>
      <c r="U9125">
        <v>-0.24966430000000001</v>
      </c>
      <c r="V9125">
        <v>-0.12668099999999999</v>
      </c>
      <c r="W9125">
        <v>0.1188702</v>
      </c>
      <c r="X9125">
        <v>0.98479530000000004</v>
      </c>
      <c r="Y9125">
        <v>1.4719629999999999E-2</v>
      </c>
      <c r="Z9125">
        <v>1.599631E-2</v>
      </c>
      <c r="AA9125">
        <v>0.99976370000000003</v>
      </c>
      <c r="AB9125">
        <v>27</v>
      </c>
      <c r="AC9125">
        <v>0.69509999999996797</v>
      </c>
      <c r="AD9125">
        <v>-0.241369099999999</v>
      </c>
      <c r="AE9125">
        <v>-5.8639999999989798E-2</v>
      </c>
      <c r="AF9125">
        <v>1.0941842705974401E-2</v>
      </c>
      <c r="AG9125">
        <v>-0.241369099999999</v>
      </c>
      <c r="AH9125">
        <v>0.62288581152521905</v>
      </c>
      <c r="AI9125">
        <v>111.178439622277</v>
      </c>
      <c r="AJ9125">
        <v>88.993624637289699</v>
      </c>
      <c r="AK9125">
        <v>0.66810590519471003</v>
      </c>
      <c r="AL9125">
        <v>83.173096835237999</v>
      </c>
      <c r="AM9125">
        <v>97.330096032899306</v>
      </c>
      <c r="AN9125">
        <v>0.99999999155556496</v>
      </c>
    </row>
    <row r="9126" spans="1:40" x14ac:dyDescent="0.25">
      <c r="A9126" t="str">
        <f>"20190303162128752"</f>
        <v>20190303162128752</v>
      </c>
      <c r="B9126" t="str">
        <f>"1551601288741266"</f>
        <v>1551601288741266</v>
      </c>
      <c r="C9126" t="s">
        <v>40</v>
      </c>
      <c r="D9126">
        <v>4.7959769999999997</v>
      </c>
      <c r="E9126">
        <v>0.55219759999999996</v>
      </c>
      <c r="F9126" t="s">
        <v>42</v>
      </c>
      <c r="G9126">
        <v>-260.31</v>
      </c>
      <c r="H9126">
        <v>0.91564789999999996</v>
      </c>
      <c r="I9126">
        <v>-62.05003</v>
      </c>
      <c r="J9126">
        <v>-260.88310000000001</v>
      </c>
      <c r="K9126">
        <v>1.123348</v>
      </c>
      <c r="L9126">
        <v>-62.002719999999997</v>
      </c>
      <c r="M9126">
        <v>0.99781240000000004</v>
      </c>
      <c r="N9126">
        <v>-1.159981E-2</v>
      </c>
      <c r="O9126">
        <v>-6.5082849999999998E-2</v>
      </c>
      <c r="P9126">
        <v>0.99218790000000001</v>
      </c>
      <c r="Q9126">
        <v>0.1079503</v>
      </c>
      <c r="R9126">
        <v>6.2529940000000006E-2</v>
      </c>
      <c r="S9126">
        <v>3.1379389999999998</v>
      </c>
      <c r="T9126">
        <v>-0.91860629999999999</v>
      </c>
      <c r="U9126">
        <v>-0.24157709999999999</v>
      </c>
      <c r="V9126">
        <v>-0.12758710000000001</v>
      </c>
      <c r="W9126">
        <v>0.1187276</v>
      </c>
      <c r="X9126">
        <v>0.9846956</v>
      </c>
      <c r="Y9126">
        <v>1.360841E-2</v>
      </c>
      <c r="Z9126">
        <v>1.5844629999999998E-2</v>
      </c>
      <c r="AA9126">
        <v>0.99978180000000005</v>
      </c>
      <c r="AB9126">
        <v>27</v>
      </c>
      <c r="AC9126">
        <v>0.57310000000001005</v>
      </c>
      <c r="AD9126">
        <v>-0.2077001</v>
      </c>
      <c r="AE9126">
        <v>-4.7310000000010101E-2</v>
      </c>
      <c r="AF9126">
        <v>8.7647754270197397E-3</v>
      </c>
      <c r="AG9126">
        <v>-0.2077001</v>
      </c>
      <c r="AH9126">
        <v>0.50861264476676704</v>
      </c>
      <c r="AI9126">
        <v>112.210456760211</v>
      </c>
      <c r="AJ9126">
        <v>89.012736030613098</v>
      </c>
      <c r="AK9126">
        <v>0.54945698216051597</v>
      </c>
      <c r="AL9126">
        <v>83.181326008876098</v>
      </c>
      <c r="AM9126">
        <v>97.382688275305199</v>
      </c>
      <c r="AN9126">
        <v>1.0000000678737599</v>
      </c>
    </row>
    <row r="9127" spans="1:40" x14ac:dyDescent="0.25">
      <c r="A9127" t="str">
        <f>"20190303162128764"</f>
        <v>20190303162128764</v>
      </c>
      <c r="B9127" t="str">
        <f>"1551601288752002"</f>
        <v>1551601288752002</v>
      </c>
      <c r="C9127" t="s">
        <v>40</v>
      </c>
      <c r="D9127">
        <v>4.7747840000000004</v>
      </c>
      <c r="E9127">
        <v>0.55221260000000005</v>
      </c>
      <c r="F9127" t="s">
        <v>42</v>
      </c>
      <c r="G9127">
        <v>-260.08359999999999</v>
      </c>
      <c r="H9127">
        <v>0.88811980000000001</v>
      </c>
      <c r="I9127">
        <v>-62.062350000000002</v>
      </c>
      <c r="J9127">
        <v>-260.74439999999998</v>
      </c>
      <c r="K9127">
        <v>1.123283</v>
      </c>
      <c r="L9127">
        <v>-62.010249999999999</v>
      </c>
      <c r="M9127">
        <v>0.99790599999999996</v>
      </c>
      <c r="N9127">
        <v>-1.1601119999999999E-2</v>
      </c>
      <c r="O9127">
        <v>-6.3631439999999997E-2</v>
      </c>
      <c r="P9127">
        <v>0.99205089999999996</v>
      </c>
      <c r="Q9127">
        <v>0.1079456</v>
      </c>
      <c r="R9127">
        <v>6.4674289999999995E-2</v>
      </c>
      <c r="S9127">
        <v>3.1388240000000001</v>
      </c>
      <c r="T9127">
        <v>-0.92356899999999997</v>
      </c>
      <c r="U9127">
        <v>-0.2338867</v>
      </c>
      <c r="V9127">
        <v>-0.1282644</v>
      </c>
      <c r="W9127">
        <v>0.118740899999999</v>
      </c>
      <c r="X9127">
        <v>0.98460590000000003</v>
      </c>
      <c r="Y9127">
        <v>1.2613890000000001E-2</v>
      </c>
      <c r="Z9127">
        <v>1.5677340000000001E-2</v>
      </c>
      <c r="AA9127">
        <v>0.99979750000000001</v>
      </c>
      <c r="AB9127">
        <v>27</v>
      </c>
      <c r="AC9127">
        <v>0.66079999999999395</v>
      </c>
      <c r="AD9127">
        <v>-0.23516319999999999</v>
      </c>
      <c r="AE9127">
        <v>-5.2100000000002901E-2</v>
      </c>
      <c r="AF9127">
        <v>8.8322406959724792E-3</v>
      </c>
      <c r="AG9127">
        <v>-0.23516319999999999</v>
      </c>
      <c r="AH9127">
        <v>0.58868133767989905</v>
      </c>
      <c r="AI9127">
        <v>111.77322899115499</v>
      </c>
      <c r="AJ9127">
        <v>89.140431134585995</v>
      </c>
      <c r="AK9127">
        <v>0.633975911563324</v>
      </c>
      <c r="AL9127">
        <v>83.180557861609898</v>
      </c>
      <c r="AM9127">
        <v>97.422112317561101</v>
      </c>
      <c r="AN9127">
        <v>0.99999996797748902</v>
      </c>
    </row>
    <row r="9128" spans="1:40" x14ac:dyDescent="0.25">
      <c r="A9128" t="str">
        <f>"20190303162128776"</f>
        <v>20190303162128776</v>
      </c>
      <c r="B9128" t="str">
        <f>"1551601288771523"</f>
        <v>1551601288771523</v>
      </c>
      <c r="C9128" t="s">
        <v>40</v>
      </c>
      <c r="D9128">
        <v>4.753584</v>
      </c>
      <c r="E9128">
        <v>0.55235419999999902</v>
      </c>
      <c r="F9128" t="s">
        <v>42</v>
      </c>
      <c r="G9128">
        <v>-260.06799999999998</v>
      </c>
      <c r="H9128">
        <v>0.92348220000000003</v>
      </c>
      <c r="I9128">
        <v>-62.059229999999999</v>
      </c>
      <c r="J9128">
        <v>-260.60789999999997</v>
      </c>
      <c r="K9128">
        <v>1.123211</v>
      </c>
      <c r="L9128">
        <v>-62.01746</v>
      </c>
      <c r="M9128">
        <v>0.9979905</v>
      </c>
      <c r="N9128">
        <v>-1.16016E-2</v>
      </c>
      <c r="O9128">
        <v>-6.2293319999999999E-2</v>
      </c>
      <c r="P9128">
        <v>0.9919308</v>
      </c>
      <c r="Q9128">
        <v>0.1079778</v>
      </c>
      <c r="R9128">
        <v>6.6439319999999996E-2</v>
      </c>
      <c r="S9128">
        <v>3.1398009999999998</v>
      </c>
      <c r="T9128">
        <v>-0.9275156</v>
      </c>
      <c r="U9128">
        <v>-0.2270508</v>
      </c>
      <c r="V9128">
        <v>-0.12867480000000001</v>
      </c>
      <c r="W9128">
        <v>0.1187935</v>
      </c>
      <c r="X9128">
        <v>0.98454609999999998</v>
      </c>
      <c r="Y9128">
        <v>1.176789E-2</v>
      </c>
      <c r="Z9128">
        <v>1.549845E-2</v>
      </c>
      <c r="AA9128">
        <v>0.99981059999999999</v>
      </c>
      <c r="AB9128">
        <v>27</v>
      </c>
      <c r="AC9128">
        <v>0.53989999999998795</v>
      </c>
      <c r="AD9128">
        <v>-0.19972879999999901</v>
      </c>
      <c r="AE9128">
        <v>-4.1770000000006698E-2</v>
      </c>
      <c r="AF9128">
        <v>7.0899347413272704E-3</v>
      </c>
      <c r="AG9128">
        <v>-0.19972879999999901</v>
      </c>
      <c r="AH9128">
        <v>0.47661527693015199</v>
      </c>
      <c r="AI9128">
        <v>112.73418553019999</v>
      </c>
      <c r="AJ9128">
        <v>89.147754178547302</v>
      </c>
      <c r="AK9128">
        <v>0.516821035685741</v>
      </c>
      <c r="AL9128">
        <v>83.177523260940404</v>
      </c>
      <c r="AM9128">
        <v>97.446041533530305</v>
      </c>
      <c r="AN9128">
        <v>1.0000000614112401</v>
      </c>
    </row>
    <row r="9129" spans="1:40" x14ac:dyDescent="0.25">
      <c r="A9129" t="str">
        <f>"20190303162128787"</f>
        <v>20190303162128787</v>
      </c>
      <c r="B9129" t="str">
        <f>"1551601288781282"</f>
        <v>1551601288781282</v>
      </c>
      <c r="C9129" t="s">
        <v>40</v>
      </c>
      <c r="D9129">
        <v>4.7679070000000001</v>
      </c>
      <c r="E9129">
        <v>0.55251070000000002</v>
      </c>
      <c r="F9129" t="s">
        <v>42</v>
      </c>
      <c r="G9129">
        <v>-259.84179999999998</v>
      </c>
      <c r="H9129">
        <v>0.89575490000000002</v>
      </c>
      <c r="I9129">
        <v>-62.071919999999999</v>
      </c>
      <c r="J9129">
        <v>-260.47829999999999</v>
      </c>
      <c r="K9129">
        <v>1.1231409999999999</v>
      </c>
      <c r="L9129">
        <v>-62.024230000000003</v>
      </c>
      <c r="M9129">
        <v>0.9980677</v>
      </c>
      <c r="N9129">
        <v>-1.1602100000000001E-2</v>
      </c>
      <c r="O9129">
        <v>-6.1043550000000002E-2</v>
      </c>
      <c r="P9129">
        <v>0.99179260000000002</v>
      </c>
      <c r="Q9129">
        <v>0.10821509999999999</v>
      </c>
      <c r="R9129">
        <v>6.8096279999999995E-2</v>
      </c>
      <c r="S9129">
        <v>3.1407780000000001</v>
      </c>
      <c r="T9129">
        <v>-0.93262270000000003</v>
      </c>
      <c r="U9129">
        <v>-0.2222595</v>
      </c>
      <c r="V9129">
        <v>-0.12906609999999999</v>
      </c>
      <c r="W9129">
        <v>0.119051</v>
      </c>
      <c r="X9129">
        <v>0.98446369999999905</v>
      </c>
      <c r="Y9129">
        <v>1.146543E-2</v>
      </c>
      <c r="Z9129">
        <v>1.527864E-2</v>
      </c>
      <c r="AA9129">
        <v>0.99981759999999997</v>
      </c>
      <c r="AB9129">
        <v>27</v>
      </c>
      <c r="AC9129">
        <v>0.63650000000001195</v>
      </c>
      <c r="AD9129">
        <v>-0.22738609999999901</v>
      </c>
      <c r="AE9129">
        <v>-4.7689999999995701E-2</v>
      </c>
      <c r="AF9129">
        <v>7.7594558614267799E-3</v>
      </c>
      <c r="AG9129">
        <v>-0.22738609999999901</v>
      </c>
      <c r="AH9129">
        <v>0.56634828411985905</v>
      </c>
      <c r="AI9129">
        <v>111.873363022719</v>
      </c>
      <c r="AJ9129">
        <v>89.215047931385598</v>
      </c>
      <c r="AK9129">
        <v>0.61034009089521901</v>
      </c>
      <c r="AL9129">
        <v>83.162663645522301</v>
      </c>
      <c r="AM9129">
        <v>97.469047759461802</v>
      </c>
      <c r="AN9129">
        <v>0.99999998769394904</v>
      </c>
    </row>
    <row r="9130" spans="1:40" x14ac:dyDescent="0.25">
      <c r="A9130" t="str">
        <f>"20190303162128796"</f>
        <v>20190303162128796</v>
      </c>
      <c r="B9130" t="str">
        <f>"1551601288792017"</f>
        <v>1551601288792017</v>
      </c>
      <c r="C9130" t="s">
        <v>40</v>
      </c>
      <c r="D9130">
        <v>4.7591169999999998</v>
      </c>
      <c r="E9130">
        <v>0.55266169999999903</v>
      </c>
      <c r="F9130" t="s">
        <v>42</v>
      </c>
      <c r="G9130">
        <v>-259.6157</v>
      </c>
      <c r="H9130">
        <v>0.86691839999999998</v>
      </c>
      <c r="I9130">
        <v>-62.084049999999998</v>
      </c>
      <c r="J9130">
        <v>-260.3458</v>
      </c>
      <c r="K9130">
        <v>1.123067</v>
      </c>
      <c r="L9130">
        <v>-62.031010000000002</v>
      </c>
      <c r="M9130">
        <v>0.99814000000000003</v>
      </c>
      <c r="N9130">
        <v>-1.160214E-2</v>
      </c>
      <c r="O9130">
        <v>-5.9848310000000002E-2</v>
      </c>
      <c r="P9130">
        <v>0.99167360000000004</v>
      </c>
      <c r="Q9130">
        <v>0.1083578</v>
      </c>
      <c r="R9130">
        <v>6.9584110000000005E-2</v>
      </c>
      <c r="S9130">
        <v>3.1415410000000001</v>
      </c>
      <c r="T9130">
        <v>-0.9330522</v>
      </c>
      <c r="U9130">
        <v>-0.21774289999999999</v>
      </c>
      <c r="V9130">
        <v>-0.1293424</v>
      </c>
      <c r="W9130">
        <v>0.11921619999999999</v>
      </c>
      <c r="X9130">
        <v>0.98440749999999999</v>
      </c>
      <c r="Y9130">
        <v>1.118192E-2</v>
      </c>
      <c r="Z9130">
        <v>1.499312E-2</v>
      </c>
      <c r="AA9130">
        <v>0.99982510000000002</v>
      </c>
      <c r="AB9130">
        <v>27</v>
      </c>
      <c r="AC9130">
        <v>0.73009999999999298</v>
      </c>
      <c r="AD9130">
        <v>-0.256148599999999</v>
      </c>
      <c r="AE9130">
        <v>-5.30400000000028E-2</v>
      </c>
      <c r="AF9130">
        <v>8.2380299279357205E-3</v>
      </c>
      <c r="AG9130">
        <v>-0.256148599999999</v>
      </c>
      <c r="AH9130">
        <v>0.65211846661625195</v>
      </c>
      <c r="AI9130">
        <v>111.443075425831</v>
      </c>
      <c r="AJ9130">
        <v>89.276236965257795</v>
      </c>
      <c r="AK9130">
        <v>0.70067001143261798</v>
      </c>
      <c r="AL9130">
        <v>83.153130866185407</v>
      </c>
      <c r="AM9130">
        <v>97.485278587673704</v>
      </c>
      <c r="AN9130">
        <v>1.00000004241822</v>
      </c>
    </row>
    <row r="9131" spans="1:40" x14ac:dyDescent="0.25">
      <c r="A9131" t="str">
        <f>"20190303162128808"</f>
        <v>20190303162128808</v>
      </c>
      <c r="B9131" t="str">
        <f>"1551601288801777"</f>
        <v>1551601288801777</v>
      </c>
      <c r="C9131" t="s">
        <v>40</v>
      </c>
      <c r="D9131">
        <v>4.7467410000000001</v>
      </c>
      <c r="E9131">
        <v>0.55281020000000003</v>
      </c>
      <c r="F9131" t="s">
        <v>42</v>
      </c>
      <c r="G9131">
        <v>-259.60059999999999</v>
      </c>
      <c r="H9131">
        <v>0.9017326</v>
      </c>
      <c r="I9131">
        <v>-62.081850000000003</v>
      </c>
      <c r="J9131">
        <v>-260.21469999999999</v>
      </c>
      <c r="K9131">
        <v>1.1229910000000001</v>
      </c>
      <c r="L9131">
        <v>-62.03763</v>
      </c>
      <c r="M9131">
        <v>0.99820850000000005</v>
      </c>
      <c r="N9131">
        <v>-1.160222E-2</v>
      </c>
      <c r="O9131">
        <v>-5.8697199999999998E-2</v>
      </c>
      <c r="P9131">
        <v>0.99154779999999998</v>
      </c>
      <c r="Q9131">
        <v>0.10852489999999999</v>
      </c>
      <c r="R9131">
        <v>7.1100849999999993E-2</v>
      </c>
      <c r="S9131">
        <v>3.1422119999999998</v>
      </c>
      <c r="T9131">
        <v>-0.93333750000000004</v>
      </c>
      <c r="U9131">
        <v>-0.2142944</v>
      </c>
      <c r="V9131">
        <v>-0.12969049999999999</v>
      </c>
      <c r="W9131">
        <v>0.1194056</v>
      </c>
      <c r="X9131">
        <v>0.98433870000000001</v>
      </c>
      <c r="Y9131">
        <v>1.118325E-2</v>
      </c>
      <c r="Z9131">
        <v>1.467455E-2</v>
      </c>
      <c r="AA9131">
        <v>0.99982979999999999</v>
      </c>
      <c r="AB9131">
        <v>27</v>
      </c>
      <c r="AC9131">
        <v>0.61410000000000697</v>
      </c>
      <c r="AD9131">
        <v>-0.22125839999999999</v>
      </c>
      <c r="AE9131">
        <v>-4.42199999999957E-2</v>
      </c>
      <c r="AF9131">
        <v>7.1694763914689399E-3</v>
      </c>
      <c r="AG9131">
        <v>-0.22125839999999999</v>
      </c>
      <c r="AH9131">
        <v>0.54522420566254004</v>
      </c>
      <c r="AI9131">
        <v>112.086167450213</v>
      </c>
      <c r="AJ9131">
        <v>89.246627239837295</v>
      </c>
      <c r="AK9131">
        <v>0.58845230512135405</v>
      </c>
      <c r="AL9131">
        <v>83.142200678852305</v>
      </c>
      <c r="AM9131">
        <v>97.505713008211501</v>
      </c>
      <c r="AN9131">
        <v>0.99999999970965003</v>
      </c>
    </row>
    <row r="9132" spans="1:40" x14ac:dyDescent="0.25">
      <c r="A9132" t="str">
        <f>"20190303162128820"</f>
        <v>20190303162128820</v>
      </c>
      <c r="B9132" t="str">
        <f>"1551601288811539"</f>
        <v>1551601288811539</v>
      </c>
      <c r="C9132" t="s">
        <v>40</v>
      </c>
      <c r="D9132">
        <v>4.7674719999999997</v>
      </c>
      <c r="E9132">
        <v>0.55294849999999995</v>
      </c>
      <c r="F9132" t="s">
        <v>42</v>
      </c>
      <c r="G9132">
        <v>-259.37419999999997</v>
      </c>
      <c r="H9132">
        <v>0.8734248</v>
      </c>
      <c r="I9132">
        <v>-62.094169999999998</v>
      </c>
      <c r="J9132">
        <v>-260.0684</v>
      </c>
      <c r="K9132">
        <v>1.1229070000000001</v>
      </c>
      <c r="L9132">
        <v>-62.044919999999998</v>
      </c>
      <c r="M9132">
        <v>0.99827960000000004</v>
      </c>
      <c r="N9132">
        <v>-1.160217E-2</v>
      </c>
      <c r="O9132">
        <v>-5.7477630000000002E-2</v>
      </c>
      <c r="P9132">
        <v>0.99139120000000003</v>
      </c>
      <c r="Q9132">
        <v>0.109019</v>
      </c>
      <c r="R9132">
        <v>7.2518830000000006E-2</v>
      </c>
      <c r="S9132">
        <v>3.142792</v>
      </c>
      <c r="T9132">
        <v>-0.93324859999999998</v>
      </c>
      <c r="U9132">
        <v>-0.21060180000000001</v>
      </c>
      <c r="V9132">
        <v>-0.12987009999999999</v>
      </c>
      <c r="W9132">
        <v>0.119924</v>
      </c>
      <c r="X9132">
        <v>0.98425200000000002</v>
      </c>
      <c r="Y9132">
        <v>1.117434E-2</v>
      </c>
      <c r="Z9132">
        <v>1.433301E-2</v>
      </c>
      <c r="AA9132">
        <v>0.99983480000000002</v>
      </c>
      <c r="AB9132">
        <v>27</v>
      </c>
      <c r="AC9132">
        <v>0.69420000000002302</v>
      </c>
      <c r="AD9132">
        <v>-0.24948219999999899</v>
      </c>
      <c r="AE9132">
        <v>-4.9250000000000599E-2</v>
      </c>
      <c r="AF9132">
        <v>8.2098865685043907E-3</v>
      </c>
      <c r="AG9132">
        <v>-0.24948219999999899</v>
      </c>
      <c r="AH9132">
        <v>0.61664008905863299</v>
      </c>
      <c r="AI9132">
        <v>112.025661757205</v>
      </c>
      <c r="AJ9132">
        <v>89.237214595567295</v>
      </c>
      <c r="AK9132">
        <v>0.66524714940279595</v>
      </c>
      <c r="AL9132">
        <v>83.112283602795202</v>
      </c>
      <c r="AM9132">
        <v>97.516642927219394</v>
      </c>
      <c r="AN9132">
        <v>1.0000000040770001</v>
      </c>
    </row>
    <row r="9133" spans="1:40" x14ac:dyDescent="0.25">
      <c r="A9133" t="str">
        <f>"20190303162128842"</f>
        <v>20190303162128842</v>
      </c>
      <c r="B9133" t="str">
        <f>"1551601288832034"</f>
        <v>1551601288832034</v>
      </c>
      <c r="C9133" t="s">
        <v>40</v>
      </c>
      <c r="D9133">
        <v>4.7297200000000004</v>
      </c>
      <c r="E9133">
        <v>0.55309189999999997</v>
      </c>
      <c r="F9133" t="s">
        <v>42</v>
      </c>
      <c r="G9133">
        <v>-259.35750000000002</v>
      </c>
      <c r="H9133">
        <v>0.91216059999999999</v>
      </c>
      <c r="I9133">
        <v>-62.092129999999997</v>
      </c>
      <c r="J9133">
        <v>-259.80470000000003</v>
      </c>
      <c r="K9133">
        <v>1.122763</v>
      </c>
      <c r="L9133">
        <v>-62.057769999999998</v>
      </c>
      <c r="M9133">
        <v>0.99839509999999998</v>
      </c>
      <c r="N9133">
        <v>-1.1602029999999999E-2</v>
      </c>
      <c r="O9133">
        <v>-5.543178E-2</v>
      </c>
      <c r="P9133">
        <v>0.99112699999999998</v>
      </c>
      <c r="Q9133">
        <v>0.109707</v>
      </c>
      <c r="R9133">
        <v>7.5044189999999997E-2</v>
      </c>
      <c r="S9133">
        <v>3.143707</v>
      </c>
      <c r="T9133">
        <v>-0.93201469999999997</v>
      </c>
      <c r="U9133">
        <v>-0.20779420000000001</v>
      </c>
      <c r="V9133">
        <v>-0.13031509999999999</v>
      </c>
      <c r="W9133">
        <v>0.12065629999999999</v>
      </c>
      <c r="X9133">
        <v>0.98410370000000003</v>
      </c>
      <c r="Y9133">
        <v>1.218373E-2</v>
      </c>
      <c r="Z9133">
        <v>1.35893E-2</v>
      </c>
      <c r="AA9133">
        <v>0.99983339999999998</v>
      </c>
      <c r="AB9133">
        <v>27</v>
      </c>
      <c r="AC9133">
        <v>0.44720000000000898</v>
      </c>
      <c r="AD9133">
        <v>-0.2106024</v>
      </c>
      <c r="AE9133">
        <v>-3.4360000000006601E-2</v>
      </c>
      <c r="AF9133">
        <v>7.7972711281485496E-3</v>
      </c>
      <c r="AG9133">
        <v>-0.2106024</v>
      </c>
      <c r="AH9133">
        <v>0.36741081027932898</v>
      </c>
      <c r="AI9133">
        <v>119.81606583743</v>
      </c>
      <c r="AJ9133">
        <v>88.784239158379904</v>
      </c>
      <c r="AK9133">
        <v>0.42356212275523297</v>
      </c>
      <c r="AL9133">
        <v>83.070019191834803</v>
      </c>
      <c r="AM9133">
        <v>97.5432261858912</v>
      </c>
      <c r="AN9133">
        <v>1.0000000301856899</v>
      </c>
    </row>
    <row r="9134" spans="1:40" x14ac:dyDescent="0.25">
      <c r="A9134" t="str">
        <f>"20190303162128854"</f>
        <v>20190303162128854</v>
      </c>
      <c r="B9134" t="str">
        <f>"1551601288841794"</f>
        <v>1551601288841794</v>
      </c>
      <c r="C9134" t="s">
        <v>40</v>
      </c>
      <c r="D9134">
        <v>4.8009449999999996</v>
      </c>
      <c r="E9134">
        <v>0.55310800000000004</v>
      </c>
      <c r="F9134" t="s">
        <v>42</v>
      </c>
      <c r="G9134">
        <v>-259.11559999999997</v>
      </c>
      <c r="H9134">
        <v>0.91914459999999998</v>
      </c>
      <c r="I9134">
        <v>-62.102240000000002</v>
      </c>
      <c r="J9134">
        <v>-259.67529999999999</v>
      </c>
      <c r="K9134">
        <v>1.1226929999999999</v>
      </c>
      <c r="L9134">
        <v>-62.063929999999999</v>
      </c>
      <c r="M9134">
        <v>0.99844489999999997</v>
      </c>
      <c r="N9134">
        <v>-1.1601739999999999E-2</v>
      </c>
      <c r="O9134">
        <v>-5.4526749999999999E-2</v>
      </c>
      <c r="P9134">
        <v>0.99101099999999998</v>
      </c>
      <c r="Q9134">
        <v>0.11010730000000001</v>
      </c>
      <c r="R9134">
        <v>7.5984889999999999E-2</v>
      </c>
      <c r="S9134">
        <v>3.145111</v>
      </c>
      <c r="T9134">
        <v>-0.92937060000000005</v>
      </c>
      <c r="U9134">
        <v>-0.20324710000000001</v>
      </c>
      <c r="V9134">
        <v>-0.13033459999999999</v>
      </c>
      <c r="W9134">
        <v>0.12107950000000001</v>
      </c>
      <c r="X9134">
        <v>0.98404910000000001</v>
      </c>
      <c r="Y9134">
        <v>1.160077E-2</v>
      </c>
      <c r="Z9134">
        <v>1.3382E-2</v>
      </c>
      <c r="AA9134">
        <v>0.99984320000000004</v>
      </c>
      <c r="AB9134">
        <v>27</v>
      </c>
      <c r="AC9134">
        <v>0.55970000000001996</v>
      </c>
      <c r="AD9134">
        <v>-0.20354839999999999</v>
      </c>
      <c r="AE9134">
        <v>-3.8309999999995598E-2</v>
      </c>
      <c r="AF9134">
        <v>6.83283392974726E-3</v>
      </c>
      <c r="AG9134">
        <v>-0.20354839999999999</v>
      </c>
      <c r="AH9134">
        <v>0.49570114372218099</v>
      </c>
      <c r="AI9134">
        <v>112.322477118612</v>
      </c>
      <c r="AJ9134">
        <v>89.210274660304407</v>
      </c>
      <c r="AK9134">
        <v>0.53590881934294599</v>
      </c>
      <c r="AL9134">
        <v>83.045592271769706</v>
      </c>
      <c r="AM9134">
        <v>97.5447557092739</v>
      </c>
      <c r="AN9134">
        <v>0.99999999224410996</v>
      </c>
    </row>
    <row r="9135" spans="1:40" x14ac:dyDescent="0.25">
      <c r="A9135" t="str">
        <f>"20190303162128866"</f>
        <v>20190303162128866</v>
      </c>
      <c r="B9135" t="str">
        <f>"1551601288861313"</f>
        <v>1551601288861313</v>
      </c>
      <c r="C9135" t="s">
        <v>40</v>
      </c>
      <c r="D9135">
        <v>4.7990930000000001</v>
      </c>
      <c r="E9135">
        <v>0.54408859999999903</v>
      </c>
      <c r="F9135" t="s">
        <v>42</v>
      </c>
      <c r="G9135">
        <v>-258.88909999999998</v>
      </c>
      <c r="H9135">
        <v>0.89063979999999998</v>
      </c>
      <c r="I9135">
        <v>-62.114530000000002</v>
      </c>
      <c r="J9135">
        <v>-259.53710000000001</v>
      </c>
      <c r="K9135">
        <v>1.1226149999999999</v>
      </c>
      <c r="L9135">
        <v>-62.070500000000003</v>
      </c>
      <c r="M9135">
        <v>0.99849600000000005</v>
      </c>
      <c r="N9135">
        <v>-1.1601480000000001E-2</v>
      </c>
      <c r="O9135">
        <v>-5.3582709999999999E-2</v>
      </c>
      <c r="P9135">
        <v>0.99086320000000006</v>
      </c>
      <c r="Q9135">
        <v>0.11081770000000001</v>
      </c>
      <c r="R9135">
        <v>7.6873440000000001E-2</v>
      </c>
      <c r="S9135">
        <v>3.1457820000000001</v>
      </c>
      <c r="T9135">
        <v>-0.92854150000000002</v>
      </c>
      <c r="U9135">
        <v>-0.20132449999999999</v>
      </c>
      <c r="V9135">
        <v>-0.13026079999999901</v>
      </c>
      <c r="W9135">
        <v>0.12181400000000001</v>
      </c>
      <c r="X9135">
        <v>0.98396819999999896</v>
      </c>
      <c r="Y9135">
        <v>1.187145E-2</v>
      </c>
      <c r="Z9135">
        <v>1.3065419999999999E-2</v>
      </c>
      <c r="AA9135">
        <v>0.99984419999999996</v>
      </c>
      <c r="AB9135">
        <v>27</v>
      </c>
      <c r="AC9135">
        <v>0.648000000000024</v>
      </c>
      <c r="AD9135">
        <v>-0.23197519999999899</v>
      </c>
      <c r="AE9135">
        <v>-4.4029999999999299E-2</v>
      </c>
      <c r="AF9135">
        <v>8.19713483925095E-3</v>
      </c>
      <c r="AG9135">
        <v>-0.23197519999999899</v>
      </c>
      <c r="AH9135">
        <v>0.57595631816460602</v>
      </c>
      <c r="AI9135">
        <v>111.935853010485</v>
      </c>
      <c r="AJ9135">
        <v>89.184609130008198</v>
      </c>
      <c r="AK9135">
        <v>0.620971309215121</v>
      </c>
      <c r="AL9135">
        <v>83.0031945532496</v>
      </c>
      <c r="AM9135">
        <v>97.541145611554796</v>
      </c>
      <c r="AN9135">
        <v>0.99999997261193896</v>
      </c>
    </row>
    <row r="9136" spans="1:40" x14ac:dyDescent="0.25">
      <c r="A9136" t="str">
        <f>"20190303162128875"</f>
        <v>20190303162128875</v>
      </c>
      <c r="B9136" t="str">
        <f>"1551601288872050"</f>
        <v>1551601288872050</v>
      </c>
      <c r="C9136" t="s">
        <v>40</v>
      </c>
      <c r="D9136">
        <v>4.7087789999999998</v>
      </c>
      <c r="E9136">
        <v>0.53487489999999904</v>
      </c>
      <c r="F9136" t="s">
        <v>42</v>
      </c>
      <c r="G9136">
        <v>-258.62400000000002</v>
      </c>
      <c r="H9136">
        <v>0.94574170000000002</v>
      </c>
      <c r="I9136">
        <v>-62.1074699999999</v>
      </c>
      <c r="J9136">
        <v>-259.41609999999997</v>
      </c>
      <c r="K9136">
        <v>1.1225499999999999</v>
      </c>
      <c r="L9136">
        <v>-62.076140000000002</v>
      </c>
      <c r="M9136">
        <v>0.99853539999999996</v>
      </c>
      <c r="N9136">
        <v>-1.160102E-2</v>
      </c>
      <c r="O9136">
        <v>-5.2845049999999998E-2</v>
      </c>
      <c r="P9136">
        <v>0.99074519999999999</v>
      </c>
      <c r="Q9136">
        <v>0.11152769999999999</v>
      </c>
      <c r="R9136">
        <v>7.7365859999999995E-2</v>
      </c>
      <c r="S9136">
        <v>3.1046749999999999</v>
      </c>
      <c r="T9136">
        <v>-0.60144839999999999</v>
      </c>
      <c r="U9136">
        <v>-0.12576289999999901</v>
      </c>
      <c r="V9136">
        <v>-0.12999939999999999</v>
      </c>
      <c r="W9136">
        <v>0.12254619999999999</v>
      </c>
      <c r="X9136">
        <v>0.98391189999999995</v>
      </c>
      <c r="Y9136">
        <v>-1.129937E-2</v>
      </c>
      <c r="Z9136">
        <v>1.0675E-2</v>
      </c>
      <c r="AA9136">
        <v>0.99987919999999997</v>
      </c>
      <c r="AB9136">
        <v>27</v>
      </c>
      <c r="AC9136">
        <v>0.79209999999994796</v>
      </c>
      <c r="AD9136">
        <v>-0.1768083</v>
      </c>
      <c r="AE9136">
        <v>-3.1329999999989797E-2</v>
      </c>
      <c r="AF9136">
        <v>-1.00740098306722E-2</v>
      </c>
      <c r="AG9136">
        <v>-0.1768083</v>
      </c>
      <c r="AH9136">
        <v>0.75508561682591102</v>
      </c>
      <c r="AI9136">
        <v>103.177617902994</v>
      </c>
      <c r="AJ9136">
        <v>90.764368954161498</v>
      </c>
      <c r="AK9136">
        <v>0.77557523771735104</v>
      </c>
      <c r="AL9136">
        <v>82.960926244992294</v>
      </c>
      <c r="AM9136">
        <v>97.526611831837499</v>
      </c>
      <c r="AN9136">
        <v>1.0000000210482001</v>
      </c>
    </row>
    <row r="9137" spans="1:40" x14ac:dyDescent="0.25">
      <c r="A9137" t="str">
        <f>"20190303162128886"</f>
        <v>20190303162128886</v>
      </c>
      <c r="B9137" t="str">
        <f>"1551601288881810"</f>
        <v>1551601288881810</v>
      </c>
      <c r="C9137" t="s">
        <v>40</v>
      </c>
      <c r="D9137">
        <v>4.7195210000000003</v>
      </c>
      <c r="E9137">
        <v>0.53487489999999904</v>
      </c>
      <c r="F9137" t="s">
        <v>42</v>
      </c>
      <c r="G9137">
        <v>-258.59629999999999</v>
      </c>
      <c r="H9137">
        <v>1.000996</v>
      </c>
      <c r="I9137">
        <v>-62.089530000000003</v>
      </c>
      <c r="J9137">
        <v>-259.28230000000002</v>
      </c>
      <c r="K9137">
        <v>1.1224749999999999</v>
      </c>
      <c r="L9137">
        <v>-62.082340000000002</v>
      </c>
      <c r="M9137">
        <v>0.99857750000000001</v>
      </c>
      <c r="N9137">
        <v>-1.1600600000000001E-2</v>
      </c>
      <c r="O9137">
        <v>-5.2044060000000003E-2</v>
      </c>
      <c r="P9137">
        <v>0.99062609999999995</v>
      </c>
      <c r="Q9137">
        <v>0.1124464</v>
      </c>
      <c r="R9137">
        <v>7.7562399999999906E-2</v>
      </c>
      <c r="S9137">
        <v>3.0834350000000001</v>
      </c>
      <c r="T9137">
        <v>-0.4571693</v>
      </c>
      <c r="U9137">
        <v>-5.0415040000000001E-2</v>
      </c>
      <c r="V9137">
        <v>-0.12937889999999999</v>
      </c>
      <c r="W9137">
        <v>0.1234903</v>
      </c>
      <c r="X9137">
        <v>0.98387559999999996</v>
      </c>
      <c r="Y9137">
        <v>-3.4821369999999997E-2</v>
      </c>
      <c r="Z9137">
        <v>9.8399249999999994E-3</v>
      </c>
      <c r="AA9137">
        <v>0.99934509999999999</v>
      </c>
      <c r="AB9137">
        <v>27</v>
      </c>
      <c r="AC9137">
        <v>0.68600000000003503</v>
      </c>
      <c r="AD9137">
        <v>-0.121478999999999</v>
      </c>
      <c r="AE9137">
        <v>-7.1900000000013602E-3</v>
      </c>
      <c r="AF9137">
        <v>-2.7657179514268999E-2</v>
      </c>
      <c r="AG9137">
        <v>-0.121478999999999</v>
      </c>
      <c r="AH9137">
        <v>0.66460572567340903</v>
      </c>
      <c r="AI9137">
        <v>100.34961560407</v>
      </c>
      <c r="AJ9137">
        <v>92.382955501534198</v>
      </c>
      <c r="AK9137">
        <v>0.67618254755469998</v>
      </c>
      <c r="AL9137">
        <v>82.906418958496701</v>
      </c>
      <c r="AM9137">
        <v>97.4913687820641</v>
      </c>
      <c r="AN9137">
        <v>0.99999997511732897</v>
      </c>
    </row>
    <row r="9138" spans="1:40" x14ac:dyDescent="0.25">
      <c r="A9138" t="str">
        <f>"20190303162128898"</f>
        <v>20190303162128898</v>
      </c>
      <c r="B9138" t="str">
        <f>"1551601288891570"</f>
        <v>1551601288891570</v>
      </c>
      <c r="C9138" t="s">
        <v>40</v>
      </c>
      <c r="D9138">
        <v>4.8028409999999999</v>
      </c>
      <c r="E9138">
        <v>0.49645129999999998</v>
      </c>
      <c r="F9138" t="s">
        <v>42</v>
      </c>
      <c r="G9138">
        <v>-258.36349999999999</v>
      </c>
      <c r="H9138">
        <v>0.98711309999999997</v>
      </c>
      <c r="I9138">
        <v>-62.0974</v>
      </c>
      <c r="J9138">
        <v>-259.14299999999997</v>
      </c>
      <c r="K9138">
        <v>1.122406</v>
      </c>
      <c r="L9138">
        <v>-62.088709999999999</v>
      </c>
      <c r="M9138">
        <v>0.99861659999999997</v>
      </c>
      <c r="N9138">
        <v>-1.1600060000000001E-2</v>
      </c>
      <c r="O9138">
        <v>-5.1287800000000001E-2</v>
      </c>
      <c r="P9138">
        <v>0.99052750000000001</v>
      </c>
      <c r="Q9138">
        <v>0.1132672</v>
      </c>
      <c r="R9138">
        <v>7.7627840000000004E-2</v>
      </c>
      <c r="S9138">
        <v>3.0838619999999999</v>
      </c>
      <c r="T9138">
        <v>-0.45438040000000002</v>
      </c>
      <c r="U9138">
        <v>-4.9621579999999998E-2</v>
      </c>
      <c r="V9138">
        <v>-0.1286718</v>
      </c>
      <c r="W9138">
        <v>0.12433669999999999</v>
      </c>
      <c r="X9138">
        <v>0.98386169999999995</v>
      </c>
      <c r="Y9138">
        <v>-3.4347629999999997E-2</v>
      </c>
      <c r="Z9138">
        <v>9.6373220000000002E-3</v>
      </c>
      <c r="AA9138">
        <v>0.99936349999999996</v>
      </c>
      <c r="AB9138">
        <v>27</v>
      </c>
      <c r="AC9138">
        <v>0.77949999999998398</v>
      </c>
      <c r="AD9138">
        <v>-0.13529289999999999</v>
      </c>
      <c r="AE9138">
        <v>-8.6900000000014101E-3</v>
      </c>
      <c r="AF9138">
        <v>-3.0387670957055E-2</v>
      </c>
      <c r="AG9138">
        <v>-0.13529289999999999</v>
      </c>
      <c r="AH9138">
        <v>0.75614416882230995</v>
      </c>
      <c r="AI9138">
        <v>100.136276097788</v>
      </c>
      <c r="AJ9138">
        <v>92.301345380364793</v>
      </c>
      <c r="AK9138">
        <v>0.76875326560645396</v>
      </c>
      <c r="AL9138">
        <v>82.857546944366405</v>
      </c>
      <c r="AM9138">
        <v>97.450991243554199</v>
      </c>
      <c r="AN9138">
        <v>0.99999994590450803</v>
      </c>
    </row>
    <row r="9139" spans="1:40" x14ac:dyDescent="0.25">
      <c r="A9139" t="str">
        <f>"20190303162128909"</f>
        <v>20190303162128909</v>
      </c>
      <c r="B9139" t="str">
        <f>"1551601288901330"</f>
        <v>1551601288901330</v>
      </c>
      <c r="C9139" t="s">
        <v>40</v>
      </c>
      <c r="D9139">
        <v>4.7298010000000001</v>
      </c>
      <c r="E9139">
        <v>0.49821789999999999</v>
      </c>
      <c r="F9139" t="s">
        <v>62</v>
      </c>
      <c r="G9139">
        <v>-197.3766</v>
      </c>
      <c r="H9139" s="1">
        <v>-8.2587749999999995E-6</v>
      </c>
      <c r="I9139">
        <v>-56.787750000000003</v>
      </c>
      <c r="J9139">
        <v>-259.0145</v>
      </c>
      <c r="K9139">
        <v>1.122341</v>
      </c>
      <c r="L9139">
        <v>-62.094569999999997</v>
      </c>
      <c r="M9139">
        <v>0.99865060000000005</v>
      </c>
      <c r="N9139">
        <v>-1.159959E-2</v>
      </c>
      <c r="O9139">
        <v>-5.0623500000000002E-2</v>
      </c>
      <c r="P9139">
        <v>0.9904075</v>
      </c>
      <c r="Q9139">
        <v>0.11410149999999999</v>
      </c>
      <c r="R9139">
        <v>7.7936140000000001E-2</v>
      </c>
      <c r="S9139">
        <v>3.0146790000000001</v>
      </c>
      <c r="T9139">
        <v>-5.478251E-2</v>
      </c>
      <c r="U9139">
        <v>0.25872800000000001</v>
      </c>
      <c r="V9139">
        <v>-0.12829939999999901</v>
      </c>
      <c r="W9139">
        <v>0.1251931</v>
      </c>
      <c r="X9139">
        <v>0.98380179999999995</v>
      </c>
      <c r="Y9139">
        <v>-0.1358026</v>
      </c>
      <c r="Z9139">
        <v>2.3530970000000002E-3</v>
      </c>
      <c r="AA9139">
        <v>0.99073310000000003</v>
      </c>
      <c r="AB9139">
        <v>27</v>
      </c>
      <c r="AC9139">
        <v>61.637900000000002</v>
      </c>
      <c r="AD9139">
        <v>-1.1223492587749999</v>
      </c>
      <c r="AE9139">
        <v>5.3068199999999903</v>
      </c>
      <c r="AF9139">
        <v>-8.4177799640933895</v>
      </c>
      <c r="AG9139">
        <v>-1.1223492587749999</v>
      </c>
      <c r="AH9139">
        <v>61.270024831703402</v>
      </c>
      <c r="AI9139">
        <v>91.039667255217196</v>
      </c>
      <c r="AJ9139">
        <v>97.822791019112699</v>
      </c>
      <c r="AK9139">
        <v>61.855756646088501</v>
      </c>
      <c r="AL9139">
        <v>82.808092912865703</v>
      </c>
      <c r="AM9139">
        <v>97.430115274765399</v>
      </c>
      <c r="AN9139">
        <v>1.0000000150056001</v>
      </c>
    </row>
    <row r="9140" spans="1:40" x14ac:dyDescent="0.25">
      <c r="A9140" t="str">
        <f>"20190303162128918"</f>
        <v>20190303162128918</v>
      </c>
      <c r="B9140" t="str">
        <f>"1551601288912066"</f>
        <v>1551601288912066</v>
      </c>
      <c r="C9140" t="s">
        <v>40</v>
      </c>
      <c r="D9140">
        <v>4.6521179999999998</v>
      </c>
      <c r="E9140">
        <v>0.49933499999999997</v>
      </c>
      <c r="F9140" t="s">
        <v>62</v>
      </c>
      <c r="G9140">
        <v>-208.821</v>
      </c>
      <c r="H9140" s="1">
        <v>-1.3530100000000001E-6</v>
      </c>
      <c r="I9140">
        <v>-58.008189999999999</v>
      </c>
      <c r="J9140">
        <v>-258.88909999999998</v>
      </c>
      <c r="K9140">
        <v>1.1222799999999999</v>
      </c>
      <c r="L9140">
        <v>-62.100279999999998</v>
      </c>
      <c r="M9140">
        <v>0.99868080000000004</v>
      </c>
      <c r="N9140">
        <v>-1.1599089999999999E-2</v>
      </c>
      <c r="O9140">
        <v>-5.0024029999999997E-2</v>
      </c>
      <c r="P9140">
        <v>0.9902976</v>
      </c>
      <c r="Q9140">
        <v>0.1147527</v>
      </c>
      <c r="R9140">
        <v>7.8376139999999997E-2</v>
      </c>
      <c r="S9140">
        <v>3.017563</v>
      </c>
      <c r="T9140">
        <v>-6.7473649999999996E-2</v>
      </c>
      <c r="U9140">
        <v>0.24566650000000001</v>
      </c>
      <c r="V9140">
        <v>-0.12812290000000001</v>
      </c>
      <c r="W9140">
        <v>0.1258639</v>
      </c>
      <c r="X9140">
        <v>0.98373920000000004</v>
      </c>
      <c r="Y9140">
        <v>-0.1308522</v>
      </c>
      <c r="Z9140">
        <v>2.758295E-3</v>
      </c>
      <c r="AA9140">
        <v>0.991398</v>
      </c>
      <c r="AB9140">
        <v>27</v>
      </c>
      <c r="AC9140">
        <v>50.068099999999902</v>
      </c>
      <c r="AD9140">
        <v>-1.12228135301</v>
      </c>
      <c r="AE9140">
        <v>4.0920899999999998</v>
      </c>
      <c r="AF9140">
        <v>-6.5884540421330398</v>
      </c>
      <c r="AG9140">
        <v>-1.12228135301</v>
      </c>
      <c r="AH9140">
        <v>49.775847207962997</v>
      </c>
      <c r="AI9140">
        <v>91.280448071528596</v>
      </c>
      <c r="AJ9140">
        <v>97.539981655101897</v>
      </c>
      <c r="AK9140">
        <v>50.222526891536297</v>
      </c>
      <c r="AL9140">
        <v>82.769352403552404</v>
      </c>
      <c r="AM9140">
        <v>97.420474638421595</v>
      </c>
      <c r="AN9140">
        <v>1.0000000062221299</v>
      </c>
    </row>
    <row r="9141" spans="1:40" x14ac:dyDescent="0.25">
      <c r="A9141" t="str">
        <f>"20190303162128931"</f>
        <v>20190303162128931</v>
      </c>
      <c r="B9141" t="str">
        <f>"1551601288921826"</f>
        <v>1551601288921826</v>
      </c>
      <c r="C9141" t="s">
        <v>40</v>
      </c>
      <c r="D9141">
        <v>4.6403420000000004</v>
      </c>
      <c r="E9141">
        <v>0.49996570000000001</v>
      </c>
      <c r="F9141" t="s">
        <v>90</v>
      </c>
      <c r="G9141">
        <v>-219.23750000000001</v>
      </c>
      <c r="H9141" s="1">
        <v>-3.181212E-6</v>
      </c>
      <c r="I9141">
        <v>-58.978200000000001</v>
      </c>
      <c r="J9141">
        <v>-258.75229999999999</v>
      </c>
      <c r="K9141">
        <v>1.1222110000000001</v>
      </c>
      <c r="L9141">
        <v>-62.106409999999997</v>
      </c>
      <c r="M9141">
        <v>0.99871089999999996</v>
      </c>
      <c r="N9141">
        <v>-1.1598539999999999E-2</v>
      </c>
      <c r="O9141">
        <v>-4.9418549999999999E-2</v>
      </c>
      <c r="P9141">
        <v>0.99012290000000003</v>
      </c>
      <c r="Q9141">
        <v>0.1157323</v>
      </c>
      <c r="R9141">
        <v>7.9138159999999999E-2</v>
      </c>
      <c r="S9141">
        <v>3.020508</v>
      </c>
      <c r="T9141">
        <v>-8.5491300000000006E-2</v>
      </c>
      <c r="U9141">
        <v>0.23782349999999999</v>
      </c>
      <c r="V9141">
        <v>-0.12825839999999999</v>
      </c>
      <c r="W9141">
        <v>0.1268639</v>
      </c>
      <c r="X9141">
        <v>0.9835931</v>
      </c>
      <c r="Y9141">
        <v>-0.12758820000000001</v>
      </c>
      <c r="Z9141">
        <v>3.368139E-3</v>
      </c>
      <c r="AA9141">
        <v>0.99182150000000002</v>
      </c>
      <c r="AB9141">
        <v>27</v>
      </c>
      <c r="AC9141">
        <v>39.514799999999902</v>
      </c>
      <c r="AD9141">
        <v>-1.1222141812119999</v>
      </c>
      <c r="AE9141">
        <v>3.1282099999999899</v>
      </c>
      <c r="AF9141">
        <v>-5.0732162854267404</v>
      </c>
      <c r="AG9141">
        <v>-1.1222141812119999</v>
      </c>
      <c r="AH9141">
        <v>39.280426283874199</v>
      </c>
      <c r="AI9141">
        <v>91.622982075765506</v>
      </c>
      <c r="AJ9141">
        <v>97.359228999808096</v>
      </c>
      <c r="AK9141">
        <v>39.6225791334954</v>
      </c>
      <c r="AL9141">
        <v>82.711593772179</v>
      </c>
      <c r="AM9141">
        <v>97.429325816436403</v>
      </c>
      <c r="AN9141">
        <v>1.0000000263306801</v>
      </c>
    </row>
    <row r="9142" spans="1:40" x14ac:dyDescent="0.25">
      <c r="A9142" t="str">
        <f>"20190303162128942"</f>
        <v>20190303162128942</v>
      </c>
      <c r="B9142" t="str">
        <f>"1551601288931586"</f>
        <v>1551601288931586</v>
      </c>
      <c r="C9142" t="s">
        <v>40</v>
      </c>
      <c r="D9142">
        <v>4.6308669999999896</v>
      </c>
      <c r="E9142">
        <v>0.50084289999999998</v>
      </c>
      <c r="F9142" t="s">
        <v>91</v>
      </c>
      <c r="G9142">
        <v>-224.61519999999999</v>
      </c>
      <c r="H9142" s="1">
        <v>-1.3025720000000001E-6</v>
      </c>
      <c r="I9142">
        <v>-59.458159999999999</v>
      </c>
      <c r="J9142">
        <v>-258.61070000000001</v>
      </c>
      <c r="K9142">
        <v>1.122142</v>
      </c>
      <c r="L9142">
        <v>-62.112789999999997</v>
      </c>
      <c r="M9142">
        <v>0.99873970000000001</v>
      </c>
      <c r="N9142">
        <v>-1.1597990000000001E-2</v>
      </c>
      <c r="O9142">
        <v>-4.883527E-2</v>
      </c>
      <c r="P9142">
        <v>0.99005299999999996</v>
      </c>
      <c r="Q9142">
        <v>0.1160257</v>
      </c>
      <c r="R9142">
        <v>7.9583189999999998E-2</v>
      </c>
      <c r="S9142">
        <v>3.0227659999999998</v>
      </c>
      <c r="T9142">
        <v>-9.9369529999999998E-2</v>
      </c>
      <c r="U9142">
        <v>0.23449710000000001</v>
      </c>
      <c r="V9142">
        <v>-0.1281021</v>
      </c>
      <c r="W9142">
        <v>0.1271793</v>
      </c>
      <c r="X9142">
        <v>0.98357269999999997</v>
      </c>
      <c r="Y9142">
        <v>-0.12584200000000001</v>
      </c>
      <c r="Z9142">
        <v>3.833403E-3</v>
      </c>
      <c r="AA9142">
        <v>0.99204289999999995</v>
      </c>
      <c r="AB9142">
        <v>27</v>
      </c>
      <c r="AC9142">
        <v>33.9955</v>
      </c>
      <c r="AD9142">
        <v>-1.122143302572</v>
      </c>
      <c r="AE9142">
        <v>2.65463</v>
      </c>
      <c r="AF9142">
        <v>-4.3070885466797497</v>
      </c>
      <c r="AG9142">
        <v>-1.122143302572</v>
      </c>
      <c r="AH9142">
        <v>33.788692529823798</v>
      </c>
      <c r="AI9142">
        <v>91.886872153947706</v>
      </c>
      <c r="AJ9142">
        <v>97.264390330598701</v>
      </c>
      <c r="AK9142">
        <v>34.080580397279299</v>
      </c>
      <c r="AL9142">
        <v>82.6933748394855</v>
      </c>
      <c r="AM9142">
        <v>97.420525336726996</v>
      </c>
      <c r="AN9142">
        <v>0.99999998927909495</v>
      </c>
    </row>
    <row r="9143" spans="1:40" x14ac:dyDescent="0.25">
      <c r="A9143" t="str">
        <f>"20190303162128954"</f>
        <v>20190303162128954</v>
      </c>
      <c r="B9143" t="str">
        <f>"1551601288941346"</f>
        <v>1551601288941346</v>
      </c>
      <c r="C9143" t="s">
        <v>40</v>
      </c>
      <c r="D9143">
        <v>4.6081719999999997</v>
      </c>
      <c r="E9143">
        <v>0.5014014</v>
      </c>
      <c r="F9143" t="s">
        <v>91</v>
      </c>
      <c r="G9143">
        <v>-226.86789999999999</v>
      </c>
      <c r="H9143" s="1">
        <v>-2.2118550000000002E-6</v>
      </c>
      <c r="I9143">
        <v>-59.716549999999998</v>
      </c>
      <c r="J9143">
        <v>-258.47809999999998</v>
      </c>
      <c r="K9143">
        <v>1.1220760000000001</v>
      </c>
      <c r="L9143">
        <v>-62.118740000000003</v>
      </c>
      <c r="M9143">
        <v>0.9987627</v>
      </c>
      <c r="N9143">
        <v>-1.1597420000000001E-2</v>
      </c>
      <c r="O9143">
        <v>-4.8360189999999997E-2</v>
      </c>
      <c r="P9143">
        <v>0.98989669999999996</v>
      </c>
      <c r="Q9143">
        <v>0.1170238</v>
      </c>
      <c r="R9143">
        <v>8.0063209999999996E-2</v>
      </c>
      <c r="S9143">
        <v>3.024292</v>
      </c>
      <c r="T9143">
        <v>-0.1069121</v>
      </c>
      <c r="U9143">
        <v>0.228302</v>
      </c>
      <c r="V9143">
        <v>-0.12808659999999999</v>
      </c>
      <c r="W9143">
        <v>0.12819659999999999</v>
      </c>
      <c r="X9143">
        <v>0.9834427</v>
      </c>
      <c r="Y9143">
        <v>-0.1232979</v>
      </c>
      <c r="Z9143">
        <v>4.0389299999999996E-3</v>
      </c>
      <c r="AA9143">
        <v>0.99236150000000001</v>
      </c>
      <c r="AB9143">
        <v>27</v>
      </c>
      <c r="AC9143">
        <v>31.610199999999899</v>
      </c>
      <c r="AD9143">
        <v>-1.1220782118549999</v>
      </c>
      <c r="AE9143">
        <v>2.40219</v>
      </c>
      <c r="AF9143">
        <v>-3.9232418120641399</v>
      </c>
      <c r="AG9143">
        <v>-1.1220782118549999</v>
      </c>
      <c r="AH9143">
        <v>31.417670819932599</v>
      </c>
      <c r="AI9143">
        <v>92.029691861742194</v>
      </c>
      <c r="AJ9143">
        <v>97.117892927478707</v>
      </c>
      <c r="AK9143">
        <v>31.681554974134301</v>
      </c>
      <c r="AL9143">
        <v>82.634607198367902</v>
      </c>
      <c r="AM9143">
        <v>97.420607340256495</v>
      </c>
      <c r="AN9143">
        <v>1.0000000447671999</v>
      </c>
    </row>
    <row r="9144" spans="1:40" x14ac:dyDescent="0.25">
      <c r="A9144" t="str">
        <f>"20190303162128964"</f>
        <v>20190303162128964</v>
      </c>
      <c r="B9144" t="str">
        <f>"1551601288952082"</f>
        <v>1551601288952082</v>
      </c>
      <c r="C9144" t="s">
        <v>40</v>
      </c>
      <c r="D9144">
        <v>4.6641000000000004</v>
      </c>
      <c r="E9144">
        <v>0.50202230000000003</v>
      </c>
      <c r="F9144" t="s">
        <v>91</v>
      </c>
      <c r="G9144">
        <v>-228.66460000000001</v>
      </c>
      <c r="H9144" s="1">
        <v>-2.941535E-6</v>
      </c>
      <c r="I9144">
        <v>-59.902410000000003</v>
      </c>
      <c r="J9144">
        <v>-258.3501</v>
      </c>
      <c r="K9144">
        <v>1.122015</v>
      </c>
      <c r="L9144">
        <v>-62.124389999999998</v>
      </c>
      <c r="M9144">
        <v>0.99878409999999995</v>
      </c>
      <c r="N9144">
        <v>-1.159692E-2</v>
      </c>
      <c r="O9144">
        <v>-4.7916689999999998E-2</v>
      </c>
      <c r="P9144">
        <v>0.98979119999999998</v>
      </c>
      <c r="Q9144">
        <v>0.1177537</v>
      </c>
      <c r="R9144">
        <v>8.0296469999999995E-2</v>
      </c>
      <c r="S9144">
        <v>3.0258940000000001</v>
      </c>
      <c r="T9144">
        <v>-0.1138846</v>
      </c>
      <c r="U9144">
        <v>0.22494510000000001</v>
      </c>
      <c r="V9144">
        <v>-0.12785739999999901</v>
      </c>
      <c r="W9144">
        <v>0.12894610000000001</v>
      </c>
      <c r="X9144">
        <v>0.98337450000000004</v>
      </c>
      <c r="Y9144">
        <v>-0.1217099</v>
      </c>
      <c r="Z9144">
        <v>4.239339E-3</v>
      </c>
      <c r="AA9144">
        <v>0.99255669999999996</v>
      </c>
      <c r="AB9144">
        <v>27</v>
      </c>
      <c r="AC9144">
        <v>29.685499999999902</v>
      </c>
      <c r="AD9144">
        <v>-1.122017941535</v>
      </c>
      <c r="AE9144">
        <v>2.2219799999999998</v>
      </c>
      <c r="AF9144">
        <v>-3.6367872130183199</v>
      </c>
      <c r="AG9144">
        <v>-1.122017941535</v>
      </c>
      <c r="AH9144">
        <v>29.5030064723924</v>
      </c>
      <c r="AI9144">
        <v>92.161599787353893</v>
      </c>
      <c r="AJ9144">
        <v>97.027306331413001</v>
      </c>
      <c r="AK9144">
        <v>29.747479496655298</v>
      </c>
      <c r="AL9144">
        <v>82.591304348444396</v>
      </c>
      <c r="AM9144">
        <v>97.407984423338604</v>
      </c>
      <c r="AN9144">
        <v>1.00000000934511</v>
      </c>
    </row>
    <row r="9145" spans="1:40" x14ac:dyDescent="0.25">
      <c r="A9145" t="str">
        <f>"20190303162128977"</f>
        <v>20190303162128977</v>
      </c>
      <c r="B9145" t="str">
        <f>"1551601288971603"</f>
        <v>1551601288971603</v>
      </c>
      <c r="C9145" t="s">
        <v>40</v>
      </c>
      <c r="D9145">
        <v>4.6148629999999997</v>
      </c>
      <c r="E9145">
        <v>0.50286730000000002</v>
      </c>
      <c r="F9145" t="s">
        <v>91</v>
      </c>
      <c r="G9145">
        <v>-229.07929999999999</v>
      </c>
      <c r="H9145" s="1">
        <v>-3.0996450000000001E-6</v>
      </c>
      <c r="I9145">
        <v>-59.991880000000002</v>
      </c>
      <c r="J9145">
        <v>-258.19900000000001</v>
      </c>
      <c r="K9145">
        <v>1.121942</v>
      </c>
      <c r="L9145">
        <v>-62.131129999999999</v>
      </c>
      <c r="M9145">
        <v>0.99880449999999998</v>
      </c>
      <c r="N9145">
        <v>-1.159639E-2</v>
      </c>
      <c r="O9145">
        <v>-4.7489200000000002E-2</v>
      </c>
      <c r="P9145">
        <v>0.98970089999999999</v>
      </c>
      <c r="Q9145">
        <v>0.118630399999999</v>
      </c>
      <c r="R9145">
        <v>8.0119159999999995E-2</v>
      </c>
      <c r="S9145">
        <v>3.0268549999999999</v>
      </c>
      <c r="T9145">
        <v>-0.1160264</v>
      </c>
      <c r="U9145">
        <v>0.22051999999999999</v>
      </c>
      <c r="V9145">
        <v>-0.12723129999999999</v>
      </c>
      <c r="W9145">
        <v>0.12984780000000001</v>
      </c>
      <c r="X9145">
        <v>0.98333700000000002</v>
      </c>
      <c r="Y9145">
        <v>-0.1198157</v>
      </c>
      <c r="Z9145">
        <v>4.2563169999999999E-3</v>
      </c>
      <c r="AA9145">
        <v>0.99278699999999998</v>
      </c>
      <c r="AB9145">
        <v>27</v>
      </c>
      <c r="AC9145">
        <v>29.119700000000002</v>
      </c>
      <c r="AD9145">
        <v>-1.121945099645</v>
      </c>
      <c r="AE9145">
        <v>2.1392500000000001</v>
      </c>
      <c r="AF9145">
        <v>-3.5146109246061501</v>
      </c>
      <c r="AG9145">
        <v>-1.121945099645</v>
      </c>
      <c r="AH9145">
        <v>28.942509770094201</v>
      </c>
      <c r="AI9145">
        <v>92.203763976861794</v>
      </c>
      <c r="AJ9145">
        <v>96.923767511431294</v>
      </c>
      <c r="AK9145">
        <v>29.176705135261098</v>
      </c>
      <c r="AL9145">
        <v>82.539202311605706</v>
      </c>
      <c r="AM9145">
        <v>97.372386608302406</v>
      </c>
      <c r="AN9145">
        <v>0.99999995521676399</v>
      </c>
    </row>
    <row r="9146" spans="1:40" x14ac:dyDescent="0.25">
      <c r="A9146" t="str">
        <f>"20190303162128988"</f>
        <v>20190303162128988</v>
      </c>
      <c r="B9146" t="str">
        <f>"1551601288981362"</f>
        <v>1551601288981362</v>
      </c>
      <c r="C9146" t="s">
        <v>40</v>
      </c>
      <c r="D9146">
        <v>4.6612580000000001</v>
      </c>
      <c r="E9146">
        <v>0.50328329999999999</v>
      </c>
      <c r="F9146" t="s">
        <v>89</v>
      </c>
      <c r="G9146">
        <v>-231.1377</v>
      </c>
      <c r="H9146" s="1">
        <v>4.9677150000000001E-7</v>
      </c>
      <c r="I9146">
        <v>-60.225830000000002</v>
      </c>
      <c r="J9146">
        <v>-258.07339999999999</v>
      </c>
      <c r="K9146">
        <v>1.121883</v>
      </c>
      <c r="L9146">
        <v>-62.136719999999997</v>
      </c>
      <c r="M9146">
        <v>0.99882040000000005</v>
      </c>
      <c r="N9146">
        <v>-1.159603E-2</v>
      </c>
      <c r="O9146">
        <v>-4.7156099999999999E-2</v>
      </c>
      <c r="P9146">
        <v>0.98964510000000006</v>
      </c>
      <c r="Q9146">
        <v>0.11932189999999999</v>
      </c>
      <c r="R9146">
        <v>7.978288E-2</v>
      </c>
      <c r="S9146">
        <v>3.029007</v>
      </c>
      <c r="T9146">
        <v>-0.12558050000000001</v>
      </c>
      <c r="U9146">
        <v>0.2132568</v>
      </c>
      <c r="V9146">
        <v>-0.12654509999999999</v>
      </c>
      <c r="W9146">
        <v>0.13055929999999999</v>
      </c>
      <c r="X9146">
        <v>0.98333139999999997</v>
      </c>
      <c r="Y9146">
        <v>-0.1170465</v>
      </c>
      <c r="Z9146">
        <v>4.5083199999999997E-3</v>
      </c>
      <c r="AA9146">
        <v>0.9931162</v>
      </c>
      <c r="AB9146">
        <v>27</v>
      </c>
      <c r="AC9146">
        <v>26.935700000000001</v>
      </c>
      <c r="AD9146">
        <v>-1.1218825032285</v>
      </c>
      <c r="AE9146">
        <v>1.91088999999999</v>
      </c>
      <c r="AF9146">
        <v>-3.1735538847828999</v>
      </c>
      <c r="AG9146">
        <v>-1.1218825032285</v>
      </c>
      <c r="AH9146">
        <v>26.769408894242201</v>
      </c>
      <c r="AI9146">
        <v>92.3831426360222</v>
      </c>
      <c r="AJ9146">
        <v>96.760945289646898</v>
      </c>
      <c r="AK9146">
        <v>26.980202318696701</v>
      </c>
      <c r="AL9146">
        <v>82.498086824606304</v>
      </c>
      <c r="AM9146">
        <v>97.333100165035205</v>
      </c>
      <c r="AN9146">
        <v>1.00000001768823</v>
      </c>
    </row>
    <row r="9147" spans="1:40" x14ac:dyDescent="0.25">
      <c r="A9147" t="str">
        <f>"20190303162128997"</f>
        <v>20190303162128997</v>
      </c>
      <c r="B9147" t="str">
        <f>"1551601288992099"</f>
        <v>1551601288992099</v>
      </c>
      <c r="C9147" t="s">
        <v>40</v>
      </c>
      <c r="D9147">
        <v>4.6317550000000001</v>
      </c>
      <c r="E9147">
        <v>0.50358950000000002</v>
      </c>
      <c r="F9147" t="s">
        <v>89</v>
      </c>
      <c r="G9147">
        <v>-231.1397</v>
      </c>
      <c r="H9147" s="1">
        <v>5.0550189999999998E-7</v>
      </c>
      <c r="I9147">
        <v>-60.279940000000003</v>
      </c>
      <c r="J9147">
        <v>-257.9443</v>
      </c>
      <c r="K9147">
        <v>1.1218220000000001</v>
      </c>
      <c r="L9147">
        <v>-62.14246</v>
      </c>
      <c r="M9147">
        <v>0.99883379999999999</v>
      </c>
      <c r="N9147">
        <v>-1.15958E-2</v>
      </c>
      <c r="O9147">
        <v>-4.686891E-2</v>
      </c>
      <c r="P9147">
        <v>0.98957790000000001</v>
      </c>
      <c r="Q9147">
        <v>0.1201575</v>
      </c>
      <c r="R9147">
        <v>7.9359250000000006E-2</v>
      </c>
      <c r="S9147">
        <v>3.0297700000000001</v>
      </c>
      <c r="T9147">
        <v>-0.1262006</v>
      </c>
      <c r="U9147">
        <v>0.2088623</v>
      </c>
      <c r="V9147">
        <v>-0.12581519999999999</v>
      </c>
      <c r="W9147">
        <v>0.13141539999999999</v>
      </c>
      <c r="X9147">
        <v>0.98331100000000005</v>
      </c>
      <c r="Y9147">
        <v>-0.1153105</v>
      </c>
      <c r="Z9147">
        <v>4.4741360000000001E-3</v>
      </c>
      <c r="AA9147">
        <v>0.99331939999999996</v>
      </c>
      <c r="AB9147">
        <v>27</v>
      </c>
      <c r="AC9147">
        <v>26.804599999999901</v>
      </c>
      <c r="AD9147">
        <v>-1.1218214944981</v>
      </c>
      <c r="AE9147">
        <v>1.86251999999999</v>
      </c>
      <c r="AF9147">
        <v>-3.1114359606872299</v>
      </c>
      <c r="AG9147">
        <v>-1.1218214944981</v>
      </c>
      <c r="AH9147">
        <v>26.641398746876099</v>
      </c>
      <c r="AI9147">
        <v>92.394939266429901</v>
      </c>
      <c r="AJ9147">
        <v>96.661368955651298</v>
      </c>
      <c r="AK9147">
        <v>26.845924167236799</v>
      </c>
      <c r="AL9147">
        <v>82.448609458609099</v>
      </c>
      <c r="AM9147">
        <v>97.2914096460579</v>
      </c>
      <c r="AN9147">
        <v>0.99999999731459999</v>
      </c>
    </row>
    <row r="9148" spans="1:40" x14ac:dyDescent="0.25">
      <c r="A9148" t="str">
        <f>"20190303162129009"</f>
        <v>20190303162129009</v>
      </c>
      <c r="B9148" t="str">
        <f>"1551601289001858"</f>
        <v>1551601289001858</v>
      </c>
      <c r="C9148" t="s">
        <v>40</v>
      </c>
      <c r="D9148">
        <v>4.623183</v>
      </c>
      <c r="E9148">
        <v>0.50389019999999995</v>
      </c>
      <c r="F9148" t="s">
        <v>89</v>
      </c>
      <c r="G9148">
        <v>-231.60919999999999</v>
      </c>
      <c r="H9148" s="1">
        <v>3.182876E-7</v>
      </c>
      <c r="I9148">
        <v>-60.359940000000002</v>
      </c>
      <c r="J9148">
        <v>-257.8141</v>
      </c>
      <c r="K9148">
        <v>1.1217619999999999</v>
      </c>
      <c r="L9148">
        <v>-62.148220000000002</v>
      </c>
      <c r="M9148">
        <v>0.99884609999999996</v>
      </c>
      <c r="N9148">
        <v>-1.1595589999999999E-2</v>
      </c>
      <c r="O9148">
        <v>-4.6606979999999999E-2</v>
      </c>
      <c r="P9148">
        <v>0.98947759999999996</v>
      </c>
      <c r="Q9148">
        <v>0.1210215</v>
      </c>
      <c r="R9148">
        <v>7.9298450000000006E-2</v>
      </c>
      <c r="S9148">
        <v>3.030853</v>
      </c>
      <c r="T9148">
        <v>-0.1291081</v>
      </c>
      <c r="U9148">
        <v>0.20513919999999999</v>
      </c>
      <c r="V9148">
        <v>-0.12547259999999999</v>
      </c>
      <c r="W9148">
        <v>0.13229839999999901</v>
      </c>
      <c r="X9148">
        <v>0.98323640000000001</v>
      </c>
      <c r="Y9148">
        <v>-0.1138063</v>
      </c>
      <c r="Z9148">
        <v>4.5239190000000004E-3</v>
      </c>
      <c r="AA9148">
        <v>0.99349270000000001</v>
      </c>
      <c r="AB9148">
        <v>27</v>
      </c>
      <c r="AC9148">
        <v>26.204899999999999</v>
      </c>
      <c r="AD9148">
        <v>-1.1217616817123901</v>
      </c>
      <c r="AE9148">
        <v>1.7882799999999901</v>
      </c>
      <c r="AF9148">
        <v>-3.0022736022063898</v>
      </c>
      <c r="AG9148">
        <v>-1.1217616817123901</v>
      </c>
      <c r="AH9148">
        <v>26.045561098240398</v>
      </c>
      <c r="AI9148">
        <v>92.449956866415107</v>
      </c>
      <c r="AJ9148">
        <v>96.575467726497095</v>
      </c>
      <c r="AK9148">
        <v>26.242013051121699</v>
      </c>
      <c r="AL9148">
        <v>82.397571903593004</v>
      </c>
      <c r="AM9148">
        <v>97.272313462244895</v>
      </c>
      <c r="AN9148">
        <v>1.00000002913913</v>
      </c>
    </row>
    <row r="9149" spans="1:40" x14ac:dyDescent="0.25">
      <c r="A9149" t="str">
        <f>"20190303162129021"</f>
        <v>20190303162129021</v>
      </c>
      <c r="B9149" t="str">
        <f>"1551601289011619"</f>
        <v>1551601289011619</v>
      </c>
      <c r="C9149" t="s">
        <v>40</v>
      </c>
      <c r="D9149">
        <v>4.6548800000000004</v>
      </c>
      <c r="E9149">
        <v>0.50413580000000002</v>
      </c>
      <c r="F9149" t="s">
        <v>89</v>
      </c>
      <c r="G9149">
        <v>-231.3527</v>
      </c>
      <c r="H9149" s="1">
        <v>4.3148709999999902E-7</v>
      </c>
      <c r="I9149">
        <v>-60.37771</v>
      </c>
      <c r="J9149">
        <v>-257.67290000000003</v>
      </c>
      <c r="K9149">
        <v>1.1216999999999999</v>
      </c>
      <c r="L9149">
        <v>-62.154510000000002</v>
      </c>
      <c r="M9149">
        <v>0.99885729999999995</v>
      </c>
      <c r="N9149">
        <v>-1.1595390000000001E-2</v>
      </c>
      <c r="O9149">
        <v>-4.6365360000000001E-2</v>
      </c>
      <c r="P9149">
        <v>0.9894075</v>
      </c>
      <c r="Q9149">
        <v>0.12163300000000001</v>
      </c>
      <c r="R9149">
        <v>7.9235340000000001E-2</v>
      </c>
      <c r="S9149">
        <v>3.0313720000000002</v>
      </c>
      <c r="T9149">
        <v>-0.1285068</v>
      </c>
      <c r="U9149">
        <v>0.20281979999999999</v>
      </c>
      <c r="V9149">
        <v>-0.1251478</v>
      </c>
      <c r="W9149">
        <v>0.13292979999999999</v>
      </c>
      <c r="X9149">
        <v>0.98319259999999997</v>
      </c>
      <c r="Y9149">
        <v>-0.1128004</v>
      </c>
      <c r="Z9149">
        <v>4.4681909999999998E-3</v>
      </c>
      <c r="AA9149">
        <v>0.99360760000000004</v>
      </c>
      <c r="AB9149">
        <v>27</v>
      </c>
      <c r="AC9149">
        <v>26.3202</v>
      </c>
      <c r="AD9149">
        <v>-1.1216995685129001</v>
      </c>
      <c r="AE9149">
        <v>1.7767999999999899</v>
      </c>
      <c r="AF9149">
        <v>-2.98991063371213</v>
      </c>
      <c r="AG9149">
        <v>-1.1216995685129001</v>
      </c>
      <c r="AH9149">
        <v>26.162201149368901</v>
      </c>
      <c r="AI9149">
        <v>92.439184687638303</v>
      </c>
      <c r="AJ9149">
        <v>96.519682395262393</v>
      </c>
      <c r="AK9149">
        <v>26.356375784611</v>
      </c>
      <c r="AL9149">
        <v>82.361072727448601</v>
      </c>
      <c r="AM9149">
        <v>97.254008720452305</v>
      </c>
      <c r="AN9149">
        <v>0.99999999613381896</v>
      </c>
    </row>
    <row r="9150" spans="1:40" x14ac:dyDescent="0.25">
      <c r="A9150" t="str">
        <f>"20190303162129033"</f>
        <v>20190303162129033</v>
      </c>
      <c r="B9150" t="str">
        <f>"1551601289021378"</f>
        <v>1551601289021378</v>
      </c>
      <c r="C9150" t="s">
        <v>40</v>
      </c>
      <c r="D9150">
        <v>4.673584</v>
      </c>
      <c r="E9150">
        <v>0.50440169999999995</v>
      </c>
      <c r="F9150" t="s">
        <v>89</v>
      </c>
      <c r="G9150">
        <v>-231.404</v>
      </c>
      <c r="H9150" s="1">
        <v>4.0205929999999999E-7</v>
      </c>
      <c r="I9150">
        <v>-60.4154699999999</v>
      </c>
      <c r="J9150">
        <v>-257.5378</v>
      </c>
      <c r="K9150">
        <v>1.1216440000000001</v>
      </c>
      <c r="L9150">
        <v>-62.160519999999998</v>
      </c>
      <c r="M9150">
        <v>0.99886629999999998</v>
      </c>
      <c r="N9150">
        <v>-1.1595289999999999E-2</v>
      </c>
      <c r="O9150">
        <v>-4.6175729999999998E-2</v>
      </c>
      <c r="P9150">
        <v>0.98934180000000005</v>
      </c>
      <c r="Q9150">
        <v>0.12216879999999999</v>
      </c>
      <c r="R9150">
        <v>7.9233910000000005E-2</v>
      </c>
      <c r="S9150">
        <v>3.0319669999999999</v>
      </c>
      <c r="T9150">
        <v>-0.1294671</v>
      </c>
      <c r="U9150">
        <v>0.20071410000000001</v>
      </c>
      <c r="V9150">
        <v>-0.1249382</v>
      </c>
      <c r="W9150">
        <v>0.1334823</v>
      </c>
      <c r="X9150">
        <v>0.98314440000000003</v>
      </c>
      <c r="Y9150">
        <v>-0.1119107</v>
      </c>
      <c r="Z9150">
        <v>4.4698580000000002E-3</v>
      </c>
      <c r="AA9150">
        <v>0.99370820000000004</v>
      </c>
      <c r="AB9150">
        <v>27</v>
      </c>
      <c r="AC9150">
        <v>26.133799999999901</v>
      </c>
      <c r="AD9150">
        <v>-1.1216435979407</v>
      </c>
      <c r="AE9150">
        <v>1.74505</v>
      </c>
      <c r="AF9150">
        <v>-2.9446163710001101</v>
      </c>
      <c r="AG9150">
        <v>-1.1216435979407</v>
      </c>
      <c r="AH9150">
        <v>25.977695669862101</v>
      </c>
      <c r="AI9150">
        <v>92.456622223829797</v>
      </c>
      <c r="AJ9150">
        <v>96.4669719654311</v>
      </c>
      <c r="AK9150">
        <v>26.168101235075</v>
      </c>
      <c r="AL9150">
        <v>82.329132155361506</v>
      </c>
      <c r="AM9150">
        <v>97.242339933323905</v>
      </c>
      <c r="AN9150">
        <v>0.99999999474194501</v>
      </c>
    </row>
    <row r="9151" spans="1:40" x14ac:dyDescent="0.25">
      <c r="A9151" t="str">
        <f>"20190303162129044"</f>
        <v>20190303162129044</v>
      </c>
      <c r="B9151" t="str">
        <f>"1551601289032114"</f>
        <v>1551601289032114</v>
      </c>
      <c r="C9151" t="s">
        <v>40</v>
      </c>
      <c r="D9151">
        <v>4.6426730000000003</v>
      </c>
      <c r="E9151">
        <v>0.50467529999999905</v>
      </c>
      <c r="F9151" t="s">
        <v>89</v>
      </c>
      <c r="G9151">
        <v>-231.70490000000001</v>
      </c>
      <c r="H9151" s="1">
        <v>2.586947E-7</v>
      </c>
      <c r="I9151">
        <v>-60.469200000000001</v>
      </c>
      <c r="J9151">
        <v>-257.39370000000002</v>
      </c>
      <c r="K9151">
        <v>1.1215900000000001</v>
      </c>
      <c r="L9151">
        <v>-62.166960000000003</v>
      </c>
      <c r="M9151">
        <v>0.99887440000000005</v>
      </c>
      <c r="N9151">
        <v>-1.159525E-2</v>
      </c>
      <c r="O9151">
        <v>-4.5994939999999998E-2</v>
      </c>
      <c r="P9151">
        <v>0.98927019999999999</v>
      </c>
      <c r="Q9151">
        <v>0.1228606</v>
      </c>
      <c r="R9151">
        <v>7.9057249999999996E-2</v>
      </c>
      <c r="S9151">
        <v>3.0326840000000002</v>
      </c>
      <c r="T9151">
        <v>-0.13167690000000001</v>
      </c>
      <c r="U9151">
        <v>0.19854740000000001</v>
      </c>
      <c r="V9151">
        <v>-0.1245624</v>
      </c>
      <c r="W9151">
        <v>0.13419110000000001</v>
      </c>
      <c r="X9151">
        <v>0.98309559999999996</v>
      </c>
      <c r="Y9151">
        <v>-0.11100459999999999</v>
      </c>
      <c r="Z9151">
        <v>4.5125069999999998E-3</v>
      </c>
      <c r="AA9151">
        <v>0.99380959999999996</v>
      </c>
      <c r="AB9151">
        <v>27</v>
      </c>
      <c r="AC9151">
        <v>25.688800000000001</v>
      </c>
      <c r="AD9151">
        <v>-1.12158974130529</v>
      </c>
      <c r="AE9151">
        <v>1.6977599999999899</v>
      </c>
      <c r="AF9151">
        <v>-2.8721459695225202</v>
      </c>
      <c r="AG9151">
        <v>-1.12158974130529</v>
      </c>
      <c r="AH9151">
        <v>25.5350509988052</v>
      </c>
      <c r="AI9151">
        <v>92.499276851000204</v>
      </c>
      <c r="AJ9151">
        <v>96.417574109980094</v>
      </c>
      <c r="AK9151">
        <v>25.720536843729199</v>
      </c>
      <c r="AL9151">
        <v>82.288152272472303</v>
      </c>
      <c r="AM9151">
        <v>97.221140712135195</v>
      </c>
      <c r="AN9151">
        <v>1.00000000077616</v>
      </c>
    </row>
    <row r="9152" spans="1:40" x14ac:dyDescent="0.25">
      <c r="A9152" t="str">
        <f>"20190303162129055"</f>
        <v>20190303162129055</v>
      </c>
      <c r="B9152" t="str">
        <f>"1551601289041874"</f>
        <v>1551601289041874</v>
      </c>
      <c r="C9152" t="s">
        <v>40</v>
      </c>
      <c r="D9152">
        <v>4.6907350000000001</v>
      </c>
      <c r="E9152">
        <v>0.50490729999999995</v>
      </c>
      <c r="F9152" t="s">
        <v>89</v>
      </c>
      <c r="G9152">
        <v>-231.6019</v>
      </c>
      <c r="H9152" s="1">
        <v>2.9406500000000001E-7</v>
      </c>
      <c r="I9152">
        <v>-60.502279999999999</v>
      </c>
      <c r="J9152">
        <v>-257.26949999999999</v>
      </c>
      <c r="K9152">
        <v>1.1215550000000001</v>
      </c>
      <c r="L9152">
        <v>-62.172550000000001</v>
      </c>
      <c r="M9152">
        <v>0.99887939999999997</v>
      </c>
      <c r="N9152">
        <v>-1.159518E-2</v>
      </c>
      <c r="O9152">
        <v>-4.5888819999999997E-2</v>
      </c>
      <c r="P9152">
        <v>0.98920319999999995</v>
      </c>
      <c r="Q9152">
        <v>0.12331789999999899</v>
      </c>
      <c r="R9152">
        <v>7.918356E-2</v>
      </c>
      <c r="S9152">
        <v>3.0332789999999998</v>
      </c>
      <c r="T9152">
        <v>-0.131906</v>
      </c>
      <c r="U9152">
        <v>0.19577030000000001</v>
      </c>
      <c r="V9152">
        <v>-0.124567</v>
      </c>
      <c r="W9152">
        <v>0.13466029999999901</v>
      </c>
      <c r="X9152">
        <v>0.98303090000000004</v>
      </c>
      <c r="Y9152">
        <v>-0.109981</v>
      </c>
      <c r="Z9152">
        <v>4.4878319999999998E-3</v>
      </c>
      <c r="AA9152">
        <v>0.99392349999999996</v>
      </c>
      <c r="AB9152">
        <v>27</v>
      </c>
      <c r="AC9152">
        <v>25.6676</v>
      </c>
      <c r="AD9152">
        <v>-1.121554705935</v>
      </c>
      <c r="AE9152">
        <v>1.6702699999999899</v>
      </c>
      <c r="AF9152">
        <v>-2.8410436334131002</v>
      </c>
      <c r="AG9152">
        <v>-1.121554705935</v>
      </c>
      <c r="AH9152">
        <v>25.515394357928098</v>
      </c>
      <c r="AI9152">
        <v>92.501434420252906</v>
      </c>
      <c r="AJ9152">
        <v>96.353499912226496</v>
      </c>
      <c r="AK9152">
        <v>25.697563369431499</v>
      </c>
      <c r="AL9152">
        <v>82.261023179029493</v>
      </c>
      <c r="AM9152">
        <v>97.221874840716097</v>
      </c>
      <c r="AN9152">
        <v>1.00000004211994</v>
      </c>
    </row>
    <row r="9153" spans="1:40" x14ac:dyDescent="0.25">
      <c r="A9153" t="str">
        <f>"20190303162129066"</f>
        <v>20190303162129066</v>
      </c>
      <c r="B9153" t="str">
        <f>"1551601289051635"</f>
        <v>1551601289051635</v>
      </c>
      <c r="C9153" t="s">
        <v>40</v>
      </c>
      <c r="D9153">
        <v>4.7097910000000001</v>
      </c>
      <c r="E9153">
        <v>0.50510180000000005</v>
      </c>
      <c r="F9153" t="s">
        <v>89</v>
      </c>
      <c r="G9153">
        <v>-231.76480000000001</v>
      </c>
      <c r="H9153" s="1">
        <v>2.1474460000000001E-7</v>
      </c>
      <c r="I9153">
        <v>-60.537719999999901</v>
      </c>
      <c r="J9153">
        <v>-257.13560000000001</v>
      </c>
      <c r="K9153">
        <v>1.1215109999999999</v>
      </c>
      <c r="L9153">
        <v>-62.17859</v>
      </c>
      <c r="M9153">
        <v>0.9988842</v>
      </c>
      <c r="N9153">
        <v>-1.159511E-2</v>
      </c>
      <c r="O9153">
        <v>-4.5781059999999998E-2</v>
      </c>
      <c r="P9153">
        <v>0.98913289999999998</v>
      </c>
      <c r="Q9153">
        <v>0.1239884</v>
      </c>
      <c r="R9153">
        <v>7.9013760000000002E-2</v>
      </c>
      <c r="S9153">
        <v>3.0338129999999999</v>
      </c>
      <c r="T9153">
        <v>-0.13341059999999999</v>
      </c>
      <c r="U9153">
        <v>0.19445799999999999</v>
      </c>
      <c r="V9153">
        <v>-0.1242737</v>
      </c>
      <c r="W9153">
        <v>0.13534399999999999</v>
      </c>
      <c r="X9153">
        <v>0.98297409999999996</v>
      </c>
      <c r="Y9153">
        <v>-0.1094318</v>
      </c>
      <c r="Z9153">
        <v>4.5182879999999996E-3</v>
      </c>
      <c r="AA9153">
        <v>0.99398399999999998</v>
      </c>
      <c r="AB9153">
        <v>27</v>
      </c>
      <c r="AC9153">
        <v>25.370799999999999</v>
      </c>
      <c r="AD9153">
        <v>-1.1215107852554</v>
      </c>
      <c r="AE9153">
        <v>1.6408700000000001</v>
      </c>
      <c r="AF9153">
        <v>-2.7952900984522202</v>
      </c>
      <c r="AG9153">
        <v>-1.1215107852554</v>
      </c>
      <c r="AH9153">
        <v>25.219993081742299</v>
      </c>
      <c r="AI9153">
        <v>92.530738267004693</v>
      </c>
      <c r="AJ9153">
        <v>96.324636385679497</v>
      </c>
      <c r="AK9153">
        <v>25.3992024327355</v>
      </c>
      <c r="AL9153">
        <v>82.221487920119699</v>
      </c>
      <c r="AM9153">
        <v>97.205461396883706</v>
      </c>
      <c r="AN9153">
        <v>1.0000000160592399</v>
      </c>
    </row>
    <row r="9154" spans="1:40" x14ac:dyDescent="0.25">
      <c r="A9154" t="str">
        <f>"20190303162129077"</f>
        <v>20190303162129077</v>
      </c>
      <c r="B9154" t="str">
        <f>"1551601289072130"</f>
        <v>1551601289072130</v>
      </c>
      <c r="C9154" t="s">
        <v>40</v>
      </c>
      <c r="D9154">
        <v>4.7151569999999996</v>
      </c>
      <c r="E9154">
        <v>0.50546369999999996</v>
      </c>
      <c r="F9154" t="s">
        <v>89</v>
      </c>
      <c r="G9154">
        <v>-231.5676</v>
      </c>
      <c r="H9154" s="1">
        <v>2.94523E-7</v>
      </c>
      <c r="I9154">
        <v>-60.555880000000002</v>
      </c>
      <c r="J9154">
        <v>-257.00630000000001</v>
      </c>
      <c r="K9154">
        <v>1.1214770000000001</v>
      </c>
      <c r="L9154">
        <v>-62.184359999999998</v>
      </c>
      <c r="M9154">
        <v>0.99888710000000003</v>
      </c>
      <c r="N9154">
        <v>-1.1595009999999999E-2</v>
      </c>
      <c r="O9154">
        <v>-4.571886E-2</v>
      </c>
      <c r="P9154">
        <v>0.98908700000000005</v>
      </c>
      <c r="Q9154">
        <v>0.1245174</v>
      </c>
      <c r="R9154">
        <v>7.875385E-2</v>
      </c>
      <c r="S9154">
        <v>3.0342560000000001</v>
      </c>
      <c r="T9154">
        <v>-0.1330943</v>
      </c>
      <c r="U9154">
        <v>0.19256590000000001</v>
      </c>
      <c r="V9154">
        <v>-0.1239386</v>
      </c>
      <c r="W9154">
        <v>0.1358839</v>
      </c>
      <c r="X9154">
        <v>0.98294190000000004</v>
      </c>
      <c r="Y9154">
        <v>-0.10874489999999901</v>
      </c>
      <c r="Z9154">
        <v>4.4862130000000002E-3</v>
      </c>
      <c r="AA9154">
        <v>0.99405960000000004</v>
      </c>
      <c r="AB9154">
        <v>27</v>
      </c>
      <c r="AC9154">
        <v>25.438700000000001</v>
      </c>
      <c r="AD9154">
        <v>-1.1214767054770001</v>
      </c>
      <c r="AE9154">
        <v>1.6284799999999899</v>
      </c>
      <c r="AF9154">
        <v>-2.7844937881738998</v>
      </c>
      <c r="AG9154">
        <v>-1.1214767054770001</v>
      </c>
      <c r="AH9154">
        <v>25.288690428576899</v>
      </c>
      <c r="AI9154">
        <v>92.523996039602494</v>
      </c>
      <c r="AJ9154">
        <v>96.283427297134807</v>
      </c>
      <c r="AK9154">
        <v>25.466232136884798</v>
      </c>
      <c r="AL9154">
        <v>82.190265321443107</v>
      </c>
      <c r="AM9154">
        <v>97.186468447223007</v>
      </c>
      <c r="AN9154">
        <v>0.99999999481238999</v>
      </c>
    </row>
    <row r="9155" spans="1:40" x14ac:dyDescent="0.25">
      <c r="A9155" t="str">
        <f>"20190303162129087"</f>
        <v>20190303162129087</v>
      </c>
      <c r="B9155" t="str">
        <f>"1551601289081890"</f>
        <v>1551601289081890</v>
      </c>
      <c r="C9155" t="s">
        <v>40</v>
      </c>
      <c r="D9155">
        <v>4.6887369999999997</v>
      </c>
      <c r="E9155">
        <v>0.50541440000000004</v>
      </c>
      <c r="F9155" t="s">
        <v>89</v>
      </c>
      <c r="G9155">
        <v>-232.16149999999999</v>
      </c>
      <c r="H9155" s="1">
        <v>1.828698E-8</v>
      </c>
      <c r="I9155">
        <v>-60.63655</v>
      </c>
      <c r="J9155">
        <v>-256.87479999999999</v>
      </c>
      <c r="K9155">
        <v>1.121443</v>
      </c>
      <c r="L9155">
        <v>-62.190309999999997</v>
      </c>
      <c r="M9155">
        <v>0.99888960000000004</v>
      </c>
      <c r="N9155">
        <v>-1.159496E-2</v>
      </c>
      <c r="O9155">
        <v>-4.5664150000000001E-2</v>
      </c>
      <c r="P9155">
        <v>0.98903050000000003</v>
      </c>
      <c r="Q9155">
        <v>0.12511369999999999</v>
      </c>
      <c r="R9155">
        <v>7.8518350000000001E-2</v>
      </c>
      <c r="S9155">
        <v>3.0352939999999999</v>
      </c>
      <c r="T9155">
        <v>-0.13701070000000001</v>
      </c>
      <c r="U9155">
        <v>0.1890869</v>
      </c>
      <c r="V9155">
        <v>-0.1236353</v>
      </c>
      <c r="W9155">
        <v>0.13649</v>
      </c>
      <c r="X9155">
        <v>0.98289610000000005</v>
      </c>
      <c r="Y9155">
        <v>-0.1075267</v>
      </c>
      <c r="Z9155">
        <v>4.5773259999999996E-3</v>
      </c>
      <c r="AA9155">
        <v>0.99419159999999995</v>
      </c>
      <c r="AB9155">
        <v>27</v>
      </c>
      <c r="AC9155">
        <v>24.7133</v>
      </c>
      <c r="AD9155">
        <v>-1.12144298171302</v>
      </c>
      <c r="AE9155">
        <v>1.55375999999999</v>
      </c>
      <c r="AF9155">
        <v>-2.6752395376435998</v>
      </c>
      <c r="AG9155">
        <v>-1.12144298171302</v>
      </c>
      <c r="AH9155">
        <v>24.5661740831872</v>
      </c>
      <c r="AI9155">
        <v>92.598390480473697</v>
      </c>
      <c r="AJ9155">
        <v>96.214980430947605</v>
      </c>
      <c r="AK9155">
        <v>24.736843978779198</v>
      </c>
      <c r="AL9155">
        <v>82.155211607300501</v>
      </c>
      <c r="AM9155">
        <v>97.169395653249296</v>
      </c>
      <c r="AN9155">
        <v>0.999999975450649</v>
      </c>
    </row>
    <row r="9156" spans="1:40" x14ac:dyDescent="0.25">
      <c r="A9156" t="str">
        <f>"20190303162129099"</f>
        <v>20190303162129099</v>
      </c>
      <c r="B9156" t="str">
        <f>"1551601289091650"</f>
        <v>1551601289091650</v>
      </c>
      <c r="C9156" t="s">
        <v>40</v>
      </c>
      <c r="D9156">
        <v>4.7020039999999996</v>
      </c>
      <c r="E9156">
        <v>0.50526570000000004</v>
      </c>
      <c r="F9156" t="s">
        <v>89</v>
      </c>
      <c r="G9156">
        <v>-231.83340000000001</v>
      </c>
      <c r="H9156" s="1">
        <v>1.6028259999999901E-7</v>
      </c>
      <c r="I9156">
        <v>-60.6318699999999</v>
      </c>
      <c r="J9156">
        <v>-256.73099999999999</v>
      </c>
      <c r="K9156">
        <v>1.121413</v>
      </c>
      <c r="L9156">
        <v>-62.196840000000002</v>
      </c>
      <c r="M9156">
        <v>0.99889110000000003</v>
      </c>
      <c r="N9156">
        <v>-1.1595039999999999E-2</v>
      </c>
      <c r="O9156">
        <v>-4.5631680000000001E-2</v>
      </c>
      <c r="P9156">
        <v>0.98895619999999995</v>
      </c>
      <c r="Q9156">
        <v>0.12597050000000001</v>
      </c>
      <c r="R9156">
        <v>7.8083159999999999E-2</v>
      </c>
      <c r="S9156">
        <v>3.0354770000000002</v>
      </c>
      <c r="T9156">
        <v>-0.13593939999999999</v>
      </c>
      <c r="U9156">
        <v>0.18890380000000001</v>
      </c>
      <c r="V9156">
        <v>-0.1231545</v>
      </c>
      <c r="W9156">
        <v>0.1373559</v>
      </c>
      <c r="X9156">
        <v>0.98283589999999998</v>
      </c>
      <c r="Y9156">
        <v>-0.1074335</v>
      </c>
      <c r="Z9156">
        <v>4.5383469999999999E-3</v>
      </c>
      <c r="AA9156">
        <v>0.99420189999999997</v>
      </c>
      <c r="AB9156">
        <v>27</v>
      </c>
      <c r="AC9156">
        <v>24.897599999999901</v>
      </c>
      <c r="AD9156">
        <v>-1.1214128397173999</v>
      </c>
      <c r="AE9156">
        <v>1.56497</v>
      </c>
      <c r="AF9156">
        <v>-2.69409125552419</v>
      </c>
      <c r="AG9156">
        <v>-1.1214128397173999</v>
      </c>
      <c r="AH9156">
        <v>24.7502314876409</v>
      </c>
      <c r="AI9156">
        <v>92.579037616432501</v>
      </c>
      <c r="AJ9156">
        <v>96.212253308988707</v>
      </c>
      <c r="AK9156">
        <v>24.921670352165201</v>
      </c>
      <c r="AL9156">
        <v>82.105127996324597</v>
      </c>
      <c r="AM9156">
        <v>97.142236274043597</v>
      </c>
      <c r="AN9156">
        <v>1.00000004023193</v>
      </c>
    </row>
    <row r="9157" spans="1:40" x14ac:dyDescent="0.25">
      <c r="A9157" t="str">
        <f>"20190303162129111"</f>
        <v>20190303162129111</v>
      </c>
      <c r="B9157" t="str">
        <f>"1551601289101411"</f>
        <v>1551601289101411</v>
      </c>
      <c r="C9157" t="s">
        <v>40</v>
      </c>
      <c r="D9157">
        <v>4.7023669999999997</v>
      </c>
      <c r="E9157">
        <v>0.50498719999999997</v>
      </c>
      <c r="F9157" t="s">
        <v>89</v>
      </c>
      <c r="G9157">
        <v>-230.7724</v>
      </c>
      <c r="H9157" s="1">
        <v>6.2940930000000002E-7</v>
      </c>
      <c r="I9157">
        <v>-60.579389999999997</v>
      </c>
      <c r="J9157">
        <v>-256.59949999999998</v>
      </c>
      <c r="K9157">
        <v>1.1213900000000001</v>
      </c>
      <c r="L9157">
        <v>-62.20279</v>
      </c>
      <c r="M9157">
        <v>0.9988918</v>
      </c>
      <c r="N9157">
        <v>-1.159516E-2</v>
      </c>
      <c r="O9157">
        <v>-4.5613800000000003E-2</v>
      </c>
      <c r="P9157">
        <v>0.98892000000000002</v>
      </c>
      <c r="Q9157">
        <v>0.1264496</v>
      </c>
      <c r="R9157">
        <v>7.7767559999999999E-2</v>
      </c>
      <c r="S9157">
        <v>3.0352779999999999</v>
      </c>
      <c r="T9157">
        <v>-0.13112399999999999</v>
      </c>
      <c r="U9157">
        <v>0.18911739999999999</v>
      </c>
      <c r="V9157">
        <v>-0.122812</v>
      </c>
      <c r="W9157">
        <v>0.13784279999999999</v>
      </c>
      <c r="X9157">
        <v>0.98281059999999998</v>
      </c>
      <c r="Y9157">
        <v>-0.1075002</v>
      </c>
      <c r="Z9157">
        <v>4.3826129999999996E-3</v>
      </c>
      <c r="AA9157">
        <v>0.99419539999999995</v>
      </c>
      <c r="AB9157">
        <v>27</v>
      </c>
      <c r="AC9157">
        <v>25.827099999999898</v>
      </c>
      <c r="AD9157">
        <v>-1.1213893705907001</v>
      </c>
      <c r="AE9157">
        <v>1.62339999999999</v>
      </c>
      <c r="AF9157">
        <v>-2.7946137706872598</v>
      </c>
      <c r="AG9157">
        <v>-1.1213893705907001</v>
      </c>
      <c r="AH9157">
        <v>25.677941778553102</v>
      </c>
      <c r="AI9157">
        <v>92.485932281094904</v>
      </c>
      <c r="AJ9157">
        <v>96.211239313528495</v>
      </c>
      <c r="AK9157">
        <v>25.853898627297099</v>
      </c>
      <c r="AL9157">
        <v>82.076962852884606</v>
      </c>
      <c r="AM9157">
        <v>97.122759043672303</v>
      </c>
      <c r="AN9157">
        <v>1.00000005016409</v>
      </c>
    </row>
    <row r="9158" spans="1:40" x14ac:dyDescent="0.25">
      <c r="A9158" t="str">
        <f>"20190303162129120"</f>
        <v>20190303162129120</v>
      </c>
      <c r="B9158" t="str">
        <f>"1551601289111171"</f>
        <v>1551601289111171</v>
      </c>
      <c r="C9158" t="s">
        <v>40</v>
      </c>
      <c r="D9158">
        <v>4.7068770000000004</v>
      </c>
      <c r="E9158">
        <v>0.50471169999999999</v>
      </c>
      <c r="F9158" t="s">
        <v>89</v>
      </c>
      <c r="G9158">
        <v>-230.02969999999999</v>
      </c>
      <c r="H9158" s="1">
        <v>9.6011629999999997E-7</v>
      </c>
      <c r="I9158">
        <v>-60.534010000000002</v>
      </c>
      <c r="J9158">
        <v>-256.47309999999999</v>
      </c>
      <c r="K9158">
        <v>1.121373</v>
      </c>
      <c r="L9158">
        <v>-62.208559999999999</v>
      </c>
      <c r="M9158">
        <v>0.99889220000000001</v>
      </c>
      <c r="N9158">
        <v>-1.1595289999999999E-2</v>
      </c>
      <c r="O9158">
        <v>-4.5607189999999999E-2</v>
      </c>
      <c r="P9158">
        <v>0.98886289999999999</v>
      </c>
      <c r="Q9158">
        <v>0.12700359999999999</v>
      </c>
      <c r="R9158">
        <v>7.7590690000000004E-2</v>
      </c>
      <c r="S9158">
        <v>3.0350039999999998</v>
      </c>
      <c r="T9158">
        <v>-0.12809319999999999</v>
      </c>
      <c r="U9158">
        <v>0.1906128</v>
      </c>
      <c r="V9158">
        <v>-0.12261909999999999</v>
      </c>
      <c r="W9158">
        <v>0.13840239999999901</v>
      </c>
      <c r="X9158">
        <v>0.98275599999999996</v>
      </c>
      <c r="Y9158">
        <v>-0.10799309999999999</v>
      </c>
      <c r="Z9158">
        <v>4.2969870000000004E-3</v>
      </c>
      <c r="AA9158">
        <v>0.99414239999999998</v>
      </c>
      <c r="AB9158">
        <v>27</v>
      </c>
      <c r="AC9158">
        <v>26.4434</v>
      </c>
      <c r="AD9158">
        <v>-1.1213720398836999</v>
      </c>
      <c r="AE9158">
        <v>1.67455</v>
      </c>
      <c r="AF9158">
        <v>-2.87375025202078</v>
      </c>
      <c r="AG9158">
        <v>-1.1213720398836999</v>
      </c>
      <c r="AH9158">
        <v>26.2924109021336</v>
      </c>
      <c r="AI9158">
        <v>92.427745564236304</v>
      </c>
      <c r="AJ9158">
        <v>96.237645835077004</v>
      </c>
      <c r="AK9158">
        <v>26.4727555575436</v>
      </c>
      <c r="AL9158">
        <v>82.044589537681702</v>
      </c>
      <c r="AM9158">
        <v>97.112077080856196</v>
      </c>
      <c r="AN9158">
        <v>1.0000000117732799</v>
      </c>
    </row>
    <row r="9159" spans="1:40" x14ac:dyDescent="0.25">
      <c r="A9159" t="str">
        <f>"20190303162129132"</f>
        <v>20190303162129132</v>
      </c>
      <c r="B9159" t="str">
        <f>"1551601289121907"</f>
        <v>1551601289121907</v>
      </c>
      <c r="C9159" t="s">
        <v>40</v>
      </c>
      <c r="D9159">
        <v>4.7209690000000002</v>
      </c>
      <c r="E9159">
        <v>0.50448490000000001</v>
      </c>
      <c r="F9159" t="s">
        <v>91</v>
      </c>
      <c r="G9159">
        <v>-229.1746</v>
      </c>
      <c r="H9159" s="1">
        <v>-3.0751469999999998E-6</v>
      </c>
      <c r="I9159">
        <v>-60.479100000000003</v>
      </c>
      <c r="J9159">
        <v>-256.33679999999998</v>
      </c>
      <c r="K9159">
        <v>1.1213519999999999</v>
      </c>
      <c r="L9159">
        <v>-62.214750000000002</v>
      </c>
      <c r="M9159">
        <v>0.99889209999999995</v>
      </c>
      <c r="N9159">
        <v>-1.159548E-2</v>
      </c>
      <c r="O9159">
        <v>-4.5609110000000001E-2</v>
      </c>
      <c r="P9159">
        <v>0.98884190000000005</v>
      </c>
      <c r="Q9159">
        <v>0.12754199999999999</v>
      </c>
      <c r="R9159">
        <v>7.6974050000000002E-2</v>
      </c>
      <c r="S9159">
        <v>3.0347140000000001</v>
      </c>
      <c r="T9159">
        <v>-0.1246612</v>
      </c>
      <c r="U9159">
        <v>0.19226070000000001</v>
      </c>
      <c r="V9159">
        <v>-0.1219981</v>
      </c>
      <c r="W9159">
        <v>0.1389464</v>
      </c>
      <c r="X9159">
        <v>0.98275650000000003</v>
      </c>
      <c r="Y9159">
        <v>-0.1085454</v>
      </c>
      <c r="Z9159">
        <v>4.199515E-3</v>
      </c>
      <c r="AA9159">
        <v>0.99408260000000004</v>
      </c>
      <c r="AB9159">
        <v>27</v>
      </c>
      <c r="AC9159">
        <v>27.162199999999899</v>
      </c>
      <c r="AD9159">
        <v>-1.1213550751470001</v>
      </c>
      <c r="AE9159">
        <v>1.7356499999999899</v>
      </c>
      <c r="AF9159">
        <v>-2.9677331308510899</v>
      </c>
      <c r="AG9159">
        <v>-1.1213550751470001</v>
      </c>
      <c r="AH9159">
        <v>27.008918232978001</v>
      </c>
      <c r="AI9159">
        <v>92.363231014066898</v>
      </c>
      <c r="AJ9159">
        <v>96.270490843538695</v>
      </c>
      <c r="AK9159">
        <v>27.194605002761101</v>
      </c>
      <c r="AL9159">
        <v>82.013116354380202</v>
      </c>
      <c r="AM9159">
        <v>97.076420744887002</v>
      </c>
      <c r="AN9159">
        <v>0.99999998838440995</v>
      </c>
    </row>
    <row r="9160" spans="1:40" x14ac:dyDescent="0.25">
      <c r="A9160" t="str">
        <f>"20190303162129144"</f>
        <v>20190303162129144</v>
      </c>
      <c r="B9160" t="str">
        <f>"1551601289131667"</f>
        <v>1551601289131667</v>
      </c>
      <c r="C9160" t="s">
        <v>40</v>
      </c>
      <c r="D9160">
        <v>4.7316060000000002</v>
      </c>
      <c r="E9160">
        <v>0.50436990000000004</v>
      </c>
      <c r="F9160" t="s">
        <v>91</v>
      </c>
      <c r="G9160">
        <v>-228.08590000000001</v>
      </c>
      <c r="H9160" s="1">
        <v>-2.5961539999999998E-6</v>
      </c>
      <c r="I9160">
        <v>-60.425350000000002</v>
      </c>
      <c r="J9160">
        <v>-256.19819999999999</v>
      </c>
      <c r="K9160">
        <v>1.1213379999999999</v>
      </c>
      <c r="L9160">
        <v>-62.221069999999997</v>
      </c>
      <c r="M9160">
        <v>0.9988918</v>
      </c>
      <c r="N9160">
        <v>-1.1595690000000001E-2</v>
      </c>
      <c r="O9160">
        <v>-4.561577E-2</v>
      </c>
      <c r="P9160">
        <v>0.98884170000000005</v>
      </c>
      <c r="Q9160">
        <v>0.12782569999999999</v>
      </c>
      <c r="R9160">
        <v>7.6505039999999996E-2</v>
      </c>
      <c r="S9160">
        <v>3.034424</v>
      </c>
      <c r="T9160">
        <v>-0.1204445</v>
      </c>
      <c r="U9160">
        <v>0.1921997</v>
      </c>
      <c r="V9160">
        <v>-0.1215301</v>
      </c>
      <c r="W9160">
        <v>0.13923540000000001</v>
      </c>
      <c r="X9160">
        <v>0.98277360000000002</v>
      </c>
      <c r="Y9160">
        <v>-0.1085468</v>
      </c>
      <c r="Z9160">
        <v>4.0616039999999999E-3</v>
      </c>
      <c r="AA9160">
        <v>0.99408300000000005</v>
      </c>
      <c r="AB9160">
        <v>27</v>
      </c>
      <c r="AC9160">
        <v>28.112299999999902</v>
      </c>
      <c r="AD9160">
        <v>-1.1213405961539999</v>
      </c>
      <c r="AE9160">
        <v>1.79571999999999</v>
      </c>
      <c r="AF9160">
        <v>-3.0714339575544001</v>
      </c>
      <c r="AG9160">
        <v>-1.1213405961539999</v>
      </c>
      <c r="AH9160">
        <v>27.9568143813893</v>
      </c>
      <c r="AI9160">
        <v>92.283164799129807</v>
      </c>
      <c r="AJ9160">
        <v>96.269571975856394</v>
      </c>
      <c r="AK9160">
        <v>28.147372553111499</v>
      </c>
      <c r="AL9160">
        <v>81.9963954757648</v>
      </c>
      <c r="AM9160">
        <v>97.049426934508503</v>
      </c>
      <c r="AN9160">
        <v>1.00000000533806</v>
      </c>
    </row>
    <row r="9161" spans="1:40" x14ac:dyDescent="0.25">
      <c r="A9161" t="str">
        <f>"20190303162129156"</f>
        <v>20190303162129156</v>
      </c>
      <c r="B9161" t="str">
        <f>"1551601289141428"</f>
        <v>1551601289141428</v>
      </c>
      <c r="C9161" t="s">
        <v>40</v>
      </c>
      <c r="D9161">
        <v>4.6988770000000004</v>
      </c>
      <c r="E9161">
        <v>0.50420410000000004</v>
      </c>
      <c r="F9161" t="s">
        <v>91</v>
      </c>
      <c r="G9161">
        <v>-227.4434</v>
      </c>
      <c r="H9161" s="1">
        <v>-2.3159550000000002E-6</v>
      </c>
      <c r="I9161">
        <v>-60.404890000000002</v>
      </c>
      <c r="J9161">
        <v>-256.06009999999998</v>
      </c>
      <c r="K9161">
        <v>1.1213310000000001</v>
      </c>
      <c r="L9161">
        <v>-62.227420000000002</v>
      </c>
      <c r="M9161">
        <v>0.99889119999999998</v>
      </c>
      <c r="N9161">
        <v>-1.1595960000000001E-2</v>
      </c>
      <c r="O9161">
        <v>-4.562795E-2</v>
      </c>
      <c r="P9161">
        <v>0.98884709999999998</v>
      </c>
      <c r="Q9161">
        <v>0.12814739999999999</v>
      </c>
      <c r="R9161">
        <v>7.5892280000000006E-2</v>
      </c>
      <c r="S9161">
        <v>3.0343170000000002</v>
      </c>
      <c r="T9161">
        <v>-0.11832810000000001</v>
      </c>
      <c r="U9161">
        <v>0.1916504</v>
      </c>
      <c r="V9161">
        <v>-0.12092749999999999</v>
      </c>
      <c r="W9161">
        <v>0.139560299999999</v>
      </c>
      <c r="X9161">
        <v>0.98280190000000001</v>
      </c>
      <c r="Y9161">
        <v>-0.1083863</v>
      </c>
      <c r="Z9161">
        <v>3.9884940000000004E-3</v>
      </c>
      <c r="AA9161">
        <v>0.99410089999999995</v>
      </c>
      <c r="AB9161">
        <v>27</v>
      </c>
      <c r="AC9161">
        <v>28.616699999999899</v>
      </c>
      <c r="AD9161">
        <v>-1.1213333159550001</v>
      </c>
      <c r="AE9161">
        <v>1.82252999999999</v>
      </c>
      <c r="AF9161">
        <v>-3.1216669924106202</v>
      </c>
      <c r="AG9161">
        <v>-1.1213333159550001</v>
      </c>
      <c r="AH9161">
        <v>28.460205720117099</v>
      </c>
      <c r="AI9161">
        <v>92.242851574825593</v>
      </c>
      <c r="AJ9161">
        <v>96.2594840369091</v>
      </c>
      <c r="AK9161">
        <v>28.652844585631701</v>
      </c>
      <c r="AL9161">
        <v>81.977596942772294</v>
      </c>
      <c r="AM9161">
        <v>97.014621882144894</v>
      </c>
      <c r="AN9161">
        <v>1.00000005611797</v>
      </c>
    </row>
    <row r="9162" spans="1:40" x14ac:dyDescent="0.25">
      <c r="A9162" t="str">
        <f>"20190303162129166"</f>
        <v>20190303162129166</v>
      </c>
      <c r="B9162" t="str">
        <f>"1551601289161923"</f>
        <v>1551601289161923</v>
      </c>
      <c r="C9162" t="s">
        <v>40</v>
      </c>
      <c r="D9162">
        <v>4.6902699999999999</v>
      </c>
      <c r="E9162">
        <v>0.50382009999999999</v>
      </c>
      <c r="F9162" t="s">
        <v>91</v>
      </c>
      <c r="G9162">
        <v>-226.8039</v>
      </c>
      <c r="H9162" s="1">
        <v>-2.0370819999999999E-6</v>
      </c>
      <c r="I9162">
        <v>-60.384520000000002</v>
      </c>
      <c r="J9162">
        <v>-255.92789999999999</v>
      </c>
      <c r="K9162">
        <v>1.121326</v>
      </c>
      <c r="L9162">
        <v>-62.233460000000001</v>
      </c>
      <c r="M9162">
        <v>0.99889079999999997</v>
      </c>
      <c r="N9162">
        <v>-1.1596230000000001E-2</v>
      </c>
      <c r="O9162">
        <v>-4.5640460000000001E-2</v>
      </c>
      <c r="P9162">
        <v>0.988869</v>
      </c>
      <c r="Q9162">
        <v>0.12835050000000001</v>
      </c>
      <c r="R9162">
        <v>7.5263830000000004E-2</v>
      </c>
      <c r="S9162">
        <v>3.0342410000000002</v>
      </c>
      <c r="T9162">
        <v>-0.1162965</v>
      </c>
      <c r="U9162">
        <v>0.19113160000000001</v>
      </c>
      <c r="V9162">
        <v>-0.12031</v>
      </c>
      <c r="W9162">
        <v>0.13976659999999999</v>
      </c>
      <c r="X9162">
        <v>0.98284830000000001</v>
      </c>
      <c r="Y9162">
        <v>-0.1082352</v>
      </c>
      <c r="Z9162">
        <v>3.918459E-3</v>
      </c>
      <c r="AA9162">
        <v>0.99411760000000005</v>
      </c>
      <c r="AB9162">
        <v>27</v>
      </c>
      <c r="AC9162">
        <v>29.123999999999899</v>
      </c>
      <c r="AD9162">
        <v>-1.121328037082</v>
      </c>
      <c r="AE9162">
        <v>1.84894</v>
      </c>
      <c r="AF9162">
        <v>-3.17165216056822</v>
      </c>
      <c r="AG9162">
        <v>-1.121328037082</v>
      </c>
      <c r="AH9162">
        <v>28.966487238716301</v>
      </c>
      <c r="AI9162">
        <v>92.203724884802597</v>
      </c>
      <c r="AJ9162">
        <v>96.248643270646994</v>
      </c>
      <c r="AK9162">
        <v>29.1611751639932</v>
      </c>
      <c r="AL9162">
        <v>81.965659291630701</v>
      </c>
      <c r="AM9162">
        <v>96.978830578989204</v>
      </c>
      <c r="AN9162">
        <v>0.99999998969422499</v>
      </c>
    </row>
    <row r="9163" spans="1:40" x14ac:dyDescent="0.25">
      <c r="A9163" t="str">
        <f>"20190303162129178"</f>
        <v>20190303162129178</v>
      </c>
      <c r="B9163" t="str">
        <f>"1551601289171683"</f>
        <v>1551601289171683</v>
      </c>
      <c r="C9163" t="s">
        <v>40</v>
      </c>
      <c r="D9163">
        <v>4.7117950000000004</v>
      </c>
      <c r="E9163">
        <v>0.50367910000000005</v>
      </c>
      <c r="F9163" t="s">
        <v>91</v>
      </c>
      <c r="G9163">
        <v>-226.0324</v>
      </c>
      <c r="H9163" s="1">
        <v>-1.716001E-6</v>
      </c>
      <c r="I9163">
        <v>-60.338070000000002</v>
      </c>
      <c r="J9163">
        <v>-255.7851</v>
      </c>
      <c r="K9163">
        <v>1.1213280000000001</v>
      </c>
      <c r="L9163">
        <v>-62.239989999999999</v>
      </c>
      <c r="M9163">
        <v>0.9988899</v>
      </c>
      <c r="N9163">
        <v>-1.159659E-2</v>
      </c>
      <c r="O9163">
        <v>-4.5655540000000001E-2</v>
      </c>
      <c r="P9163">
        <v>0.98881699999999995</v>
      </c>
      <c r="Q9163">
        <v>0.12924359999999999</v>
      </c>
      <c r="R9163">
        <v>7.4411939999999996E-2</v>
      </c>
      <c r="S9163">
        <v>3.0339200000000002</v>
      </c>
      <c r="T9163">
        <v>-0.1137971</v>
      </c>
      <c r="U9163">
        <v>0.1923523</v>
      </c>
      <c r="V9163">
        <v>-0.1194699</v>
      </c>
      <c r="W9163">
        <v>0.1406608</v>
      </c>
      <c r="X9163">
        <v>0.98282320000000001</v>
      </c>
      <c r="Y9163">
        <v>-0.1086596</v>
      </c>
      <c r="Z9163">
        <v>3.8476040000000001E-3</v>
      </c>
      <c r="AA9163">
        <v>0.9940715</v>
      </c>
      <c r="AB9163">
        <v>27</v>
      </c>
      <c r="AC9163">
        <v>29.752700000000001</v>
      </c>
      <c r="AD9163">
        <v>-1.1213297160010001</v>
      </c>
      <c r="AE9163">
        <v>1.9019200000000001</v>
      </c>
      <c r="AF9163">
        <v>-3.2538005389766602</v>
      </c>
      <c r="AG9163">
        <v>-1.1213297160010001</v>
      </c>
      <c r="AH9163">
        <v>29.592968835542901</v>
      </c>
      <c r="AI9163">
        <v>92.157012919501597</v>
      </c>
      <c r="AJ9163">
        <v>96.274570501316703</v>
      </c>
      <c r="AK9163">
        <v>29.7924219019005</v>
      </c>
      <c r="AL9163">
        <v>81.9139141489796</v>
      </c>
      <c r="AM9163">
        <v>96.930749717383705</v>
      </c>
      <c r="AN9163">
        <v>0.99999998006044399</v>
      </c>
    </row>
    <row r="9164" spans="1:40" x14ac:dyDescent="0.25">
      <c r="A9164" t="str">
        <f>"20190303162129189"</f>
        <v>20190303162129189</v>
      </c>
      <c r="B9164" t="str">
        <f>"1551601289181443"</f>
        <v>1551601289181443</v>
      </c>
      <c r="C9164" t="s">
        <v>40</v>
      </c>
      <c r="D9164">
        <v>4.7271879999999999</v>
      </c>
      <c r="E9164">
        <v>0.5035579</v>
      </c>
      <c r="F9164" t="s">
        <v>91</v>
      </c>
      <c r="G9164">
        <v>-224.9879</v>
      </c>
      <c r="H9164" s="1">
        <v>-1.2758759999999999E-6</v>
      </c>
      <c r="I9164">
        <v>-60.302019999999999</v>
      </c>
      <c r="J9164">
        <v>-255.66120000000001</v>
      </c>
      <c r="K9164">
        <v>1.1213310000000001</v>
      </c>
      <c r="L9164">
        <v>-62.245669999999997</v>
      </c>
      <c r="M9164">
        <v>0.99888940000000004</v>
      </c>
      <c r="N9164">
        <v>-1.159693E-2</v>
      </c>
      <c r="O9164">
        <v>-4.5668800000000002E-2</v>
      </c>
      <c r="P9164">
        <v>0.98866569999999998</v>
      </c>
      <c r="Q9164">
        <v>0.1307574</v>
      </c>
      <c r="R9164">
        <v>7.3776240000000007E-2</v>
      </c>
      <c r="S9164">
        <v>3.0339659999999999</v>
      </c>
      <c r="T9164">
        <v>-0.110467</v>
      </c>
      <c r="U9164">
        <v>0.190918</v>
      </c>
      <c r="V9164">
        <v>-0.11884069999999999</v>
      </c>
      <c r="W9164">
        <v>0.1421742</v>
      </c>
      <c r="X9164">
        <v>0.98268180000000005</v>
      </c>
      <c r="Y9164">
        <v>-0.1082105</v>
      </c>
      <c r="Z9164">
        <v>3.7275849999999998E-3</v>
      </c>
      <c r="AA9164">
        <v>0.99412100000000003</v>
      </c>
      <c r="AB9164">
        <v>27</v>
      </c>
      <c r="AC9164">
        <v>30.673300000000001</v>
      </c>
      <c r="AD9164">
        <v>-1.12133227587599</v>
      </c>
      <c r="AE9164">
        <v>1.9436499999999901</v>
      </c>
      <c r="AF9164">
        <v>-3.3380853981939298</v>
      </c>
      <c r="AG9164">
        <v>-1.12133227587599</v>
      </c>
      <c r="AH9164">
        <v>30.511908070873201</v>
      </c>
      <c r="AI9164">
        <v>92.092237091783304</v>
      </c>
      <c r="AJ9164">
        <v>96.243483180780999</v>
      </c>
      <c r="AK9164">
        <v>30.714438531804099</v>
      </c>
      <c r="AL9164">
        <v>81.826323132793505</v>
      </c>
      <c r="AM9164">
        <v>96.895583028467598</v>
      </c>
      <c r="AN9164">
        <v>1.00000006758668</v>
      </c>
    </row>
    <row r="9165" spans="1:40" x14ac:dyDescent="0.25">
      <c r="A9165" t="str">
        <f>"20190303162129199"</f>
        <v>20190303162129199</v>
      </c>
      <c r="B9165" t="str">
        <f>"1551601289191202"</f>
        <v>1551601289191202</v>
      </c>
      <c r="C9165" t="s">
        <v>40</v>
      </c>
      <c r="D9165">
        <v>4.6600510000000002</v>
      </c>
      <c r="E9165">
        <v>0.50341729999999996</v>
      </c>
      <c r="F9165" t="s">
        <v>91</v>
      </c>
      <c r="G9165">
        <v>-223.10120000000001</v>
      </c>
      <c r="H9165" s="1">
        <v>-4.8691789999999997E-7</v>
      </c>
      <c r="I9165">
        <v>-60.209609999999998</v>
      </c>
      <c r="J9165">
        <v>-255.52799999999999</v>
      </c>
      <c r="K9165">
        <v>1.121346</v>
      </c>
      <c r="L9165">
        <v>-62.251769999999901</v>
      </c>
      <c r="M9165">
        <v>0.99888869999999996</v>
      </c>
      <c r="N9165">
        <v>-1.159731E-2</v>
      </c>
      <c r="O9165">
        <v>-4.5682279999999999E-2</v>
      </c>
      <c r="P9165">
        <v>0.98843619999999999</v>
      </c>
      <c r="Q9165">
        <v>0.13287689999999999</v>
      </c>
      <c r="R9165">
        <v>7.3061269999999998E-2</v>
      </c>
      <c r="S9165">
        <v>3.0340729999999998</v>
      </c>
      <c r="T9165">
        <v>-0.10449020000000001</v>
      </c>
      <c r="U9165">
        <v>0.1897278</v>
      </c>
      <c r="V9165">
        <v>-0.1181289</v>
      </c>
      <c r="W9165">
        <v>0.14429169999999999</v>
      </c>
      <c r="X9165">
        <v>0.98245890000000002</v>
      </c>
      <c r="Y9165">
        <v>-0.1078445</v>
      </c>
      <c r="Z9165">
        <v>3.5231559999999999E-3</v>
      </c>
      <c r="AA9165">
        <v>0.99416150000000003</v>
      </c>
      <c r="AB9165">
        <v>27</v>
      </c>
      <c r="AC9165">
        <v>32.426799999999901</v>
      </c>
      <c r="AD9165">
        <v>-1.1213464869179</v>
      </c>
      <c r="AE9165">
        <v>2.0421599999999902</v>
      </c>
      <c r="AF9165">
        <v>-3.5172680624944599</v>
      </c>
      <c r="AG9165">
        <v>-1.1213464869179</v>
      </c>
      <c r="AH9165">
        <v>32.261218998111403</v>
      </c>
      <c r="AI9165">
        <v>91.978987537723498</v>
      </c>
      <c r="AJ9165">
        <v>96.222077236807394</v>
      </c>
      <c r="AK9165">
        <v>32.471754553939199</v>
      </c>
      <c r="AL9165">
        <v>81.703734827430196</v>
      </c>
      <c r="AM9165">
        <v>96.856216242719299</v>
      </c>
      <c r="AN9165">
        <v>1.00000001094665</v>
      </c>
    </row>
    <row r="9166" spans="1:40" x14ac:dyDescent="0.25">
      <c r="A9166" t="str">
        <f>"20190303162129210"</f>
        <v>20190303162129210</v>
      </c>
      <c r="B9166" t="str">
        <f>"1551601289201939"</f>
        <v>1551601289201939</v>
      </c>
      <c r="C9166" t="s">
        <v>40</v>
      </c>
      <c r="D9166">
        <v>4.701511</v>
      </c>
      <c r="E9166">
        <v>0.50332670000000002</v>
      </c>
      <c r="F9166" t="s">
        <v>91</v>
      </c>
      <c r="G9166">
        <v>-220.73689999999999</v>
      </c>
      <c r="H9166" s="1">
        <v>5.0135320000000004E-7</v>
      </c>
      <c r="I9166">
        <v>-60.092120000000001</v>
      </c>
      <c r="J9166">
        <v>-255.40090000000001</v>
      </c>
      <c r="K9166">
        <v>1.1213550000000001</v>
      </c>
      <c r="L9166">
        <v>-62.257629999999999</v>
      </c>
      <c r="M9166">
        <v>0.99888809999999995</v>
      </c>
      <c r="N9166">
        <v>-1.1597710000000001E-2</v>
      </c>
      <c r="O9166">
        <v>-4.5694190000000003E-2</v>
      </c>
      <c r="P9166">
        <v>0.98817860000000002</v>
      </c>
      <c r="Q9166">
        <v>0.135127</v>
      </c>
      <c r="R9166">
        <v>7.2414709999999993E-2</v>
      </c>
      <c r="S9166">
        <v>3.0343170000000002</v>
      </c>
      <c r="T9166">
        <v>-9.7798469999999998E-2</v>
      </c>
      <c r="U9166">
        <v>0.18835450000000001</v>
      </c>
      <c r="V9166">
        <v>-0.117483</v>
      </c>
      <c r="W9166">
        <v>0.1465388</v>
      </c>
      <c r="X9166">
        <v>0.98220370000000001</v>
      </c>
      <c r="Y9166">
        <v>-0.10741489999999999</v>
      </c>
      <c r="Z9166">
        <v>3.294426E-3</v>
      </c>
      <c r="AA9166">
        <v>0.9942088</v>
      </c>
      <c r="AB9166">
        <v>27</v>
      </c>
      <c r="AC9166">
        <v>34.664000000000001</v>
      </c>
      <c r="AD9166">
        <v>-1.12135449864679</v>
      </c>
      <c r="AE9166">
        <v>2.16551000000001</v>
      </c>
      <c r="AF9166">
        <v>-3.74339564398755</v>
      </c>
      <c r="AG9166">
        <v>-1.12135449864679</v>
      </c>
      <c r="AH9166">
        <v>34.492874243925797</v>
      </c>
      <c r="AI9166">
        <v>91.851153380140104</v>
      </c>
      <c r="AJ9166">
        <v>96.1938769511911</v>
      </c>
      <c r="AK9166">
        <v>34.713525036595399</v>
      </c>
      <c r="AL9166">
        <v>81.573602073440298</v>
      </c>
      <c r="AM9166">
        <v>96.8208371546378</v>
      </c>
      <c r="AN9166">
        <v>0.99999999174406495</v>
      </c>
    </row>
    <row r="9167" spans="1:40" x14ac:dyDescent="0.25">
      <c r="A9167" t="str">
        <f>"20190303162129222"</f>
        <v>20190303162129222</v>
      </c>
      <c r="B9167" t="str">
        <f>"1551601289211699"</f>
        <v>1551601289211699</v>
      </c>
      <c r="C9167" t="s">
        <v>40</v>
      </c>
      <c r="D9167">
        <v>4.6694290000000001</v>
      </c>
      <c r="E9167">
        <v>0.50317749999999895</v>
      </c>
      <c r="F9167" t="s">
        <v>90</v>
      </c>
      <c r="G9167">
        <v>-217.7047</v>
      </c>
      <c r="H9167" s="1">
        <v>-2.3541290000000002E-6</v>
      </c>
      <c r="I9167">
        <v>-59.9336699999999</v>
      </c>
      <c r="J9167">
        <v>-255.2595</v>
      </c>
      <c r="K9167">
        <v>1.121367</v>
      </c>
      <c r="L9167">
        <v>-62.264099999999999</v>
      </c>
      <c r="M9167">
        <v>0.99888759999999999</v>
      </c>
      <c r="N9167">
        <v>-1.159816E-2</v>
      </c>
      <c r="O9167">
        <v>-4.5706089999999998E-2</v>
      </c>
      <c r="P9167">
        <v>0.98794090000000001</v>
      </c>
      <c r="Q9167">
        <v>0.1372226</v>
      </c>
      <c r="R9167">
        <v>7.1713609999999997E-2</v>
      </c>
      <c r="S9167">
        <v>3.0345309999999999</v>
      </c>
      <c r="T9167">
        <v>-9.0268849999999998E-2</v>
      </c>
      <c r="U9167">
        <v>0.18707280000000001</v>
      </c>
      <c r="V9167">
        <v>-0.11678379999999999</v>
      </c>
      <c r="W9167">
        <v>0.14863180000000001</v>
      </c>
      <c r="X9167">
        <v>0.98197259999999997</v>
      </c>
      <c r="Y9167">
        <v>-0.10701629999999999</v>
      </c>
      <c r="Z9167">
        <v>3.0399149999999998E-3</v>
      </c>
      <c r="AA9167">
        <v>0.99425260000000004</v>
      </c>
      <c r="AB9167">
        <v>27</v>
      </c>
      <c r="AC9167">
        <v>37.5548</v>
      </c>
      <c r="AD9167">
        <v>-1.121369354129</v>
      </c>
      <c r="AE9167">
        <v>2.3304299999999998</v>
      </c>
      <c r="AF9167">
        <v>-4.0410036302331598</v>
      </c>
      <c r="AG9167">
        <v>-1.121369354129</v>
      </c>
      <c r="AH9167">
        <v>37.375829152193603</v>
      </c>
      <c r="AI9167">
        <v>91.708551595188098</v>
      </c>
      <c r="AJ9167">
        <v>96.170740968524598</v>
      </c>
      <c r="AK9167">
        <v>37.610368043691103</v>
      </c>
      <c r="AL9167">
        <v>81.452354545312701</v>
      </c>
      <c r="AM9167">
        <v>96.782202931127202</v>
      </c>
      <c r="AN9167">
        <v>1.0000000275322101</v>
      </c>
    </row>
    <row r="9168" spans="1:40" x14ac:dyDescent="0.25">
      <c r="A9168" t="str">
        <f>"20190303162129233"</f>
        <v>20190303162129233</v>
      </c>
      <c r="B9168" t="str">
        <f>"1551601289221458"</f>
        <v>1551601289221458</v>
      </c>
      <c r="C9168" t="s">
        <v>40</v>
      </c>
      <c r="D9168">
        <v>4.687735</v>
      </c>
      <c r="E9168">
        <v>0.50305999999999995</v>
      </c>
      <c r="F9168" t="s">
        <v>90</v>
      </c>
      <c r="G9168">
        <v>-214.37739999999999</v>
      </c>
      <c r="H9168" s="1">
        <v>-9.577252000000001E-7</v>
      </c>
      <c r="I9168">
        <v>-59.759099999999997</v>
      </c>
      <c r="J9168">
        <v>-255.12549999999999</v>
      </c>
      <c r="K9168">
        <v>1.1213900000000001</v>
      </c>
      <c r="L9168">
        <v>-62.27026</v>
      </c>
      <c r="M9168">
        <v>0.99888730000000003</v>
      </c>
      <c r="N9168">
        <v>-1.159866E-2</v>
      </c>
      <c r="O9168">
        <v>-4.5715119999999998E-2</v>
      </c>
      <c r="P9168">
        <v>0.98772360000000003</v>
      </c>
      <c r="Q9168">
        <v>0.13909360000000001</v>
      </c>
      <c r="R9168">
        <v>7.1101410000000004E-2</v>
      </c>
      <c r="S9168">
        <v>3.0346980000000001</v>
      </c>
      <c r="T9168">
        <v>-8.3239789999999994E-2</v>
      </c>
      <c r="U9168">
        <v>0.18594359999999999</v>
      </c>
      <c r="V9168">
        <v>-0.11617180000000001</v>
      </c>
      <c r="W9168">
        <v>0.1505002</v>
      </c>
      <c r="X9168">
        <v>0.98176059999999998</v>
      </c>
      <c r="Y9168">
        <v>-0.1066638</v>
      </c>
      <c r="Z9168">
        <v>2.8035450000000002E-3</v>
      </c>
      <c r="AA9168">
        <v>0.99429120000000004</v>
      </c>
      <c r="AB9168">
        <v>27</v>
      </c>
      <c r="AC9168">
        <v>40.748100000000001</v>
      </c>
      <c r="AD9168">
        <v>-1.1213909577251999</v>
      </c>
      <c r="AE9168">
        <v>2.5111599999999998</v>
      </c>
      <c r="AF9168">
        <v>-4.3681679084102996</v>
      </c>
      <c r="AG9168">
        <v>-1.1213909577251999</v>
      </c>
      <c r="AH9168">
        <v>40.560085002498198</v>
      </c>
      <c r="AI9168">
        <v>91.574589640999804</v>
      </c>
      <c r="AJ9168">
        <v>96.146847347181705</v>
      </c>
      <c r="AK9168">
        <v>40.810034353893997</v>
      </c>
      <c r="AL9168">
        <v>81.344085334545397</v>
      </c>
      <c r="AM9168">
        <v>96.748433122761995</v>
      </c>
      <c r="AN9168">
        <v>1.00000003651381</v>
      </c>
    </row>
    <row r="9169" spans="1:40" x14ac:dyDescent="0.25">
      <c r="A9169" t="str">
        <f>"20190303162129245"</f>
        <v>20190303162129245</v>
      </c>
      <c r="B9169" t="str">
        <f>"1551601289231219"</f>
        <v>1551601289231219</v>
      </c>
      <c r="C9169" t="s">
        <v>40</v>
      </c>
      <c r="D9169">
        <v>4.6608429999999998</v>
      </c>
      <c r="E9169">
        <v>0.50296560000000001</v>
      </c>
      <c r="F9169" t="s">
        <v>90</v>
      </c>
      <c r="G9169">
        <v>-210.80840000000001</v>
      </c>
      <c r="H9169" s="1">
        <v>5.3681390000000001E-7</v>
      </c>
      <c r="I9169">
        <v>-59.5745199999999</v>
      </c>
      <c r="J9169">
        <v>-254.97929999999999</v>
      </c>
      <c r="K9169">
        <v>1.121405</v>
      </c>
      <c r="L9169">
        <v>-62.276980000000002</v>
      </c>
      <c r="M9169">
        <v>0.99888679999999996</v>
      </c>
      <c r="N9169">
        <v>-1.159923E-2</v>
      </c>
      <c r="O9169">
        <v>-4.572379E-2</v>
      </c>
      <c r="P9169">
        <v>0.98753849999999999</v>
      </c>
      <c r="Q9169">
        <v>0.14079359999999999</v>
      </c>
      <c r="R9169">
        <v>7.0321049999999996E-2</v>
      </c>
      <c r="S9169">
        <v>3.0348359999999999</v>
      </c>
      <c r="T9169">
        <v>-7.6792840000000001E-2</v>
      </c>
      <c r="U9169">
        <v>0.18460080000000001</v>
      </c>
      <c r="V9169">
        <v>-0.11539339999999999</v>
      </c>
      <c r="W9169">
        <v>0.152198</v>
      </c>
      <c r="X9169">
        <v>0.98159059999999998</v>
      </c>
      <c r="Y9169">
        <v>-0.1062403</v>
      </c>
      <c r="Z9169">
        <v>2.5856059999999998E-3</v>
      </c>
      <c r="AA9169">
        <v>0.99433709999999997</v>
      </c>
      <c r="AB9169">
        <v>27</v>
      </c>
      <c r="AC9169">
        <v>44.170899999999897</v>
      </c>
      <c r="AD9169">
        <v>-1.1214044631861</v>
      </c>
      <c r="AE9169">
        <v>2.7024599999999999</v>
      </c>
      <c r="AF9169">
        <v>-4.7164013717229301</v>
      </c>
      <c r="AG9169">
        <v>-1.1214044631861</v>
      </c>
      <c r="AH9169">
        <v>43.972884593960302</v>
      </c>
      <c r="AI9169">
        <v>91.452523228076004</v>
      </c>
      <c r="AJ9169">
        <v>96.121971344167804</v>
      </c>
      <c r="AK9169">
        <v>44.239310227251501</v>
      </c>
      <c r="AL9169">
        <v>81.245674462555101</v>
      </c>
      <c r="AM9169">
        <v>96.704779094558702</v>
      </c>
      <c r="AN9169">
        <v>0.999999986987959</v>
      </c>
    </row>
    <row r="9170" spans="1:40" x14ac:dyDescent="0.25">
      <c r="A9170" t="str">
        <f>"20190303162129256"</f>
        <v>20190303162129256</v>
      </c>
      <c r="B9170" t="str">
        <f>"1551601289241955"</f>
        <v>1551601289241955</v>
      </c>
      <c r="C9170" t="s">
        <v>40</v>
      </c>
      <c r="D9170">
        <v>4.6578249999999999</v>
      </c>
      <c r="E9170">
        <v>0.50286350000000002</v>
      </c>
      <c r="F9170" t="s">
        <v>62</v>
      </c>
      <c r="G9170">
        <v>-207.48670000000001</v>
      </c>
      <c r="H9170" s="1">
        <v>-1.8256459999999999E-6</v>
      </c>
      <c r="I9170">
        <v>-59.419379999999997</v>
      </c>
      <c r="J9170">
        <v>-254.8441</v>
      </c>
      <c r="K9170">
        <v>1.121421</v>
      </c>
      <c r="L9170">
        <v>-62.283169999999998</v>
      </c>
      <c r="M9170">
        <v>0.99888659999999996</v>
      </c>
      <c r="N9170">
        <v>-1.1599760000000001E-2</v>
      </c>
      <c r="O9170">
        <v>-4.5728530000000003E-2</v>
      </c>
      <c r="P9170">
        <v>0.98730830000000003</v>
      </c>
      <c r="Q9170">
        <v>0.14265340000000001</v>
      </c>
      <c r="R9170">
        <v>6.9803480000000001E-2</v>
      </c>
      <c r="S9170">
        <v>3.0350649999999999</v>
      </c>
      <c r="T9170">
        <v>-7.1664690000000003E-2</v>
      </c>
      <c r="U9170">
        <v>0.18261720000000001</v>
      </c>
      <c r="V9170">
        <v>-0.11487120000000001</v>
      </c>
      <c r="W9170">
        <v>0.1540551</v>
      </c>
      <c r="X9170">
        <v>0.98136210000000001</v>
      </c>
      <c r="Y9170">
        <v>-0.1055996</v>
      </c>
      <c r="Z9170">
        <v>2.4074080000000002E-3</v>
      </c>
      <c r="AA9170">
        <v>0.99440580000000001</v>
      </c>
      <c r="AB9170">
        <v>27</v>
      </c>
      <c r="AC9170">
        <v>47.357399999999899</v>
      </c>
      <c r="AD9170">
        <v>-1.1214228256459999</v>
      </c>
      <c r="AE9170">
        <v>2.8637899999999901</v>
      </c>
      <c r="AF9170">
        <v>-5.02371694689867</v>
      </c>
      <c r="AG9170">
        <v>-1.1214228256459999</v>
      </c>
      <c r="AH9170">
        <v>47.150544259062102</v>
      </c>
      <c r="AI9170">
        <v>91.354793701364201</v>
      </c>
      <c r="AJ9170">
        <v>96.081710246925894</v>
      </c>
      <c r="AK9170">
        <v>47.430677256836702</v>
      </c>
      <c r="AL9170">
        <v>81.138000448220396</v>
      </c>
      <c r="AM9170">
        <v>96.676251857943896</v>
      </c>
      <c r="AN9170">
        <v>0.99999996887092901</v>
      </c>
    </row>
    <row r="9171" spans="1:40" x14ac:dyDescent="0.25">
      <c r="A9171" t="str">
        <f>"20190303162129268"</f>
        <v>20190303162129268</v>
      </c>
      <c r="B9171" t="str">
        <f>"1551601289261474"</f>
        <v>1551601289261474</v>
      </c>
      <c r="C9171" t="s">
        <v>40</v>
      </c>
      <c r="D9171">
        <v>4.6487109999999996</v>
      </c>
      <c r="E9171">
        <v>0.50270789999999999</v>
      </c>
      <c r="F9171" t="s">
        <v>62</v>
      </c>
      <c r="G9171">
        <v>-203.3015</v>
      </c>
      <c r="H9171" s="1">
        <v>-4.2839139999999997E-6</v>
      </c>
      <c r="I9171">
        <v>-59.19556</v>
      </c>
      <c r="J9171">
        <v>-254.71109999999999</v>
      </c>
      <c r="K9171">
        <v>1.1214390000000001</v>
      </c>
      <c r="L9171">
        <v>-62.28931</v>
      </c>
      <c r="M9171">
        <v>0.99888639999999995</v>
      </c>
      <c r="N9171">
        <v>-1.1600279999999999E-2</v>
      </c>
      <c r="O9171">
        <v>-4.5732429999999998E-2</v>
      </c>
      <c r="P9171">
        <v>0.98705770000000004</v>
      </c>
      <c r="Q9171">
        <v>0.14468049999999999</v>
      </c>
      <c r="R9171">
        <v>6.917268E-2</v>
      </c>
      <c r="S9171">
        <v>3.0352480000000002</v>
      </c>
      <c r="T9171">
        <v>-6.6038730000000004E-2</v>
      </c>
      <c r="U9171">
        <v>0.1818237</v>
      </c>
      <c r="V9171">
        <v>-0.11423410000000001</v>
      </c>
      <c r="W9171">
        <v>0.15607969999999999</v>
      </c>
      <c r="X9171">
        <v>0.98111649999999995</v>
      </c>
      <c r="Y9171">
        <v>-0.1053475</v>
      </c>
      <c r="Z9171">
        <v>2.22069E-3</v>
      </c>
      <c r="AA9171">
        <v>0.99443300000000001</v>
      </c>
      <c r="AB9171">
        <v>27</v>
      </c>
      <c r="AC9171">
        <v>51.409599999999898</v>
      </c>
      <c r="AD9171">
        <v>-1.1214432839139901</v>
      </c>
      <c r="AE9171">
        <v>3.09375</v>
      </c>
      <c r="AF9171">
        <v>-5.4391778463450304</v>
      </c>
      <c r="AG9171">
        <v>-1.1214432839139901</v>
      </c>
      <c r="AH9171">
        <v>51.190039296846301</v>
      </c>
      <c r="AI9171">
        <v>91.247980875446899</v>
      </c>
      <c r="AJ9171">
        <v>96.065183835056601</v>
      </c>
      <c r="AK9171">
        <v>51.490410892668898</v>
      </c>
      <c r="AL9171">
        <v>81.020578824671304</v>
      </c>
      <c r="AM9171">
        <v>96.641202676330394</v>
      </c>
      <c r="AN9171">
        <v>0.99999994446357299</v>
      </c>
    </row>
    <row r="9172" spans="1:40" x14ac:dyDescent="0.25">
      <c r="A9172" t="str">
        <f>"20190303162129278"</f>
        <v>20190303162129278</v>
      </c>
      <c r="B9172" t="str">
        <f>"1551601289271235"</f>
        <v>1551601289271235</v>
      </c>
      <c r="C9172" t="s">
        <v>40</v>
      </c>
      <c r="D9172">
        <v>4.6334419999999996</v>
      </c>
      <c r="E9172">
        <v>0.50261250000000002</v>
      </c>
      <c r="F9172" t="s">
        <v>62</v>
      </c>
      <c r="G9172">
        <v>-197.6824</v>
      </c>
      <c r="H9172" s="1">
        <v>-7.5585499999999998E-6</v>
      </c>
      <c r="I9172">
        <v>-58.880629999999996</v>
      </c>
      <c r="J9172">
        <v>-254.5822</v>
      </c>
      <c r="K9172">
        <v>1.121453</v>
      </c>
      <c r="L9172">
        <v>-62.295200000000001</v>
      </c>
      <c r="M9172">
        <v>0.9988863</v>
      </c>
      <c r="N9172">
        <v>-1.16008E-2</v>
      </c>
      <c r="O9172">
        <v>-4.5733490000000002E-2</v>
      </c>
      <c r="P9172">
        <v>0.98675869999999999</v>
      </c>
      <c r="Q9172">
        <v>0.14716799999999999</v>
      </c>
      <c r="R9172">
        <v>6.8182740000000006E-2</v>
      </c>
      <c r="S9172">
        <v>3.035355</v>
      </c>
      <c r="T9172">
        <v>-5.9689039999999999E-2</v>
      </c>
      <c r="U9172">
        <v>0.181427</v>
      </c>
      <c r="V9172">
        <v>-0.1132329</v>
      </c>
      <c r="W9172">
        <v>0.1585637</v>
      </c>
      <c r="X9172">
        <v>0.98083419999999999</v>
      </c>
      <c r="Y9172">
        <v>-0.1052237</v>
      </c>
      <c r="Z9172">
        <v>2.0130539999999998E-3</v>
      </c>
      <c r="AA9172">
        <v>0.99444650000000001</v>
      </c>
      <c r="AB9172">
        <v>27</v>
      </c>
      <c r="AC9172">
        <v>56.899799999999999</v>
      </c>
      <c r="AD9172">
        <v>-1.1214605585499999</v>
      </c>
      <c r="AE9172">
        <v>3.4145699999999901</v>
      </c>
      <c r="AF9172">
        <v>-6.0110716825805</v>
      </c>
      <c r="AG9172">
        <v>-1.1214605585499999</v>
      </c>
      <c r="AH9172">
        <v>56.6621536622023</v>
      </c>
      <c r="AI9172">
        <v>91.127527921859098</v>
      </c>
      <c r="AJ9172">
        <v>96.055641119632</v>
      </c>
      <c r="AK9172">
        <v>56.991142418770103</v>
      </c>
      <c r="AL9172">
        <v>80.876461312244004</v>
      </c>
      <c r="AM9172">
        <v>96.585387538612295</v>
      </c>
      <c r="AN9172">
        <v>0.99999993224486705</v>
      </c>
    </row>
    <row r="9173" spans="1:40" x14ac:dyDescent="0.25">
      <c r="A9173" t="str">
        <f>"20190303162129288"</f>
        <v>20190303162129288</v>
      </c>
      <c r="B9173" t="str">
        <f>"1551601289281970"</f>
        <v>1551601289281970</v>
      </c>
      <c r="C9173" t="s">
        <v>40</v>
      </c>
      <c r="D9173">
        <v>4.6353369999999998</v>
      </c>
      <c r="E9173">
        <v>0.50253289999999995</v>
      </c>
      <c r="F9173" t="s">
        <v>62</v>
      </c>
      <c r="G9173">
        <v>-189.2251</v>
      </c>
      <c r="H9173" s="1">
        <v>-1.2431590000000001E-5</v>
      </c>
      <c r="I9173">
        <v>-58.417900000000003</v>
      </c>
      <c r="J9173">
        <v>-254.45529999999999</v>
      </c>
      <c r="K9173">
        <v>1.1214660000000001</v>
      </c>
      <c r="L9173">
        <v>-62.30106</v>
      </c>
      <c r="M9173">
        <v>0.99888639999999995</v>
      </c>
      <c r="N9173">
        <v>-1.160131E-2</v>
      </c>
      <c r="O9173">
        <v>-4.5732139999999998E-2</v>
      </c>
      <c r="P9173">
        <v>0.98644089999999995</v>
      </c>
      <c r="Q9173">
        <v>0.14978610000000001</v>
      </c>
      <c r="R9173">
        <v>6.7071420000000007E-2</v>
      </c>
      <c r="S9173">
        <v>3.035568</v>
      </c>
      <c r="T9173">
        <v>-5.2087429999999997E-2</v>
      </c>
      <c r="U9173">
        <v>0.1800842</v>
      </c>
      <c r="V9173">
        <v>-0.1121076</v>
      </c>
      <c r="W9173">
        <v>0.1611785</v>
      </c>
      <c r="X9173">
        <v>0.98053729999999995</v>
      </c>
      <c r="Y9173">
        <v>-0.10478709999999999</v>
      </c>
      <c r="Z9173">
        <v>1.7606119999999999E-3</v>
      </c>
      <c r="AA9173">
        <v>0.99449310000000002</v>
      </c>
      <c r="AB9173">
        <v>27</v>
      </c>
      <c r="AC9173">
        <v>65.230199999999996</v>
      </c>
      <c r="AD9173">
        <v>-1.1214784315899999</v>
      </c>
      <c r="AE9173">
        <v>3.88315999999999</v>
      </c>
      <c r="AF9173">
        <v>-6.8603932938655499</v>
      </c>
      <c r="AG9173">
        <v>-1.1214784315899999</v>
      </c>
      <c r="AH9173">
        <v>64.965210771986307</v>
      </c>
      <c r="AI9173">
        <v>90.983517099861999</v>
      </c>
      <c r="AJ9173">
        <v>96.028151885984002</v>
      </c>
      <c r="AK9173">
        <v>65.336064471833893</v>
      </c>
      <c r="AL9173">
        <v>80.724692905764201</v>
      </c>
      <c r="AM9173">
        <v>96.522466208978699</v>
      </c>
      <c r="AN9173">
        <v>1.0000000097656401</v>
      </c>
    </row>
    <row r="9174" spans="1:40" x14ac:dyDescent="0.25">
      <c r="A9174" t="str">
        <f>"20190303162129299"</f>
        <v>20190303162129299</v>
      </c>
      <c r="B9174" t="str">
        <f>"1551601289291731"</f>
        <v>1551601289291731</v>
      </c>
      <c r="C9174" t="s">
        <v>40</v>
      </c>
      <c r="D9174">
        <v>4.611802</v>
      </c>
      <c r="E9174">
        <v>0.50247330000000001</v>
      </c>
      <c r="F9174" t="s">
        <v>62</v>
      </c>
      <c r="G9174">
        <v>-179.95769999999999</v>
      </c>
      <c r="H9174">
        <v>3.2104340000000002E-2</v>
      </c>
      <c r="I9174">
        <v>-57.924610000000001</v>
      </c>
      <c r="J9174">
        <v>-254.32550000000001</v>
      </c>
      <c r="K9174">
        <v>1.1214770000000001</v>
      </c>
      <c r="L9174">
        <v>-62.307009999999998</v>
      </c>
      <c r="M9174">
        <v>0.99888670000000002</v>
      </c>
      <c r="N9174">
        <v>-1.160184E-2</v>
      </c>
      <c r="O9174">
        <v>-4.5725769999999999E-2</v>
      </c>
      <c r="P9174">
        <v>0.98614979999999997</v>
      </c>
      <c r="Q9174">
        <v>0.15231410000000001</v>
      </c>
      <c r="R9174">
        <v>6.5642489999999998E-2</v>
      </c>
      <c r="S9174">
        <v>3.0358429999999998</v>
      </c>
      <c r="T9174">
        <v>-4.4392470000000003E-2</v>
      </c>
      <c r="U9174">
        <v>0.17834469999999999</v>
      </c>
      <c r="V9174">
        <v>-0.11066239999999999</v>
      </c>
      <c r="W9174">
        <v>0.16370319999999999</v>
      </c>
      <c r="X9174">
        <v>0.98028320000000002</v>
      </c>
      <c r="Y9174">
        <v>-0.104213899999999</v>
      </c>
      <c r="Z9174">
        <v>1.5044450000000001E-3</v>
      </c>
      <c r="AA9174">
        <v>0.99455369999999998</v>
      </c>
      <c r="AB9174">
        <v>27</v>
      </c>
      <c r="AC9174">
        <v>74.367800000000003</v>
      </c>
      <c r="AD9174">
        <v>-1.08937266</v>
      </c>
      <c r="AE9174">
        <v>4.3823999999999996</v>
      </c>
      <c r="AF9174">
        <v>-7.7769062051145097</v>
      </c>
      <c r="AG9174">
        <v>-1.08937266</v>
      </c>
      <c r="AH9174">
        <v>74.073761427161202</v>
      </c>
      <c r="AI9174">
        <v>90.837960028389006</v>
      </c>
      <c r="AJ9174">
        <v>95.993451257059306</v>
      </c>
      <c r="AK9174">
        <v>74.488852420234707</v>
      </c>
      <c r="AL9174">
        <v>80.578091262683799</v>
      </c>
      <c r="AM9174">
        <v>96.440749675983099</v>
      </c>
      <c r="AN9174">
        <v>1.0000000283331101</v>
      </c>
    </row>
    <row r="9175" spans="1:40" x14ac:dyDescent="0.25">
      <c r="A9175" t="str">
        <f>"20190303162129311"</f>
        <v>20190303162129311</v>
      </c>
      <c r="B9175" t="str">
        <f>"1551601289302468"</f>
        <v>1551601289302468</v>
      </c>
      <c r="C9175" t="s">
        <v>40</v>
      </c>
      <c r="D9175">
        <v>4.543787</v>
      </c>
      <c r="E9175">
        <v>0.50230649999999999</v>
      </c>
      <c r="F9175" t="s">
        <v>44</v>
      </c>
      <c r="G9175">
        <v>-157.8912</v>
      </c>
      <c r="H9175">
        <v>-0.05</v>
      </c>
      <c r="I9175">
        <v>-56.738370000000003</v>
      </c>
      <c r="J9175">
        <v>-254.1918</v>
      </c>
      <c r="K9175">
        <v>1.1214919999999999</v>
      </c>
      <c r="L9175">
        <v>-62.313139999999997</v>
      </c>
      <c r="M9175">
        <v>0.99888739999999998</v>
      </c>
      <c r="N9175">
        <v>-1.160242E-2</v>
      </c>
      <c r="O9175">
        <v>-4.5711729999999999E-2</v>
      </c>
      <c r="P9175">
        <v>0.98593370000000002</v>
      </c>
      <c r="Q9175">
        <v>0.15424959999999999</v>
      </c>
      <c r="R9175">
        <v>6.4359890000000003E-2</v>
      </c>
      <c r="S9175">
        <v>3.0361479999999998</v>
      </c>
      <c r="T9175">
        <v>-3.688288E-2</v>
      </c>
      <c r="U9175">
        <v>0.17532349999999999</v>
      </c>
      <c r="V9175">
        <v>-0.10935979999999999</v>
      </c>
      <c r="W9175">
        <v>0.16563530000000001</v>
      </c>
      <c r="X9175">
        <v>0.9801048</v>
      </c>
      <c r="Y9175">
        <v>-0.103213</v>
      </c>
      <c r="Z9175">
        <v>1.2506399999999999E-3</v>
      </c>
      <c r="AA9175">
        <v>0.9946585</v>
      </c>
      <c r="AB9175">
        <v>27</v>
      </c>
      <c r="AC9175">
        <v>96.300600000000003</v>
      </c>
      <c r="AD9175">
        <v>-1.171492</v>
      </c>
      <c r="AE9175">
        <v>5.57477</v>
      </c>
      <c r="AF9175">
        <v>-9.9698341622126794</v>
      </c>
      <c r="AG9175">
        <v>-1.171492</v>
      </c>
      <c r="AH9175">
        <v>95.930922271233698</v>
      </c>
      <c r="AI9175">
        <v>90.695903755737007</v>
      </c>
      <c r="AJ9175">
        <v>95.933290759949799</v>
      </c>
      <c r="AK9175">
        <v>96.454713905218597</v>
      </c>
      <c r="AL9175">
        <v>80.465857864053007</v>
      </c>
      <c r="AM9175">
        <v>96.366711154952</v>
      </c>
      <c r="AN9175">
        <v>1.0000000187225799</v>
      </c>
    </row>
    <row r="9176" spans="1:40" x14ac:dyDescent="0.25">
      <c r="A9176" t="str">
        <f>"20190303162129321"</f>
        <v>20190303162129321</v>
      </c>
      <c r="B9176" t="str">
        <f>"1551601289312226"</f>
        <v>1551601289312226</v>
      </c>
      <c r="C9176" t="s">
        <v>40</v>
      </c>
      <c r="D9176">
        <v>4.607081</v>
      </c>
      <c r="E9176">
        <v>0.50224079999999904</v>
      </c>
      <c r="F9176" t="s">
        <v>65</v>
      </c>
      <c r="G9176">
        <v>-157.3501</v>
      </c>
      <c r="H9176">
        <v>0.1209981</v>
      </c>
      <c r="I9176">
        <v>-56.77496</v>
      </c>
      <c r="J9176">
        <v>-254.0557</v>
      </c>
      <c r="K9176">
        <v>1.1215079999999999</v>
      </c>
      <c r="L9176">
        <v>-62.3193699999999</v>
      </c>
      <c r="M9176">
        <v>0.99888840000000001</v>
      </c>
      <c r="N9176">
        <v>-1.160304E-2</v>
      </c>
      <c r="O9176">
        <v>-4.5690269999999998E-2</v>
      </c>
      <c r="P9176">
        <v>0.98575000000000002</v>
      </c>
      <c r="Q9176">
        <v>0.15587619999999999</v>
      </c>
      <c r="R9176">
        <v>6.3242610000000005E-2</v>
      </c>
      <c r="S9176">
        <v>3.0363920000000002</v>
      </c>
      <c r="T9176">
        <v>-3.137028E-2</v>
      </c>
      <c r="U9176">
        <v>0.17364499999999999</v>
      </c>
      <c r="V9176">
        <v>-0.1082183</v>
      </c>
      <c r="W9176">
        <v>0.16725880000000001</v>
      </c>
      <c r="X9176">
        <v>0.97995569999999999</v>
      </c>
      <c r="Y9176">
        <v>-0.1026422</v>
      </c>
      <c r="Z9176">
        <v>1.067775E-3</v>
      </c>
      <c r="AA9176">
        <v>0.99471779999999999</v>
      </c>
      <c r="AB9176">
        <v>27</v>
      </c>
      <c r="AC9176">
        <v>96.705600000000004</v>
      </c>
      <c r="AD9176">
        <v>-1.0005099</v>
      </c>
      <c r="AE9176">
        <v>5.5444099999999903</v>
      </c>
      <c r="AF9176">
        <v>-9.9563585672217805</v>
      </c>
      <c r="AG9176">
        <v>-1.0005099</v>
      </c>
      <c r="AH9176">
        <v>96.340971335735404</v>
      </c>
      <c r="AI9176">
        <v>90.591848672698205</v>
      </c>
      <c r="AJ9176">
        <v>95.900286954826996</v>
      </c>
      <c r="AK9176">
        <v>96.859242480478301</v>
      </c>
      <c r="AL9176">
        <v>80.371521448908098</v>
      </c>
      <c r="AM9176">
        <v>96.301743504466998</v>
      </c>
      <c r="AN9176">
        <v>0.99999994029740802</v>
      </c>
    </row>
    <row r="9177" spans="1:40" x14ac:dyDescent="0.25">
      <c r="A9177" t="str">
        <f>"20190303162129333"</f>
        <v>20190303162129333</v>
      </c>
      <c r="B9177" t="str">
        <f>"1551601289321987"</f>
        <v>1551601289321987</v>
      </c>
      <c r="C9177" t="s">
        <v>40</v>
      </c>
      <c r="D9177">
        <v>4.5973730000000002</v>
      </c>
      <c r="E9177">
        <v>0.5021852</v>
      </c>
      <c r="F9177" t="s">
        <v>65</v>
      </c>
      <c r="G9177">
        <v>-157.3501</v>
      </c>
      <c r="H9177">
        <v>0.27409430000000001</v>
      </c>
      <c r="I9177">
        <v>-56.863129999999998</v>
      </c>
      <c r="J9177">
        <v>-253.91650000000001</v>
      </c>
      <c r="K9177">
        <v>1.121526</v>
      </c>
      <c r="L9177">
        <v>-62.325740000000003</v>
      </c>
      <c r="M9177">
        <v>0.9988901</v>
      </c>
      <c r="N9177">
        <v>-1.160363E-2</v>
      </c>
      <c r="O9177">
        <v>-4.56506E-2</v>
      </c>
      <c r="P9177">
        <v>0.9856239</v>
      </c>
      <c r="Q9177">
        <v>0.1570452</v>
      </c>
      <c r="R9177">
        <v>6.2308919999999997E-2</v>
      </c>
      <c r="S9177">
        <v>3.0365600000000001</v>
      </c>
      <c r="T9177">
        <v>-2.6609420000000002E-2</v>
      </c>
      <c r="U9177">
        <v>0.1713257</v>
      </c>
      <c r="V9177">
        <v>-0.1072467</v>
      </c>
      <c r="W9177">
        <v>0.16842370000000001</v>
      </c>
      <c r="X9177">
        <v>0.97986300000000004</v>
      </c>
      <c r="Y9177">
        <v>-0.10184459999999999</v>
      </c>
      <c r="Z9177">
        <v>9.0772409999999998E-4</v>
      </c>
      <c r="AA9177">
        <v>0.99479989999999996</v>
      </c>
      <c r="AB9177">
        <v>27</v>
      </c>
      <c r="AC9177">
        <v>96.566400000000002</v>
      </c>
      <c r="AD9177">
        <v>-0.84743169999999901</v>
      </c>
      <c r="AE9177">
        <v>5.46260999999999</v>
      </c>
      <c r="AF9177">
        <v>-9.8647677956704491</v>
      </c>
      <c r="AG9177">
        <v>-0.84743169999999901</v>
      </c>
      <c r="AH9177">
        <v>96.208939073804402</v>
      </c>
      <c r="AI9177">
        <v>90.502030105269995</v>
      </c>
      <c r="AJ9177">
        <v>95.854354189263901</v>
      </c>
      <c r="AK9177">
        <v>96.717070581442201</v>
      </c>
      <c r="AL9177">
        <v>80.303817212279498</v>
      </c>
      <c r="AM9177">
        <v>96.246200835039701</v>
      </c>
      <c r="AN9177">
        <v>0.99999994807578796</v>
      </c>
    </row>
    <row r="9178" spans="1:40" x14ac:dyDescent="0.25">
      <c r="A9178" t="str">
        <f>"20190303162129344"</f>
        <v>20190303162129344</v>
      </c>
      <c r="B9178" t="str">
        <f>"1551601289331746"</f>
        <v>1551601289331746</v>
      </c>
      <c r="C9178" t="s">
        <v>40</v>
      </c>
      <c r="D9178">
        <v>4.6037429999999997</v>
      </c>
      <c r="E9178">
        <v>0.50208269999999999</v>
      </c>
      <c r="F9178" t="s">
        <v>65</v>
      </c>
      <c r="G9178">
        <v>-157.3501</v>
      </c>
      <c r="H9178">
        <v>0.36331180000000002</v>
      </c>
      <c r="I9178">
        <v>-56.929310000000001</v>
      </c>
      <c r="J9178">
        <v>-253.7835</v>
      </c>
      <c r="K9178">
        <v>1.121548</v>
      </c>
      <c r="L9178">
        <v>-62.331819999999901</v>
      </c>
      <c r="M9178">
        <v>0.998892</v>
      </c>
      <c r="N9178">
        <v>-1.160417E-2</v>
      </c>
      <c r="O9178">
        <v>-4.5606859999999999E-2</v>
      </c>
      <c r="P9178">
        <v>0.98548329999999995</v>
      </c>
      <c r="Q9178">
        <v>0.15821939999999901</v>
      </c>
      <c r="R9178">
        <v>6.155335E-2</v>
      </c>
      <c r="S9178">
        <v>3.0368499999999998</v>
      </c>
      <c r="T9178">
        <v>-2.38452E-2</v>
      </c>
      <c r="U9178">
        <v>0.16970829999999901</v>
      </c>
      <c r="V9178">
        <v>-0.1064494</v>
      </c>
      <c r="W9178">
        <v>0.16959250000000001</v>
      </c>
      <c r="X9178">
        <v>0.97974839999999996</v>
      </c>
      <c r="Y9178">
        <v>-0.1012687</v>
      </c>
      <c r="Z9178">
        <v>8.1436339999999897E-4</v>
      </c>
      <c r="AA9178">
        <v>0.99485880000000004</v>
      </c>
      <c r="AB9178">
        <v>27</v>
      </c>
      <c r="AC9178">
        <v>96.433400000000006</v>
      </c>
      <c r="AD9178">
        <v>-0.75823619999999903</v>
      </c>
      <c r="AE9178">
        <v>5.4025099999999897</v>
      </c>
      <c r="AF9178">
        <v>-9.7946051031621604</v>
      </c>
      <c r="AG9178">
        <v>-0.75823619999999903</v>
      </c>
      <c r="AH9178">
        <v>96.080714624486802</v>
      </c>
      <c r="AI9178">
        <v>90.449818215958402</v>
      </c>
      <c r="AJ9178">
        <v>95.820706035784099</v>
      </c>
      <c r="AK9178">
        <v>96.581638700189501</v>
      </c>
      <c r="AL9178">
        <v>80.235873090825095</v>
      </c>
      <c r="AM9178">
        <v>96.200847515856296</v>
      </c>
      <c r="AN9178">
        <v>1.00000000905958</v>
      </c>
    </row>
    <row r="9179" spans="1:40" x14ac:dyDescent="0.25">
      <c r="A9179" t="str">
        <f>"20190303162129356"</f>
        <v>20190303162129356</v>
      </c>
      <c r="B9179" t="str">
        <f>"1551601289341507"</f>
        <v>1551601289341507</v>
      </c>
      <c r="C9179" t="s">
        <v>40</v>
      </c>
      <c r="D9179">
        <v>4.639195</v>
      </c>
      <c r="E9179">
        <v>0.50205690000000003</v>
      </c>
      <c r="F9179" t="s">
        <v>65</v>
      </c>
      <c r="G9179">
        <v>-157.3501</v>
      </c>
      <c r="H9179">
        <v>0.44838879999999998</v>
      </c>
      <c r="I9179">
        <v>-56.972239999999999</v>
      </c>
      <c r="J9179">
        <v>-253.64789999999999</v>
      </c>
      <c r="K9179">
        <v>1.121577</v>
      </c>
      <c r="L9179">
        <v>-62.337980000000002</v>
      </c>
      <c r="M9179">
        <v>0.99889550000000005</v>
      </c>
      <c r="N9179">
        <v>-1.160487E-2</v>
      </c>
      <c r="O9179">
        <v>-4.5532969999999999E-2</v>
      </c>
      <c r="P9179">
        <v>0.9852786</v>
      </c>
      <c r="Q9179">
        <v>0.15973660000000001</v>
      </c>
      <c r="R9179">
        <v>6.091386E-2</v>
      </c>
      <c r="S9179">
        <v>3.037048</v>
      </c>
      <c r="T9179">
        <v>-2.1200900000000002E-2</v>
      </c>
      <c r="U9179">
        <v>0.16879269999999999</v>
      </c>
      <c r="V9179">
        <v>-0.10573920000000001</v>
      </c>
      <c r="W9179">
        <v>0.17110220000000001</v>
      </c>
      <c r="X9179">
        <v>0.97956279999999996</v>
      </c>
      <c r="Y9179">
        <v>-0.1008935</v>
      </c>
      <c r="Z9179">
        <v>7.2743410000000004E-4</v>
      </c>
      <c r="AA9179">
        <v>0.99489689999999997</v>
      </c>
      <c r="AB9179">
        <v>27</v>
      </c>
      <c r="AC9179">
        <v>96.297799999999995</v>
      </c>
      <c r="AD9179">
        <v>-0.67318820000000001</v>
      </c>
      <c r="AE9179">
        <v>5.3657399999999997</v>
      </c>
      <c r="AF9179">
        <v>-9.74471915675778</v>
      </c>
      <c r="AG9179">
        <v>-0.67318820000000001</v>
      </c>
      <c r="AH9179">
        <v>95.948900987291495</v>
      </c>
      <c r="AI9179">
        <v>90.399929760364302</v>
      </c>
      <c r="AJ9179">
        <v>95.799163784375594</v>
      </c>
      <c r="AK9179">
        <v>96.444825337940102</v>
      </c>
      <c r="AL9179">
        <v>80.148090633707199</v>
      </c>
      <c r="AM9179">
        <v>96.160954461825796</v>
      </c>
      <c r="AN9179">
        <v>1.0000000102026501</v>
      </c>
    </row>
    <row r="9180" spans="1:40" x14ac:dyDescent="0.25">
      <c r="A9180" t="str">
        <f>"20190303162129367"</f>
        <v>20190303162129367</v>
      </c>
      <c r="B9180" t="str">
        <f>"1551601289362002"</f>
        <v>1551601289362002</v>
      </c>
      <c r="C9180" t="s">
        <v>40</v>
      </c>
      <c r="D9180">
        <v>4.5684719999999999</v>
      </c>
      <c r="E9180">
        <v>0.50188140000000003</v>
      </c>
      <c r="F9180" t="s">
        <v>65</v>
      </c>
      <c r="G9180">
        <v>-157.3501</v>
      </c>
      <c r="H9180">
        <v>0.56182030000000005</v>
      </c>
      <c r="I9180">
        <v>-57.02129</v>
      </c>
      <c r="J9180">
        <v>-253.5069</v>
      </c>
      <c r="K9180">
        <v>1.1216120000000001</v>
      </c>
      <c r="L9180">
        <v>-62.344360000000002</v>
      </c>
      <c r="M9180">
        <v>0.99889950000000005</v>
      </c>
      <c r="N9180">
        <v>-1.1605610000000001E-2</v>
      </c>
      <c r="O9180">
        <v>-4.544604E-2</v>
      </c>
      <c r="P9180">
        <v>0.98511649999999995</v>
      </c>
      <c r="Q9180">
        <v>0.1610065</v>
      </c>
      <c r="R9180">
        <v>6.0186740000000002E-2</v>
      </c>
      <c r="S9180">
        <v>3.0373380000000001</v>
      </c>
      <c r="T9180">
        <v>-1.765597E-2</v>
      </c>
      <c r="U9180">
        <v>0.16769410000000001</v>
      </c>
      <c r="V9180">
        <v>-0.1049315</v>
      </c>
      <c r="W9180">
        <v>0.17236399999999999</v>
      </c>
      <c r="X9180">
        <v>0.97942839999999998</v>
      </c>
      <c r="Y9180">
        <v>-0.10044409999999999</v>
      </c>
      <c r="Z9180">
        <v>6.1201750000000003E-4</v>
      </c>
      <c r="AA9180">
        <v>0.99494249999999995</v>
      </c>
      <c r="AB9180">
        <v>27</v>
      </c>
      <c r="AC9180">
        <v>96.156800000000004</v>
      </c>
      <c r="AD9180">
        <v>-0.559791699999999</v>
      </c>
      <c r="AE9180">
        <v>5.3230699999999898</v>
      </c>
      <c r="AF9180">
        <v>-9.6874816859027497</v>
      </c>
      <c r="AG9180">
        <v>-0.559791699999999</v>
      </c>
      <c r="AH9180">
        <v>95.8122709120194</v>
      </c>
      <c r="AI9180">
        <v>90.333053828331202</v>
      </c>
      <c r="AJ9180">
        <v>95.773497387134697</v>
      </c>
      <c r="AK9180">
        <v>96.302398337114596</v>
      </c>
      <c r="AL9180">
        <v>80.074704246962</v>
      </c>
      <c r="AM9180">
        <v>96.115083847093501</v>
      </c>
      <c r="AN9180">
        <v>0.99999997945740404</v>
      </c>
    </row>
    <row r="9181" spans="1:40" x14ac:dyDescent="0.25">
      <c r="A9181" t="str">
        <f>"20190303162129378"</f>
        <v>20190303162129378</v>
      </c>
      <c r="B9181" t="str">
        <f>"1551601289371764"</f>
        <v>1551601289371764</v>
      </c>
      <c r="C9181" t="s">
        <v>40</v>
      </c>
      <c r="D9181">
        <v>4.5831999999999997</v>
      </c>
      <c r="E9181">
        <v>0.5017992</v>
      </c>
      <c r="F9181" t="s">
        <v>65</v>
      </c>
      <c r="G9181">
        <v>-157.3501</v>
      </c>
      <c r="H9181">
        <v>0.59769700000000003</v>
      </c>
      <c r="I9181">
        <v>-57.043959999999998</v>
      </c>
      <c r="J9181">
        <v>-253.3724</v>
      </c>
      <c r="K9181">
        <v>1.1216489999999999</v>
      </c>
      <c r="L9181">
        <v>-62.350369999999998</v>
      </c>
      <c r="M9181">
        <v>0.99890460000000003</v>
      </c>
      <c r="N9181">
        <v>-1.160636E-2</v>
      </c>
      <c r="O9181">
        <v>-4.5334380000000001E-2</v>
      </c>
      <c r="P9181">
        <v>0.98504290000000005</v>
      </c>
      <c r="Q9181">
        <v>0.16178519999999999</v>
      </c>
      <c r="R9181">
        <v>5.9299900000000003E-2</v>
      </c>
      <c r="S9181">
        <v>3.0377809999999998</v>
      </c>
      <c r="T9181">
        <v>-1.6552089999999998E-2</v>
      </c>
      <c r="U9181">
        <v>0.16744999999999999</v>
      </c>
      <c r="V9181">
        <v>-0.10394630000000001</v>
      </c>
      <c r="W9181">
        <v>0.17313519999999999</v>
      </c>
      <c r="X9181">
        <v>0.97939750000000003</v>
      </c>
      <c r="Y9181">
        <v>-0.1002455</v>
      </c>
      <c r="Z9181">
        <v>5.7619289999999998E-4</v>
      </c>
      <c r="AA9181">
        <v>0.99496260000000003</v>
      </c>
      <c r="AB9181">
        <v>27</v>
      </c>
      <c r="AC9181">
        <v>96.022300000000001</v>
      </c>
      <c r="AD9181">
        <v>-0.52395199999999897</v>
      </c>
      <c r="AE9181">
        <v>5.3064099999999996</v>
      </c>
      <c r="AF9181">
        <v>-9.6540709950251902</v>
      </c>
      <c r="AG9181">
        <v>-0.52395199999999897</v>
      </c>
      <c r="AH9181">
        <v>95.680144077285703</v>
      </c>
      <c r="AI9181">
        <v>90.312168074101194</v>
      </c>
      <c r="AJ9181">
        <v>95.761611294964894</v>
      </c>
      <c r="AK9181">
        <v>96.167383156273104</v>
      </c>
      <c r="AL9181">
        <v>80.029843968986796</v>
      </c>
      <c r="AM9181">
        <v>96.058288102398606</v>
      </c>
      <c r="AN9181">
        <v>1.0000000468844801</v>
      </c>
    </row>
    <row r="9182" spans="1:40" x14ac:dyDescent="0.25">
      <c r="A9182" t="str">
        <f>"20190303162129389"</f>
        <v>20190303162129389</v>
      </c>
      <c r="B9182" t="str">
        <f>"1551601289381523"</f>
        <v>1551601289381523</v>
      </c>
      <c r="C9182" t="s">
        <v>40</v>
      </c>
      <c r="D9182">
        <v>4.5900749999999997</v>
      </c>
      <c r="E9182">
        <v>0.50171109999999997</v>
      </c>
      <c r="F9182" t="s">
        <v>65</v>
      </c>
      <c r="G9182">
        <v>-157.3501</v>
      </c>
      <c r="H9182">
        <v>0.63091489999999995</v>
      </c>
      <c r="I9182">
        <v>-57.10228</v>
      </c>
      <c r="J9182">
        <v>-253.24879999999999</v>
      </c>
      <c r="K9182">
        <v>1.12168</v>
      </c>
      <c r="L9182">
        <v>-62.355930000000001</v>
      </c>
      <c r="M9182">
        <v>0.99890979999999996</v>
      </c>
      <c r="N9182">
        <v>-1.1607070000000001E-2</v>
      </c>
      <c r="O9182">
        <v>-4.5216779999999998E-2</v>
      </c>
      <c r="P9182">
        <v>0.98490040000000001</v>
      </c>
      <c r="Q9182">
        <v>0.16282360000000001</v>
      </c>
      <c r="R9182">
        <v>5.881952E-2</v>
      </c>
      <c r="S9182">
        <v>3.0380859999999998</v>
      </c>
      <c r="T9182">
        <v>-1.552713E-2</v>
      </c>
      <c r="U9182">
        <v>0.1660461</v>
      </c>
      <c r="V9182">
        <v>-0.1033584</v>
      </c>
      <c r="W9182">
        <v>0.1741654</v>
      </c>
      <c r="X9182">
        <v>0.97927699999999995</v>
      </c>
      <c r="Y9182">
        <v>-9.9664829999999996E-2</v>
      </c>
      <c r="Z9182">
        <v>5.3986099999999999E-4</v>
      </c>
      <c r="AA9182">
        <v>0.99502089999999999</v>
      </c>
      <c r="AB9182">
        <v>27</v>
      </c>
      <c r="AC9182">
        <v>95.898700000000005</v>
      </c>
      <c r="AD9182">
        <v>-0.49076510000000001</v>
      </c>
      <c r="AE9182">
        <v>5.2536500000000004</v>
      </c>
      <c r="AF9182">
        <v>-9.5845479693192104</v>
      </c>
      <c r="AG9182">
        <v>-0.49076510000000001</v>
      </c>
      <c r="AH9182">
        <v>95.560537139215</v>
      </c>
      <c r="AI9182">
        <v>90.2927793308492</v>
      </c>
      <c r="AJ9182">
        <v>95.727507948714205</v>
      </c>
      <c r="AK9182">
        <v>96.041244621750195</v>
      </c>
      <c r="AL9182">
        <v>79.969906725915095</v>
      </c>
      <c r="AM9182">
        <v>96.025012124203698</v>
      </c>
      <c r="AN9182">
        <v>0.99999999406835904</v>
      </c>
    </row>
    <row r="9183" spans="1:40" x14ac:dyDescent="0.25">
      <c r="A9183" t="str">
        <f>"20190303162129400"</f>
        <v>20190303162129400</v>
      </c>
      <c r="B9183" t="str">
        <f>"1551601289392259"</f>
        <v>1551601289392259</v>
      </c>
      <c r="C9183" t="s">
        <v>40</v>
      </c>
      <c r="D9183">
        <v>4.592873</v>
      </c>
      <c r="E9183">
        <v>0.50171109999999997</v>
      </c>
      <c r="F9183" t="s">
        <v>65</v>
      </c>
      <c r="G9183">
        <v>-157.3501</v>
      </c>
      <c r="H9183">
        <v>0.68704989999999999</v>
      </c>
      <c r="I9183">
        <v>-57.120820000000002</v>
      </c>
      <c r="J9183">
        <v>-253.11279999999999</v>
      </c>
      <c r="K9183">
        <v>1.1217189999999999</v>
      </c>
      <c r="L9183">
        <v>-62.361939999999997</v>
      </c>
      <c r="M9183">
        <v>0.99891660000000004</v>
      </c>
      <c r="N9183">
        <v>-1.1607879999999999E-2</v>
      </c>
      <c r="O9183">
        <v>-4.5063600000000002E-2</v>
      </c>
      <c r="P9183">
        <v>0.98489450000000001</v>
      </c>
      <c r="Q9183">
        <v>0.16303529999999999</v>
      </c>
      <c r="R9183">
        <v>5.8329699999999998E-2</v>
      </c>
      <c r="S9183">
        <v>3.0383450000000001</v>
      </c>
      <c r="T9183">
        <v>-1.3770940000000001E-2</v>
      </c>
      <c r="U9183">
        <v>0.16586300000000001</v>
      </c>
      <c r="V9183">
        <v>-0.10273309999999999</v>
      </c>
      <c r="W9183">
        <v>0.1743692</v>
      </c>
      <c r="X9183">
        <v>0.97930649999999997</v>
      </c>
      <c r="Y9183">
        <v>-9.9448259999999997E-2</v>
      </c>
      <c r="Z9183">
        <v>4.8425680000000002E-4</v>
      </c>
      <c r="AA9183">
        <v>0.9950426</v>
      </c>
      <c r="AB9183">
        <v>27</v>
      </c>
      <c r="AC9183">
        <v>95.762699999999995</v>
      </c>
      <c r="AD9183">
        <v>-0.43466909999999997</v>
      </c>
      <c r="AE9183">
        <v>5.2411199999999996</v>
      </c>
      <c r="AF9183">
        <v>-9.5513018447750593</v>
      </c>
      <c r="AG9183">
        <v>-0.43466909999999997</v>
      </c>
      <c r="AH9183">
        <v>95.427243596386404</v>
      </c>
      <c r="AI9183">
        <v>90.259681788451999</v>
      </c>
      <c r="AJ9183">
        <v>95.715692137208507</v>
      </c>
      <c r="AK9183">
        <v>95.905031800008103</v>
      </c>
      <c r="AL9183">
        <v>79.958048092731303</v>
      </c>
      <c r="AM9183">
        <v>95.988648483213893</v>
      </c>
      <c r="AN9183">
        <v>0.999999964343249</v>
      </c>
    </row>
    <row r="9184" spans="1:40" x14ac:dyDescent="0.25">
      <c r="A9184" t="str">
        <f>"20190303162129411"</f>
        <v>20190303162129411</v>
      </c>
      <c r="B9184" t="str">
        <f>"1551601289402018"</f>
        <v>1551601289402018</v>
      </c>
      <c r="C9184" t="s">
        <v>40</v>
      </c>
      <c r="D9184">
        <v>4.5902200000000004</v>
      </c>
      <c r="E9184">
        <v>0.50166520000000003</v>
      </c>
      <c r="F9184" t="s">
        <v>65</v>
      </c>
      <c r="G9184">
        <v>-157.3501</v>
      </c>
      <c r="H9184">
        <v>0.70759839999999996</v>
      </c>
      <c r="I9184">
        <v>-57.153619999999997</v>
      </c>
      <c r="J9184">
        <v>-252.97829999999999</v>
      </c>
      <c r="K9184">
        <v>1.1217569999999999</v>
      </c>
      <c r="L9184">
        <v>-62.36786</v>
      </c>
      <c r="M9184">
        <v>0.9989247</v>
      </c>
      <c r="N9184">
        <v>-1.1608719999999999E-2</v>
      </c>
      <c r="O9184">
        <v>-4.4885250000000002E-2</v>
      </c>
      <c r="P9184">
        <v>0.98489309999999997</v>
      </c>
      <c r="Q9184">
        <v>0.16318750000000001</v>
      </c>
      <c r="R9184">
        <v>5.7923389999999998E-2</v>
      </c>
      <c r="S9184">
        <v>3.0384220000000002</v>
      </c>
      <c r="T9184">
        <v>-1.314008E-2</v>
      </c>
      <c r="U9184">
        <v>0.1652527</v>
      </c>
      <c r="V9184">
        <v>-0.1021677</v>
      </c>
      <c r="W9184">
        <v>0.17451429999999901</v>
      </c>
      <c r="X9184">
        <v>0.97933979999999998</v>
      </c>
      <c r="Y9184">
        <v>-9.9070110000000003E-2</v>
      </c>
      <c r="Z9184">
        <v>4.6286379999999999E-4</v>
      </c>
      <c r="AA9184">
        <v>0.99508039999999998</v>
      </c>
      <c r="AB9184">
        <v>27</v>
      </c>
      <c r="AC9184">
        <v>95.628200000000007</v>
      </c>
      <c r="AD9184">
        <v>-0.41415859999999899</v>
      </c>
      <c r="AE9184">
        <v>5.2142400000000002</v>
      </c>
      <c r="AF9184">
        <v>-9.5013913313616598</v>
      </c>
      <c r="AG9184">
        <v>-0.41415859999999899</v>
      </c>
      <c r="AH9184">
        <v>95.295967657173904</v>
      </c>
      <c r="AI9184">
        <v>90.247778777634593</v>
      </c>
      <c r="AJ9184">
        <v>95.693802304545002</v>
      </c>
      <c r="AK9184">
        <v>95.769355308964805</v>
      </c>
      <c r="AL9184">
        <v>79.949604996017001</v>
      </c>
      <c r="AM9184">
        <v>95.955725972676305</v>
      </c>
      <c r="AN9184">
        <v>0.999999961845909</v>
      </c>
    </row>
    <row r="9185" spans="1:40" x14ac:dyDescent="0.25">
      <c r="A9185" t="str">
        <f>"20190303162129422"</f>
        <v>20190303162129422</v>
      </c>
      <c r="B9185" t="str">
        <f>"1551601289411779"</f>
        <v>1551601289411779</v>
      </c>
      <c r="C9185" t="s">
        <v>40</v>
      </c>
      <c r="D9185">
        <v>4.6175800000000002</v>
      </c>
      <c r="E9185">
        <v>0.50166520000000003</v>
      </c>
      <c r="F9185" t="s">
        <v>65</v>
      </c>
      <c r="G9185">
        <v>-157.3501</v>
      </c>
      <c r="H9185">
        <v>0.64059330000000003</v>
      </c>
      <c r="I9185">
        <v>-57.170439999999999</v>
      </c>
      <c r="J9185">
        <v>-252.84119999999999</v>
      </c>
      <c r="K9185">
        <v>1.121794</v>
      </c>
      <c r="L9185">
        <v>-62.373840000000001</v>
      </c>
      <c r="M9185">
        <v>0.99893390000000004</v>
      </c>
      <c r="N9185">
        <v>-1.1609599999999999E-2</v>
      </c>
      <c r="O9185">
        <v>-4.4684599999999998E-2</v>
      </c>
      <c r="P9185">
        <v>0.98486870000000004</v>
      </c>
      <c r="Q9185">
        <v>0.163486299999999</v>
      </c>
      <c r="R9185">
        <v>5.7499130000000002E-2</v>
      </c>
      <c r="S9185">
        <v>3.038834</v>
      </c>
      <c r="T9185">
        <v>-1.529086E-2</v>
      </c>
      <c r="U9185">
        <v>0.16516110000000001</v>
      </c>
      <c r="V9185">
        <v>-0.10156179999999999</v>
      </c>
      <c r="W9185">
        <v>0.17480490000000001</v>
      </c>
      <c r="X9185">
        <v>0.97935099999999997</v>
      </c>
      <c r="Y9185">
        <v>-9.8832519999999993E-2</v>
      </c>
      <c r="Z9185">
        <v>5.2893410000000004E-4</v>
      </c>
      <c r="AA9185">
        <v>0.99510399999999999</v>
      </c>
      <c r="AB9185">
        <v>27</v>
      </c>
      <c r="AC9185">
        <v>95.491100000000003</v>
      </c>
      <c r="AD9185">
        <v>-0.48120069999999898</v>
      </c>
      <c r="AE9185">
        <v>5.2034000000000002</v>
      </c>
      <c r="AF9185">
        <v>-9.4652304803622602</v>
      </c>
      <c r="AG9185">
        <v>-0.48120069999999898</v>
      </c>
      <c r="AH9185">
        <v>95.160768555552906</v>
      </c>
      <c r="AI9185">
        <v>90.288303227982297</v>
      </c>
      <c r="AJ9185">
        <v>95.680280323750694</v>
      </c>
      <c r="AK9185">
        <v>95.631553444684599</v>
      </c>
      <c r="AL9185">
        <v>79.932694964625298</v>
      </c>
      <c r="AM9185">
        <v>95.920590272746395</v>
      </c>
      <c r="AN9185">
        <v>0.99999996674212399</v>
      </c>
    </row>
    <row r="9186" spans="1:40" x14ac:dyDescent="0.25">
      <c r="A9186" t="str">
        <f>"20190303162129434"</f>
        <v>20190303162129434</v>
      </c>
      <c r="B9186" t="str">
        <f>"1551601289421859"</f>
        <v>1551601289421859</v>
      </c>
      <c r="C9186" t="s">
        <v>40</v>
      </c>
      <c r="D9186">
        <v>4.5613239999999999</v>
      </c>
      <c r="E9186">
        <v>0.51833260000000003</v>
      </c>
      <c r="F9186" t="s">
        <v>65</v>
      </c>
      <c r="G9186">
        <v>-157.3501</v>
      </c>
      <c r="H9186">
        <v>0.66964650000000003</v>
      </c>
      <c r="I9186">
        <v>-57.203130000000002</v>
      </c>
      <c r="J9186">
        <v>-252.70089999999999</v>
      </c>
      <c r="K9186">
        <v>1.1218319999999999</v>
      </c>
      <c r="L9186">
        <v>-62.37988</v>
      </c>
      <c r="M9186">
        <v>0.99894499999999997</v>
      </c>
      <c r="N9186">
        <v>-1.1610550000000001E-2</v>
      </c>
      <c r="O9186">
        <v>-4.4432760000000002E-2</v>
      </c>
      <c r="P9186">
        <v>0.98498090000000005</v>
      </c>
      <c r="Q9186">
        <v>0.1630547</v>
      </c>
      <c r="R9186">
        <v>5.6797500000000001E-2</v>
      </c>
      <c r="S9186">
        <v>3.0388790000000001</v>
      </c>
      <c r="T9186">
        <v>-1.438963E-2</v>
      </c>
      <c r="U9186">
        <v>0.164550799999999</v>
      </c>
      <c r="V9186">
        <v>-0.1006362</v>
      </c>
      <c r="W9186">
        <v>0.1743664</v>
      </c>
      <c r="X9186">
        <v>0.97952470000000003</v>
      </c>
      <c r="Y9186">
        <v>-9.8381789999999997E-2</v>
      </c>
      <c r="Z9186">
        <v>4.9908560000000001E-4</v>
      </c>
      <c r="AA9186">
        <v>0.99514860000000005</v>
      </c>
      <c r="AB9186">
        <v>27</v>
      </c>
      <c r="AC9186">
        <v>95.350800000000007</v>
      </c>
      <c r="AD9186">
        <v>-0.45218549999999902</v>
      </c>
      <c r="AE9186">
        <v>5.1767500000000002</v>
      </c>
      <c r="AF9186">
        <v>-9.4084100706512199</v>
      </c>
      <c r="AG9186">
        <v>-0.45218549999999902</v>
      </c>
      <c r="AH9186">
        <v>95.024453123639404</v>
      </c>
      <c r="AI9186">
        <v>90.271320305703497</v>
      </c>
      <c r="AJ9186">
        <v>95.654449707731501</v>
      </c>
      <c r="AK9186">
        <v>95.490153121830701</v>
      </c>
      <c r="AL9186">
        <v>79.958210993601398</v>
      </c>
      <c r="AM9186">
        <v>95.865976969619396</v>
      </c>
      <c r="AN9186">
        <v>0.99999996205474395</v>
      </c>
    </row>
    <row r="9187" spans="1:40" x14ac:dyDescent="0.25">
      <c r="A9187" t="str">
        <f>"20190303162129447"</f>
        <v>20190303162129447</v>
      </c>
      <c r="B9187" t="str">
        <f>"1551601289441380"</f>
        <v>1551601289441380</v>
      </c>
      <c r="C9187" t="s">
        <v>40</v>
      </c>
      <c r="D9187">
        <v>4.5665789999999999</v>
      </c>
      <c r="E9187">
        <v>0.52225580000000005</v>
      </c>
      <c r="F9187" t="s">
        <v>44</v>
      </c>
      <c r="G9187">
        <v>-156.12280000000001</v>
      </c>
      <c r="H9187">
        <v>-0.05</v>
      </c>
      <c r="I9187">
        <v>-61.415480000000002</v>
      </c>
      <c r="J9187">
        <v>-252.5609</v>
      </c>
      <c r="K9187">
        <v>1.1218709999999901</v>
      </c>
      <c r="L9187">
        <v>-62.385890000000003</v>
      </c>
      <c r="M9187">
        <v>0.99895690000000004</v>
      </c>
      <c r="N9187">
        <v>-1.16115E-2</v>
      </c>
      <c r="O9187">
        <v>-4.4164710000000003E-2</v>
      </c>
      <c r="P9187">
        <v>0.98512770000000005</v>
      </c>
      <c r="Q9187">
        <v>0.16235139999999901</v>
      </c>
      <c r="R9187">
        <v>5.6263229999999997E-2</v>
      </c>
      <c r="S9187">
        <v>3.0500790000000002</v>
      </c>
      <c r="T9187">
        <v>-3.700817E-2</v>
      </c>
      <c r="U9187">
        <v>3.0456540000000001E-2</v>
      </c>
      <c r="V9187">
        <v>-9.9863720000000003E-2</v>
      </c>
      <c r="W9187">
        <v>0.17365639999999999</v>
      </c>
      <c r="X9187">
        <v>0.97972990000000004</v>
      </c>
      <c r="Y9187">
        <v>-5.4132939999999997E-2</v>
      </c>
      <c r="Z9187">
        <v>6.6553390000000004E-4</v>
      </c>
      <c r="AA9187">
        <v>0.99853349999999996</v>
      </c>
      <c r="AB9187">
        <v>27</v>
      </c>
      <c r="AC9187">
        <v>96.438100000000006</v>
      </c>
      <c r="AD9187">
        <v>-1.1718710000000001</v>
      </c>
      <c r="AE9187">
        <v>0.97041000000000099</v>
      </c>
      <c r="AF9187">
        <v>-5.2281384692092496</v>
      </c>
      <c r="AG9187">
        <v>-1.1718710000000001</v>
      </c>
      <c r="AH9187">
        <v>96.286912091923597</v>
      </c>
      <c r="AI9187">
        <v>90.696264970189503</v>
      </c>
      <c r="AJ9187">
        <v>93.107965581938402</v>
      </c>
      <c r="AK9187">
        <v>96.435865494595305</v>
      </c>
      <c r="AL9187">
        <v>79.999521550261903</v>
      </c>
      <c r="AM9187">
        <v>95.820049474106398</v>
      </c>
      <c r="AN9187">
        <v>0.99999999239360404</v>
      </c>
    </row>
    <row r="9188" spans="1:40" x14ac:dyDescent="0.25">
      <c r="A9188" t="str">
        <f>"20190303162129458"</f>
        <v>20190303162129458</v>
      </c>
      <c r="B9188" t="str">
        <f>"1551601289452115"</f>
        <v>1551601289452115</v>
      </c>
      <c r="C9188" t="s">
        <v>40</v>
      </c>
      <c r="D9188">
        <v>4.5401879999999997</v>
      </c>
      <c r="E9188">
        <v>0.52294849999999904</v>
      </c>
      <c r="F9188" t="s">
        <v>62</v>
      </c>
      <c r="G9188">
        <v>-179.95769999999999</v>
      </c>
      <c r="H9188">
        <v>2.8257529999999999E-2</v>
      </c>
      <c r="I9188">
        <v>-62.430160000000001</v>
      </c>
      <c r="J9188">
        <v>-252.40989999999999</v>
      </c>
      <c r="K9188">
        <v>1.121915</v>
      </c>
      <c r="L9188">
        <v>-62.392240000000001</v>
      </c>
      <c r="M9188">
        <v>0.99897210000000003</v>
      </c>
      <c r="N9188">
        <v>-1.161274E-2</v>
      </c>
      <c r="O9188">
        <v>-4.3814539999999999E-2</v>
      </c>
      <c r="P9188">
        <v>0.98522909999999997</v>
      </c>
      <c r="Q9188">
        <v>0.16194169999999999</v>
      </c>
      <c r="R9188">
        <v>5.5664150000000003E-2</v>
      </c>
      <c r="S9188">
        <v>3.0529790000000001</v>
      </c>
      <c r="T9188">
        <v>-4.5986649999999997E-2</v>
      </c>
      <c r="U9188">
        <v>-1.8615719999999999E-3</v>
      </c>
      <c r="V9188">
        <v>-9.8946530000000005E-2</v>
      </c>
      <c r="W9188">
        <v>0.17323849999999999</v>
      </c>
      <c r="X9188">
        <v>0.97989700000000002</v>
      </c>
      <c r="Y9188">
        <v>-4.3199380000000002E-2</v>
      </c>
      <c r="Z9188">
        <v>7.2703389999999996E-4</v>
      </c>
      <c r="AA9188">
        <v>0.99906620000000002</v>
      </c>
      <c r="AB9188">
        <v>27</v>
      </c>
      <c r="AC9188">
        <v>72.452200000000005</v>
      </c>
      <c r="AD9188">
        <v>-1.0936574699999999</v>
      </c>
      <c r="AE9188">
        <v>-3.7919999999999697E-2</v>
      </c>
      <c r="AF9188">
        <v>-3.1360760078144598</v>
      </c>
      <c r="AG9188">
        <v>-1.0936574699999999</v>
      </c>
      <c r="AH9188">
        <v>72.367785609844503</v>
      </c>
      <c r="AI9188">
        <v>90.865004301532494</v>
      </c>
      <c r="AJ9188">
        <v>92.481374354161801</v>
      </c>
      <c r="AK9188">
        <v>72.443960779770194</v>
      </c>
      <c r="AL9188">
        <v>80.023834659970404</v>
      </c>
      <c r="AM9188">
        <v>95.765980858206404</v>
      </c>
      <c r="AN9188">
        <v>1.0000000621451399</v>
      </c>
    </row>
    <row r="9189" spans="1:40" x14ac:dyDescent="0.25">
      <c r="A9189" t="str">
        <f>"20190303162129469"</f>
        <v>20190303162129469</v>
      </c>
      <c r="B9189" t="str">
        <f>"1551601289461875"</f>
        <v>1551601289461875</v>
      </c>
      <c r="C9189" t="s">
        <v>40</v>
      </c>
      <c r="D9189">
        <v>4.5225499999999998</v>
      </c>
      <c r="E9189">
        <v>0.52333370000000001</v>
      </c>
      <c r="F9189" t="s">
        <v>62</v>
      </c>
      <c r="G9189">
        <v>-179.53129999999999</v>
      </c>
      <c r="H9189">
        <v>7.9986340000000003E-2</v>
      </c>
      <c r="I9189">
        <v>-62.609450000000002</v>
      </c>
      <c r="J9189">
        <v>-252.27879999999999</v>
      </c>
      <c r="K9189">
        <v>1.1219589999999999</v>
      </c>
      <c r="L9189">
        <v>-62.397669999999998</v>
      </c>
      <c r="M9189">
        <v>0.99898659999999995</v>
      </c>
      <c r="N9189">
        <v>-1.161387E-2</v>
      </c>
      <c r="O9189">
        <v>-4.3486730000000001E-2</v>
      </c>
      <c r="P9189">
        <v>0.98535289999999998</v>
      </c>
      <c r="Q9189">
        <v>0.1613251</v>
      </c>
      <c r="R9189">
        <v>5.5264880000000002E-2</v>
      </c>
      <c r="S9189">
        <v>3.052673</v>
      </c>
      <c r="T9189">
        <v>-4.3643359999999999E-2</v>
      </c>
      <c r="U9189">
        <v>-9.0942379999999993E-3</v>
      </c>
      <c r="V9189">
        <v>-9.8249550000000005E-2</v>
      </c>
      <c r="W9189">
        <v>0.17261479999999901</v>
      </c>
      <c r="X9189">
        <v>0.98007710000000003</v>
      </c>
      <c r="Y9189">
        <v>-4.050554E-2</v>
      </c>
      <c r="Z9189">
        <v>6.4111829999999998E-4</v>
      </c>
      <c r="AA9189">
        <v>0.99917909999999999</v>
      </c>
      <c r="AB9189">
        <v>27</v>
      </c>
      <c r="AC9189">
        <v>72.747500000000002</v>
      </c>
      <c r="AD9189">
        <v>-1.0419726600000001</v>
      </c>
      <c r="AE9189">
        <v>-0.21178000000000399</v>
      </c>
      <c r="AF9189">
        <v>-2.9515787931765498</v>
      </c>
      <c r="AG9189">
        <v>-1.0419726600000001</v>
      </c>
      <c r="AH9189">
        <v>72.672973268026894</v>
      </c>
      <c r="AI9189">
        <v>90.820764230334902</v>
      </c>
      <c r="AJ9189">
        <v>92.3257630152725</v>
      </c>
      <c r="AK9189">
        <v>72.740350342927698</v>
      </c>
      <c r="AL9189">
        <v>80.060115835951393</v>
      </c>
      <c r="AM9189">
        <v>95.724590897148403</v>
      </c>
      <c r="AN9189">
        <v>0.99999998259932599</v>
      </c>
    </row>
    <row r="9190" spans="1:40" x14ac:dyDescent="0.25">
      <c r="A9190" t="str">
        <f>"20190303162129480"</f>
        <v>20190303162129480</v>
      </c>
      <c r="B9190" t="str">
        <f>"1551601289471635"</f>
        <v>1551601289471635</v>
      </c>
      <c r="C9190" t="s">
        <v>40</v>
      </c>
      <c r="D9190">
        <v>4.5217349999999996</v>
      </c>
      <c r="E9190">
        <v>0.52347290000000002</v>
      </c>
      <c r="F9190" t="s">
        <v>62</v>
      </c>
      <c r="G9190">
        <v>-179.95769999999999</v>
      </c>
      <c r="H9190">
        <v>4.3001150000000002E-2</v>
      </c>
      <c r="I9190">
        <v>-62.712879999999998</v>
      </c>
      <c r="J9190">
        <v>-252.14250000000001</v>
      </c>
      <c r="K9190">
        <v>1.122004</v>
      </c>
      <c r="L9190">
        <v>-62.403260000000003</v>
      </c>
      <c r="M9190">
        <v>0.99900279999999997</v>
      </c>
      <c r="N9190">
        <v>-1.161509E-2</v>
      </c>
      <c r="O9190">
        <v>-4.3111570000000002E-2</v>
      </c>
      <c r="P9190">
        <v>0.98557030000000001</v>
      </c>
      <c r="Q9190">
        <v>0.16019600000000001</v>
      </c>
      <c r="R9190">
        <v>5.46682E-2</v>
      </c>
      <c r="S9190">
        <v>3.0528110000000002</v>
      </c>
      <c r="T9190">
        <v>-4.554486E-2</v>
      </c>
      <c r="U9190">
        <v>-1.330566E-2</v>
      </c>
      <c r="V9190">
        <v>-9.7313839999999999E-2</v>
      </c>
      <c r="W9190">
        <v>0.171479399999999</v>
      </c>
      <c r="X9190">
        <v>0.98036970000000001</v>
      </c>
      <c r="Y9190">
        <v>-3.8751760000000003E-2</v>
      </c>
      <c r="Z9190">
        <v>6.5623109999999999E-4</v>
      </c>
      <c r="AA9190">
        <v>0.99924860000000004</v>
      </c>
      <c r="AB9190">
        <v>27</v>
      </c>
      <c r="AC9190">
        <v>72.184799999999996</v>
      </c>
      <c r="AD9190">
        <v>-1.07900285</v>
      </c>
      <c r="AE9190">
        <v>-0.309620000000009</v>
      </c>
      <c r="AF9190">
        <v>-2.8022516157734101</v>
      </c>
      <c r="AG9190">
        <v>-1.07900285</v>
      </c>
      <c r="AH9190">
        <v>72.114914458272906</v>
      </c>
      <c r="AI9190">
        <v>90.856564635097001</v>
      </c>
      <c r="AJ9190">
        <v>92.225287981925604</v>
      </c>
      <c r="AK9190">
        <v>72.177404695600003</v>
      </c>
      <c r="AL9190">
        <v>80.126153943573499</v>
      </c>
      <c r="AM9190">
        <v>95.6687466125924</v>
      </c>
      <c r="AN9190">
        <v>0.99999995837899702</v>
      </c>
    </row>
    <row r="9191" spans="1:40" x14ac:dyDescent="0.25">
      <c r="A9191" t="str">
        <f>"20190303162129491"</f>
        <v>20190303162129491</v>
      </c>
      <c r="B9191" t="str">
        <f>"1551601289482372"</f>
        <v>1551601289482372</v>
      </c>
      <c r="C9191" t="s">
        <v>40</v>
      </c>
      <c r="D9191">
        <v>4.5415010000000002</v>
      </c>
      <c r="E9191">
        <v>0.52345280000000005</v>
      </c>
      <c r="F9191" t="s">
        <v>62</v>
      </c>
      <c r="G9191">
        <v>-182.67590000000001</v>
      </c>
      <c r="H9191" s="1">
        <v>-9.6370079999999996E-6</v>
      </c>
      <c r="I9191">
        <v>-62.775469999999999</v>
      </c>
      <c r="J9191">
        <v>-252.01990000000001</v>
      </c>
      <c r="K9191">
        <v>1.1220460000000001</v>
      </c>
      <c r="L9191">
        <v>-62.408200000000001</v>
      </c>
      <c r="M9191">
        <v>0.99901870000000004</v>
      </c>
      <c r="N9191">
        <v>-1.161629E-2</v>
      </c>
      <c r="O9191">
        <v>-4.2740500000000001E-2</v>
      </c>
      <c r="P9191">
        <v>0.98578469999999996</v>
      </c>
      <c r="Q9191">
        <v>0.15901489999999999</v>
      </c>
      <c r="R9191">
        <v>5.4249220000000001E-2</v>
      </c>
      <c r="S9191">
        <v>3.052826</v>
      </c>
      <c r="T9191">
        <v>-4.9308780000000003E-2</v>
      </c>
      <c r="U9191">
        <v>-1.6357420000000001E-2</v>
      </c>
      <c r="V9191">
        <v>-9.6557509999999999E-2</v>
      </c>
      <c r="W9191">
        <v>0.17029269999999999</v>
      </c>
      <c r="X9191">
        <v>0.9806513</v>
      </c>
      <c r="Y9191">
        <v>-3.7380799999999999E-2</v>
      </c>
      <c r="Z9191">
        <v>7.1250179999999901E-4</v>
      </c>
      <c r="AA9191">
        <v>0.99930079999999999</v>
      </c>
      <c r="AB9191">
        <v>27</v>
      </c>
      <c r="AC9191">
        <v>69.343999999999994</v>
      </c>
      <c r="AD9191">
        <v>-1.1220556370079999</v>
      </c>
      <c r="AE9191">
        <v>-0.36726999999999699</v>
      </c>
      <c r="AF9191">
        <v>-2.5963830158401202</v>
      </c>
      <c r="AG9191">
        <v>-1.1220556370079999</v>
      </c>
      <c r="AH9191">
        <v>69.278185522787496</v>
      </c>
      <c r="AI9191">
        <v>90.927252081735404</v>
      </c>
      <c r="AJ9191">
        <v>92.146306190911602</v>
      </c>
      <c r="AK9191">
        <v>69.335901255750997</v>
      </c>
      <c r="AL9191">
        <v>80.195161963148706</v>
      </c>
      <c r="AM9191">
        <v>95.623367467148299</v>
      </c>
      <c r="AN9191">
        <v>0.99999996430118898</v>
      </c>
    </row>
    <row r="9192" spans="1:40" x14ac:dyDescent="0.25">
      <c r="A9192" t="str">
        <f>"20190303162129500"</f>
        <v>20190303162129500</v>
      </c>
      <c r="B9192" t="str">
        <f>"1551601289492132"</f>
        <v>1551601289492132</v>
      </c>
      <c r="C9192" t="s">
        <v>40</v>
      </c>
      <c r="D9192">
        <v>4.5431530000000002</v>
      </c>
      <c r="E9192">
        <v>0.52331439999999996</v>
      </c>
      <c r="F9192" t="s">
        <v>62</v>
      </c>
      <c r="G9192">
        <v>-187.43889999999999</v>
      </c>
      <c r="H9192" s="1">
        <v>-1.011114E-5</v>
      </c>
      <c r="I9192">
        <v>-62.780070000000002</v>
      </c>
      <c r="J9192">
        <v>-251.8946</v>
      </c>
      <c r="K9192">
        <v>1.122093</v>
      </c>
      <c r="L9192">
        <v>-62.413179999999997</v>
      </c>
      <c r="M9192">
        <v>0.99903589999999998</v>
      </c>
      <c r="N9192">
        <v>-1.1617560000000001E-2</v>
      </c>
      <c r="O9192">
        <v>-4.2337470000000002E-2</v>
      </c>
      <c r="P9192">
        <v>0.98593520000000001</v>
      </c>
      <c r="Q9192">
        <v>0.158239299999999</v>
      </c>
      <c r="R9192">
        <v>5.3778279999999998E-2</v>
      </c>
      <c r="S9192">
        <v>3.0527799999999998</v>
      </c>
      <c r="T9192">
        <v>-5.3040150000000001E-2</v>
      </c>
      <c r="U9192">
        <v>-1.7578130000000001E-2</v>
      </c>
      <c r="V9192">
        <v>-9.571578E-2</v>
      </c>
      <c r="W9192">
        <v>0.16951079999999999</v>
      </c>
      <c r="X9192">
        <v>0.98086930000000006</v>
      </c>
      <c r="Y9192">
        <v>-3.6576900000000002E-2</v>
      </c>
      <c r="Z9192">
        <v>7.7358119999999895E-4</v>
      </c>
      <c r="AA9192">
        <v>0.99933050000000001</v>
      </c>
      <c r="AB9192">
        <v>27</v>
      </c>
      <c r="AC9192">
        <v>64.455699999999993</v>
      </c>
      <c r="AD9192">
        <v>-1.1221031111399999</v>
      </c>
      <c r="AE9192">
        <v>-0.36688999999999</v>
      </c>
      <c r="AF9192">
        <v>-2.3617984664101201</v>
      </c>
      <c r="AG9192">
        <v>-1.1221031111399999</v>
      </c>
      <c r="AH9192">
        <v>64.393918131161399</v>
      </c>
      <c r="AI9192">
        <v>90.997642031912093</v>
      </c>
      <c r="AJ9192">
        <v>92.100515977184401</v>
      </c>
      <c r="AK9192">
        <v>64.446985186823795</v>
      </c>
      <c r="AL9192">
        <v>80.240622865433195</v>
      </c>
      <c r="AM9192">
        <v>95.5734253054151</v>
      </c>
      <c r="AN9192">
        <v>1.00000000277006</v>
      </c>
    </row>
    <row r="9193" spans="1:40" x14ac:dyDescent="0.25">
      <c r="A9193" t="str">
        <f>"20190303162129511"</f>
        <v>20190303162129511</v>
      </c>
      <c r="B9193" t="str">
        <f>"1551601289501892"</f>
        <v>1551601289501892</v>
      </c>
      <c r="C9193" t="s">
        <v>40</v>
      </c>
      <c r="D9193">
        <v>4.5087299999999999</v>
      </c>
      <c r="E9193">
        <v>0.5232038</v>
      </c>
      <c r="F9193" t="s">
        <v>62</v>
      </c>
      <c r="G9193">
        <v>-190.0951</v>
      </c>
      <c r="H9193" s="1">
        <v>-9.9469779999999996E-6</v>
      </c>
      <c r="I9193">
        <v>-62.771509999999999</v>
      </c>
      <c r="J9193">
        <v>-251.76990000000001</v>
      </c>
      <c r="K9193">
        <v>1.1221399999999999</v>
      </c>
      <c r="L9193">
        <v>-62.418030000000002</v>
      </c>
      <c r="M9193">
        <v>0.99905469999999996</v>
      </c>
      <c r="N9193">
        <v>-1.1618939999999999E-2</v>
      </c>
      <c r="O9193">
        <v>-4.189292E-2</v>
      </c>
      <c r="P9193">
        <v>0.9860392</v>
      </c>
      <c r="Q9193">
        <v>0.15781919999999999</v>
      </c>
      <c r="R9193">
        <v>5.3102610000000001E-2</v>
      </c>
      <c r="S9193">
        <v>3.0526580000000001</v>
      </c>
      <c r="T9193">
        <v>-5.5427549999999999E-2</v>
      </c>
      <c r="U9193">
        <v>-1.7700199999999999E-2</v>
      </c>
      <c r="V9193">
        <v>-9.4627829999999996E-2</v>
      </c>
      <c r="W9193">
        <v>0.1690836</v>
      </c>
      <c r="X9193">
        <v>0.98104860000000005</v>
      </c>
      <c r="Y9193">
        <v>-3.6091289999999998E-2</v>
      </c>
      <c r="Z9193">
        <v>8.1086190000000005E-4</v>
      </c>
      <c r="AA9193">
        <v>0.99934820000000002</v>
      </c>
      <c r="AB9193">
        <v>27</v>
      </c>
      <c r="AC9193">
        <v>61.674799999999998</v>
      </c>
      <c r="AD9193">
        <v>-1.1221499469780001</v>
      </c>
      <c r="AE9193">
        <v>-0.35347999999999702</v>
      </c>
      <c r="AF9193">
        <v>-2.2300036350144299</v>
      </c>
      <c r="AG9193">
        <v>-1.1221499469780001</v>
      </c>
      <c r="AH9193">
        <v>61.6150614372185</v>
      </c>
      <c r="AI9193">
        <v>91.042688151329898</v>
      </c>
      <c r="AJ9193">
        <v>92.072773262874705</v>
      </c>
      <c r="AK9193">
        <v>61.665613859167003</v>
      </c>
      <c r="AL9193">
        <v>80.265458315026905</v>
      </c>
      <c r="AM9193">
        <v>95.509466396934499</v>
      </c>
      <c r="AN9193">
        <v>1.00000002278071</v>
      </c>
    </row>
    <row r="9194" spans="1:40" x14ac:dyDescent="0.25">
      <c r="A9194" t="str">
        <f>"20190303162129523"</f>
        <v>20190303162129523</v>
      </c>
      <c r="B9194" t="str">
        <f>"1551601289511651"</f>
        <v>1551601289511651</v>
      </c>
      <c r="C9194" t="s">
        <v>40</v>
      </c>
      <c r="D9194">
        <v>4.5492350000000004</v>
      </c>
      <c r="E9194">
        <v>0.52324380000000004</v>
      </c>
      <c r="F9194" t="s">
        <v>62</v>
      </c>
      <c r="G9194">
        <v>-190.09280000000001</v>
      </c>
      <c r="H9194" s="1">
        <v>-9.9497049999999993E-6</v>
      </c>
      <c r="I9194">
        <v>-62.7911</v>
      </c>
      <c r="J9194">
        <v>-251.6249</v>
      </c>
      <c r="K9194">
        <v>1.122198</v>
      </c>
      <c r="L9194">
        <v>-62.423609999999996</v>
      </c>
      <c r="M9194">
        <v>0.99907729999999995</v>
      </c>
      <c r="N9194">
        <v>-1.162056E-2</v>
      </c>
      <c r="O9194">
        <v>-4.1350530000000003E-2</v>
      </c>
      <c r="P9194">
        <v>0.98604849999999999</v>
      </c>
      <c r="Q9194">
        <v>0.15799079999999999</v>
      </c>
      <c r="R9194">
        <v>5.241722E-2</v>
      </c>
      <c r="S9194">
        <v>3.0523530000000001</v>
      </c>
      <c r="T9194">
        <v>-5.5534359999999998E-2</v>
      </c>
      <c r="U9194">
        <v>-1.8463130000000001E-2</v>
      </c>
      <c r="V9194">
        <v>-9.3435039999999997E-2</v>
      </c>
      <c r="W9194">
        <v>0.1692457</v>
      </c>
      <c r="X9194">
        <v>0.98113499999999998</v>
      </c>
      <c r="Y9194">
        <v>-3.529856E-2</v>
      </c>
      <c r="Z9194">
        <v>7.9765619999999995E-4</v>
      </c>
      <c r="AA9194">
        <v>0.9993765</v>
      </c>
      <c r="AB9194">
        <v>27</v>
      </c>
      <c r="AC9194">
        <v>61.5320999999999</v>
      </c>
      <c r="AD9194">
        <v>-1.1222079497049999</v>
      </c>
      <c r="AE9194">
        <v>-0.36749000000000298</v>
      </c>
      <c r="AF9194">
        <v>-2.17665669714455</v>
      </c>
      <c r="AG9194">
        <v>-1.1222079497049999</v>
      </c>
      <c r="AH9194">
        <v>61.474214916556797</v>
      </c>
      <c r="AI9194">
        <v>91.045159904677405</v>
      </c>
      <c r="AJ9194">
        <v>92.027861011929502</v>
      </c>
      <c r="AK9194">
        <v>61.522973633161001</v>
      </c>
      <c r="AL9194">
        <v>80.256035133778397</v>
      </c>
      <c r="AM9194">
        <v>95.4399623080091</v>
      </c>
      <c r="AN9194">
        <v>1.00000005094664</v>
      </c>
    </row>
    <row r="9195" spans="1:40" x14ac:dyDescent="0.25">
      <c r="A9195" t="str">
        <f>"20190303162129535"</f>
        <v>20190303162129535</v>
      </c>
      <c r="B9195" t="str">
        <f>"1551601289521411"</f>
        <v>1551601289521411</v>
      </c>
      <c r="C9195" t="s">
        <v>40</v>
      </c>
      <c r="D9195">
        <v>4.5260220000000002</v>
      </c>
      <c r="E9195">
        <v>0.52306769999999903</v>
      </c>
      <c r="F9195" t="s">
        <v>62</v>
      </c>
      <c r="G9195">
        <v>-188.05950000000001</v>
      </c>
      <c r="H9195" s="1">
        <v>-1.0159079999999999E-5</v>
      </c>
      <c r="I9195">
        <v>-62.838000000000001</v>
      </c>
      <c r="J9195">
        <v>-251.4906</v>
      </c>
      <c r="K9195">
        <v>1.1222559999999999</v>
      </c>
      <c r="L9195">
        <v>-62.428559999999997</v>
      </c>
      <c r="M9195">
        <v>0.99910060000000001</v>
      </c>
      <c r="N9195">
        <v>-1.162235E-2</v>
      </c>
      <c r="O9195">
        <v>-4.0779790000000003E-2</v>
      </c>
      <c r="P9195">
        <v>0.98603870000000005</v>
      </c>
      <c r="Q9195">
        <v>0.1583744</v>
      </c>
      <c r="R9195">
        <v>5.14318E-2</v>
      </c>
      <c r="S9195">
        <v>3.052155</v>
      </c>
      <c r="T9195">
        <v>-5.388391E-2</v>
      </c>
      <c r="U9195">
        <v>-1.9897459999999999E-2</v>
      </c>
      <c r="V9195">
        <v>-9.1913549999999997E-2</v>
      </c>
      <c r="W9195">
        <v>0.16962160000000001</v>
      </c>
      <c r="X9195">
        <v>0.98121369999999997</v>
      </c>
      <c r="Y9195">
        <v>-3.4258499999999997E-2</v>
      </c>
      <c r="Z9195">
        <v>7.4713119999999904E-4</v>
      </c>
      <c r="AA9195">
        <v>0.99941270000000004</v>
      </c>
      <c r="AB9195">
        <v>27</v>
      </c>
      <c r="AC9195">
        <v>63.431100000000001</v>
      </c>
      <c r="AD9195">
        <v>-1.1222661590799901</v>
      </c>
      <c r="AE9195">
        <v>-0.40944000000000302</v>
      </c>
      <c r="AF9195">
        <v>-2.1771007213888098</v>
      </c>
      <c r="AG9195">
        <v>-1.1222661590799901</v>
      </c>
      <c r="AH9195">
        <v>63.375188680871098</v>
      </c>
      <c r="AI9195">
        <v>91.013906235682299</v>
      </c>
      <c r="AJ9195">
        <v>91.967483682705506</v>
      </c>
      <c r="AK9195">
        <v>63.4225022308242</v>
      </c>
      <c r="AL9195">
        <v>80.234180753526999</v>
      </c>
      <c r="AM9195">
        <v>95.351470143972506</v>
      </c>
      <c r="AN9195">
        <v>0.99999995646392503</v>
      </c>
    </row>
    <row r="9196" spans="1:40" x14ac:dyDescent="0.25">
      <c r="A9196" t="str">
        <f>"20190303162129545"</f>
        <v>20190303162129545</v>
      </c>
      <c r="B9196" t="str">
        <f>"1551601289532148"</f>
        <v>1551601289532148</v>
      </c>
      <c r="C9196" t="s">
        <v>40</v>
      </c>
      <c r="D9196">
        <v>4.3810000000000002</v>
      </c>
      <c r="E9196">
        <v>0.52306769999999903</v>
      </c>
      <c r="F9196" t="s">
        <v>62</v>
      </c>
      <c r="G9196">
        <v>-186.48179999999999</v>
      </c>
      <c r="H9196" s="1">
        <v>-9.9826279999999999E-6</v>
      </c>
      <c r="I9196">
        <v>-62.870579999999997</v>
      </c>
      <c r="J9196">
        <v>-251.35669999999999</v>
      </c>
      <c r="K9196">
        <v>1.122314</v>
      </c>
      <c r="L9196">
        <v>-62.433500000000002</v>
      </c>
      <c r="M9196">
        <v>0.99912429999999997</v>
      </c>
      <c r="N9196">
        <v>-1.162412E-2</v>
      </c>
      <c r="O9196">
        <v>-4.0195830000000002E-2</v>
      </c>
      <c r="P9196">
        <v>0.98606769999999999</v>
      </c>
      <c r="Q9196">
        <v>0.15843090000000001</v>
      </c>
      <c r="R9196">
        <v>5.0700009999999997E-2</v>
      </c>
      <c r="S9196">
        <v>3.0520019999999999</v>
      </c>
      <c r="T9196">
        <v>-5.2687640000000001E-2</v>
      </c>
      <c r="U9196">
        <v>-2.0751950000000002E-2</v>
      </c>
      <c r="V9196">
        <v>-9.0634000000000006E-2</v>
      </c>
      <c r="W9196">
        <v>0.16967009999999999</v>
      </c>
      <c r="X9196">
        <v>0.98132439999999999</v>
      </c>
      <c r="Y9196">
        <v>-3.3394849999999997E-2</v>
      </c>
      <c r="Z9196">
        <v>7.0869259999999904E-4</v>
      </c>
      <c r="AA9196">
        <v>0.99944200000000005</v>
      </c>
      <c r="AB9196">
        <v>27</v>
      </c>
      <c r="AC9196">
        <v>64.874899999999997</v>
      </c>
      <c r="AD9196">
        <v>-1.122323982628</v>
      </c>
      <c r="AE9196">
        <v>-0.43708000000000102</v>
      </c>
      <c r="AF9196">
        <v>-2.1705001165902398</v>
      </c>
      <c r="AG9196">
        <v>-1.122323982628</v>
      </c>
      <c r="AH9196">
        <v>64.820633492562905</v>
      </c>
      <c r="AI9196">
        <v>90.991381763690498</v>
      </c>
      <c r="AJ9196">
        <v>91.917816008970604</v>
      </c>
      <c r="AK9196">
        <v>64.866672554211306</v>
      </c>
      <c r="AL9196">
        <v>80.231361677237501</v>
      </c>
      <c r="AM9196">
        <v>95.276802701104302</v>
      </c>
      <c r="AN9196">
        <v>1.0000000214126801</v>
      </c>
    </row>
    <row r="9197" spans="1:40" x14ac:dyDescent="0.25">
      <c r="A9197" t="str">
        <f>"20190303162129556"</f>
        <v>20190303162129556</v>
      </c>
      <c r="B9197" t="str">
        <f>"1551601289551667"</f>
        <v>1551601289551667</v>
      </c>
      <c r="C9197" t="s">
        <v>40</v>
      </c>
      <c r="D9197">
        <v>4.5869780000000002</v>
      </c>
      <c r="E9197">
        <v>0.52261729999999995</v>
      </c>
      <c r="F9197" t="s">
        <v>62</v>
      </c>
      <c r="G9197">
        <v>-186.33150000000001</v>
      </c>
      <c r="H9197" s="1">
        <v>-9.9515820000000005E-6</v>
      </c>
      <c r="I9197">
        <v>-62.914650000000002</v>
      </c>
      <c r="J9197">
        <v>-251.22909999999999</v>
      </c>
      <c r="K9197">
        <v>1.122369</v>
      </c>
      <c r="L9197">
        <v>-62.437959999999997</v>
      </c>
      <c r="M9197">
        <v>0.99914910000000001</v>
      </c>
      <c r="N9197">
        <v>-1.162593E-2</v>
      </c>
      <c r="O9197">
        <v>-3.9574459999999999E-2</v>
      </c>
      <c r="P9197">
        <v>0.98612180000000005</v>
      </c>
      <c r="Q9197">
        <v>0.15828349999999999</v>
      </c>
      <c r="R9197">
        <v>5.0103660000000001E-2</v>
      </c>
      <c r="S9197">
        <v>3.0520170000000002</v>
      </c>
      <c r="T9197">
        <v>-5.2677269999999998E-2</v>
      </c>
      <c r="U9197">
        <v>-2.2583010000000001E-2</v>
      </c>
      <c r="V9197">
        <v>-8.9452489999999996E-2</v>
      </c>
      <c r="W9197">
        <v>0.1695159</v>
      </c>
      <c r="X9197">
        <v>0.98145939999999998</v>
      </c>
      <c r="Y9197">
        <v>-3.2174040000000001E-2</v>
      </c>
      <c r="Z9197">
        <v>6.8732759999999896E-4</v>
      </c>
      <c r="AA9197">
        <v>0.99948199999999998</v>
      </c>
      <c r="AB9197">
        <v>27</v>
      </c>
      <c r="AC9197">
        <v>64.897599999999898</v>
      </c>
      <c r="AD9197">
        <v>-1.122378951582</v>
      </c>
      <c r="AE9197">
        <v>-0.476690000000005</v>
      </c>
      <c r="AF9197">
        <v>-2.09151870336005</v>
      </c>
      <c r="AG9197">
        <v>-1.122378951582</v>
      </c>
      <c r="AH9197">
        <v>64.846225252282693</v>
      </c>
      <c r="AI9197">
        <v>90.991079171936605</v>
      </c>
      <c r="AJ9197">
        <v>91.847349872813098</v>
      </c>
      <c r="AK9197">
        <v>64.8896533699114</v>
      </c>
      <c r="AL9197">
        <v>80.240326053716302</v>
      </c>
      <c r="AM9197">
        <v>95.207682329187193</v>
      </c>
      <c r="AN9197">
        <v>0.99999997108418404</v>
      </c>
    </row>
    <row r="9198" spans="1:40" x14ac:dyDescent="0.25">
      <c r="A9198" t="str">
        <f>"20190303162129568"</f>
        <v>20190303162129568</v>
      </c>
      <c r="B9198" t="str">
        <f>"1551601289561428"</f>
        <v>1551601289561428</v>
      </c>
      <c r="C9198" t="s">
        <v>40</v>
      </c>
      <c r="D9198">
        <v>4.5889959999999999</v>
      </c>
      <c r="E9198">
        <v>0.52262500000000001</v>
      </c>
      <c r="F9198" t="s">
        <v>62</v>
      </c>
      <c r="G9198">
        <v>-187.33189999999999</v>
      </c>
      <c r="H9198" s="1">
        <v>-1.006757E-5</v>
      </c>
      <c r="I9198">
        <v>-62.870530000000002</v>
      </c>
      <c r="J9198">
        <v>-251.0882</v>
      </c>
      <c r="K9198">
        <v>1.122422</v>
      </c>
      <c r="L9198">
        <v>-62.4428699999999</v>
      </c>
      <c r="M9198">
        <v>0.99917670000000003</v>
      </c>
      <c r="N9198">
        <v>-1.162794E-2</v>
      </c>
      <c r="O9198">
        <v>-3.8867939999999997E-2</v>
      </c>
      <c r="P9198">
        <v>0.98632509999999995</v>
      </c>
      <c r="Q9198">
        <v>0.157113</v>
      </c>
      <c r="R9198">
        <v>4.9785139999999999E-2</v>
      </c>
      <c r="S9198">
        <v>3.051895</v>
      </c>
      <c r="T9198">
        <v>-5.3607700000000001E-2</v>
      </c>
      <c r="U9198">
        <v>-2.0660399999999999E-2</v>
      </c>
      <c r="V9198">
        <v>-8.8470419999999994E-2</v>
      </c>
      <c r="W9198">
        <v>0.16833909999999999</v>
      </c>
      <c r="X9198">
        <v>0.98175100000000004</v>
      </c>
      <c r="Y9198">
        <v>-3.2096340000000001E-2</v>
      </c>
      <c r="Z9198">
        <v>6.9897250000000002E-4</v>
      </c>
      <c r="AA9198">
        <v>0.9994845</v>
      </c>
      <c r="AB9198">
        <v>27</v>
      </c>
      <c r="AC9198">
        <v>63.756300000000003</v>
      </c>
      <c r="AD9198">
        <v>-1.1224320675699999</v>
      </c>
      <c r="AE9198">
        <v>-0.42766000000000998</v>
      </c>
      <c r="AF9198">
        <v>-2.05027135995106</v>
      </c>
      <c r="AG9198">
        <v>-1.1224320675699999</v>
      </c>
      <c r="AH9198">
        <v>63.704996142486202</v>
      </c>
      <c r="AI9198">
        <v>91.008879998737001</v>
      </c>
      <c r="AJ9198">
        <v>91.843361886346898</v>
      </c>
      <c r="AK9198">
        <v>63.747862708564</v>
      </c>
      <c r="AL9198">
        <v>80.308735614006295</v>
      </c>
      <c r="AM9198">
        <v>95.149296431839602</v>
      </c>
      <c r="AN9198">
        <v>1.00000004690239</v>
      </c>
    </row>
    <row r="9199" spans="1:40" x14ac:dyDescent="0.25">
      <c r="A9199" t="str">
        <f>"20190303162129578"</f>
        <v>20190303162129578</v>
      </c>
      <c r="B9199" t="str">
        <f>"1551601289572164"</f>
        <v>1551601289572164</v>
      </c>
      <c r="C9199" t="s">
        <v>40</v>
      </c>
      <c r="D9199">
        <v>4.5876929999999998</v>
      </c>
      <c r="E9199">
        <v>0.52245399999999997</v>
      </c>
      <c r="F9199" t="s">
        <v>62</v>
      </c>
      <c r="G9199">
        <v>-190.97919999999999</v>
      </c>
      <c r="H9199" s="1">
        <v>-9.5695360000000006E-6</v>
      </c>
      <c r="I9199">
        <v>-62.873849999999997</v>
      </c>
      <c r="J9199">
        <v>-250.953</v>
      </c>
      <c r="K9199">
        <v>1.122474</v>
      </c>
      <c r="L9199">
        <v>-62.447389999999999</v>
      </c>
      <c r="M9199">
        <v>0.9992048</v>
      </c>
      <c r="N9199">
        <v>-1.163002E-2</v>
      </c>
      <c r="O9199">
        <v>-3.814182E-2</v>
      </c>
      <c r="P9199">
        <v>0.98646109999999998</v>
      </c>
      <c r="Q9199">
        <v>0.15621099999999999</v>
      </c>
      <c r="R9199">
        <v>4.9929679999999997E-2</v>
      </c>
      <c r="S9199">
        <v>3.0517880000000002</v>
      </c>
      <c r="T9199">
        <v>-5.6986809999999999E-2</v>
      </c>
      <c r="U9199">
        <v>-2.1881100000000001E-2</v>
      </c>
      <c r="V9199">
        <v>-8.7926190000000001E-2</v>
      </c>
      <c r="W9199">
        <v>0.16743039999999901</v>
      </c>
      <c r="X9199">
        <v>0.98195520000000003</v>
      </c>
      <c r="Y9199">
        <v>-3.0969190000000001E-2</v>
      </c>
      <c r="Z9199">
        <v>7.375649E-4</v>
      </c>
      <c r="AA9199">
        <v>0.99952010000000002</v>
      </c>
      <c r="AB9199">
        <v>27</v>
      </c>
      <c r="AC9199">
        <v>59.973799999999997</v>
      </c>
      <c r="AD9199">
        <v>-1.122483569536</v>
      </c>
      <c r="AE9199">
        <v>-0.42645999999999101</v>
      </c>
      <c r="AF9199">
        <v>-1.86086281078761</v>
      </c>
      <c r="AG9199">
        <v>-1.122483569536</v>
      </c>
      <c r="AH9199">
        <v>59.925429734379101</v>
      </c>
      <c r="AI9199">
        <v>91.072584312146503</v>
      </c>
      <c r="AJ9199">
        <v>91.778632793527706</v>
      </c>
      <c r="AK9199">
        <v>59.964822259508601</v>
      </c>
      <c r="AL9199">
        <v>80.361549291643001</v>
      </c>
      <c r="AM9199">
        <v>95.116730415108904</v>
      </c>
      <c r="AN9199">
        <v>0.99999998426955705</v>
      </c>
    </row>
    <row r="9200" spans="1:40" x14ac:dyDescent="0.25">
      <c r="A9200" t="str">
        <f>"20190303162129589"</f>
        <v>20190303162129589</v>
      </c>
      <c r="B9200" t="str">
        <f>"1551601289581924"</f>
        <v>1551601289581924</v>
      </c>
      <c r="C9200" t="s">
        <v>40</v>
      </c>
      <c r="D9200">
        <v>4.5959859999999999</v>
      </c>
      <c r="E9200">
        <v>0.5223061</v>
      </c>
      <c r="F9200" t="s">
        <v>62</v>
      </c>
      <c r="G9200">
        <v>-192.6825</v>
      </c>
      <c r="H9200" s="1">
        <v>-8.8297669999999994E-6</v>
      </c>
      <c r="I9200">
        <v>-62.835500000000003</v>
      </c>
      <c r="J9200">
        <v>-250.82839999999999</v>
      </c>
      <c r="K9200">
        <v>1.122522</v>
      </c>
      <c r="L9200">
        <v>-62.451450000000001</v>
      </c>
      <c r="M9200">
        <v>0.99923099999999998</v>
      </c>
      <c r="N9200">
        <v>-1.1631910000000001E-2</v>
      </c>
      <c r="O9200">
        <v>-3.7446180000000003E-2</v>
      </c>
      <c r="P9200">
        <v>0.98663650000000003</v>
      </c>
      <c r="Q9200">
        <v>0.15515229999999999</v>
      </c>
      <c r="R9200">
        <v>4.9764339999999997E-2</v>
      </c>
      <c r="S9200">
        <v>3.0515289999999999</v>
      </c>
      <c r="T9200">
        <v>-5.8782580000000001E-2</v>
      </c>
      <c r="U9200">
        <v>-2.0324709999999999E-2</v>
      </c>
      <c r="V9200">
        <v>-8.7100629999999998E-2</v>
      </c>
      <c r="W9200">
        <v>0.1663684</v>
      </c>
      <c r="X9200">
        <v>0.98220929999999995</v>
      </c>
      <c r="Y9200">
        <v>-3.0781960000000001E-2</v>
      </c>
      <c r="Z9200">
        <v>7.6097100000000004E-4</v>
      </c>
      <c r="AA9200">
        <v>0.99952580000000002</v>
      </c>
      <c r="AB9200">
        <v>27</v>
      </c>
      <c r="AC9200">
        <v>58.145899999999898</v>
      </c>
      <c r="AD9200">
        <v>-1.122530829767</v>
      </c>
      <c r="AE9200">
        <v>-0.384050000000002</v>
      </c>
      <c r="AF9200">
        <v>-1.7930401886035101</v>
      </c>
      <c r="AG9200">
        <v>-1.122530829767</v>
      </c>
      <c r="AH9200">
        <v>58.097843723264198</v>
      </c>
      <c r="AI9200">
        <v>91.106369465102802</v>
      </c>
      <c r="AJ9200">
        <v>91.767725440297497</v>
      </c>
      <c r="AK9200">
        <v>58.136344173628203</v>
      </c>
      <c r="AL9200">
        <v>80.423263520895205</v>
      </c>
      <c r="AM9200">
        <v>95.067635157486194</v>
      </c>
      <c r="AN9200">
        <v>1.00000003663572</v>
      </c>
    </row>
    <row r="9201" spans="1:40" x14ac:dyDescent="0.25">
      <c r="A9201" t="str">
        <f>"20190303162129600"</f>
        <v>20190303162129600</v>
      </c>
      <c r="B9201" t="str">
        <f>"1551601289591684"</f>
        <v>1551601289591684</v>
      </c>
      <c r="C9201" t="s">
        <v>40</v>
      </c>
      <c r="D9201">
        <v>4.5929099999999998</v>
      </c>
      <c r="E9201">
        <v>0.52213469999999995</v>
      </c>
      <c r="F9201" t="s">
        <v>62</v>
      </c>
      <c r="G9201">
        <v>-194.56299999999999</v>
      </c>
      <c r="H9201" s="1">
        <v>-8.0628649999999996E-6</v>
      </c>
      <c r="I9201">
        <v>-62.818930000000002</v>
      </c>
      <c r="J9201">
        <v>-250.6917</v>
      </c>
      <c r="K9201">
        <v>1.1225769999999999</v>
      </c>
      <c r="L9201">
        <v>-62.455750000000002</v>
      </c>
      <c r="M9201">
        <v>0.99926040000000005</v>
      </c>
      <c r="N9201">
        <v>-1.163397E-2</v>
      </c>
      <c r="O9201">
        <v>-3.664945E-2</v>
      </c>
      <c r="P9201">
        <v>0.98676819999999998</v>
      </c>
      <c r="Q9201">
        <v>0.15429399999999999</v>
      </c>
      <c r="R9201">
        <v>4.9816470000000002E-2</v>
      </c>
      <c r="S9201">
        <v>3.0512079999999999</v>
      </c>
      <c r="T9201">
        <v>-6.0873509999999999E-2</v>
      </c>
      <c r="U9201">
        <v>-1.9927980000000001E-2</v>
      </c>
      <c r="V9201">
        <v>-8.6391609999999994E-2</v>
      </c>
      <c r="W9201">
        <v>0.1655046</v>
      </c>
      <c r="X9201">
        <v>0.98241780000000001</v>
      </c>
      <c r="Y9201">
        <v>-3.0113750000000002E-2</v>
      </c>
      <c r="Z9201">
        <v>7.8006649999999903E-4</v>
      </c>
      <c r="AA9201">
        <v>0.99954620000000005</v>
      </c>
      <c r="AB9201">
        <v>27</v>
      </c>
      <c r="AC9201">
        <v>56.128700000000002</v>
      </c>
      <c r="AD9201">
        <v>-1.122585062865</v>
      </c>
      <c r="AE9201">
        <v>-0.363179999999999</v>
      </c>
      <c r="AF9201">
        <v>-1.69361192964089</v>
      </c>
      <c r="AG9201">
        <v>-1.122585062865</v>
      </c>
      <c r="AH9201">
        <v>56.081865687444001</v>
      </c>
      <c r="AI9201">
        <v>91.146208316191604</v>
      </c>
      <c r="AJ9201">
        <v>91.729745119240405</v>
      </c>
      <c r="AK9201">
        <v>56.1186615804057</v>
      </c>
      <c r="AL9201">
        <v>80.473451125555101</v>
      </c>
      <c r="AM9201">
        <v>95.025534256640896</v>
      </c>
      <c r="AN9201">
        <v>1.0000000083281899</v>
      </c>
    </row>
    <row r="9202" spans="1:40" x14ac:dyDescent="0.25">
      <c r="A9202" t="str">
        <f>"20190303162129613"</f>
        <v>20190303162129613</v>
      </c>
      <c r="B9202" t="str">
        <f>"1551601289601444"</f>
        <v>1551601289601444</v>
      </c>
      <c r="C9202" t="s">
        <v>40</v>
      </c>
      <c r="D9202">
        <v>4.5720769999999904</v>
      </c>
      <c r="E9202">
        <v>0.52189439999999998</v>
      </c>
      <c r="F9202" t="s">
        <v>62</v>
      </c>
      <c r="G9202">
        <v>-196.3879</v>
      </c>
      <c r="H9202" s="1">
        <v>-7.3177250000000003E-6</v>
      </c>
      <c r="I9202">
        <v>-62.787080000000003</v>
      </c>
      <c r="J9202">
        <v>-250.55770000000001</v>
      </c>
      <c r="K9202">
        <v>1.122625</v>
      </c>
      <c r="L9202">
        <v>-62.45984</v>
      </c>
      <c r="M9202">
        <v>0.99929020000000002</v>
      </c>
      <c r="N9202">
        <v>-1.1635970000000001E-2</v>
      </c>
      <c r="O9202">
        <v>-3.5831080000000001E-2</v>
      </c>
      <c r="P9202">
        <v>0.98682099999999995</v>
      </c>
      <c r="Q9202">
        <v>0.1539297</v>
      </c>
      <c r="R9202">
        <v>4.9901870000000001E-2</v>
      </c>
      <c r="S9202">
        <v>3.0510410000000001</v>
      </c>
      <c r="T9202">
        <v>-6.3072089999999997E-2</v>
      </c>
      <c r="U9202">
        <v>-1.8615719999999999E-2</v>
      </c>
      <c r="V9202">
        <v>-8.5690539999999996E-2</v>
      </c>
      <c r="W9202">
        <v>0.1651359</v>
      </c>
      <c r="X9202">
        <v>0.98254129999999995</v>
      </c>
      <c r="Y9202">
        <v>-2.9724049999999998E-2</v>
      </c>
      <c r="Z9202">
        <v>8.0365519999999998E-4</v>
      </c>
      <c r="AA9202">
        <v>0.99955780000000005</v>
      </c>
      <c r="AB9202">
        <v>27</v>
      </c>
      <c r="AC9202">
        <v>54.169800000000002</v>
      </c>
      <c r="AD9202">
        <v>-1.1226323177249999</v>
      </c>
      <c r="AE9202">
        <v>-0.32724000000000297</v>
      </c>
      <c r="AF9202">
        <v>-1.6133709374053</v>
      </c>
      <c r="AG9202">
        <v>-1.1226323177249999</v>
      </c>
      <c r="AH9202">
        <v>54.123491836142499</v>
      </c>
      <c r="AI9202">
        <v>91.187734255194897</v>
      </c>
      <c r="AJ9202">
        <v>91.7074282722389</v>
      </c>
      <c r="AK9202">
        <v>54.159169469623997</v>
      </c>
      <c r="AL9202">
        <v>80.494871408853101</v>
      </c>
      <c r="AM9202">
        <v>94.984334828568905</v>
      </c>
      <c r="AN9202">
        <v>1.00000007015999</v>
      </c>
    </row>
    <row r="9203" spans="1:40" x14ac:dyDescent="0.25">
      <c r="A9203" t="str">
        <f>"20190303162129624"</f>
        <v>20190303162129624</v>
      </c>
      <c r="B9203" t="str">
        <f>"1551601289612180"</f>
        <v>1551601289612180</v>
      </c>
      <c r="C9203" t="s">
        <v>40</v>
      </c>
      <c r="D9203">
        <v>4.623443</v>
      </c>
      <c r="E9203">
        <v>0.52176060000000002</v>
      </c>
      <c r="F9203" t="s">
        <v>62</v>
      </c>
      <c r="G9203">
        <v>-197.72819999999999</v>
      </c>
      <c r="H9203" s="1">
        <v>-6.7691470000000004E-6</v>
      </c>
      <c r="I9203">
        <v>-62.740960000000001</v>
      </c>
      <c r="J9203">
        <v>-250.40799999999999</v>
      </c>
      <c r="K9203">
        <v>1.1226739999999999</v>
      </c>
      <c r="L9203">
        <v>-62.464260000000003</v>
      </c>
      <c r="M9203">
        <v>0.99932330000000003</v>
      </c>
      <c r="N9203">
        <v>-1.163814E-2</v>
      </c>
      <c r="O9203">
        <v>-3.4894439999999999E-2</v>
      </c>
      <c r="P9203">
        <v>0.98675420000000003</v>
      </c>
      <c r="Q9203">
        <v>0.1542907</v>
      </c>
      <c r="R9203">
        <v>5.0106589999999999E-2</v>
      </c>
      <c r="S9203">
        <v>3.05098</v>
      </c>
      <c r="T9203">
        <v>-6.4833639999999998E-2</v>
      </c>
      <c r="U9203">
        <v>-1.6235349999999999E-2</v>
      </c>
      <c r="V9203">
        <v>-8.4991510000000006E-2</v>
      </c>
      <c r="W9203">
        <v>0.1654909</v>
      </c>
      <c r="X9203">
        <v>0.98254220000000003</v>
      </c>
      <c r="Y9203">
        <v>-2.9566329999999998E-2</v>
      </c>
      <c r="Z9203">
        <v>8.2131550000000004E-4</v>
      </c>
      <c r="AA9203">
        <v>0.99956250000000002</v>
      </c>
      <c r="AB9203">
        <v>27</v>
      </c>
      <c r="AC9203">
        <v>52.6798</v>
      </c>
      <c r="AD9203">
        <v>-1.122680769147</v>
      </c>
      <c r="AE9203">
        <v>-0.276700000000005</v>
      </c>
      <c r="AF9203">
        <v>-1.56111603784051</v>
      </c>
      <c r="AG9203">
        <v>-1.122680769147</v>
      </c>
      <c r="AH9203">
        <v>52.633465586908201</v>
      </c>
      <c r="AI9203">
        <v>91.221406452581107</v>
      </c>
      <c r="AJ9203">
        <v>91.698902856969497</v>
      </c>
      <c r="AK9203">
        <v>52.668578821544699</v>
      </c>
      <c r="AL9203">
        <v>80.474246826919</v>
      </c>
      <c r="AM9203">
        <v>94.943872407160697</v>
      </c>
      <c r="AN9203">
        <v>0.999999984767865</v>
      </c>
    </row>
    <row r="9204" spans="1:40" x14ac:dyDescent="0.25">
      <c r="A9204" t="str">
        <f>"20190303162129635"</f>
        <v>20190303162129635</v>
      </c>
      <c r="B9204" t="str">
        <f>"1551601289621940"</f>
        <v>1551601289621940</v>
      </c>
      <c r="C9204" t="s">
        <v>40</v>
      </c>
      <c r="D9204">
        <v>4.6151759999999999</v>
      </c>
      <c r="E9204">
        <v>0.52175379999999905</v>
      </c>
      <c r="F9204" t="s">
        <v>62</v>
      </c>
      <c r="G9204">
        <v>-196.5461</v>
      </c>
      <c r="H9204" s="1">
        <v>-7.2493560000000001E-6</v>
      </c>
      <c r="I9204">
        <v>-62.719099999999997</v>
      </c>
      <c r="J9204">
        <v>-250.2766</v>
      </c>
      <c r="K9204">
        <v>1.1227149999999999</v>
      </c>
      <c r="L9204">
        <v>-62.467930000000003</v>
      </c>
      <c r="M9204">
        <v>0.9993533</v>
      </c>
      <c r="N9204">
        <v>-1.1640040000000001E-2</v>
      </c>
      <c r="O9204">
        <v>-3.4024440000000003E-2</v>
      </c>
      <c r="P9204">
        <v>0.9866682</v>
      </c>
      <c r="Q9204">
        <v>0.15472339999999901</v>
      </c>
      <c r="R9204">
        <v>5.0466660000000003E-2</v>
      </c>
      <c r="S9204">
        <v>3.0509490000000001</v>
      </c>
      <c r="T9204">
        <v>-6.3593150000000001E-2</v>
      </c>
      <c r="U9204">
        <v>-1.4434809999999999E-2</v>
      </c>
      <c r="V9204">
        <v>-8.450887E-2</v>
      </c>
      <c r="W9204">
        <v>0.16591839999999999</v>
      </c>
      <c r="X9204">
        <v>0.98251180000000005</v>
      </c>
      <c r="Y9204">
        <v>-2.9286550000000001E-2</v>
      </c>
      <c r="Z9204">
        <v>7.8856439999999998E-4</v>
      </c>
      <c r="AA9204">
        <v>0.99957070000000003</v>
      </c>
      <c r="AB9204">
        <v>27</v>
      </c>
      <c r="AC9204">
        <v>53.730499999999999</v>
      </c>
      <c r="AD9204">
        <v>-1.1227222493559901</v>
      </c>
      <c r="AE9204">
        <v>-0.25116999999999401</v>
      </c>
      <c r="AF9204">
        <v>-1.5765609829201701</v>
      </c>
      <c r="AG9204">
        <v>-1.1227222493559901</v>
      </c>
      <c r="AH9204">
        <v>53.684493214275101</v>
      </c>
      <c r="AI9204">
        <v>91.197555532524902</v>
      </c>
      <c r="AJ9204">
        <v>91.6821307353203</v>
      </c>
      <c r="AK9204">
        <v>53.719371379937201</v>
      </c>
      <c r="AL9204">
        <v>80.449410152375194</v>
      </c>
      <c r="AM9204">
        <v>94.916087041444896</v>
      </c>
      <c r="AN9204">
        <v>1.0000000508532301</v>
      </c>
    </row>
    <row r="9205" spans="1:40" x14ac:dyDescent="0.25">
      <c r="A9205" t="str">
        <f>"20190303162129647"</f>
        <v>20190303162129647</v>
      </c>
      <c r="B9205" t="str">
        <f>"1551601289641459"</f>
        <v>1551601289641459</v>
      </c>
      <c r="C9205" t="s">
        <v>40</v>
      </c>
      <c r="D9205">
        <v>4.6327299999999996</v>
      </c>
      <c r="E9205">
        <v>0.52136199999999999</v>
      </c>
      <c r="F9205" t="s">
        <v>62</v>
      </c>
      <c r="G9205">
        <v>-194.97409999999999</v>
      </c>
      <c r="H9205" s="1">
        <v>-7.8887829999999999E-6</v>
      </c>
      <c r="I9205">
        <v>-62.704129999999999</v>
      </c>
      <c r="J9205">
        <v>-250.1395</v>
      </c>
      <c r="K9205">
        <v>1.1227560000000001</v>
      </c>
      <c r="L9205">
        <v>-62.471679999999999</v>
      </c>
      <c r="M9205">
        <v>0.99938400000000005</v>
      </c>
      <c r="N9205">
        <v>-1.164194E-2</v>
      </c>
      <c r="O9205">
        <v>-3.310747E-2</v>
      </c>
      <c r="P9205">
        <v>0.98655329999999997</v>
      </c>
      <c r="Q9205">
        <v>0.15524949999999901</v>
      </c>
      <c r="R9205">
        <v>5.1093800000000002E-2</v>
      </c>
      <c r="S9205">
        <v>3.0509029999999999</v>
      </c>
      <c r="T9205">
        <v>-6.1937810000000003E-2</v>
      </c>
      <c r="U9205">
        <v>-1.3031010000000001E-2</v>
      </c>
      <c r="V9205">
        <v>-8.4246050000000003E-2</v>
      </c>
      <c r="W9205">
        <v>0.16643839999999999</v>
      </c>
      <c r="X9205">
        <v>0.98244640000000005</v>
      </c>
      <c r="Y9205">
        <v>-2.8830020000000001E-2</v>
      </c>
      <c r="Z9205">
        <v>7.4693130000000004E-4</v>
      </c>
      <c r="AA9205">
        <v>0.99958409999999998</v>
      </c>
      <c r="AB9205">
        <v>27</v>
      </c>
      <c r="AC9205">
        <v>55.165399999999998</v>
      </c>
      <c r="AD9205">
        <v>-1.12276388878299</v>
      </c>
      <c r="AE9205">
        <v>-0.23244999999999999</v>
      </c>
      <c r="AF9205">
        <v>-1.59352795929783</v>
      </c>
      <c r="AG9205">
        <v>-1.12276388878299</v>
      </c>
      <c r="AH9205">
        <v>55.120018386724603</v>
      </c>
      <c r="AI9205">
        <v>91.166434336433596</v>
      </c>
      <c r="AJ9205">
        <v>91.655968290055</v>
      </c>
      <c r="AK9205">
        <v>55.154477216812403</v>
      </c>
      <c r="AL9205">
        <v>80.419196076378796</v>
      </c>
      <c r="AM9205">
        <v>94.901197395813298</v>
      </c>
      <c r="AN9205">
        <v>1.00000003340406</v>
      </c>
    </row>
    <row r="9206" spans="1:40" x14ac:dyDescent="0.25">
      <c r="A9206" t="str">
        <f>"20190303162129659"</f>
        <v>20190303162129659</v>
      </c>
      <c r="B9206" t="str">
        <f>"1551601289652196"</f>
        <v>1551601289652196</v>
      </c>
      <c r="C9206" t="s">
        <v>40</v>
      </c>
      <c r="D9206">
        <v>4.5655010000000003</v>
      </c>
      <c r="E9206">
        <v>0.52118220000000004</v>
      </c>
      <c r="F9206" t="s">
        <v>62</v>
      </c>
      <c r="G9206">
        <v>-193.32239999999999</v>
      </c>
      <c r="H9206" s="1">
        <v>-8.5563770000000004E-6</v>
      </c>
      <c r="I9206">
        <v>-62.616039999999998</v>
      </c>
      <c r="J9206">
        <v>-249.99109999999999</v>
      </c>
      <c r="K9206">
        <v>1.1227940000000001</v>
      </c>
      <c r="L9206">
        <v>-62.475490000000001</v>
      </c>
      <c r="M9206">
        <v>0.99941769999999996</v>
      </c>
      <c r="N9206">
        <v>-1.164399E-2</v>
      </c>
      <c r="O9206">
        <v>-3.2078599999999999E-2</v>
      </c>
      <c r="P9206">
        <v>0.98644299999999996</v>
      </c>
      <c r="Q9206">
        <v>0.15559690000000001</v>
      </c>
      <c r="R9206">
        <v>5.215525E-2</v>
      </c>
      <c r="S9206">
        <v>3.0507810000000002</v>
      </c>
      <c r="T9206">
        <v>-6.0286640000000002E-2</v>
      </c>
      <c r="U9206">
        <v>-7.7514649999999999E-3</v>
      </c>
      <c r="V9206">
        <v>-8.4305290000000005E-2</v>
      </c>
      <c r="W9206">
        <v>0.16677979999999901</v>
      </c>
      <c r="X9206">
        <v>0.98238340000000002</v>
      </c>
      <c r="Y9206">
        <v>-2.9530959999999998E-2</v>
      </c>
      <c r="Z9206">
        <v>7.2389839999999997E-4</v>
      </c>
      <c r="AA9206">
        <v>0.9995636</v>
      </c>
      <c r="AB9206">
        <v>27</v>
      </c>
      <c r="AC9206">
        <v>56.668700000000001</v>
      </c>
      <c r="AD9206">
        <v>-1.1228025563770001</v>
      </c>
      <c r="AE9206">
        <v>-0.14055000000000401</v>
      </c>
      <c r="AF9206">
        <v>-1.6768395475264599</v>
      </c>
      <c r="AG9206">
        <v>-1.1228025563770001</v>
      </c>
      <c r="AH9206">
        <v>56.621812368645699</v>
      </c>
      <c r="AI9206">
        <v>91.135520638023706</v>
      </c>
      <c r="AJ9206">
        <v>91.696303112735706</v>
      </c>
      <c r="AK9206">
        <v>56.657763037017901</v>
      </c>
      <c r="AL9206">
        <v>80.399357834788006</v>
      </c>
      <c r="AM9206">
        <v>94.904940004224201</v>
      </c>
      <c r="AN9206">
        <v>1.00000001410279</v>
      </c>
    </row>
    <row r="9207" spans="1:40" x14ac:dyDescent="0.25">
      <c r="A9207" t="str">
        <f>"20190303162129669"</f>
        <v>20190303162129669</v>
      </c>
      <c r="B9207" t="str">
        <f>"1551601289661956"</f>
        <v>1551601289661956</v>
      </c>
      <c r="C9207" t="s">
        <v>40</v>
      </c>
      <c r="D9207">
        <v>4.5721429999999996</v>
      </c>
      <c r="E9207">
        <v>0.52102329999999997</v>
      </c>
      <c r="F9207" t="s">
        <v>62</v>
      </c>
      <c r="G9207">
        <v>-192.08699999999999</v>
      </c>
      <c r="H9207" s="1">
        <v>-9.0557000000000004E-6</v>
      </c>
      <c r="I9207">
        <v>-62.53689</v>
      </c>
      <c r="J9207">
        <v>-249.87219999999999</v>
      </c>
      <c r="K9207">
        <v>1.122817</v>
      </c>
      <c r="L9207">
        <v>-62.478490000000001</v>
      </c>
      <c r="M9207">
        <v>0.99944390000000005</v>
      </c>
      <c r="N9207">
        <v>-1.1645559999999999E-2</v>
      </c>
      <c r="O9207">
        <v>-3.1243659999999999E-2</v>
      </c>
      <c r="P9207">
        <v>0.98641040000000002</v>
      </c>
      <c r="Q9207">
        <v>0.15540619999999999</v>
      </c>
      <c r="R9207">
        <v>5.3326520000000002E-2</v>
      </c>
      <c r="S9207">
        <v>3.050751</v>
      </c>
      <c r="T9207">
        <v>-5.9156300000000002E-2</v>
      </c>
      <c r="U9207">
        <v>-3.2348630000000001E-3</v>
      </c>
      <c r="V9207">
        <v>-8.466274E-2</v>
      </c>
      <c r="W9207">
        <v>0.16658419999999999</v>
      </c>
      <c r="X9207">
        <v>0.98238579999999998</v>
      </c>
      <c r="Y9207">
        <v>-3.0175919999999998E-2</v>
      </c>
      <c r="Z9207">
        <v>7.1008889999999998E-4</v>
      </c>
      <c r="AA9207">
        <v>0.99954430000000005</v>
      </c>
      <c r="AB9207">
        <v>27</v>
      </c>
      <c r="AC9207">
        <v>57.785199999999897</v>
      </c>
      <c r="AD9207">
        <v>-1.1228260556999901</v>
      </c>
      <c r="AE9207">
        <v>-5.8399999999998897E-2</v>
      </c>
      <c r="AF9207">
        <v>-1.74651276768816</v>
      </c>
      <c r="AG9207">
        <v>-1.1228260556999901</v>
      </c>
      <c r="AH9207">
        <v>57.7370106029189</v>
      </c>
      <c r="AI9207">
        <v>91.113595647504894</v>
      </c>
      <c r="AJ9207">
        <v>91.732637427885905</v>
      </c>
      <c r="AK9207">
        <v>57.7743320044518</v>
      </c>
      <c r="AL9207">
        <v>80.410723442473</v>
      </c>
      <c r="AM9207">
        <v>94.925622616962897</v>
      </c>
      <c r="AN9207">
        <v>0.99999996763779297</v>
      </c>
    </row>
    <row r="9208" spans="1:40" x14ac:dyDescent="0.25">
      <c r="A9208" t="str">
        <f>"20190303162129679"</f>
        <v>20190303162129679</v>
      </c>
      <c r="B9208" t="str">
        <f>"1551601289671716"</f>
        <v>1551601289671716</v>
      </c>
      <c r="C9208" t="s">
        <v>40</v>
      </c>
      <c r="D9208">
        <v>4.6156420000000002</v>
      </c>
      <c r="E9208">
        <v>0.5209471</v>
      </c>
      <c r="F9208" t="s">
        <v>62</v>
      </c>
      <c r="G9208">
        <v>-192.5232</v>
      </c>
      <c r="H9208" s="1">
        <v>-8.8723520000000003E-6</v>
      </c>
      <c r="I9208">
        <v>-62.451520000000002</v>
      </c>
      <c r="J9208">
        <v>-249.74520000000001</v>
      </c>
      <c r="K9208">
        <v>1.1228370000000001</v>
      </c>
      <c r="L9208">
        <v>-62.481540000000003</v>
      </c>
      <c r="M9208">
        <v>0.99947180000000002</v>
      </c>
      <c r="N9208">
        <v>-1.164717E-2</v>
      </c>
      <c r="O9208">
        <v>-3.0336390000000001E-2</v>
      </c>
      <c r="P9208">
        <v>0.9863712</v>
      </c>
      <c r="Q9208">
        <v>0.15517810000000001</v>
      </c>
      <c r="R9208">
        <v>5.4695849999999997E-2</v>
      </c>
      <c r="S9208">
        <v>3.0506440000000001</v>
      </c>
      <c r="T9208">
        <v>-5.9728030000000001E-2</v>
      </c>
      <c r="U9208">
        <v>1.4343260000000001E-3</v>
      </c>
      <c r="V9208">
        <v>-8.5146269999999996E-2</v>
      </c>
      <c r="W9208">
        <v>0.166351</v>
      </c>
      <c r="X9208">
        <v>0.98238349999999997</v>
      </c>
      <c r="Y9208">
        <v>-3.0798039999999999E-2</v>
      </c>
      <c r="Z9208">
        <v>7.2130960000000004E-4</v>
      </c>
      <c r="AA9208">
        <v>0.99952540000000001</v>
      </c>
      <c r="AB9208">
        <v>27</v>
      </c>
      <c r="AC9208">
        <v>57.222000000000001</v>
      </c>
      <c r="AD9208">
        <v>-1.1228458723520001</v>
      </c>
      <c r="AE9208">
        <v>3.0020000000007398E-2</v>
      </c>
      <c r="AF9208">
        <v>-1.7653532467741699</v>
      </c>
      <c r="AG9208">
        <v>-1.1228458723520001</v>
      </c>
      <c r="AH9208">
        <v>57.172734787171301</v>
      </c>
      <c r="AI9208">
        <v>91.124581936147393</v>
      </c>
      <c r="AJ9208">
        <v>91.7685906364582</v>
      </c>
      <c r="AK9208">
        <v>57.211002945090698</v>
      </c>
      <c r="AL9208">
        <v>80.4242736392344</v>
      </c>
      <c r="AM9208">
        <v>94.953626033938093</v>
      </c>
      <c r="AN9208">
        <v>0.99999994178407903</v>
      </c>
    </row>
    <row r="9209" spans="1:40" x14ac:dyDescent="0.25">
      <c r="A9209" t="str">
        <f>"20190303162129691"</f>
        <v>20190303162129691</v>
      </c>
      <c r="B9209" t="str">
        <f>"1551601289681476"</f>
        <v>1551601289681476</v>
      </c>
      <c r="C9209" t="s">
        <v>40</v>
      </c>
      <c r="D9209">
        <v>4.6145829999999997</v>
      </c>
      <c r="E9209">
        <v>0.52087240000000001</v>
      </c>
      <c r="F9209" t="s">
        <v>62</v>
      </c>
      <c r="G9209">
        <v>-193.5745</v>
      </c>
      <c r="H9209" s="1">
        <v>-8.4398050000000004E-6</v>
      </c>
      <c r="I9209">
        <v>-62.376460000000002</v>
      </c>
      <c r="J9209">
        <v>-249.61060000000001</v>
      </c>
      <c r="K9209">
        <v>1.1228549999999999</v>
      </c>
      <c r="L9209">
        <v>-62.484589999999997</v>
      </c>
      <c r="M9209">
        <v>0.99950099999999997</v>
      </c>
      <c r="N9209">
        <v>-1.1648749999999999E-2</v>
      </c>
      <c r="O9209">
        <v>-2.9366449999999999E-2</v>
      </c>
      <c r="P9209">
        <v>0.98637949999999996</v>
      </c>
      <c r="Q9209">
        <v>0.15457360000000001</v>
      </c>
      <c r="R9209">
        <v>5.6239940000000002E-2</v>
      </c>
      <c r="S9209">
        <v>3.0507049999999998</v>
      </c>
      <c r="T9209">
        <v>-6.0983299999999997E-2</v>
      </c>
      <c r="U9209">
        <v>5.7067869999999996E-3</v>
      </c>
      <c r="V9209">
        <v>-8.5741189999999995E-2</v>
      </c>
      <c r="W9209">
        <v>0.165742</v>
      </c>
      <c r="X9209">
        <v>0.98243469999999999</v>
      </c>
      <c r="Y9209">
        <v>-3.1227330000000001E-2</v>
      </c>
      <c r="Z9209">
        <v>7.3879899999999897E-4</v>
      </c>
      <c r="AA9209">
        <v>0.99951199999999996</v>
      </c>
      <c r="AB9209">
        <v>27</v>
      </c>
      <c r="AC9209">
        <v>56.036099999999998</v>
      </c>
      <c r="AD9209">
        <v>-1.1228634398049999</v>
      </c>
      <c r="AE9209">
        <v>0.108130000000009</v>
      </c>
      <c r="AF9209">
        <v>-1.7530721652717001</v>
      </c>
      <c r="AG9209">
        <v>-1.1228634398049999</v>
      </c>
      <c r="AH9209">
        <v>55.986273376937802</v>
      </c>
      <c r="AI9209">
        <v>91.148410214362997</v>
      </c>
      <c r="AJ9209">
        <v>91.793490118322197</v>
      </c>
      <c r="AK9209">
        <v>56.024966675209299</v>
      </c>
      <c r="AL9209">
        <v>80.459658068456307</v>
      </c>
      <c r="AM9209">
        <v>94.987804535091698</v>
      </c>
      <c r="AN9209">
        <v>0.99999995099535099</v>
      </c>
    </row>
    <row r="9210" spans="1:40" x14ac:dyDescent="0.25">
      <c r="A9210" t="str">
        <f>"20190303162129701"</f>
        <v>20190303162129701</v>
      </c>
      <c r="B9210" t="str">
        <f>"1551601289692212"</f>
        <v>1551601289692212</v>
      </c>
      <c r="C9210" t="s">
        <v>40</v>
      </c>
      <c r="D9210">
        <v>4.611955</v>
      </c>
      <c r="E9210">
        <v>0.52081880000000003</v>
      </c>
      <c r="F9210" t="s">
        <v>62</v>
      </c>
      <c r="G9210">
        <v>-195.34530000000001</v>
      </c>
      <c r="H9210" s="1">
        <v>-7.7139249999999992E-6</v>
      </c>
      <c r="I9210">
        <v>-62.296770000000002</v>
      </c>
      <c r="J9210">
        <v>-249.4761</v>
      </c>
      <c r="K9210">
        <v>1.1228769999999999</v>
      </c>
      <c r="L9210">
        <v>-62.487549999999999</v>
      </c>
      <c r="M9210">
        <v>0.99952920000000001</v>
      </c>
      <c r="N9210">
        <v>-1.1650219999999999E-2</v>
      </c>
      <c r="O9210">
        <v>-2.8388320000000002E-2</v>
      </c>
      <c r="P9210">
        <v>0.98640700000000003</v>
      </c>
      <c r="Q9210">
        <v>0.1538582</v>
      </c>
      <c r="R9210">
        <v>5.7699519999999997E-2</v>
      </c>
      <c r="S9210">
        <v>3.0507200000000001</v>
      </c>
      <c r="T9210">
        <v>-6.3125849999999997E-2</v>
      </c>
      <c r="U9210">
        <v>1.055908E-2</v>
      </c>
      <c r="V9210">
        <v>-8.6242200000000005E-2</v>
      </c>
      <c r="W9210">
        <v>0.16502349999999999</v>
      </c>
      <c r="X9210">
        <v>0.98251189999999999</v>
      </c>
      <c r="Y9210">
        <v>-3.1838030000000003E-2</v>
      </c>
      <c r="Z9210">
        <v>7.714032E-4</v>
      </c>
      <c r="AA9210">
        <v>0.99949279999999996</v>
      </c>
      <c r="AB9210">
        <v>27</v>
      </c>
      <c r="AC9210">
        <v>54.130800000000001</v>
      </c>
      <c r="AD9210">
        <v>-1.122884713925</v>
      </c>
      <c r="AE9210">
        <v>0.190780000000003</v>
      </c>
      <c r="AF9210">
        <v>-1.72674665142058</v>
      </c>
      <c r="AG9210">
        <v>-1.122884713925</v>
      </c>
      <c r="AH9210">
        <v>54.0802934369826</v>
      </c>
      <c r="AI9210">
        <v>91.188872175882594</v>
      </c>
      <c r="AJ9210">
        <v>91.828793610256497</v>
      </c>
      <c r="AK9210">
        <v>54.119503529772899</v>
      </c>
      <c r="AL9210">
        <v>80.501400875747095</v>
      </c>
      <c r="AM9210">
        <v>95.016409199051793</v>
      </c>
      <c r="AN9210">
        <v>1.0000000531273401</v>
      </c>
    </row>
    <row r="9211" spans="1:40" x14ac:dyDescent="0.25">
      <c r="A9211" t="str">
        <f>"20190303162129712"</f>
        <v>20190303162129712</v>
      </c>
      <c r="B9211" t="str">
        <f>"1551601289702948"</f>
        <v>1551601289702948</v>
      </c>
      <c r="C9211" t="s">
        <v>40</v>
      </c>
      <c r="D9211">
        <v>4.6166019999999897</v>
      </c>
      <c r="E9211">
        <v>0.52080850000000001</v>
      </c>
      <c r="F9211" t="s">
        <v>62</v>
      </c>
      <c r="G9211">
        <v>-196.85820000000001</v>
      </c>
      <c r="H9211" s="1">
        <v>-7.0938310000000004E-6</v>
      </c>
      <c r="I9211">
        <v>-62.229619999999997</v>
      </c>
      <c r="J9211">
        <v>-249.34229999999999</v>
      </c>
      <c r="K9211">
        <v>1.1228849999999999</v>
      </c>
      <c r="L9211">
        <v>-62.49033</v>
      </c>
      <c r="M9211">
        <v>0.99955640000000001</v>
      </c>
      <c r="N9211">
        <v>-1.165153E-2</v>
      </c>
      <c r="O9211">
        <v>-2.7407850000000001E-2</v>
      </c>
      <c r="P9211">
        <v>0.98647079999999998</v>
      </c>
      <c r="Q9211">
        <v>0.1528091</v>
      </c>
      <c r="R9211">
        <v>5.9370149999999997E-2</v>
      </c>
      <c r="S9211">
        <v>3.0505979999999999</v>
      </c>
      <c r="T9211">
        <v>-6.5100790000000006E-2</v>
      </c>
      <c r="U9211">
        <v>1.4953610000000001E-2</v>
      </c>
      <c r="V9211">
        <v>-8.6949589999999993E-2</v>
      </c>
      <c r="W9211">
        <v>0.16397220000000001</v>
      </c>
      <c r="X9211">
        <v>0.98262550000000004</v>
      </c>
      <c r="Y9211">
        <v>-3.2296690000000003E-2</v>
      </c>
      <c r="Z9211">
        <v>7.9818049999999996E-4</v>
      </c>
      <c r="AA9211">
        <v>0.99947799999999998</v>
      </c>
      <c r="AB9211">
        <v>27</v>
      </c>
      <c r="AC9211">
        <v>52.484099999999899</v>
      </c>
      <c r="AD9211">
        <v>-1.1228920938310001</v>
      </c>
      <c r="AE9211">
        <v>0.26071000000000999</v>
      </c>
      <c r="AF9211">
        <v>-1.6984086655105901</v>
      </c>
      <c r="AG9211">
        <v>-1.1228920938310001</v>
      </c>
      <c r="AH9211">
        <v>52.433234571146301</v>
      </c>
      <c r="AI9211">
        <v>91.226196233031899</v>
      </c>
      <c r="AJ9211">
        <v>91.855266731041397</v>
      </c>
      <c r="AK9211">
        <v>52.472750702077001</v>
      </c>
      <c r="AL9211">
        <v>80.5624672477975</v>
      </c>
      <c r="AM9211">
        <v>95.056761453157506</v>
      </c>
      <c r="AN9211">
        <v>0.99999999341212897</v>
      </c>
    </row>
    <row r="9212" spans="1:40" x14ac:dyDescent="0.25">
      <c r="A9212" t="str">
        <f>"20190303162129725"</f>
        <v>20190303162129725</v>
      </c>
      <c r="B9212" t="str">
        <f>"1551601289711732"</f>
        <v>1551601289711732</v>
      </c>
      <c r="C9212" t="s">
        <v>40</v>
      </c>
      <c r="D9212">
        <v>4.6062890000000003</v>
      </c>
      <c r="E9212">
        <v>0.52081080000000002</v>
      </c>
      <c r="F9212" t="s">
        <v>62</v>
      </c>
      <c r="G9212">
        <v>-199.37209999999999</v>
      </c>
      <c r="H9212" s="1">
        <v>-6.0660949999999999E-6</v>
      </c>
      <c r="I9212">
        <v>-62.163890000000002</v>
      </c>
      <c r="J9212">
        <v>-249.1942</v>
      </c>
      <c r="K9212">
        <v>1.122892</v>
      </c>
      <c r="L9212">
        <v>-62.493259999999999</v>
      </c>
      <c r="M9212">
        <v>0.99958570000000002</v>
      </c>
      <c r="N9212">
        <v>-1.1652859999999999E-2</v>
      </c>
      <c r="O9212">
        <v>-2.6319760000000001E-2</v>
      </c>
      <c r="P9212">
        <v>0.9865218</v>
      </c>
      <c r="Q9212">
        <v>0.15177669999999999</v>
      </c>
      <c r="R9212">
        <v>6.1144120000000003E-2</v>
      </c>
      <c r="S9212">
        <v>3.050583</v>
      </c>
      <c r="T9212">
        <v>-6.8550349999999996E-2</v>
      </c>
      <c r="U9212">
        <v>1.9927980000000001E-2</v>
      </c>
      <c r="V9212">
        <v>-8.7653110000000006E-2</v>
      </c>
      <c r="W9212">
        <v>0.16293779999999999</v>
      </c>
      <c r="X9212">
        <v>0.98273509999999997</v>
      </c>
      <c r="Y9212">
        <v>-3.283697E-2</v>
      </c>
      <c r="Z9212">
        <v>8.4486960000000003E-4</v>
      </c>
      <c r="AA9212">
        <v>0.99946029999999997</v>
      </c>
      <c r="AB9212">
        <v>27</v>
      </c>
      <c r="AC9212">
        <v>49.822099999999999</v>
      </c>
      <c r="AD9212">
        <v>-1.1228980660950001</v>
      </c>
      <c r="AE9212">
        <v>0.329369999999997</v>
      </c>
      <c r="AF9212">
        <v>-1.6398176384930601</v>
      </c>
      <c r="AG9212">
        <v>-1.1228980660950001</v>
      </c>
      <c r="AH9212">
        <v>49.770887585947698</v>
      </c>
      <c r="AI9212">
        <v>91.291749785448204</v>
      </c>
      <c r="AJ9212">
        <v>91.887060082675603</v>
      </c>
      <c r="AK9212">
        <v>49.8105526274041</v>
      </c>
      <c r="AL9212">
        <v>80.622542361742703</v>
      </c>
      <c r="AM9212">
        <v>95.096896139141194</v>
      </c>
      <c r="AN9212">
        <v>1.00000003556676</v>
      </c>
    </row>
    <row r="9213" spans="1:40" x14ac:dyDescent="0.25">
      <c r="A9213" t="str">
        <f>"20190303162129735"</f>
        <v>20190303162129735</v>
      </c>
      <c r="B9213" t="str">
        <f>"1551601289721492"</f>
        <v>1551601289721492</v>
      </c>
      <c r="C9213" t="s">
        <v>40</v>
      </c>
      <c r="D9213">
        <v>4.6461199999999998</v>
      </c>
      <c r="E9213">
        <v>0.52079529999999996</v>
      </c>
      <c r="F9213" t="s">
        <v>62</v>
      </c>
      <c r="G9213">
        <v>-201.4753</v>
      </c>
      <c r="H9213" s="1">
        <v>-5.0504799999999996E-6</v>
      </c>
      <c r="I9213">
        <v>-62.097969999999997</v>
      </c>
      <c r="J9213">
        <v>-249.07310000000001</v>
      </c>
      <c r="K9213">
        <v>1.1228860000000001</v>
      </c>
      <c r="L9213">
        <v>-62.495480000000001</v>
      </c>
      <c r="M9213">
        <v>0.99960890000000002</v>
      </c>
      <c r="N9213">
        <v>-1.165213E-2</v>
      </c>
      <c r="O9213">
        <v>-2.542879E-2</v>
      </c>
      <c r="P9213">
        <v>0.98663619999999996</v>
      </c>
      <c r="Q9213">
        <v>0.15042339999999901</v>
      </c>
      <c r="R9213">
        <v>6.2626479999999998E-2</v>
      </c>
      <c r="S9213">
        <v>3.050446</v>
      </c>
      <c r="T9213">
        <v>-7.1781639999999994E-2</v>
      </c>
      <c r="U9213">
        <v>2.5268550000000001E-2</v>
      </c>
      <c r="V9213">
        <v>-8.8256429999999997E-2</v>
      </c>
      <c r="W9213">
        <v>0.1615827</v>
      </c>
      <c r="X9213">
        <v>0.98290480000000002</v>
      </c>
      <c r="Y9213">
        <v>-3.3694500000000002E-2</v>
      </c>
      <c r="Z9213">
        <v>8.9468939999999997E-4</v>
      </c>
      <c r="AA9213">
        <v>0.99943179999999998</v>
      </c>
      <c r="AB9213">
        <v>27</v>
      </c>
      <c r="AC9213">
        <v>47.597799999999999</v>
      </c>
      <c r="AD9213">
        <v>-1.12289105047999</v>
      </c>
      <c r="AE9213">
        <v>0.39751000000001102</v>
      </c>
      <c r="AF9213">
        <v>-1.6069236011067101</v>
      </c>
      <c r="AG9213">
        <v>-1.12289105047999</v>
      </c>
      <c r="AH9213">
        <v>47.5458379931667</v>
      </c>
      <c r="AI9213">
        <v>91.352132390149507</v>
      </c>
      <c r="AJ9213">
        <v>91.935709039088593</v>
      </c>
      <c r="AK9213">
        <v>47.586235386333101</v>
      </c>
      <c r="AL9213">
        <v>80.701226323760594</v>
      </c>
      <c r="AM9213">
        <v>95.130910317211502</v>
      </c>
      <c r="AN9213">
        <v>1.0000000061193299</v>
      </c>
    </row>
    <row r="9214" spans="1:40" x14ac:dyDescent="0.25">
      <c r="A9214" t="str">
        <f>"20190303162129746"</f>
        <v>20190303162129746</v>
      </c>
      <c r="B9214" t="str">
        <f>"1551601289741988"</f>
        <v>1551601289741988</v>
      </c>
      <c r="C9214" t="s">
        <v>40</v>
      </c>
      <c r="D9214">
        <v>4.6178350000000004</v>
      </c>
      <c r="E9214">
        <v>0.52085360000000003</v>
      </c>
      <c r="F9214" t="s">
        <v>62</v>
      </c>
      <c r="G9214">
        <v>-203.94300000000001</v>
      </c>
      <c r="H9214" s="1">
        <v>-3.7905080000000002E-6</v>
      </c>
      <c r="I9214">
        <v>-62.052999999999997</v>
      </c>
      <c r="J9214">
        <v>-248.93520000000001</v>
      </c>
      <c r="K9214">
        <v>1.1228800000000001</v>
      </c>
      <c r="L9214">
        <v>-62.497990000000001</v>
      </c>
      <c r="M9214">
        <v>0.99963400000000002</v>
      </c>
      <c r="N9214">
        <v>-1.165096E-2</v>
      </c>
      <c r="O9214">
        <v>-2.4415160000000002E-2</v>
      </c>
      <c r="P9214">
        <v>0.98672570000000004</v>
      </c>
      <c r="Q9214">
        <v>0.1492155</v>
      </c>
      <c r="R9214">
        <v>6.4087759999999994E-2</v>
      </c>
      <c r="S9214">
        <v>3.0503230000000001</v>
      </c>
      <c r="T9214">
        <v>-7.5895669999999998E-2</v>
      </c>
      <c r="U9214">
        <v>2.990723E-2</v>
      </c>
      <c r="V9214">
        <v>-8.8717980000000002E-2</v>
      </c>
      <c r="W9214">
        <v>0.16037370000000001</v>
      </c>
      <c r="X9214">
        <v>0.98306130000000003</v>
      </c>
      <c r="Y9214">
        <v>-3.4199180000000003E-2</v>
      </c>
      <c r="Z9214">
        <v>9.4755570000000001E-4</v>
      </c>
      <c r="AA9214">
        <v>0.99941460000000004</v>
      </c>
      <c r="AB9214">
        <v>27</v>
      </c>
      <c r="AC9214">
        <v>44.992199999999997</v>
      </c>
      <c r="AD9214">
        <v>-1.12288379050799</v>
      </c>
      <c r="AE9214">
        <v>0.444989999999997</v>
      </c>
      <c r="AF9214">
        <v>-1.5424630162069899</v>
      </c>
      <c r="AG9214">
        <v>-1.12288379050799</v>
      </c>
      <c r="AH9214">
        <v>44.939932161084897</v>
      </c>
      <c r="AI9214">
        <v>91.430471217651103</v>
      </c>
      <c r="AJ9214">
        <v>91.965778252016506</v>
      </c>
      <c r="AK9214">
        <v>44.980413101774197</v>
      </c>
      <c r="AL9214">
        <v>80.771412809915702</v>
      </c>
      <c r="AM9214">
        <v>95.156782179122303</v>
      </c>
      <c r="AN9214">
        <v>1.0000000615923199</v>
      </c>
    </row>
    <row r="9215" spans="1:40" x14ac:dyDescent="0.25">
      <c r="A9215" t="str">
        <f>"20190303162129758"</f>
        <v>20190303162129758</v>
      </c>
      <c r="B9215" t="str">
        <f>"1551601289751748"</f>
        <v>1551601289751748</v>
      </c>
      <c r="C9215" t="s">
        <v>40</v>
      </c>
      <c r="D9215">
        <v>4.5932740000000001</v>
      </c>
      <c r="E9215">
        <v>0.52085909999999902</v>
      </c>
      <c r="F9215" t="s">
        <v>62</v>
      </c>
      <c r="G9215">
        <v>-206.2516</v>
      </c>
      <c r="H9215" s="1">
        <v>-2.5825080000000001E-6</v>
      </c>
      <c r="I9215">
        <v>-62.023539999999997</v>
      </c>
      <c r="J9215">
        <v>-248.78890000000001</v>
      </c>
      <c r="K9215">
        <v>1.1228689999999999</v>
      </c>
      <c r="L9215">
        <v>-62.500369999999997</v>
      </c>
      <c r="M9215">
        <v>0.99965959999999998</v>
      </c>
      <c r="N9215">
        <v>-1.1647680000000001E-2</v>
      </c>
      <c r="O9215">
        <v>-2.3345060000000001E-2</v>
      </c>
      <c r="P9215">
        <v>0.98688089999999995</v>
      </c>
      <c r="Q9215">
        <v>0.14754519999999999</v>
      </c>
      <c r="R9215">
        <v>6.5547720000000004E-2</v>
      </c>
      <c r="S9215">
        <v>3.0502929999999999</v>
      </c>
      <c r="T9215">
        <v>-8.0244419999999997E-2</v>
      </c>
      <c r="U9215">
        <v>3.3905030000000003E-2</v>
      </c>
      <c r="V9215">
        <v>-8.9120190000000002E-2</v>
      </c>
      <c r="W9215">
        <v>0.15870209999999901</v>
      </c>
      <c r="X9215">
        <v>0.98329610000000001</v>
      </c>
      <c r="Y9215">
        <v>-3.4437130000000003E-2</v>
      </c>
      <c r="Z9215">
        <v>9.95592E-4</v>
      </c>
      <c r="AA9215">
        <v>0.99940640000000003</v>
      </c>
      <c r="AB9215">
        <v>27</v>
      </c>
      <c r="AC9215">
        <v>42.537300000000002</v>
      </c>
      <c r="AD9215">
        <v>-1.122871582508</v>
      </c>
      <c r="AE9215">
        <v>0.47682999999999198</v>
      </c>
      <c r="AF9215">
        <v>-1.4687798856976899</v>
      </c>
      <c r="AG9215">
        <v>-1.122871582508</v>
      </c>
      <c r="AH9215">
        <v>42.484972585169601</v>
      </c>
      <c r="AI9215">
        <v>91.513063057876906</v>
      </c>
      <c r="AJ9215">
        <v>91.980026816865006</v>
      </c>
      <c r="AK9215">
        <v>42.5251813694668</v>
      </c>
      <c r="AL9215">
        <v>80.868430434173206</v>
      </c>
      <c r="AM9215">
        <v>95.178803752137298</v>
      </c>
      <c r="AN9215">
        <v>0.99999999254262795</v>
      </c>
    </row>
    <row r="9216" spans="1:40" x14ac:dyDescent="0.25">
      <c r="A9216" t="str">
        <f>"20190303162129769"</f>
        <v>20190303162129769</v>
      </c>
      <c r="B9216" t="str">
        <f>"1551601289761508"</f>
        <v>1551601289761508</v>
      </c>
      <c r="C9216" t="s">
        <v>40</v>
      </c>
      <c r="D9216">
        <v>4.6408639999999997</v>
      </c>
      <c r="E9216">
        <v>0.52092309999999997</v>
      </c>
      <c r="F9216" t="s">
        <v>62</v>
      </c>
      <c r="G9216">
        <v>-208.5609</v>
      </c>
      <c r="H9216" s="1">
        <v>-1.1111390000000001E-6</v>
      </c>
      <c r="I9216">
        <v>-61.998440000000002</v>
      </c>
      <c r="J9216">
        <v>-248.66679999999999</v>
      </c>
      <c r="K9216">
        <v>1.1228610000000001</v>
      </c>
      <c r="L9216">
        <v>-62.502319999999997</v>
      </c>
      <c r="M9216">
        <v>0.99968009999999996</v>
      </c>
      <c r="N9216">
        <v>-1.16445E-2</v>
      </c>
      <c r="O9216">
        <v>-2.2455940000000001E-2</v>
      </c>
      <c r="P9216">
        <v>0.98703890000000005</v>
      </c>
      <c r="Q9216">
        <v>0.1458285</v>
      </c>
      <c r="R9216">
        <v>6.6995399999999997E-2</v>
      </c>
      <c r="S9216">
        <v>3.0500790000000002</v>
      </c>
      <c r="T9216">
        <v>-8.5135699999999995E-2</v>
      </c>
      <c r="U9216">
        <v>3.805542E-2</v>
      </c>
      <c r="V9216">
        <v>-8.9686669999999996E-2</v>
      </c>
      <c r="W9216">
        <v>0.15698299999999901</v>
      </c>
      <c r="X9216">
        <v>0.98352050000000002</v>
      </c>
      <c r="Y9216">
        <v>-3.4906220000000002E-2</v>
      </c>
      <c r="Z9216">
        <v>1.0555269999999999E-3</v>
      </c>
      <c r="AA9216">
        <v>0.99939</v>
      </c>
      <c r="AB9216">
        <v>27</v>
      </c>
      <c r="AC9216">
        <v>40.105899999999899</v>
      </c>
      <c r="AD9216">
        <v>-1.122862111139</v>
      </c>
      <c r="AE9216">
        <v>0.503879999999995</v>
      </c>
      <c r="AF9216">
        <v>-1.40332976096077</v>
      </c>
      <c r="AG9216">
        <v>-1.122862111139</v>
      </c>
      <c r="AH9216">
        <v>40.053078510210398</v>
      </c>
      <c r="AI9216">
        <v>91.604845250017902</v>
      </c>
      <c r="AJ9216">
        <v>92.006637162322704</v>
      </c>
      <c r="AK9216">
        <v>40.093381646896702</v>
      </c>
      <c r="AL9216">
        <v>80.968177801394901</v>
      </c>
      <c r="AM9216">
        <v>95.210358874775395</v>
      </c>
      <c r="AN9216">
        <v>0.999999967492468</v>
      </c>
    </row>
    <row r="9217" spans="1:40" x14ac:dyDescent="0.25">
      <c r="A9217" t="str">
        <f>"20190303162129779"</f>
        <v>20190303162129779</v>
      </c>
      <c r="B9217" t="str">
        <f>"1551601289772244"</f>
        <v>1551601289772244</v>
      </c>
      <c r="C9217" t="s">
        <v>40</v>
      </c>
      <c r="D9217">
        <v>4.6102800000000004</v>
      </c>
      <c r="E9217">
        <v>0.52100679999999999</v>
      </c>
      <c r="F9217" t="s">
        <v>90</v>
      </c>
      <c r="G9217">
        <v>-210.76169999999999</v>
      </c>
      <c r="H9217" s="1">
        <v>2.7856249999999999E-7</v>
      </c>
      <c r="I9217">
        <v>-61.983400000000003</v>
      </c>
      <c r="J9217">
        <v>-248.53479999999999</v>
      </c>
      <c r="K9217">
        <v>1.1228469999999999</v>
      </c>
      <c r="L9217">
        <v>-62.504300000000001</v>
      </c>
      <c r="M9217">
        <v>0.99970099999999995</v>
      </c>
      <c r="N9217">
        <v>-1.1640289999999999E-2</v>
      </c>
      <c r="O9217">
        <v>-2.1502830000000001E-2</v>
      </c>
      <c r="P9217">
        <v>0.98714449999999998</v>
      </c>
      <c r="Q9217">
        <v>0.14440520000000001</v>
      </c>
      <c r="R9217">
        <v>6.8504199999999904E-2</v>
      </c>
      <c r="S9217">
        <v>3.0498959999999999</v>
      </c>
      <c r="T9217">
        <v>-9.034681E-2</v>
      </c>
      <c r="U9217">
        <v>4.1748050000000002E-2</v>
      </c>
      <c r="V9217">
        <v>-9.0250360000000002E-2</v>
      </c>
      <c r="W9217">
        <v>0.15555739999999901</v>
      </c>
      <c r="X9217">
        <v>0.9836954</v>
      </c>
      <c r="Y9217">
        <v>-3.516122E-2</v>
      </c>
      <c r="Z9217">
        <v>1.111899E-3</v>
      </c>
      <c r="AA9217">
        <v>0.99938099999999996</v>
      </c>
      <c r="AB9217">
        <v>27</v>
      </c>
      <c r="AC9217">
        <v>37.773099999999999</v>
      </c>
      <c r="AD9217">
        <v>-1.1228467214375</v>
      </c>
      <c r="AE9217">
        <v>0.52089999999999703</v>
      </c>
      <c r="AF9217">
        <v>-1.3318864575273099</v>
      </c>
      <c r="AG9217">
        <v>-1.1228467214375</v>
      </c>
      <c r="AH9217">
        <v>37.719839170378101</v>
      </c>
      <c r="AI9217">
        <v>91.7040197864454</v>
      </c>
      <c r="AJ9217">
        <v>92.022272185950001</v>
      </c>
      <c r="AK9217">
        <v>37.760044668071799</v>
      </c>
      <c r="AL9217">
        <v>81.050874376763304</v>
      </c>
      <c r="AM9217">
        <v>95.241997591219402</v>
      </c>
      <c r="AN9217">
        <v>0.99999993607802196</v>
      </c>
    </row>
    <row r="9218" spans="1:40" x14ac:dyDescent="0.25">
      <c r="A9218" t="str">
        <f>"20190303162129791"</f>
        <v>20190303162129791</v>
      </c>
      <c r="B9218" t="str">
        <f>"1551601289782004"</f>
        <v>1551601289782004</v>
      </c>
      <c r="C9218" t="s">
        <v>40</v>
      </c>
      <c r="D9218">
        <v>4.6215000000000002</v>
      </c>
      <c r="E9218">
        <v>0.52104470000000003</v>
      </c>
      <c r="F9218" t="s">
        <v>90</v>
      </c>
      <c r="G9218">
        <v>-212.2013</v>
      </c>
      <c r="H9218" s="1">
        <v>-3.3405639999999998E-7</v>
      </c>
      <c r="I9218">
        <v>-61.964689999999997</v>
      </c>
      <c r="J9218">
        <v>-248.3965</v>
      </c>
      <c r="K9218">
        <v>1.122827</v>
      </c>
      <c r="L9218">
        <v>-62.5062</v>
      </c>
      <c r="M9218">
        <v>0.99972190000000005</v>
      </c>
      <c r="N9218">
        <v>-1.1635599999999999E-2</v>
      </c>
      <c r="O9218">
        <v>-2.0516619999999999E-2</v>
      </c>
      <c r="P9218">
        <v>0.98721950000000003</v>
      </c>
      <c r="Q9218">
        <v>0.1431559</v>
      </c>
      <c r="R9218">
        <v>7.003181E-2</v>
      </c>
      <c r="S9218">
        <v>3.049728</v>
      </c>
      <c r="T9218">
        <v>-9.4248529999999997E-2</v>
      </c>
      <c r="U9218">
        <v>4.5288090000000003E-2</v>
      </c>
      <c r="V9218">
        <v>-9.0798409999999996E-2</v>
      </c>
      <c r="W9218">
        <v>0.1543062</v>
      </c>
      <c r="X9218">
        <v>0.98384210000000005</v>
      </c>
      <c r="Y9218">
        <v>-3.5333839999999998E-2</v>
      </c>
      <c r="Z9218">
        <v>1.14663E-3</v>
      </c>
      <c r="AA9218">
        <v>0.99937489999999995</v>
      </c>
      <c r="AB9218">
        <v>27</v>
      </c>
      <c r="AC9218">
        <v>36.1952</v>
      </c>
      <c r="AD9218">
        <v>-1.1228273340563999</v>
      </c>
      <c r="AE9218">
        <v>0.54150999999999505</v>
      </c>
      <c r="AF9218">
        <v>-1.2828151539997501</v>
      </c>
      <c r="AG9218">
        <v>-1.1228273340563999</v>
      </c>
      <c r="AH9218">
        <v>36.141697154763001</v>
      </c>
      <c r="AI9218">
        <v>91.778337474505506</v>
      </c>
      <c r="AJ9218">
        <v>92.032805805615695</v>
      </c>
      <c r="AK9218">
        <v>36.1818826095056</v>
      </c>
      <c r="AL9218">
        <v>81.123439789173901</v>
      </c>
      <c r="AM9218">
        <v>95.272869032131197</v>
      </c>
      <c r="AN9218">
        <v>1.00000001617468</v>
      </c>
    </row>
    <row r="9219" spans="1:40" x14ac:dyDescent="0.25">
      <c r="A9219" t="str">
        <f>"20190303162129802"</f>
        <v>20190303162129802</v>
      </c>
      <c r="B9219" t="str">
        <f>"1551601289791765"</f>
        <v>1551601289791765</v>
      </c>
      <c r="C9219" t="s">
        <v>40</v>
      </c>
      <c r="D9219">
        <v>4.5950870000000004</v>
      </c>
      <c r="E9219">
        <v>0.52109289999999997</v>
      </c>
      <c r="F9219" t="s">
        <v>90</v>
      </c>
      <c r="G9219">
        <v>-213.4897</v>
      </c>
      <c r="H9219" s="1">
        <v>-8.8140269999999999E-7</v>
      </c>
      <c r="I9219">
        <v>-61.94444</v>
      </c>
      <c r="J9219">
        <v>-248.2551</v>
      </c>
      <c r="K9219">
        <v>1.1228020000000001</v>
      </c>
      <c r="L9219">
        <v>-62.508090000000003</v>
      </c>
      <c r="M9219">
        <v>0.99974189999999996</v>
      </c>
      <c r="N9219">
        <v>-1.163059E-2</v>
      </c>
      <c r="O9219">
        <v>-1.9518520000000001E-2</v>
      </c>
      <c r="P9219">
        <v>0.98727480000000001</v>
      </c>
      <c r="Q9219">
        <v>0.14201140000000001</v>
      </c>
      <c r="R9219">
        <v>7.1565009999999998E-2</v>
      </c>
      <c r="S9219">
        <v>3.0495760000000001</v>
      </c>
      <c r="T9219">
        <v>-9.8094219999999996E-2</v>
      </c>
      <c r="U9219">
        <v>4.9072270000000001E-2</v>
      </c>
      <c r="V9219">
        <v>-9.1338900000000001E-2</v>
      </c>
      <c r="W9219">
        <v>0.1531594</v>
      </c>
      <c r="X9219">
        <v>0.98397120000000005</v>
      </c>
      <c r="Y9219">
        <v>-3.5574500000000002E-2</v>
      </c>
      <c r="Z9219">
        <v>1.1796039999999999E-3</v>
      </c>
      <c r="AA9219">
        <v>0.99936630000000004</v>
      </c>
      <c r="AB9219">
        <v>27</v>
      </c>
      <c r="AC9219">
        <v>34.7654</v>
      </c>
      <c r="AD9219">
        <v>-1.1228028814027</v>
      </c>
      <c r="AE9219">
        <v>0.56365000000000198</v>
      </c>
      <c r="AF9219">
        <v>-1.2408636605578101</v>
      </c>
      <c r="AG9219">
        <v>-1.1228028814027</v>
      </c>
      <c r="AH9219">
        <v>34.7115767672476</v>
      </c>
      <c r="AI9219">
        <v>91.851498163692796</v>
      </c>
      <c r="AJ9219">
        <v>92.0473281742414</v>
      </c>
      <c r="AK9219">
        <v>34.751891899623303</v>
      </c>
      <c r="AL9219">
        <v>81.189936577693302</v>
      </c>
      <c r="AM9219">
        <v>95.303386073568205</v>
      </c>
      <c r="AN9219">
        <v>0.99999995944550402</v>
      </c>
    </row>
    <row r="9220" spans="1:40" x14ac:dyDescent="0.25">
      <c r="A9220" t="str">
        <f>"20190303162129815"</f>
        <v>20190303162129815</v>
      </c>
      <c r="B9220" t="str">
        <f>"1551601289802500"</f>
        <v>1551601289802500</v>
      </c>
      <c r="C9220" t="s">
        <v>40</v>
      </c>
      <c r="D9220">
        <v>4.6572310000000003</v>
      </c>
      <c r="E9220">
        <v>0.52115319999999998</v>
      </c>
      <c r="F9220" t="s">
        <v>90</v>
      </c>
      <c r="G9220">
        <v>-214.4127</v>
      </c>
      <c r="H9220" s="1">
        <v>-1.271139E-6</v>
      </c>
      <c r="I9220">
        <v>-61.921080000000003</v>
      </c>
      <c r="J9220">
        <v>-248.11429999999999</v>
      </c>
      <c r="K9220">
        <v>1.122776</v>
      </c>
      <c r="L9220">
        <v>-62.509770000000003</v>
      </c>
      <c r="M9220">
        <v>0.99976039999999999</v>
      </c>
      <c r="N9220">
        <v>-1.162554E-2</v>
      </c>
      <c r="O9220">
        <v>-1.8550400000000002E-2</v>
      </c>
      <c r="P9220">
        <v>0.98728780000000005</v>
      </c>
      <c r="Q9220">
        <v>0.141069899999999</v>
      </c>
      <c r="R9220">
        <v>7.3227050000000002E-2</v>
      </c>
      <c r="S9220">
        <v>3.0493769999999998</v>
      </c>
      <c r="T9220">
        <v>-0.10117039999999999</v>
      </c>
      <c r="U9220">
        <v>5.2886959999999997E-2</v>
      </c>
      <c r="V9220">
        <v>-9.2035610000000004E-2</v>
      </c>
      <c r="W9220">
        <v>0.15221589999999999</v>
      </c>
      <c r="X9220">
        <v>0.9840527</v>
      </c>
      <c r="Y9220">
        <v>-3.5855850000000002E-2</v>
      </c>
      <c r="Z9220">
        <v>1.202741E-3</v>
      </c>
      <c r="AA9220">
        <v>0.99935629999999998</v>
      </c>
      <c r="AB9220">
        <v>27</v>
      </c>
      <c r="AC9220">
        <v>33.7015999999999</v>
      </c>
      <c r="AD9220">
        <v>-1.1227772711390001</v>
      </c>
      <c r="AE9220">
        <v>0.58868999999999205</v>
      </c>
      <c r="AF9220">
        <v>-1.2124637504528799</v>
      </c>
      <c r="AG9220">
        <v>-1.1227772711390001</v>
      </c>
      <c r="AH9220">
        <v>33.647544673976299</v>
      </c>
      <c r="AI9220">
        <v>91.909942028128498</v>
      </c>
      <c r="AJ9220">
        <v>92.063717042097693</v>
      </c>
      <c r="AK9220">
        <v>33.6880981911116</v>
      </c>
      <c r="AL9220">
        <v>81.244636672302704</v>
      </c>
      <c r="AM9220">
        <v>95.343165670469304</v>
      </c>
      <c r="AN9220">
        <v>0.999999975049085</v>
      </c>
    </row>
    <row r="9221" spans="1:40" x14ac:dyDescent="0.25">
      <c r="A9221" t="str">
        <f>"20190303162129827"</f>
        <v>20190303162129827</v>
      </c>
      <c r="B9221" t="str">
        <f>"1551601289822020"</f>
        <v>1551601289822020</v>
      </c>
      <c r="C9221" t="s">
        <v>40</v>
      </c>
      <c r="D9221">
        <v>4.678566</v>
      </c>
      <c r="E9221">
        <v>0.52123229999999998</v>
      </c>
      <c r="F9221" t="s">
        <v>90</v>
      </c>
      <c r="G9221">
        <v>-215.12450000000001</v>
      </c>
      <c r="H9221" s="1">
        <v>-1.56882E-6</v>
      </c>
      <c r="I9221">
        <v>-61.89228</v>
      </c>
      <c r="J9221">
        <v>-247.96340000000001</v>
      </c>
      <c r="K9221">
        <v>1.122746</v>
      </c>
      <c r="L9221">
        <v>-62.511510000000001</v>
      </c>
      <c r="M9221">
        <v>0.99977890000000003</v>
      </c>
      <c r="N9221">
        <v>-1.1620159999999999E-2</v>
      </c>
      <c r="O9221">
        <v>-1.752569E-2</v>
      </c>
      <c r="P9221">
        <v>0.98731199999999997</v>
      </c>
      <c r="Q9221">
        <v>0.14004949999999999</v>
      </c>
      <c r="R9221">
        <v>7.4843560000000003E-2</v>
      </c>
      <c r="S9221">
        <v>3.04921</v>
      </c>
      <c r="T9221">
        <v>-0.10377690000000001</v>
      </c>
      <c r="U9221">
        <v>5.706787E-2</v>
      </c>
      <c r="V9221">
        <v>-9.2629779999999995E-2</v>
      </c>
      <c r="W9221">
        <v>0.15119460000000001</v>
      </c>
      <c r="X9221">
        <v>0.98415439999999998</v>
      </c>
      <c r="Y9221">
        <v>-3.620077E-2</v>
      </c>
      <c r="Z9221">
        <v>1.218879E-3</v>
      </c>
      <c r="AA9221">
        <v>0.9993438</v>
      </c>
      <c r="AB9221">
        <v>27</v>
      </c>
      <c r="AC9221">
        <v>32.838899999999903</v>
      </c>
      <c r="AD9221">
        <v>-1.1227475688199999</v>
      </c>
      <c r="AE9221">
        <v>0.61922999999998696</v>
      </c>
      <c r="AF9221">
        <v>-1.1933037271815099</v>
      </c>
      <c r="AG9221">
        <v>-1.1227475688199999</v>
      </c>
      <c r="AH9221">
        <v>32.784693274098899</v>
      </c>
      <c r="AI9221">
        <v>91.960092963260095</v>
      </c>
      <c r="AJ9221">
        <v>92.0845428457867</v>
      </c>
      <c r="AK9221">
        <v>32.825609651084001</v>
      </c>
      <c r="AL9221">
        <v>81.303838137102403</v>
      </c>
      <c r="AM9221">
        <v>95.376906452385398</v>
      </c>
      <c r="AN9221">
        <v>0.99999998312568406</v>
      </c>
    </row>
    <row r="9222" spans="1:40" x14ac:dyDescent="0.25">
      <c r="A9222" t="str">
        <f>"20190303162129839"</f>
        <v>20190303162129839</v>
      </c>
      <c r="B9222" t="str">
        <f>"1551601289831780"</f>
        <v>1551601289831780</v>
      </c>
      <c r="C9222" t="s">
        <v>40</v>
      </c>
      <c r="D9222">
        <v>4.6913830000000001</v>
      </c>
      <c r="E9222">
        <v>0.52129389999999998</v>
      </c>
      <c r="F9222" t="s">
        <v>90</v>
      </c>
      <c r="G9222">
        <v>-215.95050000000001</v>
      </c>
      <c r="H9222" s="1">
        <v>-1.9180070000000001E-6</v>
      </c>
      <c r="I9222">
        <v>-61.872869999999899</v>
      </c>
      <c r="J9222">
        <v>-247.81639999999999</v>
      </c>
      <c r="K9222">
        <v>1.1227049999999901</v>
      </c>
      <c r="L9222">
        <v>-62.513030000000001</v>
      </c>
      <c r="M9222">
        <v>0.9997954</v>
      </c>
      <c r="N9222">
        <v>-1.1614950000000001E-2</v>
      </c>
      <c r="O9222">
        <v>-1.6563029999999999E-2</v>
      </c>
      <c r="P9222">
        <v>0.98724509999999999</v>
      </c>
      <c r="Q9222">
        <v>0.1394852</v>
      </c>
      <c r="R9222">
        <v>7.6752509999999996E-2</v>
      </c>
      <c r="S9222">
        <v>3.0490879999999998</v>
      </c>
      <c r="T9222">
        <v>-0.10693660000000001</v>
      </c>
      <c r="U9222">
        <v>6.0821529999999999E-2</v>
      </c>
      <c r="V9222">
        <v>-9.3575069999999996E-2</v>
      </c>
      <c r="W9222">
        <v>0.1506294</v>
      </c>
      <c r="X9222">
        <v>0.98415169999999996</v>
      </c>
      <c r="Y9222">
        <v>-3.6467199999999998E-2</v>
      </c>
      <c r="Z9222">
        <v>1.239455E-3</v>
      </c>
      <c r="AA9222">
        <v>0.9993341</v>
      </c>
      <c r="AB9222">
        <v>27</v>
      </c>
      <c r="AC9222">
        <v>31.8658999999999</v>
      </c>
      <c r="AD9222">
        <v>-1.12270691800699</v>
      </c>
      <c r="AE9222">
        <v>0.64016000000001505</v>
      </c>
      <c r="AF9222">
        <v>-1.16645626415397</v>
      </c>
      <c r="AG9222">
        <v>-1.12270691800699</v>
      </c>
      <c r="AH9222">
        <v>31.811452498035202</v>
      </c>
      <c r="AI9222">
        <v>92.019918248415195</v>
      </c>
      <c r="AJ9222">
        <v>92.099969880542602</v>
      </c>
      <c r="AK9222">
        <v>31.8526231427597</v>
      </c>
      <c r="AL9222">
        <v>81.336597382049206</v>
      </c>
      <c r="AM9222">
        <v>95.431466274276204</v>
      </c>
      <c r="AN9222">
        <v>1.0000000392413699</v>
      </c>
    </row>
    <row r="9223" spans="1:40" x14ac:dyDescent="0.25">
      <c r="A9223" t="str">
        <f>"20190303162129852"</f>
        <v>20190303162129852</v>
      </c>
      <c r="B9223" t="str">
        <f>"1551601289841540"</f>
        <v>1551601289841540</v>
      </c>
      <c r="C9223" t="s">
        <v>40</v>
      </c>
      <c r="D9223">
        <v>4.6777350000000002</v>
      </c>
      <c r="E9223">
        <v>0.52136150000000003</v>
      </c>
      <c r="F9223" t="s">
        <v>90</v>
      </c>
      <c r="G9223">
        <v>-216.12610000000001</v>
      </c>
      <c r="H9223" s="1">
        <v>-1.9821160000000001E-6</v>
      </c>
      <c r="I9223">
        <v>-61.830680000000001</v>
      </c>
      <c r="J9223">
        <v>-247.66370000000001</v>
      </c>
      <c r="K9223">
        <v>1.122668</v>
      </c>
      <c r="L9223">
        <v>-62.514499999999998</v>
      </c>
      <c r="M9223">
        <v>0.99981120000000001</v>
      </c>
      <c r="N9223">
        <v>-1.1609629999999999E-2</v>
      </c>
      <c r="O9223">
        <v>-1.558789E-2</v>
      </c>
      <c r="P9223">
        <v>0.98710509999999996</v>
      </c>
      <c r="Q9223">
        <v>0.13947219999999999</v>
      </c>
      <c r="R9223">
        <v>7.8558249999999996E-2</v>
      </c>
      <c r="S9223">
        <v>3.0489199999999999</v>
      </c>
      <c r="T9223">
        <v>-0.1080154</v>
      </c>
      <c r="U9223">
        <v>6.5643309999999996E-2</v>
      </c>
      <c r="V9223">
        <v>-9.4404450000000001E-2</v>
      </c>
      <c r="W9223">
        <v>0.1506152</v>
      </c>
      <c r="X9223">
        <v>0.98407460000000002</v>
      </c>
      <c r="Y9223">
        <v>-3.707245E-2</v>
      </c>
      <c r="Z9223">
        <v>1.242824E-3</v>
      </c>
      <c r="AA9223">
        <v>0.99931179999999997</v>
      </c>
      <c r="AB9223">
        <v>27</v>
      </c>
      <c r="AC9223">
        <v>31.537600000000001</v>
      </c>
      <c r="AD9223">
        <v>-1.122669982116</v>
      </c>
      <c r="AE9223">
        <v>0.68381999999998999</v>
      </c>
      <c r="AF9223">
        <v>-1.17388777162972</v>
      </c>
      <c r="AG9223">
        <v>-1.122669982116</v>
      </c>
      <c r="AH9223">
        <v>31.483230718236701</v>
      </c>
      <c r="AI9223">
        <v>92.0408451155119</v>
      </c>
      <c r="AJ9223">
        <v>92.135348577670996</v>
      </c>
      <c r="AK9223">
        <v>31.525104549340501</v>
      </c>
      <c r="AL9223">
        <v>81.337419841100797</v>
      </c>
      <c r="AM9223">
        <v>95.4797417393264</v>
      </c>
      <c r="AN9223">
        <v>0.99999997850800104</v>
      </c>
    </row>
    <row r="9224" spans="1:40" x14ac:dyDescent="0.25">
      <c r="A9224" t="str">
        <f>"20190303162129863"</f>
        <v>20190303162129863</v>
      </c>
      <c r="B9224" t="str">
        <f>"1551601289852276"</f>
        <v>1551601289852276</v>
      </c>
      <c r="C9224" t="s">
        <v>40</v>
      </c>
      <c r="D9224">
        <v>4.6611029999999998</v>
      </c>
      <c r="E9224">
        <v>0.52141749999999998</v>
      </c>
      <c r="F9224" t="s">
        <v>90</v>
      </c>
      <c r="G9224">
        <v>-215.97309999999999</v>
      </c>
      <c r="H9224" s="1">
        <v>-1.9048650000000001E-6</v>
      </c>
      <c r="I9224">
        <v>-61.787080000000003</v>
      </c>
      <c r="J9224">
        <v>-247.52010000000001</v>
      </c>
      <c r="K9224">
        <v>1.1226309999999999</v>
      </c>
      <c r="L9224">
        <v>-62.515810000000002</v>
      </c>
      <c r="M9224">
        <v>0.99982490000000002</v>
      </c>
      <c r="N9224">
        <v>-1.1604700000000001E-2</v>
      </c>
      <c r="O9224">
        <v>-1.469061E-2</v>
      </c>
      <c r="P9224">
        <v>0.98694020000000005</v>
      </c>
      <c r="Q9224">
        <v>0.13954129999999901</v>
      </c>
      <c r="R9224">
        <v>8.0483029999999997E-2</v>
      </c>
      <c r="S9224">
        <v>3.0488590000000002</v>
      </c>
      <c r="T9224">
        <v>-0.10800849999999999</v>
      </c>
      <c r="U9224">
        <v>6.997681E-2</v>
      </c>
      <c r="V9224">
        <v>-9.5429150000000004E-2</v>
      </c>
      <c r="W9224">
        <v>0.15068309999999999</v>
      </c>
      <c r="X9224">
        <v>0.98396539999999999</v>
      </c>
      <c r="Y9224">
        <v>-3.7595549999999998E-2</v>
      </c>
      <c r="Z9224">
        <v>1.23368E-3</v>
      </c>
      <c r="AA9224">
        <v>0.99929230000000002</v>
      </c>
      <c r="AB9224">
        <v>27</v>
      </c>
      <c r="AC9224">
        <v>31.547000000000001</v>
      </c>
      <c r="AD9224">
        <v>-1.1226329048649999</v>
      </c>
      <c r="AE9224">
        <v>0.728729999999991</v>
      </c>
      <c r="AF9224">
        <v>-1.1906202026597901</v>
      </c>
      <c r="AG9224">
        <v>-1.1226329048649999</v>
      </c>
      <c r="AH9224">
        <v>31.4930285630595</v>
      </c>
      <c r="AI9224">
        <v>92.0401036797019</v>
      </c>
      <c r="AJ9224">
        <v>92.165083604316294</v>
      </c>
      <c r="AK9224">
        <v>31.535515362520201</v>
      </c>
      <c r="AL9224">
        <v>81.333484853818604</v>
      </c>
      <c r="AM9224">
        <v>95.539463802159403</v>
      </c>
      <c r="AN9224">
        <v>1.0000000138462399</v>
      </c>
    </row>
    <row r="9225" spans="1:40" x14ac:dyDescent="0.25">
      <c r="A9225" t="str">
        <f>"20190303162129874"</f>
        <v>20190303162129874</v>
      </c>
      <c r="B9225" t="str">
        <f>"1551601289862035"</f>
        <v>1551601289862035</v>
      </c>
      <c r="C9225" t="s">
        <v>40</v>
      </c>
      <c r="D9225">
        <v>4.649559</v>
      </c>
      <c r="E9225">
        <v>0.52151059999999905</v>
      </c>
      <c r="F9225" t="s">
        <v>90</v>
      </c>
      <c r="G9225">
        <v>-215.6377</v>
      </c>
      <c r="H9225" s="1">
        <v>-1.7463149999999999E-6</v>
      </c>
      <c r="I9225">
        <v>-61.731949999999998</v>
      </c>
      <c r="J9225">
        <v>-247.38589999999999</v>
      </c>
      <c r="K9225">
        <v>1.1225989999999999</v>
      </c>
      <c r="L9225">
        <v>-62.51688</v>
      </c>
      <c r="M9225">
        <v>0.99983630000000001</v>
      </c>
      <c r="N9225">
        <v>-1.160023E-2</v>
      </c>
      <c r="O9225">
        <v>-1.3896E-2</v>
      </c>
      <c r="P9225">
        <v>0.98681289999999999</v>
      </c>
      <c r="Q9225">
        <v>0.13941199999999901</v>
      </c>
      <c r="R9225">
        <v>8.2249219999999998E-2</v>
      </c>
      <c r="S9225">
        <v>3.0487820000000001</v>
      </c>
      <c r="T9225">
        <v>-0.10735260000000001</v>
      </c>
      <c r="U9225">
        <v>7.4951169999999998E-2</v>
      </c>
      <c r="V9225">
        <v>-9.6396170000000003E-2</v>
      </c>
      <c r="W9225">
        <v>0.15055399999999999</v>
      </c>
      <c r="X9225">
        <v>0.98389090000000001</v>
      </c>
      <c r="Y9225">
        <v>-3.8431380000000001E-2</v>
      </c>
      <c r="Z9225">
        <v>1.2272870000000001E-3</v>
      </c>
      <c r="AA9225">
        <v>0.9992605</v>
      </c>
      <c r="AB9225">
        <v>27</v>
      </c>
      <c r="AC9225">
        <v>31.748200000000001</v>
      </c>
      <c r="AD9225">
        <v>-1.1226007463149901</v>
      </c>
      <c r="AE9225">
        <v>0.78493000000000901</v>
      </c>
      <c r="AF9225">
        <v>-1.22452672676387</v>
      </c>
      <c r="AG9225">
        <v>-1.1226007463149901</v>
      </c>
      <c r="AH9225">
        <v>31.694622635543499</v>
      </c>
      <c r="AI9225">
        <v>92.027016308771906</v>
      </c>
      <c r="AJ9225">
        <v>92.212531020630095</v>
      </c>
      <c r="AK9225">
        <v>31.738128523113801</v>
      </c>
      <c r="AL9225">
        <v>81.340967113710207</v>
      </c>
      <c r="AM9225">
        <v>95.595663852684694</v>
      </c>
      <c r="AN9225">
        <v>1.00000001580473</v>
      </c>
    </row>
    <row r="9226" spans="1:40" x14ac:dyDescent="0.25">
      <c r="A9226" t="str">
        <f>"20190303162129885"</f>
        <v>20190303162129885</v>
      </c>
      <c r="B9226" t="str">
        <f>"1551601289871796"</f>
        <v>1551601289871796</v>
      </c>
      <c r="C9226" t="s">
        <v>40</v>
      </c>
      <c r="D9226">
        <v>4.6532929999999997</v>
      </c>
      <c r="E9226">
        <v>0.52160529999999905</v>
      </c>
      <c r="F9226" t="s">
        <v>90</v>
      </c>
      <c r="G9226">
        <v>-215.47059999999999</v>
      </c>
      <c r="H9226" s="1">
        <v>-1.663392E-6</v>
      </c>
      <c r="I9226">
        <v>-61.689680000000003</v>
      </c>
      <c r="J9226">
        <v>-247.26009999999999</v>
      </c>
      <c r="K9226">
        <v>1.122563</v>
      </c>
      <c r="L9226">
        <v>-62.517879999999998</v>
      </c>
      <c r="M9226">
        <v>0.99984620000000002</v>
      </c>
      <c r="N9226">
        <v>-1.159612E-2</v>
      </c>
      <c r="O9226">
        <v>-1.315728E-2</v>
      </c>
      <c r="P9226">
        <v>0.98665199999999997</v>
      </c>
      <c r="Q9226">
        <v>0.1395576</v>
      </c>
      <c r="R9226">
        <v>8.3914359999999993E-2</v>
      </c>
      <c r="S9226">
        <v>3.048645</v>
      </c>
      <c r="T9226">
        <v>-0.107234</v>
      </c>
      <c r="U9226">
        <v>7.9010010000000006E-2</v>
      </c>
      <c r="V9226">
        <v>-9.7318650000000007E-2</v>
      </c>
      <c r="W9226">
        <v>0.15069959999999999</v>
      </c>
      <c r="X9226">
        <v>0.98377780000000004</v>
      </c>
      <c r="Y9226">
        <v>-3.9023509999999997E-2</v>
      </c>
      <c r="Z9226">
        <v>1.222454E-3</v>
      </c>
      <c r="AA9226">
        <v>0.9992375</v>
      </c>
      <c r="AB9226">
        <v>27</v>
      </c>
      <c r="AC9226">
        <v>31.7895</v>
      </c>
      <c r="AD9226">
        <v>-1.1225646633919999</v>
      </c>
      <c r="AE9226">
        <v>0.82820000000000205</v>
      </c>
      <c r="AF9226">
        <v>-1.24486851805184</v>
      </c>
      <c r="AG9226">
        <v>-1.1225646633919999</v>
      </c>
      <c r="AH9226">
        <v>31.736303000021099</v>
      </c>
      <c r="AI9226">
        <v>92.024244958962896</v>
      </c>
      <c r="AJ9226">
        <v>92.246297073882403</v>
      </c>
      <c r="AK9226">
        <v>31.780540856943901</v>
      </c>
      <c r="AL9226">
        <v>81.332528645741604</v>
      </c>
      <c r="AM9226">
        <v>95.649513051310905</v>
      </c>
      <c r="AN9226">
        <v>1.0000000244254099</v>
      </c>
    </row>
    <row r="9227" spans="1:40" x14ac:dyDescent="0.25">
      <c r="A9227" t="str">
        <f>"20190303162129894"</f>
        <v>20190303162129894</v>
      </c>
      <c r="B9227" t="str">
        <f>"1551601289881556"</f>
        <v>1551601289881556</v>
      </c>
      <c r="C9227" t="s">
        <v>40</v>
      </c>
      <c r="D9227">
        <v>4.6877589999999998</v>
      </c>
      <c r="E9227">
        <v>0.52169019999999999</v>
      </c>
      <c r="F9227" t="s">
        <v>90</v>
      </c>
      <c r="G9227">
        <v>-215.09209999999999</v>
      </c>
      <c r="H9227" s="1">
        <v>-1.4889189999999999E-6</v>
      </c>
      <c r="I9227">
        <v>-61.644210000000001</v>
      </c>
      <c r="J9227">
        <v>-247.1388</v>
      </c>
      <c r="K9227">
        <v>1.1225229999999999</v>
      </c>
      <c r="L9227">
        <v>-62.518740000000001</v>
      </c>
      <c r="M9227">
        <v>0.99985480000000004</v>
      </c>
      <c r="N9227">
        <v>-1.159235E-2</v>
      </c>
      <c r="O9227">
        <v>-1.249693E-2</v>
      </c>
      <c r="P9227">
        <v>0.98654410000000003</v>
      </c>
      <c r="Q9227">
        <v>0.13929330000000001</v>
      </c>
      <c r="R9227">
        <v>8.5604150000000004E-2</v>
      </c>
      <c r="S9227">
        <v>3.0486300000000002</v>
      </c>
      <c r="T9227">
        <v>-0.1063877</v>
      </c>
      <c r="U9227">
        <v>8.2794190000000004E-2</v>
      </c>
      <c r="V9227">
        <v>-9.8340049999999998E-2</v>
      </c>
      <c r="W9227">
        <v>0.1504375</v>
      </c>
      <c r="X9227">
        <v>0.98371629999999999</v>
      </c>
      <c r="Y9227">
        <v>-3.9603369999999999E-2</v>
      </c>
      <c r="Z9227">
        <v>1.2114579999999999E-3</v>
      </c>
      <c r="AA9227">
        <v>0.99921479999999996</v>
      </c>
      <c r="AB9227">
        <v>27</v>
      </c>
      <c r="AC9227">
        <v>32.046700000000001</v>
      </c>
      <c r="AD9227">
        <v>-1.122524488919</v>
      </c>
      <c r="AE9227">
        <v>0.87452999999999903</v>
      </c>
      <c r="AF9227">
        <v>-1.27341269769778</v>
      </c>
      <c r="AG9227">
        <v>-1.122524488919</v>
      </c>
      <c r="AH9227">
        <v>31.994041762746502</v>
      </c>
      <c r="AI9227">
        <v>92.007833969881702</v>
      </c>
      <c r="AJ9227">
        <v>92.279258206524204</v>
      </c>
      <c r="AK9227">
        <v>32.039044140598897</v>
      </c>
      <c r="AL9227">
        <v>81.347718683938496</v>
      </c>
      <c r="AM9227">
        <v>95.708771990943305</v>
      </c>
      <c r="AN9227">
        <v>0.99999998286297098</v>
      </c>
    </row>
    <row r="9228" spans="1:40" x14ac:dyDescent="0.25">
      <c r="A9228" t="str">
        <f>"20190303162129904"</f>
        <v>20190303162129904</v>
      </c>
      <c r="B9228" t="str">
        <f>"1551601289892291"</f>
        <v>1551601289892291</v>
      </c>
      <c r="C9228" t="s">
        <v>40</v>
      </c>
      <c r="D9228">
        <v>4.7149549999999998</v>
      </c>
      <c r="E9228">
        <v>0.52169019999999999</v>
      </c>
      <c r="F9228" t="s">
        <v>90</v>
      </c>
      <c r="G9228">
        <v>-215.14</v>
      </c>
      <c r="H9228" s="1">
        <v>-1.5005010000000001E-6</v>
      </c>
      <c r="I9228">
        <v>-61.610550000000003</v>
      </c>
      <c r="J9228">
        <v>-247.0335</v>
      </c>
      <c r="K9228">
        <v>1.1224829999999999</v>
      </c>
      <c r="L9228">
        <v>-62.519469999999998</v>
      </c>
      <c r="M9228">
        <v>0.99986180000000002</v>
      </c>
      <c r="N9228">
        <v>-1.158914E-2</v>
      </c>
      <c r="O9228">
        <v>-1.1923670000000001E-2</v>
      </c>
      <c r="P9228">
        <v>0.98650260000000001</v>
      </c>
      <c r="Q9228">
        <v>0.13889489999999999</v>
      </c>
      <c r="R9228">
        <v>8.6723469999999997E-2</v>
      </c>
      <c r="S9228">
        <v>3.0485229999999999</v>
      </c>
      <c r="T9228">
        <v>-0.1069427</v>
      </c>
      <c r="U9228">
        <v>8.6517330000000003E-2</v>
      </c>
      <c r="V9228">
        <v>-9.8880309999999999E-2</v>
      </c>
      <c r="W9228">
        <v>0.15004300000000001</v>
      </c>
      <c r="X9228">
        <v>0.9837224</v>
      </c>
      <c r="Y9228">
        <v>-4.0250109999999999E-2</v>
      </c>
      <c r="Z9228">
        <v>1.218965E-3</v>
      </c>
      <c r="AA9228">
        <v>0.99918890000000005</v>
      </c>
      <c r="AB9228">
        <v>27</v>
      </c>
      <c r="AC9228">
        <v>31.8935</v>
      </c>
      <c r="AD9228">
        <v>-1.12248450050099</v>
      </c>
      <c r="AE9228">
        <v>0.90891999999999395</v>
      </c>
      <c r="AF9228">
        <v>-1.2875748782496399</v>
      </c>
      <c r="AG9228">
        <v>-1.12248450050099</v>
      </c>
      <c r="AH9228">
        <v>31.840985481107001</v>
      </c>
      <c r="AI9228">
        <v>92.017354291817895</v>
      </c>
      <c r="AJ9228">
        <v>92.315645496876101</v>
      </c>
      <c r="AK9228">
        <v>31.886771190088101</v>
      </c>
      <c r="AL9228">
        <v>81.370581424633201</v>
      </c>
      <c r="AM9228">
        <v>95.739890599816704</v>
      </c>
      <c r="AN9228">
        <v>0.99999998890822706</v>
      </c>
    </row>
    <row r="9229" spans="1:40" x14ac:dyDescent="0.25">
      <c r="A9229" t="str">
        <f>"20190303162129914"</f>
        <v>20190303162129914</v>
      </c>
      <c r="B9229" t="str">
        <f>"1551601289902052"</f>
        <v>1551601289902052</v>
      </c>
      <c r="C9229" t="s">
        <v>40</v>
      </c>
      <c r="D9229">
        <v>4.7174509999999996</v>
      </c>
      <c r="E9229">
        <v>0.54379309999999903</v>
      </c>
      <c r="F9229" t="s">
        <v>90</v>
      </c>
      <c r="G9229">
        <v>-215.34540000000001</v>
      </c>
      <c r="H9229" s="1">
        <v>-1.58316399999999E-6</v>
      </c>
      <c r="I9229">
        <v>-61.5899199999999</v>
      </c>
      <c r="J9229">
        <v>-246.90639999999999</v>
      </c>
      <c r="K9229">
        <v>1.1224379999999901</v>
      </c>
      <c r="L9229">
        <v>-62.520229999999998</v>
      </c>
      <c r="M9229">
        <v>0.99986929999999996</v>
      </c>
      <c r="N9229">
        <v>-1.158553E-2</v>
      </c>
      <c r="O9229">
        <v>-1.127827E-2</v>
      </c>
      <c r="P9229">
        <v>0.98648069999999999</v>
      </c>
      <c r="Q9229">
        <v>0.13822719999999999</v>
      </c>
      <c r="R9229">
        <v>8.8030490000000003E-2</v>
      </c>
      <c r="S9229">
        <v>3.0483859999999998</v>
      </c>
      <c r="T9229">
        <v>-0.1079828</v>
      </c>
      <c r="U9229">
        <v>8.9416499999999996E-2</v>
      </c>
      <c r="V9229">
        <v>-9.9533960000000005E-2</v>
      </c>
      <c r="W9229">
        <v>0.1493805</v>
      </c>
      <c r="X9229">
        <v>0.98375729999999995</v>
      </c>
      <c r="Y9229">
        <v>-4.0555180000000003E-2</v>
      </c>
      <c r="Z9229">
        <v>1.221693E-3</v>
      </c>
      <c r="AA9229">
        <v>0.99917659999999997</v>
      </c>
      <c r="AB9229">
        <v>27</v>
      </c>
      <c r="AC9229">
        <v>31.5609999999999</v>
      </c>
      <c r="AD9229">
        <v>-1.12243958316399</v>
      </c>
      <c r="AE9229">
        <v>0.93031000000001196</v>
      </c>
      <c r="AF9229">
        <v>-1.2846048188399799</v>
      </c>
      <c r="AG9229">
        <v>-1.12243958316399</v>
      </c>
      <c r="AH9229">
        <v>31.508681584860199</v>
      </c>
      <c r="AI9229">
        <v>92.038503368505005</v>
      </c>
      <c r="AJ9229">
        <v>92.334648457654296</v>
      </c>
      <c r="AK9229">
        <v>31.554826815790801</v>
      </c>
      <c r="AL9229">
        <v>81.408972518613297</v>
      </c>
      <c r="AM9229">
        <v>95.777374808383399</v>
      </c>
      <c r="AN9229">
        <v>0.99999998413840996</v>
      </c>
    </row>
    <row r="9230" spans="1:40" x14ac:dyDescent="0.25">
      <c r="A9230" t="str">
        <f>"20190303162129926"</f>
        <v>20190303162129926</v>
      </c>
      <c r="B9230" t="str">
        <f>"1551601289921455"</f>
        <v>1551601289921455</v>
      </c>
      <c r="C9230" t="s">
        <v>40</v>
      </c>
      <c r="D9230">
        <v>4.6222029999999998</v>
      </c>
      <c r="E9230">
        <v>0.54732289999999995</v>
      </c>
      <c r="F9230" t="s">
        <v>89</v>
      </c>
      <c r="G9230">
        <v>-232.07140000000001</v>
      </c>
      <c r="H9230" s="1">
        <v>-5.5001209999999998E-7</v>
      </c>
      <c r="I9230">
        <v>-62.917630000000003</v>
      </c>
      <c r="J9230">
        <v>-246.76390000000001</v>
      </c>
      <c r="K9230">
        <v>1.122387</v>
      </c>
      <c r="L9230">
        <v>-62.521090000000001</v>
      </c>
      <c r="M9230">
        <v>0.99987709999999996</v>
      </c>
      <c r="N9230">
        <v>-1.1581620000000001E-2</v>
      </c>
      <c r="O9230">
        <v>-1.056725E-2</v>
      </c>
      <c r="P9230">
        <v>0.98648259999999999</v>
      </c>
      <c r="Q9230">
        <v>0.13760420000000001</v>
      </c>
      <c r="R9230">
        <v>8.8979240000000001E-2</v>
      </c>
      <c r="S9230">
        <v>3.0811310000000001</v>
      </c>
      <c r="T9230">
        <v>-0.23312340000000001</v>
      </c>
      <c r="U9230">
        <v>-8.255005E-2</v>
      </c>
      <c r="V9230">
        <v>-9.9762359999999994E-2</v>
      </c>
      <c r="W9230">
        <v>0.14876610000000001</v>
      </c>
      <c r="X9230">
        <v>0.98382729999999996</v>
      </c>
      <c r="Y9230">
        <v>1.6185169999999999E-2</v>
      </c>
      <c r="Z9230" s="1">
        <v>-2.9228370000000001E-5</v>
      </c>
      <c r="AA9230">
        <v>0.99986900000000001</v>
      </c>
      <c r="AB9230">
        <v>27</v>
      </c>
      <c r="AC9230">
        <v>14.6924999999999</v>
      </c>
      <c r="AD9230">
        <v>-1.1223875500121001</v>
      </c>
      <c r="AE9230">
        <v>-0.396540000000001</v>
      </c>
      <c r="AF9230">
        <v>0.23984944815418199</v>
      </c>
      <c r="AG9230">
        <v>-1.1223875500121001</v>
      </c>
      <c r="AH9230">
        <v>14.610668477938701</v>
      </c>
      <c r="AI9230">
        <v>94.392229105390996</v>
      </c>
      <c r="AJ9230">
        <v>89.059514158637896</v>
      </c>
      <c r="AK9230">
        <v>14.6556785903087</v>
      </c>
      <c r="AL9230">
        <v>81.444573136509305</v>
      </c>
      <c r="AM9230">
        <v>95.790132928461105</v>
      </c>
      <c r="AN9230">
        <v>1.00000001860363</v>
      </c>
    </row>
    <row r="9231" spans="1:40" x14ac:dyDescent="0.25">
      <c r="A9231" t="str">
        <f>"20190303162129936"</f>
        <v>20190303162129936</v>
      </c>
      <c r="B9231" t="str">
        <f>"1551601289932191"</f>
        <v>1551601289932191</v>
      </c>
      <c r="C9231" t="s">
        <v>40</v>
      </c>
      <c r="D9231">
        <v>4.6357660000000003</v>
      </c>
      <c r="E9231">
        <v>0.55270030000000003</v>
      </c>
      <c r="F9231" t="s">
        <v>42</v>
      </c>
      <c r="G9231">
        <v>-245.81280000000001</v>
      </c>
      <c r="H9231">
        <v>1.030726</v>
      </c>
      <c r="I9231">
        <v>-62.55444</v>
      </c>
      <c r="J9231">
        <v>-246.6353</v>
      </c>
      <c r="K9231">
        <v>1.1223350000000001</v>
      </c>
      <c r="L9231">
        <v>-62.521790000000003</v>
      </c>
      <c r="M9231">
        <v>0.99988319999999997</v>
      </c>
      <c r="N9231">
        <v>-1.1578339999999999E-2</v>
      </c>
      <c r="O9231">
        <v>-9.9807890000000003E-3</v>
      </c>
      <c r="P9231">
        <v>0.98648769999999997</v>
      </c>
      <c r="Q9231">
        <v>0.13710229999999901</v>
      </c>
      <c r="R9231">
        <v>8.9693590000000004E-2</v>
      </c>
      <c r="S9231">
        <v>3.0924070000000001</v>
      </c>
      <c r="T9231">
        <v>-0.2980139</v>
      </c>
      <c r="U9231">
        <v>-0.1077576</v>
      </c>
      <c r="V9231">
        <v>-9.9880549999999999E-2</v>
      </c>
      <c r="W9231">
        <v>0.1482725</v>
      </c>
      <c r="X9231">
        <v>0.98388980000000004</v>
      </c>
      <c r="Y9231">
        <v>2.4754950000000001E-2</v>
      </c>
      <c r="Z9231">
        <v>-4.8944899999999998E-4</v>
      </c>
      <c r="AA9231">
        <v>0.99969350000000001</v>
      </c>
      <c r="AB9231">
        <v>27</v>
      </c>
      <c r="AC9231">
        <v>0.82249999999999002</v>
      </c>
      <c r="AD9231">
        <v>-9.1608999999999996E-2</v>
      </c>
      <c r="AE9231">
        <v>-3.2649999999996702E-2</v>
      </c>
      <c r="AF9231">
        <v>2.4139638218330501E-2</v>
      </c>
      <c r="AG9231">
        <v>-9.1608999999999996E-2</v>
      </c>
      <c r="AH9231">
        <v>0.81271882698377795</v>
      </c>
      <c r="AI9231">
        <v>96.428376308062298</v>
      </c>
      <c r="AJ9231">
        <v>88.298682371109606</v>
      </c>
      <c r="AK9231">
        <v>0.81822174424064298</v>
      </c>
      <c r="AL9231">
        <v>81.473171330567993</v>
      </c>
      <c r="AM9231">
        <v>95.796580164233504</v>
      </c>
      <c r="AN9231">
        <v>0.999999998534296</v>
      </c>
    </row>
    <row r="9232" spans="1:40" x14ac:dyDescent="0.25">
      <c r="A9232" t="str">
        <f>"20190303162129947"</f>
        <v>20190303162129947</v>
      </c>
      <c r="B9232" t="str">
        <f>"1551601289941951"</f>
        <v>1551601289941951</v>
      </c>
      <c r="C9232" t="s">
        <v>40</v>
      </c>
      <c r="D9232">
        <v>4.6428779999999996</v>
      </c>
      <c r="E9232">
        <v>0.551021599999999</v>
      </c>
      <c r="F9232" t="s">
        <v>42</v>
      </c>
      <c r="G9232">
        <v>-245.86089999999999</v>
      </c>
      <c r="H9232">
        <v>0.93130959999999996</v>
      </c>
      <c r="I9232">
        <v>-62.558210000000003</v>
      </c>
      <c r="J9232">
        <v>-246.49809999999999</v>
      </c>
      <c r="K9232">
        <v>1.122282</v>
      </c>
      <c r="L9232">
        <v>-62.522519999999901</v>
      </c>
      <c r="M9232">
        <v>0.99988909999999998</v>
      </c>
      <c r="N9232">
        <v>-1.157499E-2</v>
      </c>
      <c r="O9232">
        <v>-9.3701689999999994E-3</v>
      </c>
      <c r="P9232">
        <v>0.98646299999999998</v>
      </c>
      <c r="Q9232">
        <v>0.13678379999999901</v>
      </c>
      <c r="R9232">
        <v>9.0448860000000006E-2</v>
      </c>
      <c r="S9232">
        <v>3.1629640000000001</v>
      </c>
      <c r="T9232">
        <v>-0.78021689999999999</v>
      </c>
      <c r="U9232">
        <v>-0.1478882</v>
      </c>
      <c r="V9232">
        <v>-0.1000152</v>
      </c>
      <c r="W9232">
        <v>0.1479626</v>
      </c>
      <c r="X9232">
        <v>0.98392279999999999</v>
      </c>
      <c r="Y9232">
        <v>3.6454060000000003E-2</v>
      </c>
      <c r="Z9232">
        <v>-2.4727569999999999E-3</v>
      </c>
      <c r="AA9232">
        <v>0.9993322</v>
      </c>
      <c r="AB9232">
        <v>27</v>
      </c>
      <c r="AC9232">
        <v>0.63720000000000698</v>
      </c>
      <c r="AD9232">
        <v>-0.19097239999999999</v>
      </c>
      <c r="AE9232">
        <v>-3.56900000000024E-2</v>
      </c>
      <c r="AF9232">
        <v>2.7275081529165999E-2</v>
      </c>
      <c r="AG9232">
        <v>-0.19097239999999999</v>
      </c>
      <c r="AH9232">
        <v>0.58511389027865202</v>
      </c>
      <c r="AI9232">
        <v>108.0575724811</v>
      </c>
      <c r="AJ9232">
        <v>87.331089503916004</v>
      </c>
      <c r="AK9232">
        <v>0.61609467797669004</v>
      </c>
      <c r="AL9232">
        <v>81.491125546147501</v>
      </c>
      <c r="AM9232">
        <v>95.804147930331595</v>
      </c>
      <c r="AN9232">
        <v>1.0000000237948099</v>
      </c>
    </row>
    <row r="9233" spans="1:40" x14ac:dyDescent="0.25">
      <c r="A9233" t="str">
        <f>"20190303162129958"</f>
        <v>20190303162129958</v>
      </c>
      <c r="B9233" t="str">
        <f>"1551601289951711"</f>
        <v>1551601289951711</v>
      </c>
      <c r="C9233" t="s">
        <v>40</v>
      </c>
      <c r="D9233">
        <v>4.6031219999999999</v>
      </c>
      <c r="E9233">
        <v>0.55069440000000003</v>
      </c>
      <c r="F9233" t="s">
        <v>42</v>
      </c>
      <c r="G9233">
        <v>-245.6337</v>
      </c>
      <c r="H9233">
        <v>0.89594940000000001</v>
      </c>
      <c r="I9233">
        <v>-62.558770000000003</v>
      </c>
      <c r="J9233">
        <v>-246.36590000000001</v>
      </c>
      <c r="K9233">
        <v>1.122231</v>
      </c>
      <c r="L9233">
        <v>-62.523159999999997</v>
      </c>
      <c r="M9233">
        <v>0.99989419999999996</v>
      </c>
      <c r="N9233">
        <v>-1.1572030000000001E-2</v>
      </c>
      <c r="O9233">
        <v>-8.8240190000000007E-3</v>
      </c>
      <c r="P9233">
        <v>0.98646420000000001</v>
      </c>
      <c r="Q9233">
        <v>0.13661229999999999</v>
      </c>
      <c r="R9233">
        <v>9.0696100000000002E-2</v>
      </c>
      <c r="S9233">
        <v>3.1683349999999999</v>
      </c>
      <c r="T9233">
        <v>-0.82957739999999902</v>
      </c>
      <c r="U9233">
        <v>-0.13262939999999901</v>
      </c>
      <c r="V9233">
        <v>-9.9706580000000003E-2</v>
      </c>
      <c r="W9233">
        <v>0.14780090000000001</v>
      </c>
      <c r="X9233">
        <v>0.98397840000000003</v>
      </c>
      <c r="Y9233">
        <v>3.2145809999999997E-2</v>
      </c>
      <c r="Z9233">
        <v>-2.1556549999999998E-3</v>
      </c>
      <c r="AA9233">
        <v>0.99948079999999995</v>
      </c>
      <c r="AB9233">
        <v>27</v>
      </c>
      <c r="AC9233">
        <v>0.73220000000000596</v>
      </c>
      <c r="AD9233">
        <v>-0.2262816</v>
      </c>
      <c r="AE9233">
        <v>-3.5609999999998303E-2</v>
      </c>
      <c r="AF9233">
        <v>2.6611614301883E-2</v>
      </c>
      <c r="AG9233">
        <v>-0.2262816</v>
      </c>
      <c r="AH9233">
        <v>0.66876422599060203</v>
      </c>
      <c r="AI9233">
        <v>108.679893790135</v>
      </c>
      <c r="AJ9233">
        <v>87.721275861942502</v>
      </c>
      <c r="AK9233">
        <v>0.70651053104615602</v>
      </c>
      <c r="AL9233">
        <v>81.500493066566904</v>
      </c>
      <c r="AM9233">
        <v>95.7860348661697</v>
      </c>
      <c r="AN9233">
        <v>0.99999999990133304</v>
      </c>
    </row>
    <row r="9234" spans="1:40" x14ac:dyDescent="0.25">
      <c r="A9234" t="str">
        <f>"20190303162129969"</f>
        <v>20190303162129969</v>
      </c>
      <c r="B9234" t="str">
        <f>"1551601289961472"</f>
        <v>1551601289961472</v>
      </c>
      <c r="C9234" t="s">
        <v>40</v>
      </c>
      <c r="D9234">
        <v>4.6132970000000002</v>
      </c>
      <c r="E9234">
        <v>0.55052129999999999</v>
      </c>
      <c r="F9234" t="s">
        <v>42</v>
      </c>
      <c r="G9234">
        <v>-245.6215</v>
      </c>
      <c r="H9234">
        <v>0.92313350000000005</v>
      </c>
      <c r="I9234">
        <v>-62.553539999999998</v>
      </c>
      <c r="J9234">
        <v>-246.23490000000001</v>
      </c>
      <c r="K9234">
        <v>1.122188</v>
      </c>
      <c r="L9234">
        <v>-62.523739999999997</v>
      </c>
      <c r="M9234">
        <v>0.99989870000000003</v>
      </c>
      <c r="N9234">
        <v>-1.156927E-2</v>
      </c>
      <c r="O9234">
        <v>-8.3071880000000001E-3</v>
      </c>
      <c r="P9234">
        <v>0.98643740000000002</v>
      </c>
      <c r="Q9234">
        <v>0.1366127</v>
      </c>
      <c r="R9234">
        <v>9.0986559999999994E-2</v>
      </c>
      <c r="S9234">
        <v>3.170471</v>
      </c>
      <c r="T9234">
        <v>-0.84804269999999904</v>
      </c>
      <c r="U9234">
        <v>-0.12911989999999901</v>
      </c>
      <c r="V9234">
        <v>-9.9470890000000006E-2</v>
      </c>
      <c r="W9234">
        <v>0.14781029999999901</v>
      </c>
      <c r="X9234">
        <v>0.98400089999999996</v>
      </c>
      <c r="Y9234">
        <v>3.1501469999999997E-2</v>
      </c>
      <c r="Z9234">
        <v>-2.2360399999999999E-3</v>
      </c>
      <c r="AA9234">
        <v>0.99950119999999998</v>
      </c>
      <c r="AB9234">
        <v>27</v>
      </c>
      <c r="AC9234">
        <v>0.61340000000001205</v>
      </c>
      <c r="AD9234">
        <v>-0.1990545</v>
      </c>
      <c r="AE9234">
        <v>-2.98000000000016E-2</v>
      </c>
      <c r="AF9234">
        <v>2.23544674245192E-2</v>
      </c>
      <c r="AG9234">
        <v>-0.1990545</v>
      </c>
      <c r="AH9234">
        <v>0.55528843657776505</v>
      </c>
      <c r="AI9234">
        <v>109.70652530413901</v>
      </c>
      <c r="AJ9234">
        <v>87.694665866479198</v>
      </c>
      <c r="AK9234">
        <v>0.59031149741561295</v>
      </c>
      <c r="AL9234">
        <v>81.499948993706397</v>
      </c>
      <c r="AM9234">
        <v>95.772319000065906</v>
      </c>
      <c r="AN9234">
        <v>1.0000000569721399</v>
      </c>
    </row>
    <row r="9235" spans="1:40" x14ac:dyDescent="0.25">
      <c r="A9235" t="str">
        <f>"20190303162129980"</f>
        <v>20190303162129980</v>
      </c>
      <c r="B9235" t="str">
        <f>"1551601289972208"</f>
        <v>1551601289972208</v>
      </c>
      <c r="C9235" t="s">
        <v>40</v>
      </c>
      <c r="D9235">
        <v>4.6082580000000002</v>
      </c>
      <c r="E9235">
        <v>0.55042950000000002</v>
      </c>
      <c r="F9235" t="s">
        <v>42</v>
      </c>
      <c r="G9235">
        <v>-245.39109999999999</v>
      </c>
      <c r="H9235">
        <v>0.89491860000000001</v>
      </c>
      <c r="I9235">
        <v>-62.557609999999997</v>
      </c>
      <c r="J9235">
        <v>-246.09780000000001</v>
      </c>
      <c r="K9235">
        <v>1.1221399999999999</v>
      </c>
      <c r="L9235">
        <v>-62.524320000000003</v>
      </c>
      <c r="M9235">
        <v>0.99990279999999998</v>
      </c>
      <c r="N9235">
        <v>-1.156659E-2</v>
      </c>
      <c r="O9235">
        <v>-7.800034E-3</v>
      </c>
      <c r="P9235">
        <v>0.98641559999999995</v>
      </c>
      <c r="Q9235">
        <v>0.13674239999999999</v>
      </c>
      <c r="R9235">
        <v>9.1028139999999994E-2</v>
      </c>
      <c r="S9235">
        <v>3.1712340000000001</v>
      </c>
      <c r="T9235">
        <v>-0.85422180000000003</v>
      </c>
      <c r="U9235">
        <v>-0.12664790000000001</v>
      </c>
      <c r="V9235">
        <v>-9.8995360000000004E-2</v>
      </c>
      <c r="W9235">
        <v>0.1479499</v>
      </c>
      <c r="X9235">
        <v>0.98402780000000001</v>
      </c>
      <c r="Y9235">
        <v>3.120349E-2</v>
      </c>
      <c r="Z9235">
        <v>-2.3365450000000002E-3</v>
      </c>
      <c r="AA9235">
        <v>0.99951029999999996</v>
      </c>
      <c r="AB9235">
        <v>27</v>
      </c>
      <c r="AC9235">
        <v>0.70670000000001199</v>
      </c>
      <c r="AD9235">
        <v>-0.22722139999999899</v>
      </c>
      <c r="AE9235">
        <v>-3.3290000000000902E-2</v>
      </c>
      <c r="AF9235">
        <v>2.5179129262635502E-2</v>
      </c>
      <c r="AG9235">
        <v>-0.22722139999999899</v>
      </c>
      <c r="AH9235">
        <v>0.64083644546406904</v>
      </c>
      <c r="AI9235">
        <v>109.509066189341</v>
      </c>
      <c r="AJ9235">
        <v>87.749946728493796</v>
      </c>
      <c r="AK9235">
        <v>0.68039319735238901</v>
      </c>
      <c r="AL9235">
        <v>81.491860948008096</v>
      </c>
      <c r="AM9235">
        <v>95.744752907304999</v>
      </c>
      <c r="AN9235">
        <v>0.99999998269218904</v>
      </c>
    </row>
    <row r="9236" spans="1:40" x14ac:dyDescent="0.25">
      <c r="A9236" t="str">
        <f>"20190303162129992"</f>
        <v>20190303162129992</v>
      </c>
      <c r="B9236" t="str">
        <f>"1551601289981967"</f>
        <v>1551601289981967</v>
      </c>
      <c r="C9236" t="s">
        <v>40</v>
      </c>
      <c r="D9236">
        <v>4.6185499999999999</v>
      </c>
      <c r="E9236">
        <v>0.55033909999999997</v>
      </c>
      <c r="F9236" t="s">
        <v>42</v>
      </c>
      <c r="G9236">
        <v>-245.3767</v>
      </c>
      <c r="H9236">
        <v>0.92720409999999998</v>
      </c>
      <c r="I9236">
        <v>-62.552970000000002</v>
      </c>
      <c r="J9236">
        <v>-245.9554</v>
      </c>
      <c r="K9236">
        <v>1.1220920000000001</v>
      </c>
      <c r="L9236">
        <v>-62.524900000000002</v>
      </c>
      <c r="M9236">
        <v>0.99990650000000003</v>
      </c>
      <c r="N9236">
        <v>-1.156401E-2</v>
      </c>
      <c r="O9236">
        <v>-7.3137590000000004E-3</v>
      </c>
      <c r="P9236">
        <v>0.98640190000000005</v>
      </c>
      <c r="Q9236">
        <v>0.1367525</v>
      </c>
      <c r="R9236">
        <v>9.116001E-2</v>
      </c>
      <c r="S9236">
        <v>3.1717379999999999</v>
      </c>
      <c r="T9236">
        <v>-0.85751259999999996</v>
      </c>
      <c r="U9236">
        <v>-0.1252441</v>
      </c>
      <c r="V9236">
        <v>-9.8630919999999997E-2</v>
      </c>
      <c r="W9236">
        <v>0.14797060000000001</v>
      </c>
      <c r="X9236">
        <v>0.98406130000000003</v>
      </c>
      <c r="Y9236">
        <v>3.121867E-2</v>
      </c>
      <c r="Z9236">
        <v>-2.4695400000000001E-3</v>
      </c>
      <c r="AA9236">
        <v>0.99950950000000005</v>
      </c>
      <c r="AB9236">
        <v>27</v>
      </c>
      <c r="AC9236">
        <v>0.57869999999999699</v>
      </c>
      <c r="AD9236">
        <v>-0.1948879</v>
      </c>
      <c r="AE9236">
        <v>-2.80699999999924E-2</v>
      </c>
      <c r="AF9236">
        <v>2.14136129288422E-2</v>
      </c>
      <c r="AG9236">
        <v>-0.1948879</v>
      </c>
      <c r="AH9236">
        <v>0.52004806716984198</v>
      </c>
      <c r="AI9236">
        <v>110.52753304991801</v>
      </c>
      <c r="AJ9236">
        <v>87.642108439127597</v>
      </c>
      <c r="AK9236">
        <v>0.55577857870933201</v>
      </c>
      <c r="AL9236">
        <v>81.490661869976606</v>
      </c>
      <c r="AM9236">
        <v>95.723551384787598</v>
      </c>
      <c r="AN9236">
        <v>0.99999999950104801</v>
      </c>
    </row>
    <row r="9237" spans="1:40" x14ac:dyDescent="0.25">
      <c r="A9237" t="str">
        <f>"20190303162130003"</f>
        <v>20190303162130003</v>
      </c>
      <c r="B9237" t="str">
        <f>"1551601289991728"</f>
        <v>1551601289991728</v>
      </c>
      <c r="C9237" t="s">
        <v>40</v>
      </c>
      <c r="D9237">
        <v>4.6208839999999904</v>
      </c>
      <c r="E9237">
        <v>0.55027569999999904</v>
      </c>
      <c r="F9237" t="s">
        <v>42</v>
      </c>
      <c r="G9237">
        <v>-245.1446</v>
      </c>
      <c r="H9237">
        <v>0.90279039999999999</v>
      </c>
      <c r="I9237">
        <v>-62.556600000000003</v>
      </c>
      <c r="J9237">
        <v>-245.8194</v>
      </c>
      <c r="K9237">
        <v>1.122042</v>
      </c>
      <c r="L9237">
        <v>-62.525390000000002</v>
      </c>
      <c r="M9237">
        <v>0.99990970000000001</v>
      </c>
      <c r="N9237">
        <v>-1.156168E-2</v>
      </c>
      <c r="O9237">
        <v>-6.8695379999999997E-3</v>
      </c>
      <c r="P9237">
        <v>0.98639860000000001</v>
      </c>
      <c r="Q9237">
        <v>0.13679839999999999</v>
      </c>
      <c r="R9237">
        <v>9.1127840000000002E-2</v>
      </c>
      <c r="S9237">
        <v>3.1717219999999999</v>
      </c>
      <c r="T9237">
        <v>-0.85785540000000005</v>
      </c>
      <c r="U9237">
        <v>-0.12377929999999999</v>
      </c>
      <c r="V9237">
        <v>-9.8143980000000006E-2</v>
      </c>
      <c r="W9237">
        <v>0.14802580000000001</v>
      </c>
      <c r="X9237">
        <v>0.98410169999999997</v>
      </c>
      <c r="Y9237">
        <v>3.1187820000000002E-2</v>
      </c>
      <c r="Z9237">
        <v>-2.5790119999999999E-3</v>
      </c>
      <c r="AA9237">
        <v>0.99951020000000002</v>
      </c>
      <c r="AB9237">
        <v>27</v>
      </c>
      <c r="AC9237">
        <v>0.67480000000000395</v>
      </c>
      <c r="AD9237">
        <v>-0.21925159999999999</v>
      </c>
      <c r="AE9237">
        <v>-3.12100000000015E-2</v>
      </c>
      <c r="AF9237">
        <v>2.4040845374720499E-2</v>
      </c>
      <c r="AG9237">
        <v>-0.21925159999999999</v>
      </c>
      <c r="AH9237">
        <v>0.61066857757642601</v>
      </c>
      <c r="AI9237">
        <v>109.73582594135701</v>
      </c>
      <c r="AJ9237">
        <v>87.745539754758099</v>
      </c>
      <c r="AK9237">
        <v>0.64928063115120405</v>
      </c>
      <c r="AL9237">
        <v>81.487464077008198</v>
      </c>
      <c r="AM9237">
        <v>95.695248217325101</v>
      </c>
      <c r="AN9237">
        <v>1.0000000171093799</v>
      </c>
    </row>
    <row r="9238" spans="1:40" x14ac:dyDescent="0.25">
      <c r="A9238" t="str">
        <f>"20190303162130015"</f>
        <v>20190303162130015</v>
      </c>
      <c r="B9238" t="str">
        <f>"1551601290001488"</f>
        <v>1551601290001488</v>
      </c>
      <c r="C9238" t="s">
        <v>40</v>
      </c>
      <c r="D9238">
        <v>4.6228129999999998</v>
      </c>
      <c r="E9238">
        <v>0.55023359999999899</v>
      </c>
      <c r="F9238" t="s">
        <v>42</v>
      </c>
      <c r="G9238">
        <v>-245.12989999999999</v>
      </c>
      <c r="H9238">
        <v>0.93535829999999998</v>
      </c>
      <c r="I9238">
        <v>-62.552190000000003</v>
      </c>
      <c r="J9238">
        <v>-245.68340000000001</v>
      </c>
      <c r="K9238">
        <v>1.1219980000000001</v>
      </c>
      <c r="L9238">
        <v>-62.525910000000003</v>
      </c>
      <c r="M9238">
        <v>0.99991209999999997</v>
      </c>
      <c r="N9238">
        <v>-1.155959E-2</v>
      </c>
      <c r="O9238">
        <v>-6.4766909999999997E-3</v>
      </c>
      <c r="P9238">
        <v>0.9864233</v>
      </c>
      <c r="Q9238">
        <v>0.13658190000000001</v>
      </c>
      <c r="R9238">
        <v>9.1183420000000001E-2</v>
      </c>
      <c r="S9238">
        <v>3.1718139999999999</v>
      </c>
      <c r="T9238">
        <v>-0.85876200000000003</v>
      </c>
      <c r="U9238">
        <v>-0.12298580000000001</v>
      </c>
      <c r="V9238">
        <v>-9.7796499999999995E-2</v>
      </c>
      <c r="W9238">
        <v>0.14781929999999999</v>
      </c>
      <c r="X9238">
        <v>0.98416729999999997</v>
      </c>
      <c r="Y9238">
        <v>3.1310339999999999E-2</v>
      </c>
      <c r="Z9238">
        <v>-2.6982600000000001E-3</v>
      </c>
      <c r="AA9238">
        <v>0.99950609999999995</v>
      </c>
      <c r="AB9238">
        <v>27</v>
      </c>
      <c r="AC9238">
        <v>0.55350000000001298</v>
      </c>
      <c r="AD9238">
        <v>-0.18663969999999999</v>
      </c>
      <c r="AE9238">
        <v>-2.6280000000006899E-2</v>
      </c>
      <c r="AF9238">
        <v>2.0382066203167501E-2</v>
      </c>
      <c r="AG9238">
        <v>-0.18663969999999999</v>
      </c>
      <c r="AH9238">
        <v>0.49724716807810398</v>
      </c>
      <c r="AI9238">
        <v>110.557602587115</v>
      </c>
      <c r="AJ9238">
        <v>87.652770957577104</v>
      </c>
      <c r="AK9238">
        <v>0.53151157315762598</v>
      </c>
      <c r="AL9238">
        <v>81.499427010451498</v>
      </c>
      <c r="AM9238">
        <v>95.674840166262101</v>
      </c>
      <c r="AN9238">
        <v>0.99999998762701403</v>
      </c>
    </row>
    <row r="9239" spans="1:40" x14ac:dyDescent="0.25">
      <c r="A9239" t="str">
        <f>"20190303162130027"</f>
        <v>20190303162130027</v>
      </c>
      <c r="B9239" t="str">
        <f>"1551601290021514"</f>
        <v>1551601290021514</v>
      </c>
      <c r="C9239" t="s">
        <v>40</v>
      </c>
      <c r="D9239">
        <v>4.6184479999999999</v>
      </c>
      <c r="E9239">
        <v>0.5502068</v>
      </c>
      <c r="F9239" t="s">
        <v>42</v>
      </c>
      <c r="G9239">
        <v>-244.89830000000001</v>
      </c>
      <c r="H9239">
        <v>0.90996100000000002</v>
      </c>
      <c r="I9239">
        <v>-62.556480000000001</v>
      </c>
      <c r="J9239">
        <v>-245.5378</v>
      </c>
      <c r="K9239">
        <v>1.1219490000000001</v>
      </c>
      <c r="L9239">
        <v>-62.526369999999901</v>
      </c>
      <c r="M9239">
        <v>0.99991490000000005</v>
      </c>
      <c r="N9239">
        <v>-1.155747E-2</v>
      </c>
      <c r="O9239">
        <v>-6.0722019999999996E-3</v>
      </c>
      <c r="P9239">
        <v>0.98641020000000001</v>
      </c>
      <c r="Q9239">
        <v>0.13655639999999999</v>
      </c>
      <c r="R9239">
        <v>9.1363860000000005E-2</v>
      </c>
      <c r="S9239">
        <v>3.171249</v>
      </c>
      <c r="T9239">
        <v>-0.85654529999999995</v>
      </c>
      <c r="U9239">
        <v>-0.12298580000000001</v>
      </c>
      <c r="V9239">
        <v>-9.7560649999999999E-2</v>
      </c>
      <c r="W9239">
        <v>0.14780370000000001</v>
      </c>
      <c r="X9239">
        <v>0.98419310000000004</v>
      </c>
      <c r="Y9239">
        <v>3.1698179999999999E-2</v>
      </c>
      <c r="Z9239">
        <v>-2.848948E-3</v>
      </c>
      <c r="AA9239">
        <v>0.99949339999999998</v>
      </c>
      <c r="AB9239">
        <v>27</v>
      </c>
      <c r="AC9239">
        <v>0.63949999999999796</v>
      </c>
      <c r="AD9239">
        <v>-0.21198800000000001</v>
      </c>
      <c r="AE9239">
        <v>-3.0110000000014701E-2</v>
      </c>
      <c r="AF9239">
        <v>2.3634646180102199E-2</v>
      </c>
      <c r="AG9239">
        <v>-0.21198800000000001</v>
      </c>
      <c r="AH9239">
        <v>0.57646578574061702</v>
      </c>
      <c r="AI9239">
        <v>110.17477921528901</v>
      </c>
      <c r="AJ9239">
        <v>87.652232761907499</v>
      </c>
      <c r="AK9239">
        <v>0.61466276182440505</v>
      </c>
      <c r="AL9239">
        <v>81.500331166989298</v>
      </c>
      <c r="AM9239">
        <v>95.661096057034797</v>
      </c>
      <c r="AN9239">
        <v>1.00000003612486</v>
      </c>
    </row>
    <row r="9240" spans="1:40" x14ac:dyDescent="0.25">
      <c r="A9240" t="str">
        <f>"20190303162130038"</f>
        <v>20190303162130038</v>
      </c>
      <c r="B9240" t="str">
        <f>"1551601290032250"</f>
        <v>1551601290032250</v>
      </c>
      <c r="C9240" t="s">
        <v>40</v>
      </c>
      <c r="D9240">
        <v>4.6605879999999997</v>
      </c>
      <c r="E9240">
        <v>0.55025179999999996</v>
      </c>
      <c r="F9240" t="s">
        <v>42</v>
      </c>
      <c r="G9240">
        <v>-244.6652</v>
      </c>
      <c r="H9240">
        <v>0.88686939999999903</v>
      </c>
      <c r="I9240">
        <v>-62.560119999999998</v>
      </c>
      <c r="J9240">
        <v>-245.4014</v>
      </c>
      <c r="K9240">
        <v>1.1219079999999999</v>
      </c>
      <c r="L9240">
        <v>-62.526820000000001</v>
      </c>
      <c r="M9240">
        <v>0.9999169</v>
      </c>
      <c r="N9240">
        <v>-1.155571E-2</v>
      </c>
      <c r="O9240">
        <v>-5.7387230000000003E-3</v>
      </c>
      <c r="P9240">
        <v>0.98639239999999995</v>
      </c>
      <c r="Q9240">
        <v>0.13654430000000001</v>
      </c>
      <c r="R9240">
        <v>9.1573520000000005E-2</v>
      </c>
      <c r="S9240">
        <v>3.170944</v>
      </c>
      <c r="T9240">
        <v>-0.8542341</v>
      </c>
      <c r="U9240">
        <v>-0.1226501</v>
      </c>
      <c r="V9240">
        <v>-9.7425540000000005E-2</v>
      </c>
      <c r="W9240">
        <v>0.1478004</v>
      </c>
      <c r="X9240">
        <v>0.9842069</v>
      </c>
      <c r="Y9240">
        <v>3.1915489999999998E-2</v>
      </c>
      <c r="Z9240">
        <v>-2.9568530000000002E-3</v>
      </c>
      <c r="AA9240">
        <v>0.99948619999999999</v>
      </c>
      <c r="AB9240">
        <v>27</v>
      </c>
      <c r="AC9240">
        <v>0.73619999999999597</v>
      </c>
      <c r="AD9240">
        <v>-0.23503859999999999</v>
      </c>
      <c r="AE9240">
        <v>-3.3300000000004097E-2</v>
      </c>
      <c r="AF9240">
        <v>2.6389978313688701E-2</v>
      </c>
      <c r="AG9240">
        <v>-0.23503859999999999</v>
      </c>
      <c r="AH9240">
        <v>0.66839135221404999</v>
      </c>
      <c r="AI9240">
        <v>109.360169914344</v>
      </c>
      <c r="AJ9240">
        <v>87.738975216029104</v>
      </c>
      <c r="AK9240">
        <v>0.70900393099043002</v>
      </c>
      <c r="AL9240">
        <v>81.500521674204506</v>
      </c>
      <c r="AM9240">
        <v>95.653228172207804</v>
      </c>
      <c r="AN9240">
        <v>0.99999995804602904</v>
      </c>
    </row>
    <row r="9241" spans="1:40" x14ac:dyDescent="0.25">
      <c r="A9241" t="str">
        <f>"20190303162130049"</f>
        <v>20190303162130049</v>
      </c>
      <c r="B9241" t="str">
        <f>"1551601290042010"</f>
        <v>1551601290042010</v>
      </c>
      <c r="C9241" t="s">
        <v>40</v>
      </c>
      <c r="D9241">
        <v>4.6499879999999996</v>
      </c>
      <c r="E9241">
        <v>0.55015740000000002</v>
      </c>
      <c r="F9241" t="s">
        <v>42</v>
      </c>
      <c r="G9241">
        <v>-244.65049999999999</v>
      </c>
      <c r="H9241">
        <v>0.91995280000000001</v>
      </c>
      <c r="I9241">
        <v>-62.55583</v>
      </c>
      <c r="J9241">
        <v>-245.26570000000001</v>
      </c>
      <c r="K9241">
        <v>1.1218680000000001</v>
      </c>
      <c r="L9241">
        <v>-62.527250000000002</v>
      </c>
      <c r="M9241">
        <v>0.99991850000000004</v>
      </c>
      <c r="N9241">
        <v>-1.155408E-2</v>
      </c>
      <c r="O9241">
        <v>-5.4251380000000004E-3</v>
      </c>
      <c r="P9241">
        <v>0.98637180000000002</v>
      </c>
      <c r="Q9241">
        <v>0.13666629999999999</v>
      </c>
      <c r="R9241">
        <v>9.1614429999999997E-2</v>
      </c>
      <c r="S9241">
        <v>3.1708219999999998</v>
      </c>
      <c r="T9241">
        <v>-0.85287420000000003</v>
      </c>
      <c r="U9241">
        <v>-0.12246700000000001</v>
      </c>
      <c r="V9241">
        <v>-9.7142030000000004E-2</v>
      </c>
      <c r="W9241">
        <v>0.14793149999999999</v>
      </c>
      <c r="X9241">
        <v>0.98421530000000002</v>
      </c>
      <c r="Y9241">
        <v>3.2156610000000002E-2</v>
      </c>
      <c r="Z9241">
        <v>-3.0653019999999998E-3</v>
      </c>
      <c r="AA9241">
        <v>0.99947819999999998</v>
      </c>
      <c r="AB9241">
        <v>27</v>
      </c>
      <c r="AC9241">
        <v>0.61520000000001496</v>
      </c>
      <c r="AD9241">
        <v>-0.20191519999999999</v>
      </c>
      <c r="AE9241">
        <v>-2.8580000000005101E-2</v>
      </c>
      <c r="AF9241">
        <v>2.2791904003892999E-2</v>
      </c>
      <c r="AG9241">
        <v>-0.20191519999999999</v>
      </c>
      <c r="AH9241">
        <v>0.55562205087386096</v>
      </c>
      <c r="AI9241">
        <v>109.955883719619</v>
      </c>
      <c r="AJ9241">
        <v>87.651014421626698</v>
      </c>
      <c r="AK9241">
        <v>0.59161227361882696</v>
      </c>
      <c r="AL9241">
        <v>81.492927323108006</v>
      </c>
      <c r="AM9241">
        <v>95.636835482484997</v>
      </c>
      <c r="AN9241">
        <v>1.00000002971943</v>
      </c>
    </row>
    <row r="9242" spans="1:40" x14ac:dyDescent="0.25">
      <c r="A9242" t="str">
        <f>"20190303162130062"</f>
        <v>20190303162130062</v>
      </c>
      <c r="B9242" t="str">
        <f>"1551601290051770"</f>
        <v>1551601290051770</v>
      </c>
      <c r="C9242" t="s">
        <v>40</v>
      </c>
      <c r="D9242">
        <v>4.6353939999999998</v>
      </c>
      <c r="E9242">
        <v>0.55002580000000001</v>
      </c>
      <c r="F9242" t="s">
        <v>42</v>
      </c>
      <c r="G9242">
        <v>-244.41849999999999</v>
      </c>
      <c r="H9242">
        <v>0.89447929999999998</v>
      </c>
      <c r="I9242">
        <v>-62.559840000000001</v>
      </c>
      <c r="J9242">
        <v>-245.1018</v>
      </c>
      <c r="K9242">
        <v>1.1218220000000001</v>
      </c>
      <c r="L9242">
        <v>-62.527740000000001</v>
      </c>
      <c r="M9242">
        <v>0.99992049999999999</v>
      </c>
      <c r="N9242">
        <v>-1.155233E-2</v>
      </c>
      <c r="O9242">
        <v>-5.0805269999999996E-3</v>
      </c>
      <c r="P9242">
        <v>0.98630799999999996</v>
      </c>
      <c r="Q9242">
        <v>0.1370509</v>
      </c>
      <c r="R9242">
        <v>9.1727639999999999E-2</v>
      </c>
      <c r="S9242">
        <v>3.170639</v>
      </c>
      <c r="T9242">
        <v>-0.85100049999999905</v>
      </c>
      <c r="U9242">
        <v>-0.1213989</v>
      </c>
      <c r="V9242">
        <v>-9.6898319999999996E-2</v>
      </c>
      <c r="W9242">
        <v>0.1483257</v>
      </c>
      <c r="X9242">
        <v>0.98418000000000005</v>
      </c>
      <c r="Y9242">
        <v>3.2159930000000003E-2</v>
      </c>
      <c r="Z9242">
        <v>-3.1468479999999998E-3</v>
      </c>
      <c r="AA9242">
        <v>0.99947779999999997</v>
      </c>
      <c r="AB9242">
        <v>27</v>
      </c>
      <c r="AC9242">
        <v>0.68330000000000202</v>
      </c>
      <c r="AD9242">
        <v>-0.22734269999999901</v>
      </c>
      <c r="AE9242">
        <v>-3.2099999999999698E-2</v>
      </c>
      <c r="AF9242">
        <v>2.5780291796498499E-2</v>
      </c>
      <c r="AG9242">
        <v>-0.22734269999999901</v>
      </c>
      <c r="AH9242">
        <v>0.61547279121796705</v>
      </c>
      <c r="AI9242">
        <v>110.25685179810201</v>
      </c>
      <c r="AJ9242">
        <v>87.601455374857196</v>
      </c>
      <c r="AK9242">
        <v>0.65662476607118503</v>
      </c>
      <c r="AL9242">
        <v>81.470089427443199</v>
      </c>
      <c r="AM9242">
        <v>95.622984901944605</v>
      </c>
      <c r="AN9242">
        <v>1.0000000350496501</v>
      </c>
    </row>
    <row r="9243" spans="1:40" x14ac:dyDescent="0.25">
      <c r="A9243" t="str">
        <f>"20190303162130075"</f>
        <v>20190303162130075</v>
      </c>
      <c r="B9243" t="str">
        <f>"1551601290061530"</f>
        <v>1551601290061530</v>
      </c>
      <c r="C9243" t="s">
        <v>40</v>
      </c>
      <c r="D9243">
        <v>4.6314099999999998</v>
      </c>
      <c r="E9243">
        <v>0.54994929999999997</v>
      </c>
      <c r="F9243" t="s">
        <v>42</v>
      </c>
      <c r="G9243">
        <v>-244.4006</v>
      </c>
      <c r="H9243">
        <v>0.93423460000000003</v>
      </c>
      <c r="I9243">
        <v>-62.55433</v>
      </c>
      <c r="J9243">
        <v>-244.96379999999999</v>
      </c>
      <c r="K9243">
        <v>1.1217889999999999</v>
      </c>
      <c r="L9243">
        <v>-62.528109999999998</v>
      </c>
      <c r="M9243">
        <v>0.99992179999999997</v>
      </c>
      <c r="N9243">
        <v>-1.155106E-2</v>
      </c>
      <c r="O9243">
        <v>-4.8243540000000003E-3</v>
      </c>
      <c r="P9243">
        <v>0.98626150000000001</v>
      </c>
      <c r="Q9243">
        <v>0.13750960000000001</v>
      </c>
      <c r="R9243">
        <v>9.15406E-2</v>
      </c>
      <c r="S9243">
        <v>3.1706539999999999</v>
      </c>
      <c r="T9243">
        <v>-0.84825459999999997</v>
      </c>
      <c r="U9243">
        <v>-0.1195374</v>
      </c>
      <c r="V9243">
        <v>-9.6445630000000004E-2</v>
      </c>
      <c r="W9243">
        <v>0.1487926</v>
      </c>
      <c r="X9243">
        <v>0.98415399999999997</v>
      </c>
      <c r="Y9243">
        <v>3.1839609999999997E-2</v>
      </c>
      <c r="Z9243">
        <v>-3.1582200000000002E-3</v>
      </c>
      <c r="AA9243">
        <v>0.99948800000000004</v>
      </c>
      <c r="AB9243">
        <v>27</v>
      </c>
      <c r="AC9243">
        <v>0.56319999999999404</v>
      </c>
      <c r="AD9243">
        <v>-0.18755439999999901</v>
      </c>
      <c r="AE9243">
        <v>-2.6220000000009201E-2</v>
      </c>
      <c r="AF9243">
        <v>2.1160793628620101E-2</v>
      </c>
      <c r="AG9243">
        <v>-0.18755439999999901</v>
      </c>
      <c r="AH9243">
        <v>0.50719407375023895</v>
      </c>
      <c r="AI9243">
        <v>110.27759828702099</v>
      </c>
      <c r="AJ9243">
        <v>87.610931422083894</v>
      </c>
      <c r="AK9243">
        <v>0.54117488910121903</v>
      </c>
      <c r="AL9243">
        <v>81.443037950554</v>
      </c>
      <c r="AM9243">
        <v>95.597029520060801</v>
      </c>
      <c r="AN9243">
        <v>1.00000004653842</v>
      </c>
    </row>
    <row r="9244" spans="1:40" x14ac:dyDescent="0.25">
      <c r="A9244" t="str">
        <f>"20190303162130084"</f>
        <v>20190303162130084</v>
      </c>
      <c r="B9244" t="str">
        <f>"1551601290082025"</f>
        <v>1551601290082025</v>
      </c>
      <c r="C9244" t="s">
        <v>40</v>
      </c>
      <c r="D9244">
        <v>4.6657520000000003</v>
      </c>
      <c r="E9244">
        <v>0.55011469999999996</v>
      </c>
      <c r="F9244" t="s">
        <v>42</v>
      </c>
      <c r="G9244">
        <v>-244.16839999999999</v>
      </c>
      <c r="H9244">
        <v>0.90966999999999998</v>
      </c>
      <c r="I9244">
        <v>-62.557960000000001</v>
      </c>
      <c r="J9244">
        <v>-244.8313</v>
      </c>
      <c r="K9244">
        <v>1.1217520000000001</v>
      </c>
      <c r="L9244">
        <v>-62.528469999999999</v>
      </c>
      <c r="M9244">
        <v>0.99992289999999995</v>
      </c>
      <c r="N9244">
        <v>-1.154991E-2</v>
      </c>
      <c r="O9244">
        <v>-4.5863950000000001E-3</v>
      </c>
      <c r="P9244">
        <v>0.98618130000000004</v>
      </c>
      <c r="Q9244">
        <v>0.13809250000000001</v>
      </c>
      <c r="R9244">
        <v>9.1526529999999995E-2</v>
      </c>
      <c r="S9244">
        <v>3.170715</v>
      </c>
      <c r="T9244">
        <v>-0.84550829999999999</v>
      </c>
      <c r="U9244">
        <v>-0.1187439</v>
      </c>
      <c r="V9244">
        <v>-9.6183560000000001E-2</v>
      </c>
      <c r="W9244">
        <v>0.14938189999999901</v>
      </c>
      <c r="X9244">
        <v>0.98409029999999997</v>
      </c>
      <c r="Y9244">
        <v>3.1826130000000001E-2</v>
      </c>
      <c r="Z9244">
        <v>-3.2068109999999999E-3</v>
      </c>
      <c r="AA9244">
        <v>0.9994883</v>
      </c>
      <c r="AB9244">
        <v>27</v>
      </c>
      <c r="AC9244">
        <v>0.66290000000000704</v>
      </c>
      <c r="AD9244">
        <v>-0.21208199999999999</v>
      </c>
      <c r="AE9244">
        <v>-2.9489999999995499E-2</v>
      </c>
      <c r="AF9244">
        <v>2.3997717031853501E-2</v>
      </c>
      <c r="AG9244">
        <v>-0.21208199999999999</v>
      </c>
      <c r="AH9244">
        <v>0.60157530841565099</v>
      </c>
      <c r="AI9244">
        <v>109.40553698612101</v>
      </c>
      <c r="AJ9244">
        <v>87.715598964345105</v>
      </c>
      <c r="AK9244">
        <v>0.63831615743464198</v>
      </c>
      <c r="AL9244">
        <v>81.408891305724396</v>
      </c>
      <c r="AM9244">
        <v>95.582276025152098</v>
      </c>
      <c r="AN9244">
        <v>0.99999997390798601</v>
      </c>
    </row>
    <row r="9245" spans="1:40" x14ac:dyDescent="0.25">
      <c r="A9245" t="str">
        <f>"20190303162130093"</f>
        <v>20190303162130093</v>
      </c>
      <c r="B9245" t="str">
        <f>"1551601290082025"</f>
        <v>1551601290082025</v>
      </c>
      <c r="C9245" t="s">
        <v>40</v>
      </c>
      <c r="D9245">
        <v>4.6657520000000003</v>
      </c>
      <c r="E9245">
        <v>0.55011469999999996</v>
      </c>
      <c r="F9245" t="s">
        <v>42</v>
      </c>
      <c r="G9245">
        <v>-243.93639999999999</v>
      </c>
      <c r="H9245">
        <v>0.88327999999999995</v>
      </c>
      <c r="I9245">
        <v>-62.562339999999999</v>
      </c>
      <c r="J9245">
        <v>-244.71899999999999</v>
      </c>
      <c r="K9245">
        <v>1.1217269999999999</v>
      </c>
      <c r="L9245">
        <v>-62.52881</v>
      </c>
      <c r="M9245">
        <v>0.99992360000000002</v>
      </c>
      <c r="N9245">
        <v>-1.15491E-2</v>
      </c>
      <c r="O9245">
        <v>-4.4162769999999997E-3</v>
      </c>
      <c r="P9245">
        <v>0.98616899999999996</v>
      </c>
      <c r="Q9245">
        <v>0.13813780000000001</v>
      </c>
      <c r="R9245">
        <v>9.1591110000000003E-2</v>
      </c>
      <c r="S9245">
        <v>3.1714479999999998</v>
      </c>
      <c r="T9245">
        <v>-0.84504630000000003</v>
      </c>
      <c r="U9245">
        <v>-0.1193848</v>
      </c>
      <c r="V9245">
        <v>-9.6070669999999997E-2</v>
      </c>
      <c r="W9245">
        <v>0.14943290000000001</v>
      </c>
      <c r="X9245">
        <v>0.98409360000000001</v>
      </c>
      <c r="Y9245">
        <v>3.2172699999999999E-2</v>
      </c>
      <c r="Z9245">
        <v>-3.2945579999999999E-3</v>
      </c>
      <c r="AA9245">
        <v>0.9994769</v>
      </c>
      <c r="AB9245">
        <v>27</v>
      </c>
      <c r="AC9245">
        <v>0.78260000000003005</v>
      </c>
      <c r="AD9245">
        <v>-0.23844699999999999</v>
      </c>
      <c r="AE9245">
        <v>-3.3529999999998901E-2</v>
      </c>
      <c r="AF9245">
        <v>2.75229024537797E-2</v>
      </c>
      <c r="AG9245">
        <v>-0.23844699999999999</v>
      </c>
      <c r="AH9245">
        <v>0.71636018677160795</v>
      </c>
      <c r="AI9245">
        <v>108.397831522008</v>
      </c>
      <c r="AJ9245">
        <v>87.799750825662301</v>
      </c>
      <c r="AK9245">
        <v>0.75550406958528904</v>
      </c>
      <c r="AL9245">
        <v>81.405936184419502</v>
      </c>
      <c r="AM9245">
        <v>95.575746876814307</v>
      </c>
      <c r="AN9245">
        <v>0.99999998939880896</v>
      </c>
    </row>
    <row r="9246" spans="1:40" x14ac:dyDescent="0.25">
      <c r="A9246" t="str">
        <f>"20190303162130104"</f>
        <v>20190303162130104</v>
      </c>
      <c r="B9246" t="str">
        <f>"1551601290091787"</f>
        <v>1551601290091787</v>
      </c>
      <c r="C9246" t="s">
        <v>40</v>
      </c>
      <c r="D9246">
        <v>4.6434519999999999</v>
      </c>
      <c r="E9246">
        <v>0.55021039999999999</v>
      </c>
      <c r="F9246" t="s">
        <v>42</v>
      </c>
      <c r="G9246">
        <v>-243.9247</v>
      </c>
      <c r="H9246">
        <v>0.91001030000000005</v>
      </c>
      <c r="I9246">
        <v>-62.558630000000001</v>
      </c>
      <c r="J9246">
        <v>-244.5941</v>
      </c>
      <c r="K9246">
        <v>1.1216980000000001</v>
      </c>
      <c r="L9246">
        <v>-62.529139999999998</v>
      </c>
      <c r="M9246">
        <v>0.99992440000000005</v>
      </c>
      <c r="N9246">
        <v>-1.154821E-2</v>
      </c>
      <c r="O9246">
        <v>-4.2268879999999998E-3</v>
      </c>
      <c r="P9246">
        <v>0.98619159999999995</v>
      </c>
      <c r="Q9246">
        <v>0.138039299999999</v>
      </c>
      <c r="R9246">
        <v>9.1494980000000004E-2</v>
      </c>
      <c r="S9246">
        <v>3.1714630000000001</v>
      </c>
      <c r="T9246">
        <v>-0.84517289999999901</v>
      </c>
      <c r="U9246">
        <v>-0.1183167</v>
      </c>
      <c r="V9246">
        <v>-9.5777329999999994E-2</v>
      </c>
      <c r="W9246">
        <v>0.149341</v>
      </c>
      <c r="X9246">
        <v>0.98413620000000002</v>
      </c>
      <c r="Y9246">
        <v>3.202472E-2</v>
      </c>
      <c r="Z9246">
        <v>-3.3221769999999999E-3</v>
      </c>
      <c r="AA9246">
        <v>0.99948159999999997</v>
      </c>
      <c r="AB9246">
        <v>27</v>
      </c>
      <c r="AC9246">
        <v>0.669399999999996</v>
      </c>
      <c r="AD9246">
        <v>-0.21168769999999901</v>
      </c>
      <c r="AE9246">
        <v>-2.9490000000002601E-2</v>
      </c>
      <c r="AF9246">
        <v>2.4240594580209499E-2</v>
      </c>
      <c r="AG9246">
        <v>-0.21168769999999901</v>
      </c>
      <c r="AH9246">
        <v>0.60875802000483703</v>
      </c>
      <c r="AI9246">
        <v>109.1603792798</v>
      </c>
      <c r="AJ9246">
        <v>87.719700871263996</v>
      </c>
      <c r="AK9246">
        <v>0.64496946879453199</v>
      </c>
      <c r="AL9246">
        <v>81.411261909204498</v>
      </c>
      <c r="AM9246">
        <v>95.558589697488401</v>
      </c>
      <c r="AN9246">
        <v>1.00000004568668</v>
      </c>
    </row>
    <row r="9247" spans="1:40" x14ac:dyDescent="0.25">
      <c r="A9247" t="str">
        <f>"20190303162130116"</f>
        <v>20190303162130116</v>
      </c>
      <c r="B9247" t="str">
        <f>"1551601290112282"</f>
        <v>1551601290112282</v>
      </c>
      <c r="C9247" t="s">
        <v>40</v>
      </c>
      <c r="D9247">
        <v>4.6363909999999997</v>
      </c>
      <c r="E9247">
        <v>0.55036929999999995</v>
      </c>
      <c r="F9247" t="s">
        <v>42</v>
      </c>
      <c r="G9247">
        <v>-243.91139999999999</v>
      </c>
      <c r="H9247">
        <v>0.93893740000000003</v>
      </c>
      <c r="I9247">
        <v>-62.554989999999997</v>
      </c>
      <c r="J9247">
        <v>-244.4579</v>
      </c>
      <c r="K9247">
        <v>1.1216699999999999</v>
      </c>
      <c r="L9247">
        <v>-62.529510000000002</v>
      </c>
      <c r="M9247">
        <v>0.99992530000000002</v>
      </c>
      <c r="N9247">
        <v>-1.1547440000000001E-2</v>
      </c>
      <c r="O9247">
        <v>-4.0519049999999997E-3</v>
      </c>
      <c r="P9247">
        <v>0.98621340000000002</v>
      </c>
      <c r="Q9247">
        <v>0.13796820000000001</v>
      </c>
      <c r="R9247">
        <v>9.1367970000000007E-2</v>
      </c>
      <c r="S9247">
        <v>3.1718899999999999</v>
      </c>
      <c r="T9247">
        <v>-0.84907410000000005</v>
      </c>
      <c r="U9247">
        <v>-0.11920169999999999</v>
      </c>
      <c r="V9247">
        <v>-9.5467590000000005E-2</v>
      </c>
      <c r="W9247">
        <v>0.1492763</v>
      </c>
      <c r="X9247">
        <v>0.98417600000000005</v>
      </c>
      <c r="Y9247">
        <v>3.244325E-2</v>
      </c>
      <c r="Z9247">
        <v>-3.4370440000000002E-3</v>
      </c>
      <c r="AA9247">
        <v>0.99946769999999996</v>
      </c>
      <c r="AB9247">
        <v>27</v>
      </c>
      <c r="AC9247">
        <v>0.54650000000000798</v>
      </c>
      <c r="AD9247">
        <v>-0.1827326</v>
      </c>
      <c r="AE9247">
        <v>-2.5480000000008801E-2</v>
      </c>
      <c r="AF9247">
        <v>2.0930292990872498E-2</v>
      </c>
      <c r="AG9247">
        <v>-0.1827326</v>
      </c>
      <c r="AH9247">
        <v>0.49174020207128899</v>
      </c>
      <c r="AI9247">
        <v>110.368339599195</v>
      </c>
      <c r="AJ9247">
        <v>87.562749521179995</v>
      </c>
      <c r="AK9247">
        <v>0.52501210138486898</v>
      </c>
      <c r="AL9247">
        <v>81.415010028086101</v>
      </c>
      <c r="AM9247">
        <v>95.540502813545601</v>
      </c>
      <c r="AN9247">
        <v>0.99999993672904697</v>
      </c>
    </row>
    <row r="9248" spans="1:40" x14ac:dyDescent="0.25">
      <c r="A9248" t="str">
        <f>"20190303162130126"</f>
        <v>20190303162130126</v>
      </c>
      <c r="B9248" t="str">
        <f>"1551601290122043"</f>
        <v>1551601290122043</v>
      </c>
      <c r="C9248" t="s">
        <v>40</v>
      </c>
      <c r="D9248">
        <v>4.6361670000000004</v>
      </c>
      <c r="E9248">
        <v>0.55040009999999995</v>
      </c>
      <c r="F9248" t="s">
        <v>42</v>
      </c>
      <c r="G9248">
        <v>-243.68010000000001</v>
      </c>
      <c r="H9248">
        <v>0.91192669999999998</v>
      </c>
      <c r="I9248">
        <v>-62.5593</v>
      </c>
      <c r="J9248">
        <v>-244.32400000000001</v>
      </c>
      <c r="K9248">
        <v>1.1216440000000001</v>
      </c>
      <c r="L9248">
        <v>-62.529850000000003</v>
      </c>
      <c r="M9248">
        <v>0.99992590000000003</v>
      </c>
      <c r="N9248">
        <v>-1.154673E-2</v>
      </c>
      <c r="O9248">
        <v>-3.8858510000000001E-3</v>
      </c>
      <c r="P9248">
        <v>0.9862419</v>
      </c>
      <c r="Q9248">
        <v>0.13778969999999999</v>
      </c>
      <c r="R9248">
        <v>9.1330670000000003E-2</v>
      </c>
      <c r="S9248">
        <v>3.1728209999999999</v>
      </c>
      <c r="T9248">
        <v>-0.85557619999999901</v>
      </c>
      <c r="U9248">
        <v>-0.1207886</v>
      </c>
      <c r="V9248">
        <v>-9.5256569999999999E-2</v>
      </c>
      <c r="W9248">
        <v>0.14910419999999999</v>
      </c>
      <c r="X9248">
        <v>0.98422259999999995</v>
      </c>
      <c r="Y9248">
        <v>3.305425E-2</v>
      </c>
      <c r="Z9248">
        <v>-3.5863819999999999E-3</v>
      </c>
      <c r="AA9248">
        <v>0.99944710000000003</v>
      </c>
      <c r="AB9248">
        <v>27</v>
      </c>
      <c r="AC9248">
        <v>0.64390000000000203</v>
      </c>
      <c r="AD9248">
        <v>-0.2097173</v>
      </c>
      <c r="AE9248">
        <v>-2.9449999999996999E-2</v>
      </c>
      <c r="AF9248">
        <v>2.43679649675109E-2</v>
      </c>
      <c r="AG9248">
        <v>-0.2097173</v>
      </c>
      <c r="AH9248">
        <v>0.582361859144091</v>
      </c>
      <c r="AI9248">
        <v>109.78874437812399</v>
      </c>
      <c r="AJ9248">
        <v>87.603950981404296</v>
      </c>
      <c r="AK9248">
        <v>0.61945175649255402</v>
      </c>
      <c r="AL9248">
        <v>81.424982795582906</v>
      </c>
      <c r="AM9248">
        <v>95.528071999557994</v>
      </c>
      <c r="AN9248">
        <v>1.0000000014682799</v>
      </c>
    </row>
    <row r="9249" spans="1:40" x14ac:dyDescent="0.25">
      <c r="A9249" t="str">
        <f>"20190303162130137"</f>
        <v>20190303162130137</v>
      </c>
      <c r="B9249" t="str">
        <f>"1551601290131803"</f>
        <v>1551601290131803</v>
      </c>
      <c r="C9249" t="s">
        <v>40</v>
      </c>
      <c r="D9249">
        <v>4.6341199999999896</v>
      </c>
      <c r="E9249">
        <v>0.55045440000000001</v>
      </c>
      <c r="F9249" t="s">
        <v>42</v>
      </c>
      <c r="G9249">
        <v>-243.4485</v>
      </c>
      <c r="H9249">
        <v>0.88446429999999998</v>
      </c>
      <c r="I9249">
        <v>-62.56353</v>
      </c>
      <c r="J9249">
        <v>-244.18690000000001</v>
      </c>
      <c r="K9249">
        <v>1.1216189999999999</v>
      </c>
      <c r="L9249">
        <v>-62.530180000000001</v>
      </c>
      <c r="M9249">
        <v>0.99992639999999999</v>
      </c>
      <c r="N9249">
        <v>-1.154615E-2</v>
      </c>
      <c r="O9249">
        <v>-3.7423090000000001E-3</v>
      </c>
      <c r="P9249">
        <v>0.9862398</v>
      </c>
      <c r="Q9249">
        <v>0.13782349999999999</v>
      </c>
      <c r="R9249">
        <v>9.1300720000000002E-2</v>
      </c>
      <c r="S9249">
        <v>3.173203</v>
      </c>
      <c r="T9249">
        <v>-0.85964229999999997</v>
      </c>
      <c r="U9249">
        <v>-0.121337899999999</v>
      </c>
      <c r="V9249">
        <v>-9.5075789999999993E-2</v>
      </c>
      <c r="W9249">
        <v>0.14914379999999999</v>
      </c>
      <c r="X9249">
        <v>0.9842341</v>
      </c>
      <c r="Y9249">
        <v>3.3340639999999998E-2</v>
      </c>
      <c r="Z9249">
        <v>-3.6776840000000001E-3</v>
      </c>
      <c r="AA9249">
        <v>0.99943729999999997</v>
      </c>
      <c r="AB9249">
        <v>27</v>
      </c>
      <c r="AC9249">
        <v>0.73840000000001205</v>
      </c>
      <c r="AD9249">
        <v>-0.2371547</v>
      </c>
      <c r="AE9249">
        <v>-3.3350000000005701E-2</v>
      </c>
      <c r="AF9249">
        <v>2.77315082061395E-2</v>
      </c>
      <c r="AG9249">
        <v>-0.2371547</v>
      </c>
      <c r="AH9249">
        <v>0.66959028606747595</v>
      </c>
      <c r="AI9249">
        <v>109.487621863963</v>
      </c>
      <c r="AJ9249">
        <v>87.628414134295596</v>
      </c>
      <c r="AK9249">
        <v>0.71088855629796299</v>
      </c>
      <c r="AL9249">
        <v>81.422688397057897</v>
      </c>
      <c r="AM9249">
        <v>95.517581436441603</v>
      </c>
      <c r="AN9249">
        <v>1.0000000212626801</v>
      </c>
    </row>
    <row r="9250" spans="1:40" x14ac:dyDescent="0.25">
      <c r="A9250" t="str">
        <f>"20190303162130149"</f>
        <v>20190303162130149</v>
      </c>
      <c r="B9250" t="str">
        <f>"1551601290141562"</f>
        <v>1551601290141562</v>
      </c>
      <c r="C9250" t="s">
        <v>40</v>
      </c>
      <c r="D9250">
        <v>4.6292309999999999</v>
      </c>
      <c r="E9250">
        <v>0.55047550000000001</v>
      </c>
      <c r="F9250" t="s">
        <v>42</v>
      </c>
      <c r="G9250">
        <v>-243.434</v>
      </c>
      <c r="H9250">
        <v>0.91711699999999996</v>
      </c>
      <c r="I9250">
        <v>-62.559289999999997</v>
      </c>
      <c r="J9250">
        <v>-244.05240000000001</v>
      </c>
      <c r="K9250">
        <v>1.12159599999999</v>
      </c>
      <c r="L9250">
        <v>-62.530549999999998</v>
      </c>
      <c r="M9250">
        <v>0.99992689999999995</v>
      </c>
      <c r="N9250">
        <v>-1.1545649999999999E-2</v>
      </c>
      <c r="O9250">
        <v>-3.6113870000000002E-3</v>
      </c>
      <c r="P9250">
        <v>0.98619749999999995</v>
      </c>
      <c r="Q9250">
        <v>0.1381115</v>
      </c>
      <c r="R9250">
        <v>9.1322329999999993E-2</v>
      </c>
      <c r="S9250">
        <v>3.1736300000000002</v>
      </c>
      <c r="T9250">
        <v>-0.86210319999999996</v>
      </c>
      <c r="U9250">
        <v>-0.1218262</v>
      </c>
      <c r="V9250">
        <v>-9.4959360000000007E-2</v>
      </c>
      <c r="W9250">
        <v>0.14943670000000001</v>
      </c>
      <c r="X9250">
        <v>0.98420090000000005</v>
      </c>
      <c r="Y9250">
        <v>3.3599869999999997E-2</v>
      </c>
      <c r="Z9250">
        <v>-3.7562609999999999E-3</v>
      </c>
      <c r="AA9250">
        <v>0.99942830000000005</v>
      </c>
      <c r="AB9250">
        <v>27</v>
      </c>
      <c r="AC9250">
        <v>0.61839999999997897</v>
      </c>
      <c r="AD9250">
        <v>-0.20447899999999899</v>
      </c>
      <c r="AE9250">
        <v>-2.8740000000006202E-2</v>
      </c>
      <c r="AF9250">
        <v>2.3899019037225001E-2</v>
      </c>
      <c r="AG9250">
        <v>-0.20447899999999899</v>
      </c>
      <c r="AH9250">
        <v>0.55765956969117803</v>
      </c>
      <c r="AI9250">
        <v>110.119665078796</v>
      </c>
      <c r="AJ9250">
        <v>87.546037735335005</v>
      </c>
      <c r="AK9250">
        <v>0.59444681866428695</v>
      </c>
      <c r="AL9250">
        <v>81.405716161710799</v>
      </c>
      <c r="AM9250">
        <v>95.511050969119196</v>
      </c>
      <c r="AN9250">
        <v>1.00000000945965</v>
      </c>
    </row>
    <row r="9251" spans="1:40" x14ac:dyDescent="0.25">
      <c r="A9251" t="str">
        <f>"20190303162130160"</f>
        <v>20190303162130160</v>
      </c>
      <c r="B9251" t="str">
        <f>"1551601290152298"</f>
        <v>1551601290152298</v>
      </c>
      <c r="C9251" t="s">
        <v>40</v>
      </c>
      <c r="D9251">
        <v>4.6321209999999997</v>
      </c>
      <c r="E9251">
        <v>0.55049110000000001</v>
      </c>
      <c r="F9251" t="s">
        <v>42</v>
      </c>
      <c r="G9251">
        <v>-243.2022</v>
      </c>
      <c r="H9251">
        <v>0.89008529999999997</v>
      </c>
      <c r="I9251">
        <v>-62.56324</v>
      </c>
      <c r="J9251">
        <v>-243.92070000000001</v>
      </c>
      <c r="K9251">
        <v>1.1215759999999999</v>
      </c>
      <c r="L9251">
        <v>-62.530880000000003</v>
      </c>
      <c r="M9251">
        <v>0.99992729999999996</v>
      </c>
      <c r="N9251">
        <v>-1.154524E-2</v>
      </c>
      <c r="O9251">
        <v>-3.4993950000000002E-3</v>
      </c>
      <c r="P9251">
        <v>0.98614210000000002</v>
      </c>
      <c r="Q9251">
        <v>0.1386473</v>
      </c>
      <c r="R9251">
        <v>9.1108170000000002E-2</v>
      </c>
      <c r="S9251">
        <v>3.1742859999999999</v>
      </c>
      <c r="T9251">
        <v>-0.86428629999999995</v>
      </c>
      <c r="U9251">
        <v>-0.1213684</v>
      </c>
      <c r="V9251">
        <v>-9.4626299999999997E-2</v>
      </c>
      <c r="W9251">
        <v>0.1499769</v>
      </c>
      <c r="X9251">
        <v>0.98415079999999999</v>
      </c>
      <c r="Y9251">
        <v>3.3552899999999997E-2</v>
      </c>
      <c r="Z9251">
        <v>-3.7862769999999998E-3</v>
      </c>
      <c r="AA9251">
        <v>0.99942980000000003</v>
      </c>
      <c r="AB9251">
        <v>27</v>
      </c>
      <c r="AC9251">
        <v>0.71850000000000502</v>
      </c>
      <c r="AD9251">
        <v>-0.23149069999999999</v>
      </c>
      <c r="AE9251">
        <v>-3.2359999999997002E-2</v>
      </c>
      <c r="AF9251">
        <v>2.7043755430335398E-2</v>
      </c>
      <c r="AG9251">
        <v>-0.23149069999999999</v>
      </c>
      <c r="AH9251">
        <v>0.65115343069950005</v>
      </c>
      <c r="AI9251">
        <v>109.55516401500699</v>
      </c>
      <c r="AJ9251">
        <v>87.621753979330194</v>
      </c>
      <c r="AK9251">
        <v>0.69160689644189799</v>
      </c>
      <c r="AL9251">
        <v>81.374412136065601</v>
      </c>
      <c r="AM9251">
        <v>95.492117777928101</v>
      </c>
      <c r="AN9251">
        <v>1.00000000216297</v>
      </c>
    </row>
    <row r="9252" spans="1:40" x14ac:dyDescent="0.25">
      <c r="A9252" t="str">
        <f>"20190303162130171"</f>
        <v>20190303162130171</v>
      </c>
      <c r="B9252" t="str">
        <f>"1551601290162059"</f>
        <v>1551601290162059</v>
      </c>
      <c r="C9252" t="s">
        <v>40</v>
      </c>
      <c r="D9252">
        <v>4.6397180000000002</v>
      </c>
      <c r="E9252">
        <v>0.55053260000000004</v>
      </c>
      <c r="F9252" t="s">
        <v>42</v>
      </c>
      <c r="G9252">
        <v>-243.18799999999999</v>
      </c>
      <c r="H9252">
        <v>0.92183979999999999</v>
      </c>
      <c r="I9252">
        <v>-62.558979999999998</v>
      </c>
      <c r="J9252">
        <v>-243.77940000000001</v>
      </c>
      <c r="K9252">
        <v>1.1215520000000001</v>
      </c>
      <c r="L9252">
        <v>-62.531219999999998</v>
      </c>
      <c r="M9252">
        <v>0.99992760000000003</v>
      </c>
      <c r="N9252">
        <v>-1.154489E-2</v>
      </c>
      <c r="O9252">
        <v>-3.393975E-3</v>
      </c>
      <c r="P9252">
        <v>0.98608839999999998</v>
      </c>
      <c r="Q9252">
        <v>0.1388682</v>
      </c>
      <c r="R9252">
        <v>9.1354110000000002E-2</v>
      </c>
      <c r="S9252">
        <v>3.1750180000000001</v>
      </c>
      <c r="T9252">
        <v>-0.86553449999999998</v>
      </c>
      <c r="U9252">
        <v>-0.1209717</v>
      </c>
      <c r="V9252">
        <v>-9.4760049999999998E-2</v>
      </c>
      <c r="W9252">
        <v>0.15020229999999901</v>
      </c>
      <c r="X9252">
        <v>0.98410359999999997</v>
      </c>
      <c r="Y9252">
        <v>3.3519800000000002E-2</v>
      </c>
      <c r="Z9252">
        <v>-3.812831E-3</v>
      </c>
      <c r="AA9252">
        <v>0.99943079999999995</v>
      </c>
      <c r="AB9252">
        <v>27</v>
      </c>
      <c r="AC9252">
        <v>0.59140000000002102</v>
      </c>
      <c r="AD9252">
        <v>-0.19971220000000001</v>
      </c>
      <c r="AE9252">
        <v>-2.7760000000007699E-2</v>
      </c>
      <c r="AF9252">
        <v>2.3121585369559501E-2</v>
      </c>
      <c r="AG9252">
        <v>-0.19971220000000001</v>
      </c>
      <c r="AH9252">
        <v>0.53106301740422202</v>
      </c>
      <c r="AI9252">
        <v>110.59146488729201</v>
      </c>
      <c r="AJ9252">
        <v>87.507013115020797</v>
      </c>
      <c r="AK9252">
        <v>0.56784460813969095</v>
      </c>
      <c r="AL9252">
        <v>81.361350089575495</v>
      </c>
      <c r="AM9252">
        <v>95.500095241932001</v>
      </c>
      <c r="AN9252">
        <v>1.00000004676712</v>
      </c>
    </row>
    <row r="9253" spans="1:40" x14ac:dyDescent="0.25">
      <c r="A9253" t="str">
        <f>"20190303162130182"</f>
        <v>20190303162130182</v>
      </c>
      <c r="B9253" t="str">
        <f>"1551601290171819"</f>
        <v>1551601290171819</v>
      </c>
      <c r="C9253" t="s">
        <v>40</v>
      </c>
      <c r="D9253">
        <v>4.633121</v>
      </c>
      <c r="E9253">
        <v>0.55056450000000001</v>
      </c>
      <c r="F9253" t="s">
        <v>42</v>
      </c>
      <c r="G9253">
        <v>-242.9554</v>
      </c>
      <c r="H9253">
        <v>0.89650569999999896</v>
      </c>
      <c r="I9253">
        <v>-62.562530000000002</v>
      </c>
      <c r="J9253">
        <v>-243.6446</v>
      </c>
      <c r="K9253">
        <v>1.1215299999999999</v>
      </c>
      <c r="L9253">
        <v>-62.531590000000001</v>
      </c>
      <c r="M9253">
        <v>0.99992809999999999</v>
      </c>
      <c r="N9253">
        <v>-1.154463E-2</v>
      </c>
      <c r="O9253">
        <v>-3.3045079999999998E-3</v>
      </c>
      <c r="P9253">
        <v>0.98600220000000005</v>
      </c>
      <c r="Q9253">
        <v>0.139449499999999</v>
      </c>
      <c r="R9253">
        <v>9.139912E-2</v>
      </c>
      <c r="S9253">
        <v>3.1755680000000002</v>
      </c>
      <c r="T9253">
        <v>-0.86729400000000001</v>
      </c>
      <c r="U9253">
        <v>-0.1198425</v>
      </c>
      <c r="V9253">
        <v>-9.4708819999999999E-2</v>
      </c>
      <c r="W9253">
        <v>0.15078730000000001</v>
      </c>
      <c r="X9253">
        <v>0.98401899999999998</v>
      </c>
      <c r="Y9253">
        <v>3.3250889999999998E-2</v>
      </c>
      <c r="Z9253">
        <v>-3.8046170000000002E-3</v>
      </c>
      <c r="AA9253">
        <v>0.99943979999999999</v>
      </c>
      <c r="AB9253">
        <v>27</v>
      </c>
      <c r="AC9253">
        <v>0.68919999999999904</v>
      </c>
      <c r="AD9253">
        <v>-0.22502430000000001</v>
      </c>
      <c r="AE9253">
        <v>-3.0940000000001001E-2</v>
      </c>
      <c r="AF9253">
        <v>2.59061058772878E-2</v>
      </c>
      <c r="AG9253">
        <v>-0.22502430000000001</v>
      </c>
      <c r="AH9253">
        <v>0.62301677985144699</v>
      </c>
      <c r="AI9253">
        <v>109.843150974971</v>
      </c>
      <c r="AJ9253">
        <v>87.618914950868998</v>
      </c>
      <c r="AK9253">
        <v>0.662915507352695</v>
      </c>
      <c r="AL9253">
        <v>81.327445346954093</v>
      </c>
      <c r="AM9253">
        <v>95.497609667195505</v>
      </c>
      <c r="AN9253">
        <v>0.999999981394041</v>
      </c>
    </row>
    <row r="9254" spans="1:40" x14ac:dyDescent="0.25">
      <c r="A9254" t="str">
        <f>"20190303162130194"</f>
        <v>20190303162130194</v>
      </c>
      <c r="B9254" t="str">
        <f>"1551601290181578"</f>
        <v>1551601290181578</v>
      </c>
      <c r="C9254" t="s">
        <v>40</v>
      </c>
      <c r="D9254">
        <v>4.7473900000000002</v>
      </c>
      <c r="E9254">
        <v>0.55060089999999995</v>
      </c>
      <c r="F9254" t="s">
        <v>42</v>
      </c>
      <c r="G9254">
        <v>-242.9408</v>
      </c>
      <c r="H9254">
        <v>0.92925579999999997</v>
      </c>
      <c r="I9254">
        <v>-62.558169999999997</v>
      </c>
      <c r="J9254">
        <v>-243.5061</v>
      </c>
      <c r="K9254">
        <v>1.1215079999999999</v>
      </c>
      <c r="L9254">
        <v>-62.5319199999999</v>
      </c>
      <c r="M9254">
        <v>0.99992820000000004</v>
      </c>
      <c r="N9254">
        <v>-1.1544459999999999E-2</v>
      </c>
      <c r="O9254">
        <v>-3.234013E-3</v>
      </c>
      <c r="P9254">
        <v>0.98590149999999999</v>
      </c>
      <c r="Q9254">
        <v>0.14006170000000001</v>
      </c>
      <c r="R9254">
        <v>9.1548409999999997E-2</v>
      </c>
      <c r="S9254">
        <v>3.176361</v>
      </c>
      <c r="T9254">
        <v>-0.86776540000000002</v>
      </c>
      <c r="U9254">
        <v>-0.1190491</v>
      </c>
      <c r="V9254">
        <v>-9.4780009999999998E-2</v>
      </c>
      <c r="W9254">
        <v>0.15140339999999999</v>
      </c>
      <c r="X9254">
        <v>0.9839175</v>
      </c>
      <c r="Y9254">
        <v>3.3066640000000001E-2</v>
      </c>
      <c r="Z9254">
        <v>-3.7979580000000001E-3</v>
      </c>
      <c r="AA9254">
        <v>0.9994459</v>
      </c>
      <c r="AB9254">
        <v>27</v>
      </c>
      <c r="AC9254">
        <v>0.56530000000000702</v>
      </c>
      <c r="AD9254">
        <v>-0.19225219999999901</v>
      </c>
      <c r="AE9254">
        <v>-2.6250000000004499E-2</v>
      </c>
      <c r="AF9254">
        <v>2.1894657397462901E-2</v>
      </c>
      <c r="AG9254">
        <v>-0.19225219999999901</v>
      </c>
      <c r="AH9254">
        <v>0.50688192060958404</v>
      </c>
      <c r="AI9254">
        <v>110.75323408098301</v>
      </c>
      <c r="AJ9254">
        <v>87.526658397760997</v>
      </c>
      <c r="AK9254">
        <v>0.54255835250068096</v>
      </c>
      <c r="AL9254">
        <v>81.291735103172698</v>
      </c>
      <c r="AM9254">
        <v>95.502280791930204</v>
      </c>
      <c r="AN9254">
        <v>0.99999994331670305</v>
      </c>
    </row>
    <row r="9255" spans="1:40" x14ac:dyDescent="0.25">
      <c r="A9255" t="str">
        <f>"20190303162130204"</f>
        <v>20190303162130204</v>
      </c>
      <c r="B9255" t="str">
        <f>"1551601290202073"</f>
        <v>1551601290202073</v>
      </c>
      <c r="C9255" t="s">
        <v>40</v>
      </c>
      <c r="D9255">
        <v>3.8333200000000001</v>
      </c>
      <c r="E9255">
        <v>0.55060089999999995</v>
      </c>
      <c r="F9255" t="s">
        <v>42</v>
      </c>
      <c r="G9255">
        <v>-242.70830000000001</v>
      </c>
      <c r="H9255">
        <v>0.90361519999999995</v>
      </c>
      <c r="I9255">
        <v>-62.561860000000003</v>
      </c>
      <c r="J9255">
        <v>-243.3741</v>
      </c>
      <c r="K9255">
        <v>1.121483</v>
      </c>
      <c r="L9255">
        <v>-62.532260000000001</v>
      </c>
      <c r="M9255">
        <v>0.99992840000000005</v>
      </c>
      <c r="N9255">
        <v>-1.154433E-2</v>
      </c>
      <c r="O9255">
        <v>-3.172565E-3</v>
      </c>
      <c r="P9255">
        <v>0.98581739999999995</v>
      </c>
      <c r="Q9255">
        <v>0.14041389999999901</v>
      </c>
      <c r="R9255">
        <v>9.1914389999999999E-2</v>
      </c>
      <c r="S9255">
        <v>3.1771850000000001</v>
      </c>
      <c r="T9255">
        <v>-0.86769269999999998</v>
      </c>
      <c r="U9255">
        <v>-0.1186218</v>
      </c>
      <c r="V9255">
        <v>-9.5077380000000003E-2</v>
      </c>
      <c r="W9255">
        <v>0.1517597</v>
      </c>
      <c r="X9255">
        <v>0.98383399999999999</v>
      </c>
      <c r="Y9255">
        <v>3.298591E-2</v>
      </c>
      <c r="Z9255">
        <v>-3.8012620000000001E-3</v>
      </c>
      <c r="AA9255">
        <v>0.99944860000000002</v>
      </c>
      <c r="AB9255">
        <v>27</v>
      </c>
      <c r="AC9255">
        <v>0.66579999999998996</v>
      </c>
      <c r="AD9255">
        <v>-0.2178678</v>
      </c>
      <c r="AE9255">
        <v>-2.9599999999994901E-2</v>
      </c>
      <c r="AF9255">
        <v>2.4833546159703599E-2</v>
      </c>
      <c r="AG9255">
        <v>-0.2178678</v>
      </c>
      <c r="AH9255">
        <v>0.60159978884153698</v>
      </c>
      <c r="AI9255">
        <v>109.892112424491</v>
      </c>
      <c r="AJ9255">
        <v>87.636219181235006</v>
      </c>
      <c r="AK9255">
        <v>0.64031663200785904</v>
      </c>
      <c r="AL9255">
        <v>81.271082700975796</v>
      </c>
      <c r="AM9255">
        <v>95.519903180204295</v>
      </c>
      <c r="AN9255">
        <v>1.00000002714387</v>
      </c>
    </row>
    <row r="9256" spans="1:40" x14ac:dyDescent="0.25">
      <c r="A9256" t="str">
        <f>"20190303162130305"</f>
        <v>20190303162130305</v>
      </c>
      <c r="B9256" t="str">
        <f>"1551601290301626"</f>
        <v>1551601290301626</v>
      </c>
      <c r="C9256" t="s">
        <v>40</v>
      </c>
      <c r="D9256">
        <v>4.5706059999999997</v>
      </c>
      <c r="E9256">
        <v>0.55060089999999995</v>
      </c>
      <c r="F9256" t="s">
        <v>42</v>
      </c>
      <c r="G9256">
        <v>-241.4863</v>
      </c>
      <c r="H9256">
        <v>0.90496030000000005</v>
      </c>
      <c r="I9256">
        <v>-62.563589999999998</v>
      </c>
      <c r="J9256">
        <v>-242.14519999999999</v>
      </c>
      <c r="K9256">
        <v>1.1213089999999999</v>
      </c>
      <c r="L9256">
        <v>-62.53595</v>
      </c>
      <c r="M9256">
        <v>0.99992829999999999</v>
      </c>
      <c r="N9256">
        <v>-1.1545949999999999E-2</v>
      </c>
      <c r="O9256">
        <v>-3.1854980000000001E-3</v>
      </c>
      <c r="P9256">
        <v>0.98576889999999995</v>
      </c>
      <c r="Q9256">
        <v>0.13953090000000001</v>
      </c>
      <c r="R9256">
        <v>9.3758679999999997E-2</v>
      </c>
      <c r="S9256">
        <v>3.1773989999999999</v>
      </c>
      <c r="T9256">
        <v>-0.86778639999999996</v>
      </c>
      <c r="U9256">
        <v>-0.1118164</v>
      </c>
      <c r="V9256">
        <v>-9.6873039999999994E-2</v>
      </c>
      <c r="W9256">
        <v>0.15091599999999999</v>
      </c>
      <c r="X9256">
        <v>0.98378860000000001</v>
      </c>
      <c r="Y9256">
        <v>3.0911999999999999E-2</v>
      </c>
      <c r="Z9256">
        <v>-3.5080060000000001E-3</v>
      </c>
      <c r="AA9256">
        <v>0.99951599999999996</v>
      </c>
      <c r="AB9256">
        <v>27</v>
      </c>
      <c r="AC9256">
        <v>0.65889999999998805</v>
      </c>
      <c r="AD9256">
        <v>-0.2163487</v>
      </c>
      <c r="AE9256">
        <v>-2.7640000000005199E-2</v>
      </c>
      <c r="AF9256">
        <v>2.30591004500738E-2</v>
      </c>
      <c r="AG9256">
        <v>-0.2163487</v>
      </c>
      <c r="AH9256">
        <v>0.59495385548466295</v>
      </c>
      <c r="AI9256">
        <v>109.96945646157</v>
      </c>
      <c r="AJ9256">
        <v>87.780452769932396</v>
      </c>
      <c r="AK9256">
        <v>0.63348920453416002</v>
      </c>
      <c r="AL9256">
        <v>81.319986331807598</v>
      </c>
      <c r="AM9256">
        <v>95.6237494966132</v>
      </c>
      <c r="AN9256">
        <v>1.0000000172123999</v>
      </c>
    </row>
    <row r="9257" spans="1:40" x14ac:dyDescent="0.25">
      <c r="A9257" t="str">
        <f>"20190303162130316"</f>
        <v>20190303162130316</v>
      </c>
      <c r="B9257" t="str">
        <f>"1551601290311386"</f>
        <v>1551601290311386</v>
      </c>
      <c r="C9257" t="s">
        <v>40</v>
      </c>
      <c r="D9257">
        <v>4.8203420000000001</v>
      </c>
      <c r="E9257">
        <v>0.45121600000000001</v>
      </c>
      <c r="F9257" t="s">
        <v>42</v>
      </c>
      <c r="G9257">
        <v>-241.25389999999999</v>
      </c>
      <c r="H9257">
        <v>0.87752090000000005</v>
      </c>
      <c r="I9257">
        <v>-62.567720000000001</v>
      </c>
      <c r="J9257">
        <v>-242.01179999999999</v>
      </c>
      <c r="K9257">
        <v>1.121292</v>
      </c>
      <c r="L9257">
        <v>-62.536439999999999</v>
      </c>
      <c r="M9257">
        <v>0.99992820000000004</v>
      </c>
      <c r="N9257">
        <v>-1.154636E-2</v>
      </c>
      <c r="O9257">
        <v>-3.2478339999999998E-3</v>
      </c>
      <c r="P9257">
        <v>0.98579570000000005</v>
      </c>
      <c r="Q9257">
        <v>0.13956459999999901</v>
      </c>
      <c r="R9257">
        <v>9.3426659999999995E-2</v>
      </c>
      <c r="S9257">
        <v>3.1770320000000001</v>
      </c>
      <c r="T9257">
        <v>-0.86894139999999997</v>
      </c>
      <c r="U9257">
        <v>-0.112854</v>
      </c>
      <c r="V9257">
        <v>-9.6597100000000005E-2</v>
      </c>
      <c r="W9257">
        <v>0.15095410000000001</v>
      </c>
      <c r="X9257">
        <v>0.98380990000000001</v>
      </c>
      <c r="Y9257">
        <v>3.1169059999999998E-2</v>
      </c>
      <c r="Z9257">
        <v>-3.5325869999999998E-3</v>
      </c>
      <c r="AA9257">
        <v>0.9995079</v>
      </c>
      <c r="AB9257">
        <v>27</v>
      </c>
      <c r="AC9257">
        <v>0.75790000000000601</v>
      </c>
      <c r="AD9257">
        <v>-0.24377109999999899</v>
      </c>
      <c r="AE9257">
        <v>-3.1279999999995298E-2</v>
      </c>
      <c r="AF9257">
        <v>2.6120503805579801E-2</v>
      </c>
      <c r="AG9257">
        <v>-0.24377109999999899</v>
      </c>
      <c r="AH9257">
        <v>0.687042283260071</v>
      </c>
      <c r="AI9257">
        <v>109.522278149708</v>
      </c>
      <c r="AJ9257">
        <v>87.822733454394196</v>
      </c>
      <c r="AK9257">
        <v>0.72947496797455602</v>
      </c>
      <c r="AL9257">
        <v>81.317778173168506</v>
      </c>
      <c r="AM9257">
        <v>95.607712025447498</v>
      </c>
      <c r="AN9257">
        <v>1.0000000296866101</v>
      </c>
    </row>
    <row r="9258" spans="1:40" x14ac:dyDescent="0.25">
      <c r="A9258" t="str">
        <f>"20190303162130327"</f>
        <v>20190303162130327</v>
      </c>
      <c r="B9258" t="str">
        <f>"1551601290322122"</f>
        <v>1551601290322122</v>
      </c>
      <c r="C9258" t="s">
        <v>40</v>
      </c>
      <c r="D9258">
        <v>4.9548649999999999</v>
      </c>
      <c r="E9258">
        <v>0.45039960000000001</v>
      </c>
      <c r="F9258" t="s">
        <v>65</v>
      </c>
      <c r="G9258">
        <v>-157.3501</v>
      </c>
      <c r="H9258">
        <v>3.0646819999999999</v>
      </c>
      <c r="I9258">
        <v>-43.451979999999999</v>
      </c>
      <c r="J9258">
        <v>-241.86699999999999</v>
      </c>
      <c r="K9258">
        <v>1.121278</v>
      </c>
      <c r="L9258">
        <v>-62.536990000000003</v>
      </c>
      <c r="M9258">
        <v>0.99992789999999998</v>
      </c>
      <c r="N9258">
        <v>-1.1546809999999999E-2</v>
      </c>
      <c r="O9258">
        <v>-3.319724E-3</v>
      </c>
      <c r="P9258">
        <v>0.98580990000000002</v>
      </c>
      <c r="Q9258">
        <v>0.1398045</v>
      </c>
      <c r="R9258">
        <v>9.2918520000000004E-2</v>
      </c>
      <c r="S9258">
        <v>2.9701230000000001</v>
      </c>
      <c r="T9258">
        <v>6.8177699999999994E-2</v>
      </c>
      <c r="U9258">
        <v>0.66952509999999998</v>
      </c>
      <c r="V9258">
        <v>-9.6153420000000003E-2</v>
      </c>
      <c r="W9258">
        <v>0.15119830000000001</v>
      </c>
      <c r="X9258">
        <v>0.98381580000000002</v>
      </c>
      <c r="Y9258">
        <v>-0.2231108</v>
      </c>
      <c r="Z9258">
        <v>-1.3375629999999999E-3</v>
      </c>
      <c r="AA9258">
        <v>0.9747922</v>
      </c>
      <c r="AB9258">
        <v>27</v>
      </c>
      <c r="AC9258">
        <v>84.516900000000007</v>
      </c>
      <c r="AD9258">
        <v>1.9434039999999999</v>
      </c>
      <c r="AE9258">
        <v>19.08501</v>
      </c>
      <c r="AF9258">
        <v>-19.355758729371001</v>
      </c>
      <c r="AG9258">
        <v>1.9434039999999999</v>
      </c>
      <c r="AH9258">
        <v>84.410607475887403</v>
      </c>
      <c r="AI9258">
        <v>88.714452548137402</v>
      </c>
      <c r="AJ9258">
        <v>102.914928810417</v>
      </c>
      <c r="AK9258">
        <v>86.623165894263906</v>
      </c>
      <c r="AL9258">
        <v>81.303623537790202</v>
      </c>
      <c r="AM9258">
        <v>95.582085036023102</v>
      </c>
      <c r="AN9258">
        <v>0.99999996721511197</v>
      </c>
    </row>
    <row r="9259" spans="1:40" x14ac:dyDescent="0.25">
      <c r="A9259" t="str">
        <f>"20190303162130337"</f>
        <v>20190303162130337</v>
      </c>
      <c r="B9259" t="str">
        <f>"1551601290331882"</f>
        <v>1551601290331882</v>
      </c>
      <c r="C9259" t="s">
        <v>40</v>
      </c>
      <c r="D9259">
        <v>4.6516489999999999</v>
      </c>
      <c r="E9259">
        <v>0.44972990000000002</v>
      </c>
      <c r="F9259" t="s">
        <v>65</v>
      </c>
      <c r="G9259">
        <v>-157.3501</v>
      </c>
      <c r="H9259">
        <v>3.8950209999999998</v>
      </c>
      <c r="I9259">
        <v>-43.320219999999999</v>
      </c>
      <c r="J9259">
        <v>-241.73859999999999</v>
      </c>
      <c r="K9259">
        <v>1.121264</v>
      </c>
      <c r="L9259">
        <v>-62.537480000000002</v>
      </c>
      <c r="M9259">
        <v>0.99992769999999997</v>
      </c>
      <c r="N9259">
        <v>-1.154726E-2</v>
      </c>
      <c r="O9259">
        <v>-3.3944370000000001E-3</v>
      </c>
      <c r="P9259">
        <v>0.98574269999999997</v>
      </c>
      <c r="Q9259">
        <v>0.1404618</v>
      </c>
      <c r="R9259">
        <v>9.2640059999999996E-2</v>
      </c>
      <c r="S9259">
        <v>2.9658359999999999</v>
      </c>
      <c r="T9259">
        <v>9.7334379999999998E-2</v>
      </c>
      <c r="U9259">
        <v>0.67434689999999997</v>
      </c>
      <c r="V9259">
        <v>-9.5942349999999996E-2</v>
      </c>
      <c r="W9259">
        <v>0.15185870000000001</v>
      </c>
      <c r="X9259">
        <v>0.98373469999999996</v>
      </c>
      <c r="Y9259">
        <v>-0.22494529999999999</v>
      </c>
      <c r="Z9259">
        <v>-2.4770270000000001E-3</v>
      </c>
      <c r="AA9259">
        <v>0.97436820000000002</v>
      </c>
      <c r="AB9259">
        <v>27</v>
      </c>
      <c r="AC9259">
        <v>84.388499999999993</v>
      </c>
      <c r="AD9259">
        <v>2.7737569999999998</v>
      </c>
      <c r="AE9259">
        <v>19.21726</v>
      </c>
      <c r="AF9259">
        <v>-19.4836081475041</v>
      </c>
      <c r="AG9259">
        <v>2.7737569999999998</v>
      </c>
      <c r="AH9259">
        <v>84.236258500745194</v>
      </c>
      <c r="AI9259">
        <v>88.162505230404506</v>
      </c>
      <c r="AJ9259">
        <v>103.02333269392901</v>
      </c>
      <c r="AK9259">
        <v>86.504635485879604</v>
      </c>
      <c r="AL9259">
        <v>81.265343487063902</v>
      </c>
      <c r="AM9259">
        <v>95.570365029305606</v>
      </c>
      <c r="AN9259">
        <v>0.99999997963665099</v>
      </c>
    </row>
    <row r="9260" spans="1:40" x14ac:dyDescent="0.25">
      <c r="A9260" t="str">
        <f>"20190303162130349"</f>
        <v>20190303162130349</v>
      </c>
      <c r="B9260" t="str">
        <f>"1551601290341642"</f>
        <v>1551601290341642</v>
      </c>
      <c r="C9260" t="s">
        <v>40</v>
      </c>
      <c r="D9260">
        <v>4.6125020000000001</v>
      </c>
      <c r="E9260">
        <v>0.45075979999999999</v>
      </c>
      <c r="F9260" t="s">
        <v>65</v>
      </c>
      <c r="G9260">
        <v>-157.3501</v>
      </c>
      <c r="H9260">
        <v>3.694299</v>
      </c>
      <c r="I9260">
        <v>-43.220880000000001</v>
      </c>
      <c r="J9260">
        <v>-241.6028</v>
      </c>
      <c r="K9260">
        <v>1.121251</v>
      </c>
      <c r="L9260">
        <v>-62.538020000000003</v>
      </c>
      <c r="M9260">
        <v>0.99992740000000002</v>
      </c>
      <c r="N9260">
        <v>-1.1547750000000001E-2</v>
      </c>
      <c r="O9260">
        <v>-3.4783280000000001E-3</v>
      </c>
      <c r="P9260">
        <v>0.98565970000000003</v>
      </c>
      <c r="Q9260">
        <v>0.14132059999999999</v>
      </c>
      <c r="R9260">
        <v>9.2217069999999998E-2</v>
      </c>
      <c r="S9260">
        <v>2.9666899999999998</v>
      </c>
      <c r="T9260">
        <v>9.0454699999999999E-2</v>
      </c>
      <c r="U9260">
        <v>0.67907709999999999</v>
      </c>
      <c r="V9260">
        <v>-9.5596929999999997E-2</v>
      </c>
      <c r="W9260">
        <v>0.15271970000000001</v>
      </c>
      <c r="X9260">
        <v>0.98363509999999998</v>
      </c>
      <c r="Y9260">
        <v>-0.2264555</v>
      </c>
      <c r="Z9260">
        <v>-2.2273810000000001E-3</v>
      </c>
      <c r="AA9260">
        <v>0.97401899999999997</v>
      </c>
      <c r="AB9260">
        <v>27</v>
      </c>
      <c r="AC9260">
        <v>84.252700000000004</v>
      </c>
      <c r="AD9260">
        <v>2.573048</v>
      </c>
      <c r="AE9260">
        <v>19.317139999999899</v>
      </c>
      <c r="AF9260">
        <v>-19.592740214195299</v>
      </c>
      <c r="AG9260">
        <v>2.573048</v>
      </c>
      <c r="AH9260">
        <v>84.110464940272905</v>
      </c>
      <c r="AI9260">
        <v>88.293454393167806</v>
      </c>
      <c r="AJ9260">
        <v>103.11267907732601</v>
      </c>
      <c r="AK9260">
        <v>86.400615493063</v>
      </c>
      <c r="AL9260">
        <v>81.215430199235698</v>
      </c>
      <c r="AM9260">
        <v>95.550994085204096</v>
      </c>
      <c r="AN9260">
        <v>1.00000004487276</v>
      </c>
    </row>
    <row r="9261" spans="1:40" x14ac:dyDescent="0.25">
      <c r="A9261" t="str">
        <f>"20190303162130360"</f>
        <v>20190303162130360</v>
      </c>
      <c r="B9261" t="str">
        <f>"1551601290351403"</f>
        <v>1551601290351403</v>
      </c>
      <c r="C9261" t="s">
        <v>40</v>
      </c>
      <c r="D9261">
        <v>4.6953889999999996</v>
      </c>
      <c r="E9261">
        <v>0.45077250000000002</v>
      </c>
      <c r="F9261" t="s">
        <v>65</v>
      </c>
      <c r="G9261">
        <v>-157.3501</v>
      </c>
      <c r="H9261">
        <v>2.5207519999999999</v>
      </c>
      <c r="I9261">
        <v>-43.551479999999998</v>
      </c>
      <c r="J9261">
        <v>-241.46870000000001</v>
      </c>
      <c r="K9261">
        <v>1.12124</v>
      </c>
      <c r="L9261">
        <v>-62.538569999999901</v>
      </c>
      <c r="M9261">
        <v>0.99992700000000001</v>
      </c>
      <c r="N9261">
        <v>-1.1548249999999999E-2</v>
      </c>
      <c r="O9261">
        <v>-3.5682750000000001E-3</v>
      </c>
      <c r="P9261">
        <v>0.98561319999999997</v>
      </c>
      <c r="Q9261">
        <v>0.14195260000000001</v>
      </c>
      <c r="R9261">
        <v>9.1740390000000005E-2</v>
      </c>
      <c r="S9261">
        <v>2.973862</v>
      </c>
      <c r="T9261">
        <v>4.939735E-2</v>
      </c>
      <c r="U9261">
        <v>0.67016600000000004</v>
      </c>
      <c r="V9261">
        <v>-9.5203319999999994E-2</v>
      </c>
      <c r="W9261">
        <v>0.153354399999999</v>
      </c>
      <c r="X9261">
        <v>0.98357450000000002</v>
      </c>
      <c r="Y9261">
        <v>-0.22330929999999999</v>
      </c>
      <c r="Z9261">
        <v>-6.253303E-4</v>
      </c>
      <c r="AA9261">
        <v>0.97474740000000004</v>
      </c>
      <c r="AB9261">
        <v>27</v>
      </c>
      <c r="AC9261">
        <v>84.118600000000001</v>
      </c>
      <c r="AD9261">
        <v>1.3995120000000001</v>
      </c>
      <c r="AE9261">
        <v>18.987089999999899</v>
      </c>
      <c r="AF9261">
        <v>-19.282068836945999</v>
      </c>
      <c r="AG9261">
        <v>1.3995120000000001</v>
      </c>
      <c r="AH9261">
        <v>84.028177139505601</v>
      </c>
      <c r="AI9261">
        <v>89.069979119057606</v>
      </c>
      <c r="AJ9261">
        <v>102.923999798328</v>
      </c>
      <c r="AK9261">
        <v>86.223496599587094</v>
      </c>
      <c r="AL9261">
        <v>81.178630876245606</v>
      </c>
      <c r="AM9261">
        <v>95.528618845056599</v>
      </c>
      <c r="AN9261">
        <v>1.00000002059431</v>
      </c>
    </row>
    <row r="9262" spans="1:40" x14ac:dyDescent="0.25">
      <c r="A9262" t="str">
        <f>"20190303162130371"</f>
        <v>20190303162130371</v>
      </c>
      <c r="B9262" t="str">
        <f>"1551601290362138"</f>
        <v>1551601290362138</v>
      </c>
      <c r="C9262" t="s">
        <v>40</v>
      </c>
      <c r="D9262">
        <v>4.6881979999999999</v>
      </c>
      <c r="E9262">
        <v>0.45140089999999999</v>
      </c>
      <c r="F9262" t="s">
        <v>65</v>
      </c>
      <c r="G9262">
        <v>-157.3501</v>
      </c>
      <c r="H9262">
        <v>1.56111</v>
      </c>
      <c r="I9262">
        <v>-43.647440000000003</v>
      </c>
      <c r="J9262">
        <v>-241.33160000000001</v>
      </c>
      <c r="K9262">
        <v>1.1212340000000001</v>
      </c>
      <c r="L9262">
        <v>-62.539180000000002</v>
      </c>
      <c r="M9262">
        <v>0.99992669999999995</v>
      </c>
      <c r="N9262">
        <v>-1.154879E-2</v>
      </c>
      <c r="O9262">
        <v>-3.6663049999999999E-3</v>
      </c>
      <c r="P9262">
        <v>0.98559790000000003</v>
      </c>
      <c r="Q9262">
        <v>0.14241039999999999</v>
      </c>
      <c r="R9262">
        <v>9.1193650000000001E-2</v>
      </c>
      <c r="S9262">
        <v>2.9792329999999998</v>
      </c>
      <c r="T9262">
        <v>1.5578150000000001E-2</v>
      </c>
      <c r="U9262">
        <v>0.66906739999999998</v>
      </c>
      <c r="V9262">
        <v>-9.4749009999999995E-2</v>
      </c>
      <c r="W9262">
        <v>0.15381529999999999</v>
      </c>
      <c r="X9262">
        <v>0.98354640000000004</v>
      </c>
      <c r="Y9262">
        <v>-0.22269839999999999</v>
      </c>
      <c r="Z9262">
        <v>6.6597569999999999E-4</v>
      </c>
      <c r="AA9262">
        <v>0.97488710000000001</v>
      </c>
      <c r="AB9262">
        <v>27</v>
      </c>
      <c r="AC9262">
        <v>83.981499999999997</v>
      </c>
      <c r="AD9262">
        <v>0.43987599999999899</v>
      </c>
      <c r="AE9262">
        <v>18.891739999999999</v>
      </c>
      <c r="AF9262">
        <v>-19.1990339657468</v>
      </c>
      <c r="AG9262">
        <v>0.43987599999999899</v>
      </c>
      <c r="AH9262">
        <v>83.909476882091397</v>
      </c>
      <c r="AI9262">
        <v>89.707209147329493</v>
      </c>
      <c r="AJ9262">
        <v>102.887800936546</v>
      </c>
      <c r="AK9262">
        <v>86.079014322536807</v>
      </c>
      <c r="AL9262">
        <v>81.151906180813995</v>
      </c>
      <c r="AM9262">
        <v>95.502554827136706</v>
      </c>
      <c r="AN9262">
        <v>1.0000000211815101</v>
      </c>
    </row>
    <row r="9263" spans="1:40" x14ac:dyDescent="0.25">
      <c r="A9263" t="str">
        <f>"20190303162130382"</f>
        <v>20190303162130382</v>
      </c>
      <c r="B9263" t="str">
        <f>"1551601290371898"</f>
        <v>1551601290371898</v>
      </c>
      <c r="C9263" t="s">
        <v>40</v>
      </c>
      <c r="D9263">
        <v>4.6351709999999997</v>
      </c>
      <c r="E9263">
        <v>0.45115889999999997</v>
      </c>
      <c r="F9263" t="s">
        <v>65</v>
      </c>
      <c r="G9263">
        <v>-157.3501</v>
      </c>
      <c r="H9263">
        <v>1.4046430000000001</v>
      </c>
      <c r="I9263">
        <v>-43.870959999999997</v>
      </c>
      <c r="J9263">
        <v>-241.19409999999999</v>
      </c>
      <c r="K9263">
        <v>1.1212249999999999</v>
      </c>
      <c r="L9263">
        <v>-62.539760000000001</v>
      </c>
      <c r="M9263">
        <v>0.99992619999999999</v>
      </c>
      <c r="N9263">
        <v>-1.154934E-2</v>
      </c>
      <c r="O9263">
        <v>-3.768488E-3</v>
      </c>
      <c r="P9263">
        <v>0.98559169999999996</v>
      </c>
      <c r="Q9263">
        <v>0.14269670000000001</v>
      </c>
      <c r="R9263">
        <v>9.0812119999999996E-2</v>
      </c>
      <c r="S9263">
        <v>2.9810639999999999</v>
      </c>
      <c r="T9263">
        <v>1.005936E-2</v>
      </c>
      <c r="U9263">
        <v>0.66265869999999905</v>
      </c>
      <c r="V9263">
        <v>-9.4464709999999993E-2</v>
      </c>
      <c r="W9263">
        <v>0.15410409999999999</v>
      </c>
      <c r="X9263">
        <v>0.98352850000000003</v>
      </c>
      <c r="Y9263">
        <v>-0.2206728</v>
      </c>
      <c r="Z9263">
        <v>8.6632069999999998E-4</v>
      </c>
      <c r="AA9263">
        <v>0.97534750000000003</v>
      </c>
      <c r="AB9263">
        <v>27</v>
      </c>
      <c r="AC9263">
        <v>83.843999999999994</v>
      </c>
      <c r="AD9263">
        <v>0.283418</v>
      </c>
      <c r="AE9263">
        <v>18.668800000000001</v>
      </c>
      <c r="AF9263">
        <v>-18.984446925163901</v>
      </c>
      <c r="AG9263">
        <v>0.283418</v>
      </c>
      <c r="AH9263">
        <v>83.772134719628497</v>
      </c>
      <c r="AI9263">
        <v>89.810951224479496</v>
      </c>
      <c r="AJ9263">
        <v>102.76870314111</v>
      </c>
      <c r="AK9263">
        <v>85.896799162137995</v>
      </c>
      <c r="AL9263">
        <v>81.135159147400302</v>
      </c>
      <c r="AM9263">
        <v>95.486244206129797</v>
      </c>
      <c r="AN9263">
        <v>0.99999998269222201</v>
      </c>
    </row>
    <row r="9264" spans="1:40" x14ac:dyDescent="0.25">
      <c r="A9264" t="str">
        <f>"20190303162130394"</f>
        <v>20190303162130394</v>
      </c>
      <c r="B9264" t="str">
        <f>"1551601290381658"</f>
        <v>1551601290381658</v>
      </c>
      <c r="C9264" t="s">
        <v>40</v>
      </c>
      <c r="D9264">
        <v>4.6535929999999999</v>
      </c>
      <c r="E9264">
        <v>0.45144849999999997</v>
      </c>
      <c r="F9264" t="s">
        <v>65</v>
      </c>
      <c r="G9264">
        <v>-157.3501</v>
      </c>
      <c r="H9264">
        <v>1.159718</v>
      </c>
      <c r="I9264">
        <v>-43.883710000000001</v>
      </c>
      <c r="J9264">
        <v>-241.05269999999999</v>
      </c>
      <c r="K9264">
        <v>1.121219</v>
      </c>
      <c r="L9264">
        <v>-62.540439999999997</v>
      </c>
      <c r="M9264">
        <v>0.99992590000000003</v>
      </c>
      <c r="N9264">
        <v>-1.1549820000000001E-2</v>
      </c>
      <c r="O9264">
        <v>-3.880409E-3</v>
      </c>
      <c r="P9264">
        <v>0.98558559999999995</v>
      </c>
      <c r="Q9264">
        <v>0.14282929999999999</v>
      </c>
      <c r="R9264">
        <v>9.0671580000000002E-2</v>
      </c>
      <c r="S9264">
        <v>2.982513</v>
      </c>
      <c r="T9264">
        <v>1.368523E-3</v>
      </c>
      <c r="U9264">
        <v>0.66363530000000004</v>
      </c>
      <c r="V9264">
        <v>-9.4431749999999995E-2</v>
      </c>
      <c r="W9264">
        <v>0.15423829999999999</v>
      </c>
      <c r="X9264">
        <v>0.98351060000000001</v>
      </c>
      <c r="Y9264">
        <v>-0.2209834</v>
      </c>
      <c r="Z9264">
        <v>1.195499E-3</v>
      </c>
      <c r="AA9264">
        <v>0.97527680000000005</v>
      </c>
      <c r="AB9264">
        <v>27</v>
      </c>
      <c r="AC9264">
        <v>83.702599999999904</v>
      </c>
      <c r="AD9264">
        <v>3.8498999999999999E-2</v>
      </c>
      <c r="AE9264">
        <v>18.65673</v>
      </c>
      <c r="AF9264">
        <v>-18.981407638670799</v>
      </c>
      <c r="AG9264">
        <v>3.8498999999999999E-2</v>
      </c>
      <c r="AH9264">
        <v>83.629552317122901</v>
      </c>
      <c r="AI9264">
        <v>89.974278016439996</v>
      </c>
      <c r="AJ9264">
        <v>102.78777721650199</v>
      </c>
      <c r="AK9264">
        <v>85.756616881035995</v>
      </c>
      <c r="AL9264">
        <v>81.127376759021303</v>
      </c>
      <c r="AM9264">
        <v>95.484440862267405</v>
      </c>
      <c r="AN9264">
        <v>0.99999995445365497</v>
      </c>
    </row>
    <row r="9265" spans="1:40" x14ac:dyDescent="0.25">
      <c r="A9265" t="str">
        <f>"20190303162130406"</f>
        <v>20190303162130406</v>
      </c>
      <c r="B9265" t="str">
        <f>"1551601290391418"</f>
        <v>1551601290391418</v>
      </c>
      <c r="C9265" t="s">
        <v>40</v>
      </c>
      <c r="D9265">
        <v>4.68499</v>
      </c>
      <c r="E9265">
        <v>0.45129340000000001</v>
      </c>
      <c r="F9265" t="s">
        <v>65</v>
      </c>
      <c r="G9265">
        <v>-157.3501</v>
      </c>
      <c r="H9265">
        <v>0.98861690000000002</v>
      </c>
      <c r="I9265">
        <v>-43.995469999999997</v>
      </c>
      <c r="J9265">
        <v>-240.9195</v>
      </c>
      <c r="K9265">
        <v>1.121211</v>
      </c>
      <c r="L9265">
        <v>-62.541049999999998</v>
      </c>
      <c r="M9265">
        <v>0.99992550000000002</v>
      </c>
      <c r="N9265">
        <v>-1.155027E-2</v>
      </c>
      <c r="O9265">
        <v>-3.9874259999999996E-3</v>
      </c>
      <c r="P9265">
        <v>0.98557729999999999</v>
      </c>
      <c r="Q9265">
        <v>0.1428402</v>
      </c>
      <c r="R9265">
        <v>9.074451E-2</v>
      </c>
      <c r="S9265">
        <v>2.983749</v>
      </c>
      <c r="T9265">
        <v>-4.727602E-3</v>
      </c>
      <c r="U9265">
        <v>0.66107179999999999</v>
      </c>
      <c r="V9265">
        <v>-9.4607430000000006E-2</v>
      </c>
      <c r="W9265">
        <v>0.1542511</v>
      </c>
      <c r="X9265">
        <v>0.98349180000000003</v>
      </c>
      <c r="Y9265">
        <v>-0.2202009</v>
      </c>
      <c r="Z9265">
        <v>1.420075E-3</v>
      </c>
      <c r="AA9265">
        <v>0.97545349999999997</v>
      </c>
      <c r="AB9265">
        <v>27</v>
      </c>
      <c r="AC9265">
        <v>83.569400000000002</v>
      </c>
      <c r="AD9265">
        <v>-0.13259409999999899</v>
      </c>
      <c r="AE9265">
        <v>18.545579999999902</v>
      </c>
      <c r="AF9265">
        <v>-18.878636227822199</v>
      </c>
      <c r="AG9265">
        <v>-0.13259409999999899</v>
      </c>
      <c r="AH9265">
        <v>83.494581176324203</v>
      </c>
      <c r="AI9265">
        <v>90.088748541049398</v>
      </c>
      <c r="AJ9265">
        <v>102.740691665271</v>
      </c>
      <c r="AK9265">
        <v>85.602368967380698</v>
      </c>
      <c r="AL9265">
        <v>81.126635292503096</v>
      </c>
      <c r="AM9265">
        <v>95.494686073520995</v>
      </c>
      <c r="AN9265">
        <v>1.00000004416482</v>
      </c>
    </row>
    <row r="9266" spans="1:40" x14ac:dyDescent="0.25">
      <c r="A9266" t="str">
        <f>"20190303162130416"</f>
        <v>20190303162130416</v>
      </c>
      <c r="B9266" t="str">
        <f>"1551601290411915"</f>
        <v>1551601290411915</v>
      </c>
      <c r="C9266" t="s">
        <v>40</v>
      </c>
      <c r="D9266">
        <v>4.6373470000000001</v>
      </c>
      <c r="E9266">
        <v>0.45106610000000003</v>
      </c>
      <c r="F9266" t="s">
        <v>65</v>
      </c>
      <c r="G9266">
        <v>-157.3501</v>
      </c>
      <c r="H9266">
        <v>0.88171200000000005</v>
      </c>
      <c r="I9266">
        <v>-43.98086</v>
      </c>
      <c r="J9266">
        <v>-240.7765</v>
      </c>
      <c r="K9266">
        <v>1.1212089999999999</v>
      </c>
      <c r="L9266">
        <v>-62.54175</v>
      </c>
      <c r="M9266">
        <v>0.99992499999999995</v>
      </c>
      <c r="N9266">
        <v>-1.155083E-2</v>
      </c>
      <c r="O9266">
        <v>-4.1074049999999997E-3</v>
      </c>
      <c r="P9266">
        <v>0.98559540000000001</v>
      </c>
      <c r="Q9266">
        <v>0.142654799999999</v>
      </c>
      <c r="R9266">
        <v>9.0837310000000004E-2</v>
      </c>
      <c r="S9266">
        <v>2.9841160000000002</v>
      </c>
      <c r="T9266">
        <v>-8.5527899999999994E-3</v>
      </c>
      <c r="U9266">
        <v>0.66275019999999996</v>
      </c>
      <c r="V9266">
        <v>-9.4816990000000004E-2</v>
      </c>
      <c r="W9266">
        <v>0.15406729999999999</v>
      </c>
      <c r="X9266">
        <v>0.98350040000000005</v>
      </c>
      <c r="Y9266">
        <v>-0.22081329999999999</v>
      </c>
      <c r="Z9266">
        <v>1.568084E-3</v>
      </c>
      <c r="AA9266">
        <v>0.97531489999999998</v>
      </c>
      <c r="AB9266">
        <v>27</v>
      </c>
      <c r="AC9266">
        <v>83.426400000000001</v>
      </c>
      <c r="AD9266">
        <v>-0.23949699999999999</v>
      </c>
      <c r="AE9266">
        <v>18.560890000000001</v>
      </c>
      <c r="AF9266">
        <v>-18.903273794285798</v>
      </c>
      <c r="AG9266">
        <v>-0.23949699999999999</v>
      </c>
      <c r="AH9266">
        <v>83.348799500266196</v>
      </c>
      <c r="AI9266">
        <v>90.160557502261199</v>
      </c>
      <c r="AJ9266">
        <v>102.778355532985</v>
      </c>
      <c r="AK9266">
        <v>85.465861588650199</v>
      </c>
      <c r="AL9266">
        <v>81.137293411631205</v>
      </c>
      <c r="AM9266">
        <v>95.5067344780105</v>
      </c>
      <c r="AN9266">
        <v>1.00000001566105</v>
      </c>
    </row>
    <row r="9267" spans="1:40" x14ac:dyDescent="0.25">
      <c r="A9267" t="str">
        <f>"20190303162130428"</f>
        <v>20190303162130428</v>
      </c>
      <c r="B9267" t="str">
        <f>"1551601290421674"</f>
        <v>1551601290421674</v>
      </c>
      <c r="C9267" t="s">
        <v>40</v>
      </c>
      <c r="D9267">
        <v>4.6793250000000004</v>
      </c>
      <c r="E9267">
        <v>0.45104349999999999</v>
      </c>
      <c r="F9267" t="s">
        <v>65</v>
      </c>
      <c r="G9267">
        <v>-157.3501</v>
      </c>
      <c r="H9267">
        <v>0.56902219999999903</v>
      </c>
      <c r="I9267">
        <v>-43.954680000000003</v>
      </c>
      <c r="J9267">
        <v>-240.64279999999999</v>
      </c>
      <c r="K9267">
        <v>1.121205</v>
      </c>
      <c r="L9267">
        <v>-62.5424199999999</v>
      </c>
      <c r="M9267">
        <v>0.99992440000000005</v>
      </c>
      <c r="N9267">
        <v>-1.155136E-2</v>
      </c>
      <c r="O9267">
        <v>-4.2203400000000004E-3</v>
      </c>
      <c r="P9267">
        <v>0.98554540000000002</v>
      </c>
      <c r="Q9267">
        <v>0.14271789999999901</v>
      </c>
      <c r="R9267">
        <v>9.127921E-2</v>
      </c>
      <c r="S9267">
        <v>2.985382</v>
      </c>
      <c r="T9267">
        <v>-1.9760489999999999E-2</v>
      </c>
      <c r="U9267">
        <v>0.66513059999999902</v>
      </c>
      <c r="V9267">
        <v>-9.5368939999999999E-2</v>
      </c>
      <c r="W9267">
        <v>0.15413089999999999</v>
      </c>
      <c r="X9267">
        <v>0.98343709999999995</v>
      </c>
      <c r="Y9267">
        <v>-0.2215684</v>
      </c>
      <c r="Z9267">
        <v>1.9991319999999998E-3</v>
      </c>
      <c r="AA9267">
        <v>0.97514279999999998</v>
      </c>
      <c r="AB9267">
        <v>27</v>
      </c>
      <c r="AC9267">
        <v>83.292699999999996</v>
      </c>
      <c r="AD9267">
        <v>-0.55218279999999997</v>
      </c>
      <c r="AE9267">
        <v>18.58774</v>
      </c>
      <c r="AF9267">
        <v>-18.938328559368301</v>
      </c>
      <c r="AG9267">
        <v>-0.55218279999999997</v>
      </c>
      <c r="AH9267">
        <v>83.210022771164603</v>
      </c>
      <c r="AI9267">
        <v>90.370729518047895</v>
      </c>
      <c r="AJ9267">
        <v>102.821916685631</v>
      </c>
      <c r="AK9267">
        <v>85.339750902172995</v>
      </c>
      <c r="AL9267">
        <v>81.133605648793903</v>
      </c>
      <c r="AM9267">
        <v>95.538945886762093</v>
      </c>
      <c r="AN9267">
        <v>1.00000004935397</v>
      </c>
    </row>
    <row r="9268" spans="1:40" x14ac:dyDescent="0.25">
      <c r="A9268" t="str">
        <f>"20190303162130439"</f>
        <v>20190303162130439</v>
      </c>
      <c r="B9268" t="str">
        <f>"1551601290431434"</f>
        <v>1551601290431434</v>
      </c>
      <c r="C9268" t="s">
        <v>40</v>
      </c>
      <c r="D9268">
        <v>4.6669</v>
      </c>
      <c r="E9268">
        <v>0.45111469999999998</v>
      </c>
      <c r="F9268" t="s">
        <v>65</v>
      </c>
      <c r="G9268">
        <v>-157.3501</v>
      </c>
      <c r="H9268">
        <v>0.49125000000000002</v>
      </c>
      <c r="I9268">
        <v>-43.933860000000003</v>
      </c>
      <c r="J9268">
        <v>-240.50489999999999</v>
      </c>
      <c r="K9268">
        <v>1.1212089999999999</v>
      </c>
      <c r="L9268">
        <v>-62.543120000000002</v>
      </c>
      <c r="M9268">
        <v>0.99992389999999998</v>
      </c>
      <c r="N9268">
        <v>-1.155197E-2</v>
      </c>
      <c r="O9268">
        <v>-4.3392200000000004E-3</v>
      </c>
      <c r="P9268">
        <v>0.98548539999999996</v>
      </c>
      <c r="Q9268">
        <v>0.142854799999999</v>
      </c>
      <c r="R9268">
        <v>9.1710829999999993E-2</v>
      </c>
      <c r="S9268">
        <v>2.9854889999999998</v>
      </c>
      <c r="T9268">
        <v>-2.2580389999999999E-2</v>
      </c>
      <c r="U9268">
        <v>0.66699219999999904</v>
      </c>
      <c r="V9268">
        <v>-9.5916899999999999E-2</v>
      </c>
      <c r="W9268">
        <v>0.1542685</v>
      </c>
      <c r="X9268">
        <v>0.98336219999999996</v>
      </c>
      <c r="Y9268">
        <v>-0.22225339999999999</v>
      </c>
      <c r="Z9268">
        <v>2.1126119999999998E-3</v>
      </c>
      <c r="AA9268">
        <v>0.97498660000000004</v>
      </c>
      <c r="AB9268">
        <v>27</v>
      </c>
      <c r="AC9268">
        <v>83.154799999999994</v>
      </c>
      <c r="AD9268">
        <v>-0.62995900000000005</v>
      </c>
      <c r="AE9268">
        <v>18.609259999999999</v>
      </c>
      <c r="AF9268">
        <v>-18.968899077735198</v>
      </c>
      <c r="AG9268">
        <v>-0.62995900000000005</v>
      </c>
      <c r="AH9268">
        <v>83.068721893062303</v>
      </c>
      <c r="AI9268">
        <v>90.423595916198593</v>
      </c>
      <c r="AJ9268">
        <v>102.863046525153</v>
      </c>
      <c r="AK9268">
        <v>85.209321893264203</v>
      </c>
      <c r="AL9268">
        <v>81.125626043997997</v>
      </c>
      <c r="AM9268">
        <v>95.570992948215604</v>
      </c>
      <c r="AN9268">
        <v>1.00000001909334</v>
      </c>
    </row>
    <row r="9269" spans="1:40" x14ac:dyDescent="0.25">
      <c r="A9269" t="str">
        <f>"20190303162130452"</f>
        <v>20190303162130452</v>
      </c>
      <c r="B9269" t="str">
        <f>"1551601290442171"</f>
        <v>1551601290442171</v>
      </c>
      <c r="C9269" t="s">
        <v>40</v>
      </c>
      <c r="D9269">
        <v>4.6740120000000003</v>
      </c>
      <c r="E9269">
        <v>0.45105580000000001</v>
      </c>
      <c r="F9269" t="s">
        <v>65</v>
      </c>
      <c r="G9269">
        <v>-157.3501</v>
      </c>
      <c r="H9269">
        <v>0.25513170000000002</v>
      </c>
      <c r="I9269">
        <v>-43.94303</v>
      </c>
      <c r="J9269">
        <v>-240.3614</v>
      </c>
      <c r="K9269">
        <v>1.121208</v>
      </c>
      <c r="L9269">
        <v>-62.543849999999999</v>
      </c>
      <c r="M9269">
        <v>0.99992340000000002</v>
      </c>
      <c r="N9269">
        <v>-1.1552679999999999E-2</v>
      </c>
      <c r="O9269">
        <v>-4.4634599999999998E-3</v>
      </c>
      <c r="P9269">
        <v>0.98540320000000003</v>
      </c>
      <c r="Q9269">
        <v>0.14305909999999999</v>
      </c>
      <c r="R9269">
        <v>9.2275140000000005E-2</v>
      </c>
      <c r="S9269">
        <v>2.986542</v>
      </c>
      <c r="T9269">
        <v>-3.1106229999999999E-2</v>
      </c>
      <c r="U9269">
        <v>0.66802980000000001</v>
      </c>
      <c r="V9269">
        <v>-9.6602569999999999E-2</v>
      </c>
      <c r="W9269">
        <v>0.1544729</v>
      </c>
      <c r="X9269">
        <v>0.983263</v>
      </c>
      <c r="Y9269">
        <v>-0.22261500000000001</v>
      </c>
      <c r="Z9269">
        <v>2.4418450000000002E-3</v>
      </c>
      <c r="AA9269">
        <v>0.97490339999999998</v>
      </c>
      <c r="AB9269">
        <v>27</v>
      </c>
      <c r="AC9269">
        <v>83.011300000000006</v>
      </c>
      <c r="AD9269">
        <v>-0.86607630000000002</v>
      </c>
      <c r="AE9269">
        <v>18.600819999999999</v>
      </c>
      <c r="AF9269">
        <v>-18.969210872002499</v>
      </c>
      <c r="AG9269">
        <v>-0.86607630000000002</v>
      </c>
      <c r="AH9269">
        <v>82.918849052219002</v>
      </c>
      <c r="AI9269">
        <v>90.583355789932</v>
      </c>
      <c r="AJ9269">
        <v>102.885725369089</v>
      </c>
      <c r="AK9269">
        <v>85.065366497820904</v>
      </c>
      <c r="AL9269">
        <v>81.113772800936204</v>
      </c>
      <c r="AM9269">
        <v>95.611126885592498</v>
      </c>
      <c r="AN9269">
        <v>1.000000030267</v>
      </c>
    </row>
    <row r="9270" spans="1:40" x14ac:dyDescent="0.25">
      <c r="A9270" t="str">
        <f>"20190303162130463"</f>
        <v>20190303162130463</v>
      </c>
      <c r="B9270" t="str">
        <f>"1551601290451930"</f>
        <v>1551601290451930</v>
      </c>
      <c r="C9270" t="s">
        <v>40</v>
      </c>
      <c r="D9270">
        <v>4.6733949999999904</v>
      </c>
      <c r="E9270">
        <v>0.45103080000000001</v>
      </c>
      <c r="F9270" t="s">
        <v>65</v>
      </c>
      <c r="G9270">
        <v>-157.3501</v>
      </c>
      <c r="H9270">
        <v>4.5031549999999997E-2</v>
      </c>
      <c r="I9270">
        <v>-43.914439999999999</v>
      </c>
      <c r="J9270">
        <v>-240.2004</v>
      </c>
      <c r="K9270">
        <v>1.1212059999999999</v>
      </c>
      <c r="L9270">
        <v>-62.544739999999997</v>
      </c>
      <c r="M9270">
        <v>0.99992270000000005</v>
      </c>
      <c r="N9270">
        <v>-1.1553549999999999E-2</v>
      </c>
      <c r="O9270">
        <v>-4.603551E-3</v>
      </c>
      <c r="P9270">
        <v>0.98532580000000003</v>
      </c>
      <c r="Q9270">
        <v>0.14327100000000001</v>
      </c>
      <c r="R9270">
        <v>9.2771480000000003E-2</v>
      </c>
      <c r="S9270">
        <v>2.9873050000000001</v>
      </c>
      <c r="T9270">
        <v>-3.872871E-2</v>
      </c>
      <c r="U9270">
        <v>0.67041019999999996</v>
      </c>
      <c r="V9270">
        <v>-9.7235989999999994E-2</v>
      </c>
      <c r="W9270">
        <v>0.15468489999999999</v>
      </c>
      <c r="X9270">
        <v>0.98316720000000002</v>
      </c>
      <c r="Y9270">
        <v>-0.2234285</v>
      </c>
      <c r="Z9270">
        <v>2.743583E-3</v>
      </c>
      <c r="AA9270">
        <v>0.97471649999999999</v>
      </c>
      <c r="AB9270">
        <v>27</v>
      </c>
      <c r="AC9270">
        <v>82.850300000000004</v>
      </c>
      <c r="AD9270">
        <v>-1.0761744499999999</v>
      </c>
      <c r="AE9270">
        <v>18.630299999999998</v>
      </c>
      <c r="AF9270">
        <v>-19.008480760819999</v>
      </c>
      <c r="AG9270">
        <v>-1.0761744499999999</v>
      </c>
      <c r="AH9270">
        <v>82.7503607384334</v>
      </c>
      <c r="AI9270">
        <v>90.7261832236657</v>
      </c>
      <c r="AJ9270">
        <v>102.936913753705</v>
      </c>
      <c r="AK9270">
        <v>84.912323573331605</v>
      </c>
      <c r="AL9270">
        <v>81.101478046760306</v>
      </c>
      <c r="AM9270">
        <v>95.648228531642104</v>
      </c>
      <c r="AN9270">
        <v>0.99999999959756503</v>
      </c>
    </row>
    <row r="9271" spans="1:40" x14ac:dyDescent="0.25">
      <c r="A9271" t="str">
        <f>"20190303162130475"</f>
        <v>20190303162130475</v>
      </c>
      <c r="B9271" t="str">
        <f>"1551601290461692"</f>
        <v>1551601290461692</v>
      </c>
      <c r="C9271" t="s">
        <v>40</v>
      </c>
      <c r="D9271">
        <v>4.6707890000000001</v>
      </c>
      <c r="E9271">
        <v>0.45099600000000001</v>
      </c>
      <c r="F9271" t="s">
        <v>44</v>
      </c>
      <c r="G9271">
        <v>-150.48840000000001</v>
      </c>
      <c r="H9271">
        <v>-0.05</v>
      </c>
      <c r="I9271">
        <v>-42.357799999999997</v>
      </c>
      <c r="J9271">
        <v>-240.07300000000001</v>
      </c>
      <c r="K9271">
        <v>1.1212029999999999</v>
      </c>
      <c r="L9271">
        <v>-62.545409999999997</v>
      </c>
      <c r="M9271">
        <v>0.99992219999999998</v>
      </c>
      <c r="N9271">
        <v>-1.155426E-2</v>
      </c>
      <c r="O9271">
        <v>-4.7146649999999998E-3</v>
      </c>
      <c r="P9271">
        <v>0.98521610000000004</v>
      </c>
      <c r="Q9271">
        <v>0.1434869</v>
      </c>
      <c r="R9271">
        <v>9.3600199999999995E-2</v>
      </c>
      <c r="S9271">
        <v>2.9870760000000001</v>
      </c>
      <c r="T9271">
        <v>-3.8996820000000001E-2</v>
      </c>
      <c r="U9271">
        <v>0.67214969999999996</v>
      </c>
      <c r="V9271">
        <v>-9.8173029999999994E-2</v>
      </c>
      <c r="W9271">
        <v>0.1549007</v>
      </c>
      <c r="X9271">
        <v>0.98304009999999997</v>
      </c>
      <c r="Y9271">
        <v>-0.2240926</v>
      </c>
      <c r="Z9271">
        <v>2.7624059999999998E-3</v>
      </c>
      <c r="AA9271">
        <v>0.97456399999999999</v>
      </c>
      <c r="AB9271">
        <v>27</v>
      </c>
      <c r="AC9271">
        <v>89.584599999999895</v>
      </c>
      <c r="AD9271">
        <v>-1.171203</v>
      </c>
      <c r="AE9271">
        <v>20.187609999999999</v>
      </c>
      <c r="AF9271">
        <v>-20.606423272287099</v>
      </c>
      <c r="AG9271">
        <v>-1.171203</v>
      </c>
      <c r="AH9271">
        <v>89.473866077716195</v>
      </c>
      <c r="AI9271">
        <v>90.730823296681393</v>
      </c>
      <c r="AJ9271">
        <v>102.96944852624399</v>
      </c>
      <c r="AK9271">
        <v>91.823575989159593</v>
      </c>
      <c r="AL9271">
        <v>81.088962813877899</v>
      </c>
      <c r="AM9271">
        <v>95.703034548386597</v>
      </c>
      <c r="AN9271">
        <v>1.0000000044439401</v>
      </c>
    </row>
    <row r="9272" spans="1:40" x14ac:dyDescent="0.25">
      <c r="A9272" t="str">
        <f>"20190303162130484"</f>
        <v>20190303162130484</v>
      </c>
      <c r="B9272" t="str">
        <f>"1551601290471450"</f>
        <v>1551601290471450</v>
      </c>
      <c r="C9272" t="s">
        <v>40</v>
      </c>
      <c r="D9272">
        <v>4.6638060000000001</v>
      </c>
      <c r="E9272">
        <v>0.45093860000000002</v>
      </c>
      <c r="F9272" t="s">
        <v>65</v>
      </c>
      <c r="G9272">
        <v>-157.3501</v>
      </c>
      <c r="H9272">
        <v>4.9526210000000001E-2</v>
      </c>
      <c r="I9272">
        <v>-43.85257</v>
      </c>
      <c r="J9272">
        <v>-239.9512</v>
      </c>
      <c r="K9272">
        <v>1.1212059999999999</v>
      </c>
      <c r="L9272">
        <v>-62.546080000000003</v>
      </c>
      <c r="M9272">
        <v>0.99992159999999997</v>
      </c>
      <c r="N9272">
        <v>-1.155494E-2</v>
      </c>
      <c r="O9272">
        <v>-4.8205319999999998E-3</v>
      </c>
      <c r="P9272">
        <v>0.98513479999999998</v>
      </c>
      <c r="Q9272">
        <v>0.143371</v>
      </c>
      <c r="R9272">
        <v>9.4626619999999995E-2</v>
      </c>
      <c r="S9272">
        <v>2.986542</v>
      </c>
      <c r="T9272">
        <v>-3.8691400000000001E-2</v>
      </c>
      <c r="U9272">
        <v>0.67486569999999901</v>
      </c>
      <c r="V9272">
        <v>-9.9303050000000004E-2</v>
      </c>
      <c r="W9272">
        <v>0.15478529999999999</v>
      </c>
      <c r="X9272">
        <v>0.98294479999999995</v>
      </c>
      <c r="Y9272">
        <v>-0.22507659999999999</v>
      </c>
      <c r="Z9272">
        <v>2.763139E-3</v>
      </c>
      <c r="AA9272">
        <v>0.97433720000000001</v>
      </c>
      <c r="AB9272">
        <v>27</v>
      </c>
      <c r="AC9272">
        <v>82.601100000000002</v>
      </c>
      <c r="AD9272">
        <v>-1.0716797899999999</v>
      </c>
      <c r="AE9272">
        <v>18.69351</v>
      </c>
      <c r="AF9272">
        <v>-19.0884440254246</v>
      </c>
      <c r="AG9272">
        <v>-1.0716797899999999</v>
      </c>
      <c r="AH9272">
        <v>82.496811444288596</v>
      </c>
      <c r="AI9272">
        <v>90.725107011220999</v>
      </c>
      <c r="AJ9272">
        <v>103.02805618439901</v>
      </c>
      <c r="AK9272">
        <v>84.683180687540101</v>
      </c>
      <c r="AL9272">
        <v>81.095655716712997</v>
      </c>
      <c r="AM9272">
        <v>95.768794601285407</v>
      </c>
      <c r="AN9272">
        <v>1.0000000323412099</v>
      </c>
    </row>
    <row r="9273" spans="1:40" x14ac:dyDescent="0.25">
      <c r="A9273" t="str">
        <f>"20190303162130495"</f>
        <v>20190303162130495</v>
      </c>
      <c r="B9273" t="str">
        <f>"1551601290482187"</f>
        <v>1551601290482187</v>
      </c>
      <c r="C9273" t="s">
        <v>40</v>
      </c>
      <c r="D9273">
        <v>4.6717849999999999</v>
      </c>
      <c r="E9273">
        <v>0.4509551</v>
      </c>
      <c r="F9273" t="s">
        <v>44</v>
      </c>
      <c r="G9273">
        <v>-150.69299999999899</v>
      </c>
      <c r="H9273">
        <v>-0.05</v>
      </c>
      <c r="I9273">
        <v>-42.271999999999998</v>
      </c>
      <c r="J9273">
        <v>-239.81899999999999</v>
      </c>
      <c r="K9273">
        <v>1.1212070000000001</v>
      </c>
      <c r="L9273">
        <v>-62.546840000000003</v>
      </c>
      <c r="M9273">
        <v>0.99992119999999995</v>
      </c>
      <c r="N9273">
        <v>-1.155569E-2</v>
      </c>
      <c r="O9273">
        <v>-4.93546E-3</v>
      </c>
      <c r="P9273">
        <v>0.98501369999999999</v>
      </c>
      <c r="Q9273">
        <v>0.1435119</v>
      </c>
      <c r="R9273">
        <v>9.5670660000000005E-2</v>
      </c>
      <c r="S9273">
        <v>2.9857939999999998</v>
      </c>
      <c r="T9273">
        <v>-3.9178249999999998E-2</v>
      </c>
      <c r="U9273">
        <v>0.67819209999999996</v>
      </c>
      <c r="V9273">
        <v>-0.1004594</v>
      </c>
      <c r="W9273">
        <v>0.15492609999999901</v>
      </c>
      <c r="X9273">
        <v>0.98280509999999999</v>
      </c>
      <c r="Y9273">
        <v>-0.22627249999999999</v>
      </c>
      <c r="Z9273">
        <v>2.797393E-3</v>
      </c>
      <c r="AA9273">
        <v>0.97406000000000004</v>
      </c>
      <c r="AB9273">
        <v>27</v>
      </c>
      <c r="AC9273">
        <v>89.126000000000005</v>
      </c>
      <c r="AD9273">
        <v>-1.1712069999999899</v>
      </c>
      <c r="AE9273">
        <v>20.274840000000001</v>
      </c>
      <c r="AF9273">
        <v>-20.7110995936692</v>
      </c>
      <c r="AG9273">
        <v>-1.1712069999999899</v>
      </c>
      <c r="AH9273">
        <v>89.010227448846095</v>
      </c>
      <c r="AI9273">
        <v>90.734248803922497</v>
      </c>
      <c r="AJ9273">
        <v>103.098638785809</v>
      </c>
      <c r="AK9273">
        <v>91.395524850569402</v>
      </c>
      <c r="AL9273">
        <v>81.087489912061997</v>
      </c>
      <c r="AM9273">
        <v>95.836333047692705</v>
      </c>
      <c r="AN9273">
        <v>1.0000000260477799</v>
      </c>
    </row>
    <row r="9274" spans="1:40" x14ac:dyDescent="0.25">
      <c r="A9274" t="str">
        <f>"20190303162130507"</f>
        <v>20190303162130507</v>
      </c>
      <c r="B9274" t="str">
        <f>"1551601290501706"</f>
        <v>1551601290501706</v>
      </c>
      <c r="C9274" t="s">
        <v>40</v>
      </c>
      <c r="D9274">
        <v>4.663519</v>
      </c>
      <c r="E9274">
        <v>0.45086490000000001</v>
      </c>
      <c r="F9274" t="s">
        <v>44</v>
      </c>
      <c r="G9274">
        <v>-158.51990000000001</v>
      </c>
      <c r="H9274">
        <v>-0.05</v>
      </c>
      <c r="I9274">
        <v>-44.001570000000001</v>
      </c>
      <c r="J9274">
        <v>-239.6755</v>
      </c>
      <c r="K9274">
        <v>1.1212059999999999</v>
      </c>
      <c r="L9274">
        <v>-62.547699999999999</v>
      </c>
      <c r="M9274">
        <v>0.99992049999999999</v>
      </c>
      <c r="N9274">
        <v>-1.1556500000000001E-2</v>
      </c>
      <c r="O9274">
        <v>-5.060045E-3</v>
      </c>
      <c r="P9274">
        <v>0.98490180000000005</v>
      </c>
      <c r="Q9274">
        <v>0.1437484</v>
      </c>
      <c r="R9274">
        <v>9.6462439999999997E-2</v>
      </c>
      <c r="S9274">
        <v>2.985779</v>
      </c>
      <c r="T9274">
        <v>-4.3013570000000001E-2</v>
      </c>
      <c r="U9274">
        <v>0.68109129999999996</v>
      </c>
      <c r="V9274">
        <v>-0.1013727</v>
      </c>
      <c r="W9274">
        <v>0.1551621</v>
      </c>
      <c r="X9274">
        <v>0.98267409999999999</v>
      </c>
      <c r="Y9274">
        <v>-0.2272884</v>
      </c>
      <c r="Z9274">
        <v>2.9607309999999999E-3</v>
      </c>
      <c r="AA9274">
        <v>0.97382299999999999</v>
      </c>
      <c r="AB9274">
        <v>27</v>
      </c>
      <c r="AC9274">
        <v>81.155599999999893</v>
      </c>
      <c r="AD9274">
        <v>-1.171206</v>
      </c>
      <c r="AE9274">
        <v>18.546130000000002</v>
      </c>
      <c r="AF9274">
        <v>-18.952819501647198</v>
      </c>
      <c r="AG9274">
        <v>-1.171206</v>
      </c>
      <c r="AH9274">
        <v>81.044668853695399</v>
      </c>
      <c r="AI9274">
        <v>90.806195982830999</v>
      </c>
      <c r="AJ9274">
        <v>103.162444456743</v>
      </c>
      <c r="AK9274">
        <v>83.239530513822601</v>
      </c>
      <c r="AL9274">
        <v>81.073802758547004</v>
      </c>
      <c r="AM9274">
        <v>95.889800826239195</v>
      </c>
      <c r="AN9274">
        <v>1.00000004419625</v>
      </c>
    </row>
    <row r="9275" spans="1:40" x14ac:dyDescent="0.25">
      <c r="A9275" t="str">
        <f>"20190303162130518"</f>
        <v>20190303162130518</v>
      </c>
      <c r="B9275" t="str">
        <f>"1551601290511466"</f>
        <v>1551601290511466</v>
      </c>
      <c r="C9275" t="s">
        <v>40</v>
      </c>
      <c r="D9275">
        <v>4.7065630000000001</v>
      </c>
      <c r="E9275">
        <v>0.45084400000000002</v>
      </c>
      <c r="F9275" t="s">
        <v>62</v>
      </c>
      <c r="G9275">
        <v>-175.28200000000001</v>
      </c>
      <c r="H9275">
        <v>7.9986589999999996E-2</v>
      </c>
      <c r="I9275">
        <v>-47.793430000000001</v>
      </c>
      <c r="J9275">
        <v>-239.53530000000001</v>
      </c>
      <c r="K9275">
        <v>1.1212040000000001</v>
      </c>
      <c r="L9275">
        <v>-62.548520000000003</v>
      </c>
      <c r="M9275">
        <v>0.99991980000000003</v>
      </c>
      <c r="N9275">
        <v>-1.1557309999999999E-2</v>
      </c>
      <c r="O9275">
        <v>-5.182608E-3</v>
      </c>
      <c r="P9275">
        <v>0.9847745</v>
      </c>
      <c r="Q9275">
        <v>0.14400160000000001</v>
      </c>
      <c r="R9275">
        <v>9.7379499999999994E-2</v>
      </c>
      <c r="S9275">
        <v>2.986008</v>
      </c>
      <c r="T9275">
        <v>-4.8282619999999998E-2</v>
      </c>
      <c r="U9275">
        <v>0.68417359999999905</v>
      </c>
      <c r="V9275">
        <v>-0.10240970000000001</v>
      </c>
      <c r="W9275">
        <v>0.15541559999999999</v>
      </c>
      <c r="X9275">
        <v>0.98252649999999997</v>
      </c>
      <c r="Y9275">
        <v>-0.2283384</v>
      </c>
      <c r="Z9275">
        <v>3.1825120000000002E-3</v>
      </c>
      <c r="AA9275">
        <v>0.97357660000000001</v>
      </c>
      <c r="AB9275">
        <v>27</v>
      </c>
      <c r="AC9275">
        <v>64.253299999999996</v>
      </c>
      <c r="AD9275">
        <v>-1.04121741</v>
      </c>
      <c r="AE9275">
        <v>14.7550899999999</v>
      </c>
      <c r="AF9275">
        <v>-15.0841510655621</v>
      </c>
      <c r="AG9275">
        <v>-1.04121741</v>
      </c>
      <c r="AH9275">
        <v>64.159957699971102</v>
      </c>
      <c r="AI9275">
        <v>90.905068461816697</v>
      </c>
      <c r="AJ9275">
        <v>103.230103506478</v>
      </c>
      <c r="AK9275">
        <v>65.917493270949507</v>
      </c>
      <c r="AL9275">
        <v>81.059099876276804</v>
      </c>
      <c r="AM9275">
        <v>95.950508359708095</v>
      </c>
      <c r="AN9275">
        <v>1.00000003928984</v>
      </c>
    </row>
    <row r="9276" spans="1:40" x14ac:dyDescent="0.25">
      <c r="A9276" t="str">
        <f>"20190303162130530"</f>
        <v>20190303162130530</v>
      </c>
      <c r="B9276" t="str">
        <f>"1551601290522202"</f>
        <v>1551601290522202</v>
      </c>
      <c r="C9276" t="s">
        <v>40</v>
      </c>
      <c r="D9276">
        <v>4.7134</v>
      </c>
      <c r="E9276">
        <v>0.45073980000000002</v>
      </c>
      <c r="F9276" t="s">
        <v>62</v>
      </c>
      <c r="G9276">
        <v>-177.59540000000001</v>
      </c>
      <c r="H9276">
        <v>7.9986589999999996E-2</v>
      </c>
      <c r="I9276">
        <v>-48.293329999999997</v>
      </c>
      <c r="J9276">
        <v>-239.39859999999999</v>
      </c>
      <c r="K9276">
        <v>1.1212040000000001</v>
      </c>
      <c r="L9276">
        <v>-62.549349999999997</v>
      </c>
      <c r="M9276">
        <v>0.99991920000000001</v>
      </c>
      <c r="N9276">
        <v>-1.15581E-2</v>
      </c>
      <c r="O9276">
        <v>-5.3026699999999998E-3</v>
      </c>
      <c r="P9276">
        <v>0.98466399999999998</v>
      </c>
      <c r="Q9276">
        <v>0.14419279999999901</v>
      </c>
      <c r="R9276">
        <v>9.8210530000000004E-2</v>
      </c>
      <c r="S9276">
        <v>2.985779</v>
      </c>
      <c r="T9276">
        <v>-5.0191399999999997E-2</v>
      </c>
      <c r="U9276">
        <v>0.68716429999999995</v>
      </c>
      <c r="V9276">
        <v>-0.1033575</v>
      </c>
      <c r="W9276">
        <v>0.15560639999999901</v>
      </c>
      <c r="X9276">
        <v>0.98239699999999996</v>
      </c>
      <c r="Y9276">
        <v>-0.2293943</v>
      </c>
      <c r="Z9276">
        <v>3.2735619999999998E-3</v>
      </c>
      <c r="AA9276">
        <v>0.97332810000000003</v>
      </c>
      <c r="AB9276">
        <v>27</v>
      </c>
      <c r="AC9276">
        <v>61.803199999999897</v>
      </c>
      <c r="AD9276">
        <v>-1.04121741</v>
      </c>
      <c r="AE9276">
        <v>14.256019999999999</v>
      </c>
      <c r="AF9276">
        <v>-14.579634288448601</v>
      </c>
      <c r="AG9276">
        <v>-1.04121741</v>
      </c>
      <c r="AH9276">
        <v>61.7101005451212</v>
      </c>
      <c r="AI9276">
        <v>90.940749655424199</v>
      </c>
      <c r="AJ9276">
        <v>103.29295167757201</v>
      </c>
      <c r="AK9276">
        <v>63.4175557631226</v>
      </c>
      <c r="AL9276">
        <v>81.048032807517799</v>
      </c>
      <c r="AM9276">
        <v>96.005965424500005</v>
      </c>
      <c r="AN9276">
        <v>0.999999995068104</v>
      </c>
    </row>
    <row r="9277" spans="1:40" x14ac:dyDescent="0.25">
      <c r="A9277" t="str">
        <f>"20190303162130539"</f>
        <v>20190303162130539</v>
      </c>
      <c r="B9277" t="str">
        <f>"1551601290531962"</f>
        <v>1551601290531962</v>
      </c>
      <c r="C9277" t="s">
        <v>40</v>
      </c>
      <c r="D9277">
        <v>4.7241140000000001</v>
      </c>
      <c r="E9277">
        <v>0.45076430000000001</v>
      </c>
      <c r="F9277" t="s">
        <v>62</v>
      </c>
      <c r="G9277">
        <v>-179.79859999999999</v>
      </c>
      <c r="H9277">
        <v>7.9986559999999998E-2</v>
      </c>
      <c r="I9277">
        <v>-48.768630000000002</v>
      </c>
      <c r="J9277">
        <v>-239.27510000000001</v>
      </c>
      <c r="K9277">
        <v>1.1212070000000001</v>
      </c>
      <c r="L9277">
        <v>-62.550109999999997</v>
      </c>
      <c r="M9277">
        <v>0.99991859999999999</v>
      </c>
      <c r="N9277">
        <v>-1.1558809999999999E-2</v>
      </c>
      <c r="O9277">
        <v>-5.4120059999999996E-3</v>
      </c>
      <c r="P9277">
        <v>0.98461699999999996</v>
      </c>
      <c r="Q9277">
        <v>0.14410479999999901</v>
      </c>
      <c r="R9277">
        <v>9.8810029999999993E-2</v>
      </c>
      <c r="S9277">
        <v>2.9855040000000002</v>
      </c>
      <c r="T9277">
        <v>-5.2157040000000002E-2</v>
      </c>
      <c r="U9277">
        <v>0.69030760000000002</v>
      </c>
      <c r="V9277">
        <v>-0.104064</v>
      </c>
      <c r="W9277">
        <v>0.1555192</v>
      </c>
      <c r="X9277">
        <v>0.98233619999999999</v>
      </c>
      <c r="Y9277">
        <v>-0.23048950000000001</v>
      </c>
      <c r="Z9277">
        <v>3.3682159999999998E-3</v>
      </c>
      <c r="AA9277">
        <v>0.97306899999999996</v>
      </c>
      <c r="AB9277">
        <v>27</v>
      </c>
      <c r="AC9277">
        <v>59.476500000000001</v>
      </c>
      <c r="AD9277">
        <v>-1.04122044</v>
      </c>
      <c r="AE9277">
        <v>13.781479999999901</v>
      </c>
      <c r="AF9277">
        <v>-14.099085971810901</v>
      </c>
      <c r="AG9277">
        <v>-1.04122044</v>
      </c>
      <c r="AH9277">
        <v>59.383766162284203</v>
      </c>
      <c r="AI9277">
        <v>90.977344037432403</v>
      </c>
      <c r="AJ9277">
        <v>103.35605500200001</v>
      </c>
      <c r="AK9277">
        <v>61.043427564825102</v>
      </c>
      <c r="AL9277">
        <v>81.053090380410097</v>
      </c>
      <c r="AM9277">
        <v>96.047087538227402</v>
      </c>
      <c r="AN9277">
        <v>0.99999997374753902</v>
      </c>
    </row>
    <row r="9278" spans="1:40" x14ac:dyDescent="0.25">
      <c r="A9278" t="str">
        <f>"20190303162130550"</f>
        <v>20190303162130550</v>
      </c>
      <c r="B9278" t="str">
        <f>"1551601290541723"</f>
        <v>1551601290541723</v>
      </c>
      <c r="C9278" t="s">
        <v>40</v>
      </c>
      <c r="D9278">
        <v>4.7244729999999997</v>
      </c>
      <c r="E9278">
        <v>0.45072079999999998</v>
      </c>
      <c r="F9278" t="s">
        <v>62</v>
      </c>
      <c r="G9278">
        <v>-179.95779999999999</v>
      </c>
      <c r="H9278">
        <v>3.7313810000000003E-2</v>
      </c>
      <c r="I9278">
        <v>-48.799010000000003</v>
      </c>
      <c r="J9278">
        <v>-239.1387</v>
      </c>
      <c r="K9278">
        <v>1.1212040000000001</v>
      </c>
      <c r="L9278">
        <v>-62.550960000000003</v>
      </c>
      <c r="M9278">
        <v>0.99991799999999997</v>
      </c>
      <c r="N9278">
        <v>-1.15596E-2</v>
      </c>
      <c r="O9278">
        <v>-5.5341019999999999E-3</v>
      </c>
      <c r="P9278">
        <v>0.98454299999999995</v>
      </c>
      <c r="Q9278">
        <v>0.14406240000000001</v>
      </c>
      <c r="R9278">
        <v>9.9605769999999996E-2</v>
      </c>
      <c r="S9278">
        <v>2.985382</v>
      </c>
      <c r="T9278">
        <v>-5.4551240000000001E-2</v>
      </c>
      <c r="U9278">
        <v>0.69207759999999996</v>
      </c>
      <c r="V9278">
        <v>-0.104979</v>
      </c>
      <c r="W9278">
        <v>0.15547729999999901</v>
      </c>
      <c r="X9278">
        <v>0.98224549999999999</v>
      </c>
      <c r="Y9278">
        <v>-0.23116020000000001</v>
      </c>
      <c r="Z9278">
        <v>3.4746149999999999E-3</v>
      </c>
      <c r="AA9278">
        <v>0.97290949999999998</v>
      </c>
      <c r="AB9278">
        <v>27</v>
      </c>
      <c r="AC9278">
        <v>59.180900000000001</v>
      </c>
      <c r="AD9278">
        <v>-1.08389019</v>
      </c>
      <c r="AE9278">
        <v>13.751950000000001</v>
      </c>
      <c r="AF9278">
        <v>-14.0747950615182</v>
      </c>
      <c r="AG9278">
        <v>-1.08389019</v>
      </c>
      <c r="AH9278">
        <v>59.085080036182802</v>
      </c>
      <c r="AI9278">
        <v>91.022348279475295</v>
      </c>
      <c r="AJ9278">
        <v>103.39884697866501</v>
      </c>
      <c r="AK9278">
        <v>60.748015250293101</v>
      </c>
      <c r="AL9278">
        <v>81.055520887485599</v>
      </c>
      <c r="AM9278">
        <v>96.100417442961501</v>
      </c>
      <c r="AN9278">
        <v>1.00000000176327</v>
      </c>
    </row>
    <row r="9279" spans="1:40" x14ac:dyDescent="0.25">
      <c r="A9279" t="str">
        <f>"20190303162130562"</f>
        <v>20190303162130562</v>
      </c>
      <c r="B9279" t="str">
        <f>"1551601290551482"</f>
        <v>1551601290551482</v>
      </c>
      <c r="C9279" t="s">
        <v>40</v>
      </c>
      <c r="D9279">
        <v>4.7532110000000003</v>
      </c>
      <c r="E9279">
        <v>0.45072309999999999</v>
      </c>
      <c r="F9279" t="s">
        <v>62</v>
      </c>
      <c r="G9279">
        <v>-180.41579999999999</v>
      </c>
      <c r="H9279" s="1">
        <v>-2.3030760000000002E-6</v>
      </c>
      <c r="I9279">
        <v>-48.878349999999998</v>
      </c>
      <c r="J9279">
        <v>-238.99619999999999</v>
      </c>
      <c r="K9279">
        <v>1.1212009999999999</v>
      </c>
      <c r="L9279">
        <v>-62.551909999999999</v>
      </c>
      <c r="M9279">
        <v>0.99991719999999895</v>
      </c>
      <c r="N9279">
        <v>-1.156042E-2</v>
      </c>
      <c r="O9279">
        <v>-5.6627569999999896E-3</v>
      </c>
      <c r="P9279">
        <v>0.98449359999999997</v>
      </c>
      <c r="Q9279">
        <v>0.14396289999999901</v>
      </c>
      <c r="R9279">
        <v>0.1002358</v>
      </c>
      <c r="S9279">
        <v>2.9851380000000001</v>
      </c>
      <c r="T9279">
        <v>-5.6995749999999998E-2</v>
      </c>
      <c r="U9279">
        <v>0.69503780000000004</v>
      </c>
      <c r="V9279">
        <v>-0.1057342</v>
      </c>
      <c r="W9279">
        <v>0.1553793</v>
      </c>
      <c r="X9279">
        <v>0.98218000000000005</v>
      </c>
      <c r="Y9279">
        <v>-0.23221339999999999</v>
      </c>
      <c r="Z9279">
        <v>3.5897009999999998E-3</v>
      </c>
      <c r="AA9279">
        <v>0.97265820000000003</v>
      </c>
      <c r="AB9279">
        <v>27</v>
      </c>
      <c r="AC9279">
        <v>58.580399999999997</v>
      </c>
      <c r="AD9279">
        <v>-1.121203303076</v>
      </c>
      <c r="AE9279">
        <v>13.67356</v>
      </c>
      <c r="AF9279">
        <v>-14.000225834438</v>
      </c>
      <c r="AG9279">
        <v>-1.121203303076</v>
      </c>
      <c r="AH9279">
        <v>58.481709103349097</v>
      </c>
      <c r="AI9279">
        <v>91.068157929061897</v>
      </c>
      <c r="AJ9279">
        <v>103.462950035182</v>
      </c>
      <c r="AK9279">
        <v>60.144606740013202</v>
      </c>
      <c r="AL9279">
        <v>81.061204936839005</v>
      </c>
      <c r="AM9279">
        <v>96.144374881503694</v>
      </c>
      <c r="AN9279">
        <v>1.0000000001590601</v>
      </c>
    </row>
    <row r="9280" spans="1:40" x14ac:dyDescent="0.25">
      <c r="A9280" t="str">
        <f>"20190303162130573"</f>
        <v>20190303162130573</v>
      </c>
      <c r="B9280" t="str">
        <f>"1551601290562218"</f>
        <v>1551601290562218</v>
      </c>
      <c r="C9280" t="s">
        <v>40</v>
      </c>
      <c r="D9280">
        <v>4.7422449999999996</v>
      </c>
      <c r="E9280">
        <v>0.45065349999999998</v>
      </c>
      <c r="F9280" t="s">
        <v>62</v>
      </c>
      <c r="G9280">
        <v>-183.13460000000001</v>
      </c>
      <c r="H9280" s="1">
        <v>-2.5339399999999998E-6</v>
      </c>
      <c r="I9280">
        <v>-49.509700000000002</v>
      </c>
      <c r="J9280">
        <v>-238.86320000000001</v>
      </c>
      <c r="K9280">
        <v>1.1212</v>
      </c>
      <c r="L9280">
        <v>-62.552759999999999</v>
      </c>
      <c r="M9280">
        <v>0.99991640000000004</v>
      </c>
      <c r="N9280">
        <v>-1.1561200000000001E-2</v>
      </c>
      <c r="O9280">
        <v>-5.78474E-3</v>
      </c>
      <c r="P9280">
        <v>0.98449160000000002</v>
      </c>
      <c r="Q9280">
        <v>0.1435854</v>
      </c>
      <c r="R9280">
        <v>0.1007926</v>
      </c>
      <c r="S9280">
        <v>2.9850460000000001</v>
      </c>
      <c r="T9280">
        <v>-5.991316E-2</v>
      </c>
      <c r="U9280">
        <v>0.69692989999999999</v>
      </c>
      <c r="V9280">
        <v>-0.1064103</v>
      </c>
      <c r="W9280">
        <v>0.1550029</v>
      </c>
      <c r="X9280">
        <v>0.98216650000000005</v>
      </c>
      <c r="Y9280">
        <v>-0.2329175</v>
      </c>
      <c r="Z9280">
        <v>3.7193320000000001E-3</v>
      </c>
      <c r="AA9280">
        <v>0.97248939999999995</v>
      </c>
      <c r="AB9280">
        <v>27</v>
      </c>
      <c r="AC9280">
        <v>55.7286</v>
      </c>
      <c r="AD9280">
        <v>-1.12120253394</v>
      </c>
      <c r="AE9280">
        <v>13.043059999999899</v>
      </c>
      <c r="AF9280">
        <v>-13.360111783312799</v>
      </c>
      <c r="AG9280">
        <v>-1.12120253394</v>
      </c>
      <c r="AH9280">
        <v>55.630863210236399</v>
      </c>
      <c r="AI9280">
        <v>91.122688232430704</v>
      </c>
      <c r="AJ9280">
        <v>103.504209836649</v>
      </c>
      <c r="AK9280">
        <v>57.223619454738802</v>
      </c>
      <c r="AL9280">
        <v>81.083035937146803</v>
      </c>
      <c r="AM9280">
        <v>96.183445016011802</v>
      </c>
      <c r="AN9280">
        <v>1.0000000423383699</v>
      </c>
    </row>
    <row r="9281" spans="1:40" x14ac:dyDescent="0.25">
      <c r="A9281" t="str">
        <f>"20190303162130584"</f>
        <v>20190303162130584</v>
      </c>
      <c r="B9281" t="str">
        <f>"1551601290571978"</f>
        <v>1551601290571978</v>
      </c>
      <c r="C9281" t="s">
        <v>40</v>
      </c>
      <c r="D9281">
        <v>4.7133379999999896</v>
      </c>
      <c r="E9281">
        <v>0.45062659999999999</v>
      </c>
      <c r="F9281" t="s">
        <v>62</v>
      </c>
      <c r="G9281">
        <v>-185.9025</v>
      </c>
      <c r="H9281" s="1">
        <v>-2.773108E-6</v>
      </c>
      <c r="I9281">
        <v>-50.145449999999997</v>
      </c>
      <c r="J9281">
        <v>-238.72389999999999</v>
      </c>
      <c r="K9281">
        <v>1.1211949999999999</v>
      </c>
      <c r="L9281">
        <v>-62.553710000000002</v>
      </c>
      <c r="M9281">
        <v>0.99991569999999996</v>
      </c>
      <c r="N9281">
        <v>-1.1562029999999999E-2</v>
      </c>
      <c r="O9281">
        <v>-5.9134010000000004E-3</v>
      </c>
      <c r="P9281">
        <v>0.98447229999999997</v>
      </c>
      <c r="Q9281">
        <v>0.14315439999999999</v>
      </c>
      <c r="R9281">
        <v>0.1015923</v>
      </c>
      <c r="S9281">
        <v>2.9848789999999998</v>
      </c>
      <c r="T9281">
        <v>-6.3191289999999997E-2</v>
      </c>
      <c r="U9281">
        <v>0.69927980000000001</v>
      </c>
      <c r="V9281">
        <v>-0.1073364</v>
      </c>
      <c r="W9281">
        <v>0.1545733</v>
      </c>
      <c r="X9281">
        <v>0.98213340000000005</v>
      </c>
      <c r="Y9281">
        <v>-0.2337738</v>
      </c>
      <c r="Z9281">
        <v>3.8670879999999999E-3</v>
      </c>
      <c r="AA9281">
        <v>0.97228329999999996</v>
      </c>
      <c r="AB9281">
        <v>27</v>
      </c>
      <c r="AC9281">
        <v>52.821399999999898</v>
      </c>
      <c r="AD9281">
        <v>-1.1211977731080001</v>
      </c>
      <c r="AE9281">
        <v>12.40826</v>
      </c>
      <c r="AF9281">
        <v>-12.7149888473015</v>
      </c>
      <c r="AG9281">
        <v>-1.1211977731080001</v>
      </c>
      <c r="AH9281">
        <v>52.724583576131003</v>
      </c>
      <c r="AI9281">
        <v>91.184280807479396</v>
      </c>
      <c r="AJ9281">
        <v>103.558486383123</v>
      </c>
      <c r="AK9281">
        <v>54.247670356521702</v>
      </c>
      <c r="AL9281">
        <v>81.107950205503002</v>
      </c>
      <c r="AM9281">
        <v>96.237046431827594</v>
      </c>
      <c r="AN9281">
        <v>1.0000000116167</v>
      </c>
    </row>
    <row r="9282" spans="1:40" x14ac:dyDescent="0.25">
      <c r="A9282" t="str">
        <f>"20190303162130595"</f>
        <v>20190303162130595</v>
      </c>
      <c r="B9282" t="str">
        <f>"1551601290581738"</f>
        <v>1551601290581738</v>
      </c>
      <c r="C9282" t="s">
        <v>40</v>
      </c>
      <c r="D9282">
        <v>4.6554679999999999</v>
      </c>
      <c r="E9282">
        <v>0.45079910000000001</v>
      </c>
      <c r="F9282" t="s">
        <v>62</v>
      </c>
      <c r="G9282">
        <v>-188.5813</v>
      </c>
      <c r="H9282" s="1">
        <v>-1.018706E-5</v>
      </c>
      <c r="I9282">
        <v>-50.76343</v>
      </c>
      <c r="J9282">
        <v>-238.59309999999999</v>
      </c>
      <c r="K9282">
        <v>1.1211899999999999</v>
      </c>
      <c r="L9282">
        <v>-62.554600000000001</v>
      </c>
      <c r="M9282">
        <v>0.99991509999999995</v>
      </c>
      <c r="N9282">
        <v>-1.156272E-2</v>
      </c>
      <c r="O9282">
        <v>-6.0365769999999996E-3</v>
      </c>
      <c r="P9282">
        <v>0.98445360000000004</v>
      </c>
      <c r="Q9282">
        <v>0.14280970000000001</v>
      </c>
      <c r="R9282">
        <v>0.1022583</v>
      </c>
      <c r="S9282">
        <v>2.9845890000000002</v>
      </c>
      <c r="T9282">
        <v>-6.6736459999999997E-2</v>
      </c>
      <c r="U9282">
        <v>0.70178219999999902</v>
      </c>
      <c r="V9282">
        <v>-0.10812239999999999</v>
      </c>
      <c r="W9282">
        <v>0.154229799999999</v>
      </c>
      <c r="X9282">
        <v>0.98210109999999995</v>
      </c>
      <c r="Y9282">
        <v>-0.23467930000000001</v>
      </c>
      <c r="Z9282">
        <v>4.0277869999999997E-3</v>
      </c>
      <c r="AA9282">
        <v>0.9720645</v>
      </c>
      <c r="AB9282">
        <v>27</v>
      </c>
      <c r="AC9282">
        <v>50.011800000000001</v>
      </c>
      <c r="AD9282">
        <v>-1.1212001870599999</v>
      </c>
      <c r="AE9282">
        <v>11.791169999999999</v>
      </c>
      <c r="AF9282">
        <v>-12.0871202787832</v>
      </c>
      <c r="AG9282">
        <v>-1.1212001870599999</v>
      </c>
      <c r="AH9282">
        <v>49.915939010899201</v>
      </c>
      <c r="AI9282">
        <v>91.250616520768006</v>
      </c>
      <c r="AJ9282">
        <v>103.612126773593</v>
      </c>
      <c r="AK9282">
        <v>51.3707750947272</v>
      </c>
      <c r="AL9282">
        <v>81.1278694310665</v>
      </c>
      <c r="AM9282">
        <v>96.282559988636706</v>
      </c>
      <c r="AN9282">
        <v>0.99999992760550205</v>
      </c>
    </row>
    <row r="9283" spans="1:40" x14ac:dyDescent="0.25">
      <c r="A9283" t="str">
        <f>"20190303162130607"</f>
        <v>20190303162130607</v>
      </c>
      <c r="B9283" t="str">
        <f>"1551601290602234"</f>
        <v>1551601290602234</v>
      </c>
      <c r="C9283" t="s">
        <v>40</v>
      </c>
      <c r="D9283">
        <v>4.7996819999999998</v>
      </c>
      <c r="E9283">
        <v>0.45081359999999898</v>
      </c>
      <c r="F9283" t="s">
        <v>62</v>
      </c>
      <c r="G9283">
        <v>-190.9813</v>
      </c>
      <c r="H9283" s="1">
        <v>-9.5495019999999994E-6</v>
      </c>
      <c r="I9283">
        <v>-51.348370000000003</v>
      </c>
      <c r="J9283">
        <v>-238.45249999999999</v>
      </c>
      <c r="K9283">
        <v>1.121186</v>
      </c>
      <c r="L9283">
        <v>-62.555570000000003</v>
      </c>
      <c r="M9283">
        <v>0.99991419999999998</v>
      </c>
      <c r="N9283">
        <v>-1.1563479999999999E-2</v>
      </c>
      <c r="O9283">
        <v>-6.1692910000000004E-3</v>
      </c>
      <c r="P9283">
        <v>0.98446489999999998</v>
      </c>
      <c r="Q9283">
        <v>0.14231679999999999</v>
      </c>
      <c r="R9283">
        <v>0.1028342</v>
      </c>
      <c r="S9283">
        <v>2.9846339999999998</v>
      </c>
      <c r="T9283">
        <v>-7.0284609999999997E-2</v>
      </c>
      <c r="U9283">
        <v>0.70248409999999994</v>
      </c>
      <c r="V9283">
        <v>-0.1088281</v>
      </c>
      <c r="W9283">
        <v>0.15373889999999901</v>
      </c>
      <c r="X9283">
        <v>0.98210019999999998</v>
      </c>
      <c r="Y9283">
        <v>-0.23501379999999999</v>
      </c>
      <c r="Z9283">
        <v>4.1798729999999997E-3</v>
      </c>
      <c r="AA9283">
        <v>0.97198309999999999</v>
      </c>
      <c r="AB9283">
        <v>27</v>
      </c>
      <c r="AC9283">
        <v>47.471199999999897</v>
      </c>
      <c r="AD9283">
        <v>-1.1211955495020001</v>
      </c>
      <c r="AE9283">
        <v>11.207199999999901</v>
      </c>
      <c r="AF9283">
        <v>-11.4937967955888</v>
      </c>
      <c r="AG9283">
        <v>-1.1211955495020001</v>
      </c>
      <c r="AH9283">
        <v>47.376118760706397</v>
      </c>
      <c r="AI9283">
        <v>91.317495170912196</v>
      </c>
      <c r="AJ9283">
        <v>103.63690586986201</v>
      </c>
      <c r="AK9283">
        <v>48.763316879259399</v>
      </c>
      <c r="AL9283">
        <v>81.156336116598098</v>
      </c>
      <c r="AM9283">
        <v>96.323240059350894</v>
      </c>
      <c r="AN9283">
        <v>1.0000000037814201</v>
      </c>
    </row>
    <row r="9284" spans="1:40" x14ac:dyDescent="0.25">
      <c r="A9284" t="str">
        <f>"20190303162130617"</f>
        <v>20190303162130617</v>
      </c>
      <c r="B9284" t="str">
        <f>"1551601290611994"</f>
        <v>1551601290611994</v>
      </c>
      <c r="C9284" t="s">
        <v>40</v>
      </c>
      <c r="D9284">
        <v>4.8988889999999996</v>
      </c>
      <c r="E9284">
        <v>0.45118839999999999</v>
      </c>
      <c r="F9284" t="s">
        <v>62</v>
      </c>
      <c r="G9284">
        <v>-193.66499999999999</v>
      </c>
      <c r="H9284" s="1">
        <v>-9.5847399999999993E-6</v>
      </c>
      <c r="I9284">
        <v>-51.988790000000002</v>
      </c>
      <c r="J9284">
        <v>-238.31059999999999</v>
      </c>
      <c r="K9284">
        <v>1.121181</v>
      </c>
      <c r="L9284">
        <v>-62.556579999999997</v>
      </c>
      <c r="M9284">
        <v>0.9999133</v>
      </c>
      <c r="N9284">
        <v>-1.156425E-2</v>
      </c>
      <c r="O9284">
        <v>-6.3051009999999996E-3</v>
      </c>
      <c r="P9284">
        <v>0.98447379999999995</v>
      </c>
      <c r="Q9284">
        <v>0.1417244</v>
      </c>
      <c r="R9284">
        <v>0.103564</v>
      </c>
      <c r="S9284">
        <v>2.984604</v>
      </c>
      <c r="T9284">
        <v>-7.4715610000000002E-2</v>
      </c>
      <c r="U9284">
        <v>0.70416259999999997</v>
      </c>
      <c r="V9284">
        <v>-0.1096915</v>
      </c>
      <c r="W9284">
        <v>0.15314759999999999</v>
      </c>
      <c r="X9284">
        <v>0.98209659999999999</v>
      </c>
      <c r="Y9284">
        <v>-0.23565539999999999</v>
      </c>
      <c r="Z9284">
        <v>4.3744659999999996E-3</v>
      </c>
      <c r="AA9284">
        <v>0.97182690000000005</v>
      </c>
      <c r="AB9284">
        <v>27</v>
      </c>
      <c r="AC9284">
        <v>44.645600000000002</v>
      </c>
      <c r="AD9284">
        <v>-1.1211905847400001</v>
      </c>
      <c r="AE9284">
        <v>10.56779</v>
      </c>
      <c r="AF9284">
        <v>-10.842618439277</v>
      </c>
      <c r="AG9284">
        <v>-1.1211905847400001</v>
      </c>
      <c r="AH9284">
        <v>44.551470502919202</v>
      </c>
      <c r="AI9284">
        <v>91.400742444360105</v>
      </c>
      <c r="AJ9284">
        <v>103.678318127217</v>
      </c>
      <c r="AK9284">
        <v>45.865596768379</v>
      </c>
      <c r="AL9284">
        <v>81.190621740086499</v>
      </c>
      <c r="AM9284">
        <v>96.373018219700199</v>
      </c>
      <c r="AN9284">
        <v>1.0000000721447799</v>
      </c>
    </row>
    <row r="9285" spans="1:40" x14ac:dyDescent="0.25">
      <c r="A9285" t="str">
        <f>"20190303162130629"</f>
        <v>20190303162130629</v>
      </c>
      <c r="B9285" t="str">
        <f>"1551601290621755"</f>
        <v>1551601290621755</v>
      </c>
      <c r="C9285" t="s">
        <v>40</v>
      </c>
      <c r="D9285">
        <v>4.9478710000000001</v>
      </c>
      <c r="E9285">
        <v>0.45118839999999999</v>
      </c>
      <c r="F9285" t="s">
        <v>62</v>
      </c>
      <c r="G9285">
        <v>-194.46950000000001</v>
      </c>
      <c r="H9285" s="1">
        <v>-9.5778380000000006E-6</v>
      </c>
      <c r="I9285">
        <v>-52.228810000000003</v>
      </c>
      <c r="J9285">
        <v>-238.17830000000001</v>
      </c>
      <c r="K9285">
        <v>1.1211770000000001</v>
      </c>
      <c r="L9285">
        <v>-62.557560000000002</v>
      </c>
      <c r="M9285">
        <v>0.99991240000000003</v>
      </c>
      <c r="N9285">
        <v>-1.1564990000000001E-2</v>
      </c>
      <c r="O9285">
        <v>-6.4328019999999996E-3</v>
      </c>
      <c r="P9285">
        <v>0.98447169999999895</v>
      </c>
      <c r="Q9285">
        <v>0.14138510000000001</v>
      </c>
      <c r="R9285">
        <v>0.1040464</v>
      </c>
      <c r="S9285">
        <v>2.9843600000000001</v>
      </c>
      <c r="T9285">
        <v>-7.6321840000000002E-2</v>
      </c>
      <c r="U9285">
        <v>0.70303340000000003</v>
      </c>
      <c r="V9285">
        <v>-0.1102987</v>
      </c>
      <c r="W9285">
        <v>0.15280969999999999</v>
      </c>
      <c r="X9285">
        <v>0.98208119999999999</v>
      </c>
      <c r="Y9285">
        <v>-0.23544509999999999</v>
      </c>
      <c r="Z9285">
        <v>4.438638E-3</v>
      </c>
      <c r="AA9285">
        <v>0.97187749999999995</v>
      </c>
      <c r="AB9285">
        <v>27</v>
      </c>
      <c r="AC9285">
        <v>43.708799999999997</v>
      </c>
      <c r="AD9285">
        <v>-1.1211865778379999</v>
      </c>
      <c r="AE9285">
        <v>10.328749999999999</v>
      </c>
      <c r="AF9285">
        <v>-10.6031173942502</v>
      </c>
      <c r="AG9285">
        <v>-1.1211865778379999</v>
      </c>
      <c r="AH9285">
        <v>43.614268365342603</v>
      </c>
      <c r="AI9285">
        <v>91.430910649657704</v>
      </c>
      <c r="AJ9285">
        <v>103.66416436159599</v>
      </c>
      <c r="AK9285">
        <v>44.898636536789198</v>
      </c>
      <c r="AL9285">
        <v>81.210212340789298</v>
      </c>
      <c r="AM9285">
        <v>96.408103219245703</v>
      </c>
      <c r="AN9285">
        <v>1.0000000455146001</v>
      </c>
    </row>
    <row r="9286" spans="1:40" x14ac:dyDescent="0.25">
      <c r="A9286" t="str">
        <f>"20190303162130639"</f>
        <v>20190303162130639</v>
      </c>
      <c r="B9286" t="str">
        <f>"1551601290631515"</f>
        <v>1551601290631515</v>
      </c>
      <c r="C9286" t="s">
        <v>40</v>
      </c>
      <c r="D9286">
        <v>5.0145099999999996</v>
      </c>
      <c r="E9286">
        <v>0.48117510000000002</v>
      </c>
      <c r="F9286" t="s">
        <v>62</v>
      </c>
      <c r="G9286">
        <v>-195.04939999999999</v>
      </c>
      <c r="H9286" s="1">
        <v>-9.5810580000000006E-6</v>
      </c>
      <c r="I9286">
        <v>-52.379300000000001</v>
      </c>
      <c r="J9286">
        <v>-238.04589999999999</v>
      </c>
      <c r="K9286">
        <v>1.12117</v>
      </c>
      <c r="L9286">
        <v>-62.558529999999998</v>
      </c>
      <c r="M9286">
        <v>0.99991169999999996</v>
      </c>
      <c r="N9286">
        <v>-1.156574E-2</v>
      </c>
      <c r="O9286">
        <v>-6.5624100000000003E-3</v>
      </c>
      <c r="P9286">
        <v>0.9844773</v>
      </c>
      <c r="Q9286">
        <v>0.14086699999999999</v>
      </c>
      <c r="R9286">
        <v>0.1046956</v>
      </c>
      <c r="S9286">
        <v>2.9840390000000001</v>
      </c>
      <c r="T9286">
        <v>-7.7573779999999995E-2</v>
      </c>
      <c r="U9286">
        <v>0.70422359999999995</v>
      </c>
      <c r="V9286">
        <v>-0.1110751</v>
      </c>
      <c r="W9286">
        <v>0.1522937</v>
      </c>
      <c r="X9286">
        <v>0.9820738</v>
      </c>
      <c r="Y9286">
        <v>-0.23595830000000001</v>
      </c>
      <c r="Z9286">
        <v>4.5017779999999997E-3</v>
      </c>
      <c r="AA9286">
        <v>0.97175279999999997</v>
      </c>
      <c r="AB9286">
        <v>27</v>
      </c>
      <c r="AC9286">
        <v>42.996499999999997</v>
      </c>
      <c r="AD9286">
        <v>-1.1211795810580001</v>
      </c>
      <c r="AE9286">
        <v>10.17923</v>
      </c>
      <c r="AF9286">
        <v>-10.454458939184599</v>
      </c>
      <c r="AG9286">
        <v>-1.1211795810580001</v>
      </c>
      <c r="AH9286">
        <v>42.9011464027814</v>
      </c>
      <c r="AI9286">
        <v>91.454484244638095</v>
      </c>
      <c r="AJ9286">
        <v>103.695318931378</v>
      </c>
      <c r="AK9286">
        <v>44.1708174934193</v>
      </c>
      <c r="AL9286">
        <v>81.240126686873296</v>
      </c>
      <c r="AM9286">
        <v>96.452879356841606</v>
      </c>
      <c r="AN9286">
        <v>0.99999999877307</v>
      </c>
    </row>
    <row r="9287" spans="1:40" x14ac:dyDescent="0.25">
      <c r="A9287" t="str">
        <f>"20190303162130652"</f>
        <v>20190303162130652</v>
      </c>
      <c r="B9287" t="str">
        <f>"1551601290642251"</f>
        <v>1551601290642251</v>
      </c>
      <c r="C9287" t="s">
        <v>40</v>
      </c>
      <c r="D9287">
        <v>4.9459109999999997</v>
      </c>
      <c r="E9287">
        <v>0.48420340000000001</v>
      </c>
      <c r="F9287" t="s">
        <v>62</v>
      </c>
      <c r="G9287">
        <v>-187.023</v>
      </c>
      <c r="H9287" s="1">
        <v>-1.175001E-5</v>
      </c>
      <c r="I9287">
        <v>-54.617199999999997</v>
      </c>
      <c r="J9287">
        <v>-237.90100000000001</v>
      </c>
      <c r="K9287">
        <v>1.1211679999999999</v>
      </c>
      <c r="L9287">
        <v>-62.559660000000001</v>
      </c>
      <c r="M9287">
        <v>0.99991070000000004</v>
      </c>
      <c r="N9287">
        <v>-1.156657E-2</v>
      </c>
      <c r="O9287">
        <v>-6.7058489999999998E-3</v>
      </c>
      <c r="P9287">
        <v>0.9844482</v>
      </c>
      <c r="Q9287">
        <v>0.140513</v>
      </c>
      <c r="R9287">
        <v>0.1054412</v>
      </c>
      <c r="S9287">
        <v>3.0070039999999998</v>
      </c>
      <c r="T9287">
        <v>-6.6076159999999995E-2</v>
      </c>
      <c r="U9287">
        <v>0.46801759999999898</v>
      </c>
      <c r="V9287">
        <v>-0.11196109999999999</v>
      </c>
      <c r="W9287">
        <v>0.15194070000000001</v>
      </c>
      <c r="X9287">
        <v>0.98202789999999995</v>
      </c>
      <c r="Y9287">
        <v>-0.16035550000000001</v>
      </c>
      <c r="Z9287">
        <v>2.7535979999999999E-3</v>
      </c>
      <c r="AA9287">
        <v>0.98705549999999997</v>
      </c>
      <c r="AB9287">
        <v>27</v>
      </c>
      <c r="AC9287">
        <v>50.877999999999901</v>
      </c>
      <c r="AD9287">
        <v>-1.12117975001</v>
      </c>
      <c r="AE9287">
        <v>7.9424599999999996</v>
      </c>
      <c r="AF9287">
        <v>-8.2795593652995194</v>
      </c>
      <c r="AG9287">
        <v>-1.12117975001</v>
      </c>
      <c r="AH9287">
        <v>50.799509349201301</v>
      </c>
      <c r="AI9287">
        <v>91.247890968477805</v>
      </c>
      <c r="AJ9287">
        <v>99.256959171050795</v>
      </c>
      <c r="AK9287">
        <v>51.482019166257899</v>
      </c>
      <c r="AL9287">
        <v>81.260590520296205</v>
      </c>
      <c r="AM9287">
        <v>96.5042133824508</v>
      </c>
      <c r="AN9287">
        <v>1.0000000303040499</v>
      </c>
    </row>
    <row r="9288" spans="1:40" x14ac:dyDescent="0.25">
      <c r="A9288" t="str">
        <f>"20190303162130663"</f>
        <v>20190303162130663</v>
      </c>
      <c r="B9288" t="str">
        <f>"1551601290652011"</f>
        <v>1551601290652011</v>
      </c>
      <c r="C9288" t="s">
        <v>40</v>
      </c>
      <c r="D9288">
        <v>4.74125</v>
      </c>
      <c r="E9288">
        <v>0.48611919999999997</v>
      </c>
      <c r="F9288" t="s">
        <v>62</v>
      </c>
      <c r="G9288">
        <v>-194.76439999999999</v>
      </c>
      <c r="H9288" s="1">
        <v>-8.182447E-6</v>
      </c>
      <c r="I9288">
        <v>-56.168109999999999</v>
      </c>
      <c r="J9288">
        <v>-237.75899999999999</v>
      </c>
      <c r="K9288">
        <v>1.121165</v>
      </c>
      <c r="L9288">
        <v>-62.56073</v>
      </c>
      <c r="M9288">
        <v>0.99990970000000001</v>
      </c>
      <c r="N9288">
        <v>-1.156738E-2</v>
      </c>
      <c r="O9288">
        <v>-6.8477360000000001E-3</v>
      </c>
      <c r="P9288">
        <v>0.98444390000000004</v>
      </c>
      <c r="Q9288">
        <v>0.14022079999999901</v>
      </c>
      <c r="R9288">
        <v>0.1058703</v>
      </c>
      <c r="S9288">
        <v>3.0107729999999999</v>
      </c>
      <c r="T9288">
        <v>-7.8253870000000003E-2</v>
      </c>
      <c r="U9288">
        <v>0.446106</v>
      </c>
      <c r="V9288">
        <v>-0.1125295</v>
      </c>
      <c r="W9288">
        <v>0.15164939999999999</v>
      </c>
      <c r="X9288">
        <v>0.98200790000000004</v>
      </c>
      <c r="Y9288">
        <v>-0.15326619999999999</v>
      </c>
      <c r="Z9288">
        <v>2.9703920000000001E-3</v>
      </c>
      <c r="AA9288">
        <v>0.98818050000000002</v>
      </c>
      <c r="AB9288">
        <v>27</v>
      </c>
      <c r="AC9288">
        <v>42.994599999999998</v>
      </c>
      <c r="AD9288">
        <v>-1.1211731824469999</v>
      </c>
      <c r="AE9288">
        <v>6.39262</v>
      </c>
      <c r="AF9288">
        <v>-6.6824595743019799</v>
      </c>
      <c r="AG9288">
        <v>-1.1211731824469999</v>
      </c>
      <c r="AH9288">
        <v>42.921258156704603</v>
      </c>
      <c r="AI9288">
        <v>91.478514769534797</v>
      </c>
      <c r="AJ9288">
        <v>98.849399235017501</v>
      </c>
      <c r="AK9288">
        <v>43.452810001445201</v>
      </c>
      <c r="AL9288">
        <v>81.277475944692696</v>
      </c>
      <c r="AM9288">
        <v>96.537080626336206</v>
      </c>
      <c r="AN9288">
        <v>0.99999997227650905</v>
      </c>
    </row>
    <row r="9289" spans="1:40" x14ac:dyDescent="0.25">
      <c r="A9289" t="str">
        <f>"20190303162130675"</f>
        <v>20190303162130675</v>
      </c>
      <c r="B9289" t="str">
        <f>"1551601290661771"</f>
        <v>1551601290661771</v>
      </c>
      <c r="C9289" t="s">
        <v>40</v>
      </c>
      <c r="D9289">
        <v>4.7198010000000004</v>
      </c>
      <c r="E9289">
        <v>0.48720989999999997</v>
      </c>
      <c r="F9289" t="s">
        <v>62</v>
      </c>
      <c r="G9289">
        <v>-198.4135</v>
      </c>
      <c r="H9289" s="1">
        <v>-8.3299369999999992E-6</v>
      </c>
      <c r="I9289">
        <v>-56.917270000000002</v>
      </c>
      <c r="J9289">
        <v>-237.6277</v>
      </c>
      <c r="K9289">
        <v>1.121162</v>
      </c>
      <c r="L9289">
        <v>-62.56174</v>
      </c>
      <c r="M9289">
        <v>0.99990880000000004</v>
      </c>
      <c r="N9289">
        <v>-1.156811E-2</v>
      </c>
      <c r="O9289">
        <v>-6.9808029999999998E-3</v>
      </c>
      <c r="P9289">
        <v>0.98441480000000003</v>
      </c>
      <c r="Q9289">
        <v>0.14006589999999999</v>
      </c>
      <c r="R9289">
        <v>0.10634449999999999</v>
      </c>
      <c r="S9289">
        <v>3.0131679999999998</v>
      </c>
      <c r="T9289">
        <v>-8.5862040000000001E-2</v>
      </c>
      <c r="U9289">
        <v>0.43218990000000002</v>
      </c>
      <c r="V9289">
        <v>-0.113133</v>
      </c>
      <c r="W9289">
        <v>0.15149580000000001</v>
      </c>
      <c r="X9289">
        <v>0.98196229999999995</v>
      </c>
      <c r="Y9289">
        <v>-0.14880309999999999</v>
      </c>
      <c r="Z9289">
        <v>3.0918059999999999E-3</v>
      </c>
      <c r="AA9289">
        <v>0.98886200000000002</v>
      </c>
      <c r="AB9289">
        <v>27</v>
      </c>
      <c r="AC9289">
        <v>39.214199999999998</v>
      </c>
      <c r="AD9289">
        <v>-1.1211703299369999</v>
      </c>
      <c r="AE9289">
        <v>5.6444700000000001</v>
      </c>
      <c r="AF9289">
        <v>-5.91336164138509</v>
      </c>
      <c r="AG9289">
        <v>-1.1211703299369999</v>
      </c>
      <c r="AH9289">
        <v>39.142491595904197</v>
      </c>
      <c r="AI9289">
        <v>91.622293572952898</v>
      </c>
      <c r="AJ9289">
        <v>98.590864510578101</v>
      </c>
      <c r="AK9289">
        <v>39.602519075760497</v>
      </c>
      <c r="AL9289">
        <v>81.286379741556999</v>
      </c>
      <c r="AM9289">
        <v>96.572135874061303</v>
      </c>
      <c r="AN9289">
        <v>1.00000000586396</v>
      </c>
    </row>
    <row r="9290" spans="1:40" x14ac:dyDescent="0.25">
      <c r="A9290" t="str">
        <f>"20190303162130686"</f>
        <v>20190303162130686</v>
      </c>
      <c r="B9290" t="str">
        <f>"1551601290671530"</f>
        <v>1551601290671530</v>
      </c>
      <c r="C9290" t="s">
        <v>40</v>
      </c>
      <c r="D9290">
        <v>4.8860919999999997</v>
      </c>
      <c r="E9290">
        <v>0.48774849999999997</v>
      </c>
      <c r="F9290" t="s">
        <v>62</v>
      </c>
      <c r="G9290">
        <v>-199.37479999999999</v>
      </c>
      <c r="H9290" s="1">
        <v>-8.3494339999999997E-6</v>
      </c>
      <c r="I9290">
        <v>-57.169800000000002</v>
      </c>
      <c r="J9290">
        <v>-237.47970000000001</v>
      </c>
      <c r="K9290">
        <v>1.121156</v>
      </c>
      <c r="L9290">
        <v>-62.562930000000001</v>
      </c>
      <c r="M9290">
        <v>0.99990760000000001</v>
      </c>
      <c r="N9290">
        <v>-1.156893E-2</v>
      </c>
      <c r="O9290">
        <v>-7.131994E-3</v>
      </c>
      <c r="P9290">
        <v>0.98441710000000004</v>
      </c>
      <c r="Q9290">
        <v>0.13967389999999999</v>
      </c>
      <c r="R9290">
        <v>0.10683769999999999</v>
      </c>
      <c r="S9290">
        <v>3.0141909999999998</v>
      </c>
      <c r="T9290">
        <v>-8.8344220000000001E-2</v>
      </c>
      <c r="U9290">
        <v>0.42486570000000001</v>
      </c>
      <c r="V9290">
        <v>-0.11377470000000001</v>
      </c>
      <c r="W9290">
        <v>0.15110599999999999</v>
      </c>
      <c r="X9290">
        <v>0.98194820000000005</v>
      </c>
      <c r="Y9290">
        <v>-0.14654690000000001</v>
      </c>
      <c r="Z9290">
        <v>3.1146339999999998E-3</v>
      </c>
      <c r="AA9290">
        <v>0.98919880000000004</v>
      </c>
      <c r="AB9290">
        <v>27</v>
      </c>
      <c r="AC9290">
        <v>38.104900000000001</v>
      </c>
      <c r="AD9290">
        <v>-1.121164349434</v>
      </c>
      <c r="AE9290">
        <v>5.3931299999999904</v>
      </c>
      <c r="AF9290">
        <v>-5.6599712193184697</v>
      </c>
      <c r="AG9290">
        <v>-1.121164349434</v>
      </c>
      <c r="AH9290">
        <v>38.033184969532499</v>
      </c>
      <c r="AI9290">
        <v>91.670127541911</v>
      </c>
      <c r="AJ9290">
        <v>98.464445182395096</v>
      </c>
      <c r="AK9290">
        <v>38.468369378342899</v>
      </c>
      <c r="AL9290">
        <v>81.308973574924806</v>
      </c>
      <c r="AM9290">
        <v>96.609178774816598</v>
      </c>
      <c r="AN9290">
        <v>0.99999998653966504</v>
      </c>
    </row>
    <row r="9291" spans="1:40" x14ac:dyDescent="0.25">
      <c r="A9291" t="str">
        <f>"20190303162130696"</f>
        <v>20190303162130696</v>
      </c>
      <c r="B9291" t="str">
        <f>"1551601290692027"</f>
        <v>1551601290692027</v>
      </c>
      <c r="C9291" t="s">
        <v>40</v>
      </c>
      <c r="D9291">
        <v>4.88598</v>
      </c>
      <c r="E9291">
        <v>0.48851810000000001</v>
      </c>
      <c r="F9291" t="s">
        <v>62</v>
      </c>
      <c r="G9291">
        <v>-201.1859</v>
      </c>
      <c r="H9291" s="1">
        <v>-5.71238399999999E-6</v>
      </c>
      <c r="I9291">
        <v>-57.48359</v>
      </c>
      <c r="J9291">
        <v>-237.34479999999999</v>
      </c>
      <c r="K9291">
        <v>1.1211519999999999</v>
      </c>
      <c r="L9291">
        <v>-62.564059999999998</v>
      </c>
      <c r="M9291">
        <v>0.99990659999999998</v>
      </c>
      <c r="N9291">
        <v>-1.1569680000000001E-2</v>
      </c>
      <c r="O9291">
        <v>-7.271858E-3</v>
      </c>
      <c r="P9291">
        <v>0.98439129999999997</v>
      </c>
      <c r="Q9291">
        <v>0.1392785</v>
      </c>
      <c r="R9291">
        <v>0.1075893</v>
      </c>
      <c r="S9291">
        <v>3.0148929999999998</v>
      </c>
      <c r="T9291">
        <v>-9.3134049999999996E-2</v>
      </c>
      <c r="U9291">
        <v>0.42193599999999998</v>
      </c>
      <c r="V9291">
        <v>-0.1146634</v>
      </c>
      <c r="W9291">
        <v>0.1507114</v>
      </c>
      <c r="X9291">
        <v>0.98190549999999999</v>
      </c>
      <c r="Y9291">
        <v>-0.1457029</v>
      </c>
      <c r="Z9291">
        <v>3.2261109999999998E-3</v>
      </c>
      <c r="AA9291">
        <v>0.98932310000000001</v>
      </c>
      <c r="AB9291">
        <v>27</v>
      </c>
      <c r="AC9291">
        <v>36.158899999999903</v>
      </c>
      <c r="AD9291">
        <v>-1.121157712384</v>
      </c>
      <c r="AE9291">
        <v>5.0804699999999903</v>
      </c>
      <c r="AF9291">
        <v>-5.3382628088066397</v>
      </c>
      <c r="AG9291">
        <v>-1.121157712384</v>
      </c>
      <c r="AH9291">
        <v>36.086974607862402</v>
      </c>
      <c r="AI9291">
        <v>91.760360767024295</v>
      </c>
      <c r="AJ9291">
        <v>98.414608606722297</v>
      </c>
      <c r="AK9291">
        <v>36.496900975020203</v>
      </c>
      <c r="AL9291">
        <v>81.331844672322902</v>
      </c>
      <c r="AM9291">
        <v>96.660628405577896</v>
      </c>
      <c r="AN9291">
        <v>1.0000000161598801</v>
      </c>
    </row>
    <row r="9292" spans="1:40" x14ac:dyDescent="0.25">
      <c r="A9292" t="str">
        <f>"20190303162130708"</f>
        <v>20190303162130708</v>
      </c>
      <c r="B9292" t="str">
        <f>"1551601290701787"</f>
        <v>1551601290701787</v>
      </c>
      <c r="C9292" t="s">
        <v>40</v>
      </c>
      <c r="D9292">
        <v>4.8872799999999996</v>
      </c>
      <c r="E9292">
        <v>0.48868099999999998</v>
      </c>
      <c r="F9292" t="s">
        <v>62</v>
      </c>
      <c r="G9292">
        <v>-201.30449999999999</v>
      </c>
      <c r="H9292" s="1">
        <v>-5.6541720000000001E-6</v>
      </c>
      <c r="I9292">
        <v>-57.569099999999999</v>
      </c>
      <c r="J9292">
        <v>-237.2105</v>
      </c>
      <c r="K9292">
        <v>1.1211439999999999</v>
      </c>
      <c r="L9292">
        <v>-62.565159999999999</v>
      </c>
      <c r="M9292">
        <v>0.99990559999999995</v>
      </c>
      <c r="N9292">
        <v>-1.157041E-2</v>
      </c>
      <c r="O9292">
        <v>-7.4117219999999999E-3</v>
      </c>
      <c r="P9292">
        <v>0.98439339999999997</v>
      </c>
      <c r="Q9292">
        <v>0.13877200000000001</v>
      </c>
      <c r="R9292">
        <v>0.1082236</v>
      </c>
      <c r="S9292">
        <v>3.0151370000000002</v>
      </c>
      <c r="T9292">
        <v>-9.3796009999999999E-2</v>
      </c>
      <c r="U9292">
        <v>0.4178772</v>
      </c>
      <c r="V9292">
        <v>-0.1154345</v>
      </c>
      <c r="W9292">
        <v>0.15020649999999999</v>
      </c>
      <c r="X9292">
        <v>0.98189249999999995</v>
      </c>
      <c r="Y9292">
        <v>-0.14452329999999999</v>
      </c>
      <c r="Z9292">
        <v>3.2212069999999998E-3</v>
      </c>
      <c r="AA9292">
        <v>0.98949620000000005</v>
      </c>
      <c r="AB9292">
        <v>27</v>
      </c>
      <c r="AC9292">
        <v>35.905999999999999</v>
      </c>
      <c r="AD9292">
        <v>-1.1211496541720001</v>
      </c>
      <c r="AE9292">
        <v>4.9960599999999999</v>
      </c>
      <c r="AF9292">
        <v>-5.2570377292416</v>
      </c>
      <c r="AG9292">
        <v>-1.1211496541720001</v>
      </c>
      <c r="AH9292">
        <v>35.833708360690103</v>
      </c>
      <c r="AI9292">
        <v>91.773094019754296</v>
      </c>
      <c r="AJ9292">
        <v>98.346125469526001</v>
      </c>
      <c r="AK9292">
        <v>36.234625389435301</v>
      </c>
      <c r="AL9292">
        <v>81.361106270029694</v>
      </c>
      <c r="AM9292">
        <v>96.705101952768402</v>
      </c>
      <c r="AN9292">
        <v>0.99999999899437397</v>
      </c>
    </row>
    <row r="9293" spans="1:40" x14ac:dyDescent="0.25">
      <c r="A9293" t="str">
        <f>"20190303162130718"</f>
        <v>20190303162130718</v>
      </c>
      <c r="B9293" t="str">
        <f>"1551601290711546"</f>
        <v>1551601290711546</v>
      </c>
      <c r="C9293" t="s">
        <v>40</v>
      </c>
      <c r="D9293">
        <v>4.8876480000000004</v>
      </c>
      <c r="E9293">
        <v>0.48881069999999999</v>
      </c>
      <c r="F9293" t="s">
        <v>62</v>
      </c>
      <c r="G9293">
        <v>-201.8612</v>
      </c>
      <c r="H9293" s="1">
        <v>-5.35801399999999E-6</v>
      </c>
      <c r="I9293">
        <v>-57.661200000000001</v>
      </c>
      <c r="J9293">
        <v>-237.07490000000001</v>
      </c>
      <c r="K9293">
        <v>1.1211420000000001</v>
      </c>
      <c r="L9293">
        <v>-62.566279999999999</v>
      </c>
      <c r="M9293">
        <v>0.99990460000000003</v>
      </c>
      <c r="N9293">
        <v>-1.1571130000000001E-2</v>
      </c>
      <c r="O9293">
        <v>-7.5543249999999998E-3</v>
      </c>
      <c r="P9293">
        <v>0.98430569999999895</v>
      </c>
      <c r="Q9293">
        <v>0.1387506</v>
      </c>
      <c r="R9293">
        <v>0.10904419999999999</v>
      </c>
      <c r="S9293">
        <v>3.0150450000000002</v>
      </c>
      <c r="T9293">
        <v>-9.5626119999999995E-2</v>
      </c>
      <c r="U9293">
        <v>0.41827389999999998</v>
      </c>
      <c r="V9293">
        <v>-0.1163942</v>
      </c>
      <c r="W9293">
        <v>0.15018580000000001</v>
      </c>
      <c r="X9293">
        <v>0.98178240000000006</v>
      </c>
      <c r="Y9293">
        <v>-0.1447927</v>
      </c>
      <c r="Z9293">
        <v>3.2780970000000002E-3</v>
      </c>
      <c r="AA9293">
        <v>0.98945660000000002</v>
      </c>
      <c r="AB9293">
        <v>27</v>
      </c>
      <c r="AC9293">
        <v>35.213700000000003</v>
      </c>
      <c r="AD9293">
        <v>-1.1211473580139999</v>
      </c>
      <c r="AE9293">
        <v>4.9050799999999999</v>
      </c>
      <c r="AF9293">
        <v>-5.1658366909226796</v>
      </c>
      <c r="AG9293">
        <v>-1.1211473580139999</v>
      </c>
      <c r="AH9293">
        <v>35.140694511794599</v>
      </c>
      <c r="AI9293">
        <v>91.807957357463494</v>
      </c>
      <c r="AJ9293">
        <v>98.362833835917698</v>
      </c>
      <c r="AK9293">
        <v>35.536055646159298</v>
      </c>
      <c r="AL9293">
        <v>81.362306193797195</v>
      </c>
      <c r="AM9293">
        <v>96.761084133505406</v>
      </c>
      <c r="AN9293">
        <v>1.00000003263251</v>
      </c>
    </row>
    <row r="9294" spans="1:40" x14ac:dyDescent="0.25">
      <c r="A9294" t="str">
        <f>"20190303162130729"</f>
        <v>20190303162130729</v>
      </c>
      <c r="B9294" t="str">
        <f>"1551601290721307"</f>
        <v>1551601290721307</v>
      </c>
      <c r="C9294" t="s">
        <v>40</v>
      </c>
      <c r="D9294">
        <v>4.8843610000000002</v>
      </c>
      <c r="E9294">
        <v>0.48890090000000003</v>
      </c>
      <c r="F9294" t="s">
        <v>62</v>
      </c>
      <c r="G9294">
        <v>-201.45509999999999</v>
      </c>
      <c r="H9294" s="1">
        <v>-5.5767969999999998E-6</v>
      </c>
      <c r="I9294">
        <v>-57.607689999999998</v>
      </c>
      <c r="J9294">
        <v>-236.9436</v>
      </c>
      <c r="K9294">
        <v>1.12114</v>
      </c>
      <c r="L9294">
        <v>-62.567439999999998</v>
      </c>
      <c r="M9294">
        <v>0.99990349999999995</v>
      </c>
      <c r="N9294">
        <v>-1.157183E-2</v>
      </c>
      <c r="O9294">
        <v>-7.6933510000000002E-3</v>
      </c>
      <c r="P9294">
        <v>0.98416389999999998</v>
      </c>
      <c r="Q9294">
        <v>0.13908389999999901</v>
      </c>
      <c r="R9294">
        <v>0.1098978</v>
      </c>
      <c r="S9294">
        <v>3.0147249999999999</v>
      </c>
      <c r="T9294">
        <v>-9.4889639999999997E-2</v>
      </c>
      <c r="U9294">
        <v>0.41967769999999999</v>
      </c>
      <c r="V9294">
        <v>-0.1173825</v>
      </c>
      <c r="W9294">
        <v>0.1505186</v>
      </c>
      <c r="X9294">
        <v>0.98161370000000003</v>
      </c>
      <c r="Y9294">
        <v>-0.14539750000000001</v>
      </c>
      <c r="Z9294">
        <v>3.2746730000000001E-3</v>
      </c>
      <c r="AA9294">
        <v>0.98936789999999997</v>
      </c>
      <c r="AB9294">
        <v>27</v>
      </c>
      <c r="AC9294">
        <v>35.488500000000002</v>
      </c>
      <c r="AD9294">
        <v>-1.121145576797</v>
      </c>
      <c r="AE9294">
        <v>4.9597499999999997</v>
      </c>
      <c r="AF9294">
        <v>-5.2275296131438704</v>
      </c>
      <c r="AG9294">
        <v>-1.121145576797</v>
      </c>
      <c r="AH9294">
        <v>35.4146218143418</v>
      </c>
      <c r="AI9294">
        <v>91.793823012150497</v>
      </c>
      <c r="AJ9294">
        <v>98.396759288575694</v>
      </c>
      <c r="AK9294">
        <v>35.815910870917698</v>
      </c>
      <c r="AL9294">
        <v>81.343018435320801</v>
      </c>
      <c r="AM9294">
        <v>96.819114856743894</v>
      </c>
      <c r="AN9294">
        <v>0.99999997813994901</v>
      </c>
    </row>
    <row r="9295" spans="1:40" x14ac:dyDescent="0.25">
      <c r="A9295" t="str">
        <f>"20190303162130739"</f>
        <v>20190303162130739</v>
      </c>
      <c r="B9295" t="str">
        <f>"1551601290732043"</f>
        <v>1551601290732043</v>
      </c>
      <c r="C9295" t="s">
        <v>40</v>
      </c>
      <c r="D9295">
        <v>4.6940580000000001</v>
      </c>
      <c r="E9295">
        <v>0.48908289999999999</v>
      </c>
      <c r="F9295" t="s">
        <v>62</v>
      </c>
      <c r="G9295">
        <v>-200.67660000000001</v>
      </c>
      <c r="H9295" s="1">
        <v>-5.9034990000000001E-6</v>
      </c>
      <c r="I9295">
        <v>-57.494239999999998</v>
      </c>
      <c r="J9295">
        <v>-236.81190000000001</v>
      </c>
      <c r="K9295">
        <v>1.121138</v>
      </c>
      <c r="L9295">
        <v>-62.568570000000001</v>
      </c>
      <c r="M9295">
        <v>0.99990250000000003</v>
      </c>
      <c r="N9295">
        <v>-1.1572529999999999E-2</v>
      </c>
      <c r="O9295">
        <v>-7.8342849999999999E-3</v>
      </c>
      <c r="P9295">
        <v>0.98398629999999998</v>
      </c>
      <c r="Q9295">
        <v>0.13957059999999999</v>
      </c>
      <c r="R9295">
        <v>0.1108671</v>
      </c>
      <c r="S9295">
        <v>3.0143589999999998</v>
      </c>
      <c r="T9295">
        <v>-9.3184710000000004E-2</v>
      </c>
      <c r="U9295">
        <v>0.42166140000000002</v>
      </c>
      <c r="V9295">
        <v>-0.118488</v>
      </c>
      <c r="W9295">
        <v>0.1510051</v>
      </c>
      <c r="X9295">
        <v>0.98140620000000001</v>
      </c>
      <c r="Y9295">
        <v>-0.1461944</v>
      </c>
      <c r="Z9295">
        <v>3.2493280000000001E-3</v>
      </c>
      <c r="AA9295">
        <v>0.98925050000000003</v>
      </c>
      <c r="AB9295">
        <v>27</v>
      </c>
      <c r="AC9295">
        <v>36.135300000000001</v>
      </c>
      <c r="AD9295">
        <v>-1.1211439034990001</v>
      </c>
      <c r="AE9295">
        <v>5.0743299999999802</v>
      </c>
      <c r="AF9295">
        <v>-5.3522348214123001</v>
      </c>
      <c r="AG9295">
        <v>-1.1211439034990001</v>
      </c>
      <c r="AH9295">
        <v>36.060392974166597</v>
      </c>
      <c r="AI9295">
        <v>91.761509166826698</v>
      </c>
      <c r="AJ9295">
        <v>98.442445077509603</v>
      </c>
      <c r="AK9295">
        <v>36.4726654179156</v>
      </c>
      <c r="AL9295">
        <v>81.314822275614901</v>
      </c>
      <c r="AM9295">
        <v>96.884164836062794</v>
      </c>
      <c r="AN9295">
        <v>1.00000003788422</v>
      </c>
    </row>
    <row r="9296" spans="1:40" x14ac:dyDescent="0.25">
      <c r="A9296" t="str">
        <f>"20190303162130751"</f>
        <v>20190303162130751</v>
      </c>
      <c r="B9296" t="str">
        <f>"1551601290741803"</f>
        <v>1551601290741803</v>
      </c>
      <c r="C9296" t="s">
        <v>40</v>
      </c>
      <c r="D9296">
        <v>4.8851709999999997</v>
      </c>
      <c r="E9296">
        <v>0.48919810000000002</v>
      </c>
      <c r="F9296" t="s">
        <v>62</v>
      </c>
      <c r="G9296">
        <v>-199.66200000000001</v>
      </c>
      <c r="H9296" s="1">
        <v>-8.3185250000000001E-6</v>
      </c>
      <c r="I9296">
        <v>-57.349870000000003</v>
      </c>
      <c r="J9296">
        <v>-236.67019999999999</v>
      </c>
      <c r="K9296">
        <v>1.1211359999999999</v>
      </c>
      <c r="L9296">
        <v>-62.569850000000002</v>
      </c>
      <c r="M9296">
        <v>0.99990120000000005</v>
      </c>
      <c r="N9296">
        <v>-1.157328E-2</v>
      </c>
      <c r="O9296">
        <v>-7.987259E-3</v>
      </c>
      <c r="P9296">
        <v>0.98378279999999996</v>
      </c>
      <c r="Q9296">
        <v>0.14024700000000001</v>
      </c>
      <c r="R9296">
        <v>0.1118141</v>
      </c>
      <c r="S9296">
        <v>3.0140229999999999</v>
      </c>
      <c r="T9296">
        <v>-9.0960260000000001E-2</v>
      </c>
      <c r="U9296">
        <v>0.42340090000000002</v>
      </c>
      <c r="V9296">
        <v>-0.1195826</v>
      </c>
      <c r="W9296">
        <v>0.1516805</v>
      </c>
      <c r="X9296">
        <v>0.98116919999999996</v>
      </c>
      <c r="Y9296">
        <v>-0.1469242</v>
      </c>
      <c r="Z9296">
        <v>3.2082159999999998E-3</v>
      </c>
      <c r="AA9296">
        <v>0.98914250000000004</v>
      </c>
      <c r="AB9296">
        <v>27</v>
      </c>
      <c r="AC9296">
        <v>37.008199999999903</v>
      </c>
      <c r="AD9296">
        <v>-1.1211443185250001</v>
      </c>
      <c r="AE9296">
        <v>5.2199799999999996</v>
      </c>
      <c r="AF9296">
        <v>-5.5104687089455302</v>
      </c>
      <c r="AG9296">
        <v>-1.1211443185250001</v>
      </c>
      <c r="AH9296">
        <v>36.932089746812203</v>
      </c>
      <c r="AI9296">
        <v>91.719763214901704</v>
      </c>
      <c r="AJ9296">
        <v>98.486237277606406</v>
      </c>
      <c r="AK9296">
        <v>37.357749972954998</v>
      </c>
      <c r="AL9296">
        <v>81.2756733093062</v>
      </c>
      <c r="AM9296">
        <v>96.948804189582901</v>
      </c>
      <c r="AN9296">
        <v>0.99999998566582404</v>
      </c>
    </row>
    <row r="9297" spans="1:40" x14ac:dyDescent="0.25">
      <c r="A9297" t="str">
        <f>"20190303162130763"</f>
        <v>20190303162130763</v>
      </c>
      <c r="B9297" t="str">
        <f>"1551601290751562"</f>
        <v>1551601290751562</v>
      </c>
      <c r="C9297" t="s">
        <v>40</v>
      </c>
      <c r="D9297">
        <v>4.668215</v>
      </c>
      <c r="E9297">
        <v>0.48930059999999898</v>
      </c>
      <c r="F9297" t="s">
        <v>62</v>
      </c>
      <c r="G9297">
        <v>-198.30090000000001</v>
      </c>
      <c r="H9297" s="1">
        <v>-8.2351729999999998E-6</v>
      </c>
      <c r="I9297">
        <v>-57.151169999999901</v>
      </c>
      <c r="J9297">
        <v>-236.52180000000001</v>
      </c>
      <c r="K9297">
        <v>1.1211370000000001</v>
      </c>
      <c r="L9297">
        <v>-62.571170000000002</v>
      </c>
      <c r="M9297">
        <v>0.99989989999999995</v>
      </c>
      <c r="N9297">
        <v>-1.157408E-2</v>
      </c>
      <c r="O9297">
        <v>-8.1482210000000006E-3</v>
      </c>
      <c r="P9297">
        <v>0.98351750000000004</v>
      </c>
      <c r="Q9297">
        <v>0.1409676</v>
      </c>
      <c r="R9297">
        <v>0.1132336</v>
      </c>
      <c r="S9297">
        <v>3.0136259999999999</v>
      </c>
      <c r="T9297">
        <v>-8.8057640000000006E-2</v>
      </c>
      <c r="U9297">
        <v>0.42559809999999998</v>
      </c>
      <c r="V9297">
        <v>-0.1211568</v>
      </c>
      <c r="W9297">
        <v>0.1523997</v>
      </c>
      <c r="X9297">
        <v>0.98086459999999998</v>
      </c>
      <c r="Y9297">
        <v>-0.147813</v>
      </c>
      <c r="Z9297">
        <v>3.1513999999999999E-3</v>
      </c>
      <c r="AA9297">
        <v>0.98901030000000001</v>
      </c>
      <c r="AB9297">
        <v>27</v>
      </c>
      <c r="AC9297">
        <v>38.2209</v>
      </c>
      <c r="AD9297">
        <v>-1.121145235173</v>
      </c>
      <c r="AE9297">
        <v>5.42</v>
      </c>
      <c r="AF9297">
        <v>-5.7264430778186597</v>
      </c>
      <c r="AG9297">
        <v>-1.121145235173</v>
      </c>
      <c r="AH9297">
        <v>38.143291550655697</v>
      </c>
      <c r="AI9297">
        <v>91.664961303134803</v>
      </c>
      <c r="AJ9297">
        <v>98.538036383626505</v>
      </c>
      <c r="AK9297">
        <v>38.587041960743399</v>
      </c>
      <c r="AL9297">
        <v>81.233981624280801</v>
      </c>
      <c r="AM9297">
        <v>97.041531303215393</v>
      </c>
      <c r="AN9297">
        <v>1.0000000011397401</v>
      </c>
    </row>
    <row r="9298" spans="1:40" x14ac:dyDescent="0.25">
      <c r="A9298" t="str">
        <f>"20190303162130774"</f>
        <v>20190303162130774</v>
      </c>
      <c r="B9298" t="str">
        <f>"1551601290761322"</f>
        <v>1551601290761322</v>
      </c>
      <c r="C9298" t="s">
        <v>40</v>
      </c>
      <c r="D9298">
        <v>4.6091179999999996</v>
      </c>
      <c r="E9298">
        <v>0.48936239999999998</v>
      </c>
      <c r="F9298" t="s">
        <v>62</v>
      </c>
      <c r="G9298">
        <v>-196.8964</v>
      </c>
      <c r="H9298" s="1">
        <v>-8.1548379999999992E-6</v>
      </c>
      <c r="I9298">
        <v>-56.92998</v>
      </c>
      <c r="J9298">
        <v>-236.39420000000001</v>
      </c>
      <c r="K9298">
        <v>1.121138</v>
      </c>
      <c r="L9298">
        <v>-62.572389999999999</v>
      </c>
      <c r="M9298">
        <v>0.99989859999999997</v>
      </c>
      <c r="N9298">
        <v>-1.157478E-2</v>
      </c>
      <c r="O9298">
        <v>-8.2885579999999997E-3</v>
      </c>
      <c r="P9298">
        <v>0.98324500000000004</v>
      </c>
      <c r="Q9298">
        <v>0.14180319999999999</v>
      </c>
      <c r="R9298">
        <v>0.11454780000000001</v>
      </c>
      <c r="S9298">
        <v>3.0131070000000002</v>
      </c>
      <c r="T9298">
        <v>-8.5251690000000005E-2</v>
      </c>
      <c r="U9298">
        <v>0.42895509999999898</v>
      </c>
      <c r="V9298">
        <v>-0.12260550000000001</v>
      </c>
      <c r="W9298">
        <v>0.15323429999999999</v>
      </c>
      <c r="X9298">
        <v>0.9805545</v>
      </c>
      <c r="Y9298">
        <v>-0.14905950000000001</v>
      </c>
      <c r="Z9298">
        <v>3.1028739999999998E-3</v>
      </c>
      <c r="AA9298">
        <v>0.98882340000000002</v>
      </c>
      <c r="AB9298">
        <v>27</v>
      </c>
      <c r="AC9298">
        <v>39.497799999999998</v>
      </c>
      <c r="AD9298">
        <v>-1.121146154838</v>
      </c>
      <c r="AE9298">
        <v>5.6424099999999902</v>
      </c>
      <c r="AF9298">
        <v>-5.9649080411749704</v>
      </c>
      <c r="AG9298">
        <v>-1.121146154838</v>
      </c>
      <c r="AH9298">
        <v>39.418547721466403</v>
      </c>
      <c r="AI9298">
        <v>91.610844190017005</v>
      </c>
      <c r="AJ9298">
        <v>98.604850158298206</v>
      </c>
      <c r="AK9298">
        <v>39.883066596109501</v>
      </c>
      <c r="AL9298">
        <v>81.185594162519195</v>
      </c>
      <c r="AM9298">
        <v>97.127098317241206</v>
      </c>
      <c r="AN9298">
        <v>0.99999999339849399</v>
      </c>
    </row>
    <row r="9299" spans="1:40" x14ac:dyDescent="0.25">
      <c r="A9299" t="str">
        <f>"20190303162130785"</f>
        <v>20190303162130785</v>
      </c>
      <c r="B9299" t="str">
        <f>"1551601290772058"</f>
        <v>1551601290772058</v>
      </c>
      <c r="C9299" t="s">
        <v>40</v>
      </c>
      <c r="D9299">
        <v>4.6981739999999999</v>
      </c>
      <c r="E9299">
        <v>0.48949500000000001</v>
      </c>
      <c r="F9299" t="s">
        <v>62</v>
      </c>
      <c r="G9299">
        <v>-194.8674</v>
      </c>
      <c r="H9299" s="1">
        <v>-8.0389149999999996E-6</v>
      </c>
      <c r="I9299">
        <v>-56.610030000000002</v>
      </c>
      <c r="J9299">
        <v>-236.2543</v>
      </c>
      <c r="K9299">
        <v>1.12114</v>
      </c>
      <c r="L9299">
        <v>-62.5736699999999</v>
      </c>
      <c r="M9299">
        <v>0.99989740000000005</v>
      </c>
      <c r="N9299">
        <v>-1.157555E-2</v>
      </c>
      <c r="O9299">
        <v>-8.4432009999999991E-3</v>
      </c>
      <c r="P9299">
        <v>0.98297880000000004</v>
      </c>
      <c r="Q9299">
        <v>0.14249319999999999</v>
      </c>
      <c r="R9299">
        <v>0.1159683</v>
      </c>
      <c r="S9299">
        <v>3.0124659999999999</v>
      </c>
      <c r="T9299">
        <v>-8.1330899999999998E-2</v>
      </c>
      <c r="U9299">
        <v>0.43252560000000001</v>
      </c>
      <c r="V9299">
        <v>-0.1241746</v>
      </c>
      <c r="W9299">
        <v>0.15392310000000001</v>
      </c>
      <c r="X9299">
        <v>0.98024909999999998</v>
      </c>
      <c r="Y9299">
        <v>-0.150396</v>
      </c>
      <c r="Z9299">
        <v>3.0241999999999999E-3</v>
      </c>
      <c r="AA9299">
        <v>0.98862119999999998</v>
      </c>
      <c r="AB9299">
        <v>28</v>
      </c>
      <c r="AC9299">
        <v>41.386899999999997</v>
      </c>
      <c r="AD9299">
        <v>-1.1211480389149999</v>
      </c>
      <c r="AE9299">
        <v>5.9636399999999901</v>
      </c>
      <c r="AF9299">
        <v>-6.3083535696995501</v>
      </c>
      <c r="AG9299">
        <v>-1.1211480389149999</v>
      </c>
      <c r="AH9299">
        <v>41.3053741225919</v>
      </c>
      <c r="AI9299">
        <v>91.536979526955193</v>
      </c>
      <c r="AJ9299">
        <v>98.683386446991605</v>
      </c>
      <c r="AK9299">
        <v>41.799356802381403</v>
      </c>
      <c r="AL9299">
        <v>81.145654843073501</v>
      </c>
      <c r="AM9299">
        <v>97.219579643706695</v>
      </c>
      <c r="AN9299">
        <v>0.99999997502478899</v>
      </c>
    </row>
    <row r="9300" spans="1:40" x14ac:dyDescent="0.25">
      <c r="A9300" t="str">
        <f>"20190303162130796"</f>
        <v>20190303162130796</v>
      </c>
      <c r="B9300" t="str">
        <f>"1551601290791578"</f>
        <v>1551601290791578</v>
      </c>
      <c r="C9300" t="s">
        <v>40</v>
      </c>
      <c r="D9300">
        <v>4.8280589999999997</v>
      </c>
      <c r="E9300">
        <v>0.489786</v>
      </c>
      <c r="F9300" t="s">
        <v>62</v>
      </c>
      <c r="G9300">
        <v>-193.04660000000001</v>
      </c>
      <c r="H9300" s="1">
        <v>-7.9479950000000005E-6</v>
      </c>
      <c r="I9300">
        <v>-56.320520000000002</v>
      </c>
      <c r="J9300">
        <v>-236.12049999999999</v>
      </c>
      <c r="K9300">
        <v>1.1211409999999999</v>
      </c>
      <c r="L9300">
        <v>-62.574950000000001</v>
      </c>
      <c r="M9300">
        <v>0.99989620000000001</v>
      </c>
      <c r="N9300">
        <v>-1.1576309999999999E-2</v>
      </c>
      <c r="O9300">
        <v>-8.5927150000000008E-3</v>
      </c>
      <c r="P9300">
        <v>0.98266779999999998</v>
      </c>
      <c r="Q9300">
        <v>0.1434289</v>
      </c>
      <c r="R9300">
        <v>0.1174409</v>
      </c>
      <c r="S9300">
        <v>3.011841</v>
      </c>
      <c r="T9300">
        <v>-7.8150869999999997E-2</v>
      </c>
      <c r="U9300">
        <v>0.43588260000000001</v>
      </c>
      <c r="V9300">
        <v>-0.12579000000000001</v>
      </c>
      <c r="W9300">
        <v>0.15485639999999901</v>
      </c>
      <c r="X9300">
        <v>0.97989610000000005</v>
      </c>
      <c r="Y9300">
        <v>-0.1516566</v>
      </c>
      <c r="Z9300">
        <v>2.9625300000000001E-3</v>
      </c>
      <c r="AA9300">
        <v>0.9884288</v>
      </c>
      <c r="AB9300">
        <v>28</v>
      </c>
      <c r="AC9300">
        <v>43.073899999999902</v>
      </c>
      <c r="AD9300">
        <v>-1.1211489479950001</v>
      </c>
      <c r="AE9300">
        <v>6.2544300000000002</v>
      </c>
      <c r="AF9300">
        <v>-6.6199532714060698</v>
      </c>
      <c r="AG9300">
        <v>-1.1211489479950001</v>
      </c>
      <c r="AH9300">
        <v>42.990039827452399</v>
      </c>
      <c r="AI9300">
        <v>91.476498404947804</v>
      </c>
      <c r="AJ9300">
        <v>98.754105297122095</v>
      </c>
      <c r="AK9300">
        <v>43.511197186990003</v>
      </c>
      <c r="AL9300">
        <v>81.091531958112498</v>
      </c>
      <c r="AM9300">
        <v>97.315095473236596</v>
      </c>
      <c r="AN9300">
        <v>0.99999999775808501</v>
      </c>
    </row>
    <row r="9301" spans="1:40" x14ac:dyDescent="0.25">
      <c r="A9301" t="str">
        <f>"20190303162130808"</f>
        <v>20190303162130808</v>
      </c>
      <c r="B9301" t="str">
        <f>"1551601290801338"</f>
        <v>1551601290801338</v>
      </c>
      <c r="C9301" t="s">
        <v>40</v>
      </c>
      <c r="D9301">
        <v>4.822584</v>
      </c>
      <c r="E9301">
        <v>0.4899732</v>
      </c>
      <c r="F9301" t="s">
        <v>62</v>
      </c>
      <c r="G9301">
        <v>-190.75190000000001</v>
      </c>
      <c r="H9301" s="1">
        <v>-7.8443579999999906E-6</v>
      </c>
      <c r="I9301">
        <v>-55.975059999999999</v>
      </c>
      <c r="J9301">
        <v>-235.9819</v>
      </c>
      <c r="K9301">
        <v>1.121143</v>
      </c>
      <c r="L9301">
        <v>-62.57629</v>
      </c>
      <c r="M9301">
        <v>0.99989470000000003</v>
      </c>
      <c r="N9301">
        <v>-1.157709E-2</v>
      </c>
      <c r="O9301">
        <v>-8.7478319999999901E-3</v>
      </c>
      <c r="P9301">
        <v>0.98235850000000002</v>
      </c>
      <c r="Q9301">
        <v>0.14435329999999999</v>
      </c>
      <c r="R9301">
        <v>0.1188867</v>
      </c>
      <c r="S9301">
        <v>3.0114290000000001</v>
      </c>
      <c r="T9301">
        <v>-7.4418310000000001E-2</v>
      </c>
      <c r="U9301">
        <v>0.43807980000000002</v>
      </c>
      <c r="V9301">
        <v>-0.1273841</v>
      </c>
      <c r="W9301">
        <v>0.15577969999999999</v>
      </c>
      <c r="X9301">
        <v>0.97954370000000002</v>
      </c>
      <c r="Y9301">
        <v>-0.152540799999999</v>
      </c>
      <c r="Z9301">
        <v>2.8767990000000002E-3</v>
      </c>
      <c r="AA9301">
        <v>0.98829299999999998</v>
      </c>
      <c r="AB9301">
        <v>28</v>
      </c>
      <c r="AC9301">
        <v>45.229999999999897</v>
      </c>
      <c r="AD9301">
        <v>-1.1211508443580001</v>
      </c>
      <c r="AE9301">
        <v>6.6012300000000002</v>
      </c>
      <c r="AF9301">
        <v>-6.9924615547010696</v>
      </c>
      <c r="AG9301">
        <v>-1.1211508443580001</v>
      </c>
      <c r="AH9301">
        <v>45.143359725822101</v>
      </c>
      <c r="AI9301">
        <v>91.405909210308494</v>
      </c>
      <c r="AJ9301">
        <v>98.804834244877497</v>
      </c>
      <c r="AK9301">
        <v>45.695453002949399</v>
      </c>
      <c r="AL9301">
        <v>81.037980391178095</v>
      </c>
      <c r="AM9301">
        <v>97.409409584951206</v>
      </c>
      <c r="AN9301">
        <v>0.99999994203729303</v>
      </c>
    </row>
    <row r="9302" spans="1:40" x14ac:dyDescent="0.25">
      <c r="A9302" t="str">
        <f>"20190303162130819"</f>
        <v>20190303162130819</v>
      </c>
      <c r="B9302" t="str">
        <f>"1551601290813051"</f>
        <v>1551601290813051</v>
      </c>
      <c r="C9302" t="s">
        <v>40</v>
      </c>
      <c r="D9302">
        <v>4.8195739999999896</v>
      </c>
      <c r="E9302">
        <v>0.49020580000000002</v>
      </c>
      <c r="F9302" t="s">
        <v>62</v>
      </c>
      <c r="G9302">
        <v>-188.81290000000001</v>
      </c>
      <c r="H9302" s="1">
        <v>-1.167692E-5</v>
      </c>
      <c r="I9302">
        <v>-55.666690000000003</v>
      </c>
      <c r="J9302">
        <v>-235.83359999999999</v>
      </c>
      <c r="K9302">
        <v>1.121149</v>
      </c>
      <c r="L9302">
        <v>-62.577759999999998</v>
      </c>
      <c r="M9302">
        <v>0.99989329999999998</v>
      </c>
      <c r="N9302">
        <v>-1.157789E-2</v>
      </c>
      <c r="O9302">
        <v>-8.9149859999999997E-3</v>
      </c>
      <c r="P9302">
        <v>0.98199159999999996</v>
      </c>
      <c r="Q9302">
        <v>0.14550489999999999</v>
      </c>
      <c r="R9302">
        <v>0.12050370000000001</v>
      </c>
      <c r="S9302">
        <v>3.011002</v>
      </c>
      <c r="T9302">
        <v>-7.156825E-2</v>
      </c>
      <c r="U9302">
        <v>0.44107059999999998</v>
      </c>
      <c r="V9302">
        <v>-0.129160199999999</v>
      </c>
      <c r="W9302">
        <v>0.1569284</v>
      </c>
      <c r="X9302">
        <v>0.97912779999999999</v>
      </c>
      <c r="Y9302">
        <v>-0.15369089999999999</v>
      </c>
      <c r="Z9302">
        <v>2.8193599999999999E-3</v>
      </c>
      <c r="AA9302">
        <v>0.98811499999999997</v>
      </c>
      <c r="AB9302">
        <v>28</v>
      </c>
      <c r="AC9302">
        <v>47.020699999999898</v>
      </c>
      <c r="AD9302">
        <v>-1.12116067692</v>
      </c>
      <c r="AE9302">
        <v>6.9110699999999898</v>
      </c>
      <c r="AF9302">
        <v>-7.3259352953280503</v>
      </c>
      <c r="AG9302">
        <v>-1.12116067692</v>
      </c>
      <c r="AH9302">
        <v>46.931097191665899</v>
      </c>
      <c r="AI9302">
        <v>91.352138960400197</v>
      </c>
      <c r="AJ9302">
        <v>98.872258716543598</v>
      </c>
      <c r="AK9302">
        <v>47.512674233602098</v>
      </c>
      <c r="AL9302">
        <v>80.971346293459305</v>
      </c>
      <c r="AM9302">
        <v>97.514700496853294</v>
      </c>
      <c r="AN9302">
        <v>1.00000006436171</v>
      </c>
    </row>
    <row r="9303" spans="1:40" x14ac:dyDescent="0.25">
      <c r="A9303" t="str">
        <f>"20190303162130830"</f>
        <v>20190303162130830</v>
      </c>
      <c r="B9303" t="str">
        <f>"1551601290821835"</f>
        <v>1551601290821835</v>
      </c>
      <c r="C9303" t="s">
        <v>40</v>
      </c>
      <c r="D9303">
        <v>4.7059249999999997</v>
      </c>
      <c r="E9303">
        <v>0.49020580000000002</v>
      </c>
      <c r="F9303" t="s">
        <v>62</v>
      </c>
      <c r="G9303">
        <v>-185.70419999999999</v>
      </c>
      <c r="H9303" s="1">
        <v>-1.2215530000000001E-5</v>
      </c>
      <c r="I9303">
        <v>-55.182949999999998</v>
      </c>
      <c r="J9303">
        <v>-235.6995</v>
      </c>
      <c r="K9303">
        <v>1.121154</v>
      </c>
      <c r="L9303">
        <v>-62.579099999999997</v>
      </c>
      <c r="M9303">
        <v>0.99989209999999995</v>
      </c>
      <c r="N9303">
        <v>-1.1578629999999999E-2</v>
      </c>
      <c r="O9303">
        <v>-9.0665169999999996E-3</v>
      </c>
      <c r="P9303">
        <v>0.98157660000000002</v>
      </c>
      <c r="Q9303">
        <v>0.14698900000000001</v>
      </c>
      <c r="R9303">
        <v>0.1220736</v>
      </c>
      <c r="S9303">
        <v>3.0104980000000001</v>
      </c>
      <c r="T9303">
        <v>-6.7330840000000003E-2</v>
      </c>
      <c r="U9303">
        <v>0.44409179999999998</v>
      </c>
      <c r="V9303">
        <v>-0.13087380000000001</v>
      </c>
      <c r="W9303">
        <v>0.15840969999999999</v>
      </c>
      <c r="X9303">
        <v>0.97866149999999996</v>
      </c>
      <c r="Y9303">
        <v>-0.1548407</v>
      </c>
      <c r="Z9303">
        <v>2.7207440000000002E-3</v>
      </c>
      <c r="AA9303">
        <v>0.98793569999999997</v>
      </c>
      <c r="AB9303">
        <v>28</v>
      </c>
      <c r="AC9303">
        <v>49.9953</v>
      </c>
      <c r="AD9303">
        <v>-1.12116621553</v>
      </c>
      <c r="AE9303">
        <v>7.3961499999999898</v>
      </c>
      <c r="AF9303">
        <v>-7.8452985780443401</v>
      </c>
      <c r="AG9303">
        <v>-1.12116621553</v>
      </c>
      <c r="AH9303">
        <v>49.901624967450203</v>
      </c>
      <c r="AI9303">
        <v>91.271466004865403</v>
      </c>
      <c r="AJ9303">
        <v>98.934640293999806</v>
      </c>
      <c r="AK9303">
        <v>50.527001670924001</v>
      </c>
      <c r="AL9303">
        <v>80.8853980478045</v>
      </c>
      <c r="AM9303">
        <v>97.616822868602597</v>
      </c>
      <c r="AN9303">
        <v>0.99999995808138897</v>
      </c>
    </row>
    <row r="9304" spans="1:40" x14ac:dyDescent="0.25">
      <c r="A9304" t="str">
        <f>"20190303162130840"</f>
        <v>20190303162130840</v>
      </c>
      <c r="B9304" t="str">
        <f>"1551601290831595"</f>
        <v>1551601290831595</v>
      </c>
      <c r="C9304" t="s">
        <v>40</v>
      </c>
      <c r="D9304">
        <v>4.7217279999999997</v>
      </c>
      <c r="E9304">
        <v>0.50561670000000003</v>
      </c>
      <c r="F9304" t="s">
        <v>62</v>
      </c>
      <c r="G9304">
        <v>-181.92429999999999</v>
      </c>
      <c r="H9304" s="1">
        <v>-1.2727689999999999E-5</v>
      </c>
      <c r="I9304">
        <v>-54.554780000000001</v>
      </c>
      <c r="J9304">
        <v>-235.5736</v>
      </c>
      <c r="K9304">
        <v>1.1211580000000001</v>
      </c>
      <c r="L9304">
        <v>-62.580410000000001</v>
      </c>
      <c r="M9304">
        <v>0.99989070000000002</v>
      </c>
      <c r="N9304">
        <v>-1.1579310000000001E-2</v>
      </c>
      <c r="O9304">
        <v>-9.2093439999999995E-3</v>
      </c>
      <c r="P9304">
        <v>0.98119610000000002</v>
      </c>
      <c r="Q9304">
        <v>0.14818700000000001</v>
      </c>
      <c r="R9304">
        <v>0.12367309999999999</v>
      </c>
      <c r="S9304">
        <v>3.0098419999999999</v>
      </c>
      <c r="T9304">
        <v>-6.2752599999999895E-2</v>
      </c>
      <c r="U9304">
        <v>0.4491272</v>
      </c>
      <c r="V9304">
        <v>-0.13260849999999999</v>
      </c>
      <c r="W9304">
        <v>0.1596051</v>
      </c>
      <c r="X9304">
        <v>0.97823369999999998</v>
      </c>
      <c r="Y9304">
        <v>-0.15663579999999999</v>
      </c>
      <c r="Z9304">
        <v>2.6206659999999998E-3</v>
      </c>
      <c r="AA9304">
        <v>0.987653</v>
      </c>
      <c r="AB9304">
        <v>28</v>
      </c>
      <c r="AC9304">
        <v>53.649299999999997</v>
      </c>
      <c r="AD9304">
        <v>-1.12117072769</v>
      </c>
      <c r="AE9304">
        <v>8.0256299999999907</v>
      </c>
      <c r="AF9304">
        <v>-8.5157598205740097</v>
      </c>
      <c r="AG9304">
        <v>-1.12117072769</v>
      </c>
      <c r="AH9304">
        <v>53.5502336544521</v>
      </c>
      <c r="AI9304">
        <v>91.184535487443696</v>
      </c>
      <c r="AJ9304">
        <v>99.035730707084895</v>
      </c>
      <c r="AK9304">
        <v>54.234700271770201</v>
      </c>
      <c r="AL9304">
        <v>80.816024315277602</v>
      </c>
      <c r="AM9304">
        <v>97.719907286375403</v>
      </c>
      <c r="AN9304">
        <v>0.99999998701697401</v>
      </c>
    </row>
    <row r="9305" spans="1:40" x14ac:dyDescent="0.25">
      <c r="A9305" t="str">
        <f>"20190303162130853"</f>
        <v>20190303162130853</v>
      </c>
      <c r="B9305" t="str">
        <f>"1551601290841355"</f>
        <v>1551601290841355</v>
      </c>
      <c r="C9305" t="s">
        <v>40</v>
      </c>
      <c r="D9305">
        <v>4.6521059999999999</v>
      </c>
      <c r="E9305">
        <v>0.50773990000000002</v>
      </c>
      <c r="F9305" t="s">
        <v>65</v>
      </c>
      <c r="G9305">
        <v>-157.9383</v>
      </c>
      <c r="H9305">
        <v>0.64233580000000001</v>
      </c>
      <c r="I9305">
        <v>-54.049320000000002</v>
      </c>
      <c r="J9305">
        <v>-235.42670000000001</v>
      </c>
      <c r="K9305">
        <v>1.1211629999999999</v>
      </c>
      <c r="L9305">
        <v>-62.581940000000003</v>
      </c>
      <c r="M9305">
        <v>0.99988920000000003</v>
      </c>
      <c r="N9305">
        <v>-1.1580119999999999E-2</v>
      </c>
      <c r="O9305">
        <v>-9.3764880000000005E-3</v>
      </c>
      <c r="P9305">
        <v>0.98080259999999997</v>
      </c>
      <c r="Q9305">
        <v>0.14935619999999999</v>
      </c>
      <c r="R9305">
        <v>0.12537680000000001</v>
      </c>
      <c r="S9305">
        <v>3.0185240000000002</v>
      </c>
      <c r="T9305">
        <v>-1.8617749999999999E-2</v>
      </c>
      <c r="U9305">
        <v>0.33169559999999998</v>
      </c>
      <c r="V9305">
        <v>-0.13447120000000001</v>
      </c>
      <c r="W9305">
        <v>0.16077089999999999</v>
      </c>
      <c r="X9305">
        <v>0.9777884</v>
      </c>
      <c r="Y9305">
        <v>-0.1185388</v>
      </c>
      <c r="Z9305">
        <v>1.0023289999999999E-3</v>
      </c>
      <c r="AA9305">
        <v>0.99294890000000002</v>
      </c>
      <c r="AB9305">
        <v>28</v>
      </c>
      <c r="AC9305">
        <v>77.488399999999999</v>
      </c>
      <c r="AD9305">
        <v>-0.47882719999999901</v>
      </c>
      <c r="AE9305">
        <v>8.5326199999999996</v>
      </c>
      <c r="AF9305">
        <v>-9.2585131774002605</v>
      </c>
      <c r="AG9305">
        <v>-0.47882719999999901</v>
      </c>
      <c r="AH9305">
        <v>77.402061647875797</v>
      </c>
      <c r="AI9305">
        <v>90.3519318235887</v>
      </c>
      <c r="AJ9305">
        <v>96.821074541801295</v>
      </c>
      <c r="AK9305">
        <v>77.955298018063601</v>
      </c>
      <c r="AL9305">
        <v>80.7483548911746</v>
      </c>
      <c r="AM9305">
        <v>97.8305312209596</v>
      </c>
      <c r="AN9305">
        <v>0.99999997054540402</v>
      </c>
    </row>
    <row r="9306" spans="1:40" x14ac:dyDescent="0.25">
      <c r="A9306" t="str">
        <f>"20190303162130864"</f>
        <v>20190303162130864</v>
      </c>
      <c r="B9306" t="str">
        <f>"1551601290852090"</f>
        <v>1551601290852090</v>
      </c>
      <c r="C9306" t="s">
        <v>40</v>
      </c>
      <c r="D9306">
        <v>4.6308800000000003</v>
      </c>
      <c r="E9306">
        <v>0.50917270000000003</v>
      </c>
      <c r="F9306" t="s">
        <v>65</v>
      </c>
      <c r="G9306">
        <v>-157.9383</v>
      </c>
      <c r="H9306">
        <v>0.74354489999999995</v>
      </c>
      <c r="I9306">
        <v>-54.368789999999997</v>
      </c>
      <c r="J9306">
        <v>-235.2799</v>
      </c>
      <c r="K9306">
        <v>1.121167</v>
      </c>
      <c r="L9306">
        <v>-62.583469999999998</v>
      </c>
      <c r="M9306">
        <v>0.99988739999999998</v>
      </c>
      <c r="N9306">
        <v>-1.158091E-2</v>
      </c>
      <c r="O9306">
        <v>-9.5436280000000002E-3</v>
      </c>
      <c r="P9306">
        <v>0.98047130000000005</v>
      </c>
      <c r="Q9306">
        <v>0.1503041</v>
      </c>
      <c r="R9306">
        <v>0.12682589999999999</v>
      </c>
      <c r="S9306">
        <v>3.020035</v>
      </c>
      <c r="T9306">
        <v>-1.471806E-2</v>
      </c>
      <c r="U9306">
        <v>0.32009890000000002</v>
      </c>
      <c r="V9306">
        <v>-0.1360806</v>
      </c>
      <c r="W9306">
        <v>0.16171679999999999</v>
      </c>
      <c r="X9306">
        <v>0.97740970000000005</v>
      </c>
      <c r="Y9306">
        <v>-0.1148829</v>
      </c>
      <c r="Z9306">
        <v>8.8245239999999996E-4</v>
      </c>
      <c r="AA9306">
        <v>0.9933786</v>
      </c>
      <c r="AB9306">
        <v>28</v>
      </c>
      <c r="AC9306">
        <v>77.3416</v>
      </c>
      <c r="AD9306">
        <v>-0.37762210000000002</v>
      </c>
      <c r="AE9306">
        <v>8.2146799999999907</v>
      </c>
      <c r="AF9306">
        <v>-8.95226376640416</v>
      </c>
      <c r="AG9306">
        <v>-0.37762210000000002</v>
      </c>
      <c r="AH9306">
        <v>77.257852964617399</v>
      </c>
      <c r="AI9306">
        <v>90.278187584105396</v>
      </c>
      <c r="AJ9306">
        <v>96.609678273869605</v>
      </c>
      <c r="AK9306">
        <v>77.775712595231994</v>
      </c>
      <c r="AL9306">
        <v>80.693440386972199</v>
      </c>
      <c r="AM9306">
        <v>97.926097369854602</v>
      </c>
      <c r="AN9306">
        <v>0.99999998737634499</v>
      </c>
    </row>
    <row r="9307" spans="1:40" x14ac:dyDescent="0.25">
      <c r="A9307" t="str">
        <f>"20190303162130876"</f>
        <v>20190303162130876</v>
      </c>
      <c r="B9307" t="str">
        <f>"1551601290861851"</f>
        <v>1551601290861851</v>
      </c>
      <c r="C9307" t="s">
        <v>40</v>
      </c>
      <c r="D9307">
        <v>4.8793439999999997</v>
      </c>
      <c r="E9307">
        <v>0.50976790000000005</v>
      </c>
      <c r="F9307" t="s">
        <v>65</v>
      </c>
      <c r="G9307">
        <v>-157.9383</v>
      </c>
      <c r="H9307">
        <v>0.82458699999999996</v>
      </c>
      <c r="I9307">
        <v>-54.566749999999999</v>
      </c>
      <c r="J9307">
        <v>-235.1437</v>
      </c>
      <c r="K9307">
        <v>1.1211789999999999</v>
      </c>
      <c r="L9307">
        <v>-62.58493</v>
      </c>
      <c r="M9307">
        <v>0.99988580000000005</v>
      </c>
      <c r="N9307">
        <v>-1.1581599999999999E-2</v>
      </c>
      <c r="O9307">
        <v>-9.6992009999999993E-3</v>
      </c>
      <c r="P9307">
        <v>0.98011749999999997</v>
      </c>
      <c r="Q9307">
        <v>0.15118489999999901</v>
      </c>
      <c r="R9307">
        <v>0.12850159999999999</v>
      </c>
      <c r="S9307">
        <v>3.021042</v>
      </c>
      <c r="T9307">
        <v>-1.158547E-2</v>
      </c>
      <c r="U9307">
        <v>0.3131409</v>
      </c>
      <c r="V9307">
        <v>-0.1379039</v>
      </c>
      <c r="W9307">
        <v>0.16259479999999901</v>
      </c>
      <c r="X9307">
        <v>0.9770084</v>
      </c>
      <c r="Y9307">
        <v>-0.1127406</v>
      </c>
      <c r="Z9307">
        <v>7.9530829999999999E-4</v>
      </c>
      <c r="AA9307">
        <v>0.99362419999999996</v>
      </c>
      <c r="AB9307">
        <v>28</v>
      </c>
      <c r="AC9307">
        <v>77.205399999999997</v>
      </c>
      <c r="AD9307">
        <v>-0.29659200000000002</v>
      </c>
      <c r="AE9307">
        <v>8.0181799999999992</v>
      </c>
      <c r="AF9307">
        <v>-8.7665557788259107</v>
      </c>
      <c r="AG9307">
        <v>-0.29659200000000002</v>
      </c>
      <c r="AH9307">
        <v>77.122866710679006</v>
      </c>
      <c r="AI9307">
        <v>90.218931890863104</v>
      </c>
      <c r="AJ9307">
        <v>96.484975985836996</v>
      </c>
      <c r="AK9307">
        <v>77.620081401083894</v>
      </c>
      <c r="AL9307">
        <v>80.642459942395604</v>
      </c>
      <c r="AM9307">
        <v>98.034175640268501</v>
      </c>
      <c r="AN9307">
        <v>0.99999998414640401</v>
      </c>
    </row>
    <row r="9308" spans="1:40" x14ac:dyDescent="0.25">
      <c r="A9308" t="str">
        <f>"20190303162130887"</f>
        <v>20190303162130887</v>
      </c>
      <c r="B9308" t="str">
        <f>"1551601290881370"</f>
        <v>1551601290881370</v>
      </c>
      <c r="C9308" t="s">
        <v>40</v>
      </c>
      <c r="D9308">
        <v>4.6005149999999997</v>
      </c>
      <c r="E9308">
        <v>0.51073519999999994</v>
      </c>
      <c r="F9308" t="s">
        <v>65</v>
      </c>
      <c r="G9308">
        <v>-157.9383</v>
      </c>
      <c r="H9308">
        <v>0.84946969999999999</v>
      </c>
      <c r="I9308">
        <v>-54.578650000000003</v>
      </c>
      <c r="J9308">
        <v>-235.0068</v>
      </c>
      <c r="K9308">
        <v>1.1211799999999901</v>
      </c>
      <c r="L9308">
        <v>-62.586399999999998</v>
      </c>
      <c r="M9308">
        <v>0.99988440000000001</v>
      </c>
      <c r="N9308">
        <v>-1.158231E-2</v>
      </c>
      <c r="O9308">
        <v>-9.8558459999999997E-3</v>
      </c>
      <c r="P9308">
        <v>0.97984839999999995</v>
      </c>
      <c r="Q9308">
        <v>0.151561</v>
      </c>
      <c r="R9308">
        <v>0.13010039999999901</v>
      </c>
      <c r="S9308">
        <v>3.021423</v>
      </c>
      <c r="T9308">
        <v>-1.0634060000000001E-2</v>
      </c>
      <c r="U9308">
        <v>0.31332399999999999</v>
      </c>
      <c r="V9308">
        <v>-0.13965269999999999</v>
      </c>
      <c r="W9308">
        <v>0.16296930000000001</v>
      </c>
      <c r="X9308">
        <v>0.97669760000000005</v>
      </c>
      <c r="Y9308">
        <v>-0.1129433</v>
      </c>
      <c r="Z9308">
        <v>7.748341E-4</v>
      </c>
      <c r="AA9308">
        <v>0.99360110000000001</v>
      </c>
      <c r="AB9308">
        <v>28</v>
      </c>
      <c r="AC9308">
        <v>77.0685</v>
      </c>
      <c r="AD9308">
        <v>-0.27171029999999902</v>
      </c>
      <c r="AE9308">
        <v>8.0077499999999908</v>
      </c>
      <c r="AF9308">
        <v>-8.7668793886600902</v>
      </c>
      <c r="AG9308">
        <v>-0.27171029999999902</v>
      </c>
      <c r="AH9308">
        <v>76.984881164072704</v>
      </c>
      <c r="AI9308">
        <v>90.200920202833203</v>
      </c>
      <c r="AJ9308">
        <v>96.496737958465502</v>
      </c>
      <c r="AK9308">
        <v>77.482926690651198</v>
      </c>
      <c r="AL9308">
        <v>80.6207130946337</v>
      </c>
      <c r="AM9308">
        <v>98.137258027565494</v>
      </c>
      <c r="AN9308">
        <v>1.0000000356027601</v>
      </c>
    </row>
    <row r="9309" spans="1:40" x14ac:dyDescent="0.25">
      <c r="A9309" t="str">
        <f>"20190303162130896"</f>
        <v>20190303162130896</v>
      </c>
      <c r="B9309" t="str">
        <f>"1551601290892107"</f>
        <v>1551601290892107</v>
      </c>
      <c r="C9309" t="s">
        <v>40</v>
      </c>
      <c r="D9309">
        <v>4.6393750000000002</v>
      </c>
      <c r="E9309">
        <v>0.51095170000000001</v>
      </c>
      <c r="F9309" t="s">
        <v>65</v>
      </c>
      <c r="G9309">
        <v>-157.3501</v>
      </c>
      <c r="H9309">
        <v>0.73577369999999898</v>
      </c>
      <c r="I9309">
        <v>-54.616289999999999</v>
      </c>
      <c r="J9309">
        <v>-234.87629999999999</v>
      </c>
      <c r="K9309">
        <v>1.121183</v>
      </c>
      <c r="L9309">
        <v>-62.587829999999997</v>
      </c>
      <c r="M9309">
        <v>0.99988290000000002</v>
      </c>
      <c r="N9309">
        <v>-1.158299E-2</v>
      </c>
      <c r="O9309">
        <v>-1.000534E-2</v>
      </c>
      <c r="P9309">
        <v>0.97956089999999996</v>
      </c>
      <c r="Q9309">
        <v>0.15197049999999901</v>
      </c>
      <c r="R9309">
        <v>0.13177829999999999</v>
      </c>
      <c r="S9309">
        <v>3.0228419999999998</v>
      </c>
      <c r="T9309">
        <v>-1.5002969999999999E-2</v>
      </c>
      <c r="U9309">
        <v>0.31024170000000001</v>
      </c>
      <c r="V9309">
        <v>-0.14147409999999999</v>
      </c>
      <c r="W9309">
        <v>0.16337670000000001</v>
      </c>
      <c r="X9309">
        <v>0.97636730000000005</v>
      </c>
      <c r="Y9309">
        <v>-0.112039899999999</v>
      </c>
      <c r="Z9309">
        <v>8.6187639999999995E-4</v>
      </c>
      <c r="AA9309">
        <v>0.99370329999999996</v>
      </c>
      <c r="AB9309">
        <v>28</v>
      </c>
      <c r="AC9309">
        <v>77.526199999999903</v>
      </c>
      <c r="AD9309">
        <v>-0.38540930000000001</v>
      </c>
      <c r="AE9309">
        <v>7.9715400000000001</v>
      </c>
      <c r="AF9309">
        <v>-8.7466550245302397</v>
      </c>
      <c r="AG9309">
        <v>-0.38540930000000001</v>
      </c>
      <c r="AH9309">
        <v>77.440661751653494</v>
      </c>
      <c r="AI9309">
        <v>90.283347650940897</v>
      </c>
      <c r="AJ9309">
        <v>96.444050735241007</v>
      </c>
      <c r="AK9309">
        <v>77.934001610212903</v>
      </c>
      <c r="AL9309">
        <v>80.597053226402707</v>
      </c>
      <c r="AM9309">
        <v>98.244688090010698</v>
      </c>
      <c r="AN9309">
        <v>0.99999998579149496</v>
      </c>
    </row>
    <row r="9310" spans="1:40" x14ac:dyDescent="0.25">
      <c r="A9310" t="str">
        <f>"20190303162130907"</f>
        <v>20190303162130907</v>
      </c>
      <c r="B9310" t="str">
        <f>"1551601290901867"</f>
        <v>1551601290901867</v>
      </c>
      <c r="C9310" t="s">
        <v>40</v>
      </c>
      <c r="D9310">
        <v>4.5801699999999999</v>
      </c>
      <c r="E9310">
        <v>0.51112219999999997</v>
      </c>
      <c r="F9310" t="s">
        <v>65</v>
      </c>
      <c r="G9310">
        <v>-157.85130000000001</v>
      </c>
      <c r="H9310">
        <v>0.70762209999999903</v>
      </c>
      <c r="I9310">
        <v>-54.603529999999999</v>
      </c>
      <c r="J9310">
        <v>-234.74359999999999</v>
      </c>
      <c r="K9310">
        <v>1.121186</v>
      </c>
      <c r="L9310">
        <v>-62.589289999999998</v>
      </c>
      <c r="M9310">
        <v>0.99988140000000003</v>
      </c>
      <c r="N9310">
        <v>-1.1583700000000001E-2</v>
      </c>
      <c r="O9310">
        <v>-1.0157090000000001E-2</v>
      </c>
      <c r="P9310">
        <v>0.97933709999999996</v>
      </c>
      <c r="Q9310">
        <v>0.152464299999999</v>
      </c>
      <c r="R9310">
        <v>0.1328675</v>
      </c>
      <c r="S9310">
        <v>3.0229490000000001</v>
      </c>
      <c r="T9310">
        <v>-1.6231539999999999E-2</v>
      </c>
      <c r="U9310">
        <v>0.31335449999999998</v>
      </c>
      <c r="V9310">
        <v>-0.14270939999999999</v>
      </c>
      <c r="W9310">
        <v>0.16386879999999901</v>
      </c>
      <c r="X9310">
        <v>0.976105</v>
      </c>
      <c r="Y9310">
        <v>-0.11319899999999999</v>
      </c>
      <c r="Z9310">
        <v>8.9757899999999904E-4</v>
      </c>
      <c r="AA9310">
        <v>0.99357189999999995</v>
      </c>
      <c r="AB9310">
        <v>28</v>
      </c>
      <c r="AC9310">
        <v>76.892299999999906</v>
      </c>
      <c r="AD9310">
        <v>-0.41356389999999998</v>
      </c>
      <c r="AE9310">
        <v>7.9857599999999902</v>
      </c>
      <c r="AF9310">
        <v>-8.7661514723553697</v>
      </c>
      <c r="AG9310">
        <v>-0.41356389999999998</v>
      </c>
      <c r="AH9310">
        <v>76.805017381136906</v>
      </c>
      <c r="AI9310">
        <v>90.306521572978696</v>
      </c>
      <c r="AJ9310">
        <v>96.511285610723803</v>
      </c>
      <c r="AK9310">
        <v>77.304767910216299</v>
      </c>
      <c r="AL9310">
        <v>80.568472583746896</v>
      </c>
      <c r="AM9310">
        <v>98.317878586271704</v>
      </c>
      <c r="AN9310">
        <v>0.99999996374339895</v>
      </c>
    </row>
    <row r="9311" spans="1:40" x14ac:dyDescent="0.25">
      <c r="A9311" t="str">
        <f>"20190303162130919"</f>
        <v>20190303162130919</v>
      </c>
      <c r="B9311" t="str">
        <f>"1551601290911626"</f>
        <v>1551601290911626</v>
      </c>
      <c r="C9311" t="s">
        <v>40</v>
      </c>
      <c r="D9311">
        <v>4.6280270000000003</v>
      </c>
      <c r="E9311">
        <v>0.51136990000000004</v>
      </c>
      <c r="F9311" t="s">
        <v>65</v>
      </c>
      <c r="G9311">
        <v>-157.9383</v>
      </c>
      <c r="H9311">
        <v>0.68877860000000002</v>
      </c>
      <c r="I9311">
        <v>-54.58343</v>
      </c>
      <c r="J9311">
        <v>-234.60589999999999</v>
      </c>
      <c r="K9311">
        <v>1.121186</v>
      </c>
      <c r="L9311">
        <v>-62.590879999999999</v>
      </c>
      <c r="M9311">
        <v>0.99987979999999999</v>
      </c>
      <c r="N9311">
        <v>-1.158444E-2</v>
      </c>
      <c r="O9311">
        <v>-1.031469E-2</v>
      </c>
      <c r="P9311">
        <v>0.97906420000000005</v>
      </c>
      <c r="Q9311">
        <v>0.1531931</v>
      </c>
      <c r="R9311">
        <v>0.13403509999999999</v>
      </c>
      <c r="S9311">
        <v>3.023193</v>
      </c>
      <c r="T9311">
        <v>-1.7021060000000001E-2</v>
      </c>
      <c r="U9311">
        <v>0.31512449999999997</v>
      </c>
      <c r="V9311">
        <v>-0.14402789999999999</v>
      </c>
      <c r="W9311">
        <v>0.16459599999999999</v>
      </c>
      <c r="X9311">
        <v>0.97578900000000002</v>
      </c>
      <c r="Y9311">
        <v>-0.1139225</v>
      </c>
      <c r="Z9311">
        <v>9.2028270000000004E-4</v>
      </c>
      <c r="AA9311">
        <v>0.99348919999999996</v>
      </c>
      <c r="AB9311">
        <v>28</v>
      </c>
      <c r="AC9311">
        <v>76.667599999999993</v>
      </c>
      <c r="AD9311">
        <v>-0.4324074</v>
      </c>
      <c r="AE9311">
        <v>8.0074499999999897</v>
      </c>
      <c r="AF9311">
        <v>-8.7976026460350703</v>
      </c>
      <c r="AG9311">
        <v>-0.4324074</v>
      </c>
      <c r="AH9311">
        <v>76.5785113349406</v>
      </c>
      <c r="AI9311">
        <v>90.321408286379807</v>
      </c>
      <c r="AJ9311">
        <v>96.553604963587205</v>
      </c>
      <c r="AK9311">
        <v>77.083417067179397</v>
      </c>
      <c r="AL9311">
        <v>80.526234148883702</v>
      </c>
      <c r="AM9311">
        <v>98.396317467482604</v>
      </c>
      <c r="AN9311">
        <v>1.0000000258577</v>
      </c>
    </row>
    <row r="9312" spans="1:40" x14ac:dyDescent="0.25">
      <c r="A9312" t="str">
        <f>"20190303162130931"</f>
        <v>20190303162130931</v>
      </c>
      <c r="B9312" t="str">
        <f>"1551601290921387"</f>
        <v>1551601290921387</v>
      </c>
      <c r="C9312" t="s">
        <v>40</v>
      </c>
      <c r="D9312">
        <v>4.6490960000000001</v>
      </c>
      <c r="E9312">
        <v>0.51157730000000001</v>
      </c>
      <c r="F9312" t="s">
        <v>65</v>
      </c>
      <c r="G9312">
        <v>-157.9383</v>
      </c>
      <c r="H9312">
        <v>0.67747219999999997</v>
      </c>
      <c r="I9312">
        <v>-54.557659999999998</v>
      </c>
      <c r="J9312">
        <v>-234.46510000000001</v>
      </c>
      <c r="K9312">
        <v>1.1211869999999999</v>
      </c>
      <c r="L9312">
        <v>-62.592469999999999</v>
      </c>
      <c r="M9312">
        <v>0.99987800000000004</v>
      </c>
      <c r="N9312">
        <v>-1.15852E-2</v>
      </c>
      <c r="O9312">
        <v>-1.047562E-2</v>
      </c>
      <c r="P9312">
        <v>0.97888710000000001</v>
      </c>
      <c r="Q9312">
        <v>0.15369849999999999</v>
      </c>
      <c r="R9312">
        <v>0.13474749999999999</v>
      </c>
      <c r="S9312">
        <v>3.023514</v>
      </c>
      <c r="T9312">
        <v>-1.749933E-2</v>
      </c>
      <c r="U9312">
        <v>0.316803</v>
      </c>
      <c r="V9312">
        <v>-0.1448953</v>
      </c>
      <c r="W9312">
        <v>0.1651001</v>
      </c>
      <c r="X9312">
        <v>0.97557539999999998</v>
      </c>
      <c r="Y9312">
        <v>-0.11461689999999999</v>
      </c>
      <c r="Z9312">
        <v>9.3601039999999995E-4</v>
      </c>
      <c r="AA9312">
        <v>0.99340930000000005</v>
      </c>
      <c r="AB9312">
        <v>28</v>
      </c>
      <c r="AC9312">
        <v>76.526799999999994</v>
      </c>
      <c r="AD9312">
        <v>-0.44371480000000002</v>
      </c>
      <c r="AE9312">
        <v>8.0348100000000002</v>
      </c>
      <c r="AF9312">
        <v>-8.8357947477280803</v>
      </c>
      <c r="AG9312">
        <v>-0.44371480000000002</v>
      </c>
      <c r="AH9312">
        <v>76.435883426202906</v>
      </c>
      <c r="AI9312">
        <v>90.330401469578206</v>
      </c>
      <c r="AJ9312">
        <v>96.593979804082906</v>
      </c>
      <c r="AK9312">
        <v>76.946165770568498</v>
      </c>
      <c r="AL9312">
        <v>80.496950721215896</v>
      </c>
      <c r="AM9312">
        <v>98.447979155356094</v>
      </c>
      <c r="AN9312">
        <v>1.0000000260336199</v>
      </c>
    </row>
    <row r="9313" spans="1:40" x14ac:dyDescent="0.25">
      <c r="A9313" t="str">
        <f>"20190303162130941"</f>
        <v>20190303162130941</v>
      </c>
      <c r="B9313" t="str">
        <f>"1551601290932123"</f>
        <v>1551601290932123</v>
      </c>
      <c r="C9313" t="s">
        <v>40</v>
      </c>
      <c r="D9313">
        <v>4.6285089999999904</v>
      </c>
      <c r="E9313">
        <v>0.51172429999999902</v>
      </c>
      <c r="F9313" t="s">
        <v>65</v>
      </c>
      <c r="G9313">
        <v>-157.9383</v>
      </c>
      <c r="H9313">
        <v>0.67482449999999905</v>
      </c>
      <c r="I9313">
        <v>-54.554600000000001</v>
      </c>
      <c r="J9313">
        <v>-234.3313</v>
      </c>
      <c r="K9313">
        <v>1.121191</v>
      </c>
      <c r="L9313">
        <v>-62.594019999999901</v>
      </c>
      <c r="M9313">
        <v>0.9998764</v>
      </c>
      <c r="N9313">
        <v>-1.158592E-2</v>
      </c>
      <c r="O9313">
        <v>-1.062856E-2</v>
      </c>
      <c r="P9313">
        <v>0.97879020000000005</v>
      </c>
      <c r="Q9313">
        <v>0.15383139999999901</v>
      </c>
      <c r="R9313">
        <v>0.135298799999999</v>
      </c>
      <c r="S9313">
        <v>3.0237729999999998</v>
      </c>
      <c r="T9313">
        <v>-1.7637730000000001E-2</v>
      </c>
      <c r="U9313">
        <v>0.3175964</v>
      </c>
      <c r="V9313">
        <v>-0.145594899999999</v>
      </c>
      <c r="W9313">
        <v>0.16523270000000001</v>
      </c>
      <c r="X9313">
        <v>0.97544869999999995</v>
      </c>
      <c r="Y9313">
        <v>-0.1150178</v>
      </c>
      <c r="Z9313">
        <v>9.4172820000000003E-4</v>
      </c>
      <c r="AA9313">
        <v>0.993363</v>
      </c>
      <c r="AB9313">
        <v>28</v>
      </c>
      <c r="AC9313">
        <v>76.393000000000001</v>
      </c>
      <c r="AD9313">
        <v>-0.4463665</v>
      </c>
      <c r="AE9313">
        <v>8.0394199999999891</v>
      </c>
      <c r="AF9313">
        <v>-8.8506690525383398</v>
      </c>
      <c r="AG9313">
        <v>-0.4463665</v>
      </c>
      <c r="AH9313">
        <v>76.300654743827806</v>
      </c>
      <c r="AI9313">
        <v>90.3329497997549</v>
      </c>
      <c r="AJ9313">
        <v>96.616584596778395</v>
      </c>
      <c r="AK9313">
        <v>76.8135632558905</v>
      </c>
      <c r="AL9313">
        <v>80.489246707663</v>
      </c>
      <c r="AM9313">
        <v>98.489262299913804</v>
      </c>
      <c r="AN9313">
        <v>0.99999994319349295</v>
      </c>
    </row>
    <row r="9314" spans="1:40" x14ac:dyDescent="0.25">
      <c r="A9314" t="str">
        <f>"20190303162130953"</f>
        <v>20190303162130953</v>
      </c>
      <c r="B9314" t="str">
        <f>"1551601290941883"</f>
        <v>1551601290941883</v>
      </c>
      <c r="C9314" t="s">
        <v>40</v>
      </c>
      <c r="D9314">
        <v>4.6180099999999999</v>
      </c>
      <c r="E9314">
        <v>0.51177039999999996</v>
      </c>
      <c r="F9314" t="s">
        <v>65</v>
      </c>
      <c r="G9314">
        <v>-157.9383</v>
      </c>
      <c r="H9314">
        <v>0.65060699999999905</v>
      </c>
      <c r="I9314">
        <v>-54.552149999999997</v>
      </c>
      <c r="J9314">
        <v>-234.19370000000001</v>
      </c>
      <c r="K9314">
        <v>1.121192</v>
      </c>
      <c r="L9314">
        <v>-62.595640000000003</v>
      </c>
      <c r="M9314">
        <v>0.99987479999999995</v>
      </c>
      <c r="N9314">
        <v>-1.158667E-2</v>
      </c>
      <c r="O9314">
        <v>-1.0785799999999899E-2</v>
      </c>
      <c r="P9314">
        <v>0.97871459999999999</v>
      </c>
      <c r="Q9314">
        <v>0.15400269999999999</v>
      </c>
      <c r="R9314">
        <v>0.13565070000000001</v>
      </c>
      <c r="S9314">
        <v>3.0239410000000002</v>
      </c>
      <c r="T9314">
        <v>-1.862836E-2</v>
      </c>
      <c r="U9314">
        <v>0.31832890000000003</v>
      </c>
      <c r="V9314">
        <v>-0.14609939999999999</v>
      </c>
      <c r="W9314">
        <v>0.16540389999999999</v>
      </c>
      <c r="X9314">
        <v>0.97534430000000005</v>
      </c>
      <c r="Y9314">
        <v>-0.1154058</v>
      </c>
      <c r="Z9314">
        <v>9.6660270000000002E-4</v>
      </c>
      <c r="AA9314">
        <v>0.99331800000000003</v>
      </c>
      <c r="AB9314">
        <v>28</v>
      </c>
      <c r="AC9314">
        <v>76.255399999999995</v>
      </c>
      <c r="AD9314">
        <v>-0.47058499999999998</v>
      </c>
      <c r="AE9314">
        <v>8.0434900000000003</v>
      </c>
      <c r="AF9314">
        <v>-8.8652187836822396</v>
      </c>
      <c r="AG9314">
        <v>-0.47058499999999998</v>
      </c>
      <c r="AH9314">
        <v>76.161333897156297</v>
      </c>
      <c r="AI9314">
        <v>90.351640043963002</v>
      </c>
      <c r="AJ9314">
        <v>96.639380210820903</v>
      </c>
      <c r="AK9314">
        <v>76.677000041204707</v>
      </c>
      <c r="AL9314">
        <v>80.479301306734001</v>
      </c>
      <c r="AM9314">
        <v>98.519145978208897</v>
      </c>
      <c r="AN9314">
        <v>0.99999999417902996</v>
      </c>
    </row>
    <row r="9315" spans="1:40" x14ac:dyDescent="0.25">
      <c r="A9315" t="str">
        <f>"20190303162130964"</f>
        <v>20190303162130964</v>
      </c>
      <c r="B9315" t="str">
        <f>"1551601290951643"</f>
        <v>1551601290951643</v>
      </c>
      <c r="C9315" t="s">
        <v>40</v>
      </c>
      <c r="D9315">
        <v>4.6057940000000004</v>
      </c>
      <c r="E9315">
        <v>0.51196609999999998</v>
      </c>
      <c r="F9315" t="s">
        <v>65</v>
      </c>
      <c r="G9315">
        <v>-157.9383</v>
      </c>
      <c r="H9315">
        <v>0.64623169999999996</v>
      </c>
      <c r="I9315">
        <v>-54.554569999999998</v>
      </c>
      <c r="J9315">
        <v>-234.05269999999999</v>
      </c>
      <c r="K9315">
        <v>1.1211930000000001</v>
      </c>
      <c r="L9315">
        <v>-62.597349999999999</v>
      </c>
      <c r="M9315">
        <v>0.99987300000000001</v>
      </c>
      <c r="N9315">
        <v>-1.1587429999999999E-2</v>
      </c>
      <c r="O9315">
        <v>-1.094697E-2</v>
      </c>
      <c r="P9315">
        <v>0.97864359999999995</v>
      </c>
      <c r="Q9315">
        <v>0.15398129999999999</v>
      </c>
      <c r="R9315">
        <v>0.13618529999999901</v>
      </c>
      <c r="S9315">
        <v>3.0240019999999999</v>
      </c>
      <c r="T9315">
        <v>-1.8835899999999999E-2</v>
      </c>
      <c r="U9315">
        <v>0.3188782</v>
      </c>
      <c r="V9315">
        <v>-0.14679010000000001</v>
      </c>
      <c r="W9315">
        <v>0.16538229999999901</v>
      </c>
      <c r="X9315">
        <v>0.97524429999999995</v>
      </c>
      <c r="Y9315">
        <v>-0.1157421</v>
      </c>
      <c r="Z9315">
        <v>9.7345980000000003E-4</v>
      </c>
      <c r="AA9315">
        <v>0.99327880000000002</v>
      </c>
      <c r="AB9315">
        <v>28</v>
      </c>
      <c r="AC9315">
        <v>76.114399999999904</v>
      </c>
      <c r="AD9315">
        <v>-0.47496129999999998</v>
      </c>
      <c r="AE9315">
        <v>8.0427800000000005</v>
      </c>
      <c r="AF9315">
        <v>-8.8752341843515001</v>
      </c>
      <c r="AG9315">
        <v>-0.47496129999999998</v>
      </c>
      <c r="AH9315">
        <v>76.018861246722196</v>
      </c>
      <c r="AI9315">
        <v>90.3555609458476</v>
      </c>
      <c r="AJ9315">
        <v>96.659159427233604</v>
      </c>
      <c r="AK9315">
        <v>76.536675099666994</v>
      </c>
      <c r="AL9315">
        <v>80.480556634085104</v>
      </c>
      <c r="AM9315">
        <v>98.559690627295893</v>
      </c>
      <c r="AN9315">
        <v>1.0000000416468899</v>
      </c>
    </row>
    <row r="9316" spans="1:40" x14ac:dyDescent="0.25">
      <c r="A9316" t="str">
        <f>"20190303162130976"</f>
        <v>20190303162130976</v>
      </c>
      <c r="B9316" t="str">
        <f>"1551601290961403"</f>
        <v>1551601290961403</v>
      </c>
      <c r="C9316" t="s">
        <v>40</v>
      </c>
      <c r="D9316">
        <v>4.6142649999999996</v>
      </c>
      <c r="E9316">
        <v>0.51216300000000003</v>
      </c>
      <c r="F9316" t="s">
        <v>65</v>
      </c>
      <c r="G9316">
        <v>-157.9383</v>
      </c>
      <c r="H9316">
        <v>0.57649680000000003</v>
      </c>
      <c r="I9316">
        <v>-54.575629999999997</v>
      </c>
      <c r="J9316">
        <v>-233.91470000000001</v>
      </c>
      <c r="K9316">
        <v>1.121194</v>
      </c>
      <c r="L9316">
        <v>-62.599029999999999</v>
      </c>
      <c r="M9316">
        <v>0.99987119999999996</v>
      </c>
      <c r="N9316">
        <v>-1.158816E-2</v>
      </c>
      <c r="O9316">
        <v>-1.1104330000000001E-2</v>
      </c>
      <c r="P9316">
        <v>0.97853380000000001</v>
      </c>
      <c r="Q9316">
        <v>0.15421969999999999</v>
      </c>
      <c r="R9316">
        <v>0.13670399999999999</v>
      </c>
      <c r="S9316">
        <v>3.0245359999999999</v>
      </c>
      <c r="T9316">
        <v>-2.1645190000000002E-2</v>
      </c>
      <c r="U9316">
        <v>0.31875609999999999</v>
      </c>
      <c r="V9316">
        <v>-0.1474617</v>
      </c>
      <c r="W9316">
        <v>0.1656202</v>
      </c>
      <c r="X9316">
        <v>0.97510249999999998</v>
      </c>
      <c r="Y9316">
        <v>-0.1158392</v>
      </c>
      <c r="Z9316">
        <v>1.0373800000000001E-3</v>
      </c>
      <c r="AA9316">
        <v>0.99326740000000002</v>
      </c>
      <c r="AB9316">
        <v>28</v>
      </c>
      <c r="AC9316">
        <v>75.976399999999998</v>
      </c>
      <c r="AD9316">
        <v>-0.54469719999999999</v>
      </c>
      <c r="AE9316">
        <v>8.0234000000000005</v>
      </c>
      <c r="AF9316">
        <v>-8.8661782325352103</v>
      </c>
      <c r="AG9316">
        <v>-0.54469719999999999</v>
      </c>
      <c r="AH9316">
        <v>75.878757522979996</v>
      </c>
      <c r="AI9316">
        <v>90.408512660273004</v>
      </c>
      <c r="AJ9316">
        <v>96.664598353026093</v>
      </c>
      <c r="AK9316">
        <v>76.396934851615299</v>
      </c>
      <c r="AL9316">
        <v>80.466734433434993</v>
      </c>
      <c r="AM9316">
        <v>98.599500914006398</v>
      </c>
      <c r="AN9316">
        <v>0.99999994456058805</v>
      </c>
    </row>
    <row r="9317" spans="1:40" x14ac:dyDescent="0.25">
      <c r="A9317" t="str">
        <f>"20190303162130986"</f>
        <v>20190303162130986</v>
      </c>
      <c r="B9317" t="str">
        <f>"1551601290981899"</f>
        <v>1551601290981899</v>
      </c>
      <c r="C9317" t="s">
        <v>40</v>
      </c>
      <c r="D9317">
        <v>4.6053680000000004</v>
      </c>
      <c r="E9317">
        <v>0.51260989999999995</v>
      </c>
      <c r="F9317" t="s">
        <v>65</v>
      </c>
      <c r="G9317">
        <v>-157.9383</v>
      </c>
      <c r="H9317">
        <v>0.55566479999999996</v>
      </c>
      <c r="I9317">
        <v>-54.594149999999999</v>
      </c>
      <c r="J9317">
        <v>-233.7766</v>
      </c>
      <c r="K9317">
        <v>1.1211960000000001</v>
      </c>
      <c r="L9317">
        <v>-62.600679999999997</v>
      </c>
      <c r="M9317">
        <v>0.99986949999999997</v>
      </c>
      <c r="N9317">
        <v>-1.1588899999999999E-2</v>
      </c>
      <c r="O9317">
        <v>-1.126216E-2</v>
      </c>
      <c r="P9317">
        <v>0.97849540000000002</v>
      </c>
      <c r="Q9317">
        <v>0.15406059999999999</v>
      </c>
      <c r="R9317">
        <v>0.13715810000000001</v>
      </c>
      <c r="S9317">
        <v>3.024826</v>
      </c>
      <c r="T9317">
        <v>-2.2516009999999999E-2</v>
      </c>
      <c r="U9317">
        <v>0.31869509999999901</v>
      </c>
      <c r="V9317">
        <v>-0.1480696</v>
      </c>
      <c r="W9317">
        <v>0.16546179999999999</v>
      </c>
      <c r="X9317">
        <v>0.9750373</v>
      </c>
      <c r="Y9317">
        <v>-0.11596579999999999</v>
      </c>
      <c r="Z9317">
        <v>1.057739E-3</v>
      </c>
      <c r="AA9317">
        <v>0.99325260000000004</v>
      </c>
      <c r="AB9317">
        <v>28</v>
      </c>
      <c r="AC9317">
        <v>75.838300000000004</v>
      </c>
      <c r="AD9317">
        <v>-0.56553119999999901</v>
      </c>
      <c r="AE9317">
        <v>8.0065299999999997</v>
      </c>
      <c r="AF9317">
        <v>-8.8596952809288396</v>
      </c>
      <c r="AG9317">
        <v>-0.56553119999999901</v>
      </c>
      <c r="AH9317">
        <v>75.739147544358204</v>
      </c>
      <c r="AI9317">
        <v>90.424912631474399</v>
      </c>
      <c r="AJ9317">
        <v>96.671934366709294</v>
      </c>
      <c r="AK9317">
        <v>76.2576717239331</v>
      </c>
      <c r="AL9317">
        <v>80.475937347906594</v>
      </c>
      <c r="AM9317">
        <v>98.634987170663393</v>
      </c>
      <c r="AN9317">
        <v>0.99999997504734395</v>
      </c>
    </row>
    <row r="9318" spans="1:40" x14ac:dyDescent="0.25">
      <c r="A9318" t="str">
        <f>"20190303162130997"</f>
        <v>20190303162130997</v>
      </c>
      <c r="B9318" t="str">
        <f>"1551601290991659"</f>
        <v>1551601290991659</v>
      </c>
      <c r="C9318" t="s">
        <v>40</v>
      </c>
      <c r="D9318">
        <v>4.6107620000000002</v>
      </c>
      <c r="E9318">
        <v>0.51276409999999994</v>
      </c>
      <c r="F9318" t="s">
        <v>65</v>
      </c>
      <c r="G9318">
        <v>-157.3501</v>
      </c>
      <c r="H9318">
        <v>0.47015479999999998</v>
      </c>
      <c r="I9318">
        <v>-54.608310000000003</v>
      </c>
      <c r="J9318">
        <v>-233.63929999999999</v>
      </c>
      <c r="K9318">
        <v>1.1211960000000001</v>
      </c>
      <c r="L9318">
        <v>-62.602420000000002</v>
      </c>
      <c r="M9318">
        <v>0.99986770000000003</v>
      </c>
      <c r="N9318">
        <v>-1.158963E-2</v>
      </c>
      <c r="O9318">
        <v>-1.141868E-2</v>
      </c>
      <c r="P9318">
        <v>0.97842289999999998</v>
      </c>
      <c r="Q9318">
        <v>0.15423480000000001</v>
      </c>
      <c r="R9318">
        <v>0.13747870000000001</v>
      </c>
      <c r="S9318">
        <v>3.02562</v>
      </c>
      <c r="T9318">
        <v>-2.5774600000000002E-2</v>
      </c>
      <c r="U9318">
        <v>0.31640629999999997</v>
      </c>
      <c r="V9318">
        <v>-0.14854229999999999</v>
      </c>
      <c r="W9318">
        <v>0.16563530000000001</v>
      </c>
      <c r="X9318">
        <v>0.97493589999999997</v>
      </c>
      <c r="Y9318">
        <v>-0.1153493</v>
      </c>
      <c r="Z9318">
        <v>1.125324E-3</v>
      </c>
      <c r="AA9318">
        <v>0.99332430000000005</v>
      </c>
      <c r="AB9318">
        <v>28</v>
      </c>
      <c r="AC9318">
        <v>76.289199999999994</v>
      </c>
      <c r="AD9318">
        <v>-0.65104119999999899</v>
      </c>
      <c r="AE9318">
        <v>7.9941099999999903</v>
      </c>
      <c r="AF9318">
        <v>-8.8641306364494508</v>
      </c>
      <c r="AG9318">
        <v>-0.65104119999999899</v>
      </c>
      <c r="AH9318">
        <v>76.187449108715597</v>
      </c>
      <c r="AI9318">
        <v>90.486314874139197</v>
      </c>
      <c r="AJ9318">
        <v>96.636317303908001</v>
      </c>
      <c r="AK9318">
        <v>76.704133319380304</v>
      </c>
      <c r="AL9318">
        <v>80.465857090156305</v>
      </c>
      <c r="AM9318">
        <v>98.663023431104406</v>
      </c>
      <c r="AN9318">
        <v>0.99999993830209299</v>
      </c>
    </row>
    <row r="9319" spans="1:40" x14ac:dyDescent="0.25">
      <c r="A9319" t="str">
        <f>"20190303162131009"</f>
        <v>20190303162131009</v>
      </c>
      <c r="B9319" t="str">
        <f>"1551601291001419"</f>
        <v>1551601291001419</v>
      </c>
      <c r="C9319" t="s">
        <v>40</v>
      </c>
      <c r="D9319">
        <v>4.6166429999999998</v>
      </c>
      <c r="E9319">
        <v>0.51291889999999996</v>
      </c>
      <c r="F9319" t="s">
        <v>65</v>
      </c>
      <c r="G9319">
        <v>-157.3501</v>
      </c>
      <c r="H9319">
        <v>0.4377528</v>
      </c>
      <c r="I9319">
        <v>-54.633879999999998</v>
      </c>
      <c r="J9319">
        <v>-233.50540000000001</v>
      </c>
      <c r="K9319">
        <v>1.1211930000000001</v>
      </c>
      <c r="L9319">
        <v>-62.604100000000003</v>
      </c>
      <c r="M9319">
        <v>0.99986580000000003</v>
      </c>
      <c r="N9319">
        <v>-1.1590339999999999E-2</v>
      </c>
      <c r="O9319">
        <v>-1.1571390000000001E-2</v>
      </c>
      <c r="P9319">
        <v>0.97835620000000001</v>
      </c>
      <c r="Q9319">
        <v>0.154169899999999</v>
      </c>
      <c r="R9319">
        <v>0.1380239</v>
      </c>
      <c r="S9319">
        <v>3.0260009999999999</v>
      </c>
      <c r="T9319">
        <v>-2.7109379999999999E-2</v>
      </c>
      <c r="U9319">
        <v>0.31607059999999998</v>
      </c>
      <c r="V9319">
        <v>-0.1492356</v>
      </c>
      <c r="W9319">
        <v>0.16557089999999999</v>
      </c>
      <c r="X9319">
        <v>0.97484099999999996</v>
      </c>
      <c r="Y9319">
        <v>-0.11537840000000001</v>
      </c>
      <c r="Z9319">
        <v>1.155576E-3</v>
      </c>
      <c r="AA9319">
        <v>0.99332089999999995</v>
      </c>
      <c r="AB9319">
        <v>28</v>
      </c>
      <c r="AC9319">
        <v>76.155299999999997</v>
      </c>
      <c r="AD9319">
        <v>-0.68344020000000005</v>
      </c>
      <c r="AE9319">
        <v>7.9702199999999896</v>
      </c>
      <c r="AF9319">
        <v>-8.8502631945102106</v>
      </c>
      <c r="AG9319">
        <v>-0.68344020000000005</v>
      </c>
      <c r="AH9319">
        <v>76.051909226089407</v>
      </c>
      <c r="AI9319">
        <v>90.511423358866395</v>
      </c>
      <c r="AJ9319">
        <v>96.637731180091905</v>
      </c>
      <c r="AK9319">
        <v>76.568186252858396</v>
      </c>
      <c r="AL9319">
        <v>80.469599012747693</v>
      </c>
      <c r="AM9319">
        <v>98.703673457737594</v>
      </c>
      <c r="AN9319">
        <v>0.99999998125758405</v>
      </c>
    </row>
    <row r="9320" spans="1:40" x14ac:dyDescent="0.25">
      <c r="A9320" t="str">
        <f>"20190303162131018"</f>
        <v>20190303162131018</v>
      </c>
      <c r="B9320" t="str">
        <f>"1551601291012155"</f>
        <v>1551601291012155</v>
      </c>
      <c r="C9320" t="s">
        <v>40</v>
      </c>
      <c r="D9320">
        <v>4.6088009999999997</v>
      </c>
      <c r="E9320">
        <v>0.51299519999999998</v>
      </c>
      <c r="F9320" t="s">
        <v>65</v>
      </c>
      <c r="G9320">
        <v>-157.3501</v>
      </c>
      <c r="H9320">
        <v>0.39699089999999998</v>
      </c>
      <c r="I9320">
        <v>-54.64105</v>
      </c>
      <c r="J9320">
        <v>-233.37129999999999</v>
      </c>
      <c r="K9320">
        <v>1.1211899999999999</v>
      </c>
      <c r="L9320">
        <v>-62.605800000000002</v>
      </c>
      <c r="M9320">
        <v>0.99986419999999998</v>
      </c>
      <c r="N9320">
        <v>-1.159105E-2</v>
      </c>
      <c r="O9320">
        <v>-1.172433E-2</v>
      </c>
      <c r="P9320">
        <v>0.97834180000000004</v>
      </c>
      <c r="Q9320">
        <v>0.1540946</v>
      </c>
      <c r="R9320">
        <v>0.1382111</v>
      </c>
      <c r="S9320">
        <v>3.0262760000000002</v>
      </c>
      <c r="T9320">
        <v>-2.8779269999999999E-2</v>
      </c>
      <c r="U9320">
        <v>0.31643680000000002</v>
      </c>
      <c r="V9320">
        <v>-0.14957219999999999</v>
      </c>
      <c r="W9320">
        <v>0.16549559999999999</v>
      </c>
      <c r="X9320">
        <v>0.97480219999999995</v>
      </c>
      <c r="Y9320">
        <v>-0.11563900000000001</v>
      </c>
      <c r="Z9320">
        <v>1.1961020000000001E-3</v>
      </c>
      <c r="AA9320">
        <v>0.99329060000000002</v>
      </c>
      <c r="AB9320">
        <v>28</v>
      </c>
      <c r="AC9320">
        <v>76.021199999999993</v>
      </c>
      <c r="AD9320">
        <v>-0.72419909999999899</v>
      </c>
      <c r="AE9320">
        <v>7.9647500000000004</v>
      </c>
      <c r="AF9320">
        <v>-8.8547650589043503</v>
      </c>
      <c r="AG9320">
        <v>-0.72419909999999899</v>
      </c>
      <c r="AH9320">
        <v>75.915772012799707</v>
      </c>
      <c r="AI9320">
        <v>90.542876807759598</v>
      </c>
      <c r="AJ9320">
        <v>96.652880002684199</v>
      </c>
      <c r="AK9320">
        <v>76.433865327381</v>
      </c>
      <c r="AL9320">
        <v>80.473973753404096</v>
      </c>
      <c r="AM9320">
        <v>98.723344789133705</v>
      </c>
      <c r="AN9320">
        <v>0.99999998287851899</v>
      </c>
    </row>
    <row r="9321" spans="1:40" x14ac:dyDescent="0.25">
      <c r="A9321" t="str">
        <f>"20190303162131031"</f>
        <v>20190303162131031</v>
      </c>
      <c r="B9321" t="str">
        <f>"1551601291021915"</f>
        <v>1551601291021915</v>
      </c>
      <c r="C9321" t="s">
        <v>40</v>
      </c>
      <c r="D9321">
        <v>4.6256969999999997</v>
      </c>
      <c r="E9321">
        <v>0.51320149999999998</v>
      </c>
      <c r="F9321" t="s">
        <v>65</v>
      </c>
      <c r="G9321">
        <v>-157.3501</v>
      </c>
      <c r="H9321">
        <v>0.36010979999999998</v>
      </c>
      <c r="I9321">
        <v>-54.661169999999998</v>
      </c>
      <c r="J9321">
        <v>-233.22880000000001</v>
      </c>
      <c r="K9321">
        <v>1.121189</v>
      </c>
      <c r="L9321">
        <v>-62.607669999999999</v>
      </c>
      <c r="M9321">
        <v>0.99986229999999998</v>
      </c>
      <c r="N9321">
        <v>-1.1591809999999999E-2</v>
      </c>
      <c r="O9321">
        <v>-1.188693E-2</v>
      </c>
      <c r="P9321">
        <v>0.97833340000000002</v>
      </c>
      <c r="Q9321">
        <v>0.15390499999999999</v>
      </c>
      <c r="R9321">
        <v>0.13848289999999999</v>
      </c>
      <c r="S9321">
        <v>3.0264890000000002</v>
      </c>
      <c r="T9321">
        <v>-3.0300259999999999E-2</v>
      </c>
      <c r="U9321">
        <v>0.31628420000000002</v>
      </c>
      <c r="V9321">
        <v>-0.15000329999999901</v>
      </c>
      <c r="W9321">
        <v>0.1653066</v>
      </c>
      <c r="X9321">
        <v>0.97476799999999997</v>
      </c>
      <c r="Y9321">
        <v>-0.11574280000000001</v>
      </c>
      <c r="Z9321">
        <v>1.231813E-3</v>
      </c>
      <c r="AA9321">
        <v>0.99327840000000001</v>
      </c>
      <c r="AB9321">
        <v>28</v>
      </c>
      <c r="AC9321">
        <v>75.878699999999995</v>
      </c>
      <c r="AD9321">
        <v>-0.76107919999999996</v>
      </c>
      <c r="AE9321">
        <v>7.9465000000000003</v>
      </c>
      <c r="AF9321">
        <v>-8.8470833526239492</v>
      </c>
      <c r="AG9321">
        <v>-0.76107919999999996</v>
      </c>
      <c r="AH9321">
        <v>75.771332190339507</v>
      </c>
      <c r="AI9321">
        <v>90.571600750852099</v>
      </c>
      <c r="AJ9321">
        <v>96.6597176500144</v>
      </c>
      <c r="AK9321">
        <v>76.289874212084797</v>
      </c>
      <c r="AL9321">
        <v>80.484953652483796</v>
      </c>
      <c r="AM9321">
        <v>98.748401181123299</v>
      </c>
      <c r="AN9321">
        <v>0.99999995791922403</v>
      </c>
    </row>
    <row r="9322" spans="1:40" x14ac:dyDescent="0.25">
      <c r="A9322" t="str">
        <f>"20190303162131042"</f>
        <v>20190303162131042</v>
      </c>
      <c r="B9322" t="str">
        <f>"1551601291031675"</f>
        <v>1551601291031675</v>
      </c>
      <c r="C9322" t="s">
        <v>40</v>
      </c>
      <c r="D9322">
        <v>4.5968169999999997</v>
      </c>
      <c r="E9322">
        <v>0.51329550000000002</v>
      </c>
      <c r="F9322" t="s">
        <v>65</v>
      </c>
      <c r="G9322">
        <v>-157.3501</v>
      </c>
      <c r="H9322">
        <v>0.30131520000000001</v>
      </c>
      <c r="I9322">
        <v>-54.699750000000002</v>
      </c>
      <c r="J9322">
        <v>-233.09129999999999</v>
      </c>
      <c r="K9322">
        <v>1.121186</v>
      </c>
      <c r="L9322">
        <v>-62.609439999999999</v>
      </c>
      <c r="M9322">
        <v>0.99986030000000004</v>
      </c>
      <c r="N9322">
        <v>-1.159255E-2</v>
      </c>
      <c r="O9322">
        <v>-1.2043689999999999E-2</v>
      </c>
      <c r="P9322">
        <v>0.97833199999999998</v>
      </c>
      <c r="Q9322">
        <v>0.15368399999999999</v>
      </c>
      <c r="R9322">
        <v>0.1387369</v>
      </c>
      <c r="S9322">
        <v>3.026932</v>
      </c>
      <c r="T9322">
        <v>-3.2706979999999997E-2</v>
      </c>
      <c r="U9322">
        <v>0.31546020000000002</v>
      </c>
      <c r="V9322">
        <v>-0.15040999999999999</v>
      </c>
      <c r="W9322">
        <v>0.1650865</v>
      </c>
      <c r="X9322">
        <v>0.97474269999999996</v>
      </c>
      <c r="Y9322">
        <v>-0.1156146</v>
      </c>
      <c r="Z9322">
        <v>1.285502E-3</v>
      </c>
      <c r="AA9322">
        <v>0.99329330000000005</v>
      </c>
      <c r="AB9322">
        <v>28</v>
      </c>
      <c r="AC9322">
        <v>75.741199999999907</v>
      </c>
      <c r="AD9322">
        <v>-0.81987080000000001</v>
      </c>
      <c r="AE9322">
        <v>7.9096899999999897</v>
      </c>
      <c r="AF9322">
        <v>-8.8203587015568292</v>
      </c>
      <c r="AG9322">
        <v>-0.81987080000000001</v>
      </c>
      <c r="AH9322">
        <v>75.631671296856197</v>
      </c>
      <c r="AI9322">
        <v>90.616899040658893</v>
      </c>
      <c r="AJ9322">
        <v>96.651931527076499</v>
      </c>
      <c r="AK9322">
        <v>76.148674439602104</v>
      </c>
      <c r="AL9322">
        <v>80.497740783738394</v>
      </c>
      <c r="AM9322">
        <v>98.771976217694998</v>
      </c>
      <c r="AN9322">
        <v>1.0000000258927599</v>
      </c>
    </row>
    <row r="9323" spans="1:40" x14ac:dyDescent="0.25">
      <c r="A9323" t="str">
        <f>"20190303162131054"</f>
        <v>20190303162131054</v>
      </c>
      <c r="B9323" t="str">
        <f>"1551601291041436"</f>
        <v>1551601291041436</v>
      </c>
      <c r="C9323" t="s">
        <v>40</v>
      </c>
      <c r="D9323">
        <v>4.614471</v>
      </c>
      <c r="E9323">
        <v>0.51337140000000003</v>
      </c>
      <c r="F9323" t="s">
        <v>65</v>
      </c>
      <c r="G9323">
        <v>-157.3501</v>
      </c>
      <c r="H9323">
        <v>0.25108920000000001</v>
      </c>
      <c r="I9323">
        <v>-54.719529999999999</v>
      </c>
      <c r="J9323">
        <v>-232.94659999999999</v>
      </c>
      <c r="K9323">
        <v>1.1211869999999999</v>
      </c>
      <c r="L9323">
        <v>-62.611359999999998</v>
      </c>
      <c r="M9323">
        <v>0.99985829999999998</v>
      </c>
      <c r="N9323">
        <v>-1.159336E-2</v>
      </c>
      <c r="O9323">
        <v>-1.220832E-2</v>
      </c>
      <c r="P9323">
        <v>0.97831920000000006</v>
      </c>
      <c r="Q9323">
        <v>0.1534557</v>
      </c>
      <c r="R9323">
        <v>0.13907949999999999</v>
      </c>
      <c r="S9323">
        <v>3.0271759999999999</v>
      </c>
      <c r="T9323">
        <v>-3.4776210000000002E-2</v>
      </c>
      <c r="U9323">
        <v>0.31533810000000001</v>
      </c>
      <c r="V9323">
        <v>-0.15091309999999999</v>
      </c>
      <c r="W9323">
        <v>0.16485839999999999</v>
      </c>
      <c r="X9323">
        <v>0.97470349999999994</v>
      </c>
      <c r="Y9323">
        <v>-0.1157289</v>
      </c>
      <c r="Z9323">
        <v>1.3343999999999999E-3</v>
      </c>
      <c r="AA9323">
        <v>0.99327989999999999</v>
      </c>
      <c r="AB9323">
        <v>28</v>
      </c>
      <c r="AC9323">
        <v>75.596499999999907</v>
      </c>
      <c r="AD9323">
        <v>-0.87009780000000003</v>
      </c>
      <c r="AE9323">
        <v>7.8918299999999899</v>
      </c>
      <c r="AF9323">
        <v>-8.8130551271552697</v>
      </c>
      <c r="AG9323">
        <v>-0.87009780000000003</v>
      </c>
      <c r="AH9323">
        <v>75.4846210134464</v>
      </c>
      <c r="AI9323">
        <v>90.655953798559693</v>
      </c>
      <c r="AJ9323">
        <v>96.659304487837005</v>
      </c>
      <c r="AK9323">
        <v>76.002335624633801</v>
      </c>
      <c r="AL9323">
        <v>80.510991112079793</v>
      </c>
      <c r="AM9323">
        <v>98.801207034533704</v>
      </c>
      <c r="AN9323">
        <v>0.99999998435720905</v>
      </c>
    </row>
    <row r="9324" spans="1:40" x14ac:dyDescent="0.25">
      <c r="A9324" t="str">
        <f>"20190303162131066"</f>
        <v>20190303162131066</v>
      </c>
      <c r="B9324" t="str">
        <f>"1551601291052171"</f>
        <v>1551601291052171</v>
      </c>
      <c r="C9324" t="s">
        <v>40</v>
      </c>
      <c r="D9324">
        <v>4.6269859999999996</v>
      </c>
      <c r="E9324">
        <v>0.5135033</v>
      </c>
      <c r="F9324" t="s">
        <v>65</v>
      </c>
      <c r="G9324">
        <v>-157.3501</v>
      </c>
      <c r="H9324">
        <v>0.2077099</v>
      </c>
      <c r="I9324">
        <v>-54.732430000000001</v>
      </c>
      <c r="J9324">
        <v>-232.80009999999999</v>
      </c>
      <c r="K9324">
        <v>1.1211869999999999</v>
      </c>
      <c r="L9324">
        <v>-62.613280000000003</v>
      </c>
      <c r="M9324">
        <v>0.99985619999999997</v>
      </c>
      <c r="N9324">
        <v>-1.1594190000000001E-2</v>
      </c>
      <c r="O9324">
        <v>-1.2375209999999999E-2</v>
      </c>
      <c r="P9324">
        <v>0.97829880000000002</v>
      </c>
      <c r="Q9324">
        <v>0.1533398</v>
      </c>
      <c r="R9324">
        <v>0.13934959999999999</v>
      </c>
      <c r="S9324">
        <v>3.0273590000000001</v>
      </c>
      <c r="T9324">
        <v>-3.6582110000000001E-2</v>
      </c>
      <c r="U9324">
        <v>0.3155212</v>
      </c>
      <c r="V9324">
        <v>-0.15134639999999999</v>
      </c>
      <c r="W9324">
        <v>0.16474369999999999</v>
      </c>
      <c r="X9324">
        <v>0.97465570000000001</v>
      </c>
      <c r="Y9324">
        <v>-0.1159467</v>
      </c>
      <c r="Z9324">
        <v>1.37873799999999E-3</v>
      </c>
      <c r="AA9324">
        <v>0.99325450000000004</v>
      </c>
      <c r="AB9324">
        <v>28</v>
      </c>
      <c r="AC9324">
        <v>75.449999999999903</v>
      </c>
      <c r="AD9324">
        <v>-0.91347710000000004</v>
      </c>
      <c r="AE9324">
        <v>7.8808499999999899</v>
      </c>
      <c r="AF9324">
        <v>-8.8127409612802303</v>
      </c>
      <c r="AG9324">
        <v>-0.91347710000000004</v>
      </c>
      <c r="AH9324">
        <v>75.335764252815196</v>
      </c>
      <c r="AI9324">
        <v>90.689996301741104</v>
      </c>
      <c r="AJ9324">
        <v>96.672108443933297</v>
      </c>
      <c r="AK9324">
        <v>75.854968322573299</v>
      </c>
      <c r="AL9324">
        <v>80.517653966399294</v>
      </c>
      <c r="AM9324">
        <v>98.826505687521006</v>
      </c>
      <c r="AN9324">
        <v>0.999999976512569</v>
      </c>
    </row>
    <row r="9325" spans="1:40" x14ac:dyDescent="0.25">
      <c r="A9325" t="str">
        <f>"20190303162131077"</f>
        <v>20190303162131077</v>
      </c>
      <c r="B9325" t="str">
        <f>"1551601291061930"</f>
        <v>1551601291061930</v>
      </c>
      <c r="C9325" t="s">
        <v>40</v>
      </c>
      <c r="D9325">
        <v>4.651383</v>
      </c>
      <c r="E9325">
        <v>0.51360490000000003</v>
      </c>
      <c r="F9325" t="s">
        <v>65</v>
      </c>
      <c r="G9325">
        <v>-157.3501</v>
      </c>
      <c r="H9325">
        <v>0.1665555</v>
      </c>
      <c r="I9325">
        <v>-54.76258</v>
      </c>
      <c r="J9325">
        <v>-232.65180000000001</v>
      </c>
      <c r="K9325">
        <v>1.1211799999999901</v>
      </c>
      <c r="L9325">
        <v>-62.61533</v>
      </c>
      <c r="M9325">
        <v>0.99985409999999997</v>
      </c>
      <c r="N9325">
        <v>-1.159498E-2</v>
      </c>
      <c r="O9325">
        <v>-1.254425E-2</v>
      </c>
      <c r="P9325">
        <v>0.97830629999999996</v>
      </c>
      <c r="Q9325">
        <v>0.1532029</v>
      </c>
      <c r="R9325">
        <v>0.13944790000000001</v>
      </c>
      <c r="S9325">
        <v>3.0276640000000001</v>
      </c>
      <c r="T9325">
        <v>-3.8308259999999997E-2</v>
      </c>
      <c r="U9325">
        <v>0.31503300000000001</v>
      </c>
      <c r="V9325">
        <v>-0.15160969999999999</v>
      </c>
      <c r="W9325">
        <v>0.16460720000000001</v>
      </c>
      <c r="X9325">
        <v>0.97463789999999995</v>
      </c>
      <c r="Y9325">
        <v>-0.11594459999999999</v>
      </c>
      <c r="Z9325">
        <v>1.4188429999999999E-3</v>
      </c>
      <c r="AA9325">
        <v>0.99325469999999905</v>
      </c>
      <c r="AB9325">
        <v>28</v>
      </c>
      <c r="AC9325">
        <v>75.301699999999997</v>
      </c>
      <c r="AD9325">
        <v>-0.95462449999999999</v>
      </c>
      <c r="AE9325">
        <v>7.8527500000000003</v>
      </c>
      <c r="AF9325">
        <v>-8.7954005459669897</v>
      </c>
      <c r="AG9325">
        <v>-0.95462449999999999</v>
      </c>
      <c r="AH9325">
        <v>75.185307430236605</v>
      </c>
      <c r="AI9325">
        <v>90.722516374634594</v>
      </c>
      <c r="AJ9325">
        <v>96.672303867670294</v>
      </c>
      <c r="AK9325">
        <v>75.704034450478204</v>
      </c>
      <c r="AL9325">
        <v>80.525583637921898</v>
      </c>
      <c r="AM9325">
        <v>98.841777825565003</v>
      </c>
      <c r="AN9325">
        <v>1.0000000337711601</v>
      </c>
    </row>
    <row r="9326" spans="1:40" x14ac:dyDescent="0.25">
      <c r="A9326" t="str">
        <f>"20190303162131088"</f>
        <v>20190303162131088</v>
      </c>
      <c r="B9326" t="str">
        <f>"1551601291081451"</f>
        <v>1551601291081451</v>
      </c>
      <c r="C9326" t="s">
        <v>40</v>
      </c>
      <c r="D9326">
        <v>4.6305139999999998</v>
      </c>
      <c r="E9326">
        <v>0.51386069999999995</v>
      </c>
      <c r="F9326" t="s">
        <v>65</v>
      </c>
      <c r="G9326">
        <v>-157.3501</v>
      </c>
      <c r="H9326">
        <v>0.1260761</v>
      </c>
      <c r="I9326">
        <v>-54.799100000000003</v>
      </c>
      <c r="J9326">
        <v>-232.52420000000001</v>
      </c>
      <c r="K9326">
        <v>1.1211799999999901</v>
      </c>
      <c r="L9326">
        <v>-62.617069999999998</v>
      </c>
      <c r="M9326">
        <v>0.99985219999999997</v>
      </c>
      <c r="N9326">
        <v>-1.1595650000000001E-2</v>
      </c>
      <c r="O9326">
        <v>-1.2689809999999999E-2</v>
      </c>
      <c r="P9326">
        <v>0.97826780000000002</v>
      </c>
      <c r="Q9326">
        <v>0.15337390000000001</v>
      </c>
      <c r="R9326">
        <v>0.1395296</v>
      </c>
      <c r="S9326">
        <v>3.0279850000000001</v>
      </c>
      <c r="T9326">
        <v>-4.0015219999999997E-2</v>
      </c>
      <c r="U9326">
        <v>0.31430049999999998</v>
      </c>
      <c r="V9326">
        <v>-0.151833</v>
      </c>
      <c r="W9326">
        <v>0.16477800000000001</v>
      </c>
      <c r="X9326">
        <v>0.9745743</v>
      </c>
      <c r="Y9326">
        <v>-0.1158395</v>
      </c>
      <c r="Z9326">
        <v>1.457358E-3</v>
      </c>
      <c r="AA9326">
        <v>0.99326689999999995</v>
      </c>
      <c r="AB9326">
        <v>28</v>
      </c>
      <c r="AC9326">
        <v>75.174099999999996</v>
      </c>
      <c r="AD9326">
        <v>-0.99510389999999904</v>
      </c>
      <c r="AE9326">
        <v>7.8179699999999901</v>
      </c>
      <c r="AF9326">
        <v>-8.7698293826646907</v>
      </c>
      <c r="AG9326">
        <v>-0.99510389999999904</v>
      </c>
      <c r="AH9326">
        <v>75.055819958499697</v>
      </c>
      <c r="AI9326">
        <v>90.754461404570506</v>
      </c>
      <c r="AJ9326">
        <v>96.6644542436254</v>
      </c>
      <c r="AK9326">
        <v>75.572986237250007</v>
      </c>
      <c r="AL9326">
        <v>80.515662268128807</v>
      </c>
      <c r="AM9326">
        <v>98.855163008222505</v>
      </c>
      <c r="AN9326">
        <v>1.0000000576967401</v>
      </c>
    </row>
    <row r="9327" spans="1:40" x14ac:dyDescent="0.25">
      <c r="A9327" t="str">
        <f>"20190303162131099"</f>
        <v>20190303162131099</v>
      </c>
      <c r="B9327" t="str">
        <f>"1551601291092187"</f>
        <v>1551601291092187</v>
      </c>
      <c r="C9327" t="s">
        <v>40</v>
      </c>
      <c r="D9327">
        <v>4.6571619999999996</v>
      </c>
      <c r="E9327">
        <v>0.51390279999999999</v>
      </c>
      <c r="F9327" t="s">
        <v>65</v>
      </c>
      <c r="G9327">
        <v>-157.3501</v>
      </c>
      <c r="H9327">
        <v>8.7211609999999995E-2</v>
      </c>
      <c r="I9327">
        <v>-54.863460000000003</v>
      </c>
      <c r="J9327">
        <v>-232.3844</v>
      </c>
      <c r="K9327">
        <v>1.121178</v>
      </c>
      <c r="L9327">
        <v>-62.618989999999997</v>
      </c>
      <c r="M9327">
        <v>0.99985020000000002</v>
      </c>
      <c r="N9327">
        <v>-1.159638E-2</v>
      </c>
      <c r="O9327">
        <v>-1.2849070000000001E-2</v>
      </c>
      <c r="P9327">
        <v>0.9782438</v>
      </c>
      <c r="Q9327">
        <v>0.1534808</v>
      </c>
      <c r="R9327">
        <v>0.13958129999999999</v>
      </c>
      <c r="S9327">
        <v>3.0286249999999999</v>
      </c>
      <c r="T9327">
        <v>-4.1657449999999999E-2</v>
      </c>
      <c r="U9327">
        <v>0.31237789999999999</v>
      </c>
      <c r="V9327">
        <v>-0.15203989999999901</v>
      </c>
      <c r="W9327">
        <v>0.16488520000000001</v>
      </c>
      <c r="X9327">
        <v>0.97452380000000005</v>
      </c>
      <c r="Y9327">
        <v>-0.1153512</v>
      </c>
      <c r="Z9327">
        <v>1.4895380000000001E-3</v>
      </c>
      <c r="AA9327">
        <v>0.99332370000000003</v>
      </c>
      <c r="AB9327">
        <v>28</v>
      </c>
      <c r="AC9327">
        <v>75.034300000000002</v>
      </c>
      <c r="AD9327">
        <v>-1.03396639</v>
      </c>
      <c r="AE9327">
        <v>7.7555300000000003</v>
      </c>
      <c r="AF9327">
        <v>-8.7174376575562498</v>
      </c>
      <c r="AG9327">
        <v>-1.03396639</v>
      </c>
      <c r="AH9327">
        <v>74.914372000249898</v>
      </c>
      <c r="AI9327">
        <v>90.785445518682806</v>
      </c>
      <c r="AJ9327">
        <v>96.637392518881498</v>
      </c>
      <c r="AK9327">
        <v>75.426957634527795</v>
      </c>
      <c r="AL9327">
        <v>80.509433937130595</v>
      </c>
      <c r="AM9327">
        <v>98.867490342343601</v>
      </c>
      <c r="AN9327">
        <v>0.99999994856874297</v>
      </c>
    </row>
    <row r="9328" spans="1:40" x14ac:dyDescent="0.25">
      <c r="A9328" t="str">
        <f>"20190303162131110"</f>
        <v>20190303162131110</v>
      </c>
      <c r="B9328" t="str">
        <f>"1551601291101947"</f>
        <v>1551601291101947</v>
      </c>
      <c r="C9328" t="s">
        <v>40</v>
      </c>
      <c r="D9328">
        <v>4.6579709999999999</v>
      </c>
      <c r="E9328">
        <v>0.513984</v>
      </c>
      <c r="F9328" t="s">
        <v>65</v>
      </c>
      <c r="G9328">
        <v>-157.3501</v>
      </c>
      <c r="H9328">
        <v>8.6832999999999994E-2</v>
      </c>
      <c r="I9328">
        <v>-54.893799999999999</v>
      </c>
      <c r="J9328">
        <v>-232.249</v>
      </c>
      <c r="K9328">
        <v>1.1211799999999901</v>
      </c>
      <c r="L9328">
        <v>-62.620910000000002</v>
      </c>
      <c r="M9328">
        <v>0.99984819999999996</v>
      </c>
      <c r="N9328">
        <v>-1.1597089999999999E-2</v>
      </c>
      <c r="O9328">
        <v>-1.300333E-2</v>
      </c>
      <c r="P9328">
        <v>0.97817339999999997</v>
      </c>
      <c r="Q9328">
        <v>0.1537308</v>
      </c>
      <c r="R9328">
        <v>0.13979839999999999</v>
      </c>
      <c r="S9328">
        <v>3.028778</v>
      </c>
      <c r="T9328">
        <v>-4.1752339999999999E-2</v>
      </c>
      <c r="U9328">
        <v>0.31182860000000001</v>
      </c>
      <c r="V9328">
        <v>-0.15240609999999999</v>
      </c>
      <c r="W9328">
        <v>0.16513539999999999</v>
      </c>
      <c r="X9328">
        <v>0.97442430000000002</v>
      </c>
      <c r="Y9328">
        <v>-0.11532100000000001</v>
      </c>
      <c r="Z9328">
        <v>1.49168E-3</v>
      </c>
      <c r="AA9328">
        <v>0.99332710000000002</v>
      </c>
      <c r="AB9328">
        <v>28</v>
      </c>
      <c r="AC9328">
        <v>74.898899999999998</v>
      </c>
      <c r="AD9328">
        <v>-1.0343469999999999</v>
      </c>
      <c r="AE9328">
        <v>7.7271099999999899</v>
      </c>
      <c r="AF9328">
        <v>-8.6988157105590407</v>
      </c>
      <c r="AG9328">
        <v>-1.0343469999999999</v>
      </c>
      <c r="AH9328">
        <v>74.777970776710504</v>
      </c>
      <c r="AI9328">
        <v>90.787170997337299</v>
      </c>
      <c r="AJ9328">
        <v>96.635313902827704</v>
      </c>
      <c r="AK9328">
        <v>75.289336442588294</v>
      </c>
      <c r="AL9328">
        <v>80.494899955529604</v>
      </c>
      <c r="AM9328">
        <v>98.889400881810303</v>
      </c>
      <c r="AN9328">
        <v>1.00000001804042</v>
      </c>
    </row>
    <row r="9329" spans="1:40" x14ac:dyDescent="0.25">
      <c r="A9329" t="str">
        <f>"20190303162131120"</f>
        <v>20190303162131120</v>
      </c>
      <c r="B9329" t="str">
        <f>"1551601291111708"</f>
        <v>1551601291111708</v>
      </c>
      <c r="C9329" t="s">
        <v>40</v>
      </c>
      <c r="D9329">
        <v>4.6476759999999997</v>
      </c>
      <c r="E9329">
        <v>0.51404649999999996</v>
      </c>
      <c r="F9329" t="s">
        <v>65</v>
      </c>
      <c r="G9329">
        <v>-157.3501</v>
      </c>
      <c r="H9329">
        <v>0.1006808</v>
      </c>
      <c r="I9329">
        <v>-54.91601</v>
      </c>
      <c r="J9329">
        <v>-232.12049999999999</v>
      </c>
      <c r="K9329">
        <v>1.1211799999999901</v>
      </c>
      <c r="L9329">
        <v>-62.622709999999998</v>
      </c>
      <c r="M9329">
        <v>0.99984640000000002</v>
      </c>
      <c r="N9329">
        <v>-1.159777E-2</v>
      </c>
      <c r="O9329">
        <v>-1.3149950000000001E-2</v>
      </c>
      <c r="P9329">
        <v>0.97809669999999904</v>
      </c>
      <c r="Q9329">
        <v>0.15421579999999999</v>
      </c>
      <c r="R9329">
        <v>0.13980109999999901</v>
      </c>
      <c r="S9329">
        <v>3.0289000000000001</v>
      </c>
      <c r="T9329">
        <v>-4.126954E-2</v>
      </c>
      <c r="U9329">
        <v>0.31158449999999999</v>
      </c>
      <c r="V9329">
        <v>-0.15255099999999999</v>
      </c>
      <c r="W9329">
        <v>0.16561979999999901</v>
      </c>
      <c r="X9329">
        <v>0.97431939999999995</v>
      </c>
      <c r="Y9329">
        <v>-0.11538370000000001</v>
      </c>
      <c r="Z9329">
        <v>1.4815259999999999E-3</v>
      </c>
      <c r="AA9329">
        <v>0.99331990000000003</v>
      </c>
      <c r="AB9329">
        <v>28</v>
      </c>
      <c r="AC9329">
        <v>74.770399999999995</v>
      </c>
      <c r="AD9329">
        <v>-1.0204991999999999</v>
      </c>
      <c r="AE9329">
        <v>7.7066999999999899</v>
      </c>
      <c r="AF9329">
        <v>-8.6877252495142194</v>
      </c>
      <c r="AG9329">
        <v>-1.0204991999999999</v>
      </c>
      <c r="AH9329">
        <v>74.648825238788305</v>
      </c>
      <c r="AI9329">
        <v>90.7779724186408</v>
      </c>
      <c r="AJ9329">
        <v>96.638292196836403</v>
      </c>
      <c r="AK9329">
        <v>75.159597511957202</v>
      </c>
      <c r="AL9329">
        <v>80.466758297403302</v>
      </c>
      <c r="AM9329">
        <v>98.898659950874503</v>
      </c>
      <c r="AN9329">
        <v>1.0000000094846999</v>
      </c>
    </row>
    <row r="9330" spans="1:40" x14ac:dyDescent="0.25">
      <c r="A9330" t="str">
        <f>"20190303162131132"</f>
        <v>20190303162131132</v>
      </c>
      <c r="B9330" t="str">
        <f>"1551601291121467"</f>
        <v>1551601291121467</v>
      </c>
      <c r="C9330" t="s">
        <v>40</v>
      </c>
      <c r="D9330">
        <v>4.6796329999999999</v>
      </c>
      <c r="E9330">
        <v>0.51412970000000002</v>
      </c>
      <c r="F9330" t="s">
        <v>65</v>
      </c>
      <c r="G9330">
        <v>-157.3501</v>
      </c>
      <c r="H9330">
        <v>0.11282780000000001</v>
      </c>
      <c r="I9330">
        <v>-54.942950000000003</v>
      </c>
      <c r="J9330">
        <v>-231.98070000000001</v>
      </c>
      <c r="K9330">
        <v>1.1211850000000001</v>
      </c>
      <c r="L9330">
        <v>-62.624760000000002</v>
      </c>
      <c r="M9330">
        <v>0.99984419999999996</v>
      </c>
      <c r="N9330">
        <v>-1.1598509999999999E-2</v>
      </c>
      <c r="O9330">
        <v>-1.330922E-2</v>
      </c>
      <c r="P9330">
        <v>0.97798909999999994</v>
      </c>
      <c r="Q9330">
        <v>0.15485070000000001</v>
      </c>
      <c r="R9330">
        <v>0.1398527</v>
      </c>
      <c r="S9330">
        <v>3.0291440000000001</v>
      </c>
      <c r="T9330">
        <v>-4.0851709999999999E-2</v>
      </c>
      <c r="U9330">
        <v>0.31112669999999998</v>
      </c>
      <c r="V9330">
        <v>-0.15275649999999999</v>
      </c>
      <c r="W9330">
        <v>0.16625409999999999</v>
      </c>
      <c r="X9330">
        <v>0.97417909999999996</v>
      </c>
      <c r="Y9330">
        <v>-0.1153855</v>
      </c>
      <c r="Z9330">
        <v>1.472061E-3</v>
      </c>
      <c r="AA9330">
        <v>0.99331970000000003</v>
      </c>
      <c r="AB9330">
        <v>28</v>
      </c>
      <c r="AC9330">
        <v>74.630600000000001</v>
      </c>
      <c r="AD9330">
        <v>-1.0083572000000001</v>
      </c>
      <c r="AE9330">
        <v>7.6818099999999898</v>
      </c>
      <c r="AF9330">
        <v>-8.6729046796298395</v>
      </c>
      <c r="AG9330">
        <v>-1.0083572000000001</v>
      </c>
      <c r="AH9330">
        <v>74.508283888817402</v>
      </c>
      <c r="AI9330">
        <v>90.770165140057003</v>
      </c>
      <c r="AJ9330">
        <v>96.639457427798504</v>
      </c>
      <c r="AK9330">
        <v>75.018133993597502</v>
      </c>
      <c r="AL9330">
        <v>80.429904049956704</v>
      </c>
      <c r="AM9330">
        <v>98.911717707394104</v>
      </c>
      <c r="AN9330">
        <v>0.999999946467933</v>
      </c>
    </row>
    <row r="9331" spans="1:40" x14ac:dyDescent="0.25">
      <c r="A9331" t="str">
        <f>"20190303162131142"</f>
        <v>20190303162131142</v>
      </c>
      <c r="B9331" t="str">
        <f>"1551601291132202"</f>
        <v>1551601291132202</v>
      </c>
      <c r="C9331" t="s">
        <v>40</v>
      </c>
      <c r="D9331">
        <v>4.670032</v>
      </c>
      <c r="E9331">
        <v>0.51418589999999997</v>
      </c>
      <c r="F9331" t="s">
        <v>65</v>
      </c>
      <c r="G9331">
        <v>-157.3501</v>
      </c>
      <c r="H9331">
        <v>0.137846</v>
      </c>
      <c r="I9331">
        <v>-54.97204</v>
      </c>
      <c r="J9331">
        <v>-231.84639999999999</v>
      </c>
      <c r="K9331">
        <v>1.1211869999999999</v>
      </c>
      <c r="L9331">
        <v>-62.62668</v>
      </c>
      <c r="M9331">
        <v>0.99984200000000001</v>
      </c>
      <c r="N9331">
        <v>-1.159923E-2</v>
      </c>
      <c r="O9331">
        <v>-1.346228E-2</v>
      </c>
      <c r="P9331">
        <v>0.97793819999999998</v>
      </c>
      <c r="Q9331">
        <v>0.15523429999999999</v>
      </c>
      <c r="R9331">
        <v>0.1397822</v>
      </c>
      <c r="S9331">
        <v>3.029404</v>
      </c>
      <c r="T9331">
        <v>-3.9916519999999997E-2</v>
      </c>
      <c r="U9331">
        <v>0.31063839999999998</v>
      </c>
      <c r="V9331">
        <v>-0.15283429999999901</v>
      </c>
      <c r="W9331">
        <v>0.1666378</v>
      </c>
      <c r="X9331">
        <v>0.97410140000000001</v>
      </c>
      <c r="Y9331">
        <v>-0.11537119999999999</v>
      </c>
      <c r="Z9331">
        <v>1.4502149999999999E-3</v>
      </c>
      <c r="AA9331">
        <v>0.99332140000000002</v>
      </c>
      <c r="AB9331">
        <v>28</v>
      </c>
      <c r="AC9331">
        <v>74.496299999999906</v>
      </c>
      <c r="AD9331">
        <v>-0.98334100000000002</v>
      </c>
      <c r="AE9331">
        <v>7.6546399999999997</v>
      </c>
      <c r="AF9331">
        <v>-8.6554115288341293</v>
      </c>
      <c r="AG9331">
        <v>-0.98334100000000002</v>
      </c>
      <c r="AH9331">
        <v>74.373669127484803</v>
      </c>
      <c r="AI9331">
        <v>90.752421797588397</v>
      </c>
      <c r="AJ9331">
        <v>96.638071239023603</v>
      </c>
      <c r="AK9331">
        <v>74.882079082650606</v>
      </c>
      <c r="AL9331">
        <v>80.407609251367703</v>
      </c>
      <c r="AM9331">
        <v>98.916883385107695</v>
      </c>
      <c r="AN9331">
        <v>1.00000000856364</v>
      </c>
    </row>
    <row r="9332" spans="1:40" x14ac:dyDescent="0.25">
      <c r="A9332" t="str">
        <f>"20190303162131154"</f>
        <v>20190303162131154</v>
      </c>
      <c r="B9332" t="str">
        <f>"1551601291141964"</f>
        <v>1551601291141964</v>
      </c>
      <c r="C9332" t="s">
        <v>40</v>
      </c>
      <c r="D9332">
        <v>4.6571379999999998</v>
      </c>
      <c r="E9332">
        <v>0.51422979999999996</v>
      </c>
      <c r="F9332" t="s">
        <v>65</v>
      </c>
      <c r="G9332">
        <v>-157.3501</v>
      </c>
      <c r="H9332">
        <v>0.14301410000000001</v>
      </c>
      <c r="I9332">
        <v>-55.007190000000001</v>
      </c>
      <c r="J9332">
        <v>-231.70179999999999</v>
      </c>
      <c r="K9332">
        <v>1.1211869999999999</v>
      </c>
      <c r="L9332">
        <v>-62.628779999999999</v>
      </c>
      <c r="M9332">
        <v>0.99983979999999995</v>
      </c>
      <c r="N9332">
        <v>-1.1600009999999999E-2</v>
      </c>
      <c r="O9332">
        <v>-1.3627149999999999E-2</v>
      </c>
      <c r="P9332">
        <v>0.97788589999999997</v>
      </c>
      <c r="Q9332">
        <v>0.15558820000000001</v>
      </c>
      <c r="R9332">
        <v>0.13975580000000001</v>
      </c>
      <c r="S9332">
        <v>3.0296780000000001</v>
      </c>
      <c r="T9332">
        <v>-3.978193E-2</v>
      </c>
      <c r="U9332">
        <v>0.30987550000000003</v>
      </c>
      <c r="V9332">
        <v>-0.15296760000000001</v>
      </c>
      <c r="W9332">
        <v>0.16699140000000001</v>
      </c>
      <c r="X9332">
        <v>0.97401990000000005</v>
      </c>
      <c r="Y9332">
        <v>-0.1152784</v>
      </c>
      <c r="Z9332">
        <v>1.44612E-3</v>
      </c>
      <c r="AA9332">
        <v>0.99333210000000005</v>
      </c>
      <c r="AB9332">
        <v>28</v>
      </c>
      <c r="AC9332">
        <v>74.351699999999994</v>
      </c>
      <c r="AD9332">
        <v>-0.97817290000000001</v>
      </c>
      <c r="AE9332">
        <v>7.6215900000000003</v>
      </c>
      <c r="AF9332">
        <v>-8.6326735971975097</v>
      </c>
      <c r="AG9332">
        <v>-0.97817290000000001</v>
      </c>
      <c r="AH9332">
        <v>74.228213778068195</v>
      </c>
      <c r="AI9332">
        <v>90.749941024663997</v>
      </c>
      <c r="AJ9332">
        <v>96.633646295377304</v>
      </c>
      <c r="AK9332">
        <v>74.734915510359897</v>
      </c>
      <c r="AL9332">
        <v>80.387061374703194</v>
      </c>
      <c r="AM9332">
        <v>98.925270167458606</v>
      </c>
      <c r="AN9332">
        <v>0.99999998995986406</v>
      </c>
    </row>
    <row r="9333" spans="1:40" x14ac:dyDescent="0.25">
      <c r="A9333" t="str">
        <f>"20190303162131165"</f>
        <v>20190303162131165</v>
      </c>
      <c r="B9333" t="str">
        <f>"1551601291151723"</f>
        <v>1551601291151723</v>
      </c>
      <c r="C9333" t="s">
        <v>40</v>
      </c>
      <c r="D9333">
        <v>4.6718570000000001</v>
      </c>
      <c r="E9333">
        <v>0.51425489999999996</v>
      </c>
      <c r="F9333" t="s">
        <v>65</v>
      </c>
      <c r="G9333">
        <v>-157.3501</v>
      </c>
      <c r="H9333">
        <v>0.15935460000000001</v>
      </c>
      <c r="I9333">
        <v>-55.040309999999998</v>
      </c>
      <c r="J9333">
        <v>-231.56880000000001</v>
      </c>
      <c r="K9333">
        <v>1.1211899999999999</v>
      </c>
      <c r="L9333">
        <v>-62.630769999999998</v>
      </c>
      <c r="M9333">
        <v>0.9998378</v>
      </c>
      <c r="N9333">
        <v>-1.160072E-2</v>
      </c>
      <c r="O9333">
        <v>-1.377866E-2</v>
      </c>
      <c r="P9333">
        <v>0.97781569999999995</v>
      </c>
      <c r="Q9333">
        <v>0.1557635</v>
      </c>
      <c r="R9333">
        <v>0.14005219999999999</v>
      </c>
      <c r="S9333">
        <v>3.0298769999999999</v>
      </c>
      <c r="T9333">
        <v>-3.9196010000000003E-2</v>
      </c>
      <c r="U9333">
        <v>0.30923460000000003</v>
      </c>
      <c r="V9333">
        <v>-0.1534112</v>
      </c>
      <c r="W9333">
        <v>0.16716619999999999</v>
      </c>
      <c r="X9333">
        <v>0.97392020000000001</v>
      </c>
      <c r="Y9333">
        <v>-0.1152149</v>
      </c>
      <c r="Z9333">
        <v>1.4317689999999901E-3</v>
      </c>
      <c r="AA9333">
        <v>0.99333950000000004</v>
      </c>
      <c r="AB9333">
        <v>28</v>
      </c>
      <c r="AC9333">
        <v>74.218699999999998</v>
      </c>
      <c r="AD9333">
        <v>-0.96183540000000001</v>
      </c>
      <c r="AE9333">
        <v>7.5904600000000002</v>
      </c>
      <c r="AF9333">
        <v>-8.6110111300993992</v>
      </c>
      <c r="AG9333">
        <v>-0.96183540000000001</v>
      </c>
      <c r="AH9333">
        <v>74.094744797038402</v>
      </c>
      <c r="AI9333">
        <v>90.738752065967901</v>
      </c>
      <c r="AJ9333">
        <v>96.628961577938398</v>
      </c>
      <c r="AK9333">
        <v>74.599637040388103</v>
      </c>
      <c r="AL9333">
        <v>80.376903823584598</v>
      </c>
      <c r="AM9333">
        <v>98.951636078064396</v>
      </c>
      <c r="AN9333">
        <v>1.0000000453379501</v>
      </c>
    </row>
    <row r="9334" spans="1:40" x14ac:dyDescent="0.25">
      <c r="A9334" t="str">
        <f>"20190303162131176"</f>
        <v>20190303162131176</v>
      </c>
      <c r="B9334" t="str">
        <f>"1551601291161665"</f>
        <v>1551601291161665</v>
      </c>
      <c r="C9334" t="s">
        <v>40</v>
      </c>
      <c r="D9334">
        <v>4.6860099999999996</v>
      </c>
      <c r="E9334">
        <v>0.51426919999999998</v>
      </c>
      <c r="F9334" t="s">
        <v>65</v>
      </c>
      <c r="G9334">
        <v>-157.3501</v>
      </c>
      <c r="H9334">
        <v>0.1535861</v>
      </c>
      <c r="I9334">
        <v>-55.04645</v>
      </c>
      <c r="J9334">
        <v>-231.42760000000001</v>
      </c>
      <c r="K9334">
        <v>1.121192</v>
      </c>
      <c r="L9334">
        <v>-62.632869999999997</v>
      </c>
      <c r="M9334">
        <v>0.99983549999999999</v>
      </c>
      <c r="N9334">
        <v>-1.1601459999999999E-2</v>
      </c>
      <c r="O9334">
        <v>-1.39396E-2</v>
      </c>
      <c r="P9334">
        <v>0.9777595</v>
      </c>
      <c r="Q9334">
        <v>0.15612000000000001</v>
      </c>
      <c r="R9334">
        <v>0.140045899999999</v>
      </c>
      <c r="S9334">
        <v>3.0299990000000001</v>
      </c>
      <c r="T9334">
        <v>-3.9503459999999997E-2</v>
      </c>
      <c r="U9334">
        <v>0.3096313</v>
      </c>
      <c r="V9334">
        <v>-0.15356110000000001</v>
      </c>
      <c r="W9334">
        <v>0.16752300000000001</v>
      </c>
      <c r="X9334">
        <v>0.97383520000000001</v>
      </c>
      <c r="Y9334">
        <v>-0.1154992</v>
      </c>
      <c r="Z9334">
        <v>1.442722E-3</v>
      </c>
      <c r="AA9334">
        <v>0.99330649999999998</v>
      </c>
      <c r="AB9334">
        <v>28</v>
      </c>
      <c r="AC9334">
        <v>74.077500000000001</v>
      </c>
      <c r="AD9334">
        <v>-0.96760590000000002</v>
      </c>
      <c r="AE9334">
        <v>7.5864199999999897</v>
      </c>
      <c r="AF9334">
        <v>-8.6169081105871292</v>
      </c>
      <c r="AG9334">
        <v>-0.96760590000000002</v>
      </c>
      <c r="AH9334">
        <v>73.952056232888793</v>
      </c>
      <c r="AI9334">
        <v>90.744591497196495</v>
      </c>
      <c r="AJ9334">
        <v>96.646145466223402</v>
      </c>
      <c r="AK9334">
        <v>74.458673018234506</v>
      </c>
      <c r="AL9334">
        <v>80.356167669402097</v>
      </c>
      <c r="AM9334">
        <v>98.961010379746199</v>
      </c>
      <c r="AN9334">
        <v>0.999999981860624</v>
      </c>
    </row>
    <row r="9335" spans="1:40" x14ac:dyDescent="0.25">
      <c r="A9335" t="str">
        <f>"20190303162131187"</f>
        <v>20190303162131187</v>
      </c>
      <c r="B9335" t="str">
        <f>"1551601291181502"</f>
        <v>1551601291181502</v>
      </c>
      <c r="C9335" t="s">
        <v>40</v>
      </c>
      <c r="D9335">
        <v>4.7160880000000001</v>
      </c>
      <c r="E9335">
        <v>0.51432630000000001</v>
      </c>
      <c r="F9335" t="s">
        <v>65</v>
      </c>
      <c r="G9335">
        <v>-157.3501</v>
      </c>
      <c r="H9335">
        <v>0.1627526</v>
      </c>
      <c r="I9335">
        <v>-55.073999999999998</v>
      </c>
      <c r="J9335">
        <v>-231.2884</v>
      </c>
      <c r="K9335">
        <v>1.1211949999999999</v>
      </c>
      <c r="L9335">
        <v>-62.634979999999999</v>
      </c>
      <c r="M9335">
        <v>0.99983339999999998</v>
      </c>
      <c r="N9335">
        <v>-1.160216E-2</v>
      </c>
      <c r="O9335">
        <v>-1.40985E-2</v>
      </c>
      <c r="P9335">
        <v>0.97768189999999999</v>
      </c>
      <c r="Q9335">
        <v>0.1564854</v>
      </c>
      <c r="R9335">
        <v>0.1401809</v>
      </c>
      <c r="S9335">
        <v>3.0302280000000001</v>
      </c>
      <c r="T9335">
        <v>-3.9206860000000003E-2</v>
      </c>
      <c r="U9335">
        <v>0.30920409999999998</v>
      </c>
      <c r="V9335">
        <v>-0.1538495</v>
      </c>
      <c r="W9335">
        <v>0.1678878</v>
      </c>
      <c r="X9335">
        <v>0.97372689999999995</v>
      </c>
      <c r="Y9335">
        <v>-0.11551110000000001</v>
      </c>
      <c r="Z9335">
        <v>1.436042E-3</v>
      </c>
      <c r="AA9335">
        <v>0.99330510000000005</v>
      </c>
      <c r="AB9335">
        <v>28</v>
      </c>
      <c r="AC9335">
        <v>73.938299999999998</v>
      </c>
      <c r="AD9335">
        <v>-0.95844240000000003</v>
      </c>
      <c r="AE9335">
        <v>7.5609799999999998</v>
      </c>
      <c r="AF9335">
        <v>-8.6012872670411191</v>
      </c>
      <c r="AG9335">
        <v>-0.95844240000000003</v>
      </c>
      <c r="AH9335">
        <v>73.812070268404099</v>
      </c>
      <c r="AI9335">
        <v>90.738938599402601</v>
      </c>
      <c r="AJ9335">
        <v>96.646674162738194</v>
      </c>
      <c r="AK9335">
        <v>74.317713041993599</v>
      </c>
      <c r="AL9335">
        <v>80.334966350153493</v>
      </c>
      <c r="AM9335">
        <v>98.978548254958994</v>
      </c>
      <c r="AN9335">
        <v>1.00000002891134</v>
      </c>
    </row>
    <row r="9336" spans="1:40" x14ac:dyDescent="0.25">
      <c r="A9336" t="str">
        <f>"20190303162131198"</f>
        <v>20190303162131198</v>
      </c>
      <c r="B9336" t="str">
        <f>"1551601291191769"</f>
        <v>1551601291191769</v>
      </c>
      <c r="C9336" t="s">
        <v>40</v>
      </c>
      <c r="D9336">
        <v>4.6931209999999997</v>
      </c>
      <c r="E9336">
        <v>0.51434769999999996</v>
      </c>
      <c r="F9336" t="s">
        <v>65</v>
      </c>
      <c r="G9336">
        <v>-157.3501</v>
      </c>
      <c r="H9336">
        <v>0.15361830000000001</v>
      </c>
      <c r="I9336">
        <v>-55.089469999999999</v>
      </c>
      <c r="J9336">
        <v>-231.1566</v>
      </c>
      <c r="K9336">
        <v>1.121194</v>
      </c>
      <c r="L9336">
        <v>-62.636989999999997</v>
      </c>
      <c r="M9336">
        <v>0.99983129999999998</v>
      </c>
      <c r="N9336">
        <v>-1.160274E-2</v>
      </c>
      <c r="O9336">
        <v>-1.424859E-2</v>
      </c>
      <c r="P9336">
        <v>0.97755550000000002</v>
      </c>
      <c r="Q9336">
        <v>0.15705050000000001</v>
      </c>
      <c r="R9336">
        <v>0.14043</v>
      </c>
      <c r="S9336">
        <v>3.0304869999999999</v>
      </c>
      <c r="T9336">
        <v>-3.9658550000000001E-2</v>
      </c>
      <c r="U9336">
        <v>0.30926510000000001</v>
      </c>
      <c r="V9336">
        <v>-0.1542425</v>
      </c>
      <c r="W9336">
        <v>0.16845189999999999</v>
      </c>
      <c r="X9336">
        <v>0.97356719999999997</v>
      </c>
      <c r="Y9336">
        <v>-0.115671</v>
      </c>
      <c r="Z9336">
        <v>1.4488680000000001E-3</v>
      </c>
      <c r="AA9336">
        <v>0.99328660000000002</v>
      </c>
      <c r="AB9336">
        <v>28</v>
      </c>
      <c r="AC9336">
        <v>73.8065</v>
      </c>
      <c r="AD9336">
        <v>-0.96757569999999904</v>
      </c>
      <c r="AE9336">
        <v>7.5475199999999996</v>
      </c>
      <c r="AF9336">
        <v>-8.5970006992455694</v>
      </c>
      <c r="AG9336">
        <v>-0.96757569999999904</v>
      </c>
      <c r="AH9336">
        <v>73.678926101683203</v>
      </c>
      <c r="AI9336">
        <v>90.747314181933803</v>
      </c>
      <c r="AJ9336">
        <v>96.655288900790396</v>
      </c>
      <c r="AK9336">
        <v>74.185098067303002</v>
      </c>
      <c r="AL9336">
        <v>80.302177993497807</v>
      </c>
      <c r="AM9336">
        <v>99.002560745426806</v>
      </c>
      <c r="AN9336">
        <v>0.99999994216784804</v>
      </c>
    </row>
    <row r="9337" spans="1:40" x14ac:dyDescent="0.25">
      <c r="A9337" t="str">
        <f>"20190303162131209"</f>
        <v>20190303162131209</v>
      </c>
      <c r="B9337" t="str">
        <f>"1551601291201530"</f>
        <v>1551601291201530</v>
      </c>
      <c r="C9337" t="s">
        <v>40</v>
      </c>
      <c r="D9337">
        <v>4.6945160000000001</v>
      </c>
      <c r="E9337">
        <v>0.51434769999999996</v>
      </c>
      <c r="F9337" t="s">
        <v>65</v>
      </c>
      <c r="G9337">
        <v>-157.3501</v>
      </c>
      <c r="H9337">
        <v>0.1705045</v>
      </c>
      <c r="I9337">
        <v>-55.088140000000003</v>
      </c>
      <c r="J9337">
        <v>-231.02260000000001</v>
      </c>
      <c r="K9337">
        <v>1.121197</v>
      </c>
      <c r="L9337">
        <v>-62.639040000000001</v>
      </c>
      <c r="M9337">
        <v>0.99982910000000003</v>
      </c>
      <c r="N9337">
        <v>-1.160335E-2</v>
      </c>
      <c r="O9337">
        <v>-1.440117E-2</v>
      </c>
      <c r="P9337">
        <v>0.9774891</v>
      </c>
      <c r="Q9337">
        <v>0.15748670000000001</v>
      </c>
      <c r="R9337">
        <v>0.1404041</v>
      </c>
      <c r="S9337">
        <v>3.0306090000000001</v>
      </c>
      <c r="T9337">
        <v>-3.9037589999999997E-2</v>
      </c>
      <c r="U9337">
        <v>0.30996699999999999</v>
      </c>
      <c r="V9337">
        <v>-0.15436449999999999</v>
      </c>
      <c r="W9337">
        <v>0.16888810000000001</v>
      </c>
      <c r="X9337">
        <v>0.97347240000000002</v>
      </c>
      <c r="Y9337">
        <v>-0.1160466</v>
      </c>
      <c r="Z9337">
        <v>1.438918E-3</v>
      </c>
      <c r="AA9337">
        <v>0.99324270000000003</v>
      </c>
      <c r="AB9337">
        <v>28</v>
      </c>
      <c r="AC9337">
        <v>73.672499999999999</v>
      </c>
      <c r="AD9337">
        <v>-0.95069250000000005</v>
      </c>
      <c r="AE9337">
        <v>7.5508999999999897</v>
      </c>
      <c r="AF9337">
        <v>-8.6097395393778804</v>
      </c>
      <c r="AG9337">
        <v>-0.95069250000000005</v>
      </c>
      <c r="AH9337">
        <v>73.543990552502194</v>
      </c>
      <c r="AI9337">
        <v>90.735589985402299</v>
      </c>
      <c r="AJ9337">
        <v>96.677180361309695</v>
      </c>
      <c r="AK9337">
        <v>74.0523461988343</v>
      </c>
      <c r="AL9337">
        <v>80.276823363035803</v>
      </c>
      <c r="AM9337">
        <v>99.010427663625094</v>
      </c>
      <c r="AN9337">
        <v>1.0000000513717999</v>
      </c>
    </row>
    <row r="9338" spans="1:40" x14ac:dyDescent="0.25">
      <c r="A9338" t="str">
        <f>"20190303162131220"</f>
        <v>20190303162131220</v>
      </c>
      <c r="B9338" t="str">
        <f>"1551601291211290"</f>
        <v>1551601291211290</v>
      </c>
      <c r="C9338" t="s">
        <v>40</v>
      </c>
      <c r="D9338">
        <v>4.7095219999999998</v>
      </c>
      <c r="E9338">
        <v>0.52030080000000001</v>
      </c>
      <c r="F9338" t="s">
        <v>65</v>
      </c>
      <c r="G9338">
        <v>-157.3501</v>
      </c>
      <c r="H9338">
        <v>0.20445840000000001</v>
      </c>
      <c r="I9338">
        <v>-55.103969999999997</v>
      </c>
      <c r="J9338">
        <v>-230.88399999999999</v>
      </c>
      <c r="K9338">
        <v>1.1211990000000001</v>
      </c>
      <c r="L9338">
        <v>-62.641240000000003</v>
      </c>
      <c r="M9338">
        <v>0.99982669999999996</v>
      </c>
      <c r="N9338">
        <v>-1.160401E-2</v>
      </c>
      <c r="O9338">
        <v>-1.455912E-2</v>
      </c>
      <c r="P9338">
        <v>0.97743610000000003</v>
      </c>
      <c r="Q9338">
        <v>0.1578118</v>
      </c>
      <c r="R9338">
        <v>0.1404078</v>
      </c>
      <c r="S9338">
        <v>3.03064</v>
      </c>
      <c r="T9338">
        <v>-3.7712339999999997E-2</v>
      </c>
      <c r="U9338">
        <v>0.30996699999999999</v>
      </c>
      <c r="V9338">
        <v>-0.15452149999999901</v>
      </c>
      <c r="W9338">
        <v>0.16921329999999901</v>
      </c>
      <c r="X9338">
        <v>0.97339100000000001</v>
      </c>
      <c r="Y9338">
        <v>-0.116203399999999</v>
      </c>
      <c r="Z9338">
        <v>1.4093679999999901E-3</v>
      </c>
      <c r="AA9338">
        <v>0.99322440000000001</v>
      </c>
      <c r="AB9338">
        <v>28</v>
      </c>
      <c r="AC9338">
        <v>73.533900000000003</v>
      </c>
      <c r="AD9338">
        <v>-0.91674059999999902</v>
      </c>
      <c r="AE9338">
        <v>7.5372700000000004</v>
      </c>
      <c r="AF9338">
        <v>-8.6058083119283992</v>
      </c>
      <c r="AG9338">
        <v>-0.91674059999999902</v>
      </c>
      <c r="AH9338">
        <v>73.405071436604501</v>
      </c>
      <c r="AI9338">
        <v>90.710651194121496</v>
      </c>
      <c r="AJ9338">
        <v>96.686675634520498</v>
      </c>
      <c r="AK9338">
        <v>73.913495808562303</v>
      </c>
      <c r="AL9338">
        <v>80.2579185455279</v>
      </c>
      <c r="AM9338">
        <v>99.020183205285903</v>
      </c>
      <c r="AN9338">
        <v>1.0000000368700599</v>
      </c>
    </row>
    <row r="9339" spans="1:40" x14ac:dyDescent="0.25">
      <c r="A9339" t="str">
        <f>"20190303162131232"</f>
        <v>20190303162131232</v>
      </c>
      <c r="B9339" t="str">
        <f>"1551601291222026"</f>
        <v>1551601291222026</v>
      </c>
      <c r="C9339" t="s">
        <v>40</v>
      </c>
      <c r="D9339">
        <v>4.7091629999999904</v>
      </c>
      <c r="E9339">
        <v>0.52014510000000003</v>
      </c>
      <c r="F9339" t="s">
        <v>62</v>
      </c>
      <c r="G9339">
        <v>-202.98939999999999</v>
      </c>
      <c r="H9339" s="1">
        <v>-4.2125989999999999E-6</v>
      </c>
      <c r="I9339">
        <v>-60.234369999999998</v>
      </c>
      <c r="J9339">
        <v>-230.74199999999999</v>
      </c>
      <c r="K9339">
        <v>1.121197</v>
      </c>
      <c r="L9339">
        <v>-62.643459999999997</v>
      </c>
      <c r="M9339">
        <v>0.9998243</v>
      </c>
      <c r="N9339">
        <v>-1.160479E-2</v>
      </c>
      <c r="O9339">
        <v>-1.472101E-2</v>
      </c>
      <c r="P9339">
        <v>0.97734299999999996</v>
      </c>
      <c r="Q9339">
        <v>0.15819929999999999</v>
      </c>
      <c r="R9339">
        <v>0.14062049999999901</v>
      </c>
      <c r="S9339">
        <v>3.0512540000000001</v>
      </c>
      <c r="T9339">
        <v>-0.1226429</v>
      </c>
      <c r="U9339">
        <v>0.26327509999999998</v>
      </c>
      <c r="V9339">
        <v>-0.15489029999999901</v>
      </c>
      <c r="W9339">
        <v>0.1696</v>
      </c>
      <c r="X9339">
        <v>0.97326509999999999</v>
      </c>
      <c r="Y9339">
        <v>-0.10051309999999999</v>
      </c>
      <c r="Z9339">
        <v>3.0200779999999998E-3</v>
      </c>
      <c r="AA9339">
        <v>0.99493120000000002</v>
      </c>
      <c r="AB9339">
        <v>28</v>
      </c>
      <c r="AC9339">
        <v>27.752600000000001</v>
      </c>
      <c r="AD9339">
        <v>-1.1212012125990001</v>
      </c>
      <c r="AE9339">
        <v>2.4090899999999902</v>
      </c>
      <c r="AF9339">
        <v>-2.81284608057407</v>
      </c>
      <c r="AG9339">
        <v>-1.1212012125990001</v>
      </c>
      <c r="AH9339">
        <v>27.6693030284058</v>
      </c>
      <c r="AI9339">
        <v>92.308555094403403</v>
      </c>
      <c r="AJ9339">
        <v>95.804715591915098</v>
      </c>
      <c r="AK9339">
        <v>27.834502426123599</v>
      </c>
      <c r="AL9339">
        <v>80.235437557768904</v>
      </c>
      <c r="AM9339">
        <v>99.042506928386899</v>
      </c>
      <c r="AN9339">
        <v>1.0000000599560399</v>
      </c>
    </row>
    <row r="9340" spans="1:40" x14ac:dyDescent="0.25">
      <c r="A9340" t="str">
        <f>"20190303162131242"</f>
        <v>20190303162131242</v>
      </c>
      <c r="B9340" t="str">
        <f>"1551601291231786"</f>
        <v>1551601291231786</v>
      </c>
      <c r="C9340" t="s">
        <v>40</v>
      </c>
      <c r="D9340">
        <v>4.7221830000000002</v>
      </c>
      <c r="E9340">
        <v>0.52042299999999997</v>
      </c>
      <c r="F9340" t="s">
        <v>62</v>
      </c>
      <c r="G9340">
        <v>-202.0881</v>
      </c>
      <c r="H9340" s="1">
        <v>-4.6896739999999999E-6</v>
      </c>
      <c r="I9340">
        <v>-60.154049999999998</v>
      </c>
      <c r="J9340">
        <v>-230.60749999999999</v>
      </c>
      <c r="K9340">
        <v>1.1211979999999999</v>
      </c>
      <c r="L9340">
        <v>-62.6455699999999</v>
      </c>
      <c r="M9340">
        <v>0.99982210000000005</v>
      </c>
      <c r="N9340">
        <v>-1.1605559999999999E-2</v>
      </c>
      <c r="O9340">
        <v>-1.4874200000000001E-2</v>
      </c>
      <c r="P9340">
        <v>0.97722140000000002</v>
      </c>
      <c r="Q9340">
        <v>0.15843850000000001</v>
      </c>
      <c r="R9340">
        <v>0.1411944</v>
      </c>
      <c r="S9340">
        <v>3.050751</v>
      </c>
      <c r="T9340">
        <v>-0.1193732</v>
      </c>
      <c r="U9340">
        <v>0.26504519999999998</v>
      </c>
      <c r="V9340">
        <v>-0.1556119</v>
      </c>
      <c r="W9340">
        <v>0.16983879999999901</v>
      </c>
      <c r="X9340">
        <v>0.97310830000000004</v>
      </c>
      <c r="Y9340">
        <v>-0.1012569</v>
      </c>
      <c r="Z9340">
        <v>2.974099E-3</v>
      </c>
      <c r="AA9340">
        <v>0.99485590000000002</v>
      </c>
      <c r="AB9340">
        <v>28</v>
      </c>
      <c r="AC9340">
        <v>28.519399999999901</v>
      </c>
      <c r="AD9340">
        <v>-1.1212026896739999</v>
      </c>
      <c r="AE9340">
        <v>2.4915199999999902</v>
      </c>
      <c r="AF9340">
        <v>-2.9110110483022198</v>
      </c>
      <c r="AG9340">
        <v>-1.1212026896739999</v>
      </c>
      <c r="AH9340">
        <v>28.435566546468699</v>
      </c>
      <c r="AI9340">
        <v>92.246251710412196</v>
      </c>
      <c r="AJ9340">
        <v>95.845131713629598</v>
      </c>
      <c r="AK9340">
        <v>28.6061623713024</v>
      </c>
      <c r="AL9340">
        <v>80.221553538207502</v>
      </c>
      <c r="AM9340">
        <v>99.085372478524604</v>
      </c>
      <c r="AN9340">
        <v>1.0000000224679599</v>
      </c>
    </row>
    <row r="9341" spans="1:40" x14ac:dyDescent="0.25">
      <c r="A9341" t="str">
        <f>"20190303162131255"</f>
        <v>20190303162131255</v>
      </c>
      <c r="B9341" t="str">
        <f>"1551601291241546"</f>
        <v>1551601291241546</v>
      </c>
      <c r="C9341" t="s">
        <v>40</v>
      </c>
      <c r="D9341">
        <v>4.7037690000000003</v>
      </c>
      <c r="E9341">
        <v>0.52042299999999997</v>
      </c>
      <c r="F9341" t="s">
        <v>62</v>
      </c>
      <c r="G9341">
        <v>-200.9135</v>
      </c>
      <c r="H9341" s="1">
        <v>-5.3063350000000002E-6</v>
      </c>
      <c r="I9341">
        <v>-60.072029999999998</v>
      </c>
      <c r="J9341">
        <v>-230.46250000000001</v>
      </c>
      <c r="K9341">
        <v>1.1211960000000001</v>
      </c>
      <c r="L9341">
        <v>-62.647950000000002</v>
      </c>
      <c r="M9341">
        <v>0.99981960000000003</v>
      </c>
      <c r="N9341">
        <v>-1.1606429999999999E-2</v>
      </c>
      <c r="O9341">
        <v>-1.503942E-2</v>
      </c>
      <c r="P9341">
        <v>0.97718039999999995</v>
      </c>
      <c r="Q9341">
        <v>0.1583272</v>
      </c>
      <c r="R9341">
        <v>0.1416027</v>
      </c>
      <c r="S9341">
        <v>3.0503999999999998</v>
      </c>
      <c r="T9341">
        <v>-0.11517869999999999</v>
      </c>
      <c r="U9341">
        <v>0.26437379999999999</v>
      </c>
      <c r="V9341">
        <v>-0.15618009999999999</v>
      </c>
      <c r="W9341">
        <v>0.1697274</v>
      </c>
      <c r="X9341">
        <v>0.97303669999999998</v>
      </c>
      <c r="Y9341">
        <v>-0.1012205</v>
      </c>
      <c r="Z9341">
        <v>2.8880279999999999E-3</v>
      </c>
      <c r="AA9341">
        <v>0.99485979999999996</v>
      </c>
      <c r="AB9341">
        <v>28</v>
      </c>
      <c r="AC9341">
        <v>29.548999999999999</v>
      </c>
      <c r="AD9341">
        <v>-1.1212013063349999</v>
      </c>
      <c r="AE9341">
        <v>2.5759199999999902</v>
      </c>
      <c r="AF9341">
        <v>-3.0157492336640299</v>
      </c>
      <c r="AG9341">
        <v>-1.1212013063349999</v>
      </c>
      <c r="AH9341">
        <v>29.464813169210501</v>
      </c>
      <c r="AI9341">
        <v>92.167865257172096</v>
      </c>
      <c r="AJ9341">
        <v>95.843923123955506</v>
      </c>
      <c r="AK9341">
        <v>29.639956999060399</v>
      </c>
      <c r="AL9341">
        <v>80.228030264911098</v>
      </c>
      <c r="AM9341">
        <v>99.118650119451502</v>
      </c>
      <c r="AN9341">
        <v>1.0000000167468199</v>
      </c>
    </row>
    <row r="9342" spans="1:40" x14ac:dyDescent="0.25">
      <c r="A9342" t="str">
        <f>"20190303162131265"</f>
        <v>20190303162131265</v>
      </c>
      <c r="B9342" t="str">
        <f>"1551601291252282"</f>
        <v>1551601291252282</v>
      </c>
      <c r="C9342" t="s">
        <v>40</v>
      </c>
      <c r="D9342">
        <v>4.6960959999999998</v>
      </c>
      <c r="E9342">
        <v>0.51999139999999999</v>
      </c>
      <c r="F9342" t="s">
        <v>62</v>
      </c>
      <c r="G9342">
        <v>-200.84180000000001</v>
      </c>
      <c r="H9342" s="1">
        <v>-5.3431719999999898E-6</v>
      </c>
      <c r="I9342">
        <v>-60.070619999999998</v>
      </c>
      <c r="J9342">
        <v>-230.32329999999999</v>
      </c>
      <c r="K9342">
        <v>1.1211990000000001</v>
      </c>
      <c r="L9342">
        <v>-62.650179999999999</v>
      </c>
      <c r="M9342">
        <v>0.99981730000000002</v>
      </c>
      <c r="N9342">
        <v>-1.1607269999999999E-2</v>
      </c>
      <c r="O9342">
        <v>-1.5197850000000001E-2</v>
      </c>
      <c r="P9342">
        <v>0.97710469999999905</v>
      </c>
      <c r="Q9342">
        <v>0.158494</v>
      </c>
      <c r="R9342">
        <v>0.14193739999999999</v>
      </c>
      <c r="S9342">
        <v>3.0502929999999999</v>
      </c>
      <c r="T9342">
        <v>-0.1154598</v>
      </c>
      <c r="U9342">
        <v>0.26541140000000002</v>
      </c>
      <c r="V9342">
        <v>-0.1566678</v>
      </c>
      <c r="W9342">
        <v>0.1698942</v>
      </c>
      <c r="X9342">
        <v>0.97292920000000005</v>
      </c>
      <c r="Y9342">
        <v>-0.1017161</v>
      </c>
      <c r="Z9342">
        <v>2.9105440000000002E-3</v>
      </c>
      <c r="AA9342">
        <v>0.99480919999999895</v>
      </c>
      <c r="AB9342">
        <v>28</v>
      </c>
      <c r="AC9342">
        <v>29.481499999999901</v>
      </c>
      <c r="AD9342">
        <v>-1.121204343172</v>
      </c>
      <c r="AE9342">
        <v>2.5795599999999999</v>
      </c>
      <c r="AF9342">
        <v>-3.0230084828286201</v>
      </c>
      <c r="AG9342">
        <v>-1.121204343172</v>
      </c>
      <c r="AH9342">
        <v>29.396693626890901</v>
      </c>
      <c r="AI9342">
        <v>92.172783125888799</v>
      </c>
      <c r="AJ9342">
        <v>95.871371891241694</v>
      </c>
      <c r="AK9342">
        <v>29.572982190839198</v>
      </c>
      <c r="AL9342">
        <v>80.218332650410403</v>
      </c>
      <c r="AM9342">
        <v>99.147637667473404</v>
      </c>
      <c r="AN9342">
        <v>1.00000003348155</v>
      </c>
    </row>
    <row r="9343" spans="1:40" x14ac:dyDescent="0.25">
      <c r="A9343" t="str">
        <f>"20190303162131277"</f>
        <v>20190303162131277</v>
      </c>
      <c r="B9343" t="str">
        <f>"1551601291271802"</f>
        <v>1551601291271802</v>
      </c>
      <c r="C9343" t="s">
        <v>40</v>
      </c>
      <c r="D9343">
        <v>4.7353690000000004</v>
      </c>
      <c r="E9343">
        <v>0.5199319</v>
      </c>
      <c r="F9343" t="s">
        <v>62</v>
      </c>
      <c r="G9343">
        <v>-203.22800000000001</v>
      </c>
      <c r="H9343" s="1">
        <v>-4.0861580000000001E-6</v>
      </c>
      <c r="I9343">
        <v>-60.256469999999901</v>
      </c>
      <c r="J9343">
        <v>-230.17359999999999</v>
      </c>
      <c r="K9343">
        <v>1.1212</v>
      </c>
      <c r="L9343">
        <v>-62.652619999999999</v>
      </c>
      <c r="M9343">
        <v>0.9998146</v>
      </c>
      <c r="N9343">
        <v>-1.1608189999999999E-2</v>
      </c>
      <c r="O9343">
        <v>-1.536832E-2</v>
      </c>
      <c r="P9343">
        <v>0.97707960000000005</v>
      </c>
      <c r="Q9343">
        <v>0.15827939999999999</v>
      </c>
      <c r="R9343">
        <v>0.14234859999999999</v>
      </c>
      <c r="S9343">
        <v>3.0516200000000002</v>
      </c>
      <c r="T9343">
        <v>-0.12627569999999999</v>
      </c>
      <c r="U9343">
        <v>0.26959229999999901</v>
      </c>
      <c r="V9343">
        <v>-0.15724469999999999</v>
      </c>
      <c r="W9343">
        <v>0.16968039999999901</v>
      </c>
      <c r="X9343">
        <v>0.9728734</v>
      </c>
      <c r="Y9343">
        <v>-0.10318139999999899</v>
      </c>
      <c r="Z9343">
        <v>3.1866910000000002E-3</v>
      </c>
      <c r="AA9343">
        <v>0.99465749999999997</v>
      </c>
      <c r="AB9343">
        <v>28</v>
      </c>
      <c r="AC9343">
        <v>26.945599999999999</v>
      </c>
      <c r="AD9343">
        <v>-1.1212040861579999</v>
      </c>
      <c r="AE9343">
        <v>2.39615</v>
      </c>
      <c r="AF9343">
        <v>-2.8051847001544501</v>
      </c>
      <c r="AG9343">
        <v>-1.1212040861579999</v>
      </c>
      <c r="AH9343">
        <v>26.8594508377282</v>
      </c>
      <c r="AI9343">
        <v>92.377415563113104</v>
      </c>
      <c r="AJ9343">
        <v>95.962320865479498</v>
      </c>
      <c r="AK9343">
        <v>27.0288042486</v>
      </c>
      <c r="AL9343">
        <v>80.230762568651897</v>
      </c>
      <c r="AM9343">
        <v>99.181267152543697</v>
      </c>
      <c r="AN9343">
        <v>0.99999999312490495</v>
      </c>
    </row>
    <row r="9344" spans="1:40" x14ac:dyDescent="0.25">
      <c r="A9344" t="str">
        <f>"20190303162131290"</f>
        <v>20190303162131290</v>
      </c>
      <c r="B9344" t="str">
        <f>"1551601291281562"</f>
        <v>1551601291281562</v>
      </c>
      <c r="C9344" t="s">
        <v>40</v>
      </c>
      <c r="D9344">
        <v>4.7312459999999996</v>
      </c>
      <c r="E9344">
        <v>0.51978469999999999</v>
      </c>
      <c r="F9344" t="s">
        <v>62</v>
      </c>
      <c r="G9344">
        <v>-204.31610000000001</v>
      </c>
      <c r="H9344" s="1">
        <v>-3.5098470000000001E-6</v>
      </c>
      <c r="I9344">
        <v>-60.3551</v>
      </c>
      <c r="J9344">
        <v>-230.0292</v>
      </c>
      <c r="K9344">
        <v>1.1211990000000001</v>
      </c>
      <c r="L9344">
        <v>-62.655029999999996</v>
      </c>
      <c r="M9344">
        <v>0.99981200000000003</v>
      </c>
      <c r="N9344">
        <v>-1.1609059999999999E-2</v>
      </c>
      <c r="O9344">
        <v>-1.5532829999999999E-2</v>
      </c>
      <c r="P9344">
        <v>0.9770276</v>
      </c>
      <c r="Q9344">
        <v>0.15813459999999999</v>
      </c>
      <c r="R9344">
        <v>0.14286599999999999</v>
      </c>
      <c r="S9344">
        <v>3.0523380000000002</v>
      </c>
      <c r="T9344">
        <v>-0.13235179999999999</v>
      </c>
      <c r="U9344">
        <v>0.2712097</v>
      </c>
      <c r="V9344">
        <v>-0.15792220000000001</v>
      </c>
      <c r="W9344">
        <v>0.1695361</v>
      </c>
      <c r="X9344">
        <v>0.97278880000000001</v>
      </c>
      <c r="Y9344">
        <v>-0.103835999999999</v>
      </c>
      <c r="Z9344">
        <v>3.3420979999999999E-3</v>
      </c>
      <c r="AA9344">
        <v>0.99458880000000005</v>
      </c>
      <c r="AB9344">
        <v>28</v>
      </c>
      <c r="AC9344">
        <v>25.713100000000001</v>
      </c>
      <c r="AD9344">
        <v>-1.121202509847</v>
      </c>
      <c r="AE9344">
        <v>2.2999299999999998</v>
      </c>
      <c r="AF9344">
        <v>-2.6939950685020002</v>
      </c>
      <c r="AG9344">
        <v>-1.121202509847</v>
      </c>
      <c r="AH9344">
        <v>25.6259338517646</v>
      </c>
      <c r="AI9344">
        <v>92.491531685025706</v>
      </c>
      <c r="AJ9344">
        <v>96.001328813811099</v>
      </c>
      <c r="AK9344">
        <v>25.7915333059556</v>
      </c>
      <c r="AL9344">
        <v>80.239151767921697</v>
      </c>
      <c r="AM9344">
        <v>99.220935384640995</v>
      </c>
      <c r="AN9344">
        <v>0.99999997993074397</v>
      </c>
    </row>
    <row r="9345" spans="1:40" x14ac:dyDescent="0.25">
      <c r="A9345" t="str">
        <f>"20190303162131302"</f>
        <v>20190303162131302</v>
      </c>
      <c r="B9345" t="str">
        <f>"1551601291291322"</f>
        <v>1551601291291322</v>
      </c>
      <c r="C9345" t="s">
        <v>40</v>
      </c>
      <c r="D9345">
        <v>4.7217339999999997</v>
      </c>
      <c r="E9345">
        <v>0.51980020000000005</v>
      </c>
      <c r="F9345" t="s">
        <v>62</v>
      </c>
      <c r="G9345">
        <v>-204.29769999999999</v>
      </c>
      <c r="H9345" s="1">
        <v>-3.5212700000000001E-6</v>
      </c>
      <c r="I9345">
        <v>-60.345820000000003</v>
      </c>
      <c r="J9345">
        <v>-229.87129999999999</v>
      </c>
      <c r="K9345">
        <v>1.121202</v>
      </c>
      <c r="L9345">
        <v>-62.657679999999999</v>
      </c>
      <c r="M9345">
        <v>0.99980930000000001</v>
      </c>
      <c r="N9345">
        <v>-1.1609970000000001E-2</v>
      </c>
      <c r="O9345">
        <v>-1.5712839999999999E-2</v>
      </c>
      <c r="P9345">
        <v>0.97700659999999895</v>
      </c>
      <c r="Q9345">
        <v>0.15806389999999901</v>
      </c>
      <c r="R9345">
        <v>0.14308750000000001</v>
      </c>
      <c r="S9345">
        <v>3.0520019999999999</v>
      </c>
      <c r="T9345">
        <v>-0.13298560000000001</v>
      </c>
      <c r="U9345">
        <v>0.27389530000000001</v>
      </c>
      <c r="V9345">
        <v>-0.15831889999999901</v>
      </c>
      <c r="W9345">
        <v>0.16946559999999999</v>
      </c>
      <c r="X9345">
        <v>0.97273659999999995</v>
      </c>
      <c r="Y9345">
        <v>-0.10489039999999999</v>
      </c>
      <c r="Z9345">
        <v>3.3911269999999999E-3</v>
      </c>
      <c r="AA9345">
        <v>0.99447799999999997</v>
      </c>
      <c r="AB9345">
        <v>28</v>
      </c>
      <c r="AC9345">
        <v>25.573599999999999</v>
      </c>
      <c r="AD9345">
        <v>-1.1212055212700001</v>
      </c>
      <c r="AE9345">
        <v>2.31186000000001</v>
      </c>
      <c r="AF9345">
        <v>-2.70827195661189</v>
      </c>
      <c r="AG9345">
        <v>-1.1212055212700001</v>
      </c>
      <c r="AH9345">
        <v>25.485524224495201</v>
      </c>
      <c r="AI9345">
        <v>92.504949801707994</v>
      </c>
      <c r="AJ9345">
        <v>96.065889497778002</v>
      </c>
      <c r="AK9345">
        <v>25.6535335540589</v>
      </c>
      <c r="AL9345">
        <v>80.243250412133193</v>
      </c>
      <c r="AM9345">
        <v>99.244186468346598</v>
      </c>
      <c r="AN9345">
        <v>0.99999997833006404</v>
      </c>
    </row>
    <row r="9346" spans="1:40" x14ac:dyDescent="0.25">
      <c r="A9346" t="str">
        <f>"20190303162131311"</f>
        <v>20190303162131311</v>
      </c>
      <c r="B9346" t="str">
        <f>"1551601291302058"</f>
        <v>1551601291302058</v>
      </c>
      <c r="C9346" t="s">
        <v>40</v>
      </c>
      <c r="D9346">
        <v>4.7332799999999997</v>
      </c>
      <c r="E9346">
        <v>0.51992229999999995</v>
      </c>
      <c r="F9346" t="s">
        <v>62</v>
      </c>
      <c r="G9346">
        <v>-204.23259999999999</v>
      </c>
      <c r="H9346" s="1">
        <v>-3.553088E-6</v>
      </c>
      <c r="I9346">
        <v>-60.351930000000003</v>
      </c>
      <c r="J9346">
        <v>-229.7542</v>
      </c>
      <c r="K9346">
        <v>1.1212029999999999</v>
      </c>
      <c r="L9346">
        <v>-62.659640000000003</v>
      </c>
      <c r="M9346">
        <v>0.99980709999999995</v>
      </c>
      <c r="N9346">
        <v>-1.161066E-2</v>
      </c>
      <c r="O9346">
        <v>-1.5846240000000001E-2</v>
      </c>
      <c r="P9346">
        <v>0.97694610000000004</v>
      </c>
      <c r="Q9346">
        <v>0.15806579999999901</v>
      </c>
      <c r="R9346">
        <v>0.1434975</v>
      </c>
      <c r="S9346">
        <v>3.0520019999999999</v>
      </c>
      <c r="T9346">
        <v>-0.13346720000000001</v>
      </c>
      <c r="U9346">
        <v>0.27447510000000003</v>
      </c>
      <c r="V9346">
        <v>-0.15885739999999901</v>
      </c>
      <c r="W9346">
        <v>0.16946749999999999</v>
      </c>
      <c r="X9346">
        <v>0.97264850000000003</v>
      </c>
      <c r="Y9346">
        <v>-0.1052091</v>
      </c>
      <c r="Z9346">
        <v>3.4149390000000001E-3</v>
      </c>
      <c r="AA9346">
        <v>0.99444429999999995</v>
      </c>
      <c r="AB9346">
        <v>28</v>
      </c>
      <c r="AC9346">
        <v>25.521599999999999</v>
      </c>
      <c r="AD9346">
        <v>-1.121206553088</v>
      </c>
      <c r="AE9346">
        <v>2.3077099999999899</v>
      </c>
      <c r="AF9346">
        <v>-2.7066873174724901</v>
      </c>
      <c r="AG9346">
        <v>-1.121206553088</v>
      </c>
      <c r="AH9346">
        <v>25.433136430461101</v>
      </c>
      <c r="AI9346">
        <v>92.5100639946927</v>
      </c>
      <c r="AJ9346">
        <v>96.074760851940397</v>
      </c>
      <c r="AK9346">
        <v>25.601322017811899</v>
      </c>
      <c r="AL9346">
        <v>80.243140223308799</v>
      </c>
      <c r="AM9346">
        <v>99.275909268638202</v>
      </c>
      <c r="AN9346">
        <v>1.0000000058216201</v>
      </c>
    </row>
    <row r="9347" spans="1:40" x14ac:dyDescent="0.25">
      <c r="A9347" t="str">
        <f>"20190303162131320"</f>
        <v>20190303162131320</v>
      </c>
      <c r="B9347" t="str">
        <f>"1551601291311819"</f>
        <v>1551601291311819</v>
      </c>
      <c r="C9347" t="s">
        <v>40</v>
      </c>
      <c r="D9347">
        <v>4.7539660000000001</v>
      </c>
      <c r="E9347">
        <v>0.52004799999999995</v>
      </c>
      <c r="F9347" t="s">
        <v>62</v>
      </c>
      <c r="G9347">
        <v>-203.84209999999999</v>
      </c>
      <c r="H9347" s="1">
        <v>-3.7577379999999998E-6</v>
      </c>
      <c r="I9347">
        <v>-60.326259999999998</v>
      </c>
      <c r="J9347">
        <v>-229.63730000000001</v>
      </c>
      <c r="K9347">
        <v>1.1212009999999999</v>
      </c>
      <c r="L9347">
        <v>-62.6616199999999</v>
      </c>
      <c r="M9347">
        <v>0.99980500000000005</v>
      </c>
      <c r="N9347">
        <v>-1.1611349999999999E-2</v>
      </c>
      <c r="O9347">
        <v>-1.597939E-2</v>
      </c>
      <c r="P9347">
        <v>0.97684599999999999</v>
      </c>
      <c r="Q9347">
        <v>0.158359</v>
      </c>
      <c r="R9347">
        <v>0.1438564</v>
      </c>
      <c r="S9347">
        <v>3.051758</v>
      </c>
      <c r="T9347">
        <v>-0.13204850000000001</v>
      </c>
      <c r="U9347">
        <v>0.27481080000000002</v>
      </c>
      <c r="V9347">
        <v>-0.1593445</v>
      </c>
      <c r="W9347">
        <v>0.16975979999999999</v>
      </c>
      <c r="X9347">
        <v>0.97251779999999999</v>
      </c>
      <c r="Y9347">
        <v>-0.10545939999999999</v>
      </c>
      <c r="Z9347">
        <v>3.3945350000000002E-3</v>
      </c>
      <c r="AA9347">
        <v>0.99441780000000002</v>
      </c>
      <c r="AB9347">
        <v>28</v>
      </c>
      <c r="AC9347">
        <v>25.795200000000001</v>
      </c>
      <c r="AD9347">
        <v>-1.121204757738</v>
      </c>
      <c r="AE9347">
        <v>2.3353599999999899</v>
      </c>
      <c r="AF9347">
        <v>-2.7421425865154498</v>
      </c>
      <c r="AG9347">
        <v>-1.121204757738</v>
      </c>
      <c r="AH9347">
        <v>25.706414620058901</v>
      </c>
      <c r="AI9347">
        <v>92.483345004111897</v>
      </c>
      <c r="AJ9347">
        <v>96.088803685819599</v>
      </c>
      <c r="AK9347">
        <v>25.876556932712901</v>
      </c>
      <c r="AL9347">
        <v>80.226146038333098</v>
      </c>
      <c r="AM9347">
        <v>99.305083622509301</v>
      </c>
      <c r="AN9347">
        <v>0.99999996534656399</v>
      </c>
    </row>
    <row r="9348" spans="1:40" x14ac:dyDescent="0.25">
      <c r="A9348" t="str">
        <f>"20190303162131333"</f>
        <v>20190303162131333</v>
      </c>
      <c r="B9348" t="str">
        <f>"1551601291321577"</f>
        <v>1551601291321577</v>
      </c>
      <c r="C9348" t="s">
        <v>40</v>
      </c>
      <c r="D9348">
        <v>4.752211</v>
      </c>
      <c r="E9348">
        <v>0.52007530000000002</v>
      </c>
      <c r="F9348" t="s">
        <v>62</v>
      </c>
      <c r="G9348">
        <v>-203.9796</v>
      </c>
      <c r="H9348" s="1">
        <v>-3.6823650000000002E-6</v>
      </c>
      <c r="I9348">
        <v>-60.350239999999999</v>
      </c>
      <c r="J9348">
        <v>-229.49680000000001</v>
      </c>
      <c r="K9348">
        <v>1.121197</v>
      </c>
      <c r="L9348">
        <v>-62.664029999999997</v>
      </c>
      <c r="M9348">
        <v>0.99980230000000003</v>
      </c>
      <c r="N9348">
        <v>-1.161218E-2</v>
      </c>
      <c r="O9348">
        <v>-1.6139489999999999E-2</v>
      </c>
      <c r="P9348">
        <v>0.97680180000000005</v>
      </c>
      <c r="Q9348">
        <v>0.15798899999999999</v>
      </c>
      <c r="R9348">
        <v>0.14455979999999999</v>
      </c>
      <c r="S9348">
        <v>3.0522459999999998</v>
      </c>
      <c r="T9348">
        <v>-0.13337889999999999</v>
      </c>
      <c r="U9348">
        <v>0.27496340000000002</v>
      </c>
      <c r="V9348">
        <v>-0.1602034</v>
      </c>
      <c r="W9348">
        <v>0.16939089999999901</v>
      </c>
      <c r="X9348">
        <v>0.972441</v>
      </c>
      <c r="Y9348">
        <v>-0.10565099999999999</v>
      </c>
      <c r="Z9348">
        <v>3.43436E-3</v>
      </c>
      <c r="AA9348">
        <v>0.99439730000000004</v>
      </c>
      <c r="AB9348">
        <v>28</v>
      </c>
      <c r="AC9348">
        <v>25.517199999999999</v>
      </c>
      <c r="AD9348">
        <v>-1.121200682365</v>
      </c>
      <c r="AE9348">
        <v>2.31379</v>
      </c>
      <c r="AF9348">
        <v>-2.7201421781103701</v>
      </c>
      <c r="AG9348">
        <v>-1.121200682365</v>
      </c>
      <c r="AH9348">
        <v>25.427838441047101</v>
      </c>
      <c r="AI9348">
        <v>92.510427348218897</v>
      </c>
      <c r="AJ9348">
        <v>96.105993174106999</v>
      </c>
      <c r="AK9348">
        <v>25.597484880809301</v>
      </c>
      <c r="AL9348">
        <v>80.247592937521802</v>
      </c>
      <c r="AM9348">
        <v>99.355081436829593</v>
      </c>
      <c r="AN9348">
        <v>0.99999995242768303</v>
      </c>
    </row>
    <row r="9349" spans="1:40" x14ac:dyDescent="0.25">
      <c r="A9349" t="str">
        <f>"20190303162131344"</f>
        <v>20190303162131344</v>
      </c>
      <c r="B9349" t="str">
        <f>"1551601291332314"</f>
        <v>1551601291332314</v>
      </c>
      <c r="C9349" t="s">
        <v>40</v>
      </c>
      <c r="D9349">
        <v>4.7681969999999998</v>
      </c>
      <c r="E9349">
        <v>0.52013180000000003</v>
      </c>
      <c r="F9349" t="s">
        <v>62</v>
      </c>
      <c r="G9349">
        <v>-204.3742</v>
      </c>
      <c r="H9349" s="1">
        <v>-3.4739939999999999E-6</v>
      </c>
      <c r="I9349">
        <v>-60.384810000000002</v>
      </c>
      <c r="J9349">
        <v>-229.35820000000001</v>
      </c>
      <c r="K9349">
        <v>1.1211960000000001</v>
      </c>
      <c r="L9349">
        <v>-62.666440000000001</v>
      </c>
      <c r="M9349">
        <v>0.99979980000000002</v>
      </c>
      <c r="N9349">
        <v>-1.1613E-2</v>
      </c>
      <c r="O9349">
        <v>-1.6297559999999999E-2</v>
      </c>
      <c r="P9349">
        <v>0.97674709999999998</v>
      </c>
      <c r="Q9349">
        <v>0.15778909999999999</v>
      </c>
      <c r="R9349">
        <v>0.14514859999999999</v>
      </c>
      <c r="S9349">
        <v>3.052292</v>
      </c>
      <c r="T9349">
        <v>-0.13622129999999999</v>
      </c>
      <c r="U9349">
        <v>0.27691650000000001</v>
      </c>
      <c r="V9349">
        <v>-0.16094530000000001</v>
      </c>
      <c r="W9349">
        <v>0.16919120000000001</v>
      </c>
      <c r="X9349">
        <v>0.97235329999999998</v>
      </c>
      <c r="Y9349">
        <v>-0.1064316</v>
      </c>
      <c r="Z9349">
        <v>3.5254280000000002E-3</v>
      </c>
      <c r="AA9349">
        <v>0.99431380000000003</v>
      </c>
      <c r="AB9349">
        <v>28</v>
      </c>
      <c r="AC9349">
        <v>24.984000000000002</v>
      </c>
      <c r="AD9349">
        <v>-1.1211994739940001</v>
      </c>
      <c r="AE9349">
        <v>2.2816299999999998</v>
      </c>
      <c r="AF9349">
        <v>-2.68317360388781</v>
      </c>
      <c r="AG9349">
        <v>-1.1211994739940001</v>
      </c>
      <c r="AH9349">
        <v>24.893774453447602</v>
      </c>
      <c r="AI9349">
        <v>92.563991280655003</v>
      </c>
      <c r="AJ9349">
        <v>96.151871331113298</v>
      </c>
      <c r="AK9349">
        <v>25.063050799697201</v>
      </c>
      <c r="AL9349">
        <v>80.259202903612007</v>
      </c>
      <c r="AM9349">
        <v>99.398466088712595</v>
      </c>
      <c r="AN9349">
        <v>0.99999999588521005</v>
      </c>
    </row>
    <row r="9350" spans="1:40" x14ac:dyDescent="0.25">
      <c r="A9350" t="str">
        <f>"20190303162131354"</f>
        <v>20190303162131354</v>
      </c>
      <c r="B9350" t="str">
        <f>"1551601291342073"</f>
        <v>1551601291342073</v>
      </c>
      <c r="C9350" t="s">
        <v>40</v>
      </c>
      <c r="D9350">
        <v>4.7818040000000002</v>
      </c>
      <c r="E9350">
        <v>0.5201905</v>
      </c>
      <c r="F9350" t="s">
        <v>62</v>
      </c>
      <c r="G9350">
        <v>-204.63149999999999</v>
      </c>
      <c r="H9350" s="1">
        <v>-3.344481E-6</v>
      </c>
      <c r="I9350">
        <v>-60.412370000000003</v>
      </c>
      <c r="J9350">
        <v>-229.2243</v>
      </c>
      <c r="K9350">
        <v>1.121192</v>
      </c>
      <c r="L9350">
        <v>-62.668790000000001</v>
      </c>
      <c r="M9350">
        <v>0.9997973</v>
      </c>
      <c r="N9350">
        <v>-1.1613790000000001E-2</v>
      </c>
      <c r="O9350">
        <v>-1.645015E-2</v>
      </c>
      <c r="P9350">
        <v>0.97670809999999997</v>
      </c>
      <c r="Q9350">
        <v>0.1574961</v>
      </c>
      <c r="R9350">
        <v>0.14572739999999901</v>
      </c>
      <c r="S9350">
        <v>3.0524439999999999</v>
      </c>
      <c r="T9350">
        <v>-0.1384087</v>
      </c>
      <c r="U9350">
        <v>0.27825929999999999</v>
      </c>
      <c r="V9350">
        <v>-0.1616726</v>
      </c>
      <c r="W9350">
        <v>0.1688984</v>
      </c>
      <c r="X9350">
        <v>0.97228349999999997</v>
      </c>
      <c r="Y9350">
        <v>-0.10700759999999999</v>
      </c>
      <c r="Z9350">
        <v>3.5964249999999999E-3</v>
      </c>
      <c r="AA9350">
        <v>0.99425169999999996</v>
      </c>
      <c r="AB9350">
        <v>28</v>
      </c>
      <c r="AC9350">
        <v>24.5928</v>
      </c>
      <c r="AD9350">
        <v>-1.1211953444809999</v>
      </c>
      <c r="AE9350">
        <v>2.2564199999999999</v>
      </c>
      <c r="AF9350">
        <v>-2.6552243759310299</v>
      </c>
      <c r="AG9350">
        <v>-1.1211953444809999</v>
      </c>
      <c r="AH9350">
        <v>24.5018493236966</v>
      </c>
      <c r="AI9350">
        <v>92.604776457089898</v>
      </c>
      <c r="AJ9350">
        <v>96.1849117891432</v>
      </c>
      <c r="AK9350">
        <v>24.6707907406341</v>
      </c>
      <c r="AL9350">
        <v>80.276223636955095</v>
      </c>
      <c r="AM9350">
        <v>99.440839780853395</v>
      </c>
      <c r="AN9350">
        <v>0.999999951742783</v>
      </c>
    </row>
    <row r="9351" spans="1:40" x14ac:dyDescent="0.25">
      <c r="A9351" t="str">
        <f>"20190303162131366"</f>
        <v>20190303162131366</v>
      </c>
      <c r="B9351" t="str">
        <f>"1551601291361594"</f>
        <v>1551601291361594</v>
      </c>
      <c r="C9351" t="s">
        <v>40</v>
      </c>
      <c r="D9351">
        <v>4.795598</v>
      </c>
      <c r="E9351">
        <v>0.52036199999999999</v>
      </c>
      <c r="F9351" t="s">
        <v>62</v>
      </c>
      <c r="G9351">
        <v>-204.69399999999999</v>
      </c>
      <c r="H9351" s="1">
        <v>-3.3131730000000002E-6</v>
      </c>
      <c r="I9351">
        <v>-60.422240000000002</v>
      </c>
      <c r="J9351">
        <v>-229.0812</v>
      </c>
      <c r="K9351">
        <v>1.121191</v>
      </c>
      <c r="L9351">
        <v>-62.671329999999998</v>
      </c>
      <c r="M9351">
        <v>0.99979470000000004</v>
      </c>
      <c r="N9351">
        <v>-1.1614630000000001E-2</v>
      </c>
      <c r="O9351">
        <v>-1.6613349999999999E-2</v>
      </c>
      <c r="P9351">
        <v>0.97667619999999999</v>
      </c>
      <c r="Q9351">
        <v>0.1570493</v>
      </c>
      <c r="R9351">
        <v>0.14642149999999901</v>
      </c>
      <c r="S9351">
        <v>3.0523220000000002</v>
      </c>
      <c r="T9351">
        <v>-0.1395112</v>
      </c>
      <c r="U9351">
        <v>0.27954099999999998</v>
      </c>
      <c r="V9351">
        <v>-0.162524799999999</v>
      </c>
      <c r="W9351">
        <v>0.1684524</v>
      </c>
      <c r="X9351">
        <v>0.9722189</v>
      </c>
      <c r="Y9351">
        <v>-0.1075845</v>
      </c>
      <c r="Z9351">
        <v>3.6437840000000002E-3</v>
      </c>
      <c r="AA9351">
        <v>0.99418930000000005</v>
      </c>
      <c r="AB9351">
        <v>28</v>
      </c>
      <c r="AC9351">
        <v>24.387199999999901</v>
      </c>
      <c r="AD9351">
        <v>-1.121194313173</v>
      </c>
      <c r="AE9351">
        <v>2.2490899999999998</v>
      </c>
      <c r="AF9351">
        <v>-2.64840924576295</v>
      </c>
      <c r="AG9351">
        <v>-1.121194313173</v>
      </c>
      <c r="AH9351">
        <v>24.295546642406801</v>
      </c>
      <c r="AI9351">
        <v>92.626681090473895</v>
      </c>
      <c r="AJ9351">
        <v>96.221135242631604</v>
      </c>
      <c r="AK9351">
        <v>24.465173918742099</v>
      </c>
      <c r="AL9351">
        <v>80.302150040953293</v>
      </c>
      <c r="AM9351">
        <v>99.490320110142704</v>
      </c>
      <c r="AN9351">
        <v>1.0000000555990001</v>
      </c>
    </row>
    <row r="9352" spans="1:40" x14ac:dyDescent="0.25">
      <c r="A9352" t="str">
        <f>"20190303162131377"</f>
        <v>20190303162131377</v>
      </c>
      <c r="B9352" t="str">
        <f>"1551601291371354"</f>
        <v>1551601291371354</v>
      </c>
      <c r="C9352" t="s">
        <v>40</v>
      </c>
      <c r="D9352">
        <v>4.7887269999999997</v>
      </c>
      <c r="E9352">
        <v>0.52044089999999998</v>
      </c>
      <c r="F9352" t="s">
        <v>62</v>
      </c>
      <c r="G9352">
        <v>-204.94759999999999</v>
      </c>
      <c r="H9352" s="1">
        <v>-3.1902540000000002E-6</v>
      </c>
      <c r="I9352">
        <v>-60.456600000000002</v>
      </c>
      <c r="J9352">
        <v>-228.9393</v>
      </c>
      <c r="K9352">
        <v>1.121189</v>
      </c>
      <c r="L9352">
        <v>-62.673830000000002</v>
      </c>
      <c r="M9352">
        <v>0.99979189999999996</v>
      </c>
      <c r="N9352">
        <v>-1.1615449999999999E-2</v>
      </c>
      <c r="O9352">
        <v>-1.6775000000000002E-2</v>
      </c>
      <c r="P9352">
        <v>0.97670449999999998</v>
      </c>
      <c r="Q9352">
        <v>0.1563503</v>
      </c>
      <c r="R9352">
        <v>0.14697950000000001</v>
      </c>
      <c r="S9352">
        <v>3.0524439999999999</v>
      </c>
      <c r="T9352">
        <v>-0.14180970000000001</v>
      </c>
      <c r="U9352">
        <v>0.2801208</v>
      </c>
      <c r="V9352">
        <v>-0.1632412</v>
      </c>
      <c r="W9352">
        <v>0.16775479999999901</v>
      </c>
      <c r="X9352">
        <v>0.97221950000000001</v>
      </c>
      <c r="Y9352">
        <v>-0.1079238</v>
      </c>
      <c r="Z9352">
        <v>3.7119589999999999E-3</v>
      </c>
      <c r="AA9352">
        <v>0.99415220000000004</v>
      </c>
      <c r="AB9352">
        <v>28</v>
      </c>
      <c r="AC9352">
        <v>23.991700000000002</v>
      </c>
      <c r="AD9352">
        <v>-1.1211921902540001</v>
      </c>
      <c r="AE9352">
        <v>2.2172299999999998</v>
      </c>
      <c r="AF9352">
        <v>-2.6137459684443902</v>
      </c>
      <c r="AG9352">
        <v>-1.1211921902540001</v>
      </c>
      <c r="AH9352">
        <v>23.899374651196101</v>
      </c>
      <c r="AI9352">
        <v>92.670052566889694</v>
      </c>
      <c r="AJ9352">
        <v>96.241326508511094</v>
      </c>
      <c r="AK9352">
        <v>24.0680046666374</v>
      </c>
      <c r="AL9352">
        <v>80.342696615117106</v>
      </c>
      <c r="AM9352">
        <v>99.531381240096394</v>
      </c>
      <c r="AN9352">
        <v>1.00000005924036</v>
      </c>
    </row>
    <row r="9353" spans="1:40" x14ac:dyDescent="0.25">
      <c r="A9353" t="str">
        <f>"20190303162131389"</f>
        <v>20190303162131389</v>
      </c>
      <c r="B9353" t="str">
        <f>"1551601291382089"</f>
        <v>1551601291382089</v>
      </c>
      <c r="C9353" t="s">
        <v>40</v>
      </c>
      <c r="D9353">
        <v>4.8034049999999997</v>
      </c>
      <c r="E9353">
        <v>0.52056740000000001</v>
      </c>
      <c r="F9353" t="s">
        <v>62</v>
      </c>
      <c r="G9353">
        <v>-205.2457</v>
      </c>
      <c r="H9353" s="1">
        <v>-3.0085960000000002E-6</v>
      </c>
      <c r="I9353">
        <v>-60.491860000000003</v>
      </c>
      <c r="J9353">
        <v>-228.8031</v>
      </c>
      <c r="K9353">
        <v>1.1211880000000001</v>
      </c>
      <c r="L9353">
        <v>-62.676270000000002</v>
      </c>
      <c r="M9353">
        <v>0.99978920000000004</v>
      </c>
      <c r="N9353">
        <v>-1.161623E-2</v>
      </c>
      <c r="O9353">
        <v>-1.6929969999999999E-2</v>
      </c>
      <c r="P9353">
        <v>0.97662660000000001</v>
      </c>
      <c r="Q9353">
        <v>0.15598229999999999</v>
      </c>
      <c r="R9353">
        <v>0.14788519999999999</v>
      </c>
      <c r="S9353">
        <v>3.052368</v>
      </c>
      <c r="T9353">
        <v>-0.1444396</v>
      </c>
      <c r="U9353">
        <v>0.2810974</v>
      </c>
      <c r="V9353">
        <v>-0.164297</v>
      </c>
      <c r="W9353">
        <v>0.16738620000000001</v>
      </c>
      <c r="X9353">
        <v>0.97210510000000006</v>
      </c>
      <c r="Y9353">
        <v>-0.1083894</v>
      </c>
      <c r="Z9353">
        <v>3.791993E-3</v>
      </c>
      <c r="AA9353">
        <v>0.99410129999999997</v>
      </c>
      <c r="AB9353">
        <v>28</v>
      </c>
      <c r="AC9353">
        <v>23.557400000000001</v>
      </c>
      <c r="AD9353">
        <v>-1.121191008596</v>
      </c>
      <c r="AE9353">
        <v>2.1844100000000002</v>
      </c>
      <c r="AF9353">
        <v>-2.5771618759345198</v>
      </c>
      <c r="AG9353">
        <v>-1.121191008596</v>
      </c>
      <c r="AH9353">
        <v>23.464340696064198</v>
      </c>
      <c r="AI9353">
        <v>92.719341645982098</v>
      </c>
      <c r="AJ9353">
        <v>96.267851420007602</v>
      </c>
      <c r="AK9353">
        <v>23.632056975927899</v>
      </c>
      <c r="AL9353">
        <v>80.364118021057095</v>
      </c>
      <c r="AM9353">
        <v>99.592993668554698</v>
      </c>
      <c r="AN9353">
        <v>0.99999998480272401</v>
      </c>
    </row>
    <row r="9354" spans="1:40" x14ac:dyDescent="0.25">
      <c r="A9354" t="str">
        <f>"20190303162131399"</f>
        <v>20190303162131399</v>
      </c>
      <c r="B9354" t="str">
        <f>"1551601291391849"</f>
        <v>1551601291391849</v>
      </c>
      <c r="C9354" t="s">
        <v>40</v>
      </c>
      <c r="D9354">
        <v>4.748265</v>
      </c>
      <c r="E9354">
        <v>0.52056740000000001</v>
      </c>
      <c r="F9354" t="s">
        <v>62</v>
      </c>
      <c r="G9354">
        <v>-205.3091</v>
      </c>
      <c r="H9354" s="1">
        <v>-2.969059E-6</v>
      </c>
      <c r="I9354">
        <v>-60.497300000000003</v>
      </c>
      <c r="J9354">
        <v>-228.66200000000001</v>
      </c>
      <c r="K9354">
        <v>1.121186</v>
      </c>
      <c r="L9354">
        <v>-62.678800000000003</v>
      </c>
      <c r="M9354">
        <v>0.99978650000000002</v>
      </c>
      <c r="N9354">
        <v>-1.161702E-2</v>
      </c>
      <c r="O9354">
        <v>-1.7090899999999999E-2</v>
      </c>
      <c r="P9354">
        <v>0.97657139999999998</v>
      </c>
      <c r="Q9354">
        <v>0.15563940000000001</v>
      </c>
      <c r="R9354">
        <v>0.148609299999999</v>
      </c>
      <c r="S9354">
        <v>3.052216</v>
      </c>
      <c r="T9354">
        <v>-0.14565939999999999</v>
      </c>
      <c r="U9354">
        <v>0.28308109999999997</v>
      </c>
      <c r="V9354">
        <v>-0.16517709999999999</v>
      </c>
      <c r="W9354">
        <v>0.167044</v>
      </c>
      <c r="X9354">
        <v>0.97201479999999996</v>
      </c>
      <c r="Y9354">
        <v>-0.1091908</v>
      </c>
      <c r="Z9354">
        <v>3.849978E-3</v>
      </c>
      <c r="AA9354">
        <v>0.99401340000000005</v>
      </c>
      <c r="AB9354">
        <v>28</v>
      </c>
      <c r="AC9354">
        <v>23.352900000000002</v>
      </c>
      <c r="AD9354">
        <v>-1.121188969059</v>
      </c>
      <c r="AE9354">
        <v>2.1815000000000002</v>
      </c>
      <c r="AF9354">
        <v>-2.57444748475281</v>
      </c>
      <c r="AG9354">
        <v>-1.121188969059</v>
      </c>
      <c r="AH9354">
        <v>23.259053349691101</v>
      </c>
      <c r="AI9354">
        <v>92.743046991020194</v>
      </c>
      <c r="AJ9354">
        <v>96.316120625888999</v>
      </c>
      <c r="AK9354">
        <v>23.427940739208498</v>
      </c>
      <c r="AL9354">
        <v>80.384004506347196</v>
      </c>
      <c r="AM9354">
        <v>99.644297611074293</v>
      </c>
      <c r="AN9354">
        <v>0.999999971859724</v>
      </c>
    </row>
    <row r="9355" spans="1:40" x14ac:dyDescent="0.25">
      <c r="A9355" t="str">
        <f>"20190303162131411"</f>
        <v>20190303162131411</v>
      </c>
      <c r="B9355" t="str">
        <f>"1551601291401610"</f>
        <v>1551601291401610</v>
      </c>
      <c r="C9355" t="s">
        <v>40</v>
      </c>
      <c r="D9355">
        <v>5.1845150000000002</v>
      </c>
      <c r="E9355">
        <v>0.5063415</v>
      </c>
      <c r="F9355" t="s">
        <v>62</v>
      </c>
      <c r="G9355">
        <v>-205.34350000000001</v>
      </c>
      <c r="H9355" s="1">
        <v>-2.9473449999999999E-6</v>
      </c>
      <c r="I9355">
        <v>-60.498420000000003</v>
      </c>
      <c r="J9355">
        <v>-228.53380000000001</v>
      </c>
      <c r="K9355">
        <v>1.1211850000000001</v>
      </c>
      <c r="L9355">
        <v>-62.681179999999998</v>
      </c>
      <c r="M9355">
        <v>0.99978400000000001</v>
      </c>
      <c r="N9355">
        <v>-1.161767E-2</v>
      </c>
      <c r="O9355">
        <v>-1.7236930000000001E-2</v>
      </c>
      <c r="P9355">
        <v>0.97634489999999996</v>
      </c>
      <c r="Q9355">
        <v>0.155471</v>
      </c>
      <c r="R9355">
        <v>0.1502638</v>
      </c>
      <c r="S9355">
        <v>3.0519409999999998</v>
      </c>
      <c r="T9355">
        <v>-0.14674189999999901</v>
      </c>
      <c r="U9355">
        <v>0.28536990000000001</v>
      </c>
      <c r="V9355">
        <v>-0.16696939999999999</v>
      </c>
      <c r="W9355">
        <v>0.16687379999999999</v>
      </c>
      <c r="X9355">
        <v>0.97173779999999998</v>
      </c>
      <c r="Y9355">
        <v>-0.1100795</v>
      </c>
      <c r="Z9355">
        <v>3.9073520000000002E-3</v>
      </c>
      <c r="AA9355">
        <v>0.99391510000000005</v>
      </c>
      <c r="AB9355">
        <v>28</v>
      </c>
      <c r="AC9355">
        <v>23.190300000000001</v>
      </c>
      <c r="AD9355">
        <v>-1.1211879473449999</v>
      </c>
      <c r="AE9355">
        <v>2.18276</v>
      </c>
      <c r="AF9355">
        <v>-2.57622326380721</v>
      </c>
      <c r="AG9355">
        <v>-1.1211879473449999</v>
      </c>
      <c r="AH9355">
        <v>23.095716374477</v>
      </c>
      <c r="AI9355">
        <v>92.762153604174102</v>
      </c>
      <c r="AJ9355">
        <v>96.364775782952094</v>
      </c>
      <c r="AK9355">
        <v>23.265985978860598</v>
      </c>
      <c r="AL9355">
        <v>80.393895335042004</v>
      </c>
      <c r="AM9355">
        <v>99.749673973199194</v>
      </c>
      <c r="AN9355">
        <v>0.99999999880581902</v>
      </c>
    </row>
    <row r="9356" spans="1:40" x14ac:dyDescent="0.25">
      <c r="A9356" t="str">
        <f>"20190303162131421"</f>
        <v>20190303162131421</v>
      </c>
      <c r="B9356" t="str">
        <f>"1551601291412346"</f>
        <v>1551601291412346</v>
      </c>
      <c r="C9356" t="s">
        <v>40</v>
      </c>
      <c r="D9356">
        <v>4.7974509999999997</v>
      </c>
      <c r="E9356">
        <v>0.5063415</v>
      </c>
      <c r="F9356" t="s">
        <v>62</v>
      </c>
      <c r="G9356">
        <v>-204.88509999999999</v>
      </c>
      <c r="H9356" s="1">
        <v>-3.4007630000000002E-6</v>
      </c>
      <c r="I9356">
        <v>-59.539400000000001</v>
      </c>
      <c r="J9356">
        <v>-228.39420000000001</v>
      </c>
      <c r="K9356">
        <v>1.121183</v>
      </c>
      <c r="L9356">
        <v>-62.683720000000001</v>
      </c>
      <c r="M9356">
        <v>0.99978120000000004</v>
      </c>
      <c r="N9356">
        <v>-1.161833E-2</v>
      </c>
      <c r="O9356">
        <v>-1.7395839999999999E-2</v>
      </c>
      <c r="P9356">
        <v>0.9761495</v>
      </c>
      <c r="Q9356">
        <v>0.1555096</v>
      </c>
      <c r="R9356">
        <v>0.1514896</v>
      </c>
      <c r="S9356">
        <v>3.0335540000000001</v>
      </c>
      <c r="T9356">
        <v>-0.14382159999999999</v>
      </c>
      <c r="U9356">
        <v>0.40301510000000001</v>
      </c>
      <c r="V9356">
        <v>-0.1683462</v>
      </c>
      <c r="W9356">
        <v>0.16691139999999999</v>
      </c>
      <c r="X9356">
        <v>0.97149379999999996</v>
      </c>
      <c r="Y9356">
        <v>-0.1487049</v>
      </c>
      <c r="Z9356">
        <v>4.995747E-3</v>
      </c>
      <c r="AA9356">
        <v>0.988869</v>
      </c>
      <c r="AB9356">
        <v>28</v>
      </c>
      <c r="AC9356">
        <v>23.5091</v>
      </c>
      <c r="AD9356">
        <v>-1.1211864007629999</v>
      </c>
      <c r="AE9356">
        <v>3.1443199999999898</v>
      </c>
      <c r="AF9356">
        <v>-3.5449111195994401</v>
      </c>
      <c r="AG9356">
        <v>-1.1211864007629999</v>
      </c>
      <c r="AH9356">
        <v>23.398555939444599</v>
      </c>
      <c r="AI9356">
        <v>92.712433031138801</v>
      </c>
      <c r="AJ9356">
        <v>98.614871106892906</v>
      </c>
      <c r="AK9356">
        <v>23.692105728331398</v>
      </c>
      <c r="AL9356">
        <v>80.391710681754603</v>
      </c>
      <c r="AM9356">
        <v>99.830926773958794</v>
      </c>
      <c r="AN9356">
        <v>1.0000000309714101</v>
      </c>
    </row>
    <row r="9357" spans="1:40" x14ac:dyDescent="0.25">
      <c r="A9357" t="str">
        <f>"20190303162131432"</f>
        <v>20190303162131432</v>
      </c>
      <c r="B9357" t="str">
        <f>"1551601291422105"</f>
        <v>1551601291422105</v>
      </c>
      <c r="C9357" t="s">
        <v>40</v>
      </c>
      <c r="D9357">
        <v>4.8112219999999999</v>
      </c>
      <c r="E9357">
        <v>0.46199469999999998</v>
      </c>
      <c r="F9357" t="s">
        <v>62</v>
      </c>
      <c r="G9357">
        <v>-204.73099999999999</v>
      </c>
      <c r="H9357" s="1">
        <v>-3.485819E-6</v>
      </c>
      <c r="I9357">
        <v>-59.50994</v>
      </c>
      <c r="J9357">
        <v>-228.2568</v>
      </c>
      <c r="K9357">
        <v>1.121184</v>
      </c>
      <c r="L9357">
        <v>-62.686279999999996</v>
      </c>
      <c r="M9357">
        <v>0.99977839999999996</v>
      </c>
      <c r="N9357">
        <v>-1.1619020000000001E-2</v>
      </c>
      <c r="O9357">
        <v>-1.7552359999999999E-2</v>
      </c>
      <c r="P9357">
        <v>0.97599290000000005</v>
      </c>
      <c r="Q9357">
        <v>0.15508039999999901</v>
      </c>
      <c r="R9357">
        <v>0.15293129999999999</v>
      </c>
      <c r="S9357">
        <v>3.0330349999999999</v>
      </c>
      <c r="T9357">
        <v>-0.14370820000000001</v>
      </c>
      <c r="U9357">
        <v>0.40679929999999997</v>
      </c>
      <c r="V9357">
        <v>-0.1699377</v>
      </c>
      <c r="W9357">
        <v>0.16648170000000001</v>
      </c>
      <c r="X9357">
        <v>0.9712904</v>
      </c>
      <c r="Y9357">
        <v>-0.15009210000000001</v>
      </c>
      <c r="Z9357">
        <v>5.0392179999999998E-3</v>
      </c>
      <c r="AA9357">
        <v>0.98865919999999896</v>
      </c>
      <c r="AB9357">
        <v>28</v>
      </c>
      <c r="AC9357">
        <v>23.5258</v>
      </c>
      <c r="AD9357">
        <v>-1.1211874858190001</v>
      </c>
      <c r="AE9357">
        <v>3.1763400000000002</v>
      </c>
      <c r="AF9357">
        <v>-3.5808244087825098</v>
      </c>
      <c r="AG9357">
        <v>-1.1211874858190001</v>
      </c>
      <c r="AH9357">
        <v>23.414191472184001</v>
      </c>
      <c r="AI9357">
        <v>92.710050231933394</v>
      </c>
      <c r="AJ9357">
        <v>98.695097387804793</v>
      </c>
      <c r="AK9357">
        <v>23.712944294646</v>
      </c>
      <c r="AL9357">
        <v>80.416679837268703</v>
      </c>
      <c r="AM9357">
        <v>99.924063637766295</v>
      </c>
      <c r="AN9357">
        <v>1.0000000097241699</v>
      </c>
    </row>
    <row r="9358" spans="1:40" x14ac:dyDescent="0.25">
      <c r="A9358" t="str">
        <f>"20190303162131446"</f>
        <v>20190303162131446</v>
      </c>
      <c r="B9358" t="str">
        <f>"1551601291441626"</f>
        <v>1551601291441626</v>
      </c>
      <c r="C9358" t="s">
        <v>40</v>
      </c>
      <c r="D9358">
        <v>4.9051019999999896</v>
      </c>
      <c r="E9358">
        <v>0.44668560000000002</v>
      </c>
      <c r="F9358" t="s">
        <v>44</v>
      </c>
      <c r="G9358">
        <v>-164.33699999999999</v>
      </c>
      <c r="H9358">
        <v>-0.05</v>
      </c>
      <c r="I9358">
        <v>-46.28642</v>
      </c>
      <c r="J9358">
        <v>-228.10509999999999</v>
      </c>
      <c r="K9358">
        <v>1.121183</v>
      </c>
      <c r="L9358">
        <v>-62.689120000000003</v>
      </c>
      <c r="M9358">
        <v>0.99977539999999998</v>
      </c>
      <c r="N9358">
        <v>-1.16198E-2</v>
      </c>
      <c r="O9358">
        <v>-1.77250999999999E-2</v>
      </c>
      <c r="P9358">
        <v>0.97581090000000004</v>
      </c>
      <c r="Q9358">
        <v>0.15468889999999999</v>
      </c>
      <c r="R9358">
        <v>0.1544808</v>
      </c>
      <c r="S9358">
        <v>2.9632719999999999</v>
      </c>
      <c r="T9358">
        <v>-5.4295179999999998E-2</v>
      </c>
      <c r="U9358">
        <v>0.76028439999999997</v>
      </c>
      <c r="V9358">
        <v>-0.17165239999999901</v>
      </c>
      <c r="W9358">
        <v>0.16608909999999999</v>
      </c>
      <c r="X9358">
        <v>0.97105600000000003</v>
      </c>
      <c r="Y9358">
        <v>-0.265580599999999</v>
      </c>
      <c r="Z9358">
        <v>4.0791209999999998E-3</v>
      </c>
      <c r="AA9358">
        <v>0.96408000000000005</v>
      </c>
      <c r="AB9358">
        <v>28</v>
      </c>
      <c r="AC9358">
        <v>63.768099999999897</v>
      </c>
      <c r="AD9358">
        <v>-1.1711830000000001</v>
      </c>
      <c r="AE9358">
        <v>16.4026999999999</v>
      </c>
      <c r="AF9358">
        <v>-17.5249503277571</v>
      </c>
      <c r="AG9358">
        <v>-1.1711830000000001</v>
      </c>
      <c r="AH9358">
        <v>63.447247560917504</v>
      </c>
      <c r="AI9358">
        <v>91.019350184075904</v>
      </c>
      <c r="AJ9358">
        <v>105.440841005742</v>
      </c>
      <c r="AK9358">
        <v>65.833492818368697</v>
      </c>
      <c r="AL9358">
        <v>80.439491134133903</v>
      </c>
      <c r="AM9358">
        <v>100.024548981962</v>
      </c>
      <c r="AN9358">
        <v>0.99999994535028303</v>
      </c>
    </row>
    <row r="9359" spans="1:40" x14ac:dyDescent="0.25">
      <c r="A9359" t="str">
        <f>"20190303162131456"</f>
        <v>20190303162131456</v>
      </c>
      <c r="B9359" t="str">
        <f>"1551601291451386"</f>
        <v>1551601291451386</v>
      </c>
      <c r="C9359" t="s">
        <v>40</v>
      </c>
      <c r="D9359">
        <v>4.9571740000000002</v>
      </c>
      <c r="E9359">
        <v>0.44193729999999998</v>
      </c>
      <c r="F9359" t="s">
        <v>62</v>
      </c>
      <c r="G9359">
        <v>-185.25559999999999</v>
      </c>
      <c r="H9359" s="1">
        <v>-2.8281850000000001E-6</v>
      </c>
      <c r="I9359">
        <v>-49.809359999999998</v>
      </c>
      <c r="J9359">
        <v>-227.96100000000001</v>
      </c>
      <c r="K9359">
        <v>1.1211799999999901</v>
      </c>
      <c r="L9359">
        <v>-62.691859999999998</v>
      </c>
      <c r="M9359">
        <v>0.99977240000000001</v>
      </c>
      <c r="N9359">
        <v>-1.162057E-2</v>
      </c>
      <c r="O9359">
        <v>-1.788913E-2</v>
      </c>
      <c r="P9359">
        <v>0.97561339999999996</v>
      </c>
      <c r="Q9359">
        <v>0.15444959999999999</v>
      </c>
      <c r="R9359">
        <v>0.15596109999999999</v>
      </c>
      <c r="S9359">
        <v>2.9463650000000001</v>
      </c>
      <c r="T9359">
        <v>-7.7093480000000006E-2</v>
      </c>
      <c r="U9359">
        <v>0.88562009999999902</v>
      </c>
      <c r="V9359">
        <v>-0.17328829999999901</v>
      </c>
      <c r="W9359">
        <v>0.16584879999999999</v>
      </c>
      <c r="X9359">
        <v>0.97080650000000002</v>
      </c>
      <c r="Y9359">
        <v>-0.30480159999999901</v>
      </c>
      <c r="Z9359">
        <v>5.965494E-3</v>
      </c>
      <c r="AA9359">
        <v>0.95239720000000005</v>
      </c>
      <c r="AB9359">
        <v>28</v>
      </c>
      <c r="AC9359">
        <v>42.705399999999997</v>
      </c>
      <c r="AD9359">
        <v>-1.12118282818499</v>
      </c>
      <c r="AE9359">
        <v>12.8825</v>
      </c>
      <c r="AF9359">
        <v>-13.635837500670601</v>
      </c>
      <c r="AG9359">
        <v>-1.12118282818499</v>
      </c>
      <c r="AH9359">
        <v>42.441279548514501</v>
      </c>
      <c r="AI9359">
        <v>91.440744332587698</v>
      </c>
      <c r="AJ9359">
        <v>107.811544221804</v>
      </c>
      <c r="AK9359">
        <v>44.592099356209602</v>
      </c>
      <c r="AL9359">
        <v>80.453453087742801</v>
      </c>
      <c r="AM9359">
        <v>100.120667756394</v>
      </c>
      <c r="AN9359">
        <v>0.999999959910289</v>
      </c>
    </row>
    <row r="9360" spans="1:40" x14ac:dyDescent="0.25">
      <c r="A9360" t="str">
        <f>"20190303162131470"</f>
        <v>20190303162131470</v>
      </c>
      <c r="B9360" t="str">
        <f>"1551601291462121"</f>
        <v>1551601291462121</v>
      </c>
      <c r="C9360" t="s">
        <v>40</v>
      </c>
      <c r="D9360">
        <v>4.8841299999999999</v>
      </c>
      <c r="E9360">
        <v>0.43914880000000001</v>
      </c>
      <c r="F9360" t="s">
        <v>62</v>
      </c>
      <c r="G9360">
        <v>-186.70769999999999</v>
      </c>
      <c r="H9360" s="1">
        <v>-3.227875E-6</v>
      </c>
      <c r="I9360">
        <v>-49.679630000000003</v>
      </c>
      <c r="J9360">
        <v>-227.7895</v>
      </c>
      <c r="K9360">
        <v>1.121176</v>
      </c>
      <c r="L9360">
        <v>-62.695129999999999</v>
      </c>
      <c r="M9360">
        <v>0.99976900000000002</v>
      </c>
      <c r="N9360">
        <v>-1.162149E-2</v>
      </c>
      <c r="O9360">
        <v>-1.8084159999999998E-2</v>
      </c>
      <c r="P9360">
        <v>0.97544370000000002</v>
      </c>
      <c r="Q9360">
        <v>0.15395320000000001</v>
      </c>
      <c r="R9360">
        <v>0.15750620000000001</v>
      </c>
      <c r="S9360">
        <v>2.9394070000000001</v>
      </c>
      <c r="T9360">
        <v>-7.9887150000000004E-2</v>
      </c>
      <c r="U9360">
        <v>0.92715449999999999</v>
      </c>
      <c r="V9360">
        <v>-0.17502019999999999</v>
      </c>
      <c r="W9360">
        <v>0.16535179999999999</v>
      </c>
      <c r="X9360">
        <v>0.97058060000000002</v>
      </c>
      <c r="Y9360">
        <v>-0.317853</v>
      </c>
      <c r="Z9360">
        <v>6.3824909999999997E-3</v>
      </c>
      <c r="AA9360">
        <v>0.94811849999999998</v>
      </c>
      <c r="AB9360">
        <v>28</v>
      </c>
      <c r="AC9360">
        <v>41.081800000000001</v>
      </c>
      <c r="AD9360">
        <v>-1.1211792278749999</v>
      </c>
      <c r="AE9360">
        <v>13.015499999999999</v>
      </c>
      <c r="AF9360">
        <v>-13.7470461488833</v>
      </c>
      <c r="AG9360">
        <v>-1.1211792278749999</v>
      </c>
      <c r="AH9360">
        <v>40.812065841395103</v>
      </c>
      <c r="AI9360">
        <v>91.491329997224099</v>
      </c>
      <c r="AJ9360">
        <v>108.615470063092</v>
      </c>
      <c r="AK9360">
        <v>43.0797288631546</v>
      </c>
      <c r="AL9360">
        <v>80.482328099256705</v>
      </c>
      <c r="AM9360">
        <v>100.222023919487</v>
      </c>
      <c r="AN9360">
        <v>0.99999999463381894</v>
      </c>
    </row>
    <row r="9361" spans="1:40" x14ac:dyDescent="0.25">
      <c r="A9361" t="str">
        <f>"20190303162131483"</f>
        <v>20190303162131483</v>
      </c>
      <c r="B9361" t="str">
        <f>"1551601291471882"</f>
        <v>1551601291471882</v>
      </c>
      <c r="C9361" t="s">
        <v>40</v>
      </c>
      <c r="D9361">
        <v>4.8571949999999999</v>
      </c>
      <c r="E9361">
        <v>0.4375637</v>
      </c>
      <c r="F9361" t="s">
        <v>62</v>
      </c>
      <c r="G9361">
        <v>-189.10570000000001</v>
      </c>
      <c r="H9361" s="1">
        <v>-3.4960730000000002E-6</v>
      </c>
      <c r="I9361">
        <v>-50.127420000000001</v>
      </c>
      <c r="J9361">
        <v>-227.6285</v>
      </c>
      <c r="K9361">
        <v>1.121176</v>
      </c>
      <c r="L9361">
        <v>-62.698210000000003</v>
      </c>
      <c r="M9361">
        <v>0.99976580000000004</v>
      </c>
      <c r="N9361">
        <v>-1.162234E-2</v>
      </c>
      <c r="O9361">
        <v>-1.826786E-2</v>
      </c>
      <c r="P9361">
        <v>0.97524710000000003</v>
      </c>
      <c r="Q9361">
        <v>0.15363789999999999</v>
      </c>
      <c r="R9361">
        <v>0.15902469999999999</v>
      </c>
      <c r="S9361">
        <v>2.9349669999999999</v>
      </c>
      <c r="T9361">
        <v>-8.5064769999999998E-2</v>
      </c>
      <c r="U9361">
        <v>0.95352170000000003</v>
      </c>
      <c r="V9361">
        <v>-0.1767136</v>
      </c>
      <c r="W9361">
        <v>0.16503519999999999</v>
      </c>
      <c r="X9361">
        <v>0.97032759999999996</v>
      </c>
      <c r="Y9361">
        <v>-0.32612869999999999</v>
      </c>
      <c r="Z9361">
        <v>6.859614E-3</v>
      </c>
      <c r="AA9361">
        <v>0.94530049999999999</v>
      </c>
      <c r="AB9361">
        <v>28</v>
      </c>
      <c r="AC9361">
        <v>38.522799999999897</v>
      </c>
      <c r="AD9361">
        <v>-1.1211794960729999</v>
      </c>
      <c r="AE9361">
        <v>12.570789999999899</v>
      </c>
      <c r="AF9361">
        <v>-13.2623156489128</v>
      </c>
      <c r="AG9361">
        <v>-1.1211794960729999</v>
      </c>
      <c r="AH9361">
        <v>38.257426230501601</v>
      </c>
      <c r="AI9361">
        <v>91.586092479967704</v>
      </c>
      <c r="AJ9361">
        <v>109.119380352617</v>
      </c>
      <c r="AK9361">
        <v>40.506502214040701</v>
      </c>
      <c r="AL9361">
        <v>80.500720518645906</v>
      </c>
      <c r="AM9361">
        <v>100.321444375879</v>
      </c>
      <c r="AN9361">
        <v>0.99999998249287902</v>
      </c>
    </row>
    <row r="9362" spans="1:40" x14ac:dyDescent="0.25">
      <c r="A9362" t="str">
        <f>"20190303162131495"</f>
        <v>20190303162131495</v>
      </c>
      <c r="B9362" t="str">
        <f>"1551601291481641"</f>
        <v>1551601291481641</v>
      </c>
      <c r="C9362" t="s">
        <v>40</v>
      </c>
      <c r="D9362">
        <v>4.8464419999999997</v>
      </c>
      <c r="E9362">
        <v>0.43662119999999999</v>
      </c>
      <c r="F9362" t="s">
        <v>62</v>
      </c>
      <c r="G9362">
        <v>-190.08109999999999</v>
      </c>
      <c r="H9362" s="1">
        <v>-9.6760159999999994E-7</v>
      </c>
      <c r="I9362">
        <v>-50.270350000000001</v>
      </c>
      <c r="J9362">
        <v>-227.49170000000001</v>
      </c>
      <c r="K9362">
        <v>1.1211770000000001</v>
      </c>
      <c r="L9362">
        <v>-62.700870000000002</v>
      </c>
      <c r="M9362">
        <v>0.99976279999999995</v>
      </c>
      <c r="N9362">
        <v>-1.162153E-2</v>
      </c>
      <c r="O9362">
        <v>-1.842353E-2</v>
      </c>
      <c r="P9362">
        <v>0.97497520000000004</v>
      </c>
      <c r="Q9362">
        <v>0.15363940000000001</v>
      </c>
      <c r="R9362">
        <v>0.1606813</v>
      </c>
      <c r="S9362">
        <v>2.931702</v>
      </c>
      <c r="T9362">
        <v>-8.7541460000000001E-2</v>
      </c>
      <c r="U9362">
        <v>0.97036739999999999</v>
      </c>
      <c r="V9362">
        <v>-0.17851649999999999</v>
      </c>
      <c r="W9362">
        <v>0.16503329999999999</v>
      </c>
      <c r="X9362">
        <v>0.96999789999999997</v>
      </c>
      <c r="Y9362">
        <v>-0.33147149999999997</v>
      </c>
      <c r="Z9362">
        <v>7.1238330000000004E-3</v>
      </c>
      <c r="AA9362">
        <v>0.94343840000000001</v>
      </c>
      <c r="AB9362">
        <v>28</v>
      </c>
      <c r="AC9362">
        <v>37.410600000000002</v>
      </c>
      <c r="AD9362">
        <v>-1.1211779676016</v>
      </c>
      <c r="AE9362">
        <v>12.4305199999999</v>
      </c>
      <c r="AF9362">
        <v>-13.107089802194</v>
      </c>
      <c r="AG9362">
        <v>-1.1211779676016</v>
      </c>
      <c r="AH9362">
        <v>37.145174434023602</v>
      </c>
      <c r="AI9362">
        <v>91.630405701978304</v>
      </c>
      <c r="AJ9362">
        <v>109.43595858812699</v>
      </c>
      <c r="AK9362">
        <v>39.405796868631498</v>
      </c>
      <c r="AL9362">
        <v>80.5008313346449</v>
      </c>
      <c r="AM9362">
        <v>100.42791596539401</v>
      </c>
      <c r="AN9362">
        <v>1.0000000284427699</v>
      </c>
    </row>
    <row r="9363" spans="1:40" x14ac:dyDescent="0.25">
      <c r="A9363" t="str">
        <f>"20190303162131506"</f>
        <v>20190303162131506</v>
      </c>
      <c r="B9363" t="str">
        <f>"1551601291491404"</f>
        <v>1551601291491404</v>
      </c>
      <c r="C9363" t="s">
        <v>40</v>
      </c>
      <c r="D9363">
        <v>4.8887090000000004</v>
      </c>
      <c r="E9363">
        <v>0.43601020000000001</v>
      </c>
      <c r="F9363" t="s">
        <v>62</v>
      </c>
      <c r="G9363">
        <v>-190.8304</v>
      </c>
      <c r="H9363" s="1">
        <v>-9.8776839999999999E-6</v>
      </c>
      <c r="I9363">
        <v>-50.404290000000003</v>
      </c>
      <c r="J9363">
        <v>-227.3544</v>
      </c>
      <c r="K9363">
        <v>1.1211770000000001</v>
      </c>
      <c r="L9363">
        <v>-62.70355</v>
      </c>
      <c r="M9363">
        <v>0.99975990000000003</v>
      </c>
      <c r="N9363">
        <v>-1.162029E-2</v>
      </c>
      <c r="O9363">
        <v>-1.8580039999999999E-2</v>
      </c>
      <c r="P9363">
        <v>0.97465659999999998</v>
      </c>
      <c r="Q9363">
        <v>0.1535532</v>
      </c>
      <c r="R9363">
        <v>0.16268440000000001</v>
      </c>
      <c r="S9363">
        <v>2.9291990000000001</v>
      </c>
      <c r="T9363">
        <v>-8.9581610000000006E-2</v>
      </c>
      <c r="U9363">
        <v>0.98248290000000005</v>
      </c>
      <c r="V9363">
        <v>-0.1806654</v>
      </c>
      <c r="W9363">
        <v>0.16494259999999999</v>
      </c>
      <c r="X9363">
        <v>0.96961529999999996</v>
      </c>
      <c r="Y9363">
        <v>-0.3353584</v>
      </c>
      <c r="Z9363">
        <v>7.3347280000000004E-3</v>
      </c>
      <c r="AA9363">
        <v>0.94206210000000001</v>
      </c>
      <c r="AB9363">
        <v>28</v>
      </c>
      <c r="AC9363">
        <v>36.524000000000001</v>
      </c>
      <c r="AD9363">
        <v>-1.1211868776839999</v>
      </c>
      <c r="AE9363">
        <v>12.299259999999901</v>
      </c>
      <c r="AF9363">
        <v>-12.9648269703053</v>
      </c>
      <c r="AG9363">
        <v>-1.1211868776839999</v>
      </c>
      <c r="AH9363">
        <v>36.258470765927001</v>
      </c>
      <c r="AI9363">
        <v>91.667792513116694</v>
      </c>
      <c r="AJ9363">
        <v>109.67536579779301</v>
      </c>
      <c r="AK9363">
        <v>38.522986653013199</v>
      </c>
      <c r="AL9363">
        <v>80.506099412579005</v>
      </c>
      <c r="AM9363">
        <v>100.554709809103</v>
      </c>
      <c r="AN9363">
        <v>0.99999993902300299</v>
      </c>
    </row>
    <row r="9364" spans="1:40" x14ac:dyDescent="0.25">
      <c r="A9364" t="str">
        <f>"20190303162131514"</f>
        <v>20190303162131514</v>
      </c>
      <c r="B9364" t="str">
        <f>"1551601291502138"</f>
        <v>1551601291502138</v>
      </c>
      <c r="C9364" t="s">
        <v>40</v>
      </c>
      <c r="D9364">
        <v>4.8168470000000001</v>
      </c>
      <c r="E9364">
        <v>0.4358148</v>
      </c>
      <c r="F9364" t="s">
        <v>62</v>
      </c>
      <c r="G9364">
        <v>-191.24080000000001</v>
      </c>
      <c r="H9364" s="1">
        <v>-9.9023899999999996E-6</v>
      </c>
      <c r="I9364">
        <v>-50.449080000000002</v>
      </c>
      <c r="J9364">
        <v>-227.22929999999999</v>
      </c>
      <c r="K9364">
        <v>1.1211770000000001</v>
      </c>
      <c r="L9364">
        <v>-62.706020000000002</v>
      </c>
      <c r="M9364">
        <v>0.99975729999999996</v>
      </c>
      <c r="N9364">
        <v>-1.161594E-2</v>
      </c>
      <c r="O9364">
        <v>-1.8722220000000001E-2</v>
      </c>
      <c r="P9364">
        <v>0.97434849999999995</v>
      </c>
      <c r="Q9364">
        <v>0.1533976</v>
      </c>
      <c r="R9364">
        <v>0.164663</v>
      </c>
      <c r="S9364">
        <v>2.9265590000000001</v>
      </c>
      <c r="T9364">
        <v>-9.0858220000000003E-2</v>
      </c>
      <c r="U9364">
        <v>0.99307250000000002</v>
      </c>
      <c r="V9364">
        <v>-0.18277650000000001</v>
      </c>
      <c r="W9364">
        <v>0.16477990000000001</v>
      </c>
      <c r="X9364">
        <v>0.96924730000000003</v>
      </c>
      <c r="Y9364">
        <v>-0.33879920000000002</v>
      </c>
      <c r="Z9364">
        <v>7.4911459999999997E-3</v>
      </c>
      <c r="AA9364">
        <v>0.94082889999999997</v>
      </c>
      <c r="AB9364">
        <v>28</v>
      </c>
      <c r="AC9364">
        <v>35.988499999999902</v>
      </c>
      <c r="AD9364">
        <v>-1.1211869023899901</v>
      </c>
      <c r="AE9364">
        <v>12.256939999999901</v>
      </c>
      <c r="AF9364">
        <v>-12.9173872235893</v>
      </c>
      <c r="AG9364">
        <v>-1.1211869023899901</v>
      </c>
      <c r="AH9364">
        <v>35.721631731538999</v>
      </c>
      <c r="AI9364">
        <v>91.690664298775602</v>
      </c>
      <c r="AJ9364">
        <v>109.88062192359401</v>
      </c>
      <c r="AK9364">
        <v>38.001985820716399</v>
      </c>
      <c r="AL9364">
        <v>80.515551311444597</v>
      </c>
      <c r="AM9364">
        <v>100.679184208414</v>
      </c>
      <c r="AN9364">
        <v>0.99999999647677495</v>
      </c>
    </row>
    <row r="9365" spans="1:40" x14ac:dyDescent="0.25">
      <c r="A9365" t="str">
        <f>"20190303162131525"</f>
        <v>20190303162131525</v>
      </c>
      <c r="B9365" t="str">
        <f>"1551601291511897"</f>
        <v>1551601291511897</v>
      </c>
      <c r="C9365" t="s">
        <v>40</v>
      </c>
      <c r="D9365">
        <v>4.8644980000000002</v>
      </c>
      <c r="E9365">
        <v>0.43560919999999997</v>
      </c>
      <c r="F9365" t="s">
        <v>62</v>
      </c>
      <c r="G9365">
        <v>-190.75450000000001</v>
      </c>
      <c r="H9365" s="1">
        <v>-1.142453E-6</v>
      </c>
      <c r="I9365">
        <v>-50.22795</v>
      </c>
      <c r="J9365">
        <v>-227.11160000000001</v>
      </c>
      <c r="K9365">
        <v>1.121176</v>
      </c>
      <c r="L9365">
        <v>-62.70834</v>
      </c>
      <c r="M9365">
        <v>0.99975480000000005</v>
      </c>
      <c r="N9365">
        <v>-1.161182E-2</v>
      </c>
      <c r="O9365">
        <v>-1.885595E-2</v>
      </c>
      <c r="P9365">
        <v>0.9739854</v>
      </c>
      <c r="Q9365">
        <v>0.15343380000000001</v>
      </c>
      <c r="R9365">
        <v>0.16676460000000001</v>
      </c>
      <c r="S9365">
        <v>2.9240879999999998</v>
      </c>
      <c r="T9365">
        <v>-8.9882020000000007E-2</v>
      </c>
      <c r="U9365">
        <v>1.0003359999999999</v>
      </c>
      <c r="V9365">
        <v>-0.18500050000000001</v>
      </c>
      <c r="W9365">
        <v>0.1648086</v>
      </c>
      <c r="X9365">
        <v>0.96882040000000003</v>
      </c>
      <c r="Y9365">
        <v>-0.3412618</v>
      </c>
      <c r="Z9365">
        <v>7.48670699999999E-3</v>
      </c>
      <c r="AA9365">
        <v>0.93993850000000001</v>
      </c>
      <c r="AB9365">
        <v>28</v>
      </c>
      <c r="AC9365">
        <v>36.357100000000003</v>
      </c>
      <c r="AD9365">
        <v>-1.1211771424529999</v>
      </c>
      <c r="AE9365">
        <v>12.48039</v>
      </c>
      <c r="AF9365">
        <v>-13.1525753948444</v>
      </c>
      <c r="AG9365">
        <v>-1.1211771424529999</v>
      </c>
      <c r="AH9365">
        <v>36.084591498891598</v>
      </c>
      <c r="AI9365">
        <v>91.672109002672002</v>
      </c>
      <c r="AJ9365">
        <v>110.026436206215</v>
      </c>
      <c r="AK9365">
        <v>38.423235435654099</v>
      </c>
      <c r="AL9365">
        <v>80.513884292196096</v>
      </c>
      <c r="AM9365">
        <v>100.810734613055</v>
      </c>
      <c r="AN9365">
        <v>1.0000000135451801</v>
      </c>
    </row>
    <row r="9366" spans="1:40" x14ac:dyDescent="0.25">
      <c r="A9366" t="str">
        <f>"20190303162131534"</f>
        <v>20190303162131534</v>
      </c>
      <c r="B9366" t="str">
        <f>"1551601291521658"</f>
        <v>1551601291521658</v>
      </c>
      <c r="C9366" t="s">
        <v>40</v>
      </c>
      <c r="D9366">
        <v>4.8564350000000003</v>
      </c>
      <c r="E9366">
        <v>0.43544500000000003</v>
      </c>
      <c r="F9366" t="s">
        <v>62</v>
      </c>
      <c r="G9366">
        <v>-191.2045</v>
      </c>
      <c r="H9366" s="1">
        <v>-1.188087E-6</v>
      </c>
      <c r="I9366">
        <v>-50.31991</v>
      </c>
      <c r="J9366">
        <v>-226.99209999999999</v>
      </c>
      <c r="K9366">
        <v>1.1211690000000001</v>
      </c>
      <c r="L9366">
        <v>-62.710720000000002</v>
      </c>
      <c r="M9366">
        <v>0.99975230000000004</v>
      </c>
      <c r="N9366">
        <v>-1.1604959999999999E-2</v>
      </c>
      <c r="O9366">
        <v>-1.8992040000000002E-2</v>
      </c>
      <c r="P9366">
        <v>0.97368319999999997</v>
      </c>
      <c r="Q9366">
        <v>0.1530967</v>
      </c>
      <c r="R9366">
        <v>0.168827799999999</v>
      </c>
      <c r="S9366">
        <v>2.921875</v>
      </c>
      <c r="T9366">
        <v>-9.1233850000000005E-2</v>
      </c>
      <c r="U9366">
        <v>1.008087</v>
      </c>
      <c r="V9366">
        <v>-0.1871901</v>
      </c>
      <c r="W9366">
        <v>0.16446140000000001</v>
      </c>
      <c r="X9366">
        <v>0.96845870000000001</v>
      </c>
      <c r="Y9366">
        <v>-0.34382950000000001</v>
      </c>
      <c r="Z9366">
        <v>7.6303450000000002E-3</v>
      </c>
      <c r="AA9366">
        <v>0.93900110000000003</v>
      </c>
      <c r="AB9366">
        <v>28</v>
      </c>
      <c r="AC9366">
        <v>35.787599999999998</v>
      </c>
      <c r="AD9366">
        <v>-1.121170188087</v>
      </c>
      <c r="AE9366">
        <v>12.390809999999901</v>
      </c>
      <c r="AF9366">
        <v>-13.056856949528401</v>
      </c>
      <c r="AG9366">
        <v>-1.121170188087</v>
      </c>
      <c r="AH9366">
        <v>35.514676244920103</v>
      </c>
      <c r="AI9366">
        <v>91.697187910020205</v>
      </c>
      <c r="AJ9366">
        <v>110.185789768137</v>
      </c>
      <c r="AK9366">
        <v>37.855392809645998</v>
      </c>
      <c r="AL9366">
        <v>80.534052172366799</v>
      </c>
      <c r="AM9366">
        <v>100.939604847859</v>
      </c>
      <c r="AN9366">
        <v>0.99999996961682902</v>
      </c>
    </row>
    <row r="9367" spans="1:40" x14ac:dyDescent="0.25">
      <c r="A9367" t="str">
        <f>"20190303162131547"</f>
        <v>20190303162131547</v>
      </c>
      <c r="B9367" t="str">
        <f>"1551601291542154"</f>
        <v>1551601291542154</v>
      </c>
      <c r="C9367" t="s">
        <v>40</v>
      </c>
      <c r="D9367">
        <v>4.8516430000000001</v>
      </c>
      <c r="E9367">
        <v>0.43560169999999998</v>
      </c>
      <c r="F9367" t="s">
        <v>62</v>
      </c>
      <c r="G9367">
        <v>-191.93700000000001</v>
      </c>
      <c r="H9367" s="1">
        <v>-9.9471199999999997E-6</v>
      </c>
      <c r="I9367">
        <v>-50.517359999999996</v>
      </c>
      <c r="J9367">
        <v>-226.8561</v>
      </c>
      <c r="K9367">
        <v>1.1211660000000001</v>
      </c>
      <c r="L9367">
        <v>-62.713470000000001</v>
      </c>
      <c r="M9367">
        <v>0.99974949999999996</v>
      </c>
      <c r="N9367">
        <v>-1.1596850000000001E-2</v>
      </c>
      <c r="O9367">
        <v>-1.9146949999999999E-2</v>
      </c>
      <c r="P9367">
        <v>0.97331080000000003</v>
      </c>
      <c r="Q9367">
        <v>0.15306159999999999</v>
      </c>
      <c r="R9367">
        <v>0.17099300000000001</v>
      </c>
      <c r="S9367">
        <v>2.9196780000000002</v>
      </c>
      <c r="T9367">
        <v>-9.3381049999999993E-2</v>
      </c>
      <c r="U9367">
        <v>1.0155639999999999</v>
      </c>
      <c r="V9367">
        <v>-0.18949769999999999</v>
      </c>
      <c r="W9367">
        <v>0.16441439999999999</v>
      </c>
      <c r="X9367">
        <v>0.96801780000000004</v>
      </c>
      <c r="Y9367">
        <v>-0.34632790000000002</v>
      </c>
      <c r="Z9367">
        <v>7.8249110000000004E-3</v>
      </c>
      <c r="AA9367">
        <v>0.9380809</v>
      </c>
      <c r="AB9367">
        <v>28</v>
      </c>
      <c r="AC9367">
        <v>34.919099999999901</v>
      </c>
      <c r="AD9367">
        <v>-1.12117594711999</v>
      </c>
      <c r="AE9367">
        <v>12.1961099999999</v>
      </c>
      <c r="AF9367">
        <v>-12.8507055227201</v>
      </c>
      <c r="AG9367">
        <v>-1.12117594711999</v>
      </c>
      <c r="AH9367">
        <v>34.647328919449002</v>
      </c>
      <c r="AI9367">
        <v>91.737820589297201</v>
      </c>
      <c r="AJ9367">
        <v>110.349833588225</v>
      </c>
      <c r="AK9367">
        <v>36.970732602811097</v>
      </c>
      <c r="AL9367">
        <v>80.536782213944605</v>
      </c>
      <c r="AM9367">
        <v>101.0760691798</v>
      </c>
      <c r="AN9367">
        <v>0.99999996717474404</v>
      </c>
    </row>
    <row r="9368" spans="1:40" x14ac:dyDescent="0.25">
      <c r="A9368" t="str">
        <f>"20190303162131556"</f>
        <v>20190303162131556</v>
      </c>
      <c r="B9368" t="str">
        <f>"1551601291551913"</f>
        <v>1551601291551913</v>
      </c>
      <c r="C9368" t="s">
        <v>40</v>
      </c>
      <c r="D9368">
        <v>4.8939570000000003</v>
      </c>
      <c r="E9368">
        <v>0.43576989999999999</v>
      </c>
      <c r="F9368" t="s">
        <v>62</v>
      </c>
      <c r="G9368">
        <v>-191.6994</v>
      </c>
      <c r="H9368" s="1">
        <v>-9.9604810000000003E-6</v>
      </c>
      <c r="I9368">
        <v>-50.415320000000001</v>
      </c>
      <c r="J9368">
        <v>-226.71190000000001</v>
      </c>
      <c r="K9368">
        <v>1.121162</v>
      </c>
      <c r="L9368">
        <v>-62.716430000000003</v>
      </c>
      <c r="M9368">
        <v>0.99974649999999998</v>
      </c>
      <c r="N9368">
        <v>-1.1583370000000001E-2</v>
      </c>
      <c r="O9368">
        <v>-1.931101E-2</v>
      </c>
      <c r="P9368">
        <v>0.97291919999999998</v>
      </c>
      <c r="Q9368">
        <v>0.15296360000000001</v>
      </c>
      <c r="R9368">
        <v>0.173293</v>
      </c>
      <c r="S9368">
        <v>2.9175870000000002</v>
      </c>
      <c r="T9368">
        <v>-9.3044160000000001E-2</v>
      </c>
      <c r="U9368">
        <v>1.020599</v>
      </c>
      <c r="V9368">
        <v>-0.1919496</v>
      </c>
      <c r="W9368">
        <v>0.16429969999999999</v>
      </c>
      <c r="X9368">
        <v>0.96755420000000003</v>
      </c>
      <c r="Y9368">
        <v>-0.34813309999999997</v>
      </c>
      <c r="Z9368">
        <v>7.8462359999999995E-3</v>
      </c>
      <c r="AA9368">
        <v>0.93741229999999998</v>
      </c>
      <c r="AB9368">
        <v>28</v>
      </c>
      <c r="AC9368">
        <v>35.012500000000003</v>
      </c>
      <c r="AD9368">
        <v>-1.121171960481</v>
      </c>
      <c r="AE9368">
        <v>12.30111</v>
      </c>
      <c r="AF9368">
        <v>-12.963155828042201</v>
      </c>
      <c r="AG9368">
        <v>-1.121171960481</v>
      </c>
      <c r="AH9368">
        <v>34.736701616342998</v>
      </c>
      <c r="AI9368">
        <v>91.732054044049093</v>
      </c>
      <c r="AJ9368">
        <v>110.46473282689</v>
      </c>
      <c r="AK9368">
        <v>37.093650059948502</v>
      </c>
      <c r="AL9368">
        <v>80.5434457689082</v>
      </c>
      <c r="AM9368">
        <v>101.221008656875</v>
      </c>
      <c r="AN9368">
        <v>1.0000000851489399</v>
      </c>
    </row>
    <row r="9369" spans="1:40" x14ac:dyDescent="0.25">
      <c r="A9369" t="str">
        <f>"20190303162131568"</f>
        <v>20190303162131568</v>
      </c>
      <c r="B9369" t="str">
        <f>"1551601291561674"</f>
        <v>1551601291561674</v>
      </c>
      <c r="C9369" t="s">
        <v>40</v>
      </c>
      <c r="D9369">
        <v>4.9084810000000001</v>
      </c>
      <c r="E9369">
        <v>0.43590570000000001</v>
      </c>
      <c r="F9369" t="s">
        <v>62</v>
      </c>
      <c r="G9369">
        <v>-191.6902</v>
      </c>
      <c r="H9369" s="1">
        <v>-9.9682179999999998E-6</v>
      </c>
      <c r="I9369">
        <v>-50.391509999999997</v>
      </c>
      <c r="J9369">
        <v>-226.5744</v>
      </c>
      <c r="K9369">
        <v>1.121162</v>
      </c>
      <c r="L9369">
        <v>-62.719209999999997</v>
      </c>
      <c r="M9369">
        <v>0.99974370000000001</v>
      </c>
      <c r="N9369">
        <v>-1.1568729999999999E-2</v>
      </c>
      <c r="O9369">
        <v>-1.946755E-2</v>
      </c>
      <c r="P9369">
        <v>0.97257070000000001</v>
      </c>
      <c r="Q9369">
        <v>0.15307409999999999</v>
      </c>
      <c r="R9369">
        <v>0.17514150000000001</v>
      </c>
      <c r="S9369">
        <v>2.9154209999999998</v>
      </c>
      <c r="T9369">
        <v>-9.333313E-2</v>
      </c>
      <c r="U9369">
        <v>1.0260009999999999</v>
      </c>
      <c r="V9369">
        <v>-0.19394239999999999</v>
      </c>
      <c r="W9369">
        <v>0.16439279999999901</v>
      </c>
      <c r="X9369">
        <v>0.96714080000000002</v>
      </c>
      <c r="Y9369">
        <v>-0.35004000000000002</v>
      </c>
      <c r="Z9369">
        <v>7.9097430000000003E-3</v>
      </c>
      <c r="AA9369">
        <v>0.93670140000000002</v>
      </c>
      <c r="AB9369">
        <v>28</v>
      </c>
      <c r="AC9369">
        <v>34.8841999999999</v>
      </c>
      <c r="AD9369">
        <v>-1.1211719682179999</v>
      </c>
      <c r="AE9369">
        <v>12.3277</v>
      </c>
      <c r="AF9369">
        <v>-12.992587770432699</v>
      </c>
      <c r="AG9369">
        <v>-1.1211719682179999</v>
      </c>
      <c r="AH9369">
        <v>34.605803927918501</v>
      </c>
      <c r="AI9369">
        <v>91.7373116650638</v>
      </c>
      <c r="AJ9369">
        <v>110.57841215083999</v>
      </c>
      <c r="AK9369">
        <v>36.981428164042804</v>
      </c>
      <c r="AL9369">
        <v>80.538037065227897</v>
      </c>
      <c r="AM9369">
        <v>101.339222583848</v>
      </c>
      <c r="AN9369">
        <v>0.99999998711712001</v>
      </c>
    </row>
    <row r="9370" spans="1:40" x14ac:dyDescent="0.25">
      <c r="A9370" t="str">
        <f>"20190303162131578"</f>
        <v>20190303162131578</v>
      </c>
      <c r="B9370" t="str">
        <f>"1551601291571434"</f>
        <v>1551601291571434</v>
      </c>
      <c r="C9370" t="s">
        <v>40</v>
      </c>
      <c r="D9370">
        <v>4.898441</v>
      </c>
      <c r="E9370">
        <v>0.43598290000000001</v>
      </c>
      <c r="F9370" t="s">
        <v>62</v>
      </c>
      <c r="G9370">
        <v>-191.64230000000001</v>
      </c>
      <c r="H9370" s="1">
        <v>-1.258082E-6</v>
      </c>
      <c r="I9370">
        <v>-50.366109999999999</v>
      </c>
      <c r="J9370">
        <v>-226.44159999999999</v>
      </c>
      <c r="K9370">
        <v>1.1211580000000001</v>
      </c>
      <c r="L9370">
        <v>-62.72195</v>
      </c>
      <c r="M9370">
        <v>0.99974090000000004</v>
      </c>
      <c r="N9370">
        <v>-1.1550629999999999E-2</v>
      </c>
      <c r="O9370">
        <v>-1.9618590000000002E-2</v>
      </c>
      <c r="P9370">
        <v>0.97219860000000002</v>
      </c>
      <c r="Q9370">
        <v>0.153196</v>
      </c>
      <c r="R9370">
        <v>0.17709069999999999</v>
      </c>
      <c r="S9370">
        <v>2.9137569999999999</v>
      </c>
      <c r="T9370">
        <v>-9.3518379999999998E-2</v>
      </c>
      <c r="U9370">
        <v>1.0303960000000001</v>
      </c>
      <c r="V9370">
        <v>-0.19603100000000001</v>
      </c>
      <c r="W9370">
        <v>0.1644929</v>
      </c>
      <c r="X9370">
        <v>0.96670259999999997</v>
      </c>
      <c r="Y9370">
        <v>-0.3516029</v>
      </c>
      <c r="Z9370">
        <v>7.9578559999999993E-3</v>
      </c>
      <c r="AA9370">
        <v>0.93611540000000004</v>
      </c>
      <c r="AB9370">
        <v>28</v>
      </c>
      <c r="AC9370">
        <v>34.799299999999903</v>
      </c>
      <c r="AD9370">
        <v>-1.121159258082</v>
      </c>
      <c r="AE9370">
        <v>12.355839999999899</v>
      </c>
      <c r="AF9370">
        <v>-13.024214815641299</v>
      </c>
      <c r="AG9370">
        <v>-1.121159258082</v>
      </c>
      <c r="AH9370">
        <v>34.518362745678402</v>
      </c>
      <c r="AI9370">
        <v>91.740618938013199</v>
      </c>
      <c r="AJ9370">
        <v>110.672125489763</v>
      </c>
      <c r="AK9370">
        <v>36.910764504249897</v>
      </c>
      <c r="AL9370">
        <v>80.5322226495488</v>
      </c>
      <c r="AM9370">
        <v>101.463179747796</v>
      </c>
      <c r="AN9370">
        <v>0.99999999197908496</v>
      </c>
    </row>
    <row r="9371" spans="1:40" x14ac:dyDescent="0.25">
      <c r="A9371" t="str">
        <f>"20190303162131589"</f>
        <v>20190303162131589</v>
      </c>
      <c r="B9371" t="str">
        <f>"1551601291582169"</f>
        <v>1551601291582169</v>
      </c>
      <c r="C9371" t="s">
        <v>40</v>
      </c>
      <c r="D9371">
        <v>4.9239030000000001</v>
      </c>
      <c r="E9371">
        <v>0.43606099999999998</v>
      </c>
      <c r="F9371" t="s">
        <v>62</v>
      </c>
      <c r="G9371">
        <v>-191.5232</v>
      </c>
      <c r="H9371" s="1">
        <v>-1.267426E-6</v>
      </c>
      <c r="I9371">
        <v>-50.305570000000003</v>
      </c>
      <c r="J9371">
        <v>-226.31540000000001</v>
      </c>
      <c r="K9371">
        <v>1.1211549999999999</v>
      </c>
      <c r="L9371">
        <v>-62.724550000000001</v>
      </c>
      <c r="M9371">
        <v>0.99973829999999997</v>
      </c>
      <c r="N9371">
        <v>-1.1531380000000001E-2</v>
      </c>
      <c r="O9371">
        <v>-1.9761399999999998E-2</v>
      </c>
      <c r="P9371">
        <v>0.97187400000000002</v>
      </c>
      <c r="Q9371">
        <v>0.1533292</v>
      </c>
      <c r="R9371">
        <v>0.17874970000000001</v>
      </c>
      <c r="S9371">
        <v>2.9119259999999998</v>
      </c>
      <c r="T9371">
        <v>-9.3496079999999995E-2</v>
      </c>
      <c r="U9371">
        <v>1.035431</v>
      </c>
      <c r="V9371">
        <v>-0.19782189999999999</v>
      </c>
      <c r="W9371">
        <v>0.1646039</v>
      </c>
      <c r="X9371">
        <v>0.96631880000000003</v>
      </c>
      <c r="Y9371">
        <v>-0.3533578</v>
      </c>
      <c r="Z9371">
        <v>7.9964930000000004E-3</v>
      </c>
      <c r="AA9371">
        <v>0.93545409999999996</v>
      </c>
      <c r="AB9371">
        <v>28</v>
      </c>
      <c r="AC9371">
        <v>34.792200000000001</v>
      </c>
      <c r="AD9371">
        <v>-1.1211562674259901</v>
      </c>
      <c r="AE9371">
        <v>12.4189799999999</v>
      </c>
      <c r="AF9371">
        <v>-13.0920842547182</v>
      </c>
      <c r="AG9371">
        <v>-1.1211562674259901</v>
      </c>
      <c r="AH9371">
        <v>34.5081883212411</v>
      </c>
      <c r="AI9371">
        <v>91.7399308483364</v>
      </c>
      <c r="AJ9371">
        <v>110.77627736508499</v>
      </c>
      <c r="AK9371">
        <v>36.925258600622797</v>
      </c>
      <c r="AL9371">
        <v>80.525774868392105</v>
      </c>
      <c r="AM9371">
        <v>101.56956540361701</v>
      </c>
      <c r="AN9371">
        <v>0.99999998562412995</v>
      </c>
    </row>
    <row r="9372" spans="1:40" x14ac:dyDescent="0.25">
      <c r="A9372" t="str">
        <f>"20190303162131600"</f>
        <v>20190303162131600</v>
      </c>
      <c r="B9372" t="str">
        <f>"1551601291591930"</f>
        <v>1551601291591930</v>
      </c>
      <c r="C9372" t="s">
        <v>40</v>
      </c>
      <c r="D9372">
        <v>4.9366219999999998</v>
      </c>
      <c r="E9372">
        <v>0.43618820000000003</v>
      </c>
      <c r="F9372" t="s">
        <v>62</v>
      </c>
      <c r="G9372">
        <v>-191.44239999999999</v>
      </c>
      <c r="H9372" s="1">
        <v>-1.273769E-6</v>
      </c>
      <c r="I9372">
        <v>-50.264510000000001</v>
      </c>
      <c r="J9372">
        <v>-226.17019999999999</v>
      </c>
      <c r="K9372">
        <v>1.121149</v>
      </c>
      <c r="L9372">
        <v>-62.727600000000002</v>
      </c>
      <c r="M9372">
        <v>0.99973529999999999</v>
      </c>
      <c r="N9372">
        <v>-1.150582E-2</v>
      </c>
      <c r="O9372">
        <v>-1.9925379999999999E-2</v>
      </c>
      <c r="P9372">
        <v>0.97160219999999997</v>
      </c>
      <c r="Q9372">
        <v>0.1535174</v>
      </c>
      <c r="R9372">
        <v>0.18006129999999901</v>
      </c>
      <c r="S9372">
        <v>2.910339</v>
      </c>
      <c r="T9372">
        <v>-9.3566419999999997E-2</v>
      </c>
      <c r="U9372">
        <v>1.0398559999999999</v>
      </c>
      <c r="V9372">
        <v>-0.19928660000000001</v>
      </c>
      <c r="W9372">
        <v>0.16476389999999999</v>
      </c>
      <c r="X9372">
        <v>0.96599049999999997</v>
      </c>
      <c r="Y9372">
        <v>-0.35493229999999998</v>
      </c>
      <c r="Z9372">
        <v>8.0363459999999998E-3</v>
      </c>
      <c r="AA9372">
        <v>0.93485750000000001</v>
      </c>
      <c r="AB9372">
        <v>28</v>
      </c>
      <c r="AC9372">
        <v>34.727800000000002</v>
      </c>
      <c r="AD9372">
        <v>-1.121150273769</v>
      </c>
      <c r="AE9372">
        <v>12.463089999999999</v>
      </c>
      <c r="AF9372">
        <v>-13.1404927187219</v>
      </c>
      <c r="AG9372">
        <v>-1.121150273769</v>
      </c>
      <c r="AH9372">
        <v>34.440756059789599</v>
      </c>
      <c r="AI9372">
        <v>91.742082516981995</v>
      </c>
      <c r="AJ9372">
        <v>110.883805106225</v>
      </c>
      <c r="AK9372">
        <v>36.879468607845901</v>
      </c>
      <c r="AL9372">
        <v>80.516480483666101</v>
      </c>
      <c r="AM9372">
        <v>101.656745467151</v>
      </c>
      <c r="AN9372">
        <v>0.99999996888650899</v>
      </c>
    </row>
    <row r="9373" spans="1:40" x14ac:dyDescent="0.25">
      <c r="A9373" t="str">
        <f>"20190303162131612"</f>
        <v>20190303162131612</v>
      </c>
      <c r="B9373" t="str">
        <f>"1551601291601690"</f>
        <v>1551601291601690</v>
      </c>
      <c r="C9373" t="s">
        <v>40</v>
      </c>
      <c r="D9373">
        <v>4.9776530000000001</v>
      </c>
      <c r="E9373">
        <v>0.43644070000000001</v>
      </c>
      <c r="F9373" t="s">
        <v>62</v>
      </c>
      <c r="G9373">
        <v>-191.4085</v>
      </c>
      <c r="H9373" s="1">
        <v>-1.264379E-6</v>
      </c>
      <c r="I9373">
        <v>-50.26764</v>
      </c>
      <c r="J9373">
        <v>-226.03190000000001</v>
      </c>
      <c r="K9373">
        <v>1.121146</v>
      </c>
      <c r="L9373">
        <v>-62.730499999999999</v>
      </c>
      <c r="M9373">
        <v>0.99973250000000002</v>
      </c>
      <c r="N9373">
        <v>-1.147956E-2</v>
      </c>
      <c r="O9373">
        <v>-2.0079329999999999E-2</v>
      </c>
      <c r="P9373">
        <v>0.97128780000000003</v>
      </c>
      <c r="Q9373">
        <v>0.15396860000000001</v>
      </c>
      <c r="R9373">
        <v>0.18136650000000001</v>
      </c>
      <c r="S9373">
        <v>2.9092410000000002</v>
      </c>
      <c r="T9373">
        <v>-9.3830109999999994E-2</v>
      </c>
      <c r="U9373">
        <v>1.042786</v>
      </c>
      <c r="V9373">
        <v>-0.200734</v>
      </c>
      <c r="W9373">
        <v>0.16518569999999999</v>
      </c>
      <c r="X9373">
        <v>0.96561870000000005</v>
      </c>
      <c r="Y9373">
        <v>-0.35602060000000002</v>
      </c>
      <c r="Z9373">
        <v>8.0775459999999997E-3</v>
      </c>
      <c r="AA9373">
        <v>0.93444320000000003</v>
      </c>
      <c r="AB9373">
        <v>28</v>
      </c>
      <c r="AC9373">
        <v>34.623399999999997</v>
      </c>
      <c r="AD9373">
        <v>-1.1211472643789999</v>
      </c>
      <c r="AE9373">
        <v>12.462859999999999</v>
      </c>
      <c r="AF9373">
        <v>-13.1434068930474</v>
      </c>
      <c r="AG9373">
        <v>-1.1211472643789999</v>
      </c>
      <c r="AH9373">
        <v>34.334284846203403</v>
      </c>
      <c r="AI9373">
        <v>91.746738408007701</v>
      </c>
      <c r="AJ9373">
        <v>110.947199105373</v>
      </c>
      <c r="AK9373">
        <v>36.781098839551603</v>
      </c>
      <c r="AL9373">
        <v>80.491977329231503</v>
      </c>
      <c r="AM9373">
        <v>101.74346042630199</v>
      </c>
      <c r="AN9373">
        <v>0.99999996401508895</v>
      </c>
    </row>
    <row r="9374" spans="1:40" x14ac:dyDescent="0.25">
      <c r="A9374" t="str">
        <f>"20190303162131623"</f>
        <v>20190303162131623</v>
      </c>
      <c r="B9374" t="str">
        <f>"1551601291611451"</f>
        <v>1551601291611451</v>
      </c>
      <c r="C9374" t="s">
        <v>40</v>
      </c>
      <c r="D9374">
        <v>5.0794100000000002</v>
      </c>
      <c r="E9374">
        <v>0.43619780000000002</v>
      </c>
      <c r="F9374" t="s">
        <v>62</v>
      </c>
      <c r="G9374">
        <v>-189.78729999999999</v>
      </c>
      <c r="H9374" s="1">
        <v>-3.8471370000000004E-6</v>
      </c>
      <c r="I9374">
        <v>-49.700830000000003</v>
      </c>
      <c r="J9374">
        <v>-225.89359999999999</v>
      </c>
      <c r="K9374">
        <v>1.1211420000000001</v>
      </c>
      <c r="L9374">
        <v>-62.733429999999998</v>
      </c>
      <c r="M9374">
        <v>0.9997298</v>
      </c>
      <c r="N9374">
        <v>-1.1452159999999999E-2</v>
      </c>
      <c r="O9374">
        <v>-2.0231840000000001E-2</v>
      </c>
      <c r="P9374">
        <v>0.97103189999999995</v>
      </c>
      <c r="Q9374">
        <v>0.15420719999999999</v>
      </c>
      <c r="R9374">
        <v>0.18253059999999999</v>
      </c>
      <c r="S9374">
        <v>2.9077609999999998</v>
      </c>
      <c r="T9374">
        <v>-8.9945440000000002E-2</v>
      </c>
      <c r="U9374">
        <v>1.0453190000000001</v>
      </c>
      <c r="V9374">
        <v>-0.20204130000000001</v>
      </c>
      <c r="W9374">
        <v>0.16539409999999999</v>
      </c>
      <c r="X9374">
        <v>0.96531040000000001</v>
      </c>
      <c r="Y9374">
        <v>-0.3570508</v>
      </c>
      <c r="Z9374">
        <v>7.8434339999999998E-3</v>
      </c>
      <c r="AA9374">
        <v>0.93405210000000005</v>
      </c>
      <c r="AB9374">
        <v>28</v>
      </c>
      <c r="AC9374">
        <v>36.106299999999997</v>
      </c>
      <c r="AD9374">
        <v>-1.1211458471369999</v>
      </c>
      <c r="AE9374">
        <v>13.0326</v>
      </c>
      <c r="AF9374">
        <v>-13.748748563214001</v>
      </c>
      <c r="AG9374">
        <v>-1.1211458471369999</v>
      </c>
      <c r="AH9374">
        <v>35.804675008394199</v>
      </c>
      <c r="AI9374">
        <v>91.6743811807128</v>
      </c>
      <c r="AJ9374">
        <v>111.00644546804401</v>
      </c>
      <c r="AK9374">
        <v>38.370037887937499</v>
      </c>
      <c r="AL9374">
        <v>80.479871008391001</v>
      </c>
      <c r="AM9374">
        <v>101.821464933912</v>
      </c>
      <c r="AN9374">
        <v>1.0000000317843201</v>
      </c>
    </row>
    <row r="9375" spans="1:40" x14ac:dyDescent="0.25">
      <c r="A9375" t="str">
        <f>"20190303162131635"</f>
        <v>20190303162131635</v>
      </c>
      <c r="B9375" t="str">
        <f>"1551601291622185"</f>
        <v>1551601291622185</v>
      </c>
      <c r="C9375" t="s">
        <v>40</v>
      </c>
      <c r="D9375">
        <v>5.0427150000000003</v>
      </c>
      <c r="E9375">
        <v>0.43619780000000002</v>
      </c>
      <c r="F9375" t="s">
        <v>62</v>
      </c>
      <c r="G9375">
        <v>-188.655</v>
      </c>
      <c r="H9375" s="1">
        <v>-3.8668519999999997E-6</v>
      </c>
      <c r="I9375">
        <v>-49.261090000000003</v>
      </c>
      <c r="J9375">
        <v>-225.75040000000001</v>
      </c>
      <c r="K9375">
        <v>1.121143</v>
      </c>
      <c r="L9375">
        <v>-62.73648</v>
      </c>
      <c r="M9375">
        <v>0.99972700000000003</v>
      </c>
      <c r="N9375">
        <v>-1.1423269999999999E-2</v>
      </c>
      <c r="O9375">
        <v>-2.0384679999999999E-2</v>
      </c>
      <c r="P9375">
        <v>0.9707363</v>
      </c>
      <c r="Q9375">
        <v>0.15434139999999999</v>
      </c>
      <c r="R9375">
        <v>0.1839838</v>
      </c>
      <c r="S9375">
        <v>2.9057919999999999</v>
      </c>
      <c r="T9375">
        <v>-8.7484960000000001E-2</v>
      </c>
      <c r="U9375">
        <v>1.0512699999999999</v>
      </c>
      <c r="V9375">
        <v>-0.20363700000000001</v>
      </c>
      <c r="W9375">
        <v>0.16549520000000001</v>
      </c>
      <c r="X9375">
        <v>0.96495770000000003</v>
      </c>
      <c r="Y9375">
        <v>-0.35909580000000002</v>
      </c>
      <c r="Z9375">
        <v>7.7228959999999999E-3</v>
      </c>
      <c r="AA9375">
        <v>0.93326880000000001</v>
      </c>
      <c r="AB9375">
        <v>28</v>
      </c>
      <c r="AC9375">
        <v>37.095399999999998</v>
      </c>
      <c r="AD9375">
        <v>-1.1211468668519999</v>
      </c>
      <c r="AE9375">
        <v>13.475390000000001</v>
      </c>
      <c r="AF9375">
        <v>-14.217343882206301</v>
      </c>
      <c r="AG9375">
        <v>-1.1211468668519999</v>
      </c>
      <c r="AH9375">
        <v>36.783298776333197</v>
      </c>
      <c r="AI9375">
        <v>91.628481678481407</v>
      </c>
      <c r="AJ9375">
        <v>111.132328714653</v>
      </c>
      <c r="AK9375">
        <v>39.4512472075467</v>
      </c>
      <c r="AL9375">
        <v>80.473997405717199</v>
      </c>
      <c r="AM9375">
        <v>101.91640178495901</v>
      </c>
      <c r="AN9375">
        <v>1.0000000258906601</v>
      </c>
    </row>
    <row r="9376" spans="1:40" x14ac:dyDescent="0.25">
      <c r="A9376" t="str">
        <f>"20190303162131645"</f>
        <v>20190303162131645</v>
      </c>
      <c r="B9376" t="str">
        <f>"1551601291631293"</f>
        <v>1551601291631293</v>
      </c>
      <c r="C9376" t="s">
        <v>40</v>
      </c>
      <c r="D9376">
        <v>4.9250639999999999</v>
      </c>
      <c r="E9376">
        <v>0.39192840000000001</v>
      </c>
      <c r="F9376" t="s">
        <v>62</v>
      </c>
      <c r="G9376">
        <v>-188.2723</v>
      </c>
      <c r="H9376" s="1">
        <v>-3.874182E-6</v>
      </c>
      <c r="I9376">
        <v>-49.111150000000002</v>
      </c>
      <c r="J9376">
        <v>-225.613</v>
      </c>
      <c r="K9376">
        <v>1.121143</v>
      </c>
      <c r="L9376">
        <v>-62.739409999999999</v>
      </c>
      <c r="M9376">
        <v>0.99972439999999996</v>
      </c>
      <c r="N9376">
        <v>-1.1395509999999999E-2</v>
      </c>
      <c r="O9376">
        <v>-2.053025E-2</v>
      </c>
      <c r="P9376">
        <v>0.97051229999999999</v>
      </c>
      <c r="Q9376">
        <v>0.15412870000000001</v>
      </c>
      <c r="R9376">
        <v>0.18533910000000001</v>
      </c>
      <c r="S9376">
        <v>2.9041440000000001</v>
      </c>
      <c r="T9376">
        <v>-8.6876869999999995E-2</v>
      </c>
      <c r="U9376">
        <v>1.055817</v>
      </c>
      <c r="V9376">
        <v>-0.2051306</v>
      </c>
      <c r="W9376">
        <v>0.1652516</v>
      </c>
      <c r="X9376">
        <v>0.96468310000000002</v>
      </c>
      <c r="Y9376">
        <v>-0.3606934</v>
      </c>
      <c r="Z9376">
        <v>7.7151669999999898E-3</v>
      </c>
      <c r="AA9376">
        <v>0.9326525</v>
      </c>
      <c r="AB9376">
        <v>28</v>
      </c>
      <c r="AC9376">
        <v>37.340699999999998</v>
      </c>
      <c r="AD9376">
        <v>-1.1211468741820001</v>
      </c>
      <c r="AE9376">
        <v>13.6282599999999</v>
      </c>
      <c r="AF9376">
        <v>-14.3806107378467</v>
      </c>
      <c r="AG9376">
        <v>-1.1211468741820001</v>
      </c>
      <c r="AH9376">
        <v>37.023565981153602</v>
      </c>
      <c r="AI9376">
        <v>91.616883631008506</v>
      </c>
      <c r="AJ9376">
        <v>111.22705439974099</v>
      </c>
      <c r="AK9376">
        <v>39.734158773878697</v>
      </c>
      <c r="AL9376">
        <v>80.488149930140594</v>
      </c>
      <c r="AM9376">
        <v>102.00459584372</v>
      </c>
      <c r="AN9376">
        <v>1.0000000688922599</v>
      </c>
    </row>
    <row r="9377" spans="1:40" x14ac:dyDescent="0.25">
      <c r="A9377" t="str">
        <f>"20190303162131656"</f>
        <v>20190303162131656</v>
      </c>
      <c r="B9377" t="str">
        <f>"1551601291651789"</f>
        <v>1551601291651789</v>
      </c>
      <c r="C9377" t="s">
        <v>40</v>
      </c>
      <c r="D9377">
        <v>4.9566410000000003</v>
      </c>
      <c r="E9377">
        <v>0.38603470000000001</v>
      </c>
      <c r="F9377" t="s">
        <v>42</v>
      </c>
      <c r="G9377">
        <v>-224.64670000000001</v>
      </c>
      <c r="H9377">
        <v>1.0455939999999999</v>
      </c>
      <c r="I9377">
        <v>-62.263539999999999</v>
      </c>
      <c r="J9377">
        <v>-225.47540000000001</v>
      </c>
      <c r="K9377">
        <v>1.1211450000000001</v>
      </c>
      <c r="L9377">
        <v>-62.742400000000004</v>
      </c>
      <c r="M9377">
        <v>0.99972190000000005</v>
      </c>
      <c r="N9377">
        <v>-1.1368700000000001E-2</v>
      </c>
      <c r="O9377">
        <v>-2.0667089999999999E-2</v>
      </c>
      <c r="P9377">
        <v>0.97018409999999999</v>
      </c>
      <c r="Q9377">
        <v>0.15411169999999999</v>
      </c>
      <c r="R9377">
        <v>0.1870628</v>
      </c>
      <c r="S9377">
        <v>2.8577880000000002</v>
      </c>
      <c r="T9377">
        <v>-0.22346099999999999</v>
      </c>
      <c r="U9377">
        <v>1.4078059999999999</v>
      </c>
      <c r="V9377">
        <v>-0.20698159999999999</v>
      </c>
      <c r="W9377">
        <v>0.16520219999999999</v>
      </c>
      <c r="X9377">
        <v>0.96429600000000004</v>
      </c>
      <c r="Y9377">
        <v>-0.45899390000000001</v>
      </c>
      <c r="Z9377">
        <v>2.1010460000000002E-2</v>
      </c>
      <c r="AA9377">
        <v>0.88819090000000001</v>
      </c>
      <c r="AB9377">
        <v>28</v>
      </c>
      <c r="AC9377">
        <v>0.82869999999999699</v>
      </c>
      <c r="AD9377">
        <v>-7.5550999999999896E-2</v>
      </c>
      <c r="AE9377">
        <v>0.478860000000004</v>
      </c>
      <c r="AF9377">
        <v>-0.49281487839147597</v>
      </c>
      <c r="AG9377">
        <v>-7.5550999999999896E-2</v>
      </c>
      <c r="AH9377">
        <v>0.81355638894269999</v>
      </c>
      <c r="AI9377">
        <v>94.541402636688801</v>
      </c>
      <c r="AJ9377">
        <v>121.205544825186</v>
      </c>
      <c r="AK9377">
        <v>0.95417422725333101</v>
      </c>
      <c r="AL9377">
        <v>80.491018766023302</v>
      </c>
      <c r="AM9377">
        <v>102.114453619187</v>
      </c>
      <c r="AN9377">
        <v>0.99999996261969903</v>
      </c>
    </row>
    <row r="9378" spans="1:40" x14ac:dyDescent="0.25">
      <c r="A9378" t="str">
        <f>"20190303162131669"</f>
        <v>20190303162131669</v>
      </c>
      <c r="B9378" t="str">
        <f>"1551601291661549"</f>
        <v>1551601291661549</v>
      </c>
      <c r="C9378" t="s">
        <v>40</v>
      </c>
      <c r="D9378">
        <v>4.924417</v>
      </c>
      <c r="E9378">
        <v>0.38507350000000001</v>
      </c>
      <c r="F9378" t="s">
        <v>42</v>
      </c>
      <c r="G9378">
        <v>-224.63720000000001</v>
      </c>
      <c r="H9378">
        <v>1.0475559999999999</v>
      </c>
      <c r="I9378">
        <v>-62.313360000000003</v>
      </c>
      <c r="J9378">
        <v>-225.3279</v>
      </c>
      <c r="K9378">
        <v>1.1211439999999999</v>
      </c>
      <c r="L9378">
        <v>-62.745570000000001</v>
      </c>
      <c r="M9378">
        <v>0.99971909999999997</v>
      </c>
      <c r="N9378">
        <v>-1.134048E-2</v>
      </c>
      <c r="O9378">
        <v>-2.0810459999999999E-2</v>
      </c>
      <c r="P9378">
        <v>0.96989239999999999</v>
      </c>
      <c r="Q9378">
        <v>0.1541516</v>
      </c>
      <c r="R9378">
        <v>0.1885366</v>
      </c>
      <c r="S9378">
        <v>2.8505549999999999</v>
      </c>
      <c r="T9378">
        <v>-0.25028099999999998</v>
      </c>
      <c r="U9378">
        <v>1.459473</v>
      </c>
      <c r="V9378">
        <v>-0.20859040000000001</v>
      </c>
      <c r="W9378">
        <v>0.165208299999999</v>
      </c>
      <c r="X9378">
        <v>0.96394820000000003</v>
      </c>
      <c r="Y9378">
        <v>-0.47244510000000001</v>
      </c>
      <c r="Z9378">
        <v>2.3841279999999999E-2</v>
      </c>
      <c r="AA9378">
        <v>0.88103759999999998</v>
      </c>
      <c r="AB9378">
        <v>28</v>
      </c>
      <c r="AC9378">
        <v>0.69069999999999199</v>
      </c>
      <c r="AD9378">
        <v>-7.3588000000000195E-2</v>
      </c>
      <c r="AE9378">
        <v>0.43220999999999699</v>
      </c>
      <c r="AF9378">
        <v>-0.44287854382501002</v>
      </c>
      <c r="AG9378">
        <v>-7.3588000000000195E-2</v>
      </c>
      <c r="AH9378">
        <v>0.67604087917567801</v>
      </c>
      <c r="AI9378">
        <v>95.202591544146202</v>
      </c>
      <c r="AJ9378">
        <v>123.229054974943</v>
      </c>
      <c r="AK9378">
        <v>0.81153426830983899</v>
      </c>
      <c r="AL9378">
        <v>80.490664125589802</v>
      </c>
      <c r="AM9378">
        <v>102.210074394918</v>
      </c>
      <c r="AN9378">
        <v>0.999999934822142</v>
      </c>
    </row>
    <row r="9379" spans="1:40" x14ac:dyDescent="0.25">
      <c r="A9379" t="str">
        <f>"20190303162131681"</f>
        <v>20190303162131681</v>
      </c>
      <c r="B9379" t="str">
        <f>"1551601291672286"</f>
        <v>1551601291672286</v>
      </c>
      <c r="C9379" t="s">
        <v>40</v>
      </c>
      <c r="D9379">
        <v>4.9266220000000001</v>
      </c>
      <c r="E9379">
        <v>0.38486880000000001</v>
      </c>
      <c r="F9379" t="s">
        <v>42</v>
      </c>
      <c r="G9379">
        <v>-224.398</v>
      </c>
      <c r="H9379">
        <v>1.038794</v>
      </c>
      <c r="I9379">
        <v>-62.264789999999998</v>
      </c>
      <c r="J9379">
        <v>-225.16679999999999</v>
      </c>
      <c r="K9379">
        <v>1.121149</v>
      </c>
      <c r="L9379">
        <v>-62.749079999999999</v>
      </c>
      <c r="M9379">
        <v>0.9997163</v>
      </c>
      <c r="N9379">
        <v>-1.131102E-2</v>
      </c>
      <c r="O9379">
        <v>-2.0959160000000001E-2</v>
      </c>
      <c r="P9379">
        <v>0.96959830000000002</v>
      </c>
      <c r="Q9379">
        <v>0.1542734</v>
      </c>
      <c r="R9379">
        <v>0.1899441</v>
      </c>
      <c r="S9379">
        <v>2.8470759999999999</v>
      </c>
      <c r="T9379">
        <v>-0.25212220000000002</v>
      </c>
      <c r="U9379">
        <v>1.4718020000000001</v>
      </c>
      <c r="V9379">
        <v>-0.21013889999999999</v>
      </c>
      <c r="W9379">
        <v>0.16529340000000001</v>
      </c>
      <c r="X9379">
        <v>0.96359729999999999</v>
      </c>
      <c r="Y9379">
        <v>-0.47598849999999998</v>
      </c>
      <c r="Z9379">
        <v>2.417588E-2</v>
      </c>
      <c r="AA9379">
        <v>0.87911909999999904</v>
      </c>
      <c r="AB9379">
        <v>28</v>
      </c>
      <c r="AC9379">
        <v>0.76879999999999804</v>
      </c>
      <c r="AD9379">
        <v>-8.2354999999999901E-2</v>
      </c>
      <c r="AE9379">
        <v>0.484290000000001</v>
      </c>
      <c r="AF9379">
        <v>-0.49622150443205498</v>
      </c>
      <c r="AG9379">
        <v>-8.2354999999999901E-2</v>
      </c>
      <c r="AH9379">
        <v>0.75229988183588503</v>
      </c>
      <c r="AI9379">
        <v>95.221304404828501</v>
      </c>
      <c r="AJ9379">
        <v>123.40908291781901</v>
      </c>
      <c r="AK9379">
        <v>0.90497140269519005</v>
      </c>
      <c r="AL9379">
        <v>80.485721015607893</v>
      </c>
      <c r="AM9379">
        <v>102.30231085442701</v>
      </c>
      <c r="AN9379">
        <v>1.00000001097203</v>
      </c>
    </row>
    <row r="9380" spans="1:40" x14ac:dyDescent="0.25">
      <c r="A9380" t="str">
        <f>"20190303162131693"</f>
        <v>20190303162131693</v>
      </c>
      <c r="B9380" t="str">
        <f>"1551601291682045"</f>
        <v>1551601291682045</v>
      </c>
      <c r="C9380" t="s">
        <v>40</v>
      </c>
      <c r="D9380">
        <v>4.9192559999999999</v>
      </c>
      <c r="E9380">
        <v>0.38494319999999999</v>
      </c>
      <c r="F9380" t="s">
        <v>42</v>
      </c>
      <c r="G9380">
        <v>-224.38220000000001</v>
      </c>
      <c r="H9380">
        <v>1.0506439999999999</v>
      </c>
      <c r="I9380">
        <v>-62.34151</v>
      </c>
      <c r="J9380">
        <v>-225.02109999999999</v>
      </c>
      <c r="K9380">
        <v>1.121159</v>
      </c>
      <c r="L9380">
        <v>-62.752290000000002</v>
      </c>
      <c r="M9380">
        <v>0.99971410000000005</v>
      </c>
      <c r="N9380">
        <v>-1.128583E-2</v>
      </c>
      <c r="O9380">
        <v>-2.108355E-2</v>
      </c>
      <c r="P9380">
        <v>0.9694296</v>
      </c>
      <c r="Q9380">
        <v>0.1540446</v>
      </c>
      <c r="R9380">
        <v>0.19098870000000001</v>
      </c>
      <c r="S9380">
        <v>2.8452609999999998</v>
      </c>
      <c r="T9380">
        <v>-0.25568229999999997</v>
      </c>
      <c r="U9380">
        <v>1.4778439999999999</v>
      </c>
      <c r="V9380">
        <v>-0.21130460000000001</v>
      </c>
      <c r="W9380">
        <v>0.16503329999999999</v>
      </c>
      <c r="X9380">
        <v>0.96338699999999999</v>
      </c>
      <c r="Y9380">
        <v>-0.47774420000000001</v>
      </c>
      <c r="Z9380">
        <v>2.457092E-2</v>
      </c>
      <c r="AA9380">
        <v>0.87815540000000003</v>
      </c>
      <c r="AB9380">
        <v>28</v>
      </c>
      <c r="AC9380">
        <v>0.63889999999997804</v>
      </c>
      <c r="AD9380">
        <v>-7.05149999999998E-2</v>
      </c>
      <c r="AE9380">
        <v>0.41078000000000198</v>
      </c>
      <c r="AF9380">
        <v>-0.42053538470692903</v>
      </c>
      <c r="AG9380">
        <v>-7.05149999999998E-2</v>
      </c>
      <c r="AH9380">
        <v>0.62471255884011501</v>
      </c>
      <c r="AI9380">
        <v>95.349384295167098</v>
      </c>
      <c r="AJ9380">
        <v>123.94710756909799</v>
      </c>
      <c r="AK9380">
        <v>0.75636509450672695</v>
      </c>
      <c r="AL9380">
        <v>80.500831713211099</v>
      </c>
      <c r="AM9380">
        <v>102.37107712911499</v>
      </c>
      <c r="AN9380">
        <v>1.00000006792952</v>
      </c>
    </row>
    <row r="9381" spans="1:40" x14ac:dyDescent="0.25">
      <c r="A9381" t="str">
        <f>"20190303162131704"</f>
        <v>20190303162131704</v>
      </c>
      <c r="B9381" t="str">
        <f>"1551601291691806"</f>
        <v>1551601291691806</v>
      </c>
      <c r="C9381" t="s">
        <v>40</v>
      </c>
      <c r="D9381">
        <v>4.8742080000000003</v>
      </c>
      <c r="E9381">
        <v>0.38512010000000002</v>
      </c>
      <c r="F9381" t="s">
        <v>42</v>
      </c>
      <c r="G9381">
        <v>-224.14340000000001</v>
      </c>
      <c r="H9381">
        <v>1.0408630000000001</v>
      </c>
      <c r="I9381">
        <v>-62.295589999999997</v>
      </c>
      <c r="J9381">
        <v>-224.874</v>
      </c>
      <c r="K9381">
        <v>1.121162</v>
      </c>
      <c r="L9381">
        <v>-62.755490000000002</v>
      </c>
      <c r="M9381">
        <v>0.99971169999999998</v>
      </c>
      <c r="N9381">
        <v>-1.126104E-2</v>
      </c>
      <c r="O9381">
        <v>-2.1204480000000001E-2</v>
      </c>
      <c r="P9381">
        <v>0.96915700000000005</v>
      </c>
      <c r="Q9381">
        <v>0.15425239999999901</v>
      </c>
      <c r="R9381">
        <v>0.1921998</v>
      </c>
      <c r="S9381">
        <v>2.8442989999999999</v>
      </c>
      <c r="T9381">
        <v>-0.26021549999999999</v>
      </c>
      <c r="U9381">
        <v>1.480469</v>
      </c>
      <c r="V9381">
        <v>-0.21263070000000001</v>
      </c>
      <c r="W9381">
        <v>0.165208299999999</v>
      </c>
      <c r="X9381">
        <v>0.96306510000000001</v>
      </c>
      <c r="Y9381">
        <v>-0.47854570000000002</v>
      </c>
      <c r="Z9381">
        <v>2.500403E-2</v>
      </c>
      <c r="AA9381">
        <v>0.877706599999999</v>
      </c>
      <c r="AB9381">
        <v>28</v>
      </c>
      <c r="AC9381">
        <v>0.73060000000000902</v>
      </c>
      <c r="AD9381">
        <v>-8.0299000000000106E-2</v>
      </c>
      <c r="AE9381">
        <v>0.45989999999999698</v>
      </c>
      <c r="AF9381">
        <v>-0.47121279708830099</v>
      </c>
      <c r="AG9381">
        <v>-8.0299000000000106E-2</v>
      </c>
      <c r="AH9381">
        <v>0.71450154416418898</v>
      </c>
      <c r="AI9381">
        <v>95.359738191933801</v>
      </c>
      <c r="AJ9381">
        <v>123.404796973435</v>
      </c>
      <c r="AK9381">
        <v>0.85965218905891805</v>
      </c>
      <c r="AL9381">
        <v>80.490664673446602</v>
      </c>
      <c r="AM9381">
        <v>102.45033333927</v>
      </c>
      <c r="AN9381">
        <v>0.99999999190469502</v>
      </c>
    </row>
    <row r="9382" spans="1:40" x14ac:dyDescent="0.25">
      <c r="A9382" t="str">
        <f>"20190303162131715"</f>
        <v>20190303162131715</v>
      </c>
      <c r="B9382" t="str">
        <f>"1551601291701565"</f>
        <v>1551601291701565</v>
      </c>
      <c r="C9382" t="s">
        <v>40</v>
      </c>
      <c r="D9382">
        <v>4.8760329999999996</v>
      </c>
      <c r="E9382">
        <v>0.38530229999999999</v>
      </c>
      <c r="F9382" t="s">
        <v>42</v>
      </c>
      <c r="G9382">
        <v>-224.08179999999999</v>
      </c>
      <c r="H9382">
        <v>1.049202</v>
      </c>
      <c r="I9382">
        <v>-62.342309999999998</v>
      </c>
      <c r="J9382">
        <v>-224.7525</v>
      </c>
      <c r="K9382">
        <v>1.1211719999999901</v>
      </c>
      <c r="L9382">
        <v>-62.758150000000001</v>
      </c>
      <c r="M9382">
        <v>0.99971030000000005</v>
      </c>
      <c r="N9382">
        <v>-1.1242479999999999E-2</v>
      </c>
      <c r="O9382">
        <v>-2.128824E-2</v>
      </c>
      <c r="P9382">
        <v>0.96897</v>
      </c>
      <c r="Q9382">
        <v>0.15419160000000001</v>
      </c>
      <c r="R9382">
        <v>0.19318949999999999</v>
      </c>
      <c r="S9382">
        <v>2.8424529999999999</v>
      </c>
      <c r="T9382">
        <v>-0.2582101</v>
      </c>
      <c r="U9382">
        <v>1.4830319999999999</v>
      </c>
      <c r="V9382">
        <v>-0.21370140000000001</v>
      </c>
      <c r="W9382">
        <v>0.1651213</v>
      </c>
      <c r="X9382">
        <v>0.962843</v>
      </c>
      <c r="Y9382">
        <v>-0.47949710000000001</v>
      </c>
      <c r="Z9382">
        <v>2.488949E-2</v>
      </c>
      <c r="AA9382">
        <v>0.87719049999999998</v>
      </c>
      <c r="AB9382">
        <v>28</v>
      </c>
      <c r="AC9382">
        <v>0.67070000000000995</v>
      </c>
      <c r="AD9382">
        <v>-7.1969999999999798E-2</v>
      </c>
      <c r="AE9382">
        <v>0.41584000000000199</v>
      </c>
      <c r="AF9382">
        <v>-0.42647754030102403</v>
      </c>
      <c r="AG9382">
        <v>-7.1969999999999798E-2</v>
      </c>
      <c r="AH9382">
        <v>0.65623682118534099</v>
      </c>
      <c r="AI9382">
        <v>95.254008902987195</v>
      </c>
      <c r="AJ9382">
        <v>123.01917846008</v>
      </c>
      <c r="AK9382">
        <v>0.78594499728712197</v>
      </c>
      <c r="AL9382">
        <v>80.495718776471406</v>
      </c>
      <c r="AM9382">
        <v>102.513852694024</v>
      </c>
      <c r="AN9382">
        <v>0.99999998736232398</v>
      </c>
    </row>
    <row r="9383" spans="1:40" x14ac:dyDescent="0.25">
      <c r="A9383" t="str">
        <f>"20190303162131724"</f>
        <v>20190303162131724</v>
      </c>
      <c r="B9383" t="str">
        <f>"1551601291712301"</f>
        <v>1551601291712301</v>
      </c>
      <c r="C9383" t="s">
        <v>40</v>
      </c>
      <c r="D9383">
        <v>4.8722510000000003</v>
      </c>
      <c r="E9383">
        <v>0.38545180000000001</v>
      </c>
      <c r="F9383" t="s">
        <v>42</v>
      </c>
      <c r="G9383">
        <v>-223.8921</v>
      </c>
      <c r="H9383">
        <v>1.043015</v>
      </c>
      <c r="I9383">
        <v>-62.308599999999998</v>
      </c>
      <c r="J9383">
        <v>-224.62520000000001</v>
      </c>
      <c r="K9383">
        <v>1.121181</v>
      </c>
      <c r="L9383">
        <v>-62.760959999999997</v>
      </c>
      <c r="M9383">
        <v>0.99970859999999995</v>
      </c>
      <c r="N9383">
        <v>-1.122307E-2</v>
      </c>
      <c r="O9383">
        <v>-2.1375559999999998E-2</v>
      </c>
      <c r="P9383">
        <v>0.9687943</v>
      </c>
      <c r="Q9383">
        <v>0.15409779999999901</v>
      </c>
      <c r="R9383">
        <v>0.1941437</v>
      </c>
      <c r="S9383">
        <v>2.8410799999999998</v>
      </c>
      <c r="T9383">
        <v>-0.2580925</v>
      </c>
      <c r="U9383">
        <v>1.4849239999999999</v>
      </c>
      <c r="V9383">
        <v>-0.21474099999999999</v>
      </c>
      <c r="W9383">
        <v>0.16500039999999999</v>
      </c>
      <c r="X9383">
        <v>0.96263240000000005</v>
      </c>
      <c r="Y9383">
        <v>-0.48020439999999998</v>
      </c>
      <c r="Z9383">
        <v>2.492258E-2</v>
      </c>
      <c r="AA9383">
        <v>0.87680249999999904</v>
      </c>
      <c r="AB9383">
        <v>28</v>
      </c>
      <c r="AC9383">
        <v>0.73310000000000697</v>
      </c>
      <c r="AD9383">
        <v>-7.8165999999999902E-2</v>
      </c>
      <c r="AE9383">
        <v>0.45235999999999799</v>
      </c>
      <c r="AF9383">
        <v>-0.46410673500785499</v>
      </c>
      <c r="AG9383">
        <v>-7.8165999999999902E-2</v>
      </c>
      <c r="AH9383">
        <v>0.71735594541294501</v>
      </c>
      <c r="AI9383">
        <v>95.227251662796903</v>
      </c>
      <c r="AJ9383">
        <v>122.901596890891</v>
      </c>
      <c r="AK9383">
        <v>0.85796534746745501</v>
      </c>
      <c r="AL9383">
        <v>80.502742134656003</v>
      </c>
      <c r="AM9383">
        <v>102.575461312785</v>
      </c>
      <c r="AN9383">
        <v>0.99999998330545903</v>
      </c>
    </row>
    <row r="9384" spans="1:40" x14ac:dyDescent="0.25">
      <c r="A9384" t="str">
        <f>"20190303162131735"</f>
        <v>20190303162131735</v>
      </c>
      <c r="B9384" t="str">
        <f>"1551601291722061"</f>
        <v>1551601291722061</v>
      </c>
      <c r="C9384" t="s">
        <v>40</v>
      </c>
      <c r="D9384">
        <v>4.8469179999999996</v>
      </c>
      <c r="E9384">
        <v>0.38563579999999997</v>
      </c>
      <c r="F9384" t="s">
        <v>42</v>
      </c>
      <c r="G9384">
        <v>-223.83850000000001</v>
      </c>
      <c r="H9384">
        <v>1.0500400000000001</v>
      </c>
      <c r="I9384">
        <v>-62.349209999999999</v>
      </c>
      <c r="J9384">
        <v>-224.4939</v>
      </c>
      <c r="K9384">
        <v>1.121191</v>
      </c>
      <c r="L9384">
        <v>-62.763849999999998</v>
      </c>
      <c r="M9384">
        <v>0.99970720000000002</v>
      </c>
      <c r="N9384">
        <v>-1.1205110000000001E-2</v>
      </c>
      <c r="O9384">
        <v>-2.1445329999999999E-2</v>
      </c>
      <c r="P9384">
        <v>0.96848730000000005</v>
      </c>
      <c r="Q9384">
        <v>0.15404179999999901</v>
      </c>
      <c r="R9384">
        <v>0.195713</v>
      </c>
      <c r="S9384">
        <v>2.8395389999999998</v>
      </c>
      <c r="T9384">
        <v>-0.2568125</v>
      </c>
      <c r="U9384">
        <v>1.4867859999999999</v>
      </c>
      <c r="V9384">
        <v>-0.2163775</v>
      </c>
      <c r="W9384">
        <v>0.16491529999999999</v>
      </c>
      <c r="X9384">
        <v>0.96228049999999998</v>
      </c>
      <c r="Y9384">
        <v>-0.48092560000000001</v>
      </c>
      <c r="Z9384">
        <v>2.485629E-2</v>
      </c>
      <c r="AA9384">
        <v>0.87640899999999999</v>
      </c>
      <c r="AB9384">
        <v>28</v>
      </c>
      <c r="AC9384">
        <v>0.65539999999998599</v>
      </c>
      <c r="AD9384">
        <v>-7.1151000000000103E-2</v>
      </c>
      <c r="AE9384">
        <v>0.41463999999999801</v>
      </c>
      <c r="AF9384">
        <v>-0.42502346881905101</v>
      </c>
      <c r="AG9384">
        <v>-7.1151000000000103E-2</v>
      </c>
      <c r="AH9384">
        <v>0.64096179274669696</v>
      </c>
      <c r="AI9384">
        <v>95.285672460803994</v>
      </c>
      <c r="AJ9384">
        <v>123.548463840482</v>
      </c>
      <c r="AK9384">
        <v>0.77235965301732201</v>
      </c>
      <c r="AL9384">
        <v>80.507686078254693</v>
      </c>
      <c r="AM9384">
        <v>102.67269774553699</v>
      </c>
      <c r="AN9384">
        <v>1.0000000196802901</v>
      </c>
    </row>
    <row r="9385" spans="1:40" x14ac:dyDescent="0.25">
      <c r="A9385" t="str">
        <f>"20190303162131745"</f>
        <v>20190303162131745</v>
      </c>
      <c r="B9385" t="str">
        <f>"1551601291742090"</f>
        <v>1551601291742090</v>
      </c>
      <c r="C9385" t="s">
        <v>40</v>
      </c>
      <c r="D9385">
        <v>4.7927179999999998</v>
      </c>
      <c r="E9385">
        <v>0.38578380000000001</v>
      </c>
      <c r="F9385" t="s">
        <v>42</v>
      </c>
      <c r="G9385">
        <v>-223.64160000000001</v>
      </c>
      <c r="H9385">
        <v>1.044022</v>
      </c>
      <c r="I9385">
        <v>-62.316389999999998</v>
      </c>
      <c r="J9385">
        <v>-224.35929999999999</v>
      </c>
      <c r="K9385">
        <v>1.1212040000000001</v>
      </c>
      <c r="L9385">
        <v>-62.766779999999997</v>
      </c>
      <c r="M9385">
        <v>0.99970599999999998</v>
      </c>
      <c r="N9385">
        <v>-1.1186959999999999E-2</v>
      </c>
      <c r="O9385">
        <v>-2.1514249999999999E-2</v>
      </c>
      <c r="P9385">
        <v>0.96821310000000005</v>
      </c>
      <c r="Q9385">
        <v>0.15382489999999999</v>
      </c>
      <c r="R9385">
        <v>0.19723379999999999</v>
      </c>
      <c r="S9385">
        <v>2.8373409999999999</v>
      </c>
      <c r="T9385">
        <v>-0.2569265</v>
      </c>
      <c r="U9385">
        <v>1.490143</v>
      </c>
      <c r="V9385">
        <v>-0.2179652</v>
      </c>
      <c r="W9385">
        <v>0.16466929999999999</v>
      </c>
      <c r="X9385">
        <v>0.96196420000000005</v>
      </c>
      <c r="Y9385">
        <v>-0.48207060000000002</v>
      </c>
      <c r="Z9385">
        <v>2.4932849999999999E-2</v>
      </c>
      <c r="AA9385">
        <v>0.87577749999999999</v>
      </c>
      <c r="AB9385">
        <v>28</v>
      </c>
      <c r="AC9385">
        <v>0.71769999999997902</v>
      </c>
      <c r="AD9385">
        <v>-7.7182000000000001E-2</v>
      </c>
      <c r="AE9385">
        <v>0.45038999999999801</v>
      </c>
      <c r="AF9385">
        <v>-0.46189496309653</v>
      </c>
      <c r="AG9385">
        <v>-7.7182000000000001E-2</v>
      </c>
      <c r="AH9385">
        <v>0.70201853490663602</v>
      </c>
      <c r="AI9385">
        <v>95.2476533433274</v>
      </c>
      <c r="AJ9385">
        <v>123.343023553294</v>
      </c>
      <c r="AK9385">
        <v>0.84388034780435905</v>
      </c>
      <c r="AL9385">
        <v>80.521975681778301</v>
      </c>
      <c r="AM9385">
        <v>102.766709373803</v>
      </c>
      <c r="AN9385">
        <v>0.99999996442758399</v>
      </c>
    </row>
    <row r="9386" spans="1:40" x14ac:dyDescent="0.25">
      <c r="A9386" t="str">
        <f>"20190303162131757"</f>
        <v>20190303162131757</v>
      </c>
      <c r="B9386" t="str">
        <f>"1551601291751850"</f>
        <v>1551601291751850</v>
      </c>
      <c r="C9386" t="s">
        <v>40</v>
      </c>
      <c r="D9386">
        <v>4.7965910000000003</v>
      </c>
      <c r="E9386">
        <v>0.38600519999999999</v>
      </c>
      <c r="F9386" t="s">
        <v>42</v>
      </c>
      <c r="G9386">
        <v>-223.40280000000001</v>
      </c>
      <c r="H9386">
        <v>1.0342979999999999</v>
      </c>
      <c r="I9386">
        <v>-62.263030000000001</v>
      </c>
      <c r="J9386">
        <v>-224.20920000000001</v>
      </c>
      <c r="K9386">
        <v>1.121224</v>
      </c>
      <c r="L9386">
        <v>-62.77008</v>
      </c>
      <c r="M9386">
        <v>0.99970510000000001</v>
      </c>
      <c r="N9386">
        <v>-1.1168910000000001E-2</v>
      </c>
      <c r="O9386">
        <v>-2.1568819999999999E-2</v>
      </c>
      <c r="P9386">
        <v>0.96794060000000004</v>
      </c>
      <c r="Q9386">
        <v>0.15348970000000001</v>
      </c>
      <c r="R9386">
        <v>0.198827</v>
      </c>
      <c r="S9386">
        <v>2.835159</v>
      </c>
      <c r="T9386">
        <v>-0.25761469999999997</v>
      </c>
      <c r="U9386">
        <v>1.493622</v>
      </c>
      <c r="V9386">
        <v>-0.21961330000000001</v>
      </c>
      <c r="W9386">
        <v>0.1643029</v>
      </c>
      <c r="X9386">
        <v>0.96165199999999995</v>
      </c>
      <c r="Y9386">
        <v>-0.4832224</v>
      </c>
      <c r="Z9386">
        <v>2.5058299999999999E-2</v>
      </c>
      <c r="AA9386">
        <v>0.875138999999999</v>
      </c>
      <c r="AB9386">
        <v>28</v>
      </c>
      <c r="AC9386">
        <v>0.80639999999999601</v>
      </c>
      <c r="AD9386">
        <v>-8.6926000000000003E-2</v>
      </c>
      <c r="AE9386">
        <v>0.507049999999999</v>
      </c>
      <c r="AF9386">
        <v>-0.51999598843931905</v>
      </c>
      <c r="AG9386">
        <v>-8.6926000000000003E-2</v>
      </c>
      <c r="AH9386">
        <v>0.78870734125293696</v>
      </c>
      <c r="AI9386">
        <v>95.257241616359394</v>
      </c>
      <c r="AJ9386">
        <v>123.39692741576999</v>
      </c>
      <c r="AK9386">
        <v>0.94868921550487895</v>
      </c>
      <c r="AL9386">
        <v>80.543259148681599</v>
      </c>
      <c r="AM9386">
        <v>102.864080251042</v>
      </c>
      <c r="AN9386">
        <v>1.00000000679465</v>
      </c>
    </row>
    <row r="9387" spans="1:40" x14ac:dyDescent="0.25">
      <c r="A9387" t="str">
        <f>"20190303162131769"</f>
        <v>20190303162131769</v>
      </c>
      <c r="B9387" t="str">
        <f>"1551601291761611"</f>
        <v>1551601291761611</v>
      </c>
      <c r="C9387" t="s">
        <v>40</v>
      </c>
      <c r="D9387">
        <v>4.7790619999999997</v>
      </c>
      <c r="E9387">
        <v>0.38617829999999997</v>
      </c>
      <c r="F9387" t="s">
        <v>42</v>
      </c>
      <c r="G9387">
        <v>-223.3886</v>
      </c>
      <c r="H9387">
        <v>1.046613</v>
      </c>
      <c r="I9387">
        <v>-62.336829999999999</v>
      </c>
      <c r="J9387">
        <v>-224.07089999999999</v>
      </c>
      <c r="K9387">
        <v>1.1212420000000001</v>
      </c>
      <c r="L9387">
        <v>-62.773099999999999</v>
      </c>
      <c r="M9387">
        <v>0.99970420000000004</v>
      </c>
      <c r="N9387">
        <v>-1.1153E-2</v>
      </c>
      <c r="O9387">
        <v>-2.1611979999999999E-2</v>
      </c>
      <c r="P9387">
        <v>0.96772499999999995</v>
      </c>
      <c r="Q9387">
        <v>0.15306600000000001</v>
      </c>
      <c r="R9387">
        <v>0.20019770000000001</v>
      </c>
      <c r="S9387">
        <v>2.8329010000000001</v>
      </c>
      <c r="T9387">
        <v>-0.25757930000000001</v>
      </c>
      <c r="U9387">
        <v>1.496094</v>
      </c>
      <c r="V9387">
        <v>-0.22102749999999999</v>
      </c>
      <c r="W9387">
        <v>0.16385139999999901</v>
      </c>
      <c r="X9387">
        <v>0.96140499999999995</v>
      </c>
      <c r="Y9387">
        <v>-0.48414040000000003</v>
      </c>
      <c r="Z9387">
        <v>2.511153E-2</v>
      </c>
      <c r="AA9387">
        <v>0.87462989999999996</v>
      </c>
      <c r="AB9387">
        <v>28</v>
      </c>
      <c r="AC9387">
        <v>0.68229999999999702</v>
      </c>
      <c r="AD9387">
        <v>-7.4629000000000001E-2</v>
      </c>
      <c r="AE9387">
        <v>0.436269999999993</v>
      </c>
      <c r="AF9387">
        <v>-0.44711801400196699</v>
      </c>
      <c r="AG9387">
        <v>-7.4629000000000001E-2</v>
      </c>
      <c r="AH9387">
        <v>0.66704692853809999</v>
      </c>
      <c r="AI9387">
        <v>95.309453770434004</v>
      </c>
      <c r="AJ9387">
        <v>123.833736937563</v>
      </c>
      <c r="AK9387">
        <v>0.80649588403052397</v>
      </c>
      <c r="AL9387">
        <v>80.569483587802694</v>
      </c>
      <c r="AM9387">
        <v>102.947350447422</v>
      </c>
      <c r="AN9387">
        <v>1.0000000055316001</v>
      </c>
    </row>
    <row r="9388" spans="1:40" x14ac:dyDescent="0.25">
      <c r="A9388" t="str">
        <f>"20190303162131781"</f>
        <v>20190303162131781</v>
      </c>
      <c r="B9388" t="str">
        <f>"1551601291772347"</f>
        <v>1551601291772347</v>
      </c>
      <c r="C9388" t="s">
        <v>40</v>
      </c>
      <c r="D9388">
        <v>4.7778320000000001</v>
      </c>
      <c r="E9388">
        <v>0.38639800000000002</v>
      </c>
      <c r="F9388" t="s">
        <v>42</v>
      </c>
      <c r="G9388">
        <v>-223.14920000000001</v>
      </c>
      <c r="H9388">
        <v>1.0369889999999999</v>
      </c>
      <c r="I9388">
        <v>-62.285350000000001</v>
      </c>
      <c r="J9388">
        <v>-223.92410000000001</v>
      </c>
      <c r="K9388">
        <v>1.1212580000000001</v>
      </c>
      <c r="L9388">
        <v>-62.776310000000002</v>
      </c>
      <c r="M9388">
        <v>0.99970369999999997</v>
      </c>
      <c r="N9388">
        <v>-1.113742E-2</v>
      </c>
      <c r="O9388">
        <v>-2.1645009999999999E-2</v>
      </c>
      <c r="P9388">
        <v>0.96748420000000002</v>
      </c>
      <c r="Q9388">
        <v>0.1527618</v>
      </c>
      <c r="R9388">
        <v>0.20158880000000001</v>
      </c>
      <c r="S9388">
        <v>2.830994</v>
      </c>
      <c r="T9388">
        <v>-0.25879780000000002</v>
      </c>
      <c r="U9388">
        <v>1.4984440000000001</v>
      </c>
      <c r="V9388">
        <v>-0.2224526</v>
      </c>
      <c r="W9388">
        <v>0.16351930000000001</v>
      </c>
      <c r="X9388">
        <v>0.96113280000000001</v>
      </c>
      <c r="Y9388">
        <v>-0.48495890000000003</v>
      </c>
      <c r="Z9388">
        <v>2.5266199999999999E-2</v>
      </c>
      <c r="AA9388">
        <v>0.8741719</v>
      </c>
      <c r="AB9388">
        <v>28</v>
      </c>
      <c r="AC9388">
        <v>0.77490000000000203</v>
      </c>
      <c r="AD9388">
        <v>-8.4269000000000094E-2</v>
      </c>
      <c r="AE9388">
        <v>0.49095999999999401</v>
      </c>
      <c r="AF9388">
        <v>-0.50337092577698805</v>
      </c>
      <c r="AG9388">
        <v>-8.4269000000000094E-2</v>
      </c>
      <c r="AH9388">
        <v>0.75769696357701199</v>
      </c>
      <c r="AI9388">
        <v>95.292637539472295</v>
      </c>
      <c r="AJ9388">
        <v>123.597810585426</v>
      </c>
      <c r="AK9388">
        <v>0.91355801233003597</v>
      </c>
      <c r="AL9388">
        <v>80.588771514465606</v>
      </c>
      <c r="AM9388">
        <v>103.031554524021</v>
      </c>
      <c r="AN9388">
        <v>0.99999998997754502</v>
      </c>
    </row>
    <row r="9389" spans="1:40" x14ac:dyDescent="0.25">
      <c r="A9389" t="str">
        <f>"20190303162131790"</f>
        <v>20190303162131790</v>
      </c>
      <c r="B9389" t="str">
        <f>"1551601291782106"</f>
        <v>1551601291782106</v>
      </c>
      <c r="C9389" t="s">
        <v>40</v>
      </c>
      <c r="D9389">
        <v>4.7938390000000002</v>
      </c>
      <c r="E9389">
        <v>0.38649280000000003</v>
      </c>
      <c r="F9389" t="s">
        <v>42</v>
      </c>
      <c r="G9389">
        <v>-223.1353</v>
      </c>
      <c r="H9389">
        <v>1.0490269999999999</v>
      </c>
      <c r="I9389">
        <v>-62.358020000000003</v>
      </c>
      <c r="J9389">
        <v>-223.8058</v>
      </c>
      <c r="K9389">
        <v>1.1212690000000001</v>
      </c>
      <c r="L9389">
        <v>-62.7789</v>
      </c>
      <c r="M9389">
        <v>0.99970349999999997</v>
      </c>
      <c r="N9389">
        <v>-1.112578E-2</v>
      </c>
      <c r="O9389">
        <v>-2.166467E-2</v>
      </c>
      <c r="P9389">
        <v>0.96732119999999999</v>
      </c>
      <c r="Q9389">
        <v>0.152196</v>
      </c>
      <c r="R9389">
        <v>0.20279620000000001</v>
      </c>
      <c r="S9389">
        <v>2.8290860000000002</v>
      </c>
      <c r="T9389">
        <v>-0.25905739999999999</v>
      </c>
      <c r="U9389">
        <v>1.5004879999999901</v>
      </c>
      <c r="V9389">
        <v>-0.22368070000000001</v>
      </c>
      <c r="W9389">
        <v>0.16293260000000001</v>
      </c>
      <c r="X9389">
        <v>0.96094740000000001</v>
      </c>
      <c r="Y9389">
        <v>-0.4857052</v>
      </c>
      <c r="Z9389">
        <v>2.5334490000000001E-2</v>
      </c>
      <c r="AA9389">
        <v>0.87375550000000002</v>
      </c>
      <c r="AB9389">
        <v>28</v>
      </c>
      <c r="AC9389">
        <v>0.67050000000000398</v>
      </c>
      <c r="AD9389">
        <v>-7.2241999999999904E-2</v>
      </c>
      <c r="AE9389">
        <v>0.42088000000000297</v>
      </c>
      <c r="AF9389">
        <v>-0.43171318737793202</v>
      </c>
      <c r="AG9389">
        <v>-7.2241999999999904E-2</v>
      </c>
      <c r="AH9389">
        <v>0.65576297786938997</v>
      </c>
      <c r="AI9389">
        <v>95.257259176390093</v>
      </c>
      <c r="AJ9389">
        <v>123.358398458005</v>
      </c>
      <c r="AK9389">
        <v>0.78842898593604804</v>
      </c>
      <c r="AL9389">
        <v>80.622843966722499</v>
      </c>
      <c r="AM9389">
        <v>103.103463491399</v>
      </c>
      <c r="AN9389">
        <v>0.99999999663100503</v>
      </c>
    </row>
    <row r="9390" spans="1:40" x14ac:dyDescent="0.25">
      <c r="A9390" t="str">
        <f>"20190303162131801"</f>
        <v>20190303162131801</v>
      </c>
      <c r="B9390" t="str">
        <f>"1551601291791866"</f>
        <v>1551601291791866</v>
      </c>
      <c r="C9390" t="s">
        <v>40</v>
      </c>
      <c r="D9390">
        <v>4.7666329999999997</v>
      </c>
      <c r="E9390">
        <v>0.38659719999999997</v>
      </c>
      <c r="F9390" t="s">
        <v>42</v>
      </c>
      <c r="G9390">
        <v>-222.89779999999999</v>
      </c>
      <c r="H9390">
        <v>1.0372079999999999</v>
      </c>
      <c r="I9390">
        <v>-62.29636</v>
      </c>
      <c r="J9390">
        <v>-223.66079999999999</v>
      </c>
      <c r="K9390">
        <v>1.121286</v>
      </c>
      <c r="L9390">
        <v>-62.782040000000002</v>
      </c>
      <c r="M9390">
        <v>0.99970320000000001</v>
      </c>
      <c r="N9390">
        <v>-1.111241E-2</v>
      </c>
      <c r="O9390">
        <v>-2.1682030000000001E-2</v>
      </c>
      <c r="P9390">
        <v>0.96715249999999997</v>
      </c>
      <c r="Q9390">
        <v>0.15182209999999999</v>
      </c>
      <c r="R9390">
        <v>0.20387749999999999</v>
      </c>
      <c r="S9390">
        <v>2.8274840000000001</v>
      </c>
      <c r="T9390">
        <v>-0.26174219999999998</v>
      </c>
      <c r="U9390">
        <v>1.5027159999999999</v>
      </c>
      <c r="V9390">
        <v>-0.22478100000000001</v>
      </c>
      <c r="W9390">
        <v>0.16253600000000001</v>
      </c>
      <c r="X9390">
        <v>0.9607578</v>
      </c>
      <c r="Y9390">
        <v>-0.48642160000000001</v>
      </c>
      <c r="Z9390">
        <v>2.561045E-2</v>
      </c>
      <c r="AA9390">
        <v>0.87334880000000004</v>
      </c>
      <c r="AB9390">
        <v>28</v>
      </c>
      <c r="AC9390">
        <v>0.76300000000000501</v>
      </c>
      <c r="AD9390">
        <v>-8.4078000000000097E-2</v>
      </c>
      <c r="AE9390">
        <v>0.485680000000002</v>
      </c>
      <c r="AF9390">
        <v>-0.49780847202959499</v>
      </c>
      <c r="AG9390">
        <v>-8.4078000000000097E-2</v>
      </c>
      <c r="AH9390">
        <v>0.74584431279671604</v>
      </c>
      <c r="AI9390">
        <v>95.356522360837602</v>
      </c>
      <c r="AJ9390">
        <v>123.720845794642</v>
      </c>
      <c r="AK9390">
        <v>0.90064761357572298</v>
      </c>
      <c r="AL9390">
        <v>80.645874500919604</v>
      </c>
      <c r="AM9390">
        <v>103.168188049638</v>
      </c>
      <c r="AN9390">
        <v>0.99999999975891996</v>
      </c>
    </row>
    <row r="9391" spans="1:40" x14ac:dyDescent="0.25">
      <c r="A9391" t="str">
        <f>"20190303162131814"</f>
        <v>20190303162131814</v>
      </c>
      <c r="B9391" t="str">
        <f>"1551601291801627"</f>
        <v>1551601291801627</v>
      </c>
      <c r="C9391" t="s">
        <v>40</v>
      </c>
      <c r="D9391">
        <v>4.7642119999999997</v>
      </c>
      <c r="E9391">
        <v>0.38665650000000001</v>
      </c>
      <c r="F9391" t="s">
        <v>42</v>
      </c>
      <c r="G9391">
        <v>-222.88390000000001</v>
      </c>
      <c r="H9391">
        <v>1.049234</v>
      </c>
      <c r="I9391">
        <v>-62.368400000000001</v>
      </c>
      <c r="J9391">
        <v>-223.51240000000001</v>
      </c>
      <c r="K9391">
        <v>1.1212959999999901</v>
      </c>
      <c r="L9391">
        <v>-62.785249999999998</v>
      </c>
      <c r="M9391">
        <v>0.99970320000000001</v>
      </c>
      <c r="N9391">
        <v>-1.1101359999999999E-2</v>
      </c>
      <c r="O9391">
        <v>-2.1691350000000002E-2</v>
      </c>
      <c r="P9391">
        <v>0.96709630000000002</v>
      </c>
      <c r="Q9391">
        <v>0.15113650000000001</v>
      </c>
      <c r="R9391">
        <v>0.20465230000000001</v>
      </c>
      <c r="S9391">
        <v>2.8258359999999998</v>
      </c>
      <c r="T9391">
        <v>-0.26206869999999999</v>
      </c>
      <c r="U9391">
        <v>1.504761</v>
      </c>
      <c r="V9391">
        <v>-0.22556780000000001</v>
      </c>
      <c r="W9391">
        <v>0.161833</v>
      </c>
      <c r="X9391">
        <v>0.96069199999999999</v>
      </c>
      <c r="Y9391">
        <v>-0.48712490000000003</v>
      </c>
      <c r="Z9391">
        <v>2.568055E-2</v>
      </c>
      <c r="AA9391">
        <v>0.87295469999999897</v>
      </c>
      <c r="AB9391">
        <v>28</v>
      </c>
      <c r="AC9391">
        <v>0.62850000000000195</v>
      </c>
      <c r="AD9391">
        <v>-7.2061999999999807E-2</v>
      </c>
      <c r="AE9391">
        <v>0.416849999999996</v>
      </c>
      <c r="AF9391">
        <v>-0.42649188637680402</v>
      </c>
      <c r="AG9391">
        <v>-7.2061999999999807E-2</v>
      </c>
      <c r="AH9391">
        <v>0.61370636487931796</v>
      </c>
      <c r="AI9391">
        <v>95.507630688663994</v>
      </c>
      <c r="AJ9391">
        <v>124.79715772375999</v>
      </c>
      <c r="AK9391">
        <v>0.75081539893813498</v>
      </c>
      <c r="AL9391">
        <v>80.686693261724002</v>
      </c>
      <c r="AM9391">
        <v>103.213539690921</v>
      </c>
      <c r="AN9391">
        <v>0.99999993557491795</v>
      </c>
    </row>
    <row r="9392" spans="1:40" x14ac:dyDescent="0.25">
      <c r="A9392" t="str">
        <f>"20190303162131825"</f>
        <v>20190303162131825</v>
      </c>
      <c r="B9392" t="str">
        <f>"1551601291814314"</f>
        <v>1551601291814314</v>
      </c>
      <c r="C9392" t="s">
        <v>40</v>
      </c>
      <c r="D9392">
        <v>4.7524439999999997</v>
      </c>
      <c r="E9392">
        <v>0.38671420000000001</v>
      </c>
      <c r="F9392" t="s">
        <v>42</v>
      </c>
      <c r="G9392">
        <v>-222.64330000000001</v>
      </c>
      <c r="H9392">
        <v>1.039882</v>
      </c>
      <c r="I9392">
        <v>-62.321930000000002</v>
      </c>
      <c r="J9392">
        <v>-223.37039999999999</v>
      </c>
      <c r="K9392">
        <v>1.1213059999999999</v>
      </c>
      <c r="L9392">
        <v>-62.788330000000002</v>
      </c>
      <c r="M9392">
        <v>0.99970320000000001</v>
      </c>
      <c r="N9392">
        <v>-1.1091719999999999E-2</v>
      </c>
      <c r="O9392">
        <v>-2.1697129999999999E-2</v>
      </c>
      <c r="P9392">
        <v>0.96705830000000004</v>
      </c>
      <c r="Q9392">
        <v>0.15050649999999999</v>
      </c>
      <c r="R9392">
        <v>0.20529559999999999</v>
      </c>
      <c r="S9392">
        <v>2.824738</v>
      </c>
      <c r="T9392">
        <v>-0.2646136</v>
      </c>
      <c r="U9392">
        <v>1.505981</v>
      </c>
      <c r="V9392">
        <v>-0.22621949999999999</v>
      </c>
      <c r="W9392">
        <v>0.16118740000000001</v>
      </c>
      <c r="X9392">
        <v>0.96064729999999998</v>
      </c>
      <c r="Y9392">
        <v>-0.48752689999999999</v>
      </c>
      <c r="Z9392">
        <v>2.5927740000000001E-2</v>
      </c>
      <c r="AA9392">
        <v>0.87272289999999997</v>
      </c>
      <c r="AB9392">
        <v>28</v>
      </c>
      <c r="AC9392">
        <v>0.72709999999997799</v>
      </c>
      <c r="AD9392">
        <v>-8.1423999999999899E-2</v>
      </c>
      <c r="AE9392">
        <v>0.46639999999999998</v>
      </c>
      <c r="AF9392">
        <v>-0.47782179152756199</v>
      </c>
      <c r="AG9392">
        <v>-8.1423999999999899E-2</v>
      </c>
      <c r="AH9392">
        <v>0.71049603426409202</v>
      </c>
      <c r="AI9392">
        <v>95.432302934114006</v>
      </c>
      <c r="AJ9392">
        <v>123.921565232356</v>
      </c>
      <c r="AK9392">
        <v>0.86008612762886205</v>
      </c>
      <c r="AL9392">
        <v>80.724175541604595</v>
      </c>
      <c r="AM9392">
        <v>103.25096559617501</v>
      </c>
      <c r="AN9392">
        <v>0.99999993754814798</v>
      </c>
    </row>
    <row r="9393" spans="1:40" x14ac:dyDescent="0.25">
      <c r="A9393" t="str">
        <f>"20190303162131835"</f>
        <v>20190303162131835</v>
      </c>
      <c r="B9393" t="str">
        <f>"1551601291822122"</f>
        <v>1551601291822122</v>
      </c>
      <c r="C9393" t="s">
        <v>40</v>
      </c>
      <c r="D9393">
        <v>4.7662909999999998</v>
      </c>
      <c r="E9393">
        <v>0.38676820000000001</v>
      </c>
      <c r="F9393" t="s">
        <v>42</v>
      </c>
      <c r="G9393">
        <v>-222.4032</v>
      </c>
      <c r="H9393">
        <v>1.0300640000000001</v>
      </c>
      <c r="I9393">
        <v>-62.272309999999997</v>
      </c>
      <c r="J9393">
        <v>-223.2388</v>
      </c>
      <c r="K9393">
        <v>1.1213109999999999</v>
      </c>
      <c r="L9393">
        <v>-62.791170000000001</v>
      </c>
      <c r="M9393">
        <v>0.99970329999999996</v>
      </c>
      <c r="N9393">
        <v>-1.108612E-2</v>
      </c>
      <c r="O9393">
        <v>-2.1690810000000001E-2</v>
      </c>
      <c r="P9393">
        <v>0.96698119999999999</v>
      </c>
      <c r="Q9393">
        <v>0.1498806</v>
      </c>
      <c r="R9393">
        <v>0.20611409999999999</v>
      </c>
      <c r="S9393">
        <v>2.8237760000000001</v>
      </c>
      <c r="T9393">
        <v>-0.26641150000000002</v>
      </c>
      <c r="U9393">
        <v>1.506775</v>
      </c>
      <c r="V9393">
        <v>-0.22703300000000001</v>
      </c>
      <c r="W9393">
        <v>0.16055159999999999</v>
      </c>
      <c r="X9393">
        <v>0.96056189999999997</v>
      </c>
      <c r="Y9393">
        <v>-0.48780859999999898</v>
      </c>
      <c r="Z9393">
        <v>2.610349E-2</v>
      </c>
      <c r="AA9393">
        <v>0.87256029999999996</v>
      </c>
      <c r="AB9393">
        <v>28</v>
      </c>
      <c r="AC9393">
        <v>0.83559999999999901</v>
      </c>
      <c r="AD9393">
        <v>-9.12470000000003E-2</v>
      </c>
      <c r="AE9393">
        <v>0.51885999999999599</v>
      </c>
      <c r="AF9393">
        <v>-0.53228292815270595</v>
      </c>
      <c r="AG9393">
        <v>-9.12470000000003E-2</v>
      </c>
      <c r="AH9393">
        <v>0.81711592796830301</v>
      </c>
      <c r="AI9393">
        <v>95.345490064801396</v>
      </c>
      <c r="AJ9393">
        <v>123.08089115494001</v>
      </c>
      <c r="AK9393">
        <v>0.97945371016261995</v>
      </c>
      <c r="AL9393">
        <v>80.761085330602199</v>
      </c>
      <c r="AM9393">
        <v>103.298067344307</v>
      </c>
      <c r="AN9393">
        <v>0.99999998154158398</v>
      </c>
    </row>
    <row r="9394" spans="1:40" x14ac:dyDescent="0.25">
      <c r="A9394" t="str">
        <f>"20190303162131847"</f>
        <v>20190303162131847</v>
      </c>
      <c r="B9394" t="str">
        <f>"1551601291842149"</f>
        <v>1551601291842149</v>
      </c>
      <c r="C9394" t="s">
        <v>40</v>
      </c>
      <c r="D9394">
        <v>4.7436980000000002</v>
      </c>
      <c r="E9394">
        <v>0.38681399999999999</v>
      </c>
      <c r="F9394" t="s">
        <v>42</v>
      </c>
      <c r="G9394">
        <v>-222.39060000000001</v>
      </c>
      <c r="H9394">
        <v>1.040694</v>
      </c>
      <c r="I9394">
        <v>-62.337969999999999</v>
      </c>
      <c r="J9394">
        <v>-223.0943</v>
      </c>
      <c r="K9394">
        <v>1.121316</v>
      </c>
      <c r="L9394">
        <v>-62.794280000000001</v>
      </c>
      <c r="M9394">
        <v>0.99970360000000003</v>
      </c>
      <c r="N9394">
        <v>-1.1080410000000001E-2</v>
      </c>
      <c r="O9394">
        <v>-2.168198E-2</v>
      </c>
      <c r="P9394">
        <v>0.96693960000000001</v>
      </c>
      <c r="Q9394">
        <v>0.14923979999999901</v>
      </c>
      <c r="R9394">
        <v>0.2067735</v>
      </c>
      <c r="S9394">
        <v>2.8225560000000001</v>
      </c>
      <c r="T9394">
        <v>-0.26827489999999998</v>
      </c>
      <c r="U9394">
        <v>1.5082089999999999</v>
      </c>
      <c r="V9394">
        <v>-0.22768569999999999</v>
      </c>
      <c r="W9394">
        <v>0.15990109999999999</v>
      </c>
      <c r="X9394">
        <v>0.96051589999999998</v>
      </c>
      <c r="Y9394">
        <v>-0.48827350000000003</v>
      </c>
      <c r="Z9394">
        <v>2.629513E-2</v>
      </c>
      <c r="AA9394">
        <v>0.87229439999999903</v>
      </c>
      <c r="AB9394">
        <v>28</v>
      </c>
      <c r="AC9394">
        <v>0.70369999999999699</v>
      </c>
      <c r="AD9394">
        <v>-8.0621999999999902E-2</v>
      </c>
      <c r="AE9394">
        <v>0.45631000000000899</v>
      </c>
      <c r="AF9394">
        <v>-0.46714459609287701</v>
      </c>
      <c r="AG9394">
        <v>-8.0621999999999902E-2</v>
      </c>
      <c r="AH9394">
        <v>0.68728932176792201</v>
      </c>
      <c r="AI9394">
        <v>95.541263807487795</v>
      </c>
      <c r="AJ9394">
        <v>124.203607092708</v>
      </c>
      <c r="AK9394">
        <v>0.83491951250344398</v>
      </c>
      <c r="AL9394">
        <v>80.798843932867797</v>
      </c>
      <c r="AM9394">
        <v>103.335550088057</v>
      </c>
      <c r="AN9394">
        <v>0.99999996695925397</v>
      </c>
    </row>
    <row r="9395" spans="1:40" x14ac:dyDescent="0.25">
      <c r="A9395" t="str">
        <f>"20190303162131858"</f>
        <v>20190303162131858</v>
      </c>
      <c r="B9395" t="str">
        <f>"1551601291851910"</f>
        <v>1551601291851910</v>
      </c>
      <c r="C9395" t="s">
        <v>40</v>
      </c>
      <c r="D9395">
        <v>4.7333740000000004</v>
      </c>
      <c r="E9395">
        <v>0.38680619999999999</v>
      </c>
      <c r="F9395" t="s">
        <v>42</v>
      </c>
      <c r="G9395">
        <v>-222.15020000000001</v>
      </c>
      <c r="H9395">
        <v>1.0305420000000001</v>
      </c>
      <c r="I9395">
        <v>-62.289549999999998</v>
      </c>
      <c r="J9395">
        <v>-222.94990000000001</v>
      </c>
      <c r="K9395">
        <v>1.1213219999999999</v>
      </c>
      <c r="L9395">
        <v>-62.79739</v>
      </c>
      <c r="M9395">
        <v>0.99970400000000004</v>
      </c>
      <c r="N9395">
        <v>-1.107676E-2</v>
      </c>
      <c r="O9395">
        <v>-2.1663149999999999E-2</v>
      </c>
      <c r="P9395">
        <v>0.96699760000000001</v>
      </c>
      <c r="Q9395">
        <v>0.14844089999999999</v>
      </c>
      <c r="R9395">
        <v>0.20707790000000001</v>
      </c>
      <c r="S9395">
        <v>2.8218079999999999</v>
      </c>
      <c r="T9395">
        <v>-0.27130460000000001</v>
      </c>
      <c r="U9395">
        <v>1.5087280000000001</v>
      </c>
      <c r="V9395">
        <v>-0.2279755</v>
      </c>
      <c r="W9395">
        <v>0.15909519999999999</v>
      </c>
      <c r="X9395">
        <v>0.96058100000000002</v>
      </c>
      <c r="Y9395">
        <v>-0.48843340000000002</v>
      </c>
      <c r="Z9395">
        <v>2.657176E-2</v>
      </c>
      <c r="AA9395">
        <v>0.87219650000000004</v>
      </c>
      <c r="AB9395">
        <v>28</v>
      </c>
      <c r="AC9395">
        <v>0.79970000000000097</v>
      </c>
      <c r="AD9395">
        <v>-9.0779999999999805E-2</v>
      </c>
      <c r="AE9395">
        <v>0.50784000000000096</v>
      </c>
      <c r="AF9395">
        <v>-0.52026827643451501</v>
      </c>
      <c r="AG9395">
        <v>-9.0779999999999805E-2</v>
      </c>
      <c r="AH9395">
        <v>0.78133523041841002</v>
      </c>
      <c r="AI9395">
        <v>95.523775724197804</v>
      </c>
      <c r="AJ9395">
        <v>123.658484879214</v>
      </c>
      <c r="AK9395">
        <v>0.94308262106621998</v>
      </c>
      <c r="AL9395">
        <v>80.845617548802196</v>
      </c>
      <c r="AM9395">
        <v>103.351043696698</v>
      </c>
      <c r="AN9395">
        <v>0.99999998441214499</v>
      </c>
    </row>
    <row r="9396" spans="1:40" x14ac:dyDescent="0.25">
      <c r="A9396" t="str">
        <f>"20190303162131869"</f>
        <v>20190303162131869</v>
      </c>
      <c r="B9396" t="str">
        <f>"1551601291861670"</f>
        <v>1551601291861670</v>
      </c>
      <c r="C9396" t="s">
        <v>40</v>
      </c>
      <c r="D9396">
        <v>4.6933699999999998</v>
      </c>
      <c r="E9396">
        <v>0.3867642</v>
      </c>
      <c r="F9396" t="s">
        <v>42</v>
      </c>
      <c r="G9396">
        <v>-222.1362</v>
      </c>
      <c r="H9396">
        <v>1.0422229999999999</v>
      </c>
      <c r="I9396">
        <v>-62.362349999999999</v>
      </c>
      <c r="J9396">
        <v>-222.81729999999999</v>
      </c>
      <c r="K9396">
        <v>1.121324</v>
      </c>
      <c r="L9396">
        <v>-62.800229999999999</v>
      </c>
      <c r="M9396">
        <v>0.9997045</v>
      </c>
      <c r="N9396">
        <v>-1.107462E-2</v>
      </c>
      <c r="O9396">
        <v>-2.1641580000000001E-2</v>
      </c>
      <c r="P9396">
        <v>0.96702489999999997</v>
      </c>
      <c r="Q9396">
        <v>0.14762420000000001</v>
      </c>
      <c r="R9396">
        <v>0.20753369999999999</v>
      </c>
      <c r="S9396">
        <v>2.8214419999999998</v>
      </c>
      <c r="T9396">
        <v>-0.27427109999999999</v>
      </c>
      <c r="U9396">
        <v>1.5086980000000001</v>
      </c>
      <c r="V9396">
        <v>-0.2284137</v>
      </c>
      <c r="W9396">
        <v>0.15827269999999999</v>
      </c>
      <c r="X9396">
        <v>0.96061280000000004</v>
      </c>
      <c r="Y9396">
        <v>-0.4884114</v>
      </c>
      <c r="Z9396">
        <v>2.6831839999999999E-2</v>
      </c>
      <c r="AA9396">
        <v>0.87220089999999995</v>
      </c>
      <c r="AB9396">
        <v>28</v>
      </c>
      <c r="AC9396">
        <v>0.68109999999998605</v>
      </c>
      <c r="AD9396">
        <v>-7.9101000000000005E-2</v>
      </c>
      <c r="AE9396">
        <v>0.43788000000000599</v>
      </c>
      <c r="AF9396">
        <v>-0.44824069641216602</v>
      </c>
      <c r="AG9396">
        <v>-7.9101000000000005E-2</v>
      </c>
      <c r="AH9396">
        <v>0.66511602817990201</v>
      </c>
      <c r="AI9396">
        <v>95.632432718932193</v>
      </c>
      <c r="AJ9396">
        <v>123.977155954732</v>
      </c>
      <c r="AK9396">
        <v>0.80595038374757999</v>
      </c>
      <c r="AL9396">
        <v>80.893348326216994</v>
      </c>
      <c r="AM9396">
        <v>103.37535789249399</v>
      </c>
      <c r="AN9396">
        <v>1.00000000871841</v>
      </c>
    </row>
    <row r="9397" spans="1:40" x14ac:dyDescent="0.25">
      <c r="A9397" t="str">
        <f>"20190303162131882"</f>
        <v>20190303162131882</v>
      </c>
      <c r="B9397" t="str">
        <f>"1551601291872406"</f>
        <v>1551601291872406</v>
      </c>
      <c r="C9397" t="s">
        <v>40</v>
      </c>
      <c r="D9397">
        <v>4.7356360000000004</v>
      </c>
      <c r="E9397">
        <v>0.38672980000000001</v>
      </c>
      <c r="F9397" t="s">
        <v>42</v>
      </c>
      <c r="G9397">
        <v>-221.89680000000001</v>
      </c>
      <c r="H9397">
        <v>1.031188</v>
      </c>
      <c r="I9397">
        <v>-62.307659999999998</v>
      </c>
      <c r="J9397">
        <v>-222.65899999999999</v>
      </c>
      <c r="K9397">
        <v>1.121332</v>
      </c>
      <c r="L9397">
        <v>-62.803649999999998</v>
      </c>
      <c r="M9397">
        <v>0.99970530000000002</v>
      </c>
      <c r="N9397">
        <v>-1.107434E-2</v>
      </c>
      <c r="O9397">
        <v>-2.1608080000000002E-2</v>
      </c>
      <c r="P9397">
        <v>0.96718499999999996</v>
      </c>
      <c r="Q9397">
        <v>0.14647869999999999</v>
      </c>
      <c r="R9397">
        <v>0.2075989</v>
      </c>
      <c r="S9397">
        <v>2.8205260000000001</v>
      </c>
      <c r="T9397">
        <v>-0.27620650000000002</v>
      </c>
      <c r="U9397">
        <v>1.5094909999999999</v>
      </c>
      <c r="V9397">
        <v>-0.22845389999999999</v>
      </c>
      <c r="W9397">
        <v>0.15712379999999901</v>
      </c>
      <c r="X9397">
        <v>0.96079179999999997</v>
      </c>
      <c r="Y9397">
        <v>-0.4886606</v>
      </c>
      <c r="Z9397">
        <v>2.7017639999999999E-2</v>
      </c>
      <c r="AA9397">
        <v>0.87205549999999998</v>
      </c>
      <c r="AB9397">
        <v>28</v>
      </c>
      <c r="AC9397">
        <v>0.76220000000000698</v>
      </c>
      <c r="AD9397">
        <v>-9.0144000000000002E-2</v>
      </c>
      <c r="AE9397">
        <v>0.49598999999999799</v>
      </c>
      <c r="AF9397">
        <v>-0.507359381711185</v>
      </c>
      <c r="AG9397">
        <v>-9.0144000000000002E-2</v>
      </c>
      <c r="AH9397">
        <v>0.743993239779702</v>
      </c>
      <c r="AI9397">
        <v>95.716377394936899</v>
      </c>
      <c r="AJ9397">
        <v>124.291674598331</v>
      </c>
      <c r="AK9397">
        <v>0.90502233330689297</v>
      </c>
      <c r="AL9397">
        <v>80.960009279057104</v>
      </c>
      <c r="AM9397">
        <v>103.375224548286</v>
      </c>
      <c r="AN9397">
        <v>0.99999997794944395</v>
      </c>
    </row>
    <row r="9398" spans="1:40" x14ac:dyDescent="0.25">
      <c r="A9398" t="str">
        <f>"20190303162131893"</f>
        <v>20190303162131893</v>
      </c>
      <c r="B9398" t="str">
        <f>"1551601291882166"</f>
        <v>1551601291882166</v>
      </c>
      <c r="C9398" t="s">
        <v>40</v>
      </c>
      <c r="D9398">
        <v>4.7193069999999997</v>
      </c>
      <c r="E9398">
        <v>0.38671339999999998</v>
      </c>
      <c r="F9398" t="s">
        <v>42</v>
      </c>
      <c r="G9398">
        <v>-221.88140000000001</v>
      </c>
      <c r="H9398">
        <v>1.044333</v>
      </c>
      <c r="I9398">
        <v>-62.387520000000002</v>
      </c>
      <c r="J9398">
        <v>-222.51050000000001</v>
      </c>
      <c r="K9398">
        <v>1.12134</v>
      </c>
      <c r="L9398">
        <v>-62.806789999999999</v>
      </c>
      <c r="M9398">
        <v>0.99970610000000004</v>
      </c>
      <c r="N9398">
        <v>-1.107638E-2</v>
      </c>
      <c r="O9398">
        <v>-2.156837E-2</v>
      </c>
      <c r="P9398">
        <v>0.96726769999999995</v>
      </c>
      <c r="Q9398">
        <v>0.14562729999999999</v>
      </c>
      <c r="R9398">
        <v>0.2078122</v>
      </c>
      <c r="S9398">
        <v>2.8200989999999999</v>
      </c>
      <c r="T9398">
        <v>-0.2792695</v>
      </c>
      <c r="U9398">
        <v>1.509369</v>
      </c>
      <c r="V9398">
        <v>-0.22863459999999999</v>
      </c>
      <c r="W9398">
        <v>0.15626960000000001</v>
      </c>
      <c r="X9398">
        <v>0.96088810000000002</v>
      </c>
      <c r="Y9398">
        <v>-0.4886065</v>
      </c>
      <c r="Z9398">
        <v>2.7284739999999998E-2</v>
      </c>
      <c r="AA9398">
        <v>0.87207760000000001</v>
      </c>
      <c r="AB9398">
        <v>28</v>
      </c>
      <c r="AC9398">
        <v>0.629099999999994</v>
      </c>
      <c r="AD9398">
        <v>-7.7007000000000006E-2</v>
      </c>
      <c r="AE9398">
        <v>0.41927000000000397</v>
      </c>
      <c r="AF9398">
        <v>-0.42829820191357698</v>
      </c>
      <c r="AG9398">
        <v>-7.7007000000000006E-2</v>
      </c>
      <c r="AH9398">
        <v>0.61354437192990996</v>
      </c>
      <c r="AI9398">
        <v>95.875983534819099</v>
      </c>
      <c r="AJ9398">
        <v>124.917818055545</v>
      </c>
      <c r="AK9398">
        <v>0.75220085358783795</v>
      </c>
      <c r="AL9398">
        <v>81.009563278278506</v>
      </c>
      <c r="AM9398">
        <v>103.384130114374</v>
      </c>
      <c r="AN9398">
        <v>0.99999995446146395</v>
      </c>
    </row>
    <row r="9399" spans="1:40" x14ac:dyDescent="0.25">
      <c r="A9399" t="str">
        <f>"20190303162131905"</f>
        <v>20190303162131905</v>
      </c>
      <c r="B9399" t="str">
        <f>"1551601291901686"</f>
        <v>1551601291901686</v>
      </c>
      <c r="C9399" t="s">
        <v>40</v>
      </c>
      <c r="D9399">
        <v>4.7148529999999997</v>
      </c>
      <c r="E9399">
        <v>0.3866426</v>
      </c>
      <c r="F9399" t="s">
        <v>42</v>
      </c>
      <c r="G9399">
        <v>-221.6404</v>
      </c>
      <c r="H9399">
        <v>1.0344549999999999</v>
      </c>
      <c r="I9399">
        <v>-62.341070000000002</v>
      </c>
      <c r="J9399">
        <v>-222.36279999999999</v>
      </c>
      <c r="K9399">
        <v>1.1213489999999999</v>
      </c>
      <c r="L9399">
        <v>-62.8099699999999</v>
      </c>
      <c r="M9399">
        <v>0.99970700000000001</v>
      </c>
      <c r="N9399">
        <v>-1.107938E-2</v>
      </c>
      <c r="O9399">
        <v>-2.1525679999999998E-2</v>
      </c>
      <c r="P9399">
        <v>0.967337</v>
      </c>
      <c r="Q9399">
        <v>0.1450987</v>
      </c>
      <c r="R9399">
        <v>0.2078603</v>
      </c>
      <c r="S9399">
        <v>2.8195950000000001</v>
      </c>
      <c r="T9399">
        <v>-0.28156710000000001</v>
      </c>
      <c r="U9399">
        <v>1.5095209999999999</v>
      </c>
      <c r="V9399">
        <v>-0.22864709999999999</v>
      </c>
      <c r="W9399">
        <v>0.15573870000000001</v>
      </c>
      <c r="X9399">
        <v>0.96097140000000003</v>
      </c>
      <c r="Y9399">
        <v>-0.48863610000000002</v>
      </c>
      <c r="Z9399">
        <v>2.7489039999999999E-2</v>
      </c>
      <c r="AA9399">
        <v>0.87205460000000001</v>
      </c>
      <c r="AB9399">
        <v>28</v>
      </c>
      <c r="AC9399">
        <v>0.72239999999999305</v>
      </c>
      <c r="AD9399">
        <v>-8.6893999999999999E-2</v>
      </c>
      <c r="AE9399">
        <v>0.46889999999999699</v>
      </c>
      <c r="AF9399">
        <v>-0.47946167595636502</v>
      </c>
      <c r="AG9399">
        <v>-8.6893999999999999E-2</v>
      </c>
      <c r="AH9399">
        <v>0.70496229233073704</v>
      </c>
      <c r="AI9399">
        <v>95.819575975406295</v>
      </c>
      <c r="AJ9399">
        <v>124.220554628728</v>
      </c>
      <c r="AK9399">
        <v>0.85697485351385605</v>
      </c>
      <c r="AL9399">
        <v>81.040359386127506</v>
      </c>
      <c r="AM9399">
        <v>103.38371703333</v>
      </c>
      <c r="AN9399">
        <v>1.00000003531702</v>
      </c>
    </row>
    <row r="9400" spans="1:40" x14ac:dyDescent="0.25">
      <c r="A9400" t="str">
        <f>"20190303162131918"</f>
        <v>20190303162131918</v>
      </c>
      <c r="B9400" t="str">
        <f>"1551601291912422"</f>
        <v>1551601291912422</v>
      </c>
      <c r="C9400" t="s">
        <v>40</v>
      </c>
      <c r="D9400">
        <v>4.7610159999999997</v>
      </c>
      <c r="E9400">
        <v>0.38665159999999998</v>
      </c>
      <c r="F9400" t="s">
        <v>42</v>
      </c>
      <c r="G9400">
        <v>-221.39930000000001</v>
      </c>
      <c r="H9400">
        <v>1.024891</v>
      </c>
      <c r="I9400">
        <v>-62.294139999999999</v>
      </c>
      <c r="J9400">
        <v>-222.19749999999999</v>
      </c>
      <c r="K9400">
        <v>1.1213610000000001</v>
      </c>
      <c r="L9400">
        <v>-62.813450000000003</v>
      </c>
      <c r="M9400">
        <v>0.99970820000000005</v>
      </c>
      <c r="N9400">
        <v>-1.108688E-2</v>
      </c>
      <c r="O9400">
        <v>-2.146414E-2</v>
      </c>
      <c r="P9400">
        <v>0.96728840000000005</v>
      </c>
      <c r="Q9400">
        <v>0.14491109999999999</v>
      </c>
      <c r="R9400">
        <v>0.20821629999999999</v>
      </c>
      <c r="S9400">
        <v>2.8192900000000001</v>
      </c>
      <c r="T9400">
        <v>-0.28224290000000002</v>
      </c>
      <c r="U9400">
        <v>1.5093989999999999</v>
      </c>
      <c r="V9400">
        <v>-0.2289487</v>
      </c>
      <c r="W9400">
        <v>0.15554979999999999</v>
      </c>
      <c r="X9400">
        <v>0.96093019999999996</v>
      </c>
      <c r="Y9400">
        <v>-0.48858210000000002</v>
      </c>
      <c r="Z9400">
        <v>2.7544840000000001E-2</v>
      </c>
      <c r="AA9400">
        <v>0.8720831</v>
      </c>
      <c r="AB9400">
        <v>28</v>
      </c>
      <c r="AC9400">
        <v>0.79819999999998004</v>
      </c>
      <c r="AD9400">
        <v>-9.647E-2</v>
      </c>
      <c r="AE9400">
        <v>0.51930999999999705</v>
      </c>
      <c r="AF9400">
        <v>-0.53087574971434004</v>
      </c>
      <c r="AG9400">
        <v>-9.647E-2</v>
      </c>
      <c r="AH9400">
        <v>0.77887534003007997</v>
      </c>
      <c r="AI9400">
        <v>95.843628190687298</v>
      </c>
      <c r="AJ9400">
        <v>124.27805695628101</v>
      </c>
      <c r="AK9400">
        <v>0.94751375601715404</v>
      </c>
      <c r="AL9400">
        <v>81.051316203856601</v>
      </c>
      <c r="AM9400">
        <v>103.401288419629</v>
      </c>
      <c r="AN9400">
        <v>1.0000000483918801</v>
      </c>
    </row>
    <row r="9401" spans="1:40" x14ac:dyDescent="0.25">
      <c r="A9401" t="str">
        <f>"20190303162131929"</f>
        <v>20190303162131929</v>
      </c>
      <c r="B9401" t="str">
        <f>"1551601291922182"</f>
        <v>1551601291922182</v>
      </c>
      <c r="C9401" t="s">
        <v>40</v>
      </c>
      <c r="D9401">
        <v>4.7346629999999896</v>
      </c>
      <c r="E9401">
        <v>0.3866272</v>
      </c>
      <c r="F9401" t="s">
        <v>42</v>
      </c>
      <c r="G9401">
        <v>-221.38329999999999</v>
      </c>
      <c r="H9401">
        <v>1.0397449999999999</v>
      </c>
      <c r="I9401">
        <v>-62.377339999999997</v>
      </c>
      <c r="J9401">
        <v>-222.0617</v>
      </c>
      <c r="K9401">
        <v>1.121375</v>
      </c>
      <c r="L9401">
        <v>-62.816310000000001</v>
      </c>
      <c r="M9401">
        <v>0.99970919999999996</v>
      </c>
      <c r="N9401">
        <v>-1.1094120000000001E-2</v>
      </c>
      <c r="O9401">
        <v>-2.1409190000000002E-2</v>
      </c>
      <c r="P9401">
        <v>0.96714089999999997</v>
      </c>
      <c r="Q9401">
        <v>0.1447609</v>
      </c>
      <c r="R9401">
        <v>0.2090041</v>
      </c>
      <c r="S9401">
        <v>2.8187869999999999</v>
      </c>
      <c r="T9401">
        <v>-0.282555</v>
      </c>
      <c r="U9401">
        <v>1.509857</v>
      </c>
      <c r="V9401">
        <v>-0.22968450000000001</v>
      </c>
      <c r="W9401">
        <v>0.15539819999999999</v>
      </c>
      <c r="X9401">
        <v>0.9607791</v>
      </c>
      <c r="Y9401">
        <v>-0.48870350000000001</v>
      </c>
      <c r="Z9401">
        <v>2.7578990000000001E-2</v>
      </c>
      <c r="AA9401">
        <v>0.87201390000000001</v>
      </c>
      <c r="AB9401">
        <v>28</v>
      </c>
      <c r="AC9401">
        <v>0.67840000000001</v>
      </c>
      <c r="AD9401">
        <v>-8.16299999999998E-2</v>
      </c>
      <c r="AE9401">
        <v>0.43896999999998998</v>
      </c>
      <c r="AF9401">
        <v>-0.44881384595976598</v>
      </c>
      <c r="AG9401">
        <v>-8.16299999999998E-2</v>
      </c>
      <c r="AH9401">
        <v>0.66208889999763199</v>
      </c>
      <c r="AI9401">
        <v>95.827078251081403</v>
      </c>
      <c r="AJ9401">
        <v>124.132383610665</v>
      </c>
      <c r="AK9401">
        <v>0.80402676368717496</v>
      </c>
      <c r="AL9401">
        <v>81.060108951276405</v>
      </c>
      <c r="AM9401">
        <v>103.444834236955</v>
      </c>
      <c r="AN9401">
        <v>1.0000000245501499</v>
      </c>
    </row>
    <row r="9402" spans="1:40" x14ac:dyDescent="0.25">
      <c r="A9402" t="str">
        <f>"20190303162131940"</f>
        <v>20190303162131940</v>
      </c>
      <c r="B9402" t="str">
        <f>"1551601291932450"</f>
        <v>1551601291932450</v>
      </c>
      <c r="C9402" t="s">
        <v>40</v>
      </c>
      <c r="D9402">
        <v>4.7312159999999999</v>
      </c>
      <c r="E9402">
        <v>0.38659009999999999</v>
      </c>
      <c r="F9402" t="s">
        <v>42</v>
      </c>
      <c r="G9402">
        <v>-221.14340000000001</v>
      </c>
      <c r="H9402">
        <v>1.0293380000000001</v>
      </c>
      <c r="I9402">
        <v>-62.323650000000001</v>
      </c>
      <c r="J9402">
        <v>-221.92099999999999</v>
      </c>
      <c r="K9402">
        <v>1.1213839999999999</v>
      </c>
      <c r="L9402">
        <v>-62.819240000000001</v>
      </c>
      <c r="M9402">
        <v>0.99971049999999995</v>
      </c>
      <c r="N9402">
        <v>-1.110334E-2</v>
      </c>
      <c r="O9402">
        <v>-2.134554E-2</v>
      </c>
      <c r="P9402">
        <v>0.96697089999999997</v>
      </c>
      <c r="Q9402">
        <v>0.14463489999999901</v>
      </c>
      <c r="R9402">
        <v>0.20987639999999999</v>
      </c>
      <c r="S9402">
        <v>2.81752</v>
      </c>
      <c r="T9402">
        <v>-0.28238869999999999</v>
      </c>
      <c r="U9402">
        <v>1.5116270000000001</v>
      </c>
      <c r="V9402">
        <v>-0.23049629999999999</v>
      </c>
      <c r="W9402">
        <v>0.15527189999999999</v>
      </c>
      <c r="X9402">
        <v>0.96060509999999999</v>
      </c>
      <c r="Y9402">
        <v>-0.48923559999999999</v>
      </c>
      <c r="Z9402">
        <v>2.7596269999999999E-2</v>
      </c>
      <c r="AA9402">
        <v>0.87171489999999996</v>
      </c>
      <c r="AB9402">
        <v>28</v>
      </c>
      <c r="AC9402">
        <v>0.77759999999997798</v>
      </c>
      <c r="AD9402">
        <v>-9.2046000000000003E-2</v>
      </c>
      <c r="AE9402">
        <v>0.49558999999999997</v>
      </c>
      <c r="AF9402">
        <v>-0.50702417915576403</v>
      </c>
      <c r="AG9402">
        <v>-9.2046000000000003E-2</v>
      </c>
      <c r="AH9402">
        <v>0.75927775151751797</v>
      </c>
      <c r="AI9402">
        <v>95.756916694553297</v>
      </c>
      <c r="AJ9402">
        <v>123.733876945245</v>
      </c>
      <c r="AK9402">
        <v>0.91763210946112495</v>
      </c>
      <c r="AL9402">
        <v>81.067434397924799</v>
      </c>
      <c r="AM9402">
        <v>103.492974080176</v>
      </c>
      <c r="AN9402">
        <v>1.0000000326946501</v>
      </c>
    </row>
    <row r="9403" spans="1:40" x14ac:dyDescent="0.25">
      <c r="A9403" t="str">
        <f>"20190303162131950"</f>
        <v>20190303162131950</v>
      </c>
      <c r="B9403" t="str">
        <f>"1551601291942211"</f>
        <v>1551601291942211</v>
      </c>
      <c r="C9403" t="s">
        <v>40</v>
      </c>
      <c r="D9403">
        <v>4.729406</v>
      </c>
      <c r="E9403">
        <v>0.3865229</v>
      </c>
      <c r="F9403" t="s">
        <v>42</v>
      </c>
      <c r="G9403">
        <v>-221.12979999999999</v>
      </c>
      <c r="H9403">
        <v>1.041909</v>
      </c>
      <c r="I9403">
        <v>-62.394019999999998</v>
      </c>
      <c r="J9403">
        <v>-221.7852</v>
      </c>
      <c r="K9403">
        <v>1.121397</v>
      </c>
      <c r="L9403">
        <v>-62.822049999999997</v>
      </c>
      <c r="M9403">
        <v>0.99971200000000005</v>
      </c>
      <c r="N9403">
        <v>-1.1113990000000001E-2</v>
      </c>
      <c r="O9403">
        <v>-2.1275700000000002E-2</v>
      </c>
      <c r="P9403">
        <v>0.96682979999999996</v>
      </c>
      <c r="Q9403">
        <v>0.1442494</v>
      </c>
      <c r="R9403">
        <v>0.21078930000000001</v>
      </c>
      <c r="S9403">
        <v>2.8162690000000001</v>
      </c>
      <c r="T9403">
        <v>-0.2829083</v>
      </c>
      <c r="U9403">
        <v>1.513733</v>
      </c>
      <c r="V9403">
        <v>-0.23134350000000001</v>
      </c>
      <c r="W9403">
        <v>0.154888</v>
      </c>
      <c r="X9403">
        <v>0.96046339999999997</v>
      </c>
      <c r="Y9403">
        <v>-0.4898306</v>
      </c>
      <c r="Z9403">
        <v>2.7676369999999999E-2</v>
      </c>
      <c r="AA9403">
        <v>0.87137819999999899</v>
      </c>
      <c r="AB9403">
        <v>28</v>
      </c>
      <c r="AC9403">
        <v>0.65540000000001397</v>
      </c>
      <c r="AD9403">
        <v>-7.9488000000000003E-2</v>
      </c>
      <c r="AE9403">
        <v>0.42802999999999902</v>
      </c>
      <c r="AF9403">
        <v>-0.43736821900894601</v>
      </c>
      <c r="AG9403">
        <v>-7.9488000000000003E-2</v>
      </c>
      <c r="AH9403">
        <v>0.63954983832989598</v>
      </c>
      <c r="AI9403">
        <v>95.857575153113402</v>
      </c>
      <c r="AJ9403">
        <v>124.36700874287099</v>
      </c>
      <c r="AK9403">
        <v>0.77886667463106496</v>
      </c>
      <c r="AL9403">
        <v>81.089699545505695</v>
      </c>
      <c r="AM9403">
        <v>103.542669318693</v>
      </c>
      <c r="AN9403">
        <v>1.0000000251379</v>
      </c>
    </row>
    <row r="9404" spans="1:40" x14ac:dyDescent="0.25">
      <c r="A9404" t="str">
        <f>"20190303162131960"</f>
        <v>20190303162131960</v>
      </c>
      <c r="B9404" t="str">
        <f>"1551601291951970"</f>
        <v>1551601291951970</v>
      </c>
      <c r="C9404" t="s">
        <v>40</v>
      </c>
      <c r="D9404">
        <v>4.7313179999999999</v>
      </c>
      <c r="E9404">
        <v>0.38641809999999899</v>
      </c>
      <c r="F9404" t="s">
        <v>42</v>
      </c>
      <c r="G9404">
        <v>-220.89</v>
      </c>
      <c r="H9404">
        <v>1.031326</v>
      </c>
      <c r="I9404">
        <v>-62.339730000000003</v>
      </c>
      <c r="J9404">
        <v>-221.65610000000001</v>
      </c>
      <c r="K9404">
        <v>1.12141</v>
      </c>
      <c r="L9404">
        <v>-62.824739999999998</v>
      </c>
      <c r="M9404">
        <v>0.99971339999999997</v>
      </c>
      <c r="N9404">
        <v>-1.1125319999999999E-2</v>
      </c>
      <c r="O9404">
        <v>-2.1203719999999999E-2</v>
      </c>
      <c r="P9404">
        <v>0.96675699999999998</v>
      </c>
      <c r="Q9404">
        <v>0.1435902</v>
      </c>
      <c r="R9404">
        <v>0.2115725</v>
      </c>
      <c r="S9404">
        <v>2.8145600000000002</v>
      </c>
      <c r="T9404">
        <v>-0.28317809999999999</v>
      </c>
      <c r="U9404">
        <v>1.5164489999999999</v>
      </c>
      <c r="V9404">
        <v>-0.23205999999999999</v>
      </c>
      <c r="W9404">
        <v>0.1542327</v>
      </c>
      <c r="X9404">
        <v>0.96039600000000003</v>
      </c>
      <c r="Y9404">
        <v>-0.4906316</v>
      </c>
      <c r="Z9404">
        <v>2.774801E-2</v>
      </c>
      <c r="AA9404">
        <v>0.87092519999999995</v>
      </c>
      <c r="AB9404">
        <v>28</v>
      </c>
      <c r="AC9404">
        <v>0.76610000000002199</v>
      </c>
      <c r="AD9404">
        <v>-9.0083999999999997E-2</v>
      </c>
      <c r="AE9404">
        <v>0.485010000000002</v>
      </c>
      <c r="AF9404">
        <v>-0.49624780987314998</v>
      </c>
      <c r="AG9404">
        <v>-9.0083999999999997E-2</v>
      </c>
      <c r="AH9404">
        <v>0.74825727447014201</v>
      </c>
      <c r="AI9404">
        <v>95.729426871394097</v>
      </c>
      <c r="AJ9404">
        <v>123.552528230341</v>
      </c>
      <c r="AK9404">
        <v>0.902366868107082</v>
      </c>
      <c r="AL9404">
        <v>81.127702115040606</v>
      </c>
      <c r="AM9404">
        <v>103.583978905601</v>
      </c>
      <c r="AN9404">
        <v>1.00000002308264</v>
      </c>
    </row>
    <row r="9405" spans="1:40" x14ac:dyDescent="0.25">
      <c r="A9405" t="str">
        <f>"20190303162131970"</f>
        <v>20190303162131970</v>
      </c>
      <c r="B9405" t="str">
        <f>"1551601291961731"</f>
        <v>1551601291961731</v>
      </c>
      <c r="C9405" t="s">
        <v>40</v>
      </c>
      <c r="D9405">
        <v>4.7383040000000003</v>
      </c>
      <c r="E9405">
        <v>0.3863414</v>
      </c>
      <c r="F9405" t="s">
        <v>42</v>
      </c>
      <c r="G9405">
        <v>-220.8775</v>
      </c>
      <c r="H9405">
        <v>1.042748</v>
      </c>
      <c r="I9405">
        <v>-62.404269999999997</v>
      </c>
      <c r="J9405">
        <v>-221.5453</v>
      </c>
      <c r="K9405">
        <v>1.1214189999999999</v>
      </c>
      <c r="L9405">
        <v>-62.827030000000001</v>
      </c>
      <c r="M9405">
        <v>0.99971469999999996</v>
      </c>
      <c r="N9405">
        <v>-1.1136190000000001E-2</v>
      </c>
      <c r="O9405">
        <v>-2.113319E-2</v>
      </c>
      <c r="P9405">
        <v>0.9666013</v>
      </c>
      <c r="Q9405">
        <v>0.14299049999999999</v>
      </c>
      <c r="R9405">
        <v>0.2126873</v>
      </c>
      <c r="S9405">
        <v>2.8129119999999999</v>
      </c>
      <c r="T9405">
        <v>-0.28419860000000002</v>
      </c>
      <c r="U9405">
        <v>1.519196</v>
      </c>
      <c r="V9405">
        <v>-0.23310719999999999</v>
      </c>
      <c r="W9405">
        <v>0.1536352</v>
      </c>
      <c r="X9405">
        <v>0.96023809999999998</v>
      </c>
      <c r="Y9405">
        <v>-0.49142150000000001</v>
      </c>
      <c r="Z9405">
        <v>2.788494E-2</v>
      </c>
      <c r="AA9405">
        <v>0.87047540000000001</v>
      </c>
      <c r="AB9405">
        <v>28</v>
      </c>
      <c r="AC9405">
        <v>0.66779999999999895</v>
      </c>
      <c r="AD9405">
        <v>-7.8670999999999894E-2</v>
      </c>
      <c r="AE9405">
        <v>0.42276000000001002</v>
      </c>
      <c r="AF9405">
        <v>-0.43249419942434397</v>
      </c>
      <c r="AG9405">
        <v>-7.8670999999999894E-2</v>
      </c>
      <c r="AH9405">
        <v>0.65225373199812797</v>
      </c>
      <c r="AI9405">
        <v>95.740274890923899</v>
      </c>
      <c r="AJ9405">
        <v>123.54742753879</v>
      </c>
      <c r="AK9405">
        <v>0.78655914569865004</v>
      </c>
      <c r="AL9405">
        <v>81.162348869914297</v>
      </c>
      <c r="AM9405">
        <v>103.64515179729</v>
      </c>
      <c r="AN9405">
        <v>0.99999997503124405</v>
      </c>
    </row>
    <row r="9406" spans="1:40" x14ac:dyDescent="0.25">
      <c r="A9406" t="str">
        <f>"20190303162131980"</f>
        <v>20190303162131980</v>
      </c>
      <c r="B9406" t="str">
        <f>"1551601291972466"</f>
        <v>1551601291972466</v>
      </c>
      <c r="C9406" t="s">
        <v>40</v>
      </c>
      <c r="D9406">
        <v>4.7181749999999996</v>
      </c>
      <c r="E9406">
        <v>0.38624849999999999</v>
      </c>
      <c r="F9406" t="s">
        <v>42</v>
      </c>
      <c r="G9406">
        <v>-220.64019999999999</v>
      </c>
      <c r="H9406">
        <v>1.0295049999999999</v>
      </c>
      <c r="I9406">
        <v>-62.336829999999999</v>
      </c>
      <c r="J9406">
        <v>-221.4153</v>
      </c>
      <c r="K9406">
        <v>1.121429</v>
      </c>
      <c r="L9406">
        <v>-62.829680000000003</v>
      </c>
      <c r="M9406">
        <v>0.99971650000000001</v>
      </c>
      <c r="N9406">
        <v>-1.114979E-2</v>
      </c>
      <c r="O9406">
        <v>-2.104381E-2</v>
      </c>
      <c r="P9406">
        <v>0.96650930000000002</v>
      </c>
      <c r="Q9406">
        <v>0.1423865</v>
      </c>
      <c r="R9406">
        <v>0.21350849999999999</v>
      </c>
      <c r="S9406">
        <v>2.810791</v>
      </c>
      <c r="T9406">
        <v>-0.28547630000000002</v>
      </c>
      <c r="U9406">
        <v>1.5229189999999999</v>
      </c>
      <c r="V9406">
        <v>-0.23384440000000001</v>
      </c>
      <c r="W9406">
        <v>0.1530359</v>
      </c>
      <c r="X9406">
        <v>0.96015459999999997</v>
      </c>
      <c r="Y9406">
        <v>-0.49248429999999999</v>
      </c>
      <c r="Z9406">
        <v>2.806059E-2</v>
      </c>
      <c r="AA9406">
        <v>0.8698688</v>
      </c>
      <c r="AB9406">
        <v>28</v>
      </c>
      <c r="AC9406">
        <v>0.775100000000009</v>
      </c>
      <c r="AD9406">
        <v>-9.1924000000000103E-2</v>
      </c>
      <c r="AE9406">
        <v>0.49284999999999701</v>
      </c>
      <c r="AF9406">
        <v>-0.50400497467871197</v>
      </c>
      <c r="AG9406">
        <v>-9.1924000000000103E-2</v>
      </c>
      <c r="AH9406">
        <v>0.75697465174018397</v>
      </c>
      <c r="AI9406">
        <v>95.771887909484803</v>
      </c>
      <c r="AJ9406">
        <v>123.65626636728</v>
      </c>
      <c r="AK9406">
        <v>0.91404685856583001</v>
      </c>
      <c r="AL9406">
        <v>81.197097584671695</v>
      </c>
      <c r="AM9406">
        <v>103.687829431444</v>
      </c>
      <c r="AN9406">
        <v>1.00000002300066</v>
      </c>
    </row>
    <row r="9407" spans="1:40" x14ac:dyDescent="0.25">
      <c r="A9407" t="str">
        <f>"20190303162131991"</f>
        <v>20190303162131991</v>
      </c>
      <c r="B9407" t="str">
        <f>"1551601291982226"</f>
        <v>1551601291982226</v>
      </c>
      <c r="C9407" t="s">
        <v>40</v>
      </c>
      <c r="D9407">
        <v>4.7473000000000001</v>
      </c>
      <c r="E9407">
        <v>0.38619049999999999</v>
      </c>
      <c r="F9407" t="s">
        <v>42</v>
      </c>
      <c r="G9407">
        <v>-220.6276</v>
      </c>
      <c r="H9407">
        <v>1.040575</v>
      </c>
      <c r="I9407">
        <v>-62.402119999999996</v>
      </c>
      <c r="J9407">
        <v>-221.2808</v>
      </c>
      <c r="K9407">
        <v>1.121442</v>
      </c>
      <c r="L9407">
        <v>-62.8324</v>
      </c>
      <c r="M9407">
        <v>0.99971840000000001</v>
      </c>
      <c r="N9407">
        <v>-1.116431E-2</v>
      </c>
      <c r="O9407">
        <v>-2.0939269999999999E-2</v>
      </c>
      <c r="P9407">
        <v>0.96636759999999999</v>
      </c>
      <c r="Q9407">
        <v>0.14191790000000001</v>
      </c>
      <c r="R9407">
        <v>0.2144596</v>
      </c>
      <c r="S9407">
        <v>2.8094329999999998</v>
      </c>
      <c r="T9407">
        <v>-0.288406</v>
      </c>
      <c r="U9407">
        <v>1.525574</v>
      </c>
      <c r="V9407">
        <v>-0.2346973</v>
      </c>
      <c r="W9407">
        <v>0.15257129999999999</v>
      </c>
      <c r="X9407">
        <v>0.9600204</v>
      </c>
      <c r="Y9407">
        <v>-0.49315599999999998</v>
      </c>
      <c r="Z9407">
        <v>2.835675E-2</v>
      </c>
      <c r="AA9407">
        <v>0.86947859999999999</v>
      </c>
      <c r="AB9407">
        <v>28</v>
      </c>
      <c r="AC9407">
        <v>0.653199999999998</v>
      </c>
      <c r="AD9407">
        <v>-8.0866999999999994E-2</v>
      </c>
      <c r="AE9407">
        <v>0.43028000000000299</v>
      </c>
      <c r="AF9407">
        <v>-0.43916987345837299</v>
      </c>
      <c r="AG9407">
        <v>-8.0866999999999994E-2</v>
      </c>
      <c r="AH9407">
        <v>0.63723523422934203</v>
      </c>
      <c r="AI9407">
        <v>95.965261965690104</v>
      </c>
      <c r="AJ9407">
        <v>124.573840292626</v>
      </c>
      <c r="AK9407">
        <v>0.77812492132418398</v>
      </c>
      <c r="AL9407">
        <v>81.224033287569796</v>
      </c>
      <c r="AM9407">
        <v>103.737712633293</v>
      </c>
      <c r="AN9407">
        <v>0.99999999631356995</v>
      </c>
    </row>
    <row r="9408" spans="1:40" x14ac:dyDescent="0.25">
      <c r="A9408" t="str">
        <f>"20190303162132002"</f>
        <v>20190303162132002</v>
      </c>
      <c r="B9408" t="str">
        <f>"1551601291991986"</f>
        <v>1551601291991986</v>
      </c>
      <c r="C9408" t="s">
        <v>40</v>
      </c>
      <c r="D9408">
        <v>4.8030629999999999</v>
      </c>
      <c r="E9408">
        <v>0.38619979999999998</v>
      </c>
      <c r="F9408" t="s">
        <v>42</v>
      </c>
      <c r="G9408">
        <v>-220.38800000000001</v>
      </c>
      <c r="H9408">
        <v>1.029231</v>
      </c>
      <c r="I9408">
        <v>-62.346209999999999</v>
      </c>
      <c r="J9408">
        <v>-221.13759999999999</v>
      </c>
      <c r="K9408">
        <v>1.121453</v>
      </c>
      <c r="L9408">
        <v>-62.835270000000001</v>
      </c>
      <c r="M9408">
        <v>0.99972079999999997</v>
      </c>
      <c r="N9408">
        <v>-1.11801E-2</v>
      </c>
      <c r="O9408">
        <v>-2.0819219999999999E-2</v>
      </c>
      <c r="P9408">
        <v>0.96628119999999995</v>
      </c>
      <c r="Q9408">
        <v>0.14141599999999999</v>
      </c>
      <c r="R9408">
        <v>0.2151797</v>
      </c>
      <c r="S9408">
        <v>2.8077239999999999</v>
      </c>
      <c r="T9408">
        <v>-0.28997020000000001</v>
      </c>
      <c r="U9408">
        <v>1.5288090000000001</v>
      </c>
      <c r="V9408">
        <v>-0.23530599999999999</v>
      </c>
      <c r="W9408">
        <v>0.15207409999999999</v>
      </c>
      <c r="X9408">
        <v>0.95995030000000003</v>
      </c>
      <c r="Y9408">
        <v>-0.49401729999999999</v>
      </c>
      <c r="Z9408">
        <v>2.8543470000000001E-2</v>
      </c>
      <c r="AA9408">
        <v>0.86898339999999996</v>
      </c>
      <c r="AB9408">
        <v>28</v>
      </c>
      <c r="AC9408">
        <v>0.74959999999998606</v>
      </c>
      <c r="AD9408">
        <v>-9.2221999999999998E-2</v>
      </c>
      <c r="AE9408">
        <v>0.489059999999994</v>
      </c>
      <c r="AF9408">
        <v>-0.49926050364375701</v>
      </c>
      <c r="AG9408">
        <v>-9.2221999999999998E-2</v>
      </c>
      <c r="AH9408">
        <v>0.73148895984283901</v>
      </c>
      <c r="AI9408">
        <v>95.9448836287944</v>
      </c>
      <c r="AJ9408">
        <v>124.31456720888301</v>
      </c>
      <c r="AK9408">
        <v>0.89041678227365895</v>
      </c>
      <c r="AL9408">
        <v>81.252857238317105</v>
      </c>
      <c r="AM9408">
        <v>103.77295458961299</v>
      </c>
      <c r="AN9408">
        <v>1.00000001199845</v>
      </c>
    </row>
    <row r="9409" spans="1:40" x14ac:dyDescent="0.25">
      <c r="A9409" t="str">
        <f>"20190303162132014"</f>
        <v>20190303162132014</v>
      </c>
      <c r="B9409" t="str">
        <f>"1551601292012482"</f>
        <v>1551601292012482</v>
      </c>
      <c r="C9409" t="s">
        <v>40</v>
      </c>
      <c r="D9409">
        <v>4.7815000000000003</v>
      </c>
      <c r="E9409">
        <v>0.38611390000000001</v>
      </c>
      <c r="F9409" t="s">
        <v>42</v>
      </c>
      <c r="G9409">
        <v>-220.37389999999999</v>
      </c>
      <c r="H9409">
        <v>1.041922</v>
      </c>
      <c r="I9409">
        <v>-62.418750000000003</v>
      </c>
      <c r="J9409">
        <v>-220.99289999999999</v>
      </c>
      <c r="K9409">
        <v>1.121472</v>
      </c>
      <c r="L9409">
        <v>-62.83813</v>
      </c>
      <c r="M9409">
        <v>0.99972369999999999</v>
      </c>
      <c r="N9409">
        <v>-1.1195989999999999E-2</v>
      </c>
      <c r="O9409">
        <v>-2.0677669999999999E-2</v>
      </c>
      <c r="P9409">
        <v>0.96609860000000003</v>
      </c>
      <c r="Q9409">
        <v>0.14123479999999999</v>
      </c>
      <c r="R9409">
        <v>0.21611669999999999</v>
      </c>
      <c r="S9409">
        <v>2.8065950000000002</v>
      </c>
      <c r="T9409">
        <v>-0.29227959999999997</v>
      </c>
      <c r="U9409">
        <v>1.5306090000000001</v>
      </c>
      <c r="V9409">
        <v>-0.2361095</v>
      </c>
      <c r="W9409">
        <v>0.151895</v>
      </c>
      <c r="X9409">
        <v>0.95978129999999995</v>
      </c>
      <c r="Y9409">
        <v>-0.49443239999999999</v>
      </c>
      <c r="Z9409">
        <v>2.8768459999999999E-2</v>
      </c>
      <c r="AA9409">
        <v>0.86873979999999995</v>
      </c>
      <c r="AB9409">
        <v>28</v>
      </c>
      <c r="AC9409">
        <v>0.618999999999999</v>
      </c>
      <c r="AD9409">
        <v>-7.9549999999999996E-2</v>
      </c>
      <c r="AE9409">
        <v>0.41938000000000297</v>
      </c>
      <c r="AF9409">
        <v>-0.42725418762183698</v>
      </c>
      <c r="AG9409">
        <v>-7.9549999999999996E-2</v>
      </c>
      <c r="AH9409">
        <v>0.60336534657070295</v>
      </c>
      <c r="AI9409">
        <v>96.1413235159701</v>
      </c>
      <c r="AJ9409">
        <v>125.30301755043099</v>
      </c>
      <c r="AK9409">
        <v>0.74358865294111398</v>
      </c>
      <c r="AL9409">
        <v>81.263239114586796</v>
      </c>
      <c r="AM9409">
        <v>103.820525295922</v>
      </c>
      <c r="AN9409">
        <v>0.99999996542246905</v>
      </c>
    </row>
    <row r="9410" spans="1:40" x14ac:dyDescent="0.25">
      <c r="A9410" t="str">
        <f>"20190303162132025"</f>
        <v>20190303162132025</v>
      </c>
      <c r="B9410" t="str">
        <f>"1551601292022242"</f>
        <v>1551601292022242</v>
      </c>
      <c r="C9410" t="s">
        <v>40</v>
      </c>
      <c r="D9410">
        <v>4.7772899999999998</v>
      </c>
      <c r="E9410">
        <v>0.38609919999999998</v>
      </c>
      <c r="F9410" t="s">
        <v>42</v>
      </c>
      <c r="G9410">
        <v>-220.13319999999999</v>
      </c>
      <c r="H9410">
        <v>1.031509</v>
      </c>
      <c r="I9410">
        <v>-62.36815</v>
      </c>
      <c r="J9410">
        <v>-220.8537</v>
      </c>
      <c r="K9410">
        <v>1.121494</v>
      </c>
      <c r="L9410">
        <v>-62.840879999999999</v>
      </c>
      <c r="M9410">
        <v>0.99972629999999996</v>
      </c>
      <c r="N9410">
        <v>-1.121129E-2</v>
      </c>
      <c r="O9410">
        <v>-2.0535769999999998E-2</v>
      </c>
      <c r="P9410">
        <v>0.96590889999999996</v>
      </c>
      <c r="Q9410">
        <v>0.14124700000000001</v>
      </c>
      <c r="R9410">
        <v>0.21695449999999999</v>
      </c>
      <c r="S9410">
        <v>2.8051149999999998</v>
      </c>
      <c r="T9410">
        <v>-0.29353390000000001</v>
      </c>
      <c r="U9410">
        <v>1.5336299999999901</v>
      </c>
      <c r="V9410">
        <v>-0.2368142</v>
      </c>
      <c r="W9410">
        <v>0.1519086</v>
      </c>
      <c r="X9410">
        <v>0.95960559999999995</v>
      </c>
      <c r="Y9410">
        <v>-0.49519849999999999</v>
      </c>
      <c r="Z9410">
        <v>2.8919690000000001E-2</v>
      </c>
      <c r="AA9410">
        <v>0.86829840000000003</v>
      </c>
      <c r="AB9410">
        <v>28</v>
      </c>
      <c r="AC9410">
        <v>0.72050000000001502</v>
      </c>
      <c r="AD9410">
        <v>-8.9984999999999898E-2</v>
      </c>
      <c r="AE9410">
        <v>0.47273000000000498</v>
      </c>
      <c r="AF9410">
        <v>-0.48216963498007298</v>
      </c>
      <c r="AG9410">
        <v>-8.9984999999999898E-2</v>
      </c>
      <c r="AH9410">
        <v>0.70297427197059104</v>
      </c>
      <c r="AI9410">
        <v>96.025895679913802</v>
      </c>
      <c r="AJ9410">
        <v>124.446203032884</v>
      </c>
      <c r="AK9410">
        <v>0.85718007686506603</v>
      </c>
      <c r="AL9410">
        <v>81.262451468903905</v>
      </c>
      <c r="AM9410">
        <v>103.862626074397</v>
      </c>
      <c r="AN9410">
        <v>1.0000000478134701</v>
      </c>
    </row>
    <row r="9411" spans="1:40" x14ac:dyDescent="0.25">
      <c r="A9411" t="str">
        <f>"20190303162132036"</f>
        <v>20190303162132036</v>
      </c>
      <c r="B9411" t="str">
        <f>"1551601292032459"</f>
        <v>1551601292032459</v>
      </c>
      <c r="C9411" t="s">
        <v>40</v>
      </c>
      <c r="D9411">
        <v>4.7686349999999997</v>
      </c>
      <c r="E9411">
        <v>0.38602819999999999</v>
      </c>
      <c r="F9411" t="s">
        <v>42</v>
      </c>
      <c r="G9411">
        <v>-219.893</v>
      </c>
      <c r="H9411">
        <v>1.0210809999999999</v>
      </c>
      <c r="I9411">
        <v>-62.314630000000001</v>
      </c>
      <c r="J9411">
        <v>-220.71029999999999</v>
      </c>
      <c r="K9411">
        <v>1.121526</v>
      </c>
      <c r="L9411">
        <v>-62.84366</v>
      </c>
      <c r="M9411">
        <v>0.9997298</v>
      </c>
      <c r="N9411">
        <v>-1.122839E-2</v>
      </c>
      <c r="O9411">
        <v>-2.0358520000000001E-2</v>
      </c>
      <c r="P9411">
        <v>0.96562720000000002</v>
      </c>
      <c r="Q9411">
        <v>0.14168220000000001</v>
      </c>
      <c r="R9411">
        <v>0.2179228</v>
      </c>
      <c r="S9411">
        <v>2.8037869999999998</v>
      </c>
      <c r="T9411">
        <v>-0.29304950000000002</v>
      </c>
      <c r="U9411">
        <v>1.5357970000000001</v>
      </c>
      <c r="V9411">
        <v>-0.2376153</v>
      </c>
      <c r="W9411">
        <v>0.15234220000000001</v>
      </c>
      <c r="X9411">
        <v>0.95933869999999999</v>
      </c>
      <c r="Y9411">
        <v>-0.49573820000000002</v>
      </c>
      <c r="Z9411">
        <v>2.890189E-2</v>
      </c>
      <c r="AA9411">
        <v>0.86799090000000001</v>
      </c>
      <c r="AB9411">
        <v>28</v>
      </c>
      <c r="AC9411">
        <v>0.81729999999998804</v>
      </c>
      <c r="AD9411">
        <v>-0.10044500000000001</v>
      </c>
      <c r="AE9411">
        <v>0.52902999999999101</v>
      </c>
      <c r="AF9411">
        <v>-0.539814473147323</v>
      </c>
      <c r="AG9411">
        <v>-0.10044500000000001</v>
      </c>
      <c r="AH9411">
        <v>0.797866927287046</v>
      </c>
      <c r="AI9411">
        <v>95.952679143338997</v>
      </c>
      <c r="AJ9411">
        <v>124.08118386634099</v>
      </c>
      <c r="AK9411">
        <v>0.96854555757733796</v>
      </c>
      <c r="AL9411">
        <v>81.237314682709993</v>
      </c>
      <c r="AM9411">
        <v>103.911422312073</v>
      </c>
      <c r="AN9411">
        <v>0.999999959006309</v>
      </c>
    </row>
    <row r="9412" spans="1:40" x14ac:dyDescent="0.25">
      <c r="A9412" t="str">
        <f>"20190303162132048"</f>
        <v>20190303162132048</v>
      </c>
      <c r="B9412" t="str">
        <f>"1551601292042219"</f>
        <v>1551601292042219</v>
      </c>
      <c r="C9412" t="s">
        <v>40</v>
      </c>
      <c r="D9412">
        <v>4.7639999999999896</v>
      </c>
      <c r="E9412">
        <v>0.38595439999999998</v>
      </c>
      <c r="F9412" t="s">
        <v>42</v>
      </c>
      <c r="G9412">
        <v>-219.87899999999999</v>
      </c>
      <c r="H9412">
        <v>1.03512</v>
      </c>
      <c r="I9412">
        <v>-62.387090000000001</v>
      </c>
      <c r="J9412">
        <v>-220.57060000000001</v>
      </c>
      <c r="K9412">
        <v>1.1215569999999999</v>
      </c>
      <c r="L9412">
        <v>-62.846339999999998</v>
      </c>
      <c r="M9412">
        <v>0.99973330000000005</v>
      </c>
      <c r="N9412">
        <v>-1.124532E-2</v>
      </c>
      <c r="O9412">
        <v>-2.0176840000000001E-2</v>
      </c>
      <c r="P9412">
        <v>0.96527719999999995</v>
      </c>
      <c r="Q9412">
        <v>0.14229140000000001</v>
      </c>
      <c r="R9412">
        <v>0.21907409999999999</v>
      </c>
      <c r="S9412">
        <v>2.8022</v>
      </c>
      <c r="T9412">
        <v>-0.29125570000000001</v>
      </c>
      <c r="U9412">
        <v>1.53894</v>
      </c>
      <c r="V9412">
        <v>-0.23859430000000001</v>
      </c>
      <c r="W9412">
        <v>0.15294869999999999</v>
      </c>
      <c r="X9412">
        <v>0.95899920000000005</v>
      </c>
      <c r="Y9412">
        <v>-0.49655939999999998</v>
      </c>
      <c r="Z9412">
        <v>2.8782869999999999E-2</v>
      </c>
      <c r="AA9412">
        <v>0.8675254</v>
      </c>
      <c r="AB9412">
        <v>28</v>
      </c>
      <c r="AC9412">
        <v>0.691599999999994</v>
      </c>
      <c r="AD9412">
        <v>-8.6436999999999806E-2</v>
      </c>
      <c r="AE9412">
        <v>0.45925000000000399</v>
      </c>
      <c r="AF9412">
        <v>-0.46803801400448097</v>
      </c>
      <c r="AG9412">
        <v>-8.6436999999999806E-2</v>
      </c>
      <c r="AH9412">
        <v>0.67487653685488103</v>
      </c>
      <c r="AI9412">
        <v>96.007997117320997</v>
      </c>
      <c r="AJ9412">
        <v>124.741946537754</v>
      </c>
      <c r="AK9412">
        <v>0.82582642093813896</v>
      </c>
      <c r="AL9412">
        <v>81.202153137747601</v>
      </c>
      <c r="AM9412">
        <v>103.971250202878</v>
      </c>
      <c r="AN9412">
        <v>1.0000000052124101</v>
      </c>
    </row>
    <row r="9413" spans="1:40" x14ac:dyDescent="0.25">
      <c r="A9413" t="str">
        <f>"20190303162132058"</f>
        <v>20190303162132058</v>
      </c>
      <c r="B9413" t="str">
        <f>"1551601292051978"</f>
        <v>1551601292051978</v>
      </c>
      <c r="C9413" t="s">
        <v>40</v>
      </c>
      <c r="D9413">
        <v>4.769183</v>
      </c>
      <c r="E9413">
        <v>0.38587349999999998</v>
      </c>
      <c r="F9413" t="s">
        <v>42</v>
      </c>
      <c r="G9413">
        <v>-219.6388</v>
      </c>
      <c r="H9413">
        <v>1.0254970000000001</v>
      </c>
      <c r="I9413">
        <v>-62.333100000000002</v>
      </c>
      <c r="J9413">
        <v>-220.4307</v>
      </c>
      <c r="K9413">
        <v>1.1215919999999999</v>
      </c>
      <c r="L9413">
        <v>-62.848939999999999</v>
      </c>
      <c r="M9413">
        <v>0.99973710000000005</v>
      </c>
      <c r="N9413">
        <v>-1.126306E-2</v>
      </c>
      <c r="O9413">
        <v>-1.996962E-2</v>
      </c>
      <c r="P9413">
        <v>0.96492239999999996</v>
      </c>
      <c r="Q9413">
        <v>0.1431135</v>
      </c>
      <c r="R9413">
        <v>0.2200976</v>
      </c>
      <c r="S9413">
        <v>2.8003230000000001</v>
      </c>
      <c r="T9413">
        <v>-0.28870869999999998</v>
      </c>
      <c r="U9413">
        <v>1.542816</v>
      </c>
      <c r="V9413">
        <v>-0.23942269999999999</v>
      </c>
      <c r="W9413">
        <v>0.15376719999999999</v>
      </c>
      <c r="X9413">
        <v>0.95866180000000001</v>
      </c>
      <c r="Y9413">
        <v>-0.49758039999999998</v>
      </c>
      <c r="Z9413">
        <v>2.860627E-2</v>
      </c>
      <c r="AA9413">
        <v>0.866945999999999</v>
      </c>
      <c r="AB9413">
        <v>28</v>
      </c>
      <c r="AC9413">
        <v>0.79189999999999805</v>
      </c>
      <c r="AD9413">
        <v>-9.6095E-2</v>
      </c>
      <c r="AE9413">
        <v>0.51583999999999697</v>
      </c>
      <c r="AF9413">
        <v>-0.52611288691048497</v>
      </c>
      <c r="AG9413">
        <v>-9.6095E-2</v>
      </c>
      <c r="AH9413">
        <v>0.77344408532308595</v>
      </c>
      <c r="AI9413">
        <v>95.865377657497504</v>
      </c>
      <c r="AJ9413">
        <v>124.22435873666601</v>
      </c>
      <c r="AK9413">
        <v>0.94034290124376996</v>
      </c>
      <c r="AL9413">
        <v>81.154695224061001</v>
      </c>
      <c r="AM9413">
        <v>104.022587786453</v>
      </c>
      <c r="AN9413">
        <v>1.0000000139251799</v>
      </c>
    </row>
    <row r="9414" spans="1:40" x14ac:dyDescent="0.25">
      <c r="A9414" t="str">
        <f>"20190303162132070"</f>
        <v>20190303162132070</v>
      </c>
      <c r="B9414" t="str">
        <f>"1551601292061739"</f>
        <v>1551601292061739</v>
      </c>
      <c r="C9414" t="s">
        <v>40</v>
      </c>
      <c r="D9414">
        <v>4.7785780000000004</v>
      </c>
      <c r="E9414">
        <v>0.38580920000000002</v>
      </c>
      <c r="F9414" t="s">
        <v>42</v>
      </c>
      <c r="G9414">
        <v>-219.6251</v>
      </c>
      <c r="H9414">
        <v>1.0395099999999999</v>
      </c>
      <c r="I9414">
        <v>-62.403779999999998</v>
      </c>
      <c r="J9414">
        <v>-220.28980000000001</v>
      </c>
      <c r="K9414">
        <v>1.121634</v>
      </c>
      <c r="L9414">
        <v>-62.851529999999997</v>
      </c>
      <c r="M9414">
        <v>0.99974169999999996</v>
      </c>
      <c r="N9414">
        <v>-1.1281050000000001E-2</v>
      </c>
      <c r="O9414">
        <v>-1.9740779999999999E-2</v>
      </c>
      <c r="P9414">
        <v>0.96454119999999999</v>
      </c>
      <c r="Q9414">
        <v>0.143708</v>
      </c>
      <c r="R9414">
        <v>0.22137850000000001</v>
      </c>
      <c r="S9414">
        <v>2.7985530000000001</v>
      </c>
      <c r="T9414">
        <v>-0.28514270000000003</v>
      </c>
      <c r="U9414">
        <v>1.5467219999999999</v>
      </c>
      <c r="V9414">
        <v>-0.2404886</v>
      </c>
      <c r="W9414">
        <v>0.1543552</v>
      </c>
      <c r="X9414">
        <v>0.95830040000000005</v>
      </c>
      <c r="Y9414">
        <v>-0.4985909</v>
      </c>
      <c r="Z9414">
        <v>2.8334850000000002E-2</v>
      </c>
      <c r="AA9414">
        <v>0.86637419999999998</v>
      </c>
      <c r="AB9414">
        <v>28</v>
      </c>
      <c r="AC9414">
        <v>0.66470000000000995</v>
      </c>
      <c r="AD9414">
        <v>-8.2124000000000003E-2</v>
      </c>
      <c r="AE9414">
        <v>0.44774999999999898</v>
      </c>
      <c r="AF9414">
        <v>-0.45599719771346098</v>
      </c>
      <c r="AG9414">
        <v>-8.2124000000000003E-2</v>
      </c>
      <c r="AH9414">
        <v>0.64891719115484503</v>
      </c>
      <c r="AI9414">
        <v>95.911709823149195</v>
      </c>
      <c r="AJ9414">
        <v>125.095895616344</v>
      </c>
      <c r="AK9414">
        <v>0.79735269277454801</v>
      </c>
      <c r="AL9414">
        <v>81.120597888803502</v>
      </c>
      <c r="AM9414">
        <v>104.08763636034401</v>
      </c>
      <c r="AN9414">
        <v>0.999999975568579</v>
      </c>
    </row>
    <row r="9415" spans="1:40" x14ac:dyDescent="0.25">
      <c r="A9415" t="str">
        <f>"20190303162132083"</f>
        <v>20190303162132083</v>
      </c>
      <c r="B9415" t="str">
        <f>"1551601292072475"</f>
        <v>1551601292072475</v>
      </c>
      <c r="C9415" t="s">
        <v>40</v>
      </c>
      <c r="D9415">
        <v>4.7695230000000004</v>
      </c>
      <c r="E9415">
        <v>0.38571080000000002</v>
      </c>
      <c r="F9415" t="s">
        <v>42</v>
      </c>
      <c r="G9415">
        <v>-219.38499999999999</v>
      </c>
      <c r="H9415">
        <v>1.0303580000000001</v>
      </c>
      <c r="I9415">
        <v>-62.349559999999997</v>
      </c>
      <c r="J9415">
        <v>-220.1337</v>
      </c>
      <c r="K9415">
        <v>1.121677</v>
      </c>
      <c r="L9415">
        <v>-62.854370000000003</v>
      </c>
      <c r="M9415">
        <v>0.99974689999999999</v>
      </c>
      <c r="N9415">
        <v>-1.130108E-2</v>
      </c>
      <c r="O9415">
        <v>-1.946084E-2</v>
      </c>
      <c r="P9415">
        <v>0.96410370000000001</v>
      </c>
      <c r="Q9415">
        <v>0.1446547</v>
      </c>
      <c r="R9415">
        <v>0.22266420000000001</v>
      </c>
      <c r="S9415">
        <v>2.796249</v>
      </c>
      <c r="T9415">
        <v>-0.28208610000000001</v>
      </c>
      <c r="U9415">
        <v>1.5514220000000001</v>
      </c>
      <c r="V9415">
        <v>-0.24151230000000001</v>
      </c>
      <c r="W9415">
        <v>0.15529219999999999</v>
      </c>
      <c r="X9415">
        <v>0.95789150000000001</v>
      </c>
      <c r="Y9415">
        <v>-0.4998049</v>
      </c>
      <c r="Z9415">
        <v>2.8118000000000001E-2</v>
      </c>
      <c r="AA9415">
        <v>0.86568149999999999</v>
      </c>
      <c r="AB9415">
        <v>28</v>
      </c>
      <c r="AC9415">
        <v>0.74870000000001302</v>
      </c>
      <c r="AD9415">
        <v>-9.1319000000000095E-2</v>
      </c>
      <c r="AE9415">
        <v>0.50480999999999898</v>
      </c>
      <c r="AF9415">
        <v>-0.51402853806040005</v>
      </c>
      <c r="AG9415">
        <v>-9.1319000000000095E-2</v>
      </c>
      <c r="AH9415">
        <v>0.73125480113255903</v>
      </c>
      <c r="AI9415">
        <v>95.833340896812601</v>
      </c>
      <c r="AJ9415">
        <v>125.104932645684</v>
      </c>
      <c r="AK9415">
        <v>0.89849768050948897</v>
      </c>
      <c r="AL9415">
        <v>81.066256646547302</v>
      </c>
      <c r="AM9415">
        <v>104.15099725391801</v>
      </c>
      <c r="AN9415">
        <v>0.99999999210218904</v>
      </c>
    </row>
    <row r="9416" spans="1:40" x14ac:dyDescent="0.25">
      <c r="A9416" t="str">
        <f>"20190303162132095"</f>
        <v>20190303162132095</v>
      </c>
      <c r="B9416" t="str">
        <f>"1551601292082235"</f>
        <v>1551601292082235</v>
      </c>
      <c r="C9416" t="s">
        <v>40</v>
      </c>
      <c r="D9416">
        <v>4.7835609999999997</v>
      </c>
      <c r="E9416">
        <v>0.38563500000000001</v>
      </c>
      <c r="F9416" t="s">
        <v>42</v>
      </c>
      <c r="G9416">
        <v>-219.36949999999999</v>
      </c>
      <c r="H9416">
        <v>1.0456240000000001</v>
      </c>
      <c r="I9416">
        <v>-62.428780000000003</v>
      </c>
      <c r="J9416">
        <v>-219.9794</v>
      </c>
      <c r="K9416">
        <v>1.1217299999999999</v>
      </c>
      <c r="L9416">
        <v>-62.857030000000002</v>
      </c>
      <c r="M9416">
        <v>0.99975290000000006</v>
      </c>
      <c r="N9416">
        <v>-1.132027E-2</v>
      </c>
      <c r="O9416">
        <v>-1.9132039999999999E-2</v>
      </c>
      <c r="P9416">
        <v>0.96370180000000005</v>
      </c>
      <c r="Q9416">
        <v>0.14502970000000001</v>
      </c>
      <c r="R9416">
        <v>0.22415479999999999</v>
      </c>
      <c r="S9416">
        <v>2.794022</v>
      </c>
      <c r="T9416">
        <v>-0.27806160000000002</v>
      </c>
      <c r="U9416">
        <v>1.556152</v>
      </c>
      <c r="V9416">
        <v>-0.24269760000000001</v>
      </c>
      <c r="W9416">
        <v>0.1556525</v>
      </c>
      <c r="X9416">
        <v>0.95753339999999998</v>
      </c>
      <c r="Y9416">
        <v>-0.50098739999999997</v>
      </c>
      <c r="Z9416">
        <v>2.7807100000000001E-2</v>
      </c>
      <c r="AA9416">
        <v>0.86500779999999999</v>
      </c>
      <c r="AB9416">
        <v>28</v>
      </c>
      <c r="AC9416">
        <v>0.60990000000000999</v>
      </c>
      <c r="AD9416">
        <v>-7.6105999999999993E-2</v>
      </c>
      <c r="AE9416">
        <v>0.42824999999999802</v>
      </c>
      <c r="AF9416">
        <v>-0.43530114535015901</v>
      </c>
      <c r="AG9416">
        <v>-7.6105999999999993E-2</v>
      </c>
      <c r="AH9416">
        <v>0.59538514662431596</v>
      </c>
      <c r="AI9416">
        <v>95.891412902555402</v>
      </c>
      <c r="AJ9416">
        <v>126.171482457192</v>
      </c>
      <c r="AK9416">
        <v>0.74145983249264302</v>
      </c>
      <c r="AL9416">
        <v>81.045359107450096</v>
      </c>
      <c r="AM9416">
        <v>104.222739649377</v>
      </c>
      <c r="AN9416">
        <v>1.0000000189587801</v>
      </c>
    </row>
    <row r="9417" spans="1:40" x14ac:dyDescent="0.25">
      <c r="A9417" t="str">
        <f>"20190303162132108"</f>
        <v>20190303162132108</v>
      </c>
      <c r="B9417" t="str">
        <f>"1551601292101754"</f>
        <v>1551601292101754</v>
      </c>
      <c r="C9417" t="s">
        <v>40</v>
      </c>
      <c r="D9417">
        <v>4.8299070000000004</v>
      </c>
      <c r="E9417">
        <v>0.38547969999999998</v>
      </c>
      <c r="F9417" t="s">
        <v>42</v>
      </c>
      <c r="G9417">
        <v>-219.12809999999999</v>
      </c>
      <c r="H9417">
        <v>1.0376609999999999</v>
      </c>
      <c r="I9417">
        <v>-62.380940000000002</v>
      </c>
      <c r="J9417">
        <v>-219.81059999999999</v>
      </c>
      <c r="K9417">
        <v>1.1217950000000001</v>
      </c>
      <c r="L9417">
        <v>-62.85989</v>
      </c>
      <c r="M9417">
        <v>0.99976019999999999</v>
      </c>
      <c r="N9417">
        <v>-1.134136E-2</v>
      </c>
      <c r="O9417">
        <v>-1.8736599999999999E-2</v>
      </c>
      <c r="P9417">
        <v>0.96329739999999997</v>
      </c>
      <c r="Q9417">
        <v>0.14532030000000001</v>
      </c>
      <c r="R9417">
        <v>0.22569929999999999</v>
      </c>
      <c r="S9417">
        <v>2.79129</v>
      </c>
      <c r="T9417">
        <v>-0.27566610000000003</v>
      </c>
      <c r="U9417">
        <v>1.5615540000000001</v>
      </c>
      <c r="V9417">
        <v>-0.24387809999999999</v>
      </c>
      <c r="W9417">
        <v>0.155923799999999</v>
      </c>
      <c r="X9417">
        <v>0.95718930000000002</v>
      </c>
      <c r="Y9417">
        <v>-0.50231029999999999</v>
      </c>
      <c r="Z9417">
        <v>2.764637E-2</v>
      </c>
      <c r="AA9417">
        <v>0.86424539999999905</v>
      </c>
      <c r="AB9417">
        <v>28</v>
      </c>
      <c r="AC9417">
        <v>0.68250000000000399</v>
      </c>
      <c r="AD9417">
        <v>-8.4133999999999903E-2</v>
      </c>
      <c r="AE9417">
        <v>0.47894999999999699</v>
      </c>
      <c r="AF9417">
        <v>-0.48669888757831498</v>
      </c>
      <c r="AG9417">
        <v>-8.4133999999999903E-2</v>
      </c>
      <c r="AH9417">
        <v>0.66661818756459801</v>
      </c>
      <c r="AI9417">
        <v>95.820250608224498</v>
      </c>
      <c r="AJ9417">
        <v>126.13323489917801</v>
      </c>
      <c r="AK9417">
        <v>0.82965905353818603</v>
      </c>
      <c r="AL9417">
        <v>81.029622977052895</v>
      </c>
      <c r="AM9417">
        <v>104.294019855169</v>
      </c>
      <c r="AN9417">
        <v>1.0000000575502599</v>
      </c>
    </row>
    <row r="9418" spans="1:40" x14ac:dyDescent="0.25">
      <c r="A9418" t="str">
        <f>"20190303162132121"</f>
        <v>20190303162132121</v>
      </c>
      <c r="B9418" t="str">
        <f>"1551601292111515"</f>
        <v>1551601292111515</v>
      </c>
      <c r="C9418" t="s">
        <v>40</v>
      </c>
      <c r="D9418">
        <v>4.8105219999999997</v>
      </c>
      <c r="E9418">
        <v>0.38536579999999998</v>
      </c>
      <c r="F9418" t="s">
        <v>42</v>
      </c>
      <c r="G9418">
        <v>-218.88550000000001</v>
      </c>
      <c r="H9418">
        <v>1.0311189999999999</v>
      </c>
      <c r="I9418">
        <v>-62.339820000000003</v>
      </c>
      <c r="J9418">
        <v>-219.64510000000001</v>
      </c>
      <c r="K9418">
        <v>1.1218669999999999</v>
      </c>
      <c r="L9418">
        <v>-62.862549999999999</v>
      </c>
      <c r="M9418">
        <v>0.9997684</v>
      </c>
      <c r="N9418">
        <v>-1.136292E-2</v>
      </c>
      <c r="O9418">
        <v>-1.8283000000000001E-2</v>
      </c>
      <c r="P9418">
        <v>0.96292820000000001</v>
      </c>
      <c r="Q9418">
        <v>0.14527119999999999</v>
      </c>
      <c r="R9418">
        <v>0.22730139999999999</v>
      </c>
      <c r="S9418">
        <v>2.7882389999999999</v>
      </c>
      <c r="T9418">
        <v>-0.27330579999999999</v>
      </c>
      <c r="U9418">
        <v>1.5676570000000001</v>
      </c>
      <c r="V9418">
        <v>-0.2450638</v>
      </c>
      <c r="W9418">
        <v>0.15584990000000001</v>
      </c>
      <c r="X9418">
        <v>0.95689840000000004</v>
      </c>
      <c r="Y9418">
        <v>-0.50378789999999996</v>
      </c>
      <c r="Z9418">
        <v>2.7492889999999999E-2</v>
      </c>
      <c r="AA9418">
        <v>0.86338979999999999</v>
      </c>
      <c r="AB9418">
        <v>28</v>
      </c>
      <c r="AC9418">
        <v>0.75960000000000505</v>
      </c>
      <c r="AD9418">
        <v>-9.0747999999999801E-2</v>
      </c>
      <c r="AE9418">
        <v>0.52273000000000203</v>
      </c>
      <c r="AF9418">
        <v>-0.53138442127349295</v>
      </c>
      <c r="AG9418">
        <v>-9.0747999999999801E-2</v>
      </c>
      <c r="AH9418">
        <v>0.74272151552586896</v>
      </c>
      <c r="AI9418">
        <v>95.674819972100906</v>
      </c>
      <c r="AJ9418">
        <v>125.58204549064401</v>
      </c>
      <c r="AK9418">
        <v>0.91773626511172002</v>
      </c>
      <c r="AL9418">
        <v>81.0339090422775</v>
      </c>
      <c r="AM9418">
        <v>104.364832705838</v>
      </c>
      <c r="AN9418">
        <v>1.0000000026614999</v>
      </c>
    </row>
    <row r="9419" spans="1:40" x14ac:dyDescent="0.25">
      <c r="A9419" t="str">
        <f>"20190303162132133"</f>
        <v>20190303162132133</v>
      </c>
      <c r="B9419" t="str">
        <f>"1551601292122251"</f>
        <v>1551601292122251</v>
      </c>
      <c r="C9419" t="s">
        <v>40</v>
      </c>
      <c r="D9419">
        <v>4.8164020000000001</v>
      </c>
      <c r="E9419">
        <v>0.38527909999999999</v>
      </c>
      <c r="F9419" t="s">
        <v>42</v>
      </c>
      <c r="G9419">
        <v>-218.8689</v>
      </c>
      <c r="H9419">
        <v>1.0458559999999999</v>
      </c>
      <c r="I9419">
        <v>-62.424210000000002</v>
      </c>
      <c r="J9419">
        <v>-219.49690000000001</v>
      </c>
      <c r="K9419">
        <v>1.1219380000000001</v>
      </c>
      <c r="L9419">
        <v>-62.864780000000003</v>
      </c>
      <c r="M9419">
        <v>0.99977640000000001</v>
      </c>
      <c r="N9419">
        <v>-1.1382959999999999E-2</v>
      </c>
      <c r="O9419">
        <v>-1.7819990000000001E-2</v>
      </c>
      <c r="P9419">
        <v>0.96260389999999996</v>
      </c>
      <c r="Q9419">
        <v>0.1449675</v>
      </c>
      <c r="R9419">
        <v>0.22886239999999999</v>
      </c>
      <c r="S9419">
        <v>2.7852779999999999</v>
      </c>
      <c r="T9419">
        <v>-0.2727832</v>
      </c>
      <c r="U9419">
        <v>1.5732120000000001</v>
      </c>
      <c r="V9419">
        <v>-0.2462</v>
      </c>
      <c r="W9419">
        <v>0.15552060000000001</v>
      </c>
      <c r="X9419">
        <v>0.95666030000000002</v>
      </c>
      <c r="Y9419">
        <v>-0.50508799999999998</v>
      </c>
      <c r="Z9419">
        <v>2.7494009999999999E-2</v>
      </c>
      <c r="AA9419">
        <v>0.8626298</v>
      </c>
      <c r="AB9419">
        <v>28</v>
      </c>
      <c r="AC9419">
        <v>0.62800000000001399</v>
      </c>
      <c r="AD9419">
        <v>-7.60819999999999E-2</v>
      </c>
      <c r="AE9419">
        <v>0.44057000000000801</v>
      </c>
      <c r="AF9419">
        <v>-0.447292054118548</v>
      </c>
      <c r="AG9419">
        <v>-7.60819999999999E-2</v>
      </c>
      <c r="AH9419">
        <v>0.61400928222899198</v>
      </c>
      <c r="AI9419">
        <v>95.719283673263703</v>
      </c>
      <c r="AJ9419">
        <v>126.072502353573</v>
      </c>
      <c r="AK9419">
        <v>0.76345664648685396</v>
      </c>
      <c r="AL9419">
        <v>81.053009535183506</v>
      </c>
      <c r="AM9419">
        <v>104.43209990174</v>
      </c>
      <c r="AN9419">
        <v>1.00000001331022</v>
      </c>
    </row>
    <row r="9420" spans="1:40" x14ac:dyDescent="0.25">
      <c r="A9420" t="str">
        <f>"20190303162132145"</f>
        <v>20190303162132145</v>
      </c>
      <c r="B9420" t="str">
        <f>"1551601292131542"</f>
        <v>1551601292131542</v>
      </c>
      <c r="C9420" t="s">
        <v>40</v>
      </c>
      <c r="D9420">
        <v>4.8136159999999997</v>
      </c>
      <c r="E9420">
        <v>0.38522600000000001</v>
      </c>
      <c r="F9420" t="s">
        <v>42</v>
      </c>
      <c r="G9420">
        <v>-218.6284</v>
      </c>
      <c r="H9420">
        <v>1.03661</v>
      </c>
      <c r="I9420">
        <v>-62.372259999999997</v>
      </c>
      <c r="J9420">
        <v>-219.34950000000001</v>
      </c>
      <c r="K9420">
        <v>1.1220030000000001</v>
      </c>
      <c r="L9420">
        <v>-62.866970000000002</v>
      </c>
      <c r="M9420">
        <v>0.99978480000000003</v>
      </c>
      <c r="N9420">
        <v>-1.14032E-2</v>
      </c>
      <c r="O9420">
        <v>-1.7334909999999999E-2</v>
      </c>
      <c r="P9420">
        <v>0.96223049999999999</v>
      </c>
      <c r="Q9420">
        <v>0.14511199999999999</v>
      </c>
      <c r="R9420">
        <v>0.23033670000000001</v>
      </c>
      <c r="S9420">
        <v>2.7825009999999999</v>
      </c>
      <c r="T9420">
        <v>-0.27337840000000002</v>
      </c>
      <c r="U9420">
        <v>1.578217</v>
      </c>
      <c r="V9420">
        <v>-0.2472298</v>
      </c>
      <c r="W9420">
        <v>0.1556379</v>
      </c>
      <c r="X9420">
        <v>0.95637559999999999</v>
      </c>
      <c r="Y9420">
        <v>-0.50619879999999995</v>
      </c>
      <c r="Z9420">
        <v>2.7583670000000001E-2</v>
      </c>
      <c r="AA9420">
        <v>0.86197559999999995</v>
      </c>
      <c r="AB9420">
        <v>28</v>
      </c>
      <c r="AC9420">
        <v>0.72110000000000696</v>
      </c>
      <c r="AD9420">
        <v>-8.5392999999999997E-2</v>
      </c>
      <c r="AE9420">
        <v>0.49470999999999699</v>
      </c>
      <c r="AF9420">
        <v>-0.502346579469232</v>
      </c>
      <c r="AG9420">
        <v>-8.5392999999999997E-2</v>
      </c>
      <c r="AH9420">
        <v>0.70568630036906299</v>
      </c>
      <c r="AI9420">
        <v>95.630064644362903</v>
      </c>
      <c r="AJ9420">
        <v>125.445366532346</v>
      </c>
      <c r="AK9420">
        <v>0.87042357785276803</v>
      </c>
      <c r="AL9420">
        <v>81.046205857217799</v>
      </c>
      <c r="AM9420">
        <v>104.49406174693701</v>
      </c>
      <c r="AN9420">
        <v>1.0000000090998999</v>
      </c>
    </row>
    <row r="9421" spans="1:40" x14ac:dyDescent="0.25">
      <c r="A9421" t="str">
        <f>"20190303162132155"</f>
        <v>20190303162132155</v>
      </c>
      <c r="B9421" t="str">
        <f>"1551601292142278"</f>
        <v>1551601292142278</v>
      </c>
      <c r="C9421" t="s">
        <v>40</v>
      </c>
      <c r="D9421">
        <v>4.8303250000000002</v>
      </c>
      <c r="E9421">
        <v>0.3851734</v>
      </c>
      <c r="F9421" t="s">
        <v>42</v>
      </c>
      <c r="G9421">
        <v>-218.61349999999999</v>
      </c>
      <c r="H9421">
        <v>1.049876</v>
      </c>
      <c r="I9421">
        <v>-62.448009999999996</v>
      </c>
      <c r="J9421">
        <v>-219.21889999999999</v>
      </c>
      <c r="K9421">
        <v>1.122077</v>
      </c>
      <c r="L9421">
        <v>-62.868679999999998</v>
      </c>
      <c r="M9421">
        <v>0.9997935</v>
      </c>
      <c r="N9421">
        <v>-1.142137E-2</v>
      </c>
      <c r="O9421">
        <v>-1.6811650000000001E-2</v>
      </c>
      <c r="P9421">
        <v>0.96191210000000005</v>
      </c>
      <c r="Q9421">
        <v>0.14480860000000001</v>
      </c>
      <c r="R9421">
        <v>0.23185310000000001</v>
      </c>
      <c r="S9421">
        <v>2.7799070000000001</v>
      </c>
      <c r="T9421">
        <v>-0.27245269999999999</v>
      </c>
      <c r="U9421">
        <v>1.5829470000000001</v>
      </c>
      <c r="V9421">
        <v>-0.24826619999999999</v>
      </c>
      <c r="W9421">
        <v>0.15530350000000001</v>
      </c>
      <c r="X9421">
        <v>0.95616140000000005</v>
      </c>
      <c r="Y9421">
        <v>-0.50721039999999995</v>
      </c>
      <c r="Z9421">
        <v>2.7526869999999998E-2</v>
      </c>
      <c r="AA9421">
        <v>0.86138250000000005</v>
      </c>
      <c r="AB9421">
        <v>28</v>
      </c>
      <c r="AC9421">
        <v>0.60540000000000205</v>
      </c>
      <c r="AD9421">
        <v>-7.2200999999999904E-2</v>
      </c>
      <c r="AE9421">
        <v>0.42067000000000798</v>
      </c>
      <c r="AF9421">
        <v>-0.42669611014862202</v>
      </c>
      <c r="AG9421">
        <v>-7.2200999999999904E-2</v>
      </c>
      <c r="AH9421">
        <v>0.59255799941155896</v>
      </c>
      <c r="AI9421">
        <v>95.646945599090202</v>
      </c>
      <c r="AJ9421">
        <v>125.757348168411</v>
      </c>
      <c r="AK9421">
        <v>0.73376258931864002</v>
      </c>
      <c r="AL9421">
        <v>81.065600900692004</v>
      </c>
      <c r="AM9421">
        <v>104.555368682207</v>
      </c>
      <c r="AN9421">
        <v>0.99999995301232403</v>
      </c>
    </row>
    <row r="9422" spans="1:40" x14ac:dyDescent="0.25">
      <c r="A9422" t="str">
        <f>"20190303162132167"</f>
        <v>20190303162132167</v>
      </c>
      <c r="B9422" t="str">
        <f>"1551601292161799"</f>
        <v>1551601292161799</v>
      </c>
      <c r="C9422" t="s">
        <v>40</v>
      </c>
      <c r="D9422">
        <v>4.8209049999999998</v>
      </c>
      <c r="E9422">
        <v>0.385042</v>
      </c>
      <c r="F9422" t="s">
        <v>42</v>
      </c>
      <c r="G9422">
        <v>-218.375</v>
      </c>
      <c r="H9422">
        <v>1.0392980000000001</v>
      </c>
      <c r="I9422">
        <v>-62.386270000000003</v>
      </c>
      <c r="J9422">
        <v>-219.06360000000001</v>
      </c>
      <c r="K9422">
        <v>1.1221680000000001</v>
      </c>
      <c r="L9422">
        <v>-62.870669999999997</v>
      </c>
      <c r="M9422">
        <v>0.99980400000000003</v>
      </c>
      <c r="N9422">
        <v>-1.1442839999999999E-2</v>
      </c>
      <c r="O9422">
        <v>-1.61596E-2</v>
      </c>
      <c r="P9422">
        <v>0.96146640000000005</v>
      </c>
      <c r="Q9422">
        <v>0.1445833</v>
      </c>
      <c r="R9422">
        <v>0.2338334</v>
      </c>
      <c r="S9422">
        <v>2.7770999999999999</v>
      </c>
      <c r="T9422">
        <v>-0.27241349999999998</v>
      </c>
      <c r="U9422">
        <v>1.5877380000000001</v>
      </c>
      <c r="V9422">
        <v>-0.24964800000000001</v>
      </c>
      <c r="W9422">
        <v>0.1550378</v>
      </c>
      <c r="X9422">
        <v>0.95584480000000005</v>
      </c>
      <c r="Y9422">
        <v>-0.50814079999999995</v>
      </c>
      <c r="Z9422">
        <v>2.753767E-2</v>
      </c>
      <c r="AA9422">
        <v>0.86083369999999904</v>
      </c>
      <c r="AB9422">
        <v>28</v>
      </c>
      <c r="AC9422">
        <v>0.68860000000000798</v>
      </c>
      <c r="AD9422">
        <v>-8.2869999999999999E-2</v>
      </c>
      <c r="AE9422">
        <v>0.4844</v>
      </c>
      <c r="AF9422">
        <v>-0.49071065107696299</v>
      </c>
      <c r="AG9422">
        <v>-8.2869999999999999E-2</v>
      </c>
      <c r="AH9422">
        <v>0.67415025311674204</v>
      </c>
      <c r="AI9422">
        <v>95.675677436780703</v>
      </c>
      <c r="AJ9422">
        <v>126.05068878691399</v>
      </c>
      <c r="AK9422">
        <v>0.83793970174335597</v>
      </c>
      <c r="AL9422">
        <v>81.081012027226606</v>
      </c>
      <c r="AM9422">
        <v>104.63755156255699</v>
      </c>
      <c r="AN9422">
        <v>1.0000000625099299</v>
      </c>
    </row>
    <row r="9423" spans="1:40" x14ac:dyDescent="0.25">
      <c r="A9423" t="str">
        <f>"20190303162132181"</f>
        <v>20190303162132181</v>
      </c>
      <c r="B9423" t="str">
        <f>"1551601292171559"</f>
        <v>1551601292171559</v>
      </c>
      <c r="C9423" t="s">
        <v>40</v>
      </c>
      <c r="D9423">
        <v>4.8669859999999998</v>
      </c>
      <c r="E9423">
        <v>0.38497819999999999</v>
      </c>
      <c r="F9423" t="s">
        <v>42</v>
      </c>
      <c r="G9423">
        <v>-218.1343</v>
      </c>
      <c r="H9423">
        <v>1.0310760000000001</v>
      </c>
      <c r="I9423">
        <v>-62.336289999999998</v>
      </c>
      <c r="J9423">
        <v>-218.8861</v>
      </c>
      <c r="K9423">
        <v>1.1222799999999999</v>
      </c>
      <c r="L9423">
        <v>-62.872680000000003</v>
      </c>
      <c r="M9423">
        <v>0.99981730000000002</v>
      </c>
      <c r="N9423">
        <v>-1.1467069999999999E-2</v>
      </c>
      <c r="O9423">
        <v>-1.5293070000000001E-2</v>
      </c>
      <c r="P9423">
        <v>0.96054280000000003</v>
      </c>
      <c r="Q9423">
        <v>0.14428959999999999</v>
      </c>
      <c r="R9423">
        <v>0.23777760000000001</v>
      </c>
      <c r="S9423">
        <v>2.7732700000000001</v>
      </c>
      <c r="T9423">
        <v>-0.27184360000000002</v>
      </c>
      <c r="U9423">
        <v>1.594757</v>
      </c>
      <c r="V9423">
        <v>-0.2527913</v>
      </c>
      <c r="W9423">
        <v>0.15467979999999901</v>
      </c>
      <c r="X9423">
        <v>0.95507629999999999</v>
      </c>
      <c r="Y9423">
        <v>-0.50954849999999996</v>
      </c>
      <c r="Z9423">
        <v>2.7512789999999999E-2</v>
      </c>
      <c r="AA9423">
        <v>0.86000189999999999</v>
      </c>
      <c r="AB9423">
        <v>28</v>
      </c>
      <c r="AC9423">
        <v>0.75180000000000202</v>
      </c>
      <c r="AD9423">
        <v>-9.1203999999999799E-2</v>
      </c>
      <c r="AE9423">
        <v>0.53638999999999704</v>
      </c>
      <c r="AF9423">
        <v>-0.54253422562313902</v>
      </c>
      <c r="AG9423">
        <v>-9.1203999999999799E-2</v>
      </c>
      <c r="AH9423">
        <v>0.73632736733807502</v>
      </c>
      <c r="AI9423">
        <v>95.694618759940596</v>
      </c>
      <c r="AJ9423">
        <v>126.383202869226</v>
      </c>
      <c r="AK9423">
        <v>0.91915153673348104</v>
      </c>
      <c r="AL9423">
        <v>81.101773911505802</v>
      </c>
      <c r="AM9423">
        <v>104.825189700008</v>
      </c>
      <c r="AN9423">
        <v>1.00000001035271</v>
      </c>
    </row>
    <row r="9424" spans="1:40" x14ac:dyDescent="0.25">
      <c r="A9424" t="str">
        <f>"20190303162132194"</f>
        <v>20190303162132194</v>
      </c>
      <c r="B9424" t="str">
        <f>"1551601292182295"</f>
        <v>1551601292182295</v>
      </c>
      <c r="C9424" t="s">
        <v>40</v>
      </c>
      <c r="D9424">
        <v>4.9883350000000002</v>
      </c>
      <c r="E9424">
        <v>0.38497819999999999</v>
      </c>
      <c r="F9424" t="s">
        <v>42</v>
      </c>
      <c r="G9424">
        <v>-218.1165</v>
      </c>
      <c r="H9424">
        <v>1.0465869999999999</v>
      </c>
      <c r="I9424">
        <v>-62.425739999999998</v>
      </c>
      <c r="J9424">
        <v>-218.7328</v>
      </c>
      <c r="K9424">
        <v>1.122385</v>
      </c>
      <c r="L9424">
        <v>-62.874180000000003</v>
      </c>
      <c r="M9424">
        <v>0.99982979999999999</v>
      </c>
      <c r="N9424">
        <v>-1.1487549999999999E-2</v>
      </c>
      <c r="O9424">
        <v>-1.4448249999999999E-2</v>
      </c>
      <c r="P9424">
        <v>0.96007900000000002</v>
      </c>
      <c r="Q9424">
        <v>0.14359149999999901</v>
      </c>
      <c r="R9424">
        <v>0.240062</v>
      </c>
      <c r="S9424">
        <v>2.7663880000000001</v>
      </c>
      <c r="T9424">
        <v>-0.2720959</v>
      </c>
      <c r="U9424">
        <v>1.6066279999999999</v>
      </c>
      <c r="V9424">
        <v>-0.25429859999999999</v>
      </c>
      <c r="W9424">
        <v>0.15392879999999901</v>
      </c>
      <c r="X9424">
        <v>0.95479740000000002</v>
      </c>
      <c r="Y9424">
        <v>-0.51249049999999996</v>
      </c>
      <c r="Z9424">
        <v>2.7656989999999999E-2</v>
      </c>
      <c r="AA9424">
        <v>0.85824739999999999</v>
      </c>
      <c r="AB9424">
        <v>28</v>
      </c>
      <c r="AC9424">
        <v>0.61629999999999496</v>
      </c>
      <c r="AD9424">
        <v>-7.5797999999999796E-2</v>
      </c>
      <c r="AE9424">
        <v>0.44843999999999801</v>
      </c>
      <c r="AF9424">
        <v>-0.45281984150204202</v>
      </c>
      <c r="AG9424">
        <v>-7.5797999999999796E-2</v>
      </c>
      <c r="AH9424">
        <v>0.60378463445665298</v>
      </c>
      <c r="AI9424">
        <v>95.735098787422203</v>
      </c>
      <c r="AJ9424">
        <v>126.868765920584</v>
      </c>
      <c r="AK9424">
        <v>0.75851633500399196</v>
      </c>
      <c r="AL9424">
        <v>81.145324221780697</v>
      </c>
      <c r="AM9424">
        <v>104.913821848834</v>
      </c>
      <c r="AN9424">
        <v>0.999999964239079</v>
      </c>
    </row>
    <row r="9425" spans="1:40" x14ac:dyDescent="0.25">
      <c r="A9425" t="str">
        <f>"20190303162132204"</f>
        <v>20190303162132204</v>
      </c>
      <c r="B9425" t="str">
        <f>"1551601292192054"</f>
        <v>1551601292192054</v>
      </c>
      <c r="C9425" t="s">
        <v>40</v>
      </c>
      <c r="D9425">
        <v>4.907311</v>
      </c>
      <c r="E9425">
        <v>0.38490039999999998</v>
      </c>
      <c r="F9425" t="s">
        <v>42</v>
      </c>
      <c r="G9425">
        <v>-217.87620000000001</v>
      </c>
      <c r="H9425">
        <v>1.037304</v>
      </c>
      <c r="I9425">
        <v>-62.374079999999999</v>
      </c>
      <c r="J9425">
        <v>-218.6011</v>
      </c>
      <c r="K9425">
        <v>1.1224769999999999</v>
      </c>
      <c r="L9425">
        <v>-62.875369999999997</v>
      </c>
      <c r="M9425">
        <v>0.99984010000000001</v>
      </c>
      <c r="N9425">
        <v>-1.150488E-2</v>
      </c>
      <c r="O9425">
        <v>-1.369239E-2</v>
      </c>
      <c r="P9425">
        <v>0.95958600000000005</v>
      </c>
      <c r="Q9425">
        <v>0.14288529999999999</v>
      </c>
      <c r="R9425">
        <v>0.2424434</v>
      </c>
      <c r="S9425">
        <v>2.7624659999999999</v>
      </c>
      <c r="T9425">
        <v>-0.2744008</v>
      </c>
      <c r="U9425">
        <v>1.6130070000000001</v>
      </c>
      <c r="V9425">
        <v>-0.25598310000000002</v>
      </c>
      <c r="W9425">
        <v>0.15317249999999999</v>
      </c>
      <c r="X9425">
        <v>0.95446880000000001</v>
      </c>
      <c r="Y9425">
        <v>-0.51380930000000002</v>
      </c>
      <c r="Z9425">
        <v>2.7895980000000001E-2</v>
      </c>
      <c r="AA9425">
        <v>0.85745079999999996</v>
      </c>
      <c r="AB9425">
        <v>28</v>
      </c>
      <c r="AC9425">
        <v>0.72489999999999</v>
      </c>
      <c r="AD9425">
        <v>-8.5172999999999902E-2</v>
      </c>
      <c r="AE9425">
        <v>0.50128999999999002</v>
      </c>
      <c r="AF9425">
        <v>-0.50643952134096604</v>
      </c>
      <c r="AG9425">
        <v>-8.5172999999999902E-2</v>
      </c>
      <c r="AH9425">
        <v>0.71132450830329996</v>
      </c>
      <c r="AI9425">
        <v>95.571130344350905</v>
      </c>
      <c r="AJ9425">
        <v>125.44960842042499</v>
      </c>
      <c r="AK9425">
        <v>0.87733573095936201</v>
      </c>
      <c r="AL9425">
        <v>81.189176745597294</v>
      </c>
      <c r="AM9425">
        <v>105.013102546851</v>
      </c>
      <c r="AN9425">
        <v>0.99999992620764699</v>
      </c>
    </row>
    <row r="9426" spans="1:40" x14ac:dyDescent="0.25">
      <c r="A9426" t="str">
        <f>"20190303162132215"</f>
        <v>20190303162132215</v>
      </c>
      <c r="B9426" t="str">
        <f>"1551601292211574"</f>
        <v>1551601292211574</v>
      </c>
      <c r="C9426" t="s">
        <v>40</v>
      </c>
      <c r="D9426">
        <v>4.8961079999999999</v>
      </c>
      <c r="E9426">
        <v>0.38476050000000001</v>
      </c>
      <c r="F9426" t="s">
        <v>42</v>
      </c>
      <c r="G9426">
        <v>-217.86259999999999</v>
      </c>
      <c r="H9426">
        <v>1.0485599999999999</v>
      </c>
      <c r="I9426">
        <v>-62.441630000000004</v>
      </c>
      <c r="J9426">
        <v>-218.4641</v>
      </c>
      <c r="K9426">
        <v>1.122579</v>
      </c>
      <c r="L9426">
        <v>-62.876280000000001</v>
      </c>
      <c r="M9426">
        <v>0.99985199999999996</v>
      </c>
      <c r="N9426">
        <v>-1.152248E-2</v>
      </c>
      <c r="O9426">
        <v>-1.2784220000000001E-2</v>
      </c>
      <c r="P9426">
        <v>0.95911440000000003</v>
      </c>
      <c r="Q9426">
        <v>0.14187</v>
      </c>
      <c r="R9426">
        <v>0.244893</v>
      </c>
      <c r="S9426">
        <v>2.7581180000000001</v>
      </c>
      <c r="T9426">
        <v>-0.27608490000000002</v>
      </c>
      <c r="U9426">
        <v>1.6201779999999999</v>
      </c>
      <c r="V9426">
        <v>-0.25759379999999998</v>
      </c>
      <c r="W9426">
        <v>0.1521014</v>
      </c>
      <c r="X9426">
        <v>0.95420680000000002</v>
      </c>
      <c r="Y9426">
        <v>-0.5152466</v>
      </c>
      <c r="Z9426">
        <v>2.8074720000000001E-2</v>
      </c>
      <c r="AA9426">
        <v>0.85658199999999995</v>
      </c>
      <c r="AB9426">
        <v>28</v>
      </c>
      <c r="AC9426">
        <v>0.60150000000001502</v>
      </c>
      <c r="AD9426">
        <v>-7.4019000000000001E-2</v>
      </c>
      <c r="AE9426">
        <v>0.43464999999999698</v>
      </c>
      <c r="AF9426">
        <v>-0.43794781227458601</v>
      </c>
      <c r="AG9426">
        <v>-7.4019000000000001E-2</v>
      </c>
      <c r="AH9426">
        <v>0.59002401261892601</v>
      </c>
      <c r="AI9426">
        <v>95.752225704762694</v>
      </c>
      <c r="AJ9426">
        <v>126.58480764868099</v>
      </c>
      <c r="AK9426">
        <v>0.73851569658608796</v>
      </c>
      <c r="AL9426">
        <v>81.251274630630306</v>
      </c>
      <c r="AM9426">
        <v>105.107222527838</v>
      </c>
      <c r="AN9426">
        <v>1.0000000094233199</v>
      </c>
    </row>
    <row r="9427" spans="1:40" x14ac:dyDescent="0.25">
      <c r="A9427" t="str">
        <f>"20190303162132227"</f>
        <v>20190303162132227</v>
      </c>
      <c r="B9427" t="str">
        <f>"1551601292222310"</f>
        <v>1551601292222310</v>
      </c>
      <c r="C9427" t="s">
        <v>40</v>
      </c>
      <c r="D9427">
        <v>4.9188739999999997</v>
      </c>
      <c r="E9427">
        <v>0.38470529999999997</v>
      </c>
      <c r="F9427" t="s">
        <v>42</v>
      </c>
      <c r="G9427">
        <v>-217.62440000000001</v>
      </c>
      <c r="H9427">
        <v>1.037539</v>
      </c>
      <c r="I9427">
        <v>-62.380130000000001</v>
      </c>
      <c r="J9427">
        <v>-218.3141</v>
      </c>
      <c r="K9427">
        <v>1.1226910000000001</v>
      </c>
      <c r="L9427">
        <v>-62.87726</v>
      </c>
      <c r="M9427">
        <v>0.99986430000000004</v>
      </c>
      <c r="N9427">
        <v>-1.154144E-2</v>
      </c>
      <c r="O9427">
        <v>-1.175438E-2</v>
      </c>
      <c r="P9427">
        <v>0.95868100000000001</v>
      </c>
      <c r="Q9427">
        <v>0.14099709999999999</v>
      </c>
      <c r="R9427">
        <v>0.24708440000000001</v>
      </c>
      <c r="S9427">
        <v>2.7534640000000001</v>
      </c>
      <c r="T9427">
        <v>-0.2788929</v>
      </c>
      <c r="U9427">
        <v>1.6279600000000001</v>
      </c>
      <c r="V9427">
        <v>-0.2588355</v>
      </c>
      <c r="W9427">
        <v>0.15116769999999999</v>
      </c>
      <c r="X9427">
        <v>0.95401910000000001</v>
      </c>
      <c r="Y9427">
        <v>-0.51674310000000001</v>
      </c>
      <c r="Z9427">
        <v>2.8349619999999999E-2</v>
      </c>
      <c r="AA9427">
        <v>0.85567099999999996</v>
      </c>
      <c r="AB9427">
        <v>28</v>
      </c>
      <c r="AC9427">
        <v>0.68969999999998699</v>
      </c>
      <c r="AD9427">
        <v>-8.5151999999999894E-2</v>
      </c>
      <c r="AE9427">
        <v>0.49712999999999802</v>
      </c>
      <c r="AF9427">
        <v>-0.50018567764584099</v>
      </c>
      <c r="AG9427">
        <v>-8.5151999999999894E-2</v>
      </c>
      <c r="AH9427">
        <v>0.67701714366467003</v>
      </c>
      <c r="AI9427">
        <v>95.776449811359896</v>
      </c>
      <c r="AJ9427">
        <v>126.457285096303</v>
      </c>
      <c r="AK9427">
        <v>0.84604301784359504</v>
      </c>
      <c r="AL9427">
        <v>81.305397167892195</v>
      </c>
      <c r="AM9427">
        <v>105.17954192909799</v>
      </c>
      <c r="AN9427">
        <v>0.99999996637417399</v>
      </c>
    </row>
    <row r="9428" spans="1:40" x14ac:dyDescent="0.25">
      <c r="A9428" t="str">
        <f>"20190303162132237"</f>
        <v>20190303162132237</v>
      </c>
      <c r="B9428" t="str">
        <f>"1551601292231602"</f>
        <v>1551601292231602</v>
      </c>
      <c r="C9428" t="s">
        <v>40</v>
      </c>
      <c r="D9428">
        <v>4.9270149999999999</v>
      </c>
      <c r="E9428">
        <v>0.38463619999999998</v>
      </c>
      <c r="F9428" t="s">
        <v>42</v>
      </c>
      <c r="G9428">
        <v>-217.38509999999999</v>
      </c>
      <c r="H9428">
        <v>1.0277240000000001</v>
      </c>
      <c r="I9428">
        <v>-62.3249</v>
      </c>
      <c r="J9428">
        <v>-218.17769999999999</v>
      </c>
      <c r="K9428">
        <v>1.122797</v>
      </c>
      <c r="L9428">
        <v>-62.877809999999997</v>
      </c>
      <c r="M9428">
        <v>0.99987590000000004</v>
      </c>
      <c r="N9428">
        <v>-1.1558250000000001E-2</v>
      </c>
      <c r="O9428">
        <v>-1.0708769999999999E-2</v>
      </c>
      <c r="P9428">
        <v>0.95818669999999995</v>
      </c>
      <c r="Q9428">
        <v>0.14007329999999901</v>
      </c>
      <c r="R9428">
        <v>0.2495153</v>
      </c>
      <c r="S9428">
        <v>2.749374</v>
      </c>
      <c r="T9428">
        <v>-0.28106389999999998</v>
      </c>
      <c r="U9428">
        <v>1.6345829999999999</v>
      </c>
      <c r="V9428">
        <v>-0.26029809999999998</v>
      </c>
      <c r="W9428">
        <v>0.15018339999999999</v>
      </c>
      <c r="X9428">
        <v>0.95377659999999997</v>
      </c>
      <c r="Y9428">
        <v>-0.51789240000000003</v>
      </c>
      <c r="Z9428">
        <v>2.8544110000000001E-2</v>
      </c>
      <c r="AA9428">
        <v>0.85496939999999999</v>
      </c>
      <c r="AB9428">
        <v>28</v>
      </c>
      <c r="AC9428">
        <v>0.79259999999999298</v>
      </c>
      <c r="AD9428">
        <v>-9.5072999999999894E-2</v>
      </c>
      <c r="AE9428">
        <v>0.55290999999999701</v>
      </c>
      <c r="AF9428">
        <v>-0.55598558851847002</v>
      </c>
      <c r="AG9428">
        <v>-9.5072999999999894E-2</v>
      </c>
      <c r="AH9428">
        <v>0.779092806821303</v>
      </c>
      <c r="AI9428">
        <v>95.672634427680904</v>
      </c>
      <c r="AJ9428">
        <v>125.51287028407501</v>
      </c>
      <c r="AK9428">
        <v>0.96184429696803098</v>
      </c>
      <c r="AL9428">
        <v>81.362444810949</v>
      </c>
      <c r="AM9428">
        <v>105.265026646023</v>
      </c>
      <c r="AN9428">
        <v>0.99999997860336398</v>
      </c>
    </row>
    <row r="9429" spans="1:40" x14ac:dyDescent="0.25">
      <c r="A9429" t="str">
        <f>"20190303162132249"</f>
        <v>20190303162132249</v>
      </c>
      <c r="B9429" t="str">
        <f>"1551601292242338"</f>
        <v>1551601292242338</v>
      </c>
      <c r="C9429" t="s">
        <v>40</v>
      </c>
      <c r="D9429">
        <v>4.9270940000000003</v>
      </c>
      <c r="E9429">
        <v>0.38459379999999999</v>
      </c>
      <c r="F9429" t="s">
        <v>42</v>
      </c>
      <c r="G9429">
        <v>-217.3708</v>
      </c>
      <c r="H9429">
        <v>1.0393269999999999</v>
      </c>
      <c r="I9429">
        <v>-62.395099999999999</v>
      </c>
      <c r="J9429">
        <v>-218.04089999999999</v>
      </c>
      <c r="K9429">
        <v>1.1229039999999999</v>
      </c>
      <c r="L9429">
        <v>-62.8782</v>
      </c>
      <c r="M9429">
        <v>0.99988690000000002</v>
      </c>
      <c r="N9429">
        <v>-1.157475E-2</v>
      </c>
      <c r="O9429">
        <v>-9.6139599999999995E-3</v>
      </c>
      <c r="P9429">
        <v>0.95760769999999995</v>
      </c>
      <c r="Q9429">
        <v>0.13927870000000001</v>
      </c>
      <c r="R9429">
        <v>0.25216850000000002</v>
      </c>
      <c r="S9429">
        <v>2.7449189999999999</v>
      </c>
      <c r="T9429">
        <v>-0.28392970000000001</v>
      </c>
      <c r="U9429">
        <v>1.6417539999999999</v>
      </c>
      <c r="V9429">
        <v>-0.26193620000000001</v>
      </c>
      <c r="W9429">
        <v>0.14932579999999901</v>
      </c>
      <c r="X9429">
        <v>0.95346280000000005</v>
      </c>
      <c r="Y9429">
        <v>-0.51916340000000005</v>
      </c>
      <c r="Z9429">
        <v>2.880489E-2</v>
      </c>
      <c r="AA9429">
        <v>0.85418950000000005</v>
      </c>
      <c r="AB9429">
        <v>28</v>
      </c>
      <c r="AC9429">
        <v>0.67009999999999004</v>
      </c>
      <c r="AD9429">
        <v>-8.3576999999999999E-2</v>
      </c>
      <c r="AE9429">
        <v>0.48309999999999997</v>
      </c>
      <c r="AF9429">
        <v>-0.48456054812854099</v>
      </c>
      <c r="AG9429">
        <v>-8.3576999999999999E-2</v>
      </c>
      <c r="AH9429">
        <v>0.65868207036179904</v>
      </c>
      <c r="AI9429">
        <v>95.835807303997001</v>
      </c>
      <c r="AJ9429">
        <v>126.34011980463301</v>
      </c>
      <c r="AK9429">
        <v>0.82197695195652398</v>
      </c>
      <c r="AL9429">
        <v>81.412142625067901</v>
      </c>
      <c r="AM9429">
        <v>105.3613855655</v>
      </c>
      <c r="AN9429">
        <v>1.00000003919995</v>
      </c>
    </row>
    <row r="9430" spans="1:40" x14ac:dyDescent="0.25">
      <c r="A9430" t="str">
        <f>"20190303162132260"</f>
        <v>20190303162132260</v>
      </c>
      <c r="B9430" t="str">
        <f>"1551601292252098"</f>
        <v>1551601292252098</v>
      </c>
      <c r="C9430" t="s">
        <v>40</v>
      </c>
      <c r="D9430">
        <v>4.9652320000000003</v>
      </c>
      <c r="E9430">
        <v>0.3845267</v>
      </c>
      <c r="F9430" t="s">
        <v>42</v>
      </c>
      <c r="G9430">
        <v>-217.13319999999999</v>
      </c>
      <c r="H9430">
        <v>1.028051</v>
      </c>
      <c r="I9430">
        <v>-62.332000000000001</v>
      </c>
      <c r="J9430">
        <v>-217.89959999999999</v>
      </c>
      <c r="K9430">
        <v>1.123014</v>
      </c>
      <c r="L9430">
        <v>-62.878360000000001</v>
      </c>
      <c r="M9430">
        <v>0.9998977</v>
      </c>
      <c r="N9430">
        <v>-1.159134E-2</v>
      </c>
      <c r="O9430">
        <v>-8.4001939999999997E-3</v>
      </c>
      <c r="P9430">
        <v>0.95703579999999999</v>
      </c>
      <c r="Q9430">
        <v>0.13836319999999999</v>
      </c>
      <c r="R9430">
        <v>0.25482929999999998</v>
      </c>
      <c r="S9430">
        <v>2.7401580000000001</v>
      </c>
      <c r="T9430">
        <v>-0.2863407</v>
      </c>
      <c r="U9430">
        <v>1.6492309999999999</v>
      </c>
      <c r="V9430">
        <v>-0.26346920000000001</v>
      </c>
      <c r="W9430">
        <v>0.14834559999999999</v>
      </c>
      <c r="X9430">
        <v>0.95319339999999997</v>
      </c>
      <c r="Y9430">
        <v>-0.52045029999999903</v>
      </c>
      <c r="Z9430">
        <v>2.9016810000000001E-2</v>
      </c>
      <c r="AA9430">
        <v>0.85339880000000001</v>
      </c>
      <c r="AB9430">
        <v>28</v>
      </c>
      <c r="AC9430">
        <v>0.76640000000000397</v>
      </c>
      <c r="AD9430">
        <v>-9.4962999999999895E-2</v>
      </c>
      <c r="AE9430">
        <v>0.54635999999999996</v>
      </c>
      <c r="AF9430">
        <v>-0.54720864281158399</v>
      </c>
      <c r="AG9430">
        <v>-9.4962999999999895E-2</v>
      </c>
      <c r="AH9430">
        <v>0.75410654269007904</v>
      </c>
      <c r="AI9430">
        <v>95.819579338483294</v>
      </c>
      <c r="AJ9430">
        <v>125.96607899314201</v>
      </c>
      <c r="AK9430">
        <v>0.93655322745943304</v>
      </c>
      <c r="AL9430">
        <v>81.468936590103795</v>
      </c>
      <c r="AM9430">
        <v>105.451164375631</v>
      </c>
      <c r="AN9430">
        <v>1.00000004709577</v>
      </c>
    </row>
    <row r="9431" spans="1:40" x14ac:dyDescent="0.25">
      <c r="A9431" t="str">
        <f>"20190303162132274"</f>
        <v>20190303162132274</v>
      </c>
      <c r="B9431" t="str">
        <f>"1551601292261858"</f>
        <v>1551601292261858</v>
      </c>
      <c r="C9431" t="s">
        <v>40</v>
      </c>
      <c r="D9431">
        <v>4.9818119999999997</v>
      </c>
      <c r="E9431">
        <v>0.3844746</v>
      </c>
      <c r="F9431" t="s">
        <v>42</v>
      </c>
      <c r="G9431">
        <v>-217.1181</v>
      </c>
      <c r="H9431">
        <v>1.040446</v>
      </c>
      <c r="I9431">
        <v>-62.40504</v>
      </c>
      <c r="J9431">
        <v>-217.73480000000001</v>
      </c>
      <c r="K9431">
        <v>1.123132</v>
      </c>
      <c r="L9431">
        <v>-62.8782</v>
      </c>
      <c r="M9431">
        <v>0.99990889999999999</v>
      </c>
      <c r="N9431">
        <v>-1.1609990000000001E-2</v>
      </c>
      <c r="O9431">
        <v>-6.8893849999999996E-3</v>
      </c>
      <c r="P9431">
        <v>0.95619449999999995</v>
      </c>
      <c r="Q9431">
        <v>0.1380026</v>
      </c>
      <c r="R9431">
        <v>0.25816169999999999</v>
      </c>
      <c r="S9431">
        <v>2.7352599999999998</v>
      </c>
      <c r="T9431">
        <v>-0.28900340000000002</v>
      </c>
      <c r="U9431">
        <v>1.6571039999999999</v>
      </c>
      <c r="V9431">
        <v>-0.26539699999999999</v>
      </c>
      <c r="W9431">
        <v>0.1479075</v>
      </c>
      <c r="X9431">
        <v>0.95272650000000003</v>
      </c>
      <c r="Y9431">
        <v>-0.52159009999999995</v>
      </c>
      <c r="Z9431">
        <v>2.9217759999999999E-2</v>
      </c>
      <c r="AA9431">
        <v>0.8526958</v>
      </c>
      <c r="AB9431">
        <v>28</v>
      </c>
      <c r="AC9431">
        <v>0.61670000000000802</v>
      </c>
      <c r="AD9431">
        <v>-8.2685999999999996E-2</v>
      </c>
      <c r="AE9431">
        <v>0.47316000000000003</v>
      </c>
      <c r="AF9431">
        <v>-0.47205606575966802</v>
      </c>
      <c r="AG9431">
        <v>-8.2685999999999996E-2</v>
      </c>
      <c r="AH9431">
        <v>0.60656165471102297</v>
      </c>
      <c r="AI9431">
        <v>96.140224172655806</v>
      </c>
      <c r="AJ9431">
        <v>127.89180608845</v>
      </c>
      <c r="AK9431">
        <v>0.77304006673798598</v>
      </c>
      <c r="AL9431">
        <v>81.494317376451093</v>
      </c>
      <c r="AM9431">
        <v>105.56601745811901</v>
      </c>
      <c r="AN9431">
        <v>0.99999998998374995</v>
      </c>
    </row>
    <row r="9432" spans="1:40" x14ac:dyDescent="0.25">
      <c r="A9432" t="str">
        <f>"20190303162132288"</f>
        <v>20190303162132288</v>
      </c>
      <c r="B9432" t="str">
        <f>"1551601292282354"</f>
        <v>1551601292282354</v>
      </c>
      <c r="C9432" t="s">
        <v>40</v>
      </c>
      <c r="D9432">
        <v>4.9636370000000003</v>
      </c>
      <c r="E9432">
        <v>0.3843548</v>
      </c>
      <c r="F9432" t="s">
        <v>42</v>
      </c>
      <c r="G9432">
        <v>-216.87790000000001</v>
      </c>
      <c r="H9432">
        <v>1.032095</v>
      </c>
      <c r="I9432">
        <v>-62.354869999999998</v>
      </c>
      <c r="J9432">
        <v>-217.55869999999999</v>
      </c>
      <c r="K9432">
        <v>1.123265</v>
      </c>
      <c r="L9432">
        <v>-62.877749999999999</v>
      </c>
      <c r="M9432">
        <v>0.999919</v>
      </c>
      <c r="N9432">
        <v>-1.162913E-2</v>
      </c>
      <c r="O9432">
        <v>-5.1895029999999998E-3</v>
      </c>
      <c r="P9432">
        <v>0.95540239999999998</v>
      </c>
      <c r="Q9432">
        <v>0.13731640000000001</v>
      </c>
      <c r="R9432">
        <v>0.26143939999999999</v>
      </c>
      <c r="S9432">
        <v>2.7292179999999999</v>
      </c>
      <c r="T9432">
        <v>-0.28994799999999998</v>
      </c>
      <c r="U9432">
        <v>1.66690099999999</v>
      </c>
      <c r="V9432">
        <v>-0.26709290000000002</v>
      </c>
      <c r="W9432">
        <v>0.1471411</v>
      </c>
      <c r="X9432">
        <v>0.95237119999999997</v>
      </c>
      <c r="Y9432">
        <v>-0.52318909999999996</v>
      </c>
      <c r="Z9432">
        <v>2.9278180000000001E-2</v>
      </c>
      <c r="AA9432">
        <v>0.85171350000000001</v>
      </c>
      <c r="AB9432">
        <v>28</v>
      </c>
      <c r="AC9432">
        <v>0.68079999999997598</v>
      </c>
      <c r="AD9432">
        <v>-9.1169999999999904E-2</v>
      </c>
      <c r="AE9432">
        <v>0.52288000000000001</v>
      </c>
      <c r="AF9432">
        <v>-0.52053470216894704</v>
      </c>
      <c r="AG9432">
        <v>-9.1169999999999904E-2</v>
      </c>
      <c r="AH9432">
        <v>0.67051392243844998</v>
      </c>
      <c r="AI9432">
        <v>96.130307706685798</v>
      </c>
      <c r="AJ9432">
        <v>127.822975796629</v>
      </c>
      <c r="AK9432">
        <v>0.85373137768616103</v>
      </c>
      <c r="AL9432">
        <v>81.538714823123399</v>
      </c>
      <c r="AM9432">
        <v>105.666174464574</v>
      </c>
      <c r="AN9432">
        <v>1.00000001156452</v>
      </c>
    </row>
    <row r="9433" spans="1:40" x14ac:dyDescent="0.25">
      <c r="A9433" t="str">
        <f>"20190303162132299"</f>
        <v>20190303162132299</v>
      </c>
      <c r="B9433" t="str">
        <f>"1551601292292114"</f>
        <v>1551601292292114</v>
      </c>
      <c r="C9433" t="s">
        <v>40</v>
      </c>
      <c r="D9433">
        <v>4.9613370000000003</v>
      </c>
      <c r="E9433">
        <v>0.38428370000000001</v>
      </c>
      <c r="F9433" t="s">
        <v>42</v>
      </c>
      <c r="G9433">
        <v>-216.63679999999999</v>
      </c>
      <c r="H9433">
        <v>1.024481</v>
      </c>
      <c r="I9433">
        <v>-62.31015</v>
      </c>
      <c r="J9433">
        <v>-217.39320000000001</v>
      </c>
      <c r="K9433">
        <v>1.1233869999999999</v>
      </c>
      <c r="L9433">
        <v>-62.876860000000001</v>
      </c>
      <c r="M9433">
        <v>0.99992619999999999</v>
      </c>
      <c r="N9433">
        <v>-1.1646210000000001E-2</v>
      </c>
      <c r="O9433">
        <v>-3.4637539999999999E-3</v>
      </c>
      <c r="P9433">
        <v>0.95457389999999998</v>
      </c>
      <c r="Q9433">
        <v>0.13689870000000001</v>
      </c>
      <c r="R9433">
        <v>0.26466479999999998</v>
      </c>
      <c r="S9433">
        <v>2.7231139999999998</v>
      </c>
      <c r="T9433">
        <v>-0.29180689999999998</v>
      </c>
      <c r="U9433">
        <v>1.676971</v>
      </c>
      <c r="V9433">
        <v>-0.26871099999999998</v>
      </c>
      <c r="W9433">
        <v>0.14664679999999999</v>
      </c>
      <c r="X9433">
        <v>0.95199219999999896</v>
      </c>
      <c r="Y9433">
        <v>-0.52482059999999997</v>
      </c>
      <c r="Z9433">
        <v>2.9418550000000002E-2</v>
      </c>
      <c r="AA9433">
        <v>0.85070440000000003</v>
      </c>
      <c r="AB9433">
        <v>28</v>
      </c>
      <c r="AC9433">
        <v>0.75640000000001295</v>
      </c>
      <c r="AD9433">
        <v>-9.8906000000000105E-2</v>
      </c>
      <c r="AE9433">
        <v>0.56671000000000005</v>
      </c>
      <c r="AF9433">
        <v>-0.563159690409059</v>
      </c>
      <c r="AG9433">
        <v>-9.8906000000000105E-2</v>
      </c>
      <c r="AH9433">
        <v>0.74626020985337604</v>
      </c>
      <c r="AI9433">
        <v>96.038984986733098</v>
      </c>
      <c r="AJ9433">
        <v>127.039756833293</v>
      </c>
      <c r="AK9433">
        <v>0.94012527598614903</v>
      </c>
      <c r="AL9433">
        <v>81.5673467662306</v>
      </c>
      <c r="AM9433">
        <v>105.76234421653299</v>
      </c>
      <c r="AN9433">
        <v>1.0000000171660299</v>
      </c>
    </row>
    <row r="9434" spans="1:40" x14ac:dyDescent="0.25">
      <c r="A9434" t="str">
        <f>"20190303162132312"</f>
        <v>20190303162132312</v>
      </c>
      <c r="B9434" t="str">
        <f>"1551601292301874"</f>
        <v>1551601292301874</v>
      </c>
      <c r="C9434" t="s">
        <v>40</v>
      </c>
      <c r="D9434">
        <v>4.9217510000000004</v>
      </c>
      <c r="E9434">
        <v>0.3842351</v>
      </c>
      <c r="F9434" t="s">
        <v>42</v>
      </c>
      <c r="G9434">
        <v>-216.61859999999999</v>
      </c>
      <c r="H9434">
        <v>1.0398959999999999</v>
      </c>
      <c r="I9434">
        <v>-62.396160000000002</v>
      </c>
      <c r="J9434">
        <v>-217.24250000000001</v>
      </c>
      <c r="K9434">
        <v>1.123499</v>
      </c>
      <c r="L9434">
        <v>-62.875700000000002</v>
      </c>
      <c r="M9434">
        <v>0.9999304</v>
      </c>
      <c r="N9434">
        <v>-1.166121E-2</v>
      </c>
      <c r="O9434">
        <v>-1.8125330000000001E-3</v>
      </c>
      <c r="P9434">
        <v>0.95371910000000004</v>
      </c>
      <c r="Q9434">
        <v>0.13660530000000001</v>
      </c>
      <c r="R9434">
        <v>0.26787820000000001</v>
      </c>
      <c r="S9434">
        <v>2.717133</v>
      </c>
      <c r="T9434">
        <v>-0.29289090000000001</v>
      </c>
      <c r="U9434">
        <v>1.6866759999999901</v>
      </c>
      <c r="V9434">
        <v>-0.27038450000000003</v>
      </c>
      <c r="W9434">
        <v>0.14628260000000001</v>
      </c>
      <c r="X9434">
        <v>0.95157429999999998</v>
      </c>
      <c r="Y9434">
        <v>-0.52642540000000004</v>
      </c>
      <c r="Z9434">
        <v>2.9493169999999999E-2</v>
      </c>
      <c r="AA9434">
        <v>0.84970959999999995</v>
      </c>
      <c r="AB9434">
        <v>28</v>
      </c>
      <c r="AC9434">
        <v>0.62390000000001999</v>
      </c>
      <c r="AD9434">
        <v>-8.3603000000000094E-2</v>
      </c>
      <c r="AE9434">
        <v>0.47954000000000702</v>
      </c>
      <c r="AF9434">
        <v>-0.47530502257024798</v>
      </c>
      <c r="AG9434">
        <v>-8.3603000000000094E-2</v>
      </c>
      <c r="AH9434">
        <v>0.61607564988799401</v>
      </c>
      <c r="AI9434">
        <v>96.132498430251303</v>
      </c>
      <c r="AJ9434">
        <v>127.650341254339</v>
      </c>
      <c r="AK9434">
        <v>0.78259410454872402</v>
      </c>
      <c r="AL9434">
        <v>81.588441337155004</v>
      </c>
      <c r="AM9434">
        <v>105.86220167424401</v>
      </c>
      <c r="AN9434">
        <v>1.0000000126617401</v>
      </c>
    </row>
    <row r="9435" spans="1:40" x14ac:dyDescent="0.25">
      <c r="A9435" t="str">
        <f>"20190303162132325"</f>
        <v>20190303162132325</v>
      </c>
      <c r="B9435" t="str">
        <f>"1551601292322371"</f>
        <v>1551601292322371</v>
      </c>
      <c r="C9435" t="s">
        <v>40</v>
      </c>
      <c r="D9435">
        <v>4.955711</v>
      </c>
      <c r="E9435">
        <v>0.3841311</v>
      </c>
      <c r="F9435" t="s">
        <v>42</v>
      </c>
      <c r="G9435">
        <v>-216.38059999999999</v>
      </c>
      <c r="H9435">
        <v>1.030081</v>
      </c>
      <c r="I9435">
        <v>-62.336649999999999</v>
      </c>
      <c r="J9435">
        <v>-217.08449999999999</v>
      </c>
      <c r="K9435">
        <v>1.1236090000000001</v>
      </c>
      <c r="L9435">
        <v>-62.874299999999998</v>
      </c>
      <c r="M9435">
        <v>0.99993180000000004</v>
      </c>
      <c r="N9435">
        <v>-1.167641E-2</v>
      </c>
      <c r="O9435" s="1">
        <v>-2.9713099999999998E-5</v>
      </c>
      <c r="P9435">
        <v>0.95290960000000002</v>
      </c>
      <c r="Q9435">
        <v>0.13611280000000001</v>
      </c>
      <c r="R9435">
        <v>0.27099179999999901</v>
      </c>
      <c r="S9435">
        <v>2.7113489999999998</v>
      </c>
      <c r="T9435">
        <v>-0.2938887</v>
      </c>
      <c r="U9435">
        <v>1.695862</v>
      </c>
      <c r="V9435">
        <v>-0.27183550000000001</v>
      </c>
      <c r="W9435">
        <v>0.14571889999999901</v>
      </c>
      <c r="X9435">
        <v>0.95124730000000002</v>
      </c>
      <c r="Y9435">
        <v>-0.5277752</v>
      </c>
      <c r="Z9435">
        <v>2.95331E-2</v>
      </c>
      <c r="AA9435">
        <v>0.84887049999999997</v>
      </c>
      <c r="AB9435">
        <v>28</v>
      </c>
      <c r="AC9435">
        <v>0.70390000000000397</v>
      </c>
      <c r="AD9435">
        <v>-9.3528E-2</v>
      </c>
      <c r="AE9435">
        <v>0.53764999999999896</v>
      </c>
      <c r="AF9435">
        <v>-0.53174210340523698</v>
      </c>
      <c r="AG9435">
        <v>-9.3528E-2</v>
      </c>
      <c r="AH9435">
        <v>0.69612240466251796</v>
      </c>
      <c r="AI9435">
        <v>96.094376463718206</v>
      </c>
      <c r="AJ9435">
        <v>127.37486842334199</v>
      </c>
      <c r="AK9435">
        <v>0.88095604520938098</v>
      </c>
      <c r="AL9435">
        <v>81.621088538186697</v>
      </c>
      <c r="AM9435">
        <v>105.948211208381</v>
      </c>
      <c r="AN9435">
        <v>0.999999981317374</v>
      </c>
    </row>
    <row r="9436" spans="1:40" x14ac:dyDescent="0.25">
      <c r="A9436" t="str">
        <f>"20190303162132337"</f>
        <v>20190303162132337</v>
      </c>
      <c r="B9436" t="str">
        <f>"1551601292331669"</f>
        <v>1551601292331669</v>
      </c>
      <c r="C9436" t="s">
        <v>40</v>
      </c>
      <c r="D9436">
        <v>4.992731</v>
      </c>
      <c r="E9436">
        <v>0.38411190000000001</v>
      </c>
      <c r="F9436" t="s">
        <v>42</v>
      </c>
      <c r="G9436">
        <v>-216.1422</v>
      </c>
      <c r="H9436">
        <v>1.020645</v>
      </c>
      <c r="I9436">
        <v>-62.2806199999999</v>
      </c>
      <c r="J9436">
        <v>-216.9179</v>
      </c>
      <c r="K9436">
        <v>1.1237299999999999</v>
      </c>
      <c r="L9436">
        <v>-62.872160000000001</v>
      </c>
      <c r="M9436">
        <v>0.99992970000000003</v>
      </c>
      <c r="N9436">
        <v>-1.169191E-2</v>
      </c>
      <c r="O9436">
        <v>1.9942649999999998E-3</v>
      </c>
      <c r="P9436">
        <v>0.95137819999999995</v>
      </c>
      <c r="Q9436">
        <v>0.13585559999999999</v>
      </c>
      <c r="R9436">
        <v>0.2764469</v>
      </c>
      <c r="S9436">
        <v>2.7056269999999998</v>
      </c>
      <c r="T9436">
        <v>-0.2956377</v>
      </c>
      <c r="U9436">
        <v>1.7049259999999999</v>
      </c>
      <c r="V9436">
        <v>-0.27540500000000001</v>
      </c>
      <c r="W9436">
        <v>0.14536650000000001</v>
      </c>
      <c r="X9436">
        <v>0.95027399999999995</v>
      </c>
      <c r="Y9436">
        <v>-0.52887340000000005</v>
      </c>
      <c r="Z9436">
        <v>2.960289E-2</v>
      </c>
      <c r="AA9436">
        <v>0.8481843</v>
      </c>
      <c r="AB9436">
        <v>28</v>
      </c>
      <c r="AC9436">
        <v>0.77569999999999995</v>
      </c>
      <c r="AD9436">
        <v>-0.103084999999999</v>
      </c>
      <c r="AE9436">
        <v>0.59154000000000895</v>
      </c>
      <c r="AF9436">
        <v>-0.58347629254479805</v>
      </c>
      <c r="AG9436">
        <v>-0.103084999999999</v>
      </c>
      <c r="AH9436">
        <v>0.76829890254277799</v>
      </c>
      <c r="AI9436">
        <v>96.099047929993802</v>
      </c>
      <c r="AJ9436">
        <v>127.214460627924</v>
      </c>
      <c r="AK9436">
        <v>0.97023414948931797</v>
      </c>
      <c r="AL9436">
        <v>81.641497072733003</v>
      </c>
      <c r="AM9436">
        <v>106.16245566718</v>
      </c>
      <c r="AN9436">
        <v>1.0000000042116199</v>
      </c>
    </row>
    <row r="9437" spans="1:40" x14ac:dyDescent="0.25">
      <c r="A9437" t="str">
        <f>"20190303162132350"</f>
        <v>20190303162132350</v>
      </c>
      <c r="B9437" t="str">
        <f>"1551601292342399"</f>
        <v>1551601292342399</v>
      </c>
      <c r="C9437" t="s">
        <v>40</v>
      </c>
      <c r="D9437">
        <v>5.0025040000000001</v>
      </c>
      <c r="E9437">
        <v>0.38408870000000001</v>
      </c>
      <c r="F9437" t="s">
        <v>42</v>
      </c>
      <c r="G9437">
        <v>-216.12360000000001</v>
      </c>
      <c r="H9437">
        <v>1.0361180000000001</v>
      </c>
      <c r="I9437">
        <v>-62.365650000000002</v>
      </c>
      <c r="J9437">
        <v>-216.7784</v>
      </c>
      <c r="K9437">
        <v>1.123828</v>
      </c>
      <c r="L9437">
        <v>-62.87021</v>
      </c>
      <c r="M9437">
        <v>0.99992460000000005</v>
      </c>
      <c r="N9437">
        <v>-1.1704549999999999E-2</v>
      </c>
      <c r="O9437">
        <v>3.734069E-3</v>
      </c>
      <c r="P9437">
        <v>0.95029019999999997</v>
      </c>
      <c r="Q9437">
        <v>0.1359881</v>
      </c>
      <c r="R9437">
        <v>0.28009919999999999</v>
      </c>
      <c r="S9437">
        <v>2.6961360000000001</v>
      </c>
      <c r="T9437">
        <v>-0.29738330000000002</v>
      </c>
      <c r="U9437">
        <v>1.7196039999999999</v>
      </c>
      <c r="V9437">
        <v>-0.27743970000000001</v>
      </c>
      <c r="W9437">
        <v>0.14542639999999901</v>
      </c>
      <c r="X9437">
        <v>0.94967279999999998</v>
      </c>
      <c r="Y9437">
        <v>-0.53198780000000001</v>
      </c>
      <c r="Z9437">
        <v>2.982922E-2</v>
      </c>
      <c r="AA9437">
        <v>0.84622649999999999</v>
      </c>
      <c r="AB9437">
        <v>28</v>
      </c>
      <c r="AC9437">
        <v>0.65479999999999405</v>
      </c>
      <c r="AD9437">
        <v>-8.7709999999999899E-2</v>
      </c>
      <c r="AE9437">
        <v>0.50455999999999701</v>
      </c>
      <c r="AF9437">
        <v>-0.49652143748118599</v>
      </c>
      <c r="AG9437">
        <v>-8.7709999999999899E-2</v>
      </c>
      <c r="AH9437">
        <v>0.64936906691393004</v>
      </c>
      <c r="AI9437">
        <v>96.124288613850396</v>
      </c>
      <c r="AJ9437">
        <v>127.402299492236</v>
      </c>
      <c r="AK9437">
        <v>0.82213549190085</v>
      </c>
      <c r="AL9437">
        <v>81.638028376973097</v>
      </c>
      <c r="AM9437">
        <v>106.28532251791</v>
      </c>
      <c r="AN9437">
        <v>1.0000000260064399</v>
      </c>
    </row>
    <row r="9438" spans="1:40" x14ac:dyDescent="0.25">
      <c r="A9438" t="str">
        <f>"20190303162132359"</f>
        <v>20190303162132359</v>
      </c>
      <c r="B9438" t="str">
        <f>"1551601292352159"</f>
        <v>1551601292352159</v>
      </c>
      <c r="C9438" t="s">
        <v>40</v>
      </c>
      <c r="D9438">
        <v>4.9982829999999998</v>
      </c>
      <c r="E9438">
        <v>0.384108</v>
      </c>
      <c r="F9438" t="s">
        <v>42</v>
      </c>
      <c r="G9438">
        <v>-215.8879</v>
      </c>
      <c r="H9438">
        <v>1.025541</v>
      </c>
      <c r="I9438">
        <v>-62.297330000000002</v>
      </c>
      <c r="J9438">
        <v>-216.6404</v>
      </c>
      <c r="K9438">
        <v>1.123923</v>
      </c>
      <c r="L9438">
        <v>-62.867890000000003</v>
      </c>
      <c r="M9438">
        <v>0.99991609999999997</v>
      </c>
      <c r="N9438">
        <v>-1.1716799999999999E-2</v>
      </c>
      <c r="O9438">
        <v>5.5216919999999999E-3</v>
      </c>
      <c r="P9438">
        <v>0.94921</v>
      </c>
      <c r="Q9438">
        <v>0.13625279999999901</v>
      </c>
      <c r="R9438">
        <v>0.28361160000000002</v>
      </c>
      <c r="S9438">
        <v>2.689514</v>
      </c>
      <c r="T9438">
        <v>-0.296821</v>
      </c>
      <c r="U9438">
        <v>1.7298579999999999</v>
      </c>
      <c r="V9438">
        <v>-0.27929169999999998</v>
      </c>
      <c r="W9438">
        <v>0.14562079999999999</v>
      </c>
      <c r="X9438">
        <v>0.94910000000000005</v>
      </c>
      <c r="Y9438">
        <v>-0.53370850000000003</v>
      </c>
      <c r="Z9438">
        <v>2.9753519999999999E-2</v>
      </c>
      <c r="AA9438">
        <v>0.84514489999999998</v>
      </c>
      <c r="AB9438">
        <v>28</v>
      </c>
      <c r="AC9438">
        <v>0.75249999999999695</v>
      </c>
      <c r="AD9438">
        <v>-9.83819999999999E-2</v>
      </c>
      <c r="AE9438">
        <v>0.57055999999999996</v>
      </c>
      <c r="AF9438">
        <v>-0.560314617059955</v>
      </c>
      <c r="AG9438">
        <v>-9.83819999999999E-2</v>
      </c>
      <c r="AH9438">
        <v>0.74752599233651995</v>
      </c>
      <c r="AI9438">
        <v>96.011683854679504</v>
      </c>
      <c r="AJ9438">
        <v>126.853712352001</v>
      </c>
      <c r="AK9438">
        <v>0.93937564223996295</v>
      </c>
      <c r="AL9438">
        <v>81.626770354865201</v>
      </c>
      <c r="AM9438">
        <v>106.39757657369999</v>
      </c>
      <c r="AN9438">
        <v>1.0000000405407601</v>
      </c>
    </row>
    <row r="9439" spans="1:40" x14ac:dyDescent="0.25">
      <c r="A9439" t="str">
        <f>"20190303162132371"</f>
        <v>20190303162132371</v>
      </c>
      <c r="B9439" t="str">
        <f>"1551601292362895"</f>
        <v>1551601292362895</v>
      </c>
      <c r="C9439" t="s">
        <v>40</v>
      </c>
      <c r="D9439">
        <v>5.0310879999999996</v>
      </c>
      <c r="E9439">
        <v>0.38409599999999999</v>
      </c>
      <c r="F9439" t="s">
        <v>42</v>
      </c>
      <c r="G9439">
        <v>-215.87190000000001</v>
      </c>
      <c r="H9439">
        <v>1.0391649999999999</v>
      </c>
      <c r="I9439">
        <v>-62.369540000000001</v>
      </c>
      <c r="J9439">
        <v>-216.50399999999999</v>
      </c>
      <c r="K9439">
        <v>1.124017</v>
      </c>
      <c r="L9439">
        <v>-62.86533</v>
      </c>
      <c r="M9439">
        <v>0.99990420000000002</v>
      </c>
      <c r="N9439">
        <v>-1.172869E-2</v>
      </c>
      <c r="O9439">
        <v>7.352918E-3</v>
      </c>
      <c r="P9439">
        <v>0.94809030000000005</v>
      </c>
      <c r="Q9439">
        <v>0.13647919999999999</v>
      </c>
      <c r="R9439">
        <v>0.28722550000000002</v>
      </c>
      <c r="S9439">
        <v>2.6832280000000002</v>
      </c>
      <c r="T9439">
        <v>-0.29591250000000002</v>
      </c>
      <c r="U9439">
        <v>1.7396240000000001</v>
      </c>
      <c r="V9439">
        <v>-0.28120679999999998</v>
      </c>
      <c r="W9439">
        <v>0.14577599999999999</v>
      </c>
      <c r="X9439">
        <v>0.94851050000000003</v>
      </c>
      <c r="Y9439">
        <v>-0.53524090000000002</v>
      </c>
      <c r="Z9439">
        <v>2.9630980000000001E-2</v>
      </c>
      <c r="AA9439">
        <v>0.84417960000000003</v>
      </c>
      <c r="AB9439">
        <v>28</v>
      </c>
      <c r="AC9439">
        <v>0.63210000000000799</v>
      </c>
      <c r="AD9439">
        <v>-8.4852000000000094E-2</v>
      </c>
      <c r="AE9439">
        <v>0.495790000000006</v>
      </c>
      <c r="AF9439">
        <v>-0.485709732990247</v>
      </c>
      <c r="AG9439">
        <v>-8.4852000000000094E-2</v>
      </c>
      <c r="AH9439">
        <v>0.62871448496825499</v>
      </c>
      <c r="AI9439">
        <v>96.096203632994005</v>
      </c>
      <c r="AJ9439">
        <v>127.687672440499</v>
      </c>
      <c r="AK9439">
        <v>0.79899668975181304</v>
      </c>
      <c r="AL9439">
        <v>81.617782112428799</v>
      </c>
      <c r="AM9439">
        <v>106.513615268648</v>
      </c>
      <c r="AN9439">
        <v>1.0000000375762399</v>
      </c>
    </row>
    <row r="9440" spans="1:40" x14ac:dyDescent="0.25">
      <c r="A9440" t="str">
        <f>"20190303162132383"</f>
        <v>20190303162132383</v>
      </c>
      <c r="B9440" t="str">
        <f>"1551601292371680"</f>
        <v>1551601292371680</v>
      </c>
      <c r="C9440" t="s">
        <v>40</v>
      </c>
      <c r="D9440">
        <v>5.0209140000000003</v>
      </c>
      <c r="E9440">
        <v>0.3840771</v>
      </c>
      <c r="F9440" t="s">
        <v>42</v>
      </c>
      <c r="G9440">
        <v>-215.63679999999999</v>
      </c>
      <c r="H9440">
        <v>1.0284089999999999</v>
      </c>
      <c r="I9440">
        <v>-62.2986</v>
      </c>
      <c r="J9440">
        <v>-216.35380000000001</v>
      </c>
      <c r="K9440">
        <v>1.1241209999999999</v>
      </c>
      <c r="L9440">
        <v>-62.862209999999997</v>
      </c>
      <c r="M9440">
        <v>0.99988659999999996</v>
      </c>
      <c r="N9440">
        <v>-1.174146E-2</v>
      </c>
      <c r="O9440">
        <v>9.4222360000000005E-3</v>
      </c>
      <c r="P9440">
        <v>0.94685719999999995</v>
      </c>
      <c r="Q9440">
        <v>0.1366108</v>
      </c>
      <c r="R9440">
        <v>0.29120249999999998</v>
      </c>
      <c r="S9440">
        <v>2.6767120000000002</v>
      </c>
      <c r="T9440">
        <v>-0.29510819999999999</v>
      </c>
      <c r="U9440">
        <v>1.7494810000000001</v>
      </c>
      <c r="V9440">
        <v>-0.28326590000000001</v>
      </c>
      <c r="W9440">
        <v>0.14582790000000001</v>
      </c>
      <c r="X9440">
        <v>0.9478896</v>
      </c>
      <c r="Y9440">
        <v>-0.53662390000000004</v>
      </c>
      <c r="Z9440">
        <v>2.949005E-2</v>
      </c>
      <c r="AA9440">
        <v>0.84330609999999995</v>
      </c>
      <c r="AB9440">
        <v>28</v>
      </c>
      <c r="AC9440">
        <v>0.71700000000001296</v>
      </c>
      <c r="AD9440">
        <v>-9.5712000000000005E-2</v>
      </c>
      <c r="AE9440">
        <v>0.56360999999999695</v>
      </c>
      <c r="AF9440">
        <v>-0.55076270434386798</v>
      </c>
      <c r="AG9440">
        <v>-9.5712000000000005E-2</v>
      </c>
      <c r="AH9440">
        <v>0.71441053040745395</v>
      </c>
      <c r="AI9440">
        <v>96.056603671167295</v>
      </c>
      <c r="AJ9440">
        <v>127.6298180971</v>
      </c>
      <c r="AK9440">
        <v>0.90712884939088501</v>
      </c>
      <c r="AL9440">
        <v>81.6147761941737</v>
      </c>
      <c r="AM9440">
        <v>106.638170215082</v>
      </c>
      <c r="AN9440">
        <v>1.0000000201546899</v>
      </c>
    </row>
    <row r="9441" spans="1:40" x14ac:dyDescent="0.25">
      <c r="A9441" t="str">
        <f>"20190303162132395"</f>
        <v>20190303162132395</v>
      </c>
      <c r="B9441" t="str">
        <f>"1551601292382414"</f>
        <v>1551601292382414</v>
      </c>
      <c r="C9441" t="s">
        <v>40</v>
      </c>
      <c r="D9441">
        <v>5.0145049999999998</v>
      </c>
      <c r="E9441">
        <v>0.38405339999999999</v>
      </c>
      <c r="F9441" t="s">
        <v>42</v>
      </c>
      <c r="G9441">
        <v>-215.619</v>
      </c>
      <c r="H9441">
        <v>1.042867</v>
      </c>
      <c r="I9441">
        <v>-62.377740000000003</v>
      </c>
      <c r="J9441">
        <v>-216.21100000000001</v>
      </c>
      <c r="K9441">
        <v>1.1242219999999901</v>
      </c>
      <c r="L9441">
        <v>-62.858730000000001</v>
      </c>
      <c r="M9441">
        <v>0.99986489999999995</v>
      </c>
      <c r="N9441">
        <v>-1.175372E-2</v>
      </c>
      <c r="O9441">
        <v>1.1490200000000001E-2</v>
      </c>
      <c r="P9441">
        <v>0.9455983</v>
      </c>
      <c r="Q9441">
        <v>0.1365989</v>
      </c>
      <c r="R9441">
        <v>0.29526989999999997</v>
      </c>
      <c r="S9441">
        <v>2.669556</v>
      </c>
      <c r="T9441">
        <v>-0.29520859999999999</v>
      </c>
      <c r="U9441">
        <v>1.7604059999999999</v>
      </c>
      <c r="V9441">
        <v>-0.2854178</v>
      </c>
      <c r="W9441">
        <v>0.1457368</v>
      </c>
      <c r="X9441">
        <v>0.94725789999999999</v>
      </c>
      <c r="Y9441">
        <v>-0.53831799999999996</v>
      </c>
      <c r="Z9441">
        <v>2.9448869999999999E-2</v>
      </c>
      <c r="AA9441">
        <v>0.84222710000000001</v>
      </c>
      <c r="AB9441">
        <v>28</v>
      </c>
      <c r="AC9441">
        <v>0.59199999999995601</v>
      </c>
      <c r="AD9441">
        <v>-8.1354999999999802E-2</v>
      </c>
      <c r="AE9441">
        <v>0.48098999999999797</v>
      </c>
      <c r="AF9441">
        <v>-0.46882232927846201</v>
      </c>
      <c r="AG9441">
        <v>-8.1354999999999802E-2</v>
      </c>
      <c r="AH9441">
        <v>0.59076749331977096</v>
      </c>
      <c r="AI9441">
        <v>96.156739633734404</v>
      </c>
      <c r="AJ9441">
        <v>128.43487596600599</v>
      </c>
      <c r="AK9441">
        <v>0.75856393508946096</v>
      </c>
      <c r="AL9441">
        <v>81.620052307127807</v>
      </c>
      <c r="AM9441">
        <v>106.76805295008199</v>
      </c>
      <c r="AN9441">
        <v>1.0000000322717399</v>
      </c>
    </row>
    <row r="9442" spans="1:40" x14ac:dyDescent="0.25">
      <c r="A9442" t="str">
        <f>"20190303162132405"</f>
        <v>20190303162132405</v>
      </c>
      <c r="B9442" t="str">
        <f>"1551601292401935"</f>
        <v>1551601292401935</v>
      </c>
      <c r="C9442" t="s">
        <v>40</v>
      </c>
      <c r="D9442">
        <v>4.9856119999999997</v>
      </c>
      <c r="E9442">
        <v>0.38401190000000002</v>
      </c>
      <c r="F9442" t="s">
        <v>42</v>
      </c>
      <c r="G9442">
        <v>-215.3837</v>
      </c>
      <c r="H9442">
        <v>1.0324249999999999</v>
      </c>
      <c r="I9442">
        <v>-62.308239999999998</v>
      </c>
      <c r="J9442">
        <v>-216.07499999999999</v>
      </c>
      <c r="K9442">
        <v>1.1243110000000001</v>
      </c>
      <c r="L9442">
        <v>-62.855289999999997</v>
      </c>
      <c r="M9442">
        <v>0.9998399</v>
      </c>
      <c r="N9442">
        <v>-1.1765070000000001E-2</v>
      </c>
      <c r="O9442">
        <v>1.348242E-2</v>
      </c>
      <c r="P9442">
        <v>0.94432099999999997</v>
      </c>
      <c r="Q9442">
        <v>0.136717899999999</v>
      </c>
      <c r="R9442">
        <v>0.29927599999999999</v>
      </c>
      <c r="S9442">
        <v>2.662048</v>
      </c>
      <c r="T9442">
        <v>-0.2953943</v>
      </c>
      <c r="U9442">
        <v>1.7717590000000001</v>
      </c>
      <c r="V9442">
        <v>-0.28758430000000001</v>
      </c>
      <c r="W9442">
        <v>0.1457774</v>
      </c>
      <c r="X9442">
        <v>0.94659610000000005</v>
      </c>
      <c r="Y9442">
        <v>-0.54021519999999901</v>
      </c>
      <c r="Z9442">
        <v>2.9434749999999999E-2</v>
      </c>
      <c r="AA9442">
        <v>0.84101199999999998</v>
      </c>
      <c r="AB9442">
        <v>28</v>
      </c>
      <c r="AC9442">
        <v>0.69129999999998404</v>
      </c>
      <c r="AD9442">
        <v>-9.1886000000000106E-2</v>
      </c>
      <c r="AE9442">
        <v>0.54704999999999804</v>
      </c>
      <c r="AF9442">
        <v>-0.53190067525668405</v>
      </c>
      <c r="AG9442">
        <v>-9.1886000000000106E-2</v>
      </c>
      <c r="AH9442">
        <v>0.69110508053336295</v>
      </c>
      <c r="AI9442">
        <v>96.014648424434895</v>
      </c>
      <c r="AJ9442">
        <v>127.583244965098</v>
      </c>
      <c r="AK9442">
        <v>0.87691937923251695</v>
      </c>
      <c r="AL9442">
        <v>81.617700531301907</v>
      </c>
      <c r="AM9442">
        <v>106.899247232531</v>
      </c>
      <c r="AN9442">
        <v>0.99999997824622899</v>
      </c>
    </row>
    <row r="9443" spans="1:40" x14ac:dyDescent="0.25">
      <c r="A9443" t="str">
        <f>"20190303162132415"</f>
        <v>20190303162132415</v>
      </c>
      <c r="B9443" t="str">
        <f>"1551601292411695"</f>
        <v>1551601292411695</v>
      </c>
      <c r="C9443" t="s">
        <v>40</v>
      </c>
      <c r="D9443">
        <v>5.0356069999999997</v>
      </c>
      <c r="E9443">
        <v>0.38400679999999998</v>
      </c>
      <c r="F9443" t="s">
        <v>42</v>
      </c>
      <c r="G9443">
        <v>-215.149</v>
      </c>
      <c r="H9443">
        <v>1.0213730000000001</v>
      </c>
      <c r="I9443">
        <v>-62.233580000000003</v>
      </c>
      <c r="J9443">
        <v>-215.9392</v>
      </c>
      <c r="K9443">
        <v>1.1244099999999999</v>
      </c>
      <c r="L9443">
        <v>-62.851289999999999</v>
      </c>
      <c r="M9443">
        <v>0.99980910000000001</v>
      </c>
      <c r="N9443">
        <v>-1.177687E-2</v>
      </c>
      <c r="O9443">
        <v>1.5584239999999999E-2</v>
      </c>
      <c r="P9443">
        <v>0.94288780000000005</v>
      </c>
      <c r="Q9443">
        <v>0.13667860000000001</v>
      </c>
      <c r="R9443">
        <v>0.3037783</v>
      </c>
      <c r="S9443">
        <v>2.6546020000000001</v>
      </c>
      <c r="T9443">
        <v>-0.29511389999999998</v>
      </c>
      <c r="U9443">
        <v>1.782837</v>
      </c>
      <c r="V9443">
        <v>-0.29014839999999997</v>
      </c>
      <c r="W9443">
        <v>0.14565239999999999</v>
      </c>
      <c r="X9443">
        <v>0.94583260000000002</v>
      </c>
      <c r="Y9443">
        <v>-0.54195740000000003</v>
      </c>
      <c r="Z9443">
        <v>2.9361399999999999E-2</v>
      </c>
      <c r="AA9443">
        <v>0.839893</v>
      </c>
      <c r="AB9443">
        <v>28</v>
      </c>
      <c r="AC9443">
        <v>0.79019999999999802</v>
      </c>
      <c r="AD9443">
        <v>-0.103037</v>
      </c>
      <c r="AE9443">
        <v>0.61771000000000198</v>
      </c>
      <c r="AF9443">
        <v>-0.59899793002792701</v>
      </c>
      <c r="AG9443">
        <v>-0.103037</v>
      </c>
      <c r="AH9443">
        <v>0.79137941374875598</v>
      </c>
      <c r="AI9443">
        <v>95.926893950499704</v>
      </c>
      <c r="AJ9443">
        <v>127.12221021513</v>
      </c>
      <c r="AK9443">
        <v>0.99784594003887495</v>
      </c>
      <c r="AL9443">
        <v>81.624940050996003</v>
      </c>
      <c r="AM9443">
        <v>107.054184065483</v>
      </c>
      <c r="AN9443">
        <v>1.0000000114355301</v>
      </c>
    </row>
    <row r="9444" spans="1:40" x14ac:dyDescent="0.25">
      <c r="A9444" t="str">
        <f>"20190303162132427"</f>
        <v>20190303162132427</v>
      </c>
      <c r="B9444" t="str">
        <f>"1551601292422431"</f>
        <v>1551601292422431</v>
      </c>
      <c r="C9444" t="s">
        <v>40</v>
      </c>
      <c r="D9444">
        <v>5.0796809999999999</v>
      </c>
      <c r="E9444">
        <v>0.38400289999999998</v>
      </c>
      <c r="F9444" t="s">
        <v>42</v>
      </c>
      <c r="G9444">
        <v>-215.13339999999999</v>
      </c>
      <c r="H9444">
        <v>1.0343869999999999</v>
      </c>
      <c r="I9444">
        <v>-62.30491</v>
      </c>
      <c r="J9444">
        <v>-215.7927</v>
      </c>
      <c r="K9444">
        <v>1.124514</v>
      </c>
      <c r="L9444">
        <v>-62.8467699999999</v>
      </c>
      <c r="M9444">
        <v>0.99977050000000001</v>
      </c>
      <c r="N9444">
        <v>-1.1789289999999999E-2</v>
      </c>
      <c r="O9444">
        <v>1.7881459999999998E-2</v>
      </c>
      <c r="P9444">
        <v>0.941384</v>
      </c>
      <c r="Q9444">
        <v>0.13659180000000001</v>
      </c>
      <c r="R9444">
        <v>0.308446</v>
      </c>
      <c r="S9444">
        <v>2.6462400000000001</v>
      </c>
      <c r="T9444">
        <v>-0.29565819999999998</v>
      </c>
      <c r="U9444">
        <v>1.794983</v>
      </c>
      <c r="V9444">
        <v>-0.29270089999999999</v>
      </c>
      <c r="W9444">
        <v>0.14547499999999999</v>
      </c>
      <c r="X9444">
        <v>0.9450731</v>
      </c>
      <c r="Y9444">
        <v>-0.54388599999999998</v>
      </c>
      <c r="Z9444">
        <v>2.9357580000000001E-2</v>
      </c>
      <c r="AA9444">
        <v>0.83864550000000004</v>
      </c>
      <c r="AB9444">
        <v>28</v>
      </c>
      <c r="AC9444">
        <v>0.659300000000001</v>
      </c>
      <c r="AD9444">
        <v>-9.0126999999999804E-2</v>
      </c>
      <c r="AE9444">
        <v>0.54185999999999201</v>
      </c>
      <c r="AF9444">
        <v>-0.52413738506562202</v>
      </c>
      <c r="AG9444">
        <v>-9.0126999999999804E-2</v>
      </c>
      <c r="AH9444">
        <v>0.66150646637723098</v>
      </c>
      <c r="AI9444">
        <v>96.095369664194706</v>
      </c>
      <c r="AJ9444">
        <v>128.391158791583</v>
      </c>
      <c r="AK9444">
        <v>0.84878364711587095</v>
      </c>
      <c r="AL9444">
        <v>81.635213470356405</v>
      </c>
      <c r="AM9444">
        <v>107.20840375054701</v>
      </c>
      <c r="AN9444">
        <v>0.999999978414709</v>
      </c>
    </row>
    <row r="9445" spans="1:40" x14ac:dyDescent="0.25">
      <c r="A9445" t="str">
        <f>"20190303162132438"</f>
        <v>20190303162132438</v>
      </c>
      <c r="B9445" t="str">
        <f>"1551601292431722"</f>
        <v>1551601292431722</v>
      </c>
      <c r="C9445" t="s">
        <v>40</v>
      </c>
      <c r="D9445">
        <v>5.162401</v>
      </c>
      <c r="E9445">
        <v>0.3839747</v>
      </c>
      <c r="F9445" t="s">
        <v>42</v>
      </c>
      <c r="G9445">
        <v>-214.899</v>
      </c>
      <c r="H9445">
        <v>1.0240940000000001</v>
      </c>
      <c r="I9445">
        <v>-62.234279999999998</v>
      </c>
      <c r="J9445">
        <v>-215.6575</v>
      </c>
      <c r="K9445">
        <v>1.124614</v>
      </c>
      <c r="L9445">
        <v>-62.842129999999997</v>
      </c>
      <c r="M9445">
        <v>0.99972870000000003</v>
      </c>
      <c r="N9445">
        <v>-1.180089E-2</v>
      </c>
      <c r="O9445">
        <v>2.0078470000000001E-2</v>
      </c>
      <c r="P9445">
        <v>0.93986369999999997</v>
      </c>
      <c r="Q9445">
        <v>0.1366214</v>
      </c>
      <c r="R9445">
        <v>0.31303449999999999</v>
      </c>
      <c r="S9445">
        <v>2.6374819999999999</v>
      </c>
      <c r="T9445">
        <v>-0.29635009999999901</v>
      </c>
      <c r="U9445">
        <v>1.807709</v>
      </c>
      <c r="V9445">
        <v>-0.29527150000000002</v>
      </c>
      <c r="W9445">
        <v>0.14541789999999999</v>
      </c>
      <c r="X9445">
        <v>0.94428190000000001</v>
      </c>
      <c r="Y9445">
        <v>-0.54607550000000005</v>
      </c>
      <c r="Z9445">
        <v>2.939137E-2</v>
      </c>
      <c r="AA9445">
        <v>0.83722030000000003</v>
      </c>
      <c r="AB9445">
        <v>28</v>
      </c>
      <c r="AC9445">
        <v>0.75849999999999795</v>
      </c>
      <c r="AD9445">
        <v>-0.100519999999999</v>
      </c>
      <c r="AE9445">
        <v>0.607849999999999</v>
      </c>
      <c r="AF9445">
        <v>-0.58622741412115398</v>
      </c>
      <c r="AG9445">
        <v>-0.100519999999999</v>
      </c>
      <c r="AH9445">
        <v>0.76239908935394496</v>
      </c>
      <c r="AI9445">
        <v>95.966919240649403</v>
      </c>
      <c r="AJ9445">
        <v>127.557569425902</v>
      </c>
      <c r="AK9445">
        <v>0.96696392017225796</v>
      </c>
      <c r="AL9445">
        <v>81.6385201143584</v>
      </c>
      <c r="AM9445">
        <v>107.364162459742</v>
      </c>
      <c r="AN9445">
        <v>0.99999996551013404</v>
      </c>
    </row>
    <row r="9446" spans="1:40" x14ac:dyDescent="0.25">
      <c r="A9446" t="str">
        <f>"20190303162132450"</f>
        <v>20190303162132450</v>
      </c>
      <c r="B9446" t="str">
        <f>"1551601292442458"</f>
        <v>1551601292442458</v>
      </c>
      <c r="C9446" t="s">
        <v>40</v>
      </c>
      <c r="D9446">
        <v>5.0497350000000001</v>
      </c>
      <c r="E9446">
        <v>0.38398070000000001</v>
      </c>
      <c r="F9446" t="s">
        <v>42</v>
      </c>
      <c r="G9446">
        <v>-214.88210000000001</v>
      </c>
      <c r="H9446">
        <v>1.036961</v>
      </c>
      <c r="I9446">
        <v>-62.305269999999901</v>
      </c>
      <c r="J9446">
        <v>-215.52099999999999</v>
      </c>
      <c r="K9446">
        <v>1.124706</v>
      </c>
      <c r="L9446">
        <v>-62.837159999999997</v>
      </c>
      <c r="M9446">
        <v>0.99968060000000003</v>
      </c>
      <c r="N9446">
        <v>-1.1812420000000001E-2</v>
      </c>
      <c r="O9446">
        <v>2.2344840000000001E-2</v>
      </c>
      <c r="P9446">
        <v>0.93816829999999996</v>
      </c>
      <c r="Q9446">
        <v>0.1368577</v>
      </c>
      <c r="R9446">
        <v>0.3179785</v>
      </c>
      <c r="S9446">
        <v>2.62886</v>
      </c>
      <c r="T9446">
        <v>-0.29716670000000001</v>
      </c>
      <c r="U9446">
        <v>1.8203130000000001</v>
      </c>
      <c r="V9446">
        <v>-0.29814230000000003</v>
      </c>
      <c r="W9446">
        <v>0.14556269999999999</v>
      </c>
      <c r="X9446">
        <v>0.94335709999999995</v>
      </c>
      <c r="Y9446">
        <v>-0.54815539999999996</v>
      </c>
      <c r="Z9446">
        <v>2.9421739999999998E-2</v>
      </c>
      <c r="AA9446">
        <v>0.83585880000000001</v>
      </c>
      <c r="AB9446">
        <v>28</v>
      </c>
      <c r="AC9446">
        <v>0.63889999999997804</v>
      </c>
      <c r="AD9446">
        <v>-8.7744999999999906E-2</v>
      </c>
      <c r="AE9446">
        <v>0.53189000000000397</v>
      </c>
      <c r="AF9446">
        <v>-0.51177860991125901</v>
      </c>
      <c r="AG9446">
        <v>-8.7744999999999906E-2</v>
      </c>
      <c r="AH9446">
        <v>0.643457857656898</v>
      </c>
      <c r="AI9446">
        <v>96.091793901496999</v>
      </c>
      <c r="AJ9446">
        <v>128.49722499962999</v>
      </c>
      <c r="AK9446">
        <v>0.82683404935216998</v>
      </c>
      <c r="AL9446">
        <v>81.630134534058399</v>
      </c>
      <c r="AM9446">
        <v>107.538825440889</v>
      </c>
      <c r="AN9446">
        <v>0.99999997440049404</v>
      </c>
    </row>
    <row r="9447" spans="1:40" x14ac:dyDescent="0.25">
      <c r="A9447" t="str">
        <f>"20190303162132460"</f>
        <v>20190303162132460</v>
      </c>
      <c r="B9447" t="str">
        <f>"1551601292452218"</f>
        <v>1551601292452218</v>
      </c>
      <c r="C9447" t="s">
        <v>40</v>
      </c>
      <c r="D9447">
        <v>5.1340849999999998</v>
      </c>
      <c r="E9447">
        <v>0.38402730000000002</v>
      </c>
      <c r="F9447" t="s">
        <v>42</v>
      </c>
      <c r="G9447">
        <v>-214.64949999999999</v>
      </c>
      <c r="H9447">
        <v>1.025941</v>
      </c>
      <c r="I9447">
        <v>-62.227319999999999</v>
      </c>
      <c r="J9447">
        <v>-215.38499999999999</v>
      </c>
      <c r="K9447">
        <v>1.1247990000000001</v>
      </c>
      <c r="L9447">
        <v>-62.831789999999998</v>
      </c>
      <c r="M9447">
        <v>0.99962589999999996</v>
      </c>
      <c r="N9447">
        <v>-1.1823810000000001E-2</v>
      </c>
      <c r="O9447">
        <v>2.466405E-2</v>
      </c>
      <c r="P9447">
        <v>0.93657800000000002</v>
      </c>
      <c r="Q9447">
        <v>0.1369514</v>
      </c>
      <c r="R9447">
        <v>0.3225925</v>
      </c>
      <c r="S9447">
        <v>2.619507</v>
      </c>
      <c r="T9447">
        <v>-0.29688979999999998</v>
      </c>
      <c r="U9447">
        <v>1.833771</v>
      </c>
      <c r="V9447">
        <v>-0.30063479999999998</v>
      </c>
      <c r="W9447">
        <v>0.14556939999999999</v>
      </c>
      <c r="X9447">
        <v>0.94256470000000003</v>
      </c>
      <c r="Y9447">
        <v>-0.55049619999999999</v>
      </c>
      <c r="Z9447">
        <v>2.9371870000000001E-2</v>
      </c>
      <c r="AA9447">
        <v>0.83432079999999997</v>
      </c>
      <c r="AB9447">
        <v>28</v>
      </c>
      <c r="AC9447">
        <v>0.73550000000000104</v>
      </c>
      <c r="AD9447">
        <v>-9.8857999999999793E-2</v>
      </c>
      <c r="AE9447">
        <v>0.60447000000000595</v>
      </c>
      <c r="AF9447">
        <v>-0.57989157643957001</v>
      </c>
      <c r="AG9447">
        <v>-9.8857999999999793E-2</v>
      </c>
      <c r="AH9447">
        <v>0.74218315430660797</v>
      </c>
      <c r="AI9447">
        <v>95.991815720841601</v>
      </c>
      <c r="AJ9447">
        <v>128.00165600092899</v>
      </c>
      <c r="AK9447">
        <v>0.94703905892316598</v>
      </c>
      <c r="AL9447">
        <v>81.629746511276593</v>
      </c>
      <c r="AM9447">
        <v>107.690291695985</v>
      </c>
      <c r="AN9447">
        <v>0.99999997343674396</v>
      </c>
    </row>
    <row r="9448" spans="1:40" x14ac:dyDescent="0.25">
      <c r="A9448" t="str">
        <f>"20190303162132472"</f>
        <v>20190303162132472</v>
      </c>
      <c r="B9448" t="str">
        <f>"1551601292461978"</f>
        <v>1551601292461978</v>
      </c>
      <c r="C9448" t="s">
        <v>40</v>
      </c>
      <c r="D9448">
        <v>5.0744400000000001</v>
      </c>
      <c r="E9448">
        <v>0.38406659999999998</v>
      </c>
      <c r="F9448" t="s">
        <v>42</v>
      </c>
      <c r="G9448">
        <v>-214.63200000000001</v>
      </c>
      <c r="H9448">
        <v>1.039261</v>
      </c>
      <c r="I9448">
        <v>-62.299590000000002</v>
      </c>
      <c r="J9448">
        <v>-215.2407</v>
      </c>
      <c r="K9448">
        <v>1.124895</v>
      </c>
      <c r="L9448">
        <v>-62.825679999999998</v>
      </c>
      <c r="M9448">
        <v>0.99955989999999995</v>
      </c>
      <c r="N9448">
        <v>-1.18359E-2</v>
      </c>
      <c r="O9448">
        <v>2.7200289999999998E-2</v>
      </c>
      <c r="P9448">
        <v>0.93490680000000004</v>
      </c>
      <c r="Q9448">
        <v>0.13690939999999999</v>
      </c>
      <c r="R9448">
        <v>0.32742209999999899</v>
      </c>
      <c r="S9448">
        <v>2.610703</v>
      </c>
      <c r="T9448">
        <v>-0.29659720000000001</v>
      </c>
      <c r="U9448">
        <v>1.8460080000000001</v>
      </c>
      <c r="V9448">
        <v>-0.30314639999999998</v>
      </c>
      <c r="W9448">
        <v>0.14543490000000001</v>
      </c>
      <c r="X9448">
        <v>0.94178070000000003</v>
      </c>
      <c r="Y9448">
        <v>-0.55231339999999995</v>
      </c>
      <c r="Z9448">
        <v>2.9269159999999999E-2</v>
      </c>
      <c r="AA9448">
        <v>0.83312260000000005</v>
      </c>
      <c r="AB9448">
        <v>28</v>
      </c>
      <c r="AC9448">
        <v>0.60869999999999802</v>
      </c>
      <c r="AD9448">
        <v>-8.5633999999999905E-2</v>
      </c>
      <c r="AE9448">
        <v>0.52609000000000306</v>
      </c>
      <c r="AF9448">
        <v>-0.50363164355272205</v>
      </c>
      <c r="AG9448">
        <v>-8.5633999999999905E-2</v>
      </c>
      <c r="AH9448">
        <v>0.61580898415668395</v>
      </c>
      <c r="AI9448">
        <v>96.143899091311198</v>
      </c>
      <c r="AJ9448">
        <v>129.277585577178</v>
      </c>
      <c r="AK9448">
        <v>0.80012418993035295</v>
      </c>
      <c r="AL9448">
        <v>81.637535644590997</v>
      </c>
      <c r="AM9448">
        <v>107.842661062586</v>
      </c>
      <c r="AN9448">
        <v>0.999999968431729</v>
      </c>
    </row>
    <row r="9449" spans="1:40" x14ac:dyDescent="0.25">
      <c r="A9449" t="str">
        <f>"20190303162132484"</f>
        <v>20190303162132484</v>
      </c>
      <c r="B9449" t="str">
        <f>"1551601292471739"</f>
        <v>1551601292471739</v>
      </c>
      <c r="C9449" t="s">
        <v>40</v>
      </c>
      <c r="D9449">
        <v>5.0681779999999996</v>
      </c>
      <c r="E9449">
        <v>0.3841347</v>
      </c>
      <c r="F9449" t="s">
        <v>42</v>
      </c>
      <c r="G9449">
        <v>-214.3989</v>
      </c>
      <c r="H9449">
        <v>1.028823</v>
      </c>
      <c r="I9449">
        <v>-62.224229999999999</v>
      </c>
      <c r="J9449">
        <v>-215.09</v>
      </c>
      <c r="K9449">
        <v>1.1249979999999999</v>
      </c>
      <c r="L9449">
        <v>-62.819000000000003</v>
      </c>
      <c r="M9449">
        <v>0.9994828</v>
      </c>
      <c r="N9449">
        <v>-1.1848239999999999E-2</v>
      </c>
      <c r="O9449">
        <v>2.9897630000000001E-2</v>
      </c>
      <c r="P9449">
        <v>0.93321540000000003</v>
      </c>
      <c r="Q9449">
        <v>0.1371996</v>
      </c>
      <c r="R9449">
        <v>0.33209260000000002</v>
      </c>
      <c r="S9449">
        <v>2.6014560000000002</v>
      </c>
      <c r="T9449">
        <v>-0.296904</v>
      </c>
      <c r="U9449">
        <v>1.8585510000000001</v>
      </c>
      <c r="V9449">
        <v>-0.30535780000000001</v>
      </c>
      <c r="W9449">
        <v>0.1456307</v>
      </c>
      <c r="X9449">
        <v>0.94103579999999998</v>
      </c>
      <c r="Y9449">
        <v>-0.55411619999999995</v>
      </c>
      <c r="Z9449">
        <v>2.9204500000000001E-2</v>
      </c>
      <c r="AA9449">
        <v>0.83192679999999997</v>
      </c>
      <c r="AB9449">
        <v>28</v>
      </c>
      <c r="AC9449">
        <v>0.69110000000000504</v>
      </c>
      <c r="AD9449">
        <v>-9.6174999999999899E-2</v>
      </c>
      <c r="AE9449">
        <v>0.59476999999998903</v>
      </c>
      <c r="AF9449">
        <v>-0.56752621755426302</v>
      </c>
      <c r="AG9449">
        <v>-9.6174999999999899E-2</v>
      </c>
      <c r="AH9449">
        <v>0.70077778551579695</v>
      </c>
      <c r="AI9449">
        <v>96.087711806665297</v>
      </c>
      <c r="AJ9449">
        <v>129.00234821920199</v>
      </c>
      <c r="AK9449">
        <v>0.90687658637152702</v>
      </c>
      <c r="AL9449">
        <v>81.626196941361499</v>
      </c>
      <c r="AM9449">
        <v>107.97778861064</v>
      </c>
      <c r="AN9449">
        <v>1.00000003184248</v>
      </c>
    </row>
    <row r="9450" spans="1:40" x14ac:dyDescent="0.25">
      <c r="A9450" t="str">
        <f>"20190303162132497"</f>
        <v>20190303162132497</v>
      </c>
      <c r="B9450" t="str">
        <f>"1551601292492234"</f>
        <v>1551601292492234</v>
      </c>
      <c r="C9450" t="s">
        <v>40</v>
      </c>
      <c r="D9450">
        <v>5.0578699999999897</v>
      </c>
      <c r="E9450">
        <v>0.38422010000000001</v>
      </c>
      <c r="F9450" t="s">
        <v>42</v>
      </c>
      <c r="G9450">
        <v>-214.37880000000001</v>
      </c>
      <c r="H9450">
        <v>1.043579</v>
      </c>
      <c r="I9450">
        <v>-62.30574</v>
      </c>
      <c r="J9450">
        <v>-214.9342</v>
      </c>
      <c r="K9450">
        <v>1.1251119999999999</v>
      </c>
      <c r="L9450">
        <v>-62.811279999999996</v>
      </c>
      <c r="M9450">
        <v>0.99939100000000003</v>
      </c>
      <c r="N9450">
        <v>-1.186191E-2</v>
      </c>
      <c r="O9450">
        <v>3.282069E-2</v>
      </c>
      <c r="P9450">
        <v>0.9313323</v>
      </c>
      <c r="Q9450">
        <v>0.13742869999999999</v>
      </c>
      <c r="R9450">
        <v>0.33724419999999999</v>
      </c>
      <c r="S9450">
        <v>2.5926360000000002</v>
      </c>
      <c r="T9450">
        <v>-0.29677870000000001</v>
      </c>
      <c r="U9450">
        <v>1.8706670000000001</v>
      </c>
      <c r="V9450">
        <v>-0.30785210000000002</v>
      </c>
      <c r="W9450">
        <v>0.14575569999999999</v>
      </c>
      <c r="X9450">
        <v>0.94020340000000002</v>
      </c>
      <c r="Y9450">
        <v>-0.55558450000000004</v>
      </c>
      <c r="Z9450">
        <v>2.906075E-2</v>
      </c>
      <c r="AA9450">
        <v>0.83095200000000002</v>
      </c>
      <c r="AB9450">
        <v>28</v>
      </c>
      <c r="AC9450">
        <v>0.55539999999999101</v>
      </c>
      <c r="AD9450">
        <v>-8.1532999999999994E-2</v>
      </c>
      <c r="AE9450">
        <v>0.50554000000000299</v>
      </c>
      <c r="AF9450">
        <v>-0.48136447466998</v>
      </c>
      <c r="AG9450">
        <v>-8.1532999999999994E-2</v>
      </c>
      <c r="AH9450">
        <v>0.56503472097329399</v>
      </c>
      <c r="AI9450">
        <v>96.268334533419605</v>
      </c>
      <c r="AJ9450">
        <v>130.42834693874499</v>
      </c>
      <c r="AK9450">
        <v>0.74674200596234996</v>
      </c>
      <c r="AL9450">
        <v>81.618957764422007</v>
      </c>
      <c r="AM9450">
        <v>108.130070746255</v>
      </c>
      <c r="AN9450">
        <v>1.0000000364642201</v>
      </c>
    </row>
    <row r="9451" spans="1:40" x14ac:dyDescent="0.25">
      <c r="A9451" t="str">
        <f>"20190303162132510"</f>
        <v>20190303162132510</v>
      </c>
      <c r="B9451" t="str">
        <f>"1551601292501994"</f>
        <v>1551601292501994</v>
      </c>
      <c r="C9451" t="s">
        <v>40</v>
      </c>
      <c r="D9451">
        <v>5.0392989999999998</v>
      </c>
      <c r="E9451">
        <v>0.38427689999999998</v>
      </c>
      <c r="F9451" t="s">
        <v>42</v>
      </c>
      <c r="G9451">
        <v>-214.1446</v>
      </c>
      <c r="H9451">
        <v>1.034524</v>
      </c>
      <c r="I9451">
        <v>-62.235399999999998</v>
      </c>
      <c r="J9451">
        <v>-214.75839999999999</v>
      </c>
      <c r="K9451">
        <v>1.1252470000000001</v>
      </c>
      <c r="L9451">
        <v>-62.802149999999997</v>
      </c>
      <c r="M9451">
        <v>0.99927379999999999</v>
      </c>
      <c r="N9451">
        <v>-1.187766E-2</v>
      </c>
      <c r="O9451">
        <v>3.6203399999999997E-2</v>
      </c>
      <c r="P9451">
        <v>0.92942590000000003</v>
      </c>
      <c r="Q9451">
        <v>0.1377013</v>
      </c>
      <c r="R9451">
        <v>0.34235399999999999</v>
      </c>
      <c r="S9451">
        <v>2.5827179999999998</v>
      </c>
      <c r="T9451">
        <v>-0.2962977</v>
      </c>
      <c r="U9451">
        <v>1.883972</v>
      </c>
      <c r="V9451">
        <v>-0.30988739999999998</v>
      </c>
      <c r="W9451">
        <v>0.14591609999999999</v>
      </c>
      <c r="X9451">
        <v>0.93950959999999994</v>
      </c>
      <c r="Y9451">
        <v>-0.55709409999999904</v>
      </c>
      <c r="Z9451">
        <v>2.8854189999999998E-2</v>
      </c>
      <c r="AA9451">
        <v>0.82994789999999996</v>
      </c>
      <c r="AB9451">
        <v>28</v>
      </c>
      <c r="AC9451">
        <v>0.61379999999999701</v>
      </c>
      <c r="AD9451">
        <v>-9.0722999999999804E-2</v>
      </c>
      <c r="AE9451">
        <v>0.56674999999999898</v>
      </c>
      <c r="AF9451">
        <v>-0.53781302143629295</v>
      </c>
      <c r="AG9451">
        <v>-9.0722999999999804E-2</v>
      </c>
      <c r="AH9451">
        <v>0.62652892995876097</v>
      </c>
      <c r="AI9451">
        <v>96.270164146323097</v>
      </c>
      <c r="AJ9451">
        <v>130.64282240688999</v>
      </c>
      <c r="AK9451">
        <v>0.83066961472700096</v>
      </c>
      <c r="AL9451">
        <v>81.609667886033506</v>
      </c>
      <c r="AM9451">
        <v>108.25459794897399</v>
      </c>
      <c r="AN9451">
        <v>0.99999999870506495</v>
      </c>
    </row>
    <row r="9452" spans="1:40" x14ac:dyDescent="0.25">
      <c r="A9452" t="str">
        <f>"20190303162132526"</f>
        <v>20190303162132526</v>
      </c>
      <c r="B9452" t="str">
        <f>"1551601292521516"</f>
        <v>1551601292521516</v>
      </c>
      <c r="C9452" t="s">
        <v>40</v>
      </c>
      <c r="D9452">
        <v>5.0740610000000004</v>
      </c>
      <c r="E9452">
        <v>0.3844245</v>
      </c>
      <c r="F9452" t="s">
        <v>42</v>
      </c>
      <c r="G9452">
        <v>-213.9083</v>
      </c>
      <c r="H9452">
        <v>1.027695</v>
      </c>
      <c r="I9452">
        <v>-62.175049999999999</v>
      </c>
      <c r="J9452">
        <v>-214.56020000000001</v>
      </c>
      <c r="K9452">
        <v>1.125407</v>
      </c>
      <c r="L9452">
        <v>-62.791020000000003</v>
      </c>
      <c r="M9452">
        <v>0.99912290000000004</v>
      </c>
      <c r="N9452">
        <v>-1.189633E-2</v>
      </c>
      <c r="O9452">
        <v>4.015059E-2</v>
      </c>
      <c r="P9452">
        <v>0.9272281</v>
      </c>
      <c r="Q9452">
        <v>0.13790250000000001</v>
      </c>
      <c r="R9452">
        <v>0.34818259999999901</v>
      </c>
      <c r="S9452">
        <v>2.5725709999999999</v>
      </c>
      <c r="T9452">
        <v>-0.29520429999999998</v>
      </c>
      <c r="U9452">
        <v>1.8975519999999999</v>
      </c>
      <c r="V9452">
        <v>-0.3121372</v>
      </c>
      <c r="W9452">
        <v>0.145984</v>
      </c>
      <c r="X9452">
        <v>0.93875399999999998</v>
      </c>
      <c r="Y9452">
        <v>-0.55824039999999997</v>
      </c>
      <c r="Z9452">
        <v>2.852704E-2</v>
      </c>
      <c r="AA9452">
        <v>0.829188699999999</v>
      </c>
      <c r="AB9452">
        <v>28</v>
      </c>
      <c r="AC9452">
        <v>0.65190000000001103</v>
      </c>
      <c r="AD9452">
        <v>-9.7711999999999993E-2</v>
      </c>
      <c r="AE9452">
        <v>0.61596999999999702</v>
      </c>
      <c r="AF9452">
        <v>-0.58238467644109604</v>
      </c>
      <c r="AG9452">
        <v>-9.7711999999999993E-2</v>
      </c>
      <c r="AH9452">
        <v>0.66817672907279202</v>
      </c>
      <c r="AI9452">
        <v>96.290871809766102</v>
      </c>
      <c r="AJ9452">
        <v>131.07549631288899</v>
      </c>
      <c r="AK9452">
        <v>0.89172848309999397</v>
      </c>
      <c r="AL9452">
        <v>81.605735541210095</v>
      </c>
      <c r="AM9452">
        <v>108.392048412753</v>
      </c>
      <c r="AN9452">
        <v>1.0000000161979199</v>
      </c>
    </row>
    <row r="9453" spans="1:40" x14ac:dyDescent="0.25">
      <c r="A9453" t="str">
        <f>"20190303162132539"</f>
        <v>20190303162132539</v>
      </c>
      <c r="B9453" t="str">
        <f>"1551601292531782"</f>
        <v>1551601292531782</v>
      </c>
      <c r="C9453" t="s">
        <v>40</v>
      </c>
      <c r="D9453">
        <v>5.1070469999999997</v>
      </c>
      <c r="E9453">
        <v>0.3844245</v>
      </c>
      <c r="F9453" t="s">
        <v>62</v>
      </c>
      <c r="G9453">
        <v>-204.7783</v>
      </c>
      <c r="H9453" s="1">
        <v>-4.3534319999999997E-6</v>
      </c>
      <c r="I9453">
        <v>-55.488329999999998</v>
      </c>
      <c r="J9453">
        <v>-214.39619999999999</v>
      </c>
      <c r="K9453">
        <v>1.1255409999999999</v>
      </c>
      <c r="L9453">
        <v>-62.780940000000001</v>
      </c>
      <c r="M9453">
        <v>0.99897990000000003</v>
      </c>
      <c r="N9453">
        <v>-1.191332E-2</v>
      </c>
      <c r="O9453">
        <v>4.355974E-2</v>
      </c>
      <c r="P9453">
        <v>0.92465430000000004</v>
      </c>
      <c r="Q9453">
        <v>0.1375932</v>
      </c>
      <c r="R9453">
        <v>0.35508129999999999</v>
      </c>
      <c r="S9453">
        <v>2.5612490000000001</v>
      </c>
      <c r="T9453">
        <v>-0.29467359999999998</v>
      </c>
      <c r="U9453">
        <v>1.9121090000000001</v>
      </c>
      <c r="V9453">
        <v>-0.31597540000000002</v>
      </c>
      <c r="W9453">
        <v>0.14553450000000001</v>
      </c>
      <c r="X9453">
        <v>0.93753889999999995</v>
      </c>
      <c r="Y9453">
        <v>-0.56019940000000001</v>
      </c>
      <c r="Z9453">
        <v>2.834884E-2</v>
      </c>
      <c r="AA9453">
        <v>0.82787250000000001</v>
      </c>
      <c r="AB9453">
        <v>28</v>
      </c>
      <c r="AC9453">
        <v>9.6178999999999899</v>
      </c>
      <c r="AD9453">
        <v>-1.1255453534319999</v>
      </c>
      <c r="AE9453">
        <v>7.29260999999999</v>
      </c>
      <c r="AF9453">
        <v>-6.8075076635039302</v>
      </c>
      <c r="AG9453">
        <v>-1.1255453534319999</v>
      </c>
      <c r="AH9453">
        <v>9.8408823504300802</v>
      </c>
      <c r="AI9453">
        <v>95.373543067831804</v>
      </c>
      <c r="AJ9453">
        <v>124.673851771343</v>
      </c>
      <c r="AK9453">
        <v>12.018817677554701</v>
      </c>
      <c r="AL9453">
        <v>81.631767600008601</v>
      </c>
      <c r="AM9453">
        <v>108.625176965394</v>
      </c>
      <c r="AN9453">
        <v>0.99999996655430901</v>
      </c>
    </row>
    <row r="9454" spans="1:40" x14ac:dyDescent="0.25">
      <c r="A9454" t="str">
        <f>"20190303162132550"</f>
        <v>20190303162132550</v>
      </c>
      <c r="B9454" t="str">
        <f>"1551601292541543"</f>
        <v>1551601292541543</v>
      </c>
      <c r="C9454" t="s">
        <v>40</v>
      </c>
      <c r="D9454">
        <v>5.0352810000000003</v>
      </c>
      <c r="E9454">
        <v>0.39063340000000002</v>
      </c>
      <c r="F9454" t="s">
        <v>42</v>
      </c>
      <c r="G9454">
        <v>-213.6465</v>
      </c>
      <c r="H9454">
        <v>1.0382119999999999</v>
      </c>
      <c r="I9454">
        <v>-62.213099999999997</v>
      </c>
      <c r="J9454">
        <v>-214.26070000000001</v>
      </c>
      <c r="K9454">
        <v>1.1256489999999999</v>
      </c>
      <c r="L9454">
        <v>-62.772190000000002</v>
      </c>
      <c r="M9454">
        <v>0.99885009999999996</v>
      </c>
      <c r="N9454">
        <v>-1.192735E-2</v>
      </c>
      <c r="O9454">
        <v>4.6435820000000003E-2</v>
      </c>
      <c r="P9454">
        <v>0.92315440000000004</v>
      </c>
      <c r="Q9454">
        <v>0.13696839999999999</v>
      </c>
      <c r="R9454">
        <v>0.35920150000000001</v>
      </c>
      <c r="S9454">
        <v>2.5473629999999998</v>
      </c>
      <c r="T9454">
        <v>-0.29675459999999998</v>
      </c>
      <c r="U9454">
        <v>1.930237</v>
      </c>
      <c r="V9454">
        <v>-0.3174881</v>
      </c>
      <c r="W9454">
        <v>0.14481740000000001</v>
      </c>
      <c r="X9454">
        <v>0.9371389</v>
      </c>
      <c r="Y9454">
        <v>-0.56367929999999999</v>
      </c>
      <c r="Z9454">
        <v>2.8530159999999999E-2</v>
      </c>
      <c r="AA9454">
        <v>0.82550089999999998</v>
      </c>
      <c r="AB9454">
        <v>28</v>
      </c>
      <c r="AC9454">
        <v>0.61420000000001096</v>
      </c>
      <c r="AD9454">
        <v>-8.7436999999999696E-2</v>
      </c>
      <c r="AE9454">
        <v>0.55909000000000397</v>
      </c>
      <c r="AF9454">
        <v>-0.52415475688387103</v>
      </c>
      <c r="AG9454">
        <v>-8.7436999999999696E-2</v>
      </c>
      <c r="AH9454">
        <v>0.63249117746607597</v>
      </c>
      <c r="AI9454">
        <v>96.075801042200496</v>
      </c>
      <c r="AJ9454">
        <v>129.64904301402501</v>
      </c>
      <c r="AK9454">
        <v>0.82609232395986698</v>
      </c>
      <c r="AL9454">
        <v>81.673295007791197</v>
      </c>
      <c r="AM9454">
        <v>108.71558175160401</v>
      </c>
      <c r="AN9454">
        <v>1.0000000454387801</v>
      </c>
    </row>
    <row r="9455" spans="1:40" x14ac:dyDescent="0.25">
      <c r="A9455" t="str">
        <f>"20190303162132561"</f>
        <v>20190303162132561</v>
      </c>
      <c r="B9455" t="str">
        <f>"1551601292552278"</f>
        <v>1551601292552278</v>
      </c>
      <c r="C9455" t="s">
        <v>40</v>
      </c>
      <c r="D9455">
        <v>5.0603680000000004</v>
      </c>
      <c r="E9455">
        <v>0.3897716</v>
      </c>
      <c r="F9455" t="s">
        <v>42</v>
      </c>
      <c r="G9455">
        <v>-213.41290000000001</v>
      </c>
      <c r="H9455">
        <v>1.0316989999999999</v>
      </c>
      <c r="I9455">
        <v>-62.143189999999997</v>
      </c>
      <c r="J9455">
        <v>-214.1242</v>
      </c>
      <c r="K9455">
        <v>1.1257549999999901</v>
      </c>
      <c r="L9455">
        <v>-62.76294</v>
      </c>
      <c r="M9455">
        <v>0.99870789999999998</v>
      </c>
      <c r="N9455">
        <v>-1.194159E-2</v>
      </c>
      <c r="O9455">
        <v>4.9395679999999997E-2</v>
      </c>
      <c r="P9455">
        <v>0.92149270000000005</v>
      </c>
      <c r="Q9455">
        <v>0.13639519999999999</v>
      </c>
      <c r="R9455">
        <v>0.36365910000000001</v>
      </c>
      <c r="S9455">
        <v>2.554306</v>
      </c>
      <c r="T9455">
        <v>-0.28303469999999997</v>
      </c>
      <c r="U9455">
        <v>1.8951720000000001</v>
      </c>
      <c r="V9455">
        <v>-0.31927169999999999</v>
      </c>
      <c r="W9455">
        <v>0.14414679999999999</v>
      </c>
      <c r="X9455">
        <v>0.93663609999999997</v>
      </c>
      <c r="Y9455">
        <v>-0.55311319999999997</v>
      </c>
      <c r="Z9455">
        <v>2.659243E-2</v>
      </c>
      <c r="AA9455">
        <v>0.83268159999999902</v>
      </c>
      <c r="AB9455">
        <v>28</v>
      </c>
      <c r="AC9455">
        <v>0.71129999999999405</v>
      </c>
      <c r="AD9455">
        <v>-9.4055999999999904E-2</v>
      </c>
      <c r="AE9455">
        <v>0.61974999999999603</v>
      </c>
      <c r="AF9455">
        <v>-0.57810958266301804</v>
      </c>
      <c r="AG9455">
        <v>-9.4055999999999904E-2</v>
      </c>
      <c r="AH9455">
        <v>0.73375359486250002</v>
      </c>
      <c r="AI9455">
        <v>95.749618827208494</v>
      </c>
      <c r="AJ9455">
        <v>128.23385840829499</v>
      </c>
      <c r="AK9455">
        <v>0.93885651655428803</v>
      </c>
      <c r="AL9455">
        <v>81.712124195990896</v>
      </c>
      <c r="AM9455">
        <v>108.822733733223</v>
      </c>
      <c r="AN9455">
        <v>0.99999995109716799</v>
      </c>
    </row>
    <row r="9456" spans="1:40" x14ac:dyDescent="0.25">
      <c r="A9456" t="str">
        <f>"20190303162132572"</f>
        <v>20190303162132572</v>
      </c>
      <c r="B9456" t="str">
        <f>"1551601292562038"</f>
        <v>1551601292562038</v>
      </c>
      <c r="C9456" t="s">
        <v>40</v>
      </c>
      <c r="D9456">
        <v>5.0431589999999904</v>
      </c>
      <c r="E9456">
        <v>0.38927830000000002</v>
      </c>
      <c r="F9456" t="s">
        <v>42</v>
      </c>
      <c r="G9456">
        <v>-213.39400000000001</v>
      </c>
      <c r="H9456">
        <v>1.044081</v>
      </c>
      <c r="I9456">
        <v>-62.213459999999998</v>
      </c>
      <c r="J9456">
        <v>-213.98259999999999</v>
      </c>
      <c r="K9456">
        <v>1.1258699999999999</v>
      </c>
      <c r="L9456">
        <v>-62.752749999999999</v>
      </c>
      <c r="M9456">
        <v>0.99854609999999999</v>
      </c>
      <c r="N9456">
        <v>-1.1956639999999999E-2</v>
      </c>
      <c r="O9456">
        <v>5.2564260000000002E-2</v>
      </c>
      <c r="P9456">
        <v>0.91985419999999996</v>
      </c>
      <c r="Q9456">
        <v>0.1356212</v>
      </c>
      <c r="R9456">
        <v>0.3680697</v>
      </c>
      <c r="S9456">
        <v>2.5425260000000001</v>
      </c>
      <c r="T9456">
        <v>-0.28437829999999997</v>
      </c>
      <c r="U9456">
        <v>1.913513</v>
      </c>
      <c r="V9456">
        <v>-0.32081579999999998</v>
      </c>
      <c r="W9456">
        <v>0.14327390000000001</v>
      </c>
      <c r="X9456">
        <v>0.93624240000000003</v>
      </c>
      <c r="Y9456">
        <v>-0.55613250000000003</v>
      </c>
      <c r="Z9456">
        <v>2.6643480000000001E-2</v>
      </c>
      <c r="AA9456">
        <v>0.83066649999999997</v>
      </c>
      <c r="AB9456">
        <v>28</v>
      </c>
      <c r="AC9456">
        <v>0.58859999999998502</v>
      </c>
      <c r="AD9456">
        <v>-8.1789000000000098E-2</v>
      </c>
      <c r="AE9456">
        <v>0.53929000000000105</v>
      </c>
      <c r="AF9456">
        <v>-0.50232995952654103</v>
      </c>
      <c r="AG9456">
        <v>-8.1789000000000098E-2</v>
      </c>
      <c r="AH9456">
        <v>0.60973530156657496</v>
      </c>
      <c r="AI9456">
        <v>95.910736574999504</v>
      </c>
      <c r="AJ9456">
        <v>129.483377158335</v>
      </c>
      <c r="AK9456">
        <v>0.79423042420661405</v>
      </c>
      <c r="AL9456">
        <v>81.762662768462505</v>
      </c>
      <c r="AM9456">
        <v>108.914699640506</v>
      </c>
      <c r="AN9456">
        <v>1.0000000097543</v>
      </c>
    </row>
    <row r="9457" spans="1:40" x14ac:dyDescent="0.25">
      <c r="A9457" t="str">
        <f>"20190303162132583"</f>
        <v>20190303162132583</v>
      </c>
      <c r="B9457" t="str">
        <f>"1551601292572774"</f>
        <v>1551601292572774</v>
      </c>
      <c r="C9457" t="s">
        <v>40</v>
      </c>
      <c r="D9457">
        <v>5.0477309999999997</v>
      </c>
      <c r="E9457">
        <v>0.38942500000000002</v>
      </c>
      <c r="F9457" t="s">
        <v>42</v>
      </c>
      <c r="G9457">
        <v>-213.1643</v>
      </c>
      <c r="H9457">
        <v>1.0324739999999999</v>
      </c>
      <c r="I9457">
        <v>-62.129550000000002</v>
      </c>
      <c r="J9457">
        <v>-213.84049999999999</v>
      </c>
      <c r="K9457">
        <v>1.1259840000000001</v>
      </c>
      <c r="L9457">
        <v>-62.742190000000001</v>
      </c>
      <c r="M9457">
        <v>0.99837050000000005</v>
      </c>
      <c r="N9457">
        <v>-1.197138E-2</v>
      </c>
      <c r="O9457">
        <v>5.5793860000000001E-2</v>
      </c>
      <c r="P9457">
        <v>0.91831309999999999</v>
      </c>
      <c r="Q9457">
        <v>0.13472979999999901</v>
      </c>
      <c r="R9457">
        <v>0.37222149999999998</v>
      </c>
      <c r="S9457">
        <v>2.5321660000000001</v>
      </c>
      <c r="T9457">
        <v>-0.289020099999999</v>
      </c>
      <c r="U9457">
        <v>1.9288639999999999</v>
      </c>
      <c r="V9457">
        <v>-0.32204260000000001</v>
      </c>
      <c r="W9457">
        <v>0.142287</v>
      </c>
      <c r="X9457">
        <v>0.93597169999999996</v>
      </c>
      <c r="Y9457">
        <v>-0.55819849999999904</v>
      </c>
      <c r="Z9457">
        <v>2.6885909999999999E-2</v>
      </c>
      <c r="AA9457">
        <v>0.82927169999999895</v>
      </c>
      <c r="AB9457">
        <v>28</v>
      </c>
      <c r="AC9457">
        <v>0.67619999999999403</v>
      </c>
      <c r="AD9457">
        <v>-9.3510000000000204E-2</v>
      </c>
      <c r="AE9457">
        <v>0.61263999999999896</v>
      </c>
      <c r="AF9457">
        <v>-0.56798972757608501</v>
      </c>
      <c r="AG9457">
        <v>-9.3510000000000204E-2</v>
      </c>
      <c r="AH9457">
        <v>0.70195821559851801</v>
      </c>
      <c r="AI9457">
        <v>95.912365573678201</v>
      </c>
      <c r="AJ9457">
        <v>128.97806474566099</v>
      </c>
      <c r="AK9457">
        <v>0.90780052168866399</v>
      </c>
      <c r="AL9457">
        <v>81.8197934374178</v>
      </c>
      <c r="AM9457">
        <v>108.986957496063</v>
      </c>
      <c r="AN9457">
        <v>1.00000002489232</v>
      </c>
    </row>
    <row r="9458" spans="1:40" x14ac:dyDescent="0.25">
      <c r="A9458" t="str">
        <f>"20190303162132596"</f>
        <v>20190303162132596</v>
      </c>
      <c r="B9458" t="str">
        <f>"1551601292592293"</f>
        <v>1551601292592293</v>
      </c>
      <c r="C9458" t="s">
        <v>40</v>
      </c>
      <c r="D9458">
        <v>5.0760519999999998</v>
      </c>
      <c r="E9458">
        <v>0.3905826</v>
      </c>
      <c r="F9458" t="s">
        <v>42</v>
      </c>
      <c r="G9458">
        <v>-213.14320000000001</v>
      </c>
      <c r="H9458">
        <v>1.045533</v>
      </c>
      <c r="I9458">
        <v>-62.206710000000001</v>
      </c>
      <c r="J9458">
        <v>-213.696</v>
      </c>
      <c r="K9458">
        <v>1.126107</v>
      </c>
      <c r="L9458">
        <v>-62.730589999999999</v>
      </c>
      <c r="M9458">
        <v>0.99817270000000002</v>
      </c>
      <c r="N9458">
        <v>-1.198782E-2</v>
      </c>
      <c r="O9458">
        <v>5.9223640000000001E-2</v>
      </c>
      <c r="P9458">
        <v>0.91660810000000004</v>
      </c>
      <c r="Q9458">
        <v>0.13375419999999999</v>
      </c>
      <c r="R9458">
        <v>0.37674829999999998</v>
      </c>
      <c r="S9458">
        <v>2.5237880000000001</v>
      </c>
      <c r="T9458">
        <v>-0.2911937</v>
      </c>
      <c r="U9458">
        <v>1.9386289999999999</v>
      </c>
      <c r="V9458">
        <v>-0.32347140000000002</v>
      </c>
      <c r="W9458">
        <v>0.141208</v>
      </c>
      <c r="X9458">
        <v>0.93564230000000004</v>
      </c>
      <c r="Y9458">
        <v>-0.55867060000000002</v>
      </c>
      <c r="Z9458">
        <v>2.6819809999999999E-2</v>
      </c>
      <c r="AA9458">
        <v>0.82895589999999997</v>
      </c>
      <c r="AB9458">
        <v>28</v>
      </c>
      <c r="AC9458">
        <v>0.55279999999998997</v>
      </c>
      <c r="AD9458">
        <v>-8.0573999999999896E-2</v>
      </c>
      <c r="AE9458">
        <v>0.52387999999999801</v>
      </c>
      <c r="AF9458">
        <v>-0.48479301552036902</v>
      </c>
      <c r="AG9458">
        <v>-8.0573999999999896E-2</v>
      </c>
      <c r="AH9458">
        <v>0.57640634379456102</v>
      </c>
      <c r="AI9458">
        <v>96.106250105664799</v>
      </c>
      <c r="AJ9458">
        <v>130.065889514372</v>
      </c>
      <c r="AK9458">
        <v>0.75746994035403603</v>
      </c>
      <c r="AL9458">
        <v>81.882245810889799</v>
      </c>
      <c r="AM9458">
        <v>109.07135383991999</v>
      </c>
      <c r="AN9458">
        <v>0.99999997971562404</v>
      </c>
    </row>
    <row r="9459" spans="1:40" x14ac:dyDescent="0.25">
      <c r="A9459" t="str">
        <f>"20190303162132606"</f>
        <v>20190303162132606</v>
      </c>
      <c r="B9459" t="str">
        <f>"1551601292602053"</f>
        <v>1551601292602053</v>
      </c>
      <c r="C9459" t="s">
        <v>40</v>
      </c>
      <c r="D9459">
        <v>5.0665339999999999</v>
      </c>
      <c r="E9459">
        <v>0.39086500000000002</v>
      </c>
      <c r="F9459" t="s">
        <v>42</v>
      </c>
      <c r="G9459">
        <v>-212.9127</v>
      </c>
      <c r="H9459">
        <v>1.035693</v>
      </c>
      <c r="I9459">
        <v>-62.126249999999999</v>
      </c>
      <c r="J9459">
        <v>-213.5642</v>
      </c>
      <c r="K9459">
        <v>1.1262110000000001</v>
      </c>
      <c r="L9459">
        <v>-62.719790000000003</v>
      </c>
      <c r="M9459">
        <v>0.99798039999999999</v>
      </c>
      <c r="N9459">
        <v>-1.200244E-2</v>
      </c>
      <c r="O9459">
        <v>6.2377540000000002E-2</v>
      </c>
      <c r="P9459">
        <v>0.91491619999999996</v>
      </c>
      <c r="Q9459">
        <v>0.1328791</v>
      </c>
      <c r="R9459">
        <v>0.38114480000000001</v>
      </c>
      <c r="S9459">
        <v>2.5171049999999999</v>
      </c>
      <c r="T9459">
        <v>-0.29054219999999997</v>
      </c>
      <c r="U9459">
        <v>1.942078</v>
      </c>
      <c r="V9459">
        <v>-0.32503120000000002</v>
      </c>
      <c r="W9459">
        <v>0.1402322</v>
      </c>
      <c r="X9459">
        <v>0.93524839999999998</v>
      </c>
      <c r="Y9459">
        <v>-0.55784730000000005</v>
      </c>
      <c r="Z9459">
        <v>2.648528E-2</v>
      </c>
      <c r="AA9459">
        <v>0.82952090000000001</v>
      </c>
      <c r="AB9459">
        <v>28</v>
      </c>
      <c r="AC9459">
        <v>0.65149999999999797</v>
      </c>
      <c r="AD9459">
        <v>-9.0518000000000098E-2</v>
      </c>
      <c r="AE9459">
        <v>0.59354000000000395</v>
      </c>
      <c r="AF9459">
        <v>-0.54598276018523895</v>
      </c>
      <c r="AG9459">
        <v>-9.0518000000000098E-2</v>
      </c>
      <c r="AH9459">
        <v>0.68008343627137102</v>
      </c>
      <c r="AI9459">
        <v>95.925488569357896</v>
      </c>
      <c r="AJ9459">
        <v>128.75810015976501</v>
      </c>
      <c r="AK9459">
        <v>0.87681478262753298</v>
      </c>
      <c r="AL9459">
        <v>81.938716799182302</v>
      </c>
      <c r="AM9459">
        <v>109.16410934199899</v>
      </c>
      <c r="AN9459">
        <v>0.99999996029641902</v>
      </c>
    </row>
    <row r="9460" spans="1:40" x14ac:dyDescent="0.25">
      <c r="A9460" t="str">
        <f>"20190303162132617"</f>
        <v>20190303162132617</v>
      </c>
      <c r="B9460" t="str">
        <f>"1551601292611813"</f>
        <v>1551601292611813</v>
      </c>
      <c r="C9460" t="s">
        <v>40</v>
      </c>
      <c r="D9460">
        <v>5.0796270000000003</v>
      </c>
      <c r="E9460">
        <v>0.39121810000000001</v>
      </c>
      <c r="F9460" t="s">
        <v>62</v>
      </c>
      <c r="G9460">
        <v>-204.05260000000001</v>
      </c>
      <c r="H9460" s="1">
        <v>-4.760583E-6</v>
      </c>
      <c r="I9460">
        <v>-55.319830000000003</v>
      </c>
      <c r="J9460">
        <v>-213.41970000000001</v>
      </c>
      <c r="K9460">
        <v>1.126339</v>
      </c>
      <c r="L9460">
        <v>-62.707030000000003</v>
      </c>
      <c r="M9460">
        <v>0.99774819999999997</v>
      </c>
      <c r="N9460">
        <v>-1.202056E-2</v>
      </c>
      <c r="O9460">
        <v>6.5985080000000002E-2</v>
      </c>
      <c r="P9460">
        <v>0.91315820000000003</v>
      </c>
      <c r="Q9460">
        <v>0.1323521</v>
      </c>
      <c r="R9460">
        <v>0.3855191</v>
      </c>
      <c r="S9460">
        <v>2.5089869999999999</v>
      </c>
      <c r="T9460">
        <v>-0.29707410000000001</v>
      </c>
      <c r="U9460">
        <v>1.951965</v>
      </c>
      <c r="V9460">
        <v>-0.32616099999999998</v>
      </c>
      <c r="W9460">
        <v>0.13960040000000001</v>
      </c>
      <c r="X9460">
        <v>0.93494960000000005</v>
      </c>
      <c r="Y9460">
        <v>-0.5580946</v>
      </c>
      <c r="Z9460">
        <v>2.6706000000000001E-2</v>
      </c>
      <c r="AA9460">
        <v>0.82934739999999996</v>
      </c>
      <c r="AB9460">
        <v>28</v>
      </c>
      <c r="AC9460">
        <v>9.36709999999999</v>
      </c>
      <c r="AD9460">
        <v>-1.126343760583</v>
      </c>
      <c r="AE9460">
        <v>7.3872</v>
      </c>
      <c r="AF9460">
        <v>-6.6932972481338302</v>
      </c>
      <c r="AG9460">
        <v>-1.126343760583</v>
      </c>
      <c r="AH9460">
        <v>9.7472707435920505</v>
      </c>
      <c r="AI9460">
        <v>95.441476359970196</v>
      </c>
      <c r="AJ9460">
        <v>124.4767727816</v>
      </c>
      <c r="AK9460">
        <v>11.877632982533401</v>
      </c>
      <c r="AL9460">
        <v>81.975276312598098</v>
      </c>
      <c r="AM9460">
        <v>109.231535079298</v>
      </c>
      <c r="AN9460">
        <v>1.00000001207066</v>
      </c>
    </row>
    <row r="9461" spans="1:40" x14ac:dyDescent="0.25">
      <c r="A9461" t="str">
        <f>"20190303162132628"</f>
        <v>20190303162132628</v>
      </c>
      <c r="B9461" t="str">
        <f>"1551601292621574"</f>
        <v>1551601292621574</v>
      </c>
      <c r="C9461" t="s">
        <v>40</v>
      </c>
      <c r="D9461">
        <v>5.0555789999999998</v>
      </c>
      <c r="E9461">
        <v>0.39145799999999997</v>
      </c>
      <c r="F9461" t="s">
        <v>42</v>
      </c>
      <c r="G9461">
        <v>-212.66329999999999</v>
      </c>
      <c r="H9461">
        <v>1.035596</v>
      </c>
      <c r="I9461">
        <v>-62.11403</v>
      </c>
      <c r="J9461">
        <v>-213.28450000000001</v>
      </c>
      <c r="K9461">
        <v>1.1264609999999999</v>
      </c>
      <c r="L9461">
        <v>-62.694789999999998</v>
      </c>
      <c r="M9461">
        <v>0.99751590000000001</v>
      </c>
      <c r="N9461">
        <v>-1.20375E-2</v>
      </c>
      <c r="O9461">
        <v>6.9407919999999998E-2</v>
      </c>
      <c r="P9461">
        <v>0.91143589999999997</v>
      </c>
      <c r="Q9461">
        <v>0.13148660000000001</v>
      </c>
      <c r="R9461">
        <v>0.38986680000000001</v>
      </c>
      <c r="S9461">
        <v>2.5009160000000001</v>
      </c>
      <c r="T9461">
        <v>-0.3000176</v>
      </c>
      <c r="U9461">
        <v>1.9609380000000001</v>
      </c>
      <c r="V9461">
        <v>-0.3274338</v>
      </c>
      <c r="W9461">
        <v>0.13863339999999999</v>
      </c>
      <c r="X9461">
        <v>0.93464849999999999</v>
      </c>
      <c r="Y9461">
        <v>-0.55835429999999997</v>
      </c>
      <c r="Z9461">
        <v>2.6667139999999999E-2</v>
      </c>
      <c r="AA9461">
        <v>0.82917389999999902</v>
      </c>
      <c r="AB9461">
        <v>28</v>
      </c>
      <c r="AC9461">
        <v>0.62120000000001596</v>
      </c>
      <c r="AD9461">
        <v>-9.0865000000000196E-2</v>
      </c>
      <c r="AE9461">
        <v>0.58075999999999794</v>
      </c>
      <c r="AF9461">
        <v>-0.53018675701124596</v>
      </c>
      <c r="AG9461">
        <v>-9.0865000000000196E-2</v>
      </c>
      <c r="AH9461">
        <v>0.65256361463052404</v>
      </c>
      <c r="AI9461">
        <v>96.168031542976905</v>
      </c>
      <c r="AJ9461">
        <v>129.09273872348101</v>
      </c>
      <c r="AK9461">
        <v>0.84569126557790497</v>
      </c>
      <c r="AL9461">
        <v>82.031225012330395</v>
      </c>
      <c r="AM9461">
        <v>109.306800826307</v>
      </c>
      <c r="AN9461">
        <v>0.99999996576512395</v>
      </c>
    </row>
    <row r="9462" spans="1:40" x14ac:dyDescent="0.25">
      <c r="A9462" t="str">
        <f>"20190303162132639"</f>
        <v>20190303162132639</v>
      </c>
      <c r="B9462" t="str">
        <f>"1551601292632310"</f>
        <v>1551601292632310</v>
      </c>
      <c r="C9462" t="s">
        <v>40</v>
      </c>
      <c r="D9462">
        <v>5.0920889999999996</v>
      </c>
      <c r="E9462">
        <v>0.39175769999999999</v>
      </c>
      <c r="F9462" t="s">
        <v>42</v>
      </c>
      <c r="G9462">
        <v>-212.43549999999999</v>
      </c>
      <c r="H9462">
        <v>1.0232190000000001</v>
      </c>
      <c r="I9462">
        <v>-62.023620000000001</v>
      </c>
      <c r="J9462">
        <v>-213.14660000000001</v>
      </c>
      <c r="K9462">
        <v>1.12659</v>
      </c>
      <c r="L9462">
        <v>-62.681640000000002</v>
      </c>
      <c r="M9462">
        <v>0.99725929999999996</v>
      </c>
      <c r="N9462">
        <v>-1.205577E-2</v>
      </c>
      <c r="O9462">
        <v>7.2996199999999997E-2</v>
      </c>
      <c r="P9462">
        <v>0.90969180000000005</v>
      </c>
      <c r="Q9462">
        <v>0.13094159999999999</v>
      </c>
      <c r="R9462">
        <v>0.39410040000000002</v>
      </c>
      <c r="S9462">
        <v>2.492432</v>
      </c>
      <c r="T9462">
        <v>-0.3030756</v>
      </c>
      <c r="U9462">
        <v>1.970245</v>
      </c>
      <c r="V9462">
        <v>-0.32844800000000002</v>
      </c>
      <c r="W9462">
        <v>0.13798969999999999</v>
      </c>
      <c r="X9462">
        <v>0.93438790000000005</v>
      </c>
      <c r="Y9462">
        <v>-0.55861149999999904</v>
      </c>
      <c r="Z9462">
        <v>2.6616770000000001E-2</v>
      </c>
      <c r="AA9462">
        <v>0.82900229999999997</v>
      </c>
      <c r="AB9462">
        <v>28</v>
      </c>
      <c r="AC9462">
        <v>0.71110000000001505</v>
      </c>
      <c r="AD9462">
        <v>-0.10337099999999901</v>
      </c>
      <c r="AE9462">
        <v>0.65802000000000704</v>
      </c>
      <c r="AF9462">
        <v>-0.59755044701550397</v>
      </c>
      <c r="AG9462">
        <v>-0.10337099999999901</v>
      </c>
      <c r="AH9462">
        <v>0.74871579124460697</v>
      </c>
      <c r="AI9462">
        <v>96.1589610500844</v>
      </c>
      <c r="AJ9462">
        <v>128.59338493278199</v>
      </c>
      <c r="AK9462">
        <v>0.96349750203540596</v>
      </c>
      <c r="AL9462">
        <v>82.068464470243995</v>
      </c>
      <c r="AM9462">
        <v>109.367156301631</v>
      </c>
      <c r="AN9462">
        <v>0.99999999683825003</v>
      </c>
    </row>
    <row r="9463" spans="1:40" x14ac:dyDescent="0.25">
      <c r="A9463" t="str">
        <f>"20190303162132650"</f>
        <v>20190303162132650</v>
      </c>
      <c r="B9463" t="str">
        <f>"1551601292642069"</f>
        <v>1551601292642069</v>
      </c>
      <c r="C9463" t="s">
        <v>40</v>
      </c>
      <c r="D9463">
        <v>5.067933</v>
      </c>
      <c r="E9463">
        <v>0.39211580000000001</v>
      </c>
      <c r="F9463" t="s">
        <v>42</v>
      </c>
      <c r="G9463">
        <v>-212.4145</v>
      </c>
      <c r="H9463">
        <v>1.036475</v>
      </c>
      <c r="I9463">
        <v>-62.0982699999999</v>
      </c>
      <c r="J9463">
        <v>-213.01150000000001</v>
      </c>
      <c r="K9463">
        <v>1.126711</v>
      </c>
      <c r="L9463">
        <v>-62.66818</v>
      </c>
      <c r="M9463">
        <v>0.99698960000000003</v>
      </c>
      <c r="N9463">
        <v>-1.2073850000000001E-2</v>
      </c>
      <c r="O9463">
        <v>7.6589039999999997E-2</v>
      </c>
      <c r="P9463">
        <v>0.90779030000000005</v>
      </c>
      <c r="Q9463">
        <v>0.13042110000000001</v>
      </c>
      <c r="R9463">
        <v>0.39863150000000003</v>
      </c>
      <c r="S9463">
        <v>2.4842529999999998</v>
      </c>
      <c r="T9463">
        <v>-0.30579339999999999</v>
      </c>
      <c r="U9463">
        <v>1.9795229999999999</v>
      </c>
      <c r="V9463">
        <v>-0.32977129999999999</v>
      </c>
      <c r="W9463">
        <v>0.13736579999999901</v>
      </c>
      <c r="X9463">
        <v>0.93401369999999895</v>
      </c>
      <c r="Y9463">
        <v>-0.55881610000000004</v>
      </c>
      <c r="Z9463">
        <v>2.6528940000000001E-2</v>
      </c>
      <c r="AA9463">
        <v>0.82886709999999997</v>
      </c>
      <c r="AB9463">
        <v>28</v>
      </c>
      <c r="AC9463">
        <v>0.59700000000000797</v>
      </c>
      <c r="AD9463">
        <v>-9.02359999999999E-2</v>
      </c>
      <c r="AE9463">
        <v>0.56991000000001402</v>
      </c>
      <c r="AF9463">
        <v>-0.51633696017081998</v>
      </c>
      <c r="AG9463">
        <v>-9.02359999999999E-2</v>
      </c>
      <c r="AH9463">
        <v>0.63135163038614595</v>
      </c>
      <c r="AI9463">
        <v>96.313363866373706</v>
      </c>
      <c r="AJ9463">
        <v>129.27725705005</v>
      </c>
      <c r="AK9463">
        <v>0.82057983970220005</v>
      </c>
      <c r="AL9463">
        <v>82.104555278928004</v>
      </c>
      <c r="AM9463">
        <v>109.44654799442</v>
      </c>
      <c r="AN9463">
        <v>1.0000000325505001</v>
      </c>
    </row>
    <row r="9464" spans="1:40" x14ac:dyDescent="0.25">
      <c r="A9464" t="str">
        <f>"20190303162132661"</f>
        <v>20190303162132661</v>
      </c>
      <c r="B9464" t="str">
        <f>"1551601292651829"</f>
        <v>1551601292651829</v>
      </c>
      <c r="C9464" t="s">
        <v>40</v>
      </c>
      <c r="D9464">
        <v>5.0531779999999999</v>
      </c>
      <c r="E9464">
        <v>0.39182630000000002</v>
      </c>
      <c r="F9464" t="s">
        <v>42</v>
      </c>
      <c r="G9464">
        <v>-212.1883</v>
      </c>
      <c r="H9464">
        <v>1.025128</v>
      </c>
      <c r="I9464">
        <v>-62.0068699999999</v>
      </c>
      <c r="J9464">
        <v>-212.86580000000001</v>
      </c>
      <c r="K9464">
        <v>1.1268419999999999</v>
      </c>
      <c r="L9464">
        <v>-62.65314</v>
      </c>
      <c r="M9464">
        <v>0.99667819999999996</v>
      </c>
      <c r="N9464">
        <v>-1.2093370000000001E-2</v>
      </c>
      <c r="O9464">
        <v>8.0537460000000005E-2</v>
      </c>
      <c r="P9464">
        <v>0.90576109999999999</v>
      </c>
      <c r="Q9464">
        <v>0.13007589999999999</v>
      </c>
      <c r="R9464">
        <v>0.40333249999999998</v>
      </c>
      <c r="S9464">
        <v>2.4752040000000002</v>
      </c>
      <c r="T9464">
        <v>-0.30546960000000001</v>
      </c>
      <c r="U9464">
        <v>1.9889829999999999</v>
      </c>
      <c r="V9464">
        <v>-0.3309513</v>
      </c>
      <c r="W9464">
        <v>0.1369128</v>
      </c>
      <c r="X9464">
        <v>0.93366269999999996</v>
      </c>
      <c r="Y9464">
        <v>-0.55895419999999996</v>
      </c>
      <c r="Z9464">
        <v>2.6189009999999999E-2</v>
      </c>
      <c r="AA9464">
        <v>0.82878479999999999</v>
      </c>
      <c r="AB9464">
        <v>28</v>
      </c>
      <c r="AC9464">
        <v>0.67750000000000898</v>
      </c>
      <c r="AD9464">
        <v>-0.101713999999999</v>
      </c>
      <c r="AE9464">
        <v>0.646270000000008</v>
      </c>
      <c r="AF9464">
        <v>-0.58272538097377202</v>
      </c>
      <c r="AG9464">
        <v>-0.101713999999999</v>
      </c>
      <c r="AH9464">
        <v>0.71886814741743299</v>
      </c>
      <c r="AI9464">
        <v>96.272494872659394</v>
      </c>
      <c r="AJ9464">
        <v>129.02874692710199</v>
      </c>
      <c r="AK9464">
        <v>0.93095973102943597</v>
      </c>
      <c r="AL9464">
        <v>82.130757240398594</v>
      </c>
      <c r="AM9464">
        <v>109.517665254028</v>
      </c>
      <c r="AN9464">
        <v>0.99999995757340898</v>
      </c>
    </row>
    <row r="9465" spans="1:40" x14ac:dyDescent="0.25">
      <c r="A9465" t="str">
        <f>"20190303162132674"</f>
        <v>20190303162132674</v>
      </c>
      <c r="B9465" t="str">
        <f>"1551601292661590"</f>
        <v>1551601292661590</v>
      </c>
      <c r="C9465" t="s">
        <v>40</v>
      </c>
      <c r="D9465">
        <v>5.068778</v>
      </c>
      <c r="E9465">
        <v>0.39182630000000002</v>
      </c>
      <c r="F9465" t="s">
        <v>42</v>
      </c>
      <c r="G9465">
        <v>-212.1653</v>
      </c>
      <c r="H9465">
        <v>1.040365</v>
      </c>
      <c r="I9465">
        <v>-62.083210000000001</v>
      </c>
      <c r="J9465">
        <v>-212.72800000000001</v>
      </c>
      <c r="K9465">
        <v>1.12696</v>
      </c>
      <c r="L9465">
        <v>-62.638089999999998</v>
      </c>
      <c r="M9465">
        <v>0.9963592</v>
      </c>
      <c r="N9465">
        <v>-1.211255E-2</v>
      </c>
      <c r="O9465">
        <v>8.4388870000000005E-2</v>
      </c>
      <c r="P9465">
        <v>0.90388550000000001</v>
      </c>
      <c r="Q9465">
        <v>0.12950319999999901</v>
      </c>
      <c r="R9465">
        <v>0.40770079999999997</v>
      </c>
      <c r="S9465">
        <v>2.4631810000000001</v>
      </c>
      <c r="T9465">
        <v>-0.30410090000000001</v>
      </c>
      <c r="U9465">
        <v>2.004578</v>
      </c>
      <c r="V9465">
        <v>-0.33187929999999999</v>
      </c>
      <c r="W9465">
        <v>0.1362411</v>
      </c>
      <c r="X9465">
        <v>0.93343160000000003</v>
      </c>
      <c r="Y9465">
        <v>-0.5609111</v>
      </c>
      <c r="Z9465">
        <v>2.5903740000000001E-2</v>
      </c>
      <c r="AA9465">
        <v>0.8274707</v>
      </c>
      <c r="AB9465">
        <v>28</v>
      </c>
      <c r="AC9465">
        <v>0.562699999999978</v>
      </c>
      <c r="AD9465">
        <v>-8.6594999999999894E-2</v>
      </c>
      <c r="AE9465">
        <v>0.55488000000000404</v>
      </c>
      <c r="AF9465">
        <v>-0.49941478092013603</v>
      </c>
      <c r="AG9465">
        <v>-8.6594999999999894E-2</v>
      </c>
      <c r="AH9465">
        <v>0.60031362192740501</v>
      </c>
      <c r="AI9465">
        <v>96.327817760831394</v>
      </c>
      <c r="AJ9465">
        <v>129.757853169019</v>
      </c>
      <c r="AK9465">
        <v>0.78567821790991998</v>
      </c>
      <c r="AL9465">
        <v>82.1696074263144</v>
      </c>
      <c r="AM9465">
        <v>109.57271761705</v>
      </c>
      <c r="AN9465">
        <v>1.0000000294881199</v>
      </c>
    </row>
    <row r="9466" spans="1:40" x14ac:dyDescent="0.25">
      <c r="A9466" t="str">
        <f>"20190303162132685"</f>
        <v>20190303162132685</v>
      </c>
      <c r="B9466" t="str">
        <f>"1551601292672326"</f>
        <v>1551601292672326</v>
      </c>
      <c r="C9466" t="s">
        <v>40</v>
      </c>
      <c r="D9466">
        <v>5.1118499999999996</v>
      </c>
      <c r="E9466">
        <v>0.37436449999999999</v>
      </c>
      <c r="F9466" t="s">
        <v>42</v>
      </c>
      <c r="G9466">
        <v>-211.93979999999999</v>
      </c>
      <c r="H9466">
        <v>1.0288630000000001</v>
      </c>
      <c r="I9466">
        <v>-61.990189999999998</v>
      </c>
      <c r="J9466">
        <v>-212.58600000000001</v>
      </c>
      <c r="K9466">
        <v>1.127087</v>
      </c>
      <c r="L9466">
        <v>-62.622309999999999</v>
      </c>
      <c r="M9466">
        <v>0.99601130000000004</v>
      </c>
      <c r="N9466">
        <v>-1.213173E-2</v>
      </c>
      <c r="O9466">
        <v>8.8398749999999998E-2</v>
      </c>
      <c r="P9466">
        <v>0.90195159999999996</v>
      </c>
      <c r="Q9466">
        <v>0.12913239999999901</v>
      </c>
      <c r="R9466">
        <v>0.4120779</v>
      </c>
      <c r="S9466">
        <v>2.4531399999999999</v>
      </c>
      <c r="T9466">
        <v>-0.3052974</v>
      </c>
      <c r="U9466">
        <v>2.0166019999999998</v>
      </c>
      <c r="V9466">
        <v>-0.33268199999999998</v>
      </c>
      <c r="W9466">
        <v>0.13576920000000001</v>
      </c>
      <c r="X9466">
        <v>0.93321449999999995</v>
      </c>
      <c r="Y9466">
        <v>-0.56165339999999997</v>
      </c>
      <c r="Z9466">
        <v>2.5700339999999999E-2</v>
      </c>
      <c r="AA9466">
        <v>0.82697339999999997</v>
      </c>
      <c r="AB9466">
        <v>28</v>
      </c>
      <c r="AC9466">
        <v>0.646199999999993</v>
      </c>
      <c r="AD9466">
        <v>-9.8224000000000297E-2</v>
      </c>
      <c r="AE9466">
        <v>0.63211999999999302</v>
      </c>
      <c r="AF9466">
        <v>-0.56583677596683402</v>
      </c>
      <c r="AG9466">
        <v>-9.8224000000000297E-2</v>
      </c>
      <c r="AH9466">
        <v>0.69138947263207895</v>
      </c>
      <c r="AI9466">
        <v>96.274024532356606</v>
      </c>
      <c r="AJ9466">
        <v>129.29707445584199</v>
      </c>
      <c r="AK9466">
        <v>0.89879842794644804</v>
      </c>
      <c r="AL9466">
        <v>82.196898236581305</v>
      </c>
      <c r="AM9466">
        <v>109.620662452799</v>
      </c>
      <c r="AN9466">
        <v>0.99999994590144303</v>
      </c>
    </row>
    <row r="9467" spans="1:40" x14ac:dyDescent="0.25">
      <c r="A9467" t="str">
        <f>"20190303162132697"</f>
        <v>20190303162132697</v>
      </c>
      <c r="B9467" t="str">
        <f>"1551601292691845"</f>
        <v>1551601292691845</v>
      </c>
      <c r="C9467" t="s">
        <v>40</v>
      </c>
      <c r="D9467">
        <v>5.0841799999999999</v>
      </c>
      <c r="E9467">
        <v>0.36493920000000002</v>
      </c>
      <c r="F9467" t="s">
        <v>42</v>
      </c>
      <c r="G9467">
        <v>-211.9281</v>
      </c>
      <c r="H9467">
        <v>1.045812</v>
      </c>
      <c r="I9467">
        <v>-62.027529999999999</v>
      </c>
      <c r="J9467">
        <v>-212.43539999999999</v>
      </c>
      <c r="K9467">
        <v>1.1272260000000001</v>
      </c>
      <c r="L9467">
        <v>-62.604309999999998</v>
      </c>
      <c r="M9467">
        <v>0.99560800000000005</v>
      </c>
      <c r="N9467">
        <v>-1.2154170000000001E-2</v>
      </c>
      <c r="O9467">
        <v>9.2828270000000004E-2</v>
      </c>
      <c r="P9467">
        <v>0.89978570000000002</v>
      </c>
      <c r="Q9467">
        <v>0.1287093</v>
      </c>
      <c r="R9467">
        <v>0.41691679999999998</v>
      </c>
      <c r="S9467">
        <v>2.3836059999999999</v>
      </c>
      <c r="T9467">
        <v>-0.2944715</v>
      </c>
      <c r="U9467">
        <v>2.1552730000000002</v>
      </c>
      <c r="V9467">
        <v>-0.33358080000000001</v>
      </c>
      <c r="W9467">
        <v>0.13523669999999999</v>
      </c>
      <c r="X9467">
        <v>0.93297099999999999</v>
      </c>
      <c r="Y9467">
        <v>-0.5964043</v>
      </c>
      <c r="Z9467">
        <v>2.679639E-2</v>
      </c>
      <c r="AA9467">
        <v>0.80223679999999997</v>
      </c>
      <c r="AB9467">
        <v>28</v>
      </c>
      <c r="AC9467">
        <v>0.50729999999998598</v>
      </c>
      <c r="AD9467">
        <v>-8.1413999999999806E-2</v>
      </c>
      <c r="AE9467">
        <v>0.57677999999999197</v>
      </c>
      <c r="AF9467">
        <v>-0.52133733552397599</v>
      </c>
      <c r="AG9467">
        <v>-8.1413999999999806E-2</v>
      </c>
      <c r="AH9467">
        <v>0.55244858845316003</v>
      </c>
      <c r="AI9467">
        <v>96.117613427929896</v>
      </c>
      <c r="AJ9467">
        <v>133.34040947208101</v>
      </c>
      <c r="AK9467">
        <v>0.76395045630664304</v>
      </c>
      <c r="AL9467">
        <v>82.227692687119202</v>
      </c>
      <c r="AM9467">
        <v>109.67434777033</v>
      </c>
      <c r="AN9467">
        <v>1.0000000009982599</v>
      </c>
    </row>
    <row r="9468" spans="1:40" x14ac:dyDescent="0.25">
      <c r="A9468" t="str">
        <f>"20190303162132710"</f>
        <v>20190303162132710</v>
      </c>
      <c r="B9468" t="str">
        <f>"1551601292701606"</f>
        <v>1551601292701606</v>
      </c>
      <c r="C9468" t="s">
        <v>40</v>
      </c>
      <c r="D9468">
        <v>5.0746729999999998</v>
      </c>
      <c r="E9468">
        <v>0.36212660000000002</v>
      </c>
      <c r="F9468" t="s">
        <v>62</v>
      </c>
      <c r="G9468">
        <v>-203.90219999999999</v>
      </c>
      <c r="H9468" s="1">
        <v>-5.0286660000000001E-6</v>
      </c>
      <c r="I9468">
        <v>-54.456389999999999</v>
      </c>
      <c r="J9468">
        <v>-212.2758</v>
      </c>
      <c r="K9468">
        <v>1.1273839999999999</v>
      </c>
      <c r="L9468">
        <v>-62.584719999999997</v>
      </c>
      <c r="M9468">
        <v>0.99515180000000003</v>
      </c>
      <c r="N9468">
        <v>-1.217799E-2</v>
      </c>
      <c r="O9468">
        <v>9.7594689999999998E-2</v>
      </c>
      <c r="P9468">
        <v>0.8974704</v>
      </c>
      <c r="Q9468">
        <v>0.12800439999999999</v>
      </c>
      <c r="R9468">
        <v>0.42209239999999998</v>
      </c>
      <c r="S9468">
        <v>2.3421630000000002</v>
      </c>
      <c r="T9468">
        <v>-0.30939919999999999</v>
      </c>
      <c r="U9468">
        <v>2.2364199999999999</v>
      </c>
      <c r="V9468">
        <v>-0.33451799999999998</v>
      </c>
      <c r="W9468">
        <v>0.1344146</v>
      </c>
      <c r="X9468">
        <v>0.93275419999999998</v>
      </c>
      <c r="Y9468">
        <v>-0.61390749999999905</v>
      </c>
      <c r="Z9468">
        <v>2.862818E-2</v>
      </c>
      <c r="AA9468">
        <v>0.78885879999999997</v>
      </c>
      <c r="AB9468">
        <v>28</v>
      </c>
      <c r="AC9468">
        <v>8.3736000000000104</v>
      </c>
      <c r="AD9468">
        <v>-1.127389028666</v>
      </c>
      <c r="AE9468">
        <v>8.1283299999999894</v>
      </c>
      <c r="AF9468">
        <v>-7.2049992702310899</v>
      </c>
      <c r="AG9468">
        <v>-1.127389028666</v>
      </c>
      <c r="AH9468">
        <v>9.0425686316999805</v>
      </c>
      <c r="AI9468">
        <v>95.569194139895501</v>
      </c>
      <c r="AJ9468">
        <v>128.54737415581101</v>
      </c>
      <c r="AK9468">
        <v>11.616844148261199</v>
      </c>
      <c r="AL9468">
        <v>82.2752294859432</v>
      </c>
      <c r="AM9468">
        <v>109.729594009547</v>
      </c>
      <c r="AN9468">
        <v>0.99999998731739903</v>
      </c>
    </row>
    <row r="9469" spans="1:40" x14ac:dyDescent="0.25">
      <c r="A9469" t="str">
        <f>"20190303162132722"</f>
        <v>20190303162132722</v>
      </c>
      <c r="B9469" t="str">
        <f>"1551601292712342"</f>
        <v>1551601292712342</v>
      </c>
      <c r="C9469" t="s">
        <v>40</v>
      </c>
      <c r="D9469">
        <v>5.0924259999999997</v>
      </c>
      <c r="E9469">
        <v>0.36055229999999999</v>
      </c>
      <c r="F9469" t="s">
        <v>62</v>
      </c>
      <c r="G9469">
        <v>-204.06790000000001</v>
      </c>
      <c r="H9469" s="1">
        <v>-4.921952E-6</v>
      </c>
      <c r="I9469">
        <v>-54.557009999999998</v>
      </c>
      <c r="J9469">
        <v>-212.12379999999999</v>
      </c>
      <c r="K9469">
        <v>1.1275269999999999</v>
      </c>
      <c r="L9469">
        <v>-62.565249999999999</v>
      </c>
      <c r="M9469">
        <v>0.99468420000000002</v>
      </c>
      <c r="N9469">
        <v>-1.220163E-2</v>
      </c>
      <c r="O9469">
        <v>0.10224800000000001</v>
      </c>
      <c r="P9469">
        <v>0.89512689999999995</v>
      </c>
      <c r="Q9469">
        <v>0.1273319</v>
      </c>
      <c r="R9469">
        <v>0.42724069999999997</v>
      </c>
      <c r="S9469">
        <v>2.3207089999999999</v>
      </c>
      <c r="T9469">
        <v>-0.3187565</v>
      </c>
      <c r="U9469">
        <v>2.2697449999999999</v>
      </c>
      <c r="V9469">
        <v>-0.33554309999999998</v>
      </c>
      <c r="W9469">
        <v>0.13362639999999901</v>
      </c>
      <c r="X9469">
        <v>0.93249919999999997</v>
      </c>
      <c r="Y9469">
        <v>-0.61949339999999997</v>
      </c>
      <c r="Z9469">
        <v>2.9303070000000001E-2</v>
      </c>
      <c r="AA9469">
        <v>0.78445480000000001</v>
      </c>
      <c r="AB9469">
        <v>28</v>
      </c>
      <c r="AC9469">
        <v>8.0558999999999799</v>
      </c>
      <c r="AD9469">
        <v>-1.1275319219519999</v>
      </c>
      <c r="AE9469">
        <v>8.00823999999999</v>
      </c>
      <c r="AF9469">
        <v>-7.0728126682977601</v>
      </c>
      <c r="AG9469">
        <v>-1.1275319219519999</v>
      </c>
      <c r="AH9469">
        <v>8.7463814656434202</v>
      </c>
      <c r="AI9469">
        <v>95.724228056179896</v>
      </c>
      <c r="AJ9469">
        <v>128.960939179641</v>
      </c>
      <c r="AK9469">
        <v>11.3046537327954</v>
      </c>
      <c r="AL9469">
        <v>82.320801027689399</v>
      </c>
      <c r="AM9469">
        <v>109.79035717521199</v>
      </c>
      <c r="AN9469">
        <v>0.99999997236760396</v>
      </c>
    </row>
    <row r="9470" spans="1:40" x14ac:dyDescent="0.25">
      <c r="A9470" t="str">
        <f>"20190303162132733"</f>
        <v>20190303162132733</v>
      </c>
      <c r="B9470" t="str">
        <f>"1551601292722101"</f>
        <v>1551601292722101</v>
      </c>
      <c r="C9470" t="s">
        <v>40</v>
      </c>
      <c r="D9470">
        <v>5.0525630000000001</v>
      </c>
      <c r="E9470">
        <v>0.35948909999999901</v>
      </c>
      <c r="F9470" t="s">
        <v>42</v>
      </c>
      <c r="G9470">
        <v>-211.459</v>
      </c>
      <c r="H9470">
        <v>1.034089</v>
      </c>
      <c r="I9470">
        <v>-61.90316</v>
      </c>
      <c r="J9470">
        <v>-211.98519999999999</v>
      </c>
      <c r="K9470">
        <v>1.127658</v>
      </c>
      <c r="L9470">
        <v>-62.546570000000003</v>
      </c>
      <c r="M9470">
        <v>0.99422600000000005</v>
      </c>
      <c r="N9470">
        <v>-1.222438E-2</v>
      </c>
      <c r="O9470">
        <v>0.1066078</v>
      </c>
      <c r="P9470">
        <v>0.8929203</v>
      </c>
      <c r="Q9470">
        <v>0.12657639999999901</v>
      </c>
      <c r="R9470">
        <v>0.43205519999999997</v>
      </c>
      <c r="S9470">
        <v>2.3029169999999999</v>
      </c>
      <c r="T9470">
        <v>-0.32365880000000002</v>
      </c>
      <c r="U9470">
        <v>2.2933650000000001</v>
      </c>
      <c r="V9470">
        <v>-0.33649849999999998</v>
      </c>
      <c r="W9470">
        <v>0.1327672</v>
      </c>
      <c r="X9470">
        <v>0.93227760000000004</v>
      </c>
      <c r="Y9470">
        <v>-0.623040699999999</v>
      </c>
      <c r="Z9470">
        <v>2.9534089999999999E-2</v>
      </c>
      <c r="AA9470">
        <v>0.78163159999999998</v>
      </c>
      <c r="AB9470">
        <v>28</v>
      </c>
      <c r="AC9470">
        <v>0.52619999999998801</v>
      </c>
      <c r="AD9470">
        <v>-9.3568999999999999E-2</v>
      </c>
      <c r="AE9470">
        <v>0.64340999999999504</v>
      </c>
      <c r="AF9470">
        <v>-0.57633773187435899</v>
      </c>
      <c r="AG9470">
        <v>-9.3568999999999999E-2</v>
      </c>
      <c r="AH9470">
        <v>0.58439258345636802</v>
      </c>
      <c r="AI9470">
        <v>96.503647271752399</v>
      </c>
      <c r="AJ9470">
        <v>134.60240411903101</v>
      </c>
      <c r="AK9470">
        <v>0.82609625985225799</v>
      </c>
      <c r="AL9470">
        <v>82.370471956474006</v>
      </c>
      <c r="AM9470">
        <v>109.846661794377</v>
      </c>
      <c r="AN9470">
        <v>0.99999994667992298</v>
      </c>
    </row>
    <row r="9471" spans="1:40" x14ac:dyDescent="0.25">
      <c r="A9471" t="str">
        <f>"20190303162132745"</f>
        <v>20190303162132745</v>
      </c>
      <c r="B9471" t="str">
        <f>"1551601292731862"</f>
        <v>1551601292731862</v>
      </c>
      <c r="C9471" t="s">
        <v>40</v>
      </c>
      <c r="D9471">
        <v>5.0685419999999999</v>
      </c>
      <c r="E9471">
        <v>0.3592166</v>
      </c>
      <c r="F9471" t="s">
        <v>62</v>
      </c>
      <c r="G9471">
        <v>-204.1942</v>
      </c>
      <c r="H9471" s="1">
        <v>-4.8322540000000003E-6</v>
      </c>
      <c r="I9471">
        <v>-54.671169999999996</v>
      </c>
      <c r="J9471">
        <v>-211.84039999999999</v>
      </c>
      <c r="K9471">
        <v>1.1277900000000001</v>
      </c>
      <c r="L9471">
        <v>-62.526699999999998</v>
      </c>
      <c r="M9471">
        <v>0.99372269999999896</v>
      </c>
      <c r="N9471">
        <v>-1.2247589999999999E-2</v>
      </c>
      <c r="O9471">
        <v>0.11119900000000001</v>
      </c>
      <c r="P9471">
        <v>0.89053059999999995</v>
      </c>
      <c r="Q9471">
        <v>0.12617999999999999</v>
      </c>
      <c r="R9471">
        <v>0.43707449999999998</v>
      </c>
      <c r="S9471">
        <v>2.2877350000000001</v>
      </c>
      <c r="T9471">
        <v>-0.33112659999999899</v>
      </c>
      <c r="U9471">
        <v>2.3125309999999999</v>
      </c>
      <c r="V9471">
        <v>-0.33747359999999998</v>
      </c>
      <c r="W9471">
        <v>0.1322615</v>
      </c>
      <c r="X9471">
        <v>0.93199699999999996</v>
      </c>
      <c r="Y9471">
        <v>-0.62514559999999997</v>
      </c>
      <c r="Z9471">
        <v>2.9815890000000001E-2</v>
      </c>
      <c r="AA9471">
        <v>0.77993849999999998</v>
      </c>
      <c r="AB9471">
        <v>28</v>
      </c>
      <c r="AC9471">
        <v>7.6461999999999897</v>
      </c>
      <c r="AD9471">
        <v>-1.1277948322539999</v>
      </c>
      <c r="AE9471">
        <v>7.8555299999999999</v>
      </c>
      <c r="AF9471">
        <v>-6.8836338452574104</v>
      </c>
      <c r="AG9471">
        <v>-1.1277948322539999</v>
      </c>
      <c r="AH9471">
        <v>8.3836324092449299</v>
      </c>
      <c r="AI9471">
        <v>95.935576112329301</v>
      </c>
      <c r="AJ9471">
        <v>129.388737286658</v>
      </c>
      <c r="AK9471">
        <v>10.9060363318931</v>
      </c>
      <c r="AL9471">
        <v>82.399704421056995</v>
      </c>
      <c r="AM9471">
        <v>109.90518495923401</v>
      </c>
      <c r="AN9471">
        <v>0.99999997154410403</v>
      </c>
    </row>
    <row r="9472" spans="1:40" x14ac:dyDescent="0.25">
      <c r="A9472" t="str">
        <f>"20190303162132756"</f>
        <v>20190303162132756</v>
      </c>
      <c r="B9472" t="str">
        <f>"1551601292741622"</f>
        <v>1551601292741622</v>
      </c>
      <c r="C9472" t="s">
        <v>40</v>
      </c>
      <c r="D9472">
        <v>5.1029669999999996</v>
      </c>
      <c r="E9472">
        <v>0.35920150000000001</v>
      </c>
      <c r="F9472" t="s">
        <v>62</v>
      </c>
      <c r="G9472">
        <v>-204.17910000000001</v>
      </c>
      <c r="H9472" s="1">
        <v>-4.8358539999999997E-6</v>
      </c>
      <c r="I9472">
        <v>-54.689639999999997</v>
      </c>
      <c r="J9472">
        <v>-211.70849999999999</v>
      </c>
      <c r="K9472">
        <v>1.127915</v>
      </c>
      <c r="L9472">
        <v>-62.507449999999999</v>
      </c>
      <c r="M9472">
        <v>0.99322809999999995</v>
      </c>
      <c r="N9472">
        <v>-1.227001E-2</v>
      </c>
      <c r="O9472">
        <v>0.1155308</v>
      </c>
      <c r="P9472">
        <v>0.88833759999999995</v>
      </c>
      <c r="Q9472">
        <v>0.1259989</v>
      </c>
      <c r="R9472">
        <v>0.44156610000000002</v>
      </c>
      <c r="S9472">
        <v>2.2743380000000002</v>
      </c>
      <c r="T9472">
        <v>-0.33479710000000001</v>
      </c>
      <c r="U9472">
        <v>2.326508</v>
      </c>
      <c r="V9472">
        <v>-0.33815129999999999</v>
      </c>
      <c r="W9472">
        <v>0.1319874</v>
      </c>
      <c r="X9472">
        <v>0.93179020000000001</v>
      </c>
      <c r="Y9472">
        <v>-0.62633139999999998</v>
      </c>
      <c r="Z9472">
        <v>2.9774849999999999E-2</v>
      </c>
      <c r="AA9472">
        <v>0.77898809999999996</v>
      </c>
      <c r="AB9472">
        <v>28</v>
      </c>
      <c r="AC9472">
        <v>7.5293999999999803</v>
      </c>
      <c r="AD9472">
        <v>-1.1279198358539999</v>
      </c>
      <c r="AE9472">
        <v>7.8178099999999899</v>
      </c>
      <c r="AF9472">
        <v>-6.8218426321512204</v>
      </c>
      <c r="AG9472">
        <v>-1.1279198358539999</v>
      </c>
      <c r="AH9472">
        <v>8.2926897635055905</v>
      </c>
      <c r="AI9472">
        <v>95.996320238475505</v>
      </c>
      <c r="AJ9472">
        <v>129.441851594691</v>
      </c>
      <c r="AK9472">
        <v>10.797149789073901</v>
      </c>
      <c r="AL9472">
        <v>82.415548129067901</v>
      </c>
      <c r="AM9472">
        <v>109.946086461429</v>
      </c>
      <c r="AN9472">
        <v>0.99999997613324398</v>
      </c>
    </row>
    <row r="9473" spans="1:40" x14ac:dyDescent="0.25">
      <c r="A9473" t="str">
        <f>"20190303162132768"</f>
        <v>20190303162132768</v>
      </c>
      <c r="B9473" t="str">
        <f>"1551601292762117"</f>
        <v>1551601292762117</v>
      </c>
      <c r="C9473" t="s">
        <v>40</v>
      </c>
      <c r="D9473">
        <v>5.0809259999999998</v>
      </c>
      <c r="E9473">
        <v>0.35918600000000001</v>
      </c>
      <c r="F9473" t="s">
        <v>62</v>
      </c>
      <c r="G9473">
        <v>-204.1174</v>
      </c>
      <c r="H9473" s="1">
        <v>-4.8728890000000003E-6</v>
      </c>
      <c r="I9473">
        <v>-54.664470000000001</v>
      </c>
      <c r="J9473">
        <v>-211.5565</v>
      </c>
      <c r="K9473">
        <v>1.128055</v>
      </c>
      <c r="L9473">
        <v>-62.484859999999998</v>
      </c>
      <c r="M9473">
        <v>0.99263040000000002</v>
      </c>
      <c r="N9473">
        <v>-1.22948E-2</v>
      </c>
      <c r="O9473">
        <v>0.1205565</v>
      </c>
      <c r="P9473">
        <v>0.88564549999999997</v>
      </c>
      <c r="Q9473">
        <v>0.12659500000000001</v>
      </c>
      <c r="R9473">
        <v>0.44677260000000002</v>
      </c>
      <c r="S9473">
        <v>2.2627259999999998</v>
      </c>
      <c r="T9473">
        <v>-0.33620509999999998</v>
      </c>
      <c r="U9473">
        <v>2.337799</v>
      </c>
      <c r="V9473">
        <v>-0.33896989999999999</v>
      </c>
      <c r="W9473">
        <v>0.13247519999999999</v>
      </c>
      <c r="X9473">
        <v>0.93142349999999996</v>
      </c>
      <c r="Y9473">
        <v>-0.62626660000000001</v>
      </c>
      <c r="Z9473">
        <v>2.9400519999999999E-2</v>
      </c>
      <c r="AA9473">
        <v>0.77905449999999998</v>
      </c>
      <c r="AB9473">
        <v>28</v>
      </c>
      <c r="AC9473">
        <v>7.4390999999999901</v>
      </c>
      <c r="AD9473">
        <v>-1.1280598728889999</v>
      </c>
      <c r="AE9473">
        <v>7.8203899999999997</v>
      </c>
      <c r="AF9473">
        <v>-6.7922515189562898</v>
      </c>
      <c r="AG9473">
        <v>-1.1280598728889999</v>
      </c>
      <c r="AH9473">
        <v>8.2377235863096292</v>
      </c>
      <c r="AI9473">
        <v>96.031204840278903</v>
      </c>
      <c r="AJ9473">
        <v>129.506609701043</v>
      </c>
      <c r="AK9473">
        <v>10.7362605062483</v>
      </c>
      <c r="AL9473">
        <v>82.387351864077004</v>
      </c>
      <c r="AM9473">
        <v>109.9977984713</v>
      </c>
      <c r="AN9473">
        <v>1.0000000040366499</v>
      </c>
    </row>
    <row r="9474" spans="1:40" x14ac:dyDescent="0.25">
      <c r="A9474" t="str">
        <f>"20190303162132778"</f>
        <v>20190303162132778</v>
      </c>
      <c r="B9474" t="str">
        <f>"1551601292771878"</f>
        <v>1551601292771878</v>
      </c>
      <c r="C9474" t="s">
        <v>40</v>
      </c>
      <c r="D9474">
        <v>5.0777950000000001</v>
      </c>
      <c r="E9474">
        <v>0.35947210000000002</v>
      </c>
      <c r="F9474" t="s">
        <v>62</v>
      </c>
      <c r="G9474">
        <v>-203.97559999999999</v>
      </c>
      <c r="H9474" s="1">
        <v>-4.9687969999999999E-6</v>
      </c>
      <c r="I9474">
        <v>-54.557780000000001</v>
      </c>
      <c r="J9474">
        <v>-211.41370000000001</v>
      </c>
      <c r="K9474">
        <v>1.128185</v>
      </c>
      <c r="L9474">
        <v>-62.462649999999996</v>
      </c>
      <c r="M9474">
        <v>0.99203110000000005</v>
      </c>
      <c r="N9474">
        <v>-1.2318249999999999E-2</v>
      </c>
      <c r="O9474">
        <v>0.1253901</v>
      </c>
      <c r="P9474">
        <v>0.88302950000000002</v>
      </c>
      <c r="Q9474">
        <v>0.1264874</v>
      </c>
      <c r="R9474">
        <v>0.4519513</v>
      </c>
      <c r="S9474">
        <v>2.2489170000000001</v>
      </c>
      <c r="T9474">
        <v>-0.3346423</v>
      </c>
      <c r="U9474">
        <v>2.3515929999999998</v>
      </c>
      <c r="V9474">
        <v>-0.3399258</v>
      </c>
      <c r="W9474">
        <v>0.13226669999999999</v>
      </c>
      <c r="X9474">
        <v>0.93110470000000001</v>
      </c>
      <c r="Y9474">
        <v>-0.62718669999999899</v>
      </c>
      <c r="Z9474">
        <v>2.8913830000000001E-2</v>
      </c>
      <c r="AA9474">
        <v>0.77833209999999997</v>
      </c>
      <c r="AB9474">
        <v>28</v>
      </c>
      <c r="AC9474">
        <v>7.4381000000000101</v>
      </c>
      <c r="AD9474">
        <v>-1.1281899687970001</v>
      </c>
      <c r="AE9474">
        <v>7.9048699999999803</v>
      </c>
      <c r="AF9474">
        <v>-6.8358835653293903</v>
      </c>
      <c r="AG9474">
        <v>-1.1281899687970001</v>
      </c>
      <c r="AH9474">
        <v>8.2811858478430391</v>
      </c>
      <c r="AI9474">
        <v>95.997717398663994</v>
      </c>
      <c r="AJ9474">
        <v>129.538704627404</v>
      </c>
      <c r="AK9474">
        <v>10.797229078377001</v>
      </c>
      <c r="AL9474">
        <v>82.399404028463394</v>
      </c>
      <c r="AM9474">
        <v>110.056023459328</v>
      </c>
      <c r="AN9474">
        <v>0.99999999589831001</v>
      </c>
    </row>
    <row r="9475" spans="1:40" x14ac:dyDescent="0.25">
      <c r="A9475" t="str">
        <f>"20190303162132789"</f>
        <v>20190303162132789</v>
      </c>
      <c r="B9475" t="str">
        <f>"1551601292781638"</f>
        <v>1551601292781638</v>
      </c>
      <c r="C9475" t="s">
        <v>40</v>
      </c>
      <c r="D9475">
        <v>5.0663309999999999</v>
      </c>
      <c r="E9475">
        <v>0.35955039999999999</v>
      </c>
      <c r="F9475" t="s">
        <v>62</v>
      </c>
      <c r="G9475">
        <v>-203.86150000000001</v>
      </c>
      <c r="H9475" s="1">
        <v>-5.0439710000000002E-6</v>
      </c>
      <c r="I9475">
        <v>-54.481029999999997</v>
      </c>
      <c r="J9475">
        <v>-211.29580000000001</v>
      </c>
      <c r="K9475">
        <v>1.12827099999999</v>
      </c>
      <c r="L9475">
        <v>-62.443759999999997</v>
      </c>
      <c r="M9475">
        <v>0.99152859999999998</v>
      </c>
      <c r="N9475">
        <v>-1.2293460000000001E-2</v>
      </c>
      <c r="O9475">
        <v>0.12930630000000001</v>
      </c>
      <c r="P9475">
        <v>0.88079300000000005</v>
      </c>
      <c r="Q9475">
        <v>0.12660289999999999</v>
      </c>
      <c r="R9475">
        <v>0.45626270000000002</v>
      </c>
      <c r="S9475">
        <v>2.23584</v>
      </c>
      <c r="T9475">
        <v>-0.33399879999999998</v>
      </c>
      <c r="U9475">
        <v>2.362946</v>
      </c>
      <c r="V9475">
        <v>-0.34083849999999999</v>
      </c>
      <c r="W9475">
        <v>0.13225629999999999</v>
      </c>
      <c r="X9475">
        <v>0.9307725</v>
      </c>
      <c r="Y9475">
        <v>-0.62827219999999995</v>
      </c>
      <c r="Z9475">
        <v>2.8578780000000002E-2</v>
      </c>
      <c r="AA9475">
        <v>0.77746859999999995</v>
      </c>
      <c r="AB9475">
        <v>28</v>
      </c>
      <c r="AC9475">
        <v>7.4343000000000004</v>
      </c>
      <c r="AD9475">
        <v>-1.12827604397099</v>
      </c>
      <c r="AE9475">
        <v>7.9627299999999899</v>
      </c>
      <c r="AF9475">
        <v>-6.8608995757115201</v>
      </c>
      <c r="AG9475">
        <v>-1.12827604397099</v>
      </c>
      <c r="AH9475">
        <v>8.3124194493102106</v>
      </c>
      <c r="AI9475">
        <v>95.976065699431601</v>
      </c>
      <c r="AJ9475">
        <v>129.53556251959199</v>
      </c>
      <c r="AK9475">
        <v>10.8370322007765</v>
      </c>
      <c r="AL9475">
        <v>82.400005441667304</v>
      </c>
      <c r="AM9475">
        <v>110.112166674192</v>
      </c>
      <c r="AN9475">
        <v>1.00000002936409</v>
      </c>
    </row>
    <row r="9476" spans="1:40" x14ac:dyDescent="0.25">
      <c r="A9476" t="str">
        <f>"20190303162132800"</f>
        <v>20190303162132800</v>
      </c>
      <c r="B9476" t="str">
        <f>"1551601292792374"</f>
        <v>1551601292792374</v>
      </c>
      <c r="C9476" t="s">
        <v>40</v>
      </c>
      <c r="D9476">
        <v>5.0674919999999997</v>
      </c>
      <c r="E9476">
        <v>0.3597011</v>
      </c>
      <c r="F9476" t="s">
        <v>62</v>
      </c>
      <c r="G9476">
        <v>-203.76759999999999</v>
      </c>
      <c r="H9476" s="1">
        <v>-5.1072040000000001E-6</v>
      </c>
      <c r="I9476">
        <v>-54.411409999999997</v>
      </c>
      <c r="J9476">
        <v>-211.15369999999999</v>
      </c>
      <c r="K9476">
        <v>1.1283510000000001</v>
      </c>
      <c r="L9476">
        <v>-62.420259999999999</v>
      </c>
      <c r="M9476">
        <v>0.99091839999999998</v>
      </c>
      <c r="N9476">
        <v>-1.219782E-2</v>
      </c>
      <c r="O9476">
        <v>0.1339099</v>
      </c>
      <c r="P9476">
        <v>0.87836939999999997</v>
      </c>
      <c r="Q9476">
        <v>0.1261736</v>
      </c>
      <c r="R9476">
        <v>0.46102850000000001</v>
      </c>
      <c r="S9476">
        <v>2.2244570000000001</v>
      </c>
      <c r="T9476">
        <v>-0.33338950000000001</v>
      </c>
      <c r="U9476">
        <v>2.3734440000000001</v>
      </c>
      <c r="V9476">
        <v>-0.34158050000000001</v>
      </c>
      <c r="W9476">
        <v>0.1316263</v>
      </c>
      <c r="X9476">
        <v>0.93058969999999996</v>
      </c>
      <c r="Y9476">
        <v>-0.62839840000000002</v>
      </c>
      <c r="Z9476">
        <v>2.8062839999999999E-2</v>
      </c>
      <c r="AA9476">
        <v>0.77738529999999995</v>
      </c>
      <c r="AB9476">
        <v>28</v>
      </c>
      <c r="AC9476">
        <v>7.3860999999999901</v>
      </c>
      <c r="AD9476">
        <v>-1.128356107204</v>
      </c>
      <c r="AE9476">
        <v>8.0088500000000007</v>
      </c>
      <c r="AF9476">
        <v>-6.8738303039366802</v>
      </c>
      <c r="AG9476">
        <v>-1.128356107204</v>
      </c>
      <c r="AH9476">
        <v>8.3030491747133102</v>
      </c>
      <c r="AI9476">
        <v>95.975927290744593</v>
      </c>
      <c r="AJ9476">
        <v>129.62027592978501</v>
      </c>
      <c r="AK9476">
        <v>10.838051307762299</v>
      </c>
      <c r="AL9476">
        <v>82.436419573102697</v>
      </c>
      <c r="AM9476">
        <v>110.15607119242</v>
      </c>
      <c r="AN9476">
        <v>0.99999995528901398</v>
      </c>
    </row>
    <row r="9477" spans="1:40" x14ac:dyDescent="0.25">
      <c r="A9477" t="str">
        <f>"20190303162132810"</f>
        <v>20190303162132810</v>
      </c>
      <c r="B9477" t="str">
        <f>"1551601292802134"</f>
        <v>1551601292802134</v>
      </c>
      <c r="C9477" t="s">
        <v>40</v>
      </c>
      <c r="D9477">
        <v>5.0605399999999996</v>
      </c>
      <c r="E9477">
        <v>0.3599733</v>
      </c>
      <c r="F9477" t="s">
        <v>62</v>
      </c>
      <c r="G9477">
        <v>-203.6799</v>
      </c>
      <c r="H9477" s="1">
        <v>-5.1622040000000004E-6</v>
      </c>
      <c r="I9477">
        <v>-54.365099999999998</v>
      </c>
      <c r="J9477">
        <v>-211.0318</v>
      </c>
      <c r="K9477">
        <v>1.128382</v>
      </c>
      <c r="L9477">
        <v>-62.399410000000003</v>
      </c>
      <c r="M9477">
        <v>0.9903554</v>
      </c>
      <c r="N9477">
        <v>-1.219523E-2</v>
      </c>
      <c r="O9477">
        <v>0.1380122</v>
      </c>
      <c r="P9477">
        <v>0.87588060000000001</v>
      </c>
      <c r="Q9477">
        <v>0.12524640000000001</v>
      </c>
      <c r="R9477">
        <v>0.46598980000000001</v>
      </c>
      <c r="S9477">
        <v>2.2120669999999998</v>
      </c>
      <c r="T9477">
        <v>-0.33396490000000001</v>
      </c>
      <c r="U9477">
        <v>2.384125</v>
      </c>
      <c r="V9477">
        <v>-0.3429779</v>
      </c>
      <c r="W9477">
        <v>0.13061700000000001</v>
      </c>
      <c r="X9477">
        <v>0.93021790000000004</v>
      </c>
      <c r="Y9477">
        <v>-0.62908980000000003</v>
      </c>
      <c r="Z9477">
        <v>2.776725E-2</v>
      </c>
      <c r="AA9477">
        <v>0.77683659999999999</v>
      </c>
      <c r="AB9477">
        <v>28</v>
      </c>
      <c r="AC9477">
        <v>7.3518999999999997</v>
      </c>
      <c r="AD9477">
        <v>-1.128387162204</v>
      </c>
      <c r="AE9477">
        <v>8.0343099999999907</v>
      </c>
      <c r="AF9477">
        <v>-6.8689442292162104</v>
      </c>
      <c r="AG9477">
        <v>-1.128387162204</v>
      </c>
      <c r="AH9477">
        <v>8.3013305812532092</v>
      </c>
      <c r="AI9477">
        <v>95.978534964600897</v>
      </c>
      <c r="AJ9477">
        <v>129.60608990839199</v>
      </c>
      <c r="AK9477">
        <v>10.833639362243799</v>
      </c>
      <c r="AL9477">
        <v>82.494752102455706</v>
      </c>
      <c r="AM9477">
        <v>110.239286276039</v>
      </c>
      <c r="AN9477">
        <v>0.99999999102891002</v>
      </c>
    </row>
    <row r="9478" spans="1:40" x14ac:dyDescent="0.25">
      <c r="A9478" t="str">
        <f>"20190303162132823"</f>
        <v>20190303162132823</v>
      </c>
      <c r="B9478" t="str">
        <f>"1551601292811894"</f>
        <v>1551601292811894</v>
      </c>
      <c r="C9478" t="s">
        <v>40</v>
      </c>
      <c r="D9478">
        <v>5.0926090000000004</v>
      </c>
      <c r="E9478">
        <v>0.36015049999999998</v>
      </c>
      <c r="F9478" t="s">
        <v>62</v>
      </c>
      <c r="G9478">
        <v>-203.6679</v>
      </c>
      <c r="H9478" s="1">
        <v>-5.164039E-6</v>
      </c>
      <c r="I9478">
        <v>-54.3842199999999</v>
      </c>
      <c r="J9478">
        <v>-210.87649999999999</v>
      </c>
      <c r="K9478">
        <v>1.1284050000000001</v>
      </c>
      <c r="L9478">
        <v>-62.372250000000001</v>
      </c>
      <c r="M9478">
        <v>0.9895912</v>
      </c>
      <c r="N9478">
        <v>-1.226792E-2</v>
      </c>
      <c r="O9478">
        <v>0.14338339999999999</v>
      </c>
      <c r="P9478">
        <v>0.87291229999999997</v>
      </c>
      <c r="Q9478">
        <v>0.1240433</v>
      </c>
      <c r="R9478">
        <v>0.47184490000000001</v>
      </c>
      <c r="S9478">
        <v>2.1995849999999999</v>
      </c>
      <c r="T9478">
        <v>-0.33704879999999998</v>
      </c>
      <c r="U9478">
        <v>2.3941349999999999</v>
      </c>
      <c r="V9478">
        <v>-0.34412979999999999</v>
      </c>
      <c r="W9478">
        <v>0.12942409999999999</v>
      </c>
      <c r="X9478">
        <v>0.92995919999999999</v>
      </c>
      <c r="Y9478">
        <v>-0.62866129999999998</v>
      </c>
      <c r="Z9478">
        <v>2.7453780000000001E-2</v>
      </c>
      <c r="AA9478">
        <v>0.77719439999999995</v>
      </c>
      <c r="AB9478">
        <v>28</v>
      </c>
      <c r="AC9478">
        <v>7.2085999999999899</v>
      </c>
      <c r="AD9478">
        <v>-1.1284101640390001</v>
      </c>
      <c r="AE9478">
        <v>7.9880300000000002</v>
      </c>
      <c r="AF9478">
        <v>-6.7970510926777399</v>
      </c>
      <c r="AG9478">
        <v>-1.1284101640390001</v>
      </c>
      <c r="AH9478">
        <v>8.1894700649609202</v>
      </c>
      <c r="AI9478">
        <v>96.052262878751307</v>
      </c>
      <c r="AJ9478">
        <v>129.69180710286</v>
      </c>
      <c r="AK9478">
        <v>10.7023657664868</v>
      </c>
      <c r="AL9478">
        <v>82.563685578311095</v>
      </c>
      <c r="AM9478">
        <v>110.306906682999</v>
      </c>
      <c r="AN9478">
        <v>1.0000000152867401</v>
      </c>
    </row>
    <row r="9479" spans="1:40" x14ac:dyDescent="0.25">
      <c r="A9479" t="str">
        <f>"20190303162132835"</f>
        <v>20190303162132835</v>
      </c>
      <c r="B9479" t="str">
        <f>"1551601292832389"</f>
        <v>1551601292832389</v>
      </c>
      <c r="C9479" t="s">
        <v>40</v>
      </c>
      <c r="D9479">
        <v>5.0580550000000004</v>
      </c>
      <c r="E9479">
        <v>0.36071370000000003</v>
      </c>
      <c r="F9479" t="s">
        <v>42</v>
      </c>
      <c r="G9479">
        <v>-210.25389999999999</v>
      </c>
      <c r="H9479">
        <v>1.0315289999999999</v>
      </c>
      <c r="I9479">
        <v>-61.686149999999998</v>
      </c>
      <c r="J9479">
        <v>-210.73390000000001</v>
      </c>
      <c r="K9479">
        <v>1.1283939999999999</v>
      </c>
      <c r="L9479">
        <v>-62.346159999999998</v>
      </c>
      <c r="M9479">
        <v>0.98880820000000003</v>
      </c>
      <c r="N9479">
        <v>-1.2400329999999999E-2</v>
      </c>
      <c r="O9479">
        <v>0.14867629999999901</v>
      </c>
      <c r="P9479">
        <v>0.86969240000000003</v>
      </c>
      <c r="Q9479">
        <v>0.1229803</v>
      </c>
      <c r="R9479">
        <v>0.47802810000000001</v>
      </c>
      <c r="S9479">
        <v>2.1839900000000001</v>
      </c>
      <c r="T9479">
        <v>-0.33983449999999998</v>
      </c>
      <c r="U9479">
        <v>2.4070130000000001</v>
      </c>
      <c r="V9479">
        <v>-0.34571420000000003</v>
      </c>
      <c r="W9479">
        <v>0.12845719999999999</v>
      </c>
      <c r="X9479">
        <v>0.92950549999999998</v>
      </c>
      <c r="Y9479">
        <v>-0.62929869999999899</v>
      </c>
      <c r="Z9479">
        <v>2.7236119999999999E-2</v>
      </c>
      <c r="AA9479">
        <v>0.77668609999999905</v>
      </c>
      <c r="AB9479">
        <v>28</v>
      </c>
      <c r="AC9479">
        <v>0.48000000000001802</v>
      </c>
      <c r="AD9479">
        <v>-9.6864999999999896E-2</v>
      </c>
      <c r="AE9479">
        <v>0.66000999999999899</v>
      </c>
      <c r="AF9479">
        <v>-0.57322769018905195</v>
      </c>
      <c r="AG9479">
        <v>-9.6864999999999896E-2</v>
      </c>
      <c r="AH9479">
        <v>0.56484227549473398</v>
      </c>
      <c r="AI9479">
        <v>96.863402851640402</v>
      </c>
      <c r="AJ9479">
        <v>135.422153463206</v>
      </c>
      <c r="AK9479">
        <v>0.81056746123351497</v>
      </c>
      <c r="AL9479">
        <v>82.619551233716905</v>
      </c>
      <c r="AM9479">
        <v>110.40185213518301</v>
      </c>
      <c r="AN9479">
        <v>1.00000001742186</v>
      </c>
    </row>
    <row r="9480" spans="1:40" x14ac:dyDescent="0.25">
      <c r="A9480" t="str">
        <f>"20190303162132846"</f>
        <v>20190303162132846</v>
      </c>
      <c r="B9480" t="str">
        <f>"1551601292842150"</f>
        <v>1551601292842150</v>
      </c>
      <c r="C9480" t="s">
        <v>40</v>
      </c>
      <c r="D9480">
        <v>5.1117730000000003</v>
      </c>
      <c r="E9480">
        <v>0.36111300000000002</v>
      </c>
      <c r="F9480" t="s">
        <v>62</v>
      </c>
      <c r="G9480">
        <v>-203.56659999999999</v>
      </c>
      <c r="H9480" s="1">
        <v>-5.2220210000000001E-6</v>
      </c>
      <c r="I9480">
        <v>-54.355620000000002</v>
      </c>
      <c r="J9480">
        <v>-210.59989999999999</v>
      </c>
      <c r="K9480">
        <v>1.1283859999999999</v>
      </c>
      <c r="L9480">
        <v>-62.321350000000002</v>
      </c>
      <c r="M9480">
        <v>0.98803399999999997</v>
      </c>
      <c r="N9480">
        <v>-1.253338E-2</v>
      </c>
      <c r="O9480">
        <v>0.15372649999999999</v>
      </c>
      <c r="P9480">
        <v>0.86675829999999998</v>
      </c>
      <c r="Q9480">
        <v>0.12248630000000001</v>
      </c>
      <c r="R9480">
        <v>0.48345339999999998</v>
      </c>
      <c r="S9480">
        <v>2.168793</v>
      </c>
      <c r="T9480">
        <v>-0.3414452</v>
      </c>
      <c r="U9480">
        <v>2.4178769999999998</v>
      </c>
      <c r="V9480">
        <v>-0.34675479999999997</v>
      </c>
      <c r="W9480">
        <v>0.12807180000000001</v>
      </c>
      <c r="X9480">
        <v>0.92917099999999997</v>
      </c>
      <c r="Y9480">
        <v>-0.62975199999999998</v>
      </c>
      <c r="Z9480">
        <v>2.6954789999999999E-2</v>
      </c>
      <c r="AA9480">
        <v>0.77632840000000003</v>
      </c>
      <c r="AB9480">
        <v>28</v>
      </c>
      <c r="AC9480">
        <v>7.0332999999999899</v>
      </c>
      <c r="AD9480">
        <v>-1.128391222021</v>
      </c>
      <c r="AE9480">
        <v>7.9657299999999998</v>
      </c>
      <c r="AF9480">
        <v>-6.7140342227859398</v>
      </c>
      <c r="AG9480">
        <v>-1.128391222021</v>
      </c>
      <c r="AH9480">
        <v>8.0831805056883699</v>
      </c>
      <c r="AI9480">
        <v>96.129218811055694</v>
      </c>
      <c r="AJ9480">
        <v>129.71362817331101</v>
      </c>
      <c r="AK9480">
        <v>10.568317244586</v>
      </c>
      <c r="AL9480">
        <v>82.641816903556901</v>
      </c>
      <c r="AM9480">
        <v>110.464934698918</v>
      </c>
      <c r="AN9480">
        <v>1.00000001225964</v>
      </c>
    </row>
    <row r="9481" spans="1:40" x14ac:dyDescent="0.25">
      <c r="A9481" t="str">
        <f>"20190303162132858"</f>
        <v>20190303162132858</v>
      </c>
      <c r="B9481" t="str">
        <f>"1551601292851910"</f>
        <v>1551601292851910</v>
      </c>
      <c r="C9481" t="s">
        <v>40</v>
      </c>
      <c r="D9481">
        <v>5.0951789999999999</v>
      </c>
      <c r="E9481">
        <v>0.36147200000000002</v>
      </c>
      <c r="F9481" t="s">
        <v>62</v>
      </c>
      <c r="G9481">
        <v>-203.4915</v>
      </c>
      <c r="H9481" s="1">
        <v>-5.2697659999999901E-6</v>
      </c>
      <c r="I9481">
        <v>-54.312719999999999</v>
      </c>
      <c r="J9481">
        <v>-210.44159999999999</v>
      </c>
      <c r="K9481">
        <v>1.128431</v>
      </c>
      <c r="L9481">
        <v>-62.290649999999999</v>
      </c>
      <c r="M9481">
        <v>0.98704610000000004</v>
      </c>
      <c r="N9481">
        <v>-1.2664129999999999E-2</v>
      </c>
      <c r="O9481">
        <v>0.15993660000000001</v>
      </c>
      <c r="P9481">
        <v>0.86304749999999997</v>
      </c>
      <c r="Q9481">
        <v>0.1223495</v>
      </c>
      <c r="R9481">
        <v>0.49008109999999999</v>
      </c>
      <c r="S9481">
        <v>2.1551819999999999</v>
      </c>
      <c r="T9481">
        <v>-0.34211609999999998</v>
      </c>
      <c r="U9481">
        <v>2.428131</v>
      </c>
      <c r="V9481">
        <v>-0.34804649999999998</v>
      </c>
      <c r="W9481">
        <v>0.12798329999999999</v>
      </c>
      <c r="X9481">
        <v>0.92870010000000003</v>
      </c>
      <c r="Y9481">
        <v>-0.62894850000000002</v>
      </c>
      <c r="Z9481">
        <v>2.6385970000000002E-2</v>
      </c>
      <c r="AA9481">
        <v>0.77699910000000005</v>
      </c>
      <c r="AB9481">
        <v>28</v>
      </c>
      <c r="AC9481">
        <v>6.9500999999999902</v>
      </c>
      <c r="AD9481">
        <v>-1.128436269766</v>
      </c>
      <c r="AE9481">
        <v>7.9779299999999997</v>
      </c>
      <c r="AF9481">
        <v>-6.6874858394423304</v>
      </c>
      <c r="AG9481">
        <v>-1.128436269766</v>
      </c>
      <c r="AH9481">
        <v>8.0451758683348302</v>
      </c>
      <c r="AI9481">
        <v>96.156321054652906</v>
      </c>
      <c r="AJ9481">
        <v>129.73477274547301</v>
      </c>
      <c r="AK9481">
        <v>10.5223899386072</v>
      </c>
      <c r="AL9481">
        <v>82.646929442087</v>
      </c>
      <c r="AM9481">
        <v>110.54435920008601</v>
      </c>
      <c r="AN9481">
        <v>0.99999998349057395</v>
      </c>
    </row>
    <row r="9482" spans="1:40" x14ac:dyDescent="0.25">
      <c r="A9482" t="str">
        <f>"20190303162132869"</f>
        <v>20190303162132869</v>
      </c>
      <c r="B9482" t="str">
        <f>"1551601292861670"</f>
        <v>1551601292861670</v>
      </c>
      <c r="C9482" t="s">
        <v>40</v>
      </c>
      <c r="D9482">
        <v>5.130414</v>
      </c>
      <c r="E9482">
        <v>0.36186639999999998</v>
      </c>
      <c r="F9482" t="s">
        <v>62</v>
      </c>
      <c r="G9482">
        <v>-203.40770000000001</v>
      </c>
      <c r="H9482" s="1">
        <v>-5.3252159999999999E-6</v>
      </c>
      <c r="I9482">
        <v>-54.255380000000002</v>
      </c>
      <c r="J9482">
        <v>-210.31639999999999</v>
      </c>
      <c r="K9482">
        <v>1.12849</v>
      </c>
      <c r="L9482">
        <v>-62.265839999999997</v>
      </c>
      <c r="M9482">
        <v>0.98623629999999995</v>
      </c>
      <c r="N9482">
        <v>-1.274891E-2</v>
      </c>
      <c r="O9482">
        <v>0.16484960000000001</v>
      </c>
      <c r="P9482">
        <v>0.8598654</v>
      </c>
      <c r="Q9482">
        <v>0.12223150000000001</v>
      </c>
      <c r="R9482">
        <v>0.49567240000000001</v>
      </c>
      <c r="S9482">
        <v>2.1378629999999998</v>
      </c>
      <c r="T9482">
        <v>-0.34297119999999998</v>
      </c>
      <c r="U9482">
        <v>2.4422000000000001</v>
      </c>
      <c r="V9482">
        <v>-0.34946939999999999</v>
      </c>
      <c r="W9482">
        <v>0.12785369999999999</v>
      </c>
      <c r="X9482">
        <v>0.92818350000000005</v>
      </c>
      <c r="Y9482">
        <v>-0.6304073</v>
      </c>
      <c r="Z9482">
        <v>2.611807E-2</v>
      </c>
      <c r="AA9482">
        <v>0.77582499999999999</v>
      </c>
      <c r="AB9482">
        <v>28</v>
      </c>
      <c r="AC9482">
        <v>6.9086999999999801</v>
      </c>
      <c r="AD9482">
        <v>-1.1284953252159999</v>
      </c>
      <c r="AE9482">
        <v>8.0104600000000001</v>
      </c>
      <c r="AF9482">
        <v>-6.6857692160736804</v>
      </c>
      <c r="AG9482">
        <v>-1.1284953252159999</v>
      </c>
      <c r="AH9482">
        <v>8.0432532066033708</v>
      </c>
      <c r="AI9482">
        <v>96.158145372891696</v>
      </c>
      <c r="AJ9482">
        <v>129.73427384985899</v>
      </c>
      <c r="AK9482">
        <v>10.519835257986101</v>
      </c>
      <c r="AL9482">
        <v>82.654416752631207</v>
      </c>
      <c r="AM9482">
        <v>110.631805312298</v>
      </c>
      <c r="AN9482">
        <v>1.0000000199061401</v>
      </c>
    </row>
    <row r="9483" spans="1:40" x14ac:dyDescent="0.25">
      <c r="A9483" t="str">
        <f>"20190303162132880"</f>
        <v>20190303162132880</v>
      </c>
      <c r="B9483" t="str">
        <f>"1551601292871430"</f>
        <v>1551601292871430</v>
      </c>
      <c r="C9483" t="s">
        <v>40</v>
      </c>
      <c r="D9483">
        <v>5.1062909999999997</v>
      </c>
      <c r="E9483">
        <v>0.36228919999999998</v>
      </c>
      <c r="F9483" t="s">
        <v>62</v>
      </c>
      <c r="G9483">
        <v>-203.32089999999999</v>
      </c>
      <c r="H9483" s="1">
        <v>-5.38572199999999E-6</v>
      </c>
      <c r="I9483">
        <v>-54.181939999999997</v>
      </c>
      <c r="J9483">
        <v>-210.18039999999999</v>
      </c>
      <c r="K9483">
        <v>1.128592</v>
      </c>
      <c r="L9483">
        <v>-62.238039999999998</v>
      </c>
      <c r="M9483">
        <v>0.98532739999999996</v>
      </c>
      <c r="N9483">
        <v>-1.2811380000000001E-2</v>
      </c>
      <c r="O9483">
        <v>0.17019419999999999</v>
      </c>
      <c r="P9483">
        <v>0.85665149999999901</v>
      </c>
      <c r="Q9483">
        <v>0.1219877</v>
      </c>
      <c r="R9483">
        <v>0.50126579999999998</v>
      </c>
      <c r="S9483">
        <v>2.12323</v>
      </c>
      <c r="T9483">
        <v>-0.34251090000000001</v>
      </c>
      <c r="U9483">
        <v>2.4535520000000002</v>
      </c>
      <c r="V9483">
        <v>-0.35051490000000002</v>
      </c>
      <c r="W9483">
        <v>0.1275454</v>
      </c>
      <c r="X9483">
        <v>0.92783159999999998</v>
      </c>
      <c r="Y9483">
        <v>-0.63064980000000004</v>
      </c>
      <c r="Z9483">
        <v>2.5617569999999999E-2</v>
      </c>
      <c r="AA9483">
        <v>0.77564469999999996</v>
      </c>
      <c r="AB9483">
        <v>28</v>
      </c>
      <c r="AC9483">
        <v>6.8594999999999899</v>
      </c>
      <c r="AD9483">
        <v>-1.128597385722</v>
      </c>
      <c r="AE9483">
        <v>8.0561000000000007</v>
      </c>
      <c r="AF9483">
        <v>-6.6948343297176898</v>
      </c>
      <c r="AG9483">
        <v>-1.128597385722</v>
      </c>
      <c r="AH9483">
        <v>8.0391567596231095</v>
      </c>
      <c r="AI9483">
        <v>96.157150683066405</v>
      </c>
      <c r="AJ9483">
        <v>129.786794043252</v>
      </c>
      <c r="AK9483">
        <v>10.522479753709099</v>
      </c>
      <c r="AL9483">
        <v>82.672226715510405</v>
      </c>
      <c r="AM9483">
        <v>110.69549072363399</v>
      </c>
      <c r="AN9483">
        <v>1.0000000010708601</v>
      </c>
    </row>
    <row r="9484" spans="1:40" x14ac:dyDescent="0.25">
      <c r="A9484" t="str">
        <f>"20190303162132890"</f>
        <v>20190303162132890</v>
      </c>
      <c r="B9484" t="str">
        <f>"1551601292882166"</f>
        <v>1551601292882166</v>
      </c>
      <c r="C9484" t="s">
        <v>40</v>
      </c>
      <c r="D9484">
        <v>5.1177489999999999</v>
      </c>
      <c r="E9484">
        <v>0.36228919999999998</v>
      </c>
      <c r="F9484" t="s">
        <v>62</v>
      </c>
      <c r="G9484">
        <v>-203.215</v>
      </c>
      <c r="H9484" s="1">
        <v>-5.4590770000000004E-6</v>
      </c>
      <c r="I9484">
        <v>-54.094529999999999</v>
      </c>
      <c r="J9484">
        <v>-210.05510000000001</v>
      </c>
      <c r="K9484">
        <v>1.1286959999999999</v>
      </c>
      <c r="L9484">
        <v>-62.2117</v>
      </c>
      <c r="M9484">
        <v>0.9844697</v>
      </c>
      <c r="N9484">
        <v>-1.2851370000000001E-2</v>
      </c>
      <c r="O9484">
        <v>0.1750833</v>
      </c>
      <c r="P9484">
        <v>0.85361219999999904</v>
      </c>
      <c r="Q9484">
        <v>0.1216648</v>
      </c>
      <c r="R9484">
        <v>0.5065016</v>
      </c>
      <c r="S9484">
        <v>2.1083219999999998</v>
      </c>
      <c r="T9484">
        <v>-0.34160790000000002</v>
      </c>
      <c r="U9484">
        <v>2.4649049999999999</v>
      </c>
      <c r="V9484">
        <v>-0.351616599999999</v>
      </c>
      <c r="W9484">
        <v>0.1271301</v>
      </c>
      <c r="X9484">
        <v>0.92747170000000001</v>
      </c>
      <c r="Y9484">
        <v>-0.63130149999999996</v>
      </c>
      <c r="Z9484">
        <v>2.516256E-2</v>
      </c>
      <c r="AA9484">
        <v>0.77512919999999996</v>
      </c>
      <c r="AB9484">
        <v>28</v>
      </c>
      <c r="AC9484">
        <v>6.8400999999999996</v>
      </c>
      <c r="AD9484">
        <v>-1.1287014590769999</v>
      </c>
      <c r="AE9484">
        <v>8.1171699999999891</v>
      </c>
      <c r="AF9484">
        <v>-6.7181234068996103</v>
      </c>
      <c r="AG9484">
        <v>-1.1287014590769999</v>
      </c>
      <c r="AH9484">
        <v>8.0645440532063599</v>
      </c>
      <c r="AI9484">
        <v>96.137680265528701</v>
      </c>
      <c r="AJ9484">
        <v>129.795800347658</v>
      </c>
      <c r="AK9484">
        <v>10.5567049726778</v>
      </c>
      <c r="AL9484">
        <v>82.696217123249994</v>
      </c>
      <c r="AM9484">
        <v>110.762370358745</v>
      </c>
      <c r="AN9484">
        <v>1.00000002501122</v>
      </c>
    </row>
    <row r="9485" spans="1:40" x14ac:dyDescent="0.25">
      <c r="A9485" t="str">
        <f>"20190303162132902"</f>
        <v>20190303162132902</v>
      </c>
      <c r="B9485" t="str">
        <f>"1551601292891926"</f>
        <v>1551601292891926</v>
      </c>
      <c r="C9485" t="s">
        <v>40</v>
      </c>
      <c r="D9485">
        <v>5.1024669999999999</v>
      </c>
      <c r="E9485">
        <v>0.37365350000000003</v>
      </c>
      <c r="F9485" t="s">
        <v>62</v>
      </c>
      <c r="G9485">
        <v>-203.14769999999999</v>
      </c>
      <c r="H9485" s="1">
        <v>-5.5067710000000002E-6</v>
      </c>
      <c r="I9485">
        <v>-54.033900000000003</v>
      </c>
      <c r="J9485">
        <v>-209.90530000000001</v>
      </c>
      <c r="K9485">
        <v>1.1288339999999999</v>
      </c>
      <c r="L9485">
        <v>-62.17944</v>
      </c>
      <c r="M9485">
        <v>0.9834176</v>
      </c>
      <c r="N9485">
        <v>-1.2881399999999999E-2</v>
      </c>
      <c r="O9485">
        <v>0.18089720000000001</v>
      </c>
      <c r="P9485">
        <v>0.85009469999999998</v>
      </c>
      <c r="Q9485">
        <v>0.1212678</v>
      </c>
      <c r="R9485">
        <v>0.51247749999999903</v>
      </c>
      <c r="S9485">
        <v>2.0929410000000002</v>
      </c>
      <c r="T9485">
        <v>-0.34199679999999999</v>
      </c>
      <c r="U9485">
        <v>2.477875</v>
      </c>
      <c r="V9485">
        <v>-0.35267670000000001</v>
      </c>
      <c r="W9485">
        <v>0.12659899999999999</v>
      </c>
      <c r="X9485">
        <v>0.92714169999999996</v>
      </c>
      <c r="Y9485">
        <v>-0.63154949999999999</v>
      </c>
      <c r="Z9485">
        <v>2.4638839999999999E-2</v>
      </c>
      <c r="AA9485">
        <v>0.77494390000000002</v>
      </c>
      <c r="AB9485">
        <v>28</v>
      </c>
      <c r="AC9485">
        <v>6.7576000000000196</v>
      </c>
      <c r="AD9485">
        <v>-1.128839506771</v>
      </c>
      <c r="AE9485">
        <v>8.1455399999999898</v>
      </c>
      <c r="AF9485">
        <v>-6.71224181122271</v>
      </c>
      <c r="AG9485">
        <v>-1.128839506771</v>
      </c>
      <c r="AH9485">
        <v>8.0283915157468702</v>
      </c>
      <c r="AI9485">
        <v>96.156775557702701</v>
      </c>
      <c r="AJ9485">
        <v>129.897750956951</v>
      </c>
      <c r="AK9485">
        <v>10.525375959769301</v>
      </c>
      <c r="AL9485">
        <v>82.7268942126925</v>
      </c>
      <c r="AM9485">
        <v>110.826382803372</v>
      </c>
      <c r="AN9485">
        <v>0.99999994670138803</v>
      </c>
    </row>
    <row r="9486" spans="1:40" x14ac:dyDescent="0.25">
      <c r="A9486" t="str">
        <f>"20190303162132915"</f>
        <v>20190303162132915</v>
      </c>
      <c r="B9486" t="str">
        <f>"1551601292901686"</f>
        <v>1551601292901686</v>
      </c>
      <c r="C9486" t="s">
        <v>40</v>
      </c>
      <c r="D9486">
        <v>5.0944510000000003</v>
      </c>
      <c r="E9486">
        <v>0.37363669999999999</v>
      </c>
      <c r="F9486" t="s">
        <v>42</v>
      </c>
      <c r="G9486">
        <v>-209.29810000000001</v>
      </c>
      <c r="H9486">
        <v>1.037228</v>
      </c>
      <c r="I9486">
        <v>-61.487609999999997</v>
      </c>
      <c r="J9486">
        <v>-209.76130000000001</v>
      </c>
      <c r="K9486">
        <v>1.1289559999999901</v>
      </c>
      <c r="L9486">
        <v>-62.147060000000003</v>
      </c>
      <c r="M9486">
        <v>0.98237560000000002</v>
      </c>
      <c r="N9486">
        <v>-1.289329E-2</v>
      </c>
      <c r="O9486">
        <v>0.1864731</v>
      </c>
      <c r="P9486">
        <v>0.84691139999999998</v>
      </c>
      <c r="Q9486">
        <v>0.1207884</v>
      </c>
      <c r="R9486">
        <v>0.51783349999999995</v>
      </c>
      <c r="S9486">
        <v>2.1188660000000001</v>
      </c>
      <c r="T9486">
        <v>-0.31970569999999998</v>
      </c>
      <c r="U9486">
        <v>2.414825</v>
      </c>
      <c r="V9486">
        <v>-0.35329339999999998</v>
      </c>
      <c r="W9486">
        <v>0.12599350000000001</v>
      </c>
      <c r="X9486">
        <v>0.92698939999999996</v>
      </c>
      <c r="Y9486">
        <v>-0.612846</v>
      </c>
      <c r="Z9486">
        <v>2.164228E-2</v>
      </c>
      <c r="AA9486">
        <v>0.789906</v>
      </c>
      <c r="AB9486">
        <v>28</v>
      </c>
      <c r="AC9486">
        <v>0.4632</v>
      </c>
      <c r="AD9486">
        <v>-9.1727999999999796E-2</v>
      </c>
      <c r="AE9486">
        <v>0.65944999999999898</v>
      </c>
      <c r="AF9486">
        <v>-0.55431807526543098</v>
      </c>
      <c r="AG9486">
        <v>-9.1727999999999796E-2</v>
      </c>
      <c r="AH9486">
        <v>0.57066052964441405</v>
      </c>
      <c r="AI9486">
        <v>96.577123153551298</v>
      </c>
      <c r="AJ9486">
        <v>134.16772834564401</v>
      </c>
      <c r="AK9486">
        <v>0.80083456134461095</v>
      </c>
      <c r="AL9486">
        <v>82.761867006465593</v>
      </c>
      <c r="AM9486">
        <v>110.86280113017099</v>
      </c>
      <c r="AN9486">
        <v>0.99999996811908398</v>
      </c>
    </row>
    <row r="9487" spans="1:40" x14ac:dyDescent="0.25">
      <c r="A9487" t="str">
        <f>"20190303162132928"</f>
        <v>20190303162132928</v>
      </c>
      <c r="B9487" t="str">
        <f>"1551601292922181"</f>
        <v>1551601292922181</v>
      </c>
      <c r="C9487" t="s">
        <v>40</v>
      </c>
      <c r="D9487">
        <v>5.0783860000000001</v>
      </c>
      <c r="E9487">
        <v>0.3733359</v>
      </c>
      <c r="F9487" t="s">
        <v>62</v>
      </c>
      <c r="G9487">
        <v>-202.27799999999999</v>
      </c>
      <c r="H9487" s="1">
        <v>-5.9208089999999997E-6</v>
      </c>
      <c r="I9487">
        <v>-53.502989999999997</v>
      </c>
      <c r="J9487">
        <v>-209.6026</v>
      </c>
      <c r="K9487">
        <v>1.1290819999999999</v>
      </c>
      <c r="L9487">
        <v>-62.110750000000003</v>
      </c>
      <c r="M9487">
        <v>0.98118720000000004</v>
      </c>
      <c r="N9487">
        <v>-1.2898639999999999E-2</v>
      </c>
      <c r="O9487">
        <v>0.1926271</v>
      </c>
      <c r="P9487">
        <v>0.84319840000000001</v>
      </c>
      <c r="Q9487">
        <v>0.12050370000000001</v>
      </c>
      <c r="R9487">
        <v>0.52392299999999903</v>
      </c>
      <c r="S9487">
        <v>2.1025239999999998</v>
      </c>
      <c r="T9487">
        <v>-0.31719849999999999</v>
      </c>
      <c r="U9487">
        <v>2.4286799999999999</v>
      </c>
      <c r="V9487">
        <v>-0.35419580000000001</v>
      </c>
      <c r="W9487">
        <v>0.12556589999999901</v>
      </c>
      <c r="X9487">
        <v>0.92670300000000005</v>
      </c>
      <c r="Y9487">
        <v>-0.61322219999999905</v>
      </c>
      <c r="Z9487">
        <v>2.098585E-2</v>
      </c>
      <c r="AA9487">
        <v>0.78963169999999905</v>
      </c>
      <c r="AB9487">
        <v>28</v>
      </c>
      <c r="AC9487">
        <v>7.3246000000000002</v>
      </c>
      <c r="AD9487">
        <v>-1.1290879208089999</v>
      </c>
      <c r="AE9487">
        <v>8.6077599999999901</v>
      </c>
      <c r="AF9487">
        <v>-6.9659748059394202</v>
      </c>
      <c r="AG9487">
        <v>-1.1290879208089999</v>
      </c>
      <c r="AH9487">
        <v>8.7582235212731803</v>
      </c>
      <c r="AI9487">
        <v>95.761383021489806</v>
      </c>
      <c r="AJ9487">
        <v>128.49747263937201</v>
      </c>
      <c r="AK9487">
        <v>11.2474941110668</v>
      </c>
      <c r="AL9487">
        <v>82.786562717539894</v>
      </c>
      <c r="AM9487">
        <v>110.91739094956399</v>
      </c>
      <c r="AN9487">
        <v>0.99999995509472395</v>
      </c>
    </row>
    <row r="9488" spans="1:40" x14ac:dyDescent="0.25">
      <c r="A9488" t="str">
        <f>"20190303162132942"</f>
        <v>20190303162132942</v>
      </c>
      <c r="B9488" t="str">
        <f>"1551601292931942"</f>
        <v>1551601292931942</v>
      </c>
      <c r="C9488" t="s">
        <v>40</v>
      </c>
      <c r="D9488">
        <v>5.0107619999999997</v>
      </c>
      <c r="E9488">
        <v>0.3718938</v>
      </c>
      <c r="F9488" t="s">
        <v>62</v>
      </c>
      <c r="G9488">
        <v>-201.8946</v>
      </c>
      <c r="H9488" s="1">
        <v>-6.1364049999999997E-6</v>
      </c>
      <c r="I9488">
        <v>-53.0518199999999</v>
      </c>
      <c r="J9488">
        <v>-209.4282</v>
      </c>
      <c r="K9488">
        <v>1.129186</v>
      </c>
      <c r="L9488">
        <v>-62.069339999999997</v>
      </c>
      <c r="M9488">
        <v>0.97982409999999998</v>
      </c>
      <c r="N9488">
        <v>-1.2894050000000001E-2</v>
      </c>
      <c r="O9488">
        <v>0.19944600000000001</v>
      </c>
      <c r="P9488">
        <v>0.83897500000000003</v>
      </c>
      <c r="Q9488">
        <v>0.12032030000000001</v>
      </c>
      <c r="R9488">
        <v>0.53070150000000005</v>
      </c>
      <c r="S9488">
        <v>2.0814509999999999</v>
      </c>
      <c r="T9488">
        <v>-0.30489729999999998</v>
      </c>
      <c r="U9488">
        <v>2.446259</v>
      </c>
      <c r="V9488">
        <v>-0.35525180000000001</v>
      </c>
      <c r="W9488">
        <v>0.1252413</v>
      </c>
      <c r="X9488">
        <v>0.92634269999999996</v>
      </c>
      <c r="Y9488">
        <v>-0.61466489999999996</v>
      </c>
      <c r="Z9488">
        <v>1.9935899999999999E-2</v>
      </c>
      <c r="AA9488">
        <v>0.78853640000000003</v>
      </c>
      <c r="AB9488">
        <v>28</v>
      </c>
      <c r="AC9488">
        <v>7.5335999999999999</v>
      </c>
      <c r="AD9488">
        <v>-1.1291921364049999</v>
      </c>
      <c r="AE9488">
        <v>9.01752000000001</v>
      </c>
      <c r="AF9488">
        <v>-7.2665398205431098</v>
      </c>
      <c r="AG9488">
        <v>-1.1291921364049999</v>
      </c>
      <c r="AH9488">
        <v>9.0968643432520597</v>
      </c>
      <c r="AI9488">
        <v>95.539564932213196</v>
      </c>
      <c r="AJ9488">
        <v>128.617723787632</v>
      </c>
      <c r="AK9488">
        <v>11.6974619778817</v>
      </c>
      <c r="AL9488">
        <v>82.805309320613304</v>
      </c>
      <c r="AM9488">
        <v>110.981785090443</v>
      </c>
      <c r="AN9488">
        <v>1.0000000112361001</v>
      </c>
    </row>
    <row r="9489" spans="1:40" x14ac:dyDescent="0.25">
      <c r="A9489" t="str">
        <f>"20190303162132953"</f>
        <v>20190303162132953</v>
      </c>
      <c r="B9489" t="str">
        <f>"1551601292941702"</f>
        <v>1551601292941702</v>
      </c>
      <c r="C9489" t="s">
        <v>40</v>
      </c>
      <c r="D9489">
        <v>4.977233</v>
      </c>
      <c r="E9489">
        <v>0.37099100000000002</v>
      </c>
      <c r="F9489" t="s">
        <v>42</v>
      </c>
      <c r="G9489">
        <v>-208.83269999999999</v>
      </c>
      <c r="H9489">
        <v>1.0449839999999999</v>
      </c>
      <c r="I9489">
        <v>-61.35136</v>
      </c>
      <c r="J9489">
        <v>-209.2997</v>
      </c>
      <c r="K9489">
        <v>1.129246</v>
      </c>
      <c r="L9489">
        <v>-62.037719999999901</v>
      </c>
      <c r="M9489">
        <v>0.97877320000000001</v>
      </c>
      <c r="N9489">
        <v>-1.2888299999999899E-2</v>
      </c>
      <c r="O9489">
        <v>0.2045409</v>
      </c>
      <c r="P9489">
        <v>0.83593209999999996</v>
      </c>
      <c r="Q9489">
        <v>0.1199667</v>
      </c>
      <c r="R9489">
        <v>0.53556110000000001</v>
      </c>
      <c r="S9489">
        <v>2.0520480000000001</v>
      </c>
      <c r="T9489">
        <v>-0.2901803</v>
      </c>
      <c r="U9489">
        <v>2.47464</v>
      </c>
      <c r="V9489">
        <v>-0.35581279999999998</v>
      </c>
      <c r="W9489">
        <v>0.1248094</v>
      </c>
      <c r="X9489">
        <v>0.9261857</v>
      </c>
      <c r="Y9489">
        <v>-0.62072930000000004</v>
      </c>
      <c r="Z9489">
        <v>1.9299730000000001E-2</v>
      </c>
      <c r="AA9489">
        <v>0.78378740000000002</v>
      </c>
      <c r="AB9489">
        <v>28</v>
      </c>
      <c r="AC9489">
        <v>0.46700000000001302</v>
      </c>
      <c r="AD9489">
        <v>-8.4262000000000004E-2</v>
      </c>
      <c r="AE9489">
        <v>0.68635999999999298</v>
      </c>
      <c r="AF9489">
        <v>-0.57044120265834097</v>
      </c>
      <c r="AG9489">
        <v>-8.4262000000000004E-2</v>
      </c>
      <c r="AH9489">
        <v>0.59143231133454399</v>
      </c>
      <c r="AI9489">
        <v>95.854964674339001</v>
      </c>
      <c r="AJ9489">
        <v>133.964972442576</v>
      </c>
      <c r="AK9489">
        <v>0.82601176094824202</v>
      </c>
      <c r="AL9489">
        <v>82.830251300393002</v>
      </c>
      <c r="AM9489">
        <v>111.01527967329</v>
      </c>
      <c r="AN9489">
        <v>1.00000004292834</v>
      </c>
    </row>
    <row r="9490" spans="1:40" x14ac:dyDescent="0.25">
      <c r="A9490" t="str">
        <f>"20190303162132964"</f>
        <v>20190303162132964</v>
      </c>
      <c r="B9490" t="str">
        <f>"1551601292952438"</f>
        <v>1551601292952438</v>
      </c>
      <c r="C9490" t="s">
        <v>40</v>
      </c>
      <c r="D9490">
        <v>5.0435780000000001</v>
      </c>
      <c r="E9490">
        <v>0.37118499999999999</v>
      </c>
      <c r="F9490" t="s">
        <v>62</v>
      </c>
      <c r="G9490">
        <v>-201.17580000000001</v>
      </c>
      <c r="H9490" s="1">
        <v>-6.5620029999999999E-6</v>
      </c>
      <c r="I9490">
        <v>-52.0685</v>
      </c>
      <c r="J9490">
        <v>-209.16210000000001</v>
      </c>
      <c r="K9490">
        <v>1.1292990000000001</v>
      </c>
      <c r="L9490">
        <v>-62.003540000000001</v>
      </c>
      <c r="M9490">
        <v>0.97761220000000004</v>
      </c>
      <c r="N9490">
        <v>-1.2880880000000001E-2</v>
      </c>
      <c r="O9490">
        <v>0.21002009999999999</v>
      </c>
      <c r="P9490">
        <v>0.83263799999999899</v>
      </c>
      <c r="Q9490">
        <v>0.1193326</v>
      </c>
      <c r="R9490">
        <v>0.54080839999999997</v>
      </c>
      <c r="S9490">
        <v>2.031876</v>
      </c>
      <c r="T9490">
        <v>-0.28243800000000002</v>
      </c>
      <c r="U9490">
        <v>2.4934080000000001</v>
      </c>
      <c r="V9490">
        <v>-0.35643940000000002</v>
      </c>
      <c r="W9490">
        <v>0.1240964</v>
      </c>
      <c r="X9490">
        <v>0.92604050000000004</v>
      </c>
      <c r="Y9490">
        <v>-0.62314609999999904</v>
      </c>
      <c r="Z9490">
        <v>1.868218E-2</v>
      </c>
      <c r="AA9490">
        <v>0.78188230000000003</v>
      </c>
      <c r="AB9490">
        <v>28</v>
      </c>
      <c r="AC9490">
        <v>7.9863</v>
      </c>
      <c r="AD9490">
        <v>-1.1293055620029999</v>
      </c>
      <c r="AE9490">
        <v>9.9350399999999901</v>
      </c>
      <c r="AF9490">
        <v>-7.9734172861731096</v>
      </c>
      <c r="AG9490">
        <v>-1.1293055620029999</v>
      </c>
      <c r="AH9490">
        <v>9.8178246402915494</v>
      </c>
      <c r="AI9490">
        <v>95.102362961279496</v>
      </c>
      <c r="AJ9490">
        <v>129.081323906704</v>
      </c>
      <c r="AK9490">
        <v>12.698046894673601</v>
      </c>
      <c r="AL9490">
        <v>82.871422866137905</v>
      </c>
      <c r="AM9490">
        <v>111.052060986792</v>
      </c>
      <c r="AN9490">
        <v>0.99999998500278398</v>
      </c>
    </row>
    <row r="9491" spans="1:40" x14ac:dyDescent="0.25">
      <c r="A9491" t="str">
        <f>"20190303162132976"</f>
        <v>20190303162132976</v>
      </c>
      <c r="B9491" t="str">
        <f>"1551601292971957"</f>
        <v>1551601292971957</v>
      </c>
      <c r="C9491" t="s">
        <v>40</v>
      </c>
      <c r="D9491">
        <v>5.0993029999999999</v>
      </c>
      <c r="E9491">
        <v>0.3719074</v>
      </c>
      <c r="F9491" t="s">
        <v>42</v>
      </c>
      <c r="G9491">
        <v>-208.59360000000001</v>
      </c>
      <c r="H9491">
        <v>1.0512379999999999</v>
      </c>
      <c r="I9491">
        <v>-61.296669999999999</v>
      </c>
      <c r="J9491">
        <v>-209.02090000000001</v>
      </c>
      <c r="K9491">
        <v>1.12923</v>
      </c>
      <c r="L9491">
        <v>-61.967100000000002</v>
      </c>
      <c r="M9491">
        <v>0.97626389999999996</v>
      </c>
      <c r="N9491">
        <v>-1.2709069999999999E-2</v>
      </c>
      <c r="O9491">
        <v>0.21621080000000001</v>
      </c>
      <c r="P9491">
        <v>0.82891759999999903</v>
      </c>
      <c r="Q9491">
        <v>0.1186673</v>
      </c>
      <c r="R9491">
        <v>0.54663850000000003</v>
      </c>
      <c r="S9491">
        <v>2.0153810000000001</v>
      </c>
      <c r="T9491">
        <v>-0.27669359999999998</v>
      </c>
      <c r="U9491">
        <v>2.5054020000000001</v>
      </c>
      <c r="V9491">
        <v>-0.3570295</v>
      </c>
      <c r="W9491">
        <v>0.1232716</v>
      </c>
      <c r="X9491">
        <v>0.9259233</v>
      </c>
      <c r="Y9491">
        <v>-0.62324190000000002</v>
      </c>
      <c r="Z9491">
        <v>1.786223E-2</v>
      </c>
      <c r="AA9491">
        <v>0.78182510000000005</v>
      </c>
      <c r="AB9491">
        <v>28</v>
      </c>
      <c r="AC9491">
        <v>0.42730000000000201</v>
      </c>
      <c r="AD9491">
        <v>-7.7992000000000006E-2</v>
      </c>
      <c r="AE9491">
        <v>0.67043000000000297</v>
      </c>
      <c r="AF9491">
        <v>-0.55681656377543998</v>
      </c>
      <c r="AG9491">
        <v>-7.7992000000000006E-2</v>
      </c>
      <c r="AH9491">
        <v>0.556798773012673</v>
      </c>
      <c r="AI9491">
        <v>95.656377320977398</v>
      </c>
      <c r="AJ9491">
        <v>135.00091533906399</v>
      </c>
      <c r="AK9491">
        <v>0.79129786514757305</v>
      </c>
      <c r="AL9491">
        <v>82.919045876682702</v>
      </c>
      <c r="AM9491">
        <v>111.08628775372701</v>
      </c>
      <c r="AN9491">
        <v>0.99999995435984801</v>
      </c>
    </row>
    <row r="9492" spans="1:40" x14ac:dyDescent="0.25">
      <c r="A9492" t="str">
        <f>"20190303162132986"</f>
        <v>20190303162132986</v>
      </c>
      <c r="B9492" t="str">
        <f>"1551601292981717"</f>
        <v>1551601292981717</v>
      </c>
      <c r="C9492" t="s">
        <v>40</v>
      </c>
      <c r="D9492">
        <v>5.1247449999999999</v>
      </c>
      <c r="E9492">
        <v>0.37231839999999999</v>
      </c>
      <c r="F9492" t="s">
        <v>62</v>
      </c>
      <c r="G9492">
        <v>-200.6028</v>
      </c>
      <c r="H9492" s="1">
        <v>-6.8869759999999996E-6</v>
      </c>
      <c r="I9492">
        <v>-51.376449999999998</v>
      </c>
      <c r="J9492">
        <v>-208.8931</v>
      </c>
      <c r="K9492">
        <v>1.1291789999999999</v>
      </c>
      <c r="L9492">
        <v>-61.933869999999999</v>
      </c>
      <c r="M9492">
        <v>0.97501470000000001</v>
      </c>
      <c r="N9492">
        <v>-1.257905E-2</v>
      </c>
      <c r="O9492">
        <v>0.2217837</v>
      </c>
      <c r="P9492">
        <v>0.82563050000000004</v>
      </c>
      <c r="Q9492">
        <v>0.117628</v>
      </c>
      <c r="R9492">
        <v>0.55181329999999995</v>
      </c>
      <c r="S9492">
        <v>1.999039</v>
      </c>
      <c r="T9492">
        <v>-0.26815879999999997</v>
      </c>
      <c r="U9492">
        <v>2.5149539999999999</v>
      </c>
      <c r="V9492">
        <v>-0.35747610000000002</v>
      </c>
      <c r="W9492">
        <v>0.1221061</v>
      </c>
      <c r="X9492">
        <v>0.92590550000000005</v>
      </c>
      <c r="Y9492">
        <v>-0.62345469999999903</v>
      </c>
      <c r="Z9492">
        <v>1.7044259999999999E-2</v>
      </c>
      <c r="AA9492">
        <v>0.78167369999999903</v>
      </c>
      <c r="AB9492">
        <v>28</v>
      </c>
      <c r="AC9492">
        <v>8.2903000000000002</v>
      </c>
      <c r="AD9492">
        <v>-1.1291858869760001</v>
      </c>
      <c r="AE9492">
        <v>10.55742</v>
      </c>
      <c r="AF9492">
        <v>-8.3962415894899909</v>
      </c>
      <c r="AG9492">
        <v>-1.1291858869760001</v>
      </c>
      <c r="AH9492">
        <v>10.3521983978167</v>
      </c>
      <c r="AI9492">
        <v>94.842298385252306</v>
      </c>
      <c r="AJ9492">
        <v>129.04408462305699</v>
      </c>
      <c r="AK9492">
        <v>13.3768436211307</v>
      </c>
      <c r="AL9492">
        <v>82.986332973819799</v>
      </c>
      <c r="AM9492">
        <v>111.110712336288</v>
      </c>
      <c r="AN9492">
        <v>1.00000002832933</v>
      </c>
    </row>
    <row r="9493" spans="1:40" x14ac:dyDescent="0.25">
      <c r="A9493" t="str">
        <f>"20190303162132998"</f>
        <v>20190303162132998</v>
      </c>
      <c r="B9493" t="str">
        <f>"1551601292991478"</f>
        <v>1551601292991478</v>
      </c>
      <c r="C9493" t="s">
        <v>40</v>
      </c>
      <c r="D9493">
        <v>5.1077159999999999</v>
      </c>
      <c r="E9493">
        <v>0.3720637</v>
      </c>
      <c r="F9493" t="s">
        <v>62</v>
      </c>
      <c r="G9493">
        <v>-200.62629999999999</v>
      </c>
      <c r="H9493" s="1">
        <v>-6.8723290000000004E-6</v>
      </c>
      <c r="I9493">
        <v>-51.413249999999998</v>
      </c>
      <c r="J9493">
        <v>-208.75309999999999</v>
      </c>
      <c r="K9493">
        <v>1.1292279999999999</v>
      </c>
      <c r="L9493">
        <v>-61.896239999999999</v>
      </c>
      <c r="M9493">
        <v>0.97366269999999999</v>
      </c>
      <c r="N9493">
        <v>-1.2612450000000001E-2</v>
      </c>
      <c r="O9493">
        <v>0.2276446</v>
      </c>
      <c r="P9493">
        <v>0.82217079999999998</v>
      </c>
      <c r="Q9493">
        <v>0.11610040000000001</v>
      </c>
      <c r="R9493">
        <v>0.55727539999999998</v>
      </c>
      <c r="S9493">
        <v>1.9843599999999999</v>
      </c>
      <c r="T9493">
        <v>-0.27104889999999998</v>
      </c>
      <c r="U9493">
        <v>2.52536</v>
      </c>
      <c r="V9493">
        <v>-0.35798809999999998</v>
      </c>
      <c r="W9493">
        <v>0.12053609999999999</v>
      </c>
      <c r="X9493">
        <v>0.9259134</v>
      </c>
      <c r="Y9493">
        <v>-0.62310900000000002</v>
      </c>
      <c r="Z9493">
        <v>1.6683460000000001E-2</v>
      </c>
      <c r="AA9493">
        <v>0.78195700000000001</v>
      </c>
      <c r="AB9493">
        <v>28</v>
      </c>
      <c r="AC9493">
        <v>8.1267999999999994</v>
      </c>
      <c r="AD9493">
        <v>-1.129234872329</v>
      </c>
      <c r="AE9493">
        <v>10.482989999999999</v>
      </c>
      <c r="AF9493">
        <v>-8.2973998879324693</v>
      </c>
      <c r="AG9493">
        <v>-1.129234872329</v>
      </c>
      <c r="AH9493">
        <v>10.225860897187101</v>
      </c>
      <c r="AI9493">
        <v>94.901199351359097</v>
      </c>
      <c r="AJ9493">
        <v>129.056335627632</v>
      </c>
      <c r="AK9493">
        <v>13.217043821738899</v>
      </c>
      <c r="AL9493">
        <v>83.0769567601468</v>
      </c>
      <c r="AM9493">
        <v>111.13811573622</v>
      </c>
      <c r="AN9493">
        <v>1.0000000277221801</v>
      </c>
    </row>
    <row r="9494" spans="1:40" x14ac:dyDescent="0.25">
      <c r="A9494" t="str">
        <f>"20190303162133010"</f>
        <v>20190303162133010</v>
      </c>
      <c r="B9494" t="str">
        <f>"1551601293002214"</f>
        <v>1551601293002214</v>
      </c>
      <c r="C9494" t="s">
        <v>40</v>
      </c>
      <c r="D9494">
        <v>5.0835100000000004</v>
      </c>
      <c r="E9494">
        <v>0.3720637</v>
      </c>
      <c r="F9494" t="s">
        <v>62</v>
      </c>
      <c r="G9494">
        <v>-200.72049999999999</v>
      </c>
      <c r="H9494" s="1">
        <v>-6.8208860000000002E-6</v>
      </c>
      <c r="I9494">
        <v>-51.514299999999999</v>
      </c>
      <c r="J9494">
        <v>-208.61760000000001</v>
      </c>
      <c r="K9494">
        <v>1.12931</v>
      </c>
      <c r="L9494">
        <v>-61.85913</v>
      </c>
      <c r="M9494">
        <v>0.97233619999999998</v>
      </c>
      <c r="N9494">
        <v>-1.2677880000000001E-2</v>
      </c>
      <c r="O9494">
        <v>0.23324110000000001</v>
      </c>
      <c r="P9494">
        <v>0.81875690000000001</v>
      </c>
      <c r="Q9494">
        <v>0.1148438</v>
      </c>
      <c r="R9494">
        <v>0.56253710000000001</v>
      </c>
      <c r="S9494">
        <v>1.9657750000000001</v>
      </c>
      <c r="T9494">
        <v>-0.27635090000000001</v>
      </c>
      <c r="U9494">
        <v>2.5407099999999998</v>
      </c>
      <c r="V9494">
        <v>-0.35856500000000002</v>
      </c>
      <c r="W9494">
        <v>0.11924129999999999</v>
      </c>
      <c r="X9494">
        <v>0.92585779999999995</v>
      </c>
      <c r="Y9494">
        <v>-0.62442140000000002</v>
      </c>
      <c r="Z9494">
        <v>1.6538999999999901E-2</v>
      </c>
      <c r="AA9494">
        <v>0.78091250000000001</v>
      </c>
      <c r="AB9494">
        <v>28</v>
      </c>
      <c r="AC9494">
        <v>7.8971000000000204</v>
      </c>
      <c r="AD9494">
        <v>-1.1293168208860001</v>
      </c>
      <c r="AE9494">
        <v>10.34483</v>
      </c>
      <c r="AF9494">
        <v>-8.1559745394316501</v>
      </c>
      <c r="AG9494">
        <v>-1.1293168208860001</v>
      </c>
      <c r="AH9494">
        <v>10.016865009809701</v>
      </c>
      <c r="AI9494">
        <v>94.996463399256697</v>
      </c>
      <c r="AJ9494">
        <v>129.15331697124199</v>
      </c>
      <c r="AK9494">
        <v>12.966605638891901</v>
      </c>
      <c r="AL9494">
        <v>83.151682161783199</v>
      </c>
      <c r="AM9494">
        <v>111.170324197222</v>
      </c>
      <c r="AN9494">
        <v>1.0000000063357599</v>
      </c>
    </row>
    <row r="9495" spans="1:40" x14ac:dyDescent="0.25">
      <c r="A9495" t="str">
        <f>"20190303162133019"</f>
        <v>20190303162133019</v>
      </c>
      <c r="B9495" t="str">
        <f>"1551601293011973"</f>
        <v>1551601293011973</v>
      </c>
      <c r="C9495" t="s">
        <v>40</v>
      </c>
      <c r="D9495">
        <v>5.0805129999999998</v>
      </c>
      <c r="E9495">
        <v>0.35453610000000002</v>
      </c>
      <c r="F9495" t="s">
        <v>62</v>
      </c>
      <c r="G9495">
        <v>-200.7107</v>
      </c>
      <c r="H9495" s="1">
        <v>-6.8275280000000002E-6</v>
      </c>
      <c r="I9495">
        <v>-51.495579999999997</v>
      </c>
      <c r="J9495">
        <v>-208.49379999999999</v>
      </c>
      <c r="K9495">
        <v>1.129427</v>
      </c>
      <c r="L9495">
        <v>-61.824399999999997</v>
      </c>
      <c r="M9495">
        <v>0.97111910000000001</v>
      </c>
      <c r="N9495">
        <v>-1.277914E-2</v>
      </c>
      <c r="O9495">
        <v>0.2382533</v>
      </c>
      <c r="P9495">
        <v>0.81565129999999997</v>
      </c>
      <c r="Q9495">
        <v>0.1138218</v>
      </c>
      <c r="R9495">
        <v>0.56723679999999999</v>
      </c>
      <c r="S9495">
        <v>1.9484710000000001</v>
      </c>
      <c r="T9495">
        <v>-0.27829470000000001</v>
      </c>
      <c r="U9495">
        <v>2.5538639999999999</v>
      </c>
      <c r="V9495">
        <v>-0.35909819999999998</v>
      </c>
      <c r="W9495">
        <v>0.1181907</v>
      </c>
      <c r="X9495">
        <v>0.92578579999999999</v>
      </c>
      <c r="Y9495">
        <v>-0.62565769999999998</v>
      </c>
      <c r="Z9495">
        <v>1.633619E-2</v>
      </c>
      <c r="AA9495">
        <v>0.77992659999999903</v>
      </c>
      <c r="AB9495">
        <v>28</v>
      </c>
      <c r="AC9495">
        <v>7.7830999999999904</v>
      </c>
      <c r="AD9495">
        <v>-1.129433827528</v>
      </c>
      <c r="AE9495">
        <v>10.32882</v>
      </c>
      <c r="AF9495">
        <v>-8.1149430206343407</v>
      </c>
      <c r="AG9495">
        <v>-1.129433827528</v>
      </c>
      <c r="AH9495">
        <v>9.9441700559302895</v>
      </c>
      <c r="AI9495">
        <v>95.028844855883094</v>
      </c>
      <c r="AJ9495">
        <v>129.21617533951201</v>
      </c>
      <c r="AK9495">
        <v>12.8846590602998</v>
      </c>
      <c r="AL9495">
        <v>83.212305462887599</v>
      </c>
      <c r="AM9495">
        <v>111.200513931166</v>
      </c>
      <c r="AN9495">
        <v>0.99999995314568302</v>
      </c>
    </row>
    <row r="9496" spans="1:40" x14ac:dyDescent="0.25">
      <c r="A9496" t="str">
        <f>"20190303162133031"</f>
        <v>20190303162133031</v>
      </c>
      <c r="B9496" t="str">
        <f>"1551601293021734"</f>
        <v>1551601293021734</v>
      </c>
      <c r="C9496" t="s">
        <v>40</v>
      </c>
      <c r="D9496">
        <v>5.0909389999999997</v>
      </c>
      <c r="E9496">
        <v>0.35311169999999997</v>
      </c>
      <c r="F9496" t="s">
        <v>62</v>
      </c>
      <c r="G9496">
        <v>-202.44409999999999</v>
      </c>
      <c r="H9496" s="1">
        <v>-5.9205740000000002E-6</v>
      </c>
      <c r="I9496">
        <v>-53.102229999999999</v>
      </c>
      <c r="J9496">
        <v>-208.36510000000001</v>
      </c>
      <c r="K9496">
        <v>1.129545</v>
      </c>
      <c r="L9496">
        <v>-61.787480000000002</v>
      </c>
      <c r="M9496">
        <v>0.96982179999999996</v>
      </c>
      <c r="N9496">
        <v>-1.284649E-2</v>
      </c>
      <c r="O9496">
        <v>0.24347669999999999</v>
      </c>
      <c r="P9496">
        <v>0.81227050000000001</v>
      </c>
      <c r="Q9496">
        <v>0.1129378</v>
      </c>
      <c r="R9496">
        <v>0.57224269999999999</v>
      </c>
      <c r="S9496">
        <v>1.8607940000000001</v>
      </c>
      <c r="T9496">
        <v>-0.34739569999999997</v>
      </c>
      <c r="U9496">
        <v>2.6827999999999999</v>
      </c>
      <c r="V9496">
        <v>-0.35980190000000001</v>
      </c>
      <c r="W9496">
        <v>0.1172337</v>
      </c>
      <c r="X9496">
        <v>0.92563430000000002</v>
      </c>
      <c r="Y9496">
        <v>-0.65527029999999997</v>
      </c>
      <c r="Z9496">
        <v>2.038761E-2</v>
      </c>
      <c r="AA9496">
        <v>0.7551194</v>
      </c>
      <c r="AB9496">
        <v>28</v>
      </c>
      <c r="AC9496">
        <v>5.9210000000000198</v>
      </c>
      <c r="AD9496">
        <v>-1.129550920574</v>
      </c>
      <c r="AE9496">
        <v>8.6852499999999893</v>
      </c>
      <c r="AF9496">
        <v>-6.9023903280249801</v>
      </c>
      <c r="AG9496">
        <v>-1.129550920574</v>
      </c>
      <c r="AH9496">
        <v>7.7679195501547698</v>
      </c>
      <c r="AI9496">
        <v>96.2036577699334</v>
      </c>
      <c r="AJ9496">
        <v>131.62353747099601</v>
      </c>
      <c r="AK9496">
        <v>10.452724604630999</v>
      </c>
      <c r="AL9496">
        <v>83.267521737405801</v>
      </c>
      <c r="AM9496">
        <v>111.241526095946</v>
      </c>
      <c r="AN9496">
        <v>1.0000000024978899</v>
      </c>
    </row>
    <row r="9497" spans="1:40" x14ac:dyDescent="0.25">
      <c r="A9497" t="str">
        <f>"20190303162133042"</f>
        <v>20190303162133042</v>
      </c>
      <c r="B9497" t="str">
        <f>"1551601293031494"</f>
        <v>1551601293031494</v>
      </c>
      <c r="C9497" t="s">
        <v>40</v>
      </c>
      <c r="D9497">
        <v>5.0563029999999998</v>
      </c>
      <c r="E9497">
        <v>0.35235490000000003</v>
      </c>
      <c r="F9497" t="s">
        <v>62</v>
      </c>
      <c r="G9497">
        <v>-202.38919999999999</v>
      </c>
      <c r="H9497" s="1">
        <v>-5.958653E-6</v>
      </c>
      <c r="I9497">
        <v>-52.991269999999901</v>
      </c>
      <c r="J9497">
        <v>-208.2225</v>
      </c>
      <c r="K9497">
        <v>1.1296649999999999</v>
      </c>
      <c r="L9497">
        <v>-61.74579</v>
      </c>
      <c r="M9497">
        <v>0.9683467</v>
      </c>
      <c r="N9497">
        <v>-1.288623E-2</v>
      </c>
      <c r="O9497">
        <v>0.24927679999999999</v>
      </c>
      <c r="P9497">
        <v>0.80847609999999903</v>
      </c>
      <c r="Q9497">
        <v>0.1121371</v>
      </c>
      <c r="R9497">
        <v>0.57774720000000002</v>
      </c>
      <c r="S9497">
        <v>1.836838</v>
      </c>
      <c r="T9497">
        <v>-0.3471959</v>
      </c>
      <c r="U9497">
        <v>2.703735</v>
      </c>
      <c r="V9497">
        <v>-0.36054969999999997</v>
      </c>
      <c r="W9497">
        <v>0.1163178</v>
      </c>
      <c r="X9497">
        <v>0.92545880000000003</v>
      </c>
      <c r="Y9497">
        <v>-0.65806260000000005</v>
      </c>
      <c r="Z9497">
        <v>2.0027449999999999E-2</v>
      </c>
      <c r="AA9497">
        <v>0.75269680000000005</v>
      </c>
      <c r="AB9497">
        <v>28</v>
      </c>
      <c r="AC9497">
        <v>5.8333000000000004</v>
      </c>
      <c r="AD9497">
        <v>-1.1296709586529901</v>
      </c>
      <c r="AE9497">
        <v>8.7545199999999994</v>
      </c>
      <c r="AF9497">
        <v>-6.9438151593602297</v>
      </c>
      <c r="AG9497">
        <v>-1.1296709586529901</v>
      </c>
      <c r="AH9497">
        <v>7.7423255860580298</v>
      </c>
      <c r="AI9497">
        <v>96.199283978943498</v>
      </c>
      <c r="AJ9497">
        <v>131.88779554913901</v>
      </c>
      <c r="AK9497">
        <v>10.461182099682301</v>
      </c>
      <c r="AL9497">
        <v>83.320360121984194</v>
      </c>
      <c r="AM9497">
        <v>111.28540191</v>
      </c>
      <c r="AN9497">
        <v>0.99999995363218297</v>
      </c>
    </row>
    <row r="9498" spans="1:40" x14ac:dyDescent="0.25">
      <c r="A9498" t="str">
        <f>"20190303162133053"</f>
        <v>20190303162133053</v>
      </c>
      <c r="B9498" t="str">
        <f>"1551601293042230"</f>
        <v>1551601293042230</v>
      </c>
      <c r="C9498" t="s">
        <v>40</v>
      </c>
      <c r="D9498">
        <v>5.0730740000000001</v>
      </c>
      <c r="E9498">
        <v>0.35241</v>
      </c>
      <c r="F9498" t="s">
        <v>62</v>
      </c>
      <c r="G9498">
        <v>-202.39599999999999</v>
      </c>
      <c r="H9498" s="1">
        <v>-5.95291399999999E-6</v>
      </c>
      <c r="I9498">
        <v>-53.011679999999998</v>
      </c>
      <c r="J9498">
        <v>-208.09229999999999</v>
      </c>
      <c r="K9498">
        <v>1.1297410000000001</v>
      </c>
      <c r="L9498">
        <v>-61.706359999999997</v>
      </c>
      <c r="M9498">
        <v>0.96693720000000005</v>
      </c>
      <c r="N9498">
        <v>-1.2864169999999999E-2</v>
      </c>
      <c r="O9498">
        <v>0.25468950000000001</v>
      </c>
      <c r="P9498">
        <v>0.80487730000000002</v>
      </c>
      <c r="Q9498">
        <v>0.1118487</v>
      </c>
      <c r="R9498">
        <v>0.58280569999999998</v>
      </c>
      <c r="S9498">
        <v>1.8151090000000001</v>
      </c>
      <c r="T9498">
        <v>-0.3519198</v>
      </c>
      <c r="U9498">
        <v>2.7208860000000001</v>
      </c>
      <c r="V9498">
        <v>-0.3611916</v>
      </c>
      <c r="W9498">
        <v>0.115895899999999</v>
      </c>
      <c r="X9498">
        <v>0.92526149999999996</v>
      </c>
      <c r="Y9498">
        <v>-0.66015019999999902</v>
      </c>
      <c r="Z9498">
        <v>1.977922E-2</v>
      </c>
      <c r="AA9498">
        <v>0.75087320000000002</v>
      </c>
      <c r="AB9498">
        <v>28</v>
      </c>
      <c r="AC9498">
        <v>5.6962999999999999</v>
      </c>
      <c r="AD9498">
        <v>-1.1297469529139901</v>
      </c>
      <c r="AE9498">
        <v>8.6946799999999893</v>
      </c>
      <c r="AF9498">
        <v>-6.8757753389966298</v>
      </c>
      <c r="AG9498">
        <v>-1.1297469529139901</v>
      </c>
      <c r="AH9498">
        <v>7.6328815323777599</v>
      </c>
      <c r="AI9498">
        <v>96.275660906133893</v>
      </c>
      <c r="AJ9498">
        <v>132.01284003015201</v>
      </c>
      <c r="AK9498">
        <v>10.3350614500972</v>
      </c>
      <c r="AL9498">
        <v>83.3446983755601</v>
      </c>
      <c r="AM9498">
        <v>111.324035214181</v>
      </c>
      <c r="AN9498">
        <v>1.0000000374647999</v>
      </c>
    </row>
    <row r="9499" spans="1:40" x14ac:dyDescent="0.25">
      <c r="A9499" t="str">
        <f>"20190303162133065"</f>
        <v>20190303162133065</v>
      </c>
      <c r="B9499" t="str">
        <f>"1551601293061750"</f>
        <v>1551601293061750</v>
      </c>
      <c r="C9499" t="s">
        <v>40</v>
      </c>
      <c r="D9499">
        <v>5.056063</v>
      </c>
      <c r="E9499">
        <v>0.35331950000000001</v>
      </c>
      <c r="F9499" t="s">
        <v>62</v>
      </c>
      <c r="G9499">
        <v>-202.31790000000001</v>
      </c>
      <c r="H9499" s="1">
        <v>-5.9945309999999997E-6</v>
      </c>
      <c r="I9499">
        <v>-52.934379999999997</v>
      </c>
      <c r="J9499">
        <v>-207.95349999999999</v>
      </c>
      <c r="K9499">
        <v>1.129812</v>
      </c>
      <c r="L9499">
        <v>-61.664000000000001</v>
      </c>
      <c r="M9499">
        <v>0.96539189999999997</v>
      </c>
      <c r="N9499">
        <v>-1.282468E-2</v>
      </c>
      <c r="O9499">
        <v>0.26048789999999999</v>
      </c>
      <c r="P9499">
        <v>0.80094309999999902</v>
      </c>
      <c r="Q9499">
        <v>0.111646</v>
      </c>
      <c r="R9499">
        <v>0.58823910000000001</v>
      </c>
      <c r="S9499">
        <v>1.798187</v>
      </c>
      <c r="T9499">
        <v>-0.3518114</v>
      </c>
      <c r="U9499">
        <v>2.7316590000000001</v>
      </c>
      <c r="V9499">
        <v>-0.36191849999999998</v>
      </c>
      <c r="W9499">
        <v>0.11554349999999999</v>
      </c>
      <c r="X9499">
        <v>0.92502150000000005</v>
      </c>
      <c r="Y9499">
        <v>-0.66028199999999904</v>
      </c>
      <c r="Z9499">
        <v>1.9145059999999998E-2</v>
      </c>
      <c r="AA9499">
        <v>0.75077369999999899</v>
      </c>
      <c r="AB9499">
        <v>28</v>
      </c>
      <c r="AC9499">
        <v>5.6355999999999797</v>
      </c>
      <c r="AD9499">
        <v>-1.1298179945310001</v>
      </c>
      <c r="AE9499">
        <v>8.7296199999999899</v>
      </c>
      <c r="AF9499">
        <v>-6.8787438108947301</v>
      </c>
      <c r="AG9499">
        <v>-1.1298179945310001</v>
      </c>
      <c r="AH9499">
        <v>7.6250069812895198</v>
      </c>
      <c r="AI9499">
        <v>96.278393339745307</v>
      </c>
      <c r="AJ9499">
        <v>132.05455106724301</v>
      </c>
      <c r="AK9499">
        <v>10.331231126124401</v>
      </c>
      <c r="AL9499">
        <v>83.365025975454202</v>
      </c>
      <c r="AM9499">
        <v>111.368127976406</v>
      </c>
      <c r="AN9499">
        <v>1.00000003824837</v>
      </c>
    </row>
    <row r="9500" spans="1:40" x14ac:dyDescent="0.25">
      <c r="A9500" t="str">
        <f>"20190303162133076"</f>
        <v>20190303162133076</v>
      </c>
      <c r="B9500" t="str">
        <f>"1551601293071510"</f>
        <v>1551601293071510</v>
      </c>
      <c r="C9500" t="s">
        <v>40</v>
      </c>
      <c r="D9500">
        <v>5.0544890000000002</v>
      </c>
      <c r="E9500">
        <v>0.35385220000000001</v>
      </c>
      <c r="F9500" t="s">
        <v>62</v>
      </c>
      <c r="G9500">
        <v>-202.21690000000001</v>
      </c>
      <c r="H9500" s="1">
        <v>-6.0442889999999998E-6</v>
      </c>
      <c r="I9500">
        <v>-52.860590000000002</v>
      </c>
      <c r="J9500">
        <v>-207.8211</v>
      </c>
      <c r="K9500">
        <v>1.1298440000000001</v>
      </c>
      <c r="L9500">
        <v>-61.622039999999998</v>
      </c>
      <c r="M9500">
        <v>0.96384700000000001</v>
      </c>
      <c r="N9500">
        <v>-1.277941E-2</v>
      </c>
      <c r="O9500">
        <v>0.26614969999999999</v>
      </c>
      <c r="P9500">
        <v>0.79729740000000004</v>
      </c>
      <c r="Q9500">
        <v>0.11214689999999999</v>
      </c>
      <c r="R9500">
        <v>0.59307679999999996</v>
      </c>
      <c r="S9500">
        <v>1.783936</v>
      </c>
      <c r="T9500">
        <v>-0.35134510000000002</v>
      </c>
      <c r="U9500">
        <v>2.7376399999999999</v>
      </c>
      <c r="V9500">
        <v>-0.36213430000000002</v>
      </c>
      <c r="W9500">
        <v>0.1159461</v>
      </c>
      <c r="X9500">
        <v>0.9248866</v>
      </c>
      <c r="Y9500">
        <v>-0.65940900000000002</v>
      </c>
      <c r="Z9500">
        <v>1.842862E-2</v>
      </c>
      <c r="AA9500">
        <v>0.75155850000000002</v>
      </c>
      <c r="AB9500">
        <v>28</v>
      </c>
      <c r="AC9500">
        <v>5.6041999999999899</v>
      </c>
      <c r="AD9500">
        <v>-1.129850044289</v>
      </c>
      <c r="AE9500">
        <v>8.76145</v>
      </c>
      <c r="AF9500">
        <v>-6.8726024187193202</v>
      </c>
      <c r="AG9500">
        <v>-1.129850044289</v>
      </c>
      <c r="AH9500">
        <v>7.6438715582879802</v>
      </c>
      <c r="AI9500">
        <v>96.272566585889905</v>
      </c>
      <c r="AJ9500">
        <v>131.95869976920901</v>
      </c>
      <c r="AK9500">
        <v>10.3410829958941</v>
      </c>
      <c r="AL9500">
        <v>83.341802261979296</v>
      </c>
      <c r="AM9500">
        <v>111.38255597017</v>
      </c>
      <c r="AN9500">
        <v>0.99999998610062901</v>
      </c>
    </row>
    <row r="9501" spans="1:40" x14ac:dyDescent="0.25">
      <c r="A9501" t="str">
        <f>"20190303162133088"</f>
        <v>20190303162133088</v>
      </c>
      <c r="B9501" t="str">
        <f>"1551601293082246"</f>
        <v>1551601293082246</v>
      </c>
      <c r="C9501" t="s">
        <v>40</v>
      </c>
      <c r="D9501">
        <v>5.067215</v>
      </c>
      <c r="E9501">
        <v>0.35385220000000001</v>
      </c>
      <c r="F9501" t="s">
        <v>62</v>
      </c>
      <c r="G9501">
        <v>-202.0412</v>
      </c>
      <c r="H9501" s="1">
        <v>-6.1428979999999996E-6</v>
      </c>
      <c r="I9501">
        <v>-52.655110000000001</v>
      </c>
      <c r="J9501">
        <v>-207.6858</v>
      </c>
      <c r="K9501">
        <v>1.129874</v>
      </c>
      <c r="L9501">
        <v>-61.57864</v>
      </c>
      <c r="M9501">
        <v>0.96222300000000005</v>
      </c>
      <c r="N9501">
        <v>-1.273991E-2</v>
      </c>
      <c r="O9501">
        <v>0.2719644</v>
      </c>
      <c r="P9501">
        <v>0.79366349999999997</v>
      </c>
      <c r="Q9501">
        <v>0.1131001</v>
      </c>
      <c r="R9501">
        <v>0.59775129999999999</v>
      </c>
      <c r="S9501">
        <v>1.7694240000000001</v>
      </c>
      <c r="T9501">
        <v>-0.34588229999999998</v>
      </c>
      <c r="U9501">
        <v>2.7450559999999999</v>
      </c>
      <c r="V9501">
        <v>-0.36205549999999997</v>
      </c>
      <c r="W9501">
        <v>0.1168222</v>
      </c>
      <c r="X9501">
        <v>0.9248073</v>
      </c>
      <c r="Y9501">
        <v>-0.65871299999999999</v>
      </c>
      <c r="Z9501">
        <v>1.757388E-2</v>
      </c>
      <c r="AA9501">
        <v>0.752189</v>
      </c>
      <c r="AB9501">
        <v>28</v>
      </c>
      <c r="AC9501">
        <v>5.6445999999999898</v>
      </c>
      <c r="AD9501">
        <v>-1.1298801428980001</v>
      </c>
      <c r="AE9501">
        <v>8.9235299999999995</v>
      </c>
      <c r="AF9501">
        <v>-6.9720342657837602</v>
      </c>
      <c r="AG9501">
        <v>-1.1298801428980001</v>
      </c>
      <c r="AH9501">
        <v>7.7699144701781897</v>
      </c>
      <c r="AI9501">
        <v>96.177214506768195</v>
      </c>
      <c r="AJ9501">
        <v>131.90199651445801</v>
      </c>
      <c r="AK9501">
        <v>10.5003553184862</v>
      </c>
      <c r="AL9501">
        <v>83.291262580520694</v>
      </c>
      <c r="AM9501">
        <v>111.379990824073</v>
      </c>
      <c r="AN9501">
        <v>1.00000007681318</v>
      </c>
    </row>
    <row r="9502" spans="1:40" x14ac:dyDescent="0.25">
      <c r="A9502" t="str">
        <f>"20190303162133099"</f>
        <v>20190303162133099</v>
      </c>
      <c r="B9502" t="str">
        <f>"1551601293092005"</f>
        <v>1551601293092005</v>
      </c>
      <c r="C9502" t="s">
        <v>40</v>
      </c>
      <c r="D9502">
        <v>5.0632619999999999</v>
      </c>
      <c r="E9502">
        <v>0.35559479999999999</v>
      </c>
      <c r="F9502" t="s">
        <v>62</v>
      </c>
      <c r="G9502">
        <v>-201.89160000000001</v>
      </c>
      <c r="H9502" s="1">
        <v>-6.2287789999999996E-6</v>
      </c>
      <c r="I9502">
        <v>-52.46763</v>
      </c>
      <c r="J9502">
        <v>-207.54810000000001</v>
      </c>
      <c r="K9502">
        <v>1.129893</v>
      </c>
      <c r="L9502">
        <v>-61.533360000000002</v>
      </c>
      <c r="M9502">
        <v>0.96051010000000003</v>
      </c>
      <c r="N9502">
        <v>-1.2718989999999999E-2</v>
      </c>
      <c r="O9502">
        <v>0.27795439999999999</v>
      </c>
      <c r="P9502">
        <v>0.79001169999999998</v>
      </c>
      <c r="Q9502">
        <v>0.1139164</v>
      </c>
      <c r="R9502">
        <v>0.60241559999999905</v>
      </c>
      <c r="S9502">
        <v>1.7528079999999999</v>
      </c>
      <c r="T9502">
        <v>-0.34180310000000003</v>
      </c>
      <c r="U9502">
        <v>2.756195</v>
      </c>
      <c r="V9502">
        <v>-0.3617958</v>
      </c>
      <c r="W9502">
        <v>0.1176069</v>
      </c>
      <c r="X9502">
        <v>0.9248094</v>
      </c>
      <c r="Y9502">
        <v>-0.65872030000000004</v>
      </c>
      <c r="Z9502">
        <v>1.6822699999999999E-2</v>
      </c>
      <c r="AA9502">
        <v>0.75219979999999997</v>
      </c>
      <c r="AB9502">
        <v>28</v>
      </c>
      <c r="AC9502">
        <v>5.6564999999999896</v>
      </c>
      <c r="AD9502">
        <v>-1.129899228779</v>
      </c>
      <c r="AE9502">
        <v>9.0657299999999807</v>
      </c>
      <c r="AF9502">
        <v>-7.0571479630432501</v>
      </c>
      <c r="AG9502">
        <v>-1.129899228779</v>
      </c>
      <c r="AH9502">
        <v>7.8656826891482599</v>
      </c>
      <c r="AI9502">
        <v>96.102991383030002</v>
      </c>
      <c r="AJ9502">
        <v>131.898686503688</v>
      </c>
      <c r="AK9502">
        <v>10.6277454714463</v>
      </c>
      <c r="AL9502">
        <v>83.245990020032707</v>
      </c>
      <c r="AM9502">
        <v>111.365994087187</v>
      </c>
      <c r="AN9502">
        <v>1.0000000050768001</v>
      </c>
    </row>
    <row r="9503" spans="1:40" x14ac:dyDescent="0.25">
      <c r="A9503" t="str">
        <f>"20190303162133113"</f>
        <v>20190303162133113</v>
      </c>
      <c r="B9503" t="str">
        <f>"1551601293101766"</f>
        <v>1551601293101766</v>
      </c>
      <c r="C9503" t="s">
        <v>40</v>
      </c>
      <c r="D9503">
        <v>5.0361729999999998</v>
      </c>
      <c r="E9503">
        <v>0.35559479999999999</v>
      </c>
      <c r="F9503" t="s">
        <v>62</v>
      </c>
      <c r="G9503">
        <v>-201.64609999999999</v>
      </c>
      <c r="H9503" s="1">
        <v>-6.3622909999999996E-6</v>
      </c>
      <c r="I9503">
        <v>-52.207569999999997</v>
      </c>
      <c r="J9503">
        <v>-207.39789999999999</v>
      </c>
      <c r="K9503">
        <v>1.129915</v>
      </c>
      <c r="L9503">
        <v>-61.482759999999999</v>
      </c>
      <c r="M9503">
        <v>0.95857669999999995</v>
      </c>
      <c r="N9503">
        <v>-1.271067E-2</v>
      </c>
      <c r="O9503">
        <v>0.28455059999999999</v>
      </c>
      <c r="P9503">
        <v>0.78604940000000001</v>
      </c>
      <c r="Q9503">
        <v>0.11528720000000001</v>
      </c>
      <c r="R9503">
        <v>0.60731800000000002</v>
      </c>
      <c r="S9503">
        <v>1.744095</v>
      </c>
      <c r="T9503">
        <v>-0.33389580000000002</v>
      </c>
      <c r="U9503">
        <v>2.7558590000000001</v>
      </c>
      <c r="V9503">
        <v>-0.36128209999999999</v>
      </c>
      <c r="W9503">
        <v>0.11896959999999999</v>
      </c>
      <c r="X9503">
        <v>0.92483590000000004</v>
      </c>
      <c r="Y9503">
        <v>-0.65535399999999999</v>
      </c>
      <c r="Z9503">
        <v>1.567433E-2</v>
      </c>
      <c r="AA9503">
        <v>0.75515929999999998</v>
      </c>
      <c r="AB9503">
        <v>28</v>
      </c>
      <c r="AC9503">
        <v>5.7518000000000002</v>
      </c>
      <c r="AD9503">
        <v>-1.129921362291</v>
      </c>
      <c r="AE9503">
        <v>9.2751899999999896</v>
      </c>
      <c r="AF9503">
        <v>-7.1779514710202896</v>
      </c>
      <c r="AG9503">
        <v>-1.129921362291</v>
      </c>
      <c r="AH9503">
        <v>8.0669942417022504</v>
      </c>
      <c r="AI9503">
        <v>95.973722882280597</v>
      </c>
      <c r="AJ9503">
        <v>131.66244986060599</v>
      </c>
      <c r="AK9503">
        <v>10.857076296173901</v>
      </c>
      <c r="AL9503">
        <v>83.167360864332494</v>
      </c>
      <c r="AM9503">
        <v>111.337830912755</v>
      </c>
      <c r="AN9503">
        <v>0.99999998171668902</v>
      </c>
    </row>
    <row r="9504" spans="1:40" x14ac:dyDescent="0.25">
      <c r="A9504" t="str">
        <f>"20190303162133127"</f>
        <v>20190303162133127</v>
      </c>
      <c r="B9504" t="str">
        <f>"1551601293122262"</f>
        <v>1551601293122262</v>
      </c>
      <c r="C9504" t="s">
        <v>40</v>
      </c>
      <c r="D9504">
        <v>5.0279819999999997</v>
      </c>
      <c r="E9504">
        <v>0.36530829999999997</v>
      </c>
      <c r="F9504" t="s">
        <v>62</v>
      </c>
      <c r="G9504">
        <v>-201.4563</v>
      </c>
      <c r="H9504" s="1">
        <v>-6.473341E-6</v>
      </c>
      <c r="I9504">
        <v>-51.956499999999998</v>
      </c>
      <c r="J9504">
        <v>-207.23390000000001</v>
      </c>
      <c r="K9504">
        <v>1.1299429999999999</v>
      </c>
      <c r="L9504">
        <v>-61.42651</v>
      </c>
      <c r="M9504">
        <v>0.95639620000000003</v>
      </c>
      <c r="N9504">
        <v>-1.271358E-2</v>
      </c>
      <c r="O9504">
        <v>0.29179579999999999</v>
      </c>
      <c r="P9504">
        <v>0.7816765</v>
      </c>
      <c r="Q9504">
        <v>0.116895899999999</v>
      </c>
      <c r="R9504">
        <v>0.61263129999999999</v>
      </c>
      <c r="S9504">
        <v>1.7262569999999999</v>
      </c>
      <c r="T9504">
        <v>-0.32828780000000002</v>
      </c>
      <c r="U9504">
        <v>2.7677610000000001</v>
      </c>
      <c r="V9504">
        <v>-0.36065950000000002</v>
      </c>
      <c r="W9504">
        <v>0.12058720000000001</v>
      </c>
      <c r="X9504">
        <v>0.92486939999999995</v>
      </c>
      <c r="Y9504">
        <v>-0.65471290000000004</v>
      </c>
      <c r="Z9504">
        <v>1.4768150000000001E-2</v>
      </c>
      <c r="AA9504">
        <v>0.7557334</v>
      </c>
      <c r="AB9504">
        <v>28</v>
      </c>
      <c r="AC9504">
        <v>5.7775999999999996</v>
      </c>
      <c r="AD9504">
        <v>-1.1299494733409901</v>
      </c>
      <c r="AE9504">
        <v>9.4700100000000003</v>
      </c>
      <c r="AF9504">
        <v>-7.2960993086616703</v>
      </c>
      <c r="AG9504">
        <v>-1.1299494733409901</v>
      </c>
      <c r="AH9504">
        <v>8.2045299857837399</v>
      </c>
      <c r="AI9504">
        <v>95.875928176372199</v>
      </c>
      <c r="AJ9504">
        <v>131.645957099556</v>
      </c>
      <c r="AK9504">
        <v>11.0373983900999</v>
      </c>
      <c r="AL9504">
        <v>83.074007082800307</v>
      </c>
      <c r="AM9504">
        <v>111.30365606437201</v>
      </c>
      <c r="AN9504">
        <v>0.99999997740022395</v>
      </c>
    </row>
    <row r="9505" spans="1:40" x14ac:dyDescent="0.25">
      <c r="A9505" t="str">
        <f>"20190303162133139"</f>
        <v>20190303162133139</v>
      </c>
      <c r="B9505" t="str">
        <f>"1551601293132022"</f>
        <v>1551601293132022</v>
      </c>
      <c r="C9505" t="s">
        <v>40</v>
      </c>
      <c r="D9505">
        <v>5.0469559999999998</v>
      </c>
      <c r="E9505">
        <v>0.36589389999999999</v>
      </c>
      <c r="F9505" t="s">
        <v>62</v>
      </c>
      <c r="G9505">
        <v>-200.63050000000001</v>
      </c>
      <c r="H9505" s="1">
        <v>-6.906529E-6</v>
      </c>
      <c r="I9505">
        <v>-51.184040000000003</v>
      </c>
      <c r="J9505">
        <v>-207.07589999999999</v>
      </c>
      <c r="K9505">
        <v>1.12998</v>
      </c>
      <c r="L9505">
        <v>-61.370669999999997</v>
      </c>
      <c r="M9505">
        <v>0.95421730000000005</v>
      </c>
      <c r="N9505">
        <v>-1.272612E-2</v>
      </c>
      <c r="O9505">
        <v>0.29884319999999998</v>
      </c>
      <c r="P9505">
        <v>0.77751689999999996</v>
      </c>
      <c r="Q9505">
        <v>0.11828320000000001</v>
      </c>
      <c r="R9505">
        <v>0.61763789999999996</v>
      </c>
      <c r="S9505">
        <v>1.7524109999999999</v>
      </c>
      <c r="T9505">
        <v>-0.29986879999999999</v>
      </c>
      <c r="U9505">
        <v>2.7181700000000002</v>
      </c>
      <c r="V9505">
        <v>-0.35987249999999998</v>
      </c>
      <c r="W9505">
        <v>0.121992</v>
      </c>
      <c r="X9505">
        <v>0.92499169999999997</v>
      </c>
      <c r="Y9505">
        <v>-0.63810909999999998</v>
      </c>
      <c r="Z9505">
        <v>1.237342E-2</v>
      </c>
      <c r="AA9505">
        <v>0.76984649999999999</v>
      </c>
      <c r="AB9505">
        <v>28</v>
      </c>
      <c r="AC9505">
        <v>6.44539999999997</v>
      </c>
      <c r="AD9505">
        <v>-1.129986906529</v>
      </c>
      <c r="AE9505">
        <v>10.1866299999999</v>
      </c>
      <c r="AF9505">
        <v>-7.7268293127765002</v>
      </c>
      <c r="AG9505">
        <v>-1.129986906529</v>
      </c>
      <c r="AH9505">
        <v>9.1151659366659707</v>
      </c>
      <c r="AI9505">
        <v>95.4020349832671</v>
      </c>
      <c r="AJ9505">
        <v>130.287590201244</v>
      </c>
      <c r="AK9505">
        <v>12.0027918290148</v>
      </c>
      <c r="AL9505">
        <v>82.992919145158396</v>
      </c>
      <c r="AM9505">
        <v>111.258764378922</v>
      </c>
      <c r="AN9505">
        <v>0.99999995469456804</v>
      </c>
    </row>
    <row r="9506" spans="1:40" x14ac:dyDescent="0.25">
      <c r="A9506" t="str">
        <f>"20190303162133169"</f>
        <v>20190303162133169</v>
      </c>
      <c r="B9506" t="str">
        <f>"1551601293162278"</f>
        <v>1551601293162278</v>
      </c>
      <c r="C9506" t="s">
        <v>40</v>
      </c>
      <c r="D9506">
        <v>5.0276670000000001</v>
      </c>
      <c r="E9506">
        <v>0.36765310000000001</v>
      </c>
      <c r="F9506" t="s">
        <v>62</v>
      </c>
      <c r="G9506">
        <v>-200.49449999999999</v>
      </c>
      <c r="H9506" s="1">
        <v>-6.97951199999999E-6</v>
      </c>
      <c r="I9506">
        <v>-51.046219999999998</v>
      </c>
      <c r="J9506">
        <v>-206.74600000000001</v>
      </c>
      <c r="K9506">
        <v>1.13009</v>
      </c>
      <c r="L9506">
        <v>-61.249969999999998</v>
      </c>
      <c r="M9506">
        <v>0.9494494</v>
      </c>
      <c r="N9506">
        <v>-1.275885E-2</v>
      </c>
      <c r="O9506">
        <v>0.31366090000000002</v>
      </c>
      <c r="P9506">
        <v>0.76888179999999995</v>
      </c>
      <c r="Q9506">
        <v>0.1204389</v>
      </c>
      <c r="R9506">
        <v>0.62794530000000004</v>
      </c>
      <c r="S9506">
        <v>1.7380070000000001</v>
      </c>
      <c r="T9506">
        <v>-0.29840609999999901</v>
      </c>
      <c r="U9506">
        <v>2.7264710000000001</v>
      </c>
      <c r="V9506">
        <v>-0.35796929999999999</v>
      </c>
      <c r="W9506">
        <v>0.1241749</v>
      </c>
      <c r="X9506">
        <v>0.92543969999999998</v>
      </c>
      <c r="Y9506">
        <v>-0.63016190000000005</v>
      </c>
      <c r="Z9506">
        <v>1.0439510000000001E-2</v>
      </c>
      <c r="AA9506">
        <v>0.77639360000000002</v>
      </c>
      <c r="AB9506">
        <v>28</v>
      </c>
      <c r="AC9506">
        <v>6.2514999999999903</v>
      </c>
      <c r="AD9506">
        <v>-1.1300969795119999</v>
      </c>
      <c r="AE9506">
        <v>10.203749999999999</v>
      </c>
      <c r="AF9506">
        <v>-7.6594107994379401</v>
      </c>
      <c r="AG9506">
        <v>-1.1300969795119999</v>
      </c>
      <c r="AH9506">
        <v>9.0559771713623292</v>
      </c>
      <c r="AI9506">
        <v>95.442735811429102</v>
      </c>
      <c r="AJ9506">
        <v>130.224044672688</v>
      </c>
      <c r="AK9506">
        <v>11.914462451402599</v>
      </c>
      <c r="AL9506">
        <v>82.866890424006797</v>
      </c>
      <c r="AM9506">
        <v>111.14696707960201</v>
      </c>
      <c r="AN9506">
        <v>1.0000000319342901</v>
      </c>
    </row>
    <row r="9507" spans="1:40" x14ac:dyDescent="0.25">
      <c r="A9507" t="str">
        <f>"20190303162133181"</f>
        <v>20190303162133181</v>
      </c>
      <c r="B9507" t="str">
        <f>"1551601293172037"</f>
        <v>1551601293172037</v>
      </c>
      <c r="C9507" t="s">
        <v>40</v>
      </c>
      <c r="D9507">
        <v>5.0275489999999996</v>
      </c>
      <c r="E9507">
        <v>0.36801919999999999</v>
      </c>
      <c r="F9507" t="s">
        <v>62</v>
      </c>
      <c r="G9507">
        <v>-200.06</v>
      </c>
      <c r="H9507" s="1">
        <v>-7.224206E-6</v>
      </c>
      <c r="I9507">
        <v>-50.532519999999998</v>
      </c>
      <c r="J9507">
        <v>-206.59020000000001</v>
      </c>
      <c r="K9507">
        <v>1.130161</v>
      </c>
      <c r="L9507">
        <v>-61.190860000000001</v>
      </c>
      <c r="M9507">
        <v>0.94709310000000002</v>
      </c>
      <c r="N9507">
        <v>-1.277623E-2</v>
      </c>
      <c r="O9507">
        <v>0.32070460000000001</v>
      </c>
      <c r="P9507">
        <v>0.76604680000000003</v>
      </c>
      <c r="Q9507">
        <v>0.12098970000000001</v>
      </c>
      <c r="R9507">
        <v>0.63129539999999995</v>
      </c>
      <c r="S9507">
        <v>1.7093050000000001</v>
      </c>
      <c r="T9507">
        <v>-0.28891409999999901</v>
      </c>
      <c r="U9507">
        <v>2.73996</v>
      </c>
      <c r="V9507">
        <v>-0.35518280000000002</v>
      </c>
      <c r="W9507">
        <v>0.1247834</v>
      </c>
      <c r="X9507">
        <v>0.92643089999999995</v>
      </c>
      <c r="Y9507">
        <v>-0.63206249999999997</v>
      </c>
      <c r="Z9507">
        <v>9.8940190000000004E-3</v>
      </c>
      <c r="AA9507">
        <v>0.77485419999999905</v>
      </c>
      <c r="AB9507">
        <v>28</v>
      </c>
      <c r="AC9507">
        <v>6.5301999999999998</v>
      </c>
      <c r="AD9507">
        <v>-1.130168224206</v>
      </c>
      <c r="AE9507">
        <v>10.658340000000001</v>
      </c>
      <c r="AF9507">
        <v>-7.9359522757420002</v>
      </c>
      <c r="AG9507">
        <v>-1.130168224206</v>
      </c>
      <c r="AH9507">
        <v>9.5257971664383199</v>
      </c>
      <c r="AI9507">
        <v>95.208369232597093</v>
      </c>
      <c r="AJ9507">
        <v>129.797718112013</v>
      </c>
      <c r="AK9507">
        <v>12.4497963997</v>
      </c>
      <c r="AL9507">
        <v>82.831752169562193</v>
      </c>
      <c r="AM9507">
        <v>110.976240974079</v>
      </c>
      <c r="AN9507">
        <v>0.99999996540310399</v>
      </c>
    </row>
    <row r="9508" spans="1:40" x14ac:dyDescent="0.25">
      <c r="A9508" t="str">
        <f>"20190303162133194"</f>
        <v>20190303162133194</v>
      </c>
      <c r="B9508" t="str">
        <f>"1551601293181799"</f>
        <v>1551601293181799</v>
      </c>
      <c r="C9508" t="s">
        <v>40</v>
      </c>
      <c r="D9508">
        <v>5.0489680000000003</v>
      </c>
      <c r="E9508">
        <v>0.36861949999999999</v>
      </c>
      <c r="F9508" t="s">
        <v>42</v>
      </c>
      <c r="G9508">
        <v>-206.0932</v>
      </c>
      <c r="H9508">
        <v>1.0469010000000001</v>
      </c>
      <c r="I9508">
        <v>-60.386980000000001</v>
      </c>
      <c r="J9508">
        <v>-206.4564</v>
      </c>
      <c r="K9508">
        <v>1.1302160000000001</v>
      </c>
      <c r="L9508">
        <v>-61.13879</v>
      </c>
      <c r="M9508">
        <v>0.94501369999999896</v>
      </c>
      <c r="N9508">
        <v>-1.27916E-2</v>
      </c>
      <c r="O9508">
        <v>0.32678069999999998</v>
      </c>
      <c r="P9508">
        <v>0.76311370000000001</v>
      </c>
      <c r="Q9508">
        <v>0.1208394</v>
      </c>
      <c r="R9508">
        <v>0.63486640000000005</v>
      </c>
      <c r="S9508">
        <v>1.697784</v>
      </c>
      <c r="T9508">
        <v>-0.28444209999999998</v>
      </c>
      <c r="U9508">
        <v>2.7464599999999999</v>
      </c>
      <c r="V9508">
        <v>-0.35355629999999999</v>
      </c>
      <c r="W9508">
        <v>0.1246618</v>
      </c>
      <c r="X9508">
        <v>0.92706920000000004</v>
      </c>
      <c r="Y9508">
        <v>-0.63032929999999998</v>
      </c>
      <c r="Z9508">
        <v>9.2297960000000002E-3</v>
      </c>
      <c r="AA9508">
        <v>0.77627299999999999</v>
      </c>
      <c r="AB9508">
        <v>28</v>
      </c>
      <c r="AC9508">
        <v>0.36320000000000602</v>
      </c>
      <c r="AD9508">
        <v>-8.3314999999999806E-2</v>
      </c>
      <c r="AE9508">
        <v>0.75180999999999898</v>
      </c>
      <c r="AF9508">
        <v>-0.58599756615490495</v>
      </c>
      <c r="AG9508">
        <v>-8.3314999999999806E-2</v>
      </c>
      <c r="AH9508">
        <v>0.58314768169116704</v>
      </c>
      <c r="AI9508">
        <v>95.754760064422499</v>
      </c>
      <c r="AJ9508">
        <v>135.13966273974</v>
      </c>
      <c r="AK9508">
        <v>0.83090056891679598</v>
      </c>
      <c r="AL9508">
        <v>82.838774139560599</v>
      </c>
      <c r="AM9508">
        <v>110.875346149902</v>
      </c>
      <c r="AN9508">
        <v>0.99999996161878402</v>
      </c>
    </row>
    <row r="9509" spans="1:40" x14ac:dyDescent="0.25">
      <c r="A9509" t="str">
        <f>"20190303162133206"</f>
        <v>20190303162133206</v>
      </c>
      <c r="B9509" t="str">
        <f>"1551601293202294"</f>
        <v>1551601293202294</v>
      </c>
      <c r="C9509" t="s">
        <v>40</v>
      </c>
      <c r="D9509">
        <v>4.997077</v>
      </c>
      <c r="E9509">
        <v>0.36924089999999998</v>
      </c>
      <c r="F9509" t="s">
        <v>62</v>
      </c>
      <c r="G9509">
        <v>-199.7492</v>
      </c>
      <c r="H9509" s="1">
        <v>-3.150763E-6</v>
      </c>
      <c r="I9509">
        <v>-50.202579999999998</v>
      </c>
      <c r="J9509">
        <v>-206.31399999999999</v>
      </c>
      <c r="K9509">
        <v>1.1302730000000001</v>
      </c>
      <c r="L9509">
        <v>-61.082790000000003</v>
      </c>
      <c r="M9509">
        <v>0.94275209999999998</v>
      </c>
      <c r="N9509">
        <v>-1.280776E-2</v>
      </c>
      <c r="O9509">
        <v>0.3332483</v>
      </c>
      <c r="P9509">
        <v>0.760023</v>
      </c>
      <c r="Q9509">
        <v>0.1204018</v>
      </c>
      <c r="R9509">
        <v>0.63864569999999998</v>
      </c>
      <c r="S9509">
        <v>1.6873629999999999</v>
      </c>
      <c r="T9509">
        <v>-0.28433540000000002</v>
      </c>
      <c r="U9509">
        <v>2.7512819999999998</v>
      </c>
      <c r="V9509">
        <v>-0.351780599999999</v>
      </c>
      <c r="W9509">
        <v>0.1242568</v>
      </c>
      <c r="X9509">
        <v>0.92779880000000003</v>
      </c>
      <c r="Y9509">
        <v>-0.62778299999999998</v>
      </c>
      <c r="Z9509">
        <v>8.4979779999999998E-3</v>
      </c>
      <c r="AA9509">
        <v>0.77834199999999998</v>
      </c>
      <c r="AB9509">
        <v>28</v>
      </c>
      <c r="AC9509">
        <v>6.5648000000000204</v>
      </c>
      <c r="AD9509">
        <v>-1.1302761507629999</v>
      </c>
      <c r="AE9509">
        <v>10.88021</v>
      </c>
      <c r="AF9509">
        <v>-8.0069469060788894</v>
      </c>
      <c r="AG9509">
        <v>-1.1302761507629999</v>
      </c>
      <c r="AH9509">
        <v>9.7385484796971404</v>
      </c>
      <c r="AI9509">
        <v>95.122910101736593</v>
      </c>
      <c r="AJ9509">
        <v>129.426734822893</v>
      </c>
      <c r="AK9509">
        <v>12.6581218759009</v>
      </c>
      <c r="AL9509">
        <v>82.862160887198399</v>
      </c>
      <c r="AM9509">
        <v>110.764529668287</v>
      </c>
      <c r="AN9509">
        <v>0.99999997808201901</v>
      </c>
    </row>
    <row r="9510" spans="1:40" x14ac:dyDescent="0.25">
      <c r="A9510" t="str">
        <f>"20190303162133216"</f>
        <v>20190303162133216</v>
      </c>
      <c r="B9510" t="str">
        <f>"1551601293212054"</f>
        <v>1551601293212054</v>
      </c>
      <c r="C9510" t="s">
        <v>40</v>
      </c>
      <c r="D9510">
        <v>4.9881310000000001</v>
      </c>
      <c r="E9510">
        <v>0.36951479999999998</v>
      </c>
      <c r="F9510" t="s">
        <v>62</v>
      </c>
      <c r="G9510">
        <v>-199.69630000000001</v>
      </c>
      <c r="H9510" s="1">
        <v>-3.1405030000000001E-6</v>
      </c>
      <c r="I9510">
        <v>-50.204279999999997</v>
      </c>
      <c r="J9510">
        <v>-206.18020000000001</v>
      </c>
      <c r="K9510">
        <v>1.13032</v>
      </c>
      <c r="L9510">
        <v>-61.028530000000003</v>
      </c>
      <c r="M9510">
        <v>0.94056790000000001</v>
      </c>
      <c r="N9510">
        <v>-1.282293E-2</v>
      </c>
      <c r="O9510">
        <v>0.33936359999999999</v>
      </c>
      <c r="P9510">
        <v>0.75686929999999997</v>
      </c>
      <c r="Q9510">
        <v>0.120057399999999</v>
      </c>
      <c r="R9510">
        <v>0.64244460000000003</v>
      </c>
      <c r="S9510">
        <v>1.67662</v>
      </c>
      <c r="T9510">
        <v>-0.28636220000000001</v>
      </c>
      <c r="U9510">
        <v>2.7561339999999999</v>
      </c>
      <c r="V9510">
        <v>-0.35038390000000003</v>
      </c>
      <c r="W9510">
        <v>0.1239388</v>
      </c>
      <c r="X9510">
        <v>0.92836969999999996</v>
      </c>
      <c r="Y9510">
        <v>-0.62555830000000001</v>
      </c>
      <c r="Z9510">
        <v>7.8124830000000003E-3</v>
      </c>
      <c r="AA9510">
        <v>0.78013829999999995</v>
      </c>
      <c r="AB9510">
        <v>28</v>
      </c>
      <c r="AC9510">
        <v>6.4839000000000002</v>
      </c>
      <c r="AD9510">
        <v>-1.1303231405030001</v>
      </c>
      <c r="AE9510">
        <v>10.824249999999999</v>
      </c>
      <c r="AF9510">
        <v>-7.9176588325676098</v>
      </c>
      <c r="AG9510">
        <v>-1.1303231405030001</v>
      </c>
      <c r="AH9510">
        <v>9.6949057941431498</v>
      </c>
      <c r="AI9510">
        <v>95.159901775809004</v>
      </c>
      <c r="AJ9510">
        <v>129.23790753968501</v>
      </c>
      <c r="AK9510">
        <v>12.5681402820068</v>
      </c>
      <c r="AL9510">
        <v>82.8805230529901</v>
      </c>
      <c r="AM9510">
        <v>110.67743442853801</v>
      </c>
      <c r="AN9510">
        <v>1.0000000017013699</v>
      </c>
    </row>
    <row r="9511" spans="1:40" x14ac:dyDescent="0.25">
      <c r="A9511" t="str">
        <f>"20190303162133233"</f>
        <v>20190303162133233</v>
      </c>
      <c r="B9511" t="str">
        <f>"1551601293221814"</f>
        <v>1551601293221814</v>
      </c>
      <c r="C9511" t="s">
        <v>40</v>
      </c>
      <c r="D9511">
        <v>5.0114669999999997</v>
      </c>
      <c r="E9511">
        <v>0.36966719999999997</v>
      </c>
      <c r="F9511" t="s">
        <v>62</v>
      </c>
      <c r="G9511">
        <v>-199.64179999999999</v>
      </c>
      <c r="H9511" s="1">
        <v>-3.1466949999999999E-6</v>
      </c>
      <c r="I9511">
        <v>-50.17268</v>
      </c>
      <c r="J9511">
        <v>-205.99950000000001</v>
      </c>
      <c r="K9511">
        <v>1.130371</v>
      </c>
      <c r="L9511">
        <v>-60.953919999999997</v>
      </c>
      <c r="M9511">
        <v>0.93753869999999895</v>
      </c>
      <c r="N9511">
        <v>-1.284246E-2</v>
      </c>
      <c r="O9511">
        <v>0.3476438</v>
      </c>
      <c r="P9511">
        <v>0.75265909999999903</v>
      </c>
      <c r="Q9511">
        <v>0.11884500000000001</v>
      </c>
      <c r="R9511">
        <v>0.64759560000000005</v>
      </c>
      <c r="S9511">
        <v>1.6641079999999999</v>
      </c>
      <c r="T9511">
        <v>-0.28768009999999999</v>
      </c>
      <c r="U9511">
        <v>2.7629389999999998</v>
      </c>
      <c r="V9511">
        <v>-0.34844779999999997</v>
      </c>
      <c r="W9511">
        <v>0.12276910000000001</v>
      </c>
      <c r="X9511">
        <v>0.92925340000000001</v>
      </c>
      <c r="Y9511">
        <v>-0.62214669999999905</v>
      </c>
      <c r="Z9511">
        <v>6.8476650000000002E-3</v>
      </c>
      <c r="AA9511">
        <v>0.78287079999999998</v>
      </c>
      <c r="AB9511">
        <v>28</v>
      </c>
      <c r="AC9511">
        <v>6.3577000000000199</v>
      </c>
      <c r="AD9511">
        <v>-1.1303741466949999</v>
      </c>
      <c r="AE9511">
        <v>10.781239999999899</v>
      </c>
      <c r="AF9511">
        <v>-7.8343660106414301</v>
      </c>
      <c r="AG9511">
        <v>-1.1303741466949999</v>
      </c>
      <c r="AH9511">
        <v>9.6308686974989399</v>
      </c>
      <c r="AI9511">
        <v>95.202404874812004</v>
      </c>
      <c r="AJ9511">
        <v>129.127116743399</v>
      </c>
      <c r="AK9511">
        <v>12.4663013106805</v>
      </c>
      <c r="AL9511">
        <v>82.948057707463093</v>
      </c>
      <c r="AM9511">
        <v>110.554843810885</v>
      </c>
      <c r="AN9511">
        <v>1.0000000013256001</v>
      </c>
    </row>
    <row r="9512" spans="1:40" x14ac:dyDescent="0.25">
      <c r="A9512" t="str">
        <f>"20190303162133244"</f>
        <v>20190303162133244</v>
      </c>
      <c r="B9512" t="str">
        <f>"1551601293231574"</f>
        <v>1551601293231574</v>
      </c>
      <c r="C9512" t="s">
        <v>40</v>
      </c>
      <c r="D9512">
        <v>4.9550660000000004</v>
      </c>
      <c r="E9512">
        <v>0.36984990000000001</v>
      </c>
      <c r="F9512" t="s">
        <v>62</v>
      </c>
      <c r="G9512">
        <v>-199.60310000000001</v>
      </c>
      <c r="H9512" s="1">
        <v>-3.1365430000000001E-6</v>
      </c>
      <c r="I9512">
        <v>-50.179180000000002</v>
      </c>
      <c r="J9512">
        <v>-205.87299999999999</v>
      </c>
      <c r="K9512">
        <v>1.1303989999999999</v>
      </c>
      <c r="L9512">
        <v>-60.900880000000001</v>
      </c>
      <c r="M9512">
        <v>0.93536509999999995</v>
      </c>
      <c r="N9512">
        <v>-1.285559E-2</v>
      </c>
      <c r="O9512">
        <v>0.35344989999999998</v>
      </c>
      <c r="P9512">
        <v>0.748803199999999</v>
      </c>
      <c r="Q9512">
        <v>0.11770839999999901</v>
      </c>
      <c r="R9512">
        <v>0.65225649999999902</v>
      </c>
      <c r="S9512">
        <v>1.6460570000000001</v>
      </c>
      <c r="T9512">
        <v>-0.29089310000000002</v>
      </c>
      <c r="U9512">
        <v>2.7727970000000002</v>
      </c>
      <c r="V9512">
        <v>-0.34837390000000001</v>
      </c>
      <c r="W9512">
        <v>0.1216295</v>
      </c>
      <c r="X9512">
        <v>0.92943100000000001</v>
      </c>
      <c r="Y9512">
        <v>-0.62226930000000003</v>
      </c>
      <c r="Z9512">
        <v>6.3176300000000003E-3</v>
      </c>
      <c r="AA9512">
        <v>0.78277779999999997</v>
      </c>
      <c r="AB9512">
        <v>28</v>
      </c>
      <c r="AC9512">
        <v>6.2698999999999696</v>
      </c>
      <c r="AD9512">
        <v>-1.1304021365429999</v>
      </c>
      <c r="AE9512">
        <v>10.7217</v>
      </c>
      <c r="AF9512">
        <v>-7.7490677361533002</v>
      </c>
      <c r="AG9512">
        <v>-1.1304021365429999</v>
      </c>
      <c r="AH9512">
        <v>9.5757106166995101</v>
      </c>
      <c r="AI9512">
        <v>95.243094266741494</v>
      </c>
      <c r="AJ9512">
        <v>128.98124034405899</v>
      </c>
      <c r="AK9512">
        <v>12.3701290852021</v>
      </c>
      <c r="AL9512">
        <v>83.013845337029295</v>
      </c>
      <c r="AM9512">
        <v>110.547250097578</v>
      </c>
      <c r="AN9512">
        <v>1.00000004661622</v>
      </c>
    </row>
    <row r="9513" spans="1:40" x14ac:dyDescent="0.25">
      <c r="A9513" t="str">
        <f>"20190303162133255"</f>
        <v>20190303162133255</v>
      </c>
      <c r="B9513" t="str">
        <f>"1551601293252070"</f>
        <v>1551601293252070</v>
      </c>
      <c r="C9513" t="s">
        <v>40</v>
      </c>
      <c r="D9513">
        <v>4.9561549999999999</v>
      </c>
      <c r="E9513">
        <v>0.37030950000000001</v>
      </c>
      <c r="F9513" t="s">
        <v>42</v>
      </c>
      <c r="G9513">
        <v>-205.41390000000001</v>
      </c>
      <c r="H9513">
        <v>1.04725</v>
      </c>
      <c r="I9513">
        <v>-60.118479999999998</v>
      </c>
      <c r="J9513">
        <v>-205.73910000000001</v>
      </c>
      <c r="K9513">
        <v>1.1304240000000001</v>
      </c>
      <c r="L9513">
        <v>-60.843110000000003</v>
      </c>
      <c r="M9513">
        <v>0.93300629999999996</v>
      </c>
      <c r="N9513">
        <v>-1.2868539999999999E-2</v>
      </c>
      <c r="O9513">
        <v>0.35963000000000001</v>
      </c>
      <c r="P9513">
        <v>0.74446459999999903</v>
      </c>
      <c r="Q9513">
        <v>0.1164732</v>
      </c>
      <c r="R9513">
        <v>0.65742419999999901</v>
      </c>
      <c r="S9513">
        <v>1.6310119999999999</v>
      </c>
      <c r="T9513">
        <v>-0.2954504</v>
      </c>
      <c r="U9513">
        <v>2.7803339999999999</v>
      </c>
      <c r="V9513">
        <v>-0.34856569999999998</v>
      </c>
      <c r="W9513">
        <v>0.12038889999999999</v>
      </c>
      <c r="X9513">
        <v>0.92952060000000003</v>
      </c>
      <c r="Y9513">
        <v>-0.62115039999999999</v>
      </c>
      <c r="Z9513">
        <v>5.6374199999999998E-3</v>
      </c>
      <c r="AA9513">
        <v>0.78367109999999995</v>
      </c>
      <c r="AB9513">
        <v>28</v>
      </c>
      <c r="AC9513">
        <v>0.32519999999999499</v>
      </c>
      <c r="AD9513">
        <v>-8.3173999999999804E-2</v>
      </c>
      <c r="AE9513">
        <v>0.72462999999999</v>
      </c>
      <c r="AF9513">
        <v>-0.55311344083220004</v>
      </c>
      <c r="AG9513">
        <v>-8.3173999999999804E-2</v>
      </c>
      <c r="AH9513">
        <v>0.55794056629341804</v>
      </c>
      <c r="AI9513">
        <v>96.043259693624805</v>
      </c>
      <c r="AJ9513">
        <v>134.751072248366</v>
      </c>
      <c r="AK9513">
        <v>0.79003168811197499</v>
      </c>
      <c r="AL9513">
        <v>83.085452652451295</v>
      </c>
      <c r="AM9513">
        <v>110.555800685158</v>
      </c>
      <c r="AN9513">
        <v>1.0000000401420199</v>
      </c>
    </row>
    <row r="9514" spans="1:40" x14ac:dyDescent="0.25">
      <c r="A9514" t="str">
        <f>"20190303162133268"</f>
        <v>20190303162133268</v>
      </c>
      <c r="B9514" t="str">
        <f>"1551601293261830"</f>
        <v>1551601293261830</v>
      </c>
      <c r="C9514" t="s">
        <v>40</v>
      </c>
      <c r="D9514">
        <v>4.9709009999999996</v>
      </c>
      <c r="E9514">
        <v>0.37052190000000002</v>
      </c>
      <c r="F9514" t="s">
        <v>62</v>
      </c>
      <c r="G9514">
        <v>-199.6018</v>
      </c>
      <c r="H9514" s="1">
        <v>-3.094584E-6</v>
      </c>
      <c r="I9514">
        <v>-50.253639999999997</v>
      </c>
      <c r="J9514">
        <v>-205.60290000000001</v>
      </c>
      <c r="K9514">
        <v>1.1304430000000001</v>
      </c>
      <c r="L9514">
        <v>-60.78369</v>
      </c>
      <c r="M9514">
        <v>0.93055750000000004</v>
      </c>
      <c r="N9514">
        <v>-1.2881220000000001E-2</v>
      </c>
      <c r="O9514">
        <v>0.36591889999999999</v>
      </c>
      <c r="P9514">
        <v>0.73966529999999997</v>
      </c>
      <c r="Q9514">
        <v>0.1148952</v>
      </c>
      <c r="R9514">
        <v>0.66309449999999903</v>
      </c>
      <c r="S9514">
        <v>1.6152040000000001</v>
      </c>
      <c r="T9514">
        <v>-0.29750470000000001</v>
      </c>
      <c r="U9514">
        <v>2.7869259999999998</v>
      </c>
      <c r="V9514">
        <v>-0.34927409999999998</v>
      </c>
      <c r="W9514">
        <v>0.118793</v>
      </c>
      <c r="X9514">
        <v>0.92945999999999995</v>
      </c>
      <c r="Y9514">
        <v>-0.6199964</v>
      </c>
      <c r="Z9514">
        <v>4.9524199999999999E-3</v>
      </c>
      <c r="AA9514">
        <v>0.78458909999999904</v>
      </c>
      <c r="AB9514">
        <v>28</v>
      </c>
      <c r="AC9514">
        <v>6.0011000000000001</v>
      </c>
      <c r="AD9514">
        <v>-1.130446094584</v>
      </c>
      <c r="AE9514">
        <v>10.5300499999999</v>
      </c>
      <c r="AF9514">
        <v>-7.5379564403207704</v>
      </c>
      <c r="AG9514">
        <v>-1.130446094584</v>
      </c>
      <c r="AH9514">
        <v>9.3568968583166399</v>
      </c>
      <c r="AI9514">
        <v>95.374697782465205</v>
      </c>
      <c r="AJ9514">
        <v>128.855068404571</v>
      </c>
      <c r="AK9514">
        <v>12.0685630663351</v>
      </c>
      <c r="AL9514">
        <v>83.1775519162492</v>
      </c>
      <c r="AM9514">
        <v>110.595303634711</v>
      </c>
      <c r="AN9514">
        <v>1.0000000326898999</v>
      </c>
    </row>
    <row r="9515" spans="1:40" x14ac:dyDescent="0.25">
      <c r="A9515" t="str">
        <f>"20190303162133280"</f>
        <v>20190303162133280</v>
      </c>
      <c r="B9515" t="str">
        <f>"1551601293271590"</f>
        <v>1551601293271590</v>
      </c>
      <c r="C9515" t="s">
        <v>40</v>
      </c>
      <c r="D9515">
        <v>4.9704470000000001</v>
      </c>
      <c r="E9515">
        <v>0.37078499999999998</v>
      </c>
      <c r="F9515" t="s">
        <v>62</v>
      </c>
      <c r="G9515">
        <v>-199.65010000000001</v>
      </c>
      <c r="H9515" s="1">
        <v>-3.0452929999999999E-6</v>
      </c>
      <c r="I9515">
        <v>-50.355060000000002</v>
      </c>
      <c r="J9515">
        <v>-205.47049999999999</v>
      </c>
      <c r="K9515">
        <v>1.130458</v>
      </c>
      <c r="L9515">
        <v>-60.724609999999998</v>
      </c>
      <c r="M9515">
        <v>0.92812329999999998</v>
      </c>
      <c r="N9515">
        <v>-1.2892789999999999E-2</v>
      </c>
      <c r="O9515">
        <v>0.37204969999999998</v>
      </c>
      <c r="P9515">
        <v>0.73470880000000005</v>
      </c>
      <c r="Q9515">
        <v>0.113508399999999</v>
      </c>
      <c r="R9515">
        <v>0.66881899999999905</v>
      </c>
      <c r="S9515">
        <v>1.5961459999999901</v>
      </c>
      <c r="T9515">
        <v>-0.30311349999999998</v>
      </c>
      <c r="U9515">
        <v>2.7962950000000002</v>
      </c>
      <c r="V9515">
        <v>-0.35025220000000001</v>
      </c>
      <c r="W9515">
        <v>0.117383399999999</v>
      </c>
      <c r="X9515">
        <v>0.92927099999999996</v>
      </c>
      <c r="Y9515">
        <v>-0.61995290000000003</v>
      </c>
      <c r="Z9515">
        <v>4.2940790000000001E-3</v>
      </c>
      <c r="AA9515">
        <v>0.78462730000000003</v>
      </c>
      <c r="AB9515">
        <v>28</v>
      </c>
      <c r="AC9515">
        <v>5.82039999999997</v>
      </c>
      <c r="AD9515">
        <v>-1.130461045293</v>
      </c>
      <c r="AE9515">
        <v>10.36955</v>
      </c>
      <c r="AF9515">
        <v>-7.3925525604182702</v>
      </c>
      <c r="AG9515">
        <v>-1.130461045293</v>
      </c>
      <c r="AH9515">
        <v>9.1778614589977998</v>
      </c>
      <c r="AI9515">
        <v>95.479323559319099</v>
      </c>
      <c r="AJ9515">
        <v>128.850630415533</v>
      </c>
      <c r="AK9515">
        <v>11.8389575763252</v>
      </c>
      <c r="AL9515">
        <v>83.258885104772503</v>
      </c>
      <c r="AM9515">
        <v>110.65196391158401</v>
      </c>
      <c r="AN9515">
        <v>1.0000000288206901</v>
      </c>
    </row>
    <row r="9516" spans="1:40" x14ac:dyDescent="0.25">
      <c r="A9516" t="str">
        <f>"20190303162133291"</f>
        <v>20190303162133291</v>
      </c>
      <c r="B9516" t="str">
        <f>"1551601293282326"</f>
        <v>1551601293282326</v>
      </c>
      <c r="C9516" t="s">
        <v>40</v>
      </c>
      <c r="D9516">
        <v>4.9633399999999996</v>
      </c>
      <c r="E9516">
        <v>0.37102059999999998</v>
      </c>
      <c r="F9516" t="s">
        <v>42</v>
      </c>
      <c r="G9516">
        <v>-204.99610000000001</v>
      </c>
      <c r="H9516">
        <v>1.03817</v>
      </c>
      <c r="I9516">
        <v>-59.880139999999997</v>
      </c>
      <c r="J9516">
        <v>-205.34829999999999</v>
      </c>
      <c r="K9516">
        <v>1.1304719999999999</v>
      </c>
      <c r="L9516">
        <v>-60.669249999999998</v>
      </c>
      <c r="M9516">
        <v>0.92583159999999998</v>
      </c>
      <c r="N9516">
        <v>-1.290292E-2</v>
      </c>
      <c r="O9516">
        <v>0.3777162</v>
      </c>
      <c r="P9516">
        <v>0.73021359999999902</v>
      </c>
      <c r="Q9516">
        <v>0.11216420000000001</v>
      </c>
      <c r="R9516">
        <v>0.67394889999999996</v>
      </c>
      <c r="S9516">
        <v>1.5763849999999999</v>
      </c>
      <c r="T9516">
        <v>-0.30663960000000001</v>
      </c>
      <c r="U9516">
        <v>2.805847</v>
      </c>
      <c r="V9516">
        <v>-0.35097460000000003</v>
      </c>
      <c r="W9516">
        <v>0.11602510000000001</v>
      </c>
      <c r="X9516">
        <v>0.92916900000000002</v>
      </c>
      <c r="Y9516">
        <v>-0.62047890000000006</v>
      </c>
      <c r="Z9516">
        <v>3.730573E-3</v>
      </c>
      <c r="AA9516">
        <v>0.78421430000000003</v>
      </c>
      <c r="AB9516">
        <v>28</v>
      </c>
      <c r="AC9516">
        <v>0.35219999999998203</v>
      </c>
      <c r="AD9516">
        <v>-9.2301999999999801E-2</v>
      </c>
      <c r="AE9516">
        <v>0.78910999999999298</v>
      </c>
      <c r="AF9516">
        <v>-0.59085982104957202</v>
      </c>
      <c r="AG9516">
        <v>-9.2301999999999801E-2</v>
      </c>
      <c r="AH9516">
        <v>0.61714829507019697</v>
      </c>
      <c r="AI9516">
        <v>96.165879261133298</v>
      </c>
      <c r="AJ9516">
        <v>133.75333543851599</v>
      </c>
      <c r="AK9516">
        <v>0.85936430310013701</v>
      </c>
      <c r="AL9516">
        <v>83.3372453129641</v>
      </c>
      <c r="AM9516">
        <v>110.693033189269</v>
      </c>
      <c r="AN9516">
        <v>1.0000000121180801</v>
      </c>
    </row>
    <row r="9517" spans="1:40" x14ac:dyDescent="0.25">
      <c r="A9517" t="str">
        <f>"20190303162133302"</f>
        <v>20190303162133302</v>
      </c>
      <c r="B9517" t="str">
        <f>"1551601293292086"</f>
        <v>1551601293292086</v>
      </c>
      <c r="C9517" t="s">
        <v>40</v>
      </c>
      <c r="D9517">
        <v>4.9563269999999999</v>
      </c>
      <c r="E9517">
        <v>0.37102059999999998</v>
      </c>
      <c r="F9517" t="s">
        <v>62</v>
      </c>
      <c r="G9517">
        <v>-199.66059999999999</v>
      </c>
      <c r="H9517" s="1">
        <v>-1.0763449999999999E-5</v>
      </c>
      <c r="I9517">
        <v>-50.394219999999997</v>
      </c>
      <c r="J9517">
        <v>-205.2183</v>
      </c>
      <c r="K9517">
        <v>1.1304909999999999</v>
      </c>
      <c r="L9517">
        <v>-60.609470000000002</v>
      </c>
      <c r="M9517">
        <v>0.92334660000000002</v>
      </c>
      <c r="N9517">
        <v>-1.291318E-2</v>
      </c>
      <c r="O9517">
        <v>0.3837506</v>
      </c>
      <c r="P9517">
        <v>0.72561009999999904</v>
      </c>
      <c r="Q9517">
        <v>0.1112187</v>
      </c>
      <c r="R9517">
        <v>0.67905859999999996</v>
      </c>
      <c r="S9517">
        <v>1.55809</v>
      </c>
      <c r="T9517">
        <v>-0.30968299999999999</v>
      </c>
      <c r="U9517">
        <v>2.8147280000000001</v>
      </c>
      <c r="V9517">
        <v>-0.35135749999999999</v>
      </c>
      <c r="W9517">
        <v>0.115076</v>
      </c>
      <c r="X9517">
        <v>0.92914240000000003</v>
      </c>
      <c r="Y9517">
        <v>-0.62030379999999996</v>
      </c>
      <c r="Z9517">
        <v>3.074547E-3</v>
      </c>
      <c r="AA9517">
        <v>0.78435559999999904</v>
      </c>
      <c r="AB9517">
        <v>28</v>
      </c>
      <c r="AC9517">
        <v>5.5577000000000103</v>
      </c>
      <c r="AD9517">
        <v>-1.1305017634500001</v>
      </c>
      <c r="AE9517">
        <v>10.2152499999999</v>
      </c>
      <c r="AF9517">
        <v>-7.2317126469820296</v>
      </c>
      <c r="AG9517">
        <v>-1.1305017634500001</v>
      </c>
      <c r="AH9517">
        <v>8.9677983508533803</v>
      </c>
      <c r="AI9517">
        <v>95.604526874988295</v>
      </c>
      <c r="AJ9517">
        <v>128.88301447919301</v>
      </c>
      <c r="AK9517">
        <v>11.575712043207099</v>
      </c>
      <c r="AL9517">
        <v>83.391991960760294</v>
      </c>
      <c r="AM9517">
        <v>110.714235821887</v>
      </c>
      <c r="AN9517">
        <v>1.00000008903</v>
      </c>
    </row>
    <row r="9518" spans="1:40" x14ac:dyDescent="0.25">
      <c r="A9518" t="str">
        <f>"20190303162133316"</f>
        <v>20190303162133316</v>
      </c>
      <c r="B9518" t="str">
        <f>"1551601293301846"</f>
        <v>1551601293301846</v>
      </c>
      <c r="C9518" t="s">
        <v>40</v>
      </c>
      <c r="D9518">
        <v>4.9397359999999999</v>
      </c>
      <c r="E9518">
        <v>0.37476009999999998</v>
      </c>
      <c r="F9518" t="s">
        <v>42</v>
      </c>
      <c r="G9518">
        <v>-204.7706</v>
      </c>
      <c r="H9518">
        <v>1.0396080000000001</v>
      </c>
      <c r="I9518">
        <v>-59.787439999999997</v>
      </c>
      <c r="J9518">
        <v>-205.06180000000001</v>
      </c>
      <c r="K9518">
        <v>1.1305050000000001</v>
      </c>
      <c r="L9518">
        <v>-60.535829999999997</v>
      </c>
      <c r="M9518">
        <v>0.92028659999999995</v>
      </c>
      <c r="N9518">
        <v>-1.29245E-2</v>
      </c>
      <c r="O9518">
        <v>0.39103159999999998</v>
      </c>
      <c r="P9518">
        <v>0.72023210000000004</v>
      </c>
      <c r="Q9518">
        <v>0.1101999</v>
      </c>
      <c r="R9518">
        <v>0.68492469999999905</v>
      </c>
      <c r="S9518">
        <v>1.5381769999999999</v>
      </c>
      <c r="T9518">
        <v>-0.31232399999999999</v>
      </c>
      <c r="U9518">
        <v>2.8254090000000001</v>
      </c>
      <c r="V9518">
        <v>-0.35147489999999998</v>
      </c>
      <c r="W9518">
        <v>0.1140627</v>
      </c>
      <c r="X9518">
        <v>0.92922280000000002</v>
      </c>
      <c r="Y9518">
        <v>-0.61962459999999997</v>
      </c>
      <c r="Z9518">
        <v>2.2533219999999999E-3</v>
      </c>
      <c r="AA9518">
        <v>0.78489509999999996</v>
      </c>
      <c r="AB9518">
        <v>28</v>
      </c>
      <c r="AC9518">
        <v>0.29120000000000301</v>
      </c>
      <c r="AD9518">
        <v>-9.08969999999997E-2</v>
      </c>
      <c r="AE9518">
        <v>0.74839</v>
      </c>
      <c r="AF9518">
        <v>-0.56764024936940505</v>
      </c>
      <c r="AG9518">
        <v>-9.08969999999997E-2</v>
      </c>
      <c r="AH9518">
        <v>0.55358583719163101</v>
      </c>
      <c r="AI9518">
        <v>96.539854147126405</v>
      </c>
      <c r="AJ9518">
        <v>135.71815697132701</v>
      </c>
      <c r="AK9518">
        <v>0.798082073757029</v>
      </c>
      <c r="AL9518">
        <v>83.450433742565906</v>
      </c>
      <c r="AM9518">
        <v>110.71892876558501</v>
      </c>
      <c r="AN9518">
        <v>0.99999995845056899</v>
      </c>
    </row>
    <row r="9519" spans="1:40" x14ac:dyDescent="0.25">
      <c r="A9519" t="str">
        <f>"20190303162133331"</f>
        <v>20190303162133331</v>
      </c>
      <c r="B9519" t="str">
        <f>"1551601293322342"</f>
        <v>1551601293322342</v>
      </c>
      <c r="C9519" t="s">
        <v>40</v>
      </c>
      <c r="D9519">
        <v>4.8668050000000003</v>
      </c>
      <c r="E9519">
        <v>0.3754904</v>
      </c>
      <c r="F9519" t="s">
        <v>62</v>
      </c>
      <c r="G9519">
        <v>-197.7842</v>
      </c>
      <c r="H9519" s="1">
        <v>-4.3381830000000004E-6</v>
      </c>
      <c r="I9519">
        <v>-47.147840000000002</v>
      </c>
      <c r="J9519">
        <v>-204.9016</v>
      </c>
      <c r="K9519">
        <v>1.13052</v>
      </c>
      <c r="L9519">
        <v>-60.459110000000003</v>
      </c>
      <c r="M9519">
        <v>0.91708339999999999</v>
      </c>
      <c r="N9519">
        <v>-1.293534E-2</v>
      </c>
      <c r="O9519">
        <v>0.39848549999999999</v>
      </c>
      <c r="P9519">
        <v>0.7144703</v>
      </c>
      <c r="Q9519">
        <v>0.10968079999999999</v>
      </c>
      <c r="R9519">
        <v>0.6910155</v>
      </c>
      <c r="S9519">
        <v>1.5281830000000001</v>
      </c>
      <c r="T9519">
        <v>-0.2373903</v>
      </c>
      <c r="U9519">
        <v>2.8112789999999999</v>
      </c>
      <c r="V9519">
        <v>-0.35178359999999997</v>
      </c>
      <c r="W9519">
        <v>0.11354300000000001</v>
      </c>
      <c r="X9519">
        <v>0.92916969999999999</v>
      </c>
      <c r="Y9519">
        <v>-0.61436179999999996</v>
      </c>
      <c r="Z9519">
        <v>3.0398439999999999E-3</v>
      </c>
      <c r="AA9519">
        <v>0.78901860000000001</v>
      </c>
      <c r="AB9519">
        <v>28</v>
      </c>
      <c r="AC9519">
        <v>7.1173999999999999</v>
      </c>
      <c r="AD9519">
        <v>-1.1305243381829999</v>
      </c>
      <c r="AE9519">
        <v>13.311269999999899</v>
      </c>
      <c r="AF9519">
        <v>-9.3198694484506603</v>
      </c>
      <c r="AG9519">
        <v>-1.1305243381829999</v>
      </c>
      <c r="AH9519">
        <v>11.766584159805801</v>
      </c>
      <c r="AI9519">
        <v>94.307157649646996</v>
      </c>
      <c r="AJ9519">
        <v>128.38142262055601</v>
      </c>
      <c r="AK9519">
        <v>15.0529251179025</v>
      </c>
      <c r="AL9519">
        <v>83.480405494908297</v>
      </c>
      <c r="AM9519">
        <v>110.736663132228</v>
      </c>
      <c r="AN9519">
        <v>1.0000000227380199</v>
      </c>
    </row>
    <row r="9520" spans="1:40" x14ac:dyDescent="0.25">
      <c r="A9520" t="str">
        <f>"20190303162133346"</f>
        <v>20190303162133346</v>
      </c>
      <c r="B9520" t="str">
        <f>"1551601293341862"</f>
        <v>1551601293341862</v>
      </c>
      <c r="C9520" t="s">
        <v>40</v>
      </c>
      <c r="D9520">
        <v>4.9162030000000003</v>
      </c>
      <c r="E9520">
        <v>0.37603569999999997</v>
      </c>
      <c r="F9520" t="s">
        <v>62</v>
      </c>
      <c r="G9520">
        <v>-197.2236</v>
      </c>
      <c r="H9520" s="1">
        <v>-4.7684989999999999E-6</v>
      </c>
      <c r="I9520">
        <v>-46.0944</v>
      </c>
      <c r="J9520">
        <v>-204.7276</v>
      </c>
      <c r="K9520">
        <v>1.1305379999999901</v>
      </c>
      <c r="L9520">
        <v>-60.374180000000003</v>
      </c>
      <c r="M9520">
        <v>0.9135221</v>
      </c>
      <c r="N9520">
        <v>-1.294616E-2</v>
      </c>
      <c r="O9520">
        <v>0.40658309999999998</v>
      </c>
      <c r="P9520">
        <v>0.70787169999999999</v>
      </c>
      <c r="Q9520">
        <v>0.109259</v>
      </c>
      <c r="R9520">
        <v>0.6978396</v>
      </c>
      <c r="S9520">
        <v>1.5066679999999999</v>
      </c>
      <c r="T9520">
        <v>-0.2218453</v>
      </c>
      <c r="U9520">
        <v>2.8188170000000001</v>
      </c>
      <c r="V9520">
        <v>-0.3524447</v>
      </c>
      <c r="W9520">
        <v>0.113111</v>
      </c>
      <c r="X9520">
        <v>0.92897180000000001</v>
      </c>
      <c r="Y9520">
        <v>-0.61305949999999998</v>
      </c>
      <c r="Z9520">
        <v>2.8188810000000001E-3</v>
      </c>
      <c r="AA9520">
        <v>0.790031699999999</v>
      </c>
      <c r="AB9520">
        <v>28</v>
      </c>
      <c r="AC9520">
        <v>7.5039999999999898</v>
      </c>
      <c r="AD9520">
        <v>-1.1305427684989999</v>
      </c>
      <c r="AE9520">
        <v>14.279780000000001</v>
      </c>
      <c r="AF9520">
        <v>-9.9458814497110595</v>
      </c>
      <c r="AG9520">
        <v>-1.1305427684989999</v>
      </c>
      <c r="AH9520">
        <v>12.6001599905806</v>
      </c>
      <c r="AI9520">
        <v>94.028551351869297</v>
      </c>
      <c r="AJ9520">
        <v>128.28564366644301</v>
      </c>
      <c r="AK9520">
        <v>16.092318557353401</v>
      </c>
      <c r="AL9520">
        <v>83.5053175165813</v>
      </c>
      <c r="AM9520">
        <v>110.77635705522</v>
      </c>
      <c r="AN9520">
        <v>0.99999998503716403</v>
      </c>
    </row>
    <row r="9521" spans="1:40" x14ac:dyDescent="0.25">
      <c r="A9521" t="str">
        <f>"20190303162133358"</f>
        <v>20190303162133358</v>
      </c>
      <c r="B9521" t="str">
        <f>"1551601293351622"</f>
        <v>1551601293351622</v>
      </c>
      <c r="C9521" t="s">
        <v>40</v>
      </c>
      <c r="D9521">
        <v>4.8883080000000003</v>
      </c>
      <c r="E9521">
        <v>0.37671880000000002</v>
      </c>
      <c r="F9521" t="s">
        <v>62</v>
      </c>
      <c r="G9521">
        <v>-197.3168</v>
      </c>
      <c r="H9521" s="1">
        <v>-4.7110630000000001E-6</v>
      </c>
      <c r="I9521">
        <v>-46.241489999999999</v>
      </c>
      <c r="J9521">
        <v>-204.58199999999999</v>
      </c>
      <c r="K9521">
        <v>1.1305510000000001</v>
      </c>
      <c r="L9521">
        <v>-60.30115</v>
      </c>
      <c r="M9521">
        <v>0.91046970000000005</v>
      </c>
      <c r="N9521">
        <v>-1.2954210000000001E-2</v>
      </c>
      <c r="O9521">
        <v>0.41337289999999999</v>
      </c>
      <c r="P9521">
        <v>0.70227069999999903</v>
      </c>
      <c r="Q9521">
        <v>0.10927000000000001</v>
      </c>
      <c r="R9521">
        <v>0.70347419999999905</v>
      </c>
      <c r="S9521">
        <v>1.483673</v>
      </c>
      <c r="T9521">
        <v>-0.22633800000000001</v>
      </c>
      <c r="U9521">
        <v>2.8294069999999998</v>
      </c>
      <c r="V9521">
        <v>-0.35295500000000002</v>
      </c>
      <c r="W9521">
        <v>0.1131133</v>
      </c>
      <c r="X9521">
        <v>0.92877779999999999</v>
      </c>
      <c r="Y9521">
        <v>-0.61340819999999996</v>
      </c>
      <c r="Z9521">
        <v>2.2290029999999998E-3</v>
      </c>
      <c r="AA9521">
        <v>0.78976290000000005</v>
      </c>
      <c r="AB9521">
        <v>28</v>
      </c>
      <c r="AC9521">
        <v>7.2651999999999903</v>
      </c>
      <c r="AD9521">
        <v>-1.130555711063</v>
      </c>
      <c r="AE9521">
        <v>14.059659999999999</v>
      </c>
      <c r="AF9521">
        <v>-9.74872899747605</v>
      </c>
      <c r="AG9521">
        <v>-1.130555711063</v>
      </c>
      <c r="AH9521">
        <v>12.364569420977199</v>
      </c>
      <c r="AI9521">
        <v>94.106897715594698</v>
      </c>
      <c r="AJ9521">
        <v>128.25368188894299</v>
      </c>
      <c r="AK9521">
        <v>15.7860207224054</v>
      </c>
      <c r="AL9521">
        <v>83.5051851536969</v>
      </c>
      <c r="AM9521">
        <v>110.807838712435</v>
      </c>
      <c r="AN9521">
        <v>1.0000000262173601</v>
      </c>
    </row>
    <row r="9522" spans="1:40" x14ac:dyDescent="0.25">
      <c r="A9522" t="str">
        <f>"20190303162133370"</f>
        <v>20190303162133370</v>
      </c>
      <c r="B9522" t="str">
        <f>"1551601293362358"</f>
        <v>1551601293362358</v>
      </c>
      <c r="C9522" t="s">
        <v>40</v>
      </c>
      <c r="D9522">
        <v>4.8687250000000004</v>
      </c>
      <c r="E9522">
        <v>0.37728519999999999</v>
      </c>
      <c r="F9522" t="s">
        <v>42</v>
      </c>
      <c r="G9522">
        <v>-204.13650000000001</v>
      </c>
      <c r="H9522">
        <v>1.0618559999999999</v>
      </c>
      <c r="I9522">
        <v>-59.438659999999999</v>
      </c>
      <c r="J9522">
        <v>-204.4632</v>
      </c>
      <c r="K9522">
        <v>1.1305559999999999</v>
      </c>
      <c r="L9522">
        <v>-60.240780000000001</v>
      </c>
      <c r="M9522">
        <v>0.90793480000000004</v>
      </c>
      <c r="N9522">
        <v>-1.296042E-2</v>
      </c>
      <c r="O9522">
        <v>0.41891119999999998</v>
      </c>
      <c r="P9522">
        <v>0.69781119999999996</v>
      </c>
      <c r="Q9522">
        <v>0.1093234</v>
      </c>
      <c r="R9522">
        <v>0.70788969999999996</v>
      </c>
      <c r="S9522">
        <v>1.465225</v>
      </c>
      <c r="T9522">
        <v>-0.22595470000000001</v>
      </c>
      <c r="U9522">
        <v>2.8369140000000002</v>
      </c>
      <c r="V9522">
        <v>-0.3531609</v>
      </c>
      <c r="W9522">
        <v>0.1131645</v>
      </c>
      <c r="X9522">
        <v>0.9286932</v>
      </c>
      <c r="Y9522">
        <v>-0.61351230000000001</v>
      </c>
      <c r="Z9522">
        <v>1.8545390000000001E-3</v>
      </c>
      <c r="AA9522">
        <v>0.78968289999999997</v>
      </c>
      <c r="AB9522">
        <v>28</v>
      </c>
      <c r="AC9522">
        <v>0.326699999999988</v>
      </c>
      <c r="AD9522">
        <v>-6.86999999999999E-2</v>
      </c>
      <c r="AE9522">
        <v>0.80212000000000905</v>
      </c>
      <c r="AF9522">
        <v>-0.58776587460878504</v>
      </c>
      <c r="AG9522">
        <v>-6.86999999999999E-2</v>
      </c>
      <c r="AH9522">
        <v>0.62873653150461595</v>
      </c>
      <c r="AI9522">
        <v>94.563682595170306</v>
      </c>
      <c r="AJ9522">
        <v>133.07106113154001</v>
      </c>
      <c r="AK9522">
        <v>0.86342228336028304</v>
      </c>
      <c r="AL9522">
        <v>83.502232106313002</v>
      </c>
      <c r="AM9522">
        <v>110.82067079889499</v>
      </c>
      <c r="AN9522">
        <v>0.99999994253764801</v>
      </c>
    </row>
    <row r="9523" spans="1:40" x14ac:dyDescent="0.25">
      <c r="A9523" t="str">
        <f>"20190303162133381"</f>
        <v>20190303162133381</v>
      </c>
      <c r="B9523" t="str">
        <f>"1551601293372118"</f>
        <v>1551601293372118</v>
      </c>
      <c r="C9523" t="s">
        <v>40</v>
      </c>
      <c r="D9523">
        <v>4.8937679999999997</v>
      </c>
      <c r="E9523">
        <v>0.377944</v>
      </c>
      <c r="F9523" t="s">
        <v>62</v>
      </c>
      <c r="G9523">
        <v>-197.19450000000001</v>
      </c>
      <c r="H9523" s="1">
        <v>-4.8105979999999997E-6</v>
      </c>
      <c r="I9523">
        <v>-46.000439999999998</v>
      </c>
      <c r="J9523">
        <v>-204.333</v>
      </c>
      <c r="K9523">
        <v>1.1305700000000001</v>
      </c>
      <c r="L9523">
        <v>-60.173679999999997</v>
      </c>
      <c r="M9523">
        <v>0.90511129999999995</v>
      </c>
      <c r="N9523">
        <v>-1.2966739999999999E-2</v>
      </c>
      <c r="O9523">
        <v>0.4249772</v>
      </c>
      <c r="P9523">
        <v>0.69307200000000002</v>
      </c>
      <c r="Q9523">
        <v>0.1098629</v>
      </c>
      <c r="R9523">
        <v>0.71244750000000001</v>
      </c>
      <c r="S9523">
        <v>1.450912</v>
      </c>
      <c r="T9523">
        <v>-0.2256724</v>
      </c>
      <c r="U9523">
        <v>2.8425289999999999</v>
      </c>
      <c r="V9523">
        <v>-0.35308270000000003</v>
      </c>
      <c r="W9523">
        <v>0.1137093</v>
      </c>
      <c r="X9523">
        <v>0.9286565</v>
      </c>
      <c r="Y9523">
        <v>-0.61202860000000003</v>
      </c>
      <c r="Z9523">
        <v>1.35471299999999E-3</v>
      </c>
      <c r="AA9523">
        <v>0.79083440000000005</v>
      </c>
      <c r="AB9523">
        <v>28</v>
      </c>
      <c r="AC9523">
        <v>7.1384999999999899</v>
      </c>
      <c r="AD9523">
        <v>-1.130574810598</v>
      </c>
      <c r="AE9523">
        <v>14.17324</v>
      </c>
      <c r="AF9523">
        <v>-9.7460168139469108</v>
      </c>
      <c r="AG9523">
        <v>-1.130574810598</v>
      </c>
      <c r="AH9523">
        <v>12.422439506568001</v>
      </c>
      <c r="AI9523">
        <v>94.095610118540705</v>
      </c>
      <c r="AJ9523">
        <v>128.115934392555</v>
      </c>
      <c r="AK9523">
        <v>15.829720352376199</v>
      </c>
      <c r="AL9523">
        <v>83.470815251117997</v>
      </c>
      <c r="AM9523">
        <v>110.817207810277</v>
      </c>
      <c r="AN9523">
        <v>1.00000004646901</v>
      </c>
    </row>
    <row r="9524" spans="1:40" x14ac:dyDescent="0.25">
      <c r="A9524" t="str">
        <f>"20190303162133393"</f>
        <v>20190303162133393</v>
      </c>
      <c r="B9524" t="str">
        <f>"1551601293381878"</f>
        <v>1551601293381878</v>
      </c>
      <c r="C9524" t="s">
        <v>40</v>
      </c>
      <c r="D9524">
        <v>4.8646240000000001</v>
      </c>
      <c r="E9524">
        <v>0.37845830000000003</v>
      </c>
      <c r="F9524" t="s">
        <v>42</v>
      </c>
      <c r="G9524">
        <v>-203.91200000000001</v>
      </c>
      <c r="H9524">
        <v>1.06477</v>
      </c>
      <c r="I9524">
        <v>-59.33869</v>
      </c>
      <c r="J9524">
        <v>-204.2079</v>
      </c>
      <c r="K9524">
        <v>1.130585</v>
      </c>
      <c r="L9524">
        <v>-60.107849999999999</v>
      </c>
      <c r="M9524">
        <v>0.90234630000000005</v>
      </c>
      <c r="N9524">
        <v>-1.2972340000000001E-2</v>
      </c>
      <c r="O9524">
        <v>0.4308167</v>
      </c>
      <c r="P9524">
        <v>0.68856879999999998</v>
      </c>
      <c r="Q9524">
        <v>0.1108958</v>
      </c>
      <c r="R9524">
        <v>0.71664169999999905</v>
      </c>
      <c r="S9524">
        <v>1.436142</v>
      </c>
      <c r="T9524">
        <v>-0.22444059999999999</v>
      </c>
      <c r="U9524">
        <v>2.8483890000000001</v>
      </c>
      <c r="V9524">
        <v>-0.35281509999999999</v>
      </c>
      <c r="W9524">
        <v>0.11475150000000001</v>
      </c>
      <c r="X9524">
        <v>0.92862990000000001</v>
      </c>
      <c r="Y9524">
        <v>-0.61086130000000005</v>
      </c>
      <c r="Z9524">
        <v>9.242613E-4</v>
      </c>
      <c r="AA9524">
        <v>0.79173709999999997</v>
      </c>
      <c r="AB9524">
        <v>28</v>
      </c>
      <c r="AC9524">
        <v>0.29589999999998801</v>
      </c>
      <c r="AD9524">
        <v>-6.5814999999999901E-2</v>
      </c>
      <c r="AE9524">
        <v>0.76915999999999896</v>
      </c>
      <c r="AF9524">
        <v>-0.56302674483318305</v>
      </c>
      <c r="AG9524">
        <v>-6.5814999999999901E-2</v>
      </c>
      <c r="AH9524">
        <v>0.59462908763435696</v>
      </c>
      <c r="AI9524">
        <v>94.595034680030594</v>
      </c>
      <c r="AJ9524">
        <v>133.436295801125</v>
      </c>
      <c r="AK9524">
        <v>0.82153178969734197</v>
      </c>
      <c r="AL9524">
        <v>83.410707483082007</v>
      </c>
      <c r="AM9524">
        <v>110.80332630711899</v>
      </c>
      <c r="AN9524">
        <v>0.99999994635713296</v>
      </c>
    </row>
    <row r="9525" spans="1:40" x14ac:dyDescent="0.25">
      <c r="A9525" t="str">
        <f>"20190303162133405"</f>
        <v>20190303162133405</v>
      </c>
      <c r="B9525" t="str">
        <f>"1551601293402374"</f>
        <v>1551601293402374</v>
      </c>
      <c r="C9525" t="s">
        <v>40</v>
      </c>
      <c r="D9525">
        <v>4.815175</v>
      </c>
      <c r="E9525">
        <v>0.37899559999999999</v>
      </c>
      <c r="F9525" t="s">
        <v>62</v>
      </c>
      <c r="G9525">
        <v>-196.90379999999999</v>
      </c>
      <c r="H9525" s="1">
        <v>-5.0403989999999998E-6</v>
      </c>
      <c r="I9525">
        <v>-45.440939999999998</v>
      </c>
      <c r="J9525">
        <v>-204.07679999999999</v>
      </c>
      <c r="K9525">
        <v>1.1305989999999999</v>
      </c>
      <c r="L9525">
        <v>-60.038359999999997</v>
      </c>
      <c r="M9525">
        <v>0.89940489999999995</v>
      </c>
      <c r="N9525">
        <v>-1.297795E-2</v>
      </c>
      <c r="O9525">
        <v>0.43692379999999997</v>
      </c>
      <c r="P9525">
        <v>0.68384100000000003</v>
      </c>
      <c r="Q9525">
        <v>0.1119124</v>
      </c>
      <c r="R9525">
        <v>0.7209972</v>
      </c>
      <c r="S9525">
        <v>1.4215089999999999</v>
      </c>
      <c r="T9525">
        <v>-0.22003220000000001</v>
      </c>
      <c r="U9525">
        <v>2.8544309999999999</v>
      </c>
      <c r="V9525">
        <v>-0.3525103</v>
      </c>
      <c r="W9525">
        <v>0.1157784</v>
      </c>
      <c r="X9525">
        <v>0.92861830000000001</v>
      </c>
      <c r="Y9525">
        <v>-0.6094543</v>
      </c>
      <c r="Z9525">
        <v>5.9807109999999997E-4</v>
      </c>
      <c r="AA9525">
        <v>0.792821</v>
      </c>
      <c r="AB9525">
        <v>28</v>
      </c>
      <c r="AC9525">
        <v>7.173</v>
      </c>
      <c r="AD9525">
        <v>-1.1306040403990001</v>
      </c>
      <c r="AE9525">
        <v>14.5974199999999</v>
      </c>
      <c r="AF9525">
        <v>-9.9477101697948207</v>
      </c>
      <c r="AG9525">
        <v>-1.1306040403990001</v>
      </c>
      <c r="AH9525">
        <v>12.7687721597328</v>
      </c>
      <c r="AI9525">
        <v>93.995572125460995</v>
      </c>
      <c r="AJ9525">
        <v>127.920927084957</v>
      </c>
      <c r="AK9525">
        <v>16.2258049287415</v>
      </c>
      <c r="AL9525">
        <v>83.351476329001102</v>
      </c>
      <c r="AM9525">
        <v>110.78712822265599</v>
      </c>
      <c r="AN9525">
        <v>1.0000000483037601</v>
      </c>
    </row>
    <row r="9526" spans="1:40" x14ac:dyDescent="0.25">
      <c r="A9526" t="str">
        <f>"20190303162133417"</f>
        <v>20190303162133417</v>
      </c>
      <c r="B9526" t="str">
        <f>"1551601293412134"</f>
        <v>1551601293412134</v>
      </c>
      <c r="C9526" t="s">
        <v>40</v>
      </c>
      <c r="D9526">
        <v>4.8735629999999999</v>
      </c>
      <c r="E9526">
        <v>0.38745740000000001</v>
      </c>
      <c r="F9526" t="s">
        <v>62</v>
      </c>
      <c r="G9526">
        <v>-196.73400000000001</v>
      </c>
      <c r="H9526" s="1">
        <v>-5.1716889999999999E-6</v>
      </c>
      <c r="I9526">
        <v>-45.098799999999997</v>
      </c>
      <c r="J9526">
        <v>-203.94239999999999</v>
      </c>
      <c r="K9526">
        <v>1.130612</v>
      </c>
      <c r="L9526">
        <v>-59.965150000000001</v>
      </c>
      <c r="M9526">
        <v>0.89632800000000001</v>
      </c>
      <c r="N9526">
        <v>-1.2982850000000001E-2</v>
      </c>
      <c r="O9526">
        <v>0.44320140000000002</v>
      </c>
      <c r="P9526">
        <v>0.67894849999999995</v>
      </c>
      <c r="Q9526">
        <v>0.113342899999999</v>
      </c>
      <c r="R9526">
        <v>0.72538429999999998</v>
      </c>
      <c r="S9526">
        <v>1.4061129999999999</v>
      </c>
      <c r="T9526">
        <v>-0.21650430000000001</v>
      </c>
      <c r="U9526">
        <v>2.86084</v>
      </c>
      <c r="V9526">
        <v>-0.35213319999999998</v>
      </c>
      <c r="W9526">
        <v>0.11722100000000001</v>
      </c>
      <c r="X9526">
        <v>0.92858030000000003</v>
      </c>
      <c r="Y9526">
        <v>-0.6080835</v>
      </c>
      <c r="Z9526">
        <v>2.4447029999999999E-4</v>
      </c>
      <c r="AA9526">
        <v>0.79387299999999905</v>
      </c>
      <c r="AB9526">
        <v>28</v>
      </c>
      <c r="AC9526">
        <v>7.2083999999999797</v>
      </c>
      <c r="AD9526">
        <v>-1.1306171716889999</v>
      </c>
      <c r="AE9526">
        <v>14.866350000000001</v>
      </c>
      <c r="AF9526">
        <v>-10.083984524373699</v>
      </c>
      <c r="AG9526">
        <v>-1.1306171716889999</v>
      </c>
      <c r="AH9526">
        <v>12.990146481853801</v>
      </c>
      <c r="AI9526">
        <v>93.933030955126199</v>
      </c>
      <c r="AJ9526">
        <v>127.82145706583</v>
      </c>
      <c r="AK9526">
        <v>16.483596230699899</v>
      </c>
      <c r="AL9526">
        <v>83.268254181780506</v>
      </c>
      <c r="AM9526">
        <v>110.767566264604</v>
      </c>
      <c r="AN9526">
        <v>0.999999963465664</v>
      </c>
    </row>
    <row r="9527" spans="1:40" x14ac:dyDescent="0.25">
      <c r="A9527" t="str">
        <f>"20190303162133427"</f>
        <v>20190303162133427</v>
      </c>
      <c r="B9527" t="str">
        <f>"1551601293421894"</f>
        <v>1551601293421894</v>
      </c>
      <c r="C9527" t="s">
        <v>40</v>
      </c>
      <c r="D9527">
        <v>4.8588110000000002</v>
      </c>
      <c r="E9527">
        <v>0.38831860000000001</v>
      </c>
      <c r="F9527" t="s">
        <v>42</v>
      </c>
      <c r="G9527">
        <v>-203.49809999999999</v>
      </c>
      <c r="H9527">
        <v>1.0789409999999999</v>
      </c>
      <c r="I9527">
        <v>-59.089939999999999</v>
      </c>
      <c r="J9527">
        <v>-203.82820000000001</v>
      </c>
      <c r="K9527">
        <v>1.1306259999999999</v>
      </c>
      <c r="L9527">
        <v>-59.902500000000003</v>
      </c>
      <c r="M9527">
        <v>0.89367819999999998</v>
      </c>
      <c r="N9527">
        <v>-1.298679E-2</v>
      </c>
      <c r="O9527">
        <v>0.44852049999999999</v>
      </c>
      <c r="P9527">
        <v>0.67476420000000004</v>
      </c>
      <c r="Q9527">
        <v>0.1142871</v>
      </c>
      <c r="R9527">
        <v>0.72913090000000003</v>
      </c>
      <c r="S9527">
        <v>1.4319309999999901</v>
      </c>
      <c r="T9527">
        <v>-0.16655799999999901</v>
      </c>
      <c r="U9527">
        <v>2.8215029999999999</v>
      </c>
      <c r="V9527">
        <v>-0.35184690000000002</v>
      </c>
      <c r="W9527">
        <v>0.1181746</v>
      </c>
      <c r="X9527">
        <v>0.92856799999999995</v>
      </c>
      <c r="Y9527">
        <v>-0.5933929</v>
      </c>
      <c r="Z9527">
        <v>1.503197E-3</v>
      </c>
      <c r="AA9527">
        <v>0.80491159999999995</v>
      </c>
      <c r="AB9527">
        <v>28</v>
      </c>
      <c r="AC9527">
        <v>0.33010000000001499</v>
      </c>
      <c r="AD9527">
        <v>-5.1685000000000203E-2</v>
      </c>
      <c r="AE9527">
        <v>0.81255999999999695</v>
      </c>
      <c r="AF9527">
        <v>-0.57615841483819796</v>
      </c>
      <c r="AG9527">
        <v>-5.1685000000000203E-2</v>
      </c>
      <c r="AH9527">
        <v>0.65722619306885</v>
      </c>
      <c r="AI9527">
        <v>93.384247109707005</v>
      </c>
      <c r="AJ9527">
        <v>131.239477947301</v>
      </c>
      <c r="AK9527">
        <v>0.87554333249111005</v>
      </c>
      <c r="AL9527">
        <v>83.213234781240899</v>
      </c>
      <c r="AM9527">
        <v>110.752371706804</v>
      </c>
      <c r="AN9527">
        <v>1.0000000038743799</v>
      </c>
    </row>
    <row r="9528" spans="1:40" x14ac:dyDescent="0.25">
      <c r="A9528" t="str">
        <f>"20190303162133439"</f>
        <v>20190303162133439</v>
      </c>
      <c r="B9528" t="str">
        <f>"1551601293431654"</f>
        <v>1551601293431654</v>
      </c>
      <c r="C9528" t="s">
        <v>40</v>
      </c>
      <c r="D9528">
        <v>4.8501940000000001</v>
      </c>
      <c r="E9528">
        <v>0.38872479999999998</v>
      </c>
      <c r="F9528" t="s">
        <v>62</v>
      </c>
      <c r="G9528">
        <v>-194.52670000000001</v>
      </c>
      <c r="H9528" s="1">
        <v>-6.3288299999999998E-6</v>
      </c>
      <c r="I9528">
        <v>-41.419969999999999</v>
      </c>
      <c r="J9528">
        <v>-203.70320000000001</v>
      </c>
      <c r="K9528">
        <v>1.130644</v>
      </c>
      <c r="L9528">
        <v>-59.832549999999998</v>
      </c>
      <c r="M9528">
        <v>0.89072669999999998</v>
      </c>
      <c r="N9528">
        <v>-1.299058E-2</v>
      </c>
      <c r="O9528">
        <v>0.45435360000000002</v>
      </c>
      <c r="P9528">
        <v>0.67006650000000001</v>
      </c>
      <c r="Q9528">
        <v>0.1152121</v>
      </c>
      <c r="R9528">
        <v>0.7333056</v>
      </c>
      <c r="S9528">
        <v>1.4220120000000001</v>
      </c>
      <c r="T9528">
        <v>-0.17285010000000001</v>
      </c>
      <c r="U9528">
        <v>2.8255919999999999</v>
      </c>
      <c r="V9528">
        <v>-0.3516339</v>
      </c>
      <c r="W9528">
        <v>0.1191083</v>
      </c>
      <c r="X9528">
        <v>0.92852939999999995</v>
      </c>
      <c r="Y9528">
        <v>-0.59082979999999996</v>
      </c>
      <c r="Z9528">
        <v>7.8221129999999999E-4</v>
      </c>
      <c r="AA9528">
        <v>0.80679579999999995</v>
      </c>
      <c r="AB9528">
        <v>28</v>
      </c>
      <c r="AC9528">
        <v>9.1765000000000008</v>
      </c>
      <c r="AD9528">
        <v>-1.1306503288299901</v>
      </c>
      <c r="AE9528">
        <v>18.412579999999998</v>
      </c>
      <c r="AF9528">
        <v>-12.1953967617915</v>
      </c>
      <c r="AG9528">
        <v>-1.1306503288299901</v>
      </c>
      <c r="AH9528">
        <v>16.491159737038</v>
      </c>
      <c r="AI9528">
        <v>93.155241169238394</v>
      </c>
      <c r="AJ9528">
        <v>126.483339100374</v>
      </c>
      <c r="AK9528">
        <v>20.5417726064744</v>
      </c>
      <c r="AL9528">
        <v>83.159357269499495</v>
      </c>
      <c r="AM9528">
        <v>110.741666932147</v>
      </c>
      <c r="AN9528">
        <v>1.00000001671123</v>
      </c>
    </row>
    <row r="9529" spans="1:40" x14ac:dyDescent="0.25">
      <c r="A9529" t="str">
        <f>"20190303162133451"</f>
        <v>20190303162133451</v>
      </c>
      <c r="B9529" t="str">
        <f>"1551601293442390"</f>
        <v>1551601293442390</v>
      </c>
      <c r="C9529" t="s">
        <v>40</v>
      </c>
      <c r="D9529">
        <v>4.8525219999999996</v>
      </c>
      <c r="E9529">
        <v>0.38944859999999998</v>
      </c>
      <c r="F9529" t="s">
        <v>42</v>
      </c>
      <c r="G9529">
        <v>-203.2792</v>
      </c>
      <c r="H9529">
        <v>1.07673</v>
      </c>
      <c r="I9529">
        <v>-58.979480000000002</v>
      </c>
      <c r="J9529">
        <v>-203.58330000000001</v>
      </c>
      <c r="K9529">
        <v>1.130649</v>
      </c>
      <c r="L9529">
        <v>-59.764620000000001</v>
      </c>
      <c r="M9529">
        <v>0.88785550000000002</v>
      </c>
      <c r="N9529">
        <v>-1.299373E-2</v>
      </c>
      <c r="O9529">
        <v>0.45993889999999998</v>
      </c>
      <c r="P9529">
        <v>0.66545149999999997</v>
      </c>
      <c r="Q9529">
        <v>0.11567959999999999</v>
      </c>
      <c r="R9529">
        <v>0.73742289999999999</v>
      </c>
      <c r="S9529">
        <v>1.407867</v>
      </c>
      <c r="T9529">
        <v>-0.17903569999999999</v>
      </c>
      <c r="U9529">
        <v>2.8327330000000002</v>
      </c>
      <c r="V9529">
        <v>-0.35157430000000001</v>
      </c>
      <c r="W9529">
        <v>0.1195817</v>
      </c>
      <c r="X9529">
        <v>0.92849110000000001</v>
      </c>
      <c r="Y9529">
        <v>-0.58978229999999998</v>
      </c>
      <c r="Z9529">
        <v>1.134146E-4</v>
      </c>
      <c r="AA9529">
        <v>0.80756229999999996</v>
      </c>
      <c r="AB9529">
        <v>28</v>
      </c>
      <c r="AC9529">
        <v>0.30410000000000498</v>
      </c>
      <c r="AD9529">
        <v>-5.3919000000000002E-2</v>
      </c>
      <c r="AE9529">
        <v>0.78513999999999096</v>
      </c>
      <c r="AF9529">
        <v>-0.55499447917351297</v>
      </c>
      <c r="AG9529">
        <v>-5.3919000000000002E-2</v>
      </c>
      <c r="AH9529">
        <v>0.62858874761787398</v>
      </c>
      <c r="AI9529">
        <v>93.679130948231204</v>
      </c>
      <c r="AJ9529">
        <v>131.44197446152199</v>
      </c>
      <c r="AK9529">
        <v>0.84026778118995205</v>
      </c>
      <c r="AL9529">
        <v>83.1320380585653</v>
      </c>
      <c r="AM9529">
        <v>110.73923313367099</v>
      </c>
      <c r="AN9529">
        <v>0.99999999708729403</v>
      </c>
    </row>
    <row r="9530" spans="1:40" x14ac:dyDescent="0.25">
      <c r="A9530" t="str">
        <f>"20190303162133462"</f>
        <v>20190303162133462</v>
      </c>
      <c r="B9530" t="str">
        <f>"1551601293452150"</f>
        <v>1551601293452150</v>
      </c>
      <c r="C9530" t="s">
        <v>40</v>
      </c>
      <c r="D9530">
        <v>4.8482919999999998</v>
      </c>
      <c r="E9530">
        <v>0.38998460000000001</v>
      </c>
      <c r="F9530" t="s">
        <v>62</v>
      </c>
      <c r="G9530">
        <v>-195.20070000000001</v>
      </c>
      <c r="H9530" s="1">
        <v>-5.9696719999999999E-6</v>
      </c>
      <c r="I9530">
        <v>-42.719369999999998</v>
      </c>
      <c r="J9530">
        <v>-203.44470000000001</v>
      </c>
      <c r="K9530">
        <v>1.1306529999999999</v>
      </c>
      <c r="L9530">
        <v>-59.6849699999999</v>
      </c>
      <c r="M9530">
        <v>0.88448069999999901</v>
      </c>
      <c r="N9530">
        <v>-1.29969E-2</v>
      </c>
      <c r="O9530">
        <v>0.46639589999999997</v>
      </c>
      <c r="P9530">
        <v>0.66020719999999899</v>
      </c>
      <c r="Q9530">
        <v>0.1156523</v>
      </c>
      <c r="R9530">
        <v>0.74212609999999901</v>
      </c>
      <c r="S9530">
        <v>1.3957980000000001</v>
      </c>
      <c r="T9530">
        <v>-0.18826480000000001</v>
      </c>
      <c r="U9530">
        <v>2.8381959999999999</v>
      </c>
      <c r="V9530">
        <v>-0.35139300000000001</v>
      </c>
      <c r="W9530">
        <v>0.11956609999999999</v>
      </c>
      <c r="X9530">
        <v>0.92856170000000005</v>
      </c>
      <c r="Y9530">
        <v>-0.58724489999999996</v>
      </c>
      <c r="Z9530">
        <v>-8.7256170000000002E-4</v>
      </c>
      <c r="AA9530">
        <v>0.80940880000000004</v>
      </c>
      <c r="AB9530">
        <v>28</v>
      </c>
      <c r="AC9530">
        <v>8.2439999999999998</v>
      </c>
      <c r="AD9530">
        <v>-1.130658969672</v>
      </c>
      <c r="AE9530">
        <v>16.965599999999899</v>
      </c>
      <c r="AF9530">
        <v>-11.121758769507901</v>
      </c>
      <c r="AG9530">
        <v>-1.130658969672</v>
      </c>
      <c r="AH9530">
        <v>15.151189262086501</v>
      </c>
      <c r="AI9530">
        <v>93.442618075903496</v>
      </c>
      <c r="AJ9530">
        <v>126.28060028983199</v>
      </c>
      <c r="AK9530">
        <v>18.8289788328626</v>
      </c>
      <c r="AL9530">
        <v>83.132938087826304</v>
      </c>
      <c r="AM9530">
        <v>110.728005545066</v>
      </c>
      <c r="AN9530">
        <v>0.99999996171254901</v>
      </c>
    </row>
    <row r="9531" spans="1:40" x14ac:dyDescent="0.25">
      <c r="A9531" t="str">
        <f>"20190303162133479"</f>
        <v>20190303162133479</v>
      </c>
      <c r="B9531" t="str">
        <f>"1551601293471670"</f>
        <v>1551601293471670</v>
      </c>
      <c r="C9531" t="s">
        <v>40</v>
      </c>
      <c r="D9531">
        <v>4.9232610000000001</v>
      </c>
      <c r="E9531">
        <v>0.39053320000000002</v>
      </c>
      <c r="F9531" t="s">
        <v>42</v>
      </c>
      <c r="G9531">
        <v>-203.05269999999999</v>
      </c>
      <c r="H9531">
        <v>1.075739</v>
      </c>
      <c r="I9531">
        <v>-58.876829999999998</v>
      </c>
      <c r="J9531">
        <v>-203.27279999999999</v>
      </c>
      <c r="K9531">
        <v>1.1306430000000001</v>
      </c>
      <c r="L9531">
        <v>-59.583889999999997</v>
      </c>
      <c r="M9531">
        <v>0.88021740000000004</v>
      </c>
      <c r="N9531">
        <v>-1.2999170000000001E-2</v>
      </c>
      <c r="O9531">
        <v>0.4743926</v>
      </c>
      <c r="P9531">
        <v>0.6534818</v>
      </c>
      <c r="Q9531">
        <v>0.11522739999999999</v>
      </c>
      <c r="R9531">
        <v>0.74812040000000002</v>
      </c>
      <c r="S9531">
        <v>1.37944</v>
      </c>
      <c r="T9531">
        <v>-0.1933137</v>
      </c>
      <c r="U9531">
        <v>2.8453979999999999</v>
      </c>
      <c r="V9531">
        <v>-0.35140300000000002</v>
      </c>
      <c r="W9531">
        <v>0.1191533</v>
      </c>
      <c r="X9531">
        <v>0.92861099999999996</v>
      </c>
      <c r="Y9531">
        <v>-0.58446919999999902</v>
      </c>
      <c r="Z9531">
        <v>-1.769372E-3</v>
      </c>
      <c r="AA9531">
        <v>0.81141390000000002</v>
      </c>
      <c r="AB9531">
        <v>28</v>
      </c>
      <c r="AC9531">
        <v>0.22010000000000199</v>
      </c>
      <c r="AD9531">
        <v>-5.4904000000000001E-2</v>
      </c>
      <c r="AE9531">
        <v>0.70705999999999802</v>
      </c>
      <c r="AF9531">
        <v>-0.51516459851972396</v>
      </c>
      <c r="AG9531">
        <v>-5.4904000000000001E-2</v>
      </c>
      <c r="AH9531">
        <v>0.52631144893603898</v>
      </c>
      <c r="AI9531">
        <v>94.263485969816401</v>
      </c>
      <c r="AJ9531">
        <v>134.38679041164499</v>
      </c>
      <c r="AK9531">
        <v>0.73852065242966702</v>
      </c>
      <c r="AL9531">
        <v>83.156760236882903</v>
      </c>
      <c r="AM9531">
        <v>110.727538342109</v>
      </c>
      <c r="AN9531">
        <v>0.99999998331544404</v>
      </c>
    </row>
    <row r="9532" spans="1:40" x14ac:dyDescent="0.25">
      <c r="A9532" t="str">
        <f>"20190303162133493"</f>
        <v>20190303162133493</v>
      </c>
      <c r="B9532" t="str">
        <f>"1551601293481431"</f>
        <v>1551601293481431</v>
      </c>
      <c r="C9532" t="s">
        <v>40</v>
      </c>
      <c r="D9532">
        <v>4.9358190000000004</v>
      </c>
      <c r="E9532">
        <v>0.39402569999999998</v>
      </c>
      <c r="F9532" t="s">
        <v>42</v>
      </c>
      <c r="G9532">
        <v>-202.86500000000001</v>
      </c>
      <c r="H9532">
        <v>1.071143</v>
      </c>
      <c r="I9532">
        <v>-58.726990000000001</v>
      </c>
      <c r="J9532">
        <v>-203.13499999999999</v>
      </c>
      <c r="K9532">
        <v>1.13063</v>
      </c>
      <c r="L9532">
        <v>-59.5015</v>
      </c>
      <c r="M9532">
        <v>0.87674149999999995</v>
      </c>
      <c r="N9532">
        <v>-1.299995E-2</v>
      </c>
      <c r="O9532">
        <v>0.48078609999999999</v>
      </c>
      <c r="P9532">
        <v>0.64802740000000003</v>
      </c>
      <c r="Q9532">
        <v>0.1149872</v>
      </c>
      <c r="R9532">
        <v>0.75288669999999902</v>
      </c>
      <c r="S9532">
        <v>1.358109</v>
      </c>
      <c r="T9532">
        <v>-0.1981899</v>
      </c>
      <c r="U9532">
        <v>2.854279</v>
      </c>
      <c r="V9532">
        <v>-0.35141620000000001</v>
      </c>
      <c r="W9532">
        <v>0.11892510000000001</v>
      </c>
      <c r="X9532">
        <v>0.92863519999999999</v>
      </c>
      <c r="Y9532">
        <v>-0.58447099999999996</v>
      </c>
      <c r="Z9532">
        <v>-2.4684889999999999E-3</v>
      </c>
      <c r="AA9532">
        <v>0.81141079999999999</v>
      </c>
      <c r="AB9532">
        <v>28</v>
      </c>
      <c r="AC9532">
        <v>0.26999999999998098</v>
      </c>
      <c r="AD9532">
        <v>-5.9486999999999998E-2</v>
      </c>
      <c r="AE9532">
        <v>0.77450999999999903</v>
      </c>
      <c r="AF9532">
        <v>-0.54640519189446601</v>
      </c>
      <c r="AG9532">
        <v>-5.9486999999999998E-2</v>
      </c>
      <c r="AH9532">
        <v>0.60595804393002795</v>
      </c>
      <c r="AI9532">
        <v>94.169878696734401</v>
      </c>
      <c r="AJ9532">
        <v>132.04164951294999</v>
      </c>
      <c r="AK9532">
        <v>0.81809686950979998</v>
      </c>
      <c r="AL9532">
        <v>83.169928401260407</v>
      </c>
      <c r="AM9532">
        <v>110.727756505467</v>
      </c>
      <c r="AN9532">
        <v>0.99999992985574204</v>
      </c>
    </row>
    <row r="9533" spans="1:40" x14ac:dyDescent="0.25">
      <c r="A9533" t="str">
        <f>"20190303162133506"</f>
        <v>20190303162133506</v>
      </c>
      <c r="B9533" t="str">
        <f>"1551601293501926"</f>
        <v>1551601293501926</v>
      </c>
      <c r="C9533" t="s">
        <v>40</v>
      </c>
      <c r="D9533">
        <v>4.8971200000000001</v>
      </c>
      <c r="E9533">
        <v>0.42592829999999898</v>
      </c>
      <c r="F9533" t="s">
        <v>42</v>
      </c>
      <c r="G9533">
        <v>-202.68790000000001</v>
      </c>
      <c r="H9533">
        <v>1.0650309999999901</v>
      </c>
      <c r="I9533">
        <v>-58.565370000000001</v>
      </c>
      <c r="J9533">
        <v>-202.99680000000001</v>
      </c>
      <c r="K9533">
        <v>1.13062</v>
      </c>
      <c r="L9533">
        <v>-59.417940000000002</v>
      </c>
      <c r="M9533">
        <v>0.87320359999999997</v>
      </c>
      <c r="N9533">
        <v>-1.300013E-2</v>
      </c>
      <c r="O9533">
        <v>0.48718220000000001</v>
      </c>
      <c r="P9533">
        <v>0.64253139999999997</v>
      </c>
      <c r="Q9533">
        <v>0.1143768</v>
      </c>
      <c r="R9533">
        <v>0.75767510000000005</v>
      </c>
      <c r="S9533">
        <v>1.358887</v>
      </c>
      <c r="T9533">
        <v>-0.1993885</v>
      </c>
      <c r="U9533">
        <v>2.8454899999999999</v>
      </c>
      <c r="V9533">
        <v>-0.35144760000000003</v>
      </c>
      <c r="W9533">
        <v>0.1183295</v>
      </c>
      <c r="X9533">
        <v>0.92869950000000001</v>
      </c>
      <c r="Y9533">
        <v>-0.57738350000000005</v>
      </c>
      <c r="Z9533">
        <v>-3.300421E-3</v>
      </c>
      <c r="AA9533">
        <v>0.81646640000000004</v>
      </c>
      <c r="AB9533">
        <v>28</v>
      </c>
      <c r="AC9533">
        <v>0.30889999999999401</v>
      </c>
      <c r="AD9533">
        <v>-6.55890000000003E-2</v>
      </c>
      <c r="AE9533">
        <v>0.85257000000000704</v>
      </c>
      <c r="AF9533">
        <v>-0.59093526572949095</v>
      </c>
      <c r="AG9533">
        <v>-6.55890000000003E-2</v>
      </c>
      <c r="AH9533">
        <v>0.68158164777534402</v>
      </c>
      <c r="AI9533">
        <v>94.158554992991697</v>
      </c>
      <c r="AJ9533">
        <v>130.92547883745101</v>
      </c>
      <c r="AK9533">
        <v>0.90446666482957605</v>
      </c>
      <c r="AL9533">
        <v>83.204297089169501</v>
      </c>
      <c r="AM9533">
        <v>110.7281379098</v>
      </c>
      <c r="AN9533">
        <v>1.0000000237081199</v>
      </c>
    </row>
    <row r="9534" spans="1:40" x14ac:dyDescent="0.25">
      <c r="A9534" t="str">
        <f>"20190303162133521"</f>
        <v>20190303162133521</v>
      </c>
      <c r="B9534" t="str">
        <f>"1551601293511686"</f>
        <v>1551601293511686</v>
      </c>
      <c r="C9534" t="s">
        <v>40</v>
      </c>
      <c r="D9534">
        <v>4.8717009999999998</v>
      </c>
      <c r="E9534">
        <v>0.4278479</v>
      </c>
      <c r="F9534" t="s">
        <v>42</v>
      </c>
      <c r="G9534">
        <v>-202.4554</v>
      </c>
      <c r="H9534">
        <v>1.0688740000000001</v>
      </c>
      <c r="I9534">
        <v>-58.4662199999999</v>
      </c>
      <c r="J9534">
        <v>-202.8321</v>
      </c>
      <c r="K9534">
        <v>1.130595</v>
      </c>
      <c r="L9534">
        <v>-59.315890000000003</v>
      </c>
      <c r="M9534">
        <v>0.86891409999999902</v>
      </c>
      <c r="N9534">
        <v>-1.299844E-2</v>
      </c>
      <c r="O9534">
        <v>0.49479230000000002</v>
      </c>
      <c r="P9534">
        <v>0.63581619999999905</v>
      </c>
      <c r="Q9534">
        <v>0.11406669999999999</v>
      </c>
      <c r="R9534">
        <v>0.76336530000000002</v>
      </c>
      <c r="S9534">
        <v>1.5298609999999999</v>
      </c>
      <c r="T9534">
        <v>-0.1744366</v>
      </c>
      <c r="U9534">
        <v>2.6884459999999999</v>
      </c>
      <c r="V9534">
        <v>-0.35155999999999998</v>
      </c>
      <c r="W9534">
        <v>0.1180373</v>
      </c>
      <c r="X9534">
        <v>0.92869409999999997</v>
      </c>
      <c r="Y9534">
        <v>-0.51005610000000001</v>
      </c>
      <c r="Z9534">
        <v>-4.9266789999999998E-3</v>
      </c>
      <c r="AA9534">
        <v>0.86012699999999997</v>
      </c>
      <c r="AB9534">
        <v>28</v>
      </c>
      <c r="AC9534">
        <v>0.37669999999999898</v>
      </c>
      <c r="AD9534">
        <v>-6.1721000000000102E-2</v>
      </c>
      <c r="AE9534">
        <v>0.84967000000001003</v>
      </c>
      <c r="AF9534">
        <v>-0.549525221583398</v>
      </c>
      <c r="AG9534">
        <v>-6.1721000000000102E-2</v>
      </c>
      <c r="AH9534">
        <v>0.74451002006707701</v>
      </c>
      <c r="AI9534">
        <v>93.815984645674206</v>
      </c>
      <c r="AJ9534">
        <v>126.431153092847</v>
      </c>
      <c r="AK9534">
        <v>0.92740639472539899</v>
      </c>
      <c r="AL9534">
        <v>83.221156807544503</v>
      </c>
      <c r="AM9534">
        <v>110.73431377419701</v>
      </c>
      <c r="AN9534">
        <v>0.99999998458304895</v>
      </c>
    </row>
    <row r="9535" spans="1:40" x14ac:dyDescent="0.25">
      <c r="A9535" t="str">
        <f>"20190303162133537"</f>
        <v>20190303162133537</v>
      </c>
      <c r="B9535" t="str">
        <f>"1551601293521447"</f>
        <v>1551601293521447</v>
      </c>
      <c r="C9535" t="s">
        <v>40</v>
      </c>
      <c r="D9535">
        <v>4.8609629999999999</v>
      </c>
      <c r="E9535">
        <v>0.42933919999999998</v>
      </c>
      <c r="F9535" t="s">
        <v>42</v>
      </c>
      <c r="G9535">
        <v>-202.39240000000001</v>
      </c>
      <c r="H9535">
        <v>1.0749799999999901</v>
      </c>
      <c r="I9535">
        <v>-58.536580000000001</v>
      </c>
      <c r="J9535">
        <v>-202.67330000000001</v>
      </c>
      <c r="K9535">
        <v>1.1305730000000001</v>
      </c>
      <c r="L9535">
        <v>-59.215699999999998</v>
      </c>
      <c r="M9535">
        <v>0.86470740000000001</v>
      </c>
      <c r="N9535">
        <v>-1.299584E-2</v>
      </c>
      <c r="O9535">
        <v>0.50210790000000005</v>
      </c>
      <c r="P9535">
        <v>0.62959379999999998</v>
      </c>
      <c r="Q9535">
        <v>0.11366039999999999</v>
      </c>
      <c r="R9535">
        <v>0.76856550000000001</v>
      </c>
      <c r="S9535">
        <v>1.5197909999999999</v>
      </c>
      <c r="T9535">
        <v>-0.19219079999999999</v>
      </c>
      <c r="U9535">
        <v>2.692841</v>
      </c>
      <c r="V9535">
        <v>-0.35130080000000002</v>
      </c>
      <c r="W9535">
        <v>0.1176604</v>
      </c>
      <c r="X9535">
        <v>0.92884</v>
      </c>
      <c r="Y9535">
        <v>-0.50579160000000001</v>
      </c>
      <c r="Z9535">
        <v>-7.0217609999999996E-3</v>
      </c>
      <c r="AA9535">
        <v>0.86262709999999998</v>
      </c>
      <c r="AB9535">
        <v>28</v>
      </c>
      <c r="AC9535">
        <v>0.28090000000000198</v>
      </c>
      <c r="AD9535">
        <v>-5.5593000000000198E-2</v>
      </c>
      <c r="AE9535">
        <v>0.67911999999998995</v>
      </c>
      <c r="AF9535">
        <v>-0.44369673957623001</v>
      </c>
      <c r="AG9535">
        <v>-5.5593000000000198E-2</v>
      </c>
      <c r="AH9535">
        <v>0.58061474040161698</v>
      </c>
      <c r="AI9535">
        <v>94.350551937839995</v>
      </c>
      <c r="AJ9535">
        <v>127.38649905455701</v>
      </c>
      <c r="AK9535">
        <v>0.732851182117635</v>
      </c>
      <c r="AL9535">
        <v>83.242903119598296</v>
      </c>
      <c r="AM9535">
        <v>110.71734718773099</v>
      </c>
      <c r="AN9535">
        <v>0.99999998370439902</v>
      </c>
    </row>
    <row r="9536" spans="1:40" x14ac:dyDescent="0.25">
      <c r="A9536" t="str">
        <f>"20190303162133551"</f>
        <v>20190303162133551</v>
      </c>
      <c r="B9536" t="str">
        <f>"1551601293541943"</f>
        <v>1551601293541943</v>
      </c>
      <c r="C9536" t="s">
        <v>40</v>
      </c>
      <c r="D9536">
        <v>4.9202300000000001</v>
      </c>
      <c r="E9536">
        <v>0.43124970000000001</v>
      </c>
      <c r="F9536" t="s">
        <v>42</v>
      </c>
      <c r="G9536">
        <v>-202.20699999999999</v>
      </c>
      <c r="H9536">
        <v>1.068022</v>
      </c>
      <c r="I9536">
        <v>-58.382199999999997</v>
      </c>
      <c r="J9536">
        <v>-202.51740000000001</v>
      </c>
      <c r="K9536">
        <v>1.1305449999999999</v>
      </c>
      <c r="L9536">
        <v>-59.115720000000003</v>
      </c>
      <c r="M9536">
        <v>0.86051149999999998</v>
      </c>
      <c r="N9536">
        <v>-1.299268E-2</v>
      </c>
      <c r="O9536">
        <v>0.50926539999999998</v>
      </c>
      <c r="P9536">
        <v>0.62356339999999999</v>
      </c>
      <c r="Q9536">
        <v>0.1135709</v>
      </c>
      <c r="R9536">
        <v>0.77347949999999999</v>
      </c>
      <c r="S9536">
        <v>1.508667</v>
      </c>
      <c r="T9536">
        <v>-0.20240349999999999</v>
      </c>
      <c r="U9536">
        <v>2.6974490000000002</v>
      </c>
      <c r="V9536">
        <v>-0.35085889999999997</v>
      </c>
      <c r="W9536">
        <v>0.117605</v>
      </c>
      <c r="X9536">
        <v>0.92901400000000001</v>
      </c>
      <c r="Y9536">
        <v>-0.50195179999999995</v>
      </c>
      <c r="Z9536">
        <v>-8.5379319999999998E-3</v>
      </c>
      <c r="AA9536">
        <v>0.86485339999999999</v>
      </c>
      <c r="AB9536">
        <v>28</v>
      </c>
      <c r="AC9536">
        <v>0.310400000000015</v>
      </c>
      <c r="AD9536">
        <v>-6.2523000000000106E-2</v>
      </c>
      <c r="AE9536">
        <v>0.73351999999999795</v>
      </c>
      <c r="AF9536">
        <v>-0.470268570094387</v>
      </c>
      <c r="AG9536">
        <v>-6.2523000000000106E-2</v>
      </c>
      <c r="AH9536">
        <v>0.63678932576167302</v>
      </c>
      <c r="AI9536">
        <v>94.5159403140931</v>
      </c>
      <c r="AJ9536">
        <v>126.44584756048</v>
      </c>
      <c r="AK9536">
        <v>0.79407952936190596</v>
      </c>
      <c r="AL9536">
        <v>83.246099323087904</v>
      </c>
      <c r="AM9536">
        <v>110.689948470822</v>
      </c>
      <c r="AN9536">
        <v>0.99999995796510399</v>
      </c>
    </row>
    <row r="9537" spans="1:40" x14ac:dyDescent="0.25">
      <c r="A9537" t="str">
        <f>"20190303162133567"</f>
        <v>20190303162133567</v>
      </c>
      <c r="B9537" t="str">
        <f>"1551601293561463"</f>
        <v>1551601293561463</v>
      </c>
      <c r="C9537" t="s">
        <v>40</v>
      </c>
      <c r="D9537">
        <v>4.859515</v>
      </c>
      <c r="E9537">
        <v>0.4326545</v>
      </c>
      <c r="F9537" t="s">
        <v>42</v>
      </c>
      <c r="G9537">
        <v>-202.0232</v>
      </c>
      <c r="H9537">
        <v>1.062764</v>
      </c>
      <c r="I9537">
        <v>-58.226170000000003</v>
      </c>
      <c r="J9537">
        <v>-202.3612</v>
      </c>
      <c r="K9537">
        <v>1.1305130000000001</v>
      </c>
      <c r="L9537">
        <v>-59.013979999999997</v>
      </c>
      <c r="M9537">
        <v>0.85624299999999998</v>
      </c>
      <c r="N9537">
        <v>-1.298903E-2</v>
      </c>
      <c r="O9537">
        <v>0.51640989999999998</v>
      </c>
      <c r="P9537">
        <v>0.61759969999999997</v>
      </c>
      <c r="Q9537">
        <v>0.1135365</v>
      </c>
      <c r="R9537">
        <v>0.77825449999999996</v>
      </c>
      <c r="S9537">
        <v>1.4998320000000001</v>
      </c>
      <c r="T9537">
        <v>-0.20570830000000001</v>
      </c>
      <c r="U9537">
        <v>2.6996769999999999</v>
      </c>
      <c r="V9537">
        <v>-0.35026049999999997</v>
      </c>
      <c r="W9537">
        <v>0.1176112</v>
      </c>
      <c r="X9537">
        <v>0.92923900000000004</v>
      </c>
      <c r="Y9537">
        <v>-0.49722050000000001</v>
      </c>
      <c r="Z9537">
        <v>-9.5237589999999997E-3</v>
      </c>
      <c r="AA9537">
        <v>0.86757189999999995</v>
      </c>
      <c r="AB9537">
        <v>28</v>
      </c>
      <c r="AC9537">
        <v>0.33799999999999297</v>
      </c>
      <c r="AD9537">
        <v>-6.7748999999999795E-2</v>
      </c>
      <c r="AE9537">
        <v>0.787810000000007</v>
      </c>
      <c r="AF9537">
        <v>-0.49694862830422698</v>
      </c>
      <c r="AG9537">
        <v>-6.7748999999999795E-2</v>
      </c>
      <c r="AH9537">
        <v>0.69197983700361898</v>
      </c>
      <c r="AI9537">
        <v>94.546799776057597</v>
      </c>
      <c r="AJ9537">
        <v>125.68419824340999</v>
      </c>
      <c r="AK9537">
        <v>0.85462504116952198</v>
      </c>
      <c r="AL9537">
        <v>83.245741659024901</v>
      </c>
      <c r="AM9537">
        <v>110.653063182286</v>
      </c>
      <c r="AN9537">
        <v>0.99999996567334404</v>
      </c>
    </row>
    <row r="9538" spans="1:40" x14ac:dyDescent="0.25">
      <c r="A9538" t="str">
        <f>"20190303162133580"</f>
        <v>20190303162133580</v>
      </c>
      <c r="B9538" t="str">
        <f>"1551601293572200"</f>
        <v>1551601293572200</v>
      </c>
      <c r="C9538" t="s">
        <v>40</v>
      </c>
      <c r="D9538">
        <v>4.8491299999999997</v>
      </c>
      <c r="E9538">
        <v>0.43352960000000001</v>
      </c>
      <c r="F9538" t="s">
        <v>42</v>
      </c>
      <c r="G9538">
        <v>-201.84100000000001</v>
      </c>
      <c r="H9538">
        <v>1.0571630000000001</v>
      </c>
      <c r="I9538">
        <v>-58.068640000000002</v>
      </c>
      <c r="J9538">
        <v>-202.20670000000001</v>
      </c>
      <c r="K9538">
        <v>1.130479</v>
      </c>
      <c r="L9538">
        <v>-58.911099999999998</v>
      </c>
      <c r="M9538">
        <v>0.85195399999999999</v>
      </c>
      <c r="N9538">
        <v>-1.298449E-2</v>
      </c>
      <c r="O9538">
        <v>0.52345559999999902</v>
      </c>
      <c r="P9538">
        <v>0.61266889999999996</v>
      </c>
      <c r="Q9538">
        <v>0.1132645</v>
      </c>
      <c r="R9538">
        <v>0.78218160000000003</v>
      </c>
      <c r="S9538">
        <v>1.4880519999999999</v>
      </c>
      <c r="T9538">
        <v>-0.20983560000000001</v>
      </c>
      <c r="U9538">
        <v>2.7044679999999999</v>
      </c>
      <c r="V9538">
        <v>-0.34848240000000003</v>
      </c>
      <c r="W9538">
        <v>0.11741269999999999</v>
      </c>
      <c r="X9538">
        <v>0.92993239999999999</v>
      </c>
      <c r="Y9538">
        <v>-0.49361440000000001</v>
      </c>
      <c r="Z9538">
        <v>-1.0553150000000001E-2</v>
      </c>
      <c r="AA9538">
        <v>0.86961679999999997</v>
      </c>
      <c r="AB9538">
        <v>28</v>
      </c>
      <c r="AC9538">
        <v>0.365700000000032</v>
      </c>
      <c r="AD9538">
        <v>-7.3316000000000103E-2</v>
      </c>
      <c r="AE9538">
        <v>0.84245999999999499</v>
      </c>
      <c r="AF9538">
        <v>-0.52302076464979896</v>
      </c>
      <c r="AG9538">
        <v>-7.3316000000000103E-2</v>
      </c>
      <c r="AH9538">
        <v>0.74784761017032597</v>
      </c>
      <c r="AI9538">
        <v>94.593167867685693</v>
      </c>
      <c r="AJ9538">
        <v>124.967714315686</v>
      </c>
      <c r="AK9538">
        <v>0.915533726384959</v>
      </c>
      <c r="AL9538">
        <v>83.257194432646202</v>
      </c>
      <c r="AM9538">
        <v>110.54295854384</v>
      </c>
      <c r="AN9538">
        <v>0.99999999690040497</v>
      </c>
    </row>
    <row r="9539" spans="1:40" x14ac:dyDescent="0.25">
      <c r="A9539" t="str">
        <f>"20190303162133593"</f>
        <v>20190303162133593</v>
      </c>
      <c r="B9539" t="str">
        <f>"1551601293581959"</f>
        <v>1551601293581959</v>
      </c>
      <c r="C9539" t="s">
        <v>40</v>
      </c>
      <c r="D9539">
        <v>4.9179959999999996</v>
      </c>
      <c r="E9539">
        <v>0.4342317</v>
      </c>
      <c r="F9539" t="s">
        <v>42</v>
      </c>
      <c r="G9539">
        <v>-201.78149999999999</v>
      </c>
      <c r="H9539">
        <v>1.06931</v>
      </c>
      <c r="I9539">
        <v>-58.130749999999999</v>
      </c>
      <c r="J9539">
        <v>-202.0831</v>
      </c>
      <c r="K9539">
        <v>1.1304540000000001</v>
      </c>
      <c r="L9539">
        <v>-58.827550000000002</v>
      </c>
      <c r="M9539">
        <v>0.84847939999999999</v>
      </c>
      <c r="N9539">
        <v>-1.298039E-2</v>
      </c>
      <c r="O9539">
        <v>0.52906929999999996</v>
      </c>
      <c r="P9539">
        <v>0.60830989999999996</v>
      </c>
      <c r="Q9539">
        <v>0.1129607</v>
      </c>
      <c r="R9539">
        <v>0.78562019999999899</v>
      </c>
      <c r="S9539">
        <v>1.4762420000000001</v>
      </c>
      <c r="T9539">
        <v>-0.21240439999999999</v>
      </c>
      <c r="U9539">
        <v>2.7098689999999999</v>
      </c>
      <c r="V9539">
        <v>-0.34753469999999997</v>
      </c>
      <c r="W9539">
        <v>0.1171546</v>
      </c>
      <c r="X9539">
        <v>0.93031949999999997</v>
      </c>
      <c r="Y9539">
        <v>-0.49152699999999999</v>
      </c>
      <c r="Z9539">
        <v>-1.1286869999999999E-2</v>
      </c>
      <c r="AA9539">
        <v>0.87078919999999904</v>
      </c>
      <c r="AB9539">
        <v>28</v>
      </c>
      <c r="AC9539">
        <v>0.30160000000000697</v>
      </c>
      <c r="AD9539">
        <v>-6.1143999999999997E-2</v>
      </c>
      <c r="AE9539">
        <v>0.69680000000000297</v>
      </c>
      <c r="AF9539">
        <v>-0.42890799841162602</v>
      </c>
      <c r="AG9539">
        <v>-6.1143999999999997E-2</v>
      </c>
      <c r="AH9539">
        <v>0.62058493572598805</v>
      </c>
      <c r="AI9539">
        <v>94.633813377782403</v>
      </c>
      <c r="AJ9539">
        <v>124.649709746163</v>
      </c>
      <c r="AK9539">
        <v>0.75685290663873095</v>
      </c>
      <c r="AL9539">
        <v>83.272085061464097</v>
      </c>
      <c r="AM9539">
        <v>110.48392281282101</v>
      </c>
      <c r="AN9539">
        <v>0.99999997004274899</v>
      </c>
    </row>
    <row r="9540" spans="1:40" x14ac:dyDescent="0.25">
      <c r="A9540" t="str">
        <f>"20190303162133606"</f>
        <v>20190303162133606</v>
      </c>
      <c r="B9540" t="str">
        <f>"1551601293601478"</f>
        <v>1551601293601478</v>
      </c>
      <c r="C9540" t="s">
        <v>40</v>
      </c>
      <c r="D9540">
        <v>4.9644050000000002</v>
      </c>
      <c r="E9540">
        <v>0.43501139999999999</v>
      </c>
      <c r="F9540" t="s">
        <v>42</v>
      </c>
      <c r="G9540">
        <v>-201.61340000000001</v>
      </c>
      <c r="H9540">
        <v>1.0621389999999999</v>
      </c>
      <c r="I9540">
        <v>-57.957450000000001</v>
      </c>
      <c r="J9540">
        <v>-201.95750000000001</v>
      </c>
      <c r="K9540">
        <v>1.1304270000000001</v>
      </c>
      <c r="L9540">
        <v>-58.741909999999997</v>
      </c>
      <c r="M9540">
        <v>0.84490689999999902</v>
      </c>
      <c r="N9540">
        <v>-1.297617E-2</v>
      </c>
      <c r="O9540">
        <v>0.53475600000000001</v>
      </c>
      <c r="P9540">
        <v>0.60395529999999997</v>
      </c>
      <c r="Q9540">
        <v>0.1130418</v>
      </c>
      <c r="R9540">
        <v>0.78896109999999997</v>
      </c>
      <c r="S9540">
        <v>1.4653929999999999</v>
      </c>
      <c r="T9540">
        <v>-0.2131392</v>
      </c>
      <c r="U9540">
        <v>2.7146300000000001</v>
      </c>
      <c r="V9540">
        <v>-0.34641470000000002</v>
      </c>
      <c r="W9540">
        <v>0.1172858</v>
      </c>
      <c r="X9540">
        <v>0.93072060000000001</v>
      </c>
      <c r="Y9540">
        <v>-0.48902060000000003</v>
      </c>
      <c r="Z9540">
        <v>-1.1871349999999999E-2</v>
      </c>
      <c r="AA9540">
        <v>0.87219139999999995</v>
      </c>
      <c r="AB9540">
        <v>28</v>
      </c>
      <c r="AC9540">
        <v>0.34409999999999702</v>
      </c>
      <c r="AD9540">
        <v>-6.8288000000000099E-2</v>
      </c>
      <c r="AE9540">
        <v>0.78445999999999505</v>
      </c>
      <c r="AF9540">
        <v>-0.47580266656048398</v>
      </c>
      <c r="AG9540">
        <v>-6.8288000000000099E-2</v>
      </c>
      <c r="AH9540">
        <v>0.705801516653904</v>
      </c>
      <c r="AI9540">
        <v>94.586754765288404</v>
      </c>
      <c r="AJ9540">
        <v>123.98513006984</v>
      </c>
      <c r="AK9540">
        <v>0.85393630287101596</v>
      </c>
      <c r="AL9540">
        <v>83.264515665901101</v>
      </c>
      <c r="AM9540">
        <v>110.41529318278801</v>
      </c>
      <c r="AN9540">
        <v>0.99999996926104395</v>
      </c>
    </row>
    <row r="9541" spans="1:40" x14ac:dyDescent="0.25">
      <c r="A9541" t="str">
        <f>"20190303162133617"</f>
        <v>20190303162133617</v>
      </c>
      <c r="B9541" t="str">
        <f>"1551601293612214"</f>
        <v>1551601293612214</v>
      </c>
      <c r="C9541" t="s">
        <v>40</v>
      </c>
      <c r="D9541">
        <v>4.8646159999999998</v>
      </c>
      <c r="E9541">
        <v>0.43582660000000001</v>
      </c>
      <c r="F9541" t="s">
        <v>42</v>
      </c>
      <c r="G9541">
        <v>-201.4451</v>
      </c>
      <c r="H9541">
        <v>1.0549660000000001</v>
      </c>
      <c r="I9541">
        <v>-57.785069999999997</v>
      </c>
      <c r="J9541">
        <v>-201.8357</v>
      </c>
      <c r="K9541">
        <v>1.130401</v>
      </c>
      <c r="L9541">
        <v>-58.656950000000002</v>
      </c>
      <c r="M9541">
        <v>0.84139920000000001</v>
      </c>
      <c r="N9541">
        <v>-1.2971430000000001E-2</v>
      </c>
      <c r="O9541">
        <v>0.54025849999999997</v>
      </c>
      <c r="P9541">
        <v>0.59942689999999998</v>
      </c>
      <c r="Q9541">
        <v>0.11343689999999999</v>
      </c>
      <c r="R9541">
        <v>0.79235059999999902</v>
      </c>
      <c r="S9541">
        <v>1.4556579999999999</v>
      </c>
      <c r="T9541">
        <v>-0.21440329999999999</v>
      </c>
      <c r="U9541">
        <v>2.7188720000000002</v>
      </c>
      <c r="V9541">
        <v>-0.34562310000000002</v>
      </c>
      <c r="W9541">
        <v>0.11772050000000001</v>
      </c>
      <c r="X9541">
        <v>0.93096000000000001</v>
      </c>
      <c r="Y9541">
        <v>-0.48632999999999998</v>
      </c>
      <c r="Z9541">
        <v>-1.250948E-2</v>
      </c>
      <c r="AA9541">
        <v>0.87368570000000001</v>
      </c>
      <c r="AB9541">
        <v>28</v>
      </c>
      <c r="AC9541">
        <v>0.390600000000006</v>
      </c>
      <c r="AD9541">
        <v>-7.5434999999999905E-2</v>
      </c>
      <c r="AE9541">
        <v>0.87188000000000399</v>
      </c>
      <c r="AF9541">
        <v>-0.51938006038268703</v>
      </c>
      <c r="AG9541">
        <v>-7.5434999999999905E-2</v>
      </c>
      <c r="AH9541">
        <v>0.794803196404271</v>
      </c>
      <c r="AI9541">
        <v>94.542648148120804</v>
      </c>
      <c r="AJ9541">
        <v>123.163412261281</v>
      </c>
      <c r="AK9541">
        <v>0.95244853265810203</v>
      </c>
      <c r="AL9541">
        <v>83.239435536421695</v>
      </c>
      <c r="AM9541">
        <v>110.367670868348</v>
      </c>
      <c r="AN9541">
        <v>0.99999998248692901</v>
      </c>
    </row>
    <row r="9542" spans="1:40" x14ac:dyDescent="0.25">
      <c r="A9542" t="str">
        <f>"20190303162133629"</f>
        <v>20190303162133629</v>
      </c>
      <c r="B9542" t="str">
        <f>"1551601293621974"</f>
        <v>1551601293621974</v>
      </c>
      <c r="C9542" t="s">
        <v>40</v>
      </c>
      <c r="D9542">
        <v>4.9294449999999896</v>
      </c>
      <c r="E9542">
        <v>0.43621179999999898</v>
      </c>
      <c r="F9542" t="s">
        <v>42</v>
      </c>
      <c r="G9542">
        <v>-201.39789999999999</v>
      </c>
      <c r="H9542">
        <v>1.066109</v>
      </c>
      <c r="I9542">
        <v>-57.832189999999997</v>
      </c>
      <c r="J9542">
        <v>-201.71340000000001</v>
      </c>
      <c r="K9542">
        <v>1.1303780000000001</v>
      </c>
      <c r="L9542">
        <v>-58.571010000000001</v>
      </c>
      <c r="M9542">
        <v>0.83784199999999998</v>
      </c>
      <c r="N9542">
        <v>-1.296668E-2</v>
      </c>
      <c r="O9542">
        <v>0.54575879999999999</v>
      </c>
      <c r="P9542">
        <v>0.59491229999999995</v>
      </c>
      <c r="Q9542">
        <v>0.11392910000000001</v>
      </c>
      <c r="R9542">
        <v>0.79567549999999998</v>
      </c>
      <c r="S9542">
        <v>1.444977</v>
      </c>
      <c r="T9542">
        <v>-0.21227679999999999</v>
      </c>
      <c r="U9542">
        <v>2.7234500000000001</v>
      </c>
      <c r="V9542">
        <v>-0.34476059999999997</v>
      </c>
      <c r="W9542">
        <v>0.1182537</v>
      </c>
      <c r="X9542">
        <v>0.93121220000000005</v>
      </c>
      <c r="Y9542">
        <v>-0.48390319999999998</v>
      </c>
      <c r="Z9542">
        <v>-1.2782689999999999E-2</v>
      </c>
      <c r="AA9542">
        <v>0.87502819999999903</v>
      </c>
      <c r="AB9542">
        <v>28</v>
      </c>
      <c r="AC9542">
        <v>0.31550000000001399</v>
      </c>
      <c r="AD9542">
        <v>-6.4269000000000104E-2</v>
      </c>
      <c r="AE9542">
        <v>0.73881999999999604</v>
      </c>
      <c r="AF9542">
        <v>-0.44402335688538502</v>
      </c>
      <c r="AG9542">
        <v>-6.4269000000000104E-2</v>
      </c>
      <c r="AH9542">
        <v>0.663367263329524</v>
      </c>
      <c r="AI9542">
        <v>94.603054803782499</v>
      </c>
      <c r="AJ9542">
        <v>123.796282963385</v>
      </c>
      <c r="AK9542">
        <v>0.800839167297697</v>
      </c>
      <c r="AL9542">
        <v>83.208670554456603</v>
      </c>
      <c r="AM9542">
        <v>110.31595079276499</v>
      </c>
      <c r="AN9542">
        <v>0.99999998515244404</v>
      </c>
    </row>
    <row r="9543" spans="1:40" x14ac:dyDescent="0.25">
      <c r="A9543" t="str">
        <f>"20190303162133642"</f>
        <v>20190303162133642</v>
      </c>
      <c r="B9543" t="str">
        <f>"1551601293631735"</f>
        <v>1551601293631735</v>
      </c>
      <c r="C9543" t="s">
        <v>40</v>
      </c>
      <c r="D9543">
        <v>4.9448559999999997</v>
      </c>
      <c r="E9543">
        <v>0.43686259999999999</v>
      </c>
      <c r="F9543" t="s">
        <v>42</v>
      </c>
      <c r="G9543">
        <v>-201.23320000000001</v>
      </c>
      <c r="H9543">
        <v>1.0600959999999999</v>
      </c>
      <c r="I9543">
        <v>-57.655790000000003</v>
      </c>
      <c r="J9543">
        <v>-201.57849999999999</v>
      </c>
      <c r="K9543">
        <v>1.1303510000000001</v>
      </c>
      <c r="L9543">
        <v>-58.474789999999999</v>
      </c>
      <c r="M9543">
        <v>0.83386870000000002</v>
      </c>
      <c r="N9543">
        <v>-1.2961139999999999E-2</v>
      </c>
      <c r="O9543">
        <v>0.55181059999999904</v>
      </c>
      <c r="P9543">
        <v>0.58992519999999904</v>
      </c>
      <c r="Q9543">
        <v>0.1144993</v>
      </c>
      <c r="R9543">
        <v>0.79929849999999902</v>
      </c>
      <c r="S9543">
        <v>1.4319759999999999</v>
      </c>
      <c r="T9543">
        <v>-0.20960190000000001</v>
      </c>
      <c r="U9543">
        <v>2.7297060000000002</v>
      </c>
      <c r="V9543">
        <v>-0.34377669999999999</v>
      </c>
      <c r="W9543">
        <v>0.11886969999999999</v>
      </c>
      <c r="X9543">
        <v>0.93149749999999998</v>
      </c>
      <c r="Y9543">
        <v>-0.48167710000000002</v>
      </c>
      <c r="Z9543">
        <v>-1.301267E-2</v>
      </c>
      <c r="AA9543">
        <v>0.87625219999999904</v>
      </c>
      <c r="AB9543">
        <v>28</v>
      </c>
      <c r="AC9543">
        <v>0.34529999999998001</v>
      </c>
      <c r="AD9543">
        <v>-7.0255000000000095E-2</v>
      </c>
      <c r="AE9543">
        <v>0.81900000000000195</v>
      </c>
      <c r="AF9543">
        <v>-0.48938205498950699</v>
      </c>
      <c r="AG9543">
        <v>-7.0255000000000095E-2</v>
      </c>
      <c r="AH9543">
        <v>0.73533564674748897</v>
      </c>
      <c r="AI9543">
        <v>94.547575171882997</v>
      </c>
      <c r="AJ9543">
        <v>123.644639087107</v>
      </c>
      <c r="AK9543">
        <v>0.88608638074868395</v>
      </c>
      <c r="AL9543">
        <v>83.173125805801703</v>
      </c>
      <c r="AM9543">
        <v>110.25699083832301</v>
      </c>
      <c r="AN9543">
        <v>1.0000000087736101</v>
      </c>
    </row>
    <row r="9544" spans="1:40" x14ac:dyDescent="0.25">
      <c r="A9544" t="str">
        <f>"20190303162133660"</f>
        <v>20190303162133660</v>
      </c>
      <c r="B9544" t="str">
        <f>"1551601293652231"</f>
        <v>1551601293652231</v>
      </c>
      <c r="C9544" t="s">
        <v>40</v>
      </c>
      <c r="D9544">
        <v>4.9336279999999997</v>
      </c>
      <c r="E9544">
        <v>0.4381911</v>
      </c>
      <c r="F9544" t="s">
        <v>42</v>
      </c>
      <c r="G9544">
        <v>-201.17930000000001</v>
      </c>
      <c r="H9544">
        <v>1.0716810000000001</v>
      </c>
      <c r="I9544">
        <v>-57.705530000000003</v>
      </c>
      <c r="J9544">
        <v>-201.4109</v>
      </c>
      <c r="K9544">
        <v>1.1303299999999901</v>
      </c>
      <c r="L9544">
        <v>-58.352939999999997</v>
      </c>
      <c r="M9544">
        <v>0.82886029999999999</v>
      </c>
      <c r="N9544">
        <v>-1.295407E-2</v>
      </c>
      <c r="O9544">
        <v>0.55930570000000002</v>
      </c>
      <c r="P9544">
        <v>0.58453429999999995</v>
      </c>
      <c r="Q9544">
        <v>0.1162753</v>
      </c>
      <c r="R9544">
        <v>0.80299419999999899</v>
      </c>
      <c r="S9544">
        <v>1.419373</v>
      </c>
      <c r="T9544">
        <v>-0.2086191</v>
      </c>
      <c r="U9544">
        <v>2.7355960000000001</v>
      </c>
      <c r="V9544">
        <v>-0.34145999999999999</v>
      </c>
      <c r="W9544">
        <v>0.12072919999999999</v>
      </c>
      <c r="X9544">
        <v>0.93211029999999995</v>
      </c>
      <c r="Y9544">
        <v>-0.47774420000000001</v>
      </c>
      <c r="Z9544">
        <v>-1.3587800000000001E-2</v>
      </c>
      <c r="AA9544">
        <v>0.87839389999999995</v>
      </c>
      <c r="AB9544">
        <v>28</v>
      </c>
      <c r="AC9544">
        <v>0.23159999999998601</v>
      </c>
      <c r="AD9544">
        <v>-5.8648999999999903E-2</v>
      </c>
      <c r="AE9544">
        <v>0.64741000000000004</v>
      </c>
      <c r="AF9544">
        <v>-0.40417084110019003</v>
      </c>
      <c r="AG9544">
        <v>-5.8648999999999903E-2</v>
      </c>
      <c r="AH9544">
        <v>0.55010830210754502</v>
      </c>
      <c r="AI9544">
        <v>94.910633826216994</v>
      </c>
      <c r="AJ9544">
        <v>126.30514915674</v>
      </c>
      <c r="AK9544">
        <v>0.68513715272511799</v>
      </c>
      <c r="AL9544">
        <v>83.0658116493492</v>
      </c>
      <c r="AM9544">
        <v>110.119299863471</v>
      </c>
      <c r="AN9544">
        <v>1.0000000413493599</v>
      </c>
    </row>
    <row r="9545" spans="1:40" x14ac:dyDescent="0.25">
      <c r="A9545" t="str">
        <f>"20190303162133672"</f>
        <v>20190303162133672</v>
      </c>
      <c r="B9545" t="str">
        <f>"1551601293661990"</f>
        <v>1551601293661990</v>
      </c>
      <c r="C9545" t="s">
        <v>40</v>
      </c>
      <c r="D9545">
        <v>4.9840350000000004</v>
      </c>
      <c r="E9545">
        <v>0.43856859999999998</v>
      </c>
      <c r="F9545" t="s">
        <v>42</v>
      </c>
      <c r="G9545">
        <v>-200.99690000000001</v>
      </c>
      <c r="H9545">
        <v>1.0716570000000001</v>
      </c>
      <c r="I9545">
        <v>-57.548369999999998</v>
      </c>
      <c r="J9545">
        <v>-201.2843</v>
      </c>
      <c r="K9545">
        <v>1.130306</v>
      </c>
      <c r="L9545">
        <v>-58.259430000000002</v>
      </c>
      <c r="M9545">
        <v>0.82502509999999996</v>
      </c>
      <c r="N9545">
        <v>-1.294871E-2</v>
      </c>
      <c r="O9545">
        <v>0.56494769999999905</v>
      </c>
      <c r="P9545">
        <v>0.58006340000000001</v>
      </c>
      <c r="Q9545">
        <v>0.1172919</v>
      </c>
      <c r="R9545">
        <v>0.80608250000000004</v>
      </c>
      <c r="S9545">
        <v>1.4092559999999901</v>
      </c>
      <c r="T9545">
        <v>-0.19975029999999999</v>
      </c>
      <c r="U9545">
        <v>2.7391049999999999</v>
      </c>
      <c r="V9545">
        <v>-0.34017129999999901</v>
      </c>
      <c r="W9545">
        <v>0.1217961</v>
      </c>
      <c r="X9545">
        <v>0.93244260000000001</v>
      </c>
      <c r="Y9545">
        <v>-0.47479890000000002</v>
      </c>
      <c r="Z9545">
        <v>-1.308602E-2</v>
      </c>
      <c r="AA9545">
        <v>0.87999699999999903</v>
      </c>
      <c r="AB9545">
        <v>28</v>
      </c>
      <c r="AC9545">
        <v>0.287399999999991</v>
      </c>
      <c r="AD9545">
        <v>-5.8648999999999903E-2</v>
      </c>
      <c r="AE9545">
        <v>0.71106000000000302</v>
      </c>
      <c r="AF9545">
        <v>-0.421845089202879</v>
      </c>
      <c r="AG9545">
        <v>-5.8648999999999903E-2</v>
      </c>
      <c r="AH9545">
        <v>0.63516318449465103</v>
      </c>
      <c r="AI9545">
        <v>94.398421338992705</v>
      </c>
      <c r="AJ9545">
        <v>123.590216065837</v>
      </c>
      <c r="AK9545">
        <v>0.76473868440335302</v>
      </c>
      <c r="AL9545">
        <v>83.004228053843505</v>
      </c>
      <c r="AM9545">
        <v>110.04285017394901</v>
      </c>
      <c r="AN9545">
        <v>1.0000000028068201</v>
      </c>
    </row>
    <row r="9546" spans="1:40" x14ac:dyDescent="0.25">
      <c r="A9546" t="str">
        <f>"20190303162133684"</f>
        <v>20190303162133684</v>
      </c>
      <c r="B9546" t="str">
        <f>"1551601293671751"</f>
        <v>1551601293671751</v>
      </c>
      <c r="C9546" t="s">
        <v>40</v>
      </c>
      <c r="D9546">
        <v>4.920388</v>
      </c>
      <c r="E9546">
        <v>0.4391659</v>
      </c>
      <c r="F9546" t="s">
        <v>42</v>
      </c>
      <c r="G9546">
        <v>-200.83260000000001</v>
      </c>
      <c r="H9546">
        <v>1.0671999999999999</v>
      </c>
      <c r="I9546">
        <v>-57.371229999999997</v>
      </c>
      <c r="J9546">
        <v>-201.15880000000001</v>
      </c>
      <c r="K9546">
        <v>1.130287</v>
      </c>
      <c r="L9546">
        <v>-58.165889999999997</v>
      </c>
      <c r="M9546">
        <v>0.82118449999999998</v>
      </c>
      <c r="N9546">
        <v>-1.294351E-2</v>
      </c>
      <c r="O9546">
        <v>0.57051600000000002</v>
      </c>
      <c r="P9546">
        <v>0.57596729999999996</v>
      </c>
      <c r="Q9546">
        <v>0.1179224</v>
      </c>
      <c r="R9546">
        <v>0.80892280000000005</v>
      </c>
      <c r="S9546">
        <v>1.3960109999999999</v>
      </c>
      <c r="T9546">
        <v>-0.19506680000000001</v>
      </c>
      <c r="U9546">
        <v>2.745514</v>
      </c>
      <c r="V9546">
        <v>-0.33852159999999998</v>
      </c>
      <c r="W9546">
        <v>0.1224861</v>
      </c>
      <c r="X9546">
        <v>0.93295249999999996</v>
      </c>
      <c r="Y9546">
        <v>-0.47306500000000001</v>
      </c>
      <c r="Z9546">
        <v>-1.297156E-2</v>
      </c>
      <c r="AA9546">
        <v>0.88093199999999905</v>
      </c>
      <c r="AB9546">
        <v>28</v>
      </c>
      <c r="AC9546">
        <v>0.32619999999999999</v>
      </c>
      <c r="AD9546">
        <v>-6.3087000000000101E-2</v>
      </c>
      <c r="AE9546">
        <v>0.79466000000000003</v>
      </c>
      <c r="AF9546">
        <v>-0.46399656625575603</v>
      </c>
      <c r="AG9546">
        <v>-6.3087000000000101E-2</v>
      </c>
      <c r="AH9546">
        <v>0.71742744812659298</v>
      </c>
      <c r="AI9546">
        <v>94.222942533570304</v>
      </c>
      <c r="AJ9546">
        <v>122.892789359936</v>
      </c>
      <c r="AK9546">
        <v>0.856723366315853</v>
      </c>
      <c r="AL9546">
        <v>82.964396013407907</v>
      </c>
      <c r="AM9546">
        <v>109.94329144576599</v>
      </c>
      <c r="AN9546">
        <v>1.000000042808</v>
      </c>
    </row>
    <row r="9547" spans="1:40" x14ac:dyDescent="0.25">
      <c r="A9547" t="str">
        <f>"20190303162133698"</f>
        <v>20190303162133698</v>
      </c>
      <c r="B9547" t="str">
        <f>"1551601293692246"</f>
        <v>1551601293692246</v>
      </c>
      <c r="C9547" t="s">
        <v>40</v>
      </c>
      <c r="D9547">
        <v>5.0715919999999999</v>
      </c>
      <c r="E9547">
        <v>0.44045620000000002</v>
      </c>
      <c r="F9547" t="s">
        <v>42</v>
      </c>
      <c r="G9547">
        <v>-200.7492</v>
      </c>
      <c r="H9547">
        <v>1.07283</v>
      </c>
      <c r="I9547">
        <v>-57.353110000000001</v>
      </c>
      <c r="J9547">
        <v>-201.02950000000001</v>
      </c>
      <c r="K9547">
        <v>1.1302650000000001</v>
      </c>
      <c r="L9547">
        <v>-58.067410000000002</v>
      </c>
      <c r="M9547">
        <v>0.81717580000000001</v>
      </c>
      <c r="N9547">
        <v>-1.2937860000000001E-2</v>
      </c>
      <c r="O9547">
        <v>0.57624339999999996</v>
      </c>
      <c r="P9547">
        <v>0.57204960000000005</v>
      </c>
      <c r="Q9547">
        <v>0.1184233</v>
      </c>
      <c r="R9547">
        <v>0.81162509999999999</v>
      </c>
      <c r="S9547">
        <v>1.3858950000000001</v>
      </c>
      <c r="T9547">
        <v>-0.19441059999999999</v>
      </c>
      <c r="U9547">
        <v>2.7501829999999998</v>
      </c>
      <c r="V9547">
        <v>-0.33645000000000003</v>
      </c>
      <c r="W9547">
        <v>0.12305820000000001</v>
      </c>
      <c r="X9547">
        <v>0.93362630000000002</v>
      </c>
      <c r="Y9547">
        <v>-0.47010109999999999</v>
      </c>
      <c r="Z9547">
        <v>-1.337615E-2</v>
      </c>
      <c r="AA9547">
        <v>0.88251119999999905</v>
      </c>
      <c r="AB9547">
        <v>28</v>
      </c>
      <c r="AC9547">
        <v>0.28030000000001098</v>
      </c>
      <c r="AD9547">
        <v>-5.7434999999999903E-2</v>
      </c>
      <c r="AE9547">
        <v>0.71429999999999405</v>
      </c>
      <c r="AF9547">
        <v>-0.41987058601021898</v>
      </c>
      <c r="AG9547">
        <v>-5.7434999999999903E-2</v>
      </c>
      <c r="AH9547">
        <v>0.63714892029819503</v>
      </c>
      <c r="AI9547">
        <v>94.304535755640799</v>
      </c>
      <c r="AJ9547">
        <v>123.384220533036</v>
      </c>
      <c r="AK9547">
        <v>0.76521162749838001</v>
      </c>
      <c r="AL9547">
        <v>82.931366896725294</v>
      </c>
      <c r="AM9547">
        <v>109.81759193700501</v>
      </c>
      <c r="AN9547">
        <v>0.99999999556946495</v>
      </c>
    </row>
    <row r="9548" spans="1:40" x14ac:dyDescent="0.25">
      <c r="A9548" t="str">
        <f>"20190303162133716"</f>
        <v>20190303162133716</v>
      </c>
      <c r="B9548" t="str">
        <f>"1551601293702007"</f>
        <v>1551601293702007</v>
      </c>
      <c r="C9548" t="s">
        <v>40</v>
      </c>
      <c r="D9548">
        <v>5.0254279999999998</v>
      </c>
      <c r="E9548">
        <v>0.44070229999999999</v>
      </c>
      <c r="F9548" t="s">
        <v>42</v>
      </c>
      <c r="G9548">
        <v>-200.6156</v>
      </c>
      <c r="H9548">
        <v>1.073413</v>
      </c>
      <c r="I9548">
        <v>-57.242870000000003</v>
      </c>
      <c r="J9548">
        <v>-200.85419999999999</v>
      </c>
      <c r="K9548">
        <v>1.1302430000000001</v>
      </c>
      <c r="L9548">
        <v>-57.932009999999998</v>
      </c>
      <c r="M9548">
        <v>0.81166179999999999</v>
      </c>
      <c r="N9548">
        <v>-1.2930270000000001E-2</v>
      </c>
      <c r="O9548">
        <v>0.58398450000000002</v>
      </c>
      <c r="P9548">
        <v>0.56695769999999901</v>
      </c>
      <c r="Q9548">
        <v>0.11947140000000001</v>
      </c>
      <c r="R9548">
        <v>0.81503719999999902</v>
      </c>
      <c r="S9548">
        <v>1.3805540000000001</v>
      </c>
      <c r="T9548">
        <v>-0.18963669999999999</v>
      </c>
      <c r="U9548">
        <v>2.7509160000000001</v>
      </c>
      <c r="V9548">
        <v>-0.3333024</v>
      </c>
      <c r="W9548">
        <v>0.1242099</v>
      </c>
      <c r="X9548">
        <v>0.9346023</v>
      </c>
      <c r="Y9548">
        <v>-0.4631884</v>
      </c>
      <c r="Z9548">
        <v>-1.354935E-2</v>
      </c>
      <c r="AA9548">
        <v>0.88615630000000001</v>
      </c>
      <c r="AB9548">
        <v>28</v>
      </c>
      <c r="AC9548">
        <v>0.23859999999999101</v>
      </c>
      <c r="AD9548">
        <v>-5.6830000000000103E-2</v>
      </c>
      <c r="AE9548">
        <v>0.68914000000000097</v>
      </c>
      <c r="AF9548">
        <v>-0.41750968526591498</v>
      </c>
      <c r="AG9548">
        <v>-5.6830000000000103E-2</v>
      </c>
      <c r="AH9548">
        <v>0.59256107561336302</v>
      </c>
      <c r="AI9548">
        <v>94.4828071671011</v>
      </c>
      <c r="AJ9548">
        <v>125.16795275454</v>
      </c>
      <c r="AK9548">
        <v>0.727098765315215</v>
      </c>
      <c r="AL9548">
        <v>82.864869369591702</v>
      </c>
      <c r="AM9548">
        <v>109.627497266265</v>
      </c>
      <c r="AN9548">
        <v>1.0000000241345199</v>
      </c>
    </row>
    <row r="9549" spans="1:40" x14ac:dyDescent="0.25">
      <c r="A9549" t="str">
        <f>"20190303162133738"</f>
        <v>20190303162133738</v>
      </c>
      <c r="B9549" t="str">
        <f>"1551601293732262"</f>
        <v>1551601293732262</v>
      </c>
      <c r="C9549" t="s">
        <v>40</v>
      </c>
      <c r="D9549">
        <v>4.9685240000000004</v>
      </c>
      <c r="E9549">
        <v>0.44230370000000002</v>
      </c>
      <c r="F9549" t="s">
        <v>42</v>
      </c>
      <c r="G9549">
        <v>-200.4333</v>
      </c>
      <c r="H9549">
        <v>1.0727469999999999</v>
      </c>
      <c r="I9549">
        <v>-57.081629999999997</v>
      </c>
      <c r="J9549">
        <v>-200.6404</v>
      </c>
      <c r="K9549">
        <v>1.1302110000000001</v>
      </c>
      <c r="L9549">
        <v>-57.763489999999997</v>
      </c>
      <c r="M9549">
        <v>0.80481720000000001</v>
      </c>
      <c r="N9549">
        <v>-1.292109E-2</v>
      </c>
      <c r="O9549">
        <v>0.59338219999999997</v>
      </c>
      <c r="P9549">
        <v>0.55949289999999996</v>
      </c>
      <c r="Q9549">
        <v>0.1207077</v>
      </c>
      <c r="R9549">
        <v>0.81999840000000002</v>
      </c>
      <c r="S9549">
        <v>1.3651279999999999</v>
      </c>
      <c r="T9549">
        <v>-0.186499</v>
      </c>
      <c r="U9549">
        <v>2.758575</v>
      </c>
      <c r="V9549">
        <v>-0.3308333</v>
      </c>
      <c r="W9549">
        <v>0.12553419999999901</v>
      </c>
      <c r="X9549">
        <v>0.93530230000000003</v>
      </c>
      <c r="Y9549">
        <v>-0.45785779999999898</v>
      </c>
      <c r="Z9549">
        <v>-1.3924580000000001E-2</v>
      </c>
      <c r="AA9549">
        <v>0.88891640000000005</v>
      </c>
      <c r="AB9549">
        <v>28</v>
      </c>
      <c r="AC9549">
        <v>0.20709999999999601</v>
      </c>
      <c r="AD9549">
        <v>-5.7464000000000098E-2</v>
      </c>
      <c r="AE9549">
        <v>0.68186000000000002</v>
      </c>
      <c r="AF9549">
        <v>-0.42316709879955</v>
      </c>
      <c r="AG9549">
        <v>-5.7464000000000098E-2</v>
      </c>
      <c r="AH9549">
        <v>0.56763783810493196</v>
      </c>
      <c r="AI9549">
        <v>94.640086210273495</v>
      </c>
      <c r="AJ9549">
        <v>126.704080776604</v>
      </c>
      <c r="AK9549">
        <v>0.71034162207410401</v>
      </c>
      <c r="AL9549">
        <v>82.788393443717396</v>
      </c>
      <c r="AM9549">
        <v>109.479605923973</v>
      </c>
      <c r="AN9549">
        <v>0.99999995007190801</v>
      </c>
    </row>
    <row r="9550" spans="1:40" x14ac:dyDescent="0.25">
      <c r="A9550" t="str">
        <f>"20190303162133752"</f>
        <v>20190303162133752</v>
      </c>
      <c r="B9550" t="str">
        <f>"1551601293742022"</f>
        <v>1551601293742022</v>
      </c>
      <c r="C9550" t="s">
        <v>40</v>
      </c>
      <c r="D9550">
        <v>4.887448</v>
      </c>
      <c r="E9550">
        <v>0.44284220000000002</v>
      </c>
      <c r="F9550" t="s">
        <v>42</v>
      </c>
      <c r="G9550">
        <v>-200.2345</v>
      </c>
      <c r="H9550">
        <v>1.075496</v>
      </c>
      <c r="I9550">
        <v>-56.933190000000003</v>
      </c>
      <c r="J9550">
        <v>-200.49760000000001</v>
      </c>
      <c r="K9550">
        <v>1.1301920000000001</v>
      </c>
      <c r="L9550">
        <v>-57.648589999999999</v>
      </c>
      <c r="M9550">
        <v>0.8001644</v>
      </c>
      <c r="N9550">
        <v>-1.291516E-2</v>
      </c>
      <c r="O9550">
        <v>0.59964169999999895</v>
      </c>
      <c r="P9550">
        <v>0.55414549999999996</v>
      </c>
      <c r="Q9550">
        <v>0.12142989999999999</v>
      </c>
      <c r="R9550">
        <v>0.82351540000000001</v>
      </c>
      <c r="S9550">
        <v>1.3506929999999999</v>
      </c>
      <c r="T9550">
        <v>-0.18209900000000001</v>
      </c>
      <c r="U9550">
        <v>2.7637330000000002</v>
      </c>
      <c r="V9550">
        <v>-0.32954509999999998</v>
      </c>
      <c r="W9550">
        <v>0.12630479999999999</v>
      </c>
      <c r="X9550">
        <v>0.93565330000000002</v>
      </c>
      <c r="Y9550">
        <v>-0.45533679999999899</v>
      </c>
      <c r="Z9550">
        <v>-1.383176E-2</v>
      </c>
      <c r="AA9550">
        <v>0.8902118</v>
      </c>
      <c r="AB9550">
        <v>28</v>
      </c>
      <c r="AC9550">
        <v>0.26310000000000799</v>
      </c>
      <c r="AD9550">
        <v>-5.4696000000000002E-2</v>
      </c>
      <c r="AE9550">
        <v>0.71540000000000203</v>
      </c>
      <c r="AF9550">
        <v>-0.41258208534672403</v>
      </c>
      <c r="AG9550">
        <v>-5.4696000000000002E-2</v>
      </c>
      <c r="AH9550">
        <v>0.63628404399332505</v>
      </c>
      <c r="AI9550">
        <v>94.125362901615404</v>
      </c>
      <c r="AJ9550">
        <v>122.96035858798</v>
      </c>
      <c r="AK9550">
        <v>0.760311129870892</v>
      </c>
      <c r="AL9550">
        <v>82.743887329032802</v>
      </c>
      <c r="AM9550">
        <v>109.402699968829</v>
      </c>
      <c r="AN9550">
        <v>0.99999998661896905</v>
      </c>
    </row>
    <row r="9551" spans="1:40" x14ac:dyDescent="0.25">
      <c r="A9551" t="str">
        <f>"20190303162133766"</f>
        <v>20190303162133766</v>
      </c>
      <c r="B9551" t="str">
        <f>"1551601293761542"</f>
        <v>1551601293761542</v>
      </c>
      <c r="C9551" t="s">
        <v>40</v>
      </c>
      <c r="D9551">
        <v>5.0159500000000001</v>
      </c>
      <c r="E9551">
        <v>0.44369209999999898</v>
      </c>
      <c r="F9551" t="s">
        <v>42</v>
      </c>
      <c r="G9551">
        <v>-200.0684</v>
      </c>
      <c r="H9551">
        <v>1.072335</v>
      </c>
      <c r="I9551">
        <v>-56.758299999999998</v>
      </c>
      <c r="J9551">
        <v>-200.3683</v>
      </c>
      <c r="K9551">
        <v>1.1301760000000001</v>
      </c>
      <c r="L9551">
        <v>-57.543300000000002</v>
      </c>
      <c r="M9551">
        <v>0.7958963</v>
      </c>
      <c r="N9551">
        <v>-1.2910049999999999E-2</v>
      </c>
      <c r="O9551">
        <v>0.60529540000000004</v>
      </c>
      <c r="P9551">
        <v>0.54972069999999995</v>
      </c>
      <c r="Q9551">
        <v>0.1220441</v>
      </c>
      <c r="R9551">
        <v>0.82638509999999998</v>
      </c>
      <c r="S9551">
        <v>1.336044</v>
      </c>
      <c r="T9551">
        <v>-0.1800687</v>
      </c>
      <c r="U9551">
        <v>2.7704469999999999</v>
      </c>
      <c r="V9551">
        <v>-0.32786690000000002</v>
      </c>
      <c r="W9551">
        <v>0.12697449999999999</v>
      </c>
      <c r="X9551">
        <v>0.93615210000000004</v>
      </c>
      <c r="Y9551">
        <v>-0.45370120000000003</v>
      </c>
      <c r="Z9551">
        <v>-1.3956980000000001E-2</v>
      </c>
      <c r="AA9551">
        <v>0.89104459999999996</v>
      </c>
      <c r="AB9551">
        <v>28</v>
      </c>
      <c r="AC9551">
        <v>0.29990000000000799</v>
      </c>
      <c r="AD9551">
        <v>-5.7840999999999997E-2</v>
      </c>
      <c r="AE9551">
        <v>0.78500000000000303</v>
      </c>
      <c r="AF9551">
        <v>-0.44119717377143702</v>
      </c>
      <c r="AG9551">
        <v>-5.7840999999999997E-2</v>
      </c>
      <c r="AH9551">
        <v>0.710539339891193</v>
      </c>
      <c r="AI9551">
        <v>93.956098385008602</v>
      </c>
      <c r="AJ9551">
        <v>121.83750176407</v>
      </c>
      <c r="AK9551">
        <v>0.83837144569571098</v>
      </c>
      <c r="AL9551">
        <v>82.705204936320996</v>
      </c>
      <c r="AM9551">
        <v>109.30169531835701</v>
      </c>
      <c r="AN9551">
        <v>0.99999999105013504</v>
      </c>
    </row>
    <row r="9552" spans="1:40" x14ac:dyDescent="0.25">
      <c r="A9552" t="str">
        <f>"20190303162133782"</f>
        <v>20190303162133782</v>
      </c>
      <c r="B9552" t="str">
        <f>"1551601293772278"</f>
        <v>1551601293772278</v>
      </c>
      <c r="C9552" t="s">
        <v>40</v>
      </c>
      <c r="D9552">
        <v>4.9924169999999997</v>
      </c>
      <c r="E9552">
        <v>0.44406299999999999</v>
      </c>
      <c r="F9552" t="s">
        <v>42</v>
      </c>
      <c r="G9552">
        <v>-199.9068</v>
      </c>
      <c r="H9552">
        <v>1.0690930000000001</v>
      </c>
      <c r="I9552">
        <v>-56.578429999999997</v>
      </c>
      <c r="J9552">
        <v>-200.21</v>
      </c>
      <c r="K9552">
        <v>1.1301680000000001</v>
      </c>
      <c r="L9552">
        <v>-57.411960000000001</v>
      </c>
      <c r="M9552">
        <v>0.79059729999999995</v>
      </c>
      <c r="N9552">
        <v>-1.2904199999999999E-2</v>
      </c>
      <c r="O9552">
        <v>0.61220050000000004</v>
      </c>
      <c r="P9552">
        <v>0.54596889999999998</v>
      </c>
      <c r="Q9552">
        <v>0.1237854</v>
      </c>
      <c r="R9552">
        <v>0.82861039999999997</v>
      </c>
      <c r="S9552">
        <v>1.3264309999999999</v>
      </c>
      <c r="T9552">
        <v>-0.175589299999999</v>
      </c>
      <c r="U9552">
        <v>2.7738339999999999</v>
      </c>
      <c r="V9552">
        <v>-0.32377919999999999</v>
      </c>
      <c r="W9552">
        <v>0.12883499999999901</v>
      </c>
      <c r="X9552">
        <v>0.93731989999999998</v>
      </c>
      <c r="Y9552">
        <v>-0.4488916</v>
      </c>
      <c r="Z9552">
        <v>-1.3919580000000001E-2</v>
      </c>
      <c r="AA9552">
        <v>0.89347779999999999</v>
      </c>
      <c r="AB9552">
        <v>28</v>
      </c>
      <c r="AC9552">
        <v>0.30320000000000302</v>
      </c>
      <c r="AD9552">
        <v>-6.10749999999999E-2</v>
      </c>
      <c r="AE9552">
        <v>0.833529999999996</v>
      </c>
      <c r="AF9552">
        <v>-0.47117270962580299</v>
      </c>
      <c r="AG9552">
        <v>-6.10749999999999E-2</v>
      </c>
      <c r="AH9552">
        <v>0.74651938592842804</v>
      </c>
      <c r="AI9552">
        <v>93.957707478762899</v>
      </c>
      <c r="AJ9552">
        <v>122.258456257086</v>
      </c>
      <c r="AK9552">
        <v>0.88488703882929598</v>
      </c>
      <c r="AL9552">
        <v>82.597723466587695</v>
      </c>
      <c r="AM9552">
        <v>109.05649106413399</v>
      </c>
      <c r="AN9552">
        <v>1.0000000112568199</v>
      </c>
    </row>
    <row r="9553" spans="1:40" x14ac:dyDescent="0.25">
      <c r="A9553" t="str">
        <f>"20190303162133795"</f>
        <v>20190303162133795</v>
      </c>
      <c r="B9553" t="str">
        <f>"1551601293782288"</f>
        <v>1551601293782288</v>
      </c>
      <c r="C9553" t="s">
        <v>40</v>
      </c>
      <c r="D9553">
        <v>4.9486280000000002</v>
      </c>
      <c r="E9553">
        <v>0.44444610000000001</v>
      </c>
      <c r="F9553" t="s">
        <v>41</v>
      </c>
      <c r="G9553">
        <v>-191.36930000000001</v>
      </c>
      <c r="H9553" s="1">
        <v>-1.082615E-6</v>
      </c>
      <c r="I9553">
        <v>-38.736530000000002</v>
      </c>
      <c r="J9553">
        <v>-200.0873</v>
      </c>
      <c r="K9553">
        <v>1.1301540000000001</v>
      </c>
      <c r="L9553">
        <v>-57.30829</v>
      </c>
      <c r="M9553">
        <v>0.78642559999999995</v>
      </c>
      <c r="N9553">
        <v>-1.2899900000000001E-2</v>
      </c>
      <c r="O9553">
        <v>0.6175503</v>
      </c>
      <c r="P9553">
        <v>0.54224589999999995</v>
      </c>
      <c r="Q9553">
        <v>0.1245501</v>
      </c>
      <c r="R9553">
        <v>0.83093729999999999</v>
      </c>
      <c r="S9553">
        <v>1.315491</v>
      </c>
      <c r="T9553">
        <v>-0.16816710000000001</v>
      </c>
      <c r="U9553">
        <v>2.77887</v>
      </c>
      <c r="V9553">
        <v>-0.32154240000000001</v>
      </c>
      <c r="W9553">
        <v>0.12966720000000001</v>
      </c>
      <c r="X9553">
        <v>0.93797489999999994</v>
      </c>
      <c r="Y9553">
        <v>-0.44634239999999997</v>
      </c>
      <c r="Z9553">
        <v>-1.3271410000000001E-2</v>
      </c>
      <c r="AA9553">
        <v>0.8947638</v>
      </c>
      <c r="AB9553">
        <v>28</v>
      </c>
      <c r="AC9553">
        <v>8.7179999999999893</v>
      </c>
      <c r="AD9553">
        <v>-1.130155082615</v>
      </c>
      <c r="AE9553">
        <v>18.571760000000001</v>
      </c>
      <c r="AF9553">
        <v>-9.1943712738385202</v>
      </c>
      <c r="AG9553">
        <v>-1.130155082615</v>
      </c>
      <c r="AH9553">
        <v>18.271135975251099</v>
      </c>
      <c r="AI9553">
        <v>93.162558613131196</v>
      </c>
      <c r="AJ9553">
        <v>116.712380428125</v>
      </c>
      <c r="AK9553">
        <v>20.485314824480099</v>
      </c>
      <c r="AL9553">
        <v>82.549638532973205</v>
      </c>
      <c r="AM9553">
        <v>108.921966379834</v>
      </c>
      <c r="AN9553">
        <v>1.0000000053917999</v>
      </c>
    </row>
    <row r="9554" spans="1:40" x14ac:dyDescent="0.25">
      <c r="A9554" t="str">
        <f>"20190303162133808"</f>
        <v>20190303162133808</v>
      </c>
      <c r="B9554" t="str">
        <f>"1551601293801808"</f>
        <v>1551601293801808</v>
      </c>
      <c r="C9554" t="s">
        <v>40</v>
      </c>
      <c r="D9554">
        <v>5.0014729999999998</v>
      </c>
      <c r="E9554">
        <v>0.44498409999999999</v>
      </c>
      <c r="F9554" t="s">
        <v>42</v>
      </c>
      <c r="G9554">
        <v>-199.68389999999999</v>
      </c>
      <c r="H9554">
        <v>1.0794029999999999</v>
      </c>
      <c r="I9554">
        <v>-56.447929999999999</v>
      </c>
      <c r="J9554">
        <v>-199.96619999999999</v>
      </c>
      <c r="K9554">
        <v>1.1301479999999999</v>
      </c>
      <c r="L9554">
        <v>-57.20505</v>
      </c>
      <c r="M9554">
        <v>0.78226249999999997</v>
      </c>
      <c r="N9554">
        <v>-1.289589E-2</v>
      </c>
      <c r="O9554">
        <v>0.62281549999999997</v>
      </c>
      <c r="P9554">
        <v>0.53857880000000002</v>
      </c>
      <c r="Q9554">
        <v>0.12522719999999901</v>
      </c>
      <c r="R9554">
        <v>0.83321730000000005</v>
      </c>
      <c r="S9554">
        <v>1.3051299999999999</v>
      </c>
      <c r="T9554">
        <v>-0.16418869999999999</v>
      </c>
      <c r="U9554">
        <v>2.7832949999999999</v>
      </c>
      <c r="V9554">
        <v>-0.31930599999999998</v>
      </c>
      <c r="W9554">
        <v>0.13041040000000001</v>
      </c>
      <c r="X9554">
        <v>0.93863560000000001</v>
      </c>
      <c r="Y9554">
        <v>-0.4436216</v>
      </c>
      <c r="Z9554">
        <v>-1.308075E-2</v>
      </c>
      <c r="AA9554">
        <v>0.89611869999999905</v>
      </c>
      <c r="AB9554">
        <v>28</v>
      </c>
      <c r="AC9554">
        <v>0.282299999999992</v>
      </c>
      <c r="AD9554">
        <v>-5.0744999999999797E-2</v>
      </c>
      <c r="AE9554">
        <v>0.75711999999999302</v>
      </c>
      <c r="AF9554">
        <v>-0.41484428955284702</v>
      </c>
      <c r="AG9554">
        <v>-5.0744999999999797E-2</v>
      </c>
      <c r="AH9554">
        <v>0.68971617168786803</v>
      </c>
      <c r="AI9554">
        <v>93.607609789329899</v>
      </c>
      <c r="AJ9554">
        <v>121.025689299357</v>
      </c>
      <c r="AK9554">
        <v>0.80646093339192604</v>
      </c>
      <c r="AL9554">
        <v>82.506691540500199</v>
      </c>
      <c r="AM9554">
        <v>108.787328798283</v>
      </c>
      <c r="AN9554">
        <v>0.99999999182576005</v>
      </c>
    </row>
    <row r="9555" spans="1:40" x14ac:dyDescent="0.25">
      <c r="A9555" t="str">
        <f>"20190303162133823"</f>
        <v>20190303162133823</v>
      </c>
      <c r="B9555" t="str">
        <f>"1551601293812544"</f>
        <v>1551601293812544</v>
      </c>
      <c r="C9555" t="s">
        <v>40</v>
      </c>
      <c r="D9555">
        <v>4.9558419999999996</v>
      </c>
      <c r="E9555">
        <v>0.44531120000000002</v>
      </c>
      <c r="F9555" t="s">
        <v>42</v>
      </c>
      <c r="G9555">
        <v>-199.5283</v>
      </c>
      <c r="H9555">
        <v>1.0746209999999901</v>
      </c>
      <c r="I9555">
        <v>-56.263770000000001</v>
      </c>
      <c r="J9555">
        <v>-199.82149999999999</v>
      </c>
      <c r="K9555">
        <v>1.1301330000000001</v>
      </c>
      <c r="L9555">
        <v>-57.079709999999999</v>
      </c>
      <c r="M9555">
        <v>0.77721799999999996</v>
      </c>
      <c r="N9555">
        <v>-1.2891359999999999E-2</v>
      </c>
      <c r="O9555">
        <v>0.62909939999999998</v>
      </c>
      <c r="P9555">
        <v>0.53383669999999905</v>
      </c>
      <c r="Q9555">
        <v>0.1258079</v>
      </c>
      <c r="R9555">
        <v>0.83617629999999998</v>
      </c>
      <c r="S9555">
        <v>1.296219</v>
      </c>
      <c r="T9555">
        <v>-0.16440450000000001</v>
      </c>
      <c r="U9555">
        <v>2.7873540000000001</v>
      </c>
      <c r="V9555">
        <v>-0.31700850000000003</v>
      </c>
      <c r="W9555">
        <v>0.13105999999999901</v>
      </c>
      <c r="X9555">
        <v>0.93932369999999998</v>
      </c>
      <c r="Y9555">
        <v>-0.4392587</v>
      </c>
      <c r="Z9555">
        <v>-1.3581029999999999E-2</v>
      </c>
      <c r="AA9555">
        <v>0.898258</v>
      </c>
      <c r="AB9555">
        <v>28</v>
      </c>
      <c r="AC9555">
        <v>0.29319999999998397</v>
      </c>
      <c r="AD9555">
        <v>-5.55120000000002E-2</v>
      </c>
      <c r="AE9555">
        <v>0.815940000000004</v>
      </c>
      <c r="AF9555">
        <v>-0.44791251892651102</v>
      </c>
      <c r="AG9555">
        <v>-5.55120000000002E-2</v>
      </c>
      <c r="AH9555">
        <v>0.73822301920297595</v>
      </c>
      <c r="AI9555">
        <v>93.678405840478604</v>
      </c>
      <c r="AJ9555">
        <v>121.24703850375199</v>
      </c>
      <c r="AK9555">
        <v>0.86526321592695099</v>
      </c>
      <c r="AL9555">
        <v>82.469150533450502</v>
      </c>
      <c r="AM9555">
        <v>108.648813257299</v>
      </c>
      <c r="AN9555">
        <v>1.0000000630269601</v>
      </c>
    </row>
    <row r="9556" spans="1:40" x14ac:dyDescent="0.25">
      <c r="A9556" t="str">
        <f>"20190303162133838"</f>
        <v>20190303162133838</v>
      </c>
      <c r="B9556" t="str">
        <f>"1551601293832064"</f>
        <v>1551601293832064</v>
      </c>
      <c r="C9556" t="s">
        <v>40</v>
      </c>
      <c r="D9556">
        <v>4.9950659999999996</v>
      </c>
      <c r="E9556">
        <v>0.44561109999999998</v>
      </c>
      <c r="F9556" t="s">
        <v>41</v>
      </c>
      <c r="G9556">
        <v>-190.93700000000001</v>
      </c>
      <c r="H9556" s="1">
        <v>-1.3998759999999999E-6</v>
      </c>
      <c r="I9556">
        <v>-37.72889</v>
      </c>
      <c r="J9556">
        <v>-199.68299999999999</v>
      </c>
      <c r="K9556">
        <v>1.130126</v>
      </c>
      <c r="L9556">
        <v>-56.957520000000002</v>
      </c>
      <c r="M9556">
        <v>0.77231430000000001</v>
      </c>
      <c r="N9556">
        <v>-1.2887269999999999E-2</v>
      </c>
      <c r="O9556">
        <v>0.63510999999999995</v>
      </c>
      <c r="P9556">
        <v>0.53127159999999995</v>
      </c>
      <c r="Q9556">
        <v>0.12625510000000001</v>
      </c>
      <c r="R9556">
        <v>0.83774110000000002</v>
      </c>
      <c r="S9556">
        <v>1.282562</v>
      </c>
      <c r="T9556">
        <v>-0.1631464</v>
      </c>
      <c r="U9556">
        <v>2.793488</v>
      </c>
      <c r="V9556">
        <v>-0.31254330000000002</v>
      </c>
      <c r="W9556">
        <v>0.13163050000000001</v>
      </c>
      <c r="X9556">
        <v>0.9407392</v>
      </c>
      <c r="Y9556">
        <v>-0.43667080000000003</v>
      </c>
      <c r="Z9556">
        <v>-1.379534E-2</v>
      </c>
      <c r="AA9556">
        <v>0.89951559999999897</v>
      </c>
      <c r="AB9556">
        <v>28</v>
      </c>
      <c r="AC9556">
        <v>8.7459999999999791</v>
      </c>
      <c r="AD9556">
        <v>-1.130127399876</v>
      </c>
      <c r="AE9556">
        <v>19.2286299999999</v>
      </c>
      <c r="AF9556">
        <v>-9.2701125794375105</v>
      </c>
      <c r="AG9556">
        <v>-1.130127399876</v>
      </c>
      <c r="AH9556">
        <v>18.9143937094424</v>
      </c>
      <c r="AI9556">
        <v>93.071102946751097</v>
      </c>
      <c r="AJ9556">
        <v>116.109884967537</v>
      </c>
      <c r="AK9556">
        <v>21.094228228858999</v>
      </c>
      <c r="AL9556">
        <v>82.436177711616196</v>
      </c>
      <c r="AM9556">
        <v>108.378118425165</v>
      </c>
      <c r="AN9556">
        <v>1.00000007266088</v>
      </c>
    </row>
    <row r="9557" spans="1:40" x14ac:dyDescent="0.25">
      <c r="A9557" t="str">
        <f>"20190303162133853"</f>
        <v>20190303162133853</v>
      </c>
      <c r="B9557" t="str">
        <f>"1551601293841824"</f>
        <v>1551601293841824</v>
      </c>
      <c r="C9557" t="s">
        <v>40</v>
      </c>
      <c r="D9557">
        <v>4.9708100000000002</v>
      </c>
      <c r="E9557">
        <v>0.46738859999999899</v>
      </c>
      <c r="F9557" t="s">
        <v>41</v>
      </c>
      <c r="G9557">
        <v>-190.79150000000001</v>
      </c>
      <c r="H9557" s="1">
        <v>-1.477007E-6</v>
      </c>
      <c r="I9557">
        <v>-37.458889999999997</v>
      </c>
      <c r="J9557">
        <v>-199.54169999999999</v>
      </c>
      <c r="K9557">
        <v>1.130112</v>
      </c>
      <c r="L9557">
        <v>-56.831049999999998</v>
      </c>
      <c r="M9557">
        <v>0.76723529999999995</v>
      </c>
      <c r="N9557">
        <v>-1.28834E-2</v>
      </c>
      <c r="O9557">
        <v>0.64123629999999998</v>
      </c>
      <c r="P9557">
        <v>0.52656999999999998</v>
      </c>
      <c r="Q9557">
        <v>0.12657089999999999</v>
      </c>
      <c r="R9557">
        <v>0.84065679999999998</v>
      </c>
      <c r="S9557">
        <v>1.2753139999999901</v>
      </c>
      <c r="T9557">
        <v>-0.16209609999999999</v>
      </c>
      <c r="U9557">
        <v>2.7967219999999999</v>
      </c>
      <c r="V9557">
        <v>-0.31028810000000001</v>
      </c>
      <c r="W9557">
        <v>0.1320115</v>
      </c>
      <c r="X9557">
        <v>0.94143200000000005</v>
      </c>
      <c r="Y9557">
        <v>-0.43183880000000002</v>
      </c>
      <c r="Z9557">
        <v>-1.410544E-2</v>
      </c>
      <c r="AA9557">
        <v>0.90184050000000004</v>
      </c>
      <c r="AB9557">
        <v>28</v>
      </c>
      <c r="AC9557">
        <v>8.7501999999999693</v>
      </c>
      <c r="AD9557">
        <v>-1.130113477007</v>
      </c>
      <c r="AE9557">
        <v>19.372159999999901</v>
      </c>
      <c r="AF9557">
        <v>-9.2267474937997793</v>
      </c>
      <c r="AG9557">
        <v>-1.130113477007</v>
      </c>
      <c r="AH9557">
        <v>19.083243695188902</v>
      </c>
      <c r="AI9557">
        <v>93.051855780332104</v>
      </c>
      <c r="AJ9557">
        <v>115.803764891756</v>
      </c>
      <c r="AK9557">
        <v>21.226874845704899</v>
      </c>
      <c r="AL9557">
        <v>82.414155109611002</v>
      </c>
      <c r="AM9557">
        <v>108.24178689268901</v>
      </c>
      <c r="AN9557">
        <v>0.99999997587892897</v>
      </c>
    </row>
    <row r="9558" spans="1:40" x14ac:dyDescent="0.25">
      <c r="A9558" t="str">
        <f>"20190303162133871"</f>
        <v>20190303162133871</v>
      </c>
      <c r="B9558" t="str">
        <f>"1551601293862319"</f>
        <v>1551601293862319</v>
      </c>
      <c r="C9558" t="s">
        <v>40</v>
      </c>
      <c r="D9558">
        <v>5.0174430000000001</v>
      </c>
      <c r="E9558">
        <v>0.4701747</v>
      </c>
      <c r="F9558" t="s">
        <v>41</v>
      </c>
      <c r="G9558">
        <v>-190.3545</v>
      </c>
      <c r="H9558" s="1">
        <v>-6.4614679999999998E-7</v>
      </c>
      <c r="I9558">
        <v>-39.124589999999998</v>
      </c>
      <c r="J9558">
        <v>-199.38120000000001</v>
      </c>
      <c r="K9558">
        <v>1.1300950000000001</v>
      </c>
      <c r="L9558">
        <v>-56.68506</v>
      </c>
      <c r="M9558">
        <v>0.76137469999999996</v>
      </c>
      <c r="N9558">
        <v>-1.2879430000000001E-2</v>
      </c>
      <c r="O9558">
        <v>0.64818419999999999</v>
      </c>
      <c r="P9558">
        <v>0.52315020000000001</v>
      </c>
      <c r="Q9558">
        <v>0.1260792</v>
      </c>
      <c r="R9558">
        <v>0.84286289999999997</v>
      </c>
      <c r="S9558">
        <v>1.407654</v>
      </c>
      <c r="T9558">
        <v>-0.1731557</v>
      </c>
      <c r="U9558">
        <v>2.7129819999999998</v>
      </c>
      <c r="V9558">
        <v>-0.30558459999999898</v>
      </c>
      <c r="W9558">
        <v>0.13164899999999999</v>
      </c>
      <c r="X9558">
        <v>0.94301990000000002</v>
      </c>
      <c r="Y9558">
        <v>-0.37717859999999998</v>
      </c>
      <c r="Z9558">
        <v>-1.7981540000000001E-2</v>
      </c>
      <c r="AA9558">
        <v>0.92596599999999996</v>
      </c>
      <c r="AB9558">
        <v>28</v>
      </c>
      <c r="AC9558">
        <v>9.0266999999999999</v>
      </c>
      <c r="AD9558">
        <v>-1.1300956461467999</v>
      </c>
      <c r="AE9558">
        <v>17.560469999999899</v>
      </c>
      <c r="AF9558">
        <v>-7.4952031351860198</v>
      </c>
      <c r="AG9558">
        <v>-1.1300956461467999</v>
      </c>
      <c r="AH9558">
        <v>18.197022109934899</v>
      </c>
      <c r="AI9558">
        <v>93.286487532302701</v>
      </c>
      <c r="AJ9558">
        <v>112.38635821809901</v>
      </c>
      <c r="AK9558">
        <v>19.712605101218902</v>
      </c>
      <c r="AL9558">
        <v>82.435107648617702</v>
      </c>
      <c r="AM9558">
        <v>107.95486199011999</v>
      </c>
      <c r="AN9558">
        <v>0.99999996937708402</v>
      </c>
    </row>
    <row r="9559" spans="1:40" x14ac:dyDescent="0.25">
      <c r="A9559" t="str">
        <f>"20190303162133894"</f>
        <v>20190303162133894</v>
      </c>
      <c r="B9559" t="str">
        <f>"1551601293881840"</f>
        <v>1551601293881840</v>
      </c>
      <c r="C9559" t="s">
        <v>40</v>
      </c>
      <c r="D9559">
        <v>5.0736790000000003</v>
      </c>
      <c r="E9559">
        <v>0.47141640000000001</v>
      </c>
      <c r="F9559" t="s">
        <v>41</v>
      </c>
      <c r="G9559">
        <v>-188.28270000000001</v>
      </c>
      <c r="H9559" s="1">
        <v>-2.4250259999999999E-6</v>
      </c>
      <c r="I9559">
        <v>-35.424480000000003</v>
      </c>
      <c r="J9559">
        <v>-199.17339999999999</v>
      </c>
      <c r="K9559">
        <v>1.1300790000000001</v>
      </c>
      <c r="L9559">
        <v>-56.49194</v>
      </c>
      <c r="M9559">
        <v>0.75362709999999999</v>
      </c>
      <c r="N9559">
        <v>-1.2874989999999999E-2</v>
      </c>
      <c r="O9559">
        <v>0.65717599999999998</v>
      </c>
      <c r="P9559">
        <v>0.51731709999999997</v>
      </c>
      <c r="Q9559">
        <v>0.12548719999999999</v>
      </c>
      <c r="R9559">
        <v>0.84654359999999995</v>
      </c>
      <c r="S9559">
        <v>1.4118189999999999</v>
      </c>
      <c r="T9559">
        <v>-0.1437582</v>
      </c>
      <c r="U9559">
        <v>2.704529</v>
      </c>
      <c r="V9559">
        <v>-0.30094110000000002</v>
      </c>
      <c r="W9559">
        <v>0.131184299999999</v>
      </c>
      <c r="X9559">
        <v>0.94457670000000005</v>
      </c>
      <c r="Y9559">
        <v>-0.36385650000000003</v>
      </c>
      <c r="Z9559">
        <v>-1.397317E-2</v>
      </c>
      <c r="AA9559">
        <v>0.93135020000000002</v>
      </c>
      <c r="AB9559">
        <v>28</v>
      </c>
      <c r="AC9559">
        <v>10.890699999999899</v>
      </c>
      <c r="AD9559">
        <v>-1.1300814250260001</v>
      </c>
      <c r="AE9559">
        <v>21.067460000000001</v>
      </c>
      <c r="AF9559">
        <v>-8.7008693923618399</v>
      </c>
      <c r="AG9559">
        <v>-1.1300814250260001</v>
      </c>
      <c r="AH9559">
        <v>22.004422147729699</v>
      </c>
      <c r="AI9559">
        <v>92.734307618292206</v>
      </c>
      <c r="AJ9559">
        <v>111.57456484879999</v>
      </c>
      <c r="AK9559">
        <v>23.689170653816099</v>
      </c>
      <c r="AL9559">
        <v>82.461966198444301</v>
      </c>
      <c r="AM9559">
        <v>107.671821852517</v>
      </c>
      <c r="AN9559">
        <v>1.00000000420929</v>
      </c>
    </row>
    <row r="9560" spans="1:40" x14ac:dyDescent="0.25">
      <c r="A9560" t="str">
        <f>"20190303162133908"</f>
        <v>20190303162133908</v>
      </c>
      <c r="B9560" t="str">
        <f>"1551601293892576"</f>
        <v>1551601293892576</v>
      </c>
      <c r="C9560" t="s">
        <v>40</v>
      </c>
      <c r="D9560">
        <v>5.081232</v>
      </c>
      <c r="E9560">
        <v>0.47178969999999998</v>
      </c>
      <c r="F9560" t="s">
        <v>41</v>
      </c>
      <c r="G9560">
        <v>-187.3407</v>
      </c>
      <c r="H9560" s="1">
        <v>-3.3776009999999999E-6</v>
      </c>
      <c r="I9560">
        <v>-33.593519999999998</v>
      </c>
      <c r="J9560">
        <v>-199.05199999999999</v>
      </c>
      <c r="K9560">
        <v>1.130072</v>
      </c>
      <c r="L9560">
        <v>-56.377139999999997</v>
      </c>
      <c r="M9560">
        <v>0.74901609999999996</v>
      </c>
      <c r="N9560">
        <v>-1.2872629999999999E-2</v>
      </c>
      <c r="O9560">
        <v>0.66242670000000003</v>
      </c>
      <c r="P9560">
        <v>0.51356740000000001</v>
      </c>
      <c r="Q9560">
        <v>0.12531689999999901</v>
      </c>
      <c r="R9560">
        <v>0.84884879999999996</v>
      </c>
      <c r="S9560">
        <v>1.399551</v>
      </c>
      <c r="T9560">
        <v>-0.1336637</v>
      </c>
      <c r="U9560">
        <v>2.7083740000000001</v>
      </c>
      <c r="V9560">
        <v>-0.29852649999999997</v>
      </c>
      <c r="W9560">
        <v>0.131079799999999</v>
      </c>
      <c r="X9560">
        <v>0.94535709999999995</v>
      </c>
      <c r="Y9560">
        <v>-0.36121520000000001</v>
      </c>
      <c r="Z9560">
        <v>-1.2563889999999999E-2</v>
      </c>
      <c r="AA9560">
        <v>0.93239780000000005</v>
      </c>
      <c r="AB9560">
        <v>28</v>
      </c>
      <c r="AC9560">
        <v>11.7113</v>
      </c>
      <c r="AD9560">
        <v>-1.130075377601</v>
      </c>
      <c r="AE9560">
        <v>22.783619999999999</v>
      </c>
      <c r="AF9560">
        <v>-9.2901130990703908</v>
      </c>
      <c r="AG9560">
        <v>-1.130075377601</v>
      </c>
      <c r="AH9560">
        <v>23.820054202107599</v>
      </c>
      <c r="AI9560">
        <v>92.530800058830593</v>
      </c>
      <c r="AJ9560">
        <v>111.306393171053</v>
      </c>
      <c r="AK9560">
        <v>25.5925429362524</v>
      </c>
      <c r="AL9560">
        <v>82.468005847683202</v>
      </c>
      <c r="AM9560">
        <v>107.52516489751299</v>
      </c>
      <c r="AN9560">
        <v>1.0000000158453499</v>
      </c>
    </row>
    <row r="9561" spans="1:40" x14ac:dyDescent="0.25">
      <c r="A9561" t="str">
        <f>"20190303162133920"</f>
        <v>20190303162133920</v>
      </c>
      <c r="B9561" t="str">
        <f>"1551601293912095"</f>
        <v>1551601293912095</v>
      </c>
      <c r="C9561" t="s">
        <v>40</v>
      </c>
      <c r="D9561">
        <v>5.0773809999999999</v>
      </c>
      <c r="E9561">
        <v>0.4723291</v>
      </c>
      <c r="F9561" t="s">
        <v>41</v>
      </c>
      <c r="G9561">
        <v>-186.94030000000001</v>
      </c>
      <c r="H9561" s="1">
        <v>-3.8223260000000001E-6</v>
      </c>
      <c r="I9561">
        <v>-32.722430000000003</v>
      </c>
      <c r="J9561">
        <v>-198.92740000000001</v>
      </c>
      <c r="K9561">
        <v>1.13006299999999</v>
      </c>
      <c r="L9561">
        <v>-56.257449999999999</v>
      </c>
      <c r="M9561">
        <v>0.74421700000000002</v>
      </c>
      <c r="N9561">
        <v>-1.2870400000000001E-2</v>
      </c>
      <c r="O9561">
        <v>0.66781400000000002</v>
      </c>
      <c r="P9561">
        <v>0.50948519999999997</v>
      </c>
      <c r="Q9561">
        <v>0.1248292</v>
      </c>
      <c r="R9561">
        <v>0.85137680000000004</v>
      </c>
      <c r="S9561">
        <v>1.3890690000000001</v>
      </c>
      <c r="T9561">
        <v>-0.12960659999999999</v>
      </c>
      <c r="U9561">
        <v>2.7129210000000001</v>
      </c>
      <c r="V9561">
        <v>-0.29628090000000001</v>
      </c>
      <c r="W9561">
        <v>0.13065289999999999</v>
      </c>
      <c r="X9561">
        <v>0.94612229999999997</v>
      </c>
      <c r="Y9561">
        <v>-0.3579772</v>
      </c>
      <c r="Z9561">
        <v>-1.2160249999999999E-2</v>
      </c>
      <c r="AA9561">
        <v>0.93365109999999996</v>
      </c>
      <c r="AB9561">
        <v>28</v>
      </c>
      <c r="AC9561">
        <v>11.9870999999999</v>
      </c>
      <c r="AD9561">
        <v>-1.13006682232599</v>
      </c>
      <c r="AE9561">
        <v>23.535019999999999</v>
      </c>
      <c r="AF9561">
        <v>-9.4934166309652301</v>
      </c>
      <c r="AG9561">
        <v>-1.13006682232599</v>
      </c>
      <c r="AH9561">
        <v>24.595033399483398</v>
      </c>
      <c r="AI9561">
        <v>92.454459585841505</v>
      </c>
      <c r="AJ9561">
        <v>111.106048446641</v>
      </c>
      <c r="AK9561">
        <v>26.387832011624401</v>
      </c>
      <c r="AL9561">
        <v>82.492677316123903</v>
      </c>
      <c r="AM9561">
        <v>107.388096246017</v>
      </c>
      <c r="AN9561">
        <v>0.99999997927025397</v>
      </c>
    </row>
    <row r="9562" spans="1:40" x14ac:dyDescent="0.25">
      <c r="A9562" t="str">
        <f>"20190303162133940"</f>
        <v>20190303162133940</v>
      </c>
      <c r="B9562" t="str">
        <f>"1551601293932592"</f>
        <v>1551601293932592</v>
      </c>
      <c r="C9562" t="s">
        <v>40</v>
      </c>
      <c r="D9562">
        <v>5.0707279999999999</v>
      </c>
      <c r="E9562">
        <v>0.47262949999999998</v>
      </c>
      <c r="F9562" t="s">
        <v>41</v>
      </c>
      <c r="G9562">
        <v>-186.69739999999999</v>
      </c>
      <c r="H9562" s="1">
        <v>-4.1078330000000001E-6</v>
      </c>
      <c r="I9562">
        <v>-32.157339999999998</v>
      </c>
      <c r="J9562">
        <v>-198.76310000000001</v>
      </c>
      <c r="K9562">
        <v>1.1300479999999999</v>
      </c>
      <c r="L9562">
        <v>-56.09686</v>
      </c>
      <c r="M9562">
        <v>0.73777969999999904</v>
      </c>
      <c r="N9562">
        <v>-1.286753E-2</v>
      </c>
      <c r="O9562">
        <v>0.67491889999999999</v>
      </c>
      <c r="P9562">
        <v>0.50501220000000002</v>
      </c>
      <c r="Q9562">
        <v>0.1236386</v>
      </c>
      <c r="R9562">
        <v>0.8542109</v>
      </c>
      <c r="S9562">
        <v>1.3788910000000001</v>
      </c>
      <c r="T9562">
        <v>-0.12741069999999999</v>
      </c>
      <c r="U9562">
        <v>2.7171940000000001</v>
      </c>
      <c r="V9562">
        <v>-0.29226239999999998</v>
      </c>
      <c r="W9562">
        <v>0.1295712</v>
      </c>
      <c r="X9562">
        <v>0.94751989999999997</v>
      </c>
      <c r="Y9562">
        <v>-0.35239769999999998</v>
      </c>
      <c r="Z9562">
        <v>-1.2182180000000001E-2</v>
      </c>
      <c r="AA9562">
        <v>0.93577100000000002</v>
      </c>
      <c r="AB9562">
        <v>28</v>
      </c>
      <c r="AC9562">
        <v>12.0657</v>
      </c>
      <c r="AD9562">
        <v>-1.1300521078329999</v>
      </c>
      <c r="AE9562">
        <v>23.939519999999899</v>
      </c>
      <c r="AF9562">
        <v>-9.5026260124455195</v>
      </c>
      <c r="AG9562">
        <v>-1.1300521078329999</v>
      </c>
      <c r="AH9562">
        <v>25.016686209808</v>
      </c>
      <c r="AI9562">
        <v>92.418053247388002</v>
      </c>
      <c r="AJ9562">
        <v>110.799356274389</v>
      </c>
      <c r="AK9562">
        <v>26.7845385963399</v>
      </c>
      <c r="AL9562">
        <v>82.555185561652806</v>
      </c>
      <c r="AM9562">
        <v>107.142372241121</v>
      </c>
      <c r="AN9562">
        <v>0.99999998360960396</v>
      </c>
    </row>
    <row r="9563" spans="1:40" x14ac:dyDescent="0.25">
      <c r="A9563" t="str">
        <f>"20190303162133962"</f>
        <v>20190303162133962</v>
      </c>
      <c r="B9563" t="str">
        <f>"1551601293952111"</f>
        <v>1551601293952111</v>
      </c>
      <c r="C9563" t="s">
        <v>40</v>
      </c>
      <c r="D9563">
        <v>5.0726849999999999</v>
      </c>
      <c r="E9563">
        <v>0.47305700000000001</v>
      </c>
      <c r="F9563" t="s">
        <v>41</v>
      </c>
      <c r="G9563">
        <v>-186.7072</v>
      </c>
      <c r="H9563" s="1">
        <v>-4.1467160000000001E-6</v>
      </c>
      <c r="I9563">
        <v>-32.062640000000002</v>
      </c>
      <c r="J9563">
        <v>-198.55789999999999</v>
      </c>
      <c r="K9563">
        <v>1.130026</v>
      </c>
      <c r="L9563">
        <v>-55.892240000000001</v>
      </c>
      <c r="M9563">
        <v>0.72957369999999899</v>
      </c>
      <c r="N9563">
        <v>-1.286401E-2</v>
      </c>
      <c r="O9563">
        <v>0.68378119999999998</v>
      </c>
      <c r="P9563">
        <v>0.4977703</v>
      </c>
      <c r="Q9563">
        <v>0.1224084</v>
      </c>
      <c r="R9563">
        <v>0.85862729999999998</v>
      </c>
      <c r="S9563">
        <v>1.3659059999999901</v>
      </c>
      <c r="T9563">
        <v>-0.12803229999999999</v>
      </c>
      <c r="U9563">
        <v>2.7230219999999998</v>
      </c>
      <c r="V9563">
        <v>-0.28892139999999999</v>
      </c>
      <c r="W9563">
        <v>0.12843350000000001</v>
      </c>
      <c r="X9563">
        <v>0.94869870000000001</v>
      </c>
      <c r="Y9563">
        <v>-0.3454603</v>
      </c>
      <c r="Z9563">
        <v>-1.279312E-2</v>
      </c>
      <c r="AA9563">
        <v>0.93834609999999996</v>
      </c>
      <c r="AB9563">
        <v>28</v>
      </c>
      <c r="AC9563">
        <v>11.8506999999999</v>
      </c>
      <c r="AD9563">
        <v>-1.1300301467160001</v>
      </c>
      <c r="AE9563">
        <v>23.829599999999999</v>
      </c>
      <c r="AF9563">
        <v>-9.2662257075866492</v>
      </c>
      <c r="AG9563">
        <v>-1.1300301467160001</v>
      </c>
      <c r="AH9563">
        <v>24.897368167357101</v>
      </c>
      <c r="AI9563">
        <v>92.435723492016294</v>
      </c>
      <c r="AJ9563">
        <v>110.414104863617</v>
      </c>
      <c r="AK9563">
        <v>26.5898260366132</v>
      </c>
      <c r="AL9563">
        <v>82.620920218019407</v>
      </c>
      <c r="AM9563">
        <v>106.937849485581</v>
      </c>
      <c r="AN9563">
        <v>0.99999998134094903</v>
      </c>
    </row>
    <row r="9564" spans="1:40" x14ac:dyDescent="0.25">
      <c r="A9564" t="str">
        <f>"20190303162133976"</f>
        <v>20190303162133976</v>
      </c>
      <c r="B9564" t="str">
        <f>"1551601293961871"</f>
        <v>1551601293961871</v>
      </c>
      <c r="C9564" t="s">
        <v>40</v>
      </c>
      <c r="D9564">
        <v>5.0729499999999996</v>
      </c>
      <c r="E9564">
        <v>0.47314800000000001</v>
      </c>
      <c r="F9564" t="s">
        <v>41</v>
      </c>
      <c r="G9564">
        <v>-186.8356</v>
      </c>
      <c r="H9564" s="1">
        <v>-4.1147849999999998E-6</v>
      </c>
      <c r="I9564">
        <v>-32.083970000000001</v>
      </c>
      <c r="J9564">
        <v>-198.4409</v>
      </c>
      <c r="K9564">
        <v>1.1300140000000001</v>
      </c>
      <c r="L9564">
        <v>-55.772979999999997</v>
      </c>
      <c r="M9564">
        <v>0.72480369999999905</v>
      </c>
      <c r="N9564">
        <v>-1.2861859999999999E-2</v>
      </c>
      <c r="O9564">
        <v>0.68883539999999999</v>
      </c>
      <c r="P9564">
        <v>0.49330540000000001</v>
      </c>
      <c r="Q9564">
        <v>0.12181939999999999</v>
      </c>
      <c r="R9564">
        <v>0.86128379999999904</v>
      </c>
      <c r="S9564">
        <v>1.345383</v>
      </c>
      <c r="T9564">
        <v>-0.12969539999999999</v>
      </c>
      <c r="U9564">
        <v>2.732513</v>
      </c>
      <c r="V9564">
        <v>-0.287296</v>
      </c>
      <c r="W9564">
        <v>0.12789059999999999</v>
      </c>
      <c r="X9564">
        <v>0.94926549999999998</v>
      </c>
      <c r="Y9564">
        <v>-0.3459024</v>
      </c>
      <c r="Z9564">
        <v>-1.328905E-2</v>
      </c>
      <c r="AA9564">
        <v>0.93817640000000002</v>
      </c>
      <c r="AB9564">
        <v>28</v>
      </c>
      <c r="AC9564">
        <v>11.6053</v>
      </c>
      <c r="AD9564">
        <v>-1.1300181147849999</v>
      </c>
      <c r="AE9564">
        <v>23.68901</v>
      </c>
      <c r="AF9564">
        <v>-9.15969078383708</v>
      </c>
      <c r="AG9564">
        <v>-1.1300181147849999</v>
      </c>
      <c r="AH9564">
        <v>24.6861373734579</v>
      </c>
      <c r="AI9564">
        <v>92.457419815487796</v>
      </c>
      <c r="AJ9564">
        <v>110.35716693598501</v>
      </c>
      <c r="AK9564">
        <v>26.354928469196899</v>
      </c>
      <c r="AL9564">
        <v>82.652284842145704</v>
      </c>
      <c r="AM9564">
        <v>106.83848355238</v>
      </c>
      <c r="AN9564">
        <v>0.99999999333730405</v>
      </c>
    </row>
    <row r="9565" spans="1:40" x14ac:dyDescent="0.25">
      <c r="A9565" t="str">
        <f>"20190303162133995"</f>
        <v>20190303162133995</v>
      </c>
      <c r="B9565" t="str">
        <f>"1551601293982368"</f>
        <v>1551601293982368</v>
      </c>
      <c r="C9565" t="s">
        <v>40</v>
      </c>
      <c r="D9565">
        <v>4.9575639999999996</v>
      </c>
      <c r="E9565">
        <v>0.47326580000000001</v>
      </c>
      <c r="F9565" t="s">
        <v>41</v>
      </c>
      <c r="G9565">
        <v>-186.81120000000001</v>
      </c>
      <c r="H9565" s="1">
        <v>-4.221733E-6</v>
      </c>
      <c r="I9565">
        <v>-31.84478</v>
      </c>
      <c r="J9565">
        <v>-198.2842</v>
      </c>
      <c r="K9565">
        <v>1.1299969999999999</v>
      </c>
      <c r="L9565">
        <v>-55.610930000000003</v>
      </c>
      <c r="M9565">
        <v>0.7183155</v>
      </c>
      <c r="N9565">
        <v>-1.2858939999999999E-2</v>
      </c>
      <c r="O9565">
        <v>0.69559859999999996</v>
      </c>
      <c r="P9565">
        <v>0.48827280000000001</v>
      </c>
      <c r="Q9565">
        <v>0.1211313</v>
      </c>
      <c r="R9565">
        <v>0.86424349999999905</v>
      </c>
      <c r="S9565">
        <v>1.331223</v>
      </c>
      <c r="T9565">
        <v>-0.12934949999999901</v>
      </c>
      <c r="U9565">
        <v>2.7389830000000002</v>
      </c>
      <c r="V9565">
        <v>-0.28398020000000002</v>
      </c>
      <c r="W9565">
        <v>0.1272933</v>
      </c>
      <c r="X9565">
        <v>0.95034289999999999</v>
      </c>
      <c r="Y9565">
        <v>-0.34190470000000001</v>
      </c>
      <c r="Z9565">
        <v>-1.358256E-2</v>
      </c>
      <c r="AA9565">
        <v>0.93963649999999999</v>
      </c>
      <c r="AB9565">
        <v>28</v>
      </c>
      <c r="AC9565">
        <v>11.4729999999999</v>
      </c>
      <c r="AD9565">
        <v>-1.130001221733</v>
      </c>
      <c r="AE9565">
        <v>23.76615</v>
      </c>
      <c r="AF9565">
        <v>-9.0751047621681096</v>
      </c>
      <c r="AG9565">
        <v>-1.130001221733</v>
      </c>
      <c r="AH9565">
        <v>24.7296439323794</v>
      </c>
      <c r="AI9565">
        <v>92.456308520182006</v>
      </c>
      <c r="AJ9565">
        <v>110.151759431409</v>
      </c>
      <c r="AK9565">
        <v>26.366450618687999</v>
      </c>
      <c r="AL9565">
        <v>82.686789551644793</v>
      </c>
      <c r="AM9565">
        <v>106.637127448143</v>
      </c>
      <c r="AN9565">
        <v>0.99999998289866898</v>
      </c>
    </row>
    <row r="9566" spans="1:40" x14ac:dyDescent="0.25">
      <c r="A9566" t="str">
        <f>"20190303162134008"</f>
        <v>20190303162134008</v>
      </c>
      <c r="B9566" t="str">
        <f>"1551601294001888"</f>
        <v>1551601294001888</v>
      </c>
      <c r="C9566" t="s">
        <v>40</v>
      </c>
      <c r="D9566">
        <v>5.0750529999999996</v>
      </c>
      <c r="E9566">
        <v>0.47341159999999999</v>
      </c>
      <c r="F9566" t="s">
        <v>41</v>
      </c>
      <c r="G9566">
        <v>-186.71950000000001</v>
      </c>
      <c r="H9566" s="1">
        <v>-4.4002879999999997E-6</v>
      </c>
      <c r="I9566">
        <v>-31.466470000000001</v>
      </c>
      <c r="J9566">
        <v>-198.1643</v>
      </c>
      <c r="K9566">
        <v>1.1299859999999999</v>
      </c>
      <c r="L9566">
        <v>-55.485080000000004</v>
      </c>
      <c r="M9566">
        <v>0.71327479999999999</v>
      </c>
      <c r="N9566">
        <v>-1.2856670000000001E-2</v>
      </c>
      <c r="O9566">
        <v>0.70076660000000002</v>
      </c>
      <c r="P9566">
        <v>0.48362460000000002</v>
      </c>
      <c r="Q9566">
        <v>0.12081889999999899</v>
      </c>
      <c r="R9566">
        <v>0.86689680000000002</v>
      </c>
      <c r="S9566">
        <v>1.3153379999999999</v>
      </c>
      <c r="T9566">
        <v>-0.1285232</v>
      </c>
      <c r="U9566">
        <v>2.746124</v>
      </c>
      <c r="V9566">
        <v>-0.28224070000000001</v>
      </c>
      <c r="W9566">
        <v>0.12702939999999999</v>
      </c>
      <c r="X9566">
        <v>0.95089630000000003</v>
      </c>
      <c r="Y9566">
        <v>-0.34049430000000003</v>
      </c>
      <c r="Z9566">
        <v>-1.3664819999999999E-2</v>
      </c>
      <c r="AA9566">
        <v>0.94014730000000002</v>
      </c>
      <c r="AB9566">
        <v>28</v>
      </c>
      <c r="AC9566">
        <v>11.444799999999899</v>
      </c>
      <c r="AD9566">
        <v>-1.1299904002879999</v>
      </c>
      <c r="AE9566">
        <v>24.018609999999999</v>
      </c>
      <c r="AF9566">
        <v>-9.0960808942573905</v>
      </c>
      <c r="AG9566">
        <v>-1.1299904002879999</v>
      </c>
      <c r="AH9566">
        <v>24.951783950211102</v>
      </c>
      <c r="AI9566">
        <v>92.436347751828507</v>
      </c>
      <c r="AJ9566">
        <v>110.02914051707999</v>
      </c>
      <c r="AK9566">
        <v>26.5820820899648</v>
      </c>
      <c r="AL9566">
        <v>82.702033984784094</v>
      </c>
      <c r="AM9566">
        <v>106.531701468488</v>
      </c>
      <c r="AN9566">
        <v>1.00000002727726</v>
      </c>
    </row>
    <row r="9567" spans="1:40" x14ac:dyDescent="0.25">
      <c r="A9567" t="str">
        <f>"20190303162134021"</f>
        <v>20190303162134021</v>
      </c>
      <c r="B9567" t="str">
        <f>"1551601294011647"</f>
        <v>1551601294011647</v>
      </c>
      <c r="C9567" t="s">
        <v>40</v>
      </c>
      <c r="D9567">
        <v>5.076746</v>
      </c>
      <c r="E9567">
        <v>0.47344180000000002</v>
      </c>
      <c r="F9567" t="s">
        <v>41</v>
      </c>
      <c r="G9567">
        <v>-186.65209999999999</v>
      </c>
      <c r="H9567" s="1">
        <v>-4.55296E-6</v>
      </c>
      <c r="I9567">
        <v>-31.138459999999998</v>
      </c>
      <c r="J9567">
        <v>-198.0498</v>
      </c>
      <c r="K9567">
        <v>1.1299760000000001</v>
      </c>
      <c r="L9567">
        <v>-55.363069999999901</v>
      </c>
      <c r="M9567">
        <v>0.70839229999999997</v>
      </c>
      <c r="N9567">
        <v>-1.285445E-2</v>
      </c>
      <c r="O9567">
        <v>0.70570189999999999</v>
      </c>
      <c r="P9567">
        <v>0.47903509999999999</v>
      </c>
      <c r="Q9567">
        <v>0.1206076</v>
      </c>
      <c r="R9567">
        <v>0.86947059999999998</v>
      </c>
      <c r="S9567">
        <v>1.301453</v>
      </c>
      <c r="T9567">
        <v>-0.12774530000000001</v>
      </c>
      <c r="U9567">
        <v>2.75238</v>
      </c>
      <c r="V9567">
        <v>-0.280676599999999</v>
      </c>
      <c r="W9567">
        <v>0.126862</v>
      </c>
      <c r="X9567">
        <v>0.95138140000000004</v>
      </c>
      <c r="Y9567">
        <v>-0.33867019999999998</v>
      </c>
      <c r="Z9567">
        <v>-1.3751579999999999E-2</v>
      </c>
      <c r="AA9567">
        <v>0.94080469999999905</v>
      </c>
      <c r="AB9567">
        <v>28</v>
      </c>
      <c r="AC9567">
        <v>11.3977</v>
      </c>
      <c r="AD9567">
        <v>-1.12998055296</v>
      </c>
      <c r="AE9567">
        <v>24.224609999999899</v>
      </c>
      <c r="AF9567">
        <v>-9.1016872513941305</v>
      </c>
      <c r="AG9567">
        <v>-1.12998055296</v>
      </c>
      <c r="AH9567">
        <v>25.126712477431202</v>
      </c>
      <c r="AI9567">
        <v>92.421181670489403</v>
      </c>
      <c r="AJ9567">
        <v>109.91198333335601</v>
      </c>
      <c r="AK9567">
        <v>26.7482568926604</v>
      </c>
      <c r="AL9567">
        <v>82.711702921612002</v>
      </c>
      <c r="AM9567">
        <v>106.437116684158</v>
      </c>
      <c r="AN9567">
        <v>0.99999994454875796</v>
      </c>
    </row>
    <row r="9568" spans="1:40" x14ac:dyDescent="0.25">
      <c r="A9568" t="str">
        <f>"20190303162134038"</f>
        <v>20190303162134038</v>
      </c>
      <c r="B9568" t="str">
        <f>"1551601294032144"</f>
        <v>1551601294032144</v>
      </c>
      <c r="C9568" t="s">
        <v>40</v>
      </c>
      <c r="D9568">
        <v>5.0233460000000001</v>
      </c>
      <c r="E9568">
        <v>0.47351110000000002</v>
      </c>
      <c r="F9568" t="s">
        <v>41</v>
      </c>
      <c r="G9568">
        <v>-186.63300000000001</v>
      </c>
      <c r="H9568" s="1">
        <v>-4.6654030000000001E-6</v>
      </c>
      <c r="I9568">
        <v>-30.884260000000001</v>
      </c>
      <c r="J9568">
        <v>-197.90819999999999</v>
      </c>
      <c r="K9568">
        <v>1.1299600000000001</v>
      </c>
      <c r="L9568">
        <v>-55.209629999999997</v>
      </c>
      <c r="M9568">
        <v>0.70225890000000002</v>
      </c>
      <c r="N9568">
        <v>-1.285178E-2</v>
      </c>
      <c r="O9568">
        <v>0.71180559999999904</v>
      </c>
      <c r="P9568">
        <v>0.47424529999999898</v>
      </c>
      <c r="Q9568">
        <v>0.11987920000000001</v>
      </c>
      <c r="R9568">
        <v>0.87219279999999999</v>
      </c>
      <c r="S9568">
        <v>1.2868189999999999</v>
      </c>
      <c r="T9568">
        <v>-0.1273627</v>
      </c>
      <c r="U9568">
        <v>2.759064</v>
      </c>
      <c r="V9568">
        <v>-0.27772239999999998</v>
      </c>
      <c r="W9568">
        <v>0.1262144</v>
      </c>
      <c r="X9568">
        <v>0.95233409999999996</v>
      </c>
      <c r="Y9568">
        <v>-0.33550140000000001</v>
      </c>
      <c r="Z9568">
        <v>-1.398391E-2</v>
      </c>
      <c r="AA9568">
        <v>0.94193590000000005</v>
      </c>
      <c r="AB9568">
        <v>28</v>
      </c>
      <c r="AC9568">
        <v>11.2752</v>
      </c>
      <c r="AD9568">
        <v>-1.129964665403</v>
      </c>
      <c r="AE9568">
        <v>24.325369999999999</v>
      </c>
      <c r="AF9568">
        <v>-9.0416457168846307</v>
      </c>
      <c r="AG9568">
        <v>-1.129964665403</v>
      </c>
      <c r="AH9568">
        <v>25.190386076077399</v>
      </c>
      <c r="AI9568">
        <v>92.417575695478703</v>
      </c>
      <c r="AJ9568">
        <v>109.74470690706301</v>
      </c>
      <c r="AK9568">
        <v>26.787753322676199</v>
      </c>
      <c r="AL9568">
        <v>82.749108911441496</v>
      </c>
      <c r="AM9568">
        <v>106.257891860291</v>
      </c>
      <c r="AN9568">
        <v>1.00000002212596</v>
      </c>
    </row>
    <row r="9569" spans="1:40" x14ac:dyDescent="0.25">
      <c r="A9569" t="str">
        <f>"20190303162134052"</f>
        <v>20190303162134052</v>
      </c>
      <c r="B9569" t="str">
        <f>"1551601294041904"</f>
        <v>1551601294041904</v>
      </c>
      <c r="C9569" t="s">
        <v>40</v>
      </c>
      <c r="D9569">
        <v>5.023428</v>
      </c>
      <c r="E9569">
        <v>0.47360910000000001</v>
      </c>
      <c r="F9569" t="s">
        <v>41</v>
      </c>
      <c r="G9569">
        <v>-186.67420000000001</v>
      </c>
      <c r="H9569" s="1">
        <v>-4.7020369999999996E-6</v>
      </c>
      <c r="I9569">
        <v>-30.781829999999999</v>
      </c>
      <c r="J9569">
        <v>-197.80070000000001</v>
      </c>
      <c r="K9569">
        <v>1.1299490000000001</v>
      </c>
      <c r="L9569">
        <v>-55.091340000000002</v>
      </c>
      <c r="M9569">
        <v>0.69752990000000004</v>
      </c>
      <c r="N9569">
        <v>-1.284984E-2</v>
      </c>
      <c r="O9569">
        <v>0.71644039999999998</v>
      </c>
      <c r="P9569">
        <v>0.46984759999999998</v>
      </c>
      <c r="Q9569">
        <v>0.1193973</v>
      </c>
      <c r="R9569">
        <v>0.87463559999999996</v>
      </c>
      <c r="S9569">
        <v>1.2718659999999999</v>
      </c>
      <c r="T9569">
        <v>-0.12792899999999999</v>
      </c>
      <c r="U9569">
        <v>2.7655940000000001</v>
      </c>
      <c r="V9569">
        <v>-0.2762423</v>
      </c>
      <c r="W9569">
        <v>0.1257731</v>
      </c>
      <c r="X9569">
        <v>0.95282279999999997</v>
      </c>
      <c r="Y9569">
        <v>-0.33431329999999998</v>
      </c>
      <c r="Z9569">
        <v>-1.4302850000000001E-2</v>
      </c>
      <c r="AA9569">
        <v>0.94235349999999996</v>
      </c>
      <c r="AB9569">
        <v>28</v>
      </c>
      <c r="AC9569">
        <v>11.126499999999901</v>
      </c>
      <c r="AD9569">
        <v>-1.1299537020370001</v>
      </c>
      <c r="AE9569">
        <v>24.30951</v>
      </c>
      <c r="AF9569">
        <v>-8.9698549032879793</v>
      </c>
      <c r="AG9569">
        <v>-1.1299537020370001</v>
      </c>
      <c r="AH9569">
        <v>25.134562202528301</v>
      </c>
      <c r="AI9569">
        <v>92.424496697608902</v>
      </c>
      <c r="AJ9569">
        <v>109.640127024452</v>
      </c>
      <c r="AK9569">
        <v>26.711070915774801</v>
      </c>
      <c r="AL9569">
        <v>82.774596376862704</v>
      </c>
      <c r="AM9569">
        <v>106.167926064337</v>
      </c>
      <c r="AN9569">
        <v>0.99999998459636896</v>
      </c>
    </row>
    <row r="9570" spans="1:40" x14ac:dyDescent="0.25">
      <c r="A9570" t="str">
        <f>"20190303162134065"</f>
        <v>20190303162134065</v>
      </c>
      <c r="B9570" t="str">
        <f>"1551601294052640"</f>
        <v>1551601294052640</v>
      </c>
      <c r="C9570" t="s">
        <v>40</v>
      </c>
      <c r="D9570">
        <v>5.0848300000000002</v>
      </c>
      <c r="E9570">
        <v>0.47368280000000001</v>
      </c>
      <c r="F9570" t="s">
        <v>41</v>
      </c>
      <c r="G9570">
        <v>-186.74629999999999</v>
      </c>
      <c r="H9570" s="1">
        <v>-4.7074689999999996E-6</v>
      </c>
      <c r="I9570">
        <v>-30.739350000000002</v>
      </c>
      <c r="J9570">
        <v>-197.69030000000001</v>
      </c>
      <c r="K9570">
        <v>1.1299429999999999</v>
      </c>
      <c r="L9570">
        <v>-54.968809999999998</v>
      </c>
      <c r="M9570">
        <v>0.69262279999999998</v>
      </c>
      <c r="N9570">
        <v>-1.284794E-2</v>
      </c>
      <c r="O9570">
        <v>0.72118559999999998</v>
      </c>
      <c r="P9570">
        <v>0.4652461</v>
      </c>
      <c r="Q9570">
        <v>0.118753399999999</v>
      </c>
      <c r="R9570">
        <v>0.87717939999999905</v>
      </c>
      <c r="S9570">
        <v>1.2581789999999999</v>
      </c>
      <c r="T9570">
        <v>-0.1286079</v>
      </c>
      <c r="U9570">
        <v>2.7716669999999999</v>
      </c>
      <c r="V9570">
        <v>-0.27478550000000002</v>
      </c>
      <c r="W9570">
        <v>0.125169899999999</v>
      </c>
      <c r="X9570">
        <v>0.95332340000000004</v>
      </c>
      <c r="Y9570">
        <v>-0.33251750000000002</v>
      </c>
      <c r="Z9570">
        <v>-1.46619E-2</v>
      </c>
      <c r="AA9570">
        <v>0.94298309999999996</v>
      </c>
      <c r="AB9570">
        <v>28</v>
      </c>
      <c r="AC9570">
        <v>10.944000000000001</v>
      </c>
      <c r="AD9570">
        <v>-1.1299477074690001</v>
      </c>
      <c r="AE9570">
        <v>24.22946</v>
      </c>
      <c r="AF9570">
        <v>-8.8739253864175502</v>
      </c>
      <c r="AG9570">
        <v>-1.1299477074690001</v>
      </c>
      <c r="AH9570">
        <v>25.010890722305099</v>
      </c>
      <c r="AI9570">
        <v>92.438050024013705</v>
      </c>
      <c r="AJ9570">
        <v>109.53480988598</v>
      </c>
      <c r="AK9570">
        <v>26.5625297799062</v>
      </c>
      <c r="AL9570">
        <v>82.809432894177405</v>
      </c>
      <c r="AM9570">
        <v>106.079073267556</v>
      </c>
      <c r="AN9570">
        <v>1.0000000399319</v>
      </c>
    </row>
    <row r="9571" spans="1:40" x14ac:dyDescent="0.25">
      <c r="A9571" t="str">
        <f>"20190303162134078"</f>
        <v>20190303162134078</v>
      </c>
      <c r="B9571" t="str">
        <f>"1551601294072160"</f>
        <v>1551601294072160</v>
      </c>
      <c r="C9571" t="s">
        <v>40</v>
      </c>
      <c r="D9571">
        <v>5.085356</v>
      </c>
      <c r="E9571">
        <v>0.47384270000000001</v>
      </c>
      <c r="F9571" t="s">
        <v>41</v>
      </c>
      <c r="G9571">
        <v>-186.87020000000001</v>
      </c>
      <c r="H9571" s="1">
        <v>-4.6583010000000002E-6</v>
      </c>
      <c r="I9571">
        <v>-30.80273</v>
      </c>
      <c r="J9571">
        <v>-197.58369999999999</v>
      </c>
      <c r="K9571">
        <v>1.129931</v>
      </c>
      <c r="L9571">
        <v>-54.84796</v>
      </c>
      <c r="M9571">
        <v>0.68780129999999995</v>
      </c>
      <c r="N9571">
        <v>-1.284632E-2</v>
      </c>
      <c r="O9571">
        <v>0.72578529999999997</v>
      </c>
      <c r="P9571">
        <v>0.46071620000000002</v>
      </c>
      <c r="Q9571">
        <v>0.1181048</v>
      </c>
      <c r="R9571">
        <v>0.87965439999999995</v>
      </c>
      <c r="S9571">
        <v>1.2438049999999901</v>
      </c>
      <c r="T9571">
        <v>-0.12989039999999999</v>
      </c>
      <c r="U9571">
        <v>2.7779539999999998</v>
      </c>
      <c r="V9571">
        <v>-0.27339089999999999</v>
      </c>
      <c r="W9571">
        <v>0.12455869999999999</v>
      </c>
      <c r="X9571">
        <v>0.95380430000000005</v>
      </c>
      <c r="Y9571">
        <v>-0.33109549999999999</v>
      </c>
      <c r="Z9571">
        <v>-1.513074E-2</v>
      </c>
      <c r="AA9571">
        <v>0.94347590000000003</v>
      </c>
      <c r="AB9571">
        <v>28</v>
      </c>
      <c r="AC9571">
        <v>10.7134999999999</v>
      </c>
      <c r="AD9571">
        <v>-1.1299356583010001</v>
      </c>
      <c r="AE9571">
        <v>24.04523</v>
      </c>
      <c r="AF9571">
        <v>-8.7472462775169593</v>
      </c>
      <c r="AG9571">
        <v>-1.1299356583010001</v>
      </c>
      <c r="AH9571">
        <v>24.776831542578101</v>
      </c>
      <c r="AI9571">
        <v>92.462389021897906</v>
      </c>
      <c r="AJ9571">
        <v>109.44513888032201</v>
      </c>
      <c r="AK9571">
        <v>26.299856526618701</v>
      </c>
      <c r="AL9571">
        <v>82.844728362034601</v>
      </c>
      <c r="AM9571">
        <v>105.994000531084</v>
      </c>
      <c r="AN9571">
        <v>1.0000000483234901</v>
      </c>
    </row>
    <row r="9572" spans="1:40" x14ac:dyDescent="0.25">
      <c r="A9572" t="str">
        <f>"20190303162134095"</f>
        <v>20190303162134095</v>
      </c>
      <c r="B9572" t="str">
        <f>"1551601294081920"</f>
        <v>1551601294081920</v>
      </c>
      <c r="C9572" t="s">
        <v>40</v>
      </c>
      <c r="D9572">
        <v>5.0217859999999996</v>
      </c>
      <c r="E9572">
        <v>0.47393079999999999</v>
      </c>
      <c r="F9572" t="s">
        <v>41</v>
      </c>
      <c r="G9572">
        <v>-186.97139999999999</v>
      </c>
      <c r="H9572" s="1">
        <v>-4.6268210000000003E-6</v>
      </c>
      <c r="I9572">
        <v>-30.83427</v>
      </c>
      <c r="J9572">
        <v>-197.44200000000001</v>
      </c>
      <c r="K9572">
        <v>1.1299220000000001</v>
      </c>
      <c r="L9572">
        <v>-54.685299999999998</v>
      </c>
      <c r="M9572">
        <v>0.68130109999999999</v>
      </c>
      <c r="N9572">
        <v>-1.2844339999999999E-2</v>
      </c>
      <c r="O9572">
        <v>0.73189059999999995</v>
      </c>
      <c r="P9572">
        <v>0.4551443</v>
      </c>
      <c r="Q9572">
        <v>0.1171029</v>
      </c>
      <c r="R9572">
        <v>0.88268369999999996</v>
      </c>
      <c r="S9572">
        <v>1.230194</v>
      </c>
      <c r="T9572">
        <v>-0.130983399999999</v>
      </c>
      <c r="U9572">
        <v>2.7836910000000001</v>
      </c>
      <c r="V9572">
        <v>-0.27097919999999998</v>
      </c>
      <c r="W9572">
        <v>0.12362089999999901</v>
      </c>
      <c r="X9572">
        <v>0.95461419999999997</v>
      </c>
      <c r="Y9572">
        <v>-0.32726090000000002</v>
      </c>
      <c r="Z9572">
        <v>-1.5678569999999999E-2</v>
      </c>
      <c r="AA9572">
        <v>0.94480399999999998</v>
      </c>
      <c r="AB9572">
        <v>28</v>
      </c>
      <c r="AC9572">
        <v>10.470599999999999</v>
      </c>
      <c r="AD9572">
        <v>-1.129926626821</v>
      </c>
      <c r="AE9572">
        <v>23.851030000000002</v>
      </c>
      <c r="AF9572">
        <v>-8.5709796554008193</v>
      </c>
      <c r="AG9572">
        <v>-1.129926626821</v>
      </c>
      <c r="AH9572">
        <v>24.545816853504899</v>
      </c>
      <c r="AI9572">
        <v>92.488510926637105</v>
      </c>
      <c r="AJ9572">
        <v>109.24832865266301</v>
      </c>
      <c r="AK9572">
        <v>26.023749757502198</v>
      </c>
      <c r="AL9572">
        <v>82.898878972982004</v>
      </c>
      <c r="AM9572">
        <v>105.847257475912</v>
      </c>
      <c r="AN9572">
        <v>1.0000000622955401</v>
      </c>
    </row>
    <row r="9573" spans="1:40" x14ac:dyDescent="0.25">
      <c r="A9573" t="str">
        <f>"20190303162134110"</f>
        <v>20190303162134110</v>
      </c>
      <c r="B9573" t="str">
        <f>"1551601294102416"</f>
        <v>1551601294102416</v>
      </c>
      <c r="C9573" t="s">
        <v>40</v>
      </c>
      <c r="D9573">
        <v>5.1416000000000004</v>
      </c>
      <c r="E9573">
        <v>0.47419899999999998</v>
      </c>
      <c r="F9573" t="s">
        <v>41</v>
      </c>
      <c r="G9573">
        <v>-187.19929999999999</v>
      </c>
      <c r="H9573" s="1">
        <v>-4.4658520000000003E-6</v>
      </c>
      <c r="I9573">
        <v>-31.115259999999999</v>
      </c>
      <c r="J9573">
        <v>-197.32730000000001</v>
      </c>
      <c r="K9573">
        <v>1.1299170000000001</v>
      </c>
      <c r="L9573">
        <v>-54.551699999999997</v>
      </c>
      <c r="M9573">
        <v>0.67595699999999903</v>
      </c>
      <c r="N9573">
        <v>-1.2842889999999999E-2</v>
      </c>
      <c r="O9573">
        <v>0.73682919999999996</v>
      </c>
      <c r="P9573">
        <v>0.44968340000000001</v>
      </c>
      <c r="Q9573">
        <v>0.1168994</v>
      </c>
      <c r="R9573">
        <v>0.88550509999999905</v>
      </c>
      <c r="S9573">
        <v>1.2128909999999999</v>
      </c>
      <c r="T9573">
        <v>-0.13380010000000001</v>
      </c>
      <c r="U9573">
        <v>2.7910460000000001</v>
      </c>
      <c r="V9573">
        <v>-0.26994030000000002</v>
      </c>
      <c r="W9573">
        <v>0.123443899999999</v>
      </c>
      <c r="X9573">
        <v>0.95493130000000004</v>
      </c>
      <c r="Y9573">
        <v>-0.3262254</v>
      </c>
      <c r="Z9573">
        <v>-1.647819E-2</v>
      </c>
      <c r="AA9573">
        <v>0.94514830000000005</v>
      </c>
      <c r="AB9573">
        <v>28</v>
      </c>
      <c r="AC9573">
        <v>10.128</v>
      </c>
      <c r="AD9573">
        <v>-1.129921465852</v>
      </c>
      <c r="AE9573">
        <v>23.436440000000001</v>
      </c>
      <c r="AF9573">
        <v>-8.3637288644239298</v>
      </c>
      <c r="AG9573">
        <v>-1.129921465852</v>
      </c>
      <c r="AH9573">
        <v>24.0695903719533</v>
      </c>
      <c r="AI9573">
        <v>92.539011894364606</v>
      </c>
      <c r="AJ9573">
        <v>109.161375525813</v>
      </c>
      <c r="AK9573">
        <v>25.506349478320399</v>
      </c>
      <c r="AL9573">
        <v>82.909097979032794</v>
      </c>
      <c r="AM9573">
        <v>105.78455430129701</v>
      </c>
      <c r="AN9573">
        <v>0.99999997486549397</v>
      </c>
    </row>
    <row r="9574" spans="1:40" x14ac:dyDescent="0.25">
      <c r="A9574" t="str">
        <f>"20190303162134131"</f>
        <v>20190303162134131</v>
      </c>
      <c r="B9574" t="str">
        <f>"1551601294121936"</f>
        <v>1551601294121936</v>
      </c>
      <c r="C9574" t="s">
        <v>40</v>
      </c>
      <c r="D9574">
        <v>5.017671</v>
      </c>
      <c r="E9574">
        <v>0.47447729999999999</v>
      </c>
      <c r="F9574" t="s">
        <v>41</v>
      </c>
      <c r="G9574">
        <v>-187.2456</v>
      </c>
      <c r="H9574" s="1">
        <v>-4.5065790000000002E-6</v>
      </c>
      <c r="I9574">
        <v>-31.001169999999998</v>
      </c>
      <c r="J9574">
        <v>-197.15289999999999</v>
      </c>
      <c r="K9574">
        <v>1.1299110000000001</v>
      </c>
      <c r="L9574">
        <v>-54.344389999999997</v>
      </c>
      <c r="M9574">
        <v>0.66766990000000004</v>
      </c>
      <c r="N9574">
        <v>-1.284101E-2</v>
      </c>
      <c r="O9574">
        <v>0.74434669999999903</v>
      </c>
      <c r="P9574">
        <v>0.44167020000000001</v>
      </c>
      <c r="Q9574">
        <v>0.1174481</v>
      </c>
      <c r="R9574">
        <v>0.88945669999999899</v>
      </c>
      <c r="S9574">
        <v>1.1975559999999901</v>
      </c>
      <c r="T9574">
        <v>-0.134218</v>
      </c>
      <c r="U9574">
        <v>2.7974549999999998</v>
      </c>
      <c r="V9574">
        <v>-0.2678353</v>
      </c>
      <c r="W9574">
        <v>0.1240453</v>
      </c>
      <c r="X9574">
        <v>0.95544600000000002</v>
      </c>
      <c r="Y9574">
        <v>-0.32081150000000003</v>
      </c>
      <c r="Z9574">
        <v>-1.6992529999999999E-2</v>
      </c>
      <c r="AA9574">
        <v>0.94699060000000002</v>
      </c>
      <c r="AB9574">
        <v>28</v>
      </c>
      <c r="AC9574">
        <v>9.9072999999999904</v>
      </c>
      <c r="AD9574">
        <v>-1.1299155065790001</v>
      </c>
      <c r="AE9574">
        <v>23.343219999999999</v>
      </c>
      <c r="AF9574">
        <v>-8.19550531041717</v>
      </c>
      <c r="AG9574">
        <v>-1.1299155065790001</v>
      </c>
      <c r="AH9574">
        <v>23.944694025554298</v>
      </c>
      <c r="AI9574">
        <v>92.5563231515372</v>
      </c>
      <c r="AJ9574">
        <v>108.89444010897699</v>
      </c>
      <c r="AK9574">
        <v>25.3336019610812</v>
      </c>
      <c r="AL9574">
        <v>82.874373741301497</v>
      </c>
      <c r="AM9574">
        <v>105.659506809427</v>
      </c>
      <c r="AN9574">
        <v>1.0000000216470799</v>
      </c>
    </row>
    <row r="9575" spans="1:40" x14ac:dyDescent="0.25">
      <c r="A9575" t="str">
        <f>"20190303162134154"</f>
        <v>20190303162134154</v>
      </c>
      <c r="B9575" t="str">
        <f>"1551601294142432"</f>
        <v>1551601294142432</v>
      </c>
      <c r="C9575" t="s">
        <v>40</v>
      </c>
      <c r="D9575">
        <v>5.1341869999999998</v>
      </c>
      <c r="E9575">
        <v>0.47866989999999998</v>
      </c>
      <c r="F9575" t="s">
        <v>41</v>
      </c>
      <c r="G9575">
        <v>-187.07980000000001</v>
      </c>
      <c r="H9575" s="1">
        <v>-8.0781649999999899E-7</v>
      </c>
      <c r="I9575">
        <v>-30.261330000000001</v>
      </c>
      <c r="J9575">
        <v>-196.97710000000001</v>
      </c>
      <c r="K9575">
        <v>1.129915</v>
      </c>
      <c r="L9575">
        <v>-54.130619999999901</v>
      </c>
      <c r="M9575">
        <v>0.65912119999999996</v>
      </c>
      <c r="N9575">
        <v>-1.283952E-2</v>
      </c>
      <c r="O9575">
        <v>0.75192720000000002</v>
      </c>
      <c r="P9575">
        <v>0.43353999999999998</v>
      </c>
      <c r="Q9575">
        <v>0.1178341</v>
      </c>
      <c r="R9575">
        <v>0.893396999999999</v>
      </c>
      <c r="S9575">
        <v>1.1741490000000001</v>
      </c>
      <c r="T9575">
        <v>-0.13170580000000001</v>
      </c>
      <c r="U9575">
        <v>2.8071899999999999</v>
      </c>
      <c r="V9575">
        <v>-0.26560209999999901</v>
      </c>
      <c r="W9575">
        <v>0.12448579999999999</v>
      </c>
      <c r="X9575">
        <v>0.95601199999999997</v>
      </c>
      <c r="Y9575">
        <v>-0.31787959999999998</v>
      </c>
      <c r="Z9575">
        <v>-1.6840709999999998E-2</v>
      </c>
      <c r="AA9575">
        <v>0.94798150000000003</v>
      </c>
      <c r="AB9575">
        <v>28</v>
      </c>
      <c r="AC9575">
        <v>9.8972999999999995</v>
      </c>
      <c r="AD9575">
        <v>-1.1299158078164999</v>
      </c>
      <c r="AE9575">
        <v>23.869289999999999</v>
      </c>
      <c r="AF9575">
        <v>-8.2755652123255103</v>
      </c>
      <c r="AG9575">
        <v>-1.1299158078164999</v>
      </c>
      <c r="AH9575">
        <v>24.4267979546348</v>
      </c>
      <c r="AI9575">
        <v>92.508592751578604</v>
      </c>
      <c r="AJ9575">
        <v>108.715888021852</v>
      </c>
      <c r="AK9575">
        <v>25.815308397010401</v>
      </c>
      <c r="AL9575">
        <v>82.848938122961997</v>
      </c>
      <c r="AM9575">
        <v>105.526515189283</v>
      </c>
      <c r="AN9575">
        <v>1.00000006703502</v>
      </c>
    </row>
    <row r="9576" spans="1:40" x14ac:dyDescent="0.25">
      <c r="A9576" t="str">
        <f>"20190303162134175"</f>
        <v>20190303162134175</v>
      </c>
      <c r="B9576" t="str">
        <f>"1551601294161952"</f>
        <v>1551601294161952</v>
      </c>
      <c r="C9576" t="s">
        <v>40</v>
      </c>
      <c r="D9576">
        <v>5.1350189999999998</v>
      </c>
      <c r="E9576">
        <v>0.47954330000000001</v>
      </c>
      <c r="F9576" t="s">
        <v>41</v>
      </c>
      <c r="G9576">
        <v>-185.0514</v>
      </c>
      <c r="H9576" s="1">
        <v>-2.8826749999999999E-6</v>
      </c>
      <c r="I9576">
        <v>-25.750209999999999</v>
      </c>
      <c r="J9576">
        <v>-196.80590000000001</v>
      </c>
      <c r="K9576">
        <v>1.1299140000000001</v>
      </c>
      <c r="L9576">
        <v>-53.917450000000002</v>
      </c>
      <c r="M9576">
        <v>0.6505919</v>
      </c>
      <c r="N9576">
        <v>-1.283833E-2</v>
      </c>
      <c r="O9576">
        <v>0.75931899999999997</v>
      </c>
      <c r="P9576">
        <v>0.42519370000000001</v>
      </c>
      <c r="Q9576">
        <v>0.1170918</v>
      </c>
      <c r="R9576">
        <v>0.89749650000000003</v>
      </c>
      <c r="S9576">
        <v>1.1771849999999999</v>
      </c>
      <c r="T9576">
        <v>-0.11153390000000001</v>
      </c>
      <c r="U9576">
        <v>2.8014220000000001</v>
      </c>
      <c r="V9576">
        <v>-0.26376660000000002</v>
      </c>
      <c r="W9576">
        <v>0.1237893</v>
      </c>
      <c r="X9576">
        <v>0.95661039999999997</v>
      </c>
      <c r="Y9576">
        <v>-0.30558079999999999</v>
      </c>
      <c r="Z9576">
        <v>-1.306738E-2</v>
      </c>
      <c r="AA9576">
        <v>0.95207649999999999</v>
      </c>
      <c r="AB9576">
        <v>28</v>
      </c>
      <c r="AC9576">
        <v>11.7545</v>
      </c>
      <c r="AD9576">
        <v>-1.1299168826749999</v>
      </c>
      <c r="AE9576">
        <v>28.16724</v>
      </c>
      <c r="AF9576">
        <v>-9.3878716778273397</v>
      </c>
      <c r="AG9576">
        <v>-1.1299168826749999</v>
      </c>
      <c r="AH9576">
        <v>28.997954413360599</v>
      </c>
      <c r="AI9576">
        <v>92.123045450677296</v>
      </c>
      <c r="AJ9576">
        <v>107.938973821594</v>
      </c>
      <c r="AK9576">
        <v>30.500659123377002</v>
      </c>
      <c r="AL9576">
        <v>82.889155475762806</v>
      </c>
      <c r="AM9576">
        <v>105.41515227789399</v>
      </c>
      <c r="AN9576">
        <v>1.0000000337291</v>
      </c>
    </row>
    <row r="9577" spans="1:40" x14ac:dyDescent="0.25">
      <c r="A9577" t="str">
        <f>"20190303162134197"</f>
        <v>20190303162134197</v>
      </c>
      <c r="B9577" t="str">
        <f>"1551601294182448"</f>
        <v>1551601294182448</v>
      </c>
      <c r="C9577" t="s">
        <v>40</v>
      </c>
      <c r="D9577">
        <v>5.0732109999999997</v>
      </c>
      <c r="E9577">
        <v>0.4800372</v>
      </c>
      <c r="F9577" t="s">
        <v>41</v>
      </c>
      <c r="G9577">
        <v>-185.31460000000001</v>
      </c>
      <c r="H9577" s="1">
        <v>-2.7253290000000001E-6</v>
      </c>
      <c r="I9577">
        <v>-26.006799999999998</v>
      </c>
      <c r="J9577">
        <v>-196.63890000000001</v>
      </c>
      <c r="K9577">
        <v>1.1299049999999999</v>
      </c>
      <c r="L9577">
        <v>-53.704770000000003</v>
      </c>
      <c r="M9577">
        <v>0.64207380000000003</v>
      </c>
      <c r="N9577">
        <v>-1.283747E-2</v>
      </c>
      <c r="O9577">
        <v>0.76653530000000003</v>
      </c>
      <c r="P9577">
        <v>0.4165547</v>
      </c>
      <c r="Q9577">
        <v>0.115415</v>
      </c>
      <c r="R9577">
        <v>0.90175470000000002</v>
      </c>
      <c r="S9577">
        <v>1.1567080000000001</v>
      </c>
      <c r="T9577">
        <v>-0.11373709999999999</v>
      </c>
      <c r="U9577">
        <v>2.8094790000000001</v>
      </c>
      <c r="V9577">
        <v>-0.26237359999999998</v>
      </c>
      <c r="W9577">
        <v>0.1221487</v>
      </c>
      <c r="X9577">
        <v>0.95720419999999995</v>
      </c>
      <c r="Y9577">
        <v>-0.30184640000000001</v>
      </c>
      <c r="Z9577">
        <v>-1.3856820000000001E-2</v>
      </c>
      <c r="AA9577">
        <v>0.95325590000000004</v>
      </c>
      <c r="AB9577">
        <v>28</v>
      </c>
      <c r="AC9577">
        <v>11.3242999999999</v>
      </c>
      <c r="AD9577">
        <v>-1.129907725329</v>
      </c>
      <c r="AE9577">
        <v>27.697970000000002</v>
      </c>
      <c r="AF9577">
        <v>-9.0914530529986006</v>
      </c>
      <c r="AG9577">
        <v>-1.129907725329</v>
      </c>
      <c r="AH9577">
        <v>28.464273425484901</v>
      </c>
      <c r="AI9577">
        <v>92.165532859847303</v>
      </c>
      <c r="AJ9577">
        <v>107.713416455437</v>
      </c>
      <c r="AK9577">
        <v>29.9022753603033</v>
      </c>
      <c r="AL9577">
        <v>82.983873887548299</v>
      </c>
      <c r="AM9577">
        <v>105.328518272126</v>
      </c>
      <c r="AN9577">
        <v>1.0000000456931399</v>
      </c>
    </row>
    <row r="9578" spans="1:40" x14ac:dyDescent="0.25">
      <c r="A9578" t="str">
        <f>"20190303162134210"</f>
        <v>20190303162134210</v>
      </c>
      <c r="B9578" t="str">
        <f>"1551601294201969"</f>
        <v>1551601294201969</v>
      </c>
      <c r="C9578" t="s">
        <v>40</v>
      </c>
      <c r="D9578">
        <v>5.0754769999999896</v>
      </c>
      <c r="E9578">
        <v>0.4805797</v>
      </c>
      <c r="F9578" t="s">
        <v>41</v>
      </c>
      <c r="G9578">
        <v>-186.22409999999999</v>
      </c>
      <c r="H9578" s="1">
        <v>-1.8759699999999999E-6</v>
      </c>
      <c r="I9578">
        <v>-27.79157</v>
      </c>
      <c r="J9578">
        <v>-196.53450000000001</v>
      </c>
      <c r="K9578">
        <v>1.1299049999999999</v>
      </c>
      <c r="L9578">
        <v>-53.569429999999997</v>
      </c>
      <c r="M9578">
        <v>0.6366503</v>
      </c>
      <c r="N9578">
        <v>-1.2837019999999999E-2</v>
      </c>
      <c r="O9578">
        <v>0.77104569999999995</v>
      </c>
      <c r="P9578">
        <v>0.41091220000000001</v>
      </c>
      <c r="Q9578">
        <v>0.114383399999999</v>
      </c>
      <c r="R9578">
        <v>0.90447089999999997</v>
      </c>
      <c r="S9578">
        <v>1.133057</v>
      </c>
      <c r="T9578">
        <v>-0.12292640000000001</v>
      </c>
      <c r="U9578">
        <v>2.8191830000000002</v>
      </c>
      <c r="V9578">
        <v>-0.26166230000000001</v>
      </c>
      <c r="W9578">
        <v>0.1211363</v>
      </c>
      <c r="X9578">
        <v>0.95752749999999998</v>
      </c>
      <c r="Y9578">
        <v>-0.30314760000000002</v>
      </c>
      <c r="Z9578">
        <v>-1.6017420000000001E-2</v>
      </c>
      <c r="AA9578">
        <v>0.95280900000000002</v>
      </c>
      <c r="AB9578">
        <v>28</v>
      </c>
      <c r="AC9578">
        <v>10.3104</v>
      </c>
      <c r="AD9578">
        <v>-1.1299068759699999</v>
      </c>
      <c r="AE9578">
        <v>25.77786</v>
      </c>
      <c r="AF9578">
        <v>-8.4483973867736299</v>
      </c>
      <c r="AG9578">
        <v>-1.1299068759699999</v>
      </c>
      <c r="AH9578">
        <v>26.398483794475599</v>
      </c>
      <c r="AI9578">
        <v>92.334382857764894</v>
      </c>
      <c r="AJ9578">
        <v>107.746409228389</v>
      </c>
      <c r="AK9578">
        <v>27.740440778769202</v>
      </c>
      <c r="AL9578">
        <v>83.042314058127005</v>
      </c>
      <c r="AM9578">
        <v>105.283988858898</v>
      </c>
      <c r="AN9578">
        <v>1.0000000378376099</v>
      </c>
    </row>
    <row r="9579" spans="1:40" x14ac:dyDescent="0.25">
      <c r="A9579" t="str">
        <f>"20190303162134231"</f>
        <v>20190303162134231</v>
      </c>
      <c r="B9579" t="str">
        <f>"1551601294222464"</f>
        <v>1551601294222464</v>
      </c>
      <c r="C9579" t="s">
        <v>40</v>
      </c>
      <c r="D9579">
        <v>5.0778790000000003</v>
      </c>
      <c r="E9579">
        <v>0.48119070000000003</v>
      </c>
      <c r="F9579" t="s">
        <v>41</v>
      </c>
      <c r="G9579">
        <v>-186.54650000000001</v>
      </c>
      <c r="H9579" s="1">
        <v>-1.5947829999999999E-6</v>
      </c>
      <c r="I9579">
        <v>-28.365780000000001</v>
      </c>
      <c r="J9579">
        <v>-196.3809</v>
      </c>
      <c r="K9579">
        <v>1.129896</v>
      </c>
      <c r="L9579">
        <v>-53.366329999999998</v>
      </c>
      <c r="M9579">
        <v>0.62850810000000001</v>
      </c>
      <c r="N9579">
        <v>-1.2836490000000001E-2</v>
      </c>
      <c r="O9579">
        <v>0.77769709999999903</v>
      </c>
      <c r="P9579">
        <v>0.40248339999999999</v>
      </c>
      <c r="Q9579">
        <v>0.11318449999999999</v>
      </c>
      <c r="R9579">
        <v>0.90840319999999997</v>
      </c>
      <c r="S9579">
        <v>1.119278</v>
      </c>
      <c r="T9579">
        <v>-0.1266196</v>
      </c>
      <c r="U9579">
        <v>2.8243710000000002</v>
      </c>
      <c r="V9579">
        <v>-0.26056610000000002</v>
      </c>
      <c r="W9579">
        <v>0.11996569999999999</v>
      </c>
      <c r="X9579">
        <v>0.95797370000000004</v>
      </c>
      <c r="Y9579">
        <v>-0.29774800000000001</v>
      </c>
      <c r="Z9579">
        <v>-1.7196099999999999E-2</v>
      </c>
      <c r="AA9579">
        <v>0.95448960000000005</v>
      </c>
      <c r="AB9579">
        <v>28</v>
      </c>
      <c r="AC9579">
        <v>9.8343999999999792</v>
      </c>
      <c r="AD9579">
        <v>-1.1298975947829999</v>
      </c>
      <c r="AE9579">
        <v>25.00055</v>
      </c>
      <c r="AF9579">
        <v>-8.0512867310217704</v>
      </c>
      <c r="AG9579">
        <v>-1.1298975947829999</v>
      </c>
      <c r="AH9579">
        <v>25.580717881302501</v>
      </c>
      <c r="AI9579">
        <v>92.412577101071804</v>
      </c>
      <c r="AJ9579">
        <v>107.47089773621001</v>
      </c>
      <c r="AK9579">
        <v>26.841628376881602</v>
      </c>
      <c r="AL9579">
        <v>83.109877213843902</v>
      </c>
      <c r="AM9579">
        <v>105.216173767003</v>
      </c>
      <c r="AN9579">
        <v>1.00000003576869</v>
      </c>
    </row>
    <row r="9580" spans="1:40" x14ac:dyDescent="0.25">
      <c r="A9580" t="str">
        <f>"20190303162134251"</f>
        <v>20190303162134251</v>
      </c>
      <c r="B9580" t="str">
        <f>"1551601294241984"</f>
        <v>1551601294241984</v>
      </c>
      <c r="C9580" t="s">
        <v>40</v>
      </c>
      <c r="D9580">
        <v>5.0856130000000004</v>
      </c>
      <c r="E9580">
        <v>0.48132979999999997</v>
      </c>
      <c r="F9580" t="s">
        <v>41</v>
      </c>
      <c r="G9580">
        <v>-186.8092</v>
      </c>
      <c r="H9580" s="1">
        <v>-1.428418E-6</v>
      </c>
      <c r="I9580">
        <v>-28.649249999999999</v>
      </c>
      <c r="J9580">
        <v>-196.22839999999999</v>
      </c>
      <c r="K9580">
        <v>1.12988</v>
      </c>
      <c r="L9580">
        <v>-53.160339999999998</v>
      </c>
      <c r="M9580">
        <v>0.62024630000000003</v>
      </c>
      <c r="N9580">
        <v>-1.2836149999999999E-2</v>
      </c>
      <c r="O9580">
        <v>0.7843021</v>
      </c>
      <c r="P9580">
        <v>0.39340530000000001</v>
      </c>
      <c r="Q9580">
        <v>0.1124486</v>
      </c>
      <c r="R9580">
        <v>0.91246240000000001</v>
      </c>
      <c r="S9580">
        <v>1.096924</v>
      </c>
      <c r="T9580">
        <v>-0.12948779999999999</v>
      </c>
      <c r="U9580">
        <v>2.832611</v>
      </c>
      <c r="V9580">
        <v>-0.2600247</v>
      </c>
      <c r="W9580">
        <v>0.11924369999999999</v>
      </c>
      <c r="X9580">
        <v>0.95821089999999998</v>
      </c>
      <c r="Y9580">
        <v>-0.29513869999999998</v>
      </c>
      <c r="Z9580">
        <v>-1.8158110000000002E-2</v>
      </c>
      <c r="AA9580">
        <v>0.95528190000000002</v>
      </c>
      <c r="AB9580">
        <v>28</v>
      </c>
      <c r="AC9580">
        <v>9.4191999999999894</v>
      </c>
      <c r="AD9580">
        <v>-1.1298814284180001</v>
      </c>
      <c r="AE9580">
        <v>24.511089999999999</v>
      </c>
      <c r="AF9580">
        <v>-7.8016137547653601</v>
      </c>
      <c r="AG9580">
        <v>-1.1298814284180001</v>
      </c>
      <c r="AH9580">
        <v>25.022060145530201</v>
      </c>
      <c r="AI9580">
        <v>92.468415294878099</v>
      </c>
      <c r="AJ9580">
        <v>107.316926356607</v>
      </c>
      <c r="AK9580">
        <v>26.234429727885502</v>
      </c>
      <c r="AL9580">
        <v>83.151543735341306</v>
      </c>
      <c r="AM9580">
        <v>105.182433578477</v>
      </c>
      <c r="AN9580">
        <v>1.00000001673929</v>
      </c>
    </row>
    <row r="9581" spans="1:40" x14ac:dyDescent="0.25">
      <c r="A9581" t="str">
        <f>"20190303162134266"</f>
        <v>20190303162134266</v>
      </c>
      <c r="B9581" t="str">
        <f>"1551601294251744"</f>
        <v>1551601294251744</v>
      </c>
      <c r="C9581" t="s">
        <v>40</v>
      </c>
      <c r="D9581">
        <v>5.1460179999999998</v>
      </c>
      <c r="E9581">
        <v>0.47577219999999998</v>
      </c>
      <c r="F9581" t="s">
        <v>41</v>
      </c>
      <c r="G9581">
        <v>-187.07910000000001</v>
      </c>
      <c r="H9581" s="1">
        <v>-1.2897229999999999E-6</v>
      </c>
      <c r="I9581">
        <v>-28.845749999999999</v>
      </c>
      <c r="J9581">
        <v>-196.1225</v>
      </c>
      <c r="K9581">
        <v>1.1298779999999999</v>
      </c>
      <c r="L9581">
        <v>-53.014980000000001</v>
      </c>
      <c r="M9581">
        <v>0.61440689999999998</v>
      </c>
      <c r="N9581">
        <v>-1.283598E-2</v>
      </c>
      <c r="O9581">
        <v>0.78888499999999995</v>
      </c>
      <c r="P9581">
        <v>0.38664150000000003</v>
      </c>
      <c r="Q9581">
        <v>0.11218599999999999</v>
      </c>
      <c r="R9581">
        <v>0.91538109999999995</v>
      </c>
      <c r="S9581">
        <v>1.069733</v>
      </c>
      <c r="T9581">
        <v>-0.1321058</v>
      </c>
      <c r="U9581">
        <v>2.8428650000000002</v>
      </c>
      <c r="V9581">
        <v>-0.260017</v>
      </c>
      <c r="W9581">
        <v>0.1189814</v>
      </c>
      <c r="X9581">
        <v>0.95824560000000003</v>
      </c>
      <c r="Y9581">
        <v>-0.29718679999999997</v>
      </c>
      <c r="Z9581">
        <v>-1.8905689999999999E-2</v>
      </c>
      <c r="AA9581">
        <v>0.95463220000000004</v>
      </c>
      <c r="AB9581">
        <v>28</v>
      </c>
      <c r="AC9581">
        <v>9.0433999999999894</v>
      </c>
      <c r="AD9581">
        <v>-1.1298792897229999</v>
      </c>
      <c r="AE9581">
        <v>24.169229999999999</v>
      </c>
      <c r="AF9581">
        <v>-7.7014102539155402</v>
      </c>
      <c r="AG9581">
        <v>-1.1298792897229999</v>
      </c>
      <c r="AH9581">
        <v>24.5779802134021</v>
      </c>
      <c r="AI9581">
        <v>92.511841602195503</v>
      </c>
      <c r="AJ9581">
        <v>107.39817049118101</v>
      </c>
      <c r="AK9581">
        <v>25.7811066185849</v>
      </c>
      <c r="AL9581">
        <v>83.166680213366803</v>
      </c>
      <c r="AM9581">
        <v>105.181480341439</v>
      </c>
      <c r="AN9581">
        <v>1.0000000218771501</v>
      </c>
    </row>
    <row r="9582" spans="1:40" x14ac:dyDescent="0.25">
      <c r="A9582" t="str">
        <f>"20190303162134287"</f>
        <v>20190303162134287</v>
      </c>
      <c r="B9582" t="str">
        <f>"1551601294272240"</f>
        <v>1551601294272240</v>
      </c>
      <c r="C9582" t="s">
        <v>40</v>
      </c>
      <c r="D9582">
        <v>5.0742729999999998</v>
      </c>
      <c r="E9582">
        <v>0.47533170000000002</v>
      </c>
      <c r="F9582" t="s">
        <v>41</v>
      </c>
      <c r="G9582">
        <v>-187.0744</v>
      </c>
      <c r="H9582" s="1">
        <v>-1.848518E-6</v>
      </c>
      <c r="I9582">
        <v>-27.267949999999999</v>
      </c>
      <c r="J9582">
        <v>-195.9743</v>
      </c>
      <c r="K9582">
        <v>1.1298809999999999</v>
      </c>
      <c r="L9582">
        <v>-52.807040000000001</v>
      </c>
      <c r="M9582">
        <v>0.60605520000000002</v>
      </c>
      <c r="N9582">
        <v>-1.283577E-2</v>
      </c>
      <c r="O9582">
        <v>0.795319</v>
      </c>
      <c r="P9582">
        <v>0.3772257</v>
      </c>
      <c r="Q9582">
        <v>0.11271440000000001</v>
      </c>
      <c r="R9582">
        <v>0.91923679999999997</v>
      </c>
      <c r="S9582">
        <v>1.007584</v>
      </c>
      <c r="T9582">
        <v>-0.12582189999999999</v>
      </c>
      <c r="U9582">
        <v>2.8671570000000002</v>
      </c>
      <c r="V9582">
        <v>-0.25972099999999998</v>
      </c>
      <c r="W9582">
        <v>0.11951589999999999</v>
      </c>
      <c r="X9582">
        <v>0.95825930000000004</v>
      </c>
      <c r="Y9582">
        <v>-0.30804979999999998</v>
      </c>
      <c r="Z9582">
        <v>-1.7515309999999999E-2</v>
      </c>
      <c r="AA9582">
        <v>0.95120899999999997</v>
      </c>
      <c r="AB9582">
        <v>28</v>
      </c>
      <c r="AC9582">
        <v>8.8999000000000006</v>
      </c>
      <c r="AD9582">
        <v>-1.1298828485179999</v>
      </c>
      <c r="AE9582">
        <v>25.539089999999899</v>
      </c>
      <c r="AF9582">
        <v>-8.3858946467572295</v>
      </c>
      <c r="AG9582">
        <v>-1.1298828485179999</v>
      </c>
      <c r="AH9582">
        <v>25.662881901246401</v>
      </c>
      <c r="AI9582">
        <v>92.396440839599194</v>
      </c>
      <c r="AJ9582">
        <v>108.09590895206</v>
      </c>
      <c r="AK9582">
        <v>27.021905405711198</v>
      </c>
      <c r="AL9582">
        <v>83.1358351471101</v>
      </c>
      <c r="AM9582">
        <v>105.16478744704099</v>
      </c>
      <c r="AN9582">
        <v>0.99999996711514905</v>
      </c>
    </row>
    <row r="9583" spans="1:40" x14ac:dyDescent="0.25">
      <c r="A9583" t="str">
        <f>"20190303162134301"</f>
        <v>20190303162134301</v>
      </c>
      <c r="B9583" t="str">
        <f>"1551601294291761"</f>
        <v>1551601294291761</v>
      </c>
      <c r="C9583" t="s">
        <v>40</v>
      </c>
      <c r="D9583">
        <v>5.197832</v>
      </c>
      <c r="E9583">
        <v>0.47503240000000002</v>
      </c>
      <c r="F9583" t="s">
        <v>41</v>
      </c>
      <c r="G9583">
        <v>-186.29769999999999</v>
      </c>
      <c r="H9583" s="1">
        <v>-3.2845000000000001E-6</v>
      </c>
      <c r="I9583">
        <v>-24.241800000000001</v>
      </c>
      <c r="J9583">
        <v>-195.87029999999999</v>
      </c>
      <c r="K9583">
        <v>1.1298809999999999</v>
      </c>
      <c r="L9583">
        <v>-52.658169999999998</v>
      </c>
      <c r="M9583">
        <v>0.60007630000000001</v>
      </c>
      <c r="N9583">
        <v>-1.283568E-2</v>
      </c>
      <c r="O9583">
        <v>0.79983979999999999</v>
      </c>
      <c r="P9583">
        <v>0.37043189999999998</v>
      </c>
      <c r="Q9583">
        <v>0.11319079999999999</v>
      </c>
      <c r="R9583">
        <v>0.92193709999999995</v>
      </c>
      <c r="S9583">
        <v>0.97477720000000001</v>
      </c>
      <c r="T9583">
        <v>-0.1138195</v>
      </c>
      <c r="U9583">
        <v>2.8775330000000001</v>
      </c>
      <c r="V9583">
        <v>-0.25958389999999998</v>
      </c>
      <c r="W9583">
        <v>0.119995</v>
      </c>
      <c r="X9583">
        <v>0.95823659999999999</v>
      </c>
      <c r="Y9583">
        <v>-0.31167549999999999</v>
      </c>
      <c r="Z9583">
        <v>-1.4863639999999999E-2</v>
      </c>
      <c r="AA9583">
        <v>0.95007229999999998</v>
      </c>
      <c r="AB9583">
        <v>28</v>
      </c>
      <c r="AC9583">
        <v>9.5725999999999907</v>
      </c>
      <c r="AD9583">
        <v>-1.1298842844999999</v>
      </c>
      <c r="AE9583">
        <v>28.416370000000001</v>
      </c>
      <c r="AF9583">
        <v>-9.3828951710067603</v>
      </c>
      <c r="AG9583">
        <v>-1.1298842844999999</v>
      </c>
      <c r="AH9583">
        <v>28.434805848676799</v>
      </c>
      <c r="AI9583">
        <v>92.161010229029202</v>
      </c>
      <c r="AJ9583">
        <v>108.261816464424</v>
      </c>
      <c r="AK9583">
        <v>29.964204376862799</v>
      </c>
      <c r="AL9583">
        <v>83.108185924906905</v>
      </c>
      <c r="AM9583">
        <v>105.157493266907</v>
      </c>
      <c r="AN9583">
        <v>0.999999991371885</v>
      </c>
    </row>
    <row r="9584" spans="1:40" x14ac:dyDescent="0.25">
      <c r="A9584" t="str">
        <f>"20190303162134319"</f>
        <v>20190303162134319</v>
      </c>
      <c r="B9584" t="str">
        <f>"1551601294312256"</f>
        <v>1551601294312256</v>
      </c>
      <c r="C9584" t="s">
        <v>40</v>
      </c>
      <c r="D9584">
        <v>5.1384449999999999</v>
      </c>
      <c r="E9584">
        <v>0.47546319999999997</v>
      </c>
      <c r="F9584" t="s">
        <v>41</v>
      </c>
      <c r="G9584">
        <v>-185.76419999999999</v>
      </c>
      <c r="H9584" s="1">
        <v>-4.3392779999999999E-6</v>
      </c>
      <c r="I9584">
        <v>-22.003679999999999</v>
      </c>
      <c r="J9584">
        <v>-195.7433</v>
      </c>
      <c r="K9584">
        <v>1.1298859999999999</v>
      </c>
      <c r="L9584">
        <v>-52.472990000000003</v>
      </c>
      <c r="M9584">
        <v>0.59263529999999998</v>
      </c>
      <c r="N9584">
        <v>-1.283566E-2</v>
      </c>
      <c r="O9584">
        <v>0.80536869999999905</v>
      </c>
      <c r="P9584">
        <v>0.36244729999999997</v>
      </c>
      <c r="Q9584">
        <v>0.113261899999999</v>
      </c>
      <c r="R9584">
        <v>0.92509660000000005</v>
      </c>
      <c r="S9584">
        <v>0.95109560000000004</v>
      </c>
      <c r="T9584">
        <v>-0.1063344</v>
      </c>
      <c r="U9584">
        <v>2.8849179999999999</v>
      </c>
      <c r="V9584">
        <v>-0.25898080000000001</v>
      </c>
      <c r="W9584">
        <v>0.1200807</v>
      </c>
      <c r="X9584">
        <v>0.95838900000000005</v>
      </c>
      <c r="Y9584">
        <v>-0.31062149999999999</v>
      </c>
      <c r="Z9584">
        <v>-1.3331020000000001E-2</v>
      </c>
      <c r="AA9584">
        <v>0.95044019999999996</v>
      </c>
      <c r="AB9584">
        <v>28</v>
      </c>
      <c r="AC9584">
        <v>9.9791000000000096</v>
      </c>
      <c r="AD9584">
        <v>-1.129890339278</v>
      </c>
      <c r="AE9584">
        <v>30.46931</v>
      </c>
      <c r="AF9584">
        <v>-10.008728841943199</v>
      </c>
      <c r="AG9584">
        <v>-1.129890339278</v>
      </c>
      <c r="AH9584">
        <v>30.417726410050101</v>
      </c>
      <c r="AI9584">
        <v>92.020828405620193</v>
      </c>
      <c r="AJ9584">
        <v>108.213409731805</v>
      </c>
      <c r="AK9584">
        <v>32.0419940884927</v>
      </c>
      <c r="AL9584">
        <v>83.103239642740903</v>
      </c>
      <c r="AM9584">
        <v>105.121597434957</v>
      </c>
      <c r="AN9584">
        <v>0.99999995230106398</v>
      </c>
    </row>
    <row r="9585" spans="1:40" x14ac:dyDescent="0.25">
      <c r="A9585" t="str">
        <f>"20190303162134335"</f>
        <v>20190303162134335</v>
      </c>
      <c r="B9585" t="str">
        <f>"1551601294322016"</f>
        <v>1551601294322016</v>
      </c>
      <c r="C9585" t="s">
        <v>40</v>
      </c>
      <c r="D9585">
        <v>5.0771420000000003</v>
      </c>
      <c r="E9585">
        <v>0.47585830000000001</v>
      </c>
      <c r="F9585" t="s">
        <v>41</v>
      </c>
      <c r="G9585">
        <v>-185.66820000000001</v>
      </c>
      <c r="H9585" s="1">
        <v>-4.7450749999999996E-6</v>
      </c>
      <c r="I9585">
        <v>-21.097449999999998</v>
      </c>
      <c r="J9585">
        <v>-195.6335</v>
      </c>
      <c r="K9585">
        <v>1.1298870000000001</v>
      </c>
      <c r="L9585">
        <v>-52.310119999999998</v>
      </c>
      <c r="M9585">
        <v>0.586086199999999</v>
      </c>
      <c r="N9585">
        <v>-1.2835640000000001E-2</v>
      </c>
      <c r="O9585">
        <v>0.81014699999999995</v>
      </c>
      <c r="P9585">
        <v>0.35525420000000002</v>
      </c>
      <c r="Q9585">
        <v>0.1132774</v>
      </c>
      <c r="R9585">
        <v>0.92788079999999995</v>
      </c>
      <c r="S9585">
        <v>0.92860410000000004</v>
      </c>
      <c r="T9585">
        <v>-0.1041406</v>
      </c>
      <c r="U9585">
        <v>2.8918460000000001</v>
      </c>
      <c r="V9585">
        <v>-0.25864999999999999</v>
      </c>
      <c r="W9585">
        <v>0.1201044</v>
      </c>
      <c r="X9585">
        <v>0.95847539999999998</v>
      </c>
      <c r="Y9585">
        <v>-0.31027830000000001</v>
      </c>
      <c r="Z9585">
        <v>-1.297776E-2</v>
      </c>
      <c r="AA9585">
        <v>0.95055719999999999</v>
      </c>
      <c r="AB9585">
        <v>28</v>
      </c>
      <c r="AC9585">
        <v>9.9652999999999796</v>
      </c>
      <c r="AD9585">
        <v>-1.1298917450749999</v>
      </c>
      <c r="AE9585">
        <v>31.212669999999999</v>
      </c>
      <c r="AF9585">
        <v>-10.2086593292446</v>
      </c>
      <c r="AG9585">
        <v>-1.1298917450749999</v>
      </c>
      <c r="AH9585">
        <v>31.0929651851663</v>
      </c>
      <c r="AI9585">
        <v>91.977399614094196</v>
      </c>
      <c r="AJ9585">
        <v>108.176403590875</v>
      </c>
      <c r="AK9585">
        <v>32.745470903044399</v>
      </c>
      <c r="AL9585">
        <v>83.101872101025293</v>
      </c>
      <c r="AM9585">
        <v>105.10186604387501</v>
      </c>
      <c r="AN9585">
        <v>0.99999999090225999</v>
      </c>
    </row>
    <row r="9586" spans="1:40" x14ac:dyDescent="0.25">
      <c r="A9586" t="str">
        <f>"20190303162134354"</f>
        <v>20190303162134354</v>
      </c>
      <c r="B9586" t="str">
        <f>"1551601294342043"</f>
        <v>1551601294342043</v>
      </c>
      <c r="C9586" t="s">
        <v>40</v>
      </c>
      <c r="D9586">
        <v>5.0701309999999999</v>
      </c>
      <c r="E9586">
        <v>0.47643659999999999</v>
      </c>
      <c r="F9586" t="s">
        <v>41</v>
      </c>
      <c r="G9586">
        <v>-185.71</v>
      </c>
      <c r="H9586" s="1">
        <v>-4.915752E-6</v>
      </c>
      <c r="I9586">
        <v>-20.682310000000001</v>
      </c>
      <c r="J9586">
        <v>-195.5034</v>
      </c>
      <c r="K9586">
        <v>1.129896</v>
      </c>
      <c r="L9586">
        <v>-52.113399999999999</v>
      </c>
      <c r="M9586">
        <v>0.57816919999999905</v>
      </c>
      <c r="N9586">
        <v>-1.2835610000000001E-2</v>
      </c>
      <c r="O9586">
        <v>0.81581590000000004</v>
      </c>
      <c r="P9586">
        <v>0.34655160000000002</v>
      </c>
      <c r="Q9586">
        <v>0.1131273</v>
      </c>
      <c r="R9586">
        <v>0.93118429999999996</v>
      </c>
      <c r="S9586">
        <v>0.90917969999999904</v>
      </c>
      <c r="T9586">
        <v>-0.1035194</v>
      </c>
      <c r="U9586">
        <v>2.8977050000000002</v>
      </c>
      <c r="V9586">
        <v>-0.25829659999999999</v>
      </c>
      <c r="W9586">
        <v>0.11996279999999999</v>
      </c>
      <c r="X9586">
        <v>0.95858840000000001</v>
      </c>
      <c r="Y9586">
        <v>-0.30737109999999901</v>
      </c>
      <c r="Z9586">
        <v>-1.3055600000000001E-2</v>
      </c>
      <c r="AA9586">
        <v>0.95150020000000002</v>
      </c>
      <c r="AB9586">
        <v>28</v>
      </c>
      <c r="AC9586">
        <v>9.7933999999999894</v>
      </c>
      <c r="AD9586">
        <v>-1.1299009157519999</v>
      </c>
      <c r="AE9586">
        <v>31.431090000000001</v>
      </c>
      <c r="AF9586">
        <v>-10.1717342068994</v>
      </c>
      <c r="AG9586">
        <v>-1.1299009157519999</v>
      </c>
      <c r="AH9586">
        <v>31.269970861332599</v>
      </c>
      <c r="AI9586">
        <v>91.967995144739604</v>
      </c>
      <c r="AJ9586">
        <v>108.01906509194001</v>
      </c>
      <c r="AK9586">
        <v>32.902156928137899</v>
      </c>
      <c r="AL9586">
        <v>83.110044081914197</v>
      </c>
      <c r="AM9586">
        <v>105.080475714781</v>
      </c>
      <c r="AN9586">
        <v>0.99999996378497902</v>
      </c>
    </row>
    <row r="9587" spans="1:40" x14ac:dyDescent="0.25">
      <c r="A9587" t="str">
        <f>"20190303162134376"</f>
        <v>20190303162134376</v>
      </c>
      <c r="B9587" t="str">
        <f>"1551601294362538"</f>
        <v>1551601294362538</v>
      </c>
      <c r="C9587" t="s">
        <v>40</v>
      </c>
      <c r="D9587">
        <v>5.1316540000000002</v>
      </c>
      <c r="E9587">
        <v>0.4770528</v>
      </c>
      <c r="F9587" t="s">
        <v>41</v>
      </c>
      <c r="G9587">
        <v>-185.87209999999999</v>
      </c>
      <c r="H9587" s="1">
        <v>-4.9346290000000003E-6</v>
      </c>
      <c r="I9587">
        <v>-20.57132</v>
      </c>
      <c r="J9587">
        <v>-195.35390000000001</v>
      </c>
      <c r="K9587">
        <v>1.1299049999999999</v>
      </c>
      <c r="L9587">
        <v>-51.881990000000002</v>
      </c>
      <c r="M9587">
        <v>0.56885330000000001</v>
      </c>
      <c r="N9587">
        <v>-1.2835589999999999E-2</v>
      </c>
      <c r="O9587">
        <v>0.82233889999999998</v>
      </c>
      <c r="P9587">
        <v>0.33640789999999998</v>
      </c>
      <c r="Q9587">
        <v>0.1133791</v>
      </c>
      <c r="R9587">
        <v>0.93486619999999998</v>
      </c>
      <c r="S9587">
        <v>0.88682559999999999</v>
      </c>
      <c r="T9587">
        <v>-0.1040378</v>
      </c>
      <c r="U9587">
        <v>2.9042970000000001</v>
      </c>
      <c r="V9587">
        <v>-0.25780330000000001</v>
      </c>
      <c r="W9587">
        <v>0.120226</v>
      </c>
      <c r="X9587">
        <v>0.95868830000000005</v>
      </c>
      <c r="Y9587">
        <v>-0.30385040000000002</v>
      </c>
      <c r="Z9587">
        <v>-1.344119E-2</v>
      </c>
      <c r="AA9587">
        <v>0.9526249</v>
      </c>
      <c r="AB9587">
        <v>28</v>
      </c>
      <c r="AC9587">
        <v>9.4818000000000193</v>
      </c>
      <c r="AD9587">
        <v>-1.129909934629</v>
      </c>
      <c r="AE9587">
        <v>31.310669999999998</v>
      </c>
      <c r="AF9587">
        <v>-10.0028173281384</v>
      </c>
      <c r="AG9587">
        <v>-1.129909934629</v>
      </c>
      <c r="AH9587">
        <v>31.107192114604601</v>
      </c>
      <c r="AI9587">
        <v>91.980459796868203</v>
      </c>
      <c r="AJ9587">
        <v>107.82569482917501</v>
      </c>
      <c r="AK9587">
        <v>32.695419437826402</v>
      </c>
      <c r="AL9587">
        <v>83.094854453290594</v>
      </c>
      <c r="AM9587">
        <v>105.051485597731</v>
      </c>
      <c r="AN9587">
        <v>1.00000004456188</v>
      </c>
    </row>
    <row r="9588" spans="1:40" x14ac:dyDescent="0.25">
      <c r="A9588" t="str">
        <f>"20190303162134399"</f>
        <v>20190303162134399</v>
      </c>
      <c r="B9588" t="str">
        <f>"1551601294391819"</f>
        <v>1551601294391819</v>
      </c>
      <c r="C9588" t="s">
        <v>40</v>
      </c>
      <c r="D9588">
        <v>5.1906889999999999</v>
      </c>
      <c r="E9588">
        <v>0.48265649999999899</v>
      </c>
      <c r="F9588" t="s">
        <v>41</v>
      </c>
      <c r="G9588">
        <v>-185.9487</v>
      </c>
      <c r="H9588" s="1">
        <v>-1.1857820000000001E-6</v>
      </c>
      <c r="I9588">
        <v>-20.03509</v>
      </c>
      <c r="J9588">
        <v>-195.20070000000001</v>
      </c>
      <c r="K9588">
        <v>1.12991</v>
      </c>
      <c r="L9588">
        <v>-51.63879</v>
      </c>
      <c r="M9588">
        <v>0.55905490000000002</v>
      </c>
      <c r="N9588">
        <v>-1.283572E-2</v>
      </c>
      <c r="O9588">
        <v>0.82903130000000003</v>
      </c>
      <c r="P9588">
        <v>0.32586969999999998</v>
      </c>
      <c r="Q9588">
        <v>0.11491270000000001</v>
      </c>
      <c r="R9588">
        <v>0.93840500000000004</v>
      </c>
      <c r="S9588">
        <v>0.86001589999999895</v>
      </c>
      <c r="T9588">
        <v>-0.1033186</v>
      </c>
      <c r="U9588">
        <v>2.9120789999999999</v>
      </c>
      <c r="V9588">
        <v>-0.25713950000000002</v>
      </c>
      <c r="W9588">
        <v>0.1217743</v>
      </c>
      <c r="X9588">
        <v>0.9586711</v>
      </c>
      <c r="Y9588">
        <v>-0.30130319999999999</v>
      </c>
      <c r="Z9588">
        <v>-1.3518560000000001E-2</v>
      </c>
      <c r="AA9588">
        <v>0.95343259999999996</v>
      </c>
      <c r="AB9588">
        <v>28</v>
      </c>
      <c r="AC9588">
        <v>9.2520000000000095</v>
      </c>
      <c r="AD9588">
        <v>-1.1299111857819999</v>
      </c>
      <c r="AE9588">
        <v>31.6037</v>
      </c>
      <c r="AF9588">
        <v>-9.98707113030604</v>
      </c>
      <c r="AG9588">
        <v>-1.1299111857819999</v>
      </c>
      <c r="AH9588">
        <v>31.338520571502201</v>
      </c>
      <c r="AI9588">
        <v>91.967495627312402</v>
      </c>
      <c r="AJ9588">
        <v>107.67622499413901</v>
      </c>
      <c r="AK9588">
        <v>32.910806138106302</v>
      </c>
      <c r="AL9588">
        <v>83.005486380870494</v>
      </c>
      <c r="AM9588">
        <v>105.014739907679</v>
      </c>
      <c r="AN9588">
        <v>0.99999999028797504</v>
      </c>
    </row>
    <row r="9589" spans="1:40" x14ac:dyDescent="0.25">
      <c r="A9589" t="str">
        <f>"20190303162134420"</f>
        <v>20190303162134420</v>
      </c>
      <c r="B9589" t="str">
        <f>"1551601294412315"</f>
        <v>1551601294412315</v>
      </c>
      <c r="C9589" t="s">
        <v>40</v>
      </c>
      <c r="D9589">
        <v>5.1912419999999999</v>
      </c>
      <c r="E9589">
        <v>0.48323159999999998</v>
      </c>
      <c r="F9589" t="s">
        <v>41</v>
      </c>
      <c r="G9589">
        <v>-185.67670000000001</v>
      </c>
      <c r="H9589" s="1">
        <v>-1.333708E-6</v>
      </c>
      <c r="I9589">
        <v>-19.81307</v>
      </c>
      <c r="J9589">
        <v>-195.06800000000001</v>
      </c>
      <c r="K9589">
        <v>1.129915</v>
      </c>
      <c r="L9589">
        <v>-51.422910000000002</v>
      </c>
      <c r="M9589">
        <v>0.55035279999999998</v>
      </c>
      <c r="N9589">
        <v>-1.2835839999999999E-2</v>
      </c>
      <c r="O9589">
        <v>0.83483359999999995</v>
      </c>
      <c r="P9589">
        <v>0.3170461</v>
      </c>
      <c r="Q9589">
        <v>0.11606470000000001</v>
      </c>
      <c r="R9589">
        <v>0.94128140000000005</v>
      </c>
      <c r="S9589">
        <v>0.87005619999999995</v>
      </c>
      <c r="T9589">
        <v>-0.10322199999999999</v>
      </c>
      <c r="U9589">
        <v>2.90741</v>
      </c>
      <c r="V9589">
        <v>-0.25605699999999998</v>
      </c>
      <c r="W9589">
        <v>0.1229508</v>
      </c>
      <c r="X9589">
        <v>0.95881070000000002</v>
      </c>
      <c r="Y9589">
        <v>-0.28786669999999998</v>
      </c>
      <c r="Z9589">
        <v>-1.3879229999999999E-2</v>
      </c>
      <c r="AA9589">
        <v>0.95756989999999997</v>
      </c>
      <c r="AB9589">
        <v>28</v>
      </c>
      <c r="AC9589">
        <v>9.3912999999999691</v>
      </c>
      <c r="AD9589">
        <v>-1.129916333708</v>
      </c>
      <c r="AE9589">
        <v>31.609839999999899</v>
      </c>
      <c r="AF9589">
        <v>-9.5459699215510003</v>
      </c>
      <c r="AG9589">
        <v>-1.129916333708</v>
      </c>
      <c r="AH9589">
        <v>31.523071343526201</v>
      </c>
      <c r="AI9589">
        <v>91.964797869468796</v>
      </c>
      <c r="AJ9589">
        <v>106.847617552532</v>
      </c>
      <c r="AK9589">
        <v>32.956126586620897</v>
      </c>
      <c r="AL9589">
        <v>82.937567741364703</v>
      </c>
      <c r="AM9589">
        <v>104.95228873798099</v>
      </c>
      <c r="AN9589">
        <v>1.00000002245206</v>
      </c>
    </row>
    <row r="9590" spans="1:40" x14ac:dyDescent="0.25">
      <c r="A9590" t="str">
        <f>"20190303162134442"</f>
        <v>20190303162134442</v>
      </c>
      <c r="B9590" t="str">
        <f>"1551601294431835"</f>
        <v>1551601294431835</v>
      </c>
      <c r="C9590" t="s">
        <v>40</v>
      </c>
      <c r="D9590">
        <v>5.1825850000000004</v>
      </c>
      <c r="E9590">
        <v>0.48411120000000002</v>
      </c>
      <c r="F9590" t="s">
        <v>41</v>
      </c>
      <c r="G9590">
        <v>-185.77379999999999</v>
      </c>
      <c r="H9590" s="1">
        <v>-1.431601E-6</v>
      </c>
      <c r="I9590">
        <v>-19.449439999999999</v>
      </c>
      <c r="J9590">
        <v>-194.92140000000001</v>
      </c>
      <c r="K9590">
        <v>1.129918</v>
      </c>
      <c r="L9590">
        <v>-51.1785</v>
      </c>
      <c r="M9590">
        <v>0.54049380000000002</v>
      </c>
      <c r="N9590">
        <v>-1.283572E-2</v>
      </c>
      <c r="O9590">
        <v>0.8412501</v>
      </c>
      <c r="P9590">
        <v>0.30703920000000001</v>
      </c>
      <c r="Q9590">
        <v>0.1163587</v>
      </c>
      <c r="R9590">
        <v>0.94455679999999997</v>
      </c>
      <c r="S9590">
        <v>0.84719849999999997</v>
      </c>
      <c r="T9590">
        <v>-0.1029958</v>
      </c>
      <c r="U9590">
        <v>2.9144899999999998</v>
      </c>
      <c r="V9590">
        <v>-0.25493690000000002</v>
      </c>
      <c r="W9590">
        <v>0.1232721</v>
      </c>
      <c r="X9590">
        <v>0.95906780000000003</v>
      </c>
      <c r="Y9590">
        <v>-0.28415030000000002</v>
      </c>
      <c r="Z9590">
        <v>-1.4073560000000001E-2</v>
      </c>
      <c r="AA9590">
        <v>0.95867650000000004</v>
      </c>
      <c r="AB9590">
        <v>28</v>
      </c>
      <c r="AC9590">
        <v>9.1476000000000095</v>
      </c>
      <c r="AD9590">
        <v>-1.1299194316009999</v>
      </c>
      <c r="AE9590">
        <v>31.729059999999901</v>
      </c>
      <c r="AF9590">
        <v>-9.4436623325673192</v>
      </c>
      <c r="AG9590">
        <v>-1.1299194316009999</v>
      </c>
      <c r="AH9590">
        <v>31.6019005397673</v>
      </c>
      <c r="AI9590">
        <v>91.962064236162405</v>
      </c>
      <c r="AJ9590">
        <v>106.63783398016901</v>
      </c>
      <c r="AK9590">
        <v>33.002114991297198</v>
      </c>
      <c r="AL9590">
        <v>82.919016901488305</v>
      </c>
      <c r="AM9590">
        <v>104.88597818067301</v>
      </c>
      <c r="AN9590">
        <v>0.99999993930842801</v>
      </c>
    </row>
    <row r="9591" spans="1:40" x14ac:dyDescent="0.25">
      <c r="A9591" t="str">
        <f>"20190303162134465"</f>
        <v>20190303162134465</v>
      </c>
      <c r="B9591" t="str">
        <f>"1551601294452331"</f>
        <v>1551601294452331</v>
      </c>
      <c r="C9591" t="s">
        <v>40</v>
      </c>
      <c r="D9591">
        <v>5.0793239999999997</v>
      </c>
      <c r="E9591">
        <v>0.48416930000000002</v>
      </c>
      <c r="F9591" t="s">
        <v>41</v>
      </c>
      <c r="G9591">
        <v>-185.98670000000001</v>
      </c>
      <c r="H9591" s="1">
        <v>-1.36472E-6</v>
      </c>
      <c r="I9591">
        <v>-19.479520000000001</v>
      </c>
      <c r="J9591">
        <v>-194.78190000000001</v>
      </c>
      <c r="K9591">
        <v>1.129918</v>
      </c>
      <c r="L9591">
        <v>-50.93967</v>
      </c>
      <c r="M9591">
        <v>0.53085729999999998</v>
      </c>
      <c r="N9591">
        <v>-1.2835350000000001E-2</v>
      </c>
      <c r="O9591">
        <v>0.84736409999999995</v>
      </c>
      <c r="P9591">
        <v>0.29762860000000002</v>
      </c>
      <c r="Q9591">
        <v>0.1161684</v>
      </c>
      <c r="R9591">
        <v>0.94758750000000003</v>
      </c>
      <c r="S9591">
        <v>0.82339479999999998</v>
      </c>
      <c r="T9591">
        <v>-0.10412929999999999</v>
      </c>
      <c r="U9591">
        <v>2.921265</v>
      </c>
      <c r="V9591">
        <v>-0.25353710000000002</v>
      </c>
      <c r="W9591">
        <v>0.1231174</v>
      </c>
      <c r="X9591">
        <v>0.9594587</v>
      </c>
      <c r="Y9591">
        <v>-0.2810259</v>
      </c>
      <c r="Z9591">
        <v>-1.4597479999999999E-2</v>
      </c>
      <c r="AA9591">
        <v>0.95958909999999997</v>
      </c>
      <c r="AB9591">
        <v>28</v>
      </c>
      <c r="AC9591">
        <v>8.7951999999999906</v>
      </c>
      <c r="AD9591">
        <v>-1.1299193647200001</v>
      </c>
      <c r="AE9591">
        <v>31.460149999999999</v>
      </c>
      <c r="AF9591">
        <v>-9.2378223034347808</v>
      </c>
      <c r="AG9591">
        <v>-1.1299193647200001</v>
      </c>
      <c r="AH9591">
        <v>31.292337078955601</v>
      </c>
      <c r="AI9591">
        <v>91.983416810668203</v>
      </c>
      <c r="AJ9591">
        <v>106.447146766174</v>
      </c>
      <c r="AK9591">
        <v>32.646966758698802</v>
      </c>
      <c r="AL9591">
        <v>82.927948857948195</v>
      </c>
      <c r="AM9591">
        <v>104.80207518892701</v>
      </c>
      <c r="AN9591">
        <v>0.99999997613242897</v>
      </c>
    </row>
    <row r="9592" spans="1:40" x14ac:dyDescent="0.25">
      <c r="A9592" t="str">
        <f>"20190303162134488"</f>
        <v>20190303162134488</v>
      </c>
      <c r="B9592" t="str">
        <f>"1551601294482587"</f>
        <v>1551601294482587</v>
      </c>
      <c r="C9592" t="s">
        <v>40</v>
      </c>
      <c r="D9592">
        <v>5.077534</v>
      </c>
      <c r="E9592">
        <v>0.47445349999999997</v>
      </c>
      <c r="F9592" t="s">
        <v>41</v>
      </c>
      <c r="G9592">
        <v>-186.30369999999999</v>
      </c>
      <c r="H9592" s="1">
        <v>-1.208723E-6</v>
      </c>
      <c r="I9592">
        <v>-19.690079999999998</v>
      </c>
      <c r="J9592">
        <v>-194.636</v>
      </c>
      <c r="K9592">
        <v>1.129915</v>
      </c>
      <c r="L9592">
        <v>-50.682279999999999</v>
      </c>
      <c r="M9592">
        <v>0.52048059999999996</v>
      </c>
      <c r="N9592">
        <v>-1.283461E-2</v>
      </c>
      <c r="O9592">
        <v>0.85377709999999996</v>
      </c>
      <c r="P9592">
        <v>0.28783019999999998</v>
      </c>
      <c r="Q9592">
        <v>0.11653910000000001</v>
      </c>
      <c r="R9592">
        <v>0.95056430000000003</v>
      </c>
      <c r="S9592">
        <v>0.79473879999999997</v>
      </c>
      <c r="T9592">
        <v>-0.105917</v>
      </c>
      <c r="U9592">
        <v>2.9292910000000001</v>
      </c>
      <c r="V9592">
        <v>-0.25171729999999998</v>
      </c>
      <c r="W9592">
        <v>0.1235333</v>
      </c>
      <c r="X9592">
        <v>0.95988430000000002</v>
      </c>
      <c r="Y9592">
        <v>-0.27872849999999999</v>
      </c>
      <c r="Z9592">
        <v>-1.529373E-2</v>
      </c>
      <c r="AA9592">
        <v>0.96024810000000005</v>
      </c>
      <c r="AB9592">
        <v>28</v>
      </c>
      <c r="AC9592">
        <v>8.3323</v>
      </c>
      <c r="AD9592">
        <v>-1.1299162087229999</v>
      </c>
      <c r="AE9592">
        <v>30.9922</v>
      </c>
      <c r="AF9592">
        <v>-9.0064897643018504</v>
      </c>
      <c r="AG9592">
        <v>-1.1299162087229999</v>
      </c>
      <c r="AH9592">
        <v>30.7616343022686</v>
      </c>
      <c r="AI9592">
        <v>92.018925757397596</v>
      </c>
      <c r="AJ9592">
        <v>106.31914425231101</v>
      </c>
      <c r="AK9592">
        <v>32.072912456771398</v>
      </c>
      <c r="AL9592">
        <v>82.903936210233795</v>
      </c>
      <c r="AM9592">
        <v>104.694212345579</v>
      </c>
      <c r="AN9592">
        <v>0.99999997235733395</v>
      </c>
    </row>
    <row r="9593" spans="1:40" x14ac:dyDescent="0.25">
      <c r="A9593" t="str">
        <f>"20190303162134504"</f>
        <v>20190303162134504</v>
      </c>
      <c r="B9593" t="str">
        <f>"1551601294492347"</f>
        <v>1551601294492347</v>
      </c>
      <c r="C9593" t="s">
        <v>40</v>
      </c>
      <c r="D9593">
        <v>5.0772870000000001</v>
      </c>
      <c r="E9593">
        <v>0.47370040000000002</v>
      </c>
      <c r="F9593" t="s">
        <v>41</v>
      </c>
      <c r="G9593">
        <v>-186.83009999999999</v>
      </c>
      <c r="H9593" s="1">
        <v>-1.9183349999999998E-6</v>
      </c>
      <c r="I9593">
        <v>-17.206240000000001</v>
      </c>
      <c r="J9593">
        <v>-194.5436</v>
      </c>
      <c r="K9593">
        <v>1.129915</v>
      </c>
      <c r="L9593">
        <v>-50.516109999999998</v>
      </c>
      <c r="M9593">
        <v>0.51377609999999996</v>
      </c>
      <c r="N9593">
        <v>-1.2834150000000001E-2</v>
      </c>
      <c r="O9593">
        <v>0.85782839999999905</v>
      </c>
      <c r="P9593">
        <v>0.28209919999999999</v>
      </c>
      <c r="Q9593">
        <v>0.1174457</v>
      </c>
      <c r="R9593">
        <v>0.95216940000000005</v>
      </c>
      <c r="S9593">
        <v>0.6900482</v>
      </c>
      <c r="T9593">
        <v>-9.9885940000000006E-2</v>
      </c>
      <c r="U9593">
        <v>2.95932</v>
      </c>
      <c r="V9593">
        <v>-0.2499381</v>
      </c>
      <c r="W9593">
        <v>0.1244844</v>
      </c>
      <c r="X9593">
        <v>0.96022640000000004</v>
      </c>
      <c r="Y9593">
        <v>-0.30549989999999999</v>
      </c>
      <c r="Z9593">
        <v>-1.350548E-2</v>
      </c>
      <c r="AA9593">
        <v>0.95209630000000001</v>
      </c>
      <c r="AB9593">
        <v>28</v>
      </c>
      <c r="AC9593">
        <v>7.7135000000000096</v>
      </c>
      <c r="AD9593">
        <v>-1.129916918335</v>
      </c>
      <c r="AE9593">
        <v>33.309869999999997</v>
      </c>
      <c r="AF9593">
        <v>-10.486367367227899</v>
      </c>
      <c r="AG9593">
        <v>-1.129916918335</v>
      </c>
      <c r="AH9593">
        <v>32.504343916217998</v>
      </c>
      <c r="AI9593">
        <v>91.894824965035099</v>
      </c>
      <c r="AJ9593">
        <v>107.880445045317</v>
      </c>
      <c r="AK9593">
        <v>34.172693575815501</v>
      </c>
      <c r="AL9593">
        <v>82.849019055244199</v>
      </c>
      <c r="AM9593">
        <v>104.58982181944</v>
      </c>
      <c r="AN9593">
        <v>1.00000007946596</v>
      </c>
    </row>
    <row r="9594" spans="1:40" x14ac:dyDescent="0.25">
      <c r="A9594" t="str">
        <f>"20190303162134533"</f>
        <v>20190303162134533</v>
      </c>
      <c r="B9594" t="str">
        <f>"1551601294522609"</f>
        <v>1551601294522609</v>
      </c>
      <c r="C9594" t="s">
        <v>40</v>
      </c>
      <c r="D9594">
        <v>5.1964750000000004</v>
      </c>
      <c r="E9594">
        <v>0.47304649999999998</v>
      </c>
      <c r="F9594" t="s">
        <v>41</v>
      </c>
      <c r="G9594">
        <v>-186.7174</v>
      </c>
      <c r="H9594" s="1">
        <v>-2.5829709999999999E-6</v>
      </c>
      <c r="I9594">
        <v>-15.70354</v>
      </c>
      <c r="J9594">
        <v>-194.3768</v>
      </c>
      <c r="K9594">
        <v>1.129918</v>
      </c>
      <c r="L9594">
        <v>-50.20682</v>
      </c>
      <c r="M9594">
        <v>0.50131610000000004</v>
      </c>
      <c r="N9594">
        <v>-1.2832390000000001E-2</v>
      </c>
      <c r="O9594">
        <v>0.86516899999999997</v>
      </c>
      <c r="P9594">
        <v>0.27299810000000002</v>
      </c>
      <c r="Q9594">
        <v>0.1189185</v>
      </c>
      <c r="R9594">
        <v>0.95463629999999999</v>
      </c>
      <c r="S9594">
        <v>0.66658019999999996</v>
      </c>
      <c r="T9594">
        <v>-9.6238370000000004E-2</v>
      </c>
      <c r="U9594">
        <v>2.9650880000000002</v>
      </c>
      <c r="V9594">
        <v>-0.2451431</v>
      </c>
      <c r="W9594">
        <v>0.12607769999999999</v>
      </c>
      <c r="X9594">
        <v>0.96125400000000005</v>
      </c>
      <c r="Y9594">
        <v>-0.29929600000000001</v>
      </c>
      <c r="Z9594">
        <v>-1.2870960000000001E-2</v>
      </c>
      <c r="AA9594">
        <v>0.95407350000000002</v>
      </c>
      <c r="AB9594">
        <v>28</v>
      </c>
      <c r="AC9594">
        <v>7.6593999999999998</v>
      </c>
      <c r="AD9594">
        <v>-1.129920582971</v>
      </c>
      <c r="AE9594">
        <v>34.503279999999997</v>
      </c>
      <c r="AF9594">
        <v>-10.660357801566001</v>
      </c>
      <c r="AG9594">
        <v>-1.129920582971</v>
      </c>
      <c r="AH9594">
        <v>33.659322319481497</v>
      </c>
      <c r="AI9594">
        <v>91.832989497492207</v>
      </c>
      <c r="AJ9594">
        <v>107.57369138687</v>
      </c>
      <c r="AK9594">
        <v>35.325202447940498</v>
      </c>
      <c r="AL9594">
        <v>82.757004075692294</v>
      </c>
      <c r="AM9594">
        <v>104.306857527022</v>
      </c>
      <c r="AN9594">
        <v>0.99999998921544997</v>
      </c>
    </row>
    <row r="9595" spans="1:40" x14ac:dyDescent="0.25">
      <c r="A9595" t="str">
        <f>"20190303162134557"</f>
        <v>20190303162134557</v>
      </c>
      <c r="B9595" t="str">
        <f>"1551601294542122"</f>
        <v>1551601294542122</v>
      </c>
      <c r="C9595" t="s">
        <v>40</v>
      </c>
      <c r="D9595">
        <v>5.0206189999999999</v>
      </c>
      <c r="E9595">
        <v>0.47293940000000001</v>
      </c>
      <c r="F9595" t="s">
        <v>41</v>
      </c>
      <c r="G9595">
        <v>-186.3912</v>
      </c>
      <c r="H9595" s="1">
        <v>-3.9253000000000003E-6</v>
      </c>
      <c r="I9595">
        <v>-12.70941</v>
      </c>
      <c r="J9595">
        <v>-194.2328</v>
      </c>
      <c r="K9595">
        <v>1.1299079999999999</v>
      </c>
      <c r="L9595">
        <v>-49.931399999999996</v>
      </c>
      <c r="M9595">
        <v>0.49023549999999999</v>
      </c>
      <c r="N9595">
        <v>-1.28296E-2</v>
      </c>
      <c r="O9595">
        <v>0.87149560000000004</v>
      </c>
      <c r="P9595">
        <v>0.26413969999999998</v>
      </c>
      <c r="Q9595">
        <v>0.1193163</v>
      </c>
      <c r="R9595">
        <v>0.95707569999999997</v>
      </c>
      <c r="S9595">
        <v>0.63307190000000002</v>
      </c>
      <c r="T9595">
        <v>-8.9576959999999997E-2</v>
      </c>
      <c r="U9595">
        <v>2.9726870000000001</v>
      </c>
      <c r="V9595">
        <v>-0.241758</v>
      </c>
      <c r="W9595">
        <v>0.12656400000000001</v>
      </c>
      <c r="X9595">
        <v>0.96204710000000004</v>
      </c>
      <c r="Y9595">
        <v>-0.29790729999999999</v>
      </c>
      <c r="Z9595">
        <v>-1.1337460000000001E-2</v>
      </c>
      <c r="AA9595">
        <v>0.95452749999999997</v>
      </c>
      <c r="AB9595">
        <v>28</v>
      </c>
      <c r="AC9595">
        <v>7.8415999999999997</v>
      </c>
      <c r="AD9595">
        <v>-1.1299119252999901</v>
      </c>
      <c r="AE9595">
        <v>37.221989999999998</v>
      </c>
      <c r="AF9595">
        <v>-11.4044977710452</v>
      </c>
      <c r="AG9595">
        <v>-1.1299119252999901</v>
      </c>
      <c r="AH9595">
        <v>36.254029213750897</v>
      </c>
      <c r="AI9595">
        <v>91.702915081699899</v>
      </c>
      <c r="AJ9595">
        <v>107.462108834403</v>
      </c>
      <c r="AK9595">
        <v>38.022281685877402</v>
      </c>
      <c r="AL9595">
        <v>82.728916213515006</v>
      </c>
      <c r="AM9595">
        <v>104.10607655666</v>
      </c>
      <c r="AN9595">
        <v>0.99999999963920405</v>
      </c>
    </row>
    <row r="9596" spans="1:40" x14ac:dyDescent="0.25">
      <c r="A9596" t="str">
        <f>"20190303162134578"</f>
        <v>20190303162134578</v>
      </c>
      <c r="B9596" t="str">
        <f>"1551601294562621"</f>
        <v>1551601294562621</v>
      </c>
      <c r="C9596" t="s">
        <v>40</v>
      </c>
      <c r="D9596">
        <v>5.1283390000000004</v>
      </c>
      <c r="E9596">
        <v>0.47313149999999998</v>
      </c>
      <c r="F9596" t="s">
        <v>41</v>
      </c>
      <c r="G9596">
        <v>-186.36709999999999</v>
      </c>
      <c r="H9596" s="1">
        <v>-4.5928229999999999E-6</v>
      </c>
      <c r="I9596">
        <v>-11.16337</v>
      </c>
      <c r="J9596">
        <v>-194.11269999999999</v>
      </c>
      <c r="K9596">
        <v>1.1298979999999901</v>
      </c>
      <c r="L9596">
        <v>-49.695099999999996</v>
      </c>
      <c r="M9596">
        <v>0.48075220000000002</v>
      </c>
      <c r="N9596">
        <v>-1.2825970000000001E-2</v>
      </c>
      <c r="O9596">
        <v>0.87676270000000001</v>
      </c>
      <c r="P9596">
        <v>0.25753089999999901</v>
      </c>
      <c r="Q9596">
        <v>0.1207607</v>
      </c>
      <c r="R9596">
        <v>0.9586943</v>
      </c>
      <c r="S9596">
        <v>0.60432430000000004</v>
      </c>
      <c r="T9596">
        <v>-8.6812020000000004E-2</v>
      </c>
      <c r="U9596">
        <v>2.978577</v>
      </c>
      <c r="V9596">
        <v>-0.23788770000000001</v>
      </c>
      <c r="W9596">
        <v>0.1281101</v>
      </c>
      <c r="X9596">
        <v>0.96280690000000002</v>
      </c>
      <c r="Y9596">
        <v>-0.29676829999999998</v>
      </c>
      <c r="Z9596">
        <v>-1.077204E-2</v>
      </c>
      <c r="AA9596">
        <v>0.95488879999999998</v>
      </c>
      <c r="AB9596">
        <v>28</v>
      </c>
      <c r="AC9596">
        <v>7.7455999999999898</v>
      </c>
      <c r="AD9596">
        <v>-1.12990259282299</v>
      </c>
      <c r="AE9596">
        <v>38.531730000000003</v>
      </c>
      <c r="AF9596">
        <v>-11.724435704956299</v>
      </c>
      <c r="AG9596">
        <v>-1.12990259282299</v>
      </c>
      <c r="AH9596">
        <v>37.479006735034297</v>
      </c>
      <c r="AI9596">
        <v>91.648094720089205</v>
      </c>
      <c r="AJ9596">
        <v>107.371078610598</v>
      </c>
      <c r="AK9596">
        <v>39.286321007618803</v>
      </c>
      <c r="AL9596">
        <v>82.639603721730097</v>
      </c>
      <c r="AM9596">
        <v>103.878525881719</v>
      </c>
      <c r="AN9596">
        <v>0.99999994111045298</v>
      </c>
    </row>
    <row r="9597" spans="1:40" x14ac:dyDescent="0.25">
      <c r="A9597" t="str">
        <f>"20190303162134600"</f>
        <v>20190303162134600</v>
      </c>
      <c r="B9597" t="str">
        <f>"1551601294591899"</f>
        <v>1551601294591899</v>
      </c>
      <c r="C9597" t="s">
        <v>40</v>
      </c>
      <c r="D9597">
        <v>5.0822830000000003</v>
      </c>
      <c r="E9597">
        <v>0.4724467</v>
      </c>
      <c r="F9597" t="s">
        <v>41</v>
      </c>
      <c r="G9597">
        <v>-185.95419999999999</v>
      </c>
      <c r="H9597" s="1">
        <v>-1.86899E-6</v>
      </c>
      <c r="I9597">
        <v>-8.0231080000000006</v>
      </c>
      <c r="J9597">
        <v>-193.99039999999999</v>
      </c>
      <c r="K9597">
        <v>1.1298729999999999</v>
      </c>
      <c r="L9597">
        <v>-49.448059999999998</v>
      </c>
      <c r="M9597">
        <v>0.47088000000000002</v>
      </c>
      <c r="N9597">
        <v>-1.2820349999999999E-2</v>
      </c>
      <c r="O9597">
        <v>0.88210409999999995</v>
      </c>
      <c r="P9597">
        <v>0.25040499999999999</v>
      </c>
      <c r="Q9597">
        <v>0.12322660000000001</v>
      </c>
      <c r="R9597">
        <v>0.96026690000000003</v>
      </c>
      <c r="S9597">
        <v>0.58392330000000003</v>
      </c>
      <c r="T9597">
        <v>-8.0869910000000003E-2</v>
      </c>
      <c r="U9597">
        <v>2.9825740000000001</v>
      </c>
      <c r="V9597">
        <v>-0.23411560000000001</v>
      </c>
      <c r="W9597">
        <v>0.1306785</v>
      </c>
      <c r="X9597">
        <v>0.96338619999999997</v>
      </c>
      <c r="Y9597">
        <v>-0.29258030000000002</v>
      </c>
      <c r="Z9597">
        <v>-9.3817150000000005E-3</v>
      </c>
      <c r="AA9597">
        <v>0.95619489999999996</v>
      </c>
      <c r="AB9597">
        <v>28</v>
      </c>
      <c r="AC9597">
        <v>8.0361999999999991</v>
      </c>
      <c r="AD9597">
        <v>-1.12987486898999</v>
      </c>
      <c r="AE9597">
        <v>41.424951999999998</v>
      </c>
      <c r="AF9597">
        <v>-12.409540061480699</v>
      </c>
      <c r="AG9597">
        <v>-1.12987486898999</v>
      </c>
      <c r="AH9597">
        <v>40.299627577420303</v>
      </c>
      <c r="AI9597">
        <v>91.534886533816405</v>
      </c>
      <c r="AJ9597">
        <v>107.115267423204</v>
      </c>
      <c r="AK9597">
        <v>42.1821441446004</v>
      </c>
      <c r="AL9597">
        <v>82.491197846160702</v>
      </c>
      <c r="AM9597">
        <v>103.65886431944701</v>
      </c>
      <c r="AN9597">
        <v>0.99999997743802405</v>
      </c>
    </row>
    <row r="9598" spans="1:40" x14ac:dyDescent="0.25">
      <c r="A9598" t="str">
        <f>"20190303162134623"</f>
        <v>20190303162134623</v>
      </c>
      <c r="B9598" t="str">
        <f>"1551601294612395"</f>
        <v>1551601294612395</v>
      </c>
      <c r="C9598" t="s">
        <v>40</v>
      </c>
      <c r="D9598">
        <v>5.1290610000000001</v>
      </c>
      <c r="E9598">
        <v>0.472779</v>
      </c>
      <c r="F9598" t="s">
        <v>41</v>
      </c>
      <c r="G9598">
        <v>-184.49019999999999</v>
      </c>
      <c r="H9598" s="1">
        <v>-2.116677E-6</v>
      </c>
      <c r="I9598">
        <v>1.56003799999999</v>
      </c>
      <c r="J9598">
        <v>-193.8733</v>
      </c>
      <c r="K9598">
        <v>1.1298269999999999</v>
      </c>
      <c r="L9598">
        <v>-49.204799999999999</v>
      </c>
      <c r="M9598">
        <v>0.46122180000000002</v>
      </c>
      <c r="N9598">
        <v>-1.281212E-2</v>
      </c>
      <c r="O9598">
        <v>0.88719239999999999</v>
      </c>
      <c r="P9598">
        <v>0.242754</v>
      </c>
      <c r="Q9598">
        <v>0.12557789999999999</v>
      </c>
      <c r="R9598">
        <v>0.96192549999999999</v>
      </c>
      <c r="S9598">
        <v>0.556427</v>
      </c>
      <c r="T9598">
        <v>-6.6176180000000001E-2</v>
      </c>
      <c r="U9598">
        <v>2.9875180000000001</v>
      </c>
      <c r="V9598">
        <v>-0.2311531</v>
      </c>
      <c r="W9598">
        <v>0.13311789999999901</v>
      </c>
      <c r="X9598">
        <v>0.9637675</v>
      </c>
      <c r="Y9598">
        <v>-0.29093530000000001</v>
      </c>
      <c r="Z9598">
        <v>-5.5785590000000003E-3</v>
      </c>
      <c r="AA9598">
        <v>0.95672650000000004</v>
      </c>
      <c r="AB9598">
        <v>28</v>
      </c>
      <c r="AC9598">
        <v>9.3831000000000095</v>
      </c>
      <c r="AD9598">
        <v>-1.129829116677</v>
      </c>
      <c r="AE9598">
        <v>50.764837999999997</v>
      </c>
      <c r="AF9598">
        <v>-15.083248694507599</v>
      </c>
      <c r="AG9598">
        <v>-1.129829116677</v>
      </c>
      <c r="AH9598">
        <v>49.3462841255825</v>
      </c>
      <c r="AI9598">
        <v>91.254342943765096</v>
      </c>
      <c r="AJ9598">
        <v>106.996363772755</v>
      </c>
      <c r="AK9598">
        <v>51.612369273421002</v>
      </c>
      <c r="AL9598">
        <v>82.350198493626493</v>
      </c>
      <c r="AM9598">
        <v>103.487239347892</v>
      </c>
      <c r="AN9598">
        <v>0.99999996249813405</v>
      </c>
    </row>
    <row r="9599" spans="1:40" x14ac:dyDescent="0.25">
      <c r="A9599" t="str">
        <f>"20190303162134643"</f>
        <v>20190303162134643</v>
      </c>
      <c r="B9599" t="str">
        <f>"1551601294631915"</f>
        <v>1551601294631915</v>
      </c>
      <c r="C9599" t="s">
        <v>40</v>
      </c>
      <c r="D9599">
        <v>5.1312350000000002</v>
      </c>
      <c r="E9599">
        <v>0.47311249999999999</v>
      </c>
      <c r="F9599" t="s">
        <v>41</v>
      </c>
      <c r="G9599">
        <v>-183.97550000000001</v>
      </c>
      <c r="H9599" s="1">
        <v>-3.8256009999999997E-6</v>
      </c>
      <c r="I9599">
        <v>6.0593260000000004</v>
      </c>
      <c r="J9599">
        <v>-193.75810000000001</v>
      </c>
      <c r="K9599">
        <v>1.1297539999999999</v>
      </c>
      <c r="L9599">
        <v>-48.958889999999997</v>
      </c>
      <c r="M9599">
        <v>0.4515496</v>
      </c>
      <c r="N9599">
        <v>-1.2800280000000001E-2</v>
      </c>
      <c r="O9599">
        <v>0.89215419999999901</v>
      </c>
      <c r="P9599">
        <v>0.23537140000000001</v>
      </c>
      <c r="Q9599">
        <v>0.1263078</v>
      </c>
      <c r="R9599">
        <v>0.96366309999999999</v>
      </c>
      <c r="S9599">
        <v>0.53578190000000003</v>
      </c>
      <c r="T9599">
        <v>-6.1159129999999999E-2</v>
      </c>
      <c r="U9599">
        <v>2.9915159999999998</v>
      </c>
      <c r="V9599">
        <v>-0.22800699999999999</v>
      </c>
      <c r="W9599">
        <v>0.1339515</v>
      </c>
      <c r="X9599">
        <v>0.96440119999999896</v>
      </c>
      <c r="Y9599">
        <v>-0.2871551</v>
      </c>
      <c r="Z9599">
        <v>-4.351293E-3</v>
      </c>
      <c r="AA9599">
        <v>0.95787420000000001</v>
      </c>
      <c r="AB9599">
        <v>28</v>
      </c>
      <c r="AC9599">
        <v>9.7826000000000004</v>
      </c>
      <c r="AD9599">
        <v>-1.1297578256009999</v>
      </c>
      <c r="AE9599">
        <v>55.018216000000002</v>
      </c>
      <c r="AF9599">
        <v>-16.110601203326901</v>
      </c>
      <c r="AG9599">
        <v>-1.1297578256009999</v>
      </c>
      <c r="AH9599">
        <v>53.484584154427097</v>
      </c>
      <c r="AI9599">
        <v>91.158673013644403</v>
      </c>
      <c r="AJ9599">
        <v>106.763327117201</v>
      </c>
      <c r="AK9599">
        <v>55.869746429075001</v>
      </c>
      <c r="AL9599">
        <v>82.302004906045198</v>
      </c>
      <c r="AM9599">
        <v>103.301812710495</v>
      </c>
      <c r="AN9599">
        <v>0.99999993548134203</v>
      </c>
    </row>
    <row r="9600" spans="1:40" x14ac:dyDescent="0.25">
      <c r="A9600" t="str">
        <f>"20190303162134667"</f>
        <v>20190303162134667</v>
      </c>
      <c r="B9600" t="str">
        <f>"1551601294662171"</f>
        <v>1551601294662171</v>
      </c>
      <c r="C9600" t="s">
        <v>40</v>
      </c>
      <c r="D9600">
        <v>5.1272779999999996</v>
      </c>
      <c r="E9600">
        <v>0.47372629999999999</v>
      </c>
      <c r="F9600" t="s">
        <v>41</v>
      </c>
      <c r="G9600">
        <v>-184.3167</v>
      </c>
      <c r="H9600" s="1">
        <v>-3.665713E-6</v>
      </c>
      <c r="I9600">
        <v>5.827674</v>
      </c>
      <c r="J9600">
        <v>-193.6405</v>
      </c>
      <c r="K9600">
        <v>1.129648</v>
      </c>
      <c r="L9600">
        <v>-48.700620000000001</v>
      </c>
      <c r="M9600">
        <v>0.44153510000000001</v>
      </c>
      <c r="N9600">
        <v>-1.2782679999999999E-2</v>
      </c>
      <c r="O9600">
        <v>0.89715299999999998</v>
      </c>
      <c r="P9600">
        <v>0.22838749999999999</v>
      </c>
      <c r="Q9600">
        <v>0.12593579999999999</v>
      </c>
      <c r="R9600">
        <v>0.96539079999999999</v>
      </c>
      <c r="S9600">
        <v>0.51615909999999998</v>
      </c>
      <c r="T9600">
        <v>-6.1763169999999999E-2</v>
      </c>
      <c r="U9600">
        <v>2.9951479999999999</v>
      </c>
      <c r="V9600">
        <v>-0.22416620000000001</v>
      </c>
      <c r="W9600">
        <v>0.13371240000000001</v>
      </c>
      <c r="X9600">
        <v>0.96533440000000004</v>
      </c>
      <c r="Y9600">
        <v>-0.28272029999999998</v>
      </c>
      <c r="Z9600">
        <v>-4.6520880000000004E-3</v>
      </c>
      <c r="AA9600">
        <v>0.95919109999999996</v>
      </c>
      <c r="AB9600">
        <v>28</v>
      </c>
      <c r="AC9600">
        <v>9.3238000000000003</v>
      </c>
      <c r="AD9600">
        <v>-1.129651665713</v>
      </c>
      <c r="AE9600">
        <v>54.528293999999903</v>
      </c>
      <c r="AF9600">
        <v>-15.706013882757301</v>
      </c>
      <c r="AG9600">
        <v>-1.129651665713</v>
      </c>
      <c r="AH9600">
        <v>53.0192284991004</v>
      </c>
      <c r="AI9600">
        <v>91.170329351706499</v>
      </c>
      <c r="AJ9600">
        <v>106.500996373989</v>
      </c>
      <c r="AK9600">
        <v>55.308169158009797</v>
      </c>
      <c r="AL9600">
        <v>82.315829165304095</v>
      </c>
      <c r="AM9600">
        <v>103.073300339483</v>
      </c>
      <c r="AN9600">
        <v>0.99999999747977997</v>
      </c>
    </row>
    <row r="9601" spans="1:40" x14ac:dyDescent="0.25">
      <c r="A9601" t="str">
        <f>"20190303162134689"</f>
        <v>20190303162134689</v>
      </c>
      <c r="B9601" t="str">
        <f>"1551601294682667"</f>
        <v>1551601294682667</v>
      </c>
      <c r="C9601" t="s">
        <v>40</v>
      </c>
      <c r="D9601">
        <v>5.063707</v>
      </c>
      <c r="E9601">
        <v>0.47413339999999998</v>
      </c>
      <c r="F9601" t="s">
        <v>41</v>
      </c>
      <c r="G9601">
        <v>-185.21690000000001</v>
      </c>
      <c r="H9601" s="1">
        <v>-2.034823E-6</v>
      </c>
      <c r="I9601">
        <v>1.887707</v>
      </c>
      <c r="J9601">
        <v>-193.5249</v>
      </c>
      <c r="K9601">
        <v>1.129515</v>
      </c>
      <c r="L9601">
        <v>-48.43927</v>
      </c>
      <c r="M9601">
        <v>0.4315851</v>
      </c>
      <c r="N9601">
        <v>-1.275951E-2</v>
      </c>
      <c r="O9601">
        <v>0.90198199999999995</v>
      </c>
      <c r="P9601">
        <v>0.22149460000000001</v>
      </c>
      <c r="Q9601">
        <v>0.1260308</v>
      </c>
      <c r="R9601">
        <v>0.96698309999999998</v>
      </c>
      <c r="S9601">
        <v>0.49923709999999999</v>
      </c>
      <c r="T9601">
        <v>-6.6949839999999997E-2</v>
      </c>
      <c r="U9601">
        <v>2.9981689999999999</v>
      </c>
      <c r="V9601">
        <v>-0.22031880000000001</v>
      </c>
      <c r="W9601">
        <v>0.1339496</v>
      </c>
      <c r="X9601">
        <v>0.96618689999999996</v>
      </c>
      <c r="Y9601">
        <v>-0.27753090000000002</v>
      </c>
      <c r="Z9601">
        <v>-6.2313179999999996E-3</v>
      </c>
      <c r="AA9601">
        <v>0.96069649999999995</v>
      </c>
      <c r="AB9601">
        <v>28</v>
      </c>
      <c r="AC9601">
        <v>8.3079999999999892</v>
      </c>
      <c r="AD9601">
        <v>-1.1295170348229999</v>
      </c>
      <c r="AE9601">
        <v>50.326976999999999</v>
      </c>
      <c r="AF9601">
        <v>-14.220891720831499</v>
      </c>
      <c r="AG9601">
        <v>-1.1295170348229999</v>
      </c>
      <c r="AH9601">
        <v>48.959615753343201</v>
      </c>
      <c r="AI9601">
        <v>91.269164845150797</v>
      </c>
      <c r="AJ9601">
        <v>106.196555690872</v>
      </c>
      <c r="AK9601">
        <v>50.995622800222598</v>
      </c>
      <c r="AL9601">
        <v>82.302115237181894</v>
      </c>
      <c r="AM9601">
        <v>102.84547174254899</v>
      </c>
      <c r="AN9601">
        <v>0.99999999735260403</v>
      </c>
    </row>
    <row r="9602" spans="1:40" x14ac:dyDescent="0.25">
      <c r="A9602" t="str">
        <f>"20190303162134710"</f>
        <v>20190303162134710</v>
      </c>
      <c r="B9602" t="str">
        <f>"1551601294702188"</f>
        <v>1551601294702188</v>
      </c>
      <c r="C9602" t="s">
        <v>40</v>
      </c>
      <c r="D9602">
        <v>5.1279070000000004</v>
      </c>
      <c r="E9602">
        <v>0.47997069999999997</v>
      </c>
      <c r="F9602" t="s">
        <v>41</v>
      </c>
      <c r="G9602">
        <v>-185.67009999999999</v>
      </c>
      <c r="H9602" s="1">
        <v>-1.45437E-6</v>
      </c>
      <c r="I9602">
        <v>0.53638280000000005</v>
      </c>
      <c r="J9602">
        <v>-193.4177</v>
      </c>
      <c r="K9602">
        <v>1.1293820000000001</v>
      </c>
      <c r="L9602">
        <v>-48.190249999999999</v>
      </c>
      <c r="M9602">
        <v>0.42225679999999999</v>
      </c>
      <c r="N9602">
        <v>-1.27349E-2</v>
      </c>
      <c r="O9602">
        <v>0.90638680000000005</v>
      </c>
      <c r="P9602">
        <v>0.21410969999999999</v>
      </c>
      <c r="Q9602">
        <v>0.12743670000000001</v>
      </c>
      <c r="R9602">
        <v>0.96846109999999996</v>
      </c>
      <c r="S9602">
        <v>0.4813385</v>
      </c>
      <c r="T9602">
        <v>-6.9215890000000002E-2</v>
      </c>
      <c r="U9602">
        <v>3.0011899999999998</v>
      </c>
      <c r="V9602">
        <v>-0.2176218</v>
      </c>
      <c r="W9602">
        <v>0.13546540000000001</v>
      </c>
      <c r="X9602">
        <v>0.96658670000000002</v>
      </c>
      <c r="Y9602">
        <v>-0.27335479999999901</v>
      </c>
      <c r="Z9602">
        <v>-7.0053789999999999E-3</v>
      </c>
      <c r="AA9602">
        <v>0.96188779999999996</v>
      </c>
      <c r="AB9602">
        <v>28</v>
      </c>
      <c r="AC9602">
        <v>7.7476000000000003</v>
      </c>
      <c r="AD9602">
        <v>-1.1293834543700001</v>
      </c>
      <c r="AE9602">
        <v>48.726632799999997</v>
      </c>
      <c r="AF9602">
        <v>-13.5468305495534</v>
      </c>
      <c r="AG9602">
        <v>-1.1293834543700001</v>
      </c>
      <c r="AH9602">
        <v>47.415655868694998</v>
      </c>
      <c r="AI9602">
        <v>91.311981437683897</v>
      </c>
      <c r="AJ9602">
        <v>105.94483764869901</v>
      </c>
      <c r="AK9602">
        <v>49.325820280901901</v>
      </c>
      <c r="AL9602">
        <v>82.214467318488502</v>
      </c>
      <c r="AM9602">
        <v>102.68827035859</v>
      </c>
      <c r="AN9602">
        <v>0.99999998552464398</v>
      </c>
    </row>
    <row r="9603" spans="1:40" x14ac:dyDescent="0.25">
      <c r="A9603" t="str">
        <f>"20190303162134734"</f>
        <v>20190303162134734</v>
      </c>
      <c r="B9603" t="str">
        <f>"1551601294721707"</f>
        <v>1551601294721707</v>
      </c>
      <c r="C9603" t="s">
        <v>40</v>
      </c>
      <c r="D9603">
        <v>5.1273330000000001</v>
      </c>
      <c r="E9603">
        <v>0.48009109999999999</v>
      </c>
      <c r="F9603" t="s">
        <v>41</v>
      </c>
      <c r="G9603">
        <v>-187.77080000000001</v>
      </c>
      <c r="H9603" s="1">
        <v>-2.820748E-6</v>
      </c>
      <c r="I9603">
        <v>-14.71372</v>
      </c>
      <c r="J9603">
        <v>-193.30889999999999</v>
      </c>
      <c r="K9603">
        <v>1.12923</v>
      </c>
      <c r="L9603">
        <v>-47.930689999999998</v>
      </c>
      <c r="M9603">
        <v>0.41273460000000001</v>
      </c>
      <c r="N9603">
        <v>-1.270774E-2</v>
      </c>
      <c r="O9603">
        <v>0.91076270000000004</v>
      </c>
      <c r="P9603">
        <v>0.20580709999999999</v>
      </c>
      <c r="Q9603">
        <v>0.12854679999999999</v>
      </c>
      <c r="R9603">
        <v>0.97011289999999994</v>
      </c>
      <c r="S9603">
        <v>0.50590519999999894</v>
      </c>
      <c r="T9603">
        <v>-0.10118099999999999</v>
      </c>
      <c r="U9603">
        <v>2.9991460000000001</v>
      </c>
      <c r="V9603">
        <v>-0.21567520000000001</v>
      </c>
      <c r="W9603">
        <v>0.1366743</v>
      </c>
      <c r="X9603">
        <v>0.96685279999999996</v>
      </c>
      <c r="Y9603">
        <v>-0.25545839999999997</v>
      </c>
      <c r="Z9603">
        <v>-1.6249969999999999E-2</v>
      </c>
      <c r="AA9603">
        <v>0.96668339999999997</v>
      </c>
      <c r="AB9603">
        <v>28</v>
      </c>
      <c r="AC9603">
        <v>5.5380999999999796</v>
      </c>
      <c r="AD9603">
        <v>-1.129232820748</v>
      </c>
      <c r="AE9603">
        <v>33.216970000000003</v>
      </c>
      <c r="AF9603">
        <v>-8.6568633792896801</v>
      </c>
      <c r="AG9603">
        <v>-1.129232820748</v>
      </c>
      <c r="AH9603">
        <v>32.504620065978997</v>
      </c>
      <c r="AI9603">
        <v>91.922725953587303</v>
      </c>
      <c r="AJ9603">
        <v>104.913255162368</v>
      </c>
      <c r="AK9603">
        <v>33.6566007785217</v>
      </c>
      <c r="AL9603">
        <v>82.1445522685122</v>
      </c>
      <c r="AM9603">
        <v>102.57505071521901</v>
      </c>
      <c r="AN9603">
        <v>0.99999999652168403</v>
      </c>
    </row>
    <row r="9604" spans="1:40" x14ac:dyDescent="0.25">
      <c r="A9604" t="str">
        <f>"20190303162134758"</f>
        <v>20190303162134758</v>
      </c>
      <c r="B9604" t="str">
        <f>"1551601294751964"</f>
        <v>1551601294751964</v>
      </c>
      <c r="C9604" t="s">
        <v>40</v>
      </c>
      <c r="D9604">
        <v>5.1246320000000001</v>
      </c>
      <c r="E9604">
        <v>0.48077009999999998</v>
      </c>
      <c r="F9604" t="s">
        <v>41</v>
      </c>
      <c r="G9604">
        <v>-187.9716</v>
      </c>
      <c r="H9604" s="1">
        <v>-2.7855190000000002E-6</v>
      </c>
      <c r="I9604">
        <v>-14.712820000000001</v>
      </c>
      <c r="J9604">
        <v>-193.19460000000001</v>
      </c>
      <c r="K9604">
        <v>1.1290370000000001</v>
      </c>
      <c r="L9604">
        <v>-47.650480000000002</v>
      </c>
      <c r="M9604">
        <v>0.40273750000000003</v>
      </c>
      <c r="N9604">
        <v>-1.267477E-2</v>
      </c>
      <c r="O9604">
        <v>0.91522780000000004</v>
      </c>
      <c r="P9604">
        <v>0.19762440000000001</v>
      </c>
      <c r="Q9604">
        <v>0.12899820000000001</v>
      </c>
      <c r="R9604">
        <v>0.97175310000000004</v>
      </c>
      <c r="S9604">
        <v>0.48260500000000001</v>
      </c>
      <c r="T9604">
        <v>-0.1021056</v>
      </c>
      <c r="U9604">
        <v>3.003571</v>
      </c>
      <c r="V9604">
        <v>-0.2131488</v>
      </c>
      <c r="W9604">
        <v>0.1372524</v>
      </c>
      <c r="X9604">
        <v>0.9673311</v>
      </c>
      <c r="Y9604">
        <v>-0.25240780000000002</v>
      </c>
      <c r="Z9604">
        <v>-1.6719609999999999E-2</v>
      </c>
      <c r="AA9604">
        <v>0.96747649999999996</v>
      </c>
      <c r="AB9604">
        <v>28</v>
      </c>
      <c r="AC9604">
        <v>5.2230000000000096</v>
      </c>
      <c r="AD9604">
        <v>-1.129039785519</v>
      </c>
      <c r="AE9604">
        <v>32.937660000000001</v>
      </c>
      <c r="AF9604">
        <v>-8.4759625254206696</v>
      </c>
      <c r="AG9604">
        <v>-1.129039785519</v>
      </c>
      <c r="AH9604">
        <v>32.214626326258198</v>
      </c>
      <c r="AI9604">
        <v>91.9412332330987</v>
      </c>
      <c r="AJ9604">
        <v>104.74095011595701</v>
      </c>
      <c r="AK9604">
        <v>33.330148828201601</v>
      </c>
      <c r="AL9604">
        <v>82.111114845748702</v>
      </c>
      <c r="AM9604">
        <v>102.426397547717</v>
      </c>
      <c r="AN9604">
        <v>1.0000000446371999</v>
      </c>
    </row>
    <row r="9605" spans="1:40" x14ac:dyDescent="0.25">
      <c r="A9605" t="str">
        <f>"20190303162134781"</f>
        <v>20190303162134781</v>
      </c>
      <c r="B9605" t="str">
        <f>"1551601294772460"</f>
        <v>1551601294772460</v>
      </c>
      <c r="C9605" t="s">
        <v>40</v>
      </c>
      <c r="D9605">
        <v>5.0131370000000004</v>
      </c>
      <c r="E9605">
        <v>0.4809157</v>
      </c>
      <c r="F9605" t="s">
        <v>41</v>
      </c>
      <c r="G9605">
        <v>-188.2732</v>
      </c>
      <c r="H9605" s="1">
        <v>-2.3242149999999999E-6</v>
      </c>
      <c r="I9605">
        <v>-15.66342</v>
      </c>
      <c r="J9605">
        <v>-193.0891</v>
      </c>
      <c r="K9605">
        <v>1.1288009999999999</v>
      </c>
      <c r="L9605">
        <v>-47.384740000000001</v>
      </c>
      <c r="M9605">
        <v>0.39357920000000002</v>
      </c>
      <c r="N9605">
        <v>-1.26377E-2</v>
      </c>
      <c r="O9605">
        <v>0.91920389999999996</v>
      </c>
      <c r="P9605">
        <v>0.19142809999999999</v>
      </c>
      <c r="Q9605">
        <v>0.1273668</v>
      </c>
      <c r="R9605">
        <v>0.97320759999999995</v>
      </c>
      <c r="S9605">
        <v>0.462677</v>
      </c>
      <c r="T9605">
        <v>-0.1061444</v>
      </c>
      <c r="U9605">
        <v>3.0072019999999999</v>
      </c>
      <c r="V9605">
        <v>-0.20962439999999999</v>
      </c>
      <c r="W9605">
        <v>0.13577910000000001</v>
      </c>
      <c r="X9605">
        <v>0.96830870000000002</v>
      </c>
      <c r="Y9605">
        <v>-0.2491872</v>
      </c>
      <c r="Z9605">
        <v>-1.8071500000000001E-2</v>
      </c>
      <c r="AA9605">
        <v>0.9682868</v>
      </c>
      <c r="AB9605">
        <v>28</v>
      </c>
      <c r="AC9605">
        <v>4.8158999999999903</v>
      </c>
      <c r="AD9605">
        <v>-1.128803324215</v>
      </c>
      <c r="AE9605">
        <v>31.721319999999999</v>
      </c>
      <c r="AF9605">
        <v>-8.0487383775595909</v>
      </c>
      <c r="AG9605">
        <v>-1.128803324215</v>
      </c>
      <c r="AH9605">
        <v>31.017884770866601</v>
      </c>
      <c r="AI9605">
        <v>92.017433040363898</v>
      </c>
      <c r="AJ9605">
        <v>104.54668204740599</v>
      </c>
      <c r="AK9605">
        <v>32.065020849422702</v>
      </c>
      <c r="AL9605">
        <v>82.196326490905093</v>
      </c>
      <c r="AM9605">
        <v>102.215185439004</v>
      </c>
      <c r="AN9605">
        <v>1.00000004578392</v>
      </c>
    </row>
    <row r="9606" spans="1:40" x14ac:dyDescent="0.25">
      <c r="A9606" t="str">
        <f>"20190303162134801"</f>
        <v>20190303162134801</v>
      </c>
      <c r="B9606" t="str">
        <f>"1551601294791979"</f>
        <v>1551601294791979</v>
      </c>
      <c r="C9606" t="s">
        <v>40</v>
      </c>
      <c r="D9606">
        <v>4.8834140000000001</v>
      </c>
      <c r="E9606">
        <v>0.47914509999999999</v>
      </c>
      <c r="F9606" t="s">
        <v>41</v>
      </c>
      <c r="G9606">
        <v>-188.64930000000001</v>
      </c>
      <c r="H9606" s="1">
        <v>-1.585196E-6</v>
      </c>
      <c r="I9606">
        <v>-17.230589999999999</v>
      </c>
      <c r="J9606">
        <v>-192.9967</v>
      </c>
      <c r="K9606">
        <v>1.1285459999999901</v>
      </c>
      <c r="L9606">
        <v>-47.146389999999997</v>
      </c>
      <c r="M9606">
        <v>0.38567600000000002</v>
      </c>
      <c r="N9606">
        <v>-1.259935E-2</v>
      </c>
      <c r="O9606">
        <v>0.92254829999999999</v>
      </c>
      <c r="P9606">
        <v>0.18511639999999999</v>
      </c>
      <c r="Q9606">
        <v>0.1252212</v>
      </c>
      <c r="R9606">
        <v>0.97470590000000001</v>
      </c>
      <c r="S9606">
        <v>0.44320680000000001</v>
      </c>
      <c r="T9606">
        <v>-0.1126837</v>
      </c>
      <c r="U9606">
        <v>3.0101619999999998</v>
      </c>
      <c r="V9606">
        <v>-0.20757490000000001</v>
      </c>
      <c r="W9606">
        <v>0.13376299999999999</v>
      </c>
      <c r="X9606">
        <v>0.96903050000000002</v>
      </c>
      <c r="Y9606">
        <v>-0.2471457</v>
      </c>
      <c r="Z9606">
        <v>-2.0126069999999999E-2</v>
      </c>
      <c r="AA9606">
        <v>0.96876930000000006</v>
      </c>
      <c r="AB9606">
        <v>28</v>
      </c>
      <c r="AC9606">
        <v>4.3473999999999897</v>
      </c>
      <c r="AD9606">
        <v>-1.1285475851959901</v>
      </c>
      <c r="AE9606">
        <v>29.915800000000001</v>
      </c>
      <c r="AF9606">
        <v>-7.51724017538809</v>
      </c>
      <c r="AG9606">
        <v>-1.1285475851959901</v>
      </c>
      <c r="AH9606">
        <v>29.237033919514101</v>
      </c>
      <c r="AI9606">
        <v>92.140949961716402</v>
      </c>
      <c r="AJ9606">
        <v>104.41920285183799</v>
      </c>
      <c r="AK9606">
        <v>30.2090495037057</v>
      </c>
      <c r="AL9606">
        <v>82.312903696643801</v>
      </c>
      <c r="AM9606">
        <v>102.090545847925</v>
      </c>
      <c r="AN9606">
        <v>0.99999999460462996</v>
      </c>
    </row>
    <row r="9607" spans="1:40" x14ac:dyDescent="0.25">
      <c r="A9607" t="str">
        <f>"20190303162134826"</f>
        <v>20190303162134826</v>
      </c>
      <c r="B9607" t="str">
        <f>"1551601294812475"</f>
        <v>1551601294812475</v>
      </c>
      <c r="C9607" t="s">
        <v>40</v>
      </c>
      <c r="D9607">
        <v>5.0740910000000001</v>
      </c>
      <c r="E9607">
        <v>0.4771649</v>
      </c>
      <c r="F9607" t="s">
        <v>41</v>
      </c>
      <c r="G9607">
        <v>-188.8211</v>
      </c>
      <c r="H9607" s="1">
        <v>-1.9551519999999999E-6</v>
      </c>
      <c r="I9607">
        <v>-16.297179999999901</v>
      </c>
      <c r="J9607">
        <v>-192.89</v>
      </c>
      <c r="K9607">
        <v>1.1282110000000001</v>
      </c>
      <c r="L9607">
        <v>-46.864690000000003</v>
      </c>
      <c r="M9607">
        <v>0.3767162</v>
      </c>
      <c r="N9607">
        <v>-1.2550520000000001E-2</v>
      </c>
      <c r="O9607">
        <v>0.9262437</v>
      </c>
      <c r="P9607">
        <v>0.1757746</v>
      </c>
      <c r="Q9607">
        <v>0.12250419999999999</v>
      </c>
      <c r="R9607">
        <v>0.97677840000000005</v>
      </c>
      <c r="S9607">
        <v>0.40803529999999999</v>
      </c>
      <c r="T9607">
        <v>-0.11027960000000001</v>
      </c>
      <c r="U9607">
        <v>3.014526</v>
      </c>
      <c r="V9607">
        <v>-0.20744009999999999</v>
      </c>
      <c r="W9607">
        <v>0.13116539999999999</v>
      </c>
      <c r="X9607">
        <v>0.96941440000000001</v>
      </c>
      <c r="Y9607">
        <v>-0.2490368</v>
      </c>
      <c r="Z9607">
        <v>-1.961413E-2</v>
      </c>
      <c r="AA9607">
        <v>0.96829540000000003</v>
      </c>
      <c r="AB9607">
        <v>28</v>
      </c>
      <c r="AC9607">
        <v>4.0688999999999798</v>
      </c>
      <c r="AD9607">
        <v>-1.1282129551519999</v>
      </c>
      <c r="AE9607">
        <v>30.567509999999999</v>
      </c>
      <c r="AF9607">
        <v>-7.7367373757341902</v>
      </c>
      <c r="AG9607">
        <v>-1.1282129551519999</v>
      </c>
      <c r="AH9607">
        <v>29.808235152581201</v>
      </c>
      <c r="AI9607">
        <v>92.098101582849594</v>
      </c>
      <c r="AJ9607">
        <v>104.55008093085701</v>
      </c>
      <c r="AK9607">
        <v>30.8165678264928</v>
      </c>
      <c r="AL9607">
        <v>82.463058632411801</v>
      </c>
      <c r="AM9607">
        <v>102.078280544823</v>
      </c>
      <c r="AN9607">
        <v>1.00000001808626</v>
      </c>
    </row>
    <row r="9608" spans="1:40" x14ac:dyDescent="0.25">
      <c r="A9608" t="str">
        <f>"20190303162134845"</f>
        <v>20190303162134845</v>
      </c>
      <c r="B9608" t="str">
        <f>"1551601294831995"</f>
        <v>1551601294831995</v>
      </c>
      <c r="C9608" t="s">
        <v>40</v>
      </c>
      <c r="D9608">
        <v>4.8652930000000003</v>
      </c>
      <c r="E9608">
        <v>0.47581030000000002</v>
      </c>
      <c r="F9608" t="s">
        <v>41</v>
      </c>
      <c r="G9608">
        <v>-189.2132</v>
      </c>
      <c r="H9608" s="1">
        <v>-1.87726E-6</v>
      </c>
      <c r="I9608">
        <v>-16.31663</v>
      </c>
      <c r="J9608">
        <v>-192.80179999999999</v>
      </c>
      <c r="K9608">
        <v>1.1279090000000001</v>
      </c>
      <c r="L9608">
        <v>-46.626530000000002</v>
      </c>
      <c r="M9608">
        <v>0.36951929999999999</v>
      </c>
      <c r="N9608">
        <v>-1.250719E-2</v>
      </c>
      <c r="O9608">
        <v>0.92913880000000004</v>
      </c>
      <c r="P9608">
        <v>0.16754520000000001</v>
      </c>
      <c r="Q9608">
        <v>0.121021</v>
      </c>
      <c r="R9608">
        <v>0.97840819999999995</v>
      </c>
      <c r="S9608">
        <v>0.36347960000000001</v>
      </c>
      <c r="T9608">
        <v>-0.1115321</v>
      </c>
      <c r="U9608">
        <v>3.0198969999999998</v>
      </c>
      <c r="V9608">
        <v>-0.2080322</v>
      </c>
      <c r="W9608">
        <v>0.12977639999999999</v>
      </c>
      <c r="X9608">
        <v>0.96947439999999996</v>
      </c>
      <c r="Y9608">
        <v>-0.255801</v>
      </c>
      <c r="Z9608">
        <v>-2.007107E-2</v>
      </c>
      <c r="AA9608">
        <v>0.96652110000000002</v>
      </c>
      <c r="AB9608">
        <v>28</v>
      </c>
      <c r="AC9608">
        <v>3.58859999999998</v>
      </c>
      <c r="AD9608">
        <v>-1.1279108772599999</v>
      </c>
      <c r="AE9608">
        <v>30.309899999999899</v>
      </c>
      <c r="AF9608">
        <v>-7.8556734166241799</v>
      </c>
      <c r="AG9608">
        <v>-1.1279108772599999</v>
      </c>
      <c r="AH9608">
        <v>29.450251608258899</v>
      </c>
      <c r="AI9608">
        <v>92.119262144729404</v>
      </c>
      <c r="AJ9608">
        <v>104.935545635929</v>
      </c>
      <c r="AK9608">
        <v>30.5008378174347</v>
      </c>
      <c r="AL9608">
        <v>82.543328185894694</v>
      </c>
      <c r="AM9608">
        <v>102.11101183018999</v>
      </c>
      <c r="AN9608">
        <v>0.99999996124457902</v>
      </c>
    </row>
    <row r="9609" spans="1:40" x14ac:dyDescent="0.25">
      <c r="A9609" t="str">
        <f>"20190303162134867"</f>
        <v>20190303162134867</v>
      </c>
      <c r="B9609" t="str">
        <f>"1551601294862251"</f>
        <v>1551601294862251</v>
      </c>
      <c r="C9609" t="s">
        <v>40</v>
      </c>
      <c r="D9609">
        <v>4.8319000000000001</v>
      </c>
      <c r="E9609">
        <v>0.47463689999999997</v>
      </c>
      <c r="F9609" t="s">
        <v>41</v>
      </c>
      <c r="G9609">
        <v>-189.43860000000001</v>
      </c>
      <c r="H9609" s="1">
        <v>-2.173392E-6</v>
      </c>
      <c r="I9609">
        <v>-15.533099999999999</v>
      </c>
      <c r="J9609">
        <v>-192.70769999999999</v>
      </c>
      <c r="K9609">
        <v>1.1276189999999999</v>
      </c>
      <c r="L9609">
        <v>-46.366970000000002</v>
      </c>
      <c r="M9609">
        <v>0.3619966</v>
      </c>
      <c r="N9609">
        <v>-1.2461939999999999E-2</v>
      </c>
      <c r="O9609">
        <v>0.93209609999999998</v>
      </c>
      <c r="P9609">
        <v>0.1600869</v>
      </c>
      <c r="Q9609">
        <v>0.1208156</v>
      </c>
      <c r="R9609">
        <v>0.97968149999999998</v>
      </c>
      <c r="S9609">
        <v>0.32705689999999998</v>
      </c>
      <c r="T9609">
        <v>-0.10968600000000001</v>
      </c>
      <c r="U9609">
        <v>3.0237430000000001</v>
      </c>
      <c r="V9609">
        <v>-0.20749339999999999</v>
      </c>
      <c r="W9609">
        <v>0.12968189999999999</v>
      </c>
      <c r="X9609">
        <v>0.96960259999999998</v>
      </c>
      <c r="Y9609">
        <v>-0.25962160000000001</v>
      </c>
      <c r="Z9609">
        <v>-1.966644E-2</v>
      </c>
      <c r="AA9609">
        <v>0.96551019999999999</v>
      </c>
      <c r="AB9609">
        <v>28</v>
      </c>
      <c r="AC9609">
        <v>3.2690999999999799</v>
      </c>
      <c r="AD9609">
        <v>-1.1276211733920001</v>
      </c>
      <c r="AE9609">
        <v>30.833870000000001</v>
      </c>
      <c r="AF9609">
        <v>-8.1045522429753003</v>
      </c>
      <c r="AG9609">
        <v>-1.1276211733920001</v>
      </c>
      <c r="AH9609">
        <v>29.886330722440899</v>
      </c>
      <c r="AI9609">
        <v>92.085511807166995</v>
      </c>
      <c r="AJ9609">
        <v>105.17253066627801</v>
      </c>
      <c r="AK9609">
        <v>30.9862559955364</v>
      </c>
      <c r="AL9609">
        <v>82.548789477872603</v>
      </c>
      <c r="AM9609">
        <v>102.079016687747</v>
      </c>
      <c r="AN9609">
        <v>1.00000005407896</v>
      </c>
    </row>
    <row r="9610" spans="1:40" x14ac:dyDescent="0.25">
      <c r="A9610" t="str">
        <f>"20190303162134891"</f>
        <v>20190303162134891</v>
      </c>
      <c r="B9610" t="str">
        <f>"1551601294881771"</f>
        <v>1551601294881771</v>
      </c>
      <c r="C9610" t="s">
        <v>40</v>
      </c>
      <c r="D9610">
        <v>4.8586749999999999</v>
      </c>
      <c r="E9610">
        <v>0.47396519999999998</v>
      </c>
      <c r="F9610" t="s">
        <v>41</v>
      </c>
      <c r="G9610">
        <v>-189.5497</v>
      </c>
      <c r="H9610" s="1">
        <v>-2.893635E-6</v>
      </c>
      <c r="I9610">
        <v>-13.8082799999999</v>
      </c>
      <c r="J9610">
        <v>-192.6097</v>
      </c>
      <c r="K9610">
        <v>1.127345</v>
      </c>
      <c r="L9610">
        <v>-46.090299999999999</v>
      </c>
      <c r="M9610">
        <v>0.35434290000000002</v>
      </c>
      <c r="N9610">
        <v>-1.2417549999999999E-2</v>
      </c>
      <c r="O9610">
        <v>0.93503309999999995</v>
      </c>
      <c r="P9610">
        <v>0.15270699999999901</v>
      </c>
      <c r="Q9610">
        <v>0.121017</v>
      </c>
      <c r="R9610">
        <v>0.98083410000000004</v>
      </c>
      <c r="S9610">
        <v>0.29362490000000002</v>
      </c>
      <c r="T9610">
        <v>-0.1048423</v>
      </c>
      <c r="U9610">
        <v>3.0271910000000002</v>
      </c>
      <c r="V9610">
        <v>-0.20674880000000001</v>
      </c>
      <c r="W9610">
        <v>0.12999059999999901</v>
      </c>
      <c r="X9610">
        <v>0.96972020000000003</v>
      </c>
      <c r="Y9610">
        <v>-0.26237260000000001</v>
      </c>
      <c r="Z9610">
        <v>-1.8391290000000001E-2</v>
      </c>
      <c r="AA9610">
        <v>0.96479139999999997</v>
      </c>
      <c r="AB9610">
        <v>28</v>
      </c>
      <c r="AC9610">
        <v>3.06</v>
      </c>
      <c r="AD9610">
        <v>-1.1273478936350001</v>
      </c>
      <c r="AE9610">
        <v>32.282020000000003</v>
      </c>
      <c r="AF9610">
        <v>-8.5680088202089806</v>
      </c>
      <c r="AG9610">
        <v>-1.1273478936350001</v>
      </c>
      <c r="AH9610">
        <v>31.233706384944501</v>
      </c>
      <c r="AI9610">
        <v>91.993548552195193</v>
      </c>
      <c r="AJ9610">
        <v>105.339986396855</v>
      </c>
      <c r="AK9610">
        <v>32.407192148617</v>
      </c>
      <c r="AL9610">
        <v>82.530950454978694</v>
      </c>
      <c r="AM9610">
        <v>102.035519737363</v>
      </c>
      <c r="AN9610">
        <v>0.99999994433891803</v>
      </c>
    </row>
    <row r="9611" spans="1:40" x14ac:dyDescent="0.25">
      <c r="A9611" t="str">
        <f>"20190303162134913"</f>
        <v>20190303162134913</v>
      </c>
      <c r="B9611" t="str">
        <f>"1551601294902267"</f>
        <v>1551601294902267</v>
      </c>
      <c r="C9611" t="s">
        <v>40</v>
      </c>
      <c r="D9611">
        <v>5.0186060000000001</v>
      </c>
      <c r="E9611">
        <v>0.47383930000000002</v>
      </c>
      <c r="F9611" t="s">
        <v>41</v>
      </c>
      <c r="G9611">
        <v>-189.72380000000001</v>
      </c>
      <c r="H9611" s="1">
        <v>-3.203235E-6</v>
      </c>
      <c r="I9611">
        <v>-13.0146</v>
      </c>
      <c r="J9611">
        <v>-192.51830000000001</v>
      </c>
      <c r="K9611">
        <v>1.1271040000000001</v>
      </c>
      <c r="L9611">
        <v>-45.827030000000001</v>
      </c>
      <c r="M9611">
        <v>0.34740399999999999</v>
      </c>
      <c r="N9611">
        <v>-1.2377590000000001E-2</v>
      </c>
      <c r="O9611">
        <v>0.93763390000000002</v>
      </c>
      <c r="P9611">
        <v>0.146537</v>
      </c>
      <c r="Q9611">
        <v>0.1197978</v>
      </c>
      <c r="R9611">
        <v>0.98192440000000003</v>
      </c>
      <c r="S9611">
        <v>0.26438899999999999</v>
      </c>
      <c r="T9611">
        <v>-0.103281399999999</v>
      </c>
      <c r="U9611">
        <v>3.0302120000000001</v>
      </c>
      <c r="V9611">
        <v>-0.20561409999999999</v>
      </c>
      <c r="W9611">
        <v>0.12887570000000001</v>
      </c>
      <c r="X9611">
        <v>0.97011020000000003</v>
      </c>
      <c r="Y9611">
        <v>-0.26454319999999998</v>
      </c>
      <c r="Z9611">
        <v>-1.8052820000000001E-2</v>
      </c>
      <c r="AA9611">
        <v>0.96420479999999997</v>
      </c>
      <c r="AB9611">
        <v>28</v>
      </c>
      <c r="AC9611">
        <v>2.7945000000000002</v>
      </c>
      <c r="AD9611">
        <v>-1.127107203235</v>
      </c>
      <c r="AE9611">
        <v>32.812429999999999</v>
      </c>
      <c r="AF9611">
        <v>-8.7693510883068893</v>
      </c>
      <c r="AG9611">
        <v>-1.127107203235</v>
      </c>
      <c r="AH9611">
        <v>31.702160658603798</v>
      </c>
      <c r="AI9611">
        <v>91.962540749117494</v>
      </c>
      <c r="AJ9611">
        <v>105.462339813542</v>
      </c>
      <c r="AK9611">
        <v>32.911986867727997</v>
      </c>
      <c r="AL9611">
        <v>82.595371484455001</v>
      </c>
      <c r="AM9611">
        <v>101.966701992558</v>
      </c>
      <c r="AN9611">
        <v>0.99999995215666804</v>
      </c>
    </row>
    <row r="9612" spans="1:40" x14ac:dyDescent="0.25">
      <c r="A9612" t="str">
        <f>"20190303162134935"</f>
        <v>20190303162134935</v>
      </c>
      <c r="B9612" t="str">
        <f>"1551601294921787"</f>
        <v>1551601294921787</v>
      </c>
      <c r="C9612" t="s">
        <v>40</v>
      </c>
      <c r="D9612">
        <v>5.0096860000000003</v>
      </c>
      <c r="E9612">
        <v>0.47391050000000001</v>
      </c>
      <c r="F9612" t="s">
        <v>41</v>
      </c>
      <c r="G9612">
        <v>-189.845</v>
      </c>
      <c r="H9612" s="1">
        <v>-3.3575590000000002E-6</v>
      </c>
      <c r="I9612">
        <v>-12.60477</v>
      </c>
      <c r="J9612">
        <v>-192.42920000000001</v>
      </c>
      <c r="K9612">
        <v>1.1268629999999999</v>
      </c>
      <c r="L9612">
        <v>-45.565489999999997</v>
      </c>
      <c r="M9612">
        <v>0.34083649999999999</v>
      </c>
      <c r="N9612">
        <v>-1.2338440000000001E-2</v>
      </c>
      <c r="O9612">
        <v>0.94004160000000003</v>
      </c>
      <c r="P9612">
        <v>0.14178160000000001</v>
      </c>
      <c r="Q9612">
        <v>0.11912499999999999</v>
      </c>
      <c r="R9612">
        <v>0.98270400000000002</v>
      </c>
      <c r="S9612">
        <v>0.243927</v>
      </c>
      <c r="T9612">
        <v>-0.1028432</v>
      </c>
      <c r="U9612">
        <v>3.0313720000000002</v>
      </c>
      <c r="V9612">
        <v>-0.20346439999999999</v>
      </c>
      <c r="W9612">
        <v>0.12831809999999999</v>
      </c>
      <c r="X9612">
        <v>0.97063730000000004</v>
      </c>
      <c r="Y9612">
        <v>-0.26429269999999999</v>
      </c>
      <c r="Z9612">
        <v>-1.8063200000000001E-2</v>
      </c>
      <c r="AA9612">
        <v>0.9642733</v>
      </c>
      <c r="AB9612">
        <v>28</v>
      </c>
      <c r="AC9612">
        <v>2.5842000000000098</v>
      </c>
      <c r="AD9612">
        <v>-1.1268663575590001</v>
      </c>
      <c r="AE9612">
        <v>32.960720000000002</v>
      </c>
      <c r="AF9612">
        <v>-8.7954138449249992</v>
      </c>
      <c r="AG9612">
        <v>-1.1268663575590001</v>
      </c>
      <c r="AH9612">
        <v>31.830686622678201</v>
      </c>
      <c r="AI9612">
        <v>91.954354735652004</v>
      </c>
      <c r="AJ9612">
        <v>105.446471127495</v>
      </c>
      <c r="AK9612">
        <v>33.042726028014698</v>
      </c>
      <c r="AL9612">
        <v>82.627587696675207</v>
      </c>
      <c r="AM9612">
        <v>101.838891331798</v>
      </c>
      <c r="AN9612">
        <v>1.00000003250312</v>
      </c>
    </row>
    <row r="9613" spans="1:40" x14ac:dyDescent="0.25">
      <c r="A9613" t="str">
        <f>"20190303162134957"</f>
        <v>20190303162134957</v>
      </c>
      <c r="B9613" t="str">
        <f>"1551601294942284"</f>
        <v>1551601294942284</v>
      </c>
      <c r="C9613" t="s">
        <v>40</v>
      </c>
      <c r="D9613">
        <v>5.0744040000000004</v>
      </c>
      <c r="E9613">
        <v>0.47399839999999999</v>
      </c>
      <c r="F9613" t="s">
        <v>41</v>
      </c>
      <c r="G9613">
        <v>-189.87129999999999</v>
      </c>
      <c r="H9613" s="1">
        <v>-3.7347879999999999E-6</v>
      </c>
      <c r="I9613">
        <v>-11.71454</v>
      </c>
      <c r="J9613">
        <v>-192.3389</v>
      </c>
      <c r="K9613">
        <v>1.1266240000000001</v>
      </c>
      <c r="L9613">
        <v>-45.294739999999997</v>
      </c>
      <c r="M9613">
        <v>0.33435429999999999</v>
      </c>
      <c r="N9613">
        <v>-1.2298760000000001E-2</v>
      </c>
      <c r="O9613">
        <v>0.94236719999999896</v>
      </c>
      <c r="P9613">
        <v>0.138269</v>
      </c>
      <c r="Q9613">
        <v>0.1192333</v>
      </c>
      <c r="R9613">
        <v>0.98319129999999999</v>
      </c>
      <c r="S9613">
        <v>0.2291107</v>
      </c>
      <c r="T9613">
        <v>-0.1009319</v>
      </c>
      <c r="U9613">
        <v>3.0319820000000002</v>
      </c>
      <c r="V9613">
        <v>-0.20016249999999999</v>
      </c>
      <c r="W9613">
        <v>0.1285598</v>
      </c>
      <c r="X9613">
        <v>0.97129160000000003</v>
      </c>
      <c r="Y9613">
        <v>-0.26235059999999999</v>
      </c>
      <c r="Z9613">
        <v>-1.765009E-2</v>
      </c>
      <c r="AA9613">
        <v>0.96481119999999998</v>
      </c>
      <c r="AB9613">
        <v>28</v>
      </c>
      <c r="AC9613">
        <v>2.4676</v>
      </c>
      <c r="AD9613">
        <v>-1.126627734788</v>
      </c>
      <c r="AE9613">
        <v>33.580199999999998</v>
      </c>
      <c r="AF9613">
        <v>-8.8930158791559695</v>
      </c>
      <c r="AG9613">
        <v>-1.126627734788</v>
      </c>
      <c r="AH9613">
        <v>32.436072930168599</v>
      </c>
      <c r="AI9613">
        <v>91.918553775070194</v>
      </c>
      <c r="AJ9613">
        <v>105.332059091471</v>
      </c>
      <c r="AK9613">
        <v>33.651951631531396</v>
      </c>
      <c r="AL9613">
        <v>82.613623484684993</v>
      </c>
      <c r="AM9613">
        <v>101.64442539504</v>
      </c>
      <c r="AN9613">
        <v>1.0000000104064199</v>
      </c>
    </row>
    <row r="9614" spans="1:40" x14ac:dyDescent="0.25">
      <c r="A9614" t="str">
        <f>"20190303162134981"</f>
        <v>20190303162134981</v>
      </c>
      <c r="B9614" t="str">
        <f>"1551601294971563"</f>
        <v>1551601294971563</v>
      </c>
      <c r="C9614" t="s">
        <v>40</v>
      </c>
      <c r="D9614">
        <v>4.9498199999999999</v>
      </c>
      <c r="E9614">
        <v>0.47443790000000002</v>
      </c>
      <c r="F9614" t="s">
        <v>41</v>
      </c>
      <c r="G9614">
        <v>-189.75110000000001</v>
      </c>
      <c r="H9614" s="1">
        <v>-5.1563629999999995E-7</v>
      </c>
      <c r="I9614">
        <v>-9.2681730000000009</v>
      </c>
      <c r="J9614">
        <v>-192.2475</v>
      </c>
      <c r="K9614">
        <v>1.1263840000000001</v>
      </c>
      <c r="L9614">
        <v>-45.01538</v>
      </c>
      <c r="M9614">
        <v>0.32796520000000001</v>
      </c>
      <c r="N9614">
        <v>-1.226E-2</v>
      </c>
      <c r="O9614">
        <v>0.94461019999999896</v>
      </c>
      <c r="P9614">
        <v>0.13530039999999999</v>
      </c>
      <c r="Q9614">
        <v>0.1195997</v>
      </c>
      <c r="R9614">
        <v>0.98355970000000004</v>
      </c>
      <c r="S9614">
        <v>0.217804</v>
      </c>
      <c r="T9614">
        <v>-9.4822050000000005E-2</v>
      </c>
      <c r="U9614">
        <v>3.0321660000000001</v>
      </c>
      <c r="V9614">
        <v>-0.19642200000000001</v>
      </c>
      <c r="W9614">
        <v>0.12906429999999999</v>
      </c>
      <c r="X9614">
        <v>0.97198810000000002</v>
      </c>
      <c r="Y9614">
        <v>-0.25940010000000002</v>
      </c>
      <c r="Z9614">
        <v>-1.599399E-2</v>
      </c>
      <c r="AA9614">
        <v>0.96563750000000004</v>
      </c>
      <c r="AB9614">
        <v>28</v>
      </c>
      <c r="AC9614">
        <v>2.4963999999999902</v>
      </c>
      <c r="AD9614">
        <v>-1.1263845156362999</v>
      </c>
      <c r="AE9614">
        <v>35.747207000000003</v>
      </c>
      <c r="AF9614">
        <v>-9.3571740611958898</v>
      </c>
      <c r="AG9614">
        <v>-1.1263845156362999</v>
      </c>
      <c r="AH9614">
        <v>34.554368558340698</v>
      </c>
      <c r="AI9614">
        <v>91.802172638019201</v>
      </c>
      <c r="AJ9614">
        <v>105.15205859560299</v>
      </c>
      <c r="AK9614">
        <v>35.816613951548099</v>
      </c>
      <c r="AL9614">
        <v>82.584475082178898</v>
      </c>
      <c r="AM9614">
        <v>101.42462784564199</v>
      </c>
      <c r="AN9614">
        <v>1.0000000310800401</v>
      </c>
    </row>
    <row r="9615" spans="1:40" x14ac:dyDescent="0.25">
      <c r="A9615" t="str">
        <f>"20190303162135002"</f>
        <v>20190303162135002</v>
      </c>
      <c r="B9615" t="str">
        <f>"1551601294992059"</f>
        <v>1551601294992059</v>
      </c>
      <c r="C9615" t="s">
        <v>40</v>
      </c>
      <c r="D9615">
        <v>4.9539540000000004</v>
      </c>
      <c r="E9615">
        <v>0.47469860000000003</v>
      </c>
      <c r="F9615" t="s">
        <v>41</v>
      </c>
      <c r="G9615">
        <v>-189.54089999999999</v>
      </c>
      <c r="H9615" s="1">
        <v>-1.8636170000000001E-6</v>
      </c>
      <c r="I9615">
        <v>-6.2128930000000002</v>
      </c>
      <c r="J9615">
        <v>-192.16579999999999</v>
      </c>
      <c r="K9615">
        <v>1.126179</v>
      </c>
      <c r="L9615">
        <v>-44.761049999999997</v>
      </c>
      <c r="M9615">
        <v>0.32240249999999998</v>
      </c>
      <c r="N9615">
        <v>-1.2227490000000001E-2</v>
      </c>
      <c r="O9615">
        <v>0.94652369999999997</v>
      </c>
      <c r="P9615">
        <v>0.13263069999999999</v>
      </c>
      <c r="Q9615">
        <v>0.1199622</v>
      </c>
      <c r="R9615">
        <v>0.98387910000000001</v>
      </c>
      <c r="S9615">
        <v>0.21147160000000001</v>
      </c>
      <c r="T9615">
        <v>-8.8008279999999994E-2</v>
      </c>
      <c r="U9615">
        <v>3.0317690000000002</v>
      </c>
      <c r="V9615">
        <v>-0.1932576</v>
      </c>
      <c r="W9615">
        <v>0.1295433</v>
      </c>
      <c r="X9615">
        <v>0.97255849999999999</v>
      </c>
      <c r="Y9615">
        <v>-0.25571769999999999</v>
      </c>
      <c r="Z9615">
        <v>-1.410291E-2</v>
      </c>
      <c r="AA9615">
        <v>0.96664859999999997</v>
      </c>
      <c r="AB9615">
        <v>28</v>
      </c>
      <c r="AC9615">
        <v>2.62489999999999</v>
      </c>
      <c r="AD9615">
        <v>-1.1261808636170001</v>
      </c>
      <c r="AE9615">
        <v>38.548157000000003</v>
      </c>
      <c r="AF9615">
        <v>-9.9357943843956793</v>
      </c>
      <c r="AG9615">
        <v>-1.1261808636170001</v>
      </c>
      <c r="AH9615">
        <v>37.3041172019539</v>
      </c>
      <c r="AI9615">
        <v>91.670968533126299</v>
      </c>
      <c r="AJ9615">
        <v>104.914251240431</v>
      </c>
      <c r="AK9615">
        <v>38.621049359173</v>
      </c>
      <c r="AL9615">
        <v>82.556797833006499</v>
      </c>
      <c r="AM9615">
        <v>101.238874435802</v>
      </c>
      <c r="AN9615">
        <v>1.0000000012274499</v>
      </c>
    </row>
    <row r="9616" spans="1:40" x14ac:dyDescent="0.25">
      <c r="A9616" t="str">
        <f>"20190303162135024"</f>
        <v>20190303162135024</v>
      </c>
      <c r="B9616" t="str">
        <f>"1551601295011579"</f>
        <v>1551601295011579</v>
      </c>
      <c r="C9616" t="s">
        <v>40</v>
      </c>
      <c r="D9616">
        <v>4.9501189999999999</v>
      </c>
      <c r="E9616">
        <v>0.47496929999999998</v>
      </c>
      <c r="F9616" t="s">
        <v>41</v>
      </c>
      <c r="G9616">
        <v>-189.4152</v>
      </c>
      <c r="H9616" s="1">
        <v>-2.8193860000000001E-6</v>
      </c>
      <c r="I9616">
        <v>-4.0369630000000001</v>
      </c>
      <c r="J9616">
        <v>-192.083</v>
      </c>
      <c r="K9616">
        <v>1.125972</v>
      </c>
      <c r="L9616">
        <v>-44.498779999999996</v>
      </c>
      <c r="M9616">
        <v>0.31689650000000003</v>
      </c>
      <c r="N9616">
        <v>-1.219668E-2</v>
      </c>
      <c r="O9616">
        <v>0.94838169999999999</v>
      </c>
      <c r="P9616">
        <v>0.12918679999999999</v>
      </c>
      <c r="Q9616">
        <v>0.11986380000000001</v>
      </c>
      <c r="R9616">
        <v>0.98434929999999998</v>
      </c>
      <c r="S9616">
        <v>0.20477290000000001</v>
      </c>
      <c r="T9616">
        <v>-8.3840369999999997E-2</v>
      </c>
      <c r="U9616">
        <v>3.0317690000000002</v>
      </c>
      <c r="V9616">
        <v>-0.19094149999999999</v>
      </c>
      <c r="W9616">
        <v>0.1295452</v>
      </c>
      <c r="X9616">
        <v>0.97301559999999998</v>
      </c>
      <c r="Y9616">
        <v>-0.25222610000000001</v>
      </c>
      <c r="Z9616">
        <v>-1.297771E-2</v>
      </c>
      <c r="AA9616">
        <v>0.96758129999999998</v>
      </c>
      <c r="AB9616">
        <v>28</v>
      </c>
      <c r="AC9616">
        <v>2.6678000000000002</v>
      </c>
      <c r="AD9616">
        <v>-1.125974819386</v>
      </c>
      <c r="AE9616">
        <v>40.461817000000003</v>
      </c>
      <c r="AF9616">
        <v>-10.2849508873632</v>
      </c>
      <c r="AG9616">
        <v>-1.125974819386</v>
      </c>
      <c r="AH9616">
        <v>39.191362161621697</v>
      </c>
      <c r="AI9616">
        <v>91.591794344638004</v>
      </c>
      <c r="AJ9616">
        <v>104.704499313689</v>
      </c>
      <c r="AK9616">
        <v>40.534070880344103</v>
      </c>
      <c r="AL9616">
        <v>82.556687936085098</v>
      </c>
      <c r="AM9616">
        <v>101.102462491713</v>
      </c>
      <c r="AN9616">
        <v>0.99999998655432398</v>
      </c>
    </row>
    <row r="9617" spans="1:40" x14ac:dyDescent="0.25">
      <c r="A9617" t="str">
        <f>"20190303162135047"</f>
        <v>20190303162135047</v>
      </c>
      <c r="B9617" t="str">
        <f>"1551601295041836"</f>
        <v>1551601295041836</v>
      </c>
      <c r="C9617" t="s">
        <v>40</v>
      </c>
      <c r="D9617">
        <v>4.9545810000000001</v>
      </c>
      <c r="E9617">
        <v>0.47548190000000001</v>
      </c>
      <c r="F9617" t="s">
        <v>41</v>
      </c>
      <c r="G9617">
        <v>-189.35550000000001</v>
      </c>
      <c r="H9617" s="1">
        <v>-3.5196480000000002E-6</v>
      </c>
      <c r="I9617">
        <v>-2.4293339999999999</v>
      </c>
      <c r="J9617">
        <v>-191.99610000000001</v>
      </c>
      <c r="K9617">
        <v>1.1257790000000001</v>
      </c>
      <c r="L9617">
        <v>-44.218510000000002</v>
      </c>
      <c r="M9617">
        <v>0.3112799</v>
      </c>
      <c r="N9617">
        <v>-1.216622E-2</v>
      </c>
      <c r="O9617">
        <v>0.95024039999999999</v>
      </c>
      <c r="P9617">
        <v>0.123345</v>
      </c>
      <c r="Q9617">
        <v>0.1206228</v>
      </c>
      <c r="R9617">
        <v>0.98500569999999998</v>
      </c>
      <c r="S9617">
        <v>0.19656370000000001</v>
      </c>
      <c r="T9617">
        <v>-8.1145170000000003E-2</v>
      </c>
      <c r="U9617">
        <v>3.0317989999999999</v>
      </c>
      <c r="V9617">
        <v>-0.19087009999999999</v>
      </c>
      <c r="W9617">
        <v>0.13036980000000001</v>
      </c>
      <c r="X9617">
        <v>0.97291950000000005</v>
      </c>
      <c r="Y9617">
        <v>-0.24911069999999999</v>
      </c>
      <c r="Z9617">
        <v>-1.228213E-2</v>
      </c>
      <c r="AA9617">
        <v>0.96839710000000001</v>
      </c>
      <c r="AB9617">
        <v>28</v>
      </c>
      <c r="AC9617">
        <v>2.6406000000000001</v>
      </c>
      <c r="AD9617">
        <v>-1.125782519648</v>
      </c>
      <c r="AE9617">
        <v>41.789175999999998</v>
      </c>
      <c r="AF9617">
        <v>-10.4921184914161</v>
      </c>
      <c r="AG9617">
        <v>-1.125782519648</v>
      </c>
      <c r="AH9617">
        <v>40.5054492862185</v>
      </c>
      <c r="AI9617">
        <v>91.541193192839401</v>
      </c>
      <c r="AJ9617">
        <v>104.52213545895999</v>
      </c>
      <c r="AK9617">
        <v>41.857417008194297</v>
      </c>
      <c r="AL9617">
        <v>82.509037966601397</v>
      </c>
      <c r="AM9617">
        <v>101.09948299052699</v>
      </c>
      <c r="AN9617">
        <v>1.00000001665314</v>
      </c>
    </row>
    <row r="9618" spans="1:40" x14ac:dyDescent="0.25">
      <c r="A9618" t="str">
        <f>"20190303162135071"</f>
        <v>20190303162135071</v>
      </c>
      <c r="B9618" t="str">
        <f>"1551601295062331"</f>
        <v>1551601295062331</v>
      </c>
      <c r="C9618" t="s">
        <v>40</v>
      </c>
      <c r="D9618">
        <v>4.784961</v>
      </c>
      <c r="E9618">
        <v>0.4759082</v>
      </c>
      <c r="F9618" t="s">
        <v>41</v>
      </c>
      <c r="G9618">
        <v>-189.2654</v>
      </c>
      <c r="H9618" s="1">
        <v>-6.1922670000000001E-7</v>
      </c>
      <c r="I9618">
        <v>0.77248499999999998</v>
      </c>
      <c r="J9618">
        <v>-191.90950000000001</v>
      </c>
      <c r="K9618">
        <v>1.125591</v>
      </c>
      <c r="L9618">
        <v>-43.933720000000001</v>
      </c>
      <c r="M9618">
        <v>0.30583700000000003</v>
      </c>
      <c r="N9618">
        <v>-1.2137230000000001E-2</v>
      </c>
      <c r="O9618">
        <v>0.95200649999999998</v>
      </c>
      <c r="P9618">
        <v>0.1185113</v>
      </c>
      <c r="Q9618">
        <v>0.1230425</v>
      </c>
      <c r="R9618">
        <v>0.98529979999999995</v>
      </c>
      <c r="S9618">
        <v>0.18402099999999999</v>
      </c>
      <c r="T9618">
        <v>-7.5865749999999996E-2</v>
      </c>
      <c r="U9618">
        <v>3.0319210000000001</v>
      </c>
      <c r="V9618">
        <v>-0.18994420000000001</v>
      </c>
      <c r="W9618">
        <v>0.13286220000000001</v>
      </c>
      <c r="X9618">
        <v>0.9727635</v>
      </c>
      <c r="Y9618">
        <v>-0.24756349999999999</v>
      </c>
      <c r="Z9618">
        <v>-1.0791449999999999E-2</v>
      </c>
      <c r="AA9618">
        <v>0.96881159999999999</v>
      </c>
      <c r="AB9618">
        <v>28</v>
      </c>
      <c r="AC9618">
        <v>2.6440999999999999</v>
      </c>
      <c r="AD9618">
        <v>-1.1255916192266999</v>
      </c>
      <c r="AE9618">
        <v>44.706204999999997</v>
      </c>
      <c r="AF9618">
        <v>-11.1493901826128</v>
      </c>
      <c r="AG9618">
        <v>-1.1255916192266999</v>
      </c>
      <c r="AH9618">
        <v>43.345076016344997</v>
      </c>
      <c r="AI9618">
        <v>91.4406554948132</v>
      </c>
      <c r="AJ9618">
        <v>104.425129312745</v>
      </c>
      <c r="AK9618">
        <v>44.770207424135698</v>
      </c>
      <c r="AL9618">
        <v>82.364980577095096</v>
      </c>
      <c r="AM9618">
        <v>101.048695611423</v>
      </c>
      <c r="AN9618">
        <v>0.99999999511736404</v>
      </c>
    </row>
    <row r="9619" spans="1:40" x14ac:dyDescent="0.25">
      <c r="A9619" t="str">
        <f>"20190303162135091"</f>
        <v>20190303162135091</v>
      </c>
      <c r="B9619" t="str">
        <f>"1551601295081852"</f>
        <v>1551601295081852</v>
      </c>
      <c r="C9619" t="s">
        <v>40</v>
      </c>
      <c r="D9619">
        <v>4.9481820000000001</v>
      </c>
      <c r="E9619">
        <v>0.47629959999999999</v>
      </c>
      <c r="F9619" t="s">
        <v>41</v>
      </c>
      <c r="G9619">
        <v>-188.97640000000001</v>
      </c>
      <c r="H9619" s="1">
        <v>-3.493022E-6</v>
      </c>
      <c r="I9619">
        <v>7.3518669999999897</v>
      </c>
      <c r="J9619">
        <v>-191.8356</v>
      </c>
      <c r="K9619">
        <v>1.1254470000000001</v>
      </c>
      <c r="L9619">
        <v>-43.686889999999998</v>
      </c>
      <c r="M9619">
        <v>0.30129030000000001</v>
      </c>
      <c r="N9619">
        <v>-1.211389E-2</v>
      </c>
      <c r="O9619">
        <v>0.95345550000000001</v>
      </c>
      <c r="P9619">
        <v>0.1147586</v>
      </c>
      <c r="Q9619">
        <v>0.12581880000000001</v>
      </c>
      <c r="R9619">
        <v>0.98539330000000003</v>
      </c>
      <c r="S9619">
        <v>0.17341609999999999</v>
      </c>
      <c r="T9619">
        <v>-6.6550020000000001E-2</v>
      </c>
      <c r="U9619">
        <v>3.0322269999999998</v>
      </c>
      <c r="V9619">
        <v>-0.18887590000000001</v>
      </c>
      <c r="W9619">
        <v>0.1356974</v>
      </c>
      <c r="X9619">
        <v>0.97258009999999995</v>
      </c>
      <c r="Y9619">
        <v>-0.24632589999999999</v>
      </c>
      <c r="Z9619">
        <v>-8.0565940000000003E-3</v>
      </c>
      <c r="AA9619">
        <v>0.96915359999999995</v>
      </c>
      <c r="AB9619">
        <v>28</v>
      </c>
      <c r="AC9619">
        <v>2.85919999999998</v>
      </c>
      <c r="AD9619">
        <v>-1.125450493022</v>
      </c>
      <c r="AE9619">
        <v>51.038756999999997</v>
      </c>
      <c r="AF9619">
        <v>-12.646161071518801</v>
      </c>
      <c r="AG9619">
        <v>-1.125450493022</v>
      </c>
      <c r="AH9619">
        <v>49.504271674102</v>
      </c>
      <c r="AI9619">
        <v>91.261853040718904</v>
      </c>
      <c r="AJ9619">
        <v>104.330078529101</v>
      </c>
      <c r="AK9619">
        <v>51.106408038937097</v>
      </c>
      <c r="AL9619">
        <v>82.201050693857098</v>
      </c>
      <c r="AM9619">
        <v>100.990092788255</v>
      </c>
      <c r="AN9619">
        <v>0.99999997044178901</v>
      </c>
    </row>
    <row r="9620" spans="1:40" x14ac:dyDescent="0.25">
      <c r="A9620" t="str">
        <f>"20190303162135115"</f>
        <v>20190303162135115</v>
      </c>
      <c r="B9620" t="str">
        <f>"1551601295102347"</f>
        <v>1551601295102347</v>
      </c>
      <c r="C9620" t="s">
        <v>40</v>
      </c>
      <c r="D9620">
        <v>4.8384660000000004</v>
      </c>
      <c r="E9620">
        <v>0.47655370000000002</v>
      </c>
      <c r="F9620" t="s">
        <v>41</v>
      </c>
      <c r="G9620">
        <v>-188.51339999999999</v>
      </c>
      <c r="H9620" s="1">
        <v>-3.3951540000000001E-6</v>
      </c>
      <c r="I9620">
        <v>16.932259999999999</v>
      </c>
      <c r="J9620">
        <v>-191.74950000000001</v>
      </c>
      <c r="K9620">
        <v>1.1252709999999999</v>
      </c>
      <c r="L9620">
        <v>-43.394710000000003</v>
      </c>
      <c r="M9620">
        <v>0.29614669999999998</v>
      </c>
      <c r="N9620">
        <v>-1.2088120000000001E-2</v>
      </c>
      <c r="O9620">
        <v>0.95506599999999997</v>
      </c>
      <c r="P9620">
        <v>0.108746</v>
      </c>
      <c r="Q9620">
        <v>0.12774160000000001</v>
      </c>
      <c r="R9620">
        <v>0.98582769999999997</v>
      </c>
      <c r="S9620">
        <v>0.16618350000000001</v>
      </c>
      <c r="T9620">
        <v>-5.6297779999999999E-2</v>
      </c>
      <c r="U9620">
        <v>3.0323180000000001</v>
      </c>
      <c r="V9620">
        <v>-0.18944939999999999</v>
      </c>
      <c r="W9620">
        <v>0.13767089999999901</v>
      </c>
      <c r="X9620">
        <v>0.97219120000000003</v>
      </c>
      <c r="Y9620">
        <v>-0.24341180000000001</v>
      </c>
      <c r="Z9620">
        <v>-5.0376279999999997E-3</v>
      </c>
      <c r="AA9620">
        <v>0.96991000000000005</v>
      </c>
      <c r="AB9620">
        <v>28</v>
      </c>
      <c r="AC9620">
        <v>3.23610000000002</v>
      </c>
      <c r="AD9620">
        <v>-1.1252743951540001</v>
      </c>
      <c r="AE9620">
        <v>60.326970000000003</v>
      </c>
      <c r="AF9620">
        <v>-14.770898677222499</v>
      </c>
      <c r="AG9620">
        <v>-1.1252743951540001</v>
      </c>
      <c r="AH9620">
        <v>58.558560750968503</v>
      </c>
      <c r="AI9620">
        <v>91.0674462077735</v>
      </c>
      <c r="AJ9620">
        <v>104.15705296248601</v>
      </c>
      <c r="AK9620">
        <v>60.403234411925602</v>
      </c>
      <c r="AL9620">
        <v>82.086906725663496</v>
      </c>
      <c r="AM9620">
        <v>101.02694810961199</v>
      </c>
      <c r="AN9620">
        <v>1.0000000406123</v>
      </c>
    </row>
    <row r="9621" spans="1:40" x14ac:dyDescent="0.25">
      <c r="A9621" t="str">
        <f>"20190303162135136"</f>
        <v>20190303162135136</v>
      </c>
      <c r="B9621" t="str">
        <f>"1551601295131627"</f>
        <v>1551601295131627</v>
      </c>
      <c r="C9621" t="s">
        <v>40</v>
      </c>
      <c r="D9621">
        <v>4.7083899999999996</v>
      </c>
      <c r="E9621">
        <v>0.47620109999999899</v>
      </c>
      <c r="F9621" t="s">
        <v>41</v>
      </c>
      <c r="G9621">
        <v>-188.30760000000001</v>
      </c>
      <c r="H9621" s="1">
        <v>-2.7924639999999998E-6</v>
      </c>
      <c r="I9621">
        <v>25.442299999999999</v>
      </c>
      <c r="J9621">
        <v>-191.6746</v>
      </c>
      <c r="K9621">
        <v>1.1250979999999999</v>
      </c>
      <c r="L9621">
        <v>-43.136690000000002</v>
      </c>
      <c r="M9621">
        <v>0.29184359999999998</v>
      </c>
      <c r="N9621">
        <v>-1.206584E-2</v>
      </c>
      <c r="O9621">
        <v>0.95638999999999996</v>
      </c>
      <c r="P9621">
        <v>0.1026836</v>
      </c>
      <c r="Q9621">
        <v>0.1279931</v>
      </c>
      <c r="R9621">
        <v>0.98644509999999996</v>
      </c>
      <c r="S9621">
        <v>0.15164179999999999</v>
      </c>
      <c r="T9621">
        <v>-4.9577589999999998E-2</v>
      </c>
      <c r="U9621">
        <v>3.0328369999999998</v>
      </c>
      <c r="V9621">
        <v>-0.1909817</v>
      </c>
      <c r="W9621">
        <v>0.13796749999999999</v>
      </c>
      <c r="X9621">
        <v>0.97184930000000003</v>
      </c>
      <c r="Y9621">
        <v>-0.24369469999999999</v>
      </c>
      <c r="Z9621">
        <v>-3.0484359999999999E-3</v>
      </c>
      <c r="AA9621">
        <v>0.96984720000000002</v>
      </c>
      <c r="AB9621">
        <v>28</v>
      </c>
      <c r="AC9621">
        <v>3.3669999999999898</v>
      </c>
      <c r="AD9621">
        <v>-1.125100792464</v>
      </c>
      <c r="AE9621">
        <v>68.578990000000005</v>
      </c>
      <c r="AF9621">
        <v>-16.7908874808045</v>
      </c>
      <c r="AG9621">
        <v>-1.125100792464</v>
      </c>
      <c r="AH9621">
        <v>66.557869344989598</v>
      </c>
      <c r="AI9621">
        <v>90.9390265832089</v>
      </c>
      <c r="AJ9621">
        <v>104.15885882344899</v>
      </c>
      <c r="AK9621">
        <v>68.6523832501898</v>
      </c>
      <c r="AL9621">
        <v>82.069749155213401</v>
      </c>
      <c r="AM9621">
        <v>101.11773666375301</v>
      </c>
      <c r="AN9621">
        <v>1.00000005135081</v>
      </c>
    </row>
    <row r="9622" spans="1:40" x14ac:dyDescent="0.25">
      <c r="A9622" t="str">
        <f>"20190303162135159"</f>
        <v>20190303162135159</v>
      </c>
      <c r="B9622" t="str">
        <f>"1551601295152124"</f>
        <v>1551601295152124</v>
      </c>
      <c r="C9622" t="s">
        <v>40</v>
      </c>
      <c r="D9622">
        <v>4.7480779999999996</v>
      </c>
      <c r="E9622">
        <v>0.462341</v>
      </c>
      <c r="F9622" t="s">
        <v>41</v>
      </c>
      <c r="G9622">
        <v>-188.5735</v>
      </c>
      <c r="H9622" s="1">
        <v>-4.0734860000000001E-6</v>
      </c>
      <c r="I9622">
        <v>28.538350000000001</v>
      </c>
      <c r="J9622">
        <v>-191.5934</v>
      </c>
      <c r="K9622">
        <v>1.124854</v>
      </c>
      <c r="L9622">
        <v>-42.853209999999997</v>
      </c>
      <c r="M9622">
        <v>0.28740260000000001</v>
      </c>
      <c r="N9622">
        <v>-1.204101E-2</v>
      </c>
      <c r="O9622">
        <v>0.95773419999999998</v>
      </c>
      <c r="P9622">
        <v>9.6421030000000005E-2</v>
      </c>
      <c r="Q9622">
        <v>0.12537139999999999</v>
      </c>
      <c r="R9622">
        <v>0.98741330000000005</v>
      </c>
      <c r="S9622">
        <v>0.13125609999999999</v>
      </c>
      <c r="T9622">
        <v>-4.7621610000000002E-2</v>
      </c>
      <c r="U9622">
        <v>3.0337519999999998</v>
      </c>
      <c r="V9622">
        <v>-0.19263710000000001</v>
      </c>
      <c r="W9622">
        <v>0.13541529999999999</v>
      </c>
      <c r="X9622">
        <v>0.97188149999999995</v>
      </c>
      <c r="Y9622">
        <v>-0.24571190000000001</v>
      </c>
      <c r="Z9622">
        <v>-2.4922780000000001E-3</v>
      </c>
      <c r="AA9622">
        <v>0.96933970000000003</v>
      </c>
      <c r="AB9622">
        <v>28</v>
      </c>
      <c r="AC9622">
        <v>3.0198999999999998</v>
      </c>
      <c r="AD9622">
        <v>-1.1248580734860001</v>
      </c>
      <c r="AE9622">
        <v>71.391559999999998</v>
      </c>
      <c r="AF9622">
        <v>-17.622768840310101</v>
      </c>
      <c r="AG9622">
        <v>-1.1248580734860001</v>
      </c>
      <c r="AH9622">
        <v>69.229928373812001</v>
      </c>
      <c r="AI9622">
        <v>90.902104835260999</v>
      </c>
      <c r="AJ9622">
        <v>104.281566171748</v>
      </c>
      <c r="AK9622">
        <v>71.446555339831704</v>
      </c>
      <c r="AL9622">
        <v>82.217364669579297</v>
      </c>
      <c r="AM9622">
        <v>101.211310302993</v>
      </c>
      <c r="AN9622">
        <v>1.00000000290637</v>
      </c>
    </row>
    <row r="9623" spans="1:40" x14ac:dyDescent="0.25">
      <c r="A9623" t="str">
        <f>"20190303162135183"</f>
        <v>20190303162135183</v>
      </c>
      <c r="B9623" t="str">
        <f>"1551601295171643"</f>
        <v>1551601295171643</v>
      </c>
      <c r="C9623" t="s">
        <v>40</v>
      </c>
      <c r="D9623">
        <v>4.7647760000000003</v>
      </c>
      <c r="E9623">
        <v>0.46309260000000002</v>
      </c>
      <c r="F9623" t="s">
        <v>41</v>
      </c>
      <c r="G9623">
        <v>-191.5479</v>
      </c>
      <c r="H9623" s="1">
        <v>-3.103022E-6</v>
      </c>
      <c r="I9623">
        <v>-4.1376980000000003</v>
      </c>
      <c r="J9623">
        <v>-191.5129</v>
      </c>
      <c r="K9623">
        <v>1.1245780000000001</v>
      </c>
      <c r="L9623">
        <v>-42.568359999999998</v>
      </c>
      <c r="M9623">
        <v>0.28325739999999999</v>
      </c>
      <c r="N9623">
        <v>-1.201619E-2</v>
      </c>
      <c r="O9623">
        <v>0.95896859999999995</v>
      </c>
      <c r="P9623">
        <v>9.1151079999999995E-2</v>
      </c>
      <c r="Q9623">
        <v>0.12119389999999899</v>
      </c>
      <c r="R9623">
        <v>0.98843490000000001</v>
      </c>
      <c r="S9623">
        <v>3.585815E-3</v>
      </c>
      <c r="T9623">
        <v>-8.8590859999999994E-2</v>
      </c>
      <c r="U9623">
        <v>3.0491329999999999</v>
      </c>
      <c r="V9623">
        <v>-0.19364799999999999</v>
      </c>
      <c r="W9623">
        <v>0.13133129999999901</v>
      </c>
      <c r="X9623">
        <v>0.97224100000000002</v>
      </c>
      <c r="Y9623">
        <v>-0.28207680000000002</v>
      </c>
      <c r="Z9623">
        <v>-1.465735E-2</v>
      </c>
      <c r="AA9623">
        <v>0.95927980000000002</v>
      </c>
      <c r="AB9623">
        <v>28</v>
      </c>
      <c r="AC9623">
        <v>-3.4999999999996499E-2</v>
      </c>
      <c r="AD9623">
        <v>-1.1245811030220001</v>
      </c>
      <c r="AE9623">
        <v>38.430661999999998</v>
      </c>
      <c r="AF9623">
        <v>-10.9107792503974</v>
      </c>
      <c r="AG9623">
        <v>-1.1245811030220001</v>
      </c>
      <c r="AH9623">
        <v>36.815021156142201</v>
      </c>
      <c r="AI9623">
        <v>91.677578945284097</v>
      </c>
      <c r="AJ9623">
        <v>106.508116687381</v>
      </c>
      <c r="AK9623">
        <v>38.414262575707099</v>
      </c>
      <c r="AL9623">
        <v>82.453470259171198</v>
      </c>
      <c r="AM9623">
        <v>101.264581923577</v>
      </c>
      <c r="AN9623">
        <v>1.0000000101723401</v>
      </c>
    </row>
    <row r="9624" spans="1:40" x14ac:dyDescent="0.25">
      <c r="A9624" t="str">
        <f>"20190303162135204"</f>
        <v>20190303162135204</v>
      </c>
      <c r="B9624" t="str">
        <f>"1551601295192140"</f>
        <v>1551601295192140</v>
      </c>
      <c r="C9624" t="s">
        <v>40</v>
      </c>
      <c r="D9624">
        <v>4.7087070000000004</v>
      </c>
      <c r="E9624">
        <v>0.4640127</v>
      </c>
      <c r="F9624" t="s">
        <v>41</v>
      </c>
      <c r="G9624">
        <v>-191.58330000000001</v>
      </c>
      <c r="H9624" s="1">
        <v>-1.902693E-6</v>
      </c>
      <c r="I9624">
        <v>-6.9576669999999998</v>
      </c>
      <c r="J9624">
        <v>-191.43969999999999</v>
      </c>
      <c r="K9624">
        <v>1.1243110000000001</v>
      </c>
      <c r="L9624">
        <v>-42.306609999999999</v>
      </c>
      <c r="M9624">
        <v>0.27974470000000001</v>
      </c>
      <c r="N9624">
        <v>-1.1994400000000001E-2</v>
      </c>
      <c r="O9624">
        <v>0.95999950000000001</v>
      </c>
      <c r="P9624">
        <v>8.7670049999999999E-2</v>
      </c>
      <c r="Q9624">
        <v>0.11811820000000001</v>
      </c>
      <c r="R9624">
        <v>0.9891219</v>
      </c>
      <c r="S9624">
        <v>-6.0272219999999996E-3</v>
      </c>
      <c r="T9624">
        <v>-9.623814E-2</v>
      </c>
      <c r="U9624">
        <v>3.0474549999999998</v>
      </c>
      <c r="V9624">
        <v>-0.19351209999999999</v>
      </c>
      <c r="W9624">
        <v>0.12835830000000001</v>
      </c>
      <c r="X9624">
        <v>0.972665</v>
      </c>
      <c r="Y9624">
        <v>-0.28158529999999998</v>
      </c>
      <c r="Z9624">
        <v>-1.7041049999999999E-2</v>
      </c>
      <c r="AA9624">
        <v>0.95938489999999998</v>
      </c>
      <c r="AB9624">
        <v>28</v>
      </c>
      <c r="AC9624">
        <v>-0.14360000000001999</v>
      </c>
      <c r="AD9624">
        <v>-1.1243129026929899</v>
      </c>
      <c r="AE9624">
        <v>35.348942999999998</v>
      </c>
      <c r="AF9624">
        <v>-10.017123232646499</v>
      </c>
      <c r="AG9624">
        <v>-1.1243129026929899</v>
      </c>
      <c r="AH9624">
        <v>33.862978404481503</v>
      </c>
      <c r="AI9624">
        <v>91.823569204013793</v>
      </c>
      <c r="AJ9624">
        <v>106.47892380035501</v>
      </c>
      <c r="AK9624">
        <v>35.331404497749197</v>
      </c>
      <c r="AL9624">
        <v>82.625264915839693</v>
      </c>
      <c r="AM9624">
        <v>101.25209667638499</v>
      </c>
      <c r="AN9624">
        <v>0.99999999412514995</v>
      </c>
    </row>
    <row r="9625" spans="1:40" x14ac:dyDescent="0.25">
      <c r="A9625" t="str">
        <f>"20190303162135227"</f>
        <v>20190303162135227</v>
      </c>
      <c r="B9625" t="str">
        <f>"1551601295211660"</f>
        <v>1551601295211660</v>
      </c>
      <c r="C9625" t="s">
        <v>40</v>
      </c>
      <c r="D9625">
        <v>4.6981780000000004</v>
      </c>
      <c r="E9625">
        <v>0.46523500000000001</v>
      </c>
      <c r="F9625" t="s">
        <v>41</v>
      </c>
      <c r="G9625">
        <v>-191.54499999999999</v>
      </c>
      <c r="H9625" s="1">
        <v>-2.0298660000000002E-6</v>
      </c>
      <c r="I9625">
        <v>-6.6374389999999996</v>
      </c>
      <c r="J9625">
        <v>-191.36490000000001</v>
      </c>
      <c r="K9625">
        <v>1.1240540000000001</v>
      </c>
      <c r="L9625">
        <v>-42.036619999999999</v>
      </c>
      <c r="M9625">
        <v>0.27642339999999999</v>
      </c>
      <c r="N9625">
        <v>-1.1973599999999999E-2</v>
      </c>
      <c r="O9625">
        <v>0.96096130000000002</v>
      </c>
      <c r="P9625">
        <v>8.6338709999999999E-2</v>
      </c>
      <c r="Q9625">
        <v>0.11732819999999999</v>
      </c>
      <c r="R9625">
        <v>0.98933300000000002</v>
      </c>
      <c r="S9625">
        <v>-8.9874269999999992E-3</v>
      </c>
      <c r="T9625">
        <v>-9.5988270000000001E-2</v>
      </c>
      <c r="U9625">
        <v>3.045258</v>
      </c>
      <c r="V9625">
        <v>-0.19139729999999999</v>
      </c>
      <c r="W9625">
        <v>0.12768489999999999</v>
      </c>
      <c r="X9625">
        <v>0.97317189999999998</v>
      </c>
      <c r="Y9625">
        <v>-0.27920129999999999</v>
      </c>
      <c r="Z9625">
        <v>-1.70620999999999E-2</v>
      </c>
      <c r="AA9625">
        <v>0.96008099999999996</v>
      </c>
      <c r="AB9625">
        <v>29</v>
      </c>
      <c r="AC9625">
        <v>-0.180099999999981</v>
      </c>
      <c r="AD9625">
        <v>-1.1240560298660001</v>
      </c>
      <c r="AE9625">
        <v>35.399180999999999</v>
      </c>
      <c r="AF9625">
        <v>-9.9489143745211699</v>
      </c>
      <c r="AG9625">
        <v>-1.1240560298660001</v>
      </c>
      <c r="AH9625">
        <v>33.935679852728001</v>
      </c>
      <c r="AI9625">
        <v>91.820552599269405</v>
      </c>
      <c r="AJ9625">
        <v>106.33954047259699</v>
      </c>
      <c r="AK9625">
        <v>35.381842324230099</v>
      </c>
      <c r="AL9625">
        <v>82.664167714240307</v>
      </c>
      <c r="AM9625">
        <v>101.126561927457</v>
      </c>
      <c r="AN9625">
        <v>0.99999995354245297</v>
      </c>
    </row>
    <row r="9626" spans="1:40" x14ac:dyDescent="0.25">
      <c r="A9626" t="str">
        <f>"20190303162135248"</f>
        <v>20190303162135248</v>
      </c>
      <c r="B9626" t="str">
        <f>"1551601295241916"</f>
        <v>1551601295241916</v>
      </c>
      <c r="C9626" t="s">
        <v>40</v>
      </c>
      <c r="D9626">
        <v>4.6674730000000002</v>
      </c>
      <c r="E9626">
        <v>0.46666790000000002</v>
      </c>
      <c r="F9626" t="s">
        <v>41</v>
      </c>
      <c r="G9626">
        <v>-191.4074</v>
      </c>
      <c r="H9626" s="1">
        <v>-2.7997079999999999E-6</v>
      </c>
      <c r="I9626">
        <v>-4.7575820000000002</v>
      </c>
      <c r="J9626">
        <v>-191.2903</v>
      </c>
      <c r="K9626">
        <v>1.1238349999999999</v>
      </c>
      <c r="L9626">
        <v>-41.764650000000003</v>
      </c>
      <c r="M9626">
        <v>0.27333849999999998</v>
      </c>
      <c r="N9626">
        <v>-1.1954660000000001E-2</v>
      </c>
      <c r="O9626">
        <v>0.96184369999999997</v>
      </c>
      <c r="P9626">
        <v>8.6584640000000004E-2</v>
      </c>
      <c r="Q9626">
        <v>0.117253</v>
      </c>
      <c r="R9626">
        <v>0.98932039999999999</v>
      </c>
      <c r="S9626">
        <v>-3.4637449999999998E-3</v>
      </c>
      <c r="T9626">
        <v>-9.1769699999999996E-2</v>
      </c>
      <c r="U9626">
        <v>3.0435180000000002</v>
      </c>
      <c r="V9626">
        <v>-0.1879613</v>
      </c>
      <c r="W9626">
        <v>0.12772130000000001</v>
      </c>
      <c r="X9626">
        <v>0.9738367</v>
      </c>
      <c r="Y9626">
        <v>-0.27438000000000001</v>
      </c>
      <c r="Z9626">
        <v>-1.5885590000000002E-2</v>
      </c>
      <c r="AA9626">
        <v>0.96149019999999996</v>
      </c>
      <c r="AB9626">
        <v>29</v>
      </c>
      <c r="AC9626">
        <v>-0.117099999999993</v>
      </c>
      <c r="AD9626">
        <v>-1.123837799708</v>
      </c>
      <c r="AE9626">
        <v>37.007067999999997</v>
      </c>
      <c r="AF9626">
        <v>-10.219394010507401</v>
      </c>
      <c r="AG9626">
        <v>-1.123837799708</v>
      </c>
      <c r="AH9626">
        <v>35.5327770888807</v>
      </c>
      <c r="AI9626">
        <v>91.741029169456795</v>
      </c>
      <c r="AJ9626">
        <v>106.045484501912</v>
      </c>
      <c r="AK9626">
        <v>36.990232129443797</v>
      </c>
      <c r="AL9626">
        <v>82.6620656392531</v>
      </c>
      <c r="AM9626">
        <v>100.924387372127</v>
      </c>
      <c r="AN9626">
        <v>1.0000000495191299</v>
      </c>
    </row>
    <row r="9627" spans="1:40" x14ac:dyDescent="0.25">
      <c r="A9627" t="str">
        <f>"20190303162135271"</f>
        <v>20190303162135271</v>
      </c>
      <c r="B9627" t="str">
        <f>"1551601295262411"</f>
        <v>1551601295262411</v>
      </c>
      <c r="C9627" t="s">
        <v>40</v>
      </c>
      <c r="D9627">
        <v>4.6861470000000001</v>
      </c>
      <c r="E9627">
        <v>0.46721509999999999</v>
      </c>
      <c r="F9627" t="s">
        <v>41</v>
      </c>
      <c r="G9627">
        <v>-191.18950000000001</v>
      </c>
      <c r="H9627" s="1">
        <v>-3.7054539999999999E-6</v>
      </c>
      <c r="I9627">
        <v>-2.5111539999999999</v>
      </c>
      <c r="J9627">
        <v>-191.21690000000001</v>
      </c>
      <c r="K9627">
        <v>1.123667</v>
      </c>
      <c r="L9627">
        <v>-41.494599999999998</v>
      </c>
      <c r="M9627">
        <v>0.27046930000000002</v>
      </c>
      <c r="N9627">
        <v>-1.193815E-2</v>
      </c>
      <c r="O9627">
        <v>0.96265460000000003</v>
      </c>
      <c r="P9627">
        <v>8.8046280000000005E-2</v>
      </c>
      <c r="Q9627">
        <v>0.1171191</v>
      </c>
      <c r="R9627">
        <v>0.98920730000000001</v>
      </c>
      <c r="S9627">
        <v>7.8125E-3</v>
      </c>
      <c r="T9627">
        <v>-8.7093950000000003E-2</v>
      </c>
      <c r="U9627">
        <v>3.0420229999999999</v>
      </c>
      <c r="V9627">
        <v>-0.1835628</v>
      </c>
      <c r="W9627">
        <v>0.12768209999999999</v>
      </c>
      <c r="X9627">
        <v>0.97468049999999995</v>
      </c>
      <c r="Y9627">
        <v>-0.26794770000000001</v>
      </c>
      <c r="Z9627">
        <v>-1.4564489999999999E-2</v>
      </c>
      <c r="AA9627">
        <v>0.96332340000000005</v>
      </c>
      <c r="AB9627">
        <v>29</v>
      </c>
      <c r="AC9627">
        <v>2.7400000000000001E-2</v>
      </c>
      <c r="AD9627">
        <v>-1.1236707054539901</v>
      </c>
      <c r="AE9627">
        <v>38.983446000000001</v>
      </c>
      <c r="AF9627">
        <v>-10.5094662662537</v>
      </c>
      <c r="AG9627">
        <v>-1.1236707054539901</v>
      </c>
      <c r="AH9627">
        <v>37.506516814382401</v>
      </c>
      <c r="AI9627">
        <v>91.652424417575006</v>
      </c>
      <c r="AJ9627">
        <v>105.65307063626</v>
      </c>
      <c r="AK9627">
        <v>38.967298092161499</v>
      </c>
      <c r="AL9627">
        <v>82.664330167835203</v>
      </c>
      <c r="AM9627">
        <v>100.665658106934</v>
      </c>
      <c r="AN9627">
        <v>1.00000004864224</v>
      </c>
    </row>
    <row r="9628" spans="1:40" x14ac:dyDescent="0.25">
      <c r="A9628" t="str">
        <f>"20190303162135293"</f>
        <v>20190303162135293</v>
      </c>
      <c r="B9628" t="str">
        <f>"1551601295281932"</f>
        <v>1551601295281932</v>
      </c>
      <c r="C9628" t="s">
        <v>40</v>
      </c>
      <c r="D9628">
        <v>4.6550969999999996</v>
      </c>
      <c r="E9628">
        <v>0.46780630000000001</v>
      </c>
      <c r="F9628" t="s">
        <v>41</v>
      </c>
      <c r="G9628">
        <v>-191.0059</v>
      </c>
      <c r="H9628" s="1">
        <v>-6.1294199999999998E-7</v>
      </c>
      <c r="I9628">
        <v>0.39402280000000001</v>
      </c>
      <c r="J9628">
        <v>-191.1421</v>
      </c>
      <c r="K9628">
        <v>1.1235440000000001</v>
      </c>
      <c r="L9628">
        <v>-41.216709999999999</v>
      </c>
      <c r="M9628">
        <v>0.267679099999999</v>
      </c>
      <c r="N9628">
        <v>-1.192344E-2</v>
      </c>
      <c r="O9628">
        <v>0.96343429999999997</v>
      </c>
      <c r="P9628">
        <v>8.9462429999999996E-2</v>
      </c>
      <c r="Q9628">
        <v>0.11706569999999999</v>
      </c>
      <c r="R9628">
        <v>0.98908649999999998</v>
      </c>
      <c r="S9628">
        <v>1.531982E-2</v>
      </c>
      <c r="T9628">
        <v>-8.1575629999999996E-2</v>
      </c>
      <c r="U9628">
        <v>3.0410159999999999</v>
      </c>
      <c r="V9628">
        <v>-0.17929879999999901</v>
      </c>
      <c r="W9628">
        <v>0.1277015</v>
      </c>
      <c r="X9628">
        <v>0.97547130000000004</v>
      </c>
      <c r="Y9628">
        <v>-0.26277820000000002</v>
      </c>
      <c r="Z9628">
        <v>-1.2963830000000001E-2</v>
      </c>
      <c r="AA9628">
        <v>0.96476919999999999</v>
      </c>
      <c r="AB9628">
        <v>29</v>
      </c>
      <c r="AC9628">
        <v>0.13620000000000199</v>
      </c>
      <c r="AD9628">
        <v>-1.1235446129419999</v>
      </c>
      <c r="AE9628">
        <v>41.610732800000001</v>
      </c>
      <c r="AF9628">
        <v>-10.9998671130207</v>
      </c>
      <c r="AG9628">
        <v>-1.1235446129419999</v>
      </c>
      <c r="AH9628">
        <v>40.099284425256798</v>
      </c>
      <c r="AI9628">
        <v>91.5478045290956</v>
      </c>
      <c r="AJ9628">
        <v>105.339799071076</v>
      </c>
      <c r="AK9628">
        <v>41.595817583250202</v>
      </c>
      <c r="AL9628">
        <v>82.663209059430898</v>
      </c>
      <c r="AM9628">
        <v>100.415131897569</v>
      </c>
      <c r="AN9628">
        <v>0.99999999495368996</v>
      </c>
    </row>
    <row r="9629" spans="1:40" x14ac:dyDescent="0.25">
      <c r="A9629" t="str">
        <f>"20190303162135315"</f>
        <v>20190303162135315</v>
      </c>
      <c r="B9629" t="str">
        <f>"1551601295302427"</f>
        <v>1551601295302427</v>
      </c>
      <c r="C9629" t="s">
        <v>40</v>
      </c>
      <c r="D9629">
        <v>4.713552</v>
      </c>
      <c r="E9629">
        <v>0.46844459999999999</v>
      </c>
      <c r="F9629" t="s">
        <v>41</v>
      </c>
      <c r="G9629">
        <v>-190.79640000000001</v>
      </c>
      <c r="H9629" s="1">
        <v>-1.504968E-6</v>
      </c>
      <c r="I9629">
        <v>2.6032890000000002</v>
      </c>
      <c r="J9629">
        <v>-191.0728</v>
      </c>
      <c r="K9629">
        <v>1.123461</v>
      </c>
      <c r="L9629">
        <v>-40.956629999999997</v>
      </c>
      <c r="M9629">
        <v>0.26517990000000002</v>
      </c>
      <c r="N9629">
        <v>-1.191153E-2</v>
      </c>
      <c r="O9629">
        <v>0.96412540000000002</v>
      </c>
      <c r="P9629">
        <v>9.0208170000000004E-2</v>
      </c>
      <c r="Q9629">
        <v>0.1175477</v>
      </c>
      <c r="R9629">
        <v>0.9889616</v>
      </c>
      <c r="S9629">
        <v>2.3986819999999999E-2</v>
      </c>
      <c r="T9629">
        <v>-7.7949760000000007E-2</v>
      </c>
      <c r="U9629">
        <v>3.0401609999999999</v>
      </c>
      <c r="V9629">
        <v>-0.17599000000000001</v>
      </c>
      <c r="W9629">
        <v>0.1282316</v>
      </c>
      <c r="X9629">
        <v>0.97600419999999999</v>
      </c>
      <c r="Y9629">
        <v>-0.25752399999999998</v>
      </c>
      <c r="Z9629">
        <v>-1.1926279999999999E-2</v>
      </c>
      <c r="AA9629">
        <v>0.96619829999999995</v>
      </c>
      <c r="AB9629">
        <v>29</v>
      </c>
      <c r="AC9629">
        <v>0.27639999999999498</v>
      </c>
      <c r="AD9629">
        <v>-1.123462504968</v>
      </c>
      <c r="AE9629">
        <v>43.559919000000001</v>
      </c>
      <c r="AF9629">
        <v>-11.278029382478</v>
      </c>
      <c r="AG9629">
        <v>-1.123462504968</v>
      </c>
      <c r="AH9629">
        <v>42.045536908097702</v>
      </c>
      <c r="AI9629">
        <v>91.478351804410806</v>
      </c>
      <c r="AJ9629">
        <v>105.01520733509</v>
      </c>
      <c r="AK9629">
        <v>43.546334962225103</v>
      </c>
      <c r="AL9629">
        <v>82.632584906224494</v>
      </c>
      <c r="AM9629">
        <v>100.22155701532</v>
      </c>
      <c r="AN9629">
        <v>1.0000000108781</v>
      </c>
    </row>
    <row r="9630" spans="1:40" x14ac:dyDescent="0.25">
      <c r="A9630" t="str">
        <f>"20190303162135337"</f>
        <v>20190303162135337</v>
      </c>
      <c r="B9630" t="str">
        <f>"1551601295332684"</f>
        <v>1551601295332684</v>
      </c>
      <c r="C9630" t="s">
        <v>40</v>
      </c>
      <c r="D9630">
        <v>4.7381330000000004</v>
      </c>
      <c r="E9630">
        <v>0.46904249999999997</v>
      </c>
      <c r="F9630" t="s">
        <v>41</v>
      </c>
      <c r="G9630">
        <v>-190.5753</v>
      </c>
      <c r="H9630" s="1">
        <v>-3.904151E-6</v>
      </c>
      <c r="I9630">
        <v>8.3329470000000008</v>
      </c>
      <c r="J9630">
        <v>-191.00069999999999</v>
      </c>
      <c r="K9630">
        <v>1.1234040000000001</v>
      </c>
      <c r="L9630">
        <v>-40.683590000000002</v>
      </c>
      <c r="M9630">
        <v>0.26263259999999899</v>
      </c>
      <c r="N9630">
        <v>-1.1900590000000001E-2</v>
      </c>
      <c r="O9630">
        <v>0.96482250000000003</v>
      </c>
      <c r="P9630">
        <v>8.9453459999999999E-2</v>
      </c>
      <c r="Q9630">
        <v>0.118271</v>
      </c>
      <c r="R9630">
        <v>0.98894389999999999</v>
      </c>
      <c r="S9630">
        <v>3.067017E-2</v>
      </c>
      <c r="T9630">
        <v>-6.9266320000000006E-2</v>
      </c>
      <c r="U9630">
        <v>3.03891</v>
      </c>
      <c r="V9630">
        <v>-0.17411570000000001</v>
      </c>
      <c r="W9630">
        <v>0.12898389999999901</v>
      </c>
      <c r="X9630">
        <v>0.97624120000000003</v>
      </c>
      <c r="Y9630">
        <v>-0.25284669999999998</v>
      </c>
      <c r="Z9630">
        <v>-9.3340599999999999E-3</v>
      </c>
      <c r="AA9630">
        <v>0.96746129999999997</v>
      </c>
      <c r="AB9630">
        <v>29</v>
      </c>
      <c r="AC9630">
        <v>0.425399999999996</v>
      </c>
      <c r="AD9630">
        <v>-1.1234079041509999</v>
      </c>
      <c r="AE9630">
        <v>49.016537</v>
      </c>
      <c r="AF9630">
        <v>-12.457244879639401</v>
      </c>
      <c r="AG9630">
        <v>-1.1234079041509999</v>
      </c>
      <c r="AH9630">
        <v>47.382452566719898</v>
      </c>
      <c r="AI9630">
        <v>91.313569564571296</v>
      </c>
      <c r="AJ9630">
        <v>104.730192960662</v>
      </c>
      <c r="AK9630">
        <v>49.005528326382503</v>
      </c>
      <c r="AL9630">
        <v>82.589120274923502</v>
      </c>
      <c r="AM9630">
        <v>100.112551623179</v>
      </c>
      <c r="AN9630">
        <v>1.00000000201157</v>
      </c>
    </row>
    <row r="9631" spans="1:40" x14ac:dyDescent="0.25">
      <c r="A9631" t="str">
        <f>"20190303162135351"</f>
        <v>20190303162135351</v>
      </c>
      <c r="B9631" t="str">
        <f>"1551601295342444"</f>
        <v>1551601295342444</v>
      </c>
      <c r="C9631" t="s">
        <v>40</v>
      </c>
      <c r="D9631">
        <v>4.6920159999999997</v>
      </c>
      <c r="E9631">
        <v>0.46921560000000001</v>
      </c>
      <c r="F9631" t="s">
        <v>41</v>
      </c>
      <c r="G9631">
        <v>-190.3947</v>
      </c>
      <c r="H9631" s="1">
        <v>-3.090242E-6</v>
      </c>
      <c r="I9631">
        <v>16.547709999999999</v>
      </c>
      <c r="J9631">
        <v>-190.9545</v>
      </c>
      <c r="K9631">
        <v>1.123373</v>
      </c>
      <c r="L9631">
        <v>-40.506959999999999</v>
      </c>
      <c r="M9631">
        <v>0.2610074</v>
      </c>
      <c r="N9631">
        <v>-1.189435E-2</v>
      </c>
      <c r="O9631">
        <v>0.96526350000000005</v>
      </c>
      <c r="P9631">
        <v>8.8057549999999998E-2</v>
      </c>
      <c r="Q9631">
        <v>0.1184524</v>
      </c>
      <c r="R9631">
        <v>0.98904749999999997</v>
      </c>
      <c r="S9631">
        <v>3.2165529999999998E-2</v>
      </c>
      <c r="T9631">
        <v>-5.9628729999999998E-2</v>
      </c>
      <c r="U9631">
        <v>3.03775</v>
      </c>
      <c r="V9631">
        <v>-0.17383390000000001</v>
      </c>
      <c r="W9631">
        <v>0.1291755</v>
      </c>
      <c r="X9631">
        <v>0.97626610000000003</v>
      </c>
      <c r="Y9631">
        <v>-0.25074210000000002</v>
      </c>
      <c r="Z9631">
        <v>-6.4147719999999896E-3</v>
      </c>
      <c r="AA9631">
        <v>0.96803269999999997</v>
      </c>
      <c r="AB9631">
        <v>29</v>
      </c>
      <c r="AC9631">
        <v>0.55979999999999497</v>
      </c>
      <c r="AD9631">
        <v>-1.123376090242</v>
      </c>
      <c r="AE9631">
        <v>57.054669999999902</v>
      </c>
      <c r="AF9631">
        <v>-14.3467907645392</v>
      </c>
      <c r="AG9631">
        <v>-1.123376090242</v>
      </c>
      <c r="AH9631">
        <v>55.201411745854998</v>
      </c>
      <c r="AI9631">
        <v>91.128360496784694</v>
      </c>
      <c r="AJ9631">
        <v>104.568794692957</v>
      </c>
      <c r="AK9631">
        <v>57.0463691904841</v>
      </c>
      <c r="AL9631">
        <v>82.578049897001804</v>
      </c>
      <c r="AM9631">
        <v>100.096269591907</v>
      </c>
      <c r="AN9631">
        <v>1.0000000162993301</v>
      </c>
    </row>
    <row r="9632" spans="1:40" x14ac:dyDescent="0.25">
      <c r="A9632" t="str">
        <f>"20190303162135372"</f>
        <v>20190303162135372</v>
      </c>
      <c r="B9632" t="str">
        <f>"1551601295361963"</f>
        <v>1551601295361963</v>
      </c>
      <c r="C9632" t="s">
        <v>40</v>
      </c>
      <c r="D9632">
        <v>4.8283129999999996</v>
      </c>
      <c r="E9632">
        <v>0.4696265</v>
      </c>
      <c r="F9632" t="s">
        <v>41</v>
      </c>
      <c r="G9632">
        <v>-190.39099999999999</v>
      </c>
      <c r="H9632" s="1">
        <v>-4.2329249999999998E-6</v>
      </c>
      <c r="I9632">
        <v>19.221620000000001</v>
      </c>
      <c r="J9632">
        <v>-190.8886</v>
      </c>
      <c r="K9632">
        <v>1.1233379999999999</v>
      </c>
      <c r="L9632">
        <v>-40.253140000000002</v>
      </c>
      <c r="M9632">
        <v>0.25868750000000001</v>
      </c>
      <c r="N9632">
        <v>-1.188663E-2</v>
      </c>
      <c r="O9632">
        <v>0.96588790000000002</v>
      </c>
      <c r="P9632">
        <v>8.5661329999999994E-2</v>
      </c>
      <c r="Q9632">
        <v>0.11837309999999999</v>
      </c>
      <c r="R9632">
        <v>0.98926740000000002</v>
      </c>
      <c r="S9632">
        <v>2.8656009999999999E-2</v>
      </c>
      <c r="T9632">
        <v>-5.7129499999999903E-2</v>
      </c>
      <c r="U9632">
        <v>3.037506</v>
      </c>
      <c r="V9632">
        <v>-0.173843</v>
      </c>
      <c r="W9632">
        <v>0.1291041</v>
      </c>
      <c r="X9632">
        <v>0.97627390000000003</v>
      </c>
      <c r="Y9632">
        <v>-0.24953520000000001</v>
      </c>
      <c r="Z9632">
        <v>-5.6760040000000001E-3</v>
      </c>
      <c r="AA9632">
        <v>0.96834909999999996</v>
      </c>
      <c r="AB9632">
        <v>29</v>
      </c>
      <c r="AC9632">
        <v>0.49760000000000498</v>
      </c>
      <c r="AD9632">
        <v>-1.123342232925</v>
      </c>
      <c r="AE9632">
        <v>59.474759999999897</v>
      </c>
      <c r="AF9632">
        <v>-14.9004892898517</v>
      </c>
      <c r="AG9632">
        <v>-1.123342232925</v>
      </c>
      <c r="AH9632">
        <v>57.558211021447001</v>
      </c>
      <c r="AI9632">
        <v>91.082405638958704</v>
      </c>
      <c r="AJ9632">
        <v>104.513923567278</v>
      </c>
      <c r="AK9632">
        <v>59.466243658387199</v>
      </c>
      <c r="AL9632">
        <v>82.582175183451596</v>
      </c>
      <c r="AM9632">
        <v>100.096708236556</v>
      </c>
      <c r="AN9632">
        <v>0.99999999255351002</v>
      </c>
    </row>
    <row r="9633" spans="1:40" x14ac:dyDescent="0.25">
      <c r="A9633" t="str">
        <f>"20190303162135396"</f>
        <v>20190303162135396</v>
      </c>
      <c r="B9633" t="str">
        <f>"1551601295381484"</f>
        <v>1551601295381484</v>
      </c>
      <c r="C9633" t="s">
        <v>40</v>
      </c>
      <c r="D9633">
        <v>4.725886</v>
      </c>
      <c r="E9633">
        <v>0.47000310000000001</v>
      </c>
      <c r="F9633" t="s">
        <v>41</v>
      </c>
      <c r="G9633">
        <v>-190.393</v>
      </c>
      <c r="H9633" s="1">
        <v>-8.7799819999999898E-7</v>
      </c>
      <c r="I9633">
        <v>21.39198</v>
      </c>
      <c r="J9633">
        <v>-190.81379999999999</v>
      </c>
      <c r="K9633">
        <v>1.1233139999999999</v>
      </c>
      <c r="L9633">
        <v>-39.96219</v>
      </c>
      <c r="M9633">
        <v>0.25603490000000001</v>
      </c>
      <c r="N9633">
        <v>-1.187947E-2</v>
      </c>
      <c r="O9633">
        <v>0.96659450000000002</v>
      </c>
      <c r="P9633">
        <v>8.2183329999999999E-2</v>
      </c>
      <c r="Q9633">
        <v>0.1191883</v>
      </c>
      <c r="R9633">
        <v>0.98946449999999997</v>
      </c>
      <c r="S9633">
        <v>2.4414060000000001E-2</v>
      </c>
      <c r="T9633">
        <v>-5.5343150000000001E-2</v>
      </c>
      <c r="U9633">
        <v>3.037048</v>
      </c>
      <c r="V9633">
        <v>-0.17456529999999901</v>
      </c>
      <c r="W9633">
        <v>0.1299187</v>
      </c>
      <c r="X9633">
        <v>0.97603689999999999</v>
      </c>
      <c r="Y9633">
        <v>-0.2482289</v>
      </c>
      <c r="Z9633">
        <v>-5.1572329999999998E-3</v>
      </c>
      <c r="AA9633">
        <v>0.96868770000000004</v>
      </c>
      <c r="AB9633">
        <v>29</v>
      </c>
      <c r="AC9633">
        <v>0.42079999999998502</v>
      </c>
      <c r="AD9633">
        <v>-1.1233148779981901</v>
      </c>
      <c r="AE9633">
        <v>61.354170000000003</v>
      </c>
      <c r="AF9633">
        <v>-15.298018492126401</v>
      </c>
      <c r="AG9633">
        <v>-1.1233148779981901</v>
      </c>
      <c r="AH9633">
        <v>59.396628481092499</v>
      </c>
      <c r="AI9633">
        <v>91.0492206806437</v>
      </c>
      <c r="AJ9633">
        <v>104.443028807177</v>
      </c>
      <c r="AK9633">
        <v>61.345339521609098</v>
      </c>
      <c r="AL9633">
        <v>82.535105457632596</v>
      </c>
      <c r="AM9633">
        <v>100.140201241139</v>
      </c>
      <c r="AN9633">
        <v>0.99999997136769403</v>
      </c>
    </row>
    <row r="9634" spans="1:40" x14ac:dyDescent="0.25">
      <c r="A9634" t="str">
        <f>"20190303162135417"</f>
        <v>20190303162135417</v>
      </c>
      <c r="B9634" t="str">
        <f>"1551601295411740"</f>
        <v>1551601295411740</v>
      </c>
      <c r="C9634" t="s">
        <v>40</v>
      </c>
      <c r="D9634">
        <v>4.7019140000000004</v>
      </c>
      <c r="E9634">
        <v>0.4704661</v>
      </c>
      <c r="F9634" t="s">
        <v>41</v>
      </c>
      <c r="G9634">
        <v>-190.44720000000001</v>
      </c>
      <c r="H9634" s="1">
        <v>-2.9498020000000002E-6</v>
      </c>
      <c r="I9634">
        <v>26.187799999999999</v>
      </c>
      <c r="J9634">
        <v>-190.74709999999999</v>
      </c>
      <c r="K9634">
        <v>1.123305</v>
      </c>
      <c r="L9634">
        <v>-39.699919999999999</v>
      </c>
      <c r="M9634">
        <v>0.25364350000000002</v>
      </c>
      <c r="N9634">
        <v>-1.1874279999999999E-2</v>
      </c>
      <c r="O9634">
        <v>0.96722490000000005</v>
      </c>
      <c r="P9634">
        <v>7.8138970000000002E-2</v>
      </c>
      <c r="Q9634">
        <v>0.1213361</v>
      </c>
      <c r="R9634">
        <v>0.9895311</v>
      </c>
      <c r="S9634">
        <v>1.6830439999999999E-2</v>
      </c>
      <c r="T9634">
        <v>-5.1568030000000001E-2</v>
      </c>
      <c r="U9634">
        <v>3.036743</v>
      </c>
      <c r="V9634">
        <v>-0.17608099999999999</v>
      </c>
      <c r="W9634">
        <v>0.13205549999999999</v>
      </c>
      <c r="X9634">
        <v>0.97547779999999995</v>
      </c>
      <c r="Y9634">
        <v>-0.2482531</v>
      </c>
      <c r="Z9634">
        <v>-4.0150450000000001E-3</v>
      </c>
      <c r="AA9634">
        <v>0.96868690000000002</v>
      </c>
      <c r="AB9634">
        <v>29</v>
      </c>
      <c r="AC9634">
        <v>0.29989999999997902</v>
      </c>
      <c r="AD9634">
        <v>-1.123307949802</v>
      </c>
      <c r="AE9634">
        <v>65.887720000000002</v>
      </c>
      <c r="AF9634">
        <v>-16.418306679236199</v>
      </c>
      <c r="AG9634">
        <v>-1.123307949802</v>
      </c>
      <c r="AH9634">
        <v>63.7902676819661</v>
      </c>
      <c r="AI9634">
        <v>90.977004587328807</v>
      </c>
      <c r="AJ9634">
        <v>104.43348967283799</v>
      </c>
      <c r="AK9634">
        <v>65.878834733929807</v>
      </c>
      <c r="AL9634">
        <v>82.411612440798706</v>
      </c>
      <c r="AM9634">
        <v>100.232132932563</v>
      </c>
      <c r="AN9634">
        <v>1.0000000559670399</v>
      </c>
    </row>
    <row r="9635" spans="1:40" x14ac:dyDescent="0.25">
      <c r="A9635" t="str">
        <f>"20190303162135439"</f>
        <v>20190303162135439</v>
      </c>
      <c r="B9635" t="str">
        <f>"1551601295432236"</f>
        <v>1551601295432236</v>
      </c>
      <c r="C9635" t="s">
        <v>40</v>
      </c>
      <c r="D9635">
        <v>4.6797360000000001</v>
      </c>
      <c r="E9635">
        <v>0.47071449999999998</v>
      </c>
      <c r="F9635" t="s">
        <v>41</v>
      </c>
      <c r="G9635">
        <v>-190.51130000000001</v>
      </c>
      <c r="H9635" s="1">
        <v>-2.3308199999999999E-6</v>
      </c>
      <c r="I9635">
        <v>44.705199999999998</v>
      </c>
      <c r="J9635">
        <v>-190.68010000000001</v>
      </c>
      <c r="K9635">
        <v>1.1233109999999999</v>
      </c>
      <c r="L9635">
        <v>-39.433720000000001</v>
      </c>
      <c r="M9635">
        <v>0.25120999999999999</v>
      </c>
      <c r="N9635">
        <v>-1.187E-2</v>
      </c>
      <c r="O9635">
        <v>0.96785980000000005</v>
      </c>
      <c r="P9635">
        <v>7.4261560000000004E-2</v>
      </c>
      <c r="Q9635">
        <v>0.1231497</v>
      </c>
      <c r="R9635">
        <v>0.98960570000000003</v>
      </c>
      <c r="S9635">
        <v>8.4838869999999903E-3</v>
      </c>
      <c r="T9635">
        <v>-4.0404799999999998E-2</v>
      </c>
      <c r="U9635">
        <v>3.0360109999999998</v>
      </c>
      <c r="V9635">
        <v>-0.1774009</v>
      </c>
      <c r="W9635">
        <v>0.133857</v>
      </c>
      <c r="X9635">
        <v>0.97499290000000005</v>
      </c>
      <c r="Y9635">
        <v>-0.24848419999999999</v>
      </c>
      <c r="Z9635">
        <v>-5.9292549999999996E-4</v>
      </c>
      <c r="AA9635">
        <v>0.96863580000000005</v>
      </c>
      <c r="AB9635">
        <v>29</v>
      </c>
      <c r="AC9635">
        <v>0.168800000000004</v>
      </c>
      <c r="AD9635">
        <v>-1.1233133308199901</v>
      </c>
      <c r="AE9635">
        <v>84.138919999999999</v>
      </c>
      <c r="AF9635">
        <v>-20.970903667349798</v>
      </c>
      <c r="AG9635">
        <v>-1.1233133308199901</v>
      </c>
      <c r="AH9635">
        <v>81.468304023535893</v>
      </c>
      <c r="AI9635">
        <v>90.765027998795503</v>
      </c>
      <c r="AJ9635">
        <v>104.43522635815</v>
      </c>
      <c r="AK9635">
        <v>84.131594504893002</v>
      </c>
      <c r="AL9635">
        <v>82.307468793372607</v>
      </c>
      <c r="AM9635">
        <v>100.312210814788</v>
      </c>
      <c r="AN9635">
        <v>0.99999996541010905</v>
      </c>
    </row>
    <row r="9636" spans="1:40" x14ac:dyDescent="0.25">
      <c r="A9636" t="str">
        <f>"20190303162135461"</f>
        <v>20190303162135461</v>
      </c>
      <c r="B9636" t="str">
        <f>"1551601295451756"</f>
        <v>1551601295451756</v>
      </c>
      <c r="C9636" t="s">
        <v>40</v>
      </c>
      <c r="D9636">
        <v>4.7241200000000001</v>
      </c>
      <c r="E9636">
        <v>0.4710414</v>
      </c>
      <c r="F9636" t="s">
        <v>41</v>
      </c>
      <c r="G9636">
        <v>-190.72450000000001</v>
      </c>
      <c r="H9636" s="1">
        <v>-2.7315730000000001E-6</v>
      </c>
      <c r="I9636">
        <v>65.507140000000007</v>
      </c>
      <c r="J9636">
        <v>-190.61080000000001</v>
      </c>
      <c r="K9636">
        <v>1.123319</v>
      </c>
      <c r="L9636">
        <v>-39.155180000000001</v>
      </c>
      <c r="M9636">
        <v>0.24865139999999999</v>
      </c>
      <c r="N9636">
        <v>-1.186647E-2</v>
      </c>
      <c r="O9636">
        <v>0.9685203</v>
      </c>
      <c r="P9636">
        <v>6.9787669999999996E-2</v>
      </c>
      <c r="Q9636">
        <v>0.12487239999999999</v>
      </c>
      <c r="R9636">
        <v>0.98971540000000002</v>
      </c>
      <c r="S9636">
        <v>-1.2817379999999999E-3</v>
      </c>
      <c r="T9636">
        <v>-3.2494309999999998E-2</v>
      </c>
      <c r="U9636">
        <v>3.0356450000000001</v>
      </c>
      <c r="V9636">
        <v>-0.17918809999999999</v>
      </c>
      <c r="W9636">
        <v>0.1355613</v>
      </c>
      <c r="X9636">
        <v>0.97443049999999998</v>
      </c>
      <c r="Y9636">
        <v>-0.24904399999999999</v>
      </c>
      <c r="Z9636">
        <v>1.8364550000000001E-3</v>
      </c>
      <c r="AA9636">
        <v>0.96849039999999997</v>
      </c>
      <c r="AB9636">
        <v>29</v>
      </c>
      <c r="AC9636">
        <v>-0.113699999999994</v>
      </c>
      <c r="AD9636">
        <v>-1.123321731573</v>
      </c>
      <c r="AE9636">
        <v>104.66231999999999</v>
      </c>
      <c r="AF9636">
        <v>-26.1333842649552</v>
      </c>
      <c r="AG9636">
        <v>-1.123321731573</v>
      </c>
      <c r="AH9636">
        <v>101.334777420739</v>
      </c>
      <c r="AI9636">
        <v>90.614992083793098</v>
      </c>
      <c r="AJ9636">
        <v>104.461003034277</v>
      </c>
      <c r="AK9636">
        <v>104.656355467612</v>
      </c>
      <c r="AL9636">
        <v>82.208921768322796</v>
      </c>
      <c r="AM9636">
        <v>100.419716547775</v>
      </c>
      <c r="AN9636">
        <v>1.0000000202847701</v>
      </c>
    </row>
    <row r="9637" spans="1:40" x14ac:dyDescent="0.25">
      <c r="A9637" t="str">
        <f>"20190303162135482"</f>
        <v>20190303162135482</v>
      </c>
      <c r="B9637" t="str">
        <f>"1551601295472252"</f>
        <v>1551601295472252</v>
      </c>
      <c r="C9637" t="s">
        <v>40</v>
      </c>
      <c r="D9637">
        <v>4.639011</v>
      </c>
      <c r="E9637">
        <v>0.4714488</v>
      </c>
      <c r="F9637" t="s">
        <v>41</v>
      </c>
      <c r="G9637">
        <v>-191.1242</v>
      </c>
      <c r="H9637" s="1">
        <v>-4.2248830000000002E-6</v>
      </c>
      <c r="I9637">
        <v>88.815830000000005</v>
      </c>
      <c r="J9637">
        <v>-190.54470000000001</v>
      </c>
      <c r="K9637">
        <v>1.1233299999999999</v>
      </c>
      <c r="L9637">
        <v>-38.886380000000003</v>
      </c>
      <c r="M9637">
        <v>0.2461661</v>
      </c>
      <c r="N9637">
        <v>-1.186392E-2</v>
      </c>
      <c r="O9637">
        <v>0.96915510000000005</v>
      </c>
      <c r="P9637">
        <v>6.6172880000000003E-2</v>
      </c>
      <c r="Q9637">
        <v>0.12614719999999999</v>
      </c>
      <c r="R9637">
        <v>0.98980199999999996</v>
      </c>
      <c r="S9637">
        <v>-1.217651E-2</v>
      </c>
      <c r="T9637">
        <v>-2.6644589999999999E-2</v>
      </c>
      <c r="U9637">
        <v>3.0354000000000001</v>
      </c>
      <c r="V9637">
        <v>-0.1802163</v>
      </c>
      <c r="W9637">
        <v>0.13682259999999999</v>
      </c>
      <c r="X9637">
        <v>0.9740645</v>
      </c>
      <c r="Y9637">
        <v>-0.25003839999999999</v>
      </c>
      <c r="Z9637">
        <v>3.6371120000000001E-3</v>
      </c>
      <c r="AA9637">
        <v>0.96822909999999995</v>
      </c>
      <c r="AB9637">
        <v>29</v>
      </c>
      <c r="AC9637">
        <v>-0.57949999999999502</v>
      </c>
      <c r="AD9637">
        <v>-1.1233342248829901</v>
      </c>
      <c r="AE9637">
        <v>127.70220999999999</v>
      </c>
      <c r="AF9637">
        <v>-31.997354877253301</v>
      </c>
      <c r="AG9637">
        <v>-1.1233342248829901</v>
      </c>
      <c r="AH9637">
        <v>123.619723641994</v>
      </c>
      <c r="AI9637">
        <v>90.504023909649007</v>
      </c>
      <c r="AJ9637">
        <v>104.511781314827</v>
      </c>
      <c r="AK9637">
        <v>127.698585239793</v>
      </c>
      <c r="AL9637">
        <v>82.135974708535798</v>
      </c>
      <c r="AM9637">
        <v>100.48203529066799</v>
      </c>
      <c r="AN9637">
        <v>0.99999999440834997</v>
      </c>
    </row>
    <row r="9638" spans="1:40" x14ac:dyDescent="0.25">
      <c r="A9638" t="str">
        <f>"20190303162135503"</f>
        <v>20190303162135503</v>
      </c>
      <c r="B9638" t="str">
        <f>"1551601295491772"</f>
        <v>1551601295491772</v>
      </c>
      <c r="C9638" t="s">
        <v>40</v>
      </c>
      <c r="D9638">
        <v>4.6300879999999998</v>
      </c>
      <c r="E9638">
        <v>0.47179900000000002</v>
      </c>
      <c r="F9638" t="s">
        <v>41</v>
      </c>
      <c r="G9638">
        <v>-191.52170000000001</v>
      </c>
      <c r="H9638" s="1">
        <v>-9.4141639999999999E-7</v>
      </c>
      <c r="I9638">
        <v>110.8398</v>
      </c>
      <c r="J9638">
        <v>-190.48220000000001</v>
      </c>
      <c r="K9638">
        <v>1.1233420000000001</v>
      </c>
      <c r="L9638">
        <v>-38.629820000000002</v>
      </c>
      <c r="M9638">
        <v>0.2437782</v>
      </c>
      <c r="N9638">
        <v>-1.186214E-2</v>
      </c>
      <c r="O9638">
        <v>0.96975849999999997</v>
      </c>
      <c r="P9638">
        <v>6.3323610000000002E-2</v>
      </c>
      <c r="Q9638">
        <v>0.1272066</v>
      </c>
      <c r="R9638">
        <v>0.98985279999999998</v>
      </c>
      <c r="S9638">
        <v>-1.9805909999999999E-2</v>
      </c>
      <c r="T9638">
        <v>-2.2771240000000002E-2</v>
      </c>
      <c r="U9638">
        <v>3.035126</v>
      </c>
      <c r="V9638">
        <v>-0.18059620000000001</v>
      </c>
      <c r="W9638">
        <v>0.13787160000000001</v>
      </c>
      <c r="X9638">
        <v>0.9738462</v>
      </c>
      <c r="Y9638">
        <v>-0.25008960000000002</v>
      </c>
      <c r="Z9638">
        <v>4.8284629999999999E-3</v>
      </c>
      <c r="AA9638">
        <v>0.96821060000000003</v>
      </c>
      <c r="AB9638">
        <v>29</v>
      </c>
      <c r="AC9638">
        <v>-1.0395000000000001</v>
      </c>
      <c r="AD9638">
        <v>-1.1233429414164</v>
      </c>
      <c r="AE9638">
        <v>149.46961999999999</v>
      </c>
      <c r="AF9638">
        <v>-37.446017374332101</v>
      </c>
      <c r="AG9638">
        <v>-1.1233429414164</v>
      </c>
      <c r="AH9638">
        <v>144.69803060535801</v>
      </c>
      <c r="AI9638">
        <v>90.430613768323994</v>
      </c>
      <c r="AJ9638">
        <v>104.509115767892</v>
      </c>
      <c r="AK9638">
        <v>149.469014105372</v>
      </c>
      <c r="AL9638">
        <v>82.075296374752995</v>
      </c>
      <c r="AM9638">
        <v>100.505942512731</v>
      </c>
      <c r="AN9638">
        <v>0.99999999339772006</v>
      </c>
    </row>
    <row r="9639" spans="1:40" x14ac:dyDescent="0.25">
      <c r="A9639" t="str">
        <f>"20190303162135519"</f>
        <v>20190303162135519</v>
      </c>
      <c r="B9639" t="str">
        <f>"1551601295512268"</f>
        <v>1551601295512268</v>
      </c>
      <c r="C9639" t="s">
        <v>40</v>
      </c>
      <c r="D9639">
        <v>4.7726639999999998</v>
      </c>
      <c r="E9639">
        <v>0.47817369999999998</v>
      </c>
      <c r="F9639" t="s">
        <v>50</v>
      </c>
      <c r="G9639">
        <v>-191.982</v>
      </c>
      <c r="H9639" s="1">
        <v>-7.6522969999999997E-6</v>
      </c>
      <c r="I9639">
        <v>137.4631</v>
      </c>
      <c r="J9639">
        <v>-190.4365</v>
      </c>
      <c r="K9639">
        <v>1.1233519999999999</v>
      </c>
      <c r="L9639">
        <v>-38.44</v>
      </c>
      <c r="M9639">
        <v>0.24200250000000001</v>
      </c>
      <c r="N9639">
        <v>-1.1861129999999999E-2</v>
      </c>
      <c r="O9639">
        <v>0.97020309999999998</v>
      </c>
      <c r="P9639">
        <v>6.156114E-2</v>
      </c>
      <c r="Q9639">
        <v>0.12802169999999999</v>
      </c>
      <c r="R9639">
        <v>0.98985889999999999</v>
      </c>
      <c r="S9639">
        <v>-2.5848389999999999E-2</v>
      </c>
      <c r="T9639">
        <v>-1.936042E-2</v>
      </c>
      <c r="U9639">
        <v>3.0348820000000001</v>
      </c>
      <c r="V9639">
        <v>-0.18052869999999999</v>
      </c>
      <c r="W9639">
        <v>0.13868249999999999</v>
      </c>
      <c r="X9639">
        <v>0.97374360000000004</v>
      </c>
      <c r="Y9639">
        <v>-0.250247</v>
      </c>
      <c r="Z9639">
        <v>5.8807249999999998E-3</v>
      </c>
      <c r="AA9639">
        <v>0.96816420000000003</v>
      </c>
      <c r="AB9639">
        <v>29</v>
      </c>
      <c r="AC9639">
        <v>-1.5455000000000001</v>
      </c>
      <c r="AD9639">
        <v>-1.123359652297</v>
      </c>
      <c r="AE9639">
        <v>175.90309999999999</v>
      </c>
      <c r="AF9639">
        <v>-44.069742951254703</v>
      </c>
      <c r="AG9639">
        <v>-1.123359652297</v>
      </c>
      <c r="AH9639">
        <v>170.29275732289301</v>
      </c>
      <c r="AI9639">
        <v>90.3659005016263</v>
      </c>
      <c r="AJ9639">
        <v>104.509158187168</v>
      </c>
      <c r="AK9639">
        <v>175.90630283572</v>
      </c>
      <c r="AL9639">
        <v>82.028384808301993</v>
      </c>
      <c r="AM9639">
        <v>100.503185116428</v>
      </c>
      <c r="AN9639">
        <v>1.00000002293544</v>
      </c>
    </row>
    <row r="9640" spans="1:40" x14ac:dyDescent="0.25">
      <c r="A9640" t="str">
        <f>"20190303162135538"</f>
        <v>20190303162135538</v>
      </c>
      <c r="B9640" t="str">
        <f>"1551601295531789"</f>
        <v>1551601295531789</v>
      </c>
      <c r="C9640" t="s">
        <v>40</v>
      </c>
      <c r="D9640">
        <v>4.6353269999999904</v>
      </c>
      <c r="E9640">
        <v>0.47830719999999999</v>
      </c>
      <c r="F9640" t="s">
        <v>92</v>
      </c>
      <c r="G9640">
        <v>-187.70959999999999</v>
      </c>
      <c r="H9640">
        <v>1.679514</v>
      </c>
      <c r="I9640">
        <v>391.87</v>
      </c>
      <c r="J9640">
        <v>-190.3775</v>
      </c>
      <c r="K9640">
        <v>1.12337</v>
      </c>
      <c r="L9640">
        <v>-38.192779999999999</v>
      </c>
      <c r="M9640">
        <v>0.23968110000000001</v>
      </c>
      <c r="N9640">
        <v>-1.1859969999999999E-2</v>
      </c>
      <c r="O9640">
        <v>0.97077919999999995</v>
      </c>
      <c r="P9640">
        <v>5.973875E-2</v>
      </c>
      <c r="Q9640">
        <v>0.1285471</v>
      </c>
      <c r="R9640">
        <v>0.98990250000000002</v>
      </c>
      <c r="S9640">
        <v>1.919556E-2</v>
      </c>
      <c r="T9640">
        <v>3.9149520000000002E-3</v>
      </c>
      <c r="U9640">
        <v>3.0290530000000002</v>
      </c>
      <c r="V9640">
        <v>-0.17997939999999901</v>
      </c>
      <c r="W9640">
        <v>0.1392071</v>
      </c>
      <c r="X9640">
        <v>0.97377040000000004</v>
      </c>
      <c r="Y9640">
        <v>-0.23352690000000001</v>
      </c>
      <c r="Z9640">
        <v>1.306882E-2</v>
      </c>
      <c r="AA9640">
        <v>0.97226250000000003</v>
      </c>
      <c r="AB9640">
        <v>29</v>
      </c>
      <c r="AC9640">
        <v>2.6678999999999999</v>
      </c>
      <c r="AD9640">
        <v>0.55614399999999997</v>
      </c>
      <c r="AE9640">
        <v>430.06277999999998</v>
      </c>
      <c r="AF9640">
        <v>-100.494881138688</v>
      </c>
      <c r="AG9640">
        <v>0.55614399999999997</v>
      </c>
      <c r="AH9640">
        <v>418.16416956252101</v>
      </c>
      <c r="AI9640">
        <v>89.925908197849793</v>
      </c>
      <c r="AJ9640">
        <v>103.51328416659</v>
      </c>
      <c r="AK9640">
        <v>430.07069551079701</v>
      </c>
      <c r="AL9640">
        <v>81.998032821565999</v>
      </c>
      <c r="AM9640">
        <v>100.471652941938</v>
      </c>
      <c r="AN9640">
        <v>0.99999999651546501</v>
      </c>
    </row>
    <row r="9641" spans="1:40" x14ac:dyDescent="0.25">
      <c r="A9641" t="str">
        <f>"20190303162135561"</f>
        <v>20190303162135561</v>
      </c>
      <c r="B9641" t="str">
        <f>"1551601295552284"</f>
        <v>1551601295552284</v>
      </c>
      <c r="C9641" t="s">
        <v>40</v>
      </c>
      <c r="D9641">
        <v>4.8392580000000001</v>
      </c>
      <c r="E9641">
        <v>0.47935349999999999</v>
      </c>
      <c r="F9641" t="s">
        <v>46</v>
      </c>
      <c r="G9641">
        <v>-188.32660000000001</v>
      </c>
      <c r="H9641">
        <v>3.0739240000000001E-2</v>
      </c>
      <c r="I9641">
        <v>379.6</v>
      </c>
      <c r="J9641">
        <v>-190.3117</v>
      </c>
      <c r="K9641">
        <v>1.123375</v>
      </c>
      <c r="L9641">
        <v>-37.914180000000002</v>
      </c>
      <c r="M9641">
        <v>0.23705519999999999</v>
      </c>
      <c r="N9641">
        <v>-1.1858840000000001E-2</v>
      </c>
      <c r="O9641">
        <v>0.97142379999999995</v>
      </c>
      <c r="P9641">
        <v>5.7888139999999998E-2</v>
      </c>
      <c r="Q9641">
        <v>0.12912190000000001</v>
      </c>
      <c r="R9641">
        <v>0.98993759999999997</v>
      </c>
      <c r="S9641">
        <v>1.4877319999999999E-2</v>
      </c>
      <c r="T9641">
        <v>-7.9261060000000005E-3</v>
      </c>
      <c r="U9641">
        <v>3.0307309999999998</v>
      </c>
      <c r="V9641">
        <v>-0.17915210000000001</v>
      </c>
      <c r="W9641">
        <v>0.13978360000000001</v>
      </c>
      <c r="X9641">
        <v>0.97384040000000005</v>
      </c>
      <c r="Y9641">
        <v>-0.2322804</v>
      </c>
      <c r="Z9641">
        <v>9.3843280000000008E-3</v>
      </c>
      <c r="AA9641">
        <v>0.97260360000000001</v>
      </c>
      <c r="AB9641">
        <v>29</v>
      </c>
      <c r="AC9641">
        <v>1.9850999999999801</v>
      </c>
      <c r="AD9641">
        <v>-1.0926357600000001</v>
      </c>
      <c r="AE9641">
        <v>417.51417999999899</v>
      </c>
      <c r="AF9641">
        <v>-97.051694013645502</v>
      </c>
      <c r="AG9641">
        <v>-1.0926357600000001</v>
      </c>
      <c r="AH9641">
        <v>406.07956379370302</v>
      </c>
      <c r="AI9641">
        <v>90.149942202738401</v>
      </c>
      <c r="AJ9641">
        <v>103.441369303908</v>
      </c>
      <c r="AK9641">
        <v>417.51746944853198</v>
      </c>
      <c r="AL9641">
        <v>81.964675910313204</v>
      </c>
      <c r="AM9641">
        <v>100.423843268723</v>
      </c>
      <c r="AN9641">
        <v>1.00000002721776</v>
      </c>
    </row>
    <row r="9642" spans="1:40" x14ac:dyDescent="0.25">
      <c r="A9642" t="str">
        <f>"20190303162135586"</f>
        <v>20190303162135586</v>
      </c>
      <c r="B9642" t="str">
        <f>"1551601295571807"</f>
        <v>1551601295571807</v>
      </c>
      <c r="C9642" t="s">
        <v>40</v>
      </c>
      <c r="D9642">
        <v>4.6274050000000004</v>
      </c>
      <c r="E9642">
        <v>0.48037839999999998</v>
      </c>
      <c r="F9642" t="s">
        <v>92</v>
      </c>
      <c r="G9642">
        <v>-187.85249999999999</v>
      </c>
      <c r="H9642">
        <v>1.334314</v>
      </c>
      <c r="I9642">
        <v>391.87</v>
      </c>
      <c r="J9642">
        <v>-190.24250000000001</v>
      </c>
      <c r="K9642">
        <v>1.1233789999999999</v>
      </c>
      <c r="L9642">
        <v>-37.617550000000001</v>
      </c>
      <c r="M9642">
        <v>0.23425219999999999</v>
      </c>
      <c r="N9642">
        <v>-1.185786E-2</v>
      </c>
      <c r="O9642">
        <v>0.97210350000000001</v>
      </c>
      <c r="P9642">
        <v>5.5710950000000002E-2</v>
      </c>
      <c r="Q9642">
        <v>0.1287401</v>
      </c>
      <c r="R9642">
        <v>0.9901122</v>
      </c>
      <c r="S9642">
        <v>1.7333979999999999E-2</v>
      </c>
      <c r="T9642">
        <v>1.48677799999999E-3</v>
      </c>
      <c r="U9642">
        <v>3.0292970000000001</v>
      </c>
      <c r="V9642">
        <v>-0.1784944</v>
      </c>
      <c r="W9642">
        <v>0.13940439999999901</v>
      </c>
      <c r="X9642">
        <v>0.97401550000000003</v>
      </c>
      <c r="Y9642">
        <v>-0.2286871</v>
      </c>
      <c r="Z9642">
        <v>1.2313579999999999E-2</v>
      </c>
      <c r="AA9642">
        <v>0.97342209999999996</v>
      </c>
      <c r="AB9642">
        <v>29</v>
      </c>
      <c r="AC9642">
        <v>2.3900000000000099</v>
      </c>
      <c r="AD9642">
        <v>0.21093499999999901</v>
      </c>
      <c r="AE9642">
        <v>429.48755</v>
      </c>
      <c r="AF9642">
        <v>-98.2919670824717</v>
      </c>
      <c r="AG9642">
        <v>0.21093499999999901</v>
      </c>
      <c r="AH9642">
        <v>418.09552488031301</v>
      </c>
      <c r="AI9642">
        <v>89.971860650972204</v>
      </c>
      <c r="AJ9642">
        <v>103.229683302014</v>
      </c>
      <c r="AK9642">
        <v>429.494148052637</v>
      </c>
      <c r="AL9642">
        <v>81.986617210218796</v>
      </c>
      <c r="AM9642">
        <v>100.38458323340301</v>
      </c>
      <c r="AN9642">
        <v>1.00000001590548</v>
      </c>
    </row>
    <row r="9643" spans="1:40" x14ac:dyDescent="0.25">
      <c r="A9643" t="str">
        <f>"20190303162135607"</f>
        <v>20190303162135607</v>
      </c>
      <c r="B9643" t="str">
        <f>"1551601295602060"</f>
        <v>1551601295602060</v>
      </c>
      <c r="C9643" t="s">
        <v>40</v>
      </c>
      <c r="D9643">
        <v>4.6103269999999998</v>
      </c>
      <c r="E9643">
        <v>0.48137659999999999</v>
      </c>
      <c r="F9643" t="s">
        <v>92</v>
      </c>
      <c r="G9643">
        <v>-187.52070000000001</v>
      </c>
      <c r="H9643">
        <v>1.157726</v>
      </c>
      <c r="I9643">
        <v>391.87</v>
      </c>
      <c r="J9643">
        <v>-190.1808</v>
      </c>
      <c r="K9643">
        <v>1.1233799999999901</v>
      </c>
      <c r="L9643">
        <v>-37.349029999999999</v>
      </c>
      <c r="M9643">
        <v>0.23171059999999999</v>
      </c>
      <c r="N9643">
        <v>-1.185723E-2</v>
      </c>
      <c r="O9643">
        <v>0.97271249999999998</v>
      </c>
      <c r="P9643">
        <v>5.3200919999999999E-2</v>
      </c>
      <c r="Q9643">
        <v>0.1291542</v>
      </c>
      <c r="R9643">
        <v>0.99019639999999998</v>
      </c>
      <c r="S9643">
        <v>1.919556E-2</v>
      </c>
      <c r="T9643">
        <v>2.422333E-4</v>
      </c>
      <c r="U9643">
        <v>3.0288390000000001</v>
      </c>
      <c r="V9643">
        <v>-0.17840719999999999</v>
      </c>
      <c r="W9643">
        <v>0.1398181</v>
      </c>
      <c r="X9643">
        <v>0.97397210000000001</v>
      </c>
      <c r="Y9643">
        <v>-0.22554199999999999</v>
      </c>
      <c r="Z9643">
        <v>1.192408E-2</v>
      </c>
      <c r="AA9643">
        <v>0.97416049999999998</v>
      </c>
      <c r="AB9643">
        <v>29</v>
      </c>
      <c r="AC9643">
        <v>2.6600999999999999</v>
      </c>
      <c r="AD9643">
        <v>3.4346000000000203E-2</v>
      </c>
      <c r="AE9643">
        <v>429.21902999999998</v>
      </c>
      <c r="AF9643">
        <v>-96.873895830377194</v>
      </c>
      <c r="AG9643">
        <v>3.4346000000000203E-2</v>
      </c>
      <c r="AH9643">
        <v>418.15248151063298</v>
      </c>
      <c r="AI9643">
        <v>89.9954152940049</v>
      </c>
      <c r="AJ9643">
        <v>103.043674256413</v>
      </c>
      <c r="AK9643">
        <v>429.22727157824301</v>
      </c>
      <c r="AL9643">
        <v>81.962678902662105</v>
      </c>
      <c r="AM9643">
        <v>100.380072801135</v>
      </c>
      <c r="AN9643">
        <v>0.99999994083892796</v>
      </c>
    </row>
    <row r="9644" spans="1:40" x14ac:dyDescent="0.25">
      <c r="A9644" t="str">
        <f>"20190303162135629"</f>
        <v>20190303162135629</v>
      </c>
      <c r="B9644" t="str">
        <f>"1551601295621581"</f>
        <v>1551601295621581</v>
      </c>
      <c r="C9644" t="s">
        <v>40</v>
      </c>
      <c r="D9644">
        <v>4.6252719999999998</v>
      </c>
      <c r="E9644">
        <v>0.48183589999999998</v>
      </c>
      <c r="F9644" t="s">
        <v>92</v>
      </c>
      <c r="G9644">
        <v>-187.3991</v>
      </c>
      <c r="H9644">
        <v>1.98834</v>
      </c>
      <c r="I9644">
        <v>391.87</v>
      </c>
      <c r="J9644">
        <v>-190.11789999999999</v>
      </c>
      <c r="K9644">
        <v>1.1233820000000001</v>
      </c>
      <c r="L9644">
        <v>-37.072659999999999</v>
      </c>
      <c r="M9644">
        <v>0.2290943</v>
      </c>
      <c r="N9644">
        <v>-1.1856780000000001E-2</v>
      </c>
      <c r="O9644">
        <v>0.97333199999999997</v>
      </c>
      <c r="P9644">
        <v>5.0057629999999999E-2</v>
      </c>
      <c r="Q9644">
        <v>0.1292722</v>
      </c>
      <c r="R9644">
        <v>0.99034489999999997</v>
      </c>
      <c r="S9644">
        <v>1.9622799999999999E-2</v>
      </c>
      <c r="T9644">
        <v>6.1017270000000004E-3</v>
      </c>
      <c r="U9644">
        <v>3.027863</v>
      </c>
      <c r="V9644">
        <v>-0.17887749999999999</v>
      </c>
      <c r="W9644">
        <v>0.13993229999999901</v>
      </c>
      <c r="X9644">
        <v>0.97386950000000005</v>
      </c>
      <c r="Y9644">
        <v>-0.22278500000000001</v>
      </c>
      <c r="Z9644">
        <v>1.3757170000000001E-2</v>
      </c>
      <c r="AA9644">
        <v>0.97477049999999998</v>
      </c>
      <c r="AB9644">
        <v>29</v>
      </c>
      <c r="AC9644">
        <v>2.7187999999999799</v>
      </c>
      <c r="AD9644">
        <v>0.864958</v>
      </c>
      <c r="AE9644">
        <v>428.94265999999999</v>
      </c>
      <c r="AF9644">
        <v>-95.628358429210493</v>
      </c>
      <c r="AG9644">
        <v>0.864958</v>
      </c>
      <c r="AH9644">
        <v>418.15417995028099</v>
      </c>
      <c r="AI9644">
        <v>89.884465719227705</v>
      </c>
      <c r="AJ9644">
        <v>102.881546140548</v>
      </c>
      <c r="AK9644">
        <v>428.95040424051302</v>
      </c>
      <c r="AL9644">
        <v>81.956071286614403</v>
      </c>
      <c r="AM9644">
        <v>100.407911088962</v>
      </c>
      <c r="AN9644">
        <v>1.0000000058098899</v>
      </c>
    </row>
    <row r="9645" spans="1:40" x14ac:dyDescent="0.25">
      <c r="A9645" t="str">
        <f>"20190303162135650"</f>
        <v>20190303162135650</v>
      </c>
      <c r="B9645" t="str">
        <f>"1551601295642075"</f>
        <v>1551601295642075</v>
      </c>
      <c r="C9645" t="s">
        <v>40</v>
      </c>
      <c r="D9645">
        <v>4.6087999999999996</v>
      </c>
      <c r="E9645">
        <v>0.48236059999999997</v>
      </c>
      <c r="F9645" t="s">
        <v>92</v>
      </c>
      <c r="G9645">
        <v>-188.1765</v>
      </c>
      <c r="H9645">
        <v>2.4210129999999999</v>
      </c>
      <c r="I9645">
        <v>391.87</v>
      </c>
      <c r="J9645">
        <v>-190.05850000000001</v>
      </c>
      <c r="K9645">
        <v>1.1233759999999999</v>
      </c>
      <c r="L9645">
        <v>-36.807920000000003</v>
      </c>
      <c r="M9645">
        <v>0.22658919999999999</v>
      </c>
      <c r="N9645">
        <v>-1.185654E-2</v>
      </c>
      <c r="O9645">
        <v>0.97391830000000001</v>
      </c>
      <c r="P9645">
        <v>4.6993609999999998E-2</v>
      </c>
      <c r="Q9645">
        <v>0.12826589999999999</v>
      </c>
      <c r="R9645">
        <v>0.9906258</v>
      </c>
      <c r="S9645">
        <v>1.370239E-2</v>
      </c>
      <c r="T9645">
        <v>9.1582539999999994E-3</v>
      </c>
      <c r="U9645">
        <v>3.0273439999999998</v>
      </c>
      <c r="V9645">
        <v>-0.1794104</v>
      </c>
      <c r="W9645">
        <v>0.1389233</v>
      </c>
      <c r="X9645">
        <v>0.97391589999999995</v>
      </c>
      <c r="Y9645">
        <v>-0.2221833</v>
      </c>
      <c r="Z9645">
        <v>1.471945E-2</v>
      </c>
      <c r="AA9645">
        <v>0.97489380000000003</v>
      </c>
      <c r="AB9645">
        <v>29</v>
      </c>
      <c r="AC9645">
        <v>1.8819999999999999</v>
      </c>
      <c r="AD9645">
        <v>1.2976369999999999</v>
      </c>
      <c r="AE9645">
        <v>428.67791999999997</v>
      </c>
      <c r="AF9645">
        <v>-95.306694026894604</v>
      </c>
      <c r="AG9645">
        <v>1.2976369999999999</v>
      </c>
      <c r="AH9645">
        <v>417.94924023846397</v>
      </c>
      <c r="AI9645">
        <v>89.826562419864999</v>
      </c>
      <c r="AJ9645">
        <v>102.845742051085</v>
      </c>
      <c r="AK9645">
        <v>428.680087249255</v>
      </c>
      <c r="AL9645">
        <v>82.014452762116704</v>
      </c>
      <c r="AM9645">
        <v>100.437750714578</v>
      </c>
      <c r="AN9645">
        <v>0.99999997759192905</v>
      </c>
    </row>
    <row r="9646" spans="1:40" x14ac:dyDescent="0.25">
      <c r="A9646" t="str">
        <f>"20190303162135673"</f>
        <v>20190303162135673</v>
      </c>
      <c r="B9646" t="str">
        <f>"1551601295661596"</f>
        <v>1551601295661596</v>
      </c>
      <c r="C9646" t="s">
        <v>40</v>
      </c>
      <c r="D9646">
        <v>4.6139530000000004</v>
      </c>
      <c r="E9646">
        <v>0.48289650000000001</v>
      </c>
      <c r="F9646" t="s">
        <v>92</v>
      </c>
      <c r="G9646">
        <v>-188.84200000000001</v>
      </c>
      <c r="H9646">
        <v>1.9674069999999999</v>
      </c>
      <c r="I9646">
        <v>391.87</v>
      </c>
      <c r="J9646">
        <v>-189.99529999999999</v>
      </c>
      <c r="K9646">
        <v>1.1233690000000001</v>
      </c>
      <c r="L9646">
        <v>-36.523099999999999</v>
      </c>
      <c r="M9646">
        <v>0.2238956</v>
      </c>
      <c r="N9646">
        <v>-1.18564E-2</v>
      </c>
      <c r="O9646">
        <v>0.97454099999999999</v>
      </c>
      <c r="P9646">
        <v>4.3673389999999999E-2</v>
      </c>
      <c r="Q9646">
        <v>0.12687519999999999</v>
      </c>
      <c r="R9646">
        <v>0.99095679999999997</v>
      </c>
      <c r="S9646">
        <v>8.5906980000000008E-3</v>
      </c>
      <c r="T9646">
        <v>5.9603449999999997E-3</v>
      </c>
      <c r="U9646">
        <v>3.0272220000000001</v>
      </c>
      <c r="V9646">
        <v>-0.18001600000000001</v>
      </c>
      <c r="W9646">
        <v>0.13753009999999999</v>
      </c>
      <c r="X9646">
        <v>0.97400189999999998</v>
      </c>
      <c r="Y9646">
        <v>-0.2211321</v>
      </c>
      <c r="Z9646">
        <v>1.372199E-2</v>
      </c>
      <c r="AA9646">
        <v>0.97514730000000005</v>
      </c>
      <c r="AB9646">
        <v>29</v>
      </c>
      <c r="AC9646">
        <v>1.15329999999997</v>
      </c>
      <c r="AD9646">
        <v>0.84403799999999896</v>
      </c>
      <c r="AE9646">
        <v>428.3931</v>
      </c>
      <c r="AF9646">
        <v>-94.797688556664298</v>
      </c>
      <c r="AG9646">
        <v>0.84403799999999896</v>
      </c>
      <c r="AH9646">
        <v>417.77260762383497</v>
      </c>
      <c r="AI9646">
        <v>89.887113576176503</v>
      </c>
      <c r="AJ9646">
        <v>102.78462072904399</v>
      </c>
      <c r="AK9646">
        <v>428.39382095993199</v>
      </c>
      <c r="AL9646">
        <v>82.095051081806602</v>
      </c>
      <c r="AM9646">
        <v>100.471300982605</v>
      </c>
      <c r="AN9646">
        <v>0.99999999493281</v>
      </c>
    </row>
    <row r="9647" spans="1:40" x14ac:dyDescent="0.25">
      <c r="A9647" t="str">
        <f>"20190303162135694"</f>
        <v>20190303162135694</v>
      </c>
      <c r="B9647" t="str">
        <f>"1551601295682092"</f>
        <v>1551601295682092</v>
      </c>
      <c r="C9647" t="s">
        <v>40</v>
      </c>
      <c r="D9647">
        <v>4.6234039999999998</v>
      </c>
      <c r="E9647">
        <v>0.483209</v>
      </c>
      <c r="F9647" t="s">
        <v>92</v>
      </c>
      <c r="G9647">
        <v>-189.53540000000001</v>
      </c>
      <c r="H9647">
        <v>1.237009</v>
      </c>
      <c r="I9647">
        <v>391.87</v>
      </c>
      <c r="J9647">
        <v>-189.9375</v>
      </c>
      <c r="K9647">
        <v>1.123367</v>
      </c>
      <c r="L9647">
        <v>-36.259</v>
      </c>
      <c r="M9647">
        <v>0.22139819999999999</v>
      </c>
      <c r="N9647">
        <v>-1.1856419999999999E-2</v>
      </c>
      <c r="O9647">
        <v>0.97511139999999996</v>
      </c>
      <c r="P9647">
        <v>4.0155040000000003E-2</v>
      </c>
      <c r="Q9647">
        <v>0.1260202</v>
      </c>
      <c r="R9647">
        <v>0.99121459999999995</v>
      </c>
      <c r="S9647">
        <v>3.2501219999999998E-3</v>
      </c>
      <c r="T9647">
        <v>8.0299379999999995E-4</v>
      </c>
      <c r="U9647">
        <v>3.0271300000000001</v>
      </c>
      <c r="V9647">
        <v>-0.18099999999999999</v>
      </c>
      <c r="W9647">
        <v>0.13666909999999999</v>
      </c>
      <c r="X9647">
        <v>0.97394069999999999</v>
      </c>
      <c r="Y9647">
        <v>-0.22035160000000001</v>
      </c>
      <c r="Z9647">
        <v>1.2107110000000001E-2</v>
      </c>
      <c r="AA9647">
        <v>0.97534540000000003</v>
      </c>
      <c r="AB9647">
        <v>29</v>
      </c>
      <c r="AC9647">
        <v>0.40209999999999002</v>
      </c>
      <c r="AD9647">
        <v>0.11364200000000001</v>
      </c>
      <c r="AE9647">
        <v>428.12900000000002</v>
      </c>
      <c r="AF9647">
        <v>-94.401527430047395</v>
      </c>
      <c r="AG9647">
        <v>0.11364200000000001</v>
      </c>
      <c r="AH9647">
        <v>417.59181998128003</v>
      </c>
      <c r="AI9647">
        <v>89.984791489458701</v>
      </c>
      <c r="AJ9647">
        <v>102.73827146099001</v>
      </c>
      <c r="AK9647">
        <v>428.12917374422</v>
      </c>
      <c r="AL9647">
        <v>82.144852779655693</v>
      </c>
      <c r="AM9647">
        <v>100.527909562011</v>
      </c>
      <c r="AN9647">
        <v>0.99999996500564903</v>
      </c>
    </row>
    <row r="9648" spans="1:40" x14ac:dyDescent="0.25">
      <c r="A9648" t="str">
        <f>"20190303162135717"</f>
        <v>20190303162135717</v>
      </c>
      <c r="B9648" t="str">
        <f>"1551601295712348"</f>
        <v>1551601295712348</v>
      </c>
      <c r="C9648" t="s">
        <v>40</v>
      </c>
      <c r="D9648">
        <v>4.6233849999999999</v>
      </c>
      <c r="E9648">
        <v>0.48372850000000001</v>
      </c>
      <c r="F9648" t="s">
        <v>92</v>
      </c>
      <c r="G9648">
        <v>-190.52680000000001</v>
      </c>
      <c r="H9648">
        <v>1.029266</v>
      </c>
      <c r="I9648">
        <v>391.87</v>
      </c>
      <c r="J9648">
        <v>-189.876</v>
      </c>
      <c r="K9648">
        <v>1.1233679999999999</v>
      </c>
      <c r="L9648">
        <v>-35.974670000000003</v>
      </c>
      <c r="M9648">
        <v>0.2187085</v>
      </c>
      <c r="N9648">
        <v>-1.185662E-2</v>
      </c>
      <c r="O9648">
        <v>0.97571819999999998</v>
      </c>
      <c r="P9648">
        <v>3.6241370000000002E-2</v>
      </c>
      <c r="Q9648">
        <v>0.1260926</v>
      </c>
      <c r="R9648">
        <v>0.99135629999999997</v>
      </c>
      <c r="S9648">
        <v>-4.1656489999999996E-3</v>
      </c>
      <c r="T9648">
        <v>-6.6530699999999996E-4</v>
      </c>
      <c r="U9648">
        <v>3.0268549999999999</v>
      </c>
      <c r="V9648">
        <v>-0.18216019999999999</v>
      </c>
      <c r="W9648">
        <v>0.136732399999999</v>
      </c>
      <c r="X9648">
        <v>0.97371549999999996</v>
      </c>
      <c r="Y9648">
        <v>-0.22005079999999999</v>
      </c>
      <c r="Z9648">
        <v>1.1649319999999999E-2</v>
      </c>
      <c r="AA9648">
        <v>0.97541889999999998</v>
      </c>
      <c r="AB9648">
        <v>29</v>
      </c>
      <c r="AC9648">
        <v>-0.65080000000003202</v>
      </c>
      <c r="AD9648">
        <v>-9.4101999999999894E-2</v>
      </c>
      <c r="AE9648">
        <v>427.84467000000001</v>
      </c>
      <c r="AF9648">
        <v>-94.214881745555701</v>
      </c>
      <c r="AG9648">
        <v>-9.4101999999999894E-2</v>
      </c>
      <c r="AH9648">
        <v>417.34281296716699</v>
      </c>
      <c r="AI9648">
        <v>90.012601866420496</v>
      </c>
      <c r="AJ9648">
        <v>102.721244387967</v>
      </c>
      <c r="AK9648">
        <v>427.84515462122903</v>
      </c>
      <c r="AL9648">
        <v>82.1411917157468</v>
      </c>
      <c r="AM9648">
        <v>100.596264667547</v>
      </c>
      <c r="AN9648">
        <v>0.99999998130702406</v>
      </c>
    </row>
    <row r="9649" spans="1:40" x14ac:dyDescent="0.25">
      <c r="A9649" t="str">
        <f>"20190303162135739"</f>
        <v>20190303162135739</v>
      </c>
      <c r="B9649" t="str">
        <f>"1551601295731868"</f>
        <v>1551601295731868</v>
      </c>
      <c r="C9649" t="s">
        <v>40</v>
      </c>
      <c r="D9649">
        <v>4.7796440000000002</v>
      </c>
      <c r="E9649">
        <v>0.4840547</v>
      </c>
      <c r="F9649" t="s">
        <v>92</v>
      </c>
      <c r="G9649">
        <v>-191.47669999999999</v>
      </c>
      <c r="H9649">
        <v>1.513315</v>
      </c>
      <c r="I9649">
        <v>391.87</v>
      </c>
      <c r="J9649">
        <v>-189.8168</v>
      </c>
      <c r="K9649">
        <v>1.123373</v>
      </c>
      <c r="L9649">
        <v>-35.697270000000003</v>
      </c>
      <c r="M9649">
        <v>0.21608179999999999</v>
      </c>
      <c r="N9649">
        <v>-1.185696E-2</v>
      </c>
      <c r="O9649">
        <v>0.97630329999999999</v>
      </c>
      <c r="P9649">
        <v>3.270327E-2</v>
      </c>
      <c r="Q9649">
        <v>0.12628919999999999</v>
      </c>
      <c r="R9649">
        <v>0.99145419999999995</v>
      </c>
      <c r="S9649">
        <v>-1.132202E-2</v>
      </c>
      <c r="T9649">
        <v>2.758145E-3</v>
      </c>
      <c r="U9649">
        <v>3.0262150000000001</v>
      </c>
      <c r="V9649">
        <v>-0.18301239999999999</v>
      </c>
      <c r="W9649">
        <v>0.1369213</v>
      </c>
      <c r="X9649">
        <v>0.97352919999999998</v>
      </c>
      <c r="Y9649">
        <v>-0.21973380000000001</v>
      </c>
      <c r="Z9649">
        <v>1.272971E-2</v>
      </c>
      <c r="AA9649">
        <v>0.97547680000000003</v>
      </c>
      <c r="AB9649">
        <v>29</v>
      </c>
      <c r="AC9649">
        <v>-1.6598999999999899</v>
      </c>
      <c r="AD9649">
        <v>0.38994200000000001</v>
      </c>
      <c r="AE9649">
        <v>427.56727000000001</v>
      </c>
      <c r="AF9649">
        <v>-94.016598916901899</v>
      </c>
      <c r="AG9649">
        <v>0.38994200000000001</v>
      </c>
      <c r="AH9649">
        <v>417.10562290889101</v>
      </c>
      <c r="AI9649">
        <v>89.947746526805602</v>
      </c>
      <c r="AJ9649">
        <v>102.70232521561201</v>
      </c>
      <c r="AK9649">
        <v>427.570314204434</v>
      </c>
      <c r="AL9649">
        <v>82.130266265617493</v>
      </c>
      <c r="AM9649">
        <v>100.64669732553899</v>
      </c>
      <c r="AN9649">
        <v>1.0000000421000399</v>
      </c>
    </row>
    <row r="9650" spans="1:40" x14ac:dyDescent="0.25">
      <c r="A9650" t="str">
        <f>"20190303162135762"</f>
        <v>20190303162135762</v>
      </c>
      <c r="B9650" t="str">
        <f>"1551601295752262"</f>
        <v>1551601295752262</v>
      </c>
      <c r="C9650" t="s">
        <v>40</v>
      </c>
      <c r="D9650">
        <v>4.6591769999999997</v>
      </c>
      <c r="E9650">
        <v>0.48398940000000001</v>
      </c>
      <c r="F9650" t="s">
        <v>92</v>
      </c>
      <c r="G9650">
        <v>-192.53149999999999</v>
      </c>
      <c r="H9650">
        <v>1.957144</v>
      </c>
      <c r="I9650">
        <v>391.87</v>
      </c>
      <c r="J9650">
        <v>-189.7585</v>
      </c>
      <c r="K9650">
        <v>1.1233759999999999</v>
      </c>
      <c r="L9650">
        <v>-35.420589999999997</v>
      </c>
      <c r="M9650">
        <v>0.21345439999999999</v>
      </c>
      <c r="N9650">
        <v>-1.18575E-2</v>
      </c>
      <c r="O9650">
        <v>0.97688109999999995</v>
      </c>
      <c r="P9650">
        <v>2.9453449999999999E-2</v>
      </c>
      <c r="Q9650">
        <v>0.12586439999999999</v>
      </c>
      <c r="R9650">
        <v>0.99161010000000005</v>
      </c>
      <c r="S9650">
        <v>-1.921082E-2</v>
      </c>
      <c r="T9650">
        <v>5.9002639999999997E-3</v>
      </c>
      <c r="U9650">
        <v>3.0257260000000001</v>
      </c>
      <c r="V9650">
        <v>-0.1835957</v>
      </c>
      <c r="W9650">
        <v>0.136491</v>
      </c>
      <c r="X9650">
        <v>0.97347969999999895</v>
      </c>
      <c r="Y9650">
        <v>-0.2196543</v>
      </c>
      <c r="Z9650">
        <v>1.372423E-2</v>
      </c>
      <c r="AA9650">
        <v>0.97548120000000005</v>
      </c>
      <c r="AB9650">
        <v>29</v>
      </c>
      <c r="AC9650">
        <v>-2.7729999999999899</v>
      </c>
      <c r="AD9650">
        <v>0.83376799999999895</v>
      </c>
      <c r="AE9650">
        <v>427.29059000000001</v>
      </c>
      <c r="AF9650">
        <v>-93.92219016944</v>
      </c>
      <c r="AG9650">
        <v>0.83376799999999895</v>
      </c>
      <c r="AH9650">
        <v>416.84789755390102</v>
      </c>
      <c r="AI9650">
        <v>89.8882013694855</v>
      </c>
      <c r="AJ9650">
        <v>102.69757472413799</v>
      </c>
      <c r="AK9650">
        <v>427.29877447801101</v>
      </c>
      <c r="AL9650">
        <v>82.155153571113502</v>
      </c>
      <c r="AM9650">
        <v>100.68038185140099</v>
      </c>
      <c r="AN9650">
        <v>0.99999995022578803</v>
      </c>
    </row>
    <row r="9651" spans="1:40" x14ac:dyDescent="0.25">
      <c r="A9651" t="str">
        <f>"20190303162135785"</f>
        <v>20190303162135785</v>
      </c>
      <c r="B9651" t="str">
        <f>"1551601295771783"</f>
        <v>1551601295771783</v>
      </c>
      <c r="C9651" t="s">
        <v>40</v>
      </c>
      <c r="D9651">
        <v>4.6313190000000004</v>
      </c>
      <c r="E9651">
        <v>0.483954</v>
      </c>
      <c r="F9651" t="s">
        <v>92</v>
      </c>
      <c r="G9651">
        <v>-194.00790000000001</v>
      </c>
      <c r="H9651">
        <v>1.7849170000000001</v>
      </c>
      <c r="I9651">
        <v>391.87</v>
      </c>
      <c r="J9651">
        <v>-189.69909999999999</v>
      </c>
      <c r="K9651">
        <v>1.123389</v>
      </c>
      <c r="L9651">
        <v>-35.13458</v>
      </c>
      <c r="M9651">
        <v>0.21071980000000001</v>
      </c>
      <c r="N9651">
        <v>-1.185832E-2</v>
      </c>
      <c r="O9651">
        <v>0.97747459999999997</v>
      </c>
      <c r="P9651">
        <v>2.6704430000000001E-2</v>
      </c>
      <c r="Q9651">
        <v>0.12551899999999999</v>
      </c>
      <c r="R9651">
        <v>0.99173180000000005</v>
      </c>
      <c r="S9651">
        <v>-3.0090329999999998E-2</v>
      </c>
      <c r="T9651">
        <v>4.6844479999999999E-3</v>
      </c>
      <c r="U9651">
        <v>3.0256959999999999</v>
      </c>
      <c r="V9651">
        <v>-0.18358150000000001</v>
      </c>
      <c r="W9651">
        <v>0.13614189999999901</v>
      </c>
      <c r="X9651">
        <v>0.97353129999999999</v>
      </c>
      <c r="Y9651">
        <v>-0.22043099999999999</v>
      </c>
      <c r="Z9651">
        <v>1.334774E-2</v>
      </c>
      <c r="AA9651">
        <v>0.97531120000000004</v>
      </c>
      <c r="AB9651">
        <v>29</v>
      </c>
      <c r="AC9651">
        <v>-4.3088000000000104</v>
      </c>
      <c r="AD9651">
        <v>0.66152799999999901</v>
      </c>
      <c r="AE9651">
        <v>427.00457999999998</v>
      </c>
      <c r="AF9651">
        <v>-94.196457146393598</v>
      </c>
      <c r="AG9651">
        <v>0.66152799999999901</v>
      </c>
      <c r="AH9651">
        <v>416.50645772190001</v>
      </c>
      <c r="AI9651">
        <v>89.911240077282599</v>
      </c>
      <c r="AJ9651">
        <v>102.74354410179301</v>
      </c>
      <c r="AK9651">
        <v>427.02580657645501</v>
      </c>
      <c r="AL9651">
        <v>82.175344297594194</v>
      </c>
      <c r="AM9651">
        <v>100.679021760933</v>
      </c>
      <c r="AN9651">
        <v>0.99999998807877399</v>
      </c>
    </row>
    <row r="9652" spans="1:40" x14ac:dyDescent="0.25">
      <c r="A9652" t="str">
        <f>"20190303162135808"</f>
        <v>20190303162135808</v>
      </c>
      <c r="B9652" t="str">
        <f>"1551601295802038"</f>
        <v>1551601295802038</v>
      </c>
      <c r="C9652" t="s">
        <v>40</v>
      </c>
      <c r="D9652">
        <v>4.6441460000000001</v>
      </c>
      <c r="E9652">
        <v>0.48396149999999999</v>
      </c>
      <c r="F9652" t="s">
        <v>92</v>
      </c>
      <c r="G9652">
        <v>-195.1902</v>
      </c>
      <c r="H9652">
        <v>1.477725</v>
      </c>
      <c r="I9652">
        <v>391.87</v>
      </c>
      <c r="J9652">
        <v>-189.64099999999999</v>
      </c>
      <c r="K9652">
        <v>1.123408</v>
      </c>
      <c r="L9652">
        <v>-34.850619999999999</v>
      </c>
      <c r="M9652">
        <v>0.2079657</v>
      </c>
      <c r="N9652">
        <v>-1.1859659999999999E-2</v>
      </c>
      <c r="O9652">
        <v>0.97806420000000005</v>
      </c>
      <c r="P9652">
        <v>2.5363529999999999E-2</v>
      </c>
      <c r="Q9652">
        <v>0.12529390000000001</v>
      </c>
      <c r="R9652">
        <v>0.99179539999999999</v>
      </c>
      <c r="S9652">
        <v>-3.8909909999999999E-2</v>
      </c>
      <c r="T9652">
        <v>2.5107860000000001E-3</v>
      </c>
      <c r="U9652">
        <v>3.0257260000000001</v>
      </c>
      <c r="V9652">
        <v>-0.18216589999999999</v>
      </c>
      <c r="W9652">
        <v>0.13591800000000001</v>
      </c>
      <c r="X9652">
        <v>0.97382849999999999</v>
      </c>
      <c r="Y9652">
        <v>-0.2205251</v>
      </c>
      <c r="Z9652">
        <v>1.2667980000000001E-2</v>
      </c>
      <c r="AA9652">
        <v>0.97529909999999997</v>
      </c>
      <c r="AB9652">
        <v>29</v>
      </c>
      <c r="AC9652">
        <v>-5.5492000000000097</v>
      </c>
      <c r="AD9652">
        <v>0.35431699999999999</v>
      </c>
      <c r="AE9652">
        <v>426.72062</v>
      </c>
      <c r="AF9652">
        <v>-94.177286441571496</v>
      </c>
      <c r="AG9652">
        <v>0.35431699999999999</v>
      </c>
      <c r="AH9652">
        <v>416.23511239624298</v>
      </c>
      <c r="AI9652">
        <v>89.952429855160702</v>
      </c>
      <c r="AJ9652">
        <v>102.749069778266</v>
      </c>
      <c r="AK9652">
        <v>426.75655309971199</v>
      </c>
      <c r="AL9652">
        <v>82.188293536479406</v>
      </c>
      <c r="AM9652">
        <v>100.59538697547799</v>
      </c>
      <c r="AN9652">
        <v>1.00000003262952</v>
      </c>
    </row>
    <row r="9653" spans="1:40" x14ac:dyDescent="0.25">
      <c r="A9653" t="str">
        <f>"20190303162135832"</f>
        <v>20190303162135832</v>
      </c>
      <c r="B9653" t="str">
        <f>"1551601295821559"</f>
        <v>1551601295821559</v>
      </c>
      <c r="C9653" t="s">
        <v>40</v>
      </c>
      <c r="D9653">
        <v>4.7739449999999897</v>
      </c>
      <c r="E9653">
        <v>0.48403950000000001</v>
      </c>
      <c r="F9653" t="s">
        <v>92</v>
      </c>
      <c r="G9653">
        <v>-195.81880000000001</v>
      </c>
      <c r="H9653">
        <v>1.102228</v>
      </c>
      <c r="I9653">
        <v>391.87</v>
      </c>
      <c r="J9653">
        <v>-189.57990000000001</v>
      </c>
      <c r="K9653">
        <v>1.1234500000000001</v>
      </c>
      <c r="L9653">
        <v>-34.547179999999997</v>
      </c>
      <c r="M9653">
        <v>0.2049598</v>
      </c>
      <c r="N9653">
        <v>-1.186191E-2</v>
      </c>
      <c r="O9653">
        <v>0.97869850000000003</v>
      </c>
      <c r="P9653">
        <v>2.476662E-2</v>
      </c>
      <c r="Q9653">
        <v>0.1250076</v>
      </c>
      <c r="R9653">
        <v>0.99184660000000002</v>
      </c>
      <c r="S9653">
        <v>-4.3807980000000003E-2</v>
      </c>
      <c r="T9653">
        <v>-1.5020370000000001E-4</v>
      </c>
      <c r="U9653">
        <v>3.02597</v>
      </c>
      <c r="V9653">
        <v>-0.1797764</v>
      </c>
      <c r="W9653">
        <v>0.13563359999999999</v>
      </c>
      <c r="X9653">
        <v>0.97431210000000001</v>
      </c>
      <c r="Y9653">
        <v>-0.21910470000000001</v>
      </c>
      <c r="Z9653">
        <v>1.1832260000000001E-2</v>
      </c>
      <c r="AA9653">
        <v>0.97562959999999999</v>
      </c>
      <c r="AB9653">
        <v>29</v>
      </c>
      <c r="AC9653">
        <v>-6.2389000000000001</v>
      </c>
      <c r="AD9653">
        <v>-2.1222000000000001E-2</v>
      </c>
      <c r="AE9653">
        <v>426.41717999999997</v>
      </c>
      <c r="AF9653">
        <v>-93.510961735290493</v>
      </c>
      <c r="AG9653">
        <v>-2.1222000000000001E-2</v>
      </c>
      <c r="AH9653">
        <v>416.08440779120298</v>
      </c>
      <c r="AI9653">
        <v>90.002851200580807</v>
      </c>
      <c r="AJ9653">
        <v>102.666223531139</v>
      </c>
      <c r="AK9653">
        <v>426.46281763125501</v>
      </c>
      <c r="AL9653">
        <v>82.204740882981994</v>
      </c>
      <c r="AM9653">
        <v>100.45441535610701</v>
      </c>
      <c r="AN9653">
        <v>1.0000000478261599</v>
      </c>
    </row>
    <row r="9654" spans="1:40" x14ac:dyDescent="0.25">
      <c r="A9654" t="str">
        <f>"20190303162135850"</f>
        <v>20190303162135850</v>
      </c>
      <c r="B9654" t="str">
        <f>"1551601295842056"</f>
        <v>1551601295842056</v>
      </c>
      <c r="C9654" t="s">
        <v>40</v>
      </c>
      <c r="D9654">
        <v>4.6666679999999996</v>
      </c>
      <c r="E9654">
        <v>0.48407509999999998</v>
      </c>
      <c r="F9654" t="s">
        <v>92</v>
      </c>
      <c r="G9654">
        <v>-196.09989999999999</v>
      </c>
      <c r="H9654">
        <v>1.1391439999999999</v>
      </c>
      <c r="I9654">
        <v>391.87</v>
      </c>
      <c r="J9654">
        <v>-189.5318</v>
      </c>
      <c r="K9654">
        <v>1.1234959999999901</v>
      </c>
      <c r="L9654">
        <v>-34.304870000000001</v>
      </c>
      <c r="M9654">
        <v>0.20251420000000001</v>
      </c>
      <c r="N9654">
        <v>-1.186424E-2</v>
      </c>
      <c r="O9654">
        <v>0.97920750000000001</v>
      </c>
      <c r="P9654">
        <v>2.560188E-2</v>
      </c>
      <c r="Q9654">
        <v>0.1246468</v>
      </c>
      <c r="R9654">
        <v>0.99187080000000005</v>
      </c>
      <c r="S9654">
        <v>-4.6264649999999997E-2</v>
      </c>
      <c r="T9654">
        <v>1.113415E-4</v>
      </c>
      <c r="U9654">
        <v>3.0257869999999998</v>
      </c>
      <c r="V9654">
        <v>-0.17653650000000001</v>
      </c>
      <c r="W9654">
        <v>0.13528209999999999</v>
      </c>
      <c r="X9654">
        <v>0.97495319999999996</v>
      </c>
      <c r="Y9654">
        <v>-0.21745999999999999</v>
      </c>
      <c r="Z9654">
        <v>1.191803E-2</v>
      </c>
      <c r="AA9654">
        <v>0.97599650000000004</v>
      </c>
      <c r="AB9654">
        <v>29</v>
      </c>
      <c r="AC9654">
        <v>-6.5680999999999798</v>
      </c>
      <c r="AD9654">
        <v>1.5648000000000301E-2</v>
      </c>
      <c r="AE9654">
        <v>426.17487</v>
      </c>
      <c r="AF9654">
        <v>-92.744518963485106</v>
      </c>
      <c r="AG9654">
        <v>1.5648000000000301E-2</v>
      </c>
      <c r="AH9654">
        <v>416.01275637850199</v>
      </c>
      <c r="AI9654">
        <v>89.997896502201698</v>
      </c>
      <c r="AJ9654">
        <v>102.567812972882</v>
      </c>
      <c r="AK9654">
        <v>426.22547966102002</v>
      </c>
      <c r="AL9654">
        <v>82.225067811877395</v>
      </c>
      <c r="AM9654">
        <v>100.263443219303</v>
      </c>
      <c r="AN9654">
        <v>1.00000006230144</v>
      </c>
    </row>
    <row r="9655" spans="1:40" x14ac:dyDescent="0.25">
      <c r="A9655" t="str">
        <f>"20190303162135875"</f>
        <v>20190303162135875</v>
      </c>
      <c r="B9655" t="str">
        <f>"1551601295861575"</f>
        <v>1551601295861575</v>
      </c>
      <c r="C9655" t="s">
        <v>40</v>
      </c>
      <c r="D9655">
        <v>4.835299</v>
      </c>
      <c r="E9655">
        <v>0.48411890000000002</v>
      </c>
      <c r="F9655" t="s">
        <v>92</v>
      </c>
      <c r="G9655">
        <v>-195.8142</v>
      </c>
      <c r="H9655">
        <v>1.2240249999999999</v>
      </c>
      <c r="I9655">
        <v>391.87</v>
      </c>
      <c r="J9655">
        <v>-189.47579999999999</v>
      </c>
      <c r="K9655">
        <v>1.12355</v>
      </c>
      <c r="L9655">
        <v>-34.01764</v>
      </c>
      <c r="M9655">
        <v>0.19953609999999999</v>
      </c>
      <c r="N9655">
        <v>-1.1867529999999999E-2</v>
      </c>
      <c r="O9655">
        <v>0.97981859999999998</v>
      </c>
      <c r="P9655">
        <v>2.5378089999999999E-2</v>
      </c>
      <c r="Q9655">
        <v>0.12420050000000001</v>
      </c>
      <c r="R9655">
        <v>0.99193260000000005</v>
      </c>
      <c r="S9655">
        <v>-4.4601439999999999E-2</v>
      </c>
      <c r="T9655">
        <v>7.1370600000000004E-4</v>
      </c>
      <c r="U9655">
        <v>3.0256349999999999</v>
      </c>
      <c r="V9655">
        <v>-0.17381569999999999</v>
      </c>
      <c r="W9655">
        <v>0.1348347</v>
      </c>
      <c r="X9655">
        <v>0.97550380000000003</v>
      </c>
      <c r="Y9655">
        <v>-0.2139557</v>
      </c>
      <c r="Z9655">
        <v>1.2111179999999999E-2</v>
      </c>
      <c r="AA9655">
        <v>0.97676830000000003</v>
      </c>
      <c r="AB9655">
        <v>29</v>
      </c>
      <c r="AC9655">
        <v>-6.3384</v>
      </c>
      <c r="AD9655">
        <v>0.100474999999999</v>
      </c>
      <c r="AE9655">
        <v>425.88763999999998</v>
      </c>
      <c r="AF9655">
        <v>-91.196858897298696</v>
      </c>
      <c r="AG9655">
        <v>0.100474999999999</v>
      </c>
      <c r="AH9655">
        <v>416.05717149947799</v>
      </c>
      <c r="AI9655">
        <v>89.986484331388993</v>
      </c>
      <c r="AJ9655">
        <v>102.36331312700599</v>
      </c>
      <c r="AK9655">
        <v>425.93479210332799</v>
      </c>
      <c r="AL9655">
        <v>82.250938332600697</v>
      </c>
      <c r="AM9655">
        <v>100.102960677003</v>
      </c>
      <c r="AN9655">
        <v>0.99999997885250902</v>
      </c>
    </row>
    <row r="9656" spans="1:40" x14ac:dyDescent="0.25">
      <c r="A9656" t="str">
        <f>"20190303162135895"</f>
        <v>20190303162135895</v>
      </c>
      <c r="B9656" t="str">
        <f>"1551601295882071"</f>
        <v>1551601295882071</v>
      </c>
      <c r="C9656" t="s">
        <v>40</v>
      </c>
      <c r="D9656">
        <v>4.7864959999999996</v>
      </c>
      <c r="E9656">
        <v>0.48412709999999998</v>
      </c>
      <c r="F9656" t="s">
        <v>92</v>
      </c>
      <c r="G9656">
        <v>-195.9023</v>
      </c>
      <c r="H9656">
        <v>1.1466769999999999</v>
      </c>
      <c r="I9656">
        <v>391.87</v>
      </c>
      <c r="J9656">
        <v>-189.4246</v>
      </c>
      <c r="K9656">
        <v>1.123618</v>
      </c>
      <c r="L9656">
        <v>-33.750790000000002</v>
      </c>
      <c r="M9656">
        <v>0.19667490000000001</v>
      </c>
      <c r="N9656">
        <v>-1.187127E-2</v>
      </c>
      <c r="O9656">
        <v>0.98039690000000002</v>
      </c>
      <c r="P9656">
        <v>2.4569529999999999E-2</v>
      </c>
      <c r="Q9656">
        <v>0.12507169999999901</v>
      </c>
      <c r="R9656">
        <v>0.99184349999999999</v>
      </c>
      <c r="S9656">
        <v>-4.5654300000000002E-2</v>
      </c>
      <c r="T9656">
        <v>1.642704E-4</v>
      </c>
      <c r="U9656">
        <v>3.0255429999999999</v>
      </c>
      <c r="V9656">
        <v>-0.171765</v>
      </c>
      <c r="W9656">
        <v>0.1356955</v>
      </c>
      <c r="X9656">
        <v>0.97574760000000005</v>
      </c>
      <c r="Y9656">
        <v>-0.21144360000000001</v>
      </c>
      <c r="Z9656">
        <v>1.1941149999999999E-2</v>
      </c>
      <c r="AA9656">
        <v>0.97731730000000006</v>
      </c>
      <c r="AB9656">
        <v>29</v>
      </c>
      <c r="AC9656">
        <v>-6.4776999999999898</v>
      </c>
      <c r="AD9656">
        <v>2.3058999999999899E-2</v>
      </c>
      <c r="AE9656">
        <v>425.62079</v>
      </c>
      <c r="AF9656">
        <v>-90.065988516631194</v>
      </c>
      <c r="AG9656">
        <v>2.3058999999999899E-2</v>
      </c>
      <c r="AH9656">
        <v>416.03261185464902</v>
      </c>
      <c r="AI9656">
        <v>89.996896226813305</v>
      </c>
      <c r="AJ9656">
        <v>102.21533401694801</v>
      </c>
      <c r="AK9656">
        <v>425.67007992786699</v>
      </c>
      <c r="AL9656">
        <v>82.201160265990296</v>
      </c>
      <c r="AM9656">
        <v>99.983732870121202</v>
      </c>
      <c r="AN9656">
        <v>0.99999993142550203</v>
      </c>
    </row>
    <row r="9657" spans="1:40" x14ac:dyDescent="0.25">
      <c r="A9657" t="str">
        <f>"20190303162135918"</f>
        <v>20190303162135918</v>
      </c>
      <c r="B9657" t="str">
        <f>"1551601295912327"</f>
        <v>1551601295912327</v>
      </c>
      <c r="C9657" t="s">
        <v>40</v>
      </c>
      <c r="D9657">
        <v>4.9008690000000001</v>
      </c>
      <c r="E9657">
        <v>0.48419190000000001</v>
      </c>
      <c r="F9657" t="s">
        <v>92</v>
      </c>
      <c r="G9657">
        <v>-196.28970000000001</v>
      </c>
      <c r="H9657">
        <v>1.738545</v>
      </c>
      <c r="I9657">
        <v>391.87</v>
      </c>
      <c r="J9657">
        <v>-189.37</v>
      </c>
      <c r="K9657">
        <v>1.1236999999999999</v>
      </c>
      <c r="L9657">
        <v>-33.461030000000001</v>
      </c>
      <c r="M9657">
        <v>0.19345999999999999</v>
      </c>
      <c r="N9657">
        <v>-1.187624E-2</v>
      </c>
      <c r="O9657">
        <v>0.98103620000000002</v>
      </c>
      <c r="P9657">
        <v>2.2470629999999998E-2</v>
      </c>
      <c r="Q9657">
        <v>0.1247234</v>
      </c>
      <c r="R9657">
        <v>0.99193699999999996</v>
      </c>
      <c r="S9657">
        <v>-4.8797609999999998E-2</v>
      </c>
      <c r="T9657">
        <v>4.3709279999999996E-3</v>
      </c>
      <c r="U9657">
        <v>3.0253299999999999</v>
      </c>
      <c r="V9657">
        <v>-0.17066339999999999</v>
      </c>
      <c r="W9657">
        <v>0.13532649999999999</v>
      </c>
      <c r="X9657">
        <v>0.97599219999999998</v>
      </c>
      <c r="Y9657">
        <v>-0.209257</v>
      </c>
      <c r="Z9657">
        <v>1.328258E-2</v>
      </c>
      <c r="AA9657">
        <v>0.97777040000000004</v>
      </c>
      <c r="AB9657">
        <v>29</v>
      </c>
      <c r="AC9657">
        <v>-6.9196999999999997</v>
      </c>
      <c r="AD9657">
        <v>0.61484499999999997</v>
      </c>
      <c r="AE9657">
        <v>425.33103</v>
      </c>
      <c r="AF9657">
        <v>-89.079120501330493</v>
      </c>
      <c r="AG9657">
        <v>0.61484499999999997</v>
      </c>
      <c r="AH9657">
        <v>415.95495135084201</v>
      </c>
      <c r="AI9657">
        <v>89.917185888205395</v>
      </c>
      <c r="AJ9657">
        <v>102.08763422743699</v>
      </c>
      <c r="AK9657">
        <v>425.38687015109599</v>
      </c>
      <c r="AL9657">
        <v>82.222499906831501</v>
      </c>
      <c r="AM9657">
        <v>99.918542239964594</v>
      </c>
      <c r="AN9657">
        <v>1.0000000160813201</v>
      </c>
    </row>
    <row r="9658" spans="1:40" x14ac:dyDescent="0.25">
      <c r="A9658" t="str">
        <f>"20190303162135940"</f>
        <v>20190303162135940</v>
      </c>
      <c r="B9658" t="str">
        <f>"1551601295931847"</f>
        <v>1551601295931847</v>
      </c>
      <c r="C9658" t="s">
        <v>40</v>
      </c>
      <c r="D9658">
        <v>4.9045969999999999</v>
      </c>
      <c r="E9658">
        <v>0.4842533</v>
      </c>
      <c r="F9658" t="s">
        <v>92</v>
      </c>
      <c r="G9658">
        <v>-197.0659</v>
      </c>
      <c r="H9658">
        <v>1.8404419999999999</v>
      </c>
      <c r="I9658">
        <v>391.87</v>
      </c>
      <c r="J9658">
        <v>-189.31989999999999</v>
      </c>
      <c r="K9658">
        <v>1.1237710000000001</v>
      </c>
      <c r="L9658">
        <v>-33.18909</v>
      </c>
      <c r="M9658">
        <v>0.19034590000000001</v>
      </c>
      <c r="N9658">
        <v>-1.1881330000000001E-2</v>
      </c>
      <c r="O9658">
        <v>0.9816452</v>
      </c>
      <c r="P9658">
        <v>1.9321379999999999E-2</v>
      </c>
      <c r="Q9658">
        <v>0.1231666</v>
      </c>
      <c r="R9658">
        <v>0.99219789999999997</v>
      </c>
      <c r="S9658">
        <v>-5.4733280000000002E-2</v>
      </c>
      <c r="T9658">
        <v>5.0975079999999997E-3</v>
      </c>
      <c r="U9658">
        <v>3.024994</v>
      </c>
      <c r="V9658">
        <v>-0.17071810000000001</v>
      </c>
      <c r="W9658">
        <v>0.13374459999999999</v>
      </c>
      <c r="X9658">
        <v>0.97620059999999997</v>
      </c>
      <c r="Y9658">
        <v>-0.20807390000000001</v>
      </c>
      <c r="Z9658">
        <v>1.352218E-2</v>
      </c>
      <c r="AA9658">
        <v>0.97801970000000005</v>
      </c>
      <c r="AB9658">
        <v>29</v>
      </c>
      <c r="AC9658">
        <v>-7.7460000000000004</v>
      </c>
      <c r="AD9658">
        <v>0.71667099999999995</v>
      </c>
      <c r="AE9658">
        <v>425.05909000000003</v>
      </c>
      <c r="AF9658">
        <v>-88.518074149912806</v>
      </c>
      <c r="AG9658">
        <v>0.71667099999999995</v>
      </c>
      <c r="AH9658">
        <v>415.810959242482</v>
      </c>
      <c r="AI9658">
        <v>89.903412288177506</v>
      </c>
      <c r="AJ9658">
        <v>102.01776067218699</v>
      </c>
      <c r="AK9658">
        <v>425.12905910403799</v>
      </c>
      <c r="AL9658">
        <v>82.313967149439193</v>
      </c>
      <c r="AM9658">
        <v>99.919582102625299</v>
      </c>
      <c r="AN9658">
        <v>0.99999994956856297</v>
      </c>
    </row>
    <row r="9659" spans="1:40" x14ac:dyDescent="0.25">
      <c r="A9659" t="str">
        <f>"20190303162135963"</f>
        <v>20190303162135963</v>
      </c>
      <c r="B9659" t="str">
        <f>"1551601295951873"</f>
        <v>1551601295951873</v>
      </c>
      <c r="C9659" t="s">
        <v>40</v>
      </c>
      <c r="D9659">
        <v>4.9034829999999996</v>
      </c>
      <c r="E9659">
        <v>0.48420079999999999</v>
      </c>
      <c r="F9659" t="s">
        <v>92</v>
      </c>
      <c r="G9659">
        <v>-198.21860000000001</v>
      </c>
      <c r="H9659">
        <v>1.2086059999999901</v>
      </c>
      <c r="I9659">
        <v>391.87</v>
      </c>
      <c r="J9659">
        <v>-189.2671</v>
      </c>
      <c r="K9659">
        <v>1.123847</v>
      </c>
      <c r="L9659">
        <v>-32.897669999999998</v>
      </c>
      <c r="M9659">
        <v>0.1869217</v>
      </c>
      <c r="N9659">
        <v>-1.1886499999999999E-2</v>
      </c>
      <c r="O9659">
        <v>0.98230289999999998</v>
      </c>
      <c r="P9659">
        <v>1.529373E-2</v>
      </c>
      <c r="Q9659">
        <v>0.1222322</v>
      </c>
      <c r="R9659">
        <v>0.99238369999999998</v>
      </c>
      <c r="S9659">
        <v>-6.3323969999999993E-2</v>
      </c>
      <c r="T9659">
        <v>6.0367579999999997E-4</v>
      </c>
      <c r="U9659">
        <v>3.02475</v>
      </c>
      <c r="V9659">
        <v>-0.1713172</v>
      </c>
      <c r="W9659">
        <v>0.13278190000000001</v>
      </c>
      <c r="X9659">
        <v>0.97622710000000001</v>
      </c>
      <c r="Y9659">
        <v>-0.2074397</v>
      </c>
      <c r="Z9659">
        <v>1.2102079999999999E-2</v>
      </c>
      <c r="AA9659">
        <v>0.97817299999999996</v>
      </c>
      <c r="AB9659">
        <v>29</v>
      </c>
      <c r="AC9659">
        <v>-8.95150000000001</v>
      </c>
      <c r="AD9659">
        <v>8.4758999999999807E-2</v>
      </c>
      <c r="AE9659">
        <v>424.76767000000001</v>
      </c>
      <c r="AF9659">
        <v>-88.197606852650594</v>
      </c>
      <c r="AG9659">
        <v>8.4758999999999807E-2</v>
      </c>
      <c r="AH9659">
        <v>415.60662964727697</v>
      </c>
      <c r="AI9659">
        <v>89.988569621847304</v>
      </c>
      <c r="AJ9659">
        <v>101.981227910149</v>
      </c>
      <c r="AK9659">
        <v>424.861972463283</v>
      </c>
      <c r="AL9659">
        <v>82.369622466511004</v>
      </c>
      <c r="AM9659">
        <v>99.953433034674504</v>
      </c>
      <c r="AN9659">
        <v>0.99999998337892904</v>
      </c>
    </row>
    <row r="9660" spans="1:40" x14ac:dyDescent="0.25">
      <c r="A9660" t="str">
        <f>"20190303162135987"</f>
        <v>20190303162135987</v>
      </c>
      <c r="B9660" t="str">
        <f>"1551601295982129"</f>
        <v>1551601295982129</v>
      </c>
      <c r="C9660" t="s">
        <v>40</v>
      </c>
      <c r="D9660">
        <v>4.6548350000000003</v>
      </c>
      <c r="E9660">
        <v>0.48454760000000002</v>
      </c>
      <c r="F9660" t="s">
        <v>92</v>
      </c>
      <c r="G9660">
        <v>-199.7851</v>
      </c>
      <c r="H9660">
        <v>0.83695219999999904</v>
      </c>
      <c r="I9660">
        <v>391.87</v>
      </c>
      <c r="J9660">
        <v>-189.21680000000001</v>
      </c>
      <c r="K9660">
        <v>1.1238999999999999</v>
      </c>
      <c r="L9660">
        <v>-32.613280000000003</v>
      </c>
      <c r="M9660">
        <v>0.1835108</v>
      </c>
      <c r="N9660">
        <v>-1.1890670000000001E-2</v>
      </c>
      <c r="O9660">
        <v>0.98294579999999998</v>
      </c>
      <c r="P9660">
        <v>1.116204E-2</v>
      </c>
      <c r="Q9660">
        <v>0.12314899999999999</v>
      </c>
      <c r="R9660">
        <v>0.99232540000000002</v>
      </c>
      <c r="S9660">
        <v>-7.4890139999999994E-2</v>
      </c>
      <c r="T9660">
        <v>-2.0427700000000002E-3</v>
      </c>
      <c r="U9660">
        <v>3.0244450000000001</v>
      </c>
      <c r="V9660">
        <v>-0.1719956</v>
      </c>
      <c r="W9660">
        <v>0.13367370000000001</v>
      </c>
      <c r="X9660">
        <v>0.97598609999999997</v>
      </c>
      <c r="Y9660">
        <v>-0.2077841</v>
      </c>
      <c r="Z9660">
        <v>1.1267269999999999E-2</v>
      </c>
      <c r="AA9660">
        <v>0.97810980000000003</v>
      </c>
      <c r="AB9660">
        <v>29</v>
      </c>
      <c r="AC9660">
        <v>-10.568299999999899</v>
      </c>
      <c r="AD9660">
        <v>-0.28694779999999998</v>
      </c>
      <c r="AE9660">
        <v>424.48327999999998</v>
      </c>
      <c r="AF9660">
        <v>-88.2915318862524</v>
      </c>
      <c r="AG9660">
        <v>-0.28694779999999998</v>
      </c>
      <c r="AH9660">
        <v>415.33382318763802</v>
      </c>
      <c r="AI9660">
        <v>90.038719569302501</v>
      </c>
      <c r="AJ9660">
        <v>102.001267405772</v>
      </c>
      <c r="AK9660">
        <v>424.61472139519702</v>
      </c>
      <c r="AL9660">
        <v>82.318066663280902</v>
      </c>
      <c r="AM9660">
        <v>99.994472496429296</v>
      </c>
      <c r="AN9660">
        <v>1.0000000059421299</v>
      </c>
    </row>
    <row r="9661" spans="1:40" x14ac:dyDescent="0.25">
      <c r="A9661" t="str">
        <f>"20190303162136097"</f>
        <v>20190303162136097</v>
      </c>
      <c r="B9661" t="str">
        <f>"1551601296092417"</f>
        <v>1551601296092417</v>
      </c>
      <c r="C9661" t="s">
        <v>40</v>
      </c>
      <c r="D9661">
        <v>4.8500259999999997</v>
      </c>
      <c r="E9661">
        <v>0.50014999999999998</v>
      </c>
      <c r="F9661" t="s">
        <v>92</v>
      </c>
      <c r="G9661">
        <v>-201.0514</v>
      </c>
      <c r="H9661">
        <v>1.436132</v>
      </c>
      <c r="I9661">
        <v>391.87</v>
      </c>
      <c r="J9661">
        <v>-188.98480000000001</v>
      </c>
      <c r="K9661">
        <v>1.1239709999999901</v>
      </c>
      <c r="L9661">
        <v>-31.215299999999999</v>
      </c>
      <c r="M9661">
        <v>0.1663724</v>
      </c>
      <c r="N9661">
        <v>-1.1901709999999999E-2</v>
      </c>
      <c r="O9661">
        <v>0.98599119999999996</v>
      </c>
      <c r="P9661">
        <v>-5.071702E-4</v>
      </c>
      <c r="Q9661">
        <v>0.12503119999999901</v>
      </c>
      <c r="R9661">
        <v>0.9921527</v>
      </c>
      <c r="S9661">
        <v>-8.4304809999999994E-2</v>
      </c>
      <c r="T9661">
        <v>2.2242070000000002E-3</v>
      </c>
      <c r="U9661">
        <v>3.0238649999999998</v>
      </c>
      <c r="V9661">
        <v>-0.16646520000000001</v>
      </c>
      <c r="W9661">
        <v>0.13558399999999901</v>
      </c>
      <c r="X9661">
        <v>0.97668129999999997</v>
      </c>
      <c r="Y9661">
        <v>-0.19378490000000001</v>
      </c>
      <c r="Z9661">
        <v>1.2642530000000001E-2</v>
      </c>
      <c r="AA9661">
        <v>0.98096260000000002</v>
      </c>
      <c r="AB9661">
        <v>29</v>
      </c>
      <c r="AC9661">
        <v>-12.0665999999999</v>
      </c>
      <c r="AD9661">
        <v>0.31216100000000002</v>
      </c>
      <c r="AE9661">
        <v>423.08530000000002</v>
      </c>
      <c r="AF9661">
        <v>-82.293059071841498</v>
      </c>
      <c r="AG9661">
        <v>0.31216100000000002</v>
      </c>
      <c r="AH9661">
        <v>415.17999885763697</v>
      </c>
      <c r="AI9661">
        <v>89.957743167757499</v>
      </c>
      <c r="AJ9661">
        <v>101.211314501874</v>
      </c>
      <c r="AK9661">
        <v>423.25722258139803</v>
      </c>
      <c r="AL9661">
        <v>82.207609054081601</v>
      </c>
      <c r="AM9661">
        <v>99.672525000882302</v>
      </c>
      <c r="AN9661">
        <v>1.0000000228183601</v>
      </c>
    </row>
    <row r="9662" spans="1:40" x14ac:dyDescent="0.25">
      <c r="A9662" t="str">
        <f>"20190303162136111"</f>
        <v>20190303162136111</v>
      </c>
      <c r="B9662" t="str">
        <f>"1551601296102178"</f>
        <v>1551601296102178</v>
      </c>
      <c r="C9662" t="s">
        <v>40</v>
      </c>
      <c r="D9662">
        <v>4.8459640000000004</v>
      </c>
      <c r="E9662">
        <v>0.49282769999999998</v>
      </c>
      <c r="F9662" t="s">
        <v>41</v>
      </c>
      <c r="G9662">
        <v>-188.96860000000001</v>
      </c>
      <c r="H9662" s="1">
        <v>-1.09132E-6</v>
      </c>
      <c r="I9662">
        <v>-28.2498</v>
      </c>
      <c r="J9662">
        <v>-188.9571</v>
      </c>
      <c r="K9662">
        <v>1.1239709999999901</v>
      </c>
      <c r="L9662">
        <v>-31.03781</v>
      </c>
      <c r="M9662">
        <v>0.16419400000000001</v>
      </c>
      <c r="N9662">
        <v>-1.1902660000000001E-2</v>
      </c>
      <c r="O9662">
        <v>0.98635629999999996</v>
      </c>
      <c r="P9662">
        <v>-1.4163730000000001E-3</v>
      </c>
      <c r="Q9662">
        <v>0.12537499999999999</v>
      </c>
      <c r="R9662">
        <v>0.9921084</v>
      </c>
      <c r="S9662">
        <v>1.7395020000000001E-2</v>
      </c>
      <c r="T9662">
        <v>-1.2035309999999999</v>
      </c>
      <c r="U9662">
        <v>3.1754150000000001</v>
      </c>
      <c r="V9662">
        <v>-0.16519619999999999</v>
      </c>
      <c r="W9662">
        <v>0.13593829999999901</v>
      </c>
      <c r="X9662">
        <v>0.97684749999999998</v>
      </c>
      <c r="Y9662">
        <v>-0.1586891</v>
      </c>
      <c r="Z9662">
        <v>-0.3339646</v>
      </c>
      <c r="AA9662">
        <v>0.9291315</v>
      </c>
      <c r="AB9662">
        <v>29</v>
      </c>
      <c r="AC9662">
        <v>-1.15000000000122E-2</v>
      </c>
      <c r="AD9662">
        <v>-1.12397209131999</v>
      </c>
      <c r="AE9662">
        <v>2.7880099999999901</v>
      </c>
      <c r="AF9662">
        <v>-0.40356259297765301</v>
      </c>
      <c r="AG9662">
        <v>-1.12397209131999</v>
      </c>
      <c r="AH9662">
        <v>2.3640628129182999</v>
      </c>
      <c r="AI9662">
        <v>115.11066774480599</v>
      </c>
      <c r="AJ9662">
        <v>99.687423327293402</v>
      </c>
      <c r="AK9662">
        <v>2.6485786776949398</v>
      </c>
      <c r="AL9662">
        <v>82.187119452993699</v>
      </c>
      <c r="AM9662">
        <v>99.598563740241801</v>
      </c>
      <c r="AN9662">
        <v>1.0000000220787799</v>
      </c>
    </row>
    <row r="9663" spans="1:40" x14ac:dyDescent="0.25">
      <c r="A9663" t="str">
        <f>"20190303162136131"</f>
        <v>20190303162136131</v>
      </c>
      <c r="B9663" t="str">
        <f>"1551601296122674"</f>
        <v>1551601296122674</v>
      </c>
      <c r="C9663" t="s">
        <v>40</v>
      </c>
      <c r="D9663">
        <v>4.7889549999999996</v>
      </c>
      <c r="E9663">
        <v>0.49692150000000002</v>
      </c>
      <c r="F9663" t="s">
        <v>92</v>
      </c>
      <c r="G9663">
        <v>-197.1096</v>
      </c>
      <c r="H9663">
        <v>10.838380000000001</v>
      </c>
      <c r="I9663">
        <v>391.87</v>
      </c>
      <c r="J9663">
        <v>-188.91829999999999</v>
      </c>
      <c r="K9663">
        <v>1.1239790000000001</v>
      </c>
      <c r="L9663">
        <v>-30.784089999999999</v>
      </c>
      <c r="M9663">
        <v>0.16107959999999999</v>
      </c>
      <c r="N9663">
        <v>-1.190393E-2</v>
      </c>
      <c r="O9663">
        <v>0.98686960000000001</v>
      </c>
      <c r="P9663">
        <v>-2.6175059999999999E-3</v>
      </c>
      <c r="Q9663">
        <v>0.1253687</v>
      </c>
      <c r="R9663">
        <v>0.99210670000000001</v>
      </c>
      <c r="S9663">
        <v>-5.8120730000000002E-2</v>
      </c>
      <c r="T9663">
        <v>6.9256419999999999E-2</v>
      </c>
      <c r="U9663">
        <v>3.015015</v>
      </c>
      <c r="V9663">
        <v>-0.1632943</v>
      </c>
      <c r="W9663">
        <v>0.13594729999999999</v>
      </c>
      <c r="X9663">
        <v>0.97716590000000003</v>
      </c>
      <c r="Y9663">
        <v>-0.1800831</v>
      </c>
      <c r="Z9663">
        <v>3.4242370000000001E-2</v>
      </c>
      <c r="AA9663">
        <v>0.98305520000000002</v>
      </c>
      <c r="AB9663">
        <v>29</v>
      </c>
      <c r="AC9663">
        <v>-8.1913000000000107</v>
      </c>
      <c r="AD9663">
        <v>9.7144009999999898</v>
      </c>
      <c r="AE9663">
        <v>422.65409</v>
      </c>
      <c r="AF9663">
        <v>-76.129893060141001</v>
      </c>
      <c r="AG9663">
        <v>9.7144009999999898</v>
      </c>
      <c r="AH9663">
        <v>415.59502739692999</v>
      </c>
      <c r="AI9663">
        <v>88.6828816303845</v>
      </c>
      <c r="AJ9663">
        <v>100.380517439736</v>
      </c>
      <c r="AK9663">
        <v>422.62200250482903</v>
      </c>
      <c r="AL9663">
        <v>82.186598364522993</v>
      </c>
      <c r="AM9663">
        <v>99.487041113907907</v>
      </c>
      <c r="AN9663">
        <v>0.99999994645629298</v>
      </c>
    </row>
    <row r="9664" spans="1:40" x14ac:dyDescent="0.25">
      <c r="A9664" t="str">
        <f>"20190303162136154"</f>
        <v>20190303162136154</v>
      </c>
      <c r="B9664" t="str">
        <f>"1551601296142193"</f>
        <v>1551601296142193</v>
      </c>
      <c r="C9664" t="s">
        <v>40</v>
      </c>
      <c r="D9664">
        <v>4.6895850000000001</v>
      </c>
      <c r="E9664">
        <v>0.49733450000000001</v>
      </c>
      <c r="F9664" t="s">
        <v>92</v>
      </c>
      <c r="G9664">
        <v>-193.0608</v>
      </c>
      <c r="H9664">
        <v>17.107900000000001</v>
      </c>
      <c r="I9664">
        <v>391.87</v>
      </c>
      <c r="J9664">
        <v>-188.87530000000001</v>
      </c>
      <c r="K9664">
        <v>1.1239969999999999</v>
      </c>
      <c r="L9664">
        <v>-30.497070000000001</v>
      </c>
      <c r="M9664">
        <v>0.15754370000000001</v>
      </c>
      <c r="N9664">
        <v>-1.190543E-2</v>
      </c>
      <c r="O9664">
        <v>0.98744019999999999</v>
      </c>
      <c r="P9664">
        <v>-4.9091059999999999E-3</v>
      </c>
      <c r="Q9664">
        <v>0.124596</v>
      </c>
      <c r="R9664">
        <v>0.99219539999999995</v>
      </c>
      <c r="S9664">
        <v>-2.9495239999999999E-2</v>
      </c>
      <c r="T9664">
        <v>0.1138093</v>
      </c>
      <c r="U9664">
        <v>3.0093990000000002</v>
      </c>
      <c r="V9664">
        <v>-0.1620635</v>
      </c>
      <c r="W9664">
        <v>0.13518239999999901</v>
      </c>
      <c r="X9664">
        <v>0.97747700000000004</v>
      </c>
      <c r="Y9664">
        <v>-0.1672389</v>
      </c>
      <c r="Z9664">
        <v>4.8719459999999999E-2</v>
      </c>
      <c r="AA9664">
        <v>0.98471189999999997</v>
      </c>
      <c r="AB9664">
        <v>29</v>
      </c>
      <c r="AC9664">
        <v>-4.1854999999999896</v>
      </c>
      <c r="AD9664">
        <v>15.983903</v>
      </c>
      <c r="AE9664">
        <v>422.36707000000001</v>
      </c>
      <c r="AF9664">
        <v>-70.578146575390605</v>
      </c>
      <c r="AG9664">
        <v>15.983903</v>
      </c>
      <c r="AH9664">
        <v>415.83687982008797</v>
      </c>
      <c r="AI9664">
        <v>87.829759866455404</v>
      </c>
      <c r="AJ9664">
        <v>99.632761939959707</v>
      </c>
      <c r="AK9664">
        <v>422.08656759915601</v>
      </c>
      <c r="AL9664">
        <v>82.230833240719903</v>
      </c>
      <c r="AM9664">
        <v>99.413876408784105</v>
      </c>
      <c r="AN9664">
        <v>1.0000000724155</v>
      </c>
    </row>
    <row r="9665" spans="1:40" x14ac:dyDescent="0.25">
      <c r="A9665" t="str">
        <f>"20190303162136176"</f>
        <v>20190303162136176</v>
      </c>
      <c r="B9665" t="str">
        <f>"1551601296172449"</f>
        <v>1551601296172449</v>
      </c>
      <c r="C9665" t="s">
        <v>40</v>
      </c>
      <c r="D9665">
        <v>4.7413939999999997</v>
      </c>
      <c r="E9665">
        <v>0.49552040000000003</v>
      </c>
      <c r="F9665" t="s">
        <v>92</v>
      </c>
      <c r="G9665">
        <v>-193.51740000000001</v>
      </c>
      <c r="H9665">
        <v>13.114879999999999</v>
      </c>
      <c r="I9665">
        <v>391.87</v>
      </c>
      <c r="J9665">
        <v>-188.83410000000001</v>
      </c>
      <c r="K9665">
        <v>1.124015</v>
      </c>
      <c r="L9665">
        <v>-30.21518</v>
      </c>
      <c r="M9665">
        <v>0.15404219999999999</v>
      </c>
      <c r="N9665">
        <v>-1.190737E-2</v>
      </c>
      <c r="O9665">
        <v>0.98799250000000005</v>
      </c>
      <c r="P9665">
        <v>-6.1306349999999997E-3</v>
      </c>
      <c r="Q9665">
        <v>0.12437819999999999</v>
      </c>
      <c r="R9665">
        <v>0.99221590000000004</v>
      </c>
      <c r="S9665">
        <v>-3.311157E-2</v>
      </c>
      <c r="T9665">
        <v>8.5529569999999999E-2</v>
      </c>
      <c r="U9665">
        <v>3.0126949999999999</v>
      </c>
      <c r="V9665">
        <v>-0.1598079</v>
      </c>
      <c r="W9665">
        <v>0.13497729999999999</v>
      </c>
      <c r="X9665">
        <v>0.97787650000000004</v>
      </c>
      <c r="Y9665">
        <v>-0.1649099</v>
      </c>
      <c r="Z9665">
        <v>3.9585679999999998E-2</v>
      </c>
      <c r="AA9665">
        <v>0.98551390000000005</v>
      </c>
      <c r="AB9665">
        <v>29</v>
      </c>
      <c r="AC9665">
        <v>-4.6833</v>
      </c>
      <c r="AD9665">
        <v>11.990864999999999</v>
      </c>
      <c r="AE9665">
        <v>422.08517999999998</v>
      </c>
      <c r="AF9665">
        <v>-69.594774534661596</v>
      </c>
      <c r="AG9665">
        <v>11.990864999999999</v>
      </c>
      <c r="AH9665">
        <v>415.989405926892</v>
      </c>
      <c r="AI9665">
        <v>88.371530392921599</v>
      </c>
      <c r="AJ9665">
        <v>99.497591258136495</v>
      </c>
      <c r="AK9665">
        <v>421.94122734023898</v>
      </c>
      <c r="AL9665">
        <v>82.2426922937304</v>
      </c>
      <c r="AM9665">
        <v>99.281424349540501</v>
      </c>
      <c r="AN9665">
        <v>0.99999994283497295</v>
      </c>
    </row>
    <row r="9666" spans="1:40" x14ac:dyDescent="0.25">
      <c r="A9666" t="str">
        <f>"20190303162136199"</f>
        <v>20190303162136199</v>
      </c>
      <c r="B9666" t="str">
        <f>"1551601296191969"</f>
        <v>1551601296191969</v>
      </c>
      <c r="C9666" t="s">
        <v>40</v>
      </c>
      <c r="D9666">
        <v>4.7710869999999996</v>
      </c>
      <c r="E9666">
        <v>0.49437959999999898</v>
      </c>
      <c r="F9666" t="s">
        <v>92</v>
      </c>
      <c r="G9666">
        <v>-196.03659999999999</v>
      </c>
      <c r="H9666">
        <v>7.0328249999999999</v>
      </c>
      <c r="I9666">
        <v>390.11860000000001</v>
      </c>
      <c r="J9666">
        <v>-188.7928</v>
      </c>
      <c r="K9666">
        <v>1.124053</v>
      </c>
      <c r="L9666">
        <v>-29.925049999999999</v>
      </c>
      <c r="M9666">
        <v>0.15038099999999999</v>
      </c>
      <c r="N9666">
        <v>-1.1910219999999999E-2</v>
      </c>
      <c r="O9666">
        <v>0.9885564</v>
      </c>
      <c r="P9666">
        <v>-7.0951360000000002E-3</v>
      </c>
      <c r="Q9666">
        <v>0.1239572</v>
      </c>
      <c r="R9666">
        <v>0.99226219999999998</v>
      </c>
      <c r="S9666">
        <v>-5.1712040000000001E-2</v>
      </c>
      <c r="T9666">
        <v>4.2424080000000003E-2</v>
      </c>
      <c r="U9666">
        <v>3.0179140000000002</v>
      </c>
      <c r="V9666">
        <v>-0.1571495</v>
      </c>
      <c r="W9666">
        <v>0.1345672</v>
      </c>
      <c r="X9666">
        <v>0.97836380000000001</v>
      </c>
      <c r="Y9666">
        <v>-0.1673037</v>
      </c>
      <c r="Z9666">
        <v>2.563957E-2</v>
      </c>
      <c r="AA9666">
        <v>0.985572</v>
      </c>
      <c r="AB9666">
        <v>29</v>
      </c>
      <c r="AC9666">
        <v>-7.2437999999999896</v>
      </c>
      <c r="AD9666">
        <v>5.9087719999999999</v>
      </c>
      <c r="AE9666">
        <v>420.04365000000001</v>
      </c>
      <c r="AF9666">
        <v>-70.318565070465596</v>
      </c>
      <c r="AG9666">
        <v>5.9087719999999999</v>
      </c>
      <c r="AH9666">
        <v>414.09495709528898</v>
      </c>
      <c r="AI9666">
        <v>89.194031387902797</v>
      </c>
      <c r="AJ9666">
        <v>99.637612549251003</v>
      </c>
      <c r="AK9666">
        <v>420.06457559745098</v>
      </c>
      <c r="AL9666">
        <v>82.266406170425498</v>
      </c>
      <c r="AM9666">
        <v>99.125178941623801</v>
      </c>
      <c r="AN9666">
        <v>1.0000000109082601</v>
      </c>
    </row>
    <row r="9667" spans="1:40" x14ac:dyDescent="0.25">
      <c r="A9667" t="str">
        <f>"20190303162136221"</f>
        <v>20190303162136221</v>
      </c>
      <c r="B9667" t="str">
        <f>"1551601296212465"</f>
        <v>1551601296212465</v>
      </c>
      <c r="C9667" t="s">
        <v>40</v>
      </c>
      <c r="D9667">
        <v>4.7166639999999997</v>
      </c>
      <c r="E9667">
        <v>0.49357970000000001</v>
      </c>
      <c r="F9667" t="s">
        <v>92</v>
      </c>
      <c r="G9667">
        <v>-197.79409999999999</v>
      </c>
      <c r="H9667">
        <v>4.927003</v>
      </c>
      <c r="I9667">
        <v>391.87</v>
      </c>
      <c r="J9667">
        <v>-188.7543</v>
      </c>
      <c r="K9667">
        <v>1.1241239999999999</v>
      </c>
      <c r="L9667">
        <v>-29.646059999999999</v>
      </c>
      <c r="M9667">
        <v>0.1467714</v>
      </c>
      <c r="N9667">
        <v>-1.1914299999999999E-2</v>
      </c>
      <c r="O9667">
        <v>0.9890987</v>
      </c>
      <c r="P9667">
        <v>-7.2292240000000002E-3</v>
      </c>
      <c r="Q9667">
        <v>0.1243813</v>
      </c>
      <c r="R9667">
        <v>0.99220819999999998</v>
      </c>
      <c r="S9667">
        <v>-6.4437869999999994E-2</v>
      </c>
      <c r="T9667">
        <v>2.7224419999999999E-2</v>
      </c>
      <c r="U9667">
        <v>3.0195310000000002</v>
      </c>
      <c r="V9667">
        <v>-0.15371979999999999</v>
      </c>
      <c r="W9667">
        <v>0.13500100000000001</v>
      </c>
      <c r="X9667">
        <v>0.97884879999999996</v>
      </c>
      <c r="Y9667">
        <v>-0.16784540000000001</v>
      </c>
      <c r="Z9667">
        <v>2.07362E-2</v>
      </c>
      <c r="AA9667">
        <v>0.9855952</v>
      </c>
      <c r="AB9667">
        <v>29</v>
      </c>
      <c r="AC9667">
        <v>-9.0397999999999801</v>
      </c>
      <c r="AD9667">
        <v>3.8028789999999999</v>
      </c>
      <c r="AE9667">
        <v>421.51605999999998</v>
      </c>
      <c r="AF9667">
        <v>-70.807020977168506</v>
      </c>
      <c r="AG9667">
        <v>3.8028789999999999</v>
      </c>
      <c r="AH9667">
        <v>415.58988480747098</v>
      </c>
      <c r="AI9667">
        <v>89.483173567646901</v>
      </c>
      <c r="AJ9667">
        <v>99.669046259706903</v>
      </c>
      <c r="AK9667">
        <v>421.59583544270998</v>
      </c>
      <c r="AL9667">
        <v>82.241322365020693</v>
      </c>
      <c r="AM9667">
        <v>98.924917837072798</v>
      </c>
      <c r="AN9667">
        <v>1.0000000100872399</v>
      </c>
    </row>
    <row r="9668" spans="1:40" x14ac:dyDescent="0.25">
      <c r="A9668" t="str">
        <f>"20190303162136242"</f>
        <v>20190303162136242</v>
      </c>
      <c r="B9668" t="str">
        <f>"1551601296231984"</f>
        <v>1551601296231984</v>
      </c>
      <c r="C9668" t="s">
        <v>40</v>
      </c>
      <c r="D9668">
        <v>4.737724</v>
      </c>
      <c r="E9668">
        <v>0.4932319</v>
      </c>
      <c r="F9668" t="s">
        <v>92</v>
      </c>
      <c r="G9668">
        <v>-198.7791</v>
      </c>
      <c r="H9668">
        <v>3.792354</v>
      </c>
      <c r="I9668">
        <v>391.87</v>
      </c>
      <c r="J9668">
        <v>-188.71850000000001</v>
      </c>
      <c r="K9668">
        <v>1.1242209999999999</v>
      </c>
      <c r="L9668">
        <v>-29.379180000000002</v>
      </c>
      <c r="M9668">
        <v>0.14320050000000001</v>
      </c>
      <c r="N9668">
        <v>-1.1919859999999999E-2</v>
      </c>
      <c r="O9668">
        <v>0.98962190000000005</v>
      </c>
      <c r="P9668">
        <v>-6.7635350000000002E-3</v>
      </c>
      <c r="Q9668">
        <v>0.12652269999999999</v>
      </c>
      <c r="R9668">
        <v>0.99194070000000001</v>
      </c>
      <c r="S9668">
        <v>-7.1838379999999993E-2</v>
      </c>
      <c r="T9668">
        <v>1.9120809999999999E-2</v>
      </c>
      <c r="U9668">
        <v>3.0206300000000001</v>
      </c>
      <c r="V9668">
        <v>-0.14972479999999999</v>
      </c>
      <c r="W9668">
        <v>0.13714749999999901</v>
      </c>
      <c r="X9668">
        <v>0.97916950000000003</v>
      </c>
      <c r="Y9668">
        <v>-0.16669149999999999</v>
      </c>
      <c r="Z9668">
        <v>1.812646E-2</v>
      </c>
      <c r="AA9668">
        <v>0.98584249999999995</v>
      </c>
      <c r="AB9668">
        <v>29</v>
      </c>
      <c r="AC9668">
        <v>-10.0605999999999</v>
      </c>
      <c r="AD9668">
        <v>2.6681330000000001</v>
      </c>
      <c r="AE9668">
        <v>421.249179999999</v>
      </c>
      <c r="AF9668">
        <v>-70.281459650880805</v>
      </c>
      <c r="AG9668">
        <v>2.6681330000000001</v>
      </c>
      <c r="AH9668">
        <v>415.44959590931802</v>
      </c>
      <c r="AI9668">
        <v>89.6371903553122</v>
      </c>
      <c r="AJ9668">
        <v>99.601799331729893</v>
      </c>
      <c r="AK9668">
        <v>421.36085395487299</v>
      </c>
      <c r="AL9668">
        <v>82.117181652193906</v>
      </c>
      <c r="AM9668">
        <v>98.693756945558206</v>
      </c>
      <c r="AN9668">
        <v>0.99999993111076702</v>
      </c>
    </row>
    <row r="9669" spans="1:40" x14ac:dyDescent="0.25">
      <c r="A9669" t="str">
        <f>"20190303162136266"</f>
        <v>20190303162136266</v>
      </c>
      <c r="B9669" t="str">
        <f>"1551601296252481"</f>
        <v>1551601296252481</v>
      </c>
      <c r="C9669" t="s">
        <v>40</v>
      </c>
      <c r="D9669">
        <v>4.6635470000000003</v>
      </c>
      <c r="E9669">
        <v>0.4931662</v>
      </c>
      <c r="F9669" t="s">
        <v>92</v>
      </c>
      <c r="G9669">
        <v>-199.12860000000001</v>
      </c>
      <c r="H9669">
        <v>4.713552</v>
      </c>
      <c r="I9669">
        <v>391.87</v>
      </c>
      <c r="J9669">
        <v>-188.68029999999999</v>
      </c>
      <c r="K9669">
        <v>1.1243570000000001</v>
      </c>
      <c r="L9669">
        <v>-29.085139999999999</v>
      </c>
      <c r="M9669">
        <v>0.1391047</v>
      </c>
      <c r="N9669">
        <v>-1.192811E-2</v>
      </c>
      <c r="O9669">
        <v>0.99020580000000002</v>
      </c>
      <c r="P9669">
        <v>-5.4283860000000003E-3</v>
      </c>
      <c r="Q9669">
        <v>0.12807760000000001</v>
      </c>
      <c r="R9669">
        <v>0.99174929999999994</v>
      </c>
      <c r="S9669">
        <v>-7.4646000000000004E-2</v>
      </c>
      <c r="T9669">
        <v>2.5737289999999999E-2</v>
      </c>
      <c r="U9669">
        <v>3.0205690000000001</v>
      </c>
      <c r="V9669">
        <v>-0.14437</v>
      </c>
      <c r="W9669">
        <v>0.13871269999999999</v>
      </c>
      <c r="X9669">
        <v>0.97975310000000004</v>
      </c>
      <c r="Y9669">
        <v>-0.16352849999999999</v>
      </c>
      <c r="Z9669">
        <v>2.02851E-2</v>
      </c>
      <c r="AA9669">
        <v>0.98633000000000004</v>
      </c>
      <c r="AB9669">
        <v>29</v>
      </c>
      <c r="AC9669">
        <v>-10.4483</v>
      </c>
      <c r="AD9669">
        <v>3.5891949999999899</v>
      </c>
      <c r="AE9669">
        <v>420.95513999999997</v>
      </c>
      <c r="AF9669">
        <v>-68.902704608817004</v>
      </c>
      <c r="AG9669">
        <v>3.5891949999999899</v>
      </c>
      <c r="AH9669">
        <v>415.37820396472199</v>
      </c>
      <c r="AI9669">
        <v>89.511605044993999</v>
      </c>
      <c r="AJ9669">
        <v>99.418430995984494</v>
      </c>
      <c r="AK9669">
        <v>421.069492307524</v>
      </c>
      <c r="AL9669">
        <v>82.0266375930713</v>
      </c>
      <c r="AM9669">
        <v>98.382408966213404</v>
      </c>
      <c r="AN9669">
        <v>1.00000002350044</v>
      </c>
    </row>
    <row r="9670" spans="1:40" x14ac:dyDescent="0.25">
      <c r="A9670" t="str">
        <f>"20190303162136288"</f>
        <v>20190303162136288</v>
      </c>
      <c r="B9670" t="str">
        <f>"1551601296282737"</f>
        <v>1551601296282737</v>
      </c>
      <c r="C9670" t="s">
        <v>40</v>
      </c>
      <c r="D9670">
        <v>4.9493900000000002</v>
      </c>
      <c r="E9670">
        <v>0.49245050000000001</v>
      </c>
      <c r="F9670" t="s">
        <v>92</v>
      </c>
      <c r="G9670">
        <v>-198.74279999999999</v>
      </c>
      <c r="H9670">
        <v>5.3806310000000002</v>
      </c>
      <c r="I9670">
        <v>391.87</v>
      </c>
      <c r="J9670">
        <v>-188.6447</v>
      </c>
      <c r="K9670">
        <v>1.124493</v>
      </c>
      <c r="L9670">
        <v>-28.799410000000002</v>
      </c>
      <c r="M9670">
        <v>0.13493720000000001</v>
      </c>
      <c r="N9670">
        <v>-1.1938320000000001E-2</v>
      </c>
      <c r="O9670">
        <v>0.99078219999999995</v>
      </c>
      <c r="P9670">
        <v>-4.0442170000000001E-3</v>
      </c>
      <c r="Q9670">
        <v>0.12910250000000001</v>
      </c>
      <c r="R9670">
        <v>0.99162300000000003</v>
      </c>
      <c r="S9670">
        <v>-7.2204589999999999E-2</v>
      </c>
      <c r="T9670">
        <v>3.0541539999999999E-2</v>
      </c>
      <c r="U9670">
        <v>3.0206300000000001</v>
      </c>
      <c r="V9670">
        <v>-0.13890559999999999</v>
      </c>
      <c r="W9670">
        <v>0.13975009999999999</v>
      </c>
      <c r="X9670">
        <v>0.98039540000000003</v>
      </c>
      <c r="Y9670">
        <v>-0.1585792</v>
      </c>
      <c r="Z9670">
        <v>2.1862650000000001E-2</v>
      </c>
      <c r="AA9670">
        <v>0.98710419999999999</v>
      </c>
      <c r="AB9670">
        <v>29</v>
      </c>
      <c r="AC9670">
        <v>-10.098099999999899</v>
      </c>
      <c r="AD9670">
        <v>4.256138</v>
      </c>
      <c r="AE9670">
        <v>420.669409999999</v>
      </c>
      <c r="AF9670">
        <v>-66.766900027752598</v>
      </c>
      <c r="AG9670">
        <v>4.256138</v>
      </c>
      <c r="AH9670">
        <v>415.41627475538502</v>
      </c>
      <c r="AI9670">
        <v>89.420435300021197</v>
      </c>
      <c r="AJ9670">
        <v>99.130656492814495</v>
      </c>
      <c r="AK9670">
        <v>420.76907560042099</v>
      </c>
      <c r="AL9670">
        <v>81.966614111464196</v>
      </c>
      <c r="AM9670">
        <v>98.064177248992493</v>
      </c>
      <c r="AN9670">
        <v>0.99999999825126495</v>
      </c>
    </row>
    <row r="9671" spans="1:40" x14ac:dyDescent="0.25">
      <c r="A9671" t="str">
        <f>"20190303162136310"</f>
        <v>20190303162136310</v>
      </c>
      <c r="B9671" t="str">
        <f>"1551601296302258"</f>
        <v>1551601296302258</v>
      </c>
      <c r="C9671" t="s">
        <v>40</v>
      </c>
      <c r="D9671">
        <v>4.9483189999999997</v>
      </c>
      <c r="E9671">
        <v>0.49209530000000001</v>
      </c>
      <c r="F9671" t="s">
        <v>92</v>
      </c>
      <c r="G9671">
        <v>-199.06229999999999</v>
      </c>
      <c r="H9671">
        <v>5.4296540000000002</v>
      </c>
      <c r="I9671">
        <v>391.87</v>
      </c>
      <c r="J9671">
        <v>-188.6121</v>
      </c>
      <c r="K9671">
        <v>1.124617</v>
      </c>
      <c r="L9671">
        <v>-28.527280000000001</v>
      </c>
      <c r="M9671">
        <v>0.1308327</v>
      </c>
      <c r="N9671">
        <v>-1.194838E-2</v>
      </c>
      <c r="O9671">
        <v>0.99133249999999995</v>
      </c>
      <c r="P9671">
        <v>-3.7609340000000001E-3</v>
      </c>
      <c r="Q9671">
        <v>0.1301863</v>
      </c>
      <c r="R9671">
        <v>0.99148239999999999</v>
      </c>
      <c r="S9671">
        <v>-7.4813840000000006E-2</v>
      </c>
      <c r="T9671">
        <v>3.0917409999999999E-2</v>
      </c>
      <c r="U9671">
        <v>3.0210270000000001</v>
      </c>
      <c r="V9671">
        <v>-0.1345875</v>
      </c>
      <c r="W9671">
        <v>0.14084349999999901</v>
      </c>
      <c r="X9671">
        <v>0.98084110000000002</v>
      </c>
      <c r="Y9671">
        <v>-0.15533829999999901</v>
      </c>
      <c r="Z9671">
        <v>2.2004329999999999E-2</v>
      </c>
      <c r="AA9671">
        <v>0.98761620000000006</v>
      </c>
      <c r="AB9671">
        <v>29</v>
      </c>
      <c r="AC9671">
        <v>-10.450199999999899</v>
      </c>
      <c r="AD9671">
        <v>4.3050369999999996</v>
      </c>
      <c r="AE9671">
        <v>420.397279999999</v>
      </c>
      <c r="AF9671">
        <v>-65.359147743789094</v>
      </c>
      <c r="AG9671">
        <v>4.3050369999999996</v>
      </c>
      <c r="AH9671">
        <v>415.37236385757399</v>
      </c>
      <c r="AI9671">
        <v>89.413408420807798</v>
      </c>
      <c r="AJ9671">
        <v>98.942213357979696</v>
      </c>
      <c r="AK9671">
        <v>420.50511553843802</v>
      </c>
      <c r="AL9671">
        <v>81.903340911370194</v>
      </c>
      <c r="AM9671">
        <v>97.813129202294107</v>
      </c>
      <c r="AN9671">
        <v>0.99999997504885396</v>
      </c>
    </row>
    <row r="9672" spans="1:40" x14ac:dyDescent="0.25">
      <c r="A9672" t="str">
        <f>"20190303162136331"</f>
        <v>20190303162136331</v>
      </c>
      <c r="B9672" t="str">
        <f>"1551601296321778"</f>
        <v>1551601296321778</v>
      </c>
      <c r="C9672" t="s">
        <v>40</v>
      </c>
      <c r="D9672">
        <v>4.8899839999999903</v>
      </c>
      <c r="E9672">
        <v>0.49175990000000003</v>
      </c>
      <c r="F9672" t="s">
        <v>92</v>
      </c>
      <c r="G9672">
        <v>-199.25790000000001</v>
      </c>
      <c r="H9672">
        <v>5.6113289999999996</v>
      </c>
      <c r="I9672">
        <v>391.87</v>
      </c>
      <c r="J9672">
        <v>-188.5805</v>
      </c>
      <c r="K9672">
        <v>1.1247240000000001</v>
      </c>
      <c r="L9672">
        <v>-28.253299999999999</v>
      </c>
      <c r="M9672">
        <v>0.1265657</v>
      </c>
      <c r="N9672">
        <v>-1.1957529999999999E-2</v>
      </c>
      <c r="O9672">
        <v>0.99188609999999999</v>
      </c>
      <c r="P9672">
        <v>-4.2679069999999996E-3</v>
      </c>
      <c r="Q9672">
        <v>0.13114519999999999</v>
      </c>
      <c r="R9672">
        <v>0.99135399999999996</v>
      </c>
      <c r="S9672">
        <v>-7.6507569999999997E-2</v>
      </c>
      <c r="T9672">
        <v>3.224432E-2</v>
      </c>
      <c r="U9672">
        <v>3.0212400000000001</v>
      </c>
      <c r="V9672">
        <v>-0.13088929999999999</v>
      </c>
      <c r="W9672">
        <v>0.14181260000000001</v>
      </c>
      <c r="X9672">
        <v>0.98120189999999996</v>
      </c>
      <c r="Y9672">
        <v>-0.1516381</v>
      </c>
      <c r="Z9672">
        <v>2.2455079999999999E-2</v>
      </c>
      <c r="AA9672">
        <v>0.98818099999999998</v>
      </c>
      <c r="AB9672">
        <v>29</v>
      </c>
      <c r="AC9672">
        <v>-10.6774</v>
      </c>
      <c r="AD9672">
        <v>4.486605</v>
      </c>
      <c r="AE9672">
        <v>420.12329999999997</v>
      </c>
      <c r="AF9672">
        <v>-63.761259562857902</v>
      </c>
      <c r="AG9672">
        <v>4.486605</v>
      </c>
      <c r="AH9672">
        <v>415.345450782125</v>
      </c>
      <c r="AI9672">
        <v>89.388274648770306</v>
      </c>
      <c r="AJ9672">
        <v>98.727559298022499</v>
      </c>
      <c r="AK9672">
        <v>420.23501916293799</v>
      </c>
      <c r="AL9672">
        <v>81.847252766723699</v>
      </c>
      <c r="AM9672">
        <v>97.5982222972427</v>
      </c>
      <c r="AN9672">
        <v>0.99999999546842899</v>
      </c>
    </row>
    <row r="9673" spans="1:40" x14ac:dyDescent="0.25">
      <c r="A9673" t="str">
        <f>"20190303162136354"</f>
        <v>20190303162136354</v>
      </c>
      <c r="B9673" t="str">
        <f>"1551601296342275"</f>
        <v>1551601296342275</v>
      </c>
      <c r="C9673" t="s">
        <v>40</v>
      </c>
      <c r="D9673">
        <v>4.8916060000000003</v>
      </c>
      <c r="E9673">
        <v>0.49133599999999999</v>
      </c>
      <c r="F9673" t="s">
        <v>92</v>
      </c>
      <c r="G9673">
        <v>-199.77</v>
      </c>
      <c r="H9673">
        <v>5.6059859999999997</v>
      </c>
      <c r="I9673">
        <v>391.87</v>
      </c>
      <c r="J9673">
        <v>-188.548</v>
      </c>
      <c r="K9673">
        <v>1.1248180000000001</v>
      </c>
      <c r="L9673">
        <v>-27.957640000000001</v>
      </c>
      <c r="M9673">
        <v>0.1218241</v>
      </c>
      <c r="N9673">
        <v>-1.1966320000000001E-2</v>
      </c>
      <c r="O9673">
        <v>0.99247960000000002</v>
      </c>
      <c r="P9673">
        <v>-5.8954999999999997E-3</v>
      </c>
      <c r="Q9673">
        <v>0.13074040000000001</v>
      </c>
      <c r="R9673">
        <v>0.99139909999999998</v>
      </c>
      <c r="S9673">
        <v>-8.0474850000000001E-2</v>
      </c>
      <c r="T9673">
        <v>3.2229420000000002E-2</v>
      </c>
      <c r="U9673">
        <v>3.0215450000000001</v>
      </c>
      <c r="V9673">
        <v>-0.12784119999999999</v>
      </c>
      <c r="W9673">
        <v>0.14141799999999999</v>
      </c>
      <c r="X9673">
        <v>0.98166059999999999</v>
      </c>
      <c r="Y9673">
        <v>-0.14820759999999999</v>
      </c>
      <c r="Z9673">
        <v>2.2470319999999998E-2</v>
      </c>
      <c r="AA9673">
        <v>0.98870100000000005</v>
      </c>
      <c r="AB9673">
        <v>29</v>
      </c>
      <c r="AC9673">
        <v>-11.222</v>
      </c>
      <c r="AD9673">
        <v>4.4811679999999896</v>
      </c>
      <c r="AE9673">
        <v>419.82763999999997</v>
      </c>
      <c r="AF9673">
        <v>-62.280097738375098</v>
      </c>
      <c r="AG9673">
        <v>4.4811679999999896</v>
      </c>
      <c r="AH9673">
        <v>415.28570303095398</v>
      </c>
      <c r="AI9673">
        <v>89.388606675157106</v>
      </c>
      <c r="AJ9673">
        <v>98.529044188411703</v>
      </c>
      <c r="AK9673">
        <v>419.953695760448</v>
      </c>
      <c r="AL9673">
        <v>81.870091719281106</v>
      </c>
      <c r="AM9673">
        <v>97.419844371935199</v>
      </c>
      <c r="AN9673">
        <v>0.99999997836689902</v>
      </c>
    </row>
    <row r="9674" spans="1:40" x14ac:dyDescent="0.25">
      <c r="A9674" t="str">
        <f>"20190303162136376"</f>
        <v>20190303162136376</v>
      </c>
      <c r="B9674" t="str">
        <f>"1551601296361793"</f>
        <v>1551601296361793</v>
      </c>
      <c r="C9674" t="s">
        <v>40</v>
      </c>
      <c r="D9674">
        <v>4.8918379999999999</v>
      </c>
      <c r="E9674">
        <v>0.49101020000000001</v>
      </c>
      <c r="F9674" t="s">
        <v>92</v>
      </c>
      <c r="G9674">
        <v>-200.85679999999999</v>
      </c>
      <c r="H9674">
        <v>5.1367589999999996</v>
      </c>
      <c r="I9674">
        <v>391.87</v>
      </c>
      <c r="J9674">
        <v>-188.5197</v>
      </c>
      <c r="K9674">
        <v>1.124879</v>
      </c>
      <c r="L9674">
        <v>-27.688420000000001</v>
      </c>
      <c r="M9674">
        <v>0.11741070000000001</v>
      </c>
      <c r="N9674">
        <v>-1.197353E-2</v>
      </c>
      <c r="O9674">
        <v>0.99301119999999998</v>
      </c>
      <c r="P9674">
        <v>-8.8923819999999903E-3</v>
      </c>
      <c r="Q9674">
        <v>0.130436</v>
      </c>
      <c r="R9674">
        <v>0.99141690000000005</v>
      </c>
      <c r="S9674">
        <v>-8.8592530000000003E-2</v>
      </c>
      <c r="T9674">
        <v>2.8875830000000002E-2</v>
      </c>
      <c r="U9674">
        <v>3.0216980000000002</v>
      </c>
      <c r="V9674">
        <v>-0.1264671</v>
      </c>
      <c r="W9674">
        <v>0.1411145</v>
      </c>
      <c r="X9674">
        <v>0.98188229999999999</v>
      </c>
      <c r="Y9674">
        <v>-0.14646329999999999</v>
      </c>
      <c r="Z9674">
        <v>2.139597E-2</v>
      </c>
      <c r="AA9674">
        <v>0.98898470000000005</v>
      </c>
      <c r="AB9674">
        <v>29</v>
      </c>
      <c r="AC9674">
        <v>-12.3370999999999</v>
      </c>
      <c r="AD9674">
        <v>4.0118799999999997</v>
      </c>
      <c r="AE9674">
        <v>419.55842000000001</v>
      </c>
      <c r="AF9674">
        <v>-61.510320381451002</v>
      </c>
      <c r="AG9674">
        <v>4.0118799999999997</v>
      </c>
      <c r="AH9674">
        <v>415.16956338853998</v>
      </c>
      <c r="AI9674">
        <v>89.452332592379094</v>
      </c>
      <c r="AJ9674">
        <v>98.427471160170697</v>
      </c>
      <c r="AK9674">
        <v>419.72059880210099</v>
      </c>
      <c r="AL9674">
        <v>81.887657646792704</v>
      </c>
      <c r="AM9674">
        <v>97.339327369042493</v>
      </c>
      <c r="AN9674">
        <v>1.0000000402729701</v>
      </c>
    </row>
    <row r="9675" spans="1:40" x14ac:dyDescent="0.25">
      <c r="A9675" t="str">
        <f>"20190303162136399"</f>
        <v>20190303162136399</v>
      </c>
      <c r="B9675" t="str">
        <f>"1551601296393025"</f>
        <v>1551601296393025</v>
      </c>
      <c r="C9675" t="s">
        <v>40</v>
      </c>
      <c r="D9675">
        <v>4.741352</v>
      </c>
      <c r="E9675">
        <v>0.49051099999999997</v>
      </c>
      <c r="F9675" t="s">
        <v>92</v>
      </c>
      <c r="G9675">
        <v>-202.36410000000001</v>
      </c>
      <c r="H9675">
        <v>4.6847430000000001</v>
      </c>
      <c r="I9675">
        <v>391.00349999999997</v>
      </c>
      <c r="J9675">
        <v>-188.48990000000001</v>
      </c>
      <c r="K9675">
        <v>1.124925</v>
      </c>
      <c r="L9675">
        <v>-27.391690000000001</v>
      </c>
      <c r="M9675">
        <v>0.1124763</v>
      </c>
      <c r="N9675">
        <v>-1.1980360000000001E-2</v>
      </c>
      <c r="O9675">
        <v>0.99358219999999997</v>
      </c>
      <c r="P9675">
        <v>-1.420371E-2</v>
      </c>
      <c r="Q9675">
        <v>0.1294621</v>
      </c>
      <c r="R9675">
        <v>0.99148259999999999</v>
      </c>
      <c r="S9675">
        <v>-9.9914550000000005E-2</v>
      </c>
      <c r="T9675">
        <v>2.5691510000000001E-2</v>
      </c>
      <c r="U9675">
        <v>3.0216980000000002</v>
      </c>
      <c r="V9675">
        <v>-0.12687509999999999</v>
      </c>
      <c r="W9675">
        <v>0.140127799999999</v>
      </c>
      <c r="X9675">
        <v>0.98197089999999998</v>
      </c>
      <c r="Y9675">
        <v>-0.14525089999999999</v>
      </c>
      <c r="Z9675">
        <v>2.0375359999999999E-2</v>
      </c>
      <c r="AA9675">
        <v>0.98918499999999998</v>
      </c>
      <c r="AB9675">
        <v>29</v>
      </c>
      <c r="AC9675">
        <v>-13.8742</v>
      </c>
      <c r="AD9675">
        <v>3.5598179999999999</v>
      </c>
      <c r="AE9675">
        <v>418.39519000000001</v>
      </c>
      <c r="AF9675">
        <v>-60.844667211823399</v>
      </c>
      <c r="AG9675">
        <v>3.5598179999999999</v>
      </c>
      <c r="AH9675">
        <v>414.14926421889402</v>
      </c>
      <c r="AI9675">
        <v>89.512756527484399</v>
      </c>
      <c r="AJ9675">
        <v>98.357810172065598</v>
      </c>
      <c r="AK9675">
        <v>418.61003199321698</v>
      </c>
      <c r="AL9675">
        <v>81.944758208487698</v>
      </c>
      <c r="AM9675">
        <v>97.362088611014698</v>
      </c>
      <c r="AN9675">
        <v>0.99999996988982898</v>
      </c>
    </row>
    <row r="9676" spans="1:40" x14ac:dyDescent="0.25">
      <c r="A9676" t="str">
        <f>"20190303162136423"</f>
        <v>20190303162136423</v>
      </c>
      <c r="B9676" t="str">
        <f>"1551601296412545"</f>
        <v>1551601296412545</v>
      </c>
      <c r="C9676" t="s">
        <v>40</v>
      </c>
      <c r="D9676">
        <v>4.7769599999999999</v>
      </c>
      <c r="E9676">
        <v>0.49071619999999999</v>
      </c>
      <c r="F9676" t="s">
        <v>92</v>
      </c>
      <c r="G9676">
        <v>-204.90309999999999</v>
      </c>
      <c r="H9676">
        <v>3.8384049999999998</v>
      </c>
      <c r="I9676">
        <v>391.00349999999997</v>
      </c>
      <c r="J9676">
        <v>-188.46100000000001</v>
      </c>
      <c r="K9676">
        <v>1.124957</v>
      </c>
      <c r="L9676">
        <v>-27.08783</v>
      </c>
      <c r="M9676">
        <v>0.1073786</v>
      </c>
      <c r="N9676">
        <v>-1.19858E-2</v>
      </c>
      <c r="O9676">
        <v>0.99414590000000003</v>
      </c>
      <c r="P9676">
        <v>-1.9932910000000002E-2</v>
      </c>
      <c r="Q9676">
        <v>0.1283299</v>
      </c>
      <c r="R9676">
        <v>0.99153119999999995</v>
      </c>
      <c r="S9676">
        <v>-0.11853030000000001</v>
      </c>
      <c r="T9676">
        <v>1.959586E-2</v>
      </c>
      <c r="U9676">
        <v>3.021515</v>
      </c>
      <c r="V9676">
        <v>-0.1275326</v>
      </c>
      <c r="W9676">
        <v>0.13898469999999999</v>
      </c>
      <c r="X9676">
        <v>0.98204820000000004</v>
      </c>
      <c r="Y9676">
        <v>-0.14626430000000001</v>
      </c>
      <c r="Z9676">
        <v>1.8402109999999999E-2</v>
      </c>
      <c r="AA9676">
        <v>0.98907429999999996</v>
      </c>
      <c r="AB9676">
        <v>29</v>
      </c>
      <c r="AC9676">
        <v>-16.4421</v>
      </c>
      <c r="AD9676">
        <v>2.7134480000000001</v>
      </c>
      <c r="AE9676">
        <v>418.09133000000003</v>
      </c>
      <c r="AF9676">
        <v>-61.241734974361997</v>
      </c>
      <c r="AG9676">
        <v>2.7134480000000001</v>
      </c>
      <c r="AH9676">
        <v>413.89059919224098</v>
      </c>
      <c r="AI9676">
        <v>89.628422358596396</v>
      </c>
      <c r="AJ9676">
        <v>98.416756374388001</v>
      </c>
      <c r="AK9676">
        <v>418.40571339601797</v>
      </c>
      <c r="AL9676">
        <v>82.0109004303484</v>
      </c>
      <c r="AM9676">
        <v>97.3992431046658</v>
      </c>
      <c r="AN9676">
        <v>0.99999998901004405</v>
      </c>
    </row>
    <row r="9677" spans="1:40" x14ac:dyDescent="0.25">
      <c r="A9677" t="str">
        <f>"20190303162136444"</f>
        <v>20190303162136444</v>
      </c>
      <c r="B9677" t="str">
        <f>"1551601296432065"</f>
        <v>1551601296432065</v>
      </c>
      <c r="C9677" t="s">
        <v>40</v>
      </c>
      <c r="D9677">
        <v>4.7143350000000002</v>
      </c>
      <c r="E9677">
        <v>0.50744809999999996</v>
      </c>
      <c r="F9677" t="s">
        <v>92</v>
      </c>
      <c r="G9677">
        <v>-207.10059999999999</v>
      </c>
      <c r="H9677">
        <v>2.9586130000000002</v>
      </c>
      <c r="I9677">
        <v>391.87</v>
      </c>
      <c r="J9677">
        <v>-188.4367</v>
      </c>
      <c r="K9677">
        <v>1.1249690000000001</v>
      </c>
      <c r="L9677">
        <v>-26.818149999999999</v>
      </c>
      <c r="M9677">
        <v>0.102835</v>
      </c>
      <c r="N9677">
        <v>-1.198947E-2</v>
      </c>
      <c r="O9677">
        <v>0.99462620000000002</v>
      </c>
      <c r="P9677">
        <v>-2.3974639999999998E-2</v>
      </c>
      <c r="Q9677">
        <v>0.12727529999999901</v>
      </c>
      <c r="R9677">
        <v>0.99157759999999995</v>
      </c>
      <c r="S9677">
        <v>-0.1344147</v>
      </c>
      <c r="T9677">
        <v>1.3222930000000001E-2</v>
      </c>
      <c r="U9677">
        <v>3.02121</v>
      </c>
      <c r="V9677">
        <v>-0.12705929999999999</v>
      </c>
      <c r="W9677">
        <v>0.13793440000000001</v>
      </c>
      <c r="X9677">
        <v>0.98225759999999995</v>
      </c>
      <c r="Y9677">
        <v>-0.14693879999999901</v>
      </c>
      <c r="Z9677">
        <v>1.63325E-2</v>
      </c>
      <c r="AA9677">
        <v>0.98901079999999997</v>
      </c>
      <c r="AB9677">
        <v>29</v>
      </c>
      <c r="AC9677">
        <v>-18.663899999999899</v>
      </c>
      <c r="AD9677">
        <v>1.8336439999999901</v>
      </c>
      <c r="AE9677">
        <v>418.68815000000001</v>
      </c>
      <c r="AF9677">
        <v>-61.622647631077101</v>
      </c>
      <c r="AG9677">
        <v>1.8336439999999901</v>
      </c>
      <c r="AH9677">
        <v>414.540749631452</v>
      </c>
      <c r="AI9677">
        <v>89.749318977240506</v>
      </c>
      <c r="AJ9677">
        <v>98.455260996221696</v>
      </c>
      <c r="AK9677">
        <v>419.09992371317401</v>
      </c>
      <c r="AL9677">
        <v>82.071663372084004</v>
      </c>
      <c r="AM9677">
        <v>97.370531282265802</v>
      </c>
      <c r="AN9677">
        <v>0.99999997858880396</v>
      </c>
    </row>
    <row r="9678" spans="1:40" x14ac:dyDescent="0.25">
      <c r="A9678" t="str">
        <f>"20190303162136466"</f>
        <v>20190303162136466</v>
      </c>
      <c r="B9678" t="str">
        <f>"1551601296452569"</f>
        <v>1551601296452569</v>
      </c>
      <c r="C9678" t="s">
        <v>40</v>
      </c>
      <c r="D9678">
        <v>4.6745570000000001</v>
      </c>
      <c r="E9678">
        <v>0.51004430000000001</v>
      </c>
      <c r="F9678" t="s">
        <v>41</v>
      </c>
      <c r="G9678">
        <v>-188.6876</v>
      </c>
      <c r="H9678" s="1">
        <v>-2.4582870000000001E-6</v>
      </c>
      <c r="I9678">
        <v>24.820440000000001</v>
      </c>
      <c r="J9678">
        <v>-188.41380000000001</v>
      </c>
      <c r="K9678">
        <v>1.1249750000000001</v>
      </c>
      <c r="L9678">
        <v>-26.55029</v>
      </c>
      <c r="M9678">
        <v>9.831281E-2</v>
      </c>
      <c r="N9678">
        <v>-1.199237E-2</v>
      </c>
      <c r="O9678">
        <v>0.9950833</v>
      </c>
      <c r="P9678">
        <v>-2.7394709999999999E-2</v>
      </c>
      <c r="Q9678">
        <v>0.12662000000000001</v>
      </c>
      <c r="R9678">
        <v>0.99157289999999998</v>
      </c>
      <c r="S9678">
        <v>-1.473999E-2</v>
      </c>
      <c r="T9678">
        <v>-6.6088439999999998E-2</v>
      </c>
      <c r="U9678">
        <v>3.0335999999999999</v>
      </c>
      <c r="V9678">
        <v>-0.12598670000000001</v>
      </c>
      <c r="W9678">
        <v>0.13729059999999901</v>
      </c>
      <c r="X9678">
        <v>0.98248590000000002</v>
      </c>
      <c r="Y9678">
        <v>-0.1031328</v>
      </c>
      <c r="Z9678">
        <v>-9.5698769999999992E-3</v>
      </c>
      <c r="AA9678">
        <v>0.99462159999999999</v>
      </c>
      <c r="AB9678">
        <v>29</v>
      </c>
      <c r="AC9678">
        <v>-0.27379999999999399</v>
      </c>
      <c r="AD9678">
        <v>-1.124977458287</v>
      </c>
      <c r="AE9678">
        <v>51.370730000000002</v>
      </c>
      <c r="AF9678">
        <v>-5.3206858333200602</v>
      </c>
      <c r="AG9678">
        <v>-1.124977458287</v>
      </c>
      <c r="AH9678">
        <v>51.070420406231797</v>
      </c>
      <c r="AI9678">
        <v>91.255114341328394</v>
      </c>
      <c r="AJ9678">
        <v>95.947806844439995</v>
      </c>
      <c r="AK9678">
        <v>51.359158019654203</v>
      </c>
      <c r="AL9678">
        <v>82.108904482565706</v>
      </c>
      <c r="AM9678">
        <v>97.307306863810894</v>
      </c>
      <c r="AN9678">
        <v>0.99999995056202795</v>
      </c>
    </row>
    <row r="9679" spans="1:40" x14ac:dyDescent="0.25">
      <c r="A9679" t="str">
        <f>"20190303162136488"</f>
        <v>20190303162136488</v>
      </c>
      <c r="B9679" t="str">
        <f>"1551601296481842"</f>
        <v>1551601296481842</v>
      </c>
      <c r="C9679" t="s">
        <v>40</v>
      </c>
      <c r="D9679">
        <v>4.6670420000000004</v>
      </c>
      <c r="E9679">
        <v>0.51183889999999999</v>
      </c>
      <c r="F9679" t="s">
        <v>41</v>
      </c>
      <c r="G9679">
        <v>-188.5104</v>
      </c>
      <c r="H9679" s="1">
        <v>-7.3118460000000002E-7</v>
      </c>
      <c r="I9679">
        <v>20.631979999999999</v>
      </c>
      <c r="J9679">
        <v>-188.39009999999999</v>
      </c>
      <c r="K9679">
        <v>1.124978</v>
      </c>
      <c r="L9679">
        <v>-26.255220000000001</v>
      </c>
      <c r="M9679">
        <v>9.3331849999999994E-2</v>
      </c>
      <c r="N9679">
        <v>-1.199508E-2</v>
      </c>
      <c r="O9679">
        <v>0.99556279999999997</v>
      </c>
      <c r="P9679">
        <v>-3.178665E-2</v>
      </c>
      <c r="Q9679">
        <v>0.12632979999999999</v>
      </c>
      <c r="R9679">
        <v>0.99147890000000005</v>
      </c>
      <c r="S9679">
        <v>-6.2103269999999999E-3</v>
      </c>
      <c r="T9679">
        <v>-7.2353959999999995E-2</v>
      </c>
      <c r="U9679">
        <v>3.0345759999999999</v>
      </c>
      <c r="V9679">
        <v>-0.12542439999999999</v>
      </c>
      <c r="W9679">
        <v>0.1370073</v>
      </c>
      <c r="X9679">
        <v>0.98259750000000001</v>
      </c>
      <c r="Y9679">
        <v>-9.5355250000000003E-2</v>
      </c>
      <c r="Z9679">
        <v>-1.163147E-2</v>
      </c>
      <c r="AA9679">
        <v>0.99537529999999996</v>
      </c>
      <c r="AB9679">
        <v>29</v>
      </c>
      <c r="AC9679">
        <v>-0.12030000000001401</v>
      </c>
      <c r="AD9679">
        <v>-1.1249787311846</v>
      </c>
      <c r="AE9679">
        <v>46.8872</v>
      </c>
      <c r="AF9679">
        <v>-4.4935719449577398</v>
      </c>
      <c r="AG9679">
        <v>-1.1249787311846</v>
      </c>
      <c r="AH9679">
        <v>46.644429858453101</v>
      </c>
      <c r="AI9679">
        <v>91.375237620110099</v>
      </c>
      <c r="AJ9679">
        <v>95.502706978085698</v>
      </c>
      <c r="AK9679">
        <v>46.873879749710099</v>
      </c>
      <c r="AL9679">
        <v>82.125292121840602</v>
      </c>
      <c r="AM9679">
        <v>97.274225870734597</v>
      </c>
      <c r="AN9679">
        <v>1.00000006368744</v>
      </c>
    </row>
    <row r="9680" spans="1:40" x14ac:dyDescent="0.25">
      <c r="A9680" t="str">
        <f>"20190303162136511"</f>
        <v>20190303162136511</v>
      </c>
      <c r="B9680" t="str">
        <f>"1551601296502337"</f>
        <v>1551601296502337</v>
      </c>
      <c r="C9680" t="s">
        <v>40</v>
      </c>
      <c r="D9680">
        <v>4.6515250000000004</v>
      </c>
      <c r="E9680">
        <v>0.51245269999999998</v>
      </c>
      <c r="F9680" t="s">
        <v>41</v>
      </c>
      <c r="G9680">
        <v>-188.4948</v>
      </c>
      <c r="H9680" s="1">
        <v>-7.4198249999999999E-7</v>
      </c>
      <c r="I9680">
        <v>20.651540000000001</v>
      </c>
      <c r="J9680">
        <v>-188.3682</v>
      </c>
      <c r="K9680">
        <v>1.124986</v>
      </c>
      <c r="L9680">
        <v>-25.965879999999999</v>
      </c>
      <c r="M9680">
        <v>8.8451329999999995E-2</v>
      </c>
      <c r="N9680">
        <v>-1.199737E-2</v>
      </c>
      <c r="O9680">
        <v>0.99600820000000001</v>
      </c>
      <c r="P9680">
        <v>-3.6264709999999999E-2</v>
      </c>
      <c r="Q9680">
        <v>0.1263283</v>
      </c>
      <c r="R9680">
        <v>0.99132540000000002</v>
      </c>
      <c r="S9680">
        <v>-6.7749019999999898E-3</v>
      </c>
      <c r="T9680">
        <v>-7.2785740000000002E-2</v>
      </c>
      <c r="U9680">
        <v>3.0348510000000002</v>
      </c>
      <c r="V9680">
        <v>-0.12504860000000001</v>
      </c>
      <c r="W9680">
        <v>0.13700960000000001</v>
      </c>
      <c r="X9680">
        <v>0.98264499999999999</v>
      </c>
      <c r="Y9680">
        <v>-9.0661309999999995E-2</v>
      </c>
      <c r="Z9680">
        <v>-1.178921E-2</v>
      </c>
      <c r="AA9680">
        <v>0.99581200000000003</v>
      </c>
      <c r="AB9680">
        <v>29</v>
      </c>
      <c r="AC9680">
        <v>-0.12659999999999599</v>
      </c>
      <c r="AD9680">
        <v>-1.1249867419824999</v>
      </c>
      <c r="AE9680">
        <v>46.617420000000003</v>
      </c>
      <c r="AF9680">
        <v>-4.2473000138360302</v>
      </c>
      <c r="AG9680">
        <v>-1.1249867419824999</v>
      </c>
      <c r="AH9680">
        <v>46.396458234096698</v>
      </c>
      <c r="AI9680">
        <v>91.383211727348595</v>
      </c>
      <c r="AJ9680">
        <v>95.230485013366405</v>
      </c>
      <c r="AK9680">
        <v>46.604039409105397</v>
      </c>
      <c r="AL9680">
        <v>82.125158498621801</v>
      </c>
      <c r="AM9680">
        <v>97.252316201759101</v>
      </c>
      <c r="AN9680">
        <v>0.99999998943955903</v>
      </c>
    </row>
    <row r="9681" spans="1:40" x14ac:dyDescent="0.25">
      <c r="A9681" t="str">
        <f>"20190303162136533"</f>
        <v>20190303162136533</v>
      </c>
      <c r="B9681" t="str">
        <f>"1551601296521858"</f>
        <v>1551601296521858</v>
      </c>
      <c r="C9681" t="s">
        <v>40</v>
      </c>
      <c r="D9681">
        <v>4.6855469999999997</v>
      </c>
      <c r="E9681">
        <v>0.51306379999999996</v>
      </c>
      <c r="F9681" t="s">
        <v>41</v>
      </c>
      <c r="G9681">
        <v>-188.62110000000001</v>
      </c>
      <c r="H9681" s="1">
        <v>-1.285723E-6</v>
      </c>
      <c r="I9681">
        <v>22.059660000000001</v>
      </c>
      <c r="J9681">
        <v>-188.34889999999999</v>
      </c>
      <c r="K9681">
        <v>1.1249899999999999</v>
      </c>
      <c r="L9681">
        <v>-25.691960000000002</v>
      </c>
      <c r="M9681">
        <v>8.3839029999999995E-2</v>
      </c>
      <c r="N9681">
        <v>-1.1999259999999999E-2</v>
      </c>
      <c r="O9681">
        <v>0.99640709999999999</v>
      </c>
      <c r="P9681">
        <v>-3.9704990000000003E-2</v>
      </c>
      <c r="Q9681">
        <v>0.1270105</v>
      </c>
      <c r="R9681">
        <v>0.99110640000000005</v>
      </c>
      <c r="S9681">
        <v>-1.5975949999999999E-2</v>
      </c>
      <c r="T9681">
        <v>-7.1087839999999999E-2</v>
      </c>
      <c r="U9681">
        <v>3.034729</v>
      </c>
      <c r="V9681">
        <v>-0.12390760000000001</v>
      </c>
      <c r="W9681">
        <v>0.13770350000000001</v>
      </c>
      <c r="X9681">
        <v>0.98269249999999997</v>
      </c>
      <c r="Y9681">
        <v>-8.9070339999999998E-2</v>
      </c>
      <c r="Z9681">
        <v>-1.124766E-2</v>
      </c>
      <c r="AA9681">
        <v>0.99596180000000001</v>
      </c>
      <c r="AB9681">
        <v>29</v>
      </c>
      <c r="AC9681">
        <v>-0.27220000000002598</v>
      </c>
      <c r="AD9681">
        <v>-1.124991285723</v>
      </c>
      <c r="AE9681">
        <v>47.751620000000003</v>
      </c>
      <c r="AF9681">
        <v>-4.2726077483009197</v>
      </c>
      <c r="AG9681">
        <v>-1.124991285723</v>
      </c>
      <c r="AH9681">
        <v>47.534272093459499</v>
      </c>
      <c r="AI9681">
        <v>91.350321500945199</v>
      </c>
      <c r="AJ9681">
        <v>95.136216104083601</v>
      </c>
      <c r="AK9681">
        <v>47.739164276501903</v>
      </c>
      <c r="AL9681">
        <v>82.085020187978202</v>
      </c>
      <c r="AM9681">
        <v>97.186494084877296</v>
      </c>
      <c r="AN9681">
        <v>0.999999948403128</v>
      </c>
    </row>
    <row r="9682" spans="1:40" x14ac:dyDescent="0.25">
      <c r="A9682" t="str">
        <f>"20190303162136556"</f>
        <v>20190303162136556</v>
      </c>
      <c r="B9682" t="str">
        <f>"1551601296542353"</f>
        <v>1551601296542353</v>
      </c>
      <c r="C9682" t="s">
        <v>40</v>
      </c>
      <c r="D9682">
        <v>4.6180839999999996</v>
      </c>
      <c r="E9682">
        <v>0.51354739999999999</v>
      </c>
      <c r="F9682" t="s">
        <v>41</v>
      </c>
      <c r="G9682">
        <v>-188.71969999999999</v>
      </c>
      <c r="H9682" s="1">
        <v>-2.201723E-6</v>
      </c>
      <c r="I9682">
        <v>24.23564</v>
      </c>
      <c r="J9682">
        <v>-188.33</v>
      </c>
      <c r="K9682">
        <v>1.124987</v>
      </c>
      <c r="L9682">
        <v>-25.406980000000001</v>
      </c>
      <c r="M9682">
        <v>7.9058359999999994E-2</v>
      </c>
      <c r="N9682">
        <v>-1.2000800000000001E-2</v>
      </c>
      <c r="O9682">
        <v>0.99679770000000001</v>
      </c>
      <c r="P9682">
        <v>-4.2489680000000002E-2</v>
      </c>
      <c r="Q9682">
        <v>0.12661919999999999</v>
      </c>
      <c r="R9682">
        <v>0.9910409</v>
      </c>
      <c r="S9682">
        <v>-2.2537229999999998E-2</v>
      </c>
      <c r="T9682">
        <v>-6.8381310000000001E-2</v>
      </c>
      <c r="U9682">
        <v>3.0347900000000001</v>
      </c>
      <c r="V9682">
        <v>-0.1219513</v>
      </c>
      <c r="W9682">
        <v>0.13733600000000001</v>
      </c>
      <c r="X9682">
        <v>0.98298869999999905</v>
      </c>
      <c r="Y9682">
        <v>-8.644636E-2</v>
      </c>
      <c r="Z9682">
        <v>-1.03756E-2</v>
      </c>
      <c r="AA9682">
        <v>0.99620249999999999</v>
      </c>
      <c r="AB9682">
        <v>29</v>
      </c>
      <c r="AC9682">
        <v>-0.38969999999997601</v>
      </c>
      <c r="AD9682">
        <v>-1.1249892017229901</v>
      </c>
      <c r="AE9682">
        <v>49.642620000000001</v>
      </c>
      <c r="AF9682">
        <v>-4.3112131154349598</v>
      </c>
      <c r="AG9682">
        <v>-1.1249892017229901</v>
      </c>
      <c r="AH9682">
        <v>49.431020372168497</v>
      </c>
      <c r="AI9682">
        <v>91.298827496537399</v>
      </c>
      <c r="AJ9682">
        <v>94.984538676567695</v>
      </c>
      <c r="AK9682">
        <v>49.631420836647699</v>
      </c>
      <c r="AL9682">
        <v>82.106279092371096</v>
      </c>
      <c r="AM9682">
        <v>97.0720796229825</v>
      </c>
      <c r="AN9682">
        <v>1.0000000403976801</v>
      </c>
    </row>
    <row r="9683" spans="1:40" x14ac:dyDescent="0.25">
      <c r="A9683" t="str">
        <f>"20190303162136577"</f>
        <v>20190303162136577</v>
      </c>
      <c r="B9683" t="str">
        <f>"1551601296561873"</f>
        <v>1551601296561873</v>
      </c>
      <c r="C9683" t="s">
        <v>40</v>
      </c>
      <c r="D9683">
        <v>4.6384829999999999</v>
      </c>
      <c r="E9683">
        <v>0.51395559999999996</v>
      </c>
      <c r="F9683" t="s">
        <v>41</v>
      </c>
      <c r="G9683">
        <v>-188.7885</v>
      </c>
      <c r="H9683" s="1">
        <v>-2.0738150000000002E-6</v>
      </c>
      <c r="I9683">
        <v>23.965959999999999</v>
      </c>
      <c r="J9683">
        <v>-188.31270000000001</v>
      </c>
      <c r="K9683">
        <v>1.1249640000000001</v>
      </c>
      <c r="L9683">
        <v>-25.125029999999999</v>
      </c>
      <c r="M9683">
        <v>7.4363269999999995E-2</v>
      </c>
      <c r="N9683">
        <v>-1.200152E-2</v>
      </c>
      <c r="O9683">
        <v>0.99715900000000002</v>
      </c>
      <c r="P9683">
        <v>-4.5382249999999999E-2</v>
      </c>
      <c r="Q9683">
        <v>0.1260194</v>
      </c>
      <c r="R9683">
        <v>0.99098920000000001</v>
      </c>
      <c r="S9683">
        <v>-2.818298E-2</v>
      </c>
      <c r="T9683">
        <v>-6.9148660000000001E-2</v>
      </c>
      <c r="U9683">
        <v>3.0347599999999999</v>
      </c>
      <c r="V9683">
        <v>-0.12018379999999999</v>
      </c>
      <c r="W9683">
        <v>0.1367602</v>
      </c>
      <c r="X9683">
        <v>0.98328660000000001</v>
      </c>
      <c r="Y9683">
        <v>-8.3608020000000005E-2</v>
      </c>
      <c r="Z9683">
        <v>-1.0640459999999999E-2</v>
      </c>
      <c r="AA9683">
        <v>0.99644189999999999</v>
      </c>
      <c r="AB9683">
        <v>29</v>
      </c>
      <c r="AC9683">
        <v>-0.47579999999999201</v>
      </c>
      <c r="AD9683">
        <v>-1.12496607381499</v>
      </c>
      <c r="AE9683">
        <v>49.090989999999998</v>
      </c>
      <c r="AF9683">
        <v>-4.1231468701196796</v>
      </c>
      <c r="AG9683">
        <v>-1.12496607381499</v>
      </c>
      <c r="AH9683">
        <v>48.8939898102252</v>
      </c>
      <c r="AI9683">
        <v>91.313384167763104</v>
      </c>
      <c r="AJ9683">
        <v>94.820251048563804</v>
      </c>
      <c r="AK9683">
        <v>49.080425103519801</v>
      </c>
      <c r="AL9683">
        <v>82.139584077897297</v>
      </c>
      <c r="AM9683">
        <v>96.968505143951504</v>
      </c>
      <c r="AN9683">
        <v>1.00000001791302</v>
      </c>
    </row>
    <row r="9684" spans="1:40" x14ac:dyDescent="0.25">
      <c r="A9684" t="str">
        <f>"20190303162136613"</f>
        <v>20190303162136613</v>
      </c>
      <c r="B9684" t="str">
        <f>"1551601296601892"</f>
        <v>1551601296601892</v>
      </c>
      <c r="C9684" t="s">
        <v>40</v>
      </c>
      <c r="D9684">
        <v>4.5998159999999997</v>
      </c>
      <c r="E9684">
        <v>0.51457600000000003</v>
      </c>
      <c r="F9684" t="s">
        <v>41</v>
      </c>
      <c r="G9684">
        <v>-188.81569999999999</v>
      </c>
      <c r="H9684" s="1">
        <v>-4.4458939999999998E-7</v>
      </c>
      <c r="I9684">
        <v>20.02853</v>
      </c>
      <c r="J9684">
        <v>-188.2877</v>
      </c>
      <c r="K9684">
        <v>1.1248940000000001</v>
      </c>
      <c r="L9684">
        <v>-24.674800000000001</v>
      </c>
      <c r="M9684">
        <v>6.7000069999999995E-2</v>
      </c>
      <c r="N9684">
        <v>-1.199983E-2</v>
      </c>
      <c r="O9684">
        <v>0.99768080000000003</v>
      </c>
      <c r="P9684">
        <v>-5.1436709999999997E-2</v>
      </c>
      <c r="Q9684">
        <v>0.12593070000000001</v>
      </c>
      <c r="R9684">
        <v>0.99070469999999999</v>
      </c>
      <c r="S9684">
        <v>-3.381348E-2</v>
      </c>
      <c r="T9684">
        <v>-7.5623040000000002E-2</v>
      </c>
      <c r="U9684">
        <v>3.035339</v>
      </c>
      <c r="V9684">
        <v>-0.1189093</v>
      </c>
      <c r="W9684">
        <v>0.13670209999999999</v>
      </c>
      <c r="X9684">
        <v>0.98344960000000003</v>
      </c>
      <c r="Y9684">
        <v>-7.8096700000000005E-2</v>
      </c>
      <c r="Z9684">
        <v>-1.2781320000000001E-2</v>
      </c>
      <c r="AA9684">
        <v>0.99686379999999997</v>
      </c>
      <c r="AB9684">
        <v>29</v>
      </c>
      <c r="AC9684">
        <v>-0.52799999999999103</v>
      </c>
      <c r="AD9684">
        <v>-1.12489444458939</v>
      </c>
      <c r="AE9684">
        <v>44.703330000000001</v>
      </c>
      <c r="AF9684">
        <v>-3.51992680537986</v>
      </c>
      <c r="AG9684">
        <v>-1.12489444458939</v>
      </c>
      <c r="AH9684">
        <v>44.5392887093439</v>
      </c>
      <c r="AI9684">
        <v>91.442272643348403</v>
      </c>
      <c r="AJ9684">
        <v>94.518676691374097</v>
      </c>
      <c r="AK9684">
        <v>44.692320492015099</v>
      </c>
      <c r="AL9684">
        <v>82.142944387621398</v>
      </c>
      <c r="AM9684">
        <v>96.8941903571083</v>
      </c>
      <c r="AN9684">
        <v>1.0000000007555201</v>
      </c>
    </row>
    <row r="9685" spans="1:40" x14ac:dyDescent="0.25">
      <c r="A9685" t="str">
        <f>"20190303162136635"</f>
        <v>20190303162136635</v>
      </c>
      <c r="B9685" t="str">
        <f>"1551601296622385"</f>
        <v>1551601296622385</v>
      </c>
      <c r="C9685" t="s">
        <v>40</v>
      </c>
      <c r="D9685">
        <v>4.625883</v>
      </c>
      <c r="E9685">
        <v>0.51473389999999997</v>
      </c>
      <c r="F9685" t="s">
        <v>41</v>
      </c>
      <c r="G9685">
        <v>-188.9316</v>
      </c>
      <c r="H9685" s="1">
        <v>-3.9711960000000001E-6</v>
      </c>
      <c r="I9685">
        <v>18.447970000000002</v>
      </c>
      <c r="J9685">
        <v>-188.27379999999999</v>
      </c>
      <c r="K9685">
        <v>1.124817</v>
      </c>
      <c r="L9685">
        <v>-24.396180000000001</v>
      </c>
      <c r="M9685">
        <v>6.2555189999999997E-2</v>
      </c>
      <c r="N9685">
        <v>-1.199689E-2</v>
      </c>
      <c r="O9685">
        <v>0.99796940000000001</v>
      </c>
      <c r="P9685">
        <v>-5.4403390000000003E-2</v>
      </c>
      <c r="Q9685">
        <v>0.12614429999999999</v>
      </c>
      <c r="R9685">
        <v>0.99051900000000004</v>
      </c>
      <c r="S9685">
        <v>-4.5333859999999997E-2</v>
      </c>
      <c r="T9685">
        <v>-7.9193230000000003E-2</v>
      </c>
      <c r="U9685">
        <v>3.0358580000000002</v>
      </c>
      <c r="V9685">
        <v>-0.1174491</v>
      </c>
      <c r="W9685">
        <v>0.13694589999999901</v>
      </c>
      <c r="X9685">
        <v>0.98359110000000005</v>
      </c>
      <c r="Y9685">
        <v>-7.743543E-2</v>
      </c>
      <c r="Z9685">
        <v>-1.3959579999999999E-2</v>
      </c>
      <c r="AA9685">
        <v>0.99689970000000006</v>
      </c>
      <c r="AB9685">
        <v>29</v>
      </c>
      <c r="AC9685">
        <v>-0.65780000000000804</v>
      </c>
      <c r="AD9685">
        <v>-1.124820971196</v>
      </c>
      <c r="AE9685">
        <v>42.844149999999999</v>
      </c>
      <c r="AF9685">
        <v>-3.33453052947447</v>
      </c>
      <c r="AG9685">
        <v>-1.124820971196</v>
      </c>
      <c r="AH9685">
        <v>42.689658759043397</v>
      </c>
      <c r="AI9685">
        <v>91.504744029753397</v>
      </c>
      <c r="AJ9685">
        <v>94.466359910369704</v>
      </c>
      <c r="AK9685">
        <v>42.834463706609</v>
      </c>
      <c r="AL9685">
        <v>82.128842746349505</v>
      </c>
      <c r="AM9685">
        <v>96.809359545053795</v>
      </c>
      <c r="AN9685">
        <v>0.99999996130841395</v>
      </c>
    </row>
    <row r="9686" spans="1:40" x14ac:dyDescent="0.25">
      <c r="A9686" t="str">
        <f>"20190303162136655"</f>
        <v>20190303162136655</v>
      </c>
      <c r="B9686" t="str">
        <f>"1551601296641905"</f>
        <v>1551601296641905</v>
      </c>
      <c r="C9686" t="s">
        <v>40</v>
      </c>
      <c r="D9686">
        <v>4.5861190000000001</v>
      </c>
      <c r="E9686">
        <v>0.52280000000000004</v>
      </c>
      <c r="F9686" t="s">
        <v>41</v>
      </c>
      <c r="G9686">
        <v>-189.01589999999999</v>
      </c>
      <c r="H9686" s="1">
        <v>-3.8675060000000004E-6</v>
      </c>
      <c r="I9686">
        <v>18.24109</v>
      </c>
      <c r="J9686">
        <v>-188.26150000000001</v>
      </c>
      <c r="K9686">
        <v>1.12473</v>
      </c>
      <c r="L9686">
        <v>-24.129519999999999</v>
      </c>
      <c r="M9686">
        <v>5.8396759999999999E-2</v>
      </c>
      <c r="N9686">
        <v>-1.1993210000000001E-2</v>
      </c>
      <c r="O9686">
        <v>0.99822140000000004</v>
      </c>
      <c r="P9686">
        <v>-5.6629190000000003E-2</v>
      </c>
      <c r="Q9686">
        <v>0.12426909999999999</v>
      </c>
      <c r="R9686">
        <v>0.99063129999999999</v>
      </c>
      <c r="S9686">
        <v>-5.2841190000000003E-2</v>
      </c>
      <c r="T9686">
        <v>-8.0093499999999998E-2</v>
      </c>
      <c r="U9686">
        <v>3.0360109999999998</v>
      </c>
      <c r="V9686">
        <v>-0.11553139999999899</v>
      </c>
      <c r="W9686">
        <v>0.1351106</v>
      </c>
      <c r="X9686">
        <v>0.98407199999999995</v>
      </c>
      <c r="Y9686">
        <v>-7.5745350000000003E-2</v>
      </c>
      <c r="Z9686">
        <v>-1.426757E-2</v>
      </c>
      <c r="AA9686">
        <v>0.9970251</v>
      </c>
      <c r="AB9686">
        <v>29</v>
      </c>
      <c r="AC9686">
        <v>-0.75439999999997498</v>
      </c>
      <c r="AD9686">
        <v>-1.1247338675059999</v>
      </c>
      <c r="AE9686">
        <v>42.370609999999999</v>
      </c>
      <c r="AF9686">
        <v>-3.2253247413674302</v>
      </c>
      <c r="AG9686">
        <v>-1.1247338675059999</v>
      </c>
      <c r="AH9686">
        <v>42.224490639023102</v>
      </c>
      <c r="AI9686">
        <v>91.521397128023295</v>
      </c>
      <c r="AJ9686">
        <v>94.368065385932397</v>
      </c>
      <c r="AK9686">
        <v>42.362428585775604</v>
      </c>
      <c r="AL9686">
        <v>82.234984914690202</v>
      </c>
      <c r="AM9686">
        <v>96.695951599851995</v>
      </c>
      <c r="AN9686">
        <v>1.0000000399011499</v>
      </c>
    </row>
    <row r="9687" spans="1:40" x14ac:dyDescent="0.25">
      <c r="A9687" t="str">
        <f>"20190303162136678"</f>
        <v>20190303162136678</v>
      </c>
      <c r="B9687" t="str">
        <f>"1551601296672162"</f>
        <v>1551601296672162</v>
      </c>
      <c r="C9687" t="s">
        <v>40</v>
      </c>
      <c r="D9687">
        <v>4.5948079999999996</v>
      </c>
      <c r="E9687">
        <v>0.52407399999999904</v>
      </c>
      <c r="F9687" t="s">
        <v>41</v>
      </c>
      <c r="G9687">
        <v>-188.2184</v>
      </c>
      <c r="H9687" s="1">
        <v>-6.5550780000000004E-7</v>
      </c>
      <c r="I9687">
        <v>0.18134710000000001</v>
      </c>
      <c r="J9687">
        <v>-188.24930000000001</v>
      </c>
      <c r="K9687">
        <v>1.1246240000000001</v>
      </c>
      <c r="L9687">
        <v>-23.838290000000001</v>
      </c>
      <c r="M9687">
        <v>5.4003130000000003E-2</v>
      </c>
      <c r="N9687">
        <v>-1.1988220000000001E-2</v>
      </c>
      <c r="O9687">
        <v>0.99846880000000005</v>
      </c>
      <c r="P9687">
        <v>-5.9706179999999998E-2</v>
      </c>
      <c r="Q9687">
        <v>0.1211518</v>
      </c>
      <c r="R9687">
        <v>0.99083670000000001</v>
      </c>
      <c r="S9687">
        <v>5.4016109999999997E-3</v>
      </c>
      <c r="T9687">
        <v>-0.14093820000000001</v>
      </c>
      <c r="U9687">
        <v>3.0463559999999998</v>
      </c>
      <c r="V9687">
        <v>-0.1142164</v>
      </c>
      <c r="W9687">
        <v>0.13203419999999999</v>
      </c>
      <c r="X9687">
        <v>0.98464289999999999</v>
      </c>
      <c r="Y9687">
        <v>-5.2219139999999997E-2</v>
      </c>
      <c r="Z9687">
        <v>-3.4104229999999999E-2</v>
      </c>
      <c r="AA9687">
        <v>0.99805310000000003</v>
      </c>
      <c r="AB9687">
        <v>29</v>
      </c>
      <c r="AC9687">
        <v>3.0900000000002498E-2</v>
      </c>
      <c r="AD9687">
        <v>-1.1246246555077899</v>
      </c>
      <c r="AE9687">
        <v>24.019637100000001</v>
      </c>
      <c r="AF9687">
        <v>-1.26360382079275</v>
      </c>
      <c r="AG9687">
        <v>-1.1246246555077899</v>
      </c>
      <c r="AH9687">
        <v>23.933782799949899</v>
      </c>
      <c r="AI9687">
        <v>92.686556692675893</v>
      </c>
      <c r="AJ9687">
        <v>93.022172062505504</v>
      </c>
      <c r="AK9687">
        <v>23.993487331917301</v>
      </c>
      <c r="AL9687">
        <v>82.412843409907694</v>
      </c>
      <c r="AM9687">
        <v>96.616612935956795</v>
      </c>
      <c r="AN9687">
        <v>1.0000000282595001</v>
      </c>
    </row>
    <row r="9688" spans="1:40" x14ac:dyDescent="0.25">
      <c r="A9688" t="str">
        <f>"20190303162136701"</f>
        <v>20190303162136701</v>
      </c>
      <c r="B9688" t="str">
        <f>"1551601296692657"</f>
        <v>1551601296692657</v>
      </c>
      <c r="C9688" t="s">
        <v>40</v>
      </c>
      <c r="D9688">
        <v>4.5745100000000001</v>
      </c>
      <c r="E9688">
        <v>0.52453830000000001</v>
      </c>
      <c r="F9688" t="s">
        <v>41</v>
      </c>
      <c r="G9688">
        <v>-188.18950000000001</v>
      </c>
      <c r="H9688" s="1">
        <v>-5.2036220000000002E-7</v>
      </c>
      <c r="I9688">
        <v>-0.2383545</v>
      </c>
      <c r="J9688">
        <v>-188.23820000000001</v>
      </c>
      <c r="K9688">
        <v>1.12449</v>
      </c>
      <c r="L9688">
        <v>-23.550750000000001</v>
      </c>
      <c r="M9688">
        <v>4.9855339999999998E-2</v>
      </c>
      <c r="N9688">
        <v>-1.1981779999999999E-2</v>
      </c>
      <c r="O9688">
        <v>0.99868460000000003</v>
      </c>
      <c r="P9688">
        <v>-6.1662099999999997E-2</v>
      </c>
      <c r="Q9688">
        <v>0.120244</v>
      </c>
      <c r="R9688">
        <v>0.99082749999999997</v>
      </c>
      <c r="S9688">
        <v>7.7056879999999996E-3</v>
      </c>
      <c r="T9688">
        <v>-0.14515129999999901</v>
      </c>
      <c r="U9688">
        <v>3.0459589999999999</v>
      </c>
      <c r="V9688">
        <v>-0.1120241</v>
      </c>
      <c r="W9688">
        <v>0.13117719999999999</v>
      </c>
      <c r="X9688">
        <v>0.98500920000000003</v>
      </c>
      <c r="Y9688">
        <v>-4.7316770000000001E-2</v>
      </c>
      <c r="Z9688">
        <v>-3.5513339999999997E-2</v>
      </c>
      <c r="AA9688">
        <v>0.99824849999999998</v>
      </c>
      <c r="AB9688">
        <v>29</v>
      </c>
      <c r="AC9688">
        <v>4.86999999999966E-2</v>
      </c>
      <c r="AD9688">
        <v>-1.1244905203622</v>
      </c>
      <c r="AE9688">
        <v>23.312395499999901</v>
      </c>
      <c r="AF9688">
        <v>-1.1111061982620201</v>
      </c>
      <c r="AG9688">
        <v>-1.1244905203622</v>
      </c>
      <c r="AH9688">
        <v>23.231776505267401</v>
      </c>
      <c r="AI9688">
        <v>92.767972825287899</v>
      </c>
      <c r="AJ9688">
        <v>92.738198770947804</v>
      </c>
      <c r="AK9688">
        <v>23.285499253932599</v>
      </c>
      <c r="AL9688">
        <v>82.462376440049397</v>
      </c>
      <c r="AM9688">
        <v>96.488312996415004</v>
      </c>
      <c r="AN9688">
        <v>0.99999999043264498</v>
      </c>
    </row>
    <row r="9689" spans="1:40" x14ac:dyDescent="0.25">
      <c r="A9689" t="str">
        <f>"20190303162136721"</f>
        <v>20190303162136721</v>
      </c>
      <c r="B9689" t="str">
        <f>"1551601296712178"</f>
        <v>1551601296712178</v>
      </c>
      <c r="C9689" t="s">
        <v>40</v>
      </c>
      <c r="D9689">
        <v>4.5932219999999999</v>
      </c>
      <c r="E9689">
        <v>0.52483729999999995</v>
      </c>
      <c r="F9689" t="s">
        <v>41</v>
      </c>
      <c r="G9689">
        <v>-188.1925</v>
      </c>
      <c r="H9689" s="1">
        <v>-6.3167350000000003E-7</v>
      </c>
      <c r="I9689">
        <v>9.1013189999999994E-2</v>
      </c>
      <c r="J9689">
        <v>-188.2287</v>
      </c>
      <c r="K9689">
        <v>1.124352</v>
      </c>
      <c r="L9689">
        <v>-23.281559999999999</v>
      </c>
      <c r="M9689">
        <v>4.6175199999999902E-2</v>
      </c>
      <c r="N9689">
        <v>-1.1974210000000001E-2</v>
      </c>
      <c r="O9689">
        <v>0.99886160000000002</v>
      </c>
      <c r="P9689">
        <v>-6.2990530000000003E-2</v>
      </c>
      <c r="Q9689">
        <v>0.12103029999999999</v>
      </c>
      <c r="R9689">
        <v>0.99064819999999998</v>
      </c>
      <c r="S9689">
        <v>5.8898930000000002E-3</v>
      </c>
      <c r="T9689">
        <v>-0.14486559999999901</v>
      </c>
      <c r="U9689">
        <v>3.045715</v>
      </c>
      <c r="V9689">
        <v>-0.10966629999999999</v>
      </c>
      <c r="W9689">
        <v>0.132015299999999</v>
      </c>
      <c r="X9689">
        <v>0.9851626</v>
      </c>
      <c r="Y9689">
        <v>-4.423208E-2</v>
      </c>
      <c r="Z9689">
        <v>-3.5447190000000003E-2</v>
      </c>
      <c r="AA9689">
        <v>0.99839219999999895</v>
      </c>
      <c r="AB9689">
        <v>29</v>
      </c>
      <c r="AC9689">
        <v>3.6200000000007997E-2</v>
      </c>
      <c r="AD9689">
        <v>-1.1243526316735</v>
      </c>
      <c r="AE9689">
        <v>23.372573190000001</v>
      </c>
      <c r="AF9689">
        <v>-1.04074079721027</v>
      </c>
      <c r="AG9689">
        <v>-1.1243526316735</v>
      </c>
      <c r="AH9689">
        <v>23.295402084764198</v>
      </c>
      <c r="AI9689">
        <v>92.760487362306094</v>
      </c>
      <c r="AJ9689">
        <v>92.558033986821002</v>
      </c>
      <c r="AK9689">
        <v>23.345729128433</v>
      </c>
      <c r="AL9689">
        <v>82.4139359725216</v>
      </c>
      <c r="AM9689">
        <v>96.3518990397274</v>
      </c>
      <c r="AN9689">
        <v>1.0000000426142599</v>
      </c>
    </row>
    <row r="9690" spans="1:40" x14ac:dyDescent="0.25">
      <c r="A9690" t="str">
        <f>"20190303162136744"</f>
        <v>20190303162136744</v>
      </c>
      <c r="B9690" t="str">
        <f>"1551601296732677"</f>
        <v>1551601296732677</v>
      </c>
      <c r="C9690" t="s">
        <v>40</v>
      </c>
      <c r="D9690">
        <v>4.5968169999999997</v>
      </c>
      <c r="E9690">
        <v>0.52516160000000001</v>
      </c>
      <c r="F9690" t="s">
        <v>41</v>
      </c>
      <c r="G9690">
        <v>-188.19319999999999</v>
      </c>
      <c r="H9690" s="1">
        <v>-1.0911239999999901E-6</v>
      </c>
      <c r="I9690">
        <v>1.42913</v>
      </c>
      <c r="J9690">
        <v>-188.21940000000001</v>
      </c>
      <c r="K9690">
        <v>1.124187</v>
      </c>
      <c r="L9690">
        <v>-22.99567</v>
      </c>
      <c r="M9690">
        <v>4.2497689999999998E-2</v>
      </c>
      <c r="N9690">
        <v>-1.1965129999999999E-2</v>
      </c>
      <c r="O9690">
        <v>0.99902489999999999</v>
      </c>
      <c r="P9690">
        <v>-6.4708399999999999E-2</v>
      </c>
      <c r="Q9690">
        <v>0.1219848</v>
      </c>
      <c r="R9690">
        <v>0.99042039999999998</v>
      </c>
      <c r="S9690">
        <v>4.379272E-3</v>
      </c>
      <c r="T9690">
        <v>-0.138573799999999</v>
      </c>
      <c r="U9690">
        <v>3.0455320000000001</v>
      </c>
      <c r="V9690">
        <v>-0.1076893</v>
      </c>
      <c r="W9690">
        <v>0.13302249999999999</v>
      </c>
      <c r="X9690">
        <v>0.98524520000000004</v>
      </c>
      <c r="Y9690">
        <v>-4.1050740000000002E-2</v>
      </c>
      <c r="Z9690">
        <v>-3.3417250000000003E-2</v>
      </c>
      <c r="AA9690">
        <v>0.99859810000000004</v>
      </c>
      <c r="AB9690">
        <v>29</v>
      </c>
      <c r="AC9690">
        <v>2.6200000000017099E-2</v>
      </c>
      <c r="AD9690">
        <v>-1.1241880911239901</v>
      </c>
      <c r="AE9690">
        <v>24.424800000000001</v>
      </c>
      <c r="AF9690">
        <v>-1.0097564735237801</v>
      </c>
      <c r="AG9690">
        <v>-1.1241880911239901</v>
      </c>
      <c r="AH9690">
        <v>24.352255436028901</v>
      </c>
      <c r="AI9690">
        <v>92.640837671306997</v>
      </c>
      <c r="AJ9690">
        <v>92.374386296916398</v>
      </c>
      <c r="AK9690">
        <v>24.3990932581858</v>
      </c>
      <c r="AL9690">
        <v>82.355714135424805</v>
      </c>
      <c r="AM9690">
        <v>96.237782842446506</v>
      </c>
      <c r="AN9690">
        <v>1.00000003748188</v>
      </c>
    </row>
    <row r="9691" spans="1:40" x14ac:dyDescent="0.25">
      <c r="A9691" t="str">
        <f>"20190303162136766"</f>
        <v>20190303162136766</v>
      </c>
      <c r="B9691" t="str">
        <f>"1551601296761954"</f>
        <v>1551601296761954</v>
      </c>
      <c r="C9691" t="s">
        <v>40</v>
      </c>
      <c r="D9691">
        <v>4.5563539999999998</v>
      </c>
      <c r="E9691">
        <v>0.52567419999999998</v>
      </c>
      <c r="F9691" t="s">
        <v>41</v>
      </c>
      <c r="G9691">
        <v>-188.20050000000001</v>
      </c>
      <c r="H9691" s="1">
        <v>-1.5101580000000001E-6</v>
      </c>
      <c r="I9691">
        <v>2.4089239999999998</v>
      </c>
      <c r="J9691">
        <v>-188.21090000000001</v>
      </c>
      <c r="K9691">
        <v>1.1239809999999999</v>
      </c>
      <c r="L9691">
        <v>-22.707090000000001</v>
      </c>
      <c r="M9691">
        <v>3.9070460000000001E-2</v>
      </c>
      <c r="N9691">
        <v>-1.195531E-2</v>
      </c>
      <c r="O9691">
        <v>0.99916490000000002</v>
      </c>
      <c r="P9691">
        <v>-6.703576E-2</v>
      </c>
      <c r="Q9691">
        <v>0.1222618</v>
      </c>
      <c r="R9691">
        <v>0.99023139999999998</v>
      </c>
      <c r="S9691">
        <v>2.27356E-3</v>
      </c>
      <c r="T9691">
        <v>-0.13477979999999901</v>
      </c>
      <c r="U9691">
        <v>3.045776</v>
      </c>
      <c r="V9691">
        <v>-0.1065589</v>
      </c>
      <c r="W9691">
        <v>0.13335039999999901</v>
      </c>
      <c r="X9691">
        <v>0.98532370000000002</v>
      </c>
      <c r="Y9691">
        <v>-3.8314849999999998E-2</v>
      </c>
      <c r="Z9691">
        <v>-3.2194649999999998E-2</v>
      </c>
      <c r="AA9691">
        <v>0.99874689999999999</v>
      </c>
      <c r="AB9691">
        <v>29</v>
      </c>
      <c r="AC9691">
        <v>1.04000000000041E-2</v>
      </c>
      <c r="AD9691">
        <v>-1.1239825101580001</v>
      </c>
      <c r="AE9691">
        <v>25.116014</v>
      </c>
      <c r="AF9691">
        <v>-0.96903164596545999</v>
      </c>
      <c r="AG9691">
        <v>-1.1239825101580001</v>
      </c>
      <c r="AH9691">
        <v>25.047078507809101</v>
      </c>
      <c r="AI9691">
        <v>92.567494349825694</v>
      </c>
      <c r="AJ9691">
        <v>92.215577637195096</v>
      </c>
      <c r="AK9691">
        <v>25.091004379864401</v>
      </c>
      <c r="AL9691">
        <v>82.336757380345205</v>
      </c>
      <c r="AM9691">
        <v>96.172325829776398</v>
      </c>
      <c r="AN9691">
        <v>0.99999996106552902</v>
      </c>
    </row>
    <row r="9692" spans="1:40" x14ac:dyDescent="0.25">
      <c r="A9692" t="str">
        <f>"20190303162136790"</f>
        <v>20190303162136790</v>
      </c>
      <c r="B9692" t="str">
        <f>"1551601296782450"</f>
        <v>1551601296782450</v>
      </c>
      <c r="C9692" t="s">
        <v>40</v>
      </c>
      <c r="D9692">
        <v>4.61538</v>
      </c>
      <c r="E9692">
        <v>0.52623330000000001</v>
      </c>
      <c r="F9692" t="s">
        <v>41</v>
      </c>
      <c r="G9692">
        <v>-188.2115</v>
      </c>
      <c r="H9692" s="1">
        <v>-2.0904459999999999E-6</v>
      </c>
      <c r="I9692">
        <v>3.7661380000000002</v>
      </c>
      <c r="J9692">
        <v>-188.2028</v>
      </c>
      <c r="K9692">
        <v>1.123761</v>
      </c>
      <c r="L9692">
        <v>-22.404240000000001</v>
      </c>
      <c r="M9692">
        <v>3.5779980000000003E-2</v>
      </c>
      <c r="N9692">
        <v>-1.1945010000000001E-2</v>
      </c>
      <c r="O9692">
        <v>0.99928830000000002</v>
      </c>
      <c r="P9692">
        <v>-6.9233080000000002E-2</v>
      </c>
      <c r="Q9692">
        <v>0.1212015</v>
      </c>
      <c r="R9692">
        <v>0.99021060000000005</v>
      </c>
      <c r="S9692" s="1">
        <v>-6.1035159999999999E-5</v>
      </c>
      <c r="T9692">
        <v>-0.12930659999999999</v>
      </c>
      <c r="U9692">
        <v>3.045563</v>
      </c>
      <c r="V9692">
        <v>-0.1054272</v>
      </c>
      <c r="W9692">
        <v>0.13234570000000001</v>
      </c>
      <c r="X9692">
        <v>0.98558089999999998</v>
      </c>
      <c r="Y9692">
        <v>-3.5790910000000002E-2</v>
      </c>
      <c r="Z9692">
        <v>-3.0427539999999999E-2</v>
      </c>
      <c r="AA9692">
        <v>0.99889600000000001</v>
      </c>
      <c r="AB9692">
        <v>29</v>
      </c>
      <c r="AC9692">
        <v>-8.7000000000045895E-3</v>
      </c>
      <c r="AD9692">
        <v>-1.1237630904459901</v>
      </c>
      <c r="AE9692">
        <v>26.170377999999999</v>
      </c>
      <c r="AF9692">
        <v>-0.94339734237497297</v>
      </c>
      <c r="AG9692">
        <v>-1.1237630904459901</v>
      </c>
      <c r="AH9692">
        <v>26.105172729760099</v>
      </c>
      <c r="AI9692">
        <v>92.463313702398807</v>
      </c>
      <c r="AJ9692">
        <v>92.069673108344006</v>
      </c>
      <c r="AK9692">
        <v>26.1463742281728</v>
      </c>
      <c r="AL9692">
        <v>82.394837507443</v>
      </c>
      <c r="AM9692">
        <v>96.105689454706294</v>
      </c>
      <c r="AN9692">
        <v>0.99999999462656997</v>
      </c>
    </row>
    <row r="9693" spans="1:40" x14ac:dyDescent="0.25">
      <c r="A9693" t="str">
        <f>"20190303162136812"</f>
        <v>20190303162136812</v>
      </c>
      <c r="B9693" t="str">
        <f>"1551601296801969"</f>
        <v>1551601296801969</v>
      </c>
      <c r="C9693" t="s">
        <v>40</v>
      </c>
      <c r="D9693">
        <v>4.6629110000000003</v>
      </c>
      <c r="E9693">
        <v>0.52854820000000002</v>
      </c>
      <c r="F9693" t="s">
        <v>41</v>
      </c>
      <c r="G9693">
        <v>-188.2174</v>
      </c>
      <c r="H9693" s="1">
        <v>-1.670923E-6</v>
      </c>
      <c r="I9693">
        <v>2.7906710000000001</v>
      </c>
      <c r="J9693">
        <v>-188.19579999999999</v>
      </c>
      <c r="K9693">
        <v>1.1235949999999999</v>
      </c>
      <c r="L9693">
        <v>-22.127289999999999</v>
      </c>
      <c r="M9693">
        <v>3.2984020000000003E-2</v>
      </c>
      <c r="N9693">
        <v>-1.1936230000000001E-2</v>
      </c>
      <c r="O9693">
        <v>0.99938459999999996</v>
      </c>
      <c r="P9693">
        <v>-7.2169410000000003E-2</v>
      </c>
      <c r="Q9693">
        <v>0.1203779</v>
      </c>
      <c r="R9693">
        <v>0.99010140000000002</v>
      </c>
      <c r="S9693">
        <v>-1.77002E-3</v>
      </c>
      <c r="T9693">
        <v>-0.13586770000000001</v>
      </c>
      <c r="U9693">
        <v>3.046173</v>
      </c>
      <c r="V9693">
        <v>-0.10553460000000001</v>
      </c>
      <c r="W9693">
        <v>0.1315587</v>
      </c>
      <c r="X9693">
        <v>0.98567479999999996</v>
      </c>
      <c r="Y9693">
        <v>-3.3555469999999997E-2</v>
      </c>
      <c r="Z9693">
        <v>-3.2581890000000002E-2</v>
      </c>
      <c r="AA9693">
        <v>0.99890559999999995</v>
      </c>
      <c r="AB9693">
        <v>29</v>
      </c>
      <c r="AC9693">
        <v>-2.1600000000006499E-2</v>
      </c>
      <c r="AD9693">
        <v>-1.1235966709230001</v>
      </c>
      <c r="AE9693">
        <v>24.917960999999998</v>
      </c>
      <c r="AF9693">
        <v>-0.84182965658197495</v>
      </c>
      <c r="AG9693">
        <v>-1.1235966709230001</v>
      </c>
      <c r="AH9693">
        <v>24.853154947363301</v>
      </c>
      <c r="AI9693">
        <v>92.587064581946606</v>
      </c>
      <c r="AJ9693">
        <v>91.939989221012198</v>
      </c>
      <c r="AK9693">
        <v>24.8927792238484</v>
      </c>
      <c r="AL9693">
        <v>82.440327293082603</v>
      </c>
      <c r="AM9693">
        <v>96.111284504769401</v>
      </c>
      <c r="AN9693">
        <v>1.00000002734894</v>
      </c>
    </row>
    <row r="9694" spans="1:40" x14ac:dyDescent="0.25">
      <c r="A9694" t="str">
        <f>"20190303162136836"</f>
        <v>20190303162136836</v>
      </c>
      <c r="B9694" t="str">
        <f>"1551601296822465"</f>
        <v>1551601296822465</v>
      </c>
      <c r="C9694" t="s">
        <v>40</v>
      </c>
      <c r="D9694">
        <v>4.587529</v>
      </c>
      <c r="E9694">
        <v>0.55534539999999999</v>
      </c>
      <c r="F9694" t="s">
        <v>41</v>
      </c>
      <c r="G9694">
        <v>-188.1414</v>
      </c>
      <c r="H9694" s="1">
        <v>-4.4217499999999996E-6</v>
      </c>
      <c r="I9694">
        <v>-0.8285074</v>
      </c>
      <c r="J9694">
        <v>-188.18870000000001</v>
      </c>
      <c r="K9694">
        <v>1.1234360000000001</v>
      </c>
      <c r="L9694">
        <v>-21.815799999999999</v>
      </c>
      <c r="M9694">
        <v>3.008723E-2</v>
      </c>
      <c r="N9694">
        <v>-1.192724E-2</v>
      </c>
      <c r="O9694">
        <v>0.99947609999999998</v>
      </c>
      <c r="P9694">
        <v>-7.5936439999999994E-2</v>
      </c>
      <c r="Q9694">
        <v>0.1220931</v>
      </c>
      <c r="R9694">
        <v>0.98960950000000003</v>
      </c>
      <c r="S9694">
        <v>7.7972409999999999E-3</v>
      </c>
      <c r="T9694">
        <v>-0.16090760000000001</v>
      </c>
      <c r="U9694">
        <v>3.0501399999999999</v>
      </c>
      <c r="V9694">
        <v>-0.10637729999999999</v>
      </c>
      <c r="W9694">
        <v>0.133300799999999</v>
      </c>
      <c r="X9694">
        <v>0.98535010000000001</v>
      </c>
      <c r="Y9694">
        <v>-2.7525589999999999E-2</v>
      </c>
      <c r="Z9694">
        <v>-4.072112E-2</v>
      </c>
      <c r="AA9694">
        <v>0.99879130000000005</v>
      </c>
      <c r="AB9694">
        <v>29</v>
      </c>
      <c r="AC9694">
        <v>4.7300000000007003E-2</v>
      </c>
      <c r="AD9694">
        <v>-1.12344042175</v>
      </c>
      <c r="AE9694">
        <v>20.9872926</v>
      </c>
      <c r="AF9694">
        <v>-0.58254661551837505</v>
      </c>
      <c r="AG9694">
        <v>-1.12344042175</v>
      </c>
      <c r="AH9694">
        <v>20.919270990181001</v>
      </c>
      <c r="AI9694">
        <v>93.072848407544399</v>
      </c>
      <c r="AJ9694">
        <v>91.595124355019806</v>
      </c>
      <c r="AK9694">
        <v>20.957513633565899</v>
      </c>
      <c r="AL9694">
        <v>82.339625354581599</v>
      </c>
      <c r="AM9694">
        <v>96.161723984355106</v>
      </c>
      <c r="AN9694">
        <v>1.00000002640296</v>
      </c>
    </row>
    <row r="9695" spans="1:40" x14ac:dyDescent="0.25">
      <c r="A9695" t="str">
        <f>"20190303162136859"</f>
        <v>20190303162136859</v>
      </c>
      <c r="B9695" t="str">
        <f>"1551601296852722"</f>
        <v>1551601296852722</v>
      </c>
      <c r="C9695" t="s">
        <v>40</v>
      </c>
      <c r="D9695">
        <v>4.5742620000000001</v>
      </c>
      <c r="E9695">
        <v>0.55013089999999998</v>
      </c>
      <c r="F9695" t="s">
        <v>42</v>
      </c>
      <c r="G9695">
        <v>-188.1377</v>
      </c>
      <c r="H9695">
        <v>0.92044119999999996</v>
      </c>
      <c r="I9695">
        <v>-21.034279999999999</v>
      </c>
      <c r="J9695">
        <v>-188.18270000000001</v>
      </c>
      <c r="K9695">
        <v>1.123291</v>
      </c>
      <c r="L9695">
        <v>-21.525880000000001</v>
      </c>
      <c r="M9695">
        <v>2.7616539999999998E-2</v>
      </c>
      <c r="N9695">
        <v>-1.1919519999999999E-2</v>
      </c>
      <c r="O9695">
        <v>0.99954750000000003</v>
      </c>
      <c r="P9695">
        <v>-7.8343019999999999E-2</v>
      </c>
      <c r="Q9695">
        <v>0.1234099</v>
      </c>
      <c r="R9695">
        <v>0.98925850000000004</v>
      </c>
      <c r="S9695">
        <v>0.20516970000000001</v>
      </c>
      <c r="T9695">
        <v>-0.81776490000000002</v>
      </c>
      <c r="U9695">
        <v>3.1481319999999999</v>
      </c>
      <c r="V9695">
        <v>-0.106292</v>
      </c>
      <c r="W9695">
        <v>0.13464660000000001</v>
      </c>
      <c r="X9695">
        <v>0.9851763</v>
      </c>
      <c r="Y9695">
        <v>3.5497939999999999E-2</v>
      </c>
      <c r="Z9695">
        <v>-0.2394057</v>
      </c>
      <c r="AA9695">
        <v>0.97027050000000004</v>
      </c>
      <c r="AB9695">
        <v>29</v>
      </c>
      <c r="AC9695">
        <v>4.5000000000015902E-2</v>
      </c>
      <c r="AD9695">
        <v>-0.2028498</v>
      </c>
      <c r="AE9695">
        <v>0.49159999999999798</v>
      </c>
      <c r="AF9695">
        <v>2.68687796969704E-2</v>
      </c>
      <c r="AG9695">
        <v>-0.2028498</v>
      </c>
      <c r="AH9695">
        <v>0.421487124489762</v>
      </c>
      <c r="AI9695">
        <v>115.654821837795</v>
      </c>
      <c r="AJ9695">
        <v>86.352468867367804</v>
      </c>
      <c r="AK9695">
        <v>0.46853107558954099</v>
      </c>
      <c r="AL9695">
        <v>82.261815166553205</v>
      </c>
      <c r="AM9695">
        <v>96.157898901242703</v>
      </c>
      <c r="AN9695">
        <v>1.00000001911862</v>
      </c>
    </row>
    <row r="9696" spans="1:40" x14ac:dyDescent="0.25">
      <c r="A9696" t="str">
        <f>"20190303162136880"</f>
        <v>20190303162136880</v>
      </c>
      <c r="B9696" t="str">
        <f>"1551601296872242"</f>
        <v>1551601296872242</v>
      </c>
      <c r="C9696" t="s">
        <v>40</v>
      </c>
      <c r="D9696">
        <v>4.6011620000000004</v>
      </c>
      <c r="E9696">
        <v>0.54952590000000001</v>
      </c>
      <c r="F9696" t="s">
        <v>42</v>
      </c>
      <c r="G9696">
        <v>-188.14680000000001</v>
      </c>
      <c r="H9696">
        <v>0.90068969999999904</v>
      </c>
      <c r="I9696">
        <v>-20.785039999999999</v>
      </c>
      <c r="J9696">
        <v>-188.17760000000001</v>
      </c>
      <c r="K9696">
        <v>1.1231549999999999</v>
      </c>
      <c r="L9696">
        <v>-21.254760000000001</v>
      </c>
      <c r="M9696">
        <v>2.5478609999999999E-2</v>
      </c>
      <c r="N9696">
        <v>-1.191269E-2</v>
      </c>
      <c r="O9696">
        <v>0.99960439999999995</v>
      </c>
      <c r="P9696">
        <v>-7.9927199999999907E-2</v>
      </c>
      <c r="Q9696">
        <v>0.12077160000000001</v>
      </c>
      <c r="R9696">
        <v>0.98945740000000004</v>
      </c>
      <c r="S9696">
        <v>0.15304570000000001</v>
      </c>
      <c r="T9696">
        <v>-0.95051410000000003</v>
      </c>
      <c r="U9696">
        <v>3.1632690000000001</v>
      </c>
      <c r="V9696">
        <v>-0.1057158</v>
      </c>
      <c r="W9696">
        <v>0.13204179999999999</v>
      </c>
      <c r="X9696">
        <v>0.98559079999999999</v>
      </c>
      <c r="Y9696">
        <v>2.0939699999999999E-2</v>
      </c>
      <c r="Z9696">
        <v>-0.27603070000000002</v>
      </c>
      <c r="AA9696">
        <v>0.96092069999999996</v>
      </c>
      <c r="AB9696">
        <v>29</v>
      </c>
      <c r="AC9696">
        <v>3.07999999999992E-2</v>
      </c>
      <c r="AD9696">
        <v>-0.2224653</v>
      </c>
      <c r="AE9696">
        <v>0.46972000000000202</v>
      </c>
      <c r="AF9696">
        <v>1.5385098319867599E-2</v>
      </c>
      <c r="AG9696">
        <v>-0.2224653</v>
      </c>
      <c r="AH9696">
        <v>0.38447936965106999</v>
      </c>
      <c r="AI9696">
        <v>120.034427343592</v>
      </c>
      <c r="AJ9696">
        <v>87.708508632785694</v>
      </c>
      <c r="AK9696">
        <v>0.44446810531430198</v>
      </c>
      <c r="AL9696">
        <v>82.412404252604503</v>
      </c>
      <c r="AM9696">
        <v>96.122215584635299</v>
      </c>
      <c r="AN9696">
        <v>1.0000000461807499</v>
      </c>
    </row>
    <row r="9697" spans="1:40" x14ac:dyDescent="0.25">
      <c r="A9697" t="str">
        <f>"20190303162136900"</f>
        <v>20190303162136900</v>
      </c>
      <c r="B9697" t="str">
        <f>"1551601296892738"</f>
        <v>1551601296892738</v>
      </c>
      <c r="C9697" t="s">
        <v>40</v>
      </c>
      <c r="D9697">
        <v>4.6279440000000003</v>
      </c>
      <c r="E9697">
        <v>0.5488883</v>
      </c>
      <c r="F9697" t="s">
        <v>42</v>
      </c>
      <c r="G9697">
        <v>-188.1448</v>
      </c>
      <c r="H9697">
        <v>0.89936299999999902</v>
      </c>
      <c r="I9697">
        <v>-20.52853</v>
      </c>
      <c r="J9697">
        <v>-188.1729</v>
      </c>
      <c r="K9697">
        <v>1.1230230000000001</v>
      </c>
      <c r="L9697">
        <v>-20.984860000000001</v>
      </c>
      <c r="M9697">
        <v>2.3475429999999999E-2</v>
      </c>
      <c r="N9697">
        <v>-1.190634E-2</v>
      </c>
      <c r="O9697">
        <v>0.99965349999999997</v>
      </c>
      <c r="P9697">
        <v>-8.0663449999999998E-2</v>
      </c>
      <c r="Q9697">
        <v>0.11710429999999999</v>
      </c>
      <c r="R9697">
        <v>0.98983840000000001</v>
      </c>
      <c r="S9697">
        <v>0.1427765</v>
      </c>
      <c r="T9697">
        <v>-0.97453149999999999</v>
      </c>
      <c r="U9697">
        <v>3.162445</v>
      </c>
      <c r="V9697">
        <v>-0.1044308</v>
      </c>
      <c r="W9697">
        <v>0.12840940000000001</v>
      </c>
      <c r="X9697">
        <v>0.98620750000000001</v>
      </c>
      <c r="Y9697">
        <v>1.9753980000000001E-2</v>
      </c>
      <c r="Z9697">
        <v>-0.28281610000000001</v>
      </c>
      <c r="AA9697">
        <v>0.95897069999999995</v>
      </c>
      <c r="AB9697">
        <v>29</v>
      </c>
      <c r="AC9697">
        <v>2.80999999999949E-2</v>
      </c>
      <c r="AD9697">
        <v>-0.22366</v>
      </c>
      <c r="AE9697">
        <v>0.45633000000000101</v>
      </c>
      <c r="AF9697">
        <v>1.4022999651781E-2</v>
      </c>
      <c r="AG9697">
        <v>-0.22366</v>
      </c>
      <c r="AH9697">
        <v>0.36864147910782502</v>
      </c>
      <c r="AI9697">
        <v>121.227413477353</v>
      </c>
      <c r="AJ9697">
        <v>87.821537893878101</v>
      </c>
      <c r="AK9697">
        <v>0.43141277245584497</v>
      </c>
      <c r="AL9697">
        <v>82.622312710406803</v>
      </c>
      <c r="AM9697">
        <v>96.044599437730696</v>
      </c>
      <c r="AN9697">
        <v>0.99999999952662499</v>
      </c>
    </row>
    <row r="9698" spans="1:40" x14ac:dyDescent="0.25">
      <c r="A9698" t="str">
        <f>"20190303162136922"</f>
        <v>20190303162136922</v>
      </c>
      <c r="B9698" t="str">
        <f>"1551601296912258"</f>
        <v>1551601296912258</v>
      </c>
      <c r="C9698" t="s">
        <v>40</v>
      </c>
      <c r="D9698">
        <v>4.6275380000000004</v>
      </c>
      <c r="E9698">
        <v>0.54871709999999996</v>
      </c>
      <c r="F9698" t="s">
        <v>42</v>
      </c>
      <c r="G9698">
        <v>-188.1422</v>
      </c>
      <c r="H9698">
        <v>0.89798120000000003</v>
      </c>
      <c r="I9698">
        <v>-20.272030000000001</v>
      </c>
      <c r="J9698">
        <v>-188.16839999999999</v>
      </c>
      <c r="K9698">
        <v>1.1229229999999999</v>
      </c>
      <c r="L9698">
        <v>-20.70383</v>
      </c>
      <c r="M9698">
        <v>2.1480079999999999E-2</v>
      </c>
      <c r="N9698">
        <v>-1.1900569999999999E-2</v>
      </c>
      <c r="O9698">
        <v>0.99969850000000005</v>
      </c>
      <c r="P9698">
        <v>-7.9125169999999995E-2</v>
      </c>
      <c r="Q9698">
        <v>0.116193699999999</v>
      </c>
      <c r="R9698">
        <v>0.9900698</v>
      </c>
      <c r="S9698">
        <v>0.13522339999999999</v>
      </c>
      <c r="T9698">
        <v>-0.99761440000000001</v>
      </c>
      <c r="U9698">
        <v>3.1598510000000002</v>
      </c>
      <c r="V9698">
        <v>-0.100893</v>
      </c>
      <c r="W9698">
        <v>0.12753689999999901</v>
      </c>
      <c r="X9698">
        <v>0.98668889999999998</v>
      </c>
      <c r="Y9698">
        <v>1.9412289999999999E-2</v>
      </c>
      <c r="Z9698">
        <v>-0.28944920000000002</v>
      </c>
      <c r="AA9698">
        <v>0.95699650000000003</v>
      </c>
      <c r="AB9698">
        <v>29</v>
      </c>
      <c r="AC9698">
        <v>2.61999999999886E-2</v>
      </c>
      <c r="AD9698">
        <v>-0.224941799999999</v>
      </c>
      <c r="AE9698">
        <v>0.43180000000000202</v>
      </c>
      <c r="AF9698">
        <v>1.33174024728215E-2</v>
      </c>
      <c r="AG9698">
        <v>-0.224941799999999</v>
      </c>
      <c r="AH9698">
        <v>0.34026214072072403</v>
      </c>
      <c r="AI9698">
        <v>123.44787653664901</v>
      </c>
      <c r="AJ9698">
        <v>87.758664247730493</v>
      </c>
      <c r="AK9698">
        <v>0.40811088077103902</v>
      </c>
      <c r="AL9698">
        <v>82.672717892760105</v>
      </c>
      <c r="AM9698">
        <v>95.838436929319698</v>
      </c>
      <c r="AN9698">
        <v>1.0000000218469001</v>
      </c>
    </row>
    <row r="9699" spans="1:40" x14ac:dyDescent="0.25">
      <c r="A9699" t="str">
        <f>"20190303162136946"</f>
        <v>20190303162136946</v>
      </c>
      <c r="B9699" t="str">
        <f>"1551601296942514"</f>
        <v>1551601296942514</v>
      </c>
      <c r="C9699" t="s">
        <v>40</v>
      </c>
      <c r="D9699">
        <v>4.6584789999999998</v>
      </c>
      <c r="E9699">
        <v>0.54888669999999995</v>
      </c>
      <c r="F9699" t="s">
        <v>42</v>
      </c>
      <c r="G9699">
        <v>-188.1386</v>
      </c>
      <c r="H9699">
        <v>0.90370680000000003</v>
      </c>
      <c r="I9699">
        <v>-20.01257</v>
      </c>
      <c r="J9699">
        <v>-188.16419999999999</v>
      </c>
      <c r="K9699">
        <v>1.122846</v>
      </c>
      <c r="L9699">
        <v>-20.401119999999999</v>
      </c>
      <c r="M9699">
        <v>1.9400839999999999E-2</v>
      </c>
      <c r="N9699">
        <v>-1.18955E-2</v>
      </c>
      <c r="O9699">
        <v>0.99974099999999999</v>
      </c>
      <c r="P9699">
        <v>-7.6111429999999994E-2</v>
      </c>
      <c r="Q9699">
        <v>0.117378</v>
      </c>
      <c r="R9699">
        <v>0.9901664</v>
      </c>
      <c r="S9699">
        <v>0.13601679999999999</v>
      </c>
      <c r="T9699">
        <v>-1.0016419999999999</v>
      </c>
      <c r="U9699">
        <v>3.1585079999999999</v>
      </c>
      <c r="V9699">
        <v>-9.5810199999999998E-2</v>
      </c>
      <c r="W9699">
        <v>0.12875699999999901</v>
      </c>
      <c r="X9699">
        <v>0.98703700000000005</v>
      </c>
      <c r="Y9699">
        <v>2.1728230000000001E-2</v>
      </c>
      <c r="Z9699">
        <v>-0.29068850000000002</v>
      </c>
      <c r="AA9699">
        <v>0.95657099999999995</v>
      </c>
      <c r="AB9699">
        <v>29</v>
      </c>
      <c r="AC9699">
        <v>2.5599999999997101E-2</v>
      </c>
      <c r="AD9699">
        <v>-0.21913919999999901</v>
      </c>
      <c r="AE9699">
        <v>0.388550000000002</v>
      </c>
      <c r="AF9699">
        <v>1.37132834668314E-2</v>
      </c>
      <c r="AG9699">
        <v>-0.21913919999999901</v>
      </c>
      <c r="AH9699">
        <v>0.295412680780755</v>
      </c>
      <c r="AI9699">
        <v>126.53878059381</v>
      </c>
      <c r="AJ9699">
        <v>87.342193917321694</v>
      </c>
      <c r="AK9699">
        <v>0.36807430647377898</v>
      </c>
      <c r="AL9699">
        <v>82.602229984315301</v>
      </c>
      <c r="AM9699">
        <v>95.544245681522995</v>
      </c>
      <c r="AN9699">
        <v>0.99999999942102002</v>
      </c>
    </row>
    <row r="9700" spans="1:40" x14ac:dyDescent="0.25">
      <c r="A9700" t="str">
        <f>"20190303162136968"</f>
        <v>20190303162136968</v>
      </c>
      <c r="B9700" t="str">
        <f>"1551601296962034"</f>
        <v>1551601296962034</v>
      </c>
      <c r="C9700" t="s">
        <v>40</v>
      </c>
      <c r="D9700">
        <v>4.6577140000000004</v>
      </c>
      <c r="E9700">
        <v>0.54944249999999994</v>
      </c>
      <c r="F9700" t="s">
        <v>42</v>
      </c>
      <c r="G9700">
        <v>-188.12479999999999</v>
      </c>
      <c r="H9700">
        <v>0.84664649999999997</v>
      </c>
      <c r="I9700">
        <v>-19.52308</v>
      </c>
      <c r="J9700">
        <v>-188.16079999999999</v>
      </c>
      <c r="K9700">
        <v>1.1228</v>
      </c>
      <c r="L9700">
        <v>-20.119109999999999</v>
      </c>
      <c r="M9700">
        <v>1.750521E-2</v>
      </c>
      <c r="N9700">
        <v>-1.1891820000000001E-2</v>
      </c>
      <c r="O9700">
        <v>0.99977609999999995</v>
      </c>
      <c r="P9700">
        <v>-7.283763E-2</v>
      </c>
      <c r="Q9700">
        <v>0.11574139999999999</v>
      </c>
      <c r="R9700">
        <v>0.99060519999999996</v>
      </c>
      <c r="S9700">
        <v>0.14137269999999999</v>
      </c>
      <c r="T9700">
        <v>-0.99353689999999995</v>
      </c>
      <c r="U9700">
        <v>3.1584469999999998</v>
      </c>
      <c r="V9700">
        <v>-9.0652499999999997E-2</v>
      </c>
      <c r="W9700">
        <v>0.12715280000000001</v>
      </c>
      <c r="X9700">
        <v>0.9877319</v>
      </c>
      <c r="Y9700">
        <v>2.5267209999999998E-2</v>
      </c>
      <c r="Z9700">
        <v>-0.2884581</v>
      </c>
      <c r="AA9700">
        <v>0.95715899999999998</v>
      </c>
      <c r="AB9700">
        <v>29</v>
      </c>
      <c r="AC9700">
        <v>3.6000000000001302E-2</v>
      </c>
      <c r="AD9700">
        <v>-0.2761535</v>
      </c>
      <c r="AE9700">
        <v>0.59602999999999895</v>
      </c>
      <c r="AF9700">
        <v>2.1056429264115901E-2</v>
      </c>
      <c r="AG9700">
        <v>-0.2761535</v>
      </c>
      <c r="AH9700">
        <v>0.49145359697466201</v>
      </c>
      <c r="AI9700">
        <v>119.30970617413</v>
      </c>
      <c r="AJ9700">
        <v>87.546651159128302</v>
      </c>
      <c r="AK9700">
        <v>0.56411946142190295</v>
      </c>
      <c r="AL9700">
        <v>82.694905744909505</v>
      </c>
      <c r="AM9700">
        <v>95.2438271856103</v>
      </c>
      <c r="AN9700">
        <v>1.00000000829085</v>
      </c>
    </row>
    <row r="9701" spans="1:40" x14ac:dyDescent="0.25">
      <c r="A9701" t="str">
        <f>"20190303162136991"</f>
        <v>20190303162136991</v>
      </c>
      <c r="B9701" t="str">
        <f>"1551601296982530"</f>
        <v>1551601296982530</v>
      </c>
      <c r="C9701" t="s">
        <v>40</v>
      </c>
      <c r="D9701">
        <v>4.6570080000000003</v>
      </c>
      <c r="E9701">
        <v>0.55002469999999903</v>
      </c>
      <c r="F9701" t="s">
        <v>42</v>
      </c>
      <c r="G9701">
        <v>-188.11930000000001</v>
      </c>
      <c r="H9701">
        <v>0.85247600000000001</v>
      </c>
      <c r="I9701">
        <v>-19.263670000000001</v>
      </c>
      <c r="J9701">
        <v>-188.15780000000001</v>
      </c>
      <c r="K9701">
        <v>1.1227750000000001</v>
      </c>
      <c r="L9701">
        <v>-19.82666</v>
      </c>
      <c r="M9701">
        <v>1.555901E-2</v>
      </c>
      <c r="N9701">
        <v>-1.18888E-2</v>
      </c>
      <c r="O9701">
        <v>0.99980829999999998</v>
      </c>
      <c r="P9701">
        <v>-7.0518860000000003E-2</v>
      </c>
      <c r="Q9701">
        <v>0.11275979999999999</v>
      </c>
      <c r="R9701">
        <v>0.99111669999999996</v>
      </c>
      <c r="S9701">
        <v>0.1529083</v>
      </c>
      <c r="T9701">
        <v>-0.9974172</v>
      </c>
      <c r="U9701">
        <v>3.1562190000000001</v>
      </c>
      <c r="V9701">
        <v>-8.6399219999999999E-2</v>
      </c>
      <c r="W9701">
        <v>0.12419669999999999</v>
      </c>
      <c r="X9701">
        <v>0.9884889</v>
      </c>
      <c r="Y9701">
        <v>3.0704760000000001E-2</v>
      </c>
      <c r="Z9701">
        <v>-0.28969149999999999</v>
      </c>
      <c r="AA9701">
        <v>0.95662740000000002</v>
      </c>
      <c r="AB9701">
        <v>29</v>
      </c>
      <c r="AC9701">
        <v>3.8499999999999E-2</v>
      </c>
      <c r="AD9701">
        <v>-0.27029900000000001</v>
      </c>
      <c r="AE9701">
        <v>0.56298999999999899</v>
      </c>
      <c r="AF9701">
        <v>2.4186014351893201E-2</v>
      </c>
      <c r="AG9701">
        <v>-0.27029900000000001</v>
      </c>
      <c r="AH9701">
        <v>0.45835730748553599</v>
      </c>
      <c r="AI9701">
        <v>120.49354013596999</v>
      </c>
      <c r="AJ9701">
        <v>86.979490598145105</v>
      </c>
      <c r="AK9701">
        <v>0.53267056800298296</v>
      </c>
      <c r="AL9701">
        <v>82.865631226754601</v>
      </c>
      <c r="AM9701">
        <v>94.995262811721304</v>
      </c>
      <c r="AN9701">
        <v>0.99999997546535302</v>
      </c>
    </row>
    <row r="9702" spans="1:40" x14ac:dyDescent="0.25">
      <c r="A9702" t="str">
        <f>"20190303162137012"</f>
        <v>20190303162137012</v>
      </c>
      <c r="B9702" t="str">
        <f>"1551601297002050"</f>
        <v>1551601297002050</v>
      </c>
      <c r="C9702" t="s">
        <v>40</v>
      </c>
      <c r="D9702">
        <v>4.6790960000000004</v>
      </c>
      <c r="E9702">
        <v>0.55019899999999999</v>
      </c>
      <c r="F9702" t="s">
        <v>42</v>
      </c>
      <c r="G9702">
        <v>-188.11500000000001</v>
      </c>
      <c r="H9702">
        <v>0.86046909999999899</v>
      </c>
      <c r="I9702">
        <v>-19.003240000000002</v>
      </c>
      <c r="J9702">
        <v>-188.15549999999999</v>
      </c>
      <c r="K9702">
        <v>1.1227560000000001</v>
      </c>
      <c r="L9702">
        <v>-19.55087</v>
      </c>
      <c r="M9702">
        <v>1.3727339999999999E-2</v>
      </c>
      <c r="N9702">
        <v>-1.1886519999999999E-2</v>
      </c>
      <c r="O9702">
        <v>0.99983509999999998</v>
      </c>
      <c r="P9702">
        <v>-6.7825990000000003E-2</v>
      </c>
      <c r="Q9702">
        <v>0.1113256</v>
      </c>
      <c r="R9702">
        <v>0.99146670000000003</v>
      </c>
      <c r="S9702">
        <v>0.1634216</v>
      </c>
      <c r="T9702">
        <v>-1.0043740000000001</v>
      </c>
      <c r="U9702">
        <v>3.1528019999999999</v>
      </c>
      <c r="V9702">
        <v>-8.1889770000000001E-2</v>
      </c>
      <c r="W9702">
        <v>0.1227861</v>
      </c>
      <c r="X9702">
        <v>0.98904879999999995</v>
      </c>
      <c r="Y9702">
        <v>3.5722820000000002E-2</v>
      </c>
      <c r="Z9702">
        <v>-0.29187059999999998</v>
      </c>
      <c r="AA9702">
        <v>0.95579049999999999</v>
      </c>
      <c r="AB9702">
        <v>29</v>
      </c>
      <c r="AC9702">
        <v>4.0499999999980198E-2</v>
      </c>
      <c r="AD9702">
        <v>-0.26228689999999999</v>
      </c>
      <c r="AE9702">
        <v>0.54763000000000095</v>
      </c>
      <c r="AF9702">
        <v>2.68520115605081E-2</v>
      </c>
      <c r="AG9702">
        <v>-0.26228689999999999</v>
      </c>
      <c r="AH9702">
        <v>0.44631101064796802</v>
      </c>
      <c r="AI9702">
        <v>120.39659651876801</v>
      </c>
      <c r="AJ9702">
        <v>86.556986983955994</v>
      </c>
      <c r="AK9702">
        <v>0.51837145625706105</v>
      </c>
      <c r="AL9702">
        <v>82.947075852920094</v>
      </c>
      <c r="AM9702">
        <v>94.733093662215097</v>
      </c>
      <c r="AN9702">
        <v>0.99999994478264997</v>
      </c>
    </row>
    <row r="9703" spans="1:40" x14ac:dyDescent="0.25">
      <c r="A9703" t="str">
        <f>"20190303162137037"</f>
        <v>20190303162137037</v>
      </c>
      <c r="B9703" t="str">
        <f>"1551601297032306"</f>
        <v>1551601297032306</v>
      </c>
      <c r="C9703" t="s">
        <v>40</v>
      </c>
      <c r="D9703">
        <v>4.7195010000000002</v>
      </c>
      <c r="E9703">
        <v>0.55034329999999998</v>
      </c>
      <c r="F9703" t="s">
        <v>42</v>
      </c>
      <c r="G9703">
        <v>-188.11089999999999</v>
      </c>
      <c r="H9703">
        <v>0.86488349999999903</v>
      </c>
      <c r="I9703">
        <v>-18.74427</v>
      </c>
      <c r="J9703">
        <v>-188.15350000000001</v>
      </c>
      <c r="K9703">
        <v>1.1227450000000001</v>
      </c>
      <c r="L9703">
        <v>-19.235410000000002</v>
      </c>
      <c r="M9703">
        <v>1.162931E-2</v>
      </c>
      <c r="N9703">
        <v>-1.188439E-2</v>
      </c>
      <c r="O9703">
        <v>0.99986180000000002</v>
      </c>
      <c r="P9703">
        <v>-6.5859219999999996E-2</v>
      </c>
      <c r="Q9703">
        <v>0.11219519999999999</v>
      </c>
      <c r="R9703">
        <v>0.99150130000000003</v>
      </c>
      <c r="S9703">
        <v>0.17359920000000001</v>
      </c>
      <c r="T9703">
        <v>-1.0074339999999999</v>
      </c>
      <c r="U9703">
        <v>3.1508180000000001</v>
      </c>
      <c r="V9703">
        <v>-7.7845310000000001E-2</v>
      </c>
      <c r="W9703">
        <v>0.1236729</v>
      </c>
      <c r="X9703">
        <v>0.98926499999999995</v>
      </c>
      <c r="Y9703">
        <v>4.0901930000000003E-2</v>
      </c>
      <c r="Z9703">
        <v>-0.29284559999999998</v>
      </c>
      <c r="AA9703">
        <v>0.95528449999999998</v>
      </c>
      <c r="AB9703">
        <v>29</v>
      </c>
      <c r="AC9703">
        <v>4.2600000000021503E-2</v>
      </c>
      <c r="AD9703">
        <v>-0.25786150000000002</v>
      </c>
      <c r="AE9703">
        <v>0.49114000000000102</v>
      </c>
      <c r="AF9703">
        <v>2.89614140354006E-2</v>
      </c>
      <c r="AG9703">
        <v>-0.25786150000000002</v>
      </c>
      <c r="AH9703">
        <v>0.38599588996706102</v>
      </c>
      <c r="AI9703">
        <v>123.670346172336</v>
      </c>
      <c r="AJ9703">
        <v>85.709116395558198</v>
      </c>
      <c r="AK9703">
        <v>0.46510659397243898</v>
      </c>
      <c r="AL9703">
        <v>82.895876531898196</v>
      </c>
      <c r="AM9703">
        <v>94.499336090786102</v>
      </c>
      <c r="AN9703">
        <v>1.0000000593542</v>
      </c>
    </row>
    <row r="9704" spans="1:40" x14ac:dyDescent="0.25">
      <c r="A9704" t="str">
        <f>"20190303162137059"</f>
        <v>20190303162137059</v>
      </c>
      <c r="B9704" t="str">
        <f>"1551601297052802"</f>
        <v>1551601297052802</v>
      </c>
      <c r="C9704" t="s">
        <v>40</v>
      </c>
      <c r="D9704">
        <v>4.7122830000000002</v>
      </c>
      <c r="E9704">
        <v>0.55045010000000005</v>
      </c>
      <c r="F9704" t="s">
        <v>42</v>
      </c>
      <c r="G9704">
        <v>-188.11070000000001</v>
      </c>
      <c r="H9704">
        <v>0.88218069999999904</v>
      </c>
      <c r="I9704">
        <v>-18.47963</v>
      </c>
      <c r="J9704">
        <v>-188.1523</v>
      </c>
      <c r="K9704">
        <v>1.122736</v>
      </c>
      <c r="L9704">
        <v>-18.953029999999998</v>
      </c>
      <c r="M9704">
        <v>9.7624989999999991E-3</v>
      </c>
      <c r="N9704">
        <v>-1.1882820000000001E-2</v>
      </c>
      <c r="O9704">
        <v>0.99988169999999998</v>
      </c>
      <c r="P9704">
        <v>-6.3815339999999998E-2</v>
      </c>
      <c r="Q9704">
        <v>0.11214300000000001</v>
      </c>
      <c r="R9704">
        <v>0.99164090000000005</v>
      </c>
      <c r="S9704">
        <v>0.1786499</v>
      </c>
      <c r="T9704">
        <v>-1.0029760000000001</v>
      </c>
      <c r="U9704">
        <v>3.1510929999999999</v>
      </c>
      <c r="V9704">
        <v>-7.3947680000000002E-2</v>
      </c>
      <c r="W9704">
        <v>0.12364029999999999</v>
      </c>
      <c r="X9704">
        <v>0.989568</v>
      </c>
      <c r="Y9704">
        <v>4.4304639999999999E-2</v>
      </c>
      <c r="Z9704">
        <v>-0.2915702</v>
      </c>
      <c r="AA9704">
        <v>0.95552280000000001</v>
      </c>
      <c r="AB9704">
        <v>29</v>
      </c>
      <c r="AC9704">
        <v>4.1599999999988299E-2</v>
      </c>
      <c r="AD9704">
        <v>-0.2405553</v>
      </c>
      <c r="AE9704">
        <v>0.47339999999999799</v>
      </c>
      <c r="AF9704">
        <v>2.9434162567340098E-2</v>
      </c>
      <c r="AG9704">
        <v>-0.2405553</v>
      </c>
      <c r="AH9704">
        <v>0.37714670080602503</v>
      </c>
      <c r="AI9704">
        <v>122.45211211316899</v>
      </c>
      <c r="AJ9704">
        <v>85.537434828620206</v>
      </c>
      <c r="AK9704">
        <v>0.44829996231652702</v>
      </c>
      <c r="AL9704">
        <v>82.897758431839605</v>
      </c>
      <c r="AM9704">
        <v>94.273612119223102</v>
      </c>
      <c r="AN9704">
        <v>1.00000000489273</v>
      </c>
    </row>
    <row r="9705" spans="1:40" x14ac:dyDescent="0.25">
      <c r="A9705" t="str">
        <f>"20190303162137081"</f>
        <v>20190303162137081</v>
      </c>
      <c r="B9705" t="str">
        <f>"1551601297072322"</f>
        <v>1551601297072322</v>
      </c>
      <c r="C9705" t="s">
        <v>40</v>
      </c>
      <c r="D9705">
        <v>4.7127210000000002</v>
      </c>
      <c r="E9705">
        <v>0.5504462</v>
      </c>
      <c r="F9705" t="s">
        <v>42</v>
      </c>
      <c r="G9705">
        <v>-188.1103</v>
      </c>
      <c r="H9705">
        <v>0.88910940000000005</v>
      </c>
      <c r="I9705">
        <v>-18.219339999999999</v>
      </c>
      <c r="J9705">
        <v>-188.1515</v>
      </c>
      <c r="K9705">
        <v>1.1227009999999999</v>
      </c>
      <c r="L9705">
        <v>-18.666409999999999</v>
      </c>
      <c r="M9705">
        <v>7.9100500000000001E-3</v>
      </c>
      <c r="N9705">
        <v>-1.188112E-2</v>
      </c>
      <c r="O9705">
        <v>0.99989810000000001</v>
      </c>
      <c r="P9705">
        <v>-5.9043249999999999E-2</v>
      </c>
      <c r="Q9705">
        <v>0.11156199999999999</v>
      </c>
      <c r="R9705">
        <v>0.99200189999999999</v>
      </c>
      <c r="S9705">
        <v>0.1792908</v>
      </c>
      <c r="T9705">
        <v>-1.003198</v>
      </c>
      <c r="U9705">
        <v>3.1502690000000002</v>
      </c>
      <c r="V9705">
        <v>-6.7329979999999998E-2</v>
      </c>
      <c r="W9705">
        <v>0.1230942</v>
      </c>
      <c r="X9705">
        <v>0.99010830000000005</v>
      </c>
      <c r="Y9705">
        <v>4.6356899999999999E-2</v>
      </c>
      <c r="Z9705">
        <v>-0.2916957</v>
      </c>
      <c r="AA9705">
        <v>0.95538719999999999</v>
      </c>
      <c r="AB9705">
        <v>29</v>
      </c>
      <c r="AC9705">
        <v>4.1200000000003401E-2</v>
      </c>
      <c r="AD9705">
        <v>-0.23359159999999901</v>
      </c>
      <c r="AE9705">
        <v>0.44707000000000002</v>
      </c>
      <c r="AF9705">
        <v>2.9638837572143601E-2</v>
      </c>
      <c r="AG9705">
        <v>-0.23359159999999901</v>
      </c>
      <c r="AH9705">
        <v>0.35207476475990501</v>
      </c>
      <c r="AI9705">
        <v>123.470008153999</v>
      </c>
      <c r="AJ9705">
        <v>85.187994518884807</v>
      </c>
      <c r="AK9705">
        <v>0.423556532547817</v>
      </c>
      <c r="AL9705">
        <v>82.929288314725099</v>
      </c>
      <c r="AM9705">
        <v>93.890275067416496</v>
      </c>
      <c r="AN9705">
        <v>0.99999997700466503</v>
      </c>
    </row>
    <row r="9706" spans="1:40" x14ac:dyDescent="0.25">
      <c r="A9706" t="str">
        <f>"20190303162137102"</f>
        <v>20190303162137102</v>
      </c>
      <c r="B9706" t="str">
        <f>"1551601297091841"</f>
        <v>1551601297091841</v>
      </c>
      <c r="C9706" t="s">
        <v>40</v>
      </c>
      <c r="D9706">
        <v>4.7251719999999997</v>
      </c>
      <c r="E9706">
        <v>0.55048269999999899</v>
      </c>
      <c r="F9706" t="s">
        <v>42</v>
      </c>
      <c r="G9706">
        <v>-188.1095</v>
      </c>
      <c r="H9706">
        <v>0.89647209999999999</v>
      </c>
      <c r="I9706">
        <v>-17.958860000000001</v>
      </c>
      <c r="J9706">
        <v>-188.15119999999999</v>
      </c>
      <c r="K9706">
        <v>1.122647</v>
      </c>
      <c r="L9706">
        <v>-18.395969999999998</v>
      </c>
      <c r="M9706">
        <v>6.2437550000000001E-3</v>
      </c>
      <c r="N9706">
        <v>-1.187904E-2</v>
      </c>
      <c r="O9706">
        <v>0.99990990000000002</v>
      </c>
      <c r="P9706">
        <v>-5.7120509999999999E-2</v>
      </c>
      <c r="Q9706">
        <v>0.1109446</v>
      </c>
      <c r="R9706">
        <v>0.9921837</v>
      </c>
      <c r="S9706">
        <v>0.1864624</v>
      </c>
      <c r="T9706">
        <v>-1.006724</v>
      </c>
      <c r="U9706">
        <v>3.1484990000000002</v>
      </c>
      <c r="V9706">
        <v>-6.3735280000000005E-2</v>
      </c>
      <c r="W9706">
        <v>0.12250080000000001</v>
      </c>
      <c r="X9706">
        <v>0.99041979999999996</v>
      </c>
      <c r="Y9706">
        <v>5.0192769999999998E-2</v>
      </c>
      <c r="Z9706">
        <v>-0.29278159999999998</v>
      </c>
      <c r="AA9706">
        <v>0.95486099999999996</v>
      </c>
      <c r="AB9706">
        <v>29</v>
      </c>
      <c r="AC9706">
        <v>4.1699999999991598E-2</v>
      </c>
      <c r="AD9706">
        <v>-0.22617490000000001</v>
      </c>
      <c r="AE9706">
        <v>0.43711</v>
      </c>
      <c r="AF9706">
        <v>3.0798324504965301E-2</v>
      </c>
      <c r="AG9706">
        <v>-0.22617490000000001</v>
      </c>
      <c r="AH9706">
        <v>0.345652714909988</v>
      </c>
      <c r="AI9706">
        <v>123.094674483625</v>
      </c>
      <c r="AJ9706">
        <v>84.908281618704393</v>
      </c>
      <c r="AK9706">
        <v>0.41422146432430101</v>
      </c>
      <c r="AL9706">
        <v>82.963547114880697</v>
      </c>
      <c r="AM9706">
        <v>93.682008582132696</v>
      </c>
      <c r="AN9706">
        <v>1.0000000060746701</v>
      </c>
    </row>
    <row r="9707" spans="1:40" x14ac:dyDescent="0.25">
      <c r="A9707" t="str">
        <f>"20190303162137126"</f>
        <v>20190303162137126</v>
      </c>
      <c r="B9707" t="str">
        <f>"1551601297122098"</f>
        <v>1551601297122098</v>
      </c>
      <c r="C9707" t="s">
        <v>40</v>
      </c>
      <c r="D9707">
        <v>4.6833929999999997</v>
      </c>
      <c r="E9707">
        <v>0.55045829999999996</v>
      </c>
      <c r="F9707" t="s">
        <v>42</v>
      </c>
      <c r="G9707">
        <v>-188.10890000000001</v>
      </c>
      <c r="H9707">
        <v>0.89982969999999896</v>
      </c>
      <c r="I9707">
        <v>-17.7</v>
      </c>
      <c r="J9707">
        <v>-188.15129999999999</v>
      </c>
      <c r="K9707">
        <v>1.122541</v>
      </c>
      <c r="L9707">
        <v>-18.09656</v>
      </c>
      <c r="M9707">
        <v>4.5560039999999998E-3</v>
      </c>
      <c r="N9707">
        <v>-1.1876090000000001E-2</v>
      </c>
      <c r="O9707">
        <v>0.99991909999999895</v>
      </c>
      <c r="P9707">
        <v>-5.3651780000000003E-2</v>
      </c>
      <c r="Q9707">
        <v>0.11191089999999999</v>
      </c>
      <c r="R9707">
        <v>0.99226890000000001</v>
      </c>
      <c r="S9707">
        <v>0.19113160000000001</v>
      </c>
      <c r="T9707">
        <v>-1.0076579999999999</v>
      </c>
      <c r="U9707">
        <v>3.1473080000000002</v>
      </c>
      <c r="V9707">
        <v>-5.8561450000000001E-2</v>
      </c>
      <c r="W9707">
        <v>0.1235002</v>
      </c>
      <c r="X9707">
        <v>0.99061509999999997</v>
      </c>
      <c r="Y9707">
        <v>5.3298499999999999E-2</v>
      </c>
      <c r="Z9707">
        <v>-0.2931124</v>
      </c>
      <c r="AA9707">
        <v>0.95459119999999997</v>
      </c>
      <c r="AB9707">
        <v>29</v>
      </c>
      <c r="AC9707">
        <v>4.23999999999864E-2</v>
      </c>
      <c r="AD9707">
        <v>-0.2227113</v>
      </c>
      <c r="AE9707">
        <v>0.39656000000000002</v>
      </c>
      <c r="AF9707">
        <v>3.0943363375423999E-2</v>
      </c>
      <c r="AG9707">
        <v>-0.2227113</v>
      </c>
      <c r="AH9707">
        <v>0.30243737509025098</v>
      </c>
      <c r="AI9707">
        <v>126.225158742066</v>
      </c>
      <c r="AJ9707">
        <v>84.158207586545899</v>
      </c>
      <c r="AK9707">
        <v>0.37686361025728499</v>
      </c>
      <c r="AL9707">
        <v>82.905847600522705</v>
      </c>
      <c r="AM9707">
        <v>93.3831742026059</v>
      </c>
      <c r="AN9707">
        <v>1.00000000958707</v>
      </c>
    </row>
    <row r="9708" spans="1:40" x14ac:dyDescent="0.25">
      <c r="A9708" t="str">
        <f>"20190303162137149"</f>
        <v>20190303162137149</v>
      </c>
      <c r="B9708" t="str">
        <f>"1551601297142595"</f>
        <v>1551601297142595</v>
      </c>
      <c r="C9708" t="s">
        <v>40</v>
      </c>
      <c r="D9708">
        <v>4.6702329999999996</v>
      </c>
      <c r="E9708">
        <v>0.55051680000000003</v>
      </c>
      <c r="F9708" t="s">
        <v>42</v>
      </c>
      <c r="G9708">
        <v>-188.09370000000001</v>
      </c>
      <c r="H9708">
        <v>0.84025509999999903</v>
      </c>
      <c r="I9708">
        <v>-17.209669999999999</v>
      </c>
      <c r="J9708">
        <v>-188.1516</v>
      </c>
      <c r="K9708">
        <v>1.12239</v>
      </c>
      <c r="L9708">
        <v>-17.794740000000001</v>
      </c>
      <c r="M9708">
        <v>3.1179749999999998E-3</v>
      </c>
      <c r="N9708">
        <v>-1.187261E-2</v>
      </c>
      <c r="O9708">
        <v>0.9999247</v>
      </c>
      <c r="P9708">
        <v>-5.124567E-2</v>
      </c>
      <c r="Q9708">
        <v>0.114548</v>
      </c>
      <c r="R9708">
        <v>0.99209510000000001</v>
      </c>
      <c r="S9708">
        <v>0.20381160000000001</v>
      </c>
      <c r="T9708">
        <v>-1.001782</v>
      </c>
      <c r="U9708">
        <v>3.1473689999999999</v>
      </c>
      <c r="V9708">
        <v>-5.4682840000000003E-2</v>
      </c>
      <c r="W9708">
        <v>0.12616849999999999</v>
      </c>
      <c r="X9708">
        <v>0.99050050000000001</v>
      </c>
      <c r="Y9708">
        <v>5.8586930000000002E-2</v>
      </c>
      <c r="Z9708">
        <v>-0.29141479999999997</v>
      </c>
      <c r="AA9708">
        <v>0.95480100000000001</v>
      </c>
      <c r="AB9708">
        <v>29</v>
      </c>
      <c r="AC9708">
        <v>5.7899999999989397E-2</v>
      </c>
      <c r="AD9708">
        <v>-0.28213490000000002</v>
      </c>
      <c r="AE9708">
        <v>0.58506999999999798</v>
      </c>
      <c r="AF9708">
        <v>4.5579165343351602E-2</v>
      </c>
      <c r="AG9708">
        <v>-0.28213490000000002</v>
      </c>
      <c r="AH9708">
        <v>0.47570097398453398</v>
      </c>
      <c r="AI9708">
        <v>120.557140536392</v>
      </c>
      <c r="AJ9708">
        <v>84.526927401634595</v>
      </c>
      <c r="AK9708">
        <v>0.55494952812056797</v>
      </c>
      <c r="AL9708">
        <v>82.751759614855303</v>
      </c>
      <c r="AM9708">
        <v>93.159936506382195</v>
      </c>
      <c r="AN9708">
        <v>0.99999997194148205</v>
      </c>
    </row>
    <row r="9709" spans="1:40" x14ac:dyDescent="0.25">
      <c r="A9709" t="str">
        <f>"20190303162137171"</f>
        <v>20190303162137171</v>
      </c>
      <c r="B9709" t="str">
        <f>"1551601297162114"</f>
        <v>1551601297162114</v>
      </c>
      <c r="C9709" t="s">
        <v>40</v>
      </c>
      <c r="D9709">
        <v>4.6879429999999997</v>
      </c>
      <c r="E9709">
        <v>0.55047460000000004</v>
      </c>
      <c r="F9709" t="s">
        <v>42</v>
      </c>
      <c r="G9709">
        <v>-188.09289999999999</v>
      </c>
      <c r="H9709">
        <v>0.85572159999999997</v>
      </c>
      <c r="I9709">
        <v>-16.945709999999998</v>
      </c>
      <c r="J9709">
        <v>-188.15199999999999</v>
      </c>
      <c r="K9709">
        <v>1.1222369999999999</v>
      </c>
      <c r="L9709">
        <v>-17.50967</v>
      </c>
      <c r="M9709">
        <v>1.9655599999999999E-3</v>
      </c>
      <c r="N9709">
        <v>-1.186974E-2</v>
      </c>
      <c r="O9709">
        <v>0.99992760000000003</v>
      </c>
      <c r="P9709">
        <v>-4.9228439999999998E-2</v>
      </c>
      <c r="Q9709">
        <v>0.12000959999999999</v>
      </c>
      <c r="R9709">
        <v>0.99155150000000003</v>
      </c>
      <c r="S9709">
        <v>0.217392</v>
      </c>
      <c r="T9709">
        <v>-0.98917010000000005</v>
      </c>
      <c r="U9709">
        <v>3.1493530000000001</v>
      </c>
      <c r="V9709">
        <v>-5.1479199999999899E-2</v>
      </c>
      <c r="W9709">
        <v>0.13165180000000001</v>
      </c>
      <c r="X9709">
        <v>0.98995840000000002</v>
      </c>
      <c r="Y9709">
        <v>6.3865549999999993E-2</v>
      </c>
      <c r="Z9709">
        <v>-0.2876784</v>
      </c>
      <c r="AA9709">
        <v>0.95559530000000004</v>
      </c>
      <c r="AB9709">
        <v>29</v>
      </c>
      <c r="AC9709">
        <v>5.9100000000029199E-2</v>
      </c>
      <c r="AD9709">
        <v>-0.26651540000000001</v>
      </c>
      <c r="AE9709">
        <v>0.56395999999999702</v>
      </c>
      <c r="AF9709">
        <v>4.7498644654964998E-2</v>
      </c>
      <c r="AG9709">
        <v>-0.26651540000000001</v>
      </c>
      <c r="AH9709">
        <v>0.46201407958378998</v>
      </c>
      <c r="AI9709">
        <v>119.848540729625</v>
      </c>
      <c r="AJ9709">
        <v>84.130170063414894</v>
      </c>
      <c r="AK9709">
        <v>0.53548444367215298</v>
      </c>
      <c r="AL9709">
        <v>82.434945809752506</v>
      </c>
      <c r="AM9709">
        <v>92.976778153208997</v>
      </c>
      <c r="AN9709">
        <v>0.99999996910321898</v>
      </c>
    </row>
    <row r="9710" spans="1:40" x14ac:dyDescent="0.25">
      <c r="A9710" t="str">
        <f>"20190303162137193"</f>
        <v>20190303162137193</v>
      </c>
      <c r="B9710" t="str">
        <f>"1551601297182610"</f>
        <v>1551601297182610</v>
      </c>
      <c r="C9710" t="s">
        <v>40</v>
      </c>
      <c r="D9710">
        <v>4.6665099999999997</v>
      </c>
      <c r="E9710">
        <v>0.55047650000000004</v>
      </c>
      <c r="F9710" t="s">
        <v>42</v>
      </c>
      <c r="G9710">
        <v>-188.0924</v>
      </c>
      <c r="H9710">
        <v>0.86821479999999995</v>
      </c>
      <c r="I9710">
        <v>-16.68282</v>
      </c>
      <c r="J9710">
        <v>-188.1525</v>
      </c>
      <c r="K9710">
        <v>1.1220559999999999</v>
      </c>
      <c r="L9710">
        <v>-17.23291</v>
      </c>
      <c r="M9710">
        <v>1.1023129999999999E-3</v>
      </c>
      <c r="N9710">
        <v>-1.186743E-2</v>
      </c>
      <c r="O9710">
        <v>0.99992899999999996</v>
      </c>
      <c r="P9710">
        <v>-4.679498E-2</v>
      </c>
      <c r="Q9710">
        <v>0.1235251</v>
      </c>
      <c r="R9710">
        <v>0.99123749999999999</v>
      </c>
      <c r="S9710">
        <v>0.22686770000000001</v>
      </c>
      <c r="T9710">
        <v>-0.96897299999999997</v>
      </c>
      <c r="U9710">
        <v>3.1541139999999999</v>
      </c>
      <c r="V9710">
        <v>-4.8133950000000002E-2</v>
      </c>
      <c r="W9710">
        <v>0.1351918</v>
      </c>
      <c r="X9710">
        <v>0.98964960000000002</v>
      </c>
      <c r="Y9710">
        <v>6.7608799999999997E-2</v>
      </c>
      <c r="Z9710">
        <v>-0.28161710000000001</v>
      </c>
      <c r="AA9710">
        <v>0.95714200000000005</v>
      </c>
      <c r="AB9710">
        <v>29</v>
      </c>
      <c r="AC9710">
        <v>6.0100000000005503E-2</v>
      </c>
      <c r="AD9710">
        <v>-0.25384119999999899</v>
      </c>
      <c r="AE9710">
        <v>0.55008999999999997</v>
      </c>
      <c r="AF9710">
        <v>4.91508393831993E-2</v>
      </c>
      <c r="AG9710">
        <v>-0.25384119999999899</v>
      </c>
      <c r="AH9710">
        <v>0.45451356470603899</v>
      </c>
      <c r="AI9710">
        <v>119.041340763129</v>
      </c>
      <c r="AJ9710">
        <v>83.828050835224701</v>
      </c>
      <c r="AK9710">
        <v>0.52290892164057001</v>
      </c>
      <c r="AL9710">
        <v>82.230289224424496</v>
      </c>
      <c r="AM9710">
        <v>92.784521511092606</v>
      </c>
      <c r="AN9710">
        <v>1.0000000153549999</v>
      </c>
    </row>
    <row r="9711" spans="1:40" x14ac:dyDescent="0.25">
      <c r="A9711" t="str">
        <f>"20190303162137213"</f>
        <v>20190303162137213</v>
      </c>
      <c r="B9711" t="str">
        <f>"1551601297202130"</f>
        <v>1551601297202130</v>
      </c>
      <c r="C9711" t="s">
        <v>40</v>
      </c>
      <c r="D9711">
        <v>4.6830339999999904</v>
      </c>
      <c r="E9711">
        <v>0.55037349999999996</v>
      </c>
      <c r="F9711" t="s">
        <v>42</v>
      </c>
      <c r="G9711">
        <v>-188.0915</v>
      </c>
      <c r="H9711">
        <v>0.87655810000000001</v>
      </c>
      <c r="I9711">
        <v>-16.42146</v>
      </c>
      <c r="J9711">
        <v>-188.15289999999999</v>
      </c>
      <c r="K9711">
        <v>1.1218330000000001</v>
      </c>
      <c r="L9711">
        <v>-16.955259999999999</v>
      </c>
      <c r="M9711">
        <v>5.4787900000000003E-4</v>
      </c>
      <c r="N9711">
        <v>-1.186565E-2</v>
      </c>
      <c r="O9711">
        <v>0.99992939999999997</v>
      </c>
      <c r="P9711">
        <v>-4.5459329999999999E-2</v>
      </c>
      <c r="Q9711">
        <v>0.12428210000000001</v>
      </c>
      <c r="R9711">
        <v>0.991205</v>
      </c>
      <c r="S9711">
        <v>0.23698430000000001</v>
      </c>
      <c r="T9711">
        <v>-0.9550265</v>
      </c>
      <c r="U9711">
        <v>3.1567080000000001</v>
      </c>
      <c r="V9711">
        <v>-4.617802E-2</v>
      </c>
      <c r="W9711">
        <v>0.13597509999999999</v>
      </c>
      <c r="X9711">
        <v>0.9896355</v>
      </c>
      <c r="Y9711">
        <v>7.1241910000000006E-2</v>
      </c>
      <c r="Z9711">
        <v>-0.27745819999999999</v>
      </c>
      <c r="AA9711">
        <v>0.95809259999999996</v>
      </c>
      <c r="AB9711">
        <v>29</v>
      </c>
      <c r="AC9711">
        <v>6.1399999999991899E-2</v>
      </c>
      <c r="AD9711">
        <v>-0.24527489999999999</v>
      </c>
      <c r="AE9711">
        <v>0.53379999999999905</v>
      </c>
      <c r="AF9711">
        <v>5.0570087667335499E-2</v>
      </c>
      <c r="AG9711">
        <v>-0.24527489999999999</v>
      </c>
      <c r="AH9711">
        <v>0.441778907119521</v>
      </c>
      <c r="AI9711">
        <v>118.88096296135799</v>
      </c>
      <c r="AJ9711">
        <v>83.469819819988402</v>
      </c>
      <c r="AK9711">
        <v>0.50782449046142897</v>
      </c>
      <c r="AL9711">
        <v>82.1849912702464</v>
      </c>
      <c r="AM9711">
        <v>92.671577476153004</v>
      </c>
      <c r="AN9711">
        <v>1.0000000301056799</v>
      </c>
    </row>
    <row r="9712" spans="1:40" x14ac:dyDescent="0.25">
      <c r="A9712" t="str">
        <f>"20190303162137239"</f>
        <v>20190303162137239</v>
      </c>
      <c r="B9712" t="str">
        <f>"1551601297232387"</f>
        <v>1551601297232387</v>
      </c>
      <c r="C9712" t="s">
        <v>40</v>
      </c>
      <c r="D9712">
        <v>4.6770370000000003</v>
      </c>
      <c r="E9712">
        <v>0.52559219999999995</v>
      </c>
      <c r="F9712" t="s">
        <v>42</v>
      </c>
      <c r="G9712">
        <v>-188.09119999999999</v>
      </c>
      <c r="H9712">
        <v>0.88243209999999905</v>
      </c>
      <c r="I9712">
        <v>-16.16093</v>
      </c>
      <c r="J9712">
        <v>-188.15309999999999</v>
      </c>
      <c r="K9712">
        <v>1.1215520000000001</v>
      </c>
      <c r="L9712">
        <v>-16.640779999999999</v>
      </c>
      <c r="M9712">
        <v>3.2383500000000002E-4</v>
      </c>
      <c r="N9712">
        <v>-1.186479E-2</v>
      </c>
      <c r="O9712">
        <v>0.99992950000000003</v>
      </c>
      <c r="P9712">
        <v>-4.6040159999999997E-2</v>
      </c>
      <c r="Q9712">
        <v>0.1240067</v>
      </c>
      <c r="R9712">
        <v>0.99121269999999995</v>
      </c>
      <c r="S9712">
        <v>0.24455260000000001</v>
      </c>
      <c r="T9712">
        <v>-0.95145369999999996</v>
      </c>
      <c r="U9712">
        <v>3.1571349999999998</v>
      </c>
      <c r="V9712">
        <v>-4.6443390000000001E-2</v>
      </c>
      <c r="W9712">
        <v>0.135730399999999</v>
      </c>
      <c r="X9712">
        <v>0.9896566</v>
      </c>
      <c r="Y9712">
        <v>7.3758729999999995E-2</v>
      </c>
      <c r="Z9712">
        <v>-0.27637869999999998</v>
      </c>
      <c r="AA9712">
        <v>0.95821420000000002</v>
      </c>
      <c r="AB9712">
        <v>29</v>
      </c>
      <c r="AC9712">
        <v>6.1900000000008497E-2</v>
      </c>
      <c r="AD9712">
        <v>-0.2391199</v>
      </c>
      <c r="AE9712">
        <v>0.479849999999998</v>
      </c>
      <c r="AF9712">
        <v>4.9623532310398698E-2</v>
      </c>
      <c r="AG9712">
        <v>-0.2391199</v>
      </c>
      <c r="AH9712">
        <v>0.38566689230863599</v>
      </c>
      <c r="AI9712">
        <v>121.58931584921601</v>
      </c>
      <c r="AJ9712">
        <v>82.6680706585</v>
      </c>
      <c r="AK9712">
        <v>0.456486334251062</v>
      </c>
      <c r="AL9712">
        <v>82.199142178409403</v>
      </c>
      <c r="AM9712">
        <v>92.686850522256407</v>
      </c>
      <c r="AN9712">
        <v>0.999999957941205</v>
      </c>
    </row>
    <row r="9713" spans="1:40" x14ac:dyDescent="0.25">
      <c r="A9713" t="str">
        <f>"20190303162137260"</f>
        <v>20190303162137260</v>
      </c>
      <c r="B9713" t="str">
        <f>"1551601297251907"</f>
        <v>1551601297251907</v>
      </c>
      <c r="C9713" t="s">
        <v>40</v>
      </c>
      <c r="D9713">
        <v>4.7091620000000001</v>
      </c>
      <c r="E9713">
        <v>0.51422659999999998</v>
      </c>
      <c r="F9713" t="s">
        <v>42</v>
      </c>
      <c r="G9713">
        <v>-188.13910000000001</v>
      </c>
      <c r="H9713">
        <v>0.98892029999999997</v>
      </c>
      <c r="I9713">
        <v>-15.85192</v>
      </c>
      <c r="J9713">
        <v>-188.15289999999999</v>
      </c>
      <c r="K9713">
        <v>1.1212679999999999</v>
      </c>
      <c r="L9713">
        <v>-16.3566</v>
      </c>
      <c r="M9713">
        <v>5.1651269999999905E-4</v>
      </c>
      <c r="N9713">
        <v>-1.186561E-2</v>
      </c>
      <c r="O9713">
        <v>0.99992950000000003</v>
      </c>
      <c r="P9713">
        <v>-4.6620549999999997E-2</v>
      </c>
      <c r="Q9713">
        <v>0.1247356</v>
      </c>
      <c r="R9713">
        <v>0.99109409999999998</v>
      </c>
      <c r="S9713">
        <v>5.4809570000000002E-2</v>
      </c>
      <c r="T9713">
        <v>-0.52020129999999998</v>
      </c>
      <c r="U9713">
        <v>3.0942080000000001</v>
      </c>
      <c r="V9713">
        <v>-4.7121250000000003E-2</v>
      </c>
      <c r="W9713">
        <v>0.13649049999999999</v>
      </c>
      <c r="X9713">
        <v>0.98952010000000001</v>
      </c>
      <c r="Y9713">
        <v>1.6964699999999999E-2</v>
      </c>
      <c r="Z9713">
        <v>-0.15405669999999999</v>
      </c>
      <c r="AA9713">
        <v>0.98791640000000003</v>
      </c>
      <c r="AB9713">
        <v>29</v>
      </c>
      <c r="AC9713">
        <v>1.37999999999749E-2</v>
      </c>
      <c r="AD9713">
        <v>-0.13234769999999901</v>
      </c>
      <c r="AE9713">
        <v>0.50467999999999802</v>
      </c>
      <c r="AF9713">
        <v>1.2668725675016999E-2</v>
      </c>
      <c r="AG9713">
        <v>-0.13234769999999901</v>
      </c>
      <c r="AH9713">
        <v>0.4722355666202</v>
      </c>
      <c r="AI9713">
        <v>105.650587703403</v>
      </c>
      <c r="AJ9713">
        <v>88.463287169044506</v>
      </c>
      <c r="AK9713">
        <v>0.49059437490315799</v>
      </c>
      <c r="AL9713">
        <v>82.155183265818593</v>
      </c>
      <c r="AM9713">
        <v>92.726382933288605</v>
      </c>
      <c r="AN9713">
        <v>1.0000000485479099</v>
      </c>
    </row>
    <row r="9714" spans="1:40" x14ac:dyDescent="0.25">
      <c r="A9714" t="str">
        <f>"20190303162137282"</f>
        <v>20190303162137282</v>
      </c>
      <c r="B9714" t="str">
        <f>"1551601297272403"</f>
        <v>1551601297272403</v>
      </c>
      <c r="C9714" t="s">
        <v>40</v>
      </c>
      <c r="D9714">
        <v>4.7344619999999997</v>
      </c>
      <c r="E9714">
        <v>0.51067899999999999</v>
      </c>
      <c r="F9714" t="s">
        <v>41</v>
      </c>
      <c r="G9714">
        <v>-188.285</v>
      </c>
      <c r="H9714" s="1">
        <v>-2.829418E-6</v>
      </c>
      <c r="I9714">
        <v>-4.48088</v>
      </c>
      <c r="J9714">
        <v>-188.1523</v>
      </c>
      <c r="K9714">
        <v>1.1209789999999999</v>
      </c>
      <c r="L9714">
        <v>-16.07199</v>
      </c>
      <c r="M9714">
        <v>1.0985350000000001E-3</v>
      </c>
      <c r="N9714">
        <v>-1.186833E-2</v>
      </c>
      <c r="O9714">
        <v>0.99992899999999996</v>
      </c>
      <c r="P9714">
        <v>-4.6154349999999997E-2</v>
      </c>
      <c r="Q9714">
        <v>0.12631310000000001</v>
      </c>
      <c r="R9714">
        <v>0.99091609999999997</v>
      </c>
      <c r="S9714">
        <v>-3.4057619999999997E-2</v>
      </c>
      <c r="T9714">
        <v>-0.28908040000000002</v>
      </c>
      <c r="U9714">
        <v>3.0617369999999999</v>
      </c>
      <c r="V9714">
        <v>-4.7129490000000003E-2</v>
      </c>
      <c r="W9714">
        <v>0.138103</v>
      </c>
      <c r="X9714">
        <v>0.98929590000000001</v>
      </c>
      <c r="Y9714">
        <v>-1.217617E-2</v>
      </c>
      <c r="Z9714">
        <v>-8.2170140000000003E-2</v>
      </c>
      <c r="AA9714">
        <v>0.99654390000000004</v>
      </c>
      <c r="AB9714">
        <v>29</v>
      </c>
      <c r="AC9714">
        <v>-0.13269999999999901</v>
      </c>
      <c r="AD9714">
        <v>-1.1209818294180001</v>
      </c>
      <c r="AE9714">
        <v>11.59111</v>
      </c>
      <c r="AF9714">
        <v>-0.14408660291651099</v>
      </c>
      <c r="AG9714">
        <v>-1.1209818294180001</v>
      </c>
      <c r="AH9714">
        <v>11.483566447982399</v>
      </c>
      <c r="AI9714">
        <v>95.574894595340695</v>
      </c>
      <c r="AJ9714">
        <v>90.718863872100897</v>
      </c>
      <c r="AK9714">
        <v>11.5390493358965</v>
      </c>
      <c r="AL9714">
        <v>82.061910151408</v>
      </c>
      <c r="AM9714">
        <v>92.727476014558803</v>
      </c>
      <c r="AN9714">
        <v>1.0000000025967299</v>
      </c>
    </row>
    <row r="9715" spans="1:40" x14ac:dyDescent="0.25">
      <c r="A9715" t="str">
        <f>"20190303162137303"</f>
        <v>20190303162137303</v>
      </c>
      <c r="B9715" t="str">
        <f>"1551601297291922"</f>
        <v>1551601297291922</v>
      </c>
      <c r="C9715" t="s">
        <v>40</v>
      </c>
      <c r="D9715">
        <v>4.7080209999999996</v>
      </c>
      <c r="E9715">
        <v>0.50901809999999903</v>
      </c>
      <c r="F9715" t="s">
        <v>41</v>
      </c>
      <c r="G9715">
        <v>-188.51650000000001</v>
      </c>
      <c r="H9715" s="1">
        <v>-1.4455369999999999E-6</v>
      </c>
      <c r="I9715">
        <v>2.3889490000000002</v>
      </c>
      <c r="J9715">
        <v>-188.15110000000001</v>
      </c>
      <c r="K9715">
        <v>1.12069</v>
      </c>
      <c r="L9715">
        <v>-15.7953799999999</v>
      </c>
      <c r="M9715">
        <v>2.033689E-3</v>
      </c>
      <c r="N9715">
        <v>-1.187273E-2</v>
      </c>
      <c r="O9715">
        <v>0.99992749999999997</v>
      </c>
      <c r="P9715">
        <v>-4.4461279999999999E-2</v>
      </c>
      <c r="Q9715">
        <v>0.12769440000000001</v>
      </c>
      <c r="R9715">
        <v>0.99081649999999999</v>
      </c>
      <c r="S9715">
        <v>-6.0134890000000003E-2</v>
      </c>
      <c r="T9715">
        <v>-0.1850967</v>
      </c>
      <c r="U9715">
        <v>3.048279</v>
      </c>
      <c r="V9715">
        <v>-4.6260700000000002E-2</v>
      </c>
      <c r="W9715">
        <v>0.1395197</v>
      </c>
      <c r="X9715">
        <v>0.98913810000000002</v>
      </c>
      <c r="Y9715">
        <v>-2.1724239999999999E-2</v>
      </c>
      <c r="Z9715">
        <v>-4.874146E-2</v>
      </c>
      <c r="AA9715">
        <v>0.9985752</v>
      </c>
      <c r="AB9715">
        <v>29</v>
      </c>
      <c r="AC9715">
        <v>-0.36539999999999401</v>
      </c>
      <c r="AD9715">
        <v>-1.1206914455370001</v>
      </c>
      <c r="AE9715">
        <v>18.184329000000002</v>
      </c>
      <c r="AF9715">
        <v>-0.40086118351487499</v>
      </c>
      <c r="AG9715">
        <v>-1.1206914455370001</v>
      </c>
      <c r="AH9715">
        <v>18.114772513067901</v>
      </c>
      <c r="AI9715">
        <v>93.539293730461395</v>
      </c>
      <c r="AJ9715">
        <v>91.267689453552705</v>
      </c>
      <c r="AK9715">
        <v>18.153832163065399</v>
      </c>
      <c r="AL9715">
        <v>81.979945600693398</v>
      </c>
      <c r="AM9715">
        <v>92.677697764393599</v>
      </c>
      <c r="AN9715">
        <v>0.99999998996209405</v>
      </c>
    </row>
    <row r="9716" spans="1:40" x14ac:dyDescent="0.25">
      <c r="A9716" t="str">
        <f>"20190303162137325"</f>
        <v>20190303162137325</v>
      </c>
      <c r="B9716" t="str">
        <f>"1551601297312419"</f>
        <v>1551601297312419</v>
      </c>
      <c r="C9716" t="s">
        <v>40</v>
      </c>
      <c r="D9716">
        <v>4.7041040000000001</v>
      </c>
      <c r="E9716">
        <v>0.50760699999999903</v>
      </c>
      <c r="F9716" t="s">
        <v>41</v>
      </c>
      <c r="G9716">
        <v>-188.70140000000001</v>
      </c>
      <c r="H9716" s="1">
        <v>-4.0558789999999996E-6</v>
      </c>
      <c r="I9716">
        <v>8.55020899999999</v>
      </c>
      <c r="J9716">
        <v>-188.14920000000001</v>
      </c>
      <c r="K9716">
        <v>1.1204229999999999</v>
      </c>
      <c r="L9716">
        <v>-15.518549999999999</v>
      </c>
      <c r="M9716">
        <v>3.3032890000000001E-3</v>
      </c>
      <c r="N9716">
        <v>-1.187794E-2</v>
      </c>
      <c r="O9716">
        <v>0.99992400000000004</v>
      </c>
      <c r="P9716">
        <v>-4.3315649999999997E-2</v>
      </c>
      <c r="Q9716">
        <v>0.12860969999999999</v>
      </c>
      <c r="R9716">
        <v>0.99074890000000004</v>
      </c>
      <c r="S9716">
        <v>-6.8786620000000007E-2</v>
      </c>
      <c r="T9716">
        <v>-0.14006640000000001</v>
      </c>
      <c r="U9716">
        <v>3.0427550000000001</v>
      </c>
      <c r="V9716">
        <v>-4.6276579999999998E-2</v>
      </c>
      <c r="W9716">
        <v>0.14047009999999999</v>
      </c>
      <c r="X9716">
        <v>0.98900279999999996</v>
      </c>
      <c r="Y9716">
        <v>-2.5881419999999999E-2</v>
      </c>
      <c r="Z9716">
        <v>-3.4101050000000001E-2</v>
      </c>
      <c r="AA9716">
        <v>0.99908319999999995</v>
      </c>
      <c r="AB9716">
        <v>29</v>
      </c>
      <c r="AC9716">
        <v>-0.55219999999999902</v>
      </c>
      <c r="AD9716">
        <v>-1.1204270558789999</v>
      </c>
      <c r="AE9716">
        <v>24.068759</v>
      </c>
      <c r="AF9716">
        <v>-0.63034342442393798</v>
      </c>
      <c r="AG9716">
        <v>-1.1204270558789999</v>
      </c>
      <c r="AH9716">
        <v>24.0147906827825</v>
      </c>
      <c r="AI9716">
        <v>92.670319670576504</v>
      </c>
      <c r="AJ9716">
        <v>91.503562015143999</v>
      </c>
      <c r="AK9716">
        <v>24.049175893533601</v>
      </c>
      <c r="AL9716">
        <v>81.924949818572401</v>
      </c>
      <c r="AM9716">
        <v>92.678981517140102</v>
      </c>
      <c r="AN9716">
        <v>0.99999995462917202</v>
      </c>
    </row>
    <row r="9717" spans="1:40" x14ac:dyDescent="0.25">
      <c r="A9717" t="str">
        <f>"20190303162137347"</f>
        <v>20190303162137347</v>
      </c>
      <c r="B9717" t="str">
        <f>"1551601297331938"</f>
        <v>1551601297331938</v>
      </c>
      <c r="C9717" t="s">
        <v>40</v>
      </c>
      <c r="D9717">
        <v>4.7207589999999904</v>
      </c>
      <c r="E9717">
        <v>0.50684459999999998</v>
      </c>
      <c r="F9717" t="s">
        <v>41</v>
      </c>
      <c r="G9717">
        <v>-188.86269999999999</v>
      </c>
      <c r="H9717" s="1">
        <v>-1.490515E-6</v>
      </c>
      <c r="I9717">
        <v>12.636939999999999</v>
      </c>
      <c r="J9717">
        <v>-188.1465</v>
      </c>
      <c r="K9717">
        <v>1.1201890000000001</v>
      </c>
      <c r="L9717">
        <v>-15.224819999999999</v>
      </c>
      <c r="M9717">
        <v>4.9784540000000002E-3</v>
      </c>
      <c r="N9717">
        <v>-1.1883390000000001E-2</v>
      </c>
      <c r="O9717">
        <v>0.99991699999999994</v>
      </c>
      <c r="P9717">
        <v>-4.2563730000000001E-2</v>
      </c>
      <c r="Q9717">
        <v>0.1297027</v>
      </c>
      <c r="R9717">
        <v>0.99063900000000005</v>
      </c>
      <c r="S9717">
        <v>-7.704163E-2</v>
      </c>
      <c r="T9717">
        <v>-0.120988</v>
      </c>
      <c r="U9717">
        <v>3.0403440000000002</v>
      </c>
      <c r="V9717">
        <v>-4.7095629999999999E-2</v>
      </c>
      <c r="W9717">
        <v>0.1415969</v>
      </c>
      <c r="X9717">
        <v>0.9888034</v>
      </c>
      <c r="Y9717">
        <v>-3.0289400000000001E-2</v>
      </c>
      <c r="Z9717">
        <v>-2.7868939999999998E-2</v>
      </c>
      <c r="AA9717">
        <v>0.99915259999999995</v>
      </c>
      <c r="AB9717">
        <v>29</v>
      </c>
      <c r="AC9717">
        <v>-0.71619999999998596</v>
      </c>
      <c r="AD9717">
        <v>-1.120190490515</v>
      </c>
      <c r="AE9717">
        <v>27.861759999999901</v>
      </c>
      <c r="AF9717">
        <v>-0.85353061566481603</v>
      </c>
      <c r="AG9717">
        <v>-1.120190490515</v>
      </c>
      <c r="AH9717">
        <v>27.8129198902494</v>
      </c>
      <c r="AI9717">
        <v>92.3053086400067</v>
      </c>
      <c r="AJ9717">
        <v>91.7577571432642</v>
      </c>
      <c r="AK9717">
        <v>27.848552100034698</v>
      </c>
      <c r="AL9717">
        <v>81.859736848937004</v>
      </c>
      <c r="AM9717">
        <v>92.726874895170397</v>
      </c>
      <c r="AN9717">
        <v>0.99999992215313005</v>
      </c>
    </row>
    <row r="9718" spans="1:40" x14ac:dyDescent="0.25">
      <c r="A9718" t="str">
        <f>"20190303162137370"</f>
        <v>20190303162137370</v>
      </c>
      <c r="B9718" t="str">
        <f>"1551601297362195"</f>
        <v>1551601297362195</v>
      </c>
      <c r="C9718" t="s">
        <v>40</v>
      </c>
      <c r="D9718">
        <v>4.7402620000000004</v>
      </c>
      <c r="E9718">
        <v>0.50636049999999999</v>
      </c>
      <c r="F9718" t="s">
        <v>41</v>
      </c>
      <c r="G9718">
        <v>-188.97579999999999</v>
      </c>
      <c r="H9718" s="1">
        <v>-2.680024E-6</v>
      </c>
      <c r="I9718">
        <v>15.456490000000001</v>
      </c>
      <c r="J9718">
        <v>-188.1429</v>
      </c>
      <c r="K9718">
        <v>1.1200139999999901</v>
      </c>
      <c r="L9718">
        <v>-14.92606</v>
      </c>
      <c r="M9718">
        <v>6.9113150000000003E-3</v>
      </c>
      <c r="N9718">
        <v>-1.188637E-2</v>
      </c>
      <c r="O9718">
        <v>0.9999055</v>
      </c>
      <c r="P9718">
        <v>-4.015999E-2</v>
      </c>
      <c r="Q9718">
        <v>0.13177</v>
      </c>
      <c r="R9718">
        <v>0.99046650000000003</v>
      </c>
      <c r="S9718">
        <v>-8.2153320000000002E-2</v>
      </c>
      <c r="T9718">
        <v>-0.110967899999999</v>
      </c>
      <c r="U9718">
        <v>3.0393370000000002</v>
      </c>
      <c r="V9718">
        <v>-4.6532660000000003E-2</v>
      </c>
      <c r="W9718">
        <v>0.1436839</v>
      </c>
      <c r="X9718">
        <v>0.98852899999999999</v>
      </c>
      <c r="Y9718">
        <v>-3.3910849999999999E-2</v>
      </c>
      <c r="Z9718">
        <v>-2.4585650000000001E-2</v>
      </c>
      <c r="AA9718">
        <v>0.99912239999999997</v>
      </c>
      <c r="AB9718">
        <v>29</v>
      </c>
      <c r="AC9718">
        <v>-0.83289999999999498</v>
      </c>
      <c r="AD9718">
        <v>-1.1200166800239999</v>
      </c>
      <c r="AE9718">
        <v>30.382549999999998</v>
      </c>
      <c r="AF9718">
        <v>-1.04146408201651</v>
      </c>
      <c r="AG9718">
        <v>-1.1200166800239999</v>
      </c>
      <c r="AH9718">
        <v>30.334875074613699</v>
      </c>
      <c r="AI9718">
        <v>92.1132560149358</v>
      </c>
      <c r="AJ9718">
        <v>91.966319882816606</v>
      </c>
      <c r="AK9718">
        <v>30.373404988411799</v>
      </c>
      <c r="AL9718">
        <v>81.738925552685203</v>
      </c>
      <c r="AM9718">
        <v>92.695073601921194</v>
      </c>
      <c r="AN9718">
        <v>0.99999996770344202</v>
      </c>
    </row>
    <row r="9719" spans="1:40" x14ac:dyDescent="0.25">
      <c r="A9719" t="str">
        <f>"20190303162137392"</f>
        <v>20190303162137392</v>
      </c>
      <c r="B9719" t="str">
        <f>"1551601297381718"</f>
        <v>1551601297381718</v>
      </c>
      <c r="C9719" t="s">
        <v>40</v>
      </c>
      <c r="D9719">
        <v>4.8273020000000004</v>
      </c>
      <c r="E9719">
        <v>0.50625520000000002</v>
      </c>
      <c r="F9719" t="s">
        <v>41</v>
      </c>
      <c r="G9719">
        <v>-189.06299999999999</v>
      </c>
      <c r="H9719" s="1">
        <v>-4.4218050000000001E-6</v>
      </c>
      <c r="I9719">
        <v>19.552659999999999</v>
      </c>
      <c r="J9719">
        <v>-188.13890000000001</v>
      </c>
      <c r="K9719">
        <v>1.1198939999999999</v>
      </c>
      <c r="L9719">
        <v>-14.64655</v>
      </c>
      <c r="M9719">
        <v>8.8622259999999904E-3</v>
      </c>
      <c r="N9719">
        <v>-1.1883639999999999E-2</v>
      </c>
      <c r="O9719">
        <v>0.9998901</v>
      </c>
      <c r="P9719">
        <v>-3.5885529999999999E-2</v>
      </c>
      <c r="Q9719">
        <v>0.13426950000000001</v>
      </c>
      <c r="R9719">
        <v>0.99029489999999998</v>
      </c>
      <c r="S9719">
        <v>-8.1085210000000005E-2</v>
      </c>
      <c r="T9719">
        <v>-9.8711010000000002E-2</v>
      </c>
      <c r="U9719">
        <v>3.0387270000000002</v>
      </c>
      <c r="V9719">
        <v>-4.4136259999999997E-2</v>
      </c>
      <c r="W9719">
        <v>0.1461836</v>
      </c>
      <c r="X9719">
        <v>0.98827240000000005</v>
      </c>
      <c r="Y9719">
        <v>-3.5518090000000002E-2</v>
      </c>
      <c r="Z9719">
        <v>-2.0568220000000002E-2</v>
      </c>
      <c r="AA9719">
        <v>0.99915739999999997</v>
      </c>
      <c r="AB9719">
        <v>29</v>
      </c>
      <c r="AC9719">
        <v>-0.92409999999998105</v>
      </c>
      <c r="AD9719">
        <v>-1.1198984218050001</v>
      </c>
      <c r="AE9719">
        <v>34.199210000000001</v>
      </c>
      <c r="AF9719">
        <v>-1.22585269100012</v>
      </c>
      <c r="AG9719">
        <v>-1.1198984218050001</v>
      </c>
      <c r="AH9719">
        <v>34.153080265137099</v>
      </c>
      <c r="AI9719">
        <v>91.876879687048202</v>
      </c>
      <c r="AJ9719">
        <v>92.055628555354104</v>
      </c>
      <c r="AK9719">
        <v>34.193417186530098</v>
      </c>
      <c r="AL9719">
        <v>81.594175112500807</v>
      </c>
      <c r="AM9719">
        <v>92.557131183235896</v>
      </c>
      <c r="AN9719">
        <v>0.99999999547875296</v>
      </c>
    </row>
    <row r="9720" spans="1:40" x14ac:dyDescent="0.25">
      <c r="A9720" t="str">
        <f>"20190303162137415"</f>
        <v>20190303162137415</v>
      </c>
      <c r="B9720" t="str">
        <f>"1551601297402210"</f>
        <v>1551601297402210</v>
      </c>
      <c r="C9720" t="s">
        <v>40</v>
      </c>
      <c r="D9720">
        <v>4.8070370000000002</v>
      </c>
      <c r="E9720">
        <v>0.50619159999999996</v>
      </c>
      <c r="F9720" t="s">
        <v>41</v>
      </c>
      <c r="G9720">
        <v>-188.982</v>
      </c>
      <c r="H9720" s="1">
        <v>-1.0516860000000001E-6</v>
      </c>
      <c r="I9720">
        <v>21.663329999999998</v>
      </c>
      <c r="J9720">
        <v>-188.13390000000001</v>
      </c>
      <c r="K9720">
        <v>1.1198090000000001</v>
      </c>
      <c r="L9720">
        <v>-14.34787</v>
      </c>
      <c r="M9720">
        <v>1.1039190000000001E-2</v>
      </c>
      <c r="N9720">
        <v>-1.187582E-2</v>
      </c>
      <c r="O9720">
        <v>0.99986850000000005</v>
      </c>
      <c r="P9720">
        <v>-3.1193729999999999E-2</v>
      </c>
      <c r="Q9720">
        <v>0.13591159999999999</v>
      </c>
      <c r="R9720">
        <v>0.99022980000000005</v>
      </c>
      <c r="S9720">
        <v>-7.0571899999999896E-2</v>
      </c>
      <c r="T9720">
        <v>-9.374797E-2</v>
      </c>
      <c r="U9720">
        <v>3.0395509999999999</v>
      </c>
      <c r="V9720">
        <v>-4.1564230000000001E-2</v>
      </c>
      <c r="W9720">
        <v>0.147816</v>
      </c>
      <c r="X9720">
        <v>0.98814109999999999</v>
      </c>
      <c r="Y9720">
        <v>-3.4234349999999997E-2</v>
      </c>
      <c r="Z9720">
        <v>-1.8938170000000001E-2</v>
      </c>
      <c r="AA9720">
        <v>0.99923439999999997</v>
      </c>
      <c r="AB9720">
        <v>29</v>
      </c>
      <c r="AC9720">
        <v>-0.84809999999998797</v>
      </c>
      <c r="AD9720">
        <v>-1.1198100516859999</v>
      </c>
      <c r="AE9720">
        <v>36.011200000000002</v>
      </c>
      <c r="AF9720">
        <v>-1.24440820670935</v>
      </c>
      <c r="AG9720">
        <v>-1.1198100516859999</v>
      </c>
      <c r="AH9720">
        <v>35.964884667373298</v>
      </c>
      <c r="AI9720">
        <v>91.782331120569495</v>
      </c>
      <c r="AJ9720">
        <v>91.981680353401799</v>
      </c>
      <c r="AK9720">
        <v>36.003825567212203</v>
      </c>
      <c r="AL9720">
        <v>81.499618243727497</v>
      </c>
      <c r="AM9720">
        <v>92.408615473871905</v>
      </c>
      <c r="AN9720">
        <v>0.99999999429035102</v>
      </c>
    </row>
    <row r="9721" spans="1:40" x14ac:dyDescent="0.25">
      <c r="A9721" t="str">
        <f>"20190303162137439"</f>
        <v>20190303162137439</v>
      </c>
      <c r="B9721" t="str">
        <f>"1551601297432466"</f>
        <v>1551601297432466</v>
      </c>
      <c r="C9721" t="s">
        <v>40</v>
      </c>
      <c r="D9721">
        <v>4.830311</v>
      </c>
      <c r="E9721">
        <v>0.50624170000000002</v>
      </c>
      <c r="F9721" t="s">
        <v>41</v>
      </c>
      <c r="G9721">
        <v>-188.864</v>
      </c>
      <c r="H9721" s="1">
        <v>-2.1039989999999999E-6</v>
      </c>
      <c r="I9721">
        <v>24.067499999999999</v>
      </c>
      <c r="J9721">
        <v>-188.12819999999999</v>
      </c>
      <c r="K9721">
        <v>1.119761</v>
      </c>
      <c r="L9721">
        <v>-14.04541</v>
      </c>
      <c r="M9721">
        <v>1.328036E-2</v>
      </c>
      <c r="N9721">
        <v>-1.1865570000000001E-2</v>
      </c>
      <c r="O9721">
        <v>0.99984139999999999</v>
      </c>
      <c r="P9721">
        <v>-2.6319760000000001E-2</v>
      </c>
      <c r="Q9721">
        <v>0.13603779999999999</v>
      </c>
      <c r="R9721">
        <v>0.99035399999999996</v>
      </c>
      <c r="S9721">
        <v>-5.776978E-2</v>
      </c>
      <c r="T9721">
        <v>-8.8614699999999894E-2</v>
      </c>
      <c r="U9721">
        <v>3.0399479999999999</v>
      </c>
      <c r="V9721">
        <v>-3.8896069999999998E-2</v>
      </c>
      <c r="W9721">
        <v>0.14792629999999901</v>
      </c>
      <c r="X9721">
        <v>0.98823320000000003</v>
      </c>
      <c r="Y9721">
        <v>-3.2266669999999997E-2</v>
      </c>
      <c r="Z9721">
        <v>-1.7259549999999999E-2</v>
      </c>
      <c r="AA9721">
        <v>0.9993303</v>
      </c>
      <c r="AB9721">
        <v>29</v>
      </c>
      <c r="AC9721">
        <v>-0.735800000000011</v>
      </c>
      <c r="AD9721">
        <v>-1.1197631039989999</v>
      </c>
      <c r="AE9721">
        <v>38.112909999999999</v>
      </c>
      <c r="AF9721">
        <v>-1.24085320918276</v>
      </c>
      <c r="AG9721">
        <v>-1.1197631039989999</v>
      </c>
      <c r="AH9721">
        <v>38.066929175577599</v>
      </c>
      <c r="AI9721">
        <v>91.684012281314594</v>
      </c>
      <c r="AJ9721">
        <v>91.866987666539003</v>
      </c>
      <c r="AK9721">
        <v>38.103604592666301</v>
      </c>
      <c r="AL9721">
        <v>81.493228115488506</v>
      </c>
      <c r="AM9721">
        <v>92.253952730601895</v>
      </c>
      <c r="AN9721">
        <v>0.99999997603768698</v>
      </c>
    </row>
    <row r="9722" spans="1:40" x14ac:dyDescent="0.25">
      <c r="A9722" t="str">
        <f>"20190303162137462"</f>
        <v>20190303162137462</v>
      </c>
      <c r="B9722" t="str">
        <f>"1551601297451986"</f>
        <v>1551601297451986</v>
      </c>
      <c r="C9722" t="s">
        <v>40</v>
      </c>
      <c r="D9722">
        <v>4.872261</v>
      </c>
      <c r="E9722">
        <v>0.50673880000000004</v>
      </c>
      <c r="F9722" t="s">
        <v>41</v>
      </c>
      <c r="G9722">
        <v>-188.6618</v>
      </c>
      <c r="H9722" s="1">
        <v>-2.3334419999999999E-6</v>
      </c>
      <c r="I9722">
        <v>24.51876</v>
      </c>
      <c r="J9722">
        <v>-188.12190000000001</v>
      </c>
      <c r="K9722">
        <v>1.11975</v>
      </c>
      <c r="L9722">
        <v>-13.74634</v>
      </c>
      <c r="M9722">
        <v>1.5479059999999999E-2</v>
      </c>
      <c r="N9722">
        <v>-1.1854780000000001E-2</v>
      </c>
      <c r="O9722">
        <v>0.99980990000000003</v>
      </c>
      <c r="P9722">
        <v>-2.2771179999999999E-2</v>
      </c>
      <c r="Q9722">
        <v>0.13538410000000001</v>
      </c>
      <c r="R9722">
        <v>0.99053150000000001</v>
      </c>
      <c r="S9722">
        <v>-4.2068479999999998E-2</v>
      </c>
      <c r="T9722">
        <v>-8.8276980000000005E-2</v>
      </c>
      <c r="U9722">
        <v>3.040222</v>
      </c>
      <c r="V9722">
        <v>-3.7528539999999999E-2</v>
      </c>
      <c r="W9722">
        <v>0.147259</v>
      </c>
      <c r="X9722">
        <v>0.98838570000000003</v>
      </c>
      <c r="Y9722">
        <v>-2.9303849999999999E-2</v>
      </c>
      <c r="Z9722">
        <v>-1.7158199999999998E-2</v>
      </c>
      <c r="AA9722">
        <v>0.99942330000000001</v>
      </c>
      <c r="AB9722">
        <v>29</v>
      </c>
      <c r="AC9722">
        <v>-0.53989999999998795</v>
      </c>
      <c r="AD9722">
        <v>-1.1197523334420001</v>
      </c>
      <c r="AE9722">
        <v>38.265099999999997</v>
      </c>
      <c r="AF9722">
        <v>-1.1312162229175999</v>
      </c>
      <c r="AG9722">
        <v>-1.1197523334420001</v>
      </c>
      <c r="AH9722">
        <v>38.2194354495387</v>
      </c>
      <c r="AI9722">
        <v>91.677436496473504</v>
      </c>
      <c r="AJ9722">
        <v>91.695341597686195</v>
      </c>
      <c r="AK9722">
        <v>38.252565162518202</v>
      </c>
      <c r="AL9722">
        <v>81.5318847138455</v>
      </c>
      <c r="AM9722">
        <v>92.174449235180205</v>
      </c>
      <c r="AN9722">
        <v>0.99999994818000904</v>
      </c>
    </row>
    <row r="9723" spans="1:40" x14ac:dyDescent="0.25">
      <c r="A9723" t="str">
        <f>"20190303162137482"</f>
        <v>20190303162137482</v>
      </c>
      <c r="B9723" t="str">
        <f>"1551601297472482"</f>
        <v>1551601297472482</v>
      </c>
      <c r="C9723" t="s">
        <v>40</v>
      </c>
      <c r="D9723">
        <v>4.8581260000000004</v>
      </c>
      <c r="E9723">
        <v>0.50744869999999997</v>
      </c>
      <c r="F9723" t="s">
        <v>41</v>
      </c>
      <c r="G9723">
        <v>-188.44739999999999</v>
      </c>
      <c r="H9723" s="1">
        <v>-1.786763E-6</v>
      </c>
      <c r="I9723">
        <v>23.15578</v>
      </c>
      <c r="J9723">
        <v>-188.11600000000001</v>
      </c>
      <c r="K9723">
        <v>1.119764</v>
      </c>
      <c r="L9723">
        <v>-13.49213</v>
      </c>
      <c r="M9723">
        <v>1.7304610000000002E-2</v>
      </c>
      <c r="N9723">
        <v>-1.1845629999999999E-2</v>
      </c>
      <c r="O9723">
        <v>0.99978009999999995</v>
      </c>
      <c r="P9723">
        <v>-2.0698999999999999E-2</v>
      </c>
      <c r="Q9723">
        <v>0.1361002</v>
      </c>
      <c r="R9723">
        <v>0.99047879999999999</v>
      </c>
      <c r="S9723">
        <v>-2.682495E-2</v>
      </c>
      <c r="T9723">
        <v>-9.2265840000000002E-2</v>
      </c>
      <c r="U9723">
        <v>3.04068</v>
      </c>
      <c r="V9723">
        <v>-3.7266790000000001E-2</v>
      </c>
      <c r="W9723">
        <v>0.14796219999999999</v>
      </c>
      <c r="X9723">
        <v>0.98829060000000002</v>
      </c>
      <c r="Y9723">
        <v>-2.6117479999999998E-2</v>
      </c>
      <c r="Z9723">
        <v>-1.847408E-2</v>
      </c>
      <c r="AA9723">
        <v>0.99948820000000005</v>
      </c>
      <c r="AB9723">
        <v>29</v>
      </c>
      <c r="AC9723">
        <v>-0.33140000000000203</v>
      </c>
      <c r="AD9723">
        <v>-1.119765786763</v>
      </c>
      <c r="AE9723">
        <v>36.647910000000003</v>
      </c>
      <c r="AF9723">
        <v>-0.96467211919198603</v>
      </c>
      <c r="AG9723">
        <v>-1.119765786763</v>
      </c>
      <c r="AH9723">
        <v>36.602517636880599</v>
      </c>
      <c r="AI9723">
        <v>91.751671852063694</v>
      </c>
      <c r="AJ9723">
        <v>91.509700770151795</v>
      </c>
      <c r="AK9723">
        <v>36.632345885472702</v>
      </c>
      <c r="AL9723">
        <v>81.4911482426036</v>
      </c>
      <c r="AM9723">
        <v>92.159505113963107</v>
      </c>
      <c r="AN9723">
        <v>0.99999996815705094</v>
      </c>
    </row>
    <row r="9724" spans="1:40" x14ac:dyDescent="0.25">
      <c r="A9724" t="str">
        <f>"20190303162137628"</f>
        <v>20190303162137628</v>
      </c>
      <c r="B9724" t="str">
        <f>"1551601297621811"</f>
        <v>1551601297621811</v>
      </c>
      <c r="C9724" t="s">
        <v>40</v>
      </c>
      <c r="D9724">
        <v>4.858352</v>
      </c>
      <c r="E9724">
        <v>0.52739919999999996</v>
      </c>
      <c r="F9724" t="s">
        <v>41</v>
      </c>
      <c r="G9724">
        <v>-188.2938</v>
      </c>
      <c r="H9724" s="1">
        <v>-3.0570129999999998E-6</v>
      </c>
      <c r="I9724">
        <v>26.053260000000002</v>
      </c>
      <c r="J9724">
        <v>-188.06010000000001</v>
      </c>
      <c r="K9724">
        <v>1.120136</v>
      </c>
      <c r="L9724">
        <v>-11.590120000000001</v>
      </c>
      <c r="M9724">
        <v>2.9153769999999999E-2</v>
      </c>
      <c r="N9724">
        <v>-1.1796009999999999E-2</v>
      </c>
      <c r="O9724">
        <v>0.99950530000000004</v>
      </c>
      <c r="P9724">
        <v>-1.5896279999999999E-2</v>
      </c>
      <c r="Q9724">
        <v>0.1539943</v>
      </c>
      <c r="R9724">
        <v>0.98794389999999999</v>
      </c>
      <c r="S9724">
        <v>-1.3671880000000001E-2</v>
      </c>
      <c r="T9724">
        <v>-8.6091280000000006E-2</v>
      </c>
      <c r="U9724">
        <v>3.040375</v>
      </c>
      <c r="V9724">
        <v>-4.4173509999999999E-2</v>
      </c>
      <c r="W9724">
        <v>0.16576649999999901</v>
      </c>
      <c r="X9724">
        <v>0.98517520000000003</v>
      </c>
      <c r="Y9724">
        <v>-3.3641740000000003E-2</v>
      </c>
      <c r="Z9724">
        <v>-1.648444E-2</v>
      </c>
      <c r="AA9724">
        <v>0.99929800000000002</v>
      </c>
      <c r="AB9724">
        <v>29</v>
      </c>
      <c r="AC9724">
        <v>-0.23369999999999799</v>
      </c>
      <c r="AD9724">
        <v>-1.1201390570129901</v>
      </c>
      <c r="AE9724">
        <v>37.643380000000001</v>
      </c>
      <c r="AF9724">
        <v>-1.32994592687699</v>
      </c>
      <c r="AG9724">
        <v>-1.1201390570129901</v>
      </c>
      <c r="AH9724">
        <v>37.587282732942199</v>
      </c>
      <c r="AI9724">
        <v>91.705900119530995</v>
      </c>
      <c r="AJ9724">
        <v>92.026443715318393</v>
      </c>
      <c r="AK9724">
        <v>37.627480528485997</v>
      </c>
      <c r="AL9724">
        <v>80.458235133344303</v>
      </c>
      <c r="AM9724">
        <v>92.5673216280112</v>
      </c>
      <c r="AN9724">
        <v>1.0000000031014999</v>
      </c>
    </row>
    <row r="9725" spans="1:40" x14ac:dyDescent="0.25">
      <c r="A9725" t="str">
        <f>"20190303162137651"</f>
        <v>20190303162137651</v>
      </c>
      <c r="B9725" t="str">
        <f>"1551601297642306"</f>
        <v>1551601297642306</v>
      </c>
      <c r="C9725" t="s">
        <v>40</v>
      </c>
      <c r="D9725">
        <v>4.977671</v>
      </c>
      <c r="E9725">
        <v>0.52939789999999998</v>
      </c>
      <c r="F9725" t="s">
        <v>42</v>
      </c>
      <c r="G9725">
        <v>-188.0146</v>
      </c>
      <c r="H9725">
        <v>0.94129419999999997</v>
      </c>
      <c r="I9725">
        <v>-10.69103</v>
      </c>
      <c r="J9725">
        <v>-188.0498</v>
      </c>
      <c r="K9725">
        <v>1.120233</v>
      </c>
      <c r="L9725">
        <v>-11.29654</v>
      </c>
      <c r="M9725">
        <v>3.0642269999999999E-2</v>
      </c>
      <c r="N9725">
        <v>-1.179116E-2</v>
      </c>
      <c r="O9725">
        <v>0.99946089999999999</v>
      </c>
      <c r="P9725">
        <v>-1.447969E-2</v>
      </c>
      <c r="Q9725">
        <v>0.15799079999999999</v>
      </c>
      <c r="R9725">
        <v>0.98733439999999995</v>
      </c>
      <c r="S9725">
        <v>0.15853879999999901</v>
      </c>
      <c r="T9725">
        <v>-0.62385419999999903</v>
      </c>
      <c r="U9725">
        <v>3.1364139999999998</v>
      </c>
      <c r="V9725">
        <v>-4.4228179999999999E-2</v>
      </c>
      <c r="W9725">
        <v>0.16974239999999999</v>
      </c>
      <c r="X9725">
        <v>0.98449549999999997</v>
      </c>
      <c r="Y9725">
        <v>1.897478E-2</v>
      </c>
      <c r="Z9725">
        <v>-0.1832433</v>
      </c>
      <c r="AA9725">
        <v>0.98288450000000005</v>
      </c>
      <c r="AB9725">
        <v>29</v>
      </c>
      <c r="AC9725">
        <v>3.5200000000003201E-2</v>
      </c>
      <c r="AD9725">
        <v>-0.17893880000000001</v>
      </c>
      <c r="AE9725">
        <v>0.60550999999999999</v>
      </c>
      <c r="AF9725">
        <v>1.5296614941136299E-2</v>
      </c>
      <c r="AG9725">
        <v>-0.17893880000000001</v>
      </c>
      <c r="AH9725">
        <v>0.55775894222403699</v>
      </c>
      <c r="AI9725">
        <v>107.780882967309</v>
      </c>
      <c r="AJ9725">
        <v>88.429049223167794</v>
      </c>
      <c r="AK9725">
        <v>0.58595914380183001</v>
      </c>
      <c r="AL9725">
        <v>80.2271580273853</v>
      </c>
      <c r="AM9725">
        <v>92.572267034328107</v>
      </c>
      <c r="AN9725">
        <v>1.0000000018920601</v>
      </c>
    </row>
    <row r="9726" spans="1:40" x14ac:dyDescent="0.25">
      <c r="A9726" t="str">
        <f>"20190303162137672"</f>
        <v>20190303162137672</v>
      </c>
      <c r="B9726" t="str">
        <f>"1551601297662332"</f>
        <v>1551601297662332</v>
      </c>
      <c r="C9726" t="s">
        <v>40</v>
      </c>
      <c r="D9726">
        <v>4.6144410000000002</v>
      </c>
      <c r="E9726">
        <v>0.5289798</v>
      </c>
      <c r="F9726" t="s">
        <v>42</v>
      </c>
      <c r="G9726">
        <v>-187.9967</v>
      </c>
      <c r="H9726">
        <v>1.0183150000000001</v>
      </c>
      <c r="I9726">
        <v>-10.3949</v>
      </c>
      <c r="J9726">
        <v>-188.03989999999999</v>
      </c>
      <c r="K9726">
        <v>1.1203369999999999</v>
      </c>
      <c r="L9726">
        <v>-11.019780000000001</v>
      </c>
      <c r="M9726">
        <v>3.1956970000000001E-2</v>
      </c>
      <c r="N9726">
        <v>-1.1786949999999999E-2</v>
      </c>
      <c r="O9726">
        <v>0.99941970000000002</v>
      </c>
      <c r="P9726">
        <v>-1.3222060000000001E-2</v>
      </c>
      <c r="Q9726">
        <v>0.16155710000000001</v>
      </c>
      <c r="R9726">
        <v>0.98677479999999995</v>
      </c>
      <c r="S9726">
        <v>0.1820679</v>
      </c>
      <c r="T9726">
        <v>-0.3500509</v>
      </c>
      <c r="U9726">
        <v>3.0971679999999999</v>
      </c>
      <c r="V9726">
        <v>-4.4273180000000002E-2</v>
      </c>
      <c r="W9726">
        <v>0.17328869999999999</v>
      </c>
      <c r="X9726">
        <v>0.98387550000000001</v>
      </c>
      <c r="Y9726">
        <v>2.6433680000000001E-2</v>
      </c>
      <c r="Z9726">
        <v>-0.1003978</v>
      </c>
      <c r="AA9726">
        <v>0.99459620000000004</v>
      </c>
      <c r="AB9726">
        <v>29</v>
      </c>
      <c r="AC9726">
        <v>4.3199999999984501E-2</v>
      </c>
      <c r="AD9726">
        <v>-0.102022</v>
      </c>
      <c r="AE9726">
        <v>0.62488000000000099</v>
      </c>
      <c r="AF9726">
        <v>2.2607514142377799E-2</v>
      </c>
      <c r="AG9726">
        <v>-0.102022</v>
      </c>
      <c r="AH9726">
        <v>0.60976487542913205</v>
      </c>
      <c r="AI9726">
        <v>99.491984275876106</v>
      </c>
      <c r="AJ9726">
        <v>87.8766862977307</v>
      </c>
      <c r="AK9726">
        <v>0.61865401597888503</v>
      </c>
      <c r="AL9726">
        <v>80.020914056756396</v>
      </c>
      <c r="AM9726">
        <v>92.576501072696601</v>
      </c>
      <c r="AN9726">
        <v>1.00000004375762</v>
      </c>
    </row>
    <row r="9727" spans="1:40" x14ac:dyDescent="0.25">
      <c r="A9727" t="str">
        <f>"20190303162137694"</f>
        <v>20190303162137694</v>
      </c>
      <c r="B9727" t="str">
        <f>"1551601297681853"</f>
        <v>1551601297681853</v>
      </c>
      <c r="C9727" t="s">
        <v>40</v>
      </c>
      <c r="D9727">
        <v>4.6149250000000004</v>
      </c>
      <c r="E9727">
        <v>0.52771279999999998</v>
      </c>
      <c r="F9727" t="s">
        <v>41</v>
      </c>
      <c r="G9727">
        <v>-187.06039999999999</v>
      </c>
      <c r="H9727" s="1">
        <v>-2.9999139999999998E-6</v>
      </c>
      <c r="I9727">
        <v>5.4101759999999999</v>
      </c>
      <c r="J9727">
        <v>-188.0292</v>
      </c>
      <c r="K9727">
        <v>1.1204529999999999</v>
      </c>
      <c r="L9727">
        <v>-10.72879</v>
      </c>
      <c r="M9727">
        <v>3.322779E-2</v>
      </c>
      <c r="N9727">
        <v>-1.1782890000000001E-2</v>
      </c>
      <c r="O9727">
        <v>0.99937830000000005</v>
      </c>
      <c r="P9727">
        <v>-1.2795030000000001E-2</v>
      </c>
      <c r="Q9727">
        <v>0.1655152</v>
      </c>
      <c r="R9727">
        <v>0.98612420000000001</v>
      </c>
      <c r="S9727">
        <v>0.1834412</v>
      </c>
      <c r="T9727">
        <v>-0.20981910000000001</v>
      </c>
      <c r="U9727">
        <v>3.077026</v>
      </c>
      <c r="V9727">
        <v>-4.510567E-2</v>
      </c>
      <c r="W9727">
        <v>0.177227</v>
      </c>
      <c r="X9727">
        <v>0.9831358</v>
      </c>
      <c r="Y9727">
        <v>2.6200350000000001E-2</v>
      </c>
      <c r="Z9727">
        <v>-5.6154299999999997E-2</v>
      </c>
      <c r="AA9727">
        <v>0.99807829999999997</v>
      </c>
      <c r="AB9727">
        <v>29</v>
      </c>
      <c r="AC9727">
        <v>0.96880000000001598</v>
      </c>
      <c r="AD9727">
        <v>-1.120455999914</v>
      </c>
      <c r="AE9727">
        <v>16.138966</v>
      </c>
      <c r="AF9727">
        <v>0.42990089063132603</v>
      </c>
      <c r="AG9727">
        <v>-1.120455999914</v>
      </c>
      <c r="AH9727">
        <v>16.0849964760198</v>
      </c>
      <c r="AI9727">
        <v>93.983280960695495</v>
      </c>
      <c r="AJ9727">
        <v>88.469030177341295</v>
      </c>
      <c r="AK9727">
        <v>16.129703904817301</v>
      </c>
      <c r="AL9727">
        <v>79.791717775109703</v>
      </c>
      <c r="AM9727">
        <v>92.626853297038096</v>
      </c>
      <c r="AN9727">
        <v>0.99999996611839304</v>
      </c>
    </row>
    <row r="9728" spans="1:40" x14ac:dyDescent="0.25">
      <c r="A9728" t="str">
        <f>"20190303162137716"</f>
        <v>20190303162137716</v>
      </c>
      <c r="B9728" t="str">
        <f>"1551601297712108"</f>
        <v>1551601297712108</v>
      </c>
      <c r="C9728" t="s">
        <v>40</v>
      </c>
      <c r="D9728">
        <v>4.5872199999999896</v>
      </c>
      <c r="E9728">
        <v>0.52562200000000003</v>
      </c>
      <c r="F9728" t="s">
        <v>41</v>
      </c>
      <c r="G9728">
        <v>-186.5772</v>
      </c>
      <c r="H9728" s="1">
        <v>-2.8322869999999998E-6</v>
      </c>
      <c r="I9728">
        <v>14.81964</v>
      </c>
      <c r="J9728">
        <v>-188.01859999999999</v>
      </c>
      <c r="K9728">
        <v>1.120573</v>
      </c>
      <c r="L9728">
        <v>-10.44708</v>
      </c>
      <c r="M9728">
        <v>3.4325179999999997E-2</v>
      </c>
      <c r="N9728">
        <v>-1.177925E-2</v>
      </c>
      <c r="O9728">
        <v>0.99934129999999999</v>
      </c>
      <c r="P9728">
        <v>-1.3716020000000001E-2</v>
      </c>
      <c r="Q9728">
        <v>0.1695982</v>
      </c>
      <c r="R9728">
        <v>0.98541780000000001</v>
      </c>
      <c r="S9728">
        <v>0.17430109999999999</v>
      </c>
      <c r="T9728">
        <v>-0.13450879999999901</v>
      </c>
      <c r="U9728">
        <v>3.0670470000000001</v>
      </c>
      <c r="V9728">
        <v>-4.7115459999999998E-2</v>
      </c>
      <c r="W9728">
        <v>0.18129139999999999</v>
      </c>
      <c r="X9728">
        <v>0.98230019999999996</v>
      </c>
      <c r="Y9728">
        <v>2.239667E-2</v>
      </c>
      <c r="Z9728">
        <v>-3.1975099999999999E-2</v>
      </c>
      <c r="AA9728">
        <v>0.99923770000000001</v>
      </c>
      <c r="AB9728">
        <v>29</v>
      </c>
      <c r="AC9728">
        <v>1.44139999999998</v>
      </c>
      <c r="AD9728">
        <v>-1.1205758322869901</v>
      </c>
      <c r="AE9728">
        <v>25.266719999999999</v>
      </c>
      <c r="AF9728">
        <v>0.57208401639607598</v>
      </c>
      <c r="AG9728">
        <v>-1.1205758322869901</v>
      </c>
      <c r="AH9728">
        <v>25.251801504138399</v>
      </c>
      <c r="AI9728">
        <v>92.540243837072197</v>
      </c>
      <c r="AJ9728">
        <v>88.702176019352606</v>
      </c>
      <c r="AK9728">
        <v>25.283125786226002</v>
      </c>
      <c r="AL9728">
        <v>79.555011402180995</v>
      </c>
      <c r="AM9728">
        <v>92.746054316163594</v>
      </c>
      <c r="AN9728">
        <v>1.0000000606024999</v>
      </c>
    </row>
    <row r="9729" spans="1:40" x14ac:dyDescent="0.25">
      <c r="A9729" t="str">
        <f>"20190303162137740"</f>
        <v>20190303162137740</v>
      </c>
      <c r="B9729" t="str">
        <f>"1551601297732604"</f>
        <v>1551601297732604</v>
      </c>
      <c r="C9729" t="s">
        <v>40</v>
      </c>
      <c r="D9729">
        <v>4.6360900000000003</v>
      </c>
      <c r="E9729">
        <v>0.52384500000000001</v>
      </c>
      <c r="F9729" t="s">
        <v>41</v>
      </c>
      <c r="G9729">
        <v>-186.09970000000001</v>
      </c>
      <c r="H9729" s="1">
        <v>-4.2098589999999996E-6</v>
      </c>
      <c r="I9729">
        <v>27.833320000000001</v>
      </c>
      <c r="J9729">
        <v>-188.0068</v>
      </c>
      <c r="K9729">
        <v>1.120711</v>
      </c>
      <c r="L9729">
        <v>-10.138030000000001</v>
      </c>
      <c r="M9729">
        <v>3.5360469999999998E-2</v>
      </c>
      <c r="N9729">
        <v>-1.1775559999999999E-2</v>
      </c>
      <c r="O9729">
        <v>0.9993052</v>
      </c>
      <c r="P9729">
        <v>-1.6268270000000001E-2</v>
      </c>
      <c r="Q9729">
        <v>0.173891299999999</v>
      </c>
      <c r="R9729">
        <v>0.98463049999999996</v>
      </c>
      <c r="S9729">
        <v>0.15348819999999999</v>
      </c>
      <c r="T9729">
        <v>-8.9632030000000001E-2</v>
      </c>
      <c r="U9729">
        <v>3.0619510000000001</v>
      </c>
      <c r="V9729">
        <v>-5.0702669999999998E-2</v>
      </c>
      <c r="W9729">
        <v>0.18556259999999999</v>
      </c>
      <c r="X9729">
        <v>0.98132350000000002</v>
      </c>
      <c r="Y9729">
        <v>1.470365E-2</v>
      </c>
      <c r="Z9729">
        <v>-1.7450859999999999E-2</v>
      </c>
      <c r="AA9729">
        <v>0.99973959999999995</v>
      </c>
      <c r="AB9729">
        <v>29</v>
      </c>
      <c r="AC9729">
        <v>1.90709999999998</v>
      </c>
      <c r="AD9729">
        <v>-1.1207152098590001</v>
      </c>
      <c r="AE9729">
        <v>37.971350000000001</v>
      </c>
      <c r="AF9729">
        <v>0.562640339536706</v>
      </c>
      <c r="AG9729">
        <v>-1.1207152098590001</v>
      </c>
      <c r="AH9729">
        <v>37.9820372315626</v>
      </c>
      <c r="AI9729">
        <v>91.689919577853601</v>
      </c>
      <c r="AJ9729">
        <v>89.151320952387707</v>
      </c>
      <c r="AK9729">
        <v>38.002733046362501</v>
      </c>
      <c r="AL9729">
        <v>79.306065312494795</v>
      </c>
      <c r="AM9729">
        <v>92.957707708631901</v>
      </c>
      <c r="AN9729">
        <v>1.0000000254580601</v>
      </c>
    </row>
    <row r="9730" spans="1:40" x14ac:dyDescent="0.25">
      <c r="A9730" t="str">
        <f>"20190303162137761"</f>
        <v>20190303162137761</v>
      </c>
      <c r="B9730" t="str">
        <f>"1551601297752124"</f>
        <v>1551601297752124</v>
      </c>
      <c r="C9730" t="s">
        <v>40</v>
      </c>
      <c r="D9730">
        <v>4.6056670000000004</v>
      </c>
      <c r="E9730">
        <v>0.52268340000000002</v>
      </c>
      <c r="F9730" t="s">
        <v>41</v>
      </c>
      <c r="G9730">
        <v>-185.54689999999999</v>
      </c>
      <c r="H9730" s="1">
        <v>-4.2519029999999998E-6</v>
      </c>
      <c r="I9730">
        <v>47.702779999999997</v>
      </c>
      <c r="J9730">
        <v>-187.99610000000001</v>
      </c>
      <c r="K9730">
        <v>1.120835</v>
      </c>
      <c r="L9730">
        <v>-9.8605040000000006</v>
      </c>
      <c r="M9730">
        <v>3.6130059999999999E-2</v>
      </c>
      <c r="N9730">
        <v>-1.1772660000000001E-2</v>
      </c>
      <c r="O9730">
        <v>0.99927779999999999</v>
      </c>
      <c r="P9730">
        <v>-1.909607E-2</v>
      </c>
      <c r="Q9730">
        <v>0.17648179999999999</v>
      </c>
      <c r="R9730">
        <v>0.98411859999999995</v>
      </c>
      <c r="S9730">
        <v>0.1301117</v>
      </c>
      <c r="T9730">
        <v>-5.9279440000000003E-2</v>
      </c>
      <c r="U9730">
        <v>3.0594480000000002</v>
      </c>
      <c r="V9730">
        <v>-5.4316709999999997E-2</v>
      </c>
      <c r="W9730">
        <v>0.18813389999999999</v>
      </c>
      <c r="X9730">
        <v>0.98064030000000002</v>
      </c>
      <c r="Y9730">
        <v>6.3593629999999998E-3</v>
      </c>
      <c r="Z9730">
        <v>-7.5815630000000004E-3</v>
      </c>
      <c r="AA9730">
        <v>0.99995109999999998</v>
      </c>
      <c r="AB9730">
        <v>29</v>
      </c>
      <c r="AC9730">
        <v>2.44920000000001</v>
      </c>
      <c r="AD9730">
        <v>-1.1208392519029999</v>
      </c>
      <c r="AE9730">
        <v>57.563284000000003</v>
      </c>
      <c r="AF9730">
        <v>0.36755264527515402</v>
      </c>
      <c r="AG9730">
        <v>-1.1208392519029999</v>
      </c>
      <c r="AH9730">
        <v>57.592395460722202</v>
      </c>
      <c r="AI9730">
        <v>91.114903190531905</v>
      </c>
      <c r="AJ9730">
        <v>89.634345311539903</v>
      </c>
      <c r="AK9730">
        <v>57.6044737019606</v>
      </c>
      <c r="AL9730">
        <v>79.1560996430741</v>
      </c>
      <c r="AM9730">
        <v>93.170317887280106</v>
      </c>
      <c r="AN9730">
        <v>1.00000003364926</v>
      </c>
    </row>
    <row r="9731" spans="1:40" x14ac:dyDescent="0.25">
      <c r="A9731" t="str">
        <f>"20190303162137784"</f>
        <v>20190303162137784</v>
      </c>
      <c r="B9731" t="str">
        <f>"1551601297772620"</f>
        <v>1551601297772620</v>
      </c>
      <c r="C9731" t="s">
        <v>40</v>
      </c>
      <c r="D9731">
        <v>4.6131000000000002</v>
      </c>
      <c r="E9731">
        <v>0.52204719999999905</v>
      </c>
      <c r="F9731" t="s">
        <v>41</v>
      </c>
      <c r="G9731">
        <v>-184.81630000000001</v>
      </c>
      <c r="H9731" s="1">
        <v>-4.0223990000000004E-6</v>
      </c>
      <c r="I9731">
        <v>76.865719999999996</v>
      </c>
      <c r="J9731">
        <v>-187.98490000000001</v>
      </c>
      <c r="K9731">
        <v>1.1209659999999999</v>
      </c>
      <c r="L9731">
        <v>-9.5726929999999992</v>
      </c>
      <c r="M9731">
        <v>3.676691E-2</v>
      </c>
      <c r="N9731">
        <v>-1.177012E-2</v>
      </c>
      <c r="O9731">
        <v>0.99925450000000005</v>
      </c>
      <c r="P9731">
        <v>-2.2048789999999999E-2</v>
      </c>
      <c r="Q9731">
        <v>0.177129799999999</v>
      </c>
      <c r="R9731">
        <v>0.9839405</v>
      </c>
      <c r="S9731">
        <v>0.11210630000000001</v>
      </c>
      <c r="T9731">
        <v>-3.9517049999999998E-2</v>
      </c>
      <c r="U9731">
        <v>3.0576780000000001</v>
      </c>
      <c r="V9731">
        <v>-5.7946240000000003E-2</v>
      </c>
      <c r="W9731">
        <v>0.18876329999999999</v>
      </c>
      <c r="X9731">
        <v>0.9803115</v>
      </c>
      <c r="Y9731">
        <v>0</v>
      </c>
      <c r="Z9731">
        <v>0</v>
      </c>
      <c r="AA9731">
        <v>1</v>
      </c>
      <c r="AB9731">
        <v>29</v>
      </c>
      <c r="AC9731">
        <v>3.1685999999999899</v>
      </c>
      <c r="AD9731">
        <v>-1.120970022399</v>
      </c>
      <c r="AE9731">
        <v>86.438412999999997</v>
      </c>
      <c r="AF9731">
        <v>-1.1834375495699699E-2</v>
      </c>
      <c r="AG9731">
        <v>-1.120970022399</v>
      </c>
      <c r="AH9731">
        <v>86.481943856987797</v>
      </c>
      <c r="AI9731">
        <v>90.7426203807062</v>
      </c>
      <c r="AJ9731">
        <v>90.007840477845406</v>
      </c>
      <c r="AK9731">
        <v>86.489209310333905</v>
      </c>
      <c r="AL9731">
        <v>79.119379330944597</v>
      </c>
      <c r="AM9731">
        <v>93.382818931746797</v>
      </c>
      <c r="AN9731">
        <v>0.99999999359463798</v>
      </c>
    </row>
    <row r="9732" spans="1:40" x14ac:dyDescent="0.25">
      <c r="A9732" t="str">
        <f>"20190303162137805"</f>
        <v>20190303162137805</v>
      </c>
      <c r="B9732" t="str">
        <f>"1551601297801901"</f>
        <v>1551601297801901</v>
      </c>
      <c r="C9732" t="s">
        <v>40</v>
      </c>
      <c r="D9732">
        <v>4.587491</v>
      </c>
      <c r="E9732">
        <v>0.52168369999999997</v>
      </c>
      <c r="F9732" t="s">
        <v>41</v>
      </c>
      <c r="G9732">
        <v>-184.23169999999999</v>
      </c>
      <c r="H9732" s="1">
        <v>-4.4963609999999998E-6</v>
      </c>
      <c r="I9732">
        <v>107.72880000000001</v>
      </c>
      <c r="J9732">
        <v>-187.97380000000001</v>
      </c>
      <c r="K9732">
        <v>1.1210929999999999</v>
      </c>
      <c r="L9732">
        <v>-9.2866820000000008</v>
      </c>
      <c r="M9732">
        <v>3.7227969999999999E-2</v>
      </c>
      <c r="N9732">
        <v>-1.176813E-2</v>
      </c>
      <c r="O9732">
        <v>0.9992375</v>
      </c>
      <c r="P9732">
        <v>-2.383383E-2</v>
      </c>
      <c r="Q9732">
        <v>0.177379799999999</v>
      </c>
      <c r="R9732">
        <v>0.9838538</v>
      </c>
      <c r="S9732">
        <v>9.7793580000000005E-2</v>
      </c>
      <c r="T9732">
        <v>-2.920818E-2</v>
      </c>
      <c r="U9732">
        <v>3.0564269999999998</v>
      </c>
      <c r="V9732">
        <v>-6.0240429999999998E-2</v>
      </c>
      <c r="W9732">
        <v>0.18899270000000001</v>
      </c>
      <c r="X9732">
        <v>0.98012900000000003</v>
      </c>
      <c r="Y9732">
        <v>-5.2534119999999998E-3</v>
      </c>
      <c r="Z9732">
        <v>2.2178129999999999E-3</v>
      </c>
      <c r="AA9732">
        <v>0.99998370000000003</v>
      </c>
      <c r="AB9732">
        <v>29</v>
      </c>
      <c r="AC9732">
        <v>3.7421000000000202</v>
      </c>
      <c r="AD9732">
        <v>-1.1210974963609901</v>
      </c>
      <c r="AE9732">
        <v>117.01548200000001</v>
      </c>
      <c r="AF9732">
        <v>-0.61698835942872998</v>
      </c>
      <c r="AG9732">
        <v>-1.1210974963609901</v>
      </c>
      <c r="AH9732">
        <v>117.06294158265101</v>
      </c>
      <c r="AI9732">
        <v>90.5486902887274</v>
      </c>
      <c r="AJ9732">
        <v>90.301978586867506</v>
      </c>
      <c r="AK9732">
        <v>117.06993562061599</v>
      </c>
      <c r="AL9732">
        <v>79.105994871887702</v>
      </c>
      <c r="AM9732">
        <v>93.517073900838895</v>
      </c>
      <c r="AN9732">
        <v>1.0000000033504299</v>
      </c>
    </row>
    <row r="9733" spans="1:40" x14ac:dyDescent="0.25">
      <c r="A9733" t="str">
        <f>"20190303162137828"</f>
        <v>20190303162137828</v>
      </c>
      <c r="B9733" t="str">
        <f>"1551601297822397"</f>
        <v>1551601297822397</v>
      </c>
      <c r="C9733" t="s">
        <v>40</v>
      </c>
      <c r="D9733">
        <v>4.5948409999999997</v>
      </c>
      <c r="E9733">
        <v>0.52159609999999901</v>
      </c>
      <c r="F9733" t="s">
        <v>49</v>
      </c>
      <c r="G9733">
        <v>-181.50309999999999</v>
      </c>
      <c r="H9733" s="1">
        <v>2.7967159999999999E-6</v>
      </c>
      <c r="I9733">
        <v>210.90639999999999</v>
      </c>
      <c r="J9733">
        <v>-187.96260000000001</v>
      </c>
      <c r="K9733">
        <v>1.121218</v>
      </c>
      <c r="L9733">
        <v>-8.9941410000000008</v>
      </c>
      <c r="M9733">
        <v>3.7518860000000001E-2</v>
      </c>
      <c r="N9733">
        <v>-1.176666E-2</v>
      </c>
      <c r="O9733">
        <v>0.99922659999999996</v>
      </c>
      <c r="P9733">
        <v>-2.491529E-2</v>
      </c>
      <c r="Q9733">
        <v>0.1771394</v>
      </c>
      <c r="R9733">
        <v>0.98387029999999998</v>
      </c>
      <c r="S9733">
        <v>8.9752199999999893E-2</v>
      </c>
      <c r="T9733">
        <v>-1.555014E-2</v>
      </c>
      <c r="U9733">
        <v>3.0541990000000001</v>
      </c>
      <c r="V9733">
        <v>-6.1668479999999998E-2</v>
      </c>
      <c r="W9733">
        <v>0.18873239999999999</v>
      </c>
      <c r="X9733">
        <v>0.98009040000000003</v>
      </c>
      <c r="Y9733">
        <v>-8.1519839999999993E-3</v>
      </c>
      <c r="Z9733">
        <v>6.6756000000000003E-3</v>
      </c>
      <c r="AA9733">
        <v>0.99994450000000001</v>
      </c>
      <c r="AB9733">
        <v>29</v>
      </c>
      <c r="AC9733">
        <v>6.45950000000001</v>
      </c>
      <c r="AD9733">
        <v>-1.1212152032839999</v>
      </c>
      <c r="AE9733">
        <v>219.900541</v>
      </c>
      <c r="AF9733">
        <v>-1.7959911517965299</v>
      </c>
      <c r="AG9733">
        <v>-1.1212152032839999</v>
      </c>
      <c r="AH9733">
        <v>219.98234778958499</v>
      </c>
      <c r="AI9733">
        <v>90.292015257693905</v>
      </c>
      <c r="AJ9733">
        <v>90.467766745102296</v>
      </c>
      <c r="AK9733">
        <v>219.99253634332101</v>
      </c>
      <c r="AL9733">
        <v>79.1211828650397</v>
      </c>
      <c r="AM9733">
        <v>93.600373750125996</v>
      </c>
      <c r="AN9733">
        <v>1.0000000562037099</v>
      </c>
    </row>
    <row r="9734" spans="1:40" x14ac:dyDescent="0.25">
      <c r="A9734" t="str">
        <f>"20190303162137852"</f>
        <v>20190303162137852</v>
      </c>
      <c r="B9734" t="str">
        <f>"1551601297841917"</f>
        <v>1551601297841917</v>
      </c>
      <c r="C9734" t="s">
        <v>40</v>
      </c>
      <c r="D9734">
        <v>4.6501869999999998</v>
      </c>
      <c r="E9734">
        <v>0.52151000000000003</v>
      </c>
      <c r="F9734" t="s">
        <v>49</v>
      </c>
      <c r="G9734">
        <v>-179.8546</v>
      </c>
      <c r="H9734">
        <v>8.0003939999999996E-2</v>
      </c>
      <c r="I9734">
        <v>277.50670000000002</v>
      </c>
      <c r="J9734">
        <v>-187.9504</v>
      </c>
      <c r="K9734">
        <v>1.121327</v>
      </c>
      <c r="L9734">
        <v>-8.6775819999999992</v>
      </c>
      <c r="M9734">
        <v>3.7685070000000001E-2</v>
      </c>
      <c r="N9734">
        <v>-1.176557E-2</v>
      </c>
      <c r="O9734">
        <v>0.99922040000000001</v>
      </c>
      <c r="P9734">
        <v>-2.5184910000000001E-2</v>
      </c>
      <c r="Q9734">
        <v>0.175818</v>
      </c>
      <c r="R9734">
        <v>0.98410050000000004</v>
      </c>
      <c r="S9734">
        <v>8.6410520000000005E-2</v>
      </c>
      <c r="T9734">
        <v>-1.1096719999999999E-2</v>
      </c>
      <c r="U9734">
        <v>3.053375</v>
      </c>
      <c r="V9734">
        <v>-6.2165110000000003E-2</v>
      </c>
      <c r="W9734">
        <v>0.1873948</v>
      </c>
      <c r="X9734">
        <v>0.98031559999999995</v>
      </c>
      <c r="Y9734">
        <v>-9.4041049999999994E-3</v>
      </c>
      <c r="Z9734">
        <v>8.1299270000000003E-3</v>
      </c>
      <c r="AA9734">
        <v>0.9999228</v>
      </c>
      <c r="AB9734">
        <v>29</v>
      </c>
      <c r="AC9734">
        <v>8.0957999999999899</v>
      </c>
      <c r="AD9734">
        <v>-1.0413230600000001</v>
      </c>
      <c r="AE9734">
        <v>286.184282</v>
      </c>
      <c r="AF9734">
        <v>-2.6955371035362998</v>
      </c>
      <c r="AG9734">
        <v>-1.0413230600000001</v>
      </c>
      <c r="AH9734">
        <v>286.28229190228097</v>
      </c>
      <c r="AI9734">
        <v>90.208397482130493</v>
      </c>
      <c r="AJ9734">
        <v>90.539461713616902</v>
      </c>
      <c r="AK9734">
        <v>286.29687551703103</v>
      </c>
      <c r="AL9734">
        <v>79.199213341051504</v>
      </c>
      <c r="AM9734">
        <v>93.628459674187695</v>
      </c>
      <c r="AN9734">
        <v>0.99999999378585502</v>
      </c>
    </row>
    <row r="9735" spans="1:40" x14ac:dyDescent="0.25">
      <c r="A9735" t="str">
        <f>"20190303162137874"</f>
        <v>20190303162137874</v>
      </c>
      <c r="B9735" t="str">
        <f>"1551601297861945"</f>
        <v>1551601297861945</v>
      </c>
      <c r="C9735" t="s">
        <v>40</v>
      </c>
      <c r="D9735">
        <v>4.6429790000000004</v>
      </c>
      <c r="E9735">
        <v>0.52121729999999999</v>
      </c>
      <c r="F9735" t="s">
        <v>49</v>
      </c>
      <c r="G9735">
        <v>-179.95779999999999</v>
      </c>
      <c r="H9735">
        <v>1.661081E-2</v>
      </c>
      <c r="I9735">
        <v>273.54860000000002</v>
      </c>
      <c r="J9735">
        <v>-187.93969999999999</v>
      </c>
      <c r="K9735">
        <v>1.1213949999999999</v>
      </c>
      <c r="L9735">
        <v>-8.3949280000000002</v>
      </c>
      <c r="M9735">
        <v>3.7731189999999998E-2</v>
      </c>
      <c r="N9735">
        <v>-1.1764709999999999E-2</v>
      </c>
      <c r="O9735">
        <v>0.99921859999999996</v>
      </c>
      <c r="P9735">
        <v>-2.5191760000000001E-2</v>
      </c>
      <c r="Q9735">
        <v>0.1742997</v>
      </c>
      <c r="R9735">
        <v>0.98437039999999998</v>
      </c>
      <c r="S9735">
        <v>8.64563E-2</v>
      </c>
      <c r="T9735">
        <v>-1.1949660000000001E-2</v>
      </c>
      <c r="U9735">
        <v>3.052826</v>
      </c>
      <c r="V9735">
        <v>-6.2265319999999999E-2</v>
      </c>
      <c r="W9735">
        <v>0.1858667</v>
      </c>
      <c r="X9735">
        <v>0.98060009999999997</v>
      </c>
      <c r="Y9735">
        <v>-9.4301039999999999E-3</v>
      </c>
      <c r="Z9735">
        <v>7.8493959999999998E-3</v>
      </c>
      <c r="AA9735">
        <v>0.9999247</v>
      </c>
      <c r="AB9735">
        <v>29</v>
      </c>
      <c r="AC9735">
        <v>7.9818999999999898</v>
      </c>
      <c r="AD9735">
        <v>-1.1047841899999999</v>
      </c>
      <c r="AE9735">
        <v>281.94352799999899</v>
      </c>
      <c r="AF9735">
        <v>-2.6625454847413499</v>
      </c>
      <c r="AG9735">
        <v>-1.1047841899999999</v>
      </c>
      <c r="AH9735">
        <v>282.03959566025702</v>
      </c>
      <c r="AI9735">
        <v>90.224423549740806</v>
      </c>
      <c r="AJ9735">
        <v>90.540874720465993</v>
      </c>
      <c r="AK9735">
        <v>282.05432671165698</v>
      </c>
      <c r="AL9735">
        <v>79.288332681011198</v>
      </c>
      <c r="AM9735">
        <v>93.6332414912263</v>
      </c>
      <c r="AN9735">
        <v>0.99999997818180097</v>
      </c>
    </row>
    <row r="9736" spans="1:40" x14ac:dyDescent="0.25">
      <c r="A9736" t="str">
        <f>"20190303162137896"</f>
        <v>20190303162137896</v>
      </c>
      <c r="B9736" t="str">
        <f>"1551601297882442"</f>
        <v>1551601297882442</v>
      </c>
      <c r="C9736" t="s">
        <v>40</v>
      </c>
      <c r="D9736">
        <v>4.660647</v>
      </c>
      <c r="E9736">
        <v>0.52102109999999902</v>
      </c>
      <c r="F9736" t="s">
        <v>41</v>
      </c>
      <c r="G9736">
        <v>-181.1326</v>
      </c>
      <c r="H9736" s="1">
        <v>-2.9146570000000001E-6</v>
      </c>
      <c r="I9736">
        <v>231.09039999999999</v>
      </c>
      <c r="J9736">
        <v>-187.92920000000001</v>
      </c>
      <c r="K9736">
        <v>1.121454</v>
      </c>
      <c r="L9736">
        <v>-8.1175230000000003</v>
      </c>
      <c r="M9736">
        <v>3.7677460000000003E-2</v>
      </c>
      <c r="N9736">
        <v>-1.1763930000000001E-2</v>
      </c>
      <c r="O9736">
        <v>0.99922069999999996</v>
      </c>
      <c r="P9736">
        <v>-2.4504700000000001E-2</v>
      </c>
      <c r="Q9736">
        <v>0.17291960000000001</v>
      </c>
      <c r="R9736">
        <v>0.98463109999999998</v>
      </c>
      <c r="S9736">
        <v>8.6761469999999993E-2</v>
      </c>
      <c r="T9736">
        <v>-1.429296E-2</v>
      </c>
      <c r="U9736">
        <v>3.0523989999999999</v>
      </c>
      <c r="V9736">
        <v>-6.156768E-2</v>
      </c>
      <c r="W9736">
        <v>0.1844787</v>
      </c>
      <c r="X9736">
        <v>0.98090619999999995</v>
      </c>
      <c r="Y9736">
        <v>-9.2722919999999997E-3</v>
      </c>
      <c r="Z9736">
        <v>7.0813810000000003E-3</v>
      </c>
      <c r="AA9736">
        <v>0.99993189999999998</v>
      </c>
      <c r="AB9736">
        <v>29</v>
      </c>
      <c r="AC9736">
        <v>6.7966000000000104</v>
      </c>
      <c r="AD9736">
        <v>-1.1214569146569999</v>
      </c>
      <c r="AE9736">
        <v>239.20792299999999</v>
      </c>
      <c r="AF9736">
        <v>-2.22154849391758</v>
      </c>
      <c r="AG9736">
        <v>-1.1214569146569999</v>
      </c>
      <c r="AH9736">
        <v>239.28889165913799</v>
      </c>
      <c r="AI9736">
        <v>90.2685102026945</v>
      </c>
      <c r="AJ9736">
        <v>90.531916442097895</v>
      </c>
      <c r="AK9736">
        <v>239.30183161601701</v>
      </c>
      <c r="AL9736">
        <v>79.369258697373795</v>
      </c>
      <c r="AM9736">
        <v>93.591522564574902</v>
      </c>
      <c r="AN9736">
        <v>0.99999997158635501</v>
      </c>
    </row>
    <row r="9737" spans="1:40" x14ac:dyDescent="0.25">
      <c r="A9737" t="str">
        <f>"20190303162137917"</f>
        <v>20190303162137917</v>
      </c>
      <c r="B9737" t="str">
        <f>"1551601297901961"</f>
        <v>1551601297901961</v>
      </c>
      <c r="C9737" t="s">
        <v>40</v>
      </c>
      <c r="D9737">
        <v>4.6555519999999904</v>
      </c>
      <c r="E9737">
        <v>0.52083279999999998</v>
      </c>
      <c r="F9737" t="s">
        <v>41</v>
      </c>
      <c r="G9737">
        <v>-182.21549999999999</v>
      </c>
      <c r="H9737" s="1">
        <v>-4.4872629999999998E-6</v>
      </c>
      <c r="I9737">
        <v>186.74760000000001</v>
      </c>
      <c r="J9737">
        <v>-187.91900000000001</v>
      </c>
      <c r="K9737">
        <v>1.1215170000000001</v>
      </c>
      <c r="L9737">
        <v>-7.8438419999999898</v>
      </c>
      <c r="M9737">
        <v>3.7529020000000003E-2</v>
      </c>
      <c r="N9737">
        <v>-1.176348E-2</v>
      </c>
      <c r="O9737">
        <v>0.99922630000000001</v>
      </c>
      <c r="P9737">
        <v>-2.3358150000000001E-2</v>
      </c>
      <c r="Q9737">
        <v>0.17202919999999999</v>
      </c>
      <c r="R9737">
        <v>0.98481490000000005</v>
      </c>
      <c r="S9737">
        <v>8.9492799999999997E-2</v>
      </c>
      <c r="T9737">
        <v>-1.7565130000000002E-2</v>
      </c>
      <c r="U9737">
        <v>3.0521240000000001</v>
      </c>
      <c r="V9737">
        <v>-6.0315069999999998E-2</v>
      </c>
      <c r="W9737">
        <v>0.18357979999999999</v>
      </c>
      <c r="X9737">
        <v>0.98115269999999999</v>
      </c>
      <c r="Y9737">
        <v>-8.2269460000000006E-3</v>
      </c>
      <c r="Z9737">
        <v>6.0096719999999998E-3</v>
      </c>
      <c r="AA9737">
        <v>0.99994810000000001</v>
      </c>
      <c r="AB9737">
        <v>29</v>
      </c>
      <c r="AC9737">
        <v>5.7035000000000098</v>
      </c>
      <c r="AD9737">
        <v>-1.1215214872629999</v>
      </c>
      <c r="AE9737">
        <v>194.591442</v>
      </c>
      <c r="AF9737">
        <v>-1.6037966575513001</v>
      </c>
      <c r="AG9737">
        <v>-1.1215214872629999</v>
      </c>
      <c r="AH9737">
        <v>194.661941715654</v>
      </c>
      <c r="AI9737">
        <v>90.330087923669097</v>
      </c>
      <c r="AJ9737">
        <v>90.472042453666802</v>
      </c>
      <c r="AK9737">
        <v>194.67177896827701</v>
      </c>
      <c r="AL9737">
        <v>79.421657482178006</v>
      </c>
      <c r="AM9737">
        <v>93.517755824718805</v>
      </c>
      <c r="AN9737">
        <v>1.0000000356772101</v>
      </c>
    </row>
    <row r="9738" spans="1:40" x14ac:dyDescent="0.25">
      <c r="A9738" t="str">
        <f>"20190303162137941"</f>
        <v>20190303162137941</v>
      </c>
      <c r="B9738" t="str">
        <f>"1551601297932217"</f>
        <v>1551601297932217</v>
      </c>
      <c r="C9738" t="s">
        <v>40</v>
      </c>
      <c r="D9738">
        <v>4.7048550000000002</v>
      </c>
      <c r="E9738">
        <v>0.49657190000000001</v>
      </c>
      <c r="F9738" t="s">
        <v>41</v>
      </c>
      <c r="G9738">
        <v>-182.82050000000001</v>
      </c>
      <c r="H9738" s="1">
        <v>-2.4918769999999998E-6</v>
      </c>
      <c r="I9738">
        <v>161.15899999999999</v>
      </c>
      <c r="J9738">
        <v>-187.9076</v>
      </c>
      <c r="K9738">
        <v>1.121588</v>
      </c>
      <c r="L9738">
        <v>-7.5350649999999897</v>
      </c>
      <c r="M9738">
        <v>3.7265079999999999E-2</v>
      </c>
      <c r="N9738">
        <v>-1.176349E-2</v>
      </c>
      <c r="O9738">
        <v>0.99923620000000002</v>
      </c>
      <c r="P9738">
        <v>-2.2112219999999998E-2</v>
      </c>
      <c r="Q9738">
        <v>0.17117449999999901</v>
      </c>
      <c r="R9738">
        <v>0.9849926</v>
      </c>
      <c r="S9738">
        <v>9.2071529999999999E-2</v>
      </c>
      <c r="T9738">
        <v>-2.0253179999999999E-2</v>
      </c>
      <c r="U9738">
        <v>3.051971</v>
      </c>
      <c r="V9738">
        <v>-5.8855119999999997E-2</v>
      </c>
      <c r="W9738">
        <v>0.18271580000000001</v>
      </c>
      <c r="X9738">
        <v>0.98140260000000001</v>
      </c>
      <c r="Y9738">
        <v>-7.1171159999999997E-3</v>
      </c>
      <c r="Z9738">
        <v>5.1296359999999999E-3</v>
      </c>
      <c r="AA9738">
        <v>0.99996149999999995</v>
      </c>
      <c r="AB9738">
        <v>29</v>
      </c>
      <c r="AC9738">
        <v>5.0870999999999897</v>
      </c>
      <c r="AD9738">
        <v>-1.1215904918770001</v>
      </c>
      <c r="AE9738">
        <v>168.69406499999999</v>
      </c>
      <c r="AF9738">
        <v>-1.20321344235836</v>
      </c>
      <c r="AG9738">
        <v>-1.1215904918770001</v>
      </c>
      <c r="AH9738">
        <v>168.75900765957999</v>
      </c>
      <c r="AI9738">
        <v>90.380778620696006</v>
      </c>
      <c r="AJ9738">
        <v>90.408498988887501</v>
      </c>
      <c r="AK9738">
        <v>168.76702389408101</v>
      </c>
      <c r="AL9738">
        <v>79.472012672770305</v>
      </c>
      <c r="AM9738">
        <v>93.431941274237303</v>
      </c>
      <c r="AN9738">
        <v>1.0000000260033</v>
      </c>
    </row>
    <row r="9739" spans="1:40" x14ac:dyDescent="0.25">
      <c r="A9739" t="str">
        <f>"20190303162137962"</f>
        <v>20190303162137962</v>
      </c>
      <c r="B9739" t="str">
        <f>"1551601297951738"</f>
        <v>1551601297951738</v>
      </c>
      <c r="C9739" t="s">
        <v>40</v>
      </c>
      <c r="D9739">
        <v>4.68743</v>
      </c>
      <c r="E9739">
        <v>0.4947356</v>
      </c>
      <c r="F9739" t="s">
        <v>41</v>
      </c>
      <c r="G9739">
        <v>-191.1473</v>
      </c>
      <c r="H9739" s="1">
        <v>-1.695336E-6</v>
      </c>
      <c r="I9739">
        <v>92.82938</v>
      </c>
      <c r="J9739">
        <v>-187.89699999999999</v>
      </c>
      <c r="K9739">
        <v>1.1216619999999999</v>
      </c>
      <c r="L9739">
        <v>-7.2436220000000002</v>
      </c>
      <c r="M9739">
        <v>3.694385E-2</v>
      </c>
      <c r="N9739">
        <v>-1.1763880000000001E-2</v>
      </c>
      <c r="O9739">
        <v>0.99924809999999997</v>
      </c>
      <c r="P9739">
        <v>-2.234649E-2</v>
      </c>
      <c r="Q9739">
        <v>0.169592299999999</v>
      </c>
      <c r="R9739">
        <v>0.9852609</v>
      </c>
      <c r="S9739">
        <v>-9.8434450000000007E-2</v>
      </c>
      <c r="T9739">
        <v>-3.4077639999999999E-2</v>
      </c>
      <c r="U9739">
        <v>3.0494080000000001</v>
      </c>
      <c r="V9739">
        <v>-5.881749E-2</v>
      </c>
      <c r="W9739">
        <v>0.18112629999999999</v>
      </c>
      <c r="X9739">
        <v>0.9816994</v>
      </c>
      <c r="Y9739">
        <v>-6.9158869999999997E-2</v>
      </c>
      <c r="Z9739">
        <v>6.2419639999999996E-4</v>
      </c>
      <c r="AA9739">
        <v>0.99760539999999998</v>
      </c>
      <c r="AB9739">
        <v>29</v>
      </c>
      <c r="AC9739">
        <v>-3.2502999999999802</v>
      </c>
      <c r="AD9739">
        <v>-1.121663695336</v>
      </c>
      <c r="AE9739">
        <v>100.073002</v>
      </c>
      <c r="AF9739">
        <v>-6.9445471471174098</v>
      </c>
      <c r="AG9739">
        <v>-1.121663695336</v>
      </c>
      <c r="AH9739">
        <v>99.872056447276606</v>
      </c>
      <c r="AI9739">
        <v>90.641912373348703</v>
      </c>
      <c r="AJ9739">
        <v>93.977627315929595</v>
      </c>
      <c r="AK9739">
        <v>100.119491226893</v>
      </c>
      <c r="AL9739">
        <v>79.564629250817603</v>
      </c>
      <c r="AM9739">
        <v>93.428717792508294</v>
      </c>
      <c r="AN9739">
        <v>0.99999997282097397</v>
      </c>
    </row>
    <row r="9740" spans="1:40" x14ac:dyDescent="0.25">
      <c r="A9740" t="str">
        <f>"20190303162137985"</f>
        <v>20190303162137985</v>
      </c>
      <c r="B9740" t="str">
        <f>"1551601297971765"</f>
        <v>1551601297971765</v>
      </c>
      <c r="C9740" t="s">
        <v>40</v>
      </c>
      <c r="D9740">
        <v>4.615494</v>
      </c>
      <c r="E9740">
        <v>0.49401800000000001</v>
      </c>
      <c r="F9740" t="s">
        <v>41</v>
      </c>
      <c r="G9740">
        <v>-190.9342</v>
      </c>
      <c r="H9740" s="1">
        <v>-2.3995769999999999E-6</v>
      </c>
      <c r="I9740">
        <v>74.603179999999995</v>
      </c>
      <c r="J9740">
        <v>-187.88679999999999</v>
      </c>
      <c r="K9740">
        <v>1.1217280000000001</v>
      </c>
      <c r="L9740">
        <v>-6.9562379999999999</v>
      </c>
      <c r="M9740">
        <v>3.6576339999999999E-2</v>
      </c>
      <c r="N9740">
        <v>-1.176438E-2</v>
      </c>
      <c r="O9740">
        <v>0.99926159999999997</v>
      </c>
      <c r="P9740">
        <v>-2.379674E-2</v>
      </c>
      <c r="Q9740">
        <v>0.16849349999999999</v>
      </c>
      <c r="R9740">
        <v>0.9854155</v>
      </c>
      <c r="S9740">
        <v>-0.1131592</v>
      </c>
      <c r="T9740">
        <v>-4.1791679999999998E-2</v>
      </c>
      <c r="U9740">
        <v>3.0495000000000001</v>
      </c>
      <c r="V9740">
        <v>-5.9937379999999998E-2</v>
      </c>
      <c r="W9740">
        <v>0.18002000000000001</v>
      </c>
      <c r="X9740">
        <v>0.98183520000000002</v>
      </c>
      <c r="Y9740">
        <v>-7.3599750000000005E-2</v>
      </c>
      <c r="Z9740">
        <v>-1.893898E-3</v>
      </c>
      <c r="AA9740">
        <v>0.99728609999999895</v>
      </c>
      <c r="AB9740">
        <v>29</v>
      </c>
      <c r="AC9740">
        <v>-3.0474000000000099</v>
      </c>
      <c r="AD9740">
        <v>-1.121730399577</v>
      </c>
      <c r="AE9740">
        <v>81.559417999999994</v>
      </c>
      <c r="AF9740">
        <v>-6.0275734980847799</v>
      </c>
      <c r="AG9740">
        <v>-1.121730399577</v>
      </c>
      <c r="AH9740">
        <v>81.3779934852016</v>
      </c>
      <c r="AI9740">
        <v>90.787569221575495</v>
      </c>
      <c r="AJ9740">
        <v>94.236096488456496</v>
      </c>
      <c r="AK9740">
        <v>81.608625432864997</v>
      </c>
      <c r="AL9740">
        <v>79.629075510810694</v>
      </c>
      <c r="AM9740">
        <v>93.493358616443501</v>
      </c>
      <c r="AN9740">
        <v>1.0000000249401499</v>
      </c>
    </row>
    <row r="9741" spans="1:40" x14ac:dyDescent="0.25">
      <c r="A9741" t="str">
        <f>"20190303162138007"</f>
        <v>20190303162138007</v>
      </c>
      <c r="B9741" t="str">
        <f>"1551601297992260"</f>
        <v>1551601297992260</v>
      </c>
      <c r="C9741" t="s">
        <v>40</v>
      </c>
      <c r="D9741">
        <v>4.6417659999999996</v>
      </c>
      <c r="E9741">
        <v>0.4938729</v>
      </c>
      <c r="F9741" t="s">
        <v>41</v>
      </c>
      <c r="G9741">
        <v>-190.95920000000001</v>
      </c>
      <c r="H9741" s="1">
        <v>-4.4673639999999996E-6</v>
      </c>
      <c r="I9741">
        <v>69.614339999999999</v>
      </c>
      <c r="J9741">
        <v>-187.8768</v>
      </c>
      <c r="K9741">
        <v>1.121766</v>
      </c>
      <c r="L9741">
        <v>-6.6700439999999999</v>
      </c>
      <c r="M9741">
        <v>3.6168430000000001E-2</v>
      </c>
      <c r="N9741">
        <v>-1.176487E-2</v>
      </c>
      <c r="O9741">
        <v>0.99927650000000001</v>
      </c>
      <c r="P9741">
        <v>-2.5448019999999998E-2</v>
      </c>
      <c r="Q9741">
        <v>0.16887669999999999</v>
      </c>
      <c r="R9741">
        <v>0.98530859999999998</v>
      </c>
      <c r="S9741">
        <v>-0.122345</v>
      </c>
      <c r="T9741">
        <v>-4.466784E-2</v>
      </c>
      <c r="U9741">
        <v>3.0490719999999998</v>
      </c>
      <c r="V9741">
        <v>-6.1199009999999998E-2</v>
      </c>
      <c r="W9741">
        <v>0.18039469999999999</v>
      </c>
      <c r="X9741">
        <v>0.98168860000000002</v>
      </c>
      <c r="Y9741">
        <v>-7.6196669999999994E-2</v>
      </c>
      <c r="Z9741">
        <v>-2.8333730000000001E-3</v>
      </c>
      <c r="AA9741">
        <v>0.9970888</v>
      </c>
      <c r="AB9741">
        <v>29</v>
      </c>
      <c r="AC9741">
        <v>-3.0823999999999998</v>
      </c>
      <c r="AD9741">
        <v>-1.1217704673639901</v>
      </c>
      <c r="AE9741">
        <v>76.284384000000003</v>
      </c>
      <c r="AF9741">
        <v>-5.83839973519403</v>
      </c>
      <c r="AG9741">
        <v>-1.1217704673639901</v>
      </c>
      <c r="AH9741">
        <v>76.106541094401706</v>
      </c>
      <c r="AI9741">
        <v>90.841975062501405</v>
      </c>
      <c r="AJ9741">
        <v>94.386768370504399</v>
      </c>
      <c r="AK9741">
        <v>76.338397139337602</v>
      </c>
      <c r="AL9741">
        <v>79.607249587257598</v>
      </c>
      <c r="AM9741">
        <v>93.567234180321805</v>
      </c>
      <c r="AN9741">
        <v>1.0000000369915101</v>
      </c>
    </row>
    <row r="9742" spans="1:40" x14ac:dyDescent="0.25">
      <c r="A9742" t="str">
        <f>"20190303162138030"</f>
        <v>20190303162138030</v>
      </c>
      <c r="B9742" t="str">
        <f>"1551601298022517"</f>
        <v>1551601298022517</v>
      </c>
      <c r="C9742" t="s">
        <v>40</v>
      </c>
      <c r="D9742">
        <v>4.5927899999999999</v>
      </c>
      <c r="E9742">
        <v>0.4939481</v>
      </c>
      <c r="F9742" t="s">
        <v>41</v>
      </c>
      <c r="G9742">
        <v>-191.3888</v>
      </c>
      <c r="H9742" s="1">
        <v>-3.58982E-6</v>
      </c>
      <c r="I9742">
        <v>77.095709999999997</v>
      </c>
      <c r="J9742">
        <v>-187.86680000000001</v>
      </c>
      <c r="K9742">
        <v>1.1217779999999999</v>
      </c>
      <c r="L9742">
        <v>-6.3801269999999999</v>
      </c>
      <c r="M9742">
        <v>3.5726899999999999E-2</v>
      </c>
      <c r="N9742">
        <v>-1.1765309999999999E-2</v>
      </c>
      <c r="O9742">
        <v>0.99929230000000002</v>
      </c>
      <c r="P9742">
        <v>-2.5965180000000001E-2</v>
      </c>
      <c r="Q9742">
        <v>0.16764560000000001</v>
      </c>
      <c r="R9742">
        <v>0.98550530000000003</v>
      </c>
      <c r="S9742">
        <v>-0.12780759999999999</v>
      </c>
      <c r="T9742">
        <v>-4.0823819999999997E-2</v>
      </c>
      <c r="U9742">
        <v>3.0484309999999999</v>
      </c>
      <c r="V9742">
        <v>-6.12954E-2</v>
      </c>
      <c r="W9742">
        <v>0.179164299999999</v>
      </c>
      <c r="X9742">
        <v>0.9819078</v>
      </c>
      <c r="Y9742">
        <v>-7.7548649999999997E-2</v>
      </c>
      <c r="Z9742">
        <v>-1.57769299999999E-3</v>
      </c>
      <c r="AA9742">
        <v>0.99698730000000002</v>
      </c>
      <c r="AB9742">
        <v>29</v>
      </c>
      <c r="AC9742">
        <v>-3.52199999999999</v>
      </c>
      <c r="AD9742">
        <v>-1.1217815898200001</v>
      </c>
      <c r="AE9742">
        <v>83.475836999999999</v>
      </c>
      <c r="AF9742">
        <v>-6.5011186665691101</v>
      </c>
      <c r="AG9742">
        <v>-1.1217815898200001</v>
      </c>
      <c r="AH9742">
        <v>83.281685834584394</v>
      </c>
      <c r="AI9742">
        <v>90.769371555336093</v>
      </c>
      <c r="AJ9742">
        <v>94.463560166205994</v>
      </c>
      <c r="AK9742">
        <v>83.542576769587896</v>
      </c>
      <c r="AL9742">
        <v>79.678913042058795</v>
      </c>
      <c r="AM9742">
        <v>93.572042591745202</v>
      </c>
      <c r="AN9742">
        <v>0.99999995007824305</v>
      </c>
    </row>
    <row r="9743" spans="1:40" x14ac:dyDescent="0.25">
      <c r="A9743" t="str">
        <f>"20190303162138053"</f>
        <v>20190303162138053</v>
      </c>
      <c r="B9743" t="str">
        <f>"1551601298042037"</f>
        <v>1551601298042037</v>
      </c>
      <c r="C9743" t="s">
        <v>40</v>
      </c>
      <c r="D9743">
        <v>4.6506109999999996</v>
      </c>
      <c r="E9743">
        <v>0.49394399999999999</v>
      </c>
      <c r="F9743" t="s">
        <v>41</v>
      </c>
      <c r="G9743">
        <v>-191.63849999999999</v>
      </c>
      <c r="H9743" s="1">
        <v>-2.0321559999999998E-6</v>
      </c>
      <c r="I9743">
        <v>83.309880000000007</v>
      </c>
      <c r="J9743">
        <v>-187.85669999999999</v>
      </c>
      <c r="K9743">
        <v>1.121774</v>
      </c>
      <c r="L9743">
        <v>-6.0822750000000001</v>
      </c>
      <c r="M9743">
        <v>3.5259110000000003E-2</v>
      </c>
      <c r="N9743">
        <v>-1.176577E-2</v>
      </c>
      <c r="O9743">
        <v>0.99930890000000006</v>
      </c>
      <c r="P9743">
        <v>-2.692015E-2</v>
      </c>
      <c r="Q9743">
        <v>0.16554170000000001</v>
      </c>
      <c r="R9743">
        <v>0.98583529999999997</v>
      </c>
      <c r="S9743">
        <v>-0.12814329999999999</v>
      </c>
      <c r="T9743">
        <v>-3.8112760000000002E-2</v>
      </c>
      <c r="U9743">
        <v>3.0472410000000001</v>
      </c>
      <c r="V9743">
        <v>-6.1802929999999999E-2</v>
      </c>
      <c r="W9743">
        <v>0.17706369999999999</v>
      </c>
      <c r="X9743">
        <v>0.98225700000000005</v>
      </c>
      <c r="Y9743">
        <v>-7.7208379999999993E-2</v>
      </c>
      <c r="Z9743">
        <v>-6.9603880000000001E-4</v>
      </c>
      <c r="AA9743">
        <v>0.99701479999999998</v>
      </c>
      <c r="AB9743">
        <v>29</v>
      </c>
      <c r="AC9743">
        <v>-3.7818000000000001</v>
      </c>
      <c r="AD9743">
        <v>-1.121776032156</v>
      </c>
      <c r="AE9743">
        <v>89.392155000000002</v>
      </c>
      <c r="AF9743">
        <v>-6.9304648820098498</v>
      </c>
      <c r="AG9743">
        <v>-1.121776032156</v>
      </c>
      <c r="AH9743">
        <v>89.189191462181</v>
      </c>
      <c r="AI9743">
        <v>90.718433518699499</v>
      </c>
      <c r="AJ9743">
        <v>94.443252019536303</v>
      </c>
      <c r="AK9743">
        <v>89.465085919730001</v>
      </c>
      <c r="AL9743">
        <v>79.801224723347701</v>
      </c>
      <c r="AM9743">
        <v>93.600264805045796</v>
      </c>
      <c r="AN9743">
        <v>0.99999998503163701</v>
      </c>
    </row>
    <row r="9744" spans="1:40" x14ac:dyDescent="0.25">
      <c r="A9744" t="str">
        <f>"20190303162138076"</f>
        <v>20190303162138076</v>
      </c>
      <c r="B9744" t="str">
        <f>"1551601298062063"</f>
        <v>1551601298062063</v>
      </c>
      <c r="C9744" t="s">
        <v>40</v>
      </c>
      <c r="D9744">
        <v>4.5669399999999998</v>
      </c>
      <c r="E9744">
        <v>0.49415310000000001</v>
      </c>
      <c r="F9744" t="s">
        <v>41</v>
      </c>
      <c r="G9744">
        <v>-191.62020000000001</v>
      </c>
      <c r="H9744" s="1">
        <v>-1.282478E-6</v>
      </c>
      <c r="I9744">
        <v>81.573719999999994</v>
      </c>
      <c r="J9744">
        <v>-187.84649999999999</v>
      </c>
      <c r="K9744">
        <v>1.121764</v>
      </c>
      <c r="L9744">
        <v>-5.7801210000000003</v>
      </c>
      <c r="M9744">
        <v>3.4784450000000001E-2</v>
      </c>
      <c r="N9744">
        <v>-1.176636E-2</v>
      </c>
      <c r="O9744">
        <v>0.99932560000000004</v>
      </c>
      <c r="P9744">
        <v>-2.7777530000000002E-2</v>
      </c>
      <c r="Q9744">
        <v>0.1642981</v>
      </c>
      <c r="R9744">
        <v>0.9860196</v>
      </c>
      <c r="S9744">
        <v>-0.13078310000000001</v>
      </c>
      <c r="T9744">
        <v>-3.898215E-2</v>
      </c>
      <c r="U9744">
        <v>3.0460820000000002</v>
      </c>
      <c r="V9744">
        <v>-6.2198259999999998E-2</v>
      </c>
      <c r="W9744">
        <v>0.17582220000000001</v>
      </c>
      <c r="X9744">
        <v>0.98245510000000003</v>
      </c>
      <c r="Y9744">
        <v>-7.7613000000000001E-2</v>
      </c>
      <c r="Z9744">
        <v>-9.8456650000000004E-4</v>
      </c>
      <c r="AA9744">
        <v>0.99698310000000001</v>
      </c>
      <c r="AB9744">
        <v>29</v>
      </c>
      <c r="AC9744">
        <v>-3.77370000000001</v>
      </c>
      <c r="AD9744">
        <v>-1.121765282478</v>
      </c>
      <c r="AE9744">
        <v>87.353840999999903</v>
      </c>
      <c r="AF9744">
        <v>-6.8090607962176204</v>
      </c>
      <c r="AG9744">
        <v>-1.121765282478</v>
      </c>
      <c r="AH9744">
        <v>87.155349501678998</v>
      </c>
      <c r="AI9744">
        <v>90.735165963112095</v>
      </c>
      <c r="AJ9744">
        <v>94.467191154544395</v>
      </c>
      <c r="AK9744">
        <v>87.428122552388004</v>
      </c>
      <c r="AL9744">
        <v>79.873491868173105</v>
      </c>
      <c r="AM9744">
        <v>93.622504551341095</v>
      </c>
      <c r="AN9744">
        <v>1.00000004653793</v>
      </c>
    </row>
    <row r="9745" spans="1:40" x14ac:dyDescent="0.25">
      <c r="A9745" t="str">
        <f>"20190303162138099"</f>
        <v>20190303162138099</v>
      </c>
      <c r="B9745" t="str">
        <f>"1551601298093296"</f>
        <v>1551601298093296</v>
      </c>
      <c r="C9745" t="s">
        <v>40</v>
      </c>
      <c r="D9745">
        <v>4.5490209999999998</v>
      </c>
      <c r="E9745">
        <v>0.49436380000000002</v>
      </c>
      <c r="F9745" t="s">
        <v>41</v>
      </c>
      <c r="G9745">
        <v>-191.87899999999999</v>
      </c>
      <c r="H9745" s="1">
        <v>-3.9564279999999999E-6</v>
      </c>
      <c r="I9745">
        <v>87.646259999999998</v>
      </c>
      <c r="J9745">
        <v>-187.83670000000001</v>
      </c>
      <c r="K9745">
        <v>1.121766</v>
      </c>
      <c r="L9745">
        <v>-5.4826350000000001</v>
      </c>
      <c r="M9745">
        <v>3.4327370000000003E-2</v>
      </c>
      <c r="N9745">
        <v>-1.1767E-2</v>
      </c>
      <c r="O9745">
        <v>0.99934140000000005</v>
      </c>
      <c r="P9745">
        <v>-2.858078E-2</v>
      </c>
      <c r="Q9745">
        <v>0.1644545</v>
      </c>
      <c r="R9745">
        <v>0.98597049999999997</v>
      </c>
      <c r="S9745">
        <v>-0.13142400000000001</v>
      </c>
      <c r="T9745">
        <v>-3.6560299999999997E-2</v>
      </c>
      <c r="U9745">
        <v>3.0449220000000001</v>
      </c>
      <c r="V9745">
        <v>-6.2548759999999995E-2</v>
      </c>
      <c r="W9745">
        <v>0.1759781</v>
      </c>
      <c r="X9745">
        <v>0.98240490000000003</v>
      </c>
      <c r="Y9745">
        <v>-7.738312E-2</v>
      </c>
      <c r="Z9745">
        <v>-1.962201E-4</v>
      </c>
      <c r="AA9745">
        <v>0.99700140000000004</v>
      </c>
      <c r="AB9745">
        <v>29</v>
      </c>
      <c r="AC9745">
        <v>-4.0423000000000098</v>
      </c>
      <c r="AD9745">
        <v>-1.1217699564279999</v>
      </c>
      <c r="AE9745">
        <v>93.128895</v>
      </c>
      <c r="AF9745">
        <v>-7.2359606941136398</v>
      </c>
      <c r="AG9745">
        <v>-1.1217699564279999</v>
      </c>
      <c r="AH9745">
        <v>92.9217733201952</v>
      </c>
      <c r="AI9745">
        <v>90.689564950999497</v>
      </c>
      <c r="AJ9745">
        <v>94.452724140186703</v>
      </c>
      <c r="AK9745">
        <v>93.209835596741897</v>
      </c>
      <c r="AL9745">
        <v>79.8644176361327</v>
      </c>
      <c r="AM9745">
        <v>93.643048940467196</v>
      </c>
      <c r="AN9745">
        <v>1.00000001330057</v>
      </c>
    </row>
    <row r="9746" spans="1:40" x14ac:dyDescent="0.25">
      <c r="A9746" t="str">
        <f>"20190303162138121"</f>
        <v>20190303162138121</v>
      </c>
      <c r="B9746" t="str">
        <f>"1551601298111840"</f>
        <v>1551601298111840</v>
      </c>
      <c r="C9746" t="s">
        <v>40</v>
      </c>
      <c r="D9746">
        <v>4.5533400000000004</v>
      </c>
      <c r="E9746">
        <v>0.4944074</v>
      </c>
      <c r="F9746" t="s">
        <v>41</v>
      </c>
      <c r="G9746">
        <v>-192.8364</v>
      </c>
      <c r="H9746" s="1">
        <v>-4.7787020000000001E-6</v>
      </c>
      <c r="I9746">
        <v>109.5508</v>
      </c>
      <c r="J9746">
        <v>-187.82749999999999</v>
      </c>
      <c r="K9746">
        <v>1.1217699999999999</v>
      </c>
      <c r="L9746">
        <v>-5.2003779999999997</v>
      </c>
      <c r="M9746">
        <v>3.3905989999999997E-2</v>
      </c>
      <c r="N9746">
        <v>-1.1767649999999999E-2</v>
      </c>
      <c r="O9746">
        <v>0.99935569999999896</v>
      </c>
      <c r="P9746">
        <v>-2.810878E-2</v>
      </c>
      <c r="Q9746">
        <v>0.16457949999999999</v>
      </c>
      <c r="R9746">
        <v>0.98596320000000004</v>
      </c>
      <c r="S9746">
        <v>-0.13229369999999999</v>
      </c>
      <c r="T9746">
        <v>-2.9682159999999999E-2</v>
      </c>
      <c r="U9746">
        <v>3.043793</v>
      </c>
      <c r="V9746">
        <v>-6.1661470000000003E-2</v>
      </c>
      <c r="W9746">
        <v>0.17610529999999999</v>
      </c>
      <c r="X9746">
        <v>0.98243820000000004</v>
      </c>
      <c r="Y9746">
        <v>-7.7263960000000007E-2</v>
      </c>
      <c r="Z9746">
        <v>2.0527779999999999E-3</v>
      </c>
      <c r="AA9746">
        <v>0.99700860000000002</v>
      </c>
      <c r="AB9746">
        <v>29</v>
      </c>
      <c r="AC9746">
        <v>-5.0089000000000103</v>
      </c>
      <c r="AD9746">
        <v>-1.121774778702</v>
      </c>
      <c r="AE9746">
        <v>114.751178</v>
      </c>
      <c r="AF9746">
        <v>-8.8961929623199794</v>
      </c>
      <c r="AG9746">
        <v>-1.121774778702</v>
      </c>
      <c r="AH9746">
        <v>114.50442474028701</v>
      </c>
      <c r="AI9746">
        <v>90.5596099395555</v>
      </c>
      <c r="AJ9746">
        <v>94.442556960905506</v>
      </c>
      <c r="AK9746">
        <v>114.85496903913599</v>
      </c>
      <c r="AL9746">
        <v>79.857014007573895</v>
      </c>
      <c r="AM9746">
        <v>93.5913850220917</v>
      </c>
      <c r="AN9746">
        <v>1.00000001519494</v>
      </c>
    </row>
    <row r="9747" spans="1:40" x14ac:dyDescent="0.25">
      <c r="A9747" t="str">
        <f>"20190303162138143"</f>
        <v>20190303162138143</v>
      </c>
      <c r="B9747" t="str">
        <f>"1551601298132336"</f>
        <v>1551601298132336</v>
      </c>
      <c r="C9747" t="s">
        <v>40</v>
      </c>
      <c r="D9747">
        <v>4.5639149999999997</v>
      </c>
      <c r="E9747">
        <v>0.494612</v>
      </c>
      <c r="F9747" t="s">
        <v>50</v>
      </c>
      <c r="G9747">
        <v>-193.73099999999999</v>
      </c>
      <c r="H9747" s="1">
        <v>-6.3729490000000003E-6</v>
      </c>
      <c r="I9747">
        <v>132.64930000000001</v>
      </c>
      <c r="J9747">
        <v>-187.81800000000001</v>
      </c>
      <c r="K9747">
        <v>1.1217710000000001</v>
      </c>
      <c r="L9747">
        <v>-4.9076230000000001</v>
      </c>
      <c r="M9747">
        <v>3.3479740000000001E-2</v>
      </c>
      <c r="N9747">
        <v>-1.176836E-2</v>
      </c>
      <c r="O9747">
        <v>0.99937010000000004</v>
      </c>
      <c r="P9747">
        <v>-2.7238680000000001E-2</v>
      </c>
      <c r="Q9747">
        <v>0.1644089</v>
      </c>
      <c r="R9747">
        <v>0.98601609999999995</v>
      </c>
      <c r="S9747">
        <v>-0.13032530000000001</v>
      </c>
      <c r="T9747">
        <v>-2.4763940000000002E-2</v>
      </c>
      <c r="U9747">
        <v>3.0431210000000002</v>
      </c>
      <c r="V9747">
        <v>-6.0372170000000003E-2</v>
      </c>
      <c r="W9747">
        <v>0.1759377</v>
      </c>
      <c r="X9747">
        <v>0.98254830000000004</v>
      </c>
      <c r="Y9747">
        <v>-7.6205179999999997E-2</v>
      </c>
      <c r="Z9747">
        <v>3.6619589999999998E-3</v>
      </c>
      <c r="AA9747">
        <v>0.99708549999999996</v>
      </c>
      <c r="AB9747">
        <v>29</v>
      </c>
      <c r="AC9747">
        <v>-5.91300000000001</v>
      </c>
      <c r="AD9747">
        <v>-1.1217773729489999</v>
      </c>
      <c r="AE9747">
        <v>137.55692300000001</v>
      </c>
      <c r="AF9747">
        <v>-10.514675707829801</v>
      </c>
      <c r="AG9747">
        <v>-1.1217773729489999</v>
      </c>
      <c r="AH9747">
        <v>137.27270562867201</v>
      </c>
      <c r="AI9747">
        <v>90.466836927842493</v>
      </c>
      <c r="AJ9747">
        <v>94.380131244153702</v>
      </c>
      <c r="AK9747">
        <v>137.67938298936201</v>
      </c>
      <c r="AL9747">
        <v>79.866769116570296</v>
      </c>
      <c r="AM9747">
        <v>93.516088952219903</v>
      </c>
      <c r="AN9747">
        <v>1.00000001751234</v>
      </c>
    </row>
    <row r="9748" spans="1:40" x14ac:dyDescent="0.25">
      <c r="A9748" t="str">
        <f>"20190303162138165"</f>
        <v>20190303162138165</v>
      </c>
      <c r="B9748" t="str">
        <f>"1551601298151855"</f>
        <v>1551601298151855</v>
      </c>
      <c r="C9748" t="s">
        <v>40</v>
      </c>
      <c r="D9748">
        <v>4.5358010000000002</v>
      </c>
      <c r="E9748">
        <v>0.49476589999999998</v>
      </c>
      <c r="F9748" t="s">
        <v>50</v>
      </c>
      <c r="G9748">
        <v>-194.62729999999999</v>
      </c>
      <c r="H9748" s="1">
        <v>-1.485092E-5</v>
      </c>
      <c r="I9748">
        <v>159.11330000000001</v>
      </c>
      <c r="J9748">
        <v>-187.809</v>
      </c>
      <c r="K9748">
        <v>1.121767</v>
      </c>
      <c r="L9748">
        <v>-4.6254879999999998</v>
      </c>
      <c r="M9748">
        <v>3.3076880000000003E-2</v>
      </c>
      <c r="N9748">
        <v>-1.1769099999999999E-2</v>
      </c>
      <c r="O9748">
        <v>0.99938349999999998</v>
      </c>
      <c r="P9748">
        <v>-2.6271030000000001E-2</v>
      </c>
      <c r="Q9748">
        <v>0.16373289999999999</v>
      </c>
      <c r="R9748">
        <v>0.98615489999999995</v>
      </c>
      <c r="S9748">
        <v>-0.12631229999999999</v>
      </c>
      <c r="T9748">
        <v>-2.0808819999999999E-2</v>
      </c>
      <c r="U9748">
        <v>3.0425420000000001</v>
      </c>
      <c r="V9748">
        <v>-5.9010760000000002E-2</v>
      </c>
      <c r="W9748">
        <v>0.175266899999999</v>
      </c>
      <c r="X9748">
        <v>0.98275080000000004</v>
      </c>
      <c r="Y9748">
        <v>-7.4498990000000001E-2</v>
      </c>
      <c r="Z9748">
        <v>4.9563070000000001E-3</v>
      </c>
      <c r="AA9748">
        <v>0.99720880000000001</v>
      </c>
      <c r="AB9748">
        <v>29</v>
      </c>
      <c r="AC9748">
        <v>-6.8182999999999598</v>
      </c>
      <c r="AD9748">
        <v>-1.1217818509199999</v>
      </c>
      <c r="AE9748">
        <v>163.738788</v>
      </c>
      <c r="AF9748">
        <v>-12.2303389647583</v>
      </c>
      <c r="AG9748">
        <v>-1.1217818509199999</v>
      </c>
      <c r="AH9748">
        <v>163.415978739048</v>
      </c>
      <c r="AI9748">
        <v>90.392208343523805</v>
      </c>
      <c r="AJ9748">
        <v>94.280137279046798</v>
      </c>
      <c r="AK9748">
        <v>163.87684916715699</v>
      </c>
      <c r="AL9748">
        <v>79.905809036077301</v>
      </c>
      <c r="AM9748">
        <v>93.436285870295393</v>
      </c>
      <c r="AN9748">
        <v>0.99999994546601201</v>
      </c>
    </row>
    <row r="9749" spans="1:40" x14ac:dyDescent="0.25">
      <c r="A9749" t="str">
        <f>"20190303162138187"</f>
        <v>20190303162138187</v>
      </c>
      <c r="B9749" t="str">
        <f>"1551601298182111"</f>
        <v>1551601298182111</v>
      </c>
      <c r="C9749" t="s">
        <v>40</v>
      </c>
      <c r="D9749">
        <v>4.5097060000000004</v>
      </c>
      <c r="E9749">
        <v>0.49488789999999999</v>
      </c>
      <c r="F9749" t="s">
        <v>41</v>
      </c>
      <c r="G9749">
        <v>-194.7672</v>
      </c>
      <c r="H9749" s="1">
        <v>-5.1613820000000002E-6</v>
      </c>
      <c r="I9749">
        <v>168.52459999999999</v>
      </c>
      <c r="J9749">
        <v>-187.7998</v>
      </c>
      <c r="K9749">
        <v>1.1217539999999999</v>
      </c>
      <c r="L9749">
        <v>-4.3338929999999998</v>
      </c>
      <c r="M9749">
        <v>3.2665359999999997E-2</v>
      </c>
      <c r="N9749">
        <v>-1.17696E-2</v>
      </c>
      <c r="O9749">
        <v>0.99939699999999998</v>
      </c>
      <c r="P9749">
        <v>-2.5150169999999999E-2</v>
      </c>
      <c r="Q9749">
        <v>0.16334979999999999</v>
      </c>
      <c r="R9749">
        <v>0.9862476</v>
      </c>
      <c r="S9749">
        <v>-0.122253399999999</v>
      </c>
      <c r="T9749">
        <v>-1.970887E-2</v>
      </c>
      <c r="U9749">
        <v>3.0421450000000001</v>
      </c>
      <c r="V9749">
        <v>-5.7486009999999997E-2</v>
      </c>
      <c r="W9749">
        <v>0.1748876</v>
      </c>
      <c r="X9749">
        <v>0.98290880000000003</v>
      </c>
      <c r="Y9749">
        <v>-7.2765659999999996E-2</v>
      </c>
      <c r="Z9749">
        <v>5.3154369999999897E-3</v>
      </c>
      <c r="AA9749">
        <v>0.99733490000000002</v>
      </c>
      <c r="AB9749">
        <v>29</v>
      </c>
      <c r="AC9749">
        <v>-6.9673999999999898</v>
      </c>
      <c r="AD9749">
        <v>-1.1217591613819999</v>
      </c>
      <c r="AE9749">
        <v>172.85849299999899</v>
      </c>
      <c r="AF9749">
        <v>-12.6100273830607</v>
      </c>
      <c r="AG9749">
        <v>-1.1217591613819999</v>
      </c>
      <c r="AH9749">
        <v>172.53137090358001</v>
      </c>
      <c r="AI9749">
        <v>90.371527705394797</v>
      </c>
      <c r="AJ9749">
        <v>94.180219180659293</v>
      </c>
      <c r="AK9749">
        <v>172.99521692834901</v>
      </c>
      <c r="AL9749">
        <v>79.927882926631398</v>
      </c>
      <c r="AM9749">
        <v>93.347165065070797</v>
      </c>
      <c r="AN9749">
        <v>1.00000001154846</v>
      </c>
    </row>
    <row r="9750" spans="1:40" x14ac:dyDescent="0.25">
      <c r="A9750" t="str">
        <f>"20190303162138208"</f>
        <v>20190303162138208</v>
      </c>
      <c r="B9750" t="str">
        <f>"1551601298192847"</f>
        <v>1551601298192847</v>
      </c>
      <c r="C9750" t="s">
        <v>40</v>
      </c>
      <c r="D9750">
        <v>4.4988970000000004</v>
      </c>
      <c r="E9750">
        <v>0.49491459999999998</v>
      </c>
      <c r="F9750" t="s">
        <v>49</v>
      </c>
      <c r="G9750">
        <v>-195.8058</v>
      </c>
      <c r="H9750" s="1">
        <v>5.4503390000000002E-6</v>
      </c>
      <c r="I9750">
        <v>202.46260000000001</v>
      </c>
      <c r="J9750">
        <v>-187.7912</v>
      </c>
      <c r="K9750">
        <v>1.121745</v>
      </c>
      <c r="L9750">
        <v>-4.0581360000000002</v>
      </c>
      <c r="M9750">
        <v>3.2279130000000003E-2</v>
      </c>
      <c r="N9750">
        <v>-1.1766550000000001E-2</v>
      </c>
      <c r="O9750">
        <v>0.99940960000000001</v>
      </c>
      <c r="P9750">
        <v>-2.422709E-2</v>
      </c>
      <c r="Q9750">
        <v>0.16316639999999999</v>
      </c>
      <c r="R9750">
        <v>0.98630110000000004</v>
      </c>
      <c r="S9750">
        <v>-0.1177521</v>
      </c>
      <c r="T9750">
        <v>-1.6498680000000002E-2</v>
      </c>
      <c r="U9750">
        <v>3.0415649999999999</v>
      </c>
      <c r="V9750">
        <v>-5.6182540000000003E-2</v>
      </c>
      <c r="W9750">
        <v>0.17470350000000001</v>
      </c>
      <c r="X9750">
        <v>0.98301689999999997</v>
      </c>
      <c r="Y9750">
        <v>-7.0914409999999997E-2</v>
      </c>
      <c r="Z9750">
        <v>6.3628769999999899E-3</v>
      </c>
      <c r="AA9750">
        <v>0.99746210000000002</v>
      </c>
      <c r="AB9750">
        <v>29</v>
      </c>
      <c r="AC9750">
        <v>-8.0145999999999997</v>
      </c>
      <c r="AD9750">
        <v>-1.1217395496610001</v>
      </c>
      <c r="AE9750">
        <v>206.520736</v>
      </c>
      <c r="AF9750">
        <v>-14.6767620156206</v>
      </c>
      <c r="AG9750">
        <v>-1.1217395496610001</v>
      </c>
      <c r="AH9750">
        <v>206.148306759576</v>
      </c>
      <c r="AI9750">
        <v>90.310980203060097</v>
      </c>
      <c r="AJ9750">
        <v>94.072311047338303</v>
      </c>
      <c r="AK9750">
        <v>206.67314780280699</v>
      </c>
      <c r="AL9750">
        <v>79.938595976071298</v>
      </c>
      <c r="AM9750">
        <v>93.271077347741695</v>
      </c>
      <c r="AN9750">
        <v>1.0000000081993501</v>
      </c>
    </row>
    <row r="9751" spans="1:40" x14ac:dyDescent="0.25">
      <c r="A9751" t="str">
        <f>"20190303162138230"</f>
        <v>20190303162138230</v>
      </c>
      <c r="B9751" t="str">
        <f>"1551601298222127"</f>
        <v>1551601298222127</v>
      </c>
      <c r="C9751" t="s">
        <v>40</v>
      </c>
      <c r="D9751">
        <v>4.4600049999999998</v>
      </c>
      <c r="E9751">
        <v>0.4951584</v>
      </c>
      <c r="F9751" t="s">
        <v>49</v>
      </c>
      <c r="G9751">
        <v>-195.91829999999999</v>
      </c>
      <c r="H9751" s="1">
        <v>3.0659940000000002E-6</v>
      </c>
      <c r="I9751">
        <v>212.8869</v>
      </c>
      <c r="J9751">
        <v>-187.78229999999999</v>
      </c>
      <c r="K9751">
        <v>1.121737</v>
      </c>
      <c r="L9751">
        <v>-3.7681580000000001</v>
      </c>
      <c r="M9751">
        <v>3.187541E-2</v>
      </c>
      <c r="N9751">
        <v>-1.1759729999999999E-2</v>
      </c>
      <c r="O9751">
        <v>0.9994227</v>
      </c>
      <c r="P9751">
        <v>-2.3685290000000001E-2</v>
      </c>
      <c r="Q9751">
        <v>0.16262360000000001</v>
      </c>
      <c r="R9751">
        <v>0.9864039</v>
      </c>
      <c r="S9751">
        <v>-0.11393739999999999</v>
      </c>
      <c r="T9751">
        <v>-1.572633E-2</v>
      </c>
      <c r="U9751">
        <v>3.0414729999999999</v>
      </c>
      <c r="V9751">
        <v>-5.524577E-2</v>
      </c>
      <c r="W9751">
        <v>0.17415700000000001</v>
      </c>
      <c r="X9751">
        <v>0.98316689999999995</v>
      </c>
      <c r="Y9751">
        <v>-6.9263530000000004E-2</v>
      </c>
      <c r="Z9751">
        <v>6.6083519999999996E-3</v>
      </c>
      <c r="AA9751">
        <v>0.99757649999999998</v>
      </c>
      <c r="AB9751">
        <v>29</v>
      </c>
      <c r="AC9751">
        <v>-8.1359999999999904</v>
      </c>
      <c r="AD9751">
        <v>-1.121733934006</v>
      </c>
      <c r="AE9751">
        <v>216.655058</v>
      </c>
      <c r="AF9751">
        <v>-15.037908712622601</v>
      </c>
      <c r="AG9751">
        <v>-1.121733934006</v>
      </c>
      <c r="AH9751">
        <v>216.27980368388901</v>
      </c>
      <c r="AI9751">
        <v>90.296445867295006</v>
      </c>
      <c r="AJ9751">
        <v>93.977367493140406</v>
      </c>
      <c r="AK9751">
        <v>216.80486725857801</v>
      </c>
      <c r="AL9751">
        <v>79.970395079097997</v>
      </c>
      <c r="AM9751">
        <v>93.216162202433395</v>
      </c>
      <c r="AN9751">
        <v>0.99999995450375001</v>
      </c>
    </row>
    <row r="9752" spans="1:40" x14ac:dyDescent="0.25">
      <c r="A9752" t="str">
        <f>"20190303162138253"</f>
        <v>20190303162138253</v>
      </c>
      <c r="B9752" t="str">
        <f>"1551601298242623"</f>
        <v>1551601298242623</v>
      </c>
      <c r="C9752" t="s">
        <v>40</v>
      </c>
      <c r="D9752">
        <v>4.4883470000000001</v>
      </c>
      <c r="E9752">
        <v>0.4953919</v>
      </c>
      <c r="F9752" t="s">
        <v>49</v>
      </c>
      <c r="G9752">
        <v>-195.40369999999999</v>
      </c>
      <c r="H9752" s="1">
        <v>3.8920150000000004E-6</v>
      </c>
      <c r="I9752">
        <v>207.92140000000001</v>
      </c>
      <c r="J9752">
        <v>-187.77369999999999</v>
      </c>
      <c r="K9752">
        <v>1.1217280000000001</v>
      </c>
      <c r="L9752">
        <v>-3.4837950000000002</v>
      </c>
      <c r="M9752">
        <v>3.1481349999999998E-2</v>
      </c>
      <c r="N9752">
        <v>-1.1750200000000001E-2</v>
      </c>
      <c r="O9752">
        <v>0.99943519999999997</v>
      </c>
      <c r="P9752">
        <v>-2.405123E-2</v>
      </c>
      <c r="Q9752">
        <v>0.16157679999999999</v>
      </c>
      <c r="R9752">
        <v>0.98656699999999997</v>
      </c>
      <c r="S9752">
        <v>-0.1094971</v>
      </c>
      <c r="T9752">
        <v>-1.6116140000000001E-2</v>
      </c>
      <c r="U9752">
        <v>3.041382</v>
      </c>
      <c r="V9752">
        <v>-5.5226659999999997E-2</v>
      </c>
      <c r="W9752">
        <v>0.17310320000000001</v>
      </c>
      <c r="X9752">
        <v>0.98335410000000001</v>
      </c>
      <c r="Y9752">
        <v>-6.7416900000000002E-2</v>
      </c>
      <c r="Z9752">
        <v>6.4698619999999998E-3</v>
      </c>
      <c r="AA9752">
        <v>0.99770389999999998</v>
      </c>
      <c r="AB9752">
        <v>29</v>
      </c>
      <c r="AC9752">
        <v>-7.6299999999999901</v>
      </c>
      <c r="AD9752">
        <v>-1.121724107985</v>
      </c>
      <c r="AE9752">
        <v>211.40519499999999</v>
      </c>
      <c r="AF9752">
        <v>-14.281596910185</v>
      </c>
      <c r="AG9752">
        <v>-1.121724107985</v>
      </c>
      <c r="AH9752">
        <v>211.05424169835399</v>
      </c>
      <c r="AI9752">
        <v>90.303821494063996</v>
      </c>
      <c r="AJ9752">
        <v>93.871183519539699</v>
      </c>
      <c r="AK9752">
        <v>211.53986672527401</v>
      </c>
      <c r="AL9752">
        <v>80.031705008457294</v>
      </c>
      <c r="AM9752">
        <v>93.214441275517302</v>
      </c>
      <c r="AN9752">
        <v>0.999999993905902</v>
      </c>
    </row>
    <row r="9753" spans="1:40" x14ac:dyDescent="0.25">
      <c r="A9753" t="str">
        <f>"20190303162138277"</f>
        <v>20190303162138277</v>
      </c>
      <c r="B9753" t="str">
        <f>"1551601298262143"</f>
        <v>1551601298262143</v>
      </c>
      <c r="C9753" t="s">
        <v>40</v>
      </c>
      <c r="D9753">
        <v>4.4920239999999998</v>
      </c>
      <c r="E9753">
        <v>0.4955233</v>
      </c>
      <c r="F9753" t="s">
        <v>41</v>
      </c>
      <c r="G9753">
        <v>-194.02170000000001</v>
      </c>
      <c r="H9753" s="1">
        <v>-2.302562E-6</v>
      </c>
      <c r="I9753">
        <v>172.46209999999999</v>
      </c>
      <c r="J9753">
        <v>-187.76410000000001</v>
      </c>
      <c r="K9753">
        <v>1.1217189999999999</v>
      </c>
      <c r="L9753">
        <v>-3.1640929999999998</v>
      </c>
      <c r="M9753">
        <v>3.1041550000000001E-2</v>
      </c>
      <c r="N9753">
        <v>-1.173455E-2</v>
      </c>
      <c r="O9753">
        <v>0.99944920000000004</v>
      </c>
      <c r="P9753">
        <v>-2.4720309999999999E-2</v>
      </c>
      <c r="Q9753">
        <v>0.1613047</v>
      </c>
      <c r="R9753">
        <v>0.986595</v>
      </c>
      <c r="S9753">
        <v>-0.10800170000000001</v>
      </c>
      <c r="T9753">
        <v>-1.9390109999999999E-2</v>
      </c>
      <c r="U9753">
        <v>3.041382</v>
      </c>
      <c r="V9753">
        <v>-5.5461580000000003E-2</v>
      </c>
      <c r="W9753">
        <v>0.1728162</v>
      </c>
      <c r="X9753">
        <v>0.98339129999999997</v>
      </c>
      <c r="Y9753">
        <v>-6.6487820000000003E-2</v>
      </c>
      <c r="Z9753">
        <v>5.3795939999999997E-3</v>
      </c>
      <c r="AA9753">
        <v>0.99777280000000002</v>
      </c>
      <c r="AB9753">
        <v>29</v>
      </c>
      <c r="AC9753">
        <v>-6.2575999999999903</v>
      </c>
      <c r="AD9753">
        <v>-1.1217213025620001</v>
      </c>
      <c r="AE9753">
        <v>175.626193</v>
      </c>
      <c r="AF9753">
        <v>-11.7061917756425</v>
      </c>
      <c r="AG9753">
        <v>-1.1217213025620001</v>
      </c>
      <c r="AH9753">
        <v>175.34014353811401</v>
      </c>
      <c r="AI9753">
        <v>90.365724968838805</v>
      </c>
      <c r="AJ9753">
        <v>93.819556132643399</v>
      </c>
      <c r="AK9753">
        <v>175.734057941354</v>
      </c>
      <c r="AL9753">
        <v>80.048399948710198</v>
      </c>
      <c r="AM9753">
        <v>93.227963970771199</v>
      </c>
      <c r="AN9753">
        <v>0.99999993737711101</v>
      </c>
    </row>
    <row r="9754" spans="1:40" x14ac:dyDescent="0.25">
      <c r="A9754" t="str">
        <f>"20190303162138301"</f>
        <v>20190303162138301</v>
      </c>
      <c r="B9754" t="str">
        <f>"1551601298292399"</f>
        <v>1551601298292399</v>
      </c>
      <c r="C9754" t="s">
        <v>40</v>
      </c>
      <c r="D9754">
        <v>4.4649519999999896</v>
      </c>
      <c r="E9754">
        <v>0.49562050000000002</v>
      </c>
      <c r="F9754" t="s">
        <v>41</v>
      </c>
      <c r="G9754">
        <v>-193.82079999999999</v>
      </c>
      <c r="H9754" s="1">
        <v>-4.2090459999999999E-6</v>
      </c>
      <c r="I9754">
        <v>166.48179999999999</v>
      </c>
      <c r="J9754">
        <v>-187.755</v>
      </c>
      <c r="K9754">
        <v>1.12171</v>
      </c>
      <c r="L9754">
        <v>-2.8540649999999999</v>
      </c>
      <c r="M9754">
        <v>3.0622690000000001E-2</v>
      </c>
      <c r="N9754">
        <v>-1.1716239999999999E-2</v>
      </c>
      <c r="O9754">
        <v>0.99946239999999997</v>
      </c>
      <c r="P9754">
        <v>-2.5564199999999999E-2</v>
      </c>
      <c r="Q9754">
        <v>0.16187170000000001</v>
      </c>
      <c r="R9754">
        <v>0.98648069999999999</v>
      </c>
      <c r="S9754">
        <v>-0.1085815</v>
      </c>
      <c r="T9754">
        <v>-2.010965E-2</v>
      </c>
      <c r="U9754">
        <v>3.0413209999999999</v>
      </c>
      <c r="V9754">
        <v>-5.5887069999999997E-2</v>
      </c>
      <c r="W9754">
        <v>0.17336379999999901</v>
      </c>
      <c r="X9754">
        <v>0.98327089999999995</v>
      </c>
      <c r="Y9754">
        <v>-6.6260349999999996E-2</v>
      </c>
      <c r="Z9754">
        <v>5.1248600000000002E-3</v>
      </c>
      <c r="AA9754">
        <v>0.99778920000000004</v>
      </c>
      <c r="AB9754">
        <v>29</v>
      </c>
      <c r="AC9754">
        <v>-6.0657999999999896</v>
      </c>
      <c r="AD9754">
        <v>-1.1217142090459999</v>
      </c>
      <c r="AE9754">
        <v>169.33586499999899</v>
      </c>
      <c r="AF9754">
        <v>-11.2483372628678</v>
      </c>
      <c r="AG9754">
        <v>-1.1217142090459999</v>
      </c>
      <c r="AH9754">
        <v>169.06326535838099</v>
      </c>
      <c r="AI9754">
        <v>90.379306369884802</v>
      </c>
      <c r="AJ9754">
        <v>93.806467335665602</v>
      </c>
      <c r="AK9754">
        <v>169.44075964060201</v>
      </c>
      <c r="AL9754">
        <v>80.016544748937903</v>
      </c>
      <c r="AM9754">
        <v>93.253072714552601</v>
      </c>
      <c r="AN9754">
        <v>1.0000000172652099</v>
      </c>
    </row>
    <row r="9755" spans="1:40" x14ac:dyDescent="0.25">
      <c r="A9755" t="str">
        <f>"20190303162138321"</f>
        <v>20190303162138321</v>
      </c>
      <c r="B9755" t="str">
        <f>"1551601298312896"</f>
        <v>1551601298312896</v>
      </c>
      <c r="C9755" t="s">
        <v>40</v>
      </c>
      <c r="D9755">
        <v>4.5143570000000004</v>
      </c>
      <c r="E9755">
        <v>0.49570310000000001</v>
      </c>
      <c r="F9755" t="s">
        <v>41</v>
      </c>
      <c r="G9755">
        <v>-194.80670000000001</v>
      </c>
      <c r="H9755" s="1">
        <v>-1.837816E-6</v>
      </c>
      <c r="I9755">
        <v>190.89189999999999</v>
      </c>
      <c r="J9755">
        <v>-187.74709999999999</v>
      </c>
      <c r="K9755">
        <v>1.121702</v>
      </c>
      <c r="L9755">
        <v>-2.5842290000000001</v>
      </c>
      <c r="M9755">
        <v>3.0273649999999999E-2</v>
      </c>
      <c r="N9755">
        <v>-1.169975E-2</v>
      </c>
      <c r="O9755">
        <v>0.99947319999999995</v>
      </c>
      <c r="P9755">
        <v>-2.6793750000000002E-2</v>
      </c>
      <c r="Q9755">
        <v>0.1624411</v>
      </c>
      <c r="R9755">
        <v>0.98635439999999996</v>
      </c>
      <c r="S9755">
        <v>-0.1106873</v>
      </c>
      <c r="T9755">
        <v>-1.760697E-2</v>
      </c>
      <c r="U9755">
        <v>3.0411380000000001</v>
      </c>
      <c r="V9755">
        <v>-5.6764759999999997E-2</v>
      </c>
      <c r="W9755">
        <v>0.17391609999999999</v>
      </c>
      <c r="X9755">
        <v>0.98312310000000003</v>
      </c>
      <c r="Y9755">
        <v>-6.6604150000000001E-2</v>
      </c>
      <c r="Z9755">
        <v>5.929218E-3</v>
      </c>
      <c r="AA9755">
        <v>0.99776180000000003</v>
      </c>
      <c r="AB9755">
        <v>29</v>
      </c>
      <c r="AC9755">
        <v>-7.0596000000000103</v>
      </c>
      <c r="AD9755">
        <v>-1.121703837816</v>
      </c>
      <c r="AE9755">
        <v>193.47612899999999</v>
      </c>
      <c r="AF9755">
        <v>-12.9135596667209</v>
      </c>
      <c r="AG9755">
        <v>-1.121703837816</v>
      </c>
      <c r="AH9755">
        <v>193.167217998864</v>
      </c>
      <c r="AI9755">
        <v>90.331966493821497</v>
      </c>
      <c r="AJ9755">
        <v>93.824630238535505</v>
      </c>
      <c r="AK9755">
        <v>193.60163313408901</v>
      </c>
      <c r="AL9755">
        <v>79.984412388330597</v>
      </c>
      <c r="AM9755">
        <v>93.304544572140699</v>
      </c>
      <c r="AN9755">
        <v>1.0000000387853301</v>
      </c>
    </row>
    <row r="9756" spans="1:40" x14ac:dyDescent="0.25">
      <c r="A9756" t="str">
        <f>"20190303162138343"</f>
        <v>20190303162138343</v>
      </c>
      <c r="B9756" t="str">
        <f>"1551601298332415"</f>
        <v>1551601298332415</v>
      </c>
      <c r="C9756" t="s">
        <v>40</v>
      </c>
      <c r="D9756">
        <v>4.5094699999999897</v>
      </c>
      <c r="E9756">
        <v>0.49572260000000001</v>
      </c>
      <c r="F9756" t="s">
        <v>49</v>
      </c>
      <c r="G9756">
        <v>-196.03280000000001</v>
      </c>
      <c r="H9756" s="1">
        <v>2.5988969999999999E-6</v>
      </c>
      <c r="I9756">
        <v>217.9975</v>
      </c>
      <c r="J9756">
        <v>-187.7389</v>
      </c>
      <c r="K9756">
        <v>1.1216839999999999</v>
      </c>
      <c r="L9756">
        <v>-2.3031920000000001</v>
      </c>
      <c r="M9756">
        <v>2.9936299999999999E-2</v>
      </c>
      <c r="N9756">
        <v>-1.1683199999999999E-2</v>
      </c>
      <c r="O9756">
        <v>0.99948349999999997</v>
      </c>
      <c r="P9756">
        <v>-2.8055219999999999E-2</v>
      </c>
      <c r="Q9756">
        <v>0.1622999</v>
      </c>
      <c r="R9756">
        <v>0.98634250000000001</v>
      </c>
      <c r="S9756">
        <v>-0.1142273</v>
      </c>
      <c r="T9756">
        <v>-1.546383E-2</v>
      </c>
      <c r="U9756">
        <v>3.0409549999999999</v>
      </c>
      <c r="V9756">
        <v>-5.7685180000000003E-2</v>
      </c>
      <c r="W9756">
        <v>0.17375969999999999</v>
      </c>
      <c r="X9756">
        <v>0.98309709999999995</v>
      </c>
      <c r="Y9756">
        <v>-6.7429499999999906E-2</v>
      </c>
      <c r="Z9756">
        <v>6.6158359999999999E-3</v>
      </c>
      <c r="AA9756">
        <v>0.99770210000000004</v>
      </c>
      <c r="AB9756">
        <v>29</v>
      </c>
      <c r="AC9756">
        <v>-8.2939000000000007</v>
      </c>
      <c r="AD9756">
        <v>-1.1216814011030001</v>
      </c>
      <c r="AE9756">
        <v>220.300692</v>
      </c>
      <c r="AF9756">
        <v>-14.8852348223311</v>
      </c>
      <c r="AG9756">
        <v>-1.1216814011030001</v>
      </c>
      <c r="AH9756">
        <v>219.947942060278</v>
      </c>
      <c r="AI9756">
        <v>90.291525281143294</v>
      </c>
      <c r="AJ9756">
        <v>93.8716554376049</v>
      </c>
      <c r="AK9756">
        <v>220.453908111044</v>
      </c>
      <c r="AL9756">
        <v>79.993511206383602</v>
      </c>
      <c r="AM9756">
        <v>93.358093528992796</v>
      </c>
      <c r="AN9756">
        <v>0.99999996068206498</v>
      </c>
    </row>
    <row r="9757" spans="1:40" x14ac:dyDescent="0.25">
      <c r="A9757" t="str">
        <f>"20190303162138367"</f>
        <v>20190303162138367</v>
      </c>
      <c r="B9757" t="str">
        <f>"1551601298351936"</f>
        <v>1551601298351936</v>
      </c>
      <c r="C9757" t="s">
        <v>40</v>
      </c>
      <c r="D9757">
        <v>4.4960750000000003</v>
      </c>
      <c r="E9757">
        <v>0.49580940000000001</v>
      </c>
      <c r="F9757" t="s">
        <v>49</v>
      </c>
      <c r="G9757">
        <v>-196.43530000000001</v>
      </c>
      <c r="H9757" s="1">
        <v>2.1134299999999999E-6</v>
      </c>
      <c r="I9757">
        <v>220.38730000000001</v>
      </c>
      <c r="J9757">
        <v>-187.7302</v>
      </c>
      <c r="K9757">
        <v>1.121656</v>
      </c>
      <c r="L9757">
        <v>-1.9996339999999999</v>
      </c>
      <c r="M9757">
        <v>2.9618220000000001E-2</v>
      </c>
      <c r="N9757">
        <v>-1.1663089999999999E-2</v>
      </c>
      <c r="O9757">
        <v>0.99949319999999997</v>
      </c>
      <c r="P9757">
        <v>-2.9443440000000001E-2</v>
      </c>
      <c r="Q9757">
        <v>0.1629311</v>
      </c>
      <c r="R9757">
        <v>0.98619800000000002</v>
      </c>
      <c r="S9757">
        <v>-0.1187439</v>
      </c>
      <c r="T9757">
        <v>-1.5315769999999999E-2</v>
      </c>
      <c r="U9757">
        <v>3.04068</v>
      </c>
      <c r="V9757">
        <v>-5.8742339999999997E-2</v>
      </c>
      <c r="W9757">
        <v>0.174373</v>
      </c>
      <c r="X9757">
        <v>0.98292599999999997</v>
      </c>
      <c r="Y9757">
        <v>-6.8595030000000001E-2</v>
      </c>
      <c r="Z9757">
        <v>6.6442960000000001E-3</v>
      </c>
      <c r="AA9757">
        <v>0.99762249999999997</v>
      </c>
      <c r="AB9757">
        <v>29</v>
      </c>
      <c r="AC9757">
        <v>-8.7051000000000105</v>
      </c>
      <c r="AD9757">
        <v>-1.1216538865700001</v>
      </c>
      <c r="AE9757">
        <v>222.386934</v>
      </c>
      <c r="AF9757">
        <v>-15.2880455202313</v>
      </c>
      <c r="AG9757">
        <v>-1.1216538865700001</v>
      </c>
      <c r="AH9757">
        <v>222.02586949516399</v>
      </c>
      <c r="AI9757">
        <v>90.288766703867296</v>
      </c>
      <c r="AJ9757">
        <v>93.939000661412905</v>
      </c>
      <c r="AK9757">
        <v>222.55441844266699</v>
      </c>
      <c r="AL9757">
        <v>79.957827987985496</v>
      </c>
      <c r="AM9757">
        <v>93.420084299164202</v>
      </c>
      <c r="AN9757">
        <v>1.00000006355683</v>
      </c>
    </row>
    <row r="9758" spans="1:40" x14ac:dyDescent="0.25">
      <c r="A9758" t="str">
        <f>"20190303162138388"</f>
        <v>20190303162138388</v>
      </c>
      <c r="B9758" t="str">
        <f>"1551601298372433"</f>
        <v>1551601298372433</v>
      </c>
      <c r="C9758" t="s">
        <v>40</v>
      </c>
      <c r="D9758">
        <v>4.4854729999999998</v>
      </c>
      <c r="E9758">
        <v>0.49591229999999997</v>
      </c>
      <c r="F9758" t="s">
        <v>41</v>
      </c>
      <c r="G9758">
        <v>-197.85409999999999</v>
      </c>
      <c r="H9758" s="1">
        <v>-5.500567E-6</v>
      </c>
      <c r="I9758">
        <v>247.9819</v>
      </c>
      <c r="J9758">
        <v>-187.72229999999999</v>
      </c>
      <c r="K9758">
        <v>1.1216200000000001</v>
      </c>
      <c r="L9758">
        <v>-1.7250669999999999</v>
      </c>
      <c r="M9758">
        <v>2.9385640000000001E-2</v>
      </c>
      <c r="N9758">
        <v>-1.1642619999999999E-2</v>
      </c>
      <c r="O9758">
        <v>0.99950030000000001</v>
      </c>
      <c r="P9758">
        <v>-3.044463E-2</v>
      </c>
      <c r="Q9758">
        <v>0.1636447</v>
      </c>
      <c r="R9758">
        <v>0.98604950000000002</v>
      </c>
      <c r="S9758">
        <v>-0.1231384</v>
      </c>
      <c r="T9758">
        <v>-1.3642909999999999E-2</v>
      </c>
      <c r="U9758">
        <v>3.0405579999999999</v>
      </c>
      <c r="V9758">
        <v>-5.9492730000000001E-2</v>
      </c>
      <c r="W9758">
        <v>0.17507020000000001</v>
      </c>
      <c r="X9758">
        <v>0.98275690000000004</v>
      </c>
      <c r="Y9758">
        <v>-6.9803950000000003E-2</v>
      </c>
      <c r="Z9758">
        <v>7.1730209999999999E-3</v>
      </c>
      <c r="AA9758">
        <v>0.9975349</v>
      </c>
      <c r="AB9758">
        <v>29</v>
      </c>
      <c r="AC9758">
        <v>-10.131799999999901</v>
      </c>
      <c r="AD9758">
        <v>-1.1216255005669999</v>
      </c>
      <c r="AE9758">
        <v>249.70696699999999</v>
      </c>
      <c r="AF9758">
        <v>-17.4653688926836</v>
      </c>
      <c r="AG9758">
        <v>-1.1216255005669999</v>
      </c>
      <c r="AH9758">
        <v>249.296344974237</v>
      </c>
      <c r="AI9758">
        <v>90.257151156092604</v>
      </c>
      <c r="AJ9758">
        <v>94.007517742499004</v>
      </c>
      <c r="AK9758">
        <v>249.909913312447</v>
      </c>
      <c r="AL9758">
        <v>79.917257091166704</v>
      </c>
      <c r="AM9758">
        <v>93.464262186192499</v>
      </c>
      <c r="AN9758">
        <v>1.0000000421742501</v>
      </c>
    </row>
    <row r="9759" spans="1:40" x14ac:dyDescent="0.25">
      <c r="A9759" t="str">
        <f>"20190303162138411"</f>
        <v>20190303162138411</v>
      </c>
      <c r="B9759" t="str">
        <f>"1551601298402689"</f>
        <v>1551601298402689</v>
      </c>
      <c r="C9759" t="s">
        <v>40</v>
      </c>
      <c r="D9759">
        <v>4.5284250000000004</v>
      </c>
      <c r="E9759">
        <v>0.49603019999999998</v>
      </c>
      <c r="F9759" t="s">
        <v>49</v>
      </c>
      <c r="G9759">
        <v>-199.7876</v>
      </c>
      <c r="H9759" s="1">
        <v>1.7138349999999999E-6</v>
      </c>
      <c r="I9759">
        <v>289.97059999999999</v>
      </c>
      <c r="J9759">
        <v>-187.71360000000001</v>
      </c>
      <c r="K9759">
        <v>1.1215729999999999</v>
      </c>
      <c r="L9759">
        <v>-1.419006</v>
      </c>
      <c r="M9759">
        <v>2.918107E-2</v>
      </c>
      <c r="N9759">
        <v>-1.1619579999999999E-2</v>
      </c>
      <c r="O9759">
        <v>0.99950660000000002</v>
      </c>
      <c r="P9759">
        <v>-3.1141019999999998E-2</v>
      </c>
      <c r="Q9759">
        <v>0.16457649999999999</v>
      </c>
      <c r="R9759">
        <v>0.98587259999999999</v>
      </c>
      <c r="S9759">
        <v>-0.12576289999999901</v>
      </c>
      <c r="T9759">
        <v>-1.169121E-2</v>
      </c>
      <c r="U9759">
        <v>3.0404969999999998</v>
      </c>
      <c r="V9759">
        <v>-5.9962189999999999E-2</v>
      </c>
      <c r="W9759">
        <v>0.17598369999999999</v>
      </c>
      <c r="X9759">
        <v>0.98256520000000003</v>
      </c>
      <c r="Y9759">
        <v>-7.0460209999999995E-2</v>
      </c>
      <c r="Z9759">
        <v>7.7905040000000002E-3</v>
      </c>
      <c r="AA9759">
        <v>0.99748409999999998</v>
      </c>
      <c r="AB9759">
        <v>29</v>
      </c>
      <c r="AC9759">
        <v>-12.0739999999999</v>
      </c>
      <c r="AD9759">
        <v>-1.121571286165</v>
      </c>
      <c r="AE9759">
        <v>291.38960600000001</v>
      </c>
      <c r="AF9759">
        <v>-20.572187834398299</v>
      </c>
      <c r="AG9759">
        <v>-1.121571286165</v>
      </c>
      <c r="AH9759">
        <v>290.90884012015403</v>
      </c>
      <c r="AI9759">
        <v>90.220347045670493</v>
      </c>
      <c r="AJ9759">
        <v>94.045049178567496</v>
      </c>
      <c r="AK9759">
        <v>291.63749089322698</v>
      </c>
      <c r="AL9759">
        <v>79.864092064505797</v>
      </c>
      <c r="AM9759">
        <v>93.492211000605096</v>
      </c>
      <c r="AN9759">
        <v>1.00000004957316</v>
      </c>
    </row>
    <row r="9760" spans="1:40" x14ac:dyDescent="0.25">
      <c r="A9760" t="str">
        <f>"20190303162138433"</f>
        <v>20190303162138433</v>
      </c>
      <c r="B9760" t="str">
        <f>"1551601298422207"</f>
        <v>1551601298422207</v>
      </c>
      <c r="C9760" t="s">
        <v>40</v>
      </c>
      <c r="D9760">
        <v>4.5023260000000001</v>
      </c>
      <c r="E9760">
        <v>0.49610939999999998</v>
      </c>
      <c r="F9760" t="s">
        <v>46</v>
      </c>
      <c r="G9760">
        <v>-202.7516</v>
      </c>
      <c r="H9760">
        <v>7.9987589999999997E-2</v>
      </c>
      <c r="I9760">
        <v>358.1694</v>
      </c>
      <c r="J9760">
        <v>-187.70529999999999</v>
      </c>
      <c r="K9760">
        <v>1.121532</v>
      </c>
      <c r="L9760">
        <v>-1.1296999999999999</v>
      </c>
      <c r="M9760">
        <v>2.9044589999999999E-2</v>
      </c>
      <c r="N9760">
        <v>-1.1599E-2</v>
      </c>
      <c r="O9760">
        <v>0.99951080000000003</v>
      </c>
      <c r="P9760">
        <v>-3.1462270000000001E-2</v>
      </c>
      <c r="Q9760">
        <v>0.16615949999999999</v>
      </c>
      <c r="R9760">
        <v>0.98559680000000005</v>
      </c>
      <c r="S9760">
        <v>-0.1271515</v>
      </c>
      <c r="T9760">
        <v>-8.8069440000000006E-3</v>
      </c>
      <c r="U9760">
        <v>3.0404360000000001</v>
      </c>
      <c r="V9760">
        <v>-6.0123049999999997E-2</v>
      </c>
      <c r="W9760">
        <v>0.1775494</v>
      </c>
      <c r="X9760">
        <v>0.98227359999999997</v>
      </c>
      <c r="Y9760">
        <v>-7.077965E-2</v>
      </c>
      <c r="Z9760">
        <v>8.7163259999999999E-3</v>
      </c>
      <c r="AA9760">
        <v>0.9974539</v>
      </c>
      <c r="AB9760">
        <v>29</v>
      </c>
      <c r="AC9760">
        <v>-15.0463</v>
      </c>
      <c r="AD9760">
        <v>-1.04154441</v>
      </c>
      <c r="AE9760">
        <v>359.29910000000001</v>
      </c>
      <c r="AF9760">
        <v>-25.476134956620601</v>
      </c>
      <c r="AG9760">
        <v>-1.04154441</v>
      </c>
      <c r="AH9760">
        <v>358.70744535060197</v>
      </c>
      <c r="AI9760">
        <v>90.165945795615102</v>
      </c>
      <c r="AJ9760">
        <v>94.062441880308498</v>
      </c>
      <c r="AK9760">
        <v>359.61249925029199</v>
      </c>
      <c r="AL9760">
        <v>79.7729482722509</v>
      </c>
      <c r="AM9760">
        <v>93.50259313622</v>
      </c>
      <c r="AN9760">
        <v>0.99999999791931105</v>
      </c>
    </row>
    <row r="9761" spans="1:40" x14ac:dyDescent="0.25">
      <c r="A9761" t="str">
        <f>"20190303162138455"</f>
        <v>20190303162138455</v>
      </c>
      <c r="B9761" t="str">
        <f>"1551601298442704"</f>
        <v>1551601298442704</v>
      </c>
      <c r="C9761" t="s">
        <v>40</v>
      </c>
      <c r="D9761">
        <v>4.5070309999999996</v>
      </c>
      <c r="E9761">
        <v>0.4962182</v>
      </c>
      <c r="F9761" t="s">
        <v>92</v>
      </c>
      <c r="G9761">
        <v>-204.14930000000001</v>
      </c>
      <c r="H9761">
        <v>0.57613950000000003</v>
      </c>
      <c r="I9761">
        <v>391.00349999999997</v>
      </c>
      <c r="J9761">
        <v>-187.69720000000001</v>
      </c>
      <c r="K9761">
        <v>1.1214959999999901</v>
      </c>
      <c r="L9761">
        <v>-0.84954830000000003</v>
      </c>
      <c r="M9761">
        <v>2.8965370000000001E-2</v>
      </c>
      <c r="N9761">
        <v>-1.158055E-2</v>
      </c>
      <c r="O9761">
        <v>0.99951330000000005</v>
      </c>
      <c r="P9761">
        <v>-3.2075850000000003E-2</v>
      </c>
      <c r="Q9761">
        <v>0.16667660000000001</v>
      </c>
      <c r="R9761">
        <v>0.98548970000000002</v>
      </c>
      <c r="S9761">
        <v>-0.12750239999999999</v>
      </c>
      <c r="T9761">
        <v>-4.2288300000000003E-3</v>
      </c>
      <c r="U9761">
        <v>3.0404969999999998</v>
      </c>
      <c r="V9761">
        <v>-6.0638280000000003E-2</v>
      </c>
      <c r="W9761">
        <v>0.1780524</v>
      </c>
      <c r="X9761">
        <v>0.98215090000000005</v>
      </c>
      <c r="Y9761">
        <v>-7.0814740000000001E-2</v>
      </c>
      <c r="Z9761">
        <v>1.020006E-2</v>
      </c>
      <c r="AA9761">
        <v>0.99743740000000003</v>
      </c>
      <c r="AB9761">
        <v>29</v>
      </c>
      <c r="AC9761">
        <v>-16.452100000000002</v>
      </c>
      <c r="AD9761">
        <v>-0.54535649999999902</v>
      </c>
      <c r="AE9761">
        <v>391.85304830000001</v>
      </c>
      <c r="AF9761">
        <v>-27.796072320300802</v>
      </c>
      <c r="AG9761">
        <v>-0.54535649999999902</v>
      </c>
      <c r="AH9761">
        <v>391.21128127174097</v>
      </c>
      <c r="AI9761">
        <v>90.079670586131598</v>
      </c>
      <c r="AJ9761">
        <v>94.064110192198697</v>
      </c>
      <c r="AK9761">
        <v>392.19789092296901</v>
      </c>
      <c r="AL9761">
        <v>79.743662132214894</v>
      </c>
      <c r="AM9761">
        <v>93.532973445348304</v>
      </c>
      <c r="AN9761">
        <v>1.00000002425896</v>
      </c>
    </row>
    <row r="9762" spans="1:40" x14ac:dyDescent="0.25">
      <c r="A9762" t="str">
        <f>"20190303162138478"</f>
        <v>20190303162138478</v>
      </c>
      <c r="B9762" t="str">
        <f>"1551601298472961"</f>
        <v>1551601298472961</v>
      </c>
      <c r="C9762" t="s">
        <v>40</v>
      </c>
      <c r="D9762">
        <v>4.5417990000000001</v>
      </c>
      <c r="E9762">
        <v>0.49632959999999898</v>
      </c>
      <c r="F9762" t="s">
        <v>92</v>
      </c>
      <c r="G9762">
        <v>-204.25139999999999</v>
      </c>
      <c r="H9762">
        <v>0.73681260000000004</v>
      </c>
      <c r="I9762">
        <v>391.00349999999997</v>
      </c>
      <c r="J9762">
        <v>-187.6883</v>
      </c>
      <c r="K9762">
        <v>1.121467</v>
      </c>
      <c r="L9762">
        <v>-0.54010009999999997</v>
      </c>
      <c r="M9762">
        <v>2.8922529999999998E-2</v>
      </c>
      <c r="N9762">
        <v>-1.1562070000000001E-2</v>
      </c>
      <c r="O9762">
        <v>0.99951480000000004</v>
      </c>
      <c r="P9762">
        <v>-3.2176360000000001E-2</v>
      </c>
      <c r="Q9762">
        <v>0.16829349999999901</v>
      </c>
      <c r="R9762">
        <v>0.98521159999999997</v>
      </c>
      <c r="S9762">
        <v>-0.12844849999999999</v>
      </c>
      <c r="T9762">
        <v>-2.984881E-3</v>
      </c>
      <c r="U9762">
        <v>3.0404969999999998</v>
      </c>
      <c r="V9762">
        <v>-6.067372E-2</v>
      </c>
      <c r="W9762">
        <v>0.17965320000000001</v>
      </c>
      <c r="X9762">
        <v>0.98185710000000004</v>
      </c>
      <c r="Y9762">
        <v>-7.1081759999999994E-2</v>
      </c>
      <c r="Z9762">
        <v>1.058978E-2</v>
      </c>
      <c r="AA9762">
        <v>0.99741429999999998</v>
      </c>
      <c r="AB9762">
        <v>29</v>
      </c>
      <c r="AC9762">
        <v>-16.563099999999899</v>
      </c>
      <c r="AD9762">
        <v>-0.38465440000000001</v>
      </c>
      <c r="AE9762">
        <v>391.54360009999999</v>
      </c>
      <c r="AF9762">
        <v>-27.881331502999799</v>
      </c>
      <c r="AG9762">
        <v>-0.38465440000000001</v>
      </c>
      <c r="AH9762">
        <v>390.90032296854298</v>
      </c>
      <c r="AI9762">
        <v>90.056237402904102</v>
      </c>
      <c r="AJ9762">
        <v>94.079766023411196</v>
      </c>
      <c r="AK9762">
        <v>391.89358134868502</v>
      </c>
      <c r="AL9762">
        <v>79.650439328467399</v>
      </c>
      <c r="AM9762">
        <v>93.536088155043998</v>
      </c>
      <c r="AN9762">
        <v>0.99999996869464303</v>
      </c>
    </row>
    <row r="9763" spans="1:40" x14ac:dyDescent="0.25">
      <c r="A9763" t="str">
        <f>"20190303162138501"</f>
        <v>20190303162138501</v>
      </c>
      <c r="B9763" t="str">
        <f>"1551601298492480"</f>
        <v>1551601298492480</v>
      </c>
      <c r="C9763" t="s">
        <v>40</v>
      </c>
      <c r="D9763">
        <v>4.5512730000000001</v>
      </c>
      <c r="E9763">
        <v>0.49636370000000002</v>
      </c>
      <c r="F9763" t="s">
        <v>92</v>
      </c>
      <c r="G9763">
        <v>-204.23500000000001</v>
      </c>
      <c r="H9763">
        <v>1.331577</v>
      </c>
      <c r="I9763">
        <v>391.00349999999997</v>
      </c>
      <c r="J9763">
        <v>-187.68010000000001</v>
      </c>
      <c r="K9763">
        <v>1.1214489999999999</v>
      </c>
      <c r="L9763">
        <v>-0.25497439999999999</v>
      </c>
      <c r="M9763">
        <v>2.8910100000000001E-2</v>
      </c>
      <c r="N9763">
        <v>-1.154696E-2</v>
      </c>
      <c r="O9763">
        <v>0.9995153</v>
      </c>
      <c r="P9763">
        <v>-3.1793979999999999E-2</v>
      </c>
      <c r="Q9763">
        <v>0.1696792</v>
      </c>
      <c r="R9763">
        <v>0.98498640000000004</v>
      </c>
      <c r="S9763">
        <v>-0.12849430000000001</v>
      </c>
      <c r="T9763">
        <v>1.6316179999999901E-3</v>
      </c>
      <c r="U9763">
        <v>3.0405579999999999</v>
      </c>
      <c r="V9763">
        <v>-6.0262690000000001E-2</v>
      </c>
      <c r="W9763">
        <v>0.18102460000000001</v>
      </c>
      <c r="X9763">
        <v>0.98163060000000002</v>
      </c>
      <c r="Y9763">
        <v>-7.1083399999999894E-2</v>
      </c>
      <c r="Z9763">
        <v>1.2089340000000001E-2</v>
      </c>
      <c r="AA9763">
        <v>0.99739710000000004</v>
      </c>
      <c r="AB9763">
        <v>29</v>
      </c>
      <c r="AC9763">
        <v>-16.5549</v>
      </c>
      <c r="AD9763">
        <v>0.21012800000000001</v>
      </c>
      <c r="AE9763">
        <v>391.25847440000001</v>
      </c>
      <c r="AF9763">
        <v>-27.860047365645901</v>
      </c>
      <c r="AG9763">
        <v>0.21012800000000001</v>
      </c>
      <c r="AH9763">
        <v>390.61616448515599</v>
      </c>
      <c r="AI9763">
        <v>89.969256417442494</v>
      </c>
      <c r="AJ9763">
        <v>94.079617711267801</v>
      </c>
      <c r="AK9763">
        <v>391.60849626902501</v>
      </c>
      <c r="AL9763">
        <v>79.570555160611207</v>
      </c>
      <c r="AM9763">
        <v>93.513001702343004</v>
      </c>
      <c r="AN9763">
        <v>1.00000006623377</v>
      </c>
    </row>
    <row r="9764" spans="1:40" x14ac:dyDescent="0.25">
      <c r="A9764" t="str">
        <f>"20190303162138521"</f>
        <v>20190303162138521</v>
      </c>
      <c r="B9764" t="str">
        <f>"1551601298512000"</f>
        <v>1551601298512000</v>
      </c>
      <c r="C9764" t="s">
        <v>40</v>
      </c>
      <c r="D9764">
        <v>4.5436860000000001</v>
      </c>
      <c r="E9764">
        <v>0.49642890000000001</v>
      </c>
      <c r="F9764" t="s">
        <v>92</v>
      </c>
      <c r="G9764">
        <v>-204.1592</v>
      </c>
      <c r="H9764">
        <v>1.816111</v>
      </c>
      <c r="I9764">
        <v>391.00349999999997</v>
      </c>
      <c r="J9764">
        <v>-187.6721</v>
      </c>
      <c r="K9764">
        <v>1.121443</v>
      </c>
      <c r="L9764">
        <v>2.1179199999999999E-2</v>
      </c>
      <c r="M9764">
        <v>2.8912469999999999E-2</v>
      </c>
      <c r="N9764">
        <v>-1.153412E-2</v>
      </c>
      <c r="O9764">
        <v>0.99951540000000005</v>
      </c>
      <c r="P9764">
        <v>-3.0035309999999999E-2</v>
      </c>
      <c r="Q9764">
        <v>0.17067829999999901</v>
      </c>
      <c r="R9764">
        <v>0.98486890000000005</v>
      </c>
      <c r="S9764">
        <v>-0.12806699999999999</v>
      </c>
      <c r="T9764">
        <v>5.3985119999999899E-3</v>
      </c>
      <c r="U9764">
        <v>3.0406490000000002</v>
      </c>
      <c r="V9764">
        <v>-5.8498799999999997E-2</v>
      </c>
      <c r="W9764">
        <v>0.1820126</v>
      </c>
      <c r="X9764">
        <v>0.9815545</v>
      </c>
      <c r="Y9764">
        <v>-7.0944469999999996E-2</v>
      </c>
      <c r="Z9764">
        <v>1.3312320000000001E-2</v>
      </c>
      <c r="AA9764">
        <v>0.99739140000000004</v>
      </c>
      <c r="AB9764">
        <v>29</v>
      </c>
      <c r="AC9764">
        <v>-16.487099999999899</v>
      </c>
      <c r="AD9764">
        <v>0.69466799999999995</v>
      </c>
      <c r="AE9764">
        <v>390.98232080000002</v>
      </c>
      <c r="AF9764">
        <v>-27.785135671448199</v>
      </c>
      <c r="AG9764">
        <v>0.69466799999999995</v>
      </c>
      <c r="AH9764">
        <v>390.34090325968202</v>
      </c>
      <c r="AI9764">
        <v>89.898291339351999</v>
      </c>
      <c r="AJ9764">
        <v>94.071544606460407</v>
      </c>
      <c r="AK9764">
        <v>391.32916717962098</v>
      </c>
      <c r="AL9764">
        <v>79.512989582093695</v>
      </c>
      <c r="AM9764">
        <v>93.410686213525807</v>
      </c>
      <c r="AN9764">
        <v>0.99999996631522403</v>
      </c>
    </row>
    <row r="9765" spans="1:40" x14ac:dyDescent="0.25">
      <c r="A9765" t="str">
        <f>"20190303162138544"</f>
        <v>20190303162138544</v>
      </c>
      <c r="B9765" t="str">
        <f>"1551601298532496"</f>
        <v>1551601298532496</v>
      </c>
      <c r="C9765" t="s">
        <v>40</v>
      </c>
      <c r="D9765">
        <v>4.5475000000000003</v>
      </c>
      <c r="E9765">
        <v>0.49648179999999997</v>
      </c>
      <c r="F9765" t="s">
        <v>92</v>
      </c>
      <c r="G9765">
        <v>-203.40209999999999</v>
      </c>
      <c r="H9765">
        <v>2.1488960000000001</v>
      </c>
      <c r="I9765">
        <v>391.00349999999997</v>
      </c>
      <c r="J9765">
        <v>-187.6636</v>
      </c>
      <c r="K9765">
        <v>1.1214329999999999</v>
      </c>
      <c r="L9765">
        <v>0.31130980000000003</v>
      </c>
      <c r="M9765">
        <v>2.8922449999999999E-2</v>
      </c>
      <c r="N9765">
        <v>-1.152248E-2</v>
      </c>
      <c r="O9765">
        <v>0.99951520000000005</v>
      </c>
      <c r="P9765">
        <v>-2.809907E-2</v>
      </c>
      <c r="Q9765">
        <v>0.1706879</v>
      </c>
      <c r="R9765">
        <v>0.98492440000000003</v>
      </c>
      <c r="S9765">
        <v>-0.122345</v>
      </c>
      <c r="T9765">
        <v>7.9913139999999994E-3</v>
      </c>
      <c r="U9765">
        <v>3.040985</v>
      </c>
      <c r="V9765">
        <v>-5.6572240000000003E-2</v>
      </c>
      <c r="W9765">
        <v>0.1820126</v>
      </c>
      <c r="X9765">
        <v>0.98166750000000003</v>
      </c>
      <c r="Y9765">
        <v>-6.9076109999999996E-2</v>
      </c>
      <c r="Z9765">
        <v>1.4150980000000001E-2</v>
      </c>
      <c r="AA9765">
        <v>0.99751100000000004</v>
      </c>
      <c r="AB9765">
        <v>29</v>
      </c>
      <c r="AC9765">
        <v>-15.738499999999901</v>
      </c>
      <c r="AD9765">
        <v>1.02746299999999</v>
      </c>
      <c r="AE9765">
        <v>390.69219020000003</v>
      </c>
      <c r="AF9765">
        <v>-27.032254438260399</v>
      </c>
      <c r="AG9765">
        <v>1.02746299999999</v>
      </c>
      <c r="AH9765">
        <v>390.07080606851702</v>
      </c>
      <c r="AI9765">
        <v>89.849441944019802</v>
      </c>
      <c r="AJ9765">
        <v>93.964310331672493</v>
      </c>
      <c r="AK9765">
        <v>391.007713743826</v>
      </c>
      <c r="AL9765">
        <v>79.512990392492796</v>
      </c>
      <c r="AM9765">
        <v>93.2982343542145</v>
      </c>
      <c r="AN9765">
        <v>1.0000000427268101</v>
      </c>
    </row>
    <row r="9766" spans="1:40" x14ac:dyDescent="0.25">
      <c r="A9766" t="str">
        <f>"20190303162138565"</f>
        <v>20190303162138565</v>
      </c>
      <c r="B9766" t="str">
        <f>"1551601298552015"</f>
        <v>1551601298552015</v>
      </c>
      <c r="C9766" t="s">
        <v>40</v>
      </c>
      <c r="D9766">
        <v>4.6172339999999998</v>
      </c>
      <c r="E9766">
        <v>0.4969712</v>
      </c>
      <c r="F9766" t="s">
        <v>92</v>
      </c>
      <c r="G9766">
        <v>-202.67070000000001</v>
      </c>
      <c r="H9766">
        <v>2.061839</v>
      </c>
      <c r="I9766">
        <v>391.00349999999997</v>
      </c>
      <c r="J9766">
        <v>-187.65539999999999</v>
      </c>
      <c r="K9766">
        <v>1.1214280000000001</v>
      </c>
      <c r="L9766">
        <v>0.59600830000000005</v>
      </c>
      <c r="M9766">
        <v>2.893422E-2</v>
      </c>
      <c r="N9766">
        <v>-1.1512730000000001E-2</v>
      </c>
      <c r="O9766">
        <v>0.99951500000000004</v>
      </c>
      <c r="P9766">
        <v>-2.585018E-2</v>
      </c>
      <c r="Q9766">
        <v>0.1703895</v>
      </c>
      <c r="R9766">
        <v>0.98503770000000002</v>
      </c>
      <c r="S9766">
        <v>-0.1168213</v>
      </c>
      <c r="T9766">
        <v>7.3205229999999998E-3</v>
      </c>
      <c r="U9766">
        <v>3.0413209999999999</v>
      </c>
      <c r="V9766">
        <v>-5.4337700000000003E-2</v>
      </c>
      <c r="W9766">
        <v>0.18170739999999999</v>
      </c>
      <c r="X9766">
        <v>0.98185020000000001</v>
      </c>
      <c r="Y9766">
        <v>-6.7274559999999997E-2</v>
      </c>
      <c r="Z9766">
        <v>1.392083E-2</v>
      </c>
      <c r="AA9766">
        <v>0.99763740000000001</v>
      </c>
      <c r="AB9766">
        <v>29</v>
      </c>
      <c r="AC9766">
        <v>-15.0153</v>
      </c>
      <c r="AD9766">
        <v>0.940411</v>
      </c>
      <c r="AE9766">
        <v>390.40749169999998</v>
      </c>
      <c r="AF9766">
        <v>-26.305745245027602</v>
      </c>
      <c r="AG9766">
        <v>0.940411</v>
      </c>
      <c r="AH9766">
        <v>389.80727013019202</v>
      </c>
      <c r="AI9766">
        <v>89.862087733179706</v>
      </c>
      <c r="AJ9766">
        <v>93.860693579832898</v>
      </c>
      <c r="AK9766">
        <v>390.69500182635801</v>
      </c>
      <c r="AL9766">
        <v>79.530773051196306</v>
      </c>
      <c r="AM9766">
        <v>93.167640299735595</v>
      </c>
      <c r="AN9766">
        <v>0.99999999004804496</v>
      </c>
    </row>
    <row r="9767" spans="1:40" x14ac:dyDescent="0.25">
      <c r="A9767" t="str">
        <f>"20190303162138588"</f>
        <v>20190303162138588</v>
      </c>
      <c r="B9767" t="str">
        <f>"1551601298582272"</f>
        <v>1551601298582272</v>
      </c>
      <c r="C9767" t="s">
        <v>40</v>
      </c>
      <c r="D9767">
        <v>4.6473630000000004</v>
      </c>
      <c r="E9767">
        <v>0.52827019999999902</v>
      </c>
      <c r="F9767" t="s">
        <v>92</v>
      </c>
      <c r="G9767">
        <v>-201.25149999999999</v>
      </c>
      <c r="H9767">
        <v>1.8576980000000001</v>
      </c>
      <c r="I9767">
        <v>391.87</v>
      </c>
      <c r="J9767">
        <v>-187.64680000000001</v>
      </c>
      <c r="K9767">
        <v>1.1214230000000001</v>
      </c>
      <c r="L9767">
        <v>0.89132690000000003</v>
      </c>
      <c r="M9767">
        <v>2.8943759999999999E-2</v>
      </c>
      <c r="N9767">
        <v>-1.150435E-2</v>
      </c>
      <c r="O9767">
        <v>0.99951480000000004</v>
      </c>
      <c r="P9767">
        <v>-2.3885259999999998E-2</v>
      </c>
      <c r="Q9767">
        <v>0.1702079</v>
      </c>
      <c r="R9767">
        <v>0.98511870000000001</v>
      </c>
      <c r="S9767">
        <v>-0.1056976</v>
      </c>
      <c r="T9767">
        <v>5.7238339999999997E-3</v>
      </c>
      <c r="U9767">
        <v>3.0418090000000002</v>
      </c>
      <c r="V9767">
        <v>-5.2385260000000003E-2</v>
      </c>
      <c r="W9767">
        <v>0.18151829999999999</v>
      </c>
      <c r="X9767">
        <v>0.98199130000000001</v>
      </c>
      <c r="Y9767">
        <v>-6.3634360000000001E-2</v>
      </c>
      <c r="Z9767">
        <v>1.338805E-2</v>
      </c>
      <c r="AA9767">
        <v>0.99788350000000003</v>
      </c>
      <c r="AB9767">
        <v>29</v>
      </c>
      <c r="AC9767">
        <v>-13.6046999999999</v>
      </c>
      <c r="AD9767">
        <v>0.73627499999999901</v>
      </c>
      <c r="AE9767">
        <v>390.97867309999998</v>
      </c>
      <c r="AF9767">
        <v>-24.916053420190998</v>
      </c>
      <c r="AG9767">
        <v>0.73627499999999901</v>
      </c>
      <c r="AH9767">
        <v>390.41966749524499</v>
      </c>
      <c r="AI9767">
        <v>89.892167945087806</v>
      </c>
      <c r="AJ9767">
        <v>93.651586859063997</v>
      </c>
      <c r="AK9767">
        <v>391.21460681576201</v>
      </c>
      <c r="AL9767">
        <v>79.5417911304569</v>
      </c>
      <c r="AM9767">
        <v>93.053603416080605</v>
      </c>
      <c r="AN9767">
        <v>1.0000000109879199</v>
      </c>
    </row>
    <row r="9768" spans="1:40" x14ac:dyDescent="0.25">
      <c r="A9768" t="str">
        <f>"20190303162138610"</f>
        <v>20190303162138610</v>
      </c>
      <c r="B9768" t="str">
        <f>"1551601298602767"</f>
        <v>1551601298602767</v>
      </c>
      <c r="C9768" t="s">
        <v>40</v>
      </c>
      <c r="D9768">
        <v>4.6022080000000001</v>
      </c>
      <c r="E9768">
        <v>0.52897919999999998</v>
      </c>
      <c r="F9768" t="s">
        <v>41</v>
      </c>
      <c r="G9768">
        <v>-184.05709999999999</v>
      </c>
      <c r="H9768" s="1">
        <v>-3.075774E-6</v>
      </c>
      <c r="I9768">
        <v>74.039760000000001</v>
      </c>
      <c r="J9768">
        <v>-187.63820000000001</v>
      </c>
      <c r="K9768">
        <v>1.121418</v>
      </c>
      <c r="L9768">
        <v>1.189667</v>
      </c>
      <c r="M9768">
        <v>2.8949099999999998E-2</v>
      </c>
      <c r="N9768">
        <v>-1.1497429999999999E-2</v>
      </c>
      <c r="O9768">
        <v>0.99951480000000004</v>
      </c>
      <c r="P9768">
        <v>-2.2609089999999998E-2</v>
      </c>
      <c r="Q9768">
        <v>0.17029169999999999</v>
      </c>
      <c r="R9768">
        <v>0.98513430000000002</v>
      </c>
      <c r="S9768">
        <v>0.1500244</v>
      </c>
      <c r="T9768">
        <v>-4.6867369999999998E-2</v>
      </c>
      <c r="U9768">
        <v>3.0570680000000001</v>
      </c>
      <c r="V9768">
        <v>-5.1114109999999997E-2</v>
      </c>
      <c r="W9768">
        <v>0.1815967</v>
      </c>
      <c r="X9768">
        <v>0.98204380000000002</v>
      </c>
      <c r="Y9768">
        <v>2.0075409999999998E-2</v>
      </c>
      <c r="Z9768">
        <v>-3.8197050000000001E-3</v>
      </c>
      <c r="AA9768">
        <v>0.99979110000000004</v>
      </c>
      <c r="AB9768">
        <v>29</v>
      </c>
      <c r="AC9768">
        <v>3.5811000000000202</v>
      </c>
      <c r="AD9768">
        <v>-1.121421075774</v>
      </c>
      <c r="AE9768">
        <v>72.850093000000001</v>
      </c>
      <c r="AF9768">
        <v>1.4701674313431801</v>
      </c>
      <c r="AG9768">
        <v>-1.121421075774</v>
      </c>
      <c r="AH9768">
        <v>72.905998766525698</v>
      </c>
      <c r="AI9768">
        <v>90.881060165945499</v>
      </c>
      <c r="AJ9768">
        <v>88.844773055820099</v>
      </c>
      <c r="AK9768">
        <v>72.929442844779899</v>
      </c>
      <c r="AL9768">
        <v>79.537223313362105</v>
      </c>
      <c r="AM9768">
        <v>92.979482640465307</v>
      </c>
      <c r="AN9768">
        <v>1.0000000194052101</v>
      </c>
    </row>
    <row r="9769" spans="1:40" x14ac:dyDescent="0.25">
      <c r="A9769" t="str">
        <f>"20190303162138633"</f>
        <v>20190303162138633</v>
      </c>
      <c r="B9769" t="str">
        <f>"1551601298622288"</f>
        <v>1551601298622288</v>
      </c>
      <c r="C9769" t="s">
        <v>40</v>
      </c>
      <c r="D9769">
        <v>4.5794079999999999</v>
      </c>
      <c r="E9769">
        <v>0.52836569999999905</v>
      </c>
      <c r="F9769" t="s">
        <v>41</v>
      </c>
      <c r="G9769">
        <v>-184.17359999999999</v>
      </c>
      <c r="H9769" s="1">
        <v>-4.2352959999999998E-6</v>
      </c>
      <c r="I9769">
        <v>67.096230000000006</v>
      </c>
      <c r="J9769">
        <v>-187.62979999999999</v>
      </c>
      <c r="K9769">
        <v>1.1214200000000001</v>
      </c>
      <c r="L9769">
        <v>1.477295</v>
      </c>
      <c r="M9769">
        <v>2.8950920000000002E-2</v>
      </c>
      <c r="N9769">
        <v>-1.149183E-2</v>
      </c>
      <c r="O9769">
        <v>0.99951480000000004</v>
      </c>
      <c r="P9769">
        <v>-2.1418840000000001E-2</v>
      </c>
      <c r="Q9769">
        <v>0.17040250000000001</v>
      </c>
      <c r="R9769">
        <v>0.98514179999999996</v>
      </c>
      <c r="S9769">
        <v>0.16075130000000001</v>
      </c>
      <c r="T9769">
        <v>-5.2032109999999999E-2</v>
      </c>
      <c r="U9769">
        <v>3.0579529999999999</v>
      </c>
      <c r="V9769">
        <v>-4.9926470000000001E-2</v>
      </c>
      <c r="W9769">
        <v>0.18170259999999999</v>
      </c>
      <c r="X9769">
        <v>0.98208530000000005</v>
      </c>
      <c r="Y9769">
        <v>2.3556239999999999E-2</v>
      </c>
      <c r="Z9769">
        <v>-5.5055470000000004E-3</v>
      </c>
      <c r="AA9769">
        <v>0.99970729999999997</v>
      </c>
      <c r="AB9769">
        <v>29</v>
      </c>
      <c r="AC9769">
        <v>3.4561999999999902</v>
      </c>
      <c r="AD9769">
        <v>-1.121424235296</v>
      </c>
      <c r="AE9769">
        <v>65.618934999999993</v>
      </c>
      <c r="AF9769">
        <v>1.5544444026497</v>
      </c>
      <c r="AG9769">
        <v>-1.121424235296</v>
      </c>
      <c r="AH9769">
        <v>65.672365309682803</v>
      </c>
      <c r="AI9769">
        <v>90.978016326281605</v>
      </c>
      <c r="AJ9769">
        <v>88.644079952485697</v>
      </c>
      <c r="AK9769">
        <v>65.7003307075761</v>
      </c>
      <c r="AL9769">
        <v>79.531052957648399</v>
      </c>
      <c r="AM9769">
        <v>92.910251808172106</v>
      </c>
      <c r="AN9769">
        <v>1.0000000118647501</v>
      </c>
    </row>
    <row r="9770" spans="1:40" x14ac:dyDescent="0.25">
      <c r="A9770" t="str">
        <f>"20190303162138654"</f>
        <v>20190303162138654</v>
      </c>
      <c r="B9770" t="str">
        <f>"1551601298641808"</f>
        <v>1551601298641808</v>
      </c>
      <c r="C9770" t="s">
        <v>40</v>
      </c>
      <c r="D9770">
        <v>4.6387179999999999</v>
      </c>
      <c r="E9770">
        <v>0.52842939999999905</v>
      </c>
      <c r="F9770" t="s">
        <v>41</v>
      </c>
      <c r="G9770">
        <v>-184.29660000000001</v>
      </c>
      <c r="H9770" s="1">
        <v>-3.3785470000000002E-6</v>
      </c>
      <c r="I9770">
        <v>65.116739999999993</v>
      </c>
      <c r="J9770">
        <v>-187.6216</v>
      </c>
      <c r="K9770">
        <v>1.1214200000000001</v>
      </c>
      <c r="L9770">
        <v>1.7628170000000001</v>
      </c>
      <c r="M9770">
        <v>2.8951040000000001E-2</v>
      </c>
      <c r="N9770">
        <v>-1.1487249999999999E-2</v>
      </c>
      <c r="O9770">
        <v>0.99951480000000004</v>
      </c>
      <c r="P9770">
        <v>-1.9532259999999999E-2</v>
      </c>
      <c r="Q9770">
        <v>0.1706116</v>
      </c>
      <c r="R9770">
        <v>0.98514469999999998</v>
      </c>
      <c r="S9770">
        <v>0.16017149999999999</v>
      </c>
      <c r="T9770">
        <v>-5.3887369999999997E-2</v>
      </c>
      <c r="U9770">
        <v>3.0580440000000002</v>
      </c>
      <c r="V9770">
        <v>-4.8040109999999997E-2</v>
      </c>
      <c r="W9770">
        <v>0.18190709999999999</v>
      </c>
      <c r="X9770">
        <v>0.9821415</v>
      </c>
      <c r="Y9770">
        <v>2.336529E-2</v>
      </c>
      <c r="Z9770">
        <v>-6.115316E-3</v>
      </c>
      <c r="AA9770">
        <v>0.99970829999999999</v>
      </c>
      <c r="AB9770">
        <v>29</v>
      </c>
      <c r="AC9770">
        <v>3.3249999999999802</v>
      </c>
      <c r="AD9770">
        <v>-1.121423378547</v>
      </c>
      <c r="AE9770">
        <v>63.353923000000002</v>
      </c>
      <c r="AF9770">
        <v>1.488857839122</v>
      </c>
      <c r="AG9770">
        <v>-1.121423378547</v>
      </c>
      <c r="AH9770">
        <v>63.403820739720601</v>
      </c>
      <c r="AI9770">
        <v>91.013005605498506</v>
      </c>
      <c r="AJ9770">
        <v>88.654819295760603</v>
      </c>
      <c r="AK9770">
        <v>63.4312129196162</v>
      </c>
      <c r="AL9770">
        <v>79.519137115310897</v>
      </c>
      <c r="AM9770">
        <v>92.800312929413295</v>
      </c>
      <c r="AN9770">
        <v>0.999999985610736</v>
      </c>
    </row>
    <row r="9771" spans="1:40" x14ac:dyDescent="0.25">
      <c r="A9771" t="str">
        <f>"20190303162138690"</f>
        <v>20190303162138690</v>
      </c>
      <c r="B9771" t="str">
        <f>"1551601298681823"</f>
        <v>1551601298681823</v>
      </c>
      <c r="C9771" t="s">
        <v>40</v>
      </c>
      <c r="D9771">
        <v>4.641858</v>
      </c>
      <c r="E9771">
        <v>0.52790029999999999</v>
      </c>
      <c r="F9771" t="s">
        <v>41</v>
      </c>
      <c r="G9771">
        <v>-183.99100000000001</v>
      </c>
      <c r="H9771" s="1">
        <v>-4.7171759999999997E-6</v>
      </c>
      <c r="I9771">
        <v>68.143999999999906</v>
      </c>
      <c r="J9771">
        <v>-187.60810000000001</v>
      </c>
      <c r="K9771">
        <v>1.1214170000000001</v>
      </c>
      <c r="L9771">
        <v>2.2270810000000001</v>
      </c>
      <c r="M9771">
        <v>2.894917E-2</v>
      </c>
      <c r="N9771">
        <v>-1.147714E-2</v>
      </c>
      <c r="O9771">
        <v>0.99951500000000004</v>
      </c>
      <c r="P9771">
        <v>-1.8903E-2</v>
      </c>
      <c r="Q9771">
        <v>0.17195659999999999</v>
      </c>
      <c r="R9771">
        <v>0.98492310000000005</v>
      </c>
      <c r="S9771">
        <v>0.16722110000000001</v>
      </c>
      <c r="T9771">
        <v>-5.1652429999999999E-2</v>
      </c>
      <c r="U9771">
        <v>3.0574949999999999</v>
      </c>
      <c r="V9771">
        <v>-4.7403430000000003E-2</v>
      </c>
      <c r="W9771">
        <v>0.18323999999999999</v>
      </c>
      <c r="X9771">
        <v>0.98192469999999998</v>
      </c>
      <c r="Y9771">
        <v>2.5674829999999999E-2</v>
      </c>
      <c r="Z9771">
        <v>-5.3977579999999999E-3</v>
      </c>
      <c r="AA9771">
        <v>0.99965579999999998</v>
      </c>
      <c r="AB9771">
        <v>29</v>
      </c>
      <c r="AC9771">
        <v>3.6171000000000202</v>
      </c>
      <c r="AD9771">
        <v>-1.1214217171759999</v>
      </c>
      <c r="AE9771">
        <v>65.916918999999993</v>
      </c>
      <c r="AF9771">
        <v>1.7067255500460601</v>
      </c>
      <c r="AG9771">
        <v>-1.1214217171759999</v>
      </c>
      <c r="AH9771">
        <v>65.974969690621407</v>
      </c>
      <c r="AI9771">
        <v>90.973476186623003</v>
      </c>
      <c r="AJ9771">
        <v>88.518129434824601</v>
      </c>
      <c r="AK9771">
        <v>66.006568797729201</v>
      </c>
      <c r="AL9771">
        <v>79.441462699166806</v>
      </c>
      <c r="AM9771">
        <v>92.763867187133698</v>
      </c>
      <c r="AN9771">
        <v>1.00000004962292</v>
      </c>
    </row>
    <row r="9772" spans="1:40" x14ac:dyDescent="0.25">
      <c r="A9772" t="str">
        <f>"20190303162138711"</f>
        <v>20190303162138711</v>
      </c>
      <c r="B9772" t="str">
        <f>"1551601298702320"</f>
        <v>1551601298702320</v>
      </c>
      <c r="C9772" t="s">
        <v>40</v>
      </c>
      <c r="D9772">
        <v>4.6349589999999896</v>
      </c>
      <c r="E9772">
        <v>0.52770329999999999</v>
      </c>
      <c r="F9772" t="s">
        <v>41</v>
      </c>
      <c r="G9772">
        <v>-184.07230000000001</v>
      </c>
      <c r="H9772" s="1">
        <v>-4.6021429999999997E-6</v>
      </c>
      <c r="I9772">
        <v>67.909480000000002</v>
      </c>
      <c r="J9772">
        <v>-187.6</v>
      </c>
      <c r="K9772">
        <v>1.1214280000000001</v>
      </c>
      <c r="L9772">
        <v>2.5060419999999999</v>
      </c>
      <c r="M9772">
        <v>2.8942929999999999E-2</v>
      </c>
      <c r="N9772">
        <v>-1.14675E-2</v>
      </c>
      <c r="O9772">
        <v>0.9995153</v>
      </c>
      <c r="P9772">
        <v>-1.9329699999999998E-2</v>
      </c>
      <c r="Q9772">
        <v>0.17370079999999999</v>
      </c>
      <c r="R9772">
        <v>0.98460879999999995</v>
      </c>
      <c r="S9772">
        <v>0.1646271</v>
      </c>
      <c r="T9772">
        <v>-5.2213790000000003E-2</v>
      </c>
      <c r="U9772">
        <v>3.0581969999999998</v>
      </c>
      <c r="V9772">
        <v>-4.78156E-2</v>
      </c>
      <c r="W9772">
        <v>0.18497079999999999</v>
      </c>
      <c r="X9772">
        <v>0.98158009999999996</v>
      </c>
      <c r="Y9772">
        <v>2.4823189999999998E-2</v>
      </c>
      <c r="Z9772">
        <v>-5.5871810000000001E-3</v>
      </c>
      <c r="AA9772">
        <v>0.99967620000000001</v>
      </c>
      <c r="AB9772">
        <v>29</v>
      </c>
      <c r="AC9772">
        <v>3.5276999999999799</v>
      </c>
      <c r="AD9772">
        <v>-1.1214326021429999</v>
      </c>
      <c r="AE9772">
        <v>65.403437999999994</v>
      </c>
      <c r="AF9772">
        <v>1.63265175002105</v>
      </c>
      <c r="AG9772">
        <v>-1.1214326021429999</v>
      </c>
      <c r="AH9772">
        <v>65.458954323824102</v>
      </c>
      <c r="AI9772">
        <v>90.981181267691298</v>
      </c>
      <c r="AJ9772">
        <v>88.571247196418199</v>
      </c>
      <c r="AK9772">
        <v>65.488914054109102</v>
      </c>
      <c r="AL9772">
        <v>79.340570134801794</v>
      </c>
      <c r="AM9772">
        <v>92.788838278138797</v>
      </c>
      <c r="AN9772">
        <v>1.0000000105860001</v>
      </c>
    </row>
    <row r="9773" spans="1:40" x14ac:dyDescent="0.25">
      <c r="A9773" t="str">
        <f>"20190303162138734"</f>
        <v>20190303162138734</v>
      </c>
      <c r="B9773" t="str">
        <f>"1551601298722817"</f>
        <v>1551601298722817</v>
      </c>
      <c r="C9773" t="s">
        <v>40</v>
      </c>
      <c r="D9773">
        <v>4.6340260000000004</v>
      </c>
      <c r="E9773">
        <v>0.52749849999999998</v>
      </c>
      <c r="F9773" t="s">
        <v>41</v>
      </c>
      <c r="G9773">
        <v>-184.01230000000001</v>
      </c>
      <c r="H9773" s="1">
        <v>-1.906971E-6</v>
      </c>
      <c r="I9773">
        <v>70.570179999999993</v>
      </c>
      <c r="J9773">
        <v>-187.59129999999999</v>
      </c>
      <c r="K9773">
        <v>1.121443</v>
      </c>
      <c r="L9773">
        <v>2.806549</v>
      </c>
      <c r="M9773">
        <v>2.892424E-2</v>
      </c>
      <c r="N9773">
        <v>-1.145615E-2</v>
      </c>
      <c r="O9773">
        <v>0.99951599999999996</v>
      </c>
      <c r="P9773">
        <v>-1.9726279999999999E-2</v>
      </c>
      <c r="Q9773">
        <v>0.17587990000000001</v>
      </c>
      <c r="R9773">
        <v>0.98421389999999997</v>
      </c>
      <c r="S9773">
        <v>0.16123959999999901</v>
      </c>
      <c r="T9773">
        <v>-5.0399659999999999E-2</v>
      </c>
      <c r="U9773">
        <v>3.0589599999999999</v>
      </c>
      <c r="V9773">
        <v>-4.8185869999999999E-2</v>
      </c>
      <c r="W9773">
        <v>0.18713289999999999</v>
      </c>
      <c r="X9773">
        <v>0.98115209999999997</v>
      </c>
      <c r="Y9773">
        <v>2.3725019999999999E-2</v>
      </c>
      <c r="Z9773">
        <v>-5.0028199999999998E-3</v>
      </c>
      <c r="AA9773">
        <v>0.99970599999999998</v>
      </c>
      <c r="AB9773">
        <v>29</v>
      </c>
      <c r="AC9773">
        <v>3.57899999999997</v>
      </c>
      <c r="AD9773">
        <v>-1.121444906971</v>
      </c>
      <c r="AE9773">
        <v>67.763631000000004</v>
      </c>
      <c r="AF9773">
        <v>1.61692069037582</v>
      </c>
      <c r="AG9773">
        <v>-1.121444906971</v>
      </c>
      <c r="AH9773">
        <v>67.820279028535296</v>
      </c>
      <c r="AI9773">
        <v>90.947061224048198</v>
      </c>
      <c r="AJ9773">
        <v>88.634255331939499</v>
      </c>
      <c r="AK9773">
        <v>67.848819582264795</v>
      </c>
      <c r="AL9773">
        <v>79.214489649788206</v>
      </c>
      <c r="AM9773">
        <v>92.811623725733995</v>
      </c>
      <c r="AN9773">
        <v>1.00000002183223</v>
      </c>
    </row>
    <row r="9774" spans="1:40" x14ac:dyDescent="0.25">
      <c r="A9774" t="str">
        <f>"20190303162138756"</f>
        <v>20190303162138756</v>
      </c>
      <c r="B9774" t="str">
        <f>"1551601298742336"</f>
        <v>1551601298742336</v>
      </c>
      <c r="C9774" t="s">
        <v>40</v>
      </c>
      <c r="D9774">
        <v>4.6269369999999999</v>
      </c>
      <c r="E9774">
        <v>0.52739139999999995</v>
      </c>
      <c r="F9774" t="s">
        <v>41</v>
      </c>
      <c r="G9774">
        <v>-183.53469999999999</v>
      </c>
      <c r="H9774" s="1">
        <v>-2.287436E-6</v>
      </c>
      <c r="I9774">
        <v>81.314759999999893</v>
      </c>
      <c r="J9774">
        <v>-187.583</v>
      </c>
      <c r="K9774">
        <v>1.121469</v>
      </c>
      <c r="L9774">
        <v>3.0941770000000002</v>
      </c>
      <c r="M9774">
        <v>2.8877750000000001E-2</v>
      </c>
      <c r="N9774">
        <v>-1.144387E-2</v>
      </c>
      <c r="O9774">
        <v>0.9995174</v>
      </c>
      <c r="P9774">
        <v>-1.9602290000000001E-2</v>
      </c>
      <c r="Q9774">
        <v>0.1775127</v>
      </c>
      <c r="R9774">
        <v>0.98392329999999995</v>
      </c>
      <c r="S9774">
        <v>0.15806579999999901</v>
      </c>
      <c r="T9774">
        <v>-4.3697239999999998E-2</v>
      </c>
      <c r="U9774">
        <v>3.0590820000000001</v>
      </c>
      <c r="V9774">
        <v>-4.8015429999999998E-2</v>
      </c>
      <c r="W9774">
        <v>0.18874830000000001</v>
      </c>
      <c r="X9774">
        <v>0.98085089999999997</v>
      </c>
      <c r="Y9774">
        <v>2.2735910000000002E-2</v>
      </c>
      <c r="Z9774">
        <v>-2.8275679999999999E-3</v>
      </c>
      <c r="AA9774">
        <v>0.99973749999999995</v>
      </c>
      <c r="AB9774">
        <v>29</v>
      </c>
      <c r="AC9774">
        <v>4.04830000000001</v>
      </c>
      <c r="AD9774">
        <v>-1.121471287436</v>
      </c>
      <c r="AE9774">
        <v>78.220582999999905</v>
      </c>
      <c r="AF9774">
        <v>1.78726257680825</v>
      </c>
      <c r="AG9774">
        <v>-1.121471287436</v>
      </c>
      <c r="AH9774">
        <v>78.288820452477793</v>
      </c>
      <c r="AI9774">
        <v>90.820480404868604</v>
      </c>
      <c r="AJ9774">
        <v>88.692216617010899</v>
      </c>
      <c r="AK9774">
        <v>78.317248503808599</v>
      </c>
      <c r="AL9774">
        <v>79.120253966142499</v>
      </c>
      <c r="AM9774">
        <v>92.8025534761735</v>
      </c>
      <c r="AN9774">
        <v>0.99999994515088997</v>
      </c>
    </row>
    <row r="9775" spans="1:40" x14ac:dyDescent="0.25">
      <c r="A9775" t="str">
        <f>"20190303162138778"</f>
        <v>20190303162138778</v>
      </c>
      <c r="B9775" t="str">
        <f>"1551601298772592"</f>
        <v>1551601298772592</v>
      </c>
      <c r="C9775" t="s">
        <v>40</v>
      </c>
      <c r="D9775">
        <v>4.5871700000000004</v>
      </c>
      <c r="E9775">
        <v>0.52726870000000003</v>
      </c>
      <c r="F9775" t="s">
        <v>41</v>
      </c>
      <c r="G9775">
        <v>-183.31309999999999</v>
      </c>
      <c r="H9775" s="1">
        <v>-4.2121709999999999E-6</v>
      </c>
      <c r="I9775">
        <v>86.686520000000002</v>
      </c>
      <c r="J9775">
        <v>-187.57470000000001</v>
      </c>
      <c r="K9775">
        <v>1.1214980000000001</v>
      </c>
      <c r="L9775">
        <v>3.38443</v>
      </c>
      <c r="M9775">
        <v>2.879222E-2</v>
      </c>
      <c r="N9775">
        <v>-1.142836E-2</v>
      </c>
      <c r="O9775">
        <v>0.99952010000000002</v>
      </c>
      <c r="P9775">
        <v>-1.8742669999999999E-2</v>
      </c>
      <c r="Q9775">
        <v>0.179006</v>
      </c>
      <c r="R9775">
        <v>0.98366949999999997</v>
      </c>
      <c r="S9775">
        <v>0.15628049999999999</v>
      </c>
      <c r="T9775">
        <v>-4.1046739999999998E-2</v>
      </c>
      <c r="U9775">
        <v>3.0595400000000001</v>
      </c>
      <c r="V9775">
        <v>-4.7077599999999997E-2</v>
      </c>
      <c r="W9775">
        <v>0.19022030000000001</v>
      </c>
      <c r="X9775">
        <v>0.98061200000000004</v>
      </c>
      <c r="Y9775">
        <v>2.2232229999999999E-2</v>
      </c>
      <c r="Z9775">
        <v>-1.976237E-3</v>
      </c>
      <c r="AA9775">
        <v>0.9997509</v>
      </c>
      <c r="AB9775">
        <v>29</v>
      </c>
      <c r="AC9775">
        <v>4.2616000000000103</v>
      </c>
      <c r="AD9775">
        <v>-1.1215022121710001</v>
      </c>
      <c r="AE9775">
        <v>83.302090000000007</v>
      </c>
      <c r="AF9775">
        <v>1.8608878640461799</v>
      </c>
      <c r="AG9775">
        <v>-1.1215022121710001</v>
      </c>
      <c r="AH9775">
        <v>83.375186217719701</v>
      </c>
      <c r="AI9775">
        <v>90.770462712367802</v>
      </c>
      <c r="AJ9775">
        <v>88.721402299751304</v>
      </c>
      <c r="AK9775">
        <v>83.403491220055699</v>
      </c>
      <c r="AL9775">
        <v>79.034358833727495</v>
      </c>
      <c r="AM9775">
        <v>92.748567592044907</v>
      </c>
      <c r="AN9775">
        <v>0.99999997874892399</v>
      </c>
    </row>
    <row r="9776" spans="1:40" x14ac:dyDescent="0.25">
      <c r="A9776" t="str">
        <f>"20190303162138800"</f>
        <v>20190303162138800</v>
      </c>
      <c r="B9776" t="str">
        <f>"1551601298792112"</f>
        <v>1551601298792112</v>
      </c>
      <c r="C9776" t="s">
        <v>40</v>
      </c>
      <c r="D9776">
        <v>4.5697640000000002</v>
      </c>
      <c r="E9776">
        <v>0.52754599999999996</v>
      </c>
      <c r="F9776" t="s">
        <v>41</v>
      </c>
      <c r="G9776">
        <v>-182.38550000000001</v>
      </c>
      <c r="H9776" s="1">
        <v>-3.6445360000000002E-6</v>
      </c>
      <c r="I9776">
        <v>104.4041</v>
      </c>
      <c r="J9776">
        <v>-187.56610000000001</v>
      </c>
      <c r="K9776">
        <v>1.121543</v>
      </c>
      <c r="L9776">
        <v>3.6879580000000001</v>
      </c>
      <c r="M9776">
        <v>2.8651929999999999E-2</v>
      </c>
      <c r="N9776">
        <v>-1.1410150000000001E-2</v>
      </c>
      <c r="O9776">
        <v>0.99952430000000003</v>
      </c>
      <c r="P9776">
        <v>-1.8173209999999999E-2</v>
      </c>
      <c r="Q9776">
        <v>0.18032609999999999</v>
      </c>
      <c r="R9776">
        <v>0.98343899999999995</v>
      </c>
      <c r="S9776">
        <v>0.157135</v>
      </c>
      <c r="T9776">
        <v>-3.3960339999999999E-2</v>
      </c>
      <c r="U9776">
        <v>3.0589900000000001</v>
      </c>
      <c r="V9776">
        <v>-4.6382529999999998E-2</v>
      </c>
      <c r="W9776">
        <v>0.19151589999999999</v>
      </c>
      <c r="X9776">
        <v>0.98039290000000001</v>
      </c>
      <c r="Y9776">
        <v>2.266058E-2</v>
      </c>
      <c r="Z9776">
        <v>3.1622099999999999E-4</v>
      </c>
      <c r="AA9776">
        <v>0.99974320000000005</v>
      </c>
      <c r="AB9776">
        <v>29</v>
      </c>
      <c r="AC9776">
        <v>5.1805999999999903</v>
      </c>
      <c r="AD9776">
        <v>-1.1215466445360001</v>
      </c>
      <c r="AE9776">
        <v>100.716142</v>
      </c>
      <c r="AF9776">
        <v>2.2922895325424002</v>
      </c>
      <c r="AG9776">
        <v>-1.1215466445360001</v>
      </c>
      <c r="AH9776">
        <v>100.810763400056</v>
      </c>
      <c r="AI9776">
        <v>90.637239835273107</v>
      </c>
      <c r="AJ9776">
        <v>88.6974021183822</v>
      </c>
      <c r="AK9776">
        <v>100.843058638058</v>
      </c>
      <c r="AL9776">
        <v>78.958735919307699</v>
      </c>
      <c r="AM9776">
        <v>92.708651946587906</v>
      </c>
      <c r="AN9776">
        <v>0.99999995870620895</v>
      </c>
    </row>
    <row r="9777" spans="1:40" x14ac:dyDescent="0.25">
      <c r="A9777" t="str">
        <f>"20190303162138826"</f>
        <v>20190303162138826</v>
      </c>
      <c r="B9777" t="str">
        <f>"1551601298812608"</f>
        <v>1551601298812608</v>
      </c>
      <c r="C9777" t="s">
        <v>40</v>
      </c>
      <c r="D9777">
        <v>4.5528449999999996</v>
      </c>
      <c r="E9777">
        <v>0.54290059999999996</v>
      </c>
      <c r="F9777" t="s">
        <v>50</v>
      </c>
      <c r="G9777">
        <v>-181.17760000000001</v>
      </c>
      <c r="H9777" s="1">
        <v>-4.1859330000000003E-6</v>
      </c>
      <c r="I9777">
        <v>125.4726</v>
      </c>
      <c r="J9777">
        <v>-187.55709999999999</v>
      </c>
      <c r="K9777">
        <v>1.1215820000000001</v>
      </c>
      <c r="L9777">
        <v>4.0090029999999999</v>
      </c>
      <c r="M9777">
        <v>2.8438399999999999E-2</v>
      </c>
      <c r="N9777">
        <v>-1.139103E-2</v>
      </c>
      <c r="O9777">
        <v>0.99953060000000005</v>
      </c>
      <c r="P9777">
        <v>-1.768631E-2</v>
      </c>
      <c r="Q9777">
        <v>0.1809065</v>
      </c>
      <c r="R9777">
        <v>0.98334129999999997</v>
      </c>
      <c r="S9777">
        <v>0.16044620000000001</v>
      </c>
      <c r="T9777">
        <v>-2.8167959999999999E-2</v>
      </c>
      <c r="U9777">
        <v>3.0586549999999999</v>
      </c>
      <c r="V9777">
        <v>-4.5706629999999998E-2</v>
      </c>
      <c r="W9777">
        <v>0.1920714</v>
      </c>
      <c r="X9777">
        <v>0.98031599999999997</v>
      </c>
      <c r="Y9777">
        <v>2.3959109999999999E-2</v>
      </c>
      <c r="Z9777">
        <v>2.187006E-3</v>
      </c>
      <c r="AA9777">
        <v>0.9997106</v>
      </c>
      <c r="AB9777">
        <v>29</v>
      </c>
      <c r="AC9777">
        <v>6.37949999999997</v>
      </c>
      <c r="AD9777">
        <v>-1.1215861859330001</v>
      </c>
      <c r="AE9777">
        <v>121.46359699999999</v>
      </c>
      <c r="AF9777">
        <v>2.92221635545165</v>
      </c>
      <c r="AG9777">
        <v>-1.1215861859330001</v>
      </c>
      <c r="AH9777">
        <v>121.58556031747401</v>
      </c>
      <c r="AI9777">
        <v>90.528366865490497</v>
      </c>
      <c r="AJ9777">
        <v>88.623204628501199</v>
      </c>
      <c r="AK9777">
        <v>121.625843395697</v>
      </c>
      <c r="AL9777">
        <v>78.926306403442595</v>
      </c>
      <c r="AM9777">
        <v>92.669447256477198</v>
      </c>
      <c r="AN9777">
        <v>0.99999998928995804</v>
      </c>
    </row>
    <row r="9778" spans="1:40" x14ac:dyDescent="0.25">
      <c r="A9778" t="str">
        <f>"20190303162138843"</f>
        <v>20190303162138843</v>
      </c>
      <c r="B9778" t="str">
        <f>"1551601298832128"</f>
        <v>1551601298832128</v>
      </c>
      <c r="C9778" t="s">
        <v>40</v>
      </c>
      <c r="D9778">
        <v>4.5143420000000001</v>
      </c>
      <c r="E9778">
        <v>0.54337259999999998</v>
      </c>
      <c r="F9778" t="s">
        <v>66</v>
      </c>
      <c r="G9778">
        <v>-168.49299999999999</v>
      </c>
      <c r="H9778">
        <v>2.6068950000000002</v>
      </c>
      <c r="I9778">
        <v>208.21449999999999</v>
      </c>
      <c r="J9778">
        <v>-187.55009999999999</v>
      </c>
      <c r="K9778">
        <v>1.1216200000000001</v>
      </c>
      <c r="L9778">
        <v>4.2618099999999997</v>
      </c>
      <c r="M9778">
        <v>2.8213990000000001E-2</v>
      </c>
      <c r="N9778">
        <v>-1.137693E-2</v>
      </c>
      <c r="O9778">
        <v>0.99953720000000001</v>
      </c>
      <c r="P9778">
        <v>-1.6877509999999998E-2</v>
      </c>
      <c r="Q9778">
        <v>0.17959020000000001</v>
      </c>
      <c r="R9778">
        <v>0.98359669999999999</v>
      </c>
      <c r="S9778">
        <v>0.284912099999999</v>
      </c>
      <c r="T9778">
        <v>2.2198559999999999E-2</v>
      </c>
      <c r="U9778">
        <v>3.0518489999999998</v>
      </c>
      <c r="V9778">
        <v>-4.4703109999999997E-2</v>
      </c>
      <c r="W9778">
        <v>0.1907404</v>
      </c>
      <c r="X9778">
        <v>0.98062210000000005</v>
      </c>
      <c r="Y9778">
        <v>6.4804730000000005E-2</v>
      </c>
      <c r="Z9778">
        <v>1.860709E-2</v>
      </c>
      <c r="AA9778">
        <v>0.99772450000000001</v>
      </c>
      <c r="AB9778">
        <v>29</v>
      </c>
      <c r="AC9778">
        <v>19.057099999999899</v>
      </c>
      <c r="AD9778">
        <v>1.4852749999999999</v>
      </c>
      <c r="AE9778">
        <v>203.95268999999999</v>
      </c>
      <c r="AF9778">
        <v>13.2941221931694</v>
      </c>
      <c r="AG9778">
        <v>1.4852749999999999</v>
      </c>
      <c r="AH9778">
        <v>204.39845253335801</v>
      </c>
      <c r="AI9778">
        <v>89.584541505763696</v>
      </c>
      <c r="AJ9778">
        <v>86.278710769101295</v>
      </c>
      <c r="AK9778">
        <v>204.83570764089001</v>
      </c>
      <c r="AL9778">
        <v>79.004003599145605</v>
      </c>
      <c r="AM9778">
        <v>92.610105878389007</v>
      </c>
      <c r="AN9778">
        <v>0.999999985622121</v>
      </c>
    </row>
    <row r="9779" spans="1:40" x14ac:dyDescent="0.25">
      <c r="A9779" t="str">
        <f>"20190303162138867"</f>
        <v>20190303162138867</v>
      </c>
      <c r="B9779" t="str">
        <f>"1551601298862384"</f>
        <v>1551601298862384</v>
      </c>
      <c r="C9779" t="s">
        <v>40</v>
      </c>
      <c r="D9779">
        <v>4.4692030000000003</v>
      </c>
      <c r="E9779">
        <v>0.54566110000000001</v>
      </c>
      <c r="F9779" t="s">
        <v>66</v>
      </c>
      <c r="G9779">
        <v>-168.4118</v>
      </c>
      <c r="H9779">
        <v>2.3793489999999999</v>
      </c>
      <c r="I9779">
        <v>204.8904</v>
      </c>
      <c r="J9779">
        <v>-187.54220000000001</v>
      </c>
      <c r="K9779">
        <v>1.121656</v>
      </c>
      <c r="L9779">
        <v>4.5526429999999998</v>
      </c>
      <c r="M9779">
        <v>2.7907189999999998E-2</v>
      </c>
      <c r="N9779">
        <v>-1.136218E-2</v>
      </c>
      <c r="O9779">
        <v>0.99954589999999999</v>
      </c>
      <c r="P9779">
        <v>-1.6675590000000001E-2</v>
      </c>
      <c r="Q9779">
        <v>0.17859140000000001</v>
      </c>
      <c r="R9779">
        <v>0.98378200000000005</v>
      </c>
      <c r="S9779">
        <v>0.29109190000000001</v>
      </c>
      <c r="T9779">
        <v>1.913047E-2</v>
      </c>
      <c r="U9779">
        <v>3.0515439999999998</v>
      </c>
      <c r="V9779">
        <v>-4.4224260000000001E-2</v>
      </c>
      <c r="W9779">
        <v>0.189725</v>
      </c>
      <c r="X9779">
        <v>0.98084079999999996</v>
      </c>
      <c r="Y9779">
        <v>6.7124110000000001E-2</v>
      </c>
      <c r="Z9779">
        <v>1.759055E-2</v>
      </c>
      <c r="AA9779">
        <v>0.99758959999999997</v>
      </c>
      <c r="AB9779">
        <v>29</v>
      </c>
      <c r="AC9779">
        <v>19.130400000000002</v>
      </c>
      <c r="AD9779">
        <v>1.2576929999999999</v>
      </c>
      <c r="AE9779">
        <v>200.33775700000001</v>
      </c>
      <c r="AF9779">
        <v>13.531194629259099</v>
      </c>
      <c r="AG9779">
        <v>1.2576929999999999</v>
      </c>
      <c r="AH9779">
        <v>200.78578748958901</v>
      </c>
      <c r="AI9779">
        <v>89.641924426464996</v>
      </c>
      <c r="AJ9779">
        <v>86.144598293934493</v>
      </c>
      <c r="AK9779">
        <v>201.245142742854</v>
      </c>
      <c r="AL9779">
        <v>79.063264244912205</v>
      </c>
      <c r="AM9779">
        <v>92.581610062662307</v>
      </c>
      <c r="AN9779">
        <v>1.0000000178710899</v>
      </c>
    </row>
    <row r="9780" spans="1:40" x14ac:dyDescent="0.25">
      <c r="A9780" t="str">
        <f>"20190303162138891"</f>
        <v>20190303162138891</v>
      </c>
      <c r="B9780" t="str">
        <f>"1551601298881904"</f>
        <v>1551601298881904</v>
      </c>
      <c r="C9780" t="s">
        <v>40</v>
      </c>
      <c r="D9780">
        <v>4.451956</v>
      </c>
      <c r="E9780">
        <v>0.54647290000000004</v>
      </c>
      <c r="F9780" t="s">
        <v>66</v>
      </c>
      <c r="G9780">
        <v>-169.26159999999999</v>
      </c>
      <c r="H9780">
        <v>3.2996460000000001</v>
      </c>
      <c r="I9780">
        <v>184.3826</v>
      </c>
      <c r="J9780">
        <v>-187.5334</v>
      </c>
      <c r="K9780">
        <v>1.1216870000000001</v>
      </c>
      <c r="L9780">
        <v>4.8829960000000003</v>
      </c>
      <c r="M9780">
        <v>2.7498559999999998E-2</v>
      </c>
      <c r="N9780">
        <v>-1.134746E-2</v>
      </c>
      <c r="O9780">
        <v>0.99955740000000004</v>
      </c>
      <c r="P9780">
        <v>-1.691786E-2</v>
      </c>
      <c r="Q9780">
        <v>0.17799609999999999</v>
      </c>
      <c r="R9780">
        <v>0.98388580000000003</v>
      </c>
      <c r="S9780">
        <v>0.30984499999999998</v>
      </c>
      <c r="T9780">
        <v>3.691614E-2</v>
      </c>
      <c r="U9780">
        <v>3.0480040000000002</v>
      </c>
      <c r="V9780">
        <v>-4.4086460000000001E-2</v>
      </c>
      <c r="W9780">
        <v>0.18911210000000001</v>
      </c>
      <c r="X9780">
        <v>0.98096530000000004</v>
      </c>
      <c r="Y9780">
        <v>7.3708889999999999E-2</v>
      </c>
      <c r="Z9780">
        <v>2.338633E-2</v>
      </c>
      <c r="AA9780">
        <v>0.99700560000000005</v>
      </c>
      <c r="AB9780">
        <v>29</v>
      </c>
      <c r="AC9780">
        <v>18.271799999999999</v>
      </c>
      <c r="AD9780">
        <v>2.177959</v>
      </c>
      <c r="AE9780">
        <v>179.49960400000001</v>
      </c>
      <c r="AF9780">
        <v>13.326649028164599</v>
      </c>
      <c r="AG9780">
        <v>2.177959</v>
      </c>
      <c r="AH9780">
        <v>179.907982033651</v>
      </c>
      <c r="AI9780">
        <v>89.308308315437301</v>
      </c>
      <c r="AJ9780">
        <v>85.763563442475899</v>
      </c>
      <c r="AK9780">
        <v>180.41403792151499</v>
      </c>
      <c r="AL9780">
        <v>79.099027657861399</v>
      </c>
      <c r="AM9780">
        <v>92.573250572567801</v>
      </c>
      <c r="AN9780">
        <v>0.999999961062915</v>
      </c>
    </row>
    <row r="9781" spans="1:40" x14ac:dyDescent="0.25">
      <c r="A9781" t="str">
        <f>"20190303162138913"</f>
        <v>20190303162138913</v>
      </c>
      <c r="B9781" t="str">
        <f>"1551601298902400"</f>
        <v>1551601298902400</v>
      </c>
      <c r="C9781" t="s">
        <v>40</v>
      </c>
      <c r="D9781">
        <v>4.4650049999999997</v>
      </c>
      <c r="E9781">
        <v>0.54661409999999999</v>
      </c>
      <c r="F9781" t="s">
        <v>66</v>
      </c>
      <c r="G9781">
        <v>-168.946</v>
      </c>
      <c r="H9781">
        <v>3.579672</v>
      </c>
      <c r="I9781">
        <v>184.38239999999999</v>
      </c>
      <c r="J9781">
        <v>-187.52619999999999</v>
      </c>
      <c r="K9781">
        <v>1.1217010000000001</v>
      </c>
      <c r="L9781">
        <v>5.1597289999999996</v>
      </c>
      <c r="M9781">
        <v>2.7122420000000001E-2</v>
      </c>
      <c r="N9781">
        <v>-1.133673E-2</v>
      </c>
      <c r="O9781">
        <v>0.99956780000000001</v>
      </c>
      <c r="P9781">
        <v>-1.776179E-2</v>
      </c>
      <c r="Q9781">
        <v>0.17741870000000001</v>
      </c>
      <c r="R9781">
        <v>0.98397520000000005</v>
      </c>
      <c r="S9781">
        <v>0.3155212</v>
      </c>
      <c r="T9781">
        <v>4.1724799999999999E-2</v>
      </c>
      <c r="U9781">
        <v>3.0469970000000002</v>
      </c>
      <c r="V9781">
        <v>-4.4574330000000002E-2</v>
      </c>
      <c r="W9781">
        <v>0.1885221</v>
      </c>
      <c r="X9781">
        <v>0.98105690000000001</v>
      </c>
      <c r="Y9781">
        <v>7.5951899999999906E-2</v>
      </c>
      <c r="Z9781">
        <v>2.4947629999999998E-2</v>
      </c>
      <c r="AA9781">
        <v>0.99679930000000005</v>
      </c>
      <c r="AB9781">
        <v>29</v>
      </c>
      <c r="AC9781">
        <v>18.580199999999898</v>
      </c>
      <c r="AD9781">
        <v>2.4579710000000001</v>
      </c>
      <c r="AE9781">
        <v>179.22267099999999</v>
      </c>
      <c r="AF9781">
        <v>13.709547491585999</v>
      </c>
      <c r="AG9781">
        <v>2.4579710000000001</v>
      </c>
      <c r="AH9781">
        <v>179.62727540423799</v>
      </c>
      <c r="AI9781">
        <v>89.218302131677405</v>
      </c>
      <c r="AJ9781">
        <v>85.635521836631796</v>
      </c>
      <c r="AK9781">
        <v>180.166454655162</v>
      </c>
      <c r="AL9781">
        <v>79.133452320007095</v>
      </c>
      <c r="AM9781">
        <v>92.601445206629506</v>
      </c>
      <c r="AN9781">
        <v>1.00000004706048</v>
      </c>
    </row>
    <row r="9782" spans="1:40" x14ac:dyDescent="0.25">
      <c r="A9782" t="str">
        <f>"20190303162138934"</f>
        <v>20190303162138934</v>
      </c>
      <c r="B9782" t="str">
        <f>"1551601298921920"</f>
        <v>1551601298921920</v>
      </c>
      <c r="C9782" t="s">
        <v>40</v>
      </c>
      <c r="D9782">
        <v>4.4379200000000001</v>
      </c>
      <c r="E9782">
        <v>0.54683649999999995</v>
      </c>
      <c r="F9782" t="s">
        <v>66</v>
      </c>
      <c r="G9782">
        <v>-169.03559999999999</v>
      </c>
      <c r="H9782">
        <v>3.62947</v>
      </c>
      <c r="I9782">
        <v>184.38239999999999</v>
      </c>
      <c r="J9782">
        <v>-187.5189</v>
      </c>
      <c r="K9782">
        <v>1.121715</v>
      </c>
      <c r="L9782">
        <v>5.4468379999999996</v>
      </c>
      <c r="M9782">
        <v>2.671078E-2</v>
      </c>
      <c r="N9782">
        <v>-1.132712E-2</v>
      </c>
      <c r="O9782">
        <v>0.999579</v>
      </c>
      <c r="P9782">
        <v>-1.89134E-2</v>
      </c>
      <c r="Q9782">
        <v>0.17633009999999999</v>
      </c>
      <c r="R9782">
        <v>0.98414939999999995</v>
      </c>
      <c r="S9782">
        <v>0.31434630000000002</v>
      </c>
      <c r="T9782">
        <v>4.2633409999999997E-2</v>
      </c>
      <c r="U9782">
        <v>3.0468440000000001</v>
      </c>
      <c r="V9782">
        <v>-4.5333440000000003E-2</v>
      </c>
      <c r="W9782">
        <v>0.18742339999999999</v>
      </c>
      <c r="X9782">
        <v>0.98123260000000001</v>
      </c>
      <c r="Y9782">
        <v>7.5986699999999893E-2</v>
      </c>
      <c r="Z9782">
        <v>2.5236169999999999E-2</v>
      </c>
      <c r="AA9782">
        <v>0.99678940000000005</v>
      </c>
      <c r="AB9782">
        <v>29</v>
      </c>
      <c r="AC9782">
        <v>18.4833</v>
      </c>
      <c r="AD9782">
        <v>2.5077549999999902</v>
      </c>
      <c r="AE9782">
        <v>178.935562</v>
      </c>
      <c r="AF9782">
        <v>13.6942278051795</v>
      </c>
      <c r="AG9782">
        <v>2.5077549999999902</v>
      </c>
      <c r="AH9782">
        <v>179.33059372928301</v>
      </c>
      <c r="AI9782">
        <v>89.201154794918097</v>
      </c>
      <c r="AJ9782">
        <v>85.633195483979307</v>
      </c>
      <c r="AK9782">
        <v>179.870182513993</v>
      </c>
      <c r="AL9782">
        <v>79.197545558104594</v>
      </c>
      <c r="AM9782">
        <v>92.645212864974297</v>
      </c>
      <c r="AN9782">
        <v>1.00000003347627</v>
      </c>
    </row>
    <row r="9783" spans="1:40" x14ac:dyDescent="0.25">
      <c r="A9783" t="str">
        <f>"20190303162138956"</f>
        <v>20190303162138956</v>
      </c>
      <c r="B9783" t="str">
        <f>"1551601298942416"</f>
        <v>1551601298942416</v>
      </c>
      <c r="C9783" t="s">
        <v>40</v>
      </c>
      <c r="D9783">
        <v>4.3960689999999998</v>
      </c>
      <c r="E9783">
        <v>0.54759159999999996</v>
      </c>
      <c r="F9783" t="s">
        <v>66</v>
      </c>
      <c r="G9783">
        <v>-169.14769999999999</v>
      </c>
      <c r="H9783">
        <v>3.6141200000000002</v>
      </c>
      <c r="I9783">
        <v>184.38239999999999</v>
      </c>
      <c r="J9783">
        <v>-187.51169999999999</v>
      </c>
      <c r="K9783">
        <v>1.1217220000000001</v>
      </c>
      <c r="L9783">
        <v>5.7308649999999997</v>
      </c>
      <c r="M9783">
        <v>2.6291229999999999E-2</v>
      </c>
      <c r="N9783">
        <v>-1.1319050000000001E-2</v>
      </c>
      <c r="O9783">
        <v>0.99959019999999998</v>
      </c>
      <c r="P9783">
        <v>-1.9448190000000001E-2</v>
      </c>
      <c r="Q9783">
        <v>0.1758825</v>
      </c>
      <c r="R9783">
        <v>0.98421899999999996</v>
      </c>
      <c r="S9783">
        <v>0.31280520000000001</v>
      </c>
      <c r="T9783">
        <v>4.2438509999999999E-2</v>
      </c>
      <c r="U9783">
        <v>3.0467219999999999</v>
      </c>
      <c r="V9783">
        <v>-4.5461920000000003E-2</v>
      </c>
      <c r="W9783">
        <v>0.18696760000000001</v>
      </c>
      <c r="X9783">
        <v>0.98131360000000001</v>
      </c>
      <c r="Y9783">
        <v>7.5910519999999995E-2</v>
      </c>
      <c r="Z9783">
        <v>2.5165969999999999E-2</v>
      </c>
      <c r="AA9783">
        <v>0.99679700000000004</v>
      </c>
      <c r="AB9783">
        <v>30</v>
      </c>
      <c r="AC9783">
        <v>18.364000000000001</v>
      </c>
      <c r="AD9783">
        <v>2.4923980000000001</v>
      </c>
      <c r="AE9783">
        <v>178.651535</v>
      </c>
      <c r="AF9783">
        <v>13.657751033132101</v>
      </c>
      <c r="AG9783">
        <v>2.4923980000000001</v>
      </c>
      <c r="AH9783">
        <v>179.038132204829</v>
      </c>
      <c r="AI9783">
        <v>89.204744602391699</v>
      </c>
      <c r="AJ9783">
        <v>85.637695480307897</v>
      </c>
      <c r="AK9783">
        <v>179.57560801642001</v>
      </c>
      <c r="AL9783">
        <v>79.2241308458795</v>
      </c>
      <c r="AM9783">
        <v>92.6524803508715</v>
      </c>
      <c r="AN9783">
        <v>1.0000000255824</v>
      </c>
    </row>
    <row r="9784" spans="1:40" x14ac:dyDescent="0.25">
      <c r="A9784" t="str">
        <f>"20190303162138978"</f>
        <v>20190303162138978</v>
      </c>
      <c r="B9784" t="str">
        <f>"1551601298972672"</f>
        <v>1551601298972672</v>
      </c>
      <c r="C9784" t="s">
        <v>40</v>
      </c>
      <c r="D9784">
        <v>4.3771000000000004</v>
      </c>
      <c r="E9784">
        <v>0.54803880000000005</v>
      </c>
      <c r="F9784" t="s">
        <v>66</v>
      </c>
      <c r="G9784">
        <v>-168.88550000000001</v>
      </c>
      <c r="H9784">
        <v>3.9556779999999998</v>
      </c>
      <c r="I9784">
        <v>184.38220000000001</v>
      </c>
      <c r="J9784">
        <v>-187.5043</v>
      </c>
      <c r="K9784">
        <v>1.1217280000000001</v>
      </c>
      <c r="L9784">
        <v>6.0300599999999998</v>
      </c>
      <c r="M9784">
        <v>2.5843689999999999E-2</v>
      </c>
      <c r="N9784">
        <v>-1.1312010000000001E-2</v>
      </c>
      <c r="O9784">
        <v>0.99960199999999999</v>
      </c>
      <c r="P9784">
        <v>-1.9619500000000002E-2</v>
      </c>
      <c r="Q9784">
        <v>0.17629600000000001</v>
      </c>
      <c r="R9784">
        <v>0.98414159999999995</v>
      </c>
      <c r="S9784">
        <v>0.31755070000000002</v>
      </c>
      <c r="T9784">
        <v>4.8315410000000003E-2</v>
      </c>
      <c r="U9784">
        <v>3.0457459999999998</v>
      </c>
      <c r="V9784">
        <v>-4.5193990000000003E-2</v>
      </c>
      <c r="W9784">
        <v>0.18737280000000001</v>
      </c>
      <c r="X9784">
        <v>0.98124869999999997</v>
      </c>
      <c r="Y9784">
        <v>7.7921589999999999E-2</v>
      </c>
      <c r="Z9784">
        <v>2.7080799999999999E-2</v>
      </c>
      <c r="AA9784">
        <v>0.99659160000000002</v>
      </c>
      <c r="AB9784">
        <v>30</v>
      </c>
      <c r="AC9784">
        <v>18.6188</v>
      </c>
      <c r="AD9784">
        <v>2.8339500000000002</v>
      </c>
      <c r="AE9784">
        <v>178.35213999999999</v>
      </c>
      <c r="AF9784">
        <v>13.9995116408145</v>
      </c>
      <c r="AG9784">
        <v>2.8339500000000002</v>
      </c>
      <c r="AH9784">
        <v>178.72913220923701</v>
      </c>
      <c r="AI9784">
        <v>89.0943610178537</v>
      </c>
      <c r="AJ9784">
        <v>85.521275484288694</v>
      </c>
      <c r="AK9784">
        <v>179.29896904067999</v>
      </c>
      <c r="AL9784">
        <v>79.200497051672201</v>
      </c>
      <c r="AM9784">
        <v>92.637044233892397</v>
      </c>
      <c r="AN9784">
        <v>1.0000000370818201</v>
      </c>
    </row>
    <row r="9785" spans="1:40" x14ac:dyDescent="0.25">
      <c r="A9785" t="str">
        <f>"20190303162139000"</f>
        <v>20190303162139000</v>
      </c>
      <c r="B9785" t="str">
        <f>"1551601298992192"</f>
        <v>1551601298992192</v>
      </c>
      <c r="C9785" t="s">
        <v>40</v>
      </c>
      <c r="D9785">
        <v>4.3912649999999998</v>
      </c>
      <c r="E9785">
        <v>0.54833969999999999</v>
      </c>
      <c r="F9785" t="s">
        <v>66</v>
      </c>
      <c r="G9785">
        <v>-168.71809999999999</v>
      </c>
      <c r="H9785">
        <v>4.4426519999999998</v>
      </c>
      <c r="I9785">
        <v>184.38200000000001</v>
      </c>
      <c r="J9785">
        <v>-187.4975</v>
      </c>
      <c r="K9785">
        <v>1.1217360000000001</v>
      </c>
      <c r="L9785">
        <v>6.3128359999999999</v>
      </c>
      <c r="M9785">
        <v>2.5419830000000001E-2</v>
      </c>
      <c r="N9785">
        <v>-1.130657E-2</v>
      </c>
      <c r="O9785">
        <v>0.99961290000000003</v>
      </c>
      <c r="P9785">
        <v>-1.944158E-2</v>
      </c>
      <c r="Q9785">
        <v>0.17755370000000001</v>
      </c>
      <c r="R9785">
        <v>0.98391899999999999</v>
      </c>
      <c r="S9785">
        <v>0.32069399999999998</v>
      </c>
      <c r="T9785">
        <v>5.669093E-2</v>
      </c>
      <c r="U9785">
        <v>3.0445859999999998</v>
      </c>
      <c r="V9785">
        <v>-4.4596370000000003E-2</v>
      </c>
      <c r="W9785">
        <v>0.18862319999999999</v>
      </c>
      <c r="X9785">
        <v>0.98103640000000003</v>
      </c>
      <c r="Y9785">
        <v>7.9394220000000001E-2</v>
      </c>
      <c r="Z9785">
        <v>2.9815729999999999E-2</v>
      </c>
      <c r="AA9785">
        <v>0.99639730000000004</v>
      </c>
      <c r="AB9785">
        <v>30</v>
      </c>
      <c r="AC9785">
        <v>18.779399999999999</v>
      </c>
      <c r="AD9785">
        <v>3.3209159999999902</v>
      </c>
      <c r="AE9785">
        <v>178.069164</v>
      </c>
      <c r="AF9785">
        <v>14.241654726029999</v>
      </c>
      <c r="AG9785">
        <v>3.3209159999999902</v>
      </c>
      <c r="AH9785">
        <v>178.42763998910399</v>
      </c>
      <c r="AI9785">
        <v>88.937107000904703</v>
      </c>
      <c r="AJ9785">
        <v>85.436466777828599</v>
      </c>
      <c r="AK9785">
        <v>179.025908528614</v>
      </c>
      <c r="AL9785">
        <v>79.127553189346301</v>
      </c>
      <c r="AM9785">
        <v>92.602784048362196</v>
      </c>
      <c r="AN9785">
        <v>0.99999998296018799</v>
      </c>
    </row>
    <row r="9786" spans="1:40" x14ac:dyDescent="0.25">
      <c r="A9786" t="str">
        <f>"20190303162139023"</f>
        <v>20190303162139023</v>
      </c>
      <c r="B9786" t="str">
        <f>"1551601299012688"</f>
        <v>1551601299012688</v>
      </c>
      <c r="C9786" t="s">
        <v>40</v>
      </c>
      <c r="D9786">
        <v>4.4075639999999998</v>
      </c>
      <c r="E9786">
        <v>0.54851969999999906</v>
      </c>
      <c r="F9786" t="s">
        <v>66</v>
      </c>
      <c r="G9786">
        <v>-168.5728</v>
      </c>
      <c r="H9786">
        <v>4.8933660000000003</v>
      </c>
      <c r="I9786">
        <v>184.3818</v>
      </c>
      <c r="J9786">
        <v>-187.49019999999999</v>
      </c>
      <c r="K9786">
        <v>1.1217379999999999</v>
      </c>
      <c r="L9786">
        <v>6.6157839999999997</v>
      </c>
      <c r="M9786">
        <v>2.496754E-2</v>
      </c>
      <c r="N9786">
        <v>-1.130192E-2</v>
      </c>
      <c r="O9786">
        <v>0.99962439999999997</v>
      </c>
      <c r="P9786">
        <v>-1.9446930000000001E-2</v>
      </c>
      <c r="Q9786">
        <v>0.17845169999999999</v>
      </c>
      <c r="R9786">
        <v>0.98375650000000003</v>
      </c>
      <c r="S9786">
        <v>0.3234863</v>
      </c>
      <c r="T9786">
        <v>6.447029E-2</v>
      </c>
      <c r="U9786">
        <v>3.043793</v>
      </c>
      <c r="V9786">
        <v>-4.4154539999999999E-2</v>
      </c>
      <c r="W9786">
        <v>0.18951480000000001</v>
      </c>
      <c r="X9786">
        <v>0.9808846</v>
      </c>
      <c r="Y9786">
        <v>8.0769079999999993E-2</v>
      </c>
      <c r="Z9786">
        <v>3.2355460000000003E-2</v>
      </c>
      <c r="AA9786">
        <v>0.99620750000000002</v>
      </c>
      <c r="AB9786">
        <v>30</v>
      </c>
      <c r="AC9786">
        <v>18.917399999999901</v>
      </c>
      <c r="AD9786">
        <v>3.7716280000000002</v>
      </c>
      <c r="AE9786">
        <v>177.76601599999901</v>
      </c>
      <c r="AF9786">
        <v>14.466399318552201</v>
      </c>
      <c r="AG9786">
        <v>3.7716280000000002</v>
      </c>
      <c r="AH9786">
        <v>178.103667527163</v>
      </c>
      <c r="AI9786">
        <v>88.790833157267798</v>
      </c>
      <c r="AJ9786">
        <v>85.356367292768397</v>
      </c>
      <c r="AK9786">
        <v>178.73001503284399</v>
      </c>
      <c r="AL9786">
        <v>79.075530606690094</v>
      </c>
      <c r="AM9786">
        <v>92.577430679744893</v>
      </c>
      <c r="AN9786">
        <v>1.0000000406694001</v>
      </c>
    </row>
    <row r="9787" spans="1:40" x14ac:dyDescent="0.25">
      <c r="A9787" t="str">
        <f>"20190303162139044"</f>
        <v>20190303162139044</v>
      </c>
      <c r="B9787" t="str">
        <f>"1551601299032208"</f>
        <v>1551601299032208</v>
      </c>
      <c r="C9787" t="s">
        <v>40</v>
      </c>
      <c r="D9787">
        <v>4.4313760000000002</v>
      </c>
      <c r="E9787">
        <v>0.5489444</v>
      </c>
      <c r="F9787" t="s">
        <v>93</v>
      </c>
      <c r="G9787">
        <v>-169.6765</v>
      </c>
      <c r="H9787">
        <v>4.92</v>
      </c>
      <c r="I9787">
        <v>173.517</v>
      </c>
      <c r="J9787">
        <v>-187.4836</v>
      </c>
      <c r="K9787">
        <v>1.1217379999999999</v>
      </c>
      <c r="L9787">
        <v>6.8982239999999999</v>
      </c>
      <c r="M9787">
        <v>2.4548690000000001E-2</v>
      </c>
      <c r="N9787">
        <v>-1.1298580000000001E-2</v>
      </c>
      <c r="O9787">
        <v>0.99963480000000005</v>
      </c>
      <c r="P9787">
        <v>-1.9548320000000001E-2</v>
      </c>
      <c r="Q9787">
        <v>0.178651</v>
      </c>
      <c r="R9787">
        <v>0.98371830000000005</v>
      </c>
      <c r="S9787">
        <v>0.32482909999999998</v>
      </c>
      <c r="T9787">
        <v>6.9260479999999999E-2</v>
      </c>
      <c r="U9787">
        <v>3.043396</v>
      </c>
      <c r="V9787">
        <v>-4.3843680000000003E-2</v>
      </c>
      <c r="W9787">
        <v>0.18971099999999999</v>
      </c>
      <c r="X9787">
        <v>0.98086059999999997</v>
      </c>
      <c r="Y9787">
        <v>8.1630209999999995E-2</v>
      </c>
      <c r="Z9787">
        <v>3.3918709999999998E-2</v>
      </c>
      <c r="AA9787">
        <v>0.99608529999999995</v>
      </c>
      <c r="AB9787">
        <v>30</v>
      </c>
      <c r="AC9787">
        <v>17.807099999999899</v>
      </c>
      <c r="AD9787">
        <v>3.7982619999999998</v>
      </c>
      <c r="AE9787">
        <v>166.618776</v>
      </c>
      <c r="AF9787">
        <v>13.704158040842801</v>
      </c>
      <c r="AG9787">
        <v>3.7982619999999998</v>
      </c>
      <c r="AH9787">
        <v>166.91996289271299</v>
      </c>
      <c r="AI9787">
        <v>88.700829724782395</v>
      </c>
      <c r="AJ9787">
        <v>85.306532971688696</v>
      </c>
      <c r="AK9787">
        <v>167.52463924430199</v>
      </c>
      <c r="AL9787">
        <v>79.064081293490304</v>
      </c>
      <c r="AM9787">
        <v>92.559371616578602</v>
      </c>
      <c r="AN9787">
        <v>1.0000000242146501</v>
      </c>
    </row>
    <row r="9788" spans="1:40" x14ac:dyDescent="0.25">
      <c r="A9788" t="str">
        <f>"20190303162139068"</f>
        <v>20190303162139068</v>
      </c>
      <c r="B9788" t="str">
        <f>"1551601299062464"</f>
        <v>1551601299062464</v>
      </c>
      <c r="C9788" t="s">
        <v>40</v>
      </c>
      <c r="D9788">
        <v>4.399254</v>
      </c>
      <c r="E9788">
        <v>0.54901119999999903</v>
      </c>
      <c r="F9788" t="s">
        <v>93</v>
      </c>
      <c r="G9788">
        <v>-169.63210000000001</v>
      </c>
      <c r="H9788">
        <v>5.0149080000000001</v>
      </c>
      <c r="I9788">
        <v>172.53809999999999</v>
      </c>
      <c r="J9788">
        <v>-187.47659999999999</v>
      </c>
      <c r="K9788">
        <v>1.1217429999999999</v>
      </c>
      <c r="L9788">
        <v>7.2016299999999998</v>
      </c>
      <c r="M9788">
        <v>2.4101000000000001E-2</v>
      </c>
      <c r="N9788">
        <v>-1.1295929999999999E-2</v>
      </c>
      <c r="O9788">
        <v>0.99964569999999997</v>
      </c>
      <c r="P9788">
        <v>-1.897998E-2</v>
      </c>
      <c r="Q9788">
        <v>0.1799857</v>
      </c>
      <c r="R9788">
        <v>0.98348610000000003</v>
      </c>
      <c r="S9788">
        <v>0.3279724</v>
      </c>
      <c r="T9788">
        <v>7.1526649999999997E-2</v>
      </c>
      <c r="U9788">
        <v>3.0431819999999998</v>
      </c>
      <c r="V9788">
        <v>-4.2831029999999999E-2</v>
      </c>
      <c r="W9788">
        <v>0.1910413</v>
      </c>
      <c r="X9788">
        <v>0.98064709999999999</v>
      </c>
      <c r="Y9788">
        <v>8.3098749999999999E-2</v>
      </c>
      <c r="Z9788">
        <v>3.4655600000000002E-2</v>
      </c>
      <c r="AA9788">
        <v>0.99593849999999995</v>
      </c>
      <c r="AB9788">
        <v>30</v>
      </c>
      <c r="AC9788">
        <v>17.844499999999901</v>
      </c>
      <c r="AD9788">
        <v>3.8931650000000002</v>
      </c>
      <c r="AE9788">
        <v>165.33646999999999</v>
      </c>
      <c r="AF9788">
        <v>13.846698469003</v>
      </c>
      <c r="AG9788">
        <v>3.8931650000000002</v>
      </c>
      <c r="AH9788">
        <v>165.627759959461</v>
      </c>
      <c r="AI9788">
        <v>88.658160714749897</v>
      </c>
      <c r="AJ9788">
        <v>85.221110342500097</v>
      </c>
      <c r="AK9788">
        <v>166.251143338617</v>
      </c>
      <c r="AL9788">
        <v>78.986440549635901</v>
      </c>
      <c r="AM9788">
        <v>92.500877817461799</v>
      </c>
      <c r="AN9788">
        <v>1.00000000508748</v>
      </c>
    </row>
    <row r="9789" spans="1:40" x14ac:dyDescent="0.25">
      <c r="A9789" t="str">
        <f>"20190303162139091"</f>
        <v>20190303162139091</v>
      </c>
      <c r="B9789" t="str">
        <f>"1551601299081984"</f>
        <v>1551601299081984</v>
      </c>
      <c r="C9789" t="s">
        <v>40</v>
      </c>
      <c r="D9789">
        <v>4.3993880000000001</v>
      </c>
      <c r="E9789">
        <v>0.54901509999999998</v>
      </c>
      <c r="F9789" t="s">
        <v>94</v>
      </c>
      <c r="G9789">
        <v>-170.43119999999999</v>
      </c>
      <c r="H9789">
        <v>5.0722870000000002</v>
      </c>
      <c r="I9789">
        <v>164.41890000000001</v>
      </c>
      <c r="J9789">
        <v>-187.46940000000001</v>
      </c>
      <c r="K9789">
        <v>1.121756</v>
      </c>
      <c r="L9789">
        <v>7.5219420000000001</v>
      </c>
      <c r="M9789">
        <v>2.3630160000000001E-2</v>
      </c>
      <c r="N9789">
        <v>-1.129406E-2</v>
      </c>
      <c r="O9789">
        <v>0.99965700000000002</v>
      </c>
      <c r="P9789">
        <v>-1.6925240000000001E-2</v>
      </c>
      <c r="Q9789">
        <v>0.1820832</v>
      </c>
      <c r="R9789">
        <v>0.98313740000000005</v>
      </c>
      <c r="S9789">
        <v>0.32989499999999999</v>
      </c>
      <c r="T9789">
        <v>7.6458100000000001E-2</v>
      </c>
      <c r="U9789">
        <v>3.0427550000000001</v>
      </c>
      <c r="V9789">
        <v>-4.0308129999999998E-2</v>
      </c>
      <c r="W9789">
        <v>0.1931359</v>
      </c>
      <c r="X9789">
        <v>0.98034370000000004</v>
      </c>
      <c r="Y9789">
        <v>8.4199650000000001E-2</v>
      </c>
      <c r="Z9789">
        <v>3.6266189999999997E-2</v>
      </c>
      <c r="AA9789">
        <v>0.99578880000000003</v>
      </c>
      <c r="AB9789">
        <v>30</v>
      </c>
      <c r="AC9789">
        <v>17.0382</v>
      </c>
      <c r="AD9789">
        <v>3.9505309999999998</v>
      </c>
      <c r="AE9789">
        <v>156.89695800000001</v>
      </c>
      <c r="AF9789">
        <v>13.317360546690299</v>
      </c>
      <c r="AG9789">
        <v>3.9505309999999998</v>
      </c>
      <c r="AH9789">
        <v>157.15730819649301</v>
      </c>
      <c r="AI9789">
        <v>88.565174695002</v>
      </c>
      <c r="AJ9789">
        <v>85.156381655728595</v>
      </c>
      <c r="AK9789">
        <v>157.770017134688</v>
      </c>
      <c r="AL9789">
        <v>78.864151361204094</v>
      </c>
      <c r="AM9789">
        <v>92.354465696257193</v>
      </c>
      <c r="AN9789">
        <v>0.99999999567129805</v>
      </c>
    </row>
    <row r="9790" spans="1:40" x14ac:dyDescent="0.25">
      <c r="A9790" t="str">
        <f>"20190303162139115"</f>
        <v>20190303162139115</v>
      </c>
      <c r="B9790" t="str">
        <f>"1551601299102480"</f>
        <v>1551601299102480</v>
      </c>
      <c r="C9790" t="s">
        <v>40</v>
      </c>
      <c r="D9790">
        <v>4.4656379999999896</v>
      </c>
      <c r="E9790">
        <v>0.54889980000000005</v>
      </c>
      <c r="F9790" t="s">
        <v>94</v>
      </c>
      <c r="G9790">
        <v>-170.155</v>
      </c>
      <c r="H9790">
        <v>5.4443080000000004</v>
      </c>
      <c r="I9790">
        <v>164.1858</v>
      </c>
      <c r="J9790">
        <v>-187.46289999999999</v>
      </c>
      <c r="K9790">
        <v>1.1217649999999999</v>
      </c>
      <c r="L9790">
        <v>7.8190609999999996</v>
      </c>
      <c r="M9790">
        <v>2.319417E-2</v>
      </c>
      <c r="N9790">
        <v>-1.1293009999999999E-2</v>
      </c>
      <c r="O9790">
        <v>0.99966719999999998</v>
      </c>
      <c r="P9790">
        <v>-1.4942459999999999E-2</v>
      </c>
      <c r="Q9790">
        <v>0.18342559999999999</v>
      </c>
      <c r="R9790">
        <v>0.98292009999999996</v>
      </c>
      <c r="S9790">
        <v>0.33616639999999998</v>
      </c>
      <c r="T9790">
        <v>8.3923940000000002E-2</v>
      </c>
      <c r="U9790">
        <v>3.041687</v>
      </c>
      <c r="V9790">
        <v>-3.78936E-2</v>
      </c>
      <c r="W9790">
        <v>0.19447710000000001</v>
      </c>
      <c r="X9790">
        <v>0.98017480000000001</v>
      </c>
      <c r="Y9790">
        <v>8.6691589999999999E-2</v>
      </c>
      <c r="Z9790">
        <v>3.8706820000000003E-2</v>
      </c>
      <c r="AA9790">
        <v>0.99548300000000001</v>
      </c>
      <c r="AB9790">
        <v>30</v>
      </c>
      <c r="AC9790">
        <v>17.307899999999901</v>
      </c>
      <c r="AD9790">
        <v>4.3225429999999996</v>
      </c>
      <c r="AE9790">
        <v>156.366739</v>
      </c>
      <c r="AF9790">
        <v>13.6658985560037</v>
      </c>
      <c r="AG9790">
        <v>4.3225429999999996</v>
      </c>
      <c r="AH9790">
        <v>156.60790912883201</v>
      </c>
      <c r="AI9790">
        <v>88.424959900543698</v>
      </c>
      <c r="AJ9790">
        <v>85.012896023062495</v>
      </c>
      <c r="AK9790">
        <v>157.262450581932</v>
      </c>
      <c r="AL9790">
        <v>78.785820609945702</v>
      </c>
      <c r="AM9790">
        <v>92.213954752427796</v>
      </c>
      <c r="AN9790">
        <v>0.99999995295020305</v>
      </c>
    </row>
    <row r="9791" spans="1:40" x14ac:dyDescent="0.25">
      <c r="A9791" t="str">
        <f>"20190303162139135"</f>
        <v>20190303162139135</v>
      </c>
      <c r="B9791" t="str">
        <f>"1551601299122001"</f>
        <v>1551601299122001</v>
      </c>
      <c r="C9791" t="s">
        <v>40</v>
      </c>
      <c r="D9791">
        <v>4.3984839999999998</v>
      </c>
      <c r="E9791">
        <v>0.54888630000000005</v>
      </c>
      <c r="F9791" t="s">
        <v>94</v>
      </c>
      <c r="G9791">
        <v>-169.93979999999999</v>
      </c>
      <c r="H9791">
        <v>5.6388449999999999</v>
      </c>
      <c r="I9791">
        <v>164.0042</v>
      </c>
      <c r="J9791">
        <v>-187.45679999999999</v>
      </c>
      <c r="K9791">
        <v>1.121766</v>
      </c>
      <c r="L9791">
        <v>8.099335</v>
      </c>
      <c r="M9791">
        <v>2.278316E-2</v>
      </c>
      <c r="N9791">
        <v>-1.129253E-2</v>
      </c>
      <c r="O9791">
        <v>0.99967660000000003</v>
      </c>
      <c r="P9791">
        <v>-1.3143220000000001E-2</v>
      </c>
      <c r="Q9791">
        <v>0.1843466</v>
      </c>
      <c r="R9791">
        <v>0.98277340000000002</v>
      </c>
      <c r="S9791">
        <v>0.34117130000000001</v>
      </c>
      <c r="T9791">
        <v>8.7946650000000001E-2</v>
      </c>
      <c r="U9791">
        <v>3.0408940000000002</v>
      </c>
      <c r="V9791">
        <v>-3.5689209999999999E-2</v>
      </c>
      <c r="W9791">
        <v>0.19539790000000001</v>
      </c>
      <c r="X9791">
        <v>0.98007449999999996</v>
      </c>
      <c r="Y9791">
        <v>8.8742760000000004E-2</v>
      </c>
      <c r="Z9791">
        <v>4.0022460000000003E-2</v>
      </c>
      <c r="AA9791">
        <v>0.99525019999999997</v>
      </c>
      <c r="AB9791">
        <v>30</v>
      </c>
      <c r="AC9791">
        <v>17.5169999999999</v>
      </c>
      <c r="AD9791">
        <v>4.5170789999999998</v>
      </c>
      <c r="AE9791">
        <v>155.904865</v>
      </c>
      <c r="AF9791">
        <v>13.948657112328901</v>
      </c>
      <c r="AG9791">
        <v>4.5170789999999998</v>
      </c>
      <c r="AH9791">
        <v>156.134076571972</v>
      </c>
      <c r="AI9791">
        <v>88.349421306823203</v>
      </c>
      <c r="AJ9791">
        <v>84.894880550081893</v>
      </c>
      <c r="AK9791">
        <v>156.820977247663</v>
      </c>
      <c r="AL9791">
        <v>78.732031748269804</v>
      </c>
      <c r="AM9791">
        <v>92.085492460528499</v>
      </c>
      <c r="AN9791">
        <v>1.0000000422925399</v>
      </c>
    </row>
    <row r="9792" spans="1:40" x14ac:dyDescent="0.25">
      <c r="A9792" t="str">
        <f>"20190303162139159"</f>
        <v>20190303162139159</v>
      </c>
      <c r="B9792" t="str">
        <f>"1551601299152257"</f>
        <v>1551601299152257</v>
      </c>
      <c r="C9792" t="s">
        <v>40</v>
      </c>
      <c r="D9792">
        <v>4.4017759999999999</v>
      </c>
      <c r="E9792">
        <v>0.54858569999999995</v>
      </c>
      <c r="F9792" t="s">
        <v>94</v>
      </c>
      <c r="G9792">
        <v>-169.70070000000001</v>
      </c>
      <c r="H9792">
        <v>5.780405</v>
      </c>
      <c r="I9792">
        <v>163.80240000000001</v>
      </c>
      <c r="J9792">
        <v>-187.4502</v>
      </c>
      <c r="K9792">
        <v>1.1217649999999999</v>
      </c>
      <c r="L9792">
        <v>8.4120179999999998</v>
      </c>
      <c r="M9792">
        <v>2.2324159999999999E-2</v>
      </c>
      <c r="N9792">
        <v>-1.12926E-2</v>
      </c>
      <c r="O9792">
        <v>0.99968699999999999</v>
      </c>
      <c r="P9792">
        <v>-1.201845E-2</v>
      </c>
      <c r="Q9792">
        <v>0.1845136</v>
      </c>
      <c r="R9792">
        <v>0.98275650000000003</v>
      </c>
      <c r="S9792">
        <v>0.34669489999999997</v>
      </c>
      <c r="T9792">
        <v>9.0961689999999998E-2</v>
      </c>
      <c r="U9792">
        <v>3.0401609999999999</v>
      </c>
      <c r="V9792">
        <v>-3.4113549999999999E-2</v>
      </c>
      <c r="W9792">
        <v>0.1955663</v>
      </c>
      <c r="X9792">
        <v>0.980097</v>
      </c>
      <c r="Y9792">
        <v>9.1008060000000002E-2</v>
      </c>
      <c r="Z9792">
        <v>4.1008490000000002E-2</v>
      </c>
      <c r="AA9792">
        <v>0.99500540000000004</v>
      </c>
      <c r="AB9792">
        <v>30</v>
      </c>
      <c r="AC9792">
        <v>17.749499999999902</v>
      </c>
      <c r="AD9792">
        <v>4.6586400000000001</v>
      </c>
      <c r="AE9792">
        <v>155.39038199999999</v>
      </c>
      <c r="AF9792">
        <v>14.263240123131199</v>
      </c>
      <c r="AG9792">
        <v>4.6586400000000001</v>
      </c>
      <c r="AH9792">
        <v>155.609856355522</v>
      </c>
      <c r="AI9792">
        <v>88.292348284657294</v>
      </c>
      <c r="AJ9792">
        <v>84.762887865259103</v>
      </c>
      <c r="AK9792">
        <v>156.33160378006099</v>
      </c>
      <c r="AL9792">
        <v>78.722193082727898</v>
      </c>
      <c r="AM9792">
        <v>91.993449331021907</v>
      </c>
      <c r="AN9792">
        <v>1.00000002069914</v>
      </c>
    </row>
    <row r="9793" spans="1:40" x14ac:dyDescent="0.25">
      <c r="A9793" t="str">
        <f>"20190303162139180"</f>
        <v>20190303162139180</v>
      </c>
      <c r="B9793" t="str">
        <f>"1551601299172753"</f>
        <v>1551601299172753</v>
      </c>
      <c r="C9793" t="s">
        <v>40</v>
      </c>
      <c r="D9793">
        <v>4.4134679999999999</v>
      </c>
      <c r="E9793">
        <v>0.54830290000000004</v>
      </c>
      <c r="F9793" t="s">
        <v>94</v>
      </c>
      <c r="G9793">
        <v>-169.6773</v>
      </c>
      <c r="H9793">
        <v>5.6429529999999897</v>
      </c>
      <c r="I9793">
        <v>163.7826</v>
      </c>
      <c r="J9793">
        <v>-187.4442</v>
      </c>
      <c r="K9793">
        <v>1.121764</v>
      </c>
      <c r="L9793">
        <v>8.7009279999999993</v>
      </c>
      <c r="M9793">
        <v>2.1900059999999999E-2</v>
      </c>
      <c r="N9793">
        <v>-1.129318E-2</v>
      </c>
      <c r="O9793">
        <v>0.99969640000000004</v>
      </c>
      <c r="P9793">
        <v>-1.159781E-2</v>
      </c>
      <c r="Q9793">
        <v>0.1839258</v>
      </c>
      <c r="R9793">
        <v>0.98287170000000001</v>
      </c>
      <c r="S9793">
        <v>0.34777829999999998</v>
      </c>
      <c r="T9793">
        <v>8.8470339999999995E-2</v>
      </c>
      <c r="U9793">
        <v>3.0402830000000001</v>
      </c>
      <c r="V9793">
        <v>-3.3278589999999997E-2</v>
      </c>
      <c r="W9793">
        <v>0.19498170000000001</v>
      </c>
      <c r="X9793">
        <v>0.98024210000000001</v>
      </c>
      <c r="Y9793">
        <v>9.1779429999999995E-2</v>
      </c>
      <c r="Z9793">
        <v>4.0193489999999998E-2</v>
      </c>
      <c r="AA9793">
        <v>0.99496790000000002</v>
      </c>
      <c r="AB9793">
        <v>30</v>
      </c>
      <c r="AC9793">
        <v>17.7668999999999</v>
      </c>
      <c r="AD9793">
        <v>4.5211889999999997</v>
      </c>
      <c r="AE9793">
        <v>155.081672</v>
      </c>
      <c r="AF9793">
        <v>14.354081935203499</v>
      </c>
      <c r="AG9793">
        <v>4.5211889999999997</v>
      </c>
      <c r="AH9793">
        <v>155.30330693790401</v>
      </c>
      <c r="AI9793">
        <v>88.339549763111407</v>
      </c>
      <c r="AJ9793">
        <v>84.719376090895295</v>
      </c>
      <c r="AK9793">
        <v>156.03075967265201</v>
      </c>
      <c r="AL9793">
        <v>78.756344885131199</v>
      </c>
      <c r="AM9793">
        <v>91.944408146250595</v>
      </c>
      <c r="AN9793">
        <v>0.99999995124984198</v>
      </c>
    </row>
    <row r="9794" spans="1:40" x14ac:dyDescent="0.25">
      <c r="A9794" t="str">
        <f>"20190303162139202"</f>
        <v>20190303162139202</v>
      </c>
      <c r="B9794" t="str">
        <f>"1551601299192273"</f>
        <v>1551601299192273</v>
      </c>
      <c r="C9794" t="s">
        <v>40</v>
      </c>
      <c r="D9794">
        <v>4.3959349999999997</v>
      </c>
      <c r="E9794">
        <v>0.54818120000000004</v>
      </c>
      <c r="F9794" t="s">
        <v>94</v>
      </c>
      <c r="G9794">
        <v>-169.75599999999901</v>
      </c>
      <c r="H9794">
        <v>5.4359510000000002</v>
      </c>
      <c r="I9794">
        <v>163.84899999999999</v>
      </c>
      <c r="J9794">
        <v>-187.4384</v>
      </c>
      <c r="K9794">
        <v>1.1217600000000001</v>
      </c>
      <c r="L9794">
        <v>8.9855649999999994</v>
      </c>
      <c r="M9794">
        <v>2.1482459999999998E-2</v>
      </c>
      <c r="N9794">
        <v>-1.1294E-2</v>
      </c>
      <c r="O9794">
        <v>0.99970539999999997</v>
      </c>
      <c r="P9794">
        <v>-1.0952160000000001E-2</v>
      </c>
      <c r="Q9794">
        <v>0.1831023</v>
      </c>
      <c r="R9794">
        <v>0.98303289999999999</v>
      </c>
      <c r="S9794">
        <v>0.34664919999999999</v>
      </c>
      <c r="T9794">
        <v>8.4548470000000001E-2</v>
      </c>
      <c r="U9794">
        <v>3.0405579999999999</v>
      </c>
      <c r="V9794">
        <v>-3.222568E-2</v>
      </c>
      <c r="W9794">
        <v>0.1941618</v>
      </c>
      <c r="X9794">
        <v>0.98044010000000004</v>
      </c>
      <c r="Y9794">
        <v>9.1825589999999999E-2</v>
      </c>
      <c r="Z9794">
        <v>3.8912490000000001E-2</v>
      </c>
      <c r="AA9794">
        <v>0.99501450000000002</v>
      </c>
      <c r="AB9794">
        <v>30</v>
      </c>
      <c r="AC9794">
        <v>17.682400000000001</v>
      </c>
      <c r="AD9794">
        <v>4.3141910000000001</v>
      </c>
      <c r="AE9794">
        <v>154.86343500000001</v>
      </c>
      <c r="AF9794">
        <v>14.340273146669199</v>
      </c>
      <c r="AG9794">
        <v>4.3141910000000001</v>
      </c>
      <c r="AH9794">
        <v>155.08876677491301</v>
      </c>
      <c r="AI9794">
        <v>88.413346999936394</v>
      </c>
      <c r="AJ9794">
        <v>84.717170796774298</v>
      </c>
      <c r="AK9794">
        <v>155.81008073186101</v>
      </c>
      <c r="AL9794">
        <v>78.804238054840795</v>
      </c>
      <c r="AM9794">
        <v>91.882553531365204</v>
      </c>
      <c r="AN9794">
        <v>1.00000004435935</v>
      </c>
    </row>
    <row r="9795" spans="1:40" x14ac:dyDescent="0.25">
      <c r="A9795" t="str">
        <f>"20190303162139224"</f>
        <v>20190303162139224</v>
      </c>
      <c r="B9795" t="str">
        <f>"1551601299212769"</f>
        <v>1551601299212769</v>
      </c>
      <c r="C9795" t="s">
        <v>40</v>
      </c>
      <c r="D9795">
        <v>4.3880860000000004</v>
      </c>
      <c r="E9795">
        <v>0.54788890000000001</v>
      </c>
      <c r="F9795" t="s">
        <v>94</v>
      </c>
      <c r="G9795">
        <v>-169.76609999999999</v>
      </c>
      <c r="H9795">
        <v>5.2162509999999997</v>
      </c>
      <c r="I9795">
        <v>163.85749999999999</v>
      </c>
      <c r="J9795">
        <v>-187.43260000000001</v>
      </c>
      <c r="K9795">
        <v>1.1217490000000001</v>
      </c>
      <c r="L9795">
        <v>9.2765199999999997</v>
      </c>
      <c r="M9795">
        <v>2.1055939999999999E-2</v>
      </c>
      <c r="N9795">
        <v>-1.129498E-2</v>
      </c>
      <c r="O9795">
        <v>0.99971449999999995</v>
      </c>
      <c r="P9795">
        <v>-1.1351770000000001E-2</v>
      </c>
      <c r="Q9795">
        <v>0.1822541</v>
      </c>
      <c r="R9795">
        <v>0.98318589999999995</v>
      </c>
      <c r="S9795">
        <v>0.34696959999999999</v>
      </c>
      <c r="T9795">
        <v>8.0389260000000004E-2</v>
      </c>
      <c r="U9795">
        <v>3.04068</v>
      </c>
      <c r="V9795">
        <v>-3.22092E-2</v>
      </c>
      <c r="W9795">
        <v>0.1933165</v>
      </c>
      <c r="X9795">
        <v>0.98060760000000002</v>
      </c>
      <c r="Y9795">
        <v>9.2354660000000005E-2</v>
      </c>
      <c r="Z9795">
        <v>3.7554089999999998E-2</v>
      </c>
      <c r="AA9795">
        <v>0.99501779999999995</v>
      </c>
      <c r="AB9795">
        <v>30</v>
      </c>
      <c r="AC9795">
        <v>17.666499999999999</v>
      </c>
      <c r="AD9795">
        <v>4.0945019999999896</v>
      </c>
      <c r="AE9795">
        <v>154.58097999999899</v>
      </c>
      <c r="AF9795">
        <v>14.3975562575953</v>
      </c>
      <c r="AG9795">
        <v>4.0945019999999896</v>
      </c>
      <c r="AH9795">
        <v>154.81149789461099</v>
      </c>
      <c r="AI9795">
        <v>88.491483421981997</v>
      </c>
      <c r="AJ9795">
        <v>84.686743456060498</v>
      </c>
      <c r="AK9795">
        <v>155.533451235391</v>
      </c>
      <c r="AL9795">
        <v>78.853604851036806</v>
      </c>
      <c r="AM9795">
        <v>91.8812703298114</v>
      </c>
      <c r="AN9795">
        <v>0.99999998345732399</v>
      </c>
    </row>
    <row r="9796" spans="1:40" x14ac:dyDescent="0.25">
      <c r="A9796" t="str">
        <f>"20190303162139246"</f>
        <v>20190303162139246</v>
      </c>
      <c r="B9796" t="str">
        <f>"1551601299242049"</f>
        <v>1551601299242049</v>
      </c>
      <c r="C9796" t="s">
        <v>40</v>
      </c>
      <c r="D9796">
        <v>4.5153410000000003</v>
      </c>
      <c r="E9796">
        <v>0.54129139999999998</v>
      </c>
      <c r="F9796" t="s">
        <v>94</v>
      </c>
      <c r="G9796">
        <v>-169.6799</v>
      </c>
      <c r="H9796">
        <v>5.0076150000000004</v>
      </c>
      <c r="I9796">
        <v>166.56129999999999</v>
      </c>
      <c r="J9796">
        <v>-187.42689999999999</v>
      </c>
      <c r="K9796">
        <v>1.121742</v>
      </c>
      <c r="L9796">
        <v>9.5705259999999992</v>
      </c>
      <c r="M9796">
        <v>2.0624480000000001E-2</v>
      </c>
      <c r="N9796">
        <v>-1.129614E-2</v>
      </c>
      <c r="O9796">
        <v>0.99972349999999999</v>
      </c>
      <c r="P9796">
        <v>-1.2435E-2</v>
      </c>
      <c r="Q9796">
        <v>0.1810582</v>
      </c>
      <c r="R9796">
        <v>0.98339379999999998</v>
      </c>
      <c r="S9796">
        <v>0.343277</v>
      </c>
      <c r="T9796">
        <v>7.5139399999999995E-2</v>
      </c>
      <c r="U9796">
        <v>3.0413510000000001</v>
      </c>
      <c r="V9796">
        <v>-3.2871200000000003E-2</v>
      </c>
      <c r="W9796">
        <v>0.1921234</v>
      </c>
      <c r="X9796">
        <v>0.98082009999999997</v>
      </c>
      <c r="Y9796">
        <v>9.1572990000000007E-2</v>
      </c>
      <c r="Z9796">
        <v>3.5838740000000001E-2</v>
      </c>
      <c r="AA9796">
        <v>0.99515319999999996</v>
      </c>
      <c r="AB9796">
        <v>30</v>
      </c>
      <c r="AC9796">
        <v>17.7469999999999</v>
      </c>
      <c r="AD9796">
        <v>3.8858730000000001</v>
      </c>
      <c r="AE9796">
        <v>156.99077399999999</v>
      </c>
      <c r="AF9796">
        <v>14.496395516310599</v>
      </c>
      <c r="AG9796">
        <v>3.8858730000000001</v>
      </c>
      <c r="AH9796">
        <v>157.22830855491699</v>
      </c>
      <c r="AI9796">
        <v>88.590209054472993</v>
      </c>
      <c r="AJ9796">
        <v>84.732241991119295</v>
      </c>
      <c r="AK9796">
        <v>157.942984975521</v>
      </c>
      <c r="AL9796">
        <v>78.923270518475903</v>
      </c>
      <c r="AM9796">
        <v>91.919492037435603</v>
      </c>
      <c r="AN9796">
        <v>0.99999999259050498</v>
      </c>
    </row>
    <row r="9797" spans="1:40" x14ac:dyDescent="0.25">
      <c r="A9797" t="str">
        <f>"20190303162139270"</f>
        <v>20190303162139270</v>
      </c>
      <c r="B9797" t="str">
        <f>"1551601299262545"</f>
        <v>1551601299262545</v>
      </c>
      <c r="C9797" t="s">
        <v>40</v>
      </c>
      <c r="D9797">
        <v>4.4343070000000004</v>
      </c>
      <c r="E9797">
        <v>0.54401049999999995</v>
      </c>
      <c r="F9797" t="s">
        <v>66</v>
      </c>
      <c r="G9797">
        <v>-168.81280000000001</v>
      </c>
      <c r="H9797">
        <v>1.266678</v>
      </c>
      <c r="I9797">
        <v>208.215</v>
      </c>
      <c r="J9797">
        <v>-187.42089999999999</v>
      </c>
      <c r="K9797">
        <v>1.121732</v>
      </c>
      <c r="L9797">
        <v>9.8822329999999994</v>
      </c>
      <c r="M9797">
        <v>2.0167129999999998E-2</v>
      </c>
      <c r="N9797">
        <v>-1.1297690000000001E-2</v>
      </c>
      <c r="O9797">
        <v>0.99973279999999998</v>
      </c>
      <c r="P9797">
        <v>-1.3492820000000001E-2</v>
      </c>
      <c r="Q9797">
        <v>0.1799202</v>
      </c>
      <c r="R9797">
        <v>0.98358869999999998</v>
      </c>
      <c r="S9797">
        <v>0.28616329999999901</v>
      </c>
      <c r="T9797">
        <v>2.2287370000000002E-3</v>
      </c>
      <c r="U9797">
        <v>3.0538639999999999</v>
      </c>
      <c r="V9797">
        <v>-3.3482060000000001E-2</v>
      </c>
      <c r="W9797">
        <v>0.19098889999999999</v>
      </c>
      <c r="X9797">
        <v>0.98102100000000003</v>
      </c>
      <c r="Y9797">
        <v>7.3186109999999999E-2</v>
      </c>
      <c r="Z9797">
        <v>1.201401E-2</v>
      </c>
      <c r="AA9797">
        <v>0.99724590000000002</v>
      </c>
      <c r="AB9797">
        <v>30</v>
      </c>
      <c r="AC9797">
        <v>18.608099999999901</v>
      </c>
      <c r="AD9797">
        <v>0.14494599999999999</v>
      </c>
      <c r="AE9797">
        <v>198.33276699999999</v>
      </c>
      <c r="AF9797">
        <v>14.6042493825601</v>
      </c>
      <c r="AG9797">
        <v>0.14494599999999999</v>
      </c>
      <c r="AH9797">
        <v>198.667616215642</v>
      </c>
      <c r="AI9797">
        <v>89.958310044160299</v>
      </c>
      <c r="AJ9797">
        <v>85.795693893569705</v>
      </c>
      <c r="AK9797">
        <v>199.20373199861601</v>
      </c>
      <c r="AL9797">
        <v>78.989499169438403</v>
      </c>
      <c r="AM9797">
        <v>91.954735297408504</v>
      </c>
      <c r="AN9797">
        <v>1.00000000535302</v>
      </c>
    </row>
    <row r="9798" spans="1:40" x14ac:dyDescent="0.25">
      <c r="A9798" t="str">
        <f>"20190303162139292"</f>
        <v>20190303162139292</v>
      </c>
      <c r="B9798" t="str">
        <f>"1551601299282064"</f>
        <v>1551601299282064</v>
      </c>
      <c r="C9798" t="s">
        <v>40</v>
      </c>
      <c r="D9798">
        <v>4.4098439999999997</v>
      </c>
      <c r="E9798">
        <v>0.54316790000000004</v>
      </c>
      <c r="F9798" t="s">
        <v>42</v>
      </c>
      <c r="G9798">
        <v>-187.32929999999999</v>
      </c>
      <c r="H9798">
        <v>1.0532840000000001</v>
      </c>
      <c r="I9798">
        <v>10.820819999999999</v>
      </c>
      <c r="J9798">
        <v>-187.4153</v>
      </c>
      <c r="K9798">
        <v>1.121732</v>
      </c>
      <c r="L9798">
        <v>10.1861</v>
      </c>
      <c r="M9798">
        <v>1.972117E-2</v>
      </c>
      <c r="N9798">
        <v>-1.129935E-2</v>
      </c>
      <c r="O9798">
        <v>0.99974169999999996</v>
      </c>
      <c r="P9798">
        <v>-1.475959E-2</v>
      </c>
      <c r="Q9798">
        <v>0.17942749999999999</v>
      </c>
      <c r="R9798">
        <v>0.98366050000000005</v>
      </c>
      <c r="S9798">
        <v>0.30216979999999999</v>
      </c>
      <c r="T9798">
        <v>-0.2257432</v>
      </c>
      <c r="U9798">
        <v>3.0954899999999999</v>
      </c>
      <c r="V9798">
        <v>-3.4311040000000001E-2</v>
      </c>
      <c r="W9798">
        <v>0.19049740000000001</v>
      </c>
      <c r="X9798">
        <v>0.98108790000000001</v>
      </c>
      <c r="Y9798">
        <v>7.7287850000000005E-2</v>
      </c>
      <c r="Z9798">
        <v>-6.1168859999999999E-2</v>
      </c>
      <c r="AA9798">
        <v>0.99513059999999998</v>
      </c>
      <c r="AB9798">
        <v>30</v>
      </c>
      <c r="AC9798">
        <v>8.6000000000012705E-2</v>
      </c>
      <c r="AD9798">
        <v>-6.8447999999999801E-2</v>
      </c>
      <c r="AE9798">
        <v>0.63471999999999895</v>
      </c>
      <c r="AF9798">
        <v>7.2635572724040698E-2</v>
      </c>
      <c r="AG9798">
        <v>-6.8447999999999801E-2</v>
      </c>
      <c r="AH9798">
        <v>0.62910841195915801</v>
      </c>
      <c r="AI9798">
        <v>96.168785737641997</v>
      </c>
      <c r="AJ9798">
        <v>83.413908358161905</v>
      </c>
      <c r="AK9798">
        <v>0.63697601927130898</v>
      </c>
      <c r="AL9798">
        <v>79.018186547947195</v>
      </c>
      <c r="AM9798">
        <v>92.002957024036704</v>
      </c>
      <c r="AN9798">
        <v>0.99999998719952499</v>
      </c>
    </row>
    <row r="9799" spans="1:40" x14ac:dyDescent="0.25">
      <c r="A9799" t="str">
        <f>"20190303162139316"</f>
        <v>20190303162139316</v>
      </c>
      <c r="B9799" t="str">
        <f>"1551601299312320"</f>
        <v>1551601299312320</v>
      </c>
      <c r="C9799" t="s">
        <v>40</v>
      </c>
      <c r="D9799">
        <v>4.3932200000000003</v>
      </c>
      <c r="E9799">
        <v>0.54386269999999903</v>
      </c>
      <c r="F9799" t="s">
        <v>42</v>
      </c>
      <c r="G9799">
        <v>-187.3339</v>
      </c>
      <c r="H9799">
        <v>1.0122139999999999</v>
      </c>
      <c r="I9799">
        <v>11.063560000000001</v>
      </c>
      <c r="J9799">
        <v>-187.40979999999999</v>
      </c>
      <c r="K9799">
        <v>1.1217360000000001</v>
      </c>
      <c r="L9799">
        <v>10.49216</v>
      </c>
      <c r="M9799">
        <v>1.9272060000000001E-2</v>
      </c>
      <c r="N9799">
        <v>-1.1301210000000001E-2</v>
      </c>
      <c r="O9799">
        <v>0.99975040000000004</v>
      </c>
      <c r="P9799">
        <v>-1.565215E-2</v>
      </c>
      <c r="Q9799">
        <v>0.17957809999999999</v>
      </c>
      <c r="R9799">
        <v>0.98361920000000003</v>
      </c>
      <c r="S9799">
        <v>0.28941349999999999</v>
      </c>
      <c r="T9799">
        <v>-0.39009240000000001</v>
      </c>
      <c r="U9799">
        <v>3.1253359999999999</v>
      </c>
      <c r="V9799">
        <v>-3.4761439999999998E-2</v>
      </c>
      <c r="W9799">
        <v>0.19064909999999999</v>
      </c>
      <c r="X9799">
        <v>0.98104259999999999</v>
      </c>
      <c r="Y9799">
        <v>7.236194E-2</v>
      </c>
      <c r="Z9799">
        <v>-0.11218640000000001</v>
      </c>
      <c r="AA9799">
        <v>0.99104890000000001</v>
      </c>
      <c r="AB9799">
        <v>30</v>
      </c>
      <c r="AC9799">
        <v>7.5899999999990003E-2</v>
      </c>
      <c r="AD9799">
        <v>-0.10952199999999999</v>
      </c>
      <c r="AE9799">
        <v>0.57140000000000002</v>
      </c>
      <c r="AF9799">
        <v>6.2612724730157304E-2</v>
      </c>
      <c r="AG9799">
        <v>-0.10952199999999999</v>
      </c>
      <c r="AH9799">
        <v>0.55279975895932598</v>
      </c>
      <c r="AI9799">
        <v>101.137039246009</v>
      </c>
      <c r="AJ9799">
        <v>83.537947814714798</v>
      </c>
      <c r="AK9799">
        <v>0.56701234138916501</v>
      </c>
      <c r="AL9799">
        <v>79.009332763949303</v>
      </c>
      <c r="AM9799">
        <v>92.0293215641952</v>
      </c>
      <c r="AN9799">
        <v>1.00000001002822</v>
      </c>
    </row>
    <row r="9800" spans="1:40" x14ac:dyDescent="0.25">
      <c r="A9800" t="str">
        <f>"20190303162139336"</f>
        <v>20190303162139336</v>
      </c>
      <c r="B9800" t="str">
        <f>"1551601299331842"</f>
        <v>1551601299331842</v>
      </c>
      <c r="C9800" t="s">
        <v>40</v>
      </c>
      <c r="D9800">
        <v>4.3788390000000001</v>
      </c>
      <c r="E9800">
        <v>0.54516730000000002</v>
      </c>
      <c r="F9800" t="s">
        <v>42</v>
      </c>
      <c r="G9800">
        <v>-187.33279999999999</v>
      </c>
      <c r="H9800">
        <v>0.99929330000000005</v>
      </c>
      <c r="I9800">
        <v>11.323230000000001</v>
      </c>
      <c r="J9800">
        <v>-187.4049</v>
      </c>
      <c r="K9800">
        <v>1.1217330000000001</v>
      </c>
      <c r="L9800">
        <v>10.767910000000001</v>
      </c>
      <c r="M9800">
        <v>1.8867330000000002E-2</v>
      </c>
      <c r="N9800">
        <v>-1.130304E-2</v>
      </c>
      <c r="O9800">
        <v>0.99975809999999998</v>
      </c>
      <c r="P9800">
        <v>-1.596129E-2</v>
      </c>
      <c r="Q9800">
        <v>0.17990390000000001</v>
      </c>
      <c r="R9800">
        <v>0.9835547</v>
      </c>
      <c r="S9800">
        <v>0.29028320000000002</v>
      </c>
      <c r="T9800">
        <v>-0.46247290000000002</v>
      </c>
      <c r="U9800">
        <v>3.139008</v>
      </c>
      <c r="V9800">
        <v>-3.4672189999999999E-2</v>
      </c>
      <c r="W9800">
        <v>0.1909758</v>
      </c>
      <c r="X9800">
        <v>0.98098220000000003</v>
      </c>
      <c r="Y9800">
        <v>7.238261E-2</v>
      </c>
      <c r="Z9800">
        <v>-0.13404269999999999</v>
      </c>
      <c r="AA9800">
        <v>0.9883286</v>
      </c>
      <c r="AB9800">
        <v>30</v>
      </c>
      <c r="AC9800">
        <v>7.2100000000006007E-2</v>
      </c>
      <c r="AD9800">
        <v>-0.1224397</v>
      </c>
      <c r="AE9800">
        <v>0.55532000000000004</v>
      </c>
      <c r="AF9800">
        <v>5.8798087289250602E-2</v>
      </c>
      <c r="AG9800">
        <v>-0.1224397</v>
      </c>
      <c r="AH9800">
        <v>0.53118673812023498</v>
      </c>
      <c r="AI9800">
        <v>102.903936610212</v>
      </c>
      <c r="AJ9800">
        <v>83.683533539684205</v>
      </c>
      <c r="AK9800">
        <v>0.54827734401466899</v>
      </c>
      <c r="AL9800">
        <v>78.990263723686496</v>
      </c>
      <c r="AM9800">
        <v>92.024240143501302</v>
      </c>
      <c r="AN9800">
        <v>0.99999999683093799</v>
      </c>
    </row>
    <row r="9801" spans="1:40" x14ac:dyDescent="0.25">
      <c r="A9801" t="str">
        <f>"20190303162139358"</f>
        <v>20190303162139358</v>
      </c>
      <c r="B9801" t="str">
        <f>"1551601299352336"</f>
        <v>1551601299352336</v>
      </c>
      <c r="C9801" t="s">
        <v>40</v>
      </c>
      <c r="D9801">
        <v>4.4072529999999999</v>
      </c>
      <c r="E9801">
        <v>0.54610780000000003</v>
      </c>
      <c r="F9801" t="s">
        <v>42</v>
      </c>
      <c r="G9801">
        <v>-187.32660000000001</v>
      </c>
      <c r="H9801">
        <v>0.99894989999999995</v>
      </c>
      <c r="I9801">
        <v>11.58906</v>
      </c>
      <c r="J9801">
        <v>-187.3998</v>
      </c>
      <c r="K9801">
        <v>1.1217349999999999</v>
      </c>
      <c r="L9801">
        <v>11.05847</v>
      </c>
      <c r="M9801">
        <v>1.8440959999999999E-2</v>
      </c>
      <c r="N9801">
        <v>-1.130518E-2</v>
      </c>
      <c r="O9801">
        <v>0.99976609999999999</v>
      </c>
      <c r="P9801">
        <v>-1.6172490000000001E-2</v>
      </c>
      <c r="Q9801">
        <v>0.18020140000000001</v>
      </c>
      <c r="R9801">
        <v>0.98349679999999995</v>
      </c>
      <c r="S9801">
        <v>0.29890440000000001</v>
      </c>
      <c r="T9801">
        <v>-0.46966279999999999</v>
      </c>
      <c r="U9801">
        <v>3.14093</v>
      </c>
      <c r="V9801">
        <v>-3.4462909999999999E-2</v>
      </c>
      <c r="W9801">
        <v>0.19127530000000001</v>
      </c>
      <c r="X9801">
        <v>0.9809312</v>
      </c>
      <c r="Y9801">
        <v>7.5410599999999994E-2</v>
      </c>
      <c r="Z9801">
        <v>-0.1361318</v>
      </c>
      <c r="AA9801">
        <v>0.98781649999999999</v>
      </c>
      <c r="AB9801">
        <v>30</v>
      </c>
      <c r="AC9801">
        <v>7.3199999999985693E-2</v>
      </c>
      <c r="AD9801">
        <v>-0.122785099999999</v>
      </c>
      <c r="AE9801">
        <v>0.53059000000000001</v>
      </c>
      <c r="AF9801">
        <v>6.0236803448609301E-2</v>
      </c>
      <c r="AG9801">
        <v>-0.122785099999999</v>
      </c>
      <c r="AH9801">
        <v>0.50529568590835106</v>
      </c>
      <c r="AI9801">
        <v>103.565494829274</v>
      </c>
      <c r="AJ9801">
        <v>83.201795440562194</v>
      </c>
      <c r="AK9801">
        <v>0.52347720434543099</v>
      </c>
      <c r="AL9801">
        <v>78.972781126371601</v>
      </c>
      <c r="AM9801">
        <v>92.012136503345303</v>
      </c>
      <c r="AN9801">
        <v>0.99999997584459799</v>
      </c>
    </row>
    <row r="9802" spans="1:40" x14ac:dyDescent="0.25">
      <c r="A9802" t="str">
        <f>"20190303162139381"</f>
        <v>20190303162139381</v>
      </c>
      <c r="B9802" t="str">
        <f>"1551601299372266"</f>
        <v>1551601299372266</v>
      </c>
      <c r="C9802" t="s">
        <v>40</v>
      </c>
      <c r="D9802">
        <v>4.4127850000000004</v>
      </c>
      <c r="E9802">
        <v>0.54678119999999997</v>
      </c>
      <c r="F9802" t="s">
        <v>42</v>
      </c>
      <c r="G9802">
        <v>-187.32220000000001</v>
      </c>
      <c r="H9802">
        <v>1.001946</v>
      </c>
      <c r="I9802">
        <v>11.85669</v>
      </c>
      <c r="J9802">
        <v>-187.3947</v>
      </c>
      <c r="K9802">
        <v>1.12174</v>
      </c>
      <c r="L9802">
        <v>11.36148</v>
      </c>
      <c r="M9802">
        <v>1.7996410000000001E-2</v>
      </c>
      <c r="N9802">
        <v>-1.1307599999999999E-2</v>
      </c>
      <c r="O9802">
        <v>0.9997741</v>
      </c>
      <c r="P9802">
        <v>-1.6762079999999999E-2</v>
      </c>
      <c r="Q9802">
        <v>0.1807945</v>
      </c>
      <c r="R9802">
        <v>0.98337810000000003</v>
      </c>
      <c r="S9802">
        <v>0.30551149999999999</v>
      </c>
      <c r="T9802">
        <v>-0.47149010000000002</v>
      </c>
      <c r="U9802">
        <v>3.1417540000000002</v>
      </c>
      <c r="V9802">
        <v>-3.4613640000000001E-2</v>
      </c>
      <c r="W9802">
        <v>0.19186929999999999</v>
      </c>
      <c r="X9802">
        <v>0.98080990000000001</v>
      </c>
      <c r="Y9802">
        <v>7.7878530000000001E-2</v>
      </c>
      <c r="Z9802">
        <v>-0.13662629999999901</v>
      </c>
      <c r="AA9802">
        <v>0.98755669999999995</v>
      </c>
      <c r="AB9802">
        <v>30</v>
      </c>
      <c r="AC9802">
        <v>7.2499999999990905E-2</v>
      </c>
      <c r="AD9802">
        <v>-0.119793999999999</v>
      </c>
      <c r="AE9802">
        <v>0.49520999999999799</v>
      </c>
      <c r="AF9802">
        <v>6.0130774707319701E-2</v>
      </c>
      <c r="AG9802">
        <v>-0.119793999999999</v>
      </c>
      <c r="AH9802">
        <v>0.46953482107466699</v>
      </c>
      <c r="AI9802">
        <v>104.20149116806</v>
      </c>
      <c r="AJ9802">
        <v>82.7021637999961</v>
      </c>
      <c r="AK9802">
        <v>0.48829218783892298</v>
      </c>
      <c r="AL9802">
        <v>78.938105408954897</v>
      </c>
      <c r="AM9802">
        <v>92.021179406013999</v>
      </c>
      <c r="AN9802">
        <v>0.99999999614727397</v>
      </c>
    </row>
    <row r="9803" spans="1:40" x14ac:dyDescent="0.25">
      <c r="A9803" t="str">
        <f>"20190303162139402"</f>
        <v>20190303162139402</v>
      </c>
      <c r="B9803" t="str">
        <f>"1551601299391786"</f>
        <v>1551601299391786</v>
      </c>
      <c r="C9803" t="s">
        <v>40</v>
      </c>
      <c r="D9803">
        <v>4.5114280000000004</v>
      </c>
      <c r="E9803">
        <v>0.5468248</v>
      </c>
      <c r="F9803" t="s">
        <v>42</v>
      </c>
      <c r="G9803">
        <v>-187.31950000000001</v>
      </c>
      <c r="H9803">
        <v>1.0075069999999999</v>
      </c>
      <c r="I9803">
        <v>12.125730000000001</v>
      </c>
      <c r="J9803">
        <v>-187.39009999999999</v>
      </c>
      <c r="K9803">
        <v>1.121737</v>
      </c>
      <c r="L9803">
        <v>11.64606</v>
      </c>
      <c r="M9803">
        <v>1.7578940000000001E-2</v>
      </c>
      <c r="N9803">
        <v>-1.1309919999999999E-2</v>
      </c>
      <c r="O9803">
        <v>0.99978149999999999</v>
      </c>
      <c r="P9803">
        <v>-1.7159259999999999E-2</v>
      </c>
      <c r="Q9803">
        <v>0.1813594</v>
      </c>
      <c r="R9803">
        <v>0.98326720000000001</v>
      </c>
      <c r="S9803">
        <v>0.30870059999999999</v>
      </c>
      <c r="T9803">
        <v>-0.4696999</v>
      </c>
      <c r="U9803">
        <v>3.142334</v>
      </c>
      <c r="V9803">
        <v>-3.4599449999999997E-2</v>
      </c>
      <c r="W9803">
        <v>0.19243550000000001</v>
      </c>
      <c r="X9803">
        <v>0.98069949999999995</v>
      </c>
      <c r="Y9803">
        <v>7.9276910000000006E-2</v>
      </c>
      <c r="Z9803">
        <v>-0.13603380000000001</v>
      </c>
      <c r="AA9803">
        <v>0.98752720000000005</v>
      </c>
      <c r="AB9803">
        <v>30</v>
      </c>
      <c r="AC9803">
        <v>7.0599999999984606E-2</v>
      </c>
      <c r="AD9803">
        <v>-0.11423</v>
      </c>
      <c r="AE9803">
        <v>0.47966999999999999</v>
      </c>
      <c r="AF9803">
        <v>5.8887635570351801E-2</v>
      </c>
      <c r="AG9803">
        <v>-0.11423</v>
      </c>
      <c r="AH9803">
        <v>0.45554968073208602</v>
      </c>
      <c r="AI9803">
        <v>103.965194961507</v>
      </c>
      <c r="AJ9803">
        <v>82.634379822922597</v>
      </c>
      <c r="AK9803">
        <v>0.47333049567735602</v>
      </c>
      <c r="AL9803">
        <v>78.905048866663705</v>
      </c>
      <c r="AM9803">
        <v>92.020578750183901</v>
      </c>
      <c r="AN9803">
        <v>1.0000000264504001</v>
      </c>
    </row>
    <row r="9804" spans="1:40" x14ac:dyDescent="0.25">
      <c r="A9804" t="str">
        <f>"20190303162139424"</f>
        <v>20190303162139424</v>
      </c>
      <c r="B9804" t="str">
        <f>"1551601299412282"</f>
        <v>1551601299412282</v>
      </c>
      <c r="C9804" t="s">
        <v>40</v>
      </c>
      <c r="D9804">
        <v>4.478599</v>
      </c>
      <c r="E9804">
        <v>0.54400899999999996</v>
      </c>
      <c r="F9804" t="s">
        <v>42</v>
      </c>
      <c r="G9804">
        <v>-187.31700000000001</v>
      </c>
      <c r="H9804">
        <v>1.009879</v>
      </c>
      <c r="I9804">
        <v>12.39331</v>
      </c>
      <c r="J9804">
        <v>-187.3853</v>
      </c>
      <c r="K9804">
        <v>1.121734</v>
      </c>
      <c r="L9804">
        <v>11.943569999999999</v>
      </c>
      <c r="M9804">
        <v>1.714481E-2</v>
      </c>
      <c r="N9804">
        <v>-1.131241E-2</v>
      </c>
      <c r="O9804">
        <v>0.99978900000000004</v>
      </c>
      <c r="P9804">
        <v>-1.8030060000000001E-2</v>
      </c>
      <c r="Q9804">
        <v>0.18107019999999999</v>
      </c>
      <c r="R9804">
        <v>0.98330490000000004</v>
      </c>
      <c r="S9804">
        <v>0.30715940000000003</v>
      </c>
      <c r="T9804">
        <v>-0.47051100000000001</v>
      </c>
      <c r="U9804">
        <v>3.1431879999999999</v>
      </c>
      <c r="V9804">
        <v>-3.5043360000000003E-2</v>
      </c>
      <c r="W9804">
        <v>0.19214909999999999</v>
      </c>
      <c r="X9804">
        <v>0.9807399</v>
      </c>
      <c r="Y9804">
        <v>7.9201140000000003E-2</v>
      </c>
      <c r="Z9804">
        <v>-0.1362467</v>
      </c>
      <c r="AA9804">
        <v>0.98750389999999999</v>
      </c>
      <c r="AB9804">
        <v>30</v>
      </c>
      <c r="AC9804">
        <v>6.8299999999993505E-2</v>
      </c>
      <c r="AD9804">
        <v>-0.111854999999999</v>
      </c>
      <c r="AE9804">
        <v>0.44974000000000203</v>
      </c>
      <c r="AF9804">
        <v>5.7124853939193698E-2</v>
      </c>
      <c r="AG9804">
        <v>-0.111854999999999</v>
      </c>
      <c r="AH9804">
        <v>0.42513997246763502</v>
      </c>
      <c r="AI9804">
        <v>104.614898536179</v>
      </c>
      <c r="AJ9804">
        <v>82.347164852811304</v>
      </c>
      <c r="AK9804">
        <v>0.44330439446542302</v>
      </c>
      <c r="AL9804">
        <v>78.921770509426906</v>
      </c>
      <c r="AM9804">
        <v>92.046396587131198</v>
      </c>
      <c r="AN9804">
        <v>1.00000003258145</v>
      </c>
    </row>
    <row r="9805" spans="1:40" x14ac:dyDescent="0.25">
      <c r="A9805" t="str">
        <f>"20190303162139447"</f>
        <v>20190303162139447</v>
      </c>
      <c r="B9805" t="str">
        <f>"1551601299443514"</f>
        <v>1551601299443514</v>
      </c>
      <c r="C9805" t="s">
        <v>40</v>
      </c>
      <c r="D9805">
        <v>4.4991789999999998</v>
      </c>
      <c r="E9805">
        <v>0.48404209999999898</v>
      </c>
      <c r="F9805" t="s">
        <v>42</v>
      </c>
      <c r="G9805">
        <v>-187.32040000000001</v>
      </c>
      <c r="H9805">
        <v>1.0188390000000001</v>
      </c>
      <c r="I9805">
        <v>12.66438</v>
      </c>
      <c r="J9805">
        <v>-187.38069999999999</v>
      </c>
      <c r="K9805">
        <v>1.1217239999999999</v>
      </c>
      <c r="L9805">
        <v>12.2402</v>
      </c>
      <c r="M9805">
        <v>1.6724929999999999E-2</v>
      </c>
      <c r="N9805">
        <v>-1.131504E-2</v>
      </c>
      <c r="O9805">
        <v>0.99979609999999997</v>
      </c>
      <c r="P9805">
        <v>-1.911411E-2</v>
      </c>
      <c r="Q9805">
        <v>0.18060200000000001</v>
      </c>
      <c r="R9805">
        <v>0.98337050000000004</v>
      </c>
      <c r="S9805">
        <v>0.28222659999999899</v>
      </c>
      <c r="T9805">
        <v>-0.44803929999999997</v>
      </c>
      <c r="U9805">
        <v>3.138611</v>
      </c>
      <c r="V9805">
        <v>-3.5712599999999997E-2</v>
      </c>
      <c r="W9805">
        <v>0.19168389999999999</v>
      </c>
      <c r="X9805">
        <v>0.98080679999999998</v>
      </c>
      <c r="Y9805">
        <v>7.2069839999999996E-2</v>
      </c>
      <c r="Z9805">
        <v>-0.129624499999999</v>
      </c>
      <c r="AA9805">
        <v>0.9889405</v>
      </c>
      <c r="AB9805">
        <v>30</v>
      </c>
      <c r="AC9805">
        <v>6.0299999999983797E-2</v>
      </c>
      <c r="AD9805">
        <v>-0.10288499999999901</v>
      </c>
      <c r="AE9805">
        <v>0.424179999999999</v>
      </c>
      <c r="AF9805">
        <v>5.0296372564082599E-2</v>
      </c>
      <c r="AG9805">
        <v>-0.10288499999999901</v>
      </c>
      <c r="AH9805">
        <v>0.40195062290746802</v>
      </c>
      <c r="AI9805">
        <v>104.250858648061</v>
      </c>
      <c r="AJ9805">
        <v>82.867609050978103</v>
      </c>
      <c r="AK9805">
        <v>0.417946589379321</v>
      </c>
      <c r="AL9805">
        <v>78.948929472147299</v>
      </c>
      <c r="AM9805">
        <v>92.085301307629194</v>
      </c>
      <c r="AN9805">
        <v>1.0000000431220999</v>
      </c>
    </row>
    <row r="9806" spans="1:40" x14ac:dyDescent="0.25">
      <c r="A9806" t="str">
        <f>"20190303162139469"</f>
        <v>20190303162139469</v>
      </c>
      <c r="B9806" t="str">
        <f>"1551601299462058"</f>
        <v>1551601299462058</v>
      </c>
      <c r="C9806" t="s">
        <v>40</v>
      </c>
      <c r="D9806">
        <v>4.5063760000000004</v>
      </c>
      <c r="E9806">
        <v>0.47912880000000002</v>
      </c>
      <c r="F9806" t="s">
        <v>41</v>
      </c>
      <c r="G9806">
        <v>-190.2741</v>
      </c>
      <c r="H9806" s="1">
        <v>-3.689638E-6</v>
      </c>
      <c r="I9806">
        <v>58.019730000000003</v>
      </c>
      <c r="J9806">
        <v>-187.376</v>
      </c>
      <c r="K9806">
        <v>1.1217140000000001</v>
      </c>
      <c r="L9806">
        <v>12.5495</v>
      </c>
      <c r="M9806">
        <v>1.6311269999999999E-2</v>
      </c>
      <c r="N9806">
        <v>-1.1317819999999999E-2</v>
      </c>
      <c r="O9806">
        <v>0.99980290000000005</v>
      </c>
      <c r="P9806">
        <v>-2.051E-2</v>
      </c>
      <c r="Q9806">
        <v>0.18129870000000001</v>
      </c>
      <c r="R9806">
        <v>0.98321420000000004</v>
      </c>
      <c r="S9806">
        <v>-0.19345090000000001</v>
      </c>
      <c r="T9806">
        <v>-7.4997309999999998E-2</v>
      </c>
      <c r="U9806">
        <v>3.0607600000000001</v>
      </c>
      <c r="V9806">
        <v>-3.6692889999999999E-2</v>
      </c>
      <c r="W9806">
        <v>0.19238169999999999</v>
      </c>
      <c r="X9806">
        <v>0.98063400000000001</v>
      </c>
      <c r="Y9806">
        <v>-7.9327659999999994E-2</v>
      </c>
      <c r="Z9806">
        <v>-1.3105810000000001E-2</v>
      </c>
      <c r="AA9806">
        <v>0.9967625</v>
      </c>
      <c r="AB9806">
        <v>30</v>
      </c>
      <c r="AC9806">
        <v>-2.8981000000000199</v>
      </c>
      <c r="AD9806">
        <v>-1.1217176896379999</v>
      </c>
      <c r="AE9806">
        <v>45.470230000000001</v>
      </c>
      <c r="AF9806">
        <v>-3.6372345352165301</v>
      </c>
      <c r="AG9806">
        <v>-1.1217176896379999</v>
      </c>
      <c r="AH9806">
        <v>45.3893942426999</v>
      </c>
      <c r="AI9806">
        <v>91.411152803997197</v>
      </c>
      <c r="AJ9806">
        <v>94.581551013363296</v>
      </c>
      <c r="AK9806">
        <v>45.548708382989901</v>
      </c>
      <c r="AL9806">
        <v>78.9081904985796</v>
      </c>
      <c r="AM9806">
        <v>92.142866159458094</v>
      </c>
      <c r="AN9806">
        <v>1.0000000643137099</v>
      </c>
    </row>
    <row r="9807" spans="1:40" x14ac:dyDescent="0.25">
      <c r="A9807" t="str">
        <f>"20190303162139493"</f>
        <v>20190303162139493</v>
      </c>
      <c r="B9807" t="str">
        <f>"1551601299482553"</f>
        <v>1551601299482553</v>
      </c>
      <c r="C9807" t="s">
        <v>40</v>
      </c>
      <c r="D9807">
        <v>4.4861550000000001</v>
      </c>
      <c r="E9807">
        <v>0.47810789999999997</v>
      </c>
      <c r="F9807" t="s">
        <v>41</v>
      </c>
      <c r="G9807">
        <v>-191.19239999999999</v>
      </c>
      <c r="H9807" s="1">
        <v>-1.331582E-6</v>
      </c>
      <c r="I9807">
        <v>61.953479999999999</v>
      </c>
      <c r="J9807">
        <v>-187.3716</v>
      </c>
      <c r="K9807">
        <v>1.1216950000000001</v>
      </c>
      <c r="L9807">
        <v>12.847530000000001</v>
      </c>
      <c r="M9807">
        <v>1.5936269999999999E-2</v>
      </c>
      <c r="N9807">
        <v>-1.132054E-2</v>
      </c>
      <c r="O9807">
        <v>0.9998089</v>
      </c>
      <c r="P9807">
        <v>-2.2518650000000001E-2</v>
      </c>
      <c r="Q9807">
        <v>0.18168880000000001</v>
      </c>
      <c r="R9807">
        <v>0.98309820000000003</v>
      </c>
      <c r="S9807">
        <v>-0.23631289999999999</v>
      </c>
      <c r="T9807">
        <v>-6.9456340000000005E-2</v>
      </c>
      <c r="U9807">
        <v>3.0590820000000001</v>
      </c>
      <c r="V9807">
        <v>-3.8321769999999998E-2</v>
      </c>
      <c r="W9807">
        <v>0.19277330000000001</v>
      </c>
      <c r="X9807">
        <v>0.98049470000000005</v>
      </c>
      <c r="Y9807">
        <v>-9.2877559999999998E-2</v>
      </c>
      <c r="Z9807">
        <v>-1.1286030000000001E-2</v>
      </c>
      <c r="AA9807">
        <v>0.99561359999999999</v>
      </c>
      <c r="AB9807">
        <v>30</v>
      </c>
      <c r="AC9807">
        <v>-3.82079999999999</v>
      </c>
      <c r="AD9807">
        <v>-1.1216963315819899</v>
      </c>
      <c r="AE9807">
        <v>49.10595</v>
      </c>
      <c r="AF9807">
        <v>-4.6005445780357697</v>
      </c>
      <c r="AG9807">
        <v>-1.1216963315819899</v>
      </c>
      <c r="AH9807">
        <v>49.013399990156401</v>
      </c>
      <c r="AI9807">
        <v>91.305278592479993</v>
      </c>
      <c r="AJ9807">
        <v>95.3622427755313</v>
      </c>
      <c r="AK9807">
        <v>49.241614429970099</v>
      </c>
      <c r="AL9807">
        <v>78.885324530726507</v>
      </c>
      <c r="AM9807">
        <v>92.238215763175504</v>
      </c>
      <c r="AN9807">
        <v>0.99999997998845602</v>
      </c>
    </row>
    <row r="9808" spans="1:40" x14ac:dyDescent="0.25">
      <c r="A9808" t="str">
        <f>"20190303162139516"</f>
        <v>20190303162139516</v>
      </c>
      <c r="B9808" t="str">
        <f>"1551601299511833"</f>
        <v>1551601299511833</v>
      </c>
      <c r="C9808" t="s">
        <v>40</v>
      </c>
      <c r="D9808">
        <v>4.5232710000000003</v>
      </c>
      <c r="E9808">
        <v>0.47752850000000002</v>
      </c>
      <c r="F9808" t="s">
        <v>41</v>
      </c>
      <c r="G9808">
        <v>-191.16759999999999</v>
      </c>
      <c r="H9808" s="1">
        <v>-4.4238319999999999E-6</v>
      </c>
      <c r="I9808">
        <v>59.377780000000001</v>
      </c>
      <c r="J9808">
        <v>-187.36689999999999</v>
      </c>
      <c r="K9808">
        <v>1.1216619999999999</v>
      </c>
      <c r="L9808">
        <v>13.163729999999999</v>
      </c>
      <c r="M9808">
        <v>1.557966E-2</v>
      </c>
      <c r="N9808">
        <v>-1.1323430000000001E-2</v>
      </c>
      <c r="O9808">
        <v>0.99981450000000005</v>
      </c>
      <c r="P9808">
        <v>-2.4301489999999999E-2</v>
      </c>
      <c r="Q9808">
        <v>0.18202679999999999</v>
      </c>
      <c r="R9808">
        <v>0.98299320000000001</v>
      </c>
      <c r="S9808">
        <v>-0.2496033</v>
      </c>
      <c r="T9808">
        <v>-7.3754550000000002E-2</v>
      </c>
      <c r="U9808">
        <v>3.0594790000000001</v>
      </c>
      <c r="V9808">
        <v>-3.9738919999999997E-2</v>
      </c>
      <c r="W9808">
        <v>0.19311490000000001</v>
      </c>
      <c r="X9808">
        <v>0.98037110000000005</v>
      </c>
      <c r="Y9808">
        <v>-9.6806749999999997E-2</v>
      </c>
      <c r="Z9808">
        <v>-1.267019E-2</v>
      </c>
      <c r="AA9808">
        <v>0.99522259999999996</v>
      </c>
      <c r="AB9808">
        <v>30</v>
      </c>
      <c r="AC9808">
        <v>-3.8007</v>
      </c>
      <c r="AD9808">
        <v>-1.121666423832</v>
      </c>
      <c r="AE9808">
        <v>46.21405</v>
      </c>
      <c r="AF9808">
        <v>-4.5176406017772104</v>
      </c>
      <c r="AG9808">
        <v>-1.121666423832</v>
      </c>
      <c r="AH9808">
        <v>46.122235385411003</v>
      </c>
      <c r="AI9808">
        <v>91.386493462329298</v>
      </c>
      <c r="AJ9808">
        <v>95.594236464138703</v>
      </c>
      <c r="AK9808">
        <v>46.356529304084397</v>
      </c>
      <c r="AL9808">
        <v>78.865377933560396</v>
      </c>
      <c r="AM9808">
        <v>92.321189007167405</v>
      </c>
      <c r="AN9808">
        <v>1.0000000200399899</v>
      </c>
    </row>
    <row r="9809" spans="1:40" x14ac:dyDescent="0.25">
      <c r="A9809" t="str">
        <f>"20190303162139539"</f>
        <v>20190303162139539</v>
      </c>
      <c r="B9809" t="str">
        <f>"1551601299532330"</f>
        <v>1551601299532330</v>
      </c>
      <c r="C9809" t="s">
        <v>40</v>
      </c>
      <c r="D9809">
        <v>4.5376560000000001</v>
      </c>
      <c r="E9809">
        <v>0.4776223</v>
      </c>
      <c r="F9809" t="s">
        <v>41</v>
      </c>
      <c r="G9809">
        <v>-190.72829999999999</v>
      </c>
      <c r="H9809" s="1">
        <v>-1.6148249999999901E-6</v>
      </c>
      <c r="I9809">
        <v>52.901560000000003</v>
      </c>
      <c r="J9809">
        <v>-187.36259999999999</v>
      </c>
      <c r="K9809">
        <v>1.121629</v>
      </c>
      <c r="L9809">
        <v>13.46466</v>
      </c>
      <c r="M9809">
        <v>1.52978E-2</v>
      </c>
      <c r="N9809">
        <v>-1.132622E-2</v>
      </c>
      <c r="O9809">
        <v>0.99981880000000001</v>
      </c>
      <c r="P9809">
        <v>-2.7467729999999999E-2</v>
      </c>
      <c r="Q9809">
        <v>0.18244440000000001</v>
      </c>
      <c r="R9809">
        <v>0.98283240000000005</v>
      </c>
      <c r="S9809">
        <v>-0.25897219999999999</v>
      </c>
      <c r="T9809">
        <v>-8.6415530000000004E-2</v>
      </c>
      <c r="U9809">
        <v>3.061493</v>
      </c>
      <c r="V9809">
        <v>-4.2607800000000001E-2</v>
      </c>
      <c r="W9809">
        <v>0.19353500000000001</v>
      </c>
      <c r="X9809">
        <v>0.98016769999999998</v>
      </c>
      <c r="Y9809">
        <v>-9.9489579999999994E-2</v>
      </c>
      <c r="Z9809">
        <v>-1.675946E-2</v>
      </c>
      <c r="AA9809">
        <v>0.99489740000000004</v>
      </c>
      <c r="AB9809">
        <v>30</v>
      </c>
      <c r="AC9809">
        <v>-3.3656999999999999</v>
      </c>
      <c r="AD9809">
        <v>-1.1216306148249999</v>
      </c>
      <c r="AE9809">
        <v>39.436900000000001</v>
      </c>
      <c r="AF9809">
        <v>-3.9654581689240098</v>
      </c>
      <c r="AG9809">
        <v>-1.1216306148249999</v>
      </c>
      <c r="AH9809">
        <v>39.349194105329303</v>
      </c>
      <c r="AI9809">
        <v>91.624523731265398</v>
      </c>
      <c r="AJ9809">
        <v>95.754616512746196</v>
      </c>
      <c r="AK9809">
        <v>39.564403072262898</v>
      </c>
      <c r="AL9809">
        <v>78.8408446007208</v>
      </c>
      <c r="AM9809">
        <v>92.489075255603296</v>
      </c>
      <c r="AN9809">
        <v>0.99999997048456402</v>
      </c>
    </row>
    <row r="9810" spans="1:40" x14ac:dyDescent="0.25">
      <c r="A9810" t="str">
        <f>"20190303162139560"</f>
        <v>20190303162139560</v>
      </c>
      <c r="B9810" t="str">
        <f>"1551601299551850"</f>
        <v>1551601299551850</v>
      </c>
      <c r="C9810" t="s">
        <v>40</v>
      </c>
      <c r="D9810">
        <v>4.5024850000000001</v>
      </c>
      <c r="E9810">
        <v>0.4777459</v>
      </c>
      <c r="F9810" t="s">
        <v>41</v>
      </c>
      <c r="G9810">
        <v>-190.72300000000001</v>
      </c>
      <c r="H9810" s="1">
        <v>-1.239295E-6</v>
      </c>
      <c r="I9810">
        <v>52.029499999999999</v>
      </c>
      <c r="J9810">
        <v>-187.35839999999999</v>
      </c>
      <c r="K9810">
        <v>1.1215900000000001</v>
      </c>
      <c r="L9810">
        <v>13.754149999999999</v>
      </c>
      <c r="M9810">
        <v>1.509067E-2</v>
      </c>
      <c r="N9810">
        <v>-1.1328889999999999E-2</v>
      </c>
      <c r="O9810">
        <v>0.99982199999999999</v>
      </c>
      <c r="P9810">
        <v>-3.0256149999999999E-2</v>
      </c>
      <c r="Q9810">
        <v>0.1835145</v>
      </c>
      <c r="R9810">
        <v>0.98255130000000002</v>
      </c>
      <c r="S9810">
        <v>-0.26676939999999999</v>
      </c>
      <c r="T9810">
        <v>-8.9040400000000006E-2</v>
      </c>
      <c r="U9810">
        <v>3.0614620000000001</v>
      </c>
      <c r="V9810">
        <v>-4.5166600000000001E-2</v>
      </c>
      <c r="W9810">
        <v>0.19460759999999999</v>
      </c>
      <c r="X9810">
        <v>0.97984079999999996</v>
      </c>
      <c r="Y9810">
        <v>-0.1017971</v>
      </c>
      <c r="Z9810">
        <v>-1.760331E-2</v>
      </c>
      <c r="AA9810">
        <v>0.99464940000000002</v>
      </c>
      <c r="AB9810">
        <v>30</v>
      </c>
      <c r="AC9810">
        <v>-3.36459999999999</v>
      </c>
      <c r="AD9810">
        <v>-1.1215912392949901</v>
      </c>
      <c r="AE9810">
        <v>38.275350000000003</v>
      </c>
      <c r="AF9810">
        <v>-3.9384985633828702</v>
      </c>
      <c r="AG9810">
        <v>-1.1215912392949901</v>
      </c>
      <c r="AH9810">
        <v>38.1876741646266</v>
      </c>
      <c r="AI9810">
        <v>91.673450765795806</v>
      </c>
      <c r="AJ9810">
        <v>95.8884001979158</v>
      </c>
      <c r="AK9810">
        <v>38.4066165646692</v>
      </c>
      <c r="AL9810">
        <v>78.778199162437204</v>
      </c>
      <c r="AM9810">
        <v>92.639229732317503</v>
      </c>
      <c r="AN9810">
        <v>1.0000000665389699</v>
      </c>
    </row>
    <row r="9811" spans="1:40" x14ac:dyDescent="0.25">
      <c r="A9811" t="str">
        <f>"20190303162139581"</f>
        <v>20190303162139581</v>
      </c>
      <c r="B9811" t="str">
        <f>"1551601299571878"</f>
        <v>1551601299571878</v>
      </c>
      <c r="C9811" t="s">
        <v>40</v>
      </c>
      <c r="D9811">
        <v>4.5708169999999999</v>
      </c>
      <c r="E9811">
        <v>0.47845130000000002</v>
      </c>
      <c r="F9811" t="s">
        <v>41</v>
      </c>
      <c r="G9811">
        <v>-190.88489999999999</v>
      </c>
      <c r="H9811" s="1">
        <v>-1.7960310000000001E-6</v>
      </c>
      <c r="I9811">
        <v>53.22683</v>
      </c>
      <c r="J9811">
        <v>-187.35419999999999</v>
      </c>
      <c r="K9811">
        <v>1.121534</v>
      </c>
      <c r="L9811">
        <v>14.042879999999901</v>
      </c>
      <c r="M9811">
        <v>1.494755E-2</v>
      </c>
      <c r="N9811">
        <v>-1.1331559999999999E-2</v>
      </c>
      <c r="O9811">
        <v>0.99982400000000005</v>
      </c>
      <c r="P9811">
        <v>-3.225766E-2</v>
      </c>
      <c r="Q9811">
        <v>0.18471170000000001</v>
      </c>
      <c r="R9811">
        <v>0.9822632</v>
      </c>
      <c r="S9811">
        <v>-0.27348329999999998</v>
      </c>
      <c r="T9811">
        <v>-8.6979150000000005E-2</v>
      </c>
      <c r="U9811">
        <v>3.061096</v>
      </c>
      <c r="V9811">
        <v>-4.6998249999999998E-2</v>
      </c>
      <c r="W9811">
        <v>0.19580900000000001</v>
      </c>
      <c r="X9811">
        <v>0.97951520000000003</v>
      </c>
      <c r="Y9811">
        <v>-0.1038304</v>
      </c>
      <c r="Z9811">
        <v>-1.6928780000000001E-2</v>
      </c>
      <c r="AA9811">
        <v>0.99445090000000003</v>
      </c>
      <c r="AB9811">
        <v>30</v>
      </c>
      <c r="AC9811">
        <v>-3.5306999999999902</v>
      </c>
      <c r="AD9811">
        <v>-1.121535796031</v>
      </c>
      <c r="AE9811">
        <v>39.183950000000003</v>
      </c>
      <c r="AF9811">
        <v>-4.1127050476507696</v>
      </c>
      <c r="AG9811">
        <v>-1.121535796031</v>
      </c>
      <c r="AH9811">
        <v>39.095022898049699</v>
      </c>
      <c r="AI9811">
        <v>91.634205387171093</v>
      </c>
      <c r="AJ9811">
        <v>96.005294480892701</v>
      </c>
      <c r="AK9811">
        <v>39.326746633173002</v>
      </c>
      <c r="AL9811">
        <v>78.708013166009707</v>
      </c>
      <c r="AM9811">
        <v>92.747009717803493</v>
      </c>
      <c r="AN9811">
        <v>1.00000001350755</v>
      </c>
    </row>
    <row r="9812" spans="1:40" x14ac:dyDescent="0.25">
      <c r="A9812" t="str">
        <f>"20190303162139604"</f>
        <v>20190303162139604</v>
      </c>
      <c r="B9812" t="str">
        <f>"1551601299592373"</f>
        <v>1551601299592373</v>
      </c>
      <c r="C9812" t="s">
        <v>40</v>
      </c>
      <c r="D9812">
        <v>4.5470810000000004</v>
      </c>
      <c r="E9812">
        <v>0.47897790000000001</v>
      </c>
      <c r="F9812" t="s">
        <v>41</v>
      </c>
      <c r="G9812">
        <v>-191.131</v>
      </c>
      <c r="H9812" s="1">
        <v>-3.116825E-6</v>
      </c>
      <c r="I9812">
        <v>56.153010000000002</v>
      </c>
      <c r="J9812">
        <v>-187.35</v>
      </c>
      <c r="K9812">
        <v>1.1214980000000001</v>
      </c>
      <c r="L9812">
        <v>14.33539</v>
      </c>
      <c r="M9812">
        <v>1.485765E-2</v>
      </c>
      <c r="N9812">
        <v>-1.133434E-2</v>
      </c>
      <c r="O9812">
        <v>0.99982539999999998</v>
      </c>
      <c r="P9812">
        <v>-3.3769189999999998E-2</v>
      </c>
      <c r="Q9812">
        <v>0.1850784</v>
      </c>
      <c r="R9812">
        <v>0.9821434</v>
      </c>
      <c r="S9812">
        <v>-0.27449040000000002</v>
      </c>
      <c r="T9812">
        <v>-8.1511260000000002E-2</v>
      </c>
      <c r="U9812">
        <v>3.060486</v>
      </c>
      <c r="V9812">
        <v>-4.8395729999999998E-2</v>
      </c>
      <c r="W9812">
        <v>0.19618260000000001</v>
      </c>
      <c r="X9812">
        <v>0.97937240000000003</v>
      </c>
      <c r="Y9812">
        <v>-0.1040867</v>
      </c>
      <c r="Z9812">
        <v>-1.5154569999999999E-2</v>
      </c>
      <c r="AA9812">
        <v>0.99445280000000003</v>
      </c>
      <c r="AB9812">
        <v>30</v>
      </c>
      <c r="AC9812">
        <v>-3.7809999999999699</v>
      </c>
      <c r="AD9812">
        <v>-1.121501116825</v>
      </c>
      <c r="AE9812">
        <v>41.817619999999899</v>
      </c>
      <c r="AF9812">
        <v>-4.3987958703054897</v>
      </c>
      <c r="AG9812">
        <v>-1.121501116825</v>
      </c>
      <c r="AH9812">
        <v>41.727054272115303</v>
      </c>
      <c r="AI9812">
        <v>91.531092294793694</v>
      </c>
      <c r="AJ9812">
        <v>96.017798401348401</v>
      </c>
      <c r="AK9812">
        <v>41.973256105426401</v>
      </c>
      <c r="AL9812">
        <v>78.686184254545793</v>
      </c>
      <c r="AM9812">
        <v>92.828972310418195</v>
      </c>
      <c r="AN9812">
        <v>1.0000000285533699</v>
      </c>
    </row>
    <row r="9813" spans="1:40" x14ac:dyDescent="0.25">
      <c r="A9813" t="str">
        <f>"20190303162139626"</f>
        <v>20190303162139626</v>
      </c>
      <c r="B9813" t="str">
        <f>"1551601299622630"</f>
        <v>1551601299622630</v>
      </c>
      <c r="C9813" t="s">
        <v>40</v>
      </c>
      <c r="D9813">
        <v>4.569013</v>
      </c>
      <c r="E9813">
        <v>0.47964980000000002</v>
      </c>
      <c r="F9813" t="s">
        <v>41</v>
      </c>
      <c r="G9813">
        <v>-191.4579</v>
      </c>
      <c r="H9813" s="1">
        <v>-5.3672590000000002E-7</v>
      </c>
      <c r="I9813">
        <v>59.9360199999999</v>
      </c>
      <c r="J9813">
        <v>-187.34559999999999</v>
      </c>
      <c r="K9813">
        <v>1.121462</v>
      </c>
      <c r="L9813">
        <v>14.632289999999999</v>
      </c>
      <c r="M9813">
        <v>1.4811120000000001E-2</v>
      </c>
      <c r="N9813">
        <v>-1.13372E-2</v>
      </c>
      <c r="O9813">
        <v>0.99982599999999999</v>
      </c>
      <c r="P9813">
        <v>-3.4776120000000001E-2</v>
      </c>
      <c r="Q9813">
        <v>0.18513589999999999</v>
      </c>
      <c r="R9813">
        <v>0.98209740000000001</v>
      </c>
      <c r="S9813">
        <v>-0.27558899999999997</v>
      </c>
      <c r="T9813">
        <v>-7.5238589999999994E-2</v>
      </c>
      <c r="U9813">
        <v>3.0592350000000001</v>
      </c>
      <c r="V9813">
        <v>-4.9338409999999999E-2</v>
      </c>
      <c r="W9813">
        <v>0.19624620000000001</v>
      </c>
      <c r="X9813">
        <v>0.97931259999999998</v>
      </c>
      <c r="Y9813">
        <v>-0.1044346</v>
      </c>
      <c r="Z9813">
        <v>-1.312281E-2</v>
      </c>
      <c r="AA9813">
        <v>0.99444520000000003</v>
      </c>
      <c r="AB9813">
        <v>30</v>
      </c>
      <c r="AC9813">
        <v>-4.1123000000000003</v>
      </c>
      <c r="AD9813">
        <v>-1.1214625367258999</v>
      </c>
      <c r="AE9813">
        <v>45.303730000000002</v>
      </c>
      <c r="AF9813">
        <v>-4.7799858691727302</v>
      </c>
      <c r="AG9813">
        <v>-1.1214625367258999</v>
      </c>
      <c r="AH9813">
        <v>45.210370858068998</v>
      </c>
      <c r="AI9813">
        <v>91.413082077189202</v>
      </c>
      <c r="AJ9813">
        <v>96.035325968063205</v>
      </c>
      <c r="AK9813">
        <v>45.476186914196099</v>
      </c>
      <c r="AL9813">
        <v>78.682467780051297</v>
      </c>
      <c r="AM9813">
        <v>92.884160334274497</v>
      </c>
      <c r="AN9813">
        <v>1.0000000091172601</v>
      </c>
    </row>
    <row r="9814" spans="1:40" x14ac:dyDescent="0.25">
      <c r="A9814" t="str">
        <f>"20190303162139649"</f>
        <v>20190303162139649</v>
      </c>
      <c r="B9814" t="str">
        <f>"1551601299643125"</f>
        <v>1551601299643125</v>
      </c>
      <c r="C9814" t="s">
        <v>40</v>
      </c>
      <c r="D9814">
        <v>4.567564</v>
      </c>
      <c r="E9814">
        <v>0.47994540000000002</v>
      </c>
      <c r="F9814" t="s">
        <v>41</v>
      </c>
      <c r="G9814">
        <v>-191.37209999999999</v>
      </c>
      <c r="H9814" s="1">
        <v>-4.094419E-7</v>
      </c>
      <c r="I9814">
        <v>59.692529999999998</v>
      </c>
      <c r="J9814">
        <v>-187.34100000000001</v>
      </c>
      <c r="K9814">
        <v>1.1214309999999901</v>
      </c>
      <c r="L9814">
        <v>14.94415</v>
      </c>
      <c r="M9814">
        <v>1.479627E-2</v>
      </c>
      <c r="N9814">
        <v>-1.134025E-2</v>
      </c>
      <c r="O9814">
        <v>0.9998262</v>
      </c>
      <c r="P9814">
        <v>-3.5271759999999999E-2</v>
      </c>
      <c r="Q9814">
        <v>0.18495510000000001</v>
      </c>
      <c r="R9814">
        <v>0.98211380000000004</v>
      </c>
      <c r="S9814">
        <v>-0.27337650000000002</v>
      </c>
      <c r="T9814">
        <v>-7.6141479999999997E-2</v>
      </c>
      <c r="U9814">
        <v>3.0593569999999999</v>
      </c>
      <c r="V9814">
        <v>-4.9807619999999997E-2</v>
      </c>
      <c r="W9814">
        <v>0.19607179999999999</v>
      </c>
      <c r="X9814">
        <v>0.97932379999999997</v>
      </c>
      <c r="Y9814">
        <v>-0.1037024</v>
      </c>
      <c r="Z9814">
        <v>-1.341408E-2</v>
      </c>
      <c r="AA9814">
        <v>0.99451789999999995</v>
      </c>
      <c r="AB9814">
        <v>30</v>
      </c>
      <c r="AC9814">
        <v>-4.0311000000000003</v>
      </c>
      <c r="AD9814">
        <v>-1.12143140944189</v>
      </c>
      <c r="AE9814">
        <v>44.748379999999997</v>
      </c>
      <c r="AF9814">
        <v>-4.6898886079772399</v>
      </c>
      <c r="AG9814">
        <v>-1.12143140944189</v>
      </c>
      <c r="AH9814">
        <v>44.656011424514901</v>
      </c>
      <c r="AI9814">
        <v>91.4306822137534</v>
      </c>
      <c r="AJ9814">
        <v>95.995371403852403</v>
      </c>
      <c r="AK9814">
        <v>44.915609980359001</v>
      </c>
      <c r="AL9814">
        <v>78.692658351886706</v>
      </c>
      <c r="AM9814">
        <v>92.911508586895806</v>
      </c>
      <c r="AN9814">
        <v>1.00000002750587</v>
      </c>
    </row>
    <row r="9815" spans="1:40" x14ac:dyDescent="0.25">
      <c r="A9815" t="str">
        <f>"20190303162139671"</f>
        <v>20190303162139671</v>
      </c>
      <c r="B9815" t="str">
        <f>"1551601299662646"</f>
        <v>1551601299662646</v>
      </c>
      <c r="C9815" t="s">
        <v>40</v>
      </c>
      <c r="D9815">
        <v>4.5540469999999997</v>
      </c>
      <c r="E9815">
        <v>0.48014760000000001</v>
      </c>
      <c r="F9815" t="s">
        <v>41</v>
      </c>
      <c r="G9815">
        <v>-191.27350000000001</v>
      </c>
      <c r="H9815" s="1">
        <v>-4.3154150000000004E-6</v>
      </c>
      <c r="I9815">
        <v>59.003999999999998</v>
      </c>
      <c r="J9815">
        <v>-187.3366</v>
      </c>
      <c r="K9815">
        <v>1.1214139999999999</v>
      </c>
      <c r="L9815">
        <v>15.241300000000001</v>
      </c>
      <c r="M9815">
        <v>1.4800290000000001E-2</v>
      </c>
      <c r="N9815">
        <v>-1.134314E-2</v>
      </c>
      <c r="O9815">
        <v>0.99982610000000005</v>
      </c>
      <c r="P9815">
        <v>-3.4583570000000001E-2</v>
      </c>
      <c r="Q9815">
        <v>0.1843832</v>
      </c>
      <c r="R9815">
        <v>0.98224579999999995</v>
      </c>
      <c r="S9815">
        <v>-0.27307130000000002</v>
      </c>
      <c r="T9815">
        <v>-7.7871560000000006E-2</v>
      </c>
      <c r="U9815">
        <v>3.0594790000000001</v>
      </c>
      <c r="V9815">
        <v>-4.9119339999999997E-2</v>
      </c>
      <c r="W9815">
        <v>0.1955055</v>
      </c>
      <c r="X9815">
        <v>0.97947169999999895</v>
      </c>
      <c r="Y9815">
        <v>-0.1036035</v>
      </c>
      <c r="Z9815">
        <v>-1.3972790000000001E-2</v>
      </c>
      <c r="AA9815">
        <v>0.99452050000000003</v>
      </c>
      <c r="AB9815">
        <v>30</v>
      </c>
      <c r="AC9815">
        <v>-3.9369000000000001</v>
      </c>
      <c r="AD9815">
        <v>-1.1214183154149999</v>
      </c>
      <c r="AE9815">
        <v>43.762700000000002</v>
      </c>
      <c r="AF9815">
        <v>-4.5812270107392896</v>
      </c>
      <c r="AG9815">
        <v>-1.1214183154149999</v>
      </c>
      <c r="AH9815">
        <v>43.671189006119299</v>
      </c>
      <c r="AI9815">
        <v>91.462932564785902</v>
      </c>
      <c r="AJ9815">
        <v>95.988580587030896</v>
      </c>
      <c r="AK9815">
        <v>43.925140513950197</v>
      </c>
      <c r="AL9815">
        <v>78.725744548364702</v>
      </c>
      <c r="AM9815">
        <v>92.870910074851906</v>
      </c>
      <c r="AN9815">
        <v>0.99999996059658602</v>
      </c>
    </row>
    <row r="9816" spans="1:40" x14ac:dyDescent="0.25">
      <c r="A9816" t="str">
        <f>"20190303162139694"</f>
        <v>20190303162139694</v>
      </c>
      <c r="B9816" t="str">
        <f>"1551601299682671"</f>
        <v>1551601299682671</v>
      </c>
      <c r="C9816" t="s">
        <v>40</v>
      </c>
      <c r="D9816">
        <v>4.5645009999999999</v>
      </c>
      <c r="E9816">
        <v>0.480377</v>
      </c>
      <c r="F9816" t="s">
        <v>41</v>
      </c>
      <c r="G9816">
        <v>-191.0548</v>
      </c>
      <c r="H9816" s="1">
        <v>-3.6228939999999999E-6</v>
      </c>
      <c r="I9816">
        <v>57.379959999999997</v>
      </c>
      <c r="J9816">
        <v>-187.3321</v>
      </c>
      <c r="K9816">
        <v>1.1213959999999901</v>
      </c>
      <c r="L9816">
        <v>15.546110000000001</v>
      </c>
      <c r="M9816">
        <v>1.4812479999999999E-2</v>
      </c>
      <c r="N9816">
        <v>-1.134608E-2</v>
      </c>
      <c r="O9816">
        <v>0.99982590000000005</v>
      </c>
      <c r="P9816">
        <v>-3.3733550000000001E-2</v>
      </c>
      <c r="Q9816">
        <v>0.18255170000000001</v>
      </c>
      <c r="R9816">
        <v>0.98261739999999997</v>
      </c>
      <c r="S9816">
        <v>-0.27000429999999997</v>
      </c>
      <c r="T9816">
        <v>-8.1434370000000006E-2</v>
      </c>
      <c r="U9816">
        <v>3.0599980000000002</v>
      </c>
      <c r="V9816">
        <v>-4.8284290000000001E-2</v>
      </c>
      <c r="W9816">
        <v>0.1936823</v>
      </c>
      <c r="X9816">
        <v>0.97987539999999995</v>
      </c>
      <c r="Y9816">
        <v>-0.1026097</v>
      </c>
      <c r="Z9816">
        <v>-1.5125970000000001E-2</v>
      </c>
      <c r="AA9816">
        <v>0.99460669999999995</v>
      </c>
      <c r="AB9816">
        <v>30</v>
      </c>
      <c r="AC9816">
        <v>-3.7227000000000001</v>
      </c>
      <c r="AD9816">
        <v>-1.12139962289399</v>
      </c>
      <c r="AE9816">
        <v>41.833849999999998</v>
      </c>
      <c r="AF9816">
        <v>-4.3389012104269602</v>
      </c>
      <c r="AG9816">
        <v>-1.12139962289399</v>
      </c>
      <c r="AH9816">
        <v>41.7443535125228</v>
      </c>
      <c r="AI9816">
        <v>91.530553841125396</v>
      </c>
      <c r="AJ9816">
        <v>95.9340057558247</v>
      </c>
      <c r="AK9816">
        <v>41.984219071057403</v>
      </c>
      <c r="AL9816">
        <v>78.832242529126901</v>
      </c>
      <c r="AM9816">
        <v>92.821022112638701</v>
      </c>
      <c r="AN9816">
        <v>1.0000000027596201</v>
      </c>
    </row>
    <row r="9817" spans="1:40" x14ac:dyDescent="0.25">
      <c r="A9817" t="str">
        <f>"20190303162139728"</f>
        <v>20190303162139728</v>
      </c>
      <c r="B9817" t="str">
        <f>"1551601299722687"</f>
        <v>1551601299722687</v>
      </c>
      <c r="C9817" t="s">
        <v>40</v>
      </c>
      <c r="D9817">
        <v>4.508731</v>
      </c>
      <c r="E9817">
        <v>0.48186620000000002</v>
      </c>
      <c r="F9817" t="s">
        <v>41</v>
      </c>
      <c r="G9817">
        <v>-190.69139999999999</v>
      </c>
      <c r="H9817" s="1">
        <v>-2.1964030000000001E-6</v>
      </c>
      <c r="I9817">
        <v>54.28013</v>
      </c>
      <c r="J9817">
        <v>-187.3253</v>
      </c>
      <c r="K9817">
        <v>1.1213770000000001</v>
      </c>
      <c r="L9817">
        <v>15.9978</v>
      </c>
      <c r="M9817">
        <v>1.482989E-2</v>
      </c>
      <c r="N9817">
        <v>-1.135038E-2</v>
      </c>
      <c r="O9817">
        <v>0.99982559999999998</v>
      </c>
      <c r="P9817">
        <v>-3.2174590000000003E-2</v>
      </c>
      <c r="Q9817">
        <v>0.1817609</v>
      </c>
      <c r="R9817">
        <v>0.98281629999999998</v>
      </c>
      <c r="S9817">
        <v>-0.26542660000000001</v>
      </c>
      <c r="T9817">
        <v>-8.8603139999999997E-2</v>
      </c>
      <c r="U9817">
        <v>3.060425</v>
      </c>
      <c r="V9817">
        <v>-4.674362E-2</v>
      </c>
      <c r="W9817">
        <v>0.19289819999999999</v>
      </c>
      <c r="X9817">
        <v>0.98010469999999905</v>
      </c>
      <c r="Y9817">
        <v>-0.101134</v>
      </c>
      <c r="Z9817">
        <v>-1.7451359999999999E-2</v>
      </c>
      <c r="AA9817">
        <v>0.99471969999999998</v>
      </c>
      <c r="AB9817">
        <v>30</v>
      </c>
      <c r="AC9817">
        <v>-3.3660999999999799</v>
      </c>
      <c r="AD9817">
        <v>-1.121379196403</v>
      </c>
      <c r="AE9817">
        <v>38.282330000000002</v>
      </c>
      <c r="AF9817">
        <v>-3.9301427528861601</v>
      </c>
      <c r="AG9817">
        <v>-1.121379196403</v>
      </c>
      <c r="AH9817">
        <v>38.195675452055603</v>
      </c>
      <c r="AI9817">
        <v>91.672825242158893</v>
      </c>
      <c r="AJ9817">
        <v>95.874772730626802</v>
      </c>
      <c r="AK9817">
        <v>38.413710268587103</v>
      </c>
      <c r="AL9817">
        <v>78.878031091131106</v>
      </c>
      <c r="AM9817">
        <v>92.730508604040395</v>
      </c>
      <c r="AN9817">
        <v>0.99999995226801497</v>
      </c>
    </row>
    <row r="9818" spans="1:40" x14ac:dyDescent="0.25">
      <c r="A9818" t="str">
        <f>"20190303162139750"</f>
        <v>20190303162139750</v>
      </c>
      <c r="B9818" t="str">
        <f>"1551601299742207"</f>
        <v>1551601299742207</v>
      </c>
      <c r="C9818" t="s">
        <v>40</v>
      </c>
      <c r="D9818">
        <v>4.4990839999999999</v>
      </c>
      <c r="E9818">
        <v>0.48287390000000002</v>
      </c>
      <c r="F9818" t="s">
        <v>41</v>
      </c>
      <c r="G9818">
        <v>-190.52359999999999</v>
      </c>
      <c r="H9818" s="1">
        <v>-2.6915520000000001E-6</v>
      </c>
      <c r="I9818">
        <v>55.538400000000003</v>
      </c>
      <c r="J9818">
        <v>-187.32089999999999</v>
      </c>
      <c r="K9818">
        <v>1.121372</v>
      </c>
      <c r="L9818">
        <v>16.29626</v>
      </c>
      <c r="M9818">
        <v>1.483567E-2</v>
      </c>
      <c r="N9818">
        <v>-1.1353200000000001E-2</v>
      </c>
      <c r="O9818">
        <v>0.99982550000000003</v>
      </c>
      <c r="P9818">
        <v>-3.1063629999999998E-2</v>
      </c>
      <c r="Q9818">
        <v>0.18041489999999999</v>
      </c>
      <c r="R9818">
        <v>0.98309990000000003</v>
      </c>
      <c r="S9818">
        <v>-0.24754329999999999</v>
      </c>
      <c r="T9818">
        <v>-8.6793419999999996E-2</v>
      </c>
      <c r="U9818">
        <v>3.0603940000000001</v>
      </c>
      <c r="V9818">
        <v>-4.5641620000000001E-2</v>
      </c>
      <c r="W9818">
        <v>0.19155939999999999</v>
      </c>
      <c r="X9818">
        <v>0.98041920000000005</v>
      </c>
      <c r="Y9818">
        <v>-9.5369339999999997E-2</v>
      </c>
      <c r="Z9818">
        <v>-1.6876189999999999E-2</v>
      </c>
      <c r="AA9818">
        <v>0.99529889999999999</v>
      </c>
      <c r="AB9818">
        <v>30</v>
      </c>
      <c r="AC9818">
        <v>-3.2026999999999899</v>
      </c>
      <c r="AD9818">
        <v>-1.121374691552</v>
      </c>
      <c r="AE9818">
        <v>39.242139999999999</v>
      </c>
      <c r="AF9818">
        <v>-3.7815009912638202</v>
      </c>
      <c r="AG9818">
        <v>-1.121374691552</v>
      </c>
      <c r="AH9818">
        <v>39.158539090719302</v>
      </c>
      <c r="AI9818">
        <v>91.632727415044201</v>
      </c>
      <c r="AJ9818">
        <v>95.515892324586204</v>
      </c>
      <c r="AK9818">
        <v>39.356681957009201</v>
      </c>
      <c r="AL9818">
        <v>78.956196824871</v>
      </c>
      <c r="AM9818">
        <v>92.6653757115876</v>
      </c>
      <c r="AN9818">
        <v>0.99999998446661198</v>
      </c>
    </row>
    <row r="9819" spans="1:40" x14ac:dyDescent="0.25">
      <c r="A9819" t="str">
        <f>"20190303162139771"</f>
        <v>20190303162139771</v>
      </c>
      <c r="B9819" t="str">
        <f>"1551601299762704"</f>
        <v>1551601299762704</v>
      </c>
      <c r="C9819" t="s">
        <v>40</v>
      </c>
      <c r="D9819">
        <v>4.4834199999999997</v>
      </c>
      <c r="E9819">
        <v>0.4837979</v>
      </c>
      <c r="F9819" t="s">
        <v>41</v>
      </c>
      <c r="G9819">
        <v>-190.33080000000001</v>
      </c>
      <c r="H9819" s="1">
        <v>-2.5885159999999999E-6</v>
      </c>
      <c r="I9819">
        <v>55.417839999999998</v>
      </c>
      <c r="J9819">
        <v>-187.31659999999999</v>
      </c>
      <c r="K9819">
        <v>1.121364</v>
      </c>
      <c r="L9819">
        <v>16.587039999999998</v>
      </c>
      <c r="M9819">
        <v>1.4837329999999999E-2</v>
      </c>
      <c r="N9819">
        <v>-1.135599E-2</v>
      </c>
      <c r="O9819">
        <v>0.99982539999999998</v>
      </c>
      <c r="P9819">
        <v>-2.9852259999999999E-2</v>
      </c>
      <c r="Q9819">
        <v>0.17869640000000001</v>
      </c>
      <c r="R9819">
        <v>0.98345130000000003</v>
      </c>
      <c r="S9819">
        <v>-0.23544309999999999</v>
      </c>
      <c r="T9819">
        <v>-8.7718249999999998E-2</v>
      </c>
      <c r="U9819">
        <v>3.0602420000000001</v>
      </c>
      <c r="V9819">
        <v>-4.4436919999999998E-2</v>
      </c>
      <c r="W9819">
        <v>0.18984809999999999</v>
      </c>
      <c r="X9819">
        <v>0.9808074</v>
      </c>
      <c r="Y9819">
        <v>-9.1463489999999995E-2</v>
      </c>
      <c r="Z9819">
        <v>-1.7185490000000001E-2</v>
      </c>
      <c r="AA9819">
        <v>0.99566010000000005</v>
      </c>
      <c r="AB9819">
        <v>30</v>
      </c>
      <c r="AC9819">
        <v>-3.01420000000001</v>
      </c>
      <c r="AD9819">
        <v>-1.121366588516</v>
      </c>
      <c r="AE9819">
        <v>38.830800000000004</v>
      </c>
      <c r="AF9819">
        <v>-3.5870771782926001</v>
      </c>
      <c r="AG9819">
        <v>-1.121366588516</v>
      </c>
      <c r="AH9819">
        <v>38.749677485781497</v>
      </c>
      <c r="AI9819">
        <v>91.650551654637695</v>
      </c>
      <c r="AJ9819">
        <v>95.288826383070401</v>
      </c>
      <c r="AK9819">
        <v>38.931505120672497</v>
      </c>
      <c r="AL9819">
        <v>79.056080912431298</v>
      </c>
      <c r="AM9819">
        <v>92.594095479228898</v>
      </c>
      <c r="AN9819">
        <v>1.0000000484137199</v>
      </c>
    </row>
    <row r="9820" spans="1:40" x14ac:dyDescent="0.25">
      <c r="A9820" t="str">
        <f>"20190303162139793"</f>
        <v>20190303162139793</v>
      </c>
      <c r="B9820" t="str">
        <f>"1551601299781755"</f>
        <v>1551601299781755</v>
      </c>
      <c r="C9820" t="s">
        <v>40</v>
      </c>
      <c r="D9820">
        <v>4.5078519999999997</v>
      </c>
      <c r="E9820">
        <v>0.48462929999999999</v>
      </c>
      <c r="F9820" t="s">
        <v>41</v>
      </c>
      <c r="G9820">
        <v>-190.1062</v>
      </c>
      <c r="H9820" s="1">
        <v>-2.2288709999999998E-6</v>
      </c>
      <c r="I9820">
        <v>54.718789999999998</v>
      </c>
      <c r="J9820">
        <v>-187.3124</v>
      </c>
      <c r="K9820">
        <v>1.1213630000000001</v>
      </c>
      <c r="L9820">
        <v>16.872679999999999</v>
      </c>
      <c r="M9820">
        <v>1.48366E-2</v>
      </c>
      <c r="N9820">
        <v>-1.13588E-2</v>
      </c>
      <c r="O9820">
        <v>0.99982539999999998</v>
      </c>
      <c r="P9820">
        <v>-2.9324570000000001E-2</v>
      </c>
      <c r="Q9820">
        <v>0.17771419999999999</v>
      </c>
      <c r="R9820">
        <v>0.98364510000000005</v>
      </c>
      <c r="S9820">
        <v>-0.2238617</v>
      </c>
      <c r="T9820">
        <v>-8.9988349999999995E-2</v>
      </c>
      <c r="U9820">
        <v>3.060028</v>
      </c>
      <c r="V9820">
        <v>-4.3910780000000003E-2</v>
      </c>
      <c r="W9820">
        <v>0.18887100000000001</v>
      </c>
      <c r="X9820">
        <v>0.98101970000000005</v>
      </c>
      <c r="Y9820">
        <v>-8.7719749999999999E-2</v>
      </c>
      <c r="Z9820">
        <v>-1.7932409999999999E-2</v>
      </c>
      <c r="AA9820">
        <v>0.99598379999999997</v>
      </c>
      <c r="AB9820">
        <v>30</v>
      </c>
      <c r="AC9820">
        <v>-2.7938000000000001</v>
      </c>
      <c r="AD9820">
        <v>-1.1213652288710001</v>
      </c>
      <c r="AE9820">
        <v>37.846110000000003</v>
      </c>
      <c r="AF9820">
        <v>-3.3521093683202698</v>
      </c>
      <c r="AG9820">
        <v>-1.1213652288710001</v>
      </c>
      <c r="AH9820">
        <v>37.767513731308497</v>
      </c>
      <c r="AI9820">
        <v>91.694028951928402</v>
      </c>
      <c r="AJ9820">
        <v>95.072077449497698</v>
      </c>
      <c r="AK9820">
        <v>37.9325610872542</v>
      </c>
      <c r="AL9820">
        <v>79.113095962215993</v>
      </c>
      <c r="AM9820">
        <v>92.562868199486502</v>
      </c>
      <c r="AN9820">
        <v>1.00000003151464</v>
      </c>
    </row>
    <row r="9821" spans="1:40" x14ac:dyDescent="0.25">
      <c r="A9821" t="str">
        <f>"20190303162139816"</f>
        <v>20190303162139816</v>
      </c>
      <c r="B9821" t="str">
        <f>"1551601299802251"</f>
        <v>1551601299802251</v>
      </c>
      <c r="C9821" t="s">
        <v>40</v>
      </c>
      <c r="D9821">
        <v>4.4895100000000001</v>
      </c>
      <c r="E9821">
        <v>0.48532589999999998</v>
      </c>
      <c r="F9821" t="s">
        <v>41</v>
      </c>
      <c r="G9821">
        <v>-189.99770000000001</v>
      </c>
      <c r="H9821" s="1">
        <v>-2.3007569999999999E-6</v>
      </c>
      <c r="I9821">
        <v>54.953670000000002</v>
      </c>
      <c r="J9821">
        <v>-187.30770000000001</v>
      </c>
      <c r="K9821">
        <v>1.121364</v>
      </c>
      <c r="L9821">
        <v>17.187709999999999</v>
      </c>
      <c r="M9821">
        <v>1.483045E-2</v>
      </c>
      <c r="N9821">
        <v>-1.1361919999999999E-2</v>
      </c>
      <c r="O9821">
        <v>0.99982550000000003</v>
      </c>
      <c r="P9821">
        <v>-2.9416359999999999E-2</v>
      </c>
      <c r="Q9821">
        <v>0.17767040000000001</v>
      </c>
      <c r="R9821">
        <v>0.98365029999999998</v>
      </c>
      <c r="S9821">
        <v>-0.21575929999999999</v>
      </c>
      <c r="T9821">
        <v>-9.0099219999999994E-2</v>
      </c>
      <c r="U9821">
        <v>3.059723</v>
      </c>
      <c r="V9821">
        <v>-4.3997210000000002E-2</v>
      </c>
      <c r="W9821">
        <v>0.1888302</v>
      </c>
      <c r="X9821">
        <v>0.98102370000000005</v>
      </c>
      <c r="Y9821">
        <v>-8.509717E-2</v>
      </c>
      <c r="Z9821">
        <v>-1.797462E-2</v>
      </c>
      <c r="AA9821">
        <v>0.9962105</v>
      </c>
      <c r="AB9821">
        <v>30</v>
      </c>
      <c r="AC9821">
        <v>-2.6899999999999902</v>
      </c>
      <c r="AD9821">
        <v>-1.1213663007570001</v>
      </c>
      <c r="AE9821">
        <v>37.7659599999999</v>
      </c>
      <c r="AF9821">
        <v>-3.2469782084014001</v>
      </c>
      <c r="AG9821">
        <v>-1.1213663007570001</v>
      </c>
      <c r="AH9821">
        <v>37.688849116520203</v>
      </c>
      <c r="AI9821">
        <v>91.697947805271696</v>
      </c>
      <c r="AJ9821">
        <v>94.924000590386001</v>
      </c>
      <c r="AK9821">
        <v>37.845074680784201</v>
      </c>
      <c r="AL9821">
        <v>79.115476662615606</v>
      </c>
      <c r="AM9821">
        <v>92.567895514780602</v>
      </c>
      <c r="AN9821">
        <v>1.0000000494407499</v>
      </c>
    </row>
    <row r="9822" spans="1:40" x14ac:dyDescent="0.25">
      <c r="A9822" t="str">
        <f>"20190303162139839"</f>
        <v>20190303162139839</v>
      </c>
      <c r="B9822" t="str">
        <f>"1551601299832507"</f>
        <v>1551601299832507</v>
      </c>
      <c r="C9822" t="s">
        <v>40</v>
      </c>
      <c r="D9822">
        <v>4.5667749999999998</v>
      </c>
      <c r="E9822">
        <v>0.48623870000000002</v>
      </c>
      <c r="F9822" t="s">
        <v>41</v>
      </c>
      <c r="G9822">
        <v>-190.03970000000001</v>
      </c>
      <c r="H9822" s="1">
        <v>-3.1213340000000002E-6</v>
      </c>
      <c r="I9822">
        <v>56.840420000000002</v>
      </c>
      <c r="J9822">
        <v>-187.3032</v>
      </c>
      <c r="K9822">
        <v>1.1213789999999999</v>
      </c>
      <c r="L9822">
        <v>17.490939999999998</v>
      </c>
      <c r="M9822">
        <v>1.481084E-2</v>
      </c>
      <c r="N9822">
        <v>-1.1364900000000001E-2</v>
      </c>
      <c r="O9822">
        <v>0.99982570000000004</v>
      </c>
      <c r="P9822">
        <v>-2.9183730000000001E-2</v>
      </c>
      <c r="Q9822">
        <v>0.17778099999999999</v>
      </c>
      <c r="R9822">
        <v>0.98363719999999999</v>
      </c>
      <c r="S9822">
        <v>-0.2107697</v>
      </c>
      <c r="T9822">
        <v>-8.6512569999999997E-2</v>
      </c>
      <c r="U9822">
        <v>3.0591740000000001</v>
      </c>
      <c r="V9822">
        <v>-4.3748780000000001E-2</v>
      </c>
      <c r="W9822">
        <v>0.18894259999999999</v>
      </c>
      <c r="X9822">
        <v>0.98101309999999997</v>
      </c>
      <c r="Y9822">
        <v>-8.3475380000000002E-2</v>
      </c>
      <c r="Z9822">
        <v>-1.6813080000000001E-2</v>
      </c>
      <c r="AA9822">
        <v>0.99636800000000003</v>
      </c>
      <c r="AB9822">
        <v>30</v>
      </c>
      <c r="AC9822">
        <v>-2.7364999999999999</v>
      </c>
      <c r="AD9822">
        <v>-1.1213821213339901</v>
      </c>
      <c r="AE9822">
        <v>39.34948</v>
      </c>
      <c r="AF9822">
        <v>-3.31635593935827</v>
      </c>
      <c r="AG9822">
        <v>-1.1213821213339901</v>
      </c>
      <c r="AH9822">
        <v>39.2728894001024</v>
      </c>
      <c r="AI9822">
        <v>91.629758750628696</v>
      </c>
      <c r="AJ9822">
        <v>94.826827799138997</v>
      </c>
      <c r="AK9822">
        <v>39.428613422376898</v>
      </c>
      <c r="AL9822">
        <v>79.108917822363907</v>
      </c>
      <c r="AM9822">
        <v>92.553442705701997</v>
      </c>
      <c r="AN9822">
        <v>0.99999998210892904</v>
      </c>
    </row>
    <row r="9823" spans="1:40" x14ac:dyDescent="0.25">
      <c r="A9823" t="str">
        <f>"20190303162139860"</f>
        <v>20190303162139860</v>
      </c>
      <c r="B9823" t="str">
        <f>"1551601299852027"</f>
        <v>1551601299852027</v>
      </c>
      <c r="C9823" t="s">
        <v>40</v>
      </c>
      <c r="D9823">
        <v>4.5473319999999999</v>
      </c>
      <c r="E9823">
        <v>0.48679080000000002</v>
      </c>
      <c r="F9823" t="s">
        <v>41</v>
      </c>
      <c r="G9823">
        <v>-190.0976</v>
      </c>
      <c r="H9823" s="1">
        <v>-4.2518349999999996E-6</v>
      </c>
      <c r="I9823">
        <v>59.439720000000001</v>
      </c>
      <c r="J9823">
        <v>-187.2989</v>
      </c>
      <c r="K9823">
        <v>1.121397</v>
      </c>
      <c r="L9823">
        <v>17.78107</v>
      </c>
      <c r="M9823">
        <v>1.476479E-2</v>
      </c>
      <c r="N9823">
        <v>-1.136771E-2</v>
      </c>
      <c r="O9823">
        <v>0.9998264</v>
      </c>
      <c r="P9823">
        <v>-2.9446400000000001E-2</v>
      </c>
      <c r="Q9823">
        <v>0.17809140000000001</v>
      </c>
      <c r="R9823">
        <v>0.98357329999999998</v>
      </c>
      <c r="S9823">
        <v>-0.2037506</v>
      </c>
      <c r="T9823">
        <v>-8.1763740000000001E-2</v>
      </c>
      <c r="U9823">
        <v>3.058624</v>
      </c>
      <c r="V9823">
        <v>-4.3972980000000002E-2</v>
      </c>
      <c r="W9823">
        <v>0.18925349999999999</v>
      </c>
      <c r="X9823">
        <v>0.98094309999999996</v>
      </c>
      <c r="Y9823">
        <v>-8.116835E-2</v>
      </c>
      <c r="Z9823">
        <v>-1.5273719999999999E-2</v>
      </c>
      <c r="AA9823">
        <v>0.99658329999999995</v>
      </c>
      <c r="AB9823">
        <v>30</v>
      </c>
      <c r="AC9823">
        <v>-2.79869999999999</v>
      </c>
      <c r="AD9823">
        <v>-1.1214012518350001</v>
      </c>
      <c r="AE9823">
        <v>41.658650000000002</v>
      </c>
      <c r="AF9823">
        <v>-3.41105521417319</v>
      </c>
      <c r="AG9823">
        <v>-1.1214012518350001</v>
      </c>
      <c r="AH9823">
        <v>41.582787077482301</v>
      </c>
      <c r="AI9823">
        <v>91.539604738899001</v>
      </c>
      <c r="AJ9823">
        <v>94.6894995012549</v>
      </c>
      <c r="AK9823">
        <v>41.737525316829498</v>
      </c>
      <c r="AL9823">
        <v>79.0907767872704</v>
      </c>
      <c r="AM9823">
        <v>92.566693818384806</v>
      </c>
      <c r="AN9823">
        <v>0.99999993783496799</v>
      </c>
    </row>
    <row r="9824" spans="1:40" x14ac:dyDescent="0.25">
      <c r="A9824" t="str">
        <f>"20190303162139884"</f>
        <v>20190303162139884</v>
      </c>
      <c r="B9824" t="str">
        <f>"1551601299871868"</f>
        <v>1551601299871868</v>
      </c>
      <c r="C9824" t="s">
        <v>40</v>
      </c>
      <c r="D9824">
        <v>4.5493880000000004</v>
      </c>
      <c r="E9824">
        <v>0.48728250000000001</v>
      </c>
      <c r="F9824" t="s">
        <v>41</v>
      </c>
      <c r="G9824">
        <v>-190.1859</v>
      </c>
      <c r="H9824" s="1">
        <v>-9.7898360000000008E-7</v>
      </c>
      <c r="I9824">
        <v>61.755859999999998</v>
      </c>
      <c r="J9824">
        <v>-187.2944</v>
      </c>
      <c r="K9824">
        <v>1.121429</v>
      </c>
      <c r="L9824">
        <v>18.089659999999999</v>
      </c>
      <c r="M9824">
        <v>1.466628E-2</v>
      </c>
      <c r="N9824">
        <v>-1.1370760000000001E-2</v>
      </c>
      <c r="O9824">
        <v>0.99982780000000004</v>
      </c>
      <c r="P9824">
        <v>-2.9164659999999999E-2</v>
      </c>
      <c r="Q9824">
        <v>0.178203</v>
      </c>
      <c r="R9824">
        <v>0.98356149999999998</v>
      </c>
      <c r="S9824">
        <v>-0.20077510000000001</v>
      </c>
      <c r="T9824">
        <v>-7.7987669999999995E-2</v>
      </c>
      <c r="U9824">
        <v>3.0582280000000002</v>
      </c>
      <c r="V9824">
        <v>-4.3609050000000003E-2</v>
      </c>
      <c r="W9824">
        <v>0.189364</v>
      </c>
      <c r="X9824">
        <v>0.98093810000000004</v>
      </c>
      <c r="Y9824">
        <v>-8.0115249999999999E-2</v>
      </c>
      <c r="Z9824">
        <v>-1.4046039999999999E-2</v>
      </c>
      <c r="AA9824">
        <v>0.99668659999999998</v>
      </c>
      <c r="AB9824">
        <v>30</v>
      </c>
      <c r="AC9824">
        <v>-2.8915000000000002</v>
      </c>
      <c r="AD9824">
        <v>-1.1214299789836</v>
      </c>
      <c r="AE9824">
        <v>43.666200000000003</v>
      </c>
      <c r="AF9824">
        <v>-3.5293334356733599</v>
      </c>
      <c r="AG9824">
        <v>-1.1214299789836</v>
      </c>
      <c r="AH9824">
        <v>43.590467595071402</v>
      </c>
      <c r="AI9824">
        <v>91.468889927964298</v>
      </c>
      <c r="AJ9824">
        <v>94.628896625454701</v>
      </c>
      <c r="AK9824">
        <v>43.747487526198498</v>
      </c>
      <c r="AL9824">
        <v>79.084329863426007</v>
      </c>
      <c r="AM9824">
        <v>92.545492313659807</v>
      </c>
      <c r="AN9824">
        <v>1.0000000148847501</v>
      </c>
    </row>
    <row r="9825" spans="1:40" x14ac:dyDescent="0.25">
      <c r="A9825" t="str">
        <f>"20190303162139907"</f>
        <v>20190303162139907</v>
      </c>
      <c r="B9825" t="str">
        <f>"1551601299892363"</f>
        <v>1551601299892363</v>
      </c>
      <c r="C9825" t="s">
        <v>40</v>
      </c>
      <c r="D9825">
        <v>4.5491299999999999</v>
      </c>
      <c r="E9825">
        <v>0.4877628</v>
      </c>
      <c r="F9825" t="s">
        <v>41</v>
      </c>
      <c r="G9825">
        <v>-190.23679999999999</v>
      </c>
      <c r="H9825" s="1">
        <v>-1.888915E-6</v>
      </c>
      <c r="I9825">
        <v>63.845370000000003</v>
      </c>
      <c r="J9825">
        <v>-187.2901</v>
      </c>
      <c r="K9825">
        <v>1.1214759999999999</v>
      </c>
      <c r="L9825">
        <v>18.388549999999999</v>
      </c>
      <c r="M9825">
        <v>1.4494079999999999E-2</v>
      </c>
      <c r="N9825">
        <v>-1.137382E-2</v>
      </c>
      <c r="O9825">
        <v>0.9998302</v>
      </c>
      <c r="P9825">
        <v>-2.842451E-2</v>
      </c>
      <c r="Q9825">
        <v>0.1783305</v>
      </c>
      <c r="R9825">
        <v>0.98355999999999999</v>
      </c>
      <c r="S9825">
        <v>-0.19664000000000001</v>
      </c>
      <c r="T9825">
        <v>-7.4946170000000006E-2</v>
      </c>
      <c r="U9825">
        <v>3.0578919999999998</v>
      </c>
      <c r="V9825">
        <v>-4.2724869999999998E-2</v>
      </c>
      <c r="W9825">
        <v>0.18948999999999999</v>
      </c>
      <c r="X9825">
        <v>0.98095270000000001</v>
      </c>
      <c r="Y9825">
        <v>-7.8610120000000006E-2</v>
      </c>
      <c r="Z9825">
        <v>-1.305746E-2</v>
      </c>
      <c r="AA9825">
        <v>0.99681989999999998</v>
      </c>
      <c r="AB9825">
        <v>30</v>
      </c>
      <c r="AC9825">
        <v>-2.9466999999999901</v>
      </c>
      <c r="AD9825">
        <v>-1.1214778889150001</v>
      </c>
      <c r="AE9825">
        <v>45.456819999999901</v>
      </c>
      <c r="AF9825">
        <v>-3.60310394169968</v>
      </c>
      <c r="AG9825">
        <v>-1.1214778889150001</v>
      </c>
      <c r="AH9825">
        <v>45.381824855588498</v>
      </c>
      <c r="AI9825">
        <v>91.411169064061397</v>
      </c>
      <c r="AJ9825">
        <v>94.539493610426405</v>
      </c>
      <c r="AK9825">
        <v>45.5384463710975</v>
      </c>
      <c r="AL9825">
        <v>79.076977724910705</v>
      </c>
      <c r="AM9825">
        <v>92.493910842306093</v>
      </c>
      <c r="AN9825">
        <v>1.0000000371269</v>
      </c>
    </row>
    <row r="9826" spans="1:40" x14ac:dyDescent="0.25">
      <c r="A9826" t="str">
        <f>"20190303162139930"</f>
        <v>20190303162139930</v>
      </c>
      <c r="B9826" t="str">
        <f>"1551601299922619"</f>
        <v>1551601299922619</v>
      </c>
      <c r="C9826" t="s">
        <v>40</v>
      </c>
      <c r="D9826">
        <v>4.5817839999999999</v>
      </c>
      <c r="E9826">
        <v>0.48837180000000002</v>
      </c>
      <c r="F9826" t="s">
        <v>41</v>
      </c>
      <c r="G9826">
        <v>-190.26519999999999</v>
      </c>
      <c r="H9826" s="1">
        <v>-2.7892139999999999E-6</v>
      </c>
      <c r="I9826">
        <v>65.926329999999993</v>
      </c>
      <c r="J9826">
        <v>-187.28579999999999</v>
      </c>
      <c r="K9826">
        <v>1.1215539999999999</v>
      </c>
      <c r="L9826">
        <v>18.711760000000002</v>
      </c>
      <c r="M9826">
        <v>1.418764E-2</v>
      </c>
      <c r="N9826">
        <v>-1.137756E-2</v>
      </c>
      <c r="O9826">
        <v>0.99983460000000002</v>
      </c>
      <c r="P9826">
        <v>-2.7431919999999999E-2</v>
      </c>
      <c r="Q9826">
        <v>0.17777499999999999</v>
      </c>
      <c r="R9826">
        <v>0.98368869999999997</v>
      </c>
      <c r="S9826">
        <v>-0.19136049999999999</v>
      </c>
      <c r="T9826">
        <v>-7.2134610000000002E-2</v>
      </c>
      <c r="U9826">
        <v>3.0576780000000001</v>
      </c>
      <c r="V9826">
        <v>-4.1470180000000002E-2</v>
      </c>
      <c r="W9826">
        <v>0.18893180000000001</v>
      </c>
      <c r="X9826">
        <v>0.98111409999999999</v>
      </c>
      <c r="Y9826">
        <v>-7.6596139999999993E-2</v>
      </c>
      <c r="Z9826">
        <v>-1.214257E-2</v>
      </c>
      <c r="AA9826">
        <v>0.99698819999999999</v>
      </c>
      <c r="AB9826">
        <v>30</v>
      </c>
      <c r="AC9826">
        <v>-2.9793999999999898</v>
      </c>
      <c r="AD9826">
        <v>-1.1215567892139999</v>
      </c>
      <c r="AE9826">
        <v>47.214570000000002</v>
      </c>
      <c r="AF9826">
        <v>-3.6469570569540202</v>
      </c>
      <c r="AG9826">
        <v>-1.1215567892139999</v>
      </c>
      <c r="AH9826">
        <v>47.141048874183099</v>
      </c>
      <c r="AI9826">
        <v>91.358837352612596</v>
      </c>
      <c r="AJ9826">
        <v>94.423742758398902</v>
      </c>
      <c r="AK9826">
        <v>47.295207731490301</v>
      </c>
      <c r="AL9826">
        <v>79.109547491541093</v>
      </c>
      <c r="AM9826">
        <v>92.420363503166996</v>
      </c>
      <c r="AN9826">
        <v>0.99999993904963902</v>
      </c>
    </row>
    <row r="9827" spans="1:40" x14ac:dyDescent="0.25">
      <c r="A9827" t="str">
        <f>"20190303162139951"</f>
        <v>20190303162139951</v>
      </c>
      <c r="B9827" t="str">
        <f>"1551601299942141"</f>
        <v>1551601299942141</v>
      </c>
      <c r="C9827" t="s">
        <v>40</v>
      </c>
      <c r="D9827">
        <v>4.5703740000000002</v>
      </c>
      <c r="E9827">
        <v>0.48869679999999999</v>
      </c>
      <c r="F9827" t="s">
        <v>41</v>
      </c>
      <c r="G9827">
        <v>-190.22489999999999</v>
      </c>
      <c r="H9827" s="1">
        <v>-3.4028540000000001E-6</v>
      </c>
      <c r="I9827">
        <v>67.381739999999994</v>
      </c>
      <c r="J9827">
        <v>-187.28190000000001</v>
      </c>
      <c r="K9827">
        <v>1.121626</v>
      </c>
      <c r="L9827">
        <v>19.01041</v>
      </c>
      <c r="M9827">
        <v>1.381056E-2</v>
      </c>
      <c r="N9827">
        <v>-1.138105E-2</v>
      </c>
      <c r="O9827">
        <v>0.99983979999999995</v>
      </c>
      <c r="P9827">
        <v>-2.6875550000000002E-2</v>
      </c>
      <c r="Q9827">
        <v>0.17646629999999899</v>
      </c>
      <c r="R9827">
        <v>0.98393969999999997</v>
      </c>
      <c r="S9827">
        <v>-0.1846313</v>
      </c>
      <c r="T9827">
        <v>-7.0453760000000004E-2</v>
      </c>
      <c r="U9827">
        <v>3.0573429999999999</v>
      </c>
      <c r="V9827">
        <v>-4.0581840000000001E-2</v>
      </c>
      <c r="W9827">
        <v>0.18762200000000001</v>
      </c>
      <c r="X9827">
        <v>0.98140260000000001</v>
      </c>
      <c r="Y9827">
        <v>-7.404173E-2</v>
      </c>
      <c r="Z9827">
        <v>-1.15979E-2</v>
      </c>
      <c r="AA9827">
        <v>0.99718770000000001</v>
      </c>
      <c r="AB9827">
        <v>30</v>
      </c>
      <c r="AC9827">
        <v>-2.9429999999999801</v>
      </c>
      <c r="AD9827">
        <v>-1.1216294028539999</v>
      </c>
      <c r="AE9827">
        <v>48.37133</v>
      </c>
      <c r="AF9827">
        <v>-3.6088644984731402</v>
      </c>
      <c r="AG9827">
        <v>-1.1216294028539999</v>
      </c>
      <c r="AH9827">
        <v>48.300194899422102</v>
      </c>
      <c r="AI9827">
        <v>91.326589714469705</v>
      </c>
      <c r="AJ9827">
        <v>94.273051201097701</v>
      </c>
      <c r="AK9827">
        <v>48.447815046788698</v>
      </c>
      <c r="AL9827">
        <v>79.1859605478368</v>
      </c>
      <c r="AM9827">
        <v>92.367880675627106</v>
      </c>
      <c r="AN9827">
        <v>0.99999998195427198</v>
      </c>
    </row>
    <row r="9828" spans="1:40" x14ac:dyDescent="0.25">
      <c r="A9828" t="str">
        <f>"20190303162139973"</f>
        <v>20190303162139973</v>
      </c>
      <c r="B9828" t="str">
        <f>"1551601299962635"</f>
        <v>1551601299962635</v>
      </c>
      <c r="C9828" t="s">
        <v>40</v>
      </c>
      <c r="D9828">
        <v>4.5713939999999997</v>
      </c>
      <c r="E9828">
        <v>0.48898570000000002</v>
      </c>
      <c r="F9828" t="s">
        <v>41</v>
      </c>
      <c r="G9828">
        <v>-190.08629999999999</v>
      </c>
      <c r="H9828" s="1">
        <v>-2.9570039999999999E-6</v>
      </c>
      <c r="I9828">
        <v>66.42841</v>
      </c>
      <c r="J9828">
        <v>-187.27850000000001</v>
      </c>
      <c r="K9828">
        <v>1.121699</v>
      </c>
      <c r="L9828">
        <v>19.291260000000001</v>
      </c>
      <c r="M9828">
        <v>1.335447E-2</v>
      </c>
      <c r="N9828">
        <v>-1.138428E-2</v>
      </c>
      <c r="O9828">
        <v>0.99984600000000001</v>
      </c>
      <c r="P9828">
        <v>-2.6599620000000001E-2</v>
      </c>
      <c r="Q9828">
        <v>0.175336299999999</v>
      </c>
      <c r="R9828">
        <v>0.98414919999999995</v>
      </c>
      <c r="S9828">
        <v>-0.1808014</v>
      </c>
      <c r="T9828">
        <v>-7.2310689999999997E-2</v>
      </c>
      <c r="U9828">
        <v>3.057007</v>
      </c>
      <c r="V9828">
        <v>-3.9896099999999997E-2</v>
      </c>
      <c r="W9828">
        <v>0.18649080000000001</v>
      </c>
      <c r="X9828">
        <v>0.98164629999999997</v>
      </c>
      <c r="Y9828">
        <v>-7.2348090000000004E-2</v>
      </c>
      <c r="Z9828">
        <v>-1.22056E-2</v>
      </c>
      <c r="AA9828">
        <v>0.99730469999999904</v>
      </c>
      <c r="AB9828">
        <v>30</v>
      </c>
      <c r="AC9828">
        <v>-2.8077999999999799</v>
      </c>
      <c r="AD9828">
        <v>-1.1217019570039899</v>
      </c>
      <c r="AE9828">
        <v>47.137149999999998</v>
      </c>
      <c r="AF9828">
        <v>-3.4351436811698899</v>
      </c>
      <c r="AG9828">
        <v>-1.1217019570039899</v>
      </c>
      <c r="AH9828">
        <v>47.068887140285099</v>
      </c>
      <c r="AI9828">
        <v>91.361541577910899</v>
      </c>
      <c r="AJ9828">
        <v>94.174114216285403</v>
      </c>
      <c r="AK9828">
        <v>47.207399462536799</v>
      </c>
      <c r="AL9828">
        <v>79.251938160411996</v>
      </c>
      <c r="AM9828">
        <v>92.327336037065606</v>
      </c>
      <c r="AN9828">
        <v>0.99999998779177002</v>
      </c>
    </row>
    <row r="9829" spans="1:40" x14ac:dyDescent="0.25">
      <c r="A9829" t="str">
        <f>"20190303162139994"</f>
        <v>20190303162139994</v>
      </c>
      <c r="B9829" t="str">
        <f>"1551601299982155"</f>
        <v>1551601299982155</v>
      </c>
      <c r="C9829" t="s">
        <v>40</v>
      </c>
      <c r="D9829">
        <v>4.6237089999999998</v>
      </c>
      <c r="E9829">
        <v>0.48920000000000002</v>
      </c>
      <c r="F9829" t="s">
        <v>41</v>
      </c>
      <c r="G9829">
        <v>-189.99119999999999</v>
      </c>
      <c r="H9829" s="1">
        <v>-2.6723280000000002E-6</v>
      </c>
      <c r="I9829">
        <v>65.823849999999993</v>
      </c>
      <c r="J9829">
        <v>-187.27510000000001</v>
      </c>
      <c r="K9829">
        <v>1.121783</v>
      </c>
      <c r="L9829">
        <v>19.583950000000002</v>
      </c>
      <c r="M9829">
        <v>1.2755880000000001E-2</v>
      </c>
      <c r="N9829">
        <v>-1.138772E-2</v>
      </c>
      <c r="O9829">
        <v>0.99985380000000001</v>
      </c>
      <c r="P9829">
        <v>-2.6064750000000001E-2</v>
      </c>
      <c r="Q9829">
        <v>0.1743875</v>
      </c>
      <c r="R9829">
        <v>0.98433210000000004</v>
      </c>
      <c r="S9829">
        <v>-0.17819209999999999</v>
      </c>
      <c r="T9829">
        <v>-7.3682549999999999E-2</v>
      </c>
      <c r="U9829">
        <v>3.0566409999999999</v>
      </c>
      <c r="V9829">
        <v>-3.8814880000000003E-2</v>
      </c>
      <c r="W9829">
        <v>0.18554010000000001</v>
      </c>
      <c r="X9829">
        <v>0.98186980000000001</v>
      </c>
      <c r="Y9829">
        <v>-7.0909310000000003E-2</v>
      </c>
      <c r="Z9829">
        <v>-1.265485E-2</v>
      </c>
      <c r="AA9829">
        <v>0.99740249999999997</v>
      </c>
      <c r="AB9829">
        <v>30</v>
      </c>
      <c r="AC9829">
        <v>-2.71609999999998</v>
      </c>
      <c r="AD9829">
        <v>-1.121785672328</v>
      </c>
      <c r="AE9829">
        <v>46.239899999999899</v>
      </c>
      <c r="AF9829">
        <v>-3.3038100672467001</v>
      </c>
      <c r="AG9829">
        <v>-1.121785672328</v>
      </c>
      <c r="AH9829">
        <v>46.1744062941031</v>
      </c>
      <c r="AI9829">
        <v>91.388153092872699</v>
      </c>
      <c r="AJ9829">
        <v>94.092577385536501</v>
      </c>
      <c r="AK9829">
        <v>46.306040217967102</v>
      </c>
      <c r="AL9829">
        <v>79.307377124651197</v>
      </c>
      <c r="AM9829">
        <v>92.263814827525493</v>
      </c>
      <c r="AN9829">
        <v>1.00000001388473</v>
      </c>
    </row>
    <row r="9830" spans="1:40" x14ac:dyDescent="0.25">
      <c r="A9830" t="str">
        <f>"20190303162140017"</f>
        <v>20190303162140017</v>
      </c>
      <c r="B9830" t="str">
        <f>"1551601300012411"</f>
        <v>1551601300012411</v>
      </c>
      <c r="C9830" t="s">
        <v>40</v>
      </c>
      <c r="D9830">
        <v>4.6238650000000003</v>
      </c>
      <c r="E9830">
        <v>0.48951090000000003</v>
      </c>
      <c r="F9830" t="s">
        <v>41</v>
      </c>
      <c r="G9830">
        <v>-189.92009999999999</v>
      </c>
      <c r="H9830" s="1">
        <v>-2.6371469999999999E-6</v>
      </c>
      <c r="I9830">
        <v>65.746969999999905</v>
      </c>
      <c r="J9830">
        <v>-187.27199999999999</v>
      </c>
      <c r="K9830">
        <v>1.1218699999999999</v>
      </c>
      <c r="L9830">
        <v>19.89011</v>
      </c>
      <c r="M9830">
        <v>1.1998750000000001E-2</v>
      </c>
      <c r="N9830">
        <v>-1.139155E-2</v>
      </c>
      <c r="O9830">
        <v>0.9998631</v>
      </c>
      <c r="P9830">
        <v>-2.6090120000000001E-2</v>
      </c>
      <c r="Q9830">
        <v>0.17270650000000001</v>
      </c>
      <c r="R9830">
        <v>0.98462769999999999</v>
      </c>
      <c r="S9830">
        <v>-0.17510990000000001</v>
      </c>
      <c r="T9830">
        <v>-7.4269059999999998E-2</v>
      </c>
      <c r="U9830">
        <v>3.0562740000000002</v>
      </c>
      <c r="V9830">
        <v>-3.8142179999999998E-2</v>
      </c>
      <c r="W9830">
        <v>0.1838582</v>
      </c>
      <c r="X9830">
        <v>0.98221250000000004</v>
      </c>
      <c r="Y9830">
        <v>-6.9158410000000003E-2</v>
      </c>
      <c r="Z9830">
        <v>-1.2848099999999999E-2</v>
      </c>
      <c r="AA9830">
        <v>0.99752300000000005</v>
      </c>
      <c r="AB9830">
        <v>30</v>
      </c>
      <c r="AC9830">
        <v>-2.6480999999999701</v>
      </c>
      <c r="AD9830">
        <v>-1.121872637147</v>
      </c>
      <c r="AE9830">
        <v>45.856859999999898</v>
      </c>
      <c r="AF9830">
        <v>-3.1962633914684702</v>
      </c>
      <c r="AG9830">
        <v>-1.121872637147</v>
      </c>
      <c r="AH9830">
        <v>45.794464700009797</v>
      </c>
      <c r="AI9830">
        <v>91.399946721861795</v>
      </c>
      <c r="AJ9830">
        <v>93.992532631466602</v>
      </c>
      <c r="AK9830">
        <v>45.919578559064199</v>
      </c>
      <c r="AL9830">
        <v>79.405430061232906</v>
      </c>
      <c r="AM9830">
        <v>92.223845054658497</v>
      </c>
      <c r="AN9830">
        <v>1.0000000293793201</v>
      </c>
    </row>
    <row r="9831" spans="1:40" x14ac:dyDescent="0.25">
      <c r="A9831" t="str">
        <f>"20190303162140039"</f>
        <v>20190303162140039</v>
      </c>
      <c r="B9831" t="str">
        <f>"1551601300031931"</f>
        <v>1551601300031931</v>
      </c>
      <c r="C9831" t="s">
        <v>40</v>
      </c>
      <c r="D9831">
        <v>4.6462529999999997</v>
      </c>
      <c r="E9831">
        <v>0.4896702</v>
      </c>
      <c r="F9831" t="s">
        <v>41</v>
      </c>
      <c r="G9831">
        <v>-189.78790000000001</v>
      </c>
      <c r="H9831" s="1">
        <v>-2.0995610000000002E-6</v>
      </c>
      <c r="I9831">
        <v>64.439210000000003</v>
      </c>
      <c r="J9831">
        <v>-187.26929999999999</v>
      </c>
      <c r="K9831">
        <v>1.1219600000000001</v>
      </c>
      <c r="L9831">
        <v>20.1936</v>
      </c>
      <c r="M9831">
        <v>1.113368E-2</v>
      </c>
      <c r="N9831">
        <v>-1.1395570000000001E-2</v>
      </c>
      <c r="O9831">
        <v>0.99987309999999996</v>
      </c>
      <c r="P9831">
        <v>-2.6414900000000002E-2</v>
      </c>
      <c r="Q9831">
        <v>0.17116339999999999</v>
      </c>
      <c r="R9831">
        <v>0.98488849999999994</v>
      </c>
      <c r="S9831">
        <v>-0.17257690000000001</v>
      </c>
      <c r="T9831">
        <v>-7.6952580000000007E-2</v>
      </c>
      <c r="U9831">
        <v>3.0557560000000001</v>
      </c>
      <c r="V9831">
        <v>-3.7659070000000003E-2</v>
      </c>
      <c r="W9831">
        <v>0.182314</v>
      </c>
      <c r="X9831">
        <v>0.98251889999999997</v>
      </c>
      <c r="Y9831">
        <v>-6.7479999999999998E-2</v>
      </c>
      <c r="Z9831">
        <v>-1.372664E-2</v>
      </c>
      <c r="AA9831">
        <v>0.99762620000000002</v>
      </c>
      <c r="AB9831">
        <v>30</v>
      </c>
      <c r="AC9831">
        <v>-2.5186000000000202</v>
      </c>
      <c r="AD9831">
        <v>-1.121962099561</v>
      </c>
      <c r="AE9831">
        <v>44.245609999999999</v>
      </c>
      <c r="AF9831">
        <v>-3.0091636515082998</v>
      </c>
      <c r="AG9831">
        <v>-1.121962099561</v>
      </c>
      <c r="AH9831">
        <v>44.186503649719</v>
      </c>
      <c r="AI9831">
        <v>91.451154139397104</v>
      </c>
      <c r="AJ9831">
        <v>93.895908566679793</v>
      </c>
      <c r="AK9831">
        <v>44.303058242304701</v>
      </c>
      <c r="AL9831">
        <v>79.495427077206898</v>
      </c>
      <c r="AM9831">
        <v>92.195021448145098</v>
      </c>
      <c r="AN9831">
        <v>0.99999999450323696</v>
      </c>
    </row>
    <row r="9832" spans="1:40" x14ac:dyDescent="0.25">
      <c r="A9832" t="str">
        <f>"20190303162140062"</f>
        <v>20190303162140062</v>
      </c>
      <c r="B9832" t="str">
        <f>"1551601300052427"</f>
        <v>1551601300052427</v>
      </c>
      <c r="C9832" t="s">
        <v>40</v>
      </c>
      <c r="D9832">
        <v>4.5776349999999999</v>
      </c>
      <c r="E9832">
        <v>0.48984860000000002</v>
      </c>
      <c r="F9832" t="s">
        <v>41</v>
      </c>
      <c r="G9832">
        <v>-189.66900000000001</v>
      </c>
      <c r="H9832" s="1">
        <v>-1.5082659999999999E-6</v>
      </c>
      <c r="I9832">
        <v>63.011690000000002</v>
      </c>
      <c r="J9832">
        <v>-187.26689999999999</v>
      </c>
      <c r="K9832">
        <v>1.122039</v>
      </c>
      <c r="L9832">
        <v>20.49417</v>
      </c>
      <c r="M9832">
        <v>1.0187699999999999E-2</v>
      </c>
      <c r="N9832">
        <v>-1.139941E-2</v>
      </c>
      <c r="O9832">
        <v>0.99988310000000002</v>
      </c>
      <c r="P9832">
        <v>-2.7653759999999999E-2</v>
      </c>
      <c r="Q9832">
        <v>0.1705517</v>
      </c>
      <c r="R9832">
        <v>0.98496059999999996</v>
      </c>
      <c r="S9832">
        <v>-0.1712341</v>
      </c>
      <c r="T9832">
        <v>-8.0059530000000004E-2</v>
      </c>
      <c r="U9832">
        <v>3.0553590000000002</v>
      </c>
      <c r="V9832">
        <v>-3.8001260000000002E-2</v>
      </c>
      <c r="W9832">
        <v>0.18169940000000001</v>
      </c>
      <c r="X9832">
        <v>0.98261960000000004</v>
      </c>
      <c r="Y9832">
        <v>-6.6105339999999999E-2</v>
      </c>
      <c r="Z9832">
        <v>-1.4742359999999999E-2</v>
      </c>
      <c r="AA9832">
        <v>0.99770369999999997</v>
      </c>
      <c r="AB9832">
        <v>30</v>
      </c>
      <c r="AC9832">
        <v>-2.4021000000000101</v>
      </c>
      <c r="AD9832">
        <v>-1.1220405082660001</v>
      </c>
      <c r="AE9832">
        <v>42.517519999999998</v>
      </c>
      <c r="AF9832">
        <v>-2.8331923610177201</v>
      </c>
      <c r="AG9832">
        <v>-1.1220405082660001</v>
      </c>
      <c r="AH9832">
        <v>42.461362227251101</v>
      </c>
      <c r="AI9832">
        <v>91.510330607568903</v>
      </c>
      <c r="AJ9832">
        <v>93.817345819308699</v>
      </c>
      <c r="AK9832">
        <v>42.5705677205572</v>
      </c>
      <c r="AL9832">
        <v>79.531239525847894</v>
      </c>
      <c r="AM9832">
        <v>92.214720020335804</v>
      </c>
      <c r="AN9832">
        <v>1.0000000230130499</v>
      </c>
    </row>
    <row r="9833" spans="1:40" x14ac:dyDescent="0.25">
      <c r="A9833" t="str">
        <f>"20190303162140084"</f>
        <v>20190303162140084</v>
      </c>
      <c r="B9833" t="str">
        <f>"1551601300071947"</f>
        <v>1551601300071947</v>
      </c>
      <c r="C9833" t="s">
        <v>40</v>
      </c>
      <c r="D9833">
        <v>4.6321919999999999</v>
      </c>
      <c r="E9833">
        <v>0.49002859999999998</v>
      </c>
      <c r="F9833" t="s">
        <v>41</v>
      </c>
      <c r="G9833">
        <v>-189.65620000000001</v>
      </c>
      <c r="H9833" s="1">
        <v>-1.4569880000000001E-6</v>
      </c>
      <c r="I9833">
        <v>62.886890000000001</v>
      </c>
      <c r="J9833">
        <v>-187.26499999999999</v>
      </c>
      <c r="K9833">
        <v>1.1220950000000001</v>
      </c>
      <c r="L9833">
        <v>20.792760000000001</v>
      </c>
      <c r="M9833">
        <v>9.1831269999999993E-3</v>
      </c>
      <c r="N9833">
        <v>-1.1402809999999999E-2</v>
      </c>
      <c r="O9833">
        <v>0.99989280000000003</v>
      </c>
      <c r="P9833">
        <v>-3.0688650000000001E-2</v>
      </c>
      <c r="Q9833">
        <v>0.17050999999999999</v>
      </c>
      <c r="R9833">
        <v>0.98487789999999997</v>
      </c>
      <c r="S9833">
        <v>-0.17218020000000001</v>
      </c>
      <c r="T9833">
        <v>-8.0857990000000005E-2</v>
      </c>
      <c r="U9833">
        <v>3.0549620000000002</v>
      </c>
      <c r="V9833">
        <v>-4.0071589999999997E-2</v>
      </c>
      <c r="W9833">
        <v>0.18165110000000001</v>
      </c>
      <c r="X9833">
        <v>0.98254629999999998</v>
      </c>
      <c r="Y9833">
        <v>-6.5417890000000006E-2</v>
      </c>
      <c r="Z9833">
        <v>-1.500405E-2</v>
      </c>
      <c r="AA9833">
        <v>0.9977452</v>
      </c>
      <c r="AB9833">
        <v>30</v>
      </c>
      <c r="AC9833">
        <v>-2.39120000000002</v>
      </c>
      <c r="AD9833">
        <v>-1.1220964569879901</v>
      </c>
      <c r="AE9833">
        <v>42.09413</v>
      </c>
      <c r="AF9833">
        <v>-2.7757139994526998</v>
      </c>
      <c r="AG9833">
        <v>-1.1220964569879901</v>
      </c>
      <c r="AH9833">
        <v>42.040617285145899</v>
      </c>
      <c r="AI9833">
        <v>91.5255854838353</v>
      </c>
      <c r="AJ9833">
        <v>93.777447069468295</v>
      </c>
      <c r="AK9833">
        <v>42.147089939658301</v>
      </c>
      <c r="AL9833">
        <v>79.534053956587798</v>
      </c>
      <c r="AM9833">
        <v>92.335423096765794</v>
      </c>
      <c r="AN9833">
        <v>1.00000004305001</v>
      </c>
    </row>
    <row r="9834" spans="1:40" x14ac:dyDescent="0.25">
      <c r="A9834" t="str">
        <f>"20190303162140107"</f>
        <v>20190303162140107</v>
      </c>
      <c r="B9834" t="str">
        <f>"1551601300092443"</f>
        <v>1551601300092443</v>
      </c>
      <c r="C9834" t="s">
        <v>40</v>
      </c>
      <c r="D9834">
        <v>4.6700330000000001</v>
      </c>
      <c r="E9834">
        <v>0.49017240000000001</v>
      </c>
      <c r="F9834" t="s">
        <v>41</v>
      </c>
      <c r="G9834">
        <v>-189.7766</v>
      </c>
      <c r="H9834" s="1">
        <v>-1.8408739999999999E-6</v>
      </c>
      <c r="I9834">
        <v>63.831499999999998</v>
      </c>
      <c r="J9834">
        <v>-187.26339999999999</v>
      </c>
      <c r="K9834">
        <v>1.122131</v>
      </c>
      <c r="L9834">
        <v>21.092649999999999</v>
      </c>
      <c r="M9834">
        <v>8.1284459999999992E-3</v>
      </c>
      <c r="N9834">
        <v>-1.140597E-2</v>
      </c>
      <c r="O9834">
        <v>0.99990190000000001</v>
      </c>
      <c r="P9834">
        <v>-3.5518340000000002E-2</v>
      </c>
      <c r="Q9834">
        <v>0.16956749999999901</v>
      </c>
      <c r="R9834">
        <v>0.98487829999999998</v>
      </c>
      <c r="S9834">
        <v>-0.17823789999999901</v>
      </c>
      <c r="T9834">
        <v>-7.9630850000000003E-2</v>
      </c>
      <c r="U9834">
        <v>3.0542910000000001</v>
      </c>
      <c r="V9834">
        <v>-4.387593E-2</v>
      </c>
      <c r="W9834">
        <v>0.180701</v>
      </c>
      <c r="X9834">
        <v>0.98255890000000001</v>
      </c>
      <c r="Y9834">
        <v>-6.6350309999999996E-2</v>
      </c>
      <c r="Z9834">
        <v>-1.460433E-2</v>
      </c>
      <c r="AA9834">
        <v>0.99768950000000001</v>
      </c>
      <c r="AB9834">
        <v>30</v>
      </c>
      <c r="AC9834">
        <v>-2.5132000000000101</v>
      </c>
      <c r="AD9834">
        <v>-1.1221328408739999</v>
      </c>
      <c r="AE9834">
        <v>42.738849999999999</v>
      </c>
      <c r="AF9834">
        <v>-2.85857621731004</v>
      </c>
      <c r="AG9834">
        <v>-1.1221328408739999</v>
      </c>
      <c r="AH9834">
        <v>42.687682580211103</v>
      </c>
      <c r="AI9834">
        <v>91.502426354980898</v>
      </c>
      <c r="AJ9834">
        <v>93.831086162191895</v>
      </c>
      <c r="AK9834">
        <v>42.798000936627801</v>
      </c>
      <c r="AL9834">
        <v>79.589405961561297</v>
      </c>
      <c r="AM9834">
        <v>92.556830596658301</v>
      </c>
      <c r="AN9834">
        <v>0.999999970301787</v>
      </c>
    </row>
    <row r="9835" spans="1:40" x14ac:dyDescent="0.25">
      <c r="A9835" t="str">
        <f>"20190303162140130"</f>
        <v>20190303162140130</v>
      </c>
      <c r="B9835" t="str">
        <f>"1551601300122699"</f>
        <v>1551601300122699</v>
      </c>
      <c r="C9835" t="s">
        <v>40</v>
      </c>
      <c r="D9835">
        <v>4.635821</v>
      </c>
      <c r="E9835">
        <v>0.4903979</v>
      </c>
      <c r="F9835" t="s">
        <v>41</v>
      </c>
      <c r="G9835">
        <v>-189.90479999999999</v>
      </c>
      <c r="H9835" s="1">
        <v>-1.598921E-6</v>
      </c>
      <c r="I9835">
        <v>63.320529999999998</v>
      </c>
      <c r="J9835">
        <v>-187.262</v>
      </c>
      <c r="K9835">
        <v>1.1221589999999999</v>
      </c>
      <c r="L9835">
        <v>21.41647</v>
      </c>
      <c r="M9835">
        <v>6.968709E-3</v>
      </c>
      <c r="N9835">
        <v>-1.140916E-2</v>
      </c>
      <c r="O9835">
        <v>0.99991070000000004</v>
      </c>
      <c r="P9835">
        <v>-4.0877419999999998E-2</v>
      </c>
      <c r="Q9835">
        <v>0.16915949999999999</v>
      </c>
      <c r="R9835">
        <v>0.98474059999999997</v>
      </c>
      <c r="S9835">
        <v>-0.19097900000000001</v>
      </c>
      <c r="T9835">
        <v>-8.1131700000000001E-2</v>
      </c>
      <c r="U9835">
        <v>3.053131</v>
      </c>
      <c r="V9835">
        <v>-4.8097800000000003E-2</v>
      </c>
      <c r="W9835">
        <v>0.1802849</v>
      </c>
      <c r="X9835">
        <v>0.98243769999999997</v>
      </c>
      <c r="Y9835">
        <v>-6.9361779999999998E-2</v>
      </c>
      <c r="Z9835">
        <v>-1.509571E-2</v>
      </c>
      <c r="AA9835">
        <v>0.99747739999999996</v>
      </c>
      <c r="AB9835">
        <v>30</v>
      </c>
      <c r="AC9835">
        <v>-2.64279999999999</v>
      </c>
      <c r="AD9835">
        <v>-1.122160598921</v>
      </c>
      <c r="AE9835">
        <v>41.904060000000001</v>
      </c>
      <c r="AF9835">
        <v>-2.9326772287275298</v>
      </c>
      <c r="AG9835">
        <v>-1.122160598921</v>
      </c>
      <c r="AH9835">
        <v>41.854727900214002</v>
      </c>
      <c r="AI9835">
        <v>91.532025959638005</v>
      </c>
      <c r="AJ9835">
        <v>94.008050247558202</v>
      </c>
      <c r="AK9835">
        <v>41.972349085304103</v>
      </c>
      <c r="AL9835">
        <v>79.613644499585305</v>
      </c>
      <c r="AM9835">
        <v>92.802826438790603</v>
      </c>
      <c r="AN9835">
        <v>0.99999993895706796</v>
      </c>
    </row>
    <row r="9836" spans="1:40" x14ac:dyDescent="0.25">
      <c r="A9836" t="str">
        <f>"20190303162140153"</f>
        <v>20190303162140153</v>
      </c>
      <c r="B9836" t="str">
        <f>"1551601300142220"</f>
        <v>1551601300142220</v>
      </c>
      <c r="C9836" t="s">
        <v>40</v>
      </c>
      <c r="D9836">
        <v>4.6517480000000004</v>
      </c>
      <c r="E9836">
        <v>0.49063329999999999</v>
      </c>
      <c r="F9836" t="s">
        <v>41</v>
      </c>
      <c r="G9836">
        <v>-190.15129999999999</v>
      </c>
      <c r="H9836" s="1">
        <v>-2.0510450000000001E-6</v>
      </c>
      <c r="I9836">
        <v>64.276319999999998</v>
      </c>
      <c r="J9836">
        <v>-187.261</v>
      </c>
      <c r="K9836">
        <v>1.122185</v>
      </c>
      <c r="L9836">
        <v>21.723970000000001</v>
      </c>
      <c r="M9836">
        <v>5.8686559999999999E-3</v>
      </c>
      <c r="N9836">
        <v>-1.1411910000000001E-2</v>
      </c>
      <c r="O9836">
        <v>0.99991770000000002</v>
      </c>
      <c r="P9836">
        <v>-4.5453449999999999E-2</v>
      </c>
      <c r="Q9836">
        <v>0.1698354</v>
      </c>
      <c r="R9836">
        <v>0.98442359999999896</v>
      </c>
      <c r="S9836">
        <v>-0.20571900000000001</v>
      </c>
      <c r="T9836">
        <v>-7.9899070000000003E-2</v>
      </c>
      <c r="U9836">
        <v>3.051666</v>
      </c>
      <c r="V9836">
        <v>-5.159188E-2</v>
      </c>
      <c r="W9836">
        <v>0.18095240000000001</v>
      </c>
      <c r="X9836">
        <v>0.9821377</v>
      </c>
      <c r="Y9836">
        <v>-7.3091069999999994E-2</v>
      </c>
      <c r="Z9836">
        <v>-1.46959E-2</v>
      </c>
      <c r="AA9836">
        <v>0.99721700000000002</v>
      </c>
      <c r="AB9836">
        <v>30</v>
      </c>
      <c r="AC9836">
        <v>-2.8902999999999901</v>
      </c>
      <c r="AD9836">
        <v>-1.1221870510450001</v>
      </c>
      <c r="AE9836">
        <v>42.552349999999997</v>
      </c>
      <c r="AF9836">
        <v>-3.1378193149226501</v>
      </c>
      <c r="AG9836">
        <v>-1.1221870510450001</v>
      </c>
      <c r="AH9836">
        <v>42.505228148784902</v>
      </c>
      <c r="AI9836">
        <v>91.508221183257106</v>
      </c>
      <c r="AJ9836">
        <v>94.222028371364701</v>
      </c>
      <c r="AK9836">
        <v>42.635661526601098</v>
      </c>
      <c r="AL9836">
        <v>79.574760444540601</v>
      </c>
      <c r="AM9836">
        <v>93.006994362748003</v>
      </c>
      <c r="AN9836">
        <v>0.99999997745449198</v>
      </c>
    </row>
    <row r="9837" spans="1:40" x14ac:dyDescent="0.25">
      <c r="A9837" t="str">
        <f>"20190303162140309"</f>
        <v>20190303162140309</v>
      </c>
      <c r="B9837" t="str">
        <f>"1551601300302283"</f>
        <v>1551601300302283</v>
      </c>
      <c r="C9837" t="s">
        <v>40</v>
      </c>
      <c r="D9837">
        <v>4.6708559999999997</v>
      </c>
      <c r="E9837">
        <v>0.52354060000000002</v>
      </c>
      <c r="F9837" t="s">
        <v>41</v>
      </c>
      <c r="G9837">
        <v>-190.50210000000001</v>
      </c>
      <c r="H9837" s="1">
        <v>-3.2555769999999998E-6</v>
      </c>
      <c r="I9837">
        <v>66.866519999999994</v>
      </c>
      <c r="J9837">
        <v>-187.26159999999999</v>
      </c>
      <c r="K9837">
        <v>1.1219239999999999</v>
      </c>
      <c r="L9837">
        <v>23.822749999999999</v>
      </c>
      <c r="M9837">
        <v>-3.997917E-4</v>
      </c>
      <c r="N9837">
        <v>-1.142898E-2</v>
      </c>
      <c r="O9837">
        <v>0.99993460000000001</v>
      </c>
      <c r="P9837">
        <v>-5.3438289999999999E-2</v>
      </c>
      <c r="Q9837">
        <v>0.1693067</v>
      </c>
      <c r="R9837">
        <v>0.98411360000000003</v>
      </c>
      <c r="S9837">
        <v>-0.21900939999999999</v>
      </c>
      <c r="T9837">
        <v>-7.5830339999999996E-2</v>
      </c>
      <c r="U9837">
        <v>3.050446</v>
      </c>
      <c r="V9837">
        <v>-5.330414E-2</v>
      </c>
      <c r="W9837">
        <v>0.1804674</v>
      </c>
      <c r="X9837">
        <v>0.98213550000000005</v>
      </c>
      <c r="Y9837">
        <v>-7.119164E-2</v>
      </c>
      <c r="Z9837">
        <v>-1.3360769999999999E-2</v>
      </c>
      <c r="AA9837">
        <v>0.99737319999999996</v>
      </c>
      <c r="AB9837">
        <v>30</v>
      </c>
      <c r="AC9837">
        <v>-3.2405000000000199</v>
      </c>
      <c r="AD9837">
        <v>-1.1219272555769999</v>
      </c>
      <c r="AE9837">
        <v>43.043770000000002</v>
      </c>
      <c r="AF9837">
        <v>-3.2211140672401899</v>
      </c>
      <c r="AG9837">
        <v>-1.1219272555769999</v>
      </c>
      <c r="AH9837">
        <v>43.016002921785301</v>
      </c>
      <c r="AI9837">
        <v>91.489859023066202</v>
      </c>
      <c r="AJ9837">
        <v>94.282416590598899</v>
      </c>
      <c r="AK9837">
        <v>43.151023208818799</v>
      </c>
      <c r="AL9837">
        <v>79.603014049587003</v>
      </c>
      <c r="AM9837">
        <v>93.106606760123498</v>
      </c>
      <c r="AN9837">
        <v>0.999999977082074</v>
      </c>
    </row>
    <row r="9838" spans="1:40" x14ac:dyDescent="0.25">
      <c r="A9838" t="str">
        <f>"20190303162140332"</f>
        <v>20190303162140332</v>
      </c>
      <c r="B9838" t="str">
        <f>"1551601300322779"</f>
        <v>1551601300322779</v>
      </c>
      <c r="C9838" t="s">
        <v>40</v>
      </c>
      <c r="D9838">
        <v>4.6619659999999996</v>
      </c>
      <c r="E9838">
        <v>0.52559239999999996</v>
      </c>
      <c r="F9838" t="s">
        <v>41</v>
      </c>
      <c r="G9838">
        <v>-187.1499</v>
      </c>
      <c r="H9838" s="1">
        <v>-2.1687370000000001E-6</v>
      </c>
      <c r="I9838">
        <v>43.509680000000003</v>
      </c>
      <c r="J9838">
        <v>-187.26249999999999</v>
      </c>
      <c r="K9838">
        <v>1.1218629999999901</v>
      </c>
      <c r="L9838">
        <v>24.139040000000001</v>
      </c>
      <c r="M9838">
        <v>-1.055711E-3</v>
      </c>
      <c r="N9838">
        <v>-1.1431439999999999E-2</v>
      </c>
      <c r="O9838">
        <v>0.99993410000000005</v>
      </c>
      <c r="P9838">
        <v>-5.3212049999999997E-2</v>
      </c>
      <c r="Q9838">
        <v>0.1693519</v>
      </c>
      <c r="R9838">
        <v>0.9841181</v>
      </c>
      <c r="S9838">
        <v>1.747131E-2</v>
      </c>
      <c r="T9838">
        <v>-0.17549919999999999</v>
      </c>
      <c r="U9838">
        <v>3.0795590000000002</v>
      </c>
      <c r="V9838">
        <v>-5.2406260000000003E-2</v>
      </c>
      <c r="W9838">
        <v>0.18052370000000001</v>
      </c>
      <c r="X9838">
        <v>0.98217350000000003</v>
      </c>
      <c r="Y9838">
        <v>6.7204860000000003E-3</v>
      </c>
      <c r="Z9838">
        <v>-4.5478270000000001E-2</v>
      </c>
      <c r="AA9838">
        <v>0.99894269999999996</v>
      </c>
      <c r="AB9838">
        <v>30</v>
      </c>
      <c r="AC9838">
        <v>0.112599999999986</v>
      </c>
      <c r="AD9838">
        <v>-1.12186516873699</v>
      </c>
      <c r="AE9838">
        <v>19.370640000000002</v>
      </c>
      <c r="AF9838">
        <v>0.13260629375830399</v>
      </c>
      <c r="AG9838">
        <v>-1.12186516873699</v>
      </c>
      <c r="AH9838">
        <v>19.305756481673001</v>
      </c>
      <c r="AI9838">
        <v>93.325662096377698</v>
      </c>
      <c r="AJ9838">
        <v>89.606456162805102</v>
      </c>
      <c r="AK9838">
        <v>19.338779672348199</v>
      </c>
      <c r="AL9838">
        <v>79.599734706957705</v>
      </c>
      <c r="AM9838">
        <v>93.054259596481799</v>
      </c>
      <c r="AN9838">
        <v>1.00000000322556</v>
      </c>
    </row>
    <row r="9839" spans="1:40" x14ac:dyDescent="0.25">
      <c r="A9839" t="str">
        <f>"20190303162140376"</f>
        <v>20190303162140376</v>
      </c>
      <c r="B9839" t="str">
        <f>"1551601300362795"</f>
        <v>1551601300362795</v>
      </c>
      <c r="C9839" t="s">
        <v>40</v>
      </c>
      <c r="D9839">
        <v>4.7483440000000003</v>
      </c>
      <c r="E9839">
        <v>0.52321899999999999</v>
      </c>
      <c r="F9839" t="s">
        <v>41</v>
      </c>
      <c r="G9839">
        <v>-186.82490000000001</v>
      </c>
      <c r="H9839" s="1">
        <v>-1.563825E-6</v>
      </c>
      <c r="I9839">
        <v>61.760910000000003</v>
      </c>
      <c r="J9839">
        <v>-187.26439999999999</v>
      </c>
      <c r="K9839">
        <v>1.1217710000000001</v>
      </c>
      <c r="L9839">
        <v>24.737729999999999</v>
      </c>
      <c r="M9839">
        <v>-2.1161299999999999E-3</v>
      </c>
      <c r="N9839">
        <v>-1.1436139999999999E-2</v>
      </c>
      <c r="O9839">
        <v>0.9999323</v>
      </c>
      <c r="P9839">
        <v>-5.2637980000000001E-2</v>
      </c>
      <c r="Q9839">
        <v>0.16991020000000001</v>
      </c>
      <c r="R9839">
        <v>0.9840527</v>
      </c>
      <c r="S9839">
        <v>3.5659789999999997E-2</v>
      </c>
      <c r="T9839">
        <v>-9.1428640000000005E-2</v>
      </c>
      <c r="U9839">
        <v>3.066071</v>
      </c>
      <c r="V9839">
        <v>-5.0747479999999998E-2</v>
      </c>
      <c r="W9839">
        <v>0.1811005</v>
      </c>
      <c r="X9839">
        <v>0.98215439999999998</v>
      </c>
      <c r="Y9839">
        <v>1.3740560000000001E-2</v>
      </c>
      <c r="Z9839">
        <v>-1.8370569999999999E-2</v>
      </c>
      <c r="AA9839">
        <v>0.99973679999999998</v>
      </c>
      <c r="AB9839">
        <v>30</v>
      </c>
      <c r="AC9839">
        <v>0.43949999999998102</v>
      </c>
      <c r="AD9839">
        <v>-1.12177256382499</v>
      </c>
      <c r="AE9839">
        <v>37.023180000000004</v>
      </c>
      <c r="AF9839">
        <v>0.51737510188714897</v>
      </c>
      <c r="AG9839">
        <v>-1.12177256382499</v>
      </c>
      <c r="AH9839">
        <v>36.988215071678802</v>
      </c>
      <c r="AI9839">
        <v>91.736954805614801</v>
      </c>
      <c r="AJ9839">
        <v>89.198623759795296</v>
      </c>
      <c r="AK9839">
        <v>37.008838199405403</v>
      </c>
      <c r="AL9839">
        <v>79.566132432699106</v>
      </c>
      <c r="AM9839">
        <v>92.957817052482994</v>
      </c>
      <c r="AN9839">
        <v>0.99999998163297998</v>
      </c>
    </row>
    <row r="9840" spans="1:40" x14ac:dyDescent="0.25">
      <c r="A9840" t="str">
        <f>"20190303162140396"</f>
        <v>20190303162140396</v>
      </c>
      <c r="B9840" t="str">
        <f>"1551601300393051"</f>
        <v>1551601300393051</v>
      </c>
      <c r="C9840" t="s">
        <v>40</v>
      </c>
      <c r="D9840">
        <v>4.7299069999999999</v>
      </c>
      <c r="E9840">
        <v>0.51962710000000001</v>
      </c>
      <c r="F9840" t="s">
        <v>41</v>
      </c>
      <c r="G9840">
        <v>-186.79040000000001</v>
      </c>
      <c r="H9840" s="1">
        <v>-1.3450339999999999E-6</v>
      </c>
      <c r="I9840">
        <v>101.09099999999999</v>
      </c>
      <c r="J9840">
        <v>-187.2655</v>
      </c>
      <c r="K9840">
        <v>1.121734</v>
      </c>
      <c r="L9840">
        <v>25.026610000000002</v>
      </c>
      <c r="M9840">
        <v>-2.5437429999999998E-3</v>
      </c>
      <c r="N9840">
        <v>-1.14384E-2</v>
      </c>
      <c r="O9840">
        <v>0.99993129999999997</v>
      </c>
      <c r="P9840">
        <v>-5.1520450000000002E-2</v>
      </c>
      <c r="Q9840">
        <v>0.17077790000000001</v>
      </c>
      <c r="R9840">
        <v>0.98396159999999999</v>
      </c>
      <c r="S9840">
        <v>1.8981930000000001E-2</v>
      </c>
      <c r="T9840">
        <v>-4.491854E-2</v>
      </c>
      <c r="U9840">
        <v>3.0573730000000001</v>
      </c>
      <c r="V9840">
        <v>-4.9191499999999999E-2</v>
      </c>
      <c r="W9840">
        <v>0.18197650000000001</v>
      </c>
      <c r="X9840">
        <v>0.98207169999999999</v>
      </c>
      <c r="Y9840">
        <v>8.7509570000000002E-3</v>
      </c>
      <c r="Z9840">
        <v>-3.25158E-3</v>
      </c>
      <c r="AA9840">
        <v>0.99995639999999997</v>
      </c>
      <c r="AB9840">
        <v>30</v>
      </c>
      <c r="AC9840">
        <v>0.47509999999999702</v>
      </c>
      <c r="AD9840">
        <v>-1.121735345034</v>
      </c>
      <c r="AE9840">
        <v>76.064390000000003</v>
      </c>
      <c r="AF9840">
        <v>0.66845402046802604</v>
      </c>
      <c r="AG9840">
        <v>-1.121735345034</v>
      </c>
      <c r="AH9840">
        <v>76.046397387531997</v>
      </c>
      <c r="AI9840">
        <v>90.845057230293193</v>
      </c>
      <c r="AJ9840">
        <v>89.496378406867706</v>
      </c>
      <c r="AK9840">
        <v>76.057607618069397</v>
      </c>
      <c r="AL9840">
        <v>79.515093839732003</v>
      </c>
      <c r="AM9840">
        <v>92.867521527208893</v>
      </c>
      <c r="AN9840">
        <v>1.00000003708269</v>
      </c>
    </row>
    <row r="9841" spans="1:40" x14ac:dyDescent="0.25">
      <c r="A9841" t="str">
        <f>"20190303162140419"</f>
        <v>20190303162140419</v>
      </c>
      <c r="B9841" t="str">
        <f>"1551601300412571"</f>
        <v>1551601300412571</v>
      </c>
      <c r="C9841" t="s">
        <v>40</v>
      </c>
      <c r="D9841">
        <v>4.7280629999999997</v>
      </c>
      <c r="E9841">
        <v>0.51792539999999998</v>
      </c>
      <c r="F9841" t="s">
        <v>41</v>
      </c>
      <c r="G9841">
        <v>-187.5787</v>
      </c>
      <c r="H9841" s="1">
        <v>-2.9043209999999998E-6</v>
      </c>
      <c r="I9841">
        <v>164.86670000000001</v>
      </c>
      <c r="J9841">
        <v>-187.26669999999999</v>
      </c>
      <c r="K9841">
        <v>1.1216969999999999</v>
      </c>
      <c r="L9841">
        <v>25.33456</v>
      </c>
      <c r="M9841">
        <v>-2.9491700000000001E-3</v>
      </c>
      <c r="N9841">
        <v>-1.1440820000000001E-2</v>
      </c>
      <c r="O9841">
        <v>0.99993019999999999</v>
      </c>
      <c r="P9841">
        <v>-4.9286759999999999E-2</v>
      </c>
      <c r="Q9841">
        <v>0.1718741</v>
      </c>
      <c r="R9841">
        <v>0.98388520000000002</v>
      </c>
      <c r="S9841">
        <v>-6.8359379999999997E-3</v>
      </c>
      <c r="T9841">
        <v>-2.448821E-2</v>
      </c>
      <c r="U9841">
        <v>3.0527950000000001</v>
      </c>
      <c r="V9841">
        <v>-4.6541880000000001E-2</v>
      </c>
      <c r="W9841">
        <v>0.18308150000000001</v>
      </c>
      <c r="X9841">
        <v>0.98199539999999996</v>
      </c>
      <c r="Y9841">
        <v>7.100664E-4</v>
      </c>
      <c r="Z9841">
        <v>3.4196959999999998E-3</v>
      </c>
      <c r="AA9841">
        <v>0.99999389999999999</v>
      </c>
      <c r="AB9841">
        <v>30</v>
      </c>
      <c r="AC9841">
        <v>-0.31200000000001099</v>
      </c>
      <c r="AD9841">
        <v>-1.1216999043210001</v>
      </c>
      <c r="AE9841">
        <v>139.53214</v>
      </c>
      <c r="AF9841">
        <v>9.9525861512056599E-2</v>
      </c>
      <c r="AG9841">
        <v>-1.1216999043210001</v>
      </c>
      <c r="AH9841">
        <v>139.52343657661001</v>
      </c>
      <c r="AI9841">
        <v>90.460619886075406</v>
      </c>
      <c r="AJ9841">
        <v>89.959129369303298</v>
      </c>
      <c r="AK9841">
        <v>139.52798095801401</v>
      </c>
      <c r="AL9841">
        <v>79.450699545704097</v>
      </c>
      <c r="AM9841">
        <v>92.713515027562806</v>
      </c>
      <c r="AN9841">
        <v>0.99999997392867102</v>
      </c>
    </row>
    <row r="9842" spans="1:40" x14ac:dyDescent="0.25">
      <c r="A9842" t="str">
        <f>"20190303162140440"</f>
        <v>20190303162140440</v>
      </c>
      <c r="B9842" t="str">
        <f>"1551601300432091"</f>
        <v>1551601300432091</v>
      </c>
      <c r="C9842" t="s">
        <v>40</v>
      </c>
      <c r="D9842">
        <v>4.7987520000000004</v>
      </c>
      <c r="E9842">
        <v>0.51693059999999902</v>
      </c>
      <c r="F9842" t="s">
        <v>41</v>
      </c>
      <c r="G9842">
        <v>-188.61170000000001</v>
      </c>
      <c r="H9842" s="1">
        <v>-2.3814039999999999E-6</v>
      </c>
      <c r="I9842">
        <v>314.1481</v>
      </c>
      <c r="J9842">
        <v>-187.2679</v>
      </c>
      <c r="K9842">
        <v>1.1216660000000001</v>
      </c>
      <c r="L9842">
        <v>25.619420000000002</v>
      </c>
      <c r="M9842">
        <v>-3.287941E-3</v>
      </c>
      <c r="N9842">
        <v>-1.1443099999999999E-2</v>
      </c>
      <c r="O9842">
        <v>0.99992910000000002</v>
      </c>
      <c r="P9842">
        <v>-4.6639359999999998E-2</v>
      </c>
      <c r="Q9842">
        <v>0.1725341</v>
      </c>
      <c r="R9842">
        <v>0.98389879999999996</v>
      </c>
      <c r="S9842">
        <v>-1.420593E-2</v>
      </c>
      <c r="T9842">
        <v>-1.184762E-2</v>
      </c>
      <c r="U9842">
        <v>3.0505070000000001</v>
      </c>
      <c r="V9842">
        <v>-4.3545880000000002E-2</v>
      </c>
      <c r="W9842">
        <v>0.18374989999999999</v>
      </c>
      <c r="X9842">
        <v>0.98200799999999999</v>
      </c>
      <c r="Y9842">
        <v>-1.3684599999999999E-3</v>
      </c>
      <c r="Z9842">
        <v>7.5594410000000001E-3</v>
      </c>
      <c r="AA9842">
        <v>0.99997049999999998</v>
      </c>
      <c r="AB9842">
        <v>30</v>
      </c>
      <c r="AC9842">
        <v>-1.3438000000000101</v>
      </c>
      <c r="AD9842">
        <v>-1.121668381404</v>
      </c>
      <c r="AE9842">
        <v>288.52868000000001</v>
      </c>
      <c r="AF9842">
        <v>-0.39505935207341702</v>
      </c>
      <c r="AG9842">
        <v>-1.121668381404</v>
      </c>
      <c r="AH9842">
        <v>288.52717841862898</v>
      </c>
      <c r="AI9842">
        <v>90.222739780085902</v>
      </c>
      <c r="AJ9842">
        <v>90.078450908887106</v>
      </c>
      <c r="AK9842">
        <v>288.52962915108901</v>
      </c>
      <c r="AL9842">
        <v>79.411742329894807</v>
      </c>
      <c r="AM9842">
        <v>92.539044192134497</v>
      </c>
      <c r="AN9842">
        <v>0.99999999073949197</v>
      </c>
    </row>
    <row r="9843" spans="1:40" x14ac:dyDescent="0.25">
      <c r="A9843" t="str">
        <f>"20190303162140463"</f>
        <v>20190303162140463</v>
      </c>
      <c r="B9843" t="str">
        <f>"1551601300452587"</f>
        <v>1551601300452587</v>
      </c>
      <c r="C9843" t="s">
        <v>40</v>
      </c>
      <c r="D9843">
        <v>4.8678910000000002</v>
      </c>
      <c r="E9843">
        <v>0.53686659999999997</v>
      </c>
      <c r="F9843" t="s">
        <v>92</v>
      </c>
      <c r="G9843">
        <v>-188.96510000000001</v>
      </c>
      <c r="H9843">
        <v>0.56506160000000005</v>
      </c>
      <c r="I9843">
        <v>391.87</v>
      </c>
      <c r="J9843">
        <v>-187.26929999999999</v>
      </c>
      <c r="K9843">
        <v>1.12164</v>
      </c>
      <c r="L9843">
        <v>25.92981</v>
      </c>
      <c r="M9843">
        <v>-3.6307269999999998E-3</v>
      </c>
      <c r="N9843">
        <v>-1.14456E-2</v>
      </c>
      <c r="O9843">
        <v>0.99992789999999998</v>
      </c>
      <c r="P9843">
        <v>-4.4173039999999997E-2</v>
      </c>
      <c r="Q9843">
        <v>0.17328789999999999</v>
      </c>
      <c r="R9843">
        <v>0.98388010000000004</v>
      </c>
      <c r="S9843">
        <v>-1.4129640000000001E-2</v>
      </c>
      <c r="T9843">
        <v>-4.6340230000000001E-3</v>
      </c>
      <c r="U9843">
        <v>3.0492249999999999</v>
      </c>
      <c r="V9843">
        <v>-4.072978E-2</v>
      </c>
      <c r="W9843">
        <v>0.18451110000000001</v>
      </c>
      <c r="X9843">
        <v>0.98198609999999997</v>
      </c>
      <c r="Y9843">
        <v>-1.002537E-3</v>
      </c>
      <c r="Z9843">
        <v>9.9258799999999998E-3</v>
      </c>
      <c r="AA9843">
        <v>0.99995020000000001</v>
      </c>
      <c r="AB9843">
        <v>30</v>
      </c>
      <c r="AC9843">
        <v>-1.69580000000001</v>
      </c>
      <c r="AD9843">
        <v>-0.55657839999999903</v>
      </c>
      <c r="AE9843">
        <v>365.94018999999997</v>
      </c>
      <c r="AF9843">
        <v>-0.36707200184759398</v>
      </c>
      <c r="AG9843">
        <v>-0.55657839999999903</v>
      </c>
      <c r="AH9843">
        <v>365.943088602778</v>
      </c>
      <c r="AI9843">
        <v>90.087143475716204</v>
      </c>
      <c r="AJ9843">
        <v>90.057472514400203</v>
      </c>
      <c r="AK9843">
        <v>365.94369596634698</v>
      </c>
      <c r="AL9843">
        <v>79.367369988872994</v>
      </c>
      <c r="AM9843">
        <v>92.375092331798896</v>
      </c>
      <c r="AN9843">
        <v>0.99999998079763397</v>
      </c>
    </row>
    <row r="9844" spans="1:40" x14ac:dyDescent="0.25">
      <c r="A9844" t="str">
        <f>"20190303162140485"</f>
        <v>20190303162140485</v>
      </c>
      <c r="B9844" t="str">
        <f>"1551601300472107"</f>
        <v>1551601300472107</v>
      </c>
      <c r="C9844" t="s">
        <v>40</v>
      </c>
      <c r="D9844">
        <v>4.8087600000000004</v>
      </c>
      <c r="E9844">
        <v>0.54579840000000002</v>
      </c>
      <c r="F9844" t="s">
        <v>58</v>
      </c>
      <c r="G9844">
        <v>0</v>
      </c>
      <c r="H9844">
        <v>0</v>
      </c>
      <c r="I9844">
        <v>0</v>
      </c>
      <c r="J9844">
        <v>-187.27070000000001</v>
      </c>
      <c r="K9844">
        <v>1.1216269999999999</v>
      </c>
      <c r="L9844">
        <v>26.229279999999999</v>
      </c>
      <c r="M9844">
        <v>-3.9431739999999998E-3</v>
      </c>
      <c r="N9844">
        <v>-1.144804E-2</v>
      </c>
      <c r="O9844">
        <v>0.99992669999999995</v>
      </c>
      <c r="P9844">
        <v>-4.1426299999999999E-2</v>
      </c>
      <c r="Q9844">
        <v>0.17338399999999901</v>
      </c>
      <c r="R9844">
        <v>0.98398260000000004</v>
      </c>
      <c r="S9844">
        <v>0.15199279999999901</v>
      </c>
      <c r="T9844">
        <v>-1.8799299999999999E-4</v>
      </c>
      <c r="U9844">
        <v>3.056</v>
      </c>
      <c r="V9844">
        <v>-3.7666980000000003E-2</v>
      </c>
      <c r="W9844">
        <v>0.18461469999999999</v>
      </c>
      <c r="X9844">
        <v>0.98208890000000004</v>
      </c>
      <c r="Y9844">
        <v>5.3605899999999998E-2</v>
      </c>
      <c r="Z9844">
        <v>1.138773E-2</v>
      </c>
      <c r="AA9844">
        <v>0.99849719999999997</v>
      </c>
      <c r="AB9844">
        <v>30</v>
      </c>
      <c r="AC9844">
        <v>0.15199279999999901</v>
      </c>
      <c r="AD9844">
        <v>-1.8799299999999999E-4</v>
      </c>
      <c r="AE9844">
        <v>3.056</v>
      </c>
      <c r="AF9844">
        <v>0.16404274697811599</v>
      </c>
      <c r="AG9844">
        <v>-1.8799299999999999E-4</v>
      </c>
      <c r="AH9844">
        <v>3.05537685363573</v>
      </c>
      <c r="AI9844">
        <v>90.003520257866697</v>
      </c>
      <c r="AJ9844">
        <v>86.926748498704399</v>
      </c>
      <c r="AK9844">
        <v>3.0597774062683798</v>
      </c>
      <c r="AL9844">
        <v>79.361330576916998</v>
      </c>
      <c r="AM9844">
        <v>92.196442377977505</v>
      </c>
      <c r="AN9844">
        <v>0.99999999817080998</v>
      </c>
    </row>
    <row r="9845" spans="1:40" x14ac:dyDescent="0.25">
      <c r="A9845" t="str">
        <f>"20190303162140510"</f>
        <v>20190303162140510</v>
      </c>
      <c r="B9845" t="str">
        <f>"1551601300502364"</f>
        <v>1551601300502364</v>
      </c>
      <c r="C9845" t="s">
        <v>40</v>
      </c>
      <c r="D9845">
        <v>4.7209539999999999</v>
      </c>
      <c r="E9845">
        <v>0.5491838</v>
      </c>
      <c r="F9845" t="s">
        <v>44</v>
      </c>
      <c r="G9845">
        <v>-168.7475</v>
      </c>
      <c r="H9845">
        <v>-0.05</v>
      </c>
      <c r="I9845">
        <v>272.02969999999999</v>
      </c>
      <c r="J9845">
        <v>-187.2724</v>
      </c>
      <c r="K9845">
        <v>1.1216090000000001</v>
      </c>
      <c r="L9845">
        <v>26.56345</v>
      </c>
      <c r="M9845">
        <v>-4.2791920000000002E-3</v>
      </c>
      <c r="N9845">
        <v>-1.1450719999999999E-2</v>
      </c>
      <c r="O9845">
        <v>0.99992530000000002</v>
      </c>
      <c r="P9845">
        <v>-3.7845280000000002E-2</v>
      </c>
      <c r="Q9845">
        <v>0.17341770000000001</v>
      </c>
      <c r="R9845">
        <v>0.98412100000000002</v>
      </c>
      <c r="S9845">
        <v>0.23068240000000001</v>
      </c>
      <c r="T9845">
        <v>-1.4591099999999999E-2</v>
      </c>
      <c r="U9845">
        <v>3.0611269999999999</v>
      </c>
      <c r="V9845">
        <v>-3.3749590000000003E-2</v>
      </c>
      <c r="W9845">
        <v>0.1846564</v>
      </c>
      <c r="X9845">
        <v>0.98222350000000003</v>
      </c>
      <c r="Y9845">
        <v>7.9403210000000002E-2</v>
      </c>
      <c r="Z9845">
        <v>6.7005519999999898E-3</v>
      </c>
      <c r="AA9845">
        <v>0.99682000000000004</v>
      </c>
      <c r="AB9845">
        <v>30</v>
      </c>
      <c r="AC9845">
        <v>18.524899999999999</v>
      </c>
      <c r="AD9845">
        <v>-1.1716089999999999</v>
      </c>
      <c r="AE9845">
        <v>245.46625</v>
      </c>
      <c r="AF9845">
        <v>19.5747530161219</v>
      </c>
      <c r="AG9845">
        <v>-1.1716089999999999</v>
      </c>
      <c r="AH9845">
        <v>245.379167028117</v>
      </c>
      <c r="AI9845">
        <v>90.272701080670998</v>
      </c>
      <c r="AJ9845">
        <v>85.4389743942086</v>
      </c>
      <c r="AK9845">
        <v>246.16149015372699</v>
      </c>
      <c r="AL9845">
        <v>79.358899699725498</v>
      </c>
      <c r="AM9845">
        <v>91.967931538136298</v>
      </c>
      <c r="AN9845">
        <v>1.0000000124191799</v>
      </c>
    </row>
    <row r="9846" spans="1:40" x14ac:dyDescent="0.25">
      <c r="A9846" t="str">
        <f>"20190303162140532"</f>
        <v>20190303162140532</v>
      </c>
      <c r="B9846" t="str">
        <f>"1551601300522859"</f>
        <v>1551601300522859</v>
      </c>
      <c r="C9846" t="s">
        <v>40</v>
      </c>
      <c r="D9846">
        <v>4.7404469999999996</v>
      </c>
      <c r="E9846">
        <v>0.55039139999999998</v>
      </c>
      <c r="F9846" t="s">
        <v>44</v>
      </c>
      <c r="G9846">
        <v>-172.1765</v>
      </c>
      <c r="H9846">
        <v>-0.05</v>
      </c>
      <c r="I9846">
        <v>199.1165</v>
      </c>
      <c r="J9846">
        <v>-187.274</v>
      </c>
      <c r="K9846">
        <v>1.121604</v>
      </c>
      <c r="L9846">
        <v>26.86844</v>
      </c>
      <c r="M9846">
        <v>-4.5814690000000003E-3</v>
      </c>
      <c r="N9846">
        <v>-1.145321E-2</v>
      </c>
      <c r="O9846">
        <v>0.99992389999999998</v>
      </c>
      <c r="P9846">
        <v>-3.5263540000000003E-2</v>
      </c>
      <c r="Q9846">
        <v>0.17372489999999999</v>
      </c>
      <c r="R9846">
        <v>0.98416269999999995</v>
      </c>
      <c r="S9846">
        <v>0.26791379999999998</v>
      </c>
      <c r="T9846">
        <v>-2.0793079999999999E-2</v>
      </c>
      <c r="U9846">
        <v>3.0623779999999998</v>
      </c>
      <c r="V9846">
        <v>-3.0867660000000002E-2</v>
      </c>
      <c r="W9846">
        <v>0.18496799999999999</v>
      </c>
      <c r="X9846">
        <v>0.98225960000000001</v>
      </c>
      <c r="Y9846">
        <v>9.1705579999999995E-2</v>
      </c>
      <c r="Z9846">
        <v>4.6933160000000003E-3</v>
      </c>
      <c r="AA9846">
        <v>0.99577510000000002</v>
      </c>
      <c r="AB9846">
        <v>30</v>
      </c>
      <c r="AC9846">
        <v>15.097499999999901</v>
      </c>
      <c r="AD9846">
        <v>-1.1716040000000001</v>
      </c>
      <c r="AE9846">
        <v>172.24806000000001</v>
      </c>
      <c r="AF9846">
        <v>15.8858130987335</v>
      </c>
      <c r="AG9846">
        <v>-1.1716040000000001</v>
      </c>
      <c r="AH9846">
        <v>172.16917406839599</v>
      </c>
      <c r="AI9846">
        <v>90.388240267225001</v>
      </c>
      <c r="AJ9846">
        <v>84.7283234846673</v>
      </c>
      <c r="AK9846">
        <v>172.90447135090099</v>
      </c>
      <c r="AL9846">
        <v>79.340732700924804</v>
      </c>
      <c r="AM9846">
        <v>91.799936394207194</v>
      </c>
      <c r="AN9846">
        <v>0.99999994762501598</v>
      </c>
    </row>
    <row r="9847" spans="1:40" x14ac:dyDescent="0.25">
      <c r="A9847" t="str">
        <f>"20190303162140555"</f>
        <v>20190303162140555</v>
      </c>
      <c r="B9847" t="str">
        <f>"1551601300542380"</f>
        <v>1551601300542380</v>
      </c>
      <c r="C9847" t="s">
        <v>40</v>
      </c>
      <c r="D9847">
        <v>4.711112</v>
      </c>
      <c r="E9847">
        <v>0.55059230000000003</v>
      </c>
      <c r="F9847" t="s">
        <v>44</v>
      </c>
      <c r="G9847">
        <v>-168.1412</v>
      </c>
      <c r="H9847">
        <v>-0.05</v>
      </c>
      <c r="I9847">
        <v>231.94970000000001</v>
      </c>
      <c r="J9847">
        <v>-187.2757</v>
      </c>
      <c r="K9847">
        <v>1.1216010000000001</v>
      </c>
      <c r="L9847">
        <v>27.172550000000001</v>
      </c>
      <c r="M9847">
        <v>-4.8826920000000001E-3</v>
      </c>
      <c r="N9847">
        <v>-1.1455760000000001E-2</v>
      </c>
      <c r="O9847">
        <v>0.99992250000000005</v>
      </c>
      <c r="P9847">
        <v>-3.3410910000000002E-2</v>
      </c>
      <c r="Q9847">
        <v>0.17337</v>
      </c>
      <c r="R9847">
        <v>0.98428990000000005</v>
      </c>
      <c r="S9847">
        <v>0.28562929999999997</v>
      </c>
      <c r="T9847">
        <v>-1.749063E-2</v>
      </c>
      <c r="U9847">
        <v>3.0616150000000002</v>
      </c>
      <c r="V9847">
        <v>-2.8715899999999999E-2</v>
      </c>
      <c r="W9847">
        <v>0.1846189</v>
      </c>
      <c r="X9847">
        <v>0.9823906</v>
      </c>
      <c r="Y9847">
        <v>9.7739969999999995E-2</v>
      </c>
      <c r="Z9847">
        <v>5.7718939999999996E-3</v>
      </c>
      <c r="AA9847">
        <v>0.9951953</v>
      </c>
      <c r="AB9847">
        <v>30</v>
      </c>
      <c r="AC9847">
        <v>19.134499999999999</v>
      </c>
      <c r="AD9847">
        <v>-1.1716009999999999</v>
      </c>
      <c r="AE9847">
        <v>204.77715000000001</v>
      </c>
      <c r="AF9847">
        <v>20.133547862047902</v>
      </c>
      <c r="AG9847">
        <v>-1.1716009999999999</v>
      </c>
      <c r="AH9847">
        <v>204.674632865619</v>
      </c>
      <c r="AI9847">
        <v>90.326394289152603</v>
      </c>
      <c r="AJ9847">
        <v>84.381971157655997</v>
      </c>
      <c r="AK9847">
        <v>205.66583998586799</v>
      </c>
      <c r="AL9847">
        <v>79.361085918324704</v>
      </c>
      <c r="AM9847">
        <v>91.674315203309504</v>
      </c>
      <c r="AN9847">
        <v>1.00000001605918</v>
      </c>
    </row>
    <row r="9848" spans="1:40" x14ac:dyDescent="0.25">
      <c r="A9848" t="str">
        <f>"20190303162140575"</f>
        <v>20190303162140575</v>
      </c>
      <c r="B9848" t="str">
        <f>"1551601300562875"</f>
        <v>1551601300562875</v>
      </c>
      <c r="C9848" t="s">
        <v>40</v>
      </c>
      <c r="D9848">
        <v>4.7601069999999996</v>
      </c>
      <c r="E9848">
        <v>0.55048459999999999</v>
      </c>
      <c r="F9848" t="s">
        <v>44</v>
      </c>
      <c r="G9848">
        <v>-166.90780000000001</v>
      </c>
      <c r="H9848">
        <v>-0.05</v>
      </c>
      <c r="I9848">
        <v>239.75559999999999</v>
      </c>
      <c r="J9848">
        <v>-187.2774</v>
      </c>
      <c r="K9848">
        <v>1.1215889999999999</v>
      </c>
      <c r="L9848">
        <v>27.454799999999999</v>
      </c>
      <c r="M9848">
        <v>-5.1640970000000003E-3</v>
      </c>
      <c r="N9848">
        <v>-1.145815E-2</v>
      </c>
      <c r="O9848">
        <v>0.99992099999999995</v>
      </c>
      <c r="P9848">
        <v>-3.2050820000000001E-2</v>
      </c>
      <c r="Q9848">
        <v>0.17339839999999901</v>
      </c>
      <c r="R9848">
        <v>0.98433009999999999</v>
      </c>
      <c r="S9848">
        <v>0.29325869999999998</v>
      </c>
      <c r="T9848">
        <v>-1.6868830000000001E-2</v>
      </c>
      <c r="U9848">
        <v>3.060791</v>
      </c>
      <c r="V9848">
        <v>-2.7077560000000001E-2</v>
      </c>
      <c r="W9848">
        <v>0.1846517</v>
      </c>
      <c r="X9848">
        <v>0.9824309</v>
      </c>
      <c r="Y9848">
        <v>0.1005028</v>
      </c>
      <c r="Z9848">
        <v>5.9766050000000003E-3</v>
      </c>
      <c r="AA9848">
        <v>0.99491879999999999</v>
      </c>
      <c r="AB9848">
        <v>30</v>
      </c>
      <c r="AC9848">
        <v>20.369599999999899</v>
      </c>
      <c r="AD9848">
        <v>-1.171589</v>
      </c>
      <c r="AE9848">
        <v>212.30080000000001</v>
      </c>
      <c r="AF9848">
        <v>21.465094536311099</v>
      </c>
      <c r="AG9848">
        <v>-1.171589</v>
      </c>
      <c r="AH9848">
        <v>212.18636828042099</v>
      </c>
      <c r="AI9848">
        <v>90.314749576119894</v>
      </c>
      <c r="AJ9848">
        <v>84.223523455167594</v>
      </c>
      <c r="AK9848">
        <v>213.27254344681199</v>
      </c>
      <c r="AL9848">
        <v>79.359173125844094</v>
      </c>
      <c r="AM9848">
        <v>91.578774891160506</v>
      </c>
      <c r="AN9848">
        <v>0.99999995892162596</v>
      </c>
    </row>
    <row r="9849" spans="1:40" x14ac:dyDescent="0.25">
      <c r="A9849" t="str">
        <f>"20190303162140598"</f>
        <v>20190303162140598</v>
      </c>
      <c r="B9849" t="str">
        <f>"1551601300593132"</f>
        <v>1551601300593132</v>
      </c>
      <c r="C9849" t="s">
        <v>40</v>
      </c>
      <c r="D9849">
        <v>4.6399569999999999</v>
      </c>
      <c r="E9849">
        <v>0.55092019999999997</v>
      </c>
      <c r="F9849" t="s">
        <v>44</v>
      </c>
      <c r="G9849">
        <v>-168.32759999999999</v>
      </c>
      <c r="H9849">
        <v>-0.05</v>
      </c>
      <c r="I9849">
        <v>223.2509</v>
      </c>
      <c r="J9849">
        <v>-187.27930000000001</v>
      </c>
      <c r="K9849">
        <v>1.1215900000000001</v>
      </c>
      <c r="L9849">
        <v>27.75806</v>
      </c>
      <c r="M9849">
        <v>-5.4687249999999998E-3</v>
      </c>
      <c r="N9849">
        <v>-1.1460740000000001E-2</v>
      </c>
      <c r="O9849">
        <v>0.99991940000000001</v>
      </c>
      <c r="P9849">
        <v>-3.037612E-2</v>
      </c>
      <c r="Q9849">
        <v>0.1732823</v>
      </c>
      <c r="R9849">
        <v>0.98440360000000005</v>
      </c>
      <c r="S9849">
        <v>0.29621890000000001</v>
      </c>
      <c r="T9849">
        <v>-1.8314E-2</v>
      </c>
      <c r="U9849">
        <v>3.060638</v>
      </c>
      <c r="V9849">
        <v>-2.510161E-2</v>
      </c>
      <c r="W9849">
        <v>0.18454010000000001</v>
      </c>
      <c r="X9849">
        <v>0.98250440000000006</v>
      </c>
      <c r="Y9849">
        <v>0.1017639</v>
      </c>
      <c r="Z9849">
        <v>5.509913E-3</v>
      </c>
      <c r="AA9849">
        <v>0.99479329999999999</v>
      </c>
      <c r="AB9849">
        <v>30</v>
      </c>
      <c r="AC9849">
        <v>18.951699999999999</v>
      </c>
      <c r="AD9849">
        <v>-1.1715899999999999</v>
      </c>
      <c r="AE9849">
        <v>195.49284</v>
      </c>
      <c r="AF9849">
        <v>20.019870992387101</v>
      </c>
      <c r="AG9849">
        <v>-1.1715899999999999</v>
      </c>
      <c r="AH9849">
        <v>195.379315921265</v>
      </c>
      <c r="AI9849">
        <v>90.341779899661404</v>
      </c>
      <c r="AJ9849">
        <v>84.149509930421999</v>
      </c>
      <c r="AK9849">
        <v>196.40581699008101</v>
      </c>
      <c r="AL9849">
        <v>79.365679776339704</v>
      </c>
      <c r="AM9849">
        <v>91.463508470551602</v>
      </c>
      <c r="AN9849">
        <v>1.00000001767598</v>
      </c>
    </row>
    <row r="9850" spans="1:40" x14ac:dyDescent="0.25">
      <c r="A9850" t="str">
        <f>"20190303162140621"</f>
        <v>20190303162140621</v>
      </c>
      <c r="B9850" t="str">
        <f>"1551601300612651"</f>
        <v>1551601300612651</v>
      </c>
      <c r="C9850" t="s">
        <v>40</v>
      </c>
      <c r="D9850">
        <v>4.6044510000000001</v>
      </c>
      <c r="E9850">
        <v>0.5514095</v>
      </c>
      <c r="F9850" t="s">
        <v>66</v>
      </c>
      <c r="G9850">
        <v>-169.34710000000001</v>
      </c>
      <c r="H9850">
        <v>0.12774659999999999</v>
      </c>
      <c r="I9850">
        <v>208.21559999999999</v>
      </c>
      <c r="J9850">
        <v>-187.28129999999999</v>
      </c>
      <c r="K9850">
        <v>1.1215850000000001</v>
      </c>
      <c r="L9850">
        <v>28.071470000000001</v>
      </c>
      <c r="M9850">
        <v>-5.7853770000000004E-3</v>
      </c>
      <c r="N9850">
        <v>-1.146339E-2</v>
      </c>
      <c r="O9850">
        <v>0.99991759999999996</v>
      </c>
      <c r="P9850">
        <v>-2.9439860000000002E-2</v>
      </c>
      <c r="Q9850">
        <v>0.173452</v>
      </c>
      <c r="R9850">
        <v>0.9844022</v>
      </c>
      <c r="S9850">
        <v>0.3040619</v>
      </c>
      <c r="T9850">
        <v>-1.6851189999999999E-2</v>
      </c>
      <c r="U9850">
        <v>3.0598749999999999</v>
      </c>
      <c r="V9850">
        <v>-2.3853200000000001E-2</v>
      </c>
      <c r="W9850">
        <v>0.1847126</v>
      </c>
      <c r="X9850">
        <v>0.98250309999999996</v>
      </c>
      <c r="Y9850">
        <v>0.1046275</v>
      </c>
      <c r="Z9850">
        <v>5.9885399999999997E-3</v>
      </c>
      <c r="AA9850">
        <v>0.99449339999999997</v>
      </c>
      <c r="AB9850">
        <v>30</v>
      </c>
      <c r="AC9850">
        <v>17.934199999999901</v>
      </c>
      <c r="AD9850">
        <v>-0.99383840000000001</v>
      </c>
      <c r="AE9850">
        <v>180.14412999999999</v>
      </c>
      <c r="AF9850">
        <v>18.9755980911169</v>
      </c>
      <c r="AG9850">
        <v>-0.99383840000000001</v>
      </c>
      <c r="AH9850">
        <v>180.031926168524</v>
      </c>
      <c r="AI9850">
        <v>90.314546917332393</v>
      </c>
      <c r="AJ9850">
        <v>83.983166239673494</v>
      </c>
      <c r="AK9850">
        <v>181.031918394602</v>
      </c>
      <c r="AL9850">
        <v>79.355623512248499</v>
      </c>
      <c r="AM9850">
        <v>91.390753133261299</v>
      </c>
      <c r="AN9850">
        <v>1.0000000306293</v>
      </c>
    </row>
    <row r="9851" spans="1:40" x14ac:dyDescent="0.25">
      <c r="A9851" t="str">
        <f>"20190303162140642"</f>
        <v>20190303162140642</v>
      </c>
      <c r="B9851" t="str">
        <f>"1551601300632171"</f>
        <v>1551601300632171</v>
      </c>
      <c r="C9851" t="s">
        <v>40</v>
      </c>
      <c r="D9851">
        <v>4.5940379999999896</v>
      </c>
      <c r="E9851">
        <v>0.55172909999999997</v>
      </c>
      <c r="F9851" t="s">
        <v>66</v>
      </c>
      <c r="G9851">
        <v>-168.9915</v>
      </c>
      <c r="H9851">
        <v>0.34842109999999998</v>
      </c>
      <c r="I9851">
        <v>208.21539999999999</v>
      </c>
      <c r="J9851">
        <v>-187.2833</v>
      </c>
      <c r="K9851">
        <v>1.121583</v>
      </c>
      <c r="L9851">
        <v>28.360749999999999</v>
      </c>
      <c r="M9851">
        <v>-6.0783269999999997E-3</v>
      </c>
      <c r="N9851">
        <v>-1.146587E-2</v>
      </c>
      <c r="O9851">
        <v>0.99991580000000002</v>
      </c>
      <c r="P9851">
        <v>-2.9038609999999999E-2</v>
      </c>
      <c r="Q9851">
        <v>0.173121</v>
      </c>
      <c r="R9851">
        <v>0.98447240000000003</v>
      </c>
      <c r="S9851">
        <v>0.3105927</v>
      </c>
      <c r="T9851">
        <v>-1.3129E-2</v>
      </c>
      <c r="U9851">
        <v>3.0591430000000002</v>
      </c>
      <c r="V9851">
        <v>-2.3162209999999999E-2</v>
      </c>
      <c r="W9851">
        <v>0.18438550000000001</v>
      </c>
      <c r="X9851">
        <v>0.98258100000000004</v>
      </c>
      <c r="Y9851">
        <v>0.1070435</v>
      </c>
      <c r="Z9851">
        <v>7.2013140000000003E-3</v>
      </c>
      <c r="AA9851">
        <v>0.99422820000000001</v>
      </c>
      <c r="AB9851">
        <v>30</v>
      </c>
      <c r="AC9851">
        <v>18.291799999999899</v>
      </c>
      <c r="AD9851">
        <v>-0.77316189999999996</v>
      </c>
      <c r="AE9851">
        <v>179.85464999999999</v>
      </c>
      <c r="AF9851">
        <v>19.3843947269702</v>
      </c>
      <c r="AG9851">
        <v>-0.77316189999999996</v>
      </c>
      <c r="AH9851">
        <v>179.73684872358399</v>
      </c>
      <c r="AI9851">
        <v>90.245042923758703</v>
      </c>
      <c r="AJ9851">
        <v>83.844513684475899</v>
      </c>
      <c r="AK9851">
        <v>180.78077145354601</v>
      </c>
      <c r="AL9851">
        <v>79.374691755819896</v>
      </c>
      <c r="AM9851">
        <v>91.350373298727703</v>
      </c>
      <c r="AN9851">
        <v>0.999999961071666</v>
      </c>
    </row>
    <row r="9852" spans="1:40" x14ac:dyDescent="0.25">
      <c r="A9852" t="str">
        <f>"20190303162140665"</f>
        <v>20190303162140665</v>
      </c>
      <c r="B9852" t="str">
        <f>"1551601300652667"</f>
        <v>1551601300652667</v>
      </c>
      <c r="C9852" t="s">
        <v>40</v>
      </c>
      <c r="D9852">
        <v>4.5319180000000001</v>
      </c>
      <c r="E9852">
        <v>0.55243799999999998</v>
      </c>
      <c r="F9852" t="s">
        <v>66</v>
      </c>
      <c r="G9852">
        <v>-168.8006</v>
      </c>
      <c r="H9852">
        <v>0.50039860000000003</v>
      </c>
      <c r="I9852">
        <v>208.21530000000001</v>
      </c>
      <c r="J9852">
        <v>-187.28550000000001</v>
      </c>
      <c r="K9852">
        <v>1.1215790000000001</v>
      </c>
      <c r="L9852">
        <v>28.666139999999999</v>
      </c>
      <c r="M9852">
        <v>-6.3876189999999998E-3</v>
      </c>
      <c r="N9852">
        <v>-1.14687E-2</v>
      </c>
      <c r="O9852">
        <v>0.99991379999999996</v>
      </c>
      <c r="P9852">
        <v>-2.862168E-2</v>
      </c>
      <c r="Q9852">
        <v>0.17318510000000001</v>
      </c>
      <c r="R9852">
        <v>0.9844733</v>
      </c>
      <c r="S9852">
        <v>0.31430049999999998</v>
      </c>
      <c r="T9852">
        <v>-1.056266E-2</v>
      </c>
      <c r="U9852">
        <v>3.0584410000000002</v>
      </c>
      <c r="V9852">
        <v>-2.2440370000000001E-2</v>
      </c>
      <c r="W9852">
        <v>0.18445300000000001</v>
      </c>
      <c r="X9852">
        <v>0.98258509999999999</v>
      </c>
      <c r="Y9852">
        <v>0.1085665</v>
      </c>
      <c r="Z9852">
        <v>8.0383799999999995E-3</v>
      </c>
      <c r="AA9852">
        <v>0.99405670000000002</v>
      </c>
      <c r="AB9852">
        <v>30</v>
      </c>
      <c r="AC9852">
        <v>18.4849</v>
      </c>
      <c r="AD9852">
        <v>-0.62118039999999997</v>
      </c>
      <c r="AE9852">
        <v>179.54916</v>
      </c>
      <c r="AF9852">
        <v>19.631257424580099</v>
      </c>
      <c r="AG9852">
        <v>-0.62118039999999997</v>
      </c>
      <c r="AH9852">
        <v>179.42528918794201</v>
      </c>
      <c r="AI9852">
        <v>90.197183686729304</v>
      </c>
      <c r="AJ9852">
        <v>83.7559978198517</v>
      </c>
      <c r="AK9852">
        <v>180.49710948748199</v>
      </c>
      <c r="AL9852">
        <v>79.370756990450502</v>
      </c>
      <c r="AM9852">
        <v>91.308298918629504</v>
      </c>
      <c r="AN9852">
        <v>0.99999997907837301</v>
      </c>
    </row>
    <row r="9853" spans="1:40" x14ac:dyDescent="0.25">
      <c r="A9853" t="str">
        <f>"20190303162140689"</f>
        <v>20190303162140689</v>
      </c>
      <c r="B9853" t="str">
        <f>"1551601300682923"</f>
        <v>1551601300682923</v>
      </c>
      <c r="C9853" t="s">
        <v>40</v>
      </c>
      <c r="D9853">
        <v>4.487743</v>
      </c>
      <c r="E9853">
        <v>0.55330269999999904</v>
      </c>
      <c r="F9853" t="s">
        <v>66</v>
      </c>
      <c r="G9853">
        <v>-168.42439999999999</v>
      </c>
      <c r="H9853">
        <v>0.74125289999999999</v>
      </c>
      <c r="I9853">
        <v>208.21510000000001</v>
      </c>
      <c r="J9853">
        <v>-187.28800000000001</v>
      </c>
      <c r="K9853">
        <v>1.12158</v>
      </c>
      <c r="L9853">
        <v>28.99457</v>
      </c>
      <c r="M9853">
        <v>-6.7199590000000002E-3</v>
      </c>
      <c r="N9853">
        <v>-1.1471540000000001E-2</v>
      </c>
      <c r="O9853">
        <v>0.99991160000000001</v>
      </c>
      <c r="P9853">
        <v>-2.839887E-2</v>
      </c>
      <c r="Q9853">
        <v>0.17352190000000001</v>
      </c>
      <c r="R9853">
        <v>0.98442050000000003</v>
      </c>
      <c r="S9853">
        <v>0.32121280000000002</v>
      </c>
      <c r="T9853">
        <v>-6.4765209999999998E-3</v>
      </c>
      <c r="U9853">
        <v>3.0577999999999999</v>
      </c>
      <c r="V9853">
        <v>-2.189077E-2</v>
      </c>
      <c r="W9853">
        <v>0.1847927</v>
      </c>
      <c r="X9853">
        <v>0.98253369999999995</v>
      </c>
      <c r="Y9853">
        <v>0.11114019999999999</v>
      </c>
      <c r="Z9853">
        <v>9.3700869999999992E-3</v>
      </c>
      <c r="AA9853">
        <v>0.99376059999999999</v>
      </c>
      <c r="AB9853">
        <v>31</v>
      </c>
      <c r="AC9853">
        <v>18.863599999999899</v>
      </c>
      <c r="AD9853">
        <v>-0.38032709999999997</v>
      </c>
      <c r="AE9853">
        <v>179.22053</v>
      </c>
      <c r="AF9853">
        <v>20.067518526357201</v>
      </c>
      <c r="AG9853">
        <v>-0.38032709999999997</v>
      </c>
      <c r="AH9853">
        <v>179.088914182765</v>
      </c>
      <c r="AI9853">
        <v>90.120920807573796</v>
      </c>
      <c r="AJ9853">
        <v>83.606484026943207</v>
      </c>
      <c r="AK9853">
        <v>180.21012494216399</v>
      </c>
      <c r="AL9853">
        <v>79.350953505030802</v>
      </c>
      <c r="AM9853">
        <v>91.276334093096096</v>
      </c>
      <c r="AN9853">
        <v>1.0000000097100801</v>
      </c>
    </row>
    <row r="9854" spans="1:40" x14ac:dyDescent="0.25">
      <c r="A9854" t="str">
        <f>"20190303162140710"</f>
        <v>20190303162140710</v>
      </c>
      <c r="B9854" t="str">
        <f>"1551601300702443"</f>
        <v>1551601300702443</v>
      </c>
      <c r="C9854" t="s">
        <v>40</v>
      </c>
      <c r="D9854">
        <v>4.4600589999999896</v>
      </c>
      <c r="E9854">
        <v>0.55379469999999997</v>
      </c>
      <c r="F9854" t="s">
        <v>47</v>
      </c>
      <c r="G9854">
        <v>-177.5616</v>
      </c>
      <c r="H9854">
        <v>1.0774379999999999</v>
      </c>
      <c r="I9854">
        <v>119.5164</v>
      </c>
      <c r="J9854">
        <v>-187.2902</v>
      </c>
      <c r="K9854">
        <v>1.1215839999999999</v>
      </c>
      <c r="L9854">
        <v>29.283909999999999</v>
      </c>
      <c r="M9854">
        <v>-7.0124209999999996E-3</v>
      </c>
      <c r="N9854">
        <v>-1.1473850000000001E-2</v>
      </c>
      <c r="O9854">
        <v>0.99990959999999995</v>
      </c>
      <c r="P9854">
        <v>-2.837021E-2</v>
      </c>
      <c r="Q9854">
        <v>0.17368649999999999</v>
      </c>
      <c r="R9854">
        <v>0.9843923</v>
      </c>
      <c r="S9854">
        <v>0.32849119999999998</v>
      </c>
      <c r="T9854">
        <v>-1.490831E-3</v>
      </c>
      <c r="U9854">
        <v>3.05722</v>
      </c>
      <c r="V9854">
        <v>-2.1574300000000001E-2</v>
      </c>
      <c r="W9854">
        <v>0.18495909999999999</v>
      </c>
      <c r="X9854">
        <v>0.98250939999999998</v>
      </c>
      <c r="Y9854">
        <v>0.1137886</v>
      </c>
      <c r="Z9854">
        <v>1.099354E-2</v>
      </c>
      <c r="AA9854">
        <v>0.99344410000000005</v>
      </c>
      <c r="AB9854">
        <v>31</v>
      </c>
      <c r="AC9854">
        <v>9.7286000000000001</v>
      </c>
      <c r="AD9854">
        <v>-4.4145999999999998E-2</v>
      </c>
      <c r="AE9854">
        <v>90.232489999999999</v>
      </c>
      <c r="AF9854">
        <v>10.3611481689989</v>
      </c>
      <c r="AG9854">
        <v>-4.4145999999999998E-2</v>
      </c>
      <c r="AH9854">
        <v>90.162024269882593</v>
      </c>
      <c r="AI9854">
        <v>90.027870287284102</v>
      </c>
      <c r="AJ9854">
        <v>83.444497858419396</v>
      </c>
      <c r="AK9854">
        <v>90.755418354455003</v>
      </c>
      <c r="AL9854">
        <v>79.341252367993903</v>
      </c>
      <c r="AM9854">
        <v>91.257919487338498</v>
      </c>
      <c r="AN9854">
        <v>1.0000000200908199</v>
      </c>
    </row>
    <row r="9855" spans="1:40" x14ac:dyDescent="0.25">
      <c r="A9855" t="str">
        <f>"20190303162140733"</f>
        <v>20190303162140733</v>
      </c>
      <c r="B9855" t="str">
        <f>"1551601300721963"</f>
        <v>1551601300721963</v>
      </c>
      <c r="C9855" t="s">
        <v>40</v>
      </c>
      <c r="D9855">
        <v>4.4237489999999999</v>
      </c>
      <c r="E9855">
        <v>0.5541874</v>
      </c>
      <c r="F9855" t="s">
        <v>47</v>
      </c>
      <c r="G9855">
        <v>-177.48859999999999</v>
      </c>
      <c r="H9855">
        <v>1.154153</v>
      </c>
      <c r="I9855">
        <v>119.48399999999999</v>
      </c>
      <c r="J9855">
        <v>-187.2929</v>
      </c>
      <c r="K9855">
        <v>1.121583</v>
      </c>
      <c r="L9855">
        <v>29.606780000000001</v>
      </c>
      <c r="M9855">
        <v>-7.3388840000000004E-3</v>
      </c>
      <c r="N9855">
        <v>-1.147632E-2</v>
      </c>
      <c r="O9855">
        <v>0.9999072</v>
      </c>
      <c r="P9855">
        <v>-2.8688089999999999E-2</v>
      </c>
      <c r="Q9855">
        <v>0.17389260000000001</v>
      </c>
      <c r="R9855">
        <v>0.98434659999999996</v>
      </c>
      <c r="S9855">
        <v>0.33218379999999997</v>
      </c>
      <c r="T9855">
        <v>1.1037589999999999E-3</v>
      </c>
      <c r="U9855">
        <v>3.0569459999999999</v>
      </c>
      <c r="V9855">
        <v>-2.1571099999999999E-2</v>
      </c>
      <c r="W9855">
        <v>0.18516759999999999</v>
      </c>
      <c r="X9855">
        <v>0.98247019999999996</v>
      </c>
      <c r="Y9855">
        <v>0.1153079</v>
      </c>
      <c r="Z9855">
        <v>1.183965E-2</v>
      </c>
      <c r="AA9855">
        <v>0.99325929999999996</v>
      </c>
      <c r="AB9855">
        <v>31</v>
      </c>
      <c r="AC9855">
        <v>9.8043000000000102</v>
      </c>
      <c r="AD9855">
        <v>3.2569999999999898E-2</v>
      </c>
      <c r="AE9855">
        <v>89.877219999999994</v>
      </c>
      <c r="AF9855">
        <v>10.463676519028899</v>
      </c>
      <c r="AG9855">
        <v>3.2569999999999898E-2</v>
      </c>
      <c r="AH9855">
        <v>89.8028302756329</v>
      </c>
      <c r="AI9855">
        <v>89.979359411458702</v>
      </c>
      <c r="AJ9855">
        <v>83.353959589308104</v>
      </c>
      <c r="AK9855">
        <v>90.410386088180701</v>
      </c>
      <c r="AL9855">
        <v>79.329096253303405</v>
      </c>
      <c r="AM9855">
        <v>91.257783133543697</v>
      </c>
      <c r="AN9855">
        <v>1.0000000231665001</v>
      </c>
    </row>
    <row r="9856" spans="1:40" x14ac:dyDescent="0.25">
      <c r="A9856" t="str">
        <f>"20190303162140756"</f>
        <v>20190303162140756</v>
      </c>
      <c r="B9856" t="str">
        <f>"1551601300742460"</f>
        <v>1551601300742460</v>
      </c>
      <c r="C9856" t="s">
        <v>40</v>
      </c>
      <c r="D9856">
        <v>4.3359909999999999</v>
      </c>
      <c r="E9856">
        <v>0.55455840000000001</v>
      </c>
      <c r="F9856" t="s">
        <v>47</v>
      </c>
      <c r="G9856">
        <v>-177.45419999999999</v>
      </c>
      <c r="H9856">
        <v>1.2218549999999999</v>
      </c>
      <c r="I9856">
        <v>119.5005</v>
      </c>
      <c r="J9856">
        <v>-187.2954</v>
      </c>
      <c r="K9856">
        <v>1.1215740000000001</v>
      </c>
      <c r="L9856">
        <v>29.90747</v>
      </c>
      <c r="M9856">
        <v>-7.6429940000000002E-3</v>
      </c>
      <c r="N9856">
        <v>-1.147859E-2</v>
      </c>
      <c r="O9856">
        <v>0.99990489999999999</v>
      </c>
      <c r="P9856">
        <v>-2.9084019999999999E-2</v>
      </c>
      <c r="Q9856">
        <v>0.1733982</v>
      </c>
      <c r="R9856">
        <v>0.98442229999999997</v>
      </c>
      <c r="S9856">
        <v>0.33456419999999998</v>
      </c>
      <c r="T9856">
        <v>3.4097429999999998E-3</v>
      </c>
      <c r="U9856">
        <v>3.056854</v>
      </c>
      <c r="V9856">
        <v>-2.1666359999999999E-2</v>
      </c>
      <c r="W9856">
        <v>0.18467610000000001</v>
      </c>
      <c r="X9856">
        <v>0.98256060000000001</v>
      </c>
      <c r="Y9856">
        <v>0.11637690000000001</v>
      </c>
      <c r="Z9856">
        <v>1.259159E-2</v>
      </c>
      <c r="AA9856">
        <v>0.99312529999999999</v>
      </c>
      <c r="AB9856">
        <v>31</v>
      </c>
      <c r="AC9856">
        <v>9.8412000000000095</v>
      </c>
      <c r="AD9856">
        <v>0.100280999999999</v>
      </c>
      <c r="AE9856">
        <v>89.593029999999999</v>
      </c>
      <c r="AF9856">
        <v>10.5257036021579</v>
      </c>
      <c r="AG9856">
        <v>0.100280999999999</v>
      </c>
      <c r="AH9856">
        <v>89.515080814239496</v>
      </c>
      <c r="AI9856">
        <v>89.936252508730007</v>
      </c>
      <c r="AJ9856">
        <v>83.293624407021596</v>
      </c>
      <c r="AK9856">
        <v>90.1318488980409</v>
      </c>
      <c r="AL9856">
        <v>79.357751225372496</v>
      </c>
      <c r="AM9856">
        <v>91.263219630693001</v>
      </c>
      <c r="AN9856">
        <v>1.0000000128696001</v>
      </c>
    </row>
    <row r="9857" spans="1:40" x14ac:dyDescent="0.25">
      <c r="A9857" t="str">
        <f>"20190303162140787"</f>
        <v>20190303162140787</v>
      </c>
      <c r="B9857" t="str">
        <f>"1551601300782887"</f>
        <v>1551601300782887</v>
      </c>
      <c r="C9857" t="s">
        <v>40</v>
      </c>
      <c r="D9857">
        <v>4.4039840000000003</v>
      </c>
      <c r="E9857">
        <v>0.53846729999999998</v>
      </c>
      <c r="F9857" t="s">
        <v>47</v>
      </c>
      <c r="G9857">
        <v>-177.43170000000001</v>
      </c>
      <c r="H9857">
        <v>1.2365600000000001</v>
      </c>
      <c r="I9857">
        <v>119.51130000000001</v>
      </c>
      <c r="J9857">
        <v>-187.29920000000001</v>
      </c>
      <c r="K9857">
        <v>1.1215809999999999</v>
      </c>
      <c r="L9857">
        <v>30.341609999999999</v>
      </c>
      <c r="M9857">
        <v>-8.0821030000000002E-3</v>
      </c>
      <c r="N9857">
        <v>-1.148187E-2</v>
      </c>
      <c r="O9857">
        <v>0.99990140000000005</v>
      </c>
      <c r="P9857">
        <v>-2.9595929999999999E-2</v>
      </c>
      <c r="Q9857">
        <v>0.17298939999999999</v>
      </c>
      <c r="R9857">
        <v>0.98447899999999999</v>
      </c>
      <c r="S9857">
        <v>0.33648679999999997</v>
      </c>
      <c r="T9857">
        <v>3.922582E-3</v>
      </c>
      <c r="U9857">
        <v>3.0567319999999998</v>
      </c>
      <c r="V9857">
        <v>-2.174535E-2</v>
      </c>
      <c r="W9857">
        <v>0.18427160000000001</v>
      </c>
      <c r="X9857">
        <v>0.98263480000000003</v>
      </c>
      <c r="Y9857">
        <v>0.11743439999999999</v>
      </c>
      <c r="Z9857">
        <v>1.276177E-2</v>
      </c>
      <c r="AA9857">
        <v>0.99299870000000001</v>
      </c>
      <c r="AB9857">
        <v>31</v>
      </c>
      <c r="AC9857">
        <v>9.8674999999999997</v>
      </c>
      <c r="AD9857">
        <v>0.114979</v>
      </c>
      <c r="AE9857">
        <v>89.169690000000003</v>
      </c>
      <c r="AF9857">
        <v>10.5878864283713</v>
      </c>
      <c r="AG9857">
        <v>0.114979</v>
      </c>
      <c r="AH9857">
        <v>89.086875529733703</v>
      </c>
      <c r="AI9857">
        <v>89.926568663728403</v>
      </c>
      <c r="AJ9857">
        <v>83.222246464964499</v>
      </c>
      <c r="AK9857">
        <v>89.713922837209594</v>
      </c>
      <c r="AL9857">
        <v>79.381332115155701</v>
      </c>
      <c r="AM9857">
        <v>91.267727801824293</v>
      </c>
      <c r="AN9857">
        <v>1.0000000164921099</v>
      </c>
    </row>
    <row r="9858" spans="1:40" x14ac:dyDescent="0.25">
      <c r="A9858" t="str">
        <f>"20190303162140810"</f>
        <v>20190303162140810</v>
      </c>
      <c r="B9858" t="str">
        <f>"1551601300802408"</f>
        <v>1551601300802408</v>
      </c>
      <c r="C9858" t="s">
        <v>40</v>
      </c>
      <c r="D9858">
        <v>4.3905529999999997</v>
      </c>
      <c r="E9858">
        <v>0.53447309999999904</v>
      </c>
      <c r="F9858" t="s">
        <v>50</v>
      </c>
      <c r="G9858">
        <v>-180.77250000000001</v>
      </c>
      <c r="H9858" s="1">
        <v>-4.7504240000000001E-6</v>
      </c>
      <c r="I9858">
        <v>127.4289</v>
      </c>
      <c r="J9858">
        <v>-187.3021</v>
      </c>
      <c r="K9858">
        <v>1.12158</v>
      </c>
      <c r="L9858">
        <v>30.652280000000001</v>
      </c>
      <c r="M9858">
        <v>-8.3962580000000002E-3</v>
      </c>
      <c r="N9858">
        <v>-1.148417E-2</v>
      </c>
      <c r="O9858">
        <v>0.99989879999999998</v>
      </c>
      <c r="P9858">
        <v>-3.0074799999999999E-2</v>
      </c>
      <c r="Q9858">
        <v>0.1726676</v>
      </c>
      <c r="R9858">
        <v>0.98452090000000003</v>
      </c>
      <c r="S9858">
        <v>0.2056885</v>
      </c>
      <c r="T9858">
        <v>-3.5346629999999997E-2</v>
      </c>
      <c r="U9858">
        <v>3.0596920000000001</v>
      </c>
      <c r="V9858">
        <v>-2.1914429999999999E-2</v>
      </c>
      <c r="W9858">
        <v>0.18395239999999999</v>
      </c>
      <c r="X9858">
        <v>0.98269079999999998</v>
      </c>
      <c r="Y9858">
        <v>7.5439399999999907E-2</v>
      </c>
      <c r="Z9858" s="1">
        <v>-3.4102259999999998E-5</v>
      </c>
      <c r="AA9858">
        <v>0.99715039999999999</v>
      </c>
      <c r="AB9858">
        <v>31</v>
      </c>
      <c r="AC9858">
        <v>6.5295999999999799</v>
      </c>
      <c r="AD9858">
        <v>-1.121584750424</v>
      </c>
      <c r="AE9858">
        <v>96.776619999999994</v>
      </c>
      <c r="AF9858">
        <v>7.3410033312856502</v>
      </c>
      <c r="AG9858">
        <v>-1.121584750424</v>
      </c>
      <c r="AH9858">
        <v>96.705450335887903</v>
      </c>
      <c r="AI9858">
        <v>90.6625775289139</v>
      </c>
      <c r="AJ9858">
        <v>85.658948139944101</v>
      </c>
      <c r="AK9858">
        <v>96.990166547589794</v>
      </c>
      <c r="AL9858">
        <v>79.399938488177099</v>
      </c>
      <c r="AM9858">
        <v>91.277508927813997</v>
      </c>
      <c r="AN9858">
        <v>0.99999996805631197</v>
      </c>
    </row>
    <row r="9859" spans="1:40" x14ac:dyDescent="0.25">
      <c r="A9859" t="str">
        <f>"20190303162140834"</f>
        <v>20190303162140834</v>
      </c>
      <c r="B9859" t="str">
        <f>"1551601300822905"</f>
        <v>1551601300822905</v>
      </c>
      <c r="C9859" t="s">
        <v>40</v>
      </c>
      <c r="D9859">
        <v>4.3598949999999999</v>
      </c>
      <c r="E9859">
        <v>0.53351159999999997</v>
      </c>
      <c r="F9859" t="s">
        <v>50</v>
      </c>
      <c r="G9859">
        <v>-180.1661</v>
      </c>
      <c r="H9859" s="1">
        <v>-1.3885590000000001E-5</v>
      </c>
      <c r="I9859">
        <v>157.1549</v>
      </c>
      <c r="J9859">
        <v>-187.30520000000001</v>
      </c>
      <c r="K9859">
        <v>1.121578</v>
      </c>
      <c r="L9859">
        <v>30.97888</v>
      </c>
      <c r="M9859">
        <v>-8.7263819999999995E-3</v>
      </c>
      <c r="N9859">
        <v>-1.1486730000000001E-2</v>
      </c>
      <c r="O9859">
        <v>0.99989589999999995</v>
      </c>
      <c r="P9859">
        <v>-3.0442609999999998E-2</v>
      </c>
      <c r="Q9859">
        <v>0.17299679999999901</v>
      </c>
      <c r="R9859">
        <v>0.98445179999999999</v>
      </c>
      <c r="S9859">
        <v>0.17245479999999899</v>
      </c>
      <c r="T9859">
        <v>-2.7105569999999999E-2</v>
      </c>
      <c r="U9859">
        <v>3.0571899999999999</v>
      </c>
      <c r="V9859">
        <v>-2.195803E-2</v>
      </c>
      <c r="W9859">
        <v>0.18428330000000001</v>
      </c>
      <c r="X9859">
        <v>0.9826279</v>
      </c>
      <c r="Y9859">
        <v>6.5023239999999996E-2</v>
      </c>
      <c r="Z9859">
        <v>2.6407890000000002E-3</v>
      </c>
      <c r="AA9859">
        <v>0.99788030000000005</v>
      </c>
      <c r="AB9859">
        <v>31</v>
      </c>
      <c r="AC9859">
        <v>7.1391000000000098</v>
      </c>
      <c r="AD9859">
        <v>-1.12159188559</v>
      </c>
      <c r="AE9859">
        <v>126.17601999999999</v>
      </c>
      <c r="AF9859">
        <v>8.2393120257777994</v>
      </c>
      <c r="AG9859">
        <v>-1.12159188559</v>
      </c>
      <c r="AH9859">
        <v>126.098980446684</v>
      </c>
      <c r="AI9859">
        <v>90.508521611298505</v>
      </c>
      <c r="AJ9859">
        <v>86.261605747699406</v>
      </c>
      <c r="AK9859">
        <v>126.372849539406</v>
      </c>
      <c r="AL9859">
        <v>79.380650324474303</v>
      </c>
      <c r="AM9859">
        <v>91.280131670692896</v>
      </c>
      <c r="AN9859">
        <v>1.00000003979938</v>
      </c>
    </row>
    <row r="9860" spans="1:40" x14ac:dyDescent="0.25">
      <c r="A9860" t="str">
        <f>"20190303162140854"</f>
        <v>20190303162140854</v>
      </c>
      <c r="B9860" t="str">
        <f>"1551601300842426"</f>
        <v>1551601300842426</v>
      </c>
      <c r="C9860" t="s">
        <v>40</v>
      </c>
      <c r="D9860">
        <v>4.3353380000000001</v>
      </c>
      <c r="E9860">
        <v>0.53326799999999996</v>
      </c>
      <c r="F9860" t="s">
        <v>41</v>
      </c>
      <c r="G9860">
        <v>-179.54490000000001</v>
      </c>
      <c r="H9860">
        <v>7.9985570000000006E-2</v>
      </c>
      <c r="I9860">
        <v>175.31720000000001</v>
      </c>
      <c r="J9860">
        <v>-187.30779999999999</v>
      </c>
      <c r="K9860">
        <v>1.121577</v>
      </c>
      <c r="L9860">
        <v>31.2486</v>
      </c>
      <c r="M9860">
        <v>-8.9990069999999998E-3</v>
      </c>
      <c r="N9860">
        <v>-1.1488969999999999E-2</v>
      </c>
      <c r="O9860">
        <v>0.99989349999999999</v>
      </c>
      <c r="P9860">
        <v>-3.1306840000000002E-2</v>
      </c>
      <c r="Q9860">
        <v>0.1730582</v>
      </c>
      <c r="R9860">
        <v>0.98441389999999995</v>
      </c>
      <c r="S9860">
        <v>0.16432189999999999</v>
      </c>
      <c r="T9860">
        <v>-2.205551E-2</v>
      </c>
      <c r="U9860">
        <v>3.0563349999999998</v>
      </c>
      <c r="V9860">
        <v>-2.2553750000000001E-2</v>
      </c>
      <c r="W9860">
        <v>0.18434610000000001</v>
      </c>
      <c r="X9860">
        <v>0.98260259999999999</v>
      </c>
      <c r="Y9860">
        <v>6.2664049999999999E-2</v>
      </c>
      <c r="Z9860">
        <v>4.2885240000000002E-3</v>
      </c>
      <c r="AA9860">
        <v>0.99802550000000001</v>
      </c>
      <c r="AB9860">
        <v>31</v>
      </c>
      <c r="AC9860">
        <v>7.7628999999999699</v>
      </c>
      <c r="AD9860">
        <v>-1.04159143</v>
      </c>
      <c r="AE9860">
        <v>144.0686</v>
      </c>
      <c r="AF9860">
        <v>9.05867341393121</v>
      </c>
      <c r="AG9860">
        <v>-1.04159143</v>
      </c>
      <c r="AH9860">
        <v>143.985398226896</v>
      </c>
      <c r="AI9860">
        <v>90.413653047206196</v>
      </c>
      <c r="AJ9860">
        <v>86.400047565002197</v>
      </c>
      <c r="AK9860">
        <v>144.27383470083899</v>
      </c>
      <c r="AL9860">
        <v>79.376989139230702</v>
      </c>
      <c r="AM9860">
        <v>91.3148833757528</v>
      </c>
      <c r="AN9860">
        <v>1.00000001287551</v>
      </c>
    </row>
    <row r="9861" spans="1:40" x14ac:dyDescent="0.25">
      <c r="A9861" t="str">
        <f>"20190303162140877"</f>
        <v>20190303162140877</v>
      </c>
      <c r="B9861" t="str">
        <f>"1551601300872680"</f>
        <v>1551601300872680</v>
      </c>
      <c r="C9861" t="s">
        <v>40</v>
      </c>
      <c r="D9861">
        <v>4.3500459999999999</v>
      </c>
      <c r="E9861">
        <v>0.53382059999999998</v>
      </c>
      <c r="F9861" t="s">
        <v>41</v>
      </c>
      <c r="G9861">
        <v>-179.13200000000001</v>
      </c>
      <c r="H9861">
        <v>7.9986199999999993E-2</v>
      </c>
      <c r="I9861">
        <v>187.36869999999999</v>
      </c>
      <c r="J9861">
        <v>-187.31110000000001</v>
      </c>
      <c r="K9861">
        <v>1.12158</v>
      </c>
      <c r="L9861">
        <v>31.571470000000001</v>
      </c>
      <c r="M9861">
        <v>-9.3253160000000002E-3</v>
      </c>
      <c r="N9861">
        <v>-1.1491650000000001E-2</v>
      </c>
      <c r="O9861">
        <v>0.99989050000000002</v>
      </c>
      <c r="P9861">
        <v>-3.167963E-2</v>
      </c>
      <c r="Q9861">
        <v>0.17294219999999999</v>
      </c>
      <c r="R9861">
        <v>0.98442240000000003</v>
      </c>
      <c r="S9861">
        <v>0.16004939999999901</v>
      </c>
      <c r="T9861">
        <v>-2.039003E-2</v>
      </c>
      <c r="U9861">
        <v>3.0561829999999999</v>
      </c>
      <c r="V9861">
        <v>-2.2604840000000001E-2</v>
      </c>
      <c r="W9861">
        <v>0.18423310000000001</v>
      </c>
      <c r="X9861">
        <v>0.98262260000000001</v>
      </c>
      <c r="Y9861">
        <v>6.1601259999999998E-2</v>
      </c>
      <c r="Z9861">
        <v>4.8343839999999997E-3</v>
      </c>
      <c r="AA9861">
        <v>0.99808909999999995</v>
      </c>
      <c r="AB9861">
        <v>31</v>
      </c>
      <c r="AC9861">
        <v>8.1791</v>
      </c>
      <c r="AD9861">
        <v>-1.0415938</v>
      </c>
      <c r="AE9861">
        <v>155.79722999999899</v>
      </c>
      <c r="AF9861">
        <v>9.6312693263088605</v>
      </c>
      <c r="AG9861">
        <v>-1.0415938</v>
      </c>
      <c r="AH9861">
        <v>155.70723654803999</v>
      </c>
      <c r="AI9861">
        <v>90.382539723557599</v>
      </c>
      <c r="AJ9861">
        <v>86.460479735483702</v>
      </c>
      <c r="AK9861">
        <v>156.008300355806</v>
      </c>
      <c r="AL9861">
        <v>79.383576185784193</v>
      </c>
      <c r="AM9861">
        <v>91.317834059081207</v>
      </c>
      <c r="AN9861">
        <v>0.99999999397889705</v>
      </c>
    </row>
    <row r="9862" spans="1:40" x14ac:dyDescent="0.25">
      <c r="A9862" t="str">
        <f>"20190303162140900"</f>
        <v>20190303162140900</v>
      </c>
      <c r="B9862" t="str">
        <f>"1551601300892200"</f>
        <v>1551601300892200</v>
      </c>
      <c r="C9862" t="s">
        <v>40</v>
      </c>
      <c r="D9862">
        <v>4.2907339999999996</v>
      </c>
      <c r="E9862">
        <v>0.5339045</v>
      </c>
      <c r="F9862" t="s">
        <v>41</v>
      </c>
      <c r="G9862">
        <v>-179.31639999999999</v>
      </c>
      <c r="H9862">
        <v>7.9985840000000002E-2</v>
      </c>
      <c r="I9862">
        <v>181.17920000000001</v>
      </c>
      <c r="J9862">
        <v>-187.3143</v>
      </c>
      <c r="K9862">
        <v>1.1215790000000001</v>
      </c>
      <c r="L9862">
        <v>31.878170000000001</v>
      </c>
      <c r="M9862">
        <v>-9.6352680000000007E-3</v>
      </c>
      <c r="N9862">
        <v>-1.149418E-2</v>
      </c>
      <c r="O9862">
        <v>0.99988750000000004</v>
      </c>
      <c r="P9862">
        <v>-3.238502E-2</v>
      </c>
      <c r="Q9862">
        <v>0.17348540000000001</v>
      </c>
      <c r="R9862">
        <v>0.98430379999999995</v>
      </c>
      <c r="S9862">
        <v>0.16333010000000001</v>
      </c>
      <c r="T9862">
        <v>-2.1279570000000001E-2</v>
      </c>
      <c r="U9862">
        <v>3.0564580000000001</v>
      </c>
      <c r="V9862">
        <v>-2.3006800000000001E-2</v>
      </c>
      <c r="W9862">
        <v>0.18477769999999999</v>
      </c>
      <c r="X9862">
        <v>0.98251100000000002</v>
      </c>
      <c r="Y9862">
        <v>6.2974050000000004E-2</v>
      </c>
      <c r="Z9862">
        <v>4.5476739999999998E-3</v>
      </c>
      <c r="AA9862">
        <v>0.99800480000000003</v>
      </c>
      <c r="AB9862">
        <v>31</v>
      </c>
      <c r="AC9862">
        <v>7.9979000000000102</v>
      </c>
      <c r="AD9862">
        <v>-1.0415931599999999</v>
      </c>
      <c r="AE9862">
        <v>149.30103</v>
      </c>
      <c r="AF9862">
        <v>9.4357212519079994</v>
      </c>
      <c r="AG9862">
        <v>-1.0415931599999999</v>
      </c>
      <c r="AH9862">
        <v>149.20979007174299</v>
      </c>
      <c r="AI9862">
        <v>90.399162521787602</v>
      </c>
      <c r="AJ9862">
        <v>86.381550663105998</v>
      </c>
      <c r="AK9862">
        <v>149.51146847352001</v>
      </c>
      <c r="AL9862">
        <v>79.351827769677001</v>
      </c>
      <c r="AM9862">
        <v>91.341411635032401</v>
      </c>
      <c r="AN9862">
        <v>0.99999998819226399</v>
      </c>
    </row>
    <row r="9863" spans="1:40" x14ac:dyDescent="0.25">
      <c r="A9863" t="str">
        <f>"20190303162140921"</f>
        <v>20190303162140921</v>
      </c>
      <c r="B9863" t="str">
        <f>"1551601300912695"</f>
        <v>1551601300912695</v>
      </c>
      <c r="C9863" t="s">
        <v>40</v>
      </c>
      <c r="D9863">
        <v>4.3405259999999997</v>
      </c>
      <c r="E9863">
        <v>0.53420529999999999</v>
      </c>
      <c r="F9863" t="s">
        <v>41</v>
      </c>
      <c r="G9863">
        <v>-178.47810000000001</v>
      </c>
      <c r="H9863">
        <v>7.9986450000000001E-2</v>
      </c>
      <c r="I9863">
        <v>198.15549999999999</v>
      </c>
      <c r="J9863">
        <v>-187.3175</v>
      </c>
      <c r="K9863">
        <v>1.1215839999999999</v>
      </c>
      <c r="L9863">
        <v>32.177520000000001</v>
      </c>
      <c r="M9863">
        <v>-9.9375279999999993E-3</v>
      </c>
      <c r="N9863">
        <v>-1.1496640000000001E-2</v>
      </c>
      <c r="O9863">
        <v>0.99988449999999995</v>
      </c>
      <c r="P9863">
        <v>-3.3444359999999999E-2</v>
      </c>
      <c r="Q9863">
        <v>0.17365410000000001</v>
      </c>
      <c r="R9863">
        <v>0.98423870000000002</v>
      </c>
      <c r="S9863">
        <v>0.16242980000000001</v>
      </c>
      <c r="T9863">
        <v>-1.9146799999999999E-2</v>
      </c>
      <c r="U9863">
        <v>3.056549</v>
      </c>
      <c r="V9863">
        <v>-2.3769209999999999E-2</v>
      </c>
      <c r="W9863">
        <v>0.1849478</v>
      </c>
      <c r="X9863">
        <v>0.98246089999999997</v>
      </c>
      <c r="Y9863">
        <v>6.2981110000000007E-2</v>
      </c>
      <c r="Z9863">
        <v>5.2468910000000001E-3</v>
      </c>
      <c r="AA9863">
        <v>0.99800089999999997</v>
      </c>
      <c r="AB9863">
        <v>31</v>
      </c>
      <c r="AC9863">
        <v>8.8393999999999799</v>
      </c>
      <c r="AD9863">
        <v>-1.0415975500000001</v>
      </c>
      <c r="AE9863">
        <v>165.97798</v>
      </c>
      <c r="AF9863">
        <v>10.4880714792811</v>
      </c>
      <c r="AG9863">
        <v>-1.0415975500000001</v>
      </c>
      <c r="AH9863">
        <v>165.87542153913</v>
      </c>
      <c r="AI9863">
        <v>90.359061188762993</v>
      </c>
      <c r="AJ9863">
        <v>86.382083972584795</v>
      </c>
      <c r="AK9863">
        <v>166.20992762044901</v>
      </c>
      <c r="AL9863">
        <v>79.341911413294099</v>
      </c>
      <c r="AM9863">
        <v>91.385917540588096</v>
      </c>
      <c r="AN9863">
        <v>1.00000004204883</v>
      </c>
    </row>
    <row r="9864" spans="1:40" x14ac:dyDescent="0.25">
      <c r="A9864" t="str">
        <f>"20190303162140945"</f>
        <v>20190303162140945</v>
      </c>
      <c r="B9864" t="str">
        <f>"1551601300932216"</f>
        <v>1551601300932216</v>
      </c>
      <c r="C9864" t="s">
        <v>40</v>
      </c>
      <c r="D9864">
        <v>4.3478789999999998</v>
      </c>
      <c r="E9864">
        <v>0.53441530000000004</v>
      </c>
      <c r="F9864" t="s">
        <v>41</v>
      </c>
      <c r="G9864">
        <v>-178.82810000000001</v>
      </c>
      <c r="H9864">
        <v>7.998632E-2</v>
      </c>
      <c r="I9864">
        <v>192.73910000000001</v>
      </c>
      <c r="J9864">
        <v>-187.3211</v>
      </c>
      <c r="K9864">
        <v>1.12158</v>
      </c>
      <c r="L9864">
        <v>32.503300000000003</v>
      </c>
      <c r="M9864">
        <v>-1.0266610000000001E-2</v>
      </c>
      <c r="N9864">
        <v>-1.149937E-2</v>
      </c>
      <c r="O9864">
        <v>0.99988109999999997</v>
      </c>
      <c r="P9864">
        <v>-3.4040630000000002E-2</v>
      </c>
      <c r="Q9864">
        <v>0.17380409999999999</v>
      </c>
      <c r="R9864">
        <v>0.9841917</v>
      </c>
      <c r="S9864">
        <v>0.16163640000000001</v>
      </c>
      <c r="T9864">
        <v>-1.9831660000000001E-2</v>
      </c>
      <c r="U9864">
        <v>3.0570369999999998</v>
      </c>
      <c r="V9864">
        <v>-2.404162E-2</v>
      </c>
      <c r="W9864">
        <v>0.18509970000000001</v>
      </c>
      <c r="X9864">
        <v>0.98242560000000001</v>
      </c>
      <c r="Y9864">
        <v>6.3042780000000007E-2</v>
      </c>
      <c r="Z9864">
        <v>5.0270879999999999E-3</v>
      </c>
      <c r="AA9864">
        <v>0.99799819999999995</v>
      </c>
      <c r="AB9864">
        <v>31</v>
      </c>
      <c r="AC9864">
        <v>8.4929999999999897</v>
      </c>
      <c r="AD9864">
        <v>-1.0415936800000001</v>
      </c>
      <c r="AE9864">
        <v>160.23580000000001</v>
      </c>
      <c r="AF9864">
        <v>10.1373125496272</v>
      </c>
      <c r="AG9864">
        <v>-1.0415936800000001</v>
      </c>
      <c r="AH9864">
        <v>160.133406406218</v>
      </c>
      <c r="AI9864">
        <v>90.371932758399694</v>
      </c>
      <c r="AJ9864">
        <v>86.377700333546301</v>
      </c>
      <c r="AK9864">
        <v>160.45733972113001</v>
      </c>
      <c r="AL9864">
        <v>79.333054594519098</v>
      </c>
      <c r="AM9864">
        <v>91.401845068381505</v>
      </c>
      <c r="AN9864">
        <v>0.99999997898383697</v>
      </c>
    </row>
    <row r="9865" spans="1:40" x14ac:dyDescent="0.25">
      <c r="A9865" t="str">
        <f>"20190303162140967"</f>
        <v>20190303162140967</v>
      </c>
      <c r="B9865" t="str">
        <f>"1551601300962471"</f>
        <v>1551601300962471</v>
      </c>
      <c r="C9865" t="s">
        <v>40</v>
      </c>
      <c r="D9865">
        <v>4.345415</v>
      </c>
      <c r="E9865">
        <v>0.53469309999999903</v>
      </c>
      <c r="F9865" t="s">
        <v>49</v>
      </c>
      <c r="G9865">
        <v>-178.0429</v>
      </c>
      <c r="H9865">
        <v>8.0004350000000002E-2</v>
      </c>
      <c r="I9865">
        <v>208.59200000000001</v>
      </c>
      <c r="J9865">
        <v>-187.3245</v>
      </c>
      <c r="K9865">
        <v>1.1215809999999999</v>
      </c>
      <c r="L9865">
        <v>32.80283</v>
      </c>
      <c r="M9865">
        <v>-1.0569200000000001E-2</v>
      </c>
      <c r="N9865">
        <v>-1.1501880000000001E-2</v>
      </c>
      <c r="O9865">
        <v>0.99987800000000004</v>
      </c>
      <c r="P9865">
        <v>-3.4893630000000002E-2</v>
      </c>
      <c r="Q9865">
        <v>0.17423910000000001</v>
      </c>
      <c r="R9865">
        <v>0.98408499999999999</v>
      </c>
      <c r="S9865">
        <v>0.16107179999999999</v>
      </c>
      <c r="T9865">
        <v>-1.8082020000000001E-2</v>
      </c>
      <c r="U9865">
        <v>3.0569459999999999</v>
      </c>
      <c r="V9865">
        <v>-2.4598430000000001E-2</v>
      </c>
      <c r="W9865">
        <v>0.18553539999999999</v>
      </c>
      <c r="X9865">
        <v>0.98232969999999997</v>
      </c>
      <c r="Y9865">
        <v>6.3162609999999994E-2</v>
      </c>
      <c r="Z9865">
        <v>5.6008100000000003E-3</v>
      </c>
      <c r="AA9865">
        <v>0.99798750000000003</v>
      </c>
      <c r="AB9865">
        <v>31</v>
      </c>
      <c r="AC9865">
        <v>9.2815999999999903</v>
      </c>
      <c r="AD9865">
        <v>-1.0415766500000001</v>
      </c>
      <c r="AE9865">
        <v>175.78916999999899</v>
      </c>
      <c r="AF9865">
        <v>11.1387653269014</v>
      </c>
      <c r="AG9865">
        <v>-1.0415766500000001</v>
      </c>
      <c r="AH9865">
        <v>175.67509398017799</v>
      </c>
      <c r="AI9865">
        <v>90.339021598578299</v>
      </c>
      <c r="AJ9865">
        <v>86.371989695883201</v>
      </c>
      <c r="AK9865">
        <v>176.03095074409501</v>
      </c>
      <c r="AL9865">
        <v>79.307651601176403</v>
      </c>
      <c r="AM9865">
        <v>91.434438710890504</v>
      </c>
      <c r="AN9865">
        <v>1.0000000534568501</v>
      </c>
    </row>
    <row r="9866" spans="1:40" x14ac:dyDescent="0.25">
      <c r="A9866" t="str">
        <f>"20190303162140989"</f>
        <v>20190303162140989</v>
      </c>
      <c r="B9866" t="str">
        <f>"1551601300982968"</f>
        <v>1551601300982968</v>
      </c>
      <c r="C9866" t="s">
        <v>40</v>
      </c>
      <c r="D9866">
        <v>4.3400049999999997</v>
      </c>
      <c r="E9866">
        <v>0.53495539999999997</v>
      </c>
      <c r="F9866" t="s">
        <v>41</v>
      </c>
      <c r="G9866">
        <v>-176.7706</v>
      </c>
      <c r="H9866">
        <v>7.9986520000000005E-2</v>
      </c>
      <c r="I9866">
        <v>233.7182</v>
      </c>
      <c r="J9866">
        <v>-187.328</v>
      </c>
      <c r="K9866">
        <v>1.1215820000000001</v>
      </c>
      <c r="L9866">
        <v>33.106169999999999</v>
      </c>
      <c r="M9866">
        <v>-1.0875640000000001E-2</v>
      </c>
      <c r="N9866">
        <v>-1.1504449999999999E-2</v>
      </c>
      <c r="O9866">
        <v>0.99987470000000001</v>
      </c>
      <c r="P9866">
        <v>-3.5405899999999997E-2</v>
      </c>
      <c r="Q9866">
        <v>0.17424049999999999</v>
      </c>
      <c r="R9866">
        <v>0.98406640000000001</v>
      </c>
      <c r="S9866">
        <v>0.16058349999999999</v>
      </c>
      <c r="T9866">
        <v>-1.5848279999999999E-2</v>
      </c>
      <c r="U9866">
        <v>3.057007</v>
      </c>
      <c r="V9866">
        <v>-2.4809669999999999E-2</v>
      </c>
      <c r="W9866">
        <v>0.1855396</v>
      </c>
      <c r="X9866">
        <v>0.98232350000000002</v>
      </c>
      <c r="Y9866">
        <v>6.330848E-2</v>
      </c>
      <c r="Z9866">
        <v>6.3329730000000004E-3</v>
      </c>
      <c r="AA9866">
        <v>0.99797389999999997</v>
      </c>
      <c r="AB9866">
        <v>31</v>
      </c>
      <c r="AC9866">
        <v>10.557399999999999</v>
      </c>
      <c r="AD9866">
        <v>-1.04159548</v>
      </c>
      <c r="AE9866">
        <v>200.61203</v>
      </c>
      <c r="AF9866">
        <v>12.738361649542099</v>
      </c>
      <c r="AG9866">
        <v>-1.04159548</v>
      </c>
      <c r="AH9866">
        <v>200.479948282051</v>
      </c>
      <c r="AI9866">
        <v>90.297079013755507</v>
      </c>
      <c r="AJ9866">
        <v>86.364351954319602</v>
      </c>
      <c r="AK9866">
        <v>200.886934472684</v>
      </c>
      <c r="AL9866">
        <v>79.307405704162093</v>
      </c>
      <c r="AM9866">
        <v>91.446760924904396</v>
      </c>
      <c r="AN9866">
        <v>0.99999996077295805</v>
      </c>
    </row>
    <row r="9867" spans="1:40" x14ac:dyDescent="0.25">
      <c r="A9867" t="str">
        <f>"20190303162141010"</f>
        <v>20190303162141010</v>
      </c>
      <c r="B9867" t="str">
        <f>"1551601301002488"</f>
        <v>1551601301002488</v>
      </c>
      <c r="C9867" t="s">
        <v>40</v>
      </c>
      <c r="D9867">
        <v>4.331855</v>
      </c>
      <c r="E9867">
        <v>0.53514309999999998</v>
      </c>
      <c r="F9867" t="s">
        <v>49</v>
      </c>
      <c r="G9867">
        <v>-176.99680000000001</v>
      </c>
      <c r="H9867">
        <v>7.9999970000000004E-2</v>
      </c>
      <c r="I9867">
        <v>229.01439999999999</v>
      </c>
      <c r="J9867">
        <v>-187.33150000000001</v>
      </c>
      <c r="K9867">
        <v>1.121578</v>
      </c>
      <c r="L9867">
        <v>33.395600000000002</v>
      </c>
      <c r="M9867">
        <v>-1.1168050000000001E-2</v>
      </c>
      <c r="N9867">
        <v>-1.15069E-2</v>
      </c>
      <c r="O9867">
        <v>0.99987139999999997</v>
      </c>
      <c r="P9867">
        <v>-3.5886939999999999E-2</v>
      </c>
      <c r="Q9867">
        <v>0.1745806</v>
      </c>
      <c r="R9867">
        <v>0.98398869999999905</v>
      </c>
      <c r="S9867">
        <v>0.16122439999999999</v>
      </c>
      <c r="T9867">
        <v>-1.625443E-2</v>
      </c>
      <c r="U9867">
        <v>3.0572509999999999</v>
      </c>
      <c r="V9867">
        <v>-2.5003350000000001E-2</v>
      </c>
      <c r="W9867">
        <v>0.18588080000000001</v>
      </c>
      <c r="X9867">
        <v>0.98225410000000002</v>
      </c>
      <c r="Y9867">
        <v>6.3804719999999995E-2</v>
      </c>
      <c r="Z9867">
        <v>6.2034669999999998E-3</v>
      </c>
      <c r="AA9867">
        <v>0.99794309999999997</v>
      </c>
      <c r="AB9867">
        <v>31</v>
      </c>
      <c r="AC9867">
        <v>10.3346999999999</v>
      </c>
      <c r="AD9867">
        <v>-1.0415780299999999</v>
      </c>
      <c r="AE9867">
        <v>195.61879999999999</v>
      </c>
      <c r="AF9867">
        <v>12.518526718011</v>
      </c>
      <c r="AG9867">
        <v>-1.0415780299999999</v>
      </c>
      <c r="AH9867">
        <v>195.48564588932399</v>
      </c>
      <c r="AI9867">
        <v>90.304653943144601</v>
      </c>
      <c r="AJ9867">
        <v>86.335891130887902</v>
      </c>
      <c r="AK9867">
        <v>195.888836192235</v>
      </c>
      <c r="AL9867">
        <v>79.287510482155199</v>
      </c>
      <c r="AM9867">
        <v>91.458153372942903</v>
      </c>
      <c r="AN9867">
        <v>0.99999997814333597</v>
      </c>
    </row>
    <row r="9868" spans="1:40" x14ac:dyDescent="0.25">
      <c r="A9868" t="str">
        <f>"20190303162141033"</f>
        <v>20190303162141033</v>
      </c>
      <c r="B9868" t="str">
        <f>"1551601301022008"</f>
        <v>1551601301022008</v>
      </c>
      <c r="C9868" t="s">
        <v>40</v>
      </c>
      <c r="D9868">
        <v>4.4298529999999996</v>
      </c>
      <c r="E9868">
        <v>0.53506519999999902</v>
      </c>
      <c r="F9868" t="s">
        <v>41</v>
      </c>
      <c r="G9868">
        <v>-175.61770000000001</v>
      </c>
      <c r="H9868">
        <v>7.9985749999999994E-2</v>
      </c>
      <c r="I9868">
        <v>255.2697</v>
      </c>
      <c r="J9868">
        <v>-187.33519999999999</v>
      </c>
      <c r="K9868">
        <v>1.1215809999999999</v>
      </c>
      <c r="L9868">
        <v>33.69943</v>
      </c>
      <c r="M9868">
        <v>-1.1475050000000001E-2</v>
      </c>
      <c r="N9868">
        <v>-1.1509399999999999E-2</v>
      </c>
      <c r="O9868">
        <v>0.99986790000000003</v>
      </c>
      <c r="P9868">
        <v>-3.6273229999999997E-2</v>
      </c>
      <c r="Q9868">
        <v>0.17446789999999901</v>
      </c>
      <c r="R9868">
        <v>0.98399449999999999</v>
      </c>
      <c r="S9868">
        <v>0.16140750000000001</v>
      </c>
      <c r="T9868">
        <v>-1.435232E-2</v>
      </c>
      <c r="U9868">
        <v>3.0572509999999999</v>
      </c>
      <c r="V9868">
        <v>-2.5087720000000001E-2</v>
      </c>
      <c r="W9868">
        <v>0.18577109999999999</v>
      </c>
      <c r="X9868">
        <v>0.9822727</v>
      </c>
      <c r="Y9868">
        <v>6.4170720000000001E-2</v>
      </c>
      <c r="Z9868">
        <v>6.827166E-3</v>
      </c>
      <c r="AA9868">
        <v>0.99791560000000001</v>
      </c>
      <c r="AB9868">
        <v>31</v>
      </c>
      <c r="AC9868">
        <v>11.7174999999999</v>
      </c>
      <c r="AD9868">
        <v>-1.0415952500000001</v>
      </c>
      <c r="AE9868">
        <v>221.57026999999999</v>
      </c>
      <c r="AF9868">
        <v>14.2591125694894</v>
      </c>
      <c r="AG9868">
        <v>-1.0415952500000001</v>
      </c>
      <c r="AH9868">
        <v>221.416332489833</v>
      </c>
      <c r="AI9868">
        <v>90.268973854698203</v>
      </c>
      <c r="AJ9868">
        <v>86.315265761217503</v>
      </c>
      <c r="AK9868">
        <v>221.87744253344599</v>
      </c>
      <c r="AL9868">
        <v>79.293907223028199</v>
      </c>
      <c r="AM9868">
        <v>91.463043862398607</v>
      </c>
      <c r="AN9868">
        <v>0.99999997622764802</v>
      </c>
    </row>
    <row r="9869" spans="1:40" x14ac:dyDescent="0.25">
      <c r="A9869" t="str">
        <f>"20190303162141055"</f>
        <v>20190303162141055</v>
      </c>
      <c r="B9869" t="str">
        <f>"1551601301042503"</f>
        <v>1551601301042503</v>
      </c>
      <c r="C9869" t="s">
        <v>40</v>
      </c>
      <c r="D9869">
        <v>4.4517559999999996</v>
      </c>
      <c r="E9869">
        <v>0.50897879999999995</v>
      </c>
      <c r="F9869" t="s">
        <v>41</v>
      </c>
      <c r="G9869">
        <v>-176.95849999999999</v>
      </c>
      <c r="H9869">
        <v>7.9986180000000004E-2</v>
      </c>
      <c r="I9869">
        <v>232.42609999999999</v>
      </c>
      <c r="J9869">
        <v>-187.3391</v>
      </c>
      <c r="K9869">
        <v>1.1215809999999999</v>
      </c>
      <c r="L9869">
        <v>34.011470000000003</v>
      </c>
      <c r="M9869">
        <v>-1.1790299999999899E-2</v>
      </c>
      <c r="N9869">
        <v>-1.151199E-2</v>
      </c>
      <c r="O9869">
        <v>0.99986419999999998</v>
      </c>
      <c r="P9869">
        <v>-3.6510870000000001E-2</v>
      </c>
      <c r="Q9869">
        <v>0.17488519999999999</v>
      </c>
      <c r="R9869">
        <v>0.9839116</v>
      </c>
      <c r="S9869">
        <v>0.15965270000000001</v>
      </c>
      <c r="T9869">
        <v>-1.6025540000000001E-2</v>
      </c>
      <c r="U9869">
        <v>3.0575260000000002</v>
      </c>
      <c r="V9869">
        <v>-2.5016380000000001E-2</v>
      </c>
      <c r="W9869">
        <v>0.18619040000000001</v>
      </c>
      <c r="X9869">
        <v>0.98219509999999999</v>
      </c>
      <c r="Y9869">
        <v>6.3909510000000003E-2</v>
      </c>
      <c r="Z9869">
        <v>6.2839159999999996E-3</v>
      </c>
      <c r="AA9869">
        <v>0.99793589999999999</v>
      </c>
      <c r="AB9869">
        <v>31</v>
      </c>
      <c r="AC9869">
        <v>10.380599999999999</v>
      </c>
      <c r="AD9869">
        <v>-1.04159482</v>
      </c>
      <c r="AE9869">
        <v>198.41462999999999</v>
      </c>
      <c r="AF9869">
        <v>12.719051905624999</v>
      </c>
      <c r="AG9869">
        <v>-1.04159482</v>
      </c>
      <c r="AH9869">
        <v>198.27298914105199</v>
      </c>
      <c r="AI9869">
        <v>90.300373875513799</v>
      </c>
      <c r="AJ9869">
        <v>86.329551344845697</v>
      </c>
      <c r="AK9869">
        <v>198.683259043319</v>
      </c>
      <c r="AL9869">
        <v>79.269456228586506</v>
      </c>
      <c r="AM9869">
        <v>91.459000530671105</v>
      </c>
      <c r="AN9869">
        <v>0.99999994939223502</v>
      </c>
    </row>
    <row r="9870" spans="1:40" x14ac:dyDescent="0.25">
      <c r="A9870" t="str">
        <f>"20190303162141078"</f>
        <v>20190303162141078</v>
      </c>
      <c r="B9870" t="str">
        <f>"1551601301072760"</f>
        <v>1551601301072760</v>
      </c>
      <c r="C9870" t="s">
        <v>40</v>
      </c>
      <c r="D9870">
        <v>4.4854070000000004</v>
      </c>
      <c r="E9870">
        <v>0.50067669999999997</v>
      </c>
      <c r="F9870" t="s">
        <v>92</v>
      </c>
      <c r="G9870">
        <v>-193.0652</v>
      </c>
      <c r="H9870">
        <v>2.6495099999999998</v>
      </c>
      <c r="I9870">
        <v>391.87</v>
      </c>
      <c r="J9870">
        <v>-187.3432</v>
      </c>
      <c r="K9870">
        <v>1.1215850000000001</v>
      </c>
      <c r="L9870">
        <v>34.324459999999902</v>
      </c>
      <c r="M9870">
        <v>-1.2106459999999999E-2</v>
      </c>
      <c r="N9870">
        <v>-1.151458E-2</v>
      </c>
      <c r="O9870">
        <v>0.99986039999999998</v>
      </c>
      <c r="P9870">
        <v>-3.6694959999999999E-2</v>
      </c>
      <c r="Q9870">
        <v>0.175113299999999</v>
      </c>
      <c r="R9870">
        <v>0.98386419999999997</v>
      </c>
      <c r="S9870">
        <v>-4.8721309999999997E-2</v>
      </c>
      <c r="T9870">
        <v>1.300073E-2</v>
      </c>
      <c r="U9870">
        <v>3.0449220000000001</v>
      </c>
      <c r="V9870">
        <v>-2.4889290000000001E-2</v>
      </c>
      <c r="W9870">
        <v>0.18642049999999999</v>
      </c>
      <c r="X9870">
        <v>0.98215469999999905</v>
      </c>
      <c r="Y9870">
        <v>-3.8897570000000002E-3</v>
      </c>
      <c r="Z9870">
        <v>1.5781920000000001E-2</v>
      </c>
      <c r="AA9870">
        <v>0.99986790000000003</v>
      </c>
      <c r="AB9870">
        <v>31</v>
      </c>
      <c r="AC9870">
        <v>-5.7220000000000004</v>
      </c>
      <c r="AD9870">
        <v>1.52792499999999</v>
      </c>
      <c r="AE9870">
        <v>357.54554000000002</v>
      </c>
      <c r="AF9870">
        <v>-1.3926573525994499</v>
      </c>
      <c r="AG9870">
        <v>1.52792499999999</v>
      </c>
      <c r="AH9870">
        <v>357.58208285880499</v>
      </c>
      <c r="AI9870">
        <v>89.755182204589701</v>
      </c>
      <c r="AJ9870">
        <v>90.223145926479404</v>
      </c>
      <c r="AK9870">
        <v>357.58805912802598</v>
      </c>
      <c r="AL9870">
        <v>79.256037725862996</v>
      </c>
      <c r="AM9870">
        <v>91.451651275688306</v>
      </c>
      <c r="AN9870">
        <v>0.999999967154521</v>
      </c>
    </row>
    <row r="9871" spans="1:40" x14ac:dyDescent="0.25">
      <c r="A9871" t="str">
        <f>"20190303162141101"</f>
        <v>20190303162141101</v>
      </c>
      <c r="B9871" t="str">
        <f>"1551601301092280"</f>
        <v>1551601301092280</v>
      </c>
      <c r="C9871" t="s">
        <v>40</v>
      </c>
      <c r="D9871">
        <v>4.466863</v>
      </c>
      <c r="E9871">
        <v>0.49938769999999999</v>
      </c>
      <c r="F9871" t="s">
        <v>92</v>
      </c>
      <c r="G9871">
        <v>-200.89279999999999</v>
      </c>
      <c r="H9871">
        <v>2.4918580000000001</v>
      </c>
      <c r="I9871">
        <v>391.87</v>
      </c>
      <c r="J9871">
        <v>-187.34729999999999</v>
      </c>
      <c r="K9871">
        <v>1.1215900000000001</v>
      </c>
      <c r="L9871">
        <v>34.637390000000003</v>
      </c>
      <c r="M9871">
        <v>-1.242248E-2</v>
      </c>
      <c r="N9871">
        <v>-1.151719E-2</v>
      </c>
      <c r="O9871">
        <v>0.99985650000000004</v>
      </c>
      <c r="P9871">
        <v>-3.6581389999999998E-2</v>
      </c>
      <c r="Q9871">
        <v>0.1752387</v>
      </c>
      <c r="R9871">
        <v>0.98384609999999995</v>
      </c>
      <c r="S9871">
        <v>-0.1153107</v>
      </c>
      <c r="T9871">
        <v>1.1661410000000001E-2</v>
      </c>
      <c r="U9871">
        <v>3.0428160000000002</v>
      </c>
      <c r="V9871">
        <v>-2.4465319999999999E-2</v>
      </c>
      <c r="W9871">
        <v>0.1865484</v>
      </c>
      <c r="X9871">
        <v>0.98214109999999999</v>
      </c>
      <c r="Y9871">
        <v>-2.544596E-2</v>
      </c>
      <c r="Z9871">
        <v>1.5344119999999999E-2</v>
      </c>
      <c r="AA9871">
        <v>0.99955839999999996</v>
      </c>
      <c r="AB9871">
        <v>31</v>
      </c>
      <c r="AC9871">
        <v>-13.545500000000001</v>
      </c>
      <c r="AD9871">
        <v>1.370268</v>
      </c>
      <c r="AE9871">
        <v>357.23261000000002</v>
      </c>
      <c r="AF9871">
        <v>-9.1063115334502207</v>
      </c>
      <c r="AG9871">
        <v>1.370268</v>
      </c>
      <c r="AH9871">
        <v>357.368070932325</v>
      </c>
      <c r="AI9871">
        <v>89.780381296822398</v>
      </c>
      <c r="AJ9871">
        <v>91.459672470220895</v>
      </c>
      <c r="AK9871">
        <v>357.48669998480699</v>
      </c>
      <c r="AL9871">
        <v>79.248579094406395</v>
      </c>
      <c r="AM9871">
        <v>91.426953570678904</v>
      </c>
      <c r="AN9871">
        <v>0.99999999886723601</v>
      </c>
    </row>
    <row r="9872" spans="1:40" x14ac:dyDescent="0.25">
      <c r="A9872" t="str">
        <f>"20190303162141123"</f>
        <v>20190303162141123</v>
      </c>
      <c r="B9872" t="str">
        <f>"1551601301112777"</f>
        <v>1551601301112777</v>
      </c>
      <c r="C9872" t="s">
        <v>40</v>
      </c>
      <c r="D9872">
        <v>4.5085490000000004</v>
      </c>
      <c r="E9872">
        <v>0.49892370000000003</v>
      </c>
      <c r="F9872" t="s">
        <v>92</v>
      </c>
      <c r="G9872">
        <v>-201.99449999999999</v>
      </c>
      <c r="H9872">
        <v>1.850149</v>
      </c>
      <c r="I9872">
        <v>391.00349999999997</v>
      </c>
      <c r="J9872">
        <v>-187.35140000000001</v>
      </c>
      <c r="K9872">
        <v>1.1215889999999999</v>
      </c>
      <c r="L9872">
        <v>34.94153</v>
      </c>
      <c r="M9872">
        <v>-1.272947E-2</v>
      </c>
      <c r="N9872">
        <v>-1.1519690000000001E-2</v>
      </c>
      <c r="O9872">
        <v>0.99985259999999998</v>
      </c>
      <c r="P9872">
        <v>-3.6481439999999997E-2</v>
      </c>
      <c r="Q9872">
        <v>0.1757589</v>
      </c>
      <c r="R9872">
        <v>0.98375699999999999</v>
      </c>
      <c r="S9872">
        <v>-0.1250916</v>
      </c>
      <c r="T9872">
        <v>6.2221289999999999E-3</v>
      </c>
      <c r="U9872">
        <v>3.043488</v>
      </c>
      <c r="V9872">
        <v>-2.4064809999999999E-2</v>
      </c>
      <c r="W9872">
        <v>0.18707019999999999</v>
      </c>
      <c r="X9872">
        <v>0.98205169999999997</v>
      </c>
      <c r="Y9872">
        <v>-2.8338490000000001E-2</v>
      </c>
      <c r="Z9872">
        <v>1.3559399999999999E-2</v>
      </c>
      <c r="AA9872">
        <v>0.99950640000000002</v>
      </c>
      <c r="AB9872">
        <v>31</v>
      </c>
      <c r="AC9872">
        <v>-14.643099999999899</v>
      </c>
      <c r="AD9872">
        <v>0.72855999999999999</v>
      </c>
      <c r="AE9872">
        <v>356.06196999999997</v>
      </c>
      <c r="AF9872">
        <v>-10.109090148450701</v>
      </c>
      <c r="AG9872">
        <v>0.72855999999999999</v>
      </c>
      <c r="AH9872">
        <v>356.21803935450799</v>
      </c>
      <c r="AI9872">
        <v>89.882862316901495</v>
      </c>
      <c r="AJ9872">
        <v>91.625557159268794</v>
      </c>
      <c r="AK9872">
        <v>356.36219786177202</v>
      </c>
      <c r="AL9872">
        <v>79.218145981119505</v>
      </c>
      <c r="AM9872">
        <v>91.403730746216795</v>
      </c>
      <c r="AN9872">
        <v>0.99999995814063203</v>
      </c>
    </row>
    <row r="9873" spans="1:40" x14ac:dyDescent="0.25">
      <c r="A9873" t="str">
        <f>"20190303162141147"</f>
        <v>20190303162141147</v>
      </c>
      <c r="B9873" t="str">
        <f>"1551601301132296"</f>
        <v>1551601301132296</v>
      </c>
      <c r="C9873" t="s">
        <v>40</v>
      </c>
      <c r="D9873">
        <v>4.5097329999999998</v>
      </c>
      <c r="E9873">
        <v>0.49861339999999998</v>
      </c>
      <c r="F9873" t="s">
        <v>92</v>
      </c>
      <c r="G9873">
        <v>-202.3837</v>
      </c>
      <c r="H9873">
        <v>1.6532899999999999</v>
      </c>
      <c r="I9873">
        <v>391.00349999999997</v>
      </c>
      <c r="J9873">
        <v>-187.35589999999999</v>
      </c>
      <c r="K9873">
        <v>1.1215869999999999</v>
      </c>
      <c r="L9873">
        <v>35.264159999999997</v>
      </c>
      <c r="M9873">
        <v>-1.3055509999999999E-2</v>
      </c>
      <c r="N9873">
        <v>-1.1522279999999999E-2</v>
      </c>
      <c r="O9873">
        <v>0.99984839999999997</v>
      </c>
      <c r="P9873">
        <v>-3.7187900000000003E-2</v>
      </c>
      <c r="Q9873">
        <v>0.1760968</v>
      </c>
      <c r="R9873">
        <v>0.98367020000000005</v>
      </c>
      <c r="S9873">
        <v>-0.1285095</v>
      </c>
      <c r="T9873">
        <v>4.5454500000000004E-3</v>
      </c>
      <c r="U9873">
        <v>3.0439449999999999</v>
      </c>
      <c r="V9873">
        <v>-2.4451870000000001E-2</v>
      </c>
      <c r="W9873">
        <v>0.1874093</v>
      </c>
      <c r="X9873">
        <v>0.98197749999999995</v>
      </c>
      <c r="Y9873">
        <v>-2.9126900000000001E-2</v>
      </c>
      <c r="Z9873">
        <v>1.3011089999999999E-2</v>
      </c>
      <c r="AA9873">
        <v>0.99949100000000002</v>
      </c>
      <c r="AB9873">
        <v>31</v>
      </c>
      <c r="AC9873">
        <v>-15.027799999999999</v>
      </c>
      <c r="AD9873">
        <v>0.53170299999999904</v>
      </c>
      <c r="AE9873">
        <v>355.73934000000003</v>
      </c>
      <c r="AF9873">
        <v>-10.3818291415323</v>
      </c>
      <c r="AG9873">
        <v>0.53170299999999904</v>
      </c>
      <c r="AH9873">
        <v>355.90443240550201</v>
      </c>
      <c r="AI9873">
        <v>89.914439496710798</v>
      </c>
      <c r="AJ9873">
        <v>91.670859672980299</v>
      </c>
      <c r="AK9873">
        <v>356.05621759812902</v>
      </c>
      <c r="AL9873">
        <v>79.198367363553402</v>
      </c>
      <c r="AM9873">
        <v>91.426406921303297</v>
      </c>
      <c r="AN9873">
        <v>0.99999997508961802</v>
      </c>
    </row>
    <row r="9874" spans="1:40" x14ac:dyDescent="0.25">
      <c r="A9874" t="str">
        <f>"20190303162141170"</f>
        <v>20190303162141170</v>
      </c>
      <c r="B9874" t="str">
        <f>"1551601301162552"</f>
        <v>1551601301162552</v>
      </c>
      <c r="C9874" t="s">
        <v>40</v>
      </c>
      <c r="D9874">
        <v>4.5424069999999999</v>
      </c>
      <c r="E9874">
        <v>0.49832989999999999</v>
      </c>
      <c r="F9874" t="s">
        <v>92</v>
      </c>
      <c r="G9874">
        <v>-202.98570000000001</v>
      </c>
      <c r="H9874">
        <v>1.590962</v>
      </c>
      <c r="I9874">
        <v>391.00349999999997</v>
      </c>
      <c r="J9874">
        <v>-187.3603</v>
      </c>
      <c r="K9874">
        <v>1.1215900000000001</v>
      </c>
      <c r="L9874">
        <v>35.57837</v>
      </c>
      <c r="M9874">
        <v>-1.337292E-2</v>
      </c>
      <c r="N9874">
        <v>-1.152481E-2</v>
      </c>
      <c r="O9874">
        <v>0.99984410000000001</v>
      </c>
      <c r="P9874">
        <v>-3.7981170000000002E-2</v>
      </c>
      <c r="Q9874">
        <v>0.17646110000000001</v>
      </c>
      <c r="R9874">
        <v>0.98357459999999997</v>
      </c>
      <c r="S9874">
        <v>-0.13374330000000001</v>
      </c>
      <c r="T9874">
        <v>4.0163990000000004E-3</v>
      </c>
      <c r="U9874">
        <v>3.0440369999999999</v>
      </c>
      <c r="V9874">
        <v>-2.493426E-2</v>
      </c>
      <c r="W9874">
        <v>0.1877751</v>
      </c>
      <c r="X9874">
        <v>0.98189550000000003</v>
      </c>
      <c r="Y9874">
        <v>-3.0523560000000002E-2</v>
      </c>
      <c r="Z9874">
        <v>1.2839639999999999E-2</v>
      </c>
      <c r="AA9874">
        <v>0.9994516</v>
      </c>
      <c r="AB9874">
        <v>31</v>
      </c>
      <c r="AC9874">
        <v>-15.625400000000001</v>
      </c>
      <c r="AD9874">
        <v>0.46937200000000001</v>
      </c>
      <c r="AE9874">
        <v>355.42513000000002</v>
      </c>
      <c r="AF9874">
        <v>-10.8705958468934</v>
      </c>
      <c r="AG9874">
        <v>0.46937200000000001</v>
      </c>
      <c r="AH9874">
        <v>355.60169528225202</v>
      </c>
      <c r="AI9874">
        <v>89.924408509804195</v>
      </c>
      <c r="AJ9874">
        <v>91.7509628482469</v>
      </c>
      <c r="AK9874">
        <v>355.76812090426603</v>
      </c>
      <c r="AL9874">
        <v>79.177029914912495</v>
      </c>
      <c r="AM9874">
        <v>91.454656728593307</v>
      </c>
      <c r="AN9874">
        <v>0.99999998921100297</v>
      </c>
    </row>
    <row r="9875" spans="1:40" x14ac:dyDescent="0.25">
      <c r="A9875" t="str">
        <f>"20190303162141191"</f>
        <v>20190303162141191</v>
      </c>
      <c r="B9875" t="str">
        <f>"1551601301182073"</f>
        <v>1551601301182073</v>
      </c>
      <c r="C9875" t="s">
        <v>40</v>
      </c>
      <c r="D9875">
        <v>4.5552669999999997</v>
      </c>
      <c r="E9875">
        <v>0.49815229999999999</v>
      </c>
      <c r="F9875" t="s">
        <v>92</v>
      </c>
      <c r="G9875">
        <v>-203.4752</v>
      </c>
      <c r="H9875">
        <v>1.164229</v>
      </c>
      <c r="I9875">
        <v>391.00349999999997</v>
      </c>
      <c r="J9875">
        <v>-187.3647</v>
      </c>
      <c r="K9875">
        <v>1.121599</v>
      </c>
      <c r="L9875">
        <v>35.881869999999999</v>
      </c>
      <c r="M9875">
        <v>-1.3679749999999999E-2</v>
      </c>
      <c r="N9875">
        <v>-1.1527229999999999E-2</v>
      </c>
      <c r="O9875">
        <v>0.99983999999999995</v>
      </c>
      <c r="P9875">
        <v>-3.8738719999999997E-2</v>
      </c>
      <c r="Q9875">
        <v>0.17740339999999999</v>
      </c>
      <c r="R9875">
        <v>0.98337549999999996</v>
      </c>
      <c r="S9875">
        <v>-0.13804629999999901</v>
      </c>
      <c r="T9875">
        <v>3.6525730000000001E-4</v>
      </c>
      <c r="U9875">
        <v>3.044708</v>
      </c>
      <c r="V9875">
        <v>-2.539311E-2</v>
      </c>
      <c r="W9875">
        <v>0.18871740000000001</v>
      </c>
      <c r="X9875">
        <v>0.98170310000000005</v>
      </c>
      <c r="Y9875">
        <v>-3.1617190000000003E-2</v>
      </c>
      <c r="Z9875">
        <v>1.1643499999999999E-2</v>
      </c>
      <c r="AA9875">
        <v>0.99943219999999999</v>
      </c>
      <c r="AB9875">
        <v>31</v>
      </c>
      <c r="AC9875">
        <v>-16.110499999999998</v>
      </c>
      <c r="AD9875">
        <v>4.2630000000000098E-2</v>
      </c>
      <c r="AE9875">
        <v>355.12162999999998</v>
      </c>
      <c r="AF9875">
        <v>-11.2506943296338</v>
      </c>
      <c r="AG9875">
        <v>4.2630000000000098E-2</v>
      </c>
      <c r="AH9875">
        <v>355.30879323002102</v>
      </c>
      <c r="AI9875">
        <v>89.993129087861007</v>
      </c>
      <c r="AJ9875">
        <v>91.813639298898494</v>
      </c>
      <c r="AK9875">
        <v>355.48687526657</v>
      </c>
      <c r="AL9875">
        <v>79.122057649830793</v>
      </c>
      <c r="AM9875">
        <v>91.481704276283196</v>
      </c>
      <c r="AN9875">
        <v>1.00000002182392</v>
      </c>
    </row>
    <row r="9876" spans="1:40" x14ac:dyDescent="0.25">
      <c r="A9876" t="str">
        <f>"20190303162141212"</f>
        <v>20190303162141212</v>
      </c>
      <c r="B9876" t="str">
        <f>"1551601301202568"</f>
        <v>1551601301202568</v>
      </c>
      <c r="C9876" t="s">
        <v>40</v>
      </c>
      <c r="D9876">
        <v>4.560778</v>
      </c>
      <c r="E9876">
        <v>0.49816240000000001</v>
      </c>
      <c r="F9876" t="s">
        <v>92</v>
      </c>
      <c r="G9876">
        <v>-203.93969999999999</v>
      </c>
      <c r="H9876">
        <v>1.22298</v>
      </c>
      <c r="I9876">
        <v>391.00349999999997</v>
      </c>
      <c r="J9876">
        <v>-187.369</v>
      </c>
      <c r="K9876">
        <v>1.121604</v>
      </c>
      <c r="L9876">
        <v>36.170650000000002</v>
      </c>
      <c r="M9876">
        <v>-1.3971630000000001E-2</v>
      </c>
      <c r="N9876">
        <v>-1.152955E-2</v>
      </c>
      <c r="O9876">
        <v>0.9998359</v>
      </c>
      <c r="P9876">
        <v>-3.9770970000000003E-2</v>
      </c>
      <c r="Q9876">
        <v>0.17810399999999901</v>
      </c>
      <c r="R9876">
        <v>0.98320759999999996</v>
      </c>
      <c r="S9876">
        <v>-0.14212040000000001</v>
      </c>
      <c r="T9876">
        <v>8.6927409999999999E-4</v>
      </c>
      <c r="U9876">
        <v>3.0449519999999999</v>
      </c>
      <c r="V9876">
        <v>-2.614083E-2</v>
      </c>
      <c r="W9876">
        <v>0.1894178</v>
      </c>
      <c r="X9876">
        <v>0.98154850000000005</v>
      </c>
      <c r="Y9876">
        <v>-3.2656039999999997E-2</v>
      </c>
      <c r="Z9876">
        <v>1.181099E-2</v>
      </c>
      <c r="AA9876">
        <v>0.99939690000000003</v>
      </c>
      <c r="AB9876">
        <v>31</v>
      </c>
      <c r="AC9876">
        <v>-16.570699999999899</v>
      </c>
      <c r="AD9876">
        <v>0.10137599999999899</v>
      </c>
      <c r="AE9876">
        <v>354.83284999999898</v>
      </c>
      <c r="AF9876">
        <v>-11.6111584843984</v>
      </c>
      <c r="AG9876">
        <v>0.10137599999999899</v>
      </c>
      <c r="AH9876">
        <v>355.02971704081102</v>
      </c>
      <c r="AI9876">
        <v>89.983648374618099</v>
      </c>
      <c r="AJ9876">
        <v>91.873176540916702</v>
      </c>
      <c r="AK9876">
        <v>355.21955078587803</v>
      </c>
      <c r="AL9876">
        <v>79.081189838080803</v>
      </c>
      <c r="AM9876">
        <v>91.525554034671899</v>
      </c>
      <c r="AN9876">
        <v>0.99999995190108804</v>
      </c>
    </row>
    <row r="9877" spans="1:40" x14ac:dyDescent="0.25">
      <c r="A9877" t="str">
        <f>"20190303162141234"</f>
        <v>20190303162141234</v>
      </c>
      <c r="B9877" t="str">
        <f>"1551601301222087"</f>
        <v>1551601301222087</v>
      </c>
      <c r="C9877" t="s">
        <v>40</v>
      </c>
      <c r="D9877">
        <v>4.5869869999999997</v>
      </c>
      <c r="E9877">
        <v>0.49809530000000002</v>
      </c>
      <c r="F9877" t="s">
        <v>92</v>
      </c>
      <c r="G9877">
        <v>-204.37350000000001</v>
      </c>
      <c r="H9877">
        <v>1.1864600000000001</v>
      </c>
      <c r="I9877">
        <v>391.00349999999997</v>
      </c>
      <c r="J9877">
        <v>-187.3734</v>
      </c>
      <c r="K9877">
        <v>1.121602</v>
      </c>
      <c r="L9877">
        <v>36.46707</v>
      </c>
      <c r="M9877">
        <v>-1.4271010000000001E-2</v>
      </c>
      <c r="N9877">
        <v>-1.1531929999999999E-2</v>
      </c>
      <c r="O9877">
        <v>0.99983169999999999</v>
      </c>
      <c r="P9877">
        <v>-3.977953E-2</v>
      </c>
      <c r="Q9877">
        <v>0.17821970000000001</v>
      </c>
      <c r="R9877">
        <v>0.98318629999999996</v>
      </c>
      <c r="S9877">
        <v>-0.14593510000000001</v>
      </c>
      <c r="T9877">
        <v>5.5658819999999996E-4</v>
      </c>
      <c r="U9877">
        <v>3.0452270000000001</v>
      </c>
      <c r="V9877">
        <v>-2.585519E-2</v>
      </c>
      <c r="W9877">
        <v>0.18953629999999999</v>
      </c>
      <c r="X9877">
        <v>0.98153319999999999</v>
      </c>
      <c r="Y9877">
        <v>-3.360167E-2</v>
      </c>
      <c r="Z9877">
        <v>1.171056E-2</v>
      </c>
      <c r="AA9877">
        <v>0.99936670000000005</v>
      </c>
      <c r="AB9877">
        <v>31</v>
      </c>
      <c r="AC9877">
        <v>-17.0001</v>
      </c>
      <c r="AD9877">
        <v>6.4857999999999999E-2</v>
      </c>
      <c r="AE9877">
        <v>354.53643</v>
      </c>
      <c r="AF9877">
        <v>-11.938438941702399</v>
      </c>
      <c r="AG9877">
        <v>6.4857999999999999E-2</v>
      </c>
      <c r="AH9877">
        <v>354.74293348799802</v>
      </c>
      <c r="AI9877">
        <v>89.989530483390894</v>
      </c>
      <c r="AJ9877">
        <v>91.927491826610193</v>
      </c>
      <c r="AK9877">
        <v>354.94376933620703</v>
      </c>
      <c r="AL9877">
        <v>79.074275130886903</v>
      </c>
      <c r="AM9877">
        <v>91.508915613681197</v>
      </c>
      <c r="AN9877">
        <v>0.99999996128493196</v>
      </c>
    </row>
    <row r="9878" spans="1:40" x14ac:dyDescent="0.25">
      <c r="A9878" t="str">
        <f>"20190303162141258"</f>
        <v>20190303162141258</v>
      </c>
      <c r="B9878" t="str">
        <f>"1551601301252345"</f>
        <v>1551601301252345</v>
      </c>
      <c r="C9878" t="s">
        <v>40</v>
      </c>
      <c r="D9878">
        <v>4.5735749999999999</v>
      </c>
      <c r="E9878">
        <v>0.49804320000000002</v>
      </c>
      <c r="F9878" t="s">
        <v>92</v>
      </c>
      <c r="G9878">
        <v>-204.43440000000001</v>
      </c>
      <c r="H9878">
        <v>0.94578169999999995</v>
      </c>
      <c r="I9878">
        <v>391.00349999999997</v>
      </c>
      <c r="J9878">
        <v>-187.3783</v>
      </c>
      <c r="K9878">
        <v>1.1216010000000001</v>
      </c>
      <c r="L9878">
        <v>36.782649999999997</v>
      </c>
      <c r="M9878">
        <v>-1.4589660000000001E-2</v>
      </c>
      <c r="N9878">
        <v>-1.153439E-2</v>
      </c>
      <c r="O9878">
        <v>0.99982700000000002</v>
      </c>
      <c r="P9878">
        <v>-4.0381840000000002E-2</v>
      </c>
      <c r="Q9878">
        <v>0.1782753</v>
      </c>
      <c r="R9878">
        <v>0.98315169999999996</v>
      </c>
      <c r="S9878">
        <v>-0.14656069999999999</v>
      </c>
      <c r="T9878">
        <v>-1.510382E-3</v>
      </c>
      <c r="U9878">
        <v>3.0456240000000001</v>
      </c>
      <c r="V9878">
        <v>-2.61446E-2</v>
      </c>
      <c r="W9878">
        <v>0.18959390000000001</v>
      </c>
      <c r="X9878">
        <v>0.98151449999999996</v>
      </c>
      <c r="Y9878">
        <v>-3.348197E-2</v>
      </c>
      <c r="Z9878">
        <v>1.103496E-2</v>
      </c>
      <c r="AA9878">
        <v>0.9993784</v>
      </c>
      <c r="AB9878">
        <v>31</v>
      </c>
      <c r="AC9878">
        <v>-17.056100000000001</v>
      </c>
      <c r="AD9878">
        <v>-0.17581930000000001</v>
      </c>
      <c r="AE9878">
        <v>354.22084999999998</v>
      </c>
      <c r="AF9878">
        <v>-11.8859757156151</v>
      </c>
      <c r="AG9878">
        <v>-0.17581930000000001</v>
      </c>
      <c r="AH9878">
        <v>354.43191571638999</v>
      </c>
      <c r="AI9878">
        <v>90.028406141849999</v>
      </c>
      <c r="AJ9878">
        <v>91.920710556950695</v>
      </c>
      <c r="AK9878">
        <v>354.63120309629898</v>
      </c>
      <c r="AL9878">
        <v>79.070914935013505</v>
      </c>
      <c r="AM9878">
        <v>91.525826772652096</v>
      </c>
      <c r="AN9878">
        <v>1.0000000503683</v>
      </c>
    </row>
    <row r="9879" spans="1:40" x14ac:dyDescent="0.25">
      <c r="A9879" t="str">
        <f>"20190303162141280"</f>
        <v>20190303162141280</v>
      </c>
      <c r="B9879" t="str">
        <f>"1551601301272841"</f>
        <v>1551601301272841</v>
      </c>
      <c r="C9879" t="s">
        <v>40</v>
      </c>
      <c r="D9879">
        <v>4.6183540000000001</v>
      </c>
      <c r="E9879">
        <v>0.4980271</v>
      </c>
      <c r="F9879" t="s">
        <v>92</v>
      </c>
      <c r="G9879">
        <v>-204.69309999999999</v>
      </c>
      <c r="H9879">
        <v>0.84123130000000002</v>
      </c>
      <c r="I9879">
        <v>391.00349999999997</v>
      </c>
      <c r="J9879">
        <v>-187.38310000000001</v>
      </c>
      <c r="K9879">
        <v>1.1215980000000001</v>
      </c>
      <c r="L9879">
        <v>37.09366</v>
      </c>
      <c r="M9879">
        <v>-1.4903390000000001E-2</v>
      </c>
      <c r="N9879">
        <v>-1.153683E-2</v>
      </c>
      <c r="O9879">
        <v>0.9998224</v>
      </c>
      <c r="P9879">
        <v>-4.0632090000000003E-2</v>
      </c>
      <c r="Q9879">
        <v>0.17811150000000001</v>
      </c>
      <c r="R9879">
        <v>0.98317100000000002</v>
      </c>
      <c r="S9879">
        <v>-0.14887999999999901</v>
      </c>
      <c r="T9879">
        <v>-2.4107690000000001E-3</v>
      </c>
      <c r="U9879">
        <v>3.0457459999999998</v>
      </c>
      <c r="V9879">
        <v>-2.6085520000000001E-2</v>
      </c>
      <c r="W9879">
        <v>0.18943280000000001</v>
      </c>
      <c r="X9879">
        <v>0.98154710000000001</v>
      </c>
      <c r="Y9879">
        <v>-3.3925740000000003E-2</v>
      </c>
      <c r="Z9879">
        <v>1.074199E-2</v>
      </c>
      <c r="AA9879">
        <v>0.99936659999999999</v>
      </c>
      <c r="AB9879">
        <v>31</v>
      </c>
      <c r="AC9879">
        <v>-17.309999999999899</v>
      </c>
      <c r="AD9879">
        <v>-0.28036669999999903</v>
      </c>
      <c r="AE9879">
        <v>353.90983999999997</v>
      </c>
      <c r="AF9879">
        <v>-12.033262424444301</v>
      </c>
      <c r="AG9879">
        <v>-0.28036669999999903</v>
      </c>
      <c r="AH9879">
        <v>354.12830207909701</v>
      </c>
      <c r="AI9879">
        <v>90.045335431419801</v>
      </c>
      <c r="AJ9879">
        <v>91.946158986736094</v>
      </c>
      <c r="AK9879">
        <v>354.33279885368597</v>
      </c>
      <c r="AL9879">
        <v>79.080314807507406</v>
      </c>
      <c r="AM9879">
        <v>91.522329886371097</v>
      </c>
      <c r="AN9879">
        <v>0.99999997479395897</v>
      </c>
    </row>
    <row r="9880" spans="1:40" x14ac:dyDescent="0.25">
      <c r="A9880" t="str">
        <f>"20190303162141302"</f>
        <v>20190303162141302</v>
      </c>
      <c r="B9880" t="str">
        <f>"1551601301292893"</f>
        <v>1551601301292893</v>
      </c>
      <c r="C9880" t="s">
        <v>40</v>
      </c>
      <c r="D9880">
        <v>4.686553</v>
      </c>
      <c r="E9880">
        <v>0.49814360000000002</v>
      </c>
      <c r="F9880" t="s">
        <v>92</v>
      </c>
      <c r="G9880">
        <v>-204.797</v>
      </c>
      <c r="H9880">
        <v>0.62745090000000003</v>
      </c>
      <c r="I9880">
        <v>391.00349999999997</v>
      </c>
      <c r="J9880">
        <v>-187.38800000000001</v>
      </c>
      <c r="K9880">
        <v>1.1215999999999999</v>
      </c>
      <c r="L9880">
        <v>37.400449999999999</v>
      </c>
      <c r="M9880">
        <v>-1.5212949999999999E-2</v>
      </c>
      <c r="N9880">
        <v>-1.1539229999999999E-2</v>
      </c>
      <c r="O9880">
        <v>0.99981770000000003</v>
      </c>
      <c r="P9880">
        <v>-4.0574270000000003E-2</v>
      </c>
      <c r="Q9880">
        <v>0.17774879999999901</v>
      </c>
      <c r="R9880">
        <v>0.98323910000000003</v>
      </c>
      <c r="S9880">
        <v>-0.149871799999999</v>
      </c>
      <c r="T9880">
        <v>-4.2529109999999998E-3</v>
      </c>
      <c r="U9880">
        <v>3.0459290000000001</v>
      </c>
      <c r="V9880">
        <v>-2.572226E-2</v>
      </c>
      <c r="W9880">
        <v>0.1890732</v>
      </c>
      <c r="X9880">
        <v>0.981626</v>
      </c>
      <c r="Y9880">
        <v>-3.3938199999999898E-2</v>
      </c>
      <c r="Z9880">
        <v>1.014023E-2</v>
      </c>
      <c r="AA9880">
        <v>0.9993725</v>
      </c>
      <c r="AB9880">
        <v>31</v>
      </c>
      <c r="AC9880">
        <v>-17.408999999999899</v>
      </c>
      <c r="AD9880">
        <v>-0.49414909999999901</v>
      </c>
      <c r="AE9880">
        <v>353.60305</v>
      </c>
      <c r="AF9880">
        <v>-12.027258028542199</v>
      </c>
      <c r="AG9880">
        <v>-0.49414909999999901</v>
      </c>
      <c r="AH9880">
        <v>353.82629488122899</v>
      </c>
      <c r="AI9880">
        <v>90.079972283218197</v>
      </c>
      <c r="AJ9880">
        <v>91.946847664129507</v>
      </c>
      <c r="AK9880">
        <v>354.03099591475899</v>
      </c>
      <c r="AL9880">
        <v>79.101297364222503</v>
      </c>
      <c r="AM9880">
        <v>91.501019492830906</v>
      </c>
      <c r="AN9880">
        <v>0.99999995674687203</v>
      </c>
    </row>
    <row r="9881" spans="1:40" x14ac:dyDescent="0.25">
      <c r="A9881" t="str">
        <f>"20190303162141323"</f>
        <v>20190303162141323</v>
      </c>
      <c r="B9881" t="str">
        <f>"1551601301312413"</f>
        <v>1551601301312413</v>
      </c>
      <c r="C9881" t="s">
        <v>40</v>
      </c>
      <c r="D9881">
        <v>4.7043030000000003</v>
      </c>
      <c r="E9881">
        <v>0.49797039999999998</v>
      </c>
      <c r="F9881" t="s">
        <v>92</v>
      </c>
      <c r="G9881">
        <v>-204.6669</v>
      </c>
      <c r="H9881">
        <v>0.1914167</v>
      </c>
      <c r="I9881">
        <v>391.00349999999997</v>
      </c>
      <c r="J9881">
        <v>-187.39279999999999</v>
      </c>
      <c r="K9881">
        <v>1.121599</v>
      </c>
      <c r="L9881">
        <v>37.693849999999998</v>
      </c>
      <c r="M9881">
        <v>-1.550904E-2</v>
      </c>
      <c r="N9881">
        <v>-1.15415E-2</v>
      </c>
      <c r="O9881">
        <v>0.99981310000000001</v>
      </c>
      <c r="P9881">
        <v>-4.0562059999999997E-2</v>
      </c>
      <c r="Q9881">
        <v>0.1777852</v>
      </c>
      <c r="R9881">
        <v>0.98323300000000002</v>
      </c>
      <c r="S9881">
        <v>-0.14886469999999999</v>
      </c>
      <c r="T9881">
        <v>-8.0139640000000002E-3</v>
      </c>
      <c r="U9881">
        <v>3.0464479999999998</v>
      </c>
      <c r="V9881">
        <v>-2.5418759999999999E-2</v>
      </c>
      <c r="W9881">
        <v>0.18911210000000001</v>
      </c>
      <c r="X9881">
        <v>0.98162649999999996</v>
      </c>
      <c r="Y9881">
        <v>-3.3304680000000003E-2</v>
      </c>
      <c r="Z9881">
        <v>8.9094499999999993E-3</v>
      </c>
      <c r="AA9881">
        <v>0.99940560000000001</v>
      </c>
      <c r="AB9881">
        <v>31</v>
      </c>
      <c r="AC9881">
        <v>-17.274100000000001</v>
      </c>
      <c r="AD9881">
        <v>-0.93018230000000002</v>
      </c>
      <c r="AE9881">
        <v>353.30964999999998</v>
      </c>
      <c r="AF9881">
        <v>-11.7920820241011</v>
      </c>
      <c r="AG9881">
        <v>-0.93018230000000002</v>
      </c>
      <c r="AH9881">
        <v>353.53262884095398</v>
      </c>
      <c r="AI9881">
        <v>90.150667209834893</v>
      </c>
      <c r="AJ9881">
        <v>91.910392655346598</v>
      </c>
      <c r="AK9881">
        <v>353.73045966211299</v>
      </c>
      <c r="AL9881">
        <v>79.099028557734897</v>
      </c>
      <c r="AM9881">
        <v>91.483315990017502</v>
      </c>
      <c r="AN9881">
        <v>1.0000000426142901</v>
      </c>
    </row>
    <row r="9882" spans="1:40" x14ac:dyDescent="0.25">
      <c r="A9882" t="str">
        <f>"20190303162141347"</f>
        <v>20190303162141347</v>
      </c>
      <c r="B9882" t="str">
        <f>"1551601301342669"</f>
        <v>1551601301342669</v>
      </c>
      <c r="C9882" t="s">
        <v>40</v>
      </c>
      <c r="D9882">
        <v>4.7547459999999999</v>
      </c>
      <c r="E9882">
        <v>0.46975</v>
      </c>
      <c r="F9882" t="s">
        <v>46</v>
      </c>
      <c r="G9882">
        <v>-204.25970000000001</v>
      </c>
      <c r="H9882">
        <v>7.8601290000000004E-2</v>
      </c>
      <c r="I9882">
        <v>379.62869999999998</v>
      </c>
      <c r="J9882">
        <v>-187.3982</v>
      </c>
      <c r="K9882">
        <v>1.1215980000000001</v>
      </c>
      <c r="L9882">
        <v>38.018189999999997</v>
      </c>
      <c r="M9882">
        <v>-1.5836429999999999E-2</v>
      </c>
      <c r="N9882">
        <v>-1.1544E-2</v>
      </c>
      <c r="O9882">
        <v>0.99980800000000003</v>
      </c>
      <c r="P9882">
        <v>-4.0791170000000002E-2</v>
      </c>
      <c r="Q9882">
        <v>0.17759739999999999</v>
      </c>
      <c r="R9882">
        <v>0.98325750000000001</v>
      </c>
      <c r="S9882">
        <v>-0.1502838</v>
      </c>
      <c r="T9882">
        <v>-9.2930789999999992E-3</v>
      </c>
      <c r="U9882">
        <v>3.0466310000000001</v>
      </c>
      <c r="V9882">
        <v>-2.5325589999999999E-2</v>
      </c>
      <c r="W9882">
        <v>0.1889276</v>
      </c>
      <c r="X9882">
        <v>0.98166439999999999</v>
      </c>
      <c r="Y9882">
        <v>-3.3438950000000002E-2</v>
      </c>
      <c r="Z9882">
        <v>8.4926600000000008E-3</v>
      </c>
      <c r="AA9882">
        <v>0.99940469999999904</v>
      </c>
      <c r="AB9882">
        <v>31</v>
      </c>
      <c r="AC9882">
        <v>-16.861499999999999</v>
      </c>
      <c r="AD9882">
        <v>-1.0429967099999999</v>
      </c>
      <c r="AE9882">
        <v>341.61050999999998</v>
      </c>
      <c r="AF9882">
        <v>-11.449027565589899</v>
      </c>
      <c r="AG9882">
        <v>-1.0429967099999999</v>
      </c>
      <c r="AH9882">
        <v>341.83152990703798</v>
      </c>
      <c r="AI9882">
        <v>90.174722424747699</v>
      </c>
      <c r="AJ9882">
        <v>91.918301194838605</v>
      </c>
      <c r="AK9882">
        <v>342.02479868120798</v>
      </c>
      <c r="AL9882">
        <v>79.109793316988799</v>
      </c>
      <c r="AM9882">
        <v>91.477824422165398</v>
      </c>
      <c r="AN9882">
        <v>1.00000000888898</v>
      </c>
    </row>
    <row r="9883" spans="1:40" x14ac:dyDescent="0.25">
      <c r="A9883" t="str">
        <f>"20190303162141369"</f>
        <v>20190303162141369</v>
      </c>
      <c r="B9883" t="str">
        <f>"1551601301362189"</f>
        <v>1551601301362189</v>
      </c>
      <c r="C9883" t="s">
        <v>40</v>
      </c>
      <c r="D9883">
        <v>4.6889699999999896</v>
      </c>
      <c r="E9883">
        <v>0.46784490000000001</v>
      </c>
      <c r="F9883" t="s">
        <v>41</v>
      </c>
      <c r="G9883">
        <v>-192.62379999999999</v>
      </c>
      <c r="H9883" s="1">
        <v>-9.6149179999999993E-7</v>
      </c>
      <c r="I9883">
        <v>80.203000000000003</v>
      </c>
      <c r="J9883">
        <v>-187.40360000000001</v>
      </c>
      <c r="K9883">
        <v>1.121597</v>
      </c>
      <c r="L9883">
        <v>38.334629999999997</v>
      </c>
      <c r="M9883">
        <v>-1.615596E-2</v>
      </c>
      <c r="N9883">
        <v>-1.154647E-2</v>
      </c>
      <c r="O9883">
        <v>0.99980279999999999</v>
      </c>
      <c r="P9883">
        <v>-4.0850150000000002E-2</v>
      </c>
      <c r="Q9883">
        <v>0.17725439999999901</v>
      </c>
      <c r="R9883">
        <v>0.98331690000000005</v>
      </c>
      <c r="S9883">
        <v>-0.37782290000000002</v>
      </c>
      <c r="T9883">
        <v>-8.1093910000000005E-2</v>
      </c>
      <c r="U9883">
        <v>3.050049</v>
      </c>
      <c r="V9883">
        <v>-2.5068859999999998E-2</v>
      </c>
      <c r="W9883">
        <v>0.18858810000000001</v>
      </c>
      <c r="X9883">
        <v>0.98173619999999995</v>
      </c>
      <c r="Y9883">
        <v>-0.10684730000000001</v>
      </c>
      <c r="Z9883">
        <v>-1.4863589999999999E-2</v>
      </c>
      <c r="AA9883">
        <v>0.9941643</v>
      </c>
      <c r="AB9883">
        <v>31</v>
      </c>
      <c r="AC9883">
        <v>-5.22019999999997</v>
      </c>
      <c r="AD9883">
        <v>-1.1215979614917999</v>
      </c>
      <c r="AE9883">
        <v>41.868369999999999</v>
      </c>
      <c r="AF9883">
        <v>-4.5398417057513996</v>
      </c>
      <c r="AG9883">
        <v>-1.1215979614917999</v>
      </c>
      <c r="AH9883">
        <v>41.917626747575298</v>
      </c>
      <c r="AI9883">
        <v>91.523801828303107</v>
      </c>
      <c r="AJ9883">
        <v>96.181262304245493</v>
      </c>
      <c r="AK9883">
        <v>42.177666801869698</v>
      </c>
      <c r="AL9883">
        <v>79.129600582017801</v>
      </c>
      <c r="AM9883">
        <v>91.462743056408996</v>
      </c>
      <c r="AN9883">
        <v>0.99999994279687299</v>
      </c>
    </row>
    <row r="9884" spans="1:40" x14ac:dyDescent="0.25">
      <c r="A9884" t="str">
        <f>"20190303162141392"</f>
        <v>20190303162141392</v>
      </c>
      <c r="B9884" t="str">
        <f>"1551601301382685"</f>
        <v>1551601301382685</v>
      </c>
      <c r="C9884" t="s">
        <v>40</v>
      </c>
      <c r="D9884">
        <v>4.6596820000000001</v>
      </c>
      <c r="E9884">
        <v>0.46712789999999998</v>
      </c>
      <c r="F9884" t="s">
        <v>41</v>
      </c>
      <c r="G9884">
        <v>-192.54509999999999</v>
      </c>
      <c r="H9884" s="1">
        <v>-4.2561639999999999E-6</v>
      </c>
      <c r="I9884">
        <v>78.167100000000005</v>
      </c>
      <c r="J9884">
        <v>-187.40880000000001</v>
      </c>
      <c r="K9884">
        <v>1.121597</v>
      </c>
      <c r="L9884">
        <v>38.635770000000001</v>
      </c>
      <c r="M9884">
        <v>-1.6460289999999999E-2</v>
      </c>
      <c r="N9884">
        <v>-1.154899E-2</v>
      </c>
      <c r="O9884">
        <v>0.99979779999999996</v>
      </c>
      <c r="P9884">
        <v>-4.1107999999999999E-2</v>
      </c>
      <c r="Q9884">
        <v>0.17642430000000001</v>
      </c>
      <c r="R9884">
        <v>0.98345539999999998</v>
      </c>
      <c r="S9884">
        <v>-0.39369199999999999</v>
      </c>
      <c r="T9884">
        <v>-8.5882310000000003E-2</v>
      </c>
      <c r="U9884">
        <v>3.0500180000000001</v>
      </c>
      <c r="V9884">
        <v>-2.5024210000000002E-2</v>
      </c>
      <c r="W9884">
        <v>0.18776200000000001</v>
      </c>
      <c r="X9884">
        <v>0.98189570000000004</v>
      </c>
      <c r="Y9884">
        <v>-0.1116307</v>
      </c>
      <c r="Z9884">
        <v>-1.6403230000000001E-2</v>
      </c>
      <c r="AA9884">
        <v>0.99361440000000001</v>
      </c>
      <c r="AB9884">
        <v>31</v>
      </c>
      <c r="AC9884">
        <v>-5.1362999999999701</v>
      </c>
      <c r="AD9884">
        <v>-1.1216012561640001</v>
      </c>
      <c r="AE9884">
        <v>39.531329999999997</v>
      </c>
      <c r="AF9884">
        <v>-4.4813159192222596</v>
      </c>
      <c r="AG9884">
        <v>-1.1216012561640001</v>
      </c>
      <c r="AH9884">
        <v>39.579192040530401</v>
      </c>
      <c r="AI9884">
        <v>91.612922075852097</v>
      </c>
      <c r="AJ9884">
        <v>96.459749241131703</v>
      </c>
      <c r="AK9884">
        <v>39.847868504185897</v>
      </c>
      <c r="AL9884">
        <v>79.177793900840797</v>
      </c>
      <c r="AM9884">
        <v>91.459901818563793</v>
      </c>
      <c r="AN9884">
        <v>0.99999997270430596</v>
      </c>
    </row>
    <row r="9885" spans="1:40" x14ac:dyDescent="0.25">
      <c r="A9885" t="str">
        <f>"20190303162141413"</f>
        <v>20190303162141413</v>
      </c>
      <c r="B9885" t="str">
        <f>"1551601301402206"</f>
        <v>1551601301402206</v>
      </c>
      <c r="C9885" t="s">
        <v>40</v>
      </c>
      <c r="D9885">
        <v>4.8083320000000001</v>
      </c>
      <c r="E9885">
        <v>0.46672209999999997</v>
      </c>
      <c r="F9885" t="s">
        <v>41</v>
      </c>
      <c r="G9885">
        <v>-192.4331</v>
      </c>
      <c r="H9885" s="1">
        <v>-3.7870389999999999E-6</v>
      </c>
      <c r="I9885">
        <v>76.907709999999994</v>
      </c>
      <c r="J9885">
        <v>-187.41399999999999</v>
      </c>
      <c r="K9885">
        <v>1.1215900000000001</v>
      </c>
      <c r="L9885">
        <v>38.935609999999997</v>
      </c>
      <c r="M9885">
        <v>-1.6763130000000001E-2</v>
      </c>
      <c r="N9885">
        <v>-1.155132E-2</v>
      </c>
      <c r="O9885">
        <v>0.99979280000000004</v>
      </c>
      <c r="P9885">
        <v>-4.1369709999999997E-2</v>
      </c>
      <c r="Q9885">
        <v>0.17567240000000001</v>
      </c>
      <c r="R9885">
        <v>0.98357899999999998</v>
      </c>
      <c r="S9885">
        <v>-0.40037539999999999</v>
      </c>
      <c r="T9885">
        <v>-8.9376929999999993E-2</v>
      </c>
      <c r="U9885">
        <v>3.0497740000000002</v>
      </c>
      <c r="V9885">
        <v>-2.4985710000000001E-2</v>
      </c>
      <c r="W9885">
        <v>0.18701400000000001</v>
      </c>
      <c r="X9885">
        <v>0.98203949999999995</v>
      </c>
      <c r="Y9885">
        <v>-0.1134771</v>
      </c>
      <c r="Z9885">
        <v>-1.7532430000000002E-2</v>
      </c>
      <c r="AA9885">
        <v>0.99338590000000004</v>
      </c>
      <c r="AB9885">
        <v>31</v>
      </c>
      <c r="AC9885">
        <v>-5.0190999999999804</v>
      </c>
      <c r="AD9885">
        <v>-1.12159378703899</v>
      </c>
      <c r="AE9885">
        <v>37.972099999999998</v>
      </c>
      <c r="AF9885">
        <v>-4.3780669025776904</v>
      </c>
      <c r="AG9885">
        <v>-1.12159378703899</v>
      </c>
      <c r="AH9885">
        <v>38.018305597469897</v>
      </c>
      <c r="AI9885">
        <v>91.678728595788201</v>
      </c>
      <c r="AJ9885">
        <v>96.569063685253795</v>
      </c>
      <c r="AK9885">
        <v>38.285989642807699</v>
      </c>
      <c r="AL9885">
        <v>79.221424862196301</v>
      </c>
      <c r="AM9885">
        <v>91.457443362107597</v>
      </c>
      <c r="AN9885">
        <v>1.00000005073022</v>
      </c>
    </row>
    <row r="9886" spans="1:40" x14ac:dyDescent="0.25">
      <c r="A9886" t="str">
        <f>"20190303162141435"</f>
        <v>20190303162141435</v>
      </c>
      <c r="B9886" t="str">
        <f>"1551601301422701"</f>
        <v>1551601301422701</v>
      </c>
      <c r="C9886" t="s">
        <v>40</v>
      </c>
      <c r="D9886">
        <v>4.6761100000000004</v>
      </c>
      <c r="E9886">
        <v>0.46642280000000003</v>
      </c>
      <c r="F9886" t="s">
        <v>41</v>
      </c>
      <c r="G9886">
        <v>-192.51410000000001</v>
      </c>
      <c r="H9886" s="1">
        <v>-3.9895109999999998E-6</v>
      </c>
      <c r="I9886">
        <v>77.399699999999996</v>
      </c>
      <c r="J9886">
        <v>-187.41929999999999</v>
      </c>
      <c r="K9886">
        <v>1.1215889999999999</v>
      </c>
      <c r="L9886">
        <v>39.231900000000003</v>
      </c>
      <c r="M9886">
        <v>-1.70620999999999E-2</v>
      </c>
      <c r="N9886">
        <v>-1.15533999999999E-2</v>
      </c>
      <c r="O9886">
        <v>0.99978769999999995</v>
      </c>
      <c r="P9886">
        <v>-4.128242E-2</v>
      </c>
      <c r="Q9886">
        <v>0.1751992</v>
      </c>
      <c r="R9886">
        <v>0.98366710000000002</v>
      </c>
      <c r="S9886">
        <v>-0.40426640000000003</v>
      </c>
      <c r="T9886">
        <v>-8.8905929999999994E-2</v>
      </c>
      <c r="U9886">
        <v>3.04895</v>
      </c>
      <c r="V9886">
        <v>-2.4602079999999998E-2</v>
      </c>
      <c r="W9886">
        <v>0.1865446</v>
      </c>
      <c r="X9886">
        <v>0.98213839999999997</v>
      </c>
      <c r="Y9886">
        <v>-0.1144608</v>
      </c>
      <c r="Z9886">
        <v>-1.7381099999999899E-2</v>
      </c>
      <c r="AA9886">
        <v>0.99327569999999998</v>
      </c>
      <c r="AB9886">
        <v>31</v>
      </c>
      <c r="AC9886">
        <v>-5.0948000000000198</v>
      </c>
      <c r="AD9886">
        <v>-1.1215929895109999</v>
      </c>
      <c r="AE9886">
        <v>38.1677999999999</v>
      </c>
      <c r="AF9886">
        <v>-4.43902586848714</v>
      </c>
      <c r="AG9886">
        <v>-1.1215929895109999</v>
      </c>
      <c r="AH9886">
        <v>38.21675352199</v>
      </c>
      <c r="AI9886">
        <v>91.6698253058467</v>
      </c>
      <c r="AJ9886">
        <v>96.625439821513496</v>
      </c>
      <c r="AK9886">
        <v>38.490039896780502</v>
      </c>
      <c r="AL9886">
        <v>79.2488006495322</v>
      </c>
      <c r="AM9886">
        <v>91.434930792165204</v>
      </c>
      <c r="AN9886">
        <v>0.99999999344202295</v>
      </c>
    </row>
    <row r="9887" spans="1:40" x14ac:dyDescent="0.25">
      <c r="A9887" t="str">
        <f>"20190303162141458"</f>
        <v>20190303162141458</v>
      </c>
      <c r="B9887" t="str">
        <f>"1551601301452957"</f>
        <v>1551601301452957</v>
      </c>
      <c r="C9887" t="s">
        <v>40</v>
      </c>
      <c r="D9887">
        <v>4.8072619999999997</v>
      </c>
      <c r="E9887">
        <v>0.46598519999999999</v>
      </c>
      <c r="F9887" t="s">
        <v>41</v>
      </c>
      <c r="G9887">
        <v>-192.80090000000001</v>
      </c>
      <c r="H9887" s="1">
        <v>-4.7920580000000004E-6</v>
      </c>
      <c r="I9887">
        <v>79.60848</v>
      </c>
      <c r="J9887">
        <v>-187.42529999999999</v>
      </c>
      <c r="K9887">
        <v>1.1215850000000001</v>
      </c>
      <c r="L9887">
        <v>39.560360000000003</v>
      </c>
      <c r="M9887">
        <v>-1.7393539999999999E-2</v>
      </c>
      <c r="N9887">
        <v>-1.1555599999999999E-2</v>
      </c>
      <c r="O9887">
        <v>0.99978199999999995</v>
      </c>
      <c r="P9887">
        <v>-4.1381719999999997E-2</v>
      </c>
      <c r="Q9887">
        <v>0.17474389999999901</v>
      </c>
      <c r="R9887">
        <v>0.9837439</v>
      </c>
      <c r="S9887">
        <v>-0.4062347</v>
      </c>
      <c r="T9887">
        <v>-8.4664229999999993E-2</v>
      </c>
      <c r="U9887">
        <v>3.0478519999999998</v>
      </c>
      <c r="V9887">
        <v>-2.4373789999999999E-2</v>
      </c>
      <c r="W9887">
        <v>0.18609249999999999</v>
      </c>
      <c r="X9887">
        <v>0.98222989999999999</v>
      </c>
      <c r="Y9887">
        <v>-0.11481230000000001</v>
      </c>
      <c r="Z9887">
        <v>-1.6008100000000001E-2</v>
      </c>
      <c r="AA9887">
        <v>0.99325819999999998</v>
      </c>
      <c r="AB9887">
        <v>31</v>
      </c>
      <c r="AC9887">
        <v>-5.3756000000000101</v>
      </c>
      <c r="AD9887">
        <v>-1.121589792058</v>
      </c>
      <c r="AE9887">
        <v>40.048119999999997</v>
      </c>
      <c r="AF9887">
        <v>-4.6745600764323303</v>
      </c>
      <c r="AG9887">
        <v>-1.121589792058</v>
      </c>
      <c r="AH9887">
        <v>40.104668759402301</v>
      </c>
      <c r="AI9887">
        <v>91.591181699523005</v>
      </c>
      <c r="AJ9887">
        <v>96.648338948965403</v>
      </c>
      <c r="AK9887">
        <v>40.391755741378702</v>
      </c>
      <c r="AL9887">
        <v>79.275166227816896</v>
      </c>
      <c r="AM9887">
        <v>91.421488756004507</v>
      </c>
      <c r="AN9887">
        <v>1.0000000383246099</v>
      </c>
    </row>
    <row r="9888" spans="1:40" x14ac:dyDescent="0.25">
      <c r="A9888" t="str">
        <f>"20190303162141479"</f>
        <v>20190303162141479</v>
      </c>
      <c r="B9888" t="str">
        <f>"1551601301472477"</f>
        <v>1551601301472477</v>
      </c>
      <c r="C9888" t="s">
        <v>40</v>
      </c>
      <c r="D9888">
        <v>4.6528580000000002</v>
      </c>
      <c r="E9888">
        <v>0.4656981</v>
      </c>
      <c r="F9888" t="s">
        <v>41</v>
      </c>
      <c r="G9888">
        <v>-193.10599999999999</v>
      </c>
      <c r="H9888" s="1">
        <v>-1.770338E-6</v>
      </c>
      <c r="I9888">
        <v>81.789349999999999</v>
      </c>
      <c r="J9888">
        <v>-187.4307</v>
      </c>
      <c r="K9888">
        <v>1.1215790000000001</v>
      </c>
      <c r="L9888">
        <v>39.854550000000003</v>
      </c>
      <c r="M9888">
        <v>-1.7690339999999999E-2</v>
      </c>
      <c r="N9888">
        <v>-1.1557629999999999E-2</v>
      </c>
      <c r="O9888">
        <v>0.99977669999999996</v>
      </c>
      <c r="P9888">
        <v>-4.1571740000000003E-2</v>
      </c>
      <c r="Q9888">
        <v>0.1740466</v>
      </c>
      <c r="R9888">
        <v>0.9838595</v>
      </c>
      <c r="S9888">
        <v>-0.40985110000000002</v>
      </c>
      <c r="T9888">
        <v>-8.0919030000000003E-2</v>
      </c>
      <c r="U9888">
        <v>3.0466920000000002</v>
      </c>
      <c r="V9888">
        <v>-2.4269309999999999E-2</v>
      </c>
      <c r="W9888">
        <v>0.1853986</v>
      </c>
      <c r="X9888">
        <v>0.9823636</v>
      </c>
      <c r="Y9888">
        <v>-0.1157281</v>
      </c>
      <c r="Z9888">
        <v>-1.4794649999999999E-2</v>
      </c>
      <c r="AA9888">
        <v>0.99317069999999996</v>
      </c>
      <c r="AB9888">
        <v>31</v>
      </c>
      <c r="AC9888">
        <v>-5.6752999999999902</v>
      </c>
      <c r="AD9888">
        <v>-1.1215807703380001</v>
      </c>
      <c r="AE9888">
        <v>41.934800000000003</v>
      </c>
      <c r="AF9888">
        <v>-4.92905881499044</v>
      </c>
      <c r="AG9888">
        <v>-1.1215807703380001</v>
      </c>
      <c r="AH9888">
        <v>41.999138348439203</v>
      </c>
      <c r="AI9888">
        <v>91.519289422102702</v>
      </c>
      <c r="AJ9888">
        <v>96.693667288955098</v>
      </c>
      <c r="AK9888">
        <v>42.302259824238298</v>
      </c>
      <c r="AL9888">
        <v>79.315626840035904</v>
      </c>
      <c r="AM9888">
        <v>91.415205368691204</v>
      </c>
      <c r="AN9888">
        <v>0.99999994144739601</v>
      </c>
    </row>
    <row r="9889" spans="1:40" x14ac:dyDescent="0.25">
      <c r="A9889" t="str">
        <f>"20190303162141502"</f>
        <v>20190303162141502</v>
      </c>
      <c r="B9889" t="str">
        <f>"1551601301492579"</f>
        <v>1551601301492579</v>
      </c>
      <c r="C9889" t="s">
        <v>40</v>
      </c>
      <c r="D9889">
        <v>4.6315749999999998</v>
      </c>
      <c r="E9889">
        <v>0.46541060000000001</v>
      </c>
      <c r="F9889" t="s">
        <v>41</v>
      </c>
      <c r="G9889">
        <v>-193.23310000000001</v>
      </c>
      <c r="H9889" s="1">
        <v>-2.19653E-6</v>
      </c>
      <c r="I9889">
        <v>82.703990000000005</v>
      </c>
      <c r="J9889">
        <v>-187.4365</v>
      </c>
      <c r="K9889">
        <v>1.1215759999999999</v>
      </c>
      <c r="L9889">
        <v>40.165309999999998</v>
      </c>
      <c r="M9889">
        <v>-1.800388E-2</v>
      </c>
      <c r="N9889">
        <v>-1.155981E-2</v>
      </c>
      <c r="O9889">
        <v>0.99977110000000002</v>
      </c>
      <c r="P9889">
        <v>-4.2199210000000001E-2</v>
      </c>
      <c r="Q9889">
        <v>0.1737802</v>
      </c>
      <c r="R9889">
        <v>0.98387990000000003</v>
      </c>
      <c r="S9889">
        <v>-0.4124603</v>
      </c>
      <c r="T9889">
        <v>-7.972622E-2</v>
      </c>
      <c r="U9889">
        <v>3.0458980000000002</v>
      </c>
      <c r="V9889">
        <v>-2.4587680000000001E-2</v>
      </c>
      <c r="W9889">
        <v>0.18513479999999999</v>
      </c>
      <c r="X9889">
        <v>0.98240550000000004</v>
      </c>
      <c r="Y9889">
        <v>-0.11628719999999999</v>
      </c>
      <c r="Z9889">
        <v>-1.440891E-2</v>
      </c>
      <c r="AA9889">
        <v>0.99311110000000002</v>
      </c>
      <c r="AB9889">
        <v>31</v>
      </c>
      <c r="AC9889">
        <v>-5.7966000000000104</v>
      </c>
      <c r="AD9889">
        <v>-1.12157819653</v>
      </c>
      <c r="AE9889">
        <v>42.538679999999999</v>
      </c>
      <c r="AF9889">
        <v>-5.0263174392814003</v>
      </c>
      <c r="AG9889">
        <v>-1.12157819653</v>
      </c>
      <c r="AH9889">
        <v>42.6070733408759</v>
      </c>
      <c r="AI9889">
        <v>91.497512445109905</v>
      </c>
      <c r="AJ9889">
        <v>96.728034957765004</v>
      </c>
      <c r="AK9889">
        <v>42.917181912680803</v>
      </c>
      <c r="AL9889">
        <v>79.331008448337599</v>
      </c>
      <c r="AM9889">
        <v>91.433701511318304</v>
      </c>
      <c r="AN9889">
        <v>1.0000000073045301</v>
      </c>
    </row>
    <row r="9890" spans="1:40" x14ac:dyDescent="0.25">
      <c r="A9890" t="str">
        <f>"20190303162141523"</f>
        <v>20190303162141523</v>
      </c>
      <c r="B9890" t="str">
        <f>"1551601301512100"</f>
        <v>1551601301512100</v>
      </c>
      <c r="C9890" t="s">
        <v>40</v>
      </c>
      <c r="D9890">
        <v>4.69137</v>
      </c>
      <c r="E9890">
        <v>0.46510430000000003</v>
      </c>
      <c r="F9890" t="s">
        <v>41</v>
      </c>
      <c r="G9890">
        <v>-193.09540000000001</v>
      </c>
      <c r="H9890" s="1">
        <v>-1.6367810000000001E-6</v>
      </c>
      <c r="I9890">
        <v>81.484639999999999</v>
      </c>
      <c r="J9890">
        <v>-187.44220000000001</v>
      </c>
      <c r="K9890">
        <v>1.1215759999999999</v>
      </c>
      <c r="L9890">
        <v>40.458159999999999</v>
      </c>
      <c r="M9890">
        <v>-1.8299389999999999E-2</v>
      </c>
      <c r="N9890">
        <v>-1.156192E-2</v>
      </c>
      <c r="O9890">
        <v>0.99976569999999998</v>
      </c>
      <c r="P9890">
        <v>-4.3042959999999998E-2</v>
      </c>
      <c r="Q9890">
        <v>0.1741086</v>
      </c>
      <c r="R9890">
        <v>0.98378529999999997</v>
      </c>
      <c r="S9890">
        <v>-0.41714479999999998</v>
      </c>
      <c r="T9890">
        <v>-8.2677479999999998E-2</v>
      </c>
      <c r="U9890">
        <v>3.045868</v>
      </c>
      <c r="V9890">
        <v>-2.514214E-2</v>
      </c>
      <c r="W9890">
        <v>0.18546380000000001</v>
      </c>
      <c r="X9890">
        <v>0.98232940000000002</v>
      </c>
      <c r="Y9890">
        <v>-0.1174916</v>
      </c>
      <c r="Z9890">
        <v>-1.5362799999999999E-2</v>
      </c>
      <c r="AA9890">
        <v>0.99295500000000003</v>
      </c>
      <c r="AB9890">
        <v>31</v>
      </c>
      <c r="AC9890">
        <v>-5.6531999999999902</v>
      </c>
      <c r="AD9890">
        <v>-1.121577636781</v>
      </c>
      <c r="AE9890">
        <v>41.026479999999999</v>
      </c>
      <c r="AF9890">
        <v>-4.89785126045079</v>
      </c>
      <c r="AG9890">
        <v>-1.121577636781</v>
      </c>
      <c r="AH9890">
        <v>41.092927333163097</v>
      </c>
      <c r="AI9890">
        <v>91.552442314754302</v>
      </c>
      <c r="AJ9890">
        <v>96.796997992169594</v>
      </c>
      <c r="AK9890">
        <v>41.398980182770799</v>
      </c>
      <c r="AL9890">
        <v>79.311825849146501</v>
      </c>
      <c r="AM9890">
        <v>91.466131503867103</v>
      </c>
      <c r="AN9890">
        <v>0.99999999920928895</v>
      </c>
    </row>
    <row r="9891" spans="1:40" x14ac:dyDescent="0.25">
      <c r="A9891" t="str">
        <f>"20190303162141549"</f>
        <v>20190303162141549</v>
      </c>
      <c r="B9891" t="str">
        <f>"1551601301542355"</f>
        <v>1551601301542355</v>
      </c>
      <c r="C9891" t="s">
        <v>40</v>
      </c>
      <c r="D9891">
        <v>4.6750449999999999</v>
      </c>
      <c r="E9891">
        <v>0.46499299999999999</v>
      </c>
      <c r="F9891" t="s">
        <v>41</v>
      </c>
      <c r="G9891">
        <v>-193.19630000000001</v>
      </c>
      <c r="H9891" s="1">
        <v>-1.8715570000000001E-6</v>
      </c>
      <c r="I9891">
        <v>81.969300000000004</v>
      </c>
      <c r="J9891">
        <v>-187.4487</v>
      </c>
      <c r="K9891">
        <v>1.1215710000000001</v>
      </c>
      <c r="L9891">
        <v>40.797580000000004</v>
      </c>
      <c r="M9891">
        <v>-1.8641870000000001E-2</v>
      </c>
      <c r="N9891">
        <v>-1.1564339999999999E-2</v>
      </c>
      <c r="O9891">
        <v>0.99975930000000002</v>
      </c>
      <c r="P9891">
        <v>-4.4298369999999997E-2</v>
      </c>
      <c r="Q9891">
        <v>0.17418549999999999</v>
      </c>
      <c r="R9891">
        <v>0.98371600000000003</v>
      </c>
      <c r="S9891">
        <v>-0.42216490000000001</v>
      </c>
      <c r="T9891">
        <v>-8.2286360000000003E-2</v>
      </c>
      <c r="U9891">
        <v>3.0455320000000001</v>
      </c>
      <c r="V9891">
        <v>-2.6061689999999998E-2</v>
      </c>
      <c r="W9891">
        <v>0.1855425</v>
      </c>
      <c r="X9891">
        <v>0.98229060000000001</v>
      </c>
      <c r="Y9891">
        <v>-0.1187724</v>
      </c>
      <c r="Z9891">
        <v>-1.523122E-2</v>
      </c>
      <c r="AA9891">
        <v>0.99280469999999998</v>
      </c>
      <c r="AB9891">
        <v>31</v>
      </c>
      <c r="AC9891">
        <v>-5.7476000000000003</v>
      </c>
      <c r="AD9891">
        <v>-1.1215728715569999</v>
      </c>
      <c r="AE9891">
        <v>41.171720000000001</v>
      </c>
      <c r="AF9891">
        <v>-4.9754102397662896</v>
      </c>
      <c r="AG9891">
        <v>-1.1215728715569999</v>
      </c>
      <c r="AH9891">
        <v>41.241697580720903</v>
      </c>
      <c r="AI9891">
        <v>91.546573268462694</v>
      </c>
      <c r="AJ9891">
        <v>96.878935645958506</v>
      </c>
      <c r="AK9891">
        <v>41.555869045176102</v>
      </c>
      <c r="AL9891">
        <v>79.307237325959903</v>
      </c>
      <c r="AM9891">
        <v>91.519789174507096</v>
      </c>
      <c r="AN9891">
        <v>1.0000000269201299</v>
      </c>
    </row>
    <row r="9892" spans="1:40" x14ac:dyDescent="0.25">
      <c r="A9892" t="str">
        <f>"20190303162141571"</f>
        <v>20190303162141571</v>
      </c>
      <c r="B9892" t="str">
        <f>"1551601301562851"</f>
        <v>1551601301562851</v>
      </c>
      <c r="C9892" t="s">
        <v>40</v>
      </c>
      <c r="D9892">
        <v>4.6568009999999997</v>
      </c>
      <c r="E9892">
        <v>0.46478599999999998</v>
      </c>
      <c r="F9892" t="s">
        <v>41</v>
      </c>
      <c r="G9892">
        <v>-193.1377</v>
      </c>
      <c r="H9892" s="1">
        <v>-1.6043419999999999E-6</v>
      </c>
      <c r="I9892">
        <v>81.382750000000001</v>
      </c>
      <c r="J9892">
        <v>-187.45509999999999</v>
      </c>
      <c r="K9892">
        <v>1.121583</v>
      </c>
      <c r="L9892">
        <v>41.12115</v>
      </c>
      <c r="M9892">
        <v>-1.8968220000000001E-2</v>
      </c>
      <c r="N9892">
        <v>-1.1566679999999999E-2</v>
      </c>
      <c r="O9892">
        <v>0.99975320000000001</v>
      </c>
      <c r="P9892">
        <v>-4.5499970000000001E-2</v>
      </c>
      <c r="Q9892">
        <v>0.17480970000000001</v>
      </c>
      <c r="R9892">
        <v>0.98355040000000005</v>
      </c>
      <c r="S9892">
        <v>-0.42687989999999998</v>
      </c>
      <c r="T9892">
        <v>-8.4158300000000005E-2</v>
      </c>
      <c r="U9892">
        <v>3.0453489999999999</v>
      </c>
      <c r="V9892">
        <v>-2.6945110000000001E-2</v>
      </c>
      <c r="W9892">
        <v>0.18616659999999999</v>
      </c>
      <c r="X9892">
        <v>0.98214860000000004</v>
      </c>
      <c r="Y9892">
        <v>-0.1199621</v>
      </c>
      <c r="Z9892">
        <v>-1.583468E-2</v>
      </c>
      <c r="AA9892">
        <v>0.99265219999999998</v>
      </c>
      <c r="AB9892">
        <v>31</v>
      </c>
      <c r="AC9892">
        <v>-5.6825999999999999</v>
      </c>
      <c r="AD9892">
        <v>-1.1215846043419999</v>
      </c>
      <c r="AE9892">
        <v>40.261600000000001</v>
      </c>
      <c r="AF9892">
        <v>-4.9140964969997896</v>
      </c>
      <c r="AG9892">
        <v>-1.1215846043419999</v>
      </c>
      <c r="AH9892">
        <v>40.3314641120975</v>
      </c>
      <c r="AI9892">
        <v>91.581249515175102</v>
      </c>
      <c r="AJ9892">
        <v>96.946833613749206</v>
      </c>
      <c r="AK9892">
        <v>40.645212434331498</v>
      </c>
      <c r="AL9892">
        <v>79.270844219156004</v>
      </c>
      <c r="AM9892">
        <v>91.571507530776202</v>
      </c>
      <c r="AN9892">
        <v>0.99999995719521495</v>
      </c>
    </row>
    <row r="9893" spans="1:40" x14ac:dyDescent="0.25">
      <c r="A9893" t="str">
        <f>"20190303162141592"</f>
        <v>20190303162141592</v>
      </c>
      <c r="B9893" t="str">
        <f>"1551601301582371"</f>
        <v>1551601301582371</v>
      </c>
      <c r="C9893" t="s">
        <v>40</v>
      </c>
      <c r="D9893">
        <v>4.7444449999999998</v>
      </c>
      <c r="E9893">
        <v>0.46466740000000001</v>
      </c>
      <c r="F9893" t="s">
        <v>41</v>
      </c>
      <c r="G9893">
        <v>-193.28399999999999</v>
      </c>
      <c r="H9893" s="1">
        <v>-1.9898290000000002E-6</v>
      </c>
      <c r="I9893">
        <v>82.190629999999999</v>
      </c>
      <c r="J9893">
        <v>-187.4607</v>
      </c>
      <c r="K9893">
        <v>1.1215839999999999</v>
      </c>
      <c r="L9893">
        <v>41.399810000000002</v>
      </c>
      <c r="M9893">
        <v>-1.9249430000000001E-2</v>
      </c>
      <c r="N9893">
        <v>-1.1568800000000001E-2</v>
      </c>
      <c r="O9893">
        <v>0.99974779999999996</v>
      </c>
      <c r="P9893">
        <v>-4.6260120000000002E-2</v>
      </c>
      <c r="Q9893">
        <v>0.17511179999999901</v>
      </c>
      <c r="R9893">
        <v>0.98346120000000004</v>
      </c>
      <c r="S9893">
        <v>-0.43215940000000003</v>
      </c>
      <c r="T9893">
        <v>-8.3155989999999999E-2</v>
      </c>
      <c r="U9893">
        <v>3.0449519999999999</v>
      </c>
      <c r="V9893">
        <v>-2.7430090000000001E-2</v>
      </c>
      <c r="W9893">
        <v>0.18646969999999999</v>
      </c>
      <c r="X9893">
        <v>0.98207770000000005</v>
      </c>
      <c r="Y9893">
        <v>-0.1213887</v>
      </c>
      <c r="Z9893">
        <v>-1.550467E-2</v>
      </c>
      <c r="AA9893">
        <v>0.99248400000000003</v>
      </c>
      <c r="AB9893">
        <v>31</v>
      </c>
      <c r="AC9893">
        <v>-5.8233000000000104</v>
      </c>
      <c r="AD9893">
        <v>-1.1215859898289999</v>
      </c>
      <c r="AE9893">
        <v>40.790819999999997</v>
      </c>
      <c r="AF9893">
        <v>-5.0332390173045098</v>
      </c>
      <c r="AG9893">
        <v>-1.1215859898289999</v>
      </c>
      <c r="AH9893">
        <v>40.8650854313127</v>
      </c>
      <c r="AI9893">
        <v>91.560364240638506</v>
      </c>
      <c r="AJ9893">
        <v>97.021598189714794</v>
      </c>
      <c r="AK9893">
        <v>41.189157037336699</v>
      </c>
      <c r="AL9893">
        <v>79.253168643483704</v>
      </c>
      <c r="AM9893">
        <v>91.5998936665939</v>
      </c>
      <c r="AN9893">
        <v>0.99999998384639399</v>
      </c>
    </row>
    <row r="9894" spans="1:40" x14ac:dyDescent="0.25">
      <c r="A9894" t="str">
        <f>"20190303162141614"</f>
        <v>20190303162141614</v>
      </c>
      <c r="B9894" t="str">
        <f>"1551601301601891"</f>
        <v>1551601301601891</v>
      </c>
      <c r="C9894" t="s">
        <v>40</v>
      </c>
      <c r="D9894">
        <v>4.6409859999999998</v>
      </c>
      <c r="E9894">
        <v>0.46447650000000001</v>
      </c>
      <c r="F9894" t="s">
        <v>41</v>
      </c>
      <c r="G9894">
        <v>-193.47470000000001</v>
      </c>
      <c r="H9894" s="1">
        <v>-2.5835689999999999E-6</v>
      </c>
      <c r="I9894">
        <v>83.456339999999997</v>
      </c>
      <c r="J9894">
        <v>-187.46700000000001</v>
      </c>
      <c r="K9894">
        <v>1.1215850000000001</v>
      </c>
      <c r="L9894">
        <v>41.709009999999999</v>
      </c>
      <c r="M9894">
        <v>-1.9561470000000001E-2</v>
      </c>
      <c r="N9894">
        <v>-1.1571100000000001E-2</v>
      </c>
      <c r="O9894">
        <v>0.99974169999999996</v>
      </c>
      <c r="P9894">
        <v>-4.755976E-2</v>
      </c>
      <c r="Q9894">
        <v>0.175127</v>
      </c>
      <c r="R9894">
        <v>0.98339650000000001</v>
      </c>
      <c r="S9894">
        <v>-0.43534850000000003</v>
      </c>
      <c r="T9894">
        <v>-8.1190590000000007E-2</v>
      </c>
      <c r="U9894">
        <v>3.0444339999999999</v>
      </c>
      <c r="V9894">
        <v>-2.84237E-2</v>
      </c>
      <c r="W9894">
        <v>0.18648609999999999</v>
      </c>
      <c r="X9894">
        <v>0.98204639999999999</v>
      </c>
      <c r="Y9894">
        <v>-0.122123</v>
      </c>
      <c r="Z9894">
        <v>-1.486467E-2</v>
      </c>
      <c r="AA9894">
        <v>0.9924037</v>
      </c>
      <c r="AB9894">
        <v>31</v>
      </c>
      <c r="AC9894">
        <v>-6.0076999999999998</v>
      </c>
      <c r="AD9894">
        <v>-1.1215875835689999</v>
      </c>
      <c r="AE9894">
        <v>41.747329999999998</v>
      </c>
      <c r="AF9894">
        <v>-5.1861891184473903</v>
      </c>
      <c r="AG9894">
        <v>-1.1215875835689999</v>
      </c>
      <c r="AH9894">
        <v>41.827290285006299</v>
      </c>
      <c r="AI9894">
        <v>91.524335857331295</v>
      </c>
      <c r="AJ9894">
        <v>97.068062397949902</v>
      </c>
      <c r="AK9894">
        <v>42.162503825865201</v>
      </c>
      <c r="AL9894">
        <v>79.252212957181001</v>
      </c>
      <c r="AM9894">
        <v>91.657868222715294</v>
      </c>
      <c r="AN9894">
        <v>1.0000000519839201</v>
      </c>
    </row>
    <row r="9895" spans="1:40" x14ac:dyDescent="0.25">
      <c r="A9895" t="str">
        <f>"20190303162141637"</f>
        <v>20190303162141637</v>
      </c>
      <c r="B9895" t="str">
        <f>"1551601301632147"</f>
        <v>1551601301632147</v>
      </c>
      <c r="C9895" t="s">
        <v>40</v>
      </c>
      <c r="D9895">
        <v>4.8178099999999997</v>
      </c>
      <c r="E9895">
        <v>0.46426840000000003</v>
      </c>
      <c r="F9895" t="s">
        <v>41</v>
      </c>
      <c r="G9895">
        <v>-193.64789999999999</v>
      </c>
      <c r="H9895" s="1">
        <v>-3.0331249999999999E-6</v>
      </c>
      <c r="I9895">
        <v>84.396869999999893</v>
      </c>
      <c r="J9895">
        <v>-187.4735</v>
      </c>
      <c r="K9895">
        <v>1.1215790000000001</v>
      </c>
      <c r="L9895">
        <v>42.021030000000003</v>
      </c>
      <c r="M9895">
        <v>-1.9876060000000001E-2</v>
      </c>
      <c r="N9895">
        <v>-1.157333E-2</v>
      </c>
      <c r="O9895">
        <v>0.9997355</v>
      </c>
      <c r="P9895">
        <v>-4.8546640000000002E-2</v>
      </c>
      <c r="Q9895">
        <v>0.1757071</v>
      </c>
      <c r="R9895">
        <v>0.98324480000000003</v>
      </c>
      <c r="S9895">
        <v>-0.4406891</v>
      </c>
      <c r="T9895">
        <v>-7.9967499999999997E-2</v>
      </c>
      <c r="U9895">
        <v>3.0435789999999998</v>
      </c>
      <c r="V9895">
        <v>-2.9104109999999999E-2</v>
      </c>
      <c r="W9895">
        <v>0.18706600000000001</v>
      </c>
      <c r="X9895">
        <v>0.98191609999999996</v>
      </c>
      <c r="Y9895">
        <v>-0.123556399999999</v>
      </c>
      <c r="Z9895">
        <v>-1.446655E-2</v>
      </c>
      <c r="AA9895">
        <v>0.99223209999999995</v>
      </c>
      <c r="AB9895">
        <v>31</v>
      </c>
      <c r="AC9895">
        <v>-6.1743999999999897</v>
      </c>
      <c r="AD9895">
        <v>-1.1215820331249999</v>
      </c>
      <c r="AE9895">
        <v>42.375839999999997</v>
      </c>
      <c r="AF9895">
        <v>-5.3272046970345999</v>
      </c>
      <c r="AG9895">
        <v>-1.1215820331249999</v>
      </c>
      <c r="AH9895">
        <v>42.461071760169602</v>
      </c>
      <c r="AI9895">
        <v>91.501315408830195</v>
      </c>
      <c r="AJ9895">
        <v>97.151016782548496</v>
      </c>
      <c r="AK9895">
        <v>42.808640146159902</v>
      </c>
      <c r="AL9895">
        <v>79.218391213668298</v>
      </c>
      <c r="AM9895">
        <v>91.697756655872098</v>
      </c>
      <c r="AN9895">
        <v>0.99999998250705002</v>
      </c>
    </row>
    <row r="9896" spans="1:40" x14ac:dyDescent="0.25">
      <c r="A9896" t="str">
        <f>"20190303162141659"</f>
        <v>20190303162141659</v>
      </c>
      <c r="B9896" t="str">
        <f>"1551601301652643"</f>
        <v>1551601301652643</v>
      </c>
      <c r="C9896" t="s">
        <v>40</v>
      </c>
      <c r="D9896">
        <v>4.8199990000000001</v>
      </c>
      <c r="E9896">
        <v>0.46414149999999998</v>
      </c>
      <c r="F9896" t="s">
        <v>41</v>
      </c>
      <c r="G9896">
        <v>-194.10130000000001</v>
      </c>
      <c r="H9896" s="1">
        <v>-4.2571619999999999E-6</v>
      </c>
      <c r="I9896">
        <v>87.358859999999893</v>
      </c>
      <c r="J9896">
        <v>-187.48</v>
      </c>
      <c r="K9896">
        <v>1.1215820000000001</v>
      </c>
      <c r="L9896">
        <v>42.332729999999998</v>
      </c>
      <c r="M9896">
        <v>-2.0188089999999999E-2</v>
      </c>
      <c r="N9896">
        <v>-1.157558E-2</v>
      </c>
      <c r="O9896">
        <v>0.99972919999999998</v>
      </c>
      <c r="P9896">
        <v>-4.9333500000000002E-2</v>
      </c>
      <c r="Q9896">
        <v>0.1760787</v>
      </c>
      <c r="R9896">
        <v>0.98313910000000004</v>
      </c>
      <c r="S9896">
        <v>-0.44479370000000001</v>
      </c>
      <c r="T9896">
        <v>-7.5269699999999995E-2</v>
      </c>
      <c r="U9896">
        <v>3.0426329999999999</v>
      </c>
      <c r="V9896">
        <v>-2.9585630000000002E-2</v>
      </c>
      <c r="W9896">
        <v>0.1874393</v>
      </c>
      <c r="X9896">
        <v>0.98183050000000005</v>
      </c>
      <c r="Y9896">
        <v>-0.1246051</v>
      </c>
      <c r="Z9896">
        <v>-1.294001E-2</v>
      </c>
      <c r="AA9896">
        <v>0.99212210000000001</v>
      </c>
      <c r="AB9896">
        <v>31</v>
      </c>
      <c r="AC9896">
        <v>-6.6213000000000104</v>
      </c>
      <c r="AD9896">
        <v>-1.1215862571619899</v>
      </c>
      <c r="AE9896">
        <v>45.026130000000002</v>
      </c>
      <c r="AF9896">
        <v>-5.7074314851183203</v>
      </c>
      <c r="AG9896">
        <v>-1.1215862571619899</v>
      </c>
      <c r="AH9896">
        <v>45.123226846911301</v>
      </c>
      <c r="AI9896">
        <v>91.412604569279495</v>
      </c>
      <c r="AJ9896">
        <v>97.208801391940298</v>
      </c>
      <c r="AK9896">
        <v>45.496574936663002</v>
      </c>
      <c r="AL9896">
        <v>79.196617377968906</v>
      </c>
      <c r="AM9896">
        <v>91.725979127196794</v>
      </c>
      <c r="AN9896">
        <v>0.99999996570861704</v>
      </c>
    </row>
    <row r="9897" spans="1:40" x14ac:dyDescent="0.25">
      <c r="A9897" t="str">
        <f>"20190303162141681"</f>
        <v>20190303162141681</v>
      </c>
      <c r="B9897" t="str">
        <f>"1551601301672164"</f>
        <v>1551601301672164</v>
      </c>
      <c r="C9897" t="s">
        <v>40</v>
      </c>
      <c r="D9897">
        <v>4.6207799999999999</v>
      </c>
      <c r="E9897">
        <v>0.46403949999999999</v>
      </c>
      <c r="F9897" t="s">
        <v>41</v>
      </c>
      <c r="G9897">
        <v>-194.33160000000001</v>
      </c>
      <c r="H9897" s="1">
        <v>-4.8022689999999999E-6</v>
      </c>
      <c r="I9897">
        <v>88.840609999999998</v>
      </c>
      <c r="J9897">
        <v>-187.48650000000001</v>
      </c>
      <c r="K9897">
        <v>1.121578</v>
      </c>
      <c r="L9897">
        <v>42.638669999999998</v>
      </c>
      <c r="M9897">
        <v>-2.048908E-2</v>
      </c>
      <c r="N9897">
        <v>-1.1577789999999999E-2</v>
      </c>
      <c r="O9897">
        <v>0.99972300000000003</v>
      </c>
      <c r="P9897">
        <v>-4.9915599999999997E-2</v>
      </c>
      <c r="Q9897">
        <v>0.1760264</v>
      </c>
      <c r="R9897">
        <v>0.98311910000000002</v>
      </c>
      <c r="S9897">
        <v>-0.44816590000000001</v>
      </c>
      <c r="T9897">
        <v>-7.3363070000000002E-2</v>
      </c>
      <c r="U9897">
        <v>3.042084</v>
      </c>
      <c r="V9897">
        <v>-2.9870569999999999E-2</v>
      </c>
      <c r="W9897">
        <v>0.18738920000000001</v>
      </c>
      <c r="X9897">
        <v>0.98183149999999997</v>
      </c>
      <c r="Y9897">
        <v>-0.12540999999999999</v>
      </c>
      <c r="Z9897">
        <v>-1.2318809999999999E-2</v>
      </c>
      <c r="AA9897">
        <v>0.99202849999999998</v>
      </c>
      <c r="AB9897">
        <v>31</v>
      </c>
      <c r="AC9897">
        <v>-6.8451000000000004</v>
      </c>
      <c r="AD9897">
        <v>-1.121582802269</v>
      </c>
      <c r="AE9897">
        <v>46.20194</v>
      </c>
      <c r="AF9897">
        <v>-5.8935656024416998</v>
      </c>
      <c r="AG9897">
        <v>-1.121582802269</v>
      </c>
      <c r="AH9897">
        <v>46.305796794945799</v>
      </c>
      <c r="AI9897">
        <v>91.376403277046904</v>
      </c>
      <c r="AJ9897">
        <v>97.253317050618193</v>
      </c>
      <c r="AK9897">
        <v>46.692814011445499</v>
      </c>
      <c r="AL9897">
        <v>79.199540366653807</v>
      </c>
      <c r="AM9897">
        <v>91.742590104759003</v>
      </c>
      <c r="AN9897">
        <v>1.0000000288105</v>
      </c>
    </row>
    <row r="9898" spans="1:40" x14ac:dyDescent="0.25">
      <c r="A9898" t="str">
        <f>"20190303162141703"</f>
        <v>20190303162141703</v>
      </c>
      <c r="B9898" t="str">
        <f>"1551601301692659"</f>
        <v>1551601301692659</v>
      </c>
      <c r="C9898" t="s">
        <v>40</v>
      </c>
      <c r="D9898">
        <v>4.5663099999999996</v>
      </c>
      <c r="E9898">
        <v>0.46401829999999999</v>
      </c>
      <c r="F9898" t="s">
        <v>41</v>
      </c>
      <c r="G9898">
        <v>-194.40969999999999</v>
      </c>
      <c r="H9898" s="1">
        <v>-4.997263E-6</v>
      </c>
      <c r="I9898">
        <v>89.372919999999993</v>
      </c>
      <c r="J9898">
        <v>-187.4931</v>
      </c>
      <c r="K9898">
        <v>1.12157</v>
      </c>
      <c r="L9898">
        <v>42.94482</v>
      </c>
      <c r="M9898">
        <v>-2.0782390000000001E-2</v>
      </c>
      <c r="N9898">
        <v>-1.158E-2</v>
      </c>
      <c r="O9898">
        <v>0.99971690000000002</v>
      </c>
      <c r="P9898">
        <v>-5.0965030000000001E-2</v>
      </c>
      <c r="Q9898">
        <v>0.17556089999999999</v>
      </c>
      <c r="R9898">
        <v>0.98314849999999998</v>
      </c>
      <c r="S9898">
        <v>-0.45059199999999999</v>
      </c>
      <c r="T9898">
        <v>-7.2997930000000003E-2</v>
      </c>
      <c r="U9898">
        <v>3.041687</v>
      </c>
      <c r="V9898">
        <v>-3.0627999999999999E-2</v>
      </c>
      <c r="W9898">
        <v>0.18692639999999999</v>
      </c>
      <c r="X9898">
        <v>0.98189630000000006</v>
      </c>
      <c r="Y9898">
        <v>-0.1259121</v>
      </c>
      <c r="Z9898">
        <v>-1.2198870000000001E-2</v>
      </c>
      <c r="AA9898">
        <v>0.99196640000000003</v>
      </c>
      <c r="AB9898">
        <v>31</v>
      </c>
      <c r="AC9898">
        <v>-6.9165999999999803</v>
      </c>
      <c r="AD9898">
        <v>-1.121574997263</v>
      </c>
      <c r="AE9898">
        <v>46.428099999999901</v>
      </c>
      <c r="AF9898">
        <v>-5.94675931594875</v>
      </c>
      <c r="AG9898">
        <v>-1.121574997263</v>
      </c>
      <c r="AH9898">
        <v>46.535257286130701</v>
      </c>
      <c r="AI9898">
        <v>91.369520874906996</v>
      </c>
      <c r="AJ9898">
        <v>97.282380598239698</v>
      </c>
      <c r="AK9898">
        <v>46.927092894432398</v>
      </c>
      <c r="AL9898">
        <v>79.226532957500794</v>
      </c>
      <c r="AM9898">
        <v>91.786630948573503</v>
      </c>
      <c r="AN9898">
        <v>0.999999948677323</v>
      </c>
    </row>
    <row r="9899" spans="1:40" x14ac:dyDescent="0.25">
      <c r="A9899" t="str">
        <f>"20190303162141726"</f>
        <v>20190303162141726</v>
      </c>
      <c r="B9899" t="str">
        <f>"1551601301721939"</f>
        <v>1551601301721939</v>
      </c>
      <c r="C9899" t="s">
        <v>40</v>
      </c>
      <c r="D9899">
        <v>4.6987129999999997</v>
      </c>
      <c r="E9899">
        <v>0.46394249999999998</v>
      </c>
      <c r="F9899" t="s">
        <v>41</v>
      </c>
      <c r="G9899">
        <v>-194.22880000000001</v>
      </c>
      <c r="H9899" s="1">
        <v>-4.5383740000000002E-6</v>
      </c>
      <c r="I9899">
        <v>88.118750000000006</v>
      </c>
      <c r="J9899">
        <v>-187.49979999999999</v>
      </c>
      <c r="K9899">
        <v>1.1215619999999999</v>
      </c>
      <c r="L9899">
        <v>43.253140000000002</v>
      </c>
      <c r="M9899">
        <v>-2.1064989999999999E-2</v>
      </c>
      <c r="N9899">
        <v>-1.1582139999999999E-2</v>
      </c>
      <c r="O9899">
        <v>0.99971100000000002</v>
      </c>
      <c r="P9899">
        <v>-5.2534310000000001E-2</v>
      </c>
      <c r="Q9899">
        <v>0.1757474</v>
      </c>
      <c r="R9899">
        <v>0.98303249999999998</v>
      </c>
      <c r="S9899">
        <v>-0.45349119999999998</v>
      </c>
      <c r="T9899">
        <v>-7.5511930000000005E-2</v>
      </c>
      <c r="U9899">
        <v>3.0414119999999998</v>
      </c>
      <c r="V9899">
        <v>-3.1916720000000003E-2</v>
      </c>
      <c r="W9899">
        <v>0.18711420000000001</v>
      </c>
      <c r="X9899">
        <v>0.98181949999999996</v>
      </c>
      <c r="Y9899">
        <v>-0.1265675</v>
      </c>
      <c r="Z9899">
        <v>-1.301426E-2</v>
      </c>
      <c r="AA9899">
        <v>0.99187259999999999</v>
      </c>
      <c r="AB9899">
        <v>31</v>
      </c>
      <c r="AC9899">
        <v>-6.7290000000000099</v>
      </c>
      <c r="AD9899">
        <v>-1.1215665383740001</v>
      </c>
      <c r="AE9899">
        <v>44.865609999999997</v>
      </c>
      <c r="AF9899">
        <v>-5.7788178116853901</v>
      </c>
      <c r="AG9899">
        <v>-1.1215665383740001</v>
      </c>
      <c r="AH9899">
        <v>44.9699249264062</v>
      </c>
      <c r="AI9899">
        <v>91.417034493234695</v>
      </c>
      <c r="AJ9899">
        <v>97.322609313002204</v>
      </c>
      <c r="AK9899">
        <v>45.353575324193201</v>
      </c>
      <c r="AL9899">
        <v>79.2155797340844</v>
      </c>
      <c r="AM9899">
        <v>91.861899872012202</v>
      </c>
      <c r="AN9899">
        <v>0.99999996571872296</v>
      </c>
    </row>
    <row r="9900" spans="1:40" x14ac:dyDescent="0.25">
      <c r="A9900" t="str">
        <f>"20190303162141749"</f>
        <v>20190303162141749</v>
      </c>
      <c r="B9900" t="str">
        <f>"1551601301742436"</f>
        <v>1551601301742436</v>
      </c>
      <c r="C9900" t="s">
        <v>40</v>
      </c>
      <c r="D9900">
        <v>4.697978</v>
      </c>
      <c r="E9900">
        <v>0.46395219999999998</v>
      </c>
      <c r="F9900" t="s">
        <v>41</v>
      </c>
      <c r="G9900">
        <v>-194.33070000000001</v>
      </c>
      <c r="H9900" s="1">
        <v>-4.6999490000000004E-6</v>
      </c>
      <c r="I9900">
        <v>88.540409999999994</v>
      </c>
      <c r="J9900">
        <v>-187.5067</v>
      </c>
      <c r="K9900">
        <v>1.1215539999999999</v>
      </c>
      <c r="L9900">
        <v>43.565280000000001</v>
      </c>
      <c r="M9900">
        <v>-2.133465E-2</v>
      </c>
      <c r="N9900">
        <v>-1.158431E-2</v>
      </c>
      <c r="O9900">
        <v>0.99970530000000002</v>
      </c>
      <c r="P9900">
        <v>-5.3410220000000001E-2</v>
      </c>
      <c r="Q9900">
        <v>0.17591409999999999</v>
      </c>
      <c r="R9900">
        <v>0.98295549999999998</v>
      </c>
      <c r="S9900">
        <v>-0.45864870000000002</v>
      </c>
      <c r="T9900">
        <v>-7.5305819999999996E-2</v>
      </c>
      <c r="U9900">
        <v>3.0407410000000001</v>
      </c>
      <c r="V9900">
        <v>-3.2523330000000003E-2</v>
      </c>
      <c r="W9900">
        <v>0.1872828</v>
      </c>
      <c r="X9900">
        <v>0.98176750000000002</v>
      </c>
      <c r="Y9900">
        <v>-0.12797700000000001</v>
      </c>
      <c r="Z9900">
        <v>-1.294533E-2</v>
      </c>
      <c r="AA9900">
        <v>0.99169269999999998</v>
      </c>
      <c r="AB9900">
        <v>31</v>
      </c>
      <c r="AC9900">
        <v>-6.8240000000000096</v>
      </c>
      <c r="AD9900">
        <v>-1.1215586999489999</v>
      </c>
      <c r="AE9900">
        <v>44.975129999999901</v>
      </c>
      <c r="AF9900">
        <v>-5.8592918438201904</v>
      </c>
      <c r="AG9900">
        <v>-1.1215586999489999</v>
      </c>
      <c r="AH9900">
        <v>45.083084386947498</v>
      </c>
      <c r="AI9900">
        <v>91.413206648414601</v>
      </c>
      <c r="AJ9900">
        <v>97.405026056516107</v>
      </c>
      <c r="AK9900">
        <v>45.4760782463607</v>
      </c>
      <c r="AL9900">
        <v>79.205746405733706</v>
      </c>
      <c r="AM9900">
        <v>91.897361983553907</v>
      </c>
      <c r="AN9900">
        <v>1.0000000191131799</v>
      </c>
    </row>
    <row r="9901" spans="1:40" x14ac:dyDescent="0.25">
      <c r="A9901" t="str">
        <f>"20190303162141772"</f>
        <v>20190303162141772</v>
      </c>
      <c r="B9901" t="str">
        <f>"1551601301761956"</f>
        <v>1551601301761956</v>
      </c>
      <c r="C9901" t="s">
        <v>40</v>
      </c>
      <c r="D9901">
        <v>4.5556859999999997</v>
      </c>
      <c r="E9901">
        <v>0.46396409999999899</v>
      </c>
      <c r="F9901" t="s">
        <v>41</v>
      </c>
      <c r="G9901">
        <v>-194.5805</v>
      </c>
      <c r="H9901" s="1">
        <v>-1.457999E-6</v>
      </c>
      <c r="I9901">
        <v>90.146789999999996</v>
      </c>
      <c r="J9901">
        <v>-187.51400000000001</v>
      </c>
      <c r="K9901">
        <v>1.1215440000000001</v>
      </c>
      <c r="L9901">
        <v>43.892940000000003</v>
      </c>
      <c r="M9901">
        <v>-2.1603239999999999E-2</v>
      </c>
      <c r="N9901">
        <v>-1.158664E-2</v>
      </c>
      <c r="O9901">
        <v>0.99969949999999996</v>
      </c>
      <c r="P9901">
        <v>-5.4157499999999997E-2</v>
      </c>
      <c r="Q9901">
        <v>0.1756394</v>
      </c>
      <c r="R9901">
        <v>0.98296380000000005</v>
      </c>
      <c r="S9901">
        <v>-0.46165469999999997</v>
      </c>
      <c r="T9901">
        <v>-7.3195819999999995E-2</v>
      </c>
      <c r="U9901">
        <v>3.0400390000000002</v>
      </c>
      <c r="V9901">
        <v>-3.3000229999999998E-2</v>
      </c>
      <c r="W9901">
        <v>0.1870117</v>
      </c>
      <c r="X9901">
        <v>0.98180319999999999</v>
      </c>
      <c r="Y9901">
        <v>-0.1287045</v>
      </c>
      <c r="Z9901">
        <v>-1.2259239999999999E-2</v>
      </c>
      <c r="AA9901">
        <v>0.99160720000000002</v>
      </c>
      <c r="AB9901">
        <v>31</v>
      </c>
      <c r="AC9901">
        <v>-7.0664999999999898</v>
      </c>
      <c r="AD9901">
        <v>-1.1215454579989901</v>
      </c>
      <c r="AE9901">
        <v>46.2538499999999</v>
      </c>
      <c r="AF9901">
        <v>-6.0620676556316804</v>
      </c>
      <c r="AG9901">
        <v>-1.1215454579989901</v>
      </c>
      <c r="AH9901">
        <v>46.369082757695999</v>
      </c>
      <c r="AI9901">
        <v>91.373876552318706</v>
      </c>
      <c r="AJ9901">
        <v>97.448327585914697</v>
      </c>
      <c r="AK9901">
        <v>46.7771136803659</v>
      </c>
      <c r="AL9901">
        <v>79.221557990349993</v>
      </c>
      <c r="AM9901">
        <v>91.925092875914103</v>
      </c>
      <c r="AN9901">
        <v>0.99999995732359004</v>
      </c>
    </row>
    <row r="9902" spans="1:40" x14ac:dyDescent="0.25">
      <c r="A9902" t="str">
        <f>"20190303162141795"</f>
        <v>20190303162141795</v>
      </c>
      <c r="B9902" t="str">
        <f>"1551601301781983"</f>
        <v>1551601301781983</v>
      </c>
      <c r="C9902" t="s">
        <v>40</v>
      </c>
      <c r="D9902">
        <v>4.6065950000000004</v>
      </c>
      <c r="E9902">
        <v>0.46400839999999999</v>
      </c>
      <c r="F9902" t="s">
        <v>41</v>
      </c>
      <c r="G9902">
        <v>-194.64189999999999</v>
      </c>
      <c r="H9902" s="1">
        <v>-1.6581489999999999E-6</v>
      </c>
      <c r="I9902">
        <v>90.575249999999997</v>
      </c>
      <c r="J9902">
        <v>-187.52119999999999</v>
      </c>
      <c r="K9902">
        <v>1.1215280000000001</v>
      </c>
      <c r="L9902">
        <v>44.211910000000003</v>
      </c>
      <c r="M9902">
        <v>-2.1847769999999999E-2</v>
      </c>
      <c r="N9902">
        <v>-1.1588920000000001E-2</v>
      </c>
      <c r="O9902">
        <v>0.99969419999999998</v>
      </c>
      <c r="P9902">
        <v>-5.4860190000000003E-2</v>
      </c>
      <c r="Q9902">
        <v>0.17537459999999999</v>
      </c>
      <c r="R9902">
        <v>0.98297210000000002</v>
      </c>
      <c r="S9902">
        <v>-0.46409610000000001</v>
      </c>
      <c r="T9902">
        <v>-7.3023199999999996E-2</v>
      </c>
      <c r="U9902">
        <v>3.0394589999999999</v>
      </c>
      <c r="V9902">
        <v>-3.3456029999999998E-2</v>
      </c>
      <c r="W9902">
        <v>0.18675020000000001</v>
      </c>
      <c r="X9902">
        <v>0.98183759999999998</v>
      </c>
      <c r="Y9902">
        <v>-0.12926850000000001</v>
      </c>
      <c r="Z9902">
        <v>-1.22031E-2</v>
      </c>
      <c r="AA9902">
        <v>0.99153449999999999</v>
      </c>
      <c r="AB9902">
        <v>31</v>
      </c>
      <c r="AC9902">
        <v>-7.1206999999999896</v>
      </c>
      <c r="AD9902">
        <v>-1.121529658149</v>
      </c>
      <c r="AE9902">
        <v>46.363340000000001</v>
      </c>
      <c r="AF9902">
        <v>-6.1025079386817502</v>
      </c>
      <c r="AG9902">
        <v>-1.121529658149</v>
      </c>
      <c r="AH9902">
        <v>46.481281816538399</v>
      </c>
      <c r="AI9902">
        <v>91.370444343398603</v>
      </c>
      <c r="AJ9902">
        <v>97.479559622983999</v>
      </c>
      <c r="AK9902">
        <v>46.893581556799901</v>
      </c>
      <c r="AL9902">
        <v>79.236810081865201</v>
      </c>
      <c r="AM9902">
        <v>91.951593557685896</v>
      </c>
      <c r="AN9902">
        <v>1.00000000795858</v>
      </c>
    </row>
    <row r="9903" spans="1:40" x14ac:dyDescent="0.25">
      <c r="A9903" t="str">
        <f>"20190303162141828"</f>
        <v>20190303162141828</v>
      </c>
      <c r="B9903" t="str">
        <f>"1551601301821998"</f>
        <v>1551601301821998</v>
      </c>
      <c r="C9903" t="s">
        <v>40</v>
      </c>
      <c r="D9903">
        <v>4.6777009999999999</v>
      </c>
      <c r="E9903">
        <v>0.46400170000000002</v>
      </c>
      <c r="F9903" t="s">
        <v>41</v>
      </c>
      <c r="G9903">
        <v>-194.63300000000001</v>
      </c>
      <c r="H9903" s="1">
        <v>-1.6885330000000001E-6</v>
      </c>
      <c r="I9903">
        <v>90.651619999999994</v>
      </c>
      <c r="J9903">
        <v>-187.53139999999999</v>
      </c>
      <c r="K9903">
        <v>1.12151</v>
      </c>
      <c r="L9903">
        <v>44.663179999999997</v>
      </c>
      <c r="M9903">
        <v>-2.2164699999999999E-2</v>
      </c>
      <c r="N9903">
        <v>-1.1592180000000001E-2</v>
      </c>
      <c r="O9903">
        <v>0.99968710000000005</v>
      </c>
      <c r="P9903">
        <v>-5.4983499999999998E-2</v>
      </c>
      <c r="Q9903">
        <v>0.175147</v>
      </c>
      <c r="R9903">
        <v>0.98300580000000004</v>
      </c>
      <c r="S9903">
        <v>-0.4654083</v>
      </c>
      <c r="T9903">
        <v>-7.3394780000000007E-2</v>
      </c>
      <c r="U9903">
        <v>3.0390929999999998</v>
      </c>
      <c r="V9903">
        <v>-3.3258959999999997E-2</v>
      </c>
      <c r="W9903">
        <v>0.18652769999999999</v>
      </c>
      <c r="X9903">
        <v>0.98188660000000005</v>
      </c>
      <c r="Y9903">
        <v>-0.1293899</v>
      </c>
      <c r="Z9903">
        <v>-1.2322720000000001E-2</v>
      </c>
      <c r="AA9903">
        <v>0.99151719999999999</v>
      </c>
      <c r="AB9903">
        <v>31</v>
      </c>
      <c r="AC9903">
        <v>-7.1015999999999897</v>
      </c>
      <c r="AD9903">
        <v>-1.1215116885330001</v>
      </c>
      <c r="AE9903">
        <v>45.988439999999997</v>
      </c>
      <c r="AF9903">
        <v>-6.0769367567623496</v>
      </c>
      <c r="AG9903">
        <v>-1.1215116885330001</v>
      </c>
      <c r="AH9903">
        <v>46.107773629124303</v>
      </c>
      <c r="AI9903">
        <v>91.381428696722907</v>
      </c>
      <c r="AJ9903">
        <v>97.5082242998526</v>
      </c>
      <c r="AK9903">
        <v>46.520035875392203</v>
      </c>
      <c r="AL9903">
        <v>79.249786517450403</v>
      </c>
      <c r="AM9903">
        <v>91.940009922153905</v>
      </c>
      <c r="AN9903">
        <v>1.00000001827356</v>
      </c>
    </row>
    <row r="9904" spans="1:40" x14ac:dyDescent="0.25">
      <c r="A9904" t="str">
        <f>"20190303162141849"</f>
        <v>20190303162141849</v>
      </c>
      <c r="B9904" t="str">
        <f>"1551601301842494"</f>
        <v>1551601301842494</v>
      </c>
      <c r="C9904" t="s">
        <v>40</v>
      </c>
      <c r="D9904">
        <v>4.6370430000000002</v>
      </c>
      <c r="E9904">
        <v>0.48696739999999999</v>
      </c>
      <c r="F9904" t="s">
        <v>41</v>
      </c>
      <c r="G9904">
        <v>-194.7714</v>
      </c>
      <c r="H9904" s="1">
        <v>-2.2120499999999999E-6</v>
      </c>
      <c r="I9904">
        <v>91.786090000000002</v>
      </c>
      <c r="J9904">
        <v>-187.53829999999999</v>
      </c>
      <c r="K9904">
        <v>1.121499</v>
      </c>
      <c r="L9904">
        <v>44.964750000000002</v>
      </c>
      <c r="M9904">
        <v>-2.2357620000000002E-2</v>
      </c>
      <c r="N9904">
        <v>-1.159433E-2</v>
      </c>
      <c r="O9904">
        <v>0.99968279999999998</v>
      </c>
      <c r="P9904">
        <v>-5.4512999999999999E-2</v>
      </c>
      <c r="Q9904">
        <v>0.17527889999999999</v>
      </c>
      <c r="R9904">
        <v>0.9830084</v>
      </c>
      <c r="S9904">
        <v>-0.46685789999999999</v>
      </c>
      <c r="T9904">
        <v>-7.2318670000000002E-2</v>
      </c>
      <c r="U9904">
        <v>3.0386350000000002</v>
      </c>
      <c r="V9904">
        <v>-3.259372E-2</v>
      </c>
      <c r="W9904">
        <v>0.18666269999999999</v>
      </c>
      <c r="X9904">
        <v>0.98188319999999996</v>
      </c>
      <c r="Y9904">
        <v>-0.12968389999999999</v>
      </c>
      <c r="Z9904">
        <v>-1.197266E-2</v>
      </c>
      <c r="AA9904">
        <v>0.99148309999999995</v>
      </c>
      <c r="AB9904">
        <v>31</v>
      </c>
      <c r="AC9904">
        <v>-7.2331000000000003</v>
      </c>
      <c r="AD9904">
        <v>-1.1215012120500001</v>
      </c>
      <c r="AE9904">
        <v>46.821339999999999</v>
      </c>
      <c r="AF9904">
        <v>-6.1809440814571701</v>
      </c>
      <c r="AG9904">
        <v>-1.1215012120500001</v>
      </c>
      <c r="AH9904">
        <v>46.94505435256</v>
      </c>
      <c r="AI9904">
        <v>91.3568108147213</v>
      </c>
      <c r="AJ9904">
        <v>97.500612354026401</v>
      </c>
      <c r="AK9904">
        <v>47.3634876552767</v>
      </c>
      <c r="AL9904">
        <v>79.241912743471303</v>
      </c>
      <c r="AM9904">
        <v>91.901241524365403</v>
      </c>
      <c r="AN9904">
        <v>0.99999996629848298</v>
      </c>
    </row>
    <row r="9905" spans="1:40" x14ac:dyDescent="0.25">
      <c r="A9905" t="str">
        <f>"20190303162141870"</f>
        <v>20190303162141870</v>
      </c>
      <c r="B9905" t="str">
        <f>"1551601301862015"</f>
        <v>1551601301862015</v>
      </c>
      <c r="C9905" t="s">
        <v>40</v>
      </c>
      <c r="D9905">
        <v>4.6979930000000003</v>
      </c>
      <c r="E9905">
        <v>0.49448039999999999</v>
      </c>
      <c r="F9905" t="s">
        <v>41</v>
      </c>
      <c r="G9905">
        <v>-193.37780000000001</v>
      </c>
      <c r="H9905" s="1">
        <v>-4.3248539999999999E-6</v>
      </c>
      <c r="I9905">
        <v>107.9349</v>
      </c>
      <c r="J9905">
        <v>-187.54519999999999</v>
      </c>
      <c r="K9905">
        <v>1.1214869999999999</v>
      </c>
      <c r="L9905">
        <v>45.263640000000002</v>
      </c>
      <c r="M9905">
        <v>-2.2538389999999998E-2</v>
      </c>
      <c r="N9905">
        <v>-1.1596479999999999E-2</v>
      </c>
      <c r="O9905">
        <v>0.99967870000000003</v>
      </c>
      <c r="P9905">
        <v>-5.3673329999999998E-2</v>
      </c>
      <c r="Q9905">
        <v>0.17582039999999999</v>
      </c>
      <c r="R9905">
        <v>0.982958</v>
      </c>
      <c r="S9905">
        <v>-0.28245540000000002</v>
      </c>
      <c r="T9905">
        <v>-5.4247139999999999E-2</v>
      </c>
      <c r="U9905">
        <v>3.045868</v>
      </c>
      <c r="V9905">
        <v>-3.1573440000000001E-2</v>
      </c>
      <c r="W9905">
        <v>0.18720700000000001</v>
      </c>
      <c r="X9905">
        <v>0.98181300000000005</v>
      </c>
      <c r="Y9905">
        <v>-6.9857119999999995E-2</v>
      </c>
      <c r="Z9905">
        <v>-6.156913E-3</v>
      </c>
      <c r="AA9905">
        <v>0.99753800000000004</v>
      </c>
      <c r="AB9905">
        <v>31</v>
      </c>
      <c r="AC9905">
        <v>-5.83260000000001</v>
      </c>
      <c r="AD9905">
        <v>-1.1214913248539999</v>
      </c>
      <c r="AE9905">
        <v>62.671259999999997</v>
      </c>
      <c r="AF9905">
        <v>-4.4171115575266002</v>
      </c>
      <c r="AG9905">
        <v>-1.1214913248539999</v>
      </c>
      <c r="AH9905">
        <v>62.766877332327702</v>
      </c>
      <c r="AI9905">
        <v>91.021102407429794</v>
      </c>
      <c r="AJ9905">
        <v>94.025455944049995</v>
      </c>
      <c r="AK9905">
        <v>62.9321023592477</v>
      </c>
      <c r="AL9905">
        <v>79.210168014116306</v>
      </c>
      <c r="AM9905">
        <v>91.841900278826699</v>
      </c>
      <c r="AN9905">
        <v>1.00000005496571</v>
      </c>
    </row>
    <row r="9906" spans="1:40" x14ac:dyDescent="0.25">
      <c r="A9906" t="str">
        <f>"20190303162141893"</f>
        <v>20190303162141893</v>
      </c>
      <c r="B9906" t="str">
        <f>"1551601301882787"</f>
        <v>1551601301882787</v>
      </c>
      <c r="C9906" t="s">
        <v>40</v>
      </c>
      <c r="D9906">
        <v>4.5910989999999998</v>
      </c>
      <c r="E9906">
        <v>0.49740200000000001</v>
      </c>
      <c r="F9906" t="s">
        <v>41</v>
      </c>
      <c r="G9906">
        <v>-191.87710000000001</v>
      </c>
      <c r="H9906" s="1">
        <v>-2.9557400000000002E-6</v>
      </c>
      <c r="I9906">
        <v>105.31480000000001</v>
      </c>
      <c r="J9906">
        <v>-187.55250000000001</v>
      </c>
      <c r="K9906">
        <v>1.1214740000000001</v>
      </c>
      <c r="L9906">
        <v>45.580629999999999</v>
      </c>
      <c r="M9906">
        <v>-2.2718289999999999E-2</v>
      </c>
      <c r="N9906">
        <v>-1.159877E-2</v>
      </c>
      <c r="O9906">
        <v>0.99967459999999997</v>
      </c>
      <c r="P9906">
        <v>-5.2840949999999998E-2</v>
      </c>
      <c r="Q9906">
        <v>0.17577499999999999</v>
      </c>
      <c r="R9906">
        <v>0.98301119999999997</v>
      </c>
      <c r="S9906">
        <v>-0.2200317</v>
      </c>
      <c r="T9906">
        <v>-5.6964279999999999E-2</v>
      </c>
      <c r="U9906">
        <v>3.0502009999999999</v>
      </c>
      <c r="V9906">
        <v>-3.0558700000000001E-2</v>
      </c>
      <c r="W9906">
        <v>0.18716530000000001</v>
      </c>
      <c r="X9906">
        <v>0.98185299999999998</v>
      </c>
      <c r="Y9906">
        <v>-4.9259900000000002E-2</v>
      </c>
      <c r="Z9906">
        <v>-7.0410469999999999E-3</v>
      </c>
      <c r="AA9906">
        <v>0.99876120000000002</v>
      </c>
      <c r="AB9906">
        <v>31</v>
      </c>
      <c r="AC9906">
        <v>-4.3246000000000002</v>
      </c>
      <c r="AD9906">
        <v>-1.1214769557399999</v>
      </c>
      <c r="AE9906">
        <v>59.734169999999999</v>
      </c>
      <c r="AF9906">
        <v>-2.9652944212142698</v>
      </c>
      <c r="AG9906">
        <v>-1.1214769557399999</v>
      </c>
      <c r="AH9906">
        <v>59.796038004389104</v>
      </c>
      <c r="AI9906">
        <v>91.073140139427807</v>
      </c>
      <c r="AJ9906">
        <v>92.838980564026699</v>
      </c>
      <c r="AK9906">
        <v>59.880020395696903</v>
      </c>
      <c r="AL9906">
        <v>79.212599623974</v>
      </c>
      <c r="AM9906">
        <v>91.7826696271282</v>
      </c>
      <c r="AN9906">
        <v>0.99999999863939004</v>
      </c>
    </row>
    <row r="9907" spans="1:40" x14ac:dyDescent="0.25">
      <c r="A9907" t="str">
        <f>"20190303162141915"</f>
        <v>20190303162141915</v>
      </c>
      <c r="B9907" t="str">
        <f>"1551601301902308"</f>
        <v>1551601301902308</v>
      </c>
      <c r="C9907" t="s">
        <v>40</v>
      </c>
      <c r="D9907">
        <v>4.6228590000000001</v>
      </c>
      <c r="E9907">
        <v>0.49895909999999899</v>
      </c>
      <c r="F9907" t="s">
        <v>41</v>
      </c>
      <c r="G9907">
        <v>-191.58279999999999</v>
      </c>
      <c r="H9907" s="1">
        <v>-4.3334239999999997E-6</v>
      </c>
      <c r="I9907">
        <v>108.89570000000001</v>
      </c>
      <c r="J9907">
        <v>-187.55959999999999</v>
      </c>
      <c r="K9907">
        <v>1.1214630000000001</v>
      </c>
      <c r="L9907">
        <v>45.884799999999998</v>
      </c>
      <c r="M9907">
        <v>-2.2879469999999999E-2</v>
      </c>
      <c r="N9907">
        <v>-1.1600920000000001E-2</v>
      </c>
      <c r="O9907">
        <v>0.99967090000000003</v>
      </c>
      <c r="P9907">
        <v>-5.2037569999999998E-2</v>
      </c>
      <c r="Q9907">
        <v>0.17503389999999999</v>
      </c>
      <c r="R9907">
        <v>0.98318620000000001</v>
      </c>
      <c r="S9907">
        <v>-0.19421389999999999</v>
      </c>
      <c r="T9907">
        <v>-5.4042819999999998E-2</v>
      </c>
      <c r="U9907">
        <v>3.0510860000000002</v>
      </c>
      <c r="V9907">
        <v>-2.9588610000000001E-2</v>
      </c>
      <c r="W9907">
        <v>0.1864294</v>
      </c>
      <c r="X9907">
        <v>0.98202270000000003</v>
      </c>
      <c r="Y9907">
        <v>-4.0665939999999998E-2</v>
      </c>
      <c r="Z9907">
        <v>-6.0858539999999999E-3</v>
      </c>
      <c r="AA9907">
        <v>0.99915430000000005</v>
      </c>
      <c r="AB9907">
        <v>31</v>
      </c>
      <c r="AC9907">
        <v>-4.0232000000000001</v>
      </c>
      <c r="AD9907">
        <v>-1.121467333424</v>
      </c>
      <c r="AE9907">
        <v>63.010899999999999</v>
      </c>
      <c r="AF9907">
        <v>-2.5795798510294699</v>
      </c>
      <c r="AG9907">
        <v>-1.121467333424</v>
      </c>
      <c r="AH9907">
        <v>63.0665619541575</v>
      </c>
      <c r="AI9907">
        <v>91.017891349969602</v>
      </c>
      <c r="AJ9907">
        <v>92.342234825291598</v>
      </c>
      <c r="AK9907">
        <v>63.129257542801497</v>
      </c>
      <c r="AL9907">
        <v>79.255518998971297</v>
      </c>
      <c r="AM9907">
        <v>91.725815234834499</v>
      </c>
      <c r="AN9907">
        <v>0.99999999517069105</v>
      </c>
    </row>
    <row r="9908" spans="1:40" x14ac:dyDescent="0.25">
      <c r="A9908" t="str">
        <f>"20190303162141938"</f>
        <v>20190303162141938</v>
      </c>
      <c r="B9908" t="str">
        <f>"1551601301932564"</f>
        <v>1551601301932564</v>
      </c>
      <c r="C9908" t="s">
        <v>40</v>
      </c>
      <c r="D9908">
        <v>4.6751820000000004</v>
      </c>
      <c r="E9908">
        <v>0.4999074</v>
      </c>
      <c r="F9908" t="s">
        <v>41</v>
      </c>
      <c r="G9908">
        <v>-190.9804</v>
      </c>
      <c r="H9908" s="1">
        <v>-2.2301609999999998E-6</v>
      </c>
      <c r="I9908">
        <v>104.17959999999999</v>
      </c>
      <c r="J9908">
        <v>-187.5669</v>
      </c>
      <c r="K9908">
        <v>1.1214580000000001</v>
      </c>
      <c r="L9908">
        <v>46.19455</v>
      </c>
      <c r="M9908">
        <v>-2.3031610000000001E-2</v>
      </c>
      <c r="N9908">
        <v>-1.160304E-2</v>
      </c>
      <c r="O9908">
        <v>0.99966739999999998</v>
      </c>
      <c r="P9908">
        <v>-5.1555139999999999E-2</v>
      </c>
      <c r="Q9908">
        <v>0.17485619999999999</v>
      </c>
      <c r="R9908">
        <v>0.98324330000000004</v>
      </c>
      <c r="S9908">
        <v>-0.17910770000000001</v>
      </c>
      <c r="T9908">
        <v>-5.8719159999999999E-2</v>
      </c>
      <c r="U9908">
        <v>3.0522770000000001</v>
      </c>
      <c r="V9908">
        <v>-2.8950389999999999E-2</v>
      </c>
      <c r="W9908">
        <v>0.18625510000000001</v>
      </c>
      <c r="X9908">
        <v>0.98207480000000003</v>
      </c>
      <c r="Y9908">
        <v>-3.5562070000000001E-2</v>
      </c>
      <c r="Z9908">
        <v>-7.6096569999999997E-3</v>
      </c>
      <c r="AA9908">
        <v>0.99933850000000002</v>
      </c>
      <c r="AB9908">
        <v>31</v>
      </c>
      <c r="AC9908">
        <v>-3.4134999999999902</v>
      </c>
      <c r="AD9908">
        <v>-1.1214602301609999</v>
      </c>
      <c r="AE9908">
        <v>57.985050000000001</v>
      </c>
      <c r="AF9908">
        <v>-2.0762414891787002</v>
      </c>
      <c r="AG9908">
        <v>-1.1214602301609999</v>
      </c>
      <c r="AH9908">
        <v>58.026660137216901</v>
      </c>
      <c r="AI9908">
        <v>91.106489027976806</v>
      </c>
      <c r="AJ9908">
        <v>92.0492157648915</v>
      </c>
      <c r="AK9908">
        <v>58.074622155028202</v>
      </c>
      <c r="AL9908">
        <v>79.265683742315403</v>
      </c>
      <c r="AM9908">
        <v>91.688522027467499</v>
      </c>
      <c r="AN9908">
        <v>1.0000000000761</v>
      </c>
    </row>
    <row r="9909" spans="1:40" x14ac:dyDescent="0.25">
      <c r="A9909" t="str">
        <f>"20190303162141960"</f>
        <v>20190303162141960</v>
      </c>
      <c r="B9909" t="str">
        <f>"1551601301952084"</f>
        <v>1551601301952084</v>
      </c>
      <c r="C9909" t="s">
        <v>40</v>
      </c>
      <c r="D9909">
        <v>4.6422109999999996</v>
      </c>
      <c r="E9909">
        <v>0.50052680000000005</v>
      </c>
      <c r="F9909" t="s">
        <v>41</v>
      </c>
      <c r="G9909">
        <v>-190.91249999999999</v>
      </c>
      <c r="H9909" s="1">
        <v>-3.1444069999999999E-6</v>
      </c>
      <c r="I9909">
        <v>106.3528</v>
      </c>
      <c r="J9909">
        <v>-187.5744</v>
      </c>
      <c r="K9909">
        <v>1.1214470000000001</v>
      </c>
      <c r="L9909">
        <v>46.513550000000002</v>
      </c>
      <c r="M9909">
        <v>-2.3173309999999999E-2</v>
      </c>
      <c r="N9909">
        <v>-1.16052E-2</v>
      </c>
      <c r="O9909">
        <v>0.99966410000000006</v>
      </c>
      <c r="P9909">
        <v>-5.1762240000000001E-2</v>
      </c>
      <c r="Q9909">
        <v>0.17468359999999999</v>
      </c>
      <c r="R9909">
        <v>0.98326309999999995</v>
      </c>
      <c r="S9909">
        <v>-0.16975399999999999</v>
      </c>
      <c r="T9909">
        <v>-5.6901220000000002E-2</v>
      </c>
      <c r="U9909">
        <v>3.0523380000000002</v>
      </c>
      <c r="V9909">
        <v>-2.9011749999999999E-2</v>
      </c>
      <c r="W9909">
        <v>0.18608549999999999</v>
      </c>
      <c r="X9909">
        <v>0.98210509999999995</v>
      </c>
      <c r="Y9909">
        <v>-3.2367559999999997E-2</v>
      </c>
      <c r="Z9909">
        <v>-7.0148729999999996E-3</v>
      </c>
      <c r="AA9909">
        <v>0.99945139999999999</v>
      </c>
      <c r="AB9909">
        <v>31</v>
      </c>
      <c r="AC9909">
        <v>-3.3380999999999901</v>
      </c>
      <c r="AD9909">
        <v>-1.121450144407</v>
      </c>
      <c r="AE9909">
        <v>59.83925</v>
      </c>
      <c r="AF9909">
        <v>-1.94975391196307</v>
      </c>
      <c r="AG9909">
        <v>-1.121450144407</v>
      </c>
      <c r="AH9909">
        <v>59.879572739262997</v>
      </c>
      <c r="AI9909">
        <v>91.072366133963101</v>
      </c>
      <c r="AJ9909">
        <v>91.864963453546807</v>
      </c>
      <c r="AK9909">
        <v>59.921802561173799</v>
      </c>
      <c r="AL9909">
        <v>79.275573591395499</v>
      </c>
      <c r="AM9909">
        <v>91.692046576608405</v>
      </c>
      <c r="AN9909">
        <v>0.99999996119715995</v>
      </c>
    </row>
    <row r="9910" spans="1:40" x14ac:dyDescent="0.25">
      <c r="A9910" t="str">
        <f>"20190303162141985"</f>
        <v>20190303162141985</v>
      </c>
      <c r="B9910" t="str">
        <f>"1551601301972580"</f>
        <v>1551601301972580</v>
      </c>
      <c r="C9910" t="s">
        <v>40</v>
      </c>
      <c r="D9910">
        <v>4.6830309999999997</v>
      </c>
      <c r="E9910">
        <v>0.50085059999999904</v>
      </c>
      <c r="F9910" t="s">
        <v>41</v>
      </c>
      <c r="G9910">
        <v>-190.79040000000001</v>
      </c>
      <c r="H9910" s="1">
        <v>-2.9784900000000001E-6</v>
      </c>
      <c r="I9910">
        <v>106.04179999999999</v>
      </c>
      <c r="J9910">
        <v>-187.58250000000001</v>
      </c>
      <c r="K9910">
        <v>1.121427</v>
      </c>
      <c r="L9910">
        <v>46.855930000000001</v>
      </c>
      <c r="M9910">
        <v>-2.33066E-2</v>
      </c>
      <c r="N9910">
        <v>-1.1607630000000001E-2</v>
      </c>
      <c r="O9910">
        <v>0.99966100000000002</v>
      </c>
      <c r="P9910">
        <v>-5.2135859999999999E-2</v>
      </c>
      <c r="Q9910">
        <v>0.17499600000000001</v>
      </c>
      <c r="R9910">
        <v>0.98318779999999995</v>
      </c>
      <c r="S9910">
        <v>-0.16491700000000001</v>
      </c>
      <c r="T9910">
        <v>-5.7507990000000002E-2</v>
      </c>
      <c r="U9910">
        <v>3.0526119999999999</v>
      </c>
      <c r="V9910">
        <v>-2.9249270000000001E-2</v>
      </c>
      <c r="W9910">
        <v>0.18640129999999999</v>
      </c>
      <c r="X9910">
        <v>0.98203819999999997</v>
      </c>
      <c r="Y9910">
        <v>-3.0650509999999999E-2</v>
      </c>
      <c r="Z9910">
        <v>-7.2102529999999998E-3</v>
      </c>
      <c r="AA9910">
        <v>0.99950410000000001</v>
      </c>
      <c r="AB9910">
        <v>31</v>
      </c>
      <c r="AC9910">
        <v>-3.2078999999999902</v>
      </c>
      <c r="AD9910">
        <v>-1.1214299784899999</v>
      </c>
      <c r="AE9910">
        <v>59.185870000000001</v>
      </c>
      <c r="AF9910">
        <v>-1.8268602573411801</v>
      </c>
      <c r="AG9910">
        <v>-1.1214299784899999</v>
      </c>
      <c r="AH9910">
        <v>59.223361531965502</v>
      </c>
      <c r="AI9910">
        <v>91.084284790160396</v>
      </c>
      <c r="AJ9910">
        <v>91.766839964208003</v>
      </c>
      <c r="AK9910">
        <v>59.262142846360199</v>
      </c>
      <c r="AL9910">
        <v>79.257157737687905</v>
      </c>
      <c r="AM9910">
        <v>91.7060073996022</v>
      </c>
      <c r="AN9910">
        <v>0.99999999534823103</v>
      </c>
    </row>
    <row r="9911" spans="1:40" x14ac:dyDescent="0.25">
      <c r="A9911" t="str">
        <f>"20190303162142005"</f>
        <v>20190303162142005</v>
      </c>
      <c r="B9911" t="str">
        <f>"1551601301992608"</f>
        <v>1551601301992608</v>
      </c>
      <c r="C9911" t="s">
        <v>40</v>
      </c>
      <c r="D9911">
        <v>4.8585599999999998</v>
      </c>
      <c r="E9911">
        <v>0.50088449999999995</v>
      </c>
      <c r="F9911" t="s">
        <v>41</v>
      </c>
      <c r="G9911">
        <v>-190.79249999999999</v>
      </c>
      <c r="H9911" s="1">
        <v>-3.363875E-6</v>
      </c>
      <c r="I9911">
        <v>106.9389</v>
      </c>
      <c r="J9911">
        <v>-187.5891</v>
      </c>
      <c r="K9911">
        <v>1.121413</v>
      </c>
      <c r="L9911">
        <v>47.135559999999998</v>
      </c>
      <c r="M9911">
        <v>-2.3397540000000001E-2</v>
      </c>
      <c r="N9911">
        <v>-1.1609599999999999E-2</v>
      </c>
      <c r="O9911">
        <v>0.99965879999999996</v>
      </c>
      <c r="P9911">
        <v>-5.1986079999999997E-2</v>
      </c>
      <c r="Q9911">
        <v>0.1752339</v>
      </c>
      <c r="R9911">
        <v>0.98315330000000001</v>
      </c>
      <c r="S9911">
        <v>-0.1631012</v>
      </c>
      <c r="T9911">
        <v>-5.6979540000000002E-2</v>
      </c>
      <c r="U9911">
        <v>3.0527950000000001</v>
      </c>
      <c r="V9911">
        <v>-2.900442E-2</v>
      </c>
      <c r="W9911">
        <v>0.1866411</v>
      </c>
      <c r="X9911">
        <v>0.98199990000000004</v>
      </c>
      <c r="Y9911">
        <v>-2.9963770000000001E-2</v>
      </c>
      <c r="Z9911">
        <v>-7.034734E-3</v>
      </c>
      <c r="AA9911">
        <v>0.99952620000000003</v>
      </c>
      <c r="AB9911">
        <v>31</v>
      </c>
      <c r="AC9911">
        <v>-3.2033999999999798</v>
      </c>
      <c r="AD9911">
        <v>-1.1214163638750001</v>
      </c>
      <c r="AE9911">
        <v>59.803339999999999</v>
      </c>
      <c r="AF9911">
        <v>-1.80254552203603</v>
      </c>
      <c r="AG9911">
        <v>-1.1214163638750001</v>
      </c>
      <c r="AH9911">
        <v>59.8409412460596</v>
      </c>
      <c r="AI9911">
        <v>91.073107871164495</v>
      </c>
      <c r="AJ9911">
        <v>91.725357741246697</v>
      </c>
      <c r="AK9911">
        <v>59.8785854394919</v>
      </c>
      <c r="AL9911">
        <v>79.243172620823302</v>
      </c>
      <c r="AM9911">
        <v>91.691800433911894</v>
      </c>
      <c r="AN9911">
        <v>0.99999998009437796</v>
      </c>
    </row>
    <row r="9912" spans="1:40" x14ac:dyDescent="0.25">
      <c r="A9912" t="str">
        <f>"20190303162142027"</f>
        <v>20190303162142027</v>
      </c>
      <c r="B9912" t="str">
        <f>"1551601302022864"</f>
        <v>1551601302022864</v>
      </c>
      <c r="C9912" t="s">
        <v>40</v>
      </c>
      <c r="D9912">
        <v>4.7576749999999999</v>
      </c>
      <c r="E9912">
        <v>0.50071019999999999</v>
      </c>
      <c r="F9912" t="s">
        <v>41</v>
      </c>
      <c r="G9912">
        <v>-190.93960000000001</v>
      </c>
      <c r="H9912" s="1">
        <v>-3.5345599999999999E-7</v>
      </c>
      <c r="I9912">
        <v>109.83029999999999</v>
      </c>
      <c r="J9912">
        <v>-187.59639999999999</v>
      </c>
      <c r="K9912">
        <v>1.121402</v>
      </c>
      <c r="L9912">
        <v>47.443359999999998</v>
      </c>
      <c r="M9912">
        <v>-2.348223E-2</v>
      </c>
      <c r="N9912">
        <v>-1.1611710000000001E-2</v>
      </c>
      <c r="O9912">
        <v>0.99965680000000001</v>
      </c>
      <c r="P9912">
        <v>-5.1277700000000002E-2</v>
      </c>
      <c r="Q9912">
        <v>0.17525309999999999</v>
      </c>
      <c r="R9912">
        <v>0.98318709999999998</v>
      </c>
      <c r="S9912">
        <v>-0.16313169999999999</v>
      </c>
      <c r="T9912">
        <v>-5.4600120000000002E-2</v>
      </c>
      <c r="U9912">
        <v>3.052521</v>
      </c>
      <c r="V9912">
        <v>-2.8204980000000001E-2</v>
      </c>
      <c r="W9912">
        <v>0.18666360000000001</v>
      </c>
      <c r="X9912">
        <v>0.98201890000000003</v>
      </c>
      <c r="Y9912">
        <v>-2.9894270000000001E-2</v>
      </c>
      <c r="Z9912">
        <v>-6.2561200000000004E-3</v>
      </c>
      <c r="AA9912">
        <v>0.99953349999999996</v>
      </c>
      <c r="AB9912">
        <v>31</v>
      </c>
      <c r="AC9912">
        <v>-3.3432000000000199</v>
      </c>
      <c r="AD9912">
        <v>-1.121402353456</v>
      </c>
      <c r="AE9912">
        <v>62.386940000000003</v>
      </c>
      <c r="AF9912">
        <v>-1.87659014171522</v>
      </c>
      <c r="AG9912">
        <v>-1.121402353456</v>
      </c>
      <c r="AH9912">
        <v>62.428133134728597</v>
      </c>
      <c r="AI9912">
        <v>91.028634196680599</v>
      </c>
      <c r="AJ9912">
        <v>91.721793072567905</v>
      </c>
      <c r="AK9912">
        <v>62.466398491394699</v>
      </c>
      <c r="AL9912">
        <v>79.241860297301102</v>
      </c>
      <c r="AM9912">
        <v>91.645164029785604</v>
      </c>
      <c r="AN9912">
        <v>0.99999997020948395</v>
      </c>
    </row>
    <row r="9913" spans="1:40" x14ac:dyDescent="0.25">
      <c r="A9913" t="str">
        <f>"20190303162142051"</f>
        <v>20190303162142051</v>
      </c>
      <c r="B9913" t="str">
        <f>"1551601302042384"</f>
        <v>1551601302042384</v>
      </c>
      <c r="C9913" t="s">
        <v>40</v>
      </c>
      <c r="D9913">
        <v>4.7815979999999998</v>
      </c>
      <c r="E9913">
        <v>0.50089110000000003</v>
      </c>
      <c r="F9913" t="s">
        <v>41</v>
      </c>
      <c r="G9913">
        <v>-191.21870000000001</v>
      </c>
      <c r="H9913" s="1">
        <v>-2.8658090000000002E-6</v>
      </c>
      <c r="I9913">
        <v>115.51349999999999</v>
      </c>
      <c r="J9913">
        <v>-187.60419999999999</v>
      </c>
      <c r="K9913">
        <v>1.1213850000000001</v>
      </c>
      <c r="L9913">
        <v>47.77167</v>
      </c>
      <c r="M9913">
        <v>-2.355525E-2</v>
      </c>
      <c r="N9913">
        <v>-1.1613989999999999E-2</v>
      </c>
      <c r="O9913">
        <v>0.99965510000000002</v>
      </c>
      <c r="P9913">
        <v>-5.0665540000000002E-2</v>
      </c>
      <c r="Q9913">
        <v>0.17484920000000001</v>
      </c>
      <c r="R9913">
        <v>0.98329080000000002</v>
      </c>
      <c r="S9913">
        <v>-0.1623993</v>
      </c>
      <c r="T9913">
        <v>-5.0275920000000002E-2</v>
      </c>
      <c r="U9913">
        <v>3.0517880000000002</v>
      </c>
      <c r="V9913">
        <v>-2.7512660000000001E-2</v>
      </c>
      <c r="W9913">
        <v>0.1862645</v>
      </c>
      <c r="X9913">
        <v>0.98211440000000005</v>
      </c>
      <c r="Y9913">
        <v>-2.9595550000000002E-2</v>
      </c>
      <c r="Z9913">
        <v>-4.8436620000000003E-3</v>
      </c>
      <c r="AA9913">
        <v>0.99955020000000006</v>
      </c>
      <c r="AB9913">
        <v>31</v>
      </c>
      <c r="AC9913">
        <v>-3.61450000000002</v>
      </c>
      <c r="AD9913">
        <v>-1.121387865809</v>
      </c>
      <c r="AE9913">
        <v>67.741829999999993</v>
      </c>
      <c r="AF9913">
        <v>-2.0171624543735698</v>
      </c>
      <c r="AG9913">
        <v>-1.121387865809</v>
      </c>
      <c r="AH9913">
        <v>67.789654126692099</v>
      </c>
      <c r="AI9913">
        <v>90.947290776322205</v>
      </c>
      <c r="AJ9913">
        <v>91.704401705736004</v>
      </c>
      <c r="AK9913">
        <v>67.828929386578594</v>
      </c>
      <c r="AL9913">
        <v>79.265136139276706</v>
      </c>
      <c r="AM9913">
        <v>91.604647214948699</v>
      </c>
      <c r="AN9913">
        <v>1.0000000525539401</v>
      </c>
    </row>
    <row r="9914" spans="1:40" x14ac:dyDescent="0.25">
      <c r="A9914" t="str">
        <f>"20190303162142071"</f>
        <v>20190303162142071</v>
      </c>
      <c r="B9914" t="str">
        <f>"1551601302062880"</f>
        <v>1551601302062880</v>
      </c>
      <c r="C9914" t="s">
        <v>40</v>
      </c>
      <c r="D9914">
        <v>4.7751729999999997</v>
      </c>
      <c r="E9914">
        <v>0.5012008</v>
      </c>
      <c r="F9914" t="s">
        <v>41</v>
      </c>
      <c r="G9914">
        <v>-190.96440000000001</v>
      </c>
      <c r="H9914" s="1">
        <v>-1.3834439999999999E-6</v>
      </c>
      <c r="I9914">
        <v>112.2158</v>
      </c>
      <c r="J9914">
        <v>-187.61089999999999</v>
      </c>
      <c r="K9914">
        <v>1.121373</v>
      </c>
      <c r="L9914">
        <v>48.05518</v>
      </c>
      <c r="M9914">
        <v>-2.3603789999999999E-2</v>
      </c>
      <c r="N9914">
        <v>-1.161597E-2</v>
      </c>
      <c r="O9914">
        <v>0.99965389999999998</v>
      </c>
      <c r="P9914">
        <v>-4.9983819999999998E-2</v>
      </c>
      <c r="Q9914">
        <v>0.1738307</v>
      </c>
      <c r="R9914">
        <v>0.9835062</v>
      </c>
      <c r="S9914">
        <v>-0.15914919999999999</v>
      </c>
      <c r="T9914">
        <v>-5.3111310000000002E-2</v>
      </c>
      <c r="U9914">
        <v>3.052216</v>
      </c>
      <c r="V9914">
        <v>-2.6772790000000001E-2</v>
      </c>
      <c r="W9914">
        <v>0.18525150000000001</v>
      </c>
      <c r="X9914">
        <v>0.98232640000000004</v>
      </c>
      <c r="Y9914">
        <v>-2.847792E-2</v>
      </c>
      <c r="Z9914">
        <v>-5.767426E-3</v>
      </c>
      <c r="AA9914">
        <v>0.99957779999999996</v>
      </c>
      <c r="AB9914">
        <v>31</v>
      </c>
      <c r="AC9914">
        <v>-3.3535000000000199</v>
      </c>
      <c r="AD9914">
        <v>-1.121374383444</v>
      </c>
      <c r="AE9914">
        <v>64.160619999999994</v>
      </c>
      <c r="AF9914">
        <v>-1.83746981311897</v>
      </c>
      <c r="AG9914">
        <v>-1.121374383444</v>
      </c>
      <c r="AH9914">
        <v>64.202344298744194</v>
      </c>
      <c r="AI9914">
        <v>91.000231349947697</v>
      </c>
      <c r="AJ9914">
        <v>91.639356563684601</v>
      </c>
      <c r="AK9914">
        <v>64.238421441349701</v>
      </c>
      <c r="AL9914">
        <v>79.324204561478197</v>
      </c>
      <c r="AM9914">
        <v>91.561179897297094</v>
      </c>
      <c r="AN9914">
        <v>1.00000002833679</v>
      </c>
    </row>
    <row r="9915" spans="1:40" x14ac:dyDescent="0.25">
      <c r="A9915" t="str">
        <f>"20190303162142094"</f>
        <v>20190303162142094</v>
      </c>
      <c r="B9915" t="str">
        <f>"1551601302082400"</f>
        <v>1551601302082400</v>
      </c>
      <c r="C9915" t="s">
        <v>40</v>
      </c>
      <c r="D9915">
        <v>4.8146459999999998</v>
      </c>
      <c r="E9915">
        <v>0.5013552</v>
      </c>
      <c r="F9915" t="s">
        <v>41</v>
      </c>
      <c r="G9915">
        <v>-190.7423</v>
      </c>
      <c r="H9915" s="1">
        <v>-2.9233620000000002E-7</v>
      </c>
      <c r="I9915">
        <v>109.81019999999999</v>
      </c>
      <c r="J9915">
        <v>-187.61840000000001</v>
      </c>
      <c r="K9915">
        <v>1.1213569999999999</v>
      </c>
      <c r="L9915">
        <v>48.369660000000003</v>
      </c>
      <c r="M9915">
        <v>-2.364109E-2</v>
      </c>
      <c r="N9915">
        <v>-1.161827E-2</v>
      </c>
      <c r="O9915">
        <v>0.99965300000000001</v>
      </c>
      <c r="P9915">
        <v>-4.9125790000000003E-2</v>
      </c>
      <c r="Q9915">
        <v>0.17233399999999999</v>
      </c>
      <c r="R9915">
        <v>0.98381280000000004</v>
      </c>
      <c r="S9915">
        <v>-0.15476989999999999</v>
      </c>
      <c r="T9915">
        <v>-5.5423970000000003E-2</v>
      </c>
      <c r="U9915">
        <v>3.0522459999999998</v>
      </c>
      <c r="V9915">
        <v>-2.5864870000000002E-2</v>
      </c>
      <c r="W9915">
        <v>0.1837607</v>
      </c>
      <c r="X9915">
        <v>0.98263069999999997</v>
      </c>
      <c r="Y9915">
        <v>-2.7009579999999998E-2</v>
      </c>
      <c r="Z9915">
        <v>-6.5222369999999898E-3</v>
      </c>
      <c r="AA9915">
        <v>0.99961390000000006</v>
      </c>
      <c r="AB9915">
        <v>31</v>
      </c>
      <c r="AC9915">
        <v>-3.1238999999999901</v>
      </c>
      <c r="AD9915">
        <v>-1.1213572923362001</v>
      </c>
      <c r="AE9915">
        <v>61.440539999999999</v>
      </c>
      <c r="AF9915">
        <v>-1.6698526112661201</v>
      </c>
      <c r="AG9915">
        <v>-1.1213572923362001</v>
      </c>
      <c r="AH9915">
        <v>61.476797797060897</v>
      </c>
      <c r="AI9915">
        <v>91.044593053783302</v>
      </c>
      <c r="AJ9915">
        <v>91.555903874936206</v>
      </c>
      <c r="AK9915">
        <v>61.509694498519004</v>
      </c>
      <c r="AL9915">
        <v>79.411113338117303</v>
      </c>
      <c r="AM9915">
        <v>91.507795120211796</v>
      </c>
      <c r="AN9915">
        <v>1.00000003947354</v>
      </c>
    </row>
    <row r="9916" spans="1:40" x14ac:dyDescent="0.25">
      <c r="A9916" t="str">
        <f>"20190303162142117"</f>
        <v>20190303162142117</v>
      </c>
      <c r="B9916" t="str">
        <f>"1551601302112656"</f>
        <v>1551601302112656</v>
      </c>
      <c r="C9916" t="s">
        <v>40</v>
      </c>
      <c r="D9916">
        <v>4.8310510000000004</v>
      </c>
      <c r="E9916">
        <v>0.50159399999999998</v>
      </c>
      <c r="F9916" t="s">
        <v>41</v>
      </c>
      <c r="G9916">
        <v>-190.43260000000001</v>
      </c>
      <c r="H9916" s="1">
        <v>-2.5448140000000001E-6</v>
      </c>
      <c r="I9916">
        <v>105.25279999999999</v>
      </c>
      <c r="J9916">
        <v>-187.626</v>
      </c>
      <c r="K9916">
        <v>1.121335</v>
      </c>
      <c r="L9916">
        <v>48.68909</v>
      </c>
      <c r="M9916">
        <v>-2.3664259999999999E-2</v>
      </c>
      <c r="N9916">
        <v>-1.162061E-2</v>
      </c>
      <c r="O9916">
        <v>0.9996524</v>
      </c>
      <c r="P9916">
        <v>-4.8166010000000002E-2</v>
      </c>
      <c r="Q9916">
        <v>0.17109379999999999</v>
      </c>
      <c r="R9916">
        <v>0.98407670000000003</v>
      </c>
      <c r="S9916">
        <v>-0.15101619999999999</v>
      </c>
      <c r="T9916">
        <v>-6.017256E-2</v>
      </c>
      <c r="U9916">
        <v>3.052368</v>
      </c>
      <c r="V9916">
        <v>-2.487031E-2</v>
      </c>
      <c r="W9916">
        <v>0.18252689999999999</v>
      </c>
      <c r="X9916">
        <v>0.98288629999999999</v>
      </c>
      <c r="Y9916">
        <v>-2.5757579999999999E-2</v>
      </c>
      <c r="Z9916">
        <v>-8.0730969999999996E-3</v>
      </c>
      <c r="AA9916">
        <v>0.99963559999999996</v>
      </c>
      <c r="AB9916">
        <v>31</v>
      </c>
      <c r="AC9916">
        <v>-2.8066000000000302</v>
      </c>
      <c r="AD9916">
        <v>-1.1213375448139999</v>
      </c>
      <c r="AE9916">
        <v>56.563709999999901</v>
      </c>
      <c r="AF9916">
        <v>-1.4666102162211301</v>
      </c>
      <c r="AG9916">
        <v>-1.1213375448139999</v>
      </c>
      <c r="AH9916">
        <v>56.5921021812457</v>
      </c>
      <c r="AI9916">
        <v>91.134751045399597</v>
      </c>
      <c r="AJ9916">
        <v>91.484514057049594</v>
      </c>
      <c r="AK9916">
        <v>56.622207416421702</v>
      </c>
      <c r="AL9916">
        <v>79.483021118538304</v>
      </c>
      <c r="AM9916">
        <v>91.449465517586304</v>
      </c>
      <c r="AN9916">
        <v>1.0000000401353899</v>
      </c>
    </row>
    <row r="9917" spans="1:40" x14ac:dyDescent="0.25">
      <c r="A9917" t="str">
        <f>"20190303162142140"</f>
        <v>20190303162142140</v>
      </c>
      <c r="B9917" t="str">
        <f>"1551601302132177"</f>
        <v>1551601302132177</v>
      </c>
      <c r="C9917" t="s">
        <v>40</v>
      </c>
      <c r="D9917">
        <v>4.8043269999999998</v>
      </c>
      <c r="E9917">
        <v>0.501529</v>
      </c>
      <c r="F9917" t="s">
        <v>41</v>
      </c>
      <c r="G9917">
        <v>-190.13800000000001</v>
      </c>
      <c r="H9917" s="1">
        <v>-7.0643719999999997E-7</v>
      </c>
      <c r="I9917">
        <v>101.1502</v>
      </c>
      <c r="J9917">
        <v>-187.63380000000001</v>
      </c>
      <c r="K9917">
        <v>1.1213219999999999</v>
      </c>
      <c r="L9917">
        <v>49.019739999999999</v>
      </c>
      <c r="M9917">
        <v>-2.3677650000000001E-2</v>
      </c>
      <c r="N9917">
        <v>-1.1622800000000001E-2</v>
      </c>
      <c r="O9917">
        <v>0.99965210000000004</v>
      </c>
      <c r="P9917">
        <v>-4.7174800000000003E-2</v>
      </c>
      <c r="Q9917">
        <v>0.16909779999999999</v>
      </c>
      <c r="R9917">
        <v>0.9844697</v>
      </c>
      <c r="S9917">
        <v>-0.14617920000000001</v>
      </c>
      <c r="T9917">
        <v>-6.5250989999999995E-2</v>
      </c>
      <c r="U9917">
        <v>3.0527340000000001</v>
      </c>
      <c r="V9917">
        <v>-2.385139E-2</v>
      </c>
      <c r="W9917">
        <v>0.1805387</v>
      </c>
      <c r="X9917">
        <v>0.9832786</v>
      </c>
      <c r="Y9917">
        <v>-2.4157430000000001E-2</v>
      </c>
      <c r="Z9917">
        <v>-9.7303930000000004E-3</v>
      </c>
      <c r="AA9917">
        <v>0.99966080000000002</v>
      </c>
      <c r="AB9917">
        <v>31</v>
      </c>
      <c r="AC9917">
        <v>-2.5041999999999902</v>
      </c>
      <c r="AD9917">
        <v>-1.1213227064372</v>
      </c>
      <c r="AE9917">
        <v>52.1304599999999</v>
      </c>
      <c r="AF9917">
        <v>-1.26850214344489</v>
      </c>
      <c r="AG9917">
        <v>-1.1213227064372</v>
      </c>
      <c r="AH9917">
        <v>52.151067014132003</v>
      </c>
      <c r="AI9917">
        <v>91.2313875047723</v>
      </c>
      <c r="AJ9917">
        <v>91.393365370828306</v>
      </c>
      <c r="AK9917">
        <v>52.178542074423497</v>
      </c>
      <c r="AL9917">
        <v>79.598860438714397</v>
      </c>
      <c r="AM9917">
        <v>91.389551286359804</v>
      </c>
      <c r="AN9917">
        <v>0.99999995811028997</v>
      </c>
    </row>
    <row r="9918" spans="1:40" x14ac:dyDescent="0.25">
      <c r="A9918" t="str">
        <f>"20190303162142163"</f>
        <v>20190303162142163</v>
      </c>
      <c r="B9918" t="str">
        <f>"1551601302152672"</f>
        <v>1551601302152672</v>
      </c>
      <c r="C9918" t="s">
        <v>40</v>
      </c>
      <c r="D9918">
        <v>4.9471910000000001</v>
      </c>
      <c r="E9918">
        <v>0.50193399999999999</v>
      </c>
      <c r="F9918" t="s">
        <v>41</v>
      </c>
      <c r="G9918">
        <v>-189.8938</v>
      </c>
      <c r="H9918" s="1">
        <v>-3.1259910000000002E-6</v>
      </c>
      <c r="I9918">
        <v>96.875630000000001</v>
      </c>
      <c r="J9918">
        <v>-187.64099999999999</v>
      </c>
      <c r="K9918">
        <v>1.1213070000000001</v>
      </c>
      <c r="L9918">
        <v>49.322600000000001</v>
      </c>
      <c r="M9918">
        <v>-2.3683409999999998E-2</v>
      </c>
      <c r="N9918">
        <v>-1.162466E-2</v>
      </c>
      <c r="O9918">
        <v>0.99965190000000004</v>
      </c>
      <c r="P9918">
        <v>-4.5583539999999999E-2</v>
      </c>
      <c r="Q9918">
        <v>0.1678364</v>
      </c>
      <c r="R9918">
        <v>0.98476039999999998</v>
      </c>
      <c r="S9918">
        <v>-0.14416499999999999</v>
      </c>
      <c r="T9918">
        <v>-7.1528789999999995E-2</v>
      </c>
      <c r="U9918">
        <v>3.0527039999999999</v>
      </c>
      <c r="V9918">
        <v>-2.2245069999999999E-2</v>
      </c>
      <c r="W9918">
        <v>0.1792821</v>
      </c>
      <c r="X9918">
        <v>0.98354620000000004</v>
      </c>
      <c r="Y9918">
        <v>-2.3492849999999999E-2</v>
      </c>
      <c r="Z9918">
        <v>-1.178219E-2</v>
      </c>
      <c r="AA9918">
        <v>0.99965459999999995</v>
      </c>
      <c r="AB9918">
        <v>31</v>
      </c>
      <c r="AC9918">
        <v>-2.2528000000000001</v>
      </c>
      <c r="AD9918">
        <v>-1.1213101259909899</v>
      </c>
      <c r="AE9918">
        <v>47.55303</v>
      </c>
      <c r="AF9918">
        <v>-1.1252497245875901</v>
      </c>
      <c r="AG9918">
        <v>-1.1213101259909899</v>
      </c>
      <c r="AH9918">
        <v>47.566658505434503</v>
      </c>
      <c r="AI9918">
        <v>91.350031383027201</v>
      </c>
      <c r="AJ9918">
        <v>91.355151687756106</v>
      </c>
      <c r="AK9918">
        <v>47.593177291645098</v>
      </c>
      <c r="AL9918">
        <v>79.672053257054003</v>
      </c>
      <c r="AM9918">
        <v>91.295649727389403</v>
      </c>
      <c r="AN9918">
        <v>1.0000000210270701</v>
      </c>
    </row>
    <row r="9919" spans="1:40" x14ac:dyDescent="0.25">
      <c r="A9919" t="str">
        <f>"20190303162142188"</f>
        <v>20190303162142188</v>
      </c>
      <c r="B9919" t="str">
        <f>"1551601302181952"</f>
        <v>1551601302181952</v>
      </c>
      <c r="C9919" t="s">
        <v>40</v>
      </c>
      <c r="D9919">
        <v>4.8924050000000001</v>
      </c>
      <c r="E9919">
        <v>0.53465989999999997</v>
      </c>
      <c r="F9919" t="s">
        <v>41</v>
      </c>
      <c r="G9919">
        <v>-189.6618</v>
      </c>
      <c r="H9919" s="1">
        <v>-2.2652130000000001E-6</v>
      </c>
      <c r="I9919">
        <v>94.773210000000006</v>
      </c>
      <c r="J9919">
        <v>-187.6491</v>
      </c>
      <c r="K9919">
        <v>1.121294</v>
      </c>
      <c r="L9919">
        <v>49.665680000000002</v>
      </c>
      <c r="M9919">
        <v>-2.3685009999999999E-2</v>
      </c>
      <c r="N9919">
        <v>-1.162673E-2</v>
      </c>
      <c r="O9919">
        <v>0.99965179999999998</v>
      </c>
      <c r="P9919">
        <v>-4.3534919999999998E-2</v>
      </c>
      <c r="Q9919">
        <v>0.16616739999999999</v>
      </c>
      <c r="R9919">
        <v>0.98513609999999896</v>
      </c>
      <c r="S9919">
        <v>-0.13574220000000001</v>
      </c>
      <c r="T9919">
        <v>-7.531989E-2</v>
      </c>
      <c r="U9919">
        <v>3.0529790000000001</v>
      </c>
      <c r="V9919">
        <v>-2.0184830000000001E-2</v>
      </c>
      <c r="W9919">
        <v>0.17761930000000001</v>
      </c>
      <c r="X9919">
        <v>0.98389230000000005</v>
      </c>
      <c r="Y9919">
        <v>-2.0734499999999999E-2</v>
      </c>
      <c r="Z9919">
        <v>-1.301951E-2</v>
      </c>
      <c r="AA9919">
        <v>0.99970020000000004</v>
      </c>
      <c r="AB9919">
        <v>31</v>
      </c>
      <c r="AC9919">
        <v>-2.0126999999999899</v>
      </c>
      <c r="AD9919">
        <v>-1.1212962652130001</v>
      </c>
      <c r="AE9919">
        <v>45.107529999999898</v>
      </c>
      <c r="AF9919">
        <v>-0.94310909916832297</v>
      </c>
      <c r="AG9919">
        <v>-1.1212962652130001</v>
      </c>
      <c r="AH9919">
        <v>45.114725787095203</v>
      </c>
      <c r="AI9919">
        <v>91.423444204057105</v>
      </c>
      <c r="AJ9919">
        <v>91.197575752695997</v>
      </c>
      <c r="AK9919">
        <v>45.138511749193803</v>
      </c>
      <c r="AL9919">
        <v>79.768879156619306</v>
      </c>
      <c r="AM9919">
        <v>91.175274327617402</v>
      </c>
      <c r="AN9919">
        <v>1.00000005054695</v>
      </c>
    </row>
    <row r="9920" spans="1:40" x14ac:dyDescent="0.25">
      <c r="A9920" t="str">
        <f>"20190303162142208"</f>
        <v>20190303162142208</v>
      </c>
      <c r="B9920" t="str">
        <f>"1551601302202449"</f>
        <v>1551601302202449</v>
      </c>
      <c r="C9920" t="s">
        <v>40</v>
      </c>
      <c r="D9920">
        <v>4.8577560000000002</v>
      </c>
      <c r="E9920">
        <v>0.53706500000000001</v>
      </c>
      <c r="F9920" t="s">
        <v>41</v>
      </c>
      <c r="G9920">
        <v>-186.21420000000001</v>
      </c>
      <c r="H9920" s="1">
        <v>-2.1942570000000002E-6</v>
      </c>
      <c r="I9920">
        <v>83.136009999999999</v>
      </c>
      <c r="J9920">
        <v>-187.6559</v>
      </c>
      <c r="K9920">
        <v>1.1212930000000001</v>
      </c>
      <c r="L9920">
        <v>49.953060000000001</v>
      </c>
      <c r="M9920">
        <v>-2.3683780000000001E-2</v>
      </c>
      <c r="N9920">
        <v>-1.162845E-2</v>
      </c>
      <c r="O9920">
        <v>0.99965179999999998</v>
      </c>
      <c r="P9920">
        <v>-4.0621150000000002E-2</v>
      </c>
      <c r="Q9920">
        <v>0.1650517</v>
      </c>
      <c r="R9920">
        <v>0.98544810000000005</v>
      </c>
      <c r="S9920">
        <v>0.131546</v>
      </c>
      <c r="T9920">
        <v>-0.1027957</v>
      </c>
      <c r="U9920">
        <v>3.0684200000000001</v>
      </c>
      <c r="V9920">
        <v>-1.7264930000000001E-2</v>
      </c>
      <c r="W9920">
        <v>0.17650850000000001</v>
      </c>
      <c r="X9920">
        <v>0.98414769999999896</v>
      </c>
      <c r="Y9920">
        <v>6.6455609999999998E-2</v>
      </c>
      <c r="Z9920">
        <v>-2.1785880000000001E-2</v>
      </c>
      <c r="AA9920">
        <v>0.99755150000000004</v>
      </c>
      <c r="AB9920">
        <v>31</v>
      </c>
      <c r="AC9920">
        <v>1.44169999999999</v>
      </c>
      <c r="AD9920">
        <v>-1.121295194257</v>
      </c>
      <c r="AE9920">
        <v>33.182949999999998</v>
      </c>
      <c r="AF9920">
        <v>2.2247109245787899</v>
      </c>
      <c r="AG9920">
        <v>-1.121295194257</v>
      </c>
      <c r="AH9920">
        <v>33.101767587154903</v>
      </c>
      <c r="AI9920">
        <v>91.935742081727696</v>
      </c>
      <c r="AJ9920">
        <v>86.155034774264905</v>
      </c>
      <c r="AK9920">
        <v>33.195386110190398</v>
      </c>
      <c r="AL9920">
        <v>79.833544674794098</v>
      </c>
      <c r="AM9920">
        <v>91.005038331678605</v>
      </c>
      <c r="AN9920">
        <v>1.0000000118977199</v>
      </c>
    </row>
    <row r="9921" spans="1:40" x14ac:dyDescent="0.25">
      <c r="A9921" t="str">
        <f>"20190303162142229"</f>
        <v>20190303162142229</v>
      </c>
      <c r="B9921" t="str">
        <f>"1551601302221969"</f>
        <v>1551601302221969</v>
      </c>
      <c r="C9921" t="s">
        <v>40</v>
      </c>
      <c r="D9921">
        <v>4.893872</v>
      </c>
      <c r="E9921">
        <v>0.53777619999999904</v>
      </c>
      <c r="F9921" t="s">
        <v>41</v>
      </c>
      <c r="G9921">
        <v>-186.0943</v>
      </c>
      <c r="H9921" s="1">
        <v>-1.1354129999999999E-6</v>
      </c>
      <c r="I9921">
        <v>79.930800000000005</v>
      </c>
      <c r="J9921">
        <v>-187.66309999999999</v>
      </c>
      <c r="K9921">
        <v>1.121283</v>
      </c>
      <c r="L9921">
        <v>50.256529999999998</v>
      </c>
      <c r="M9921">
        <v>-2.367998E-2</v>
      </c>
      <c r="N9921">
        <v>-1.163028E-2</v>
      </c>
      <c r="O9921">
        <v>0.99965190000000004</v>
      </c>
      <c r="P9921">
        <v>-3.7056779999999997E-2</v>
      </c>
      <c r="Q9921">
        <v>0.16300700000000001</v>
      </c>
      <c r="R9921">
        <v>0.98592880000000005</v>
      </c>
      <c r="S9921">
        <v>0.1599274</v>
      </c>
      <c r="T9921">
        <v>-0.1148359</v>
      </c>
      <c r="U9921">
        <v>3.0701290000000001</v>
      </c>
      <c r="V9921">
        <v>-1.369304E-2</v>
      </c>
      <c r="W9921">
        <v>0.17447019999999999</v>
      </c>
      <c r="X9921">
        <v>0.98456719999999998</v>
      </c>
      <c r="Y9921">
        <v>7.5617130000000005E-2</v>
      </c>
      <c r="Z9921">
        <v>-2.5651779999999999E-2</v>
      </c>
      <c r="AA9921">
        <v>0.99680690000000005</v>
      </c>
      <c r="AB9921">
        <v>31</v>
      </c>
      <c r="AC9921">
        <v>1.56879999999998</v>
      </c>
      <c r="AD9921">
        <v>-1.1212841354130001</v>
      </c>
      <c r="AE9921">
        <v>29.67427</v>
      </c>
      <c r="AF9921">
        <v>2.2678646469055201</v>
      </c>
      <c r="AG9921">
        <v>-1.1212841354130001</v>
      </c>
      <c r="AH9921">
        <v>29.586669759829899</v>
      </c>
      <c r="AI9921">
        <v>92.164031300123497</v>
      </c>
      <c r="AJ9921">
        <v>85.616759738884497</v>
      </c>
      <c r="AK9921">
        <v>29.694637826487199</v>
      </c>
      <c r="AL9921">
        <v>79.952171095981299</v>
      </c>
      <c r="AM9921">
        <v>90.796799672901699</v>
      </c>
      <c r="AN9921">
        <v>0.99999996067415997</v>
      </c>
    </row>
    <row r="9922" spans="1:40" x14ac:dyDescent="0.25">
      <c r="A9922" t="str">
        <f>"20190303162142251"</f>
        <v>20190303162142251</v>
      </c>
      <c r="B9922" t="str">
        <f>"1551601302242465"</f>
        <v>1551601302242465</v>
      </c>
      <c r="C9922" t="s">
        <v>40</v>
      </c>
      <c r="D9922">
        <v>4.8915249999999997</v>
      </c>
      <c r="E9922">
        <v>0.53789019999999899</v>
      </c>
      <c r="F9922" t="s">
        <v>41</v>
      </c>
      <c r="G9922">
        <v>-186.03739999999999</v>
      </c>
      <c r="H9922" s="1">
        <v>-4.5098049999999999E-6</v>
      </c>
      <c r="I9922">
        <v>78.506749999999997</v>
      </c>
      <c r="J9922">
        <v>-187.6704</v>
      </c>
      <c r="K9922">
        <v>1.121265</v>
      </c>
      <c r="L9922">
        <v>50.56561</v>
      </c>
      <c r="M9922">
        <v>-2.3662699999999998E-2</v>
      </c>
      <c r="N9922">
        <v>-1.1632139999999999E-2</v>
      </c>
      <c r="O9922">
        <v>0.99965230000000005</v>
      </c>
      <c r="P9922">
        <v>-3.354803E-2</v>
      </c>
      <c r="Q9922">
        <v>0.16028539999999999</v>
      </c>
      <c r="R9922">
        <v>0.98650040000000006</v>
      </c>
      <c r="S9922">
        <v>0.176651</v>
      </c>
      <c r="T9922">
        <v>-0.1218356</v>
      </c>
      <c r="U9922">
        <v>3.0695800000000002</v>
      </c>
      <c r="V9922">
        <v>-1.018573E-2</v>
      </c>
      <c r="W9922">
        <v>0.17175660000000001</v>
      </c>
      <c r="X9922">
        <v>0.98508669999999998</v>
      </c>
      <c r="Y9922">
        <v>8.1016420000000006E-2</v>
      </c>
      <c r="Z9922">
        <v>-2.7911970000000001E-2</v>
      </c>
      <c r="AA9922">
        <v>0.99632189999999998</v>
      </c>
      <c r="AB9922">
        <v>31</v>
      </c>
      <c r="AC9922">
        <v>1.633</v>
      </c>
      <c r="AD9922">
        <v>-1.1212695098050001</v>
      </c>
      <c r="AE9922">
        <v>27.941140000000001</v>
      </c>
      <c r="AF9922">
        <v>2.29007489502564</v>
      </c>
      <c r="AG9922">
        <v>-1.1212695098050001</v>
      </c>
      <c r="AH9922">
        <v>27.849974869280299</v>
      </c>
      <c r="AI9922">
        <v>92.297796676359098</v>
      </c>
      <c r="AJ9922">
        <v>85.299202703681203</v>
      </c>
      <c r="AK9922">
        <v>27.966458276978699</v>
      </c>
      <c r="AL9922">
        <v>80.110032208776403</v>
      </c>
      <c r="AM9922">
        <v>90.592413381726502</v>
      </c>
      <c r="AN9922">
        <v>0.99999994262803904</v>
      </c>
    </row>
    <row r="9923" spans="1:40" x14ac:dyDescent="0.25">
      <c r="A9923" t="str">
        <f>"20190303162142272"</f>
        <v>20190303162142272</v>
      </c>
      <c r="B9923" t="str">
        <f>"1551601302261984"</f>
        <v>1551601302261984</v>
      </c>
      <c r="C9923" t="s">
        <v>40</v>
      </c>
      <c r="D9923">
        <v>4.8876730000000004</v>
      </c>
      <c r="E9923">
        <v>0.53779549999999998</v>
      </c>
      <c r="F9923" t="s">
        <v>41</v>
      </c>
      <c r="G9923">
        <v>-185.98910000000001</v>
      </c>
      <c r="H9923" s="1">
        <v>-4.2393280000000001E-6</v>
      </c>
      <c r="I9923">
        <v>77.856309999999993</v>
      </c>
      <c r="J9923">
        <v>-187.6773</v>
      </c>
      <c r="K9923">
        <v>1.1212340000000001</v>
      </c>
      <c r="L9923">
        <v>50.85895</v>
      </c>
      <c r="M9923">
        <v>-2.3622730000000002E-2</v>
      </c>
      <c r="N9923">
        <v>-1.1633920000000001E-2</v>
      </c>
      <c r="O9923">
        <v>0.99965320000000002</v>
      </c>
      <c r="P9923">
        <v>-3.076711E-2</v>
      </c>
      <c r="Q9923">
        <v>0.15819250000000001</v>
      </c>
      <c r="R9923">
        <v>0.98692880000000005</v>
      </c>
      <c r="S9923">
        <v>0.1890106</v>
      </c>
      <c r="T9923">
        <v>-0.12605069999999999</v>
      </c>
      <c r="U9923">
        <v>3.0679630000000002</v>
      </c>
      <c r="V9923">
        <v>-7.4278369999999996E-3</v>
      </c>
      <c r="W9923">
        <v>0.1696696</v>
      </c>
      <c r="X9923">
        <v>0.98547300000000004</v>
      </c>
      <c r="Y9923">
        <v>8.5001309999999997E-2</v>
      </c>
      <c r="Z9923">
        <v>-2.928594E-2</v>
      </c>
      <c r="AA9923">
        <v>0.99595029999999996</v>
      </c>
      <c r="AB9923">
        <v>31</v>
      </c>
      <c r="AC9923">
        <v>1.6881999999999899</v>
      </c>
      <c r="AD9923">
        <v>-1.121238239328</v>
      </c>
      <c r="AE9923">
        <v>26.997359999999901</v>
      </c>
      <c r="AF9923">
        <v>2.3215346559938999</v>
      </c>
      <c r="AG9923">
        <v>-1.121238239328</v>
      </c>
      <c r="AH9923">
        <v>26.9037182906841</v>
      </c>
      <c r="AI9923">
        <v>92.377650041856597</v>
      </c>
      <c r="AJ9923">
        <v>85.068136665527902</v>
      </c>
      <c r="AK9923">
        <v>27.026963503375701</v>
      </c>
      <c r="AL9923">
        <v>80.2313904350396</v>
      </c>
      <c r="AM9923">
        <v>90.431849124181397</v>
      </c>
      <c r="AN9923">
        <v>0.99999998982782901</v>
      </c>
    </row>
    <row r="9924" spans="1:40" x14ac:dyDescent="0.25">
      <c r="A9924" t="str">
        <f>"20190303162142295"</f>
        <v>20190303162142295</v>
      </c>
      <c r="B9924" t="str">
        <f>"1551601302282481"</f>
        <v>1551601302282481</v>
      </c>
      <c r="C9924" t="s">
        <v>40</v>
      </c>
      <c r="D9924">
        <v>4.878215</v>
      </c>
      <c r="E9924">
        <v>0.53780220000000001</v>
      </c>
      <c r="F9924" t="s">
        <v>41</v>
      </c>
      <c r="G9924">
        <v>-186.01560000000001</v>
      </c>
      <c r="H9924" s="1">
        <v>-3.7575730000000001E-6</v>
      </c>
      <c r="I9924">
        <v>76.744280000000003</v>
      </c>
      <c r="J9924">
        <v>-187.68459999999999</v>
      </c>
      <c r="K9924">
        <v>1.121202</v>
      </c>
      <c r="L9924">
        <v>51.170499999999997</v>
      </c>
      <c r="M9924">
        <v>-2.354618E-2</v>
      </c>
      <c r="N9924">
        <v>-1.1635909999999999E-2</v>
      </c>
      <c r="O9924">
        <v>0.99965499999999996</v>
      </c>
      <c r="P9924">
        <v>-2.805241E-2</v>
      </c>
      <c r="Q9924">
        <v>0.15667529999999999</v>
      </c>
      <c r="R9924">
        <v>0.98725169999999995</v>
      </c>
      <c r="S9924">
        <v>0.1968994</v>
      </c>
      <c r="T9924">
        <v>-0.1328561</v>
      </c>
      <c r="U9924">
        <v>3.0671689999999998</v>
      </c>
      <c r="V9924">
        <v>-4.7712579999999996E-3</v>
      </c>
      <c r="W9924">
        <v>0.16815720000000001</v>
      </c>
      <c r="X9924">
        <v>0.98574859999999997</v>
      </c>
      <c r="Y9924">
        <v>8.7485839999999995E-2</v>
      </c>
      <c r="Z9924">
        <v>-3.1492970000000002E-2</v>
      </c>
      <c r="AA9924">
        <v>0.99566779999999999</v>
      </c>
      <c r="AB9924">
        <v>31</v>
      </c>
      <c r="AC9924">
        <v>1.6689999999999801</v>
      </c>
      <c r="AD9924">
        <v>-1.1212057575729999</v>
      </c>
      <c r="AE9924">
        <v>25.573779999999999</v>
      </c>
      <c r="AF9924">
        <v>2.2664049931199699</v>
      </c>
      <c r="AG9924">
        <v>-1.1212057575729999</v>
      </c>
      <c r="AH9924">
        <v>25.478622175929399</v>
      </c>
      <c r="AI9924">
        <v>92.509820455246995</v>
      </c>
      <c r="AJ9924">
        <v>84.916736249017305</v>
      </c>
      <c r="AK9924">
        <v>25.6037864763674</v>
      </c>
      <c r="AL9924">
        <v>80.319307542535995</v>
      </c>
      <c r="AM9924">
        <v>90.277323053308095</v>
      </c>
      <c r="AN9924">
        <v>0.99999995560834998</v>
      </c>
    </row>
    <row r="9925" spans="1:40" x14ac:dyDescent="0.25">
      <c r="A9925" t="str">
        <f>"20190303162142317"</f>
        <v>20190303162142317</v>
      </c>
      <c r="B9925" t="str">
        <f>"1551601302312737"</f>
        <v>1551601302312737</v>
      </c>
      <c r="C9925" t="s">
        <v>40</v>
      </c>
      <c r="D9925">
        <v>4.9186120000000004</v>
      </c>
      <c r="E9925">
        <v>0.53727469999999999</v>
      </c>
      <c r="F9925" t="s">
        <v>41</v>
      </c>
      <c r="G9925">
        <v>-185.95349999999999</v>
      </c>
      <c r="H9925" s="1">
        <v>-3.8590429999999999E-6</v>
      </c>
      <c r="I9925">
        <v>76.95514</v>
      </c>
      <c r="J9925">
        <v>-187.69210000000001</v>
      </c>
      <c r="K9925">
        <v>1.121149</v>
      </c>
      <c r="L9925">
        <v>51.491549999999997</v>
      </c>
      <c r="M9925">
        <v>-2.3424179999999999E-2</v>
      </c>
      <c r="N9925">
        <v>-1.1638010000000001E-2</v>
      </c>
      <c r="O9925">
        <v>0.99965789999999999</v>
      </c>
      <c r="P9925">
        <v>-2.573574E-2</v>
      </c>
      <c r="Q9925">
        <v>0.15540479999999901</v>
      </c>
      <c r="R9925">
        <v>0.98751560000000005</v>
      </c>
      <c r="S9925">
        <v>0.2058258</v>
      </c>
      <c r="T9925">
        <v>-0.13330890000000001</v>
      </c>
      <c r="U9925">
        <v>3.0657350000000001</v>
      </c>
      <c r="V9925">
        <v>-2.5550880000000001E-3</v>
      </c>
      <c r="W9925">
        <v>0.1668917</v>
      </c>
      <c r="X9925">
        <v>0.98597190000000001</v>
      </c>
      <c r="Y9925">
        <v>9.0279010000000007E-2</v>
      </c>
      <c r="Z9925">
        <v>-3.1648120000000002E-2</v>
      </c>
      <c r="AA9925">
        <v>0.99541349999999995</v>
      </c>
      <c r="AB9925">
        <v>31</v>
      </c>
      <c r="AC9925">
        <v>1.7386000000000099</v>
      </c>
      <c r="AD9925">
        <v>-1.121152859043</v>
      </c>
      <c r="AE9925">
        <v>25.46359</v>
      </c>
      <c r="AF9925">
        <v>2.3301307361463501</v>
      </c>
      <c r="AG9925">
        <v>-1.121152859043</v>
      </c>
      <c r="AH9925">
        <v>25.3669258432829</v>
      </c>
      <c r="AI9925">
        <v>92.520083306974499</v>
      </c>
      <c r="AJ9925">
        <v>84.751707390289894</v>
      </c>
      <c r="AK9925">
        <v>25.4983807274009</v>
      </c>
      <c r="AL9925">
        <v>80.392854950112905</v>
      </c>
      <c r="AM9925">
        <v>90.1484782994076</v>
      </c>
      <c r="AN9925">
        <v>0.999999977796593</v>
      </c>
    </row>
    <row r="9926" spans="1:40" x14ac:dyDescent="0.25">
      <c r="A9926" t="str">
        <f>"20190303162142340"</f>
        <v>20190303162142340</v>
      </c>
      <c r="B9926" t="str">
        <f>"1551601302332256"</f>
        <v>1551601302332256</v>
      </c>
      <c r="C9926" t="s">
        <v>40</v>
      </c>
      <c r="D9926">
        <v>4.9152430000000003</v>
      </c>
      <c r="E9926">
        <v>0.53690819999999995</v>
      </c>
      <c r="F9926" t="s">
        <v>41</v>
      </c>
      <c r="G9926">
        <v>-185.90790000000001</v>
      </c>
      <c r="H9926" s="1">
        <v>-4.144051E-6</v>
      </c>
      <c r="I9926">
        <v>77.600650000000002</v>
      </c>
      <c r="J9926">
        <v>-187.69909999999999</v>
      </c>
      <c r="K9926">
        <v>1.1211070000000001</v>
      </c>
      <c r="L9926">
        <v>51.79654</v>
      </c>
      <c r="M9926">
        <v>-2.326056E-2</v>
      </c>
      <c r="N9926">
        <v>-1.1640030000000001E-2</v>
      </c>
      <c r="O9926">
        <v>0.99966169999999999</v>
      </c>
      <c r="P9926">
        <v>-2.436079E-2</v>
      </c>
      <c r="Q9926">
        <v>0.1543707</v>
      </c>
      <c r="R9926">
        <v>0.98771260000000005</v>
      </c>
      <c r="S9926">
        <v>0.20938109999999999</v>
      </c>
      <c r="T9926">
        <v>-0.1315752</v>
      </c>
      <c r="U9926">
        <v>3.0640869999999998</v>
      </c>
      <c r="V9926">
        <v>-1.3221210000000001E-3</v>
      </c>
      <c r="W9926">
        <v>0.1658615</v>
      </c>
      <c r="X9926">
        <v>0.98614820000000003</v>
      </c>
      <c r="Y9926">
        <v>9.1302549999999996E-2</v>
      </c>
      <c r="Z9926">
        <v>-3.1103329999999998E-2</v>
      </c>
      <c r="AA9926">
        <v>0.99533740000000004</v>
      </c>
      <c r="AB9926">
        <v>31</v>
      </c>
      <c r="AC9926">
        <v>1.7911999999999699</v>
      </c>
      <c r="AD9926">
        <v>-1.121111144051</v>
      </c>
      <c r="AE9926">
        <v>25.804110000000001</v>
      </c>
      <c r="AF9926">
        <v>2.38649076135431</v>
      </c>
      <c r="AG9926">
        <v>-1.121111144051</v>
      </c>
      <c r="AH9926">
        <v>25.707167047838499</v>
      </c>
      <c r="AI9926">
        <v>92.486456992994803</v>
      </c>
      <c r="AJ9926">
        <v>84.696223576392399</v>
      </c>
      <c r="AK9926">
        <v>25.842032930418199</v>
      </c>
      <c r="AL9926">
        <v>80.452715875445605</v>
      </c>
      <c r="AM9926">
        <v>90.076815947054101</v>
      </c>
      <c r="AN9926">
        <v>1.0000000287747099</v>
      </c>
    </row>
    <row r="9927" spans="1:40" x14ac:dyDescent="0.25">
      <c r="A9927" t="str">
        <f>"20190303162142363"</f>
        <v>20190303162142363</v>
      </c>
      <c r="B9927" t="str">
        <f>"1551601302352752"</f>
        <v>1551601302352752</v>
      </c>
      <c r="C9927" t="s">
        <v>40</v>
      </c>
      <c r="D9927">
        <v>4.8803159999999997</v>
      </c>
      <c r="E9927">
        <v>0.53650450000000005</v>
      </c>
      <c r="F9927" t="s">
        <v>41</v>
      </c>
      <c r="G9927">
        <v>-185.87280000000001</v>
      </c>
      <c r="H9927" s="1">
        <v>-4.429172E-6</v>
      </c>
      <c r="I9927">
        <v>78.250749999999996</v>
      </c>
      <c r="J9927">
        <v>-187.70650000000001</v>
      </c>
      <c r="K9927">
        <v>1.1210560000000001</v>
      </c>
      <c r="L9927">
        <v>52.125790000000002</v>
      </c>
      <c r="M9927">
        <v>-2.3024389999999999E-2</v>
      </c>
      <c r="N9927">
        <v>-1.164221E-2</v>
      </c>
      <c r="O9927">
        <v>0.99966710000000003</v>
      </c>
      <c r="P9927">
        <v>-2.1708749999999999E-2</v>
      </c>
      <c r="Q9927">
        <v>0.15299570000000001</v>
      </c>
      <c r="R9927">
        <v>0.98798839999999999</v>
      </c>
      <c r="S9927">
        <v>0.21144099999999999</v>
      </c>
      <c r="T9927">
        <v>-0.12979959999999999</v>
      </c>
      <c r="U9927">
        <v>3.062805</v>
      </c>
      <c r="V9927">
        <v>1.119835E-3</v>
      </c>
      <c r="W9927">
        <v>0.1644901</v>
      </c>
      <c r="X9927">
        <v>0.98637810000000004</v>
      </c>
      <c r="Y9927">
        <v>9.1763269999999994E-2</v>
      </c>
      <c r="Z9927">
        <v>-3.0541160000000001E-2</v>
      </c>
      <c r="AA9927">
        <v>0.99531239999999999</v>
      </c>
      <c r="AB9927">
        <v>31</v>
      </c>
      <c r="AC9927">
        <v>1.8336999999999899</v>
      </c>
      <c r="AD9927">
        <v>-1.1210604291719899</v>
      </c>
      <c r="AE9927">
        <v>26.124959999999898</v>
      </c>
      <c r="AF9927">
        <v>2.4303126466237601</v>
      </c>
      <c r="AG9927">
        <v>-1.1210604291719899</v>
      </c>
      <c r="AH9927">
        <v>26.0281176796613</v>
      </c>
      <c r="AI9927">
        <v>92.455601504008399</v>
      </c>
      <c r="AJ9927">
        <v>84.665611557980597</v>
      </c>
      <c r="AK9927">
        <v>26.1653608037896</v>
      </c>
      <c r="AL9927">
        <v>80.532385385051199</v>
      </c>
      <c r="AM9927">
        <v>89.934952132772494</v>
      </c>
      <c r="AN9927">
        <v>1.00000000159402</v>
      </c>
    </row>
    <row r="9928" spans="1:40" x14ac:dyDescent="0.25">
      <c r="A9928" t="str">
        <f>"20190303162142387"</f>
        <v>20190303162142387</v>
      </c>
      <c r="B9928" t="str">
        <f>"1551601302382032"</f>
        <v>1551601302382032</v>
      </c>
      <c r="C9928" t="s">
        <v>40</v>
      </c>
      <c r="D9928">
        <v>4.890358</v>
      </c>
      <c r="E9928">
        <v>0.53601180000000004</v>
      </c>
      <c r="F9928" t="s">
        <v>41</v>
      </c>
      <c r="G9928">
        <v>-185.82910000000001</v>
      </c>
      <c r="H9928" s="1">
        <v>-4.6187049999999999E-6</v>
      </c>
      <c r="I9928">
        <v>78.674480000000003</v>
      </c>
      <c r="J9928">
        <v>-187.71369999999999</v>
      </c>
      <c r="K9928">
        <v>1.121</v>
      </c>
      <c r="L9928">
        <v>52.453400000000002</v>
      </c>
      <c r="M9928">
        <v>-2.2716259999999999E-2</v>
      </c>
      <c r="N9928">
        <v>-1.164448E-2</v>
      </c>
      <c r="O9928">
        <v>0.99967410000000001</v>
      </c>
      <c r="P9928">
        <v>-1.9345060000000001E-2</v>
      </c>
      <c r="Q9928">
        <v>0.15276609999999999</v>
      </c>
      <c r="R9928">
        <v>0.98807299999999998</v>
      </c>
      <c r="S9928">
        <v>0.21647640000000001</v>
      </c>
      <c r="T9928">
        <v>-0.12926609999999999</v>
      </c>
      <c r="U9928">
        <v>3.0612490000000001</v>
      </c>
      <c r="V9928">
        <v>3.1997800000000002E-3</v>
      </c>
      <c r="W9928">
        <v>0.1642615</v>
      </c>
      <c r="X9928">
        <v>0.98641160000000006</v>
      </c>
      <c r="Y9928">
        <v>9.3120190000000005E-2</v>
      </c>
      <c r="Z9928">
        <v>-3.0382309999999999E-2</v>
      </c>
      <c r="AA9928">
        <v>0.99519120000000005</v>
      </c>
      <c r="AB9928">
        <v>31</v>
      </c>
      <c r="AC9928">
        <v>1.8845999999999701</v>
      </c>
      <c r="AD9928">
        <v>-1.121004618705</v>
      </c>
      <c r="AE9928">
        <v>26.221080000000001</v>
      </c>
      <c r="AF9928">
        <v>2.47529795450192</v>
      </c>
      <c r="AG9928">
        <v>-1.121004618705</v>
      </c>
      <c r="AH9928">
        <v>26.123996427464999</v>
      </c>
      <c r="AI9928">
        <v>92.446164199155206</v>
      </c>
      <c r="AJ9928">
        <v>84.587276514170895</v>
      </c>
      <c r="AK9928">
        <v>26.2649374768136</v>
      </c>
      <c r="AL9928">
        <v>80.545663436562094</v>
      </c>
      <c r="AM9928">
        <v>89.814141230371305</v>
      </c>
      <c r="AN9928">
        <v>0.99999996179442796</v>
      </c>
    </row>
    <row r="9929" spans="1:40" x14ac:dyDescent="0.25">
      <c r="A9929" t="str">
        <f>"20190303162142409"</f>
        <v>20190303162142409</v>
      </c>
      <c r="B9929" t="str">
        <f>"1551601302402528"</f>
        <v>1551601302402528</v>
      </c>
      <c r="C9929" t="s">
        <v>40</v>
      </c>
      <c r="D9929">
        <v>4.8944299999999998</v>
      </c>
      <c r="E9929">
        <v>0.53576319999999999</v>
      </c>
      <c r="F9929" t="s">
        <v>41</v>
      </c>
      <c r="G9929">
        <v>-185.73939999999999</v>
      </c>
      <c r="H9929" s="1">
        <v>-1.247957E-6</v>
      </c>
      <c r="I9929">
        <v>79.984020000000001</v>
      </c>
      <c r="J9929">
        <v>-187.72020000000001</v>
      </c>
      <c r="K9929">
        <v>1.1209559999999901</v>
      </c>
      <c r="L9929">
        <v>52.75403</v>
      </c>
      <c r="M9929">
        <v>-2.2367749999999999E-2</v>
      </c>
      <c r="N9929">
        <v>-1.164665E-2</v>
      </c>
      <c r="O9929">
        <v>0.99968190000000001</v>
      </c>
      <c r="P9929">
        <v>-1.7243109999999999E-2</v>
      </c>
      <c r="Q9929">
        <v>0.15386859999999999</v>
      </c>
      <c r="R9929">
        <v>0.98794079999999995</v>
      </c>
      <c r="S9929">
        <v>0.21942139999999999</v>
      </c>
      <c r="T9929">
        <v>-0.1245893</v>
      </c>
      <c r="U9929">
        <v>3.0597840000000001</v>
      </c>
      <c r="V9929">
        <v>4.974086E-3</v>
      </c>
      <c r="W9929">
        <v>0.16536300000000001</v>
      </c>
      <c r="X9929">
        <v>0.98622019999999999</v>
      </c>
      <c r="Y9929">
        <v>9.376342E-2</v>
      </c>
      <c r="Z9929">
        <v>-2.8878689999999999E-2</v>
      </c>
      <c r="AA9929">
        <v>0.99517560000000005</v>
      </c>
      <c r="AB9929">
        <v>31</v>
      </c>
      <c r="AC9929">
        <v>1.9808000000000101</v>
      </c>
      <c r="AD9929">
        <v>-1.12095724795699</v>
      </c>
      <c r="AE9929">
        <v>27.229989999999901</v>
      </c>
      <c r="AF9929">
        <v>2.58506157467174</v>
      </c>
      <c r="AG9929">
        <v>-1.12095724795699</v>
      </c>
      <c r="AH9929">
        <v>27.133127920887699</v>
      </c>
      <c r="AI9929">
        <v>92.355076325591199</v>
      </c>
      <c r="AJ9929">
        <v>84.557671244176206</v>
      </c>
      <c r="AK9929">
        <v>27.2790344269706</v>
      </c>
      <c r="AL9929">
        <v>80.481677222282499</v>
      </c>
      <c r="AM9929">
        <v>89.7110262817219</v>
      </c>
      <c r="AN9929">
        <v>0.99999997309428701</v>
      </c>
    </row>
    <row r="9930" spans="1:40" x14ac:dyDescent="0.25">
      <c r="A9930" t="str">
        <f>"20190303162142429"</f>
        <v>20190303162142429</v>
      </c>
      <c r="B9930" t="str">
        <f>"1551601302422049"</f>
        <v>1551601302422049</v>
      </c>
      <c r="C9930" t="s">
        <v>40</v>
      </c>
      <c r="D9930">
        <v>4.8845390000000002</v>
      </c>
      <c r="E9930">
        <v>0.53543069999999904</v>
      </c>
      <c r="F9930" t="s">
        <v>41</v>
      </c>
      <c r="G9930">
        <v>-185.6173</v>
      </c>
      <c r="H9930" s="1">
        <v>-1.797278E-6</v>
      </c>
      <c r="I9930">
        <v>81.502700000000004</v>
      </c>
      <c r="J9930">
        <v>-187.72659999999999</v>
      </c>
      <c r="K9930">
        <v>1.1209089999999999</v>
      </c>
      <c r="L9930">
        <v>53.057740000000003</v>
      </c>
      <c r="M9930">
        <v>-2.196437E-2</v>
      </c>
      <c r="N9930">
        <v>-1.16488999999999E-2</v>
      </c>
      <c r="O9930">
        <v>0.99969090000000005</v>
      </c>
      <c r="P9930">
        <v>-1.5385319999999999E-2</v>
      </c>
      <c r="Q9930">
        <v>0.15388279999999999</v>
      </c>
      <c r="R9930">
        <v>0.98796930000000005</v>
      </c>
      <c r="S9930">
        <v>0.2237701</v>
      </c>
      <c r="T9930">
        <v>-0.11927989999999999</v>
      </c>
      <c r="U9930">
        <v>3.059113</v>
      </c>
      <c r="V9930">
        <v>6.4525059999999898E-3</v>
      </c>
      <c r="W9930">
        <v>0.1653771</v>
      </c>
      <c r="X9930">
        <v>0.98620929999999996</v>
      </c>
      <c r="Y9930">
        <v>9.4788709999999998E-2</v>
      </c>
      <c r="Z9930">
        <v>-2.7156420000000001E-2</v>
      </c>
      <c r="AA9930">
        <v>0.99512699999999998</v>
      </c>
      <c r="AB9930">
        <v>31</v>
      </c>
      <c r="AC9930">
        <v>2.10929999999999</v>
      </c>
      <c r="AD9930">
        <v>-1.1209107972779999</v>
      </c>
      <c r="AE9930">
        <v>28.444959999999998</v>
      </c>
      <c r="AF9930">
        <v>2.7293939033852399</v>
      </c>
      <c r="AG9930">
        <v>-1.1209107972779999</v>
      </c>
      <c r="AH9930">
        <v>28.347984620200901</v>
      </c>
      <c r="AI9930">
        <v>92.253946823858797</v>
      </c>
      <c r="AJ9930">
        <v>84.500413643626402</v>
      </c>
      <c r="AK9930">
        <v>28.501127418445002</v>
      </c>
      <c r="AL9930">
        <v>80.480858348439597</v>
      </c>
      <c r="AM9930">
        <v>89.625134253040599</v>
      </c>
      <c r="AN9930">
        <v>1.0000000017222801</v>
      </c>
    </row>
    <row r="9931" spans="1:40" x14ac:dyDescent="0.25">
      <c r="A9931" t="str">
        <f>"20190303162142452"</f>
        <v>20190303162142452</v>
      </c>
      <c r="B9931" t="str">
        <f>"1551601302442544"</f>
        <v>1551601302442544</v>
      </c>
      <c r="C9931" t="s">
        <v>40</v>
      </c>
      <c r="D9931">
        <v>4.8940010000000003</v>
      </c>
      <c r="E9931">
        <v>0.53504989999999997</v>
      </c>
      <c r="F9931" t="s">
        <v>41</v>
      </c>
      <c r="G9931">
        <v>-185.55459999999999</v>
      </c>
      <c r="H9931" s="1">
        <v>-2.0972719999999999E-6</v>
      </c>
      <c r="I9931">
        <v>82.335250000000002</v>
      </c>
      <c r="J9931">
        <v>-187.7329</v>
      </c>
      <c r="K9931">
        <v>1.120859</v>
      </c>
      <c r="L9931">
        <v>53.371609999999997</v>
      </c>
      <c r="M9931">
        <v>-2.1488259999999999E-2</v>
      </c>
      <c r="N9931">
        <v>-1.165129E-2</v>
      </c>
      <c r="O9931">
        <v>0.99970119999999896</v>
      </c>
      <c r="P9931">
        <v>-1.324823E-2</v>
      </c>
      <c r="Q9931">
        <v>0.15298989999999901</v>
      </c>
      <c r="R9931">
        <v>0.98813890000000004</v>
      </c>
      <c r="S9931">
        <v>0.2268829</v>
      </c>
      <c r="T9931">
        <v>-0.11709</v>
      </c>
      <c r="U9931">
        <v>3.058319</v>
      </c>
      <c r="V9931">
        <v>8.1407900000000002E-3</v>
      </c>
      <c r="W9931">
        <v>0.16448589999999999</v>
      </c>
      <c r="X9931">
        <v>0.98634580000000005</v>
      </c>
      <c r="Y9931">
        <v>9.5342410000000002E-2</v>
      </c>
      <c r="Z9931">
        <v>-2.6450390000000001E-2</v>
      </c>
      <c r="AA9931">
        <v>0.99509300000000001</v>
      </c>
      <c r="AB9931">
        <v>31</v>
      </c>
      <c r="AC9931">
        <v>2.1783000000000001</v>
      </c>
      <c r="AD9931">
        <v>-1.1208610972719999</v>
      </c>
      <c r="AE9931">
        <v>28.963640000000002</v>
      </c>
      <c r="AF9931">
        <v>2.7960536111576202</v>
      </c>
      <c r="AG9931">
        <v>-1.1208610972719999</v>
      </c>
      <c r="AH9931">
        <v>28.8671519123473</v>
      </c>
      <c r="AI9931">
        <v>92.2132307019981</v>
      </c>
      <c r="AJ9931">
        <v>84.467625972806104</v>
      </c>
      <c r="AK9931">
        <v>29.023898858120099</v>
      </c>
      <c r="AL9931">
        <v>80.5326289574284</v>
      </c>
      <c r="AM9931">
        <v>89.5271208959403</v>
      </c>
      <c r="AN9931">
        <v>0.99999996046913597</v>
      </c>
    </row>
    <row r="9932" spans="1:40" x14ac:dyDescent="0.25">
      <c r="A9932" t="str">
        <f>"20190303162142473"</f>
        <v>20190303162142473</v>
      </c>
      <c r="B9932" t="str">
        <f>"1551601302463040"</f>
        <v>1551601302463040</v>
      </c>
      <c r="C9932" t="s">
        <v>40</v>
      </c>
      <c r="D9932">
        <v>4.853777</v>
      </c>
      <c r="E9932">
        <v>0.52917380000000003</v>
      </c>
      <c r="F9932" t="s">
        <v>41</v>
      </c>
      <c r="G9932">
        <v>-185.50720000000001</v>
      </c>
      <c r="H9932" s="1">
        <v>-2.3091940000000001E-6</v>
      </c>
      <c r="I9932">
        <v>82.920900000000003</v>
      </c>
      <c r="J9932">
        <v>-187.73869999999999</v>
      </c>
      <c r="K9932">
        <v>1.120808</v>
      </c>
      <c r="L9932">
        <v>53.66254</v>
      </c>
      <c r="M9932">
        <v>-2.0986959999999999E-2</v>
      </c>
      <c r="N9932">
        <v>-1.165359E-2</v>
      </c>
      <c r="O9932">
        <v>0.99971180000000004</v>
      </c>
      <c r="P9932">
        <v>-1.1454850000000001E-2</v>
      </c>
      <c r="Q9932">
        <v>0.15205529999999901</v>
      </c>
      <c r="R9932">
        <v>0.98830560000000001</v>
      </c>
      <c r="S9932">
        <v>0.23027039999999999</v>
      </c>
      <c r="T9932">
        <v>-0.1159593</v>
      </c>
      <c r="U9932">
        <v>3.0570369999999998</v>
      </c>
      <c r="V9932">
        <v>9.4596460000000004E-3</v>
      </c>
      <c r="W9932">
        <v>0.16355310000000001</v>
      </c>
      <c r="X9932">
        <v>0.98648919999999996</v>
      </c>
      <c r="Y9932">
        <v>9.5971200000000007E-2</v>
      </c>
      <c r="Z9932">
        <v>-2.6094260000000001E-2</v>
      </c>
      <c r="AA9932">
        <v>0.99504199999999998</v>
      </c>
      <c r="AB9932">
        <v>31</v>
      </c>
      <c r="AC9932">
        <v>2.2314999999999801</v>
      </c>
      <c r="AD9932">
        <v>-1.120810309194</v>
      </c>
      <c r="AE9932">
        <v>29.25836</v>
      </c>
      <c r="AF9932">
        <v>2.8409493427772499</v>
      </c>
      <c r="AG9932">
        <v>-1.120810309194</v>
      </c>
      <c r="AH9932">
        <v>29.162532213902001</v>
      </c>
      <c r="AI9932">
        <v>92.1906185916786</v>
      </c>
      <c r="AJ9932">
        <v>84.435929077024397</v>
      </c>
      <c r="AK9932">
        <v>29.3220138129068</v>
      </c>
      <c r="AL9932">
        <v>80.586808789633594</v>
      </c>
      <c r="AM9932">
        <v>89.450595931855304</v>
      </c>
      <c r="AN9932">
        <v>1.0000000215693401</v>
      </c>
    </row>
    <row r="9933" spans="1:40" x14ac:dyDescent="0.25">
      <c r="A9933" t="str">
        <f>"20190303162142496"</f>
        <v>20190303162142496</v>
      </c>
      <c r="B9933" t="str">
        <f>"1551601302482560"</f>
        <v>1551601302482560</v>
      </c>
      <c r="C9933" t="s">
        <v>40</v>
      </c>
      <c r="D9933">
        <v>4.86911</v>
      </c>
      <c r="E9933">
        <v>0.52872529999999995</v>
      </c>
      <c r="F9933" t="s">
        <v>41</v>
      </c>
      <c r="G9933">
        <v>-184.4503</v>
      </c>
      <c r="H9933" s="1">
        <v>-3.8970089999999997E-6</v>
      </c>
      <c r="I9933">
        <v>106.4221</v>
      </c>
      <c r="J9933">
        <v>-187.74459999999999</v>
      </c>
      <c r="K9933">
        <v>1.120746</v>
      </c>
      <c r="L9933">
        <v>53.974640000000001</v>
      </c>
      <c r="M9933">
        <v>-2.0379410000000001E-2</v>
      </c>
      <c r="N9933">
        <v>-1.1656150000000001E-2</v>
      </c>
      <c r="O9933">
        <v>0.99972439999999996</v>
      </c>
      <c r="P9933">
        <v>-9.931535E-3</v>
      </c>
      <c r="Q9933">
        <v>0.15123629999999999</v>
      </c>
      <c r="R9933">
        <v>0.98844770000000004</v>
      </c>
      <c r="S9933">
        <v>0.18995670000000001</v>
      </c>
      <c r="T9933">
        <v>-6.4743999999999996E-2</v>
      </c>
      <c r="U9933">
        <v>3.0476679999999998</v>
      </c>
      <c r="V9933">
        <v>1.0406189999999999E-2</v>
      </c>
      <c r="W9933">
        <v>0.16273599999999999</v>
      </c>
      <c r="X9933">
        <v>0.98661480000000001</v>
      </c>
      <c r="Y9933">
        <v>8.2517590000000002E-2</v>
      </c>
      <c r="Z9933">
        <v>-9.5132480000000002E-3</v>
      </c>
      <c r="AA9933">
        <v>0.99654419999999999</v>
      </c>
      <c r="AB9933">
        <v>31</v>
      </c>
      <c r="AC9933">
        <v>3.29429999999999</v>
      </c>
      <c r="AD9933">
        <v>-1.120749897009</v>
      </c>
      <c r="AE9933">
        <v>52.44746</v>
      </c>
      <c r="AF9933">
        <v>4.3605532629203001</v>
      </c>
      <c r="AG9933">
        <v>-1.120749897009</v>
      </c>
      <c r="AH9933">
        <v>52.345616821532097</v>
      </c>
      <c r="AI9933">
        <v>91.222315888881496</v>
      </c>
      <c r="AJ9933">
        <v>85.238077402584295</v>
      </c>
      <c r="AK9933">
        <v>52.538881844944797</v>
      </c>
      <c r="AL9933">
        <v>80.634260997344398</v>
      </c>
      <c r="AM9933">
        <v>89.395702700119799</v>
      </c>
      <c r="AN9933">
        <v>1.00000002903267</v>
      </c>
    </row>
    <row r="9934" spans="1:40" x14ac:dyDescent="0.25">
      <c r="A9934" t="str">
        <f>"20190303162142520"</f>
        <v>20190303162142520</v>
      </c>
      <c r="B9934" t="str">
        <f>"1551601302512817"</f>
        <v>1551601302512817</v>
      </c>
      <c r="C9934" t="s">
        <v>40</v>
      </c>
      <c r="D9934">
        <v>4.8523540000000001</v>
      </c>
      <c r="E9934">
        <v>0.52914640000000002</v>
      </c>
      <c r="F9934" t="s">
        <v>41</v>
      </c>
      <c r="G9934">
        <v>-184.8031</v>
      </c>
      <c r="H9934" s="1">
        <v>-1.7446559999999901E-6</v>
      </c>
      <c r="I9934">
        <v>100.7115</v>
      </c>
      <c r="J9934">
        <v>-187.7508</v>
      </c>
      <c r="K9934">
        <v>1.1206719999999999</v>
      </c>
      <c r="L9934">
        <v>54.314480000000003</v>
      </c>
      <c r="M9934">
        <v>-1.9632859999999999E-2</v>
      </c>
      <c r="N9934">
        <v>-1.165909E-2</v>
      </c>
      <c r="O9934">
        <v>0.9997393</v>
      </c>
      <c r="P9934">
        <v>-9.1153090000000003E-3</v>
      </c>
      <c r="Q9934">
        <v>0.15001729999999899</v>
      </c>
      <c r="R9934">
        <v>0.9886414</v>
      </c>
      <c r="S9934">
        <v>0.19184880000000001</v>
      </c>
      <c r="T9934">
        <v>-7.3095439999999998E-2</v>
      </c>
      <c r="U9934">
        <v>3.048187</v>
      </c>
      <c r="V9934">
        <v>1.051322E-2</v>
      </c>
      <c r="W9934">
        <v>0.16151960000000001</v>
      </c>
      <c r="X9934">
        <v>0.98681350000000001</v>
      </c>
      <c r="Y9934">
        <v>8.2375879999999999E-2</v>
      </c>
      <c r="Z9934">
        <v>-1.223721E-2</v>
      </c>
      <c r="AA9934">
        <v>0.99652620000000003</v>
      </c>
      <c r="AB9934">
        <v>31</v>
      </c>
      <c r="AC9934">
        <v>2.94769999999999</v>
      </c>
      <c r="AD9934">
        <v>-1.12067374465599</v>
      </c>
      <c r="AE9934">
        <v>46.397019999999998</v>
      </c>
      <c r="AF9934">
        <v>3.8558593404452401</v>
      </c>
      <c r="AG9934">
        <v>-1.12067374465599</v>
      </c>
      <c r="AH9934">
        <v>46.303294885506403</v>
      </c>
      <c r="AI9934">
        <v>91.3816725081778</v>
      </c>
      <c r="AJ9934">
        <v>85.239735951432394</v>
      </c>
      <c r="AK9934">
        <v>46.477076910552697</v>
      </c>
      <c r="AL9934">
        <v>80.704889718405894</v>
      </c>
      <c r="AM9934">
        <v>89.389610755272798</v>
      </c>
      <c r="AN9934">
        <v>0.99999999638058901</v>
      </c>
    </row>
    <row r="9935" spans="1:40" x14ac:dyDescent="0.25">
      <c r="A9935" t="str">
        <f>"20190303162142542"</f>
        <v>20190303162142542</v>
      </c>
      <c r="B9935" t="str">
        <f>"1551601302532337"</f>
        <v>1551601302532337</v>
      </c>
      <c r="C9935" t="s">
        <v>40</v>
      </c>
      <c r="D9935">
        <v>4.843</v>
      </c>
      <c r="E9935">
        <v>0.52918690000000002</v>
      </c>
      <c r="F9935" t="s">
        <v>41</v>
      </c>
      <c r="G9935">
        <v>-184.50649999999999</v>
      </c>
      <c r="H9935" s="1">
        <v>-2.9433759999999998E-6</v>
      </c>
      <c r="I9935">
        <v>104.0021</v>
      </c>
      <c r="J9935">
        <v>-187.756</v>
      </c>
      <c r="K9935">
        <v>1.1206160000000001</v>
      </c>
      <c r="L9935">
        <v>54.621459999999999</v>
      </c>
      <c r="M9935">
        <v>-1.8876690000000002E-2</v>
      </c>
      <c r="N9935">
        <v>-1.166187E-2</v>
      </c>
      <c r="O9935">
        <v>0.99975380000000003</v>
      </c>
      <c r="P9935">
        <v>-8.324405E-3</v>
      </c>
      <c r="Q9935">
        <v>0.15030250000000001</v>
      </c>
      <c r="R9935">
        <v>0.98860499999999996</v>
      </c>
      <c r="S9935">
        <v>0.19892879999999999</v>
      </c>
      <c r="T9935">
        <v>-6.8717E-2</v>
      </c>
      <c r="U9935">
        <v>3.0467219999999999</v>
      </c>
      <c r="V9935">
        <v>1.05822E-2</v>
      </c>
      <c r="W9935">
        <v>0.16180530000000001</v>
      </c>
      <c r="X9935">
        <v>0.98676600000000003</v>
      </c>
      <c r="Y9935">
        <v>8.3959729999999996E-2</v>
      </c>
      <c r="Z9935">
        <v>-1.0811299999999999E-2</v>
      </c>
      <c r="AA9935">
        <v>0.99641049999999998</v>
      </c>
      <c r="AB9935">
        <v>31</v>
      </c>
      <c r="AC9935">
        <v>3.2494999999999798</v>
      </c>
      <c r="AD9935">
        <v>-1.1206189433759901</v>
      </c>
      <c r="AE9935">
        <v>49.38064</v>
      </c>
      <c r="AF9935">
        <v>4.1789844793309197</v>
      </c>
      <c r="AG9935">
        <v>-1.1206189433759901</v>
      </c>
      <c r="AH9935">
        <v>49.2852239787222</v>
      </c>
      <c r="AI9935">
        <v>91.297878200810501</v>
      </c>
      <c r="AJ9935">
        <v>85.153378826158004</v>
      </c>
      <c r="AK9935">
        <v>49.474771355990697</v>
      </c>
      <c r="AL9935">
        <v>80.688302517582102</v>
      </c>
      <c r="AM9935">
        <v>89.385576564150398</v>
      </c>
      <c r="AN9935">
        <v>1.0000000384104599</v>
      </c>
    </row>
    <row r="9936" spans="1:40" x14ac:dyDescent="0.25">
      <c r="A9936" t="str">
        <f>"20190303162142564"</f>
        <v>20190303162142564</v>
      </c>
      <c r="B9936" t="str">
        <f>"1551601302552832"</f>
        <v>1551601302552832</v>
      </c>
      <c r="C9936" t="s">
        <v>40</v>
      </c>
      <c r="D9936">
        <v>4.856617</v>
      </c>
      <c r="E9936">
        <v>0.52919729999999998</v>
      </c>
      <c r="F9936" t="s">
        <v>41</v>
      </c>
      <c r="G9936">
        <v>-184.3443</v>
      </c>
      <c r="H9936" s="1">
        <v>-3.738488E-6</v>
      </c>
      <c r="I9936">
        <v>106.00879999999999</v>
      </c>
      <c r="J9936">
        <v>-187.7611</v>
      </c>
      <c r="K9936">
        <v>1.120547</v>
      </c>
      <c r="L9936">
        <v>54.93591</v>
      </c>
      <c r="M9936">
        <v>-1.8017890000000002E-2</v>
      </c>
      <c r="N9936">
        <v>-1.166476E-2</v>
      </c>
      <c r="O9936">
        <v>0.99976960000000004</v>
      </c>
      <c r="P9936">
        <v>-7.5641839999999998E-3</v>
      </c>
      <c r="Q9936">
        <v>0.1507908</v>
      </c>
      <c r="R9936">
        <v>0.98853679999999999</v>
      </c>
      <c r="S9936">
        <v>0.2022552</v>
      </c>
      <c r="T9936">
        <v>-6.6433549999999994E-2</v>
      </c>
      <c r="U9936">
        <v>3.0463870000000002</v>
      </c>
      <c r="V9936">
        <v>1.0520989999999999E-2</v>
      </c>
      <c r="W9936">
        <v>0.16229370000000001</v>
      </c>
      <c r="X9936">
        <v>0.98668639999999996</v>
      </c>
      <c r="Y9936">
        <v>8.4195049999999994E-2</v>
      </c>
      <c r="Z9936">
        <v>-1.006377E-2</v>
      </c>
      <c r="AA9936">
        <v>0.99639840000000002</v>
      </c>
      <c r="AB9936">
        <v>31</v>
      </c>
      <c r="AC9936">
        <v>3.4167999999999901</v>
      </c>
      <c r="AD9936">
        <v>-1.120550738488</v>
      </c>
      <c r="AE9936">
        <v>51.072890000000001</v>
      </c>
      <c r="AF9936">
        <v>4.3344564043394698</v>
      </c>
      <c r="AG9936">
        <v>-1.120550738488</v>
      </c>
      <c r="AH9936">
        <v>50.978599814141504</v>
      </c>
      <c r="AI9936">
        <v>91.254679097020599</v>
      </c>
      <c r="AJ9936">
        <v>85.140113898496395</v>
      </c>
      <c r="AK9936">
        <v>51.174806157806202</v>
      </c>
      <c r="AL9936">
        <v>80.659944023073606</v>
      </c>
      <c r="AM9936">
        <v>89.389080989954394</v>
      </c>
      <c r="AN9936">
        <v>0.99999999411761498</v>
      </c>
    </row>
    <row r="9937" spans="1:40" x14ac:dyDescent="0.25">
      <c r="A9937" t="str">
        <f>"20190303162142586"</f>
        <v>20190303162142586</v>
      </c>
      <c r="B9937" t="str">
        <f>"1551601302572353"</f>
        <v>1551601302572353</v>
      </c>
      <c r="C9937" t="s">
        <v>40</v>
      </c>
      <c r="D9937">
        <v>4.8580569999999996</v>
      </c>
      <c r="E9937">
        <v>0.53230949999999999</v>
      </c>
      <c r="F9937" t="s">
        <v>41</v>
      </c>
      <c r="G9937">
        <v>-184.1362</v>
      </c>
      <c r="H9937" s="1">
        <v>-4.9904569999999998E-6</v>
      </c>
      <c r="I9937">
        <v>108.84099999999999</v>
      </c>
      <c r="J9937">
        <v>-187.76570000000001</v>
      </c>
      <c r="K9937">
        <v>1.1204730000000001</v>
      </c>
      <c r="L9937">
        <v>55.244450000000001</v>
      </c>
      <c r="M9937">
        <v>-1.7084180000000001E-2</v>
      </c>
      <c r="N9937">
        <v>-1.1667719999999999E-2</v>
      </c>
      <c r="O9937">
        <v>0.99978599999999995</v>
      </c>
      <c r="P9937">
        <v>-7.1528950000000003E-3</v>
      </c>
      <c r="Q9937">
        <v>0.15060580000000001</v>
      </c>
      <c r="R9937">
        <v>0.988568</v>
      </c>
      <c r="S9937">
        <v>0.20483399999999999</v>
      </c>
      <c r="T9937">
        <v>-6.3319089999999995E-2</v>
      </c>
      <c r="U9937">
        <v>3.0460210000000001</v>
      </c>
      <c r="V9937">
        <v>1.0037570000000001E-2</v>
      </c>
      <c r="W9937">
        <v>0.16211159999999999</v>
      </c>
      <c r="X9937">
        <v>0.98672139999999997</v>
      </c>
      <c r="Y9937">
        <v>8.4113320000000005E-2</v>
      </c>
      <c r="Z9937">
        <v>-9.0449190000000002E-3</v>
      </c>
      <c r="AA9937">
        <v>0.9964151</v>
      </c>
      <c r="AB9937">
        <v>31</v>
      </c>
      <c r="AC9937">
        <v>3.6295000000000002</v>
      </c>
      <c r="AD9937">
        <v>-1.1204779904569999</v>
      </c>
      <c r="AE9937">
        <v>53.596550000000001</v>
      </c>
      <c r="AF9937">
        <v>4.5427093004243302</v>
      </c>
      <c r="AG9937">
        <v>-1.1204779904569999</v>
      </c>
      <c r="AH9937">
        <v>53.503438489161802</v>
      </c>
      <c r="AI9937">
        <v>91.195422640132406</v>
      </c>
      <c r="AJ9937">
        <v>85.146941332665307</v>
      </c>
      <c r="AK9937">
        <v>53.707630825412302</v>
      </c>
      <c r="AL9937">
        <v>80.670517872221197</v>
      </c>
      <c r="AM9937">
        <v>89.417170276441198</v>
      </c>
      <c r="AN9937">
        <v>1.00000002244201</v>
      </c>
    </row>
    <row r="9938" spans="1:40" x14ac:dyDescent="0.25">
      <c r="A9938" t="str">
        <f>"20190303162142610"</f>
        <v>20190303162142610</v>
      </c>
      <c r="B9938" t="str">
        <f>"1551601302604561"</f>
        <v>1551601302604561</v>
      </c>
      <c r="C9938" t="s">
        <v>40</v>
      </c>
      <c r="D9938">
        <v>4.831493</v>
      </c>
      <c r="E9938">
        <v>0.53551019999999905</v>
      </c>
      <c r="F9938" t="s">
        <v>41</v>
      </c>
      <c r="G9938">
        <v>-183.23</v>
      </c>
      <c r="H9938" s="1">
        <v>-3.5660109999999999E-6</v>
      </c>
      <c r="I9938">
        <v>114.83369999999999</v>
      </c>
      <c r="J9938">
        <v>-187.77029999999999</v>
      </c>
      <c r="K9938">
        <v>1.1203959999999999</v>
      </c>
      <c r="L9938">
        <v>55.587159999999997</v>
      </c>
      <c r="M9938">
        <v>-1.5943889999999999E-2</v>
      </c>
      <c r="N9938">
        <v>-1.167113E-2</v>
      </c>
      <c r="O9938">
        <v>0.99980480000000005</v>
      </c>
      <c r="P9938">
        <v>-6.8553059999999898E-3</v>
      </c>
      <c r="Q9938">
        <v>0.14976909999999999</v>
      </c>
      <c r="R9938">
        <v>0.98869720000000005</v>
      </c>
      <c r="S9938">
        <v>0.23178099999999999</v>
      </c>
      <c r="T9938">
        <v>-5.7258129999999997E-2</v>
      </c>
      <c r="U9938">
        <v>3.045105</v>
      </c>
      <c r="V9938">
        <v>9.2386629999999994E-3</v>
      </c>
      <c r="W9938">
        <v>0.16127920000000001</v>
      </c>
      <c r="X9938">
        <v>0.98686560000000001</v>
      </c>
      <c r="Y9938">
        <v>9.1767570000000007E-2</v>
      </c>
      <c r="Z9938">
        <v>-7.0522639999999999E-3</v>
      </c>
      <c r="AA9938">
        <v>0.99575550000000002</v>
      </c>
      <c r="AB9938">
        <v>31</v>
      </c>
      <c r="AC9938">
        <v>4.5403000000000002</v>
      </c>
      <c r="AD9938">
        <v>-1.120399566011</v>
      </c>
      <c r="AE9938">
        <v>59.246540000000003</v>
      </c>
      <c r="AF9938">
        <v>5.4824582445771899</v>
      </c>
      <c r="AG9938">
        <v>-1.120399566011</v>
      </c>
      <c r="AH9938">
        <v>59.145585004594203</v>
      </c>
      <c r="AI9938">
        <v>91.080597419564398</v>
      </c>
      <c r="AJ9938">
        <v>84.704141320785496</v>
      </c>
      <c r="AK9938">
        <v>59.409703493004699</v>
      </c>
      <c r="AL9938">
        <v>80.718846858212601</v>
      </c>
      <c r="AM9938">
        <v>89.463634221943593</v>
      </c>
      <c r="AN9938">
        <v>1.0000000228550101</v>
      </c>
    </row>
    <row r="9939" spans="1:40" x14ac:dyDescent="0.25">
      <c r="A9939" t="str">
        <f>"20190303162142630"</f>
        <v>20190303162142630</v>
      </c>
      <c r="B9939" t="str">
        <f>"1551601302622129"</f>
        <v>1551601302622129</v>
      </c>
      <c r="C9939" t="s">
        <v>40</v>
      </c>
      <c r="D9939">
        <v>4.8343610000000004</v>
      </c>
      <c r="E9939">
        <v>0.53703909999999999</v>
      </c>
      <c r="F9939" t="s">
        <v>41</v>
      </c>
      <c r="G9939">
        <v>-182.37880000000001</v>
      </c>
      <c r="H9939" s="1">
        <v>-5.3379509999999997E-6</v>
      </c>
      <c r="I9939">
        <v>118.92440000000001</v>
      </c>
      <c r="J9939">
        <v>-187.7739</v>
      </c>
      <c r="K9939">
        <v>1.120333</v>
      </c>
      <c r="L9939">
        <v>55.874299999999998</v>
      </c>
      <c r="M9939">
        <v>-1.4926979999999999E-2</v>
      </c>
      <c r="N9939">
        <v>-1.1673940000000001E-2</v>
      </c>
      <c r="O9939">
        <v>0.99982040000000005</v>
      </c>
      <c r="P9939">
        <v>-6.3496300000000002E-3</v>
      </c>
      <c r="Q9939">
        <v>0.14910509999999999</v>
      </c>
      <c r="R9939">
        <v>0.98880089999999998</v>
      </c>
      <c r="S9939">
        <v>0.25913999999999998</v>
      </c>
      <c r="T9939">
        <v>-5.3851129999999997E-2</v>
      </c>
      <c r="U9939">
        <v>3.0442499999999999</v>
      </c>
      <c r="V9939">
        <v>8.7612639999999995E-3</v>
      </c>
      <c r="W9939">
        <v>0.16061889999999901</v>
      </c>
      <c r="X9939">
        <v>0.98697760000000001</v>
      </c>
      <c r="Y9939">
        <v>9.9663909999999994E-2</v>
      </c>
      <c r="Z9939">
        <v>-5.9271439999999996E-3</v>
      </c>
      <c r="AA9939">
        <v>0.99500350000000004</v>
      </c>
      <c r="AB9939">
        <v>31</v>
      </c>
      <c r="AC9939">
        <v>5.3950999999999798</v>
      </c>
      <c r="AD9939">
        <v>-1.1203383379509999</v>
      </c>
      <c r="AE9939">
        <v>63.0501</v>
      </c>
      <c r="AF9939">
        <v>6.3337253213983704</v>
      </c>
      <c r="AG9939">
        <v>-1.1203383379509999</v>
      </c>
      <c r="AH9939">
        <v>62.942807383833703</v>
      </c>
      <c r="AI9939">
        <v>91.0145947404624</v>
      </c>
      <c r="AJ9939">
        <v>84.253858834222797</v>
      </c>
      <c r="AK9939">
        <v>63.270595348841098</v>
      </c>
      <c r="AL9939">
        <v>80.757178672646504</v>
      </c>
      <c r="AM9939">
        <v>89.491406627858396</v>
      </c>
      <c r="AN9939">
        <v>0.99999998684292302</v>
      </c>
    </row>
    <row r="9940" spans="1:40" x14ac:dyDescent="0.25">
      <c r="A9940" t="str">
        <f>"20190303162142653"</f>
        <v>20190303162142653</v>
      </c>
      <c r="B9940" t="str">
        <f>"1551601302642625"</f>
        <v>1551601302642625</v>
      </c>
      <c r="C9940" t="s">
        <v>40</v>
      </c>
      <c r="D9940">
        <v>4.8610189999999998</v>
      </c>
      <c r="E9940">
        <v>0.53826560000000001</v>
      </c>
      <c r="F9940" t="s">
        <v>50</v>
      </c>
      <c r="G9940">
        <v>-181.9905</v>
      </c>
      <c r="H9940" s="1">
        <v>-2.3194740000000001E-6</v>
      </c>
      <c r="I9940">
        <v>120.294</v>
      </c>
      <c r="J9940">
        <v>-187.77719999999999</v>
      </c>
      <c r="K9940">
        <v>1.1202730000000001</v>
      </c>
      <c r="L9940">
        <v>56.18018</v>
      </c>
      <c r="M9940">
        <v>-1.3783200000000001E-2</v>
      </c>
      <c r="N9940">
        <v>-1.1676819999999999E-2</v>
      </c>
      <c r="O9940">
        <v>0.99983679999999997</v>
      </c>
      <c r="P9940">
        <v>-4.8774619999999999E-3</v>
      </c>
      <c r="Q9940">
        <v>0.1489296</v>
      </c>
      <c r="R9940">
        <v>0.98883580000000004</v>
      </c>
      <c r="S9940">
        <v>0.27325440000000001</v>
      </c>
      <c r="T9940">
        <v>-5.2934170000000003E-2</v>
      </c>
      <c r="U9940">
        <v>3.0437319999999999</v>
      </c>
      <c r="V9940">
        <v>9.1231190000000007E-3</v>
      </c>
      <c r="W9940">
        <v>0.16044520000000001</v>
      </c>
      <c r="X9940">
        <v>0.98700259999999995</v>
      </c>
      <c r="Y9940">
        <v>0.1031181</v>
      </c>
      <c r="Z9940">
        <v>-5.6215090000000002E-3</v>
      </c>
      <c r="AA9940">
        <v>0.99465320000000002</v>
      </c>
      <c r="AB9940">
        <v>31</v>
      </c>
      <c r="AC9940">
        <v>5.78669999999999</v>
      </c>
      <c r="AD9940">
        <v>-1.1202753194739901</v>
      </c>
      <c r="AE9940">
        <v>64.113819999999905</v>
      </c>
      <c r="AF9940">
        <v>6.6678847604230702</v>
      </c>
      <c r="AG9940">
        <v>-1.1202753194739901</v>
      </c>
      <c r="AH9940">
        <v>64.008579353815307</v>
      </c>
      <c r="AI9940">
        <v>90.997290348992493</v>
      </c>
      <c r="AJ9940">
        <v>84.052849674312696</v>
      </c>
      <c r="AK9940">
        <v>64.364694785754807</v>
      </c>
      <c r="AL9940">
        <v>80.7672619636881</v>
      </c>
      <c r="AM9940">
        <v>89.470415448871904</v>
      </c>
      <c r="AN9940">
        <v>1.0000000129550399</v>
      </c>
    </row>
    <row r="9941" spans="1:40" x14ac:dyDescent="0.25">
      <c r="A9941" t="str">
        <f>"20190303162142673"</f>
        <v>20190303162142673</v>
      </c>
      <c r="B9941" t="str">
        <f>"1551601302662145"</f>
        <v>1551601302662145</v>
      </c>
      <c r="C9941" t="s">
        <v>40</v>
      </c>
      <c r="D9941">
        <v>4.8336829999999997</v>
      </c>
      <c r="E9941">
        <v>0.53925230000000002</v>
      </c>
      <c r="F9941" t="s">
        <v>50</v>
      </c>
      <c r="G9941">
        <v>-181.423</v>
      </c>
      <c r="H9941" s="1">
        <v>-3.3790050000000001E-6</v>
      </c>
      <c r="I9941">
        <v>123.37869999999999</v>
      </c>
      <c r="J9941">
        <v>-187.78</v>
      </c>
      <c r="K9941">
        <v>1.1202289999999999</v>
      </c>
      <c r="L9941">
        <v>56.471589999999999</v>
      </c>
      <c r="M9941">
        <v>-1.2643659999999999E-2</v>
      </c>
      <c r="N9941">
        <v>-1.1679470000000001E-2</v>
      </c>
      <c r="O9941">
        <v>0.99985190000000002</v>
      </c>
      <c r="P9941">
        <v>-3.1407090000000002E-3</v>
      </c>
      <c r="Q9941">
        <v>0.14928449999999999</v>
      </c>
      <c r="R9941">
        <v>0.98878929999999998</v>
      </c>
      <c r="S9941">
        <v>0.28773500000000002</v>
      </c>
      <c r="T9941">
        <v>-5.072927E-2</v>
      </c>
      <c r="U9941">
        <v>3.0429379999999999</v>
      </c>
      <c r="V9941">
        <v>9.7502400000000003E-3</v>
      </c>
      <c r="W9941">
        <v>0.16079959999999999</v>
      </c>
      <c r="X9941">
        <v>0.98693889999999995</v>
      </c>
      <c r="Y9941">
        <v>0.1067005</v>
      </c>
      <c r="Z9941">
        <v>-4.89633E-3</v>
      </c>
      <c r="AA9941">
        <v>0.99427909999999997</v>
      </c>
      <c r="AB9941">
        <v>31</v>
      </c>
      <c r="AC9941">
        <v>6.3569999999999904</v>
      </c>
      <c r="AD9941">
        <v>-1.1202323790049999</v>
      </c>
      <c r="AE9941">
        <v>66.907109999999903</v>
      </c>
      <c r="AF9941">
        <v>7.2004997361449297</v>
      </c>
      <c r="AG9941">
        <v>-1.1202323790049999</v>
      </c>
      <c r="AH9941">
        <v>66.802820490510598</v>
      </c>
      <c r="AI9941">
        <v>90.955184835553297</v>
      </c>
      <c r="AJ9941">
        <v>83.847990672958204</v>
      </c>
      <c r="AK9941">
        <v>67.199099268670096</v>
      </c>
      <c r="AL9941">
        <v>80.746688964770101</v>
      </c>
      <c r="AM9941">
        <v>89.433977698493393</v>
      </c>
      <c r="AN9941">
        <v>0.99999998543671298</v>
      </c>
    </row>
    <row r="9942" spans="1:40" x14ac:dyDescent="0.25">
      <c r="A9942" t="str">
        <f>"20190303162142698"</f>
        <v>20190303162142698</v>
      </c>
      <c r="B9942" t="str">
        <f>"1551601302692401"</f>
        <v>1551601302692401</v>
      </c>
      <c r="C9942" t="s">
        <v>40</v>
      </c>
      <c r="D9942">
        <v>4.8379059999999896</v>
      </c>
      <c r="E9942">
        <v>0.54035519999999904</v>
      </c>
      <c r="F9942" t="s">
        <v>50</v>
      </c>
      <c r="G9942">
        <v>-180.5197</v>
      </c>
      <c r="H9942" s="1">
        <v>-5.4816500000000003E-6</v>
      </c>
      <c r="I9942">
        <v>129.87350000000001</v>
      </c>
      <c r="J9942">
        <v>-187.78280000000001</v>
      </c>
      <c r="K9942">
        <v>1.1201840000000001</v>
      </c>
      <c r="L9942">
        <v>56.806429999999999</v>
      </c>
      <c r="M9942">
        <v>-1.12902E-2</v>
      </c>
      <c r="N9942">
        <v>-1.1682400000000001E-2</v>
      </c>
      <c r="O9942">
        <v>0.99986799999999998</v>
      </c>
      <c r="P9942" s="1">
        <v>1.96381E-6</v>
      </c>
      <c r="Q9942">
        <v>0.14971229999999999</v>
      </c>
      <c r="R9942">
        <v>0.98872959999999999</v>
      </c>
      <c r="S9942">
        <v>0.30088809999999999</v>
      </c>
      <c r="T9942">
        <v>-4.6425340000000002E-2</v>
      </c>
      <c r="U9942">
        <v>3.0419619999999998</v>
      </c>
      <c r="V9942">
        <v>1.157089E-2</v>
      </c>
      <c r="W9942">
        <v>0.16122359999999999</v>
      </c>
      <c r="X9942">
        <v>0.98685009999999995</v>
      </c>
      <c r="Y9942">
        <v>0.1096443</v>
      </c>
      <c r="Z9942">
        <v>-3.4867959999999999E-3</v>
      </c>
      <c r="AA9942">
        <v>0.99396479999999998</v>
      </c>
      <c r="AB9942">
        <v>31</v>
      </c>
      <c r="AC9942">
        <v>7.2630999999999997</v>
      </c>
      <c r="AD9942">
        <v>-1.12018948165</v>
      </c>
      <c r="AE9942">
        <v>73.067070000000001</v>
      </c>
      <c r="AF9942">
        <v>8.0857532897626108</v>
      </c>
      <c r="AG9942">
        <v>-1.12018948165</v>
      </c>
      <c r="AH9942">
        <v>72.963423443879293</v>
      </c>
      <c r="AI9942">
        <v>90.874227958960105</v>
      </c>
      <c r="AJ9942">
        <v>83.676326154414994</v>
      </c>
      <c r="AK9942">
        <v>73.418631091763999</v>
      </c>
      <c r="AL9942">
        <v>80.722074787099203</v>
      </c>
      <c r="AM9942">
        <v>89.328233554508699</v>
      </c>
      <c r="AN9942">
        <v>1.00000002728118</v>
      </c>
    </row>
    <row r="9943" spans="1:40" x14ac:dyDescent="0.25">
      <c r="A9943" t="str">
        <f>"20190303162142719"</f>
        <v>20190303162142719</v>
      </c>
      <c r="B9943" t="str">
        <f>"1551601302712897"</f>
        <v>1551601302712897</v>
      </c>
      <c r="C9943" t="s">
        <v>40</v>
      </c>
      <c r="D9943">
        <v>4.8347629999999997</v>
      </c>
      <c r="E9943">
        <v>0.54093409999999997</v>
      </c>
      <c r="F9943" t="s">
        <v>50</v>
      </c>
      <c r="G9943">
        <v>-179.24879999999999</v>
      </c>
      <c r="H9943" s="1">
        <v>-7.9821730000000007E-6</v>
      </c>
      <c r="I9943">
        <v>138.17140000000001</v>
      </c>
      <c r="J9943">
        <v>-187.785</v>
      </c>
      <c r="K9943">
        <v>1.1201449999999999</v>
      </c>
      <c r="L9943">
        <v>57.121279999999999</v>
      </c>
      <c r="M9943">
        <v>-9.9905979999999998E-3</v>
      </c>
      <c r="N9943">
        <v>-1.1684969999999999E-2</v>
      </c>
      <c r="O9943">
        <v>0.99988180000000004</v>
      </c>
      <c r="P9943">
        <v>3.8514500000000002E-3</v>
      </c>
      <c r="Q9943">
        <v>0.148867</v>
      </c>
      <c r="R9943">
        <v>0.9888498</v>
      </c>
      <c r="S9943">
        <v>0.31890869999999999</v>
      </c>
      <c r="T9943">
        <v>-4.1860460000000002E-2</v>
      </c>
      <c r="U9943">
        <v>3.040527</v>
      </c>
      <c r="V9943">
        <v>1.4145639999999999E-2</v>
      </c>
      <c r="W9943">
        <v>0.16037460000000001</v>
      </c>
      <c r="X9943">
        <v>0.98695489999999997</v>
      </c>
      <c r="Y9943">
        <v>0.1142283</v>
      </c>
      <c r="Z9943">
        <v>-1.9916780000000002E-3</v>
      </c>
      <c r="AA9943">
        <v>0.99345249999999996</v>
      </c>
      <c r="AB9943">
        <v>31</v>
      </c>
      <c r="AC9943">
        <v>8.5361999999999991</v>
      </c>
      <c r="AD9943">
        <v>-1.1201529821730001</v>
      </c>
      <c r="AE9943">
        <v>81.050119999999893</v>
      </c>
      <c r="AF9943">
        <v>9.3438032460819809</v>
      </c>
      <c r="AG9943">
        <v>-1.1201529821730001</v>
      </c>
      <c r="AH9943">
        <v>80.945495420497807</v>
      </c>
      <c r="AI9943">
        <v>90.787599780225406</v>
      </c>
      <c r="AJ9943">
        <v>83.4153042701994</v>
      </c>
      <c r="AK9943">
        <v>81.490702725371094</v>
      </c>
      <c r="AL9943">
        <v>80.771360394845601</v>
      </c>
      <c r="AM9943">
        <v>89.178858142652402</v>
      </c>
      <c r="AN9943">
        <v>1.0000000430450799</v>
      </c>
    </row>
    <row r="9944" spans="1:40" x14ac:dyDescent="0.25">
      <c r="A9944" t="str">
        <f>"20190303162142734"</f>
        <v>20190303162142734</v>
      </c>
      <c r="B9944" t="str">
        <f>"1551601302722657"</f>
        <v>1551601302722657</v>
      </c>
      <c r="C9944" t="s">
        <v>40</v>
      </c>
      <c r="D9944">
        <v>4.821142</v>
      </c>
      <c r="E9944">
        <v>0.54118659999999996</v>
      </c>
      <c r="F9944" t="s">
        <v>50</v>
      </c>
      <c r="G9944">
        <v>-179.2372</v>
      </c>
      <c r="H9944" s="1">
        <v>-6.7960279999999997E-6</v>
      </c>
      <c r="I9944">
        <v>134.80000000000001</v>
      </c>
      <c r="J9944">
        <v>-187.78620000000001</v>
      </c>
      <c r="K9944">
        <v>1.120131</v>
      </c>
      <c r="L9944">
        <v>57.326720000000002</v>
      </c>
      <c r="M9944">
        <v>-9.1342490000000005E-3</v>
      </c>
      <c r="N9944">
        <v>-1.168655E-2</v>
      </c>
      <c r="O9944">
        <v>0.99988999999999995</v>
      </c>
      <c r="P9944">
        <v>6.2527759999999998E-3</v>
      </c>
      <c r="Q9944">
        <v>0.1485552</v>
      </c>
      <c r="R9944">
        <v>0.98888430000000005</v>
      </c>
      <c r="S9944">
        <v>0.33442690000000003</v>
      </c>
      <c r="T9944">
        <v>-4.382515E-2</v>
      </c>
      <c r="U9944">
        <v>3.0391240000000002</v>
      </c>
      <c r="V9944">
        <v>1.570481E-2</v>
      </c>
      <c r="W9944">
        <v>0.16006020000000001</v>
      </c>
      <c r="X9944">
        <v>0.98698229999999998</v>
      </c>
      <c r="Y9944">
        <v>0.1184375</v>
      </c>
      <c r="Z9944">
        <v>-2.6317799999999998E-3</v>
      </c>
      <c r="AA9944">
        <v>0.99295800000000001</v>
      </c>
      <c r="AB9944">
        <v>31</v>
      </c>
      <c r="AC9944">
        <v>8.5489999999999995</v>
      </c>
      <c r="AD9944">
        <v>-1.1201377960279999</v>
      </c>
      <c r="AE9944">
        <v>77.473280000000003</v>
      </c>
      <c r="AF9944">
        <v>9.2544405373662997</v>
      </c>
      <c r="AG9944">
        <v>-1.1201377960279999</v>
      </c>
      <c r="AH9944">
        <v>77.375973047999395</v>
      </c>
      <c r="AI9944">
        <v>90.823519273365903</v>
      </c>
      <c r="AJ9944">
        <v>83.179620479266802</v>
      </c>
      <c r="AK9944">
        <v>77.935489884047499</v>
      </c>
      <c r="AL9944">
        <v>80.789609396343394</v>
      </c>
      <c r="AM9944">
        <v>89.088389527532001</v>
      </c>
      <c r="AN9944">
        <v>0.99999998459723205</v>
      </c>
    </row>
    <row r="9945" spans="1:40" x14ac:dyDescent="0.25">
      <c r="A9945" t="str">
        <f>"20190303162142753"</f>
        <v>20190303162142753</v>
      </c>
      <c r="B9945" t="str">
        <f>"1551601302742177"</f>
        <v>1551601302742177</v>
      </c>
      <c r="C9945" t="s">
        <v>40</v>
      </c>
      <c r="D9945">
        <v>4.8181799999999999</v>
      </c>
      <c r="E9945">
        <v>0.54153909999999905</v>
      </c>
      <c r="F9945" t="s">
        <v>50</v>
      </c>
      <c r="G9945">
        <v>-179.15099999999899</v>
      </c>
      <c r="H9945" s="1">
        <v>-6.3658790000000004E-6</v>
      </c>
      <c r="I9945">
        <v>133.72329999999999</v>
      </c>
      <c r="J9945">
        <v>-187.78749999999999</v>
      </c>
      <c r="K9945">
        <v>1.1201219999999901</v>
      </c>
      <c r="L9945">
        <v>57.592619999999997</v>
      </c>
      <c r="M9945">
        <v>-8.0233070000000004E-3</v>
      </c>
      <c r="N9945">
        <v>-1.1688479999999999E-2</v>
      </c>
      <c r="O9945">
        <v>0.99989950000000005</v>
      </c>
      <c r="P9945">
        <v>9.6298879999999996E-3</v>
      </c>
      <c r="Q9945">
        <v>0.14842249999999901</v>
      </c>
      <c r="R9945">
        <v>0.98887720000000001</v>
      </c>
      <c r="S9945">
        <v>0.34341430000000001</v>
      </c>
      <c r="T9945">
        <v>-4.4547080000000003E-2</v>
      </c>
      <c r="U9945">
        <v>3.0382389999999999</v>
      </c>
      <c r="V9945">
        <v>1.798729E-2</v>
      </c>
      <c r="W9945">
        <v>0.15992229999999999</v>
      </c>
      <c r="X9945">
        <v>0.98696569999999995</v>
      </c>
      <c r="Y9945">
        <v>0.1202662</v>
      </c>
      <c r="Z9945">
        <v>-2.866792E-3</v>
      </c>
      <c r="AA9945">
        <v>0.99273750000000005</v>
      </c>
      <c r="AB9945">
        <v>31</v>
      </c>
      <c r="AC9945">
        <v>8.6365000000000105</v>
      </c>
      <c r="AD9945">
        <v>-1.12012836587899</v>
      </c>
      <c r="AE9945">
        <v>76.130679999999998</v>
      </c>
      <c r="AF9945">
        <v>9.2451075785268504</v>
      </c>
      <c r="AG9945">
        <v>-1.12012836587899</v>
      </c>
      <c r="AH9945">
        <v>76.042678704268496</v>
      </c>
      <c r="AI9945">
        <v>90.8377527607269</v>
      </c>
      <c r="AJ9945">
        <v>83.068120856170694</v>
      </c>
      <c r="AK9945">
        <v>76.610806588987103</v>
      </c>
      <c r="AL9945">
        <v>80.797613630126406</v>
      </c>
      <c r="AM9945">
        <v>88.955909286114505</v>
      </c>
      <c r="AN9945">
        <v>0.99999998880766106</v>
      </c>
    </row>
    <row r="9946" spans="1:40" x14ac:dyDescent="0.25">
      <c r="A9946" t="str">
        <f>"20190303162142776"</f>
        <v>20190303162142776</v>
      </c>
      <c r="B9946" t="str">
        <f>"1551601302762673"</f>
        <v>1551601302762673</v>
      </c>
      <c r="C9946" t="s">
        <v>40</v>
      </c>
      <c r="D9946">
        <v>4.8201640000000001</v>
      </c>
      <c r="E9946">
        <v>0.54194529999999996</v>
      </c>
      <c r="F9946" t="s">
        <v>50</v>
      </c>
      <c r="G9946">
        <v>-178.73599999999999</v>
      </c>
      <c r="H9946" s="1">
        <v>-6.4412519999999898E-6</v>
      </c>
      <c r="I9946">
        <v>134.67760000000001</v>
      </c>
      <c r="J9946">
        <v>-187.7886</v>
      </c>
      <c r="K9946">
        <v>1.1201209999999999</v>
      </c>
      <c r="L9946">
        <v>57.901699999999998</v>
      </c>
      <c r="M9946">
        <v>-6.7350450000000003E-3</v>
      </c>
      <c r="N9946">
        <v>-1.1690539999999999E-2</v>
      </c>
      <c r="O9946">
        <v>0.99990900000000005</v>
      </c>
      <c r="P9946">
        <v>1.192814E-2</v>
      </c>
      <c r="Q9946">
        <v>0.14895839999999999</v>
      </c>
      <c r="R9946">
        <v>0.98877150000000003</v>
      </c>
      <c r="S9946">
        <v>0.35659790000000002</v>
      </c>
      <c r="T9946">
        <v>-4.4129370000000001E-2</v>
      </c>
      <c r="U9946">
        <v>3.036896</v>
      </c>
      <c r="V9946">
        <v>1.9014380000000001E-2</v>
      </c>
      <c r="W9946">
        <v>0.16045599999999999</v>
      </c>
      <c r="X9946">
        <v>0.98685979999999995</v>
      </c>
      <c r="Y9946">
        <v>0.1232883</v>
      </c>
      <c r="Z9946">
        <v>-2.729184E-3</v>
      </c>
      <c r="AA9946">
        <v>0.99236709999999995</v>
      </c>
      <c r="AB9946">
        <v>31</v>
      </c>
      <c r="AC9946">
        <v>9.0526000000000106</v>
      </c>
      <c r="AD9946">
        <v>-1.1201274412519999</v>
      </c>
      <c r="AE9946">
        <v>76.775899999999993</v>
      </c>
      <c r="AF9946">
        <v>9.5675105495255401</v>
      </c>
      <c r="AG9946">
        <v>-1.1201274412519999</v>
      </c>
      <c r="AH9946">
        <v>76.697083050652296</v>
      </c>
      <c r="AI9946">
        <v>90.830286148353295</v>
      </c>
      <c r="AJ9946">
        <v>82.889419090696705</v>
      </c>
      <c r="AK9946">
        <v>77.299640956983694</v>
      </c>
      <c r="AL9946">
        <v>80.766634644160305</v>
      </c>
      <c r="AM9946">
        <v>88.896186733448403</v>
      </c>
      <c r="AN9946">
        <v>0.99999996971941096</v>
      </c>
    </row>
    <row r="9947" spans="1:40" x14ac:dyDescent="0.25">
      <c r="A9947" t="str">
        <f>"20190303162142800"</f>
        <v>20190303162142800</v>
      </c>
      <c r="B9947" t="str">
        <f>"1551601302792928"</f>
        <v>1551601302792928</v>
      </c>
      <c r="C9947" t="s">
        <v>40</v>
      </c>
      <c r="D9947">
        <v>4.8818669999999997</v>
      </c>
      <c r="E9947">
        <v>0.54186719999999999</v>
      </c>
      <c r="F9947" t="s">
        <v>50</v>
      </c>
      <c r="G9947">
        <v>-177.75219999999999</v>
      </c>
      <c r="H9947" s="1">
        <v>-7.9713150000000004E-6</v>
      </c>
      <c r="I9947">
        <v>140.9006</v>
      </c>
      <c r="J9947">
        <v>-187.7894</v>
      </c>
      <c r="K9947">
        <v>1.120133</v>
      </c>
      <c r="L9947">
        <v>58.243989999999997</v>
      </c>
      <c r="M9947">
        <v>-5.3192419999999897E-3</v>
      </c>
      <c r="N9947">
        <v>-1.1692660000000001E-2</v>
      </c>
      <c r="O9947">
        <v>0.99991750000000001</v>
      </c>
      <c r="P9947">
        <v>1.296921E-2</v>
      </c>
      <c r="Q9947">
        <v>0.15041879999999999</v>
      </c>
      <c r="R9947">
        <v>0.98853729999999995</v>
      </c>
      <c r="S9947">
        <v>0.36709589999999998</v>
      </c>
      <c r="T9947">
        <v>-4.097021E-2</v>
      </c>
      <c r="U9947">
        <v>3.0357970000000001</v>
      </c>
      <c r="V9947">
        <v>1.8657679999999999E-2</v>
      </c>
      <c r="W9947">
        <v>0.16191729999999999</v>
      </c>
      <c r="X9947">
        <v>0.9866279</v>
      </c>
      <c r="Y9947">
        <v>0.1253089</v>
      </c>
      <c r="Z9947">
        <v>-1.6959620000000001E-3</v>
      </c>
      <c r="AA9947">
        <v>0.99211629999999995</v>
      </c>
      <c r="AB9947">
        <v>31</v>
      </c>
      <c r="AC9947">
        <v>10.0372</v>
      </c>
      <c r="AD9947">
        <v>-1.1201409713149999</v>
      </c>
      <c r="AE9947">
        <v>82.656610000000001</v>
      </c>
      <c r="AF9947">
        <v>10.4748627966502</v>
      </c>
      <c r="AG9947">
        <v>-1.1201409713149999</v>
      </c>
      <c r="AH9947">
        <v>82.587099836517396</v>
      </c>
      <c r="AI9947">
        <v>90.770888322904995</v>
      </c>
      <c r="AJ9947">
        <v>82.771536054165196</v>
      </c>
      <c r="AK9947">
        <v>83.256270189164397</v>
      </c>
      <c r="AL9947">
        <v>80.681798969675498</v>
      </c>
      <c r="AM9947">
        <v>88.916634206204805</v>
      </c>
      <c r="AN9947">
        <v>0.99999996706034</v>
      </c>
    </row>
    <row r="9948" spans="1:40" x14ac:dyDescent="0.25">
      <c r="A9948" t="str">
        <f>"20190303162142822"</f>
        <v>20190303162142822</v>
      </c>
      <c r="B9948" t="str">
        <f>"1551601302812449"</f>
        <v>1551601302812449</v>
      </c>
      <c r="C9948" t="s">
        <v>40</v>
      </c>
      <c r="D9948">
        <v>4.909186</v>
      </c>
      <c r="E9948">
        <v>0.54173700000000002</v>
      </c>
      <c r="F9948" t="s">
        <v>50</v>
      </c>
      <c r="G9948">
        <v>-176.63749999999999</v>
      </c>
      <c r="H9948">
        <v>8.6269139999999998E-4</v>
      </c>
      <c r="I9948">
        <v>149.6516</v>
      </c>
      <c r="J9948">
        <v>-187.78970000000001</v>
      </c>
      <c r="K9948">
        <v>1.120155</v>
      </c>
      <c r="L9948">
        <v>58.559939999999997</v>
      </c>
      <c r="M9948">
        <v>-4.0287580000000003E-3</v>
      </c>
      <c r="N9948">
        <v>-1.169477E-2</v>
      </c>
      <c r="O9948">
        <v>0.99992349999999997</v>
      </c>
      <c r="P9948">
        <v>1.3363679999999999E-2</v>
      </c>
      <c r="Q9948">
        <v>0.1522096</v>
      </c>
      <c r="R9948">
        <v>0.98825790000000002</v>
      </c>
      <c r="S9948">
        <v>0.37034610000000001</v>
      </c>
      <c r="T9948">
        <v>-3.7170170000000002E-2</v>
      </c>
      <c r="U9948">
        <v>3.0355829999999999</v>
      </c>
      <c r="V9948">
        <v>1.7777629999999999E-2</v>
      </c>
      <c r="W9948">
        <v>0.163709299999999</v>
      </c>
      <c r="X9948">
        <v>0.98634849999999996</v>
      </c>
      <c r="Y9948">
        <v>0.12508469999999999</v>
      </c>
      <c r="Z9948">
        <v>-4.5303340000000001E-4</v>
      </c>
      <c r="AA9948">
        <v>0.99214599999999997</v>
      </c>
      <c r="AB9948">
        <v>31</v>
      </c>
      <c r="AC9948">
        <v>11.152200000000001</v>
      </c>
      <c r="AD9948">
        <v>-1.1192923086</v>
      </c>
      <c r="AE9948">
        <v>91.091660000000005</v>
      </c>
      <c r="AF9948">
        <v>11.517407573592999</v>
      </c>
      <c r="AG9948">
        <v>-1.1192923086</v>
      </c>
      <c r="AH9948">
        <v>91.032446619917195</v>
      </c>
      <c r="AI9948">
        <v>90.698875782279501</v>
      </c>
      <c r="AJ9948">
        <v>82.789260894820202</v>
      </c>
      <c r="AK9948">
        <v>91.764970604781496</v>
      </c>
      <c r="AL9948">
        <v>80.5777373868399</v>
      </c>
      <c r="AM9948">
        <v>88.967430990545594</v>
      </c>
      <c r="AN9948">
        <v>1.0000000712435699</v>
      </c>
    </row>
    <row r="9949" spans="1:40" x14ac:dyDescent="0.25">
      <c r="A9949" t="str">
        <f>"20190303162142842"</f>
        <v>20190303162142842</v>
      </c>
      <c r="B9949" t="str">
        <f>"1551601302832945"</f>
        <v>1551601302832945</v>
      </c>
      <c r="C9949" t="s">
        <v>40</v>
      </c>
      <c r="D9949">
        <v>4.914059</v>
      </c>
      <c r="E9949">
        <v>0.54157939999999904</v>
      </c>
      <c r="F9949" t="s">
        <v>50</v>
      </c>
      <c r="G9949">
        <v>-176.4264</v>
      </c>
      <c r="H9949">
        <v>7.9984840000000001E-2</v>
      </c>
      <c r="I9949">
        <v>151.79409999999999</v>
      </c>
      <c r="J9949">
        <v>-187.78970000000001</v>
      </c>
      <c r="K9949">
        <v>1.12017099999999</v>
      </c>
      <c r="L9949">
        <v>58.843139999999998</v>
      </c>
      <c r="M9949">
        <v>-2.8905070000000001E-3</v>
      </c>
      <c r="N9949">
        <v>-1.169654E-2</v>
      </c>
      <c r="O9949">
        <v>0.99992740000000002</v>
      </c>
      <c r="P9949">
        <v>1.3260650000000001E-2</v>
      </c>
      <c r="Q9949">
        <v>0.15445980000000001</v>
      </c>
      <c r="R9949">
        <v>0.98791010000000001</v>
      </c>
      <c r="S9949">
        <v>0.37001040000000002</v>
      </c>
      <c r="T9949">
        <v>-3.3869620000000003E-2</v>
      </c>
      <c r="U9949">
        <v>3.0358580000000002</v>
      </c>
      <c r="V9949">
        <v>1.6551079999999999E-2</v>
      </c>
      <c r="W9949">
        <v>0.1659612</v>
      </c>
      <c r="X9949">
        <v>0.98599340000000002</v>
      </c>
      <c r="Y9949">
        <v>0.12383719999999999</v>
      </c>
      <c r="Z9949">
        <v>6.2676620000000002E-4</v>
      </c>
      <c r="AA9949">
        <v>0.99230240000000003</v>
      </c>
      <c r="AB9949">
        <v>31</v>
      </c>
      <c r="AC9949">
        <v>11.363300000000001</v>
      </c>
      <c r="AD9949">
        <v>-1.04018615999999</v>
      </c>
      <c r="AE9949">
        <v>92.950959999999895</v>
      </c>
      <c r="AF9949">
        <v>11.6305112464025</v>
      </c>
      <c r="AG9949">
        <v>-1.04018615999999</v>
      </c>
      <c r="AH9949">
        <v>92.906260208393903</v>
      </c>
      <c r="AI9949">
        <v>90.636493904015794</v>
      </c>
      <c r="AJ9949">
        <v>82.864522309678605</v>
      </c>
      <c r="AK9949">
        <v>93.637193278151699</v>
      </c>
      <c r="AL9949">
        <v>80.446923133699897</v>
      </c>
      <c r="AM9949">
        <v>89.038312046257303</v>
      </c>
      <c r="AN9949">
        <v>1.0000000214990801</v>
      </c>
    </row>
    <row r="9950" spans="1:40" x14ac:dyDescent="0.25">
      <c r="A9950" t="str">
        <f>"20190303162142875"</f>
        <v>20190303162142875</v>
      </c>
      <c r="B9950" t="str">
        <f>"1551601302862225"</f>
        <v>1551601302862225</v>
      </c>
      <c r="C9950" t="s">
        <v>40</v>
      </c>
      <c r="D9950">
        <v>4.8626740000000002</v>
      </c>
      <c r="E9950">
        <v>0.54136229999999996</v>
      </c>
      <c r="F9950" t="s">
        <v>44</v>
      </c>
      <c r="G9950">
        <v>-172.86619999999999</v>
      </c>
      <c r="H9950">
        <v>-0.05</v>
      </c>
      <c r="I9950">
        <v>181.90360000000001</v>
      </c>
      <c r="J9950">
        <v>-187.78899999999999</v>
      </c>
      <c r="K9950">
        <v>1.1201920000000001</v>
      </c>
      <c r="L9950">
        <v>59.305570000000003</v>
      </c>
      <c r="M9950">
        <v>-1.0763179999999999E-3</v>
      </c>
      <c r="N9950">
        <v>-1.1693159999999999E-2</v>
      </c>
      <c r="O9950">
        <v>0.99993100000000001</v>
      </c>
      <c r="P9950">
        <v>1.183124E-2</v>
      </c>
      <c r="Q9950">
        <v>0.1555762</v>
      </c>
      <c r="R9950">
        <v>0.98775299999999999</v>
      </c>
      <c r="S9950">
        <v>0.36820979999999998</v>
      </c>
      <c r="T9950">
        <v>-2.8871770000000001E-2</v>
      </c>
      <c r="U9950">
        <v>3.0362849999999999</v>
      </c>
      <c r="V9950">
        <v>1.3323969999999999E-2</v>
      </c>
      <c r="W9950">
        <v>0.16708210000000001</v>
      </c>
      <c r="X9950">
        <v>0.98585299999999998</v>
      </c>
      <c r="Y9950">
        <v>0.1214411</v>
      </c>
      <c r="Z9950">
        <v>2.2553289999999999E-3</v>
      </c>
      <c r="AA9950">
        <v>0.99259609999999998</v>
      </c>
      <c r="AB9950">
        <v>31</v>
      </c>
      <c r="AC9950">
        <v>14.922800000000001</v>
      </c>
      <c r="AD9950">
        <v>-1.1701919999999999</v>
      </c>
      <c r="AE9950">
        <v>122.59802999999999</v>
      </c>
      <c r="AF9950">
        <v>15.0534034172526</v>
      </c>
      <c r="AG9950">
        <v>-1.1701919999999999</v>
      </c>
      <c r="AH9950">
        <v>122.570892284442</v>
      </c>
      <c r="AI9950">
        <v>90.5429109264023</v>
      </c>
      <c r="AJ9950">
        <v>82.9983466786598</v>
      </c>
      <c r="AK9950">
        <v>123.49736004937</v>
      </c>
      <c r="AL9950">
        <v>80.381791150021996</v>
      </c>
      <c r="AM9950">
        <v>89.225684994434403</v>
      </c>
      <c r="AN9950">
        <v>1.0000000469629799</v>
      </c>
    </row>
    <row r="9951" spans="1:40" x14ac:dyDescent="0.25">
      <c r="A9951" t="str">
        <f>"20190303162142898"</f>
        <v>20190303162142898</v>
      </c>
      <c r="B9951" t="str">
        <f>"1551601302892482"</f>
        <v>1551601302892482</v>
      </c>
      <c r="C9951" t="s">
        <v>40</v>
      </c>
      <c r="D9951">
        <v>4.8213309999999998</v>
      </c>
      <c r="E9951">
        <v>0.54122300000000001</v>
      </c>
      <c r="F9951" t="s">
        <v>44</v>
      </c>
      <c r="G9951">
        <v>-172.59599999999901</v>
      </c>
      <c r="H9951">
        <v>-0.05</v>
      </c>
      <c r="I9951">
        <v>186.6765</v>
      </c>
      <c r="J9951">
        <v>-187.78800000000001</v>
      </c>
      <c r="K9951">
        <v>1.1202049999999999</v>
      </c>
      <c r="L9951">
        <v>59.6342199999999</v>
      </c>
      <c r="M9951">
        <v>1.8244189999999999E-4</v>
      </c>
      <c r="N9951">
        <v>-1.1686709999999999E-2</v>
      </c>
      <c r="O9951">
        <v>0.99993169999999998</v>
      </c>
      <c r="P9951">
        <v>1.177804E-2</v>
      </c>
      <c r="Q9951">
        <v>0.1551051</v>
      </c>
      <c r="R9951">
        <v>0.98782780000000003</v>
      </c>
      <c r="S9951">
        <v>0.36228939999999998</v>
      </c>
      <c r="T9951">
        <v>-2.7904149999999999E-2</v>
      </c>
      <c r="U9951">
        <v>3.0372620000000001</v>
      </c>
      <c r="V9951">
        <v>1.201959E-2</v>
      </c>
      <c r="W9951">
        <v>0.16660910000000001</v>
      </c>
      <c r="X9951">
        <v>0.98594979999999999</v>
      </c>
      <c r="Y9951">
        <v>0.11824610000000001</v>
      </c>
      <c r="Z9951">
        <v>2.5643939999999998E-3</v>
      </c>
      <c r="AA9951">
        <v>0.992981</v>
      </c>
      <c r="AB9951">
        <v>31</v>
      </c>
      <c r="AC9951">
        <v>15.192</v>
      </c>
      <c r="AD9951">
        <v>-1.1702049999999999</v>
      </c>
      <c r="AE9951">
        <v>127.04228000000001</v>
      </c>
      <c r="AF9951">
        <v>15.167551578316401</v>
      </c>
      <c r="AG9951">
        <v>-1.1702049999999999</v>
      </c>
      <c r="AH9951">
        <v>127.034423424664</v>
      </c>
      <c r="AI9951">
        <v>90.524055549709203</v>
      </c>
      <c r="AJ9951">
        <v>83.191277903417998</v>
      </c>
      <c r="AK9951">
        <v>127.94205225593301</v>
      </c>
      <c r="AL9951">
        <v>80.409277213834997</v>
      </c>
      <c r="AM9951">
        <v>89.301548957854493</v>
      </c>
      <c r="AN9951">
        <v>1.0000000354333001</v>
      </c>
    </row>
    <row r="9952" spans="1:40" x14ac:dyDescent="0.25">
      <c r="A9952" t="str">
        <f>"20190303162142919"</f>
        <v>20190303162142919</v>
      </c>
      <c r="B9952" t="str">
        <f>"1551601302912977"</f>
        <v>1551601302912977</v>
      </c>
      <c r="C9952" t="s">
        <v>40</v>
      </c>
      <c r="D9952">
        <v>4.801558</v>
      </c>
      <c r="E9952">
        <v>0.54116640000000005</v>
      </c>
      <c r="F9952" t="s">
        <v>50</v>
      </c>
      <c r="G9952">
        <v>-176.36269999999999</v>
      </c>
      <c r="H9952">
        <v>7.9984520000000003E-2</v>
      </c>
      <c r="I9952">
        <v>155.83330000000001</v>
      </c>
      <c r="J9952">
        <v>-187.7867</v>
      </c>
      <c r="K9952">
        <v>1.12022</v>
      </c>
      <c r="L9952">
        <v>59.934629999999999</v>
      </c>
      <c r="M9952">
        <v>1.3087999999999999E-3</v>
      </c>
      <c r="N9952">
        <v>-1.167957E-2</v>
      </c>
      <c r="O9952">
        <v>0.99993089999999996</v>
      </c>
      <c r="P9952">
        <v>1.250982E-2</v>
      </c>
      <c r="Q9952">
        <v>0.15429179999999901</v>
      </c>
      <c r="R9952">
        <v>0.98794610000000005</v>
      </c>
      <c r="S9952">
        <v>0.36079410000000001</v>
      </c>
      <c r="T9952">
        <v>-3.2848479999999999E-2</v>
      </c>
      <c r="U9952">
        <v>3.037811</v>
      </c>
      <c r="V9952">
        <v>1.162991E-2</v>
      </c>
      <c r="W9952">
        <v>0.16579189999999999</v>
      </c>
      <c r="X9952">
        <v>0.98609219999999997</v>
      </c>
      <c r="Y9952">
        <v>0.1166238</v>
      </c>
      <c r="Z9952">
        <v>9.4078320000000001E-4</v>
      </c>
      <c r="AA9952">
        <v>0.99317569999999999</v>
      </c>
      <c r="AB9952">
        <v>31</v>
      </c>
      <c r="AC9952">
        <v>11.423999999999999</v>
      </c>
      <c r="AD9952">
        <v>-1.04023548</v>
      </c>
      <c r="AE9952">
        <v>95.898669999999996</v>
      </c>
      <c r="AF9952">
        <v>11.297158816169199</v>
      </c>
      <c r="AG9952">
        <v>-1.04023548</v>
      </c>
      <c r="AH9952">
        <v>95.902414376828204</v>
      </c>
      <c r="AI9952">
        <v>90.617185097750905</v>
      </c>
      <c r="AJ9952">
        <v>83.281605886525398</v>
      </c>
      <c r="AK9952">
        <v>96.571118718157507</v>
      </c>
      <c r="AL9952">
        <v>80.456759543291597</v>
      </c>
      <c r="AM9952">
        <v>89.324288473041804</v>
      </c>
      <c r="AN9952">
        <v>1.00000001790652</v>
      </c>
    </row>
    <row r="9953" spans="1:40" x14ac:dyDescent="0.25">
      <c r="A9953" t="str">
        <f>"20190303162142942"</f>
        <v>20190303162142942</v>
      </c>
      <c r="B9953" t="str">
        <f>"1551601302932497"</f>
        <v>1551601302932497</v>
      </c>
      <c r="C9953" t="s">
        <v>40</v>
      </c>
      <c r="D9953">
        <v>4.7744470000000003</v>
      </c>
      <c r="E9953">
        <v>0.54116019999999998</v>
      </c>
      <c r="F9953" t="s">
        <v>50</v>
      </c>
      <c r="G9953">
        <v>-177.07820000000001</v>
      </c>
      <c r="H9953">
        <v>1.521059E-2</v>
      </c>
      <c r="I9953">
        <v>149.6849</v>
      </c>
      <c r="J9953">
        <v>-187.7851</v>
      </c>
      <c r="K9953">
        <v>1.1202430000000001</v>
      </c>
      <c r="L9953">
        <v>60.244540000000001</v>
      </c>
      <c r="M9953">
        <v>2.436386E-3</v>
      </c>
      <c r="N9953">
        <v>-1.167201E-2</v>
      </c>
      <c r="O9953">
        <v>0.99992890000000001</v>
      </c>
      <c r="P9953">
        <v>1.430881E-2</v>
      </c>
      <c r="Q9953">
        <v>0.15437490000000001</v>
      </c>
      <c r="R9953">
        <v>0.98790869999999997</v>
      </c>
      <c r="S9953">
        <v>0.36245729999999998</v>
      </c>
      <c r="T9953">
        <v>-3.7402030000000003E-2</v>
      </c>
      <c r="U9953">
        <v>3.0378419999999999</v>
      </c>
      <c r="V9953">
        <v>1.2306259999999999E-2</v>
      </c>
      <c r="W9953">
        <v>0.16586619999999999</v>
      </c>
      <c r="X9953">
        <v>0.98607149999999999</v>
      </c>
      <c r="Y9953">
        <v>0.1160379</v>
      </c>
      <c r="Z9953">
        <v>-5.5584220000000004E-4</v>
      </c>
      <c r="AA9953">
        <v>0.99324460000000003</v>
      </c>
      <c r="AB9953">
        <v>31</v>
      </c>
      <c r="AC9953">
        <v>10.7068999999999</v>
      </c>
      <c r="AD9953">
        <v>-1.10503241</v>
      </c>
      <c r="AE9953">
        <v>89.440359999999998</v>
      </c>
      <c r="AF9953">
        <v>10.487363900751699</v>
      </c>
      <c r="AG9953">
        <v>-1.10503241</v>
      </c>
      <c r="AH9953">
        <v>89.452720813126305</v>
      </c>
      <c r="AI9953">
        <v>90.702939478381694</v>
      </c>
      <c r="AJ9953">
        <v>83.313214809733793</v>
      </c>
      <c r="AK9953">
        <v>90.072166394980499</v>
      </c>
      <c r="AL9953">
        <v>80.452442734931097</v>
      </c>
      <c r="AM9953">
        <v>89.284980697523196</v>
      </c>
      <c r="AN9953">
        <v>1.0000000217249301</v>
      </c>
    </row>
    <row r="9954" spans="1:40" x14ac:dyDescent="0.25">
      <c r="A9954" t="str">
        <f>"20190303162142964"</f>
        <v>20190303162142964</v>
      </c>
      <c r="B9954" t="str">
        <f>"1551601302952995"</f>
        <v>1551601302952995</v>
      </c>
      <c r="C9954" t="s">
        <v>40</v>
      </c>
      <c r="D9954">
        <v>4.7686640000000002</v>
      </c>
      <c r="E9954">
        <v>0.54116280000000005</v>
      </c>
      <c r="F9954" t="s">
        <v>50</v>
      </c>
      <c r="G9954">
        <v>-177.209</v>
      </c>
      <c r="H9954" s="1">
        <v>-9.6788609999999998E-6</v>
      </c>
      <c r="I9954">
        <v>147.6061</v>
      </c>
      <c r="J9954">
        <v>-187.78319999999999</v>
      </c>
      <c r="K9954">
        <v>1.1202749999999999</v>
      </c>
      <c r="L9954">
        <v>60.5578</v>
      </c>
      <c r="M9954">
        <v>3.530119E-3</v>
      </c>
      <c r="N9954">
        <v>-1.166448E-2</v>
      </c>
      <c r="O9954">
        <v>0.99992570000000003</v>
      </c>
      <c r="P9954">
        <v>1.683144E-2</v>
      </c>
      <c r="Q9954">
        <v>0.15474089999999999</v>
      </c>
      <c r="R9954">
        <v>0.98781169999999996</v>
      </c>
      <c r="S9954">
        <v>0.36772159999999998</v>
      </c>
      <c r="T9954">
        <v>-3.895009E-2</v>
      </c>
      <c r="U9954">
        <v>3.0374759999999998</v>
      </c>
      <c r="V9954">
        <v>1.3736989999999999E-2</v>
      </c>
      <c r="W9954">
        <v>0.16622120000000001</v>
      </c>
      <c r="X9954">
        <v>0.9859928</v>
      </c>
      <c r="Y9954">
        <v>0.1166619</v>
      </c>
      <c r="Z9954">
        <v>-1.0698470000000001E-3</v>
      </c>
      <c r="AA9954">
        <v>0.99317109999999997</v>
      </c>
      <c r="AB9954">
        <v>31</v>
      </c>
      <c r="AC9954">
        <v>10.5741999999999</v>
      </c>
      <c r="AD9954">
        <v>-1.1202846788609999</v>
      </c>
      <c r="AE9954">
        <v>87.048299999999998</v>
      </c>
      <c r="AF9954">
        <v>10.265146846714901</v>
      </c>
      <c r="AG9954">
        <v>-1.1202846788609999</v>
      </c>
      <c r="AH9954">
        <v>87.070876518108193</v>
      </c>
      <c r="AI9954">
        <v>90.732077609315297</v>
      </c>
      <c r="AJ9954">
        <v>83.276199669259995</v>
      </c>
      <c r="AK9954">
        <v>87.6810459288549</v>
      </c>
      <c r="AL9954">
        <v>80.431816167612297</v>
      </c>
      <c r="AM9954">
        <v>89.201798804793498</v>
      </c>
      <c r="AN9954">
        <v>0.99999999693776997</v>
      </c>
    </row>
    <row r="9955" spans="1:40" x14ac:dyDescent="0.25">
      <c r="A9955" t="str">
        <f>"20190303162142988"</f>
        <v>20190303162142988</v>
      </c>
      <c r="B9955" t="str">
        <f>"1551601302972513"</f>
        <v>1551601302972513</v>
      </c>
      <c r="C9955" t="s">
        <v>40</v>
      </c>
      <c r="D9955">
        <v>4.6986929999999996</v>
      </c>
      <c r="E9955">
        <v>0.54115809999999998</v>
      </c>
      <c r="F9955" t="s">
        <v>50</v>
      </c>
      <c r="G9955">
        <v>-176.95769999999999</v>
      </c>
      <c r="H9955" s="1">
        <v>-9.6857770000000001E-6</v>
      </c>
      <c r="I9955">
        <v>148.1114</v>
      </c>
      <c r="J9955">
        <v>-187.7808</v>
      </c>
      <c r="K9955">
        <v>1.12032</v>
      </c>
      <c r="L9955">
        <v>60.895940000000003</v>
      </c>
      <c r="M9955">
        <v>4.6381349999999998E-3</v>
      </c>
      <c r="N9955">
        <v>-1.16568E-2</v>
      </c>
      <c r="O9955">
        <v>0.99992130000000001</v>
      </c>
      <c r="P9955">
        <v>1.9884010000000001E-2</v>
      </c>
      <c r="Q9955">
        <v>0.1550832</v>
      </c>
      <c r="R9955">
        <v>0.9877013</v>
      </c>
      <c r="S9955">
        <v>0.375473</v>
      </c>
      <c r="T9955">
        <v>-3.885603E-2</v>
      </c>
      <c r="U9955">
        <v>3.0367130000000002</v>
      </c>
      <c r="V9955">
        <v>1.5676880000000001E-2</v>
      </c>
      <c r="W9955">
        <v>0.16655220000000001</v>
      </c>
      <c r="X9955">
        <v>0.98590800000000001</v>
      </c>
      <c r="Y9955">
        <v>0.1180886</v>
      </c>
      <c r="Z9955">
        <v>-1.047674E-3</v>
      </c>
      <c r="AA9955">
        <v>0.99300250000000001</v>
      </c>
      <c r="AB9955">
        <v>31</v>
      </c>
      <c r="AC9955">
        <v>10.8231</v>
      </c>
      <c r="AD9955">
        <v>-1.120329685777</v>
      </c>
      <c r="AE9955">
        <v>87.215459999999993</v>
      </c>
      <c r="AF9955">
        <v>10.416746228211</v>
      </c>
      <c r="AG9955">
        <v>-1.120329685777</v>
      </c>
      <c r="AH9955">
        <v>87.250545495123504</v>
      </c>
      <c r="AI9955">
        <v>90.730471863207697</v>
      </c>
      <c r="AJ9955">
        <v>83.191745766867598</v>
      </c>
      <c r="AK9955">
        <v>87.877308958481393</v>
      </c>
      <c r="AL9955">
        <v>80.412583121490499</v>
      </c>
      <c r="AM9955">
        <v>89.089019087592305</v>
      </c>
      <c r="AN9955">
        <v>0.99999999217768698</v>
      </c>
    </row>
    <row r="9956" spans="1:40" x14ac:dyDescent="0.25">
      <c r="A9956" t="str">
        <f>"20190303162143012"</f>
        <v>20190303162143012</v>
      </c>
      <c r="B9956" t="str">
        <f>"1551601303002299"</f>
        <v>1551601303002299</v>
      </c>
      <c r="C9956" t="s">
        <v>40</v>
      </c>
      <c r="D9956">
        <v>4.7160399999999996</v>
      </c>
      <c r="E9956">
        <v>0.54115159999999995</v>
      </c>
      <c r="F9956" t="s">
        <v>50</v>
      </c>
      <c r="G9956">
        <v>-176.67750000000001</v>
      </c>
      <c r="H9956" s="1">
        <v>-9.6698599999999993E-6</v>
      </c>
      <c r="I9956">
        <v>148.5883</v>
      </c>
      <c r="J9956">
        <v>-187.7782</v>
      </c>
      <c r="K9956">
        <v>1.1203799999999999</v>
      </c>
      <c r="L9956">
        <v>61.223050000000001</v>
      </c>
      <c r="M9956">
        <v>5.6306999999999998E-3</v>
      </c>
      <c r="N9956">
        <v>-1.1650199999999999E-2</v>
      </c>
      <c r="O9956">
        <v>0.99991629999999998</v>
      </c>
      <c r="P9956">
        <v>2.3282250000000001E-2</v>
      </c>
      <c r="Q9956">
        <v>0.1556408</v>
      </c>
      <c r="R9956">
        <v>0.98753930000000001</v>
      </c>
      <c r="S9956">
        <v>0.38436890000000001</v>
      </c>
      <c r="T9956">
        <v>-3.8783190000000002E-2</v>
      </c>
      <c r="U9956">
        <v>3.0357059999999998</v>
      </c>
      <c r="V9956">
        <v>1.8073019999999999E-2</v>
      </c>
      <c r="W9956">
        <v>0.16709849999999901</v>
      </c>
      <c r="X9956">
        <v>0.9857745</v>
      </c>
      <c r="Y9956">
        <v>0.12000760000000001</v>
      </c>
      <c r="Z9956">
        <v>-1.0315840000000001E-3</v>
      </c>
      <c r="AA9956">
        <v>0.99277249999999995</v>
      </c>
      <c r="AB9956">
        <v>31</v>
      </c>
      <c r="AC9956">
        <v>11.1006999999999</v>
      </c>
      <c r="AD9956">
        <v>-1.12038966986</v>
      </c>
      <c r="AE9956">
        <v>87.365250000000003</v>
      </c>
      <c r="AF9956">
        <v>10.6068464223271</v>
      </c>
      <c r="AG9956">
        <v>-1.12038966986</v>
      </c>
      <c r="AH9956">
        <v>87.412226377989697</v>
      </c>
      <c r="AI9956">
        <v>90.728990933999</v>
      </c>
      <c r="AJ9956">
        <v>83.081392698172195</v>
      </c>
      <c r="AK9956">
        <v>88.060534772371696</v>
      </c>
      <c r="AL9956">
        <v>80.380837196290699</v>
      </c>
      <c r="AM9956">
        <v>88.9496667128562</v>
      </c>
      <c r="AN9956">
        <v>0.99999995380220896</v>
      </c>
    </row>
    <row r="9957" spans="1:40" x14ac:dyDescent="0.25">
      <c r="A9957" t="str">
        <f>"20190303162143034"</f>
        <v>20190303162143034</v>
      </c>
      <c r="B9957" t="str">
        <f>"1551601303022795"</f>
        <v>1551601303022795</v>
      </c>
      <c r="C9957" t="s">
        <v>40</v>
      </c>
      <c r="D9957">
        <v>4.6801789999999999</v>
      </c>
      <c r="E9957">
        <v>0.54112059999999995</v>
      </c>
      <c r="F9957" t="s">
        <v>50</v>
      </c>
      <c r="G9957">
        <v>-176.3819</v>
      </c>
      <c r="H9957" s="1">
        <v>-9.6289259999999997E-6</v>
      </c>
      <c r="I9957">
        <v>149.0035</v>
      </c>
      <c r="J9957">
        <v>-187.77539999999999</v>
      </c>
      <c r="K9957">
        <v>1.120439</v>
      </c>
      <c r="L9957">
        <v>61.5389699999999</v>
      </c>
      <c r="M9957">
        <v>6.5197069999999996E-3</v>
      </c>
      <c r="N9957">
        <v>-1.1644659999999999E-2</v>
      </c>
      <c r="O9957">
        <v>0.99991099999999999</v>
      </c>
      <c r="P9957">
        <v>2.603579E-2</v>
      </c>
      <c r="Q9957">
        <v>0.15581339999999999</v>
      </c>
      <c r="R9957">
        <v>0.98744330000000002</v>
      </c>
      <c r="S9957">
        <v>0.3939819</v>
      </c>
      <c r="T9957">
        <v>-3.8733120000000003E-2</v>
      </c>
      <c r="U9957">
        <v>3.0346679999999999</v>
      </c>
      <c r="V9957">
        <v>1.9925399999999999E-2</v>
      </c>
      <c r="W9957">
        <v>0.167264</v>
      </c>
      <c r="X9957">
        <v>0.9857108</v>
      </c>
      <c r="Y9957">
        <v>0.1222607</v>
      </c>
      <c r="Z9957">
        <v>-1.021435E-3</v>
      </c>
      <c r="AA9957">
        <v>0.99249750000000003</v>
      </c>
      <c r="AB9957">
        <v>31</v>
      </c>
      <c r="AC9957">
        <v>11.3934999999999</v>
      </c>
      <c r="AD9957">
        <v>-1.1204486289260001</v>
      </c>
      <c r="AE9957">
        <v>87.464529999999996</v>
      </c>
      <c r="AF9957">
        <v>10.821229893153101</v>
      </c>
      <c r="AG9957">
        <v>-1.1204486289260001</v>
      </c>
      <c r="AH9957">
        <v>87.522834913633403</v>
      </c>
      <c r="AI9957">
        <v>90.727906362568007</v>
      </c>
      <c r="AJ9957">
        <v>82.951780138456797</v>
      </c>
      <c r="AK9957">
        <v>88.196377776242301</v>
      </c>
      <c r="AL9957">
        <v>80.371220069733994</v>
      </c>
      <c r="AM9957">
        <v>88.841966765817503</v>
      </c>
      <c r="AN9957">
        <v>1.00000002424889</v>
      </c>
    </row>
    <row r="9958" spans="1:40" x14ac:dyDescent="0.25">
      <c r="A9958" t="str">
        <f>"20190303162143054"</f>
        <v>20190303162143054</v>
      </c>
      <c r="B9958" t="str">
        <f>"1551601303042315"</f>
        <v>1551601303042315</v>
      </c>
      <c r="C9958" t="s">
        <v>40</v>
      </c>
      <c r="D9958">
        <v>4.7016720000000003</v>
      </c>
      <c r="E9958">
        <v>0.54107989999999995</v>
      </c>
      <c r="F9958" t="s">
        <v>50</v>
      </c>
      <c r="G9958">
        <v>-176.47059999999999</v>
      </c>
      <c r="H9958" s="1">
        <v>-9.1354859999999992E-6</v>
      </c>
      <c r="I9958">
        <v>147.0318</v>
      </c>
      <c r="J9958">
        <v>-187.77279999999999</v>
      </c>
      <c r="K9958">
        <v>1.1204940000000001</v>
      </c>
      <c r="L9958">
        <v>61.824800000000003</v>
      </c>
      <c r="M9958">
        <v>7.2449790000000003E-3</v>
      </c>
      <c r="N9958">
        <v>-1.1640279999999999E-2</v>
      </c>
      <c r="O9958">
        <v>0.99990599999999996</v>
      </c>
      <c r="P9958">
        <v>2.7787160000000002E-2</v>
      </c>
      <c r="Q9958">
        <v>0.15470039999999999</v>
      </c>
      <c r="R9958">
        <v>0.98757059999999997</v>
      </c>
      <c r="S9958">
        <v>0.40116879999999999</v>
      </c>
      <c r="T9958">
        <v>-3.9760829999999997E-2</v>
      </c>
      <c r="U9958">
        <v>3.0338440000000002</v>
      </c>
      <c r="V9958">
        <v>2.093296E-2</v>
      </c>
      <c r="W9958">
        <v>0.16614970000000001</v>
      </c>
      <c r="X9958">
        <v>0.98587829999999999</v>
      </c>
      <c r="Y9958">
        <v>0.12388589999999999</v>
      </c>
      <c r="Z9958">
        <v>-1.3624659999999999E-3</v>
      </c>
      <c r="AA9958">
        <v>0.99229560000000006</v>
      </c>
      <c r="AB9958">
        <v>32</v>
      </c>
      <c r="AC9958">
        <v>11.302199999999999</v>
      </c>
      <c r="AD9958">
        <v>-1.120503135486</v>
      </c>
      <c r="AE9958">
        <v>85.206999999999994</v>
      </c>
      <c r="AF9958">
        <v>10.682723133296401</v>
      </c>
      <c r="AG9958">
        <v>-1.120503135486</v>
      </c>
      <c r="AH9958">
        <v>85.272161844881893</v>
      </c>
      <c r="AI9958">
        <v>90.747002855111504</v>
      </c>
      <c r="AJ9958">
        <v>82.859302835728201</v>
      </c>
      <c r="AK9958">
        <v>85.946016117787707</v>
      </c>
      <c r="AL9958">
        <v>80.435970296198406</v>
      </c>
      <c r="AM9958">
        <v>88.783632755365105</v>
      </c>
      <c r="AN9958">
        <v>0.99999996701767002</v>
      </c>
    </row>
    <row r="9959" spans="1:40" x14ac:dyDescent="0.25">
      <c r="A9959" t="str">
        <f>"20190303162143076"</f>
        <v>20190303162143076</v>
      </c>
      <c r="B9959" t="str">
        <f>"1551601303072571"</f>
        <v>1551601303072571</v>
      </c>
      <c r="C9959" t="s">
        <v>40</v>
      </c>
      <c r="D9959">
        <v>4.6695779999999996</v>
      </c>
      <c r="E9959">
        <v>0.54095579999999999</v>
      </c>
      <c r="F9959" t="s">
        <v>50</v>
      </c>
      <c r="G9959">
        <v>-177.34520000000001</v>
      </c>
      <c r="H9959" s="1">
        <v>-7.3362199999999999E-6</v>
      </c>
      <c r="I9959">
        <v>139.7209</v>
      </c>
      <c r="J9959">
        <v>-187.7696</v>
      </c>
      <c r="K9959">
        <v>1.1205750000000001</v>
      </c>
      <c r="L9959">
        <v>62.146940000000001</v>
      </c>
      <c r="M9959">
        <v>7.9494890000000006E-3</v>
      </c>
      <c r="N9959">
        <v>-1.163604E-2</v>
      </c>
      <c r="O9959">
        <v>0.99990069999999998</v>
      </c>
      <c r="P9959">
        <v>2.9230079999999999E-2</v>
      </c>
      <c r="Q9959">
        <v>0.1538359</v>
      </c>
      <c r="R9959">
        <v>0.98766399999999999</v>
      </c>
      <c r="S9959">
        <v>0.40603640000000002</v>
      </c>
      <c r="T9959">
        <v>-4.3630839999999997E-2</v>
      </c>
      <c r="U9959">
        <v>3.0331730000000001</v>
      </c>
      <c r="V9959">
        <v>2.164487E-2</v>
      </c>
      <c r="W9959">
        <v>0.1652854</v>
      </c>
      <c r="X9959">
        <v>0.9860082</v>
      </c>
      <c r="Y9959">
        <v>0.1247786</v>
      </c>
      <c r="Z9959">
        <v>-2.6329270000000002E-3</v>
      </c>
      <c r="AA9959">
        <v>0.99218110000000004</v>
      </c>
      <c r="AB9959">
        <v>32</v>
      </c>
      <c r="AC9959">
        <v>10.424399999999901</v>
      </c>
      <c r="AD9959">
        <v>-1.12058233622</v>
      </c>
      <c r="AE9959">
        <v>77.57396</v>
      </c>
      <c r="AF9959">
        <v>9.8053457067044203</v>
      </c>
      <c r="AG9959">
        <v>-1.12058233622</v>
      </c>
      <c r="AH9959">
        <v>77.638469481248407</v>
      </c>
      <c r="AI9959">
        <v>90.820395940410705</v>
      </c>
      <c r="AJ9959">
        <v>82.801942290760493</v>
      </c>
      <c r="AK9959">
        <v>78.263225416481404</v>
      </c>
      <c r="AL9959">
        <v>80.486185353843496</v>
      </c>
      <c r="AM9959">
        <v>88.742443978277294</v>
      </c>
      <c r="AN9959">
        <v>0.99999996715885797</v>
      </c>
    </row>
    <row r="9960" spans="1:40" x14ac:dyDescent="0.25">
      <c r="A9960" t="str">
        <f>"20190303162143100"</f>
        <v>20190303162143100</v>
      </c>
      <c r="B9960" t="str">
        <f>"1551601303093068"</f>
        <v>1551601303093068</v>
      </c>
      <c r="C9960" t="s">
        <v>40</v>
      </c>
      <c r="D9960">
        <v>4.7054929999999997</v>
      </c>
      <c r="E9960">
        <v>0.54086569999999901</v>
      </c>
      <c r="F9960" t="s">
        <v>50</v>
      </c>
      <c r="G9960">
        <v>-177.81659999999999</v>
      </c>
      <c r="H9960" s="1">
        <v>-6.303143E-6</v>
      </c>
      <c r="I9960">
        <v>135.9195</v>
      </c>
      <c r="J9960">
        <v>-187.7662</v>
      </c>
      <c r="K9960">
        <v>1.1206719999999999</v>
      </c>
      <c r="L9960">
        <v>62.484830000000002</v>
      </c>
      <c r="M9960">
        <v>8.5563440000000004E-3</v>
      </c>
      <c r="N9960">
        <v>-1.1632399999999999E-2</v>
      </c>
      <c r="O9960">
        <v>0.9998958</v>
      </c>
      <c r="P9960">
        <v>2.9812189999999999E-2</v>
      </c>
      <c r="Q9960">
        <v>0.1539316</v>
      </c>
      <c r="R9960">
        <v>0.9876317</v>
      </c>
      <c r="S9960">
        <v>0.40913389999999999</v>
      </c>
      <c r="T9960">
        <v>-4.6063180000000002E-2</v>
      </c>
      <c r="U9960">
        <v>3.0325319999999998</v>
      </c>
      <c r="V9960">
        <v>2.1588139999999999E-2</v>
      </c>
      <c r="W9960">
        <v>0.1653828</v>
      </c>
      <c r="X9960">
        <v>0.98599309999999996</v>
      </c>
      <c r="Y9960">
        <v>0.12519849999999999</v>
      </c>
      <c r="Z9960">
        <v>-3.4337360000000002E-3</v>
      </c>
      <c r="AA9960">
        <v>0.9921257</v>
      </c>
      <c r="AB9960">
        <v>32</v>
      </c>
      <c r="AC9960">
        <v>9.9496000000000002</v>
      </c>
      <c r="AD9960">
        <v>-1.1206783031430001</v>
      </c>
      <c r="AE9960">
        <v>73.434669999999997</v>
      </c>
      <c r="AF9960">
        <v>9.3187298026034</v>
      </c>
      <c r="AG9960">
        <v>-1.1206783031430001</v>
      </c>
      <c r="AH9960">
        <v>73.500310167558595</v>
      </c>
      <c r="AI9960">
        <v>90.866599727500599</v>
      </c>
      <c r="AJ9960">
        <v>82.774311723853899</v>
      </c>
      <c r="AK9960">
        <v>74.097167555314698</v>
      </c>
      <c r="AL9960">
        <v>80.480526761237599</v>
      </c>
      <c r="AM9960">
        <v>88.745719706114002</v>
      </c>
      <c r="AN9960">
        <v>0.99999995578605305</v>
      </c>
    </row>
    <row r="9961" spans="1:40" x14ac:dyDescent="0.25">
      <c r="A9961" t="str">
        <f>"20190303162143122"</f>
        <v>20190303162143122</v>
      </c>
      <c r="B9961" t="str">
        <f>"1551601303112588"</f>
        <v>1551601303112588</v>
      </c>
      <c r="C9961" t="s">
        <v>40</v>
      </c>
      <c r="D9961">
        <v>4.6957630000000004</v>
      </c>
      <c r="E9961">
        <v>0.54074840000000002</v>
      </c>
      <c r="F9961" t="s">
        <v>50</v>
      </c>
      <c r="G9961">
        <v>-177.82149999999999</v>
      </c>
      <c r="H9961" s="1">
        <v>-6.3730370000000002E-6</v>
      </c>
      <c r="I9961">
        <v>136.11070000000001</v>
      </c>
      <c r="J9961">
        <v>-187.76320000000001</v>
      </c>
      <c r="K9961">
        <v>1.1207670000000001</v>
      </c>
      <c r="L9961">
        <v>62.790219999999998</v>
      </c>
      <c r="M9961">
        <v>8.9916170000000004E-3</v>
      </c>
      <c r="N9961">
        <v>-1.1629860000000001E-2</v>
      </c>
      <c r="O9961">
        <v>0.99989189999999994</v>
      </c>
      <c r="P9961">
        <v>3.0231839999999999E-2</v>
      </c>
      <c r="Q9961">
        <v>0.154277</v>
      </c>
      <c r="R9961">
        <v>0.98756500000000003</v>
      </c>
      <c r="S9961">
        <v>0.4095917</v>
      </c>
      <c r="T9961">
        <v>-4.6157120000000003E-2</v>
      </c>
      <c r="U9961">
        <v>3.03241</v>
      </c>
      <c r="V9961">
        <v>2.1541290000000001E-2</v>
      </c>
      <c r="W9961">
        <v>0.16572979999999901</v>
      </c>
      <c r="X9961">
        <v>0.98593589999999998</v>
      </c>
      <c r="Y9961">
        <v>0.124919</v>
      </c>
      <c r="Z9961">
        <v>-3.4679530000000002E-3</v>
      </c>
      <c r="AA9961">
        <v>0.99216090000000001</v>
      </c>
      <c r="AB9961">
        <v>32</v>
      </c>
      <c r="AC9961">
        <v>9.9417000000000204</v>
      </c>
      <c r="AD9961">
        <v>-1.120773373037</v>
      </c>
      <c r="AE9961">
        <v>73.320480000000003</v>
      </c>
      <c r="AF9961">
        <v>9.2798545686681209</v>
      </c>
      <c r="AG9961">
        <v>-1.120773373037</v>
      </c>
      <c r="AH9961">
        <v>73.390074832785302</v>
      </c>
      <c r="AI9961">
        <v>90.868011509161406</v>
      </c>
      <c r="AJ9961">
        <v>82.793443754411598</v>
      </c>
      <c r="AK9961">
        <v>73.982936666039194</v>
      </c>
      <c r="AL9961">
        <v>80.460367316408195</v>
      </c>
      <c r="AM9961">
        <v>88.748368257407094</v>
      </c>
      <c r="AN9961">
        <v>0.99999999634585601</v>
      </c>
    </row>
    <row r="9962" spans="1:40" x14ac:dyDescent="0.25">
      <c r="A9962" t="str">
        <f>"20190303162143144"</f>
        <v>20190303162143144</v>
      </c>
      <c r="B9962" t="str">
        <f>"1551601303133083"</f>
        <v>1551601303133083</v>
      </c>
      <c r="C9962" t="s">
        <v>40</v>
      </c>
      <c r="D9962">
        <v>4.7113909999999999</v>
      </c>
      <c r="E9962">
        <v>0.54064429999999997</v>
      </c>
      <c r="F9962" t="s">
        <v>50</v>
      </c>
      <c r="G9962">
        <v>-177.535</v>
      </c>
      <c r="H9962" s="1">
        <v>-7.0010240000000002E-6</v>
      </c>
      <c r="I9962">
        <v>138.41659999999999</v>
      </c>
      <c r="J9962">
        <v>-187.76</v>
      </c>
      <c r="K9962">
        <v>1.1208579999999999</v>
      </c>
      <c r="L9962">
        <v>63.0982699999999</v>
      </c>
      <c r="M9962">
        <v>9.3313570000000002E-3</v>
      </c>
      <c r="N9962">
        <v>-1.162788E-2</v>
      </c>
      <c r="O9962">
        <v>0.99988880000000002</v>
      </c>
      <c r="P9962">
        <v>3.0107869999999998E-2</v>
      </c>
      <c r="Q9962">
        <v>0.15450620000000001</v>
      </c>
      <c r="R9962">
        <v>0.98753299999999999</v>
      </c>
      <c r="S9962">
        <v>0.41009519999999999</v>
      </c>
      <c r="T9962">
        <v>-4.4937249999999998E-2</v>
      </c>
      <c r="U9962">
        <v>3.0322269999999998</v>
      </c>
      <c r="V9962">
        <v>2.1046260000000001E-2</v>
      </c>
      <c r="W9962">
        <v>0.16596169999999999</v>
      </c>
      <c r="X9962">
        <v>0.9859076</v>
      </c>
      <c r="Y9962">
        <v>0.1247521</v>
      </c>
      <c r="Z9962">
        <v>-3.0722369999999998E-3</v>
      </c>
      <c r="AA9962">
        <v>0.99218320000000004</v>
      </c>
      <c r="AB9962">
        <v>32</v>
      </c>
      <c r="AC9962">
        <v>10.2249999999999</v>
      </c>
      <c r="AD9962">
        <v>-1.120865001024</v>
      </c>
      <c r="AE9962">
        <v>75.318330000000003</v>
      </c>
      <c r="AF9962">
        <v>9.5196148716341291</v>
      </c>
      <c r="AG9962">
        <v>-1.120865001024</v>
      </c>
      <c r="AH9962">
        <v>75.394074928644301</v>
      </c>
      <c r="AI9962">
        <v>90.845030933016602</v>
      </c>
      <c r="AJ9962">
        <v>82.803644163904906</v>
      </c>
      <c r="AK9962">
        <v>76.000960125519399</v>
      </c>
      <c r="AL9962">
        <v>80.446894004192899</v>
      </c>
      <c r="AM9962">
        <v>88.777087474672996</v>
      </c>
      <c r="AN9962">
        <v>1.0000000133323099</v>
      </c>
    </row>
    <row r="9963" spans="1:40" x14ac:dyDescent="0.25">
      <c r="A9963" t="str">
        <f>"20190303162143167"</f>
        <v>20190303162143167</v>
      </c>
      <c r="B9963" t="str">
        <f>"1551601303152603"</f>
        <v>1551601303152603</v>
      </c>
      <c r="C9963" t="s">
        <v>40</v>
      </c>
      <c r="D9963">
        <v>4.6949290000000001</v>
      </c>
      <c r="E9963">
        <v>0.54055850000000005</v>
      </c>
      <c r="F9963" t="s">
        <v>50</v>
      </c>
      <c r="G9963">
        <v>-177.3184</v>
      </c>
      <c r="H9963" s="1">
        <v>-7.5633540000000003E-6</v>
      </c>
      <c r="I9963">
        <v>140.4744</v>
      </c>
      <c r="J9963">
        <v>-187.7567</v>
      </c>
      <c r="K9963">
        <v>1.120941</v>
      </c>
      <c r="L9963">
        <v>63.417940000000002</v>
      </c>
      <c r="M9963">
        <v>9.5882789999999999E-3</v>
      </c>
      <c r="N9963">
        <v>-1.162641E-2</v>
      </c>
      <c r="O9963">
        <v>0.99988650000000001</v>
      </c>
      <c r="P9963">
        <v>3.00319E-2</v>
      </c>
      <c r="Q9963">
        <v>0.15548110000000001</v>
      </c>
      <c r="R9963">
        <v>0.98738219999999999</v>
      </c>
      <c r="S9963">
        <v>0.40919489999999997</v>
      </c>
      <c r="T9963">
        <v>-4.3925520000000003E-2</v>
      </c>
      <c r="U9963">
        <v>3.0322879999999999</v>
      </c>
      <c r="V9963">
        <v>2.0686800000000002E-2</v>
      </c>
      <c r="W9963">
        <v>0.16693820000000001</v>
      </c>
      <c r="X9963">
        <v>0.98575029999999997</v>
      </c>
      <c r="Y9963">
        <v>0.1242057</v>
      </c>
      <c r="Z9963">
        <v>-2.7435710000000002E-3</v>
      </c>
      <c r="AA9963">
        <v>0.99225269999999999</v>
      </c>
      <c r="AB9963">
        <v>32</v>
      </c>
      <c r="AC9963">
        <v>10.4382999999999</v>
      </c>
      <c r="AD9963">
        <v>-1.1209485633539999</v>
      </c>
      <c r="AE9963">
        <v>77.056460000000001</v>
      </c>
      <c r="AF9963">
        <v>9.6969162998067997</v>
      </c>
      <c r="AG9963">
        <v>-1.1209485633539999</v>
      </c>
      <c r="AH9963">
        <v>77.136979981413106</v>
      </c>
      <c r="AI9963">
        <v>90.826058544733698</v>
      </c>
      <c r="AJ9963">
        <v>82.834913588859706</v>
      </c>
      <c r="AK9963">
        <v>77.752172908929495</v>
      </c>
      <c r="AL9963">
        <v>80.390152811136403</v>
      </c>
      <c r="AM9963">
        <v>88.797776294564798</v>
      </c>
      <c r="AN9963">
        <v>0.99999998013178404</v>
      </c>
    </row>
    <row r="9964" spans="1:40" x14ac:dyDescent="0.25">
      <c r="A9964" t="str">
        <f>"20190303162143191"</f>
        <v>20190303162143191</v>
      </c>
      <c r="B9964" t="str">
        <f>"1551601303182860"</f>
        <v>1551601303182860</v>
      </c>
      <c r="C9964" t="s">
        <v>40</v>
      </c>
      <c r="D9964">
        <v>4.7164039999999998</v>
      </c>
      <c r="E9964">
        <v>0.54044099999999995</v>
      </c>
      <c r="F9964" t="s">
        <v>50</v>
      </c>
      <c r="G9964">
        <v>-176.3741</v>
      </c>
      <c r="H9964" s="1">
        <v>-9.2824880000000002E-6</v>
      </c>
      <c r="I9964">
        <v>147.75299999999999</v>
      </c>
      <c r="J9964">
        <v>-187.7533</v>
      </c>
      <c r="K9964">
        <v>1.1210100000000001</v>
      </c>
      <c r="L9964">
        <v>63.755130000000001</v>
      </c>
      <c r="M9964">
        <v>9.7815100000000002E-3</v>
      </c>
      <c r="N9964">
        <v>-1.162535E-2</v>
      </c>
      <c r="O9964">
        <v>0.99988460000000001</v>
      </c>
      <c r="P9964">
        <v>3.0286899999999999E-2</v>
      </c>
      <c r="Q9964">
        <v>0.15648290000000001</v>
      </c>
      <c r="R9964">
        <v>0.98721619999999999</v>
      </c>
      <c r="S9964">
        <v>0.40925600000000001</v>
      </c>
      <c r="T9964">
        <v>-4.0303230000000002E-2</v>
      </c>
      <c r="U9964">
        <v>3.0322269999999998</v>
      </c>
      <c r="V9964">
        <v>2.0727599999999999E-2</v>
      </c>
      <c r="W9964">
        <v>0.16794000000000001</v>
      </c>
      <c r="X9964">
        <v>0.98557930000000005</v>
      </c>
      <c r="Y9964">
        <v>0.12403740000000001</v>
      </c>
      <c r="Z9964">
        <v>-1.560865E-3</v>
      </c>
      <c r="AA9964">
        <v>0.9922763</v>
      </c>
      <c r="AB9964">
        <v>32</v>
      </c>
      <c r="AC9964">
        <v>11.3791999999999</v>
      </c>
      <c r="AD9964">
        <v>-1.1210192824879901</v>
      </c>
      <c r="AE9964">
        <v>83.997869999999907</v>
      </c>
      <c r="AF9964">
        <v>10.5551279291483</v>
      </c>
      <c r="AG9964">
        <v>-1.1210192824879901</v>
      </c>
      <c r="AH9964">
        <v>84.090456785202605</v>
      </c>
      <c r="AI9964">
        <v>90.7578252565865</v>
      </c>
      <c r="AJ9964">
        <v>82.8455871761482</v>
      </c>
      <c r="AK9964">
        <v>84.757727271184095</v>
      </c>
      <c r="AL9964">
        <v>80.331932315727599</v>
      </c>
      <c r="AM9964">
        <v>88.795196942249305</v>
      </c>
      <c r="AN9964">
        <v>1.00000001679512</v>
      </c>
    </row>
    <row r="9965" spans="1:40" x14ac:dyDescent="0.25">
      <c r="A9965" t="str">
        <f>"20190303162143213"</f>
        <v>20190303162143213</v>
      </c>
      <c r="B9965" t="str">
        <f>"1551601303202380"</f>
        <v>1551601303202380</v>
      </c>
      <c r="C9965" t="s">
        <v>40</v>
      </c>
      <c r="D9965">
        <v>4.7161559999999998</v>
      </c>
      <c r="E9965">
        <v>0.54036660000000003</v>
      </c>
      <c r="F9965" t="s">
        <v>50</v>
      </c>
      <c r="G9965">
        <v>-176.14680000000001</v>
      </c>
      <c r="H9965">
        <v>7.1309250000000005E-2</v>
      </c>
      <c r="I9965">
        <v>149.63839999999999</v>
      </c>
      <c r="J9965">
        <v>-187.75020000000001</v>
      </c>
      <c r="K9965">
        <v>1.121054</v>
      </c>
      <c r="L9965">
        <v>64.053529999999995</v>
      </c>
      <c r="M9965">
        <v>9.9124450000000006E-3</v>
      </c>
      <c r="N9965">
        <v>-1.162473E-2</v>
      </c>
      <c r="O9965">
        <v>0.99988330000000003</v>
      </c>
      <c r="P9965">
        <v>3.0816119999999999E-2</v>
      </c>
      <c r="Q9965">
        <v>0.15762799999999999</v>
      </c>
      <c r="R9965">
        <v>0.98701760000000005</v>
      </c>
      <c r="S9965">
        <v>0.40977479999999999</v>
      </c>
      <c r="T9965">
        <v>-3.7060379999999997E-2</v>
      </c>
      <c r="U9965">
        <v>3.0321660000000001</v>
      </c>
      <c r="V9965">
        <v>2.1114000000000001E-2</v>
      </c>
      <c r="W9965">
        <v>0.16908399999999901</v>
      </c>
      <c r="X9965">
        <v>0.98537549999999996</v>
      </c>
      <c r="Y9965">
        <v>0.1240777</v>
      </c>
      <c r="Z9965">
        <v>-5.0136419999999998E-4</v>
      </c>
      <c r="AA9965">
        <v>0.99227240000000005</v>
      </c>
      <c r="AB9965">
        <v>32</v>
      </c>
      <c r="AC9965">
        <v>11.603399999999899</v>
      </c>
      <c r="AD9965">
        <v>-1.0497447499999999</v>
      </c>
      <c r="AE9965">
        <v>85.584869999999896</v>
      </c>
      <c r="AF9965">
        <v>10.752828717683499</v>
      </c>
      <c r="AG9965">
        <v>-1.0497447499999999</v>
      </c>
      <c r="AH9965">
        <v>85.683032738352694</v>
      </c>
      <c r="AI9965">
        <v>90.696461156279497</v>
      </c>
      <c r="AJ9965">
        <v>82.847036228185601</v>
      </c>
      <c r="AK9965">
        <v>86.361492510919504</v>
      </c>
      <c r="AL9965">
        <v>80.265435211761897</v>
      </c>
      <c r="AM9965">
        <v>88.772490288499</v>
      </c>
      <c r="AN9965">
        <v>1.00000003802612</v>
      </c>
    </row>
    <row r="9966" spans="1:40" x14ac:dyDescent="0.25">
      <c r="A9966" t="str">
        <f>"20190303162143234"</f>
        <v>20190303162143234</v>
      </c>
      <c r="B9966" t="str">
        <f>"1551601303222876"</f>
        <v>1551601303222876</v>
      </c>
      <c r="C9966" t="s">
        <v>40</v>
      </c>
      <c r="D9966">
        <v>4.7571289999999999</v>
      </c>
      <c r="E9966">
        <v>0.54029269999999996</v>
      </c>
      <c r="F9966" t="s">
        <v>50</v>
      </c>
      <c r="G9966">
        <v>-175.0487</v>
      </c>
      <c r="H9966">
        <v>7.9984749999999993E-2</v>
      </c>
      <c r="I9966">
        <v>157.77959999999999</v>
      </c>
      <c r="J9966">
        <v>-187.74680000000001</v>
      </c>
      <c r="K9966">
        <v>1.1210800000000001</v>
      </c>
      <c r="L9966">
        <v>64.372129999999999</v>
      </c>
      <c r="M9966">
        <v>1.002779E-2</v>
      </c>
      <c r="N9966">
        <v>-1.162444E-2</v>
      </c>
      <c r="O9966">
        <v>0.99988220000000005</v>
      </c>
      <c r="P9966">
        <v>3.1151020000000001E-2</v>
      </c>
      <c r="Q9966">
        <v>0.15805629999999901</v>
      </c>
      <c r="R9966">
        <v>0.9869386</v>
      </c>
      <c r="S9966">
        <v>0.4108887</v>
      </c>
      <c r="T9966">
        <v>-3.367829E-2</v>
      </c>
      <c r="U9966">
        <v>3.0320130000000001</v>
      </c>
      <c r="V9966">
        <v>2.1324550000000001E-2</v>
      </c>
      <c r="W9966">
        <v>0.1695122</v>
      </c>
      <c r="X9966">
        <v>0.98529739999999999</v>
      </c>
      <c r="Y9966">
        <v>0.1243286</v>
      </c>
      <c r="Z9966">
        <v>6.0397849999999998E-4</v>
      </c>
      <c r="AA9966">
        <v>0.99224089999999998</v>
      </c>
      <c r="AB9966">
        <v>32</v>
      </c>
      <c r="AC9966">
        <v>12.6981</v>
      </c>
      <c r="AD9966">
        <v>-1.0410952499999999</v>
      </c>
      <c r="AE9966">
        <v>93.407470000000004</v>
      </c>
      <c r="AF9966">
        <v>11.7592933994117</v>
      </c>
      <c r="AG9966">
        <v>-1.0410952499999999</v>
      </c>
      <c r="AH9966">
        <v>93.5187085671472</v>
      </c>
      <c r="AI9966">
        <v>90.632834915366601</v>
      </c>
      <c r="AJ9966">
        <v>82.833089497655706</v>
      </c>
      <c r="AK9966">
        <v>94.260881136556506</v>
      </c>
      <c r="AL9966">
        <v>80.240541883854902</v>
      </c>
      <c r="AM9966">
        <v>88.760155055458895</v>
      </c>
      <c r="AN9966">
        <v>1.0000000444141499</v>
      </c>
    </row>
    <row r="9967" spans="1:40" x14ac:dyDescent="0.25">
      <c r="A9967" t="str">
        <f>"20190303162143255"</f>
        <v>20190303162143255</v>
      </c>
      <c r="B9967" t="str">
        <f>"1551601303242395"</f>
        <v>1551601303242395</v>
      </c>
      <c r="C9967" t="s">
        <v>40</v>
      </c>
      <c r="D9967">
        <v>4.7381460000000004</v>
      </c>
      <c r="E9967">
        <v>0.54020489999999999</v>
      </c>
      <c r="F9967" t="s">
        <v>44</v>
      </c>
      <c r="G9967">
        <v>-172.95939999999999</v>
      </c>
      <c r="H9967">
        <v>-0.05</v>
      </c>
      <c r="I9967">
        <v>173.28559999999999</v>
      </c>
      <c r="J9967">
        <v>-187.74379999999999</v>
      </c>
      <c r="K9967">
        <v>1.121089</v>
      </c>
      <c r="L9967">
        <v>64.664580000000001</v>
      </c>
      <c r="M9967">
        <v>1.0123999999999999E-2</v>
      </c>
      <c r="N9967">
        <v>-1.162446E-2</v>
      </c>
      <c r="O9967">
        <v>0.99988120000000003</v>
      </c>
      <c r="P9967">
        <v>3.0671589999999999E-2</v>
      </c>
      <c r="Q9967">
        <v>0.1577559</v>
      </c>
      <c r="R9967">
        <v>0.98700169999999998</v>
      </c>
      <c r="S9967">
        <v>0.41165160000000001</v>
      </c>
      <c r="T9967">
        <v>-3.2600400000000002E-2</v>
      </c>
      <c r="U9967">
        <v>3.0319210000000001</v>
      </c>
      <c r="V9967">
        <v>2.0742460000000001E-2</v>
      </c>
      <c r="W9967">
        <v>0.1692138</v>
      </c>
      <c r="X9967">
        <v>0.98536109999999999</v>
      </c>
      <c r="Y9967">
        <v>0.1244825</v>
      </c>
      <c r="Z9967">
        <v>9.5633350000000003E-4</v>
      </c>
      <c r="AA9967">
        <v>0.99222140000000003</v>
      </c>
      <c r="AB9967">
        <v>32</v>
      </c>
      <c r="AC9967">
        <v>14.7844</v>
      </c>
      <c r="AD9967">
        <v>-1.171089</v>
      </c>
      <c r="AE9967">
        <v>108.62102</v>
      </c>
      <c r="AF9967">
        <v>13.682327227141601</v>
      </c>
      <c r="AG9967">
        <v>-1.171089</v>
      </c>
      <c r="AH9967">
        <v>108.75272852409501</v>
      </c>
      <c r="AI9967">
        <v>90.612132802107695</v>
      </c>
      <c r="AJ9967">
        <v>82.829216673038204</v>
      </c>
      <c r="AK9967">
        <v>109.616301202112</v>
      </c>
      <c r="AL9967">
        <v>80.257889396878298</v>
      </c>
      <c r="AM9967">
        <v>88.794066545535998</v>
      </c>
      <c r="AN9967">
        <v>1.0000000285752499</v>
      </c>
    </row>
    <row r="9968" spans="1:40" x14ac:dyDescent="0.25">
      <c r="A9968" t="str">
        <f>"20190303162143277"</f>
        <v>20190303162143277</v>
      </c>
      <c r="B9968" t="str">
        <f>"1551601303272652"</f>
        <v>1551601303272652</v>
      </c>
      <c r="C9968" t="s">
        <v>40</v>
      </c>
      <c r="D9968">
        <v>4.7752999999999997</v>
      </c>
      <c r="E9968">
        <v>0.54013929999999999</v>
      </c>
      <c r="F9968" t="s">
        <v>50</v>
      </c>
      <c r="G9968">
        <v>-175.20849999999999</v>
      </c>
      <c r="H9968">
        <v>7.9984719999999995E-2</v>
      </c>
      <c r="I9968">
        <v>157.5085</v>
      </c>
      <c r="J9968">
        <v>-187.74039999999999</v>
      </c>
      <c r="K9968">
        <v>1.121102</v>
      </c>
      <c r="L9968">
        <v>64.980319999999907</v>
      </c>
      <c r="M9968">
        <v>1.0225299999999901E-2</v>
      </c>
      <c r="N9968">
        <v>-1.1624809999999999E-2</v>
      </c>
      <c r="O9968">
        <v>0.99988010000000005</v>
      </c>
      <c r="P9968">
        <v>3.0616750000000002E-2</v>
      </c>
      <c r="Q9968">
        <v>0.15758949999999999</v>
      </c>
      <c r="R9968">
        <v>0.98702999999999996</v>
      </c>
      <c r="S9968">
        <v>0.40939330000000002</v>
      </c>
      <c r="T9968">
        <v>-3.4001829999999997E-2</v>
      </c>
      <c r="U9968">
        <v>3.0322269999999998</v>
      </c>
      <c r="V9968">
        <v>2.0582360000000001E-2</v>
      </c>
      <c r="W9968">
        <v>0.169048799999999</v>
      </c>
      <c r="X9968">
        <v>0.98539270000000001</v>
      </c>
      <c r="Y9968">
        <v>0.1236428</v>
      </c>
      <c r="Z9968">
        <v>4.9839899999999996E-4</v>
      </c>
      <c r="AA9968">
        <v>0.99232670000000001</v>
      </c>
      <c r="AB9968">
        <v>32</v>
      </c>
      <c r="AC9968">
        <v>12.5319</v>
      </c>
      <c r="AD9968">
        <v>-1.0411172799999999</v>
      </c>
      <c r="AE9968">
        <v>92.528180000000006</v>
      </c>
      <c r="AF9968">
        <v>11.5836122420306</v>
      </c>
      <c r="AG9968">
        <v>-1.0411172799999999</v>
      </c>
      <c r="AH9968">
        <v>92.639975674520699</v>
      </c>
      <c r="AI9968">
        <v>90.638906160744</v>
      </c>
      <c r="AJ9968">
        <v>82.872782088714999</v>
      </c>
      <c r="AK9968">
        <v>93.367173517999404</v>
      </c>
      <c r="AL9968">
        <v>80.267480632171598</v>
      </c>
      <c r="AM9968">
        <v>88.803410149388</v>
      </c>
      <c r="AN9968">
        <v>0.99999995176894796</v>
      </c>
    </row>
    <row r="9969" spans="1:40" x14ac:dyDescent="0.25">
      <c r="A9969" t="str">
        <f>"20190303162143299"</f>
        <v>20190303162143299</v>
      </c>
      <c r="B9969" t="str">
        <f>"1551601303293148"</f>
        <v>1551601303293148</v>
      </c>
      <c r="C9969" t="s">
        <v>40</v>
      </c>
      <c r="D9969">
        <v>4.6771219999999998</v>
      </c>
      <c r="E9969">
        <v>0.53957409999999995</v>
      </c>
      <c r="F9969" t="s">
        <v>50</v>
      </c>
      <c r="G9969">
        <v>-175.71250000000001</v>
      </c>
      <c r="H9969">
        <v>7.9984340000000001E-2</v>
      </c>
      <c r="I9969">
        <v>154.37889999999999</v>
      </c>
      <c r="J9969">
        <v>-187.7371</v>
      </c>
      <c r="K9969">
        <v>1.1211070000000001</v>
      </c>
      <c r="L9969">
        <v>65.293300000000002</v>
      </c>
      <c r="M9969">
        <v>1.032749E-2</v>
      </c>
      <c r="N9969">
        <v>-1.1625440000000001E-2</v>
      </c>
      <c r="O9969">
        <v>0.99987910000000002</v>
      </c>
      <c r="P9969">
        <v>3.0420559999999999E-2</v>
      </c>
      <c r="Q9969">
        <v>0.15803719999999999</v>
      </c>
      <c r="R9969">
        <v>0.98696450000000002</v>
      </c>
      <c r="S9969">
        <v>0.4079895</v>
      </c>
      <c r="T9969">
        <v>-3.53148E-2</v>
      </c>
      <c r="U9969">
        <v>3.03241</v>
      </c>
      <c r="V9969">
        <v>2.0282700000000001E-2</v>
      </c>
      <c r="W9969">
        <v>0.1694967</v>
      </c>
      <c r="X9969">
        <v>0.98532200000000003</v>
      </c>
      <c r="Y9969">
        <v>0.123082</v>
      </c>
      <c r="Z9969" s="1">
        <v>6.9622819999999995E-5</v>
      </c>
      <c r="AA9969">
        <v>0.99239650000000001</v>
      </c>
      <c r="AB9969">
        <v>32</v>
      </c>
      <c r="AC9969">
        <v>12.0245999999999</v>
      </c>
      <c r="AD9969">
        <v>-1.0411226600000001</v>
      </c>
      <c r="AE9969">
        <v>89.0855999999999</v>
      </c>
      <c r="AF9969">
        <v>11.102376595572</v>
      </c>
      <c r="AG9969">
        <v>-1.0411226600000001</v>
      </c>
      <c r="AH9969">
        <v>89.193076691930699</v>
      </c>
      <c r="AI9969">
        <v>90.663644098608202</v>
      </c>
      <c r="AJ9969">
        <v>82.904559820865998</v>
      </c>
      <c r="AK9969">
        <v>89.887438678803804</v>
      </c>
      <c r="AL9969">
        <v>80.241442387806302</v>
      </c>
      <c r="AM9969">
        <v>88.820741842903004</v>
      </c>
      <c r="AN9969">
        <v>0.99999998145708902</v>
      </c>
    </row>
    <row r="9970" spans="1:40" x14ac:dyDescent="0.25">
      <c r="A9970" t="str">
        <f>"20190303162143323"</f>
        <v>20190303162143323</v>
      </c>
      <c r="B9970" t="str">
        <f>"1551601303312667"</f>
        <v>1551601303312667</v>
      </c>
      <c r="C9970" t="s">
        <v>40</v>
      </c>
      <c r="D9970">
        <v>4.7339630000000001</v>
      </c>
      <c r="E9970">
        <v>0.53908699999999998</v>
      </c>
      <c r="F9970" t="s">
        <v>50</v>
      </c>
      <c r="G9970">
        <v>-175.94040000000001</v>
      </c>
      <c r="H9970">
        <v>7.9984369999999999E-2</v>
      </c>
      <c r="I9970">
        <v>154.27959999999999</v>
      </c>
      <c r="J9970">
        <v>-187.73349999999999</v>
      </c>
      <c r="K9970">
        <v>1.121119</v>
      </c>
      <c r="L9970">
        <v>65.626009999999994</v>
      </c>
      <c r="M9970">
        <v>1.0439459999999999E-2</v>
      </c>
      <c r="N9970">
        <v>-1.162637E-2</v>
      </c>
      <c r="O9970">
        <v>0.99987789999999999</v>
      </c>
      <c r="P9970">
        <v>3.0516850000000002E-2</v>
      </c>
      <c r="Q9970">
        <v>0.1575424</v>
      </c>
      <c r="R9970">
        <v>0.98704060000000005</v>
      </c>
      <c r="S9970">
        <v>0.40206910000000001</v>
      </c>
      <c r="T9970">
        <v>-3.5484670000000003E-2</v>
      </c>
      <c r="U9970">
        <v>3.0329280000000001</v>
      </c>
      <c r="V9970">
        <v>2.0264709999999998E-2</v>
      </c>
      <c r="W9970">
        <v>0.16900419999999999</v>
      </c>
      <c r="X9970">
        <v>0.98540700000000003</v>
      </c>
      <c r="Y9970">
        <v>0.1210451</v>
      </c>
      <c r="Z9970" s="1">
        <v>1.407347E-5</v>
      </c>
      <c r="AA9970">
        <v>0.99264699999999995</v>
      </c>
      <c r="AB9970">
        <v>32</v>
      </c>
      <c r="AC9970">
        <v>11.7930999999999</v>
      </c>
      <c r="AD9970">
        <v>-1.0411346299999999</v>
      </c>
      <c r="AE9970">
        <v>88.653589999999994</v>
      </c>
      <c r="AF9970">
        <v>10.865426615880001</v>
      </c>
      <c r="AG9970">
        <v>-1.0411346299999999</v>
      </c>
      <c r="AH9970">
        <v>88.759851565519298</v>
      </c>
      <c r="AI9970">
        <v>90.667057843838805</v>
      </c>
      <c r="AJ9970">
        <v>83.020931076754195</v>
      </c>
      <c r="AK9970">
        <v>89.4284781643738</v>
      </c>
      <c r="AL9970">
        <v>80.270073968645505</v>
      </c>
      <c r="AM9970">
        <v>88.821889108546401</v>
      </c>
      <c r="AN9970">
        <v>1.00000001686901</v>
      </c>
    </row>
    <row r="9971" spans="1:40" x14ac:dyDescent="0.25">
      <c r="A9971" t="str">
        <f>"20190303162143343"</f>
        <v>20190303162143343</v>
      </c>
      <c r="B9971" t="str">
        <f>"1551601303332188"</f>
        <v>1551601303332188</v>
      </c>
      <c r="C9971" t="s">
        <v>40</v>
      </c>
      <c r="D9971">
        <v>4.7475370000000003</v>
      </c>
      <c r="E9971">
        <v>0.53860469999999905</v>
      </c>
      <c r="F9971" t="s">
        <v>50</v>
      </c>
      <c r="G9971">
        <v>-176.69829999999999</v>
      </c>
      <c r="H9971">
        <v>7.9730079999999995E-2</v>
      </c>
      <c r="I9971">
        <v>149.68610000000001</v>
      </c>
      <c r="J9971">
        <v>-187.7304</v>
      </c>
      <c r="K9971">
        <v>1.121122</v>
      </c>
      <c r="L9971">
        <v>65.916839999999993</v>
      </c>
      <c r="M9971">
        <v>1.0539649999999999E-2</v>
      </c>
      <c r="N9971">
        <v>-1.162733E-2</v>
      </c>
      <c r="O9971">
        <v>0.99987689999999996</v>
      </c>
      <c r="P9971">
        <v>3.1479600000000003E-2</v>
      </c>
      <c r="Q9971">
        <v>0.15721389999999999</v>
      </c>
      <c r="R9971">
        <v>0.98706280000000002</v>
      </c>
      <c r="S9971">
        <v>0.39817809999999998</v>
      </c>
      <c r="T9971">
        <v>-3.757572E-2</v>
      </c>
      <c r="U9971">
        <v>3.0330810000000001</v>
      </c>
      <c r="V9971">
        <v>2.1126309999999999E-2</v>
      </c>
      <c r="W9971">
        <v>0.16867699999999999</v>
      </c>
      <c r="X9971">
        <v>0.98544500000000002</v>
      </c>
      <c r="Y9971">
        <v>0.1196871</v>
      </c>
      <c r="Z9971">
        <v>-6.7013979999999999E-4</v>
      </c>
      <c r="AA9971">
        <v>0.99281140000000001</v>
      </c>
      <c r="AB9971">
        <v>32</v>
      </c>
      <c r="AC9971">
        <v>11.0321</v>
      </c>
      <c r="AD9971">
        <v>-1.0413919199999999</v>
      </c>
      <c r="AE9971">
        <v>83.769260000000003</v>
      </c>
      <c r="AF9971">
        <v>10.146987380546699</v>
      </c>
      <c r="AG9971">
        <v>-1.0413919199999999</v>
      </c>
      <c r="AH9971">
        <v>83.868148294438299</v>
      </c>
      <c r="AI9971">
        <v>90.706256137465402</v>
      </c>
      <c r="AJ9971">
        <v>83.1014635931312</v>
      </c>
      <c r="AK9971">
        <v>84.486165425884394</v>
      </c>
      <c r="AL9971">
        <v>80.289094535661903</v>
      </c>
      <c r="AM9971">
        <v>88.771861434128297</v>
      </c>
      <c r="AN9971">
        <v>1.0000000496640999</v>
      </c>
    </row>
    <row r="9972" spans="1:40" x14ac:dyDescent="0.25">
      <c r="A9972" t="str">
        <f>"20190303162143367"</f>
        <v>20190303162143367</v>
      </c>
      <c r="B9972" t="str">
        <f>"1551601303352683"</f>
        <v>1551601303352683</v>
      </c>
      <c r="C9972" t="s">
        <v>40</v>
      </c>
      <c r="D9972">
        <v>4.7376139999999998</v>
      </c>
      <c r="E9972">
        <v>0.53812249999999995</v>
      </c>
      <c r="F9972" t="s">
        <v>50</v>
      </c>
      <c r="G9972">
        <v>-176.7756</v>
      </c>
      <c r="H9972">
        <v>3.2829240000000003E-2</v>
      </c>
      <c r="I9972">
        <v>149.66210000000001</v>
      </c>
      <c r="J9972">
        <v>-187.7269</v>
      </c>
      <c r="K9972">
        <v>1.1211199999999999</v>
      </c>
      <c r="L9972">
        <v>66.240539999999996</v>
      </c>
      <c r="M9972">
        <v>1.0651880000000001E-2</v>
      </c>
      <c r="N9972">
        <v>-1.162856E-2</v>
      </c>
      <c r="O9972">
        <v>0.99987570000000003</v>
      </c>
      <c r="P9972">
        <v>3.2329919999999998E-2</v>
      </c>
      <c r="Q9972">
        <v>0.1565549</v>
      </c>
      <c r="R9972">
        <v>0.98714000000000002</v>
      </c>
      <c r="S9972">
        <v>0.39674379999999998</v>
      </c>
      <c r="T9972">
        <v>-3.9414169999999998E-2</v>
      </c>
      <c r="U9972">
        <v>3.032959</v>
      </c>
      <c r="V9972">
        <v>2.1863279999999999E-2</v>
      </c>
      <c r="W9972">
        <v>0.16802039999999999</v>
      </c>
      <c r="X9972">
        <v>0.985541</v>
      </c>
      <c r="Y9972">
        <v>0.1191188</v>
      </c>
      <c r="Z9972">
        <v>-1.2715210000000001E-3</v>
      </c>
      <c r="AA9972">
        <v>0.99287919999999996</v>
      </c>
      <c r="AB9972">
        <v>32</v>
      </c>
      <c r="AC9972">
        <v>10.9513</v>
      </c>
      <c r="AD9972">
        <v>-1.08829076</v>
      </c>
      <c r="AE9972">
        <v>83.421559999999999</v>
      </c>
      <c r="AF9972">
        <v>10.0603389708786</v>
      </c>
      <c r="AG9972">
        <v>-1.08829076</v>
      </c>
      <c r="AH9972">
        <v>83.519513079800305</v>
      </c>
      <c r="AI9972">
        <v>90.741186255819002</v>
      </c>
      <c r="AJ9972">
        <v>83.131531154880193</v>
      </c>
      <c r="AK9972">
        <v>84.130279103746105</v>
      </c>
      <c r="AL9972">
        <v>80.327258781629894</v>
      </c>
      <c r="AM9972">
        <v>88.729156638290902</v>
      </c>
      <c r="AN9972">
        <v>0.99999996025475801</v>
      </c>
    </row>
    <row r="9973" spans="1:40" x14ac:dyDescent="0.25">
      <c r="A9973" t="str">
        <f>"20190303162143390"</f>
        <v>20190303162143390</v>
      </c>
      <c r="B9973" t="str">
        <f>"1551601303382940"</f>
        <v>1551601303382940</v>
      </c>
      <c r="C9973" t="s">
        <v>40</v>
      </c>
      <c r="D9973">
        <v>4.7220060000000004</v>
      </c>
      <c r="E9973">
        <v>0.53744999999999998</v>
      </c>
      <c r="F9973" t="s">
        <v>50</v>
      </c>
      <c r="G9973">
        <v>-177.11199999999999</v>
      </c>
      <c r="H9973" s="1">
        <v>-9.6489369999999996E-6</v>
      </c>
      <c r="I9973">
        <v>147.68209999999999</v>
      </c>
      <c r="J9973">
        <v>-187.72319999999999</v>
      </c>
      <c r="K9973">
        <v>1.1211230000000001</v>
      </c>
      <c r="L9973">
        <v>66.574740000000006</v>
      </c>
      <c r="M9973">
        <v>1.0768109999999999E-2</v>
      </c>
      <c r="N9973">
        <v>-1.163001E-2</v>
      </c>
      <c r="O9973">
        <v>0.99987440000000005</v>
      </c>
      <c r="P9973">
        <v>3.3040760000000002E-2</v>
      </c>
      <c r="Q9973">
        <v>0.1557665</v>
      </c>
      <c r="R9973">
        <v>0.98724109999999998</v>
      </c>
      <c r="S9973">
        <v>0.39527889999999999</v>
      </c>
      <c r="T9973">
        <v>-4.1749000000000001E-2</v>
      </c>
      <c r="U9973">
        <v>3.0327449999999998</v>
      </c>
      <c r="V9973">
        <v>2.2456899999999998E-2</v>
      </c>
      <c r="W9973">
        <v>0.16723440000000001</v>
      </c>
      <c r="X9973">
        <v>0.98566140000000002</v>
      </c>
      <c r="Y9973">
        <v>0.1185402</v>
      </c>
      <c r="Z9973">
        <v>-2.0355830000000001E-3</v>
      </c>
      <c r="AA9973">
        <v>0.99294720000000003</v>
      </c>
      <c r="AB9973">
        <v>32</v>
      </c>
      <c r="AC9973">
        <v>10.611199999999901</v>
      </c>
      <c r="AD9973">
        <v>-1.1211326489369999</v>
      </c>
      <c r="AE9973">
        <v>81.1073599999999</v>
      </c>
      <c r="AF9973">
        <v>9.7353238389560097</v>
      </c>
      <c r="AG9973">
        <v>-1.1211326489369999</v>
      </c>
      <c r="AH9973">
        <v>81.2016730906238</v>
      </c>
      <c r="AI9973">
        <v>90.785395566916705</v>
      </c>
      <c r="AJ9973">
        <v>83.163401302382795</v>
      </c>
      <c r="AK9973">
        <v>81.790862456526199</v>
      </c>
      <c r="AL9973">
        <v>80.372940272881706</v>
      </c>
      <c r="AM9973">
        <v>88.694822558424093</v>
      </c>
      <c r="AN9973">
        <v>1.00000002617546</v>
      </c>
    </row>
    <row r="9974" spans="1:40" x14ac:dyDescent="0.25">
      <c r="A9974" t="str">
        <f>"20190303162143412"</f>
        <v>20190303162143412</v>
      </c>
      <c r="B9974" t="str">
        <f>"1551601303402365"</f>
        <v>1551601303402365</v>
      </c>
      <c r="C9974" t="s">
        <v>40</v>
      </c>
      <c r="D9974">
        <v>4.7530150000000004</v>
      </c>
      <c r="E9974">
        <v>0.53695509999999902</v>
      </c>
      <c r="F9974" t="s">
        <v>50</v>
      </c>
      <c r="G9974">
        <v>-177.89060000000001</v>
      </c>
      <c r="H9974" s="1">
        <v>-8.5872289999999906E-6</v>
      </c>
      <c r="I9974">
        <v>142.5377</v>
      </c>
      <c r="J9974">
        <v>-187.71969999999999</v>
      </c>
      <c r="K9974">
        <v>1.1211279999999999</v>
      </c>
      <c r="L9974">
        <v>66.887730000000005</v>
      </c>
      <c r="M9974">
        <v>1.087666E-2</v>
      </c>
      <c r="N9974">
        <v>-1.163147E-2</v>
      </c>
      <c r="O9974">
        <v>0.99987320000000002</v>
      </c>
      <c r="P9974">
        <v>3.2925950000000002E-2</v>
      </c>
      <c r="Q9974">
        <v>0.1557801</v>
      </c>
      <c r="R9974">
        <v>0.98724279999999998</v>
      </c>
      <c r="S9974">
        <v>0.3925476</v>
      </c>
      <c r="T9974">
        <v>-4.4759149999999998E-2</v>
      </c>
      <c r="U9974">
        <v>3.0326840000000002</v>
      </c>
      <c r="V9974">
        <v>2.2234139999999999E-2</v>
      </c>
      <c r="W9974">
        <v>0.16724990000000001</v>
      </c>
      <c r="X9974">
        <v>0.98566379999999998</v>
      </c>
      <c r="Y9974">
        <v>0.1175546</v>
      </c>
      <c r="Z9974">
        <v>-3.0207250000000001E-3</v>
      </c>
      <c r="AA9974">
        <v>0.99306179999999999</v>
      </c>
      <c r="AB9974">
        <v>32</v>
      </c>
      <c r="AC9974">
        <v>9.8290999999999809</v>
      </c>
      <c r="AD9974">
        <v>-1.121136587229</v>
      </c>
      <c r="AE9974">
        <v>75.649969999999996</v>
      </c>
      <c r="AF9974">
        <v>9.0036991505423707</v>
      </c>
      <c r="AG9974">
        <v>-1.121136587229</v>
      </c>
      <c r="AH9974">
        <v>75.736051449387404</v>
      </c>
      <c r="AI9974">
        <v>90.842169962637698</v>
      </c>
      <c r="AJ9974">
        <v>83.220348047012493</v>
      </c>
      <c r="AK9974">
        <v>76.277605067181796</v>
      </c>
      <c r="AL9974">
        <v>80.372039308846396</v>
      </c>
      <c r="AM9974">
        <v>88.7077679286554</v>
      </c>
      <c r="AN9974">
        <v>1.00000000633099</v>
      </c>
    </row>
    <row r="9975" spans="1:40" x14ac:dyDescent="0.25">
      <c r="A9975" t="str">
        <f>"20190303162143434"</f>
        <v>20190303162143434</v>
      </c>
      <c r="B9975" t="str">
        <f>"1551601303422861"</f>
        <v>1551601303422861</v>
      </c>
      <c r="C9975" t="s">
        <v>40</v>
      </c>
      <c r="D9975">
        <v>4.8237809999999897</v>
      </c>
      <c r="E9975">
        <v>0.53647699999999998</v>
      </c>
      <c r="F9975" t="s">
        <v>50</v>
      </c>
      <c r="G9975">
        <v>-178.07130000000001</v>
      </c>
      <c r="H9975" s="1">
        <v>-8.5781979999999998E-6</v>
      </c>
      <c r="I9975">
        <v>142.16210000000001</v>
      </c>
      <c r="J9975">
        <v>-187.71610000000001</v>
      </c>
      <c r="K9975">
        <v>1.12113</v>
      </c>
      <c r="L9975">
        <v>67.204160000000002</v>
      </c>
      <c r="M9975">
        <v>1.098612E-2</v>
      </c>
      <c r="N9975">
        <v>-1.1633030000000001E-2</v>
      </c>
      <c r="O9975">
        <v>0.99987199999999998</v>
      </c>
      <c r="P9975">
        <v>3.2848170000000003E-2</v>
      </c>
      <c r="Q9975">
        <v>0.15612709999999999</v>
      </c>
      <c r="R9975">
        <v>0.98719060000000003</v>
      </c>
      <c r="S9975">
        <v>0.38874819999999999</v>
      </c>
      <c r="T9975">
        <v>-4.5172450000000003E-2</v>
      </c>
      <c r="U9975">
        <v>3.0329280000000001</v>
      </c>
      <c r="V9975">
        <v>2.2048379999999999E-2</v>
      </c>
      <c r="W9975">
        <v>0.16759779999999999</v>
      </c>
      <c r="X9975">
        <v>0.98560890000000001</v>
      </c>
      <c r="Y9975">
        <v>0.116212</v>
      </c>
      <c r="Z9975">
        <v>-3.1555160000000001E-3</v>
      </c>
      <c r="AA9975">
        <v>0.99321939999999997</v>
      </c>
      <c r="AB9975">
        <v>32</v>
      </c>
      <c r="AC9975">
        <v>9.6448</v>
      </c>
      <c r="AD9975">
        <v>-1.1211385781979999</v>
      </c>
      <c r="AE9975">
        <v>74.957939999999994</v>
      </c>
      <c r="AF9975">
        <v>8.8187245330232091</v>
      </c>
      <c r="AG9975">
        <v>-1.1211385781979999</v>
      </c>
      <c r="AH9975">
        <v>75.042867481614195</v>
      </c>
      <c r="AI9975">
        <v>90.850085015899197</v>
      </c>
      <c r="AJ9975">
        <v>83.297579760856195</v>
      </c>
      <c r="AK9975">
        <v>75.567577796062594</v>
      </c>
      <c r="AL9975">
        <v>80.351820939844998</v>
      </c>
      <c r="AM9975">
        <v>88.718489195488502</v>
      </c>
      <c r="AN9975">
        <v>1.0000000286923301</v>
      </c>
    </row>
    <row r="9976" spans="1:40" x14ac:dyDescent="0.25">
      <c r="A9976" t="str">
        <f>"20190303162143456"</f>
        <v>20190303162143456</v>
      </c>
      <c r="B9976" t="str">
        <f>"1551601303442381"</f>
        <v>1551601303442381</v>
      </c>
      <c r="C9976" t="s">
        <v>40</v>
      </c>
      <c r="D9976">
        <v>4.7755340000000004</v>
      </c>
      <c r="E9976">
        <v>0.5361186</v>
      </c>
      <c r="F9976" t="s">
        <v>50</v>
      </c>
      <c r="G9976">
        <v>-178.05109999999999</v>
      </c>
      <c r="H9976" s="1">
        <v>-8.9645259999999998E-6</v>
      </c>
      <c r="I9976">
        <v>143.3948</v>
      </c>
      <c r="J9976">
        <v>-187.71260000000001</v>
      </c>
      <c r="K9976">
        <v>1.1211249999999999</v>
      </c>
      <c r="L9976">
        <v>67.512909999999906</v>
      </c>
      <c r="M9976">
        <v>1.109299E-2</v>
      </c>
      <c r="N9976">
        <v>-1.163461E-2</v>
      </c>
      <c r="O9976">
        <v>0.99987079999999995</v>
      </c>
      <c r="P9976">
        <v>3.2453990000000002E-2</v>
      </c>
      <c r="Q9976">
        <v>0.15650639999999999</v>
      </c>
      <c r="R9976">
        <v>0.98714360000000001</v>
      </c>
      <c r="S9976">
        <v>0.38476559999999999</v>
      </c>
      <c r="T9976">
        <v>-4.4632909999999998E-2</v>
      </c>
      <c r="U9976">
        <v>3.0331730000000001</v>
      </c>
      <c r="V9976">
        <v>2.154884E-2</v>
      </c>
      <c r="W9976">
        <v>0.16797809999999999</v>
      </c>
      <c r="X9976">
        <v>0.98555519999999996</v>
      </c>
      <c r="Y9976">
        <v>0.11481280000000001</v>
      </c>
      <c r="Z9976">
        <v>-2.9786190000000001E-3</v>
      </c>
      <c r="AA9976">
        <v>0.99338269999999995</v>
      </c>
      <c r="AB9976">
        <v>32</v>
      </c>
      <c r="AC9976">
        <v>9.6615000000000109</v>
      </c>
      <c r="AD9976">
        <v>-1.1211339645259999</v>
      </c>
      <c r="AE9976">
        <v>75.881889999999999</v>
      </c>
      <c r="AF9976">
        <v>8.8171974228139902</v>
      </c>
      <c r="AG9976">
        <v>-1.1211339645259999</v>
      </c>
      <c r="AH9976">
        <v>75.968083883139698</v>
      </c>
      <c r="AI9976">
        <v>90.839870265848404</v>
      </c>
      <c r="AJ9976">
        <v>83.379615804011294</v>
      </c>
      <c r="AK9976">
        <v>76.486271190554504</v>
      </c>
      <c r="AL9976">
        <v>80.329717952991601</v>
      </c>
      <c r="AM9976">
        <v>88.747446217684399</v>
      </c>
      <c r="AN9976">
        <v>1.00000002341599</v>
      </c>
    </row>
    <row r="9977" spans="1:40" x14ac:dyDescent="0.25">
      <c r="A9977" t="str">
        <f>"20190303162143479"</f>
        <v>20190303162143479</v>
      </c>
      <c r="B9977" t="str">
        <f>"1551601303472637"</f>
        <v>1551601303472637</v>
      </c>
      <c r="C9977" t="s">
        <v>40</v>
      </c>
      <c r="D9977">
        <v>4.8085559999999896</v>
      </c>
      <c r="E9977">
        <v>0.53562279999999995</v>
      </c>
      <c r="F9977" t="s">
        <v>50</v>
      </c>
      <c r="G9977">
        <v>-177.97110000000001</v>
      </c>
      <c r="H9977" s="1">
        <v>-9.4040920000000001E-6</v>
      </c>
      <c r="I9977">
        <v>145.14689999999999</v>
      </c>
      <c r="J9977">
        <v>-187.7089</v>
      </c>
      <c r="K9977">
        <v>1.1211249999999999</v>
      </c>
      <c r="L9977">
        <v>67.837130000000002</v>
      </c>
      <c r="M9977">
        <v>1.1205379999999999E-2</v>
      </c>
      <c r="N9977">
        <v>-1.163633E-2</v>
      </c>
      <c r="O9977">
        <v>0.99986949999999997</v>
      </c>
      <c r="P9977">
        <v>3.1920799999999999E-2</v>
      </c>
      <c r="Q9977">
        <v>0.1564825</v>
      </c>
      <c r="R9977">
        <v>0.98716479999999995</v>
      </c>
      <c r="S9977">
        <v>0.38064579999999998</v>
      </c>
      <c r="T9977">
        <v>-4.3807739999999998E-2</v>
      </c>
      <c r="U9977">
        <v>3.0335079999999999</v>
      </c>
      <c r="V9977">
        <v>2.0904010000000001E-2</v>
      </c>
      <c r="W9977">
        <v>0.16795599999999999</v>
      </c>
      <c r="X9977">
        <v>0.98557280000000003</v>
      </c>
      <c r="Y9977">
        <v>0.11335969999999999</v>
      </c>
      <c r="Z9977">
        <v>-2.7077239999999999E-3</v>
      </c>
      <c r="AA9977">
        <v>0.9935503</v>
      </c>
      <c r="AB9977">
        <v>32</v>
      </c>
      <c r="AC9977">
        <v>9.7377999999999894</v>
      </c>
      <c r="AD9977">
        <v>-1.1211344040919999</v>
      </c>
      <c r="AE9977">
        <v>77.309769999999901</v>
      </c>
      <c r="AF9977">
        <v>8.8690084884493299</v>
      </c>
      <c r="AG9977">
        <v>-1.1211344040919999</v>
      </c>
      <c r="AH9977">
        <v>77.398015933474696</v>
      </c>
      <c r="AI9977">
        <v>90.824494477301698</v>
      </c>
      <c r="AJ9977">
        <v>83.4630113650596</v>
      </c>
      <c r="AK9977">
        <v>77.912573596041796</v>
      </c>
      <c r="AL9977">
        <v>80.331001915830598</v>
      </c>
      <c r="AM9977">
        <v>88.784938064749298</v>
      </c>
      <c r="AN9977">
        <v>0.99999996983495898</v>
      </c>
    </row>
    <row r="9978" spans="1:40" x14ac:dyDescent="0.25">
      <c r="A9978" t="str">
        <f>"20190303162143500"</f>
        <v>20190303162143500</v>
      </c>
      <c r="B9978" t="str">
        <f>"1551601303492157"</f>
        <v>1551601303492157</v>
      </c>
      <c r="C9978" t="s">
        <v>40</v>
      </c>
      <c r="D9978">
        <v>4.8209470000000003</v>
      </c>
      <c r="E9978">
        <v>0.53530290000000003</v>
      </c>
      <c r="F9978" t="s">
        <v>50</v>
      </c>
      <c r="G9978">
        <v>-178.18010000000001</v>
      </c>
      <c r="H9978" s="1">
        <v>-9.4483379999999996E-6</v>
      </c>
      <c r="I9978">
        <v>144.9092</v>
      </c>
      <c r="J9978">
        <v>-187.7054</v>
      </c>
      <c r="K9978">
        <v>1.121127</v>
      </c>
      <c r="L9978">
        <v>68.141779999999997</v>
      </c>
      <c r="M9978">
        <v>1.131075E-2</v>
      </c>
      <c r="N9978">
        <v>-1.1637969999999999E-2</v>
      </c>
      <c r="O9978">
        <v>0.99986830000000004</v>
      </c>
      <c r="P9978">
        <v>3.1257529999999999E-2</v>
      </c>
      <c r="Q9978">
        <v>0.15718570000000001</v>
      </c>
      <c r="R9978">
        <v>0.98707429999999996</v>
      </c>
      <c r="S9978">
        <v>0.37509160000000002</v>
      </c>
      <c r="T9978">
        <v>-4.413247E-2</v>
      </c>
      <c r="U9978">
        <v>3.0338750000000001</v>
      </c>
      <c r="V9978">
        <v>2.013765E-2</v>
      </c>
      <c r="W9978">
        <v>0.16866010000000001</v>
      </c>
      <c r="X9978">
        <v>0.98546860000000003</v>
      </c>
      <c r="Y9978">
        <v>0.1114491</v>
      </c>
      <c r="Z9978">
        <v>-2.8137309999999999E-3</v>
      </c>
      <c r="AA9978">
        <v>0.99376620000000004</v>
      </c>
      <c r="AB9978">
        <v>32</v>
      </c>
      <c r="AC9978">
        <v>9.5252999999999801</v>
      </c>
      <c r="AD9978">
        <v>-1.121136448338</v>
      </c>
      <c r="AE9978">
        <v>76.767419999999902</v>
      </c>
      <c r="AF9978">
        <v>8.6545167884421108</v>
      </c>
      <c r="AG9978">
        <v>-1.121136448338</v>
      </c>
      <c r="AH9978">
        <v>76.854110824898697</v>
      </c>
      <c r="AI9978">
        <v>90.830514588840103</v>
      </c>
      <c r="AJ9978">
        <v>83.575007712842705</v>
      </c>
      <c r="AK9978">
        <v>77.347992594914999</v>
      </c>
      <c r="AL9978">
        <v>80.290076989984001</v>
      </c>
      <c r="AM9978">
        <v>88.829346976873197</v>
      </c>
      <c r="AN9978">
        <v>1.0000000579327399</v>
      </c>
    </row>
    <row r="9979" spans="1:40" x14ac:dyDescent="0.25">
      <c r="A9979" t="str">
        <f>"20190303162143515"</f>
        <v>20190303162143515</v>
      </c>
      <c r="B9979" t="str">
        <f>"1551601303502893"</f>
        <v>1551601303502893</v>
      </c>
      <c r="C9979" t="s">
        <v>40</v>
      </c>
      <c r="D9979">
        <v>4.8220510000000001</v>
      </c>
      <c r="E9979">
        <v>0.53515990000000002</v>
      </c>
      <c r="F9979" t="s">
        <v>50</v>
      </c>
      <c r="G9979">
        <v>-177.85409999999999</v>
      </c>
      <c r="H9979" s="1">
        <v>-1.032776E-5</v>
      </c>
      <c r="I9979">
        <v>148.7441</v>
      </c>
      <c r="J9979">
        <v>-187.7029</v>
      </c>
      <c r="K9979">
        <v>1.121138</v>
      </c>
      <c r="L9979">
        <v>68.351469999999907</v>
      </c>
      <c r="M9979">
        <v>1.13831E-2</v>
      </c>
      <c r="N9979">
        <v>-1.1639190000000001E-2</v>
      </c>
      <c r="O9979">
        <v>0.99986739999999996</v>
      </c>
      <c r="P9979">
        <v>3.1226549999999999E-2</v>
      </c>
      <c r="Q9979">
        <v>0.15754360000000001</v>
      </c>
      <c r="R9979">
        <v>0.98701819999999896</v>
      </c>
      <c r="S9979">
        <v>0.3708496</v>
      </c>
      <c r="T9979">
        <v>-4.2204739999999998E-2</v>
      </c>
      <c r="U9979">
        <v>3.0342410000000002</v>
      </c>
      <c r="V9979">
        <v>2.0035830000000001E-2</v>
      </c>
      <c r="W9979">
        <v>0.16901869999999999</v>
      </c>
      <c r="X9979">
        <v>0.98540919999999999</v>
      </c>
      <c r="Y9979">
        <v>0.1099946</v>
      </c>
      <c r="Z9979">
        <v>-2.1822669999999999E-3</v>
      </c>
      <c r="AA9979">
        <v>0.99392979999999997</v>
      </c>
      <c r="AB9979">
        <v>32</v>
      </c>
      <c r="AC9979">
        <v>9.8488000000000095</v>
      </c>
      <c r="AD9979">
        <v>-1.1211483277600001</v>
      </c>
      <c r="AE9979">
        <v>80.392629999999997</v>
      </c>
      <c r="AF9979">
        <v>8.9312710686126593</v>
      </c>
      <c r="AG9979">
        <v>-1.1211483277600001</v>
      </c>
      <c r="AH9979">
        <v>80.484116396227606</v>
      </c>
      <c r="AI9979">
        <v>90.793213531117999</v>
      </c>
      <c r="AJ9979">
        <v>83.667830945692202</v>
      </c>
      <c r="AK9979">
        <v>80.985909691472798</v>
      </c>
      <c r="AL9979">
        <v>80.269231118310799</v>
      </c>
      <c r="AM9979">
        <v>88.835194208445103</v>
      </c>
      <c r="AN9979">
        <v>1.00000002343905</v>
      </c>
    </row>
    <row r="9980" spans="1:40" x14ac:dyDescent="0.25">
      <c r="A9980" t="str">
        <f>"20190303162143534"</f>
        <v>20190303162143534</v>
      </c>
      <c r="B9980" t="str">
        <f>"1551601303522413"</f>
        <v>1551601303522413</v>
      </c>
      <c r="C9980" t="s">
        <v>40</v>
      </c>
      <c r="D9980">
        <v>4.8098219999999996</v>
      </c>
      <c r="E9980">
        <v>0.53484330000000002</v>
      </c>
      <c r="F9980" t="s">
        <v>50</v>
      </c>
      <c r="G9980">
        <v>-177.7714</v>
      </c>
      <c r="H9980">
        <v>1.434497E-2</v>
      </c>
      <c r="I9980">
        <v>149.85409999999999</v>
      </c>
      <c r="J9980">
        <v>-187.69990000000001</v>
      </c>
      <c r="K9980">
        <v>1.121146</v>
      </c>
      <c r="L9980">
        <v>68.613740000000007</v>
      </c>
      <c r="M9980">
        <v>1.1473580000000001E-2</v>
      </c>
      <c r="N9980">
        <v>-1.164078E-2</v>
      </c>
      <c r="O9980">
        <v>0.99986640000000004</v>
      </c>
      <c r="P9980">
        <v>3.1189499999999998E-2</v>
      </c>
      <c r="Q9980">
        <v>0.158719</v>
      </c>
      <c r="R9980">
        <v>0.98683100000000001</v>
      </c>
      <c r="S9980">
        <v>0.369751</v>
      </c>
      <c r="T9980">
        <v>-4.1205760000000001E-2</v>
      </c>
      <c r="U9980">
        <v>3.034332</v>
      </c>
      <c r="V9980">
        <v>1.9911740000000001E-2</v>
      </c>
      <c r="W9980">
        <v>0.1701935</v>
      </c>
      <c r="X9980">
        <v>0.98520949999999996</v>
      </c>
      <c r="Y9980">
        <v>0.1095468</v>
      </c>
      <c r="Z9980">
        <v>-1.8539979999999999E-3</v>
      </c>
      <c r="AA9980">
        <v>0.99397990000000003</v>
      </c>
      <c r="AB9980">
        <v>32</v>
      </c>
      <c r="AC9980">
        <v>9.9285000000000103</v>
      </c>
      <c r="AD9980">
        <v>-1.10680103</v>
      </c>
      <c r="AE9980">
        <v>81.240359999999896</v>
      </c>
      <c r="AF9980">
        <v>8.9940206442855093</v>
      </c>
      <c r="AG9980">
        <v>-1.10680103</v>
      </c>
      <c r="AH9980">
        <v>81.334060839848703</v>
      </c>
      <c r="AI9980">
        <v>90.774914934919295</v>
      </c>
      <c r="AJ9980">
        <v>83.689799595213998</v>
      </c>
      <c r="AK9980">
        <v>81.837319534366799</v>
      </c>
      <c r="AL9980">
        <v>80.200930573110398</v>
      </c>
      <c r="AM9980">
        <v>88.842171774711602</v>
      </c>
      <c r="AN9980">
        <v>1.0000000318611599</v>
      </c>
    </row>
    <row r="9981" spans="1:40" x14ac:dyDescent="0.25">
      <c r="A9981" t="str">
        <f>"20190303162143556"</f>
        <v>20190303162143556</v>
      </c>
      <c r="B9981" t="str">
        <f>"1551601303542909"</f>
        <v>1551601303542909</v>
      </c>
      <c r="C9981" t="s">
        <v>40</v>
      </c>
      <c r="D9981">
        <v>4.8176489999999896</v>
      </c>
      <c r="E9981">
        <v>0.53453640000000002</v>
      </c>
      <c r="F9981" t="s">
        <v>50</v>
      </c>
      <c r="G9981">
        <v>-177.54900000000001</v>
      </c>
      <c r="H9981">
        <v>7.9984749999999993E-2</v>
      </c>
      <c r="I9981">
        <v>152.44929999999999</v>
      </c>
      <c r="J9981">
        <v>-187.6962</v>
      </c>
      <c r="K9981">
        <v>1.1211519999999999</v>
      </c>
      <c r="L9981">
        <v>68.927580000000006</v>
      </c>
      <c r="M9981">
        <v>1.158199E-2</v>
      </c>
      <c r="N9981">
        <v>-1.1642700000000001E-2</v>
      </c>
      <c r="O9981">
        <v>0.99986509999999995</v>
      </c>
      <c r="P9981">
        <v>3.1007179999999999E-2</v>
      </c>
      <c r="Q9981">
        <v>0.15990660000000001</v>
      </c>
      <c r="R9981">
        <v>0.98664499999999999</v>
      </c>
      <c r="S9981">
        <v>0.36741639999999998</v>
      </c>
      <c r="T9981">
        <v>-3.7685509999999998E-2</v>
      </c>
      <c r="U9981">
        <v>3.0344850000000001</v>
      </c>
      <c r="V9981">
        <v>1.9624719999999998E-2</v>
      </c>
      <c r="W9981">
        <v>0.1713808</v>
      </c>
      <c r="X9981">
        <v>0.98500940000000003</v>
      </c>
      <c r="Y9981">
        <v>0.108680399999999</v>
      </c>
      <c r="Z9981">
        <v>-7.0054239999999999E-4</v>
      </c>
      <c r="AA9981">
        <v>0.99407650000000003</v>
      </c>
      <c r="AB9981">
        <v>32</v>
      </c>
      <c r="AC9981">
        <v>10.1471999999999</v>
      </c>
      <c r="AD9981">
        <v>-1.04116725</v>
      </c>
      <c r="AE9981">
        <v>83.521719999999902</v>
      </c>
      <c r="AF9981">
        <v>9.1777005209438602</v>
      </c>
      <c r="AG9981">
        <v>-1.04116725</v>
      </c>
      <c r="AH9981">
        <v>83.6208444837348</v>
      </c>
      <c r="AI9981">
        <v>90.709098075398998</v>
      </c>
      <c r="AJ9981">
        <v>83.736642790553603</v>
      </c>
      <c r="AK9981">
        <v>84.129423201799995</v>
      </c>
      <c r="AL9981">
        <v>80.131888741967998</v>
      </c>
      <c r="AM9981">
        <v>88.858625216997495</v>
      </c>
      <c r="AN9981">
        <v>1.00000001316603</v>
      </c>
    </row>
    <row r="9982" spans="1:40" x14ac:dyDescent="0.25">
      <c r="A9982" t="str">
        <f>"20190303162143579"</f>
        <v>20190303162143579</v>
      </c>
      <c r="B9982" t="str">
        <f>"1551601303572189"</f>
        <v>1551601303572189</v>
      </c>
      <c r="C9982" t="s">
        <v>40</v>
      </c>
      <c r="D9982">
        <v>4.8409500000000003</v>
      </c>
      <c r="E9982">
        <v>0.534099199999999</v>
      </c>
      <c r="F9982" t="s">
        <v>41</v>
      </c>
      <c r="G9982">
        <v>-176.5394</v>
      </c>
      <c r="H9982">
        <v>7.9986039999999994E-2</v>
      </c>
      <c r="I9982">
        <v>161.79740000000001</v>
      </c>
      <c r="J9982">
        <v>-187.69220000000001</v>
      </c>
      <c r="K9982">
        <v>1.121156</v>
      </c>
      <c r="L9982">
        <v>69.258480000000006</v>
      </c>
      <c r="M9982">
        <v>1.1696160000000001E-2</v>
      </c>
      <c r="N9982">
        <v>-1.164458E-2</v>
      </c>
      <c r="O9982">
        <v>0.99986379999999997</v>
      </c>
      <c r="P9982">
        <v>3.06313E-2</v>
      </c>
      <c r="Q9982">
        <v>0.16079360000000001</v>
      </c>
      <c r="R9982">
        <v>0.98651259999999996</v>
      </c>
      <c r="S9982">
        <v>0.36456300000000003</v>
      </c>
      <c r="T9982">
        <v>-3.4021740000000002E-2</v>
      </c>
      <c r="U9982">
        <v>3.0346679999999999</v>
      </c>
      <c r="V9982">
        <v>1.9137870000000001E-2</v>
      </c>
      <c r="W9982">
        <v>0.17226859999999999</v>
      </c>
      <c r="X9982">
        <v>0.98486410000000002</v>
      </c>
      <c r="Y9982">
        <v>0.10763929999999999</v>
      </c>
      <c r="Z9982">
        <v>4.9988840000000001E-4</v>
      </c>
      <c r="AA9982">
        <v>0.99418989999999996</v>
      </c>
      <c r="AB9982">
        <v>32</v>
      </c>
      <c r="AC9982">
        <v>11.152799999999999</v>
      </c>
      <c r="AD9982">
        <v>-1.0411699599999999</v>
      </c>
      <c r="AE9982">
        <v>92.538919999999905</v>
      </c>
      <c r="AF9982">
        <v>10.068357331887</v>
      </c>
      <c r="AG9982">
        <v>-1.0411699599999999</v>
      </c>
      <c r="AH9982">
        <v>92.651482336713002</v>
      </c>
      <c r="AI9982">
        <v>90.640065704128403</v>
      </c>
      <c r="AJ9982">
        <v>83.798053140049205</v>
      </c>
      <c r="AK9982">
        <v>93.202752284674602</v>
      </c>
      <c r="AL9982">
        <v>80.080253595032602</v>
      </c>
      <c r="AM9982">
        <v>88.886769052613303</v>
      </c>
      <c r="AN9982">
        <v>1.0000000120414501</v>
      </c>
    </row>
    <row r="9983" spans="1:40" x14ac:dyDescent="0.25">
      <c r="A9983" t="str">
        <f>"20190303162143602"</f>
        <v>20190303162143602</v>
      </c>
      <c r="B9983" t="str">
        <f>"1551601303592685"</f>
        <v>1551601303592685</v>
      </c>
      <c r="C9983" t="s">
        <v>40</v>
      </c>
      <c r="D9983">
        <v>4.8388150000000003</v>
      </c>
      <c r="E9983">
        <v>0.53384240000000005</v>
      </c>
      <c r="F9983" t="s">
        <v>41</v>
      </c>
      <c r="G9983">
        <v>-175.74090000000001</v>
      </c>
      <c r="H9983">
        <v>7.9985630000000002E-2</v>
      </c>
      <c r="I9983">
        <v>169.94450000000001</v>
      </c>
      <c r="J9983">
        <v>-187.6883</v>
      </c>
      <c r="K9983">
        <v>1.1211660000000001</v>
      </c>
      <c r="L9983">
        <v>69.578369999999893</v>
      </c>
      <c r="M9983">
        <v>1.1806489999999999E-2</v>
      </c>
      <c r="N9983">
        <v>-1.164626E-2</v>
      </c>
      <c r="O9983">
        <v>0.99986249999999999</v>
      </c>
      <c r="P9983">
        <v>3.0004400000000001E-2</v>
      </c>
      <c r="Q9983">
        <v>0.16211929999999999</v>
      </c>
      <c r="R9983">
        <v>0.98631489999999999</v>
      </c>
      <c r="S9983">
        <v>0.36024479999999998</v>
      </c>
      <c r="T9983">
        <v>-3.1383630000000003E-2</v>
      </c>
      <c r="U9983">
        <v>3.0349430000000002</v>
      </c>
      <c r="V9983">
        <v>1.8404759999999999E-2</v>
      </c>
      <c r="W9983">
        <v>0.17359349999999901</v>
      </c>
      <c r="X9983">
        <v>0.9846454</v>
      </c>
      <c r="Y9983">
        <v>0.10612480000000001</v>
      </c>
      <c r="Z9983">
        <v>1.364332E-3</v>
      </c>
      <c r="AA9983">
        <v>0.99435189999999996</v>
      </c>
      <c r="AB9983">
        <v>32</v>
      </c>
      <c r="AC9983">
        <v>11.947399999999901</v>
      </c>
      <c r="AD9983">
        <v>-1.04118037</v>
      </c>
      <c r="AE9983">
        <v>100.36613</v>
      </c>
      <c r="AF9983">
        <v>10.7603733018473</v>
      </c>
      <c r="AG9983">
        <v>-1.04118037</v>
      </c>
      <c r="AH9983">
        <v>100.48953684967999</v>
      </c>
      <c r="AI9983">
        <v>90.590251018416893</v>
      </c>
      <c r="AJ9983">
        <v>83.888083134187298</v>
      </c>
      <c r="AK9983">
        <v>101.069365815865</v>
      </c>
      <c r="AL9983">
        <v>80.003181123440299</v>
      </c>
      <c r="AM9983">
        <v>88.929165477095495</v>
      </c>
      <c r="AN9983">
        <v>1.00000000108703</v>
      </c>
    </row>
    <row r="9984" spans="1:40" x14ac:dyDescent="0.25">
      <c r="A9984" t="str">
        <f>"20190303162143624"</f>
        <v>20190303162143624</v>
      </c>
      <c r="B9984" t="str">
        <f>"1551601303612205"</f>
        <v>1551601303612205</v>
      </c>
      <c r="C9984" t="s">
        <v>40</v>
      </c>
      <c r="D9984">
        <v>4.866009</v>
      </c>
      <c r="E9984">
        <v>0.53361150000000002</v>
      </c>
      <c r="F9984" t="s">
        <v>44</v>
      </c>
      <c r="G9984">
        <v>-172.58170000000001</v>
      </c>
      <c r="H9984">
        <v>-0.05</v>
      </c>
      <c r="I9984">
        <v>198.28100000000001</v>
      </c>
      <c r="J9984">
        <v>-187.68450000000001</v>
      </c>
      <c r="K9984">
        <v>1.12117</v>
      </c>
      <c r="L9984">
        <v>69.896119999999996</v>
      </c>
      <c r="M9984">
        <v>1.191627E-2</v>
      </c>
      <c r="N9984">
        <v>-1.1647930000000001E-2</v>
      </c>
      <c r="O9984">
        <v>0.99986120000000001</v>
      </c>
      <c r="P9984">
        <v>2.9402419999999999E-2</v>
      </c>
      <c r="Q9984">
        <v>0.16335569999999999</v>
      </c>
      <c r="R9984">
        <v>0.98612900000000003</v>
      </c>
      <c r="S9984">
        <v>0.35627750000000002</v>
      </c>
      <c r="T9984">
        <v>-2.7620909999999999E-2</v>
      </c>
      <c r="U9984">
        <v>3.035339</v>
      </c>
      <c r="V9984">
        <v>1.7696940000000001E-2</v>
      </c>
      <c r="W9984">
        <v>0.17482929999999999</v>
      </c>
      <c r="X9984">
        <v>0.98443970000000003</v>
      </c>
      <c r="Y9984">
        <v>0.1047191</v>
      </c>
      <c r="Z9984">
        <v>2.5975669999999998E-3</v>
      </c>
      <c r="AA9984">
        <v>0.9944984</v>
      </c>
      <c r="AB9984">
        <v>32</v>
      </c>
      <c r="AC9984">
        <v>15.1028</v>
      </c>
      <c r="AD9984">
        <v>-1.17117</v>
      </c>
      <c r="AE9984">
        <v>128.38487999999899</v>
      </c>
      <c r="AF9984">
        <v>13.5706410261797</v>
      </c>
      <c r="AG9984">
        <v>-1.17117</v>
      </c>
      <c r="AH9984">
        <v>128.54519338339799</v>
      </c>
      <c r="AI9984">
        <v>90.519120377456304</v>
      </c>
      <c r="AJ9984">
        <v>83.973551422556497</v>
      </c>
      <c r="AK9984">
        <v>129.26484703509101</v>
      </c>
      <c r="AL9984">
        <v>79.931275363867002</v>
      </c>
      <c r="AM9984">
        <v>88.970124051710997</v>
      </c>
      <c r="AN9984">
        <v>0.999999994379971</v>
      </c>
    </row>
    <row r="9985" spans="1:40" x14ac:dyDescent="0.25">
      <c r="A9985" t="str">
        <f>"20190303162143647"</f>
        <v>20190303162143647</v>
      </c>
      <c r="B9985" t="str">
        <f>"1551601303632701"</f>
        <v>1551601303632701</v>
      </c>
      <c r="C9985" t="s">
        <v>40</v>
      </c>
      <c r="D9985">
        <v>4.8499040000000004</v>
      </c>
      <c r="E9985">
        <v>0.53329349999999998</v>
      </c>
      <c r="F9985" t="s">
        <v>44</v>
      </c>
      <c r="G9985">
        <v>-170.74289999999999</v>
      </c>
      <c r="H9985">
        <v>-0.05</v>
      </c>
      <c r="I9985">
        <v>215.88730000000001</v>
      </c>
      <c r="J9985">
        <v>-187.6806</v>
      </c>
      <c r="K9985">
        <v>1.1211719999999901</v>
      </c>
      <c r="L9985">
        <v>70.215789999999998</v>
      </c>
      <c r="M9985">
        <v>1.2026749999999999E-2</v>
      </c>
      <c r="N9985">
        <v>-1.1649659999999999E-2</v>
      </c>
      <c r="O9985">
        <v>0.99985979999999997</v>
      </c>
      <c r="P9985">
        <v>2.9120010000000002E-2</v>
      </c>
      <c r="Q9985">
        <v>0.1640115</v>
      </c>
      <c r="R9985">
        <v>0.98602860000000003</v>
      </c>
      <c r="S9985">
        <v>0.35227969999999997</v>
      </c>
      <c r="T9985">
        <v>-2.4353030000000001E-2</v>
      </c>
      <c r="U9985">
        <v>3.0357059999999998</v>
      </c>
      <c r="V9985">
        <v>1.7306829999999999E-2</v>
      </c>
      <c r="W9985">
        <v>0.17548610000000001</v>
      </c>
      <c r="X9985">
        <v>0.98432980000000003</v>
      </c>
      <c r="Y9985">
        <v>0.1033036</v>
      </c>
      <c r="Z9985">
        <v>3.6688689999999999E-3</v>
      </c>
      <c r="AA9985">
        <v>0.9946431</v>
      </c>
      <c r="AB9985">
        <v>32</v>
      </c>
      <c r="AC9985">
        <v>16.9377</v>
      </c>
      <c r="AD9985">
        <v>-1.1711720000000001</v>
      </c>
      <c r="AE9985">
        <v>145.67151000000001</v>
      </c>
      <c r="AF9985">
        <v>15.183432739109699</v>
      </c>
      <c r="AG9985">
        <v>-1.1711720000000001</v>
      </c>
      <c r="AH9985">
        <v>145.855390205275</v>
      </c>
      <c r="AI9985">
        <v>90.457584291238305</v>
      </c>
      <c r="AJ9985">
        <v>84.056959750527</v>
      </c>
      <c r="AK9985">
        <v>146.648229193296</v>
      </c>
      <c r="AL9985">
        <v>79.893052912824004</v>
      </c>
      <c r="AM9985">
        <v>88.9927094017673</v>
      </c>
      <c r="AN9985">
        <v>1.0000000264129401</v>
      </c>
    </row>
    <row r="9986" spans="1:40" x14ac:dyDescent="0.25">
      <c r="A9986" t="str">
        <f>"20190303162143667"</f>
        <v>20190303162143667</v>
      </c>
      <c r="B9986" t="str">
        <f>"1551601303662956"</f>
        <v>1551601303662956</v>
      </c>
      <c r="C9986" t="s">
        <v>40</v>
      </c>
      <c r="D9986">
        <v>4.8624320000000001</v>
      </c>
      <c r="E9986">
        <v>0.53299090000000005</v>
      </c>
      <c r="F9986" t="s">
        <v>44</v>
      </c>
      <c r="G9986">
        <v>-170.1472</v>
      </c>
      <c r="H9986">
        <v>-0.05</v>
      </c>
      <c r="I9986">
        <v>222.65170000000001</v>
      </c>
      <c r="J9986">
        <v>-187.67679999999999</v>
      </c>
      <c r="K9986">
        <v>1.12117</v>
      </c>
      <c r="L9986">
        <v>70.519900000000007</v>
      </c>
      <c r="M9986">
        <v>1.2131680000000001E-2</v>
      </c>
      <c r="N9986">
        <v>-1.1651359999999999E-2</v>
      </c>
      <c r="O9986">
        <v>0.99985849999999998</v>
      </c>
      <c r="P9986">
        <v>2.8572799999999999E-2</v>
      </c>
      <c r="Q9986">
        <v>0.16391530000000001</v>
      </c>
      <c r="R9986">
        <v>0.98606059999999995</v>
      </c>
      <c r="S9986">
        <v>0.34921259999999998</v>
      </c>
      <c r="T9986">
        <v>-2.3326280000000001E-2</v>
      </c>
      <c r="U9986">
        <v>3.0360719999999999</v>
      </c>
      <c r="V9986">
        <v>1.6655730000000001E-2</v>
      </c>
      <c r="W9986">
        <v>0.175391299999999</v>
      </c>
      <c r="X9986">
        <v>0.98435790000000001</v>
      </c>
      <c r="Y9986">
        <v>0.10219399999999999</v>
      </c>
      <c r="Z9986">
        <v>4.0067519999999997E-3</v>
      </c>
      <c r="AA9986">
        <v>0.99475639999999999</v>
      </c>
      <c r="AB9986">
        <v>32</v>
      </c>
      <c r="AC9986">
        <v>17.529599999999899</v>
      </c>
      <c r="AD9986">
        <v>-1.17117</v>
      </c>
      <c r="AE9986">
        <v>152.1318</v>
      </c>
      <c r="AF9986">
        <v>15.681652948235399</v>
      </c>
      <c r="AG9986">
        <v>-1.17117</v>
      </c>
      <c r="AH9986">
        <v>152.32437155797001</v>
      </c>
      <c r="AI9986">
        <v>90.438203035383793</v>
      </c>
      <c r="AJ9986">
        <v>84.122159662462295</v>
      </c>
      <c r="AK9986">
        <v>153.13392847076099</v>
      </c>
      <c r="AL9986">
        <v>79.898569836335199</v>
      </c>
      <c r="AM9986">
        <v>89.030624961667897</v>
      </c>
      <c r="AN9986">
        <v>0.999999998374966</v>
      </c>
    </row>
    <row r="9987" spans="1:40" x14ac:dyDescent="0.25">
      <c r="A9987" t="str">
        <f>"20190303162143691"</f>
        <v>20190303162143691</v>
      </c>
      <c r="B9987" t="str">
        <f>"1551601303682480"</f>
        <v>1551601303682480</v>
      </c>
      <c r="C9987" t="s">
        <v>40</v>
      </c>
      <c r="D9987">
        <v>4.8500300000000003</v>
      </c>
      <c r="E9987">
        <v>0.53280099999999997</v>
      </c>
      <c r="F9987" t="s">
        <v>44</v>
      </c>
      <c r="G9987">
        <v>-171.37119999999999</v>
      </c>
      <c r="H9987">
        <v>-0.05</v>
      </c>
      <c r="I9987">
        <v>213.95779999999999</v>
      </c>
      <c r="J9987">
        <v>-187.67269999999999</v>
      </c>
      <c r="K9987">
        <v>1.1211709999999999</v>
      </c>
      <c r="L9987">
        <v>70.845789999999994</v>
      </c>
      <c r="M9987">
        <v>1.224387E-2</v>
      </c>
      <c r="N9987">
        <v>-1.165325E-2</v>
      </c>
      <c r="O9987">
        <v>0.99985710000000005</v>
      </c>
      <c r="P9987">
        <v>2.8669429999999999E-2</v>
      </c>
      <c r="Q9987">
        <v>0.16375300000000001</v>
      </c>
      <c r="R9987">
        <v>0.98608470000000004</v>
      </c>
      <c r="S9987">
        <v>0.3451843</v>
      </c>
      <c r="T9987">
        <v>-2.4793269999999999E-2</v>
      </c>
      <c r="U9987">
        <v>3.03653</v>
      </c>
      <c r="V9987">
        <v>1.6641400000000001E-2</v>
      </c>
      <c r="W9987">
        <v>0.17523169999999999</v>
      </c>
      <c r="X9987">
        <v>0.9843866</v>
      </c>
      <c r="Y9987">
        <v>0.1007627</v>
      </c>
      <c r="Z9987">
        <v>3.5284349999999999E-3</v>
      </c>
      <c r="AA9987">
        <v>0.99490420000000002</v>
      </c>
      <c r="AB9987">
        <v>32</v>
      </c>
      <c r="AC9987">
        <v>16.301500000000001</v>
      </c>
      <c r="AD9987">
        <v>-1.171171</v>
      </c>
      <c r="AE9987">
        <v>143.11201</v>
      </c>
      <c r="AF9987">
        <v>14.5469522465851</v>
      </c>
      <c r="AG9987">
        <v>-1.171171</v>
      </c>
      <c r="AH9987">
        <v>143.291414529381</v>
      </c>
      <c r="AI9987">
        <v>90.465893515121905</v>
      </c>
      <c r="AJ9987">
        <v>84.203189486363996</v>
      </c>
      <c r="AK9987">
        <v>144.03268705056701</v>
      </c>
      <c r="AL9987">
        <v>79.907858428317098</v>
      </c>
      <c r="AM9987">
        <v>89.031487051310606</v>
      </c>
      <c r="AN9987">
        <v>1.0000000315691999</v>
      </c>
    </row>
    <row r="9988" spans="1:40" x14ac:dyDescent="0.25">
      <c r="A9988" t="str">
        <f>"20190303162143711"</f>
        <v>20190303162143711</v>
      </c>
      <c r="B9988" t="str">
        <f>"1551601303702973"</f>
        <v>1551601303702973</v>
      </c>
      <c r="C9988" t="s">
        <v>40</v>
      </c>
      <c r="D9988">
        <v>4.8549119999999997</v>
      </c>
      <c r="E9988">
        <v>0.53261709999999995</v>
      </c>
      <c r="F9988" t="s">
        <v>44</v>
      </c>
      <c r="G9988">
        <v>-172.34899999999999</v>
      </c>
      <c r="H9988">
        <v>-0.05</v>
      </c>
      <c r="I9988">
        <v>206.18680000000001</v>
      </c>
      <c r="J9988">
        <v>-187.66900000000001</v>
      </c>
      <c r="K9988">
        <v>1.1211660000000001</v>
      </c>
      <c r="L9988">
        <v>71.139619999999994</v>
      </c>
      <c r="M9988">
        <v>1.234508E-2</v>
      </c>
      <c r="N9988">
        <v>-1.1654980000000001E-2</v>
      </c>
      <c r="O9988">
        <v>0.99985590000000002</v>
      </c>
      <c r="P9988">
        <v>2.8556580000000002E-2</v>
      </c>
      <c r="Q9988">
        <v>0.16303860000000001</v>
      </c>
      <c r="R9988">
        <v>0.98620640000000004</v>
      </c>
      <c r="S9988">
        <v>0.34382629999999997</v>
      </c>
      <c r="T9988">
        <v>-2.6278139999999998E-2</v>
      </c>
      <c r="U9988">
        <v>3.0367130000000002</v>
      </c>
      <c r="V9988">
        <v>1.6427009999999999E-2</v>
      </c>
      <c r="W9988">
        <v>0.17452039999999999</v>
      </c>
      <c r="X9988">
        <v>0.98451650000000002</v>
      </c>
      <c r="Y9988">
        <v>0.1002159</v>
      </c>
      <c r="Z9988">
        <v>3.04411E-3</v>
      </c>
      <c r="AA9988">
        <v>0.99496110000000004</v>
      </c>
      <c r="AB9988">
        <v>32</v>
      </c>
      <c r="AC9988">
        <v>15.319999999999901</v>
      </c>
      <c r="AD9988">
        <v>-1.1711659999999999</v>
      </c>
      <c r="AE9988">
        <v>135.04718</v>
      </c>
      <c r="AF9988">
        <v>13.6505373803284</v>
      </c>
      <c r="AG9988">
        <v>-1.1711659999999999</v>
      </c>
      <c r="AH9988">
        <v>135.21598685471</v>
      </c>
      <c r="AI9988">
        <v>90.493742388974596</v>
      </c>
      <c r="AJ9988">
        <v>84.235317064937504</v>
      </c>
      <c r="AK9988">
        <v>135.90832167922699</v>
      </c>
      <c r="AL9988">
        <v>79.949250205934007</v>
      </c>
      <c r="AM9988">
        <v>89.044088124439497</v>
      </c>
      <c r="AN9988">
        <v>0.999999977722974</v>
      </c>
    </row>
    <row r="9989" spans="1:40" x14ac:dyDescent="0.25">
      <c r="A9989" t="str">
        <f>"20190303162143735"</f>
        <v>20190303162143735</v>
      </c>
      <c r="B9989" t="str">
        <f>"1551601303722493"</f>
        <v>1551601303722493</v>
      </c>
      <c r="C9989" t="s">
        <v>40</v>
      </c>
      <c r="D9989">
        <v>4.9138849999999996</v>
      </c>
      <c r="E9989">
        <v>0.53243090000000004</v>
      </c>
      <c r="F9989" t="s">
        <v>41</v>
      </c>
      <c r="G9989">
        <v>-175.6566</v>
      </c>
      <c r="H9989">
        <v>7.9986489999999993E-2</v>
      </c>
      <c r="I9989">
        <v>177.85400000000001</v>
      </c>
      <c r="J9989">
        <v>-187.66489999999999</v>
      </c>
      <c r="K9989">
        <v>1.121162</v>
      </c>
      <c r="L9989">
        <v>71.464419999999905</v>
      </c>
      <c r="M9989">
        <v>1.245694E-2</v>
      </c>
      <c r="N9989">
        <v>-1.1657000000000001E-2</v>
      </c>
      <c r="O9989">
        <v>0.99985440000000003</v>
      </c>
      <c r="P9989">
        <v>2.8739609999999999E-2</v>
      </c>
      <c r="Q9989">
        <v>0.16215599999999999</v>
      </c>
      <c r="R9989">
        <v>0.98634650000000001</v>
      </c>
      <c r="S9989">
        <v>0.34185789999999999</v>
      </c>
      <c r="T9989">
        <v>-2.963066E-2</v>
      </c>
      <c r="U9989">
        <v>3.0369570000000001</v>
      </c>
      <c r="V9989">
        <v>1.6497680000000001E-2</v>
      </c>
      <c r="W9989">
        <v>0.17364189999999999</v>
      </c>
      <c r="X9989">
        <v>0.98467070000000001</v>
      </c>
      <c r="Y9989">
        <v>9.9458649999999996E-2</v>
      </c>
      <c r="Z9989">
        <v>1.948686E-3</v>
      </c>
      <c r="AA9989">
        <v>0.99503980000000003</v>
      </c>
      <c r="AB9989">
        <v>32</v>
      </c>
      <c r="AC9989">
        <v>12.008299999999901</v>
      </c>
      <c r="AD9989">
        <v>-1.04117551</v>
      </c>
      <c r="AE9989">
        <v>106.38958</v>
      </c>
      <c r="AF9989">
        <v>10.6809792987194</v>
      </c>
      <c r="AG9989">
        <v>-1.04117551</v>
      </c>
      <c r="AH9989">
        <v>106.52084724276401</v>
      </c>
      <c r="AI9989">
        <v>90.557218986411101</v>
      </c>
      <c r="AJ9989">
        <v>84.274019248801196</v>
      </c>
      <c r="AK9989">
        <v>107.060068478115</v>
      </c>
      <c r="AL9989">
        <v>80.000365587516001</v>
      </c>
      <c r="AM9989">
        <v>89.040126813298698</v>
      </c>
      <c r="AN9989">
        <v>1.00000003515974</v>
      </c>
    </row>
    <row r="9990" spans="1:40" x14ac:dyDescent="0.25">
      <c r="A9990" t="str">
        <f>"20190303162143758"</f>
        <v>20190303162143758</v>
      </c>
      <c r="B9990" t="str">
        <f>"1551601303752750"</f>
        <v>1551601303752750</v>
      </c>
      <c r="C9990" t="s">
        <v>40</v>
      </c>
      <c r="D9990">
        <v>4.9183139999999996</v>
      </c>
      <c r="E9990">
        <v>0.53216770000000002</v>
      </c>
      <c r="F9990" t="s">
        <v>41</v>
      </c>
      <c r="G9990">
        <v>-177.12270000000001</v>
      </c>
      <c r="H9990">
        <v>7.9985440000000005E-2</v>
      </c>
      <c r="I9990">
        <v>165.3365</v>
      </c>
      <c r="J9990">
        <v>-187.66069999999999</v>
      </c>
      <c r="K9990">
        <v>1.1211599999999999</v>
      </c>
      <c r="L9990">
        <v>71.78998</v>
      </c>
      <c r="M9990">
        <v>1.2568950000000001E-2</v>
      </c>
      <c r="N9990">
        <v>-1.1659030000000001E-2</v>
      </c>
      <c r="O9990">
        <v>0.99985299999999999</v>
      </c>
      <c r="P9990">
        <v>2.934494E-2</v>
      </c>
      <c r="Q9990">
        <v>0.16139000000000001</v>
      </c>
      <c r="R9990">
        <v>0.98645430000000001</v>
      </c>
      <c r="S9990">
        <v>0.34107969999999999</v>
      </c>
      <c r="T9990">
        <v>-3.3685920000000001E-2</v>
      </c>
      <c r="U9990">
        <v>3.0371090000000001</v>
      </c>
      <c r="V9990">
        <v>1.69909E-2</v>
      </c>
      <c r="W9990">
        <v>0.1728787</v>
      </c>
      <c r="X9990">
        <v>0.98479660000000002</v>
      </c>
      <c r="Y9990">
        <v>9.9089319999999995E-2</v>
      </c>
      <c r="Z9990">
        <v>6.233737E-4</v>
      </c>
      <c r="AA9990">
        <v>0.99507829999999997</v>
      </c>
      <c r="AB9990">
        <v>32</v>
      </c>
      <c r="AC9990">
        <v>10.537999999999901</v>
      </c>
      <c r="AD9990">
        <v>-1.04117456</v>
      </c>
      <c r="AE9990">
        <v>93.546520000000001</v>
      </c>
      <c r="AF9990">
        <v>9.3601609894518898</v>
      </c>
      <c r="AG9990">
        <v>-1.04117456</v>
      </c>
      <c r="AH9990">
        <v>93.660133158060205</v>
      </c>
      <c r="AI9990">
        <v>90.633746679539797</v>
      </c>
      <c r="AJ9990">
        <v>84.292951548014798</v>
      </c>
      <c r="AK9990">
        <v>94.132444998514899</v>
      </c>
      <c r="AL9990">
        <v>80.044765266628602</v>
      </c>
      <c r="AM9990">
        <v>89.011562101499507</v>
      </c>
      <c r="AN9990">
        <v>1.0000000394840201</v>
      </c>
    </row>
    <row r="9991" spans="1:40" x14ac:dyDescent="0.25">
      <c r="A9991" t="str">
        <f>"20190303162143780"</f>
        <v>20190303162143780</v>
      </c>
      <c r="B9991" t="str">
        <f>"1551601303772269"</f>
        <v>1551601303772269</v>
      </c>
      <c r="C9991" t="s">
        <v>40</v>
      </c>
      <c r="D9991">
        <v>4.8901070000000004</v>
      </c>
      <c r="E9991">
        <v>0.53198259999999997</v>
      </c>
      <c r="F9991" t="s">
        <v>50</v>
      </c>
      <c r="G9991">
        <v>-178.26679999999999</v>
      </c>
      <c r="H9991">
        <v>7.9984570000000005E-2</v>
      </c>
      <c r="I9991">
        <v>155.54660000000001</v>
      </c>
      <c r="J9991">
        <v>-187.6566</v>
      </c>
      <c r="K9991">
        <v>1.1211519999999999</v>
      </c>
      <c r="L9991">
        <v>72.105409999999907</v>
      </c>
      <c r="M9991">
        <v>1.2677519999999999E-2</v>
      </c>
      <c r="N9991">
        <v>-1.1661039999999999E-2</v>
      </c>
      <c r="O9991">
        <v>0.99985159999999995</v>
      </c>
      <c r="P9991">
        <v>2.990918E-2</v>
      </c>
      <c r="Q9991">
        <v>0.1611504</v>
      </c>
      <c r="R9991">
        <v>0.98647649999999998</v>
      </c>
      <c r="S9991">
        <v>0.34065250000000002</v>
      </c>
      <c r="T9991">
        <v>-3.7756089999999999E-2</v>
      </c>
      <c r="U9991">
        <v>3.0372620000000001</v>
      </c>
      <c r="V9991">
        <v>1.744762E-2</v>
      </c>
      <c r="W9991">
        <v>0.1726415</v>
      </c>
      <c r="X9991">
        <v>0.98483019999999999</v>
      </c>
      <c r="Y9991">
        <v>9.8836740000000006E-2</v>
      </c>
      <c r="Z9991">
        <v>-7.0661070000000001E-4</v>
      </c>
      <c r="AA9991">
        <v>0.99510339999999997</v>
      </c>
      <c r="AB9991">
        <v>32</v>
      </c>
      <c r="AC9991">
        <v>9.3897999999999993</v>
      </c>
      <c r="AD9991">
        <v>-1.04116743</v>
      </c>
      <c r="AE9991">
        <v>83.441190000000006</v>
      </c>
      <c r="AF9991">
        <v>8.3298652628431</v>
      </c>
      <c r="AG9991">
        <v>-1.04116743</v>
      </c>
      <c r="AH9991">
        <v>83.540686602579896</v>
      </c>
      <c r="AI9991">
        <v>90.710517299237296</v>
      </c>
      <c r="AJ9991">
        <v>84.3058427059606</v>
      </c>
      <c r="AK9991">
        <v>83.961401863861695</v>
      </c>
      <c r="AL9991">
        <v>80.058563046178804</v>
      </c>
      <c r="AM9991">
        <v>88.985032730573096</v>
      </c>
      <c r="AN9991">
        <v>1.0000000148989701</v>
      </c>
    </row>
    <row r="9992" spans="1:40" x14ac:dyDescent="0.25">
      <c r="A9992" t="str">
        <f>"20190303162143804"</f>
        <v>20190303162143804</v>
      </c>
      <c r="B9992" t="str">
        <f>"1551601303792765"</f>
        <v>1551601303792765</v>
      </c>
      <c r="C9992" t="s">
        <v>40</v>
      </c>
      <c r="D9992">
        <v>4.9682559999999896</v>
      </c>
      <c r="E9992">
        <v>0.53180340000000004</v>
      </c>
      <c r="F9992" t="s">
        <v>50</v>
      </c>
      <c r="G9992">
        <v>-178.7303</v>
      </c>
      <c r="H9992">
        <v>7.998487E-2</v>
      </c>
      <c r="I9992">
        <v>151.61150000000001</v>
      </c>
      <c r="J9992">
        <v>-187.65219999999999</v>
      </c>
      <c r="K9992">
        <v>1.1211519999999999</v>
      </c>
      <c r="L9992">
        <v>72.445309999999907</v>
      </c>
      <c r="M9992">
        <v>1.279487E-2</v>
      </c>
      <c r="N9992">
        <v>-1.166325E-2</v>
      </c>
      <c r="O9992">
        <v>0.99985009999999996</v>
      </c>
      <c r="P9992">
        <v>3.0170519999999999E-2</v>
      </c>
      <c r="Q9992">
        <v>0.16090570000000001</v>
      </c>
      <c r="R9992">
        <v>0.98650850000000001</v>
      </c>
      <c r="S9992">
        <v>0.34100340000000001</v>
      </c>
      <c r="T9992">
        <v>-3.9774660000000003E-2</v>
      </c>
      <c r="U9992">
        <v>3.0372919999999999</v>
      </c>
      <c r="V9992">
        <v>1.7592590000000002E-2</v>
      </c>
      <c r="W9992">
        <v>0.17239969999999999</v>
      </c>
      <c r="X9992">
        <v>0.98487000000000002</v>
      </c>
      <c r="Y9992">
        <v>9.8831939999999993E-2</v>
      </c>
      <c r="Z9992">
        <v>-1.3649580000000001E-3</v>
      </c>
      <c r="AA9992">
        <v>0.99510319999999997</v>
      </c>
      <c r="AB9992">
        <v>32</v>
      </c>
      <c r="AC9992">
        <v>8.9218999999999902</v>
      </c>
      <c r="AD9992">
        <v>-1.0411671300000001</v>
      </c>
      <c r="AE9992">
        <v>79.16619</v>
      </c>
      <c r="AF9992">
        <v>7.9068290818431004</v>
      </c>
      <c r="AG9992">
        <v>-1.0411671300000001</v>
      </c>
      <c r="AH9992">
        <v>79.260333647617401</v>
      </c>
      <c r="AI9992">
        <v>90.748879896633497</v>
      </c>
      <c r="AJ9992">
        <v>84.303152151267994</v>
      </c>
      <c r="AK9992">
        <v>79.660545221920898</v>
      </c>
      <c r="AL9992">
        <v>80.072628272561502</v>
      </c>
      <c r="AM9992">
        <v>88.976642634241202</v>
      </c>
      <c r="AN9992">
        <v>1.00000003634149</v>
      </c>
    </row>
    <row r="9993" spans="1:40" x14ac:dyDescent="0.25">
      <c r="A9993" t="str">
        <f>"20190303162143826"</f>
        <v>20190303162143826</v>
      </c>
      <c r="B9993" t="str">
        <f>"1551601303812285"</f>
        <v>1551601303812285</v>
      </c>
      <c r="C9993" t="s">
        <v>40</v>
      </c>
      <c r="D9993">
        <v>4.8581629999999896</v>
      </c>
      <c r="E9993">
        <v>0.53163559999999999</v>
      </c>
      <c r="F9993" t="s">
        <v>50</v>
      </c>
      <c r="G9993">
        <v>-178.9066</v>
      </c>
      <c r="H9993">
        <v>5.1790509999999998E-2</v>
      </c>
      <c r="I9993">
        <v>150.49459999999999</v>
      </c>
      <c r="J9993">
        <v>-187.648</v>
      </c>
      <c r="K9993">
        <v>1.121156</v>
      </c>
      <c r="L9993">
        <v>72.763210000000001</v>
      </c>
      <c r="M9993">
        <v>1.2904509999999999E-2</v>
      </c>
      <c r="N9993">
        <v>-1.166529E-2</v>
      </c>
      <c r="O9993">
        <v>0.99984870000000003</v>
      </c>
      <c r="P9993">
        <v>3.020248E-2</v>
      </c>
      <c r="Q9993">
        <v>0.16071920000000001</v>
      </c>
      <c r="R9993">
        <v>0.98653800000000003</v>
      </c>
      <c r="S9993">
        <v>0.34034730000000002</v>
      </c>
      <c r="T9993">
        <v>-4.161596E-2</v>
      </c>
      <c r="U9993">
        <v>3.0374150000000002</v>
      </c>
      <c r="V9993">
        <v>1.7515880000000001E-2</v>
      </c>
      <c r="W9993">
        <v>0.17221549999999999</v>
      </c>
      <c r="X9993">
        <v>0.98490359999999999</v>
      </c>
      <c r="Y9993">
        <v>9.8505659999999995E-2</v>
      </c>
      <c r="Z9993">
        <v>-1.9654609999999999E-3</v>
      </c>
      <c r="AA9993">
        <v>0.99513450000000003</v>
      </c>
      <c r="AB9993">
        <v>32</v>
      </c>
      <c r="AC9993">
        <v>8.7413999999999898</v>
      </c>
      <c r="AD9993">
        <v>-1.06936549</v>
      </c>
      <c r="AE9993">
        <v>77.731389999999905</v>
      </c>
      <c r="AF9993">
        <v>7.7360724456836998</v>
      </c>
      <c r="AG9993">
        <v>-1.06936549</v>
      </c>
      <c r="AH9993">
        <v>77.823182949029004</v>
      </c>
      <c r="AI9993">
        <v>90.783389118012707</v>
      </c>
      <c r="AJ9993">
        <v>84.323119329230195</v>
      </c>
      <c r="AK9993">
        <v>78.214053492669095</v>
      </c>
      <c r="AL9993">
        <v>80.083342469593504</v>
      </c>
      <c r="AM9993">
        <v>88.9811386488485</v>
      </c>
      <c r="AN9993">
        <v>1.0000000428926901</v>
      </c>
    </row>
    <row r="9994" spans="1:40" x14ac:dyDescent="0.25">
      <c r="A9994" t="str">
        <f>"20190303162143848"</f>
        <v>20190303162143848</v>
      </c>
      <c r="B9994" t="str">
        <f>"1551601303832781"</f>
        <v>1551601303832781</v>
      </c>
      <c r="C9994" t="s">
        <v>40</v>
      </c>
      <c r="D9994">
        <v>4.9503309999999896</v>
      </c>
      <c r="E9994">
        <v>0.53144449999999999</v>
      </c>
      <c r="F9994" t="s">
        <v>50</v>
      </c>
      <c r="G9994">
        <v>-178.959</v>
      </c>
      <c r="H9994">
        <v>2.703504E-2</v>
      </c>
      <c r="I9994">
        <v>150.5444</v>
      </c>
      <c r="J9994">
        <v>-187.6438</v>
      </c>
      <c r="K9994">
        <v>1.1211599999999999</v>
      </c>
      <c r="L9994">
        <v>73.081119999999999</v>
      </c>
      <c r="M9994">
        <v>1.3014090000000001E-2</v>
      </c>
      <c r="N9994">
        <v>-1.166735E-2</v>
      </c>
      <c r="O9994">
        <v>0.99984720000000005</v>
      </c>
      <c r="P9994">
        <v>3.0159410000000001E-2</v>
      </c>
      <c r="Q9994">
        <v>0.16094720000000001</v>
      </c>
      <c r="R9994">
        <v>0.98650210000000005</v>
      </c>
      <c r="S9994">
        <v>0.33932499999999999</v>
      </c>
      <c r="T9994">
        <v>-4.2727590000000003E-2</v>
      </c>
      <c r="U9994">
        <v>3.037506</v>
      </c>
      <c r="V9994">
        <v>1.7365220000000001E-2</v>
      </c>
      <c r="W9994">
        <v>0.17244479999999901</v>
      </c>
      <c r="X9994">
        <v>0.98486609999999997</v>
      </c>
      <c r="Y9994">
        <v>9.8062250000000004E-2</v>
      </c>
      <c r="Z9994">
        <v>-2.3273970000000001E-3</v>
      </c>
      <c r="AA9994">
        <v>0.9951776</v>
      </c>
      <c r="AB9994">
        <v>32</v>
      </c>
      <c r="AC9994">
        <v>8.6847999999999903</v>
      </c>
      <c r="AD9994">
        <v>-1.09412496</v>
      </c>
      <c r="AE9994">
        <v>77.463279999999997</v>
      </c>
      <c r="AF9994">
        <v>7.6743696210991601</v>
      </c>
      <c r="AG9994">
        <v>-1.09412496</v>
      </c>
      <c r="AH9994">
        <v>77.554471430406394</v>
      </c>
      <c r="AI9994">
        <v>90.804337321258799</v>
      </c>
      <c r="AJ9994">
        <v>84.348718468366798</v>
      </c>
      <c r="AK9994">
        <v>77.940933387784497</v>
      </c>
      <c r="AL9994">
        <v>80.070004553351396</v>
      </c>
      <c r="AM9994">
        <v>88.989861943048197</v>
      </c>
      <c r="AN9994">
        <v>0.99999999742094903</v>
      </c>
    </row>
    <row r="9995" spans="1:40" x14ac:dyDescent="0.25">
      <c r="A9995" t="str">
        <f>"20190303162143869"</f>
        <v>20190303162143869</v>
      </c>
      <c r="B9995" t="str">
        <f>"1551601303862062"</f>
        <v>1551601303862062</v>
      </c>
      <c r="C9995" t="s">
        <v>40</v>
      </c>
      <c r="D9995">
        <v>4.9985390000000001</v>
      </c>
      <c r="E9995">
        <v>0.47990709999999998</v>
      </c>
      <c r="F9995" t="s">
        <v>50</v>
      </c>
      <c r="G9995">
        <v>-179.02459999999999</v>
      </c>
      <c r="H9995">
        <v>3.688077E-2</v>
      </c>
      <c r="I9995">
        <v>150.61009999999999</v>
      </c>
      <c r="J9995">
        <v>-187.63980000000001</v>
      </c>
      <c r="K9995">
        <v>1.121159</v>
      </c>
      <c r="L9995">
        <v>73.37894</v>
      </c>
      <c r="M9995">
        <v>1.311652E-2</v>
      </c>
      <c r="N9995">
        <v>-1.166932E-2</v>
      </c>
      <c r="O9995">
        <v>0.99984589999999995</v>
      </c>
      <c r="P9995">
        <v>3.0151259999999999E-2</v>
      </c>
      <c r="Q9995">
        <v>0.1613861</v>
      </c>
      <c r="R9995">
        <v>0.98643060000000005</v>
      </c>
      <c r="S9995">
        <v>0.33770749999999999</v>
      </c>
      <c r="T9995">
        <v>-4.2483090000000001E-2</v>
      </c>
      <c r="U9995">
        <v>3.0376590000000001</v>
      </c>
      <c r="V9995">
        <v>1.7257109999999999E-2</v>
      </c>
      <c r="W9995">
        <v>0.17288489999999901</v>
      </c>
      <c r="X9995">
        <v>0.98479090000000002</v>
      </c>
      <c r="Y9995">
        <v>9.7431530000000002E-2</v>
      </c>
      <c r="Z9995">
        <v>-2.2455550000000002E-3</v>
      </c>
      <c r="AA9995">
        <v>0.99523969999999995</v>
      </c>
      <c r="AB9995">
        <v>32</v>
      </c>
      <c r="AC9995">
        <v>8.6152000000000104</v>
      </c>
      <c r="AD9995">
        <v>-1.08427823</v>
      </c>
      <c r="AE9995">
        <v>77.231159999999903</v>
      </c>
      <c r="AF9995">
        <v>7.5999061968359802</v>
      </c>
      <c r="AG9995">
        <v>-1.08427823</v>
      </c>
      <c r="AH9995">
        <v>77.322471117297198</v>
      </c>
      <c r="AI9995">
        <v>90.799542851893904</v>
      </c>
      <c r="AJ9995">
        <v>84.386516616098902</v>
      </c>
      <c r="AK9995">
        <v>77.702630413429503</v>
      </c>
      <c r="AL9995">
        <v>80.044404774350596</v>
      </c>
      <c r="AM9995">
        <v>88.996072791075804</v>
      </c>
      <c r="AN9995">
        <v>1.0000000566081799</v>
      </c>
    </row>
    <row r="9996" spans="1:40" x14ac:dyDescent="0.25">
      <c r="A9996" t="str">
        <f>"20190303162143902"</f>
        <v>20190303162143902</v>
      </c>
      <c r="B9996" t="str">
        <f>"1551601303892317"</f>
        <v>1551601303892317</v>
      </c>
      <c r="C9996" t="s">
        <v>40</v>
      </c>
      <c r="D9996">
        <v>4.9444369999999997</v>
      </c>
      <c r="E9996">
        <v>0.47260259999999998</v>
      </c>
      <c r="F9996" t="s">
        <v>41</v>
      </c>
      <c r="G9996">
        <v>-192.12180000000001</v>
      </c>
      <c r="H9996" s="1">
        <v>-7.247213E-7</v>
      </c>
      <c r="I9996">
        <v>259.96249999999998</v>
      </c>
      <c r="J9996">
        <v>-187.6336</v>
      </c>
      <c r="K9996">
        <v>1.121159</v>
      </c>
      <c r="L9996">
        <v>73.840239999999994</v>
      </c>
      <c r="M9996">
        <v>1.327534E-2</v>
      </c>
      <c r="N9996">
        <v>-1.167236E-2</v>
      </c>
      <c r="O9996">
        <v>0.99984379999999995</v>
      </c>
      <c r="P9996">
        <v>2.9237249999999999E-2</v>
      </c>
      <c r="Q9996">
        <v>0.16224569999999999</v>
      </c>
      <c r="R9996">
        <v>0.98631720000000001</v>
      </c>
      <c r="S9996">
        <v>-7.318115E-2</v>
      </c>
      <c r="T9996">
        <v>-1.8306139999999999E-2</v>
      </c>
      <c r="U9996">
        <v>3.0465089999999999</v>
      </c>
      <c r="V9996">
        <v>1.618822E-2</v>
      </c>
      <c r="W9996">
        <v>0.17374609999999999</v>
      </c>
      <c r="X9996">
        <v>0.98465740000000002</v>
      </c>
      <c r="Y9996">
        <v>-3.728045E-2</v>
      </c>
      <c r="Z9996">
        <v>5.6693840000000004E-3</v>
      </c>
      <c r="AA9996">
        <v>0.99928870000000003</v>
      </c>
      <c r="AB9996">
        <v>32</v>
      </c>
      <c r="AC9996">
        <v>-4.4882</v>
      </c>
      <c r="AD9996">
        <v>-1.1211597247213001</v>
      </c>
      <c r="AE9996">
        <v>186.12226000000001</v>
      </c>
      <c r="AF9996">
        <v>-6.9585565807750704</v>
      </c>
      <c r="AG9996">
        <v>-1.1211597247213001</v>
      </c>
      <c r="AH9996">
        <v>186.03952331574899</v>
      </c>
      <c r="AI9996">
        <v>90.345045262309696</v>
      </c>
      <c r="AJ9996">
        <v>92.142072516854398</v>
      </c>
      <c r="AK9996">
        <v>186.17299144711399</v>
      </c>
      <c r="AL9996">
        <v>79.994302665494899</v>
      </c>
      <c r="AM9996">
        <v>89.058115917660601</v>
      </c>
      <c r="AN9996">
        <v>0.99999998055336903</v>
      </c>
    </row>
    <row r="9997" spans="1:40" x14ac:dyDescent="0.25">
      <c r="A9997" t="str">
        <f>"20190303162143924"</f>
        <v>20190303162143924</v>
      </c>
      <c r="B9997" t="str">
        <f>"1551601303912813"</f>
        <v>1551601303912813</v>
      </c>
      <c r="C9997" t="s">
        <v>40</v>
      </c>
      <c r="D9997">
        <v>4.8125809999999998</v>
      </c>
      <c r="E9997">
        <v>0.47079199999999999</v>
      </c>
      <c r="F9997" t="s">
        <v>49</v>
      </c>
      <c r="G9997">
        <v>-193.40010000000001</v>
      </c>
      <c r="H9997" s="1">
        <v>5.1158929999999996E-6</v>
      </c>
      <c r="I9997">
        <v>205.458</v>
      </c>
      <c r="J9997">
        <v>-187.6293</v>
      </c>
      <c r="K9997">
        <v>1.1211610000000001</v>
      </c>
      <c r="L9997">
        <v>74.158330000000007</v>
      </c>
      <c r="M9997">
        <v>1.3384899999999899E-2</v>
      </c>
      <c r="N9997">
        <v>-1.1674469999999999E-2</v>
      </c>
      <c r="O9997">
        <v>0.99984229999999996</v>
      </c>
      <c r="P9997">
        <v>2.8915469999999999E-2</v>
      </c>
      <c r="Q9997">
        <v>0.16244229999999901</v>
      </c>
      <c r="R9997">
        <v>0.98629429999999996</v>
      </c>
      <c r="S9997">
        <v>-0.1336212</v>
      </c>
      <c r="T9997">
        <v>-2.597928E-2</v>
      </c>
      <c r="U9997">
        <v>3.0498349999999999</v>
      </c>
      <c r="V9997">
        <v>1.5758709999999999E-2</v>
      </c>
      <c r="W9997">
        <v>0.17394479999999901</v>
      </c>
      <c r="X9997">
        <v>0.98462930000000004</v>
      </c>
      <c r="Y9997">
        <v>-5.713273E-2</v>
      </c>
      <c r="Z9997">
        <v>3.1722809999999999E-3</v>
      </c>
      <c r="AA9997">
        <v>0.99836150000000001</v>
      </c>
      <c r="AB9997">
        <v>32</v>
      </c>
      <c r="AC9997">
        <v>-5.7708000000000004</v>
      </c>
      <c r="AD9997">
        <v>-1.121155884107</v>
      </c>
      <c r="AE9997">
        <v>131.29966999999999</v>
      </c>
      <c r="AF9997">
        <v>-7.5272878559140404</v>
      </c>
      <c r="AG9997">
        <v>-1.121155884107</v>
      </c>
      <c r="AH9997">
        <v>131.20111167839201</v>
      </c>
      <c r="AI9997">
        <v>90.488795278484503</v>
      </c>
      <c r="AJ9997">
        <v>93.283581634500393</v>
      </c>
      <c r="AK9997">
        <v>131.421644939592</v>
      </c>
      <c r="AL9997">
        <v>79.982742098538495</v>
      </c>
      <c r="AM9997">
        <v>89.083075740382597</v>
      </c>
      <c r="AN9997">
        <v>0.99999999440319698</v>
      </c>
    </row>
    <row r="9998" spans="1:40" x14ac:dyDescent="0.25">
      <c r="A9998" t="str">
        <f>"20190303162143947"</f>
        <v>20190303162143947</v>
      </c>
      <c r="B9998" t="str">
        <f>"1551601303942093"</f>
        <v>1551601303942093</v>
      </c>
      <c r="C9998" t="s">
        <v>40</v>
      </c>
      <c r="D9998">
        <v>4.8926080000000001</v>
      </c>
      <c r="E9998">
        <v>0.46926889999999999</v>
      </c>
      <c r="F9998" t="s">
        <v>41</v>
      </c>
      <c r="G9998">
        <v>-193.37989999999999</v>
      </c>
      <c r="H9998" s="1">
        <v>-1.866613E-6</v>
      </c>
      <c r="I9998">
        <v>191.84389999999999</v>
      </c>
      <c r="J9998">
        <v>-187.62469999999999</v>
      </c>
      <c r="K9998">
        <v>1.121157</v>
      </c>
      <c r="L9998">
        <v>74.490139999999997</v>
      </c>
      <c r="M9998">
        <v>1.3498990000000001E-2</v>
      </c>
      <c r="N9998">
        <v>-1.167661E-2</v>
      </c>
      <c r="O9998">
        <v>0.99984070000000003</v>
      </c>
      <c r="P9998">
        <v>2.8804860000000002E-2</v>
      </c>
      <c r="Q9998">
        <v>0.1628704</v>
      </c>
      <c r="R9998">
        <v>0.98622690000000002</v>
      </c>
      <c r="S9998">
        <v>-0.1490784</v>
      </c>
      <c r="T9998">
        <v>-2.9064659999999999E-2</v>
      </c>
      <c r="U9998">
        <v>3.0508419999999998</v>
      </c>
      <c r="V9998">
        <v>1.5536609999999999E-2</v>
      </c>
      <c r="W9998">
        <v>0.1743739</v>
      </c>
      <c r="X9998">
        <v>0.98455689999999996</v>
      </c>
      <c r="Y9998">
        <v>-6.2277989999999998E-2</v>
      </c>
      <c r="Z9998">
        <v>2.170464E-3</v>
      </c>
      <c r="AA9998">
        <v>0.99805650000000001</v>
      </c>
      <c r="AB9998">
        <v>32</v>
      </c>
      <c r="AC9998">
        <v>-5.7552000000000003</v>
      </c>
      <c r="AD9998">
        <v>-1.1211588666129999</v>
      </c>
      <c r="AE9998">
        <v>117.35375999999999</v>
      </c>
      <c r="AF9998">
        <v>-7.3382726096153901</v>
      </c>
      <c r="AG9998">
        <v>-1.1211588666129999</v>
      </c>
      <c r="AH9998">
        <v>117.254694648857</v>
      </c>
      <c r="AI9998">
        <v>90.546760978661197</v>
      </c>
      <c r="AJ9998">
        <v>93.581130804567806</v>
      </c>
      <c r="AK9998">
        <v>117.489449140312</v>
      </c>
      <c r="AL9998">
        <v>79.957774632624705</v>
      </c>
      <c r="AM9998">
        <v>89.095930055955506</v>
      </c>
      <c r="AN9998">
        <v>0.99999996629455501</v>
      </c>
    </row>
    <row r="9999" spans="1:40" x14ac:dyDescent="0.25">
      <c r="A9999" t="str">
        <f>"20190303162143969"</f>
        <v>20190303162143969</v>
      </c>
      <c r="B9999" t="str">
        <f>"1551601303962590"</f>
        <v>1551601303962590</v>
      </c>
      <c r="C9999" t="s">
        <v>40</v>
      </c>
      <c r="D9999">
        <v>4.8723320000000001</v>
      </c>
      <c r="E9999">
        <v>0.46886929999999999</v>
      </c>
      <c r="F9999" t="s">
        <v>41</v>
      </c>
      <c r="G9999">
        <v>-192.8075</v>
      </c>
      <c r="H9999" s="1">
        <v>-1.897845E-6</v>
      </c>
      <c r="I9999">
        <v>172.27180000000001</v>
      </c>
      <c r="J9999">
        <v>-187.62029999999999</v>
      </c>
      <c r="K9999">
        <v>1.121162</v>
      </c>
      <c r="L9999">
        <v>74.806880000000007</v>
      </c>
      <c r="M9999">
        <v>1.3608159999999999E-2</v>
      </c>
      <c r="N9999">
        <v>-1.167865E-2</v>
      </c>
      <c r="O9999">
        <v>0.99983920000000004</v>
      </c>
      <c r="P9999">
        <v>2.835845E-2</v>
      </c>
      <c r="Q9999">
        <v>0.16269739999999999</v>
      </c>
      <c r="R9999">
        <v>0.98626840000000005</v>
      </c>
      <c r="S9999">
        <v>-0.16178890000000001</v>
      </c>
      <c r="T9999">
        <v>-3.4998660000000001E-2</v>
      </c>
      <c r="U9999">
        <v>3.0523989999999999</v>
      </c>
      <c r="V9999">
        <v>1.4981899999999999E-2</v>
      </c>
      <c r="W9999">
        <v>0.17420350000000001</v>
      </c>
      <c r="X9999">
        <v>0.98459569999999996</v>
      </c>
      <c r="Y9999">
        <v>-6.6505720000000004E-2</v>
      </c>
      <c r="Z9999">
        <v>2.3999350000000001E-4</v>
      </c>
      <c r="AA9999">
        <v>0.99778599999999995</v>
      </c>
      <c r="AB9999">
        <v>32</v>
      </c>
      <c r="AC9999">
        <v>-5.1872000000000096</v>
      </c>
      <c r="AD9999">
        <v>-1.121163897845</v>
      </c>
      <c r="AE9999">
        <v>97.464919999999907</v>
      </c>
      <c r="AF9999">
        <v>-6.5122690075125798</v>
      </c>
      <c r="AG9999">
        <v>-1.121163897845</v>
      </c>
      <c r="AH9999">
        <v>97.372452507637405</v>
      </c>
      <c r="AI9999">
        <v>90.658214436387098</v>
      </c>
      <c r="AJ9999">
        <v>93.826243315954997</v>
      </c>
      <c r="AK9999">
        <v>97.596419829131705</v>
      </c>
      <c r="AL9999">
        <v>79.9676899744276</v>
      </c>
      <c r="AM9999">
        <v>89.128237713975196</v>
      </c>
      <c r="AN9999">
        <v>1.0000000045991699</v>
      </c>
    </row>
    <row r="10000" spans="1:40" x14ac:dyDescent="0.25">
      <c r="A10000" t="str">
        <f>"20190303162143991"</f>
        <v>20190303162143991</v>
      </c>
      <c r="B10000" t="str">
        <f>"1551601303982109"</f>
        <v>1551601303982109</v>
      </c>
      <c r="C10000" t="s">
        <v>40</v>
      </c>
      <c r="D10000">
        <v>4.798883</v>
      </c>
      <c r="E10000">
        <v>0.46872009999999997</v>
      </c>
      <c r="F10000" t="s">
        <v>41</v>
      </c>
      <c r="G10000">
        <v>-192.52180000000001</v>
      </c>
      <c r="H10000" s="1">
        <v>-3.0983059999999998E-6</v>
      </c>
      <c r="I10000">
        <v>164.72649999999999</v>
      </c>
      <c r="J10000">
        <v>-187.61590000000001</v>
      </c>
      <c r="K10000">
        <v>1.121165</v>
      </c>
      <c r="L10000">
        <v>75.121219999999994</v>
      </c>
      <c r="M10000">
        <v>1.371665E-2</v>
      </c>
      <c r="N10000">
        <v>-1.168075E-2</v>
      </c>
      <c r="O10000">
        <v>0.99983770000000005</v>
      </c>
      <c r="P10000">
        <v>2.8044139999999999E-2</v>
      </c>
      <c r="Q10000">
        <v>0.16256670000000001</v>
      </c>
      <c r="R10000">
        <v>0.98629889999999998</v>
      </c>
      <c r="S10000">
        <v>-0.16641239999999999</v>
      </c>
      <c r="T10000">
        <v>-3.8064599999999997E-2</v>
      </c>
      <c r="U10000">
        <v>3.0528559999999998</v>
      </c>
      <c r="V10000">
        <v>1.456008E-2</v>
      </c>
      <c r="W10000">
        <v>0.174075799999999</v>
      </c>
      <c r="X10000">
        <v>0.98462459999999996</v>
      </c>
      <c r="Y10000">
        <v>-6.8112099999999995E-2</v>
      </c>
      <c r="Z10000">
        <v>-7.5701960000000004E-4</v>
      </c>
      <c r="AA10000">
        <v>0.99767740000000005</v>
      </c>
      <c r="AB10000">
        <v>32</v>
      </c>
      <c r="AC10000">
        <v>-4.9058999999999999</v>
      </c>
      <c r="AD10000">
        <v>-1.1211680983059999</v>
      </c>
      <c r="AE10000">
        <v>89.605279999999993</v>
      </c>
      <c r="AF10000">
        <v>-6.1336491143819201</v>
      </c>
      <c r="AG10000">
        <v>-1.1211680983059999</v>
      </c>
      <c r="AH10000">
        <v>89.515579425712502</v>
      </c>
      <c r="AI10000">
        <v>90.715904352993405</v>
      </c>
      <c r="AJ10000">
        <v>93.919806540508105</v>
      </c>
      <c r="AK10000">
        <v>89.732478118483201</v>
      </c>
      <c r="AL10000">
        <v>79.975120039001098</v>
      </c>
      <c r="AM10000">
        <v>89.152803683079995</v>
      </c>
      <c r="AN10000">
        <v>0.99999999150020302</v>
      </c>
    </row>
    <row r="10001" spans="1:40" x14ac:dyDescent="0.25">
      <c r="A10001" t="str">
        <f>"20190303162144015"</f>
        <v>20190303162144015</v>
      </c>
      <c r="B10001" t="str">
        <f>"1551601304002605"</f>
        <v>1551601304002605</v>
      </c>
      <c r="C10001" t="s">
        <v>40</v>
      </c>
      <c r="D10001">
        <v>5.0492660000000003</v>
      </c>
      <c r="E10001">
        <v>0.46864549999999999</v>
      </c>
      <c r="F10001" t="s">
        <v>41</v>
      </c>
      <c r="G10001">
        <v>-192.29169999999999</v>
      </c>
      <c r="H10001" s="1">
        <v>-6.7041149999999997E-7</v>
      </c>
      <c r="I10001">
        <v>159.7199</v>
      </c>
      <c r="J10001">
        <v>-187.6112</v>
      </c>
      <c r="K10001">
        <v>1.1211629999999999</v>
      </c>
      <c r="L10001">
        <v>75.456879999999998</v>
      </c>
      <c r="M10001">
        <v>1.383235E-2</v>
      </c>
      <c r="N10001">
        <v>-1.1682939999999999E-2</v>
      </c>
      <c r="O10001">
        <v>0.99983610000000001</v>
      </c>
      <c r="P10001">
        <v>2.8188459999999999E-2</v>
      </c>
      <c r="Q10001">
        <v>0.162638</v>
      </c>
      <c r="R10001">
        <v>0.98628309999999997</v>
      </c>
      <c r="S10001">
        <v>-0.16874690000000001</v>
      </c>
      <c r="T10001">
        <v>-4.0462369999999998E-2</v>
      </c>
      <c r="U10001">
        <v>3.053131</v>
      </c>
      <c r="V10001">
        <v>1.4590479999999999E-2</v>
      </c>
      <c r="W10001">
        <v>0.174149</v>
      </c>
      <c r="X10001">
        <v>0.98461120000000002</v>
      </c>
      <c r="Y10001">
        <v>-6.8982740000000001E-2</v>
      </c>
      <c r="Z10001">
        <v>-1.536524E-3</v>
      </c>
      <c r="AA10001">
        <v>0.99761659999999996</v>
      </c>
      <c r="AB10001">
        <v>32</v>
      </c>
      <c r="AC10001">
        <v>-4.6804999999999897</v>
      </c>
      <c r="AD10001">
        <v>-1.1211636704115</v>
      </c>
      <c r="AE10001">
        <v>84.263019999999997</v>
      </c>
      <c r="AF10001">
        <v>-5.8446557173856002</v>
      </c>
      <c r="AG10001">
        <v>-1.1211636704115</v>
      </c>
      <c r="AH10001">
        <v>84.175354283569902</v>
      </c>
      <c r="AI10001">
        <v>90.761266575208595</v>
      </c>
      <c r="AJ10001">
        <v>93.971916761380498</v>
      </c>
      <c r="AK10001">
        <v>84.385468400638302</v>
      </c>
      <c r="AL10001">
        <v>79.970860875007205</v>
      </c>
      <c r="AM10001">
        <v>89.151023527749999</v>
      </c>
      <c r="AN10001">
        <v>0.99999998573653504</v>
      </c>
    </row>
    <row r="10002" spans="1:40" x14ac:dyDescent="0.25">
      <c r="A10002" t="str">
        <f>"20190303162144036"</f>
        <v>20190303162144036</v>
      </c>
      <c r="B10002" t="str">
        <f>"1551601304022125"</f>
        <v>1551601304022125</v>
      </c>
      <c r="C10002" t="s">
        <v>40</v>
      </c>
      <c r="D10002">
        <v>4.9221560000000002</v>
      </c>
      <c r="E10002">
        <v>0.46876109999999999</v>
      </c>
      <c r="F10002" t="s">
        <v>41</v>
      </c>
      <c r="G10002">
        <v>-192.55420000000001</v>
      </c>
      <c r="H10002" s="1">
        <v>-3.1696359999999998E-6</v>
      </c>
      <c r="I10002">
        <v>164.85919999999999</v>
      </c>
      <c r="J10002">
        <v>-187.60679999999999</v>
      </c>
      <c r="K10002">
        <v>1.121162</v>
      </c>
      <c r="L10002">
        <v>75.762909999999906</v>
      </c>
      <c r="M10002">
        <v>1.3937679999999999E-2</v>
      </c>
      <c r="N10002">
        <v>-1.168488E-2</v>
      </c>
      <c r="O10002">
        <v>0.99983460000000002</v>
      </c>
      <c r="P10002">
        <v>2.9189949999999999E-2</v>
      </c>
      <c r="Q10002">
        <v>0.16238150000000001</v>
      </c>
      <c r="R10002">
        <v>0.98629619999999996</v>
      </c>
      <c r="S10002">
        <v>-0.16879269999999999</v>
      </c>
      <c r="T10002">
        <v>-3.8284899999999997E-2</v>
      </c>
      <c r="U10002">
        <v>3.0528559999999998</v>
      </c>
      <c r="V10002">
        <v>1.548769E-2</v>
      </c>
      <c r="W10002">
        <v>0.17389499999999999</v>
      </c>
      <c r="X10002">
        <v>0.98464240000000003</v>
      </c>
      <c r="Y10002">
        <v>-6.9108020000000006E-2</v>
      </c>
      <c r="Z10002">
        <v>-8.2400309999999897E-4</v>
      </c>
      <c r="AA10002">
        <v>0.99760879999999996</v>
      </c>
      <c r="AB10002">
        <v>32</v>
      </c>
      <c r="AC10002">
        <v>-4.9474000000000098</v>
      </c>
      <c r="AD10002">
        <v>-1.1211651696359901</v>
      </c>
      <c r="AE10002">
        <v>89.096289999999996</v>
      </c>
      <c r="AF10002">
        <v>-6.1878228876916799</v>
      </c>
      <c r="AG10002">
        <v>-1.1211651696359901</v>
      </c>
      <c r="AH10002">
        <v>89.004623918897494</v>
      </c>
      <c r="AI10002">
        <v>90.719962332892294</v>
      </c>
      <c r="AJ10002">
        <v>93.976946015493695</v>
      </c>
      <c r="AK10002">
        <v>89.226505268173696</v>
      </c>
      <c r="AL10002">
        <v>79.985639620246502</v>
      </c>
      <c r="AM10002">
        <v>89.098854467091599</v>
      </c>
      <c r="AN10002">
        <v>0.99999999772214798</v>
      </c>
    </row>
    <row r="10003" spans="1:40" x14ac:dyDescent="0.25">
      <c r="A10003" t="str">
        <f>"20190303162144060"</f>
        <v>20190303162144060</v>
      </c>
      <c r="B10003" t="str">
        <f>"1551601304052382"</f>
        <v>1551601304052382</v>
      </c>
      <c r="C10003" t="s">
        <v>40</v>
      </c>
      <c r="D10003">
        <v>4.9253780000000003</v>
      </c>
      <c r="E10003">
        <v>0.4688273</v>
      </c>
      <c r="F10003" t="s">
        <v>41</v>
      </c>
      <c r="G10003">
        <v>-192.803</v>
      </c>
      <c r="H10003" s="1">
        <v>-1.7042259999999901E-6</v>
      </c>
      <c r="I10003">
        <v>171.82320000000001</v>
      </c>
      <c r="J10003">
        <v>-187.60210000000001</v>
      </c>
      <c r="K10003">
        <v>1.1211580000000001</v>
      </c>
      <c r="L10003">
        <v>76.08905</v>
      </c>
      <c r="M10003">
        <v>1.404996E-2</v>
      </c>
      <c r="N10003">
        <v>-1.168688E-2</v>
      </c>
      <c r="O10003">
        <v>0.99983299999999997</v>
      </c>
      <c r="P10003">
        <v>3.0210040000000001E-2</v>
      </c>
      <c r="Q10003">
        <v>0.16164729999999999</v>
      </c>
      <c r="R10003">
        <v>0.98638610000000004</v>
      </c>
      <c r="S10003">
        <v>-0.1651154</v>
      </c>
      <c r="T10003">
        <v>-3.5626289999999998E-2</v>
      </c>
      <c r="U10003">
        <v>3.0524290000000001</v>
      </c>
      <c r="V10003">
        <v>1.6395389999999999E-2</v>
      </c>
      <c r="W10003">
        <v>0.1731634</v>
      </c>
      <c r="X10003">
        <v>0.98475659999999998</v>
      </c>
      <c r="Y10003">
        <v>-6.8029930000000002E-2</v>
      </c>
      <c r="Z10003" s="1">
        <v>4.4421069999999999E-5</v>
      </c>
      <c r="AA10003">
        <v>0.99768330000000005</v>
      </c>
      <c r="AB10003">
        <v>32</v>
      </c>
      <c r="AC10003">
        <v>-5.2008999999999901</v>
      </c>
      <c r="AD10003">
        <v>-1.121159704226</v>
      </c>
      <c r="AE10003">
        <v>95.73415</v>
      </c>
      <c r="AF10003">
        <v>-6.5446444399388097</v>
      </c>
      <c r="AG10003">
        <v>-1.121159704226</v>
      </c>
      <c r="AH10003">
        <v>95.638543399642103</v>
      </c>
      <c r="AI10003">
        <v>90.670074165345596</v>
      </c>
      <c r="AJ10003">
        <v>93.914706458530901</v>
      </c>
      <c r="AK10003">
        <v>95.868766308599305</v>
      </c>
      <c r="AL10003">
        <v>80.028202640010505</v>
      </c>
      <c r="AM10003">
        <v>89.046160373963303</v>
      </c>
      <c r="AN10003">
        <v>0.99999996657818502</v>
      </c>
    </row>
    <row r="10004" spans="1:40" x14ac:dyDescent="0.25">
      <c r="A10004" t="str">
        <f>"20190303162144081"</f>
        <v>20190303162144081</v>
      </c>
      <c r="B10004" t="str">
        <f>"1551601304072877"</f>
        <v>1551601304072877</v>
      </c>
      <c r="C10004" t="s">
        <v>40</v>
      </c>
      <c r="D10004">
        <v>4.8797600000000001</v>
      </c>
      <c r="E10004">
        <v>0.46890199999999999</v>
      </c>
      <c r="F10004" t="s">
        <v>41</v>
      </c>
      <c r="G10004">
        <v>-193.0532</v>
      </c>
      <c r="H10004" s="1">
        <v>-4.6921210000000003E-6</v>
      </c>
      <c r="I10004">
        <v>179.1833</v>
      </c>
      <c r="J10004">
        <v>-187.5976</v>
      </c>
      <c r="K10004">
        <v>1.1211500000000001</v>
      </c>
      <c r="L10004">
        <v>76.403589999999994</v>
      </c>
      <c r="M10004">
        <v>1.415832E-2</v>
      </c>
      <c r="N10004">
        <v>-1.168888E-2</v>
      </c>
      <c r="O10004">
        <v>0.99983140000000004</v>
      </c>
      <c r="P10004">
        <v>3.124298E-2</v>
      </c>
      <c r="Q10004">
        <v>0.1611369</v>
      </c>
      <c r="R10004">
        <v>0.98643740000000002</v>
      </c>
      <c r="S10004">
        <v>-0.1613617</v>
      </c>
      <c r="T10004">
        <v>-3.3188580000000002E-2</v>
      </c>
      <c r="U10004">
        <v>3.0517880000000002</v>
      </c>
      <c r="V10004">
        <v>1.732036E-2</v>
      </c>
      <c r="W10004">
        <v>0.1726557</v>
      </c>
      <c r="X10004">
        <v>0.98482999999999998</v>
      </c>
      <c r="Y10004">
        <v>-6.6926109999999997E-2</v>
      </c>
      <c r="Z10004">
        <v>8.402234E-4</v>
      </c>
      <c r="AA10004">
        <v>0.99775760000000002</v>
      </c>
      <c r="AB10004">
        <v>32</v>
      </c>
      <c r="AC10004">
        <v>-5.4555999999999996</v>
      </c>
      <c r="AD10004">
        <v>-1.1211546921210001</v>
      </c>
      <c r="AE10004">
        <v>102.77970999999999</v>
      </c>
      <c r="AF10004">
        <v>-6.9095207293472498</v>
      </c>
      <c r="AG10004">
        <v>-1.1211546921210001</v>
      </c>
      <c r="AH10004">
        <v>102.67997542865299</v>
      </c>
      <c r="AI10004">
        <v>90.624171839426793</v>
      </c>
      <c r="AJ10004">
        <v>93.8497325666347</v>
      </c>
      <c r="AK10004">
        <v>102.91829681150899</v>
      </c>
      <c r="AL10004">
        <v>80.057737467830506</v>
      </c>
      <c r="AM10004">
        <v>88.992433994484998</v>
      </c>
      <c r="AN10004">
        <v>1.0000000572565</v>
      </c>
    </row>
    <row r="10005" spans="1:40" x14ac:dyDescent="0.25">
      <c r="A10005" t="str">
        <f>"20190303162144103"</f>
        <v>20190303162144103</v>
      </c>
      <c r="B10005" t="str">
        <f>"1551601304092397"</f>
        <v>1551601304092397</v>
      </c>
      <c r="C10005" t="s">
        <v>40</v>
      </c>
      <c r="D10005">
        <v>4.9033569999999997</v>
      </c>
      <c r="E10005">
        <v>0.46890159999999997</v>
      </c>
      <c r="F10005" t="s">
        <v>41</v>
      </c>
      <c r="G10005">
        <v>-193.0461</v>
      </c>
      <c r="H10005" s="1">
        <v>-1.6559910000000001E-6</v>
      </c>
      <c r="I10005">
        <v>181.56</v>
      </c>
      <c r="J10005">
        <v>-187.5932</v>
      </c>
      <c r="K10005">
        <v>1.1211580000000001</v>
      </c>
      <c r="L10005">
        <v>76.704800000000006</v>
      </c>
      <c r="M10005">
        <v>1.426213E-2</v>
      </c>
      <c r="N10005">
        <v>-1.169073E-2</v>
      </c>
      <c r="O10005">
        <v>0.99982990000000005</v>
      </c>
      <c r="P10005">
        <v>3.2677869999999998E-2</v>
      </c>
      <c r="Q10005">
        <v>0.161567299999999</v>
      </c>
      <c r="R10005">
        <v>0.98632050000000004</v>
      </c>
      <c r="S10005">
        <v>-0.15811159999999999</v>
      </c>
      <c r="T10005">
        <v>-3.2534840000000002E-2</v>
      </c>
      <c r="U10005">
        <v>3.0515439999999998</v>
      </c>
      <c r="V10005">
        <v>1.8654359999999998E-2</v>
      </c>
      <c r="W10005">
        <v>0.173086299999999</v>
      </c>
      <c r="X10005">
        <v>0.98472999999999999</v>
      </c>
      <c r="Y10005">
        <v>-6.59743E-2</v>
      </c>
      <c r="Z10005">
        <v>1.054328E-3</v>
      </c>
      <c r="AA10005">
        <v>0.99782079999999995</v>
      </c>
      <c r="AB10005">
        <v>32</v>
      </c>
      <c r="AC10005">
        <v>-5.4528999999999996</v>
      </c>
      <c r="AD10005">
        <v>-1.121159655991</v>
      </c>
      <c r="AE10005">
        <v>104.8552</v>
      </c>
      <c r="AF10005">
        <v>-6.9471139670025099</v>
      </c>
      <c r="AG10005">
        <v>-1.121159655991</v>
      </c>
      <c r="AH10005">
        <v>104.7548143282</v>
      </c>
      <c r="AI10005">
        <v>90.611852391081698</v>
      </c>
      <c r="AJ10005">
        <v>93.7941770315132</v>
      </c>
      <c r="AK10005">
        <v>104.990906827117</v>
      </c>
      <c r="AL10005">
        <v>80.032688336155601</v>
      </c>
      <c r="AM10005">
        <v>88.914739803935902</v>
      </c>
      <c r="AN10005">
        <v>1.0000000126473401</v>
      </c>
    </row>
    <row r="10006" spans="1:40" x14ac:dyDescent="0.25">
      <c r="A10006" t="str">
        <f>"20190303162144127"</f>
        <v>20190303162144127</v>
      </c>
      <c r="B10006" t="str">
        <f>"1551601304112895"</f>
        <v>1551601304112895</v>
      </c>
      <c r="C10006" t="s">
        <v>40</v>
      </c>
      <c r="D10006">
        <v>4.8413879999999896</v>
      </c>
      <c r="E10006">
        <v>0.46882180000000001</v>
      </c>
      <c r="F10006" t="s">
        <v>41</v>
      </c>
      <c r="G10006">
        <v>-193.56229999999999</v>
      </c>
      <c r="H10006" s="1">
        <v>-3.3076680000000001E-6</v>
      </c>
      <c r="I10006">
        <v>195.09</v>
      </c>
      <c r="J10006">
        <v>-187.5882</v>
      </c>
      <c r="K10006">
        <v>1.121159</v>
      </c>
      <c r="L10006">
        <v>77.047880000000006</v>
      </c>
      <c r="M10006">
        <v>1.4380199999999999E-2</v>
      </c>
      <c r="N10006">
        <v>-1.1692849999999999E-2</v>
      </c>
      <c r="O10006">
        <v>0.99982819999999994</v>
      </c>
      <c r="P10006">
        <v>3.3532060000000002E-2</v>
      </c>
      <c r="Q10006">
        <v>0.1621697</v>
      </c>
      <c r="R10006">
        <v>0.98619299999999999</v>
      </c>
      <c r="S10006">
        <v>-0.153854399999999</v>
      </c>
      <c r="T10006">
        <v>-2.8898360000000001E-2</v>
      </c>
      <c r="U10006">
        <v>3.0514220000000001</v>
      </c>
      <c r="V10006">
        <v>1.9393939999999998E-2</v>
      </c>
      <c r="W10006">
        <v>0.17368929999999999</v>
      </c>
      <c r="X10006">
        <v>0.98460950000000003</v>
      </c>
      <c r="Y10006">
        <v>-6.4706180000000002E-2</v>
      </c>
      <c r="Z10006">
        <v>2.2445719999999998E-3</v>
      </c>
      <c r="AA10006">
        <v>0.99790190000000001</v>
      </c>
      <c r="AB10006">
        <v>32</v>
      </c>
      <c r="AC10006">
        <v>-5.9740999999999902</v>
      </c>
      <c r="AD10006">
        <v>-1.121162307668</v>
      </c>
      <c r="AE10006">
        <v>118.04212</v>
      </c>
      <c r="AF10006">
        <v>-7.6703773970414497</v>
      </c>
      <c r="AG10006">
        <v>-1.121162307668</v>
      </c>
      <c r="AH10006">
        <v>117.933386303162</v>
      </c>
      <c r="AI10006">
        <v>90.543531461388397</v>
      </c>
      <c r="AJ10006">
        <v>93.7212712950504</v>
      </c>
      <c r="AK10006">
        <v>118.18788135534101</v>
      </c>
      <c r="AL10006">
        <v>79.9976073327081</v>
      </c>
      <c r="AM10006">
        <v>88.8715859041518</v>
      </c>
      <c r="AN10006">
        <v>0.99999998266673096</v>
      </c>
    </row>
    <row r="10007" spans="1:40" x14ac:dyDescent="0.25">
      <c r="A10007" t="str">
        <f>"20190303162144149"</f>
        <v>20190303162144149</v>
      </c>
      <c r="B10007" t="str">
        <f>"1551601304142174"</f>
        <v>1551601304142174</v>
      </c>
      <c r="C10007" t="s">
        <v>40</v>
      </c>
      <c r="D10007">
        <v>4.8228749999999998</v>
      </c>
      <c r="E10007">
        <v>0.46879910000000002</v>
      </c>
      <c r="F10007" t="s">
        <v>49</v>
      </c>
      <c r="G10007">
        <v>-194.21109999999999</v>
      </c>
      <c r="H10007" s="1">
        <v>3.5819789999999998E-6</v>
      </c>
      <c r="I10007">
        <v>210.4486</v>
      </c>
      <c r="J10007">
        <v>-187.58330000000001</v>
      </c>
      <c r="K10007">
        <v>1.121162</v>
      </c>
      <c r="L10007">
        <v>77.375919999999994</v>
      </c>
      <c r="M10007">
        <v>1.4493270000000001E-2</v>
      </c>
      <c r="N10007">
        <v>-1.169486E-2</v>
      </c>
      <c r="O10007">
        <v>0.99982660000000001</v>
      </c>
      <c r="P10007">
        <v>3.4155360000000003E-2</v>
      </c>
      <c r="Q10007">
        <v>0.16205720000000001</v>
      </c>
      <c r="R10007">
        <v>0.98619009999999996</v>
      </c>
      <c r="S10007">
        <v>-0.15148929999999999</v>
      </c>
      <c r="T10007">
        <v>-2.5644900000000002E-2</v>
      </c>
      <c r="U10007">
        <v>3.051361</v>
      </c>
      <c r="V10007">
        <v>1.9905559999999999E-2</v>
      </c>
      <c r="W10007">
        <v>0.1735785</v>
      </c>
      <c r="X10007">
        <v>0.98461880000000002</v>
      </c>
      <c r="Y10007">
        <v>-6.4048809999999998E-2</v>
      </c>
      <c r="Z10007">
        <v>3.310225E-3</v>
      </c>
      <c r="AA10007">
        <v>0.99794130000000003</v>
      </c>
      <c r="AB10007">
        <v>32</v>
      </c>
      <c r="AC10007">
        <v>-6.6277999999999704</v>
      </c>
      <c r="AD10007">
        <v>-1.1211584180209999</v>
      </c>
      <c r="AE10007">
        <v>133.07267999999999</v>
      </c>
      <c r="AF10007">
        <v>-8.5552881202649793</v>
      </c>
      <c r="AG10007">
        <v>-1.1211584180209999</v>
      </c>
      <c r="AH10007">
        <v>132.95322190528</v>
      </c>
      <c r="AI10007">
        <v>90.482151160159205</v>
      </c>
      <c r="AJ10007">
        <v>93.681798821802602</v>
      </c>
      <c r="AK10007">
        <v>133.23291322347299</v>
      </c>
      <c r="AL10007">
        <v>80.004053334588605</v>
      </c>
      <c r="AM10007">
        <v>88.841836823180799</v>
      </c>
      <c r="AN10007">
        <v>0.99999995414730003</v>
      </c>
    </row>
    <row r="10008" spans="1:40" x14ac:dyDescent="0.25">
      <c r="A10008" t="str">
        <f>"20190303162144172"</f>
        <v>20190303162144172</v>
      </c>
      <c r="B10008" t="str">
        <f>"1551601304162669"</f>
        <v>1551601304162669</v>
      </c>
      <c r="C10008" t="s">
        <v>40</v>
      </c>
      <c r="D10008">
        <v>5.0357469999999998</v>
      </c>
      <c r="E10008">
        <v>0.46873049999999999</v>
      </c>
      <c r="F10008" t="s">
        <v>49</v>
      </c>
      <c r="G10008">
        <v>-194.78380000000001</v>
      </c>
      <c r="H10008" s="1">
        <v>1.4496770000000001E-6</v>
      </c>
      <c r="I10008">
        <v>223.9905</v>
      </c>
      <c r="J10008">
        <v>-187.5787</v>
      </c>
      <c r="K10008">
        <v>1.1211660000000001</v>
      </c>
      <c r="L10008">
        <v>77.688599999999994</v>
      </c>
      <c r="M10008">
        <v>1.460126E-2</v>
      </c>
      <c r="N10008">
        <v>-1.16968E-2</v>
      </c>
      <c r="O10008">
        <v>0.99982499999999996</v>
      </c>
      <c r="P10008">
        <v>3.4593110000000003E-2</v>
      </c>
      <c r="Q10008">
        <v>0.1622749</v>
      </c>
      <c r="R10008">
        <v>0.98613899999999999</v>
      </c>
      <c r="S10008">
        <v>-0.14984129999999901</v>
      </c>
      <c r="T10008">
        <v>-2.3331169999999998E-2</v>
      </c>
      <c r="U10008">
        <v>3.0510250000000001</v>
      </c>
      <c r="V10008">
        <v>2.0237419999999999E-2</v>
      </c>
      <c r="W10008">
        <v>0.173797799999999</v>
      </c>
      <c r="X10008">
        <v>0.98457340000000004</v>
      </c>
      <c r="Y10008">
        <v>-6.3624529999999999E-2</v>
      </c>
      <c r="Z10008">
        <v>4.0679710000000001E-3</v>
      </c>
      <c r="AA10008">
        <v>0.99796560000000001</v>
      </c>
      <c r="AB10008">
        <v>32</v>
      </c>
      <c r="AC10008">
        <v>-7.2051000000000096</v>
      </c>
      <c r="AD10008">
        <v>-1.1211645503230001</v>
      </c>
      <c r="AE10008">
        <v>146.30189999999999</v>
      </c>
      <c r="AF10008">
        <v>-9.3401227920463299</v>
      </c>
      <c r="AG10008">
        <v>-1.1211645503230001</v>
      </c>
      <c r="AH10008">
        <v>146.17252723018899</v>
      </c>
      <c r="AI10008">
        <v>90.438563977446194</v>
      </c>
      <c r="AJ10008">
        <v>93.656111557072506</v>
      </c>
      <c r="AK10008">
        <v>146.47492147319801</v>
      </c>
      <c r="AL10008">
        <v>79.991294949680906</v>
      </c>
      <c r="AM10008">
        <v>88.822479358604397</v>
      </c>
      <c r="AN10008">
        <v>1.0000000042203201</v>
      </c>
    </row>
    <row r="10009" spans="1:40" x14ac:dyDescent="0.25">
      <c r="A10009" t="str">
        <f>"20190303162144193"</f>
        <v>20190303162144193</v>
      </c>
      <c r="B10009" t="str">
        <f>"1551601304182190"</f>
        <v>1551601304182190</v>
      </c>
      <c r="C10009" t="s">
        <v>40</v>
      </c>
      <c r="D10009">
        <v>4.8127719999999998</v>
      </c>
      <c r="E10009">
        <v>0.46868029999999999</v>
      </c>
      <c r="F10009" t="s">
        <v>41</v>
      </c>
      <c r="G10009">
        <v>-195.6474</v>
      </c>
      <c r="H10009" s="1">
        <v>-2.7861969999999998E-6</v>
      </c>
      <c r="I10009">
        <v>242.30699999999999</v>
      </c>
      <c r="J10009">
        <v>-187.57390000000001</v>
      </c>
      <c r="K10009">
        <v>1.121165</v>
      </c>
      <c r="L10009">
        <v>78.005979999999994</v>
      </c>
      <c r="M10009">
        <v>1.471074E-2</v>
      </c>
      <c r="N10009">
        <v>-1.1698709999999999E-2</v>
      </c>
      <c r="O10009">
        <v>0.99982329999999997</v>
      </c>
      <c r="P10009">
        <v>3.5040809999999999E-2</v>
      </c>
      <c r="Q10009">
        <v>0.16173870000000001</v>
      </c>
      <c r="R10009">
        <v>0.98621130000000001</v>
      </c>
      <c r="S10009">
        <v>-0.14953610000000001</v>
      </c>
      <c r="T10009">
        <v>-2.0778419999999999E-2</v>
      </c>
      <c r="U10009">
        <v>3.0508419999999998</v>
      </c>
      <c r="V10009">
        <v>2.0575800000000002E-2</v>
      </c>
      <c r="W10009">
        <v>0.17326429999999901</v>
      </c>
      <c r="X10009">
        <v>0.98466039999999999</v>
      </c>
      <c r="Y10009">
        <v>-6.3637260000000001E-2</v>
      </c>
      <c r="Z10009">
        <v>4.9046519999999998E-3</v>
      </c>
      <c r="AA10009">
        <v>0.99796099999999999</v>
      </c>
      <c r="AB10009">
        <v>32</v>
      </c>
      <c r="AC10009">
        <v>-8.0734999999999904</v>
      </c>
      <c r="AD10009">
        <v>-1.121167786197</v>
      </c>
      <c r="AE10009">
        <v>164.30101999999999</v>
      </c>
      <c r="AF10009">
        <v>-10.4892941208893</v>
      </c>
      <c r="AG10009">
        <v>-1.121167786197</v>
      </c>
      <c r="AH10009">
        <v>164.15683788649099</v>
      </c>
      <c r="AI10009">
        <v>90.390519516572894</v>
      </c>
      <c r="AJ10009">
        <v>93.6561153798459</v>
      </c>
      <c r="AK10009">
        <v>164.49543985548999</v>
      </c>
      <c r="AL10009">
        <v>80.022333026976597</v>
      </c>
      <c r="AM10009">
        <v>88.802902043769805</v>
      </c>
      <c r="AN10009">
        <v>0.99999999226414404</v>
      </c>
    </row>
    <row r="10010" spans="1:40" x14ac:dyDescent="0.25">
      <c r="A10010" t="str">
        <f>"20190303162144216"</f>
        <v>20190303162144216</v>
      </c>
      <c r="B10010" t="str">
        <f>"1551601304202686"</f>
        <v>1551601304202686</v>
      </c>
      <c r="C10010" t="s">
        <v>40</v>
      </c>
      <c r="D10010">
        <v>4.9158330000000001</v>
      </c>
      <c r="E10010">
        <v>0.46864909999999999</v>
      </c>
      <c r="F10010" t="s">
        <v>41</v>
      </c>
      <c r="G10010">
        <v>-195.51259999999999</v>
      </c>
      <c r="H10010" s="1">
        <v>-1.901213E-6</v>
      </c>
      <c r="I10010">
        <v>240.51070000000001</v>
      </c>
      <c r="J10010">
        <v>-187.5692</v>
      </c>
      <c r="K10010">
        <v>1.121164</v>
      </c>
      <c r="L10010">
        <v>78.319640000000007</v>
      </c>
      <c r="M10010">
        <v>1.481875E-2</v>
      </c>
      <c r="N10010">
        <v>-1.170061E-2</v>
      </c>
      <c r="O10010">
        <v>0.99982170000000004</v>
      </c>
      <c r="P10010">
        <v>3.5073930000000003E-2</v>
      </c>
      <c r="Q10010">
        <v>0.16066140000000001</v>
      </c>
      <c r="R10010">
        <v>0.98638619999999999</v>
      </c>
      <c r="S10010">
        <v>-0.14903259999999999</v>
      </c>
      <c r="T10010">
        <v>-2.1047590000000001E-2</v>
      </c>
      <c r="U10010">
        <v>3.0506899999999999</v>
      </c>
      <c r="V10010">
        <v>2.049948E-2</v>
      </c>
      <c r="W10010">
        <v>0.1721906</v>
      </c>
      <c r="X10010">
        <v>0.98485029999999996</v>
      </c>
      <c r="Y10010">
        <v>-6.3583199999999895E-2</v>
      </c>
      <c r="Z10010">
        <v>4.8181309999999998E-3</v>
      </c>
      <c r="AA10010">
        <v>0.99796490000000004</v>
      </c>
      <c r="AB10010">
        <v>32</v>
      </c>
      <c r="AC10010">
        <v>-7.9433999999999898</v>
      </c>
      <c r="AD10010">
        <v>-1.121165901213</v>
      </c>
      <c r="AE10010">
        <v>162.19105999999999</v>
      </c>
      <c r="AF10010">
        <v>-10.345667879679</v>
      </c>
      <c r="AG10010">
        <v>-1.121165901213</v>
      </c>
      <c r="AH10010">
        <v>162.04780423506199</v>
      </c>
      <c r="AI10010">
        <v>90.3956026342005</v>
      </c>
      <c r="AJ10010">
        <v>93.652994320148693</v>
      </c>
      <c r="AK10010">
        <v>162.381589825508</v>
      </c>
      <c r="AL10010">
        <v>80.084790063992898</v>
      </c>
      <c r="AM10010">
        <v>88.807570952207598</v>
      </c>
      <c r="AN10010">
        <v>0.99999997240935901</v>
      </c>
    </row>
    <row r="10011" spans="1:40" x14ac:dyDescent="0.25">
      <c r="A10011" t="str">
        <f>"20190303162144239"</f>
        <v>20190303162144239</v>
      </c>
      <c r="B10011" t="str">
        <f>"1551601304232941"</f>
        <v>1551601304232941</v>
      </c>
      <c r="C10011" t="s">
        <v>40</v>
      </c>
      <c r="D10011">
        <v>4.7954800000000004</v>
      </c>
      <c r="E10011">
        <v>0.46862209999999899</v>
      </c>
      <c r="F10011" t="s">
        <v>49</v>
      </c>
      <c r="G10011">
        <v>-194.64269999999999</v>
      </c>
      <c r="H10011" s="1">
        <v>1.6049639999999999E-6</v>
      </c>
      <c r="I10011">
        <v>223.1798</v>
      </c>
      <c r="J10011">
        <v>-187.5641</v>
      </c>
      <c r="K10011">
        <v>1.1211549999999999</v>
      </c>
      <c r="L10011">
        <v>78.654359999999997</v>
      </c>
      <c r="M10011">
        <v>1.4933999999999999E-2</v>
      </c>
      <c r="N10011">
        <v>-1.1702819999999999E-2</v>
      </c>
      <c r="O10011">
        <v>0.99982000000000004</v>
      </c>
      <c r="P10011">
        <v>3.4539630000000002E-2</v>
      </c>
      <c r="Q10011">
        <v>0.16003719999999999</v>
      </c>
      <c r="R10011">
        <v>0.98650649999999995</v>
      </c>
      <c r="S10011">
        <v>-0.14895630000000001</v>
      </c>
      <c r="T10011">
        <v>-2.3609999999999999E-2</v>
      </c>
      <c r="U10011">
        <v>3.0505369999999998</v>
      </c>
      <c r="V10011">
        <v>1.9849530000000001E-2</v>
      </c>
      <c r="W10011">
        <v>0.17157059999999999</v>
      </c>
      <c r="X10011">
        <v>0.98497179999999995</v>
      </c>
      <c r="Y10011">
        <v>-6.3675599999999999E-2</v>
      </c>
      <c r="Z10011">
        <v>3.9816299999999999E-3</v>
      </c>
      <c r="AA10011">
        <v>0.99796269999999998</v>
      </c>
      <c r="AB10011">
        <v>32</v>
      </c>
      <c r="AC10011">
        <v>-7.07859999999999</v>
      </c>
      <c r="AD10011">
        <v>-1.121153395036</v>
      </c>
      <c r="AE10011">
        <v>144.52544</v>
      </c>
      <c r="AF10011">
        <v>-9.2357467556908706</v>
      </c>
      <c r="AG10011">
        <v>-1.121153395036</v>
      </c>
      <c r="AH10011">
        <v>144.39493281800799</v>
      </c>
      <c r="AI10011">
        <v>90.443956547318805</v>
      </c>
      <c r="AJ10011">
        <v>93.659750639394304</v>
      </c>
      <c r="AK10011">
        <v>144.69434206833199</v>
      </c>
      <c r="AL10011">
        <v>80.120849985279605</v>
      </c>
      <c r="AM10011">
        <v>88.845509716074801</v>
      </c>
      <c r="AN10011">
        <v>0.99999996071040897</v>
      </c>
    </row>
    <row r="10012" spans="1:40" x14ac:dyDescent="0.25">
      <c r="A10012" t="str">
        <f>"20190303162144262"</f>
        <v>20190303162144262</v>
      </c>
      <c r="B10012" t="str">
        <f>"1551601304252461"</f>
        <v>1551601304252461</v>
      </c>
      <c r="C10012" t="s">
        <v>40</v>
      </c>
      <c r="D10012">
        <v>4.7700800000000001</v>
      </c>
      <c r="E10012">
        <v>0.4685801</v>
      </c>
      <c r="F10012" t="s">
        <v>49</v>
      </c>
      <c r="G10012">
        <v>-194.5052</v>
      </c>
      <c r="H10012" s="1">
        <v>2.760351E-6</v>
      </c>
      <c r="I10012">
        <v>219.2501</v>
      </c>
      <c r="J10012">
        <v>-187.5592</v>
      </c>
      <c r="K10012">
        <v>1.1211500000000001</v>
      </c>
      <c r="L10012">
        <v>78.974699999999999</v>
      </c>
      <c r="M10012">
        <v>1.504426E-2</v>
      </c>
      <c r="N10012">
        <v>-1.170498E-2</v>
      </c>
      <c r="O10012">
        <v>0.99981830000000005</v>
      </c>
      <c r="P10012">
        <v>3.411016E-2</v>
      </c>
      <c r="Q10012">
        <v>0.15959579999999901</v>
      </c>
      <c r="R10012">
        <v>0.98659289999999999</v>
      </c>
      <c r="S10012">
        <v>-0.150589</v>
      </c>
      <c r="T10012">
        <v>-2.43237E-2</v>
      </c>
      <c r="U10012">
        <v>3.050262</v>
      </c>
      <c r="V10012">
        <v>1.930987E-2</v>
      </c>
      <c r="W10012">
        <v>0.17113229999999999</v>
      </c>
      <c r="X10012">
        <v>0.98505880000000001</v>
      </c>
      <c r="Y10012">
        <v>-6.4322779999999996E-2</v>
      </c>
      <c r="Z10012">
        <v>3.7499069999999998E-3</v>
      </c>
      <c r="AA10012">
        <v>0.99792210000000003</v>
      </c>
      <c r="AB10012">
        <v>32</v>
      </c>
      <c r="AC10012">
        <v>-6.94599999999999</v>
      </c>
      <c r="AD10012">
        <v>-1.1211472396490001</v>
      </c>
      <c r="AE10012">
        <v>140.27539999999999</v>
      </c>
      <c r="AF10012">
        <v>-9.0551209833263702</v>
      </c>
      <c r="AG10012">
        <v>-1.1211472396490001</v>
      </c>
      <c r="AH10012">
        <v>140.146087505667</v>
      </c>
      <c r="AI10012">
        <v>90.457393975804706</v>
      </c>
      <c r="AJ10012">
        <v>93.696856990712007</v>
      </c>
      <c r="AK10012">
        <v>140.44279273178</v>
      </c>
      <c r="AL10012">
        <v>80.146339985509599</v>
      </c>
      <c r="AM10012">
        <v>88.876988488564507</v>
      </c>
      <c r="AN10012">
        <v>0.999999987320073</v>
      </c>
    </row>
    <row r="10013" spans="1:40" x14ac:dyDescent="0.25">
      <c r="A10013" t="str">
        <f>"20190303162144282"</f>
        <v>20190303162144282</v>
      </c>
      <c r="B10013" t="str">
        <f>"1551601304272958"</f>
        <v>1551601304272958</v>
      </c>
      <c r="C10013" t="s">
        <v>40</v>
      </c>
      <c r="D10013">
        <v>4.912757</v>
      </c>
      <c r="E10013">
        <v>0.46856039999999999</v>
      </c>
      <c r="F10013" t="s">
        <v>49</v>
      </c>
      <c r="G10013">
        <v>-194.3852</v>
      </c>
      <c r="H10013" s="1">
        <v>3.1046030000000002E-6</v>
      </c>
      <c r="I10013">
        <v>215.5558</v>
      </c>
      <c r="J10013">
        <v>-187.55459999999999</v>
      </c>
      <c r="K10013">
        <v>1.121149</v>
      </c>
      <c r="L10013">
        <v>79.273439999999994</v>
      </c>
      <c r="M10013">
        <v>1.5146990000000001E-2</v>
      </c>
      <c r="N10013">
        <v>-1.1709239999999999E-2</v>
      </c>
      <c r="O10013">
        <v>0.9998167</v>
      </c>
      <c r="P10013">
        <v>3.3503419999999999E-2</v>
      </c>
      <c r="Q10013">
        <v>0.15962989999999999</v>
      </c>
      <c r="R10013">
        <v>0.98660829999999999</v>
      </c>
      <c r="S10013">
        <v>-0.1524353</v>
      </c>
      <c r="T10013">
        <v>-2.5037050000000002E-2</v>
      </c>
      <c r="U10013">
        <v>3.0500790000000002</v>
      </c>
      <c r="V10013">
        <v>1.860156E-2</v>
      </c>
      <c r="W10013">
        <v>0.17117079999999901</v>
      </c>
      <c r="X10013">
        <v>0.98506579999999999</v>
      </c>
      <c r="Y10013">
        <v>-6.503072E-2</v>
      </c>
      <c r="Z10013">
        <v>3.520671E-3</v>
      </c>
      <c r="AA10013">
        <v>0.99787709999999996</v>
      </c>
      <c r="AB10013">
        <v>32</v>
      </c>
      <c r="AC10013">
        <v>-6.8305999999999996</v>
      </c>
      <c r="AD10013">
        <v>-1.1211458953969999</v>
      </c>
      <c r="AE10013">
        <v>136.28235999999899</v>
      </c>
      <c r="AF10013">
        <v>-8.8936249802696601</v>
      </c>
      <c r="AG10013">
        <v>-1.1211458953969999</v>
      </c>
      <c r="AH10013">
        <v>136.154061623389</v>
      </c>
      <c r="AI10013">
        <v>90.470781998494004</v>
      </c>
      <c r="AJ10013">
        <v>93.737268568848705</v>
      </c>
      <c r="AK10013">
        <v>136.448825681843</v>
      </c>
      <c r="AL10013">
        <v>80.144101641832805</v>
      </c>
      <c r="AM10013">
        <v>88.918179654328796</v>
      </c>
      <c r="AN10013">
        <v>1.00000004556835</v>
      </c>
    </row>
    <row r="10014" spans="1:40" x14ac:dyDescent="0.25">
      <c r="A10014" t="str">
        <f>"20190303162144304"</f>
        <v>20190303162144304</v>
      </c>
      <c r="B10014" t="str">
        <f>"1551601304292478"</f>
        <v>1551601304292478</v>
      </c>
      <c r="C10014" t="s">
        <v>40</v>
      </c>
      <c r="D10014">
        <v>4.8111839999999999</v>
      </c>
      <c r="E10014">
        <v>0.4686169</v>
      </c>
      <c r="F10014" t="s">
        <v>49</v>
      </c>
      <c r="G10014">
        <v>-194.52340000000001</v>
      </c>
      <c r="H10014" s="1">
        <v>2.9753149999999999E-6</v>
      </c>
      <c r="I10014">
        <v>216.7543</v>
      </c>
      <c r="J10014">
        <v>-187.5498</v>
      </c>
      <c r="K10014">
        <v>1.1211469999999999</v>
      </c>
      <c r="L10014">
        <v>79.583129999999997</v>
      </c>
      <c r="M10014">
        <v>1.5253920000000001E-2</v>
      </c>
      <c r="N10014">
        <v>-1.1719479999999999E-2</v>
      </c>
      <c r="O10014">
        <v>0.99981500000000001</v>
      </c>
      <c r="P10014">
        <v>3.2849199999999898E-2</v>
      </c>
      <c r="Q10014">
        <v>0.1593212</v>
      </c>
      <c r="R10014">
        <v>0.98668020000000001</v>
      </c>
      <c r="S10014">
        <v>-0.15460209999999999</v>
      </c>
      <c r="T10014">
        <v>-2.4872419999999999E-2</v>
      </c>
      <c r="U10014">
        <v>3.0499879999999999</v>
      </c>
      <c r="V10014">
        <v>1.7840669999999999E-2</v>
      </c>
      <c r="W10014">
        <v>0.17087339999999901</v>
      </c>
      <c r="X10014">
        <v>0.98513139999999999</v>
      </c>
      <c r="Y10014">
        <v>-6.5845940000000006E-2</v>
      </c>
      <c r="Z10014">
        <v>3.5850230000000001E-3</v>
      </c>
      <c r="AA10014">
        <v>0.99782340000000003</v>
      </c>
      <c r="AB10014">
        <v>32</v>
      </c>
      <c r="AC10014">
        <v>-6.9736000000000002</v>
      </c>
      <c r="AD10014">
        <v>-1.121144024685</v>
      </c>
      <c r="AE10014">
        <v>137.17116999999999</v>
      </c>
      <c r="AF10014">
        <v>-9.0647262284133294</v>
      </c>
      <c r="AG10014">
        <v>-1.121144024685</v>
      </c>
      <c r="AH10014">
        <v>137.03969511758399</v>
      </c>
      <c r="AI10014">
        <v>90.467713577463599</v>
      </c>
      <c r="AJ10014">
        <v>93.784414834074795</v>
      </c>
      <c r="AK10014">
        <v>137.343744901035</v>
      </c>
      <c r="AL10014">
        <v>80.161395172278205</v>
      </c>
      <c r="AM10014">
        <v>88.962490316593701</v>
      </c>
      <c r="AN10014">
        <v>0.99999994179978202</v>
      </c>
    </row>
    <row r="10015" spans="1:40" x14ac:dyDescent="0.25">
      <c r="A10015" t="str">
        <f>"20190303162144328"</f>
        <v>20190303162144328</v>
      </c>
      <c r="B10015" t="str">
        <f>"1551601304322734"</f>
        <v>1551601304322734</v>
      </c>
      <c r="C10015" t="s">
        <v>40</v>
      </c>
      <c r="D10015">
        <v>4.9271770000000004</v>
      </c>
      <c r="E10015">
        <v>0.48123320000000003</v>
      </c>
      <c r="F10015" t="s">
        <v>49</v>
      </c>
      <c r="G10015">
        <v>-194.40270000000001</v>
      </c>
      <c r="H10015" s="1">
        <v>3.2788970000000002E-6</v>
      </c>
      <c r="I10015">
        <v>213.5266</v>
      </c>
      <c r="J10015">
        <v>-187.5446</v>
      </c>
      <c r="K10015">
        <v>1.121151</v>
      </c>
      <c r="L10015">
        <v>79.914119999999997</v>
      </c>
      <c r="M10015">
        <v>1.5368379999999999E-2</v>
      </c>
      <c r="N10015">
        <v>-1.173683E-2</v>
      </c>
      <c r="O10015">
        <v>0.99981299999999995</v>
      </c>
      <c r="P10015">
        <v>3.3354740000000001E-2</v>
      </c>
      <c r="Q10015">
        <v>0.15915969999999999</v>
      </c>
      <c r="R10015">
        <v>0.98668920000000004</v>
      </c>
      <c r="S10015">
        <v>-0.15603639999999999</v>
      </c>
      <c r="T10015">
        <v>-2.552772E-2</v>
      </c>
      <c r="U10015">
        <v>3.0498050000000001</v>
      </c>
      <c r="V10015">
        <v>1.8233059999999999E-2</v>
      </c>
      <c r="W10015">
        <v>0.17072870000000001</v>
      </c>
      <c r="X10015">
        <v>0.98514939999999995</v>
      </c>
      <c r="Y10015">
        <v>-6.6431110000000002E-2</v>
      </c>
      <c r="Z10015">
        <v>3.387817E-3</v>
      </c>
      <c r="AA10015">
        <v>0.99778529999999999</v>
      </c>
      <c r="AB10015">
        <v>32</v>
      </c>
      <c r="AC10015">
        <v>-6.8581000000000003</v>
      </c>
      <c r="AD10015">
        <v>-1.1211477211030001</v>
      </c>
      <c r="AE10015">
        <v>133.61248000000001</v>
      </c>
      <c r="AF10015">
        <v>-8.9102130646061397</v>
      </c>
      <c r="AG10015">
        <v>-1.1211477211030001</v>
      </c>
      <c r="AH10015">
        <v>133.48191926573699</v>
      </c>
      <c r="AI10015">
        <v>90.480161608985995</v>
      </c>
      <c r="AJ10015">
        <v>93.818954373793702</v>
      </c>
      <c r="AK10015">
        <v>133.78367478857001</v>
      </c>
      <c r="AL10015">
        <v>80.169810460486403</v>
      </c>
      <c r="AM10015">
        <v>88.939695717364003</v>
      </c>
      <c r="AN10015">
        <v>1.0000000369005</v>
      </c>
    </row>
    <row r="10016" spans="1:40" x14ac:dyDescent="0.25">
      <c r="A10016" t="str">
        <f>"20190303162144350"</f>
        <v>20190303162144350</v>
      </c>
      <c r="B10016" t="str">
        <f>"1551601304342254"</f>
        <v>1551601304342254</v>
      </c>
      <c r="C10016" t="s">
        <v>40</v>
      </c>
      <c r="D10016">
        <v>4.9214760000000002</v>
      </c>
      <c r="E10016">
        <v>0.48219899999999999</v>
      </c>
      <c r="F10016" t="s">
        <v>41</v>
      </c>
      <c r="G10016">
        <v>-190.56450000000001</v>
      </c>
      <c r="H10016" s="1">
        <v>-8.3746369999999996E-7</v>
      </c>
      <c r="I10016">
        <v>251.19120000000001</v>
      </c>
      <c r="J10016">
        <v>-187.53960000000001</v>
      </c>
      <c r="K10016">
        <v>1.1211580000000001</v>
      </c>
      <c r="L10016">
        <v>80.235990000000001</v>
      </c>
      <c r="M10016">
        <v>1.547977E-2</v>
      </c>
      <c r="N10016">
        <v>-1.1759830000000001E-2</v>
      </c>
      <c r="O10016">
        <v>0.99981109999999895</v>
      </c>
      <c r="P10016">
        <v>3.4008719999999999E-2</v>
      </c>
      <c r="Q10016">
        <v>0.15958629999999999</v>
      </c>
      <c r="R10016">
        <v>0.98659799999999997</v>
      </c>
      <c r="S10016">
        <v>-5.3695680000000003E-2</v>
      </c>
      <c r="T10016">
        <v>-1.9935370000000001E-2</v>
      </c>
      <c r="U10016">
        <v>3.0455019999999999</v>
      </c>
      <c r="V10016">
        <v>1.8778699999999999E-2</v>
      </c>
      <c r="W10016">
        <v>0.17117689999999999</v>
      </c>
      <c r="X10016">
        <v>0.98506130000000003</v>
      </c>
      <c r="Y10016">
        <v>-3.3100930000000001E-2</v>
      </c>
      <c r="Z10016">
        <v>5.219418E-3</v>
      </c>
      <c r="AA10016">
        <v>0.99943839999999995</v>
      </c>
      <c r="AB10016">
        <v>32</v>
      </c>
      <c r="AC10016">
        <v>-3.0249000000000001</v>
      </c>
      <c r="AD10016">
        <v>-1.1211588374636901</v>
      </c>
      <c r="AE10016">
        <v>170.95520999999999</v>
      </c>
      <c r="AF10016">
        <v>-5.6708238187166797</v>
      </c>
      <c r="AG10016">
        <v>-1.1211588374636901</v>
      </c>
      <c r="AH10016">
        <v>170.880548252935</v>
      </c>
      <c r="AI10016">
        <v>90.375709269394306</v>
      </c>
      <c r="AJ10016">
        <v>91.900714135296099</v>
      </c>
      <c r="AK10016">
        <v>170.978293976591</v>
      </c>
      <c r="AL10016">
        <v>80.143746126904105</v>
      </c>
      <c r="AM10016">
        <v>88.907875129151407</v>
      </c>
      <c r="AN10016">
        <v>0.999999967712494</v>
      </c>
    </row>
    <row r="10017" spans="1:40" x14ac:dyDescent="0.25">
      <c r="A10017" t="str">
        <f>"20190303162144372"</f>
        <v>20190303162144372</v>
      </c>
      <c r="B10017" t="str">
        <f>"1551601304362749"</f>
        <v>1551601304362749</v>
      </c>
      <c r="C10017" t="s">
        <v>40</v>
      </c>
      <c r="D10017">
        <v>4.9218539999999997</v>
      </c>
      <c r="E10017">
        <v>0.48285859999999903</v>
      </c>
      <c r="F10017" t="s">
        <v>41</v>
      </c>
      <c r="G10017">
        <v>-190.1328</v>
      </c>
      <c r="H10017" s="1">
        <v>-3.1971520000000001E-7</v>
      </c>
      <c r="I10017">
        <v>260.25200000000001</v>
      </c>
      <c r="J10017">
        <v>-187.53460000000001</v>
      </c>
      <c r="K10017">
        <v>1.1211610000000001</v>
      </c>
      <c r="L10017">
        <v>80.547849999999997</v>
      </c>
      <c r="M10017">
        <v>1.5587760000000001E-2</v>
      </c>
      <c r="N10017">
        <v>-1.178657E-2</v>
      </c>
      <c r="O10017">
        <v>0.99980899999999995</v>
      </c>
      <c r="P10017">
        <v>3.4497890000000003E-2</v>
      </c>
      <c r="Q10017">
        <v>0.16015370000000001</v>
      </c>
      <c r="R10017">
        <v>0.98648910000000001</v>
      </c>
      <c r="S10017">
        <v>-4.3869020000000002E-2</v>
      </c>
      <c r="T10017">
        <v>-1.896656E-2</v>
      </c>
      <c r="U10017">
        <v>3.0453190000000001</v>
      </c>
      <c r="V10017">
        <v>1.9163340000000001E-2</v>
      </c>
      <c r="W10017">
        <v>0.1717698</v>
      </c>
      <c r="X10017">
        <v>0.98495069999999996</v>
      </c>
      <c r="Y10017">
        <v>-2.9985970000000001E-2</v>
      </c>
      <c r="Z10017">
        <v>5.562979E-3</v>
      </c>
      <c r="AA10017">
        <v>0.99953479999999995</v>
      </c>
      <c r="AB10017">
        <v>32</v>
      </c>
      <c r="AC10017">
        <v>-2.5981999999999901</v>
      </c>
      <c r="AD10017">
        <v>-1.1211613197151999</v>
      </c>
      <c r="AE10017">
        <v>179.70415</v>
      </c>
      <c r="AF10017">
        <v>-5.3990540170147598</v>
      </c>
      <c r="AG10017">
        <v>-1.1211613197151999</v>
      </c>
      <c r="AH10017">
        <v>179.63481991952301</v>
      </c>
      <c r="AI10017">
        <v>90.357436180712099</v>
      </c>
      <c r="AJ10017">
        <v>91.721547699775996</v>
      </c>
      <c r="AK10017">
        <v>179.719434993834</v>
      </c>
      <c r="AL10017">
        <v>80.109264964252503</v>
      </c>
      <c r="AM10017">
        <v>88.885385845829802</v>
      </c>
      <c r="AN10017">
        <v>0.99999998961124204</v>
      </c>
    </row>
    <row r="10018" spans="1:40" x14ac:dyDescent="0.25">
      <c r="A10018" t="str">
        <f>"20190303162144393"</f>
        <v>20190303162144393</v>
      </c>
      <c r="B10018" t="str">
        <f>"1551601304382270"</f>
        <v>1551601304382270</v>
      </c>
      <c r="C10018" t="s">
        <v>40</v>
      </c>
      <c r="D10018">
        <v>4.759493</v>
      </c>
      <c r="E10018">
        <v>0.4829756</v>
      </c>
      <c r="F10018" t="s">
        <v>41</v>
      </c>
      <c r="G10018">
        <v>-190.5292</v>
      </c>
      <c r="H10018" s="1">
        <v>-3.0817949999999999E-6</v>
      </c>
      <c r="I10018">
        <v>326.44470000000001</v>
      </c>
      <c r="J10018">
        <v>-187.52959999999999</v>
      </c>
      <c r="K10018">
        <v>1.1211690000000001</v>
      </c>
      <c r="L10018">
        <v>80.856780000000001</v>
      </c>
      <c r="M10018">
        <v>1.569591E-2</v>
      </c>
      <c r="N10018">
        <v>-1.18186E-2</v>
      </c>
      <c r="O10018">
        <v>0.99980690000000005</v>
      </c>
      <c r="P10018">
        <v>3.4749080000000002E-2</v>
      </c>
      <c r="Q10018">
        <v>0.16064389999999901</v>
      </c>
      <c r="R10018">
        <v>0.98640050000000001</v>
      </c>
      <c r="S10018">
        <v>-3.7078859999999998E-2</v>
      </c>
      <c r="T10018">
        <v>-1.388204E-2</v>
      </c>
      <c r="U10018">
        <v>3.0446469999999999</v>
      </c>
      <c r="V10018">
        <v>1.930958E-2</v>
      </c>
      <c r="W10018">
        <v>0.1722902</v>
      </c>
      <c r="X10018">
        <v>0.98485699999999998</v>
      </c>
      <c r="Y10018">
        <v>-2.7868810000000001E-2</v>
      </c>
      <c r="Z10018">
        <v>7.2623760000000001E-3</v>
      </c>
      <c r="AA10018">
        <v>0.99958519999999895</v>
      </c>
      <c r="AB10018">
        <v>32</v>
      </c>
      <c r="AC10018">
        <v>-2.9996000000000098</v>
      </c>
      <c r="AD10018">
        <v>-1.1211720817949999</v>
      </c>
      <c r="AE10018">
        <v>245.58792</v>
      </c>
      <c r="AF10018">
        <v>-6.85408296903978</v>
      </c>
      <c r="AG10018">
        <v>-1.1211720817949999</v>
      </c>
      <c r="AH10018">
        <v>245.50546149046701</v>
      </c>
      <c r="AI10018">
        <v>90.261554109399</v>
      </c>
      <c r="AJ10018">
        <v>91.599182527509697</v>
      </c>
      <c r="AK10018">
        <v>245.60367892568399</v>
      </c>
      <c r="AL10018">
        <v>80.078997518006204</v>
      </c>
      <c r="AM10018">
        <v>88.876775304033899</v>
      </c>
      <c r="AN10018">
        <v>1.0000000416724</v>
      </c>
    </row>
    <row r="10019" spans="1:40" x14ac:dyDescent="0.25">
      <c r="A10019" t="str">
        <f>"20190303162144416"</f>
        <v>20190303162144416</v>
      </c>
      <c r="B10019" t="str">
        <f>"1551601304402766"</f>
        <v>1551601304402766</v>
      </c>
      <c r="C10019" t="s">
        <v>40</v>
      </c>
      <c r="D10019">
        <v>4.866879</v>
      </c>
      <c r="E10019">
        <v>0.48303580000000002</v>
      </c>
      <c r="F10019" t="s">
        <v>46</v>
      </c>
      <c r="G10019">
        <v>-190.87459999999999</v>
      </c>
      <c r="H10019" s="1">
        <v>-1.182932E-5</v>
      </c>
      <c r="I10019">
        <v>370.15550000000002</v>
      </c>
      <c r="J10019">
        <v>-187.52449999999999</v>
      </c>
      <c r="K10019">
        <v>1.1211819999999999</v>
      </c>
      <c r="L10019">
        <v>81.179719999999904</v>
      </c>
      <c r="M10019">
        <v>1.581227E-2</v>
      </c>
      <c r="N10019">
        <v>-1.185953E-2</v>
      </c>
      <c r="O10019">
        <v>0.99980460000000004</v>
      </c>
      <c r="P10019">
        <v>3.486496E-2</v>
      </c>
      <c r="Q10019">
        <v>0.161415</v>
      </c>
      <c r="R10019">
        <v>0.98627050000000005</v>
      </c>
      <c r="S10019">
        <v>-3.5202030000000002E-2</v>
      </c>
      <c r="T10019">
        <v>-1.17991E-2</v>
      </c>
      <c r="U10019">
        <v>3.0445250000000001</v>
      </c>
      <c r="V10019">
        <v>1.9313609999999998E-2</v>
      </c>
      <c r="W10019">
        <v>0.1730999</v>
      </c>
      <c r="X10019">
        <v>0.98471489999999995</v>
      </c>
      <c r="Y10019">
        <v>-2.7369589999999999E-2</v>
      </c>
      <c r="Z10019">
        <v>7.9868950000000008E-3</v>
      </c>
      <c r="AA10019">
        <v>0.99959350000000002</v>
      </c>
      <c r="AB10019">
        <v>32</v>
      </c>
      <c r="AC10019">
        <v>-3.3500999999999901</v>
      </c>
      <c r="AD10019">
        <v>-1.1211938293199999</v>
      </c>
      <c r="AE10019">
        <v>288.97577999999999</v>
      </c>
      <c r="AF10019">
        <v>-7.9192465320060297</v>
      </c>
      <c r="AG10019">
        <v>-1.1211938293199999</v>
      </c>
      <c r="AH10019">
        <v>288.88232212535797</v>
      </c>
      <c r="AI10019">
        <v>90.222288534280494</v>
      </c>
      <c r="AJ10019">
        <v>91.570278825671195</v>
      </c>
      <c r="AK10019">
        <v>288.99302340675399</v>
      </c>
      <c r="AL10019">
        <v>80.031897170789506</v>
      </c>
      <c r="AM10019">
        <v>88.876378861825899</v>
      </c>
      <c r="AN10019">
        <v>1.00000001259662</v>
      </c>
    </row>
    <row r="10020" spans="1:40" x14ac:dyDescent="0.25">
      <c r="A10020" t="str">
        <f>"20190303162144439"</f>
        <v>20190303162144439</v>
      </c>
      <c r="B10020" t="str">
        <f>"1551601304433021"</f>
        <v>1551601304433021</v>
      </c>
      <c r="C10020" t="s">
        <v>40</v>
      </c>
      <c r="D10020">
        <v>4.752237</v>
      </c>
      <c r="E10020">
        <v>0.48287479999999999</v>
      </c>
      <c r="F10020" t="s">
        <v>92</v>
      </c>
      <c r="G10020">
        <v>-191.05779999999999</v>
      </c>
      <c r="H10020">
        <v>0.23906520000000001</v>
      </c>
      <c r="I10020">
        <v>391.87</v>
      </c>
      <c r="J10020">
        <v>-187.51900000000001</v>
      </c>
      <c r="K10020">
        <v>1.121197</v>
      </c>
      <c r="L10020">
        <v>81.516819999999996</v>
      </c>
      <c r="M10020">
        <v>1.5937280000000002E-2</v>
      </c>
      <c r="N10020">
        <v>-1.191098E-2</v>
      </c>
      <c r="O10020">
        <v>0.99980210000000003</v>
      </c>
      <c r="P10020">
        <v>3.517352E-2</v>
      </c>
      <c r="Q10020">
        <v>0.16174539999999901</v>
      </c>
      <c r="R10020">
        <v>0.98620549999999996</v>
      </c>
      <c r="S10020">
        <v>-3.4622189999999997E-2</v>
      </c>
      <c r="T10020">
        <v>-8.6437459999999904E-3</v>
      </c>
      <c r="U10020">
        <v>3.044403</v>
      </c>
      <c r="V10020">
        <v>1.950139E-2</v>
      </c>
      <c r="W10020">
        <v>0.173480299999999</v>
      </c>
      <c r="X10020">
        <v>0.98464419999999997</v>
      </c>
      <c r="Y10020">
        <v>-2.7304749999999999E-2</v>
      </c>
      <c r="Z10020">
        <v>9.0741629999999997E-3</v>
      </c>
      <c r="AA10020">
        <v>0.99958599999999997</v>
      </c>
      <c r="AB10020">
        <v>32</v>
      </c>
      <c r="AC10020">
        <v>-3.5387999999999802</v>
      </c>
      <c r="AD10020">
        <v>-0.88213180000000002</v>
      </c>
      <c r="AE10020">
        <v>310.35318000000001</v>
      </c>
      <c r="AF10020">
        <v>-8.4848181073827202</v>
      </c>
      <c r="AG10020">
        <v>-0.88213180000000002</v>
      </c>
      <c r="AH10020">
        <v>310.254848485997</v>
      </c>
      <c r="AI10020">
        <v>90.162844846361295</v>
      </c>
      <c r="AJ10020">
        <v>91.566528701255095</v>
      </c>
      <c r="AK10020">
        <v>310.37210136205402</v>
      </c>
      <c r="AL10020">
        <v>80.009766511449499</v>
      </c>
      <c r="AM10020">
        <v>88.865375655853001</v>
      </c>
      <c r="AN10020">
        <v>0.99999995964682997</v>
      </c>
    </row>
    <row r="10021" spans="1:40" x14ac:dyDescent="0.25">
      <c r="A10021" t="str">
        <f>"20190303162144463"</f>
        <v>20190303162144463</v>
      </c>
      <c r="B10021" t="str">
        <f>"1551601304452542"</f>
        <v>1551601304452542</v>
      </c>
      <c r="C10021" t="s">
        <v>40</v>
      </c>
      <c r="D10021">
        <v>4.760904</v>
      </c>
      <c r="E10021">
        <v>0.4829155</v>
      </c>
      <c r="F10021" t="s">
        <v>92</v>
      </c>
      <c r="G10021">
        <v>-191.11539999999999</v>
      </c>
      <c r="H10021">
        <v>0.40621190000000001</v>
      </c>
      <c r="I10021">
        <v>391.87</v>
      </c>
      <c r="J10021">
        <v>-187.51349999999999</v>
      </c>
      <c r="K10021">
        <v>1.1212040000000001</v>
      </c>
      <c r="L10021">
        <v>81.850920000000002</v>
      </c>
      <c r="M10021">
        <v>1.6058579999999999E-2</v>
      </c>
      <c r="N10021">
        <v>-1.1968100000000001E-2</v>
      </c>
      <c r="O10021">
        <v>0.9997994</v>
      </c>
      <c r="P10021">
        <v>3.5393809999999998E-2</v>
      </c>
      <c r="Q10021">
        <v>0.16225789999999901</v>
      </c>
      <c r="R10021">
        <v>0.98611340000000003</v>
      </c>
      <c r="S10021">
        <v>-3.5278320000000002E-2</v>
      </c>
      <c r="T10021">
        <v>-7.0135589999999999E-3</v>
      </c>
      <c r="U10021">
        <v>3.0443730000000002</v>
      </c>
      <c r="V10021">
        <v>1.9604759999999999E-2</v>
      </c>
      <c r="W10021">
        <v>0.17404810000000001</v>
      </c>
      <c r="X10021">
        <v>0.98454200000000003</v>
      </c>
      <c r="Y10021">
        <v>-2.7641519999999999E-2</v>
      </c>
      <c r="Z10021">
        <v>9.6665429999999997E-3</v>
      </c>
      <c r="AA10021">
        <v>0.99957110000000005</v>
      </c>
      <c r="AB10021">
        <v>32</v>
      </c>
      <c r="AC10021">
        <v>-3.6019000000000001</v>
      </c>
      <c r="AD10021">
        <v>-0.71499210000000002</v>
      </c>
      <c r="AE10021">
        <v>310.01907999999997</v>
      </c>
      <c r="AF10021">
        <v>-8.5802127443469303</v>
      </c>
      <c r="AG10021">
        <v>-0.71499210000000002</v>
      </c>
      <c r="AH10021">
        <v>309.919604377761</v>
      </c>
      <c r="AI10021">
        <v>90.132131900794704</v>
      </c>
      <c r="AJ10021">
        <v>91.585844929154405</v>
      </c>
      <c r="AK10021">
        <v>310.039178882459</v>
      </c>
      <c r="AL10021">
        <v>79.976732011039402</v>
      </c>
      <c r="AM10021">
        <v>88.859244624468303</v>
      </c>
      <c r="AN10021">
        <v>1.00000001874613</v>
      </c>
    </row>
    <row r="10022" spans="1:40" x14ac:dyDescent="0.25">
      <c r="A10022" t="str">
        <f>"20190303162144482"</f>
        <v>20190303162144482</v>
      </c>
      <c r="B10022" t="str">
        <f>"1551601304472063"</f>
        <v>1551601304472063</v>
      </c>
      <c r="C10022" t="s">
        <v>40</v>
      </c>
      <c r="D10022">
        <v>4.9159410000000001</v>
      </c>
      <c r="E10022">
        <v>0.4829542</v>
      </c>
      <c r="F10022" t="s">
        <v>92</v>
      </c>
      <c r="G10022">
        <v>-190.977</v>
      </c>
      <c r="H10022">
        <v>0.51777649999999997</v>
      </c>
      <c r="I10022">
        <v>391.87</v>
      </c>
      <c r="J10022">
        <v>-187.50899999999999</v>
      </c>
      <c r="K10022">
        <v>1.12121</v>
      </c>
      <c r="L10022">
        <v>82.128270000000001</v>
      </c>
      <c r="M10022">
        <v>1.6154089999999999E-2</v>
      </c>
      <c r="N10022">
        <v>-1.201905E-2</v>
      </c>
      <c r="O10022">
        <v>0.9997973</v>
      </c>
      <c r="P10022">
        <v>3.5305030000000001E-2</v>
      </c>
      <c r="Q10022">
        <v>0.16217899999999999</v>
      </c>
      <c r="R10022">
        <v>0.98612960000000005</v>
      </c>
      <c r="S10022">
        <v>-3.4011840000000002E-2</v>
      </c>
      <c r="T10022">
        <v>-5.9257750000000003E-3</v>
      </c>
      <c r="U10022">
        <v>3.0444339999999999</v>
      </c>
      <c r="V10022">
        <v>1.9421549999999999E-2</v>
      </c>
      <c r="W10022">
        <v>0.174018899999999</v>
      </c>
      <c r="X10022">
        <v>0.98455079999999995</v>
      </c>
      <c r="Y10022">
        <v>-2.732105E-2</v>
      </c>
      <c r="Z10022">
        <v>1.0074629999999999E-2</v>
      </c>
      <c r="AA10022">
        <v>0.99957589999999996</v>
      </c>
      <c r="AB10022">
        <v>32</v>
      </c>
      <c r="AC10022">
        <v>-3.46799999999998</v>
      </c>
      <c r="AD10022">
        <v>-0.60343349999999996</v>
      </c>
      <c r="AE10022">
        <v>309.741729999999</v>
      </c>
      <c r="AF10022">
        <v>-8.4714723537187506</v>
      </c>
      <c r="AG10022">
        <v>-0.60343349999999996</v>
      </c>
      <c r="AH10022">
        <v>309.64410574677601</v>
      </c>
      <c r="AI10022">
        <v>90.1116159366928</v>
      </c>
      <c r="AJ10022">
        <v>91.567149366544399</v>
      </c>
      <c r="AK10022">
        <v>309.76055623586001</v>
      </c>
      <c r="AL10022">
        <v>79.978431047557507</v>
      </c>
      <c r="AM10022">
        <v>88.869912508740796</v>
      </c>
      <c r="AN10022">
        <v>1.0000000259711199</v>
      </c>
    </row>
    <row r="10023" spans="1:40" x14ac:dyDescent="0.25">
      <c r="A10023" t="str">
        <f>"20190303162144505"</f>
        <v>20190303162144505</v>
      </c>
      <c r="B10023" t="str">
        <f>"1551601304492558"</f>
        <v>1551601304492558</v>
      </c>
      <c r="C10023" t="s">
        <v>40</v>
      </c>
      <c r="D10023">
        <v>4.9215289999999996</v>
      </c>
      <c r="E10023">
        <v>0.48298609999999997</v>
      </c>
      <c r="F10023" t="s">
        <v>92</v>
      </c>
      <c r="G10023">
        <v>-190.9538</v>
      </c>
      <c r="H10023">
        <v>0.4679489</v>
      </c>
      <c r="I10023">
        <v>391.87</v>
      </c>
      <c r="J10023">
        <v>-187.50360000000001</v>
      </c>
      <c r="K10023">
        <v>1.121216</v>
      </c>
      <c r="L10023">
        <v>82.451049999999995</v>
      </c>
      <c r="M10023">
        <v>1.6261600000000001E-2</v>
      </c>
      <c r="N10023">
        <v>-1.208263E-2</v>
      </c>
      <c r="O10023">
        <v>0.99979479999999998</v>
      </c>
      <c r="P10023">
        <v>3.5463290000000001E-2</v>
      </c>
      <c r="Q10023">
        <v>0.1621177</v>
      </c>
      <c r="R10023">
        <v>0.98613399999999996</v>
      </c>
      <c r="S10023">
        <v>-3.385925E-2</v>
      </c>
      <c r="T10023">
        <v>-6.4209699999999998E-3</v>
      </c>
      <c r="U10023">
        <v>3.0444640000000001</v>
      </c>
      <c r="V10023">
        <v>1.9472860000000002E-2</v>
      </c>
      <c r="W10023">
        <v>0.174020799999999</v>
      </c>
      <c r="X10023">
        <v>0.98454940000000002</v>
      </c>
      <c r="Y10023">
        <v>-2.7378300000000001E-2</v>
      </c>
      <c r="Z10023">
        <v>9.9756740000000003E-3</v>
      </c>
      <c r="AA10023">
        <v>0.9995754</v>
      </c>
      <c r="AB10023">
        <v>32</v>
      </c>
      <c r="AC10023">
        <v>-3.4501999999999899</v>
      </c>
      <c r="AD10023">
        <v>-0.65326709999999899</v>
      </c>
      <c r="AE10023">
        <v>309.41895</v>
      </c>
      <c r="AF10023">
        <v>-8.4817202582831897</v>
      </c>
      <c r="AG10023">
        <v>-0.65326709999999899</v>
      </c>
      <c r="AH10023">
        <v>309.32054152691001</v>
      </c>
      <c r="AI10023">
        <v>90.1209597286947</v>
      </c>
      <c r="AJ10023">
        <v>91.570684667697705</v>
      </c>
      <c r="AK10023">
        <v>309.43749570300002</v>
      </c>
      <c r="AL10023">
        <v>79.978319993635296</v>
      </c>
      <c r="AM10023">
        <v>88.866926085099607</v>
      </c>
      <c r="AN10023">
        <v>0.99999997607478897</v>
      </c>
    </row>
    <row r="10024" spans="1:40" x14ac:dyDescent="0.25">
      <c r="A10024" t="str">
        <f>"20190303162144528"</f>
        <v>20190303162144528</v>
      </c>
      <c r="B10024" t="str">
        <f>"1551601304522814"</f>
        <v>1551601304522814</v>
      </c>
      <c r="C10024" t="s">
        <v>40</v>
      </c>
      <c r="D10024">
        <v>4.9641919999999997</v>
      </c>
      <c r="E10024">
        <v>0.48298239999999998</v>
      </c>
      <c r="F10024" t="s">
        <v>92</v>
      </c>
      <c r="G10024">
        <v>-190.89060000000001</v>
      </c>
      <c r="H10024">
        <v>0.48602489999999998</v>
      </c>
      <c r="I10024">
        <v>391.87</v>
      </c>
      <c r="J10024">
        <v>-187.49799999999999</v>
      </c>
      <c r="K10024">
        <v>1.1212260000000001</v>
      </c>
      <c r="L10024">
        <v>82.785430000000005</v>
      </c>
      <c r="M10024">
        <v>1.636723E-2</v>
      </c>
      <c r="N10024">
        <v>-1.2159629999999999E-2</v>
      </c>
      <c r="O10024">
        <v>0.99979209999999996</v>
      </c>
      <c r="P10024">
        <v>3.5504939999999999E-2</v>
      </c>
      <c r="Q10024">
        <v>0.16219510000000001</v>
      </c>
      <c r="R10024">
        <v>0.98611970000000004</v>
      </c>
      <c r="S10024">
        <v>-3.3325199999999902E-2</v>
      </c>
      <c r="T10024">
        <v>-6.2497849999999999E-3</v>
      </c>
      <c r="U10024">
        <v>3.0444339999999999</v>
      </c>
      <c r="V10024">
        <v>1.9409639999999999E-2</v>
      </c>
      <c r="W10024">
        <v>0.17417389999999999</v>
      </c>
      <c r="X10024">
        <v>0.98452360000000005</v>
      </c>
      <c r="Y10024">
        <v>-2.7308700000000002E-2</v>
      </c>
      <c r="Z10024">
        <v>1.0108850000000001E-2</v>
      </c>
      <c r="AA10024">
        <v>0.99957589999999996</v>
      </c>
      <c r="AB10024">
        <v>32</v>
      </c>
      <c r="AC10024">
        <v>-3.3926000000000101</v>
      </c>
      <c r="AD10024">
        <v>-0.63520109999999996</v>
      </c>
      <c r="AE10024">
        <v>309.08456999999999</v>
      </c>
      <c r="AF10024">
        <v>-8.4513421136251594</v>
      </c>
      <c r="AG10024">
        <v>-0.63520109999999996</v>
      </c>
      <c r="AH10024">
        <v>308.98632495235103</v>
      </c>
      <c r="AI10024">
        <v>90.117742055033204</v>
      </c>
      <c r="AJ10024">
        <v>91.566753917121403</v>
      </c>
      <c r="AK10024">
        <v>309.10253585423499</v>
      </c>
      <c r="AL10024">
        <v>79.969412215323302</v>
      </c>
      <c r="AM10024">
        <v>88.870574145536295</v>
      </c>
      <c r="AN10024">
        <v>1.0000000002615499</v>
      </c>
    </row>
    <row r="10025" spans="1:40" x14ac:dyDescent="0.25">
      <c r="A10025" t="str">
        <f>"20190303162144551"</f>
        <v>20190303162144551</v>
      </c>
      <c r="B10025" t="str">
        <f>"1551601304542334"</f>
        <v>1551601304542334</v>
      </c>
      <c r="C10025" t="s">
        <v>40</v>
      </c>
      <c r="D10025">
        <v>4.8865689999999997</v>
      </c>
      <c r="E10025">
        <v>0.48585270000000003</v>
      </c>
      <c r="F10025" t="s">
        <v>92</v>
      </c>
      <c r="G10025">
        <v>-190.88589999999999</v>
      </c>
      <c r="H10025">
        <v>0.46117399999999997</v>
      </c>
      <c r="I10025">
        <v>391.87</v>
      </c>
      <c r="J10025">
        <v>-187.49260000000001</v>
      </c>
      <c r="K10025">
        <v>1.1212519999999999</v>
      </c>
      <c r="L10025">
        <v>83.106110000000001</v>
      </c>
      <c r="M10025">
        <v>1.6473890000000001E-2</v>
      </c>
      <c r="N10025">
        <v>-1.224895E-2</v>
      </c>
      <c r="O10025">
        <v>0.99978920000000004</v>
      </c>
      <c r="P10025">
        <v>3.557627E-2</v>
      </c>
      <c r="Q10025">
        <v>0.16193109999999999</v>
      </c>
      <c r="R10025">
        <v>0.98616060000000005</v>
      </c>
      <c r="S10025">
        <v>-3.337097E-2</v>
      </c>
      <c r="T10025">
        <v>-6.501555E-3</v>
      </c>
      <c r="U10025">
        <v>3.044495</v>
      </c>
      <c r="V10025">
        <v>1.937241E-2</v>
      </c>
      <c r="W10025">
        <v>0.17399879999999901</v>
      </c>
      <c r="X10025">
        <v>0.98455530000000002</v>
      </c>
      <c r="Y10025">
        <v>-2.7430099999999999E-2</v>
      </c>
      <c r="Z10025">
        <v>1.0115580000000001E-2</v>
      </c>
      <c r="AA10025">
        <v>0.99957249999999997</v>
      </c>
      <c r="AB10025">
        <v>32</v>
      </c>
      <c r="AC10025">
        <v>-3.39329999999998</v>
      </c>
      <c r="AD10025">
        <v>-0.66007800000000005</v>
      </c>
      <c r="AE10025">
        <v>308.76389</v>
      </c>
      <c r="AF10025">
        <v>-8.4797250148035292</v>
      </c>
      <c r="AG10025">
        <v>-0.66007800000000005</v>
      </c>
      <c r="AH10025">
        <v>308.664667748895</v>
      </c>
      <c r="AI10025">
        <v>90.1224803685827</v>
      </c>
      <c r="AJ10025">
        <v>91.5736504117545</v>
      </c>
      <c r="AK10025">
        <v>308.78183002862801</v>
      </c>
      <c r="AL10025">
        <v>79.9796003292048</v>
      </c>
      <c r="AM10025">
        <v>88.872776244572407</v>
      </c>
      <c r="AN10025">
        <v>1.0000000057143601</v>
      </c>
    </row>
    <row r="10026" spans="1:40" x14ac:dyDescent="0.25">
      <c r="A10026" t="str">
        <f>"20190303162144572"</f>
        <v>20190303162144572</v>
      </c>
      <c r="B10026" t="str">
        <f>"1551601304562830"</f>
        <v>1551601304562830</v>
      </c>
      <c r="C10026" t="s">
        <v>40</v>
      </c>
      <c r="D10026">
        <v>4.836938</v>
      </c>
      <c r="E10026">
        <v>0.48900939999999998</v>
      </c>
      <c r="F10026" t="s">
        <v>41</v>
      </c>
      <c r="G10026">
        <v>-187.83600000000001</v>
      </c>
      <c r="H10026" s="1">
        <v>-1.9381370000000001E-6</v>
      </c>
      <c r="I10026">
        <v>183.2559</v>
      </c>
      <c r="J10026">
        <v>-187.48740000000001</v>
      </c>
      <c r="K10026">
        <v>1.1212719999999901</v>
      </c>
      <c r="L10026">
        <v>83.415679999999995</v>
      </c>
      <c r="M10026">
        <v>1.658169E-2</v>
      </c>
      <c r="N10026">
        <v>-1.234994E-2</v>
      </c>
      <c r="O10026">
        <v>0.99978630000000002</v>
      </c>
      <c r="P10026">
        <v>3.5696640000000002E-2</v>
      </c>
      <c r="Q10026">
        <v>0.1624496</v>
      </c>
      <c r="R10026">
        <v>0.98607089999999997</v>
      </c>
      <c r="S10026">
        <v>-1.045227E-2</v>
      </c>
      <c r="T10026">
        <v>-3.4125799999999998E-2</v>
      </c>
      <c r="U10026">
        <v>3.0480960000000001</v>
      </c>
      <c r="V10026">
        <v>1.9385099999999999E-2</v>
      </c>
      <c r="W10026">
        <v>0.17461570000000001</v>
      </c>
      <c r="X10026">
        <v>0.98444580000000004</v>
      </c>
      <c r="Y10026">
        <v>-2.000857E-2</v>
      </c>
      <c r="Z10026">
        <v>1.158753E-3</v>
      </c>
      <c r="AA10026">
        <v>0.99979910000000005</v>
      </c>
      <c r="AB10026">
        <v>32</v>
      </c>
      <c r="AC10026">
        <v>-0.34859999999997598</v>
      </c>
      <c r="AD10026">
        <v>-1.1212739381369901</v>
      </c>
      <c r="AE10026">
        <v>99.840220000000002</v>
      </c>
      <c r="AF10026">
        <v>-2.0039450583192702</v>
      </c>
      <c r="AG10026">
        <v>-1.1212739381369901</v>
      </c>
      <c r="AH10026">
        <v>99.808122019018995</v>
      </c>
      <c r="AI10026">
        <v>90.643520956053706</v>
      </c>
      <c r="AJ10026">
        <v>91.150228728961693</v>
      </c>
      <c r="AK10026">
        <v>99.834534465807494</v>
      </c>
      <c r="AL10026">
        <v>79.943704781045696</v>
      </c>
      <c r="AM10026">
        <v>88.871912610477807</v>
      </c>
      <c r="AN10026">
        <v>0.99999997896306903</v>
      </c>
    </row>
    <row r="10027" spans="1:40" x14ac:dyDescent="0.25">
      <c r="A10027" t="str">
        <f>"20190303162144587"</f>
        <v>20190303162144587</v>
      </c>
      <c r="B10027" t="str">
        <f>"1551601304582350"</f>
        <v>1551601304582350</v>
      </c>
      <c r="C10027" t="s">
        <v>40</v>
      </c>
      <c r="D10027">
        <v>4.786359</v>
      </c>
      <c r="E10027">
        <v>0.49179060000000002</v>
      </c>
      <c r="F10027" t="s">
        <v>50</v>
      </c>
      <c r="G10027">
        <v>-187.2595</v>
      </c>
      <c r="H10027" s="1">
        <v>-5.2214749999999998E-6</v>
      </c>
      <c r="I10027">
        <v>130.28309999999999</v>
      </c>
      <c r="J10027">
        <v>-187.4837</v>
      </c>
      <c r="K10027">
        <v>1.121292</v>
      </c>
      <c r="L10027">
        <v>83.62894</v>
      </c>
      <c r="M10027">
        <v>1.6654990000000001E-2</v>
      </c>
      <c r="N10027">
        <v>-1.243325E-2</v>
      </c>
      <c r="O10027">
        <v>0.99978400000000001</v>
      </c>
      <c r="P10027">
        <v>3.5872050000000003E-2</v>
      </c>
      <c r="Q10027">
        <v>0.16254109999999999</v>
      </c>
      <c r="R10027">
        <v>0.98604950000000002</v>
      </c>
      <c r="S10027">
        <v>1.48468E-2</v>
      </c>
      <c r="T10027">
        <v>-7.3062779999999994E-2</v>
      </c>
      <c r="U10027">
        <v>3.0538940000000001</v>
      </c>
      <c r="V10027">
        <v>1.948679E-2</v>
      </c>
      <c r="W10027">
        <v>0.17478940000000001</v>
      </c>
      <c r="X10027">
        <v>0.98441299999999998</v>
      </c>
      <c r="Y10027">
        <v>-1.179287E-2</v>
      </c>
      <c r="Z10027">
        <v>-1.148064E-2</v>
      </c>
      <c r="AA10027">
        <v>0.99986459999999999</v>
      </c>
      <c r="AB10027">
        <v>32</v>
      </c>
      <c r="AC10027">
        <v>0.22419999999999601</v>
      </c>
      <c r="AD10027">
        <v>-1.1212972214750001</v>
      </c>
      <c r="AE10027">
        <v>46.654159999999898</v>
      </c>
      <c r="AF10027">
        <v>-0.55259653067409098</v>
      </c>
      <c r="AG10027">
        <v>-1.1212972214750001</v>
      </c>
      <c r="AH10027">
        <v>46.624490455185502</v>
      </c>
      <c r="AI10027">
        <v>91.377574460599405</v>
      </c>
      <c r="AJ10027">
        <v>90.679041557065901</v>
      </c>
      <c r="AK10027">
        <v>46.641245487125197</v>
      </c>
      <c r="AL10027">
        <v>79.933597395413003</v>
      </c>
      <c r="AM10027">
        <v>88.865958677330298</v>
      </c>
      <c r="AN10027">
        <v>1.00000001195293</v>
      </c>
    </row>
    <row r="10028" spans="1:40" x14ac:dyDescent="0.25">
      <c r="A10028" t="str">
        <f>"20190303162144606"</f>
        <v>20190303162144606</v>
      </c>
      <c r="B10028" t="str">
        <f>"1551601304602847"</f>
        <v>1551601304602847</v>
      </c>
      <c r="C10028" t="s">
        <v>40</v>
      </c>
      <c r="D10028">
        <v>4.7985309999999997</v>
      </c>
      <c r="E10028">
        <v>0.49445319999999998</v>
      </c>
      <c r="F10028" t="s">
        <v>41</v>
      </c>
      <c r="G10028">
        <v>-187.1147</v>
      </c>
      <c r="H10028" s="1">
        <v>-2.4677819999999998E-6</v>
      </c>
      <c r="I10028">
        <v>114.1922</v>
      </c>
      <c r="J10028">
        <v>-187.47919999999999</v>
      </c>
      <c r="K10028">
        <v>1.121326</v>
      </c>
      <c r="L10028">
        <v>83.898529999999994</v>
      </c>
      <c r="M10028">
        <v>1.6742369999999999E-2</v>
      </c>
      <c r="N10028">
        <v>-1.256989E-2</v>
      </c>
      <c r="O10028">
        <v>0.99978080000000003</v>
      </c>
      <c r="P10028">
        <v>3.6323599999999998E-2</v>
      </c>
      <c r="Q10028">
        <v>0.16197520000000001</v>
      </c>
      <c r="R10028">
        <v>0.98612610000000001</v>
      </c>
      <c r="S10028">
        <v>3.694153E-2</v>
      </c>
      <c r="T10028">
        <v>-0.1122495</v>
      </c>
      <c r="U10028">
        <v>3.0596009999999998</v>
      </c>
      <c r="V10028">
        <v>1.9848660000000001E-2</v>
      </c>
      <c r="W10028">
        <v>0.17435889999999901</v>
      </c>
      <c r="X10028">
        <v>0.98448210000000003</v>
      </c>
      <c r="Y10028">
        <v>-4.6731339999999998E-3</v>
      </c>
      <c r="Z10028">
        <v>-2.409066E-2</v>
      </c>
      <c r="AA10028">
        <v>0.99969889999999995</v>
      </c>
      <c r="AB10028">
        <v>32</v>
      </c>
      <c r="AC10028">
        <v>0.364499999999992</v>
      </c>
      <c r="AD10028">
        <v>-1.1213284677819999</v>
      </c>
      <c r="AE10028">
        <v>30.293669999999899</v>
      </c>
      <c r="AF10028">
        <v>-0.142583683431804</v>
      </c>
      <c r="AG10028">
        <v>-1.1213284677819999</v>
      </c>
      <c r="AH10028">
        <v>30.254080308109799</v>
      </c>
      <c r="AI10028">
        <v>92.122599015722201</v>
      </c>
      <c r="AJ10028">
        <v>90.270025818710593</v>
      </c>
      <c r="AK10028">
        <v>30.2751892302756</v>
      </c>
      <c r="AL10028">
        <v>79.958647784684999</v>
      </c>
      <c r="AM10028">
        <v>88.844986218805204</v>
      </c>
      <c r="AN10028">
        <v>1.0000000002667</v>
      </c>
    </row>
    <row r="10029" spans="1:40" x14ac:dyDescent="0.25">
      <c r="A10029" t="str">
        <f>"20190303162144620"</f>
        <v>20190303162144620</v>
      </c>
      <c r="B10029" t="str">
        <f>"1551601304612606"</f>
        <v>1551601304612606</v>
      </c>
      <c r="C10029" t="s">
        <v>40</v>
      </c>
      <c r="D10029">
        <v>4.8222209999999999</v>
      </c>
      <c r="E10029">
        <v>0.49570360000000002</v>
      </c>
      <c r="F10029" t="s">
        <v>41</v>
      </c>
      <c r="G10029">
        <v>-187.02860000000001</v>
      </c>
      <c r="H10029" s="1">
        <v>-3.789168E-6</v>
      </c>
      <c r="I10029">
        <v>107.2368</v>
      </c>
      <c r="J10029">
        <v>-187.47559999999999</v>
      </c>
      <c r="K10029">
        <v>1.121354</v>
      </c>
      <c r="L10029">
        <v>84.109499999999997</v>
      </c>
      <c r="M10029">
        <v>1.6804039999999999E-2</v>
      </c>
      <c r="N10029">
        <v>-1.270918E-2</v>
      </c>
      <c r="O10029">
        <v>0.99977800000000006</v>
      </c>
      <c r="P10029">
        <v>3.682684E-2</v>
      </c>
      <c r="Q10029">
        <v>0.16180420000000001</v>
      </c>
      <c r="R10029">
        <v>0.98613550000000005</v>
      </c>
      <c r="S10029">
        <v>5.9158330000000002E-2</v>
      </c>
      <c r="T10029">
        <v>-0.14722560000000001</v>
      </c>
      <c r="U10029">
        <v>3.064209</v>
      </c>
      <c r="V10029">
        <v>2.0289169999999999E-2</v>
      </c>
      <c r="W10029">
        <v>0.1743256</v>
      </c>
      <c r="X10029">
        <v>0.98447899999999999</v>
      </c>
      <c r="Y10029">
        <v>2.4846550000000001E-3</v>
      </c>
      <c r="Z10029">
        <v>-3.528046E-2</v>
      </c>
      <c r="AA10029">
        <v>0.9993744</v>
      </c>
      <c r="AB10029">
        <v>32</v>
      </c>
      <c r="AC10029">
        <v>0.44699999999997397</v>
      </c>
      <c r="AD10029">
        <v>-1.121357789168</v>
      </c>
      <c r="AE10029">
        <v>23.127300000000002</v>
      </c>
      <c r="AF10029">
        <v>5.8136775571548401E-2</v>
      </c>
      <c r="AG10029">
        <v>-1.121357789168</v>
      </c>
      <c r="AH10029">
        <v>23.0773132161038</v>
      </c>
      <c r="AI10029">
        <v>92.781882344427302</v>
      </c>
      <c r="AJ10029">
        <v>89.855659764335698</v>
      </c>
      <c r="AK10029">
        <v>23.104614440629899</v>
      </c>
      <c r="AL10029">
        <v>79.960585236908997</v>
      </c>
      <c r="AM10029">
        <v>88.819355952598102</v>
      </c>
      <c r="AN10029">
        <v>0.99999998333782403</v>
      </c>
    </row>
    <row r="10030" spans="1:40" x14ac:dyDescent="0.25">
      <c r="A10030" t="str">
        <f>"20190303162144641"</f>
        <v>20190303162144641</v>
      </c>
      <c r="B10030" t="str">
        <f>"1551601304633102"</f>
        <v>1551601304633102</v>
      </c>
      <c r="C10030" t="s">
        <v>40</v>
      </c>
      <c r="D10030">
        <v>4.8552860000000004</v>
      </c>
      <c r="E10030">
        <v>0.49805779999999999</v>
      </c>
      <c r="F10030" t="s">
        <v>41</v>
      </c>
      <c r="G10030">
        <v>-186.9898</v>
      </c>
      <c r="H10030" s="1">
        <v>-2.9540150000000002E-6</v>
      </c>
      <c r="I10030">
        <v>105.274</v>
      </c>
      <c r="J10030">
        <v>-187.47069999999999</v>
      </c>
      <c r="K10030">
        <v>1.121397</v>
      </c>
      <c r="L10030">
        <v>84.392269999999996</v>
      </c>
      <c r="M10030">
        <v>1.687862E-2</v>
      </c>
      <c r="N10030">
        <v>-1.292455E-2</v>
      </c>
      <c r="O10030">
        <v>0.99977400000000005</v>
      </c>
      <c r="P10030">
        <v>3.7545740000000001E-2</v>
      </c>
      <c r="Q10030">
        <v>0.1617507</v>
      </c>
      <c r="R10030">
        <v>0.98611709999999997</v>
      </c>
      <c r="S10030">
        <v>7.0373539999999998E-2</v>
      </c>
      <c r="T10030">
        <v>-0.16245760000000001</v>
      </c>
      <c r="U10030">
        <v>3.0662229999999999</v>
      </c>
      <c r="V10030">
        <v>2.093221E-2</v>
      </c>
      <c r="W10030">
        <v>0.17448429999999901</v>
      </c>
      <c r="X10030">
        <v>0.98443749999999997</v>
      </c>
      <c r="Y10030">
        <v>6.045379E-3</v>
      </c>
      <c r="Z10030">
        <v>-3.9981660000000002E-2</v>
      </c>
      <c r="AA10030">
        <v>0.99918209999999996</v>
      </c>
      <c r="AB10030">
        <v>32</v>
      </c>
      <c r="AC10030">
        <v>0.480899999999991</v>
      </c>
      <c r="AD10030">
        <v>-1.1213999540149999</v>
      </c>
      <c r="AE10030">
        <v>20.881730000000001</v>
      </c>
      <c r="AF10030">
        <v>0.12797836446352601</v>
      </c>
      <c r="AG10030">
        <v>-1.1213999540149999</v>
      </c>
      <c r="AH10030">
        <v>20.8268406402991</v>
      </c>
      <c r="AI10030">
        <v>93.081998456566197</v>
      </c>
      <c r="AJ10030">
        <v>89.647928939898406</v>
      </c>
      <c r="AK10030">
        <v>20.857401740750198</v>
      </c>
      <c r="AL10030">
        <v>79.951351647936406</v>
      </c>
      <c r="AM10030">
        <v>88.781896675800098</v>
      </c>
      <c r="AN10030">
        <v>1.0000000598841099</v>
      </c>
    </row>
    <row r="10031" spans="1:40" x14ac:dyDescent="0.25">
      <c r="A10031" t="str">
        <f>"20190303162144663"</f>
        <v>20190303162144663</v>
      </c>
      <c r="B10031" t="str">
        <f>"1551601304652623"</f>
        <v>1551601304652623</v>
      </c>
      <c r="C10031" t="s">
        <v>40</v>
      </c>
      <c r="D10031">
        <v>4.830203</v>
      </c>
      <c r="E10031">
        <v>0.49996230000000003</v>
      </c>
      <c r="F10031" t="s">
        <v>41</v>
      </c>
      <c r="G10031">
        <v>-186.93450000000001</v>
      </c>
      <c r="H10031" s="1">
        <v>-1.808089E-6</v>
      </c>
      <c r="I10031">
        <v>102.56440000000001</v>
      </c>
      <c r="J10031">
        <v>-187.46539999999999</v>
      </c>
      <c r="K10031">
        <v>1.1214500000000001</v>
      </c>
      <c r="L10031">
        <v>84.702910000000003</v>
      </c>
      <c r="M10031">
        <v>1.6947150000000001E-2</v>
      </c>
      <c r="N10031">
        <v>-1.318267E-2</v>
      </c>
      <c r="O10031">
        <v>0.99976949999999998</v>
      </c>
      <c r="P10031">
        <v>3.8419559999999998E-2</v>
      </c>
      <c r="Q10031">
        <v>0.16133649999999999</v>
      </c>
      <c r="R10031">
        <v>0.98615129999999995</v>
      </c>
      <c r="S10031">
        <v>9.0591430000000001E-2</v>
      </c>
      <c r="T10031">
        <v>-0.18944240000000001</v>
      </c>
      <c r="U10031">
        <v>3.0698850000000002</v>
      </c>
      <c r="V10031">
        <v>2.1733889999999999E-2</v>
      </c>
      <c r="W10031">
        <v>0.1743246</v>
      </c>
      <c r="X10031">
        <v>0.9844484</v>
      </c>
      <c r="Y10031">
        <v>1.251062E-2</v>
      </c>
      <c r="Z10031">
        <v>-4.8404040000000002E-2</v>
      </c>
      <c r="AA10031">
        <v>0.99874949999999996</v>
      </c>
      <c r="AB10031">
        <v>32</v>
      </c>
      <c r="AC10031">
        <v>0.53089999999997395</v>
      </c>
      <c r="AD10031">
        <v>-1.1214518080889999</v>
      </c>
      <c r="AE10031">
        <v>17.86149</v>
      </c>
      <c r="AF10031">
        <v>0.22720123721569399</v>
      </c>
      <c r="AG10031">
        <v>-1.1214518080889999</v>
      </c>
      <c r="AH10031">
        <v>17.797823846264802</v>
      </c>
      <c r="AI10031">
        <v>93.605182667588195</v>
      </c>
      <c r="AJ10031">
        <v>89.268620419914299</v>
      </c>
      <c r="AK10031">
        <v>17.834567789064302</v>
      </c>
      <c r="AL10031">
        <v>79.960644000421595</v>
      </c>
      <c r="AM10031">
        <v>88.735273566748603</v>
      </c>
      <c r="AN10031">
        <v>1.00000004020112</v>
      </c>
    </row>
    <row r="10032" spans="1:40" x14ac:dyDescent="0.25">
      <c r="A10032" t="str">
        <f>"20190303162144683"</f>
        <v>20190303162144683</v>
      </c>
      <c r="B10032" t="str">
        <f>"1551601304673118"</f>
        <v>1551601304673118</v>
      </c>
      <c r="C10032" t="s">
        <v>40</v>
      </c>
      <c r="D10032">
        <v>4.852474</v>
      </c>
      <c r="E10032">
        <v>0.52984580000000003</v>
      </c>
      <c r="F10032" t="s">
        <v>41</v>
      </c>
      <c r="G10032">
        <v>-186.9007</v>
      </c>
      <c r="H10032" s="1">
        <v>-1.1986789999999999E-6</v>
      </c>
      <c r="I10032">
        <v>100.74720000000001</v>
      </c>
      <c r="J10032">
        <v>-187.46039999999999</v>
      </c>
      <c r="K10032">
        <v>1.1214949999999999</v>
      </c>
      <c r="L10032">
        <v>84.995149999999995</v>
      </c>
      <c r="M10032">
        <v>1.6995860000000002E-2</v>
      </c>
      <c r="N10032">
        <v>-1.3427659999999999E-2</v>
      </c>
      <c r="O10032">
        <v>0.99976540000000003</v>
      </c>
      <c r="P10032">
        <v>3.9465210000000001E-2</v>
      </c>
      <c r="Q10032">
        <v>0.161206399999999</v>
      </c>
      <c r="R10032">
        <v>0.98613130000000004</v>
      </c>
      <c r="S10032">
        <v>0.10815429999999999</v>
      </c>
      <c r="T10032">
        <v>-0.21479819999999999</v>
      </c>
      <c r="U10032">
        <v>3.0730590000000002</v>
      </c>
      <c r="V10032">
        <v>2.2726840000000002E-2</v>
      </c>
      <c r="W10032">
        <v>0.17443639999999999</v>
      </c>
      <c r="X10032">
        <v>0.98440609999999995</v>
      </c>
      <c r="Y10032">
        <v>1.8114700000000001E-2</v>
      </c>
      <c r="Z10032">
        <v>-5.6287549999999999E-2</v>
      </c>
      <c r="AA10032">
        <v>0.99825019999999998</v>
      </c>
      <c r="AB10032">
        <v>32</v>
      </c>
      <c r="AC10032">
        <v>0.55969999999999198</v>
      </c>
      <c r="AD10032">
        <v>-1.121496198679</v>
      </c>
      <c r="AE10032">
        <v>15.752050000000001</v>
      </c>
      <c r="AF10032">
        <v>0.290405164763129</v>
      </c>
      <c r="AG10032">
        <v>-1.121496198679</v>
      </c>
      <c r="AH10032">
        <v>15.679906729909799</v>
      </c>
      <c r="AI10032">
        <v>94.090381351159294</v>
      </c>
      <c r="AJ10032">
        <v>88.938954902242799</v>
      </c>
      <c r="AK10032">
        <v>15.7226449410411</v>
      </c>
      <c r="AL10032">
        <v>79.954137930236698</v>
      </c>
      <c r="AM10032">
        <v>88.677455638084496</v>
      </c>
      <c r="AN10032">
        <v>0.99999996830927695</v>
      </c>
    </row>
    <row r="10033" spans="1:40" x14ac:dyDescent="0.25">
      <c r="A10033" t="str">
        <f>"20190303162144708"</f>
        <v>20190303162144708</v>
      </c>
      <c r="B10033" t="str">
        <f>"1551601304703374"</f>
        <v>1551601304703374</v>
      </c>
      <c r="C10033" t="s">
        <v>40</v>
      </c>
      <c r="D10033">
        <v>4.825977</v>
      </c>
      <c r="E10033">
        <v>0.53150459999999899</v>
      </c>
      <c r="F10033" t="s">
        <v>42</v>
      </c>
      <c r="G10033">
        <v>-187.3837</v>
      </c>
      <c r="H10033">
        <v>0.95272230000000002</v>
      </c>
      <c r="I10033">
        <v>85.696929999999995</v>
      </c>
      <c r="J10033">
        <v>-187.4547</v>
      </c>
      <c r="K10033">
        <v>1.1215469999999901</v>
      </c>
      <c r="L10033">
        <v>85.326969999999903</v>
      </c>
      <c r="M10033">
        <v>1.7033320000000001E-2</v>
      </c>
      <c r="N10033">
        <v>-1.3693169999999999E-2</v>
      </c>
      <c r="O10033">
        <v>0.99976120000000002</v>
      </c>
      <c r="P10033">
        <v>4.0360930000000003E-2</v>
      </c>
      <c r="Q10033">
        <v>0.16081960000000001</v>
      </c>
      <c r="R10033">
        <v>0.98615830000000004</v>
      </c>
      <c r="S10033">
        <v>0.34431460000000003</v>
      </c>
      <c r="T10033">
        <v>-0.75811649999999997</v>
      </c>
      <c r="U10033">
        <v>3.1523439999999998</v>
      </c>
      <c r="V10033">
        <v>2.357882E-2</v>
      </c>
      <c r="W10033">
        <v>0.17431289999999999</v>
      </c>
      <c r="X10033">
        <v>0.98440799999999995</v>
      </c>
      <c r="Y10033">
        <v>8.8829920000000007E-2</v>
      </c>
      <c r="Z10033">
        <v>-0.2193377</v>
      </c>
      <c r="AA10033">
        <v>0.97159680000000004</v>
      </c>
      <c r="AB10033">
        <v>32</v>
      </c>
      <c r="AC10033">
        <v>7.0999999999997898E-2</v>
      </c>
      <c r="AD10033">
        <v>-0.168824699999999</v>
      </c>
      <c r="AE10033">
        <v>0.36996000000002</v>
      </c>
      <c r="AF10033">
        <v>5.38684158903052E-2</v>
      </c>
      <c r="AG10033">
        <v>-0.168824699999999</v>
      </c>
      <c r="AH10033">
        <v>0.30904629850614701</v>
      </c>
      <c r="AI10033">
        <v>118.287460783336</v>
      </c>
      <c r="AJ10033">
        <v>80.112378205040102</v>
      </c>
      <c r="AK10033">
        <v>0.35624878972562402</v>
      </c>
      <c r="AL10033">
        <v>79.961324672335905</v>
      </c>
      <c r="AM10033">
        <v>88.627897573431</v>
      </c>
      <c r="AN10033">
        <v>1.0000000291615001</v>
      </c>
    </row>
    <row r="10034" spans="1:40" x14ac:dyDescent="0.25">
      <c r="A10034" t="str">
        <f>"20190303162144721"</f>
        <v>20190303162144721</v>
      </c>
      <c r="B10034" t="str">
        <f>"1551601304713135"</f>
        <v>1551601304713135</v>
      </c>
      <c r="C10034" t="s">
        <v>40</v>
      </c>
      <c r="D10034">
        <v>4.8105320000000003</v>
      </c>
      <c r="E10034">
        <v>0.53149990000000003</v>
      </c>
      <c r="F10034" t="s">
        <v>42</v>
      </c>
      <c r="G10034">
        <v>-187.35220000000001</v>
      </c>
      <c r="H10034">
        <v>0.88087399999999905</v>
      </c>
      <c r="I10034">
        <v>86.227609999999999</v>
      </c>
      <c r="J10034">
        <v>-187.4511</v>
      </c>
      <c r="K10034">
        <v>1.1215729999999999</v>
      </c>
      <c r="L10034">
        <v>85.53595</v>
      </c>
      <c r="M10034">
        <v>1.7048939999999999E-2</v>
      </c>
      <c r="N10034">
        <v>-1.385016E-2</v>
      </c>
      <c r="O10034">
        <v>0.9997587</v>
      </c>
      <c r="P10034">
        <v>4.1117180000000003E-2</v>
      </c>
      <c r="Q10034">
        <v>0.160917899999999</v>
      </c>
      <c r="R10034">
        <v>0.98611090000000001</v>
      </c>
      <c r="S10034">
        <v>0.35993960000000003</v>
      </c>
      <c r="T10034">
        <v>-0.84584190000000004</v>
      </c>
      <c r="U10034">
        <v>3.165314</v>
      </c>
      <c r="V10034">
        <v>2.4316669999999999E-2</v>
      </c>
      <c r="W10034">
        <v>0.174565</v>
      </c>
      <c r="X10034">
        <v>0.98434529999999998</v>
      </c>
      <c r="Y10034">
        <v>9.2448829999999996E-2</v>
      </c>
      <c r="Z10034">
        <v>-0.24339230000000001</v>
      </c>
      <c r="AA10034">
        <v>0.96551200000000004</v>
      </c>
      <c r="AB10034">
        <v>32</v>
      </c>
      <c r="AC10034">
        <v>9.8899999999986193E-2</v>
      </c>
      <c r="AD10034">
        <v>-0.240698999999999</v>
      </c>
      <c r="AE10034">
        <v>0.69165999999999805</v>
      </c>
      <c r="AF10034">
        <v>7.7852927335427397E-2</v>
      </c>
      <c r="AG10034">
        <v>-0.240698999999999</v>
      </c>
      <c r="AH10034">
        <v>0.61970043359620697</v>
      </c>
      <c r="AI10034">
        <v>111.075791954865</v>
      </c>
      <c r="AJ10034">
        <v>82.839448869747301</v>
      </c>
      <c r="AK10034">
        <v>0.66934722998980301</v>
      </c>
      <c r="AL10034">
        <v>79.946654741924505</v>
      </c>
      <c r="AM10034">
        <v>88.584887585471904</v>
      </c>
      <c r="AN10034">
        <v>0.99999995464848801</v>
      </c>
    </row>
    <row r="10035" spans="1:40" x14ac:dyDescent="0.25">
      <c r="A10035" t="str">
        <f>"20190303162144740"</f>
        <v>20190303162144740</v>
      </c>
      <c r="B10035" t="str">
        <f>"1551601304732655"</f>
        <v>1551601304732655</v>
      </c>
      <c r="C10035" t="s">
        <v>40</v>
      </c>
      <c r="D10035">
        <v>4.9123539999999997</v>
      </c>
      <c r="E10035">
        <v>0.53239829999999999</v>
      </c>
      <c r="F10035" t="s">
        <v>42</v>
      </c>
      <c r="G10035">
        <v>-187.36940000000001</v>
      </c>
      <c r="H10035">
        <v>0.92898709999999995</v>
      </c>
      <c r="I10035">
        <v>86.248980000000003</v>
      </c>
      <c r="J10035">
        <v>-187.44669999999999</v>
      </c>
      <c r="K10035">
        <v>1.12161</v>
      </c>
      <c r="L10035">
        <v>85.792019999999994</v>
      </c>
      <c r="M10035">
        <v>1.7061550000000002E-2</v>
      </c>
      <c r="N10035">
        <v>-1.402948E-2</v>
      </c>
      <c r="O10035">
        <v>0.99975599999999998</v>
      </c>
      <c r="P10035">
        <v>4.1612030000000001E-2</v>
      </c>
      <c r="Q10035">
        <v>0.16095799999999999</v>
      </c>
      <c r="R10035">
        <v>0.98608359999999995</v>
      </c>
      <c r="S10035">
        <v>0.36276249999999999</v>
      </c>
      <c r="T10035">
        <v>-0.85530349999999999</v>
      </c>
      <c r="U10035">
        <v>3.166687</v>
      </c>
      <c r="V10035">
        <v>2.479576E-2</v>
      </c>
      <c r="W10035">
        <v>0.17478239999999901</v>
      </c>
      <c r="X10035">
        <v>0.98429480000000003</v>
      </c>
      <c r="Y10035">
        <v>9.316439E-2</v>
      </c>
      <c r="Z10035">
        <v>-0.24578220000000001</v>
      </c>
      <c r="AA10035">
        <v>0.96483759999999996</v>
      </c>
      <c r="AB10035">
        <v>32</v>
      </c>
      <c r="AC10035">
        <v>7.7299999999979704E-2</v>
      </c>
      <c r="AD10035">
        <v>-0.19262290000000001</v>
      </c>
      <c r="AE10035">
        <v>0.45696000000000903</v>
      </c>
      <c r="AF10035">
        <v>5.9255432406456601E-2</v>
      </c>
      <c r="AG10035">
        <v>-0.19262290000000001</v>
      </c>
      <c r="AH10035">
        <v>0.39071778068491703</v>
      </c>
      <c r="AI10035">
        <v>115.98571469036099</v>
      </c>
      <c r="AJ10035">
        <v>81.376357464690003</v>
      </c>
      <c r="AK10035">
        <v>0.439630722331178</v>
      </c>
      <c r="AL10035">
        <v>79.934004464032199</v>
      </c>
      <c r="AM10035">
        <v>88.556944540035502</v>
      </c>
      <c r="AN10035">
        <v>0.99999998518538802</v>
      </c>
    </row>
    <row r="10036" spans="1:40" x14ac:dyDescent="0.25">
      <c r="A10036" t="str">
        <f>"20190303162144762"</f>
        <v>20190303162144762</v>
      </c>
      <c r="B10036" t="str">
        <f>"1551601304753149"</f>
        <v>1551601304753149</v>
      </c>
      <c r="C10036" t="s">
        <v>40</v>
      </c>
      <c r="D10036">
        <v>4.8824040000000002</v>
      </c>
      <c r="E10036">
        <v>0.53318549999999998</v>
      </c>
      <c r="F10036" t="s">
        <v>42</v>
      </c>
      <c r="G10036">
        <v>-187.36070000000001</v>
      </c>
      <c r="H10036">
        <v>0.91903900000000005</v>
      </c>
      <c r="I10036">
        <v>86.525189999999995</v>
      </c>
      <c r="J10036">
        <v>-187.44139999999999</v>
      </c>
      <c r="K10036">
        <v>1.1216349999999999</v>
      </c>
      <c r="L10036">
        <v>86.105469999999997</v>
      </c>
      <c r="M10036">
        <v>1.7069549999999999E-2</v>
      </c>
      <c r="N10036">
        <v>-1.42299E-2</v>
      </c>
      <c r="O10036">
        <v>0.99975309999999995</v>
      </c>
      <c r="P10036">
        <v>4.1752369999999997E-2</v>
      </c>
      <c r="Q10036">
        <v>0.16048200000000001</v>
      </c>
      <c r="R10036">
        <v>0.98615529999999996</v>
      </c>
      <c r="S10036">
        <v>0.37142940000000002</v>
      </c>
      <c r="T10036">
        <v>-0.87573310000000004</v>
      </c>
      <c r="U10036">
        <v>3.1696170000000001</v>
      </c>
      <c r="V10036">
        <v>2.4923649999999999E-2</v>
      </c>
      <c r="W10036">
        <v>0.17450489999999999</v>
      </c>
      <c r="X10036">
        <v>0.98434080000000002</v>
      </c>
      <c r="Y10036">
        <v>9.548864E-2</v>
      </c>
      <c r="Z10036">
        <v>-0.251077299999999</v>
      </c>
      <c r="AA10036">
        <v>0.96324560000000004</v>
      </c>
      <c r="AB10036">
        <v>31</v>
      </c>
      <c r="AC10036">
        <v>8.06999999999789E-2</v>
      </c>
      <c r="AD10036">
        <v>-0.202596</v>
      </c>
      <c r="AE10036">
        <v>0.41972000000001197</v>
      </c>
      <c r="AF10036">
        <v>6.0034207294299702E-2</v>
      </c>
      <c r="AG10036">
        <v>-0.202596</v>
      </c>
      <c r="AH10036">
        <v>0.34379123731949901</v>
      </c>
      <c r="AI10036">
        <v>120.135806727093</v>
      </c>
      <c r="AJ10036">
        <v>80.094657870228403</v>
      </c>
      <c r="AK10036">
        <v>0.40353644212032103</v>
      </c>
      <c r="AL10036">
        <v>79.950152148666803</v>
      </c>
      <c r="AM10036">
        <v>88.549572566799398</v>
      </c>
      <c r="AN10036">
        <v>0.999999979498986</v>
      </c>
    </row>
    <row r="10037" spans="1:40" x14ac:dyDescent="0.25">
      <c r="A10037" t="str">
        <f>"20190303162144777"</f>
        <v>20190303162144777</v>
      </c>
      <c r="B10037" t="str">
        <f>"1551601304772670"</f>
        <v>1551601304772670</v>
      </c>
      <c r="C10037" t="s">
        <v>40</v>
      </c>
      <c r="D10037">
        <v>4.8868589999999896</v>
      </c>
      <c r="E10037">
        <v>0.53369769999999905</v>
      </c>
      <c r="F10037" t="s">
        <v>42</v>
      </c>
      <c r="G10037">
        <v>-187.35749999999999</v>
      </c>
      <c r="H10037">
        <v>0.92231070000000004</v>
      </c>
      <c r="I10037">
        <v>86.807429999999997</v>
      </c>
      <c r="J10037">
        <v>-187.43790000000001</v>
      </c>
      <c r="K10037">
        <v>1.1216410000000001</v>
      </c>
      <c r="L10037">
        <v>86.311890000000005</v>
      </c>
      <c r="M10037">
        <v>1.7070979999999999E-2</v>
      </c>
      <c r="N10037">
        <v>-1.434799E-2</v>
      </c>
      <c r="O10037">
        <v>0.99975130000000001</v>
      </c>
      <c r="P10037">
        <v>4.187565E-2</v>
      </c>
      <c r="Q10037">
        <v>0.16026089999999901</v>
      </c>
      <c r="R10037">
        <v>0.98618600000000001</v>
      </c>
      <c r="S10037">
        <v>0.37918089999999999</v>
      </c>
      <c r="T10037">
        <v>-0.90091869999999996</v>
      </c>
      <c r="U10037">
        <v>3.1726679999999998</v>
      </c>
      <c r="V10037">
        <v>2.5043630000000001E-2</v>
      </c>
      <c r="W10037">
        <v>0.17440069999999999</v>
      </c>
      <c r="X10037">
        <v>0.98435620000000001</v>
      </c>
      <c r="Y10037">
        <v>9.7481170000000006E-2</v>
      </c>
      <c r="Z10037">
        <v>-0.2577451</v>
      </c>
      <c r="AA10037">
        <v>0.961283</v>
      </c>
      <c r="AB10037">
        <v>31</v>
      </c>
      <c r="AC10037">
        <v>8.0400000000025701E-2</v>
      </c>
      <c r="AD10037">
        <v>-0.19933029999999899</v>
      </c>
      <c r="AE10037">
        <v>0.49554000000000498</v>
      </c>
      <c r="AF10037">
        <v>6.2132610349861797E-2</v>
      </c>
      <c r="AG10037">
        <v>-0.19933029999999899</v>
      </c>
      <c r="AH10037">
        <v>0.42917873269833101</v>
      </c>
      <c r="AI10037">
        <v>114.686066569302</v>
      </c>
      <c r="AJ10037">
        <v>81.762466872718704</v>
      </c>
      <c r="AK10037">
        <v>0.477270797731773</v>
      </c>
      <c r="AL10037">
        <v>79.956215126921904</v>
      </c>
      <c r="AM10037">
        <v>88.542616146843201</v>
      </c>
      <c r="AN10037">
        <v>0.99999995802125197</v>
      </c>
    </row>
    <row r="10038" spans="1:40" x14ac:dyDescent="0.25">
      <c r="A10038" t="str">
        <f>"20190303162144796"</f>
        <v>20190303162144796</v>
      </c>
      <c r="B10038" t="str">
        <f>"1551601304793166"</f>
        <v>1551601304793166</v>
      </c>
      <c r="C10038" t="s">
        <v>40</v>
      </c>
      <c r="D10038">
        <v>4.8862540000000001</v>
      </c>
      <c r="E10038">
        <v>0.53411359999999997</v>
      </c>
      <c r="F10038" t="s">
        <v>42</v>
      </c>
      <c r="G10038">
        <v>-187.34530000000001</v>
      </c>
      <c r="H10038">
        <v>0.9005417</v>
      </c>
      <c r="I10038">
        <v>87.077500000000001</v>
      </c>
      <c r="J10038">
        <v>-187.43340000000001</v>
      </c>
      <c r="K10038">
        <v>1.1216489999999999</v>
      </c>
      <c r="L10038">
        <v>86.570830000000001</v>
      </c>
      <c r="M10038">
        <v>1.7070559999999999E-2</v>
      </c>
      <c r="N10038">
        <v>-1.448407E-2</v>
      </c>
      <c r="O10038">
        <v>0.99974940000000001</v>
      </c>
      <c r="P10038">
        <v>4.1296369999999999E-2</v>
      </c>
      <c r="Q10038">
        <v>0.15968860000000001</v>
      </c>
      <c r="R10038">
        <v>0.98630329999999999</v>
      </c>
      <c r="S10038">
        <v>0.38359070000000001</v>
      </c>
      <c r="T10038">
        <v>-0.91682459999999999</v>
      </c>
      <c r="U10038">
        <v>3.174744</v>
      </c>
      <c r="V10038">
        <v>2.446166E-2</v>
      </c>
      <c r="W10038">
        <v>0.17396400000000001</v>
      </c>
      <c r="X10038">
        <v>0.98444810000000005</v>
      </c>
      <c r="Y10038">
        <v>9.8582790000000003E-2</v>
      </c>
      <c r="Z10038">
        <v>-0.26186019999999999</v>
      </c>
      <c r="AA10038">
        <v>0.96005759999999996</v>
      </c>
      <c r="AB10038">
        <v>31</v>
      </c>
      <c r="AC10038">
        <v>8.8099999999997097E-2</v>
      </c>
      <c r="AD10038">
        <v>-0.22110729999999901</v>
      </c>
      <c r="AE10038">
        <v>0.50666999999999895</v>
      </c>
      <c r="AF10038">
        <v>6.7044017659288094E-2</v>
      </c>
      <c r="AG10038">
        <v>-0.22110729999999901</v>
      </c>
      <c r="AH10038">
        <v>0.42883080535663098</v>
      </c>
      <c r="AI10038">
        <v>116.995058686177</v>
      </c>
      <c r="AJ10038">
        <v>81.114227693759702</v>
      </c>
      <c r="AK10038">
        <v>0.48711312653223099</v>
      </c>
      <c r="AL10038">
        <v>79.981624577298106</v>
      </c>
      <c r="AM10038">
        <v>88.5766019227123</v>
      </c>
      <c r="AN10038">
        <v>0.99999995384978102</v>
      </c>
    </row>
    <row r="10039" spans="1:40" x14ac:dyDescent="0.25">
      <c r="A10039" t="str">
        <f>"20190303162144820"</f>
        <v>20190303162144820</v>
      </c>
      <c r="B10039" t="str">
        <f>"1551601304812686"</f>
        <v>1551601304812686</v>
      </c>
      <c r="C10039" t="s">
        <v>40</v>
      </c>
      <c r="D10039">
        <v>4.8942699999999997</v>
      </c>
      <c r="E10039">
        <v>0.53438330000000001</v>
      </c>
      <c r="F10039" t="s">
        <v>42</v>
      </c>
      <c r="G10039">
        <v>-187.33850000000001</v>
      </c>
      <c r="H10039">
        <v>0.89287700000000003</v>
      </c>
      <c r="I10039">
        <v>87.353880000000004</v>
      </c>
      <c r="J10039">
        <v>-187.42779999999999</v>
      </c>
      <c r="K10039">
        <v>1.121659</v>
      </c>
      <c r="L10039">
        <v>86.903229999999994</v>
      </c>
      <c r="M10039">
        <v>1.7068079999999999E-2</v>
      </c>
      <c r="N10039">
        <v>-1.4638440000000001E-2</v>
      </c>
      <c r="O10039">
        <v>0.99974719999999995</v>
      </c>
      <c r="P10039">
        <v>4.0747909999999998E-2</v>
      </c>
      <c r="Q10039">
        <v>0.15902169999999999</v>
      </c>
      <c r="R10039">
        <v>0.98643380000000003</v>
      </c>
      <c r="S10039">
        <v>0.38511659999999998</v>
      </c>
      <c r="T10039">
        <v>-0.92782350000000002</v>
      </c>
      <c r="U10039">
        <v>3.175751</v>
      </c>
      <c r="V10039">
        <v>2.3912599999999999E-2</v>
      </c>
      <c r="W10039">
        <v>0.17345169999999999</v>
      </c>
      <c r="X10039">
        <v>0.98455199999999998</v>
      </c>
      <c r="Y10039">
        <v>9.8905149999999997E-2</v>
      </c>
      <c r="Z10039">
        <v>-0.26468249999999999</v>
      </c>
      <c r="AA10039">
        <v>0.95925020000000005</v>
      </c>
      <c r="AB10039">
        <v>31</v>
      </c>
      <c r="AC10039">
        <v>8.9299999999980104E-2</v>
      </c>
      <c r="AD10039">
        <v>-0.22878200000000001</v>
      </c>
      <c r="AE10039">
        <v>0.450649999999996</v>
      </c>
      <c r="AF10039">
        <v>6.5380566688319305E-2</v>
      </c>
      <c r="AG10039">
        <v>-0.22878200000000001</v>
      </c>
      <c r="AH10039">
        <v>0.36226884835142598</v>
      </c>
      <c r="AI10039">
        <v>121.860341958844</v>
      </c>
      <c r="AJ10039">
        <v>79.769652329303298</v>
      </c>
      <c r="AK10039">
        <v>0.43342189666692499</v>
      </c>
      <c r="AL10039">
        <v>80.011430527126706</v>
      </c>
      <c r="AM10039">
        <v>88.608685221057399</v>
      </c>
      <c r="AN10039">
        <v>0.99999997268782403</v>
      </c>
    </row>
    <row r="10040" spans="1:40" x14ac:dyDescent="0.25">
      <c r="A10040" t="str">
        <f>"20190303162144841"</f>
        <v>20190303162144841</v>
      </c>
      <c r="B10040" t="str">
        <f>"1551601304833181"</f>
        <v>1551601304833181</v>
      </c>
      <c r="C10040" t="s">
        <v>40</v>
      </c>
      <c r="D10040">
        <v>4.8936890000000002</v>
      </c>
      <c r="E10040">
        <v>0.53463859999999996</v>
      </c>
      <c r="F10040" t="s">
        <v>42</v>
      </c>
      <c r="G10040">
        <v>-187.33869999999999</v>
      </c>
      <c r="H10040">
        <v>0.90490950000000003</v>
      </c>
      <c r="I10040">
        <v>87.638050000000007</v>
      </c>
      <c r="J10040">
        <v>-187.42269999999999</v>
      </c>
      <c r="K10040">
        <v>1.1216729999999999</v>
      </c>
      <c r="L10040">
        <v>87.200739999999996</v>
      </c>
      <c r="M10040">
        <v>1.7065859999999999E-2</v>
      </c>
      <c r="N10040">
        <v>-1.475834E-2</v>
      </c>
      <c r="O10040">
        <v>0.99974540000000001</v>
      </c>
      <c r="P10040">
        <v>4.0433629999999998E-2</v>
      </c>
      <c r="Q10040">
        <v>0.15906509999999999</v>
      </c>
      <c r="R10040">
        <v>0.98643979999999998</v>
      </c>
      <c r="S10040">
        <v>0.38458249999999999</v>
      </c>
      <c r="T10040">
        <v>-0.93696179999999996</v>
      </c>
      <c r="U10040">
        <v>3.1764220000000001</v>
      </c>
      <c r="V10040">
        <v>2.3599930000000002E-2</v>
      </c>
      <c r="W10040">
        <v>0.1736132</v>
      </c>
      <c r="X10040">
        <v>0.98453109999999999</v>
      </c>
      <c r="Y10040">
        <v>9.8641919999999994E-2</v>
      </c>
      <c r="Z10040">
        <v>-0.26705759999999901</v>
      </c>
      <c r="AA10040">
        <v>0.95861879999999999</v>
      </c>
      <c r="AB10040">
        <v>31</v>
      </c>
      <c r="AC10040">
        <v>8.40000000000031E-2</v>
      </c>
      <c r="AD10040">
        <v>-0.2167635</v>
      </c>
      <c r="AE10040">
        <v>0.43731000000001002</v>
      </c>
      <c r="AF10040">
        <v>6.1864931478413099E-2</v>
      </c>
      <c r="AG10040">
        <v>-0.2167635</v>
      </c>
      <c r="AH10040">
        <v>0.35464625529732002</v>
      </c>
      <c r="AI10040">
        <v>121.05290130492099</v>
      </c>
      <c r="AJ10040">
        <v>80.104820880416</v>
      </c>
      <c r="AK10040">
        <v>0.42022333475842399</v>
      </c>
      <c r="AL10040">
        <v>80.002034915593697</v>
      </c>
      <c r="AM10040">
        <v>88.626841254648497</v>
      </c>
      <c r="AN10040">
        <v>0.99999999338872703</v>
      </c>
    </row>
    <row r="10041" spans="1:40" x14ac:dyDescent="0.25">
      <c r="A10041" t="str">
        <f>"20190303162144864"</f>
        <v>20190303162144864</v>
      </c>
      <c r="B10041" t="str">
        <f>"1551601304852702"</f>
        <v>1551601304852702</v>
      </c>
      <c r="C10041" t="s">
        <v>40</v>
      </c>
      <c r="D10041">
        <v>4.8641370000000004</v>
      </c>
      <c r="E10041">
        <v>0.53521770000000002</v>
      </c>
      <c r="F10041" t="s">
        <v>42</v>
      </c>
      <c r="G10041">
        <v>-187.3357</v>
      </c>
      <c r="H10041">
        <v>0.90888440000000004</v>
      </c>
      <c r="I10041">
        <v>87.918319999999994</v>
      </c>
      <c r="J10041">
        <v>-187.4171</v>
      </c>
      <c r="K10041">
        <v>1.121678</v>
      </c>
      <c r="L10041">
        <v>87.525300000000001</v>
      </c>
      <c r="M10041">
        <v>1.7064119999999999E-2</v>
      </c>
      <c r="N10041">
        <v>-1.487201E-2</v>
      </c>
      <c r="O10041">
        <v>0.99974379999999996</v>
      </c>
      <c r="P10041">
        <v>4.126047E-2</v>
      </c>
      <c r="Q10041">
        <v>0.15893299999999999</v>
      </c>
      <c r="R10041">
        <v>0.98642680000000005</v>
      </c>
      <c r="S10041">
        <v>0.3851929</v>
      </c>
      <c r="T10041">
        <v>-0.94220660000000001</v>
      </c>
      <c r="U10041">
        <v>3.177368</v>
      </c>
      <c r="V10041">
        <v>2.4428140000000001E-2</v>
      </c>
      <c r="W10041">
        <v>0.17359260000000001</v>
      </c>
      <c r="X10041">
        <v>0.98451449999999996</v>
      </c>
      <c r="Y10041">
        <v>9.8745509999999995E-2</v>
      </c>
      <c r="Z10041">
        <v>-0.26832099999999998</v>
      </c>
      <c r="AA10041">
        <v>0.95825530000000003</v>
      </c>
      <c r="AB10041">
        <v>31</v>
      </c>
      <c r="AC10041">
        <v>8.1400000000002096E-2</v>
      </c>
      <c r="AD10041">
        <v>-0.2127936</v>
      </c>
      <c r="AE10041">
        <v>0.39301999999999199</v>
      </c>
      <c r="AF10041">
        <v>5.8294744050251902E-2</v>
      </c>
      <c r="AG10041">
        <v>-0.2127936</v>
      </c>
      <c r="AH10041">
        <v>0.30782511303263799</v>
      </c>
      <c r="AI10041">
        <v>124.184690796485</v>
      </c>
      <c r="AJ10041">
        <v>79.276533762284302</v>
      </c>
      <c r="AK10041">
        <v>0.37872905037559601</v>
      </c>
      <c r="AL10041">
        <v>80.0032330974784</v>
      </c>
      <c r="AM10041">
        <v>88.578647444634399</v>
      </c>
      <c r="AN10041">
        <v>0.99999996275443404</v>
      </c>
    </row>
    <row r="10042" spans="1:40" x14ac:dyDescent="0.25">
      <c r="A10042" t="str">
        <f>"20190303162144884"</f>
        <v>20190303162144884</v>
      </c>
      <c r="B10042" t="str">
        <f>"1551601304873198"</f>
        <v>1551601304873198</v>
      </c>
      <c r="C10042" t="s">
        <v>40</v>
      </c>
      <c r="D10042">
        <v>4.8633459999999999</v>
      </c>
      <c r="E10042">
        <v>0.53568070000000001</v>
      </c>
      <c r="F10042" t="s">
        <v>42</v>
      </c>
      <c r="G10042">
        <v>-187.33340000000001</v>
      </c>
      <c r="H10042">
        <v>0.92106809999999995</v>
      </c>
      <c r="I10042">
        <v>88.202100000000002</v>
      </c>
      <c r="J10042">
        <v>-187.41229999999999</v>
      </c>
      <c r="K10042">
        <v>1.1216790000000001</v>
      </c>
      <c r="L10042">
        <v>87.807190000000006</v>
      </c>
      <c r="M10042">
        <v>1.7063579999999998E-2</v>
      </c>
      <c r="N10042">
        <v>-1.495667E-2</v>
      </c>
      <c r="O10042">
        <v>0.99974249999999998</v>
      </c>
      <c r="P10042">
        <v>4.3927170000000001E-2</v>
      </c>
      <c r="Q10042">
        <v>0.15801750000000001</v>
      </c>
      <c r="R10042">
        <v>0.98645879999999997</v>
      </c>
      <c r="S10042">
        <v>0.39230350000000003</v>
      </c>
      <c r="T10042">
        <v>-0.9415635</v>
      </c>
      <c r="U10042">
        <v>3.1765750000000001</v>
      </c>
      <c r="V10042">
        <v>2.709404E-2</v>
      </c>
      <c r="W10042">
        <v>0.17276179999999999</v>
      </c>
      <c r="X10042">
        <v>0.98459090000000005</v>
      </c>
      <c r="Y10042">
        <v>0.10089040000000001</v>
      </c>
      <c r="Z10042">
        <v>-0.26806069999999999</v>
      </c>
      <c r="AA10042">
        <v>0.95810470000000003</v>
      </c>
      <c r="AB10042">
        <v>31</v>
      </c>
      <c r="AC10042">
        <v>7.8899999999975906E-2</v>
      </c>
      <c r="AD10042">
        <v>-0.20061090000000001</v>
      </c>
      <c r="AE10042">
        <v>0.39490999999999499</v>
      </c>
      <c r="AF10042">
        <v>5.7804897641504302E-2</v>
      </c>
      <c r="AG10042">
        <v>-0.20061090000000001</v>
      </c>
      <c r="AH10042">
        <v>0.317428984660511</v>
      </c>
      <c r="AI10042">
        <v>121.87175692979</v>
      </c>
      <c r="AJ10042">
        <v>79.679335416889401</v>
      </c>
      <c r="AK10042">
        <v>0.37993065116249503</v>
      </c>
      <c r="AL10042">
        <v>80.051564899860594</v>
      </c>
      <c r="AM10042">
        <v>88.423728598507907</v>
      </c>
      <c r="AN10042">
        <v>0.99999998345278496</v>
      </c>
    </row>
    <row r="10043" spans="1:40" x14ac:dyDescent="0.25">
      <c r="A10043" t="str">
        <f>"20190303162144898"</f>
        <v>20190303162144898</v>
      </c>
      <c r="B10043" t="str">
        <f>"1551601304892718"</f>
        <v>1551601304892718</v>
      </c>
      <c r="C10043" t="s">
        <v>40</v>
      </c>
      <c r="D10043">
        <v>4.8832100000000001</v>
      </c>
      <c r="E10043">
        <v>0.53587419999999997</v>
      </c>
      <c r="F10043" t="s">
        <v>42</v>
      </c>
      <c r="G10043">
        <v>-187.32669999999999</v>
      </c>
      <c r="H10043">
        <v>0.9215797</v>
      </c>
      <c r="I10043">
        <v>88.479849999999999</v>
      </c>
      <c r="J10043">
        <v>-187.4091</v>
      </c>
      <c r="K10043">
        <v>1.1216790000000001</v>
      </c>
      <c r="L10043">
        <v>87.9953</v>
      </c>
      <c r="M10043">
        <v>1.706351E-2</v>
      </c>
      <c r="N10043">
        <v>-1.5005879999999999E-2</v>
      </c>
      <c r="O10043">
        <v>0.99974180000000001</v>
      </c>
      <c r="P10043">
        <v>4.5800250000000001E-2</v>
      </c>
      <c r="Q10043">
        <v>0.15817320000000001</v>
      </c>
      <c r="R10043">
        <v>0.98634860000000002</v>
      </c>
      <c r="S10043">
        <v>0.4035492</v>
      </c>
      <c r="T10043">
        <v>-0.94434169999999995</v>
      </c>
      <c r="U10043">
        <v>3.1745000000000001</v>
      </c>
      <c r="V10043">
        <v>2.896862E-2</v>
      </c>
      <c r="W10043">
        <v>0.1729647</v>
      </c>
      <c r="X10043">
        <v>0.98450190000000004</v>
      </c>
      <c r="Y10043">
        <v>0.1042706</v>
      </c>
      <c r="Z10043">
        <v>-0.26884639999999999</v>
      </c>
      <c r="AA10043">
        <v>0.95752250000000005</v>
      </c>
      <c r="AB10043">
        <v>31</v>
      </c>
      <c r="AC10043">
        <v>8.2400000000006898E-2</v>
      </c>
      <c r="AD10043">
        <v>-0.20009930000000001</v>
      </c>
      <c r="AE10043">
        <v>0.48454999999999798</v>
      </c>
      <c r="AF10043">
        <v>6.3580910004691904E-2</v>
      </c>
      <c r="AG10043">
        <v>-0.20009930000000001</v>
      </c>
      <c r="AH10043">
        <v>0.41680369510521298</v>
      </c>
      <c r="AI10043">
        <v>115.388567381321</v>
      </c>
      <c r="AJ10043">
        <v>81.326733886112294</v>
      </c>
      <c r="AK10043">
        <v>0.46669859891676702</v>
      </c>
      <c r="AL10043">
        <v>80.039761864403303</v>
      </c>
      <c r="AM10043">
        <v>88.314578270316005</v>
      </c>
      <c r="AN10043">
        <v>0.99999997974720201</v>
      </c>
    </row>
    <row r="10044" spans="1:40" x14ac:dyDescent="0.25">
      <c r="A10044" t="str">
        <f>"20190303162144919"</f>
        <v>20190303162144919</v>
      </c>
      <c r="B10044" t="str">
        <f>"1551601304913215"</f>
        <v>1551601304913215</v>
      </c>
      <c r="C10044" t="s">
        <v>40</v>
      </c>
      <c r="D10044">
        <v>4.870946</v>
      </c>
      <c r="E10044">
        <v>0.53593939999999995</v>
      </c>
      <c r="F10044" t="s">
        <v>42</v>
      </c>
      <c r="G10044">
        <v>-187.3117</v>
      </c>
      <c r="H10044">
        <v>0.89881580000000005</v>
      </c>
      <c r="I10044">
        <v>88.746319999999997</v>
      </c>
      <c r="J10044">
        <v>-187.4041</v>
      </c>
      <c r="K10044">
        <v>1.121691</v>
      </c>
      <c r="L10044">
        <v>88.289670000000001</v>
      </c>
      <c r="M10044">
        <v>1.7063519999999999E-2</v>
      </c>
      <c r="N10044">
        <v>-1.507564E-2</v>
      </c>
      <c r="O10044">
        <v>0.99974070000000004</v>
      </c>
      <c r="P10044">
        <v>4.9852430000000003E-2</v>
      </c>
      <c r="Q10044">
        <v>0.15815119999999999</v>
      </c>
      <c r="R10044">
        <v>0.98615560000000002</v>
      </c>
      <c r="S10044">
        <v>0.41085820000000001</v>
      </c>
      <c r="T10044">
        <v>-0.9416909</v>
      </c>
      <c r="U10044">
        <v>3.1734619999999998</v>
      </c>
      <c r="V10044">
        <v>3.302327E-2</v>
      </c>
      <c r="W10044">
        <v>0.17300929999999901</v>
      </c>
      <c r="X10044">
        <v>0.98436639999999997</v>
      </c>
      <c r="Y10044">
        <v>0.1065015</v>
      </c>
      <c r="Z10044">
        <v>-0.26805830000000003</v>
      </c>
      <c r="AA10044">
        <v>0.95749790000000001</v>
      </c>
      <c r="AB10044">
        <v>31</v>
      </c>
      <c r="AC10044">
        <v>9.2399999999997803E-2</v>
      </c>
      <c r="AD10044">
        <v>-0.222875199999999</v>
      </c>
      <c r="AE10044">
        <v>0.456649999999996</v>
      </c>
      <c r="AF10044">
        <v>6.8840273914228506E-2</v>
      </c>
      <c r="AG10044">
        <v>-0.222875199999999</v>
      </c>
      <c r="AH10044">
        <v>0.37284006381966001</v>
      </c>
      <c r="AI10044">
        <v>120.448753286363</v>
      </c>
      <c r="AJ10044">
        <v>79.538863085820694</v>
      </c>
      <c r="AK10044">
        <v>0.43979773905361802</v>
      </c>
      <c r="AL10044">
        <v>80.037167379233694</v>
      </c>
      <c r="AM10044">
        <v>88.078576578834898</v>
      </c>
      <c r="AN10044">
        <v>0.99999998184847105</v>
      </c>
    </row>
    <row r="10045" spans="1:40" x14ac:dyDescent="0.25">
      <c r="A10045" t="str">
        <f>"20190303162144941"</f>
        <v>20190303162144941</v>
      </c>
      <c r="B10045" t="str">
        <f>"1551601304932734"</f>
        <v>1551601304932734</v>
      </c>
      <c r="C10045" t="s">
        <v>40</v>
      </c>
      <c r="D10045">
        <v>4.8957290000000002</v>
      </c>
      <c r="E10045">
        <v>0.53602459999999996</v>
      </c>
      <c r="F10045" t="s">
        <v>42</v>
      </c>
      <c r="G10045">
        <v>-187.3056</v>
      </c>
      <c r="H10045">
        <v>0.90366380000000002</v>
      </c>
      <c r="I10045">
        <v>89.024990000000003</v>
      </c>
      <c r="J10045">
        <v>-187.399</v>
      </c>
      <c r="K10045">
        <v>1.1216919999999999</v>
      </c>
      <c r="L10045">
        <v>88.58569</v>
      </c>
      <c r="M10045">
        <v>1.7063559999999998E-2</v>
      </c>
      <c r="N10045">
        <v>-1.513609E-2</v>
      </c>
      <c r="O10045">
        <v>0.99973979999999996</v>
      </c>
      <c r="P10045">
        <v>5.6083689999999999E-2</v>
      </c>
      <c r="Q10045">
        <v>0.1596786</v>
      </c>
      <c r="R10045">
        <v>0.98557470000000003</v>
      </c>
      <c r="S10045">
        <v>0.42419430000000002</v>
      </c>
      <c r="T10045">
        <v>-0.94035979999999997</v>
      </c>
      <c r="U10045">
        <v>3.171478</v>
      </c>
      <c r="V10045">
        <v>3.9263390000000002E-2</v>
      </c>
      <c r="W10045">
        <v>0.17458850000000001</v>
      </c>
      <c r="X10045">
        <v>0.98385829999999996</v>
      </c>
      <c r="Y10045">
        <v>0.1105389</v>
      </c>
      <c r="Z10045">
        <v>-0.26766000000000001</v>
      </c>
      <c r="AA10045">
        <v>0.95715170000000005</v>
      </c>
      <c r="AB10045">
        <v>31</v>
      </c>
      <c r="AC10045">
        <v>9.3400000000002606E-2</v>
      </c>
      <c r="AD10045">
        <v>-0.21802819999999901</v>
      </c>
      <c r="AE10045">
        <v>0.43930000000000202</v>
      </c>
      <c r="AF10045">
        <v>6.9508525950880695E-2</v>
      </c>
      <c r="AG10045">
        <v>-0.21802819999999901</v>
      </c>
      <c r="AH10045">
        <v>0.35675412542664497</v>
      </c>
      <c r="AI10045">
        <v>120.95804634964399</v>
      </c>
      <c r="AJ10045">
        <v>78.974846793044904</v>
      </c>
      <c r="AK10045">
        <v>0.42384105179186499</v>
      </c>
      <c r="AL10045">
        <v>79.945287308696706</v>
      </c>
      <c r="AM10045">
        <v>87.714677597196399</v>
      </c>
      <c r="AN10045">
        <v>0.99999995630271499</v>
      </c>
    </row>
    <row r="10046" spans="1:40" x14ac:dyDescent="0.25">
      <c r="A10046" t="str">
        <f>"20190303162144962"</f>
        <v>20190303162144962</v>
      </c>
      <c r="B10046" t="str">
        <f>"1551601304953230"</f>
        <v>1551601304953230</v>
      </c>
      <c r="C10046" t="s">
        <v>40</v>
      </c>
      <c r="D10046">
        <v>4.8703409999999998</v>
      </c>
      <c r="E10046">
        <v>0.54153809999999902</v>
      </c>
      <c r="F10046" t="s">
        <v>42</v>
      </c>
      <c r="G10046">
        <v>-187.29740000000001</v>
      </c>
      <c r="H10046">
        <v>0.91017210000000004</v>
      </c>
      <c r="I10046">
        <v>89.304119999999998</v>
      </c>
      <c r="J10046">
        <v>-187.3939</v>
      </c>
      <c r="K10046">
        <v>1.121705</v>
      </c>
      <c r="L10046">
        <v>88.880489999999995</v>
      </c>
      <c r="M10046">
        <v>1.7063559999999998E-2</v>
      </c>
      <c r="N10046">
        <v>-1.5187579999999999E-2</v>
      </c>
      <c r="O10046">
        <v>0.99973909999999999</v>
      </c>
      <c r="P10046">
        <v>6.327431E-2</v>
      </c>
      <c r="Q10046">
        <v>0.1615317</v>
      </c>
      <c r="R10046">
        <v>0.98483699999999996</v>
      </c>
      <c r="S10046">
        <v>0.44755549999999999</v>
      </c>
      <c r="T10046">
        <v>-0.93319850000000004</v>
      </c>
      <c r="U10046">
        <v>3.1696170000000001</v>
      </c>
      <c r="V10046">
        <v>4.6465520000000003E-2</v>
      </c>
      <c r="W10046">
        <v>0.17648259999999999</v>
      </c>
      <c r="X10046">
        <v>0.98320640000000004</v>
      </c>
      <c r="Y10046">
        <v>0.11760039999999999</v>
      </c>
      <c r="Z10046">
        <v>-0.26553199999999999</v>
      </c>
      <c r="AA10046">
        <v>0.95690280000000005</v>
      </c>
      <c r="AB10046">
        <v>31</v>
      </c>
      <c r="AC10046">
        <v>9.6499999999991801E-2</v>
      </c>
      <c r="AD10046">
        <v>-0.2115329</v>
      </c>
      <c r="AE10046">
        <v>0.42362999999998802</v>
      </c>
      <c r="AF10046">
        <v>7.2153566806310507E-2</v>
      </c>
      <c r="AG10046">
        <v>-0.2115329</v>
      </c>
      <c r="AH10046">
        <v>0.34373738716019803</v>
      </c>
      <c r="AI10046">
        <v>121.059108838038</v>
      </c>
      <c r="AJ10046">
        <v>78.145215366147696</v>
      </c>
      <c r="AK10046">
        <v>0.41000938564501499</v>
      </c>
      <c r="AL10046">
        <v>79.8350520660494</v>
      </c>
      <c r="AM10046">
        <v>87.294262082430805</v>
      </c>
      <c r="AN10046">
        <v>0.99999998882629504</v>
      </c>
    </row>
    <row r="10047" spans="1:40" x14ac:dyDescent="0.25">
      <c r="A10047" t="str">
        <f>"20190303162144985"</f>
        <v>20190303162144985</v>
      </c>
      <c r="B10047" t="str">
        <f>"1551601304972751"</f>
        <v>1551601304972751</v>
      </c>
      <c r="C10047" t="s">
        <v>40</v>
      </c>
      <c r="D10047">
        <v>4.9249619999999998</v>
      </c>
      <c r="E10047">
        <v>0.55361680000000002</v>
      </c>
      <c r="F10047" t="s">
        <v>42</v>
      </c>
      <c r="G10047">
        <v>-187.27459999999999</v>
      </c>
      <c r="H10047">
        <v>0.96050679999999999</v>
      </c>
      <c r="I10047">
        <v>89.604010000000002</v>
      </c>
      <c r="J10047">
        <v>-187.38849999999999</v>
      </c>
      <c r="K10047">
        <v>1.121723</v>
      </c>
      <c r="L10047">
        <v>89.194310000000002</v>
      </c>
      <c r="M10047">
        <v>1.706353E-2</v>
      </c>
      <c r="N10047">
        <v>-1.5234009999999999E-2</v>
      </c>
      <c r="O10047">
        <v>0.99973829999999997</v>
      </c>
      <c r="P10047">
        <v>7.2716790000000003E-2</v>
      </c>
      <c r="Q10047">
        <v>0.1634205</v>
      </c>
      <c r="R10047">
        <v>0.983873</v>
      </c>
      <c r="S10047">
        <v>0.51539609999999902</v>
      </c>
      <c r="T10047">
        <v>-0.69677690000000003</v>
      </c>
      <c r="U10047">
        <v>3.1273499999999999</v>
      </c>
      <c r="V10047">
        <v>5.5923059999999997E-2</v>
      </c>
      <c r="W10047">
        <v>0.17840429999999999</v>
      </c>
      <c r="X10047">
        <v>0.98236679999999998</v>
      </c>
      <c r="Y10047">
        <v>0.14220539999999901</v>
      </c>
      <c r="Z10047">
        <v>-0.20006180000000001</v>
      </c>
      <c r="AA10047">
        <v>0.96940850000000001</v>
      </c>
      <c r="AB10047">
        <v>31</v>
      </c>
      <c r="AC10047">
        <v>0.1139</v>
      </c>
      <c r="AD10047">
        <v>-0.161216199999999</v>
      </c>
      <c r="AE10047">
        <v>0.40970000000000001</v>
      </c>
      <c r="AF10047">
        <v>9.3458674331599406E-2</v>
      </c>
      <c r="AG10047">
        <v>-0.161216199999999</v>
      </c>
      <c r="AH10047">
        <v>0.359860623980646</v>
      </c>
      <c r="AI10047">
        <v>113.44211674373</v>
      </c>
      <c r="AJ10047">
        <v>75.441457206486405</v>
      </c>
      <c r="AK10047">
        <v>0.40524666024780498</v>
      </c>
      <c r="AL10047">
        <v>79.723171491933996</v>
      </c>
      <c r="AM10047">
        <v>86.741847516633698</v>
      </c>
      <c r="AN10047">
        <v>1.0000000063202401</v>
      </c>
    </row>
    <row r="10048" spans="1:40" x14ac:dyDescent="0.25">
      <c r="A10048" t="str">
        <f>"20190303162145007"</f>
        <v>20190303162145007</v>
      </c>
      <c r="B10048" t="str">
        <f>"1551601305002396"</f>
        <v>1551601305002396</v>
      </c>
      <c r="C10048" t="s">
        <v>40</v>
      </c>
      <c r="D10048">
        <v>4.9593150000000001</v>
      </c>
      <c r="E10048">
        <v>0.55736479999999999</v>
      </c>
      <c r="F10048" t="s">
        <v>41</v>
      </c>
      <c r="G10048">
        <v>-184.54130000000001</v>
      </c>
      <c r="H10048" s="1">
        <v>-2.4900100000000002E-6</v>
      </c>
      <c r="I10048">
        <v>102.69710000000001</v>
      </c>
      <c r="J10048">
        <v>-187.38319999999999</v>
      </c>
      <c r="K10048">
        <v>1.1217239999999999</v>
      </c>
      <c r="L10048">
        <v>89.502080000000007</v>
      </c>
      <c r="M10048">
        <v>1.7063579999999998E-2</v>
      </c>
      <c r="N10048">
        <v>-1.527159E-2</v>
      </c>
      <c r="O10048">
        <v>0.99973780000000001</v>
      </c>
      <c r="P10048">
        <v>8.2313919999999999E-2</v>
      </c>
      <c r="Q10048">
        <v>0.1644717</v>
      </c>
      <c r="R10048">
        <v>0.98294130000000002</v>
      </c>
      <c r="S10048">
        <v>0.64181519999999903</v>
      </c>
      <c r="T10048">
        <v>-0.25285469999999999</v>
      </c>
      <c r="U10048">
        <v>3.0437319999999999</v>
      </c>
      <c r="V10048">
        <v>6.5534579999999995E-2</v>
      </c>
      <c r="W10048">
        <v>0.1794801</v>
      </c>
      <c r="X10048">
        <v>0.98157629999999996</v>
      </c>
      <c r="Y10048">
        <v>0.18901229999999999</v>
      </c>
      <c r="Z10048">
        <v>-6.593628E-2</v>
      </c>
      <c r="AA10048">
        <v>0.97975849999999998</v>
      </c>
      <c r="AB10048">
        <v>31</v>
      </c>
      <c r="AC10048">
        <v>2.8418999999999799</v>
      </c>
      <c r="AD10048">
        <v>-1.1217264900099999</v>
      </c>
      <c r="AE10048">
        <v>13.19502</v>
      </c>
      <c r="AF10048">
        <v>2.5983598934883001</v>
      </c>
      <c r="AG10048">
        <v>-1.1217264900099999</v>
      </c>
      <c r="AH10048">
        <v>13.1507705687214</v>
      </c>
      <c r="AI10048">
        <v>94.783347224610296</v>
      </c>
      <c r="AJ10048">
        <v>78.823323734963594</v>
      </c>
      <c r="AK10048">
        <v>13.451859016716901</v>
      </c>
      <c r="AL10048">
        <v>79.660521009380901</v>
      </c>
      <c r="AM10048">
        <v>86.180337064324107</v>
      </c>
      <c r="AN10048">
        <v>0.99999996009673697</v>
      </c>
    </row>
    <row r="10049" spans="1:40" x14ac:dyDescent="0.25">
      <c r="A10049" t="str">
        <f>"20190303162145029"</f>
        <v>20190303162145029</v>
      </c>
      <c r="B10049" t="str">
        <f>"1551601305022892"</f>
        <v>1551601305022892</v>
      </c>
      <c r="C10049" t="s">
        <v>40</v>
      </c>
      <c r="D10049">
        <v>5.0089240000000004</v>
      </c>
      <c r="E10049">
        <v>0.55477679999999996</v>
      </c>
      <c r="F10049" t="s">
        <v>50</v>
      </c>
      <c r="G10049">
        <v>-179.95599999999999</v>
      </c>
      <c r="H10049">
        <v>5.1763299999999998E-2</v>
      </c>
      <c r="I10049">
        <v>121.39</v>
      </c>
      <c r="J10049">
        <v>-187.37799999999999</v>
      </c>
      <c r="K10049">
        <v>1.121729</v>
      </c>
      <c r="L10049">
        <v>89.806299999999993</v>
      </c>
      <c r="M10049">
        <v>1.7063680000000001E-2</v>
      </c>
      <c r="N10049">
        <v>-1.5302619999999999E-2</v>
      </c>
      <c r="O10049">
        <v>0.99973730000000005</v>
      </c>
      <c r="P10049">
        <v>9.1872229999999999E-2</v>
      </c>
      <c r="Q10049">
        <v>0.16445960000000001</v>
      </c>
      <c r="R10049">
        <v>0.98209599999999997</v>
      </c>
      <c r="S10049">
        <v>0.70114140000000003</v>
      </c>
      <c r="T10049">
        <v>-0.1010056</v>
      </c>
      <c r="U10049">
        <v>3.0102540000000002</v>
      </c>
      <c r="V10049">
        <v>7.5105790000000006E-2</v>
      </c>
      <c r="W10049">
        <v>0.17948800000000001</v>
      </c>
      <c r="X10049">
        <v>0.98088900000000001</v>
      </c>
      <c r="Y10049">
        <v>0.2100813</v>
      </c>
      <c r="Z10049">
        <v>-1.7448020000000002E-2</v>
      </c>
      <c r="AA10049">
        <v>0.97752819999999996</v>
      </c>
      <c r="AB10049">
        <v>31</v>
      </c>
      <c r="AC10049">
        <v>7.4219999999999899</v>
      </c>
      <c r="AD10049">
        <v>-1.0699657</v>
      </c>
      <c r="AE10049">
        <v>31.5837</v>
      </c>
      <c r="AF10049">
        <v>6.8744452247444201</v>
      </c>
      <c r="AG10049">
        <v>-1.0699657</v>
      </c>
      <c r="AH10049">
        <v>31.671316191129101</v>
      </c>
      <c r="AI10049">
        <v>91.890914244015207</v>
      </c>
      <c r="AJ10049">
        <v>77.753579006729893</v>
      </c>
      <c r="AK10049">
        <v>32.426456683172603</v>
      </c>
      <c r="AL10049">
        <v>79.660061590698803</v>
      </c>
      <c r="AM10049">
        <v>85.621457151216703</v>
      </c>
      <c r="AN10049">
        <v>1.00000002607826</v>
      </c>
    </row>
    <row r="10050" spans="1:40" x14ac:dyDescent="0.25">
      <c r="A10050" t="str">
        <f>"20190303162145053"</f>
        <v>20190303162145053</v>
      </c>
      <c r="B10050" t="str">
        <f>"1551601305042411"</f>
        <v>1551601305042411</v>
      </c>
      <c r="C10050" t="s">
        <v>40</v>
      </c>
      <c r="D10050">
        <v>5.0171010000000003</v>
      </c>
      <c r="E10050">
        <v>0.55329539999999999</v>
      </c>
      <c r="F10050" t="s">
        <v>50</v>
      </c>
      <c r="G10050">
        <v>-179.65440000000001</v>
      </c>
      <c r="H10050">
        <v>7.9988729999999994E-2</v>
      </c>
      <c r="I10050">
        <v>122.497</v>
      </c>
      <c r="J10050">
        <v>-187.37270000000001</v>
      </c>
      <c r="K10050">
        <v>1.121729</v>
      </c>
      <c r="L10050">
        <v>90.117859999999993</v>
      </c>
      <c r="M10050">
        <v>1.7063760000000001E-2</v>
      </c>
      <c r="N10050">
        <v>-1.532903E-2</v>
      </c>
      <c r="O10050">
        <v>0.99973690000000004</v>
      </c>
      <c r="P10050">
        <v>0.1005124</v>
      </c>
      <c r="Q10050">
        <v>0.1644516</v>
      </c>
      <c r="R10050">
        <v>0.98125070000000003</v>
      </c>
      <c r="S10050">
        <v>0.70980829999999995</v>
      </c>
      <c r="T10050">
        <v>-9.5736859999999993E-2</v>
      </c>
      <c r="U10050">
        <v>3.0043030000000002</v>
      </c>
      <c r="V10050">
        <v>8.3758970000000002E-2</v>
      </c>
      <c r="W10050">
        <v>0.1794946</v>
      </c>
      <c r="X10050">
        <v>0.98018680000000002</v>
      </c>
      <c r="Y10050">
        <v>0.2131884</v>
      </c>
      <c r="Z10050">
        <v>-1.5755720000000001E-2</v>
      </c>
      <c r="AA10050">
        <v>0.97688410000000003</v>
      </c>
      <c r="AB10050">
        <v>31</v>
      </c>
      <c r="AC10050">
        <v>7.7182999999999904</v>
      </c>
      <c r="AD10050">
        <v>-1.04174027</v>
      </c>
      <c r="AE10050">
        <v>32.37914</v>
      </c>
      <c r="AF10050">
        <v>7.1575906112967296</v>
      </c>
      <c r="AG10050">
        <v>-1.04174027</v>
      </c>
      <c r="AH10050">
        <v>32.474335985938303</v>
      </c>
      <c r="AI10050">
        <v>91.794316755723699</v>
      </c>
      <c r="AJ10050">
        <v>77.570307498233106</v>
      </c>
      <c r="AK10050">
        <v>33.270089027182799</v>
      </c>
      <c r="AL10050">
        <v>79.659677129033199</v>
      </c>
      <c r="AM10050">
        <v>85.115823379441196</v>
      </c>
      <c r="AN10050">
        <v>1.0000000196894301</v>
      </c>
    </row>
    <row r="10051" spans="1:40" x14ac:dyDescent="0.25">
      <c r="A10051" t="str">
        <f>"20190303162145075"</f>
        <v>20190303162145075</v>
      </c>
      <c r="B10051" t="str">
        <f>"1551601305062907"</f>
        <v>1551601305062907</v>
      </c>
      <c r="C10051" t="s">
        <v>40</v>
      </c>
      <c r="D10051">
        <v>5.0333360000000003</v>
      </c>
      <c r="E10051">
        <v>0.55328359999999999</v>
      </c>
      <c r="F10051" t="s">
        <v>50</v>
      </c>
      <c r="G10051">
        <v>-179.38980000000001</v>
      </c>
      <c r="H10051">
        <v>7.998864E-2</v>
      </c>
      <c r="I10051">
        <v>123.1615</v>
      </c>
      <c r="J10051">
        <v>-187.3674</v>
      </c>
      <c r="K10051">
        <v>1.121734</v>
      </c>
      <c r="L10051">
        <v>90.424710000000005</v>
      </c>
      <c r="M10051">
        <v>1.70638E-2</v>
      </c>
      <c r="N10051">
        <v>-1.535048E-2</v>
      </c>
      <c r="O10051">
        <v>0.99973650000000003</v>
      </c>
      <c r="P10051">
        <v>0.1088496</v>
      </c>
      <c r="Q10051">
        <v>0.16405899999999901</v>
      </c>
      <c r="R10051">
        <v>0.98042669999999998</v>
      </c>
      <c r="S10051">
        <v>0.7245026</v>
      </c>
      <c r="T10051">
        <v>-9.4545959999999998E-2</v>
      </c>
      <c r="U10051">
        <v>2.9989620000000001</v>
      </c>
      <c r="V10051">
        <v>9.2108910000000002E-2</v>
      </c>
      <c r="W10051">
        <v>0.179112299999999</v>
      </c>
      <c r="X10051">
        <v>0.97950740000000003</v>
      </c>
      <c r="Y10051">
        <v>0.2181025</v>
      </c>
      <c r="Z10051">
        <v>-1.536798E-2</v>
      </c>
      <c r="AA10051">
        <v>0.97580489999999998</v>
      </c>
      <c r="AB10051">
        <v>31</v>
      </c>
      <c r="AC10051">
        <v>7.97759999999999</v>
      </c>
      <c r="AD10051">
        <v>-1.04174536</v>
      </c>
      <c r="AE10051">
        <v>32.736789999999999</v>
      </c>
      <c r="AF10051">
        <v>7.4106746938997698</v>
      </c>
      <c r="AG10051">
        <v>-1.04174536</v>
      </c>
      <c r="AH10051">
        <v>32.836779122037299</v>
      </c>
      <c r="AI10051">
        <v>91.772546657160404</v>
      </c>
      <c r="AJ10051">
        <v>77.282421293616494</v>
      </c>
      <c r="AK10051">
        <v>33.678738039352801</v>
      </c>
      <c r="AL10051">
        <v>79.681942003508595</v>
      </c>
      <c r="AM10051">
        <v>84.627934339741699</v>
      </c>
      <c r="AN10051">
        <v>1.0000000069837101</v>
      </c>
    </row>
    <row r="10052" spans="1:40" x14ac:dyDescent="0.25">
      <c r="A10052" t="str">
        <f>"20190303162145098"</f>
        <v>20190303162145098</v>
      </c>
      <c r="B10052" t="str">
        <f>"1551601305093163"</f>
        <v>1551601305093163</v>
      </c>
      <c r="C10052" t="s">
        <v>40</v>
      </c>
      <c r="D10052">
        <v>5.0171789999999996</v>
      </c>
      <c r="E10052">
        <v>0.55269780000000002</v>
      </c>
      <c r="F10052" t="s">
        <v>50</v>
      </c>
      <c r="G10052">
        <v>-178.79570000000001</v>
      </c>
      <c r="H10052">
        <v>7.998864E-2</v>
      </c>
      <c r="I10052">
        <v>124.66240000000001</v>
      </c>
      <c r="J10052">
        <v>-187.3622</v>
      </c>
      <c r="K10052">
        <v>1.1217360000000001</v>
      </c>
      <c r="L10052">
        <v>90.727260000000001</v>
      </c>
      <c r="M10052">
        <v>1.7063809999999999E-2</v>
      </c>
      <c r="N10052">
        <v>-1.536764E-2</v>
      </c>
      <c r="O10052">
        <v>0.99973630000000002</v>
      </c>
      <c r="P10052">
        <v>0.1173102</v>
      </c>
      <c r="Q10052">
        <v>0.16447500000000001</v>
      </c>
      <c r="R10052">
        <v>0.97938049999999999</v>
      </c>
      <c r="S10052">
        <v>0.74906919999999899</v>
      </c>
      <c r="T10052">
        <v>-9.1036439999999996E-2</v>
      </c>
      <c r="U10052">
        <v>2.9919739999999999</v>
      </c>
      <c r="V10052">
        <v>0.10058599999999999</v>
      </c>
      <c r="W10052">
        <v>0.1795312</v>
      </c>
      <c r="X10052">
        <v>0.97859640000000003</v>
      </c>
      <c r="Y10052">
        <v>0.22617219999999999</v>
      </c>
      <c r="Z10052">
        <v>-1.4224509999999999E-2</v>
      </c>
      <c r="AA10052">
        <v>0.9739835</v>
      </c>
      <c r="AB10052">
        <v>31</v>
      </c>
      <c r="AC10052">
        <v>8.5664999999999907</v>
      </c>
      <c r="AD10052">
        <v>-1.04174736</v>
      </c>
      <c r="AE10052">
        <v>33.935139999999997</v>
      </c>
      <c r="AF10052">
        <v>7.9790524456650704</v>
      </c>
      <c r="AG10052">
        <v>-1.04174736</v>
      </c>
      <c r="AH10052">
        <v>34.046229995763099</v>
      </c>
      <c r="AI10052">
        <v>91.706384644253902</v>
      </c>
      <c r="AJ10052">
        <v>76.810239096764903</v>
      </c>
      <c r="AK10052">
        <v>34.984229195698099</v>
      </c>
      <c r="AL10052">
        <v>79.657544795898602</v>
      </c>
      <c r="AM10052">
        <v>84.131405815152306</v>
      </c>
      <c r="AN10052">
        <v>0.99999995463119895</v>
      </c>
    </row>
    <row r="10053" spans="1:40" x14ac:dyDescent="0.25">
      <c r="A10053" t="str">
        <f>"20190303162145119"</f>
        <v>20190303162145119</v>
      </c>
      <c r="B10053" t="str">
        <f>"1551601305112684"</f>
        <v>1551601305112684</v>
      </c>
      <c r="C10053" t="s">
        <v>40</v>
      </c>
      <c r="D10053">
        <v>5.0726579999999997</v>
      </c>
      <c r="E10053">
        <v>0.55187180000000002</v>
      </c>
      <c r="F10053" t="s">
        <v>50</v>
      </c>
      <c r="G10053">
        <v>-178.30779999999999</v>
      </c>
      <c r="H10053">
        <v>7.9988429999999999E-2</v>
      </c>
      <c r="I10053">
        <v>125.8633</v>
      </c>
      <c r="J10053">
        <v>-187.3569</v>
      </c>
      <c r="K10053">
        <v>1.1217459999999999</v>
      </c>
      <c r="L10053">
        <v>91.03098</v>
      </c>
      <c r="M10053">
        <v>1.706382E-2</v>
      </c>
      <c r="N10053">
        <v>-1.538166E-2</v>
      </c>
      <c r="O10053">
        <v>0.99973610000000002</v>
      </c>
      <c r="P10053">
        <v>0.12537999999999999</v>
      </c>
      <c r="Q10053">
        <v>0.164678399999999</v>
      </c>
      <c r="R10053">
        <v>0.97834600000000005</v>
      </c>
      <c r="S10053">
        <v>0.76943969999999995</v>
      </c>
      <c r="T10053">
        <v>-8.8527919999999996E-2</v>
      </c>
      <c r="U10053">
        <v>2.9858699999999998</v>
      </c>
      <c r="V10053">
        <v>0.1086723</v>
      </c>
      <c r="W10053">
        <v>0.17973430000000001</v>
      </c>
      <c r="X10053">
        <v>0.97769419999999996</v>
      </c>
      <c r="Y10053">
        <v>0.2328789</v>
      </c>
      <c r="Z10053">
        <v>-1.3407530000000001E-2</v>
      </c>
      <c r="AA10053">
        <v>0.97241330000000004</v>
      </c>
      <c r="AB10053">
        <v>30</v>
      </c>
      <c r="AC10053">
        <v>9.0491000000000099</v>
      </c>
      <c r="AD10053">
        <v>-1.0417575699999999</v>
      </c>
      <c r="AE10053">
        <v>34.832320000000003</v>
      </c>
      <c r="AF10053">
        <v>8.4462620884649198</v>
      </c>
      <c r="AG10053">
        <v>-1.0417575699999999</v>
      </c>
      <c r="AH10053">
        <v>34.952390354631198</v>
      </c>
      <c r="AI10053">
        <v>91.659461088488101</v>
      </c>
      <c r="AJ10053">
        <v>76.414884765405205</v>
      </c>
      <c r="AK10053">
        <v>35.973520728505498</v>
      </c>
      <c r="AL10053">
        <v>79.645716269739793</v>
      </c>
      <c r="AM10053">
        <v>83.657515244593299</v>
      </c>
      <c r="AN10053">
        <v>1.0000000180487001</v>
      </c>
    </row>
    <row r="10054" spans="1:40" x14ac:dyDescent="0.25">
      <c r="A10054" t="str">
        <f>"20190303162145142"</f>
        <v>20190303162145142</v>
      </c>
      <c r="B10054" t="str">
        <f>"1551601305133179"</f>
        <v>1551601305133179</v>
      </c>
      <c r="C10054" t="s">
        <v>40</v>
      </c>
      <c r="D10054">
        <v>5.1060930000000004</v>
      </c>
      <c r="E10054">
        <v>0.5501047</v>
      </c>
      <c r="F10054" t="s">
        <v>50</v>
      </c>
      <c r="G10054">
        <v>-178.06700000000001</v>
      </c>
      <c r="H10054">
        <v>7.9988340000000005E-2</v>
      </c>
      <c r="I10054">
        <v>126.2038</v>
      </c>
      <c r="J10054">
        <v>-187.35169999999999</v>
      </c>
      <c r="K10054">
        <v>1.1217520000000001</v>
      </c>
      <c r="L10054">
        <v>91.337919999999997</v>
      </c>
      <c r="M10054">
        <v>1.7063829999999999E-2</v>
      </c>
      <c r="N10054">
        <v>-1.5392950000000001E-2</v>
      </c>
      <c r="O10054">
        <v>0.99973590000000001</v>
      </c>
      <c r="P10054">
        <v>0.1337053</v>
      </c>
      <c r="Q10054">
        <v>0.16485359999999999</v>
      </c>
      <c r="R10054">
        <v>0.97721349999999996</v>
      </c>
      <c r="S10054">
        <v>0.78718569999999999</v>
      </c>
      <c r="T10054">
        <v>-8.8273530000000003E-2</v>
      </c>
      <c r="U10054">
        <v>2.9803769999999998</v>
      </c>
      <c r="V10054">
        <v>0.1170156</v>
      </c>
      <c r="W10054">
        <v>0.17990510000000001</v>
      </c>
      <c r="X10054">
        <v>0.97669930000000005</v>
      </c>
      <c r="Y10054">
        <v>0.2387263</v>
      </c>
      <c r="Z10054">
        <v>-1.3323740000000001E-2</v>
      </c>
      <c r="AA10054">
        <v>0.97099550000000001</v>
      </c>
      <c r="AB10054">
        <v>30</v>
      </c>
      <c r="AC10054">
        <v>9.2846999999999795</v>
      </c>
      <c r="AD10054">
        <v>-1.04176366</v>
      </c>
      <c r="AE10054">
        <v>34.865879999999997</v>
      </c>
      <c r="AF10054">
        <v>8.6810949266584796</v>
      </c>
      <c r="AG10054">
        <v>-1.04176366</v>
      </c>
      <c r="AH10054">
        <v>34.9900843279867</v>
      </c>
      <c r="AI10054">
        <v>91.655216783482103</v>
      </c>
      <c r="AJ10054">
        <v>76.066175736169697</v>
      </c>
      <c r="AK10054">
        <v>36.065949064575697</v>
      </c>
      <c r="AL10054">
        <v>79.635767896278907</v>
      </c>
      <c r="AM10054">
        <v>83.1681171329422</v>
      </c>
      <c r="AN10054">
        <v>1.0000000091349299</v>
      </c>
    </row>
    <row r="10055" spans="1:40" x14ac:dyDescent="0.25">
      <c r="A10055" t="str">
        <f>"20190303162145163"</f>
        <v>20190303162145163</v>
      </c>
      <c r="B10055" t="str">
        <f>"1551601305152700"</f>
        <v>1551601305152700</v>
      </c>
      <c r="C10055" t="s">
        <v>40</v>
      </c>
      <c r="D10055">
        <v>5.0458059999999998</v>
      </c>
      <c r="E10055">
        <v>0.54848019999999997</v>
      </c>
      <c r="F10055" t="s">
        <v>50</v>
      </c>
      <c r="G10055">
        <v>-178.34190000000001</v>
      </c>
      <c r="H10055">
        <v>7.9988550000000005E-2</v>
      </c>
      <c r="I10055">
        <v>124.9272</v>
      </c>
      <c r="J10055">
        <v>-187.3468</v>
      </c>
      <c r="K10055">
        <v>1.121758</v>
      </c>
      <c r="L10055">
        <v>91.623469999999998</v>
      </c>
      <c r="M10055">
        <v>1.7063829999999999E-2</v>
      </c>
      <c r="N10055">
        <v>-1.5401049999999999E-2</v>
      </c>
      <c r="O10055">
        <v>0.99973579999999995</v>
      </c>
      <c r="P10055">
        <v>0.1414755</v>
      </c>
      <c r="Q10055">
        <v>0.16438079999999999</v>
      </c>
      <c r="R10055">
        <v>0.97619860000000003</v>
      </c>
      <c r="S10055">
        <v>0.79833980000000004</v>
      </c>
      <c r="T10055">
        <v>-9.2309000000000002E-2</v>
      </c>
      <c r="U10055">
        <v>2.9762879999999998</v>
      </c>
      <c r="V10055">
        <v>0.12480189999999999</v>
      </c>
      <c r="W10055">
        <v>0.17942610000000001</v>
      </c>
      <c r="X10055">
        <v>0.97582310000000005</v>
      </c>
      <c r="Y10055">
        <v>0.2424434</v>
      </c>
      <c r="Z10055">
        <v>-1.4638099999999999E-2</v>
      </c>
      <c r="AA10055">
        <v>0.97005509999999995</v>
      </c>
      <c r="AB10055">
        <v>30</v>
      </c>
      <c r="AC10055">
        <v>9.0048999999999904</v>
      </c>
      <c r="AD10055">
        <v>-1.0417694500000001</v>
      </c>
      <c r="AE10055">
        <v>33.303730000000002</v>
      </c>
      <c r="AF10055">
        <v>8.4275475250771699</v>
      </c>
      <c r="AG10055">
        <v>-1.0417694500000001</v>
      </c>
      <c r="AH10055">
        <v>33.422080974059</v>
      </c>
      <c r="AI10055">
        <v>91.731183270018207</v>
      </c>
      <c r="AJ10055">
        <v>75.847601916872804</v>
      </c>
      <c r="AK10055">
        <v>34.483972182898903</v>
      </c>
      <c r="AL10055">
        <v>79.663666255256103</v>
      </c>
      <c r="AM10055">
        <v>82.711780351540298</v>
      </c>
      <c r="AN10055">
        <v>0.99999998104921395</v>
      </c>
    </row>
    <row r="10056" spans="1:40" x14ac:dyDescent="0.25">
      <c r="A10056" t="str">
        <f>"20190303162145187"</f>
        <v>20190303162145187</v>
      </c>
      <c r="B10056" t="str">
        <f>"1551601305173195"</f>
        <v>1551601305173195</v>
      </c>
      <c r="C10056" t="s">
        <v>40</v>
      </c>
      <c r="D10056">
        <v>5.1370060000000004</v>
      </c>
      <c r="E10056">
        <v>0.54691449999999997</v>
      </c>
      <c r="F10056" t="s">
        <v>50</v>
      </c>
      <c r="G10056">
        <v>-178.7576</v>
      </c>
      <c r="H10056">
        <v>7.9988550000000005E-2</v>
      </c>
      <c r="I10056">
        <v>123.17359999999999</v>
      </c>
      <c r="J10056">
        <v>-187.34129999999999</v>
      </c>
      <c r="K10056">
        <v>1.121756</v>
      </c>
      <c r="L10056">
        <v>91.939179999999993</v>
      </c>
      <c r="M10056">
        <v>1.7063829999999999E-2</v>
      </c>
      <c r="N10056">
        <v>-1.5407580000000001E-2</v>
      </c>
      <c r="O10056">
        <v>0.9997357</v>
      </c>
      <c r="P10056">
        <v>0.14785709999999999</v>
      </c>
      <c r="Q10056">
        <v>0.16461010000000001</v>
      </c>
      <c r="R10056">
        <v>0.97521369999999996</v>
      </c>
      <c r="S10056">
        <v>0.80920409999999998</v>
      </c>
      <c r="T10056">
        <v>-9.814763E-2</v>
      </c>
      <c r="U10056">
        <v>2.9724119999999998</v>
      </c>
      <c r="V10056">
        <v>0.13119939999999999</v>
      </c>
      <c r="W10056">
        <v>0.179648</v>
      </c>
      <c r="X10056">
        <v>0.97494270000000005</v>
      </c>
      <c r="Y10056">
        <v>0.2460495</v>
      </c>
      <c r="Z10056">
        <v>-1.653893E-2</v>
      </c>
      <c r="AA10056">
        <v>0.96911619999999998</v>
      </c>
      <c r="AB10056">
        <v>30</v>
      </c>
      <c r="AC10056">
        <v>8.5836999999999897</v>
      </c>
      <c r="AD10056">
        <v>-1.04176745</v>
      </c>
      <c r="AE10056">
        <v>31.234419999999901</v>
      </c>
      <c r="AF10056">
        <v>8.0410907807291796</v>
      </c>
      <c r="AG10056">
        <v>-1.04176745</v>
      </c>
      <c r="AH10056">
        <v>31.3439397903635</v>
      </c>
      <c r="AI10056">
        <v>91.8439494352792</v>
      </c>
      <c r="AJ10056">
        <v>75.6114307059471</v>
      </c>
      <c r="AK10056">
        <v>32.375715929469997</v>
      </c>
      <c r="AL10056">
        <v>79.6507422848197</v>
      </c>
      <c r="AM10056">
        <v>82.335671264437806</v>
      </c>
      <c r="AN10056">
        <v>0.99999997737382396</v>
      </c>
    </row>
    <row r="10057" spans="1:40" x14ac:dyDescent="0.25">
      <c r="A10057" t="str">
        <f>"20190303162145208"</f>
        <v>20190303162145208</v>
      </c>
      <c r="B10057" t="str">
        <f>"1551601305202476"</f>
        <v>1551601305202476</v>
      </c>
      <c r="C10057" t="s">
        <v>40</v>
      </c>
      <c r="D10057">
        <v>5.0431410000000003</v>
      </c>
      <c r="E10057">
        <v>0.54511489999999996</v>
      </c>
      <c r="F10057" t="s">
        <v>50</v>
      </c>
      <c r="G10057">
        <v>-179.00489999999999</v>
      </c>
      <c r="H10057">
        <v>7.9988539999999997E-2</v>
      </c>
      <c r="I10057">
        <v>122.2872</v>
      </c>
      <c r="J10057">
        <v>-187.33629999999999</v>
      </c>
      <c r="K10057">
        <v>1.121767</v>
      </c>
      <c r="L10057">
        <v>92.231139999999996</v>
      </c>
      <c r="M10057">
        <v>1.706382E-2</v>
      </c>
      <c r="N10057">
        <v>-1.541178E-2</v>
      </c>
      <c r="O10057">
        <v>0.99973559999999995</v>
      </c>
      <c r="P10057">
        <v>0.15340719999999999</v>
      </c>
      <c r="Q10057">
        <v>0.16487260000000001</v>
      </c>
      <c r="R10057">
        <v>0.9743117</v>
      </c>
      <c r="S10057">
        <v>0.81578059999999997</v>
      </c>
      <c r="T10057">
        <v>-0.10194400000000001</v>
      </c>
      <c r="U10057">
        <v>2.969757</v>
      </c>
      <c r="V10057">
        <v>0.1367641</v>
      </c>
      <c r="W10057">
        <v>0.1799017</v>
      </c>
      <c r="X10057">
        <v>0.97413090000000002</v>
      </c>
      <c r="Y10057">
        <v>0.24825630000000001</v>
      </c>
      <c r="Z10057">
        <v>-1.7777899999999999E-2</v>
      </c>
      <c r="AA10057">
        <v>0.96853129999999998</v>
      </c>
      <c r="AB10057">
        <v>30</v>
      </c>
      <c r="AC10057">
        <v>8.3314000000000004</v>
      </c>
      <c r="AD10057">
        <v>-1.04177846</v>
      </c>
      <c r="AE10057">
        <v>30.056059999999999</v>
      </c>
      <c r="AF10057">
        <v>7.8085427802874703</v>
      </c>
      <c r="AG10057">
        <v>-1.04177846</v>
      </c>
      <c r="AH10057">
        <v>30.1602163576656</v>
      </c>
      <c r="AI10057">
        <v>91.915196712507594</v>
      </c>
      <c r="AJ10057">
        <v>75.484722471651295</v>
      </c>
      <c r="AK10057">
        <v>31.172059499694601</v>
      </c>
      <c r="AL10057">
        <v>79.6359661047656</v>
      </c>
      <c r="AM10057">
        <v>82.008136798570902</v>
      </c>
      <c r="AN10057">
        <v>1.00000002552325</v>
      </c>
    </row>
    <row r="10058" spans="1:40" x14ac:dyDescent="0.25">
      <c r="A10058" t="str">
        <f>"20190303162145231"</f>
        <v>20190303162145231</v>
      </c>
      <c r="B10058" t="str">
        <f>"1551601305222972"</f>
        <v>1551601305222972</v>
      </c>
      <c r="C10058" t="s">
        <v>40</v>
      </c>
      <c r="D10058">
        <v>5.1095100000000002</v>
      </c>
      <c r="E10058">
        <v>0.54403169999999901</v>
      </c>
      <c r="F10058" t="s">
        <v>50</v>
      </c>
      <c r="G10058">
        <v>-179.12280000000001</v>
      </c>
      <c r="H10058">
        <v>7.9988539999999997E-2</v>
      </c>
      <c r="I10058">
        <v>122.03440000000001</v>
      </c>
      <c r="J10058">
        <v>-187.33099999999999</v>
      </c>
      <c r="K10058">
        <v>1.121775</v>
      </c>
      <c r="L10058">
        <v>92.543210000000002</v>
      </c>
      <c r="M10058">
        <v>1.70638E-2</v>
      </c>
      <c r="N10058">
        <v>-1.541464E-2</v>
      </c>
      <c r="O10058">
        <v>0.99973559999999995</v>
      </c>
      <c r="P10058">
        <v>0.158501799999999</v>
      </c>
      <c r="Q10058">
        <v>0.16662959999999999</v>
      </c>
      <c r="R10058">
        <v>0.97319670000000003</v>
      </c>
      <c r="S10058">
        <v>0.81791689999999995</v>
      </c>
      <c r="T10058">
        <v>-0.1037421</v>
      </c>
      <c r="U10058">
        <v>2.9678650000000002</v>
      </c>
      <c r="V10058">
        <v>0.14187720000000001</v>
      </c>
      <c r="W10058">
        <v>0.18164540000000001</v>
      </c>
      <c r="X10058">
        <v>0.97307540000000003</v>
      </c>
      <c r="Y10058">
        <v>0.24905759999999999</v>
      </c>
      <c r="Z10058">
        <v>-1.8373469999999999E-2</v>
      </c>
      <c r="AA10058">
        <v>0.96831429999999996</v>
      </c>
      <c r="AB10058">
        <v>30</v>
      </c>
      <c r="AC10058">
        <v>8.2081999999999695</v>
      </c>
      <c r="AD10058">
        <v>-1.04178646</v>
      </c>
      <c r="AE10058">
        <v>29.49119</v>
      </c>
      <c r="AF10058">
        <v>7.6948012482331603</v>
      </c>
      <c r="AG10058">
        <v>-1.04178646</v>
      </c>
      <c r="AH10058">
        <v>29.592701729653601</v>
      </c>
      <c r="AI10058">
        <v>91.951380580921395</v>
      </c>
      <c r="AJ10058">
        <v>75.424516503430496</v>
      </c>
      <c r="AK10058">
        <v>30.594497559827499</v>
      </c>
      <c r="AL10058">
        <v>79.534385216771099</v>
      </c>
      <c r="AM10058">
        <v>81.704563306053899</v>
      </c>
      <c r="AN10058">
        <v>0.999999962653079</v>
      </c>
    </row>
    <row r="10059" spans="1:40" x14ac:dyDescent="0.25">
      <c r="A10059" t="str">
        <f>"20190303162145254"</f>
        <v>20190303162145254</v>
      </c>
      <c r="B10059" t="str">
        <f>"1551601305242492"</f>
        <v>1551601305242492</v>
      </c>
      <c r="C10059" t="s">
        <v>40</v>
      </c>
      <c r="D10059">
        <v>5.1157209999999997</v>
      </c>
      <c r="E10059">
        <v>0.54292790000000002</v>
      </c>
      <c r="F10059" t="s">
        <v>50</v>
      </c>
      <c r="G10059">
        <v>-178.6858</v>
      </c>
      <c r="H10059">
        <v>7.9988569999999995E-2</v>
      </c>
      <c r="I10059">
        <v>123.64190000000001</v>
      </c>
      <c r="J10059">
        <v>-187.32589999999999</v>
      </c>
      <c r="K10059">
        <v>1.1217760000000001</v>
      </c>
      <c r="L10059">
        <v>92.840360000000004</v>
      </c>
      <c r="M10059">
        <v>1.7063769999999999E-2</v>
      </c>
      <c r="N10059">
        <v>-1.541608E-2</v>
      </c>
      <c r="O10059">
        <v>0.9997355</v>
      </c>
      <c r="P10059">
        <v>0.1626937</v>
      </c>
      <c r="Q10059">
        <v>0.16747279999999901</v>
      </c>
      <c r="R10059">
        <v>0.9723598</v>
      </c>
      <c r="S10059">
        <v>0.82434079999999998</v>
      </c>
      <c r="T10059">
        <v>-9.9337700000000001E-2</v>
      </c>
      <c r="U10059">
        <v>2.965363</v>
      </c>
      <c r="V10059">
        <v>0.14608270000000001</v>
      </c>
      <c r="W10059">
        <v>0.1824781</v>
      </c>
      <c r="X10059">
        <v>0.97229710000000003</v>
      </c>
      <c r="Y10059">
        <v>0.25122319999999998</v>
      </c>
      <c r="Z10059">
        <v>-1.694847E-2</v>
      </c>
      <c r="AA10059">
        <v>0.9677808</v>
      </c>
      <c r="AB10059">
        <v>30</v>
      </c>
      <c r="AC10059">
        <v>8.6400999999999897</v>
      </c>
      <c r="AD10059">
        <v>-1.0417874300000001</v>
      </c>
      <c r="AE10059">
        <v>30.801539999999999</v>
      </c>
      <c r="AF10059">
        <v>8.1045937636207395</v>
      </c>
      <c r="AG10059">
        <v>-1.0417874300000001</v>
      </c>
      <c r="AH10059">
        <v>30.911722054036399</v>
      </c>
      <c r="AI10059">
        <v>91.8671900363465</v>
      </c>
      <c r="AJ10059">
        <v>75.308575321583305</v>
      </c>
      <c r="AK10059">
        <v>31.973494045359299</v>
      </c>
      <c r="AL10059">
        <v>79.485864820455802</v>
      </c>
      <c r="AM10059">
        <v>81.455510793440894</v>
      </c>
      <c r="AN10059">
        <v>1.0000000314436499</v>
      </c>
    </row>
    <row r="10060" spans="1:40" x14ac:dyDescent="0.25">
      <c r="A10060" t="str">
        <f>"20190303162145276"</f>
        <v>20190303162145276</v>
      </c>
      <c r="B10060" t="str">
        <f>"1551601305262988"</f>
        <v>1551601305262988</v>
      </c>
      <c r="C10060" t="s">
        <v>40</v>
      </c>
      <c r="D10060">
        <v>5.0751239999999997</v>
      </c>
      <c r="E10060">
        <v>0.54180620000000002</v>
      </c>
      <c r="F10060" t="s">
        <v>50</v>
      </c>
      <c r="G10060">
        <v>-178.5016</v>
      </c>
      <c r="H10060">
        <v>7.9988600000000007E-2</v>
      </c>
      <c r="I10060">
        <v>124.4421</v>
      </c>
      <c r="J10060">
        <v>-187.32079999999999</v>
      </c>
      <c r="K10060">
        <v>1.121777</v>
      </c>
      <c r="L10060">
        <v>93.136349999999993</v>
      </c>
      <c r="M10060">
        <v>1.7063749999999999E-2</v>
      </c>
      <c r="N10060">
        <v>-1.5416340000000001E-2</v>
      </c>
      <c r="O10060">
        <v>0.9997355</v>
      </c>
      <c r="P10060">
        <v>0.1660702</v>
      </c>
      <c r="Q10060">
        <v>0.16700299999999901</v>
      </c>
      <c r="R10060">
        <v>0.97186969999999995</v>
      </c>
      <c r="S10060">
        <v>0.82754519999999998</v>
      </c>
      <c r="T10060">
        <v>-9.7700120000000001E-2</v>
      </c>
      <c r="U10060">
        <v>2.963654</v>
      </c>
      <c r="V10060">
        <v>0.14946709999999999</v>
      </c>
      <c r="W10060">
        <v>0.18200179999999999</v>
      </c>
      <c r="X10060">
        <v>0.97187190000000001</v>
      </c>
      <c r="Y10060">
        <v>0.25234099999999998</v>
      </c>
      <c r="Z10060">
        <v>-1.6424279999999999E-2</v>
      </c>
      <c r="AA10060">
        <v>0.967499</v>
      </c>
      <c r="AB10060">
        <v>30</v>
      </c>
      <c r="AC10060">
        <v>8.8191999999999897</v>
      </c>
      <c r="AD10060">
        <v>-1.0417883999999999</v>
      </c>
      <c r="AE10060">
        <v>31.30575</v>
      </c>
      <c r="AF10060">
        <v>8.2751683891796901</v>
      </c>
      <c r="AG10060">
        <v>-1.0417883999999999</v>
      </c>
      <c r="AH10060">
        <v>31.419461321383999</v>
      </c>
      <c r="AI10060">
        <v>91.836500930821202</v>
      </c>
      <c r="AJ10060">
        <v>75.244688662240605</v>
      </c>
      <c r="AK10060">
        <v>32.507634252058303</v>
      </c>
      <c r="AL10060">
        <v>79.513619558814696</v>
      </c>
      <c r="AM10060">
        <v>81.256812555041606</v>
      </c>
      <c r="AN10060">
        <v>1.0000000295976199</v>
      </c>
    </row>
    <row r="10061" spans="1:40" x14ac:dyDescent="0.25">
      <c r="A10061" t="str">
        <f>"20190303162145299"</f>
        <v>20190303162145299</v>
      </c>
      <c r="B10061" t="str">
        <f>"1551601305293244"</f>
        <v>1551601305293244</v>
      </c>
      <c r="C10061" t="s">
        <v>40</v>
      </c>
      <c r="D10061">
        <v>5.1896839999999997</v>
      </c>
      <c r="E10061">
        <v>0.5140479</v>
      </c>
      <c r="F10061" t="s">
        <v>50</v>
      </c>
      <c r="G10061">
        <v>-178.8047</v>
      </c>
      <c r="H10061">
        <v>7.9988580000000004E-2</v>
      </c>
      <c r="I10061">
        <v>123.5758</v>
      </c>
      <c r="J10061">
        <v>-187.31559999999999</v>
      </c>
      <c r="K10061">
        <v>1.1217729999999999</v>
      </c>
      <c r="L10061">
        <v>93.438869999999994</v>
      </c>
      <c r="M10061">
        <v>1.7063729999999999E-2</v>
      </c>
      <c r="N10061">
        <v>-1.541557E-2</v>
      </c>
      <c r="O10061">
        <v>0.9997355</v>
      </c>
      <c r="P10061">
        <v>0.1684408</v>
      </c>
      <c r="Q10061">
        <v>0.16620209999999999</v>
      </c>
      <c r="R10061">
        <v>0.97159899999999999</v>
      </c>
      <c r="S10061">
        <v>0.82885739999999997</v>
      </c>
      <c r="T10061">
        <v>-0.10139629999999999</v>
      </c>
      <c r="U10061">
        <v>2.9626459999999999</v>
      </c>
      <c r="V10061">
        <v>0.151841899999999</v>
      </c>
      <c r="W10061">
        <v>0.1811962</v>
      </c>
      <c r="X10061">
        <v>0.97165420000000002</v>
      </c>
      <c r="Y10061">
        <v>0.25281569999999998</v>
      </c>
      <c r="Z10061">
        <v>-1.763412E-2</v>
      </c>
      <c r="AA10061">
        <v>0.96735380000000004</v>
      </c>
      <c r="AB10061">
        <v>30</v>
      </c>
      <c r="AC10061">
        <v>8.5108999999999906</v>
      </c>
      <c r="AD10061">
        <v>-1.0417844199999999</v>
      </c>
      <c r="AE10061">
        <v>30.13693</v>
      </c>
      <c r="AF10061">
        <v>7.9865122381269202</v>
      </c>
      <c r="AG10061">
        <v>-1.0417844199999999</v>
      </c>
      <c r="AH10061">
        <v>30.244314497401199</v>
      </c>
      <c r="AI10061">
        <v>91.907475347709706</v>
      </c>
      <c r="AJ10061">
        <v>75.207757048439603</v>
      </c>
      <c r="AK10061">
        <v>31.2983745891894</v>
      </c>
      <c r="AL10061">
        <v>79.560556703222602</v>
      </c>
      <c r="AM10061">
        <v>81.118136010231396</v>
      </c>
      <c r="AN10061">
        <v>0.99999995493384397</v>
      </c>
    </row>
    <row r="10062" spans="1:40" x14ac:dyDescent="0.25">
      <c r="A10062" t="str">
        <f>"20190303162145321"</f>
        <v>20190303162145321</v>
      </c>
      <c r="B10062" t="str">
        <f>"1551601305312764"</f>
        <v>1551601305312764</v>
      </c>
      <c r="C10062" t="s">
        <v>40</v>
      </c>
      <c r="D10062">
        <v>5.3114220000000003</v>
      </c>
      <c r="E10062">
        <v>0.50768999999999997</v>
      </c>
      <c r="F10062" t="s">
        <v>50</v>
      </c>
      <c r="G10062">
        <v>-180.85390000000001</v>
      </c>
      <c r="H10062" s="1">
        <v>-4.0521560000000004E-6</v>
      </c>
      <c r="I10062">
        <v>124.78400000000001</v>
      </c>
      <c r="J10062">
        <v>-187.31049999999999</v>
      </c>
      <c r="K10062">
        <v>1.1217779999999999</v>
      </c>
      <c r="L10062">
        <v>93.733400000000003</v>
      </c>
      <c r="M10062">
        <v>1.7063709999999999E-2</v>
      </c>
      <c r="N10062">
        <v>-1.5413939999999999E-2</v>
      </c>
      <c r="O10062">
        <v>0.99973559999999995</v>
      </c>
      <c r="P10062">
        <v>0.16987920000000001</v>
      </c>
      <c r="Q10062">
        <v>0.164853799999999</v>
      </c>
      <c r="R10062">
        <v>0.97157819999999995</v>
      </c>
      <c r="S10062">
        <v>0.61820980000000003</v>
      </c>
      <c r="T10062">
        <v>-0.1073235</v>
      </c>
      <c r="U10062">
        <v>2.9988709999999998</v>
      </c>
      <c r="V10062">
        <v>0.15328049999999999</v>
      </c>
      <c r="W10062">
        <v>0.1798469</v>
      </c>
      <c r="X10062">
        <v>0.97167910000000002</v>
      </c>
      <c r="Y10062">
        <v>0.18504799999999999</v>
      </c>
      <c r="Z10062">
        <v>-1.9698469999999999E-2</v>
      </c>
      <c r="AA10062">
        <v>0.98253199999999996</v>
      </c>
      <c r="AB10062">
        <v>30</v>
      </c>
      <c r="AC10062">
        <v>6.4565999999999804</v>
      </c>
      <c r="AD10062">
        <v>-1.121782052156</v>
      </c>
      <c r="AE10062">
        <v>31.0505999999999</v>
      </c>
      <c r="AF10062">
        <v>5.9183538667285696</v>
      </c>
      <c r="AG10062">
        <v>-1.121782052156</v>
      </c>
      <c r="AH10062">
        <v>31.117333702718799</v>
      </c>
      <c r="AI10062">
        <v>92.0282940488988</v>
      </c>
      <c r="AJ10062">
        <v>79.231263080696095</v>
      </c>
      <c r="AK10062">
        <v>31.695011661627799</v>
      </c>
      <c r="AL10062">
        <v>79.639158191154706</v>
      </c>
      <c r="AM10062">
        <v>81.035572708983395</v>
      </c>
      <c r="AN10062">
        <v>1.0000000462483301</v>
      </c>
    </row>
    <row r="10063" spans="1:40" x14ac:dyDescent="0.25">
      <c r="A10063" t="str">
        <f>"20190303162145342"</f>
        <v>20190303162145342</v>
      </c>
      <c r="B10063" t="str">
        <f>"1551601305332283"</f>
        <v>1551601305332283</v>
      </c>
      <c r="C10063" t="s">
        <v>40</v>
      </c>
      <c r="D10063">
        <v>5.0527879999999996</v>
      </c>
      <c r="E10063">
        <v>0.50553269999999995</v>
      </c>
      <c r="F10063" t="s">
        <v>50</v>
      </c>
      <c r="G10063">
        <v>-180.40289999999999</v>
      </c>
      <c r="H10063" s="1">
        <v>-5.5241789999999996E-6</v>
      </c>
      <c r="I10063">
        <v>129.9853</v>
      </c>
      <c r="J10063">
        <v>-187.3057</v>
      </c>
      <c r="K10063">
        <v>1.12178</v>
      </c>
      <c r="L10063">
        <v>94.015320000000003</v>
      </c>
      <c r="M10063">
        <v>1.7063700000000001E-2</v>
      </c>
      <c r="N10063">
        <v>-1.541169E-2</v>
      </c>
      <c r="O10063">
        <v>0.99973559999999995</v>
      </c>
      <c r="P10063">
        <v>0.17125879999999999</v>
      </c>
      <c r="Q10063">
        <v>0.16450719999999999</v>
      </c>
      <c r="R10063">
        <v>0.9713948</v>
      </c>
      <c r="S10063">
        <v>0.57229609999999997</v>
      </c>
      <c r="T10063">
        <v>-9.2939140000000003E-2</v>
      </c>
      <c r="U10063">
        <v>3.0034480000000001</v>
      </c>
      <c r="V10063">
        <v>0.15466299999999999</v>
      </c>
      <c r="W10063">
        <v>0.1794955</v>
      </c>
      <c r="X10063">
        <v>0.97152499999999997</v>
      </c>
      <c r="Y10063">
        <v>0.1703065</v>
      </c>
      <c r="Z10063">
        <v>-1.503999E-2</v>
      </c>
      <c r="AA10063">
        <v>0.98527629999999999</v>
      </c>
      <c r="AB10063">
        <v>30</v>
      </c>
      <c r="AC10063">
        <v>6.9028000000000098</v>
      </c>
      <c r="AD10063">
        <v>-1.121785524179</v>
      </c>
      <c r="AE10063">
        <v>35.96998</v>
      </c>
      <c r="AF10063">
        <v>6.2820479107142599</v>
      </c>
      <c r="AG10063">
        <v>-1.121785524179</v>
      </c>
      <c r="AH10063">
        <v>36.048726947412803</v>
      </c>
      <c r="AI10063">
        <v>91.755942365859596</v>
      </c>
      <c r="AJ10063">
        <v>80.114595149204206</v>
      </c>
      <c r="AK10063">
        <v>36.609196156756802</v>
      </c>
      <c r="AL10063">
        <v>79.659625047798301</v>
      </c>
      <c r="AM10063">
        <v>80.954638560045893</v>
      </c>
      <c r="AN10063">
        <v>1.0000000518571199</v>
      </c>
    </row>
    <row r="10064" spans="1:40" x14ac:dyDescent="0.25">
      <c r="A10064" t="str">
        <f>"20190303162145364"</f>
        <v>20190303162145364</v>
      </c>
      <c r="B10064" t="str">
        <f>"1551601305352780"</f>
        <v>1551601305352780</v>
      </c>
      <c r="C10064" t="s">
        <v>40</v>
      </c>
      <c r="D10064">
        <v>5.1887569999999998</v>
      </c>
      <c r="E10064">
        <v>0.50408989999999998</v>
      </c>
      <c r="F10064" t="s">
        <v>50</v>
      </c>
      <c r="G10064">
        <v>-179.89599999999999</v>
      </c>
      <c r="H10064" s="1">
        <v>-6.8809630000000003E-6</v>
      </c>
      <c r="I10064">
        <v>133.8699</v>
      </c>
      <c r="J10064">
        <v>-187.30070000000001</v>
      </c>
      <c r="K10064">
        <v>1.1217809999999999</v>
      </c>
      <c r="L10064">
        <v>94.310789999999997</v>
      </c>
      <c r="M10064">
        <v>1.706367E-2</v>
      </c>
      <c r="N10064">
        <v>-1.5408689999999999E-2</v>
      </c>
      <c r="O10064">
        <v>0.9997357</v>
      </c>
      <c r="P10064">
        <v>0.17237130000000001</v>
      </c>
      <c r="Q10064">
        <v>0.16444710000000001</v>
      </c>
      <c r="R10064">
        <v>0.97120819999999997</v>
      </c>
      <c r="S10064">
        <v>0.55853269999999899</v>
      </c>
      <c r="T10064">
        <v>-8.4558610000000006E-2</v>
      </c>
      <c r="U10064">
        <v>3.004181</v>
      </c>
      <c r="V10064">
        <v>0.15577859999999999</v>
      </c>
      <c r="W10064">
        <v>0.1794299</v>
      </c>
      <c r="X10064">
        <v>0.97135879999999997</v>
      </c>
      <c r="Y10064">
        <v>0.165913</v>
      </c>
      <c r="Z10064">
        <v>-1.231583E-2</v>
      </c>
      <c r="AA10064">
        <v>0.98606349999999998</v>
      </c>
      <c r="AB10064">
        <v>30</v>
      </c>
      <c r="AC10064">
        <v>7.4047000000000098</v>
      </c>
      <c r="AD10064">
        <v>-1.121787880963</v>
      </c>
      <c r="AE10064">
        <v>39.559109999999997</v>
      </c>
      <c r="AF10064">
        <v>6.7232945122215799</v>
      </c>
      <c r="AG10064">
        <v>-1.121787880963</v>
      </c>
      <c r="AH10064">
        <v>39.648911597573097</v>
      </c>
      <c r="AI10064">
        <v>91.597841448969405</v>
      </c>
      <c r="AJ10064">
        <v>80.375861418029103</v>
      </c>
      <c r="AK10064">
        <v>40.230551674319699</v>
      </c>
      <c r="AL10064">
        <v>79.6634450308689</v>
      </c>
      <c r="AM10064">
        <v>80.888951101258797</v>
      </c>
      <c r="AN10064">
        <v>0.99999998978470495</v>
      </c>
    </row>
    <row r="10065" spans="1:40" x14ac:dyDescent="0.25">
      <c r="A10065" t="str">
        <f>"20190303162145387"</f>
        <v>20190303162145387</v>
      </c>
      <c r="B10065" t="str">
        <f>"1551601305383036"</f>
        <v>1551601305383036</v>
      </c>
      <c r="C10065" t="s">
        <v>40</v>
      </c>
      <c r="D10065">
        <v>5.1326479999999997</v>
      </c>
      <c r="E10065">
        <v>0.50295009999999996</v>
      </c>
      <c r="F10065" t="s">
        <v>50</v>
      </c>
      <c r="G10065">
        <v>-179.45869999999999</v>
      </c>
      <c r="H10065" s="1">
        <v>-7.7334809999999994E-6</v>
      </c>
      <c r="I10065">
        <v>137.0865</v>
      </c>
      <c r="J10065">
        <v>-187.2955</v>
      </c>
      <c r="K10065">
        <v>1.1217809999999999</v>
      </c>
      <c r="L10065">
        <v>94.612520000000004</v>
      </c>
      <c r="M10065">
        <v>1.706365E-2</v>
      </c>
      <c r="N10065">
        <v>-1.540505E-2</v>
      </c>
      <c r="O10065">
        <v>0.9997357</v>
      </c>
      <c r="P10065">
        <v>0.1714067</v>
      </c>
      <c r="Q10065">
        <v>0.16407939999999999</v>
      </c>
      <c r="R10065">
        <v>0.971441</v>
      </c>
      <c r="S10065">
        <v>0.55081179999999996</v>
      </c>
      <c r="T10065">
        <v>-7.8793050000000003E-2</v>
      </c>
      <c r="U10065">
        <v>3.0045169999999999</v>
      </c>
      <c r="V10065">
        <v>0.15481</v>
      </c>
      <c r="W10065">
        <v>0.1790621</v>
      </c>
      <c r="X10065">
        <v>0.97158149999999999</v>
      </c>
      <c r="Y10065">
        <v>0.16344929999999999</v>
      </c>
      <c r="Z10065">
        <v>-1.0439830000000001E-2</v>
      </c>
      <c r="AA10065">
        <v>0.9864965</v>
      </c>
      <c r="AB10065">
        <v>30</v>
      </c>
      <c r="AC10065">
        <v>7.83680000000001</v>
      </c>
      <c r="AD10065">
        <v>-1.1217887334809999</v>
      </c>
      <c r="AE10065">
        <v>42.473979999999997</v>
      </c>
      <c r="AF10065">
        <v>7.1060179509690302</v>
      </c>
      <c r="AG10065">
        <v>-1.1217887334809999</v>
      </c>
      <c r="AH10065">
        <v>42.572815794417103</v>
      </c>
      <c r="AI10065">
        <v>91.488800469517997</v>
      </c>
      <c r="AJ10065">
        <v>80.523865347781594</v>
      </c>
      <c r="AK10065">
        <v>43.176365592155001</v>
      </c>
      <c r="AL10065">
        <v>79.684865353445204</v>
      </c>
      <c r="AM10065">
        <v>80.946701482616504</v>
      </c>
      <c r="AN10065">
        <v>0.99999999144932905</v>
      </c>
    </row>
    <row r="10066" spans="1:40" x14ac:dyDescent="0.25">
      <c r="A10066" t="str">
        <f>"20190303162145410"</f>
        <v>20190303162145410</v>
      </c>
      <c r="B10066" t="str">
        <f>"1551601305402556"</f>
        <v>1551601305402556</v>
      </c>
      <c r="C10066" t="s">
        <v>40</v>
      </c>
      <c r="D10066">
        <v>5.0385200000000001</v>
      </c>
      <c r="E10066">
        <v>0.50274640000000004</v>
      </c>
      <c r="F10066" t="s">
        <v>50</v>
      </c>
      <c r="G10066">
        <v>-179.17080000000001</v>
      </c>
      <c r="H10066" s="1">
        <v>-8.5137669999999994E-6</v>
      </c>
      <c r="I10066">
        <v>139.84780000000001</v>
      </c>
      <c r="J10066">
        <v>-187.29040000000001</v>
      </c>
      <c r="K10066">
        <v>1.1217779999999999</v>
      </c>
      <c r="L10066">
        <v>94.912719999999993</v>
      </c>
      <c r="M10066">
        <v>1.706365E-2</v>
      </c>
      <c r="N10066">
        <v>-1.540088E-2</v>
      </c>
      <c r="O10066">
        <v>0.99973579999999995</v>
      </c>
      <c r="P10066">
        <v>0.17149619999999999</v>
      </c>
      <c r="Q10066">
        <v>0.16335069999999999</v>
      </c>
      <c r="R10066">
        <v>0.97154810000000003</v>
      </c>
      <c r="S10066">
        <v>0.53982540000000001</v>
      </c>
      <c r="T10066">
        <v>-7.4533940000000007E-2</v>
      </c>
      <c r="U10066">
        <v>3.0055239999999999</v>
      </c>
      <c r="V10066">
        <v>0.1548977</v>
      </c>
      <c r="W10066">
        <v>0.17833109999999999</v>
      </c>
      <c r="X10066">
        <v>0.97170199999999995</v>
      </c>
      <c r="Y10066">
        <v>0.15990370000000001</v>
      </c>
      <c r="Z10066">
        <v>-9.0553730000000002E-3</v>
      </c>
      <c r="AA10066">
        <v>0.9870911</v>
      </c>
      <c r="AB10066">
        <v>30</v>
      </c>
      <c r="AC10066">
        <v>8.1195999999999895</v>
      </c>
      <c r="AD10066">
        <v>-1.121786513767</v>
      </c>
      <c r="AE10066">
        <v>44.935079999999999</v>
      </c>
      <c r="AF10066">
        <v>7.3471359469053201</v>
      </c>
      <c r="AG10066">
        <v>-1.121786513767</v>
      </c>
      <c r="AH10066">
        <v>45.039919835478102</v>
      </c>
      <c r="AI10066">
        <v>91.408137590250803</v>
      </c>
      <c r="AJ10066">
        <v>80.735229836685306</v>
      </c>
      <c r="AK10066">
        <v>45.649021790078699</v>
      </c>
      <c r="AL10066">
        <v>79.727434117788803</v>
      </c>
      <c r="AM10066">
        <v>80.942762488996806</v>
      </c>
      <c r="AN10066">
        <v>1.0000000277482399</v>
      </c>
    </row>
    <row r="10067" spans="1:40" x14ac:dyDescent="0.25">
      <c r="A10067" t="str">
        <f>"20190303162145422"</f>
        <v>20190303162145422</v>
      </c>
      <c r="B10067" t="str">
        <f>"1551601305412316"</f>
        <v>1551601305412316</v>
      </c>
      <c r="C10067" t="s">
        <v>40</v>
      </c>
      <c r="D10067">
        <v>4.940302</v>
      </c>
      <c r="E10067">
        <v>0.50276809999999905</v>
      </c>
      <c r="F10067" t="s">
        <v>50</v>
      </c>
      <c r="G10067">
        <v>-179.29640000000001</v>
      </c>
      <c r="H10067" s="1">
        <v>-8.4752119999999992E-6</v>
      </c>
      <c r="I10067">
        <v>139.4965</v>
      </c>
      <c r="J10067">
        <v>-187.28739999999999</v>
      </c>
      <c r="K10067">
        <v>1.1217760000000001</v>
      </c>
      <c r="L10067">
        <v>95.085359999999994</v>
      </c>
      <c r="M10067">
        <v>1.706365E-2</v>
      </c>
      <c r="N10067">
        <v>-1.539834E-2</v>
      </c>
      <c r="O10067">
        <v>0.99973579999999995</v>
      </c>
      <c r="P10067">
        <v>0.1722921</v>
      </c>
      <c r="Q10067">
        <v>0.16300909999999999</v>
      </c>
      <c r="R10067">
        <v>0.97146460000000001</v>
      </c>
      <c r="S10067">
        <v>0.53887940000000001</v>
      </c>
      <c r="T10067">
        <v>-7.5620530000000005E-2</v>
      </c>
      <c r="U10067">
        <v>3.0054319999999999</v>
      </c>
      <c r="V10067">
        <v>0.1556949</v>
      </c>
      <c r="W10067">
        <v>0.17798629999999999</v>
      </c>
      <c r="X10067">
        <v>0.9716378</v>
      </c>
      <c r="Y10067">
        <v>0.159607</v>
      </c>
      <c r="Z10067">
        <v>-9.4159410000000006E-3</v>
      </c>
      <c r="AA10067">
        <v>0.98713569999999995</v>
      </c>
      <c r="AB10067">
        <v>30</v>
      </c>
      <c r="AC10067">
        <v>7.9909999999999801</v>
      </c>
      <c r="AD10067">
        <v>-1.1217844752120001</v>
      </c>
      <c r="AE10067">
        <v>44.411140000000003</v>
      </c>
      <c r="AF10067">
        <v>7.2274635864557402</v>
      </c>
      <c r="AG10067">
        <v>-1.1217844752120001</v>
      </c>
      <c r="AH10067">
        <v>44.513534319225798</v>
      </c>
      <c r="AI10067">
        <v>91.424951309603003</v>
      </c>
      <c r="AJ10067">
        <v>80.777620271826805</v>
      </c>
      <c r="AK10067">
        <v>45.1104130760434</v>
      </c>
      <c r="AL10067">
        <v>79.747510810950004</v>
      </c>
      <c r="AM10067">
        <v>80.896335441617794</v>
      </c>
      <c r="AN10067">
        <v>1.00000001963126</v>
      </c>
    </row>
    <row r="10068" spans="1:40" x14ac:dyDescent="0.25">
      <c r="A10068" t="str">
        <f>"20190303162145435"</f>
        <v>20190303162145435</v>
      </c>
      <c r="B10068" t="str">
        <f>"1551601305423052"</f>
        <v>1551601305423052</v>
      </c>
      <c r="C10068" t="s">
        <v>40</v>
      </c>
      <c r="D10068">
        <v>4.890771</v>
      </c>
      <c r="E10068">
        <v>0.50262249999999997</v>
      </c>
      <c r="F10068" t="s">
        <v>50</v>
      </c>
      <c r="G10068">
        <v>-179.3493</v>
      </c>
      <c r="H10068" s="1">
        <v>-8.3713989999999998E-6</v>
      </c>
      <c r="I10068">
        <v>139.10560000000001</v>
      </c>
      <c r="J10068">
        <v>-187.28450000000001</v>
      </c>
      <c r="K10068">
        <v>1.121774</v>
      </c>
      <c r="L10068">
        <v>95.254639999999995</v>
      </c>
      <c r="M10068">
        <v>1.706363E-2</v>
      </c>
      <c r="N10068">
        <v>-1.539573E-2</v>
      </c>
      <c r="O10068">
        <v>0.99973590000000001</v>
      </c>
      <c r="P10068">
        <v>0.1731907</v>
      </c>
      <c r="Q10068">
        <v>0.16291269999999999</v>
      </c>
      <c r="R10068">
        <v>0.97132099999999999</v>
      </c>
      <c r="S10068">
        <v>0.54187010000000002</v>
      </c>
      <c r="T10068">
        <v>-7.657456E-2</v>
      </c>
      <c r="U10068">
        <v>3.004883</v>
      </c>
      <c r="V10068">
        <v>0.15659589999999901</v>
      </c>
      <c r="W10068">
        <v>0.17788489999999901</v>
      </c>
      <c r="X10068">
        <v>0.97151149999999997</v>
      </c>
      <c r="Y10068">
        <v>0.1605888</v>
      </c>
      <c r="Z10068">
        <v>-9.731623E-3</v>
      </c>
      <c r="AA10068">
        <v>0.9869734</v>
      </c>
      <c r="AB10068">
        <v>30</v>
      </c>
      <c r="AC10068">
        <v>7.9352</v>
      </c>
      <c r="AD10068">
        <v>-1.1217823713990001</v>
      </c>
      <c r="AE10068">
        <v>43.850960000000001</v>
      </c>
      <c r="AF10068">
        <v>7.18114867591013</v>
      </c>
      <c r="AG10068">
        <v>-1.1217823713990001</v>
      </c>
      <c r="AH10068">
        <v>43.952142092220299</v>
      </c>
      <c r="AI10068">
        <v>91.442908119729495</v>
      </c>
      <c r="AJ10068">
        <v>80.720682976724206</v>
      </c>
      <c r="AK10068">
        <v>44.5490525880072</v>
      </c>
      <c r="AL10068">
        <v>79.753414139390699</v>
      </c>
      <c r="AM10068">
        <v>80.843372549712299</v>
      </c>
      <c r="AN10068">
        <v>0.99999995408853304</v>
      </c>
    </row>
    <row r="10069" spans="1:40" x14ac:dyDescent="0.25">
      <c r="A10069" t="str">
        <f>"20190303162145455"</f>
        <v>20190303162145455</v>
      </c>
      <c r="B10069" t="str">
        <f>"1551601305442574"</f>
        <v>1551601305442574</v>
      </c>
      <c r="C10069" t="s">
        <v>40</v>
      </c>
      <c r="D10069">
        <v>5.0821160000000001</v>
      </c>
      <c r="E10069">
        <v>0.50248029999999999</v>
      </c>
      <c r="F10069" t="s">
        <v>50</v>
      </c>
      <c r="G10069">
        <v>-179.30860000000001</v>
      </c>
      <c r="H10069" s="1">
        <v>-8.425535E-6</v>
      </c>
      <c r="I10069">
        <v>139.33279999999999</v>
      </c>
      <c r="J10069">
        <v>-187.28020000000001</v>
      </c>
      <c r="K10069">
        <v>1.121767</v>
      </c>
      <c r="L10069">
        <v>95.506559999999993</v>
      </c>
      <c r="M10069">
        <v>1.7063620000000002E-2</v>
      </c>
      <c r="N10069">
        <v>-1.53916E-2</v>
      </c>
      <c r="O10069">
        <v>0.99973599999999996</v>
      </c>
      <c r="P10069">
        <v>0.17482990000000001</v>
      </c>
      <c r="Q10069">
        <v>0.16184079999999901</v>
      </c>
      <c r="R10069">
        <v>0.97120649999999997</v>
      </c>
      <c r="S10069">
        <v>0.54365540000000001</v>
      </c>
      <c r="T10069">
        <v>-7.646298E-2</v>
      </c>
      <c r="U10069">
        <v>3.0044559999999998</v>
      </c>
      <c r="V10069">
        <v>0.15823679999999901</v>
      </c>
      <c r="W10069">
        <v>0.17680789999999999</v>
      </c>
      <c r="X10069">
        <v>0.97144229999999998</v>
      </c>
      <c r="Y10069">
        <v>0.16118109999999999</v>
      </c>
      <c r="Z10069">
        <v>-9.700228E-3</v>
      </c>
      <c r="AA10069">
        <v>0.98687709999999995</v>
      </c>
      <c r="AB10069">
        <v>30</v>
      </c>
      <c r="AC10069">
        <v>7.9715999999999898</v>
      </c>
      <c r="AD10069">
        <v>-1.1217754255350001</v>
      </c>
      <c r="AE10069">
        <v>43.826239999999999</v>
      </c>
      <c r="AF10069">
        <v>7.2179388350180602</v>
      </c>
      <c r="AG10069">
        <v>-1.1217754255350001</v>
      </c>
      <c r="AH10069">
        <v>43.928040133035303</v>
      </c>
      <c r="AI10069">
        <v>91.443477052627898</v>
      </c>
      <c r="AJ10069">
        <v>80.668949807309801</v>
      </c>
      <c r="AK10069">
        <v>44.531221980324702</v>
      </c>
      <c r="AL10069">
        <v>79.816116397577204</v>
      </c>
      <c r="AM10069">
        <v>80.748427144607902</v>
      </c>
      <c r="AN10069">
        <v>1.0000000303029599</v>
      </c>
    </row>
    <row r="10070" spans="1:40" x14ac:dyDescent="0.25">
      <c r="A10070" t="str">
        <f>"20190303162145478"</f>
        <v>20190303162145478</v>
      </c>
      <c r="B10070" t="str">
        <f>"1551601305472828"</f>
        <v>1551601305472828</v>
      </c>
      <c r="C10070" t="s">
        <v>40</v>
      </c>
      <c r="D10070">
        <v>5.2297560000000001</v>
      </c>
      <c r="E10070">
        <v>0.53315630000000003</v>
      </c>
      <c r="F10070" t="s">
        <v>50</v>
      </c>
      <c r="G10070">
        <v>-179.44630000000001</v>
      </c>
      <c r="H10070" s="1">
        <v>-8.2075549999999994E-6</v>
      </c>
      <c r="I10070">
        <v>138.46420000000001</v>
      </c>
      <c r="J10070">
        <v>-187.27500000000001</v>
      </c>
      <c r="K10070">
        <v>1.1217649999999999</v>
      </c>
      <c r="L10070">
        <v>95.813659999999999</v>
      </c>
      <c r="M10070">
        <v>1.7063620000000002E-2</v>
      </c>
      <c r="N10070">
        <v>-1.5386230000000001E-2</v>
      </c>
      <c r="O10070">
        <v>0.99973599999999996</v>
      </c>
      <c r="P10070">
        <v>0.17786759999999999</v>
      </c>
      <c r="Q10070">
        <v>0.160670799999999</v>
      </c>
      <c r="R10070">
        <v>0.97084910000000002</v>
      </c>
      <c r="S10070">
        <v>0.54771419999999904</v>
      </c>
      <c r="T10070">
        <v>-7.8429700000000005E-2</v>
      </c>
      <c r="U10070">
        <v>3.0034179999999999</v>
      </c>
      <c r="V10070">
        <v>0.16128010000000001</v>
      </c>
      <c r="W10070">
        <v>0.1756279</v>
      </c>
      <c r="X10070">
        <v>0.97115580000000001</v>
      </c>
      <c r="Y10070">
        <v>0.16252939999999999</v>
      </c>
      <c r="Z10070">
        <v>-1.0353050000000001E-2</v>
      </c>
      <c r="AA10070">
        <v>0.98664940000000001</v>
      </c>
      <c r="AB10070">
        <v>29</v>
      </c>
      <c r="AC10070">
        <v>7.8286999999999898</v>
      </c>
      <c r="AD10070">
        <v>-1.121773207555</v>
      </c>
      <c r="AE10070">
        <v>42.650539999999999</v>
      </c>
      <c r="AF10070">
        <v>7.0949530454100502</v>
      </c>
      <c r="AG10070">
        <v>-1.121773207555</v>
      </c>
      <c r="AH10070">
        <v>42.749321879402601</v>
      </c>
      <c r="AI10070">
        <v>91.482863202924193</v>
      </c>
      <c r="AJ10070">
        <v>80.576717560352805</v>
      </c>
      <c r="AK10070">
        <v>43.348601534473197</v>
      </c>
      <c r="AL10070">
        <v>79.884800021773501</v>
      </c>
      <c r="AM10070">
        <v>80.570928814847704</v>
      </c>
      <c r="AN10070">
        <v>1.00000000889403</v>
      </c>
    </row>
    <row r="10071" spans="1:40" x14ac:dyDescent="0.25">
      <c r="A10071" t="str">
        <f>"20190303162145500"</f>
        <v>20190303162145500</v>
      </c>
      <c r="B10071" t="str">
        <f>"1551601305492348"</f>
        <v>1551601305492348</v>
      </c>
      <c r="C10071" t="s">
        <v>40</v>
      </c>
      <c r="D10071">
        <v>5.1238570000000001</v>
      </c>
      <c r="E10071">
        <v>0.61351299999999998</v>
      </c>
      <c r="F10071" t="s">
        <v>50</v>
      </c>
      <c r="G10071">
        <v>-173.90010000000001</v>
      </c>
      <c r="H10071" s="1">
        <v>-7.2046100000000003E-6</v>
      </c>
      <c r="I10071">
        <v>145.35679999999999</v>
      </c>
      <c r="J10071">
        <v>-187.27010000000001</v>
      </c>
      <c r="K10071">
        <v>1.121758</v>
      </c>
      <c r="L10071">
        <v>96.101100000000002</v>
      </c>
      <c r="M10071">
        <v>1.7063599999999901E-2</v>
      </c>
      <c r="N10071">
        <v>-1.5380970000000001E-2</v>
      </c>
      <c r="O10071">
        <v>0.99973610000000002</v>
      </c>
      <c r="P10071">
        <v>0.18342159999999999</v>
      </c>
      <c r="Q10071">
        <v>0.15885279999999999</v>
      </c>
      <c r="R10071">
        <v>0.97011460000000005</v>
      </c>
      <c r="S10071">
        <v>0.79774480000000003</v>
      </c>
      <c r="T10071">
        <v>-6.6907759999999997E-2</v>
      </c>
      <c r="U10071">
        <v>2.954987</v>
      </c>
      <c r="V10071">
        <v>0.16684579999999999</v>
      </c>
      <c r="W10071">
        <v>0.17379500000000001</v>
      </c>
      <c r="X10071">
        <v>0.97054510000000005</v>
      </c>
      <c r="Y10071">
        <v>0.24404690000000001</v>
      </c>
      <c r="Z10071">
        <v>-6.5525979999999998E-3</v>
      </c>
      <c r="AA10071">
        <v>0.96974130000000003</v>
      </c>
      <c r="AB10071">
        <v>29</v>
      </c>
      <c r="AC10071">
        <v>13.37</v>
      </c>
      <c r="AD10071">
        <v>-1.12176520461</v>
      </c>
      <c r="AE10071">
        <v>49.255699999999898</v>
      </c>
      <c r="AF10071">
        <v>12.5214251479214</v>
      </c>
      <c r="AG10071">
        <v>-1.12176520461</v>
      </c>
      <c r="AH10071">
        <v>49.452804802978697</v>
      </c>
      <c r="AI10071">
        <v>91.259709557512295</v>
      </c>
      <c r="AJ10071">
        <v>75.791352727455703</v>
      </c>
      <c r="AK10071">
        <v>51.025722413217999</v>
      </c>
      <c r="AL10071">
        <v>79.9914578858493</v>
      </c>
      <c r="AM10071">
        <v>80.245662128636198</v>
      </c>
      <c r="AN10071">
        <v>1.0000000070683199</v>
      </c>
    </row>
    <row r="10072" spans="1:40" x14ac:dyDescent="0.25">
      <c r="A10072" t="str">
        <f>"20190303162145514"</f>
        <v>20190303162145514</v>
      </c>
      <c r="B10072" t="str">
        <f>"1551601305503084"</f>
        <v>1551601305503084</v>
      </c>
      <c r="C10072" t="s">
        <v>40</v>
      </c>
      <c r="D10072">
        <v>5.0560390000000002</v>
      </c>
      <c r="E10072">
        <v>0.61351299999999998</v>
      </c>
      <c r="F10072" t="s">
        <v>41</v>
      </c>
      <c r="G10072">
        <v>-176.94710000000001</v>
      </c>
      <c r="H10072">
        <v>7.9986009999999996E-2</v>
      </c>
      <c r="I10072">
        <v>116.39700000000001</v>
      </c>
      <c r="J10072">
        <v>-187.26689999999999</v>
      </c>
      <c r="K10072">
        <v>1.121759</v>
      </c>
      <c r="L10072">
        <v>96.286959999999993</v>
      </c>
      <c r="M10072">
        <v>1.706357E-2</v>
      </c>
      <c r="N10072">
        <v>-1.5377439999999999E-2</v>
      </c>
      <c r="O10072">
        <v>0.99973610000000002</v>
      </c>
      <c r="P10072">
        <v>0.18767809999999999</v>
      </c>
      <c r="Q10072">
        <v>0.1579865</v>
      </c>
      <c r="R10072">
        <v>0.96944169999999996</v>
      </c>
      <c r="S10072">
        <v>1.4459839999999999</v>
      </c>
      <c r="T10072">
        <v>-0.1459252</v>
      </c>
      <c r="U10072">
        <v>2.8429259999999998</v>
      </c>
      <c r="V10072">
        <v>0.17111309999999999</v>
      </c>
      <c r="W10072">
        <v>0.17291579999999901</v>
      </c>
      <c r="X10072">
        <v>0.96995900000000002</v>
      </c>
      <c r="Y10072">
        <v>0.43767099999999998</v>
      </c>
      <c r="Z10072">
        <v>-3.0574110000000002E-2</v>
      </c>
      <c r="AA10072">
        <v>0.89861519999999995</v>
      </c>
      <c r="AB10072">
        <v>29</v>
      </c>
      <c r="AC10072">
        <v>10.319799999999899</v>
      </c>
      <c r="AD10072">
        <v>-1.0417729899999999</v>
      </c>
      <c r="AE10072">
        <v>20.110040000000001</v>
      </c>
      <c r="AF10072">
        <v>9.9539630427683203</v>
      </c>
      <c r="AG10072">
        <v>-1.0417729899999999</v>
      </c>
      <c r="AH10072">
        <v>20.2402301202956</v>
      </c>
      <c r="AI10072">
        <v>92.644452110401701</v>
      </c>
      <c r="AJ10072">
        <v>63.812455730980503</v>
      </c>
      <c r="AK10072">
        <v>22.579494824774301</v>
      </c>
      <c r="AL10072">
        <v>80.042606837367899</v>
      </c>
      <c r="AM10072">
        <v>79.995236014157598</v>
      </c>
      <c r="AN10072">
        <v>1.0000000142811201</v>
      </c>
    </row>
    <row r="10073" spans="1:40" x14ac:dyDescent="0.25">
      <c r="A10073" t="str">
        <f>"20190303162145531"</f>
        <v>20190303162145531</v>
      </c>
      <c r="B10073" t="str">
        <f>"1551601305522604"</f>
        <v>1551601305522604</v>
      </c>
      <c r="C10073" t="s">
        <v>40</v>
      </c>
      <c r="D10073">
        <v>5.4013499999999999</v>
      </c>
      <c r="E10073">
        <v>0.67610909999999902</v>
      </c>
      <c r="F10073" t="s">
        <v>41</v>
      </c>
      <c r="G10073">
        <v>-176.97739999999999</v>
      </c>
      <c r="H10073">
        <v>7.9985979999999998E-2</v>
      </c>
      <c r="I10073">
        <v>116.29049999999999</v>
      </c>
      <c r="J10073">
        <v>-187.2629</v>
      </c>
      <c r="K10073">
        <v>1.1217549999999901</v>
      </c>
      <c r="L10073">
        <v>96.515749999999997</v>
      </c>
      <c r="M10073">
        <v>1.706353E-2</v>
      </c>
      <c r="N10073">
        <v>-1.537299E-2</v>
      </c>
      <c r="O10073">
        <v>0.99973619999999996</v>
      </c>
      <c r="P10073">
        <v>0.19708909999999999</v>
      </c>
      <c r="Q10073">
        <v>0.15763849999999999</v>
      </c>
      <c r="R10073">
        <v>0.96762910000000002</v>
      </c>
      <c r="S10073">
        <v>1.4589080000000001</v>
      </c>
      <c r="T10073">
        <v>-0.1477087</v>
      </c>
      <c r="U10073">
        <v>2.8362120000000002</v>
      </c>
      <c r="V10073">
        <v>0.18055360000000001</v>
      </c>
      <c r="W10073">
        <v>0.1725382</v>
      </c>
      <c r="X10073">
        <v>0.96831350000000005</v>
      </c>
      <c r="Y10073">
        <v>0.44175789999999998</v>
      </c>
      <c r="Z10073">
        <v>-3.114229E-2</v>
      </c>
      <c r="AA10073">
        <v>0.89659359999999999</v>
      </c>
      <c r="AB10073">
        <v>29</v>
      </c>
      <c r="AC10073">
        <v>10.285500000000001</v>
      </c>
      <c r="AD10073">
        <v>-1.0417690199999901</v>
      </c>
      <c r="AE10073">
        <v>19.774750000000001</v>
      </c>
      <c r="AF10073">
        <v>9.9248553273345692</v>
      </c>
      <c r="AG10073">
        <v>-1.0417690199999901</v>
      </c>
      <c r="AH10073">
        <v>19.903919729386899</v>
      </c>
      <c r="AI10073">
        <v>92.681757575656505</v>
      </c>
      <c r="AJ10073">
        <v>63.4974017017759</v>
      </c>
      <c r="AK10073">
        <v>22.265535173299298</v>
      </c>
      <c r="AL10073">
        <v>80.064572057613802</v>
      </c>
      <c r="AM10073">
        <v>79.437812797246806</v>
      </c>
      <c r="AN10073">
        <v>1.0000000336072199</v>
      </c>
    </row>
    <row r="10074" spans="1:40" x14ac:dyDescent="0.25">
      <c r="A10074" t="str">
        <f>"20190303162145546"</f>
        <v>20190303162145546</v>
      </c>
      <c r="B10074" t="str">
        <f>"1551601305543100"</f>
        <v>1551601305543100</v>
      </c>
      <c r="C10074" t="s">
        <v>40</v>
      </c>
      <c r="D10074">
        <v>5.376684</v>
      </c>
      <c r="E10074">
        <v>0.66019709999999998</v>
      </c>
      <c r="F10074" t="s">
        <v>41</v>
      </c>
      <c r="G10074">
        <v>-179.95779999999999</v>
      </c>
      <c r="H10074">
        <v>3.5176739999999998E-2</v>
      </c>
      <c r="I10074">
        <v>106.649</v>
      </c>
      <c r="J10074">
        <v>-187.25970000000001</v>
      </c>
      <c r="K10074">
        <v>1.121761</v>
      </c>
      <c r="L10074">
        <v>96.702389999999994</v>
      </c>
      <c r="M10074">
        <v>1.706351E-2</v>
      </c>
      <c r="N10074">
        <v>-1.5369320000000001E-2</v>
      </c>
      <c r="O10074">
        <v>0.99973619999999996</v>
      </c>
      <c r="P10074">
        <v>0.20174590000000001</v>
      </c>
      <c r="Q10074">
        <v>0.15791920000000001</v>
      </c>
      <c r="R10074">
        <v>0.96662309999999996</v>
      </c>
      <c r="S10074">
        <v>1.9790650000000001</v>
      </c>
      <c r="T10074">
        <v>-0.29436790000000002</v>
      </c>
      <c r="U10074">
        <v>2.7452390000000002</v>
      </c>
      <c r="V10074">
        <v>0.18522710000000001</v>
      </c>
      <c r="W10074">
        <v>0.17280029999999999</v>
      </c>
      <c r="X10074">
        <v>0.96738360000000001</v>
      </c>
      <c r="Y10074">
        <v>0.56895169999999995</v>
      </c>
      <c r="Z10074">
        <v>-7.1874980000000005E-2</v>
      </c>
      <c r="AA10074">
        <v>0.81922399999999995</v>
      </c>
      <c r="AB10074">
        <v>29</v>
      </c>
      <c r="AC10074">
        <v>7.3019000000000096</v>
      </c>
      <c r="AD10074">
        <v>-1.08658426</v>
      </c>
      <c r="AE10074">
        <v>9.9466099999999908</v>
      </c>
      <c r="AF10074">
        <v>7.0762189879399804</v>
      </c>
      <c r="AG10074">
        <v>-1.08658426</v>
      </c>
      <c r="AH10074">
        <v>9.9922857174964399</v>
      </c>
      <c r="AI10074">
        <v>95.071331579668495</v>
      </c>
      <c r="AJ10074">
        <v>54.695087397324698</v>
      </c>
      <c r="AK10074">
        <v>12.292246107992</v>
      </c>
      <c r="AL10074">
        <v>80.049325756447999</v>
      </c>
      <c r="AM10074">
        <v>79.160641126785094</v>
      </c>
      <c r="AN10074">
        <v>1.0000000259017201</v>
      </c>
    </row>
    <row r="10075" spans="1:40" x14ac:dyDescent="0.25">
      <c r="A10075" t="str">
        <f>"20190303162145559"</f>
        <v>20190303162145559</v>
      </c>
      <c r="B10075" t="str">
        <f>"1551601305552861"</f>
        <v>1551601305552861</v>
      </c>
      <c r="C10075" t="s">
        <v>40</v>
      </c>
      <c r="D10075">
        <v>5.0332140000000001</v>
      </c>
      <c r="E10075">
        <v>0.66374580000000005</v>
      </c>
      <c r="F10075" t="s">
        <v>41</v>
      </c>
      <c r="G10075">
        <v>-181.50049999999999</v>
      </c>
      <c r="H10075" s="1">
        <v>-4.1644530000000003E-6</v>
      </c>
      <c r="I10075">
        <v>105.24</v>
      </c>
      <c r="J10075">
        <v>-187.2567</v>
      </c>
      <c r="K10075">
        <v>1.121764</v>
      </c>
      <c r="L10075">
        <v>96.881320000000002</v>
      </c>
      <c r="M10075">
        <v>1.7063490000000001E-2</v>
      </c>
      <c r="N10075">
        <v>-1.5365729999999999E-2</v>
      </c>
      <c r="O10075">
        <v>0.99973630000000002</v>
      </c>
      <c r="P10075">
        <v>0.2058798</v>
      </c>
      <c r="Q10075">
        <v>0.15832260000000001</v>
      </c>
      <c r="R10075">
        <v>0.96568500000000002</v>
      </c>
      <c r="S10075">
        <v>1.8703920000000001</v>
      </c>
      <c r="T10075">
        <v>-0.36431219999999997</v>
      </c>
      <c r="U10075">
        <v>2.7727360000000001</v>
      </c>
      <c r="V10075">
        <v>0.1893763</v>
      </c>
      <c r="W10075">
        <v>0.17318729999999999</v>
      </c>
      <c r="X10075">
        <v>0.9665106</v>
      </c>
      <c r="Y10075">
        <v>0.54207659999999902</v>
      </c>
      <c r="Z10075">
        <v>-9.361622E-2</v>
      </c>
      <c r="AA10075">
        <v>0.83509809999999995</v>
      </c>
      <c r="AB10075">
        <v>29</v>
      </c>
      <c r="AC10075">
        <v>5.7561999999999998</v>
      </c>
      <c r="AD10075">
        <v>-1.121768164453</v>
      </c>
      <c r="AE10075">
        <v>8.3586799999999908</v>
      </c>
      <c r="AF10075">
        <v>5.5449739127231297</v>
      </c>
      <c r="AG10075">
        <v>-1.121768164453</v>
      </c>
      <c r="AH10075">
        <v>8.3536391262319594</v>
      </c>
      <c r="AI10075">
        <v>96.383745193112006</v>
      </c>
      <c r="AJ10075">
        <v>56.424610707305703</v>
      </c>
      <c r="AK10075">
        <v>10.089023052747599</v>
      </c>
      <c r="AL10075">
        <v>80.026812417993995</v>
      </c>
      <c r="AM10075">
        <v>78.914017086209896</v>
      </c>
      <c r="AN10075">
        <v>0.99999998189766903</v>
      </c>
    </row>
    <row r="10076" spans="1:40" x14ac:dyDescent="0.25">
      <c r="A10076" t="str">
        <f>"20190303162145577"</f>
        <v>20190303162145577</v>
      </c>
      <c r="B10076" t="str">
        <f>"1551601305572380"</f>
        <v>1551601305572380</v>
      </c>
      <c r="C10076" t="s">
        <v>40</v>
      </c>
      <c r="D10076">
        <v>5.0379290000000001</v>
      </c>
      <c r="E10076">
        <v>0.66648569999999996</v>
      </c>
      <c r="F10076" t="s">
        <v>41</v>
      </c>
      <c r="G10076">
        <v>-181.10310000000001</v>
      </c>
      <c r="H10076" s="1">
        <v>-4.4468710000000004E-6</v>
      </c>
      <c r="I10076">
        <v>105.75920000000001</v>
      </c>
      <c r="J10076">
        <v>-187.25280000000001</v>
      </c>
      <c r="K10076">
        <v>1.1217729999999999</v>
      </c>
      <c r="L10076">
        <v>97.10651</v>
      </c>
      <c r="M10076">
        <v>1.7063499999999999E-2</v>
      </c>
      <c r="N10076">
        <v>-1.5361100000000001E-2</v>
      </c>
      <c r="O10076">
        <v>0.99973639999999997</v>
      </c>
      <c r="P10076">
        <v>0.21226800000000001</v>
      </c>
      <c r="Q10076">
        <v>0.1596552</v>
      </c>
      <c r="R10076">
        <v>0.96408119999999997</v>
      </c>
      <c r="S10076">
        <v>1.9105220000000001</v>
      </c>
      <c r="T10076">
        <v>-0.34828379999999998</v>
      </c>
      <c r="U10076">
        <v>2.7563780000000002</v>
      </c>
      <c r="V10076">
        <v>0.1957911</v>
      </c>
      <c r="W10076">
        <v>0.1744918</v>
      </c>
      <c r="X10076">
        <v>0.96499659999999998</v>
      </c>
      <c r="Y10076">
        <v>0.55286429999999998</v>
      </c>
      <c r="Z10076">
        <v>-8.8611129999999996E-2</v>
      </c>
      <c r="AA10076">
        <v>0.82854649999999996</v>
      </c>
      <c r="AB10076">
        <v>29</v>
      </c>
      <c r="AC10076">
        <v>6.1496999999999904</v>
      </c>
      <c r="AD10076">
        <v>-1.121777446871</v>
      </c>
      <c r="AE10076">
        <v>8.6526899999999998</v>
      </c>
      <c r="AF10076">
        <v>5.93486721316079</v>
      </c>
      <c r="AG10076">
        <v>-1.121777446871</v>
      </c>
      <c r="AH10076">
        <v>8.6596751835814096</v>
      </c>
      <c r="AI10076">
        <v>96.099144097710393</v>
      </c>
      <c r="AJ10076">
        <v>55.575395154174601</v>
      </c>
      <c r="AK10076">
        <v>10.5579831295231</v>
      </c>
      <c r="AL10076">
        <v>79.950914530842496</v>
      </c>
      <c r="AM10076">
        <v>78.5307725686623</v>
      </c>
      <c r="AN10076">
        <v>0.99999999055900402</v>
      </c>
    </row>
    <row r="10077" spans="1:40" x14ac:dyDescent="0.25">
      <c r="A10077" t="str">
        <f>"20190303162145590"</f>
        <v>20190303162145590</v>
      </c>
      <c r="B10077" t="str">
        <f>"1551601305583115"</f>
        <v>1551601305583115</v>
      </c>
      <c r="C10077" t="s">
        <v>40</v>
      </c>
      <c r="D10077">
        <v>5.0751119999999998</v>
      </c>
      <c r="E10077">
        <v>0.66672529999999997</v>
      </c>
      <c r="F10077" t="s">
        <v>41</v>
      </c>
      <c r="G10077">
        <v>-180.6585</v>
      </c>
      <c r="H10077" s="1">
        <v>-4.7708049999999996E-6</v>
      </c>
      <c r="I10077">
        <v>106.3634</v>
      </c>
      <c r="J10077">
        <v>-187.24969999999999</v>
      </c>
      <c r="K10077">
        <v>1.1217760000000001</v>
      </c>
      <c r="L10077">
        <v>97.285579999999996</v>
      </c>
      <c r="M10077">
        <v>1.7063769999999999E-2</v>
      </c>
      <c r="N10077">
        <v>-1.5357320000000001E-2</v>
      </c>
      <c r="O10077">
        <v>0.99973639999999997</v>
      </c>
      <c r="P10077">
        <v>0.21483859999999999</v>
      </c>
      <c r="Q10077">
        <v>0.16020609999999999</v>
      </c>
      <c r="R10077">
        <v>0.96342019999999995</v>
      </c>
      <c r="S10077">
        <v>1.9500120000000001</v>
      </c>
      <c r="T10077">
        <v>-0.33172180000000001</v>
      </c>
      <c r="U10077">
        <v>2.7373660000000002</v>
      </c>
      <c r="V10077">
        <v>0.1983723</v>
      </c>
      <c r="W10077">
        <v>0.17502980000000001</v>
      </c>
      <c r="X10077">
        <v>0.9643718</v>
      </c>
      <c r="Y10077">
        <v>0.56375359999999997</v>
      </c>
      <c r="Z10077">
        <v>-8.3525089999999996E-2</v>
      </c>
      <c r="AA10077">
        <v>0.82170889999999996</v>
      </c>
      <c r="AB10077">
        <v>29</v>
      </c>
      <c r="AC10077">
        <v>6.5911999999999802</v>
      </c>
      <c r="AD10077">
        <v>-1.121780770805</v>
      </c>
      <c r="AE10077">
        <v>9.0778199999999796</v>
      </c>
      <c r="AF10077">
        <v>6.3716097421643596</v>
      </c>
      <c r="AG10077">
        <v>-1.121780770805</v>
      </c>
      <c r="AH10077">
        <v>9.0980102081492404</v>
      </c>
      <c r="AI10077">
        <v>95.767048533786195</v>
      </c>
      <c r="AJ10077">
        <v>54.9952910299995</v>
      </c>
      <c r="AK10077">
        <v>11.1637624729201</v>
      </c>
      <c r="AL10077">
        <v>79.919607554044603</v>
      </c>
      <c r="AM10077">
        <v>78.376331374376804</v>
      </c>
      <c r="AN10077">
        <v>0.99999998446528404</v>
      </c>
    </row>
    <row r="10078" spans="1:40" x14ac:dyDescent="0.25">
      <c r="A10078" t="str">
        <f>"20190303162145603"</f>
        <v>20190303162145603</v>
      </c>
      <c r="B10078" t="str">
        <f>"1551601305592876"</f>
        <v>1551601305592876</v>
      </c>
      <c r="C10078" t="s">
        <v>40</v>
      </c>
      <c r="D10078">
        <v>5.1026179999999997</v>
      </c>
      <c r="E10078">
        <v>0.66676380000000002</v>
      </c>
      <c r="F10078" t="s">
        <v>41</v>
      </c>
      <c r="G10078">
        <v>-180.51730000000001</v>
      </c>
      <c r="H10078" s="1">
        <v>-4.9138079999999997E-6</v>
      </c>
      <c r="I10078">
        <v>106.6733</v>
      </c>
      <c r="J10078">
        <v>-187.24680000000001</v>
      </c>
      <c r="K10078">
        <v>1.1217779999999999</v>
      </c>
      <c r="L10078">
        <v>97.456050000000005</v>
      </c>
      <c r="M10078">
        <v>1.7064360000000001E-2</v>
      </c>
      <c r="N10078">
        <v>-1.535367E-2</v>
      </c>
      <c r="O10078">
        <v>0.99973650000000003</v>
      </c>
      <c r="P10078">
        <v>0.21720819999999999</v>
      </c>
      <c r="Q10078">
        <v>0.1602819</v>
      </c>
      <c r="R10078">
        <v>0.96287610000000001</v>
      </c>
      <c r="S10078">
        <v>1.958817</v>
      </c>
      <c r="T10078">
        <v>-0.32638650000000002</v>
      </c>
      <c r="U10078">
        <v>2.7313839999999998</v>
      </c>
      <c r="V10078">
        <v>0.2007505</v>
      </c>
      <c r="W10078">
        <v>0.17509369999999999</v>
      </c>
      <c r="X10078">
        <v>0.96386799999999995</v>
      </c>
      <c r="Y10078">
        <v>0.56643169999999898</v>
      </c>
      <c r="Z10078">
        <v>-8.1949540000000001E-2</v>
      </c>
      <c r="AA10078">
        <v>0.82002399999999998</v>
      </c>
      <c r="AB10078">
        <v>29</v>
      </c>
      <c r="AC10078">
        <v>6.7294999999999998</v>
      </c>
      <c r="AD10078">
        <v>-1.121782913808</v>
      </c>
      <c r="AE10078">
        <v>9.2172499999999893</v>
      </c>
      <c r="AF10078">
        <v>6.5083323528188304</v>
      </c>
      <c r="AG10078">
        <v>-1.121782913808</v>
      </c>
      <c r="AH10078">
        <v>9.2414660652930092</v>
      </c>
      <c r="AI10078">
        <v>95.667727384029106</v>
      </c>
      <c r="AJ10078">
        <v>54.844754520809801</v>
      </c>
      <c r="AK10078">
        <v>11.358762342633201</v>
      </c>
      <c r="AL10078">
        <v>79.915889537580995</v>
      </c>
      <c r="AM10078">
        <v>78.234863493920798</v>
      </c>
      <c r="AN10078">
        <v>1.0000000442269601</v>
      </c>
    </row>
    <row r="10079" spans="1:40" x14ac:dyDescent="0.25">
      <c r="A10079" t="str">
        <f>"20190303162145621"</f>
        <v>20190303162145621</v>
      </c>
      <c r="B10079" t="str">
        <f>"1551601305612397"</f>
        <v>1551601305612397</v>
      </c>
      <c r="C10079" t="s">
        <v>40</v>
      </c>
      <c r="D10079">
        <v>5.1076779999999999</v>
      </c>
      <c r="E10079">
        <v>0.66621399999999997</v>
      </c>
      <c r="F10079" t="s">
        <v>41</v>
      </c>
      <c r="G10079">
        <v>-180.4436</v>
      </c>
      <c r="H10079" s="1">
        <v>-5.0081380000000002E-6</v>
      </c>
      <c r="I10079">
        <v>106.89279999999999</v>
      </c>
      <c r="J10079">
        <v>-187.24289999999999</v>
      </c>
      <c r="K10079">
        <v>1.121772</v>
      </c>
      <c r="L10079">
        <v>97.684389999999993</v>
      </c>
      <c r="M10079">
        <v>1.7068449999999999E-2</v>
      </c>
      <c r="N10079">
        <v>-1.534866E-2</v>
      </c>
      <c r="O10079">
        <v>0.99973650000000003</v>
      </c>
      <c r="P10079">
        <v>0.22158259999999999</v>
      </c>
      <c r="Q10079">
        <v>0.16030520000000001</v>
      </c>
      <c r="R10079">
        <v>0.96187500000000004</v>
      </c>
      <c r="S10079">
        <v>1.9654389999999999</v>
      </c>
      <c r="T10079">
        <v>-0.3240807</v>
      </c>
      <c r="U10079">
        <v>2.7262569999999999</v>
      </c>
      <c r="V10079">
        <v>0.20513809999999999</v>
      </c>
      <c r="W10079">
        <v>0.175097</v>
      </c>
      <c r="X10079">
        <v>0.96294310000000005</v>
      </c>
      <c r="Y10079">
        <v>0.56850149999999999</v>
      </c>
      <c r="Z10079">
        <v>-8.1284789999999996E-2</v>
      </c>
      <c r="AA10079">
        <v>0.81865679999999996</v>
      </c>
      <c r="AB10079">
        <v>29</v>
      </c>
      <c r="AC10079">
        <v>6.7992999999999801</v>
      </c>
      <c r="AD10079">
        <v>-1.1217770081380001</v>
      </c>
      <c r="AE10079">
        <v>9.2084099999999793</v>
      </c>
      <c r="AF10079">
        <v>6.5779420687309402</v>
      </c>
      <c r="AG10079">
        <v>-1.1217770081380001</v>
      </c>
      <c r="AH10079">
        <v>9.2344466157427707</v>
      </c>
      <c r="AI10079">
        <v>95.6505602858185</v>
      </c>
      <c r="AJ10079">
        <v>54.536717684748801</v>
      </c>
      <c r="AK10079">
        <v>11.393099219025901</v>
      </c>
      <c r="AL10079">
        <v>79.915697111933099</v>
      </c>
      <c r="AM10079">
        <v>77.973916367789101</v>
      </c>
      <c r="AN10079">
        <v>1.0000000066591099</v>
      </c>
    </row>
    <row r="10080" spans="1:40" x14ac:dyDescent="0.25">
      <c r="A10080" t="str">
        <f>"20190303162145634"</f>
        <v>20190303162145634</v>
      </c>
      <c r="B10080" t="str">
        <f>"1551601305623132"</f>
        <v>1551601305623132</v>
      </c>
      <c r="C10080" t="s">
        <v>40</v>
      </c>
      <c r="D10080">
        <v>5.105416</v>
      </c>
      <c r="E10080">
        <v>0.66569069999999997</v>
      </c>
      <c r="F10080" t="s">
        <v>41</v>
      </c>
      <c r="G10080">
        <v>-180.33840000000001</v>
      </c>
      <c r="H10080" s="1">
        <v>-5.139158E-6</v>
      </c>
      <c r="I10080">
        <v>107.1956</v>
      </c>
      <c r="J10080">
        <v>-187.23990000000001</v>
      </c>
      <c r="K10080">
        <v>1.1217649999999999</v>
      </c>
      <c r="L10080">
        <v>97.860529999999997</v>
      </c>
      <c r="M10080">
        <v>1.7079150000000001E-2</v>
      </c>
      <c r="N10080">
        <v>-1.5344729999999999E-2</v>
      </c>
      <c r="O10080">
        <v>0.99973639999999997</v>
      </c>
      <c r="P10080">
        <v>0.22295090000000001</v>
      </c>
      <c r="Q10080">
        <v>0.16001299999999999</v>
      </c>
      <c r="R10080">
        <v>0.9616074</v>
      </c>
      <c r="S10080">
        <v>1.972977</v>
      </c>
      <c r="T10080">
        <v>-0.3205498</v>
      </c>
      <c r="U10080">
        <v>2.7178339999999999</v>
      </c>
      <c r="V10080">
        <v>0.2065023</v>
      </c>
      <c r="W10080">
        <v>0.17479510000000001</v>
      </c>
      <c r="X10080">
        <v>0.96270630000000001</v>
      </c>
      <c r="Y10080">
        <v>0.57122819999999996</v>
      </c>
      <c r="Z10080">
        <v>-8.031721E-2</v>
      </c>
      <c r="AA10080">
        <v>0.81685220000000003</v>
      </c>
      <c r="AB10080">
        <v>29</v>
      </c>
      <c r="AC10080">
        <v>6.9014999999999898</v>
      </c>
      <c r="AD10080">
        <v>-1.1217701391579999</v>
      </c>
      <c r="AE10080">
        <v>9.3350699999999804</v>
      </c>
      <c r="AF10080">
        <v>6.6786813652661596</v>
      </c>
      <c r="AG10080">
        <v>-1.1217701391579999</v>
      </c>
      <c r="AH10080">
        <v>9.3641618297882196</v>
      </c>
      <c r="AI10080">
        <v>95.570418710262501</v>
      </c>
      <c r="AJ10080">
        <v>54.502880822847899</v>
      </c>
      <c r="AK10080">
        <v>11.5564129295522</v>
      </c>
      <c r="AL10080">
        <v>79.933265311795793</v>
      </c>
      <c r="AM10080">
        <v>77.893402452397694</v>
      </c>
      <c r="AN10080">
        <v>0.99999997347449399</v>
      </c>
    </row>
    <row r="10081" spans="1:40" x14ac:dyDescent="0.25">
      <c r="A10081" t="str">
        <f>"20190303162145648"</f>
        <v>20190303162145648</v>
      </c>
      <c r="B10081" t="str">
        <f>"1551601305642652"</f>
        <v>1551601305642652</v>
      </c>
      <c r="C10081" t="s">
        <v>40</v>
      </c>
      <c r="D10081">
        <v>5.0911390000000001</v>
      </c>
      <c r="E10081">
        <v>0.66453589999999996</v>
      </c>
      <c r="F10081" t="s">
        <v>41</v>
      </c>
      <c r="G10081">
        <v>-180.34379999999999</v>
      </c>
      <c r="H10081" s="1">
        <v>-5.19165899999999E-6</v>
      </c>
      <c r="I10081">
        <v>107.354</v>
      </c>
      <c r="J10081">
        <v>-187.23689999999999</v>
      </c>
      <c r="K10081">
        <v>1.1217520000000001</v>
      </c>
      <c r="L10081">
        <v>98.034000000000006</v>
      </c>
      <c r="M10081">
        <v>1.7096299999999998E-2</v>
      </c>
      <c r="N10081">
        <v>-1.534084E-2</v>
      </c>
      <c r="O10081">
        <v>0.99973610000000002</v>
      </c>
      <c r="P10081">
        <v>0.2246079</v>
      </c>
      <c r="Q10081">
        <v>0.1595945</v>
      </c>
      <c r="R10081">
        <v>0.96129129999999996</v>
      </c>
      <c r="S10081">
        <v>1.972763</v>
      </c>
      <c r="T10081">
        <v>-0.3209033</v>
      </c>
      <c r="U10081">
        <v>2.7157900000000001</v>
      </c>
      <c r="V10081">
        <v>0.2081508</v>
      </c>
      <c r="W10081">
        <v>0.17436499999999999</v>
      </c>
      <c r="X10081">
        <v>0.96242930000000004</v>
      </c>
      <c r="Y10081">
        <v>0.57145610000000002</v>
      </c>
      <c r="Z10081">
        <v>-8.047675E-2</v>
      </c>
      <c r="AA10081">
        <v>0.81667699999999999</v>
      </c>
      <c r="AB10081">
        <v>29</v>
      </c>
      <c r="AC10081">
        <v>6.8930999999999996</v>
      </c>
      <c r="AD10081">
        <v>-1.1217571916589999</v>
      </c>
      <c r="AE10081">
        <v>9.3200000000000092</v>
      </c>
      <c r="AF10081">
        <v>6.6702740653446</v>
      </c>
      <c r="AG10081">
        <v>-1.1217571916589999</v>
      </c>
      <c r="AH10081">
        <v>9.3489521862125606</v>
      </c>
      <c r="AI10081">
        <v>95.578675814140595</v>
      </c>
      <c r="AJ10081">
        <v>54.492968293198302</v>
      </c>
      <c r="AK10081">
        <v>11.5392288426885</v>
      </c>
      <c r="AL10081">
        <v>79.958293176751596</v>
      </c>
      <c r="AM10081">
        <v>77.7962338720112</v>
      </c>
      <c r="AN10081">
        <v>1.00000003313206</v>
      </c>
    </row>
    <row r="10082" spans="1:40" x14ac:dyDescent="0.25">
      <c r="A10082" t="str">
        <f>"20190303162145667"</f>
        <v>20190303162145667</v>
      </c>
      <c r="B10082" t="str">
        <f>"1551601305663148"</f>
        <v>1551601305663148</v>
      </c>
      <c r="C10082" t="s">
        <v>40</v>
      </c>
      <c r="D10082">
        <v>5.117413</v>
      </c>
      <c r="E10082">
        <v>0.66366259999999999</v>
      </c>
      <c r="F10082" t="s">
        <v>41</v>
      </c>
      <c r="G10082">
        <v>-180.36660000000001</v>
      </c>
      <c r="H10082" s="1">
        <v>-5.2379409999999999E-6</v>
      </c>
      <c r="I10082">
        <v>107.50790000000001</v>
      </c>
      <c r="J10082">
        <v>-187.23269999999999</v>
      </c>
      <c r="K10082">
        <v>1.121731</v>
      </c>
      <c r="L10082">
        <v>98.273470000000003</v>
      </c>
      <c r="M10082">
        <v>1.7138839999999999E-2</v>
      </c>
      <c r="N10082">
        <v>-1.53354999999999E-2</v>
      </c>
      <c r="O10082">
        <v>0.9997355</v>
      </c>
      <c r="P10082">
        <v>0.22750980000000001</v>
      </c>
      <c r="Q10082">
        <v>0.1599759</v>
      </c>
      <c r="R10082">
        <v>0.96054519999999999</v>
      </c>
      <c r="S10082">
        <v>1.9682919999999999</v>
      </c>
      <c r="T10082">
        <v>-0.32137779999999999</v>
      </c>
      <c r="U10082">
        <v>2.7142330000000001</v>
      </c>
      <c r="V10082">
        <v>0.21103069999999999</v>
      </c>
      <c r="W10082">
        <v>0.1747223</v>
      </c>
      <c r="X10082">
        <v>0.96173710000000001</v>
      </c>
      <c r="Y10082">
        <v>0.57075039999999999</v>
      </c>
      <c r="Z10082">
        <v>-8.073313E-2</v>
      </c>
      <c r="AA10082">
        <v>0.81714509999999996</v>
      </c>
      <c r="AB10082">
        <v>29</v>
      </c>
      <c r="AC10082">
        <v>6.8660999999999799</v>
      </c>
      <c r="AD10082">
        <v>-1.1217362379410001</v>
      </c>
      <c r="AE10082">
        <v>9.2344300000000104</v>
      </c>
      <c r="AF10082">
        <v>6.6436742250544398</v>
      </c>
      <c r="AG10082">
        <v>-1.1217362379410001</v>
      </c>
      <c r="AH10082">
        <v>9.2627456183166501</v>
      </c>
      <c r="AI10082">
        <v>95.620192052534094</v>
      </c>
      <c r="AJ10082">
        <v>54.350140299246398</v>
      </c>
      <c r="AK10082">
        <v>11.454045389547099</v>
      </c>
      <c r="AL10082">
        <v>79.937502353147195</v>
      </c>
      <c r="AM10082">
        <v>77.6239220546735</v>
      </c>
      <c r="AN10082">
        <v>1.0000000439880901</v>
      </c>
    </row>
    <row r="10083" spans="1:40" x14ac:dyDescent="0.25">
      <c r="A10083" t="str">
        <f>"20190303162145690"</f>
        <v>20190303162145690</v>
      </c>
      <c r="B10083" t="str">
        <f>"1551601305682668"</f>
        <v>1551601305682668</v>
      </c>
      <c r="C10083" t="s">
        <v>40</v>
      </c>
      <c r="D10083">
        <v>5.0695439999999996</v>
      </c>
      <c r="E10083">
        <v>0.66295190000000004</v>
      </c>
      <c r="F10083" t="s">
        <v>41</v>
      </c>
      <c r="G10083">
        <v>-180.33080000000001</v>
      </c>
      <c r="H10083" s="1">
        <v>-5.338002E-6</v>
      </c>
      <c r="I10083">
        <v>107.774</v>
      </c>
      <c r="J10083">
        <v>-187.22749999999999</v>
      </c>
      <c r="K10083">
        <v>1.1217029999999999</v>
      </c>
      <c r="L10083">
        <v>98.568849999999998</v>
      </c>
      <c r="M10083">
        <v>1.722856E-2</v>
      </c>
      <c r="N10083">
        <v>-1.5328990000000001E-2</v>
      </c>
      <c r="O10083">
        <v>0.99973400000000001</v>
      </c>
      <c r="P10083">
        <v>0.2314872</v>
      </c>
      <c r="Q10083">
        <v>0.16059189999999901</v>
      </c>
      <c r="R10083">
        <v>0.95949150000000005</v>
      </c>
      <c r="S10083">
        <v>1.9688870000000001</v>
      </c>
      <c r="T10083">
        <v>-0.31999429999999901</v>
      </c>
      <c r="U10083">
        <v>2.710175</v>
      </c>
      <c r="V10083">
        <v>0.21495139999999999</v>
      </c>
      <c r="W10083">
        <v>0.1753017</v>
      </c>
      <c r="X10083">
        <v>0.96076280000000003</v>
      </c>
      <c r="Y10083">
        <v>0.57139149999999905</v>
      </c>
      <c r="Z10083">
        <v>-8.0416680000000004E-2</v>
      </c>
      <c r="AA10083">
        <v>0.81672819999999902</v>
      </c>
      <c r="AB10083">
        <v>29</v>
      </c>
      <c r="AC10083">
        <v>6.8966999999999796</v>
      </c>
      <c r="AD10083">
        <v>-1.1217083380020001</v>
      </c>
      <c r="AE10083">
        <v>9.2051499999999997</v>
      </c>
      <c r="AF10083">
        <v>6.6735968899568698</v>
      </c>
      <c r="AG10083">
        <v>-1.1217083380020001</v>
      </c>
      <c r="AH10083">
        <v>9.2347903065165795</v>
      </c>
      <c r="AI10083">
        <v>95.622603678115496</v>
      </c>
      <c r="AJ10083">
        <v>54.145933977453502</v>
      </c>
      <c r="AK10083">
        <v>11.448863570263899</v>
      </c>
      <c r="AL10083">
        <v>79.903784080028899</v>
      </c>
      <c r="AM10083">
        <v>77.388898178686802</v>
      </c>
      <c r="AN10083">
        <v>0.99999997412434405</v>
      </c>
    </row>
    <row r="10084" spans="1:40" x14ac:dyDescent="0.25">
      <c r="A10084" t="str">
        <f>"20190303162145706"</f>
        <v>20190303162145706</v>
      </c>
      <c r="B10084" t="str">
        <f>"1551601305692428"</f>
        <v>1551601305692428</v>
      </c>
      <c r="C10084" t="s">
        <v>40</v>
      </c>
      <c r="D10084">
        <v>5.0410700000000004</v>
      </c>
      <c r="E10084">
        <v>0.66251870000000002</v>
      </c>
      <c r="F10084" t="s">
        <v>41</v>
      </c>
      <c r="G10084">
        <v>-180.2551</v>
      </c>
      <c r="H10084" s="1">
        <v>-5.476047E-6</v>
      </c>
      <c r="I10084">
        <v>108.1204</v>
      </c>
      <c r="J10084">
        <v>-187.22389999999999</v>
      </c>
      <c r="K10084">
        <v>1.1216809999999999</v>
      </c>
      <c r="L10084">
        <v>98.773499999999999</v>
      </c>
      <c r="M10084">
        <v>1.731193E-2</v>
      </c>
      <c r="N10084">
        <v>-1.532443E-2</v>
      </c>
      <c r="O10084">
        <v>0.99973270000000003</v>
      </c>
      <c r="P10084">
        <v>0.23380780000000001</v>
      </c>
      <c r="Q10084">
        <v>0.1607344</v>
      </c>
      <c r="R10084">
        <v>0.95890469999999906</v>
      </c>
      <c r="S10084">
        <v>1.973587</v>
      </c>
      <c r="T10084">
        <v>-0.3175075</v>
      </c>
      <c r="U10084">
        <v>2.7036440000000002</v>
      </c>
      <c r="V10084">
        <v>0.2172115</v>
      </c>
      <c r="W10084">
        <v>0.17541950000000001</v>
      </c>
      <c r="X10084">
        <v>0.96023289999999994</v>
      </c>
      <c r="Y10084">
        <v>0.57321829999999996</v>
      </c>
      <c r="Z10084">
        <v>-7.9759659999999996E-2</v>
      </c>
      <c r="AA10084">
        <v>0.8155116</v>
      </c>
      <c r="AB10084">
        <v>29</v>
      </c>
      <c r="AC10084">
        <v>6.9687999999999803</v>
      </c>
      <c r="AD10084">
        <v>-1.121686476047</v>
      </c>
      <c r="AE10084">
        <v>9.3468999999999998</v>
      </c>
      <c r="AF10084">
        <v>6.74350442421665</v>
      </c>
      <c r="AG10084">
        <v>-1.121686476047</v>
      </c>
      <c r="AH10084">
        <v>9.3793396148327606</v>
      </c>
      <c r="AI10084">
        <v>95.546009192715104</v>
      </c>
      <c r="AJ10084">
        <v>54.284834488694301</v>
      </c>
      <c r="AK10084">
        <v>11.60625021617</v>
      </c>
      <c r="AL10084">
        <v>79.896928968415907</v>
      </c>
      <c r="AM10084">
        <v>77.253804393976296</v>
      </c>
      <c r="AN10084">
        <v>1.00000002947745</v>
      </c>
    </row>
    <row r="10085" spans="1:40" x14ac:dyDescent="0.25">
      <c r="A10085" t="str">
        <f>"20190303162145721"</f>
        <v>20190303162145721</v>
      </c>
      <c r="B10085" t="str">
        <f>"1551601305712923"</f>
        <v>1551601305712923</v>
      </c>
      <c r="C10085" t="s">
        <v>40</v>
      </c>
      <c r="D10085">
        <v>5.0103549999999997</v>
      </c>
      <c r="E10085">
        <v>0.66192109999999904</v>
      </c>
      <c r="F10085" t="s">
        <v>41</v>
      </c>
      <c r="G10085">
        <v>-180.2347</v>
      </c>
      <c r="H10085" s="1">
        <v>-5.549461E-6</v>
      </c>
      <c r="I10085">
        <v>108.3202</v>
      </c>
      <c r="J10085">
        <v>-187.22020000000001</v>
      </c>
      <c r="K10085">
        <v>1.1216520000000001</v>
      </c>
      <c r="L10085">
        <v>98.979680000000002</v>
      </c>
      <c r="M10085">
        <v>1.7425070000000001E-2</v>
      </c>
      <c r="N10085">
        <v>-1.5319650000000001E-2</v>
      </c>
      <c r="O10085">
        <v>0.99973080000000003</v>
      </c>
      <c r="P10085">
        <v>0.2388884</v>
      </c>
      <c r="Q10085">
        <v>0.1598755</v>
      </c>
      <c r="R10085">
        <v>0.95779550000000002</v>
      </c>
      <c r="S10085">
        <v>1.976532</v>
      </c>
      <c r="T10085">
        <v>-0.31721129999999997</v>
      </c>
      <c r="U10085">
        <v>2.6997990000000001</v>
      </c>
      <c r="V10085">
        <v>0.2222123</v>
      </c>
      <c r="W10085">
        <v>0.17452509999999999</v>
      </c>
      <c r="X10085">
        <v>0.95925110000000002</v>
      </c>
      <c r="Y10085">
        <v>0.57425879999999996</v>
      </c>
      <c r="Z10085">
        <v>-7.9720059999999995E-2</v>
      </c>
      <c r="AA10085">
        <v>0.81478309999999998</v>
      </c>
      <c r="AB10085">
        <v>29</v>
      </c>
      <c r="AC10085">
        <v>6.9855</v>
      </c>
      <c r="AD10085">
        <v>-1.1216575494609999</v>
      </c>
      <c r="AE10085">
        <v>9.3405199999999908</v>
      </c>
      <c r="AF10085">
        <v>6.7591524749456697</v>
      </c>
      <c r="AG10085">
        <v>-1.1216575494609999</v>
      </c>
      <c r="AH10085">
        <v>9.3741469025369408</v>
      </c>
      <c r="AI10085">
        <v>95.543516366861994</v>
      </c>
      <c r="AJ10085">
        <v>54.206817664997303</v>
      </c>
      <c r="AK10085">
        <v>11.6111536028152</v>
      </c>
      <c r="AL10085">
        <v>79.948976892283497</v>
      </c>
      <c r="AM10085">
        <v>76.957378616313605</v>
      </c>
      <c r="AN10085">
        <v>0.99999999482625501</v>
      </c>
    </row>
    <row r="10086" spans="1:40" x14ac:dyDescent="0.25">
      <c r="A10086" t="str">
        <f>"20190303162145734"</f>
        <v>20190303162145734</v>
      </c>
      <c r="B10086" t="str">
        <f>"1551601305722685"</f>
        <v>1551601305722685</v>
      </c>
      <c r="C10086" t="s">
        <v>40</v>
      </c>
      <c r="D10086">
        <v>5.016521</v>
      </c>
      <c r="E10086">
        <v>0.66154269999999904</v>
      </c>
      <c r="F10086" t="s">
        <v>41</v>
      </c>
      <c r="G10086">
        <v>-180.20230000000001</v>
      </c>
      <c r="H10086" s="1">
        <v>-5.6138819999999997E-6</v>
      </c>
      <c r="I10086">
        <v>108.4842</v>
      </c>
      <c r="J10086">
        <v>-187.21729999999999</v>
      </c>
      <c r="K10086">
        <v>1.121634</v>
      </c>
      <c r="L10086">
        <v>99.138000000000005</v>
      </c>
      <c r="M10086">
        <v>1.7531910000000001E-2</v>
      </c>
      <c r="N10086">
        <v>-1.531593E-2</v>
      </c>
      <c r="O10086">
        <v>0.99972899999999998</v>
      </c>
      <c r="P10086">
        <v>0.24108489999999999</v>
      </c>
      <c r="Q10086">
        <v>0.15937229999999999</v>
      </c>
      <c r="R10086">
        <v>0.95732890000000004</v>
      </c>
      <c r="S10086">
        <v>1.986084</v>
      </c>
      <c r="T10086">
        <v>-0.31743379999999999</v>
      </c>
      <c r="U10086">
        <v>2.689819</v>
      </c>
      <c r="V10086">
        <v>0.22432270000000001</v>
      </c>
      <c r="W10086">
        <v>0.17400019999999999</v>
      </c>
      <c r="X10086">
        <v>0.95885520000000002</v>
      </c>
      <c r="Y10086">
        <v>0.57747159999999997</v>
      </c>
      <c r="Z10086">
        <v>-7.9864840000000006E-2</v>
      </c>
      <c r="AA10086">
        <v>0.81249499999999997</v>
      </c>
      <c r="AB10086">
        <v>29</v>
      </c>
      <c r="AC10086">
        <v>7.0149999999999801</v>
      </c>
      <c r="AD10086">
        <v>-1.121639613882</v>
      </c>
      <c r="AE10086">
        <v>9.3462000000000103</v>
      </c>
      <c r="AF10086">
        <v>6.7875155791683497</v>
      </c>
      <c r="AG10086">
        <v>-1.121639613882</v>
      </c>
      <c r="AH10086">
        <v>9.3813383220667195</v>
      </c>
      <c r="AI10086">
        <v>95.532753605433001</v>
      </c>
      <c r="AJ10086">
        <v>54.113791453883401</v>
      </c>
      <c r="AK10086">
        <v>11.633484081476199</v>
      </c>
      <c r="AL10086">
        <v>79.979519006561404</v>
      </c>
      <c r="AM10086">
        <v>76.832557709781199</v>
      </c>
      <c r="AN10086">
        <v>1.00000001895118</v>
      </c>
    </row>
    <row r="10087" spans="1:40" x14ac:dyDescent="0.25">
      <c r="A10087" t="str">
        <f>"20190303162145747"</f>
        <v>20190303162145747</v>
      </c>
      <c r="B10087" t="str">
        <f>"1551601305743180"</f>
        <v>1551601305743180</v>
      </c>
      <c r="C10087" t="s">
        <v>40</v>
      </c>
      <c r="D10087">
        <v>4.9737460000000002</v>
      </c>
      <c r="E10087">
        <v>0.66102640000000001</v>
      </c>
      <c r="F10087" t="s">
        <v>41</v>
      </c>
      <c r="G10087">
        <v>-180.18950000000001</v>
      </c>
      <c r="H10087" s="1">
        <v>-5.66489799999999E-6</v>
      </c>
      <c r="I10087">
        <v>108.624</v>
      </c>
      <c r="J10087">
        <v>-187.21440000000001</v>
      </c>
      <c r="K10087">
        <v>1.121605</v>
      </c>
      <c r="L10087">
        <v>99.297550000000001</v>
      </c>
      <c r="M10087">
        <v>1.765046E-2</v>
      </c>
      <c r="N10087">
        <v>-1.531217E-2</v>
      </c>
      <c r="O10087">
        <v>0.99972700000000003</v>
      </c>
      <c r="P10087">
        <v>0.2424355</v>
      </c>
      <c r="Q10087">
        <v>0.15827529999999901</v>
      </c>
      <c r="R10087">
        <v>0.95716979999999996</v>
      </c>
      <c r="S10087">
        <v>1.9896389999999999</v>
      </c>
      <c r="T10087">
        <v>-0.31754270000000001</v>
      </c>
      <c r="U10087">
        <v>2.6855470000000001</v>
      </c>
      <c r="V10087">
        <v>0.22557060000000001</v>
      </c>
      <c r="W10087">
        <v>0.17288619999999999</v>
      </c>
      <c r="X10087">
        <v>0.9587639</v>
      </c>
      <c r="Y10087">
        <v>0.57868149999999996</v>
      </c>
      <c r="Z10087">
        <v>-7.9943810000000004E-2</v>
      </c>
      <c r="AA10087">
        <v>0.81162599999999996</v>
      </c>
      <c r="AB10087">
        <v>29</v>
      </c>
      <c r="AC10087">
        <v>7.0248999999999997</v>
      </c>
      <c r="AD10087">
        <v>-1.121610664898</v>
      </c>
      <c r="AE10087">
        <v>9.3264499999999906</v>
      </c>
      <c r="AF10087">
        <v>6.7964552774546796</v>
      </c>
      <c r="AG10087">
        <v>-1.121610664898</v>
      </c>
      <c r="AH10087">
        <v>9.3626099899148301</v>
      </c>
      <c r="AI10087">
        <v>95.537325504152903</v>
      </c>
      <c r="AJ10087">
        <v>54.0235547264055</v>
      </c>
      <c r="AK10087">
        <v>11.6236087617102</v>
      </c>
      <c r="AL10087">
        <v>80.044328328740605</v>
      </c>
      <c r="AM10087">
        <v>76.760663888193307</v>
      </c>
      <c r="AN10087">
        <v>0.99999997483900405</v>
      </c>
    </row>
    <row r="10088" spans="1:40" x14ac:dyDescent="0.25">
      <c r="A10088" t="str">
        <f>"20190303162145760"</f>
        <v>20190303162145760</v>
      </c>
      <c r="B10088" t="str">
        <f>"1551601305752940"</f>
        <v>1551601305752940</v>
      </c>
      <c r="C10088" t="s">
        <v>40</v>
      </c>
      <c r="D10088">
        <v>4.9908089999999996</v>
      </c>
      <c r="E10088">
        <v>0.66054000000000002</v>
      </c>
      <c r="F10088" t="s">
        <v>41</v>
      </c>
      <c r="G10088">
        <v>-180.185</v>
      </c>
      <c r="H10088" s="1">
        <v>-5.7176089999999997E-6</v>
      </c>
      <c r="I10088">
        <v>108.7754</v>
      </c>
      <c r="J10088">
        <v>-187.21100000000001</v>
      </c>
      <c r="K10088">
        <v>1.1215710000000001</v>
      </c>
      <c r="L10088">
        <v>99.483729999999994</v>
      </c>
      <c r="M10088">
        <v>1.781949E-2</v>
      </c>
      <c r="N10088">
        <v>-1.53078E-2</v>
      </c>
      <c r="O10088">
        <v>0.99972399999999995</v>
      </c>
      <c r="P10088">
        <v>0.24328469999999999</v>
      </c>
      <c r="Q10088">
        <v>0.156967299999999</v>
      </c>
      <c r="R10088">
        <v>0.95716970000000001</v>
      </c>
      <c r="S10088">
        <v>1.989716</v>
      </c>
      <c r="T10088">
        <v>-0.31747789999999998</v>
      </c>
      <c r="U10088">
        <v>2.6827700000000001</v>
      </c>
      <c r="V10088">
        <v>0.226268</v>
      </c>
      <c r="W10088">
        <v>0.1715593</v>
      </c>
      <c r="X10088">
        <v>0.95883790000000002</v>
      </c>
      <c r="Y10088">
        <v>0.57895779999999997</v>
      </c>
      <c r="Z10088">
        <v>-7.9996719999999993E-2</v>
      </c>
      <c r="AA10088">
        <v>0.81142369999999997</v>
      </c>
      <c r="AB10088">
        <v>29</v>
      </c>
      <c r="AC10088">
        <v>7.0259999999999803</v>
      </c>
      <c r="AD10088">
        <v>-1.1215767176089999</v>
      </c>
      <c r="AE10088">
        <v>9.2916699999999892</v>
      </c>
      <c r="AF10088">
        <v>6.7962904555750798</v>
      </c>
      <c r="AG10088">
        <v>-1.1215767176089999</v>
      </c>
      <c r="AH10088">
        <v>9.3289297566469909</v>
      </c>
      <c r="AI10088">
        <v>95.550191350573797</v>
      </c>
      <c r="AJ10088">
        <v>53.925999438300501</v>
      </c>
      <c r="AK10088">
        <v>11.596397229074</v>
      </c>
      <c r="AL10088">
        <v>80.121507163343097</v>
      </c>
      <c r="AM10088">
        <v>76.722168086007599</v>
      </c>
      <c r="AN10088">
        <v>0.99999995985844903</v>
      </c>
    </row>
    <row r="10089" spans="1:40" x14ac:dyDescent="0.25">
      <c r="A10089" t="str">
        <f>"20190303162145777"</f>
        <v>20190303162145777</v>
      </c>
      <c r="B10089" t="str">
        <f>"1551601305772461"</f>
        <v>1551601305772461</v>
      </c>
      <c r="C10089" t="s">
        <v>40</v>
      </c>
      <c r="D10089">
        <v>4.9067290000000003</v>
      </c>
      <c r="E10089">
        <v>0.65802910000000003</v>
      </c>
      <c r="F10089" t="s">
        <v>41</v>
      </c>
      <c r="G10089">
        <v>-180.2441</v>
      </c>
      <c r="H10089" s="1">
        <v>-5.7362799999999999E-6</v>
      </c>
      <c r="I10089">
        <v>108.87649999999999</v>
      </c>
      <c r="J10089">
        <v>-187.20699999999999</v>
      </c>
      <c r="K10089">
        <v>1.121534</v>
      </c>
      <c r="L10089">
        <v>99.692599999999999</v>
      </c>
      <c r="M10089">
        <v>1.8036699999999999E-2</v>
      </c>
      <c r="N10089">
        <v>-1.5302919999999999E-2</v>
      </c>
      <c r="O10089">
        <v>0.99972019999999995</v>
      </c>
      <c r="P10089">
        <v>0.24307110000000001</v>
      </c>
      <c r="Q10089">
        <v>0.15395420000000001</v>
      </c>
      <c r="R10089">
        <v>0.95771320000000004</v>
      </c>
      <c r="S10089">
        <v>1.9887539999999999</v>
      </c>
      <c r="T10089">
        <v>-0.32016319999999998</v>
      </c>
      <c r="U10089">
        <v>2.681244</v>
      </c>
      <c r="V10089">
        <v>0.22584660000000001</v>
      </c>
      <c r="W10089">
        <v>0.16853460000000001</v>
      </c>
      <c r="X10089">
        <v>0.95947349999999998</v>
      </c>
      <c r="Y10089">
        <v>0.57876989999999995</v>
      </c>
      <c r="Z10089">
        <v>-8.0858669999999994E-2</v>
      </c>
      <c r="AA10089">
        <v>0.81147230000000004</v>
      </c>
      <c r="AB10089">
        <v>29</v>
      </c>
      <c r="AC10089">
        <v>6.9628999999999897</v>
      </c>
      <c r="AD10089">
        <v>-1.1215397362799999</v>
      </c>
      <c r="AE10089">
        <v>9.1838999999999906</v>
      </c>
      <c r="AF10089">
        <v>6.7323456327530797</v>
      </c>
      <c r="AG10089">
        <v>-1.1215397362799999</v>
      </c>
      <c r="AH10089">
        <v>9.2206889362940192</v>
      </c>
      <c r="AI10089">
        <v>95.610453254594503</v>
      </c>
      <c r="AJ10089">
        <v>53.865518681092503</v>
      </c>
      <c r="AK10089">
        <v>11.471853972170299</v>
      </c>
      <c r="AL10089">
        <v>80.297371448049901</v>
      </c>
      <c r="AM10089">
        <v>76.754493541126493</v>
      </c>
      <c r="AN10089">
        <v>0.99999999766548497</v>
      </c>
    </row>
    <row r="10090" spans="1:40" x14ac:dyDescent="0.25">
      <c r="A10090" t="str">
        <f>"20190303162145791"</f>
        <v>20190303162145791</v>
      </c>
      <c r="B10090" t="str">
        <f>"1551601305782220"</f>
        <v>1551601305782220</v>
      </c>
      <c r="C10090" t="s">
        <v>40</v>
      </c>
      <c r="D10090">
        <v>4.983212</v>
      </c>
      <c r="E10090">
        <v>0.65802910000000003</v>
      </c>
      <c r="F10090" t="s">
        <v>41</v>
      </c>
      <c r="G10090">
        <v>-180.36369999999999</v>
      </c>
      <c r="H10090" s="1">
        <v>-5.7580459999999998E-6</v>
      </c>
      <c r="I10090">
        <v>109.03400000000001</v>
      </c>
      <c r="J10090">
        <v>-187.2038</v>
      </c>
      <c r="K10090">
        <v>1.12151</v>
      </c>
      <c r="L10090">
        <v>99.859279999999998</v>
      </c>
      <c r="M10090">
        <v>1.8228080000000001E-2</v>
      </c>
      <c r="N10090">
        <v>-1.5299E-2</v>
      </c>
      <c r="O10090">
        <v>0.99971679999999996</v>
      </c>
      <c r="P10090">
        <v>0.2421497</v>
      </c>
      <c r="Q10090">
        <v>0.1530328</v>
      </c>
      <c r="R10090">
        <v>0.95809420000000001</v>
      </c>
      <c r="S10090">
        <v>1.966995</v>
      </c>
      <c r="T10090">
        <v>-0.32237059999999901</v>
      </c>
      <c r="U10090">
        <v>2.6850589999999999</v>
      </c>
      <c r="V10090">
        <v>0.22474330000000001</v>
      </c>
      <c r="W10090">
        <v>0.1676039</v>
      </c>
      <c r="X10090">
        <v>0.95989550000000001</v>
      </c>
      <c r="Y10090">
        <v>0.57374389999999997</v>
      </c>
      <c r="Z10090">
        <v>-8.1802360000000005E-2</v>
      </c>
      <c r="AA10090">
        <v>0.81493939999999998</v>
      </c>
      <c r="AB10090">
        <v>29</v>
      </c>
      <c r="AC10090">
        <v>6.8400999999999996</v>
      </c>
      <c r="AD10090">
        <v>-1.121515758046</v>
      </c>
      <c r="AE10090">
        <v>9.17471999999999</v>
      </c>
      <c r="AF10090">
        <v>6.6082389274667497</v>
      </c>
      <c r="AG10090">
        <v>-1.121515758046</v>
      </c>
      <c r="AH10090">
        <v>9.2094419073948206</v>
      </c>
      <c r="AI10090">
        <v>95.650600002141402</v>
      </c>
      <c r="AJ10090">
        <v>54.338653294609003</v>
      </c>
      <c r="AK10090">
        <v>11.3903660855879</v>
      </c>
      <c r="AL10090">
        <v>80.351466088384498</v>
      </c>
      <c r="AM10090">
        <v>76.822528657111903</v>
      </c>
      <c r="AN10090">
        <v>0.99999999455517496</v>
      </c>
    </row>
    <row r="10091" spans="1:40" x14ac:dyDescent="0.25">
      <c r="A10091" t="str">
        <f>"20190303162145803"</f>
        <v>20190303162145803</v>
      </c>
      <c r="B10091" t="str">
        <f>"1551601305792957"</f>
        <v>1551601305792957</v>
      </c>
      <c r="C10091" t="s">
        <v>40</v>
      </c>
      <c r="D10091">
        <v>4.8095280000000002</v>
      </c>
      <c r="E10091">
        <v>0.58101709999999995</v>
      </c>
      <c r="F10091" t="s">
        <v>41</v>
      </c>
      <c r="G10091">
        <v>-180.4759</v>
      </c>
      <c r="H10091" s="1">
        <v>-5.74025499999999E-6</v>
      </c>
      <c r="I10091">
        <v>109.06950000000001</v>
      </c>
      <c r="J10091">
        <v>-187.2004</v>
      </c>
      <c r="K10091">
        <v>1.1214850000000001</v>
      </c>
      <c r="L10091">
        <v>100.0304</v>
      </c>
      <c r="M10091">
        <v>1.844018E-2</v>
      </c>
      <c r="N10091">
        <v>-1.529493E-2</v>
      </c>
      <c r="O10091">
        <v>0.99971290000000002</v>
      </c>
      <c r="P10091">
        <v>0.2413265</v>
      </c>
      <c r="Q10091">
        <v>0.1530609</v>
      </c>
      <c r="R10091">
        <v>0.95829739999999997</v>
      </c>
      <c r="S10091">
        <v>1.963058</v>
      </c>
      <c r="T10091">
        <v>-0.32723639999999998</v>
      </c>
      <c r="U10091">
        <v>2.6873469999999999</v>
      </c>
      <c r="V10091">
        <v>0.223722</v>
      </c>
      <c r="W10091">
        <v>0.16761899999999999</v>
      </c>
      <c r="X10091">
        <v>0.96013139999999997</v>
      </c>
      <c r="Y10091">
        <v>0.57238469999999997</v>
      </c>
      <c r="Z10091">
        <v>-8.3277260000000006E-2</v>
      </c>
      <c r="AA10091">
        <v>0.81574550000000001</v>
      </c>
      <c r="AB10091">
        <v>29</v>
      </c>
      <c r="AC10091">
        <v>6.7244999999999999</v>
      </c>
      <c r="AD10091">
        <v>-1.1214907402550001</v>
      </c>
      <c r="AE10091">
        <v>9.0390999999999995</v>
      </c>
      <c r="AF10091">
        <v>6.4923192787795898</v>
      </c>
      <c r="AG10091">
        <v>-1.1214907402550001</v>
      </c>
      <c r="AH10091">
        <v>9.0716833528630403</v>
      </c>
      <c r="AI10091">
        <v>95.740790957345496</v>
      </c>
      <c r="AJ10091">
        <v>54.409889602063998</v>
      </c>
      <c r="AK10091">
        <v>11.2117523140989</v>
      </c>
      <c r="AL10091">
        <v>80.350588402850804</v>
      </c>
      <c r="AM10091">
        <v>76.883447154010994</v>
      </c>
      <c r="AN10091">
        <v>0.99999998385547895</v>
      </c>
    </row>
    <row r="10092" spans="1:40" x14ac:dyDescent="0.25">
      <c r="A10092" t="str">
        <f>"20190303162145823"</f>
        <v>20190303162145823</v>
      </c>
      <c r="B10092" t="str">
        <f>"1551601305812477"</f>
        <v>1551601305812477</v>
      </c>
      <c r="C10092" t="s">
        <v>40</v>
      </c>
      <c r="D10092">
        <v>4.7823310000000001</v>
      </c>
      <c r="E10092">
        <v>0.55970220000000004</v>
      </c>
      <c r="F10092" t="s">
        <v>47</v>
      </c>
      <c r="G10092">
        <v>-177.66810000000001</v>
      </c>
      <c r="H10092">
        <v>0.98932750000000003</v>
      </c>
      <c r="I10092">
        <v>119.61790000000001</v>
      </c>
      <c r="J10092">
        <v>-187.19569999999999</v>
      </c>
      <c r="K10092">
        <v>1.121459</v>
      </c>
      <c r="L10092">
        <v>100.271</v>
      </c>
      <c r="M10092">
        <v>1.8771690000000001E-2</v>
      </c>
      <c r="N10092">
        <v>-1.5289229999999999E-2</v>
      </c>
      <c r="O10092">
        <v>0.99970689999999995</v>
      </c>
      <c r="P10092">
        <v>0.2393006</v>
      </c>
      <c r="Q10092">
        <v>0.1524887</v>
      </c>
      <c r="R10092">
        <v>0.95889650000000004</v>
      </c>
      <c r="S10092">
        <v>1.3584750000000001</v>
      </c>
      <c r="T10092">
        <v>-1.883423E-2</v>
      </c>
      <c r="U10092">
        <v>2.7914729999999999</v>
      </c>
      <c r="V10092">
        <v>0.22137789999999999</v>
      </c>
      <c r="W10092">
        <v>0.16703689999999999</v>
      </c>
      <c r="X10092">
        <v>0.96077599999999996</v>
      </c>
      <c r="Y10092">
        <v>0.42054419999999998</v>
      </c>
      <c r="Z10092">
        <v>9.1327579999999995E-3</v>
      </c>
      <c r="AA10092">
        <v>0.90722610000000004</v>
      </c>
      <c r="AB10092">
        <v>29</v>
      </c>
      <c r="AC10092">
        <v>9.5275999999999694</v>
      </c>
      <c r="AD10092">
        <v>-0.13213150000000001</v>
      </c>
      <c r="AE10092">
        <v>19.346900000000002</v>
      </c>
      <c r="AF10092">
        <v>9.1623603992731404</v>
      </c>
      <c r="AG10092">
        <v>-0.13213150000000001</v>
      </c>
      <c r="AH10092">
        <v>19.521627436853599</v>
      </c>
      <c r="AI10092">
        <v>90.3510565715562</v>
      </c>
      <c r="AJ10092">
        <v>64.857264692225399</v>
      </c>
      <c r="AK10092">
        <v>21.5652554958845</v>
      </c>
      <c r="AL10092">
        <v>80.3844174869146</v>
      </c>
      <c r="AM10092">
        <v>77.024614908107395</v>
      </c>
      <c r="AN10092">
        <v>1.0000000113730101</v>
      </c>
    </row>
    <row r="10093" spans="1:40" x14ac:dyDescent="0.25">
      <c r="A10093" t="str">
        <f>"20190303162145838"</f>
        <v>20190303162145838</v>
      </c>
      <c r="B10093" t="str">
        <f>"1551601305832973"</f>
        <v>1551601305832973</v>
      </c>
      <c r="C10093" t="s">
        <v>40</v>
      </c>
      <c r="D10093">
        <v>4.8961699999999997</v>
      </c>
      <c r="E10093">
        <v>0.54253980000000002</v>
      </c>
      <c r="F10093" t="s">
        <v>66</v>
      </c>
      <c r="G10093">
        <v>-160.22659999999999</v>
      </c>
      <c r="H10093">
        <v>0.51811790000000002</v>
      </c>
      <c r="I10093">
        <v>164.7714</v>
      </c>
      <c r="J10093">
        <v>-187.1918</v>
      </c>
      <c r="K10093">
        <v>1.121434</v>
      </c>
      <c r="L10093">
        <v>100.4623</v>
      </c>
      <c r="M10093">
        <v>1.9064640000000001E-2</v>
      </c>
      <c r="N10093">
        <v>-1.528464E-2</v>
      </c>
      <c r="O10093">
        <v>0.99970139999999996</v>
      </c>
      <c r="P10093">
        <v>0.23862079999999999</v>
      </c>
      <c r="Q10093">
        <v>0.15186040000000001</v>
      </c>
      <c r="R10093">
        <v>0.9591655</v>
      </c>
      <c r="S10093">
        <v>1.1861269999999999</v>
      </c>
      <c r="T10093">
        <v>-2.6534080000000002E-2</v>
      </c>
      <c r="U10093">
        <v>2.836792</v>
      </c>
      <c r="V10093">
        <v>0.22042020000000001</v>
      </c>
      <c r="W10093">
        <v>0.16639660000000001</v>
      </c>
      <c r="X10093">
        <v>0.9611073</v>
      </c>
      <c r="Y10093">
        <v>0.3680254</v>
      </c>
      <c r="Z10093">
        <v>6.567476E-3</v>
      </c>
      <c r="AA10093">
        <v>0.92979250000000002</v>
      </c>
      <c r="AB10093">
        <v>29</v>
      </c>
      <c r="AC10093">
        <v>26.965199999999999</v>
      </c>
      <c r="AD10093">
        <v>-0.60331610000000002</v>
      </c>
      <c r="AE10093">
        <v>64.309100000000001</v>
      </c>
      <c r="AF10093">
        <v>25.732198806610199</v>
      </c>
      <c r="AG10093">
        <v>-0.60331610000000002</v>
      </c>
      <c r="AH10093">
        <v>64.806700267197598</v>
      </c>
      <c r="AI10093">
        <v>90.495731825217106</v>
      </c>
      <c r="AJ10093">
        <v>68.343914245266305</v>
      </c>
      <c r="AK10093">
        <v>69.731043626650404</v>
      </c>
      <c r="AL10093">
        <v>80.421625239520907</v>
      </c>
      <c r="AM10093">
        <v>77.083164348404907</v>
      </c>
      <c r="AN10093">
        <v>1.00000006758644</v>
      </c>
    </row>
    <row r="10094" spans="1:40" x14ac:dyDescent="0.25">
      <c r="A10094" t="str">
        <f>"20190303162145851"</f>
        <v>20190303162145851</v>
      </c>
      <c r="B10094" t="str">
        <f>"1551601305842733"</f>
        <v>1551601305842733</v>
      </c>
      <c r="C10094" t="s">
        <v>40</v>
      </c>
      <c r="D10094">
        <v>4.8672079999999998</v>
      </c>
      <c r="E10094">
        <v>0.53764499999999904</v>
      </c>
      <c r="F10094" t="s">
        <v>66</v>
      </c>
      <c r="G10094">
        <v>-162.74860000000001</v>
      </c>
      <c r="H10094">
        <v>-4.5358660000000002E-2</v>
      </c>
      <c r="I10094">
        <v>167.2911</v>
      </c>
      <c r="J10094">
        <v>-187.18819999999999</v>
      </c>
      <c r="K10094">
        <v>1.121408</v>
      </c>
      <c r="L10094">
        <v>100.6357</v>
      </c>
      <c r="M10094">
        <v>1.935042E-2</v>
      </c>
      <c r="N10094">
        <v>-1.5280500000000001E-2</v>
      </c>
      <c r="O10094">
        <v>0.99969600000000003</v>
      </c>
      <c r="P10094">
        <v>0.23770620000000001</v>
      </c>
      <c r="Q10094">
        <v>0.15138309999999999</v>
      </c>
      <c r="R10094">
        <v>0.95946810000000005</v>
      </c>
      <c r="S10094">
        <v>1.051239</v>
      </c>
      <c r="T10094">
        <v>-5.0179599999999998E-2</v>
      </c>
      <c r="U10094">
        <v>2.8741460000000001</v>
      </c>
      <c r="V10094">
        <v>0.2192335</v>
      </c>
      <c r="W10094">
        <v>0.165909</v>
      </c>
      <c r="X10094">
        <v>0.96146290000000001</v>
      </c>
      <c r="Y10094">
        <v>0.32518560000000002</v>
      </c>
      <c r="Z10094">
        <v>-1.2165279999999999E-3</v>
      </c>
      <c r="AA10094">
        <v>0.94564939999999997</v>
      </c>
      <c r="AB10094">
        <v>28</v>
      </c>
      <c r="AC10094">
        <v>24.439599999999899</v>
      </c>
      <c r="AD10094">
        <v>-1.16676666</v>
      </c>
      <c r="AE10094">
        <v>66.6554</v>
      </c>
      <c r="AF10094">
        <v>23.138812673538201</v>
      </c>
      <c r="AG10094">
        <v>-1.16676666</v>
      </c>
      <c r="AH10094">
        <v>67.097765679510104</v>
      </c>
      <c r="AI10094">
        <v>90.941801457764896</v>
      </c>
      <c r="AJ10094">
        <v>70.973133144116304</v>
      </c>
      <c r="AK10094">
        <v>70.985041773337102</v>
      </c>
      <c r="AL10094">
        <v>80.449955965612602</v>
      </c>
      <c r="AM10094">
        <v>77.154986541511605</v>
      </c>
      <c r="AN10094">
        <v>1.0000000159398299</v>
      </c>
    </row>
    <row r="10095" spans="1:40" x14ac:dyDescent="0.25">
      <c r="A10095" t="str">
        <f>"20190303162145868"</f>
        <v>20190303162145868</v>
      </c>
      <c r="B10095" t="str">
        <f>"1551601305862253"</f>
        <v>1551601305862253</v>
      </c>
      <c r="C10095" t="s">
        <v>40</v>
      </c>
      <c r="D10095">
        <v>4.678674</v>
      </c>
      <c r="E10095">
        <v>0.53114019999999995</v>
      </c>
      <c r="F10095" t="s">
        <v>41</v>
      </c>
      <c r="G10095">
        <v>-169.26419999999999</v>
      </c>
      <c r="H10095">
        <v>7.9986680000000004E-2</v>
      </c>
      <c r="I10095">
        <v>151.8168</v>
      </c>
      <c r="J10095">
        <v>-187.18379999999999</v>
      </c>
      <c r="K10095">
        <v>1.1213690000000001</v>
      </c>
      <c r="L10095">
        <v>100.84269999999999</v>
      </c>
      <c r="M10095">
        <v>1.9720390000000001E-2</v>
      </c>
      <c r="N10095">
        <v>-1.527565E-2</v>
      </c>
      <c r="O10095">
        <v>0.99968880000000004</v>
      </c>
      <c r="P10095">
        <v>0.23679140000000001</v>
      </c>
      <c r="Q10095">
        <v>0.14965909999999999</v>
      </c>
      <c r="R10095">
        <v>0.95996459999999995</v>
      </c>
      <c r="S10095">
        <v>1.0105740000000001</v>
      </c>
      <c r="T10095">
        <v>-5.8716539999999998E-2</v>
      </c>
      <c r="U10095">
        <v>2.8856510000000002</v>
      </c>
      <c r="V10095">
        <v>0.21796289999999999</v>
      </c>
      <c r="W10095">
        <v>0.1641745</v>
      </c>
      <c r="X10095">
        <v>0.9620493</v>
      </c>
      <c r="Y10095">
        <v>0.31176330000000002</v>
      </c>
      <c r="Z10095">
        <v>-4.0337389999999997E-3</v>
      </c>
      <c r="AA10095">
        <v>0.95015119999999997</v>
      </c>
      <c r="AB10095">
        <v>28</v>
      </c>
      <c r="AC10095">
        <v>17.919599999999999</v>
      </c>
      <c r="AD10095">
        <v>-1.0413823200000001</v>
      </c>
      <c r="AE10095">
        <v>50.9741</v>
      </c>
      <c r="AF10095">
        <v>16.904488567723099</v>
      </c>
      <c r="AG10095">
        <v>-1.0413823200000001</v>
      </c>
      <c r="AH10095">
        <v>51.2985521715175</v>
      </c>
      <c r="AI10095">
        <v>91.104557281833806</v>
      </c>
      <c r="AJ10095">
        <v>71.761320648315603</v>
      </c>
      <c r="AK10095">
        <v>54.022103492612999</v>
      </c>
      <c r="AL10095">
        <v>80.550716889026504</v>
      </c>
      <c r="AM10095">
        <v>77.234513216632706</v>
      </c>
      <c r="AN10095">
        <v>0.99999997392857398</v>
      </c>
    </row>
    <row r="10096" spans="1:40" x14ac:dyDescent="0.25">
      <c r="A10096" t="str">
        <f>"20190303162145890"</f>
        <v>20190303162145890</v>
      </c>
      <c r="B10096" t="str">
        <f>"1551601305882748"</f>
        <v>1551601305882748</v>
      </c>
      <c r="C10096" t="s">
        <v>40</v>
      </c>
      <c r="D10096">
        <v>4.7400200000000003</v>
      </c>
      <c r="E10096">
        <v>0.52854350000000005</v>
      </c>
      <c r="F10096" t="s">
        <v>50</v>
      </c>
      <c r="G10096">
        <v>-172.25219999999999</v>
      </c>
      <c r="H10096" s="1">
        <v>-6.6995769999999998E-6</v>
      </c>
      <c r="I10096">
        <v>146.05430000000001</v>
      </c>
      <c r="J10096">
        <v>-187.17760000000001</v>
      </c>
      <c r="K10096">
        <v>1.121318</v>
      </c>
      <c r="L10096">
        <v>101.12730000000001</v>
      </c>
      <c r="M10096">
        <v>2.02969E-2</v>
      </c>
      <c r="N10096">
        <v>-1.526925E-2</v>
      </c>
      <c r="O10096">
        <v>0.99967740000000005</v>
      </c>
      <c r="P10096">
        <v>0.23668649999999999</v>
      </c>
      <c r="Q10096">
        <v>0.14918589999999901</v>
      </c>
      <c r="R10096">
        <v>0.96006409999999998</v>
      </c>
      <c r="S10096">
        <v>0.95777889999999999</v>
      </c>
      <c r="T10096">
        <v>-7.1930289999999994E-2</v>
      </c>
      <c r="U10096">
        <v>2.9000849999999998</v>
      </c>
      <c r="V10096">
        <v>0.2173195</v>
      </c>
      <c r="W10096">
        <v>0.16367209999999999</v>
      </c>
      <c r="X10096">
        <v>0.96228049999999998</v>
      </c>
      <c r="Y10096">
        <v>0.29416340000000002</v>
      </c>
      <c r="Z10096">
        <v>-8.3944359999999999E-3</v>
      </c>
      <c r="AA10096">
        <v>0.95571830000000002</v>
      </c>
      <c r="AB10096">
        <v>28</v>
      </c>
      <c r="AC10096">
        <v>14.9254</v>
      </c>
      <c r="AD10096">
        <v>-1.1213246995770001</v>
      </c>
      <c r="AE10096">
        <v>44.927</v>
      </c>
      <c r="AF10096">
        <v>14.002483730175801</v>
      </c>
      <c r="AG10096">
        <v>-1.1213246995770001</v>
      </c>
      <c r="AH10096">
        <v>45.195361709405198</v>
      </c>
      <c r="AI10096">
        <v>91.357612184429499</v>
      </c>
      <c r="AJ10096">
        <v>72.785907659319506</v>
      </c>
      <c r="AK10096">
        <v>47.328085105354603</v>
      </c>
      <c r="AL10096">
        <v>80.579897644619507</v>
      </c>
      <c r="AM10096">
        <v>77.273924633362896</v>
      </c>
      <c r="AN10096">
        <v>1.0000000410394501</v>
      </c>
    </row>
    <row r="10097" spans="1:40" x14ac:dyDescent="0.25">
      <c r="A10097" t="str">
        <f>"20190303162145905"</f>
        <v>20190303162145905</v>
      </c>
      <c r="B10097" t="str">
        <f>"1551601305892508"</f>
        <v>1551601305892508</v>
      </c>
      <c r="C10097" t="s">
        <v>40</v>
      </c>
      <c r="D10097">
        <v>4.7605149999999998</v>
      </c>
      <c r="E10097">
        <v>0.5276904</v>
      </c>
      <c r="F10097" t="s">
        <v>50</v>
      </c>
      <c r="G10097">
        <v>-173.48140000000001</v>
      </c>
      <c r="H10097" s="1">
        <v>-6.4462530000000002E-6</v>
      </c>
      <c r="I10097">
        <v>143.58699999999999</v>
      </c>
      <c r="J10097">
        <v>-187.17339999999999</v>
      </c>
      <c r="K10097">
        <v>1.1212819999999999</v>
      </c>
      <c r="L10097">
        <v>101.3138</v>
      </c>
      <c r="M10097">
        <v>2.0709450000000001E-2</v>
      </c>
      <c r="N10097">
        <v>-1.526508E-2</v>
      </c>
      <c r="O10097">
        <v>0.99966900000000003</v>
      </c>
      <c r="P10097">
        <v>0.23687620000000001</v>
      </c>
      <c r="Q10097">
        <v>0.14965729999999999</v>
      </c>
      <c r="R10097">
        <v>0.95994400000000002</v>
      </c>
      <c r="S10097">
        <v>0.93727110000000002</v>
      </c>
      <c r="T10097">
        <v>-7.6735499999999998E-2</v>
      </c>
      <c r="U10097">
        <v>2.90564</v>
      </c>
      <c r="V10097">
        <v>0.21712890000000001</v>
      </c>
      <c r="W10097">
        <v>0.16411999999999999</v>
      </c>
      <c r="X10097">
        <v>0.96224719999999997</v>
      </c>
      <c r="Y10097">
        <v>0.28711419999999999</v>
      </c>
      <c r="Z10097">
        <v>-9.9836189999999991E-3</v>
      </c>
      <c r="AA10097">
        <v>0.95784429999999998</v>
      </c>
      <c r="AB10097">
        <v>28</v>
      </c>
      <c r="AC10097">
        <v>13.691999999999901</v>
      </c>
      <c r="AD10097">
        <v>-1.1212884462529999</v>
      </c>
      <c r="AE10097">
        <v>42.273200000000003</v>
      </c>
      <c r="AF10097">
        <v>12.8053521520958</v>
      </c>
      <c r="AG10097">
        <v>-1.1212884462529999</v>
      </c>
      <c r="AH10097">
        <v>42.520643018331199</v>
      </c>
      <c r="AI10097">
        <v>91.446425998820303</v>
      </c>
      <c r="AJ10097">
        <v>73.240003400027106</v>
      </c>
      <c r="AK10097">
        <v>44.421159532493498</v>
      </c>
      <c r="AL10097">
        <v>80.553882731596303</v>
      </c>
      <c r="AM10097">
        <v>77.284297285096201</v>
      </c>
      <c r="AN10097">
        <v>1.00000000376152</v>
      </c>
    </row>
    <row r="10098" spans="1:40" x14ac:dyDescent="0.25">
      <c r="A10098" t="str">
        <f>"20190303162145918"</f>
        <v>20190303162145918</v>
      </c>
      <c r="B10098" t="str">
        <f>"1551601305913005"</f>
        <v>1551601305913005</v>
      </c>
      <c r="C10098" t="s">
        <v>40</v>
      </c>
      <c r="D10098">
        <v>4.7474080000000001</v>
      </c>
      <c r="E10098">
        <v>0.52632650000000003</v>
      </c>
      <c r="F10098" t="s">
        <v>50</v>
      </c>
      <c r="G10098">
        <v>-173.7749</v>
      </c>
      <c r="H10098" s="1">
        <v>-6.4310830000000003E-6</v>
      </c>
      <c r="I10098">
        <v>143.1379</v>
      </c>
      <c r="J10098">
        <v>-187.16919999999999</v>
      </c>
      <c r="K10098">
        <v>1.1212470000000001</v>
      </c>
      <c r="L10098">
        <v>101.49039999999999</v>
      </c>
      <c r="M10098">
        <v>2.114943E-2</v>
      </c>
      <c r="N10098">
        <v>-1.5261250000000001E-2</v>
      </c>
      <c r="O10098">
        <v>0.99965979999999999</v>
      </c>
      <c r="P10098">
        <v>0.23758989999999999</v>
      </c>
      <c r="Q10098">
        <v>0.15040909999999999</v>
      </c>
      <c r="R10098">
        <v>0.95965</v>
      </c>
      <c r="S10098">
        <v>0.931427</v>
      </c>
      <c r="T10098">
        <v>-7.7949050000000006E-2</v>
      </c>
      <c r="U10098">
        <v>2.9075009999999999</v>
      </c>
      <c r="V10098">
        <v>0.21744169999999999</v>
      </c>
      <c r="W10098">
        <v>0.16484279999999901</v>
      </c>
      <c r="X10098">
        <v>0.96205300000000005</v>
      </c>
      <c r="Y10098">
        <v>0.28476610000000002</v>
      </c>
      <c r="Z10098">
        <v>-1.038736E-2</v>
      </c>
      <c r="AA10098">
        <v>0.95854070000000002</v>
      </c>
      <c r="AB10098">
        <v>28</v>
      </c>
      <c r="AC10098">
        <v>13.3942999999999</v>
      </c>
      <c r="AD10098">
        <v>-1.12125343108299</v>
      </c>
      <c r="AE10098">
        <v>41.647500000000001</v>
      </c>
      <c r="AF10098">
        <v>12.502167454350699</v>
      </c>
      <c r="AG10098">
        <v>-1.12125343108299</v>
      </c>
      <c r="AH10098">
        <v>41.893978021833703</v>
      </c>
      <c r="AI10098">
        <v>91.469110109246898</v>
      </c>
      <c r="AJ10098">
        <v>73.383635305289999</v>
      </c>
      <c r="AK10098">
        <v>43.734046174659198</v>
      </c>
      <c r="AL10098">
        <v>80.511897552964498</v>
      </c>
      <c r="AM10098">
        <v>77.264089098992699</v>
      </c>
      <c r="AN10098">
        <v>1.0000000082098599</v>
      </c>
    </row>
    <row r="10099" spans="1:40" x14ac:dyDescent="0.25">
      <c r="A10099" t="str">
        <f>"20190303162145934"</f>
        <v>20190303162145934</v>
      </c>
      <c r="B10099" t="str">
        <f>"1551601305922764"</f>
        <v>1551601305922764</v>
      </c>
      <c r="C10099" t="s">
        <v>40</v>
      </c>
      <c r="D10099">
        <v>4.7508889999999999</v>
      </c>
      <c r="E10099">
        <v>0.52586239999999995</v>
      </c>
      <c r="F10099" t="s">
        <v>50</v>
      </c>
      <c r="G10099">
        <v>-174.13380000000001</v>
      </c>
      <c r="H10099" s="1">
        <v>-6.4066779999999998E-6</v>
      </c>
      <c r="I10099">
        <v>142.57060000000001</v>
      </c>
      <c r="J10099">
        <v>-187.16480000000001</v>
      </c>
      <c r="K10099">
        <v>1.121216</v>
      </c>
      <c r="L10099">
        <v>101.6752</v>
      </c>
      <c r="M10099">
        <v>2.16505E-2</v>
      </c>
      <c r="N10099">
        <v>-1.525732E-2</v>
      </c>
      <c r="O10099">
        <v>0.99964920000000002</v>
      </c>
      <c r="P10099">
        <v>0.2384561</v>
      </c>
      <c r="Q10099">
        <v>0.1525127</v>
      </c>
      <c r="R10099">
        <v>0.95910300000000004</v>
      </c>
      <c r="S10099">
        <v>0.92338560000000003</v>
      </c>
      <c r="T10099">
        <v>-7.9425570000000001E-2</v>
      </c>
      <c r="U10099">
        <v>2.9099729999999999</v>
      </c>
      <c r="V10099">
        <v>0.21785850000000001</v>
      </c>
      <c r="W10099">
        <v>0.1669091</v>
      </c>
      <c r="X10099">
        <v>0.96160230000000002</v>
      </c>
      <c r="Y10099">
        <v>0.28164129999999998</v>
      </c>
      <c r="Z10099">
        <v>-1.087808E-2</v>
      </c>
      <c r="AA10099">
        <v>0.95945809999999998</v>
      </c>
      <c r="AB10099">
        <v>28</v>
      </c>
      <c r="AC10099">
        <v>13.031000000000001</v>
      </c>
      <c r="AD10099">
        <v>-1.1212224066780001</v>
      </c>
      <c r="AE10099">
        <v>40.895400000000002</v>
      </c>
      <c r="AF10099">
        <v>12.1341556087922</v>
      </c>
      <c r="AG10099">
        <v>-1.1212224066780001</v>
      </c>
      <c r="AH10099">
        <v>41.139898659535802</v>
      </c>
      <c r="AI10099">
        <v>91.497402595148102</v>
      </c>
      <c r="AJ10099">
        <v>73.566649923549903</v>
      </c>
      <c r="AK10099">
        <v>42.906714320028001</v>
      </c>
      <c r="AL10099">
        <v>80.391843828256896</v>
      </c>
      <c r="AM10099">
        <v>77.234690450017396</v>
      </c>
      <c r="AN10099">
        <v>0.99999997852517397</v>
      </c>
    </row>
    <row r="10100" spans="1:40" x14ac:dyDescent="0.25">
      <c r="A10100" t="str">
        <f>"20190303162145948"</f>
        <v>20190303162145948</v>
      </c>
      <c r="B10100" t="str">
        <f>"1551601305932524"</f>
        <v>1551601305932524</v>
      </c>
      <c r="C10100" t="s">
        <v>40</v>
      </c>
      <c r="D10100">
        <v>4.7508439999999998</v>
      </c>
      <c r="E10100">
        <v>0.525474</v>
      </c>
      <c r="F10100" t="s">
        <v>50</v>
      </c>
      <c r="G10100">
        <v>-173.2501</v>
      </c>
      <c r="H10100" s="1">
        <v>-6.9826239999999997E-6</v>
      </c>
      <c r="I10100">
        <v>145.5616</v>
      </c>
      <c r="J10100">
        <v>-187.16069999999999</v>
      </c>
      <c r="K10100">
        <v>1.121175</v>
      </c>
      <c r="L10100">
        <v>101.84050000000001</v>
      </c>
      <c r="M10100">
        <v>2.2135040000000002E-2</v>
      </c>
      <c r="N10100">
        <v>-1.5253879999999999E-2</v>
      </c>
      <c r="O10100">
        <v>0.99963860000000004</v>
      </c>
      <c r="P10100">
        <v>0.23907010000000001</v>
      </c>
      <c r="Q10100">
        <v>0.15334139999999999</v>
      </c>
      <c r="R10100">
        <v>0.95881799999999995</v>
      </c>
      <c r="S10100">
        <v>0.92276000000000002</v>
      </c>
      <c r="T10100">
        <v>-7.4354290000000003E-2</v>
      </c>
      <c r="U10100">
        <v>2.910339</v>
      </c>
      <c r="V10100">
        <v>0.21803249999999999</v>
      </c>
      <c r="W10100">
        <v>0.16770589999999999</v>
      </c>
      <c r="X10100">
        <v>0.96142419999999995</v>
      </c>
      <c r="Y10100">
        <v>0.28096280000000001</v>
      </c>
      <c r="Z10100">
        <v>-9.2178190000000004E-3</v>
      </c>
      <c r="AA10100">
        <v>0.95967440000000004</v>
      </c>
      <c r="AB10100">
        <v>28</v>
      </c>
      <c r="AC10100">
        <v>13.910599999999899</v>
      </c>
      <c r="AD10100">
        <v>-1.1211819826239999</v>
      </c>
      <c r="AE10100">
        <v>43.7210999999999</v>
      </c>
      <c r="AF10100">
        <v>12.931587799072799</v>
      </c>
      <c r="AG10100">
        <v>-1.1211819826239999</v>
      </c>
      <c r="AH10100">
        <v>43.9920625418006</v>
      </c>
      <c r="AI10100">
        <v>91.400687871310794</v>
      </c>
      <c r="AJ10100">
        <v>73.619155693775596</v>
      </c>
      <c r="AK10100">
        <v>45.867031501122703</v>
      </c>
      <c r="AL10100">
        <v>80.3455377344509</v>
      </c>
      <c r="AM10100">
        <v>77.222540578816506</v>
      </c>
      <c r="AN10100">
        <v>0.99999996614834896</v>
      </c>
    </row>
    <row r="10101" spans="1:40" x14ac:dyDescent="0.25">
      <c r="A10101" t="str">
        <f>"20190303162145967"</f>
        <v>20190303162145967</v>
      </c>
      <c r="B10101" t="str">
        <f>"1551601305962780"</f>
        <v>1551601305962780</v>
      </c>
      <c r="C10101" t="s">
        <v>40</v>
      </c>
      <c r="D10101">
        <v>4.799023</v>
      </c>
      <c r="E10101">
        <v>0.5248294</v>
      </c>
      <c r="F10101" t="s">
        <v>50</v>
      </c>
      <c r="G10101">
        <v>-172.75980000000001</v>
      </c>
      <c r="H10101" s="1">
        <v>-7.3302769999999902E-6</v>
      </c>
      <c r="I10101">
        <v>147.30779999999999</v>
      </c>
      <c r="J10101">
        <v>-187.154</v>
      </c>
      <c r="K10101">
        <v>1.121089</v>
      </c>
      <c r="L10101">
        <v>102.1045</v>
      </c>
      <c r="M10101">
        <v>2.3035110000000001E-2</v>
      </c>
      <c r="N10101">
        <v>-1.524878E-2</v>
      </c>
      <c r="O10101">
        <v>0.99961840000000002</v>
      </c>
      <c r="P10101">
        <v>0.23980270000000001</v>
      </c>
      <c r="Q10101">
        <v>0.15519729999999901</v>
      </c>
      <c r="R10101">
        <v>0.95833630000000003</v>
      </c>
      <c r="S10101">
        <v>0.92184449999999996</v>
      </c>
      <c r="T10101">
        <v>-7.1770189999999998E-2</v>
      </c>
      <c r="U10101">
        <v>2.9104920000000001</v>
      </c>
      <c r="V10101">
        <v>0.2179509</v>
      </c>
      <c r="W10101">
        <v>0.16950129999999999</v>
      </c>
      <c r="X10101">
        <v>0.96112779999999998</v>
      </c>
      <c r="Y10101">
        <v>0.27981400000000001</v>
      </c>
      <c r="Z10101">
        <v>-8.3798540000000008E-3</v>
      </c>
      <c r="AA10101">
        <v>0.96001769999999997</v>
      </c>
      <c r="AB10101">
        <v>28</v>
      </c>
      <c r="AC10101">
        <v>14.3942</v>
      </c>
      <c r="AD10101">
        <v>-1.1210963302770001</v>
      </c>
      <c r="AE10101">
        <v>45.203299999999899</v>
      </c>
      <c r="AF10101">
        <v>13.341544814248101</v>
      </c>
      <c r="AG10101">
        <v>-1.1210963302770001</v>
      </c>
      <c r="AH10101">
        <v>45.4975042911624</v>
      </c>
      <c r="AI10101">
        <v>91.354517398638805</v>
      </c>
      <c r="AJ10101">
        <v>73.656918728479695</v>
      </c>
      <c r="AK10101">
        <v>47.426538686021502</v>
      </c>
      <c r="AL10101">
        <v>80.241174812398995</v>
      </c>
      <c r="AM10101">
        <v>77.223356010602302</v>
      </c>
      <c r="AN10101">
        <v>0.999999966722669</v>
      </c>
    </row>
    <row r="10102" spans="1:40" x14ac:dyDescent="0.25">
      <c r="A10102" t="str">
        <f>"20190303162145980"</f>
        <v>20190303162145980</v>
      </c>
      <c r="B10102" t="str">
        <f>"1551601305972540"</f>
        <v>1551601305972540</v>
      </c>
      <c r="C10102" t="s">
        <v>40</v>
      </c>
      <c r="D10102">
        <v>4.8081670000000001</v>
      </c>
      <c r="E10102">
        <v>0.52465439999999997</v>
      </c>
      <c r="F10102" t="s">
        <v>50</v>
      </c>
      <c r="G10102">
        <v>-172.14490000000001</v>
      </c>
      <c r="H10102" s="1">
        <v>-7.7956950000000002E-6</v>
      </c>
      <c r="I10102">
        <v>149.58879999999999</v>
      </c>
      <c r="J10102">
        <v>-187.1498</v>
      </c>
      <c r="K10102">
        <v>1.12103</v>
      </c>
      <c r="L10102">
        <v>102.2589</v>
      </c>
      <c r="M10102">
        <v>2.3626649999999999E-2</v>
      </c>
      <c r="N10102">
        <v>-1.52461E-2</v>
      </c>
      <c r="O10102">
        <v>0.99960459999999995</v>
      </c>
      <c r="P10102">
        <v>0.2399327</v>
      </c>
      <c r="Q10102">
        <v>0.15588440000000001</v>
      </c>
      <c r="R10102">
        <v>0.95819219999999905</v>
      </c>
      <c r="S10102">
        <v>0.92021180000000002</v>
      </c>
      <c r="T10102">
        <v>-6.8734879999999998E-2</v>
      </c>
      <c r="U10102">
        <v>2.9112849999999999</v>
      </c>
      <c r="V10102">
        <v>0.2175414</v>
      </c>
      <c r="W10102">
        <v>0.17015259999999999</v>
      </c>
      <c r="X10102">
        <v>0.96110549999999995</v>
      </c>
      <c r="Y10102">
        <v>0.27868569999999998</v>
      </c>
      <c r="Z10102">
        <v>-7.38646099999999E-3</v>
      </c>
      <c r="AA10102">
        <v>0.96035400000000004</v>
      </c>
      <c r="AB10102">
        <v>28</v>
      </c>
      <c r="AC10102">
        <v>15.0048999999999</v>
      </c>
      <c r="AD10102">
        <v>-1.121037795695</v>
      </c>
      <c r="AE10102">
        <v>47.329900000000002</v>
      </c>
      <c r="AF10102">
        <v>13.875260245605</v>
      </c>
      <c r="AG10102">
        <v>-1.121037795695</v>
      </c>
      <c r="AH10102">
        <v>47.646952476377699</v>
      </c>
      <c r="AI10102">
        <v>91.294071978010706</v>
      </c>
      <c r="AJ10102">
        <v>73.763921719821695</v>
      </c>
      <c r="AK10102">
        <v>49.638811961094</v>
      </c>
      <c r="AL10102">
        <v>80.203308094785996</v>
      </c>
      <c r="AM10102">
        <v>77.246289548725798</v>
      </c>
      <c r="AN10102">
        <v>0.99999997506548399</v>
      </c>
    </row>
    <row r="10103" spans="1:40" x14ac:dyDescent="0.25">
      <c r="A10103" t="str">
        <f>"20190303162146000"</f>
        <v>20190303162146000</v>
      </c>
      <c r="B10103" t="str">
        <f>"1551601305993036"</f>
        <v>1551601305993036</v>
      </c>
      <c r="C10103" t="s">
        <v>40</v>
      </c>
      <c r="D10103">
        <v>4.7936949999999996</v>
      </c>
      <c r="E10103">
        <v>0.5242156</v>
      </c>
      <c r="F10103" t="s">
        <v>50</v>
      </c>
      <c r="G10103">
        <v>-172.19309999999999</v>
      </c>
      <c r="H10103">
        <v>3.364756E-2</v>
      </c>
      <c r="I10103">
        <v>149.6163</v>
      </c>
      <c r="J10103">
        <v>-187.14250000000001</v>
      </c>
      <c r="K10103">
        <v>1.1209309999999999</v>
      </c>
      <c r="L10103">
        <v>102.51779999999999</v>
      </c>
      <c r="M10103">
        <v>2.4706769999999999E-2</v>
      </c>
      <c r="N10103">
        <v>-1.5242E-2</v>
      </c>
      <c r="O10103">
        <v>0.99957850000000004</v>
      </c>
      <c r="P10103">
        <v>0.24151210000000001</v>
      </c>
      <c r="Q10103">
        <v>0.15758339999999901</v>
      </c>
      <c r="R10103">
        <v>0.95751730000000002</v>
      </c>
      <c r="S10103">
        <v>0.91952509999999998</v>
      </c>
      <c r="T10103">
        <v>-6.6851499999999994E-2</v>
      </c>
      <c r="U10103">
        <v>2.9114990000000001</v>
      </c>
      <c r="V10103">
        <v>0.21814310000000001</v>
      </c>
      <c r="W10103">
        <v>0.171784299999999</v>
      </c>
      <c r="X10103">
        <v>0.96067880000000005</v>
      </c>
      <c r="Y10103">
        <v>0.27742450000000002</v>
      </c>
      <c r="Z10103">
        <v>-6.7770410000000001E-3</v>
      </c>
      <c r="AA10103">
        <v>0.96072349999999995</v>
      </c>
      <c r="AB10103">
        <v>28</v>
      </c>
      <c r="AC10103">
        <v>14.949400000000001</v>
      </c>
      <c r="AD10103">
        <v>-1.08728344</v>
      </c>
      <c r="AE10103">
        <v>47.098500000000001</v>
      </c>
      <c r="AF10103">
        <v>13.7743795324195</v>
      </c>
      <c r="AG10103">
        <v>-1.08728344</v>
      </c>
      <c r="AH10103">
        <v>47.4305500339334</v>
      </c>
      <c r="AI10103">
        <v>91.261114707393403</v>
      </c>
      <c r="AJ10103">
        <v>73.806092569164306</v>
      </c>
      <c r="AK10103">
        <v>49.402153731426502</v>
      </c>
      <c r="AL10103">
        <v>80.108421816742407</v>
      </c>
      <c r="AM10103">
        <v>77.206679235640195</v>
      </c>
      <c r="AN10103">
        <v>1.0000000072867701</v>
      </c>
    </row>
    <row r="10104" spans="1:40" x14ac:dyDescent="0.25">
      <c r="A10104" t="str">
        <f>"20190303162146014"</f>
        <v>20190303162146014</v>
      </c>
      <c r="B10104" t="str">
        <f>"1551601306002797"</f>
        <v>1551601306002797</v>
      </c>
      <c r="C10104" t="s">
        <v>40</v>
      </c>
      <c r="D10104">
        <v>4.6071220000000004</v>
      </c>
      <c r="E10104">
        <v>0.52376880000000003</v>
      </c>
      <c r="F10104" t="s">
        <v>50</v>
      </c>
      <c r="G10104">
        <v>-171.8571</v>
      </c>
      <c r="H10104">
        <v>7.9984260000000001E-2</v>
      </c>
      <c r="I10104">
        <v>150.8476</v>
      </c>
      <c r="J10104">
        <v>-187.13759999999999</v>
      </c>
      <c r="K10104">
        <v>1.1208689999999999</v>
      </c>
      <c r="L10104">
        <v>102.684</v>
      </c>
      <c r="M10104">
        <v>2.546909E-2</v>
      </c>
      <c r="N10104">
        <v>-1.52395E-2</v>
      </c>
      <c r="O10104">
        <v>0.99955950000000005</v>
      </c>
      <c r="P10104">
        <v>0.24263950000000001</v>
      </c>
      <c r="Q10104">
        <v>0.1586986</v>
      </c>
      <c r="R10104">
        <v>0.95704800000000001</v>
      </c>
      <c r="S10104">
        <v>0.92073059999999995</v>
      </c>
      <c r="T10104">
        <v>-6.2702419999999995E-2</v>
      </c>
      <c r="U10104">
        <v>2.9111940000000001</v>
      </c>
      <c r="V10104">
        <v>0.21857740000000001</v>
      </c>
      <c r="W10104">
        <v>0.1728567</v>
      </c>
      <c r="X10104">
        <v>0.96038769999999996</v>
      </c>
      <c r="Y10104">
        <v>0.2770878</v>
      </c>
      <c r="Z10104">
        <v>-5.4200300000000002E-3</v>
      </c>
      <c r="AA10104">
        <v>0.9608293</v>
      </c>
      <c r="AB10104">
        <v>28</v>
      </c>
      <c r="AC10104">
        <v>15.2804999999999</v>
      </c>
      <c r="AD10104">
        <v>-1.0408847400000001</v>
      </c>
      <c r="AE10104">
        <v>48.163600000000002</v>
      </c>
      <c r="AF10104">
        <v>14.0427576136579</v>
      </c>
      <c r="AG10104">
        <v>-1.0408847400000001</v>
      </c>
      <c r="AH10104">
        <v>48.516610559671001</v>
      </c>
      <c r="AI10104">
        <v>91.180601744603607</v>
      </c>
      <c r="AJ10104">
        <v>73.857322278097797</v>
      </c>
      <c r="AK10104">
        <v>50.518748822953697</v>
      </c>
      <c r="AL10104">
        <v>80.046044909277796</v>
      </c>
      <c r="AM10104">
        <v>77.178292839941705</v>
      </c>
      <c r="AN10104">
        <v>1.0000000264184601</v>
      </c>
    </row>
    <row r="10105" spans="1:40" x14ac:dyDescent="0.25">
      <c r="A10105" t="str">
        <f>"20190303162146028"</f>
        <v>20190303162146028</v>
      </c>
      <c r="B10105" t="str">
        <f>"1551601306023293"</f>
        <v>1551601306023293</v>
      </c>
      <c r="C10105" t="s">
        <v>40</v>
      </c>
      <c r="D10105">
        <v>5.0145839999999904</v>
      </c>
      <c r="E10105">
        <v>0.52350209999999997</v>
      </c>
      <c r="F10105" t="s">
        <v>50</v>
      </c>
      <c r="G10105">
        <v>-170.97470000000001</v>
      </c>
      <c r="H10105">
        <v>7.9983910000000005E-2</v>
      </c>
      <c r="I10105">
        <v>153.792</v>
      </c>
      <c r="J10105">
        <v>-187.13229999999999</v>
      </c>
      <c r="K10105">
        <v>1.120806</v>
      </c>
      <c r="L10105">
        <v>102.85809999999999</v>
      </c>
      <c r="M10105">
        <v>2.6306900000000001E-2</v>
      </c>
      <c r="N10105">
        <v>-1.523684E-2</v>
      </c>
      <c r="O10105">
        <v>0.99953780000000003</v>
      </c>
      <c r="P10105">
        <v>0.24425350000000001</v>
      </c>
      <c r="Q10105">
        <v>0.159471</v>
      </c>
      <c r="R10105">
        <v>0.9565089</v>
      </c>
      <c r="S10105">
        <v>0.92062379999999999</v>
      </c>
      <c r="T10105">
        <v>-5.9288019999999997E-2</v>
      </c>
      <c r="U10105">
        <v>2.9110719999999999</v>
      </c>
      <c r="V10105">
        <v>0.21942700000000001</v>
      </c>
      <c r="W10105">
        <v>0.17358509999999999</v>
      </c>
      <c r="X10105">
        <v>0.96006250000000004</v>
      </c>
      <c r="Y10105">
        <v>0.27626600000000001</v>
      </c>
      <c r="Z10105">
        <v>-4.3057729999999997E-3</v>
      </c>
      <c r="AA10105">
        <v>0.96107160000000003</v>
      </c>
      <c r="AB10105">
        <v>28</v>
      </c>
      <c r="AC10105">
        <v>16.157599999999899</v>
      </c>
      <c r="AD10105">
        <v>-1.04082209</v>
      </c>
      <c r="AE10105">
        <v>50.933900000000001</v>
      </c>
      <c r="AF10105">
        <v>14.806320706337299</v>
      </c>
      <c r="AG10105">
        <v>-1.04082209</v>
      </c>
      <c r="AH10105">
        <v>51.321902588113701</v>
      </c>
      <c r="AI10105">
        <v>91.116299542974502</v>
      </c>
      <c r="AJ10105">
        <v>73.907198936705001</v>
      </c>
      <c r="AK10105">
        <v>53.425163815806698</v>
      </c>
      <c r="AL10105">
        <v>80.003669812294305</v>
      </c>
      <c r="AM10105">
        <v>77.125897798785104</v>
      </c>
      <c r="AN10105">
        <v>0.99999999958862995</v>
      </c>
    </row>
    <row r="10106" spans="1:40" x14ac:dyDescent="0.25">
      <c r="A10106" t="str">
        <f>"20190303162146040"</f>
        <v>20190303162146040</v>
      </c>
      <c r="B10106" t="str">
        <f>"1551601306033053"</f>
        <v>1551601306033053</v>
      </c>
      <c r="C10106" t="s">
        <v>40</v>
      </c>
      <c r="D10106">
        <v>5.0196430000000003</v>
      </c>
      <c r="E10106">
        <v>0.4972104</v>
      </c>
      <c r="F10106" t="s">
        <v>50</v>
      </c>
      <c r="G10106">
        <v>-170.9522</v>
      </c>
      <c r="H10106">
        <v>7.9983899999999997E-2</v>
      </c>
      <c r="I10106">
        <v>153.8715</v>
      </c>
      <c r="J10106">
        <v>-187.12710000000001</v>
      </c>
      <c r="K10106">
        <v>1.120746</v>
      </c>
      <c r="L10106">
        <v>103.0218</v>
      </c>
      <c r="M10106">
        <v>2.7144890000000001E-2</v>
      </c>
      <c r="N10106">
        <v>-1.5234320000000001E-2</v>
      </c>
      <c r="O10106">
        <v>0.99951540000000005</v>
      </c>
      <c r="P10106">
        <v>0.24616640000000001</v>
      </c>
      <c r="Q10106">
        <v>0.15980939999999999</v>
      </c>
      <c r="R10106">
        <v>0.95596179999999997</v>
      </c>
      <c r="S10106">
        <v>0.92315670000000005</v>
      </c>
      <c r="T10106">
        <v>-5.9384350000000002E-2</v>
      </c>
      <c r="U10106">
        <v>2.9105829999999999</v>
      </c>
      <c r="V10106">
        <v>0.2205704</v>
      </c>
      <c r="W10106">
        <v>0.1738847</v>
      </c>
      <c r="X10106">
        <v>0.95974619999999999</v>
      </c>
      <c r="Y10106">
        <v>0.27626669999999998</v>
      </c>
      <c r="Z10106">
        <v>-4.3420120000000001E-3</v>
      </c>
      <c r="AA10106">
        <v>0.96107120000000001</v>
      </c>
      <c r="AB10106">
        <v>28</v>
      </c>
      <c r="AC10106">
        <v>16.174900000000001</v>
      </c>
      <c r="AD10106">
        <v>-1.0407621</v>
      </c>
      <c r="AE10106">
        <v>50.849699999999999</v>
      </c>
      <c r="AF10106">
        <v>14.7828448464929</v>
      </c>
      <c r="AG10106">
        <v>-1.0407621</v>
      </c>
      <c r="AH10106">
        <v>51.250577971633199</v>
      </c>
      <c r="AI10106">
        <v>91.117805104698604</v>
      </c>
      <c r="AJ10106">
        <v>73.910190674611499</v>
      </c>
      <c r="AK10106">
        <v>53.350139924190799</v>
      </c>
      <c r="AL10106">
        <v>79.986238710638801</v>
      </c>
      <c r="AM10106">
        <v>77.056944290727003</v>
      </c>
      <c r="AN10106">
        <v>0.99999997933234397</v>
      </c>
    </row>
    <row r="10107" spans="1:40" x14ac:dyDescent="0.25">
      <c r="A10107" t="str">
        <f>"20190303162146057"</f>
        <v>20190303162146057</v>
      </c>
      <c r="B10107" t="str">
        <f>"1551601306052573"</f>
        <v>1551601306052573</v>
      </c>
      <c r="C10107" t="s">
        <v>40</v>
      </c>
      <c r="D10107">
        <v>4.7889350000000004</v>
      </c>
      <c r="E10107">
        <v>0.49557780000000001</v>
      </c>
      <c r="F10107" t="s">
        <v>50</v>
      </c>
      <c r="G10107">
        <v>-176.5522</v>
      </c>
      <c r="H10107" s="1">
        <v>-8.9538810000000005E-6</v>
      </c>
      <c r="I10107">
        <v>146.2457</v>
      </c>
      <c r="J10107">
        <v>-187.12049999999999</v>
      </c>
      <c r="K10107">
        <v>1.1206959999999999</v>
      </c>
      <c r="L10107">
        <v>103.2212</v>
      </c>
      <c r="M10107">
        <v>2.8211079999999999E-2</v>
      </c>
      <c r="N10107">
        <v>-1.5231079999999999E-2</v>
      </c>
      <c r="O10107">
        <v>0.99948599999999999</v>
      </c>
      <c r="P10107">
        <v>0.25065090000000001</v>
      </c>
      <c r="Q10107">
        <v>0.16179260000000001</v>
      </c>
      <c r="R10107">
        <v>0.95446180000000003</v>
      </c>
      <c r="S10107">
        <v>0.72523499999999996</v>
      </c>
      <c r="T10107">
        <v>-7.6862100000000003E-2</v>
      </c>
      <c r="U10107">
        <v>2.9643250000000001</v>
      </c>
      <c r="V10107">
        <v>0.2240962</v>
      </c>
      <c r="W10107">
        <v>0.17580999999999999</v>
      </c>
      <c r="X10107">
        <v>0.95857800000000004</v>
      </c>
      <c r="Y10107">
        <v>0.21006910000000001</v>
      </c>
      <c r="Z10107">
        <v>-1.006636E-2</v>
      </c>
      <c r="AA10107">
        <v>0.97763469999999997</v>
      </c>
      <c r="AB10107">
        <v>28</v>
      </c>
      <c r="AC10107">
        <v>10.568299999999899</v>
      </c>
      <c r="AD10107">
        <v>-1.1207049538810001</v>
      </c>
      <c r="AE10107">
        <v>43.024500000000003</v>
      </c>
      <c r="AF10107">
        <v>9.3442050718883092</v>
      </c>
      <c r="AG10107">
        <v>-1.1207049538810001</v>
      </c>
      <c r="AH10107">
        <v>43.277856307227196</v>
      </c>
      <c r="AI10107">
        <v>91.449977842338996</v>
      </c>
      <c r="AJ10107">
        <v>77.816188509676294</v>
      </c>
      <c r="AK10107">
        <v>44.289310161348901</v>
      </c>
      <c r="AL10107">
        <v>79.874201691604597</v>
      </c>
      <c r="AM10107">
        <v>76.841718726383505</v>
      </c>
      <c r="AN10107">
        <v>1.0000000225192101</v>
      </c>
    </row>
    <row r="10108" spans="1:40" x14ac:dyDescent="0.25">
      <c r="A10108" t="str">
        <f>"20190303162146080"</f>
        <v>20190303162146080</v>
      </c>
      <c r="B10108" t="str">
        <f>"1551601306073068"</f>
        <v>1551601306073068</v>
      </c>
      <c r="C10108" t="s">
        <v>40</v>
      </c>
      <c r="D10108">
        <v>4.8132840000000003</v>
      </c>
      <c r="E10108">
        <v>0.49564560000000002</v>
      </c>
      <c r="F10108" t="s">
        <v>50</v>
      </c>
      <c r="G10108">
        <v>-176.96279999999999</v>
      </c>
      <c r="H10108" s="1">
        <v>-8.7309010000000008E-6</v>
      </c>
      <c r="I10108">
        <v>144.76660000000001</v>
      </c>
      <c r="J10108">
        <v>-187.11060000000001</v>
      </c>
      <c r="K10108">
        <v>1.120635</v>
      </c>
      <c r="L10108">
        <v>103.50839999999999</v>
      </c>
      <c r="M10108">
        <v>2.9806030000000001E-2</v>
      </c>
      <c r="N10108">
        <v>-1.522602E-2</v>
      </c>
      <c r="O10108">
        <v>0.99943970000000004</v>
      </c>
      <c r="P10108">
        <v>0.25611200000000001</v>
      </c>
      <c r="Q10108">
        <v>0.1618291</v>
      </c>
      <c r="R10108">
        <v>0.95300469999999904</v>
      </c>
      <c r="S10108">
        <v>0.72523499999999996</v>
      </c>
      <c r="T10108">
        <v>-8.0015660000000002E-2</v>
      </c>
      <c r="U10108">
        <v>2.9662480000000002</v>
      </c>
      <c r="V10108">
        <v>0.22808709999999999</v>
      </c>
      <c r="W10108">
        <v>0.175787</v>
      </c>
      <c r="X10108">
        <v>0.95764050000000001</v>
      </c>
      <c r="Y10108">
        <v>0.20835870000000001</v>
      </c>
      <c r="Z10108">
        <v>-1.109606E-2</v>
      </c>
      <c r="AA10108">
        <v>0.97798960000000001</v>
      </c>
      <c r="AB10108">
        <v>28</v>
      </c>
      <c r="AC10108">
        <v>10.1478</v>
      </c>
      <c r="AD10108">
        <v>-1.120643730901</v>
      </c>
      <c r="AE10108">
        <v>41.258200000000002</v>
      </c>
      <c r="AF10108">
        <v>8.9072080377872798</v>
      </c>
      <c r="AG10108">
        <v>-1.120643730901</v>
      </c>
      <c r="AH10108">
        <v>41.513485650446199</v>
      </c>
      <c r="AI10108">
        <v>91.511912664969699</v>
      </c>
      <c r="AJ10108">
        <v>77.890119926513506</v>
      </c>
      <c r="AK10108">
        <v>42.473093697655599</v>
      </c>
      <c r="AL10108">
        <v>79.875540735078999</v>
      </c>
      <c r="AM10108">
        <v>76.603116673112098</v>
      </c>
      <c r="AN10108">
        <v>1.0000000608978199</v>
      </c>
    </row>
    <row r="10109" spans="1:40" x14ac:dyDescent="0.25">
      <c r="A10109" t="str">
        <f>"20190303162146102"</f>
        <v>20190303162146102</v>
      </c>
      <c r="B10109" t="str">
        <f>"1551601306092588"</f>
        <v>1551601306092588</v>
      </c>
      <c r="C10109" t="s">
        <v>40</v>
      </c>
      <c r="D10109">
        <v>4.8900430000000004</v>
      </c>
      <c r="E10109">
        <v>0.49566510000000003</v>
      </c>
      <c r="F10109" t="s">
        <v>50</v>
      </c>
      <c r="G10109">
        <v>-177.09559999999999</v>
      </c>
      <c r="H10109" s="1">
        <v>-8.4128009999999996E-6</v>
      </c>
      <c r="I10109">
        <v>143.5282</v>
      </c>
      <c r="J10109">
        <v>-187.10079999999999</v>
      </c>
      <c r="K10109">
        <v>1.120611</v>
      </c>
      <c r="L10109">
        <v>103.7799</v>
      </c>
      <c r="M10109">
        <v>3.1358959999999998E-2</v>
      </c>
      <c r="N10109">
        <v>-1.522069E-2</v>
      </c>
      <c r="O10109">
        <v>0.99939230000000001</v>
      </c>
      <c r="P10109">
        <v>0.26110660000000002</v>
      </c>
      <c r="Q10109">
        <v>0.161581</v>
      </c>
      <c r="R10109">
        <v>0.95169060000000005</v>
      </c>
      <c r="S10109">
        <v>0.74143979999999998</v>
      </c>
      <c r="T10109">
        <v>-8.2964179999999998E-2</v>
      </c>
      <c r="U10109">
        <v>2.9627690000000002</v>
      </c>
      <c r="V10109">
        <v>0.23163880000000001</v>
      </c>
      <c r="W10109">
        <v>0.1754964</v>
      </c>
      <c r="X10109">
        <v>0.95684089999999999</v>
      </c>
      <c r="Y10109">
        <v>0.2121372</v>
      </c>
      <c r="Z10109">
        <v>-1.2073199999999999E-2</v>
      </c>
      <c r="AA10109">
        <v>0.97716530000000001</v>
      </c>
      <c r="AB10109">
        <v>28</v>
      </c>
      <c r="AC10109">
        <v>10.0052</v>
      </c>
      <c r="AD10109">
        <v>-1.1206194128010001</v>
      </c>
      <c r="AE10109">
        <v>39.7483</v>
      </c>
      <c r="AF10109">
        <v>8.7471301320067205</v>
      </c>
      <c r="AG10109">
        <v>-1.1206194128010001</v>
      </c>
      <c r="AH10109">
        <v>40.012627155281798</v>
      </c>
      <c r="AI10109">
        <v>91.567249884562798</v>
      </c>
      <c r="AJ10109">
        <v>77.668609441783502</v>
      </c>
      <c r="AK10109">
        <v>40.9728984242292</v>
      </c>
      <c r="AL10109">
        <v>79.892453336623404</v>
      </c>
      <c r="AM10109">
        <v>76.391253344889193</v>
      </c>
      <c r="AN10109">
        <v>1.0000000139956</v>
      </c>
    </row>
    <row r="10110" spans="1:40" x14ac:dyDescent="0.25">
      <c r="A10110" t="str">
        <f>"20190303162146123"</f>
        <v>20190303162146123</v>
      </c>
      <c r="B10110" t="str">
        <f>"1551601306113084"</f>
        <v>1551601306113084</v>
      </c>
      <c r="C10110" t="s">
        <v>40</v>
      </c>
      <c r="D10110">
        <v>4.7083589999999997</v>
      </c>
      <c r="E10110">
        <v>0.49574800000000002</v>
      </c>
      <c r="F10110" t="s">
        <v>50</v>
      </c>
      <c r="G10110">
        <v>-176.88319999999999</v>
      </c>
      <c r="H10110" s="1">
        <v>-8.3492120000000008E-6</v>
      </c>
      <c r="I10110">
        <v>143.74029999999999</v>
      </c>
      <c r="J10110">
        <v>-187.0907</v>
      </c>
      <c r="K10110">
        <v>1.120601</v>
      </c>
      <c r="L10110">
        <v>104.0472</v>
      </c>
      <c r="M10110">
        <v>3.2905799999999999E-2</v>
      </c>
      <c r="N10110">
        <v>-1.5215040000000001E-2</v>
      </c>
      <c r="O10110">
        <v>0.99934259999999997</v>
      </c>
      <c r="P10110">
        <v>0.2655824</v>
      </c>
      <c r="Q10110">
        <v>0.1613282</v>
      </c>
      <c r="R10110">
        <v>0.95049419999999996</v>
      </c>
      <c r="S10110">
        <v>0.75654600000000005</v>
      </c>
      <c r="T10110">
        <v>-8.2974549999999994E-2</v>
      </c>
      <c r="U10110">
        <v>2.9588009999999998</v>
      </c>
      <c r="V10110">
        <v>0.23466960000000001</v>
      </c>
      <c r="W10110">
        <v>0.17521389999999901</v>
      </c>
      <c r="X10110">
        <v>0.9561539</v>
      </c>
      <c r="Y10110">
        <v>0.21561910000000001</v>
      </c>
      <c r="Z10110">
        <v>-1.2092449999999999E-2</v>
      </c>
      <c r="AA10110">
        <v>0.97640260000000001</v>
      </c>
      <c r="AB10110">
        <v>28</v>
      </c>
      <c r="AC10110">
        <v>10.2075</v>
      </c>
      <c r="AD10110">
        <v>-1.1206093492119999</v>
      </c>
      <c r="AE10110">
        <v>39.693099999999902</v>
      </c>
      <c r="AF10110">
        <v>8.8890410316626198</v>
      </c>
      <c r="AG10110">
        <v>-1.1206093492119999</v>
      </c>
      <c r="AH10110">
        <v>39.977637203633499</v>
      </c>
      <c r="AI10110">
        <v>91.567374078610399</v>
      </c>
      <c r="AJ10110">
        <v>77.464197576613103</v>
      </c>
      <c r="AK10110">
        <v>40.969284740662196</v>
      </c>
      <c r="AL10110">
        <v>79.908894060964002</v>
      </c>
      <c r="AM10110">
        <v>76.210417251851894</v>
      </c>
      <c r="AN10110">
        <v>1.0000000062012899</v>
      </c>
    </row>
    <row r="10111" spans="1:40" x14ac:dyDescent="0.25">
      <c r="A10111" t="str">
        <f>"20190303162146147"</f>
        <v>20190303162146147</v>
      </c>
      <c r="B10111" t="str">
        <f>"1551601306132605"</f>
        <v>1551601306132605</v>
      </c>
      <c r="C10111" t="s">
        <v>40</v>
      </c>
      <c r="D10111">
        <v>4.7192259999999999</v>
      </c>
      <c r="E10111">
        <v>0.49580390000000002</v>
      </c>
      <c r="F10111" t="s">
        <v>50</v>
      </c>
      <c r="G10111">
        <v>-176.7655</v>
      </c>
      <c r="H10111" s="1">
        <v>-8.2384099999999996E-6</v>
      </c>
      <c r="I10111">
        <v>143.6242</v>
      </c>
      <c r="J10111">
        <v>-187.0795</v>
      </c>
      <c r="K10111">
        <v>1.120608</v>
      </c>
      <c r="L10111">
        <v>104.33110000000001</v>
      </c>
      <c r="M10111">
        <v>3.454898E-2</v>
      </c>
      <c r="N10111">
        <v>-1.520875E-2</v>
      </c>
      <c r="O10111">
        <v>0.99928720000000004</v>
      </c>
      <c r="P10111">
        <v>0.26931690000000003</v>
      </c>
      <c r="Q10111">
        <v>0.1621426</v>
      </c>
      <c r="R10111">
        <v>0.94930400000000004</v>
      </c>
      <c r="S10111">
        <v>0.77093509999999998</v>
      </c>
      <c r="T10111">
        <v>-8.3671209999999996E-2</v>
      </c>
      <c r="U10111">
        <v>2.9550480000000001</v>
      </c>
      <c r="V10111">
        <v>0.23686789999999999</v>
      </c>
      <c r="W10111">
        <v>0.1760062</v>
      </c>
      <c r="X10111">
        <v>0.95546609999999998</v>
      </c>
      <c r="Y10111">
        <v>0.2187646</v>
      </c>
      <c r="Z10111">
        <v>-1.2337030000000001E-2</v>
      </c>
      <c r="AA10111">
        <v>0.97569969999999995</v>
      </c>
      <c r="AB10111">
        <v>28</v>
      </c>
      <c r="AC10111">
        <v>10.313999999999901</v>
      </c>
      <c r="AD10111">
        <v>-1.12061623841</v>
      </c>
      <c r="AE10111">
        <v>39.293100000000003</v>
      </c>
      <c r="AF10111">
        <v>8.9433422684419401</v>
      </c>
      <c r="AG10111">
        <v>-1.12061623841</v>
      </c>
      <c r="AH10111">
        <v>39.595886591227099</v>
      </c>
      <c r="AI10111">
        <v>91.581301516436497</v>
      </c>
      <c r="AJ10111">
        <v>77.272428647832299</v>
      </c>
      <c r="AK10111">
        <v>40.608784599266301</v>
      </c>
      <c r="AL10111">
        <v>79.862782230422894</v>
      </c>
      <c r="AM10111">
        <v>76.076612094621098</v>
      </c>
      <c r="AN10111">
        <v>1.0000000263690201</v>
      </c>
    </row>
    <row r="10112" spans="1:40" x14ac:dyDescent="0.25">
      <c r="A10112" t="str">
        <f>"20190303162146169"</f>
        <v>20190303162146169</v>
      </c>
      <c r="B10112" t="str">
        <f>"1551601306162860"</f>
        <v>1551601306162860</v>
      </c>
      <c r="C10112" t="s">
        <v>40</v>
      </c>
      <c r="D10112">
        <v>4.8921060000000001</v>
      </c>
      <c r="E10112">
        <v>0.49579810000000002</v>
      </c>
      <c r="F10112" t="s">
        <v>50</v>
      </c>
      <c r="G10112">
        <v>-176.42429999999999</v>
      </c>
      <c r="H10112" s="1">
        <v>-8.317201E-6</v>
      </c>
      <c r="I10112">
        <v>144.5241</v>
      </c>
      <c r="J10112">
        <v>-187.06800000000001</v>
      </c>
      <c r="K10112">
        <v>1.1206290000000001</v>
      </c>
      <c r="L10112">
        <v>104.6108</v>
      </c>
      <c r="M10112">
        <v>3.6152910000000003E-2</v>
      </c>
      <c r="N10112">
        <v>-1.520235E-2</v>
      </c>
      <c r="O10112">
        <v>0.99923059999999997</v>
      </c>
      <c r="P10112">
        <v>0.27293859999999998</v>
      </c>
      <c r="Q10112">
        <v>0.163547</v>
      </c>
      <c r="R10112">
        <v>0.94802790000000003</v>
      </c>
      <c r="S10112">
        <v>0.78263850000000001</v>
      </c>
      <c r="T10112">
        <v>-8.231115E-2</v>
      </c>
      <c r="U10112">
        <v>2.9522400000000002</v>
      </c>
      <c r="V10112">
        <v>0.23899590000000001</v>
      </c>
      <c r="W10112">
        <v>0.1773912</v>
      </c>
      <c r="X10112">
        <v>0.95467970000000002</v>
      </c>
      <c r="Y10112">
        <v>0.2210433</v>
      </c>
      <c r="Z10112">
        <v>-1.190329E-2</v>
      </c>
      <c r="AA10112">
        <v>0.97519140000000004</v>
      </c>
      <c r="AB10112">
        <v>28</v>
      </c>
      <c r="AC10112">
        <v>10.6436999999999</v>
      </c>
      <c r="AD10112">
        <v>-1.120637317201</v>
      </c>
      <c r="AE10112">
        <v>39.9133</v>
      </c>
      <c r="AF10112">
        <v>9.1868302982806291</v>
      </c>
      <c r="AG10112">
        <v>-1.120637317201</v>
      </c>
      <c r="AH10112">
        <v>40.242429470526503</v>
      </c>
      <c r="AI10112">
        <v>91.555124785747395</v>
      </c>
      <c r="AJ10112">
        <v>77.140477610686006</v>
      </c>
      <c r="AK10112">
        <v>41.292938968017403</v>
      </c>
      <c r="AL10112">
        <v>79.782158729965602</v>
      </c>
      <c r="AM10112">
        <v>75.945345192228501</v>
      </c>
      <c r="AN10112">
        <v>1.00000000382317</v>
      </c>
    </row>
    <row r="10113" spans="1:40" x14ac:dyDescent="0.25">
      <c r="A10113" t="str">
        <f>"20190303162146191"</f>
        <v>20190303162146191</v>
      </c>
      <c r="B10113" t="str">
        <f>"1551601306182381"</f>
        <v>1551601306182381</v>
      </c>
      <c r="C10113" t="s">
        <v>40</v>
      </c>
      <c r="D10113">
        <v>4.7263900000000003</v>
      </c>
      <c r="E10113">
        <v>0.49569869999999999</v>
      </c>
      <c r="F10113" t="s">
        <v>50</v>
      </c>
      <c r="G10113">
        <v>-176.16759999999999</v>
      </c>
      <c r="H10113" s="1">
        <v>-8.3470770000000005E-6</v>
      </c>
      <c r="I10113">
        <v>145.1104</v>
      </c>
      <c r="J10113">
        <v>-187.0564</v>
      </c>
      <c r="K10113">
        <v>1.1206510000000001</v>
      </c>
      <c r="L10113">
        <v>104.8822</v>
      </c>
      <c r="M10113">
        <v>3.7692740000000002E-2</v>
      </c>
      <c r="N10113">
        <v>-1.519592E-2</v>
      </c>
      <c r="O10113">
        <v>0.9991738</v>
      </c>
      <c r="P10113">
        <v>0.27579419999999999</v>
      </c>
      <c r="Q10113">
        <v>0.16487750000000001</v>
      </c>
      <c r="R10113">
        <v>0.94697039999999999</v>
      </c>
      <c r="S10113">
        <v>0.79397580000000001</v>
      </c>
      <c r="T10113">
        <v>-8.1626180000000007E-2</v>
      </c>
      <c r="U10113">
        <v>2.949951</v>
      </c>
      <c r="V10113">
        <v>0.2404133</v>
      </c>
      <c r="W10113">
        <v>0.1787079</v>
      </c>
      <c r="X10113">
        <v>0.95407810000000004</v>
      </c>
      <c r="Y10113">
        <v>0.2232257</v>
      </c>
      <c r="Z10113">
        <v>-1.168692E-2</v>
      </c>
      <c r="AA10113">
        <v>0.97469669999999997</v>
      </c>
      <c r="AB10113">
        <v>28</v>
      </c>
      <c r="AC10113">
        <v>10.8888</v>
      </c>
      <c r="AD10113">
        <v>-1.1206593470770001</v>
      </c>
      <c r="AE10113">
        <v>40.228200000000001</v>
      </c>
      <c r="AF10113">
        <v>9.3578078149007204</v>
      </c>
      <c r="AG10113">
        <v>-1.1206593470770001</v>
      </c>
      <c r="AH10113">
        <v>40.5807397722579</v>
      </c>
      <c r="AI10113">
        <v>91.541420766262206</v>
      </c>
      <c r="AJ10113">
        <v>77.014738008431394</v>
      </c>
      <c r="AK10113">
        <v>41.660783537237101</v>
      </c>
      <c r="AL10113">
        <v>79.705492783915005</v>
      </c>
      <c r="AM10113">
        <v>75.856768584886396</v>
      </c>
      <c r="AN10113">
        <v>1.0000000446194499</v>
      </c>
    </row>
    <row r="10114" spans="1:40" x14ac:dyDescent="0.25">
      <c r="A10114" t="str">
        <f>"20190303162146212"</f>
        <v>20190303162146212</v>
      </c>
      <c r="B10114" t="str">
        <f>"1551601306202877"</f>
        <v>1551601306202877</v>
      </c>
      <c r="C10114" t="s">
        <v>40</v>
      </c>
      <c r="D10114">
        <v>4.6538529999999998</v>
      </c>
      <c r="E10114">
        <v>0.49556830000000002</v>
      </c>
      <c r="F10114" t="s">
        <v>50</v>
      </c>
      <c r="G10114">
        <v>-175.68889999999999</v>
      </c>
      <c r="H10114" s="1">
        <v>-8.5558399999999997E-6</v>
      </c>
      <c r="I10114">
        <v>146.6765</v>
      </c>
      <c r="J10114">
        <v>-187.04509999999999</v>
      </c>
      <c r="K10114">
        <v>1.1206659999999999</v>
      </c>
      <c r="L10114">
        <v>105.13890000000001</v>
      </c>
      <c r="M10114">
        <v>3.9133500000000002E-2</v>
      </c>
      <c r="N10114">
        <v>-1.518977E-2</v>
      </c>
      <c r="O10114">
        <v>0.99911850000000002</v>
      </c>
      <c r="P10114">
        <v>0.27835789999999999</v>
      </c>
      <c r="Q10114">
        <v>0.16577829999999999</v>
      </c>
      <c r="R10114">
        <v>0.94606259999999998</v>
      </c>
      <c r="S10114">
        <v>0.80187989999999998</v>
      </c>
      <c r="T10114">
        <v>-7.9052570000000003E-2</v>
      </c>
      <c r="U10114">
        <v>2.9482119999999998</v>
      </c>
      <c r="V10114">
        <v>0.24162900000000001</v>
      </c>
      <c r="W10114">
        <v>0.179597799999999</v>
      </c>
      <c r="X10114">
        <v>0.95360370000000005</v>
      </c>
      <c r="Y10114">
        <v>0.22440270000000001</v>
      </c>
      <c r="Z10114">
        <v>-1.085206E-2</v>
      </c>
      <c r="AA10114">
        <v>0.97443610000000003</v>
      </c>
      <c r="AB10114">
        <v>28</v>
      </c>
      <c r="AC10114">
        <v>11.356199999999999</v>
      </c>
      <c r="AD10114">
        <v>-1.12067455584</v>
      </c>
      <c r="AE10114">
        <v>41.537599999999998</v>
      </c>
      <c r="AF10114">
        <v>9.7152198009413695</v>
      </c>
      <c r="AG10114">
        <v>-1.12067455584</v>
      </c>
      <c r="AH10114">
        <v>41.921840644493599</v>
      </c>
      <c r="AI10114">
        <v>91.491776903380298</v>
      </c>
      <c r="AJ10114">
        <v>76.952258324561598</v>
      </c>
      <c r="AK10114">
        <v>43.047440461228703</v>
      </c>
      <c r="AL10114">
        <v>79.653666114863896</v>
      </c>
      <c r="AM10114">
        <v>75.781357664835397</v>
      </c>
      <c r="AN10114">
        <v>0.99999998002976398</v>
      </c>
    </row>
    <row r="10115" spans="1:40" x14ac:dyDescent="0.25">
      <c r="A10115" t="str">
        <f>"20190303162146235"</f>
        <v>20190303162146235</v>
      </c>
      <c r="B10115" t="str">
        <f>"1551601306222396"</f>
        <v>1551601306222396</v>
      </c>
      <c r="C10115" t="s">
        <v>40</v>
      </c>
      <c r="D10115">
        <v>4.6899920000000002</v>
      </c>
      <c r="E10115">
        <v>0.4955061</v>
      </c>
      <c r="F10115" t="s">
        <v>50</v>
      </c>
      <c r="G10115">
        <v>-175.46850000000001</v>
      </c>
      <c r="H10115" s="1">
        <v>-8.630862E-6</v>
      </c>
      <c r="I10115">
        <v>147.3323</v>
      </c>
      <c r="J10115">
        <v>-187.03229999999999</v>
      </c>
      <c r="K10115">
        <v>1.1206799999999999</v>
      </c>
      <c r="L10115">
        <v>105.42100000000001</v>
      </c>
      <c r="M10115">
        <v>4.070348E-2</v>
      </c>
      <c r="N10115">
        <v>-1.5182879999999999E-2</v>
      </c>
      <c r="O10115">
        <v>0.9990559</v>
      </c>
      <c r="P10115">
        <v>0.2803445</v>
      </c>
      <c r="Q10115">
        <v>0.1660027</v>
      </c>
      <c r="R10115">
        <v>0.94543650000000001</v>
      </c>
      <c r="S10115">
        <v>0.80853269999999899</v>
      </c>
      <c r="T10115">
        <v>-7.8270080000000006E-2</v>
      </c>
      <c r="U10115">
        <v>2.946869</v>
      </c>
      <c r="V10115">
        <v>0.24213229999999999</v>
      </c>
      <c r="W10115">
        <v>0.1798187</v>
      </c>
      <c r="X10115">
        <v>0.95343440000000002</v>
      </c>
      <c r="Y10115">
        <v>0.2250318</v>
      </c>
      <c r="Z10115">
        <v>-1.0605349999999999E-2</v>
      </c>
      <c r="AA10115">
        <v>0.97429370000000004</v>
      </c>
      <c r="AB10115">
        <v>27</v>
      </c>
      <c r="AC10115">
        <v>11.563799999999899</v>
      </c>
      <c r="AD10115">
        <v>-1.1206886308620001</v>
      </c>
      <c r="AE10115">
        <v>41.911299999999997</v>
      </c>
      <c r="AF10115">
        <v>9.8415431465976901</v>
      </c>
      <c r="AG10115">
        <v>-1.1206886308620001</v>
      </c>
      <c r="AH10115">
        <v>42.319182196992401</v>
      </c>
      <c r="AI10115">
        <v>91.477531916060897</v>
      </c>
      <c r="AJ10115">
        <v>76.908270227623007</v>
      </c>
      <c r="AK10115">
        <v>43.462916334916201</v>
      </c>
      <c r="AL10115">
        <v>79.640800071778898</v>
      </c>
      <c r="AM10115">
        <v>75.750518839346</v>
      </c>
      <c r="AN10115">
        <v>0.99999998533816903</v>
      </c>
    </row>
    <row r="10116" spans="1:40" x14ac:dyDescent="0.25">
      <c r="A10116" t="str">
        <f>"20190303162146257"</f>
        <v>20190303162146257</v>
      </c>
      <c r="B10116" t="str">
        <f>"1551601306252653"</f>
        <v>1551601306252653</v>
      </c>
      <c r="C10116" t="s">
        <v>40</v>
      </c>
      <c r="D10116">
        <v>4.6684799999999997</v>
      </c>
      <c r="E10116">
        <v>0.49538660000000001</v>
      </c>
      <c r="F10116" t="s">
        <v>50</v>
      </c>
      <c r="G10116">
        <v>-175.649</v>
      </c>
      <c r="H10116" s="1">
        <v>-8.5187539999999997E-6</v>
      </c>
      <c r="I10116">
        <v>146.6386</v>
      </c>
      <c r="J10116">
        <v>-187.01929999999999</v>
      </c>
      <c r="K10116">
        <v>1.1206910000000001</v>
      </c>
      <c r="L10116">
        <v>105.6964</v>
      </c>
      <c r="M10116">
        <v>4.2226970000000003E-2</v>
      </c>
      <c r="N10116">
        <v>-1.5176139999999999E-2</v>
      </c>
      <c r="O10116">
        <v>0.99899280000000001</v>
      </c>
      <c r="P10116">
        <v>0.28186709999999998</v>
      </c>
      <c r="Q10116">
        <v>0.16543339999999901</v>
      </c>
      <c r="R10116">
        <v>0.94508340000000002</v>
      </c>
      <c r="S10116">
        <v>0.81359859999999995</v>
      </c>
      <c r="T10116">
        <v>-8.0099110000000001E-2</v>
      </c>
      <c r="U10116">
        <v>2.9459529999999998</v>
      </c>
      <c r="V10116">
        <v>0.24220439999999999</v>
      </c>
      <c r="W10116">
        <v>0.17924970000000001</v>
      </c>
      <c r="X10116">
        <v>0.95352320000000002</v>
      </c>
      <c r="Y10116">
        <v>0.22517780000000001</v>
      </c>
      <c r="Z10116">
        <v>-1.121511E-2</v>
      </c>
      <c r="AA10116">
        <v>0.97425309999999998</v>
      </c>
      <c r="AB10116">
        <v>27</v>
      </c>
      <c r="AC10116">
        <v>11.370299999999901</v>
      </c>
      <c r="AD10116">
        <v>-1.1206995187540001</v>
      </c>
      <c r="AE10116">
        <v>40.9422</v>
      </c>
      <c r="AF10116">
        <v>9.6243968324561102</v>
      </c>
      <c r="AG10116">
        <v>-1.1206995187540001</v>
      </c>
      <c r="AH10116">
        <v>41.357092889882402</v>
      </c>
      <c r="AI10116">
        <v>91.511849462485202</v>
      </c>
      <c r="AJ10116">
        <v>76.899605941081802</v>
      </c>
      <c r="AK10116">
        <v>42.476983345127998</v>
      </c>
      <c r="AL10116">
        <v>79.673939566721103</v>
      </c>
      <c r="AM10116">
        <v>75.747721963048804</v>
      </c>
      <c r="AN10116">
        <v>0.99999995963384403</v>
      </c>
    </row>
    <row r="10117" spans="1:40" x14ac:dyDescent="0.25">
      <c r="A10117" t="str">
        <f>"20190303162146282"</f>
        <v>20190303162146282</v>
      </c>
      <c r="B10117" t="str">
        <f>"1551601306272173"</f>
        <v>1551601306272173</v>
      </c>
      <c r="C10117" t="s">
        <v>40</v>
      </c>
      <c r="D10117">
        <v>4.8893829999999996</v>
      </c>
      <c r="E10117">
        <v>0.49533300000000002</v>
      </c>
      <c r="F10117" t="s">
        <v>50</v>
      </c>
      <c r="G10117">
        <v>-176.25700000000001</v>
      </c>
      <c r="H10117" s="1">
        <v>-8.2005349999999996E-6</v>
      </c>
      <c r="I10117">
        <v>144.4855</v>
      </c>
      <c r="J10117">
        <v>-187.00489999999999</v>
      </c>
      <c r="K10117">
        <v>1.120695</v>
      </c>
      <c r="L10117">
        <v>105.9935</v>
      </c>
      <c r="M10117">
        <v>4.3864100000000003E-2</v>
      </c>
      <c r="N10117">
        <v>-1.5168910000000001E-2</v>
      </c>
      <c r="O10117">
        <v>0.99892230000000004</v>
      </c>
      <c r="P10117">
        <v>0.28275119999999998</v>
      </c>
      <c r="Q10117">
        <v>0.16508719999999999</v>
      </c>
      <c r="R10117">
        <v>0.94487989999999999</v>
      </c>
      <c r="S10117">
        <v>0.81724549999999996</v>
      </c>
      <c r="T10117">
        <v>-8.5101250000000003E-2</v>
      </c>
      <c r="U10117">
        <v>2.9454799999999999</v>
      </c>
      <c r="V10117">
        <v>0.24152460000000001</v>
      </c>
      <c r="W10117">
        <v>0.1789068</v>
      </c>
      <c r="X10117">
        <v>0.9537601</v>
      </c>
      <c r="Y10117">
        <v>0.22473370000000001</v>
      </c>
      <c r="Z10117">
        <v>-1.286609E-2</v>
      </c>
      <c r="AA10117">
        <v>0.97433530000000002</v>
      </c>
      <c r="AB10117">
        <v>27</v>
      </c>
      <c r="AC10117">
        <v>10.7478999999999</v>
      </c>
      <c r="AD10117">
        <v>-1.1207032005349999</v>
      </c>
      <c r="AE10117">
        <v>38.491999999999997</v>
      </c>
      <c r="AF10117">
        <v>9.0418311914138307</v>
      </c>
      <c r="AG10117">
        <v>-1.1207032005349999</v>
      </c>
      <c r="AH10117">
        <v>38.895857308015799</v>
      </c>
      <c r="AI10117">
        <v>91.6075615354288</v>
      </c>
      <c r="AJ10117">
        <v>76.9133014910323</v>
      </c>
      <c r="AK10117">
        <v>39.948697133739401</v>
      </c>
      <c r="AL10117">
        <v>79.693910062807603</v>
      </c>
      <c r="AM10117">
        <v>75.789488318348702</v>
      </c>
      <c r="AN10117">
        <v>1.0000000519217001</v>
      </c>
    </row>
    <row r="10118" spans="1:40" x14ac:dyDescent="0.25">
      <c r="A10118" t="str">
        <f>"20190303162146302"</f>
        <v>20190303162146302</v>
      </c>
      <c r="B10118" t="str">
        <f>"1551601306292883"</f>
        <v>1551601306292883</v>
      </c>
      <c r="C10118" t="s">
        <v>40</v>
      </c>
      <c r="D10118">
        <v>4.7180580000000001</v>
      </c>
      <c r="E10118">
        <v>0.49528519999999998</v>
      </c>
      <c r="F10118" t="s">
        <v>50</v>
      </c>
      <c r="G10118">
        <v>-176.62129999999999</v>
      </c>
      <c r="H10118" s="1">
        <v>-8.0529509999999999E-6</v>
      </c>
      <c r="I10118">
        <v>143.32859999999999</v>
      </c>
      <c r="J10118">
        <v>-186.9924</v>
      </c>
      <c r="K10118">
        <v>1.120695</v>
      </c>
      <c r="L10118">
        <v>106.24339999999999</v>
      </c>
      <c r="M10118">
        <v>4.5239269999999998E-2</v>
      </c>
      <c r="N10118">
        <v>-1.516287E-2</v>
      </c>
      <c r="O10118">
        <v>0.99886109999999995</v>
      </c>
      <c r="P10118">
        <v>0.2836571</v>
      </c>
      <c r="Q10118">
        <v>0.165106</v>
      </c>
      <c r="R10118">
        <v>0.94460509999999998</v>
      </c>
      <c r="S10118">
        <v>0.81915280000000001</v>
      </c>
      <c r="T10118">
        <v>-8.8411089999999998E-2</v>
      </c>
      <c r="U10118">
        <v>2.9453279999999999</v>
      </c>
      <c r="V10118">
        <v>0.24112259999999999</v>
      </c>
      <c r="W10118">
        <v>0.17892559999999999</v>
      </c>
      <c r="X10118">
        <v>0.95385819999999999</v>
      </c>
      <c r="Y10118">
        <v>0.2239855</v>
      </c>
      <c r="Z10118">
        <v>-1.3960119999999999E-2</v>
      </c>
      <c r="AA10118">
        <v>0.97449249999999998</v>
      </c>
      <c r="AB10118">
        <v>27</v>
      </c>
      <c r="AC10118">
        <v>10.3711</v>
      </c>
      <c r="AD10118">
        <v>-1.120703052951</v>
      </c>
      <c r="AE10118">
        <v>37.0852</v>
      </c>
      <c r="AF10118">
        <v>8.6752313264293299</v>
      </c>
      <c r="AG10118">
        <v>-1.120703052951</v>
      </c>
      <c r="AH10118">
        <v>37.484708519699602</v>
      </c>
      <c r="AI10118">
        <v>91.668423498844803</v>
      </c>
      <c r="AJ10118">
        <v>76.969232655777006</v>
      </c>
      <c r="AK10118">
        <v>38.491804149803002</v>
      </c>
      <c r="AL10118">
        <v>79.692814405092406</v>
      </c>
      <c r="AM10118">
        <v>75.813585085628205</v>
      </c>
      <c r="AN10118">
        <v>0.99999997213667902</v>
      </c>
    </row>
    <row r="10119" spans="1:40" x14ac:dyDescent="0.25">
      <c r="A10119" t="str">
        <f>"20190303162146325"</f>
        <v>20190303162146325</v>
      </c>
      <c r="B10119" t="str">
        <f>"1551601306312402"</f>
        <v>1551601306312402</v>
      </c>
      <c r="C10119" t="s">
        <v>40</v>
      </c>
      <c r="D10119">
        <v>4.7277779999999998</v>
      </c>
      <c r="E10119">
        <v>0.49523</v>
      </c>
      <c r="F10119" t="s">
        <v>50</v>
      </c>
      <c r="G10119">
        <v>-176.80420000000001</v>
      </c>
      <c r="H10119" s="1">
        <v>-7.9871920000000001E-6</v>
      </c>
      <c r="I10119">
        <v>142.77350000000001</v>
      </c>
      <c r="J10119">
        <v>-186.9787</v>
      </c>
      <c r="K10119">
        <v>1.120698</v>
      </c>
      <c r="L10119">
        <v>106.5095</v>
      </c>
      <c r="M10119">
        <v>4.6702489999999999E-2</v>
      </c>
      <c r="N10119">
        <v>-1.515644E-2</v>
      </c>
      <c r="O10119">
        <v>0.99879379999999995</v>
      </c>
      <c r="P10119">
        <v>0.28462029999999999</v>
      </c>
      <c r="Q10119">
        <v>0.164856</v>
      </c>
      <c r="R10119">
        <v>0.9443589</v>
      </c>
      <c r="S10119">
        <v>0.82138060000000002</v>
      </c>
      <c r="T10119">
        <v>-9.0351819999999999E-2</v>
      </c>
      <c r="U10119">
        <v>2.945084</v>
      </c>
      <c r="V10119">
        <v>0.24069199999999999</v>
      </c>
      <c r="W10119">
        <v>0.17867649999999999</v>
      </c>
      <c r="X10119">
        <v>0.95401369999999996</v>
      </c>
      <c r="Y10119">
        <v>0.2232595</v>
      </c>
      <c r="Z10119">
        <v>-1.460549E-2</v>
      </c>
      <c r="AA10119">
        <v>0.9746496</v>
      </c>
      <c r="AB10119">
        <v>27</v>
      </c>
      <c r="AC10119">
        <v>10.174499999999901</v>
      </c>
      <c r="AD10119">
        <v>-1.120705987192</v>
      </c>
      <c r="AE10119">
        <v>36.264000000000003</v>
      </c>
      <c r="AF10119">
        <v>8.4620896605100207</v>
      </c>
      <c r="AG10119">
        <v>-1.120705987192</v>
      </c>
      <c r="AH10119">
        <v>36.667186326389498</v>
      </c>
      <c r="AI10119">
        <v>91.705849148509898</v>
      </c>
      <c r="AJ10119">
        <v>77.004743373915204</v>
      </c>
      <c r="AK10119">
        <v>37.647649281547402</v>
      </c>
      <c r="AL10119">
        <v>79.707321202742506</v>
      </c>
      <c r="AM10119">
        <v>75.840114685852797</v>
      </c>
      <c r="AN10119">
        <v>1.00000003515196</v>
      </c>
    </row>
    <row r="10120" spans="1:40" x14ac:dyDescent="0.25">
      <c r="A10120" t="str">
        <f>"20190303162146348"</f>
        <v>20190303162146348</v>
      </c>
      <c r="B10120" t="str">
        <f>"1551601306342659"</f>
        <v>1551601306342659</v>
      </c>
      <c r="C10120" t="s">
        <v>40</v>
      </c>
      <c r="D10120">
        <v>4.6909039999999997</v>
      </c>
      <c r="E10120">
        <v>0.49512129999999999</v>
      </c>
      <c r="F10120" t="s">
        <v>50</v>
      </c>
      <c r="G10120">
        <v>-177.0737</v>
      </c>
      <c r="H10120" s="1">
        <v>-7.8849300000000001E-6</v>
      </c>
      <c r="I10120">
        <v>141.93899999999999</v>
      </c>
      <c r="J10120">
        <v>-186.96360000000001</v>
      </c>
      <c r="K10120">
        <v>1.120708</v>
      </c>
      <c r="L10120">
        <v>106.7928</v>
      </c>
      <c r="M10120">
        <v>4.8260490000000003E-2</v>
      </c>
      <c r="N10120">
        <v>-1.5149549999999999E-2</v>
      </c>
      <c r="O10120">
        <v>0.99871989999999999</v>
      </c>
      <c r="P10120">
        <v>0.28615119999999999</v>
      </c>
      <c r="Q10120">
        <v>0.16399449999999999</v>
      </c>
      <c r="R10120">
        <v>0.9440463</v>
      </c>
      <c r="S10120">
        <v>0.82330319999999901</v>
      </c>
      <c r="T10120">
        <v>-9.3153239999999998E-2</v>
      </c>
      <c r="U10120">
        <v>2.9449010000000002</v>
      </c>
      <c r="V10120">
        <v>0.24073929999999999</v>
      </c>
      <c r="W10120">
        <v>0.17781269999999999</v>
      </c>
      <c r="X10120">
        <v>0.95416310000000004</v>
      </c>
      <c r="Y10120">
        <v>0.22233990000000001</v>
      </c>
      <c r="Z10120">
        <v>-1.553394E-2</v>
      </c>
      <c r="AA10120">
        <v>0.97484550000000003</v>
      </c>
      <c r="AB10120">
        <v>27</v>
      </c>
      <c r="AC10120">
        <v>9.8899000000000097</v>
      </c>
      <c r="AD10120">
        <v>-1.1207158849299901</v>
      </c>
      <c r="AE10120">
        <v>35.146199999999901</v>
      </c>
      <c r="AF10120">
        <v>8.1743042221962892</v>
      </c>
      <c r="AG10120">
        <v>-1.1207158849299901</v>
      </c>
      <c r="AH10120">
        <v>35.549089784143597</v>
      </c>
      <c r="AI10120">
        <v>91.759806084140294</v>
      </c>
      <c r="AJ10120">
        <v>77.050276267916601</v>
      </c>
      <c r="AK10120">
        <v>36.4940137295537</v>
      </c>
      <c r="AL10120">
        <v>79.757618326626599</v>
      </c>
      <c r="AM10120">
        <v>75.839572311553297</v>
      </c>
      <c r="AN10120">
        <v>0.999999994123695</v>
      </c>
    </row>
    <row r="10121" spans="1:40" x14ac:dyDescent="0.25">
      <c r="A10121" t="str">
        <f>"20190303162146369"</f>
        <v>20190303162146369</v>
      </c>
      <c r="B10121" t="str">
        <f>"1551601306362178"</f>
        <v>1551601306362178</v>
      </c>
      <c r="C10121" t="s">
        <v>40</v>
      </c>
      <c r="D10121">
        <v>4.7281259999999996</v>
      </c>
      <c r="E10121">
        <v>0.49504789999999999</v>
      </c>
      <c r="F10121" t="s">
        <v>50</v>
      </c>
      <c r="G10121">
        <v>-177.54079999999999</v>
      </c>
      <c r="H10121" s="1">
        <v>-7.6637379999999998E-6</v>
      </c>
      <c r="I10121">
        <v>140.35679999999999</v>
      </c>
      <c r="J10121">
        <v>-186.94919999999999</v>
      </c>
      <c r="K10121">
        <v>1.1207119999999999</v>
      </c>
      <c r="L10121">
        <v>107.0556</v>
      </c>
      <c r="M10121">
        <v>4.9707349999999997E-2</v>
      </c>
      <c r="N10121">
        <v>-1.5143169999999999E-2</v>
      </c>
      <c r="O10121">
        <v>0.99864900000000001</v>
      </c>
      <c r="P10121">
        <v>0.28806310000000002</v>
      </c>
      <c r="Q10121">
        <v>0.16327910000000001</v>
      </c>
      <c r="R10121">
        <v>0.94358869999999895</v>
      </c>
      <c r="S10121">
        <v>0.82659910000000003</v>
      </c>
      <c r="T10121">
        <v>-9.8312499999999997E-2</v>
      </c>
      <c r="U10121">
        <v>2.9443359999999998</v>
      </c>
      <c r="V10121">
        <v>0.24128140000000001</v>
      </c>
      <c r="W10121">
        <v>0.17709229999999901</v>
      </c>
      <c r="X10121">
        <v>0.95416020000000001</v>
      </c>
      <c r="Y10121">
        <v>0.22197749999999999</v>
      </c>
      <c r="Z10121">
        <v>-1.7235259999999999E-2</v>
      </c>
      <c r="AA10121">
        <v>0.97489939999999997</v>
      </c>
      <c r="AB10121">
        <v>27</v>
      </c>
      <c r="AC10121">
        <v>9.4084000000000003</v>
      </c>
      <c r="AD10121">
        <v>-1.1207196637379999</v>
      </c>
      <c r="AE10121">
        <v>33.301199999999902</v>
      </c>
      <c r="AF10121">
        <v>7.7331515513207396</v>
      </c>
      <c r="AG10121">
        <v>-1.1207196637379999</v>
      </c>
      <c r="AH10121">
        <v>33.692405681807401</v>
      </c>
      <c r="AI10121">
        <v>91.856894573028995</v>
      </c>
      <c r="AJ10121">
        <v>77.073244388966302</v>
      </c>
      <c r="AK10121">
        <v>34.5866425966422</v>
      </c>
      <c r="AL10121">
        <v>79.799560339352794</v>
      </c>
      <c r="AM10121">
        <v>75.808931086807803</v>
      </c>
      <c r="AN10121">
        <v>1.00000004198464</v>
      </c>
    </row>
    <row r="10122" spans="1:40" x14ac:dyDescent="0.25">
      <c r="A10122" t="str">
        <f>"20190303162146391"</f>
        <v>20190303162146391</v>
      </c>
      <c r="B10122" t="str">
        <f>"1551601306382674"</f>
        <v>1551601306382674</v>
      </c>
      <c r="C10122" t="s">
        <v>40</v>
      </c>
      <c r="D10122">
        <v>4.8273900000000003</v>
      </c>
      <c r="E10122">
        <v>0.49479889999999999</v>
      </c>
      <c r="F10122" t="s">
        <v>50</v>
      </c>
      <c r="G10122">
        <v>-177.79400000000001</v>
      </c>
      <c r="H10122" s="1">
        <v>-7.5265199999999902E-6</v>
      </c>
      <c r="I10122">
        <v>139.45830000000001</v>
      </c>
      <c r="J10122">
        <v>-186.93459999999999</v>
      </c>
      <c r="K10122">
        <v>1.1207129999999901</v>
      </c>
      <c r="L10122">
        <v>107.3165</v>
      </c>
      <c r="M10122">
        <v>5.1145099999999999E-2</v>
      </c>
      <c r="N10122">
        <v>-1.513683E-2</v>
      </c>
      <c r="O10122">
        <v>0.99857649999999998</v>
      </c>
      <c r="P10122">
        <v>0.29014990000000002</v>
      </c>
      <c r="Q10122">
        <v>0.16131579999999901</v>
      </c>
      <c r="R10122">
        <v>0.94328699999999999</v>
      </c>
      <c r="S10122">
        <v>0.83155820000000003</v>
      </c>
      <c r="T10122">
        <v>-0.1017936</v>
      </c>
      <c r="U10122">
        <v>2.9430999999999998</v>
      </c>
      <c r="V10122">
        <v>0.24199599999999999</v>
      </c>
      <c r="W10122">
        <v>0.17512559999999999</v>
      </c>
      <c r="X10122">
        <v>0.95434220000000003</v>
      </c>
      <c r="Y10122">
        <v>0.22219469999999999</v>
      </c>
      <c r="Z10122">
        <v>-1.8388539999999998E-2</v>
      </c>
      <c r="AA10122">
        <v>0.9748289</v>
      </c>
      <c r="AB10122">
        <v>27</v>
      </c>
      <c r="AC10122">
        <v>9.1405999999999707</v>
      </c>
      <c r="AD10122">
        <v>-1.12072052651999</v>
      </c>
      <c r="AE10122">
        <v>32.141800000000003</v>
      </c>
      <c r="AF10122">
        <v>7.4761411425095501</v>
      </c>
      <c r="AG10122">
        <v>-1.12072052651999</v>
      </c>
      <c r="AH10122">
        <v>32.530683857026801</v>
      </c>
      <c r="AI10122">
        <v>91.923035626474402</v>
      </c>
      <c r="AJ10122">
        <v>77.057132367518506</v>
      </c>
      <c r="AK10122">
        <v>33.397516271230501</v>
      </c>
      <c r="AL10122">
        <v>79.9140330475079</v>
      </c>
      <c r="AM10122">
        <v>75.771210490734305</v>
      </c>
      <c r="AN10122">
        <v>1.00000003724609</v>
      </c>
    </row>
    <row r="10123" spans="1:40" x14ac:dyDescent="0.25">
      <c r="A10123" t="str">
        <f>"20190303162146412"</f>
        <v>20190303162146412</v>
      </c>
      <c r="B10123" t="str">
        <f>"1551601306402195"</f>
        <v>1551601306402195</v>
      </c>
      <c r="C10123" t="s">
        <v>40</v>
      </c>
      <c r="D10123">
        <v>4.9577039999999997</v>
      </c>
      <c r="E10123">
        <v>0.49392950000000002</v>
      </c>
      <c r="F10123" t="s">
        <v>50</v>
      </c>
      <c r="G10123">
        <v>-178.6551</v>
      </c>
      <c r="H10123" s="1">
        <v>-7.0196249999999997E-6</v>
      </c>
      <c r="I10123">
        <v>136.47559999999999</v>
      </c>
      <c r="J10123">
        <v>-186.91929999999999</v>
      </c>
      <c r="K10123">
        <v>1.1207069999999999</v>
      </c>
      <c r="L10123">
        <v>107.5834</v>
      </c>
      <c r="M10123">
        <v>5.2617280000000002E-2</v>
      </c>
      <c r="N10123">
        <v>-1.5130350000000001E-2</v>
      </c>
      <c r="O10123">
        <v>0.9985001</v>
      </c>
      <c r="P10123">
        <v>0.29225600000000002</v>
      </c>
      <c r="Q10123">
        <v>0.1583802</v>
      </c>
      <c r="R10123">
        <v>0.94313420000000003</v>
      </c>
      <c r="S10123">
        <v>0.83555599999999997</v>
      </c>
      <c r="T10123">
        <v>-0.1131017</v>
      </c>
      <c r="U10123">
        <v>2.9427029999999998</v>
      </c>
      <c r="V10123">
        <v>0.2426866</v>
      </c>
      <c r="W10123">
        <v>0.1721897</v>
      </c>
      <c r="X10123">
        <v>0.95470089999999996</v>
      </c>
      <c r="Y10123">
        <v>0.2219912</v>
      </c>
      <c r="Z10123">
        <v>-2.210169E-2</v>
      </c>
      <c r="AA10123">
        <v>0.9747981</v>
      </c>
      <c r="AB10123">
        <v>27</v>
      </c>
      <c r="AC10123">
        <v>8.2641999999999793</v>
      </c>
      <c r="AD10123">
        <v>-1.1207140196249901</v>
      </c>
      <c r="AE10123">
        <v>28.8921999999999</v>
      </c>
      <c r="AF10123">
        <v>6.7229957923998596</v>
      </c>
      <c r="AG10123">
        <v>-1.1207140196249901</v>
      </c>
      <c r="AH10123">
        <v>29.246380650989</v>
      </c>
      <c r="AI10123">
        <v>92.138759105526702</v>
      </c>
      <c r="AJ10123">
        <v>77.054067508642504</v>
      </c>
      <c r="AK10123">
        <v>30.030075816103999</v>
      </c>
      <c r="AL10123">
        <v>80.084842122876907</v>
      </c>
      <c r="AM10123">
        <v>75.737402508781102</v>
      </c>
      <c r="AN10123">
        <v>0.99999994353322796</v>
      </c>
    </row>
    <row r="10124" spans="1:40" x14ac:dyDescent="0.25">
      <c r="A10124" t="str">
        <f>"20190303162146436"</f>
        <v>20190303162146436</v>
      </c>
      <c r="B10124" t="str">
        <f>"1551601306422690"</f>
        <v>1551601306422690</v>
      </c>
      <c r="C10124" t="s">
        <v>40</v>
      </c>
      <c r="D10124">
        <v>4.9593020000000001</v>
      </c>
      <c r="E10124">
        <v>0.49306359999999999</v>
      </c>
      <c r="F10124" t="s">
        <v>50</v>
      </c>
      <c r="G10124">
        <v>-179.47370000000001</v>
      </c>
      <c r="H10124" s="1">
        <v>-6.6045309999999998E-6</v>
      </c>
      <c r="I10124">
        <v>133.8313</v>
      </c>
      <c r="J10124">
        <v>-186.9032</v>
      </c>
      <c r="K10124">
        <v>1.120695</v>
      </c>
      <c r="L10124">
        <v>107.85599999999999</v>
      </c>
      <c r="M10124">
        <v>5.4122080000000003E-2</v>
      </c>
      <c r="N10124">
        <v>-1.5123670000000001E-2</v>
      </c>
      <c r="O10124">
        <v>0.99841979999999997</v>
      </c>
      <c r="P10124">
        <v>0.2942939</v>
      </c>
      <c r="Q10124">
        <v>0.15574879999999999</v>
      </c>
      <c r="R10124">
        <v>0.94293870000000002</v>
      </c>
      <c r="S10124">
        <v>0.83489990000000003</v>
      </c>
      <c r="T10124">
        <v>-0.1256697</v>
      </c>
      <c r="U10124">
        <v>2.9432680000000002</v>
      </c>
      <c r="V10124">
        <v>0.24328040000000001</v>
      </c>
      <c r="W10124">
        <v>0.16955680000000001</v>
      </c>
      <c r="X10124">
        <v>0.95502100000000001</v>
      </c>
      <c r="Y10124">
        <v>0.22023799999999999</v>
      </c>
      <c r="Z10124">
        <v>-2.6227750000000001E-2</v>
      </c>
      <c r="AA10124">
        <v>0.97509349999999995</v>
      </c>
      <c r="AB10124">
        <v>27</v>
      </c>
      <c r="AC10124">
        <v>7.4294999999999902</v>
      </c>
      <c r="AD10124">
        <v>-1.1207016045309901</v>
      </c>
      <c r="AE10124">
        <v>25.975299999999901</v>
      </c>
      <c r="AF10124">
        <v>6.0022820253054796</v>
      </c>
      <c r="AG10124">
        <v>-1.1207016045309901</v>
      </c>
      <c r="AH10124">
        <v>26.2941213071663</v>
      </c>
      <c r="AI10124">
        <v>92.379434523480995</v>
      </c>
      <c r="AJ10124">
        <v>77.141157947153403</v>
      </c>
      <c r="AK10124">
        <v>26.993780337582901</v>
      </c>
      <c r="AL10124">
        <v>80.237948381301806</v>
      </c>
      <c r="AM10124">
        <v>75.708529329960101</v>
      </c>
      <c r="AN10124">
        <v>0.99999998594569905</v>
      </c>
    </row>
    <row r="10125" spans="1:40" x14ac:dyDescent="0.25">
      <c r="A10125" t="str">
        <f>"20190303162146458"</f>
        <v>20190303162146458</v>
      </c>
      <c r="B10125" t="str">
        <f>"1551601306452947"</f>
        <v>1551601306452947</v>
      </c>
      <c r="C10125" t="s">
        <v>40</v>
      </c>
      <c r="D10125">
        <v>4.8139699999999896</v>
      </c>
      <c r="E10125">
        <v>0.49193130000000002</v>
      </c>
      <c r="F10125" t="s">
        <v>50</v>
      </c>
      <c r="G10125">
        <v>-180.0059</v>
      </c>
      <c r="H10125" s="1">
        <v>-6.3203960000000004E-6</v>
      </c>
      <c r="I10125">
        <v>132.16899999999899</v>
      </c>
      <c r="J10125">
        <v>-186.88679999999999</v>
      </c>
      <c r="K10125">
        <v>1.1206929999999999</v>
      </c>
      <c r="L10125">
        <v>108.1266</v>
      </c>
      <c r="M10125">
        <v>5.5616770000000003E-2</v>
      </c>
      <c r="N10125">
        <v>-1.511701E-2</v>
      </c>
      <c r="O10125">
        <v>0.99833769999999999</v>
      </c>
      <c r="P10125">
        <v>0.2959465</v>
      </c>
      <c r="Q10125">
        <v>0.1530347</v>
      </c>
      <c r="R10125">
        <v>0.94286590000000003</v>
      </c>
      <c r="S10125">
        <v>0.8349915</v>
      </c>
      <c r="T10125">
        <v>-0.1356726</v>
      </c>
      <c r="U10125">
        <v>2.9433440000000002</v>
      </c>
      <c r="V10125">
        <v>0.2434916</v>
      </c>
      <c r="W10125">
        <v>0.16684470000000001</v>
      </c>
      <c r="X10125">
        <v>0.95544479999999998</v>
      </c>
      <c r="Y10125">
        <v>0.2187693</v>
      </c>
      <c r="Z10125">
        <v>-2.9515199999999998E-2</v>
      </c>
      <c r="AA10125">
        <v>0.97533009999999998</v>
      </c>
      <c r="AB10125">
        <v>27</v>
      </c>
      <c r="AC10125">
        <v>6.8808999999999898</v>
      </c>
      <c r="AD10125">
        <v>-1.1206993203959901</v>
      </c>
      <c r="AE10125">
        <v>24.042399999999901</v>
      </c>
      <c r="AF10125">
        <v>5.5218441350603804</v>
      </c>
      <c r="AG10125">
        <v>-1.1206993203959901</v>
      </c>
      <c r="AH10125">
        <v>24.339035167819802</v>
      </c>
      <c r="AI10125">
        <v>92.571094924856496</v>
      </c>
      <c r="AJ10125">
        <v>77.217571355262507</v>
      </c>
      <c r="AK10125">
        <v>24.982701265455798</v>
      </c>
      <c r="AL10125">
        <v>80.395586743736501</v>
      </c>
      <c r="AM10125">
        <v>75.702715578249496</v>
      </c>
      <c r="AN10125">
        <v>1.0000000395178399</v>
      </c>
    </row>
    <row r="10126" spans="1:40" x14ac:dyDescent="0.25">
      <c r="A10126" t="str">
        <f>"20190303162146481"</f>
        <v>20190303162146481</v>
      </c>
      <c r="B10126" t="str">
        <f>"1551601306472467"</f>
        <v>1551601306472467</v>
      </c>
      <c r="C10126" t="s">
        <v>40</v>
      </c>
      <c r="D10126">
        <v>4.8512659999999999</v>
      </c>
      <c r="E10126">
        <v>0.49125790000000003</v>
      </c>
      <c r="F10126" t="s">
        <v>50</v>
      </c>
      <c r="G10126">
        <v>-180.4967</v>
      </c>
      <c r="H10126" s="1">
        <v>-5.782634E-6</v>
      </c>
      <c r="I10126">
        <v>130.75450000000001</v>
      </c>
      <c r="J10126">
        <v>-186.8699</v>
      </c>
      <c r="K10126">
        <v>1.1206849999999999</v>
      </c>
      <c r="L10126">
        <v>108.3986</v>
      </c>
      <c r="M10126">
        <v>5.7119290000000003E-2</v>
      </c>
      <c r="N10126">
        <v>-1.5110409999999999E-2</v>
      </c>
      <c r="O10126">
        <v>0.99825299999999995</v>
      </c>
      <c r="P10126">
        <v>0.29762110000000003</v>
      </c>
      <c r="Q10126">
        <v>0.15075759999999999</v>
      </c>
      <c r="R10126">
        <v>0.94270560000000003</v>
      </c>
      <c r="S10126">
        <v>0.83151249999999999</v>
      </c>
      <c r="T10126">
        <v>-0.14583080000000001</v>
      </c>
      <c r="U10126">
        <v>2.9444430000000001</v>
      </c>
      <c r="V10126">
        <v>0.243723</v>
      </c>
      <c r="W10126">
        <v>0.1645682</v>
      </c>
      <c r="X10126">
        <v>0.95578050000000003</v>
      </c>
      <c r="Y10126">
        <v>0.21610509999999999</v>
      </c>
      <c r="Z10126">
        <v>-3.2849719999999999E-2</v>
      </c>
      <c r="AA10126">
        <v>0.9758173</v>
      </c>
      <c r="AB10126">
        <v>27</v>
      </c>
      <c r="AC10126">
        <v>6.37319999999999</v>
      </c>
      <c r="AD10126">
        <v>-1.120690782634</v>
      </c>
      <c r="AE10126">
        <v>22.355899999999998</v>
      </c>
      <c r="AF10126">
        <v>5.0739013302106404</v>
      </c>
      <c r="AG10126">
        <v>-1.120690782634</v>
      </c>
      <c r="AH10126">
        <v>22.6308705628886</v>
      </c>
      <c r="AI10126">
        <v>92.766429937497506</v>
      </c>
      <c r="AJ10126">
        <v>77.363106937325995</v>
      </c>
      <c r="AK10126">
        <v>23.219748598406699</v>
      </c>
      <c r="AL10126">
        <v>80.527848541520399</v>
      </c>
      <c r="AM10126">
        <v>75.694505987827597</v>
      </c>
      <c r="AN10126">
        <v>0.99999997868024404</v>
      </c>
    </row>
    <row r="10127" spans="1:40" x14ac:dyDescent="0.25">
      <c r="A10127" t="str">
        <f>"20190303162146503"</f>
        <v>20190303162146503</v>
      </c>
      <c r="B10127" t="str">
        <f>"1551601306492962"</f>
        <v>1551601306492962</v>
      </c>
      <c r="C10127" t="s">
        <v>40</v>
      </c>
      <c r="D10127">
        <v>4.8900739999999896</v>
      </c>
      <c r="E10127">
        <v>0.49069839999999998</v>
      </c>
      <c r="F10127" t="s">
        <v>50</v>
      </c>
      <c r="G10127">
        <v>-180.85599999999999</v>
      </c>
      <c r="H10127" s="1">
        <v>-5.4028540000000004E-6</v>
      </c>
      <c r="I10127">
        <v>129.68819999999999</v>
      </c>
      <c r="J10127">
        <v>-186.8528</v>
      </c>
      <c r="K10127">
        <v>1.120679</v>
      </c>
      <c r="L10127">
        <v>108.66840000000001</v>
      </c>
      <c r="M10127">
        <v>5.8610040000000002E-2</v>
      </c>
      <c r="N10127">
        <v>-1.510394E-2</v>
      </c>
      <c r="O10127">
        <v>0.99816669999999996</v>
      </c>
      <c r="P10127">
        <v>0.29847069999999998</v>
      </c>
      <c r="Q10127">
        <v>0.14873120000000001</v>
      </c>
      <c r="R10127">
        <v>0.94275889999999996</v>
      </c>
      <c r="S10127">
        <v>0.831787099999999</v>
      </c>
      <c r="T10127">
        <v>-0.15500120000000001</v>
      </c>
      <c r="U10127">
        <v>2.944534</v>
      </c>
      <c r="V10127">
        <v>0.24312980000000001</v>
      </c>
      <c r="W10127">
        <v>0.1625463</v>
      </c>
      <c r="X10127">
        <v>0.95627740000000006</v>
      </c>
      <c r="Y10127">
        <v>0.2146911</v>
      </c>
      <c r="Z10127">
        <v>-3.5860400000000001E-2</v>
      </c>
      <c r="AA10127">
        <v>0.97602339999999999</v>
      </c>
      <c r="AB10127">
        <v>27</v>
      </c>
      <c r="AC10127">
        <v>5.9968000000000004</v>
      </c>
      <c r="AD10127">
        <v>-1.120684402854</v>
      </c>
      <c r="AE10127">
        <v>21.019799999999901</v>
      </c>
      <c r="AF10127">
        <v>4.7419123775183998</v>
      </c>
      <c r="AG10127">
        <v>-1.120684402854</v>
      </c>
      <c r="AH10127">
        <v>21.2792356936577</v>
      </c>
      <c r="AI10127">
        <v>92.942685113257795</v>
      </c>
      <c r="AJ10127">
        <v>77.437344509593899</v>
      </c>
      <c r="AK10127">
        <v>21.829968809714298</v>
      </c>
      <c r="AL10127">
        <v>80.645275766074505</v>
      </c>
      <c r="AM10127">
        <v>75.735013442961801</v>
      </c>
      <c r="AN10127">
        <v>0.99999993252124197</v>
      </c>
    </row>
    <row r="10128" spans="1:40" x14ac:dyDescent="0.25">
      <c r="A10128" t="str">
        <f>"20190303162146526"</f>
        <v>20190303162146526</v>
      </c>
      <c r="B10128" t="str">
        <f>"1551601306512482"</f>
        <v>1551601306512482</v>
      </c>
      <c r="C10128" t="s">
        <v>40</v>
      </c>
      <c r="D10128">
        <v>4.8976649999999999</v>
      </c>
      <c r="E10128">
        <v>0.4901702</v>
      </c>
      <c r="F10128" t="s">
        <v>50</v>
      </c>
      <c r="G10128">
        <v>-181.1174</v>
      </c>
      <c r="H10128" s="1">
        <v>-5.119129E-6</v>
      </c>
      <c r="I10128">
        <v>129.0334</v>
      </c>
      <c r="J10128">
        <v>-186.83580000000001</v>
      </c>
      <c r="K10128">
        <v>1.120679</v>
      </c>
      <c r="L10128">
        <v>108.93040000000001</v>
      </c>
      <c r="M10128">
        <v>6.0059010000000003E-2</v>
      </c>
      <c r="N10128">
        <v>-1.509752E-2</v>
      </c>
      <c r="O10128">
        <v>0.99808070000000004</v>
      </c>
      <c r="P10128">
        <v>0.29898180000000002</v>
      </c>
      <c r="Q10128">
        <v>0.1481353</v>
      </c>
      <c r="R10128">
        <v>0.94269069999999999</v>
      </c>
      <c r="S10128">
        <v>0.82943729999999904</v>
      </c>
      <c r="T10128">
        <v>-0.16206989999999999</v>
      </c>
      <c r="U10128">
        <v>2.9451290000000001</v>
      </c>
      <c r="V10128">
        <v>0.24224889999999999</v>
      </c>
      <c r="W10128">
        <v>0.1619545</v>
      </c>
      <c r="X10128">
        <v>0.95660140000000005</v>
      </c>
      <c r="Y10128">
        <v>0.212474</v>
      </c>
      <c r="Z10128">
        <v>-3.8183880000000003E-2</v>
      </c>
      <c r="AA10128">
        <v>0.97642039999999997</v>
      </c>
      <c r="AB10128">
        <v>27</v>
      </c>
      <c r="AC10128">
        <v>5.7183999999999999</v>
      </c>
      <c r="AD10128">
        <v>-1.120684119129</v>
      </c>
      <c r="AE10128">
        <v>20.102999999999899</v>
      </c>
      <c r="AF10128">
        <v>4.4876686066853999</v>
      </c>
      <c r="AG10128">
        <v>-1.120684119129</v>
      </c>
      <c r="AH10128">
        <v>20.351669800641201</v>
      </c>
      <c r="AI10128">
        <v>93.078066744114196</v>
      </c>
      <c r="AJ10128">
        <v>77.564922288648603</v>
      </c>
      <c r="AK10128">
        <v>20.870686766195</v>
      </c>
      <c r="AL10128">
        <v>80.679639500421999</v>
      </c>
      <c r="AM10128">
        <v>75.789218941370805</v>
      </c>
      <c r="AN10128">
        <v>1.00000001405171</v>
      </c>
    </row>
    <row r="10129" spans="1:40" x14ac:dyDescent="0.25">
      <c r="A10129" t="str">
        <f>"20190303162146547"</f>
        <v>20190303162146547</v>
      </c>
      <c r="B10129" t="str">
        <f>"1551601306542739"</f>
        <v>1551601306542739</v>
      </c>
      <c r="C10129" t="s">
        <v>40</v>
      </c>
      <c r="D10129">
        <v>5.025722</v>
      </c>
      <c r="E10129">
        <v>0.48953790000000003</v>
      </c>
      <c r="F10129" t="s">
        <v>50</v>
      </c>
      <c r="G10129">
        <v>-181.20439999999999</v>
      </c>
      <c r="H10129" s="1">
        <v>-5.0927219999999997E-6</v>
      </c>
      <c r="I10129">
        <v>128.97839999999999</v>
      </c>
      <c r="J10129">
        <v>-186.81800000000001</v>
      </c>
      <c r="K10129">
        <v>1.120682</v>
      </c>
      <c r="L10129">
        <v>109.19750000000001</v>
      </c>
      <c r="M10129">
        <v>6.1536649999999998E-2</v>
      </c>
      <c r="N10129">
        <v>-1.5090799999999901E-2</v>
      </c>
      <c r="O10129">
        <v>0.99799070000000001</v>
      </c>
      <c r="P10129">
        <v>0.30000250000000001</v>
      </c>
      <c r="Q10129">
        <v>0.14776719999999999</v>
      </c>
      <c r="R10129">
        <v>0.94242420000000005</v>
      </c>
      <c r="S10129">
        <v>0.82746889999999995</v>
      </c>
      <c r="T10129">
        <v>-0.16467229999999999</v>
      </c>
      <c r="U10129">
        <v>2.9458310000000001</v>
      </c>
      <c r="V10129">
        <v>0.24186160000000001</v>
      </c>
      <c r="W10129">
        <v>0.16158510000000001</v>
      </c>
      <c r="X10129">
        <v>0.9567618</v>
      </c>
      <c r="Y10129">
        <v>0.21035239999999999</v>
      </c>
      <c r="Z10129">
        <v>-3.9042269999999997E-2</v>
      </c>
      <c r="AA10129">
        <v>0.97684570000000004</v>
      </c>
      <c r="AB10129">
        <v>27</v>
      </c>
      <c r="AC10129">
        <v>5.6135999999999902</v>
      </c>
      <c r="AD10129">
        <v>-1.1206870927220001</v>
      </c>
      <c r="AE10129">
        <v>19.7808999999999</v>
      </c>
      <c r="AF10129">
        <v>4.3725808415192704</v>
      </c>
      <c r="AG10129">
        <v>-1.1206870927220001</v>
      </c>
      <c r="AH10129">
        <v>20.029386305485598</v>
      </c>
      <c r="AI10129">
        <v>93.128941598245603</v>
      </c>
      <c r="AJ10129">
        <v>77.685067971837</v>
      </c>
      <c r="AK10129">
        <v>20.531724685222901</v>
      </c>
      <c r="AL10129">
        <v>80.701086550310904</v>
      </c>
      <c r="AM10129">
        <v>75.813303152851404</v>
      </c>
      <c r="AN10129">
        <v>0.99999996001790403</v>
      </c>
    </row>
    <row r="10130" spans="1:40" x14ac:dyDescent="0.25">
      <c r="A10130" t="str">
        <f>"20190303162146570"</f>
        <v>20190303162146570</v>
      </c>
      <c r="B10130" t="str">
        <f>"1551601306562258"</f>
        <v>1551601306562258</v>
      </c>
      <c r="C10130" t="s">
        <v>40</v>
      </c>
      <c r="D10130">
        <v>4.8587949999999998</v>
      </c>
      <c r="E10130">
        <v>0.48913600000000002</v>
      </c>
      <c r="F10130" t="s">
        <v>50</v>
      </c>
      <c r="G10130">
        <v>-181.23840000000001</v>
      </c>
      <c r="H10130" s="1">
        <v>-5.1442069999999998E-6</v>
      </c>
      <c r="I10130">
        <v>129.11060000000001</v>
      </c>
      <c r="J10130">
        <v>-186.80009999999999</v>
      </c>
      <c r="K10130">
        <v>1.120682</v>
      </c>
      <c r="L10130">
        <v>109.4607</v>
      </c>
      <c r="M10130">
        <v>6.299283E-2</v>
      </c>
      <c r="N10130">
        <v>-1.5084149999999999E-2</v>
      </c>
      <c r="O10130">
        <v>0.99790000000000001</v>
      </c>
      <c r="P10130">
        <v>0.3014443</v>
      </c>
      <c r="Q10130">
        <v>0.14830299999999999</v>
      </c>
      <c r="R10130">
        <v>0.94187980000000004</v>
      </c>
      <c r="S10130">
        <v>0.82559199999999999</v>
      </c>
      <c r="T10130">
        <v>-0.1658241</v>
      </c>
      <c r="U10130">
        <v>2.946472</v>
      </c>
      <c r="V10130">
        <v>0.2419347</v>
      </c>
      <c r="W10130">
        <v>0.16211489999999901</v>
      </c>
      <c r="X10130">
        <v>0.95665370000000005</v>
      </c>
      <c r="Y10130">
        <v>0.2082898</v>
      </c>
      <c r="Z10130">
        <v>-3.9426219999999998E-2</v>
      </c>
      <c r="AA10130">
        <v>0.97727220000000004</v>
      </c>
      <c r="AB10130">
        <v>27</v>
      </c>
      <c r="AC10130">
        <v>5.5616999999999699</v>
      </c>
      <c r="AD10130">
        <v>-1.1206871442070001</v>
      </c>
      <c r="AE10130">
        <v>19.649899999999999</v>
      </c>
      <c r="AF10130">
        <v>4.2997595773943003</v>
      </c>
      <c r="AG10130">
        <v>-1.1206871442070001</v>
      </c>
      <c r="AH10130">
        <v>19.9013207209108</v>
      </c>
      <c r="AI10130">
        <v>93.150505850797103</v>
      </c>
      <c r="AJ10130">
        <v>77.808411793328801</v>
      </c>
      <c r="AK10130">
        <v>20.391332436482401</v>
      </c>
      <c r="AL10130">
        <v>80.670325775402603</v>
      </c>
      <c r="AM10130">
        <v>75.807649822817197</v>
      </c>
      <c r="AN10130">
        <v>0.999999970794894</v>
      </c>
    </row>
    <row r="10131" spans="1:40" x14ac:dyDescent="0.25">
      <c r="A10131" t="str">
        <f>"20190303162146592"</f>
        <v>20190303162146592</v>
      </c>
      <c r="B10131" t="str">
        <f>"1551601306582755"</f>
        <v>1551601306582755</v>
      </c>
      <c r="C10131" t="s">
        <v>40</v>
      </c>
      <c r="D10131">
        <v>5.1336170000000001</v>
      </c>
      <c r="E10131">
        <v>0.48875099999999999</v>
      </c>
      <c r="F10131" t="s">
        <v>50</v>
      </c>
      <c r="G10131">
        <v>-181.1465</v>
      </c>
      <c r="H10131" s="1">
        <v>-5.352999E-6</v>
      </c>
      <c r="I10131">
        <v>129.5926</v>
      </c>
      <c r="J10131">
        <v>-186.78219999999999</v>
      </c>
      <c r="K10131">
        <v>1.1206849999999999</v>
      </c>
      <c r="L10131">
        <v>109.7193</v>
      </c>
      <c r="M10131">
        <v>6.4422140000000003E-2</v>
      </c>
      <c r="N10131">
        <v>-1.507756E-2</v>
      </c>
      <c r="O10131">
        <v>0.99780880000000005</v>
      </c>
      <c r="P10131">
        <v>0.30301600000000001</v>
      </c>
      <c r="Q10131">
        <v>0.14866470000000001</v>
      </c>
      <c r="R10131">
        <v>0.94131830000000005</v>
      </c>
      <c r="S10131">
        <v>0.82736209999999899</v>
      </c>
      <c r="T10131">
        <v>-0.16400399999999901</v>
      </c>
      <c r="U10131">
        <v>2.9461520000000001</v>
      </c>
      <c r="V10131">
        <v>0.2421645</v>
      </c>
      <c r="W10131">
        <v>0.16247149999999999</v>
      </c>
      <c r="X10131">
        <v>0.95653500000000002</v>
      </c>
      <c r="Y10131">
        <v>0.2074684</v>
      </c>
      <c r="Z10131">
        <v>-3.8839319999999997E-2</v>
      </c>
      <c r="AA10131">
        <v>0.97747039999999996</v>
      </c>
      <c r="AB10131">
        <v>27</v>
      </c>
      <c r="AC10131">
        <v>5.6356999999999804</v>
      </c>
      <c r="AD10131">
        <v>-1.120690352999</v>
      </c>
      <c r="AE10131">
        <v>19.8733</v>
      </c>
      <c r="AF10131">
        <v>4.3308173668091401</v>
      </c>
      <c r="AG10131">
        <v>-1.120690352999</v>
      </c>
      <c r="AH10131">
        <v>20.135847169291601</v>
      </c>
      <c r="AI10131">
        <v>93.114516390020796</v>
      </c>
      <c r="AJ10131">
        <v>77.861740504421107</v>
      </c>
      <c r="AK10131">
        <v>20.626785187154798</v>
      </c>
      <c r="AL10131">
        <v>80.649619107953797</v>
      </c>
      <c r="AM10131">
        <v>75.793023323894303</v>
      </c>
      <c r="AN10131">
        <v>0.99999991979874603</v>
      </c>
    </row>
    <row r="10132" spans="1:40" x14ac:dyDescent="0.25">
      <c r="A10132" t="str">
        <f>"20190303162146603"</f>
        <v>20190303162146603</v>
      </c>
      <c r="B10132" t="str">
        <f>"1551601306592516"</f>
        <v>1551601306592516</v>
      </c>
      <c r="C10132" t="s">
        <v>40</v>
      </c>
      <c r="D10132">
        <v>5.0739640000000001</v>
      </c>
      <c r="E10132">
        <v>0.48857489999999998</v>
      </c>
      <c r="F10132" t="s">
        <v>50</v>
      </c>
      <c r="G10132">
        <v>-181.06829999999999</v>
      </c>
      <c r="H10132" s="1">
        <v>-5.49833099999999E-6</v>
      </c>
      <c r="I10132">
        <v>130.02520000000001</v>
      </c>
      <c r="J10132">
        <v>-186.7724</v>
      </c>
      <c r="K10132">
        <v>1.12069</v>
      </c>
      <c r="L10132">
        <v>109.8574</v>
      </c>
      <c r="M10132">
        <v>6.5184599999999995E-2</v>
      </c>
      <c r="N10132">
        <v>-1.507404E-2</v>
      </c>
      <c r="O10132">
        <v>0.99775930000000002</v>
      </c>
      <c r="P10132">
        <v>0.30394460000000001</v>
      </c>
      <c r="Q10132">
        <v>0.1486584</v>
      </c>
      <c r="R10132">
        <v>0.94101979999999996</v>
      </c>
      <c r="S10132">
        <v>0.8289337</v>
      </c>
      <c r="T10132">
        <v>-0.1625828</v>
      </c>
      <c r="U10132">
        <v>2.9458470000000001</v>
      </c>
      <c r="V10132">
        <v>0.2423766</v>
      </c>
      <c r="W10132">
        <v>0.1624621</v>
      </c>
      <c r="X10132">
        <v>0.95648290000000002</v>
      </c>
      <c r="Y10132">
        <v>0.20723620000000001</v>
      </c>
      <c r="Z10132">
        <v>-3.8378599999999999E-2</v>
      </c>
      <c r="AA10132">
        <v>0.97753780000000001</v>
      </c>
      <c r="AB10132">
        <v>27</v>
      </c>
      <c r="AC10132">
        <v>5.7041000000000102</v>
      </c>
      <c r="AD10132">
        <v>-1.120695498331</v>
      </c>
      <c r="AE10132">
        <v>20.1678</v>
      </c>
      <c r="AF10132">
        <v>4.36470709561726</v>
      </c>
      <c r="AG10132">
        <v>-1.120695498331</v>
      </c>
      <c r="AH10132">
        <v>20.4383233367132</v>
      </c>
      <c r="AI10132">
        <v>93.069483156596803</v>
      </c>
      <c r="AJ10132">
        <v>77.945275136357694</v>
      </c>
      <c r="AK10132">
        <v>20.929206560367899</v>
      </c>
      <c r="AL10132">
        <v>80.650165169293103</v>
      </c>
      <c r="AM10132">
        <v>75.780341461509096</v>
      </c>
      <c r="AN10132">
        <v>0.99999994407818804</v>
      </c>
    </row>
    <row r="10133" spans="1:40" x14ac:dyDescent="0.25">
      <c r="A10133" t="str">
        <f>"20190303162146615"</f>
        <v>20190303162146615</v>
      </c>
      <c r="B10133" t="str">
        <f>"1551601306602275"</f>
        <v>1551601306602275</v>
      </c>
      <c r="C10133" t="s">
        <v>40</v>
      </c>
      <c r="D10133">
        <v>5.0805980000000002</v>
      </c>
      <c r="E10133">
        <v>0.48839630000000001</v>
      </c>
      <c r="F10133" t="s">
        <v>50</v>
      </c>
      <c r="G10133">
        <v>-181.03559999999999</v>
      </c>
      <c r="H10133" s="1">
        <v>-5.5557159999999996E-6</v>
      </c>
      <c r="I10133">
        <v>130.1987</v>
      </c>
      <c r="J10133">
        <v>-186.7627</v>
      </c>
      <c r="K10133">
        <v>1.120695</v>
      </c>
      <c r="L10133">
        <v>109.9941</v>
      </c>
      <c r="M10133">
        <v>6.593765E-2</v>
      </c>
      <c r="N10133">
        <v>-1.507053E-2</v>
      </c>
      <c r="O10133">
        <v>0.99770990000000004</v>
      </c>
      <c r="P10133">
        <v>0.3050157</v>
      </c>
      <c r="Q10133">
        <v>0.14854189999999901</v>
      </c>
      <c r="R10133">
        <v>0.94069159999999996</v>
      </c>
      <c r="S10133">
        <v>0.83068850000000005</v>
      </c>
      <c r="T10133">
        <v>-0.16227440000000001</v>
      </c>
      <c r="U10133">
        <v>2.9453740000000002</v>
      </c>
      <c r="V10133">
        <v>0.2427416</v>
      </c>
      <c r="W10133">
        <v>0.16234209999999999</v>
      </c>
      <c r="X10133">
        <v>0.95641080000000001</v>
      </c>
      <c r="Y10133">
        <v>0.2070796</v>
      </c>
      <c r="Z10133">
        <v>-3.8283959999999999E-2</v>
      </c>
      <c r="AA10133">
        <v>0.97757479999999997</v>
      </c>
      <c r="AB10133">
        <v>27</v>
      </c>
      <c r="AC10133">
        <v>5.7271000000000001</v>
      </c>
      <c r="AD10133">
        <v>-1.1207005557159999</v>
      </c>
      <c r="AE10133">
        <v>20.204599999999999</v>
      </c>
      <c r="AF10133">
        <v>4.3697938661253799</v>
      </c>
      <c r="AG10133">
        <v>-1.1207005557159999</v>
      </c>
      <c r="AH10133">
        <v>20.479970397080098</v>
      </c>
      <c r="AI10133">
        <v>93.063382943670902</v>
      </c>
      <c r="AJ10133">
        <v>77.955462082956501</v>
      </c>
      <c r="AK10133">
        <v>20.970938358435099</v>
      </c>
      <c r="AL10133">
        <v>80.657133976444499</v>
      </c>
      <c r="AM10133">
        <v>75.758768328900999</v>
      </c>
      <c r="AN10133">
        <v>1.0000000300798</v>
      </c>
    </row>
    <row r="10134" spans="1:40" x14ac:dyDescent="0.25">
      <c r="A10134" t="str">
        <f>"20190303162146626"</f>
        <v>20190303162146626</v>
      </c>
      <c r="B10134" t="str">
        <f>"1551601306613011"</f>
        <v>1551601306613011</v>
      </c>
      <c r="C10134" t="s">
        <v>40</v>
      </c>
      <c r="D10134">
        <v>5.1362160000000001</v>
      </c>
      <c r="E10134">
        <v>0.48828640000000001</v>
      </c>
      <c r="F10134" t="s">
        <v>50</v>
      </c>
      <c r="G10134">
        <v>-181.0121</v>
      </c>
      <c r="H10134" s="1">
        <v>-5.6010280000000002E-6</v>
      </c>
      <c r="I10134">
        <v>130.33609999999999</v>
      </c>
      <c r="J10134">
        <v>-186.7527</v>
      </c>
      <c r="K10134">
        <v>1.1207</v>
      </c>
      <c r="L10134">
        <v>110.1331</v>
      </c>
      <c r="M10134">
        <v>6.6702719999999993E-2</v>
      </c>
      <c r="N10134">
        <v>-1.5066960000000001E-2</v>
      </c>
      <c r="O10134">
        <v>0.99765910000000002</v>
      </c>
      <c r="P10134">
        <v>0.30588559999999998</v>
      </c>
      <c r="Q10134">
        <v>0.14854529999999999</v>
      </c>
      <c r="R10134">
        <v>0.94040860000000004</v>
      </c>
      <c r="S10134">
        <v>0.83248899999999904</v>
      </c>
      <c r="T10134">
        <v>-0.16223989999999999</v>
      </c>
      <c r="U10134">
        <v>2.944839</v>
      </c>
      <c r="V10134">
        <v>0.24289150000000001</v>
      </c>
      <c r="W10134">
        <v>0.16234309999999999</v>
      </c>
      <c r="X10134">
        <v>0.95637260000000002</v>
      </c>
      <c r="Y10134">
        <v>0.20692949999999999</v>
      </c>
      <c r="Z10134">
        <v>-3.8279819999999999E-2</v>
      </c>
      <c r="AA10134">
        <v>0.97760670000000005</v>
      </c>
      <c r="AB10134">
        <v>26</v>
      </c>
      <c r="AC10134">
        <v>5.7405999999999997</v>
      </c>
      <c r="AD10134">
        <v>-1.1207056010279901</v>
      </c>
      <c r="AE10134">
        <v>20.2029999999999</v>
      </c>
      <c r="AF10134">
        <v>4.3676282184902302</v>
      </c>
      <c r="AG10134">
        <v>-1.1207056010279901</v>
      </c>
      <c r="AH10134">
        <v>20.482632810041501</v>
      </c>
      <c r="AI10134">
        <v>93.0630825211</v>
      </c>
      <c r="AJ10134">
        <v>77.962776309570799</v>
      </c>
      <c r="AK10134">
        <v>20.973087615563799</v>
      </c>
      <c r="AL10134">
        <v>80.657076159067799</v>
      </c>
      <c r="AM10134">
        <v>75.749786046759795</v>
      </c>
      <c r="AN10134">
        <v>1.0000000564603</v>
      </c>
    </row>
    <row r="10135" spans="1:40" x14ac:dyDescent="0.25">
      <c r="A10135" t="str">
        <f>"20190303162146639"</f>
        <v>20190303162146639</v>
      </c>
      <c r="B10135" t="str">
        <f>"1551601306632531"</f>
        <v>1551601306632531</v>
      </c>
      <c r="C10135" t="s">
        <v>40</v>
      </c>
      <c r="D10135">
        <v>4.9961729999999998</v>
      </c>
      <c r="E10135">
        <v>0.48834909999999998</v>
      </c>
      <c r="F10135" t="s">
        <v>50</v>
      </c>
      <c r="G10135">
        <v>-180.9665</v>
      </c>
      <c r="H10135" s="1">
        <v>-5.6728729999999998E-6</v>
      </c>
      <c r="I10135">
        <v>130.55240000000001</v>
      </c>
      <c r="J10135">
        <v>-186.74189999999999</v>
      </c>
      <c r="K10135">
        <v>1.1207119999999999</v>
      </c>
      <c r="L10135">
        <v>110.2811</v>
      </c>
      <c r="M10135">
        <v>6.7512100000000005E-2</v>
      </c>
      <c r="N10135">
        <v>-1.5063160000000001E-2</v>
      </c>
      <c r="O10135">
        <v>0.99760470000000001</v>
      </c>
      <c r="P10135">
        <v>0.30695139999999999</v>
      </c>
      <c r="Q10135">
        <v>0.14868509999999999</v>
      </c>
      <c r="R10135">
        <v>0.94003910000000002</v>
      </c>
      <c r="S10135">
        <v>0.83430479999999996</v>
      </c>
      <c r="T10135">
        <v>-0.16159389999999901</v>
      </c>
      <c r="U10135">
        <v>2.9442439999999999</v>
      </c>
      <c r="V10135">
        <v>0.2432</v>
      </c>
      <c r="W10135">
        <v>0.16248099999999999</v>
      </c>
      <c r="X10135">
        <v>0.95627070000000003</v>
      </c>
      <c r="Y10135">
        <v>0.2067483</v>
      </c>
      <c r="Z10135">
        <v>-3.8076829999999999E-2</v>
      </c>
      <c r="AA10135">
        <v>0.97765299999999999</v>
      </c>
      <c r="AB10135">
        <v>26</v>
      </c>
      <c r="AC10135">
        <v>5.7753999999999897</v>
      </c>
      <c r="AD10135">
        <v>-1.1207176728729999</v>
      </c>
      <c r="AE10135">
        <v>20.2713</v>
      </c>
      <c r="AF10135">
        <v>4.3811211094258899</v>
      </c>
      <c r="AG10135">
        <v>-1.1207176728729999</v>
      </c>
      <c r="AH10135">
        <v>20.5568777513617</v>
      </c>
      <c r="AI10135">
        <v>93.052144075190697</v>
      </c>
      <c r="AJ10135">
        <v>77.969011555123004</v>
      </c>
      <c r="AK10135">
        <v>21.0484073782835</v>
      </c>
      <c r="AL10135">
        <v>80.649068069261503</v>
      </c>
      <c r="AM10135">
        <v>75.730966934187094</v>
      </c>
      <c r="AN10135">
        <v>0.99999998351974395</v>
      </c>
    </row>
    <row r="10136" spans="1:40" x14ac:dyDescent="0.25">
      <c r="A10136" t="str">
        <f>"20190303162146652"</f>
        <v>20190303162146652</v>
      </c>
      <c r="B10136" t="str">
        <f>"1551601306642291"</f>
        <v>1551601306642291</v>
      </c>
      <c r="C10136" t="s">
        <v>40</v>
      </c>
      <c r="D10136">
        <v>4.9879220000000002</v>
      </c>
      <c r="E10136">
        <v>0.51730359999999997</v>
      </c>
      <c r="F10136" t="s">
        <v>50</v>
      </c>
      <c r="G10136">
        <v>-180.88560000000001</v>
      </c>
      <c r="H10136" s="1">
        <v>-5.7842609999999998E-6</v>
      </c>
      <c r="I10136">
        <v>130.85679999999999</v>
      </c>
      <c r="J10136">
        <v>-186.7311</v>
      </c>
      <c r="K10136">
        <v>1.1207199999999999</v>
      </c>
      <c r="L10136">
        <v>110.42749999999999</v>
      </c>
      <c r="M10136">
        <v>6.8309419999999996E-2</v>
      </c>
      <c r="N10136">
        <v>-1.5059380000000001E-2</v>
      </c>
      <c r="O10136">
        <v>0.99755050000000001</v>
      </c>
      <c r="P10136">
        <v>0.3076083</v>
      </c>
      <c r="Q10136">
        <v>0.1488379</v>
      </c>
      <c r="R10136">
        <v>0.93980019999999997</v>
      </c>
      <c r="S10136">
        <v>0.83769229999999995</v>
      </c>
      <c r="T10136">
        <v>-0.1603088</v>
      </c>
      <c r="U10136">
        <v>2.9431759999999998</v>
      </c>
      <c r="V10136">
        <v>0.24310309999999999</v>
      </c>
      <c r="W10136">
        <v>0.16263429999999901</v>
      </c>
      <c r="X10136">
        <v>0.95626929999999999</v>
      </c>
      <c r="Y10136">
        <v>0.2071054</v>
      </c>
      <c r="Z10136">
        <v>-3.7666289999999998E-2</v>
      </c>
      <c r="AA10136">
        <v>0.9775933</v>
      </c>
      <c r="AB10136">
        <v>26</v>
      </c>
      <c r="AC10136">
        <v>5.8454999999999799</v>
      </c>
      <c r="AD10136">
        <v>-1.1207257842609999</v>
      </c>
      <c r="AE10136">
        <v>20.429300000000001</v>
      </c>
      <c r="AF10136">
        <v>4.4238649340166996</v>
      </c>
      <c r="AG10136">
        <v>-1.1207257842609999</v>
      </c>
      <c r="AH10136">
        <v>20.723271418250299</v>
      </c>
      <c r="AI10136">
        <v>93.027488468441405</v>
      </c>
      <c r="AJ10136">
        <v>77.949755201139396</v>
      </c>
      <c r="AK10136">
        <v>21.219815868956001</v>
      </c>
      <c r="AL10136">
        <v>80.640166411238297</v>
      </c>
      <c r="AM10136">
        <v>75.736400177289994</v>
      </c>
      <c r="AN10136">
        <v>1.00000000344429</v>
      </c>
    </row>
    <row r="10137" spans="1:40" x14ac:dyDescent="0.25">
      <c r="A10137" t="str">
        <f>"20190303162146665"</f>
        <v>20190303162146665</v>
      </c>
      <c r="B10137" t="str">
        <f>"1551601306653026"</f>
        <v>1551601306653026</v>
      </c>
      <c r="C10137" t="s">
        <v>40</v>
      </c>
      <c r="D10137">
        <v>5.0450439999999999</v>
      </c>
      <c r="E10137">
        <v>0.52021189999999995</v>
      </c>
      <c r="F10137" t="s">
        <v>50</v>
      </c>
      <c r="G10137">
        <v>-174.2671</v>
      </c>
      <c r="H10137" s="1">
        <v>-6.9612850000000004E-6</v>
      </c>
      <c r="I10137">
        <v>144.1019</v>
      </c>
      <c r="J10137">
        <v>-186.71889999999999</v>
      </c>
      <c r="K10137">
        <v>1.1207290000000001</v>
      </c>
      <c r="L10137">
        <v>110.59180000000001</v>
      </c>
      <c r="M10137">
        <v>6.9199720000000006E-2</v>
      </c>
      <c r="N10137">
        <v>-1.505512E-2</v>
      </c>
      <c r="O10137">
        <v>0.99748919999999996</v>
      </c>
      <c r="P10137">
        <v>0.30864150000000001</v>
      </c>
      <c r="Q10137">
        <v>0.14875940000000001</v>
      </c>
      <c r="R10137">
        <v>0.93947380000000003</v>
      </c>
      <c r="S10137">
        <v>1.0588379999999999</v>
      </c>
      <c r="T10137">
        <v>-9.5207449999999999E-2</v>
      </c>
      <c r="U10137">
        <v>2.860687</v>
      </c>
      <c r="V10137">
        <v>0.24329700000000001</v>
      </c>
      <c r="W10137">
        <v>0.16255620000000001</v>
      </c>
      <c r="X10137">
        <v>0.95623329999999995</v>
      </c>
      <c r="Y10137">
        <v>0.28124070000000001</v>
      </c>
      <c r="Z10137">
        <v>-1.6566460000000002E-2</v>
      </c>
      <c r="AA10137">
        <v>0.95949419999999996</v>
      </c>
      <c r="AB10137">
        <v>26</v>
      </c>
      <c r="AC10137">
        <v>12.451799999999899</v>
      </c>
      <c r="AD10137">
        <v>-1.1207359612850001</v>
      </c>
      <c r="AE10137">
        <v>33.510099999999902</v>
      </c>
      <c r="AF10137">
        <v>10.092871954825901</v>
      </c>
      <c r="AG10137">
        <v>-1.1207359612850001</v>
      </c>
      <c r="AH10137">
        <v>34.257840875002003</v>
      </c>
      <c r="AI10137">
        <v>91.797417820705704</v>
      </c>
      <c r="AJ10137">
        <v>73.584238604869498</v>
      </c>
      <c r="AK10137">
        <v>35.731243678444599</v>
      </c>
      <c r="AL10137">
        <v>80.644701870693297</v>
      </c>
      <c r="AM10137">
        <v>75.724972815072903</v>
      </c>
      <c r="AN10137">
        <v>1.00000003619816</v>
      </c>
    </row>
    <row r="10138" spans="1:40" x14ac:dyDescent="0.25">
      <c r="A10138" t="str">
        <f>"20190303162146682"</f>
        <v>20190303162146682</v>
      </c>
      <c r="B10138" t="str">
        <f>"1551601306672547"</f>
        <v>1551601306672547</v>
      </c>
      <c r="C10138" t="s">
        <v>40</v>
      </c>
      <c r="D10138">
        <v>5.0275220000000003</v>
      </c>
      <c r="E10138">
        <v>0.5214877</v>
      </c>
      <c r="F10138" t="s">
        <v>50</v>
      </c>
      <c r="G10138">
        <v>-176.03559999999999</v>
      </c>
      <c r="H10138" s="1">
        <v>-6.1798989999999997E-6</v>
      </c>
      <c r="I10138">
        <v>138.73779999999999</v>
      </c>
      <c r="J10138">
        <v>-186.70439999999999</v>
      </c>
      <c r="K10138">
        <v>1.120744</v>
      </c>
      <c r="L10138">
        <v>110.78400000000001</v>
      </c>
      <c r="M10138">
        <v>7.0230200000000007E-2</v>
      </c>
      <c r="N10138">
        <v>-1.505011E-2</v>
      </c>
      <c r="O10138">
        <v>0.99741729999999995</v>
      </c>
      <c r="P10138">
        <v>0.30993789999999999</v>
      </c>
      <c r="Q10138">
        <v>0.14851149999999999</v>
      </c>
      <c r="R10138">
        <v>0.93908619999999998</v>
      </c>
      <c r="S10138">
        <v>1.083755</v>
      </c>
      <c r="T10138">
        <v>-0.113691899999999</v>
      </c>
      <c r="U10138">
        <v>2.8552399999999998</v>
      </c>
      <c r="V10138">
        <v>0.24362110000000001</v>
      </c>
      <c r="W10138">
        <v>0.1623097</v>
      </c>
      <c r="X10138">
        <v>0.95619259999999995</v>
      </c>
      <c r="Y10138">
        <v>0.28812070000000001</v>
      </c>
      <c r="Z10138">
        <v>-2.2643489999999999E-2</v>
      </c>
      <c r="AA10138">
        <v>0.95732640000000002</v>
      </c>
      <c r="AB10138">
        <v>26</v>
      </c>
      <c r="AC10138">
        <v>10.668799999999999</v>
      </c>
      <c r="AD10138">
        <v>-1.1207501798989901</v>
      </c>
      <c r="AE10138">
        <v>27.953800000000001</v>
      </c>
      <c r="AF10138">
        <v>8.6668672458461806</v>
      </c>
      <c r="AG10138">
        <v>-1.1207501798989901</v>
      </c>
      <c r="AH10138">
        <v>28.593998589257101</v>
      </c>
      <c r="AI10138">
        <v>92.148164310330401</v>
      </c>
      <c r="AJ10138">
        <v>73.137895601721297</v>
      </c>
      <c r="AK10138">
        <v>29.899622474962801</v>
      </c>
      <c r="AL10138">
        <v>80.6590148741777</v>
      </c>
      <c r="AM10138">
        <v>75.706152051820396</v>
      </c>
      <c r="AN10138">
        <v>0.99999998368702903</v>
      </c>
    </row>
    <row r="10139" spans="1:40" x14ac:dyDescent="0.25">
      <c r="A10139" t="str">
        <f>"20190303162146696"</f>
        <v>20190303162146696</v>
      </c>
      <c r="B10139" t="str">
        <f>"1551601306682307"</f>
        <v>1551601306682307</v>
      </c>
      <c r="C10139" t="s">
        <v>40</v>
      </c>
      <c r="D10139">
        <v>4.9680679999999997</v>
      </c>
      <c r="E10139">
        <v>0.52151530000000001</v>
      </c>
      <c r="F10139" t="s">
        <v>50</v>
      </c>
      <c r="G10139">
        <v>-176.99610000000001</v>
      </c>
      <c r="H10139" s="1">
        <v>-5.8259249999999996E-6</v>
      </c>
      <c r="I10139">
        <v>136.0155</v>
      </c>
      <c r="J10139">
        <v>-186.69130000000001</v>
      </c>
      <c r="K10139">
        <v>1.1207560000000001</v>
      </c>
      <c r="L10139">
        <v>110.9558</v>
      </c>
      <c r="M10139">
        <v>7.1141769999999993E-2</v>
      </c>
      <c r="N10139">
        <v>-1.5045619999999999E-2</v>
      </c>
      <c r="O10139">
        <v>0.99735269999999998</v>
      </c>
      <c r="P10139">
        <v>0.31059379999999998</v>
      </c>
      <c r="Q10139">
        <v>0.14859749999999999</v>
      </c>
      <c r="R10139">
        <v>0.93885580000000002</v>
      </c>
      <c r="S10139">
        <v>1.0975189999999999</v>
      </c>
      <c r="T10139">
        <v>-0.1267006</v>
      </c>
      <c r="U10139">
        <v>2.852417</v>
      </c>
      <c r="V10139">
        <v>0.24341080000000001</v>
      </c>
      <c r="W10139">
        <v>0.1623995</v>
      </c>
      <c r="X10139">
        <v>0.95623089999999999</v>
      </c>
      <c r="Y10139">
        <v>0.29153990000000002</v>
      </c>
      <c r="Z10139">
        <v>-2.691532E-2</v>
      </c>
      <c r="AA10139">
        <v>0.95617989999999997</v>
      </c>
      <c r="AB10139">
        <v>26</v>
      </c>
      <c r="AC10139">
        <v>9.6951999999999998</v>
      </c>
      <c r="AD10139">
        <v>-1.1207618259249901</v>
      </c>
      <c r="AE10139">
        <v>25.059699999999999</v>
      </c>
      <c r="AF10139">
        <v>7.8739365340775302</v>
      </c>
      <c r="AG10139">
        <v>-1.1207618259249901</v>
      </c>
      <c r="AH10139">
        <v>25.641390706811201</v>
      </c>
      <c r="AI10139">
        <v>92.392622124819198</v>
      </c>
      <c r="AJ10139">
        <v>72.929369375762107</v>
      </c>
      <c r="AK10139">
        <v>26.846524933266</v>
      </c>
      <c r="AL10139">
        <v>80.653800446334998</v>
      </c>
      <c r="AM10139">
        <v>75.718534504599404</v>
      </c>
      <c r="AN10139">
        <v>0.999999974635849</v>
      </c>
    </row>
    <row r="10140" spans="1:40" x14ac:dyDescent="0.25">
      <c r="A10140" t="str">
        <f>"20190303162146712"</f>
        <v>20190303162146712</v>
      </c>
      <c r="B10140" t="str">
        <f>"1551601306702803"</f>
        <v>1551601306702803</v>
      </c>
      <c r="C10140" t="s">
        <v>40</v>
      </c>
      <c r="D10140">
        <v>4.9622250000000001</v>
      </c>
      <c r="E10140">
        <v>0.52189830000000004</v>
      </c>
      <c r="F10140" t="s">
        <v>50</v>
      </c>
      <c r="G10140">
        <v>-176.29589999999999</v>
      </c>
      <c r="H10140" s="1">
        <v>-6.0487939999999998E-6</v>
      </c>
      <c r="I10140">
        <v>137.89940000000001</v>
      </c>
      <c r="J10140">
        <v>-186.67769999999999</v>
      </c>
      <c r="K10140">
        <v>1.1207720000000001</v>
      </c>
      <c r="L10140">
        <v>111.1317</v>
      </c>
      <c r="M10140">
        <v>7.2065229999999994E-2</v>
      </c>
      <c r="N10140">
        <v>-1.504104E-2</v>
      </c>
      <c r="O10140">
        <v>0.99728649999999996</v>
      </c>
      <c r="P10140">
        <v>0.31161559999999999</v>
      </c>
      <c r="Q10140">
        <v>0.14836099999999999</v>
      </c>
      <c r="R10140">
        <v>0.93855460000000002</v>
      </c>
      <c r="S10140">
        <v>1.0997159999999999</v>
      </c>
      <c r="T10140">
        <v>-0.1185647</v>
      </c>
      <c r="U10140">
        <v>2.8503419999999999</v>
      </c>
      <c r="V10140">
        <v>0.243558</v>
      </c>
      <c r="W10140">
        <v>0.1621667</v>
      </c>
      <c r="X10140">
        <v>0.956233</v>
      </c>
      <c r="Y10140">
        <v>0.29155930000000002</v>
      </c>
      <c r="Z10140">
        <v>-2.4261950000000001E-2</v>
      </c>
      <c r="AA10140">
        <v>0.95624500000000001</v>
      </c>
      <c r="AB10140">
        <v>26</v>
      </c>
      <c r="AC10140">
        <v>10.381799999999901</v>
      </c>
      <c r="AD10140">
        <v>-1.12077804879399</v>
      </c>
      <c r="AE10140">
        <v>26.767700000000001</v>
      </c>
      <c r="AF10140">
        <v>8.4127414466643202</v>
      </c>
      <c r="AG10140">
        <v>-1.12077804879399</v>
      </c>
      <c r="AH10140">
        <v>27.404575532241001</v>
      </c>
      <c r="AI10140">
        <v>92.238937729688899</v>
      </c>
      <c r="AJ10140">
        <v>72.934398889577807</v>
      </c>
      <c r="AK10140">
        <v>28.688693281245499</v>
      </c>
      <c r="AL10140">
        <v>80.667318745114798</v>
      </c>
      <c r="AM10140">
        <v>75.710281653770295</v>
      </c>
      <c r="AN10140">
        <v>1.00000004412094</v>
      </c>
    </row>
    <row r="10141" spans="1:40" x14ac:dyDescent="0.25">
      <c r="A10141" t="str">
        <f>"20190303162146728"</f>
        <v>20190303162146728</v>
      </c>
      <c r="B10141" t="str">
        <f>"1551601306722323"</f>
        <v>1551601306722323</v>
      </c>
      <c r="C10141" t="s">
        <v>40</v>
      </c>
      <c r="D10141">
        <v>4.9888729999999999</v>
      </c>
      <c r="E10141">
        <v>0.52226289999999997</v>
      </c>
      <c r="F10141" t="s">
        <v>50</v>
      </c>
      <c r="G10141">
        <v>-175.84110000000001</v>
      </c>
      <c r="H10141" s="1">
        <v>-6.1635670000000003E-6</v>
      </c>
      <c r="I10141">
        <v>139.03729999999999</v>
      </c>
      <c r="J10141">
        <v>-186.66309999999999</v>
      </c>
      <c r="K10141">
        <v>1.120792</v>
      </c>
      <c r="L10141">
        <v>111.3194</v>
      </c>
      <c r="M10141">
        <v>7.3038409999999998E-2</v>
      </c>
      <c r="N10141">
        <v>-1.503618E-2</v>
      </c>
      <c r="O10141">
        <v>0.99721570000000004</v>
      </c>
      <c r="P10141">
        <v>0.31229869999999998</v>
      </c>
      <c r="Q10141">
        <v>0.14844749999999901</v>
      </c>
      <c r="R10141">
        <v>0.93831379999999998</v>
      </c>
      <c r="S10141">
        <v>1.1057129999999999</v>
      </c>
      <c r="T10141">
        <v>-0.1143588</v>
      </c>
      <c r="U10141">
        <v>2.8473510000000002</v>
      </c>
      <c r="V10141">
        <v>0.2433149</v>
      </c>
      <c r="W10141">
        <v>0.16225979999999901</v>
      </c>
      <c r="X10141">
        <v>0.95627899999999999</v>
      </c>
      <c r="Y10141">
        <v>0.2927283</v>
      </c>
      <c r="Z10141">
        <v>-2.2897339999999999E-2</v>
      </c>
      <c r="AA10141">
        <v>0.95592149999999998</v>
      </c>
      <c r="AB10141">
        <v>26</v>
      </c>
      <c r="AC10141">
        <v>10.8219999999999</v>
      </c>
      <c r="AD10141">
        <v>-1.1207981635669999</v>
      </c>
      <c r="AE10141">
        <v>27.717899999999901</v>
      </c>
      <c r="AF10141">
        <v>8.7559660604995404</v>
      </c>
      <c r="AG10141">
        <v>-1.1207981635669999</v>
      </c>
      <c r="AH10141">
        <v>28.394078298060499</v>
      </c>
      <c r="AI10141">
        <v>92.160183996120395</v>
      </c>
      <c r="AJ10141">
        <v>72.861652024704</v>
      </c>
      <c r="AK10141">
        <v>29.734606312720299</v>
      </c>
      <c r="AL10141">
        <v>80.661912068031299</v>
      </c>
      <c r="AM10141">
        <v>75.724619850606601</v>
      </c>
      <c r="AN10141">
        <v>0.99999995454952395</v>
      </c>
    </row>
    <row r="10142" spans="1:40" x14ac:dyDescent="0.25">
      <c r="A10142" t="str">
        <f>"20190303162146749"</f>
        <v>20190303162146749</v>
      </c>
      <c r="B10142" t="str">
        <f>"1551601306742819"</f>
        <v>1551601306742819</v>
      </c>
      <c r="C10142" t="s">
        <v>40</v>
      </c>
      <c r="D10142">
        <v>4.9770300000000001</v>
      </c>
      <c r="E10142">
        <v>0.52294529999999995</v>
      </c>
      <c r="F10142" t="s">
        <v>50</v>
      </c>
      <c r="G10142">
        <v>-175.7971</v>
      </c>
      <c r="H10142" s="1">
        <v>-6.17627399999999E-6</v>
      </c>
      <c r="I10142">
        <v>139.15190000000001</v>
      </c>
      <c r="J10142">
        <v>-186.64349999999999</v>
      </c>
      <c r="K10142">
        <v>1.120814</v>
      </c>
      <c r="L10142">
        <v>111.5673</v>
      </c>
      <c r="M10142">
        <v>7.4300679999999994E-2</v>
      </c>
      <c r="N10142">
        <v>-1.502967E-2</v>
      </c>
      <c r="O10142">
        <v>0.99712259999999997</v>
      </c>
      <c r="P10142">
        <v>0.3138358</v>
      </c>
      <c r="Q10142">
        <v>0.14850289999999999</v>
      </c>
      <c r="R10142">
        <v>0.93779210000000002</v>
      </c>
      <c r="S10142">
        <v>1.1109309999999999</v>
      </c>
      <c r="T10142">
        <v>-0.11459030000000001</v>
      </c>
      <c r="U10142">
        <v>2.845596</v>
      </c>
      <c r="V10142">
        <v>0.24366409999999999</v>
      </c>
      <c r="W10142">
        <v>0.16231960000000001</v>
      </c>
      <c r="X10142">
        <v>0.95618000000000003</v>
      </c>
      <c r="Y10142">
        <v>0.293238</v>
      </c>
      <c r="Z10142">
        <v>-2.2985749999999999E-2</v>
      </c>
      <c r="AA10142">
        <v>0.95576309999999998</v>
      </c>
      <c r="AB10142">
        <v>26</v>
      </c>
      <c r="AC10142">
        <v>10.8463999999999</v>
      </c>
      <c r="AD10142">
        <v>-1.120820176274</v>
      </c>
      <c r="AE10142">
        <v>27.584599999999998</v>
      </c>
      <c r="AF10142">
        <v>8.7541089790523703</v>
      </c>
      <c r="AG10142">
        <v>-1.120820176274</v>
      </c>
      <c r="AH10142">
        <v>28.273893063469099</v>
      </c>
      <c r="AI10142">
        <v>92.168639158596406</v>
      </c>
      <c r="AJ10142">
        <v>72.796528925714696</v>
      </c>
      <c r="AK10142">
        <v>29.619312801770999</v>
      </c>
      <c r="AL10142">
        <v>80.658440358409905</v>
      </c>
      <c r="AM10142">
        <v>75.7035518816012</v>
      </c>
      <c r="AN10142">
        <v>1.00000001928648</v>
      </c>
    </row>
    <row r="10143" spans="1:40" x14ac:dyDescent="0.25">
      <c r="A10143" t="str">
        <f>"20190303162146761"</f>
        <v>20190303162146761</v>
      </c>
      <c r="B10143" t="str">
        <f>"1551601306752580"</f>
        <v>1551601306752580</v>
      </c>
      <c r="C10143" t="s">
        <v>40</v>
      </c>
      <c r="D10143">
        <v>5.0060440000000002</v>
      </c>
      <c r="E10143">
        <v>0.52331470000000002</v>
      </c>
      <c r="F10143" t="s">
        <v>50</v>
      </c>
      <c r="G10143">
        <v>-176.94450000000001</v>
      </c>
      <c r="H10143" s="1">
        <v>-5.8518060000000002E-6</v>
      </c>
      <c r="I10143">
        <v>136.1814</v>
      </c>
      <c r="J10143">
        <v>-186.63140000000001</v>
      </c>
      <c r="K10143">
        <v>1.120827</v>
      </c>
      <c r="L10143">
        <v>111.71810000000001</v>
      </c>
      <c r="M10143">
        <v>7.5057189999999996E-2</v>
      </c>
      <c r="N10143">
        <v>-1.502566E-2</v>
      </c>
      <c r="O10143">
        <v>0.99706600000000001</v>
      </c>
      <c r="P10143">
        <v>0.31460260000000001</v>
      </c>
      <c r="Q10143">
        <v>0.1483592</v>
      </c>
      <c r="R10143">
        <v>0.93755790000000006</v>
      </c>
      <c r="S10143">
        <v>1.120819</v>
      </c>
      <c r="T10143">
        <v>-0.12952279999999999</v>
      </c>
      <c r="U10143">
        <v>2.8444210000000001</v>
      </c>
      <c r="V10143">
        <v>0.24371309999999999</v>
      </c>
      <c r="W10143">
        <v>0.1621803</v>
      </c>
      <c r="X10143">
        <v>0.95619109999999996</v>
      </c>
      <c r="Y10143">
        <v>0.29546810000000001</v>
      </c>
      <c r="Z10143">
        <v>-2.7884610000000001E-2</v>
      </c>
      <c r="AA10143">
        <v>0.95494559999999995</v>
      </c>
      <c r="AB10143">
        <v>26</v>
      </c>
      <c r="AC10143">
        <v>9.6868999999999996</v>
      </c>
      <c r="AD10143">
        <v>-1.120832851806</v>
      </c>
      <c r="AE10143">
        <v>24.463299999999901</v>
      </c>
      <c r="AF10143">
        <v>7.8090446817973698</v>
      </c>
      <c r="AG10143">
        <v>-1.120832851806</v>
      </c>
      <c r="AH10143">
        <v>25.075928490415599</v>
      </c>
      <c r="AI10143">
        <v>92.443676317629397</v>
      </c>
      <c r="AJ10143">
        <v>72.702577144581198</v>
      </c>
      <c r="AK10143">
        <v>26.287632734433</v>
      </c>
      <c r="AL10143">
        <v>80.666528392401702</v>
      </c>
      <c r="AM10143">
        <v>75.7009539893496</v>
      </c>
      <c r="AN10143">
        <v>0.99999997226945403</v>
      </c>
    </row>
    <row r="10144" spans="1:40" x14ac:dyDescent="0.25">
      <c r="A10144" t="str">
        <f>"20190303162146774"</f>
        <v>20190303162146774</v>
      </c>
      <c r="B10144" t="str">
        <f>"1551601306763314"</f>
        <v>1551601306763314</v>
      </c>
      <c r="C10144" t="s">
        <v>40</v>
      </c>
      <c r="D10144">
        <v>4.9463670000000004</v>
      </c>
      <c r="E10144">
        <v>0.52391390000000004</v>
      </c>
      <c r="F10144" t="s">
        <v>50</v>
      </c>
      <c r="G10144">
        <v>-177.3348</v>
      </c>
      <c r="H10144" s="1">
        <v>-5.7482509999999998E-6</v>
      </c>
      <c r="I10144">
        <v>135.19030000000001</v>
      </c>
      <c r="J10144">
        <v>-186.6208</v>
      </c>
      <c r="K10144">
        <v>1.1208359999999999</v>
      </c>
      <c r="L10144">
        <v>111.849</v>
      </c>
      <c r="M10144">
        <v>7.5705099999999997E-2</v>
      </c>
      <c r="N10144">
        <v>-1.502218E-2</v>
      </c>
      <c r="O10144">
        <v>0.99701709999999999</v>
      </c>
      <c r="P10144">
        <v>0.31507540000000001</v>
      </c>
      <c r="Q10144">
        <v>0.14812500000000001</v>
      </c>
      <c r="R10144">
        <v>0.93743620000000005</v>
      </c>
      <c r="S10144">
        <v>1.1261749999999999</v>
      </c>
      <c r="T10144">
        <v>-0.13577649999999999</v>
      </c>
      <c r="U10144">
        <v>2.8433989999999998</v>
      </c>
      <c r="V10144">
        <v>0.2435658</v>
      </c>
      <c r="W10144">
        <v>0.16195119999999999</v>
      </c>
      <c r="X10144">
        <v>0.95626750000000005</v>
      </c>
      <c r="Y10144">
        <v>0.29649350000000002</v>
      </c>
      <c r="Z10144">
        <v>-2.9938329999999999E-2</v>
      </c>
      <c r="AA10144">
        <v>0.95456549999999996</v>
      </c>
      <c r="AB10144">
        <v>26</v>
      </c>
      <c r="AC10144">
        <v>9.2859999999999996</v>
      </c>
      <c r="AD10144">
        <v>-1.120841748251</v>
      </c>
      <c r="AE10144">
        <v>23.3413</v>
      </c>
      <c r="AF10144">
        <v>7.47720502981021</v>
      </c>
      <c r="AG10144">
        <v>-1.120841748251</v>
      </c>
      <c r="AH10144">
        <v>23.929738764940101</v>
      </c>
      <c r="AI10144">
        <v>92.559829453211094</v>
      </c>
      <c r="AJ10144">
        <v>72.647804052739701</v>
      </c>
      <c r="AK10144">
        <v>25.095762164969599</v>
      </c>
      <c r="AL10144">
        <v>80.679831075712798</v>
      </c>
      <c r="AM10144">
        <v>75.710337207655996</v>
      </c>
      <c r="AN10144">
        <v>1.00000001083366</v>
      </c>
    </row>
    <row r="10145" spans="1:40" x14ac:dyDescent="0.25">
      <c r="A10145" t="str">
        <f>"20190303162146786"</f>
        <v>20190303162146786</v>
      </c>
      <c r="B10145" t="str">
        <f>"1551601306773075"</f>
        <v>1551601306773075</v>
      </c>
      <c r="C10145" t="s">
        <v>40</v>
      </c>
      <c r="D10145">
        <v>5.0275749999999997</v>
      </c>
      <c r="E10145">
        <v>0.52418319999999996</v>
      </c>
      <c r="F10145" t="s">
        <v>50</v>
      </c>
      <c r="G10145">
        <v>-177.44059999999999</v>
      </c>
      <c r="H10145" s="1">
        <v>-5.7089509999999899E-6</v>
      </c>
      <c r="I10145">
        <v>134.8897</v>
      </c>
      <c r="J10145">
        <v>-186.6087</v>
      </c>
      <c r="K10145">
        <v>1.120846</v>
      </c>
      <c r="L10145">
        <v>111.99809999999999</v>
      </c>
      <c r="M10145">
        <v>7.6437790000000005E-2</v>
      </c>
      <c r="N10145">
        <v>-1.5018220000000001E-2</v>
      </c>
      <c r="O10145">
        <v>0.99696119999999999</v>
      </c>
      <c r="P10145">
        <v>0.31549919999999998</v>
      </c>
      <c r="Q10145">
        <v>0.14835290000000001</v>
      </c>
      <c r="R10145">
        <v>0.93725749999999997</v>
      </c>
      <c r="S10145">
        <v>1.132172</v>
      </c>
      <c r="T10145">
        <v>-0.138230399999999</v>
      </c>
      <c r="U10145">
        <v>2.8415370000000002</v>
      </c>
      <c r="V10145">
        <v>0.24329290000000001</v>
      </c>
      <c r="W10145">
        <v>0.16218460000000001</v>
      </c>
      <c r="X10145">
        <v>0.95629739999999996</v>
      </c>
      <c r="Y10145">
        <v>0.297734</v>
      </c>
      <c r="Z10145">
        <v>-3.0750449999999999E-2</v>
      </c>
      <c r="AA10145">
        <v>0.95415349999999999</v>
      </c>
      <c r="AB10145">
        <v>26</v>
      </c>
      <c r="AC10145">
        <v>9.1681000000000097</v>
      </c>
      <c r="AD10145">
        <v>-1.1208517089509999</v>
      </c>
      <c r="AE10145">
        <v>22.8916</v>
      </c>
      <c r="AF10145">
        <v>7.3760514371037997</v>
      </c>
      <c r="AG10145">
        <v>-1.1208517089509999</v>
      </c>
      <c r="AH10145">
        <v>23.4769764145246</v>
      </c>
      <c r="AI10145">
        <v>92.607875926380601</v>
      </c>
      <c r="AJ10145">
        <v>72.558202087078399</v>
      </c>
      <c r="AK10145">
        <v>24.6339372598942</v>
      </c>
      <c r="AL10145">
        <v>80.666278961625096</v>
      </c>
      <c r="AM10145">
        <v>75.726121271522103</v>
      </c>
      <c r="AN10145">
        <v>0.99999999845716503</v>
      </c>
    </row>
    <row r="10146" spans="1:40" x14ac:dyDescent="0.25">
      <c r="A10146" t="str">
        <f>"20190303162146798"</f>
        <v>20190303162146798</v>
      </c>
      <c r="B10146" t="str">
        <f>"1551601306792595"</f>
        <v>1551601306792595</v>
      </c>
      <c r="C10146" t="s">
        <v>40</v>
      </c>
      <c r="D10146">
        <v>5.0034179999999999</v>
      </c>
      <c r="E10146">
        <v>0.52492269999999996</v>
      </c>
      <c r="F10146" t="s">
        <v>50</v>
      </c>
      <c r="G10146">
        <v>-177.6431</v>
      </c>
      <c r="H10146" s="1">
        <v>-5.6726130000000003E-6</v>
      </c>
      <c r="I10146">
        <v>134.42519999999999</v>
      </c>
      <c r="J10146">
        <v>-186.59639999999999</v>
      </c>
      <c r="K10146">
        <v>1.120859</v>
      </c>
      <c r="L10146">
        <v>112.1476</v>
      </c>
      <c r="M10146">
        <v>7.7160729999999997E-2</v>
      </c>
      <c r="N10146">
        <v>-1.501424E-2</v>
      </c>
      <c r="O10146">
        <v>0.99690559999999995</v>
      </c>
      <c r="P10146">
        <v>0.31615330000000003</v>
      </c>
      <c r="Q10146">
        <v>0.14846419999999999</v>
      </c>
      <c r="R10146">
        <v>0.93701950000000001</v>
      </c>
      <c r="S10146">
        <v>1.1357269999999999</v>
      </c>
      <c r="T10146">
        <v>-0.14198549999999999</v>
      </c>
      <c r="U10146">
        <v>2.8409879999999998</v>
      </c>
      <c r="V10146">
        <v>0.24326339999999999</v>
      </c>
      <c r="W10146">
        <v>0.1622989</v>
      </c>
      <c r="X10146">
        <v>0.95628550000000001</v>
      </c>
      <c r="Y10146">
        <v>0.298118099999999</v>
      </c>
      <c r="Z10146">
        <v>-3.1983230000000001E-2</v>
      </c>
      <c r="AA10146">
        <v>0.95399299999999998</v>
      </c>
      <c r="AB10146">
        <v>26</v>
      </c>
      <c r="AC10146">
        <v>8.9532999999999792</v>
      </c>
      <c r="AD10146">
        <v>-1.120864672613</v>
      </c>
      <c r="AE10146">
        <v>22.2776</v>
      </c>
      <c r="AF10146">
        <v>7.1917775649441396</v>
      </c>
      <c r="AG10146">
        <v>-1.120864672613</v>
      </c>
      <c r="AH10146">
        <v>22.852284204492701</v>
      </c>
      <c r="AI10146">
        <v>92.678691799746005</v>
      </c>
      <c r="AJ10146">
        <v>72.530837653858597</v>
      </c>
      <c r="AK10146">
        <v>23.983429602974901</v>
      </c>
      <c r="AL10146">
        <v>80.659642006491396</v>
      </c>
      <c r="AM10146">
        <v>75.727610960042099</v>
      </c>
      <c r="AN10146">
        <v>0.999999986115509</v>
      </c>
    </row>
    <row r="10147" spans="1:40" x14ac:dyDescent="0.25">
      <c r="A10147" t="str">
        <f>"20190303162146811"</f>
        <v>20190303162146811</v>
      </c>
      <c r="B10147" t="str">
        <f>"1551601306803331"</f>
        <v>1551601306803331</v>
      </c>
      <c r="C10147" t="s">
        <v>40</v>
      </c>
      <c r="D10147">
        <v>5.0055300000000003</v>
      </c>
      <c r="E10147">
        <v>0.52507789999999999</v>
      </c>
      <c r="F10147" t="s">
        <v>50</v>
      </c>
      <c r="G10147">
        <v>-177.7953</v>
      </c>
      <c r="H10147" s="1">
        <v>-5.6188899999999998E-6</v>
      </c>
      <c r="I10147">
        <v>134.00069999999999</v>
      </c>
      <c r="J10147">
        <v>-186.5849</v>
      </c>
      <c r="K10147">
        <v>1.1208689999999999</v>
      </c>
      <c r="L10147">
        <v>112.28740000000001</v>
      </c>
      <c r="M10147">
        <v>7.7830819999999995E-2</v>
      </c>
      <c r="N10147">
        <v>-1.5010570000000001E-2</v>
      </c>
      <c r="O10147">
        <v>0.99685360000000001</v>
      </c>
      <c r="P10147">
        <v>0.31645329999999999</v>
      </c>
      <c r="Q10147">
        <v>0.14892830000000001</v>
      </c>
      <c r="R10147">
        <v>0.93684449999999997</v>
      </c>
      <c r="S10147">
        <v>1.143356</v>
      </c>
      <c r="T10147">
        <v>-0.14561180000000001</v>
      </c>
      <c r="U10147">
        <v>2.8389280000000001</v>
      </c>
      <c r="V10147">
        <v>0.24292820000000001</v>
      </c>
      <c r="W10147">
        <v>0.16276749999999901</v>
      </c>
      <c r="X10147">
        <v>0.95629109999999995</v>
      </c>
      <c r="Y10147">
        <v>0.29990480000000003</v>
      </c>
      <c r="Z10147">
        <v>-3.3174090000000003E-2</v>
      </c>
      <c r="AA10147">
        <v>0.95339209999999996</v>
      </c>
      <c r="AB10147">
        <v>26</v>
      </c>
      <c r="AC10147">
        <v>8.7896000000000001</v>
      </c>
      <c r="AD10147">
        <v>-1.1208746188900001</v>
      </c>
      <c r="AE10147">
        <v>21.713299999999901</v>
      </c>
      <c r="AF10147">
        <v>7.0566202805977696</v>
      </c>
      <c r="AG10147">
        <v>-1.1208746188900001</v>
      </c>
      <c r="AH10147">
        <v>22.280584796206</v>
      </c>
      <c r="AI10147">
        <v>92.745763251066094</v>
      </c>
      <c r="AJ10147">
        <v>72.426166233529699</v>
      </c>
      <c r="AK10147">
        <v>23.398220200620798</v>
      </c>
      <c r="AL10147">
        <v>80.632431693738695</v>
      </c>
      <c r="AM10147">
        <v>75.746555456005694</v>
      </c>
      <c r="AN10147">
        <v>1.0000000186753399</v>
      </c>
    </row>
    <row r="10148" spans="1:40" x14ac:dyDescent="0.25">
      <c r="A10148" t="str">
        <f>"20190303162146828"</f>
        <v>20190303162146828</v>
      </c>
      <c r="B10148" t="str">
        <f>"1551601306823036"</f>
        <v>1551601306823036</v>
      </c>
      <c r="C10148" t="s">
        <v>40</v>
      </c>
      <c r="D10148">
        <v>4.9871129999999999</v>
      </c>
      <c r="E10148">
        <v>0.52536689999999997</v>
      </c>
      <c r="F10148" t="s">
        <v>50</v>
      </c>
      <c r="G10148">
        <v>-177.83699999999999</v>
      </c>
      <c r="H10148" s="1">
        <v>-5.6308240000000002E-6</v>
      </c>
      <c r="I10148">
        <v>133.9605</v>
      </c>
      <c r="J10148">
        <v>-186.56819999999999</v>
      </c>
      <c r="K10148">
        <v>1.1208910000000001</v>
      </c>
      <c r="L10148">
        <v>112.4872</v>
      </c>
      <c r="M10148">
        <v>7.8777990000000006E-2</v>
      </c>
      <c r="N10148">
        <v>-1.500538E-2</v>
      </c>
      <c r="O10148">
        <v>0.99677930000000003</v>
      </c>
      <c r="P10148">
        <v>0.3175386</v>
      </c>
      <c r="Q10148">
        <v>0.1493736</v>
      </c>
      <c r="R10148">
        <v>0.93640630000000002</v>
      </c>
      <c r="S10148">
        <v>1.145721</v>
      </c>
      <c r="T10148">
        <v>-0.14680299999999999</v>
      </c>
      <c r="U10148">
        <v>2.838562</v>
      </c>
      <c r="V10148">
        <v>0.2431287</v>
      </c>
      <c r="W10148">
        <v>0.1632139</v>
      </c>
      <c r="X10148">
        <v>0.95616409999999996</v>
      </c>
      <c r="Y10148">
        <v>0.29971880000000001</v>
      </c>
      <c r="Z10148">
        <v>-3.3568439999999998E-2</v>
      </c>
      <c r="AA10148">
        <v>0.95343690000000003</v>
      </c>
      <c r="AB10148">
        <v>26</v>
      </c>
      <c r="AC10148">
        <v>8.7311999999999692</v>
      </c>
      <c r="AD10148">
        <v>-1.120896630824</v>
      </c>
      <c r="AE10148">
        <v>21.473299999999899</v>
      </c>
      <c r="AF10148">
        <v>6.9958872252536697</v>
      </c>
      <c r="AG10148">
        <v>-1.120896630824</v>
      </c>
      <c r="AH10148">
        <v>22.042912593929099</v>
      </c>
      <c r="AI10148">
        <v>92.774850549266901</v>
      </c>
      <c r="AJ10148">
        <v>72.391820920299594</v>
      </c>
      <c r="AK10148">
        <v>23.1535924415426</v>
      </c>
      <c r="AL10148">
        <v>80.606508628644306</v>
      </c>
      <c r="AM10148">
        <v>75.733454037296397</v>
      </c>
      <c r="AN10148">
        <v>1.0000000640228499</v>
      </c>
    </row>
    <row r="10149" spans="1:40" x14ac:dyDescent="0.25">
      <c r="A10149" t="str">
        <f>"20190303162146840"</f>
        <v>20190303162146840</v>
      </c>
      <c r="B10149" t="str">
        <f>"1551601306832795"</f>
        <v>1551601306832795</v>
      </c>
      <c r="C10149" t="s">
        <v>40</v>
      </c>
      <c r="D10149">
        <v>5.0098320000000003</v>
      </c>
      <c r="E10149">
        <v>0.52543149999999905</v>
      </c>
      <c r="F10149" t="s">
        <v>50</v>
      </c>
      <c r="G10149">
        <v>-178.01499999999999</v>
      </c>
      <c r="H10149" s="1">
        <v>-5.6051239999999997E-6</v>
      </c>
      <c r="I10149">
        <v>133.5702</v>
      </c>
      <c r="J10149">
        <v>-186.55590000000001</v>
      </c>
      <c r="K10149">
        <v>1.120903</v>
      </c>
      <c r="L10149">
        <v>112.63290000000001</v>
      </c>
      <c r="M10149">
        <v>7.9461299999999999E-2</v>
      </c>
      <c r="N10149">
        <v>-1.500161E-2</v>
      </c>
      <c r="O10149">
        <v>0.99672510000000003</v>
      </c>
      <c r="P10149">
        <v>0.31844889999999998</v>
      </c>
      <c r="Q10149">
        <v>0.1496044</v>
      </c>
      <c r="R10149">
        <v>0.93606020000000001</v>
      </c>
      <c r="S10149">
        <v>1.151138</v>
      </c>
      <c r="T10149">
        <v>-0.15085599999999999</v>
      </c>
      <c r="U10149">
        <v>2.8374630000000001</v>
      </c>
      <c r="V10149">
        <v>0.24340300000000001</v>
      </c>
      <c r="W10149">
        <v>0.16344449999999999</v>
      </c>
      <c r="X10149">
        <v>0.95605490000000004</v>
      </c>
      <c r="Y10149">
        <v>0.30073640000000001</v>
      </c>
      <c r="Z10149">
        <v>-3.489548E-2</v>
      </c>
      <c r="AA10149">
        <v>0.95306869999999999</v>
      </c>
      <c r="AB10149">
        <v>26</v>
      </c>
      <c r="AC10149">
        <v>8.5409000000000201</v>
      </c>
      <c r="AD10149">
        <v>-1.120908605124</v>
      </c>
      <c r="AE10149">
        <v>20.9373</v>
      </c>
      <c r="AF10149">
        <v>6.83320401240631</v>
      </c>
      <c r="AG10149">
        <v>-1.120908605124</v>
      </c>
      <c r="AH10149">
        <v>21.497004133395102</v>
      </c>
      <c r="AI10149">
        <v>92.844829713739401</v>
      </c>
      <c r="AJ10149">
        <v>72.366218521797293</v>
      </c>
      <c r="AK10149">
        <v>22.584735993307799</v>
      </c>
      <c r="AL10149">
        <v>80.593116238404207</v>
      </c>
      <c r="AM10149">
        <v>75.716452004987005</v>
      </c>
      <c r="AN10149">
        <v>1.00000004840162</v>
      </c>
    </row>
    <row r="10150" spans="1:40" x14ac:dyDescent="0.25">
      <c r="A10150" t="str">
        <f>"20190303162146853"</f>
        <v>20190303162146853</v>
      </c>
      <c r="B10150" t="str">
        <f>"1551601306842557"</f>
        <v>1551601306842557</v>
      </c>
      <c r="C10150" t="s">
        <v>40</v>
      </c>
      <c r="D10150">
        <v>4.9731969999999999</v>
      </c>
      <c r="E10150">
        <v>0.52555669999999899</v>
      </c>
      <c r="F10150" t="s">
        <v>50</v>
      </c>
      <c r="G10150">
        <v>-178.05779999999999</v>
      </c>
      <c r="H10150" s="1">
        <v>-5.6126699999999899E-6</v>
      </c>
      <c r="I10150">
        <v>133.5155</v>
      </c>
      <c r="J10150">
        <v>-186.54429999999999</v>
      </c>
      <c r="K10150">
        <v>1.1209129999999901</v>
      </c>
      <c r="L10150">
        <v>112.77</v>
      </c>
      <c r="M10150">
        <v>8.0099989999999996E-2</v>
      </c>
      <c r="N10150">
        <v>-1.499807E-2</v>
      </c>
      <c r="O10150">
        <v>0.99667399999999995</v>
      </c>
      <c r="P10150">
        <v>0.31958140000000002</v>
      </c>
      <c r="Q10150">
        <v>0.14989769999999999</v>
      </c>
      <c r="R10150">
        <v>0.93562730000000005</v>
      </c>
      <c r="S10150">
        <v>1.1543270000000001</v>
      </c>
      <c r="T10150">
        <v>-0.15225739999999999</v>
      </c>
      <c r="U10150">
        <v>2.8365629999999999</v>
      </c>
      <c r="V10150">
        <v>0.24394969999999999</v>
      </c>
      <c r="W10150">
        <v>0.16373570000000001</v>
      </c>
      <c r="X10150">
        <v>0.95586570000000004</v>
      </c>
      <c r="Y10150">
        <v>0.301143099999999</v>
      </c>
      <c r="Z10150">
        <v>-3.5359139999999997E-2</v>
      </c>
      <c r="AA10150">
        <v>0.95292319999999997</v>
      </c>
      <c r="AB10150">
        <v>26</v>
      </c>
      <c r="AC10150">
        <v>8.4864999999999995</v>
      </c>
      <c r="AD10150">
        <v>-1.1209186126699999</v>
      </c>
      <c r="AE10150">
        <v>20.7455</v>
      </c>
      <c r="AF10150">
        <v>6.7803668349991399</v>
      </c>
      <c r="AG10150">
        <v>-1.1209186126699999</v>
      </c>
      <c r="AH10150">
        <v>21.305387971576</v>
      </c>
      <c r="AI10150">
        <v>92.870084948066705</v>
      </c>
      <c r="AJ10150">
        <v>72.346506441911501</v>
      </c>
      <c r="AK10150">
        <v>22.386366153817001</v>
      </c>
      <c r="AL10150">
        <v>80.576203753655093</v>
      </c>
      <c r="AM10150">
        <v>75.682970317317</v>
      </c>
      <c r="AN10150">
        <v>1.0000000360105299</v>
      </c>
    </row>
    <row r="10151" spans="1:40" x14ac:dyDescent="0.25">
      <c r="A10151" t="str">
        <f>"20190303162146865"</f>
        <v>20190303162146865</v>
      </c>
      <c r="B10151" t="str">
        <f>"1551601306853292"</f>
        <v>1551601306853292</v>
      </c>
      <c r="C10151" t="s">
        <v>40</v>
      </c>
      <c r="D10151">
        <v>5.0248710000000001</v>
      </c>
      <c r="E10151">
        <v>0.52563579999999999</v>
      </c>
      <c r="F10151" t="s">
        <v>50</v>
      </c>
      <c r="G10151">
        <v>-178.06880000000001</v>
      </c>
      <c r="H10151" s="1">
        <v>-5.6183729999999997E-6</v>
      </c>
      <c r="I10151">
        <v>133.51220000000001</v>
      </c>
      <c r="J10151">
        <v>-186.5316</v>
      </c>
      <c r="K10151">
        <v>1.1209229999999999</v>
      </c>
      <c r="L10151">
        <v>112.91800000000001</v>
      </c>
      <c r="M10151">
        <v>8.0787269999999994E-2</v>
      </c>
      <c r="N10151">
        <v>-1.4994250000000001E-2</v>
      </c>
      <c r="O10151">
        <v>0.99661860000000002</v>
      </c>
      <c r="P10151">
        <v>0.3212913</v>
      </c>
      <c r="Q10151">
        <v>0.1505513</v>
      </c>
      <c r="R10151">
        <v>0.93493649999999995</v>
      </c>
      <c r="S10151">
        <v>1.1585080000000001</v>
      </c>
      <c r="T10151">
        <v>-0.1532183</v>
      </c>
      <c r="U10151">
        <v>2.835251</v>
      </c>
      <c r="V10151">
        <v>0.24504709999999999</v>
      </c>
      <c r="W10151">
        <v>0.16438239999999901</v>
      </c>
      <c r="X10151">
        <v>0.95547389999999999</v>
      </c>
      <c r="Y10151">
        <v>0.30183900000000002</v>
      </c>
      <c r="Z10151">
        <v>-3.567948E-2</v>
      </c>
      <c r="AA10151">
        <v>0.95269099999999995</v>
      </c>
      <c r="AB10151">
        <v>26</v>
      </c>
      <c r="AC10151">
        <v>8.4627999999999801</v>
      </c>
      <c r="AD10151">
        <v>-1.1209286183729901</v>
      </c>
      <c r="AE10151">
        <v>20.594200000000001</v>
      </c>
      <c r="AF10151">
        <v>6.7540771731022398</v>
      </c>
      <c r="AG10151">
        <v>-1.1209286183729901</v>
      </c>
      <c r="AH10151">
        <v>21.157009683902199</v>
      </c>
      <c r="AI10151">
        <v>92.889379345743293</v>
      </c>
      <c r="AJ10151">
        <v>72.295049906857301</v>
      </c>
      <c r="AK10151">
        <v>22.237200772409299</v>
      </c>
      <c r="AL10151">
        <v>80.538641417330695</v>
      </c>
      <c r="AM10151">
        <v>75.615578744315499</v>
      </c>
      <c r="AN10151">
        <v>1.0000000141146801</v>
      </c>
    </row>
    <row r="10152" spans="1:40" x14ac:dyDescent="0.25">
      <c r="A10152" t="str">
        <f>"20190303162146878"</f>
        <v>20190303162146878</v>
      </c>
      <c r="B10152" t="str">
        <f>"1551601306872812"</f>
        <v>1551601306872812</v>
      </c>
      <c r="C10152" t="s">
        <v>40</v>
      </c>
      <c r="D10152">
        <v>5.0095989999999997</v>
      </c>
      <c r="E10152">
        <v>0.5258583</v>
      </c>
      <c r="F10152" t="s">
        <v>50</v>
      </c>
      <c r="G10152">
        <v>-178.0043</v>
      </c>
      <c r="H10152" s="1">
        <v>-5.6331539999999997E-6</v>
      </c>
      <c r="I10152">
        <v>133.66929999999999</v>
      </c>
      <c r="J10152">
        <v>-186.51849999999999</v>
      </c>
      <c r="K10152">
        <v>1.120932</v>
      </c>
      <c r="L10152">
        <v>113.07040000000001</v>
      </c>
      <c r="M10152">
        <v>8.1490140000000003E-2</v>
      </c>
      <c r="N10152">
        <v>-1.4990399999999999E-2</v>
      </c>
      <c r="O10152">
        <v>0.99656140000000004</v>
      </c>
      <c r="P10152">
        <v>0.32286359999999997</v>
      </c>
      <c r="Q10152">
        <v>0.15042079999999999</v>
      </c>
      <c r="R10152">
        <v>0.93441569999999996</v>
      </c>
      <c r="S10152">
        <v>1.164291</v>
      </c>
      <c r="T10152">
        <v>-0.15304799999999999</v>
      </c>
      <c r="U10152">
        <v>2.833313</v>
      </c>
      <c r="V10152">
        <v>0.24597830000000001</v>
      </c>
      <c r="W10152">
        <v>0.16424649999999999</v>
      </c>
      <c r="X10152">
        <v>0.95525800000000005</v>
      </c>
      <c r="Y10152">
        <v>0.30305969999999999</v>
      </c>
      <c r="Z10152">
        <v>-3.5629319999999999E-2</v>
      </c>
      <c r="AA10152">
        <v>0.95230530000000002</v>
      </c>
      <c r="AB10152">
        <v>26</v>
      </c>
      <c r="AC10152">
        <v>8.5141999999999793</v>
      </c>
      <c r="AD10152">
        <v>-1.120937633154</v>
      </c>
      <c r="AE10152">
        <v>20.598899999999901</v>
      </c>
      <c r="AF10152">
        <v>6.78990801363142</v>
      </c>
      <c r="AG10152">
        <v>-1.120937633154</v>
      </c>
      <c r="AH10152">
        <v>21.170732894265001</v>
      </c>
      <c r="AI10152">
        <v>92.886290050524195</v>
      </c>
      <c r="AJ10152">
        <v>72.217840161275504</v>
      </c>
      <c r="AK10152">
        <v>22.261160870253601</v>
      </c>
      <c r="AL10152">
        <v>80.546535469114602</v>
      </c>
      <c r="AM10152">
        <v>75.560070597544694</v>
      </c>
      <c r="AN10152">
        <v>1.0000000416985599</v>
      </c>
    </row>
    <row r="10153" spans="1:40" x14ac:dyDescent="0.25">
      <c r="A10153" t="str">
        <f>"20190303162146895"</f>
        <v>20190303162146895</v>
      </c>
      <c r="B10153" t="str">
        <f>"1551601306882572"</f>
        <v>1551601306882572</v>
      </c>
      <c r="C10153" t="s">
        <v>40</v>
      </c>
      <c r="D10153">
        <v>4.9425489999999996</v>
      </c>
      <c r="E10153">
        <v>0.52597209999999905</v>
      </c>
      <c r="F10153" t="s">
        <v>50</v>
      </c>
      <c r="G10153">
        <v>-178.14709999999999</v>
      </c>
      <c r="H10153" s="1">
        <v>-5.5987759999999998E-6</v>
      </c>
      <c r="I10153">
        <v>133.3169</v>
      </c>
      <c r="J10153">
        <v>-186.50219999999999</v>
      </c>
      <c r="K10153">
        <v>1.120946</v>
      </c>
      <c r="L10153">
        <v>113.2568</v>
      </c>
      <c r="M10153">
        <v>8.2348599999999994E-2</v>
      </c>
      <c r="N10153">
        <v>-1.4985679999999999E-2</v>
      </c>
      <c r="O10153">
        <v>0.99649089999999996</v>
      </c>
      <c r="P10153">
        <v>0.325814099999999</v>
      </c>
      <c r="Q10153">
        <v>0.15132809999999999</v>
      </c>
      <c r="R10153">
        <v>0.93324430000000003</v>
      </c>
      <c r="S10153">
        <v>1.1706700000000001</v>
      </c>
      <c r="T10153">
        <v>-0.15675339999999999</v>
      </c>
      <c r="U10153">
        <v>2.831299</v>
      </c>
      <c r="V10153">
        <v>0.24818950000000001</v>
      </c>
      <c r="W10153">
        <v>0.16513729999999999</v>
      </c>
      <c r="X10153">
        <v>0.95453209999999999</v>
      </c>
      <c r="Y10153">
        <v>0.30429020000000001</v>
      </c>
      <c r="Z10153">
        <v>-3.6851349999999998E-2</v>
      </c>
      <c r="AA10153">
        <v>0.95186630000000005</v>
      </c>
      <c r="AB10153">
        <v>26</v>
      </c>
      <c r="AC10153">
        <v>8.3550999999999895</v>
      </c>
      <c r="AD10153">
        <v>-1.1209515987759999</v>
      </c>
      <c r="AE10153">
        <v>20.060099999999998</v>
      </c>
      <c r="AF10153">
        <v>6.65689600658314</v>
      </c>
      <c r="AG10153">
        <v>-1.1209515987759999</v>
      </c>
      <c r="AH10153">
        <v>20.625178151326601</v>
      </c>
      <c r="AI10153">
        <v>92.960784110845097</v>
      </c>
      <c r="AJ10153">
        <v>72.112213769256599</v>
      </c>
      <c r="AK10153">
        <v>21.701814917264901</v>
      </c>
      <c r="AL10153">
        <v>80.494788856782407</v>
      </c>
      <c r="AM10153">
        <v>75.425156678665701</v>
      </c>
      <c r="AN10153">
        <v>0.99999994284597304</v>
      </c>
    </row>
    <row r="10154" spans="1:40" x14ac:dyDescent="0.25">
      <c r="A10154" t="str">
        <f>"20190303162146917"</f>
        <v>20190303162146917</v>
      </c>
      <c r="B10154" t="str">
        <f>"1551601306913334"</f>
        <v>1551601306913334</v>
      </c>
      <c r="C10154" t="s">
        <v>40</v>
      </c>
      <c r="D10154">
        <v>4.9364220000000003</v>
      </c>
      <c r="E10154">
        <v>0.526404599999999</v>
      </c>
      <c r="F10154" t="s">
        <v>50</v>
      </c>
      <c r="G10154">
        <v>-177.99930000000001</v>
      </c>
      <c r="H10154" s="1">
        <v>-5.6161659999999899E-6</v>
      </c>
      <c r="I10154">
        <v>133.62970000000001</v>
      </c>
      <c r="J10154">
        <v>-186.4802</v>
      </c>
      <c r="K10154">
        <v>1.120954</v>
      </c>
      <c r="L10154">
        <v>113.5072</v>
      </c>
      <c r="M10154">
        <v>8.3498829999999996E-2</v>
      </c>
      <c r="N10154">
        <v>-1.497938E-2</v>
      </c>
      <c r="O10154">
        <v>0.99639529999999998</v>
      </c>
      <c r="P10154">
        <v>0.32903719999999997</v>
      </c>
      <c r="Q10154">
        <v>0.15242410000000001</v>
      </c>
      <c r="R10154">
        <v>0.93193419999999905</v>
      </c>
      <c r="S10154">
        <v>1.1802220000000001</v>
      </c>
      <c r="T10154">
        <v>-0.15559010000000001</v>
      </c>
      <c r="U10154">
        <v>2.8277890000000001</v>
      </c>
      <c r="V10154">
        <v>0.25040610000000002</v>
      </c>
      <c r="W10154">
        <v>0.16621559999999999</v>
      </c>
      <c r="X10154">
        <v>0.9537658</v>
      </c>
      <c r="Y10154">
        <v>0.30635380000000001</v>
      </c>
      <c r="Z10154">
        <v>-3.6482870000000001E-2</v>
      </c>
      <c r="AA10154">
        <v>0.95121840000000002</v>
      </c>
      <c r="AB10154">
        <v>26</v>
      </c>
      <c r="AC10154">
        <v>8.4808999999999894</v>
      </c>
      <c r="AD10154">
        <v>-1.120959616166</v>
      </c>
      <c r="AE10154">
        <v>20.122499999999999</v>
      </c>
      <c r="AF10154">
        <v>6.7530878120055604</v>
      </c>
      <c r="AG10154">
        <v>-1.120959616166</v>
      </c>
      <c r="AH10154">
        <v>20.705875349286298</v>
      </c>
      <c r="AI10154">
        <v>92.946360147112699</v>
      </c>
      <c r="AJ10154">
        <v>71.936596897927501</v>
      </c>
      <c r="AK10154">
        <v>21.808118200292199</v>
      </c>
      <c r="AL10154">
        <v>80.432141782055197</v>
      </c>
      <c r="AM10154">
        <v>75.289303243750993</v>
      </c>
      <c r="AN10154">
        <v>1.0000000209251001</v>
      </c>
    </row>
    <row r="10155" spans="1:40" x14ac:dyDescent="0.25">
      <c r="A10155" t="str">
        <f>"20190303162146930"</f>
        <v>20190303162146930</v>
      </c>
      <c r="B10155" t="str">
        <f>"1551601306923094"</f>
        <v>1551601306923094</v>
      </c>
      <c r="C10155" t="s">
        <v>40</v>
      </c>
      <c r="D10155">
        <v>4.9882799999999996</v>
      </c>
      <c r="E10155">
        <v>0.52647250000000001</v>
      </c>
      <c r="F10155" t="s">
        <v>50</v>
      </c>
      <c r="G10155">
        <v>-177.84620000000001</v>
      </c>
      <c r="H10155" s="1">
        <v>-5.633849E-6</v>
      </c>
      <c r="I10155">
        <v>133.9528</v>
      </c>
      <c r="J10155">
        <v>-186.4667</v>
      </c>
      <c r="K10155">
        <v>1.120957</v>
      </c>
      <c r="L10155">
        <v>113.6591</v>
      </c>
      <c r="M10155">
        <v>8.4196809999999997E-2</v>
      </c>
      <c r="N10155">
        <v>-1.497558E-2</v>
      </c>
      <c r="O10155">
        <v>0.99633660000000002</v>
      </c>
      <c r="P10155">
        <v>0.33064310000000002</v>
      </c>
      <c r="Q10155">
        <v>0.15294650000000001</v>
      </c>
      <c r="R10155">
        <v>0.93128</v>
      </c>
      <c r="S10155">
        <v>1.1923220000000001</v>
      </c>
      <c r="T10155">
        <v>-0.15480070000000001</v>
      </c>
      <c r="U10155">
        <v>2.8234710000000001</v>
      </c>
      <c r="V10155">
        <v>0.2513917</v>
      </c>
      <c r="W10155">
        <v>0.16672809999999999</v>
      </c>
      <c r="X10155">
        <v>0.95341699999999996</v>
      </c>
      <c r="Y10155">
        <v>0.30966969999999999</v>
      </c>
      <c r="Z10155">
        <v>-3.6230619999999998E-2</v>
      </c>
      <c r="AA10155">
        <v>0.95015369999999999</v>
      </c>
      <c r="AB10155">
        <v>26</v>
      </c>
      <c r="AC10155">
        <v>8.6204999999999892</v>
      </c>
      <c r="AD10155">
        <v>-1.120962633849</v>
      </c>
      <c r="AE10155">
        <v>20.293700000000001</v>
      </c>
      <c r="AF10155">
        <v>6.8632868155716196</v>
      </c>
      <c r="AG10155">
        <v>-1.120962633849</v>
      </c>
      <c r="AH10155">
        <v>20.893519800868798</v>
      </c>
      <c r="AI10155">
        <v>92.917932430093799</v>
      </c>
      <c r="AJ10155">
        <v>71.815228436151003</v>
      </c>
      <c r="AK10155">
        <v>22.020454872880801</v>
      </c>
      <c r="AL10155">
        <v>80.402362060682705</v>
      </c>
      <c r="AM10155">
        <v>75.2287612893019</v>
      </c>
      <c r="AN10155">
        <v>1.0000000110237499</v>
      </c>
    </row>
    <row r="10156" spans="1:40" x14ac:dyDescent="0.25">
      <c r="A10156" t="str">
        <f>"20190303162146942"</f>
        <v>20190303162146942</v>
      </c>
      <c r="B10156" t="str">
        <f>"1551601306932855"</f>
        <v>1551601306932855</v>
      </c>
      <c r="C10156" t="s">
        <v>40</v>
      </c>
      <c r="D10156">
        <v>5.0050400000000002</v>
      </c>
      <c r="E10156">
        <v>0.52653930000000004</v>
      </c>
      <c r="F10156" t="s">
        <v>50</v>
      </c>
      <c r="G10156">
        <v>-177.74459999999999</v>
      </c>
      <c r="H10156" s="1">
        <v>-5.6604409999999997E-6</v>
      </c>
      <c r="I10156">
        <v>134.2097</v>
      </c>
      <c r="J10156">
        <v>-186.4539</v>
      </c>
      <c r="K10156">
        <v>1.120957</v>
      </c>
      <c r="L10156">
        <v>113.8014</v>
      </c>
      <c r="M10156">
        <v>8.4850480000000006E-2</v>
      </c>
      <c r="N10156">
        <v>-1.4972009999999999E-2</v>
      </c>
      <c r="O10156">
        <v>0.99628119999999998</v>
      </c>
      <c r="P10156">
        <v>0.33209369999999999</v>
      </c>
      <c r="Q10156">
        <v>0.15296879999999999</v>
      </c>
      <c r="R10156">
        <v>0.93076009999999998</v>
      </c>
      <c r="S10156">
        <v>1.197495</v>
      </c>
      <c r="T10156">
        <v>-0.15390229999999999</v>
      </c>
      <c r="U10156">
        <v>2.8214869999999999</v>
      </c>
      <c r="V10156">
        <v>0.25225360000000002</v>
      </c>
      <c r="W10156">
        <v>0.16674259999999999</v>
      </c>
      <c r="X10156">
        <v>0.9531868</v>
      </c>
      <c r="Y10156">
        <v>0.3107664</v>
      </c>
      <c r="Z10156">
        <v>-3.5944009999999998E-2</v>
      </c>
      <c r="AA10156">
        <v>0.9498065</v>
      </c>
      <c r="AB10156">
        <v>26</v>
      </c>
      <c r="AC10156">
        <v>8.7093000000000096</v>
      </c>
      <c r="AD10156">
        <v>-1.1209626604409999</v>
      </c>
      <c r="AE10156">
        <v>20.408300000000001</v>
      </c>
      <c r="AF10156">
        <v>6.9283541178075403</v>
      </c>
      <c r="AG10156">
        <v>-1.1209626604409999</v>
      </c>
      <c r="AH10156">
        <v>21.020109376391801</v>
      </c>
      <c r="AI10156">
        <v>92.8994296381818</v>
      </c>
      <c r="AJ10156">
        <v>71.757470170277799</v>
      </c>
      <c r="AK10156">
        <v>22.160858427942699</v>
      </c>
      <c r="AL10156">
        <v>80.401519608014894</v>
      </c>
      <c r="AM10156">
        <v>75.176921563628696</v>
      </c>
      <c r="AN10156">
        <v>1.0000000245309699</v>
      </c>
    </row>
    <row r="10157" spans="1:40" x14ac:dyDescent="0.25">
      <c r="A10157" t="str">
        <f>"20190303162146954"</f>
        <v>20190303162146954</v>
      </c>
      <c r="B10157" t="str">
        <f>"1551601306942615"</f>
        <v>1551601306942615</v>
      </c>
      <c r="C10157" t="s">
        <v>40</v>
      </c>
      <c r="D10157">
        <v>5.0572860000000004</v>
      </c>
      <c r="E10157">
        <v>0.52668479999999995</v>
      </c>
      <c r="F10157" t="s">
        <v>50</v>
      </c>
      <c r="G10157">
        <v>-177.7792</v>
      </c>
      <c r="H10157" s="1">
        <v>-5.6607669999999998E-6</v>
      </c>
      <c r="I10157">
        <v>134.1491</v>
      </c>
      <c r="J10157">
        <v>-186.44200000000001</v>
      </c>
      <c r="K10157">
        <v>1.120959</v>
      </c>
      <c r="L10157">
        <v>113.93340000000001</v>
      </c>
      <c r="M10157">
        <v>8.5460839999999996E-2</v>
      </c>
      <c r="N10157">
        <v>-1.496872E-2</v>
      </c>
      <c r="O10157">
        <v>0.99622909999999998</v>
      </c>
      <c r="P10157">
        <v>0.3334625</v>
      </c>
      <c r="Q10157">
        <v>0.15287870000000001</v>
      </c>
      <c r="R10157">
        <v>0.93028529999999998</v>
      </c>
      <c r="S10157">
        <v>1.202148</v>
      </c>
      <c r="T10157">
        <v>-0.1553435</v>
      </c>
      <c r="U10157">
        <v>2.8197939999999999</v>
      </c>
      <c r="V10157">
        <v>0.25307220000000002</v>
      </c>
      <c r="W10157">
        <v>0.1666443</v>
      </c>
      <c r="X10157">
        <v>0.95298700000000003</v>
      </c>
      <c r="Y10157">
        <v>0.31170819999999999</v>
      </c>
      <c r="Z10157">
        <v>-3.6423629999999999E-2</v>
      </c>
      <c r="AA10157">
        <v>0.94947950000000003</v>
      </c>
      <c r="AB10157">
        <v>26</v>
      </c>
      <c r="AC10157">
        <v>8.6628000000000007</v>
      </c>
      <c r="AD10157">
        <v>-1.1209646607670001</v>
      </c>
      <c r="AE10157">
        <v>20.215699999999998</v>
      </c>
      <c r="AF10157">
        <v>6.8853698300814203</v>
      </c>
      <c r="AG10157">
        <v>-1.1209646607670001</v>
      </c>
      <c r="AH10157">
        <v>20.828032740543499</v>
      </c>
      <c r="AI10157">
        <v>92.925278836423402</v>
      </c>
      <c r="AJ10157">
        <v>71.707051061908999</v>
      </c>
      <c r="AK10157">
        <v>21.965241344197398</v>
      </c>
      <c r="AL10157">
        <v>80.407231868019196</v>
      </c>
      <c r="AM10157">
        <v>75.127966871399394</v>
      </c>
      <c r="AN10157">
        <v>1.0000000416521599</v>
      </c>
    </row>
    <row r="10158" spans="1:40" x14ac:dyDescent="0.25">
      <c r="A10158" t="str">
        <f>"20190303162146967"</f>
        <v>20190303162146967</v>
      </c>
      <c r="B10158" t="str">
        <f>"1551601306963110"</f>
        <v>1551601306963110</v>
      </c>
      <c r="C10158" t="s">
        <v>40</v>
      </c>
      <c r="D10158">
        <v>4.9940100000000003</v>
      </c>
      <c r="E10158">
        <v>0.54587220000000003</v>
      </c>
      <c r="F10158" t="s">
        <v>50</v>
      </c>
      <c r="G10158">
        <v>-177.82939999999999</v>
      </c>
      <c r="H10158" s="1">
        <v>-5.6541940000000003E-6</v>
      </c>
      <c r="I10158">
        <v>134.04089999999999</v>
      </c>
      <c r="J10158">
        <v>-186.42869999999999</v>
      </c>
      <c r="K10158">
        <v>1.120957</v>
      </c>
      <c r="L10158">
        <v>114.0802</v>
      </c>
      <c r="M10158">
        <v>8.6142319999999994E-2</v>
      </c>
      <c r="N10158">
        <v>-1.496509E-2</v>
      </c>
      <c r="O10158">
        <v>0.99617049999999996</v>
      </c>
      <c r="P10158">
        <v>0.33484449999999999</v>
      </c>
      <c r="Q10158">
        <v>0.15280179999999999</v>
      </c>
      <c r="R10158">
        <v>0.92980149999999995</v>
      </c>
      <c r="S10158">
        <v>1.2070160000000001</v>
      </c>
      <c r="T10158">
        <v>-0.15709770000000001</v>
      </c>
      <c r="U10158">
        <v>2.8179630000000002</v>
      </c>
      <c r="V10158">
        <v>0.25383749999999999</v>
      </c>
      <c r="W10158">
        <v>0.16655880000000001</v>
      </c>
      <c r="X10158">
        <v>0.95279840000000005</v>
      </c>
      <c r="Y10158">
        <v>0.31265720000000002</v>
      </c>
      <c r="Z10158">
        <v>-3.7007480000000002E-2</v>
      </c>
      <c r="AA10158">
        <v>0.94914480000000001</v>
      </c>
      <c r="AB10158">
        <v>26</v>
      </c>
      <c r="AC10158">
        <v>8.5992999999999995</v>
      </c>
      <c r="AD10158">
        <v>-1.1209626541940001</v>
      </c>
      <c r="AE10158">
        <v>19.9606999999999</v>
      </c>
      <c r="AF10158">
        <v>6.8295074250591199</v>
      </c>
      <c r="AG10158">
        <v>-1.1209626541940001</v>
      </c>
      <c r="AH10158">
        <v>20.5726082670752</v>
      </c>
      <c r="AI10158">
        <v>92.960303265382905</v>
      </c>
      <c r="AJ10158">
        <v>71.635335021524199</v>
      </c>
      <c r="AK10158">
        <v>21.705550899517998</v>
      </c>
      <c r="AL10158">
        <v>80.412200178463806</v>
      </c>
      <c r="AM10158">
        <v>75.082174137621095</v>
      </c>
      <c r="AN10158">
        <v>1.0000000506531199</v>
      </c>
    </row>
    <row r="10159" spans="1:40" x14ac:dyDescent="0.25">
      <c r="A10159" t="str">
        <f>"20190303162146983"</f>
        <v>20190303162146983</v>
      </c>
      <c r="B10159" t="str">
        <f>"1551601306972871"</f>
        <v>1551601306972871</v>
      </c>
      <c r="C10159" t="s">
        <v>40</v>
      </c>
      <c r="D10159">
        <v>4.9734959999999999</v>
      </c>
      <c r="E10159">
        <v>0.5493538</v>
      </c>
      <c r="F10159" t="s">
        <v>50</v>
      </c>
      <c r="G10159">
        <v>-179.22200000000001</v>
      </c>
      <c r="H10159" s="1">
        <v>-4.7461010000000004E-6</v>
      </c>
      <c r="I10159">
        <v>128.8235</v>
      </c>
      <c r="J10159">
        <v>-186.41139999999999</v>
      </c>
      <c r="K10159">
        <v>1.120951</v>
      </c>
      <c r="L10159">
        <v>114.26819999999999</v>
      </c>
      <c r="M10159">
        <v>8.7027279999999999E-2</v>
      </c>
      <c r="N10159">
        <v>-1.49605E-2</v>
      </c>
      <c r="O10159">
        <v>0.99609360000000002</v>
      </c>
      <c r="P10159">
        <v>0.337088</v>
      </c>
      <c r="Q10159">
        <v>0.15182579999999901</v>
      </c>
      <c r="R10159">
        <v>0.92915049999999999</v>
      </c>
      <c r="S10159">
        <v>1.3554839999999999</v>
      </c>
      <c r="T10159">
        <v>-0.21083750000000001</v>
      </c>
      <c r="U10159">
        <v>2.7730100000000002</v>
      </c>
      <c r="V10159">
        <v>0.25528060000000002</v>
      </c>
      <c r="W10159">
        <v>0.16556899999999999</v>
      </c>
      <c r="X10159">
        <v>0.95258529999999997</v>
      </c>
      <c r="Y10159">
        <v>0.35843589999999997</v>
      </c>
      <c r="Z10159">
        <v>-5.4357799999999998E-2</v>
      </c>
      <c r="AA10159">
        <v>0.93197050000000004</v>
      </c>
      <c r="AB10159">
        <v>26</v>
      </c>
      <c r="AC10159">
        <v>7.1893999999999698</v>
      </c>
      <c r="AD10159">
        <v>-1.120955746101</v>
      </c>
      <c r="AE10159">
        <v>14.555300000000001</v>
      </c>
      <c r="AF10159">
        <v>5.8672924304263097</v>
      </c>
      <c r="AG10159">
        <v>-1.120955746101</v>
      </c>
      <c r="AH10159">
        <v>15.054032213304</v>
      </c>
      <c r="AI10159">
        <v>93.968758850691202</v>
      </c>
      <c r="AJ10159">
        <v>68.706705264633001</v>
      </c>
      <c r="AK10159">
        <v>16.195849719235099</v>
      </c>
      <c r="AL10159">
        <v>80.469709733774593</v>
      </c>
      <c r="AM10159">
        <v>74.997971999633407</v>
      </c>
      <c r="AN10159">
        <v>1.00000001613672</v>
      </c>
    </row>
    <row r="10160" spans="1:40" x14ac:dyDescent="0.25">
      <c r="A10160" t="str">
        <f>"20190303162146997"</f>
        <v>20190303162146997</v>
      </c>
      <c r="B10160" t="str">
        <f>"1551601306982631"</f>
        <v>1551601306982631</v>
      </c>
      <c r="C10160" t="s">
        <v>40</v>
      </c>
      <c r="D10160">
        <v>4.9155329999999999</v>
      </c>
      <c r="E10160">
        <v>0.55260120000000001</v>
      </c>
      <c r="F10160" t="s">
        <v>50</v>
      </c>
      <c r="G10160">
        <v>-179.2508</v>
      </c>
      <c r="H10160" s="1">
        <v>-4.6841580000000001E-6</v>
      </c>
      <c r="I10160">
        <v>128.51249999999999</v>
      </c>
      <c r="J10160">
        <v>-186.3972</v>
      </c>
      <c r="K10160">
        <v>1.120941</v>
      </c>
      <c r="L10160">
        <v>114.4213</v>
      </c>
      <c r="M10160">
        <v>8.776217E-2</v>
      </c>
      <c r="N10160">
        <v>-1.4956840000000001E-2</v>
      </c>
      <c r="O10160">
        <v>0.9960291</v>
      </c>
      <c r="P10160">
        <v>0.33820919999999999</v>
      </c>
      <c r="Q10160">
        <v>0.15115020000000001</v>
      </c>
      <c r="R10160">
        <v>0.92885320000000005</v>
      </c>
      <c r="S10160">
        <v>1.3878330000000001</v>
      </c>
      <c r="T10160">
        <v>-0.2172588</v>
      </c>
      <c r="U10160">
        <v>2.7607569999999999</v>
      </c>
      <c r="V10160">
        <v>0.25572119999999998</v>
      </c>
      <c r="W10160">
        <v>0.16488329999999901</v>
      </c>
      <c r="X10160">
        <v>0.95258609999999999</v>
      </c>
      <c r="Y10160">
        <v>0.3680543</v>
      </c>
      <c r="Z10160">
        <v>-5.64249E-2</v>
      </c>
      <c r="AA10160">
        <v>0.92809059999999999</v>
      </c>
      <c r="AB10160">
        <v>26</v>
      </c>
      <c r="AC10160">
        <v>7.1463999999999999</v>
      </c>
      <c r="AD10160">
        <v>-1.1209456841580001</v>
      </c>
      <c r="AE10160">
        <v>14.091199999999899</v>
      </c>
      <c r="AF10160">
        <v>5.8525477957253198</v>
      </c>
      <c r="AG10160">
        <v>-1.1209456841580001</v>
      </c>
      <c r="AH10160">
        <v>14.5906286240917</v>
      </c>
      <c r="AI10160">
        <v>94.078517819983205</v>
      </c>
      <c r="AJ10160">
        <v>68.143444577573305</v>
      </c>
      <c r="AK10160">
        <v>15.7605608584925</v>
      </c>
      <c r="AL10160">
        <v>80.509545341964099</v>
      </c>
      <c r="AM10160">
        <v>74.973261552404594</v>
      </c>
      <c r="AN10160">
        <v>1.0000000563307601</v>
      </c>
    </row>
    <row r="10161" spans="1:40" x14ac:dyDescent="0.25">
      <c r="A10161" t="str">
        <f>"20190303162147017"</f>
        <v>20190303162147017</v>
      </c>
      <c r="B10161" t="str">
        <f>"1551601307012416"</f>
        <v>1551601307012416</v>
      </c>
      <c r="C10161" t="s">
        <v>40</v>
      </c>
      <c r="D10161">
        <v>4.8838089999999896</v>
      </c>
      <c r="E10161">
        <v>0.55603309999999995</v>
      </c>
      <c r="F10161" t="s">
        <v>50</v>
      </c>
      <c r="G10161">
        <v>-178.62469999999999</v>
      </c>
      <c r="H10161" s="1">
        <v>-4.4976220000000001E-6</v>
      </c>
      <c r="I10161">
        <v>129.50749999999999</v>
      </c>
      <c r="J10161">
        <v>-186.37610000000001</v>
      </c>
      <c r="K10161">
        <v>1.120924</v>
      </c>
      <c r="L10161">
        <v>114.6459</v>
      </c>
      <c r="M10161">
        <v>8.8869710000000005E-2</v>
      </c>
      <c r="N10161">
        <v>-1.4951610000000001E-2</v>
      </c>
      <c r="O10161">
        <v>0.99593100000000001</v>
      </c>
      <c r="P10161">
        <v>0.33951730000000002</v>
      </c>
      <c r="Q10161">
        <v>0.15116740000000001</v>
      </c>
      <c r="R10161">
        <v>0.928373</v>
      </c>
      <c r="S10161">
        <v>1.415573</v>
      </c>
      <c r="T10161">
        <v>-0.20415220000000001</v>
      </c>
      <c r="U10161">
        <v>2.7475740000000002</v>
      </c>
      <c r="V10161">
        <v>0.2560135</v>
      </c>
      <c r="W10161">
        <v>0.16488</v>
      </c>
      <c r="X10161">
        <v>0.95250809999999997</v>
      </c>
      <c r="Y10161">
        <v>0.37633850000000002</v>
      </c>
      <c r="Z10161">
        <v>-5.2186789999999997E-2</v>
      </c>
      <c r="AA10161">
        <v>0.92501129999999998</v>
      </c>
      <c r="AB10161">
        <v>26</v>
      </c>
      <c r="AC10161">
        <v>7.7514000000000101</v>
      </c>
      <c r="AD10161">
        <v>-1.120928497622</v>
      </c>
      <c r="AE10161">
        <v>14.8615999999999</v>
      </c>
      <c r="AF10161">
        <v>6.3713349575024001</v>
      </c>
      <c r="AG10161">
        <v>-1.120928497622</v>
      </c>
      <c r="AH10161">
        <v>15.422750852405599</v>
      </c>
      <c r="AI10161">
        <v>93.843005099937102</v>
      </c>
      <c r="AJ10161">
        <v>67.5538563708742</v>
      </c>
      <c r="AK10161">
        <v>16.7245817195185</v>
      </c>
      <c r="AL10161">
        <v>80.509736536445999</v>
      </c>
      <c r="AM10161">
        <v>74.9556874590794</v>
      </c>
      <c r="AN10161">
        <v>1.00000000357393</v>
      </c>
    </row>
    <row r="10162" spans="1:40" x14ac:dyDescent="0.25">
      <c r="A10162" t="str">
        <f>"20190303162147029"</f>
        <v>20190303162147029</v>
      </c>
      <c r="B10162" t="str">
        <f>"1551601307023153"</f>
        <v>1551601307023153</v>
      </c>
      <c r="C10162" t="s">
        <v>40</v>
      </c>
      <c r="D10162">
        <v>4.9127260000000001</v>
      </c>
      <c r="E10162">
        <v>0.55676190000000003</v>
      </c>
      <c r="F10162" t="s">
        <v>50</v>
      </c>
      <c r="G10162">
        <v>-177.99379999999999</v>
      </c>
      <c r="H10162" s="1">
        <v>-4.4279779999999996E-6</v>
      </c>
      <c r="I10162">
        <v>130.501</v>
      </c>
      <c r="J10162">
        <v>-186.36330000000001</v>
      </c>
      <c r="K10162">
        <v>1.12090499999999</v>
      </c>
      <c r="L10162">
        <v>114.78149999999999</v>
      </c>
      <c r="M10162">
        <v>8.9561219999999997E-2</v>
      </c>
      <c r="N10162">
        <v>-1.494855E-2</v>
      </c>
      <c r="O10162">
        <v>0.99586920000000001</v>
      </c>
      <c r="P10162">
        <v>0.34014290000000003</v>
      </c>
      <c r="Q10162">
        <v>0.15179289999999901</v>
      </c>
      <c r="R10162">
        <v>0.92804189999999998</v>
      </c>
      <c r="S10162">
        <v>1.4455720000000001</v>
      </c>
      <c r="T10162">
        <v>-0.19330820000000001</v>
      </c>
      <c r="U10162">
        <v>2.7342680000000001</v>
      </c>
      <c r="V10162">
        <v>0.25601230000000003</v>
      </c>
      <c r="W10162">
        <v>0.1654891</v>
      </c>
      <c r="X10162">
        <v>0.95240279999999999</v>
      </c>
      <c r="Y10162">
        <v>0.38556269999999998</v>
      </c>
      <c r="Z10162">
        <v>-4.8653920000000003E-2</v>
      </c>
      <c r="AA10162">
        <v>0.92139800000000005</v>
      </c>
      <c r="AB10162">
        <v>26</v>
      </c>
      <c r="AC10162">
        <v>8.3695000000000093</v>
      </c>
      <c r="AD10162">
        <v>-1.1209094279780001</v>
      </c>
      <c r="AE10162">
        <v>15.7195</v>
      </c>
      <c r="AF10162">
        <v>6.9005059935690003</v>
      </c>
      <c r="AG10162">
        <v>-1.1209094279780001</v>
      </c>
      <c r="AH10162">
        <v>16.341242480481299</v>
      </c>
      <c r="AI10162">
        <v>93.615763570370305</v>
      </c>
      <c r="AJ10162">
        <v>67.106858684307696</v>
      </c>
      <c r="AK10162">
        <v>17.773846705733</v>
      </c>
      <c r="AL10162">
        <v>80.474351708344599</v>
      </c>
      <c r="AM10162">
        <v>74.954166865456401</v>
      </c>
      <c r="AN10162">
        <v>1.00000001670896</v>
      </c>
    </row>
    <row r="10163" spans="1:40" x14ac:dyDescent="0.25">
      <c r="A10163" t="str">
        <f>"20190303162147041"</f>
        <v>20190303162147041</v>
      </c>
      <c r="B10163" t="str">
        <f>"1551601307032913"</f>
        <v>1551601307032913</v>
      </c>
      <c r="C10163" t="s">
        <v>40</v>
      </c>
      <c r="D10163">
        <v>4.9714910000000003</v>
      </c>
      <c r="E10163">
        <v>0.55695850000000002</v>
      </c>
      <c r="F10163" t="s">
        <v>50</v>
      </c>
      <c r="G10163">
        <v>-177.67599999999999</v>
      </c>
      <c r="H10163" s="1">
        <v>-4.4402329999999997E-6</v>
      </c>
      <c r="I10163">
        <v>131.1045</v>
      </c>
      <c r="J10163">
        <v>-186.34970000000001</v>
      </c>
      <c r="K10163">
        <v>1.120887</v>
      </c>
      <c r="L10163">
        <v>114.92400000000001</v>
      </c>
      <c r="M10163">
        <v>9.0312680000000006E-2</v>
      </c>
      <c r="N10163">
        <v>-1.4945490000000001E-2</v>
      </c>
      <c r="O10163">
        <v>0.9958013</v>
      </c>
      <c r="P10163">
        <v>0.3410415</v>
      </c>
      <c r="Q10163">
        <v>0.1521759</v>
      </c>
      <c r="R10163">
        <v>0.92764930000000001</v>
      </c>
      <c r="S10163">
        <v>1.4532929999999999</v>
      </c>
      <c r="T10163">
        <v>-0.18751609999999999</v>
      </c>
      <c r="U10163">
        <v>2.7306520000000001</v>
      </c>
      <c r="V10163">
        <v>0.25623370000000001</v>
      </c>
      <c r="W10163">
        <v>0.1658502</v>
      </c>
      <c r="X10163">
        <v>0.95228040000000003</v>
      </c>
      <c r="Y10163">
        <v>0.38744859999999998</v>
      </c>
      <c r="Z10163">
        <v>-4.6774309999999999E-2</v>
      </c>
      <c r="AA10163">
        <v>0.92070390000000002</v>
      </c>
      <c r="AB10163">
        <v>25</v>
      </c>
      <c r="AC10163">
        <v>8.6737000000000197</v>
      </c>
      <c r="AD10163">
        <v>-1.1208914402329999</v>
      </c>
      <c r="AE10163">
        <v>16.180499999999999</v>
      </c>
      <c r="AF10163">
        <v>7.1501253942893799</v>
      </c>
      <c r="AG10163">
        <v>-1.1208914402329999</v>
      </c>
      <c r="AH10163">
        <v>16.8350391902353</v>
      </c>
      <c r="AI10163">
        <v>93.506852711329998</v>
      </c>
      <c r="AJ10163">
        <v>66.9882490013687</v>
      </c>
      <c r="AK10163">
        <v>18.324825655694699</v>
      </c>
      <c r="AL10163">
        <v>80.453371931501394</v>
      </c>
      <c r="AM10163">
        <v>74.939898327652301</v>
      </c>
      <c r="AN10163">
        <v>0.99999997903994398</v>
      </c>
    </row>
    <row r="10164" spans="1:40" x14ac:dyDescent="0.25">
      <c r="A10164" t="str">
        <f>"20190303162147053"</f>
        <v>20190303162147053</v>
      </c>
      <c r="B10164" t="str">
        <f>"1551601307042673"</f>
        <v>1551601307042673</v>
      </c>
      <c r="C10164" t="s">
        <v>40</v>
      </c>
      <c r="D10164">
        <v>4.9163920000000001</v>
      </c>
      <c r="E10164">
        <v>0.55753140000000001</v>
      </c>
      <c r="F10164" t="s">
        <v>50</v>
      </c>
      <c r="G10164">
        <v>-177.7525</v>
      </c>
      <c r="H10164" s="1">
        <v>-4.4622829999999998E-6</v>
      </c>
      <c r="I10164">
        <v>131.02510000000001</v>
      </c>
      <c r="J10164">
        <v>-186.33670000000001</v>
      </c>
      <c r="K10164">
        <v>1.1208560000000001</v>
      </c>
      <c r="L10164">
        <v>115.0582</v>
      </c>
      <c r="M10164">
        <v>9.1050300000000001E-2</v>
      </c>
      <c r="N10164">
        <v>-1.4942799999999999E-2</v>
      </c>
      <c r="O10164">
        <v>0.99573420000000001</v>
      </c>
      <c r="P10164">
        <v>0.3418889</v>
      </c>
      <c r="Q10164">
        <v>0.15253820000000001</v>
      </c>
      <c r="R10164">
        <v>0.92727780000000004</v>
      </c>
      <c r="S10164">
        <v>1.457352</v>
      </c>
      <c r="T10164">
        <v>-0.1900078</v>
      </c>
      <c r="U10164">
        <v>2.7293699999999999</v>
      </c>
      <c r="V10164">
        <v>0.25641720000000001</v>
      </c>
      <c r="W10164">
        <v>0.16618920000000001</v>
      </c>
      <c r="X10164">
        <v>0.95217189999999996</v>
      </c>
      <c r="Y10164">
        <v>0.38799090000000003</v>
      </c>
      <c r="Z10164">
        <v>-4.7584769999999998E-2</v>
      </c>
      <c r="AA10164">
        <v>0.92043399999999997</v>
      </c>
      <c r="AB10164">
        <v>25</v>
      </c>
      <c r="AC10164">
        <v>8.5842000000000098</v>
      </c>
      <c r="AD10164">
        <v>-1.1208604622829901</v>
      </c>
      <c r="AE10164">
        <v>15.966900000000001</v>
      </c>
      <c r="AF10164">
        <v>7.0675637052429199</v>
      </c>
      <c r="AG10164">
        <v>-1.1208604622829901</v>
      </c>
      <c r="AH10164">
        <v>16.6187125737343</v>
      </c>
      <c r="AI10164">
        <v>93.551572603956103</v>
      </c>
      <c r="AJ10164">
        <v>66.961044677702802</v>
      </c>
      <c r="AK10164">
        <v>18.0938772105917</v>
      </c>
      <c r="AL10164">
        <v>80.433675319410895</v>
      </c>
      <c r="AM10164">
        <v>74.927964435549598</v>
      </c>
      <c r="AN10164">
        <v>0.99999997890104397</v>
      </c>
    </row>
    <row r="10165" spans="1:40" x14ac:dyDescent="0.25">
      <c r="A10165" t="str">
        <f>"20190303162147066"</f>
        <v>20190303162147066</v>
      </c>
      <c r="B10165" t="str">
        <f>"1551601307052433"</f>
        <v>1551601307052433</v>
      </c>
      <c r="C10165" t="s">
        <v>40</v>
      </c>
      <c r="D10165">
        <v>4.9131159999999996</v>
      </c>
      <c r="E10165">
        <v>0.55788760000000004</v>
      </c>
      <c r="F10165" t="s">
        <v>50</v>
      </c>
      <c r="G10165">
        <v>-177.483</v>
      </c>
      <c r="H10165" s="1">
        <v>-4.4722320000000002E-6</v>
      </c>
      <c r="I10165">
        <v>131.53579999999999</v>
      </c>
      <c r="J10165">
        <v>-186.3228</v>
      </c>
      <c r="K10165">
        <v>1.1208199999999999</v>
      </c>
      <c r="L10165">
        <v>115.2007</v>
      </c>
      <c r="M10165">
        <v>9.1850929999999997E-2</v>
      </c>
      <c r="N10165">
        <v>-1.494001E-2</v>
      </c>
      <c r="O10165">
        <v>0.99566069999999995</v>
      </c>
      <c r="P10165">
        <v>0.3429663</v>
      </c>
      <c r="Q10165">
        <v>0.15235689999999999</v>
      </c>
      <c r="R10165">
        <v>0.92690969999999995</v>
      </c>
      <c r="S10165">
        <v>1.464615</v>
      </c>
      <c r="T10165">
        <v>-0.185416</v>
      </c>
      <c r="U10165">
        <v>2.7257690000000001</v>
      </c>
      <c r="V10165">
        <v>0.25677030000000001</v>
      </c>
      <c r="W10165">
        <v>0.16598089999999999</v>
      </c>
      <c r="X10165">
        <v>0.95211310000000005</v>
      </c>
      <c r="Y10165">
        <v>0.38969579999999998</v>
      </c>
      <c r="Z10165">
        <v>-4.6099719999999997E-2</v>
      </c>
      <c r="AA10165">
        <v>0.91978910000000003</v>
      </c>
      <c r="AB10165">
        <v>25</v>
      </c>
      <c r="AC10165">
        <v>8.8397999999999897</v>
      </c>
      <c r="AD10165">
        <v>-1.120824472232</v>
      </c>
      <c r="AE10165">
        <v>16.335099999999901</v>
      </c>
      <c r="AF10165">
        <v>7.2753686766635797</v>
      </c>
      <c r="AG10165">
        <v>-1.120824472232</v>
      </c>
      <c r="AH10165">
        <v>17.016102060818099</v>
      </c>
      <c r="AI10165">
        <v>93.465878004817895</v>
      </c>
      <c r="AJ10165">
        <v>66.850487922020406</v>
      </c>
      <c r="AK10165">
        <v>18.540090782493699</v>
      </c>
      <c r="AL10165">
        <v>80.4457783309837</v>
      </c>
      <c r="AM10165">
        <v>74.9072660961872</v>
      </c>
      <c r="AN10165">
        <v>1.00000000065925</v>
      </c>
    </row>
    <row r="10166" spans="1:40" x14ac:dyDescent="0.25">
      <c r="A10166" t="str">
        <f>"20190303162147077"</f>
        <v>20190303162147077</v>
      </c>
      <c r="B10166" t="str">
        <f>"1551601307072929"</f>
        <v>1551601307072929</v>
      </c>
      <c r="C10166" t="s">
        <v>40</v>
      </c>
      <c r="D10166">
        <v>4.9308300000000003</v>
      </c>
      <c r="E10166">
        <v>0.558446</v>
      </c>
      <c r="F10166" t="s">
        <v>50</v>
      </c>
      <c r="G10166">
        <v>-177.34</v>
      </c>
      <c r="H10166" s="1">
        <v>-4.4865439999999997E-6</v>
      </c>
      <c r="I10166">
        <v>131.8305</v>
      </c>
      <c r="J10166">
        <v>-186.30940000000001</v>
      </c>
      <c r="K10166">
        <v>1.1207780000000001</v>
      </c>
      <c r="L10166">
        <v>115.3364</v>
      </c>
      <c r="M10166">
        <v>9.2665049999999999E-2</v>
      </c>
      <c r="N10166">
        <v>-1.493762E-2</v>
      </c>
      <c r="O10166">
        <v>0.99558530000000001</v>
      </c>
      <c r="P10166">
        <v>0.34374070000000001</v>
      </c>
      <c r="Q10166">
        <v>0.15193960000000001</v>
      </c>
      <c r="R10166">
        <v>0.9266913</v>
      </c>
      <c r="S10166">
        <v>1.470642</v>
      </c>
      <c r="T10166">
        <v>-0.18349779999999999</v>
      </c>
      <c r="U10166">
        <v>2.7225799999999998</v>
      </c>
      <c r="V10166">
        <v>0.25679669999999999</v>
      </c>
      <c r="W10166">
        <v>0.1655365</v>
      </c>
      <c r="X10166">
        <v>0.95218329999999995</v>
      </c>
      <c r="Y10166">
        <v>0.39098369999999999</v>
      </c>
      <c r="Z10166">
        <v>-4.548895E-2</v>
      </c>
      <c r="AA10166">
        <v>0.9192728</v>
      </c>
      <c r="AB10166">
        <v>25</v>
      </c>
      <c r="AC10166">
        <v>8.9694000000000091</v>
      </c>
      <c r="AD10166">
        <v>-1.1207824865439999</v>
      </c>
      <c r="AE10166">
        <v>16.4941</v>
      </c>
      <c r="AF10166">
        <v>7.3759178602170099</v>
      </c>
      <c r="AG10166">
        <v>-1.1207824865439999</v>
      </c>
      <c r="AH10166">
        <v>17.193090632925699</v>
      </c>
      <c r="AI10166">
        <v>93.428365756743304</v>
      </c>
      <c r="AJ10166">
        <v>66.780436953202994</v>
      </c>
      <c r="AK10166">
        <v>18.742003179351101</v>
      </c>
      <c r="AL10166">
        <v>80.471597336458004</v>
      </c>
      <c r="AM10166">
        <v>74.906847183877602</v>
      </c>
      <c r="AN10166">
        <v>0.99999995738101399</v>
      </c>
    </row>
    <row r="10167" spans="1:40" x14ac:dyDescent="0.25">
      <c r="A10167" t="str">
        <f>"20190303162147091"</f>
        <v>20190303162147091</v>
      </c>
      <c r="B10167" t="str">
        <f>"1551601307082689"</f>
        <v>1551601307082689</v>
      </c>
      <c r="C10167" t="s">
        <v>40</v>
      </c>
      <c r="D10167">
        <v>4.9177479999999996</v>
      </c>
      <c r="E10167">
        <v>0.55870569999999997</v>
      </c>
      <c r="F10167" t="s">
        <v>50</v>
      </c>
      <c r="G10167">
        <v>-177.19749999999999</v>
      </c>
      <c r="H10167" s="1">
        <v>-4.4946979999999999E-6</v>
      </c>
      <c r="I10167">
        <v>132.10810000000001</v>
      </c>
      <c r="J10167">
        <v>-186.29480000000001</v>
      </c>
      <c r="K10167">
        <v>1.1207279999999999</v>
      </c>
      <c r="L10167">
        <v>115.48260000000001</v>
      </c>
      <c r="M10167">
        <v>9.356971E-2</v>
      </c>
      <c r="N10167">
        <v>-1.4935159999999999E-2</v>
      </c>
      <c r="O10167">
        <v>0.99550070000000002</v>
      </c>
      <c r="P10167">
        <v>0.34512530000000002</v>
      </c>
      <c r="Q10167">
        <v>0.15115590000000001</v>
      </c>
      <c r="R10167">
        <v>0.92630480000000004</v>
      </c>
      <c r="S10167">
        <v>1.4772799999999999</v>
      </c>
      <c r="T10167">
        <v>-0.1817087</v>
      </c>
      <c r="U10167">
        <v>2.719131</v>
      </c>
      <c r="V10167">
        <v>0.2573607</v>
      </c>
      <c r="W10167">
        <v>0.1647197</v>
      </c>
      <c r="X10167">
        <v>0.95217280000000004</v>
      </c>
      <c r="Y10167">
        <v>0.39238200000000001</v>
      </c>
      <c r="Z10167">
        <v>-4.4920160000000001E-2</v>
      </c>
      <c r="AA10167">
        <v>0.91870479999999999</v>
      </c>
      <c r="AB10167">
        <v>25</v>
      </c>
      <c r="AC10167">
        <v>9.0973000000000095</v>
      </c>
      <c r="AD10167">
        <v>-1.120732494698</v>
      </c>
      <c r="AE10167">
        <v>16.625499999999999</v>
      </c>
      <c r="AF10167">
        <v>7.4754198453616203</v>
      </c>
      <c r="AG10167">
        <v>-1.120732494698</v>
      </c>
      <c r="AH10167">
        <v>17.3432191158047</v>
      </c>
      <c r="AI10167">
        <v>93.396118197082401</v>
      </c>
      <c r="AJ10167">
        <v>66.6825859171947</v>
      </c>
      <c r="AK10167">
        <v>18.918910975209801</v>
      </c>
      <c r="AL10167">
        <v>80.519049056290896</v>
      </c>
      <c r="AM10167">
        <v>74.875056201857703</v>
      </c>
      <c r="AN10167">
        <v>1.0000000752661999</v>
      </c>
    </row>
    <row r="10168" spans="1:40" x14ac:dyDescent="0.25">
      <c r="A10168" t="str">
        <f>"20190303162147107"</f>
        <v>20190303162147107</v>
      </c>
      <c r="B10168" t="str">
        <f>"1551601307103184"</f>
        <v>1551601307103184</v>
      </c>
      <c r="C10168" t="s">
        <v>40</v>
      </c>
      <c r="D10168">
        <v>4.9177710000000001</v>
      </c>
      <c r="E10168">
        <v>0.55927039999999995</v>
      </c>
      <c r="F10168" t="s">
        <v>50</v>
      </c>
      <c r="G10168">
        <v>-177.25299999999999</v>
      </c>
      <c r="H10168" s="1">
        <v>-4.508489E-6</v>
      </c>
      <c r="I10168">
        <v>132.04470000000001</v>
      </c>
      <c r="J10168">
        <v>-186.2764</v>
      </c>
      <c r="K10168">
        <v>1.12066</v>
      </c>
      <c r="L10168">
        <v>115.66459999999999</v>
      </c>
      <c r="M10168">
        <v>9.4749669999999994E-2</v>
      </c>
      <c r="N10168">
        <v>-1.4932340000000001E-2</v>
      </c>
      <c r="O10168">
        <v>0.99538910000000003</v>
      </c>
      <c r="P10168">
        <v>0.34756490000000001</v>
      </c>
      <c r="Q10168">
        <v>0.14943039999999999</v>
      </c>
      <c r="R10168">
        <v>0.9256723</v>
      </c>
      <c r="S10168">
        <v>1.4828490000000001</v>
      </c>
      <c r="T10168">
        <v>-0.18379889999999999</v>
      </c>
      <c r="U10168">
        <v>2.7161710000000001</v>
      </c>
      <c r="V10168">
        <v>0.25873760000000001</v>
      </c>
      <c r="W10168">
        <v>0.16294810000000001</v>
      </c>
      <c r="X10168">
        <v>0.95210439999999996</v>
      </c>
      <c r="Y10168">
        <v>0.39314690000000002</v>
      </c>
      <c r="Z10168">
        <v>-4.5620109999999998E-2</v>
      </c>
      <c r="AA10168">
        <v>0.91834320000000003</v>
      </c>
      <c r="AB10168">
        <v>25</v>
      </c>
      <c r="AC10168">
        <v>9.0234000000000094</v>
      </c>
      <c r="AD10168">
        <v>-1.1206645084889999</v>
      </c>
      <c r="AE10168">
        <v>16.380099999999999</v>
      </c>
      <c r="AF10168">
        <v>7.4040255624728202</v>
      </c>
      <c r="AG10168">
        <v>-1.1206645084889999</v>
      </c>
      <c r="AH10168">
        <v>17.100044341255501</v>
      </c>
      <c r="AI10168">
        <v>93.441645693794399</v>
      </c>
      <c r="AJ10168">
        <v>66.588216943892405</v>
      </c>
      <c r="AK10168">
        <v>18.667806511297499</v>
      </c>
      <c r="AL10168">
        <v>80.621943967372701</v>
      </c>
      <c r="AM10168">
        <v>74.796830368733296</v>
      </c>
      <c r="AN10168">
        <v>1.00000000872336</v>
      </c>
    </row>
    <row r="10169" spans="1:40" x14ac:dyDescent="0.25">
      <c r="A10169" t="str">
        <f>"20190303162147121"</f>
        <v>20190303162147121</v>
      </c>
      <c r="B10169" t="str">
        <f>"1551601307112478"</f>
        <v>1551601307112478</v>
      </c>
      <c r="C10169" t="s">
        <v>40</v>
      </c>
      <c r="D10169">
        <v>4.9371330000000002</v>
      </c>
      <c r="E10169">
        <v>0.55954389999999998</v>
      </c>
      <c r="F10169" t="s">
        <v>50</v>
      </c>
      <c r="G10169">
        <v>-177.3494</v>
      </c>
      <c r="H10169" s="1">
        <v>-4.5109549999999999E-6</v>
      </c>
      <c r="I10169">
        <v>131.87790000000001</v>
      </c>
      <c r="J10169">
        <v>-186.25989999999999</v>
      </c>
      <c r="K10169">
        <v>1.1206020000000001</v>
      </c>
      <c r="L10169">
        <v>115.82510000000001</v>
      </c>
      <c r="M10169">
        <v>9.5856369999999996E-2</v>
      </c>
      <c r="N10169">
        <v>-1.49301E-2</v>
      </c>
      <c r="O10169">
        <v>0.99528320000000003</v>
      </c>
      <c r="P10169">
        <v>0.34924050000000001</v>
      </c>
      <c r="Q10169">
        <v>0.14867739999999999</v>
      </c>
      <c r="R10169">
        <v>0.92516279999999995</v>
      </c>
      <c r="S10169">
        <v>1.4925379999999999</v>
      </c>
      <c r="T10169">
        <v>-0.18736800000000001</v>
      </c>
      <c r="U10169">
        <v>2.7107540000000001</v>
      </c>
      <c r="V10169">
        <v>0.25941330000000001</v>
      </c>
      <c r="W10169">
        <v>0.16215389999999999</v>
      </c>
      <c r="X10169">
        <v>0.95205609999999996</v>
      </c>
      <c r="Y10169">
        <v>0.39538709999999999</v>
      </c>
      <c r="Z10169">
        <v>-4.6810850000000001E-2</v>
      </c>
      <c r="AA10169">
        <v>0.91732100000000005</v>
      </c>
      <c r="AB10169">
        <v>25</v>
      </c>
      <c r="AC10169">
        <v>8.9104999999999794</v>
      </c>
      <c r="AD10169">
        <v>-1.1206065109550001</v>
      </c>
      <c r="AE10169">
        <v>16.052800000000001</v>
      </c>
      <c r="AF10169">
        <v>7.3033178336130602</v>
      </c>
      <c r="AG10169">
        <v>-1.1206065109550001</v>
      </c>
      <c r="AH10169">
        <v>16.770611010189</v>
      </c>
      <c r="AI10169">
        <v>93.505707370787903</v>
      </c>
      <c r="AJ10169">
        <v>66.467688105244207</v>
      </c>
      <c r="AK10169">
        <v>18.3261453662858</v>
      </c>
      <c r="AL10169">
        <v>80.668061388089498</v>
      </c>
      <c r="AM10169">
        <v>74.758234015865199</v>
      </c>
      <c r="AN10169">
        <v>0.99999998252465405</v>
      </c>
    </row>
    <row r="10170" spans="1:40" x14ac:dyDescent="0.25">
      <c r="A10170" t="str">
        <f>"20190303162147136"</f>
        <v>20190303162147136</v>
      </c>
      <c r="B10170" t="str">
        <f>"1551601307123212"</f>
        <v>1551601307123212</v>
      </c>
      <c r="C10170" t="s">
        <v>40</v>
      </c>
      <c r="D10170">
        <v>4.9296620000000004</v>
      </c>
      <c r="E10170">
        <v>0.55979540000000005</v>
      </c>
      <c r="F10170" t="s">
        <v>50</v>
      </c>
      <c r="G10170">
        <v>-177.38759999999999</v>
      </c>
      <c r="H10170" s="1">
        <v>-4.5289419999999998E-6</v>
      </c>
      <c r="I10170">
        <v>131.85659999999999</v>
      </c>
      <c r="J10170">
        <v>-186.24209999999999</v>
      </c>
      <c r="K10170">
        <v>1.120541</v>
      </c>
      <c r="L10170">
        <v>115.9956</v>
      </c>
      <c r="M10170">
        <v>9.7092159999999997E-2</v>
      </c>
      <c r="N10170">
        <v>-1.4927920000000001E-2</v>
      </c>
      <c r="O10170">
        <v>0.99516340000000003</v>
      </c>
      <c r="P10170">
        <v>0.3514526</v>
      </c>
      <c r="Q10170">
        <v>0.14843979999999901</v>
      </c>
      <c r="R10170">
        <v>0.92436280000000004</v>
      </c>
      <c r="S10170">
        <v>1.4983979999999999</v>
      </c>
      <c r="T10170">
        <v>-0.18925420000000001</v>
      </c>
      <c r="U10170">
        <v>2.7074739999999999</v>
      </c>
      <c r="V10170">
        <v>0.2605304</v>
      </c>
      <c r="W10170">
        <v>0.16186929999999999</v>
      </c>
      <c r="X10170">
        <v>0.95179950000000002</v>
      </c>
      <c r="Y10170">
        <v>0.39622079999999998</v>
      </c>
      <c r="Z10170">
        <v>-4.7447000000000003E-2</v>
      </c>
      <c r="AA10170">
        <v>0.91692850000000004</v>
      </c>
      <c r="AB10170">
        <v>25</v>
      </c>
      <c r="AC10170">
        <v>8.8544999999999998</v>
      </c>
      <c r="AD10170">
        <v>-1.1205455289419901</v>
      </c>
      <c r="AE10170">
        <v>15.860999999999899</v>
      </c>
      <c r="AF10170">
        <v>7.2449376197202602</v>
      </c>
      <c r="AG10170">
        <v>-1.1205455289419901</v>
      </c>
      <c r="AH10170">
        <v>16.5827436498015</v>
      </c>
      <c r="AI10170">
        <v>93.5432999786849</v>
      </c>
      <c r="AJ10170">
        <v>66.399666174954902</v>
      </c>
      <c r="AK10170">
        <v>18.130971577692701</v>
      </c>
      <c r="AL10170">
        <v>80.6845864662764</v>
      </c>
      <c r="AM10170">
        <v>74.691738255729604</v>
      </c>
      <c r="AN10170">
        <v>1.0000000239034399</v>
      </c>
    </row>
    <row r="10171" spans="1:40" x14ac:dyDescent="0.25">
      <c r="A10171" t="str">
        <f>"20190303162147151"</f>
        <v>20190303162147151</v>
      </c>
      <c r="B10171" t="str">
        <f>"1551601307142733"</f>
        <v>1551601307142733</v>
      </c>
      <c r="C10171" t="s">
        <v>40</v>
      </c>
      <c r="D10171">
        <v>4.9190649999999998</v>
      </c>
      <c r="E10171">
        <v>0.5602897</v>
      </c>
      <c r="F10171" t="s">
        <v>50</v>
      </c>
      <c r="G10171">
        <v>-177.33269999999999</v>
      </c>
      <c r="H10171" s="1">
        <v>-4.5407049999999999E-6</v>
      </c>
      <c r="I10171">
        <v>131.9863</v>
      </c>
      <c r="J10171">
        <v>-186.22479999999999</v>
      </c>
      <c r="K10171">
        <v>1.1204829999999999</v>
      </c>
      <c r="L10171">
        <v>116.1592</v>
      </c>
      <c r="M10171">
        <v>9.8335489999999998E-2</v>
      </c>
      <c r="N10171">
        <v>-1.492596E-2</v>
      </c>
      <c r="O10171">
        <v>0.99504139999999996</v>
      </c>
      <c r="P10171">
        <v>0.3546453</v>
      </c>
      <c r="Q10171">
        <v>0.14907889999999999</v>
      </c>
      <c r="R10171">
        <v>0.92303970000000002</v>
      </c>
      <c r="S10171">
        <v>1.5061340000000001</v>
      </c>
      <c r="T10171">
        <v>-0.18942870000000001</v>
      </c>
      <c r="U10171">
        <v>2.7032319999999999</v>
      </c>
      <c r="V10171">
        <v>0.26267069999999998</v>
      </c>
      <c r="W10171">
        <v>0.16245179999999901</v>
      </c>
      <c r="X10171">
        <v>0.9511117</v>
      </c>
      <c r="Y10171">
        <v>0.39768510000000001</v>
      </c>
      <c r="Z10171">
        <v>-4.7525110000000002E-2</v>
      </c>
      <c r="AA10171">
        <v>0.9162903</v>
      </c>
      <c r="AB10171">
        <v>25</v>
      </c>
      <c r="AC10171">
        <v>8.8920999999999992</v>
      </c>
      <c r="AD10171">
        <v>-1.1204875407049999</v>
      </c>
      <c r="AE10171">
        <v>15.8271</v>
      </c>
      <c r="AF10171">
        <v>7.26477885371472</v>
      </c>
      <c r="AG10171">
        <v>-1.1204875407049999</v>
      </c>
      <c r="AH10171">
        <v>16.5617878360252</v>
      </c>
      <c r="AI10171">
        <v>93.545313543921395</v>
      </c>
      <c r="AJ10171">
        <v>66.315484381683504</v>
      </c>
      <c r="AK10171">
        <v>18.119749458747101</v>
      </c>
      <c r="AL10171">
        <v>80.650763552055395</v>
      </c>
      <c r="AM10171">
        <v>74.561322399474406</v>
      </c>
      <c r="AN10171">
        <v>0.99999997491930903</v>
      </c>
    </row>
    <row r="10172" spans="1:40" x14ac:dyDescent="0.25">
      <c r="A10172" t="str">
        <f>"20190303162147165"</f>
        <v>20190303162147165</v>
      </c>
      <c r="B10172" t="str">
        <f>"1551601307153469"</f>
        <v>1551601307153469</v>
      </c>
      <c r="C10172" t="s">
        <v>40</v>
      </c>
      <c r="D10172">
        <v>4.9476570000000004</v>
      </c>
      <c r="E10172">
        <v>0.5605329</v>
      </c>
      <c r="F10172" t="s">
        <v>50</v>
      </c>
      <c r="G10172">
        <v>-177.0684</v>
      </c>
      <c r="H10172" s="1">
        <v>-4.5241109999999997E-6</v>
      </c>
      <c r="I10172">
        <v>132.4177</v>
      </c>
      <c r="J10172">
        <v>-186.20820000000001</v>
      </c>
      <c r="K10172">
        <v>1.1204259999999999</v>
      </c>
      <c r="L10172">
        <v>116.31359999999999</v>
      </c>
      <c r="M10172">
        <v>9.9558419999999995E-2</v>
      </c>
      <c r="N10172">
        <v>-1.492418E-2</v>
      </c>
      <c r="O10172">
        <v>0.99491980000000002</v>
      </c>
      <c r="P10172">
        <v>0.35697570000000001</v>
      </c>
      <c r="Q10172">
        <v>0.1498283</v>
      </c>
      <c r="R10172">
        <v>0.92201949999999999</v>
      </c>
      <c r="S10172">
        <v>1.5186919999999999</v>
      </c>
      <c r="T10172">
        <v>-0.18584629999999999</v>
      </c>
      <c r="U10172">
        <v>2.6966549999999998</v>
      </c>
      <c r="V10172">
        <v>0.26394430000000002</v>
      </c>
      <c r="W10172">
        <v>0.1631514</v>
      </c>
      <c r="X10172">
        <v>0.95063920000000002</v>
      </c>
      <c r="Y10172">
        <v>0.4007791</v>
      </c>
      <c r="Z10172">
        <v>-4.637546E-2</v>
      </c>
      <c r="AA10172">
        <v>0.91500029999999999</v>
      </c>
      <c r="AB10172">
        <v>25</v>
      </c>
      <c r="AC10172">
        <v>9.1397999999999993</v>
      </c>
      <c r="AD10172">
        <v>-1.120430524111</v>
      </c>
      <c r="AE10172">
        <v>16.104099999999999</v>
      </c>
      <c r="AF10172">
        <v>7.4635773639913596</v>
      </c>
      <c r="AG10172">
        <v>-1.120430524111</v>
      </c>
      <c r="AH10172">
        <v>16.8723438293718</v>
      </c>
      <c r="AI10172">
        <v>93.475296541988399</v>
      </c>
      <c r="AJ10172">
        <v>66.137524572525294</v>
      </c>
      <c r="AK10172">
        <v>18.4834070972909</v>
      </c>
      <c r="AL10172">
        <v>80.610137003540302</v>
      </c>
      <c r="AM10172">
        <v>74.482723626874204</v>
      </c>
      <c r="AN10172">
        <v>0.99999993070054205</v>
      </c>
    </row>
    <row r="10173" spans="1:40" x14ac:dyDescent="0.25">
      <c r="A10173" t="str">
        <f>"20190303162147178"</f>
        <v>20190303162147178</v>
      </c>
      <c r="B10173" t="str">
        <f>"1551601307172989"</f>
        <v>1551601307172989</v>
      </c>
      <c r="C10173" t="s">
        <v>40</v>
      </c>
      <c r="D10173">
        <v>4.938879</v>
      </c>
      <c r="E10173">
        <v>0.56084219999999996</v>
      </c>
      <c r="F10173" t="s">
        <v>50</v>
      </c>
      <c r="G10173">
        <v>-176.81739999999999</v>
      </c>
      <c r="H10173" s="1">
        <v>-4.5239E-6</v>
      </c>
      <c r="I10173">
        <v>132.86840000000001</v>
      </c>
      <c r="J10173">
        <v>-186.19200000000001</v>
      </c>
      <c r="K10173">
        <v>1.1203689999999999</v>
      </c>
      <c r="L10173">
        <v>116.4611</v>
      </c>
      <c r="M10173">
        <v>0.1008083</v>
      </c>
      <c r="N10173">
        <v>-1.4922879999999999E-2</v>
      </c>
      <c r="O10173">
        <v>0.99479399999999996</v>
      </c>
      <c r="P10173">
        <v>0.35973670000000002</v>
      </c>
      <c r="Q10173">
        <v>0.15095059999999999</v>
      </c>
      <c r="R10173">
        <v>0.92076239999999998</v>
      </c>
      <c r="S10173">
        <v>1.527115</v>
      </c>
      <c r="T10173">
        <v>-0.1822009</v>
      </c>
      <c r="U10173">
        <v>2.6920929999999998</v>
      </c>
      <c r="V10173">
        <v>0.26564739999999998</v>
      </c>
      <c r="W10173">
        <v>0.1642197</v>
      </c>
      <c r="X10173">
        <v>0.94998070000000001</v>
      </c>
      <c r="Y10173">
        <v>0.40248800000000001</v>
      </c>
      <c r="Z10173">
        <v>-4.5203140000000003E-2</v>
      </c>
      <c r="AA10173">
        <v>0.91430849999999997</v>
      </c>
      <c r="AB10173">
        <v>25</v>
      </c>
      <c r="AC10173">
        <v>9.3746000000000098</v>
      </c>
      <c r="AD10173">
        <v>-1.1203735238999999</v>
      </c>
      <c r="AE10173">
        <v>16.407299999999999</v>
      </c>
      <c r="AF10173">
        <v>7.64578088809977</v>
      </c>
      <c r="AG10173">
        <v>-1.1203735238999999</v>
      </c>
      <c r="AH10173">
        <v>17.208351317286599</v>
      </c>
      <c r="AI10173">
        <v>93.404970930582707</v>
      </c>
      <c r="AJ10173">
        <v>66.044115355330305</v>
      </c>
      <c r="AK10173">
        <v>18.863736567314699</v>
      </c>
      <c r="AL10173">
        <v>80.548091646400806</v>
      </c>
      <c r="AM10173">
        <v>74.377173303818907</v>
      </c>
      <c r="AN10173">
        <v>0.99999999068366996</v>
      </c>
    </row>
    <row r="10174" spans="1:40" x14ac:dyDescent="0.25">
      <c r="A10174" t="str">
        <f>"20190303162147192"</f>
        <v>20190303162147192</v>
      </c>
      <c r="B10174" t="str">
        <f>"1551601307182749"</f>
        <v>1551601307182749</v>
      </c>
      <c r="C10174" t="s">
        <v>40</v>
      </c>
      <c r="D10174">
        <v>4.9716180000000003</v>
      </c>
      <c r="E10174">
        <v>0.56098649999999906</v>
      </c>
      <c r="F10174" t="s">
        <v>50</v>
      </c>
      <c r="G10174">
        <v>-176.5001</v>
      </c>
      <c r="H10174" s="1">
        <v>-4.5113359999999996E-6</v>
      </c>
      <c r="I10174">
        <v>133.40559999999999</v>
      </c>
      <c r="J10174">
        <v>-186.17439999999999</v>
      </c>
      <c r="K10174">
        <v>1.120301</v>
      </c>
      <c r="L10174">
        <v>116.6203</v>
      </c>
      <c r="M10174">
        <v>0.1022082</v>
      </c>
      <c r="N10174">
        <v>-1.492166E-2</v>
      </c>
      <c r="O10174">
        <v>0.99465110000000001</v>
      </c>
      <c r="P10174">
        <v>0.36278880000000002</v>
      </c>
      <c r="Q10174">
        <v>0.15180150000000001</v>
      </c>
      <c r="R10174">
        <v>0.91942409999999997</v>
      </c>
      <c r="S10174">
        <v>1.536835</v>
      </c>
      <c r="T10174">
        <v>-0.17765529999999999</v>
      </c>
      <c r="U10174">
        <v>2.6868590000000001</v>
      </c>
      <c r="V10174">
        <v>0.26750930000000001</v>
      </c>
      <c r="W10174">
        <v>0.165010299999999</v>
      </c>
      <c r="X10174">
        <v>0.94932099999999997</v>
      </c>
      <c r="Y10174">
        <v>0.40449469999999998</v>
      </c>
      <c r="Z10174">
        <v>-4.3737079999999998E-2</v>
      </c>
      <c r="AA10174">
        <v>0.91349389999999997</v>
      </c>
      <c r="AB10174">
        <v>25</v>
      </c>
      <c r="AC10174">
        <v>9.6742999999999792</v>
      </c>
      <c r="AD10174">
        <v>-1.1203055113359901</v>
      </c>
      <c r="AE10174">
        <v>16.7852999999999</v>
      </c>
      <c r="AF10174">
        <v>7.8814836254311302</v>
      </c>
      <c r="AG10174">
        <v>-1.1203055113359901</v>
      </c>
      <c r="AH10174">
        <v>17.627335538818102</v>
      </c>
      <c r="AI10174">
        <v>93.320556039980403</v>
      </c>
      <c r="AJ10174">
        <v>65.909763637888403</v>
      </c>
      <c r="AK10174">
        <v>19.341556989413998</v>
      </c>
      <c r="AL10174">
        <v>80.502167114840404</v>
      </c>
      <c r="AM10174">
        <v>74.262686895346306</v>
      </c>
      <c r="AN10174">
        <v>0.99999999286678898</v>
      </c>
    </row>
    <row r="10175" spans="1:40" x14ac:dyDescent="0.25">
      <c r="A10175" t="str">
        <f>"20190303162147207"</f>
        <v>20190303162147207</v>
      </c>
      <c r="B10175" t="str">
        <f>"1551601307203245"</f>
        <v>1551601307203245</v>
      </c>
      <c r="C10175" t="s">
        <v>40</v>
      </c>
      <c r="D10175">
        <v>4.9612959999999999</v>
      </c>
      <c r="E10175">
        <v>0.56154839999999995</v>
      </c>
      <c r="F10175" t="s">
        <v>50</v>
      </c>
      <c r="G10175">
        <v>-176.2662</v>
      </c>
      <c r="H10175" s="1">
        <v>-4.5050489999999999E-6</v>
      </c>
      <c r="I10175">
        <v>133.80940000000001</v>
      </c>
      <c r="J10175">
        <v>-186.15549999999999</v>
      </c>
      <c r="K10175">
        <v>1.120225</v>
      </c>
      <c r="L10175">
        <v>116.7882</v>
      </c>
      <c r="M10175">
        <v>0.10375</v>
      </c>
      <c r="N10175">
        <v>-1.4920640000000001E-2</v>
      </c>
      <c r="O10175">
        <v>0.99449149999999997</v>
      </c>
      <c r="P10175">
        <v>0.36782189999999998</v>
      </c>
      <c r="Q10175">
        <v>0.1509568</v>
      </c>
      <c r="R10175">
        <v>0.91756150000000003</v>
      </c>
      <c r="S10175">
        <v>1.5458529999999999</v>
      </c>
      <c r="T10175">
        <v>-0.1747881</v>
      </c>
      <c r="U10175">
        <v>2.6818080000000002</v>
      </c>
      <c r="V10175">
        <v>0.27125909999999998</v>
      </c>
      <c r="W10175">
        <v>0.16408889999999901</v>
      </c>
      <c r="X10175">
        <v>0.94841620000000004</v>
      </c>
      <c r="Y10175">
        <v>0.40614830000000002</v>
      </c>
      <c r="Z10175">
        <v>-4.2821989999999997E-2</v>
      </c>
      <c r="AA10175">
        <v>0.91280329999999998</v>
      </c>
      <c r="AB10175">
        <v>25</v>
      </c>
      <c r="AC10175">
        <v>9.8892999999999898</v>
      </c>
      <c r="AD10175">
        <v>-1.1202295050489901</v>
      </c>
      <c r="AE10175">
        <v>17.0212</v>
      </c>
      <c r="AF10175">
        <v>8.0437252845777998</v>
      </c>
      <c r="AG10175">
        <v>-1.1202295050489901</v>
      </c>
      <c r="AH10175">
        <v>17.897494188311398</v>
      </c>
      <c r="AI10175">
        <v>93.267501529818801</v>
      </c>
      <c r="AJ10175">
        <v>65.799274311262707</v>
      </c>
      <c r="AK10175">
        <v>19.6539240056122</v>
      </c>
      <c r="AL10175">
        <v>80.555688868624401</v>
      </c>
      <c r="AM10175">
        <v>74.038796648502895</v>
      </c>
      <c r="AN10175">
        <v>0.99999997742922897</v>
      </c>
    </row>
    <row r="10176" spans="1:40" x14ac:dyDescent="0.25">
      <c r="A10176" t="str">
        <f>"20190303162147220"</f>
        <v>20190303162147220</v>
      </c>
      <c r="B10176" t="str">
        <f>"1551601307212447"</f>
        <v>1551601307212447</v>
      </c>
      <c r="C10176" t="s">
        <v>40</v>
      </c>
      <c r="D10176">
        <v>4.9536910000000001</v>
      </c>
      <c r="E10176">
        <v>0.56171079999999995</v>
      </c>
      <c r="F10176" t="s">
        <v>50</v>
      </c>
      <c r="G10176">
        <v>-176.18119999999999</v>
      </c>
      <c r="H10176" s="1">
        <v>-4.4549460000000003E-6</v>
      </c>
      <c r="I10176">
        <v>133.83029999999999</v>
      </c>
      <c r="J10176">
        <v>-186.13849999999999</v>
      </c>
      <c r="K10176">
        <v>1.1201540000000001</v>
      </c>
      <c r="L10176">
        <v>116.9361</v>
      </c>
      <c r="M10176">
        <v>0.10518470000000001</v>
      </c>
      <c r="N10176">
        <v>-1.492014E-2</v>
      </c>
      <c r="O10176">
        <v>0.99434080000000002</v>
      </c>
      <c r="P10176">
        <v>0.37071399999999999</v>
      </c>
      <c r="Q10176">
        <v>0.14957479999999901</v>
      </c>
      <c r="R10176">
        <v>0.91662339999999998</v>
      </c>
      <c r="S10176">
        <v>1.5636289999999999</v>
      </c>
      <c r="T10176">
        <v>-0.1756134</v>
      </c>
      <c r="U10176">
        <v>2.6716160000000002</v>
      </c>
      <c r="V10176">
        <v>0.2728836</v>
      </c>
      <c r="W10176">
        <v>0.16265170000000001</v>
      </c>
      <c r="X10176">
        <v>0.94819770000000003</v>
      </c>
      <c r="Y10176">
        <v>0.41085769999999999</v>
      </c>
      <c r="Z10176">
        <v>-4.3126200000000003E-2</v>
      </c>
      <c r="AA10176">
        <v>0.91067889999999996</v>
      </c>
      <c r="AB10176">
        <v>25</v>
      </c>
      <c r="AC10176">
        <v>9.9573</v>
      </c>
      <c r="AD10176">
        <v>-1.120158454946</v>
      </c>
      <c r="AE10176">
        <v>16.894199999999898</v>
      </c>
      <c r="AF10176">
        <v>8.0984187795496894</v>
      </c>
      <c r="AG10176">
        <v>-1.120158454946</v>
      </c>
      <c r="AH10176">
        <v>17.789888958791298</v>
      </c>
      <c r="AI10176">
        <v>93.279887719173203</v>
      </c>
      <c r="AJ10176">
        <v>65.523741133475696</v>
      </c>
      <c r="AK10176">
        <v>19.578541591734499</v>
      </c>
      <c r="AL10176">
        <v>80.639155567543895</v>
      </c>
      <c r="AM10176">
        <v>73.944611094792293</v>
      </c>
      <c r="AN10176">
        <v>0.99999995647356898</v>
      </c>
    </row>
    <row r="10177" spans="1:40" x14ac:dyDescent="0.25">
      <c r="A10177" t="str">
        <f>"20190303162147232"</f>
        <v>20190303162147232</v>
      </c>
      <c r="B10177" t="str">
        <f>"1551601307223182"</f>
        <v>1551601307223182</v>
      </c>
      <c r="C10177" t="s">
        <v>40</v>
      </c>
      <c r="D10177">
        <v>4.9773800000000001</v>
      </c>
      <c r="E10177">
        <v>0.56183930000000004</v>
      </c>
      <c r="F10177" t="s">
        <v>50</v>
      </c>
      <c r="G10177">
        <v>-176.3081</v>
      </c>
      <c r="H10177" s="1">
        <v>-4.4514560000000001E-6</v>
      </c>
      <c r="I10177">
        <v>133.59289999999999</v>
      </c>
      <c r="J10177">
        <v>-186.1224</v>
      </c>
      <c r="K10177">
        <v>1.1200840000000001</v>
      </c>
      <c r="L10177">
        <v>117.07340000000001</v>
      </c>
      <c r="M10177">
        <v>0.10657030000000001</v>
      </c>
      <c r="N10177">
        <v>-1.491989E-2</v>
      </c>
      <c r="O10177">
        <v>0.99419329999999995</v>
      </c>
      <c r="P10177">
        <v>0.37320829999999999</v>
      </c>
      <c r="Q10177">
        <v>0.1474085</v>
      </c>
      <c r="R10177">
        <v>0.91596200000000005</v>
      </c>
      <c r="S10177">
        <v>1.5733029999999999</v>
      </c>
      <c r="T10177">
        <v>-0.17927670000000001</v>
      </c>
      <c r="U10177">
        <v>2.665848</v>
      </c>
      <c r="V10177">
        <v>0.27412579999999998</v>
      </c>
      <c r="W10177">
        <v>0.16043729999999901</v>
      </c>
      <c r="X10177">
        <v>0.94821670000000002</v>
      </c>
      <c r="Y10177">
        <v>0.41286840000000002</v>
      </c>
      <c r="Z10177">
        <v>-4.4350800000000003E-2</v>
      </c>
      <c r="AA10177">
        <v>0.90971020000000002</v>
      </c>
      <c r="AB10177">
        <v>25</v>
      </c>
      <c r="AC10177">
        <v>9.8142999999999994</v>
      </c>
      <c r="AD10177">
        <v>-1.1200884514559999</v>
      </c>
      <c r="AE10177">
        <v>16.519499999999901</v>
      </c>
      <c r="AF10177">
        <v>7.9706284795960904</v>
      </c>
      <c r="AG10177">
        <v>-1.1200884514559999</v>
      </c>
      <c r="AH10177">
        <v>17.412265270616199</v>
      </c>
      <c r="AI10177">
        <v>93.347452069891801</v>
      </c>
      <c r="AJ10177">
        <v>65.403615360790297</v>
      </c>
      <c r="AK10177">
        <v>19.182609268635499</v>
      </c>
      <c r="AL10177">
        <v>80.767720381338407</v>
      </c>
      <c r="AM10177">
        <v>73.875621762199103</v>
      </c>
      <c r="AN10177">
        <v>0.99999999580790999</v>
      </c>
    </row>
    <row r="10178" spans="1:40" x14ac:dyDescent="0.25">
      <c r="A10178" t="str">
        <f>"20190303162147245"</f>
        <v>20190303162147245</v>
      </c>
      <c r="B10178" t="str">
        <f>"1551601307232943"</f>
        <v>1551601307232943</v>
      </c>
      <c r="C10178" t="s">
        <v>40</v>
      </c>
      <c r="D10178">
        <v>4.9837530000000001</v>
      </c>
      <c r="E10178">
        <v>0.56191999999999998</v>
      </c>
      <c r="F10178" t="s">
        <v>50</v>
      </c>
      <c r="G10178">
        <v>-176.5308</v>
      </c>
      <c r="H10178" s="1">
        <v>-4.4585270000000003E-6</v>
      </c>
      <c r="I10178">
        <v>133.21119999999999</v>
      </c>
      <c r="J10178">
        <v>-186.10640000000001</v>
      </c>
      <c r="K10178">
        <v>1.1200079999999999</v>
      </c>
      <c r="L10178">
        <v>117.20959999999999</v>
      </c>
      <c r="M10178">
        <v>0.1079768</v>
      </c>
      <c r="N10178">
        <v>-1.4919669999999999E-2</v>
      </c>
      <c r="O10178">
        <v>0.99404139999999996</v>
      </c>
      <c r="P10178">
        <v>0.3753647</v>
      </c>
      <c r="Q10178">
        <v>0.14584069999999999</v>
      </c>
      <c r="R10178">
        <v>0.91533149999999996</v>
      </c>
      <c r="S10178">
        <v>1.5813600000000001</v>
      </c>
      <c r="T10178">
        <v>-0.18466769999999999</v>
      </c>
      <c r="U10178">
        <v>2.6606290000000001</v>
      </c>
      <c r="V10178">
        <v>0.27501120000000001</v>
      </c>
      <c r="W10178">
        <v>0.15882170000000001</v>
      </c>
      <c r="X10178">
        <v>0.94823230000000003</v>
      </c>
      <c r="Y10178">
        <v>0.41435139999999998</v>
      </c>
      <c r="Z10178">
        <v>-4.6145409999999998E-2</v>
      </c>
      <c r="AA10178">
        <v>0.90894640000000004</v>
      </c>
      <c r="AB10178">
        <v>25</v>
      </c>
      <c r="AC10178">
        <v>9.5755999999999997</v>
      </c>
      <c r="AD10178">
        <v>-1.1200124585269999</v>
      </c>
      <c r="AE10178">
        <v>16.0015999999999</v>
      </c>
      <c r="AF10178">
        <v>7.7636029882792803</v>
      </c>
      <c r="AG10178">
        <v>-1.1200124585269999</v>
      </c>
      <c r="AH10178">
        <v>16.881186012329401</v>
      </c>
      <c r="AI10178">
        <v>93.449488915389594</v>
      </c>
      <c r="AJ10178">
        <v>65.302451454476596</v>
      </c>
      <c r="AK10178">
        <v>18.6145749467921</v>
      </c>
      <c r="AL10178">
        <v>80.861489840621999</v>
      </c>
      <c r="AM10178">
        <v>73.826512628662698</v>
      </c>
      <c r="AN10178">
        <v>0.99999999363980996</v>
      </c>
    </row>
    <row r="10179" spans="1:40" x14ac:dyDescent="0.25">
      <c r="A10179" t="str">
        <f>"20190303162147256"</f>
        <v>20190303162147256</v>
      </c>
      <c r="B10179" t="str">
        <f>"1551601307253438"</f>
        <v>1551601307253438</v>
      </c>
      <c r="C10179" t="s">
        <v>40</v>
      </c>
      <c r="D10179">
        <v>4.9741330000000001</v>
      </c>
      <c r="E10179">
        <v>0.56201829999999997</v>
      </c>
      <c r="F10179" t="s">
        <v>50</v>
      </c>
      <c r="G10179">
        <v>-176.68799999999999</v>
      </c>
      <c r="H10179" s="1">
        <v>-4.4729890000000001E-6</v>
      </c>
      <c r="I10179">
        <v>132.96680000000001</v>
      </c>
      <c r="J10179">
        <v>-186.09039999999999</v>
      </c>
      <c r="K10179">
        <v>1.1199330000000001</v>
      </c>
      <c r="L10179">
        <v>117.34139999999999</v>
      </c>
      <c r="M10179">
        <v>0.1094425</v>
      </c>
      <c r="N10179">
        <v>-1.4919999999999999E-2</v>
      </c>
      <c r="O10179">
        <v>0.99388120000000002</v>
      </c>
      <c r="P10179">
        <v>0.37770179999999998</v>
      </c>
      <c r="Q10179">
        <v>0.1444291</v>
      </c>
      <c r="R10179">
        <v>0.91459360000000001</v>
      </c>
      <c r="S10179">
        <v>1.587799</v>
      </c>
      <c r="T10179">
        <v>-0.18881709999999999</v>
      </c>
      <c r="U10179">
        <v>2.6564329999999998</v>
      </c>
      <c r="V10179">
        <v>0.27603490000000003</v>
      </c>
      <c r="W10179">
        <v>0.15735639999999901</v>
      </c>
      <c r="X10179">
        <v>0.9481792</v>
      </c>
      <c r="Y10179">
        <v>0.41522750000000003</v>
      </c>
      <c r="Z10179">
        <v>-4.753019E-2</v>
      </c>
      <c r="AA10179">
        <v>0.90847509999999998</v>
      </c>
      <c r="AB10179">
        <v>25</v>
      </c>
      <c r="AC10179">
        <v>9.4024000000000001</v>
      </c>
      <c r="AD10179">
        <v>-1.1199374729889999</v>
      </c>
      <c r="AE10179">
        <v>15.625400000000001</v>
      </c>
      <c r="AF10179">
        <v>7.60694529347853</v>
      </c>
      <c r="AG10179">
        <v>-1.1199374729889999</v>
      </c>
      <c r="AH10179">
        <v>16.498431283478201</v>
      </c>
      <c r="AI10179">
        <v>93.527509702793097</v>
      </c>
      <c r="AJ10179">
        <v>65.246951828172399</v>
      </c>
      <c r="AK10179">
        <v>18.202145792654001</v>
      </c>
      <c r="AL10179">
        <v>80.9465150581226</v>
      </c>
      <c r="AM10179">
        <v>73.768611496619997</v>
      </c>
      <c r="AN10179">
        <v>1.0000000489758001</v>
      </c>
    </row>
    <row r="10180" spans="1:40" x14ac:dyDescent="0.25">
      <c r="A10180" t="str">
        <f>"20190303162147273"</f>
        <v>20190303162147273</v>
      </c>
      <c r="B10180" t="str">
        <f>"1551601307263199"</f>
        <v>1551601307263199</v>
      </c>
      <c r="C10180" t="s">
        <v>40</v>
      </c>
      <c r="D10180">
        <v>4.956302</v>
      </c>
      <c r="E10180">
        <v>0.5621427</v>
      </c>
      <c r="F10180" t="s">
        <v>50</v>
      </c>
      <c r="G10180">
        <v>-176.7987</v>
      </c>
      <c r="H10180" s="1">
        <v>-4.4805340000000002E-6</v>
      </c>
      <c r="I10180">
        <v>132.7878</v>
      </c>
      <c r="J10180">
        <v>-186.06819999999999</v>
      </c>
      <c r="K10180">
        <v>1.1198269999999999</v>
      </c>
      <c r="L10180">
        <v>117.5218</v>
      </c>
      <c r="M10180">
        <v>0.11152819999999999</v>
      </c>
      <c r="N10180">
        <v>-1.4920900000000001E-2</v>
      </c>
      <c r="O10180">
        <v>0.99364920000000001</v>
      </c>
      <c r="P10180">
        <v>0.38047189999999997</v>
      </c>
      <c r="Q10180">
        <v>0.14442430000000001</v>
      </c>
      <c r="R10180">
        <v>0.91344550000000002</v>
      </c>
      <c r="S10180">
        <v>1.595154</v>
      </c>
      <c r="T10180">
        <v>-0.1922644</v>
      </c>
      <c r="U10180">
        <v>2.6517330000000001</v>
      </c>
      <c r="V10180">
        <v>0.27696079999999901</v>
      </c>
      <c r="W10180">
        <v>0.15727360000000001</v>
      </c>
      <c r="X10180">
        <v>0.94792290000000001</v>
      </c>
      <c r="Y10180">
        <v>0.41584769999999999</v>
      </c>
      <c r="Z10180">
        <v>-4.8689789999999997E-2</v>
      </c>
      <c r="AA10180">
        <v>0.90812990000000005</v>
      </c>
      <c r="AB10180">
        <v>25</v>
      </c>
      <c r="AC10180">
        <v>9.2694999999999901</v>
      </c>
      <c r="AD10180">
        <v>-1.1198314805339999</v>
      </c>
      <c r="AE10180">
        <v>15.266</v>
      </c>
      <c r="AF10180">
        <v>7.47947306707277</v>
      </c>
      <c r="AG10180">
        <v>-1.1198314805339999</v>
      </c>
      <c r="AH10180">
        <v>16.141206179234398</v>
      </c>
      <c r="AI10180">
        <v>93.601876464576193</v>
      </c>
      <c r="AJ10180">
        <v>65.138051143561697</v>
      </c>
      <c r="AK10180">
        <v>17.825124875478899</v>
      </c>
      <c r="AL10180">
        <v>80.951318947901299</v>
      </c>
      <c r="AM10180">
        <v>73.712877582285799</v>
      </c>
      <c r="AN10180">
        <v>1.000000047169</v>
      </c>
    </row>
    <row r="10181" spans="1:40" x14ac:dyDescent="0.25">
      <c r="A10181" t="str">
        <f>"20190303162147289"</f>
        <v>20190303162147289</v>
      </c>
      <c r="B10181" t="str">
        <f>"1551601307282718"</f>
        <v>1551601307282718</v>
      </c>
      <c r="C10181" t="s">
        <v>40</v>
      </c>
      <c r="D10181">
        <v>5.1078190000000001</v>
      </c>
      <c r="E10181">
        <v>0.56202640000000004</v>
      </c>
      <c r="F10181" t="s">
        <v>50</v>
      </c>
      <c r="G10181">
        <v>-176.66220000000001</v>
      </c>
      <c r="H10181" s="1">
        <v>-4.4831310000000001E-6</v>
      </c>
      <c r="I10181">
        <v>133.03980000000001</v>
      </c>
      <c r="J10181">
        <v>-186.04580000000001</v>
      </c>
      <c r="K10181">
        <v>1.119712</v>
      </c>
      <c r="L10181">
        <v>117.7007</v>
      </c>
      <c r="M10181">
        <v>0.11372309999999999</v>
      </c>
      <c r="N10181">
        <v>-1.4922660000000001E-2</v>
      </c>
      <c r="O10181">
        <v>0.99340039999999996</v>
      </c>
      <c r="P10181">
        <v>0.38249939999999999</v>
      </c>
      <c r="Q10181">
        <v>0.14467089999999999</v>
      </c>
      <c r="R10181">
        <v>0.91255929999999996</v>
      </c>
      <c r="S10181">
        <v>1.604034</v>
      </c>
      <c r="T10181">
        <v>-0.19096830000000001</v>
      </c>
      <c r="U10181">
        <v>2.6463320000000001</v>
      </c>
      <c r="V10181">
        <v>0.2770222</v>
      </c>
      <c r="W10181">
        <v>0.15744169999999999</v>
      </c>
      <c r="X10181">
        <v>0.94787699999999997</v>
      </c>
      <c r="Y10181">
        <v>0.41689999999999999</v>
      </c>
      <c r="Z10181">
        <v>-4.8294690000000001E-2</v>
      </c>
      <c r="AA10181">
        <v>0.90766849999999999</v>
      </c>
      <c r="AB10181">
        <v>25</v>
      </c>
      <c r="AC10181">
        <v>9.3835999999999995</v>
      </c>
      <c r="AD10181">
        <v>-1.119716483131</v>
      </c>
      <c r="AE10181">
        <v>15.3391</v>
      </c>
      <c r="AF10181">
        <v>7.5488349226890801</v>
      </c>
      <c r="AG10181">
        <v>-1.119716483131</v>
      </c>
      <c r="AH10181">
        <v>16.243829863188701</v>
      </c>
      <c r="AI10181">
        <v>93.576984269714401</v>
      </c>
      <c r="AJ10181">
        <v>65.074757726059204</v>
      </c>
      <c r="AK10181">
        <v>17.947163628741599</v>
      </c>
      <c r="AL10181">
        <v>80.941565570512296</v>
      </c>
      <c r="AM10181">
        <v>73.708711290802299</v>
      </c>
      <c r="AN10181">
        <v>0.99999999766036496</v>
      </c>
    </row>
    <row r="10182" spans="1:40" x14ac:dyDescent="0.25">
      <c r="A10182" t="str">
        <f>"20190303162147304"</f>
        <v>20190303162147304</v>
      </c>
      <c r="B10182" t="str">
        <f>"1551601307292479"</f>
        <v>1551601307292479</v>
      </c>
      <c r="C10182" t="s">
        <v>40</v>
      </c>
      <c r="D10182">
        <v>5.13171</v>
      </c>
      <c r="E10182">
        <v>0.56202640000000004</v>
      </c>
      <c r="F10182" t="s">
        <v>50</v>
      </c>
      <c r="G10182">
        <v>-176.60749999999999</v>
      </c>
      <c r="H10182" s="1">
        <v>-4.5070460000000002E-6</v>
      </c>
      <c r="I10182">
        <v>133.2012</v>
      </c>
      <c r="J10182">
        <v>-186.02549999999999</v>
      </c>
      <c r="K10182">
        <v>1.11959599999999</v>
      </c>
      <c r="L10182">
        <v>117.8588</v>
      </c>
      <c r="M10182">
        <v>0.1157817</v>
      </c>
      <c r="N10182">
        <v>-1.49251E-2</v>
      </c>
      <c r="O10182">
        <v>0.99316260000000001</v>
      </c>
      <c r="P10182">
        <v>0.38401960000000002</v>
      </c>
      <c r="Q10182">
        <v>0.1449281</v>
      </c>
      <c r="R10182">
        <v>0.91187980000000002</v>
      </c>
      <c r="S10182">
        <v>1.609421</v>
      </c>
      <c r="T10182">
        <v>-0.1909344</v>
      </c>
      <c r="U10182">
        <v>2.6431580000000001</v>
      </c>
      <c r="V10182">
        <v>0.27668730000000002</v>
      </c>
      <c r="W10182">
        <v>0.1576253</v>
      </c>
      <c r="X10182">
        <v>0.94794429999999996</v>
      </c>
      <c r="Y10182">
        <v>0.4168502</v>
      </c>
      <c r="Z10182">
        <v>-4.8302619999999998E-2</v>
      </c>
      <c r="AA10182">
        <v>0.90769089999999997</v>
      </c>
      <c r="AB10182">
        <v>25</v>
      </c>
      <c r="AC10182">
        <v>9.4179999999999993</v>
      </c>
      <c r="AD10182">
        <v>-1.11960050704599</v>
      </c>
      <c r="AE10182">
        <v>15.3423999999999</v>
      </c>
      <c r="AF10182">
        <v>7.5488823637394402</v>
      </c>
      <c r="AG10182">
        <v>-1.11960050704599</v>
      </c>
      <c r="AH10182">
        <v>16.266831175077201</v>
      </c>
      <c r="AI10182">
        <v>93.572460873729398</v>
      </c>
      <c r="AJ10182">
        <v>65.105590992373394</v>
      </c>
      <c r="AK10182">
        <v>17.967997292837499</v>
      </c>
      <c r="AL10182">
        <v>80.930913044009102</v>
      </c>
      <c r="AM10182">
        <v>73.728457736235995</v>
      </c>
      <c r="AN10182">
        <v>0.99999999654193406</v>
      </c>
    </row>
    <row r="10183" spans="1:40" x14ac:dyDescent="0.25">
      <c r="A10183" t="str">
        <f>"20190303162147320"</f>
        <v>20190303162147320</v>
      </c>
      <c r="B10183" t="str">
        <f>"1551601307312506"</f>
        <v>1551601307312506</v>
      </c>
      <c r="C10183" t="s">
        <v>40</v>
      </c>
      <c r="D10183">
        <v>5.0369409999999997</v>
      </c>
      <c r="E10183">
        <v>0.53830230000000001</v>
      </c>
      <c r="F10183" t="s">
        <v>50</v>
      </c>
      <c r="G10183">
        <v>-176.51820000000001</v>
      </c>
      <c r="H10183" s="1">
        <v>-4.5272130000000002E-6</v>
      </c>
      <c r="I10183">
        <v>133.41489999999999</v>
      </c>
      <c r="J10183">
        <v>-186.0027</v>
      </c>
      <c r="K10183">
        <v>1.1194519999999999</v>
      </c>
      <c r="L10183">
        <v>118.0307</v>
      </c>
      <c r="M10183">
        <v>0.118201</v>
      </c>
      <c r="N10183">
        <v>-1.492972E-2</v>
      </c>
      <c r="O10183">
        <v>0.99287749999999997</v>
      </c>
      <c r="P10183">
        <v>0.38538020000000001</v>
      </c>
      <c r="Q10183">
        <v>0.1436723</v>
      </c>
      <c r="R10183">
        <v>0.91150439999999999</v>
      </c>
      <c r="S10183">
        <v>1.6137699999999999</v>
      </c>
      <c r="T10183">
        <v>-0.19004119999999999</v>
      </c>
      <c r="U10183">
        <v>2.6405029999999998</v>
      </c>
      <c r="V10183">
        <v>0.27581529999999999</v>
      </c>
      <c r="W10183">
        <v>0.15628929999999999</v>
      </c>
      <c r="X10183">
        <v>0.94841949999999997</v>
      </c>
      <c r="Y10183">
        <v>0.41613889999999998</v>
      </c>
      <c r="Z10183">
        <v>-4.8028969999999997E-2</v>
      </c>
      <c r="AA10183">
        <v>0.90803179999999994</v>
      </c>
      <c r="AB10183">
        <v>25</v>
      </c>
      <c r="AC10183">
        <v>9.4844999999999899</v>
      </c>
      <c r="AD10183">
        <v>-1.1194565272129999</v>
      </c>
      <c r="AE10183">
        <v>15.3841999999999</v>
      </c>
      <c r="AF10183">
        <v>7.57032027408777</v>
      </c>
      <c r="AG10183">
        <v>-1.1194565272129999</v>
      </c>
      <c r="AH10183">
        <v>16.334857999869001</v>
      </c>
      <c r="AI10183">
        <v>93.558005221665994</v>
      </c>
      <c r="AJ10183">
        <v>65.134836517600405</v>
      </c>
      <c r="AK10183">
        <v>18.038584141901701</v>
      </c>
      <c r="AL10183">
        <v>81.008420800453905</v>
      </c>
      <c r="AM10183">
        <v>73.784738758350301</v>
      </c>
      <c r="AN10183">
        <v>0.99999998649441402</v>
      </c>
    </row>
    <row r="10184" spans="1:40" x14ac:dyDescent="0.25">
      <c r="A10184" t="str">
        <f>"20190303162147341"</f>
        <v>20190303162147341</v>
      </c>
      <c r="B10184" t="str">
        <f>"1551601307333006"</f>
        <v>1551601307333006</v>
      </c>
      <c r="C10184" t="s">
        <v>40</v>
      </c>
      <c r="D10184">
        <v>5.007733</v>
      </c>
      <c r="E10184">
        <v>0.53689019999999898</v>
      </c>
      <c r="F10184" t="s">
        <v>50</v>
      </c>
      <c r="G10184">
        <v>-177.0283</v>
      </c>
      <c r="H10184" s="1">
        <v>-5.4317519999999998E-6</v>
      </c>
      <c r="I10184">
        <v>134.88149999999999</v>
      </c>
      <c r="J10184">
        <v>-185.971</v>
      </c>
      <c r="K10184">
        <v>1.1192260000000001</v>
      </c>
      <c r="L10184">
        <v>118.2637</v>
      </c>
      <c r="M10184">
        <v>0.1217309</v>
      </c>
      <c r="N10184">
        <v>-1.4938160000000001E-2</v>
      </c>
      <c r="O10184">
        <v>0.99245070000000002</v>
      </c>
      <c r="P10184">
        <v>0.38819500000000001</v>
      </c>
      <c r="Q10184">
        <v>0.1419057</v>
      </c>
      <c r="R10184">
        <v>0.91058640000000002</v>
      </c>
      <c r="S10184">
        <v>1.443039</v>
      </c>
      <c r="T10184">
        <v>-0.18000289999999999</v>
      </c>
      <c r="U10184">
        <v>2.7095180000000001</v>
      </c>
      <c r="V10184">
        <v>0.2754122</v>
      </c>
      <c r="W10184">
        <v>0.15439050000000001</v>
      </c>
      <c r="X10184">
        <v>0.94884760000000001</v>
      </c>
      <c r="Y10184">
        <v>0.35846109999999998</v>
      </c>
      <c r="Z10184">
        <v>-4.4952899999999997E-2</v>
      </c>
      <c r="AA10184">
        <v>0.93246169999999995</v>
      </c>
      <c r="AB10184">
        <v>25</v>
      </c>
      <c r="AC10184">
        <v>8.9426999999999701</v>
      </c>
      <c r="AD10184">
        <v>-1.119231431752</v>
      </c>
      <c r="AE10184">
        <v>16.6177999999999</v>
      </c>
      <c r="AF10184">
        <v>6.8290325302889796</v>
      </c>
      <c r="AG10184">
        <v>-1.119231431752</v>
      </c>
      <c r="AH10184">
        <v>17.521280608721302</v>
      </c>
      <c r="AI10184">
        <v>93.406084130809404</v>
      </c>
      <c r="AJ10184">
        <v>68.706328374757305</v>
      </c>
      <c r="AK10184">
        <v>18.838355513874301</v>
      </c>
      <c r="AL10184">
        <v>81.118551360612102</v>
      </c>
      <c r="AM10184">
        <v>73.814117629081693</v>
      </c>
      <c r="AN10184">
        <v>1.00000003721242</v>
      </c>
    </row>
    <row r="10185" spans="1:40" x14ac:dyDescent="0.25">
      <c r="A10185" t="str">
        <f>"20190303162147354"</f>
        <v>20190303162147354</v>
      </c>
      <c r="B10185" t="str">
        <f>"1551601307342762"</f>
        <v>1551601307342762</v>
      </c>
      <c r="C10185" t="s">
        <v>40</v>
      </c>
      <c r="D10185">
        <v>5.0761310000000002</v>
      </c>
      <c r="E10185">
        <v>0.53616030000000003</v>
      </c>
      <c r="F10185" t="s">
        <v>50</v>
      </c>
      <c r="G10185">
        <v>-177.22099999999901</v>
      </c>
      <c r="H10185" s="1">
        <v>-5.4982140000000001E-6</v>
      </c>
      <c r="I10185">
        <v>134.71029999999999</v>
      </c>
      <c r="J10185">
        <v>-185.95009999999999</v>
      </c>
      <c r="K10185">
        <v>1.1190690000000001</v>
      </c>
      <c r="L10185">
        <v>118.4127</v>
      </c>
      <c r="M10185">
        <v>0.12418360000000001</v>
      </c>
      <c r="N10185">
        <v>-1.4945770000000001E-2</v>
      </c>
      <c r="O10185">
        <v>0.99214669999999905</v>
      </c>
      <c r="P10185">
        <v>0.39029819999999998</v>
      </c>
      <c r="Q10185">
        <v>0.14101369999999999</v>
      </c>
      <c r="R10185">
        <v>0.90982560000000001</v>
      </c>
      <c r="S10185">
        <v>1.441208</v>
      </c>
      <c r="T10185">
        <v>-0.1843475</v>
      </c>
      <c r="U10185">
        <v>2.7088930000000002</v>
      </c>
      <c r="V10185">
        <v>0.27529520000000002</v>
      </c>
      <c r="W10185">
        <v>0.15340390000000001</v>
      </c>
      <c r="X10185">
        <v>0.94904149999999998</v>
      </c>
      <c r="Y10185">
        <v>0.35571740000000002</v>
      </c>
      <c r="Z10185">
        <v>-4.6410079999999999E-2</v>
      </c>
      <c r="AA10185">
        <v>0.93344059999999995</v>
      </c>
      <c r="AB10185">
        <v>25</v>
      </c>
      <c r="AC10185">
        <v>8.7291000000000096</v>
      </c>
      <c r="AD10185">
        <v>-1.119074498214</v>
      </c>
      <c r="AE10185">
        <v>16.2975999999999</v>
      </c>
      <c r="AF10185">
        <v>6.6131649521471196</v>
      </c>
      <c r="AG10185">
        <v>-1.119074498214</v>
      </c>
      <c r="AH10185">
        <v>17.192557820410901</v>
      </c>
      <c r="AI10185">
        <v>93.476520154095894</v>
      </c>
      <c r="AJ10185">
        <v>68.9606231143201</v>
      </c>
      <c r="AK10185">
        <v>18.454547483615901</v>
      </c>
      <c r="AL10185">
        <v>81.175760468566693</v>
      </c>
      <c r="AM10185">
        <v>73.8237665950912</v>
      </c>
      <c r="AN10185">
        <v>0.99999998620024899</v>
      </c>
    </row>
    <row r="10186" spans="1:40" x14ac:dyDescent="0.25">
      <c r="A10186" t="str">
        <f>"20190303162147367"</f>
        <v>20190303162147367</v>
      </c>
      <c r="B10186" t="str">
        <f>"1551601307363258"</f>
        <v>1551601307363258</v>
      </c>
      <c r="C10186" t="s">
        <v>40</v>
      </c>
      <c r="D10186">
        <v>5.0650539999999999</v>
      </c>
      <c r="E10186">
        <v>0.53549460000000004</v>
      </c>
      <c r="F10186" t="s">
        <v>50</v>
      </c>
      <c r="G10186">
        <v>-177.69569999999999</v>
      </c>
      <c r="H10186" s="1">
        <v>-5.5217890000000001E-6</v>
      </c>
      <c r="I10186">
        <v>133.91919999999999</v>
      </c>
      <c r="J10186">
        <v>-185.92930000000001</v>
      </c>
      <c r="K10186">
        <v>1.118911</v>
      </c>
      <c r="L10186">
        <v>118.55800000000001</v>
      </c>
      <c r="M10186">
        <v>0.12668270000000001</v>
      </c>
      <c r="N10186">
        <v>-1.49541E-2</v>
      </c>
      <c r="O10186">
        <v>0.99183060000000001</v>
      </c>
      <c r="P10186">
        <v>0.39260810000000002</v>
      </c>
      <c r="Q10186">
        <v>0.1404464</v>
      </c>
      <c r="R10186">
        <v>0.90891900000000003</v>
      </c>
      <c r="S10186">
        <v>1.442062</v>
      </c>
      <c r="T10186">
        <v>-0.19550380000000001</v>
      </c>
      <c r="U10186">
        <v>2.709015</v>
      </c>
      <c r="V10186">
        <v>0.27535969999999999</v>
      </c>
      <c r="W10186">
        <v>0.15273900000000001</v>
      </c>
      <c r="X10186">
        <v>0.94913000000000003</v>
      </c>
      <c r="Y10186">
        <v>0.35348350000000001</v>
      </c>
      <c r="Z10186">
        <v>-5.0072760000000001E-2</v>
      </c>
      <c r="AA10186">
        <v>0.93409960000000003</v>
      </c>
      <c r="AB10186">
        <v>25</v>
      </c>
      <c r="AC10186">
        <v>8.2336000000000205</v>
      </c>
      <c r="AD10186">
        <v>-1.118916521789</v>
      </c>
      <c r="AE10186">
        <v>15.361199999999901</v>
      </c>
      <c r="AF10186">
        <v>6.1954981275598398</v>
      </c>
      <c r="AG10186">
        <v>-1.118916521789</v>
      </c>
      <c r="AH10186">
        <v>16.213756035913001</v>
      </c>
      <c r="AI10186">
        <v>93.688432196984095</v>
      </c>
      <c r="AJ10186">
        <v>69.087458926923205</v>
      </c>
      <c r="AK10186">
        <v>17.393161185461199</v>
      </c>
      <c r="AL10186">
        <v>81.214310526958002</v>
      </c>
      <c r="AM10186">
        <v>73.821604613848095</v>
      </c>
      <c r="AN10186">
        <v>0.99999996170254402</v>
      </c>
    </row>
    <row r="10187" spans="1:40" x14ac:dyDescent="0.25">
      <c r="A10187" t="str">
        <f>"20190303162147379"</f>
        <v>20190303162147379</v>
      </c>
      <c r="B10187" t="str">
        <f>"1551601307373018"</f>
        <v>1551601307373018</v>
      </c>
      <c r="C10187" t="s">
        <v>40</v>
      </c>
      <c r="D10187">
        <v>5.0332350000000003</v>
      </c>
      <c r="E10187">
        <v>0.53547999999999996</v>
      </c>
      <c r="F10187" t="s">
        <v>50</v>
      </c>
      <c r="G10187">
        <v>-178.08580000000001</v>
      </c>
      <c r="H10187" s="1">
        <v>-5.54316299999999E-6</v>
      </c>
      <c r="I10187">
        <v>133.27430000000001</v>
      </c>
      <c r="J10187">
        <v>-185.9091</v>
      </c>
      <c r="K10187">
        <v>1.1187579999999999</v>
      </c>
      <c r="L10187">
        <v>118.6944</v>
      </c>
      <c r="M10187">
        <v>0.12919259999999999</v>
      </c>
      <c r="N10187">
        <v>-1.4963860000000001E-2</v>
      </c>
      <c r="O10187">
        <v>0.99150660000000002</v>
      </c>
      <c r="P10187">
        <v>0.39494059999999998</v>
      </c>
      <c r="Q10187">
        <v>0.1403818</v>
      </c>
      <c r="R10187">
        <v>0.90791790000000006</v>
      </c>
      <c r="S10187">
        <v>1.4437409999999999</v>
      </c>
      <c r="T10187">
        <v>-0.20595749999999999</v>
      </c>
      <c r="U10187">
        <v>2.7088169999999998</v>
      </c>
      <c r="V10187">
        <v>0.27545029999999998</v>
      </c>
      <c r="W10187">
        <v>0.15257970000000001</v>
      </c>
      <c r="X10187">
        <v>0.94912940000000001</v>
      </c>
      <c r="Y10187">
        <v>0.35150409999999999</v>
      </c>
      <c r="Z10187">
        <v>-5.3497929999999999E-2</v>
      </c>
      <c r="AA10187">
        <v>0.93465659999999895</v>
      </c>
      <c r="AB10187">
        <v>25</v>
      </c>
      <c r="AC10187">
        <v>7.8232999999999802</v>
      </c>
      <c r="AD10187">
        <v>-1.1187635431630001</v>
      </c>
      <c r="AE10187">
        <v>14.5799</v>
      </c>
      <c r="AF10187">
        <v>5.8471645637837897</v>
      </c>
      <c r="AG10187">
        <v>-1.1187635431630001</v>
      </c>
      <c r="AH10187">
        <v>15.3981158584141</v>
      </c>
      <c r="AI10187">
        <v>93.885764208460699</v>
      </c>
      <c r="AJ10187">
        <v>69.206604406787903</v>
      </c>
      <c r="AK10187">
        <v>16.508874501026</v>
      </c>
      <c r="AL10187">
        <v>81.223546557554499</v>
      </c>
      <c r="AM10187">
        <v>73.816550428837601</v>
      </c>
      <c r="AN10187">
        <v>1.0000000252832599</v>
      </c>
    </row>
    <row r="10188" spans="1:40" x14ac:dyDescent="0.25">
      <c r="A10188" t="str">
        <f>"20190303162147391"</f>
        <v>20190303162147391</v>
      </c>
      <c r="B10188" t="str">
        <f>"1551601307382779"</f>
        <v>1551601307382779</v>
      </c>
      <c r="C10188" t="s">
        <v>40</v>
      </c>
      <c r="D10188">
        <v>5.064343</v>
      </c>
      <c r="E10188">
        <v>0.53556949999999903</v>
      </c>
      <c r="F10188" t="s">
        <v>50</v>
      </c>
      <c r="G10188">
        <v>-178.15719999999999</v>
      </c>
      <c r="H10188" s="1">
        <v>-5.5497490000000003E-6</v>
      </c>
      <c r="I10188">
        <v>133.16319999999999</v>
      </c>
      <c r="J10188">
        <v>-185.89060000000001</v>
      </c>
      <c r="K10188">
        <v>1.1186229999999999</v>
      </c>
      <c r="L10188">
        <v>118.8169</v>
      </c>
      <c r="M10188">
        <v>0.1315421</v>
      </c>
      <c r="N10188">
        <v>-1.497327E-2</v>
      </c>
      <c r="O10188">
        <v>0.99119749999999995</v>
      </c>
      <c r="P10188">
        <v>0.39758070000000001</v>
      </c>
      <c r="Q10188">
        <v>0.1401105</v>
      </c>
      <c r="R10188">
        <v>0.90680680000000002</v>
      </c>
      <c r="S10188">
        <v>1.4497530000000001</v>
      </c>
      <c r="T10188">
        <v>-0.20923130000000001</v>
      </c>
      <c r="U10188">
        <v>2.7059630000000001</v>
      </c>
      <c r="V10188">
        <v>0.2760068</v>
      </c>
      <c r="W10188">
        <v>0.15222060000000001</v>
      </c>
      <c r="X10188">
        <v>0.94902529999999996</v>
      </c>
      <c r="Y10188">
        <v>0.35127979999999998</v>
      </c>
      <c r="Z10188">
        <v>-5.4575760000000001E-2</v>
      </c>
      <c r="AA10188">
        <v>0.93467860000000003</v>
      </c>
      <c r="AB10188">
        <v>25</v>
      </c>
      <c r="AC10188">
        <v>7.7334000000000103</v>
      </c>
      <c r="AD10188">
        <v>-1.1186285497489901</v>
      </c>
      <c r="AE10188">
        <v>14.3462999999999</v>
      </c>
      <c r="AF10188">
        <v>5.7517360221211797</v>
      </c>
      <c r="AG10188">
        <v>-1.1186285497489901</v>
      </c>
      <c r="AH10188">
        <v>15.167539244210699</v>
      </c>
      <c r="AI10188">
        <v>93.944852803407301</v>
      </c>
      <c r="AJ10188">
        <v>69.232595096165298</v>
      </c>
      <c r="AK10188">
        <v>16.260013647754199</v>
      </c>
      <c r="AL10188">
        <v>81.244363918741499</v>
      </c>
      <c r="AM10188">
        <v>73.783885753749303</v>
      </c>
      <c r="AN10188">
        <v>0.99999994237534295</v>
      </c>
    </row>
    <row r="10189" spans="1:40" x14ac:dyDescent="0.25">
      <c r="A10189" t="str">
        <f>"20190303162147403"</f>
        <v>20190303162147403</v>
      </c>
      <c r="B10189" t="str">
        <f>"1551601307392538"</f>
        <v>1551601307392538</v>
      </c>
      <c r="C10189" t="s">
        <v>40</v>
      </c>
      <c r="D10189">
        <v>5.0997110000000001</v>
      </c>
      <c r="E10189">
        <v>0.5355316</v>
      </c>
      <c r="F10189" t="s">
        <v>50</v>
      </c>
      <c r="G10189">
        <v>-178.1516</v>
      </c>
      <c r="H10189" s="1">
        <v>-5.5461939999999998E-6</v>
      </c>
      <c r="I10189">
        <v>133.16390000000001</v>
      </c>
      <c r="J10189">
        <v>-185.86949999999999</v>
      </c>
      <c r="K10189">
        <v>1.118474</v>
      </c>
      <c r="L10189">
        <v>118.95399999999999</v>
      </c>
      <c r="M10189">
        <v>0.13426060000000001</v>
      </c>
      <c r="N10189">
        <v>-1.498421E-2</v>
      </c>
      <c r="O10189">
        <v>0.99083270000000001</v>
      </c>
      <c r="P10189">
        <v>0.40059129999999998</v>
      </c>
      <c r="Q10189">
        <v>0.14034659999999999</v>
      </c>
      <c r="R10189">
        <v>0.90544429999999998</v>
      </c>
      <c r="S10189">
        <v>1.4574279999999999</v>
      </c>
      <c r="T10189">
        <v>-0.2106633</v>
      </c>
      <c r="U10189">
        <v>2.7018740000000001</v>
      </c>
      <c r="V10189">
        <v>0.27662039999999999</v>
      </c>
      <c r="W10189">
        <v>0.15235870000000001</v>
      </c>
      <c r="X10189">
        <v>0.94882449999999996</v>
      </c>
      <c r="Y10189">
        <v>0.35134609999999999</v>
      </c>
      <c r="Z10189">
        <v>-5.5057330000000002E-2</v>
      </c>
      <c r="AA10189">
        <v>0.93462540000000005</v>
      </c>
      <c r="AB10189">
        <v>25</v>
      </c>
      <c r="AC10189">
        <v>7.7178999999999798</v>
      </c>
      <c r="AD10189">
        <v>-1.118479546194</v>
      </c>
      <c r="AE10189">
        <v>14.209899999999999</v>
      </c>
      <c r="AF10189">
        <v>5.7126326361835797</v>
      </c>
      <c r="AG10189">
        <v>-1.118479546194</v>
      </c>
      <c r="AH10189">
        <v>15.0455613002772</v>
      </c>
      <c r="AI10189">
        <v>93.975579547840397</v>
      </c>
      <c r="AJ10189">
        <v>69.208786142456304</v>
      </c>
      <c r="AK10189">
        <v>16.132392351156199</v>
      </c>
      <c r="AL10189">
        <v>81.236358281610407</v>
      </c>
      <c r="AM10189">
        <v>73.746478140648406</v>
      </c>
      <c r="AN10189">
        <v>0.99999997548104902</v>
      </c>
    </row>
    <row r="10190" spans="1:40" x14ac:dyDescent="0.25">
      <c r="A10190" t="str">
        <f>"20190303162147419"</f>
        <v>20190303162147419</v>
      </c>
      <c r="B10190" t="str">
        <f>"1551601307412567"</f>
        <v>1551601307412567</v>
      </c>
      <c r="C10190" t="s">
        <v>40</v>
      </c>
      <c r="D10190">
        <v>4.9927859999999997</v>
      </c>
      <c r="E10190">
        <v>0.53556009999999998</v>
      </c>
      <c r="F10190" t="s">
        <v>50</v>
      </c>
      <c r="G10190">
        <v>-178.1591</v>
      </c>
      <c r="H10190" s="1">
        <v>-5.5454180000000004E-6</v>
      </c>
      <c r="I10190">
        <v>133.14840000000001</v>
      </c>
      <c r="J10190">
        <v>-185.8434</v>
      </c>
      <c r="K10190">
        <v>1.1183019999999999</v>
      </c>
      <c r="L10190">
        <v>119.1176</v>
      </c>
      <c r="M10190">
        <v>0.13772719999999999</v>
      </c>
      <c r="N10190">
        <v>-1.499848E-2</v>
      </c>
      <c r="O10190">
        <v>0.99035660000000003</v>
      </c>
      <c r="P10190">
        <v>0.40609020000000001</v>
      </c>
      <c r="Q10190">
        <v>0.1400739</v>
      </c>
      <c r="R10190">
        <v>0.90303389999999994</v>
      </c>
      <c r="S10190">
        <v>1.4654849999999999</v>
      </c>
      <c r="T10190">
        <v>-0.2125852</v>
      </c>
      <c r="U10190">
        <v>2.6978759999999999</v>
      </c>
      <c r="V10190">
        <v>0.27913139999999997</v>
      </c>
      <c r="W10190">
        <v>0.15195059999999999</v>
      </c>
      <c r="X10190">
        <v>0.94815430000000001</v>
      </c>
      <c r="Y10190">
        <v>0.35078870000000001</v>
      </c>
      <c r="Z10190">
        <v>-5.5691749999999998E-2</v>
      </c>
      <c r="AA10190">
        <v>0.93479719999999999</v>
      </c>
      <c r="AB10190">
        <v>25</v>
      </c>
      <c r="AC10190">
        <v>7.6843000000000004</v>
      </c>
      <c r="AD10190">
        <v>-1.118307545418</v>
      </c>
      <c r="AE10190">
        <v>14.030799999999999</v>
      </c>
      <c r="AF10190">
        <v>5.6507985409231098</v>
      </c>
      <c r="AG10190">
        <v>-1.118307545418</v>
      </c>
      <c r="AH10190">
        <v>14.8827848031331</v>
      </c>
      <c r="AI10190">
        <v>94.018306315755197</v>
      </c>
      <c r="AJ10190">
        <v>69.208885960410001</v>
      </c>
      <c r="AK10190">
        <v>15.9586784983158</v>
      </c>
      <c r="AL10190">
        <v>81.260015920827399</v>
      </c>
      <c r="AM10190">
        <v>73.595861809248902</v>
      </c>
      <c r="AN10190">
        <v>0.99999994995740304</v>
      </c>
    </row>
    <row r="10191" spans="1:40" x14ac:dyDescent="0.25">
      <c r="A10191" t="str">
        <f>"20190303162147430"</f>
        <v>20190303162147430</v>
      </c>
      <c r="B10191" t="str">
        <f>"1551601307423302"</f>
        <v>1551601307423302</v>
      </c>
      <c r="C10191" t="s">
        <v>40</v>
      </c>
      <c r="D10191">
        <v>5.0186289999999998</v>
      </c>
      <c r="E10191">
        <v>0.53587629999999997</v>
      </c>
      <c r="F10191" t="s">
        <v>50</v>
      </c>
      <c r="G10191">
        <v>-178.06440000000001</v>
      </c>
      <c r="H10191" s="1">
        <v>-5.5151820000000001E-6</v>
      </c>
      <c r="I10191">
        <v>133.2389</v>
      </c>
      <c r="J10191">
        <v>-185.82320000000001</v>
      </c>
      <c r="K10191">
        <v>1.118174</v>
      </c>
      <c r="L10191">
        <v>119.2419</v>
      </c>
      <c r="M10191">
        <v>0.1404608</v>
      </c>
      <c r="N10191">
        <v>-1.500955E-2</v>
      </c>
      <c r="O10191">
        <v>0.98997250000000003</v>
      </c>
      <c r="P10191">
        <v>0.40980280000000002</v>
      </c>
      <c r="Q10191">
        <v>0.139713</v>
      </c>
      <c r="R10191">
        <v>0.90141110000000002</v>
      </c>
      <c r="S10191">
        <v>1.4813080000000001</v>
      </c>
      <c r="T10191">
        <v>-0.2129537</v>
      </c>
      <c r="U10191">
        <v>2.689041</v>
      </c>
      <c r="V10191">
        <v>0.28045560000000003</v>
      </c>
      <c r="W10191">
        <v>0.1514953</v>
      </c>
      <c r="X10191">
        <v>0.94783640000000002</v>
      </c>
      <c r="Y10191">
        <v>0.35371399999999997</v>
      </c>
      <c r="Z10191">
        <v>-5.5845909999999999E-2</v>
      </c>
      <c r="AA10191">
        <v>0.93368499999999999</v>
      </c>
      <c r="AB10191">
        <v>25</v>
      </c>
      <c r="AC10191">
        <v>7.7587999999999999</v>
      </c>
      <c r="AD10191">
        <v>-1.118179515182</v>
      </c>
      <c r="AE10191">
        <v>13.997</v>
      </c>
      <c r="AF10191">
        <v>5.68784502746648</v>
      </c>
      <c r="AG10191">
        <v>-1.118179515182</v>
      </c>
      <c r="AH10191">
        <v>14.875515046951501</v>
      </c>
      <c r="AI10191">
        <v>94.016239145490204</v>
      </c>
      <c r="AJ10191">
        <v>69.075000587219293</v>
      </c>
      <c r="AK10191">
        <v>15.9650510301949</v>
      </c>
      <c r="AL10191">
        <v>81.286408719267399</v>
      </c>
      <c r="AM10191">
        <v>73.517025298822801</v>
      </c>
      <c r="AN10191">
        <v>1.0000000053292</v>
      </c>
    </row>
    <row r="10192" spans="1:40" x14ac:dyDescent="0.25">
      <c r="A10192" t="str">
        <f>"20190303162147443"</f>
        <v>20190303162147443</v>
      </c>
      <c r="B10192" t="str">
        <f>"1551601307433062"</f>
        <v>1551601307433062</v>
      </c>
      <c r="C10192" t="s">
        <v>40</v>
      </c>
      <c r="D10192">
        <v>5.0821569999999996</v>
      </c>
      <c r="E10192">
        <v>0.53593299999999999</v>
      </c>
      <c r="F10192" t="s">
        <v>50</v>
      </c>
      <c r="G10192">
        <v>-177.94550000000001</v>
      </c>
      <c r="H10192" s="1">
        <v>-5.4847750000000004E-6</v>
      </c>
      <c r="I10192">
        <v>133.3725</v>
      </c>
      <c r="J10192">
        <v>-185.79730000000001</v>
      </c>
      <c r="K10192">
        <v>1.1180129999999999</v>
      </c>
      <c r="L10192">
        <v>119.3976</v>
      </c>
      <c r="M10192">
        <v>0.1440167</v>
      </c>
      <c r="N10192">
        <v>-1.5023750000000001E-2</v>
      </c>
      <c r="O10192">
        <v>0.98946120000000004</v>
      </c>
      <c r="P10192">
        <v>0.41413339999999998</v>
      </c>
      <c r="Q10192">
        <v>0.13983119999999999</v>
      </c>
      <c r="R10192">
        <v>0.89941139999999997</v>
      </c>
      <c r="S10192">
        <v>1.4948429999999999</v>
      </c>
      <c r="T10192">
        <v>-0.21218380000000001</v>
      </c>
      <c r="U10192">
        <v>2.6813959999999999</v>
      </c>
      <c r="V10192">
        <v>0.28167490000000001</v>
      </c>
      <c r="W10192">
        <v>0.1515</v>
      </c>
      <c r="X10192">
        <v>0.94747400000000004</v>
      </c>
      <c r="Y10192">
        <v>0.35508729999999999</v>
      </c>
      <c r="Z10192">
        <v>-5.5618229999999998E-2</v>
      </c>
      <c r="AA10192">
        <v>0.93317720000000004</v>
      </c>
      <c r="AB10192">
        <v>24</v>
      </c>
      <c r="AC10192">
        <v>7.8517999999999901</v>
      </c>
      <c r="AD10192">
        <v>-1.1180184847750001</v>
      </c>
      <c r="AE10192">
        <v>13.9749</v>
      </c>
      <c r="AF10192">
        <v>5.7292116438790197</v>
      </c>
      <c r="AG10192">
        <v>-1.1180184847750001</v>
      </c>
      <c r="AH10192">
        <v>14.887676811922599</v>
      </c>
      <c r="AI10192">
        <v>94.009096165312599</v>
      </c>
      <c r="AJ10192">
        <v>68.951821453582497</v>
      </c>
      <c r="AK10192">
        <v>15.9911460580196</v>
      </c>
      <c r="AL10192">
        <v>81.286136149794203</v>
      </c>
      <c r="AM10192">
        <v>73.443293077241606</v>
      </c>
      <c r="AN10192">
        <v>0.99999998998300499</v>
      </c>
    </row>
    <row r="10193" spans="1:40" x14ac:dyDescent="0.25">
      <c r="A10193" t="str">
        <f>"20190303162147457"</f>
        <v>20190303162147457</v>
      </c>
      <c r="B10193" t="str">
        <f>"1551601307452582"</f>
        <v>1551601307452582</v>
      </c>
      <c r="C10193" t="s">
        <v>40</v>
      </c>
      <c r="D10193">
        <v>5.1122069999999997</v>
      </c>
      <c r="E10193">
        <v>0.53591789999999995</v>
      </c>
      <c r="F10193" t="s">
        <v>50</v>
      </c>
      <c r="G10193">
        <v>-177.8553</v>
      </c>
      <c r="H10193" s="1">
        <v>-5.464971E-6</v>
      </c>
      <c r="I10193">
        <v>133.48259999999999</v>
      </c>
      <c r="J10193">
        <v>-185.77350000000001</v>
      </c>
      <c r="K10193">
        <v>1.1178779999999999</v>
      </c>
      <c r="L10193">
        <v>119.53489999999999</v>
      </c>
      <c r="M10193">
        <v>0.147334299999999</v>
      </c>
      <c r="N10193">
        <v>-1.503781E-2</v>
      </c>
      <c r="O10193">
        <v>0.98897239999999997</v>
      </c>
      <c r="P10193">
        <v>0.41842459999999998</v>
      </c>
      <c r="Q10193">
        <v>0.1408218</v>
      </c>
      <c r="R10193">
        <v>0.89726810000000001</v>
      </c>
      <c r="S10193">
        <v>1.507889</v>
      </c>
      <c r="T10193">
        <v>-0.21226990000000001</v>
      </c>
      <c r="U10193">
        <v>2.67421</v>
      </c>
      <c r="V10193">
        <v>0.28310750000000001</v>
      </c>
      <c r="W10193">
        <v>0.15239029999999901</v>
      </c>
      <c r="X10193">
        <v>0.94690410000000003</v>
      </c>
      <c r="Y10193">
        <v>0.35647770000000001</v>
      </c>
      <c r="Z10193">
        <v>-5.566492E-2</v>
      </c>
      <c r="AA10193">
        <v>0.93264409999999998</v>
      </c>
      <c r="AB10193">
        <v>24</v>
      </c>
      <c r="AC10193">
        <v>7.9182000000000103</v>
      </c>
      <c r="AD10193">
        <v>-1.1178834649709899</v>
      </c>
      <c r="AE10193">
        <v>13.9476999999999</v>
      </c>
      <c r="AF10193">
        <v>5.7486329172386599</v>
      </c>
      <c r="AG10193">
        <v>-1.1178834649709899</v>
      </c>
      <c r="AH10193">
        <v>14.889869533016</v>
      </c>
      <c r="AI10193">
        <v>94.006352820615803</v>
      </c>
      <c r="AJ10193">
        <v>68.889582991318406</v>
      </c>
      <c r="AK10193">
        <v>16.000145579608098</v>
      </c>
      <c r="AL10193">
        <v>81.234526712904994</v>
      </c>
      <c r="AM10193">
        <v>73.354269722491594</v>
      </c>
      <c r="AN10193">
        <v>1.0000000173435699</v>
      </c>
    </row>
    <row r="10194" spans="1:40" x14ac:dyDescent="0.25">
      <c r="A10194" t="str">
        <f>"20190303162147469"</f>
        <v>20190303162147469</v>
      </c>
      <c r="B10194" t="str">
        <f>"1551601307463318"</f>
        <v>1551601307463318</v>
      </c>
      <c r="C10194" t="s">
        <v>40</v>
      </c>
      <c r="D10194">
        <v>5.1065300000000002</v>
      </c>
      <c r="E10194">
        <v>0.53593729999999995</v>
      </c>
      <c r="F10194" t="s">
        <v>50</v>
      </c>
      <c r="G10194">
        <v>-177.74889999999999</v>
      </c>
      <c r="H10194" s="1">
        <v>-5.441318E-6</v>
      </c>
      <c r="I10194">
        <v>133.6114</v>
      </c>
      <c r="J10194">
        <v>-185.7499</v>
      </c>
      <c r="K10194">
        <v>1.1177509999999999</v>
      </c>
      <c r="L10194">
        <v>119.6691</v>
      </c>
      <c r="M10194">
        <v>0.15064469999999999</v>
      </c>
      <c r="N10194">
        <v>-1.5051439999999999E-2</v>
      </c>
      <c r="O10194">
        <v>0.98847339999999995</v>
      </c>
      <c r="P10194">
        <v>0.42259869999999999</v>
      </c>
      <c r="Q10194">
        <v>0.14169979999999999</v>
      </c>
      <c r="R10194">
        <v>0.89517119999999994</v>
      </c>
      <c r="S10194">
        <v>1.5207059999999999</v>
      </c>
      <c r="T10194">
        <v>-0.2118456</v>
      </c>
      <c r="U10194">
        <v>2.6675719999999998</v>
      </c>
      <c r="V10194">
        <v>0.28442659999999997</v>
      </c>
      <c r="W10194">
        <v>0.15317249999999999</v>
      </c>
      <c r="X10194">
        <v>0.94638239999999996</v>
      </c>
      <c r="Y10194">
        <v>0.35773450000000001</v>
      </c>
      <c r="Z10194">
        <v>-5.5533039999999999E-2</v>
      </c>
      <c r="AA10194">
        <v>0.93217059999999996</v>
      </c>
      <c r="AB10194">
        <v>24</v>
      </c>
      <c r="AC10194">
        <v>8.0009999999999994</v>
      </c>
      <c r="AD10194">
        <v>-1.1177564413179999</v>
      </c>
      <c r="AE10194">
        <v>13.942299999999999</v>
      </c>
      <c r="AF10194">
        <v>5.7811482307477497</v>
      </c>
      <c r="AG10194">
        <v>-1.1177564413179999</v>
      </c>
      <c r="AH10194">
        <v>14.916477552896099</v>
      </c>
      <c r="AI10194">
        <v>93.996777236116699</v>
      </c>
      <c r="AJ10194">
        <v>68.815266925175294</v>
      </c>
      <c r="AK10194">
        <v>16.0365943053392</v>
      </c>
      <c r="AL10194">
        <v>81.189177190347095</v>
      </c>
      <c r="AM10194">
        <v>73.272328639770905</v>
      </c>
      <c r="AN10194">
        <v>0.99999997628678405</v>
      </c>
    </row>
    <row r="10195" spans="1:40" x14ac:dyDescent="0.25">
      <c r="A10195" t="str">
        <f>"20190303162147480"</f>
        <v>20190303162147480</v>
      </c>
      <c r="B10195" t="str">
        <f>"1551601307473078"</f>
        <v>1551601307473078</v>
      </c>
      <c r="C10195" t="s">
        <v>40</v>
      </c>
      <c r="D10195">
        <v>5.119415</v>
      </c>
      <c r="E10195">
        <v>0.53595429999999999</v>
      </c>
      <c r="F10195" t="s">
        <v>50</v>
      </c>
      <c r="G10195">
        <v>-177.56559999999999</v>
      </c>
      <c r="H10195" s="1">
        <v>-5.4165749999999999E-6</v>
      </c>
      <c r="I10195">
        <v>133.8758</v>
      </c>
      <c r="J10195">
        <v>-185.7269</v>
      </c>
      <c r="K10195">
        <v>1.117637</v>
      </c>
      <c r="L10195">
        <v>119.79689999999999</v>
      </c>
      <c r="M10195">
        <v>0.1539056</v>
      </c>
      <c r="N10195">
        <v>-1.5064900000000001E-2</v>
      </c>
      <c r="O10195">
        <v>0.98797069999999998</v>
      </c>
      <c r="P10195">
        <v>0.42666910000000002</v>
      </c>
      <c r="Q10195">
        <v>0.1422822</v>
      </c>
      <c r="R10195">
        <v>0.89314570000000004</v>
      </c>
      <c r="S10195">
        <v>1.532867</v>
      </c>
      <c r="T10195">
        <v>-0.2093478</v>
      </c>
      <c r="U10195">
        <v>2.660812</v>
      </c>
      <c r="V10195">
        <v>0.28567789999999998</v>
      </c>
      <c r="W10195">
        <v>0.15366779999999999</v>
      </c>
      <c r="X10195">
        <v>0.94592509999999996</v>
      </c>
      <c r="Y10195">
        <v>0.35890070000000002</v>
      </c>
      <c r="Z10195">
        <v>-5.4725999999999997E-2</v>
      </c>
      <c r="AA10195">
        <v>0.93176999999999999</v>
      </c>
      <c r="AB10195">
        <v>24</v>
      </c>
      <c r="AC10195">
        <v>8.1613000000000095</v>
      </c>
      <c r="AD10195">
        <v>-1.1176424165750001</v>
      </c>
      <c r="AE10195">
        <v>14.078900000000001</v>
      </c>
      <c r="AF10195">
        <v>5.86928845119537</v>
      </c>
      <c r="AG10195">
        <v>-1.1176424165750001</v>
      </c>
      <c r="AH10195">
        <v>15.096125731090901</v>
      </c>
      <c r="AI10195">
        <v>93.947335942055503</v>
      </c>
      <c r="AJ10195">
        <v>68.754199549945795</v>
      </c>
      <c r="AK10195">
        <v>16.235476081210798</v>
      </c>
      <c r="AL10195">
        <v>81.160458580694296</v>
      </c>
      <c r="AM10195">
        <v>73.195210930321807</v>
      </c>
      <c r="AN10195">
        <v>0.99999997505762905</v>
      </c>
    </row>
    <row r="10196" spans="1:40" x14ac:dyDescent="0.25">
      <c r="A10196" t="str">
        <f>"20190303162147497"</f>
        <v>20190303162147497</v>
      </c>
      <c r="B10196" t="str">
        <f>"1551601307482839"</f>
        <v>1551601307482839</v>
      </c>
      <c r="C10196" t="s">
        <v>40</v>
      </c>
      <c r="D10196">
        <v>5.0635510000000004</v>
      </c>
      <c r="E10196">
        <v>0.53593279999999999</v>
      </c>
      <c r="F10196" t="s">
        <v>50</v>
      </c>
      <c r="G10196">
        <v>-177.41900000000001</v>
      </c>
      <c r="H10196" s="1">
        <v>-5.3921259999999999E-6</v>
      </c>
      <c r="I10196">
        <v>134.07480000000001</v>
      </c>
      <c r="J10196">
        <v>-185.69470000000001</v>
      </c>
      <c r="K10196">
        <v>1.1174919999999999</v>
      </c>
      <c r="L10196">
        <v>119.97</v>
      </c>
      <c r="M10196">
        <v>0.1584711</v>
      </c>
      <c r="N10196">
        <v>-1.508311E-2</v>
      </c>
      <c r="O10196">
        <v>0.98724840000000003</v>
      </c>
      <c r="P10196">
        <v>0.43329220000000002</v>
      </c>
      <c r="Q10196">
        <v>0.14247770000000001</v>
      </c>
      <c r="R10196">
        <v>0.88992019999999905</v>
      </c>
      <c r="S10196">
        <v>1.544403</v>
      </c>
      <c r="T10196">
        <v>-0.20776459999999999</v>
      </c>
      <c r="U10196">
        <v>2.6542050000000001</v>
      </c>
      <c r="V10196">
        <v>0.28839819999999999</v>
      </c>
      <c r="W10196">
        <v>0.15373989999999901</v>
      </c>
      <c r="X10196">
        <v>0.94508760000000003</v>
      </c>
      <c r="Y10196">
        <v>0.35863590000000001</v>
      </c>
      <c r="Z10196">
        <v>-5.4216380000000002E-2</v>
      </c>
      <c r="AA10196">
        <v>0.9319018</v>
      </c>
      <c r="AB10196">
        <v>24</v>
      </c>
      <c r="AC10196">
        <v>8.2757000000000005</v>
      </c>
      <c r="AD10196">
        <v>-1.1174973921260001</v>
      </c>
      <c r="AE10196">
        <v>14.104799999999999</v>
      </c>
      <c r="AF10196">
        <v>5.9080554582015701</v>
      </c>
      <c r="AG10196">
        <v>-1.1174973921260001</v>
      </c>
      <c r="AH10196">
        <v>15.1673088996498</v>
      </c>
      <c r="AI10196">
        <v>93.927392520502806</v>
      </c>
      <c r="AJ10196">
        <v>68.717811666094207</v>
      </c>
      <c r="AK10196">
        <v>16.315672801818199</v>
      </c>
      <c r="AL10196">
        <v>81.156278321902207</v>
      </c>
      <c r="AM10196">
        <v>73.030169813550899</v>
      </c>
      <c r="AN10196">
        <v>1.0000000251445</v>
      </c>
    </row>
    <row r="10197" spans="1:40" x14ac:dyDescent="0.25">
      <c r="A10197" t="str">
        <f>"20190303162147520"</f>
        <v>20190303162147520</v>
      </c>
      <c r="B10197" t="str">
        <f>"1551601307512626"</f>
        <v>1551601307512626</v>
      </c>
      <c r="C10197" t="s">
        <v>40</v>
      </c>
      <c r="D10197">
        <v>5.1207820000000002</v>
      </c>
      <c r="E10197">
        <v>0.53600509999999901</v>
      </c>
      <c r="F10197" t="s">
        <v>50</v>
      </c>
      <c r="G10197">
        <v>-177.30799999999999</v>
      </c>
      <c r="H10197" s="1">
        <v>-5.3505919999999998E-6</v>
      </c>
      <c r="I10197">
        <v>134.16489999999999</v>
      </c>
      <c r="J10197">
        <v>-185.64760000000001</v>
      </c>
      <c r="K10197">
        <v>1.1173070000000001</v>
      </c>
      <c r="L10197">
        <v>120.2153</v>
      </c>
      <c r="M10197">
        <v>0.16516819999999999</v>
      </c>
      <c r="N10197">
        <v>-1.510764E-2</v>
      </c>
      <c r="O10197">
        <v>0.98614970000000002</v>
      </c>
      <c r="P10197">
        <v>0.44228079999999997</v>
      </c>
      <c r="Q10197">
        <v>0.1414001</v>
      </c>
      <c r="R10197">
        <v>0.88566009999999995</v>
      </c>
      <c r="S10197">
        <v>1.562073</v>
      </c>
      <c r="T10197">
        <v>-0.20814009999999999</v>
      </c>
      <c r="U10197">
        <v>2.643875</v>
      </c>
      <c r="V10197">
        <v>0.29158640000000002</v>
      </c>
      <c r="W10197">
        <v>0.15251239999999999</v>
      </c>
      <c r="X10197">
        <v>0.94430789999999998</v>
      </c>
      <c r="Y10197">
        <v>0.35850870000000001</v>
      </c>
      <c r="Z10197">
        <v>-5.4360239999999997E-2</v>
      </c>
      <c r="AA10197">
        <v>0.9319423</v>
      </c>
      <c r="AB10197">
        <v>24</v>
      </c>
      <c r="AC10197">
        <v>8.3396000000000097</v>
      </c>
      <c r="AD10197">
        <v>-1.117312350592</v>
      </c>
      <c r="AE10197">
        <v>13.949599999999901</v>
      </c>
      <c r="AF10197">
        <v>5.8928882854486098</v>
      </c>
      <c r="AG10197">
        <v>-1.117312350592</v>
      </c>
      <c r="AH10197">
        <v>15.064360318004701</v>
      </c>
      <c r="AI10197">
        <v>93.9512855235416</v>
      </c>
      <c r="AJ10197">
        <v>68.6355175652903</v>
      </c>
      <c r="AK10197">
        <v>16.214483372103999</v>
      </c>
      <c r="AL10197">
        <v>81.227448316681304</v>
      </c>
      <c r="AM10197">
        <v>72.840191576527104</v>
      </c>
      <c r="AN10197">
        <v>1.00000003541056</v>
      </c>
    </row>
    <row r="10198" spans="1:40" x14ac:dyDescent="0.25">
      <c r="A10198" t="str">
        <f>"20190303162147534"</f>
        <v>20190303162147534</v>
      </c>
      <c r="B10198" t="str">
        <f>"1551601307523362"</f>
        <v>1551601307523362</v>
      </c>
      <c r="C10198" t="s">
        <v>40</v>
      </c>
      <c r="D10198">
        <v>5.0827390000000001</v>
      </c>
      <c r="E10198">
        <v>0.53590099999999996</v>
      </c>
      <c r="F10198" t="s">
        <v>50</v>
      </c>
      <c r="G10198">
        <v>-177.33500000000001</v>
      </c>
      <c r="H10198" s="1">
        <v>-5.3022020000000003E-6</v>
      </c>
      <c r="I10198">
        <v>133.9889</v>
      </c>
      <c r="J10198">
        <v>-185.619</v>
      </c>
      <c r="K10198">
        <v>1.117213</v>
      </c>
      <c r="L10198">
        <v>120.35899999999999</v>
      </c>
      <c r="M10198">
        <v>0.1692224</v>
      </c>
      <c r="N10198">
        <v>-1.5120979999999999E-2</v>
      </c>
      <c r="O10198">
        <v>0.9854619</v>
      </c>
      <c r="P10198">
        <v>0.44743840000000001</v>
      </c>
      <c r="Q10198">
        <v>0.14076440000000001</v>
      </c>
      <c r="R10198">
        <v>0.88316719999999904</v>
      </c>
      <c r="S10198">
        <v>1.5866549999999999</v>
      </c>
      <c r="T10198">
        <v>-0.2132647</v>
      </c>
      <c r="U10198">
        <v>2.629013</v>
      </c>
      <c r="V10198">
        <v>0.29322239999999999</v>
      </c>
      <c r="W10198">
        <v>0.15180160000000001</v>
      </c>
      <c r="X10198">
        <v>0.94391570000000002</v>
      </c>
      <c r="Y10198">
        <v>0.36332629999999999</v>
      </c>
      <c r="Z10198">
        <v>-5.6102600000000002E-2</v>
      </c>
      <c r="AA10198">
        <v>0.9299712</v>
      </c>
      <c r="AB10198">
        <v>24</v>
      </c>
      <c r="AC10198">
        <v>8.2840000000000096</v>
      </c>
      <c r="AD10198">
        <v>-1.1172183022019999</v>
      </c>
      <c r="AE10198">
        <v>13.629899999999999</v>
      </c>
      <c r="AF10198">
        <v>5.8291516172166604</v>
      </c>
      <c r="AG10198">
        <v>-1.1172183022019999</v>
      </c>
      <c r="AH10198">
        <v>14.7628493384208</v>
      </c>
      <c r="AI10198">
        <v>94.026363675279796</v>
      </c>
      <c r="AJ10198">
        <v>68.453278702480802</v>
      </c>
      <c r="AK10198">
        <v>15.911282346190299</v>
      </c>
      <c r="AL10198">
        <v>81.268653410522802</v>
      </c>
      <c r="AM10198">
        <v>72.742870462163907</v>
      </c>
      <c r="AN10198">
        <v>0.99999997516540395</v>
      </c>
    </row>
    <row r="10199" spans="1:40" x14ac:dyDescent="0.25">
      <c r="A10199" t="str">
        <f>"20190303162147545"</f>
        <v>20190303162147545</v>
      </c>
      <c r="B10199" t="str">
        <f>"1551601307533122"</f>
        <v>1551601307533122</v>
      </c>
      <c r="C10199" t="s">
        <v>40</v>
      </c>
      <c r="D10199">
        <v>5.0824249999999997</v>
      </c>
      <c r="E10199">
        <v>0.535977699999999</v>
      </c>
      <c r="F10199" t="s">
        <v>50</v>
      </c>
      <c r="G10199">
        <v>-177.35550000000001</v>
      </c>
      <c r="H10199" s="1">
        <v>-5.2806050000000002E-6</v>
      </c>
      <c r="I10199">
        <v>133.89519999999999</v>
      </c>
      <c r="J10199">
        <v>-185.59180000000001</v>
      </c>
      <c r="K10199">
        <v>1.1171359999999999</v>
      </c>
      <c r="L10199">
        <v>120.4932</v>
      </c>
      <c r="M10199">
        <v>0.17305719999999999</v>
      </c>
      <c r="N10199">
        <v>-1.5132690000000001E-2</v>
      </c>
      <c r="O10199">
        <v>0.98479550000000005</v>
      </c>
      <c r="P10199">
        <v>0.45249070000000002</v>
      </c>
      <c r="Q10199">
        <v>0.14062379999999999</v>
      </c>
      <c r="R10199">
        <v>0.88061179999999994</v>
      </c>
      <c r="S10199">
        <v>1.5999300000000001</v>
      </c>
      <c r="T10199">
        <v>-0.21630920000000001</v>
      </c>
      <c r="U10199">
        <v>2.6207889999999998</v>
      </c>
      <c r="V10199">
        <v>0.29498210000000002</v>
      </c>
      <c r="W10199">
        <v>0.15159</v>
      </c>
      <c r="X10199">
        <v>0.9434013</v>
      </c>
      <c r="Y10199">
        <v>0.3643962</v>
      </c>
      <c r="Z10199">
        <v>-5.7131050000000003E-2</v>
      </c>
      <c r="AA10199">
        <v>0.92948989999999998</v>
      </c>
      <c r="AB10199">
        <v>24</v>
      </c>
      <c r="AC10199">
        <v>8.2363</v>
      </c>
      <c r="AD10199">
        <v>-1.1171412806050001</v>
      </c>
      <c r="AE10199">
        <v>13.4019999999999</v>
      </c>
      <c r="AF10199">
        <v>5.7633547043599904</v>
      </c>
      <c r="AG10199">
        <v>-1.1171412806050001</v>
      </c>
      <c r="AH10199">
        <v>14.551863507796201</v>
      </c>
      <c r="AI10199">
        <v>94.082589898353802</v>
      </c>
      <c r="AJ10199">
        <v>68.393654407208999</v>
      </c>
      <c r="AK10199">
        <v>15.6914305797346</v>
      </c>
      <c r="AL10199">
        <v>81.280919277873295</v>
      </c>
      <c r="AM10199">
        <v>72.636614370193897</v>
      </c>
      <c r="AN10199">
        <v>0.99999999013105001</v>
      </c>
    </row>
    <row r="10200" spans="1:40" x14ac:dyDescent="0.25">
      <c r="A10200" t="str">
        <f>"20190303162147557"</f>
        <v>20190303162147557</v>
      </c>
      <c r="B10200" t="str">
        <f>"1551601307552642"</f>
        <v>1551601307552642</v>
      </c>
      <c r="C10200" t="s">
        <v>40</v>
      </c>
      <c r="D10200">
        <v>5.1693189999999998</v>
      </c>
      <c r="E10200">
        <v>0.53581540000000005</v>
      </c>
      <c r="F10200" t="s">
        <v>50</v>
      </c>
      <c r="G10200">
        <v>-177.23949999999999</v>
      </c>
      <c r="H10200" s="1">
        <v>-5.2414079999999997E-6</v>
      </c>
      <c r="I10200">
        <v>134.00040000000001</v>
      </c>
      <c r="J10200">
        <v>-185.5651</v>
      </c>
      <c r="K10200">
        <v>1.117075</v>
      </c>
      <c r="L10200">
        <v>120.6206</v>
      </c>
      <c r="M10200">
        <v>0.17679</v>
      </c>
      <c r="N10200">
        <v>-1.5143129999999999E-2</v>
      </c>
      <c r="O10200">
        <v>0.98413209999999995</v>
      </c>
      <c r="P10200">
        <v>0.45736310000000002</v>
      </c>
      <c r="Q10200">
        <v>0.1404879</v>
      </c>
      <c r="R10200">
        <v>0.87811289999999997</v>
      </c>
      <c r="S10200">
        <v>1.614822</v>
      </c>
      <c r="T10200">
        <v>-0.21598629999999999</v>
      </c>
      <c r="U10200">
        <v>2.61145</v>
      </c>
      <c r="V10200">
        <v>0.29665249999999999</v>
      </c>
      <c r="W10200">
        <v>0.15139439999999901</v>
      </c>
      <c r="X10200">
        <v>0.94290879999999999</v>
      </c>
      <c r="Y10200">
        <v>0.36618800000000001</v>
      </c>
      <c r="Z10200">
        <v>-5.705727E-2</v>
      </c>
      <c r="AA10200">
        <v>0.92879</v>
      </c>
      <c r="AB10200">
        <v>24</v>
      </c>
      <c r="AC10200">
        <v>8.3255999999999997</v>
      </c>
      <c r="AD10200">
        <v>-1.1170802414079899</v>
      </c>
      <c r="AE10200">
        <v>13.379799999999999</v>
      </c>
      <c r="AF10200">
        <v>5.7996010082968601</v>
      </c>
      <c r="AG10200">
        <v>-1.1170802414079899</v>
      </c>
      <c r="AH10200">
        <v>14.5678495728336</v>
      </c>
      <c r="AI10200">
        <v>94.0750413390749</v>
      </c>
      <c r="AJ10200">
        <v>68.292022878306796</v>
      </c>
      <c r="AK10200">
        <v>15.7195890944353</v>
      </c>
      <c r="AL10200">
        <v>81.292257167417702</v>
      </c>
      <c r="AM10200">
        <v>72.535684137401205</v>
      </c>
      <c r="AN10200">
        <v>0.99999998761252396</v>
      </c>
    </row>
    <row r="10201" spans="1:40" x14ac:dyDescent="0.25">
      <c r="A10201" t="str">
        <f>"20190303162147569"</f>
        <v>20190303162147569</v>
      </c>
      <c r="B10201" t="str">
        <f>"1551601307562403"</f>
        <v>1551601307562403</v>
      </c>
      <c r="C10201" t="s">
        <v>40</v>
      </c>
      <c r="D10201">
        <v>5.101604</v>
      </c>
      <c r="E10201">
        <v>0.53584589999999999</v>
      </c>
      <c r="F10201" t="s">
        <v>50</v>
      </c>
      <c r="G10201">
        <v>-177.2345</v>
      </c>
      <c r="H10201" s="1">
        <v>-5.217201E-6</v>
      </c>
      <c r="I10201">
        <v>133.94550000000001</v>
      </c>
      <c r="J10201">
        <v>-185.53980000000001</v>
      </c>
      <c r="K10201">
        <v>1.117022</v>
      </c>
      <c r="L10201">
        <v>120.74</v>
      </c>
      <c r="M10201">
        <v>0.1803197</v>
      </c>
      <c r="N10201">
        <v>-1.515238E-2</v>
      </c>
      <c r="O10201">
        <v>0.98349140000000002</v>
      </c>
      <c r="P10201">
        <v>0.46170299999999997</v>
      </c>
      <c r="Q10201">
        <v>0.1405227</v>
      </c>
      <c r="R10201">
        <v>0.87583319999999998</v>
      </c>
      <c r="S10201">
        <v>1.6277159999999999</v>
      </c>
      <c r="T10201">
        <v>-0.21826709999999999</v>
      </c>
      <c r="U10201">
        <v>2.603561</v>
      </c>
      <c r="V10201">
        <v>0.29795939999999999</v>
      </c>
      <c r="W10201">
        <v>0.1513784</v>
      </c>
      <c r="X10201">
        <v>0.94249919999999998</v>
      </c>
      <c r="Y10201">
        <v>0.3673961</v>
      </c>
      <c r="Z10201">
        <v>-5.7829720000000001E-2</v>
      </c>
      <c r="AA10201">
        <v>0.92826500000000001</v>
      </c>
      <c r="AB10201">
        <v>24</v>
      </c>
      <c r="AC10201">
        <v>8.3053000000000097</v>
      </c>
      <c r="AD10201">
        <v>-1.1170272172010001</v>
      </c>
      <c r="AE10201">
        <v>13.205500000000001</v>
      </c>
      <c r="AF10201">
        <v>5.7581209025632303</v>
      </c>
      <c r="AG10201">
        <v>-1.1170272172010001</v>
      </c>
      <c r="AH10201">
        <v>14.412870778809401</v>
      </c>
      <c r="AI10201">
        <v>94.116534014719704</v>
      </c>
      <c r="AJ10201">
        <v>68.222677495037999</v>
      </c>
      <c r="AK10201">
        <v>15.560673192994001</v>
      </c>
      <c r="AL10201">
        <v>81.293184548429196</v>
      </c>
      <c r="AM10201">
        <v>72.456297931113596</v>
      </c>
      <c r="AN10201">
        <v>0.99999998301777904</v>
      </c>
    </row>
    <row r="10202" spans="1:40" x14ac:dyDescent="0.25">
      <c r="A10202" t="str">
        <f>"20190303162147580"</f>
        <v>20190303162147580</v>
      </c>
      <c r="B10202" t="str">
        <f>"1551601307574113"</f>
        <v>1551601307574113</v>
      </c>
      <c r="C10202" t="s">
        <v>40</v>
      </c>
      <c r="D10202">
        <v>5.1010839999999904</v>
      </c>
      <c r="E10202">
        <v>0.53584759999999998</v>
      </c>
      <c r="F10202" t="s">
        <v>50</v>
      </c>
      <c r="G10202">
        <v>-177.10640000000001</v>
      </c>
      <c r="H10202" s="1">
        <v>-5.1818140000000001E-6</v>
      </c>
      <c r="I10202">
        <v>134.08250000000001</v>
      </c>
      <c r="J10202">
        <v>-185.51089999999999</v>
      </c>
      <c r="K10202">
        <v>1.1169610000000001</v>
      </c>
      <c r="L10202">
        <v>120.8734</v>
      </c>
      <c r="M10202">
        <v>0.18431649999999999</v>
      </c>
      <c r="N10202">
        <v>-1.5162109999999999E-2</v>
      </c>
      <c r="O10202">
        <v>0.98275000000000001</v>
      </c>
      <c r="P10202">
        <v>0.46627380000000002</v>
      </c>
      <c r="Q10202">
        <v>0.14107539999999999</v>
      </c>
      <c r="R10202">
        <v>0.87331930000000002</v>
      </c>
      <c r="S10202">
        <v>1.6404570000000001</v>
      </c>
      <c r="T10202">
        <v>-0.21728439999999999</v>
      </c>
      <c r="U10202">
        <v>2.595383</v>
      </c>
      <c r="V10202">
        <v>0.29909730000000001</v>
      </c>
      <c r="W10202">
        <v>0.15188409999999999</v>
      </c>
      <c r="X10202">
        <v>0.94205740000000004</v>
      </c>
      <c r="Y10202">
        <v>0.36820259999999999</v>
      </c>
      <c r="Z10202">
        <v>-5.7531539999999999E-2</v>
      </c>
      <c r="AA10202">
        <v>0.92796389999999995</v>
      </c>
      <c r="AB10202">
        <v>24</v>
      </c>
      <c r="AC10202">
        <v>8.4044999999999792</v>
      </c>
      <c r="AD10202">
        <v>-1.116966181814</v>
      </c>
      <c r="AE10202">
        <v>13.209099999999999</v>
      </c>
      <c r="AF10202">
        <v>5.7960356874771302</v>
      </c>
      <c r="AG10202">
        <v>-1.116966181814</v>
      </c>
      <c r="AH10202">
        <v>14.4584096167772</v>
      </c>
      <c r="AI10202">
        <v>94.101465642453405</v>
      </c>
      <c r="AJ10202">
        <v>68.155313975658501</v>
      </c>
      <c r="AK10202">
        <v>15.616889952495001</v>
      </c>
      <c r="AL10202">
        <v>81.263871800642804</v>
      </c>
      <c r="AM10202">
        <v>72.385684030792902</v>
      </c>
      <c r="AN10202">
        <v>1.0000000597974199</v>
      </c>
    </row>
    <row r="10203" spans="1:40" x14ac:dyDescent="0.25">
      <c r="A10203" t="str">
        <f>"20190303162147593"</f>
        <v>20190303162147593</v>
      </c>
      <c r="B10203" t="str">
        <f>"1551601307582898"</f>
        <v>1551601307582898</v>
      </c>
      <c r="C10203" t="s">
        <v>40</v>
      </c>
      <c r="D10203">
        <v>5.159789</v>
      </c>
      <c r="E10203">
        <v>0.53579619999999994</v>
      </c>
      <c r="F10203" t="s">
        <v>50</v>
      </c>
      <c r="G10203">
        <v>-176.90029999999999</v>
      </c>
      <c r="H10203" s="1">
        <v>-5.1387740000000004E-6</v>
      </c>
      <c r="I10203">
        <v>134.33959999999999</v>
      </c>
      <c r="J10203">
        <v>-185.4836</v>
      </c>
      <c r="K10203">
        <v>1.1169169999999999</v>
      </c>
      <c r="L10203">
        <v>120.99639999999999</v>
      </c>
      <c r="M10203">
        <v>0.18805659999999999</v>
      </c>
      <c r="N10203">
        <v>-1.5170579999999999E-2</v>
      </c>
      <c r="O10203">
        <v>0.98204100000000005</v>
      </c>
      <c r="P10203">
        <v>0.47055999999999998</v>
      </c>
      <c r="Q10203">
        <v>0.14157829999999999</v>
      </c>
      <c r="R10203">
        <v>0.87093560000000003</v>
      </c>
      <c r="S10203">
        <v>1.6540220000000001</v>
      </c>
      <c r="T10203">
        <v>-0.2145611</v>
      </c>
      <c r="U10203">
        <v>2.5867460000000002</v>
      </c>
      <c r="V10203">
        <v>0.3001799</v>
      </c>
      <c r="W10203">
        <v>0.15234449999999999</v>
      </c>
      <c r="X10203">
        <v>0.94163850000000004</v>
      </c>
      <c r="Y10203">
        <v>0.3695524</v>
      </c>
      <c r="Z10203">
        <v>-5.6660479999999999E-2</v>
      </c>
      <c r="AA10203">
        <v>0.92748079999999999</v>
      </c>
      <c r="AB10203">
        <v>24</v>
      </c>
      <c r="AC10203">
        <v>8.5832999999999995</v>
      </c>
      <c r="AD10203">
        <v>-1.116922138774</v>
      </c>
      <c r="AE10203">
        <v>13.3431999999999</v>
      </c>
      <c r="AF10203">
        <v>5.8913591023579501</v>
      </c>
      <c r="AG10203">
        <v>-1.116922138774</v>
      </c>
      <c r="AH10203">
        <v>14.646819090533601</v>
      </c>
      <c r="AI10203">
        <v>94.046838548247507</v>
      </c>
      <c r="AJ10203">
        <v>68.088633264389699</v>
      </c>
      <c r="AK10203">
        <v>15.8267159135381</v>
      </c>
      <c r="AL10203">
        <v>81.237181194652905</v>
      </c>
      <c r="AM10203">
        <v>72.318516828121702</v>
      </c>
      <c r="AN10203">
        <v>0.99999994186325303</v>
      </c>
    </row>
    <row r="10204" spans="1:40" x14ac:dyDescent="0.25">
      <c r="A10204" t="str">
        <f>"20190303162147608"</f>
        <v>20190303162147608</v>
      </c>
      <c r="B10204" t="str">
        <f>"1551601307603394"</f>
        <v>1551601307603394</v>
      </c>
      <c r="C10204" t="s">
        <v>40</v>
      </c>
      <c r="D10204">
        <v>5.1192960000000003</v>
      </c>
      <c r="E10204">
        <v>0.53565130000000005</v>
      </c>
      <c r="F10204" t="s">
        <v>50</v>
      </c>
      <c r="G10204">
        <v>-176.75749999999999</v>
      </c>
      <c r="H10204" s="1">
        <v>-5.1014900000000003E-6</v>
      </c>
      <c r="I10204">
        <v>134.49809999999999</v>
      </c>
      <c r="J10204">
        <v>-185.44710000000001</v>
      </c>
      <c r="K10204">
        <v>1.116865</v>
      </c>
      <c r="L10204">
        <v>121.1576</v>
      </c>
      <c r="M10204">
        <v>0.19300790000000001</v>
      </c>
      <c r="N10204">
        <v>-1.5181119999999999E-2</v>
      </c>
      <c r="O10204">
        <v>0.98107979999999995</v>
      </c>
      <c r="P10204">
        <v>0.47613680000000003</v>
      </c>
      <c r="Q10204">
        <v>0.1419752</v>
      </c>
      <c r="R10204">
        <v>0.86783449999999995</v>
      </c>
      <c r="S10204">
        <v>1.6666559999999999</v>
      </c>
      <c r="T10204">
        <v>-0.21332880000000001</v>
      </c>
      <c r="U10204">
        <v>2.5787810000000002</v>
      </c>
      <c r="V10204">
        <v>0.301510099999999</v>
      </c>
      <c r="W10204">
        <v>0.15268860000000001</v>
      </c>
      <c r="X10204">
        <v>0.94115769999999999</v>
      </c>
      <c r="Y10204">
        <v>0.36939109999999997</v>
      </c>
      <c r="Z10204">
        <v>-5.6268150000000003E-2</v>
      </c>
      <c r="AA10204">
        <v>0.92756890000000003</v>
      </c>
      <c r="AB10204">
        <v>24</v>
      </c>
      <c r="AC10204">
        <v>8.6896000000000093</v>
      </c>
      <c r="AD10204">
        <v>-1.11687010149</v>
      </c>
      <c r="AE10204">
        <v>13.340499999999899</v>
      </c>
      <c r="AF10204">
        <v>5.9219121671372097</v>
      </c>
      <c r="AG10204">
        <v>-1.11687010149</v>
      </c>
      <c r="AH10204">
        <v>14.694643336571099</v>
      </c>
      <c r="AI10204">
        <v>94.0324516912207</v>
      </c>
      <c r="AJ10204">
        <v>68.050662835233098</v>
      </c>
      <c r="AK10204">
        <v>15.8823482309111</v>
      </c>
      <c r="AL10204">
        <v>81.217232693032301</v>
      </c>
      <c r="AM10204">
        <v>72.236574576711206</v>
      </c>
      <c r="AN10204">
        <v>0.99999998262062895</v>
      </c>
    </row>
    <row r="10205" spans="1:40" x14ac:dyDescent="0.25">
      <c r="A10205" t="str">
        <f>"20190303162147620"</f>
        <v>20190303162147620</v>
      </c>
      <c r="B10205" t="str">
        <f>"1551601307613154"</f>
        <v>1551601307613154</v>
      </c>
      <c r="C10205" t="s">
        <v>40</v>
      </c>
      <c r="D10205">
        <v>5.15855</v>
      </c>
      <c r="E10205">
        <v>0.5355415</v>
      </c>
      <c r="F10205" t="s">
        <v>50</v>
      </c>
      <c r="G10205">
        <v>-176.56720000000001</v>
      </c>
      <c r="H10205" s="1">
        <v>-5.0542349999999997E-6</v>
      </c>
      <c r="I10205">
        <v>134.71559999999999</v>
      </c>
      <c r="J10205">
        <v>-185.41489999999999</v>
      </c>
      <c r="K10205">
        <v>1.1168169999999999</v>
      </c>
      <c r="L10205">
        <v>121.2963</v>
      </c>
      <c r="M10205">
        <v>0.19733970000000001</v>
      </c>
      <c r="N10205">
        <v>-1.5189940000000001E-2</v>
      </c>
      <c r="O10205">
        <v>0.98021749999999996</v>
      </c>
      <c r="P10205">
        <v>0.48019109999999998</v>
      </c>
      <c r="Q10205">
        <v>0.1416502</v>
      </c>
      <c r="R10205">
        <v>0.86565110000000001</v>
      </c>
      <c r="S10205">
        <v>1.6822509999999999</v>
      </c>
      <c r="T10205">
        <v>-0.2115843</v>
      </c>
      <c r="U10205">
        <v>2.5684969999999998</v>
      </c>
      <c r="V10205">
        <v>0.30175879999999999</v>
      </c>
      <c r="W10205">
        <v>0.15233469999999999</v>
      </c>
      <c r="X10205">
        <v>0.94113539999999996</v>
      </c>
      <c r="Y10205">
        <v>0.37094749999999999</v>
      </c>
      <c r="Z10205">
        <v>-5.5725469999999999E-2</v>
      </c>
      <c r="AA10205">
        <v>0.92698040000000004</v>
      </c>
      <c r="AB10205">
        <v>24</v>
      </c>
      <c r="AC10205">
        <v>8.8476999999999695</v>
      </c>
      <c r="AD10205">
        <v>-1.116822054235</v>
      </c>
      <c r="AE10205">
        <v>13.4192999999999</v>
      </c>
      <c r="AF10205">
        <v>5.9962564181575999</v>
      </c>
      <c r="AG10205">
        <v>-1.116822054235</v>
      </c>
      <c r="AH10205">
        <v>14.8299589665742</v>
      </c>
      <c r="AI10205">
        <v>93.993759641043397</v>
      </c>
      <c r="AJ10205">
        <v>67.984842762998994</v>
      </c>
      <c r="AK10205">
        <v>16.035275659725901</v>
      </c>
      <c r="AL10205">
        <v>81.237750170483693</v>
      </c>
      <c r="AM10205">
        <v>72.222449809530403</v>
      </c>
      <c r="AN10205">
        <v>1.0000000376673399</v>
      </c>
    </row>
    <row r="10206" spans="1:40" x14ac:dyDescent="0.25">
      <c r="A10206" t="str">
        <f>"20190303162147633"</f>
        <v>20190303162147633</v>
      </c>
      <c r="B10206" t="str">
        <f>"1551601307622914"</f>
        <v>1551601307622914</v>
      </c>
      <c r="C10206" t="s">
        <v>40</v>
      </c>
      <c r="D10206">
        <v>5.1647249999999998</v>
      </c>
      <c r="E10206">
        <v>0.53544449999999999</v>
      </c>
      <c r="F10206" t="s">
        <v>50</v>
      </c>
      <c r="G10206">
        <v>-176.56319999999999</v>
      </c>
      <c r="H10206" s="1">
        <v>-5.0405490000000001E-6</v>
      </c>
      <c r="I10206">
        <v>134.6867</v>
      </c>
      <c r="J10206">
        <v>-185.3852</v>
      </c>
      <c r="K10206">
        <v>1.1167720000000001</v>
      </c>
      <c r="L10206">
        <v>121.42140000000001</v>
      </c>
      <c r="M10206">
        <v>0.2012979</v>
      </c>
      <c r="N10206">
        <v>-1.519792E-2</v>
      </c>
      <c r="O10206">
        <v>0.97941210000000001</v>
      </c>
      <c r="P10206">
        <v>0.48375000000000001</v>
      </c>
      <c r="Q10206">
        <v>0.14131379999999999</v>
      </c>
      <c r="R10206">
        <v>0.8637224</v>
      </c>
      <c r="S10206">
        <v>1.6931609999999999</v>
      </c>
      <c r="T10206">
        <v>-0.21362639999999999</v>
      </c>
      <c r="U10206">
        <v>2.5613250000000001</v>
      </c>
      <c r="V10206">
        <v>0.30183159999999998</v>
      </c>
      <c r="W10206">
        <v>0.1519732</v>
      </c>
      <c r="X10206">
        <v>0.94117050000000002</v>
      </c>
      <c r="Y10206">
        <v>0.37111559999999999</v>
      </c>
      <c r="Z10206">
        <v>-5.641351E-2</v>
      </c>
      <c r="AA10206">
        <v>0.92687149999999996</v>
      </c>
      <c r="AB10206">
        <v>24</v>
      </c>
      <c r="AC10206">
        <v>8.8219999999999992</v>
      </c>
      <c r="AD10206">
        <v>-1.1167770405489901</v>
      </c>
      <c r="AE10206">
        <v>13.2652999999999</v>
      </c>
      <c r="AF10206">
        <v>5.94158860167994</v>
      </c>
      <c r="AG10206">
        <v>-1.1167770405489901</v>
      </c>
      <c r="AH10206">
        <v>14.6975262535813</v>
      </c>
      <c r="AI10206">
        <v>94.029572112405802</v>
      </c>
      <c r="AJ10206">
        <v>67.988598067505393</v>
      </c>
      <c r="AK10206">
        <v>15.8923548929862</v>
      </c>
      <c r="AL10206">
        <v>81.258706607079006</v>
      </c>
      <c r="AM10206">
        <v>72.219052418224706</v>
      </c>
      <c r="AN10206">
        <v>1.00000003917352</v>
      </c>
    </row>
    <row r="10207" spans="1:40" x14ac:dyDescent="0.25">
      <c r="A10207" t="str">
        <f>"20190303162147646"</f>
        <v>20190303162147646</v>
      </c>
      <c r="B10207" t="str">
        <f>"1551601307632674"</f>
        <v>1551601307632674</v>
      </c>
      <c r="C10207" t="s">
        <v>40</v>
      </c>
      <c r="D10207">
        <v>5.1809399999999997</v>
      </c>
      <c r="E10207">
        <v>0.53533540000000002</v>
      </c>
      <c r="F10207" t="s">
        <v>50</v>
      </c>
      <c r="G10207">
        <v>-176.55529999999999</v>
      </c>
      <c r="H10207" s="1">
        <v>-5.0279639999999998E-6</v>
      </c>
      <c r="I10207">
        <v>134.6678</v>
      </c>
      <c r="J10207">
        <v>-185.35419999999999</v>
      </c>
      <c r="K10207">
        <v>1.116727</v>
      </c>
      <c r="L10207">
        <v>121.55029999999999</v>
      </c>
      <c r="M10207">
        <v>0.2054039</v>
      </c>
      <c r="N10207">
        <v>-1.5205959999999999E-2</v>
      </c>
      <c r="O10207">
        <v>0.97855910000000002</v>
      </c>
      <c r="P10207">
        <v>0.48733989999999999</v>
      </c>
      <c r="Q10207">
        <v>0.140841299999999</v>
      </c>
      <c r="R10207">
        <v>0.86177929999999903</v>
      </c>
      <c r="S10207">
        <v>1.7029879999999999</v>
      </c>
      <c r="T10207">
        <v>-0.2153881</v>
      </c>
      <c r="U10207">
        <v>2.5547789999999999</v>
      </c>
      <c r="V10207">
        <v>0.30179549999999999</v>
      </c>
      <c r="W10207">
        <v>0.15147739999999901</v>
      </c>
      <c r="X10207">
        <v>0.94126189999999998</v>
      </c>
      <c r="Y10207">
        <v>0.3707664</v>
      </c>
      <c r="Z10207">
        <v>-5.7004399999999997E-2</v>
      </c>
      <c r="AA10207">
        <v>0.92697510000000005</v>
      </c>
      <c r="AB10207">
        <v>24</v>
      </c>
      <c r="AC10207">
        <v>8.7988999999999997</v>
      </c>
      <c r="AD10207">
        <v>-1.1167320279640001</v>
      </c>
      <c r="AE10207">
        <v>13.1175</v>
      </c>
      <c r="AF10207">
        <v>5.8871152139592198</v>
      </c>
      <c r="AG10207">
        <v>-1.1167320279640001</v>
      </c>
      <c r="AH10207">
        <v>14.5724300724023</v>
      </c>
      <c r="AI10207">
        <v>94.064261864506307</v>
      </c>
      <c r="AJ10207">
        <v>68.001787083771504</v>
      </c>
      <c r="AK10207">
        <v>15.7562982384749</v>
      </c>
      <c r="AL10207">
        <v>81.2874457622721</v>
      </c>
      <c r="AM10207">
        <v>72.222662871267602</v>
      </c>
      <c r="AN10207">
        <v>0.99999994546130799</v>
      </c>
    </row>
    <row r="10208" spans="1:40" x14ac:dyDescent="0.25">
      <c r="A10208" t="str">
        <f>"20190303162147657"</f>
        <v>20190303162147657</v>
      </c>
      <c r="B10208" t="str">
        <f>"1551601307642434"</f>
        <v>1551601307642434</v>
      </c>
      <c r="C10208" t="s">
        <v>40</v>
      </c>
      <c r="D10208">
        <v>5.175827</v>
      </c>
      <c r="E10208">
        <v>0.53520509999999999</v>
      </c>
      <c r="F10208" t="s">
        <v>50</v>
      </c>
      <c r="G10208">
        <v>-176.5513</v>
      </c>
      <c r="H10208" s="1">
        <v>-5.0176970000000004E-6</v>
      </c>
      <c r="I10208">
        <v>134.64779999999999</v>
      </c>
      <c r="J10208">
        <v>-185.32329999999999</v>
      </c>
      <c r="K10208">
        <v>1.116679</v>
      </c>
      <c r="L10208">
        <v>121.6751</v>
      </c>
      <c r="M10208">
        <v>0.2094589</v>
      </c>
      <c r="N10208">
        <v>-1.521436E-2</v>
      </c>
      <c r="O10208">
        <v>0.97769910000000004</v>
      </c>
      <c r="P10208">
        <v>0.49052859999999998</v>
      </c>
      <c r="Q10208">
        <v>0.14037729999999901</v>
      </c>
      <c r="R10208">
        <v>0.86004419999999904</v>
      </c>
      <c r="S10208">
        <v>1.712631</v>
      </c>
      <c r="T10208">
        <v>-0.2172636</v>
      </c>
      <c r="U10208">
        <v>2.5481569999999998</v>
      </c>
      <c r="V10208">
        <v>0.30137609999999998</v>
      </c>
      <c r="W10208">
        <v>0.1509924</v>
      </c>
      <c r="X10208">
        <v>0.94147429999999999</v>
      </c>
      <c r="Y10208">
        <v>0.37042720000000001</v>
      </c>
      <c r="Z10208">
        <v>-5.763385E-2</v>
      </c>
      <c r="AA10208">
        <v>0.9270718</v>
      </c>
      <c r="AB10208">
        <v>24</v>
      </c>
      <c r="AC10208">
        <v>8.7719999999999896</v>
      </c>
      <c r="AD10208">
        <v>-1.1166840176970001</v>
      </c>
      <c r="AE10208">
        <v>12.9726999999999</v>
      </c>
      <c r="AF10208">
        <v>5.8301621414593896</v>
      </c>
      <c r="AG10208">
        <v>-1.1166840176970001</v>
      </c>
      <c r="AH10208">
        <v>14.448981487243</v>
      </c>
      <c r="AI10208">
        <v>94.099387460050593</v>
      </c>
      <c r="AJ10208">
        <v>68.025930671111297</v>
      </c>
      <c r="AK10208">
        <v>15.620846321815501</v>
      </c>
      <c r="AL10208">
        <v>81.315558548451406</v>
      </c>
      <c r="AM10208">
        <v>72.249569399606997</v>
      </c>
      <c r="AN10208">
        <v>1.0000000580347199</v>
      </c>
    </row>
    <row r="10209" spans="1:40" x14ac:dyDescent="0.25">
      <c r="A10209" t="str">
        <f>"20190303162147668"</f>
        <v>20190303162147668</v>
      </c>
      <c r="B10209" t="str">
        <f>"1551601307662930"</f>
        <v>1551601307662930</v>
      </c>
      <c r="C10209" t="s">
        <v>40</v>
      </c>
      <c r="D10209">
        <v>5.19156</v>
      </c>
      <c r="E10209">
        <v>0.53498080000000003</v>
      </c>
      <c r="F10209" t="s">
        <v>50</v>
      </c>
      <c r="G10209">
        <v>-176.54339999999999</v>
      </c>
      <c r="H10209" s="1">
        <v>-5.0085670000000004E-6</v>
      </c>
      <c r="I10209">
        <v>134.63800000000001</v>
      </c>
      <c r="J10209">
        <v>-185.2944</v>
      </c>
      <c r="K10209">
        <v>1.116635</v>
      </c>
      <c r="L10209">
        <v>121.7906</v>
      </c>
      <c r="M10209">
        <v>0.21323629999999999</v>
      </c>
      <c r="N10209">
        <v>-1.5222100000000001E-2</v>
      </c>
      <c r="O10209">
        <v>0.97688200000000003</v>
      </c>
      <c r="P10209">
        <v>0.49354369999999997</v>
      </c>
      <c r="Q10209">
        <v>0.14022229999999999</v>
      </c>
      <c r="R10209">
        <v>0.85834279999999996</v>
      </c>
      <c r="S10209">
        <v>1.7216800000000001</v>
      </c>
      <c r="T10209">
        <v>-0.21897420000000001</v>
      </c>
      <c r="U10209">
        <v>2.5419459999999998</v>
      </c>
      <c r="V10209">
        <v>0.30105080000000001</v>
      </c>
      <c r="W10209">
        <v>0.15081559999999999</v>
      </c>
      <c r="X10209">
        <v>0.94160659999999896</v>
      </c>
      <c r="Y10209">
        <v>0.37013180000000001</v>
      </c>
      <c r="Z10209">
        <v>-5.8206389999999997E-2</v>
      </c>
      <c r="AA10209">
        <v>0.92715400000000003</v>
      </c>
      <c r="AB10209">
        <v>24</v>
      </c>
      <c r="AC10209">
        <v>8.7509999999999994</v>
      </c>
      <c r="AD10209">
        <v>-1.1166400085670001</v>
      </c>
      <c r="AE10209">
        <v>12.8474</v>
      </c>
      <c r="AF10209">
        <v>5.78000993014233</v>
      </c>
      <c r="AG10209">
        <v>-1.1166400085670001</v>
      </c>
      <c r="AH10209">
        <v>14.344077999888</v>
      </c>
      <c r="AI10209">
        <v>94.129880764146606</v>
      </c>
      <c r="AJ10209">
        <v>68.052810903212801</v>
      </c>
      <c r="AK10209">
        <v>15.5050950776881</v>
      </c>
      <c r="AL10209">
        <v>81.325804925475794</v>
      </c>
      <c r="AM10209">
        <v>72.269863535413805</v>
      </c>
      <c r="AN10209">
        <v>0.99999995927377905</v>
      </c>
    </row>
    <row r="10210" spans="1:40" x14ac:dyDescent="0.25">
      <c r="A10210" t="str">
        <f>"20190303162147680"</f>
        <v>20190303162147680</v>
      </c>
      <c r="B10210" t="str">
        <f>"1551601307672690"</f>
        <v>1551601307672690</v>
      </c>
      <c r="C10210" t="s">
        <v>40</v>
      </c>
      <c r="D10210">
        <v>5.1859219999999997</v>
      </c>
      <c r="E10210">
        <v>0.534856</v>
      </c>
      <c r="F10210" t="s">
        <v>50</v>
      </c>
      <c r="G10210">
        <v>-176.50040000000001</v>
      </c>
      <c r="H10210" s="1">
        <v>-4.997047E-6</v>
      </c>
      <c r="I10210">
        <v>134.6849</v>
      </c>
      <c r="J10210">
        <v>-185.25960000000001</v>
      </c>
      <c r="K10210">
        <v>1.116584</v>
      </c>
      <c r="L10210">
        <v>121.9265</v>
      </c>
      <c r="M10210">
        <v>0.21774950000000001</v>
      </c>
      <c r="N10210">
        <v>-1.5231730000000001E-2</v>
      </c>
      <c r="O10210">
        <v>0.97588580000000003</v>
      </c>
      <c r="P10210">
        <v>0.49692999999999998</v>
      </c>
      <c r="Q10210">
        <v>0.1403874</v>
      </c>
      <c r="R10210">
        <v>0.85635969999999995</v>
      </c>
      <c r="S10210">
        <v>1.729813</v>
      </c>
      <c r="T10210">
        <v>-0.21964800000000001</v>
      </c>
      <c r="U10210">
        <v>2.5363769999999999</v>
      </c>
      <c r="V10210">
        <v>0.3004462</v>
      </c>
      <c r="W10210">
        <v>0.15095610000000001</v>
      </c>
      <c r="X10210">
        <v>0.94177719999999998</v>
      </c>
      <c r="Y10210">
        <v>0.36880810000000003</v>
      </c>
      <c r="Z10210">
        <v>-5.842547E-2</v>
      </c>
      <c r="AA10210">
        <v>0.92766749999999998</v>
      </c>
      <c r="AB10210">
        <v>24</v>
      </c>
      <c r="AC10210">
        <v>8.7591999999999892</v>
      </c>
      <c r="AD10210">
        <v>-1.116588997047</v>
      </c>
      <c r="AE10210">
        <v>12.7583999999999</v>
      </c>
      <c r="AF10210">
        <v>5.7406291828616904</v>
      </c>
      <c r="AG10210">
        <v>-1.116588997047</v>
      </c>
      <c r="AH10210">
        <v>14.285353567352701</v>
      </c>
      <c r="AI10210">
        <v>94.148184879531598</v>
      </c>
      <c r="AJ10210">
        <v>68.107065277693096</v>
      </c>
      <c r="AK10210">
        <v>15.436091504902601</v>
      </c>
      <c r="AL10210">
        <v>81.317661808283603</v>
      </c>
      <c r="AM10210">
        <v>72.306252890012303</v>
      </c>
      <c r="AN10210">
        <v>0.99999997883074399</v>
      </c>
    </row>
    <row r="10211" spans="1:40" x14ac:dyDescent="0.25">
      <c r="A10211" t="str">
        <f>"20190303162147694"</f>
        <v>20190303162147694</v>
      </c>
      <c r="B10211" t="str">
        <f>"1551601307682451"</f>
        <v>1551601307682451</v>
      </c>
      <c r="C10211" t="s">
        <v>40</v>
      </c>
      <c r="D10211">
        <v>5.1970450000000001</v>
      </c>
      <c r="E10211">
        <v>0.53472449999999905</v>
      </c>
      <c r="F10211" t="s">
        <v>50</v>
      </c>
      <c r="G10211">
        <v>-176.41050000000001</v>
      </c>
      <c r="H10211" s="1">
        <v>-4.9765149999999999E-6</v>
      </c>
      <c r="I10211">
        <v>134.79239999999999</v>
      </c>
      <c r="J10211">
        <v>-185.22640000000001</v>
      </c>
      <c r="K10211">
        <v>1.116533</v>
      </c>
      <c r="L10211">
        <v>122.0531</v>
      </c>
      <c r="M10211">
        <v>0.2220203</v>
      </c>
      <c r="N10211">
        <v>-1.5241340000000001E-2</v>
      </c>
      <c r="O10211">
        <v>0.97492290000000004</v>
      </c>
      <c r="P10211">
        <v>0.50006689999999998</v>
      </c>
      <c r="Q10211">
        <v>0.14109479999999999</v>
      </c>
      <c r="R10211">
        <v>0.85441520000000004</v>
      </c>
      <c r="S10211">
        <v>1.739838</v>
      </c>
      <c r="T10211">
        <v>-0.21953590000000001</v>
      </c>
      <c r="U10211">
        <v>2.5296020000000001</v>
      </c>
      <c r="V10211">
        <v>0.29983169999999998</v>
      </c>
      <c r="W10211">
        <v>0.1516381</v>
      </c>
      <c r="X10211">
        <v>0.94186349999999996</v>
      </c>
      <c r="Y10211">
        <v>0.36839680000000002</v>
      </c>
      <c r="Z10211">
        <v>-5.8390249999999998E-2</v>
      </c>
      <c r="AA10211">
        <v>0.92783309999999997</v>
      </c>
      <c r="AB10211">
        <v>24</v>
      </c>
      <c r="AC10211">
        <v>8.8158999999999992</v>
      </c>
      <c r="AD10211">
        <v>-1.1165379765150001</v>
      </c>
      <c r="AE10211">
        <v>12.739299999999901</v>
      </c>
      <c r="AF10211">
        <v>5.7373088699855801</v>
      </c>
      <c r="AG10211">
        <v>-1.1165379765150001</v>
      </c>
      <c r="AH10211">
        <v>14.304514063045801</v>
      </c>
      <c r="AI10211">
        <v>94.143558902729893</v>
      </c>
      <c r="AJ10211">
        <v>68.145078445561197</v>
      </c>
      <c r="AK10211">
        <v>15.4525885437518</v>
      </c>
      <c r="AL10211">
        <v>81.278131268815898</v>
      </c>
      <c r="AM10211">
        <v>72.341708430419402</v>
      </c>
      <c r="AN10211">
        <v>1.00000000716437</v>
      </c>
    </row>
    <row r="10212" spans="1:40" x14ac:dyDescent="0.25">
      <c r="A10212" t="str">
        <f>"20190303162147707"</f>
        <v>20190303162147707</v>
      </c>
      <c r="B10212" t="str">
        <f>"1551601307693186"</f>
        <v>1551601307693186</v>
      </c>
      <c r="C10212" t="s">
        <v>40</v>
      </c>
      <c r="D10212">
        <v>5.2011900000000004</v>
      </c>
      <c r="E10212">
        <v>0.53459590000000001</v>
      </c>
      <c r="F10212" t="s">
        <v>50</v>
      </c>
      <c r="G10212">
        <v>-176.24619999999999</v>
      </c>
      <c r="H10212" s="1">
        <v>-4.9452249999999997E-6</v>
      </c>
      <c r="I10212">
        <v>135.00530000000001</v>
      </c>
      <c r="J10212">
        <v>-185.18889999999999</v>
      </c>
      <c r="K10212">
        <v>1.116476</v>
      </c>
      <c r="L10212">
        <v>122.19410000000001</v>
      </c>
      <c r="M10212">
        <v>0.22682430000000001</v>
      </c>
      <c r="N10212">
        <v>-1.52522E-2</v>
      </c>
      <c r="O10212">
        <v>0.97381629999999997</v>
      </c>
      <c r="P10212">
        <v>0.50431380000000003</v>
      </c>
      <c r="Q10212">
        <v>0.1426769</v>
      </c>
      <c r="R10212">
        <v>0.85165190000000002</v>
      </c>
      <c r="S10212">
        <v>1.74942</v>
      </c>
      <c r="T10212">
        <v>-0.21751139999999999</v>
      </c>
      <c r="U10212">
        <v>2.523209</v>
      </c>
      <c r="V10212">
        <v>0.29998269999999999</v>
      </c>
      <c r="W10212">
        <v>0.15317349999999999</v>
      </c>
      <c r="X10212">
        <v>0.94156689999999998</v>
      </c>
      <c r="Y10212">
        <v>0.36731989999999998</v>
      </c>
      <c r="Z10212">
        <v>-5.7715089999999997E-2</v>
      </c>
      <c r="AA10212">
        <v>0.92830230000000002</v>
      </c>
      <c r="AB10212">
        <v>24</v>
      </c>
      <c r="AC10212">
        <v>8.9427000000000003</v>
      </c>
      <c r="AD10212">
        <v>-1.116480945225</v>
      </c>
      <c r="AE10212">
        <v>12.811199999999999</v>
      </c>
      <c r="AF10212">
        <v>5.7738453012337896</v>
      </c>
      <c r="AG10212">
        <v>-1.116480945225</v>
      </c>
      <c r="AH10212">
        <v>14.4321636416663</v>
      </c>
      <c r="AI10212">
        <v>94.1082623574965</v>
      </c>
      <c r="AJ10212">
        <v>68.1952371533377</v>
      </c>
      <c r="AK10212">
        <v>15.5843243884188</v>
      </c>
      <c r="AL10212">
        <v>81.189119281430806</v>
      </c>
      <c r="AM10212">
        <v>72.328149477143</v>
      </c>
      <c r="AN10212">
        <v>0.99999998428857395</v>
      </c>
    </row>
    <row r="10213" spans="1:40" x14ac:dyDescent="0.25">
      <c r="A10213" t="str">
        <f>"20190303162147720"</f>
        <v>20190303162147720</v>
      </c>
      <c r="B10213" t="str">
        <f>"1551601307712707"</f>
        <v>1551601307712707</v>
      </c>
      <c r="C10213" t="s">
        <v>40</v>
      </c>
      <c r="D10213">
        <v>5.2012739999999997</v>
      </c>
      <c r="E10213">
        <v>0.53435140000000003</v>
      </c>
      <c r="F10213" t="s">
        <v>50</v>
      </c>
      <c r="G10213">
        <v>-175.93510000000001</v>
      </c>
      <c r="H10213" s="1">
        <v>-4.8819270000000003E-6</v>
      </c>
      <c r="I10213">
        <v>135.39769999999999</v>
      </c>
      <c r="J10213">
        <v>-185.1507</v>
      </c>
      <c r="K10213">
        <v>1.116417</v>
      </c>
      <c r="L10213">
        <v>122.3338</v>
      </c>
      <c r="M10213">
        <v>0.2316831</v>
      </c>
      <c r="N10213">
        <v>-1.526398E-2</v>
      </c>
      <c r="O10213">
        <v>0.97267159999999997</v>
      </c>
      <c r="P10213">
        <v>0.50985059999999904</v>
      </c>
      <c r="Q10213">
        <v>0.14760319999999999</v>
      </c>
      <c r="R10213">
        <v>0.84750559999999997</v>
      </c>
      <c r="S10213">
        <v>1.7623439999999999</v>
      </c>
      <c r="T10213">
        <v>-0.21262980000000001</v>
      </c>
      <c r="U10213">
        <v>2.5145870000000001</v>
      </c>
      <c r="V10213">
        <v>0.30170590000000003</v>
      </c>
      <c r="W10213">
        <v>0.15801519999999999</v>
      </c>
      <c r="X10213">
        <v>0.94021520000000003</v>
      </c>
      <c r="Y10213">
        <v>0.3674308</v>
      </c>
      <c r="Z10213">
        <v>-5.6107379999999998E-2</v>
      </c>
      <c r="AA10213">
        <v>0.92835690000000004</v>
      </c>
      <c r="AB10213">
        <v>24</v>
      </c>
      <c r="AC10213">
        <v>9.2155999999999896</v>
      </c>
      <c r="AD10213">
        <v>-1.116421881927</v>
      </c>
      <c r="AE10213">
        <v>13.063899999999901</v>
      </c>
      <c r="AF10213">
        <v>5.9089440796761803</v>
      </c>
      <c r="AG10213">
        <v>-1.116421881927</v>
      </c>
      <c r="AH10213">
        <v>14.7716778711382</v>
      </c>
      <c r="AI10213">
        <v>94.014006317104204</v>
      </c>
      <c r="AJ10213">
        <v>68.197677903558997</v>
      </c>
      <c r="AK10213">
        <v>15.948808265317499</v>
      </c>
      <c r="AL10213">
        <v>80.9082893653962</v>
      </c>
      <c r="AM10213">
        <v>72.2090702541133</v>
      </c>
      <c r="AN10213">
        <v>0.99999993791844299</v>
      </c>
    </row>
    <row r="10214" spans="1:40" x14ac:dyDescent="0.25">
      <c r="A10214" t="str">
        <f>"20190303162147736"</f>
        <v>20190303162147736</v>
      </c>
      <c r="B10214" t="str">
        <f>"1551601307723442"</f>
        <v>1551601307723442</v>
      </c>
      <c r="C10214" t="s">
        <v>40</v>
      </c>
      <c r="D10214">
        <v>5.2586240000000002</v>
      </c>
      <c r="E10214">
        <v>0.53438669999999899</v>
      </c>
      <c r="F10214" t="s">
        <v>50</v>
      </c>
      <c r="G10214">
        <v>-175.149</v>
      </c>
      <c r="H10214" s="1">
        <v>-4.7312270000000002E-6</v>
      </c>
      <c r="I10214">
        <v>136.41380000000001</v>
      </c>
      <c r="J10214">
        <v>-185.10499999999999</v>
      </c>
      <c r="K10214">
        <v>1.1163430000000001</v>
      </c>
      <c r="L10214">
        <v>122.4966</v>
      </c>
      <c r="M10214">
        <v>0.23744100000000001</v>
      </c>
      <c r="N10214">
        <v>-1.527834E-2</v>
      </c>
      <c r="O10214">
        <v>0.97128179999999997</v>
      </c>
      <c r="P10214">
        <v>0.51576659999999996</v>
      </c>
      <c r="Q10214">
        <v>0.14976639999999999</v>
      </c>
      <c r="R10214">
        <v>0.84353709999999904</v>
      </c>
      <c r="S10214">
        <v>1.77887</v>
      </c>
      <c r="T10214">
        <v>-0.19856299999999999</v>
      </c>
      <c r="U10214">
        <v>2.5042270000000002</v>
      </c>
      <c r="V10214">
        <v>0.30286729999999901</v>
      </c>
      <c r="W10214">
        <v>0.16010450000000001</v>
      </c>
      <c r="X10214">
        <v>0.9394882</v>
      </c>
      <c r="Y10214">
        <v>0.36796800000000002</v>
      </c>
      <c r="Z10214">
        <v>-5.1463620000000002E-2</v>
      </c>
      <c r="AA10214">
        <v>0.92841320000000005</v>
      </c>
      <c r="AB10214">
        <v>24</v>
      </c>
      <c r="AC10214">
        <v>9.95599999999998</v>
      </c>
      <c r="AD10214">
        <v>-1.116347731227</v>
      </c>
      <c r="AE10214">
        <v>13.917199999999999</v>
      </c>
      <c r="AF10214">
        <v>6.3393299592324404</v>
      </c>
      <c r="AG10214">
        <v>-1.116347731227</v>
      </c>
      <c r="AH10214">
        <v>15.8160249577729</v>
      </c>
      <c r="AI10214">
        <v>93.748462127169006</v>
      </c>
      <c r="AJ10214">
        <v>68.158253232409393</v>
      </c>
      <c r="AK10214">
        <v>17.0757132224084</v>
      </c>
      <c r="AL10214">
        <v>80.7870387805376</v>
      </c>
      <c r="AM10214">
        <v>72.131987643923694</v>
      </c>
      <c r="AN10214">
        <v>1.0000000651343799</v>
      </c>
    </row>
    <row r="10215" spans="1:40" x14ac:dyDescent="0.25">
      <c r="A10215" t="str">
        <f>"20190303162147750"</f>
        <v>20190303162147750</v>
      </c>
      <c r="B10215" t="str">
        <f>"1551601307742962"</f>
        <v>1551601307742962</v>
      </c>
      <c r="C10215" t="s">
        <v>40</v>
      </c>
      <c r="D10215">
        <v>5.2635709999999998</v>
      </c>
      <c r="E10215">
        <v>0.55953560000000002</v>
      </c>
      <c r="F10215" t="s">
        <v>50</v>
      </c>
      <c r="G10215">
        <v>-174.65950000000001</v>
      </c>
      <c r="H10215" s="1">
        <v>-4.6826940000000003E-6</v>
      </c>
      <c r="I10215">
        <v>136.97810000000001</v>
      </c>
      <c r="J10215">
        <v>-185.06290000000001</v>
      </c>
      <c r="K10215">
        <v>1.116279</v>
      </c>
      <c r="L10215">
        <v>122.64409999999999</v>
      </c>
      <c r="M10215">
        <v>0.2427253</v>
      </c>
      <c r="N10215">
        <v>-1.529146E-2</v>
      </c>
      <c r="O10215">
        <v>0.96997449999999996</v>
      </c>
      <c r="P10215">
        <v>0.52122950000000001</v>
      </c>
      <c r="Q10215">
        <v>0.15117700000000001</v>
      </c>
      <c r="R10215">
        <v>0.83991990000000005</v>
      </c>
      <c r="S10215">
        <v>1.79722599999999</v>
      </c>
      <c r="T10215">
        <v>-0.19207579999999999</v>
      </c>
      <c r="U10215">
        <v>2.491638</v>
      </c>
      <c r="V10215">
        <v>0.3039597</v>
      </c>
      <c r="W10215">
        <v>0.16145139999999999</v>
      </c>
      <c r="X10215">
        <v>0.93890459999999998</v>
      </c>
      <c r="Y10215">
        <v>0.36969980000000002</v>
      </c>
      <c r="Z10215">
        <v>-4.9340830000000002E-2</v>
      </c>
      <c r="AA10215">
        <v>0.9278402</v>
      </c>
      <c r="AB10215">
        <v>24</v>
      </c>
      <c r="AC10215">
        <v>10.4034</v>
      </c>
      <c r="AD10215">
        <v>-1.1162836826939999</v>
      </c>
      <c r="AE10215">
        <v>14.334</v>
      </c>
      <c r="AF10215">
        <v>6.5864183834163796</v>
      </c>
      <c r="AG10215">
        <v>-1.1162836826939999</v>
      </c>
      <c r="AH10215">
        <v>16.365695011085499</v>
      </c>
      <c r="AI10215">
        <v>93.620653896795801</v>
      </c>
      <c r="AJ10215">
        <v>68.077546349201896</v>
      </c>
      <c r="AK10215">
        <v>17.6766221201202</v>
      </c>
      <c r="AL10215">
        <v>80.708848832381904</v>
      </c>
      <c r="AM10215">
        <v>72.061228806915594</v>
      </c>
      <c r="AN10215">
        <v>0.99999995084360305</v>
      </c>
    </row>
    <row r="10216" spans="1:40" x14ac:dyDescent="0.25">
      <c r="A10216" t="str">
        <f>"20190303162147765"</f>
        <v>20190303162147765</v>
      </c>
      <c r="B10216" t="str">
        <f>"1551601307752723"</f>
        <v>1551601307752723</v>
      </c>
      <c r="C10216" t="s">
        <v>40</v>
      </c>
      <c r="D10216">
        <v>5.1146900000000004</v>
      </c>
      <c r="E10216">
        <v>0.56608740000000002</v>
      </c>
      <c r="F10216" t="s">
        <v>50</v>
      </c>
      <c r="G10216">
        <v>-170.54230000000001</v>
      </c>
      <c r="H10216" s="1">
        <v>-3.9740100000000003E-6</v>
      </c>
      <c r="I10216">
        <v>139.97479999999999</v>
      </c>
      <c r="J10216">
        <v>-185.0188</v>
      </c>
      <c r="K10216">
        <v>1.1162099999999999</v>
      </c>
      <c r="L10216">
        <v>122.795</v>
      </c>
      <c r="M10216">
        <v>0.24819840000000001</v>
      </c>
      <c r="N10216">
        <v>-1.530479E-2</v>
      </c>
      <c r="O10216">
        <v>0.96858829999999996</v>
      </c>
      <c r="P10216">
        <v>0.52730980000000005</v>
      </c>
      <c r="Q10216">
        <v>0.15199089999999901</v>
      </c>
      <c r="R10216">
        <v>0.83596839999999994</v>
      </c>
      <c r="S10216">
        <v>1.984024</v>
      </c>
      <c r="T10216">
        <v>-0.15252349999999901</v>
      </c>
      <c r="U10216">
        <v>2.3679809999999999</v>
      </c>
      <c r="V10216">
        <v>0.30554799999999999</v>
      </c>
      <c r="W10216">
        <v>0.162195799999999</v>
      </c>
      <c r="X10216">
        <v>0.9382606</v>
      </c>
      <c r="Y10216">
        <v>0.43123519999999999</v>
      </c>
      <c r="Z10216">
        <v>-3.6595000000000003E-2</v>
      </c>
      <c r="AA10216">
        <v>0.90149710000000005</v>
      </c>
      <c r="AB10216">
        <v>24</v>
      </c>
      <c r="AC10216">
        <v>14.4764999999999</v>
      </c>
      <c r="AD10216">
        <v>-1.1162139740100001</v>
      </c>
      <c r="AE10216">
        <v>17.179799999999901</v>
      </c>
      <c r="AF10216">
        <v>9.7348813418769495</v>
      </c>
      <c r="AG10216">
        <v>-1.1162139740100001</v>
      </c>
      <c r="AH10216">
        <v>20.1857374178113</v>
      </c>
      <c r="AI10216">
        <v>92.851406860249</v>
      </c>
      <c r="AJ10216">
        <v>64.253598232160996</v>
      </c>
      <c r="AK10216">
        <v>22.4383119569416</v>
      </c>
      <c r="AL10216">
        <v>80.665628706292097</v>
      </c>
      <c r="AM10216">
        <v>71.961970802186798</v>
      </c>
      <c r="AN10216">
        <v>1.000000005677</v>
      </c>
    </row>
    <row r="10217" spans="1:40" x14ac:dyDescent="0.25">
      <c r="A10217" t="str">
        <f>"20190303162147779"</f>
        <v>20190303162147779</v>
      </c>
      <c r="B10217" t="str">
        <f>"1551601307773218"</f>
        <v>1551601307773218</v>
      </c>
      <c r="C10217" t="s">
        <v>40</v>
      </c>
      <c r="D10217">
        <v>5.152272</v>
      </c>
      <c r="E10217">
        <v>0.57351200000000002</v>
      </c>
      <c r="F10217" t="s">
        <v>41</v>
      </c>
      <c r="G10217">
        <v>-169.48929999999999</v>
      </c>
      <c r="H10217" s="1">
        <v>-4.4256229999999999E-7</v>
      </c>
      <c r="I10217">
        <v>140.44579999999999</v>
      </c>
      <c r="J10217">
        <v>-184.9768</v>
      </c>
      <c r="K10217">
        <v>1.1161540000000001</v>
      </c>
      <c r="L10217">
        <v>122.9345</v>
      </c>
      <c r="M10217">
        <v>0.25334309999999999</v>
      </c>
      <c r="N10217">
        <v>-1.531627E-2</v>
      </c>
      <c r="O10217">
        <v>0.96725519999999998</v>
      </c>
      <c r="P10217">
        <v>0.53285579999999999</v>
      </c>
      <c r="Q10217">
        <v>0.15132190000000001</v>
      </c>
      <c r="R10217">
        <v>0.83256609999999998</v>
      </c>
      <c r="S10217">
        <v>2.045639</v>
      </c>
      <c r="T10217">
        <v>-0.1470342</v>
      </c>
      <c r="U10217">
        <v>2.3250730000000002</v>
      </c>
      <c r="V10217">
        <v>0.3067802</v>
      </c>
      <c r="W10217">
        <v>0.1614815</v>
      </c>
      <c r="X10217">
        <v>0.93798170000000003</v>
      </c>
      <c r="Y10217">
        <v>0.44817600000000002</v>
      </c>
      <c r="Z10217">
        <v>-3.4837680000000003E-2</v>
      </c>
      <c r="AA10217">
        <v>0.89326629999999996</v>
      </c>
      <c r="AB10217">
        <v>24</v>
      </c>
      <c r="AC10217">
        <v>15.487500000000001</v>
      </c>
      <c r="AD10217">
        <v>-1.1161544425623</v>
      </c>
      <c r="AE10217">
        <v>17.511299999999899</v>
      </c>
      <c r="AF10217">
        <v>10.521251316295301</v>
      </c>
      <c r="AG10217">
        <v>-1.1161544425623</v>
      </c>
      <c r="AH10217">
        <v>20.8165426290557</v>
      </c>
      <c r="AI10217">
        <v>92.739720421880506</v>
      </c>
      <c r="AJ10217">
        <v>63.186714938897403</v>
      </c>
      <c r="AK10217">
        <v>23.351038028909802</v>
      </c>
      <c r="AL10217">
        <v>80.707101925759005</v>
      </c>
      <c r="AM10217">
        <v>71.888934157055303</v>
      </c>
      <c r="AN10217">
        <v>1.00000001774458</v>
      </c>
    </row>
    <row r="10218" spans="1:40" x14ac:dyDescent="0.25">
      <c r="A10218" t="str">
        <f>"20190303162147790"</f>
        <v>20190303162147790</v>
      </c>
      <c r="B10218" t="str">
        <f>"1551601307782978"</f>
        <v>1551601307782978</v>
      </c>
      <c r="C10218" t="s">
        <v>40</v>
      </c>
      <c r="D10218">
        <v>5.1537160000000002</v>
      </c>
      <c r="E10218">
        <v>0.57527430000000002</v>
      </c>
      <c r="F10218" t="s">
        <v>41</v>
      </c>
      <c r="G10218">
        <v>-169.22720000000001</v>
      </c>
      <c r="H10218" s="1">
        <v>-4.3559590000000001E-7</v>
      </c>
      <c r="I10218">
        <v>139.95400000000001</v>
      </c>
      <c r="J10218">
        <v>-184.93979999999999</v>
      </c>
      <c r="K10218">
        <v>1.1161049999999999</v>
      </c>
      <c r="L10218">
        <v>123.0557</v>
      </c>
      <c r="M10218">
        <v>0.2578377</v>
      </c>
      <c r="N10218">
        <v>-1.5325180000000001E-2</v>
      </c>
      <c r="O10218">
        <v>0.96606669999999994</v>
      </c>
      <c r="P10218">
        <v>0.53822530000000002</v>
      </c>
      <c r="Q10218">
        <v>0.15075359999999999</v>
      </c>
      <c r="R10218">
        <v>0.82920859999999996</v>
      </c>
      <c r="S10218">
        <v>2.1099700000000001</v>
      </c>
      <c r="T10218">
        <v>-0.1495312</v>
      </c>
      <c r="U10218">
        <v>2.280106</v>
      </c>
      <c r="V10218">
        <v>0.30846299999999999</v>
      </c>
      <c r="W10218">
        <v>0.16086739999999999</v>
      </c>
      <c r="X10218">
        <v>0.93753520000000001</v>
      </c>
      <c r="Y10218">
        <v>0.46632630000000003</v>
      </c>
      <c r="Z10218">
        <v>-3.5706519999999999E-2</v>
      </c>
      <c r="AA10218">
        <v>0.88389189999999995</v>
      </c>
      <c r="AB10218">
        <v>24</v>
      </c>
      <c r="AC10218">
        <v>15.712599999999901</v>
      </c>
      <c r="AD10218">
        <v>-1.1161054355958999</v>
      </c>
      <c r="AE10218">
        <v>16.898299999999999</v>
      </c>
      <c r="AF10218">
        <v>10.7984079506912</v>
      </c>
      <c r="AG10218">
        <v>-1.1161054355958999</v>
      </c>
      <c r="AH10218">
        <v>20.331012290281599</v>
      </c>
      <c r="AI10218">
        <v>92.775672036232507</v>
      </c>
      <c r="AJ10218">
        <v>62.0258937604465</v>
      </c>
      <c r="AK10218">
        <v>23.047806107317399</v>
      </c>
      <c r="AL10218">
        <v>80.742753179585307</v>
      </c>
      <c r="AM10218">
        <v>71.7880268860538</v>
      </c>
      <c r="AN10218">
        <v>0.99999999699539999</v>
      </c>
    </row>
    <row r="10219" spans="1:40" x14ac:dyDescent="0.25">
      <c r="A10219" t="str">
        <f>"20190303162147801"</f>
        <v>20190303162147801</v>
      </c>
      <c r="B10219" t="str">
        <f>"1551601307792739"</f>
        <v>1551601307792739</v>
      </c>
      <c r="C10219" t="s">
        <v>40</v>
      </c>
      <c r="D10219">
        <v>5.1695010000000003</v>
      </c>
      <c r="E10219">
        <v>0.57605669999999898</v>
      </c>
      <c r="F10219" t="s">
        <v>41</v>
      </c>
      <c r="G10219">
        <v>-168.78</v>
      </c>
      <c r="H10219" s="1">
        <v>-6.9898729999999999E-7</v>
      </c>
      <c r="I10219">
        <v>140.14930000000001</v>
      </c>
      <c r="J10219">
        <v>-184.9041</v>
      </c>
      <c r="K10219">
        <v>1.1160669999999999</v>
      </c>
      <c r="L10219">
        <v>123.1708</v>
      </c>
      <c r="M10219">
        <v>0.26213049999999999</v>
      </c>
      <c r="N10219">
        <v>-1.5332739999999999E-2</v>
      </c>
      <c r="O10219">
        <v>0.96491059999999995</v>
      </c>
      <c r="P10219">
        <v>0.54396929999999999</v>
      </c>
      <c r="Q10219">
        <v>0.14974609999999999</v>
      </c>
      <c r="R10219">
        <v>0.82563529999999996</v>
      </c>
      <c r="S10219">
        <v>2.1353300000000002</v>
      </c>
      <c r="T10219">
        <v>-0.14748059999999999</v>
      </c>
      <c r="U10219">
        <v>2.2587280000000001</v>
      </c>
      <c r="V10219">
        <v>0.310755</v>
      </c>
      <c r="W10219">
        <v>0.1598089</v>
      </c>
      <c r="X10219">
        <v>0.93695910000000004</v>
      </c>
      <c r="Y10219">
        <v>0.47182249999999998</v>
      </c>
      <c r="Z10219">
        <v>-3.5078810000000002E-2</v>
      </c>
      <c r="AA10219">
        <v>0.88099550000000004</v>
      </c>
      <c r="AB10219">
        <v>24</v>
      </c>
      <c r="AC10219">
        <v>16.124099999999999</v>
      </c>
      <c r="AD10219">
        <v>-1.1160676989873</v>
      </c>
      <c r="AE10219">
        <v>16.9785</v>
      </c>
      <c r="AF10219">
        <v>11.0838565476427</v>
      </c>
      <c r="AG10219">
        <v>-1.1160676989873</v>
      </c>
      <c r="AH10219">
        <v>20.565053782515498</v>
      </c>
      <c r="AI10219">
        <v>92.735123594870203</v>
      </c>
      <c r="AJ10219">
        <v>61.676859864103498</v>
      </c>
      <c r="AK10219">
        <v>23.3884356072654</v>
      </c>
      <c r="AL10219">
        <v>80.804195308647806</v>
      </c>
      <c r="AM10219">
        <v>71.651208638958806</v>
      </c>
      <c r="AN10219">
        <v>0.99999995480850901</v>
      </c>
    </row>
    <row r="10220" spans="1:40" x14ac:dyDescent="0.25">
      <c r="A10220" t="str">
        <f>"20190303162147816"</f>
        <v>20190303162147816</v>
      </c>
      <c r="B10220" t="str">
        <f>"1551601307802499"</f>
        <v>1551601307802499</v>
      </c>
      <c r="C10220" t="s">
        <v>40</v>
      </c>
      <c r="D10220">
        <v>5.1358920000000001</v>
      </c>
      <c r="E10220">
        <v>0.57681419999999906</v>
      </c>
      <c r="F10220" t="s">
        <v>41</v>
      </c>
      <c r="G10220">
        <v>-169.39750000000001</v>
      </c>
      <c r="H10220" s="1">
        <v>-3.2161840000000001E-7</v>
      </c>
      <c r="I10220">
        <v>139.29859999999999</v>
      </c>
      <c r="J10220">
        <v>-184.86510000000001</v>
      </c>
      <c r="K10220">
        <v>1.1160429999999999</v>
      </c>
      <c r="L10220">
        <v>123.29389999999999</v>
      </c>
      <c r="M10220">
        <v>0.2667486</v>
      </c>
      <c r="N10220">
        <v>-1.533906E-2</v>
      </c>
      <c r="O10220">
        <v>0.9636441</v>
      </c>
      <c r="P10220">
        <v>0.54968539999999999</v>
      </c>
      <c r="Q10220">
        <v>0.14846319999999999</v>
      </c>
      <c r="R10220">
        <v>0.82207350000000001</v>
      </c>
      <c r="S10220">
        <v>2.155319</v>
      </c>
      <c r="T10220">
        <v>-0.15512629999999999</v>
      </c>
      <c r="U10220">
        <v>2.2416689999999999</v>
      </c>
      <c r="V10220">
        <v>0.31269760000000002</v>
      </c>
      <c r="W10220">
        <v>0.15849070000000001</v>
      </c>
      <c r="X10220">
        <v>0.9365367</v>
      </c>
      <c r="Y10220">
        <v>0.47495890000000002</v>
      </c>
      <c r="Z10220">
        <v>-3.7642630000000003E-2</v>
      </c>
      <c r="AA10220">
        <v>0.8792025</v>
      </c>
      <c r="AB10220">
        <v>24</v>
      </c>
      <c r="AC10220">
        <v>15.467599999999999</v>
      </c>
      <c r="AD10220">
        <v>-1.11604332161839</v>
      </c>
      <c r="AE10220">
        <v>16.0047</v>
      </c>
      <c r="AF10220">
        <v>10.610603632570299</v>
      </c>
      <c r="AG10220">
        <v>-1.11604332161839</v>
      </c>
      <c r="AH10220">
        <v>19.502061955394598</v>
      </c>
      <c r="AI10220">
        <v>92.877743721442599</v>
      </c>
      <c r="AJ10220">
        <v>61.450449789098698</v>
      </c>
      <c r="AK10220">
        <v>22.229729702704201</v>
      </c>
      <c r="AL10220">
        <v>80.8806984701706</v>
      </c>
      <c r="AM10220">
        <v>71.536496030153003</v>
      </c>
      <c r="AN10220">
        <v>1.0000000407395599</v>
      </c>
    </row>
    <row r="10221" spans="1:40" x14ac:dyDescent="0.25">
      <c r="A10221" t="str">
        <f>"20190303162147829"</f>
        <v>20190303162147829</v>
      </c>
      <c r="B10221" t="str">
        <f>"1551601307822994"</f>
        <v>1551601307822994</v>
      </c>
      <c r="C10221" t="s">
        <v>40</v>
      </c>
      <c r="D10221">
        <v>5.1311619999999998</v>
      </c>
      <c r="E10221">
        <v>0.5775093</v>
      </c>
      <c r="F10221" t="s">
        <v>41</v>
      </c>
      <c r="G10221">
        <v>-169.68950000000001</v>
      </c>
      <c r="H10221" s="1">
        <v>-3.1863489999999998E-7</v>
      </c>
      <c r="I10221">
        <v>138.80760000000001</v>
      </c>
      <c r="J10221">
        <v>-184.81200000000001</v>
      </c>
      <c r="K10221">
        <v>1.116028</v>
      </c>
      <c r="L10221">
        <v>123.459</v>
      </c>
      <c r="M10221">
        <v>0.27295789999999998</v>
      </c>
      <c r="N10221">
        <v>-1.5345569999999999E-2</v>
      </c>
      <c r="O10221">
        <v>0.96190359999999997</v>
      </c>
      <c r="P10221">
        <v>0.55681239999999999</v>
      </c>
      <c r="Q10221">
        <v>0.14680679999999999</v>
      </c>
      <c r="R10221">
        <v>0.81756209999999996</v>
      </c>
      <c r="S10221">
        <v>2.1752319999999998</v>
      </c>
      <c r="T10221">
        <v>-0.15997059999999999</v>
      </c>
      <c r="U10221">
        <v>2.2236940000000001</v>
      </c>
      <c r="V10221">
        <v>0.31469970000000003</v>
      </c>
      <c r="W10221">
        <v>0.1568069</v>
      </c>
      <c r="X10221">
        <v>0.93614940000000002</v>
      </c>
      <c r="Y10221">
        <v>0.47681190000000001</v>
      </c>
      <c r="Z10221">
        <v>-3.9284590000000001E-2</v>
      </c>
      <c r="AA10221">
        <v>0.87812710000000005</v>
      </c>
      <c r="AB10221">
        <v>24</v>
      </c>
      <c r="AC10221">
        <v>15.1225</v>
      </c>
      <c r="AD10221">
        <v>-1.11602831863489</v>
      </c>
      <c r="AE10221">
        <v>15.348599999999999</v>
      </c>
      <c r="AF10221">
        <v>10.330371233578701</v>
      </c>
      <c r="AG10221">
        <v>-1.11602831863489</v>
      </c>
      <c r="AH10221">
        <v>18.843351837838899</v>
      </c>
      <c r="AI10221">
        <v>92.972941077708796</v>
      </c>
      <c r="AJ10221">
        <v>61.267404611560899</v>
      </c>
      <c r="AK10221">
        <v>21.518224776131799</v>
      </c>
      <c r="AL10221">
        <v>80.978394429289906</v>
      </c>
      <c r="AM10221">
        <v>71.419210093251706</v>
      </c>
      <c r="AN10221">
        <v>1.0000000020940301</v>
      </c>
    </row>
    <row r="10222" spans="1:40" x14ac:dyDescent="0.25">
      <c r="A10222" t="str">
        <f>"20190303162147841"</f>
        <v>20190303162147841</v>
      </c>
      <c r="B10222" t="str">
        <f>"1551601307832754"</f>
        <v>1551601307832754</v>
      </c>
      <c r="C10222" t="s">
        <v>40</v>
      </c>
      <c r="D10222">
        <v>5.117756</v>
      </c>
      <c r="E10222">
        <v>0.57754059999999996</v>
      </c>
      <c r="F10222" t="s">
        <v>50</v>
      </c>
      <c r="G10222">
        <v>-169.96599999999901</v>
      </c>
      <c r="H10222" s="1">
        <v>-3.0326009999999998E-6</v>
      </c>
      <c r="I10222">
        <v>138.327</v>
      </c>
      <c r="J10222">
        <v>-184.773</v>
      </c>
      <c r="K10222">
        <v>1.1160129999999999</v>
      </c>
      <c r="L10222">
        <v>123.5779</v>
      </c>
      <c r="M10222">
        <v>0.27743899999999999</v>
      </c>
      <c r="N10222">
        <v>-1.5348580000000001E-2</v>
      </c>
      <c r="O10222">
        <v>0.96062060000000005</v>
      </c>
      <c r="P10222">
        <v>0.5628476</v>
      </c>
      <c r="Q10222">
        <v>0.1432052</v>
      </c>
      <c r="R10222">
        <v>0.81406069999999997</v>
      </c>
      <c r="S10222">
        <v>2.198547</v>
      </c>
      <c r="T10222">
        <v>-0.16527339999999999</v>
      </c>
      <c r="U10222">
        <v>2.201813</v>
      </c>
      <c r="V10222">
        <v>0.31703569999999998</v>
      </c>
      <c r="W10222">
        <v>0.15318199999999901</v>
      </c>
      <c r="X10222">
        <v>0.93596140000000005</v>
      </c>
      <c r="Y10222">
        <v>0.4816704</v>
      </c>
      <c r="Z10222">
        <v>-4.1105429999999998E-2</v>
      </c>
      <c r="AA10222">
        <v>0.8753879</v>
      </c>
      <c r="AB10222">
        <v>23</v>
      </c>
      <c r="AC10222">
        <v>14.807</v>
      </c>
      <c r="AD10222">
        <v>-1.116016032601</v>
      </c>
      <c r="AE10222">
        <v>14.7491</v>
      </c>
      <c r="AF10222">
        <v>10.1043151883986</v>
      </c>
      <c r="AG10222">
        <v>-1.116016032601</v>
      </c>
      <c r="AH10222">
        <v>18.226509403786299</v>
      </c>
      <c r="AI10222">
        <v>93.065364300530504</v>
      </c>
      <c r="AJ10222">
        <v>60.9971239613905</v>
      </c>
      <c r="AK10222">
        <v>20.869794494863601</v>
      </c>
      <c r="AL10222">
        <v>81.188627045903502</v>
      </c>
      <c r="AM10222">
        <v>71.287355133466505</v>
      </c>
      <c r="AN10222">
        <v>1.00000005124422</v>
      </c>
    </row>
    <row r="10223" spans="1:40" x14ac:dyDescent="0.25">
      <c r="A10223" t="str">
        <f>"20190303162147853"</f>
        <v>20190303162147853</v>
      </c>
      <c r="B10223" t="str">
        <f>"1551601307842516"</f>
        <v>1551601307842516</v>
      </c>
      <c r="C10223" t="s">
        <v>40</v>
      </c>
      <c r="D10223">
        <v>5.063809</v>
      </c>
      <c r="E10223">
        <v>0.57782549999999999</v>
      </c>
      <c r="F10223" t="s">
        <v>50</v>
      </c>
      <c r="G10223">
        <v>-170.90430000000001</v>
      </c>
      <c r="H10223" s="1">
        <v>-3.1004910000000002E-6</v>
      </c>
      <c r="I10223">
        <v>137.2722</v>
      </c>
      <c r="J10223">
        <v>-184.73429999999999</v>
      </c>
      <c r="K10223">
        <v>1.1160219999999901</v>
      </c>
      <c r="L10223">
        <v>123.6934</v>
      </c>
      <c r="M10223">
        <v>0.28179320000000002</v>
      </c>
      <c r="N10223">
        <v>-1.5349679999999999E-2</v>
      </c>
      <c r="O10223">
        <v>0.95935239999999999</v>
      </c>
      <c r="P10223">
        <v>0.56712079999999998</v>
      </c>
      <c r="Q10223">
        <v>0.14070260000000001</v>
      </c>
      <c r="R10223">
        <v>0.81152749999999996</v>
      </c>
      <c r="S10223">
        <v>2.2137600000000002</v>
      </c>
      <c r="T10223">
        <v>-0.17814250000000001</v>
      </c>
      <c r="U10223">
        <v>2.1859440000000001</v>
      </c>
      <c r="V10223">
        <v>0.31754719999999997</v>
      </c>
      <c r="W10223">
        <v>0.15069350000000001</v>
      </c>
      <c r="X10223">
        <v>0.93619189999999997</v>
      </c>
      <c r="Y10223">
        <v>0.48373070000000001</v>
      </c>
      <c r="Z10223">
        <v>-4.5418989999999999E-2</v>
      </c>
      <c r="AA10223">
        <v>0.87403759999999997</v>
      </c>
      <c r="AB10223">
        <v>23</v>
      </c>
      <c r="AC10223">
        <v>13.829999999999901</v>
      </c>
      <c r="AD10223">
        <v>-1.11602510049099</v>
      </c>
      <c r="AE10223">
        <v>13.578799999999999</v>
      </c>
      <c r="AF10223">
        <v>9.4113382393316094</v>
      </c>
      <c r="AG10223">
        <v>-1.11602510049099</v>
      </c>
      <c r="AH10223">
        <v>16.870113580850099</v>
      </c>
      <c r="AI10223">
        <v>93.306423068660706</v>
      </c>
      <c r="AJ10223">
        <v>60.844142362440202</v>
      </c>
      <c r="AK10223">
        <v>19.349923299869001</v>
      </c>
      <c r="AL10223">
        <v>81.332882099830798</v>
      </c>
      <c r="AM10223">
        <v>71.263562810922195</v>
      </c>
      <c r="AN10223">
        <v>1.00000001439784</v>
      </c>
    </row>
    <row r="10224" spans="1:40" x14ac:dyDescent="0.25">
      <c r="A10224" t="str">
        <f>"20190303162147864"</f>
        <v>20190303162147864</v>
      </c>
      <c r="B10224" t="str">
        <f>"1551601307853250"</f>
        <v>1551601307853250</v>
      </c>
      <c r="C10224" t="s">
        <v>40</v>
      </c>
      <c r="D10224">
        <v>5.1336579999999996</v>
      </c>
      <c r="E10224">
        <v>0.57770429999999995</v>
      </c>
      <c r="F10224" t="s">
        <v>50</v>
      </c>
      <c r="G10224">
        <v>-171.16040000000001</v>
      </c>
      <c r="H10224" s="1">
        <v>-3.1011919999999998E-6</v>
      </c>
      <c r="I10224">
        <v>136.9442</v>
      </c>
      <c r="J10224">
        <v>-184.6942</v>
      </c>
      <c r="K10224">
        <v>1.1160399999999999</v>
      </c>
      <c r="L10224">
        <v>123.8126</v>
      </c>
      <c r="M10224">
        <v>0.28627560000000002</v>
      </c>
      <c r="N10224">
        <v>-1.5350290000000001E-2</v>
      </c>
      <c r="O10224">
        <v>0.9580244</v>
      </c>
      <c r="P10224">
        <v>0.57157789999999997</v>
      </c>
      <c r="Q10224">
        <v>0.1384407</v>
      </c>
      <c r="R10224">
        <v>0.80878479999999997</v>
      </c>
      <c r="S10224">
        <v>2.2259220000000002</v>
      </c>
      <c r="T10224">
        <v>-0.18301139999999999</v>
      </c>
      <c r="U10224">
        <v>2.1729280000000002</v>
      </c>
      <c r="V10224">
        <v>0.31817030000000002</v>
      </c>
      <c r="W10224">
        <v>0.14844689999999999</v>
      </c>
      <c r="X10224">
        <v>0.93633929999999999</v>
      </c>
      <c r="Y10224">
        <v>0.48458230000000002</v>
      </c>
      <c r="Z10224">
        <v>-4.7075220000000001E-2</v>
      </c>
      <c r="AA10224">
        <v>0.87347809999999904</v>
      </c>
      <c r="AB10224">
        <v>23</v>
      </c>
      <c r="AC10224">
        <v>13.5337999999999</v>
      </c>
      <c r="AD10224">
        <v>-1.116043101192</v>
      </c>
      <c r="AE10224">
        <v>13.131599999999899</v>
      </c>
      <c r="AF10224">
        <v>9.1754001154451501</v>
      </c>
      <c r="AG10224">
        <v>-1.116043101192</v>
      </c>
      <c r="AH10224">
        <v>16.399287077857199</v>
      </c>
      <c r="AI10224">
        <v>93.3988326583396</v>
      </c>
      <c r="AJ10224">
        <v>60.772989671009803</v>
      </c>
      <c r="AK10224">
        <v>18.824721409471199</v>
      </c>
      <c r="AL10224">
        <v>81.463067599308502</v>
      </c>
      <c r="AM10224">
        <v>71.232118138792899</v>
      </c>
      <c r="AN10224">
        <v>1.0000000533230899</v>
      </c>
    </row>
    <row r="10225" spans="1:40" x14ac:dyDescent="0.25">
      <c r="A10225" t="str">
        <f>"20190303162147876"</f>
        <v>20190303162147876</v>
      </c>
      <c r="B10225" t="str">
        <f>"1551601307863010"</f>
        <v>1551601307863010</v>
      </c>
      <c r="C10225" t="s">
        <v>40</v>
      </c>
      <c r="D10225">
        <v>5.1739369999999996</v>
      </c>
      <c r="E10225">
        <v>0.57762999999999998</v>
      </c>
      <c r="F10225" t="s">
        <v>50</v>
      </c>
      <c r="G10225">
        <v>-171.715</v>
      </c>
      <c r="H10225" s="1">
        <v>-3.1431169999999999E-6</v>
      </c>
      <c r="I10225">
        <v>136.36189999999999</v>
      </c>
      <c r="J10225">
        <v>-184.6551</v>
      </c>
      <c r="K10225">
        <v>1.1160650000000001</v>
      </c>
      <c r="L10225">
        <v>123.92570000000001</v>
      </c>
      <c r="M10225">
        <v>0.29051880000000002</v>
      </c>
      <c r="N10225">
        <v>-1.534846E-2</v>
      </c>
      <c r="O10225">
        <v>0.95674619999999999</v>
      </c>
      <c r="P10225">
        <v>0.57581870000000002</v>
      </c>
      <c r="Q10225">
        <v>0.13638810000000001</v>
      </c>
      <c r="R10225">
        <v>0.80612109999999904</v>
      </c>
      <c r="S10225">
        <v>2.2360229999999999</v>
      </c>
      <c r="T10225">
        <v>-0.1922702</v>
      </c>
      <c r="U10225">
        <v>2.1619869999999999</v>
      </c>
      <c r="V10225">
        <v>0.31879800000000003</v>
      </c>
      <c r="W10225">
        <v>0.14641279999999901</v>
      </c>
      <c r="X10225">
        <v>0.936446</v>
      </c>
      <c r="Y10225">
        <v>0.48476760000000002</v>
      </c>
      <c r="Z10225">
        <v>-5.0171569999999999E-2</v>
      </c>
      <c r="AA10225">
        <v>0.8732029</v>
      </c>
      <c r="AB10225">
        <v>23</v>
      </c>
      <c r="AC10225">
        <v>12.940099999999999</v>
      </c>
      <c r="AD10225">
        <v>-1.1160681431170001</v>
      </c>
      <c r="AE10225">
        <v>12.4361999999999</v>
      </c>
      <c r="AF10225">
        <v>8.7346965016173499</v>
      </c>
      <c r="AG10225">
        <v>-1.1160681431170001</v>
      </c>
      <c r="AH10225">
        <v>15.599150481278</v>
      </c>
      <c r="AI10225">
        <v>93.572131563064602</v>
      </c>
      <c r="AJ10225">
        <v>60.753488268786597</v>
      </c>
      <c r="AK10225">
        <v>17.912956953361999</v>
      </c>
      <c r="AL10225">
        <v>81.580900056910906</v>
      </c>
      <c r="AM10225">
        <v>71.199683201591597</v>
      </c>
      <c r="AN10225">
        <v>0.99999999186192001</v>
      </c>
    </row>
    <row r="10226" spans="1:40" x14ac:dyDescent="0.25">
      <c r="A10226" t="str">
        <f>"20190303162147887"</f>
        <v>20190303162147887</v>
      </c>
      <c r="B10226" t="str">
        <f>"1551601307882530"</f>
        <v>1551601307882530</v>
      </c>
      <c r="C10226" t="s">
        <v>40</v>
      </c>
      <c r="D10226">
        <v>5.170712</v>
      </c>
      <c r="E10226">
        <v>0.57738100000000003</v>
      </c>
      <c r="F10226" t="s">
        <v>50</v>
      </c>
      <c r="G10226">
        <v>-172.1062</v>
      </c>
      <c r="H10226" s="1">
        <v>-3.1577369999999998E-6</v>
      </c>
      <c r="I10226">
        <v>135.9434</v>
      </c>
      <c r="J10226">
        <v>-184.61859999999999</v>
      </c>
      <c r="K10226">
        <v>1.11609</v>
      </c>
      <c r="L10226">
        <v>124.0308</v>
      </c>
      <c r="M10226">
        <v>0.29445359999999998</v>
      </c>
      <c r="N10226">
        <v>-1.534666E-2</v>
      </c>
      <c r="O10226">
        <v>0.95554260000000002</v>
      </c>
      <c r="P10226">
        <v>0.57977889999999999</v>
      </c>
      <c r="Q10226">
        <v>0.13491989999999901</v>
      </c>
      <c r="R10226">
        <v>0.8035253</v>
      </c>
      <c r="S10226">
        <v>2.2460330000000002</v>
      </c>
      <c r="T10226">
        <v>-0.1997563</v>
      </c>
      <c r="U10226">
        <v>2.1509550000000002</v>
      </c>
      <c r="V10226">
        <v>0.31944939999999999</v>
      </c>
      <c r="W10226">
        <v>0.1449598</v>
      </c>
      <c r="X10226">
        <v>0.93645009999999995</v>
      </c>
      <c r="Y10226">
        <v>0.4852474</v>
      </c>
      <c r="Z10226">
        <v>-5.2683929999999997E-2</v>
      </c>
      <c r="AA10226">
        <v>0.87278829999999996</v>
      </c>
      <c r="AB10226">
        <v>23</v>
      </c>
      <c r="AC10226">
        <v>12.5123999999999</v>
      </c>
      <c r="AD10226">
        <v>-1.1160931577369999</v>
      </c>
      <c r="AE10226">
        <v>11.9125999999999</v>
      </c>
      <c r="AF10226">
        <v>8.4143008550449903</v>
      </c>
      <c r="AG10226">
        <v>-1.1160931577369999</v>
      </c>
      <c r="AH10226">
        <v>15.0064624661255</v>
      </c>
      <c r="AI10226">
        <v>93.711703091889802</v>
      </c>
      <c r="AJ10226">
        <v>60.7201354434929</v>
      </c>
      <c r="AK10226">
        <v>17.2406507581121</v>
      </c>
      <c r="AL10226">
        <v>81.665048917097707</v>
      </c>
      <c r="AM10226">
        <v>71.164051322858896</v>
      </c>
      <c r="AN10226">
        <v>1.0000000262832001</v>
      </c>
    </row>
    <row r="10227" spans="1:40" x14ac:dyDescent="0.25">
      <c r="A10227" t="str">
        <f>"20190303162147899"</f>
        <v>20190303162147899</v>
      </c>
      <c r="B10227" t="str">
        <f>"1551601307893267"</f>
        <v>1551601307893267</v>
      </c>
      <c r="C10227" t="s">
        <v>40</v>
      </c>
      <c r="D10227">
        <v>5.1183319999999997</v>
      </c>
      <c r="E10227">
        <v>0.57733710000000005</v>
      </c>
      <c r="F10227" t="s">
        <v>50</v>
      </c>
      <c r="G10227">
        <v>-172.4297</v>
      </c>
      <c r="H10227" s="1">
        <v>-3.1761259999999998E-6</v>
      </c>
      <c r="I10227">
        <v>135.61369999999999</v>
      </c>
      <c r="J10227">
        <v>-184.57660000000001</v>
      </c>
      <c r="K10227">
        <v>1.1161209999999999</v>
      </c>
      <c r="L10227">
        <v>124.1495</v>
      </c>
      <c r="M10227">
        <v>0.298877</v>
      </c>
      <c r="N10227">
        <v>-1.5343010000000001E-2</v>
      </c>
      <c r="O10227">
        <v>0.95416829999999997</v>
      </c>
      <c r="P10227">
        <v>0.58397790000000005</v>
      </c>
      <c r="Q10227">
        <v>0.13421140000000001</v>
      </c>
      <c r="R10227">
        <v>0.80059799999999903</v>
      </c>
      <c r="S10227">
        <v>2.2539370000000001</v>
      </c>
      <c r="T10227">
        <v>-0.20638529999999999</v>
      </c>
      <c r="U10227">
        <v>2.1418910000000002</v>
      </c>
      <c r="V10227">
        <v>0.3199552</v>
      </c>
      <c r="W10227">
        <v>0.14427229999999999</v>
      </c>
      <c r="X10227">
        <v>0.93638350000000004</v>
      </c>
      <c r="Y10227">
        <v>0.48447620000000002</v>
      </c>
      <c r="Z10227">
        <v>-5.4899669999999998E-2</v>
      </c>
      <c r="AA10227">
        <v>0.87308009999999903</v>
      </c>
      <c r="AB10227">
        <v>23</v>
      </c>
      <c r="AC10227">
        <v>12.1469</v>
      </c>
      <c r="AD10227">
        <v>-1.1161241761259999</v>
      </c>
      <c r="AE10227">
        <v>11.4641999999999</v>
      </c>
      <c r="AF10227">
        <v>8.1284654554812708</v>
      </c>
      <c r="AG10227">
        <v>-1.1161241761259999</v>
      </c>
      <c r="AH10227">
        <v>14.5061446805288</v>
      </c>
      <c r="AI10227">
        <v>93.840046535388893</v>
      </c>
      <c r="AJ10227">
        <v>60.736068322440602</v>
      </c>
      <c r="AK10227">
        <v>16.665710825822</v>
      </c>
      <c r="AL10227">
        <v>81.704857549818698</v>
      </c>
      <c r="AM10227">
        <v>71.135088082976594</v>
      </c>
      <c r="AN10227">
        <v>0.99999994281328797</v>
      </c>
    </row>
    <row r="10228" spans="1:40" x14ac:dyDescent="0.25">
      <c r="A10228" t="str">
        <f>"20190303162147911"</f>
        <v>20190303162147911</v>
      </c>
      <c r="B10228" t="str">
        <f>"1551601307903026"</f>
        <v>1551601307903026</v>
      </c>
      <c r="C10228" t="s">
        <v>40</v>
      </c>
      <c r="D10228">
        <v>5.1961209999999998</v>
      </c>
      <c r="E10228">
        <v>0.57713249999999905</v>
      </c>
      <c r="F10228" t="s">
        <v>50</v>
      </c>
      <c r="G10228">
        <v>-172.3526</v>
      </c>
      <c r="H10228" s="1">
        <v>-3.1551570000000002E-6</v>
      </c>
      <c r="I10228">
        <v>135.64859999999999</v>
      </c>
      <c r="J10228">
        <v>-184.53229999999999</v>
      </c>
      <c r="K10228">
        <v>1.1161620000000001</v>
      </c>
      <c r="L10228">
        <v>124.2731</v>
      </c>
      <c r="M10228">
        <v>0.30347010000000002</v>
      </c>
      <c r="N10228">
        <v>-1.5338569999999999E-2</v>
      </c>
      <c r="O10228">
        <v>0.95271749999999999</v>
      </c>
      <c r="P10228">
        <v>0.58836919999999904</v>
      </c>
      <c r="Q10228">
        <v>0.13403129999999999</v>
      </c>
      <c r="R10228">
        <v>0.79740669999999902</v>
      </c>
      <c r="S10228">
        <v>2.2644199999999999</v>
      </c>
      <c r="T10228">
        <v>-0.2067553</v>
      </c>
      <c r="U10228">
        <v>2.1301420000000002</v>
      </c>
      <c r="V10228">
        <v>0.32056509999999999</v>
      </c>
      <c r="W10228">
        <v>0.1441105</v>
      </c>
      <c r="X10228">
        <v>0.93619980000000003</v>
      </c>
      <c r="Y10228">
        <v>0.48467719999999997</v>
      </c>
      <c r="Z10228">
        <v>-5.5061869999999999E-2</v>
      </c>
      <c r="AA10228">
        <v>0.87295829999999996</v>
      </c>
      <c r="AB10228">
        <v>23</v>
      </c>
      <c r="AC10228">
        <v>12.179699999999899</v>
      </c>
      <c r="AD10228">
        <v>-1.116165155157</v>
      </c>
      <c r="AE10228">
        <v>11.375499999999899</v>
      </c>
      <c r="AF10228">
        <v>8.1162431607503098</v>
      </c>
      <c r="AG10228">
        <v>-1.116165155157</v>
      </c>
      <c r="AH10228">
        <v>14.4706152112635</v>
      </c>
      <c r="AI10228">
        <v>93.848718030837503</v>
      </c>
      <c r="AJ10228">
        <v>60.712911697083598</v>
      </c>
      <c r="AK10228">
        <v>16.628828349900701</v>
      </c>
      <c r="AL10228">
        <v>81.714225906231107</v>
      </c>
      <c r="AM10228">
        <v>71.098232566834795</v>
      </c>
      <c r="AN10228">
        <v>0.99999994253414803</v>
      </c>
    </row>
    <row r="10229" spans="1:40" x14ac:dyDescent="0.25">
      <c r="A10229" t="str">
        <f>"20190303162147924"</f>
        <v>20190303162147924</v>
      </c>
      <c r="B10229" t="str">
        <f>"1551601307912787"</f>
        <v>1551601307912787</v>
      </c>
      <c r="C10229" t="s">
        <v>40</v>
      </c>
      <c r="D10229">
        <v>5.1251709999999999</v>
      </c>
      <c r="E10229">
        <v>0.57735209999999904</v>
      </c>
      <c r="F10229" t="s">
        <v>50</v>
      </c>
      <c r="G10229">
        <v>-172.33090000000001</v>
      </c>
      <c r="H10229" s="1">
        <v>-3.142461E-6</v>
      </c>
      <c r="I10229">
        <v>135.6405</v>
      </c>
      <c r="J10229">
        <v>-184.48480000000001</v>
      </c>
      <c r="K10229">
        <v>1.1162080000000001</v>
      </c>
      <c r="L10229">
        <v>124.40430000000001</v>
      </c>
      <c r="M10229">
        <v>0.30832219999999999</v>
      </c>
      <c r="N10229">
        <v>-1.533327E-2</v>
      </c>
      <c r="O10229">
        <v>0.95115839999999996</v>
      </c>
      <c r="P10229">
        <v>0.59289519999999996</v>
      </c>
      <c r="Q10229">
        <v>0.1339042</v>
      </c>
      <c r="R10229">
        <v>0.79406860000000001</v>
      </c>
      <c r="S10229">
        <v>2.2744140000000002</v>
      </c>
      <c r="T10229">
        <v>-0.20805940000000001</v>
      </c>
      <c r="U10229">
        <v>2.1189420000000001</v>
      </c>
      <c r="V10229">
        <v>0.32109510000000002</v>
      </c>
      <c r="W10229">
        <v>0.14400389999999999</v>
      </c>
      <c r="X10229">
        <v>0.93603460000000005</v>
      </c>
      <c r="Y10229">
        <v>0.48441509999999999</v>
      </c>
      <c r="Z10229">
        <v>-5.5523749999999997E-2</v>
      </c>
      <c r="AA10229">
        <v>0.87307449999999998</v>
      </c>
      <c r="AB10229">
        <v>23</v>
      </c>
      <c r="AC10229">
        <v>12.153899999999901</v>
      </c>
      <c r="AD10229">
        <v>-1.1162111424609999</v>
      </c>
      <c r="AE10229">
        <v>11.236199999999901</v>
      </c>
      <c r="AF10229">
        <v>8.0602107813946695</v>
      </c>
      <c r="AG10229">
        <v>-1.1162111424609999</v>
      </c>
      <c r="AH10229">
        <v>14.3710653381591</v>
      </c>
      <c r="AI10229">
        <v>93.875479333961195</v>
      </c>
      <c r="AJ10229">
        <v>60.713509439695599</v>
      </c>
      <c r="AK10229">
        <v>16.514855255457299</v>
      </c>
      <c r="AL10229">
        <v>81.720398323337903</v>
      </c>
      <c r="AM10229">
        <v>71.066102187133197</v>
      </c>
      <c r="AN10229">
        <v>0.99999997942818897</v>
      </c>
    </row>
    <row r="10230" spans="1:40" x14ac:dyDescent="0.25">
      <c r="A10230" t="str">
        <f>"20190303162147952"</f>
        <v>20190303162147952</v>
      </c>
      <c r="B10230" t="str">
        <f>"1551601307943042"</f>
        <v>1551601307943042</v>
      </c>
      <c r="C10230" t="s">
        <v>40</v>
      </c>
      <c r="D10230">
        <v>5.6223929999999998</v>
      </c>
      <c r="E10230">
        <v>0.5777603</v>
      </c>
      <c r="F10230" t="s">
        <v>50</v>
      </c>
      <c r="G10230">
        <v>-171.99350000000001</v>
      </c>
      <c r="H10230" s="1">
        <v>-3.0903229999999999E-6</v>
      </c>
      <c r="I10230">
        <v>135.8974</v>
      </c>
      <c r="J10230">
        <v>-184.38480000000001</v>
      </c>
      <c r="K10230">
        <v>1.1163069999999999</v>
      </c>
      <c r="L10230">
        <v>124.6728</v>
      </c>
      <c r="M10230">
        <v>0.31818560000000001</v>
      </c>
      <c r="N10230">
        <v>-1.5320200000000001E-2</v>
      </c>
      <c r="O10230">
        <v>0.94790459999999999</v>
      </c>
      <c r="P10230">
        <v>0.60142209999999996</v>
      </c>
      <c r="Q10230">
        <v>0.1353965</v>
      </c>
      <c r="R10230">
        <v>0.78737489999999999</v>
      </c>
      <c r="S10230">
        <v>2.287369</v>
      </c>
      <c r="T10230">
        <v>-0.20439650000000001</v>
      </c>
      <c r="U10230">
        <v>2.104584</v>
      </c>
      <c r="V10230">
        <v>0.32153789999999999</v>
      </c>
      <c r="W10230">
        <v>0.145534</v>
      </c>
      <c r="X10230">
        <v>0.93564590000000003</v>
      </c>
      <c r="Y10230">
        <v>0.4808151</v>
      </c>
      <c r="Z10230">
        <v>-5.4318430000000001E-2</v>
      </c>
      <c r="AA10230">
        <v>0.87513790000000002</v>
      </c>
      <c r="AB10230">
        <v>23</v>
      </c>
      <c r="AC10230">
        <v>12.391299999999999</v>
      </c>
      <c r="AD10230">
        <v>-1.1163100903230001</v>
      </c>
      <c r="AE10230">
        <v>11.224600000000001</v>
      </c>
      <c r="AF10230">
        <v>8.1389412566028998</v>
      </c>
      <c r="AG10230">
        <v>-1.1163100903230001</v>
      </c>
      <c r="AH10230">
        <v>14.519568409685901</v>
      </c>
      <c r="AI10230">
        <v>93.836812140024506</v>
      </c>
      <c r="AJ10230">
        <v>60.727198187664797</v>
      </c>
      <c r="AK10230">
        <v>16.682517190152598</v>
      </c>
      <c r="AL10230">
        <v>81.6317969075224</v>
      </c>
      <c r="AM10230">
        <v>71.034541924896303</v>
      </c>
      <c r="AN10230">
        <v>1.0000000082396101</v>
      </c>
    </row>
    <row r="10231" spans="1:40" x14ac:dyDescent="0.25">
      <c r="A10231" t="str">
        <f>"20190303162147965"</f>
        <v>20190303162147965</v>
      </c>
      <c r="B10231" t="str">
        <f>"1551601307962562"</f>
        <v>1551601307962562</v>
      </c>
      <c r="C10231" t="s">
        <v>40</v>
      </c>
      <c r="D10231">
        <v>5.3485459999999998</v>
      </c>
      <c r="E10231">
        <v>0.63248870000000001</v>
      </c>
      <c r="F10231" t="s">
        <v>50</v>
      </c>
      <c r="G10231">
        <v>-171.37799999999999</v>
      </c>
      <c r="H10231" s="1">
        <v>-2.965584E-6</v>
      </c>
      <c r="I10231">
        <v>136.35769999999999</v>
      </c>
      <c r="J10231">
        <v>-184.3331</v>
      </c>
      <c r="K10231">
        <v>1.11636</v>
      </c>
      <c r="L10231">
        <v>124.80880000000001</v>
      </c>
      <c r="M10231">
        <v>0.32316139999999999</v>
      </c>
      <c r="N10231">
        <v>-1.5313439999999999E-2</v>
      </c>
      <c r="O10231">
        <v>0.94621999999999995</v>
      </c>
      <c r="P10231">
        <v>0.60600359999999998</v>
      </c>
      <c r="Q10231">
        <v>0.13798820000000001</v>
      </c>
      <c r="R10231">
        <v>0.78340220000000005</v>
      </c>
      <c r="S10231">
        <v>2.3127439999999999</v>
      </c>
      <c r="T10231">
        <v>-0.1984928</v>
      </c>
      <c r="U10231">
        <v>2.0777130000000001</v>
      </c>
      <c r="V10231">
        <v>0.32224760000000002</v>
      </c>
      <c r="W10231">
        <v>0.1481267</v>
      </c>
      <c r="X10231">
        <v>0.93499460000000001</v>
      </c>
      <c r="Y10231">
        <v>0.48668210000000001</v>
      </c>
      <c r="Z10231">
        <v>-5.2474560000000003E-2</v>
      </c>
      <c r="AA10231">
        <v>0.87200159999999904</v>
      </c>
      <c r="AB10231">
        <v>23</v>
      </c>
      <c r="AC10231">
        <v>12.9551</v>
      </c>
      <c r="AD10231">
        <v>-1.1163629655839999</v>
      </c>
      <c r="AE10231">
        <v>11.5488999999999</v>
      </c>
      <c r="AF10231">
        <v>8.4920795091413197</v>
      </c>
      <c r="AG10231">
        <v>-1.1163629655839999</v>
      </c>
      <c r="AH10231">
        <v>15.0538747405359</v>
      </c>
      <c r="AI10231">
        <v>93.695578877106698</v>
      </c>
      <c r="AJ10231">
        <v>60.572110020387797</v>
      </c>
      <c r="AK10231">
        <v>17.319954542788199</v>
      </c>
      <c r="AL10231">
        <v>81.481618073700403</v>
      </c>
      <c r="AM10231">
        <v>70.983394387320502</v>
      </c>
      <c r="AN10231">
        <v>0.99999996849390405</v>
      </c>
    </row>
    <row r="10232" spans="1:40" x14ac:dyDescent="0.25">
      <c r="A10232" t="str">
        <f>"20190303162147976"</f>
        <v>20190303162147976</v>
      </c>
      <c r="B10232" t="str">
        <f>"1551601307973298"</f>
        <v>1551601307973298</v>
      </c>
      <c r="C10232" t="s">
        <v>40</v>
      </c>
      <c r="D10232">
        <v>5.2608420000000002</v>
      </c>
      <c r="E10232">
        <v>0.64466049999999997</v>
      </c>
      <c r="F10232" t="s">
        <v>50</v>
      </c>
      <c r="G10232">
        <v>-175.3674</v>
      </c>
      <c r="H10232" s="1">
        <v>-2.789089E-6</v>
      </c>
      <c r="I10232">
        <v>130.9032</v>
      </c>
      <c r="J10232">
        <v>-184.29069999999999</v>
      </c>
      <c r="K10232">
        <v>1.1163879999999999</v>
      </c>
      <c r="L10232">
        <v>124.9181</v>
      </c>
      <c r="M10232">
        <v>0.3271442</v>
      </c>
      <c r="N10232">
        <v>-1.5307940000000001E-2</v>
      </c>
      <c r="O10232">
        <v>0.94485039999999998</v>
      </c>
      <c r="P10232">
        <v>0.60964099999999999</v>
      </c>
      <c r="Q10232">
        <v>0.1401345</v>
      </c>
      <c r="R10232">
        <v>0.78019240000000001</v>
      </c>
      <c r="S10232">
        <v>2.6753689999999999</v>
      </c>
      <c r="T10232">
        <v>-0.33312550000000002</v>
      </c>
      <c r="U10232">
        <v>1.818573</v>
      </c>
      <c r="V10232">
        <v>0.3228047</v>
      </c>
      <c r="W10232">
        <v>0.15026919999999999</v>
      </c>
      <c r="X10232">
        <v>0.93446039999999997</v>
      </c>
      <c r="Y10232">
        <v>0.59333549999999902</v>
      </c>
      <c r="Z10232">
        <v>-9.5136810000000002E-2</v>
      </c>
      <c r="AA10232">
        <v>0.79931339999999995</v>
      </c>
      <c r="AB10232">
        <v>23</v>
      </c>
      <c r="AC10232">
        <v>8.9232999999999798</v>
      </c>
      <c r="AD10232">
        <v>-1.1163907890889999</v>
      </c>
      <c r="AE10232">
        <v>5.9851000000000001</v>
      </c>
      <c r="AF10232">
        <v>6.4048071958161898</v>
      </c>
      <c r="AG10232">
        <v>-1.1163907890889999</v>
      </c>
      <c r="AH10232">
        <v>8.48364807071993</v>
      </c>
      <c r="AI10232">
        <v>95.995457242359706</v>
      </c>
      <c r="AJ10232">
        <v>52.9486885750811</v>
      </c>
      <c r="AK10232">
        <v>10.688319240992501</v>
      </c>
      <c r="AL10232">
        <v>81.357472355390499</v>
      </c>
      <c r="AM10232">
        <v>70.942782610369207</v>
      </c>
      <c r="AN10232">
        <v>0.99999997298944399</v>
      </c>
    </row>
    <row r="10233" spans="1:40" x14ac:dyDescent="0.25">
      <c r="A10233" t="str">
        <f>"20190303162147987"</f>
        <v>20190303162147987</v>
      </c>
      <c r="B10233" t="str">
        <f>"1551601307983058"</f>
        <v>1551601307983058</v>
      </c>
      <c r="C10233" t="s">
        <v>40</v>
      </c>
      <c r="D10233">
        <v>5.3099460000000001</v>
      </c>
      <c r="E10233">
        <v>0.65189030000000003</v>
      </c>
      <c r="F10233" t="s">
        <v>50</v>
      </c>
      <c r="G10233">
        <v>-175.20930000000001</v>
      </c>
      <c r="H10233" s="1">
        <v>-2.592848E-6</v>
      </c>
      <c r="I10233">
        <v>130.6704</v>
      </c>
      <c r="J10233">
        <v>-184.249</v>
      </c>
      <c r="K10233">
        <v>1.1164160000000001</v>
      </c>
      <c r="L10233">
        <v>125.0252</v>
      </c>
      <c r="M10233">
        <v>0.33104489999999998</v>
      </c>
      <c r="N10233">
        <v>-1.5302720000000001E-2</v>
      </c>
      <c r="O10233">
        <v>0.94349090000000002</v>
      </c>
      <c r="P10233">
        <v>0.61349750000000003</v>
      </c>
      <c r="Q10233">
        <v>0.141705</v>
      </c>
      <c r="R10233">
        <v>0.77687869999999903</v>
      </c>
      <c r="S10233">
        <v>2.76091</v>
      </c>
      <c r="T10233">
        <v>-0.33940209999999998</v>
      </c>
      <c r="U10233">
        <v>1.7487950000000001</v>
      </c>
      <c r="V10233">
        <v>0.32368140000000001</v>
      </c>
      <c r="W10233">
        <v>0.151829399999999</v>
      </c>
      <c r="X10233">
        <v>0.93390479999999998</v>
      </c>
      <c r="Y10233">
        <v>0.61552309999999999</v>
      </c>
      <c r="Z10233">
        <v>-9.6696850000000001E-2</v>
      </c>
      <c r="AA10233">
        <v>0.78216430000000003</v>
      </c>
      <c r="AB10233">
        <v>23</v>
      </c>
      <c r="AC10233">
        <v>9.0396999999999998</v>
      </c>
      <c r="AD10233">
        <v>-1.1164185928479999</v>
      </c>
      <c r="AE10233">
        <v>5.6452</v>
      </c>
      <c r="AF10233">
        <v>6.5885423243644601</v>
      </c>
      <c r="AG10233">
        <v>-1.1164185928479999</v>
      </c>
      <c r="AH10233">
        <v>8.2294123048116994</v>
      </c>
      <c r="AI10233">
        <v>96.045248276261802</v>
      </c>
      <c r="AJ10233">
        <v>51.318918506761896</v>
      </c>
      <c r="AK10233">
        <v>10.600872950704799</v>
      </c>
      <c r="AL10233">
        <v>81.267042087063103</v>
      </c>
      <c r="AM10233">
        <v>70.884231576005405</v>
      </c>
      <c r="AN10233">
        <v>0.99999999543667895</v>
      </c>
    </row>
    <row r="10234" spans="1:40" x14ac:dyDescent="0.25">
      <c r="A10234" t="str">
        <f>"20190303162147998"</f>
        <v>20190303162147998</v>
      </c>
      <c r="B10234" t="str">
        <f>"1551601307992819"</f>
        <v>1551601307992819</v>
      </c>
      <c r="C10234" t="s">
        <v>40</v>
      </c>
      <c r="D10234">
        <v>5.3110540000000004</v>
      </c>
      <c r="E10234">
        <v>0.65578249999999905</v>
      </c>
      <c r="F10234" t="s">
        <v>50</v>
      </c>
      <c r="G10234">
        <v>-175.15369999999999</v>
      </c>
      <c r="H10234" s="1">
        <v>-2.4987319999999999E-6</v>
      </c>
      <c r="I10234">
        <v>130.5223</v>
      </c>
      <c r="J10234">
        <v>-184.20570000000001</v>
      </c>
      <c r="K10234">
        <v>1.1164369999999999</v>
      </c>
      <c r="L10234">
        <v>125.13420000000001</v>
      </c>
      <c r="M10234">
        <v>0.33500780000000002</v>
      </c>
      <c r="N10234">
        <v>-1.5297470000000001E-2</v>
      </c>
      <c r="O10234">
        <v>0.94209120000000002</v>
      </c>
      <c r="P10234">
        <v>0.61752969999999996</v>
      </c>
      <c r="Q10234">
        <v>0.14297170000000001</v>
      </c>
      <c r="R10234">
        <v>0.77344440000000003</v>
      </c>
      <c r="S10234">
        <v>2.8152010000000001</v>
      </c>
      <c r="T10234">
        <v>-0.34555819999999998</v>
      </c>
      <c r="U10234">
        <v>1.7014769999999999</v>
      </c>
      <c r="V10234">
        <v>0.32470369999999998</v>
      </c>
      <c r="W10234">
        <v>0.1530821</v>
      </c>
      <c r="X10234">
        <v>0.93334530000000004</v>
      </c>
      <c r="Y10234">
        <v>0.62839880000000004</v>
      </c>
      <c r="Z10234">
        <v>-9.8367910000000003E-2</v>
      </c>
      <c r="AA10234">
        <v>0.77164670000000002</v>
      </c>
      <c r="AB10234">
        <v>23</v>
      </c>
      <c r="AC10234">
        <v>9.0520000000000191</v>
      </c>
      <c r="AD10234">
        <v>-1.1164394987320001</v>
      </c>
      <c r="AE10234">
        <v>5.3880999999999899</v>
      </c>
      <c r="AF10234">
        <v>6.6488594349273402</v>
      </c>
      <c r="AG10234">
        <v>-1.1164394987320001</v>
      </c>
      <c r="AH10234">
        <v>8.0194451047637703</v>
      </c>
      <c r="AI10234">
        <v>96.117172589182701</v>
      </c>
      <c r="AJ10234">
        <v>50.338137412114399</v>
      </c>
      <c r="AK10234">
        <v>10.4768921311651</v>
      </c>
      <c r="AL10234">
        <v>81.194419069273906</v>
      </c>
      <c r="AM10234">
        <v>70.817604641677704</v>
      </c>
      <c r="AN10234">
        <v>1.00000003558309</v>
      </c>
    </row>
    <row r="10235" spans="1:40" x14ac:dyDescent="0.25">
      <c r="A10235" t="str">
        <f>"20190303162148013"</f>
        <v>20190303162148013</v>
      </c>
      <c r="B10235" t="str">
        <f>"1551601308002578"</f>
        <v>1551601308002578</v>
      </c>
      <c r="C10235" t="s">
        <v>40</v>
      </c>
      <c r="D10235">
        <v>5.3090960000000003</v>
      </c>
      <c r="E10235">
        <v>0.65849489999999999</v>
      </c>
      <c r="F10235" t="s">
        <v>50</v>
      </c>
      <c r="G10235">
        <v>-175.10830000000001</v>
      </c>
      <c r="H10235" s="1">
        <v>-2.44548E-6</v>
      </c>
      <c r="I10235">
        <v>130.46360000000001</v>
      </c>
      <c r="J10235">
        <v>-184.15029999999999</v>
      </c>
      <c r="K10235">
        <v>1.116455</v>
      </c>
      <c r="L10235">
        <v>125.2723</v>
      </c>
      <c r="M10235">
        <v>0.34002929999999998</v>
      </c>
      <c r="N10235">
        <v>-1.529112E-2</v>
      </c>
      <c r="O10235">
        <v>0.94029050000000003</v>
      </c>
      <c r="P10235">
        <v>0.62236269999999905</v>
      </c>
      <c r="Q10235">
        <v>0.14357200000000001</v>
      </c>
      <c r="R10235">
        <v>0.7694491</v>
      </c>
      <c r="S10235">
        <v>2.8488159999999998</v>
      </c>
      <c r="T10235">
        <v>-0.349607</v>
      </c>
      <c r="U10235">
        <v>1.6688689999999999</v>
      </c>
      <c r="V10235">
        <v>0.32561240000000002</v>
      </c>
      <c r="W10235">
        <v>0.15367149999999999</v>
      </c>
      <c r="X10235">
        <v>0.93293170000000003</v>
      </c>
      <c r="Y10235">
        <v>0.63472550000000005</v>
      </c>
      <c r="Z10235">
        <v>-9.9494550000000001E-2</v>
      </c>
      <c r="AA10235">
        <v>0.76630569999999998</v>
      </c>
      <c r="AB10235">
        <v>23</v>
      </c>
      <c r="AC10235">
        <v>9.0419999999999696</v>
      </c>
      <c r="AD10235">
        <v>-1.11645744548</v>
      </c>
      <c r="AE10235">
        <v>5.1913000000000098</v>
      </c>
      <c r="AF10235">
        <v>6.6613193941083502</v>
      </c>
      <c r="AG10235">
        <v>-1.11645744548</v>
      </c>
      <c r="AH10235">
        <v>7.8666041308633998</v>
      </c>
      <c r="AI10235">
        <v>96.181546428485206</v>
      </c>
      <c r="AJ10235">
        <v>49.742586929166002</v>
      </c>
      <c r="AK10235">
        <v>10.3683708387387</v>
      </c>
      <c r="AL10235">
        <v>81.160243911922805</v>
      </c>
      <c r="AM10235">
        <v>70.759959561681299</v>
      </c>
      <c r="AN10235">
        <v>0.99999996090544896</v>
      </c>
    </row>
    <row r="10236" spans="1:40" x14ac:dyDescent="0.25">
      <c r="A10236" t="str">
        <f>"20190303162148026"</f>
        <v>20190303162148026</v>
      </c>
      <c r="B10236" t="str">
        <f>"1551601308023074"</f>
        <v>1551601308023074</v>
      </c>
      <c r="C10236" t="s">
        <v>40</v>
      </c>
      <c r="D10236">
        <v>5.2701890000000002</v>
      </c>
      <c r="E10236">
        <v>0.66152339999999998</v>
      </c>
      <c r="F10236" t="s">
        <v>50</v>
      </c>
      <c r="G10236">
        <v>-175.0164</v>
      </c>
      <c r="H10236" s="1">
        <v>-2.3869669999999999E-6</v>
      </c>
      <c r="I10236">
        <v>130.47450000000001</v>
      </c>
      <c r="J10236">
        <v>-184.09989999999999</v>
      </c>
      <c r="K10236">
        <v>1.1164689999999999</v>
      </c>
      <c r="L10236">
        <v>125.3964</v>
      </c>
      <c r="M10236">
        <v>0.34454079999999998</v>
      </c>
      <c r="N10236">
        <v>-1.5285669999999999E-2</v>
      </c>
      <c r="O10236">
        <v>0.93864689999999995</v>
      </c>
      <c r="P10236">
        <v>0.62648149999999903</v>
      </c>
      <c r="Q10236">
        <v>0.1440969</v>
      </c>
      <c r="R10236">
        <v>0.76600069999999998</v>
      </c>
      <c r="S10236">
        <v>2.876144</v>
      </c>
      <c r="T10236">
        <v>-0.35155809999999998</v>
      </c>
      <c r="U10236">
        <v>1.638123</v>
      </c>
      <c r="V10236">
        <v>0.32617410000000002</v>
      </c>
      <c r="W10236">
        <v>0.154189299999999</v>
      </c>
      <c r="X10236">
        <v>0.93264999999999998</v>
      </c>
      <c r="Y10236">
        <v>0.64029990000000003</v>
      </c>
      <c r="Z10236">
        <v>-0.1000597</v>
      </c>
      <c r="AA10236">
        <v>0.76158000000000003</v>
      </c>
      <c r="AB10236">
        <v>23</v>
      </c>
      <c r="AC10236">
        <v>9.0834999999999795</v>
      </c>
      <c r="AD10236">
        <v>-1.116471386967</v>
      </c>
      <c r="AE10236">
        <v>5.0781000000000001</v>
      </c>
      <c r="AF10236">
        <v>6.7002577129177796</v>
      </c>
      <c r="AG10236">
        <v>-1.116471386967</v>
      </c>
      <c r="AH10236">
        <v>7.8072397673991203</v>
      </c>
      <c r="AI10236">
        <v>96.193496457599807</v>
      </c>
      <c r="AJ10236">
        <v>49.363449567590798</v>
      </c>
      <c r="AK10236">
        <v>10.3485725857766</v>
      </c>
      <c r="AL10236">
        <v>81.130218231703495</v>
      </c>
      <c r="AM10236">
        <v>70.7238232865258</v>
      </c>
      <c r="AN10236">
        <v>0.999999953122648</v>
      </c>
    </row>
    <row r="10237" spans="1:40" x14ac:dyDescent="0.25">
      <c r="A10237" t="str">
        <f>"20190303162148037"</f>
        <v>20190303162148037</v>
      </c>
      <c r="B10237" t="str">
        <f>"1551601308032834"</f>
        <v>1551601308032834</v>
      </c>
      <c r="C10237" t="s">
        <v>40</v>
      </c>
      <c r="D10237">
        <v>5.3790870000000002</v>
      </c>
      <c r="E10237">
        <v>0.66043680000000005</v>
      </c>
      <c r="F10237" t="s">
        <v>50</v>
      </c>
      <c r="G10237">
        <v>-175.0684</v>
      </c>
      <c r="H10237" s="1">
        <v>-2.3928950000000001E-6</v>
      </c>
      <c r="I10237">
        <v>130.39680000000001</v>
      </c>
      <c r="J10237">
        <v>-184.0498</v>
      </c>
      <c r="K10237">
        <v>1.1164810000000001</v>
      </c>
      <c r="L10237">
        <v>125.5175</v>
      </c>
      <c r="M10237">
        <v>0.34894890000000001</v>
      </c>
      <c r="N10237">
        <v>-1.5280729999999999E-2</v>
      </c>
      <c r="O10237">
        <v>0.93701719999999999</v>
      </c>
      <c r="P10237">
        <v>0.63036349999999997</v>
      </c>
      <c r="Q10237">
        <v>0.1442049</v>
      </c>
      <c r="R10237">
        <v>0.76278900000000005</v>
      </c>
      <c r="S10237">
        <v>2.9047999999999998</v>
      </c>
      <c r="T10237">
        <v>-0.35908830000000003</v>
      </c>
      <c r="U10237">
        <v>1.6082459999999901</v>
      </c>
      <c r="V10237">
        <v>0.32653280000000001</v>
      </c>
      <c r="W10237">
        <v>0.15429300000000001</v>
      </c>
      <c r="X10237">
        <v>0.93250739999999999</v>
      </c>
      <c r="Y10237">
        <v>0.64568130000000001</v>
      </c>
      <c r="Z10237">
        <v>-0.1023168</v>
      </c>
      <c r="AA10237">
        <v>0.75672109999999904</v>
      </c>
      <c r="AB10237">
        <v>23</v>
      </c>
      <c r="AC10237">
        <v>8.9814000000000007</v>
      </c>
      <c r="AD10237">
        <v>-1.116483392895</v>
      </c>
      <c r="AE10237">
        <v>4.8793000000000104</v>
      </c>
      <c r="AF10237">
        <v>6.6347205063807699</v>
      </c>
      <c r="AG10237">
        <v>-1.116483392895</v>
      </c>
      <c r="AH10237">
        <v>7.6160651337340397</v>
      </c>
      <c r="AI10237">
        <v>96.307603012919401</v>
      </c>
      <c r="AJ10237">
        <v>48.939311279667002</v>
      </c>
      <c r="AK10237">
        <v>10.162209380133699</v>
      </c>
      <c r="AL10237">
        <v>81.124205341319097</v>
      </c>
      <c r="AM10237">
        <v>70.701458433214199</v>
      </c>
      <c r="AN10237">
        <v>1.00000002518979</v>
      </c>
    </row>
    <row r="10238" spans="1:40" x14ac:dyDescent="0.25">
      <c r="A10238" t="str">
        <f>"20190303162148049"</f>
        <v>20190303162148049</v>
      </c>
      <c r="B10238" t="str">
        <f>"1551601308042595"</f>
        <v>1551601308042595</v>
      </c>
      <c r="C10238" t="s">
        <v>40</v>
      </c>
      <c r="D10238">
        <v>5.310975</v>
      </c>
      <c r="E10238">
        <v>0.66010279999999999</v>
      </c>
      <c r="F10238" t="s">
        <v>50</v>
      </c>
      <c r="G10238">
        <v>-175.14449999999999</v>
      </c>
      <c r="H10238" s="1">
        <v>-2.4528340000000001E-6</v>
      </c>
      <c r="I10238">
        <v>130.4179</v>
      </c>
      <c r="J10238">
        <v>-184.0059</v>
      </c>
      <c r="K10238">
        <v>1.116492</v>
      </c>
      <c r="L10238">
        <v>125.62260000000001</v>
      </c>
      <c r="M10238">
        <v>0.35277730000000002</v>
      </c>
      <c r="N10238">
        <v>-1.5276669999999999E-2</v>
      </c>
      <c r="O10238">
        <v>0.93558260000000004</v>
      </c>
      <c r="P10238">
        <v>0.63363369999999997</v>
      </c>
      <c r="Q10238">
        <v>0.1446171</v>
      </c>
      <c r="R10238">
        <v>0.75999619999999901</v>
      </c>
      <c r="S10238">
        <v>2.906876</v>
      </c>
      <c r="T10238">
        <v>-0.36444290000000001</v>
      </c>
      <c r="U10238">
        <v>1.599594</v>
      </c>
      <c r="V10238">
        <v>0.32675569999999998</v>
      </c>
      <c r="W10238">
        <v>0.1547019</v>
      </c>
      <c r="X10238">
        <v>0.93236149999999995</v>
      </c>
      <c r="Y10238">
        <v>0.64435509999999996</v>
      </c>
      <c r="Z10238">
        <v>-0.1040946</v>
      </c>
      <c r="AA10238">
        <v>0.75760869999999902</v>
      </c>
      <c r="AB10238">
        <v>23</v>
      </c>
      <c r="AC10238">
        <v>8.8613999999999997</v>
      </c>
      <c r="AD10238">
        <v>-1.116494452834</v>
      </c>
      <c r="AE10238">
        <v>4.7952999999999903</v>
      </c>
      <c r="AF10238">
        <v>6.5196141949529602</v>
      </c>
      <c r="AG10238">
        <v>-1.116494452834</v>
      </c>
      <c r="AH10238">
        <v>7.5210373171585001</v>
      </c>
      <c r="AI10238">
        <v>96.400198957555602</v>
      </c>
      <c r="AJ10238">
        <v>49.0796056838917</v>
      </c>
      <c r="AK10238">
        <v>10.015883957012001</v>
      </c>
      <c r="AL10238">
        <v>81.100491849508202</v>
      </c>
      <c r="AM10238">
        <v>70.686461563256699</v>
      </c>
      <c r="AN10238">
        <v>0.99999996601417396</v>
      </c>
    </row>
    <row r="10239" spans="1:40" x14ac:dyDescent="0.25">
      <c r="A10239" t="str">
        <f>"20190303162148060"</f>
        <v>20190303162148060</v>
      </c>
      <c r="B10239" t="str">
        <f>"1551601308052355"</f>
        <v>1551601308052355</v>
      </c>
      <c r="C10239" t="s">
        <v>40</v>
      </c>
      <c r="D10239">
        <v>5.3866199999999997</v>
      </c>
      <c r="E10239">
        <v>0.65905729999999996</v>
      </c>
      <c r="F10239" t="s">
        <v>50</v>
      </c>
      <c r="G10239">
        <v>-175.1472</v>
      </c>
      <c r="H10239" s="1">
        <v>-2.469239E-6</v>
      </c>
      <c r="I10239">
        <v>130.4562</v>
      </c>
      <c r="J10239">
        <v>-183.96019999999999</v>
      </c>
      <c r="K10239">
        <v>1.1164989999999999</v>
      </c>
      <c r="L10239">
        <v>125.7307</v>
      </c>
      <c r="M10239">
        <v>0.3567227</v>
      </c>
      <c r="N10239">
        <v>-1.527279E-2</v>
      </c>
      <c r="O10239">
        <v>0.93408550000000001</v>
      </c>
      <c r="P10239">
        <v>0.63660260000000002</v>
      </c>
      <c r="Q10239">
        <v>0.14410139999999999</v>
      </c>
      <c r="R10239">
        <v>0.75760939999999999</v>
      </c>
      <c r="S10239">
        <v>2.912369</v>
      </c>
      <c r="T10239">
        <v>-0.36705539999999998</v>
      </c>
      <c r="U10239">
        <v>1.5890959999999901</v>
      </c>
      <c r="V10239">
        <v>0.3264244</v>
      </c>
      <c r="W10239">
        <v>0.15419449999999901</v>
      </c>
      <c r="X10239">
        <v>0.93256159999999999</v>
      </c>
      <c r="Y10239">
        <v>0.6437621</v>
      </c>
      <c r="Z10239">
        <v>-0.10495309999999999</v>
      </c>
      <c r="AA10239">
        <v>0.75799419999999995</v>
      </c>
      <c r="AB10239">
        <v>23</v>
      </c>
      <c r="AC10239">
        <v>8.8129999999999793</v>
      </c>
      <c r="AD10239">
        <v>-1.1165014692389901</v>
      </c>
      <c r="AE10239">
        <v>4.7254999999999896</v>
      </c>
      <c r="AF10239">
        <v>6.4665547787159801</v>
      </c>
      <c r="AG10239">
        <v>-1.1165014692389901</v>
      </c>
      <c r="AH10239">
        <v>7.4656341562526096</v>
      </c>
      <c r="AI10239">
        <v>96.449470568218302</v>
      </c>
      <c r="AJ10239">
        <v>49.101667905847897</v>
      </c>
      <c r="AK10239">
        <v>9.9397484672376404</v>
      </c>
      <c r="AL10239">
        <v>81.129916974894101</v>
      </c>
      <c r="AM10239">
        <v>70.708429994939905</v>
      </c>
      <c r="AN10239">
        <v>0.99999998527008405</v>
      </c>
    </row>
    <row r="10240" spans="1:40" x14ac:dyDescent="0.25">
      <c r="A10240" t="str">
        <f>"20190303162148071"</f>
        <v>20190303162148071</v>
      </c>
      <c r="B10240" t="str">
        <f>"1551601308063090"</f>
        <v>1551601308063090</v>
      </c>
      <c r="C10240" t="s">
        <v>40</v>
      </c>
      <c r="D10240">
        <v>5.374752</v>
      </c>
      <c r="E10240">
        <v>0.65787289999999998</v>
      </c>
      <c r="F10240" t="s">
        <v>50</v>
      </c>
      <c r="G10240">
        <v>-175.18940000000001</v>
      </c>
      <c r="H10240" s="1">
        <v>-2.5141479999999998E-6</v>
      </c>
      <c r="I10240">
        <v>130.49870000000001</v>
      </c>
      <c r="J10240">
        <v>-183.91380000000001</v>
      </c>
      <c r="K10240">
        <v>1.116506</v>
      </c>
      <c r="L10240">
        <v>125.8391</v>
      </c>
      <c r="M10240">
        <v>0.36068679999999997</v>
      </c>
      <c r="N10240">
        <v>-1.52692E-2</v>
      </c>
      <c r="O10240">
        <v>0.932562</v>
      </c>
      <c r="P10240">
        <v>0.63957229999999998</v>
      </c>
      <c r="Q10240">
        <v>0.1438719</v>
      </c>
      <c r="R10240">
        <v>0.75514780000000004</v>
      </c>
      <c r="S10240">
        <v>2.9122919999999999</v>
      </c>
      <c r="T10240">
        <v>-0.37072769999999999</v>
      </c>
      <c r="U10240">
        <v>1.583191</v>
      </c>
      <c r="V10240">
        <v>0.3261038</v>
      </c>
      <c r="W10240">
        <v>0.15397159999999999</v>
      </c>
      <c r="X10240">
        <v>0.93271059999999995</v>
      </c>
      <c r="Y10240">
        <v>0.64157830000000005</v>
      </c>
      <c r="Z10240">
        <v>-0.1061841</v>
      </c>
      <c r="AA10240">
        <v>0.75967249999999997</v>
      </c>
      <c r="AB10240">
        <v>23</v>
      </c>
      <c r="AC10240">
        <v>8.7243999999999993</v>
      </c>
      <c r="AD10240">
        <v>-1.116508514148</v>
      </c>
      <c r="AE10240">
        <v>4.65960000000001</v>
      </c>
      <c r="AF10240">
        <v>6.3749061427939004</v>
      </c>
      <c r="AG10240">
        <v>-1.116508514148</v>
      </c>
      <c r="AH10240">
        <v>7.3987346833859799</v>
      </c>
      <c r="AI10240">
        <v>96.5218832195944</v>
      </c>
      <c r="AJ10240">
        <v>49.251117883769503</v>
      </c>
      <c r="AK10240">
        <v>9.8299183367276797</v>
      </c>
      <c r="AL10240">
        <v>81.142842718359404</v>
      </c>
      <c r="AM10240">
        <v>70.728831312979906</v>
      </c>
      <c r="AN10240">
        <v>1.00000000266667</v>
      </c>
    </row>
    <row r="10241" spans="1:40" x14ac:dyDescent="0.25">
      <c r="A10241" t="str">
        <f>"20190303162148083"</f>
        <v>20190303162148083</v>
      </c>
      <c r="B10241" t="str">
        <f>"1551601308072851"</f>
        <v>1551601308072851</v>
      </c>
      <c r="C10241" t="s">
        <v>40</v>
      </c>
      <c r="D10241">
        <v>5.4103070000000004</v>
      </c>
      <c r="E10241">
        <v>0.65678049999999999</v>
      </c>
      <c r="F10241" t="s">
        <v>50</v>
      </c>
      <c r="G10241">
        <v>-175.2602</v>
      </c>
      <c r="H10241" s="1">
        <v>-2.5749370000000001E-6</v>
      </c>
      <c r="I10241">
        <v>130.5316</v>
      </c>
      <c r="J10241">
        <v>-183.8621</v>
      </c>
      <c r="K10241">
        <v>1.1165099999999999</v>
      </c>
      <c r="L10241">
        <v>125.95869999999999</v>
      </c>
      <c r="M10241">
        <v>0.36506329999999998</v>
      </c>
      <c r="N10241">
        <v>-1.526545E-2</v>
      </c>
      <c r="O10241">
        <v>0.9308575</v>
      </c>
      <c r="P10241">
        <v>0.64298109999999997</v>
      </c>
      <c r="Q10241">
        <v>0.1436492</v>
      </c>
      <c r="R10241">
        <v>0.75229009999999996</v>
      </c>
      <c r="S10241">
        <v>2.9112089999999999</v>
      </c>
      <c r="T10241">
        <v>-0.37561499999999998</v>
      </c>
      <c r="U10241">
        <v>1.5786439999999999</v>
      </c>
      <c r="V10241">
        <v>0.32592090000000001</v>
      </c>
      <c r="W10241">
        <v>0.1537521</v>
      </c>
      <c r="X10241">
        <v>0.93281069999999999</v>
      </c>
      <c r="Y10241">
        <v>0.63862259999999904</v>
      </c>
      <c r="Z10241">
        <v>-0.1077818</v>
      </c>
      <c r="AA10241">
        <v>0.76193459999999902</v>
      </c>
      <c r="AB10241">
        <v>23</v>
      </c>
      <c r="AC10241">
        <v>8.6019000000000005</v>
      </c>
      <c r="AD10241">
        <v>-1.116512574937</v>
      </c>
      <c r="AE10241">
        <v>4.5728999999999997</v>
      </c>
      <c r="AF10241">
        <v>6.2563050886010503</v>
      </c>
      <c r="AG10241">
        <v>-1.116512574937</v>
      </c>
      <c r="AH10241">
        <v>7.3019053148647401</v>
      </c>
      <c r="AI10241">
        <v>96.623243668706607</v>
      </c>
      <c r="AJ10241">
        <v>49.409884036863701</v>
      </c>
      <c r="AK10241">
        <v>9.6801743227535795</v>
      </c>
      <c r="AL10241">
        <v>81.155570425759194</v>
      </c>
      <c r="AM10241">
        <v>70.740758215930299</v>
      </c>
      <c r="AN10241">
        <v>0.99999997167285404</v>
      </c>
    </row>
    <row r="10242" spans="1:40" x14ac:dyDescent="0.25">
      <c r="A10242" t="str">
        <f>"20190303162148095"</f>
        <v>20190303162148095</v>
      </c>
      <c r="B10242" t="str">
        <f>"1551601308092371"</f>
        <v>1551601308092371</v>
      </c>
      <c r="C10242" t="s">
        <v>40</v>
      </c>
      <c r="D10242">
        <v>5.3554469999999998</v>
      </c>
      <c r="E10242">
        <v>0.65508569999999999</v>
      </c>
      <c r="F10242" t="s">
        <v>50</v>
      </c>
      <c r="G10242">
        <v>-175.2825</v>
      </c>
      <c r="H10242" s="1">
        <v>-2.611626E-6</v>
      </c>
      <c r="I10242">
        <v>130.5883</v>
      </c>
      <c r="J10242">
        <v>-183.81559999999999</v>
      </c>
      <c r="K10242">
        <v>1.1165130000000001</v>
      </c>
      <c r="L10242">
        <v>126.0643</v>
      </c>
      <c r="M10242">
        <v>0.36895109999999998</v>
      </c>
      <c r="N10242">
        <v>-1.5262639999999999E-2</v>
      </c>
      <c r="O10242">
        <v>0.92932349999999997</v>
      </c>
      <c r="P10242">
        <v>0.64578059999999904</v>
      </c>
      <c r="Q10242">
        <v>0.14328640000000001</v>
      </c>
      <c r="R10242">
        <v>0.7499576</v>
      </c>
      <c r="S10242">
        <v>2.9119869999999999</v>
      </c>
      <c r="T10242">
        <v>-0.37895240000000002</v>
      </c>
      <c r="U10242">
        <v>1.5713200000000001</v>
      </c>
      <c r="V10242">
        <v>0.325466799999999</v>
      </c>
      <c r="W10242">
        <v>0.153396799999999</v>
      </c>
      <c r="X10242">
        <v>0.93302770000000002</v>
      </c>
      <c r="Y10242">
        <v>0.63687069999999901</v>
      </c>
      <c r="Z10242">
        <v>-0.10891099999999999</v>
      </c>
      <c r="AA10242">
        <v>0.76323909999999995</v>
      </c>
      <c r="AB10242">
        <v>23</v>
      </c>
      <c r="AC10242">
        <v>8.5330999999999904</v>
      </c>
      <c r="AD10242">
        <v>-1.11651561162599</v>
      </c>
      <c r="AE10242">
        <v>4.524</v>
      </c>
      <c r="AF10242">
        <v>6.1790277726685696</v>
      </c>
      <c r="AG10242">
        <v>-1.11651561162599</v>
      </c>
      <c r="AH10242">
        <v>7.2564369043205899</v>
      </c>
      <c r="AI10242">
        <v>96.681636105225806</v>
      </c>
      <c r="AJ10242">
        <v>49.584819502861102</v>
      </c>
      <c r="AK10242">
        <v>9.5959818607998599</v>
      </c>
      <c r="AL10242">
        <v>81.176171841906907</v>
      </c>
      <c r="AM10242">
        <v>70.769764451537498</v>
      </c>
      <c r="AN10242">
        <v>0.99999995255988305</v>
      </c>
    </row>
    <row r="10243" spans="1:40" x14ac:dyDescent="0.25">
      <c r="A10243" t="str">
        <f>"20190303162148107"</f>
        <v>20190303162148107</v>
      </c>
      <c r="B10243" t="str">
        <f>"1551601308103106"</f>
        <v>1551601308103106</v>
      </c>
      <c r="C10243" t="s">
        <v>40</v>
      </c>
      <c r="D10243">
        <v>5.3765850000000004</v>
      </c>
      <c r="E10243">
        <v>0.65427760000000001</v>
      </c>
      <c r="F10243" t="s">
        <v>50</v>
      </c>
      <c r="G10243">
        <v>-175.3416</v>
      </c>
      <c r="H10243" s="1">
        <v>-2.6709300000000001E-6</v>
      </c>
      <c r="I10243">
        <v>130.63820000000001</v>
      </c>
      <c r="J10243">
        <v>-183.76589999999999</v>
      </c>
      <c r="K10243">
        <v>1.116517</v>
      </c>
      <c r="L10243">
        <v>126.1765</v>
      </c>
      <c r="M10243">
        <v>0.3730792</v>
      </c>
      <c r="N10243">
        <v>-1.5259790000000001E-2</v>
      </c>
      <c r="O10243">
        <v>0.927674</v>
      </c>
      <c r="P10243">
        <v>0.64897260000000001</v>
      </c>
      <c r="Q10243">
        <v>0.14266499999999999</v>
      </c>
      <c r="R10243">
        <v>0.74731610000000004</v>
      </c>
      <c r="S10243">
        <v>2.9078219999999999</v>
      </c>
      <c r="T10243">
        <v>-0.3831292</v>
      </c>
      <c r="U10243">
        <v>1.569534</v>
      </c>
      <c r="V10243">
        <v>0.32524409999999998</v>
      </c>
      <c r="W10243">
        <v>0.15277859999999999</v>
      </c>
      <c r="X10243">
        <v>0.9332068</v>
      </c>
      <c r="Y10243">
        <v>0.63321289999999997</v>
      </c>
      <c r="Z10243">
        <v>-0.1102992</v>
      </c>
      <c r="AA10243">
        <v>0.76607809999999998</v>
      </c>
      <c r="AB10243">
        <v>23</v>
      </c>
      <c r="AC10243">
        <v>8.4242999999999792</v>
      </c>
      <c r="AD10243">
        <v>-1.11651967093</v>
      </c>
      <c r="AE10243">
        <v>4.4617000000000004</v>
      </c>
      <c r="AF10243">
        <v>6.0679142052426203</v>
      </c>
      <c r="AG10243">
        <v>-1.11651967093</v>
      </c>
      <c r="AH10243">
        <v>7.1842301134000399</v>
      </c>
      <c r="AI10243">
        <v>96.771020063205697</v>
      </c>
      <c r="AJ10243">
        <v>49.815035691499197</v>
      </c>
      <c r="AK10243">
        <v>9.4699187588934901</v>
      </c>
      <c r="AL10243">
        <v>81.212014816424798</v>
      </c>
      <c r="AM10243">
        <v>70.785375362419799</v>
      </c>
      <c r="AN10243">
        <v>0.99999997838450405</v>
      </c>
    </row>
    <row r="10244" spans="1:40" x14ac:dyDescent="0.25">
      <c r="A10244" t="str">
        <f>"20190303162148121"</f>
        <v>20190303162148121</v>
      </c>
      <c r="B10244" t="str">
        <f>"1551601308112867"</f>
        <v>1551601308112867</v>
      </c>
      <c r="C10244" t="s">
        <v>40</v>
      </c>
      <c r="D10244">
        <v>5.3843319999999997</v>
      </c>
      <c r="E10244">
        <v>0.65342469999999997</v>
      </c>
      <c r="F10244" t="s">
        <v>50</v>
      </c>
      <c r="G10244">
        <v>-175.33320000000001</v>
      </c>
      <c r="H10244" s="1">
        <v>-2.688423E-6</v>
      </c>
      <c r="I10244">
        <v>130.6995</v>
      </c>
      <c r="J10244">
        <v>-183.70359999999999</v>
      </c>
      <c r="K10244">
        <v>1.1165179999999999</v>
      </c>
      <c r="L10244">
        <v>126.315</v>
      </c>
      <c r="M10244">
        <v>0.3782006</v>
      </c>
      <c r="N10244">
        <v>-1.525672E-2</v>
      </c>
      <c r="O10244">
        <v>0.92559800000000003</v>
      </c>
      <c r="P10244">
        <v>0.65340759999999998</v>
      </c>
      <c r="Q10244">
        <v>0.142099799999999</v>
      </c>
      <c r="R10244">
        <v>0.74354969999999998</v>
      </c>
      <c r="S10244">
        <v>2.910034</v>
      </c>
      <c r="T10244">
        <v>-0.38529600000000003</v>
      </c>
      <c r="U10244">
        <v>1.5608519999999999</v>
      </c>
      <c r="V10244">
        <v>0.32559189999999999</v>
      </c>
      <c r="W10244">
        <v>0.1522056</v>
      </c>
      <c r="X10244">
        <v>0.93317919999999999</v>
      </c>
      <c r="Y10244">
        <v>0.63089200000000001</v>
      </c>
      <c r="Z10244">
        <v>-0.11101560000000001</v>
      </c>
      <c r="AA10244">
        <v>0.76788730000000005</v>
      </c>
      <c r="AB10244">
        <v>23</v>
      </c>
      <c r="AC10244">
        <v>8.3703999999999894</v>
      </c>
      <c r="AD10244">
        <v>-1.1165206884229999</v>
      </c>
      <c r="AE10244">
        <v>4.3845000000000001</v>
      </c>
      <c r="AF10244">
        <v>6.0062549629324797</v>
      </c>
      <c r="AG10244">
        <v>-1.1165206884229999</v>
      </c>
      <c r="AH10244">
        <v>7.1253323301816298</v>
      </c>
      <c r="AI10244">
        <v>96.832043813229504</v>
      </c>
      <c r="AJ10244">
        <v>49.8709924926208</v>
      </c>
      <c r="AK10244">
        <v>9.3857380073683796</v>
      </c>
      <c r="AL10244">
        <v>81.2452342140528</v>
      </c>
      <c r="AM10244">
        <v>70.7658095996605</v>
      </c>
      <c r="AN10244">
        <v>1.0000000246648</v>
      </c>
    </row>
    <row r="10245" spans="1:40" x14ac:dyDescent="0.25">
      <c r="A10245" t="str">
        <f>"20190303162148137"</f>
        <v>20190303162148137</v>
      </c>
      <c r="B10245" t="str">
        <f>"1551601308122627"</f>
        <v>1551601308122627</v>
      </c>
      <c r="C10245" t="s">
        <v>40</v>
      </c>
      <c r="D10245">
        <v>5.3698540000000001</v>
      </c>
      <c r="E10245">
        <v>0.65262390000000003</v>
      </c>
      <c r="F10245" t="s">
        <v>50</v>
      </c>
      <c r="G10245">
        <v>-175.25790000000001</v>
      </c>
      <c r="H10245" s="1">
        <v>-2.6729139999999998E-6</v>
      </c>
      <c r="I10245">
        <v>130.79399999999899</v>
      </c>
      <c r="J10245">
        <v>-183.64160000000001</v>
      </c>
      <c r="K10245">
        <v>1.116519</v>
      </c>
      <c r="L10245">
        <v>126.4504</v>
      </c>
      <c r="M10245">
        <v>0.38322539999999999</v>
      </c>
      <c r="N10245">
        <v>-1.525396E-2</v>
      </c>
      <c r="O10245">
        <v>0.92352889999999999</v>
      </c>
      <c r="P10245">
        <v>0.65788590000000002</v>
      </c>
      <c r="Q10245">
        <v>0.14162420000000001</v>
      </c>
      <c r="R10245">
        <v>0.73968149999999999</v>
      </c>
      <c r="S10245">
        <v>2.9156040000000001</v>
      </c>
      <c r="T10245">
        <v>-0.38544230000000002</v>
      </c>
      <c r="U10245">
        <v>1.546219</v>
      </c>
      <c r="V10245">
        <v>0.32611620000000002</v>
      </c>
      <c r="W10245">
        <v>0.15171770000000001</v>
      </c>
      <c r="X10245">
        <v>0.93307549999999995</v>
      </c>
      <c r="Y10245">
        <v>0.63029299999999999</v>
      </c>
      <c r="Z10245">
        <v>-0.1111432</v>
      </c>
      <c r="AA10245">
        <v>0.76836059999999995</v>
      </c>
      <c r="AB10245">
        <v>23</v>
      </c>
      <c r="AC10245">
        <v>8.3836999999999993</v>
      </c>
      <c r="AD10245">
        <v>-1.116521672914</v>
      </c>
      <c r="AE10245">
        <v>4.3435999999999799</v>
      </c>
      <c r="AF10245">
        <v>5.99489265347247</v>
      </c>
      <c r="AG10245">
        <v>-1.116521672914</v>
      </c>
      <c r="AH10245">
        <v>7.1254924957961396</v>
      </c>
      <c r="AI10245">
        <v>96.837279834948504</v>
      </c>
      <c r="AJ10245">
        <v>49.925081975956203</v>
      </c>
      <c r="AK10245">
        <v>9.3785927452039406</v>
      </c>
      <c r="AL10245">
        <v>81.273516746818899</v>
      </c>
      <c r="AM10245">
        <v>70.7351338240384</v>
      </c>
      <c r="AN10245">
        <v>0.99999996254798895</v>
      </c>
    </row>
    <row r="10246" spans="1:40" x14ac:dyDescent="0.25">
      <c r="A10246" t="str">
        <f>"20190303162148151"</f>
        <v>20190303162148151</v>
      </c>
      <c r="B10246" t="str">
        <f>"1551601308143122"</f>
        <v>1551601308143122</v>
      </c>
      <c r="C10246" t="s">
        <v>40</v>
      </c>
      <c r="D10246">
        <v>5.3568720000000001</v>
      </c>
      <c r="E10246">
        <v>0.65112159999999997</v>
      </c>
      <c r="F10246" t="s">
        <v>50</v>
      </c>
      <c r="G10246">
        <v>-175.19659999999999</v>
      </c>
      <c r="H10246" s="1">
        <v>-2.663808E-6</v>
      </c>
      <c r="I10246">
        <v>130.8802</v>
      </c>
      <c r="J10246">
        <v>-183.57579999999999</v>
      </c>
      <c r="K10246">
        <v>1.1165149999999999</v>
      </c>
      <c r="L10246">
        <v>126.5924</v>
      </c>
      <c r="M10246">
        <v>0.38850790000000002</v>
      </c>
      <c r="N10246">
        <v>-1.5251280000000001E-2</v>
      </c>
      <c r="O10246">
        <v>0.92131909999999895</v>
      </c>
      <c r="P10246">
        <v>0.66257659999999996</v>
      </c>
      <c r="Q10246">
        <v>0.14141909999999999</v>
      </c>
      <c r="R10246">
        <v>0.73552220000000001</v>
      </c>
      <c r="S10246">
        <v>2.9207000000000001</v>
      </c>
      <c r="T10246">
        <v>-0.38614670000000001</v>
      </c>
      <c r="U10246">
        <v>1.5320279999999999</v>
      </c>
      <c r="V10246">
        <v>0.3266908</v>
      </c>
      <c r="W10246">
        <v>0.15149860000000001</v>
      </c>
      <c r="X10246">
        <v>0.93291009999999996</v>
      </c>
      <c r="Y10246">
        <v>0.62931139999999997</v>
      </c>
      <c r="Z10246">
        <v>-0.1114356</v>
      </c>
      <c r="AA10246">
        <v>0.76912250000000004</v>
      </c>
      <c r="AB10246">
        <v>23</v>
      </c>
      <c r="AC10246">
        <v>8.3791999999999902</v>
      </c>
      <c r="AD10246">
        <v>-1.1165176638080001</v>
      </c>
      <c r="AE10246">
        <v>4.2877999999999998</v>
      </c>
      <c r="AF10246">
        <v>5.9707645339070003</v>
      </c>
      <c r="AG10246">
        <v>-1.1165176638080001</v>
      </c>
      <c r="AH10246">
        <v>7.1066603226065199</v>
      </c>
      <c r="AI10246">
        <v>96.859101319480402</v>
      </c>
      <c r="AJ10246">
        <v>49.964211307169997</v>
      </c>
      <c r="AK10246">
        <v>9.3488641959259802</v>
      </c>
      <c r="AL10246">
        <v>81.286217209789996</v>
      </c>
      <c r="AM10246">
        <v>70.700529059254507</v>
      </c>
      <c r="AN10246">
        <v>0.99999997964430398</v>
      </c>
    </row>
    <row r="10247" spans="1:40" x14ac:dyDescent="0.25">
      <c r="A10247" t="str">
        <f>"20190303162148166"</f>
        <v>20190303162148166</v>
      </c>
      <c r="B10247" t="str">
        <f>"1551601308152883"</f>
        <v>1551601308152883</v>
      </c>
      <c r="C10247" t="s">
        <v>40</v>
      </c>
      <c r="D10247">
        <v>5.3501000000000003</v>
      </c>
      <c r="E10247">
        <v>0.65056380000000003</v>
      </c>
      <c r="F10247" t="s">
        <v>50</v>
      </c>
      <c r="G10247">
        <v>-175.1395</v>
      </c>
      <c r="H10247" s="1">
        <v>-2.6640580000000002E-6</v>
      </c>
      <c r="I10247">
        <v>130.98349999999999</v>
      </c>
      <c r="J10247">
        <v>-183.51249999999999</v>
      </c>
      <c r="K10247">
        <v>1.116509</v>
      </c>
      <c r="L10247">
        <v>126.7272</v>
      </c>
      <c r="M10247">
        <v>0.39353640000000001</v>
      </c>
      <c r="N10247">
        <v>-1.5248899999999999E-2</v>
      </c>
      <c r="O10247">
        <v>0.91918250000000001</v>
      </c>
      <c r="P10247">
        <v>0.66743439999999998</v>
      </c>
      <c r="Q10247">
        <v>0.1410546</v>
      </c>
      <c r="R10247">
        <v>0.73118729999999998</v>
      </c>
      <c r="S10247">
        <v>2.9219970000000002</v>
      </c>
      <c r="T10247">
        <v>-0.38671620000000001</v>
      </c>
      <c r="U10247">
        <v>1.520905</v>
      </c>
      <c r="V10247">
        <v>0.32774389999999998</v>
      </c>
      <c r="W10247">
        <v>0.15111159999999901</v>
      </c>
      <c r="X10247">
        <v>0.93260350000000003</v>
      </c>
      <c r="Y10247">
        <v>0.62749129999999997</v>
      </c>
      <c r="Z10247">
        <v>-0.111717899999999</v>
      </c>
      <c r="AA10247">
        <v>0.77056720000000001</v>
      </c>
      <c r="AB10247">
        <v>23</v>
      </c>
      <c r="AC10247">
        <v>8.3729999999999905</v>
      </c>
      <c r="AD10247">
        <v>-1.116511664058</v>
      </c>
      <c r="AE10247">
        <v>4.2562999999999898</v>
      </c>
      <c r="AF10247">
        <v>5.9381009442609702</v>
      </c>
      <c r="AG10247">
        <v>-1.116511664058</v>
      </c>
      <c r="AH10247">
        <v>7.1078016623159099</v>
      </c>
      <c r="AI10247">
        <v>96.873809312871501</v>
      </c>
      <c r="AJ10247">
        <v>50.123462109542402</v>
      </c>
      <c r="AK10247">
        <v>9.3289059160777992</v>
      </c>
      <c r="AL10247">
        <v>81.308649406455501</v>
      </c>
      <c r="AM10247">
        <v>70.637046685524197</v>
      </c>
      <c r="AN10247">
        <v>1.0000000339270001</v>
      </c>
    </row>
    <row r="10248" spans="1:40" x14ac:dyDescent="0.25">
      <c r="A10248" t="str">
        <f>"20190303162148179"</f>
        <v>20190303162148179</v>
      </c>
      <c r="B10248" t="str">
        <f>"1551601308172403"</f>
        <v>1551601308172403</v>
      </c>
      <c r="C10248" t="s">
        <v>40</v>
      </c>
      <c r="D10248">
        <v>5.3351749999999996</v>
      </c>
      <c r="E10248">
        <v>0.64965919999999999</v>
      </c>
      <c r="F10248" t="s">
        <v>50</v>
      </c>
      <c r="G10248">
        <v>-175.0343</v>
      </c>
      <c r="H10248" s="1">
        <v>-2.6284600000000001E-6</v>
      </c>
      <c r="I10248">
        <v>131.0788</v>
      </c>
      <c r="J10248">
        <v>-183.45269999999999</v>
      </c>
      <c r="K10248">
        <v>1.1165</v>
      </c>
      <c r="L10248">
        <v>126.85209999999999</v>
      </c>
      <c r="M10248">
        <v>0.39822210000000002</v>
      </c>
      <c r="N10248">
        <v>-1.52468E-2</v>
      </c>
      <c r="O10248">
        <v>0.91716229999999999</v>
      </c>
      <c r="P10248">
        <v>0.67315649999999905</v>
      </c>
      <c r="Q10248">
        <v>0.13965129999999901</v>
      </c>
      <c r="R10248">
        <v>0.72619409999999995</v>
      </c>
      <c r="S10248">
        <v>2.9292449999999999</v>
      </c>
      <c r="T10248">
        <v>-0.38575860000000001</v>
      </c>
      <c r="U10248">
        <v>1.5034940000000001</v>
      </c>
      <c r="V10248">
        <v>0.3301887</v>
      </c>
      <c r="W10248">
        <v>0.1496634</v>
      </c>
      <c r="X10248">
        <v>0.93197439999999998</v>
      </c>
      <c r="Y10248">
        <v>0.62795500000000004</v>
      </c>
      <c r="Z10248">
        <v>-0.1115078</v>
      </c>
      <c r="AA10248">
        <v>0.77021980000000001</v>
      </c>
      <c r="AB10248">
        <v>23</v>
      </c>
      <c r="AC10248">
        <v>8.4183999999999894</v>
      </c>
      <c r="AD10248">
        <v>-1.1165026284599999</v>
      </c>
      <c r="AE10248">
        <v>4.2267000000000001</v>
      </c>
      <c r="AF10248">
        <v>5.9549185561568097</v>
      </c>
      <c r="AG10248">
        <v>-1.1165026284599999</v>
      </c>
      <c r="AH10248">
        <v>7.12964307912587</v>
      </c>
      <c r="AI10248">
        <v>96.853566878587202</v>
      </c>
      <c r="AJ10248">
        <v>50.130228287374202</v>
      </c>
      <c r="AK10248">
        <v>9.35625157664896</v>
      </c>
      <c r="AL10248">
        <v>81.3925793637857</v>
      </c>
      <c r="AM10248">
        <v>70.491300711040495</v>
      </c>
      <c r="AN10248">
        <v>0.99999999658130501</v>
      </c>
    </row>
    <row r="10249" spans="1:40" x14ac:dyDescent="0.25">
      <c r="A10249" t="str">
        <f>"20190303162148191"</f>
        <v>20190303162148191</v>
      </c>
      <c r="B10249" t="str">
        <f>"1551601308183139"</f>
        <v>1551601308183139</v>
      </c>
      <c r="C10249" t="s">
        <v>40</v>
      </c>
      <c r="D10249">
        <v>5.2876519999999996</v>
      </c>
      <c r="E10249">
        <v>0.65000150000000001</v>
      </c>
      <c r="F10249" t="s">
        <v>50</v>
      </c>
      <c r="G10249">
        <v>-174.96539999999999</v>
      </c>
      <c r="H10249" s="1">
        <v>-2.604069E-6</v>
      </c>
      <c r="I10249">
        <v>131.13839999999999</v>
      </c>
      <c r="J10249">
        <v>-183.39830000000001</v>
      </c>
      <c r="K10249">
        <v>1.116493</v>
      </c>
      <c r="L10249">
        <v>126.9645</v>
      </c>
      <c r="M10249">
        <v>0.40245049999999999</v>
      </c>
      <c r="N10249">
        <v>-1.524496E-2</v>
      </c>
      <c r="O10249">
        <v>0.91531479999999998</v>
      </c>
      <c r="P10249">
        <v>0.6775042</v>
      </c>
      <c r="Q10249">
        <v>0.13905880000000001</v>
      </c>
      <c r="R10249">
        <v>0.7222539</v>
      </c>
      <c r="S10249">
        <v>2.9367519999999998</v>
      </c>
      <c r="T10249">
        <v>-0.38632610000000001</v>
      </c>
      <c r="U10249">
        <v>1.4831240000000001</v>
      </c>
      <c r="V10249">
        <v>0.33143260000000002</v>
      </c>
      <c r="W10249">
        <v>0.1490467</v>
      </c>
      <c r="X10249">
        <v>0.93163169999999995</v>
      </c>
      <c r="Y10249">
        <v>0.62938609999999995</v>
      </c>
      <c r="Z10249">
        <v>-0.1118512</v>
      </c>
      <c r="AA10249">
        <v>0.76900100000000005</v>
      </c>
      <c r="AB10249">
        <v>23</v>
      </c>
      <c r="AC10249">
        <v>8.4329000000000107</v>
      </c>
      <c r="AD10249">
        <v>-1.1164956040689999</v>
      </c>
      <c r="AE10249">
        <v>4.1738999999999802</v>
      </c>
      <c r="AF10249">
        <v>5.9558149749555698</v>
      </c>
      <c r="AG10249">
        <v>-1.1164956040689999</v>
      </c>
      <c r="AH10249">
        <v>7.1149188030860602</v>
      </c>
      <c r="AI10249">
        <v>96.861367418072703</v>
      </c>
      <c r="AJ10249">
        <v>50.0676945516092</v>
      </c>
      <c r="AK10249">
        <v>9.3456066696773608</v>
      </c>
      <c r="AL10249">
        <v>81.428315001397394</v>
      </c>
      <c r="AM10249">
        <v>70.416731923325997</v>
      </c>
      <c r="AN10249">
        <v>1.0000000557842601</v>
      </c>
    </row>
    <row r="10250" spans="1:40" x14ac:dyDescent="0.25">
      <c r="A10250" t="str">
        <f>"20190303162148204"</f>
        <v>20190303162148204</v>
      </c>
      <c r="B10250" t="str">
        <f>"1551601308192898"</f>
        <v>1551601308192898</v>
      </c>
      <c r="C10250" t="s">
        <v>40</v>
      </c>
      <c r="D10250">
        <v>5.1001070000000004</v>
      </c>
      <c r="E10250">
        <v>0.65000150000000001</v>
      </c>
      <c r="F10250" t="s">
        <v>50</v>
      </c>
      <c r="G10250">
        <v>-174.8861</v>
      </c>
      <c r="H10250" s="1">
        <v>-2.5853839999999998E-6</v>
      </c>
      <c r="I10250">
        <v>131.1866</v>
      </c>
      <c r="J10250">
        <v>-183.339</v>
      </c>
      <c r="K10250">
        <v>1.1164879999999999</v>
      </c>
      <c r="L10250">
        <v>127.0861</v>
      </c>
      <c r="M10250">
        <v>0.4070278</v>
      </c>
      <c r="N10250">
        <v>-1.524301E-2</v>
      </c>
      <c r="O10250">
        <v>0.91328849999999995</v>
      </c>
      <c r="P10250">
        <v>0.68233999999999995</v>
      </c>
      <c r="Q10250">
        <v>0.138625</v>
      </c>
      <c r="R10250">
        <v>0.71777100000000005</v>
      </c>
      <c r="S10250">
        <v>2.94841</v>
      </c>
      <c r="T10250">
        <v>-0.38672410000000002</v>
      </c>
      <c r="U10250">
        <v>1.462402</v>
      </c>
      <c r="V10250">
        <v>0.33299010000000001</v>
      </c>
      <c r="W10250">
        <v>0.148582299999999</v>
      </c>
      <c r="X10250">
        <v>0.93115029999999999</v>
      </c>
      <c r="Y10250">
        <v>0.63104369999999999</v>
      </c>
      <c r="Z10250">
        <v>-0.11201220000000001</v>
      </c>
      <c r="AA10250">
        <v>0.76761780000000002</v>
      </c>
      <c r="AB10250">
        <v>23</v>
      </c>
      <c r="AC10250">
        <v>8.4529000000000192</v>
      </c>
      <c r="AD10250">
        <v>-1.1164905853839999</v>
      </c>
      <c r="AE10250">
        <v>4.1004999999999896</v>
      </c>
      <c r="AF10250">
        <v>5.9673471525881698</v>
      </c>
      <c r="AG10250">
        <v>-1.1164905853839999</v>
      </c>
      <c r="AH10250">
        <v>7.0862628395886302</v>
      </c>
      <c r="AI10250">
        <v>96.871996294768394</v>
      </c>
      <c r="AJ10250">
        <v>49.899244219229303</v>
      </c>
      <c r="AK10250">
        <v>9.3311791483438995</v>
      </c>
      <c r="AL10250">
        <v>81.455222241805501</v>
      </c>
      <c r="AM10250">
        <v>70.322363265221398</v>
      </c>
      <c r="AN10250">
        <v>0.99999999388069405</v>
      </c>
    </row>
    <row r="10251" spans="1:40" x14ac:dyDescent="0.25">
      <c r="A10251" t="str">
        <f>"20190303162148219"</f>
        <v>20190303162148219</v>
      </c>
      <c r="B10251" t="str">
        <f>"1551601308212419"</f>
        <v>1551601308212419</v>
      </c>
      <c r="C10251" t="s">
        <v>40</v>
      </c>
      <c r="D10251">
        <v>5.124085</v>
      </c>
      <c r="E10251">
        <v>0.6909478</v>
      </c>
      <c r="F10251" t="s">
        <v>50</v>
      </c>
      <c r="G10251">
        <v>-174.78540000000001</v>
      </c>
      <c r="H10251" s="1">
        <v>-2.5661150000000001E-6</v>
      </c>
      <c r="I10251">
        <v>131.2535</v>
      </c>
      <c r="J10251">
        <v>-183.27869999999999</v>
      </c>
      <c r="K10251">
        <v>1.116482</v>
      </c>
      <c r="L10251">
        <v>127.2073</v>
      </c>
      <c r="M10251">
        <v>0.41162530000000003</v>
      </c>
      <c r="N10251">
        <v>-1.5241279999999999E-2</v>
      </c>
      <c r="O10251">
        <v>0.91122570000000003</v>
      </c>
      <c r="P10251">
        <v>0.68722930000000004</v>
      </c>
      <c r="Q10251">
        <v>0.1380729</v>
      </c>
      <c r="R10251">
        <v>0.7131982</v>
      </c>
      <c r="S10251">
        <v>2.95871</v>
      </c>
      <c r="T10251">
        <v>-0.3861966</v>
      </c>
      <c r="U10251">
        <v>1.4415129999999901</v>
      </c>
      <c r="V10251">
        <v>0.33461419999999997</v>
      </c>
      <c r="W10251">
        <v>0.14799709999999999</v>
      </c>
      <c r="X10251">
        <v>0.93066110000000002</v>
      </c>
      <c r="Y10251">
        <v>0.63259319999999997</v>
      </c>
      <c r="Z10251">
        <v>-0.11191619999999999</v>
      </c>
      <c r="AA10251">
        <v>0.76635549999999997</v>
      </c>
      <c r="AB10251">
        <v>23</v>
      </c>
      <c r="AC10251">
        <v>8.4932999999999694</v>
      </c>
      <c r="AD10251">
        <v>-1.116484566115</v>
      </c>
      <c r="AE10251">
        <v>4.04619999999999</v>
      </c>
      <c r="AF10251">
        <v>5.9901360627565996</v>
      </c>
      <c r="AG10251">
        <v>-1.116484566115</v>
      </c>
      <c r="AH10251">
        <v>7.0841209901714599</v>
      </c>
      <c r="AI10251">
        <v>96.862378013167998</v>
      </c>
      <c r="AJ10251">
        <v>49.783066822420899</v>
      </c>
      <c r="AK10251">
        <v>9.3441445857872996</v>
      </c>
      <c r="AL10251">
        <v>81.489126150470995</v>
      </c>
      <c r="AM10251">
        <v>70.224224404436796</v>
      </c>
      <c r="AN10251">
        <v>0.99999994375162804</v>
      </c>
    </row>
    <row r="10252" spans="1:40" x14ac:dyDescent="0.25">
      <c r="A10252" t="str">
        <f>"20190303162148231"</f>
        <v>20190303162148231</v>
      </c>
      <c r="B10252" t="str">
        <f>"1551601308223155"</f>
        <v>1551601308223155</v>
      </c>
      <c r="C10252" t="s">
        <v>40</v>
      </c>
      <c r="D10252">
        <v>5.4385539999999999</v>
      </c>
      <c r="E10252">
        <v>0.6909478</v>
      </c>
      <c r="F10252" t="s">
        <v>50</v>
      </c>
      <c r="G10252">
        <v>-173.60290000000001</v>
      </c>
      <c r="H10252" s="1">
        <v>-1.7748219999999999E-6</v>
      </c>
      <c r="I10252">
        <v>130.80410000000001</v>
      </c>
      <c r="J10252">
        <v>-183.215</v>
      </c>
      <c r="K10252">
        <v>1.116474</v>
      </c>
      <c r="L10252">
        <v>127.334</v>
      </c>
      <c r="M10252">
        <v>0.41644170000000003</v>
      </c>
      <c r="N10252">
        <v>-1.523974E-2</v>
      </c>
      <c r="O10252">
        <v>0.90903469999999997</v>
      </c>
      <c r="P10252">
        <v>0.69257919999999995</v>
      </c>
      <c r="Q10252">
        <v>0.1379599</v>
      </c>
      <c r="R10252">
        <v>0.70802619999999905</v>
      </c>
      <c r="S10252">
        <v>3.2036899999999999</v>
      </c>
      <c r="T10252">
        <v>-0.36967299999999997</v>
      </c>
      <c r="U10252">
        <v>1.190903</v>
      </c>
      <c r="V10252">
        <v>0.33669090000000002</v>
      </c>
      <c r="W10252">
        <v>0.14784050000000001</v>
      </c>
      <c r="X10252">
        <v>0.92993680000000001</v>
      </c>
      <c r="Y10252">
        <v>0.70120839999999995</v>
      </c>
      <c r="Z10252">
        <v>-0.1050792</v>
      </c>
      <c r="AA10252">
        <v>0.70517030000000003</v>
      </c>
      <c r="AB10252">
        <v>23</v>
      </c>
      <c r="AC10252">
        <v>9.6120999999999892</v>
      </c>
      <c r="AD10252">
        <v>-1.116475774822</v>
      </c>
      <c r="AE10252">
        <v>3.4701</v>
      </c>
      <c r="AF10252">
        <v>7.2074572681590796</v>
      </c>
      <c r="AG10252">
        <v>-1.116475774822</v>
      </c>
      <c r="AH10252">
        <v>7.07372030937265</v>
      </c>
      <c r="AI10252">
        <v>96.308756672852297</v>
      </c>
      <c r="AJ10252">
        <v>44.463465860286298</v>
      </c>
      <c r="AK10252">
        <v>10.160289240141401</v>
      </c>
      <c r="AL10252">
        <v>81.498199069889196</v>
      </c>
      <c r="AM10252">
        <v>70.096814528021696</v>
      </c>
      <c r="AN10252">
        <v>1.00000001378865</v>
      </c>
    </row>
    <row r="10253" spans="1:40" x14ac:dyDescent="0.25">
      <c r="A10253" t="str">
        <f>"20190303162148245"</f>
        <v>20190303162148245</v>
      </c>
      <c r="B10253" t="str">
        <f>"1551601308232915"</f>
        <v>1551601308232915</v>
      </c>
      <c r="C10253" t="s">
        <v>40</v>
      </c>
      <c r="D10253">
        <v>5.1426439999999998</v>
      </c>
      <c r="E10253">
        <v>0.68685450000000003</v>
      </c>
      <c r="F10253" t="s">
        <v>50</v>
      </c>
      <c r="G10253">
        <v>-173.4804</v>
      </c>
      <c r="H10253" s="1">
        <v>-1.732765E-6</v>
      </c>
      <c r="I10253">
        <v>130.86680000000001</v>
      </c>
      <c r="J10253">
        <v>-183.1533</v>
      </c>
      <c r="K10253">
        <v>1.116468</v>
      </c>
      <c r="L10253">
        <v>127.4554</v>
      </c>
      <c r="M10253">
        <v>0.42107260000000002</v>
      </c>
      <c r="N10253">
        <v>-1.523849E-2</v>
      </c>
      <c r="O10253">
        <v>0.90689900000000001</v>
      </c>
      <c r="P10253">
        <v>0.69998309999999997</v>
      </c>
      <c r="Q10253">
        <v>0.13756679999999999</v>
      </c>
      <c r="R10253">
        <v>0.70078469999999904</v>
      </c>
      <c r="S10253">
        <v>3.2129819999999998</v>
      </c>
      <c r="T10253">
        <v>-0.36850119999999997</v>
      </c>
      <c r="U10253">
        <v>1.1660459999999999</v>
      </c>
      <c r="V10253">
        <v>0.3416942</v>
      </c>
      <c r="W10253">
        <v>0.14734910000000001</v>
      </c>
      <c r="X10253">
        <v>0.92818820000000002</v>
      </c>
      <c r="Y10253">
        <v>0.70309350000000004</v>
      </c>
      <c r="Z10253">
        <v>-0.1048282</v>
      </c>
      <c r="AA10253">
        <v>0.70332830000000002</v>
      </c>
      <c r="AB10253">
        <v>23</v>
      </c>
      <c r="AC10253">
        <v>9.6728999999999896</v>
      </c>
      <c r="AD10253">
        <v>-1.1164697327649999</v>
      </c>
      <c r="AE10253">
        <v>3.4114000000000102</v>
      </c>
      <c r="AF10253">
        <v>7.2508353460361299</v>
      </c>
      <c r="AG10253">
        <v>-1.1164697327649999</v>
      </c>
      <c r="AH10253">
        <v>7.0836883112543001</v>
      </c>
      <c r="AI10253">
        <v>96.285282615354802</v>
      </c>
      <c r="AJ10253">
        <v>44.331935551235397</v>
      </c>
      <c r="AK10253">
        <v>10.1980271607065</v>
      </c>
      <c r="AL10253">
        <v>81.526665948001394</v>
      </c>
      <c r="AM10253">
        <v>69.789809937609206</v>
      </c>
      <c r="AN10253">
        <v>1.0000000091018399</v>
      </c>
    </row>
    <row r="10254" spans="1:40" x14ac:dyDescent="0.25">
      <c r="A10254" t="str">
        <f>"20190303162148256"</f>
        <v>20190303162148256</v>
      </c>
      <c r="B10254" t="str">
        <f>"1551601308252434"</f>
        <v>1551601308252434</v>
      </c>
      <c r="C10254" t="s">
        <v>40</v>
      </c>
      <c r="D10254">
        <v>5.1225069999999997</v>
      </c>
      <c r="E10254">
        <v>0.68255639999999995</v>
      </c>
      <c r="F10254" t="s">
        <v>50</v>
      </c>
      <c r="G10254">
        <v>-173.72239999999999</v>
      </c>
      <c r="H10254" s="1">
        <v>-1.867358E-6</v>
      </c>
      <c r="I10254">
        <v>130.85919999999999</v>
      </c>
      <c r="J10254">
        <v>-183.09970000000001</v>
      </c>
      <c r="K10254">
        <v>1.1164620000000001</v>
      </c>
      <c r="L10254">
        <v>127.55880000000001</v>
      </c>
      <c r="M10254">
        <v>0.42505130000000002</v>
      </c>
      <c r="N10254">
        <v>-1.523799E-2</v>
      </c>
      <c r="O10254">
        <v>0.90504099999999998</v>
      </c>
      <c r="P10254">
        <v>0.70507549999999997</v>
      </c>
      <c r="Q10254">
        <v>0.1378212</v>
      </c>
      <c r="R10254">
        <v>0.69561039999999996</v>
      </c>
      <c r="S10254">
        <v>3.2029719999999999</v>
      </c>
      <c r="T10254">
        <v>-0.3791813</v>
      </c>
      <c r="U10254">
        <v>1.156021</v>
      </c>
      <c r="V10254">
        <v>0.34442020000000001</v>
      </c>
      <c r="W10254">
        <v>0.14754429999999999</v>
      </c>
      <c r="X10254">
        <v>0.92714909999999995</v>
      </c>
      <c r="Y10254">
        <v>0.70082100000000003</v>
      </c>
      <c r="Z10254">
        <v>-0.1085391</v>
      </c>
      <c r="AA10254">
        <v>0.70503130000000003</v>
      </c>
      <c r="AB10254">
        <v>23</v>
      </c>
      <c r="AC10254">
        <v>9.3773000000000195</v>
      </c>
      <c r="AD10254">
        <v>-1.1164638673580001</v>
      </c>
      <c r="AE10254">
        <v>3.3003999999999798</v>
      </c>
      <c r="AF10254">
        <v>6.9965767710836202</v>
      </c>
      <c r="AG10254">
        <v>-1.1164638673580001</v>
      </c>
      <c r="AH10254">
        <v>6.8867779620709397</v>
      </c>
      <c r="AI10254">
        <v>96.488024034859905</v>
      </c>
      <c r="AJ10254">
        <v>44.546876290593097</v>
      </c>
      <c r="AK10254">
        <v>9.8806016405707293</v>
      </c>
      <c r="AL10254">
        <v>81.515358346928807</v>
      </c>
      <c r="AM10254">
        <v>69.620820529223295</v>
      </c>
      <c r="AN10254">
        <v>1.0000000241306599</v>
      </c>
    </row>
    <row r="10255" spans="1:40" x14ac:dyDescent="0.25">
      <c r="A10255" t="str">
        <f>"20190303162148267"</f>
        <v>20190303162148267</v>
      </c>
      <c r="B10255" t="str">
        <f>"1551601308263170"</f>
        <v>1551601308263170</v>
      </c>
      <c r="C10255" t="s">
        <v>40</v>
      </c>
      <c r="D10255">
        <v>5.1269580000000001</v>
      </c>
      <c r="E10255">
        <v>0.6811431</v>
      </c>
      <c r="F10255" t="s">
        <v>50</v>
      </c>
      <c r="G10255">
        <v>-173.73699999999999</v>
      </c>
      <c r="H10255" s="1">
        <v>-1.9189629999999998E-6</v>
      </c>
      <c r="I10255">
        <v>130.95689999999999</v>
      </c>
      <c r="J10255">
        <v>-183.0504</v>
      </c>
      <c r="K10255">
        <v>1.11646</v>
      </c>
      <c r="L10255">
        <v>127.6537</v>
      </c>
      <c r="M10255">
        <v>0.42870160000000002</v>
      </c>
      <c r="N10255">
        <v>-1.5237570000000001E-2</v>
      </c>
      <c r="O10255">
        <v>0.90331760000000005</v>
      </c>
      <c r="P10255">
        <v>0.70978619999999903</v>
      </c>
      <c r="Q10255">
        <v>0.1385062</v>
      </c>
      <c r="R10255">
        <v>0.690666</v>
      </c>
      <c r="S10255">
        <v>3.1877439999999999</v>
      </c>
      <c r="T10255">
        <v>-0.3801254</v>
      </c>
      <c r="U10255">
        <v>1.156952</v>
      </c>
      <c r="V10255">
        <v>0.34705259999999999</v>
      </c>
      <c r="W10255">
        <v>0.14817149999999901</v>
      </c>
      <c r="X10255">
        <v>0.92606679999999997</v>
      </c>
      <c r="Y10255">
        <v>0.69661799999999996</v>
      </c>
      <c r="Z10255">
        <v>-0.10916289999999999</v>
      </c>
      <c r="AA10255">
        <v>0.70908870000000002</v>
      </c>
      <c r="AB10255">
        <v>23</v>
      </c>
      <c r="AC10255">
        <v>9.3133999999999997</v>
      </c>
      <c r="AD10255">
        <v>-1.1164619189630001</v>
      </c>
      <c r="AE10255">
        <v>3.3031999999999799</v>
      </c>
      <c r="AF10255">
        <v>6.9094856458776697</v>
      </c>
      <c r="AG10255">
        <v>-1.1164619189630001</v>
      </c>
      <c r="AH10255">
        <v>6.8893771285374097</v>
      </c>
      <c r="AI10255">
        <v>96.527593307509093</v>
      </c>
      <c r="AJ10255">
        <v>44.916505267199099</v>
      </c>
      <c r="AK10255">
        <v>9.8209468141467209</v>
      </c>
      <c r="AL10255">
        <v>81.479022932006202</v>
      </c>
      <c r="AM10255">
        <v>69.456021914378397</v>
      </c>
      <c r="AN10255">
        <v>1.0000000093206201</v>
      </c>
    </row>
    <row r="10256" spans="1:40" x14ac:dyDescent="0.25">
      <c r="A10256" t="str">
        <f>"20190303162148280"</f>
        <v>20190303162148280</v>
      </c>
      <c r="B10256" t="str">
        <f>"1551601308272931"</f>
        <v>1551601308272931</v>
      </c>
      <c r="C10256" t="s">
        <v>40</v>
      </c>
      <c r="D10256">
        <v>5.112304</v>
      </c>
      <c r="E10256">
        <v>0.68010859999999995</v>
      </c>
      <c r="F10256" t="s">
        <v>50</v>
      </c>
      <c r="G10256">
        <v>-173.5882</v>
      </c>
      <c r="H10256" s="1">
        <v>-1.8730389999999999E-6</v>
      </c>
      <c r="I10256">
        <v>131.04480000000001</v>
      </c>
      <c r="J10256">
        <v>-182.98689999999999</v>
      </c>
      <c r="K10256">
        <v>1.1164510000000001</v>
      </c>
      <c r="L10256">
        <v>127.774</v>
      </c>
      <c r="M10256">
        <v>0.43335899999999999</v>
      </c>
      <c r="N10256">
        <v>-1.5237540000000001E-2</v>
      </c>
      <c r="O10256">
        <v>0.90109260000000002</v>
      </c>
      <c r="P10256">
        <v>0.71484789999999998</v>
      </c>
      <c r="Q10256">
        <v>0.1391019</v>
      </c>
      <c r="R10256">
        <v>0.68530519999999995</v>
      </c>
      <c r="S10256">
        <v>3.1882169999999999</v>
      </c>
      <c r="T10256">
        <v>-0.37618239999999997</v>
      </c>
      <c r="U10256">
        <v>1.142593</v>
      </c>
      <c r="V10256">
        <v>0.34915299999999999</v>
      </c>
      <c r="W10256">
        <v>0.148715299999999</v>
      </c>
      <c r="X10256">
        <v>0.9251897</v>
      </c>
      <c r="Y10256">
        <v>0.69591650000000005</v>
      </c>
      <c r="Z10256">
        <v>-0.1080767</v>
      </c>
      <c r="AA10256">
        <v>0.7099434</v>
      </c>
      <c r="AB10256">
        <v>22</v>
      </c>
      <c r="AC10256">
        <v>9.3986999999999892</v>
      </c>
      <c r="AD10256">
        <v>-1.116452873039</v>
      </c>
      <c r="AE10256">
        <v>3.2707999999999999</v>
      </c>
      <c r="AF10256">
        <v>6.9648255728057702</v>
      </c>
      <c r="AG10256">
        <v>-1.116452873039</v>
      </c>
      <c r="AH10256">
        <v>6.9338483280019103</v>
      </c>
      <c r="AI10256">
        <v>96.481055500434096</v>
      </c>
      <c r="AJ10256">
        <v>44.872299871052903</v>
      </c>
      <c r="AK10256">
        <v>9.8910825956040398</v>
      </c>
      <c r="AL10256">
        <v>81.447516510454705</v>
      </c>
      <c r="AM10256">
        <v>69.324230246506204</v>
      </c>
      <c r="AN10256">
        <v>1.0000000194245799</v>
      </c>
    </row>
    <row r="10257" spans="1:40" x14ac:dyDescent="0.25">
      <c r="A10257" t="str">
        <f>"20190303162148292"</f>
        <v>20190303162148292</v>
      </c>
      <c r="B10257" t="str">
        <f>"1551601308282691"</f>
        <v>1551601308282691</v>
      </c>
      <c r="C10257" t="s">
        <v>40</v>
      </c>
      <c r="D10257">
        <v>5.0881059999999998</v>
      </c>
      <c r="E10257">
        <v>0.67899229999999999</v>
      </c>
      <c r="F10257" t="s">
        <v>50</v>
      </c>
      <c r="G10257">
        <v>-173.48249999999999</v>
      </c>
      <c r="H10257" s="1">
        <v>-1.8476380000000001E-6</v>
      </c>
      <c r="I10257">
        <v>131.12350000000001</v>
      </c>
      <c r="J10257">
        <v>-182.93</v>
      </c>
      <c r="K10257">
        <v>1.1164430000000001</v>
      </c>
      <c r="L10257">
        <v>127.8805</v>
      </c>
      <c r="M10257">
        <v>0.4374999</v>
      </c>
      <c r="N10257">
        <v>-1.5237769999999999E-2</v>
      </c>
      <c r="O10257">
        <v>0.89908929999999998</v>
      </c>
      <c r="P10257">
        <v>0.71937269999999998</v>
      </c>
      <c r="Q10257">
        <v>0.13949049999999999</v>
      </c>
      <c r="R10257">
        <v>0.68047449999999998</v>
      </c>
      <c r="S10257">
        <v>3.1914370000000001</v>
      </c>
      <c r="T10257">
        <v>-0.37488969999999999</v>
      </c>
      <c r="U10257">
        <v>1.1247100000000001</v>
      </c>
      <c r="V10257">
        <v>0.35107480000000002</v>
      </c>
      <c r="W10257">
        <v>0.1490561</v>
      </c>
      <c r="X10257">
        <v>0.92440719999999998</v>
      </c>
      <c r="Y10257">
        <v>0.69642079999999995</v>
      </c>
      <c r="Z10257">
        <v>-0.1078187</v>
      </c>
      <c r="AA10257">
        <v>0.70948800000000001</v>
      </c>
      <c r="AB10257">
        <v>22</v>
      </c>
      <c r="AC10257">
        <v>9.4475000000000193</v>
      </c>
      <c r="AD10257">
        <v>-1.116444847638</v>
      </c>
      <c r="AE10257">
        <v>3.2429999999999999</v>
      </c>
      <c r="AF10257">
        <v>6.9888446227452503</v>
      </c>
      <c r="AG10257">
        <v>-1.116444847638</v>
      </c>
      <c r="AH10257">
        <v>6.9628591213893296</v>
      </c>
      <c r="AI10257">
        <v>96.456588469814207</v>
      </c>
      <c r="AJ10257">
        <v>44.8932848731665</v>
      </c>
      <c r="AK10257">
        <v>9.9283334655423001</v>
      </c>
      <c r="AL10257">
        <v>81.427769455885596</v>
      </c>
      <c r="AM10257">
        <v>69.204038368682205</v>
      </c>
      <c r="AN10257">
        <v>0.99999995377704298</v>
      </c>
    </row>
    <row r="10258" spans="1:40" x14ac:dyDescent="0.25">
      <c r="A10258" t="str">
        <f>"20190303162148304"</f>
        <v>20190303162148304</v>
      </c>
      <c r="B10258" t="str">
        <f>"1551601308292451"</f>
        <v>1551601308292451</v>
      </c>
      <c r="C10258" t="s">
        <v>40</v>
      </c>
      <c r="D10258">
        <v>5.1154070000000003</v>
      </c>
      <c r="E10258">
        <v>0.67756340000000004</v>
      </c>
      <c r="F10258" t="s">
        <v>50</v>
      </c>
      <c r="G10258">
        <v>-173.34739999999999</v>
      </c>
      <c r="H10258" s="1">
        <v>-1.8088500000000001E-6</v>
      </c>
      <c r="I10258">
        <v>131.2098</v>
      </c>
      <c r="J10258">
        <v>-182.87289999999999</v>
      </c>
      <c r="K10258">
        <v>1.116433</v>
      </c>
      <c r="L10258">
        <v>127.98650000000001</v>
      </c>
      <c r="M10258">
        <v>0.44163649999999999</v>
      </c>
      <c r="N10258">
        <v>-1.5238089999999999E-2</v>
      </c>
      <c r="O10258">
        <v>0.89706469999999905</v>
      </c>
      <c r="P10258">
        <v>0.72394650000000005</v>
      </c>
      <c r="Q10258">
        <v>0.14005709999999999</v>
      </c>
      <c r="R10258">
        <v>0.67548909999999995</v>
      </c>
      <c r="S10258">
        <v>3.1930239999999999</v>
      </c>
      <c r="T10258">
        <v>-0.37201260000000003</v>
      </c>
      <c r="U10258">
        <v>1.1093900000000001</v>
      </c>
      <c r="V10258">
        <v>0.35312080000000001</v>
      </c>
      <c r="W10258">
        <v>0.14957100000000001</v>
      </c>
      <c r="X10258">
        <v>0.92354429999999998</v>
      </c>
      <c r="Y10258">
        <v>0.69636260000000005</v>
      </c>
      <c r="Z10258">
        <v>-0.10705530000000001</v>
      </c>
      <c r="AA10258">
        <v>0.70966079999999998</v>
      </c>
      <c r="AB10258">
        <v>22</v>
      </c>
      <c r="AC10258">
        <v>9.5254999999999903</v>
      </c>
      <c r="AD10258">
        <v>-1.11643480885</v>
      </c>
      <c r="AE10258">
        <v>3.2232999999999898</v>
      </c>
      <c r="AF10258">
        <v>7.0355717215916398</v>
      </c>
      <c r="AG10258">
        <v>-1.11643480885</v>
      </c>
      <c r="AH10258">
        <v>7.0127051385838701</v>
      </c>
      <c r="AI10258">
        <v>96.412519874212293</v>
      </c>
      <c r="AJ10258">
        <v>44.9067389150851</v>
      </c>
      <c r="AK10258">
        <v>9.9961857472134099</v>
      </c>
      <c r="AL10258">
        <v>81.397933175031298</v>
      </c>
      <c r="AM10258">
        <v>69.075448427230697</v>
      </c>
      <c r="AN10258">
        <v>0.99999992874806198</v>
      </c>
    </row>
    <row r="10259" spans="1:40" x14ac:dyDescent="0.25">
      <c r="A10259" t="str">
        <f>"20190303162148317"</f>
        <v>20190303162148317</v>
      </c>
      <c r="B10259" t="str">
        <f>"1551601308312946"</f>
        <v>1551601308312946</v>
      </c>
      <c r="C10259" t="s">
        <v>40</v>
      </c>
      <c r="D10259">
        <v>5.1042239999999897</v>
      </c>
      <c r="E10259">
        <v>0.6746048</v>
      </c>
      <c r="F10259" t="s">
        <v>50</v>
      </c>
      <c r="G10259">
        <v>-173.25710000000001</v>
      </c>
      <c r="H10259" s="1">
        <v>-1.7915680000000001E-6</v>
      </c>
      <c r="I10259">
        <v>131.28710000000001</v>
      </c>
      <c r="J10259">
        <v>-182.8107</v>
      </c>
      <c r="K10259">
        <v>1.116417</v>
      </c>
      <c r="L10259">
        <v>128.1</v>
      </c>
      <c r="M10259">
        <v>0.44610840000000002</v>
      </c>
      <c r="N10259">
        <v>-1.523912E-2</v>
      </c>
      <c r="O10259">
        <v>0.89484920000000001</v>
      </c>
      <c r="P10259">
        <v>0.72876359999999996</v>
      </c>
      <c r="Q10259">
        <v>0.14050289999999999</v>
      </c>
      <c r="R10259">
        <v>0.67019600000000001</v>
      </c>
      <c r="S10259">
        <v>3.1930239999999999</v>
      </c>
      <c r="T10259">
        <v>-0.37072470000000002</v>
      </c>
      <c r="U10259">
        <v>1.095993</v>
      </c>
      <c r="V10259">
        <v>0.35518090000000002</v>
      </c>
      <c r="W10259">
        <v>0.14996089999999901</v>
      </c>
      <c r="X10259">
        <v>0.92269069999999997</v>
      </c>
      <c r="Y10259">
        <v>0.69549039999999995</v>
      </c>
      <c r="Z10259">
        <v>-0.1067805</v>
      </c>
      <c r="AA10259">
        <v>0.71055690000000005</v>
      </c>
      <c r="AB10259">
        <v>22</v>
      </c>
      <c r="AC10259">
        <v>9.5535999999999799</v>
      </c>
      <c r="AD10259">
        <v>-1.1164187915679999</v>
      </c>
      <c r="AE10259">
        <v>3.1871000000000098</v>
      </c>
      <c r="AF10259">
        <v>7.0415381674199304</v>
      </c>
      <c r="AG10259">
        <v>-1.1164187915679999</v>
      </c>
      <c r="AH10259">
        <v>7.0283742428350102</v>
      </c>
      <c r="AI10259">
        <v>96.402655715948001</v>
      </c>
      <c r="AJ10259">
        <v>44.946393617921998</v>
      </c>
      <c r="AK10259">
        <v>10.011378285667901</v>
      </c>
      <c r="AL10259">
        <v>81.375338775910294</v>
      </c>
      <c r="AM10259">
        <v>68.946269942581395</v>
      </c>
      <c r="AN10259">
        <v>0.99999993556005295</v>
      </c>
    </row>
    <row r="10260" spans="1:40" x14ac:dyDescent="0.25">
      <c r="A10260" t="str">
        <f>"20190303162148331"</f>
        <v>20190303162148331</v>
      </c>
      <c r="B10260" t="str">
        <f>"1551601308323683"</f>
        <v>1551601308323683</v>
      </c>
      <c r="C10260" t="s">
        <v>40</v>
      </c>
      <c r="D10260">
        <v>5.1116089999999996</v>
      </c>
      <c r="E10260">
        <v>0.67330000000000001</v>
      </c>
      <c r="F10260" t="s">
        <v>50</v>
      </c>
      <c r="G10260">
        <v>-173.2534</v>
      </c>
      <c r="H10260" s="1">
        <v>-1.8273610000000001E-6</v>
      </c>
      <c r="I10260">
        <v>131.37270000000001</v>
      </c>
      <c r="J10260">
        <v>-182.73920000000001</v>
      </c>
      <c r="K10260">
        <v>1.1163920000000001</v>
      </c>
      <c r="L10260">
        <v>128.22909999999999</v>
      </c>
      <c r="M10260">
        <v>0.4512255</v>
      </c>
      <c r="N10260">
        <v>-1.5240760000000001E-2</v>
      </c>
      <c r="O10260">
        <v>0.89227979999999996</v>
      </c>
      <c r="P10260">
        <v>0.73424019999999901</v>
      </c>
      <c r="Q10260">
        <v>0.14030399999999901</v>
      </c>
      <c r="R10260">
        <v>0.66423359999999998</v>
      </c>
      <c r="S10260">
        <v>3.1852109999999998</v>
      </c>
      <c r="T10260">
        <v>-0.37207600000000002</v>
      </c>
      <c r="U10260">
        <v>1.0907290000000001</v>
      </c>
      <c r="V10260">
        <v>0.35746260000000002</v>
      </c>
      <c r="W10260">
        <v>0.14969879999999999</v>
      </c>
      <c r="X10260">
        <v>0.9218518</v>
      </c>
      <c r="Y10260">
        <v>0.69183709999999998</v>
      </c>
      <c r="Z10260">
        <v>-0.10737149999999999</v>
      </c>
      <c r="AA10260">
        <v>0.71402569999999999</v>
      </c>
      <c r="AB10260">
        <v>22</v>
      </c>
      <c r="AC10260">
        <v>9.48580000000001</v>
      </c>
      <c r="AD10260">
        <v>-1.1163938273609999</v>
      </c>
      <c r="AE10260">
        <v>3.1436000000000202</v>
      </c>
      <c r="AF10260">
        <v>6.9594760269232596</v>
      </c>
      <c r="AG10260">
        <v>-1.1163938273609999</v>
      </c>
      <c r="AH10260">
        <v>6.9986817135758201</v>
      </c>
      <c r="AI10260">
        <v>96.453321676052596</v>
      </c>
      <c r="AJ10260">
        <v>45.160932016427097</v>
      </c>
      <c r="AK10260">
        <v>9.9328841468643994</v>
      </c>
      <c r="AL10260">
        <v>81.3905279358098</v>
      </c>
      <c r="AM10260">
        <v>68.805410724501399</v>
      </c>
      <c r="AN10260">
        <v>0.999999991141719</v>
      </c>
    </row>
    <row r="10261" spans="1:40" x14ac:dyDescent="0.25">
      <c r="A10261" t="str">
        <f>"20190303162148346"</f>
        <v>20190303162148346</v>
      </c>
      <c r="B10261" t="str">
        <f>"1551601308332467"</f>
        <v>1551601308332467</v>
      </c>
      <c r="C10261" t="s">
        <v>40</v>
      </c>
      <c r="D10261">
        <v>5.1104159999999998</v>
      </c>
      <c r="E10261">
        <v>0.67186769999999996</v>
      </c>
      <c r="F10261" t="s">
        <v>50</v>
      </c>
      <c r="G10261">
        <v>-173.18199999999999</v>
      </c>
      <c r="H10261" s="1">
        <v>-1.8179809999999999E-6</v>
      </c>
      <c r="I10261">
        <v>131.4434</v>
      </c>
      <c r="J10261">
        <v>-182.66990000000001</v>
      </c>
      <c r="K10261">
        <v>1.1163639999999999</v>
      </c>
      <c r="L10261">
        <v>128.3527</v>
      </c>
      <c r="M10261">
        <v>0.45615709999999998</v>
      </c>
      <c r="N10261">
        <v>-1.524287E-2</v>
      </c>
      <c r="O10261">
        <v>0.88976869999999997</v>
      </c>
      <c r="P10261">
        <v>0.74083140000000003</v>
      </c>
      <c r="Q10261">
        <v>0.1391802</v>
      </c>
      <c r="R10261">
        <v>0.65711330000000001</v>
      </c>
      <c r="S10261">
        <v>3.1872560000000001</v>
      </c>
      <c r="T10261">
        <v>-0.37231160000000002</v>
      </c>
      <c r="U10261">
        <v>1.07196</v>
      </c>
      <c r="V10261">
        <v>0.36145139999999998</v>
      </c>
      <c r="W10261">
        <v>0.148479</v>
      </c>
      <c r="X10261">
        <v>0.9204928</v>
      </c>
      <c r="Y10261">
        <v>0.69174829999999998</v>
      </c>
      <c r="Z10261">
        <v>-0.107596</v>
      </c>
      <c r="AA10261">
        <v>0.71407799999999999</v>
      </c>
      <c r="AB10261">
        <v>22</v>
      </c>
      <c r="AC10261">
        <v>9.4878999999999891</v>
      </c>
      <c r="AD10261">
        <v>-1.1163658179810001</v>
      </c>
      <c r="AE10261">
        <v>3.0906999999999898</v>
      </c>
      <c r="AF10261">
        <v>6.9460703582673204</v>
      </c>
      <c r="AG10261">
        <v>-1.1163658179810001</v>
      </c>
      <c r="AH10261">
        <v>6.99129895870621</v>
      </c>
      <c r="AI10261">
        <v>96.462696574373794</v>
      </c>
      <c r="AJ10261">
        <v>45.185931703677397</v>
      </c>
      <c r="AK10261">
        <v>9.9182875130519896</v>
      </c>
      <c r="AL10261">
        <v>81.461207864192303</v>
      </c>
      <c r="AM10261">
        <v>68.561472670276999</v>
      </c>
      <c r="AN10261">
        <v>1.0000000614273901</v>
      </c>
    </row>
    <row r="10262" spans="1:40" x14ac:dyDescent="0.25">
      <c r="A10262" t="str">
        <f>"20190303162148359"</f>
        <v>20190303162148359</v>
      </c>
      <c r="B10262" t="str">
        <f>"1551601308352962"</f>
        <v>1551601308352962</v>
      </c>
      <c r="C10262" t="s">
        <v>40</v>
      </c>
      <c r="D10262">
        <v>5.0749940000000002</v>
      </c>
      <c r="E10262">
        <v>0.67073739999999904</v>
      </c>
      <c r="F10262" t="s">
        <v>50</v>
      </c>
      <c r="G10262">
        <v>-173.16040000000001</v>
      </c>
      <c r="H10262" s="1">
        <v>-1.82077E-6</v>
      </c>
      <c r="I10262">
        <v>131.4776</v>
      </c>
      <c r="J10262">
        <v>-182.59729999999999</v>
      </c>
      <c r="K10262">
        <v>1.1163240000000001</v>
      </c>
      <c r="L10262">
        <v>128.47989999999999</v>
      </c>
      <c r="M10262">
        <v>0.4612945</v>
      </c>
      <c r="N10262">
        <v>-1.524647E-2</v>
      </c>
      <c r="O10262">
        <v>0.88711609999999996</v>
      </c>
      <c r="P10262">
        <v>0.74583069999999996</v>
      </c>
      <c r="Q10262">
        <v>0.13815329999999901</v>
      </c>
      <c r="R10262">
        <v>0.65165200000000001</v>
      </c>
      <c r="S10262">
        <v>3.190048</v>
      </c>
      <c r="T10262">
        <v>-0.37449549999999998</v>
      </c>
      <c r="U10262">
        <v>1.0482640000000001</v>
      </c>
      <c r="V10262">
        <v>0.36306310000000003</v>
      </c>
      <c r="W10262">
        <v>0.14739720000000001</v>
      </c>
      <c r="X10262">
        <v>0.92003219999999997</v>
      </c>
      <c r="Y10262">
        <v>0.69245900000000005</v>
      </c>
      <c r="Z10262">
        <v>-0.10849549999999999</v>
      </c>
      <c r="AA10262">
        <v>0.71325249999999996</v>
      </c>
      <c r="AB10262">
        <v>22</v>
      </c>
      <c r="AC10262">
        <v>9.4368999999999801</v>
      </c>
      <c r="AD10262">
        <v>-1.11632582077</v>
      </c>
      <c r="AE10262">
        <v>2.9977</v>
      </c>
      <c r="AF10262">
        <v>6.9018871570609202</v>
      </c>
      <c r="AG10262">
        <v>-1.11632582077</v>
      </c>
      <c r="AH10262">
        <v>6.9252870777966402</v>
      </c>
      <c r="AI10262">
        <v>96.513553237198906</v>
      </c>
      <c r="AJ10262">
        <v>45.096962358065497</v>
      </c>
      <c r="AK10262">
        <v>9.8408247000349292</v>
      </c>
      <c r="AL10262">
        <v>81.523879511305196</v>
      </c>
      <c r="AM10262">
        <v>68.464816734525101</v>
      </c>
      <c r="AN10262">
        <v>0.99999999909314397</v>
      </c>
    </row>
    <row r="10263" spans="1:40" x14ac:dyDescent="0.25">
      <c r="A10263" t="str">
        <f>"20190303162148372"</f>
        <v>20190303162148372</v>
      </c>
      <c r="B10263" t="str">
        <f>"1551601308362723"</f>
        <v>1551601308362723</v>
      </c>
      <c r="C10263" t="s">
        <v>40</v>
      </c>
      <c r="D10263">
        <v>5.0639820000000002</v>
      </c>
      <c r="E10263">
        <v>0.65065779999999995</v>
      </c>
      <c r="F10263" t="s">
        <v>50</v>
      </c>
      <c r="G10263">
        <v>-173.1491</v>
      </c>
      <c r="H10263" s="1">
        <v>-1.837546E-6</v>
      </c>
      <c r="I10263">
        <v>131.53</v>
      </c>
      <c r="J10263">
        <v>-182.53389999999999</v>
      </c>
      <c r="K10263">
        <v>1.1162890000000001</v>
      </c>
      <c r="L10263">
        <v>128.58949999999999</v>
      </c>
      <c r="M10263">
        <v>0.46575620000000001</v>
      </c>
      <c r="N10263">
        <v>-1.5250079999999999E-2</v>
      </c>
      <c r="O10263">
        <v>0.88478169999999901</v>
      </c>
      <c r="P10263">
        <v>0.75049309999999902</v>
      </c>
      <c r="Q10263">
        <v>0.13689849999999901</v>
      </c>
      <c r="R10263">
        <v>0.64654389999999995</v>
      </c>
      <c r="S10263">
        <v>3.1918950000000001</v>
      </c>
      <c r="T10263">
        <v>-0.37713160000000001</v>
      </c>
      <c r="U10263">
        <v>1.0304260000000001</v>
      </c>
      <c r="V10263">
        <v>0.36491319999999999</v>
      </c>
      <c r="W10263">
        <v>0.14608589999999999</v>
      </c>
      <c r="X10263">
        <v>0.91950929999999997</v>
      </c>
      <c r="Y10263">
        <v>0.69246099999999999</v>
      </c>
      <c r="Z10263">
        <v>-0.1094646</v>
      </c>
      <c r="AA10263">
        <v>0.71310260000000003</v>
      </c>
      <c r="AB10263">
        <v>22</v>
      </c>
      <c r="AC10263">
        <v>9.3847999999999807</v>
      </c>
      <c r="AD10263">
        <v>-1.1162908375459999</v>
      </c>
      <c r="AE10263">
        <v>2.9405000000000099</v>
      </c>
      <c r="AF10263">
        <v>6.84654199285578</v>
      </c>
      <c r="AG10263">
        <v>-1.1162908375459999</v>
      </c>
      <c r="AH10263">
        <v>6.8848392820339503</v>
      </c>
      <c r="AI10263">
        <v>96.558378869267003</v>
      </c>
      <c r="AJ10263">
        <v>45.159799462505703</v>
      </c>
      <c r="AK10263">
        <v>9.7735487123851108</v>
      </c>
      <c r="AL10263">
        <v>81.599834060572107</v>
      </c>
      <c r="AM10263">
        <v>68.354027530553196</v>
      </c>
      <c r="AN10263">
        <v>1.00000004324976</v>
      </c>
    </row>
    <row r="10264" spans="1:40" x14ac:dyDescent="0.25">
      <c r="A10264" t="str">
        <f>"20190303162148384"</f>
        <v>20190303162148384</v>
      </c>
      <c r="B10264" t="str">
        <f>"1551601308372483"</f>
        <v>1551601308372483</v>
      </c>
      <c r="C10264" t="s">
        <v>40</v>
      </c>
      <c r="D10264">
        <v>5.084924</v>
      </c>
      <c r="E10264">
        <v>0.65030650000000001</v>
      </c>
      <c r="F10264" t="s">
        <v>50</v>
      </c>
      <c r="G10264">
        <v>-173.59</v>
      </c>
      <c r="H10264" s="1">
        <v>-2.2324259999999999E-6</v>
      </c>
      <c r="I10264">
        <v>131.85419999999999</v>
      </c>
      <c r="J10264">
        <v>-182.46960000000001</v>
      </c>
      <c r="K10264">
        <v>1.1162540000000001</v>
      </c>
      <c r="L10264">
        <v>128.69999999999999</v>
      </c>
      <c r="M10264">
        <v>0.47026869999999998</v>
      </c>
      <c r="N10264">
        <v>-1.52539999999999E-2</v>
      </c>
      <c r="O10264">
        <v>0.8823915</v>
      </c>
      <c r="P10264">
        <v>0.75457609999999997</v>
      </c>
      <c r="Q10264">
        <v>0.1358567</v>
      </c>
      <c r="R10264">
        <v>0.64199530000000005</v>
      </c>
      <c r="S10264">
        <v>3.094681</v>
      </c>
      <c r="T10264">
        <v>-0.38624750000000002</v>
      </c>
      <c r="U10264">
        <v>1.1295930000000001</v>
      </c>
      <c r="V10264">
        <v>0.36594100000000002</v>
      </c>
      <c r="W10264">
        <v>0.14500279999999999</v>
      </c>
      <c r="X10264">
        <v>0.91927219999999998</v>
      </c>
      <c r="Y10264">
        <v>0.66083879999999995</v>
      </c>
      <c r="Z10264">
        <v>-0.11299289999999899</v>
      </c>
      <c r="AA10264">
        <v>0.74197349999999995</v>
      </c>
      <c r="AB10264">
        <v>22</v>
      </c>
      <c r="AC10264">
        <v>8.8795999999999999</v>
      </c>
      <c r="AD10264">
        <v>-1.1162562324259999</v>
      </c>
      <c r="AE10264">
        <v>3.1541999999999999</v>
      </c>
      <c r="AF10264">
        <v>6.2647905925234904</v>
      </c>
      <c r="AG10264">
        <v>-1.1162562324259999</v>
      </c>
      <c r="AH10264">
        <v>6.8635345567675596</v>
      </c>
      <c r="AI10264">
        <v>96.849598841953807</v>
      </c>
      <c r="AJ10264">
        <v>47.611281046503102</v>
      </c>
      <c r="AK10264">
        <v>9.3595798920968303</v>
      </c>
      <c r="AL10264">
        <v>81.662558691062799</v>
      </c>
      <c r="AM10264">
        <v>68.293642456437695</v>
      </c>
      <c r="AN10264">
        <v>1.00000000259084</v>
      </c>
    </row>
    <row r="10265" spans="1:40" x14ac:dyDescent="0.25">
      <c r="A10265" t="str">
        <f>"20190303162148396"</f>
        <v>20190303162148396</v>
      </c>
      <c r="B10265" t="str">
        <f>"1551601308392978"</f>
        <v>1551601308392978</v>
      </c>
      <c r="C10265" t="s">
        <v>40</v>
      </c>
      <c r="D10265">
        <v>4.999485</v>
      </c>
      <c r="E10265">
        <v>0.64877969999999996</v>
      </c>
      <c r="F10265" t="s">
        <v>50</v>
      </c>
      <c r="G10265">
        <v>-173.45650000000001</v>
      </c>
      <c r="H10265" s="1">
        <v>-2.1903469999999998E-6</v>
      </c>
      <c r="I10265">
        <v>131.93100000000001</v>
      </c>
      <c r="J10265">
        <v>-182.41130000000001</v>
      </c>
      <c r="K10265">
        <v>1.1162190000000001</v>
      </c>
      <c r="L10265">
        <v>128.798</v>
      </c>
      <c r="M10265">
        <v>0.47433920000000002</v>
      </c>
      <c r="N10265">
        <v>-1.525844E-2</v>
      </c>
      <c r="O10265">
        <v>0.88020989999999999</v>
      </c>
      <c r="P10265">
        <v>0.75875130000000002</v>
      </c>
      <c r="Q10265">
        <v>0.13494500000000001</v>
      </c>
      <c r="R10265">
        <v>0.63724919999999996</v>
      </c>
      <c r="S10265">
        <v>3.0995029999999999</v>
      </c>
      <c r="T10265">
        <v>-0.38386880000000001</v>
      </c>
      <c r="U10265">
        <v>1.1111150000000001</v>
      </c>
      <c r="V10265">
        <v>0.36760670000000001</v>
      </c>
      <c r="W10265">
        <v>0.144036</v>
      </c>
      <c r="X10265">
        <v>0.91875949999999995</v>
      </c>
      <c r="Y10265">
        <v>0.66175189999999995</v>
      </c>
      <c r="Z10265">
        <v>-0.11232789999999999</v>
      </c>
      <c r="AA10265">
        <v>0.74126040000000004</v>
      </c>
      <c r="AB10265">
        <v>22</v>
      </c>
      <c r="AC10265">
        <v>8.9548000000000005</v>
      </c>
      <c r="AD10265">
        <v>-1.1162211903470001</v>
      </c>
      <c r="AE10265">
        <v>3.133</v>
      </c>
      <c r="AF10265">
        <v>6.3094010804148501</v>
      </c>
      <c r="AG10265">
        <v>-1.1162211903470001</v>
      </c>
      <c r="AH10265">
        <v>6.91046277187451</v>
      </c>
      <c r="AI10265">
        <v>96.802447412069995</v>
      </c>
      <c r="AJ10265">
        <v>47.6032489857214</v>
      </c>
      <c r="AK10265">
        <v>9.4238520500262197</v>
      </c>
      <c r="AL10265">
        <v>81.718540232993107</v>
      </c>
      <c r="AM10265">
        <v>68.193058778205895</v>
      </c>
      <c r="AN10265">
        <v>1.00000003701056</v>
      </c>
    </row>
    <row r="10266" spans="1:40" x14ac:dyDescent="0.25">
      <c r="A10266" t="str">
        <f>"20190303162148407"</f>
        <v>20190303162148407</v>
      </c>
      <c r="B10266" t="str">
        <f>"1551601308402739"</f>
        <v>1551601308402739</v>
      </c>
      <c r="C10266" t="s">
        <v>40</v>
      </c>
      <c r="D10266">
        <v>5.0303559999999896</v>
      </c>
      <c r="E10266">
        <v>0.64773389999999997</v>
      </c>
      <c r="F10266" t="s">
        <v>50</v>
      </c>
      <c r="G10266">
        <v>-173.25200000000001</v>
      </c>
      <c r="H10266" s="1">
        <v>-2.1250629999999998E-6</v>
      </c>
      <c r="I10266">
        <v>132.04689999999999</v>
      </c>
      <c r="J10266">
        <v>-182.35409999999999</v>
      </c>
      <c r="K10266">
        <v>1.116174</v>
      </c>
      <c r="L10266">
        <v>128.8939</v>
      </c>
      <c r="M10266">
        <v>0.478329</v>
      </c>
      <c r="N10266">
        <v>-1.526277E-2</v>
      </c>
      <c r="O10266">
        <v>0.8780481</v>
      </c>
      <c r="P10266">
        <v>0.76268279999999999</v>
      </c>
      <c r="Q10266">
        <v>0.13440779999999999</v>
      </c>
      <c r="R10266">
        <v>0.63265280000000002</v>
      </c>
      <c r="S10266">
        <v>3.098068</v>
      </c>
      <c r="T10266">
        <v>-0.3775519</v>
      </c>
      <c r="U10266">
        <v>1.0989070000000001</v>
      </c>
      <c r="V10266">
        <v>0.36907879999999998</v>
      </c>
      <c r="W10266">
        <v>0.14344609999999999</v>
      </c>
      <c r="X10266">
        <v>0.91826140000000001</v>
      </c>
      <c r="Y10266">
        <v>0.6610644</v>
      </c>
      <c r="Z10266">
        <v>-0.11046789999999899</v>
      </c>
      <c r="AA10266">
        <v>0.74215279999999995</v>
      </c>
      <c r="AB10266">
        <v>22</v>
      </c>
      <c r="AC10266">
        <v>9.1020999999999805</v>
      </c>
      <c r="AD10266">
        <v>-1.116176125063</v>
      </c>
      <c r="AE10266">
        <v>3.1529999999999898</v>
      </c>
      <c r="AF10266">
        <v>6.3987519901187602</v>
      </c>
      <c r="AG10266">
        <v>-1.116176125063</v>
      </c>
      <c r="AH10266">
        <v>7.0287415023439301</v>
      </c>
      <c r="AI10266">
        <v>96.697512222203201</v>
      </c>
      <c r="AJ10266">
        <v>47.686226542292601</v>
      </c>
      <c r="AK10266">
        <v>9.5704275390382403</v>
      </c>
      <c r="AL10266">
        <v>81.752693140471706</v>
      </c>
      <c r="AM10266">
        <v>68.103218485137802</v>
      </c>
      <c r="AN10266">
        <v>0.99999997147230402</v>
      </c>
    </row>
    <row r="10267" spans="1:40" x14ac:dyDescent="0.25">
      <c r="A10267" t="str">
        <f>"20190303162148418"</f>
        <v>20190303162148418</v>
      </c>
      <c r="B10267" t="str">
        <f>"1551601308412499"</f>
        <v>1551601308412499</v>
      </c>
      <c r="C10267" t="s">
        <v>40</v>
      </c>
      <c r="D10267">
        <v>5.0423970000000002</v>
      </c>
      <c r="E10267">
        <v>0.64773389999999997</v>
      </c>
      <c r="F10267" t="s">
        <v>50</v>
      </c>
      <c r="G10267">
        <v>-173.22749999999999</v>
      </c>
      <c r="H10267" s="1">
        <v>-2.1309619999999998E-6</v>
      </c>
      <c r="I10267">
        <v>132.0917</v>
      </c>
      <c r="J10267">
        <v>-182.2937</v>
      </c>
      <c r="K10267">
        <v>1.1161319999999999</v>
      </c>
      <c r="L10267">
        <v>128.99350000000001</v>
      </c>
      <c r="M10267">
        <v>0.48253449999999998</v>
      </c>
      <c r="N10267">
        <v>-1.5268179999999999E-2</v>
      </c>
      <c r="O10267">
        <v>0.87574390000000002</v>
      </c>
      <c r="P10267">
        <v>0.76661699999999999</v>
      </c>
      <c r="Q10267">
        <v>0.1336717</v>
      </c>
      <c r="R10267">
        <v>0.62803699999999996</v>
      </c>
      <c r="S10267">
        <v>3.0994419999999998</v>
      </c>
      <c r="T10267">
        <v>-0.37906030000000002</v>
      </c>
      <c r="U10267">
        <v>1.0859989999999999</v>
      </c>
      <c r="V10267">
        <v>0.37033700000000003</v>
      </c>
      <c r="W10267">
        <v>0.14265700000000001</v>
      </c>
      <c r="X10267">
        <v>0.91787770000000002</v>
      </c>
      <c r="Y10267">
        <v>0.66027259999999999</v>
      </c>
      <c r="Z10267">
        <v>-0.11099539999999999</v>
      </c>
      <c r="AA10267">
        <v>0.74277869999999901</v>
      </c>
      <c r="AB10267">
        <v>22</v>
      </c>
      <c r="AC10267">
        <v>9.0662000000000091</v>
      </c>
      <c r="AD10267">
        <v>-1.1161341309620001</v>
      </c>
      <c r="AE10267">
        <v>3.0981999999999901</v>
      </c>
      <c r="AF10267">
        <v>6.3591318263411001</v>
      </c>
      <c r="AG10267">
        <v>-1.1161341309620001</v>
      </c>
      <c r="AH10267">
        <v>6.9938954546529501</v>
      </c>
      <c r="AI10267">
        <v>96.734074582398605</v>
      </c>
      <c r="AJ10267">
        <v>47.7216239274996</v>
      </c>
      <c r="AK10267">
        <v>9.5183447412718696</v>
      </c>
      <c r="AL10267">
        <v>81.798375245610998</v>
      </c>
      <c r="AM10267">
        <v>68.027354973359493</v>
      </c>
      <c r="AN10267">
        <v>0.99999999268764495</v>
      </c>
    </row>
    <row r="10268" spans="1:40" x14ac:dyDescent="0.25">
      <c r="A10268" t="str">
        <f>"20190303162148430"</f>
        <v>20190303162148430</v>
      </c>
      <c r="B10268" t="str">
        <f>"1551601308423235"</f>
        <v>1551601308423235</v>
      </c>
      <c r="C10268" t="s">
        <v>40</v>
      </c>
      <c r="D10268">
        <v>5.0228640000000002</v>
      </c>
      <c r="E10268">
        <v>0.63854230000000001</v>
      </c>
      <c r="F10268" t="s">
        <v>50</v>
      </c>
      <c r="G10268">
        <v>-173.2012</v>
      </c>
      <c r="H10268" s="1">
        <v>-2.1271209999999999E-6</v>
      </c>
      <c r="I10268">
        <v>132.11689999999999</v>
      </c>
      <c r="J10268">
        <v>-182.23320000000001</v>
      </c>
      <c r="K10268">
        <v>1.1160829999999999</v>
      </c>
      <c r="L10268">
        <v>129.09219999999999</v>
      </c>
      <c r="M10268">
        <v>0.486734</v>
      </c>
      <c r="N10268">
        <v>-1.527413E-2</v>
      </c>
      <c r="O10268">
        <v>0.87341669999999905</v>
      </c>
      <c r="P10268">
        <v>0.77061469999999999</v>
      </c>
      <c r="Q10268">
        <v>0.13328999999999999</v>
      </c>
      <c r="R10268">
        <v>0.62320690000000001</v>
      </c>
      <c r="S10268">
        <v>3.1057429999999999</v>
      </c>
      <c r="T10268">
        <v>-0.38123980000000002</v>
      </c>
      <c r="U10268">
        <v>1.066864</v>
      </c>
      <c r="V10268">
        <v>0.37176700000000001</v>
      </c>
      <c r="W10268">
        <v>0.14221710000000001</v>
      </c>
      <c r="X10268">
        <v>0.91736779999999996</v>
      </c>
      <c r="Y10268">
        <v>0.66115369999999996</v>
      </c>
      <c r="Z10268">
        <v>-0.111716</v>
      </c>
      <c r="AA10268">
        <v>0.7418863</v>
      </c>
      <c r="AB10268">
        <v>22</v>
      </c>
      <c r="AC10268">
        <v>9.032</v>
      </c>
      <c r="AD10268">
        <v>-1.1160851271209999</v>
      </c>
      <c r="AE10268">
        <v>3.02469999999999</v>
      </c>
      <c r="AF10268">
        <v>6.3303100743629601</v>
      </c>
      <c r="AG10268">
        <v>-1.1160851271209999</v>
      </c>
      <c r="AH10268">
        <v>6.9434933848295897</v>
      </c>
      <c r="AI10268">
        <v>96.774020601454694</v>
      </c>
      <c r="AJ10268">
        <v>47.644898045426203</v>
      </c>
      <c r="AK10268">
        <v>9.4620596084432993</v>
      </c>
      <c r="AL10268">
        <v>81.823839709767</v>
      </c>
      <c r="AM10268">
        <v>67.939549635880496</v>
      </c>
      <c r="AN10268">
        <v>1.0000000431491201</v>
      </c>
    </row>
    <row r="10269" spans="1:40" x14ac:dyDescent="0.25">
      <c r="A10269" t="str">
        <f>"20190303162148441"</f>
        <v>20190303162148441</v>
      </c>
      <c r="B10269" t="str">
        <f>"1551601308432995"</f>
        <v>1551601308432995</v>
      </c>
      <c r="C10269" t="s">
        <v>40</v>
      </c>
      <c r="D10269">
        <v>4.9959889999999998</v>
      </c>
      <c r="E10269">
        <v>0.6374109</v>
      </c>
      <c r="F10269" t="s">
        <v>50</v>
      </c>
      <c r="G10269">
        <v>-173.58879999999999</v>
      </c>
      <c r="H10269" s="1">
        <v>-2.388344E-6</v>
      </c>
      <c r="I10269">
        <v>132.20779999999999</v>
      </c>
      <c r="J10269">
        <v>-182.17189999999999</v>
      </c>
      <c r="K10269">
        <v>1.116042</v>
      </c>
      <c r="L10269">
        <v>129.19130000000001</v>
      </c>
      <c r="M10269">
        <v>0.49098550000000002</v>
      </c>
      <c r="N10269">
        <v>-1.5280770000000001E-2</v>
      </c>
      <c r="O10269">
        <v>0.87103369999999902</v>
      </c>
      <c r="P10269">
        <v>0.77433719999999995</v>
      </c>
      <c r="Q10269">
        <v>0.1327797</v>
      </c>
      <c r="R10269">
        <v>0.61868540000000005</v>
      </c>
      <c r="S10269">
        <v>3.0674440000000001</v>
      </c>
      <c r="T10269">
        <v>-0.39603820000000001</v>
      </c>
      <c r="U10269">
        <v>1.105545</v>
      </c>
      <c r="V10269">
        <v>0.3727511</v>
      </c>
      <c r="W10269">
        <v>0.1416559</v>
      </c>
      <c r="X10269">
        <v>0.91705519999999996</v>
      </c>
      <c r="Y10269">
        <v>0.64563879999999996</v>
      </c>
      <c r="Z10269">
        <v>-0.11649080000000001</v>
      </c>
      <c r="AA10269">
        <v>0.75470550000000003</v>
      </c>
      <c r="AB10269">
        <v>22</v>
      </c>
      <c r="AC10269">
        <v>8.5831</v>
      </c>
      <c r="AD10269">
        <v>-1.1160443883440001</v>
      </c>
      <c r="AE10269">
        <v>3.01649999999997</v>
      </c>
      <c r="AF10269">
        <v>5.90692089552849</v>
      </c>
      <c r="AG10269">
        <v>-1.1160443883440001</v>
      </c>
      <c r="AH10269">
        <v>6.7410071475940896</v>
      </c>
      <c r="AI10269">
        <v>97.0978656054412</v>
      </c>
      <c r="AJ10269">
        <v>48.772991435276303</v>
      </c>
      <c r="AK10269">
        <v>9.0320787699565503</v>
      </c>
      <c r="AL10269">
        <v>81.856322681883796</v>
      </c>
      <c r="AM10269">
        <v>67.879965063454094</v>
      </c>
      <c r="AN10269">
        <v>1.0000000082015299</v>
      </c>
    </row>
    <row r="10270" spans="1:40" x14ac:dyDescent="0.25">
      <c r="A10270" t="str">
        <f>"20190303162148457"</f>
        <v>20190303162148457</v>
      </c>
      <c r="B10270" t="str">
        <f>"1551601308452515"</f>
        <v>1551601308452515</v>
      </c>
      <c r="C10270" t="s">
        <v>40</v>
      </c>
      <c r="D10270">
        <v>5.0026020000000004</v>
      </c>
      <c r="E10270">
        <v>0.6357315</v>
      </c>
      <c r="F10270" t="s">
        <v>50</v>
      </c>
      <c r="G10270">
        <v>-173.53970000000001</v>
      </c>
      <c r="H10270" s="1">
        <v>-2.3870650000000001E-6</v>
      </c>
      <c r="I10270">
        <v>132.2681</v>
      </c>
      <c r="J10270">
        <v>-182.09289999999999</v>
      </c>
      <c r="K10270">
        <v>1.1159889999999999</v>
      </c>
      <c r="L10270">
        <v>129.3169</v>
      </c>
      <c r="M10270">
        <v>0.49644929999999898</v>
      </c>
      <c r="N10270">
        <v>-1.5290710000000001E-2</v>
      </c>
      <c r="O10270">
        <v>0.86793099999999901</v>
      </c>
      <c r="P10270">
        <v>0.77972379999999997</v>
      </c>
      <c r="Q10270">
        <v>0.13283229999999999</v>
      </c>
      <c r="R10270">
        <v>0.61187139999999995</v>
      </c>
      <c r="S10270">
        <v>3.0684360000000002</v>
      </c>
      <c r="T10270">
        <v>-0.39671299999999998</v>
      </c>
      <c r="U10270">
        <v>1.0936889999999999</v>
      </c>
      <c r="V10270">
        <v>0.37504670000000001</v>
      </c>
      <c r="W10270">
        <v>0.14161960000000001</v>
      </c>
      <c r="X10270">
        <v>0.9161243</v>
      </c>
      <c r="Y10270">
        <v>0.64349799999999902</v>
      </c>
      <c r="Z10270">
        <v>-0.1166566</v>
      </c>
      <c r="AA10270">
        <v>0.75650609999999996</v>
      </c>
      <c r="AB10270">
        <v>22</v>
      </c>
      <c r="AC10270">
        <v>8.5531999999999702</v>
      </c>
      <c r="AD10270">
        <v>-1.115991387065</v>
      </c>
      <c r="AE10270">
        <v>2.9512</v>
      </c>
      <c r="AF10270">
        <v>5.8698650953601401</v>
      </c>
      <c r="AG10270">
        <v>-1.115991387065</v>
      </c>
      <c r="AH10270">
        <v>6.7064395043521197</v>
      </c>
      <c r="AI10270">
        <v>97.137270356790594</v>
      </c>
      <c r="AJ10270">
        <v>48.805702327473497</v>
      </c>
      <c r="AK10270">
        <v>8.9820422977887002</v>
      </c>
      <c r="AL10270">
        <v>81.858423105412399</v>
      </c>
      <c r="AM10270">
        <v>67.736588695671301</v>
      </c>
      <c r="AN10270">
        <v>0.99999993566776801</v>
      </c>
    </row>
    <row r="10271" spans="1:40" x14ac:dyDescent="0.25">
      <c r="A10271" t="str">
        <f>"20190303162148468"</f>
        <v>20190303162148468</v>
      </c>
      <c r="B10271" t="str">
        <f>"1551601308463251"</f>
        <v>1551601308463251</v>
      </c>
      <c r="C10271" t="s">
        <v>40</v>
      </c>
      <c r="D10271">
        <v>5.008845</v>
      </c>
      <c r="E10271">
        <v>0.63504519999999998</v>
      </c>
      <c r="F10271" t="s">
        <v>50</v>
      </c>
      <c r="G10271">
        <v>-173.405</v>
      </c>
      <c r="H10271" s="1">
        <v>-2.3514410000000001E-6</v>
      </c>
      <c r="I10271">
        <v>132.36099999999999</v>
      </c>
      <c r="J10271">
        <v>-182.0333</v>
      </c>
      <c r="K10271">
        <v>1.1159429999999999</v>
      </c>
      <c r="L10271">
        <v>129.41069999999999</v>
      </c>
      <c r="M10271">
        <v>0.50056480000000003</v>
      </c>
      <c r="N10271">
        <v>-1.52985E-2</v>
      </c>
      <c r="O10271">
        <v>0.86556390000000005</v>
      </c>
      <c r="P10271">
        <v>0.78310880000000005</v>
      </c>
      <c r="Q10271">
        <v>0.1330056</v>
      </c>
      <c r="R10271">
        <v>0.60749500000000001</v>
      </c>
      <c r="S10271">
        <v>3.0704500000000001</v>
      </c>
      <c r="T10271">
        <v>-0.3944105</v>
      </c>
      <c r="U10271">
        <v>1.0758509999999999</v>
      </c>
      <c r="V10271">
        <v>0.37582159999999998</v>
      </c>
      <c r="W10271">
        <v>0.14174329999999999</v>
      </c>
      <c r="X10271">
        <v>0.91578760000000003</v>
      </c>
      <c r="Y10271">
        <v>0.64401759999999997</v>
      </c>
      <c r="Z10271">
        <v>-0.1160601</v>
      </c>
      <c r="AA10271">
        <v>0.75615559999999904</v>
      </c>
      <c r="AB10271">
        <v>22</v>
      </c>
      <c r="AC10271">
        <v>8.6282999999999905</v>
      </c>
      <c r="AD10271">
        <v>-1.115945351441</v>
      </c>
      <c r="AE10271">
        <v>2.9502999999999902</v>
      </c>
      <c r="AF10271">
        <v>5.9038106735000699</v>
      </c>
      <c r="AG10271">
        <v>-1.115945351441</v>
      </c>
      <c r="AH10271">
        <v>6.77207784999141</v>
      </c>
      <c r="AI10271">
        <v>97.080549603922904</v>
      </c>
      <c r="AJ10271">
        <v>48.918499157851102</v>
      </c>
      <c r="AK10271">
        <v>9.05325095765496</v>
      </c>
      <c r="AL10271">
        <v>81.851263782098499</v>
      </c>
      <c r="AM10271">
        <v>67.687697508342197</v>
      </c>
      <c r="AN10271">
        <v>0.99999998321760397</v>
      </c>
    </row>
    <row r="10272" spans="1:40" x14ac:dyDescent="0.25">
      <c r="A10272" t="str">
        <f>"20190303162148479"</f>
        <v>20190303162148479</v>
      </c>
      <c r="B10272" t="str">
        <f>"1551601308473011"</f>
        <v>1551601308473011</v>
      </c>
      <c r="C10272" t="s">
        <v>40</v>
      </c>
      <c r="D10272">
        <v>4.685638</v>
      </c>
      <c r="E10272">
        <v>0.63504519999999998</v>
      </c>
      <c r="F10272" t="s">
        <v>50</v>
      </c>
      <c r="G10272">
        <v>-173.30439999999999</v>
      </c>
      <c r="H10272" s="1">
        <v>-2.3248120000000001E-6</v>
      </c>
      <c r="I10272">
        <v>132.43049999999999</v>
      </c>
      <c r="J10272">
        <v>-181.96770000000001</v>
      </c>
      <c r="K10272">
        <v>1.1158950000000001</v>
      </c>
      <c r="L10272">
        <v>129.51249999999999</v>
      </c>
      <c r="M10272">
        <v>0.50509179999999998</v>
      </c>
      <c r="N10272">
        <v>-1.5307930000000001E-2</v>
      </c>
      <c r="O10272">
        <v>0.86292990000000003</v>
      </c>
      <c r="P10272">
        <v>0.78687779999999996</v>
      </c>
      <c r="Q10272">
        <v>0.13282749999999999</v>
      </c>
      <c r="R10272">
        <v>0.60264439999999997</v>
      </c>
      <c r="S10272">
        <v>3.0729519999999999</v>
      </c>
      <c r="T10272">
        <v>-0.39285809999999999</v>
      </c>
      <c r="U10272">
        <v>1.06308</v>
      </c>
      <c r="V10272">
        <v>0.37672640000000002</v>
      </c>
      <c r="W10272">
        <v>0.1415091</v>
      </c>
      <c r="X10272">
        <v>0.91545200000000004</v>
      </c>
      <c r="Y10272">
        <v>0.64308650000000001</v>
      </c>
      <c r="Z10272">
        <v>-0.115534</v>
      </c>
      <c r="AA10272">
        <v>0.75702819999999904</v>
      </c>
      <c r="AB10272">
        <v>22</v>
      </c>
      <c r="AC10272">
        <v>8.6633000000000102</v>
      </c>
      <c r="AD10272">
        <v>-1.1158973248119901</v>
      </c>
      <c r="AE10272">
        <v>2.9180000000000001</v>
      </c>
      <c r="AF10272">
        <v>5.9145342659144102</v>
      </c>
      <c r="AG10272">
        <v>-1.1158973248119901</v>
      </c>
      <c r="AH10272">
        <v>6.7933718249063304</v>
      </c>
      <c r="AI10272">
        <v>97.062273958345401</v>
      </c>
      <c r="AJ10272">
        <v>48.956091383144503</v>
      </c>
      <c r="AK10272">
        <v>9.0761689700902703</v>
      </c>
      <c r="AL10272">
        <v>81.864819103771794</v>
      </c>
      <c r="AM10272">
        <v>67.631875806925393</v>
      </c>
      <c r="AN10272">
        <v>0.99999998507188403</v>
      </c>
    </row>
    <row r="10273" spans="1:40" x14ac:dyDescent="0.25">
      <c r="A10273" t="str">
        <f>"20190303162148491"</f>
        <v>20190303162148491</v>
      </c>
      <c r="B10273" t="str">
        <f>"1551601308482771"</f>
        <v>1551601308482771</v>
      </c>
      <c r="C10273" t="s">
        <v>40</v>
      </c>
      <c r="D10273">
        <v>4.9532980000000002</v>
      </c>
      <c r="E10273">
        <v>0.63467839999999998</v>
      </c>
      <c r="F10273" t="s">
        <v>50</v>
      </c>
      <c r="G10273">
        <v>-173.2372</v>
      </c>
      <c r="H10273" s="1">
        <v>-2.305057E-6</v>
      </c>
      <c r="I10273">
        <v>132.47239999999999</v>
      </c>
      <c r="J10273">
        <v>-181.90639999999999</v>
      </c>
      <c r="K10273">
        <v>1.1158459999999999</v>
      </c>
      <c r="L10273">
        <v>129.60640000000001</v>
      </c>
      <c r="M10273">
        <v>0.50931759999999904</v>
      </c>
      <c r="N10273">
        <v>-1.531715E-2</v>
      </c>
      <c r="O10273">
        <v>0.86044229999999999</v>
      </c>
      <c r="P10273">
        <v>0.79031059999999997</v>
      </c>
      <c r="Q10273">
        <v>0.1327422</v>
      </c>
      <c r="R10273">
        <v>0.59815450000000003</v>
      </c>
      <c r="S10273">
        <v>3.0793910000000002</v>
      </c>
      <c r="T10273">
        <v>-0.39359139999999998</v>
      </c>
      <c r="U10273">
        <v>1.044022</v>
      </c>
      <c r="V10273">
        <v>0.37747849999999999</v>
      </c>
      <c r="W10273">
        <v>0.14137269999999999</v>
      </c>
      <c r="X10273">
        <v>0.91516330000000001</v>
      </c>
      <c r="Y10273">
        <v>0.64400170000000001</v>
      </c>
      <c r="Z10273">
        <v>-0.1157618</v>
      </c>
      <c r="AA10273">
        <v>0.75621490000000002</v>
      </c>
      <c r="AB10273">
        <v>22</v>
      </c>
      <c r="AC10273">
        <v>8.6691999999999894</v>
      </c>
      <c r="AD10273">
        <v>-1.1158483050569901</v>
      </c>
      <c r="AE10273">
        <v>2.8659999999999801</v>
      </c>
      <c r="AF10273">
        <v>5.9120495423356401</v>
      </c>
      <c r="AG10273">
        <v>-1.1158483050569901</v>
      </c>
      <c r="AH10273">
        <v>6.7809377660144499</v>
      </c>
      <c r="AI10273">
        <v>97.070519955466096</v>
      </c>
      <c r="AJ10273">
        <v>48.916027262996302</v>
      </c>
      <c r="AK10273">
        <v>9.0652393359188608</v>
      </c>
      <c r="AL10273">
        <v>81.872714243267595</v>
      </c>
      <c r="AM10273">
        <v>67.585262947580702</v>
      </c>
      <c r="AN10273">
        <v>1.00000006196721</v>
      </c>
    </row>
    <row r="10274" spans="1:40" x14ac:dyDescent="0.25">
      <c r="A10274" t="str">
        <f>"20190303162148503"</f>
        <v>20190303162148503</v>
      </c>
      <c r="B10274" t="str">
        <f>"1551601308492531"</f>
        <v>1551601308492531</v>
      </c>
      <c r="C10274" t="s">
        <v>40</v>
      </c>
      <c r="D10274">
        <v>4.8979210000000002</v>
      </c>
      <c r="E10274">
        <v>0.63467839999999998</v>
      </c>
      <c r="F10274" t="s">
        <v>50</v>
      </c>
      <c r="G10274">
        <v>-173.10939999999999</v>
      </c>
      <c r="H10274" s="1">
        <v>-2.2620629999999999E-6</v>
      </c>
      <c r="I10274">
        <v>132.53980000000001</v>
      </c>
      <c r="J10274">
        <v>-181.8391</v>
      </c>
      <c r="K10274">
        <v>1.1157919999999999</v>
      </c>
      <c r="L10274">
        <v>129.7088</v>
      </c>
      <c r="M10274">
        <v>0.51395239999999998</v>
      </c>
      <c r="N10274">
        <v>-1.5327479999999999E-2</v>
      </c>
      <c r="O10274">
        <v>0.85768180000000005</v>
      </c>
      <c r="P10274">
        <v>0.79399809999999904</v>
      </c>
      <c r="Q10274">
        <v>0.13216820000000001</v>
      </c>
      <c r="R10274">
        <v>0.5933792</v>
      </c>
      <c r="S10274">
        <v>3.083466</v>
      </c>
      <c r="T10274">
        <v>-0.39111859999999998</v>
      </c>
      <c r="U10274">
        <v>1.028168</v>
      </c>
      <c r="V10274">
        <v>0.37815149999999997</v>
      </c>
      <c r="W10274">
        <v>0.14074629999999999</v>
      </c>
      <c r="X10274">
        <v>0.91498190000000001</v>
      </c>
      <c r="Y10274">
        <v>0.64378999999999997</v>
      </c>
      <c r="Z10274">
        <v>-0.1149481</v>
      </c>
      <c r="AA10274">
        <v>0.75651930000000001</v>
      </c>
      <c r="AB10274">
        <v>22</v>
      </c>
      <c r="AC10274">
        <v>8.7296999999999993</v>
      </c>
      <c r="AD10274">
        <v>-1.1157942620629999</v>
      </c>
      <c r="AE10274">
        <v>2.8310000000000102</v>
      </c>
      <c r="AF10274">
        <v>5.9451314425415003</v>
      </c>
      <c r="AG10274">
        <v>-1.1157942620629999</v>
      </c>
      <c r="AH10274">
        <v>6.8148209655116201</v>
      </c>
      <c r="AI10274">
        <v>97.033589136825597</v>
      </c>
      <c r="AJ10274">
        <v>48.899120564945498</v>
      </c>
      <c r="AK10274">
        <v>9.1121550412800296</v>
      </c>
      <c r="AL10274">
        <v>81.908966115902203</v>
      </c>
      <c r="AM10274">
        <v>67.545254811726195</v>
      </c>
      <c r="AN10274">
        <v>0.99999997762177395</v>
      </c>
    </row>
    <row r="10275" spans="1:40" x14ac:dyDescent="0.25">
      <c r="A10275" t="str">
        <f>"20190303162148514"</f>
        <v>20190303162148514</v>
      </c>
      <c r="B10275" t="str">
        <f>"1551601308502291"</f>
        <v>1551601308502291</v>
      </c>
      <c r="C10275" t="s">
        <v>40</v>
      </c>
      <c r="D10275">
        <v>4.8499679999999996</v>
      </c>
      <c r="E10275">
        <v>0.63735489999999995</v>
      </c>
      <c r="F10275" t="s">
        <v>50</v>
      </c>
      <c r="G10275">
        <v>-173.0703</v>
      </c>
      <c r="H10275" s="1">
        <v>-2.2548110000000001E-6</v>
      </c>
      <c r="I10275">
        <v>132.57380000000001</v>
      </c>
      <c r="J10275">
        <v>-181.77420000000001</v>
      </c>
      <c r="K10275">
        <v>1.115739</v>
      </c>
      <c r="L10275">
        <v>129.80549999999999</v>
      </c>
      <c r="M10275">
        <v>0.51841769999999998</v>
      </c>
      <c r="N10275">
        <v>-1.533846E-2</v>
      </c>
      <c r="O10275">
        <v>0.85498999999999903</v>
      </c>
      <c r="P10275">
        <v>0.79747869999999998</v>
      </c>
      <c r="Q10275">
        <v>0.13146840000000001</v>
      </c>
      <c r="R10275">
        <v>0.58884959999999997</v>
      </c>
      <c r="S10275">
        <v>3.0894170000000001</v>
      </c>
      <c r="T10275">
        <v>-0.3931172</v>
      </c>
      <c r="U10275">
        <v>1.0093989999999999</v>
      </c>
      <c r="V10275">
        <v>0.3786969</v>
      </c>
      <c r="W10275">
        <v>0.13999890000000001</v>
      </c>
      <c r="X10275">
        <v>0.91487099999999999</v>
      </c>
      <c r="Y10275">
        <v>0.64432279999999997</v>
      </c>
      <c r="Z10275">
        <v>-0.1155534</v>
      </c>
      <c r="AA10275">
        <v>0.75597329999999996</v>
      </c>
      <c r="AB10275">
        <v>22</v>
      </c>
      <c r="AC10275">
        <v>8.7039000000000009</v>
      </c>
      <c r="AD10275">
        <v>-1.1157412548109999</v>
      </c>
      <c r="AE10275">
        <v>2.7683</v>
      </c>
      <c r="AF10275">
        <v>5.9189904210148496</v>
      </c>
      <c r="AG10275">
        <v>-1.1157412548109999</v>
      </c>
      <c r="AH10275">
        <v>6.7787755516658796</v>
      </c>
      <c r="AI10275">
        <v>97.067566853257006</v>
      </c>
      <c r="AJ10275">
        <v>48.873671905006503</v>
      </c>
      <c r="AK10275">
        <v>9.0681378535847106</v>
      </c>
      <c r="AL10275">
        <v>81.952217326791697</v>
      </c>
      <c r="AM10275">
        <v>67.513636593742206</v>
      </c>
      <c r="AN10275">
        <v>0.99999999035591003</v>
      </c>
    </row>
    <row r="10276" spans="1:40" x14ac:dyDescent="0.25">
      <c r="A10276" t="str">
        <f>"20190303162148528"</f>
        <v>20190303162148528</v>
      </c>
      <c r="B10276" t="str">
        <f>"1551601308522786"</f>
        <v>1551601308522786</v>
      </c>
      <c r="C10276" t="s">
        <v>40</v>
      </c>
      <c r="D10276">
        <v>4.8374689999999996</v>
      </c>
      <c r="E10276">
        <v>0.64104930000000004</v>
      </c>
      <c r="F10276" t="s">
        <v>50</v>
      </c>
      <c r="G10276">
        <v>-172.86750000000001</v>
      </c>
      <c r="H10276" s="1">
        <v>-2.1490539999999999E-6</v>
      </c>
      <c r="I10276">
        <v>132.596</v>
      </c>
      <c r="J10276">
        <v>-181.69739999999999</v>
      </c>
      <c r="K10276">
        <v>1.1156740000000001</v>
      </c>
      <c r="L10276">
        <v>129.91909999999999</v>
      </c>
      <c r="M10276">
        <v>0.52369270000000001</v>
      </c>
      <c r="N10276">
        <v>-1.535154E-2</v>
      </c>
      <c r="O10276">
        <v>0.85176890000000005</v>
      </c>
      <c r="P10276">
        <v>0.80113639999999997</v>
      </c>
      <c r="Q10276">
        <v>0.13060060000000001</v>
      </c>
      <c r="R10276">
        <v>0.58405810000000002</v>
      </c>
      <c r="S10276">
        <v>3.107224</v>
      </c>
      <c r="T10276">
        <v>-0.38924360000000002</v>
      </c>
      <c r="U10276">
        <v>0.97349549999999996</v>
      </c>
      <c r="V10276">
        <v>0.37865549999999998</v>
      </c>
      <c r="W10276">
        <v>0.13908860000000001</v>
      </c>
      <c r="X10276">
        <v>0.91502700000000003</v>
      </c>
      <c r="Y10276">
        <v>0.64897720000000003</v>
      </c>
      <c r="Z10276">
        <v>-0.1142642</v>
      </c>
      <c r="AA10276">
        <v>0.75217840000000002</v>
      </c>
      <c r="AB10276">
        <v>22</v>
      </c>
      <c r="AC10276">
        <v>8.8298999999999808</v>
      </c>
      <c r="AD10276">
        <v>-1.1156761490539999</v>
      </c>
      <c r="AE10276">
        <v>2.67690000000001</v>
      </c>
      <c r="AF10276">
        <v>6.0316927674122596</v>
      </c>
      <c r="AG10276">
        <v>-1.1156761490539999</v>
      </c>
      <c r="AH10276">
        <v>6.8055636157475004</v>
      </c>
      <c r="AI10276">
        <v>96.994408426844004</v>
      </c>
      <c r="AJ10276">
        <v>48.449797845324397</v>
      </c>
      <c r="AK10276">
        <v>9.1619728791351296</v>
      </c>
      <c r="AL10276">
        <v>82.004889248849395</v>
      </c>
      <c r="AM10276">
        <v>67.519301873797104</v>
      </c>
      <c r="AN10276">
        <v>1.0000000185296001</v>
      </c>
    </row>
    <row r="10277" spans="1:40" x14ac:dyDescent="0.25">
      <c r="A10277" t="str">
        <f>"20190303162148542"</f>
        <v>20190303162148542</v>
      </c>
      <c r="B10277" t="str">
        <f>"1551601308532547"</f>
        <v>1551601308532547</v>
      </c>
      <c r="C10277" t="s">
        <v>40</v>
      </c>
      <c r="D10277">
        <v>4.874339</v>
      </c>
      <c r="E10277">
        <v>0.64211700000000005</v>
      </c>
      <c r="F10277" t="s">
        <v>50</v>
      </c>
      <c r="G10277">
        <v>-172.74629999999999</v>
      </c>
      <c r="H10277" s="1">
        <v>-2.072611E-6</v>
      </c>
      <c r="I10277">
        <v>132.5795</v>
      </c>
      <c r="J10277">
        <v>-181.62049999999999</v>
      </c>
      <c r="K10277">
        <v>1.1156060000000001</v>
      </c>
      <c r="L10277">
        <v>130.03100000000001</v>
      </c>
      <c r="M10277">
        <v>0.52896929999999998</v>
      </c>
      <c r="N10277">
        <v>-1.536535E-2</v>
      </c>
      <c r="O10277">
        <v>0.84850190000000003</v>
      </c>
      <c r="P10277">
        <v>0.80490859999999997</v>
      </c>
      <c r="Q10277">
        <v>0.13040839999999901</v>
      </c>
      <c r="R10277">
        <v>0.57889190000000001</v>
      </c>
      <c r="S10277">
        <v>3.1300509999999999</v>
      </c>
      <c r="T10277">
        <v>-0.3901345</v>
      </c>
      <c r="U10277">
        <v>0.93029790000000001</v>
      </c>
      <c r="V10277">
        <v>0.37890879999999999</v>
      </c>
      <c r="W10277">
        <v>0.13884630000000001</v>
      </c>
      <c r="X10277">
        <v>0.91495890000000002</v>
      </c>
      <c r="Y10277">
        <v>0.65530080000000002</v>
      </c>
      <c r="Z10277">
        <v>-0.1144568</v>
      </c>
      <c r="AA10277">
        <v>0.74664619999999904</v>
      </c>
      <c r="AB10277">
        <v>22</v>
      </c>
      <c r="AC10277">
        <v>8.8742000000000001</v>
      </c>
      <c r="AD10277">
        <v>-1.11560807261099</v>
      </c>
      <c r="AE10277">
        <v>2.54849999999999</v>
      </c>
      <c r="AF10277">
        <v>6.0934633422437798</v>
      </c>
      <c r="AG10277">
        <v>-1.11560807261099</v>
      </c>
      <c r="AH10277">
        <v>6.7587195206285697</v>
      </c>
      <c r="AI10277">
        <v>96.989235709946797</v>
      </c>
      <c r="AJ10277">
        <v>47.963106298838603</v>
      </c>
      <c r="AK10277">
        <v>9.1681604716251197</v>
      </c>
      <c r="AL10277">
        <v>82.018907741299699</v>
      </c>
      <c r="AM10277">
        <v>67.504254009584002</v>
      </c>
      <c r="AN10277">
        <v>0.99999998121516898</v>
      </c>
    </row>
    <row r="10278" spans="1:40" x14ac:dyDescent="0.25">
      <c r="A10278" t="str">
        <f>"20190303162148558"</f>
        <v>20190303162148558</v>
      </c>
      <c r="B10278" t="str">
        <f>"1551601308553043"</f>
        <v>1551601308553043</v>
      </c>
      <c r="C10278" t="s">
        <v>40</v>
      </c>
      <c r="D10278">
        <v>4.8048489999999999</v>
      </c>
      <c r="E10278">
        <v>0.64367469999999904</v>
      </c>
      <c r="F10278" t="s">
        <v>50</v>
      </c>
      <c r="G10278">
        <v>-172.63640000000001</v>
      </c>
      <c r="H10278" s="1">
        <v>-2.0252640000000002E-6</v>
      </c>
      <c r="I10278">
        <v>132.614</v>
      </c>
      <c r="J10278">
        <v>-181.5333</v>
      </c>
      <c r="K10278">
        <v>1.115542</v>
      </c>
      <c r="L10278">
        <v>130.15559999999999</v>
      </c>
      <c r="M10278">
        <v>0.53494560000000002</v>
      </c>
      <c r="N10278">
        <v>-1.5382059999999999E-2</v>
      </c>
      <c r="O10278">
        <v>0.84474649999999996</v>
      </c>
      <c r="P10278">
        <v>0.80893040000000005</v>
      </c>
      <c r="Q10278">
        <v>0.13131379999999901</v>
      </c>
      <c r="R10278">
        <v>0.57305169999999905</v>
      </c>
      <c r="S10278">
        <v>3.140854</v>
      </c>
      <c r="T10278">
        <v>-0.39001770000000002</v>
      </c>
      <c r="U10278">
        <v>0.90304569999999995</v>
      </c>
      <c r="V10278">
        <v>0.37898579999999998</v>
      </c>
      <c r="W10278">
        <v>0.13969870000000001</v>
      </c>
      <c r="X10278">
        <v>0.91479730000000004</v>
      </c>
      <c r="Y10278">
        <v>0.65668269999999995</v>
      </c>
      <c r="Z10278">
        <v>-0.1142978</v>
      </c>
      <c r="AA10278">
        <v>0.74545550000000005</v>
      </c>
      <c r="AB10278">
        <v>22</v>
      </c>
      <c r="AC10278">
        <v>8.8968999999999792</v>
      </c>
      <c r="AD10278">
        <v>-1.1155440252640001</v>
      </c>
      <c r="AE10278">
        <v>2.4584000000000099</v>
      </c>
      <c r="AF10278">
        <v>6.1119748517151997</v>
      </c>
      <c r="AG10278">
        <v>-1.1155440252640001</v>
      </c>
      <c r="AH10278">
        <v>6.7384667216893899</v>
      </c>
      <c r="AI10278">
        <v>96.990820273647799</v>
      </c>
      <c r="AJ10278">
        <v>47.791105777185301</v>
      </c>
      <c r="AK10278">
        <v>9.1655664756531294</v>
      </c>
      <c r="AL10278">
        <v>81.969588560607406</v>
      </c>
      <c r="AM10278">
        <v>67.496559857421005</v>
      </c>
      <c r="AN10278">
        <v>1.0000000317352999</v>
      </c>
    </row>
    <row r="10279" spans="1:40" x14ac:dyDescent="0.25">
      <c r="A10279" t="str">
        <f>"20190303162148571"</f>
        <v>20190303162148571</v>
      </c>
      <c r="B10279" t="str">
        <f>"1551601308562804"</f>
        <v>1551601308562804</v>
      </c>
      <c r="C10279" t="s">
        <v>40</v>
      </c>
      <c r="D10279">
        <v>4.800281</v>
      </c>
      <c r="E10279">
        <v>0.64424680000000001</v>
      </c>
      <c r="F10279" t="s">
        <v>50</v>
      </c>
      <c r="G10279">
        <v>-172.40610000000001</v>
      </c>
      <c r="H10279" s="1">
        <v>-1.9212930000000002E-6</v>
      </c>
      <c r="I10279">
        <v>132.67580000000001</v>
      </c>
      <c r="J10279">
        <v>-181.4563</v>
      </c>
      <c r="K10279">
        <v>1.115486</v>
      </c>
      <c r="L10279">
        <v>130.26419999999999</v>
      </c>
      <c r="M10279">
        <v>0.54021359999999996</v>
      </c>
      <c r="N10279">
        <v>-1.539708E-2</v>
      </c>
      <c r="O10279">
        <v>0.841387</v>
      </c>
      <c r="P10279">
        <v>0.81247939999999996</v>
      </c>
      <c r="Q10279">
        <v>0.13169449999999999</v>
      </c>
      <c r="R10279">
        <v>0.56792069999999995</v>
      </c>
      <c r="S10279">
        <v>3.1542050000000001</v>
      </c>
      <c r="T10279">
        <v>-0.38551210000000002</v>
      </c>
      <c r="U10279">
        <v>0.87091059999999998</v>
      </c>
      <c r="V10279">
        <v>0.37903409999999998</v>
      </c>
      <c r="W10279">
        <v>0.14003479999999999</v>
      </c>
      <c r="X10279">
        <v>0.91472589999999998</v>
      </c>
      <c r="Y10279">
        <v>0.66005029999999998</v>
      </c>
      <c r="Z10279">
        <v>-0.1128203</v>
      </c>
      <c r="AA10279">
        <v>0.74270130000000001</v>
      </c>
      <c r="AB10279">
        <v>22</v>
      </c>
      <c r="AC10279">
        <v>9.0501999999999896</v>
      </c>
      <c r="AD10279">
        <v>-1.115487921293</v>
      </c>
      <c r="AE10279">
        <v>2.4116000000000199</v>
      </c>
      <c r="AF10279">
        <v>6.2243986741372304</v>
      </c>
      <c r="AG10279">
        <v>-1.115487921293</v>
      </c>
      <c r="AH10279">
        <v>6.8221797061867901</v>
      </c>
      <c r="AI10279">
        <v>96.887341103288605</v>
      </c>
      <c r="AJ10279">
        <v>47.623399883665797</v>
      </c>
      <c r="AK10279">
        <v>9.3021281490129404</v>
      </c>
      <c r="AL10279">
        <v>81.950140291032596</v>
      </c>
      <c r="AM10279">
        <v>67.492396411837504</v>
      </c>
      <c r="AN10279">
        <v>1.00000003315232</v>
      </c>
    </row>
    <row r="10280" spans="1:40" x14ac:dyDescent="0.25">
      <c r="A10280" t="str">
        <f>"20190303162148583"</f>
        <v>20190303162148583</v>
      </c>
      <c r="B10280" t="str">
        <f>"1551601308572563"</f>
        <v>1551601308572563</v>
      </c>
      <c r="C10280" t="s">
        <v>40</v>
      </c>
      <c r="D10280">
        <v>4.7577669999999896</v>
      </c>
      <c r="E10280">
        <v>0.64450430000000003</v>
      </c>
      <c r="F10280" t="s">
        <v>50</v>
      </c>
      <c r="G10280">
        <v>-172.24119999999999</v>
      </c>
      <c r="H10280" s="1">
        <v>-1.8530329999999999E-6</v>
      </c>
      <c r="I10280">
        <v>132.73390000000001</v>
      </c>
      <c r="J10280">
        <v>-181.3871</v>
      </c>
      <c r="K10280">
        <v>1.1154329999999999</v>
      </c>
      <c r="L10280">
        <v>130.36070000000001</v>
      </c>
      <c r="M10280">
        <v>0.54493780000000003</v>
      </c>
      <c r="N10280">
        <v>-1.541068E-2</v>
      </c>
      <c r="O10280">
        <v>0.83833489999999999</v>
      </c>
      <c r="P10280">
        <v>0.81551870000000004</v>
      </c>
      <c r="Q10280">
        <v>0.13214619999999999</v>
      </c>
      <c r="R10280">
        <v>0.563442</v>
      </c>
      <c r="S10280">
        <v>3.1620789999999999</v>
      </c>
      <c r="T10280">
        <v>-0.38277040000000001</v>
      </c>
      <c r="U10280">
        <v>0.84744259999999905</v>
      </c>
      <c r="V10280">
        <v>0.37888559999999999</v>
      </c>
      <c r="W10280">
        <v>0.14045170000000001</v>
      </c>
      <c r="X10280">
        <v>0.91472350000000002</v>
      </c>
      <c r="Y10280">
        <v>0.66156490000000001</v>
      </c>
      <c r="Z10280">
        <v>-0.1119074</v>
      </c>
      <c r="AA10280">
        <v>0.74149080000000001</v>
      </c>
      <c r="AB10280">
        <v>22</v>
      </c>
      <c r="AC10280">
        <v>9.1459000000000099</v>
      </c>
      <c r="AD10280">
        <v>-1.1154348530329901</v>
      </c>
      <c r="AE10280">
        <v>2.37319999999999</v>
      </c>
      <c r="AF10280">
        <v>6.2872191533699304</v>
      </c>
      <c r="AG10280">
        <v>-1.1154348530329901</v>
      </c>
      <c r="AH10280">
        <v>6.8784531436424299</v>
      </c>
      <c r="AI10280">
        <v>96.825587480621294</v>
      </c>
      <c r="AJ10280">
        <v>47.5712677257292</v>
      </c>
      <c r="AK10280">
        <v>9.3854375094156897</v>
      </c>
      <c r="AL10280">
        <v>81.926015227189396</v>
      </c>
      <c r="AM10280">
        <v>67.500282266232901</v>
      </c>
      <c r="AN10280">
        <v>1.0000000296862399</v>
      </c>
    </row>
    <row r="10281" spans="1:40" x14ac:dyDescent="0.25">
      <c r="A10281" t="str">
        <f>"20190303162148594"</f>
        <v>20190303162148594</v>
      </c>
      <c r="B10281" t="str">
        <f>"1551601308583300"</f>
        <v>1551601308583300</v>
      </c>
      <c r="C10281" t="s">
        <v>40</v>
      </c>
      <c r="D10281">
        <v>4.7880580000000004</v>
      </c>
      <c r="E10281">
        <v>0.64478049999999998</v>
      </c>
      <c r="F10281" t="s">
        <v>50</v>
      </c>
      <c r="G10281">
        <v>-172.12049999999999</v>
      </c>
      <c r="H10281" s="1">
        <v>-1.8074000000000001E-6</v>
      </c>
      <c r="I10281">
        <v>132.78620000000001</v>
      </c>
      <c r="J10281">
        <v>-181.32239999999999</v>
      </c>
      <c r="K10281">
        <v>1.1153839999999999</v>
      </c>
      <c r="L10281">
        <v>130.44919999999999</v>
      </c>
      <c r="M10281">
        <v>0.54934819999999995</v>
      </c>
      <c r="N10281">
        <v>-1.542381E-2</v>
      </c>
      <c r="O10281">
        <v>0.83545119999999895</v>
      </c>
      <c r="P10281">
        <v>0.81820550000000003</v>
      </c>
      <c r="Q10281">
        <v>0.13202269999999999</v>
      </c>
      <c r="R10281">
        <v>0.55956209999999995</v>
      </c>
      <c r="S10281">
        <v>3.1676030000000002</v>
      </c>
      <c r="T10281">
        <v>-0.38129010000000002</v>
      </c>
      <c r="U10281">
        <v>0.82910159999999999</v>
      </c>
      <c r="V10281">
        <v>0.3784402</v>
      </c>
      <c r="W10281">
        <v>0.14030529999999999</v>
      </c>
      <c r="X10281">
        <v>0.91493029999999997</v>
      </c>
      <c r="Y10281">
        <v>0.66203279999999998</v>
      </c>
      <c r="Z10281">
        <v>-0.1113672</v>
      </c>
      <c r="AA10281">
        <v>0.74115439999999999</v>
      </c>
      <c r="AB10281">
        <v>22</v>
      </c>
      <c r="AC10281">
        <v>9.2018999999999895</v>
      </c>
      <c r="AD10281">
        <v>-1.1153858074</v>
      </c>
      <c r="AE10281">
        <v>2.33700000000001</v>
      </c>
      <c r="AF10281">
        <v>6.3174780578460403</v>
      </c>
      <c r="AG10281">
        <v>-1.1153858074</v>
      </c>
      <c r="AH10281">
        <v>6.9129164731311104</v>
      </c>
      <c r="AI10281">
        <v>96.792184389645399</v>
      </c>
      <c r="AJ10281">
        <v>47.576877219247201</v>
      </c>
      <c r="AK10281">
        <v>9.4309611745146693</v>
      </c>
      <c r="AL10281">
        <v>81.934487043567401</v>
      </c>
      <c r="AM10281">
        <v>67.528674416060596</v>
      </c>
      <c r="AN10281">
        <v>1.00000000802111</v>
      </c>
    </row>
    <row r="10282" spans="1:40" x14ac:dyDescent="0.25">
      <c r="A10282" t="str">
        <f>"20190303162148604"</f>
        <v>20190303162148604</v>
      </c>
      <c r="B10282" t="str">
        <f>"1551601308602819"</f>
        <v>1551601308602819</v>
      </c>
      <c r="C10282" t="s">
        <v>40</v>
      </c>
      <c r="D10282">
        <v>4.7617129999999896</v>
      </c>
      <c r="E10282">
        <v>0.64485130000000002</v>
      </c>
      <c r="F10282" t="s">
        <v>50</v>
      </c>
      <c r="G10282">
        <v>-172.0121</v>
      </c>
      <c r="H10282" s="1">
        <v>-1.766071E-6</v>
      </c>
      <c r="I10282">
        <v>132.83250000000001</v>
      </c>
      <c r="J10282">
        <v>-181.25839999999999</v>
      </c>
      <c r="K10282">
        <v>1.1153360000000001</v>
      </c>
      <c r="L10282">
        <v>130.53649999999999</v>
      </c>
      <c r="M10282">
        <v>0.55370319999999995</v>
      </c>
      <c r="N10282">
        <v>-1.5436429999999999E-2</v>
      </c>
      <c r="O10282">
        <v>0.83257099999999995</v>
      </c>
      <c r="P10282">
        <v>0.82090239999999903</v>
      </c>
      <c r="Q10282">
        <v>0.1320162</v>
      </c>
      <c r="R10282">
        <v>0.55559959999999997</v>
      </c>
      <c r="S10282">
        <v>3.172485</v>
      </c>
      <c r="T10282">
        <v>-0.38006659999999998</v>
      </c>
      <c r="U10282">
        <v>0.81208800000000003</v>
      </c>
      <c r="V10282">
        <v>0.37810270000000001</v>
      </c>
      <c r="W10282">
        <v>0.14027419999999999</v>
      </c>
      <c r="X10282">
        <v>0.91507459999999996</v>
      </c>
      <c r="Y10282">
        <v>0.66219879999999998</v>
      </c>
      <c r="Z10282">
        <v>-0.110897</v>
      </c>
      <c r="AA10282">
        <v>0.74107659999999997</v>
      </c>
      <c r="AB10282">
        <v>22</v>
      </c>
      <c r="AC10282">
        <v>9.2462999999999909</v>
      </c>
      <c r="AD10282">
        <v>-1.115337766071</v>
      </c>
      <c r="AE10282">
        <v>2.2960000000000198</v>
      </c>
      <c r="AF10282">
        <v>6.3407620130312896</v>
      </c>
      <c r="AG10282">
        <v>-1.115337766071</v>
      </c>
      <c r="AH10282">
        <v>6.9370518813733204</v>
      </c>
      <c r="AI10282">
        <v>96.767892977656203</v>
      </c>
      <c r="AJ10282">
        <v>47.571353461329799</v>
      </c>
      <c r="AK10282">
        <v>9.4642448216003991</v>
      </c>
      <c r="AL10282">
        <v>81.936286782849606</v>
      </c>
      <c r="AM10282">
        <v>67.549913594698296</v>
      </c>
      <c r="AN10282">
        <v>1.0000000132490401</v>
      </c>
    </row>
    <row r="10283" spans="1:40" x14ac:dyDescent="0.25">
      <c r="A10283" t="str">
        <f>"20190303162148616"</f>
        <v>20190303162148616</v>
      </c>
      <c r="B10283" t="str">
        <f>"1551601308612579"</f>
        <v>1551601308612579</v>
      </c>
      <c r="C10283" t="s">
        <v>40</v>
      </c>
      <c r="D10283">
        <v>4.7359689999999999</v>
      </c>
      <c r="E10283">
        <v>0.64479399999999998</v>
      </c>
      <c r="F10283" t="s">
        <v>50</v>
      </c>
      <c r="G10283">
        <v>-171.91149999999999</v>
      </c>
      <c r="H10283" s="1">
        <v>-1.7291230000000001E-6</v>
      </c>
      <c r="I10283">
        <v>132.8784</v>
      </c>
      <c r="J10283">
        <v>-181.19200000000001</v>
      </c>
      <c r="K10283">
        <v>1.115289</v>
      </c>
      <c r="L10283">
        <v>130.62520000000001</v>
      </c>
      <c r="M10283">
        <v>0.55821480000000001</v>
      </c>
      <c r="N10283">
        <v>-1.545003E-2</v>
      </c>
      <c r="O10283">
        <v>0.82955259999999997</v>
      </c>
      <c r="P10283">
        <v>0.82356640000000003</v>
      </c>
      <c r="Q10283">
        <v>0.13220019999999999</v>
      </c>
      <c r="R10283">
        <v>0.55159910000000001</v>
      </c>
      <c r="S10283">
        <v>3.176758</v>
      </c>
      <c r="T10283">
        <v>-0.37907590000000002</v>
      </c>
      <c r="U10283">
        <v>0.79595950000000004</v>
      </c>
      <c r="V10283">
        <v>0.37758049999999999</v>
      </c>
      <c r="W10283">
        <v>0.14043889999999901</v>
      </c>
      <c r="X10283">
        <v>0.91526490000000005</v>
      </c>
      <c r="Y10283">
        <v>0.661973699999999</v>
      </c>
      <c r="Z10283">
        <v>-0.11048280000000001</v>
      </c>
      <c r="AA10283">
        <v>0.74133959999999999</v>
      </c>
      <c r="AB10283">
        <v>22</v>
      </c>
      <c r="AC10283">
        <v>9.2805000000000106</v>
      </c>
      <c r="AD10283">
        <v>-1.1152907291230001</v>
      </c>
      <c r="AE10283">
        <v>2.2531999999999899</v>
      </c>
      <c r="AF10283">
        <v>6.3549911173889502</v>
      </c>
      <c r="AG10283">
        <v>-1.1152907291230001</v>
      </c>
      <c r="AH10283">
        <v>6.9556390434772304</v>
      </c>
      <c r="AI10283">
        <v>96.751014291034295</v>
      </c>
      <c r="AJ10283">
        <v>47.583743946896902</v>
      </c>
      <c r="AK10283">
        <v>9.4873969040883406</v>
      </c>
      <c r="AL10283">
        <v>81.926755533981606</v>
      </c>
      <c r="AM10283">
        <v>67.582048146606198</v>
      </c>
      <c r="AN10283">
        <v>0.99999997789273398</v>
      </c>
    </row>
    <row r="10284" spans="1:40" x14ac:dyDescent="0.25">
      <c r="A10284" t="str">
        <f>"20190303162148627"</f>
        <v>20190303162148627</v>
      </c>
      <c r="B10284" t="str">
        <f>"1551601308623315"</f>
        <v>1551601308623315</v>
      </c>
      <c r="C10284" t="s">
        <v>40</v>
      </c>
      <c r="D10284">
        <v>4.7220769999999996</v>
      </c>
      <c r="E10284">
        <v>0.64462419999999998</v>
      </c>
      <c r="F10284" t="s">
        <v>50</v>
      </c>
      <c r="G10284">
        <v>-171.78630000000001</v>
      </c>
      <c r="H10284" s="1">
        <v>-1.6818999999999999E-6</v>
      </c>
      <c r="I10284">
        <v>132.93299999999999</v>
      </c>
      <c r="J10284">
        <v>-181.12950000000001</v>
      </c>
      <c r="K10284">
        <v>1.1152489999999999</v>
      </c>
      <c r="L10284">
        <v>130.7081</v>
      </c>
      <c r="M10284">
        <v>0.5624422</v>
      </c>
      <c r="N10284">
        <v>-1.5462409999999999E-2</v>
      </c>
      <c r="O10284">
        <v>0.82669199999999998</v>
      </c>
      <c r="P10284">
        <v>0.82587840000000001</v>
      </c>
      <c r="Q10284">
        <v>0.1319891</v>
      </c>
      <c r="R10284">
        <v>0.54818219999999995</v>
      </c>
      <c r="S10284">
        <v>3.1805270000000001</v>
      </c>
      <c r="T10284">
        <v>-0.37713530000000001</v>
      </c>
      <c r="U10284">
        <v>0.78041079999999996</v>
      </c>
      <c r="V10284">
        <v>0.37673810000000002</v>
      </c>
      <c r="W10284">
        <v>0.1402185</v>
      </c>
      <c r="X10284">
        <v>0.91564579999999995</v>
      </c>
      <c r="Y10284">
        <v>0.66187050000000003</v>
      </c>
      <c r="Z10284">
        <v>-0.109789899999999</v>
      </c>
      <c r="AA10284">
        <v>0.74153469999999999</v>
      </c>
      <c r="AB10284">
        <v>22</v>
      </c>
      <c r="AC10284">
        <v>9.3431999999999906</v>
      </c>
      <c r="AD10284">
        <v>-1.1152506819000001</v>
      </c>
      <c r="AE10284">
        <v>2.2248999999999901</v>
      </c>
      <c r="AF10284">
        <v>6.3872235024559396</v>
      </c>
      <c r="AG10284">
        <v>-1.1152506819000001</v>
      </c>
      <c r="AH10284">
        <v>7.0007710895027202</v>
      </c>
      <c r="AI10284">
        <v>96.711908646631997</v>
      </c>
      <c r="AJ10284">
        <v>47.623926070202401</v>
      </c>
      <c r="AK10284">
        <v>9.5420754556553895</v>
      </c>
      <c r="AL10284">
        <v>81.939510128867198</v>
      </c>
      <c r="AM10284">
        <v>67.635517527314803</v>
      </c>
      <c r="AN10284">
        <v>1.0000000273957399</v>
      </c>
    </row>
    <row r="10285" spans="1:40" x14ac:dyDescent="0.25">
      <c r="A10285" t="str">
        <f>"20190303162148638"</f>
        <v>20190303162148638</v>
      </c>
      <c r="B10285" t="str">
        <f>"1551601308633075"</f>
        <v>1551601308633075</v>
      </c>
      <c r="C10285" t="s">
        <v>40</v>
      </c>
      <c r="D10285">
        <v>4.7101100000000002</v>
      </c>
      <c r="E10285">
        <v>0.644478199999999</v>
      </c>
      <c r="F10285" t="s">
        <v>50</v>
      </c>
      <c r="G10285">
        <v>-171.71119999999999</v>
      </c>
      <c r="H10285" s="1">
        <v>-1.6598059999999999E-6</v>
      </c>
      <c r="I10285">
        <v>132.97980000000001</v>
      </c>
      <c r="J10285">
        <v>-181.05950000000001</v>
      </c>
      <c r="K10285">
        <v>1.115208</v>
      </c>
      <c r="L10285">
        <v>130.79949999999999</v>
      </c>
      <c r="M10285">
        <v>0.56717039999999996</v>
      </c>
      <c r="N10285">
        <v>-1.5476419999999999E-2</v>
      </c>
      <c r="O10285">
        <v>0.82345499999999905</v>
      </c>
      <c r="P10285">
        <v>0.82871209999999995</v>
      </c>
      <c r="Q10285">
        <v>0.1322179</v>
      </c>
      <c r="R10285">
        <v>0.54383329999999996</v>
      </c>
      <c r="S10285">
        <v>3.1831209999999999</v>
      </c>
      <c r="T10285">
        <v>-0.37692300000000001</v>
      </c>
      <c r="U10285">
        <v>0.76776119999999903</v>
      </c>
      <c r="V10285">
        <v>0.37629180000000001</v>
      </c>
      <c r="W10285">
        <v>0.14042950000000001</v>
      </c>
      <c r="X10285">
        <v>0.91579699999999997</v>
      </c>
      <c r="Y10285">
        <v>0.66053769999999901</v>
      </c>
      <c r="Z10285">
        <v>-0.1095708</v>
      </c>
      <c r="AA10285">
        <v>0.74275449999999998</v>
      </c>
      <c r="AB10285">
        <v>22</v>
      </c>
      <c r="AC10285">
        <v>9.3483000000000196</v>
      </c>
      <c r="AD10285">
        <v>-1.115209659806</v>
      </c>
      <c r="AE10285">
        <v>2.1803000000000101</v>
      </c>
      <c r="AF10285">
        <v>6.3760184980755303</v>
      </c>
      <c r="AG10285">
        <v>-1.115209659806</v>
      </c>
      <c r="AH10285">
        <v>7.0037769689101204</v>
      </c>
      <c r="AI10285">
        <v>96.715403670909495</v>
      </c>
      <c r="AJ10285">
        <v>47.686255806171303</v>
      </c>
      <c r="AK10285">
        <v>9.5367812339049607</v>
      </c>
      <c r="AL10285">
        <v>81.927300125289193</v>
      </c>
      <c r="AM10285">
        <v>67.662731190127403</v>
      </c>
      <c r="AN10285">
        <v>1.0000000542132399</v>
      </c>
    </row>
    <row r="10286" spans="1:40" x14ac:dyDescent="0.25">
      <c r="A10286" t="str">
        <f>"20190303162148650"</f>
        <v>20190303162148650</v>
      </c>
      <c r="B10286" t="str">
        <f>"1551601308642836"</f>
        <v>1551601308642836</v>
      </c>
      <c r="C10286" t="s">
        <v>40</v>
      </c>
      <c r="D10286">
        <v>4.7237269999999896</v>
      </c>
      <c r="E10286">
        <v>0.6442698</v>
      </c>
      <c r="F10286" t="s">
        <v>50</v>
      </c>
      <c r="G10286">
        <v>-171.58590000000001</v>
      </c>
      <c r="H10286" s="1">
        <v>-1.612038E-6</v>
      </c>
      <c r="I10286">
        <v>133.0333</v>
      </c>
      <c r="J10286">
        <v>-180.98949999999999</v>
      </c>
      <c r="K10286">
        <v>1.1151690000000001</v>
      </c>
      <c r="L10286">
        <v>130.88999999999999</v>
      </c>
      <c r="M10286">
        <v>0.57188149999999904</v>
      </c>
      <c r="N10286">
        <v>-1.549E-2</v>
      </c>
      <c r="O10286">
        <v>0.82018999999999997</v>
      </c>
      <c r="P10286">
        <v>0.83145139999999995</v>
      </c>
      <c r="Q10286">
        <v>0.13306270000000001</v>
      </c>
      <c r="R10286">
        <v>0.53942840000000003</v>
      </c>
      <c r="S10286">
        <v>3.1868439999999998</v>
      </c>
      <c r="T10286">
        <v>-0.37514720000000001</v>
      </c>
      <c r="U10286">
        <v>0.75141910000000001</v>
      </c>
      <c r="V10286">
        <v>0.37581759999999997</v>
      </c>
      <c r="W10286">
        <v>0.14125750000000001</v>
      </c>
      <c r="X10286">
        <v>0.91586429999999996</v>
      </c>
      <c r="Y10286">
        <v>0.66013469999999996</v>
      </c>
      <c r="Z10286">
        <v>-0.10890089999999999</v>
      </c>
      <c r="AA10286">
        <v>0.74321119999999996</v>
      </c>
      <c r="AB10286">
        <v>22</v>
      </c>
      <c r="AC10286">
        <v>9.4035999999999795</v>
      </c>
      <c r="AD10286">
        <v>-1.1151706120379901</v>
      </c>
      <c r="AE10286">
        <v>2.1433000000000102</v>
      </c>
      <c r="AF10286">
        <v>6.4022120563474596</v>
      </c>
      <c r="AG10286">
        <v>-1.1151706120379901</v>
      </c>
      <c r="AH10286">
        <v>7.0423646991107001</v>
      </c>
      <c r="AI10286">
        <v>96.682890403353596</v>
      </c>
      <c r="AJ10286">
        <v>47.726033347780998</v>
      </c>
      <c r="AK10286">
        <v>9.5826314373284003</v>
      </c>
      <c r="AL10286">
        <v>81.879380979611</v>
      </c>
      <c r="AM10286">
        <v>67.689597004432102</v>
      </c>
      <c r="AN10286">
        <v>0.99999998289524905</v>
      </c>
    </row>
    <row r="10287" spans="1:40" x14ac:dyDescent="0.25">
      <c r="A10287" t="str">
        <f>"20190303162148661"</f>
        <v>20190303162148661</v>
      </c>
      <c r="B10287" t="str">
        <f>"1551601308652595"</f>
        <v>1551601308652595</v>
      </c>
      <c r="C10287" t="s">
        <v>40</v>
      </c>
      <c r="D10287">
        <v>4.6722279999999996</v>
      </c>
      <c r="E10287">
        <v>0.64412769999999897</v>
      </c>
      <c r="F10287" t="s">
        <v>50</v>
      </c>
      <c r="G10287">
        <v>-171.43109999999999</v>
      </c>
      <c r="H10287" s="1">
        <v>-1.551268E-6</v>
      </c>
      <c r="I10287">
        <v>133.09540000000001</v>
      </c>
      <c r="J10287">
        <v>-180.9194</v>
      </c>
      <c r="K10287">
        <v>1.1151340000000001</v>
      </c>
      <c r="L10287">
        <v>130.9795</v>
      </c>
      <c r="M10287">
        <v>0.57657720000000001</v>
      </c>
      <c r="N10287">
        <v>-1.550326E-2</v>
      </c>
      <c r="O10287">
        <v>0.8168955</v>
      </c>
      <c r="P10287">
        <v>0.83433099999999905</v>
      </c>
      <c r="Q10287">
        <v>0.13364219999999999</v>
      </c>
      <c r="R10287">
        <v>0.5348193</v>
      </c>
      <c r="S10287">
        <v>3.1901700000000002</v>
      </c>
      <c r="T10287">
        <v>-0.37219350000000001</v>
      </c>
      <c r="U10287">
        <v>0.73605350000000003</v>
      </c>
      <c r="V10287">
        <v>0.37557810000000003</v>
      </c>
      <c r="W10287">
        <v>0.14181830000000001</v>
      </c>
      <c r="X10287">
        <v>0.91587589999999997</v>
      </c>
      <c r="Y10287">
        <v>0.65953899999999999</v>
      </c>
      <c r="Z10287">
        <v>-0.1078525</v>
      </c>
      <c r="AA10287">
        <v>0.74389259999999902</v>
      </c>
      <c r="AB10287">
        <v>22</v>
      </c>
      <c r="AC10287">
        <v>9.4883000000000095</v>
      </c>
      <c r="AD10287">
        <v>-1.1151355512679999</v>
      </c>
      <c r="AE10287">
        <v>2.1159000000000101</v>
      </c>
      <c r="AF10287">
        <v>6.4469244526698102</v>
      </c>
      <c r="AG10287">
        <v>-1.1151355512679999</v>
      </c>
      <c r="AH10287">
        <v>7.1065618405030699</v>
      </c>
      <c r="AI10287">
        <v>96.629130224949293</v>
      </c>
      <c r="AJ10287">
        <v>47.786341368824097</v>
      </c>
      <c r="AK10287">
        <v>9.6596885761927194</v>
      </c>
      <c r="AL10287">
        <v>81.846922898347003</v>
      </c>
      <c r="AM10287">
        <v>67.702676609873606</v>
      </c>
      <c r="AN10287">
        <v>1.00000000180765</v>
      </c>
    </row>
    <row r="10288" spans="1:40" x14ac:dyDescent="0.25">
      <c r="A10288" t="str">
        <f>"20190303162148674"</f>
        <v>20190303162148674</v>
      </c>
      <c r="B10288" t="str">
        <f>"1551601308662355"</f>
        <v>1551601308662355</v>
      </c>
      <c r="C10288" t="s">
        <v>40</v>
      </c>
      <c r="D10288">
        <v>4.402666</v>
      </c>
      <c r="E10288">
        <v>0.64412769999999897</v>
      </c>
      <c r="F10288" t="s">
        <v>50</v>
      </c>
      <c r="G10288">
        <v>-171.28899999999999</v>
      </c>
      <c r="H10288" s="1">
        <v>-1.494315E-6</v>
      </c>
      <c r="I10288">
        <v>133.1497</v>
      </c>
      <c r="J10288">
        <v>-180.8458</v>
      </c>
      <c r="K10288">
        <v>1.1151009999999999</v>
      </c>
      <c r="L10288">
        <v>131.0719</v>
      </c>
      <c r="M10288">
        <v>0.58148250000000001</v>
      </c>
      <c r="N10288">
        <v>-1.551664E-2</v>
      </c>
      <c r="O10288">
        <v>0.813411</v>
      </c>
      <c r="P10288">
        <v>0.8374296</v>
      </c>
      <c r="Q10288">
        <v>0.13464010000000001</v>
      </c>
      <c r="R10288">
        <v>0.52970150000000005</v>
      </c>
      <c r="S10288">
        <v>3.193619</v>
      </c>
      <c r="T10288">
        <v>-0.36979869999999998</v>
      </c>
      <c r="U10288">
        <v>0.71968080000000001</v>
      </c>
      <c r="V10288">
        <v>0.37557269999999998</v>
      </c>
      <c r="W10288">
        <v>0.1427948</v>
      </c>
      <c r="X10288">
        <v>0.91572640000000005</v>
      </c>
      <c r="Y10288">
        <v>0.65894090000000005</v>
      </c>
      <c r="Z10288">
        <v>-0.1069735</v>
      </c>
      <c r="AA10288">
        <v>0.74454929999999997</v>
      </c>
      <c r="AB10288">
        <v>22</v>
      </c>
      <c r="AC10288">
        <v>9.5567999999999795</v>
      </c>
      <c r="AD10288">
        <v>-1.1151024943150001</v>
      </c>
      <c r="AE10288">
        <v>2.0777999999999901</v>
      </c>
      <c r="AF10288">
        <v>6.4819264532033802</v>
      </c>
      <c r="AG10288">
        <v>-1.1151024943150001</v>
      </c>
      <c r="AH10288">
        <v>7.1550729727652396</v>
      </c>
      <c r="AI10288">
        <v>96.588476647273893</v>
      </c>
      <c r="AJ10288">
        <v>47.825927755176998</v>
      </c>
      <c r="AK10288">
        <v>9.7187392887740796</v>
      </c>
      <c r="AL10288">
        <v>81.790398477335003</v>
      </c>
      <c r="AM10288">
        <v>67.699682242782401</v>
      </c>
      <c r="AN10288">
        <v>1.00000002377464</v>
      </c>
    </row>
    <row r="10289" spans="1:40" x14ac:dyDescent="0.25">
      <c r="A10289" t="str">
        <f>"20190303162148685"</f>
        <v>20190303162148685</v>
      </c>
      <c r="B10289" t="str">
        <f>"1551601308673090"</f>
        <v>1551601308673090</v>
      </c>
      <c r="C10289" t="s">
        <v>40</v>
      </c>
      <c r="D10289">
        <v>4.4049129999999996</v>
      </c>
      <c r="E10289">
        <v>0.67877270000000001</v>
      </c>
      <c r="F10289" t="s">
        <v>50</v>
      </c>
      <c r="G10289">
        <v>-171.1283</v>
      </c>
      <c r="H10289" s="1">
        <v>-1.425494E-6</v>
      </c>
      <c r="I10289">
        <v>133.2011</v>
      </c>
      <c r="J10289">
        <v>-180.7724</v>
      </c>
      <c r="K10289">
        <v>1.115076</v>
      </c>
      <c r="L10289">
        <v>131.1635</v>
      </c>
      <c r="M10289">
        <v>0.58635999999999999</v>
      </c>
      <c r="N10289">
        <v>-1.552948E-2</v>
      </c>
      <c r="O10289">
        <v>0.80990180000000001</v>
      </c>
      <c r="P10289">
        <v>0.84077780000000002</v>
      </c>
      <c r="Q10289">
        <v>0.1352496</v>
      </c>
      <c r="R10289">
        <v>0.52421410000000002</v>
      </c>
      <c r="S10289">
        <v>3.1981510000000002</v>
      </c>
      <c r="T10289">
        <v>-0.36699379999999998</v>
      </c>
      <c r="U10289">
        <v>0.70074459999999905</v>
      </c>
      <c r="V10289">
        <v>0.37600090000000003</v>
      </c>
      <c r="W10289">
        <v>0.14337529999999901</v>
      </c>
      <c r="X10289">
        <v>0.91545989999999999</v>
      </c>
      <c r="Y10289">
        <v>0.65898619999999997</v>
      </c>
      <c r="Z10289">
        <v>-0.1059814</v>
      </c>
      <c r="AA10289">
        <v>0.74465099999999995</v>
      </c>
      <c r="AB10289">
        <v>22</v>
      </c>
      <c r="AC10289">
        <v>9.6440999999999999</v>
      </c>
      <c r="AD10289">
        <v>-1.1150774254939999</v>
      </c>
      <c r="AE10289">
        <v>2.0375999999999901</v>
      </c>
      <c r="AF10289">
        <v>6.5331965965780903</v>
      </c>
      <c r="AG10289">
        <v>-1.1150774254939999</v>
      </c>
      <c r="AH10289">
        <v>7.2137341502674204</v>
      </c>
      <c r="AI10289">
        <v>96.536056380799494</v>
      </c>
      <c r="AJ10289">
        <v>47.834096163347702</v>
      </c>
      <c r="AK10289">
        <v>9.7961224892872991</v>
      </c>
      <c r="AL10289">
        <v>81.756792213068394</v>
      </c>
      <c r="AM10289">
        <v>67.670891577105806</v>
      </c>
      <c r="AN10289">
        <v>0.99999999097945402</v>
      </c>
    </row>
    <row r="10290" spans="1:40" x14ac:dyDescent="0.25">
      <c r="A10290" t="str">
        <f>"20190303162148697"</f>
        <v>20190303162148697</v>
      </c>
      <c r="B10290" t="str">
        <f>"1551601308692611"</f>
        <v>1551601308692611</v>
      </c>
      <c r="C10290" t="s">
        <v>40</v>
      </c>
      <c r="D10290">
        <v>4.4005359999999998</v>
      </c>
      <c r="E10290">
        <v>0.67845089999999997</v>
      </c>
      <c r="F10290" t="s">
        <v>41</v>
      </c>
      <c r="G10290">
        <v>-162.49100000000001</v>
      </c>
      <c r="H10290" s="1">
        <v>-4.6131150000000001E-6</v>
      </c>
      <c r="I10290">
        <v>133.5103</v>
      </c>
      <c r="J10290">
        <v>-180.69980000000001</v>
      </c>
      <c r="K10290">
        <v>1.115051</v>
      </c>
      <c r="L10290">
        <v>131.25210000000001</v>
      </c>
      <c r="M10290">
        <v>0.59114869999999997</v>
      </c>
      <c r="N10290">
        <v>-1.5541370000000001E-2</v>
      </c>
      <c r="O10290">
        <v>0.80641280000000004</v>
      </c>
      <c r="P10290">
        <v>0.84388879999999999</v>
      </c>
      <c r="Q10290">
        <v>0.13622390000000001</v>
      </c>
      <c r="R10290">
        <v>0.51893630000000002</v>
      </c>
      <c r="S10290">
        <v>3.3340000000000001</v>
      </c>
      <c r="T10290">
        <v>-0.20335909999999999</v>
      </c>
      <c r="U10290">
        <v>0.42799379999999998</v>
      </c>
      <c r="V10290">
        <v>0.37621149999999998</v>
      </c>
      <c r="W10290">
        <v>0.1443285</v>
      </c>
      <c r="X10290">
        <v>0.91522360000000003</v>
      </c>
      <c r="Y10290">
        <v>0.72269519999999998</v>
      </c>
      <c r="Z10290">
        <v>-5.5422430000000002E-2</v>
      </c>
      <c r="AA10290">
        <v>0.68894119999999903</v>
      </c>
      <c r="AB10290">
        <v>21</v>
      </c>
      <c r="AC10290">
        <v>18.2088</v>
      </c>
      <c r="AD10290">
        <v>-1.115055613115</v>
      </c>
      <c r="AE10290">
        <v>2.25819999999998</v>
      </c>
      <c r="AF10290">
        <v>13.3013658267846</v>
      </c>
      <c r="AG10290">
        <v>-1.115055613115</v>
      </c>
      <c r="AH10290">
        <v>12.5403565352893</v>
      </c>
      <c r="AI10290">
        <v>93.490492683634002</v>
      </c>
      <c r="AJ10290">
        <v>43.313192056711998</v>
      </c>
      <c r="AK10290">
        <v>18.314754268361501</v>
      </c>
      <c r="AL10290">
        <v>81.701604142174801</v>
      </c>
      <c r="AM10290">
        <v>67.654413524558393</v>
      </c>
      <c r="AN10290">
        <v>1.00000002332072</v>
      </c>
    </row>
    <row r="10291" spans="1:40" x14ac:dyDescent="0.25">
      <c r="A10291" t="str">
        <f>"20190303162148708"</f>
        <v>20190303162148708</v>
      </c>
      <c r="B10291" t="str">
        <f>"1551601308702371"</f>
        <v>1551601308702371</v>
      </c>
      <c r="C10291" t="s">
        <v>40</v>
      </c>
      <c r="D10291">
        <v>4.32864</v>
      </c>
      <c r="E10291">
        <v>0.67793959999999998</v>
      </c>
      <c r="F10291" t="s">
        <v>41</v>
      </c>
      <c r="G10291">
        <v>-161.48990000000001</v>
      </c>
      <c r="H10291" s="1">
        <v>-5.0687990000000003E-6</v>
      </c>
      <c r="I10291">
        <v>133.60929999999999</v>
      </c>
      <c r="J10291">
        <v>-180.6326</v>
      </c>
      <c r="K10291">
        <v>1.11503</v>
      </c>
      <c r="L10291">
        <v>131.33369999999999</v>
      </c>
      <c r="M10291">
        <v>0.59555990000000003</v>
      </c>
      <c r="N10291">
        <v>-1.5551840000000001E-2</v>
      </c>
      <c r="O10291">
        <v>0.8031604</v>
      </c>
      <c r="P10291">
        <v>0.84707779999999999</v>
      </c>
      <c r="Q10291">
        <v>0.1369146</v>
      </c>
      <c r="R10291">
        <v>0.51353059999999995</v>
      </c>
      <c r="S10291">
        <v>3.3345950000000002</v>
      </c>
      <c r="T10291">
        <v>-0.1935595</v>
      </c>
      <c r="U10291">
        <v>0.40916439999999998</v>
      </c>
      <c r="V10291">
        <v>0.37697789999999998</v>
      </c>
      <c r="W10291">
        <v>0.14498949999999999</v>
      </c>
      <c r="X10291">
        <v>0.91480360000000005</v>
      </c>
      <c r="Y10291">
        <v>0.72295450000000006</v>
      </c>
      <c r="Z10291">
        <v>-5.2378979999999999E-2</v>
      </c>
      <c r="AA10291">
        <v>0.6889073</v>
      </c>
      <c r="AB10291">
        <v>21</v>
      </c>
      <c r="AC10291">
        <v>19.142699999999898</v>
      </c>
      <c r="AD10291">
        <v>-1.1150350687989901</v>
      </c>
      <c r="AE10291">
        <v>2.2755999999999901</v>
      </c>
      <c r="AF10291">
        <v>13.9743447472094</v>
      </c>
      <c r="AG10291">
        <v>-1.1150350687989901</v>
      </c>
      <c r="AH10291">
        <v>13.1857811504584</v>
      </c>
      <c r="AI10291">
        <v>93.321425713612498</v>
      </c>
      <c r="AJ10291">
        <v>43.336948911356302</v>
      </c>
      <c r="AK10291">
        <v>19.245530360743398</v>
      </c>
      <c r="AL10291">
        <v>81.663328501196801</v>
      </c>
      <c r="AM10291">
        <v>67.604118969545894</v>
      </c>
      <c r="AN10291">
        <v>0.99999995938580899</v>
      </c>
    </row>
    <row r="10292" spans="1:40" x14ac:dyDescent="0.25">
      <c r="A10292" t="str">
        <f>"20190303162148718"</f>
        <v>20190303162148718</v>
      </c>
      <c r="B10292" t="str">
        <f>"1551601308713107"</f>
        <v>1551601308713107</v>
      </c>
      <c r="C10292" t="s">
        <v>40</v>
      </c>
      <c r="D10292">
        <v>4.3750229999999997</v>
      </c>
      <c r="E10292">
        <v>0.67723449999999996</v>
      </c>
      <c r="F10292" t="s">
        <v>41</v>
      </c>
      <c r="G10292">
        <v>-161.36109999999999</v>
      </c>
      <c r="H10292" s="1">
        <v>-5.1313439999999998E-6</v>
      </c>
      <c r="I10292">
        <v>133.6</v>
      </c>
      <c r="J10292">
        <v>-180.5615</v>
      </c>
      <c r="K10292">
        <v>1.1150139999999999</v>
      </c>
      <c r="L10292">
        <v>131.4187</v>
      </c>
      <c r="M10292">
        <v>0.60019869999999897</v>
      </c>
      <c r="N10292">
        <v>-1.556216E-2</v>
      </c>
      <c r="O10292">
        <v>0.79969950000000001</v>
      </c>
      <c r="P10292">
        <v>0.85031630000000002</v>
      </c>
      <c r="Q10292">
        <v>0.13708190000000001</v>
      </c>
      <c r="R10292">
        <v>0.50810509999999998</v>
      </c>
      <c r="S10292">
        <v>3.3350070000000001</v>
      </c>
      <c r="T10292">
        <v>-0.19296060000000001</v>
      </c>
      <c r="U10292">
        <v>0.39219670000000001</v>
      </c>
      <c r="V10292">
        <v>0.37751970000000001</v>
      </c>
      <c r="W10292">
        <v>0.14513670000000001</v>
      </c>
      <c r="X10292">
        <v>0.91455690000000001</v>
      </c>
      <c r="Y10292">
        <v>0.72243800000000002</v>
      </c>
      <c r="Z10292">
        <v>-5.2195239999999997E-2</v>
      </c>
      <c r="AA10292">
        <v>0.68946289999999999</v>
      </c>
      <c r="AB10292">
        <v>21</v>
      </c>
      <c r="AC10292">
        <v>19.200399999999998</v>
      </c>
      <c r="AD10292">
        <v>-1.1150191313440001</v>
      </c>
      <c r="AE10292">
        <v>2.18129999999999</v>
      </c>
      <c r="AF10292">
        <v>14.0004243174289</v>
      </c>
      <c r="AG10292">
        <v>-1.1150191313440001</v>
      </c>
      <c r="AH10292">
        <v>13.226011371966701</v>
      </c>
      <c r="AI10292">
        <v>93.313363248015605</v>
      </c>
      <c r="AJ10292">
        <v>43.370751353570597</v>
      </c>
      <c r="AK10292">
        <v>19.292032695978701</v>
      </c>
      <c r="AL10292">
        <v>81.654805196625105</v>
      </c>
      <c r="AM10292">
        <v>67.5696673446662</v>
      </c>
      <c r="AN10292">
        <v>1.0000000544562899</v>
      </c>
    </row>
    <row r="10293" spans="1:40" x14ac:dyDescent="0.25">
      <c r="A10293" t="str">
        <f>"20190303162148730"</f>
        <v>20190303162148730</v>
      </c>
      <c r="B10293" t="str">
        <f>"1551601308722480"</f>
        <v>1551601308722480</v>
      </c>
      <c r="C10293" t="s">
        <v>40</v>
      </c>
      <c r="D10293">
        <v>4.2654239999999897</v>
      </c>
      <c r="E10293">
        <v>0.67723449999999996</v>
      </c>
      <c r="F10293" t="s">
        <v>41</v>
      </c>
      <c r="G10293">
        <v>-161.66470000000001</v>
      </c>
      <c r="H10293" s="1">
        <v>-4.996049E-6</v>
      </c>
      <c r="I10293">
        <v>133.55359999999999</v>
      </c>
      <c r="J10293">
        <v>-180.49459999999999</v>
      </c>
      <c r="K10293">
        <v>1.1150009999999999</v>
      </c>
      <c r="L10293">
        <v>131.49770000000001</v>
      </c>
      <c r="M10293">
        <v>0.60452819999999996</v>
      </c>
      <c r="N10293">
        <v>-1.5571099999999999E-2</v>
      </c>
      <c r="O10293">
        <v>0.79643149999999996</v>
      </c>
      <c r="P10293">
        <v>0.85355270000000005</v>
      </c>
      <c r="Q10293">
        <v>0.13694289999999901</v>
      </c>
      <c r="R10293">
        <v>0.50268729999999995</v>
      </c>
      <c r="S10293">
        <v>3.334686</v>
      </c>
      <c r="T10293">
        <v>-0.19676579999999999</v>
      </c>
      <c r="U10293">
        <v>0.3767395</v>
      </c>
      <c r="V10293">
        <v>0.37839669999999997</v>
      </c>
      <c r="W10293">
        <v>0.14497299999999999</v>
      </c>
      <c r="X10293">
        <v>0.91422029999999999</v>
      </c>
      <c r="Y10293">
        <v>0.72176169999999995</v>
      </c>
      <c r="Z10293">
        <v>-5.3394120000000003E-2</v>
      </c>
      <c r="AA10293">
        <v>0.69007909999999995</v>
      </c>
      <c r="AB10293">
        <v>21</v>
      </c>
      <c r="AC10293">
        <v>18.829899999999899</v>
      </c>
      <c r="AD10293">
        <v>-1.115005996049</v>
      </c>
      <c r="AE10293">
        <v>2.0558999999999799</v>
      </c>
      <c r="AF10293">
        <v>13.708044767985401</v>
      </c>
      <c r="AG10293">
        <v>-1.115005996049</v>
      </c>
      <c r="AH10293">
        <v>12.9772013540528</v>
      </c>
      <c r="AI10293">
        <v>93.380465155989398</v>
      </c>
      <c r="AJ10293">
        <v>43.431201347145098</v>
      </c>
      <c r="AK10293">
        <v>18.909296251208001</v>
      </c>
      <c r="AL10293">
        <v>81.664284276724104</v>
      </c>
      <c r="AM10293">
        <v>67.515287360891094</v>
      </c>
      <c r="AN10293">
        <v>0.99999999511598903</v>
      </c>
    </row>
    <row r="10294" spans="1:40" x14ac:dyDescent="0.25">
      <c r="A10294" t="str">
        <f>"20190303162148742"</f>
        <v>20190303162148742</v>
      </c>
      <c r="B10294" t="str">
        <f>"1551601308733217"</f>
        <v>1551601308733217</v>
      </c>
      <c r="C10294" t="s">
        <v>40</v>
      </c>
      <c r="D10294">
        <v>4.5756050000000004</v>
      </c>
      <c r="E10294">
        <v>0.67013869999999998</v>
      </c>
      <c r="F10294" t="s">
        <v>41</v>
      </c>
      <c r="G10294">
        <v>-161.7722</v>
      </c>
      <c r="H10294" s="1">
        <v>-4.955361E-6</v>
      </c>
      <c r="I10294">
        <v>133.4965</v>
      </c>
      <c r="J10294">
        <v>-180.4161</v>
      </c>
      <c r="K10294">
        <v>1.114989</v>
      </c>
      <c r="L10294">
        <v>131.58949999999999</v>
      </c>
      <c r="M10294">
        <v>0.60957879999999998</v>
      </c>
      <c r="N10294">
        <v>-1.5580770000000001E-2</v>
      </c>
      <c r="O10294">
        <v>0.79257230000000001</v>
      </c>
      <c r="P10294">
        <v>0.85714669999999904</v>
      </c>
      <c r="Q10294">
        <v>0.13689879999999999</v>
      </c>
      <c r="R10294">
        <v>0.4965464</v>
      </c>
      <c r="S10294">
        <v>3.336792</v>
      </c>
      <c r="T10294">
        <v>-0.19872110000000001</v>
      </c>
      <c r="U10294">
        <v>0.35623169999999998</v>
      </c>
      <c r="V10294">
        <v>0.37915900000000002</v>
      </c>
      <c r="W10294">
        <v>0.14490980000000001</v>
      </c>
      <c r="X10294">
        <v>0.91391440000000002</v>
      </c>
      <c r="Y10294">
        <v>0.7215686</v>
      </c>
      <c r="Z10294">
        <v>-5.3990499999999997E-2</v>
      </c>
      <c r="AA10294">
        <v>0.69023469999999998</v>
      </c>
      <c r="AB10294">
        <v>21</v>
      </c>
      <c r="AC10294">
        <v>18.643899999999999</v>
      </c>
      <c r="AD10294">
        <v>-1.114993955361</v>
      </c>
      <c r="AE10294">
        <v>1.90700000000001</v>
      </c>
      <c r="AF10294">
        <v>13.5678009607623</v>
      </c>
      <c r="AG10294">
        <v>-1.114993955361</v>
      </c>
      <c r="AH10294">
        <v>12.8325036356445</v>
      </c>
      <c r="AI10294">
        <v>93.416784431251102</v>
      </c>
      <c r="AJ10294">
        <v>43.404618980656899</v>
      </c>
      <c r="AK10294">
        <v>18.708329267740201</v>
      </c>
      <c r="AL10294">
        <v>81.6679437546358</v>
      </c>
      <c r="AM10294">
        <v>67.467726101425797</v>
      </c>
      <c r="AN10294">
        <v>0.99999996397219904</v>
      </c>
    </row>
    <row r="10295" spans="1:40" x14ac:dyDescent="0.25">
      <c r="A10295" t="str">
        <f>"20190303162148755"</f>
        <v>20190303162148755</v>
      </c>
      <c r="B10295" t="str">
        <f>"1551601308742978"</f>
        <v>1551601308742978</v>
      </c>
      <c r="C10295" t="s">
        <v>40</v>
      </c>
      <c r="D10295">
        <v>4.4617459999999998</v>
      </c>
      <c r="E10295">
        <v>0.66558430000000002</v>
      </c>
      <c r="F10295" t="s">
        <v>41</v>
      </c>
      <c r="G10295">
        <v>-163.50399999999999</v>
      </c>
      <c r="H10295" s="1">
        <v>-4.1276269999999998E-6</v>
      </c>
      <c r="I10295">
        <v>133.5478</v>
      </c>
      <c r="J10295">
        <v>-180.33359999999999</v>
      </c>
      <c r="K10295">
        <v>1.1149830000000001</v>
      </c>
      <c r="L10295">
        <v>131.68440000000001</v>
      </c>
      <c r="M10295">
        <v>0.61483379999999999</v>
      </c>
      <c r="N10295">
        <v>-1.558904E-2</v>
      </c>
      <c r="O10295">
        <v>0.78850259999999905</v>
      </c>
      <c r="P10295">
        <v>0.86075970000000002</v>
      </c>
      <c r="Q10295">
        <v>0.13693529999999901</v>
      </c>
      <c r="R10295">
        <v>0.49024649999999997</v>
      </c>
      <c r="S10295">
        <v>3.3126530000000001</v>
      </c>
      <c r="T10295">
        <v>-0.2183986</v>
      </c>
      <c r="U10295">
        <v>0.38359070000000001</v>
      </c>
      <c r="V10295">
        <v>0.3797856</v>
      </c>
      <c r="W10295">
        <v>0.1449358</v>
      </c>
      <c r="X10295">
        <v>0.91365010000000002</v>
      </c>
      <c r="Y10295">
        <v>0.71030009999999999</v>
      </c>
      <c r="Z10295">
        <v>-6.007647E-2</v>
      </c>
      <c r="AA10295">
        <v>0.70133059999999903</v>
      </c>
      <c r="AB10295">
        <v>21</v>
      </c>
      <c r="AC10295">
        <v>16.829599999999999</v>
      </c>
      <c r="AD10295">
        <v>-1.114987127627</v>
      </c>
      <c r="AE10295">
        <v>1.86339999999998</v>
      </c>
      <c r="AF10295">
        <v>12.0736231755844</v>
      </c>
      <c r="AG10295">
        <v>-1.114987127627</v>
      </c>
      <c r="AH10295">
        <v>11.7671154265225</v>
      </c>
      <c r="AI10295">
        <v>93.783728043089795</v>
      </c>
      <c r="AJ10295">
        <v>44.263419090342097</v>
      </c>
      <c r="AK10295">
        <v>16.896170522988001</v>
      </c>
      <c r="AL10295">
        <v>81.666438444141605</v>
      </c>
      <c r="AM10295">
        <v>67.428346380551204</v>
      </c>
      <c r="AN10295">
        <v>0.99999999665950401</v>
      </c>
    </row>
    <row r="10296" spans="1:40" x14ac:dyDescent="0.25">
      <c r="A10296" t="str">
        <f>"20190303162148770"</f>
        <v>20190303162148770</v>
      </c>
      <c r="B10296" t="str">
        <f>"1551601308762497"</f>
        <v>1551601308762497</v>
      </c>
      <c r="C10296" t="s">
        <v>40</v>
      </c>
      <c r="D10296">
        <v>4.5506729999999997</v>
      </c>
      <c r="E10296">
        <v>0.65828439999999999</v>
      </c>
      <c r="F10296" t="s">
        <v>41</v>
      </c>
      <c r="G10296">
        <v>-164.51599999999999</v>
      </c>
      <c r="H10296" s="1">
        <v>-3.699755E-6</v>
      </c>
      <c r="I10296">
        <v>133.5669</v>
      </c>
      <c r="J10296">
        <v>-180.2449</v>
      </c>
      <c r="K10296">
        <v>1.1149800000000001</v>
      </c>
      <c r="L10296">
        <v>131.7851</v>
      </c>
      <c r="M10296">
        <v>0.62042069999999905</v>
      </c>
      <c r="N10296">
        <v>-1.559661E-2</v>
      </c>
      <c r="O10296">
        <v>0.78411409999999904</v>
      </c>
      <c r="P10296">
        <v>0.86512529999999999</v>
      </c>
      <c r="Q10296">
        <v>0.13605329999999999</v>
      </c>
      <c r="R10296">
        <v>0.48275030000000002</v>
      </c>
      <c r="S10296">
        <v>3.2986759999999999</v>
      </c>
      <c r="T10296">
        <v>-0.23252500000000001</v>
      </c>
      <c r="U10296">
        <v>0.39259339999999998</v>
      </c>
      <c r="V10296">
        <v>0.38132830000000001</v>
      </c>
      <c r="W10296">
        <v>0.1440284</v>
      </c>
      <c r="X10296">
        <v>0.91315080000000004</v>
      </c>
      <c r="Y10296">
        <v>0.70271209999999995</v>
      </c>
      <c r="Z10296">
        <v>-6.4393010000000001E-2</v>
      </c>
      <c r="AA10296">
        <v>0.70855440000000003</v>
      </c>
      <c r="AB10296">
        <v>21</v>
      </c>
      <c r="AC10296">
        <v>15.728899999999999</v>
      </c>
      <c r="AD10296">
        <v>-1.11498369975499</v>
      </c>
      <c r="AE10296">
        <v>1.7818000000000001</v>
      </c>
      <c r="AF10296">
        <v>11.1737153395361</v>
      </c>
      <c r="AG10296">
        <v>-1.11498369975499</v>
      </c>
      <c r="AH10296">
        <v>11.1019456315561</v>
      </c>
      <c r="AI10296">
        <v>94.049015947332407</v>
      </c>
      <c r="AJ10296">
        <v>44.815399994598799</v>
      </c>
      <c r="AK10296">
        <v>15.7907662874774</v>
      </c>
      <c r="AL10296">
        <v>81.718979276408305</v>
      </c>
      <c r="AM10296">
        <v>67.334770367114203</v>
      </c>
      <c r="AN10296">
        <v>0.99999991796404097</v>
      </c>
    </row>
    <row r="10297" spans="1:40" x14ac:dyDescent="0.25">
      <c r="A10297" t="str">
        <f>"20190303162148782"</f>
        <v>20190303162148782</v>
      </c>
      <c r="B10297" t="str">
        <f>"1551601308773233"</f>
        <v>1551601308773233</v>
      </c>
      <c r="C10297" t="s">
        <v>40</v>
      </c>
      <c r="D10297">
        <v>4.5503280000000004</v>
      </c>
      <c r="E10297">
        <v>0.65533160000000001</v>
      </c>
      <c r="F10297" t="s">
        <v>41</v>
      </c>
      <c r="G10297">
        <v>-166.33250000000001</v>
      </c>
      <c r="H10297" s="1">
        <v>-3.002781E-6</v>
      </c>
      <c r="I10297">
        <v>133.56469999999999</v>
      </c>
      <c r="J10297">
        <v>-180.1591</v>
      </c>
      <c r="K10297">
        <v>1.114986</v>
      </c>
      <c r="L10297">
        <v>131.88130000000001</v>
      </c>
      <c r="M10297">
        <v>0.62577380000000005</v>
      </c>
      <c r="N10297">
        <v>-1.560216E-2</v>
      </c>
      <c r="O10297">
        <v>0.77984849999999994</v>
      </c>
      <c r="P10297">
        <v>0.86906219999999901</v>
      </c>
      <c r="Q10297">
        <v>0.13569790000000001</v>
      </c>
      <c r="R10297">
        <v>0.47572789999999998</v>
      </c>
      <c r="S10297">
        <v>3.2751920000000001</v>
      </c>
      <c r="T10297">
        <v>-0.26248300000000002</v>
      </c>
      <c r="U10297">
        <v>0.41894530000000002</v>
      </c>
      <c r="V10297">
        <v>0.38250960000000001</v>
      </c>
      <c r="W10297">
        <v>0.14365939999999999</v>
      </c>
      <c r="X10297">
        <v>0.91271480000000005</v>
      </c>
      <c r="Y10297">
        <v>0.69077489999999997</v>
      </c>
      <c r="Z10297">
        <v>-7.3580209999999993E-2</v>
      </c>
      <c r="AA10297">
        <v>0.71931639999999997</v>
      </c>
      <c r="AB10297">
        <v>21</v>
      </c>
      <c r="AC10297">
        <v>13.8265999999999</v>
      </c>
      <c r="AD10297">
        <v>-1.1149890027809899</v>
      </c>
      <c r="AE10297">
        <v>1.68339999999997</v>
      </c>
      <c r="AF10297">
        <v>9.6684551532565308</v>
      </c>
      <c r="AG10297">
        <v>-1.1149890027809899</v>
      </c>
      <c r="AH10297">
        <v>9.9028770411715996</v>
      </c>
      <c r="AI10297">
        <v>94.605955438207104</v>
      </c>
      <c r="AJ10297">
        <v>45.6862456985303</v>
      </c>
      <c r="AK10297">
        <v>13.884855030551</v>
      </c>
      <c r="AL10297">
        <v>81.740343965525895</v>
      </c>
      <c r="AM10297">
        <v>67.261932040727601</v>
      </c>
      <c r="AN10297">
        <v>0.99999996171977901</v>
      </c>
    </row>
    <row r="10298" spans="1:40" x14ac:dyDescent="0.25">
      <c r="A10298" t="str">
        <f>"20190303162148793"</f>
        <v>20190303162148793</v>
      </c>
      <c r="B10298" t="str">
        <f>"1551601308782993"</f>
        <v>1551601308782993</v>
      </c>
      <c r="C10298" t="s">
        <v>40</v>
      </c>
      <c r="D10298">
        <v>4.5017820000000004</v>
      </c>
      <c r="E10298">
        <v>0.6527849</v>
      </c>
      <c r="F10298" t="s">
        <v>41</v>
      </c>
      <c r="G10298">
        <v>-166.77799999999999</v>
      </c>
      <c r="H10298" s="1">
        <v>-2.8280120000000002E-6</v>
      </c>
      <c r="I10298">
        <v>133.57859999999999</v>
      </c>
      <c r="J10298">
        <v>-180.08410000000001</v>
      </c>
      <c r="K10298">
        <v>1.114995</v>
      </c>
      <c r="L10298">
        <v>131.96379999999999</v>
      </c>
      <c r="M10298">
        <v>0.63038830000000001</v>
      </c>
      <c r="N10298">
        <v>-1.560522E-2</v>
      </c>
      <c r="O10298">
        <v>0.77612309999999995</v>
      </c>
      <c r="P10298">
        <v>0.87241829999999998</v>
      </c>
      <c r="Q10298">
        <v>0.13484660000000001</v>
      </c>
      <c r="R10298">
        <v>0.46979019999999999</v>
      </c>
      <c r="S10298">
        <v>3.2676240000000001</v>
      </c>
      <c r="T10298">
        <v>-0.27227689999999999</v>
      </c>
      <c r="U10298">
        <v>0.41447450000000002</v>
      </c>
      <c r="V10298">
        <v>0.38340580000000002</v>
      </c>
      <c r="W10298">
        <v>0.1428043</v>
      </c>
      <c r="X10298">
        <v>0.91247299999999998</v>
      </c>
      <c r="Y10298">
        <v>0.68696759999999901</v>
      </c>
      <c r="Z10298">
        <v>-7.6573669999999996E-2</v>
      </c>
      <c r="AA10298">
        <v>0.72264240000000002</v>
      </c>
      <c r="AB10298">
        <v>21</v>
      </c>
      <c r="AC10298">
        <v>13.306100000000001</v>
      </c>
      <c r="AD10298">
        <v>-1.1149978280120001</v>
      </c>
      <c r="AE10298">
        <v>1.6148</v>
      </c>
      <c r="AF10298">
        <v>9.2463707367517003</v>
      </c>
      <c r="AG10298">
        <v>-1.1149978280120001</v>
      </c>
      <c r="AH10298">
        <v>9.5762015831879292</v>
      </c>
      <c r="AI10298">
        <v>94.787992056301604</v>
      </c>
      <c r="AJ10298">
        <v>46.003900063099501</v>
      </c>
      <c r="AK10298">
        <v>13.3582270050999</v>
      </c>
      <c r="AL10298">
        <v>81.789848546900998</v>
      </c>
      <c r="AM10298">
        <v>67.208673556095903</v>
      </c>
      <c r="AN10298">
        <v>1.0000000256505599</v>
      </c>
    </row>
    <row r="10299" spans="1:40" x14ac:dyDescent="0.25">
      <c r="A10299" t="str">
        <f>"20190303162148805"</f>
        <v>20190303162148805</v>
      </c>
      <c r="B10299" t="str">
        <f>"1551601308792754"</f>
        <v>1551601308792754</v>
      </c>
      <c r="C10299" t="s">
        <v>40</v>
      </c>
      <c r="D10299">
        <v>4.4938500000000001</v>
      </c>
      <c r="E10299">
        <v>0.64972269999999999</v>
      </c>
      <c r="F10299" t="s">
        <v>41</v>
      </c>
      <c r="G10299">
        <v>-167.19640000000001</v>
      </c>
      <c r="H10299" s="1">
        <v>-2.6652209999999999E-6</v>
      </c>
      <c r="I10299">
        <v>133.5866</v>
      </c>
      <c r="J10299">
        <v>-180.0102</v>
      </c>
      <c r="K10299">
        <v>1.115</v>
      </c>
      <c r="L10299">
        <v>132.04490000000001</v>
      </c>
      <c r="M10299">
        <v>0.63490649999999904</v>
      </c>
      <c r="N10299">
        <v>-1.5607859999999999E-2</v>
      </c>
      <c r="O10299">
        <v>0.77243130000000004</v>
      </c>
      <c r="P10299">
        <v>0.87562289999999998</v>
      </c>
      <c r="Q10299">
        <v>0.13366339999999999</v>
      </c>
      <c r="R10299">
        <v>0.4641325</v>
      </c>
      <c r="S10299">
        <v>3.261215</v>
      </c>
      <c r="T10299">
        <v>-0.28214699999999998</v>
      </c>
      <c r="U10299">
        <v>0.41062929999999997</v>
      </c>
      <c r="V10299">
        <v>0.38410509999999998</v>
      </c>
      <c r="W10299">
        <v>0.1416239</v>
      </c>
      <c r="X10299">
        <v>0.91236289999999998</v>
      </c>
      <c r="Y10299">
        <v>0.68310130000000002</v>
      </c>
      <c r="Z10299">
        <v>-7.9542909999999994E-2</v>
      </c>
      <c r="AA10299">
        <v>0.72597900000000004</v>
      </c>
      <c r="AB10299">
        <v>21</v>
      </c>
      <c r="AC10299">
        <v>12.813799999999899</v>
      </c>
      <c r="AD10299">
        <v>-1.1150026652210001</v>
      </c>
      <c r="AE10299">
        <v>1.5416999999999901</v>
      </c>
      <c r="AF10299">
        <v>8.8539482494281199</v>
      </c>
      <c r="AG10299">
        <v>-1.1150026652210001</v>
      </c>
      <c r="AH10299">
        <v>9.2584561718747391</v>
      </c>
      <c r="AI10299">
        <v>94.974346825472693</v>
      </c>
      <c r="AJ10299">
        <v>46.279385335721102</v>
      </c>
      <c r="AK10299">
        <v>12.859029560333299</v>
      </c>
      <c r="AL10299">
        <v>81.858175236797507</v>
      </c>
      <c r="AM10299">
        <v>67.168890306448205</v>
      </c>
      <c r="AN10299">
        <v>1.0000000590968099</v>
      </c>
    </row>
    <row r="10300" spans="1:40" x14ac:dyDescent="0.25">
      <c r="A10300" t="str">
        <f>"20190303162148817"</f>
        <v>20190303162148817</v>
      </c>
      <c r="B10300" t="str">
        <f>"1551601308813249"</f>
        <v>1551601308813249</v>
      </c>
      <c r="C10300" t="s">
        <v>40</v>
      </c>
      <c r="D10300">
        <v>4.4917689999999997</v>
      </c>
      <c r="E10300">
        <v>0.64546530000000002</v>
      </c>
      <c r="F10300" t="s">
        <v>41</v>
      </c>
      <c r="G10300">
        <v>-167.6412</v>
      </c>
      <c r="H10300" s="1">
        <v>-2.4883500000000001E-6</v>
      </c>
      <c r="I10300">
        <v>133.60929999999999</v>
      </c>
      <c r="J10300">
        <v>-179.93039999999999</v>
      </c>
      <c r="K10300">
        <v>1.1150150000000001</v>
      </c>
      <c r="L10300">
        <v>132.13050000000001</v>
      </c>
      <c r="M10300">
        <v>0.63970990000000005</v>
      </c>
      <c r="N10300">
        <v>-1.5608469999999999E-2</v>
      </c>
      <c r="O10300">
        <v>0.76845790000000003</v>
      </c>
      <c r="P10300">
        <v>0.87866630000000001</v>
      </c>
      <c r="Q10300">
        <v>0.13294919999999999</v>
      </c>
      <c r="R10300">
        <v>0.45855240000000003</v>
      </c>
      <c r="S10300">
        <v>3.2528229999999998</v>
      </c>
      <c r="T10300">
        <v>-0.29322559999999998</v>
      </c>
      <c r="U10300">
        <v>0.41140749999999998</v>
      </c>
      <c r="V10300">
        <v>0.38428580000000001</v>
      </c>
      <c r="W10300">
        <v>0.14092750000000001</v>
      </c>
      <c r="X10300">
        <v>0.91239459999999994</v>
      </c>
      <c r="Y10300">
        <v>0.67780569999999996</v>
      </c>
      <c r="Z10300">
        <v>-8.282668E-2</v>
      </c>
      <c r="AA10300">
        <v>0.73056089999999996</v>
      </c>
      <c r="AB10300">
        <v>21</v>
      </c>
      <c r="AC10300">
        <v>12.2891999999999</v>
      </c>
      <c r="AD10300">
        <v>-1.1150174883499999</v>
      </c>
      <c r="AE10300">
        <v>1.4787999999999699</v>
      </c>
      <c r="AF10300">
        <v>8.4303556336928605</v>
      </c>
      <c r="AG10300">
        <v>-1.1150174883499999</v>
      </c>
      <c r="AH10300">
        <v>8.9265785127853601</v>
      </c>
      <c r="AI10300">
        <v>95.188947302366202</v>
      </c>
      <c r="AJ10300">
        <v>46.637601092460102</v>
      </c>
      <c r="AK10300">
        <v>12.328745437179901</v>
      </c>
      <c r="AL10300">
        <v>81.8984799549267</v>
      </c>
      <c r="AM10300">
        <v>67.159963773850905</v>
      </c>
      <c r="AN10300">
        <v>1.0000000212235201</v>
      </c>
    </row>
    <row r="10301" spans="1:40" x14ac:dyDescent="0.25">
      <c r="A10301" t="str">
        <f>"20190303162148830"</f>
        <v>20190303162148830</v>
      </c>
      <c r="B10301" t="str">
        <f>"1551601308823009"</f>
        <v>1551601308823009</v>
      </c>
      <c r="C10301" t="s">
        <v>40</v>
      </c>
      <c r="D10301">
        <v>4.3811</v>
      </c>
      <c r="E10301">
        <v>0.64386160000000003</v>
      </c>
      <c r="F10301" t="s">
        <v>41</v>
      </c>
      <c r="G10301">
        <v>-168.06099999999901</v>
      </c>
      <c r="H10301" s="1">
        <v>-2.3097429999999998E-6</v>
      </c>
      <c r="I10301">
        <v>133.6747</v>
      </c>
      <c r="J10301">
        <v>-179.84309999999999</v>
      </c>
      <c r="K10301">
        <v>1.115035</v>
      </c>
      <c r="L10301">
        <v>132.2235</v>
      </c>
      <c r="M10301">
        <v>0.64491519999999902</v>
      </c>
      <c r="N10301">
        <v>-1.5608500000000001E-2</v>
      </c>
      <c r="O10301">
        <v>0.76409469999999902</v>
      </c>
      <c r="P10301">
        <v>0.88182850000000002</v>
      </c>
      <c r="Q10301">
        <v>0.1318713</v>
      </c>
      <c r="R10301">
        <v>0.45275660000000001</v>
      </c>
      <c r="S10301">
        <v>3.240326</v>
      </c>
      <c r="T10301">
        <v>-0.30439759999999999</v>
      </c>
      <c r="U10301">
        <v>0.42153930000000001</v>
      </c>
      <c r="V10301">
        <v>0.38419300000000001</v>
      </c>
      <c r="W10301">
        <v>0.13987759999999999</v>
      </c>
      <c r="X10301">
        <v>0.91259520000000005</v>
      </c>
      <c r="Y10301">
        <v>0.66984390000000005</v>
      </c>
      <c r="Z10301">
        <v>-8.6043980000000006E-2</v>
      </c>
      <c r="AA10301">
        <v>0.73749960000000003</v>
      </c>
      <c r="AB10301">
        <v>21</v>
      </c>
      <c r="AC10301">
        <v>11.7821</v>
      </c>
      <c r="AD10301">
        <v>-1.115037309743</v>
      </c>
      <c r="AE10301">
        <v>1.4512</v>
      </c>
      <c r="AF10301">
        <v>7.9971668087004302</v>
      </c>
      <c r="AG10301">
        <v>-1.115037309743</v>
      </c>
      <c r="AH10301">
        <v>8.6322125238391507</v>
      </c>
      <c r="AI10301">
        <v>95.413021413509099</v>
      </c>
      <c r="AJ10301">
        <v>47.1869587912744</v>
      </c>
      <c r="AK10301">
        <v>11.820028689687</v>
      </c>
      <c r="AL10301">
        <v>81.959236462067906</v>
      </c>
      <c r="AM10301">
        <v>67.169418198139297</v>
      </c>
      <c r="AN10301">
        <v>1.0000000016468999</v>
      </c>
    </row>
    <row r="10302" spans="1:40" x14ac:dyDescent="0.25">
      <c r="A10302" t="str">
        <f>"20190303162148842"</f>
        <v>20190303162148842</v>
      </c>
      <c r="B10302" t="str">
        <f>"1551601308832769"</f>
        <v>1551601308832769</v>
      </c>
      <c r="C10302" t="s">
        <v>40</v>
      </c>
      <c r="D10302">
        <v>4.4282490000000001</v>
      </c>
      <c r="E10302">
        <v>0.64239609999999903</v>
      </c>
      <c r="F10302" t="s">
        <v>41</v>
      </c>
      <c r="G10302">
        <v>-168.25819999999999</v>
      </c>
      <c r="H10302" s="1">
        <v>-2.2283229999999999E-6</v>
      </c>
      <c r="I10302">
        <v>133.696</v>
      </c>
      <c r="J10302">
        <v>-179.761</v>
      </c>
      <c r="K10302">
        <v>1.1150629999999999</v>
      </c>
      <c r="L10302">
        <v>132.3099</v>
      </c>
      <c r="M10302">
        <v>0.64974869999999996</v>
      </c>
      <c r="N10302">
        <v>-1.5607569999999999E-2</v>
      </c>
      <c r="O10302">
        <v>0.75998880000000002</v>
      </c>
      <c r="P10302">
        <v>0.88458199999999998</v>
      </c>
      <c r="Q10302">
        <v>0.13091659999999999</v>
      </c>
      <c r="R10302">
        <v>0.44763359999999902</v>
      </c>
      <c r="S10302">
        <v>3.2373500000000002</v>
      </c>
      <c r="T10302">
        <v>-0.31159320000000001</v>
      </c>
      <c r="U10302">
        <v>0.41148380000000001</v>
      </c>
      <c r="V10302">
        <v>0.38378069999999997</v>
      </c>
      <c r="W10302">
        <v>0.13895729999999901</v>
      </c>
      <c r="X10302">
        <v>0.91290919999999998</v>
      </c>
      <c r="Y10302">
        <v>0.66708000000000001</v>
      </c>
      <c r="Z10302">
        <v>-8.8109870000000007E-2</v>
      </c>
      <c r="AA10302">
        <v>0.73975729999999995</v>
      </c>
      <c r="AB10302">
        <v>21</v>
      </c>
      <c r="AC10302">
        <v>11.502800000000001</v>
      </c>
      <c r="AD10302">
        <v>-1.11506522832299</v>
      </c>
      <c r="AE10302">
        <v>1.3860999999999899</v>
      </c>
      <c r="AF10302">
        <v>7.7703642290519497</v>
      </c>
      <c r="AG10302">
        <v>-1.11506522832299</v>
      </c>
      <c r="AH10302">
        <v>8.4501188487140002</v>
      </c>
      <c r="AI10302">
        <v>95.547953295475494</v>
      </c>
      <c r="AJ10302">
        <v>47.399700111101197</v>
      </c>
      <c r="AK10302">
        <v>11.533708825565901</v>
      </c>
      <c r="AL10302">
        <v>82.012485662727798</v>
      </c>
      <c r="AM10302">
        <v>67.198452808576505</v>
      </c>
      <c r="AN10302">
        <v>0.99999998218020902</v>
      </c>
    </row>
    <row r="10303" spans="1:40" x14ac:dyDescent="0.25">
      <c r="A10303" t="str">
        <f>"20190303162148853"</f>
        <v>20190303162148853</v>
      </c>
      <c r="B10303" t="str">
        <f>"1551601308842529"</f>
        <v>1551601308842529</v>
      </c>
      <c r="C10303" t="s">
        <v>40</v>
      </c>
      <c r="D10303">
        <v>4.5362839999999904</v>
      </c>
      <c r="E10303">
        <v>0.64126139999999998</v>
      </c>
      <c r="F10303" t="s">
        <v>41</v>
      </c>
      <c r="G10303">
        <v>-168.38130000000001</v>
      </c>
      <c r="H10303" s="1">
        <v>-2.1726359999999999E-6</v>
      </c>
      <c r="I10303">
        <v>133.7277</v>
      </c>
      <c r="J10303">
        <v>-179.69130000000001</v>
      </c>
      <c r="K10303">
        <v>1.115081</v>
      </c>
      <c r="L10303">
        <v>132.38200000000001</v>
      </c>
      <c r="M10303">
        <v>0.65379600000000004</v>
      </c>
      <c r="N10303">
        <v>-1.560579E-2</v>
      </c>
      <c r="O10303">
        <v>0.75651000000000002</v>
      </c>
      <c r="P10303">
        <v>0.88663639999999999</v>
      </c>
      <c r="Q10303">
        <v>0.1303946</v>
      </c>
      <c r="R10303">
        <v>0.44370419999999999</v>
      </c>
      <c r="S10303">
        <v>3.2344210000000002</v>
      </c>
      <c r="T10303">
        <v>-0.31693139999999997</v>
      </c>
      <c r="U10303">
        <v>0.40298460000000003</v>
      </c>
      <c r="V10303">
        <v>0.38299909999999998</v>
      </c>
      <c r="W10303">
        <v>0.13847370000000001</v>
      </c>
      <c r="X10303">
        <v>0.91331090000000004</v>
      </c>
      <c r="Y10303">
        <v>0.66476740000000001</v>
      </c>
      <c r="Z10303">
        <v>-8.9629139999999996E-2</v>
      </c>
      <c r="AA10303">
        <v>0.74165409999999998</v>
      </c>
      <c r="AB10303">
        <v>21</v>
      </c>
      <c r="AC10303">
        <v>11.31</v>
      </c>
      <c r="AD10303">
        <v>-1.115083172636</v>
      </c>
      <c r="AE10303">
        <v>1.3456999999999899</v>
      </c>
      <c r="AF10303">
        <v>7.6043627653017998</v>
      </c>
      <c r="AG10303">
        <v>-1.115083172636</v>
      </c>
      <c r="AH10303">
        <v>8.3336160554347298</v>
      </c>
      <c r="AI10303">
        <v>95.644808152134502</v>
      </c>
      <c r="AJ10303">
        <v>47.619780960590703</v>
      </c>
      <c r="AK10303">
        <v>11.336617666112</v>
      </c>
      <c r="AL10303">
        <v>82.040464841422704</v>
      </c>
      <c r="AM10303">
        <v>67.2491434406747</v>
      </c>
      <c r="AN10303">
        <v>1.00000003812565</v>
      </c>
    </row>
    <row r="10304" spans="1:40" x14ac:dyDescent="0.25">
      <c r="A10304" t="str">
        <f>"20190303162148864"</f>
        <v>20190303162148864</v>
      </c>
      <c r="B10304" t="str">
        <f>"1551601308863026"</f>
        <v>1551601308863026</v>
      </c>
      <c r="C10304" t="s">
        <v>40</v>
      </c>
      <c r="D10304">
        <v>4.4490740000000004</v>
      </c>
      <c r="E10304">
        <v>0.63868570000000002</v>
      </c>
      <c r="F10304" t="s">
        <v>41</v>
      </c>
      <c r="G10304">
        <v>-168.3415</v>
      </c>
      <c r="H10304" s="1">
        <v>-2.176129E-6</v>
      </c>
      <c r="I10304">
        <v>133.77209999999999</v>
      </c>
      <c r="J10304">
        <v>-179.608</v>
      </c>
      <c r="K10304">
        <v>1.115103</v>
      </c>
      <c r="L10304">
        <v>132.46780000000001</v>
      </c>
      <c r="M10304">
        <v>0.65859990000000002</v>
      </c>
      <c r="N10304">
        <v>-1.5603570000000001E-2</v>
      </c>
      <c r="O10304">
        <v>0.75233149999999904</v>
      </c>
      <c r="P10304">
        <v>0.88926550000000004</v>
      </c>
      <c r="Q10304">
        <v>0.12988630000000001</v>
      </c>
      <c r="R10304">
        <v>0.4385619</v>
      </c>
      <c r="S10304">
        <v>3.2321780000000002</v>
      </c>
      <c r="T10304">
        <v>-0.31754959999999999</v>
      </c>
      <c r="U10304">
        <v>0.39585880000000001</v>
      </c>
      <c r="V10304">
        <v>0.38251010000000002</v>
      </c>
      <c r="W10304">
        <v>0.13800009999999999</v>
      </c>
      <c r="X10304">
        <v>0.9135875</v>
      </c>
      <c r="Y10304">
        <v>0.66156150000000002</v>
      </c>
      <c r="Z10304">
        <v>-8.9595679999999997E-2</v>
      </c>
      <c r="AA10304">
        <v>0.74451940000000005</v>
      </c>
      <c r="AB10304">
        <v>21</v>
      </c>
      <c r="AC10304">
        <v>11.266500000000001</v>
      </c>
      <c r="AD10304">
        <v>-1.1151051761290001</v>
      </c>
      <c r="AE10304">
        <v>1.30429999999998</v>
      </c>
      <c r="AF10304">
        <v>7.5451231415531597</v>
      </c>
      <c r="AG10304">
        <v>-1.1151051761290001</v>
      </c>
      <c r="AH10304">
        <v>8.3219600521515193</v>
      </c>
      <c r="AI10304">
        <v>95.669124307070405</v>
      </c>
      <c r="AJ10304">
        <v>47.802907377395599</v>
      </c>
      <c r="AK10304">
        <v>11.288372862580101</v>
      </c>
      <c r="AL10304">
        <v>82.067863359915293</v>
      </c>
      <c r="AM10304">
        <v>67.281418791983</v>
      </c>
      <c r="AN10304">
        <v>1.0000000621791301</v>
      </c>
    </row>
    <row r="10305" spans="1:40" x14ac:dyDescent="0.25">
      <c r="A10305" t="str">
        <f>"20190303162148876"</f>
        <v>20190303162148876</v>
      </c>
      <c r="B10305" t="str">
        <f>"1551601308872785"</f>
        <v>1551601308872785</v>
      </c>
      <c r="C10305" t="s">
        <v>40</v>
      </c>
      <c r="D10305">
        <v>4.4224230000000002</v>
      </c>
      <c r="E10305">
        <v>0.63739409999999996</v>
      </c>
      <c r="F10305" t="s">
        <v>41</v>
      </c>
      <c r="G10305">
        <v>-168.32470000000001</v>
      </c>
      <c r="H10305" s="1">
        <v>-2.1620249999999999E-6</v>
      </c>
      <c r="I10305">
        <v>133.8493</v>
      </c>
      <c r="J10305">
        <v>-179.5341</v>
      </c>
      <c r="K10305">
        <v>1.115124</v>
      </c>
      <c r="L10305">
        <v>132.54239999999999</v>
      </c>
      <c r="M10305">
        <v>0.66278499999999996</v>
      </c>
      <c r="N10305">
        <v>-1.560043E-2</v>
      </c>
      <c r="O10305">
        <v>0.74864730000000002</v>
      </c>
      <c r="P10305">
        <v>0.8915035</v>
      </c>
      <c r="Q10305">
        <v>0.1290878</v>
      </c>
      <c r="R10305">
        <v>0.43423289999999998</v>
      </c>
      <c r="S10305">
        <v>3.2253720000000001</v>
      </c>
      <c r="T10305">
        <v>-0.31875750000000003</v>
      </c>
      <c r="U10305">
        <v>0.39489750000000001</v>
      </c>
      <c r="V10305">
        <v>0.3819225</v>
      </c>
      <c r="W10305">
        <v>0.13723489999999999</v>
      </c>
      <c r="X10305">
        <v>0.91394850000000005</v>
      </c>
      <c r="Y10305">
        <v>0.65737769999999995</v>
      </c>
      <c r="Z10305">
        <v>-8.9809369999999999E-2</v>
      </c>
      <c r="AA10305">
        <v>0.74819040000000003</v>
      </c>
      <c r="AB10305">
        <v>21</v>
      </c>
      <c r="AC10305">
        <v>11.209399999999899</v>
      </c>
      <c r="AD10305">
        <v>-1.1151261620249999</v>
      </c>
      <c r="AE10305">
        <v>1.3069000000000099</v>
      </c>
      <c r="AF10305">
        <v>7.4538310215438699</v>
      </c>
      <c r="AG10305">
        <v>-1.1151261620249999</v>
      </c>
      <c r="AH10305">
        <v>8.3275435752420393</v>
      </c>
      <c r="AI10305">
        <v>95.697931558449994</v>
      </c>
      <c r="AJ10305">
        <v>48.168861413487498</v>
      </c>
      <c r="AK10305">
        <v>11.231700016138101</v>
      </c>
      <c r="AL10305">
        <v>82.112127041595897</v>
      </c>
      <c r="AM10305">
        <v>67.3208347836553</v>
      </c>
      <c r="AN10305">
        <v>1.00000003721825</v>
      </c>
    </row>
    <row r="10306" spans="1:40" x14ac:dyDescent="0.25">
      <c r="A10306" t="str">
        <f>"20190303162148887"</f>
        <v>20190303162148887</v>
      </c>
      <c r="B10306" t="str">
        <f>"1551601308882545"</f>
        <v>1551601308882545</v>
      </c>
      <c r="C10306" t="s">
        <v>40</v>
      </c>
      <c r="D10306">
        <v>4.4738530000000001</v>
      </c>
      <c r="E10306">
        <v>0.63629290000000005</v>
      </c>
      <c r="F10306" t="s">
        <v>41</v>
      </c>
      <c r="G10306">
        <v>-168.3295</v>
      </c>
      <c r="H10306" s="1">
        <v>-2.1493669999999998E-6</v>
      </c>
      <c r="I10306">
        <v>133.88990000000001</v>
      </c>
      <c r="J10306">
        <v>-179.4614</v>
      </c>
      <c r="K10306">
        <v>1.1151439999999999</v>
      </c>
      <c r="L10306">
        <v>132.61539999999999</v>
      </c>
      <c r="M10306">
        <v>0.6668771</v>
      </c>
      <c r="N10306">
        <v>-1.5597400000000001E-2</v>
      </c>
      <c r="O10306">
        <v>0.74500449999999996</v>
      </c>
      <c r="P10306">
        <v>0.89382649999999997</v>
      </c>
      <c r="Q10306">
        <v>0.12886510000000001</v>
      </c>
      <c r="R10306">
        <v>0.42949749999999998</v>
      </c>
      <c r="S10306">
        <v>3.2227480000000002</v>
      </c>
      <c r="T10306">
        <v>-0.3207392</v>
      </c>
      <c r="U10306">
        <v>0.3875885</v>
      </c>
      <c r="V10306">
        <v>0.38177539999999999</v>
      </c>
      <c r="W10306">
        <v>0.13703470000000001</v>
      </c>
      <c r="X10306">
        <v>0.91403999999999996</v>
      </c>
      <c r="Y10306">
        <v>0.65479830000000006</v>
      </c>
      <c r="Z10306">
        <v>-9.0244989999999997E-2</v>
      </c>
      <c r="AA10306">
        <v>0.75039659999999997</v>
      </c>
      <c r="AB10306">
        <v>21</v>
      </c>
      <c r="AC10306">
        <v>11.1319</v>
      </c>
      <c r="AD10306">
        <v>-1.1151461493670001</v>
      </c>
      <c r="AE10306">
        <v>1.27450000000001</v>
      </c>
      <c r="AF10306">
        <v>7.3712712030933796</v>
      </c>
      <c r="AG10306">
        <v>-1.1151461493670001</v>
      </c>
      <c r="AH10306">
        <v>8.2920008522018005</v>
      </c>
      <c r="AI10306">
        <v>95.739601759938097</v>
      </c>
      <c r="AJ10306">
        <v>48.364130198614099</v>
      </c>
      <c r="AK10306">
        <v>11.1506263598471</v>
      </c>
      <c r="AL10306">
        <v>82.123707108081106</v>
      </c>
      <c r="AM10306">
        <v>67.330725998951294</v>
      </c>
      <c r="AN10306">
        <v>1.0000000433246199</v>
      </c>
    </row>
    <row r="10307" spans="1:40" x14ac:dyDescent="0.25">
      <c r="A10307" t="str">
        <f>"20190303162148898"</f>
        <v>20190303162148898</v>
      </c>
      <c r="B10307" t="str">
        <f>"1551601308893281"</f>
        <v>1551601308893281</v>
      </c>
      <c r="C10307" t="s">
        <v>40</v>
      </c>
      <c r="D10307">
        <v>4.4495559999999896</v>
      </c>
      <c r="E10307">
        <v>0.63511269999999997</v>
      </c>
      <c r="F10307" t="s">
        <v>41</v>
      </c>
      <c r="G10307">
        <v>-168.28819999999999</v>
      </c>
      <c r="H10307" s="1">
        <v>-2.1554580000000001E-6</v>
      </c>
      <c r="I10307">
        <v>133.9265</v>
      </c>
      <c r="J10307">
        <v>-179.3827</v>
      </c>
      <c r="K10307">
        <v>1.1151610000000001</v>
      </c>
      <c r="L10307">
        <v>132.69329999999999</v>
      </c>
      <c r="M10307">
        <v>0.67124490000000003</v>
      </c>
      <c r="N10307">
        <v>-1.559337E-2</v>
      </c>
      <c r="O10307">
        <v>0.74107159999999905</v>
      </c>
      <c r="P10307">
        <v>0.8963314</v>
      </c>
      <c r="Q10307">
        <v>0.12829260000000001</v>
      </c>
      <c r="R10307">
        <v>0.42441849999999998</v>
      </c>
      <c r="S10307">
        <v>3.2210999999999999</v>
      </c>
      <c r="T10307">
        <v>-0.32148359999999998</v>
      </c>
      <c r="U10307">
        <v>0.37797550000000002</v>
      </c>
      <c r="V10307">
        <v>0.381633</v>
      </c>
      <c r="W10307">
        <v>0.13648389999999999</v>
      </c>
      <c r="X10307">
        <v>0.91418180000000004</v>
      </c>
      <c r="Y10307">
        <v>0.65251550000000003</v>
      </c>
      <c r="Z10307">
        <v>-9.0284660000000003E-2</v>
      </c>
      <c r="AA10307">
        <v>0.75237759999999998</v>
      </c>
      <c r="AB10307">
        <v>21</v>
      </c>
      <c r="AC10307">
        <v>11.0945</v>
      </c>
      <c r="AD10307">
        <v>-1.1151631554579999</v>
      </c>
      <c r="AE10307">
        <v>1.2332000000000101</v>
      </c>
      <c r="AF10307">
        <v>7.3218669416554398</v>
      </c>
      <c r="AG10307">
        <v>-1.1151631554579999</v>
      </c>
      <c r="AH10307">
        <v>8.2794047361470895</v>
      </c>
      <c r="AI10307">
        <v>95.761457028200198</v>
      </c>
      <c r="AJ10307">
        <v>48.512158616250403</v>
      </c>
      <c r="AK10307">
        <v>11.108639302791801</v>
      </c>
      <c r="AL10307">
        <v>82.155564469206695</v>
      </c>
      <c r="AM10307">
        <v>67.341486584372902</v>
      </c>
      <c r="AN10307">
        <v>0.999999982549724</v>
      </c>
    </row>
    <row r="10308" spans="1:40" x14ac:dyDescent="0.25">
      <c r="A10308" t="str">
        <f>"20190303162148909"</f>
        <v>20190303162148909</v>
      </c>
      <c r="B10308" t="str">
        <f>"1551601308903041"</f>
        <v>1551601308903041</v>
      </c>
      <c r="C10308" t="s">
        <v>40</v>
      </c>
      <c r="D10308">
        <v>4.4402759999999999</v>
      </c>
      <c r="E10308">
        <v>0.63402939999999997</v>
      </c>
      <c r="F10308" t="s">
        <v>41</v>
      </c>
      <c r="G10308">
        <v>-168.32230000000001</v>
      </c>
      <c r="H10308" s="1">
        <v>-2.1339750000000002E-6</v>
      </c>
      <c r="I10308">
        <v>133.9581</v>
      </c>
      <c r="J10308">
        <v>-179.3092</v>
      </c>
      <c r="K10308">
        <v>1.1151719999999901</v>
      </c>
      <c r="L10308">
        <v>132.7654</v>
      </c>
      <c r="M10308">
        <v>0.67528310000000002</v>
      </c>
      <c r="N10308">
        <v>-1.5589469999999999E-2</v>
      </c>
      <c r="O10308">
        <v>0.73739390000000005</v>
      </c>
      <c r="P10308">
        <v>0.89890559999999997</v>
      </c>
      <c r="Q10308">
        <v>0.1278388</v>
      </c>
      <c r="R10308">
        <v>0.4190778</v>
      </c>
      <c r="S10308">
        <v>3.2191160000000001</v>
      </c>
      <c r="T10308">
        <v>-0.32456740000000001</v>
      </c>
      <c r="U10308">
        <v>0.36811830000000001</v>
      </c>
      <c r="V10308">
        <v>0.38211299999999998</v>
      </c>
      <c r="W10308">
        <v>0.13603509999999999</v>
      </c>
      <c r="X10308">
        <v>0.91404819999999998</v>
      </c>
      <c r="Y10308">
        <v>0.65050759999999996</v>
      </c>
      <c r="Z10308">
        <v>-9.1062539999999997E-2</v>
      </c>
      <c r="AA10308">
        <v>0.75402089999999999</v>
      </c>
      <c r="AB10308">
        <v>21</v>
      </c>
      <c r="AC10308">
        <v>10.986899999999901</v>
      </c>
      <c r="AD10308">
        <v>-1.1151741339750001</v>
      </c>
      <c r="AE10308">
        <v>1.1927000000000001</v>
      </c>
      <c r="AF10308">
        <v>7.2235964246522704</v>
      </c>
      <c r="AG10308">
        <v>-1.1151741339750001</v>
      </c>
      <c r="AH10308">
        <v>8.2161068798017691</v>
      </c>
      <c r="AI10308">
        <v>95.820340790490306</v>
      </c>
      <c r="AJ10308">
        <v>48.678083873099098</v>
      </c>
      <c r="AK10308">
        <v>10.996743650538599</v>
      </c>
      <c r="AL10308">
        <v>82.181521064219694</v>
      </c>
      <c r="AM10308">
        <v>67.312892590031893</v>
      </c>
      <c r="AN10308">
        <v>1.0000000025621201</v>
      </c>
    </row>
    <row r="10309" spans="1:40" x14ac:dyDescent="0.25">
      <c r="A10309" t="str">
        <f>"20190303162148919"</f>
        <v>20190303162148919</v>
      </c>
      <c r="B10309" t="str">
        <f>"1551601308912801"</f>
        <v>1551601308912801</v>
      </c>
      <c r="C10309" t="s">
        <v>40</v>
      </c>
      <c r="D10309">
        <v>4.4242339999999896</v>
      </c>
      <c r="E10309">
        <v>0.6330443</v>
      </c>
      <c r="F10309" t="s">
        <v>41</v>
      </c>
      <c r="G10309">
        <v>-168.36619999999999</v>
      </c>
      <c r="H10309" s="1">
        <v>-2.1110030000000001E-6</v>
      </c>
      <c r="I10309">
        <v>133.9811</v>
      </c>
      <c r="J10309">
        <v>-179.233</v>
      </c>
      <c r="K10309">
        <v>1.1151850000000001</v>
      </c>
      <c r="L10309">
        <v>132.83930000000001</v>
      </c>
      <c r="M10309">
        <v>0.67942669999999905</v>
      </c>
      <c r="N10309">
        <v>-1.5585079999999999E-2</v>
      </c>
      <c r="O10309">
        <v>0.73357779999999995</v>
      </c>
      <c r="P10309">
        <v>0.90164630000000001</v>
      </c>
      <c r="Q10309">
        <v>0.12727559999999999</v>
      </c>
      <c r="R10309">
        <v>0.41332160000000001</v>
      </c>
      <c r="S10309">
        <v>3.2173769999999999</v>
      </c>
      <c r="T10309">
        <v>-0.32787379999999999</v>
      </c>
      <c r="U10309">
        <v>0.35743709999999901</v>
      </c>
      <c r="V10309">
        <v>0.38285219999999998</v>
      </c>
      <c r="W10309">
        <v>0.13547149999999999</v>
      </c>
      <c r="X10309">
        <v>0.91382249999999998</v>
      </c>
      <c r="Y10309">
        <v>0.648559</v>
      </c>
      <c r="Z10309">
        <v>-9.189282E-2</v>
      </c>
      <c r="AA10309">
        <v>0.75559709999999902</v>
      </c>
      <c r="AB10309">
        <v>21</v>
      </c>
      <c r="AC10309">
        <v>10.8668</v>
      </c>
      <c r="AD10309">
        <v>-1.1151871110030001</v>
      </c>
      <c r="AE10309">
        <v>1.1417999999999799</v>
      </c>
      <c r="AF10309">
        <v>7.1225557577432204</v>
      </c>
      <c r="AG10309">
        <v>-1.1151871110030001</v>
      </c>
      <c r="AH10309">
        <v>8.1370323165550396</v>
      </c>
      <c r="AI10309">
        <v>95.887791991611707</v>
      </c>
      <c r="AJ10309">
        <v>48.803498377331799</v>
      </c>
      <c r="AK10309">
        <v>10.8713264018412</v>
      </c>
      <c r="AL10309">
        <v>82.214114267893393</v>
      </c>
      <c r="AM10309">
        <v>67.268418901430607</v>
      </c>
      <c r="AN10309">
        <v>0.99999994793166802</v>
      </c>
    </row>
    <row r="10310" spans="1:40" x14ac:dyDescent="0.25">
      <c r="A10310" t="str">
        <f>"20190303162148933"</f>
        <v>20190303162148933</v>
      </c>
      <c r="B10310" t="str">
        <f>"1551601308922561"</f>
        <v>1551601308922561</v>
      </c>
      <c r="C10310" t="s">
        <v>40</v>
      </c>
      <c r="D10310">
        <v>4.4541559999999896</v>
      </c>
      <c r="E10310">
        <v>0.63205469999999997</v>
      </c>
      <c r="F10310" t="s">
        <v>41</v>
      </c>
      <c r="G10310">
        <v>-168.40199999999999</v>
      </c>
      <c r="H10310" s="1">
        <v>-2.0920590000000002E-6</v>
      </c>
      <c r="I10310">
        <v>134.00059999999999</v>
      </c>
      <c r="J10310">
        <v>-179.1499</v>
      </c>
      <c r="K10310">
        <v>1.1151979999999999</v>
      </c>
      <c r="L10310">
        <v>132.9187</v>
      </c>
      <c r="M10310">
        <v>0.68388380000000004</v>
      </c>
      <c r="N10310">
        <v>-1.558009E-2</v>
      </c>
      <c r="O10310">
        <v>0.72942469999999904</v>
      </c>
      <c r="P10310">
        <v>0.90473669999999995</v>
      </c>
      <c r="Q10310">
        <v>0.1260926</v>
      </c>
      <c r="R10310">
        <v>0.4068811</v>
      </c>
      <c r="S10310">
        <v>3.2159270000000002</v>
      </c>
      <c r="T10310">
        <v>-0.33112180000000002</v>
      </c>
      <c r="U10310">
        <v>0.34481810000000002</v>
      </c>
      <c r="V10310">
        <v>0.38389800000000002</v>
      </c>
      <c r="W10310">
        <v>0.13428280000000001</v>
      </c>
      <c r="X10310">
        <v>0.91355920000000002</v>
      </c>
      <c r="Y10310">
        <v>0.64672169999999995</v>
      </c>
      <c r="Z10310">
        <v>-9.2687030000000004E-2</v>
      </c>
      <c r="AA10310">
        <v>0.75707340000000001</v>
      </c>
      <c r="AB10310">
        <v>21</v>
      </c>
      <c r="AC10310">
        <v>10.7478999999999</v>
      </c>
      <c r="AD10310">
        <v>-1.1152000920589999</v>
      </c>
      <c r="AE10310">
        <v>1.0818999999999901</v>
      </c>
      <c r="AF10310">
        <v>7.0258686327903996</v>
      </c>
      <c r="AG10310">
        <v>-1.1152000920589999</v>
      </c>
      <c r="AH10310">
        <v>8.0546196276404594</v>
      </c>
      <c r="AI10310">
        <v>95.956597467973594</v>
      </c>
      <c r="AJ10310">
        <v>48.902520325823701</v>
      </c>
      <c r="AK10310">
        <v>10.7463202370172</v>
      </c>
      <c r="AL10310">
        <v>82.2828500882123</v>
      </c>
      <c r="AM10310">
        <v>67.206765394615303</v>
      </c>
      <c r="AN10310">
        <v>0.99999997834223897</v>
      </c>
    </row>
    <row r="10311" spans="1:40" x14ac:dyDescent="0.25">
      <c r="A10311" t="str">
        <f>"20190303162148945"</f>
        <v>20190303162148945</v>
      </c>
      <c r="B10311" t="str">
        <f>"1551601308943058"</f>
        <v>1551601308943058</v>
      </c>
      <c r="C10311" t="s">
        <v>40</v>
      </c>
      <c r="D10311">
        <v>4.4264460000000003</v>
      </c>
      <c r="E10311">
        <v>0.63104959999999999</v>
      </c>
      <c r="F10311" t="s">
        <v>41</v>
      </c>
      <c r="G10311">
        <v>-168.4752</v>
      </c>
      <c r="H10311" s="1">
        <v>-2.0608580000000001E-6</v>
      </c>
      <c r="I10311">
        <v>134.01230000000001</v>
      </c>
      <c r="J10311">
        <v>-179.05840000000001</v>
      </c>
      <c r="K10311">
        <v>1.115213</v>
      </c>
      <c r="L10311">
        <v>133.00559999999999</v>
      </c>
      <c r="M10311">
        <v>0.688747</v>
      </c>
      <c r="N10311">
        <v>-1.5574569999999999E-2</v>
      </c>
      <c r="O10311">
        <v>0.72483450000000005</v>
      </c>
      <c r="P10311">
        <v>0.90795859999999995</v>
      </c>
      <c r="Q10311">
        <v>0.1248147</v>
      </c>
      <c r="R10311">
        <v>0.40004070000000003</v>
      </c>
      <c r="S10311">
        <v>3.2145839999999999</v>
      </c>
      <c r="T10311">
        <v>-0.33582960000000001</v>
      </c>
      <c r="U10311">
        <v>0.32931519999999997</v>
      </c>
      <c r="V10311">
        <v>0.3847854</v>
      </c>
      <c r="W10311">
        <v>0.13300310000000001</v>
      </c>
      <c r="X10311">
        <v>0.91337310000000005</v>
      </c>
      <c r="Y10311">
        <v>0.64505400000000002</v>
      </c>
      <c r="Z10311">
        <v>-9.3907030000000002E-2</v>
      </c>
      <c r="AA10311">
        <v>0.75834480000000004</v>
      </c>
      <c r="AB10311">
        <v>21</v>
      </c>
      <c r="AC10311">
        <v>10.5832</v>
      </c>
      <c r="AD10311">
        <v>-1.115215060858</v>
      </c>
      <c r="AE10311">
        <v>1.0067000000000199</v>
      </c>
      <c r="AF10311">
        <v>6.9025933770795902</v>
      </c>
      <c r="AG10311">
        <v>-1.115215060858</v>
      </c>
      <c r="AH10311">
        <v>7.9325170912643497</v>
      </c>
      <c r="AI10311">
        <v>96.053979415674405</v>
      </c>
      <c r="AJ10311">
        <v>48.971372480099703</v>
      </c>
      <c r="AK10311">
        <v>10.574229398139</v>
      </c>
      <c r="AL10311">
        <v>82.356835536958499</v>
      </c>
      <c r="AM10311">
        <v>67.155303574189304</v>
      </c>
      <c r="AN10311">
        <v>1.0000000242331899</v>
      </c>
    </row>
    <row r="10312" spans="1:40" x14ac:dyDescent="0.25">
      <c r="A10312" t="str">
        <f>"20190303162148958"</f>
        <v>20190303162148958</v>
      </c>
      <c r="B10312" t="str">
        <f>"1551601308952818"</f>
        <v>1551601308952818</v>
      </c>
      <c r="C10312" t="s">
        <v>40</v>
      </c>
      <c r="D10312">
        <v>4.4431770000000004</v>
      </c>
      <c r="E10312">
        <v>0.60611230000000005</v>
      </c>
      <c r="F10312" t="s">
        <v>41</v>
      </c>
      <c r="G10312">
        <v>-168.5378</v>
      </c>
      <c r="H10312" s="1">
        <v>-2.0326630000000001E-6</v>
      </c>
      <c r="I10312">
        <v>134.02789999999999</v>
      </c>
      <c r="J10312">
        <v>-178.96549999999999</v>
      </c>
      <c r="K10312">
        <v>1.1152280000000001</v>
      </c>
      <c r="L10312">
        <v>133.09200000000001</v>
      </c>
      <c r="M10312">
        <v>0.69360279999999996</v>
      </c>
      <c r="N10312">
        <v>-1.556865E-2</v>
      </c>
      <c r="O10312">
        <v>0.72018939999999998</v>
      </c>
      <c r="P10312">
        <v>0.9114833</v>
      </c>
      <c r="Q10312">
        <v>0.1232047</v>
      </c>
      <c r="R10312">
        <v>0.39245249999999998</v>
      </c>
      <c r="S10312">
        <v>3.2133790000000002</v>
      </c>
      <c r="T10312">
        <v>-0.3406285</v>
      </c>
      <c r="U10312">
        <v>0.31224059999999998</v>
      </c>
      <c r="V10312">
        <v>0.38639449999999997</v>
      </c>
      <c r="W10312">
        <v>0.13137480000000001</v>
      </c>
      <c r="X10312">
        <v>0.91292930000000005</v>
      </c>
      <c r="Y10312">
        <v>0.64372859999999998</v>
      </c>
      <c r="Z10312">
        <v>-9.5158850000000003E-2</v>
      </c>
      <c r="AA10312">
        <v>0.7593143</v>
      </c>
      <c r="AB10312">
        <v>21</v>
      </c>
      <c r="AC10312">
        <v>10.4276999999999</v>
      </c>
      <c r="AD10312">
        <v>-1.115230032663</v>
      </c>
      <c r="AE10312">
        <v>0.93589999999997497</v>
      </c>
      <c r="AF10312">
        <v>6.7846250310115899</v>
      </c>
      <c r="AG10312">
        <v>-1.115230032663</v>
      </c>
      <c r="AH10312">
        <v>7.81894676136009</v>
      </c>
      <c r="AI10312">
        <v>96.148720144550794</v>
      </c>
      <c r="AJ10312">
        <v>49.0513015040695</v>
      </c>
      <c r="AK10312">
        <v>10.412050868784901</v>
      </c>
      <c r="AL10312">
        <v>82.450955859354394</v>
      </c>
      <c r="AM10312">
        <v>67.059639463102997</v>
      </c>
      <c r="AN10312">
        <v>0.99999997725188905</v>
      </c>
    </row>
    <row r="10313" spans="1:40" x14ac:dyDescent="0.25">
      <c r="A10313" t="str">
        <f>"20190303162148974"</f>
        <v>20190303162148974</v>
      </c>
      <c r="B10313" t="str">
        <f>"1551601308962577"</f>
        <v>1551601308962577</v>
      </c>
      <c r="C10313" t="s">
        <v>40</v>
      </c>
      <c r="D10313">
        <v>4.4614729999999998</v>
      </c>
      <c r="E10313">
        <v>0.60522430000000005</v>
      </c>
      <c r="F10313" t="s">
        <v>41</v>
      </c>
      <c r="G10313">
        <v>-168.0778</v>
      </c>
      <c r="H10313" s="1">
        <v>-2.028471E-6</v>
      </c>
      <c r="I10313">
        <v>134.70760000000001</v>
      </c>
      <c r="J10313">
        <v>-178.85640000000001</v>
      </c>
      <c r="K10313">
        <v>1.1152550000000001</v>
      </c>
      <c r="L10313">
        <v>133.19229999999999</v>
      </c>
      <c r="M10313">
        <v>0.69923679999999999</v>
      </c>
      <c r="N10313">
        <v>-1.5561759999999999E-2</v>
      </c>
      <c r="O10313">
        <v>0.71472080000000004</v>
      </c>
      <c r="P10313">
        <v>0.91483780000000003</v>
      </c>
      <c r="Q10313">
        <v>0.1230686</v>
      </c>
      <c r="R10313">
        <v>0.38461139999999999</v>
      </c>
      <c r="S10313">
        <v>3.134506</v>
      </c>
      <c r="T10313">
        <v>-0.32106750000000001</v>
      </c>
      <c r="U10313">
        <v>0.46510309999999999</v>
      </c>
      <c r="V10313">
        <v>0.38706940000000001</v>
      </c>
      <c r="W10313">
        <v>0.13123959999999901</v>
      </c>
      <c r="X10313">
        <v>0.91266290000000005</v>
      </c>
      <c r="Y10313">
        <v>0.59912600000000005</v>
      </c>
      <c r="Z10313">
        <v>-8.8264990000000002E-2</v>
      </c>
      <c r="AA10313">
        <v>0.7957746</v>
      </c>
      <c r="AB10313">
        <v>21</v>
      </c>
      <c r="AC10313">
        <v>10.778600000000001</v>
      </c>
      <c r="AD10313">
        <v>-1.1152570284709999</v>
      </c>
      <c r="AE10313">
        <v>1.5153000000000201</v>
      </c>
      <c r="AF10313">
        <v>6.57590356917615</v>
      </c>
      <c r="AG10313">
        <v>-1.1152570284709999</v>
      </c>
      <c r="AH10313">
        <v>8.5312883241737403</v>
      </c>
      <c r="AI10313">
        <v>95.911209638671096</v>
      </c>
      <c r="AJ10313">
        <v>52.3750211502255</v>
      </c>
      <c r="AK10313">
        <v>10.829089826058301</v>
      </c>
      <c r="AL10313">
        <v>82.4587705405403</v>
      </c>
      <c r="AM10313">
        <v>67.017716888440006</v>
      </c>
      <c r="AN10313">
        <v>1.00000006103046</v>
      </c>
    </row>
    <row r="10314" spans="1:40" x14ac:dyDescent="0.25">
      <c r="A10314" t="str">
        <f>"20190303162148986"</f>
        <v>20190303162148986</v>
      </c>
      <c r="B10314" t="str">
        <f>"1551601308973313"</f>
        <v>1551601308973313</v>
      </c>
      <c r="C10314" t="s">
        <v>40</v>
      </c>
      <c r="D10314">
        <v>4.4363869999999999</v>
      </c>
      <c r="E10314">
        <v>0.60397979999999996</v>
      </c>
      <c r="F10314" t="s">
        <v>41</v>
      </c>
      <c r="G10314">
        <v>-168.01679999999999</v>
      </c>
      <c r="H10314" s="1">
        <v>-2.046446E-6</v>
      </c>
      <c r="I10314">
        <v>134.72799999999901</v>
      </c>
      <c r="J10314">
        <v>-178.77619999999999</v>
      </c>
      <c r="K10314">
        <v>1.115272</v>
      </c>
      <c r="L10314">
        <v>133.2653</v>
      </c>
      <c r="M10314">
        <v>0.70332850000000002</v>
      </c>
      <c r="N10314">
        <v>-1.5556779999999999E-2</v>
      </c>
      <c r="O10314">
        <v>0.71069479999999996</v>
      </c>
      <c r="P10314">
        <v>0.91741669999999997</v>
      </c>
      <c r="Q10314">
        <v>0.1230472</v>
      </c>
      <c r="R10314">
        <v>0.37842569999999998</v>
      </c>
      <c r="S10314">
        <v>3.1359249999999999</v>
      </c>
      <c r="T10314">
        <v>-0.32264979999999999</v>
      </c>
      <c r="U10314">
        <v>0.44425959999999998</v>
      </c>
      <c r="V10314">
        <v>0.3879899</v>
      </c>
      <c r="W10314">
        <v>0.131209299999999</v>
      </c>
      <c r="X10314">
        <v>0.91227619999999998</v>
      </c>
      <c r="Y10314">
        <v>0.59972029999999998</v>
      </c>
      <c r="Z10314">
        <v>-8.8634110000000002E-2</v>
      </c>
      <c r="AA10314">
        <v>0.79528589999999999</v>
      </c>
      <c r="AB10314">
        <v>21</v>
      </c>
      <c r="AC10314">
        <v>10.759399999999999</v>
      </c>
      <c r="AD10314">
        <v>-1.115274046446</v>
      </c>
      <c r="AE10314">
        <v>1.4626999999999799</v>
      </c>
      <c r="AF10314">
        <v>6.5495963838564304</v>
      </c>
      <c r="AG10314">
        <v>-1.115274046446</v>
      </c>
      <c r="AH10314">
        <v>8.5181050528953293</v>
      </c>
      <c r="AI10314">
        <v>95.925771187157196</v>
      </c>
      <c r="AJ10314">
        <v>52.443208913475203</v>
      </c>
      <c r="AK10314">
        <v>10.802738665832001</v>
      </c>
      <c r="AL10314">
        <v>82.460520934114001</v>
      </c>
      <c r="AM10314">
        <v>66.960012664484495</v>
      </c>
      <c r="AN10314">
        <v>0.99999995399746899</v>
      </c>
    </row>
    <row r="10315" spans="1:40" x14ac:dyDescent="0.25">
      <c r="A10315" t="str">
        <f>"20190303162148998"</f>
        <v>20190303162148998</v>
      </c>
      <c r="B10315" t="str">
        <f>"1551601308983074"</f>
        <v>1551601308983074</v>
      </c>
      <c r="C10315" t="s">
        <v>40</v>
      </c>
      <c r="D10315">
        <v>4.4533750000000003</v>
      </c>
      <c r="E10315">
        <v>0.60397979999999996</v>
      </c>
      <c r="F10315" t="s">
        <v>41</v>
      </c>
      <c r="G10315">
        <v>-168.1097</v>
      </c>
      <c r="H10315" s="1">
        <v>-2.0083150000000001E-6</v>
      </c>
      <c r="I10315">
        <v>134.7373</v>
      </c>
      <c r="J10315">
        <v>-178.69030000000001</v>
      </c>
      <c r="K10315">
        <v>1.1152869999999999</v>
      </c>
      <c r="L10315">
        <v>133.34209999999999</v>
      </c>
      <c r="M10315">
        <v>0.70765129999999998</v>
      </c>
      <c r="N10315">
        <v>-1.555133E-2</v>
      </c>
      <c r="O10315">
        <v>0.70639069999999904</v>
      </c>
      <c r="P10315">
        <v>0.91987459999999999</v>
      </c>
      <c r="Q10315">
        <v>0.12333570000000001</v>
      </c>
      <c r="R10315">
        <v>0.37231599999999998</v>
      </c>
      <c r="S10315">
        <v>3.1355439999999999</v>
      </c>
      <c r="T10315">
        <v>-0.32784809999999998</v>
      </c>
      <c r="U10315">
        <v>0.43269350000000001</v>
      </c>
      <c r="V10315">
        <v>0.38846380000000003</v>
      </c>
      <c r="W10315">
        <v>0.13149820000000001</v>
      </c>
      <c r="X10315">
        <v>0.91203299999999998</v>
      </c>
      <c r="Y10315">
        <v>0.5975471</v>
      </c>
      <c r="Z10315">
        <v>-8.990455E-2</v>
      </c>
      <c r="AA10315">
        <v>0.79677769999999903</v>
      </c>
      <c r="AB10315">
        <v>21</v>
      </c>
      <c r="AC10315">
        <v>10.5806</v>
      </c>
      <c r="AD10315">
        <v>-1.115289008315</v>
      </c>
      <c r="AE10315">
        <v>1.39520000000001</v>
      </c>
      <c r="AF10315">
        <v>6.4174212923123903</v>
      </c>
      <c r="AG10315">
        <v>-1.115289008315</v>
      </c>
      <c r="AH10315">
        <v>8.3824108801716992</v>
      </c>
      <c r="AI10315">
        <v>96.030672558081093</v>
      </c>
      <c r="AJ10315">
        <v>52.562988568352701</v>
      </c>
      <c r="AK10315">
        <v>10.615647779533401</v>
      </c>
      <c r="AL10315">
        <v>82.443824214070702</v>
      </c>
      <c r="AM10315">
        <v>66.929305921400299</v>
      </c>
      <c r="AN10315">
        <v>1.0000000468013299</v>
      </c>
    </row>
    <row r="10316" spans="1:40" x14ac:dyDescent="0.25">
      <c r="A10316" t="str">
        <f>"20190303162149010"</f>
        <v>20190303162149010</v>
      </c>
      <c r="B10316" t="str">
        <f>"1551601309003569"</f>
        <v>1551601309003569</v>
      </c>
      <c r="C10316" t="s">
        <v>40</v>
      </c>
      <c r="D10316">
        <v>4.349227</v>
      </c>
      <c r="E10316">
        <v>0.59839929999999997</v>
      </c>
      <c r="F10316" t="s">
        <v>41</v>
      </c>
      <c r="G10316">
        <v>-167.9873</v>
      </c>
      <c r="H10316" s="1">
        <v>-2.0527529999999998E-6</v>
      </c>
      <c r="I10316">
        <v>134.74690000000001</v>
      </c>
      <c r="J10316">
        <v>-178.60130000000001</v>
      </c>
      <c r="K10316">
        <v>1.115302</v>
      </c>
      <c r="L10316">
        <v>133.42089999999999</v>
      </c>
      <c r="M10316">
        <v>0.71208629999999995</v>
      </c>
      <c r="N10316">
        <v>-1.554582E-2</v>
      </c>
      <c r="O10316">
        <v>0.70191969999999904</v>
      </c>
      <c r="P10316">
        <v>0.92217300000000002</v>
      </c>
      <c r="Q10316">
        <v>0.1235299</v>
      </c>
      <c r="R10316">
        <v>0.36652050000000003</v>
      </c>
      <c r="S10316">
        <v>3.1384280000000002</v>
      </c>
      <c r="T10316">
        <v>-0.3270342</v>
      </c>
      <c r="U10316">
        <v>0.41194150000000002</v>
      </c>
      <c r="V10316">
        <v>0.38843759999999999</v>
      </c>
      <c r="W10316">
        <v>0.1317043</v>
      </c>
      <c r="X10316">
        <v>0.9120144</v>
      </c>
      <c r="Y10316">
        <v>0.59782400000000002</v>
      </c>
      <c r="Z10316">
        <v>-8.9465929999999999E-2</v>
      </c>
      <c r="AA10316">
        <v>0.79661919999999897</v>
      </c>
      <c r="AB10316">
        <v>21</v>
      </c>
      <c r="AC10316">
        <v>10.614000000000001</v>
      </c>
      <c r="AD10316">
        <v>-1.115304052753</v>
      </c>
      <c r="AE10316">
        <v>1.3260000000000201</v>
      </c>
      <c r="AF10316">
        <v>6.4367567803899899</v>
      </c>
      <c r="AG10316">
        <v>-1.115304052753</v>
      </c>
      <c r="AH10316">
        <v>8.3985485758069007</v>
      </c>
      <c r="AI10316">
        <v>96.016853421646104</v>
      </c>
      <c r="AJ10316">
        <v>52.532975377961499</v>
      </c>
      <c r="AK10316">
        <v>10.640082666980099</v>
      </c>
      <c r="AL10316">
        <v>82.431911813066606</v>
      </c>
      <c r="AM10316">
        <v>66.930277865690897</v>
      </c>
      <c r="AN10316">
        <v>1.0000000287698001</v>
      </c>
    </row>
    <row r="10317" spans="1:40" x14ac:dyDescent="0.25">
      <c r="A10317" t="str">
        <f>"20190303162149022"</f>
        <v>20190303162149022</v>
      </c>
      <c r="B10317" t="str">
        <f>"1551601309013329"</f>
        <v>1551601309013329</v>
      </c>
      <c r="C10317" t="s">
        <v>40</v>
      </c>
      <c r="D10317">
        <v>4.2477960000000001</v>
      </c>
      <c r="E10317">
        <v>0.59750080000000005</v>
      </c>
      <c r="F10317" t="s">
        <v>41</v>
      </c>
      <c r="G10317">
        <v>-166.46129999999999</v>
      </c>
      <c r="H10317" s="1">
        <v>-2.5466439999999998E-6</v>
      </c>
      <c r="I10317">
        <v>135.09299999999999</v>
      </c>
      <c r="J10317">
        <v>-178.51490000000001</v>
      </c>
      <c r="K10317">
        <v>1.115321</v>
      </c>
      <c r="L10317">
        <v>133.4966</v>
      </c>
      <c r="M10317">
        <v>0.7163446</v>
      </c>
      <c r="N10317">
        <v>-1.554052E-2</v>
      </c>
      <c r="O10317">
        <v>0.69757360000000002</v>
      </c>
      <c r="P10317">
        <v>0.9243382</v>
      </c>
      <c r="Q10317">
        <v>0.12345399999999999</v>
      </c>
      <c r="R10317">
        <v>0.36105140000000002</v>
      </c>
      <c r="S10317">
        <v>3.1207579999999999</v>
      </c>
      <c r="T10317">
        <v>-0.28670630000000003</v>
      </c>
      <c r="U10317">
        <v>0.4298553</v>
      </c>
      <c r="V10317">
        <v>0.38829019999999997</v>
      </c>
      <c r="W10317">
        <v>0.13164229999999999</v>
      </c>
      <c r="X10317">
        <v>0.91208610000000001</v>
      </c>
      <c r="Y10317">
        <v>0.58917889999999995</v>
      </c>
      <c r="Z10317">
        <v>-7.7367599999999995E-2</v>
      </c>
      <c r="AA10317">
        <v>0.80429010000000001</v>
      </c>
      <c r="AB10317">
        <v>21</v>
      </c>
      <c r="AC10317">
        <v>12.053599999999999</v>
      </c>
      <c r="AD10317">
        <v>-1.1153235466439999</v>
      </c>
      <c r="AE10317">
        <v>1.5963999999999801</v>
      </c>
      <c r="AF10317">
        <v>7.2049535369844397</v>
      </c>
      <c r="AG10317">
        <v>-1.1153235466439999</v>
      </c>
      <c r="AH10317">
        <v>9.6679661411710001</v>
      </c>
      <c r="AI10317">
        <v>95.284886732236103</v>
      </c>
      <c r="AJ10317">
        <v>53.305053294926203</v>
      </c>
      <c r="AK10317">
        <v>12.108875727772199</v>
      </c>
      <c r="AL10317">
        <v>82.435495241634797</v>
      </c>
      <c r="AM10317">
        <v>66.939739986109899</v>
      </c>
      <c r="AN10317">
        <v>1.00000001418927</v>
      </c>
    </row>
    <row r="10318" spans="1:40" x14ac:dyDescent="0.25">
      <c r="A10318" t="str">
        <f>"20190303162149033"</f>
        <v>20190303162149033</v>
      </c>
      <c r="B10318" t="str">
        <f>"1551601309023089"</f>
        <v>1551601309023089</v>
      </c>
      <c r="C10318" t="s">
        <v>40</v>
      </c>
      <c r="D10318">
        <v>4.3873790000000001</v>
      </c>
      <c r="E10318">
        <v>0.59594519999999995</v>
      </c>
      <c r="F10318" t="s">
        <v>41</v>
      </c>
      <c r="G10318">
        <v>-165.2105</v>
      </c>
      <c r="H10318" s="1">
        <v>-3.0156669999999999E-6</v>
      </c>
      <c r="I10318">
        <v>135.2687</v>
      </c>
      <c r="J10318">
        <v>-178.43680000000001</v>
      </c>
      <c r="K10318">
        <v>1.115337</v>
      </c>
      <c r="L10318">
        <v>133.56379999999999</v>
      </c>
      <c r="M10318">
        <v>0.72014339999999999</v>
      </c>
      <c r="N10318">
        <v>-1.5535739999999999E-2</v>
      </c>
      <c r="O10318">
        <v>0.69365129999999997</v>
      </c>
      <c r="P10318">
        <v>0.92615789999999998</v>
      </c>
      <c r="Q10318">
        <v>0.1235832</v>
      </c>
      <c r="R10318">
        <v>0.35631269999999998</v>
      </c>
      <c r="S10318">
        <v>3.1182249999999998</v>
      </c>
      <c r="T10318">
        <v>-0.26140609999999997</v>
      </c>
      <c r="U10318">
        <v>0.41535949999999999</v>
      </c>
      <c r="V10318">
        <v>0.38796510000000001</v>
      </c>
      <c r="W10318">
        <v>0.1317884</v>
      </c>
      <c r="X10318">
        <v>0.91220330000000005</v>
      </c>
      <c r="Y10318">
        <v>0.58909699999999998</v>
      </c>
      <c r="Z10318">
        <v>-6.9895299999999994E-2</v>
      </c>
      <c r="AA10318">
        <v>0.80503380000000002</v>
      </c>
      <c r="AB10318">
        <v>21</v>
      </c>
      <c r="AC10318">
        <v>13.2263</v>
      </c>
      <c r="AD10318">
        <v>-1.1153400156669999</v>
      </c>
      <c r="AE10318">
        <v>1.7049000000000001</v>
      </c>
      <c r="AF10318">
        <v>7.8924202512043902</v>
      </c>
      <c r="AG10318">
        <v>-1.1153400156669999</v>
      </c>
      <c r="AH10318">
        <v>10.634345057816899</v>
      </c>
      <c r="AI10318">
        <v>94.814117662972805</v>
      </c>
      <c r="AJ10318">
        <v>53.418552541282601</v>
      </c>
      <c r="AK10318">
        <v>13.289980270146501</v>
      </c>
      <c r="AL10318">
        <v>82.427050502592806</v>
      </c>
      <c r="AM10318">
        <v>66.959682663157395</v>
      </c>
      <c r="AN10318">
        <v>0.99999998086172903</v>
      </c>
    </row>
    <row r="10319" spans="1:40" x14ac:dyDescent="0.25">
      <c r="A10319" t="str">
        <f>"20190303162149045"</f>
        <v>20190303162149045</v>
      </c>
      <c r="B10319" t="str">
        <f>"1551601309032850"</f>
        <v>1551601309032850</v>
      </c>
      <c r="C10319" t="s">
        <v>40</v>
      </c>
      <c r="D10319">
        <v>4.2478089999999904</v>
      </c>
      <c r="E10319">
        <v>0.59539030000000004</v>
      </c>
      <c r="F10319" t="s">
        <v>41</v>
      </c>
      <c r="G10319">
        <v>-164.6497</v>
      </c>
      <c r="H10319" s="1">
        <v>-3.2612249999999998E-6</v>
      </c>
      <c r="I10319">
        <v>135.37899999999999</v>
      </c>
      <c r="J10319">
        <v>-178.3535</v>
      </c>
      <c r="K10319">
        <v>1.1153569999999999</v>
      </c>
      <c r="L10319">
        <v>133.6353</v>
      </c>
      <c r="M10319">
        <v>0.72416389999999997</v>
      </c>
      <c r="N10319">
        <v>-1.5530789999999999E-2</v>
      </c>
      <c r="O10319">
        <v>0.68945310000000004</v>
      </c>
      <c r="P10319">
        <v>0.92794620000000005</v>
      </c>
      <c r="Q10319">
        <v>0.1235512</v>
      </c>
      <c r="R10319">
        <v>0.35164060000000003</v>
      </c>
      <c r="S10319">
        <v>3.1150359999999999</v>
      </c>
      <c r="T10319">
        <v>-0.25199850000000001</v>
      </c>
      <c r="U10319">
        <v>0.41011049999999899</v>
      </c>
      <c r="V10319">
        <v>0.38725500000000002</v>
      </c>
      <c r="W10319">
        <v>0.13178219999999999</v>
      </c>
      <c r="X10319">
        <v>0.91250589999999998</v>
      </c>
      <c r="Y10319">
        <v>0.58589419999999903</v>
      </c>
      <c r="Z10319">
        <v>-6.6927819999999999E-2</v>
      </c>
      <c r="AA10319">
        <v>0.80761910000000003</v>
      </c>
      <c r="AB10319">
        <v>21</v>
      </c>
      <c r="AC10319">
        <v>13.703799999999999</v>
      </c>
      <c r="AD10319">
        <v>-1.115360261225</v>
      </c>
      <c r="AE10319">
        <v>1.74369999999998</v>
      </c>
      <c r="AF10319">
        <v>8.1333691220190403</v>
      </c>
      <c r="AG10319">
        <v>-1.115360261225</v>
      </c>
      <c r="AH10319">
        <v>11.0552699244978</v>
      </c>
      <c r="AI10319">
        <v>94.645985131160202</v>
      </c>
      <c r="AJ10319">
        <v>53.658058873594598</v>
      </c>
      <c r="AK10319">
        <v>13.770065900018</v>
      </c>
      <c r="AL10319">
        <v>82.427409010751603</v>
      </c>
      <c r="AM10319">
        <v>67.004297595824298</v>
      </c>
      <c r="AN10319">
        <v>1.00000000039832</v>
      </c>
    </row>
    <row r="10320" spans="1:40" x14ac:dyDescent="0.25">
      <c r="A10320" t="str">
        <f>"20190303162149059"</f>
        <v>20190303162149059</v>
      </c>
      <c r="B10320" t="str">
        <f>"1551601309053345"</f>
        <v>1551601309053345</v>
      </c>
      <c r="C10320" t="s">
        <v>40</v>
      </c>
      <c r="D10320">
        <v>4.2306210000000002</v>
      </c>
      <c r="E10320">
        <v>0.59438219999999997</v>
      </c>
      <c r="F10320" t="s">
        <v>41</v>
      </c>
      <c r="G10320">
        <v>-163.6395</v>
      </c>
      <c r="H10320" s="1">
        <v>-3.7152550000000001E-6</v>
      </c>
      <c r="I10320">
        <v>135.51159999999999</v>
      </c>
      <c r="J10320">
        <v>-178.25129999999999</v>
      </c>
      <c r="K10320">
        <v>1.115378</v>
      </c>
      <c r="L10320">
        <v>133.72120000000001</v>
      </c>
      <c r="M10320">
        <v>0.7290257</v>
      </c>
      <c r="N10320">
        <v>-1.5524629999999999E-2</v>
      </c>
      <c r="O10320">
        <v>0.68431030000000004</v>
      </c>
      <c r="P10320">
        <v>0.92960030000000005</v>
      </c>
      <c r="Q10320">
        <v>0.1239287</v>
      </c>
      <c r="R10320">
        <v>0.34710980000000002</v>
      </c>
      <c r="S10320">
        <v>3.1139070000000002</v>
      </c>
      <c r="T10320">
        <v>-0.2360419</v>
      </c>
      <c r="U10320">
        <v>0.39707949999999997</v>
      </c>
      <c r="V10320">
        <v>0.38520799999999999</v>
      </c>
      <c r="W10320">
        <v>0.1322152</v>
      </c>
      <c r="X10320">
        <v>0.91330929999999999</v>
      </c>
      <c r="Y10320">
        <v>0.58387239999999996</v>
      </c>
      <c r="Z10320">
        <v>-6.2065450000000001E-2</v>
      </c>
      <c r="AA10320">
        <v>0.80946949999999995</v>
      </c>
      <c r="AB10320">
        <v>21</v>
      </c>
      <c r="AC10320">
        <v>14.611799999999899</v>
      </c>
      <c r="AD10320">
        <v>-1.1153817152550001</v>
      </c>
      <c r="AE10320">
        <v>1.79039999999997</v>
      </c>
      <c r="AF10320">
        <v>8.6451754875848792</v>
      </c>
      <c r="AG10320">
        <v>-1.1153817152550001</v>
      </c>
      <c r="AH10320">
        <v>11.8111930964359</v>
      </c>
      <c r="AI10320">
        <v>94.357666283417203</v>
      </c>
      <c r="AJ10320">
        <v>53.797823864836502</v>
      </c>
      <c r="AK10320">
        <v>14.6794897030911</v>
      </c>
      <c r="AL10320">
        <v>82.402380706710204</v>
      </c>
      <c r="AM10320">
        <v>67.131360267961298</v>
      </c>
      <c r="AN10320">
        <v>0.99999996992076401</v>
      </c>
    </row>
    <row r="10321" spans="1:40" x14ac:dyDescent="0.25">
      <c r="A10321" t="str">
        <f>"20190303162149071"</f>
        <v>20190303162149071</v>
      </c>
      <c r="B10321" t="str">
        <f>"1551601309063105"</f>
        <v>1551601309063105</v>
      </c>
      <c r="C10321" t="s">
        <v>40</v>
      </c>
      <c r="D10321">
        <v>4.2329480000000004</v>
      </c>
      <c r="E10321">
        <v>0.59394049999999998</v>
      </c>
      <c r="F10321" t="s">
        <v>41</v>
      </c>
      <c r="G10321">
        <v>-161.6602</v>
      </c>
      <c r="H10321" s="1">
        <v>-4.6023059999999997E-6</v>
      </c>
      <c r="I10321">
        <v>135.78540000000001</v>
      </c>
      <c r="J10321">
        <v>-178.15969999999999</v>
      </c>
      <c r="K10321">
        <v>1.1153979999999999</v>
      </c>
      <c r="L10321">
        <v>133.79740000000001</v>
      </c>
      <c r="M10321">
        <v>0.7333345</v>
      </c>
      <c r="N10321">
        <v>-1.551923E-2</v>
      </c>
      <c r="O10321">
        <v>0.67969080000000004</v>
      </c>
      <c r="P10321">
        <v>0.93134159999999999</v>
      </c>
      <c r="Q10321">
        <v>0.12385119999999999</v>
      </c>
      <c r="R10321">
        <v>0.34243820000000003</v>
      </c>
      <c r="S10321">
        <v>3.1105649999999998</v>
      </c>
      <c r="T10321">
        <v>-0.20911560000000001</v>
      </c>
      <c r="U10321">
        <v>0.38700869999999998</v>
      </c>
      <c r="V10321">
        <v>0.38402120000000001</v>
      </c>
      <c r="W10321">
        <v>0.1321746</v>
      </c>
      <c r="X10321">
        <v>0.91381489999999999</v>
      </c>
      <c r="Y10321">
        <v>0.58185350000000002</v>
      </c>
      <c r="Z10321">
        <v>-5.4093990000000002E-2</v>
      </c>
      <c r="AA10321">
        <v>0.81149269999999996</v>
      </c>
      <c r="AB10321">
        <v>21</v>
      </c>
      <c r="AC10321">
        <v>16.499499999999902</v>
      </c>
      <c r="AD10321">
        <v>-1.115402602306</v>
      </c>
      <c r="AE10321">
        <v>1.98799999999999</v>
      </c>
      <c r="AF10321">
        <v>9.7141061440218994</v>
      </c>
      <c r="AG10321">
        <v>-1.115402602306</v>
      </c>
      <c r="AH10321">
        <v>13.392171324512001</v>
      </c>
      <c r="AI10321">
        <v>93.856994144486194</v>
      </c>
      <c r="AJ10321">
        <v>54.044480446666697</v>
      </c>
      <c r="AK10321">
        <v>16.581864609495401</v>
      </c>
      <c r="AL10321">
        <v>82.404728040878695</v>
      </c>
      <c r="AM10321">
        <v>67.205926138182406</v>
      </c>
      <c r="AN10321">
        <v>1.0000000391982999</v>
      </c>
    </row>
    <row r="10322" spans="1:40" x14ac:dyDescent="0.25">
      <c r="A10322" t="str">
        <f>"20190303162149084"</f>
        <v>20190303162149084</v>
      </c>
      <c r="B10322" t="str">
        <f>"1551601309072865"</f>
        <v>1551601309072865</v>
      </c>
      <c r="C10322" t="s">
        <v>40</v>
      </c>
      <c r="D10322">
        <v>4.2872649999999997</v>
      </c>
      <c r="E10322">
        <v>0.59353990000000001</v>
      </c>
      <c r="F10322" t="s">
        <v>41</v>
      </c>
      <c r="G10322">
        <v>-160.71449999999999</v>
      </c>
      <c r="H10322" s="1">
        <v>-5.0306889999999999E-6</v>
      </c>
      <c r="I10322">
        <v>135.8904</v>
      </c>
      <c r="J10322">
        <v>-178.0652</v>
      </c>
      <c r="K10322">
        <v>1.1154120000000001</v>
      </c>
      <c r="L10322">
        <v>133.87520000000001</v>
      </c>
      <c r="M10322">
        <v>0.73773310000000003</v>
      </c>
      <c r="N10322">
        <v>-1.551378E-2</v>
      </c>
      <c r="O10322">
        <v>0.67491420000000002</v>
      </c>
      <c r="P10322">
        <v>0.93301829999999997</v>
      </c>
      <c r="Q10322">
        <v>0.12413680000000001</v>
      </c>
      <c r="R10322">
        <v>0.3377386</v>
      </c>
      <c r="S10322">
        <v>3.1104129999999999</v>
      </c>
      <c r="T10322">
        <v>-0.19887260000000001</v>
      </c>
      <c r="U10322">
        <v>0.37318420000000002</v>
      </c>
      <c r="V10322">
        <v>0.3826637</v>
      </c>
      <c r="W10322">
        <v>0.13249929999999999</v>
      </c>
      <c r="X10322">
        <v>0.91433719999999996</v>
      </c>
      <c r="Y10322">
        <v>0.58034839999999999</v>
      </c>
      <c r="Z10322">
        <v>-5.0971849999999999E-2</v>
      </c>
      <c r="AA10322">
        <v>0.81277159999999904</v>
      </c>
      <c r="AB10322">
        <v>21</v>
      </c>
      <c r="AC10322">
        <v>17.3507</v>
      </c>
      <c r="AD10322">
        <v>-1.1154170306890001</v>
      </c>
      <c r="AE10322">
        <v>2.0151999999999899</v>
      </c>
      <c r="AF10322">
        <v>10.1832598266499</v>
      </c>
      <c r="AG10322">
        <v>-1.1154170306890001</v>
      </c>
      <c r="AH10322">
        <v>14.104462707898399</v>
      </c>
      <c r="AI10322">
        <v>93.668651824491903</v>
      </c>
      <c r="AJ10322">
        <v>54.171148919126303</v>
      </c>
      <c r="AK10322">
        <v>17.432119897703501</v>
      </c>
      <c r="AL10322">
        <v>82.385959057784106</v>
      </c>
      <c r="AM10322">
        <v>67.2899656399874</v>
      </c>
      <c r="AN10322">
        <v>1.0000000435509999</v>
      </c>
    </row>
    <row r="10323" spans="1:40" x14ac:dyDescent="0.25">
      <c r="A10323" t="str">
        <f>"20190303162149095"</f>
        <v>20190303162149095</v>
      </c>
      <c r="B10323" t="str">
        <f>"1551601309082625"</f>
        <v>1551601309082625</v>
      </c>
      <c r="C10323" t="s">
        <v>40</v>
      </c>
      <c r="D10323">
        <v>4.3993089999999997</v>
      </c>
      <c r="E10323">
        <v>0.59243259999999998</v>
      </c>
      <c r="F10323" t="s">
        <v>41</v>
      </c>
      <c r="G10323">
        <v>-159.7456</v>
      </c>
      <c r="H10323" s="1">
        <v>-1.0366609999999999E-6</v>
      </c>
      <c r="I10323">
        <v>135.99299999999999</v>
      </c>
      <c r="J10323">
        <v>-177.98820000000001</v>
      </c>
      <c r="K10323">
        <v>1.115424</v>
      </c>
      <c r="L10323">
        <v>133.9374</v>
      </c>
      <c r="M10323">
        <v>0.74126429999999999</v>
      </c>
      <c r="N10323">
        <v>-1.5509210000000001E-2</v>
      </c>
      <c r="O10323">
        <v>0.67103409999999997</v>
      </c>
      <c r="P10323">
        <v>0.93422899999999998</v>
      </c>
      <c r="Q10323">
        <v>0.124469</v>
      </c>
      <c r="R10323">
        <v>0.33425149999999998</v>
      </c>
      <c r="S10323">
        <v>3.1104129999999999</v>
      </c>
      <c r="T10323">
        <v>-0.18938169999999999</v>
      </c>
      <c r="U10323">
        <v>0.35957339999999999</v>
      </c>
      <c r="V10323">
        <v>0.381249</v>
      </c>
      <c r="W10323">
        <v>0.13286979999999901</v>
      </c>
      <c r="X10323">
        <v>0.91487430000000003</v>
      </c>
      <c r="Y10323">
        <v>0.57978079999999999</v>
      </c>
      <c r="Z10323">
        <v>-4.8139050000000003E-2</v>
      </c>
      <c r="AA10323">
        <v>0.81334910000000005</v>
      </c>
      <c r="AB10323">
        <v>21</v>
      </c>
      <c r="AC10323">
        <v>18.242599999999999</v>
      </c>
      <c r="AD10323">
        <v>-1.1154250366609999</v>
      </c>
      <c r="AE10323">
        <v>2.0555999999999899</v>
      </c>
      <c r="AF10323">
        <v>10.6795269388228</v>
      </c>
      <c r="AG10323">
        <v>-1.1154250366609999</v>
      </c>
      <c r="AH10323">
        <v>14.8489399058326</v>
      </c>
      <c r="AI10323">
        <v>93.489790268333195</v>
      </c>
      <c r="AJ10323">
        <v>54.275880947986998</v>
      </c>
      <c r="AK10323">
        <v>18.3245050404227</v>
      </c>
      <c r="AL10323">
        <v>82.364541918788504</v>
      </c>
      <c r="AM10323">
        <v>67.377393602976994</v>
      </c>
      <c r="AN10323">
        <v>1.00000008427676</v>
      </c>
    </row>
    <row r="10324" spans="1:40" x14ac:dyDescent="0.25">
      <c r="A10324" t="str">
        <f>"20190303162149108"</f>
        <v>20190303162149108</v>
      </c>
      <c r="B10324" t="str">
        <f>"1551601309103121"</f>
        <v>1551601309103121</v>
      </c>
      <c r="C10324" t="s">
        <v>40</v>
      </c>
      <c r="D10324">
        <v>4.4267960000000004</v>
      </c>
      <c r="E10324">
        <v>0.59092069999999997</v>
      </c>
      <c r="F10324" t="s">
        <v>41</v>
      </c>
      <c r="G10324">
        <v>-159.50649999999999</v>
      </c>
      <c r="H10324" s="1">
        <v>-1.101862E-6</v>
      </c>
      <c r="I10324">
        <v>136.0538</v>
      </c>
      <c r="J10324">
        <v>-177.90010000000001</v>
      </c>
      <c r="K10324">
        <v>1.115443</v>
      </c>
      <c r="L10324">
        <v>134.00810000000001</v>
      </c>
      <c r="M10324">
        <v>0.74527219999999905</v>
      </c>
      <c r="N10324">
        <v>-1.550411E-2</v>
      </c>
      <c r="O10324">
        <v>0.66658009999999901</v>
      </c>
      <c r="P10324">
        <v>0.93553450000000005</v>
      </c>
      <c r="Q10324">
        <v>0.12456540000000001</v>
      </c>
      <c r="R10324">
        <v>0.33054329999999998</v>
      </c>
      <c r="S10324">
        <v>3.1088260000000001</v>
      </c>
      <c r="T10324">
        <v>-0.18762609999999999</v>
      </c>
      <c r="U10324">
        <v>0.356018099999999</v>
      </c>
      <c r="V10324">
        <v>0.37937910000000002</v>
      </c>
      <c r="W10324">
        <v>0.13301579999999999</v>
      </c>
      <c r="X10324">
        <v>0.91563000000000005</v>
      </c>
      <c r="Y10324">
        <v>0.57580919999999902</v>
      </c>
      <c r="Z10324">
        <v>-4.7415949999999998E-2</v>
      </c>
      <c r="AA10324">
        <v>0.81620800000000004</v>
      </c>
      <c r="AB10324">
        <v>21</v>
      </c>
      <c r="AC10324">
        <v>18.393599999999999</v>
      </c>
      <c r="AD10324">
        <v>-1.1154441018619901</v>
      </c>
      <c r="AE10324">
        <v>2.0456999999999801</v>
      </c>
      <c r="AF10324">
        <v>10.6986303329296</v>
      </c>
      <c r="AG10324">
        <v>-1.1154441018619901</v>
      </c>
      <c r="AH10324">
        <v>15.019113867577399</v>
      </c>
      <c r="AI10324">
        <v>93.4616256560751</v>
      </c>
      <c r="AJ10324">
        <v>54.536424522921997</v>
      </c>
      <c r="AK10324">
        <v>18.473729669785602</v>
      </c>
      <c r="AL10324">
        <v>82.356101176515693</v>
      </c>
      <c r="AM10324">
        <v>67.493978889740703</v>
      </c>
      <c r="AN10324">
        <v>1.0000000007332199</v>
      </c>
    </row>
    <row r="10325" spans="1:40" x14ac:dyDescent="0.25">
      <c r="A10325" t="str">
        <f>"20190303162149120"</f>
        <v>20190303162149120</v>
      </c>
      <c r="B10325" t="str">
        <f>"1551601309112882"</f>
        <v>1551601309112882</v>
      </c>
      <c r="C10325" t="s">
        <v>40</v>
      </c>
      <c r="D10325">
        <v>4.3210220000000001</v>
      </c>
      <c r="E10325">
        <v>0.5905146</v>
      </c>
      <c r="F10325" t="s">
        <v>41</v>
      </c>
      <c r="G10325">
        <v>-159.29150000000001</v>
      </c>
      <c r="H10325" s="1">
        <v>-1.153666E-6</v>
      </c>
      <c r="I10325">
        <v>136.13399999999999</v>
      </c>
      <c r="J10325">
        <v>-177.798</v>
      </c>
      <c r="K10325">
        <v>1.115464</v>
      </c>
      <c r="L10325">
        <v>134.0889</v>
      </c>
      <c r="M10325">
        <v>0.74985800000000002</v>
      </c>
      <c r="N10325">
        <v>-1.549817E-2</v>
      </c>
      <c r="O10325">
        <v>0.66141719999999904</v>
      </c>
      <c r="P10325">
        <v>0.93697629999999998</v>
      </c>
      <c r="Q10325">
        <v>0.1249823</v>
      </c>
      <c r="R10325">
        <v>0.32627430000000002</v>
      </c>
      <c r="S10325">
        <v>3.106125</v>
      </c>
      <c r="T10325">
        <v>-0.1861882</v>
      </c>
      <c r="U10325">
        <v>0.35485840000000002</v>
      </c>
      <c r="V10325">
        <v>0.37718889999999999</v>
      </c>
      <c r="W10325">
        <v>0.13348979999999999</v>
      </c>
      <c r="X10325">
        <v>0.91646550000000004</v>
      </c>
      <c r="Y10325">
        <v>0.57041430000000004</v>
      </c>
      <c r="Z10325">
        <v>-4.673103E-2</v>
      </c>
      <c r="AA10325">
        <v>0.82002659999999905</v>
      </c>
      <c r="AB10325">
        <v>21</v>
      </c>
      <c r="AC10325">
        <v>18.5064999999999</v>
      </c>
      <c r="AD10325">
        <v>-1.1154651536660001</v>
      </c>
      <c r="AE10325">
        <v>2.0450999999999899</v>
      </c>
      <c r="AF10325">
        <v>10.6699731462503</v>
      </c>
      <c r="AG10325">
        <v>-1.1154651536660001</v>
      </c>
      <c r="AH10325">
        <v>15.177267804825201</v>
      </c>
      <c r="AI10325">
        <v>93.440741953998298</v>
      </c>
      <c r="AJ10325">
        <v>54.891887623437697</v>
      </c>
      <c r="AK10325">
        <v>18.586071329631</v>
      </c>
      <c r="AL10325">
        <v>82.328698619091</v>
      </c>
      <c r="AM10325">
        <v>67.629447244319195</v>
      </c>
      <c r="AN10325">
        <v>1.0000000028387499</v>
      </c>
    </row>
    <row r="10326" spans="1:40" x14ac:dyDescent="0.25">
      <c r="A10326" t="str">
        <f>"20190303162149134"</f>
        <v>20190303162149134</v>
      </c>
      <c r="B10326" t="str">
        <f>"1551601309122642"</f>
        <v>1551601309122642</v>
      </c>
      <c r="C10326" t="s">
        <v>40</v>
      </c>
      <c r="D10326">
        <v>4.4960750000000003</v>
      </c>
      <c r="E10326">
        <v>0.58976070000000003</v>
      </c>
      <c r="F10326" t="s">
        <v>41</v>
      </c>
      <c r="G10326">
        <v>-158.47730000000001</v>
      </c>
      <c r="H10326" s="1">
        <v>-1.4065100000000001E-6</v>
      </c>
      <c r="I10326">
        <v>136.2251</v>
      </c>
      <c r="J10326">
        <v>-177.70689999999999</v>
      </c>
      <c r="K10326">
        <v>1.1154809999999999</v>
      </c>
      <c r="L10326">
        <v>134.15989999999999</v>
      </c>
      <c r="M10326">
        <v>0.75389949999999994</v>
      </c>
      <c r="N10326">
        <v>-1.5492870000000001E-2</v>
      </c>
      <c r="O10326">
        <v>0.65680709999999998</v>
      </c>
      <c r="P10326">
        <v>0.93799580000000005</v>
      </c>
      <c r="Q10326">
        <v>0.1254555</v>
      </c>
      <c r="R10326">
        <v>0.32314850000000001</v>
      </c>
      <c r="S10326">
        <v>3.1061100000000001</v>
      </c>
      <c r="T10326">
        <v>-0.1793283</v>
      </c>
      <c r="U10326">
        <v>0.34344479999999999</v>
      </c>
      <c r="V10326">
        <v>0.3745791</v>
      </c>
      <c r="W10326">
        <v>0.1340267</v>
      </c>
      <c r="X10326">
        <v>0.91745699999999997</v>
      </c>
      <c r="Y10326">
        <v>0.56848929999999998</v>
      </c>
      <c r="Z10326">
        <v>-4.462091E-2</v>
      </c>
      <c r="AA10326">
        <v>0.82147969999999904</v>
      </c>
      <c r="AB10326">
        <v>21</v>
      </c>
      <c r="AC10326">
        <v>19.229599999999898</v>
      </c>
      <c r="AD10326">
        <v>-1.11548240651</v>
      </c>
      <c r="AE10326">
        <v>2.0651999999999999</v>
      </c>
      <c r="AF10326">
        <v>11.037794805688501</v>
      </c>
      <c r="AG10326">
        <v>-1.11548240651</v>
      </c>
      <c r="AH10326">
        <v>15.8029558678739</v>
      </c>
      <c r="AI10326">
        <v>93.3119448441538</v>
      </c>
      <c r="AJ10326">
        <v>55.067089418713898</v>
      </c>
      <c r="AK10326">
        <v>19.308304672696899</v>
      </c>
      <c r="AL10326">
        <v>82.297657578316205</v>
      </c>
      <c r="AM10326">
        <v>67.790801500852794</v>
      </c>
      <c r="AN10326">
        <v>1.0000000026593501</v>
      </c>
    </row>
    <row r="10327" spans="1:40" x14ac:dyDescent="0.25">
      <c r="A10327" t="str">
        <f>"20190303162149149"</f>
        <v>20190303162149149</v>
      </c>
      <c r="B10327" t="str">
        <f>"1551601309143137"</f>
        <v>1551601309143137</v>
      </c>
      <c r="C10327" t="s">
        <v>40</v>
      </c>
      <c r="D10327">
        <v>4.4852100000000004</v>
      </c>
      <c r="E10327">
        <v>0.58825499999999997</v>
      </c>
      <c r="F10327" t="s">
        <v>41</v>
      </c>
      <c r="G10327">
        <v>-158.2116</v>
      </c>
      <c r="H10327" s="1">
        <v>-1.4808859999999999E-6</v>
      </c>
      <c r="I10327">
        <v>136.28550000000001</v>
      </c>
      <c r="J10327">
        <v>-177.59309999999999</v>
      </c>
      <c r="K10327">
        <v>1.115502</v>
      </c>
      <c r="L10327">
        <v>134.2475</v>
      </c>
      <c r="M10327">
        <v>0.75888469999999997</v>
      </c>
      <c r="N10327">
        <v>-1.548632E-2</v>
      </c>
      <c r="O10327">
        <v>0.65104090000000003</v>
      </c>
      <c r="P10327">
        <v>0.93967650000000003</v>
      </c>
      <c r="Q10327">
        <v>0.1255463</v>
      </c>
      <c r="R10327">
        <v>0.31819219999999998</v>
      </c>
      <c r="S10327">
        <v>3.105423</v>
      </c>
      <c r="T10327">
        <v>-0.1776855</v>
      </c>
      <c r="U10327">
        <v>0.33859250000000002</v>
      </c>
      <c r="V10327">
        <v>0.37240990000000002</v>
      </c>
      <c r="W10327">
        <v>0.13417509999999999</v>
      </c>
      <c r="X10327">
        <v>0.91831799999999997</v>
      </c>
      <c r="Y10327">
        <v>0.56350129999999998</v>
      </c>
      <c r="Z10327">
        <v>-4.3867299999999998E-2</v>
      </c>
      <c r="AA10327">
        <v>0.82494959999999995</v>
      </c>
      <c r="AB10327">
        <v>21</v>
      </c>
      <c r="AC10327">
        <v>19.3814999999999</v>
      </c>
      <c r="AD10327">
        <v>-1.115503480886</v>
      </c>
      <c r="AE10327">
        <v>2.03800000000001</v>
      </c>
      <c r="AF10327">
        <v>11.036709449509599</v>
      </c>
      <c r="AG10327">
        <v>-1.115503480886</v>
      </c>
      <c r="AH10327">
        <v>15.9846961912328</v>
      </c>
      <c r="AI10327">
        <v>93.286716324751495</v>
      </c>
      <c r="AJ10327">
        <v>55.376676694201898</v>
      </c>
      <c r="AK10327">
        <v>19.456716470534701</v>
      </c>
      <c r="AL10327">
        <v>82.289077520939401</v>
      </c>
      <c r="AM10327">
        <v>67.925733791679704</v>
      </c>
      <c r="AN10327">
        <v>1.000000020101</v>
      </c>
    </row>
    <row r="10328" spans="1:40" x14ac:dyDescent="0.25">
      <c r="A10328" t="str">
        <f>"20190303162149163"</f>
        <v>20190303162149163</v>
      </c>
      <c r="B10328" t="str">
        <f>"1551601309152897"</f>
        <v>1551601309152897</v>
      </c>
      <c r="C10328" t="s">
        <v>40</v>
      </c>
      <c r="D10328">
        <v>4.5220469999999997</v>
      </c>
      <c r="E10328">
        <v>0.58748549999999999</v>
      </c>
      <c r="F10328" t="s">
        <v>41</v>
      </c>
      <c r="G10328">
        <v>-158.66329999999999</v>
      </c>
      <c r="H10328" s="1">
        <v>-1.326993E-6</v>
      </c>
      <c r="I10328">
        <v>136.2861</v>
      </c>
      <c r="J10328">
        <v>-177.48660000000001</v>
      </c>
      <c r="K10328">
        <v>1.1155189999999999</v>
      </c>
      <c r="L10328">
        <v>134.32830000000001</v>
      </c>
      <c r="M10328">
        <v>0.76348559999999999</v>
      </c>
      <c r="N10328">
        <v>-1.5480219999999999E-2</v>
      </c>
      <c r="O10328">
        <v>0.64563939999999997</v>
      </c>
      <c r="P10328">
        <v>0.94035749999999996</v>
      </c>
      <c r="Q10328">
        <v>0.1247833</v>
      </c>
      <c r="R10328">
        <v>0.31647629999999999</v>
      </c>
      <c r="S10328">
        <v>3.1038359999999998</v>
      </c>
      <c r="T10328">
        <v>-0.1829035</v>
      </c>
      <c r="U10328">
        <v>0.33425899999999997</v>
      </c>
      <c r="V10328">
        <v>0.36760310000000002</v>
      </c>
      <c r="W10328">
        <v>0.1335257</v>
      </c>
      <c r="X10328">
        <v>0.92034709999999997</v>
      </c>
      <c r="Y10328">
        <v>0.55864130000000001</v>
      </c>
      <c r="Z10328">
        <v>-4.5070209999999999E-2</v>
      </c>
      <c r="AA10328">
        <v>0.82818389999999997</v>
      </c>
      <c r="AB10328">
        <v>20</v>
      </c>
      <c r="AC10328">
        <v>18.8233</v>
      </c>
      <c r="AD10328">
        <v>-1.1155203269930001</v>
      </c>
      <c r="AE10328">
        <v>1.95779999999999</v>
      </c>
      <c r="AF10328">
        <v>10.6226802442268</v>
      </c>
      <c r="AG10328">
        <v>-1.1155203269930001</v>
      </c>
      <c r="AH10328">
        <v>15.5830808227677</v>
      </c>
      <c r="AI10328">
        <v>93.385076590848001</v>
      </c>
      <c r="AJ10328">
        <v>55.718513752549903</v>
      </c>
      <c r="AK10328">
        <v>18.892276969701999</v>
      </c>
      <c r="AL10328">
        <v>82.326622851977305</v>
      </c>
      <c r="AM10328">
        <v>68.227348218026606</v>
      </c>
      <c r="AN10328">
        <v>0.99999996808425395</v>
      </c>
    </row>
    <row r="10329" spans="1:40" x14ac:dyDescent="0.25">
      <c r="A10329" t="str">
        <f>"20190303162149178"</f>
        <v>20190303162149178</v>
      </c>
      <c r="B10329" t="str">
        <f>"1551601309173394"</f>
        <v>1551601309173394</v>
      </c>
      <c r="C10329" t="s">
        <v>40</v>
      </c>
      <c r="D10329">
        <v>4.5630220000000001</v>
      </c>
      <c r="E10329">
        <v>0.58610030000000002</v>
      </c>
      <c r="F10329" t="s">
        <v>41</v>
      </c>
      <c r="G10329">
        <v>-159.178</v>
      </c>
      <c r="H10329" s="1">
        <v>-1.147546E-6</v>
      </c>
      <c r="I10329">
        <v>136.3022</v>
      </c>
      <c r="J10329">
        <v>-177.37880000000001</v>
      </c>
      <c r="K10329">
        <v>1.1155349999999999</v>
      </c>
      <c r="L10329">
        <v>134.40860000000001</v>
      </c>
      <c r="M10329">
        <v>0.76807460000000005</v>
      </c>
      <c r="N10329">
        <v>-1.5474079999999999E-2</v>
      </c>
      <c r="O10329">
        <v>0.6401734</v>
      </c>
      <c r="P10329">
        <v>0.94186119999999995</v>
      </c>
      <c r="Q10329">
        <v>0.1245093</v>
      </c>
      <c r="R10329">
        <v>0.31208229999999998</v>
      </c>
      <c r="S10329">
        <v>3.1027979999999999</v>
      </c>
      <c r="T10329">
        <v>-0.1890492</v>
      </c>
      <c r="U10329">
        <v>0.33451839999999999</v>
      </c>
      <c r="V10329">
        <v>0.36533880000000002</v>
      </c>
      <c r="W10329">
        <v>0.13330980000000001</v>
      </c>
      <c r="X10329">
        <v>0.92127959999999998</v>
      </c>
      <c r="Y10329">
        <v>0.5525118</v>
      </c>
      <c r="Z10329">
        <v>-4.6441120000000002E-2</v>
      </c>
      <c r="AA10329">
        <v>0.83221029999999996</v>
      </c>
      <c r="AB10329">
        <v>20</v>
      </c>
      <c r="AC10329">
        <v>18.200800000000001</v>
      </c>
      <c r="AD10329">
        <v>-1.1155361475459999</v>
      </c>
      <c r="AE10329">
        <v>1.89359999999999</v>
      </c>
      <c r="AF10329">
        <v>10.1607027068747</v>
      </c>
      <c r="AG10329">
        <v>-1.1155361475459999</v>
      </c>
      <c r="AH10329">
        <v>15.137368523086201</v>
      </c>
      <c r="AI10329">
        <v>93.501449340081805</v>
      </c>
      <c r="AJ10329">
        <v>56.129180711855497</v>
      </c>
      <c r="AK10329">
        <v>18.2653832754118</v>
      </c>
      <c r="AL10329">
        <v>82.339105010835198</v>
      </c>
      <c r="AM10329">
        <v>68.368909690620995</v>
      </c>
      <c r="AN10329">
        <v>1.0000000214688101</v>
      </c>
    </row>
    <row r="10330" spans="1:40" x14ac:dyDescent="0.25">
      <c r="A10330" t="str">
        <f>"20190303162149195"</f>
        <v>20190303162149195</v>
      </c>
      <c r="B10330" t="str">
        <f>"1551601309183155"</f>
        <v>1551601309183155</v>
      </c>
      <c r="C10330" t="s">
        <v>40</v>
      </c>
      <c r="D10330">
        <v>4.5726279999999999</v>
      </c>
      <c r="E10330">
        <v>0.58542299999999903</v>
      </c>
      <c r="F10330" t="s">
        <v>41</v>
      </c>
      <c r="G10330">
        <v>-159.98779999999999</v>
      </c>
      <c r="H10330" s="1">
        <v>-5.3081500000000002E-6</v>
      </c>
      <c r="I10330">
        <v>136.2628</v>
      </c>
      <c r="J10330">
        <v>-177.24889999999999</v>
      </c>
      <c r="K10330">
        <v>1.115558</v>
      </c>
      <c r="L10330">
        <v>134.50409999999999</v>
      </c>
      <c r="M10330">
        <v>0.77352730000000003</v>
      </c>
      <c r="N10330">
        <v>-1.546674E-2</v>
      </c>
      <c r="O10330">
        <v>0.63357419999999998</v>
      </c>
      <c r="P10330">
        <v>0.94387160000000003</v>
      </c>
      <c r="Q10330">
        <v>0.1241519</v>
      </c>
      <c r="R10330">
        <v>0.3060928</v>
      </c>
      <c r="S10330">
        <v>3.1018979999999998</v>
      </c>
      <c r="T10330">
        <v>-0.19897029999999999</v>
      </c>
      <c r="U10330">
        <v>0.33071899999999999</v>
      </c>
      <c r="V10330">
        <v>0.36331619999999998</v>
      </c>
      <c r="W10330">
        <v>0.13300729999999999</v>
      </c>
      <c r="X10330">
        <v>0.92212280000000002</v>
      </c>
      <c r="Y10330">
        <v>0.5461705</v>
      </c>
      <c r="Z10330">
        <v>-4.8789680000000002E-2</v>
      </c>
      <c r="AA10330">
        <v>0.836252</v>
      </c>
      <c r="AB10330">
        <v>20</v>
      </c>
      <c r="AC10330">
        <v>17.261099999999999</v>
      </c>
      <c r="AD10330">
        <v>-1.11556330815</v>
      </c>
      <c r="AE10330">
        <v>1.7586999999999999</v>
      </c>
      <c r="AF10330">
        <v>9.5375032106358795</v>
      </c>
      <c r="AG10330">
        <v>-1.11556330815</v>
      </c>
      <c r="AH10330">
        <v>14.4083662395996</v>
      </c>
      <c r="AI10330">
        <v>93.693984714784307</v>
      </c>
      <c r="AJ10330">
        <v>56.497750219946496</v>
      </c>
      <c r="AK10330">
        <v>17.315006978970999</v>
      </c>
      <c r="AL10330">
        <v>82.356592786899</v>
      </c>
      <c r="AM10330">
        <v>68.495569612644601</v>
      </c>
      <c r="AN10330">
        <v>1.0000000306577801</v>
      </c>
    </row>
    <row r="10331" spans="1:40" x14ac:dyDescent="0.25">
      <c r="A10331" t="str">
        <f>"20190303162149210"</f>
        <v>20190303162149210</v>
      </c>
      <c r="B10331" t="str">
        <f>"1551601309202674"</f>
        <v>1551601309202674</v>
      </c>
      <c r="C10331" t="s">
        <v>40</v>
      </c>
      <c r="D10331">
        <v>4.5852890000000004</v>
      </c>
      <c r="E10331">
        <v>0.58418789999999998</v>
      </c>
      <c r="F10331" t="s">
        <v>41</v>
      </c>
      <c r="G10331">
        <v>-160.21369999999999</v>
      </c>
      <c r="H10331" s="1">
        <v>-5.2060330000000001E-6</v>
      </c>
      <c r="I10331">
        <v>136.23670000000001</v>
      </c>
      <c r="J10331">
        <v>-177.1344</v>
      </c>
      <c r="K10331">
        <v>1.11558</v>
      </c>
      <c r="L10331">
        <v>134.58680000000001</v>
      </c>
      <c r="M10331">
        <v>0.77826139999999999</v>
      </c>
      <c r="N10331">
        <v>-1.5460339999999999E-2</v>
      </c>
      <c r="O10331">
        <v>0.62775019999999904</v>
      </c>
      <c r="P10331">
        <v>0.94478130000000005</v>
      </c>
      <c r="Q10331">
        <v>0.12397560000000001</v>
      </c>
      <c r="R10331">
        <v>0.30334529999999998</v>
      </c>
      <c r="S10331">
        <v>3.1027680000000002</v>
      </c>
      <c r="T10331">
        <v>-0.20318639999999999</v>
      </c>
      <c r="U10331">
        <v>0.31558229999999998</v>
      </c>
      <c r="V10331">
        <v>0.35907139999999999</v>
      </c>
      <c r="W10331">
        <v>0.13292979999999999</v>
      </c>
      <c r="X10331">
        <v>0.92379509999999998</v>
      </c>
      <c r="Y10331">
        <v>0.54386990000000002</v>
      </c>
      <c r="Z10331">
        <v>-4.9699819999999999E-2</v>
      </c>
      <c r="AA10331">
        <v>0.83769660000000001</v>
      </c>
      <c r="AB10331">
        <v>20</v>
      </c>
      <c r="AC10331">
        <v>16.9207</v>
      </c>
      <c r="AD10331">
        <v>-1.115585206033</v>
      </c>
      <c r="AE10331">
        <v>1.6498999999999999</v>
      </c>
      <c r="AF10331">
        <v>9.2989947423805202</v>
      </c>
      <c r="AG10331">
        <v>-1.115585206033</v>
      </c>
      <c r="AH10331">
        <v>14.145242276778101</v>
      </c>
      <c r="AI10331">
        <v>93.770428232306401</v>
      </c>
      <c r="AJ10331">
        <v>56.679328226394901</v>
      </c>
      <c r="AK10331">
        <v>16.964778590936302</v>
      </c>
      <c r="AL10331">
        <v>82.361072714163399</v>
      </c>
      <c r="AM10331">
        <v>68.759313772607896</v>
      </c>
      <c r="AN10331">
        <v>0.99999999440500498</v>
      </c>
    </row>
    <row r="10332" spans="1:40" x14ac:dyDescent="0.25">
      <c r="A10332" t="str">
        <f>"20190303162149227"</f>
        <v>20190303162149227</v>
      </c>
      <c r="B10332" t="str">
        <f>"1551601309213409"</f>
        <v>1551601309213409</v>
      </c>
      <c r="C10332" t="s">
        <v>40</v>
      </c>
      <c r="D10332">
        <v>4.6503209999999999</v>
      </c>
      <c r="E10332">
        <v>0.5837291</v>
      </c>
      <c r="F10332" t="s">
        <v>41</v>
      </c>
      <c r="G10332">
        <v>-160.61060000000001</v>
      </c>
      <c r="H10332" s="1">
        <v>-5.0129209999999998E-6</v>
      </c>
      <c r="I10332">
        <v>136.26750000000001</v>
      </c>
      <c r="J10332">
        <v>-177.0112</v>
      </c>
      <c r="K10332">
        <v>1.1156010000000001</v>
      </c>
      <c r="L10332">
        <v>134.67439999999999</v>
      </c>
      <c r="M10332">
        <v>0.78328019999999998</v>
      </c>
      <c r="N10332">
        <v>-1.545358E-2</v>
      </c>
      <c r="O10332">
        <v>0.62147669999999999</v>
      </c>
      <c r="P10332">
        <v>0.94645500000000005</v>
      </c>
      <c r="Q10332">
        <v>0.1241747</v>
      </c>
      <c r="R10332">
        <v>0.29799930000000002</v>
      </c>
      <c r="S10332">
        <v>3.1015009999999998</v>
      </c>
      <c r="T10332">
        <v>-0.20939459999999999</v>
      </c>
      <c r="U10332">
        <v>0.31546020000000002</v>
      </c>
      <c r="V10332">
        <v>0.35684690000000002</v>
      </c>
      <c r="W10332">
        <v>0.1331841</v>
      </c>
      <c r="X10332">
        <v>0.92462009999999994</v>
      </c>
      <c r="Y10332">
        <v>0.53700599999999998</v>
      </c>
      <c r="Z10332">
        <v>-5.094075E-2</v>
      </c>
      <c r="AA10332">
        <v>0.84203899999999998</v>
      </c>
      <c r="AB10332">
        <v>20</v>
      </c>
      <c r="AC10332">
        <v>16.400599999999901</v>
      </c>
      <c r="AD10332">
        <v>-1.1156060129209999</v>
      </c>
      <c r="AE10332">
        <v>1.5931000000000199</v>
      </c>
      <c r="AF10332">
        <v>8.9049969168588206</v>
      </c>
      <c r="AG10332">
        <v>-1.1156060129209999</v>
      </c>
      <c r="AH10332">
        <v>13.7748515388868</v>
      </c>
      <c r="AI10332">
        <v>93.890919806455599</v>
      </c>
      <c r="AJ10332">
        <v>57.118635993907198</v>
      </c>
      <c r="AK10332">
        <v>16.440501263152001</v>
      </c>
      <c r="AL10332">
        <v>82.346371893428</v>
      </c>
      <c r="AM10332">
        <v>68.896456659343301</v>
      </c>
      <c r="AN10332">
        <v>1.0000000219282099</v>
      </c>
    </row>
    <row r="10333" spans="1:40" x14ac:dyDescent="0.25">
      <c r="A10333" t="str">
        <f>"20190303162149239"</f>
        <v>20190303162149239</v>
      </c>
      <c r="B10333" t="str">
        <f>"1551601309232929"</f>
        <v>1551601309232929</v>
      </c>
      <c r="C10333" t="s">
        <v>40</v>
      </c>
      <c r="D10333">
        <v>4.6618700000000004</v>
      </c>
      <c r="E10333">
        <v>0.58279729999999996</v>
      </c>
      <c r="F10333" t="s">
        <v>41</v>
      </c>
      <c r="G10333">
        <v>-160.40710000000001</v>
      </c>
      <c r="H10333" s="1">
        <v>-5.1057650000000004E-6</v>
      </c>
      <c r="I10333">
        <v>136.28649999999999</v>
      </c>
      <c r="J10333">
        <v>-176.90649999999999</v>
      </c>
      <c r="K10333">
        <v>1.115613</v>
      </c>
      <c r="L10333">
        <v>134.7475</v>
      </c>
      <c r="M10333">
        <v>0.7874852</v>
      </c>
      <c r="N10333">
        <v>-1.5448099999999999E-2</v>
      </c>
      <c r="O10333">
        <v>0.61613989999999996</v>
      </c>
      <c r="P10333">
        <v>0.9470866</v>
      </c>
      <c r="Q10333">
        <v>0.1249155</v>
      </c>
      <c r="R10333">
        <v>0.2956744</v>
      </c>
      <c r="S10333">
        <v>3.102249</v>
      </c>
      <c r="T10333">
        <v>-0.20843519999999999</v>
      </c>
      <c r="U10333">
        <v>0.30119319999999999</v>
      </c>
      <c r="V10333">
        <v>0.35276940000000001</v>
      </c>
      <c r="W10333">
        <v>0.13401389999999999</v>
      </c>
      <c r="X10333">
        <v>0.92606370000000005</v>
      </c>
      <c r="Y10333">
        <v>0.535161199999999</v>
      </c>
      <c r="Z10333">
        <v>-5.0444469999999998E-2</v>
      </c>
      <c r="AA10333">
        <v>0.84324249999999901</v>
      </c>
      <c r="AB10333">
        <v>20</v>
      </c>
      <c r="AC10333">
        <v>16.499399999999898</v>
      </c>
      <c r="AD10333">
        <v>-1.1156181057650001</v>
      </c>
      <c r="AE10333">
        <v>1.5389999999999799</v>
      </c>
      <c r="AF10333">
        <v>8.9146624975469297</v>
      </c>
      <c r="AG10333">
        <v>-1.1156181057650001</v>
      </c>
      <c r="AH10333">
        <v>13.8800262247508</v>
      </c>
      <c r="AI10333">
        <v>93.868941011847596</v>
      </c>
      <c r="AJ10333">
        <v>57.288764720808999</v>
      </c>
      <c r="AK10333">
        <v>16.533932962330798</v>
      </c>
      <c r="AL10333">
        <v>82.298397431916499</v>
      </c>
      <c r="AM10333">
        <v>69.146448113679497</v>
      </c>
      <c r="AN10333">
        <v>0.99999997571362897</v>
      </c>
    </row>
    <row r="10334" spans="1:40" x14ac:dyDescent="0.25">
      <c r="A10334" t="str">
        <f>"20190303162149252"</f>
        <v>20190303162149252</v>
      </c>
      <c r="B10334" t="str">
        <f>"1551601309242691"</f>
        <v>1551601309242691</v>
      </c>
      <c r="C10334" t="s">
        <v>40</v>
      </c>
      <c r="D10334">
        <v>4.7118039999999999</v>
      </c>
      <c r="E10334">
        <v>0.58239110000000005</v>
      </c>
      <c r="F10334" t="s">
        <v>41</v>
      </c>
      <c r="G10334">
        <v>-160.16050000000001</v>
      </c>
      <c r="H10334" s="1">
        <v>-5.2070640000000004E-6</v>
      </c>
      <c r="I10334">
        <v>136.3725</v>
      </c>
      <c r="J10334">
        <v>-176.8108</v>
      </c>
      <c r="K10334">
        <v>1.1156269999999999</v>
      </c>
      <c r="L10334">
        <v>134.8134</v>
      </c>
      <c r="M10334">
        <v>0.79128350000000003</v>
      </c>
      <c r="N10334">
        <v>-1.544337E-2</v>
      </c>
      <c r="O10334">
        <v>0.61125450000000003</v>
      </c>
      <c r="P10334">
        <v>0.94814419999999999</v>
      </c>
      <c r="Q10334">
        <v>0.1256748</v>
      </c>
      <c r="R10334">
        <v>0.29193960000000002</v>
      </c>
      <c r="S10334">
        <v>3.1009220000000002</v>
      </c>
      <c r="T10334">
        <v>-0.2065835</v>
      </c>
      <c r="U10334">
        <v>0.30090329999999998</v>
      </c>
      <c r="V10334">
        <v>0.35062900000000002</v>
      </c>
      <c r="W10334">
        <v>0.134821</v>
      </c>
      <c r="X10334">
        <v>0.92675920000000001</v>
      </c>
      <c r="Y10334">
        <v>0.53002530000000003</v>
      </c>
      <c r="Z10334">
        <v>-4.9599379999999998E-2</v>
      </c>
      <c r="AA10334">
        <v>0.84652999999999901</v>
      </c>
      <c r="AB10334">
        <v>20</v>
      </c>
      <c r="AC10334">
        <v>16.650299999999898</v>
      </c>
      <c r="AD10334">
        <v>-1.1156322070639999</v>
      </c>
      <c r="AE10334">
        <v>1.5590999999999999</v>
      </c>
      <c r="AF10334">
        <v>8.9053139121537708</v>
      </c>
      <c r="AG10334">
        <v>-1.1156322070639999</v>
      </c>
      <c r="AH10334">
        <v>14.0671929034963</v>
      </c>
      <c r="AI10334">
        <v>93.833590507467903</v>
      </c>
      <c r="AJ10334">
        <v>57.663919176085798</v>
      </c>
      <c r="AK10334">
        <v>16.6863766971627</v>
      </c>
      <c r="AL10334">
        <v>82.251730731670193</v>
      </c>
      <c r="AM10334">
        <v>69.276422864155506</v>
      </c>
      <c r="AN10334">
        <v>1.0000000062333101</v>
      </c>
    </row>
    <row r="10335" spans="1:40" x14ac:dyDescent="0.25">
      <c r="A10335" t="str">
        <f>"20190303162149265"</f>
        <v>20190303162149265</v>
      </c>
      <c r="B10335" t="str">
        <f>"1551601309253426"</f>
        <v>1551601309253426</v>
      </c>
      <c r="C10335" t="s">
        <v>40</v>
      </c>
      <c r="D10335">
        <v>4.7070970000000001</v>
      </c>
      <c r="E10335">
        <v>0.58196689999999995</v>
      </c>
      <c r="F10335" t="s">
        <v>41</v>
      </c>
      <c r="G10335">
        <v>-159.86840000000001</v>
      </c>
      <c r="H10335" s="1">
        <v>-8.8501519999999997E-7</v>
      </c>
      <c r="I10335">
        <v>136.4058</v>
      </c>
      <c r="J10335">
        <v>-176.71719999999999</v>
      </c>
      <c r="K10335">
        <v>1.1156410000000001</v>
      </c>
      <c r="L10335">
        <v>134.87739999999999</v>
      </c>
      <c r="M10335">
        <v>0.79496169999999899</v>
      </c>
      <c r="N10335">
        <v>-1.543894E-2</v>
      </c>
      <c r="O10335">
        <v>0.60646319999999998</v>
      </c>
      <c r="P10335">
        <v>0.94909290000000002</v>
      </c>
      <c r="Q10335">
        <v>0.12580999999999901</v>
      </c>
      <c r="R10335">
        <v>0.28878120000000002</v>
      </c>
      <c r="S10335">
        <v>3.1013950000000001</v>
      </c>
      <c r="T10335">
        <v>-0.2042214</v>
      </c>
      <c r="U10335">
        <v>0.29150389999999998</v>
      </c>
      <c r="V10335">
        <v>0.34809770000000001</v>
      </c>
      <c r="W10335">
        <v>0.1350114</v>
      </c>
      <c r="X10335">
        <v>0.92768530000000005</v>
      </c>
      <c r="Y10335">
        <v>0.52751759999999903</v>
      </c>
      <c r="Z10335">
        <v>-4.87176E-2</v>
      </c>
      <c r="AA10335">
        <v>0.84814609999999901</v>
      </c>
      <c r="AB10335">
        <v>20</v>
      </c>
      <c r="AC10335">
        <v>16.848799999999901</v>
      </c>
      <c r="AD10335">
        <v>-1.1156418850151999</v>
      </c>
      <c r="AE10335">
        <v>1.5284</v>
      </c>
      <c r="AF10335">
        <v>8.9652440018024997</v>
      </c>
      <c r="AG10335">
        <v>-1.1156418850151999</v>
      </c>
      <c r="AH10335">
        <v>14.2607607923835</v>
      </c>
      <c r="AI10335">
        <v>93.7892180742584</v>
      </c>
      <c r="AJ10335">
        <v>57.843853997788202</v>
      </c>
      <c r="AK10335">
        <v>16.881633665171101</v>
      </c>
      <c r="AL10335">
        <v>82.240721305305797</v>
      </c>
      <c r="AM10335">
        <v>69.432275363057002</v>
      </c>
      <c r="AN10335">
        <v>1.0000000513556599</v>
      </c>
    </row>
    <row r="10336" spans="1:40" x14ac:dyDescent="0.25">
      <c r="A10336" t="str">
        <f>"20190303162149275"</f>
        <v>20190303162149275</v>
      </c>
      <c r="B10336" t="str">
        <f>"1551601309263185"</f>
        <v>1551601309263185</v>
      </c>
      <c r="C10336" t="s">
        <v>40</v>
      </c>
      <c r="D10336">
        <v>4.5873059999999999</v>
      </c>
      <c r="E10336">
        <v>0.58177049999999997</v>
      </c>
      <c r="F10336" t="s">
        <v>41</v>
      </c>
      <c r="G10336">
        <v>-159.68129999999999</v>
      </c>
      <c r="H10336" s="1">
        <v>-9.4022599999999999E-7</v>
      </c>
      <c r="I10336">
        <v>136.43770000000001</v>
      </c>
      <c r="J10336">
        <v>-176.62960000000001</v>
      </c>
      <c r="K10336">
        <v>1.1156549999999901</v>
      </c>
      <c r="L10336">
        <v>134.93600000000001</v>
      </c>
      <c r="M10336">
        <v>0.79836509999999905</v>
      </c>
      <c r="N10336">
        <v>-1.543537E-2</v>
      </c>
      <c r="O10336">
        <v>0.60197579999999995</v>
      </c>
      <c r="P10336">
        <v>0.949874</v>
      </c>
      <c r="Q10336">
        <v>0.1263446</v>
      </c>
      <c r="R10336">
        <v>0.2859659</v>
      </c>
      <c r="S10336">
        <v>3.10141</v>
      </c>
      <c r="T10336">
        <v>-0.20310439999999999</v>
      </c>
      <c r="U10336">
        <v>0.28405760000000002</v>
      </c>
      <c r="V10336">
        <v>0.3455802</v>
      </c>
      <c r="W10336">
        <v>0.1355972</v>
      </c>
      <c r="X10336">
        <v>0.92854060000000005</v>
      </c>
      <c r="Y10336">
        <v>0.52478499999999995</v>
      </c>
      <c r="Z10336">
        <v>-4.8176169999999997E-2</v>
      </c>
      <c r="AA10336">
        <v>0.84987040000000003</v>
      </c>
      <c r="AB10336">
        <v>20</v>
      </c>
      <c r="AC10336">
        <v>16.9483</v>
      </c>
      <c r="AD10336">
        <v>-1.11565594022599</v>
      </c>
      <c r="AE10336">
        <v>1.50169999999999</v>
      </c>
      <c r="AF10336">
        <v>8.9660854028899593</v>
      </c>
      <c r="AG10336">
        <v>-1.11565594022599</v>
      </c>
      <c r="AH10336">
        <v>14.374834775558099</v>
      </c>
      <c r="AI10336">
        <v>93.767604222531602</v>
      </c>
      <c r="AJ10336">
        <v>58.046772487572397</v>
      </c>
      <c r="AK10336">
        <v>16.978552660738501</v>
      </c>
      <c r="AL10336">
        <v>82.206845212028298</v>
      </c>
      <c r="AM10336">
        <v>69.585958934574705</v>
      </c>
      <c r="AN10336">
        <v>0.99999996056411899</v>
      </c>
    </row>
    <row r="10337" spans="1:40" x14ac:dyDescent="0.25">
      <c r="A10337" t="str">
        <f>"20190303162149294"</f>
        <v>20190303162149294</v>
      </c>
      <c r="B10337" t="str">
        <f>"1551601309282706"</f>
        <v>1551601309282706</v>
      </c>
      <c r="C10337" t="s">
        <v>40</v>
      </c>
      <c r="D10337">
        <v>4.5395139999999996</v>
      </c>
      <c r="E10337">
        <v>0.55623999999999996</v>
      </c>
      <c r="F10337" t="s">
        <v>41</v>
      </c>
      <c r="G10337">
        <v>-159.06639999999999</v>
      </c>
      <c r="H10337" s="1">
        <v>-1.133661E-6</v>
      </c>
      <c r="I10337">
        <v>136.49709999999999</v>
      </c>
      <c r="J10337">
        <v>-176.4914</v>
      </c>
      <c r="K10337">
        <v>1.1156680000000001</v>
      </c>
      <c r="L10337">
        <v>135.0273</v>
      </c>
      <c r="M10337">
        <v>0.80367290000000002</v>
      </c>
      <c r="N10337">
        <v>-1.54307E-2</v>
      </c>
      <c r="O10337">
        <v>0.59487129999999999</v>
      </c>
      <c r="P10337">
        <v>0.95062009999999997</v>
      </c>
      <c r="Q10337">
        <v>0.12711689999999901</v>
      </c>
      <c r="R10337">
        <v>0.28313050000000001</v>
      </c>
      <c r="S10337">
        <v>3.1015169999999999</v>
      </c>
      <c r="T10337">
        <v>-0.19701579999999999</v>
      </c>
      <c r="U10337">
        <v>0.27569579999999999</v>
      </c>
      <c r="V10337">
        <v>0.34004759999999901</v>
      </c>
      <c r="W10337">
        <v>0.13647819999999999</v>
      </c>
      <c r="X10337">
        <v>0.93045219999999995</v>
      </c>
      <c r="Y10337">
        <v>0.51964409999999905</v>
      </c>
      <c r="Z10337">
        <v>-4.614683E-2</v>
      </c>
      <c r="AA10337">
        <v>0.85313570000000005</v>
      </c>
      <c r="AB10337">
        <v>20</v>
      </c>
      <c r="AC10337">
        <v>17.425000000000001</v>
      </c>
      <c r="AD10337">
        <v>-1.1156691336610001</v>
      </c>
      <c r="AE10337">
        <v>1.46979999999999</v>
      </c>
      <c r="AF10337">
        <v>9.1482493233320401</v>
      </c>
      <c r="AG10337">
        <v>-1.1156691336610001</v>
      </c>
      <c r="AH10337">
        <v>14.8197892652219</v>
      </c>
      <c r="AI10337">
        <v>93.665362484519406</v>
      </c>
      <c r="AJ10337">
        <v>58.312984917708199</v>
      </c>
      <c r="AK10337">
        <v>17.451685797172601</v>
      </c>
      <c r="AL10337">
        <v>82.155894142856994</v>
      </c>
      <c r="AM10337">
        <v>69.924417160573796</v>
      </c>
      <c r="AN10337">
        <v>0.99999998291291903</v>
      </c>
    </row>
    <row r="10338" spans="1:40" x14ac:dyDescent="0.25">
      <c r="A10338" t="str">
        <f>"20190303162149312"</f>
        <v>20190303162149312</v>
      </c>
      <c r="B10338" t="str">
        <f>"1551601309303201"</f>
        <v>1551601309303201</v>
      </c>
      <c r="C10338" t="s">
        <v>40</v>
      </c>
      <c r="D10338">
        <v>4.6506699999999999</v>
      </c>
      <c r="E10338">
        <v>0.55139740000000004</v>
      </c>
      <c r="F10338" t="s">
        <v>41</v>
      </c>
      <c r="G10338">
        <v>-91.701790000000003</v>
      </c>
      <c r="H10338" s="1">
        <v>-5.1173369999999997E-6</v>
      </c>
      <c r="I10338">
        <v>147.6241</v>
      </c>
      <c r="J10338">
        <v>-176.34870000000001</v>
      </c>
      <c r="K10338">
        <v>1.115667</v>
      </c>
      <c r="L10338">
        <v>135.1198</v>
      </c>
      <c r="M10338">
        <v>0.80907799999999996</v>
      </c>
      <c r="N10338">
        <v>-1.5427629999999999E-2</v>
      </c>
      <c r="O10338">
        <v>0.58749859999999998</v>
      </c>
      <c r="P10338">
        <v>0.95235429999999999</v>
      </c>
      <c r="Q10338">
        <v>0.12778529999999999</v>
      </c>
      <c r="R10338">
        <v>0.27693390000000001</v>
      </c>
      <c r="S10338">
        <v>3.0272060000000001</v>
      </c>
      <c r="T10338">
        <v>-3.9832350000000002E-2</v>
      </c>
      <c r="U10338">
        <v>0.44973750000000001</v>
      </c>
      <c r="V10338">
        <v>0.3375532</v>
      </c>
      <c r="W10338">
        <v>0.1371877</v>
      </c>
      <c r="X10338">
        <v>0.93125579999999997</v>
      </c>
      <c r="Y10338">
        <v>0.46219900000000003</v>
      </c>
      <c r="Z10338">
        <v>-4.2203509999999998E-3</v>
      </c>
      <c r="AA10338">
        <v>0.8867661</v>
      </c>
      <c r="AB10338">
        <v>20</v>
      </c>
      <c r="AC10338">
        <v>84.646909999999906</v>
      </c>
      <c r="AD10338">
        <v>-1.1156721173369999</v>
      </c>
      <c r="AE10338">
        <v>12.504300000000001</v>
      </c>
      <c r="AF10338">
        <v>39.6109712552527</v>
      </c>
      <c r="AG10338">
        <v>-1.1156721173369999</v>
      </c>
      <c r="AH10338">
        <v>75.828352437669395</v>
      </c>
      <c r="AI10338">
        <v>90.747153211056599</v>
      </c>
      <c r="AJ10338">
        <v>62.418478119415497</v>
      </c>
      <c r="AK10338">
        <v>85.558242159766607</v>
      </c>
      <c r="AL10338">
        <v>82.114856901376598</v>
      </c>
      <c r="AM10338">
        <v>70.075889096938695</v>
      </c>
      <c r="AN10338">
        <v>0.99999999644758497</v>
      </c>
    </row>
    <row r="10339" spans="1:40" x14ac:dyDescent="0.25">
      <c r="A10339" t="str">
        <f>"20190303162149325"</f>
        <v>20190303162149325</v>
      </c>
      <c r="B10339" t="str">
        <f>"1551601309312962"</f>
        <v>1551601309312962</v>
      </c>
      <c r="C10339" t="s">
        <v>40</v>
      </c>
      <c r="D10339">
        <v>4.6462370000000002</v>
      </c>
      <c r="E10339">
        <v>0.55044689999999996</v>
      </c>
      <c r="F10339" t="s">
        <v>58</v>
      </c>
      <c r="G10339">
        <v>0</v>
      </c>
      <c r="H10339">
        <v>0</v>
      </c>
      <c r="I10339">
        <v>0</v>
      </c>
      <c r="J10339">
        <v>-176.25139999999999</v>
      </c>
      <c r="K10339">
        <v>1.1156629999999901</v>
      </c>
      <c r="L10339">
        <v>135.18190000000001</v>
      </c>
      <c r="M10339">
        <v>0.81272319999999998</v>
      </c>
      <c r="N10339">
        <v>-1.542639E-2</v>
      </c>
      <c r="O10339">
        <v>0.58244569999999996</v>
      </c>
      <c r="P10339">
        <v>0.95334609999999997</v>
      </c>
      <c r="Q10339">
        <v>0.12852859999999999</v>
      </c>
      <c r="R10339">
        <v>0.27315149999999999</v>
      </c>
      <c r="S10339">
        <v>3.0178829999999999</v>
      </c>
      <c r="T10339">
        <v>-2.4009470000000002E-2</v>
      </c>
      <c r="U10339">
        <v>0.4657288</v>
      </c>
      <c r="V10339">
        <v>0.33539730000000001</v>
      </c>
      <c r="W10339">
        <v>0.13796510000000001</v>
      </c>
      <c r="X10339">
        <v>0.93191970000000002</v>
      </c>
      <c r="Y10339">
        <v>0.45167350000000001</v>
      </c>
      <c r="Z10339">
        <v>-1.1286280000000001E-4</v>
      </c>
      <c r="AA10339">
        <v>0.89218330000000001</v>
      </c>
      <c r="AB10339">
        <v>20</v>
      </c>
      <c r="AC10339">
        <v>3.0178829999999999</v>
      </c>
      <c r="AD10339">
        <v>-2.4009470000000002E-2</v>
      </c>
      <c r="AE10339">
        <v>0.4657288</v>
      </c>
      <c r="AF10339">
        <v>1.3793232681626599</v>
      </c>
      <c r="AG10339">
        <v>-2.4009470000000002E-2</v>
      </c>
      <c r="AH10339">
        <v>2.7241210759338399</v>
      </c>
      <c r="AI10339">
        <v>90.450515600841996</v>
      </c>
      <c r="AJ10339">
        <v>63.145219441574902</v>
      </c>
      <c r="AK10339">
        <v>3.0535135121842099</v>
      </c>
      <c r="AL10339">
        <v>82.069887762183399</v>
      </c>
      <c r="AM10339">
        <v>70.206228685859699</v>
      </c>
      <c r="AN10339">
        <v>1.0000000224566901</v>
      </c>
    </row>
    <row r="10340" spans="1:40" x14ac:dyDescent="0.25">
      <c r="A10340" t="str">
        <f>"20190303162149339"</f>
        <v>20190303162149339</v>
      </c>
      <c r="B10340" t="str">
        <f>"1551601309333459"</f>
        <v>1551601309333459</v>
      </c>
      <c r="C10340" t="s">
        <v>40</v>
      </c>
      <c r="D10340">
        <v>4.637969</v>
      </c>
      <c r="E10340">
        <v>0.5496432</v>
      </c>
      <c r="F10340" t="s">
        <v>58</v>
      </c>
      <c r="G10340">
        <v>0</v>
      </c>
      <c r="H10340">
        <v>0</v>
      </c>
      <c r="I10340">
        <v>0</v>
      </c>
      <c r="J10340">
        <v>-176.13980000000001</v>
      </c>
      <c r="K10340">
        <v>1.1156569999999999</v>
      </c>
      <c r="L10340">
        <v>135.2518</v>
      </c>
      <c r="M10340">
        <v>0.81686650000000005</v>
      </c>
      <c r="N10340">
        <v>-1.5426749999999999E-2</v>
      </c>
      <c r="O10340">
        <v>0.57662049999999998</v>
      </c>
      <c r="P10340">
        <v>0.95371150000000005</v>
      </c>
      <c r="Q10340">
        <v>0.13068740000000001</v>
      </c>
      <c r="R10340">
        <v>0.27084209999999997</v>
      </c>
      <c r="S10340">
        <v>3.0180660000000001</v>
      </c>
      <c r="T10340">
        <v>-2.4217249999999999E-2</v>
      </c>
      <c r="U10340">
        <v>0.46070859999999902</v>
      </c>
      <c r="V10340">
        <v>0.33084730000000001</v>
      </c>
      <c r="W10340">
        <v>0.14019860000000001</v>
      </c>
      <c r="X10340">
        <v>0.93321189999999998</v>
      </c>
      <c r="Y10340">
        <v>0.4467469</v>
      </c>
      <c r="Z10340">
        <v>-1.7791399999999999E-4</v>
      </c>
      <c r="AA10340">
        <v>0.89466039999999902</v>
      </c>
      <c r="AB10340">
        <v>20</v>
      </c>
      <c r="AC10340">
        <v>3.0180660000000001</v>
      </c>
      <c r="AD10340">
        <v>-2.4217249999999999E-2</v>
      </c>
      <c r="AE10340">
        <v>0.46070859999999902</v>
      </c>
      <c r="AF10340">
        <v>1.3640177639553399</v>
      </c>
      <c r="AG10340">
        <v>-2.4217249999999999E-2</v>
      </c>
      <c r="AH10340">
        <v>2.7311641280565202</v>
      </c>
      <c r="AI10340">
        <v>90.454501170657906</v>
      </c>
      <c r="AJ10340">
        <v>63.461208196686897</v>
      </c>
      <c r="AK10340">
        <v>3.0529311210648098</v>
      </c>
      <c r="AL10340">
        <v>81.940661604259901</v>
      </c>
      <c r="AM10340">
        <v>70.479291669886805</v>
      </c>
      <c r="AN10340">
        <v>1.0000000168304199</v>
      </c>
    </row>
    <row r="10341" spans="1:40" x14ac:dyDescent="0.25">
      <c r="A10341" t="str">
        <f>"20190303162149357"</f>
        <v>20190303162149357</v>
      </c>
      <c r="B10341" t="str">
        <f>"1551601309343218"</f>
        <v>1551601309343218</v>
      </c>
      <c r="C10341" t="s">
        <v>40</v>
      </c>
      <c r="D10341">
        <v>4.6637329999999997</v>
      </c>
      <c r="E10341">
        <v>0.54925480000000004</v>
      </c>
      <c r="F10341" t="s">
        <v>58</v>
      </c>
      <c r="G10341">
        <v>0</v>
      </c>
      <c r="H10341">
        <v>0</v>
      </c>
      <c r="I10341">
        <v>0</v>
      </c>
      <c r="J10341">
        <v>-176.0042</v>
      </c>
      <c r="K10341">
        <v>1.1156379999999999</v>
      </c>
      <c r="L10341">
        <v>135.33510000000001</v>
      </c>
      <c r="M10341">
        <v>0.82184570000000001</v>
      </c>
      <c r="N10341">
        <v>-1.5428570000000001E-2</v>
      </c>
      <c r="O10341">
        <v>0.56950119999999904</v>
      </c>
      <c r="P10341">
        <v>0.95515079999999997</v>
      </c>
      <c r="Q10341">
        <v>0.13185139999999901</v>
      </c>
      <c r="R10341">
        <v>0.26514599999999999</v>
      </c>
      <c r="S10341">
        <v>3.0183559999999998</v>
      </c>
      <c r="T10341">
        <v>-2.2221919999999999E-2</v>
      </c>
      <c r="U10341">
        <v>0.4588623</v>
      </c>
      <c r="V10341">
        <v>0.32823649999999999</v>
      </c>
      <c r="W10341">
        <v>0.14139399999999999</v>
      </c>
      <c r="X10341">
        <v>0.93395320000000004</v>
      </c>
      <c r="Y10341">
        <v>0.43950850000000002</v>
      </c>
      <c r="Z10341">
        <v>3.2033469999999999E-4</v>
      </c>
      <c r="AA10341">
        <v>0.89823839999999999</v>
      </c>
      <c r="AB10341">
        <v>20</v>
      </c>
      <c r="AC10341">
        <v>3.0183559999999998</v>
      </c>
      <c r="AD10341">
        <v>-2.2221919999999999E-2</v>
      </c>
      <c r="AE10341">
        <v>0.4588623</v>
      </c>
      <c r="AF10341">
        <v>1.3419319894399699</v>
      </c>
      <c r="AG10341">
        <v>-2.2221919999999999E-2</v>
      </c>
      <c r="AH10341">
        <v>2.7421266454773598</v>
      </c>
      <c r="AI10341">
        <v>90.417049547096696</v>
      </c>
      <c r="AJ10341">
        <v>63.9239662907788</v>
      </c>
      <c r="AK10341">
        <v>3.0529549321678</v>
      </c>
      <c r="AL10341">
        <v>81.871481128502793</v>
      </c>
      <c r="AM10341">
        <v>70.636048734602198</v>
      </c>
      <c r="AN10341">
        <v>1.0000000214792399</v>
      </c>
    </row>
    <row r="10342" spans="1:40" x14ac:dyDescent="0.25">
      <c r="A10342" t="str">
        <f>"20190303162149371"</f>
        <v>20190303162149371</v>
      </c>
      <c r="B10342" t="str">
        <f>"1551601309362738"</f>
        <v>1551601309362738</v>
      </c>
      <c r="C10342" t="s">
        <v>40</v>
      </c>
      <c r="D10342">
        <v>4.6596979999999997</v>
      </c>
      <c r="E10342">
        <v>0.54869000000000001</v>
      </c>
      <c r="F10342" t="s">
        <v>58</v>
      </c>
      <c r="G10342">
        <v>0</v>
      </c>
      <c r="H10342">
        <v>0</v>
      </c>
      <c r="I10342">
        <v>0</v>
      </c>
      <c r="J10342">
        <v>-175.88730000000001</v>
      </c>
      <c r="K10342">
        <v>1.115621</v>
      </c>
      <c r="L10342">
        <v>135.4057</v>
      </c>
      <c r="M10342">
        <v>0.82609529999999998</v>
      </c>
      <c r="N10342">
        <v>-1.543168E-2</v>
      </c>
      <c r="O10342">
        <v>0.56331909999999996</v>
      </c>
      <c r="P10342">
        <v>0.95531619999999995</v>
      </c>
      <c r="Q10342">
        <v>0.1330055</v>
      </c>
      <c r="R10342">
        <v>0.26397090000000001</v>
      </c>
      <c r="S10342">
        <v>3.0207060000000001</v>
      </c>
      <c r="T10342">
        <v>-2.1553280000000001E-2</v>
      </c>
      <c r="U10342">
        <v>0.44358829999999999</v>
      </c>
      <c r="V10342">
        <v>0.32229659999999999</v>
      </c>
      <c r="W10342">
        <v>0.14264669999999999</v>
      </c>
      <c r="X10342">
        <v>0.93582949999999998</v>
      </c>
      <c r="Y10342">
        <v>0.43731530000000002</v>
      </c>
      <c r="Z10342">
        <v>4.3801920000000001E-4</v>
      </c>
      <c r="AA10342">
        <v>0.89930810000000005</v>
      </c>
      <c r="AB10342">
        <v>20</v>
      </c>
      <c r="AC10342">
        <v>3.0207060000000001</v>
      </c>
      <c r="AD10342">
        <v>-2.1553280000000001E-2</v>
      </c>
      <c r="AE10342">
        <v>0.44358829999999999</v>
      </c>
      <c r="AF10342">
        <v>1.33526764331437</v>
      </c>
      <c r="AG10342">
        <v>-2.1553280000000001E-2</v>
      </c>
      <c r="AH10342">
        <v>2.7454629155647998</v>
      </c>
      <c r="AI10342">
        <v>90.404491161257994</v>
      </c>
      <c r="AJ10342">
        <v>64.0638299881618</v>
      </c>
      <c r="AK10342">
        <v>3.0530265056010601</v>
      </c>
      <c r="AL10342">
        <v>81.798971684390295</v>
      </c>
      <c r="AM10342">
        <v>70.996460803210894</v>
      </c>
      <c r="AN10342">
        <v>1.00000001623134</v>
      </c>
    </row>
    <row r="10343" spans="1:40" x14ac:dyDescent="0.25">
      <c r="A10343" t="str">
        <f>"20190303162149389"</f>
        <v>20190303162149389</v>
      </c>
      <c r="B10343" t="str">
        <f>"1551601309383234"</f>
        <v>1551601309383234</v>
      </c>
      <c r="C10343" t="s">
        <v>40</v>
      </c>
      <c r="D10343">
        <v>4.7149419999999997</v>
      </c>
      <c r="E10343">
        <v>0.54833409999999905</v>
      </c>
      <c r="F10343" t="s">
        <v>58</v>
      </c>
      <c r="G10343">
        <v>0</v>
      </c>
      <c r="H10343">
        <v>0</v>
      </c>
      <c r="I10343">
        <v>0</v>
      </c>
      <c r="J10343">
        <v>-175.75720000000001</v>
      </c>
      <c r="K10343">
        <v>1.1155870000000001</v>
      </c>
      <c r="L10343">
        <v>135.4828</v>
      </c>
      <c r="M10343">
        <v>0.83078629999999998</v>
      </c>
      <c r="N10343">
        <v>-1.543695E-2</v>
      </c>
      <c r="O10343">
        <v>0.55637740000000002</v>
      </c>
      <c r="P10343">
        <v>0.95642669999999996</v>
      </c>
      <c r="Q10343">
        <v>0.1336504</v>
      </c>
      <c r="R10343">
        <v>0.25958759999999997</v>
      </c>
      <c r="S10343">
        <v>3.0211790000000001</v>
      </c>
      <c r="T10343">
        <v>-2.3226500000000001E-2</v>
      </c>
      <c r="U10343">
        <v>0.44299319999999998</v>
      </c>
      <c r="V10343">
        <v>0.31870999999999999</v>
      </c>
      <c r="W10343">
        <v>0.1433371</v>
      </c>
      <c r="X10343">
        <v>0.9369516</v>
      </c>
      <c r="Y10343">
        <v>0.42995929999999999</v>
      </c>
      <c r="Z10343" s="1">
        <v>3.0699649999999997E-5</v>
      </c>
      <c r="AA10343">
        <v>0.90284830000000005</v>
      </c>
      <c r="AB10343">
        <v>20</v>
      </c>
      <c r="AC10343">
        <v>3.0211790000000001</v>
      </c>
      <c r="AD10343">
        <v>-2.3226500000000001E-2</v>
      </c>
      <c r="AE10343">
        <v>0.44299319999999998</v>
      </c>
      <c r="AF10343">
        <v>1.31296353390823</v>
      </c>
      <c r="AG10343">
        <v>-2.3226500000000001E-2</v>
      </c>
      <c r="AH10343">
        <v>2.7565945361883499</v>
      </c>
      <c r="AI10343">
        <v>90.435840397797193</v>
      </c>
      <c r="AJ10343">
        <v>64.531581239051903</v>
      </c>
      <c r="AK10343">
        <v>3.05339583883559</v>
      </c>
      <c r="AL10343">
        <v>81.759003369156801</v>
      </c>
      <c r="AM10343">
        <v>71.213939219655998</v>
      </c>
      <c r="AN10343">
        <v>0.99999994453948304</v>
      </c>
    </row>
    <row r="10344" spans="1:40" x14ac:dyDescent="0.25">
      <c r="A10344" t="str">
        <f>"20190303162149405"</f>
        <v>20190303162149405</v>
      </c>
      <c r="B10344" t="str">
        <f>"1551601309392994"</f>
        <v>1551601309392994</v>
      </c>
      <c r="C10344" t="s">
        <v>40</v>
      </c>
      <c r="D10344">
        <v>4.7781799999999999</v>
      </c>
      <c r="E10344">
        <v>0.54771829999999999</v>
      </c>
      <c r="F10344" t="s">
        <v>41</v>
      </c>
      <c r="G10344">
        <v>-54.266060000000003</v>
      </c>
      <c r="H10344">
        <v>7.9986769999999999E-2</v>
      </c>
      <c r="I10344">
        <v>152.81460000000001</v>
      </c>
      <c r="J10344">
        <v>-175.62110000000001</v>
      </c>
      <c r="K10344">
        <v>1.115542</v>
      </c>
      <c r="L10344">
        <v>135.56190000000001</v>
      </c>
      <c r="M10344">
        <v>0.8356519</v>
      </c>
      <c r="N10344">
        <v>-1.5444940000000001E-2</v>
      </c>
      <c r="O10344">
        <v>0.54904229999999998</v>
      </c>
      <c r="P10344">
        <v>0.95769409999999999</v>
      </c>
      <c r="Q10344">
        <v>0.1338857</v>
      </c>
      <c r="R10344">
        <v>0.2547488</v>
      </c>
      <c r="S10344">
        <v>3.0232239999999999</v>
      </c>
      <c r="T10344">
        <v>-2.5770189999999998E-2</v>
      </c>
      <c r="U10344">
        <v>0.4312897</v>
      </c>
      <c r="V10344">
        <v>0.31519190000000002</v>
      </c>
      <c r="W10344">
        <v>0.14361409999999999</v>
      </c>
      <c r="X10344">
        <v>0.93809869999999995</v>
      </c>
      <c r="Y10344">
        <v>0.42551650000000002</v>
      </c>
      <c r="Z10344">
        <v>-6.1164839999999895E-4</v>
      </c>
      <c r="AA10344">
        <v>0.90495049999999999</v>
      </c>
      <c r="AB10344">
        <v>20</v>
      </c>
      <c r="AC10344">
        <v>121.35504</v>
      </c>
      <c r="AD10344">
        <v>-1.0355552299999999</v>
      </c>
      <c r="AE10344">
        <v>17.252700000000001</v>
      </c>
      <c r="AF10344">
        <v>52.214298185695398</v>
      </c>
      <c r="AG10344">
        <v>-1.0355552299999999</v>
      </c>
      <c r="AH10344">
        <v>110.888339946071</v>
      </c>
      <c r="AI10344">
        <v>90.484076095282006</v>
      </c>
      <c r="AJ10344">
        <v>64.785531577956405</v>
      </c>
      <c r="AK10344">
        <v>122.57091517017599</v>
      </c>
      <c r="AL10344">
        <v>81.742967454776505</v>
      </c>
      <c r="AM10344">
        <v>71.428159861861801</v>
      </c>
      <c r="AN10344">
        <v>1.0000000572430501</v>
      </c>
    </row>
    <row r="10345" spans="1:40" x14ac:dyDescent="0.25">
      <c r="A10345" t="str">
        <f>"20190303162149419"</f>
        <v>20190303162149419</v>
      </c>
      <c r="B10345" t="str">
        <f>"1551601309413489"</f>
        <v>1551601309413489</v>
      </c>
      <c r="C10345" t="s">
        <v>40</v>
      </c>
      <c r="D10345">
        <v>4.8111470000000001</v>
      </c>
      <c r="E10345">
        <v>0.54667519999999903</v>
      </c>
      <c r="F10345" t="s">
        <v>41</v>
      </c>
      <c r="G10345">
        <v>-74.533909999999906</v>
      </c>
      <c r="H10345">
        <v>4.8339559999999997E-2</v>
      </c>
      <c r="I10345">
        <v>149.6164</v>
      </c>
      <c r="J10345">
        <v>-175.5103</v>
      </c>
      <c r="K10345">
        <v>1.1155010000000001</v>
      </c>
      <c r="L10345">
        <v>135.62469999999999</v>
      </c>
      <c r="M10345">
        <v>0.83958909999999998</v>
      </c>
      <c r="N10345">
        <v>-1.5453929999999999E-2</v>
      </c>
      <c r="O10345">
        <v>0.54300209999999904</v>
      </c>
      <c r="P10345">
        <v>0.95738270000000003</v>
      </c>
      <c r="Q10345">
        <v>0.13445589999999999</v>
      </c>
      <c r="R10345">
        <v>0.25561699999999998</v>
      </c>
      <c r="S10345">
        <v>3.0251160000000001</v>
      </c>
      <c r="T10345">
        <v>-3.1936880000000001E-2</v>
      </c>
      <c r="U10345">
        <v>0.4205933</v>
      </c>
      <c r="V10345">
        <v>0.30753150000000001</v>
      </c>
      <c r="W10345">
        <v>0.14431340000000001</v>
      </c>
      <c r="X10345">
        <v>0.94053070000000005</v>
      </c>
      <c r="Y10345">
        <v>0.42219879999999999</v>
      </c>
      <c r="Z10345">
        <v>-2.1042460000000002E-3</v>
      </c>
      <c r="AA10345">
        <v>0.9065008</v>
      </c>
      <c r="AB10345">
        <v>20</v>
      </c>
      <c r="AC10345">
        <v>100.97638999999999</v>
      </c>
      <c r="AD10345">
        <v>-1.06716144</v>
      </c>
      <c r="AE10345">
        <v>13.9917</v>
      </c>
      <c r="AF10345">
        <v>43.083537984530302</v>
      </c>
      <c r="AG10345">
        <v>-1.06716144</v>
      </c>
      <c r="AH10345">
        <v>92.377110088650994</v>
      </c>
      <c r="AI10345">
        <v>90.599839321786604</v>
      </c>
      <c r="AJ10345">
        <v>64.996238209027894</v>
      </c>
      <c r="AK10345">
        <v>101.935570568542</v>
      </c>
      <c r="AL10345">
        <v>81.702478177267906</v>
      </c>
      <c r="AM10345">
        <v>71.893468151619601</v>
      </c>
      <c r="AN10345">
        <v>0.99999998927714995</v>
      </c>
    </row>
    <row r="10346" spans="1:40" x14ac:dyDescent="0.25">
      <c r="A10346" t="str">
        <f>"20190303162149432"</f>
        <v>20190303162149432</v>
      </c>
      <c r="B10346" t="str">
        <f>"1551601309423249"</f>
        <v>1551601309423249</v>
      </c>
      <c r="C10346" t="s">
        <v>40</v>
      </c>
      <c r="D10346">
        <v>4.8156889999999999</v>
      </c>
      <c r="E10346">
        <v>0.54623319999999997</v>
      </c>
      <c r="F10346" t="s">
        <v>41</v>
      </c>
      <c r="G10346">
        <v>-99.272639999999996</v>
      </c>
      <c r="H10346" s="1">
        <v>-2.127971E-6</v>
      </c>
      <c r="I10346">
        <v>146.5077</v>
      </c>
      <c r="J10346">
        <v>-175.41550000000001</v>
      </c>
      <c r="K10346">
        <v>1.115461</v>
      </c>
      <c r="L10346">
        <v>135.67769999999999</v>
      </c>
      <c r="M10346">
        <v>0.84293399999999996</v>
      </c>
      <c r="N10346">
        <v>-1.5462450000000001E-2</v>
      </c>
      <c r="O10346">
        <v>0.53779489999999996</v>
      </c>
      <c r="P10346">
        <v>0.95802120000000002</v>
      </c>
      <c r="Q10346">
        <v>0.13452069999999999</v>
      </c>
      <c r="R10346">
        <v>0.25317990000000001</v>
      </c>
      <c r="S10346">
        <v>3.0244900000000001</v>
      </c>
      <c r="T10346">
        <v>-4.4254059999999998E-2</v>
      </c>
      <c r="U10346">
        <v>0.4317474</v>
      </c>
      <c r="V10346">
        <v>0.30410389999999998</v>
      </c>
      <c r="W10346">
        <v>0.14442669999999999</v>
      </c>
      <c r="X10346">
        <v>0.9416272</v>
      </c>
      <c r="Y10346">
        <v>0.41324179999999999</v>
      </c>
      <c r="Z10346">
        <v>-4.9344549999999999E-3</v>
      </c>
      <c r="AA10346">
        <v>0.91060799999999997</v>
      </c>
      <c r="AB10346">
        <v>20</v>
      </c>
      <c r="AC10346">
        <v>76.142859999999999</v>
      </c>
      <c r="AD10346">
        <v>-1.1154631279709999</v>
      </c>
      <c r="AE10346">
        <v>10.83</v>
      </c>
      <c r="AF10346">
        <v>31.8173754840738</v>
      </c>
      <c r="AG10346">
        <v>-1.1154631279709999</v>
      </c>
      <c r="AH10346">
        <v>70.001363667394301</v>
      </c>
      <c r="AI10346">
        <v>90.831113773056003</v>
      </c>
      <c r="AJ10346">
        <v>65.557012666649399</v>
      </c>
      <c r="AK10346">
        <v>76.901108938552994</v>
      </c>
      <c r="AL10346">
        <v>81.695918083994798</v>
      </c>
      <c r="AM10346">
        <v>72.101840267704404</v>
      </c>
      <c r="AN10346">
        <v>1.0000000187239599</v>
      </c>
    </row>
    <row r="10347" spans="1:40" x14ac:dyDescent="0.25">
      <c r="A10347" t="str">
        <f>"20190303162149446"</f>
        <v>20190303162149446</v>
      </c>
      <c r="B10347" t="str">
        <f>"1551601309433010"</f>
        <v>1551601309433010</v>
      </c>
      <c r="C10347" t="s">
        <v>40</v>
      </c>
      <c r="D10347">
        <v>4.8117429999999999</v>
      </c>
      <c r="E10347">
        <v>0.54586979999999996</v>
      </c>
      <c r="F10347" t="s">
        <v>41</v>
      </c>
      <c r="G10347">
        <v>-108.0665</v>
      </c>
      <c r="H10347" s="1">
        <v>-2.378386E-6</v>
      </c>
      <c r="I10347">
        <v>145.1935</v>
      </c>
      <c r="J10347">
        <v>-175.30240000000001</v>
      </c>
      <c r="K10347">
        <v>1.115407</v>
      </c>
      <c r="L10347">
        <v>135.74</v>
      </c>
      <c r="M10347">
        <v>0.84689119999999996</v>
      </c>
      <c r="N10347">
        <v>-1.547343E-2</v>
      </c>
      <c r="O10347">
        <v>0.53154109999999999</v>
      </c>
      <c r="P10347">
        <v>0.9590225</v>
      </c>
      <c r="Q10347">
        <v>0.13417599999999999</v>
      </c>
      <c r="R10347">
        <v>0.2495453</v>
      </c>
      <c r="S10347">
        <v>3.0255130000000001</v>
      </c>
      <c r="T10347">
        <v>-5.0109859999999999E-2</v>
      </c>
      <c r="U10347">
        <v>0.42747499999999999</v>
      </c>
      <c r="V10347">
        <v>0.30073319999999998</v>
      </c>
      <c r="W10347">
        <v>0.14412659999999999</v>
      </c>
      <c r="X10347">
        <v>0.94275500000000001</v>
      </c>
      <c r="Y10347">
        <v>0.40778320000000001</v>
      </c>
      <c r="Z10347">
        <v>-6.2460830000000004E-3</v>
      </c>
      <c r="AA10347">
        <v>0.91305740000000002</v>
      </c>
      <c r="AB10347">
        <v>20</v>
      </c>
      <c r="AC10347">
        <v>67.235900000000001</v>
      </c>
      <c r="AD10347">
        <v>-1.115409378386</v>
      </c>
      <c r="AE10347">
        <v>9.4534999999999894</v>
      </c>
      <c r="AF10347">
        <v>27.7283946067428</v>
      </c>
      <c r="AG10347">
        <v>-1.115409378386</v>
      </c>
      <c r="AH10347">
        <v>61.957112379103798</v>
      </c>
      <c r="AI10347">
        <v>90.941418919120494</v>
      </c>
      <c r="AJ10347">
        <v>65.889491058031496</v>
      </c>
      <c r="AK10347">
        <v>67.888082753201502</v>
      </c>
      <c r="AL10347">
        <v>81.713293876679998</v>
      </c>
      <c r="AM10347">
        <v>72.307628514369597</v>
      </c>
      <c r="AN10347">
        <v>0.99999996221739895</v>
      </c>
    </row>
    <row r="10348" spans="1:40" x14ac:dyDescent="0.25">
      <c r="A10348" t="str">
        <f>"20190303162149461"</f>
        <v>20190303162149461</v>
      </c>
      <c r="B10348" t="str">
        <f>"1551601309453505"</f>
        <v>1551601309453505</v>
      </c>
      <c r="C10348" t="s">
        <v>40</v>
      </c>
      <c r="D10348">
        <v>4.846457</v>
      </c>
      <c r="E10348">
        <v>0.54524259999999902</v>
      </c>
      <c r="F10348" t="s">
        <v>41</v>
      </c>
      <c r="G10348">
        <v>-114.8634</v>
      </c>
      <c r="H10348" s="1">
        <v>-3.3757850000000002E-6</v>
      </c>
      <c r="I10348">
        <v>144.0883</v>
      </c>
      <c r="J10348">
        <v>-175.17519999999999</v>
      </c>
      <c r="K10348">
        <v>1.1153439999999999</v>
      </c>
      <c r="L10348">
        <v>135.80840000000001</v>
      </c>
      <c r="M10348">
        <v>0.85133029999999998</v>
      </c>
      <c r="N10348">
        <v>-1.548834E-2</v>
      </c>
      <c r="O10348">
        <v>0.52440149999999996</v>
      </c>
      <c r="P10348">
        <v>0.960287</v>
      </c>
      <c r="Q10348">
        <v>0.13402539999999999</v>
      </c>
      <c r="R10348">
        <v>0.2447165</v>
      </c>
      <c r="S10348">
        <v>3.0272060000000001</v>
      </c>
      <c r="T10348">
        <v>-5.5867430000000003E-2</v>
      </c>
      <c r="U10348">
        <v>0.41813660000000002</v>
      </c>
      <c r="V10348">
        <v>0.29757220000000001</v>
      </c>
      <c r="W10348">
        <v>0.14401140000000001</v>
      </c>
      <c r="X10348">
        <v>0.94377509999999998</v>
      </c>
      <c r="Y10348">
        <v>0.4029163</v>
      </c>
      <c r="Z10348">
        <v>-7.5128740000000001E-3</v>
      </c>
      <c r="AA10348">
        <v>0.91520599999999996</v>
      </c>
      <c r="AB10348">
        <v>20</v>
      </c>
      <c r="AC10348">
        <v>60.311799999999899</v>
      </c>
      <c r="AD10348">
        <v>-1.1153473757850001</v>
      </c>
      <c r="AE10348">
        <v>8.2798999999999907</v>
      </c>
      <c r="AF10348">
        <v>24.573367559306501</v>
      </c>
      <c r="AG10348">
        <v>-1.1153473757850001</v>
      </c>
      <c r="AH10348">
        <v>55.675244253175997</v>
      </c>
      <c r="AI10348">
        <v>91.0499608613123</v>
      </c>
      <c r="AJ10348">
        <v>66.184788228560194</v>
      </c>
      <c r="AK10348">
        <v>60.8672918374414</v>
      </c>
      <c r="AL10348">
        <v>81.719963987222698</v>
      </c>
      <c r="AM10348">
        <v>72.4999417988071</v>
      </c>
      <c r="AN10348">
        <v>0.99999996846140404</v>
      </c>
    </row>
    <row r="10349" spans="1:40" x14ac:dyDescent="0.25">
      <c r="A10349" t="str">
        <f>"20190303162149476"</f>
        <v>20190303162149476</v>
      </c>
      <c r="B10349" t="str">
        <f>"1551601309463266"</f>
        <v>1551601309463266</v>
      </c>
      <c r="C10349" t="s">
        <v>40</v>
      </c>
      <c r="D10349">
        <v>4.8422999999999998</v>
      </c>
      <c r="E10349">
        <v>0.54495729999999998</v>
      </c>
      <c r="F10349" t="s">
        <v>41</v>
      </c>
      <c r="G10349">
        <v>-123.9268</v>
      </c>
      <c r="H10349" s="1">
        <v>-3.408284E-6</v>
      </c>
      <c r="I10349">
        <v>142.7002</v>
      </c>
      <c r="J10349">
        <v>-175.0582</v>
      </c>
      <c r="K10349">
        <v>1.115283</v>
      </c>
      <c r="L10349">
        <v>135.8699</v>
      </c>
      <c r="M10349">
        <v>0.85538409999999998</v>
      </c>
      <c r="N10349">
        <v>-1.5503619999999999E-2</v>
      </c>
      <c r="O10349">
        <v>0.51776239999999996</v>
      </c>
      <c r="P10349">
        <v>0.96049640000000003</v>
      </c>
      <c r="Q10349">
        <v>0.13324079999999999</v>
      </c>
      <c r="R10349">
        <v>0.24432300000000001</v>
      </c>
      <c r="S10349">
        <v>3.0294340000000002</v>
      </c>
      <c r="T10349">
        <v>-6.5931199999999995E-2</v>
      </c>
      <c r="U10349">
        <v>0.40739439999999999</v>
      </c>
      <c r="V10349">
        <v>0.29065879999999999</v>
      </c>
      <c r="W10349">
        <v>0.14334269999999999</v>
      </c>
      <c r="X10349">
        <v>0.94602869999999994</v>
      </c>
      <c r="Y10349">
        <v>0.39903100000000002</v>
      </c>
      <c r="Z10349">
        <v>-9.7414119999999996E-3</v>
      </c>
      <c r="AA10349">
        <v>0.91688570000000003</v>
      </c>
      <c r="AB10349">
        <v>20</v>
      </c>
      <c r="AC10349">
        <v>51.131399999999999</v>
      </c>
      <c r="AD10349">
        <v>-1.1152864082839999</v>
      </c>
      <c r="AE10349">
        <v>6.8302999999999896</v>
      </c>
      <c r="AF10349">
        <v>20.624223635251901</v>
      </c>
      <c r="AG10349">
        <v>-1.1152864082839999</v>
      </c>
      <c r="AH10349">
        <v>47.257046872578897</v>
      </c>
      <c r="AI10349">
        <v>91.239127171359002</v>
      </c>
      <c r="AJ10349">
        <v>66.422272182304297</v>
      </c>
      <c r="AK10349">
        <v>51.573548873880199</v>
      </c>
      <c r="AL10349">
        <v>81.758679496021898</v>
      </c>
      <c r="AM10349">
        <v>72.920895893922093</v>
      </c>
      <c r="AN10349">
        <v>0.99999998444220894</v>
      </c>
    </row>
    <row r="10350" spans="1:40" x14ac:dyDescent="0.25">
      <c r="A10350" t="str">
        <f>"20190303162149495"</f>
        <v>20190303162149495</v>
      </c>
      <c r="B10350" t="str">
        <f>"1551601309482785"</f>
        <v>1551601309482785</v>
      </c>
      <c r="C10350" t="s">
        <v>40</v>
      </c>
      <c r="D10350">
        <v>4.8518610000000004</v>
      </c>
      <c r="E10350">
        <v>0.54481279999999999</v>
      </c>
      <c r="F10350" t="s">
        <v>41</v>
      </c>
      <c r="G10350">
        <v>-128.1328</v>
      </c>
      <c r="H10350" s="1">
        <v>-1.4634029999999999E-6</v>
      </c>
      <c r="I10350">
        <v>142.1722</v>
      </c>
      <c r="J10350">
        <v>-174.90430000000001</v>
      </c>
      <c r="K10350">
        <v>1.1152040000000001</v>
      </c>
      <c r="L10350">
        <v>135.94909999999999</v>
      </c>
      <c r="M10350">
        <v>0.86067959999999999</v>
      </c>
      <c r="N10350">
        <v>-1.5526130000000001E-2</v>
      </c>
      <c r="O10350">
        <v>0.50891030000000004</v>
      </c>
      <c r="P10350">
        <v>0.96079899999999996</v>
      </c>
      <c r="Q10350">
        <v>0.1338442</v>
      </c>
      <c r="R10350">
        <v>0.24279880000000001</v>
      </c>
      <c r="S10350">
        <v>3.0298609999999999</v>
      </c>
      <c r="T10350">
        <v>-7.2011229999999996E-2</v>
      </c>
      <c r="U10350">
        <v>0.40692139999999999</v>
      </c>
      <c r="V10350">
        <v>0.28236820000000001</v>
      </c>
      <c r="W10350">
        <v>0.1440794</v>
      </c>
      <c r="X10350">
        <v>0.94842470000000001</v>
      </c>
      <c r="Y10350">
        <v>0.38968459999999999</v>
      </c>
      <c r="Z10350">
        <v>-1.09093E-2</v>
      </c>
      <c r="AA10350">
        <v>0.92088380000000003</v>
      </c>
      <c r="AB10350">
        <v>20</v>
      </c>
      <c r="AC10350">
        <v>46.771500000000003</v>
      </c>
      <c r="AD10350">
        <v>-1.115205463403</v>
      </c>
      <c r="AE10350">
        <v>6.2231000000000103</v>
      </c>
      <c r="AF10350">
        <v>18.438325205835099</v>
      </c>
      <c r="AG10350">
        <v>-1.115205463403</v>
      </c>
      <c r="AH10350">
        <v>43.403261003594999</v>
      </c>
      <c r="AI10350">
        <v>91.354712885347197</v>
      </c>
      <c r="AJ10350">
        <v>66.983521444532798</v>
      </c>
      <c r="AK10350">
        <v>47.170526659853302</v>
      </c>
      <c r="AL10350">
        <v>81.716027433124196</v>
      </c>
      <c r="AM10350">
        <v>73.420501414735298</v>
      </c>
      <c r="AN10350">
        <v>1.0000000427228399</v>
      </c>
    </row>
    <row r="10351" spans="1:40" x14ac:dyDescent="0.25">
      <c r="A10351" t="str">
        <f>"20190303162149510"</f>
        <v>20190303162149510</v>
      </c>
      <c r="B10351" t="str">
        <f>"1551601309503283"</f>
        <v>1551601309503283</v>
      </c>
      <c r="C10351" t="s">
        <v>40</v>
      </c>
      <c r="D10351">
        <v>4.8629020000000001</v>
      </c>
      <c r="E10351">
        <v>0.54466079999999994</v>
      </c>
      <c r="F10351" t="s">
        <v>41</v>
      </c>
      <c r="G10351">
        <v>-128.01410000000001</v>
      </c>
      <c r="H10351" s="1">
        <v>-1.5138929999999901E-6</v>
      </c>
      <c r="I10351">
        <v>142.1705</v>
      </c>
      <c r="J10351">
        <v>-174.78319999999999</v>
      </c>
      <c r="K10351">
        <v>1.115146</v>
      </c>
      <c r="L10351">
        <v>136.00989999999999</v>
      </c>
      <c r="M10351">
        <v>0.86481669999999999</v>
      </c>
      <c r="N10351">
        <v>-1.554585E-2</v>
      </c>
      <c r="O10351">
        <v>0.50184709999999999</v>
      </c>
      <c r="P10351">
        <v>0.96164079999999996</v>
      </c>
      <c r="Q10351">
        <v>0.13449140000000001</v>
      </c>
      <c r="R10351">
        <v>0.23907990000000001</v>
      </c>
      <c r="S10351">
        <v>3.0308229999999998</v>
      </c>
      <c r="T10351">
        <v>-7.2082999999999994E-2</v>
      </c>
      <c r="U10351">
        <v>0.40213009999999999</v>
      </c>
      <c r="V10351">
        <v>0.27825149999999998</v>
      </c>
      <c r="W10351">
        <v>0.14478189999999999</v>
      </c>
      <c r="X10351">
        <v>0.94953370000000004</v>
      </c>
      <c r="Y10351">
        <v>0.38360820000000001</v>
      </c>
      <c r="Z10351">
        <v>-1.0777220000000001E-2</v>
      </c>
      <c r="AA10351">
        <v>0.92343310000000001</v>
      </c>
      <c r="AB10351">
        <v>20</v>
      </c>
      <c r="AC10351">
        <v>46.769099999999902</v>
      </c>
      <c r="AD10351">
        <v>-1.115147513893</v>
      </c>
      <c r="AE10351">
        <v>6.1606000000000103</v>
      </c>
      <c r="AF10351">
        <v>18.135204798102698</v>
      </c>
      <c r="AG10351">
        <v>-1.115147513893</v>
      </c>
      <c r="AH10351">
        <v>43.519317887345501</v>
      </c>
      <c r="AI10351">
        <v>91.354946539589406</v>
      </c>
      <c r="AJ10351">
        <v>67.377716849449399</v>
      </c>
      <c r="AK10351">
        <v>47.159943134260701</v>
      </c>
      <c r="AL10351">
        <v>81.675350053718503</v>
      </c>
      <c r="AM10351">
        <v>73.667296852252704</v>
      </c>
      <c r="AN10351">
        <v>0.99999997162777399</v>
      </c>
    </row>
    <row r="10352" spans="1:40" x14ac:dyDescent="0.25">
      <c r="A10352" t="str">
        <f>"20190303162149523"</f>
        <v>20190303162149523</v>
      </c>
      <c r="B10352" t="str">
        <f>"1551601309513041"</f>
        <v>1551601309513041</v>
      </c>
      <c r="C10352" t="s">
        <v>40</v>
      </c>
      <c r="D10352">
        <v>4.9017169999999997</v>
      </c>
      <c r="E10352">
        <v>0.54438609999999998</v>
      </c>
      <c r="F10352" t="s">
        <v>41</v>
      </c>
      <c r="G10352">
        <v>-127.61969999999999</v>
      </c>
      <c r="H10352" s="1">
        <v>-1.6615520000000001E-6</v>
      </c>
      <c r="I10352">
        <v>142.08969999999999</v>
      </c>
      <c r="J10352">
        <v>-174.67519999999999</v>
      </c>
      <c r="K10352">
        <v>1.115089</v>
      </c>
      <c r="L10352">
        <v>136.06309999999999</v>
      </c>
      <c r="M10352">
        <v>0.86848009999999998</v>
      </c>
      <c r="N10352">
        <v>-1.5564669999999999E-2</v>
      </c>
      <c r="O10352">
        <v>0.49547980000000003</v>
      </c>
      <c r="P10352">
        <v>0.96213360000000003</v>
      </c>
      <c r="Q10352">
        <v>0.1353232</v>
      </c>
      <c r="R10352">
        <v>0.23661509999999999</v>
      </c>
      <c r="S10352">
        <v>3.0325009999999999</v>
      </c>
      <c r="T10352">
        <v>-7.1701290000000001E-2</v>
      </c>
      <c r="U10352">
        <v>0.39091490000000001</v>
      </c>
      <c r="V10352">
        <v>0.27367390000000003</v>
      </c>
      <c r="W10352">
        <v>0.14568349999999999</v>
      </c>
      <c r="X10352">
        <v>0.95072540000000005</v>
      </c>
      <c r="Y10352">
        <v>0.3802488</v>
      </c>
      <c r="Z10352">
        <v>-1.060007E-2</v>
      </c>
      <c r="AA10352">
        <v>0.92482350000000002</v>
      </c>
      <c r="AB10352">
        <v>20</v>
      </c>
      <c r="AC10352">
        <v>47.055500000000002</v>
      </c>
      <c r="AD10352">
        <v>-1.115090661552</v>
      </c>
      <c r="AE10352">
        <v>6.0266000000000002</v>
      </c>
      <c r="AF10352">
        <v>18.073271008441299</v>
      </c>
      <c r="AG10352">
        <v>-1.115090661552</v>
      </c>
      <c r="AH10352">
        <v>43.833914586404198</v>
      </c>
      <c r="AI10352">
        <v>91.347253356870596</v>
      </c>
      <c r="AJ10352">
        <v>67.593033805004694</v>
      </c>
      <c r="AK10352">
        <v>47.4267711329395</v>
      </c>
      <c r="AL10352">
        <v>81.623138304001699</v>
      </c>
      <c r="AM10352">
        <v>73.941113281569699</v>
      </c>
      <c r="AN10352">
        <v>0.99999993595930803</v>
      </c>
    </row>
    <row r="10353" spans="1:40" x14ac:dyDescent="0.25">
      <c r="A10353" t="str">
        <f>"20190303162149537"</f>
        <v>20190303162149537</v>
      </c>
      <c r="B10353" t="str">
        <f>"1551601309532561"</f>
        <v>1551601309532561</v>
      </c>
      <c r="C10353" t="s">
        <v>40</v>
      </c>
      <c r="D10353">
        <v>4.936172</v>
      </c>
      <c r="E10353">
        <v>0.54392869999999904</v>
      </c>
      <c r="F10353" t="s">
        <v>41</v>
      </c>
      <c r="G10353">
        <v>-127.8633</v>
      </c>
      <c r="H10353" s="1">
        <v>-1.533102E-6</v>
      </c>
      <c r="I10353">
        <v>141.99959999999999</v>
      </c>
      <c r="J10353">
        <v>-174.56610000000001</v>
      </c>
      <c r="K10353">
        <v>1.1150370000000001</v>
      </c>
      <c r="L10353">
        <v>136.11529999999999</v>
      </c>
      <c r="M10353">
        <v>0.87216899999999997</v>
      </c>
      <c r="N10353">
        <v>-1.5585430000000001E-2</v>
      </c>
      <c r="O10353">
        <v>0.48895630000000001</v>
      </c>
      <c r="P10353">
        <v>0.96267919999999996</v>
      </c>
      <c r="Q10353">
        <v>0.13617779999999999</v>
      </c>
      <c r="R10353">
        <v>0.23388980000000001</v>
      </c>
      <c r="S10353">
        <v>3.03363</v>
      </c>
      <c r="T10353">
        <v>-7.2262999999999994E-2</v>
      </c>
      <c r="U10353">
        <v>0.3847198</v>
      </c>
      <c r="V10353">
        <v>0.26920529999999998</v>
      </c>
      <c r="W10353">
        <v>0.14660809999999999</v>
      </c>
      <c r="X10353">
        <v>0.95185850000000005</v>
      </c>
      <c r="Y10353">
        <v>0.37521270000000001</v>
      </c>
      <c r="Z10353">
        <v>-1.059364E-2</v>
      </c>
      <c r="AA10353">
        <v>0.92687819999999999</v>
      </c>
      <c r="AB10353">
        <v>20</v>
      </c>
      <c r="AC10353">
        <v>46.702800000000003</v>
      </c>
      <c r="AD10353">
        <v>-1.1150385331020001</v>
      </c>
      <c r="AE10353">
        <v>5.8842999999999899</v>
      </c>
      <c r="AF10353">
        <v>17.695745972078399</v>
      </c>
      <c r="AG10353">
        <v>-1.1150385331020001</v>
      </c>
      <c r="AH10353">
        <v>43.5907393643053</v>
      </c>
      <c r="AI10353">
        <v>91.357725113880207</v>
      </c>
      <c r="AJ10353">
        <v>67.905210696219299</v>
      </c>
      <c r="AK10353">
        <v>47.0588492715816</v>
      </c>
      <c r="AL10353">
        <v>81.569588332728102</v>
      </c>
      <c r="AM10353">
        <v>74.207998047057202</v>
      </c>
      <c r="AN10353">
        <v>1.0000000162779701</v>
      </c>
    </row>
    <row r="10354" spans="1:40" x14ac:dyDescent="0.25">
      <c r="A10354" t="str">
        <f>"20190303162149552"</f>
        <v>20190303162149552</v>
      </c>
      <c r="B10354" t="str">
        <f>"1551601309543297"</f>
        <v>1551601309543297</v>
      </c>
      <c r="C10354" t="s">
        <v>40</v>
      </c>
      <c r="D10354">
        <v>4.9417759999999999</v>
      </c>
      <c r="E10354">
        <v>0.54371559999999997</v>
      </c>
      <c r="F10354" t="s">
        <v>41</v>
      </c>
      <c r="G10354">
        <v>-129.81100000000001</v>
      </c>
      <c r="H10354" s="1">
        <v>-6.1965239999999999E-7</v>
      </c>
      <c r="I10354">
        <v>141.70679999999999</v>
      </c>
      <c r="J10354">
        <v>-174.44880000000001</v>
      </c>
      <c r="K10354">
        <v>1.114989</v>
      </c>
      <c r="L10354">
        <v>136.1705</v>
      </c>
      <c r="M10354">
        <v>0.8760983</v>
      </c>
      <c r="N10354">
        <v>-1.5607899999999999E-2</v>
      </c>
      <c r="O10354">
        <v>0.48187999999999998</v>
      </c>
      <c r="P10354">
        <v>0.96207259999999994</v>
      </c>
      <c r="Q10354">
        <v>0.13839570000000001</v>
      </c>
      <c r="R10354">
        <v>0.2350806</v>
      </c>
      <c r="S10354">
        <v>3.034897</v>
      </c>
      <c r="T10354">
        <v>-7.5611949999999997E-2</v>
      </c>
      <c r="U10354">
        <v>0.37916559999999999</v>
      </c>
      <c r="V10354">
        <v>0.26019979999999998</v>
      </c>
      <c r="W10354">
        <v>0.1489897</v>
      </c>
      <c r="X10354">
        <v>0.95399060000000002</v>
      </c>
      <c r="Y10354">
        <v>0.36940669999999998</v>
      </c>
      <c r="Z10354">
        <v>-1.115651E-2</v>
      </c>
      <c r="AA10354">
        <v>0.92920080000000005</v>
      </c>
      <c r="AB10354">
        <v>20</v>
      </c>
      <c r="AC10354">
        <v>44.637799999999999</v>
      </c>
      <c r="AD10354">
        <v>-1.1149896196523901</v>
      </c>
      <c r="AE10354">
        <v>5.5362999999999802</v>
      </c>
      <c r="AF10354">
        <v>16.651516200305799</v>
      </c>
      <c r="AG10354">
        <v>-1.1149896196523901</v>
      </c>
      <c r="AH10354">
        <v>41.754361460107098</v>
      </c>
      <c r="AI10354">
        <v>91.420867329498094</v>
      </c>
      <c r="AJ10354">
        <v>68.258032324514403</v>
      </c>
      <c r="AK10354">
        <v>44.966019331960602</v>
      </c>
      <c r="AL10354">
        <v>81.431616960309597</v>
      </c>
      <c r="AM10354">
        <v>74.7437327891802</v>
      </c>
      <c r="AN10354">
        <v>0.99999996575724404</v>
      </c>
    </row>
    <row r="10355" spans="1:40" x14ac:dyDescent="0.25">
      <c r="A10355" t="str">
        <f>"20190303162149569"</f>
        <v>20190303162149569</v>
      </c>
      <c r="B10355" t="str">
        <f>"1551601309562818"</f>
        <v>1551601309562818</v>
      </c>
      <c r="C10355" t="s">
        <v>40</v>
      </c>
      <c r="D10355">
        <v>4.908404</v>
      </c>
      <c r="E10355">
        <v>0.54364129999999999</v>
      </c>
      <c r="F10355" t="s">
        <v>41</v>
      </c>
      <c r="G10355">
        <v>-126.3657</v>
      </c>
      <c r="H10355" s="1">
        <v>-2.2381900000000002E-6</v>
      </c>
      <c r="I10355">
        <v>142.23490000000001</v>
      </c>
      <c r="J10355">
        <v>-174.30350000000001</v>
      </c>
      <c r="K10355">
        <v>1.114922</v>
      </c>
      <c r="L10355">
        <v>136.2371</v>
      </c>
      <c r="M10355">
        <v>0.8809205</v>
      </c>
      <c r="N10355">
        <v>-1.5636029999999999E-2</v>
      </c>
      <c r="O10355">
        <v>0.47300599999999998</v>
      </c>
      <c r="P10355">
        <v>0.96325620000000001</v>
      </c>
      <c r="Q10355">
        <v>0.1394898</v>
      </c>
      <c r="R10355">
        <v>0.22952159999999999</v>
      </c>
      <c r="S10355">
        <v>3.0348510000000002</v>
      </c>
      <c r="T10355">
        <v>-7.0374610000000004E-2</v>
      </c>
      <c r="U10355">
        <v>0.38276670000000002</v>
      </c>
      <c r="V10355">
        <v>0.25603189999999998</v>
      </c>
      <c r="W10355">
        <v>0.150149</v>
      </c>
      <c r="X10355">
        <v>0.95493609999999896</v>
      </c>
      <c r="Y10355">
        <v>0.35893950000000002</v>
      </c>
      <c r="Z10355">
        <v>-9.8057249999999995E-3</v>
      </c>
      <c r="AA10355">
        <v>0.93330930000000001</v>
      </c>
      <c r="AB10355">
        <v>20</v>
      </c>
      <c r="AC10355">
        <v>47.937800000000003</v>
      </c>
      <c r="AD10355">
        <v>-1.11492423819</v>
      </c>
      <c r="AE10355">
        <v>5.9978000000000096</v>
      </c>
      <c r="AF10355">
        <v>17.384149094979499</v>
      </c>
      <c r="AG10355">
        <v>-1.11492423819</v>
      </c>
      <c r="AH10355">
        <v>45.047902354030299</v>
      </c>
      <c r="AI10355">
        <v>91.322729541490006</v>
      </c>
      <c r="AJ10355">
        <v>68.898217390984598</v>
      </c>
      <c r="AK10355">
        <v>48.298708081186099</v>
      </c>
      <c r="AL10355">
        <v>81.364438625966898</v>
      </c>
      <c r="AM10355">
        <v>74.991181035917293</v>
      </c>
      <c r="AN10355">
        <v>1.0000000055509</v>
      </c>
    </row>
    <row r="10356" spans="1:40" x14ac:dyDescent="0.25">
      <c r="A10356" t="str">
        <f>"20190303162149586"</f>
        <v>20190303162149586</v>
      </c>
      <c r="B10356" t="str">
        <f>"1551601309572577"</f>
        <v>1551601309572577</v>
      </c>
      <c r="C10356" t="s">
        <v>40</v>
      </c>
      <c r="D10356">
        <v>4.9208590000000001</v>
      </c>
      <c r="E10356">
        <v>0.54356400000000005</v>
      </c>
      <c r="F10356" t="s">
        <v>41</v>
      </c>
      <c r="G10356">
        <v>-125.7319</v>
      </c>
      <c r="H10356" s="1">
        <v>-2.467512E-6</v>
      </c>
      <c r="I10356">
        <v>142.07490000000001</v>
      </c>
      <c r="J10356">
        <v>-174.16909999999999</v>
      </c>
      <c r="K10356">
        <v>1.114857</v>
      </c>
      <c r="L10356">
        <v>136.2971</v>
      </c>
      <c r="M10356">
        <v>0.885331599999999</v>
      </c>
      <c r="N10356">
        <v>-1.5661620000000001E-2</v>
      </c>
      <c r="O10356">
        <v>0.46469650000000001</v>
      </c>
      <c r="P10356">
        <v>0.96434129999999996</v>
      </c>
      <c r="Q10356">
        <v>0.14011009999999999</v>
      </c>
      <c r="R10356">
        <v>0.22453300000000001</v>
      </c>
      <c r="S10356">
        <v>3.0375519999999998</v>
      </c>
      <c r="T10356">
        <v>-6.9724560000000005E-2</v>
      </c>
      <c r="U10356">
        <v>0.36508180000000001</v>
      </c>
      <c r="V10356">
        <v>0.25196990000000002</v>
      </c>
      <c r="W10356">
        <v>0.15084059999999999</v>
      </c>
      <c r="X10356">
        <v>0.95590699999999995</v>
      </c>
      <c r="Y10356">
        <v>0.35561559999999998</v>
      </c>
      <c r="Z10356">
        <v>-9.5697379999999995E-3</v>
      </c>
      <c r="AA10356">
        <v>0.93458330000000001</v>
      </c>
      <c r="AB10356">
        <v>20</v>
      </c>
      <c r="AC10356">
        <v>48.437199999999898</v>
      </c>
      <c r="AD10356">
        <v>-1.114859467512</v>
      </c>
      <c r="AE10356">
        <v>5.7778000000000098</v>
      </c>
      <c r="AF10356">
        <v>17.386379063100001</v>
      </c>
      <c r="AG10356">
        <v>-1.114859467512</v>
      </c>
      <c r="AH10356">
        <v>45.549701017350202</v>
      </c>
      <c r="AI10356">
        <v>91.309926349167498</v>
      </c>
      <c r="AJ10356">
        <v>69.108080615820796</v>
      </c>
      <c r="AK10356">
        <v>48.7678618695561</v>
      </c>
      <c r="AL10356">
        <v>81.324355916312399</v>
      </c>
      <c r="AM10356">
        <v>75.233152261285696</v>
      </c>
      <c r="AN10356">
        <v>0.99999995488168303</v>
      </c>
    </row>
    <row r="10357" spans="1:40" x14ac:dyDescent="0.25">
      <c r="A10357" t="str">
        <f>"20190303162149600"</f>
        <v>20190303162149600</v>
      </c>
      <c r="B10357" t="str">
        <f>"1551601309593074"</f>
        <v>1551601309593074</v>
      </c>
      <c r="C10357" t="s">
        <v>40</v>
      </c>
      <c r="D10357">
        <v>4.9234400000000003</v>
      </c>
      <c r="E10357">
        <v>0.543458</v>
      </c>
      <c r="F10357" t="s">
        <v>41</v>
      </c>
      <c r="G10357">
        <v>-125.23399999999999</v>
      </c>
      <c r="H10357" s="1">
        <v>-2.6409380000000002E-6</v>
      </c>
      <c r="I10357">
        <v>141.92400000000001</v>
      </c>
      <c r="J10357">
        <v>-174.0436</v>
      </c>
      <c r="K10357">
        <v>1.1148119999999999</v>
      </c>
      <c r="L10357">
        <v>136.35140000000001</v>
      </c>
      <c r="M10357">
        <v>0.88940030000000003</v>
      </c>
      <c r="N10357">
        <v>-1.5684409999999999E-2</v>
      </c>
      <c r="O10357">
        <v>0.45685989999999999</v>
      </c>
      <c r="P10357">
        <v>0.96471689999999999</v>
      </c>
      <c r="Q10357">
        <v>0.1396714</v>
      </c>
      <c r="R10357">
        <v>0.22318850000000001</v>
      </c>
      <c r="S10357">
        <v>3.039612</v>
      </c>
      <c r="T10357">
        <v>-6.9249749999999999E-2</v>
      </c>
      <c r="U10357">
        <v>0.34951779999999999</v>
      </c>
      <c r="V10357">
        <v>0.24487600000000001</v>
      </c>
      <c r="W10357">
        <v>0.15054879999999901</v>
      </c>
      <c r="X10357">
        <v>0.95779479999999995</v>
      </c>
      <c r="Y10357">
        <v>0.35215849999999999</v>
      </c>
      <c r="Z10357">
        <v>-9.3735780000000005E-3</v>
      </c>
      <c r="AA10357">
        <v>0.93589339999999999</v>
      </c>
      <c r="AB10357">
        <v>19</v>
      </c>
      <c r="AC10357">
        <v>48.809600000000003</v>
      </c>
      <c r="AD10357">
        <v>-1.114814640938</v>
      </c>
      <c r="AE10357">
        <v>5.5725999999999898</v>
      </c>
      <c r="AF10357">
        <v>17.3360843015633</v>
      </c>
      <c r="AG10357">
        <v>-1.114814640938</v>
      </c>
      <c r="AH10357">
        <v>45.9391706423377</v>
      </c>
      <c r="AI10357">
        <v>91.300639193964898</v>
      </c>
      <c r="AJ10357">
        <v>69.324976735430099</v>
      </c>
      <c r="AK10357">
        <v>49.1140512470758</v>
      </c>
      <c r="AL10357">
        <v>81.341268678076801</v>
      </c>
      <c r="AM10357">
        <v>75.658600268346703</v>
      </c>
      <c r="AN10357">
        <v>1.00000003773223</v>
      </c>
    </row>
    <row r="10358" spans="1:40" x14ac:dyDescent="0.25">
      <c r="A10358" t="str">
        <f>"20190303162149614"</f>
        <v>20190303162149614</v>
      </c>
      <c r="B10358" t="str">
        <f>"1551601309602834"</f>
        <v>1551601309602834</v>
      </c>
      <c r="C10358" t="s">
        <v>40</v>
      </c>
      <c r="D10358">
        <v>4.9325780000000004</v>
      </c>
      <c r="E10358">
        <v>0.54342599999999996</v>
      </c>
      <c r="F10358" t="s">
        <v>41</v>
      </c>
      <c r="G10358">
        <v>-128.34010000000001</v>
      </c>
      <c r="H10358" s="1">
        <v>-1.2127630000000001E-6</v>
      </c>
      <c r="I10358">
        <v>141.5643</v>
      </c>
      <c r="J10358">
        <v>-173.9366</v>
      </c>
      <c r="K10358">
        <v>1.1147830000000001</v>
      </c>
      <c r="L10358">
        <v>136.3965</v>
      </c>
      <c r="M10358">
        <v>0.89282629999999996</v>
      </c>
      <c r="N10358">
        <v>-1.5702130000000002E-2</v>
      </c>
      <c r="O10358">
        <v>0.45012740000000001</v>
      </c>
      <c r="P10358">
        <v>0.96587190000000001</v>
      </c>
      <c r="Q10358">
        <v>0.1382766</v>
      </c>
      <c r="R10358">
        <v>0.21902289999999999</v>
      </c>
      <c r="S10358">
        <v>3.0402369999999999</v>
      </c>
      <c r="T10358">
        <v>-7.4158189999999999E-2</v>
      </c>
      <c r="U10358">
        <v>0.3467712</v>
      </c>
      <c r="V10358">
        <v>0.24184159999999999</v>
      </c>
      <c r="W10358">
        <v>0.14922260000000001</v>
      </c>
      <c r="X10358">
        <v>0.95877279999999998</v>
      </c>
      <c r="Y10358">
        <v>0.34591739999999999</v>
      </c>
      <c r="Z10358">
        <v>-1.020393E-2</v>
      </c>
      <c r="AA10358">
        <v>0.93820950000000003</v>
      </c>
      <c r="AB10358">
        <v>19</v>
      </c>
      <c r="AC10358">
        <v>45.596499999999899</v>
      </c>
      <c r="AD10358">
        <v>-1.1147842127629899</v>
      </c>
      <c r="AE10358">
        <v>5.1677999999999997</v>
      </c>
      <c r="AF10358">
        <v>15.902862364138899</v>
      </c>
      <c r="AG10358">
        <v>-1.1147842127629899</v>
      </c>
      <c r="AH10358">
        <v>43.0158418328284</v>
      </c>
      <c r="AI10358">
        <v>91.392454671411997</v>
      </c>
      <c r="AJ10358">
        <v>69.710757289257899</v>
      </c>
      <c r="AK10358">
        <v>45.8748997143392</v>
      </c>
      <c r="AL10358">
        <v>81.418122322165701</v>
      </c>
      <c r="AM10358">
        <v>75.842985279330804</v>
      </c>
      <c r="AN10358">
        <v>1.0000000129305799</v>
      </c>
    </row>
    <row r="10359" spans="1:40" x14ac:dyDescent="0.25">
      <c r="A10359" t="str">
        <f>"20190303162149627"</f>
        <v>20190303162149627</v>
      </c>
      <c r="B10359" t="str">
        <f>"1551601309623329"</f>
        <v>1551601309623329</v>
      </c>
      <c r="C10359" t="s">
        <v>40</v>
      </c>
      <c r="D10359">
        <v>4.9431260000000004</v>
      </c>
      <c r="E10359">
        <v>0.54354399999999903</v>
      </c>
      <c r="F10359" t="s">
        <v>41</v>
      </c>
      <c r="G10359">
        <v>-132.0377</v>
      </c>
      <c r="H10359" s="1">
        <v>-3.7680300000000002E-6</v>
      </c>
      <c r="I10359">
        <v>141.00649999999999</v>
      </c>
      <c r="J10359">
        <v>-173.82919999999999</v>
      </c>
      <c r="K10359">
        <v>1.114754</v>
      </c>
      <c r="L10359">
        <v>136.44110000000001</v>
      </c>
      <c r="M10359">
        <v>0.89621899999999999</v>
      </c>
      <c r="N10359">
        <v>-1.5718619999999999E-2</v>
      </c>
      <c r="O10359">
        <v>0.44333339999999999</v>
      </c>
      <c r="P10359">
        <v>0.96716999999999997</v>
      </c>
      <c r="Q10359">
        <v>0.1360711</v>
      </c>
      <c r="R10359">
        <v>0.2146323</v>
      </c>
      <c r="S10359">
        <v>3.0417019999999999</v>
      </c>
      <c r="T10359">
        <v>-8.0929280000000006E-2</v>
      </c>
      <c r="U10359">
        <v>0.334671</v>
      </c>
      <c r="V10359">
        <v>0.23901610000000001</v>
      </c>
      <c r="W10359">
        <v>0.14708679999999999</v>
      </c>
      <c r="X10359">
        <v>0.95981079999999996</v>
      </c>
      <c r="Y10359">
        <v>0.3424953</v>
      </c>
      <c r="Z10359">
        <v>-1.142844E-2</v>
      </c>
      <c r="AA10359">
        <v>0.93945000000000001</v>
      </c>
      <c r="AB10359">
        <v>19</v>
      </c>
      <c r="AC10359">
        <v>41.7914999999999</v>
      </c>
      <c r="AD10359">
        <v>-1.11475776802999</v>
      </c>
      <c r="AE10359">
        <v>4.5653999999999799</v>
      </c>
      <c r="AF10359">
        <v>14.4276083176916</v>
      </c>
      <c r="AG10359">
        <v>-1.11475776802999</v>
      </c>
      <c r="AH10359">
        <v>39.455464979063997</v>
      </c>
      <c r="AI10359">
        <v>91.519996080305205</v>
      </c>
      <c r="AJ10359">
        <v>69.914141673813901</v>
      </c>
      <c r="AK10359">
        <v>42.0253766593978</v>
      </c>
      <c r="AL10359">
        <v>81.541860085527603</v>
      </c>
      <c r="AM10359">
        <v>76.016389979875001</v>
      </c>
      <c r="AN10359">
        <v>0.99999999729504496</v>
      </c>
    </row>
    <row r="10360" spans="1:40" x14ac:dyDescent="0.25">
      <c r="A10360" t="str">
        <f>"20190303162149639"</f>
        <v>20190303162149639</v>
      </c>
      <c r="B10360" t="str">
        <f>"1551601309633089"</f>
        <v>1551601309633089</v>
      </c>
      <c r="C10360" t="s">
        <v>40</v>
      </c>
      <c r="D10360">
        <v>4.9877339999999997</v>
      </c>
      <c r="E10360">
        <v>0.5434869</v>
      </c>
      <c r="F10360" t="s">
        <v>41</v>
      </c>
      <c r="G10360">
        <v>-136.67519999999999</v>
      </c>
      <c r="H10360" s="1">
        <v>-1.6031759999999999E-6</v>
      </c>
      <c r="I10360">
        <v>140.34739999999999</v>
      </c>
      <c r="J10360">
        <v>-173.72219999999999</v>
      </c>
      <c r="K10360">
        <v>1.1147309999999999</v>
      </c>
      <c r="L10360">
        <v>136.48429999999999</v>
      </c>
      <c r="M10360">
        <v>0.89955059999999998</v>
      </c>
      <c r="N10360">
        <v>-1.573248E-2</v>
      </c>
      <c r="O10360">
        <v>0.43653310000000001</v>
      </c>
      <c r="P10360">
        <v>0.96822600000000003</v>
      </c>
      <c r="Q10360">
        <v>0.13150619999999999</v>
      </c>
      <c r="R10360">
        <v>0.21270729999999999</v>
      </c>
      <c r="S10360">
        <v>3.0436860000000001</v>
      </c>
      <c r="T10360">
        <v>-9.132171E-2</v>
      </c>
      <c r="U10360">
        <v>0.32000729999999999</v>
      </c>
      <c r="V10360">
        <v>0.23384070000000001</v>
      </c>
      <c r="W10360">
        <v>0.1426509</v>
      </c>
      <c r="X10360">
        <v>0.96175319999999997</v>
      </c>
      <c r="Y10360">
        <v>0.33986470000000002</v>
      </c>
      <c r="Z10360">
        <v>-1.3336239999999999E-2</v>
      </c>
      <c r="AA10360">
        <v>0.94037979999999999</v>
      </c>
      <c r="AB10360">
        <v>19</v>
      </c>
      <c r="AC10360">
        <v>37.046999999999997</v>
      </c>
      <c r="AD10360">
        <v>-1.1147326031760001</v>
      </c>
      <c r="AE10360">
        <v>3.8631000000000002</v>
      </c>
      <c r="AF10360">
        <v>12.6873963780995</v>
      </c>
      <c r="AG10360">
        <v>-1.1147326031760001</v>
      </c>
      <c r="AH10360">
        <v>34.985022525389397</v>
      </c>
      <c r="AI10360">
        <v>91.715737585034006</v>
      </c>
      <c r="AJ10360">
        <v>70.066710689700699</v>
      </c>
      <c r="AK10360">
        <v>37.2312295893326</v>
      </c>
      <c r="AL10360">
        <v>81.798728297657206</v>
      </c>
      <c r="AM10360">
        <v>76.334276439687898</v>
      </c>
      <c r="AN10360">
        <v>0.99999998497876896</v>
      </c>
    </row>
    <row r="10361" spans="1:40" x14ac:dyDescent="0.25">
      <c r="A10361" t="str">
        <f>"20190303162149656"</f>
        <v>20190303162149656</v>
      </c>
      <c r="B10361" t="str">
        <f>"1551601309642850"</f>
        <v>1551601309642850</v>
      </c>
      <c r="C10361" t="s">
        <v>40</v>
      </c>
      <c r="D10361">
        <v>5.0025849999999998</v>
      </c>
      <c r="E10361">
        <v>0.54331490000000005</v>
      </c>
      <c r="F10361" t="s">
        <v>41</v>
      </c>
      <c r="G10361">
        <v>-142.48990000000001</v>
      </c>
      <c r="H10361" s="1">
        <v>-3.2293690000000001E-6</v>
      </c>
      <c r="I10361">
        <v>139.71109999999999</v>
      </c>
      <c r="J10361">
        <v>-173.5881</v>
      </c>
      <c r="K10361">
        <v>1.1147309999999999</v>
      </c>
      <c r="L10361">
        <v>136.53700000000001</v>
      </c>
      <c r="M10361">
        <v>0.90365669999999998</v>
      </c>
      <c r="N10361">
        <v>-1.57465E-2</v>
      </c>
      <c r="O10361">
        <v>0.42796790000000001</v>
      </c>
      <c r="P10361">
        <v>0.96993269999999998</v>
      </c>
      <c r="Q10361">
        <v>0.12978599999999901</v>
      </c>
      <c r="R10361">
        <v>0.20587929999999999</v>
      </c>
      <c r="S10361">
        <v>3.0441440000000002</v>
      </c>
      <c r="T10361">
        <v>-0.10865030000000001</v>
      </c>
      <c r="U10361">
        <v>0.31451420000000002</v>
      </c>
      <c r="V10361">
        <v>0.2315431</v>
      </c>
      <c r="W10361">
        <v>0.14100070000000001</v>
      </c>
      <c r="X10361">
        <v>0.96255210000000002</v>
      </c>
      <c r="Y10361">
        <v>0.33250829999999998</v>
      </c>
      <c r="Z10361">
        <v>-1.6376419999999999E-2</v>
      </c>
      <c r="AA10361">
        <v>0.94295810000000002</v>
      </c>
      <c r="AB10361">
        <v>19</v>
      </c>
      <c r="AC10361">
        <v>31.098199999999899</v>
      </c>
      <c r="AD10361">
        <v>-1.1147342293689999</v>
      </c>
      <c r="AE10361">
        <v>3.1740999999999802</v>
      </c>
      <c r="AF10361">
        <v>10.428767890018801</v>
      </c>
      <c r="AG10361">
        <v>-1.1147342293689999</v>
      </c>
      <c r="AH10361">
        <v>29.426743315169599</v>
      </c>
      <c r="AI10361">
        <v>92.044917145333699</v>
      </c>
      <c r="AJ10361">
        <v>70.485794363572893</v>
      </c>
      <c r="AK10361">
        <v>31.239959254821301</v>
      </c>
      <c r="AL10361">
        <v>81.894243224619004</v>
      </c>
      <c r="AM10361">
        <v>76.474406942658206</v>
      </c>
      <c r="AN10361">
        <v>0.99999997488625403</v>
      </c>
    </row>
    <row r="10362" spans="1:40" x14ac:dyDescent="0.25">
      <c r="A10362" t="str">
        <f>"20190303162149671"</f>
        <v>20190303162149671</v>
      </c>
      <c r="B10362" t="str">
        <f>"1551601309663346"</f>
        <v>1551601309663346</v>
      </c>
      <c r="C10362" t="s">
        <v>40</v>
      </c>
      <c r="D10362">
        <v>4.9952629999999996</v>
      </c>
      <c r="E10362">
        <v>0.54339019999999905</v>
      </c>
      <c r="F10362" t="s">
        <v>41</v>
      </c>
      <c r="G10362">
        <v>-144.65889999999999</v>
      </c>
      <c r="H10362" s="1">
        <v>-2.323704E-6</v>
      </c>
      <c r="I10362">
        <v>139.3338</v>
      </c>
      <c r="J10362">
        <v>-173.4684</v>
      </c>
      <c r="K10362">
        <v>1.114743</v>
      </c>
      <c r="L10362">
        <v>136.583</v>
      </c>
      <c r="M10362">
        <v>0.90724709999999997</v>
      </c>
      <c r="N10362">
        <v>-1.575609E-2</v>
      </c>
      <c r="O10362">
        <v>0.42030289999999998</v>
      </c>
      <c r="P10362">
        <v>0.97130919999999998</v>
      </c>
      <c r="Q10362">
        <v>0.12832839999999901</v>
      </c>
      <c r="R10362">
        <v>0.2002263</v>
      </c>
      <c r="S10362">
        <v>3.046173</v>
      </c>
      <c r="T10362">
        <v>-0.11737880000000001</v>
      </c>
      <c r="U10362">
        <v>0.2944946</v>
      </c>
      <c r="V10362">
        <v>0.22904569999999999</v>
      </c>
      <c r="W10362">
        <v>0.13961689999999999</v>
      </c>
      <c r="X10362">
        <v>0.96335099999999996</v>
      </c>
      <c r="Y10362">
        <v>0.33066289999999998</v>
      </c>
      <c r="Z10362">
        <v>-1.784475E-2</v>
      </c>
      <c r="AA10362">
        <v>0.94358019999999998</v>
      </c>
      <c r="AB10362">
        <v>19</v>
      </c>
      <c r="AC10362">
        <v>28.8095</v>
      </c>
      <c r="AD10362">
        <v>-1.1147453237039999</v>
      </c>
      <c r="AE10362">
        <v>2.7507999999999901</v>
      </c>
      <c r="AF10362">
        <v>9.6000108584805108</v>
      </c>
      <c r="AG10362">
        <v>-1.1147453237039999</v>
      </c>
      <c r="AH10362">
        <v>27.256452232549901</v>
      </c>
      <c r="AI10362">
        <v>92.209125682025402</v>
      </c>
      <c r="AJ10362">
        <v>70.597196970830794</v>
      </c>
      <c r="AK10362">
        <v>28.919146839506499</v>
      </c>
      <c r="AL10362">
        <v>81.974321325904498</v>
      </c>
      <c r="AM10362">
        <v>76.625716565683902</v>
      </c>
      <c r="AN10362">
        <v>0.999999980327549</v>
      </c>
    </row>
    <row r="10363" spans="1:40" x14ac:dyDescent="0.25">
      <c r="A10363" t="str">
        <f>"20190303162149683"</f>
        <v>20190303162149683</v>
      </c>
      <c r="B10363" t="str">
        <f>"1551601309673105"</f>
        <v>1551601309673105</v>
      </c>
      <c r="C10363" t="s">
        <v>40</v>
      </c>
      <c r="D10363">
        <v>5.0102539999999998</v>
      </c>
      <c r="E10363">
        <v>0.54339019999999905</v>
      </c>
      <c r="F10363" t="s">
        <v>41</v>
      </c>
      <c r="G10363">
        <v>-146.14349999999999</v>
      </c>
      <c r="H10363" s="1">
        <v>-1.7359030000000001E-6</v>
      </c>
      <c r="I10363">
        <v>139.05709999999999</v>
      </c>
      <c r="J10363">
        <v>-173.35640000000001</v>
      </c>
      <c r="K10363">
        <v>1.1147609999999999</v>
      </c>
      <c r="L10363">
        <v>136.625</v>
      </c>
      <c r="M10363">
        <v>0.91054800000000002</v>
      </c>
      <c r="N10363">
        <v>-1.5762809999999999E-2</v>
      </c>
      <c r="O10363">
        <v>0.413103</v>
      </c>
      <c r="P10363">
        <v>0.9726146</v>
      </c>
      <c r="Q10363">
        <v>0.1269797</v>
      </c>
      <c r="R10363">
        <v>0.19467190000000001</v>
      </c>
      <c r="S10363">
        <v>3.0481569999999998</v>
      </c>
      <c r="T10363">
        <v>-0.1243522</v>
      </c>
      <c r="U10363">
        <v>0.276001</v>
      </c>
      <c r="V10363">
        <v>0.2269574</v>
      </c>
      <c r="W10363">
        <v>0.1383344</v>
      </c>
      <c r="X10363">
        <v>0.9640301</v>
      </c>
      <c r="Y10363">
        <v>0.32886900000000002</v>
      </c>
      <c r="Z10363">
        <v>-1.8951849999999999E-2</v>
      </c>
      <c r="AA10363">
        <v>0.94418539999999995</v>
      </c>
      <c r="AB10363">
        <v>19</v>
      </c>
      <c r="AC10363">
        <v>27.212900000000001</v>
      </c>
      <c r="AD10363">
        <v>-1.1147627359029999</v>
      </c>
      <c r="AE10363">
        <v>2.4320999999999899</v>
      </c>
      <c r="AF10363">
        <v>9.0133022744520694</v>
      </c>
      <c r="AG10363">
        <v>-1.1147627359029999</v>
      </c>
      <c r="AH10363">
        <v>25.743702526223601</v>
      </c>
      <c r="AI10363">
        <v>92.340364189601104</v>
      </c>
      <c r="AJ10363">
        <v>70.703993114405407</v>
      </c>
      <c r="AK10363">
        <v>27.298727692086501</v>
      </c>
      <c r="AL10363">
        <v>82.0485238033271</v>
      </c>
      <c r="AM10363">
        <v>76.752340116863394</v>
      </c>
      <c r="AN10363">
        <v>1.0000000506720601</v>
      </c>
    </row>
    <row r="10364" spans="1:40" x14ac:dyDescent="0.25">
      <c r="A10364" t="str">
        <f>"20190303162149696"</f>
        <v>20190303162149696</v>
      </c>
      <c r="B10364" t="str">
        <f>"1551601309692626"</f>
        <v>1551601309692626</v>
      </c>
      <c r="C10364" t="s">
        <v>40</v>
      </c>
      <c r="D10364">
        <v>4.945983</v>
      </c>
      <c r="E10364">
        <v>0.56356189999999995</v>
      </c>
      <c r="F10364" t="s">
        <v>41</v>
      </c>
      <c r="G10364">
        <v>-146.9187</v>
      </c>
      <c r="H10364" s="1">
        <v>-1.4370589999999999E-6</v>
      </c>
      <c r="I10364">
        <v>138.86709999999999</v>
      </c>
      <c r="J10364">
        <v>-173.25450000000001</v>
      </c>
      <c r="K10364">
        <v>1.114781</v>
      </c>
      <c r="L10364">
        <v>136.66200000000001</v>
      </c>
      <c r="M10364">
        <v>0.9134892</v>
      </c>
      <c r="N10364">
        <v>-1.5765649999999999E-2</v>
      </c>
      <c r="O10364">
        <v>0.40655740000000001</v>
      </c>
      <c r="P10364">
        <v>0.97351209999999999</v>
      </c>
      <c r="Q10364">
        <v>0.1249415</v>
      </c>
      <c r="R10364">
        <v>0.19147829999999999</v>
      </c>
      <c r="S10364">
        <v>3.0494840000000001</v>
      </c>
      <c r="T10364">
        <v>-0.12858359999999999</v>
      </c>
      <c r="U10364">
        <v>0.2586212</v>
      </c>
      <c r="V10364">
        <v>0.22325639999999999</v>
      </c>
      <c r="W10364">
        <v>0.13639560000000001</v>
      </c>
      <c r="X10364">
        <v>0.96516979999999997</v>
      </c>
      <c r="Y10364">
        <v>0.32743660000000002</v>
      </c>
      <c r="Z10364">
        <v>-1.9551809999999999E-2</v>
      </c>
      <c r="AA10364">
        <v>0.94467089999999998</v>
      </c>
      <c r="AB10364">
        <v>19</v>
      </c>
      <c r="AC10364">
        <v>26.335799999999999</v>
      </c>
      <c r="AD10364">
        <v>-1.114782437059</v>
      </c>
      <c r="AE10364">
        <v>2.2050999999999799</v>
      </c>
      <c r="AF10364">
        <v>8.6783184047403203</v>
      </c>
      <c r="AG10364">
        <v>-1.114782437059</v>
      </c>
      <c r="AH10364">
        <v>24.912742834345199</v>
      </c>
      <c r="AI10364">
        <v>92.419707916114902</v>
      </c>
      <c r="AJ10364">
        <v>70.794290975801701</v>
      </c>
      <c r="AK10364">
        <v>26.4045584274051</v>
      </c>
      <c r="AL10364">
        <v>82.160671277829394</v>
      </c>
      <c r="AM10364">
        <v>76.975801941706493</v>
      </c>
      <c r="AN10364">
        <v>0.99999996133617897</v>
      </c>
    </row>
    <row r="10365" spans="1:40" x14ac:dyDescent="0.25">
      <c r="A10365" t="str">
        <f>"20190303162149713"</f>
        <v>20190303162149713</v>
      </c>
      <c r="B10365" t="str">
        <f>"1551601309703362"</f>
        <v>1551601309703362</v>
      </c>
      <c r="C10365" t="s">
        <v>40</v>
      </c>
      <c r="D10365">
        <v>4.9356140000000002</v>
      </c>
      <c r="E10365">
        <v>0.56541909999999995</v>
      </c>
      <c r="F10365" t="s">
        <v>41</v>
      </c>
      <c r="G10365">
        <v>-147.71629999999999</v>
      </c>
      <c r="H10365" s="1">
        <v>-1.353077E-6</v>
      </c>
      <c r="I10365">
        <v>137.41159999999999</v>
      </c>
      <c r="J10365">
        <v>-173.11259999999999</v>
      </c>
      <c r="K10365">
        <v>1.114824</v>
      </c>
      <c r="L10365">
        <v>136.7124</v>
      </c>
      <c r="M10365">
        <v>0.91749689999999995</v>
      </c>
      <c r="N10365">
        <v>-1.576752E-2</v>
      </c>
      <c r="O10365">
        <v>0.39743040000000002</v>
      </c>
      <c r="P10365">
        <v>0.97515790000000002</v>
      </c>
      <c r="Q10365">
        <v>0.1238384</v>
      </c>
      <c r="R10365">
        <v>0.18366089999999999</v>
      </c>
      <c r="S10365">
        <v>3.0811000000000002</v>
      </c>
      <c r="T10365">
        <v>-0.1344948</v>
      </c>
      <c r="U10365">
        <v>9.0438840000000006E-2</v>
      </c>
      <c r="V10365">
        <v>0.2213966</v>
      </c>
      <c r="W10365">
        <v>0.13535910000000001</v>
      </c>
      <c r="X10365">
        <v>0.96574400000000005</v>
      </c>
      <c r="Y10365">
        <v>0.36977579999999999</v>
      </c>
      <c r="Z10365">
        <v>-2.1514410000000001E-2</v>
      </c>
      <c r="AA10365">
        <v>0.92887189999999997</v>
      </c>
      <c r="AB10365">
        <v>19</v>
      </c>
      <c r="AC10365">
        <v>25.3963</v>
      </c>
      <c r="AD10365">
        <v>-1.114825353077</v>
      </c>
      <c r="AE10365">
        <v>0.69919999999999005</v>
      </c>
      <c r="AF10365">
        <v>9.4347558772809901</v>
      </c>
      <c r="AG10365">
        <v>-1.114825353077</v>
      </c>
      <c r="AH10365">
        <v>23.536520677149699</v>
      </c>
      <c r="AI10365">
        <v>92.517389017493798</v>
      </c>
      <c r="AJ10365">
        <v>68.156321940780799</v>
      </c>
      <c r="AK10365">
        <v>25.381592929082402</v>
      </c>
      <c r="AL10365">
        <v>82.220614647355106</v>
      </c>
      <c r="AM10365">
        <v>77.088066952489896</v>
      </c>
      <c r="AN10365">
        <v>1.00000000699018</v>
      </c>
    </row>
    <row r="10366" spans="1:40" x14ac:dyDescent="0.25">
      <c r="A10366" t="str">
        <f>"20190303162149725"</f>
        <v>20190303162149725</v>
      </c>
      <c r="B10366" t="str">
        <f>"1551601309713122"</f>
        <v>1551601309713122</v>
      </c>
      <c r="C10366" t="s">
        <v>40</v>
      </c>
      <c r="D10366">
        <v>4.9420630000000001</v>
      </c>
      <c r="E10366">
        <v>0.5664709</v>
      </c>
      <c r="F10366" t="s">
        <v>41</v>
      </c>
      <c r="G10366">
        <v>-148.16730000000001</v>
      </c>
      <c r="H10366" s="1">
        <v>-1.273017E-6</v>
      </c>
      <c r="I10366">
        <v>137.1234</v>
      </c>
      <c r="J10366">
        <v>-173.0094</v>
      </c>
      <c r="K10366">
        <v>1.1148559999999901</v>
      </c>
      <c r="L10366">
        <v>136.7483</v>
      </c>
      <c r="M10366">
        <v>0.920346</v>
      </c>
      <c r="N10366">
        <v>-1.576748E-2</v>
      </c>
      <c r="O10366">
        <v>0.39078740000000001</v>
      </c>
      <c r="P10366">
        <v>0.97618340000000003</v>
      </c>
      <c r="Q10366">
        <v>0.1231529</v>
      </c>
      <c r="R10366">
        <v>0.1786045</v>
      </c>
      <c r="S10366">
        <v>3.0843509999999998</v>
      </c>
      <c r="T10366">
        <v>-0.13784189999999999</v>
      </c>
      <c r="U10366">
        <v>5.0811769999999999E-2</v>
      </c>
      <c r="V10366">
        <v>0.2194267</v>
      </c>
      <c r="W10366">
        <v>0.13473399999999999</v>
      </c>
      <c r="X10366">
        <v>0.96628080000000005</v>
      </c>
      <c r="Y10366">
        <v>0.37497429999999998</v>
      </c>
      <c r="Z10366">
        <v>-2.2119639999999999E-2</v>
      </c>
      <c r="AA10366">
        <v>0.92677129999999996</v>
      </c>
      <c r="AB10366">
        <v>19</v>
      </c>
      <c r="AC10366">
        <v>24.842099999999899</v>
      </c>
      <c r="AD10366">
        <v>-1.1148572730170001</v>
      </c>
      <c r="AE10366">
        <v>0.37510000000000299</v>
      </c>
      <c r="AF10366">
        <v>9.3451043254028203</v>
      </c>
      <c r="AG10366">
        <v>-1.1148572730170001</v>
      </c>
      <c r="AH10366">
        <v>22.9665263363012</v>
      </c>
      <c r="AI10366">
        <v>92.574454858407606</v>
      </c>
      <c r="AJ10366">
        <v>67.858539378977795</v>
      </c>
      <c r="AK10366">
        <v>24.820056678981999</v>
      </c>
      <c r="AL10366">
        <v>82.256760972684106</v>
      </c>
      <c r="AM10366">
        <v>77.206028321782398</v>
      </c>
      <c r="AN10366">
        <v>0.99999995593876401</v>
      </c>
    </row>
    <row r="10367" spans="1:40" x14ac:dyDescent="0.25">
      <c r="A10367" t="str">
        <f>"20190303162149740"</f>
        <v>20190303162149740</v>
      </c>
      <c r="B10367" t="str">
        <f>"1551601309732642"</f>
        <v>1551601309732642</v>
      </c>
      <c r="C10367" t="s">
        <v>40</v>
      </c>
      <c r="D10367">
        <v>4.9326100000000004</v>
      </c>
      <c r="E10367">
        <v>0.56667849999999997</v>
      </c>
      <c r="F10367" t="s">
        <v>41</v>
      </c>
      <c r="G10367">
        <v>-149.08539999999999</v>
      </c>
      <c r="H10367" s="1">
        <v>-1.0070719999999999E-6</v>
      </c>
      <c r="I10367">
        <v>136.9486</v>
      </c>
      <c r="J10367">
        <v>-172.88560000000001</v>
      </c>
      <c r="K10367">
        <v>1.114897</v>
      </c>
      <c r="L10367">
        <v>136.78989999999999</v>
      </c>
      <c r="M10367">
        <v>0.92368620000000001</v>
      </c>
      <c r="N10367">
        <v>-1.576431E-2</v>
      </c>
      <c r="O10367">
        <v>0.38282549999999999</v>
      </c>
      <c r="P10367">
        <v>0.97693600000000003</v>
      </c>
      <c r="Q10367">
        <v>0.1224963</v>
      </c>
      <c r="R10367">
        <v>0.17490229999999901</v>
      </c>
      <c r="S10367">
        <v>3.0865939999999998</v>
      </c>
      <c r="T10367">
        <v>-0.14383460000000001</v>
      </c>
      <c r="U10367">
        <v>2.5848389999999999E-2</v>
      </c>
      <c r="V10367">
        <v>0.2147405</v>
      </c>
      <c r="W10367">
        <v>0.13419349999999999</v>
      </c>
      <c r="X10367">
        <v>0.96740820000000005</v>
      </c>
      <c r="Y10367">
        <v>0.37442029999999998</v>
      </c>
      <c r="Z10367">
        <v>-2.2986909999999999E-2</v>
      </c>
      <c r="AA10367">
        <v>0.92697410000000002</v>
      </c>
      <c r="AB10367">
        <v>19</v>
      </c>
      <c r="AC10367">
        <v>23.8002</v>
      </c>
      <c r="AD10367">
        <v>-1.114898007072</v>
      </c>
      <c r="AE10367">
        <v>0.15870000000001</v>
      </c>
      <c r="AF10367">
        <v>8.9462178706755804</v>
      </c>
      <c r="AG10367">
        <v>-1.114898007072</v>
      </c>
      <c r="AH10367">
        <v>21.9991375954902</v>
      </c>
      <c r="AI10367">
        <v>92.687823092198897</v>
      </c>
      <c r="AJ10367">
        <v>67.870282474388603</v>
      </c>
      <c r="AK10367">
        <v>23.774773746580198</v>
      </c>
      <c r="AL10367">
        <v>82.288013513945501</v>
      </c>
      <c r="AM10367">
        <v>77.484687550982898</v>
      </c>
      <c r="AN10367">
        <v>1.00000000160487</v>
      </c>
    </row>
    <row r="10368" spans="1:40" x14ac:dyDescent="0.25">
      <c r="A10368" t="str">
        <f>"20190303162149760"</f>
        <v>20190303162149760</v>
      </c>
      <c r="B10368" t="str">
        <f>"1551601309753138"</f>
        <v>1551601309753138</v>
      </c>
      <c r="C10368" t="s">
        <v>40</v>
      </c>
      <c r="D10368">
        <v>4.9767330000000003</v>
      </c>
      <c r="E10368">
        <v>0.56562849999999998</v>
      </c>
      <c r="F10368" t="s">
        <v>41</v>
      </c>
      <c r="G10368">
        <v>-149.928</v>
      </c>
      <c r="H10368" s="1">
        <v>-7.4208580000000001E-7</v>
      </c>
      <c r="I10368">
        <v>136.86680000000001</v>
      </c>
      <c r="J10368">
        <v>-172.7235</v>
      </c>
      <c r="K10368">
        <v>1.114954</v>
      </c>
      <c r="L10368">
        <v>136.84270000000001</v>
      </c>
      <c r="M10368">
        <v>0.92793579999999998</v>
      </c>
      <c r="N10368">
        <v>-1.5758009999999999E-2</v>
      </c>
      <c r="O10368">
        <v>0.37240679999999998</v>
      </c>
      <c r="P10368">
        <v>0.97836590000000001</v>
      </c>
      <c r="Q10368">
        <v>0.1230198</v>
      </c>
      <c r="R10368">
        <v>0.16633229999999999</v>
      </c>
      <c r="S10368">
        <v>3.0877840000000001</v>
      </c>
      <c r="T10368">
        <v>-0.14995310000000001</v>
      </c>
      <c r="U10368">
        <v>1.0345460000000001E-2</v>
      </c>
      <c r="V10368">
        <v>0.2122945</v>
      </c>
      <c r="W10368">
        <v>0.13478689999999999</v>
      </c>
      <c r="X10368">
        <v>0.96786550000000005</v>
      </c>
      <c r="Y10368">
        <v>0.36858770000000002</v>
      </c>
      <c r="Z10368">
        <v>-2.3608799999999999E-2</v>
      </c>
      <c r="AA10368">
        <v>0.92929320000000004</v>
      </c>
      <c r="AB10368">
        <v>19</v>
      </c>
      <c r="AC10368">
        <v>22.795500000000001</v>
      </c>
      <c r="AD10368">
        <v>-1.1149547420857999</v>
      </c>
      <c r="AE10368">
        <v>2.4100000000004201E-2</v>
      </c>
      <c r="AF10368">
        <v>8.4476780367096804</v>
      </c>
      <c r="AG10368">
        <v>-1.1149547420857999</v>
      </c>
      <c r="AH10368">
        <v>21.113852848318199</v>
      </c>
      <c r="AI10368">
        <v>92.806859087225803</v>
      </c>
      <c r="AJ10368">
        <v>68.193591714785398</v>
      </c>
      <c r="AK10368">
        <v>22.768424855251698</v>
      </c>
      <c r="AL10368">
        <v>82.253702814760302</v>
      </c>
      <c r="AM10368">
        <v>77.628493182944098</v>
      </c>
      <c r="AN10368">
        <v>1.00000004461605</v>
      </c>
    </row>
    <row r="10369" spans="1:40" x14ac:dyDescent="0.25">
      <c r="A10369" t="str">
        <f>"20190303162149776"</f>
        <v>20190303162149776</v>
      </c>
      <c r="B10369" t="str">
        <f>"1551601309762898"</f>
        <v>1551601309762898</v>
      </c>
      <c r="C10369" t="s">
        <v>40</v>
      </c>
      <c r="D10369">
        <v>4.9392120000000004</v>
      </c>
      <c r="E10369">
        <v>0.56588939999999999</v>
      </c>
      <c r="F10369" t="s">
        <v>41</v>
      </c>
      <c r="G10369">
        <v>-149.8109</v>
      </c>
      <c r="H10369" s="1">
        <v>-8.0697229999999996E-7</v>
      </c>
      <c r="I10369">
        <v>136.77279999999999</v>
      </c>
      <c r="J10369">
        <v>-172.5882</v>
      </c>
      <c r="K10369">
        <v>1.1150009999999999</v>
      </c>
      <c r="L10369">
        <v>136.8853</v>
      </c>
      <c r="M10369">
        <v>0.93137559999999997</v>
      </c>
      <c r="N10369">
        <v>-1.575095E-2</v>
      </c>
      <c r="O10369">
        <v>0.36371900000000001</v>
      </c>
      <c r="P10369">
        <v>0.97879450000000001</v>
      </c>
      <c r="Q10369">
        <v>0.12449789999999999</v>
      </c>
      <c r="R10369">
        <v>0.16267110000000001</v>
      </c>
      <c r="S10369">
        <v>3.0868069999999999</v>
      </c>
      <c r="T10369">
        <v>-0.15020729999999999</v>
      </c>
      <c r="U10369">
        <v>-9.4146730000000001E-3</v>
      </c>
      <c r="V10369">
        <v>0.2067986</v>
      </c>
      <c r="W10369">
        <v>0.1363866</v>
      </c>
      <c r="X10369">
        <v>0.96883079999999999</v>
      </c>
      <c r="Y10369">
        <v>0.3658535</v>
      </c>
      <c r="Z10369">
        <v>-2.3329119999999998E-2</v>
      </c>
      <c r="AA10369">
        <v>0.93037999999999998</v>
      </c>
      <c r="AB10369">
        <v>19</v>
      </c>
      <c r="AC10369">
        <v>22.7773</v>
      </c>
      <c r="AD10369">
        <v>-1.1150018069723</v>
      </c>
      <c r="AE10369">
        <v>-0.11250000000001099</v>
      </c>
      <c r="AF10369">
        <v>8.3702994099196992</v>
      </c>
      <c r="AG10369">
        <v>-1.1150018069723</v>
      </c>
      <c r="AH10369">
        <v>21.125306865064399</v>
      </c>
      <c r="AI10369">
        <v>92.809195149744895</v>
      </c>
      <c r="AJ10369">
        <v>68.385467656632898</v>
      </c>
      <c r="AK10369">
        <v>22.750466619047401</v>
      </c>
      <c r="AL10369">
        <v>82.161192442994604</v>
      </c>
      <c r="AM10369">
        <v>77.950937260741298</v>
      </c>
      <c r="AN10369">
        <v>1.0000000423250699</v>
      </c>
    </row>
    <row r="10370" spans="1:40" x14ac:dyDescent="0.25">
      <c r="A10370" t="str">
        <f>"20190303162149797"</f>
        <v>20190303162149797</v>
      </c>
      <c r="B10370" t="str">
        <f>"1551601309793155"</f>
        <v>1551601309793155</v>
      </c>
      <c r="C10370" t="s">
        <v>40</v>
      </c>
      <c r="D10370">
        <v>4.9810049999999997</v>
      </c>
      <c r="E10370">
        <v>0.56593380000000004</v>
      </c>
      <c r="F10370" t="s">
        <v>41</v>
      </c>
      <c r="G10370">
        <v>-148.4083</v>
      </c>
      <c r="H10370" s="1">
        <v>-1.3058860000000001E-6</v>
      </c>
      <c r="I10370">
        <v>136.69159999999999</v>
      </c>
      <c r="J10370">
        <v>-172.41560000000001</v>
      </c>
      <c r="K10370">
        <v>1.1150519999999999</v>
      </c>
      <c r="L10370">
        <v>136.9376</v>
      </c>
      <c r="M10370">
        <v>0.93562690000000004</v>
      </c>
      <c r="N10370">
        <v>-1.574031E-2</v>
      </c>
      <c r="O10370">
        <v>0.35263929999999999</v>
      </c>
      <c r="P10370">
        <v>0.97966339999999996</v>
      </c>
      <c r="Q10370">
        <v>0.12550810000000001</v>
      </c>
      <c r="R10370">
        <v>0.1565491</v>
      </c>
      <c r="S10370">
        <v>3.087234</v>
      </c>
      <c r="T10370">
        <v>-0.1423604</v>
      </c>
      <c r="U10370">
        <v>-2.471924E-2</v>
      </c>
      <c r="V10370">
        <v>0.20129639999999999</v>
      </c>
      <c r="W10370">
        <v>0.1375179</v>
      </c>
      <c r="X10370">
        <v>0.9698291</v>
      </c>
      <c r="Y10370">
        <v>0.35950520000000002</v>
      </c>
      <c r="Z10370">
        <v>-2.1464899999999999E-2</v>
      </c>
      <c r="AA10370">
        <v>0.93289619999999995</v>
      </c>
      <c r="AB10370">
        <v>19</v>
      </c>
      <c r="AC10370">
        <v>24.007300000000001</v>
      </c>
      <c r="AD10370">
        <v>-1.1150533058859999</v>
      </c>
      <c r="AE10370">
        <v>-0.24600000000000899</v>
      </c>
      <c r="AF10370">
        <v>8.6784396742717007</v>
      </c>
      <c r="AG10370">
        <v>-1.1150533058859999</v>
      </c>
      <c r="AH10370">
        <v>22.329733297213401</v>
      </c>
      <c r="AI10370">
        <v>92.664861290135605</v>
      </c>
      <c r="AJ10370">
        <v>68.7614096141955</v>
      </c>
      <c r="AK10370">
        <v>23.9828198546297</v>
      </c>
      <c r="AL10370">
        <v>82.095756425072395</v>
      </c>
      <c r="AM10370">
        <v>78.274258444293906</v>
      </c>
      <c r="AN10370">
        <v>0.99999994834008799</v>
      </c>
    </row>
    <row r="10371" spans="1:40" x14ac:dyDescent="0.25">
      <c r="A10371" t="str">
        <f>"20190303162149818"</f>
        <v>20190303162149818</v>
      </c>
      <c r="B10371" t="str">
        <f>"1551601309812674"</f>
        <v>1551601309812674</v>
      </c>
      <c r="C10371" t="s">
        <v>40</v>
      </c>
      <c r="D10371">
        <v>5.0153879999999997</v>
      </c>
      <c r="E10371">
        <v>0.56555769999999905</v>
      </c>
      <c r="F10371" t="s">
        <v>41</v>
      </c>
      <c r="G10371">
        <v>-146.99809999999999</v>
      </c>
      <c r="H10371" s="1">
        <v>-1.8199440000000001E-6</v>
      </c>
      <c r="I10371">
        <v>136.56319999999999</v>
      </c>
      <c r="J10371">
        <v>-172.23480000000001</v>
      </c>
      <c r="K10371">
        <v>1.1150960000000001</v>
      </c>
      <c r="L10371">
        <v>136.99010000000001</v>
      </c>
      <c r="M10371">
        <v>0.93991329999999995</v>
      </c>
      <c r="N10371">
        <v>-1.5727769999999999E-2</v>
      </c>
      <c r="O10371">
        <v>0.34105099999999999</v>
      </c>
      <c r="P10371">
        <v>0.98116519999999996</v>
      </c>
      <c r="Q10371">
        <v>0.12564710000000001</v>
      </c>
      <c r="R10371">
        <v>0.1467244</v>
      </c>
      <c r="S10371">
        <v>3.0868679999999999</v>
      </c>
      <c r="T10371">
        <v>-0.1354195</v>
      </c>
      <c r="U10371">
        <v>-4.5471190000000002E-2</v>
      </c>
      <c r="V10371">
        <v>0.19900490000000001</v>
      </c>
      <c r="W10371">
        <v>0.13771240000000001</v>
      </c>
      <c r="X10371">
        <v>0.97027439999999998</v>
      </c>
      <c r="Y10371">
        <v>0.3543172</v>
      </c>
      <c r="Z10371">
        <v>-1.9846200000000001E-2</v>
      </c>
      <c r="AA10371">
        <v>0.93491469999999999</v>
      </c>
      <c r="AB10371">
        <v>19</v>
      </c>
      <c r="AC10371">
        <v>25.236699999999999</v>
      </c>
      <c r="AD10371">
        <v>-1.11509781994399</v>
      </c>
      <c r="AE10371">
        <v>-0.42690000000001699</v>
      </c>
      <c r="AF10371">
        <v>8.9918141304607495</v>
      </c>
      <c r="AG10371">
        <v>-1.11509781994399</v>
      </c>
      <c r="AH10371">
        <v>23.531700423539199</v>
      </c>
      <c r="AI10371">
        <v>92.534570192840206</v>
      </c>
      <c r="AJ10371">
        <v>69.087396720734404</v>
      </c>
      <c r="AK10371">
        <v>25.215810304806698</v>
      </c>
      <c r="AL10371">
        <v>82.084506027035602</v>
      </c>
      <c r="AM10371">
        <v>78.409283547190199</v>
      </c>
      <c r="AN10371">
        <v>1.00000003331656</v>
      </c>
    </row>
    <row r="10372" spans="1:40" x14ac:dyDescent="0.25">
      <c r="A10372" t="str">
        <f>"20190303162149833"</f>
        <v>20190303162149833</v>
      </c>
      <c r="B10372" t="str">
        <f>"1551601309823410"</f>
        <v>1551601309823410</v>
      </c>
      <c r="C10372" t="s">
        <v>40</v>
      </c>
      <c r="D10372">
        <v>5.025512</v>
      </c>
      <c r="E10372">
        <v>0.56522879999999998</v>
      </c>
      <c r="F10372" t="s">
        <v>41</v>
      </c>
      <c r="G10372">
        <v>-146.5324</v>
      </c>
      <c r="H10372" s="1">
        <v>-2.044321E-6</v>
      </c>
      <c r="I10372">
        <v>136.37780000000001</v>
      </c>
      <c r="J10372">
        <v>-172.1079</v>
      </c>
      <c r="K10372">
        <v>1.115127</v>
      </c>
      <c r="L10372">
        <v>137.02539999999999</v>
      </c>
      <c r="M10372">
        <v>0.94282319999999997</v>
      </c>
      <c r="N10372">
        <v>-1.5718389999999999E-2</v>
      </c>
      <c r="O10372">
        <v>0.33292250000000001</v>
      </c>
      <c r="P10372">
        <v>0.9817207</v>
      </c>
      <c r="Q10372">
        <v>0.12537599999999999</v>
      </c>
      <c r="R10372">
        <v>0.14319770000000001</v>
      </c>
      <c r="S10372">
        <v>3.0857389999999998</v>
      </c>
      <c r="T10372">
        <v>-0.13387470000000001</v>
      </c>
      <c r="U10372">
        <v>-7.3501590000000006E-2</v>
      </c>
      <c r="V10372">
        <v>0.1940973</v>
      </c>
      <c r="W10372">
        <v>0.13754379999999999</v>
      </c>
      <c r="X10372">
        <v>0.97129189999999999</v>
      </c>
      <c r="Y10372">
        <v>0.3547534</v>
      </c>
      <c r="Z10372">
        <v>-1.94158E-2</v>
      </c>
      <c r="AA10372">
        <v>0.93475830000000004</v>
      </c>
      <c r="AB10372">
        <v>19</v>
      </c>
      <c r="AC10372">
        <v>25.575500000000002</v>
      </c>
      <c r="AD10372">
        <v>-1.115129044321</v>
      </c>
      <c r="AE10372">
        <v>-0.64759999999998197</v>
      </c>
      <c r="AF10372">
        <v>9.1090529746758495</v>
      </c>
      <c r="AG10372">
        <v>-1.115129044321</v>
      </c>
      <c r="AH10372">
        <v>23.855204546722199</v>
      </c>
      <c r="AI10372">
        <v>92.500534858633301</v>
      </c>
      <c r="AJ10372">
        <v>69.100762661321497</v>
      </c>
      <c r="AK10372">
        <v>25.5595215692097</v>
      </c>
      <c r="AL10372">
        <v>82.094258693545299</v>
      </c>
      <c r="AM10372">
        <v>78.699204344405103</v>
      </c>
      <c r="AN10372">
        <v>1.00000000689566</v>
      </c>
    </row>
    <row r="10373" spans="1:40" x14ac:dyDescent="0.25">
      <c r="A10373" t="str">
        <f>"20190303162149848"</f>
        <v>20190303162149848</v>
      </c>
      <c r="B10373" t="str">
        <f>"1551601309842930"</f>
        <v>1551601309842930</v>
      </c>
      <c r="C10373" t="s">
        <v>40</v>
      </c>
      <c r="D10373">
        <v>5.0003549999999999</v>
      </c>
      <c r="E10373">
        <v>0.56467060000000002</v>
      </c>
      <c r="F10373" t="s">
        <v>41</v>
      </c>
      <c r="G10373">
        <v>-146.73689999999999</v>
      </c>
      <c r="H10373" s="1">
        <v>-1.9650019999999999E-6</v>
      </c>
      <c r="I10373">
        <v>136.35220000000001</v>
      </c>
      <c r="J10373">
        <v>-171.97669999999999</v>
      </c>
      <c r="K10373">
        <v>1.115162</v>
      </c>
      <c r="L10373">
        <v>137.0608</v>
      </c>
      <c r="M10373">
        <v>0.94574979999999997</v>
      </c>
      <c r="N10373">
        <v>-1.570833E-2</v>
      </c>
      <c r="O10373">
        <v>0.32451600000000003</v>
      </c>
      <c r="P10373">
        <v>0.98273010000000005</v>
      </c>
      <c r="Q10373">
        <v>0.1246053</v>
      </c>
      <c r="R10373">
        <v>0.1368037</v>
      </c>
      <c r="S10373">
        <v>3.0851139999999999</v>
      </c>
      <c r="T10373">
        <v>-0.1355991</v>
      </c>
      <c r="U10373">
        <v>-8.1863399999999906E-2</v>
      </c>
      <c r="V10373">
        <v>0.19177630000000001</v>
      </c>
      <c r="W10373">
        <v>0.13682449999999999</v>
      </c>
      <c r="X10373">
        <v>0.97185440000000001</v>
      </c>
      <c r="Y10373">
        <v>0.34895609999999999</v>
      </c>
      <c r="Z10373">
        <v>-1.9317069999999999E-2</v>
      </c>
      <c r="AA10373">
        <v>0.93694</v>
      </c>
      <c r="AB10373">
        <v>19</v>
      </c>
      <c r="AC10373">
        <v>25.239799999999999</v>
      </c>
      <c r="AD10373">
        <v>-1.115163965002</v>
      </c>
      <c r="AE10373">
        <v>-0.70859999999998902</v>
      </c>
      <c r="AF10373">
        <v>8.8447180366542106</v>
      </c>
      <c r="AG10373">
        <v>-1.115163965002</v>
      </c>
      <c r="AH10373">
        <v>23.5974714280662</v>
      </c>
      <c r="AI10373">
        <v>92.533771387926393</v>
      </c>
      <c r="AJ10373">
        <v>69.4531805847204</v>
      </c>
      <c r="AK10373">
        <v>25.225250952471299</v>
      </c>
      <c r="AL10373">
        <v>82.135865125730902</v>
      </c>
      <c r="AM10373">
        <v>78.837223272576907</v>
      </c>
      <c r="AN10373">
        <v>1.0000000339206401</v>
      </c>
    </row>
    <row r="10374" spans="1:40" x14ac:dyDescent="0.25">
      <c r="A10374" t="str">
        <f>"20190303162149863"</f>
        <v>20190303162149863</v>
      </c>
      <c r="B10374" t="str">
        <f>"1551601309852689"</f>
        <v>1551601309852689</v>
      </c>
      <c r="C10374" t="s">
        <v>40</v>
      </c>
      <c r="D10374">
        <v>5.0113890000000003</v>
      </c>
      <c r="E10374">
        <v>0.56442320000000001</v>
      </c>
      <c r="F10374" t="s">
        <v>41</v>
      </c>
      <c r="G10374">
        <v>-147.19370000000001</v>
      </c>
      <c r="H10374" s="1">
        <v>-1.829237E-6</v>
      </c>
      <c r="I10374">
        <v>136.27809999999999</v>
      </c>
      <c r="J10374">
        <v>-171.8528</v>
      </c>
      <c r="K10374">
        <v>1.115184</v>
      </c>
      <c r="L10374">
        <v>137.09309999999999</v>
      </c>
      <c r="M10374">
        <v>0.94843420000000001</v>
      </c>
      <c r="N10374">
        <v>-1.5698420000000001E-2</v>
      </c>
      <c r="O10374">
        <v>0.31658530000000001</v>
      </c>
      <c r="P10374">
        <v>0.98341140000000005</v>
      </c>
      <c r="Q10374">
        <v>0.1226385</v>
      </c>
      <c r="R10374">
        <v>0.13364889999999999</v>
      </c>
      <c r="S10374">
        <v>3.0838779999999999</v>
      </c>
      <c r="T10374">
        <v>-0.13876569999999999</v>
      </c>
      <c r="U10374">
        <v>-9.7396849999999993E-2</v>
      </c>
      <c r="V10374">
        <v>0.186781</v>
      </c>
      <c r="W10374">
        <v>0.1349622</v>
      </c>
      <c r="X10374">
        <v>0.97308689999999998</v>
      </c>
      <c r="Y10374">
        <v>0.34581220000000001</v>
      </c>
      <c r="Z10374">
        <v>-1.952924E-2</v>
      </c>
      <c r="AA10374">
        <v>0.9381005</v>
      </c>
      <c r="AB10374">
        <v>19</v>
      </c>
      <c r="AC10374">
        <v>24.659099999999899</v>
      </c>
      <c r="AD10374">
        <v>-1.115185829237</v>
      </c>
      <c r="AE10374">
        <v>-0.81499999999999695</v>
      </c>
      <c r="AF10374">
        <v>8.5632446869086003</v>
      </c>
      <c r="AG10374">
        <v>-1.115185829237</v>
      </c>
      <c r="AH10374">
        <v>23.085203072260999</v>
      </c>
      <c r="AI10374">
        <v>92.593255075743002</v>
      </c>
      <c r="AJ10374">
        <v>69.6481256248764</v>
      </c>
      <c r="AK10374">
        <v>24.6475029138679</v>
      </c>
      <c r="AL10374">
        <v>82.243566100039303</v>
      </c>
      <c r="AM10374">
        <v>79.134409715356099</v>
      </c>
      <c r="AN10374">
        <v>1.00000002617072</v>
      </c>
    </row>
    <row r="10375" spans="1:40" x14ac:dyDescent="0.25">
      <c r="A10375" t="str">
        <f>"20190303162149881"</f>
        <v>20190303162149881</v>
      </c>
      <c r="B10375" t="str">
        <f>"1551601309873186"</f>
        <v>1551601309873186</v>
      </c>
      <c r="C10375" t="s">
        <v>40</v>
      </c>
      <c r="D10375">
        <v>5.0497249999999996</v>
      </c>
      <c r="E10375">
        <v>0.56413290000000005</v>
      </c>
      <c r="F10375" t="s">
        <v>41</v>
      </c>
      <c r="G10375">
        <v>-148.1472</v>
      </c>
      <c r="H10375" s="1">
        <v>-1.504779E-6</v>
      </c>
      <c r="I10375">
        <v>136.27809999999999</v>
      </c>
      <c r="J10375">
        <v>-171.69890000000001</v>
      </c>
      <c r="K10375">
        <v>1.1152200000000001</v>
      </c>
      <c r="L10375">
        <v>137.13159999999999</v>
      </c>
      <c r="M10375">
        <v>0.95166439999999997</v>
      </c>
      <c r="N10375">
        <v>-1.5685379999999999E-2</v>
      </c>
      <c r="O10375">
        <v>0.30673899999999998</v>
      </c>
      <c r="P10375">
        <v>0.98454870000000005</v>
      </c>
      <c r="Q10375">
        <v>0.120974</v>
      </c>
      <c r="R10375">
        <v>0.12660759999999999</v>
      </c>
      <c r="S10375">
        <v>3.0831149999999998</v>
      </c>
      <c r="T10375">
        <v>-0.145039</v>
      </c>
      <c r="U10375">
        <v>-0.10600279999999999</v>
      </c>
      <c r="V10375">
        <v>0.1836757</v>
      </c>
      <c r="W10375">
        <v>0.1333656</v>
      </c>
      <c r="X10375">
        <v>0.97389780000000004</v>
      </c>
      <c r="Y10375">
        <v>0.33866049999999998</v>
      </c>
      <c r="Z10375">
        <v>-2.001501E-2</v>
      </c>
      <c r="AA10375">
        <v>0.94069570000000002</v>
      </c>
      <c r="AB10375">
        <v>19</v>
      </c>
      <c r="AC10375">
        <v>23.5517</v>
      </c>
      <c r="AD10375">
        <v>-1.115221504779</v>
      </c>
      <c r="AE10375">
        <v>-0.85349999999999604</v>
      </c>
      <c r="AF10375">
        <v>8.0195014806598905</v>
      </c>
      <c r="AG10375">
        <v>-1.115221504779</v>
      </c>
      <c r="AH10375">
        <v>22.1047398389832</v>
      </c>
      <c r="AI10375">
        <v>92.715330068884995</v>
      </c>
      <c r="AJ10375">
        <v>70.059453216123799</v>
      </c>
      <c r="AK10375">
        <v>23.540935545389001</v>
      </c>
      <c r="AL10375">
        <v>82.335879208886197</v>
      </c>
      <c r="AM10375">
        <v>79.319552961480795</v>
      </c>
      <c r="AN10375">
        <v>1.0000000354393399</v>
      </c>
    </row>
    <row r="10376" spans="1:40" x14ac:dyDescent="0.25">
      <c r="A10376" t="str">
        <f>"20190303162149896"</f>
        <v>20190303162149896</v>
      </c>
      <c r="B10376" t="str">
        <f>"1551601309892706"</f>
        <v>1551601309892706</v>
      </c>
      <c r="C10376" t="s">
        <v>40</v>
      </c>
      <c r="D10376">
        <v>5.042109</v>
      </c>
      <c r="E10376">
        <v>0.56315400000000004</v>
      </c>
      <c r="F10376" t="s">
        <v>41</v>
      </c>
      <c r="G10376">
        <v>-148.86269999999999</v>
      </c>
      <c r="H10376" s="1">
        <v>-1.2832160000000001E-6</v>
      </c>
      <c r="I10376">
        <v>136.19569999999999</v>
      </c>
      <c r="J10376">
        <v>-171.57069999999999</v>
      </c>
      <c r="K10376">
        <v>1.115256</v>
      </c>
      <c r="L10376">
        <v>137.16229999999999</v>
      </c>
      <c r="M10376">
        <v>0.95426449999999996</v>
      </c>
      <c r="N10376">
        <v>-1.5673860000000001E-2</v>
      </c>
      <c r="O10376">
        <v>0.29855279999999901</v>
      </c>
      <c r="P10376">
        <v>0.98502789999999996</v>
      </c>
      <c r="Q10376">
        <v>0.11906750000000001</v>
      </c>
      <c r="R10376">
        <v>0.1246718</v>
      </c>
      <c r="S10376">
        <v>3.0818180000000002</v>
      </c>
      <c r="T10376">
        <v>-0.15050259999999999</v>
      </c>
      <c r="U10376">
        <v>-0.12629699999999999</v>
      </c>
      <c r="V10376">
        <v>0.1772348</v>
      </c>
      <c r="W10376">
        <v>0.1315885</v>
      </c>
      <c r="X10376">
        <v>0.97533190000000003</v>
      </c>
      <c r="Y10376">
        <v>0.33673419999999998</v>
      </c>
      <c r="Z10376">
        <v>-2.0550390000000002E-2</v>
      </c>
      <c r="AA10376">
        <v>0.94137539999999997</v>
      </c>
      <c r="AB10376">
        <v>19</v>
      </c>
      <c r="AC10376">
        <v>22.707999999999998</v>
      </c>
      <c r="AD10376">
        <v>-1.1152572832159999</v>
      </c>
      <c r="AE10376">
        <v>-0.96659999999999902</v>
      </c>
      <c r="AF10376">
        <v>7.6843727677942599</v>
      </c>
      <c r="AG10376">
        <v>-1.1152572832159999</v>
      </c>
      <c r="AH10376">
        <v>21.332120206782999</v>
      </c>
      <c r="AI10376">
        <v>92.815919637411199</v>
      </c>
      <c r="AJ10376">
        <v>70.189688754049101</v>
      </c>
      <c r="AK10376">
        <v>22.7013818116612</v>
      </c>
      <c r="AL10376">
        <v>82.438604783935006</v>
      </c>
      <c r="AM10376">
        <v>79.700741915611502</v>
      </c>
      <c r="AN10376">
        <v>1.0000000114104499</v>
      </c>
    </row>
    <row r="10377" spans="1:40" x14ac:dyDescent="0.25">
      <c r="A10377" t="str">
        <f>"20190303162149914"</f>
        <v>20190303162149914</v>
      </c>
      <c r="B10377" t="str">
        <f>"1551601309903442"</f>
        <v>1551601309903442</v>
      </c>
      <c r="C10377" t="s">
        <v>40</v>
      </c>
      <c r="D10377">
        <v>5.029935</v>
      </c>
      <c r="E10377">
        <v>0.56251530000000005</v>
      </c>
      <c r="F10377" t="s">
        <v>41</v>
      </c>
      <c r="G10377">
        <v>-149.8184</v>
      </c>
      <c r="H10377" s="1">
        <v>-9.3711720000000002E-7</v>
      </c>
      <c r="I10377">
        <v>136.274</v>
      </c>
      <c r="J10377">
        <v>-171.422</v>
      </c>
      <c r="K10377">
        <v>1.115305</v>
      </c>
      <c r="L10377">
        <v>137.19659999999999</v>
      </c>
      <c r="M10377">
        <v>0.95718219999999998</v>
      </c>
      <c r="N10377">
        <v>-1.565981E-2</v>
      </c>
      <c r="O10377">
        <v>0.28906199999999999</v>
      </c>
      <c r="P10377">
        <v>0.9858228</v>
      </c>
      <c r="Q10377">
        <v>0.1186755</v>
      </c>
      <c r="R10377">
        <v>0.1186149</v>
      </c>
      <c r="S10377">
        <v>3.0806119999999999</v>
      </c>
      <c r="T10377">
        <v>-0.15794530000000001</v>
      </c>
      <c r="U10377">
        <v>-0.1257935</v>
      </c>
      <c r="V10377">
        <v>0.17352799999999999</v>
      </c>
      <c r="W10377">
        <v>0.13127220000000001</v>
      </c>
      <c r="X10377">
        <v>0.97604080000000004</v>
      </c>
      <c r="Y10377">
        <v>0.32718029999999998</v>
      </c>
      <c r="Z10377">
        <v>-2.1042760000000001E-2</v>
      </c>
      <c r="AA10377">
        <v>0.9447276</v>
      </c>
      <c r="AB10377">
        <v>19</v>
      </c>
      <c r="AC10377">
        <v>21.6036</v>
      </c>
      <c r="AD10377">
        <v>-1.1153059371171901</v>
      </c>
      <c r="AE10377">
        <v>-0.92259999999998799</v>
      </c>
      <c r="AF10377">
        <v>7.1098359601944896</v>
      </c>
      <c r="AG10377">
        <v>-1.1153059371171901</v>
      </c>
      <c r="AH10377">
        <v>20.360231688006198</v>
      </c>
      <c r="AI10377">
        <v>92.960478906243097</v>
      </c>
      <c r="AJ10377">
        <v>70.750690379068899</v>
      </c>
      <c r="AK10377">
        <v>21.594737995714102</v>
      </c>
      <c r="AL10377">
        <v>82.456885936635999</v>
      </c>
      <c r="AM10377">
        <v>79.918853713691405</v>
      </c>
      <c r="AN10377">
        <v>1.0000000002707401</v>
      </c>
    </row>
    <row r="10378" spans="1:40" x14ac:dyDescent="0.25">
      <c r="A10378" t="str">
        <f>"20190303162149927"</f>
        <v>20190303162149927</v>
      </c>
      <c r="B10378" t="str">
        <f>"1551601309922962"</f>
        <v>1551601309922962</v>
      </c>
      <c r="C10378" t="s">
        <v>40</v>
      </c>
      <c r="D10378">
        <v>5.0351549999999996</v>
      </c>
      <c r="E10378">
        <v>0.56171040000000005</v>
      </c>
      <c r="F10378" t="s">
        <v>41</v>
      </c>
      <c r="G10378">
        <v>-149.92939999999999</v>
      </c>
      <c r="H10378" s="1">
        <v>-9.1439649999999999E-7</v>
      </c>
      <c r="I10378">
        <v>136.2175</v>
      </c>
      <c r="J10378">
        <v>-171.3066</v>
      </c>
      <c r="K10378">
        <v>1.115345</v>
      </c>
      <c r="L10378">
        <v>137.22229999999999</v>
      </c>
      <c r="M10378">
        <v>0.95937320000000004</v>
      </c>
      <c r="N10378">
        <v>-1.564844E-2</v>
      </c>
      <c r="O10378">
        <v>0.28170620000000002</v>
      </c>
      <c r="P10378">
        <v>0.98629389999999995</v>
      </c>
      <c r="Q10378">
        <v>0.1180913</v>
      </c>
      <c r="R10378">
        <v>0.11523319999999999</v>
      </c>
      <c r="S10378">
        <v>3.0792540000000002</v>
      </c>
      <c r="T10378">
        <v>-0.1597906</v>
      </c>
      <c r="U10378">
        <v>-0.14027400000000001</v>
      </c>
      <c r="V10378">
        <v>0.1693723</v>
      </c>
      <c r="W10378">
        <v>0.13077059999999999</v>
      </c>
      <c r="X10378">
        <v>0.97683779999999998</v>
      </c>
      <c r="Y10378">
        <v>0.32436930000000003</v>
      </c>
      <c r="Z10378">
        <v>-2.0978670000000001E-2</v>
      </c>
      <c r="AA10378">
        <v>0.94569789999999998</v>
      </c>
      <c r="AB10378">
        <v>19</v>
      </c>
      <c r="AC10378">
        <v>21.377199999999998</v>
      </c>
      <c r="AD10378">
        <v>-1.1153459143964899</v>
      </c>
      <c r="AE10378">
        <v>-1.0047999999999799</v>
      </c>
      <c r="AF10378">
        <v>6.9679964463748796</v>
      </c>
      <c r="AG10378">
        <v>-1.1153459143964899</v>
      </c>
      <c r="AH10378">
        <v>20.173334765645802</v>
      </c>
      <c r="AI10378">
        <v>92.991474601639098</v>
      </c>
      <c r="AJ10378">
        <v>70.944766276531496</v>
      </c>
      <c r="AK10378">
        <v>21.371953737369601</v>
      </c>
      <c r="AL10378">
        <v>82.485875450843395</v>
      </c>
      <c r="AM10378">
        <v>80.163375464513905</v>
      </c>
      <c r="AN10378">
        <v>1.0000000066702399</v>
      </c>
    </row>
    <row r="10379" spans="1:40" x14ac:dyDescent="0.25">
      <c r="A10379" t="str">
        <f>"20190303162149941"</f>
        <v>20190303162149941</v>
      </c>
      <c r="B10379" t="str">
        <f>"1551601309932723"</f>
        <v>1551601309932723</v>
      </c>
      <c r="C10379" t="s">
        <v>40</v>
      </c>
      <c r="D10379">
        <v>5.0232080000000003</v>
      </c>
      <c r="E10379">
        <v>0.56144340000000004</v>
      </c>
      <c r="F10379" t="s">
        <v>41</v>
      </c>
      <c r="G10379">
        <v>-149.99100000000001</v>
      </c>
      <c r="H10379" s="1">
        <v>-4.8797510000000004E-6</v>
      </c>
      <c r="I10379">
        <v>136.2132</v>
      </c>
      <c r="J10379">
        <v>-171.1934</v>
      </c>
      <c r="K10379">
        <v>1.1153850000000001</v>
      </c>
      <c r="L10379">
        <v>137.2465</v>
      </c>
      <c r="M10379">
        <v>0.96145720000000001</v>
      </c>
      <c r="N10379">
        <v>-1.5636560000000001E-2</v>
      </c>
      <c r="O10379">
        <v>0.27450950000000002</v>
      </c>
      <c r="P10379">
        <v>0.98604389999999997</v>
      </c>
      <c r="Q10379">
        <v>0.11823119999999999</v>
      </c>
      <c r="R10379">
        <v>0.117214</v>
      </c>
      <c r="S10379">
        <v>3.0780029999999998</v>
      </c>
      <c r="T10379">
        <v>-0.16105839999999999</v>
      </c>
      <c r="U10379">
        <v>-0.14570620000000001</v>
      </c>
      <c r="V10379">
        <v>0.16005030000000001</v>
      </c>
      <c r="W10379">
        <v>0.13108310000000001</v>
      </c>
      <c r="X10379">
        <v>0.97836659999999998</v>
      </c>
      <c r="Y10379">
        <v>0.31896149999999901</v>
      </c>
      <c r="Z10379">
        <v>-2.073759E-2</v>
      </c>
      <c r="AA10379">
        <v>0.94754079999999996</v>
      </c>
      <c r="AB10379">
        <v>19</v>
      </c>
      <c r="AC10379">
        <v>21.202399999999901</v>
      </c>
      <c r="AD10379">
        <v>-1.115389879751</v>
      </c>
      <c r="AE10379">
        <v>-1.0332999999999899</v>
      </c>
      <c r="AF10379">
        <v>6.7958047346132799</v>
      </c>
      <c r="AG10379">
        <v>-1.115389879751</v>
      </c>
      <c r="AH10379">
        <v>20.048655571080499</v>
      </c>
      <c r="AI10379">
        <v>93.016095994209195</v>
      </c>
      <c r="AJ10379">
        <v>71.275108532441706</v>
      </c>
      <c r="AK10379">
        <v>21.198482181105799</v>
      </c>
      <c r="AL10379">
        <v>82.467815315162994</v>
      </c>
      <c r="AM10379">
        <v>80.709318058749304</v>
      </c>
      <c r="AN10379">
        <v>1.00000004081562</v>
      </c>
    </row>
    <row r="10380" spans="1:40" x14ac:dyDescent="0.25">
      <c r="A10380" t="str">
        <f>"20190303162149964"</f>
        <v>20190303162149964</v>
      </c>
      <c r="B10380" t="str">
        <f>"1551601309953218"</f>
        <v>1551601309953218</v>
      </c>
      <c r="C10380" t="s">
        <v>40</v>
      </c>
      <c r="D10380">
        <v>5.0104829999999998</v>
      </c>
      <c r="E10380">
        <v>0.56068439999999997</v>
      </c>
      <c r="F10380" t="s">
        <v>41</v>
      </c>
      <c r="G10380">
        <v>-149.5635</v>
      </c>
      <c r="H10380" s="1">
        <v>-1.026543E-6</v>
      </c>
      <c r="I10380">
        <v>136.26390000000001</v>
      </c>
      <c r="J10380">
        <v>-171.0035</v>
      </c>
      <c r="K10380">
        <v>1.1154790000000001</v>
      </c>
      <c r="L10380">
        <v>137.2852</v>
      </c>
      <c r="M10380">
        <v>0.96481700000000004</v>
      </c>
      <c r="N10380">
        <v>-1.561541E-2</v>
      </c>
      <c r="O10380">
        <v>0.26245849999999998</v>
      </c>
      <c r="P10380">
        <v>0.98619190000000001</v>
      </c>
      <c r="Q10380">
        <v>0.1195089</v>
      </c>
      <c r="R10380">
        <v>0.1146445</v>
      </c>
      <c r="S10380">
        <v>3.0780940000000001</v>
      </c>
      <c r="T10380">
        <v>-0.1587276</v>
      </c>
      <c r="U10380">
        <v>-0.13981629999999901</v>
      </c>
      <c r="V10380">
        <v>0.15028810000000001</v>
      </c>
      <c r="W10380">
        <v>0.1325385</v>
      </c>
      <c r="X10380">
        <v>0.97971790000000003</v>
      </c>
      <c r="Y10380">
        <v>0.30531469999999999</v>
      </c>
      <c r="Z10380">
        <v>-1.9542629999999998E-2</v>
      </c>
      <c r="AA10380">
        <v>0.95205099999999998</v>
      </c>
      <c r="AB10380">
        <v>19</v>
      </c>
      <c r="AC10380">
        <v>21.44</v>
      </c>
      <c r="AD10380">
        <v>-1.115480026543</v>
      </c>
      <c r="AE10380">
        <v>-1.0212999999999901</v>
      </c>
      <c r="AF10380">
        <v>6.5954707592502197</v>
      </c>
      <c r="AG10380">
        <v>-1.115480026543</v>
      </c>
      <c r="AH10380">
        <v>20.3651141246471</v>
      </c>
      <c r="AI10380">
        <v>92.982951539100796</v>
      </c>
      <c r="AJ10380">
        <v>72.054871938852699</v>
      </c>
      <c r="AK10380">
        <v>21.435540663478601</v>
      </c>
      <c r="AL10380">
        <v>82.383693244966295</v>
      </c>
      <c r="AM10380">
        <v>81.278846856946402</v>
      </c>
      <c r="AN10380">
        <v>1.0000000652821299</v>
      </c>
    </row>
    <row r="10381" spans="1:40" x14ac:dyDescent="0.25">
      <c r="A10381" t="str">
        <f>"20190303162149987"</f>
        <v>20190303162149987</v>
      </c>
      <c r="B10381" t="str">
        <f>"1551601309982498"</f>
        <v>1551601309982498</v>
      </c>
      <c r="C10381" t="s">
        <v>40</v>
      </c>
      <c r="D10381">
        <v>4.9463889999999999</v>
      </c>
      <c r="E10381">
        <v>0.55987449999999905</v>
      </c>
      <c r="F10381" t="s">
        <v>41</v>
      </c>
      <c r="G10381">
        <v>-148.66030000000001</v>
      </c>
      <c r="H10381" s="1">
        <v>-1.3390419999999999E-6</v>
      </c>
      <c r="I10381">
        <v>136.24459999999999</v>
      </c>
      <c r="J10381">
        <v>-170.81030000000001</v>
      </c>
      <c r="K10381">
        <v>1.1155809999999999</v>
      </c>
      <c r="L10381">
        <v>137.32210000000001</v>
      </c>
      <c r="M10381">
        <v>0.96804509999999999</v>
      </c>
      <c r="N10381">
        <v>-1.558995E-2</v>
      </c>
      <c r="O10381">
        <v>0.2502915</v>
      </c>
      <c r="P10381">
        <v>0.98629440000000002</v>
      </c>
      <c r="Q10381">
        <v>0.121348499999999</v>
      </c>
      <c r="R10381">
        <v>0.1117948</v>
      </c>
      <c r="S10381">
        <v>3.077286</v>
      </c>
      <c r="T10381">
        <v>-0.15363309999999999</v>
      </c>
      <c r="U10381">
        <v>-0.14331050000000001</v>
      </c>
      <c r="V10381">
        <v>0.14070189999999999</v>
      </c>
      <c r="W10381">
        <v>0.13454920000000001</v>
      </c>
      <c r="X10381">
        <v>0.98086669999999998</v>
      </c>
      <c r="Y10381">
        <v>0.29446729999999999</v>
      </c>
      <c r="Z10381">
        <v>-1.811478E-2</v>
      </c>
      <c r="AA10381">
        <v>0.9554899</v>
      </c>
      <c r="AB10381">
        <v>19</v>
      </c>
      <c r="AC10381">
        <v>22.15</v>
      </c>
      <c r="AD10381">
        <v>-1.1155823390420001</v>
      </c>
      <c r="AE10381">
        <v>-1.0775000000000099</v>
      </c>
      <c r="AF10381">
        <v>6.5711960029062499</v>
      </c>
      <c r="AG10381">
        <v>-1.1155823390420001</v>
      </c>
      <c r="AH10381">
        <v>21.121630096997698</v>
      </c>
      <c r="AI10381">
        <v>92.8871353022856</v>
      </c>
      <c r="AJ10381">
        <v>72.718446734074703</v>
      </c>
      <c r="AK10381">
        <v>22.148327223928099</v>
      </c>
      <c r="AL10381">
        <v>82.267446855595793</v>
      </c>
      <c r="AM10381">
        <v>81.836807774860901</v>
      </c>
      <c r="AN10381">
        <v>0.99999999752656998</v>
      </c>
    </row>
    <row r="10382" spans="1:40" x14ac:dyDescent="0.25">
      <c r="A10382" t="str">
        <f>"20190303162150008"</f>
        <v>20190303162150008</v>
      </c>
      <c r="B10382" t="str">
        <f>"1551601310002996"</f>
        <v>1551601310002996</v>
      </c>
      <c r="C10382" t="s">
        <v>40</v>
      </c>
      <c r="D10382">
        <v>4.9368040000000004</v>
      </c>
      <c r="E10382">
        <v>0.5596238</v>
      </c>
      <c r="F10382" t="s">
        <v>41</v>
      </c>
      <c r="G10382">
        <v>-147.55879999999999</v>
      </c>
      <c r="H10382" s="1">
        <v>-1.7206629999999999E-6</v>
      </c>
      <c r="I10382">
        <v>136.2192</v>
      </c>
      <c r="J10382">
        <v>-170.62479999999999</v>
      </c>
      <c r="K10382">
        <v>1.115696</v>
      </c>
      <c r="L10382">
        <v>137.3552</v>
      </c>
      <c r="M10382">
        <v>0.97095980000000004</v>
      </c>
      <c r="N10382">
        <v>-1.5559709999999999E-2</v>
      </c>
      <c r="O10382">
        <v>0.2387359</v>
      </c>
      <c r="P10382">
        <v>0.98652130000000005</v>
      </c>
      <c r="Q10382">
        <v>0.1212995</v>
      </c>
      <c r="R10382">
        <v>0.10982740000000001</v>
      </c>
      <c r="S10382">
        <v>3.0763850000000001</v>
      </c>
      <c r="T10382">
        <v>-0.14760200000000001</v>
      </c>
      <c r="U10382">
        <v>-0.14591979999999999</v>
      </c>
      <c r="V10382">
        <v>0.13090570000000001</v>
      </c>
      <c r="W10382">
        <v>0.1346735</v>
      </c>
      <c r="X10382">
        <v>0.98220499999999999</v>
      </c>
      <c r="Y10382">
        <v>0.2839525</v>
      </c>
      <c r="Z10382">
        <v>-1.6656500000000001E-2</v>
      </c>
      <c r="AA10382">
        <v>0.95869369999999998</v>
      </c>
      <c r="AB10382">
        <v>19</v>
      </c>
      <c r="AC10382">
        <v>23.065999999999999</v>
      </c>
      <c r="AD10382">
        <v>-1.1156977206630001</v>
      </c>
      <c r="AE10382">
        <v>-1.1359999999999899</v>
      </c>
      <c r="AF10382">
        <v>6.5951004969620701</v>
      </c>
      <c r="AG10382">
        <v>-1.1156977206630001</v>
      </c>
      <c r="AH10382">
        <v>22.076109880418699</v>
      </c>
      <c r="AI10382">
        <v>92.7723251457233</v>
      </c>
      <c r="AJ10382">
        <v>73.366811737661394</v>
      </c>
      <c r="AK10382">
        <v>23.0671792688495</v>
      </c>
      <c r="AL10382">
        <v>82.260259266840606</v>
      </c>
      <c r="AM10382">
        <v>82.408507063422505</v>
      </c>
      <c r="AN10382">
        <v>0.99999995795986896</v>
      </c>
    </row>
    <row r="10383" spans="1:40" x14ac:dyDescent="0.25">
      <c r="A10383" t="str">
        <f>"20190303162150031"</f>
        <v>20190303162150031</v>
      </c>
      <c r="B10383" t="str">
        <f>"1551601310022515"</f>
        <v>1551601310022515</v>
      </c>
      <c r="C10383" t="s">
        <v>40</v>
      </c>
      <c r="D10383">
        <v>4.8804939999999997</v>
      </c>
      <c r="E10383">
        <v>0.55949340000000003</v>
      </c>
      <c r="F10383" t="s">
        <v>41</v>
      </c>
      <c r="G10383">
        <v>-147.56440000000001</v>
      </c>
      <c r="H10383" s="1">
        <v>-1.7159200000000001E-6</v>
      </c>
      <c r="I10383">
        <v>136.22980000000001</v>
      </c>
      <c r="J10383">
        <v>-170.4409</v>
      </c>
      <c r="K10383">
        <v>1.1158220000000001</v>
      </c>
      <c r="L10383">
        <v>137.38589999999999</v>
      </c>
      <c r="M10383">
        <v>0.97367999999999999</v>
      </c>
      <c r="N10383">
        <v>-1.552455E-2</v>
      </c>
      <c r="O10383">
        <v>0.22739039999999999</v>
      </c>
      <c r="P10383">
        <v>0.98676819999999998</v>
      </c>
      <c r="Q10383">
        <v>0.12180299999999999</v>
      </c>
      <c r="R10383">
        <v>0.1070171</v>
      </c>
      <c r="S10383">
        <v>3.0760190000000001</v>
      </c>
      <c r="T10383">
        <v>-0.14882229999999999</v>
      </c>
      <c r="U10383">
        <v>-0.1501007</v>
      </c>
      <c r="V10383">
        <v>0.122172699999999</v>
      </c>
      <c r="W10383">
        <v>0.1353251</v>
      </c>
      <c r="X10383">
        <v>0.98324</v>
      </c>
      <c r="Y10383">
        <v>0.27406779999999997</v>
      </c>
      <c r="Z10383">
        <v>-1.613794E-2</v>
      </c>
      <c r="AA10383">
        <v>0.96157499999999996</v>
      </c>
      <c r="AB10383">
        <v>19</v>
      </c>
      <c r="AC10383">
        <v>22.8765</v>
      </c>
      <c r="AD10383">
        <v>-1.11582371592</v>
      </c>
      <c r="AE10383">
        <v>-1.1560999999999799</v>
      </c>
      <c r="AF10383">
        <v>6.31334831096187</v>
      </c>
      <c r="AG10383">
        <v>-1.11582371592</v>
      </c>
      <c r="AH10383">
        <v>21.962039140428999</v>
      </c>
      <c r="AI10383">
        <v>92.795498939327899</v>
      </c>
      <c r="AJ10383">
        <v>73.961834913725596</v>
      </c>
      <c r="AK10383">
        <v>22.878692984221601</v>
      </c>
      <c r="AL10383">
        <v>82.222580539921296</v>
      </c>
      <c r="AM10383">
        <v>82.917003886356497</v>
      </c>
      <c r="AN10383">
        <v>0.99999997445764899</v>
      </c>
    </row>
    <row r="10384" spans="1:40" x14ac:dyDescent="0.25">
      <c r="A10384" t="str">
        <f>"20190303162150048"</f>
        <v>20190303162150048</v>
      </c>
      <c r="B10384" t="str">
        <f>"1551601310043010"</f>
        <v>1551601310043010</v>
      </c>
      <c r="C10384" t="s">
        <v>40</v>
      </c>
      <c r="D10384">
        <v>4.8584399999999999</v>
      </c>
      <c r="E10384">
        <v>0.55946569999999995</v>
      </c>
      <c r="F10384" t="s">
        <v>41</v>
      </c>
      <c r="G10384">
        <v>-147.5076</v>
      </c>
      <c r="H10384" s="1">
        <v>-1.7378360000000001E-6</v>
      </c>
      <c r="I10384">
        <v>136.22020000000001</v>
      </c>
      <c r="J10384">
        <v>-170.28799999999899</v>
      </c>
      <c r="K10384">
        <v>1.1159319999999999</v>
      </c>
      <c r="L10384">
        <v>137.41</v>
      </c>
      <c r="M10384">
        <v>0.97581079999999998</v>
      </c>
      <c r="N10384">
        <v>-1.54918E-2</v>
      </c>
      <c r="O10384">
        <v>0.21806719999999999</v>
      </c>
      <c r="P10384">
        <v>0.9873343</v>
      </c>
      <c r="Q10384">
        <v>0.12243610000000001</v>
      </c>
      <c r="R10384">
        <v>0.1008999</v>
      </c>
      <c r="S10384">
        <v>3.0756679999999998</v>
      </c>
      <c r="T10384">
        <v>-0.149647</v>
      </c>
      <c r="U10384">
        <v>-0.1563416</v>
      </c>
      <c r="V10384">
        <v>0.1188073</v>
      </c>
      <c r="W10384">
        <v>0.13601250000000001</v>
      </c>
      <c r="X10384">
        <v>0.98355749999999997</v>
      </c>
      <c r="Y10384">
        <v>0.26682430000000001</v>
      </c>
      <c r="Z10384">
        <v>-1.5709319999999999E-2</v>
      </c>
      <c r="AA10384">
        <v>0.9636171</v>
      </c>
      <c r="AB10384">
        <v>19</v>
      </c>
      <c r="AC10384">
        <v>22.780399999999901</v>
      </c>
      <c r="AD10384">
        <v>-1.1159337378359999</v>
      </c>
      <c r="AE10384">
        <v>-1.18979999999999</v>
      </c>
      <c r="AF10384">
        <v>6.1147796193681501</v>
      </c>
      <c r="AG10384">
        <v>-1.1159337378359999</v>
      </c>
      <c r="AH10384">
        <v>21.920082445075099</v>
      </c>
      <c r="AI10384">
        <v>92.807362532661699</v>
      </c>
      <c r="AJ10384">
        <v>74.4131369853922</v>
      </c>
      <c r="AK10384">
        <v>22.7843334837684</v>
      </c>
      <c r="AL10384">
        <v>82.182827803442805</v>
      </c>
      <c r="AM10384">
        <v>83.112415028936496</v>
      </c>
      <c r="AN10384">
        <v>0.99999996524789403</v>
      </c>
    </row>
    <row r="10385" spans="1:40" x14ac:dyDescent="0.25">
      <c r="A10385" t="str">
        <f>"20190303162150061"</f>
        <v>20190303162150061</v>
      </c>
      <c r="B10385" t="str">
        <f>"1551601310053746"</f>
        <v>1551601310053746</v>
      </c>
      <c r="C10385" t="s">
        <v>40</v>
      </c>
      <c r="D10385">
        <v>4.82355</v>
      </c>
      <c r="E10385">
        <v>0.55932969999999904</v>
      </c>
      <c r="F10385" t="s">
        <v>41</v>
      </c>
      <c r="G10385">
        <v>-147.30099999999999</v>
      </c>
      <c r="H10385" s="1">
        <v>-1.836525E-6</v>
      </c>
      <c r="I10385">
        <v>136.11349999999999</v>
      </c>
      <c r="J10385">
        <v>-170.1764</v>
      </c>
      <c r="K10385">
        <v>1.11602</v>
      </c>
      <c r="L10385">
        <v>137.42679999999999</v>
      </c>
      <c r="M10385">
        <v>0.97728910000000002</v>
      </c>
      <c r="N10385">
        <v>-1.5465629999999999E-2</v>
      </c>
      <c r="O10385">
        <v>0.21134549999999999</v>
      </c>
      <c r="P10385">
        <v>0.98730419999999997</v>
      </c>
      <c r="Q10385">
        <v>0.1233543</v>
      </c>
      <c r="R10385">
        <v>0.1000728</v>
      </c>
      <c r="S10385">
        <v>3.074722</v>
      </c>
      <c r="T10385">
        <v>-0.14926610000000001</v>
      </c>
      <c r="U10385">
        <v>-0.17341609999999999</v>
      </c>
      <c r="V10385">
        <v>0.1128044</v>
      </c>
      <c r="W10385">
        <v>0.1370257</v>
      </c>
      <c r="X10385">
        <v>0.98412350000000004</v>
      </c>
      <c r="Y10385">
        <v>0.26555000000000001</v>
      </c>
      <c r="Z10385">
        <v>-1.5417510000000001E-2</v>
      </c>
      <c r="AA10385">
        <v>0.96397379999999999</v>
      </c>
      <c r="AB10385">
        <v>19</v>
      </c>
      <c r="AC10385">
        <v>22.8753999999999</v>
      </c>
      <c r="AD10385">
        <v>-1.1160218365250001</v>
      </c>
      <c r="AE10385">
        <v>-1.3132999999999899</v>
      </c>
      <c r="AF10385">
        <v>6.1043365304702704</v>
      </c>
      <c r="AG10385">
        <v>-1.1160218365250001</v>
      </c>
      <c r="AH10385">
        <v>22.028699109564599</v>
      </c>
      <c r="AI10385">
        <v>92.795094220255606</v>
      </c>
      <c r="AJ10385">
        <v>74.511502849393906</v>
      </c>
      <c r="AK10385">
        <v>22.8860659283453</v>
      </c>
      <c r="AL10385">
        <v>82.124227093098995</v>
      </c>
      <c r="AM10385">
        <v>83.461053430342005</v>
      </c>
      <c r="AN10385">
        <v>0.99999996918604905</v>
      </c>
    </row>
    <row r="10386" spans="1:40" x14ac:dyDescent="0.25">
      <c r="A10386" t="str">
        <f>"20190303162150087"</f>
        <v>20190303162150087</v>
      </c>
      <c r="B10386" t="str">
        <f>"1551601310083027"</f>
        <v>1551601310083027</v>
      </c>
      <c r="C10386" t="s">
        <v>40</v>
      </c>
      <c r="D10386">
        <v>4.7928360000000003</v>
      </c>
      <c r="E10386">
        <v>0.55922050000000001</v>
      </c>
      <c r="F10386" t="s">
        <v>41</v>
      </c>
      <c r="G10386">
        <v>-147.10749999999999</v>
      </c>
      <c r="H10386" s="1">
        <v>-1.896424E-6</v>
      </c>
      <c r="I10386">
        <v>136.13579999999999</v>
      </c>
      <c r="J10386">
        <v>-169.96780000000001</v>
      </c>
      <c r="K10386">
        <v>1.1162030000000001</v>
      </c>
      <c r="L10386">
        <v>137.4563</v>
      </c>
      <c r="M10386">
        <v>0.97986709999999999</v>
      </c>
      <c r="N10386">
        <v>-1.5408760000000001E-2</v>
      </c>
      <c r="O10386">
        <v>0.19905539999999999</v>
      </c>
      <c r="P10386">
        <v>0.98897109999999999</v>
      </c>
      <c r="Q10386">
        <v>0.116843</v>
      </c>
      <c r="R10386">
        <v>9.1017269999999997E-2</v>
      </c>
      <c r="S10386">
        <v>3.0746000000000002</v>
      </c>
      <c r="T10386">
        <v>-0.1487426</v>
      </c>
      <c r="U10386">
        <v>-0.17205809999999999</v>
      </c>
      <c r="V10386">
        <v>0.1094561</v>
      </c>
      <c r="W10386">
        <v>0.1305801</v>
      </c>
      <c r="X10386">
        <v>0.98537719999999995</v>
      </c>
      <c r="Y10386">
        <v>0.25302839999999999</v>
      </c>
      <c r="Z10386">
        <v>-1.4571219999999999E-2</v>
      </c>
      <c r="AA10386">
        <v>0.96734909999999996</v>
      </c>
      <c r="AB10386">
        <v>19</v>
      </c>
      <c r="AC10386">
        <v>22.860299999999999</v>
      </c>
      <c r="AD10386">
        <v>-1.1162048964239999</v>
      </c>
      <c r="AE10386">
        <v>-1.3205</v>
      </c>
      <c r="AF10386">
        <v>5.83121859840774</v>
      </c>
      <c r="AG10386">
        <v>-1.1162048964239999</v>
      </c>
      <c r="AH10386">
        <v>22.087348249679501</v>
      </c>
      <c r="AI10386">
        <v>92.797349663828896</v>
      </c>
      <c r="AJ10386">
        <v>75.210937628675495</v>
      </c>
      <c r="AK10386">
        <v>22.871378979323399</v>
      </c>
      <c r="AL10386">
        <v>82.496884748857497</v>
      </c>
      <c r="AM10386">
        <v>83.661546046455996</v>
      </c>
      <c r="AN10386">
        <v>1.0000000133115201</v>
      </c>
    </row>
    <row r="10387" spans="1:40" x14ac:dyDescent="0.25">
      <c r="A10387" t="str">
        <f>"20190303162150120"</f>
        <v>20190303162150120</v>
      </c>
      <c r="B10387" t="str">
        <f>"1551601310113282"</f>
        <v>1551601310113282</v>
      </c>
      <c r="C10387" t="s">
        <v>40</v>
      </c>
      <c r="D10387">
        <v>4.7301029999999997</v>
      </c>
      <c r="E10387">
        <v>0.55917190000000006</v>
      </c>
      <c r="F10387" t="s">
        <v>41</v>
      </c>
      <c r="G10387">
        <v>-150.0034</v>
      </c>
      <c r="H10387" s="1">
        <v>-4.8797180000000001E-6</v>
      </c>
      <c r="I10387">
        <v>136.18340000000001</v>
      </c>
      <c r="J10387">
        <v>-169.6909</v>
      </c>
      <c r="K10387">
        <v>1.1165560000000001</v>
      </c>
      <c r="L10387">
        <v>137.49209999999999</v>
      </c>
      <c r="M10387">
        <v>0.98290889999999997</v>
      </c>
      <c r="N10387">
        <v>-1.53102999999999E-2</v>
      </c>
      <c r="O10387">
        <v>0.18345520000000001</v>
      </c>
      <c r="P10387">
        <v>0.99060009999999998</v>
      </c>
      <c r="Q10387">
        <v>0.1095933</v>
      </c>
      <c r="R10387">
        <v>8.1859039999999994E-2</v>
      </c>
      <c r="S10387">
        <v>3.071793</v>
      </c>
      <c r="T10387">
        <v>-0.17174339999999999</v>
      </c>
      <c r="U10387">
        <v>-0.19584660000000001</v>
      </c>
      <c r="V10387">
        <v>0.1028347</v>
      </c>
      <c r="W10387">
        <v>0.123442899999999</v>
      </c>
      <c r="X10387">
        <v>0.98700900000000003</v>
      </c>
      <c r="Y10387">
        <v>0.24501719999999999</v>
      </c>
      <c r="Z10387">
        <v>-1.611398E-2</v>
      </c>
      <c r="AA10387">
        <v>0.96938480000000005</v>
      </c>
      <c r="AB10387">
        <v>18</v>
      </c>
      <c r="AC10387">
        <v>19.6875</v>
      </c>
      <c r="AD10387">
        <v>-1.11656087971799</v>
      </c>
      <c r="AE10387">
        <v>-1.30869999999998</v>
      </c>
      <c r="AF10387">
        <v>4.8830437843955803</v>
      </c>
      <c r="AG10387">
        <v>-1.11656087971799</v>
      </c>
      <c r="AH10387">
        <v>19.052158544296201</v>
      </c>
      <c r="AI10387">
        <v>93.249224309652504</v>
      </c>
      <c r="AJ10387">
        <v>75.6246020792547</v>
      </c>
      <c r="AK10387">
        <v>19.699633752825001</v>
      </c>
      <c r="AL10387">
        <v>82.909155507705506</v>
      </c>
      <c r="AM10387">
        <v>84.051915911713905</v>
      </c>
      <c r="AN10387">
        <v>0.99999994558274796</v>
      </c>
    </row>
    <row r="10388" spans="1:40" x14ac:dyDescent="0.25">
      <c r="A10388" t="str">
        <f>"20190303162150143"</f>
        <v>20190303162150143</v>
      </c>
      <c r="B10388" t="str">
        <f>"1551601310132803"</f>
        <v>1551601310132803</v>
      </c>
      <c r="C10388" t="s">
        <v>40</v>
      </c>
      <c r="D10388">
        <v>4.7459220000000002</v>
      </c>
      <c r="E10388">
        <v>0.55895859999999997</v>
      </c>
      <c r="F10388" t="s">
        <v>41</v>
      </c>
      <c r="G10388">
        <v>-151.8503</v>
      </c>
      <c r="H10388" s="1">
        <v>-4.0887439999999999E-6</v>
      </c>
      <c r="I10388">
        <v>136.17599999999999</v>
      </c>
      <c r="J10388">
        <v>-169.49950000000001</v>
      </c>
      <c r="K10388">
        <v>1.1168400000000001</v>
      </c>
      <c r="L10388">
        <v>137.51490000000001</v>
      </c>
      <c r="M10388">
        <v>0.98478589999999999</v>
      </c>
      <c r="N10388">
        <v>-1.523388E-2</v>
      </c>
      <c r="O10388">
        <v>0.17310329999999999</v>
      </c>
      <c r="P10388">
        <v>0.99116570000000004</v>
      </c>
      <c r="Q10388">
        <v>0.1093915</v>
      </c>
      <c r="R10388">
        <v>7.4995039999999999E-2</v>
      </c>
      <c r="S10388">
        <v>3.0684200000000001</v>
      </c>
      <c r="T10388">
        <v>-0.1920367</v>
      </c>
      <c r="U10388">
        <v>-0.2263336</v>
      </c>
      <c r="V10388">
        <v>9.9191810000000005E-2</v>
      </c>
      <c r="W10388">
        <v>0.1232873</v>
      </c>
      <c r="X10388">
        <v>0.98740119999999998</v>
      </c>
      <c r="Y10388">
        <v>0.24432219999999999</v>
      </c>
      <c r="Z10388">
        <v>-1.7640550000000001E-2</v>
      </c>
      <c r="AA10388">
        <v>0.9695336</v>
      </c>
      <c r="AB10388">
        <v>18</v>
      </c>
      <c r="AC10388">
        <v>17.6492</v>
      </c>
      <c r="AD10388">
        <v>-1.1168440887440001</v>
      </c>
      <c r="AE10388">
        <v>-1.33889999999999</v>
      </c>
      <c r="AF10388">
        <v>4.3568254449013901</v>
      </c>
      <c r="AG10388">
        <v>-1.1168440887440001</v>
      </c>
      <c r="AH10388">
        <v>17.082889816535602</v>
      </c>
      <c r="AI10388">
        <v>93.624847857581003</v>
      </c>
      <c r="AJ10388">
        <v>75.692279812601996</v>
      </c>
      <c r="AK10388">
        <v>17.665061368696101</v>
      </c>
      <c r="AL10388">
        <v>82.918139399052606</v>
      </c>
      <c r="AM10388">
        <v>84.263457398946002</v>
      </c>
      <c r="AN10388">
        <v>0.99999995163690103</v>
      </c>
    </row>
    <row r="10389" spans="1:40" x14ac:dyDescent="0.25">
      <c r="A10389" t="str">
        <f>"20190303162150165"</f>
        <v>20190303162150165</v>
      </c>
      <c r="B10389" t="str">
        <f>"1551601310153299"</f>
        <v>1551601310153299</v>
      </c>
      <c r="C10389" t="s">
        <v>40</v>
      </c>
      <c r="D10389">
        <v>4.6639819999999999</v>
      </c>
      <c r="E10389">
        <v>0.52046669999999995</v>
      </c>
      <c r="F10389" t="s">
        <v>41</v>
      </c>
      <c r="G10389">
        <v>-151.88480000000001</v>
      </c>
      <c r="H10389" s="1">
        <v>-4.0855850000000001E-6</v>
      </c>
      <c r="I10389">
        <v>136.1104</v>
      </c>
      <c r="J10389">
        <v>-169.31319999999999</v>
      </c>
      <c r="K10389">
        <v>1.117148</v>
      </c>
      <c r="L10389">
        <v>137.53569999999999</v>
      </c>
      <c r="M10389">
        <v>0.98643029999999998</v>
      </c>
      <c r="N10389">
        <v>-1.515468E-2</v>
      </c>
      <c r="O10389">
        <v>0.1634804</v>
      </c>
      <c r="P10389">
        <v>0.99165550000000002</v>
      </c>
      <c r="Q10389">
        <v>0.1097593</v>
      </c>
      <c r="R10389">
        <v>6.762174E-2</v>
      </c>
      <c r="S10389">
        <v>3.0666959999999999</v>
      </c>
      <c r="T10389">
        <v>-0.19444049999999999</v>
      </c>
      <c r="U10389">
        <v>-0.2445068</v>
      </c>
      <c r="V10389">
        <v>9.6793420000000005E-2</v>
      </c>
      <c r="W10389">
        <v>0.12368</v>
      </c>
      <c r="X10389">
        <v>0.98759010000000003</v>
      </c>
      <c r="Y10389">
        <v>0.24060599999999999</v>
      </c>
      <c r="Z10389">
        <v>-1.7280549999999999E-2</v>
      </c>
      <c r="AA10389">
        <v>0.97046909999999997</v>
      </c>
      <c r="AB10389">
        <v>18</v>
      </c>
      <c r="AC10389">
        <v>17.4283999999999</v>
      </c>
      <c r="AD10389">
        <v>-1.1171520855849999</v>
      </c>
      <c r="AE10389">
        <v>-1.42529999999999</v>
      </c>
      <c r="AF10389">
        <v>4.2383504849719698</v>
      </c>
      <c r="AG10389">
        <v>-1.1171520855849999</v>
      </c>
      <c r="AH10389">
        <v>16.891895477472001</v>
      </c>
      <c r="AI10389">
        <v>93.670322993826105</v>
      </c>
      <c r="AJ10389">
        <v>75.914678973579399</v>
      </c>
      <c r="AK10389">
        <v>17.4512972709088</v>
      </c>
      <c r="AL10389">
        <v>82.895465854247007</v>
      </c>
      <c r="AM10389">
        <v>84.402335084982298</v>
      </c>
      <c r="AN10389">
        <v>0.99999995708665201</v>
      </c>
    </row>
    <row r="10390" spans="1:40" x14ac:dyDescent="0.25">
      <c r="A10390" t="str">
        <f>"20190303162150189"</f>
        <v>20190303162150189</v>
      </c>
      <c r="B10390" t="str">
        <f>"1551601310182578"</f>
        <v>1551601310182578</v>
      </c>
      <c r="C10390" t="s">
        <v>40</v>
      </c>
      <c r="D10390">
        <v>4.6228350000000002</v>
      </c>
      <c r="E10390">
        <v>0.51409020000000005</v>
      </c>
      <c r="F10390" t="s">
        <v>41</v>
      </c>
      <c r="G10390">
        <v>-148.13919999999999</v>
      </c>
      <c r="H10390" s="1">
        <v>-1.100766E-6</v>
      </c>
      <c r="I10390">
        <v>137.81129999999999</v>
      </c>
      <c r="J10390">
        <v>-169.11859999999999</v>
      </c>
      <c r="K10390">
        <v>1.1174919999999999</v>
      </c>
      <c r="L10390">
        <v>137.55600000000001</v>
      </c>
      <c r="M10390">
        <v>0.98795100000000002</v>
      </c>
      <c r="N10390">
        <v>-1.5066410000000001E-2</v>
      </c>
      <c r="O10390">
        <v>0.15403149999999999</v>
      </c>
      <c r="P10390">
        <v>0.99208070000000004</v>
      </c>
      <c r="Q10390">
        <v>0.1085506</v>
      </c>
      <c r="R10390">
        <v>6.3190389999999999E-2</v>
      </c>
      <c r="S10390">
        <v>3.0402979999999999</v>
      </c>
      <c r="T10390">
        <v>-0.16040689999999999</v>
      </c>
      <c r="U10390">
        <v>3.95813E-2</v>
      </c>
      <c r="V10390">
        <v>9.1645630000000006E-2</v>
      </c>
      <c r="W10390">
        <v>0.1225263</v>
      </c>
      <c r="X10390">
        <v>0.98822489999999996</v>
      </c>
      <c r="Y10390">
        <v>0.1408142</v>
      </c>
      <c r="Z10390">
        <v>-1.054099E-2</v>
      </c>
      <c r="AA10390">
        <v>0.98997990000000002</v>
      </c>
      <c r="AB10390">
        <v>18</v>
      </c>
      <c r="AC10390">
        <v>20.979399999999998</v>
      </c>
      <c r="AD10390">
        <v>-1.1174931007659901</v>
      </c>
      <c r="AE10390">
        <v>0.25529999999997699</v>
      </c>
      <c r="AF10390">
        <v>2.9711741102270799</v>
      </c>
      <c r="AG10390">
        <v>-1.1174931007659901</v>
      </c>
      <c r="AH10390">
        <v>20.709551735990299</v>
      </c>
      <c r="AI10390">
        <v>93.057454868313499</v>
      </c>
      <c r="AJ10390">
        <v>81.8355572798244</v>
      </c>
      <c r="AK10390">
        <v>20.951424761318801</v>
      </c>
      <c r="AL10390">
        <v>82.962075182605702</v>
      </c>
      <c r="AM10390">
        <v>84.701679807647196</v>
      </c>
      <c r="AN10390">
        <v>1.00000003433489</v>
      </c>
    </row>
    <row r="10391" spans="1:40" x14ac:dyDescent="0.25">
      <c r="A10391" t="str">
        <f>"20190303162150210"</f>
        <v>20190303162150210</v>
      </c>
      <c r="B10391" t="str">
        <f>"1551601310203074"</f>
        <v>1551601310203074</v>
      </c>
      <c r="C10391" t="s">
        <v>40</v>
      </c>
      <c r="D10391">
        <v>4.5647949999999904</v>
      </c>
      <c r="E10391">
        <v>0.51236179999999998</v>
      </c>
      <c r="F10391" t="s">
        <v>41</v>
      </c>
      <c r="G10391">
        <v>-144.4179</v>
      </c>
      <c r="H10391" s="1">
        <v>-2.6342410000000002E-6</v>
      </c>
      <c r="I10391">
        <v>138.166</v>
      </c>
      <c r="J10391">
        <v>-168.93520000000001</v>
      </c>
      <c r="K10391">
        <v>1.117785</v>
      </c>
      <c r="L10391">
        <v>137.57409999999999</v>
      </c>
      <c r="M10391">
        <v>0.98923410000000001</v>
      </c>
      <c r="N10391">
        <v>-1.498292E-2</v>
      </c>
      <c r="O10391">
        <v>0.14557210000000001</v>
      </c>
      <c r="P10391">
        <v>0.9921257</v>
      </c>
      <c r="Q10391">
        <v>0.1077581</v>
      </c>
      <c r="R10391">
        <v>6.3835379999999997E-2</v>
      </c>
      <c r="S10391">
        <v>3.0342099999999999</v>
      </c>
      <c r="T10391">
        <v>-0.13727210000000001</v>
      </c>
      <c r="U10391">
        <v>7.4935909999999994E-2</v>
      </c>
      <c r="V10391">
        <v>8.2442189999999999E-2</v>
      </c>
      <c r="W10391">
        <v>0.12181740000000001</v>
      </c>
      <c r="X10391">
        <v>0.98912270000000002</v>
      </c>
      <c r="Y10391">
        <v>0.1208877</v>
      </c>
      <c r="Z10391">
        <v>-8.0131679999999993E-3</v>
      </c>
      <c r="AA10391">
        <v>0.99263380000000001</v>
      </c>
      <c r="AB10391">
        <v>18</v>
      </c>
      <c r="AC10391">
        <v>24.517299999999999</v>
      </c>
      <c r="AD10391">
        <v>-1.117787634241</v>
      </c>
      <c r="AE10391">
        <v>0.59190000000000897</v>
      </c>
      <c r="AF10391">
        <v>2.9776565902380598</v>
      </c>
      <c r="AG10391">
        <v>-1.117787634241</v>
      </c>
      <c r="AH10391">
        <v>24.291784064726201</v>
      </c>
      <c r="AI10391">
        <v>92.615063995352003</v>
      </c>
      <c r="AJ10391">
        <v>83.011617097893307</v>
      </c>
      <c r="AK10391">
        <v>24.4991155148902</v>
      </c>
      <c r="AL10391">
        <v>83.002998159596302</v>
      </c>
      <c r="AM10391">
        <v>85.235478252850797</v>
      </c>
      <c r="AN10391">
        <v>0.999999954645022</v>
      </c>
    </row>
    <row r="10392" spans="1:40" x14ac:dyDescent="0.25">
      <c r="A10392" t="str">
        <f>"20190303162150233"</f>
        <v>20190303162150233</v>
      </c>
      <c r="B10392" t="str">
        <f>"1551601310222595"</f>
        <v>1551601310222595</v>
      </c>
      <c r="C10392" t="s">
        <v>40</v>
      </c>
      <c r="D10392">
        <v>4.5613199999999896</v>
      </c>
      <c r="E10392">
        <v>0.51155200000000001</v>
      </c>
      <c r="F10392" t="s">
        <v>41</v>
      </c>
      <c r="G10392">
        <v>-143.45599999999999</v>
      </c>
      <c r="H10392" s="1">
        <v>-3.0201320000000001E-6</v>
      </c>
      <c r="I10392">
        <v>138.3168</v>
      </c>
      <c r="J10392">
        <v>-168.75219999999999</v>
      </c>
      <c r="K10392">
        <v>1.1180730000000001</v>
      </c>
      <c r="L10392">
        <v>137.59110000000001</v>
      </c>
      <c r="M10392">
        <v>0.99038020000000004</v>
      </c>
      <c r="N10392">
        <v>-1.4901670000000001E-2</v>
      </c>
      <c r="O10392">
        <v>0.13756879999999999</v>
      </c>
      <c r="P10392">
        <v>0.99187139999999996</v>
      </c>
      <c r="Q10392">
        <v>0.1091289</v>
      </c>
      <c r="R10392">
        <v>6.5439689999999995E-2</v>
      </c>
      <c r="S10392">
        <v>3.032578</v>
      </c>
      <c r="T10392">
        <v>-0.1330414</v>
      </c>
      <c r="U10392">
        <v>8.8409420000000002E-2</v>
      </c>
      <c r="V10392">
        <v>7.2735759999999997E-2</v>
      </c>
      <c r="W10392">
        <v>0.12325560000000001</v>
      </c>
      <c r="X10392">
        <v>0.98970579999999997</v>
      </c>
      <c r="Y10392">
        <v>0.1084656</v>
      </c>
      <c r="Z10392">
        <v>-7.1451550000000003E-3</v>
      </c>
      <c r="AA10392">
        <v>0.99407449999999997</v>
      </c>
      <c r="AB10392">
        <v>18</v>
      </c>
      <c r="AC10392">
        <v>25.296199999999899</v>
      </c>
      <c r="AD10392">
        <v>-1.1180760201319999</v>
      </c>
      <c r="AE10392">
        <v>0.72569999999998902</v>
      </c>
      <c r="AF10392">
        <v>2.7561753655074401</v>
      </c>
      <c r="AG10392">
        <v>-1.1180760201319999</v>
      </c>
      <c r="AH10392">
        <v>25.1064729854861</v>
      </c>
      <c r="AI10392">
        <v>92.534682138139402</v>
      </c>
      <c r="AJ10392">
        <v>83.735186034317394</v>
      </c>
      <c r="AK10392">
        <v>25.2820407088346</v>
      </c>
      <c r="AL10392">
        <v>82.919969993929698</v>
      </c>
      <c r="AM10392">
        <v>85.796757661732798</v>
      </c>
      <c r="AN10392">
        <v>1.00000000213388</v>
      </c>
    </row>
    <row r="10393" spans="1:40" x14ac:dyDescent="0.25">
      <c r="A10393" t="str">
        <f>"20190303162150254"</f>
        <v>20190303162150254</v>
      </c>
      <c r="B10393" t="str">
        <f>"1551601310243090"</f>
        <v>1551601310243090</v>
      </c>
      <c r="C10393" t="s">
        <v>40</v>
      </c>
      <c r="D10393">
        <v>4.5030479999999997</v>
      </c>
      <c r="E10393">
        <v>0.51086239999999905</v>
      </c>
      <c r="F10393" t="s">
        <v>41</v>
      </c>
      <c r="G10393">
        <v>-141.7638</v>
      </c>
      <c r="H10393" s="1">
        <v>-3.7205330000000001E-6</v>
      </c>
      <c r="I10393">
        <v>138.46080000000001</v>
      </c>
      <c r="J10393">
        <v>-168.5728</v>
      </c>
      <c r="K10393">
        <v>1.11835</v>
      </c>
      <c r="L10393">
        <v>137.60679999999999</v>
      </c>
      <c r="M10393">
        <v>0.9913805</v>
      </c>
      <c r="N10393">
        <v>-1.48249E-2</v>
      </c>
      <c r="O10393">
        <v>0.13017229999999999</v>
      </c>
      <c r="P10393">
        <v>0.99101059999999996</v>
      </c>
      <c r="Q10393">
        <v>0.1156375</v>
      </c>
      <c r="R10393">
        <v>6.7275589999999996E-2</v>
      </c>
      <c r="S10393">
        <v>3.0319370000000001</v>
      </c>
      <c r="T10393">
        <v>-0.12560730000000001</v>
      </c>
      <c r="U10393">
        <v>9.7717289999999998E-2</v>
      </c>
      <c r="V10393">
        <v>6.3379499999999894E-2</v>
      </c>
      <c r="W10393">
        <v>0.1298057</v>
      </c>
      <c r="X10393">
        <v>0.98951169999999999</v>
      </c>
      <c r="Y10393">
        <v>9.8021300000000006E-2</v>
      </c>
      <c r="Z10393">
        <v>-6.1969850000000003E-3</v>
      </c>
      <c r="AA10393">
        <v>0.99516510000000002</v>
      </c>
      <c r="AB10393">
        <v>18</v>
      </c>
      <c r="AC10393">
        <v>26.809000000000001</v>
      </c>
      <c r="AD10393">
        <v>-1.1183537205330001</v>
      </c>
      <c r="AE10393">
        <v>0.85400000000001297</v>
      </c>
      <c r="AF10393">
        <v>2.6388534186949801</v>
      </c>
      <c r="AG10393">
        <v>-1.1183537205330001</v>
      </c>
      <c r="AH10393">
        <v>26.645699977543799</v>
      </c>
      <c r="AI10393">
        <v>92.391679352934403</v>
      </c>
      <c r="AJ10393">
        <v>84.344162481271894</v>
      </c>
      <c r="AK10393">
        <v>26.799395323455901</v>
      </c>
      <c r="AL10393">
        <v>82.541634958469999</v>
      </c>
      <c r="AM10393">
        <v>86.335137770644906</v>
      </c>
      <c r="AN10393">
        <v>0.99999994260481295</v>
      </c>
    </row>
    <row r="10394" spans="1:40" x14ac:dyDescent="0.25">
      <c r="A10394" t="str">
        <f>"20190303162150276"</f>
        <v>20190303162150276</v>
      </c>
      <c r="B10394" t="str">
        <f>"1551601310262611"</f>
        <v>1551601310262611</v>
      </c>
      <c r="C10394" t="s">
        <v>40</v>
      </c>
      <c r="D10394">
        <v>4.3671670000000002</v>
      </c>
      <c r="E10394">
        <v>0.51018889999999995</v>
      </c>
      <c r="F10394" t="s">
        <v>41</v>
      </c>
      <c r="G10394">
        <v>-135.01820000000001</v>
      </c>
      <c r="H10394" s="1">
        <v>-2.2599639999999998E-6</v>
      </c>
      <c r="I10394">
        <v>138.82429999999999</v>
      </c>
      <c r="J10394">
        <v>-168.39009999999999</v>
      </c>
      <c r="K10394">
        <v>1.118635</v>
      </c>
      <c r="L10394">
        <v>137.62200000000001</v>
      </c>
      <c r="M10394">
        <v>0.99228170000000004</v>
      </c>
      <c r="N10394">
        <v>-1.474863E-2</v>
      </c>
      <c r="O10394">
        <v>0.12312430000000001</v>
      </c>
      <c r="P10394">
        <v>0.9901006</v>
      </c>
      <c r="Q10394">
        <v>0.1221547</v>
      </c>
      <c r="R10394">
        <v>6.9132330000000006E-2</v>
      </c>
      <c r="S10394">
        <v>3.0315249999999998</v>
      </c>
      <c r="T10394">
        <v>-0.1010385</v>
      </c>
      <c r="U10394">
        <v>0.1100006</v>
      </c>
      <c r="V10394">
        <v>5.4345980000000002E-2</v>
      </c>
      <c r="W10394">
        <v>0.13635120000000001</v>
      </c>
      <c r="X10394">
        <v>0.98916879999999996</v>
      </c>
      <c r="Y10394">
        <v>8.6980520000000006E-2</v>
      </c>
      <c r="Z10394">
        <v>-4.3619590000000003E-3</v>
      </c>
      <c r="AA10394">
        <v>0.99620039999999999</v>
      </c>
      <c r="AB10394">
        <v>18</v>
      </c>
      <c r="AC10394">
        <v>33.371899999999897</v>
      </c>
      <c r="AD10394">
        <v>-1.118637259964</v>
      </c>
      <c r="AE10394">
        <v>1.2022999999999699</v>
      </c>
      <c r="AF10394">
        <v>2.9129198452223202</v>
      </c>
      <c r="AG10394">
        <v>-1.118637259964</v>
      </c>
      <c r="AH10394">
        <v>33.228687012445299</v>
      </c>
      <c r="AI10394">
        <v>91.920762425019305</v>
      </c>
      <c r="AJ10394">
        <v>84.990098479976396</v>
      </c>
      <c r="AK10394">
        <v>33.374872163277502</v>
      </c>
      <c r="AL10394">
        <v>82.163239704099098</v>
      </c>
      <c r="AM10394">
        <v>86.855270877975997</v>
      </c>
      <c r="AN10394">
        <v>1.0000000250885099</v>
      </c>
    </row>
    <row r="10395" spans="1:40" x14ac:dyDescent="0.25">
      <c r="A10395" t="str">
        <f>"20190303162150299"</f>
        <v>20190303162150299</v>
      </c>
      <c r="B10395" t="str">
        <f>"1551601310292867"</f>
        <v>1551601310292867</v>
      </c>
      <c r="C10395" t="s">
        <v>40</v>
      </c>
      <c r="D10395">
        <v>4.4008640000000003</v>
      </c>
      <c r="E10395">
        <v>0.50938109999999903</v>
      </c>
      <c r="F10395" t="s">
        <v>41</v>
      </c>
      <c r="G10395">
        <v>-125.67870000000001</v>
      </c>
      <c r="H10395" s="1">
        <v>-1.8806630000000001E-6</v>
      </c>
      <c r="I10395">
        <v>139.36519999999999</v>
      </c>
      <c r="J10395">
        <v>-168.19900000000001</v>
      </c>
      <c r="K10395">
        <v>1.1189420000000001</v>
      </c>
      <c r="L10395">
        <v>137.6371</v>
      </c>
      <c r="M10395">
        <v>0.99310540000000003</v>
      </c>
      <c r="N10395">
        <v>-1.4669639999999999E-2</v>
      </c>
      <c r="O10395">
        <v>0.116304</v>
      </c>
      <c r="P10395">
        <v>0.98984399999999995</v>
      </c>
      <c r="Q10395">
        <v>0.12294049999999999</v>
      </c>
      <c r="R10395">
        <v>7.1375809999999998E-2</v>
      </c>
      <c r="S10395">
        <v>3.0311430000000001</v>
      </c>
      <c r="T10395">
        <v>-7.9387429999999995E-2</v>
      </c>
      <c r="U10395">
        <v>0.1237183</v>
      </c>
      <c r="V10395">
        <v>4.5182640000000003E-2</v>
      </c>
      <c r="W10395">
        <v>0.1371655</v>
      </c>
      <c r="X10395">
        <v>0.98951719999999999</v>
      </c>
      <c r="Y10395">
        <v>7.5666849999999994E-2</v>
      </c>
      <c r="Z10395">
        <v>-2.8736949999999999E-3</v>
      </c>
      <c r="AA10395">
        <v>0.99712900000000004</v>
      </c>
      <c r="AB10395">
        <v>18</v>
      </c>
      <c r="AC10395">
        <v>42.520299999999999</v>
      </c>
      <c r="AD10395">
        <v>-1.1189438806630001</v>
      </c>
      <c r="AE10395">
        <v>1.72809999999998</v>
      </c>
      <c r="AF10395">
        <v>3.2272116041418801</v>
      </c>
      <c r="AG10395">
        <v>-1.1189438806630001</v>
      </c>
      <c r="AH10395">
        <v>42.403370981485999</v>
      </c>
      <c r="AI10395">
        <v>91.507218439485499</v>
      </c>
      <c r="AJ10395">
        <v>85.647755737568204</v>
      </c>
      <c r="AK10395">
        <v>42.540719325600399</v>
      </c>
      <c r="AL10395">
        <v>82.116141568361797</v>
      </c>
      <c r="AM10395">
        <v>87.385616270403503</v>
      </c>
      <c r="AN10395">
        <v>1.00000006722172</v>
      </c>
    </row>
    <row r="10396" spans="1:40" x14ac:dyDescent="0.25">
      <c r="A10396" t="str">
        <f>"20190303162150321"</f>
        <v>20190303162150321</v>
      </c>
      <c r="B10396" t="str">
        <f>"1551601310313362"</f>
        <v>1551601310313362</v>
      </c>
      <c r="C10396" t="s">
        <v>40</v>
      </c>
      <c r="D10396">
        <v>4.4368540000000003</v>
      </c>
      <c r="E10396">
        <v>0.50896169999999996</v>
      </c>
      <c r="F10396" t="s">
        <v>41</v>
      </c>
      <c r="G10396">
        <v>-123.7101</v>
      </c>
      <c r="H10396" s="1">
        <v>-2.6898850000000001E-6</v>
      </c>
      <c r="I10396">
        <v>139.65090000000001</v>
      </c>
      <c r="J10396">
        <v>-168.02500000000001</v>
      </c>
      <c r="K10396">
        <v>1.119251</v>
      </c>
      <c r="L10396">
        <v>137.65020000000001</v>
      </c>
      <c r="M10396">
        <v>0.99375469999999999</v>
      </c>
      <c r="N10396">
        <v>-1.4598420000000001E-2</v>
      </c>
      <c r="O10396">
        <v>0.1106274</v>
      </c>
      <c r="P10396">
        <v>0.98988359999999997</v>
      </c>
      <c r="Q10396">
        <v>0.118994</v>
      </c>
      <c r="R10396">
        <v>7.7273439999999999E-2</v>
      </c>
      <c r="S10396">
        <v>3.0303339999999999</v>
      </c>
      <c r="T10396">
        <v>-7.6216220000000001E-2</v>
      </c>
      <c r="U10396">
        <v>0.13717650000000001</v>
      </c>
      <c r="V10396">
        <v>3.3530039999999997E-2</v>
      </c>
      <c r="W10396">
        <v>0.13326679999999999</v>
      </c>
      <c r="X10396">
        <v>0.99051279999999997</v>
      </c>
      <c r="Y10396">
        <v>6.5543459999999998E-2</v>
      </c>
      <c r="Z10396">
        <v>-2.459382E-3</v>
      </c>
      <c r="AA10396">
        <v>0.99784669999999998</v>
      </c>
      <c r="AB10396">
        <v>18</v>
      </c>
      <c r="AC10396">
        <v>44.314900000000002</v>
      </c>
      <c r="AD10396">
        <v>-1.1192536898850001</v>
      </c>
      <c r="AE10396">
        <v>2.0006999999999899</v>
      </c>
      <c r="AF10396">
        <v>2.9126935615155198</v>
      </c>
      <c r="AG10396">
        <v>-1.1192536898850001</v>
      </c>
      <c r="AH10396">
        <v>44.236029563474801</v>
      </c>
      <c r="AI10396">
        <v>91.446250007221906</v>
      </c>
      <c r="AJ10396">
        <v>86.232833292231305</v>
      </c>
      <c r="AK10396">
        <v>44.345944844441298</v>
      </c>
      <c r="AL10396">
        <v>82.341590400153805</v>
      </c>
      <c r="AM10396">
        <v>88.061209836576396</v>
      </c>
      <c r="AN10396">
        <v>0.99999995526423902</v>
      </c>
    </row>
    <row r="10397" spans="1:40" x14ac:dyDescent="0.25">
      <c r="A10397" t="str">
        <f>"20190303162150344"</f>
        <v>20190303162150344</v>
      </c>
      <c r="B10397" t="str">
        <f>"1551601310332882"</f>
        <v>1551601310332882</v>
      </c>
      <c r="C10397" t="s">
        <v>40</v>
      </c>
      <c r="D10397">
        <v>4.4201810000000004</v>
      </c>
      <c r="E10397">
        <v>0.50827429999999996</v>
      </c>
      <c r="F10397" t="s">
        <v>41</v>
      </c>
      <c r="G10397">
        <v>-129.77770000000001</v>
      </c>
      <c r="H10397" s="1">
        <v>-8.0482850000000005E-8</v>
      </c>
      <c r="I10397">
        <v>139.6268</v>
      </c>
      <c r="J10397">
        <v>-167.83770000000001</v>
      </c>
      <c r="K10397">
        <v>1.119634</v>
      </c>
      <c r="L10397">
        <v>137.66409999999999</v>
      </c>
      <c r="M10397">
        <v>0.9943535</v>
      </c>
      <c r="N10397">
        <v>-1.452352E-2</v>
      </c>
      <c r="O10397">
        <v>0.105119</v>
      </c>
      <c r="P10397">
        <v>0.98966690000000002</v>
      </c>
      <c r="Q10397">
        <v>0.1165553</v>
      </c>
      <c r="R10397">
        <v>8.3511760000000004E-2</v>
      </c>
      <c r="S10397">
        <v>3.029099</v>
      </c>
      <c r="T10397">
        <v>-8.8641999999999999E-2</v>
      </c>
      <c r="U10397">
        <v>0.15653989999999901</v>
      </c>
      <c r="V10397">
        <v>2.1663689999999999E-2</v>
      </c>
      <c r="W10397">
        <v>0.13085530000000001</v>
      </c>
      <c r="X10397">
        <v>0.99116470000000001</v>
      </c>
      <c r="Y10397">
        <v>5.3620689999999999E-2</v>
      </c>
      <c r="Z10397">
        <v>-2.7119930000000002E-3</v>
      </c>
      <c r="AA10397">
        <v>0.99855769999999999</v>
      </c>
      <c r="AB10397">
        <v>18</v>
      </c>
      <c r="AC10397">
        <v>38.06</v>
      </c>
      <c r="AD10397">
        <v>-1.11963408048285</v>
      </c>
      <c r="AE10397">
        <v>1.9627000000000101</v>
      </c>
      <c r="AF10397">
        <v>2.04766053090029</v>
      </c>
      <c r="AG10397">
        <v>-1.11963408048285</v>
      </c>
      <c r="AH10397">
        <v>38.022611152542503</v>
      </c>
      <c r="AI10397">
        <v>91.6842355243394</v>
      </c>
      <c r="AJ10397">
        <v>86.917384702182304</v>
      </c>
      <c r="AK10397">
        <v>38.094165602903502</v>
      </c>
      <c r="AL10397">
        <v>82.480979960087694</v>
      </c>
      <c r="AM10397">
        <v>88.747896885683204</v>
      </c>
      <c r="AN10397">
        <v>0.99999994376429602</v>
      </c>
    </row>
    <row r="10398" spans="1:40" x14ac:dyDescent="0.25">
      <c r="A10398" t="str">
        <f>"20190303162150367"</f>
        <v>20190303162150367</v>
      </c>
      <c r="B10398" t="str">
        <f>"1551601310353378"</f>
        <v>1551601310353378</v>
      </c>
      <c r="C10398" t="s">
        <v>40</v>
      </c>
      <c r="D10398">
        <v>4.3957360000000003</v>
      </c>
      <c r="E10398">
        <v>0.50783319999999998</v>
      </c>
      <c r="F10398" t="s">
        <v>41</v>
      </c>
      <c r="G10398">
        <v>-132.64080000000001</v>
      </c>
      <c r="H10398" s="1">
        <v>-3.175003E-6</v>
      </c>
      <c r="I10398">
        <v>139.75020000000001</v>
      </c>
      <c r="J10398">
        <v>-167.65639999999999</v>
      </c>
      <c r="K10398">
        <v>1.120063</v>
      </c>
      <c r="L10398">
        <v>137.6773</v>
      </c>
      <c r="M10398">
        <v>0.99483080000000002</v>
      </c>
      <c r="N10398">
        <v>-1.4454069999999999E-2</v>
      </c>
      <c r="O10398">
        <v>0.1005129</v>
      </c>
      <c r="P10398">
        <v>0.98916720000000002</v>
      </c>
      <c r="Q10398">
        <v>0.11808150000000001</v>
      </c>
      <c r="R10398">
        <v>8.7209060000000005E-2</v>
      </c>
      <c r="S10398">
        <v>3.027542</v>
      </c>
      <c r="T10398">
        <v>-9.6308229999999995E-2</v>
      </c>
      <c r="U10398">
        <v>0.1794434</v>
      </c>
      <c r="V10398">
        <v>1.3204280000000001E-2</v>
      </c>
      <c r="W10398">
        <v>0.13236829999999999</v>
      </c>
      <c r="X10398">
        <v>0.99111260000000001</v>
      </c>
      <c r="Y10398">
        <v>4.1435260000000002E-2</v>
      </c>
      <c r="Z10398">
        <v>-2.6911410000000002E-3</v>
      </c>
      <c r="AA10398">
        <v>0.99913759999999996</v>
      </c>
      <c r="AB10398">
        <v>18</v>
      </c>
      <c r="AC10398">
        <v>35.0155999999999</v>
      </c>
      <c r="AD10398">
        <v>-1.1200661750030001</v>
      </c>
      <c r="AE10398">
        <v>2.0729000000000002</v>
      </c>
      <c r="AF10398">
        <v>1.4560023405540401</v>
      </c>
      <c r="AG10398">
        <v>-1.1200661750030001</v>
      </c>
      <c r="AH10398">
        <v>35.010911882098</v>
      </c>
      <c r="AI10398">
        <v>91.8307954319516</v>
      </c>
      <c r="AJ10398">
        <v>87.618606841107905</v>
      </c>
      <c r="AK10398">
        <v>35.059070750208299</v>
      </c>
      <c r="AL10398">
        <v>82.393530809927697</v>
      </c>
      <c r="AM10398">
        <v>89.236711591298302</v>
      </c>
      <c r="AN10398">
        <v>0.99999995286698296</v>
      </c>
    </row>
    <row r="10399" spans="1:40" x14ac:dyDescent="0.25">
      <c r="A10399" t="str">
        <f>"20190303162150390"</f>
        <v>20190303162150390</v>
      </c>
      <c r="B10399" t="str">
        <f>"1551601310382659"</f>
        <v>1551601310382659</v>
      </c>
      <c r="C10399" t="s">
        <v>40</v>
      </c>
      <c r="D10399">
        <v>4.3612869999999999</v>
      </c>
      <c r="E10399">
        <v>0.50739909999999999</v>
      </c>
      <c r="F10399" t="s">
        <v>41</v>
      </c>
      <c r="G10399">
        <v>-130.9308</v>
      </c>
      <c r="H10399" s="1">
        <v>-3.9892519999999996E-6</v>
      </c>
      <c r="I10399">
        <v>140.05340000000001</v>
      </c>
      <c r="J10399">
        <v>-167.46719999999999</v>
      </c>
      <c r="K10399">
        <v>1.1205510000000001</v>
      </c>
      <c r="L10399">
        <v>137.69120000000001</v>
      </c>
      <c r="M10399">
        <v>0.99522239999999995</v>
      </c>
      <c r="N10399">
        <v>-1.4386690000000001E-2</v>
      </c>
      <c r="O10399">
        <v>9.6568959999999995E-2</v>
      </c>
      <c r="P10399">
        <v>0.98847379999999996</v>
      </c>
      <c r="Q10399">
        <v>0.12191539999999999</v>
      </c>
      <c r="R10399">
        <v>8.9756089999999997E-2</v>
      </c>
      <c r="S10399">
        <v>3.0266109999999999</v>
      </c>
      <c r="T10399">
        <v>-9.2306490000000005E-2</v>
      </c>
      <c r="U10399">
        <v>0.19581599999999999</v>
      </c>
      <c r="V10399">
        <v>6.5198549999999997E-3</v>
      </c>
      <c r="W10399">
        <v>0.13616410000000001</v>
      </c>
      <c r="X10399">
        <v>0.99066480000000001</v>
      </c>
      <c r="Y10399">
        <v>3.2081940000000003E-2</v>
      </c>
      <c r="Z10399">
        <v>-2.2649290000000002E-3</v>
      </c>
      <c r="AA10399">
        <v>0.99948269999999995</v>
      </c>
      <c r="AB10399">
        <v>18</v>
      </c>
      <c r="AC10399">
        <v>36.536399999999901</v>
      </c>
      <c r="AD10399">
        <v>-1.1205549892519999</v>
      </c>
      <c r="AE10399">
        <v>2.3622000000000001</v>
      </c>
      <c r="AF10399">
        <v>1.1763876325418099</v>
      </c>
      <c r="AG10399">
        <v>-1.1205549892519999</v>
      </c>
      <c r="AH10399">
        <v>36.559497576885803</v>
      </c>
      <c r="AI10399">
        <v>91.754668470348605</v>
      </c>
      <c r="AJ10399">
        <v>88.157009722733804</v>
      </c>
      <c r="AK10399">
        <v>36.595578891721999</v>
      </c>
      <c r="AL10399">
        <v>82.174060140640606</v>
      </c>
      <c r="AM10399">
        <v>89.622925149567493</v>
      </c>
      <c r="AN10399">
        <v>0.99999995829853405</v>
      </c>
    </row>
    <row r="10400" spans="1:40" x14ac:dyDescent="0.25">
      <c r="A10400" t="str">
        <f>"20190303162150410"</f>
        <v>20190303162150410</v>
      </c>
      <c r="B10400" t="str">
        <f>"1551601310403154"</f>
        <v>1551601310403154</v>
      </c>
      <c r="C10400" t="s">
        <v>40</v>
      </c>
      <c r="D10400">
        <v>4.3469160000000002</v>
      </c>
      <c r="E10400">
        <v>0.50717909999999999</v>
      </c>
      <c r="F10400" t="s">
        <v>41</v>
      </c>
      <c r="G10400">
        <v>-125.9513</v>
      </c>
      <c r="H10400" s="1">
        <v>-1.9731729999999999E-6</v>
      </c>
      <c r="I10400">
        <v>140.57079999999999</v>
      </c>
      <c r="J10400">
        <v>-167.29580000000001</v>
      </c>
      <c r="K10400">
        <v>1.1209499999999999</v>
      </c>
      <c r="L10400">
        <v>137.70410000000001</v>
      </c>
      <c r="M10400">
        <v>0.99550309999999997</v>
      </c>
      <c r="N10400">
        <v>-1.4332579999999999E-2</v>
      </c>
      <c r="O10400">
        <v>9.3638429999999995E-2</v>
      </c>
      <c r="P10400">
        <v>0.9883904</v>
      </c>
      <c r="Q10400">
        <v>0.12286850000000001</v>
      </c>
      <c r="R10400">
        <v>8.9374690000000007E-2</v>
      </c>
      <c r="S10400">
        <v>3.0260009999999999</v>
      </c>
      <c r="T10400">
        <v>-8.1674460000000004E-2</v>
      </c>
      <c r="U10400">
        <v>0.2098846</v>
      </c>
      <c r="V10400">
        <v>3.8356570000000001E-3</v>
      </c>
      <c r="W10400">
        <v>0.1370729</v>
      </c>
      <c r="X10400">
        <v>0.99055360000000003</v>
      </c>
      <c r="Y10400">
        <v>2.4512559999999999E-2</v>
      </c>
      <c r="Z10400">
        <v>-1.6823630000000001E-3</v>
      </c>
      <c r="AA10400">
        <v>0.99969810000000003</v>
      </c>
      <c r="AB10400">
        <v>18</v>
      </c>
      <c r="AC10400">
        <v>41.344499999999996</v>
      </c>
      <c r="AD10400">
        <v>-1.120951973173</v>
      </c>
      <c r="AE10400">
        <v>2.8666999999999798</v>
      </c>
      <c r="AF10400">
        <v>1.01698587407017</v>
      </c>
      <c r="AG10400">
        <v>-1.120951973173</v>
      </c>
      <c r="AH10400">
        <v>41.400979182340699</v>
      </c>
      <c r="AI10400">
        <v>91.550465154860902</v>
      </c>
      <c r="AJ10400">
        <v>88.592852539401207</v>
      </c>
      <c r="AK10400">
        <v>41.428635879676598</v>
      </c>
      <c r="AL10400">
        <v>82.121497717806406</v>
      </c>
      <c r="AM10400">
        <v>89.778138346719302</v>
      </c>
      <c r="AN10400">
        <v>1.00000006332599</v>
      </c>
    </row>
    <row r="10401" spans="1:40" x14ac:dyDescent="0.25">
      <c r="A10401" t="str">
        <f>"20190303162150432"</f>
        <v>20190303162150432</v>
      </c>
      <c r="B10401" t="str">
        <f>"1551601310423650"</f>
        <v>1551601310423650</v>
      </c>
      <c r="C10401" t="s">
        <v>40</v>
      </c>
      <c r="D10401">
        <v>4.3166690000000001</v>
      </c>
      <c r="E10401">
        <v>0.50711320000000004</v>
      </c>
      <c r="F10401" t="s">
        <v>41</v>
      </c>
      <c r="G10401">
        <v>-124.4248</v>
      </c>
      <c r="H10401" s="1">
        <v>-2.6676410000000002E-6</v>
      </c>
      <c r="I10401">
        <v>140.71969999999999</v>
      </c>
      <c r="J10401">
        <v>-167.11619999999999</v>
      </c>
      <c r="K10401">
        <v>1.1213120000000001</v>
      </c>
      <c r="L10401">
        <v>137.71780000000001</v>
      </c>
      <c r="M10401">
        <v>0.99572269999999896</v>
      </c>
      <c r="N10401">
        <v>-1.428273E-2</v>
      </c>
      <c r="O10401">
        <v>9.1281409999999993E-2</v>
      </c>
      <c r="P10401">
        <v>0.98893209999999998</v>
      </c>
      <c r="Q10401">
        <v>0.1188212</v>
      </c>
      <c r="R10401">
        <v>8.8853509999999997E-2</v>
      </c>
      <c r="S10401">
        <v>3.0258479999999999</v>
      </c>
      <c r="T10401">
        <v>-7.9117179999999995E-2</v>
      </c>
      <c r="U10401">
        <v>0.2128448</v>
      </c>
      <c r="V10401">
        <v>1.920417E-3</v>
      </c>
      <c r="W10401">
        <v>0.13298889999999999</v>
      </c>
      <c r="X10401">
        <v>0.99111570000000004</v>
      </c>
      <c r="Y10401">
        <v>2.1172440000000001E-2</v>
      </c>
      <c r="Z10401">
        <v>-1.5023219999999999E-3</v>
      </c>
      <c r="AA10401">
        <v>0.99977470000000002</v>
      </c>
      <c r="AB10401">
        <v>18</v>
      </c>
      <c r="AC10401">
        <v>42.691399999999902</v>
      </c>
      <c r="AD10401">
        <v>-1.121314667641</v>
      </c>
      <c r="AE10401">
        <v>3.0018999999999698</v>
      </c>
      <c r="AF10401">
        <v>0.90734095723169195</v>
      </c>
      <c r="AG10401">
        <v>-1.121314667641</v>
      </c>
      <c r="AH10401">
        <v>42.757825761805599</v>
      </c>
      <c r="AI10401">
        <v>91.501887058739698</v>
      </c>
      <c r="AJ10401">
        <v>88.784339351935202</v>
      </c>
      <c r="AK10401">
        <v>42.782149058614003</v>
      </c>
      <c r="AL10401">
        <v>82.357656497939203</v>
      </c>
      <c r="AM10401">
        <v>89.888982031760904</v>
      </c>
      <c r="AN10401">
        <v>1.0000000331555701</v>
      </c>
    </row>
    <row r="10402" spans="1:40" x14ac:dyDescent="0.25">
      <c r="A10402" t="str">
        <f>"20190303162150456"</f>
        <v>20190303162150456</v>
      </c>
      <c r="B10402" t="str">
        <f>"1551601310442653"</f>
        <v>1551601310442653</v>
      </c>
      <c r="C10402" t="s">
        <v>40</v>
      </c>
      <c r="D10402">
        <v>4.3363909999999999</v>
      </c>
      <c r="E10402">
        <v>0.50703540000000002</v>
      </c>
      <c r="F10402" t="s">
        <v>41</v>
      </c>
      <c r="G10402">
        <v>-130.1842</v>
      </c>
      <c r="H10402" s="1">
        <v>-4.3360139999999996E-6</v>
      </c>
      <c r="I10402">
        <v>140.30779999999999</v>
      </c>
      <c r="J10402">
        <v>-166.93099999999899</v>
      </c>
      <c r="K10402">
        <v>1.121664</v>
      </c>
      <c r="L10402">
        <v>137.73249999999999</v>
      </c>
      <c r="M10402">
        <v>0.99586929999999996</v>
      </c>
      <c r="N10402">
        <v>-1.4237710000000001E-2</v>
      </c>
      <c r="O10402">
        <v>8.96763E-2</v>
      </c>
      <c r="P10402">
        <v>0.98998699999999995</v>
      </c>
      <c r="Q10402">
        <v>0.1112725</v>
      </c>
      <c r="R10402">
        <v>8.6858840000000007E-2</v>
      </c>
      <c r="S10402">
        <v>3.0255130000000001</v>
      </c>
      <c r="T10402">
        <v>-9.1859460000000004E-2</v>
      </c>
      <c r="U10402">
        <v>0.21217349999999999</v>
      </c>
      <c r="V10402">
        <v>2.2762749999999999E-3</v>
      </c>
      <c r="W10402">
        <v>0.12541070000000001</v>
      </c>
      <c r="X10402">
        <v>0.99210229999999999</v>
      </c>
      <c r="Y10402">
        <v>1.9766490000000001E-2</v>
      </c>
      <c r="Z10402">
        <v>-1.8770340000000001E-3</v>
      </c>
      <c r="AA10402">
        <v>0.99980290000000005</v>
      </c>
      <c r="AB10402">
        <v>18</v>
      </c>
      <c r="AC10402">
        <v>36.746799999999901</v>
      </c>
      <c r="AD10402">
        <v>-1.1216683360140001</v>
      </c>
      <c r="AE10402">
        <v>2.5752999999999902</v>
      </c>
      <c r="AF10402">
        <v>0.73005195562320502</v>
      </c>
      <c r="AG10402">
        <v>-1.1216683360140001</v>
      </c>
      <c r="AH10402">
        <v>36.7955665806209</v>
      </c>
      <c r="AI10402">
        <v>91.745708458522401</v>
      </c>
      <c r="AJ10402">
        <v>88.863357400433799</v>
      </c>
      <c r="AK10402">
        <v>36.819897279906002</v>
      </c>
      <c r="AL10402">
        <v>82.795526196581307</v>
      </c>
      <c r="AM10402">
        <v>89.868541055034598</v>
      </c>
      <c r="AN10402">
        <v>0.999999999383827</v>
      </c>
    </row>
    <row r="10403" spans="1:40" x14ac:dyDescent="0.25">
      <c r="A10403" t="str">
        <f>"20190303162150477"</f>
        <v>20190303162150477</v>
      </c>
      <c r="B10403" t="str">
        <f>"1551601310472909"</f>
        <v>1551601310472909</v>
      </c>
      <c r="C10403" t="s">
        <v>40</v>
      </c>
      <c r="D10403">
        <v>4.370762</v>
      </c>
      <c r="E10403">
        <v>0.50685720000000001</v>
      </c>
      <c r="F10403" t="s">
        <v>41</v>
      </c>
      <c r="G10403">
        <v>-137.5472</v>
      </c>
      <c r="H10403" s="1">
        <v>-1.0681669999999999E-6</v>
      </c>
      <c r="I10403">
        <v>139.74250000000001</v>
      </c>
      <c r="J10403">
        <v>-166.75479999999999</v>
      </c>
      <c r="K10403">
        <v>1.1220079999999999</v>
      </c>
      <c r="L10403">
        <v>137.74700000000001</v>
      </c>
      <c r="M10403">
        <v>0.99593670000000001</v>
      </c>
      <c r="N10403">
        <v>-1.420285E-2</v>
      </c>
      <c r="O10403">
        <v>8.8929030000000006E-2</v>
      </c>
      <c r="P10403">
        <v>0.99089499999999997</v>
      </c>
      <c r="Q10403">
        <v>0.10478419999999999</v>
      </c>
      <c r="R10403">
        <v>8.454122E-2</v>
      </c>
      <c r="S10403">
        <v>3.0251459999999999</v>
      </c>
      <c r="T10403">
        <v>-0.11547830000000001</v>
      </c>
      <c r="U10403">
        <v>0.2069397</v>
      </c>
      <c r="V10403">
        <v>3.813795E-3</v>
      </c>
      <c r="W10403">
        <v>0.1189019</v>
      </c>
      <c r="X10403">
        <v>0.99289870000000002</v>
      </c>
      <c r="Y10403">
        <v>2.0708270000000001E-2</v>
      </c>
      <c r="Z10403">
        <v>-2.6619320000000001E-3</v>
      </c>
      <c r="AA10403">
        <v>0.99978199999999995</v>
      </c>
      <c r="AB10403">
        <v>18</v>
      </c>
      <c r="AC10403">
        <v>29.2075999999999</v>
      </c>
      <c r="AD10403">
        <v>-1.1220090681670001</v>
      </c>
      <c r="AE10403">
        <v>1.9954999999999901</v>
      </c>
      <c r="AF10403">
        <v>0.60917859187333001</v>
      </c>
      <c r="AG10403">
        <v>-1.1220090681670001</v>
      </c>
      <c r="AH10403">
        <v>29.226401546359199</v>
      </c>
      <c r="AI10403">
        <v>92.198043111271602</v>
      </c>
      <c r="AJ10403">
        <v>88.805932062091003</v>
      </c>
      <c r="AK10403">
        <v>29.254274051066002</v>
      </c>
      <c r="AL10403">
        <v>83.171267764901302</v>
      </c>
      <c r="AM10403">
        <v>89.779923890728895</v>
      </c>
      <c r="AN10403">
        <v>1.0000000176588</v>
      </c>
    </row>
    <row r="10404" spans="1:40" x14ac:dyDescent="0.25">
      <c r="A10404" t="str">
        <f>"20190303162150500"</f>
        <v>20190303162150500</v>
      </c>
      <c r="B10404" t="str">
        <f>"1551601310492430"</f>
        <v>1551601310492430</v>
      </c>
      <c r="C10404" t="s">
        <v>40</v>
      </c>
      <c r="D10404">
        <v>4.3693350000000004</v>
      </c>
      <c r="E10404">
        <v>0.50675870000000001</v>
      </c>
      <c r="F10404" t="s">
        <v>41</v>
      </c>
      <c r="G10404">
        <v>-141.6354</v>
      </c>
      <c r="H10404" s="1">
        <v>-3.6059200000000002E-6</v>
      </c>
      <c r="I10404">
        <v>139.41759999999999</v>
      </c>
      <c r="J10404">
        <v>-166.5822</v>
      </c>
      <c r="K10404">
        <v>1.1223650000000001</v>
      </c>
      <c r="L10404">
        <v>137.7619</v>
      </c>
      <c r="M10404">
        <v>0.99594009999999999</v>
      </c>
      <c r="N10404">
        <v>-1.417852E-2</v>
      </c>
      <c r="O10404">
        <v>8.8895569999999993E-2</v>
      </c>
      <c r="P10404">
        <v>0.99176319999999996</v>
      </c>
      <c r="Q10404">
        <v>9.978223E-2</v>
      </c>
      <c r="R10404">
        <v>8.030901E-2</v>
      </c>
      <c r="S10404">
        <v>3.024689</v>
      </c>
      <c r="T10404">
        <v>-0.13510420000000001</v>
      </c>
      <c r="U10404">
        <v>0.20117189999999999</v>
      </c>
      <c r="V10404">
        <v>7.9776589999999998E-3</v>
      </c>
      <c r="W10404">
        <v>0.1138941</v>
      </c>
      <c r="X10404">
        <v>0.99346089999999998</v>
      </c>
      <c r="Y10404">
        <v>2.2537689999999999E-2</v>
      </c>
      <c r="Z10404">
        <v>-3.359276E-3</v>
      </c>
      <c r="AA10404">
        <v>0.99974039999999997</v>
      </c>
      <c r="AB10404">
        <v>18</v>
      </c>
      <c r="AC10404">
        <v>24.9468</v>
      </c>
      <c r="AD10404">
        <v>-1.12236860592</v>
      </c>
      <c r="AE10404">
        <v>1.65569999999999</v>
      </c>
      <c r="AF10404">
        <v>0.56759525755989704</v>
      </c>
      <c r="AG10404">
        <v>-1.12236860592</v>
      </c>
      <c r="AH10404">
        <v>24.944943001099301</v>
      </c>
      <c r="AI10404">
        <v>92.575553465305404</v>
      </c>
      <c r="AJ10404">
        <v>88.696521294136602</v>
      </c>
      <c r="AK10404">
        <v>24.9766302169058</v>
      </c>
      <c r="AL10404">
        <v>83.460157675964993</v>
      </c>
      <c r="AM10404">
        <v>89.539915092161195</v>
      </c>
      <c r="AN10404">
        <v>1.0000000344433599</v>
      </c>
    </row>
    <row r="10405" spans="1:40" x14ac:dyDescent="0.25">
      <c r="A10405" t="str">
        <f>"20190303162150522"</f>
        <v>20190303162150522</v>
      </c>
      <c r="B10405" t="str">
        <f>"1551601310512925"</f>
        <v>1551601310512925</v>
      </c>
      <c r="C10405" t="s">
        <v>40</v>
      </c>
      <c r="D10405">
        <v>4.4002910000000002</v>
      </c>
      <c r="E10405">
        <v>0.50659759999999998</v>
      </c>
      <c r="F10405" t="s">
        <v>41</v>
      </c>
      <c r="G10405">
        <v>-143.88900000000001</v>
      </c>
      <c r="H10405" s="1">
        <v>-2.6824470000000002E-6</v>
      </c>
      <c r="I10405">
        <v>139.17349999999999</v>
      </c>
      <c r="J10405">
        <v>-166.4057</v>
      </c>
      <c r="K10405">
        <v>1.122735</v>
      </c>
      <c r="L10405">
        <v>137.77789999999999</v>
      </c>
      <c r="M10405">
        <v>0.99588569999999998</v>
      </c>
      <c r="N10405">
        <v>-1.416338E-2</v>
      </c>
      <c r="O10405">
        <v>8.9503979999999997E-2</v>
      </c>
      <c r="P10405">
        <v>0.99216859999999996</v>
      </c>
      <c r="Q10405">
        <v>9.8384360000000004E-2</v>
      </c>
      <c r="R10405">
        <v>7.6953499999999994E-2</v>
      </c>
      <c r="S10405">
        <v>3.0247190000000002</v>
      </c>
      <c r="T10405">
        <v>-0.1495976</v>
      </c>
      <c r="U10405">
        <v>0.18815609999999999</v>
      </c>
      <c r="V10405">
        <v>1.186982E-2</v>
      </c>
      <c r="W10405">
        <v>0.1124998</v>
      </c>
      <c r="X10405">
        <v>0.99358089999999999</v>
      </c>
      <c r="Y10405">
        <v>2.7405329999999999E-2</v>
      </c>
      <c r="Z10405">
        <v>-4.0151839999999998E-3</v>
      </c>
      <c r="AA10405">
        <v>0.99961630000000001</v>
      </c>
      <c r="AB10405">
        <v>18</v>
      </c>
      <c r="AC10405">
        <v>22.516699999999901</v>
      </c>
      <c r="AD10405">
        <v>-1.1227376824469999</v>
      </c>
      <c r="AE10405">
        <v>1.3956</v>
      </c>
      <c r="AF10405">
        <v>0.62399348769804197</v>
      </c>
      <c r="AG10405">
        <v>-1.1227376824469999</v>
      </c>
      <c r="AH10405">
        <v>22.495518795014799</v>
      </c>
      <c r="AI10405">
        <v>92.856129973242105</v>
      </c>
      <c r="AJ10405">
        <v>88.411104528699198</v>
      </c>
      <c r="AK10405">
        <v>22.5321608735856</v>
      </c>
      <c r="AL10405">
        <v>83.540562087375307</v>
      </c>
      <c r="AM10405">
        <v>89.315548197031205</v>
      </c>
      <c r="AN10405">
        <v>1.00000005123584</v>
      </c>
    </row>
    <row r="10406" spans="1:40" x14ac:dyDescent="0.25">
      <c r="A10406" t="str">
        <f>"20190303162150545"</f>
        <v>20190303162150545</v>
      </c>
      <c r="B10406" t="str">
        <f>"1551601310532866"</f>
        <v>1551601310532866</v>
      </c>
      <c r="C10406" t="s">
        <v>40</v>
      </c>
      <c r="D10406">
        <v>4.4378549999999999</v>
      </c>
      <c r="E10406">
        <v>0.50642869999999995</v>
      </c>
      <c r="F10406" t="s">
        <v>41</v>
      </c>
      <c r="G10406">
        <v>-144.16970000000001</v>
      </c>
      <c r="H10406" s="1">
        <v>-2.5774379999999999E-6</v>
      </c>
      <c r="I10406">
        <v>139.08670000000001</v>
      </c>
      <c r="J10406">
        <v>-166.22299999999899</v>
      </c>
      <c r="K10406">
        <v>1.1230850000000001</v>
      </c>
      <c r="L10406">
        <v>137.7954</v>
      </c>
      <c r="M10406">
        <v>0.99577550000000004</v>
      </c>
      <c r="N10406">
        <v>-1.415487E-2</v>
      </c>
      <c r="O10406">
        <v>9.0725009999999995E-2</v>
      </c>
      <c r="P10406">
        <v>0.99210989999999999</v>
      </c>
      <c r="Q10406">
        <v>0.10094210000000001</v>
      </c>
      <c r="R10406">
        <v>7.435717E-2</v>
      </c>
      <c r="S10406">
        <v>3.0250089999999998</v>
      </c>
      <c r="T10406">
        <v>-0.1527377</v>
      </c>
      <c r="U10406">
        <v>0.17805480000000001</v>
      </c>
      <c r="V10406">
        <v>1.5575500000000001E-2</v>
      </c>
      <c r="W10406">
        <v>0.1150665</v>
      </c>
      <c r="X10406">
        <v>0.9932356</v>
      </c>
      <c r="Y10406">
        <v>3.19493E-2</v>
      </c>
      <c r="Z10406">
        <v>-4.313351E-3</v>
      </c>
      <c r="AA10406">
        <v>0.99948020000000004</v>
      </c>
      <c r="AB10406">
        <v>18</v>
      </c>
      <c r="AC10406">
        <v>22.053299999999901</v>
      </c>
      <c r="AD10406">
        <v>-1.123087577438</v>
      </c>
      <c r="AE10406">
        <v>1.2912999999999999</v>
      </c>
      <c r="AF10406">
        <v>0.71316925132181397</v>
      </c>
      <c r="AG10406">
        <v>-1.123087577438</v>
      </c>
      <c r="AH10406">
        <v>22.022578896776601</v>
      </c>
      <c r="AI10406">
        <v>92.917862391131294</v>
      </c>
      <c r="AJ10406">
        <v>88.145207535356207</v>
      </c>
      <c r="AK10406">
        <v>22.062726879340602</v>
      </c>
      <c r="AL10406">
        <v>83.392538830921694</v>
      </c>
      <c r="AM10406">
        <v>89.101585491731797</v>
      </c>
      <c r="AN10406">
        <v>0.99999992636492696</v>
      </c>
    </row>
    <row r="10407" spans="1:40" x14ac:dyDescent="0.25">
      <c r="A10407" t="str">
        <f>"20190303162150567"</f>
        <v>20190303162150567</v>
      </c>
      <c r="B10407" t="str">
        <f>"1551601310553363"</f>
        <v>1551601310553363</v>
      </c>
      <c r="C10407" t="s">
        <v>40</v>
      </c>
      <c r="D10407">
        <v>4.4422920000000001</v>
      </c>
      <c r="E10407">
        <v>0.50625659999999995</v>
      </c>
      <c r="F10407" t="s">
        <v>41</v>
      </c>
      <c r="G10407">
        <v>-142.4879</v>
      </c>
      <c r="H10407" s="1">
        <v>-3.28824E-6</v>
      </c>
      <c r="I10407">
        <v>139.14670000000001</v>
      </c>
      <c r="J10407">
        <v>-166.05009999999999</v>
      </c>
      <c r="K10407">
        <v>1.1233229999999901</v>
      </c>
      <c r="L10407">
        <v>137.81290000000001</v>
      </c>
      <c r="M10407">
        <v>0.99562439999999996</v>
      </c>
      <c r="N10407">
        <v>-1.4149699999999999E-2</v>
      </c>
      <c r="O10407">
        <v>9.2367119999999997E-2</v>
      </c>
      <c r="P10407">
        <v>0.99161180000000004</v>
      </c>
      <c r="Q10407">
        <v>0.1077014</v>
      </c>
      <c r="R10407">
        <v>7.1459610000000007E-2</v>
      </c>
      <c r="S10407">
        <v>3.0255130000000001</v>
      </c>
      <c r="T10407">
        <v>-0.14315990000000001</v>
      </c>
      <c r="U10407">
        <v>0.17225650000000001</v>
      </c>
      <c r="V10407">
        <v>1.9974410000000001E-2</v>
      </c>
      <c r="W10407">
        <v>0.1218335</v>
      </c>
      <c r="X10407">
        <v>0.99234960000000005</v>
      </c>
      <c r="Y10407">
        <v>3.5525769999999998E-2</v>
      </c>
      <c r="Z10407">
        <v>-4.1404379999999998E-3</v>
      </c>
      <c r="AA10407">
        <v>0.99936020000000003</v>
      </c>
      <c r="AB10407">
        <v>18</v>
      </c>
      <c r="AC10407">
        <v>23.562199999999901</v>
      </c>
      <c r="AD10407">
        <v>-1.1233262882399999</v>
      </c>
      <c r="AE10407">
        <v>1.3337999999999901</v>
      </c>
      <c r="AF10407">
        <v>0.84657570541892402</v>
      </c>
      <c r="AG10407">
        <v>-1.1233262882399999</v>
      </c>
      <c r="AH10407">
        <v>23.531349895206201</v>
      </c>
      <c r="AI10407">
        <v>92.731314379706603</v>
      </c>
      <c r="AJ10407">
        <v>87.939586785217898</v>
      </c>
      <c r="AK10407">
        <v>23.5733531824702</v>
      </c>
      <c r="AL10407">
        <v>83.002069471657606</v>
      </c>
      <c r="AM10407">
        <v>88.846883326217593</v>
      </c>
      <c r="AN10407">
        <v>1.00000005369862</v>
      </c>
    </row>
    <row r="10408" spans="1:40" x14ac:dyDescent="0.25">
      <c r="A10408" t="str">
        <f>"20190303162150590"</f>
        <v>20190303162150590</v>
      </c>
      <c r="B10408" t="str">
        <f>"1551601310582643"</f>
        <v>1551601310582643</v>
      </c>
      <c r="C10408" t="s">
        <v>40</v>
      </c>
      <c r="D10408">
        <v>4.4551449999999999</v>
      </c>
      <c r="E10408">
        <v>0.50578990000000001</v>
      </c>
      <c r="F10408" t="s">
        <v>41</v>
      </c>
      <c r="G10408">
        <v>-138.12430000000001</v>
      </c>
      <c r="H10408" s="1">
        <v>-8.3461900000000002E-7</v>
      </c>
      <c r="I10408">
        <v>139.34780000000001</v>
      </c>
      <c r="J10408">
        <v>-165.8733</v>
      </c>
      <c r="K10408">
        <v>1.123424</v>
      </c>
      <c r="L10408">
        <v>137.83160000000001</v>
      </c>
      <c r="M10408">
        <v>0.99543890000000002</v>
      </c>
      <c r="N10408">
        <v>-1.4142999999999999E-2</v>
      </c>
      <c r="O10408">
        <v>9.4348199999999993E-2</v>
      </c>
      <c r="P10408">
        <v>0.9910698</v>
      </c>
      <c r="Q10408">
        <v>0.11443390000000001</v>
      </c>
      <c r="R10408">
        <v>6.8452949999999999E-2</v>
      </c>
      <c r="S10408">
        <v>3.0266109999999999</v>
      </c>
      <c r="T10408">
        <v>-0.1217461</v>
      </c>
      <c r="U10408">
        <v>0.16635129999999901</v>
      </c>
      <c r="V10408">
        <v>2.4845240000000001E-2</v>
      </c>
      <c r="W10408">
        <v>0.1285702</v>
      </c>
      <c r="X10408">
        <v>0.99138919999999997</v>
      </c>
      <c r="Y10408">
        <v>3.9505449999999998E-2</v>
      </c>
      <c r="Z10408">
        <v>-3.522037E-3</v>
      </c>
      <c r="AA10408">
        <v>0.99921320000000002</v>
      </c>
      <c r="AB10408">
        <v>18</v>
      </c>
      <c r="AC10408">
        <v>27.748999999999899</v>
      </c>
      <c r="AD10408">
        <v>-1.1234248346189999</v>
      </c>
      <c r="AE10408">
        <v>1.51619999999999</v>
      </c>
      <c r="AF10408">
        <v>1.10708536138748</v>
      </c>
      <c r="AG10408">
        <v>-1.1234248346189999</v>
      </c>
      <c r="AH10408">
        <v>27.722954977195101</v>
      </c>
      <c r="AI10408">
        <v>92.318696701736002</v>
      </c>
      <c r="AJ10408">
        <v>87.713171891420799</v>
      </c>
      <c r="AK10408">
        <v>27.7677862643752</v>
      </c>
      <c r="AL10408">
        <v>82.613023020755904</v>
      </c>
      <c r="AM10408">
        <v>88.564408925201903</v>
      </c>
      <c r="AN10408">
        <v>1.0000000640776601</v>
      </c>
    </row>
    <row r="10409" spans="1:40" x14ac:dyDescent="0.25">
      <c r="A10409" t="str">
        <f>"20190303162150611"</f>
        <v>20190303162150611</v>
      </c>
      <c r="B10409" t="str">
        <f>"1551601310603139"</f>
        <v>1551601310603139</v>
      </c>
      <c r="C10409" t="s">
        <v>40</v>
      </c>
      <c r="D10409">
        <v>4.494936</v>
      </c>
      <c r="E10409">
        <v>0.50555139999999998</v>
      </c>
      <c r="F10409" t="s">
        <v>41</v>
      </c>
      <c r="G10409">
        <v>-131.67830000000001</v>
      </c>
      <c r="H10409" s="1">
        <v>-3.5653469999999998E-6</v>
      </c>
      <c r="I10409">
        <v>139.6653</v>
      </c>
      <c r="J10409">
        <v>-165.7002</v>
      </c>
      <c r="K10409">
        <v>1.1233879999999901</v>
      </c>
      <c r="L10409">
        <v>137.85040000000001</v>
      </c>
      <c r="M10409">
        <v>0.99523799999999996</v>
      </c>
      <c r="N10409">
        <v>-1.4134839999999999E-2</v>
      </c>
      <c r="O10409">
        <v>9.6445110000000001E-2</v>
      </c>
      <c r="P10409">
        <v>0.99085520000000005</v>
      </c>
      <c r="Q10409">
        <v>0.11792519999999999</v>
      </c>
      <c r="R10409">
        <v>6.5573839999999994E-2</v>
      </c>
      <c r="S10409">
        <v>3.027298</v>
      </c>
      <c r="T10409">
        <v>-9.9457379999999998E-2</v>
      </c>
      <c r="U10409">
        <v>0.16233829999999999</v>
      </c>
      <c r="V10409">
        <v>2.9779799999999999E-2</v>
      </c>
      <c r="W10409">
        <v>0.13206300000000001</v>
      </c>
      <c r="X10409">
        <v>0.99079390000000001</v>
      </c>
      <c r="Y10409">
        <v>4.2968439999999997E-2</v>
      </c>
      <c r="Z10409">
        <v>-2.8042649999999998E-3</v>
      </c>
      <c r="AA10409">
        <v>0.99907250000000003</v>
      </c>
      <c r="AB10409">
        <v>18</v>
      </c>
      <c r="AC10409">
        <v>34.021899999999903</v>
      </c>
      <c r="AD10409">
        <v>-1.1233915653469999</v>
      </c>
      <c r="AE10409">
        <v>1.81489999999999</v>
      </c>
      <c r="AF10409">
        <v>1.47353368305209</v>
      </c>
      <c r="AG10409">
        <v>-1.1233915653469999</v>
      </c>
      <c r="AH10409">
        <v>34.001357812751102</v>
      </c>
      <c r="AI10409">
        <v>91.890568526594095</v>
      </c>
      <c r="AJ10409">
        <v>87.518497184937402</v>
      </c>
      <c r="AK10409">
        <v>34.051808222690703</v>
      </c>
      <c r="AL10409">
        <v>82.411178592854796</v>
      </c>
      <c r="AM10409">
        <v>88.278407521468097</v>
      </c>
      <c r="AN10409">
        <v>1.00000001236712</v>
      </c>
    </row>
    <row r="10410" spans="1:40" x14ac:dyDescent="0.25">
      <c r="A10410" t="str">
        <f>"20190303162150633"</f>
        <v>20190303162150633</v>
      </c>
      <c r="B10410" t="str">
        <f>"1551601310622659"</f>
        <v>1551601310622659</v>
      </c>
      <c r="C10410" t="s">
        <v>40</v>
      </c>
      <c r="D10410">
        <v>4.4925940000000004</v>
      </c>
      <c r="E10410">
        <v>0.50569310000000001</v>
      </c>
      <c r="F10410" t="s">
        <v>41</v>
      </c>
      <c r="G10410">
        <v>-127.2021</v>
      </c>
      <c r="H10410" s="1">
        <v>-1.240475E-6</v>
      </c>
      <c r="I10410">
        <v>139.83369999999999</v>
      </c>
      <c r="J10410">
        <v>-165.5318</v>
      </c>
      <c r="K10410">
        <v>1.1232599999999999</v>
      </c>
      <c r="L10410">
        <v>137.8691</v>
      </c>
      <c r="M10410">
        <v>0.99503560000000002</v>
      </c>
      <c r="N10410">
        <v>-1.4126420000000001E-2</v>
      </c>
      <c r="O10410">
        <v>9.8513020000000007E-2</v>
      </c>
      <c r="P10410">
        <v>0.99110480000000001</v>
      </c>
      <c r="Q10410">
        <v>0.11639629999999999</v>
      </c>
      <c r="R10410">
        <v>6.4525089999999993E-2</v>
      </c>
      <c r="S10410">
        <v>3.0278779999999998</v>
      </c>
      <c r="T10410">
        <v>-8.8354589999999997E-2</v>
      </c>
      <c r="U10410">
        <v>0.15599060000000001</v>
      </c>
      <c r="V10410">
        <v>3.2952229999999999E-2</v>
      </c>
      <c r="W10410">
        <v>0.13053000000000001</v>
      </c>
      <c r="X10410">
        <v>0.99089660000000002</v>
      </c>
      <c r="Y10410">
        <v>4.7152079999999999E-2</v>
      </c>
      <c r="Z10410">
        <v>-2.494343E-3</v>
      </c>
      <c r="AA10410">
        <v>0.99888460000000001</v>
      </c>
      <c r="AB10410">
        <v>18</v>
      </c>
      <c r="AC10410">
        <v>38.329700000000003</v>
      </c>
      <c r="AD10410">
        <v>-1.123261240475</v>
      </c>
      <c r="AE10410">
        <v>1.9645999999999899</v>
      </c>
      <c r="AF10410">
        <v>1.8197503995311199</v>
      </c>
      <c r="AG10410">
        <v>-1.123261240475</v>
      </c>
      <c r="AH10410">
        <v>38.303966773208899</v>
      </c>
      <c r="AI10410">
        <v>91.677822195202296</v>
      </c>
      <c r="AJ10410">
        <v>87.280028927294296</v>
      </c>
      <c r="AK10410">
        <v>38.363616590384702</v>
      </c>
      <c r="AL10410">
        <v>82.499779956145701</v>
      </c>
      <c r="AM10410">
        <v>88.095332871070198</v>
      </c>
      <c r="AN10410">
        <v>1.00000000112676</v>
      </c>
    </row>
    <row r="10411" spans="1:40" x14ac:dyDescent="0.25">
      <c r="A10411" t="str">
        <f>"20190303162150657"</f>
        <v>20190303162150657</v>
      </c>
      <c r="B10411" t="str">
        <f>"1551601310642577"</f>
        <v>1551601310642577</v>
      </c>
      <c r="C10411" t="s">
        <v>40</v>
      </c>
      <c r="D10411">
        <v>4.4922309999999896</v>
      </c>
      <c r="E10411">
        <v>0.51962350000000002</v>
      </c>
      <c r="F10411" t="s">
        <v>41</v>
      </c>
      <c r="G10411">
        <v>-129.00559999999999</v>
      </c>
      <c r="H10411" s="1">
        <v>-4.2832340000000001E-7</v>
      </c>
      <c r="I10411">
        <v>139.6893</v>
      </c>
      <c r="J10411">
        <v>-165.3503</v>
      </c>
      <c r="K10411">
        <v>1.1230800000000001</v>
      </c>
      <c r="L10411">
        <v>137.8897</v>
      </c>
      <c r="M10411">
        <v>0.99482009999999998</v>
      </c>
      <c r="N10411">
        <v>-1.4117640000000001E-2</v>
      </c>
      <c r="O10411">
        <v>0.1006676</v>
      </c>
      <c r="P10411">
        <v>0.9916315</v>
      </c>
      <c r="Q10411">
        <v>0.11364929999999999</v>
      </c>
      <c r="R10411">
        <v>6.1245029999999999E-2</v>
      </c>
      <c r="S10411">
        <v>3.0280610000000001</v>
      </c>
      <c r="T10411">
        <v>-9.3119380000000002E-2</v>
      </c>
      <c r="U10411">
        <v>0.15089420000000001</v>
      </c>
      <c r="V10411">
        <v>3.8481210000000002E-2</v>
      </c>
      <c r="W10411">
        <v>0.1277809</v>
      </c>
      <c r="X10411">
        <v>0.99105560000000004</v>
      </c>
      <c r="Y10411">
        <v>5.0986730000000001E-2</v>
      </c>
      <c r="Z10411">
        <v>-2.8078980000000001E-3</v>
      </c>
      <c r="AA10411">
        <v>0.99869540000000001</v>
      </c>
      <c r="AB10411">
        <v>18</v>
      </c>
      <c r="AC10411">
        <v>36.344700000000003</v>
      </c>
      <c r="AD10411">
        <v>-1.1230804283233999</v>
      </c>
      <c r="AE10411">
        <v>1.7995999999999901</v>
      </c>
      <c r="AF10411">
        <v>1.86686317898209</v>
      </c>
      <c r="AG10411">
        <v>-1.1230804283233999</v>
      </c>
      <c r="AH10411">
        <v>36.3066327347534</v>
      </c>
      <c r="AI10411">
        <v>91.769440865037396</v>
      </c>
      <c r="AJ10411">
        <v>87.056481041326293</v>
      </c>
      <c r="AK10411">
        <v>36.371940672911499</v>
      </c>
      <c r="AL10411">
        <v>82.658622101987206</v>
      </c>
      <c r="AM10411">
        <v>87.776407403529007</v>
      </c>
      <c r="AN10411">
        <v>0.99999998210961605</v>
      </c>
    </row>
    <row r="10412" spans="1:40" x14ac:dyDescent="0.25">
      <c r="A10412" t="str">
        <f>"20190303162150679"</f>
        <v>20190303162150679</v>
      </c>
      <c r="B10412" t="str">
        <f>"1551601310672832"</f>
        <v>1551601310672832</v>
      </c>
      <c r="C10412" t="s">
        <v>40</v>
      </c>
      <c r="D10412">
        <v>4.5382350000000002</v>
      </c>
      <c r="E10412">
        <v>0.51847909999999997</v>
      </c>
      <c r="F10412" t="s">
        <v>41</v>
      </c>
      <c r="G10412">
        <v>-143.2963</v>
      </c>
      <c r="H10412" s="1">
        <v>-3.1255649999999999E-6</v>
      </c>
      <c r="I10412">
        <v>138.10890000000001</v>
      </c>
      <c r="J10412">
        <v>-165.1789</v>
      </c>
      <c r="K10412">
        <v>1.122892</v>
      </c>
      <c r="L10412">
        <v>137.90940000000001</v>
      </c>
      <c r="M10412">
        <v>0.9946275</v>
      </c>
      <c r="N10412">
        <v>-1.410922E-2</v>
      </c>
      <c r="O10412">
        <v>0.10255400000000001</v>
      </c>
      <c r="P10412">
        <v>0.99213130000000005</v>
      </c>
      <c r="Q10412">
        <v>0.11126320000000001</v>
      </c>
      <c r="R10412">
        <v>5.7411040000000003E-2</v>
      </c>
      <c r="S10412">
        <v>3.0411990000000002</v>
      </c>
      <c r="T10412">
        <v>-0.15487029999999999</v>
      </c>
      <c r="U10412">
        <v>3.022766E-2</v>
      </c>
      <c r="V10412">
        <v>4.4290679999999999E-2</v>
      </c>
      <c r="W10412">
        <v>0.125387</v>
      </c>
      <c r="X10412">
        <v>0.99111879999999997</v>
      </c>
      <c r="Y10412">
        <v>9.2450660000000004E-2</v>
      </c>
      <c r="Z10412">
        <v>-6.7681699999999996E-3</v>
      </c>
      <c r="AA10412">
        <v>0.99569430000000003</v>
      </c>
      <c r="AB10412">
        <v>18</v>
      </c>
      <c r="AC10412">
        <v>21.8826</v>
      </c>
      <c r="AD10412">
        <v>-1.1228951255649999</v>
      </c>
      <c r="AE10412">
        <v>0.19950000000000001</v>
      </c>
      <c r="AF10412">
        <v>2.0405506719952098</v>
      </c>
      <c r="AG10412">
        <v>-1.1228951255649999</v>
      </c>
      <c r="AH10412">
        <v>21.7304457809722</v>
      </c>
      <c r="AI10412">
        <v>92.945127534119393</v>
      </c>
      <c r="AJ10412">
        <v>84.635494031630998</v>
      </c>
      <c r="AK10412">
        <v>21.8549082438653</v>
      </c>
      <c r="AL10412">
        <v>82.796895059250701</v>
      </c>
      <c r="AM10412">
        <v>87.441293784502506</v>
      </c>
      <c r="AN10412">
        <v>1.0000000199086501</v>
      </c>
    </row>
    <row r="10413" spans="1:40" x14ac:dyDescent="0.25">
      <c r="A10413" t="str">
        <f>"20190303162150701"</f>
        <v>20190303162150701</v>
      </c>
      <c r="B10413" t="str">
        <f>"1551601310693328"</f>
        <v>1551601310693328</v>
      </c>
      <c r="C10413" t="s">
        <v>40</v>
      </c>
      <c r="D10413">
        <v>4.5815519999999896</v>
      </c>
      <c r="E10413">
        <v>0.51671579999999995</v>
      </c>
      <c r="F10413" t="s">
        <v>41</v>
      </c>
      <c r="G10413">
        <v>-144.9717</v>
      </c>
      <c r="H10413" s="1">
        <v>-2.4078539999999999E-6</v>
      </c>
      <c r="I10413">
        <v>138.10310000000001</v>
      </c>
      <c r="J10413">
        <v>-165.01140000000001</v>
      </c>
      <c r="K10413">
        <v>1.1227</v>
      </c>
      <c r="L10413">
        <v>137.92869999999999</v>
      </c>
      <c r="M10413">
        <v>0.9944556</v>
      </c>
      <c r="N10413">
        <v>-1.4100039999999999E-2</v>
      </c>
      <c r="O10413">
        <v>0.1042083</v>
      </c>
      <c r="P10413">
        <v>0.99272579999999999</v>
      </c>
      <c r="Q10413">
        <v>0.1083988</v>
      </c>
      <c r="R10413">
        <v>5.2394250000000003E-2</v>
      </c>
      <c r="S10413">
        <v>3.041061</v>
      </c>
      <c r="T10413">
        <v>-0.16898829999999901</v>
      </c>
      <c r="U10413">
        <v>2.9159549999999999E-2</v>
      </c>
      <c r="V10413">
        <v>5.1053340000000003E-2</v>
      </c>
      <c r="W10413">
        <v>0.1225112</v>
      </c>
      <c r="X10413">
        <v>0.99115310000000001</v>
      </c>
      <c r="Y10413">
        <v>9.4406400000000001E-2</v>
      </c>
      <c r="Z10413">
        <v>-7.5939989999999997E-3</v>
      </c>
      <c r="AA10413">
        <v>0.99550479999999997</v>
      </c>
      <c r="AB10413">
        <v>18</v>
      </c>
      <c r="AC10413">
        <v>20.0397</v>
      </c>
      <c r="AD10413">
        <v>-1.122702407854</v>
      </c>
      <c r="AE10413">
        <v>0.17440000000001901</v>
      </c>
      <c r="AF10413">
        <v>1.90906877388586</v>
      </c>
      <c r="AG10413">
        <v>-1.122702407854</v>
      </c>
      <c r="AH10413">
        <v>19.886335626537701</v>
      </c>
      <c r="AI10413">
        <v>93.216502777613201</v>
      </c>
      <c r="AJ10413">
        <v>84.516465071758105</v>
      </c>
      <c r="AK10413">
        <v>20.009281569594901</v>
      </c>
      <c r="AL10413">
        <v>82.962946338551106</v>
      </c>
      <c r="AM10413">
        <v>87.051355591112198</v>
      </c>
      <c r="AN10413">
        <v>0.999999952645101</v>
      </c>
    </row>
    <row r="10414" spans="1:40" x14ac:dyDescent="0.25">
      <c r="A10414" t="str">
        <f>"20190303162150723"</f>
        <v>20190303162150723</v>
      </c>
      <c r="B10414" t="str">
        <f>"1551601310712848"</f>
        <v>1551601310712848</v>
      </c>
      <c r="C10414" t="s">
        <v>40</v>
      </c>
      <c r="D10414">
        <v>4.6129119999999997</v>
      </c>
      <c r="E10414">
        <v>0.51576650000000002</v>
      </c>
      <c r="F10414" t="s">
        <v>41</v>
      </c>
      <c r="G10414">
        <v>-146.40010000000001</v>
      </c>
      <c r="H10414" s="1">
        <v>-1.794288E-6</v>
      </c>
      <c r="I10414">
        <v>138.10749999999999</v>
      </c>
      <c r="J10414">
        <v>-164.83840000000001</v>
      </c>
      <c r="K10414">
        <v>1.122501</v>
      </c>
      <c r="L10414">
        <v>137.94880000000001</v>
      </c>
      <c r="M10414">
        <v>0.99429840000000003</v>
      </c>
      <c r="N10414">
        <v>-1.408949E-2</v>
      </c>
      <c r="O10414">
        <v>0.1056991</v>
      </c>
      <c r="P10414">
        <v>0.99331800000000003</v>
      </c>
      <c r="Q10414">
        <v>0.10484449999999999</v>
      </c>
      <c r="R10414">
        <v>4.8241369999999999E-2</v>
      </c>
      <c r="S10414">
        <v>3.0404659999999999</v>
      </c>
      <c r="T10414">
        <v>-0.18341160000000001</v>
      </c>
      <c r="U10414">
        <v>2.9220579999999999E-2</v>
      </c>
      <c r="V10414">
        <v>5.6792679999999998E-2</v>
      </c>
      <c r="W10414">
        <v>0.1189374</v>
      </c>
      <c r="X10414">
        <v>0.99127619999999905</v>
      </c>
      <c r="Y10414">
        <v>9.5821429999999999E-2</v>
      </c>
      <c r="Z10414">
        <v>-8.4332049999999992E-3</v>
      </c>
      <c r="AA10414">
        <v>0.99536279999999999</v>
      </c>
      <c r="AB10414">
        <v>18</v>
      </c>
      <c r="AC10414">
        <v>18.438300000000002</v>
      </c>
      <c r="AD10414">
        <v>-1.1225027942879999</v>
      </c>
      <c r="AE10414">
        <v>0.158699999999981</v>
      </c>
      <c r="AF10414">
        <v>1.7846803005273599</v>
      </c>
      <c r="AG10414">
        <v>-1.1225027942879999</v>
      </c>
      <c r="AH10414">
        <v>18.284007316004601</v>
      </c>
      <c r="AI10414">
        <v>93.496552066926199</v>
      </c>
      <c r="AJ10414">
        <v>84.425087016411197</v>
      </c>
      <c r="AK10414">
        <v>18.405162858013099</v>
      </c>
      <c r="AL10414">
        <v>83.169219169728507</v>
      </c>
      <c r="AM10414">
        <v>86.720966824257204</v>
      </c>
      <c r="AN10414">
        <v>1.00000000915339</v>
      </c>
    </row>
    <row r="10415" spans="1:40" x14ac:dyDescent="0.25">
      <c r="A10415" t="str">
        <f>"20190303162150746"</f>
        <v>20190303162150746</v>
      </c>
      <c r="B10415" t="str">
        <f>"1551601310732876"</f>
        <v>1551601310732876</v>
      </c>
      <c r="C10415" t="s">
        <v>40</v>
      </c>
      <c r="D10415">
        <v>4.6366180000000004</v>
      </c>
      <c r="E10415">
        <v>0.51439769999999996</v>
      </c>
      <c r="F10415" t="s">
        <v>41</v>
      </c>
      <c r="G10415">
        <v>-147.6721</v>
      </c>
      <c r="H10415" s="1">
        <v>-1.2506919999999999E-6</v>
      </c>
      <c r="I10415">
        <v>138.09569999999999</v>
      </c>
      <c r="J10415">
        <v>-164.6634</v>
      </c>
      <c r="K10415">
        <v>1.122314</v>
      </c>
      <c r="L10415">
        <v>137.9691</v>
      </c>
      <c r="M10415">
        <v>0.99416210000000005</v>
      </c>
      <c r="N10415">
        <v>-1.407838E-2</v>
      </c>
      <c r="O10415">
        <v>0.1069739</v>
      </c>
      <c r="P10415">
        <v>0.99378049999999996</v>
      </c>
      <c r="Q10415">
        <v>0.1018365</v>
      </c>
      <c r="R10415">
        <v>4.5052429999999997E-2</v>
      </c>
      <c r="S10415">
        <v>3.0398710000000002</v>
      </c>
      <c r="T10415">
        <v>-0.19877639999999999</v>
      </c>
      <c r="U10415">
        <v>2.6031490000000001E-2</v>
      </c>
      <c r="V10415">
        <v>6.1339419999999999E-2</v>
      </c>
      <c r="W10415">
        <v>0.1159034</v>
      </c>
      <c r="X10415">
        <v>0.99136469999999999</v>
      </c>
      <c r="Y10415">
        <v>9.8072290000000006E-2</v>
      </c>
      <c r="Z10415">
        <v>-9.3636699999999993E-3</v>
      </c>
      <c r="AA10415">
        <v>0.9951352</v>
      </c>
      <c r="AB10415">
        <v>17</v>
      </c>
      <c r="AC10415">
        <v>16.991299999999899</v>
      </c>
      <c r="AD10415">
        <v>-1.122315250692</v>
      </c>
      <c r="AE10415">
        <v>0.12659999999999599</v>
      </c>
      <c r="AF10415">
        <v>1.68458319048579</v>
      </c>
      <c r="AG10415">
        <v>-1.122315250692</v>
      </c>
      <c r="AH10415">
        <v>16.833885168135101</v>
      </c>
      <c r="AI10415">
        <v>93.795364794304703</v>
      </c>
      <c r="AJ10415">
        <v>84.285380961055907</v>
      </c>
      <c r="AK10415">
        <v>16.955149716282701</v>
      </c>
      <c r="AL10415">
        <v>83.344265795346303</v>
      </c>
      <c r="AM10415">
        <v>86.459410698928295</v>
      </c>
      <c r="AN10415">
        <v>1.0000000454917899</v>
      </c>
    </row>
    <row r="10416" spans="1:40" x14ac:dyDescent="0.25">
      <c r="A10416" t="str">
        <f>"20190303162150768"</f>
        <v>20190303162150768</v>
      </c>
      <c r="B10416" t="str">
        <f>"1551601310763133"</f>
        <v>1551601310763133</v>
      </c>
      <c r="C10416" t="s">
        <v>40</v>
      </c>
      <c r="D10416">
        <v>4.6710940000000001</v>
      </c>
      <c r="E10416">
        <v>0.5048551</v>
      </c>
      <c r="F10416" t="s">
        <v>41</v>
      </c>
      <c r="G10416">
        <v>-148.44980000000001</v>
      </c>
      <c r="H10416" s="1">
        <v>-9.1289050000000003E-7</v>
      </c>
      <c r="I10416">
        <v>138.11930000000001</v>
      </c>
      <c r="J10416">
        <v>-164.48990000000001</v>
      </c>
      <c r="K10416">
        <v>1.122142</v>
      </c>
      <c r="L10416">
        <v>137.98929999999999</v>
      </c>
      <c r="M10416">
        <v>0.99404970000000004</v>
      </c>
      <c r="N10416">
        <v>-1.406782E-2</v>
      </c>
      <c r="O10416">
        <v>0.108015899999999</v>
      </c>
      <c r="P10416">
        <v>0.99399970000000004</v>
      </c>
      <c r="Q10416">
        <v>0.100797</v>
      </c>
      <c r="R10416">
        <v>4.2478109999999999E-2</v>
      </c>
      <c r="S10416">
        <v>3.0390630000000001</v>
      </c>
      <c r="T10416">
        <v>-0.2103643</v>
      </c>
      <c r="U10416">
        <v>2.8152469999999999E-2</v>
      </c>
      <c r="V10416">
        <v>6.500976E-2</v>
      </c>
      <c r="W10416">
        <v>0.114832</v>
      </c>
      <c r="X10416">
        <v>0.99125549999999996</v>
      </c>
      <c r="Y10416">
        <v>9.8366670000000003E-2</v>
      </c>
      <c r="Z10416">
        <v>-1.00286E-2</v>
      </c>
      <c r="AA10416">
        <v>0.99509970000000003</v>
      </c>
      <c r="AB10416">
        <v>17</v>
      </c>
      <c r="AC10416">
        <v>16.040099999999899</v>
      </c>
      <c r="AD10416">
        <v>-1.1221429128905001</v>
      </c>
      <c r="AE10416">
        <v>0.13000000000002301</v>
      </c>
      <c r="AF10416">
        <v>1.5957087262691401</v>
      </c>
      <c r="AG10416">
        <v>-1.1221429128905001</v>
      </c>
      <c r="AH10416">
        <v>15.8825495290854</v>
      </c>
      <c r="AI10416">
        <v>94.021201035610403</v>
      </c>
      <c r="AJ10416">
        <v>84.262785087224898</v>
      </c>
      <c r="AK10416">
        <v>16.0019020931855</v>
      </c>
      <c r="AL10416">
        <v>83.406065244310398</v>
      </c>
      <c r="AM10416">
        <v>86.247729962338198</v>
      </c>
      <c r="AN10416">
        <v>1.00000006169975</v>
      </c>
    </row>
    <row r="10417" spans="1:40" x14ac:dyDescent="0.25">
      <c r="A10417" t="str">
        <f>"20190303162150792"</f>
        <v>20190303162150792</v>
      </c>
      <c r="B10417" t="str">
        <f>"1551601310782651"</f>
        <v>1551601310782651</v>
      </c>
      <c r="C10417" t="s">
        <v>40</v>
      </c>
      <c r="D10417">
        <v>4.7289899999999996</v>
      </c>
      <c r="E10417">
        <v>0.50467969999999995</v>
      </c>
      <c r="F10417" t="s">
        <v>41</v>
      </c>
      <c r="G10417">
        <v>-149.15889999999999</v>
      </c>
      <c r="H10417" s="1">
        <v>-5.7559030000000001E-7</v>
      </c>
      <c r="I10417">
        <v>138.47630000000001</v>
      </c>
      <c r="J10417">
        <v>-164.3116</v>
      </c>
      <c r="K10417">
        <v>1.1219939999999999</v>
      </c>
      <c r="L10417">
        <v>138.01009999999999</v>
      </c>
      <c r="M10417">
        <v>0.99395160000000005</v>
      </c>
      <c r="N10417">
        <v>-1.405762E-2</v>
      </c>
      <c r="O10417">
        <v>0.1089166</v>
      </c>
      <c r="P10417">
        <v>0.9941643</v>
      </c>
      <c r="Q10417">
        <v>0.1002082</v>
      </c>
      <c r="R10417">
        <v>3.9949850000000002E-2</v>
      </c>
      <c r="S10417">
        <v>3.0365139999999999</v>
      </c>
      <c r="T10417">
        <v>-0.22225590000000001</v>
      </c>
      <c r="U10417">
        <v>9.6450809999999998E-2</v>
      </c>
      <c r="V10417">
        <v>6.8480479999999996E-2</v>
      </c>
      <c r="W10417">
        <v>0.11421149999999999</v>
      </c>
      <c r="X10417">
        <v>0.99109340000000001</v>
      </c>
      <c r="Y10417">
        <v>7.6879999999999907E-2</v>
      </c>
      <c r="Z10417">
        <v>-9.7625520000000007E-3</v>
      </c>
      <c r="AA10417">
        <v>0.99699249999999995</v>
      </c>
      <c r="AB10417">
        <v>17</v>
      </c>
      <c r="AC10417">
        <v>15.152699999999999</v>
      </c>
      <c r="AD10417">
        <v>-1.1219945755903</v>
      </c>
      <c r="AE10417">
        <v>0.46620000000001399</v>
      </c>
      <c r="AF10417">
        <v>1.18065036384653</v>
      </c>
      <c r="AG10417">
        <v>-1.1219945755903</v>
      </c>
      <c r="AH10417">
        <v>15.0309852483417</v>
      </c>
      <c r="AI10417">
        <v>94.255891569935997</v>
      </c>
      <c r="AJ10417">
        <v>85.508765773344393</v>
      </c>
      <c r="AK10417">
        <v>15.118972340909</v>
      </c>
      <c r="AL10417">
        <v>83.441852225095403</v>
      </c>
      <c r="AM10417">
        <v>86.047379420163196</v>
      </c>
      <c r="AN10417">
        <v>0.99999998519842004</v>
      </c>
    </row>
    <row r="10418" spans="1:40" x14ac:dyDescent="0.25">
      <c r="A10418" t="str">
        <f>"20190303162150813"</f>
        <v>20190303162150813</v>
      </c>
      <c r="B10418" t="str">
        <f>"1551601310803148"</f>
        <v>1551601310803148</v>
      </c>
      <c r="C10418" t="s">
        <v>40</v>
      </c>
      <c r="D10418">
        <v>4.7013780000000001</v>
      </c>
      <c r="E10418">
        <v>0.50368009999999996</v>
      </c>
      <c r="F10418" t="s">
        <v>41</v>
      </c>
      <c r="G10418">
        <v>-149.05369999999999</v>
      </c>
      <c r="H10418" s="1">
        <v>-6.1494950000000002E-7</v>
      </c>
      <c r="I10418">
        <v>138.46289999999999</v>
      </c>
      <c r="J10418">
        <v>-164.14789999999999</v>
      </c>
      <c r="K10418">
        <v>1.121877</v>
      </c>
      <c r="L10418">
        <v>138.029</v>
      </c>
      <c r="M10418">
        <v>0.99387590000000003</v>
      </c>
      <c r="N10418">
        <v>-1.404878E-2</v>
      </c>
      <c r="O10418">
        <v>0.1096053</v>
      </c>
      <c r="P10418">
        <v>0.99439350000000004</v>
      </c>
      <c r="Q10418">
        <v>9.8578139999999995E-2</v>
      </c>
      <c r="R10418">
        <v>3.8265109999999998E-2</v>
      </c>
      <c r="S10418">
        <v>3.0365139999999999</v>
      </c>
      <c r="T10418">
        <v>-0.2232913</v>
      </c>
      <c r="U10418">
        <v>9.0118409999999996E-2</v>
      </c>
      <c r="V10418">
        <v>7.0900060000000001E-2</v>
      </c>
      <c r="W10418">
        <v>0.11255569999999999</v>
      </c>
      <c r="X10418">
        <v>0.99111269999999996</v>
      </c>
      <c r="Y10418">
        <v>7.9633350000000006E-2</v>
      </c>
      <c r="Z10418">
        <v>-9.9747380000000004E-3</v>
      </c>
      <c r="AA10418">
        <v>0.9967743</v>
      </c>
      <c r="AB10418">
        <v>17</v>
      </c>
      <c r="AC10418">
        <v>15.094200000000001</v>
      </c>
      <c r="AD10418">
        <v>-1.1218776149495</v>
      </c>
      <c r="AE10418">
        <v>0.43389999999999401</v>
      </c>
      <c r="AF10418">
        <v>1.2165672608518401</v>
      </c>
      <c r="AG10418">
        <v>-1.1218776149495</v>
      </c>
      <c r="AH10418">
        <v>14.9681854988099</v>
      </c>
      <c r="AI10418">
        <v>94.272314998287996</v>
      </c>
      <c r="AJ10418">
        <v>85.353392159615595</v>
      </c>
      <c r="AK10418">
        <v>15.059389841885499</v>
      </c>
      <c r="AL10418">
        <v>83.537338410115794</v>
      </c>
      <c r="AM10418">
        <v>85.908269551623903</v>
      </c>
      <c r="AN10418">
        <v>0.99999999410589102</v>
      </c>
    </row>
    <row r="10419" spans="1:40" x14ac:dyDescent="0.25">
      <c r="A10419" t="str">
        <f>"20190303162150835"</f>
        <v>20190303162150835</v>
      </c>
      <c r="B10419" t="str">
        <f>"1551601310822668"</f>
        <v>1551601310822668</v>
      </c>
      <c r="C10419" t="s">
        <v>40</v>
      </c>
      <c r="D10419">
        <v>4.7424650000000002</v>
      </c>
      <c r="E10419">
        <v>0.5027798</v>
      </c>
      <c r="F10419" t="s">
        <v>41</v>
      </c>
      <c r="G10419">
        <v>-148.97190000000001</v>
      </c>
      <c r="H10419" s="1">
        <v>-6.3556459999999896E-7</v>
      </c>
      <c r="I10419">
        <v>138.49010000000001</v>
      </c>
      <c r="J10419">
        <v>-163.9778</v>
      </c>
      <c r="K10419">
        <v>1.1217809999999999</v>
      </c>
      <c r="L10419">
        <v>138.0487</v>
      </c>
      <c r="M10419">
        <v>0.99381299999999995</v>
      </c>
      <c r="N10419">
        <v>-1.404005E-2</v>
      </c>
      <c r="O10419">
        <v>0.11017490000000001</v>
      </c>
      <c r="P10419">
        <v>0.99447589999999997</v>
      </c>
      <c r="Q10419">
        <v>9.8303509999999997E-2</v>
      </c>
      <c r="R10419">
        <v>3.6801500000000001E-2</v>
      </c>
      <c r="S10419">
        <v>3.0355989999999999</v>
      </c>
      <c r="T10419">
        <v>-0.2244043</v>
      </c>
      <c r="U10419">
        <v>9.2224120000000007E-2</v>
      </c>
      <c r="V10419">
        <v>7.2960919999999999E-2</v>
      </c>
      <c r="W10419">
        <v>0.1122534</v>
      </c>
      <c r="X10419">
        <v>0.99099740000000003</v>
      </c>
      <c r="Y10419">
        <v>7.949937E-2</v>
      </c>
      <c r="Z10419">
        <v>-1.006086E-2</v>
      </c>
      <c r="AA10419">
        <v>0.99678420000000001</v>
      </c>
      <c r="AB10419">
        <v>17</v>
      </c>
      <c r="AC10419">
        <v>15.005899999999899</v>
      </c>
      <c r="AD10419">
        <v>-1.1217816355646</v>
      </c>
      <c r="AE10419">
        <v>0.441400000000015</v>
      </c>
      <c r="AF10419">
        <v>1.2079793443984299</v>
      </c>
      <c r="AG10419">
        <v>-1.1217816355646</v>
      </c>
      <c r="AH10419">
        <v>14.8800803085686</v>
      </c>
      <c r="AI10419">
        <v>94.297183794823596</v>
      </c>
      <c r="AJ10419">
        <v>85.358850818260507</v>
      </c>
      <c r="AK10419">
        <v>14.971118800004</v>
      </c>
      <c r="AL10419">
        <v>83.554769328917104</v>
      </c>
      <c r="AM10419">
        <v>85.789268346780403</v>
      </c>
      <c r="AN10419">
        <v>0.99999998423278302</v>
      </c>
    </row>
    <row r="10420" spans="1:40" x14ac:dyDescent="0.25">
      <c r="A10420" t="str">
        <f>"20190303162150858"</f>
        <v>20190303162150858</v>
      </c>
      <c r="B10420" t="str">
        <f>"1551601310852454"</f>
        <v>1551601310852454</v>
      </c>
      <c r="C10420" t="s">
        <v>40</v>
      </c>
      <c r="D10420">
        <v>4.8809370000000003</v>
      </c>
      <c r="E10420">
        <v>0.50738850000000002</v>
      </c>
      <c r="F10420" t="s">
        <v>41</v>
      </c>
      <c r="G10420">
        <v>-148.7226</v>
      </c>
      <c r="H10420" s="1">
        <v>-7.2436099999999998E-7</v>
      </c>
      <c r="I10420">
        <v>138.5222</v>
      </c>
      <c r="J10420">
        <v>-163.80969999999999</v>
      </c>
      <c r="K10420">
        <v>1.1216930000000001</v>
      </c>
      <c r="L10420">
        <v>138.06799999999899</v>
      </c>
      <c r="M10420">
        <v>0.99376710000000001</v>
      </c>
      <c r="N10420">
        <v>-1.4031899999999899E-2</v>
      </c>
      <c r="O10420">
        <v>0.1105908</v>
      </c>
      <c r="P10420">
        <v>0.99445649999999997</v>
      </c>
      <c r="Q10420">
        <v>9.8978769999999994E-2</v>
      </c>
      <c r="R10420">
        <v>3.5494890000000001E-2</v>
      </c>
      <c r="S10420">
        <v>3.0352329999999998</v>
      </c>
      <c r="T10420">
        <v>-0.22319349999999999</v>
      </c>
      <c r="U10420">
        <v>9.4223020000000005E-2</v>
      </c>
      <c r="V10420">
        <v>7.4698039999999993E-2</v>
      </c>
      <c r="W10420">
        <v>0.1129016</v>
      </c>
      <c r="X10420">
        <v>0.99079439999999996</v>
      </c>
      <c r="Y10420">
        <v>7.9262020000000002E-2</v>
      </c>
      <c r="Z10420">
        <v>-1.001721E-2</v>
      </c>
      <c r="AA10420">
        <v>0.99680349999999995</v>
      </c>
      <c r="AB10420">
        <v>17</v>
      </c>
      <c r="AC10420">
        <v>15.0870999999999</v>
      </c>
      <c r="AD10420">
        <v>-1.1216937243609999</v>
      </c>
      <c r="AE10420">
        <v>0.45420000000001398</v>
      </c>
      <c r="AF10420">
        <v>1.2105596814862301</v>
      </c>
      <c r="AG10420">
        <v>-1.1216937243609999</v>
      </c>
      <c r="AH10420">
        <v>14.9621431886028</v>
      </c>
      <c r="AI10420">
        <v>94.273462425247601</v>
      </c>
      <c r="AJ10420">
        <v>85.374378863966598</v>
      </c>
      <c r="AK10420">
        <v>15.0528861136317</v>
      </c>
      <c r="AL10420">
        <v>83.517393063220595</v>
      </c>
      <c r="AM10420">
        <v>85.688509065889704</v>
      </c>
      <c r="AN10420">
        <v>1.00000005576687</v>
      </c>
    </row>
    <row r="10421" spans="1:40" x14ac:dyDescent="0.25">
      <c r="A10421" t="str">
        <f>"20190303162150879"</f>
        <v>20190303162150879</v>
      </c>
      <c r="B10421" t="str">
        <f>"1551601310872949"</f>
        <v>1551601310872949</v>
      </c>
      <c r="C10421" t="s">
        <v>40</v>
      </c>
      <c r="D10421">
        <v>4.8582000000000001</v>
      </c>
      <c r="E10421">
        <v>0.51828079999999999</v>
      </c>
      <c r="F10421" t="s">
        <v>42</v>
      </c>
      <c r="G10421">
        <v>-163.042</v>
      </c>
      <c r="H10421">
        <v>0.99838700000000002</v>
      </c>
      <c r="I10421">
        <v>138.0821</v>
      </c>
      <c r="J10421">
        <v>-163.63990000000001</v>
      </c>
      <c r="K10421">
        <v>1.1216140000000001</v>
      </c>
      <c r="L10421">
        <v>138.0874</v>
      </c>
      <c r="M10421">
        <v>0.99373540000000005</v>
      </c>
      <c r="N10421">
        <v>-1.4024389999999999E-2</v>
      </c>
      <c r="O10421">
        <v>0.1108743</v>
      </c>
      <c r="P10421">
        <v>0.99443809999999999</v>
      </c>
      <c r="Q10421">
        <v>9.9566650000000007E-2</v>
      </c>
      <c r="R10421">
        <v>3.4345359999999998E-2</v>
      </c>
      <c r="S10421">
        <v>3.0636749999999999</v>
      </c>
      <c r="T10421">
        <v>-0.49215409999999998</v>
      </c>
      <c r="U10421">
        <v>5.6747440000000003E-2</v>
      </c>
      <c r="V10421">
        <v>7.6145569999999996E-2</v>
      </c>
      <c r="W10421">
        <v>0.11346349999999999</v>
      </c>
      <c r="X10421">
        <v>0.99061999999999995</v>
      </c>
      <c r="Y10421">
        <v>9.0027380000000004E-2</v>
      </c>
      <c r="Z10421">
        <v>-2.393557E-2</v>
      </c>
      <c r="AA10421">
        <v>0.99565159999999997</v>
      </c>
      <c r="AB10421">
        <v>17</v>
      </c>
      <c r="AC10421">
        <v>0.59790000000000898</v>
      </c>
      <c r="AD10421">
        <v>-0.123226999999999</v>
      </c>
      <c r="AE10421">
        <v>-5.3000000000054098E-3</v>
      </c>
      <c r="AF10421">
        <v>6.8649772867708903E-2</v>
      </c>
      <c r="AG10421">
        <v>-0.123226999999999</v>
      </c>
      <c r="AH10421">
        <v>0.56943898630108902</v>
      </c>
      <c r="AI10421">
        <v>102.12539505401099</v>
      </c>
      <c r="AJ10421">
        <v>83.125776180509305</v>
      </c>
      <c r="AK10421">
        <v>0.58665018875254704</v>
      </c>
      <c r="AL10421">
        <v>83.484990308996103</v>
      </c>
      <c r="AM10421">
        <v>85.604512737842796</v>
      </c>
      <c r="AN10421">
        <v>1.00000004903143</v>
      </c>
    </row>
    <row r="10422" spans="1:40" x14ac:dyDescent="0.25">
      <c r="A10422" t="str">
        <f>"20190303162150902"</f>
        <v>20190303162150902</v>
      </c>
      <c r="B10422" t="str">
        <f>"1551601310892470"</f>
        <v>1551601310892470</v>
      </c>
      <c r="C10422" t="s">
        <v>40</v>
      </c>
      <c r="D10422">
        <v>4.9243690000000004</v>
      </c>
      <c r="E10422">
        <v>0.51818629999999999</v>
      </c>
      <c r="F10422" t="s">
        <v>42</v>
      </c>
      <c r="G10422">
        <v>-162.93360000000001</v>
      </c>
      <c r="H10422">
        <v>0.90441800000000006</v>
      </c>
      <c r="I10422">
        <v>138.08080000000001</v>
      </c>
      <c r="J10422">
        <v>-163.46899999999999</v>
      </c>
      <c r="K10422">
        <v>1.121537</v>
      </c>
      <c r="L10422">
        <v>138.10679999999999</v>
      </c>
      <c r="M10422">
        <v>0.99371759999999998</v>
      </c>
      <c r="N10422">
        <v>-1.401752E-2</v>
      </c>
      <c r="O10422">
        <v>0.1110363</v>
      </c>
      <c r="P10422">
        <v>0.99441809999999997</v>
      </c>
      <c r="Q10422">
        <v>0.100078</v>
      </c>
      <c r="R10422">
        <v>3.3425829999999997E-2</v>
      </c>
      <c r="S10422">
        <v>3.1136469999999998</v>
      </c>
      <c r="T10422">
        <v>-0.95755029999999997</v>
      </c>
      <c r="U10422">
        <v>-2.8579710000000001E-2</v>
      </c>
      <c r="V10422">
        <v>7.7240989999999995E-2</v>
      </c>
      <c r="W10422">
        <v>0.11395089999999999</v>
      </c>
      <c r="X10422">
        <v>0.9904792</v>
      </c>
      <c r="Y10422">
        <v>0.1101697</v>
      </c>
      <c r="Z10422">
        <v>-4.9149379999999999E-2</v>
      </c>
      <c r="AA10422">
        <v>0.99269680000000005</v>
      </c>
      <c r="AB10422">
        <v>17</v>
      </c>
      <c r="AC10422">
        <v>0.535399999999981</v>
      </c>
      <c r="AD10422">
        <v>-0.21711899999999901</v>
      </c>
      <c r="AE10422">
        <v>-2.5999999999981999E-2</v>
      </c>
      <c r="AF10422">
        <v>7.3272422949177199E-2</v>
      </c>
      <c r="AG10422">
        <v>-0.21711899999999901</v>
      </c>
      <c r="AH10422">
        <v>0.45461498538237</v>
      </c>
      <c r="AI10422">
        <v>115.244056437933</v>
      </c>
      <c r="AJ10422">
        <v>80.8441111320885</v>
      </c>
      <c r="AK10422">
        <v>0.50910145654874694</v>
      </c>
      <c r="AL10422">
        <v>83.4568818014274</v>
      </c>
      <c r="AM10422">
        <v>85.540901766454198</v>
      </c>
      <c r="AN10422">
        <v>1.00000001188981</v>
      </c>
    </row>
    <row r="10423" spans="1:40" x14ac:dyDescent="0.25">
      <c r="A10423" t="str">
        <f>"20190303162150925"</f>
        <v>20190303162150925</v>
      </c>
      <c r="B10423" t="str">
        <f>"1551601310912966"</f>
        <v>1551601310912966</v>
      </c>
      <c r="C10423" t="s">
        <v>40</v>
      </c>
      <c r="D10423">
        <v>4.9038409999999999</v>
      </c>
      <c r="E10423">
        <v>0.51792280000000002</v>
      </c>
      <c r="F10423" t="s">
        <v>42</v>
      </c>
      <c r="G10423">
        <v>-162.78229999999999</v>
      </c>
      <c r="H10423">
        <v>0.90354939999999995</v>
      </c>
      <c r="I10423">
        <v>138.1</v>
      </c>
      <c r="J10423">
        <v>-163.2945</v>
      </c>
      <c r="K10423">
        <v>1.1214660000000001</v>
      </c>
      <c r="L10423">
        <v>138.12639999999999</v>
      </c>
      <c r="M10423">
        <v>0.99371169999999998</v>
      </c>
      <c r="N10423">
        <v>-1.4010959999999999E-2</v>
      </c>
      <c r="O10423">
        <v>0.1110893</v>
      </c>
      <c r="P10423">
        <v>0.99442339999999996</v>
      </c>
      <c r="Q10423">
        <v>0.1003037</v>
      </c>
      <c r="R10423">
        <v>3.2578120000000002E-2</v>
      </c>
      <c r="S10423">
        <v>3.117432</v>
      </c>
      <c r="T10423">
        <v>-0.98950179999999999</v>
      </c>
      <c r="U10423">
        <v>-3.016663E-2</v>
      </c>
      <c r="V10423">
        <v>7.8155379999999997E-2</v>
      </c>
      <c r="W10423">
        <v>0.11415649999999999</v>
      </c>
      <c r="X10423">
        <v>0.99038380000000004</v>
      </c>
      <c r="Y10423">
        <v>0.1100748</v>
      </c>
      <c r="Z10423">
        <v>-5.0681200000000003E-2</v>
      </c>
      <c r="AA10423">
        <v>0.99263029999999997</v>
      </c>
      <c r="AB10423">
        <v>17</v>
      </c>
      <c r="AC10423">
        <v>0.51220000000000698</v>
      </c>
      <c r="AD10423">
        <v>-0.21791659999999999</v>
      </c>
      <c r="AE10423">
        <v>-2.6399999999995299E-2</v>
      </c>
      <c r="AF10423">
        <v>7.0427765223221195E-2</v>
      </c>
      <c r="AG10423">
        <v>-0.21791659999999999</v>
      </c>
      <c r="AH10423">
        <v>0.428702408483569</v>
      </c>
      <c r="AI10423">
        <v>116.63803137480799</v>
      </c>
      <c r="AJ10423">
        <v>80.670709722040797</v>
      </c>
      <c r="AK10423">
        <v>0.48603854755513998</v>
      </c>
      <c r="AL10423">
        <v>83.445024472330104</v>
      </c>
      <c r="AM10423">
        <v>85.487898189384296</v>
      </c>
      <c r="AN10423">
        <v>1.00000002060881</v>
      </c>
    </row>
    <row r="10424" spans="1:40" x14ac:dyDescent="0.25">
      <c r="A10424" t="str">
        <f>"20190303162150947"</f>
        <v>20190303162150947</v>
      </c>
      <c r="B10424" t="str">
        <f>"1551601310943222"</f>
        <v>1551601310943222</v>
      </c>
      <c r="C10424" t="s">
        <v>40</v>
      </c>
      <c r="D10424">
        <v>4.931718</v>
      </c>
      <c r="E10424">
        <v>0.51730730000000003</v>
      </c>
      <c r="F10424" t="s">
        <v>42</v>
      </c>
      <c r="G10424">
        <v>-162.49299999999999</v>
      </c>
      <c r="H10424">
        <v>0.86446690000000004</v>
      </c>
      <c r="I10424">
        <v>138.11879999999999</v>
      </c>
      <c r="J10424">
        <v>-163.13120000000001</v>
      </c>
      <c r="K10424">
        <v>1.1214219999999999</v>
      </c>
      <c r="L10424">
        <v>138.1447</v>
      </c>
      <c r="M10424">
        <v>0.99371679999999996</v>
      </c>
      <c r="N10424">
        <v>-1.400529E-2</v>
      </c>
      <c r="O10424">
        <v>0.111045</v>
      </c>
      <c r="P10424">
        <v>0.99451750000000005</v>
      </c>
      <c r="Q10424">
        <v>9.9331630000000004E-2</v>
      </c>
      <c r="R10424">
        <v>3.2682429999999998E-2</v>
      </c>
      <c r="S10424">
        <v>3.1186219999999998</v>
      </c>
      <c r="T10424">
        <v>-1.00001299999999</v>
      </c>
      <c r="U10424">
        <v>-2.886963E-2</v>
      </c>
      <c r="V10424">
        <v>7.8028230000000004E-2</v>
      </c>
      <c r="W10424">
        <v>0.1131725</v>
      </c>
      <c r="X10424">
        <v>0.99050669999999996</v>
      </c>
      <c r="Y10424">
        <v>0.1094335</v>
      </c>
      <c r="Z10424">
        <v>-5.1065680000000002E-2</v>
      </c>
      <c r="AA10424">
        <v>0.99268149999999999</v>
      </c>
      <c r="AB10424">
        <v>17</v>
      </c>
      <c r="AC10424">
        <v>0.63820000000001098</v>
      </c>
      <c r="AD10424">
        <v>-0.25695509999999899</v>
      </c>
      <c r="AE10424">
        <v>-2.5900000000007101E-2</v>
      </c>
      <c r="AF10424">
        <v>8.3157439240386502E-2</v>
      </c>
      <c r="AG10424">
        <v>-0.25695509999999899</v>
      </c>
      <c r="AH10424">
        <v>0.54342748100247495</v>
      </c>
      <c r="AI10424">
        <v>115.05142535912201</v>
      </c>
      <c r="AJ10424">
        <v>81.299860989058402</v>
      </c>
      <c r="AK10424">
        <v>0.606839773107963</v>
      </c>
      <c r="AL10424">
        <v>83.5017709627123</v>
      </c>
      <c r="AM10424">
        <v>85.4957652769573</v>
      </c>
      <c r="AN10424">
        <v>0.99999997108903604</v>
      </c>
    </row>
    <row r="10425" spans="1:40" x14ac:dyDescent="0.25">
      <c r="A10425" t="str">
        <f>"20190303162150969"</f>
        <v>20190303162150969</v>
      </c>
      <c r="B10425" t="str">
        <f>"1551601310962742"</f>
        <v>1551601310962742</v>
      </c>
      <c r="C10425" t="s">
        <v>40</v>
      </c>
      <c r="D10425">
        <v>4.9793289999999999</v>
      </c>
      <c r="E10425">
        <v>0.51721790000000001</v>
      </c>
      <c r="F10425" t="s">
        <v>42</v>
      </c>
      <c r="G10425">
        <v>-162.34119999999999</v>
      </c>
      <c r="H10425">
        <v>0.86692250000000004</v>
      </c>
      <c r="I10425">
        <v>138.1386</v>
      </c>
      <c r="J10425">
        <v>-162.9589</v>
      </c>
      <c r="K10425">
        <v>1.121407</v>
      </c>
      <c r="L10425">
        <v>138.16380000000001</v>
      </c>
      <c r="M10425">
        <v>0.99372939999999998</v>
      </c>
      <c r="N10425">
        <v>-1.399943E-2</v>
      </c>
      <c r="O10425">
        <v>0.110932</v>
      </c>
      <c r="P10425">
        <v>0.99450459999999996</v>
      </c>
      <c r="Q10425">
        <v>9.9305820000000003E-2</v>
      </c>
      <c r="R10425">
        <v>3.3154669999999997E-2</v>
      </c>
      <c r="S10425">
        <v>3.1176149999999998</v>
      </c>
      <c r="T10425">
        <v>-1.0042869999999999</v>
      </c>
      <c r="U10425">
        <v>-2.3376460000000002E-2</v>
      </c>
      <c r="V10425">
        <v>7.7448690000000001E-2</v>
      </c>
      <c r="W10425">
        <v>0.1131394</v>
      </c>
      <c r="X10425">
        <v>0.99055599999999999</v>
      </c>
      <c r="Y10425">
        <v>0.10757949999999999</v>
      </c>
      <c r="Z10425">
        <v>-5.0954329999999999E-2</v>
      </c>
      <c r="AA10425">
        <v>0.99288989999999999</v>
      </c>
      <c r="AB10425">
        <v>17</v>
      </c>
      <c r="AC10425">
        <v>0.61770000000001302</v>
      </c>
      <c r="AD10425">
        <v>-0.2544845</v>
      </c>
      <c r="AE10425">
        <v>-2.5200000000012299E-2</v>
      </c>
      <c r="AF10425">
        <v>8.0015162538918799E-2</v>
      </c>
      <c r="AG10425">
        <v>-0.2544845</v>
      </c>
      <c r="AH10425">
        <v>0.52254503861415202</v>
      </c>
      <c r="AI10425">
        <v>115.70609822114</v>
      </c>
      <c r="AJ10425">
        <v>81.294157237356202</v>
      </c>
      <c r="AK10425">
        <v>0.58670103490333603</v>
      </c>
      <c r="AL10425">
        <v>83.503679942079899</v>
      </c>
      <c r="AM10425">
        <v>85.529305106722703</v>
      </c>
      <c r="AN10425">
        <v>1.0000000062755301</v>
      </c>
    </row>
    <row r="10426" spans="1:40" x14ac:dyDescent="0.25">
      <c r="A10426" t="str">
        <f>"20190303162150992"</f>
        <v>20190303162150992</v>
      </c>
      <c r="B10426" t="str">
        <f>"1551601310983238"</f>
        <v>1551601310983238</v>
      </c>
      <c r="C10426" t="s">
        <v>40</v>
      </c>
      <c r="D10426">
        <v>4.9356039999999997</v>
      </c>
      <c r="E10426">
        <v>0.51717500000000005</v>
      </c>
      <c r="F10426" t="s">
        <v>42</v>
      </c>
      <c r="G10426">
        <v>-162.18790000000001</v>
      </c>
      <c r="H10426">
        <v>0.8737144</v>
      </c>
      <c r="I10426">
        <v>138.1584</v>
      </c>
      <c r="J10426">
        <v>-162.791</v>
      </c>
      <c r="K10426">
        <v>1.121418</v>
      </c>
      <c r="L10426">
        <v>138.1824</v>
      </c>
      <c r="M10426">
        <v>0.99374819999999997</v>
      </c>
      <c r="N10426">
        <v>-1.399393E-2</v>
      </c>
      <c r="O10426">
        <v>0.1107644</v>
      </c>
      <c r="P10426">
        <v>0.99429500000000004</v>
      </c>
      <c r="Q10426">
        <v>0.1011546</v>
      </c>
      <c r="R10426">
        <v>3.384479E-2</v>
      </c>
      <c r="S10426">
        <v>3.117264</v>
      </c>
      <c r="T10426">
        <v>-1.0013799999999999</v>
      </c>
      <c r="U10426">
        <v>-2.1240229999999999E-2</v>
      </c>
      <c r="V10426">
        <v>7.6572979999999999E-2</v>
      </c>
      <c r="W10426">
        <v>0.11498120000000001</v>
      </c>
      <c r="X10426">
        <v>0.99041199999999996</v>
      </c>
      <c r="Y10426">
        <v>0.1068383</v>
      </c>
      <c r="Z10426">
        <v>-5.0645750000000003E-2</v>
      </c>
      <c r="AA10426">
        <v>0.99298569999999997</v>
      </c>
      <c r="AB10426">
        <v>17</v>
      </c>
      <c r="AC10426">
        <v>0.60309999999998298</v>
      </c>
      <c r="AD10426">
        <v>-0.2477036</v>
      </c>
      <c r="AE10426">
        <v>-2.4000000000000899E-2</v>
      </c>
      <c r="AF10426">
        <v>7.7592549743245795E-2</v>
      </c>
      <c r="AG10426">
        <v>-0.2477036</v>
      </c>
      <c r="AH10426">
        <v>0.510714120222447</v>
      </c>
      <c r="AI10426">
        <v>115.618257790114</v>
      </c>
      <c r="AJ10426">
        <v>81.361144629481302</v>
      </c>
      <c r="AK10426">
        <v>0.57289317487923197</v>
      </c>
      <c r="AL10426">
        <v>83.397459395630506</v>
      </c>
      <c r="AM10426">
        <v>85.579013490559902</v>
      </c>
      <c r="AN10426">
        <v>1.0000000136817599</v>
      </c>
    </row>
    <row r="10427" spans="1:40" x14ac:dyDescent="0.25">
      <c r="A10427" t="str">
        <f>"20190303162151014"</f>
        <v>20190303162151014</v>
      </c>
      <c r="B10427" t="str">
        <f>"1551601311002757"</f>
        <v>1551601311002757</v>
      </c>
      <c r="C10427" t="s">
        <v>40</v>
      </c>
      <c r="D10427">
        <v>4.9882269999999904</v>
      </c>
      <c r="E10427">
        <v>0.5170998</v>
      </c>
      <c r="F10427" t="s">
        <v>42</v>
      </c>
      <c r="G10427">
        <v>-162.03489999999999</v>
      </c>
      <c r="H10427">
        <v>0.88058250000000005</v>
      </c>
      <c r="I10427">
        <v>138.1782</v>
      </c>
      <c r="J10427">
        <v>-162.62350000000001</v>
      </c>
      <c r="K10427">
        <v>1.1214329999999999</v>
      </c>
      <c r="L10427">
        <v>138.20089999999999</v>
      </c>
      <c r="M10427">
        <v>0.99377300000000002</v>
      </c>
      <c r="N10427">
        <v>-1.3988799999999999E-2</v>
      </c>
      <c r="O10427">
        <v>0.11054269999999999</v>
      </c>
      <c r="P10427">
        <v>0.99406070000000002</v>
      </c>
      <c r="Q10427">
        <v>0.1033039</v>
      </c>
      <c r="R10427">
        <v>3.4233140000000002E-2</v>
      </c>
      <c r="S10427">
        <v>3.1188509999999998</v>
      </c>
      <c r="T10427">
        <v>-0.99334690000000003</v>
      </c>
      <c r="U10427">
        <v>-1.7013549999999999E-2</v>
      </c>
      <c r="V10427">
        <v>7.5940640000000004E-2</v>
      </c>
      <c r="W10427">
        <v>0.1171239</v>
      </c>
      <c r="X10427">
        <v>0.99020960000000002</v>
      </c>
      <c r="Y10427">
        <v>0.10552499999999999</v>
      </c>
      <c r="Z10427">
        <v>-4.9948109999999997E-2</v>
      </c>
      <c r="AA10427">
        <v>0.99316139999999997</v>
      </c>
      <c r="AB10427">
        <v>17</v>
      </c>
      <c r="AC10427">
        <v>0.588600000000013</v>
      </c>
      <c r="AD10427">
        <v>-0.240850499999999</v>
      </c>
      <c r="AE10427">
        <v>-2.2699999999986099E-2</v>
      </c>
      <c r="AF10427">
        <v>7.5080048950722497E-2</v>
      </c>
      <c r="AG10427">
        <v>-0.240850499999999</v>
      </c>
      <c r="AH10427">
        <v>0.49904698030713102</v>
      </c>
      <c r="AI10427">
        <v>115.512810589259</v>
      </c>
      <c r="AJ10427">
        <v>81.444196486632706</v>
      </c>
      <c r="AK10427">
        <v>0.55919036620310203</v>
      </c>
      <c r="AL10427">
        <v>83.273856575489901</v>
      </c>
      <c r="AM10427">
        <v>85.614486333315497</v>
      </c>
      <c r="AN10427">
        <v>1.00000002034348</v>
      </c>
    </row>
    <row r="10428" spans="1:40" x14ac:dyDescent="0.25">
      <c r="A10428" t="str">
        <f>"20190303162151035"</f>
        <v>20190303162151035</v>
      </c>
      <c r="B10428" t="str">
        <f>"1551601311033014"</f>
        <v>1551601311033014</v>
      </c>
      <c r="C10428" t="s">
        <v>40</v>
      </c>
      <c r="D10428">
        <v>5.011063</v>
      </c>
      <c r="E10428">
        <v>0.51700009999999996</v>
      </c>
      <c r="F10428" t="s">
        <v>42</v>
      </c>
      <c r="G10428">
        <v>-161.88200000000001</v>
      </c>
      <c r="H10428">
        <v>0.88753369999999998</v>
      </c>
      <c r="I10428">
        <v>138.19749999999999</v>
      </c>
      <c r="J10428">
        <v>-162.4572</v>
      </c>
      <c r="K10428">
        <v>1.121443</v>
      </c>
      <c r="L10428">
        <v>138.2191</v>
      </c>
      <c r="M10428">
        <v>0.9938032</v>
      </c>
      <c r="N10428">
        <v>-1.398405E-2</v>
      </c>
      <c r="O10428">
        <v>0.1102722</v>
      </c>
      <c r="P10428">
        <v>0.99378010000000006</v>
      </c>
      <c r="Q10428">
        <v>0.10561619999999999</v>
      </c>
      <c r="R10428">
        <v>3.5304769999999999E-2</v>
      </c>
      <c r="S10428">
        <v>3.1207120000000002</v>
      </c>
      <c r="T10428">
        <v>-0.98444039999999999</v>
      </c>
      <c r="U10428">
        <v>-1.403809E-2</v>
      </c>
      <c r="V10428">
        <v>7.4578259999999993E-2</v>
      </c>
      <c r="W10428">
        <v>0.1194288</v>
      </c>
      <c r="X10428">
        <v>0.99003779999999997</v>
      </c>
      <c r="Y10428">
        <v>0.10456169999999999</v>
      </c>
      <c r="Z10428">
        <v>-4.9250559999999999E-2</v>
      </c>
      <c r="AA10428">
        <v>0.99329820000000002</v>
      </c>
      <c r="AB10428">
        <v>17</v>
      </c>
      <c r="AC10428">
        <v>0.57519999999999505</v>
      </c>
      <c r="AD10428">
        <v>-0.23390929999999999</v>
      </c>
      <c r="AE10428">
        <v>-2.1600000000006499E-2</v>
      </c>
      <c r="AF10428">
        <v>7.2869528686386603E-2</v>
      </c>
      <c r="AG10428">
        <v>-0.23390929999999999</v>
      </c>
      <c r="AH10428">
        <v>0.48861991728809001</v>
      </c>
      <c r="AI10428">
        <v>115.336521415348</v>
      </c>
      <c r="AJ10428">
        <v>81.517802872713503</v>
      </c>
      <c r="AK10428">
        <v>0.54660127369782596</v>
      </c>
      <c r="AL10428">
        <v>83.140861840168697</v>
      </c>
      <c r="AM10428">
        <v>85.692119376420393</v>
      </c>
      <c r="AN10428">
        <v>1.00000000028145</v>
      </c>
    </row>
    <row r="10429" spans="1:40" x14ac:dyDescent="0.25">
      <c r="A10429" t="str">
        <f>"20190303162151058"</f>
        <v>20190303162151058</v>
      </c>
      <c r="B10429" t="str">
        <f>"1551601311052534"</f>
        <v>1551601311052534</v>
      </c>
      <c r="C10429" t="s">
        <v>40</v>
      </c>
      <c r="D10429">
        <v>5.0289960000000002</v>
      </c>
      <c r="E10429">
        <v>0.51669200000000004</v>
      </c>
      <c r="F10429" t="s">
        <v>42</v>
      </c>
      <c r="G10429">
        <v>-161.7296</v>
      </c>
      <c r="H10429">
        <v>0.89408109999999996</v>
      </c>
      <c r="I10429">
        <v>138.21629999999999</v>
      </c>
      <c r="J10429">
        <v>-162.29040000000001</v>
      </c>
      <c r="K10429">
        <v>1.121432</v>
      </c>
      <c r="L10429">
        <v>138.2373</v>
      </c>
      <c r="M10429">
        <v>0.99383840000000001</v>
      </c>
      <c r="N10429">
        <v>-1.3979510000000001E-2</v>
      </c>
      <c r="O10429">
        <v>0.1099543</v>
      </c>
      <c r="P10429">
        <v>0.99354209999999998</v>
      </c>
      <c r="Q10429">
        <v>0.1074783</v>
      </c>
      <c r="R10429">
        <v>3.6372269999999998E-2</v>
      </c>
      <c r="S10429">
        <v>3.122925</v>
      </c>
      <c r="T10429">
        <v>-0.97586580000000001</v>
      </c>
      <c r="U10429">
        <v>-1.1993409999999999E-2</v>
      </c>
      <c r="V10429">
        <v>7.3180709999999996E-2</v>
      </c>
      <c r="W10429">
        <v>0.1212821</v>
      </c>
      <c r="X10429">
        <v>0.98991680000000004</v>
      </c>
      <c r="Y10429">
        <v>0.10382950000000001</v>
      </c>
      <c r="Z10429">
        <v>-4.8591219999999997E-2</v>
      </c>
      <c r="AA10429">
        <v>0.99340740000000005</v>
      </c>
      <c r="AB10429">
        <v>17</v>
      </c>
      <c r="AC10429">
        <v>0.56079999999999997</v>
      </c>
      <c r="AD10429">
        <v>-0.22735089999999999</v>
      </c>
      <c r="AE10429">
        <v>-2.1000000000015E-2</v>
      </c>
      <c r="AF10429">
        <v>7.0904067267146403E-2</v>
      </c>
      <c r="AG10429">
        <v>-0.22735089999999999</v>
      </c>
      <c r="AH10429">
        <v>0.476830933502217</v>
      </c>
      <c r="AI10429">
        <v>115.2490419782</v>
      </c>
      <c r="AJ10429">
        <v>81.542175151184907</v>
      </c>
      <c r="AK10429">
        <v>0.53299489456319304</v>
      </c>
      <c r="AL10429">
        <v>83.0338981418423</v>
      </c>
      <c r="AM10429">
        <v>85.772036070109294</v>
      </c>
      <c r="AN10429">
        <v>1.00000001750937</v>
      </c>
    </row>
    <row r="10430" spans="1:40" x14ac:dyDescent="0.25">
      <c r="A10430" t="str">
        <f>"20190303162151081"</f>
        <v>20190303162151081</v>
      </c>
      <c r="B10430" t="str">
        <f>"1551601311073030"</f>
        <v>1551601311073030</v>
      </c>
      <c r="C10430" t="s">
        <v>40</v>
      </c>
      <c r="D10430">
        <v>4.9656000000000002</v>
      </c>
      <c r="E10430">
        <v>0.51642860000000002</v>
      </c>
      <c r="F10430" t="s">
        <v>42</v>
      </c>
      <c r="G10430">
        <v>-161.57749999999999</v>
      </c>
      <c r="H10430">
        <v>0.90026989999999996</v>
      </c>
      <c r="I10430">
        <v>138.2354</v>
      </c>
      <c r="J10430">
        <v>-162.11949999999999</v>
      </c>
      <c r="K10430">
        <v>1.121416</v>
      </c>
      <c r="L10430">
        <v>138.25579999999999</v>
      </c>
      <c r="M10430">
        <v>0.99388019999999999</v>
      </c>
      <c r="N10430">
        <v>-1.397501E-2</v>
      </c>
      <c r="O10430">
        <v>0.10957699999999999</v>
      </c>
      <c r="P10430">
        <v>0.99340189999999995</v>
      </c>
      <c r="Q10430">
        <v>0.10855529999999999</v>
      </c>
      <c r="R10430">
        <v>3.6989889999999997E-2</v>
      </c>
      <c r="S10430">
        <v>3.1246640000000001</v>
      </c>
      <c r="T10430">
        <v>-0.96941140000000003</v>
      </c>
      <c r="U10430">
        <v>-7.6293949999999998E-3</v>
      </c>
      <c r="V10430">
        <v>7.2184910000000005E-2</v>
      </c>
      <c r="W10430">
        <v>0.1223489</v>
      </c>
      <c r="X10430">
        <v>0.98985860000000003</v>
      </c>
      <c r="Y10430">
        <v>0.10229489999999999</v>
      </c>
      <c r="Z10430">
        <v>-4.7900209999999999E-2</v>
      </c>
      <c r="AA10430">
        <v>0.99360020000000004</v>
      </c>
      <c r="AB10430">
        <v>17</v>
      </c>
      <c r="AC10430">
        <v>0.54200000000000104</v>
      </c>
      <c r="AD10430">
        <v>-0.22114609999999901</v>
      </c>
      <c r="AE10430">
        <v>-2.0399999999994999E-2</v>
      </c>
      <c r="AF10430">
        <v>6.83164761943275E-2</v>
      </c>
      <c r="AG10430">
        <v>-0.22114609999999901</v>
      </c>
      <c r="AH10430">
        <v>0.46002393654037599</v>
      </c>
      <c r="AI10430">
        <v>115.431670110654</v>
      </c>
      <c r="AJ10430">
        <v>81.552949283176403</v>
      </c>
      <c r="AK10430">
        <v>0.51497064057567798</v>
      </c>
      <c r="AL10430">
        <v>82.972316132346194</v>
      </c>
      <c r="AM10430">
        <v>85.829118959556595</v>
      </c>
      <c r="AN10430">
        <v>0.99999998127843803</v>
      </c>
    </row>
    <row r="10431" spans="1:40" x14ac:dyDescent="0.25">
      <c r="A10431" t="str">
        <f>"20190303162151103"</f>
        <v>20190303162151103</v>
      </c>
      <c r="B10431" t="str">
        <f>"1551601311093525"</f>
        <v>1551601311093525</v>
      </c>
      <c r="C10431" t="s">
        <v>40</v>
      </c>
      <c r="D10431">
        <v>4.9885229999999998</v>
      </c>
      <c r="E10431">
        <v>0.50369629999999999</v>
      </c>
      <c r="F10431" t="s">
        <v>42</v>
      </c>
      <c r="G10431">
        <v>-161.4254</v>
      </c>
      <c r="H10431">
        <v>0.90729249999999995</v>
      </c>
      <c r="I10431">
        <v>138.25489999999999</v>
      </c>
      <c r="J10431">
        <v>-161.95330000000001</v>
      </c>
      <c r="K10431">
        <v>1.1213979999999999</v>
      </c>
      <c r="L10431">
        <v>138.27359999999999</v>
      </c>
      <c r="M10431">
        <v>0.99392749999999996</v>
      </c>
      <c r="N10431">
        <v>-1.397077E-2</v>
      </c>
      <c r="O10431">
        <v>0.10914699999999999</v>
      </c>
      <c r="P10431">
        <v>0.9932588</v>
      </c>
      <c r="Q10431">
        <v>0.1096398</v>
      </c>
      <c r="R10431">
        <v>3.7635759999999997E-2</v>
      </c>
      <c r="S10431">
        <v>3.1254119999999999</v>
      </c>
      <c r="T10431">
        <v>-0.96408510000000003</v>
      </c>
      <c r="U10431">
        <v>-3.4484860000000002E-3</v>
      </c>
      <c r="V10431">
        <v>7.11088E-2</v>
      </c>
      <c r="W10431">
        <v>0.12342400000000001</v>
      </c>
      <c r="X10431">
        <v>0.98980299999999999</v>
      </c>
      <c r="Y10431">
        <v>0.100739</v>
      </c>
      <c r="Z10431">
        <v>-4.7264010000000002E-2</v>
      </c>
      <c r="AA10431">
        <v>0.99378960000000005</v>
      </c>
      <c r="AB10431">
        <v>17</v>
      </c>
      <c r="AC10431">
        <v>0.52790000000001602</v>
      </c>
      <c r="AD10431">
        <v>-0.214105499999999</v>
      </c>
      <c r="AE10431">
        <v>-1.8699999999995401E-2</v>
      </c>
      <c r="AF10431">
        <v>6.5458488523488498E-2</v>
      </c>
      <c r="AG10431">
        <v>-0.214105499999999</v>
      </c>
      <c r="AH10431">
        <v>0.44894729057622601</v>
      </c>
      <c r="AI10431">
        <v>115.263365993913</v>
      </c>
      <c r="AJ10431">
        <v>81.704478499075194</v>
      </c>
      <c r="AK10431">
        <v>0.50167683678416297</v>
      </c>
      <c r="AL10431">
        <v>82.910246859906295</v>
      </c>
      <c r="AM10431">
        <v>85.890852559126998</v>
      </c>
      <c r="AN10431">
        <v>0.99999996201121899</v>
      </c>
    </row>
    <row r="10432" spans="1:40" x14ac:dyDescent="0.25">
      <c r="A10432" t="str">
        <f>"20190303162151126"</f>
        <v>20190303162151126</v>
      </c>
      <c r="B10432" t="str">
        <f>"1551601311113046"</f>
        <v>1551601311113046</v>
      </c>
      <c r="C10432" t="s">
        <v>40</v>
      </c>
      <c r="D10432">
        <v>5.2059009999999999</v>
      </c>
      <c r="E10432">
        <v>0.50367649999999997</v>
      </c>
      <c r="F10432" t="s">
        <v>42</v>
      </c>
      <c r="G10432">
        <v>-161.23179999999999</v>
      </c>
      <c r="H10432">
        <v>1.002699</v>
      </c>
      <c r="I10432">
        <v>138.29560000000001</v>
      </c>
      <c r="J10432">
        <v>-161.78399999999999</v>
      </c>
      <c r="K10432">
        <v>1.1213679999999999</v>
      </c>
      <c r="L10432">
        <v>138.29159999999999</v>
      </c>
      <c r="M10432">
        <v>0.99398450000000005</v>
      </c>
      <c r="N10432">
        <v>-1.3966610000000001E-2</v>
      </c>
      <c r="O10432">
        <v>0.1086266</v>
      </c>
      <c r="P10432">
        <v>0.99316559999999998</v>
      </c>
      <c r="Q10432">
        <v>0.11017970000000001</v>
      </c>
      <c r="R10432">
        <v>3.8504820000000002E-2</v>
      </c>
      <c r="S10432">
        <v>3.0726170000000002</v>
      </c>
      <c r="T10432">
        <v>-0.50546530000000001</v>
      </c>
      <c r="U10432">
        <v>9.3826290000000007E-2</v>
      </c>
      <c r="V10432">
        <v>6.9726529999999995E-2</v>
      </c>
      <c r="W10432">
        <v>0.12395539999999899</v>
      </c>
      <c r="X10432">
        <v>0.98983500000000002</v>
      </c>
      <c r="Y10432">
        <v>7.5923039999999997E-2</v>
      </c>
      <c r="Z10432">
        <v>-2.2938139999999999E-2</v>
      </c>
      <c r="AA10432">
        <v>0.99684980000000001</v>
      </c>
      <c r="AB10432">
        <v>17</v>
      </c>
      <c r="AC10432">
        <v>0.55219999999999902</v>
      </c>
      <c r="AD10432">
        <v>-0.118668999999999</v>
      </c>
      <c r="AE10432">
        <v>4.0000000000190898E-3</v>
      </c>
      <c r="AF10432">
        <v>5.35406005308212E-2</v>
      </c>
      <c r="AG10432">
        <v>-0.118668999999999</v>
      </c>
      <c r="AH10432">
        <v>0.52511618670490801</v>
      </c>
      <c r="AI10432">
        <v>102.670600110045</v>
      </c>
      <c r="AJ10432">
        <v>84.178267276050306</v>
      </c>
      <c r="AK10432">
        <v>0.54101380481990002</v>
      </c>
      <c r="AL10432">
        <v>82.879564745121897</v>
      </c>
      <c r="AM10432">
        <v>85.970593588559097</v>
      </c>
      <c r="AN10432">
        <v>1.0000000286999999</v>
      </c>
    </row>
    <row r="10433" spans="1:40" x14ac:dyDescent="0.25">
      <c r="A10433" t="str">
        <f>"20190303162151148"</f>
        <v>20190303162151148</v>
      </c>
      <c r="B10433" t="str">
        <f>"1551601311143301"</f>
        <v>1551601311143301</v>
      </c>
      <c r="C10433" t="s">
        <v>40</v>
      </c>
      <c r="D10433">
        <v>5.259817</v>
      </c>
      <c r="E10433">
        <v>0.50164600000000004</v>
      </c>
      <c r="F10433" t="s">
        <v>42</v>
      </c>
      <c r="G10433">
        <v>-160.92789999999999</v>
      </c>
      <c r="H10433">
        <v>1.0132680000000001</v>
      </c>
      <c r="I10433">
        <v>138.31799999999899</v>
      </c>
      <c r="J10433">
        <v>-161.62110000000001</v>
      </c>
      <c r="K10433">
        <v>1.1213390000000001</v>
      </c>
      <c r="L10433">
        <v>138.30869999999999</v>
      </c>
      <c r="M10433">
        <v>0.99404879999999995</v>
      </c>
      <c r="N10433">
        <v>-1.396299E-2</v>
      </c>
      <c r="O10433">
        <v>0.10803740000000001</v>
      </c>
      <c r="P10433">
        <v>0.99301110000000004</v>
      </c>
      <c r="Q10433">
        <v>0.11092829999999999</v>
      </c>
      <c r="R10433">
        <v>4.0297350000000003E-2</v>
      </c>
      <c r="S10433">
        <v>3.0598299999999998</v>
      </c>
      <c r="T10433">
        <v>-0.3863724</v>
      </c>
      <c r="U10433">
        <v>9.4879149999999995E-2</v>
      </c>
      <c r="V10433">
        <v>6.7350690000000005E-2</v>
      </c>
      <c r="W10433">
        <v>0.1246982</v>
      </c>
      <c r="X10433">
        <v>0.98990619999999996</v>
      </c>
      <c r="Y10433">
        <v>7.5841480000000003E-2</v>
      </c>
      <c r="Z10433">
        <v>-1.7353759999999999E-2</v>
      </c>
      <c r="AA10433">
        <v>0.99696890000000005</v>
      </c>
      <c r="AB10433">
        <v>17</v>
      </c>
      <c r="AC10433">
        <v>0.69320000000001802</v>
      </c>
      <c r="AD10433">
        <v>-0.108070999999999</v>
      </c>
      <c r="AE10433">
        <v>9.2999999999960892E-3</v>
      </c>
      <c r="AF10433">
        <v>6.4095684794635593E-2</v>
      </c>
      <c r="AG10433">
        <v>-0.108070999999999</v>
      </c>
      <c r="AH10433">
        <v>0.67377331053783895</v>
      </c>
      <c r="AI10433">
        <v>99.072164488187695</v>
      </c>
      <c r="AJ10433">
        <v>84.565836963029994</v>
      </c>
      <c r="AK10433">
        <v>0.685388993085979</v>
      </c>
      <c r="AL10433">
        <v>82.836672596626798</v>
      </c>
      <c r="AM10433">
        <v>86.107739957254296</v>
      </c>
      <c r="AN10433">
        <v>1.0000000206625701</v>
      </c>
    </row>
    <row r="10434" spans="1:40" x14ac:dyDescent="0.25">
      <c r="A10434" t="str">
        <f>"20190303162151182"</f>
        <v>20190303162151182</v>
      </c>
      <c r="B10434" t="str">
        <f>"1551601311173558"</f>
        <v>1551601311173558</v>
      </c>
      <c r="C10434" t="s">
        <v>40</v>
      </c>
      <c r="D10434">
        <v>5.2035119999999999</v>
      </c>
      <c r="E10434">
        <v>0.50057910000000005</v>
      </c>
      <c r="F10434" t="s">
        <v>42</v>
      </c>
      <c r="G10434">
        <v>-160.77080000000001</v>
      </c>
      <c r="H10434">
        <v>1.032127</v>
      </c>
      <c r="I10434">
        <v>138.3407</v>
      </c>
      <c r="J10434">
        <v>-161.36959999999999</v>
      </c>
      <c r="K10434">
        <v>1.121286</v>
      </c>
      <c r="L10434">
        <v>138.3348</v>
      </c>
      <c r="M10434">
        <v>0.99416170000000004</v>
      </c>
      <c r="N10434">
        <v>-1.3957570000000001E-2</v>
      </c>
      <c r="O10434">
        <v>0.1069952</v>
      </c>
      <c r="P10434">
        <v>0.9930348</v>
      </c>
      <c r="Q10434">
        <v>0.1098146</v>
      </c>
      <c r="R10434">
        <v>4.2693740000000001E-2</v>
      </c>
      <c r="S10434">
        <v>3.0522</v>
      </c>
      <c r="T10434">
        <v>-0.32030789999999998</v>
      </c>
      <c r="U10434">
        <v>0.11524959999999999</v>
      </c>
      <c r="V10434">
        <v>6.3942659999999998E-2</v>
      </c>
      <c r="W10434">
        <v>0.1235811</v>
      </c>
      <c r="X10434">
        <v>0.99027220000000005</v>
      </c>
      <c r="Y10434">
        <v>6.8548929999999994E-2</v>
      </c>
      <c r="Z10434">
        <v>-1.3745459999999999E-2</v>
      </c>
      <c r="AA10434">
        <v>0.99755309999999997</v>
      </c>
      <c r="AB10434">
        <v>17</v>
      </c>
      <c r="AC10434">
        <v>0.59879999999998201</v>
      </c>
      <c r="AD10434">
        <v>-8.9158999999999905E-2</v>
      </c>
      <c r="AE10434">
        <v>5.8999999999968999E-3</v>
      </c>
      <c r="AF10434">
        <v>5.6946450565281602E-2</v>
      </c>
      <c r="AG10434">
        <v>-8.9158999999999905E-2</v>
      </c>
      <c r="AH10434">
        <v>0.58306788029678602</v>
      </c>
      <c r="AI10434">
        <v>98.653412030369097</v>
      </c>
      <c r="AJ10434">
        <v>84.4217886860243</v>
      </c>
      <c r="AK10434">
        <v>0.59258786567628197</v>
      </c>
      <c r="AL10434">
        <v>82.901176457650195</v>
      </c>
      <c r="AM10434">
        <v>86.305495063745497</v>
      </c>
      <c r="AN10434">
        <v>0.99999999106896298</v>
      </c>
    </row>
    <row r="10435" spans="1:40" x14ac:dyDescent="0.25">
      <c r="A10435" t="str">
        <f>"20190303162151206"</f>
        <v>20190303162151206</v>
      </c>
      <c r="B10435" t="str">
        <f>"1551601311193078"</f>
        <v>1551601311193078</v>
      </c>
      <c r="C10435" t="s">
        <v>40</v>
      </c>
      <c r="D10435">
        <v>5.2521420000000001</v>
      </c>
      <c r="E10435">
        <v>0.50014619999999999</v>
      </c>
      <c r="F10435" t="s">
        <v>42</v>
      </c>
      <c r="G10435">
        <v>-160.61580000000001</v>
      </c>
      <c r="H10435">
        <v>1.046157</v>
      </c>
      <c r="I10435">
        <v>138.36689999999999</v>
      </c>
      <c r="J10435">
        <v>-161.19229999999999</v>
      </c>
      <c r="K10435">
        <v>1.1212549999999999</v>
      </c>
      <c r="L10435">
        <v>138.35290000000001</v>
      </c>
      <c r="M10435">
        <v>0.99425039999999998</v>
      </c>
      <c r="N10435">
        <v>-1.395397E-2</v>
      </c>
      <c r="O10435">
        <v>0.10616630000000001</v>
      </c>
      <c r="P10435">
        <v>0.99323360000000005</v>
      </c>
      <c r="Q10435">
        <v>0.1080021</v>
      </c>
      <c r="R10435">
        <v>4.269075E-2</v>
      </c>
      <c r="S10435">
        <v>3.0490569999999999</v>
      </c>
      <c r="T10435">
        <v>-0.3038843</v>
      </c>
      <c r="U10435">
        <v>0.1304321</v>
      </c>
      <c r="V10435">
        <v>6.3145989999999999E-2</v>
      </c>
      <c r="W10435">
        <v>0.12176530000000001</v>
      </c>
      <c r="X10435">
        <v>0.99054830000000005</v>
      </c>
      <c r="Y10435">
        <v>6.2842120000000001E-2</v>
      </c>
      <c r="Z10435">
        <v>-1.261088E-2</v>
      </c>
      <c r="AA10435">
        <v>0.99794380000000005</v>
      </c>
      <c r="AB10435">
        <v>17</v>
      </c>
      <c r="AC10435">
        <v>0.57649999999998103</v>
      </c>
      <c r="AD10435">
        <v>-7.5097999999999804E-2</v>
      </c>
      <c r="AE10435">
        <v>1.3999999999981499E-2</v>
      </c>
      <c r="AF10435">
        <v>4.65013542107214E-2</v>
      </c>
      <c r="AG10435">
        <v>-7.5097999999999804E-2</v>
      </c>
      <c r="AH10435">
        <v>0.56514337491741296</v>
      </c>
      <c r="AI10435">
        <v>97.5440955910572</v>
      </c>
      <c r="AJ10435">
        <v>85.296162165683597</v>
      </c>
      <c r="AK10435">
        <v>0.57200447529759302</v>
      </c>
      <c r="AL10435">
        <v>83.0060064656994</v>
      </c>
      <c r="AM10435">
        <v>86.352414510697599</v>
      </c>
      <c r="AN10435">
        <v>1.00000006948502</v>
      </c>
    </row>
    <row r="10436" spans="1:40" x14ac:dyDescent="0.25">
      <c r="A10436" t="str">
        <f>"20190303162151227"</f>
        <v>20190303162151227</v>
      </c>
      <c r="B10436" t="str">
        <f>"1551601311213574"</f>
        <v>1551601311213574</v>
      </c>
      <c r="C10436" t="s">
        <v>40</v>
      </c>
      <c r="D10436">
        <v>5.1829320000000001</v>
      </c>
      <c r="E10436">
        <v>0.49974980000000002</v>
      </c>
      <c r="F10436" t="s">
        <v>42</v>
      </c>
      <c r="G10436">
        <v>-160.32599999999999</v>
      </c>
      <c r="H10436">
        <v>1.0355209999999999</v>
      </c>
      <c r="I10436">
        <v>138.39109999999999</v>
      </c>
      <c r="J10436">
        <v>-161.04089999999999</v>
      </c>
      <c r="K10436">
        <v>1.1212200000000001</v>
      </c>
      <c r="L10436">
        <v>138.3682</v>
      </c>
      <c r="M10436">
        <v>0.9943341</v>
      </c>
      <c r="N10436">
        <v>-1.395101E-2</v>
      </c>
      <c r="O10436">
        <v>0.1053803</v>
      </c>
      <c r="P10436">
        <v>0.99321409999999999</v>
      </c>
      <c r="Q10436">
        <v>0.10866389999999999</v>
      </c>
      <c r="R10436">
        <v>4.1447070000000003E-2</v>
      </c>
      <c r="S10436">
        <v>3.0474239999999999</v>
      </c>
      <c r="T10436">
        <v>-0.30164239999999998</v>
      </c>
      <c r="U10436">
        <v>0.13522339999999999</v>
      </c>
      <c r="V10436">
        <v>6.3606019999999999E-2</v>
      </c>
      <c r="W10436">
        <v>0.122417</v>
      </c>
      <c r="X10436">
        <v>0.9904385</v>
      </c>
      <c r="Y10436">
        <v>6.0490809999999999E-2</v>
      </c>
      <c r="Z10436">
        <v>-1.231875E-2</v>
      </c>
      <c r="AA10436">
        <v>0.99809270000000005</v>
      </c>
      <c r="AB10436">
        <v>17</v>
      </c>
      <c r="AC10436">
        <v>0.71489999999999998</v>
      </c>
      <c r="AD10436">
        <v>-8.5699000000000095E-2</v>
      </c>
      <c r="AE10436">
        <v>2.2899999999992801E-2</v>
      </c>
      <c r="AF10436">
        <v>5.1827242197931798E-2</v>
      </c>
      <c r="AG10436">
        <v>-8.5699000000000095E-2</v>
      </c>
      <c r="AH10436">
        <v>0.70323684816264898</v>
      </c>
      <c r="AI10436">
        <v>96.929403546566803</v>
      </c>
      <c r="AJ10436">
        <v>85.785028132767394</v>
      </c>
      <c r="AK10436">
        <v>0.71033263070802199</v>
      </c>
      <c r="AL10436">
        <v>82.968385116693398</v>
      </c>
      <c r="AM10436">
        <v>86.325507519376799</v>
      </c>
      <c r="AN10436">
        <v>1.0000000349757401</v>
      </c>
    </row>
    <row r="10437" spans="1:40" x14ac:dyDescent="0.25">
      <c r="A10437" t="str">
        <f>"20190303162151248"</f>
        <v>20190303162151248</v>
      </c>
      <c r="B10437" t="str">
        <f>"1551601311242854"</f>
        <v>1551601311242854</v>
      </c>
      <c r="C10437" t="s">
        <v>40</v>
      </c>
      <c r="D10437">
        <v>5.2985730000000002</v>
      </c>
      <c r="E10437">
        <v>0.49952239999999998</v>
      </c>
      <c r="F10437" t="s">
        <v>42</v>
      </c>
      <c r="G10437">
        <v>-160.17760000000001</v>
      </c>
      <c r="H10437">
        <v>1.037836</v>
      </c>
      <c r="I10437">
        <v>138.40710000000001</v>
      </c>
      <c r="J10437">
        <v>-160.87569999999999</v>
      </c>
      <c r="K10437">
        <v>1.1211880000000001</v>
      </c>
      <c r="L10437">
        <v>138.38460000000001</v>
      </c>
      <c r="M10437">
        <v>0.9944326</v>
      </c>
      <c r="N10437">
        <v>-1.3947899999999999E-2</v>
      </c>
      <c r="O10437">
        <v>0.1044482</v>
      </c>
      <c r="P10437">
        <v>0.99317569999999999</v>
      </c>
      <c r="Q10437">
        <v>0.109415899999999</v>
      </c>
      <c r="R10437">
        <v>4.0377730000000001E-2</v>
      </c>
      <c r="S10437">
        <v>3.046967</v>
      </c>
      <c r="T10437">
        <v>-0.29431619999999997</v>
      </c>
      <c r="U10437">
        <v>0.13722229999999999</v>
      </c>
      <c r="V10437">
        <v>6.3746819999999996E-2</v>
      </c>
      <c r="W10437">
        <v>0.123159</v>
      </c>
      <c r="X10437">
        <v>0.99033740000000003</v>
      </c>
      <c r="Y10437">
        <v>5.8942219999999997E-2</v>
      </c>
      <c r="Z10437">
        <v>-1.1835699999999999E-2</v>
      </c>
      <c r="AA10437">
        <v>0.99819119999999995</v>
      </c>
      <c r="AB10437">
        <v>17</v>
      </c>
      <c r="AC10437">
        <v>0.69809999999998196</v>
      </c>
      <c r="AD10437">
        <v>-8.3351999999999801E-2</v>
      </c>
      <c r="AE10437">
        <v>2.2500000000007899E-2</v>
      </c>
      <c r="AF10437">
        <v>4.9835747934965598E-2</v>
      </c>
      <c r="AG10437">
        <v>-8.3351999999999801E-2</v>
      </c>
      <c r="AH10437">
        <v>0.68684964366766099</v>
      </c>
      <c r="AI10437">
        <v>96.901275854988498</v>
      </c>
      <c r="AJ10437">
        <v>85.850062542177497</v>
      </c>
      <c r="AK10437">
        <v>0.69368118807030499</v>
      </c>
      <c r="AL10437">
        <v>82.925547110020005</v>
      </c>
      <c r="AM10437">
        <v>86.317021012902103</v>
      </c>
      <c r="AN10437">
        <v>0.99999998108993604</v>
      </c>
    </row>
    <row r="10438" spans="1:40" x14ac:dyDescent="0.25">
      <c r="A10438" t="str">
        <f>"20190303162151270"</f>
        <v>20190303162151270</v>
      </c>
      <c r="B10438" t="str">
        <f>"1551601311263350"</f>
        <v>1551601311263350</v>
      </c>
      <c r="C10438" t="s">
        <v>40</v>
      </c>
      <c r="D10438">
        <v>5.3075669999999997</v>
      </c>
      <c r="E10438">
        <v>0.49933260000000002</v>
      </c>
      <c r="F10438" t="s">
        <v>42</v>
      </c>
      <c r="G10438">
        <v>-160.02879999999999</v>
      </c>
      <c r="H10438">
        <v>1.0414810000000001</v>
      </c>
      <c r="I10438">
        <v>138.42250000000001</v>
      </c>
      <c r="J10438">
        <v>-160.7176</v>
      </c>
      <c r="K10438">
        <v>1.121146</v>
      </c>
      <c r="L10438">
        <v>138.40010000000001</v>
      </c>
      <c r="M10438">
        <v>0.99453369999999996</v>
      </c>
      <c r="N10438">
        <v>-1.394492E-2</v>
      </c>
      <c r="O10438">
        <v>0.10348160000000001</v>
      </c>
      <c r="P10438">
        <v>0.99327929999999998</v>
      </c>
      <c r="Q10438">
        <v>0.10862380000000001</v>
      </c>
      <c r="R10438">
        <v>3.9965510000000003E-2</v>
      </c>
      <c r="S10438">
        <v>3.046646</v>
      </c>
      <c r="T10438">
        <v>-0.2867575</v>
      </c>
      <c r="U10438">
        <v>0.13653560000000001</v>
      </c>
      <c r="V10438">
        <v>6.3213710000000006E-2</v>
      </c>
      <c r="W10438">
        <v>0.1223612</v>
      </c>
      <c r="X10438">
        <v>0.99047050000000003</v>
      </c>
      <c r="Y10438">
        <v>5.8233979999999998E-2</v>
      </c>
      <c r="Z10438">
        <v>-1.1392879999999999E-2</v>
      </c>
      <c r="AA10438">
        <v>0.99823799999999996</v>
      </c>
      <c r="AB10438">
        <v>17</v>
      </c>
      <c r="AC10438">
        <v>0.68880000000001396</v>
      </c>
      <c r="AD10438">
        <v>-7.9665000000000097E-2</v>
      </c>
      <c r="AE10438">
        <v>2.24000000000046E-2</v>
      </c>
      <c r="AF10438">
        <v>4.8359129807148397E-2</v>
      </c>
      <c r="AG10438">
        <v>-7.9665000000000097E-2</v>
      </c>
      <c r="AH10438">
        <v>0.67835501676464904</v>
      </c>
      <c r="AI10438">
        <v>96.681248490525306</v>
      </c>
      <c r="AJ10438">
        <v>85.922349726417707</v>
      </c>
      <c r="AK10438">
        <v>0.68472669469684899</v>
      </c>
      <c r="AL10438">
        <v>82.971606359991995</v>
      </c>
      <c r="AM10438">
        <v>86.348227245579494</v>
      </c>
      <c r="AN10438">
        <v>1.00000002388382</v>
      </c>
    </row>
    <row r="10439" spans="1:40" x14ac:dyDescent="0.25">
      <c r="A10439" t="str">
        <f>"20190303162151292"</f>
        <v>20190303162151292</v>
      </c>
      <c r="B10439" t="str">
        <f>"1551601311282870"</f>
        <v>1551601311282870</v>
      </c>
      <c r="C10439" t="s">
        <v>40</v>
      </c>
      <c r="D10439">
        <v>5.3149389999999999</v>
      </c>
      <c r="E10439">
        <v>0.49892979999999998</v>
      </c>
      <c r="F10439" t="s">
        <v>42</v>
      </c>
      <c r="G10439">
        <v>-159.8817</v>
      </c>
      <c r="H10439">
        <v>1.042251</v>
      </c>
      <c r="I10439">
        <v>138.43729999999999</v>
      </c>
      <c r="J10439">
        <v>-160.55350000000001</v>
      </c>
      <c r="K10439">
        <v>1.121094</v>
      </c>
      <c r="L10439">
        <v>138.41589999999999</v>
      </c>
      <c r="M10439">
        <v>0.99464739999999996</v>
      </c>
      <c r="N10439">
        <v>-1.3942029999999999E-2</v>
      </c>
      <c r="O10439">
        <v>0.10238360000000001</v>
      </c>
      <c r="P10439">
        <v>0.9934383</v>
      </c>
      <c r="Q10439">
        <v>0.10751570000000001</v>
      </c>
      <c r="R10439">
        <v>3.8998379999999999E-2</v>
      </c>
      <c r="S10439">
        <v>3.0462950000000002</v>
      </c>
      <c r="T10439">
        <v>-0.28753420000000002</v>
      </c>
      <c r="U10439">
        <v>0.13548279999999999</v>
      </c>
      <c r="V10439">
        <v>6.3109399999999996E-2</v>
      </c>
      <c r="W10439">
        <v>0.121244699999999</v>
      </c>
      <c r="X10439">
        <v>0.99061440000000001</v>
      </c>
      <c r="Y10439">
        <v>5.7474560000000001E-2</v>
      </c>
      <c r="Z10439">
        <v>-1.129966E-2</v>
      </c>
      <c r="AA10439">
        <v>0.99828300000000003</v>
      </c>
      <c r="AB10439">
        <v>16</v>
      </c>
      <c r="AC10439">
        <v>0.67180000000001805</v>
      </c>
      <c r="AD10439">
        <v>-7.8842999999999996E-2</v>
      </c>
      <c r="AE10439">
        <v>2.1399999999999801E-2</v>
      </c>
      <c r="AF10439">
        <v>4.6855743110380398E-2</v>
      </c>
      <c r="AG10439">
        <v>-7.8842999999999996E-2</v>
      </c>
      <c r="AH10439">
        <v>0.66136016826030597</v>
      </c>
      <c r="AI10439">
        <v>96.781501445809099</v>
      </c>
      <c r="AJ10439">
        <v>85.947506060543304</v>
      </c>
      <c r="AK10439">
        <v>0.66768926266095296</v>
      </c>
      <c r="AL10439">
        <v>83.036056683524293</v>
      </c>
      <c r="AM10439">
        <v>86.354764999346301</v>
      </c>
      <c r="AN10439">
        <v>0.99999998156690395</v>
      </c>
    </row>
    <row r="10440" spans="1:40" x14ac:dyDescent="0.25">
      <c r="A10440" t="str">
        <f>"20190303162151316"</f>
        <v>20190303162151316</v>
      </c>
      <c r="B10440" t="str">
        <f>"1551601311303366"</f>
        <v>1551601311303366</v>
      </c>
      <c r="C10440" t="s">
        <v>40</v>
      </c>
      <c r="D10440">
        <v>5.3127890000000004</v>
      </c>
      <c r="E10440">
        <v>0.48808459999999998</v>
      </c>
      <c r="F10440" t="s">
        <v>42</v>
      </c>
      <c r="G10440">
        <v>-159.7337</v>
      </c>
      <c r="H10440">
        <v>1.0441739999999999</v>
      </c>
      <c r="I10440">
        <v>138.4521</v>
      </c>
      <c r="J10440">
        <v>-160.38509999999999</v>
      </c>
      <c r="K10440">
        <v>1.121027</v>
      </c>
      <c r="L10440">
        <v>138.43180000000001</v>
      </c>
      <c r="M10440">
        <v>0.99477550000000003</v>
      </c>
      <c r="N10440">
        <v>-1.3939500000000001E-2</v>
      </c>
      <c r="O10440">
        <v>0.10113179999999999</v>
      </c>
      <c r="P10440">
        <v>0.99368920000000005</v>
      </c>
      <c r="Q10440">
        <v>0.10609789999999999</v>
      </c>
      <c r="R10440">
        <v>3.640119E-2</v>
      </c>
      <c r="S10440">
        <v>3.0454409999999998</v>
      </c>
      <c r="T10440">
        <v>-0.28570459999999998</v>
      </c>
      <c r="U10440">
        <v>0.134964</v>
      </c>
      <c r="V10440">
        <v>6.4486189999999999E-2</v>
      </c>
      <c r="W10440">
        <v>0.11981319999999999</v>
      </c>
      <c r="X10440">
        <v>0.99069989999999997</v>
      </c>
      <c r="Y10440">
        <v>5.6392820000000003E-2</v>
      </c>
      <c r="Z10440">
        <v>-1.1068E-2</v>
      </c>
      <c r="AA10440">
        <v>0.99834730000000005</v>
      </c>
      <c r="AB10440">
        <v>16</v>
      </c>
      <c r="AC10440">
        <v>0.65139999999999498</v>
      </c>
      <c r="AD10440">
        <v>-7.6853000000000005E-2</v>
      </c>
      <c r="AE10440">
        <v>2.02999999999917E-2</v>
      </c>
      <c r="AF10440">
        <v>4.5061121903348697E-2</v>
      </c>
      <c r="AG10440">
        <v>-7.6853000000000005E-2</v>
      </c>
      <c r="AH10440">
        <v>0.64119629704826697</v>
      </c>
      <c r="AI10440">
        <v>96.818139195049994</v>
      </c>
      <c r="AJ10440">
        <v>85.980054296612906</v>
      </c>
      <c r="AK10440">
        <v>0.64735583697422405</v>
      </c>
      <c r="AL10440">
        <v>83.118677926289706</v>
      </c>
      <c r="AM10440">
        <v>86.275782817436706</v>
      </c>
      <c r="AN10440">
        <v>0.99999998172748195</v>
      </c>
    </row>
    <row r="10441" spans="1:40" x14ac:dyDescent="0.25">
      <c r="A10441" t="str">
        <f>"20190303162151337"</f>
        <v>20190303162151337</v>
      </c>
      <c r="B10441" t="str">
        <f>"1551601311332646"</f>
        <v>1551601311332646</v>
      </c>
      <c r="C10441" t="s">
        <v>40</v>
      </c>
      <c r="D10441">
        <v>5.3124729999999998</v>
      </c>
      <c r="E10441">
        <v>0.48887269999999999</v>
      </c>
      <c r="F10441" t="s">
        <v>41</v>
      </c>
      <c r="G10441">
        <v>-138.16550000000001</v>
      </c>
      <c r="H10441" s="1">
        <v>-8.6686119999999903E-7</v>
      </c>
      <c r="I10441">
        <v>139.9828</v>
      </c>
      <c r="J10441">
        <v>-160.22640000000001</v>
      </c>
      <c r="K10441">
        <v>1.120959</v>
      </c>
      <c r="L10441">
        <v>138.44640000000001</v>
      </c>
      <c r="M10441">
        <v>0.99490900000000004</v>
      </c>
      <c r="N10441">
        <v>-1.393788E-2</v>
      </c>
      <c r="O10441">
        <v>9.9809410000000001E-2</v>
      </c>
      <c r="P10441">
        <v>0.99385219999999996</v>
      </c>
      <c r="Q10441">
        <v>0.1053215</v>
      </c>
      <c r="R10441">
        <v>3.4141399999999898E-2</v>
      </c>
      <c r="S10441">
        <v>3.027603</v>
      </c>
      <c r="T10441">
        <v>-0.15274869999999999</v>
      </c>
      <c r="U10441">
        <v>0.2113495</v>
      </c>
      <c r="V10441">
        <v>6.5452629999999998E-2</v>
      </c>
      <c r="W10441">
        <v>0.11902210000000001</v>
      </c>
      <c r="X10441">
        <v>0.9907319</v>
      </c>
      <c r="Y10441">
        <v>3.017214E-2</v>
      </c>
      <c r="Z10441">
        <v>-4.5942200000000004E-3</v>
      </c>
      <c r="AA10441">
        <v>0.99953409999999998</v>
      </c>
      <c r="AB10441">
        <v>16</v>
      </c>
      <c r="AC10441">
        <v>22.0609</v>
      </c>
      <c r="AD10441">
        <v>-1.1209598668612</v>
      </c>
      <c r="AE10441">
        <v>1.53639999999998</v>
      </c>
      <c r="AF10441">
        <v>0.671646868865167</v>
      </c>
      <c r="AG10441">
        <v>-1.1209598668612</v>
      </c>
      <c r="AH10441">
        <v>22.047432387737</v>
      </c>
      <c r="AI10441">
        <v>92.909241633882701</v>
      </c>
      <c r="AJ10441">
        <v>88.255096900417996</v>
      </c>
      <c r="AK10441">
        <v>22.086125405589002</v>
      </c>
      <c r="AL10441">
        <v>83.164331451969105</v>
      </c>
      <c r="AM10441">
        <v>86.220251159495007</v>
      </c>
      <c r="AN10441">
        <v>1.00000000236996</v>
      </c>
    </row>
    <row r="10442" spans="1:40" x14ac:dyDescent="0.25">
      <c r="A10442" t="str">
        <f>"20190303162151360"</f>
        <v>20190303162151360</v>
      </c>
      <c r="B10442" t="str">
        <f>"1551601311353143"</f>
        <v>1551601311353143</v>
      </c>
      <c r="C10442" t="s">
        <v>40</v>
      </c>
      <c r="D10442">
        <v>5.3766999999999996</v>
      </c>
      <c r="E10442">
        <v>0.48926409999999998</v>
      </c>
      <c r="F10442" t="s">
        <v>41</v>
      </c>
      <c r="G10442">
        <v>-138.40549999999999</v>
      </c>
      <c r="H10442" s="1">
        <v>-7.3289289999999998E-7</v>
      </c>
      <c r="I10442">
        <v>139.8663</v>
      </c>
      <c r="J10442">
        <v>-160.06389999999999</v>
      </c>
      <c r="K10442">
        <v>1.120878</v>
      </c>
      <c r="L10442">
        <v>138.46100000000001</v>
      </c>
      <c r="M10442">
        <v>0.99506030000000001</v>
      </c>
      <c r="N10442">
        <v>-1.393731E-2</v>
      </c>
      <c r="O10442">
        <v>9.8289970000000004E-2</v>
      </c>
      <c r="P10442">
        <v>0.99394009999999999</v>
      </c>
      <c r="Q10442">
        <v>0.1049611</v>
      </c>
      <c r="R10442">
        <v>3.2658430000000002E-2</v>
      </c>
      <c r="S10442">
        <v>3.0282749999999998</v>
      </c>
      <c r="T10442">
        <v>-0.15556489999999901</v>
      </c>
      <c r="U10442">
        <v>0.197052</v>
      </c>
      <c r="V10442">
        <v>6.5448430000000002E-2</v>
      </c>
      <c r="W10442">
        <v>0.11864669999999999</v>
      </c>
      <c r="X10442">
        <v>0.99077720000000002</v>
      </c>
      <c r="Y10442">
        <v>3.3349469999999999E-2</v>
      </c>
      <c r="Z10442">
        <v>-4.7478099999999999E-3</v>
      </c>
      <c r="AA10442">
        <v>0.99943249999999995</v>
      </c>
      <c r="AB10442">
        <v>16</v>
      </c>
      <c r="AC10442">
        <v>21.6584</v>
      </c>
      <c r="AD10442">
        <v>-1.1208787328929</v>
      </c>
      <c r="AE10442">
        <v>1.40529999999998</v>
      </c>
      <c r="AF10442">
        <v>0.72857295990106596</v>
      </c>
      <c r="AG10442">
        <v>-1.1208787328929</v>
      </c>
      <c r="AH10442">
        <v>21.633945983025001</v>
      </c>
      <c r="AI10442">
        <v>92.964228409686996</v>
      </c>
      <c r="AJ10442">
        <v>88.071161640816996</v>
      </c>
      <c r="AK10442">
        <v>21.675211798000799</v>
      </c>
      <c r="AL10442">
        <v>83.185993756697698</v>
      </c>
      <c r="AM10442">
        <v>86.220665302072405</v>
      </c>
      <c r="AN10442">
        <v>0.999999998225097</v>
      </c>
    </row>
    <row r="10443" spans="1:40" x14ac:dyDescent="0.25">
      <c r="A10443" t="str">
        <f>"20190303162151382"</f>
        <v>20190303162151382</v>
      </c>
      <c r="B10443" t="str">
        <f>"1551601311373638"</f>
        <v>1551601311373638</v>
      </c>
      <c r="C10443" t="s">
        <v>40</v>
      </c>
      <c r="D10443">
        <v>5.2627329999999999</v>
      </c>
      <c r="E10443">
        <v>0.48941750000000001</v>
      </c>
      <c r="F10443" t="s">
        <v>41</v>
      </c>
      <c r="G10443">
        <v>-138.88390000000001</v>
      </c>
      <c r="H10443" s="1">
        <v>-5.0351699999999997E-7</v>
      </c>
      <c r="I10443">
        <v>139.77549999999999</v>
      </c>
      <c r="J10443">
        <v>-159.89830000000001</v>
      </c>
      <c r="K10443">
        <v>1.1207879999999999</v>
      </c>
      <c r="L10443">
        <v>138.4753</v>
      </c>
      <c r="M10443">
        <v>0.99523050000000002</v>
      </c>
      <c r="N10443">
        <v>-1.393787E-2</v>
      </c>
      <c r="O10443">
        <v>9.6550670000000005E-2</v>
      </c>
      <c r="P10443">
        <v>0.99369870000000005</v>
      </c>
      <c r="Q10443">
        <v>0.1077432</v>
      </c>
      <c r="R10443">
        <v>3.089304E-2</v>
      </c>
      <c r="S10443">
        <v>3.0290370000000002</v>
      </c>
      <c r="T10443">
        <v>-0.160301</v>
      </c>
      <c r="U10443">
        <v>0.18800349999999999</v>
      </c>
      <c r="V10443">
        <v>6.5486440000000007E-2</v>
      </c>
      <c r="W10443">
        <v>0.1214075</v>
      </c>
      <c r="X10443">
        <v>0.99044019999999999</v>
      </c>
      <c r="Y10443">
        <v>3.458278E-2</v>
      </c>
      <c r="Z10443">
        <v>-4.8999949999999999E-3</v>
      </c>
      <c r="AA10443">
        <v>0.99938979999999999</v>
      </c>
      <c r="AB10443">
        <v>16</v>
      </c>
      <c r="AC10443">
        <v>21.014399999999899</v>
      </c>
      <c r="AD10443">
        <v>-1.120788503517</v>
      </c>
      <c r="AE10443">
        <v>1.30019999999998</v>
      </c>
      <c r="AF10443">
        <v>0.73295012417308603</v>
      </c>
      <c r="AG10443">
        <v>-1.120788503517</v>
      </c>
      <c r="AH10443">
        <v>20.982292924614001</v>
      </c>
      <c r="AI10443">
        <v>93.055740748590097</v>
      </c>
      <c r="AJ10443">
        <v>87.999366411494506</v>
      </c>
      <c r="AK10443">
        <v>21.0249851160101</v>
      </c>
      <c r="AL10443">
        <v>83.0266597963778</v>
      </c>
      <c r="AM10443">
        <v>86.217193833921002</v>
      </c>
      <c r="AN10443">
        <v>1.0000000223280801</v>
      </c>
    </row>
    <row r="10444" spans="1:40" x14ac:dyDescent="0.25">
      <c r="A10444" t="str">
        <f>"20190303162151406"</f>
        <v>20190303162151406</v>
      </c>
      <c r="B10444" t="str">
        <f>"1551601311393158"</f>
        <v>1551601311393158</v>
      </c>
      <c r="C10444" t="s">
        <v>40</v>
      </c>
      <c r="D10444">
        <v>5.327928</v>
      </c>
      <c r="E10444">
        <v>0.48954560000000003</v>
      </c>
      <c r="F10444" t="s">
        <v>41</v>
      </c>
      <c r="G10444">
        <v>-137.7157</v>
      </c>
      <c r="H10444" s="1">
        <v>-1.0111459999999999E-6</v>
      </c>
      <c r="I10444">
        <v>139.7998</v>
      </c>
      <c r="J10444">
        <v>-159.7243</v>
      </c>
      <c r="K10444">
        <v>1.1206750000000001</v>
      </c>
      <c r="L10444">
        <v>138.4898</v>
      </c>
      <c r="M10444">
        <v>0.99542779999999997</v>
      </c>
      <c r="N10444">
        <v>-1.393994E-2</v>
      </c>
      <c r="O10444">
        <v>9.4494250000000002E-2</v>
      </c>
      <c r="P10444">
        <v>0.9935195</v>
      </c>
      <c r="Q10444">
        <v>0.10982699999999999</v>
      </c>
      <c r="R10444">
        <v>2.9278100000000001E-2</v>
      </c>
      <c r="S10444">
        <v>3.0299990000000001</v>
      </c>
      <c r="T10444">
        <v>-0.1530918</v>
      </c>
      <c r="U10444">
        <v>0.18092349999999999</v>
      </c>
      <c r="V10444">
        <v>6.5068860000000006E-2</v>
      </c>
      <c r="W10444">
        <v>0.12347180000000001</v>
      </c>
      <c r="X10444">
        <v>0.99021250000000005</v>
      </c>
      <c r="Y10444">
        <v>3.48785E-2</v>
      </c>
      <c r="Z10444">
        <v>-4.5637469999999999E-3</v>
      </c>
      <c r="AA10444">
        <v>0.99938110000000002</v>
      </c>
      <c r="AB10444">
        <v>16</v>
      </c>
      <c r="AC10444">
        <v>22.008600000000001</v>
      </c>
      <c r="AD10444">
        <v>-1.1206760111459999</v>
      </c>
      <c r="AE10444">
        <v>1.31</v>
      </c>
      <c r="AF10444">
        <v>0.77375198219545305</v>
      </c>
      <c r="AG10444">
        <v>-1.1206760111459999</v>
      </c>
      <c r="AH10444">
        <v>21.977118865287501</v>
      </c>
      <c r="AI10444">
        <v>92.917342471738294</v>
      </c>
      <c r="AJ10444">
        <v>87.983611073172696</v>
      </c>
      <c r="AK10444">
        <v>22.019272478237902</v>
      </c>
      <c r="AL10444">
        <v>82.907487414649907</v>
      </c>
      <c r="AM10444">
        <v>86.240384009351999</v>
      </c>
      <c r="AN10444">
        <v>1.00000001854659</v>
      </c>
    </row>
    <row r="10445" spans="1:40" x14ac:dyDescent="0.25">
      <c r="A10445" t="str">
        <f>"20190303162151428"</f>
        <v>20190303162151428</v>
      </c>
      <c r="B10445" t="str">
        <f>"1551601311423414"</f>
        <v>1551601311423414</v>
      </c>
      <c r="C10445" t="s">
        <v>40</v>
      </c>
      <c r="D10445">
        <v>5.3258530000000004</v>
      </c>
      <c r="E10445">
        <v>0.48961769999999999</v>
      </c>
      <c r="F10445" t="s">
        <v>41</v>
      </c>
      <c r="G10445">
        <v>-136.7894</v>
      </c>
      <c r="H10445" s="1">
        <v>-1.41354899999999E-6</v>
      </c>
      <c r="I10445">
        <v>139.81880000000001</v>
      </c>
      <c r="J10445">
        <v>-159.57329999999999</v>
      </c>
      <c r="K10445">
        <v>1.1205750000000001</v>
      </c>
      <c r="L10445">
        <v>138.5018</v>
      </c>
      <c r="M10445">
        <v>0.99561330000000003</v>
      </c>
      <c r="N10445">
        <v>-1.394252E-2</v>
      </c>
      <c r="O10445">
        <v>9.252022E-2</v>
      </c>
      <c r="P10445">
        <v>0.99360219999999999</v>
      </c>
      <c r="Q10445">
        <v>0.1093978</v>
      </c>
      <c r="R10445">
        <v>2.8051059999999999E-2</v>
      </c>
      <c r="S10445">
        <v>3.0307620000000002</v>
      </c>
      <c r="T10445">
        <v>-0.14809349999999999</v>
      </c>
      <c r="U10445">
        <v>0.1756287</v>
      </c>
      <c r="V10445">
        <v>6.4359589999999994E-2</v>
      </c>
      <c r="W10445">
        <v>0.12303360000000001</v>
      </c>
      <c r="X10445">
        <v>0.99031340000000001</v>
      </c>
      <c r="Y10445">
        <v>3.4662020000000002E-2</v>
      </c>
      <c r="Z10445">
        <v>-4.3035369999999996E-3</v>
      </c>
      <c r="AA10445">
        <v>0.99938979999999999</v>
      </c>
      <c r="AB10445">
        <v>16</v>
      </c>
      <c r="AC10445">
        <v>22.7838999999999</v>
      </c>
      <c r="AD10445">
        <v>-1.120576413549</v>
      </c>
      <c r="AE10445">
        <v>1.3169999999999999</v>
      </c>
      <c r="AF10445">
        <v>0.794909643317253</v>
      </c>
      <c r="AG10445">
        <v>-1.120576413549</v>
      </c>
      <c r="AH10445">
        <v>22.753161907364898</v>
      </c>
      <c r="AI10445">
        <v>92.817780419703695</v>
      </c>
      <c r="AJ10445">
        <v>87.999115394096805</v>
      </c>
      <c r="AK10445">
        <v>22.794603519745699</v>
      </c>
      <c r="AL10445">
        <v>82.932787388013196</v>
      </c>
      <c r="AM10445">
        <v>86.281627150826907</v>
      </c>
      <c r="AN10445">
        <v>1.0000000268867399</v>
      </c>
    </row>
    <row r="10446" spans="1:40" x14ac:dyDescent="0.25">
      <c r="A10446" t="str">
        <f>"20190303162151449"</f>
        <v>20190303162151449</v>
      </c>
      <c r="B10446" t="str">
        <f>"1551601311442934"</f>
        <v>1551601311442934</v>
      </c>
      <c r="C10446" t="s">
        <v>40</v>
      </c>
      <c r="D10446">
        <v>5.31846</v>
      </c>
      <c r="E10446">
        <v>0.4897455</v>
      </c>
      <c r="F10446" t="s">
        <v>41</v>
      </c>
      <c r="G10446">
        <v>-137.15899999999999</v>
      </c>
      <c r="H10446" s="1">
        <v>-1.2414830000000001E-6</v>
      </c>
      <c r="I10446">
        <v>139.7681</v>
      </c>
      <c r="J10446">
        <v>-159.41239999999999</v>
      </c>
      <c r="K10446">
        <v>1.120501</v>
      </c>
      <c r="L10446">
        <v>138.51410000000001</v>
      </c>
      <c r="M10446">
        <v>0.99582090000000001</v>
      </c>
      <c r="N10446">
        <v>-1.394519E-2</v>
      </c>
      <c r="O10446">
        <v>9.0257290000000004E-2</v>
      </c>
      <c r="P10446">
        <v>0.99373999999999996</v>
      </c>
      <c r="Q10446">
        <v>0.1081848</v>
      </c>
      <c r="R10446">
        <v>2.7875150000000001E-2</v>
      </c>
      <c r="S10446">
        <v>3.031174</v>
      </c>
      <c r="T10446">
        <v>-0.15154029999999999</v>
      </c>
      <c r="U10446">
        <v>0.1712494</v>
      </c>
      <c r="V10446">
        <v>6.2312260000000001E-2</v>
      </c>
      <c r="W10446">
        <v>0.1218207</v>
      </c>
      <c r="X10446">
        <v>0.99059419999999998</v>
      </c>
      <c r="Y10446">
        <v>3.3834580000000003E-2</v>
      </c>
      <c r="Z10446">
        <v>-4.320066E-3</v>
      </c>
      <c r="AA10446">
        <v>0.99941809999999998</v>
      </c>
      <c r="AB10446">
        <v>16</v>
      </c>
      <c r="AC10446">
        <v>22.253399999999999</v>
      </c>
      <c r="AD10446">
        <v>-1.1205022414829999</v>
      </c>
      <c r="AE10446">
        <v>1.25399999999999</v>
      </c>
      <c r="AF10446">
        <v>0.75793049940526203</v>
      </c>
      <c r="AG10446">
        <v>-1.1205022414829999</v>
      </c>
      <c r="AH10446">
        <v>22.2195928324814</v>
      </c>
      <c r="AI10446">
        <v>92.885223356104405</v>
      </c>
      <c r="AJ10446">
        <v>88.046346396254606</v>
      </c>
      <c r="AK10446">
        <v>22.2607342546547</v>
      </c>
      <c r="AL10446">
        <v>83.0028078774194</v>
      </c>
      <c r="AM10446">
        <v>86.400613247507906</v>
      </c>
      <c r="AN10446">
        <v>0.99999998488421804</v>
      </c>
    </row>
    <row r="10447" spans="1:40" x14ac:dyDescent="0.25">
      <c r="A10447" t="str">
        <f>"20190303162151471"</f>
        <v>20190303162151471</v>
      </c>
      <c r="B10447" t="str">
        <f>"1551601311463430"</f>
        <v>1551601311463430</v>
      </c>
      <c r="C10447" t="s">
        <v>40</v>
      </c>
      <c r="D10447">
        <v>5.2567300000000001</v>
      </c>
      <c r="E10447">
        <v>0.48994110000000002</v>
      </c>
      <c r="F10447" t="s">
        <v>41</v>
      </c>
      <c r="G10447">
        <v>-137.45359999999999</v>
      </c>
      <c r="H10447" s="1">
        <v>-1.109847E-6</v>
      </c>
      <c r="I10447">
        <v>139.7482</v>
      </c>
      <c r="J10447">
        <v>-159.25319999999999</v>
      </c>
      <c r="K10447">
        <v>1.1204559999999999</v>
      </c>
      <c r="L10447">
        <v>138.5257</v>
      </c>
      <c r="M10447">
        <v>0.99603280000000005</v>
      </c>
      <c r="N10447">
        <v>-1.3967749999999999E-2</v>
      </c>
      <c r="O10447">
        <v>8.7883950000000002E-2</v>
      </c>
      <c r="P10447">
        <v>0.99380559999999996</v>
      </c>
      <c r="Q10447">
        <v>0.1076638</v>
      </c>
      <c r="R10447">
        <v>2.7545320000000002E-2</v>
      </c>
      <c r="S10447">
        <v>3.0309599999999999</v>
      </c>
      <c r="T10447">
        <v>-0.15466179999999999</v>
      </c>
      <c r="U10447">
        <v>0.1703491</v>
      </c>
      <c r="V10447">
        <v>6.0294540000000001E-2</v>
      </c>
      <c r="W10447">
        <v>0.12132370000000001</v>
      </c>
      <c r="X10447">
        <v>0.99078010000000005</v>
      </c>
      <c r="Y10447">
        <v>3.1744540000000002E-2</v>
      </c>
      <c r="Z10447">
        <v>-4.2737620000000004E-3</v>
      </c>
      <c r="AA10447">
        <v>0.99948689999999996</v>
      </c>
      <c r="AB10447">
        <v>16</v>
      </c>
      <c r="AC10447">
        <v>21.799600000000002</v>
      </c>
      <c r="AD10447">
        <v>-1.120457109847</v>
      </c>
      <c r="AE10447">
        <v>1.2224999999999899</v>
      </c>
      <c r="AF10447">
        <v>0.69641896242230195</v>
      </c>
      <c r="AG10447">
        <v>-1.120457109847</v>
      </c>
      <c r="AH10447">
        <v>21.765364744333102</v>
      </c>
      <c r="AI10447">
        <v>92.945417849594193</v>
      </c>
      <c r="AJ10447">
        <v>88.167351700613594</v>
      </c>
      <c r="AK10447">
        <v>21.8053095818446</v>
      </c>
      <c r="AL10447">
        <v>83.031497057140299</v>
      </c>
      <c r="AM10447">
        <v>86.517524426979705</v>
      </c>
      <c r="AN10447">
        <v>1.00000003914575</v>
      </c>
    </row>
    <row r="10448" spans="1:40" x14ac:dyDescent="0.25">
      <c r="A10448" t="str">
        <f>"20190303162151493"</f>
        <v>20190303162151493</v>
      </c>
      <c r="B10448" t="str">
        <f>"1551601311482950"</f>
        <v>1551601311482950</v>
      </c>
      <c r="C10448" t="s">
        <v>40</v>
      </c>
      <c r="D10448">
        <v>5.2551009999999998</v>
      </c>
      <c r="E10448">
        <v>0.49006680000000002</v>
      </c>
      <c r="F10448" t="s">
        <v>41</v>
      </c>
      <c r="G10448">
        <v>-137.42339999999999</v>
      </c>
      <c r="H10448" s="1">
        <v>-1.1219940000000001E-6</v>
      </c>
      <c r="I10448">
        <v>139.74520000000001</v>
      </c>
      <c r="J10448">
        <v>-159.09200000000001</v>
      </c>
      <c r="K10448">
        <v>1.120471</v>
      </c>
      <c r="L10448">
        <v>138.5369</v>
      </c>
      <c r="M10448">
        <v>0.99624959999999996</v>
      </c>
      <c r="N10448">
        <v>-1.4106189999999999E-2</v>
      </c>
      <c r="O10448">
        <v>8.5367680000000001E-2</v>
      </c>
      <c r="P10448">
        <v>0.99377519999999997</v>
      </c>
      <c r="Q10448">
        <v>0.108183</v>
      </c>
      <c r="R10448">
        <v>2.6594019999999999E-2</v>
      </c>
      <c r="S10448">
        <v>3.030853</v>
      </c>
      <c r="T10448">
        <v>-0.15556429999999999</v>
      </c>
      <c r="U10448">
        <v>0.169326799999999</v>
      </c>
      <c r="V10448">
        <v>5.8741420000000003E-2</v>
      </c>
      <c r="W10448">
        <v>0.12198249999999999</v>
      </c>
      <c r="X10448">
        <v>0.99079249999999996</v>
      </c>
      <c r="Y10448">
        <v>2.95582E-2</v>
      </c>
      <c r="Z10448">
        <v>-4.1304879999999999E-3</v>
      </c>
      <c r="AA10448">
        <v>0.99955450000000001</v>
      </c>
      <c r="AB10448">
        <v>16</v>
      </c>
      <c r="AC10448">
        <v>21.668600000000001</v>
      </c>
      <c r="AD10448">
        <v>-1.1204721219939999</v>
      </c>
      <c r="AE10448">
        <v>1.2082999999999999</v>
      </c>
      <c r="AF10448">
        <v>0.64437640077082603</v>
      </c>
      <c r="AG10448">
        <v>-1.1204721219939999</v>
      </c>
      <c r="AH10448">
        <v>21.634973592913099</v>
      </c>
      <c r="AI10448">
        <v>92.963379570284303</v>
      </c>
      <c r="AJ10448">
        <v>88.2940059194122</v>
      </c>
      <c r="AK10448">
        <v>21.673549803575899</v>
      </c>
      <c r="AL10448">
        <v>82.993468090849603</v>
      </c>
      <c r="AM10448">
        <v>86.607059138571998</v>
      </c>
      <c r="AN10448">
        <v>1.0000000313930499</v>
      </c>
    </row>
    <row r="10449" spans="1:40" x14ac:dyDescent="0.25">
      <c r="A10449" t="str">
        <f>"20190303162151518"</f>
        <v>20190303162151518</v>
      </c>
      <c r="B10449" t="str">
        <f>"1551601311503446"</f>
        <v>1551601311503446</v>
      </c>
      <c r="C10449" t="s">
        <v>40</v>
      </c>
      <c r="D10449">
        <v>5.1971759999999998</v>
      </c>
      <c r="E10449">
        <v>0.49022019999999999</v>
      </c>
      <c r="F10449" t="s">
        <v>41</v>
      </c>
      <c r="G10449">
        <v>-137.2124</v>
      </c>
      <c r="H10449" s="1">
        <v>-1.2104849999999999E-6</v>
      </c>
      <c r="I10449">
        <v>139.73759999999999</v>
      </c>
      <c r="J10449">
        <v>-158.92920000000001</v>
      </c>
      <c r="K10449">
        <v>1.1205620000000001</v>
      </c>
      <c r="L10449">
        <v>138.54769999999999</v>
      </c>
      <c r="M10449">
        <v>0.99646800000000002</v>
      </c>
      <c r="N10449">
        <v>-1.4438970000000001E-2</v>
      </c>
      <c r="O10449">
        <v>8.2723000000000005E-2</v>
      </c>
      <c r="P10449">
        <v>0.99374989999999996</v>
      </c>
      <c r="Q10449">
        <v>0.1088295</v>
      </c>
      <c r="R10449">
        <v>2.4853320000000002E-2</v>
      </c>
      <c r="S10449">
        <v>3.0312350000000001</v>
      </c>
      <c r="T10449">
        <v>-0.15523149999999999</v>
      </c>
      <c r="U10449">
        <v>0.16635129999999901</v>
      </c>
      <c r="V10449">
        <v>5.784255E-2</v>
      </c>
      <c r="W10449">
        <v>0.12296219999999999</v>
      </c>
      <c r="X10449">
        <v>0.9907243</v>
      </c>
      <c r="Y10449">
        <v>2.789643E-2</v>
      </c>
      <c r="Z10449">
        <v>-3.9446000000000004E-3</v>
      </c>
      <c r="AA10449">
        <v>0.99960300000000002</v>
      </c>
      <c r="AB10449">
        <v>16</v>
      </c>
      <c r="AC10449">
        <v>21.716799999999999</v>
      </c>
      <c r="AD10449">
        <v>-1.1205632104850001</v>
      </c>
      <c r="AE10449">
        <v>1.18989999999999</v>
      </c>
      <c r="AF10449">
        <v>0.60922805309926398</v>
      </c>
      <c r="AG10449">
        <v>-1.1205632104850001</v>
      </c>
      <c r="AH10449">
        <v>21.6832365139642</v>
      </c>
      <c r="AI10449">
        <v>92.957179312359202</v>
      </c>
      <c r="AJ10449">
        <v>88.390599335116505</v>
      </c>
      <c r="AK10449">
        <v>21.720717447862601</v>
      </c>
      <c r="AL10449">
        <v>82.936909777430003</v>
      </c>
      <c r="AM10449">
        <v>86.658630417449103</v>
      </c>
      <c r="AN10449">
        <v>1.0000000509149101</v>
      </c>
    </row>
    <row r="10450" spans="1:40" x14ac:dyDescent="0.25">
      <c r="A10450" t="str">
        <f>"20190303162151538"</f>
        <v>20190303162151538</v>
      </c>
      <c r="B10450" t="str">
        <f>"1551601311532726"</f>
        <v>1551601311532726</v>
      </c>
      <c r="C10450" t="s">
        <v>40</v>
      </c>
      <c r="D10450">
        <v>5.2478099999999896</v>
      </c>
      <c r="E10450">
        <v>0.49041580000000001</v>
      </c>
      <c r="F10450" t="s">
        <v>41</v>
      </c>
      <c r="G10450">
        <v>-136.9513</v>
      </c>
      <c r="H10450" s="1">
        <v>-1.3168419999999999E-6</v>
      </c>
      <c r="I10450">
        <v>139.71639999999999</v>
      </c>
      <c r="J10450">
        <v>-158.77330000000001</v>
      </c>
      <c r="K10450">
        <v>1.1206739999999999</v>
      </c>
      <c r="L10450">
        <v>138.55760000000001</v>
      </c>
      <c r="M10450">
        <v>0.99667490000000003</v>
      </c>
      <c r="N10450">
        <v>-1.490791E-2</v>
      </c>
      <c r="O10450">
        <v>8.0107150000000002E-2</v>
      </c>
      <c r="P10450">
        <v>0.99379870000000003</v>
      </c>
      <c r="Q10450">
        <v>0.108670699999999</v>
      </c>
      <c r="R10450">
        <v>2.3559509999999999E-2</v>
      </c>
      <c r="S10450">
        <v>3.031784</v>
      </c>
      <c r="T10450">
        <v>-0.1545781</v>
      </c>
      <c r="U10450">
        <v>0.16122439999999999</v>
      </c>
      <c r="V10450">
        <v>5.6529950000000002E-2</v>
      </c>
      <c r="W10450">
        <v>0.1232745</v>
      </c>
      <c r="X10450">
        <v>0.99076120000000001</v>
      </c>
      <c r="Y10450">
        <v>2.6973850000000001E-2</v>
      </c>
      <c r="Z10450">
        <v>-3.7669449999999998E-3</v>
      </c>
      <c r="AA10450">
        <v>0.99962899999999999</v>
      </c>
      <c r="AB10450">
        <v>16</v>
      </c>
      <c r="AC10450">
        <v>21.821999999999999</v>
      </c>
      <c r="AD10450">
        <v>-1.1206753168420001</v>
      </c>
      <c r="AE10450">
        <v>1.1587999999999801</v>
      </c>
      <c r="AF10450">
        <v>0.59166116085515397</v>
      </c>
      <c r="AG10450">
        <v>-1.1206753168420001</v>
      </c>
      <c r="AH10450">
        <v>21.787392834270499</v>
      </c>
      <c r="AI10450">
        <v>92.943437414338206</v>
      </c>
      <c r="AJ10450">
        <v>88.444450963184707</v>
      </c>
      <c r="AK10450">
        <v>21.824217342435599</v>
      </c>
      <c r="AL10450">
        <v>82.918878741862798</v>
      </c>
      <c r="AM10450">
        <v>86.734410257396206</v>
      </c>
      <c r="AN10450">
        <v>0.99999999651134597</v>
      </c>
    </row>
    <row r="10451" spans="1:40" x14ac:dyDescent="0.25">
      <c r="A10451" t="str">
        <f>"20190303162151562"</f>
        <v>20190303162151562</v>
      </c>
      <c r="B10451" t="str">
        <f>"1551601311553223"</f>
        <v>1551601311553223</v>
      </c>
      <c r="C10451" t="s">
        <v>40</v>
      </c>
      <c r="D10451">
        <v>5.1905349999999997</v>
      </c>
      <c r="E10451">
        <v>0.49059130000000001</v>
      </c>
      <c r="F10451" t="s">
        <v>41</v>
      </c>
      <c r="G10451">
        <v>-136.94880000000001</v>
      </c>
      <c r="H10451" s="1">
        <v>-1.3064690000000001E-6</v>
      </c>
      <c r="I10451">
        <v>139.67330000000001</v>
      </c>
      <c r="J10451">
        <v>-158.61490000000001</v>
      </c>
      <c r="K10451">
        <v>1.1208009999999999</v>
      </c>
      <c r="L10451">
        <v>138.56710000000001</v>
      </c>
      <c r="M10451">
        <v>0.99688129999999997</v>
      </c>
      <c r="N10451">
        <v>-1.546236E-2</v>
      </c>
      <c r="O10451">
        <v>7.738689E-2</v>
      </c>
      <c r="P10451">
        <v>0.99379079999999997</v>
      </c>
      <c r="Q10451">
        <v>0.1090353</v>
      </c>
      <c r="R10451">
        <v>2.2168380000000001E-2</v>
      </c>
      <c r="S10451">
        <v>3.0320740000000002</v>
      </c>
      <c r="T10451">
        <v>-0.15569469999999999</v>
      </c>
      <c r="U10451">
        <v>0.15501400000000001</v>
      </c>
      <c r="V10451">
        <v>5.5209920000000003E-2</v>
      </c>
      <c r="W10451">
        <v>0.1241934</v>
      </c>
      <c r="X10451">
        <v>0.99072090000000002</v>
      </c>
      <c r="Y10451">
        <v>2.6295900000000001E-2</v>
      </c>
      <c r="Z10451">
        <v>-3.6446709999999999E-3</v>
      </c>
      <c r="AA10451">
        <v>0.99964759999999997</v>
      </c>
      <c r="AB10451">
        <v>16</v>
      </c>
      <c r="AC10451">
        <v>21.6661</v>
      </c>
      <c r="AD10451">
        <v>-1.120802306469</v>
      </c>
      <c r="AE10451">
        <v>1.1062000000000001</v>
      </c>
      <c r="AF10451">
        <v>0.57246261926852005</v>
      </c>
      <c r="AG10451">
        <v>-1.120802306469</v>
      </c>
      <c r="AH10451">
        <v>21.628996316940199</v>
      </c>
      <c r="AI10451">
        <v>92.965344885845099</v>
      </c>
      <c r="AJ10451">
        <v>88.483885438517703</v>
      </c>
      <c r="AK10451">
        <v>21.665580835483201</v>
      </c>
      <c r="AL10451">
        <v>82.865822088759501</v>
      </c>
      <c r="AM10451">
        <v>86.810376209033194</v>
      </c>
      <c r="AN10451">
        <v>1.00000001878338</v>
      </c>
    </row>
    <row r="10452" spans="1:40" x14ac:dyDescent="0.25">
      <c r="A10452" t="str">
        <f>"20190303162151584"</f>
        <v>20190303162151584</v>
      </c>
      <c r="B10452" t="str">
        <f>"1551601311572742"</f>
        <v>1551601311572742</v>
      </c>
      <c r="C10452" t="s">
        <v>40</v>
      </c>
      <c r="D10452">
        <v>5.2500450000000001</v>
      </c>
      <c r="E10452">
        <v>0.49071229999999899</v>
      </c>
      <c r="F10452" t="s">
        <v>41</v>
      </c>
      <c r="G10452">
        <v>-136.73349999999999</v>
      </c>
      <c r="H10452" s="1">
        <v>-1.3893490000000001E-6</v>
      </c>
      <c r="I10452">
        <v>139.6378</v>
      </c>
      <c r="J10452">
        <v>-158.45849999999999</v>
      </c>
      <c r="K10452">
        <v>1.1209119999999999</v>
      </c>
      <c r="L10452">
        <v>138.57589999999999</v>
      </c>
      <c r="M10452">
        <v>0.99708010000000002</v>
      </c>
      <c r="N10452">
        <v>-1.6044340000000001E-2</v>
      </c>
      <c r="O10452">
        <v>7.4658390000000005E-2</v>
      </c>
      <c r="P10452">
        <v>0.99349949999999998</v>
      </c>
      <c r="Q10452">
        <v>0.1121302</v>
      </c>
      <c r="R10452">
        <v>1.964343E-2</v>
      </c>
      <c r="S10452">
        <v>3.0324710000000001</v>
      </c>
      <c r="T10452">
        <v>-0.1553282</v>
      </c>
      <c r="U10452">
        <v>0.14839169999999999</v>
      </c>
      <c r="V10452">
        <v>5.5003589999999998E-2</v>
      </c>
      <c r="W10452">
        <v>0.12785940000000001</v>
      </c>
      <c r="X10452">
        <v>0.99026590000000003</v>
      </c>
      <c r="Y10452">
        <v>2.5749359999999999E-2</v>
      </c>
      <c r="Z10452">
        <v>-3.4823950000000001E-3</v>
      </c>
      <c r="AA10452">
        <v>0.9996623</v>
      </c>
      <c r="AB10452">
        <v>16</v>
      </c>
      <c r="AC10452">
        <v>21.724999999999898</v>
      </c>
      <c r="AD10452">
        <v>-1.120913389349</v>
      </c>
      <c r="AE10452">
        <v>1.0619000000000001</v>
      </c>
      <c r="AF10452">
        <v>0.56173482556029197</v>
      </c>
      <c r="AG10452">
        <v>-1.120913389349</v>
      </c>
      <c r="AH10452">
        <v>21.686050633110501</v>
      </c>
      <c r="AI10452">
        <v>92.957893366718395</v>
      </c>
      <c r="AJ10452">
        <v>88.516196435410805</v>
      </c>
      <c r="AK10452">
        <v>21.722264727751199</v>
      </c>
      <c r="AL10452">
        <v>82.654087220259001</v>
      </c>
      <c r="AM10452">
        <v>86.820814881818393</v>
      </c>
      <c r="AN10452">
        <v>0.99999998689202896</v>
      </c>
    </row>
    <row r="10453" spans="1:40" x14ac:dyDescent="0.25">
      <c r="A10453" t="str">
        <f>"20190303162151606"</f>
        <v>20190303162151606</v>
      </c>
      <c r="B10453" t="str">
        <f>"1551601311593238"</f>
        <v>1551601311593238</v>
      </c>
      <c r="C10453" t="s">
        <v>40</v>
      </c>
      <c r="D10453">
        <v>5.3159020000000003</v>
      </c>
      <c r="E10453">
        <v>0.49079800000000001</v>
      </c>
      <c r="F10453" t="s">
        <v>41</v>
      </c>
      <c r="G10453">
        <v>-135.31450000000001</v>
      </c>
      <c r="H10453" s="1">
        <v>-1.9983040000000001E-6</v>
      </c>
      <c r="I10453">
        <v>139.63849999999999</v>
      </c>
      <c r="J10453">
        <v>-158.30549999999999</v>
      </c>
      <c r="K10453">
        <v>1.121014</v>
      </c>
      <c r="L10453">
        <v>138.584</v>
      </c>
      <c r="M10453">
        <v>0.99726990000000004</v>
      </c>
      <c r="N10453">
        <v>-1.6632069999999999E-2</v>
      </c>
      <c r="O10453">
        <v>7.1945469999999997E-2</v>
      </c>
      <c r="P10453">
        <v>0.99303370000000002</v>
      </c>
      <c r="Q10453">
        <v>0.116589</v>
      </c>
      <c r="R10453">
        <v>1.7059189999999998E-2</v>
      </c>
      <c r="S10453">
        <v>3.0334629999999998</v>
      </c>
      <c r="T10453">
        <v>-0.14691670000000001</v>
      </c>
      <c r="U10453">
        <v>0.13928219999999999</v>
      </c>
      <c r="V10453">
        <v>5.4866720000000001E-2</v>
      </c>
      <c r="W10453">
        <v>0.13289110000000001</v>
      </c>
      <c r="X10453">
        <v>0.98961089999999996</v>
      </c>
      <c r="Y10453">
        <v>2.6054609999999999E-2</v>
      </c>
      <c r="Z10453">
        <v>-3.127243E-3</v>
      </c>
      <c r="AA10453">
        <v>0.99965559999999998</v>
      </c>
      <c r="AB10453">
        <v>16</v>
      </c>
      <c r="AC10453">
        <v>22.9909999999999</v>
      </c>
      <c r="AD10453">
        <v>-1.121015998304</v>
      </c>
      <c r="AE10453">
        <v>1.05449999999999</v>
      </c>
      <c r="AF10453">
        <v>0.60113437460672203</v>
      </c>
      <c r="AG10453">
        <v>-1.121015998304</v>
      </c>
      <c r="AH10453">
        <v>22.9528266437779</v>
      </c>
      <c r="AI10453">
        <v>92.795146989498306</v>
      </c>
      <c r="AJ10453">
        <v>88.499766870410895</v>
      </c>
      <c r="AK10453">
        <v>22.988046683963901</v>
      </c>
      <c r="AL10453">
        <v>82.363310469971907</v>
      </c>
      <c r="AM10453">
        <v>86.826615031360802</v>
      </c>
      <c r="AN10453">
        <v>1.0000000674107801</v>
      </c>
    </row>
    <row r="10454" spans="1:40" x14ac:dyDescent="0.25">
      <c r="A10454" t="str">
        <f>"20190303162151628"</f>
        <v>20190303162151628</v>
      </c>
      <c r="B10454" t="str">
        <f>"1551601311623494"</f>
        <v>1551601311623494</v>
      </c>
      <c r="C10454" t="s">
        <v>40</v>
      </c>
      <c r="D10454">
        <v>5.199065</v>
      </c>
      <c r="E10454">
        <v>0.49087130000000001</v>
      </c>
      <c r="F10454" t="s">
        <v>41</v>
      </c>
      <c r="G10454">
        <v>-132.94589999999999</v>
      </c>
      <c r="H10454" s="1">
        <v>-3.024484E-6</v>
      </c>
      <c r="I10454">
        <v>139.6763</v>
      </c>
      <c r="J10454">
        <v>-158.15600000000001</v>
      </c>
      <c r="K10454">
        <v>1.121105</v>
      </c>
      <c r="L10454">
        <v>138.5915</v>
      </c>
      <c r="M10454">
        <v>0.99745200000000001</v>
      </c>
      <c r="N10454">
        <v>-1.7208250000000001E-2</v>
      </c>
      <c r="O10454">
        <v>6.9235320000000003E-2</v>
      </c>
      <c r="P10454">
        <v>0.99270119999999895</v>
      </c>
      <c r="Q10454">
        <v>0.1196347</v>
      </c>
      <c r="R10454">
        <v>1.523152E-2</v>
      </c>
      <c r="S10454">
        <v>3.0345460000000002</v>
      </c>
      <c r="T10454">
        <v>-0.13414119999999999</v>
      </c>
      <c r="U10454">
        <v>0.13070680000000001</v>
      </c>
      <c r="V10454">
        <v>5.3982410000000002E-2</v>
      </c>
      <c r="W10454">
        <v>0.13650470000000001</v>
      </c>
      <c r="X10454">
        <v>0.98916749999999998</v>
      </c>
      <c r="Y10454">
        <v>2.6191180000000001E-2</v>
      </c>
      <c r="Z10454">
        <v>-2.6668450000000002E-3</v>
      </c>
      <c r="AA10454">
        <v>0.99965340000000003</v>
      </c>
      <c r="AB10454">
        <v>15</v>
      </c>
      <c r="AC10454">
        <v>25.210100000000001</v>
      </c>
      <c r="AD10454">
        <v>-1.1211080244839999</v>
      </c>
      <c r="AE10454">
        <v>1.0848</v>
      </c>
      <c r="AF10454">
        <v>0.66218447010799897</v>
      </c>
      <c r="AG10454">
        <v>-1.1211080244839999</v>
      </c>
      <c r="AH10454">
        <v>25.175009473902399</v>
      </c>
      <c r="AI10454">
        <v>92.548963527468104</v>
      </c>
      <c r="AJ10454">
        <v>88.4932824256896</v>
      </c>
      <c r="AK10454">
        <v>25.208658700654599</v>
      </c>
      <c r="AL10454">
        <v>82.154361503875904</v>
      </c>
      <c r="AM10454">
        <v>86.876262948601493</v>
      </c>
      <c r="AN10454">
        <v>0.99999998838387305</v>
      </c>
    </row>
    <row r="10455" spans="1:40" x14ac:dyDescent="0.25">
      <c r="A10455" t="str">
        <f>"20190303162151650"</f>
        <v>20190303162151650</v>
      </c>
      <c r="B10455" t="str">
        <f>"1551601311643015"</f>
        <v>1551601311643015</v>
      </c>
      <c r="C10455" t="s">
        <v>40</v>
      </c>
      <c r="D10455">
        <v>5.2002420000000003</v>
      </c>
      <c r="E10455">
        <v>0.49086940000000001</v>
      </c>
      <c r="F10455" t="s">
        <v>41</v>
      </c>
      <c r="G10455">
        <v>-131.3408</v>
      </c>
      <c r="H10455" s="1">
        <v>-3.7137659999999998E-6</v>
      </c>
      <c r="I10455">
        <v>139.679</v>
      </c>
      <c r="J10455">
        <v>-158.0068</v>
      </c>
      <c r="K10455">
        <v>1.121205</v>
      </c>
      <c r="L10455">
        <v>138.5984</v>
      </c>
      <c r="M10455">
        <v>0.99763040000000003</v>
      </c>
      <c r="N10455">
        <v>-1.775825E-2</v>
      </c>
      <c r="O10455">
        <v>6.6471660000000002E-2</v>
      </c>
      <c r="P10455">
        <v>0.99257669999999998</v>
      </c>
      <c r="Q10455">
        <v>0.1206911</v>
      </c>
      <c r="R10455">
        <v>1.500633E-2</v>
      </c>
      <c r="S10455">
        <v>3.0354610000000002</v>
      </c>
      <c r="T10455">
        <v>-0.12690870000000001</v>
      </c>
      <c r="U10455">
        <v>0.12310790000000001</v>
      </c>
      <c r="V10455">
        <v>5.1450679999999999E-2</v>
      </c>
      <c r="W10455">
        <v>0.13811619999999999</v>
      </c>
      <c r="X10455">
        <v>0.98907869999999998</v>
      </c>
      <c r="Y10455">
        <v>2.5942590000000001E-2</v>
      </c>
      <c r="Z10455">
        <v>-2.3659409999999999E-3</v>
      </c>
      <c r="AA10455">
        <v>0.99966060000000001</v>
      </c>
      <c r="AB10455">
        <v>15</v>
      </c>
      <c r="AC10455">
        <v>26.666</v>
      </c>
      <c r="AD10455">
        <v>-1.1212087137660001</v>
      </c>
      <c r="AE10455">
        <v>1.0806</v>
      </c>
      <c r="AF10455">
        <v>0.69337950540454296</v>
      </c>
      <c r="AG10455">
        <v>-1.1212087137660001</v>
      </c>
      <c r="AH10455">
        <v>26.631839966884701</v>
      </c>
      <c r="AI10455">
        <v>92.409930748173593</v>
      </c>
      <c r="AJ10455">
        <v>88.508599242269796</v>
      </c>
      <c r="AK10455">
        <v>26.664447943658999</v>
      </c>
      <c r="AL10455">
        <v>82.061146236757594</v>
      </c>
      <c r="AM10455">
        <v>87.0222266860698</v>
      </c>
      <c r="AN10455">
        <v>0.99999996598429497</v>
      </c>
    </row>
    <row r="10456" spans="1:40" x14ac:dyDescent="0.25">
      <c r="A10456" t="str">
        <f>"20190303162151672"</f>
        <v>20190303162151672</v>
      </c>
      <c r="B10456" t="str">
        <f>"1551601311663511"</f>
        <v>1551601311663511</v>
      </c>
      <c r="C10456" t="s">
        <v>40</v>
      </c>
      <c r="D10456">
        <v>5.1395999999999997</v>
      </c>
      <c r="E10456">
        <v>0.49084169999999999</v>
      </c>
      <c r="F10456" t="s">
        <v>41</v>
      </c>
      <c r="G10456">
        <v>-130.72409999999999</v>
      </c>
      <c r="H10456" s="1">
        <v>-3.9782240000000001E-6</v>
      </c>
      <c r="I10456">
        <v>139.67859999999999</v>
      </c>
      <c r="J10456">
        <v>-157.8622</v>
      </c>
      <c r="K10456">
        <v>1.121283</v>
      </c>
      <c r="L10456">
        <v>138.6046</v>
      </c>
      <c r="M10456">
        <v>0.99779969999999996</v>
      </c>
      <c r="N10456">
        <v>-1.8245560000000001E-2</v>
      </c>
      <c r="O10456">
        <v>6.3740409999999997E-2</v>
      </c>
      <c r="P10456">
        <v>0.99230090000000004</v>
      </c>
      <c r="Q10456">
        <v>0.1228789</v>
      </c>
      <c r="R10456">
        <v>1.54824E-2</v>
      </c>
      <c r="S10456">
        <v>3.0357820000000002</v>
      </c>
      <c r="T10456">
        <v>-0.12475849999999999</v>
      </c>
      <c r="U10456">
        <v>0.1202087</v>
      </c>
      <c r="V10456">
        <v>4.8242569999999999E-2</v>
      </c>
      <c r="W10456">
        <v>0.140796799999999</v>
      </c>
      <c r="X10456">
        <v>0.98886249999999998</v>
      </c>
      <c r="Y10456">
        <v>2.4169369999999999E-2</v>
      </c>
      <c r="Z10456">
        <v>-2.1688409999999999E-3</v>
      </c>
      <c r="AA10456">
        <v>0.99970559999999997</v>
      </c>
      <c r="AB10456">
        <v>15</v>
      </c>
      <c r="AC10456">
        <v>27.138100000000001</v>
      </c>
      <c r="AD10456">
        <v>-1.121286978224</v>
      </c>
      <c r="AE10456">
        <v>1.0739999999999801</v>
      </c>
      <c r="AF10456">
        <v>0.65714622595216798</v>
      </c>
      <c r="AG10456">
        <v>-1.121286978224</v>
      </c>
      <c r="AH10456">
        <v>27.105164673681099</v>
      </c>
      <c r="AI10456">
        <v>92.368167152615698</v>
      </c>
      <c r="AJ10456">
        <v>88.6111749822024</v>
      </c>
      <c r="AK10456">
        <v>27.136305526677599</v>
      </c>
      <c r="AL10456">
        <v>81.906044281915598</v>
      </c>
      <c r="AM10456">
        <v>87.206986947321397</v>
      </c>
      <c r="AN10456">
        <v>1.00000006417834</v>
      </c>
    </row>
    <row r="10457" spans="1:40" x14ac:dyDescent="0.25">
      <c r="A10457" t="str">
        <f>"20190303162151695"</f>
        <v>20190303162151695</v>
      </c>
      <c r="B10457" t="str">
        <f>"1551601311683030"</f>
        <v>1551601311683030</v>
      </c>
      <c r="C10457" t="s">
        <v>40</v>
      </c>
      <c r="D10457">
        <v>5.1988099999999999</v>
      </c>
      <c r="E10457">
        <v>0.49081429999999998</v>
      </c>
      <c r="F10457" t="s">
        <v>41</v>
      </c>
      <c r="G10457">
        <v>-129.48849999999999</v>
      </c>
      <c r="H10457" s="1">
        <v>-2.3431540000000001E-7</v>
      </c>
      <c r="I10457">
        <v>139.73859999999999</v>
      </c>
      <c r="J10457">
        <v>-157.715</v>
      </c>
      <c r="K10457">
        <v>1.1213500000000001</v>
      </c>
      <c r="L10457">
        <v>138.6105</v>
      </c>
      <c r="M10457">
        <v>0.99796839999999998</v>
      </c>
      <c r="N10457">
        <v>-1.867777E-2</v>
      </c>
      <c r="O10457">
        <v>6.0912399999999998E-2</v>
      </c>
      <c r="P10457">
        <v>0.99200759999999999</v>
      </c>
      <c r="Q10457">
        <v>0.12535940000000001</v>
      </c>
      <c r="R10457">
        <v>1.435903E-2</v>
      </c>
      <c r="S10457">
        <v>3.0362550000000001</v>
      </c>
      <c r="T10457">
        <v>-0.1199876</v>
      </c>
      <c r="U10457">
        <v>0.12135310000000001</v>
      </c>
      <c r="V10457">
        <v>4.6534550000000001E-2</v>
      </c>
      <c r="W10457">
        <v>0.14370939999999999</v>
      </c>
      <c r="X10457">
        <v>0.98852519999999999</v>
      </c>
      <c r="Y10457">
        <v>2.0975250000000001E-2</v>
      </c>
      <c r="Z10457">
        <v>-1.875631E-3</v>
      </c>
      <c r="AA10457">
        <v>0.99977819999999995</v>
      </c>
      <c r="AB10457">
        <v>15</v>
      </c>
      <c r="AC10457">
        <v>28.226500000000001</v>
      </c>
      <c r="AD10457">
        <v>-1.1213502343154</v>
      </c>
      <c r="AE10457">
        <v>1.1280999999999799</v>
      </c>
      <c r="AF10457">
        <v>0.59270530239205999</v>
      </c>
      <c r="AG10457">
        <v>-1.1213502343154</v>
      </c>
      <c r="AH10457">
        <v>28.1983632704118</v>
      </c>
      <c r="AI10457">
        <v>92.2767504145625</v>
      </c>
      <c r="AJ10457">
        <v>88.795869385387505</v>
      </c>
      <c r="AK10457">
        <v>28.2268740219953</v>
      </c>
      <c r="AL10457">
        <v>81.737449153366995</v>
      </c>
      <c r="AM10457">
        <v>87.304806749361703</v>
      </c>
      <c r="AN10457">
        <v>0.99999996351355003</v>
      </c>
    </row>
    <row r="10458" spans="1:40" x14ac:dyDescent="0.25">
      <c r="A10458" t="str">
        <f>"20190303162151718"</f>
        <v>20190303162151718</v>
      </c>
      <c r="B10458" t="str">
        <f>"1551601311713287"</f>
        <v>1551601311713287</v>
      </c>
      <c r="C10458" t="s">
        <v>40</v>
      </c>
      <c r="D10458">
        <v>5.1985409999999996</v>
      </c>
      <c r="E10458">
        <v>0.49070469999999999</v>
      </c>
      <c r="F10458" t="s">
        <v>41</v>
      </c>
      <c r="G10458">
        <v>-127.8811</v>
      </c>
      <c r="H10458" s="1">
        <v>-9.3634860000000005E-7</v>
      </c>
      <c r="I10458">
        <v>139.78559999999999</v>
      </c>
      <c r="J10458">
        <v>-157.5693</v>
      </c>
      <c r="K10458">
        <v>1.1213869999999999</v>
      </c>
      <c r="L10458">
        <v>138.61590000000001</v>
      </c>
      <c r="M10458">
        <v>0.99813059999999998</v>
      </c>
      <c r="N10458">
        <v>-1.902885E-2</v>
      </c>
      <c r="O10458">
        <v>5.8080149999999997E-2</v>
      </c>
      <c r="P10458">
        <v>0.99223360000000005</v>
      </c>
      <c r="Q10458">
        <v>0.12378550000000001</v>
      </c>
      <c r="R10458">
        <v>1.2244410000000001E-2</v>
      </c>
      <c r="S10458">
        <v>3.03688</v>
      </c>
      <c r="T10458">
        <v>-0.11414539999999999</v>
      </c>
      <c r="U10458">
        <v>0.1196136</v>
      </c>
      <c r="V10458">
        <v>4.5832390000000001E-2</v>
      </c>
      <c r="W10458">
        <v>0.142492799999999</v>
      </c>
      <c r="X10458">
        <v>0.98873409999999995</v>
      </c>
      <c r="Y10458">
        <v>1.8725809999999999E-2</v>
      </c>
      <c r="Z10458">
        <v>-1.6044049999999999E-3</v>
      </c>
      <c r="AA10458">
        <v>0.99982340000000003</v>
      </c>
      <c r="AB10458">
        <v>15</v>
      </c>
      <c r="AC10458">
        <v>29.688199999999899</v>
      </c>
      <c r="AD10458">
        <v>-1.1213879363485999</v>
      </c>
      <c r="AE10458">
        <v>1.16969999999997</v>
      </c>
      <c r="AF10458">
        <v>0.55609038647786002</v>
      </c>
      <c r="AG10458">
        <v>-1.1213879363485999</v>
      </c>
      <c r="AH10458">
        <v>29.663757733744301</v>
      </c>
      <c r="AI10458">
        <v>92.164558694513005</v>
      </c>
      <c r="AJ10458">
        <v>88.926032875831794</v>
      </c>
      <c r="AK10458">
        <v>29.690154433885901</v>
      </c>
      <c r="AL10458">
        <v>81.807880073642195</v>
      </c>
      <c r="AM10458">
        <v>87.345975972214305</v>
      </c>
      <c r="AN10458">
        <v>0.99999996326387997</v>
      </c>
    </row>
    <row r="10459" spans="1:40" x14ac:dyDescent="0.25">
      <c r="A10459" t="str">
        <f>"20190303162151739"</f>
        <v>20190303162151739</v>
      </c>
      <c r="B10459" t="str">
        <f>"1551601311732807"</f>
        <v>1551601311732807</v>
      </c>
      <c r="C10459" t="s">
        <v>40</v>
      </c>
      <c r="D10459">
        <v>5.191497</v>
      </c>
      <c r="E10459">
        <v>0.48913250000000003</v>
      </c>
      <c r="F10459" t="s">
        <v>41</v>
      </c>
      <c r="G10459">
        <v>-129.54239999999999</v>
      </c>
      <c r="H10459" s="1">
        <v>-1.9561669999999999E-7</v>
      </c>
      <c r="I10459">
        <v>139.68010000000001</v>
      </c>
      <c r="J10459">
        <v>-157.4281</v>
      </c>
      <c r="K10459">
        <v>1.1213930000000001</v>
      </c>
      <c r="L10459">
        <v>138.6207</v>
      </c>
      <c r="M10459">
        <v>0.99828280000000003</v>
      </c>
      <c r="N10459">
        <v>-1.928645E-2</v>
      </c>
      <c r="O10459">
        <v>5.5313950000000001E-2</v>
      </c>
      <c r="P10459">
        <v>0.99257059999999997</v>
      </c>
      <c r="Q10459">
        <v>0.1211353</v>
      </c>
      <c r="R10459">
        <v>1.141387E-2</v>
      </c>
      <c r="S10459">
        <v>3.0372309999999998</v>
      </c>
      <c r="T10459">
        <v>-0.1215228</v>
      </c>
      <c r="U10459">
        <v>0.1153259</v>
      </c>
      <c r="V10459">
        <v>4.3916900000000002E-2</v>
      </c>
      <c r="W10459">
        <v>0.14011409999999999</v>
      </c>
      <c r="X10459">
        <v>0.98916099999999996</v>
      </c>
      <c r="Y10459">
        <v>1.736673E-2</v>
      </c>
      <c r="Z10459">
        <v>-1.65788E-3</v>
      </c>
      <c r="AA10459">
        <v>0.99984779999999995</v>
      </c>
      <c r="AB10459">
        <v>14</v>
      </c>
      <c r="AC10459">
        <v>27.8857</v>
      </c>
      <c r="AD10459">
        <v>-1.12139319561669</v>
      </c>
      <c r="AE10459">
        <v>1.0594000000000099</v>
      </c>
      <c r="AF10459">
        <v>0.484195694379288</v>
      </c>
      <c r="AG10459">
        <v>-1.12139319561669</v>
      </c>
      <c r="AH10459">
        <v>27.856618261029499</v>
      </c>
      <c r="AI10459">
        <v>92.304900590902307</v>
      </c>
      <c r="AJ10459">
        <v>89.0042015827174</v>
      </c>
      <c r="AK10459">
        <v>27.883384821616499</v>
      </c>
      <c r="AL10459">
        <v>81.945551789696793</v>
      </c>
      <c r="AM10459">
        <v>87.457843939485002</v>
      </c>
      <c r="AN10459">
        <v>1.0000000695227</v>
      </c>
    </row>
    <row r="10460" spans="1:40" x14ac:dyDescent="0.25">
      <c r="A10460" t="str">
        <f>"20190303162151762"</f>
        <v>20190303162151762</v>
      </c>
      <c r="B10460" t="str">
        <f>"1551601311753303"</f>
        <v>1551601311753303</v>
      </c>
      <c r="C10460" t="s">
        <v>40</v>
      </c>
      <c r="D10460">
        <v>5.1905000000000001</v>
      </c>
      <c r="E10460">
        <v>0.48864479999999999</v>
      </c>
      <c r="F10460" t="s">
        <v>41</v>
      </c>
      <c r="G10460">
        <v>-138.48910000000001</v>
      </c>
      <c r="H10460" s="1">
        <v>-6.6793930000000004E-7</v>
      </c>
      <c r="I10460">
        <v>139.405</v>
      </c>
      <c r="J10460">
        <v>-157.28919999999999</v>
      </c>
      <c r="K10460">
        <v>1.1213879999999901</v>
      </c>
      <c r="L10460">
        <v>138.6251</v>
      </c>
      <c r="M10460">
        <v>0.99842739999999996</v>
      </c>
      <c r="N10460">
        <v>-1.944427E-2</v>
      </c>
      <c r="O10460">
        <v>5.2581379999999997E-2</v>
      </c>
      <c r="P10460">
        <v>0.99304409999999999</v>
      </c>
      <c r="Q10460">
        <v>0.1172229</v>
      </c>
      <c r="R10460">
        <v>1.1051979999999999E-2</v>
      </c>
      <c r="S10460">
        <v>3.042999</v>
      </c>
      <c r="T10460">
        <v>-0.1801789</v>
      </c>
      <c r="U10460">
        <v>0.1260223</v>
      </c>
      <c r="V10460">
        <v>4.1568189999999998E-2</v>
      </c>
      <c r="W10460">
        <v>0.136379</v>
      </c>
      <c r="X10460">
        <v>0.9897842</v>
      </c>
      <c r="Y10460">
        <v>1.115788E-2</v>
      </c>
      <c r="Z10460">
        <v>-2.5238859999999999E-3</v>
      </c>
      <c r="AA10460">
        <v>0.99993460000000001</v>
      </c>
      <c r="AB10460">
        <v>14</v>
      </c>
      <c r="AC10460">
        <v>18.800099999999901</v>
      </c>
      <c r="AD10460">
        <v>-1.1213886679392999</v>
      </c>
      <c r="AE10460">
        <v>0.77989999999999704</v>
      </c>
      <c r="AF10460">
        <v>0.20915845667583199</v>
      </c>
      <c r="AG10460">
        <v>-1.1213886679392999</v>
      </c>
      <c r="AH10460">
        <v>18.748508412569599</v>
      </c>
      <c r="AI10460">
        <v>93.422693577312302</v>
      </c>
      <c r="AJ10460">
        <v>89.360834503062307</v>
      </c>
      <c r="AK10460">
        <v>18.783179376792798</v>
      </c>
      <c r="AL10460">
        <v>82.161631303819107</v>
      </c>
      <c r="AM10460">
        <v>87.595149442613405</v>
      </c>
      <c r="AN10460">
        <v>0.99999995431525701</v>
      </c>
    </row>
    <row r="10461" spans="1:40" x14ac:dyDescent="0.25">
      <c r="A10461" t="str">
        <f>"20190303162151785"</f>
        <v>20190303162151785</v>
      </c>
      <c r="B10461" t="str">
        <f>"1551601311772822"</f>
        <v>1551601311772822</v>
      </c>
      <c r="C10461" t="s">
        <v>40</v>
      </c>
      <c r="D10461">
        <v>5.1858069999999996</v>
      </c>
      <c r="E10461">
        <v>0.4882919</v>
      </c>
      <c r="F10461" t="s">
        <v>41</v>
      </c>
      <c r="G10461">
        <v>-139.71190000000001</v>
      </c>
      <c r="H10461" s="1">
        <v>-1.502813E-7</v>
      </c>
      <c r="I10461">
        <v>139.36750000000001</v>
      </c>
      <c r="J10461">
        <v>-157.1465</v>
      </c>
      <c r="K10461">
        <v>1.1213759999999999</v>
      </c>
      <c r="L10461">
        <v>138.62909999999999</v>
      </c>
      <c r="M10461">
        <v>0.99857079999999998</v>
      </c>
      <c r="N10461">
        <v>-1.9499599999999999E-2</v>
      </c>
      <c r="O10461">
        <v>4.9761340000000001E-2</v>
      </c>
      <c r="P10461">
        <v>0.9932088</v>
      </c>
      <c r="Q10461">
        <v>0.11595370000000001</v>
      </c>
      <c r="R10461">
        <v>9.5399430000000004E-3</v>
      </c>
      <c r="S10461">
        <v>3.0424959999999999</v>
      </c>
      <c r="T10461">
        <v>-0.1941032</v>
      </c>
      <c r="U10461">
        <v>0.1285095</v>
      </c>
      <c r="V10461">
        <v>4.0268940000000003E-2</v>
      </c>
      <c r="W10461">
        <v>0.1351762</v>
      </c>
      <c r="X10461">
        <v>0.99000290000000002</v>
      </c>
      <c r="Y10461">
        <v>7.50973099999999E-3</v>
      </c>
      <c r="Z10461">
        <v>-2.5108930000000002E-3</v>
      </c>
      <c r="AA10461">
        <v>0.99996859999999999</v>
      </c>
      <c r="AB10461">
        <v>14</v>
      </c>
      <c r="AC10461">
        <v>17.4345999999999</v>
      </c>
      <c r="AD10461">
        <v>-1.1213761502813</v>
      </c>
      <c r="AE10461">
        <v>0.73840000000001205</v>
      </c>
      <c r="AF10461">
        <v>0.12971348479644801</v>
      </c>
      <c r="AG10461">
        <v>-1.1213761502813</v>
      </c>
      <c r="AH10461">
        <v>17.377980616441999</v>
      </c>
      <c r="AI10461">
        <v>93.6919929922812</v>
      </c>
      <c r="AJ10461">
        <v>89.572338272881296</v>
      </c>
      <c r="AK10461">
        <v>17.414606523375401</v>
      </c>
      <c r="AL10461">
        <v>82.231190943641593</v>
      </c>
      <c r="AM10461">
        <v>87.670745081575006</v>
      </c>
      <c r="AN10461">
        <v>0.99999996729178597</v>
      </c>
    </row>
    <row r="10462" spans="1:40" x14ac:dyDescent="0.25">
      <c r="A10462" t="str">
        <f>"20190303162151807"</f>
        <v>20190303162151807</v>
      </c>
      <c r="B10462" t="str">
        <f>"1551601311793318"</f>
        <v>1551601311793318</v>
      </c>
      <c r="C10462" t="s">
        <v>40</v>
      </c>
      <c r="D10462">
        <v>5.2430399999999997</v>
      </c>
      <c r="E10462">
        <v>0.48842020000000003</v>
      </c>
      <c r="F10462" t="s">
        <v>41</v>
      </c>
      <c r="G10462">
        <v>-139.90430000000001</v>
      </c>
      <c r="H10462" s="1">
        <v>-8.8828069999999996E-8</v>
      </c>
      <c r="I10462">
        <v>139.35239999999999</v>
      </c>
      <c r="J10462">
        <v>-157.00960000000001</v>
      </c>
      <c r="K10462">
        <v>1.1213820000000001</v>
      </c>
      <c r="L10462">
        <v>138.6326</v>
      </c>
      <c r="M10462">
        <v>0.99870289999999995</v>
      </c>
      <c r="N10462">
        <v>-1.946519E-2</v>
      </c>
      <c r="O10462">
        <v>4.7052289999999997E-2</v>
      </c>
      <c r="P10462">
        <v>0.9931934</v>
      </c>
      <c r="Q10462">
        <v>0.1162195</v>
      </c>
      <c r="R10462">
        <v>7.7689289999999999E-3</v>
      </c>
      <c r="S10462">
        <v>3.042389</v>
      </c>
      <c r="T10462">
        <v>-0.19786570000000001</v>
      </c>
      <c r="U10462">
        <v>0.1276398</v>
      </c>
      <c r="V10462">
        <v>3.933275E-2</v>
      </c>
      <c r="W10462">
        <v>0.135413899999999</v>
      </c>
      <c r="X10462">
        <v>0.99000809999999995</v>
      </c>
      <c r="Y10462">
        <v>5.0868049999999998E-3</v>
      </c>
      <c r="Z10462">
        <v>-2.3533370000000001E-3</v>
      </c>
      <c r="AA10462">
        <v>0.99998430000000005</v>
      </c>
      <c r="AB10462">
        <v>14</v>
      </c>
      <c r="AC10462">
        <v>17.1053</v>
      </c>
      <c r="AD10462">
        <v>-1.1213820888280699</v>
      </c>
      <c r="AE10462">
        <v>0.719799999999992</v>
      </c>
      <c r="AF10462">
        <v>8.5626115686827903E-2</v>
      </c>
      <c r="AG10462">
        <v>-1.1213820888280699</v>
      </c>
      <c r="AH10462">
        <v>17.047086712453101</v>
      </c>
      <c r="AI10462">
        <v>93.763529805134496</v>
      </c>
      <c r="AJ10462">
        <v>89.712210428137595</v>
      </c>
      <c r="AK10462">
        <v>17.084144549924801</v>
      </c>
      <c r="AL10462">
        <v>82.217445714700304</v>
      </c>
      <c r="AM10462">
        <v>87.724850977889503</v>
      </c>
      <c r="AN10462">
        <v>1.0000000138006899</v>
      </c>
    </row>
    <row r="10463" spans="1:40" x14ac:dyDescent="0.25">
      <c r="A10463" t="str">
        <f>"20190303162151830"</f>
        <v>20190303162151830</v>
      </c>
      <c r="B10463" t="str">
        <f>"1551601311823575"</f>
        <v>1551601311823575</v>
      </c>
      <c r="C10463" t="s">
        <v>40</v>
      </c>
      <c r="D10463">
        <v>5.1930239999999896</v>
      </c>
      <c r="E10463">
        <v>0.48816159999999997</v>
      </c>
      <c r="F10463" t="s">
        <v>41</v>
      </c>
      <c r="G10463">
        <v>-139.62620000000001</v>
      </c>
      <c r="H10463" s="1">
        <v>-1.9379140000000001E-7</v>
      </c>
      <c r="I10463">
        <v>139.32810000000001</v>
      </c>
      <c r="J10463">
        <v>-156.86949999999999</v>
      </c>
      <c r="K10463">
        <v>1.121389</v>
      </c>
      <c r="L10463">
        <v>138.63579999999999</v>
      </c>
      <c r="M10463">
        <v>0.99883100000000002</v>
      </c>
      <c r="N10463">
        <v>-1.9380979999999999E-2</v>
      </c>
      <c r="O10463">
        <v>4.4284799999999999E-2</v>
      </c>
      <c r="P10463">
        <v>0.99305049999999995</v>
      </c>
      <c r="Q10463">
        <v>0.1175041</v>
      </c>
      <c r="R10463">
        <v>6.6062269999999897E-3</v>
      </c>
      <c r="S10463">
        <v>3.0425719999999998</v>
      </c>
      <c r="T10463">
        <v>-0.19627240000000001</v>
      </c>
      <c r="U10463">
        <v>0.1217346</v>
      </c>
      <c r="V10463">
        <v>3.7727950000000003E-2</v>
      </c>
      <c r="W10463">
        <v>0.13662089999999999</v>
      </c>
      <c r="X10463">
        <v>0.98990469999999997</v>
      </c>
      <c r="Y10463">
        <v>4.2621029999999997E-3</v>
      </c>
      <c r="Z10463">
        <v>-2.1721729999999999E-3</v>
      </c>
      <c r="AA10463">
        <v>0.99998860000000001</v>
      </c>
      <c r="AB10463">
        <v>14</v>
      </c>
      <c r="AC10463">
        <v>17.243299999999898</v>
      </c>
      <c r="AD10463">
        <v>-1.12138919379139</v>
      </c>
      <c r="AE10463">
        <v>0.69230000000001701</v>
      </c>
      <c r="AF10463">
        <v>7.1835607713468599E-2</v>
      </c>
      <c r="AG10463">
        <v>-1.12138919379139</v>
      </c>
      <c r="AH10463">
        <v>17.184479242105301</v>
      </c>
      <c r="AI10463">
        <v>93.733563281490902</v>
      </c>
      <c r="AJ10463">
        <v>89.760490084768094</v>
      </c>
      <c r="AK10463">
        <v>17.221178847594501</v>
      </c>
      <c r="AL10463">
        <v>82.147640797489402</v>
      </c>
      <c r="AM10463">
        <v>87.817359025251605</v>
      </c>
      <c r="AN10463">
        <v>0.99999999180505095</v>
      </c>
    </row>
    <row r="10464" spans="1:40" x14ac:dyDescent="0.25">
      <c r="A10464" t="str">
        <f>"20190303162151851"</f>
        <v>20190303162151851</v>
      </c>
      <c r="B10464" t="str">
        <f>"1551601311843094"</f>
        <v>1551601311843094</v>
      </c>
      <c r="C10464" t="s">
        <v>40</v>
      </c>
      <c r="D10464">
        <v>5.2027580000000002</v>
      </c>
      <c r="E10464">
        <v>0.48800779999999999</v>
      </c>
      <c r="F10464" t="s">
        <v>41</v>
      </c>
      <c r="G10464">
        <v>-138.9811</v>
      </c>
      <c r="H10464" s="1">
        <v>-4.6904150000000001E-7</v>
      </c>
      <c r="I10464">
        <v>139.3366</v>
      </c>
      <c r="J10464">
        <v>-156.7371</v>
      </c>
      <c r="K10464">
        <v>1.121407</v>
      </c>
      <c r="L10464">
        <v>138.6386</v>
      </c>
      <c r="M10464">
        <v>0.99894510000000003</v>
      </c>
      <c r="N10464">
        <v>-1.9281940000000001E-2</v>
      </c>
      <c r="O10464">
        <v>4.1679260000000003E-2</v>
      </c>
      <c r="P10464">
        <v>0.99292309999999995</v>
      </c>
      <c r="Q10464">
        <v>0.11858489999999999</v>
      </c>
      <c r="R10464">
        <v>6.4491959999999999E-3</v>
      </c>
      <c r="S10464">
        <v>3.04277</v>
      </c>
      <c r="T10464">
        <v>-0.1907449</v>
      </c>
      <c r="U10464">
        <v>0.11920169999999999</v>
      </c>
      <c r="V10464">
        <v>3.5281460000000001E-2</v>
      </c>
      <c r="W10464">
        <v>0.13761229999999999</v>
      </c>
      <c r="X10464">
        <v>0.9898576</v>
      </c>
      <c r="Y10464">
        <v>2.4982369999999999E-3</v>
      </c>
      <c r="Z10464">
        <v>-1.9072340000000001E-3</v>
      </c>
      <c r="AA10464">
        <v>0.99999510000000003</v>
      </c>
      <c r="AB10464">
        <v>14</v>
      </c>
      <c r="AC10464">
        <v>17.756</v>
      </c>
      <c r="AD10464">
        <v>-1.1214074690414999</v>
      </c>
      <c r="AE10464">
        <v>0.69800000000000695</v>
      </c>
      <c r="AF10464">
        <v>4.2631428729155998E-2</v>
      </c>
      <c r="AG10464">
        <v>-1.1214074690414999</v>
      </c>
      <c r="AH10464">
        <v>17.699173956355601</v>
      </c>
      <c r="AI10464">
        <v>93.625364575150698</v>
      </c>
      <c r="AJ10464">
        <v>89.861993773093403</v>
      </c>
      <c r="AK10464">
        <v>17.734715416032799</v>
      </c>
      <c r="AL10464">
        <v>82.0902961779978</v>
      </c>
      <c r="AM10464">
        <v>87.958672679797203</v>
      </c>
      <c r="AN10464">
        <v>0.99999999740439005</v>
      </c>
    </row>
    <row r="10465" spans="1:40" x14ac:dyDescent="0.25">
      <c r="A10465" t="str">
        <f>"20190303162151875"</f>
        <v>20190303162151875</v>
      </c>
      <c r="B10465" t="str">
        <f>"1551601311863591"</f>
        <v>1551601311863591</v>
      </c>
      <c r="C10465" t="s">
        <v>40</v>
      </c>
      <c r="D10465">
        <v>5.3212960000000002</v>
      </c>
      <c r="E10465">
        <v>0.4877861</v>
      </c>
      <c r="F10465" t="s">
        <v>41</v>
      </c>
      <c r="G10465">
        <v>-138.53909999999999</v>
      </c>
      <c r="H10465" s="1">
        <v>-6.5682339999999997E-7</v>
      </c>
      <c r="I10465">
        <v>139.34690000000001</v>
      </c>
      <c r="J10465">
        <v>-156.5985</v>
      </c>
      <c r="K10465">
        <v>1.1214329999999999</v>
      </c>
      <c r="L10465">
        <v>138.64109999999999</v>
      </c>
      <c r="M10465">
        <v>0.99905659999999996</v>
      </c>
      <c r="N10465">
        <v>-1.9172959999999999E-2</v>
      </c>
      <c r="O10465">
        <v>3.8964940000000003E-2</v>
      </c>
      <c r="P10465">
        <v>0.99260910000000002</v>
      </c>
      <c r="Q10465">
        <v>0.12124269999999999</v>
      </c>
      <c r="R10465">
        <v>5.2425700000000002E-3</v>
      </c>
      <c r="S10465">
        <v>3.0430299999999999</v>
      </c>
      <c r="T10465">
        <v>-0.18751909999999999</v>
      </c>
      <c r="U10465">
        <v>0.118454</v>
      </c>
      <c r="V10465">
        <v>3.3773930000000001E-2</v>
      </c>
      <c r="W10465">
        <v>0.1401627</v>
      </c>
      <c r="X10465">
        <v>0.98955230000000005</v>
      </c>
      <c r="Y10465" s="1">
        <v>4.0227089999999999E-5</v>
      </c>
      <c r="Z10465">
        <v>-1.6519939999999999E-3</v>
      </c>
      <c r="AA10465">
        <v>0.99999859999999896</v>
      </c>
      <c r="AB10465">
        <v>14</v>
      </c>
      <c r="AC10465">
        <v>18.0594</v>
      </c>
      <c r="AD10465">
        <v>-1.12143365682339</v>
      </c>
      <c r="AE10465">
        <v>0.70580000000000997</v>
      </c>
      <c r="AF10465">
        <v>-1.4454125340656E-3</v>
      </c>
      <c r="AG10465">
        <v>-1.12143365682339</v>
      </c>
      <c r="AH10465">
        <v>18.0038691621486</v>
      </c>
      <c r="AI10465">
        <v>93.564262197821094</v>
      </c>
      <c r="AJ10465">
        <v>90.004599902217294</v>
      </c>
      <c r="AK10465">
        <v>18.0387616078166</v>
      </c>
      <c r="AL10465">
        <v>81.942738960733806</v>
      </c>
      <c r="AM10465">
        <v>88.045224314396506</v>
      </c>
      <c r="AN10465">
        <v>1.0000000076271101</v>
      </c>
    </row>
    <row r="10466" spans="1:40" x14ac:dyDescent="0.25">
      <c r="A10466" t="str">
        <f>"20190303162151897"</f>
        <v>20190303162151897</v>
      </c>
      <c r="B10466" t="str">
        <f>"1551601311883111"</f>
        <v>1551601311883111</v>
      </c>
      <c r="C10466" t="s">
        <v>40</v>
      </c>
      <c r="D10466">
        <v>5.2045519999999996</v>
      </c>
      <c r="E10466">
        <v>0.4877032</v>
      </c>
      <c r="F10466" t="s">
        <v>41</v>
      </c>
      <c r="G10466">
        <v>-137.54409999999999</v>
      </c>
      <c r="H10466" s="1">
        <v>-1.0803719999999999E-6</v>
      </c>
      <c r="I10466">
        <v>139.36529999999999</v>
      </c>
      <c r="J10466">
        <v>-156.4639</v>
      </c>
      <c r="K10466">
        <v>1.1214580000000001</v>
      </c>
      <c r="L10466">
        <v>138.6431</v>
      </c>
      <c r="M10466">
        <v>0.99915750000000003</v>
      </c>
      <c r="N10466">
        <v>-1.9076470000000002E-2</v>
      </c>
      <c r="O10466">
        <v>3.6337139999999997E-2</v>
      </c>
      <c r="P10466">
        <v>0.99213260000000003</v>
      </c>
      <c r="Q10466">
        <v>0.12515419999999999</v>
      </c>
      <c r="R10466">
        <v>3.0623780000000001E-3</v>
      </c>
      <c r="S10466">
        <v>3.0436100000000001</v>
      </c>
      <c r="T10466">
        <v>-0.17912939999999999</v>
      </c>
      <c r="U10466">
        <v>0.11569210000000001</v>
      </c>
      <c r="V10466">
        <v>3.3326179999999997E-2</v>
      </c>
      <c r="W10466">
        <v>0.14397179999999901</v>
      </c>
      <c r="X10466">
        <v>0.98902049999999997</v>
      </c>
      <c r="Y10466">
        <v>-1.6662669999999999E-3</v>
      </c>
      <c r="Z10466">
        <v>-1.3775370000000001E-3</v>
      </c>
      <c r="AA10466">
        <v>0.99999769999999999</v>
      </c>
      <c r="AB10466">
        <v>13</v>
      </c>
      <c r="AC10466">
        <v>18.919799999999999</v>
      </c>
      <c r="AD10466">
        <v>-1.1214590803719999</v>
      </c>
      <c r="AE10466">
        <v>0.72219999999998596</v>
      </c>
      <c r="AF10466">
        <v>-3.3987093166963599E-2</v>
      </c>
      <c r="AG10466">
        <v>-1.1214590803719999</v>
      </c>
      <c r="AH10466">
        <v>18.867354986057698</v>
      </c>
      <c r="AI10466">
        <v>93.401603316512293</v>
      </c>
      <c r="AJ10466">
        <v>90.103210804668805</v>
      </c>
      <c r="AK10466">
        <v>18.900685430993398</v>
      </c>
      <c r="AL10466">
        <v>81.722257318722697</v>
      </c>
      <c r="AM10466">
        <v>88.070083207616406</v>
      </c>
      <c r="AN10466">
        <v>1.0000000314444399</v>
      </c>
    </row>
    <row r="10467" spans="1:40" x14ac:dyDescent="0.25">
      <c r="A10467" t="str">
        <f>"20190303162151919"</f>
        <v>20190303162151919</v>
      </c>
      <c r="B10467" t="str">
        <f>"1551601311913368"</f>
        <v>1551601311913368</v>
      </c>
      <c r="C10467" t="s">
        <v>40</v>
      </c>
      <c r="D10467">
        <v>5.2071379999999996</v>
      </c>
      <c r="E10467">
        <v>0.48743340000000002</v>
      </c>
      <c r="F10467" t="s">
        <v>41</v>
      </c>
      <c r="G10467">
        <v>-135.86709999999999</v>
      </c>
      <c r="H10467" s="1">
        <v>-1.7957579999999999E-6</v>
      </c>
      <c r="I10467">
        <v>139.38839999999999</v>
      </c>
      <c r="J10467">
        <v>-156.33449999999999</v>
      </c>
      <c r="K10467">
        <v>1.1214980000000001</v>
      </c>
      <c r="L10467">
        <v>138.6448</v>
      </c>
      <c r="M10467">
        <v>0.999247</v>
      </c>
      <c r="N10467">
        <v>-1.901837E-2</v>
      </c>
      <c r="O10467">
        <v>3.38199E-2</v>
      </c>
      <c r="P10467">
        <v>0.99170729999999996</v>
      </c>
      <c r="Q10467">
        <v>0.1285155</v>
      </c>
      <c r="R10467">
        <v>8.0235300000000001E-4</v>
      </c>
      <c r="S10467">
        <v>3.0443419999999999</v>
      </c>
      <c r="T10467">
        <v>-0.16575809999999999</v>
      </c>
      <c r="U10467">
        <v>0.11015320000000001</v>
      </c>
      <c r="V10467">
        <v>3.3071830000000003E-2</v>
      </c>
      <c r="W10467">
        <v>0.14726929999999999</v>
      </c>
      <c r="X10467">
        <v>0.98854339999999996</v>
      </c>
      <c r="Y10467">
        <v>-2.3511249999999999E-3</v>
      </c>
      <c r="Z10467">
        <v>-1.1096599999999999E-3</v>
      </c>
      <c r="AA10467">
        <v>0.99999660000000001</v>
      </c>
      <c r="AB10467">
        <v>13</v>
      </c>
      <c r="AC10467">
        <v>20.467400000000001</v>
      </c>
      <c r="AD10467">
        <v>-1.121499795758</v>
      </c>
      <c r="AE10467">
        <v>0.74359999999998605</v>
      </c>
      <c r="AF10467">
        <v>-5.0691844402203402E-2</v>
      </c>
      <c r="AG10467">
        <v>-1.121499795758</v>
      </c>
      <c r="AH10467">
        <v>20.4196126188527</v>
      </c>
      <c r="AI10467">
        <v>93.143669513719303</v>
      </c>
      <c r="AJ10467">
        <v>90.142236918383404</v>
      </c>
      <c r="AK10467">
        <v>20.450450140742198</v>
      </c>
      <c r="AL10467">
        <v>81.531288701868405</v>
      </c>
      <c r="AM10467">
        <v>88.0838779452165</v>
      </c>
      <c r="AN10467">
        <v>1.0000000231727899</v>
      </c>
    </row>
    <row r="10468" spans="1:40" x14ac:dyDescent="0.25">
      <c r="A10468" t="str">
        <f>"20190303162151940"</f>
        <v>20190303162151940</v>
      </c>
      <c r="B10468" t="str">
        <f>"1551601311932887"</f>
        <v>1551601311932887</v>
      </c>
      <c r="C10468" t="s">
        <v>40</v>
      </c>
      <c r="D10468">
        <v>5.2232969999999996</v>
      </c>
      <c r="E10468">
        <v>0.48729090000000003</v>
      </c>
      <c r="F10468" t="s">
        <v>41</v>
      </c>
      <c r="G10468">
        <v>-134.42349999999999</v>
      </c>
      <c r="H10468" s="1">
        <v>-2.4121120000000001E-6</v>
      </c>
      <c r="I10468">
        <v>139.40469999999999</v>
      </c>
      <c r="J10468">
        <v>-156.20660000000001</v>
      </c>
      <c r="K10468">
        <v>1.1215489999999999</v>
      </c>
      <c r="L10468">
        <v>138.64609999999999</v>
      </c>
      <c r="M10468">
        <v>0.99932770000000004</v>
      </c>
      <c r="N10468">
        <v>-1.902825E-2</v>
      </c>
      <c r="O10468">
        <v>3.1340109999999997E-2</v>
      </c>
      <c r="P10468">
        <v>0.99162969999999895</v>
      </c>
      <c r="Q10468">
        <v>0.12911500000000001</v>
      </c>
      <c r="R10468">
        <v>-3.143288E-4</v>
      </c>
      <c r="S10468">
        <v>3.0452119999999998</v>
      </c>
      <c r="T10468">
        <v>-0.15586700000000001</v>
      </c>
      <c r="U10468">
        <v>0.1056213</v>
      </c>
      <c r="V10468">
        <v>3.1718900000000001E-2</v>
      </c>
      <c r="W10468">
        <v>0.1478824</v>
      </c>
      <c r="X10468">
        <v>0.98849620000000005</v>
      </c>
      <c r="Y10468">
        <v>-3.3297470000000001E-3</v>
      </c>
      <c r="Z10468">
        <v>-8.8919019999999995E-4</v>
      </c>
      <c r="AA10468">
        <v>0.99999400000000005</v>
      </c>
      <c r="AB10468">
        <v>13</v>
      </c>
      <c r="AC10468">
        <v>21.783100000000001</v>
      </c>
      <c r="AD10468">
        <v>-1.1215514121119901</v>
      </c>
      <c r="AE10468">
        <v>0.75860000000000105</v>
      </c>
      <c r="AF10468">
        <v>-7.5219732035103307E-2</v>
      </c>
      <c r="AG10468">
        <v>-1.1215514121119901</v>
      </c>
      <c r="AH10468">
        <v>21.738616855742599</v>
      </c>
      <c r="AI10468">
        <v>92.953401050316799</v>
      </c>
      <c r="AJ10468">
        <v>90.198253458822293</v>
      </c>
      <c r="AK10468">
        <v>21.7676594602836</v>
      </c>
      <c r="AL10468">
        <v>81.495771706762696</v>
      </c>
      <c r="AM10468">
        <v>88.162121672496895</v>
      </c>
      <c r="AN10468">
        <v>1.0000000151307</v>
      </c>
    </row>
    <row r="10469" spans="1:40" x14ac:dyDescent="0.25">
      <c r="A10469" t="str">
        <f>"20190303162151963"</f>
        <v>20190303162151963</v>
      </c>
      <c r="B10469" t="str">
        <f>"1551601311953383"</f>
        <v>1551601311953383</v>
      </c>
      <c r="C10469" t="s">
        <v>40</v>
      </c>
      <c r="D10469">
        <v>5.1488550000000002</v>
      </c>
      <c r="E10469">
        <v>0.48715530000000001</v>
      </c>
      <c r="F10469" t="s">
        <v>41</v>
      </c>
      <c r="G10469">
        <v>-134.18790000000001</v>
      </c>
      <c r="H10469" s="1">
        <v>-2.5162990000000001E-6</v>
      </c>
      <c r="I10469">
        <v>139.38720000000001</v>
      </c>
      <c r="J10469">
        <v>-156.07570000000001</v>
      </c>
      <c r="K10469">
        <v>1.121621</v>
      </c>
      <c r="L10469">
        <v>138.6472</v>
      </c>
      <c r="M10469">
        <v>0.99940169999999995</v>
      </c>
      <c r="N10469">
        <v>-1.913573E-2</v>
      </c>
      <c r="O10469">
        <v>2.8812750000000002E-2</v>
      </c>
      <c r="P10469">
        <v>0.99189050000000001</v>
      </c>
      <c r="Q10469">
        <v>0.12709409999999999</v>
      </c>
      <c r="R10469">
        <v>-5.5088939999999996E-4</v>
      </c>
      <c r="S10469">
        <v>3.045563</v>
      </c>
      <c r="T10469">
        <v>-0.15512960000000001</v>
      </c>
      <c r="U10469">
        <v>0.1025085</v>
      </c>
      <c r="V10469">
        <v>2.944165E-2</v>
      </c>
      <c r="W10469">
        <v>0.14598169999999999</v>
      </c>
      <c r="X10469">
        <v>0.98884910000000004</v>
      </c>
      <c r="Y10469">
        <v>-4.829514E-3</v>
      </c>
      <c r="Z10469">
        <v>-7.4561880000000003E-4</v>
      </c>
      <c r="AA10469">
        <v>0.99998810000000005</v>
      </c>
      <c r="AB10469">
        <v>13</v>
      </c>
      <c r="AC10469">
        <v>21.887799999999999</v>
      </c>
      <c r="AD10469">
        <v>-1.121623516299</v>
      </c>
      <c r="AE10469">
        <v>0.74000000000000898</v>
      </c>
      <c r="AF10469">
        <v>-0.108644516487309</v>
      </c>
      <c r="AG10469">
        <v>-1.121623516299</v>
      </c>
      <c r="AH10469">
        <v>21.842741849106702</v>
      </c>
      <c r="AI10469">
        <v>92.939516755514802</v>
      </c>
      <c r="AJ10469">
        <v>90.2849834957116</v>
      </c>
      <c r="AK10469">
        <v>21.871790380076199</v>
      </c>
      <c r="AL10469">
        <v>81.605868654115099</v>
      </c>
      <c r="AM10469">
        <v>88.294599150897696</v>
      </c>
      <c r="AN10469">
        <v>1.00000000503021</v>
      </c>
    </row>
    <row r="10470" spans="1:40" x14ac:dyDescent="0.25">
      <c r="A10470" t="str">
        <f>"20190303162151986"</f>
        <v>20190303162151986</v>
      </c>
      <c r="B10470" t="str">
        <f>"1551601311983639"</f>
        <v>1551601311983639</v>
      </c>
      <c r="C10470" t="s">
        <v>40</v>
      </c>
      <c r="D10470">
        <v>4.9246749999999997</v>
      </c>
      <c r="E10470">
        <v>0.48734719999999998</v>
      </c>
      <c r="F10470" t="s">
        <v>41</v>
      </c>
      <c r="G10470">
        <v>-135.10759999999999</v>
      </c>
      <c r="H10470" s="1">
        <v>-2.128767E-6</v>
      </c>
      <c r="I10470">
        <v>139.3477</v>
      </c>
      <c r="J10470">
        <v>-155.9469</v>
      </c>
      <c r="K10470">
        <v>1.121732</v>
      </c>
      <c r="L10470">
        <v>138.64789999999999</v>
      </c>
      <c r="M10470">
        <v>0.9994653</v>
      </c>
      <c r="N10470">
        <v>-1.9373939999999999E-2</v>
      </c>
      <c r="O10470">
        <v>2.6342689999999998E-2</v>
      </c>
      <c r="P10470">
        <v>0.99211879999999997</v>
      </c>
      <c r="Q10470">
        <v>0.12530160000000001</v>
      </c>
      <c r="R10470">
        <v>-5.5682050000000003E-4</v>
      </c>
      <c r="S10470">
        <v>3.0454560000000002</v>
      </c>
      <c r="T10470">
        <v>-0.1629071</v>
      </c>
      <c r="U10470">
        <v>0.10174560000000001</v>
      </c>
      <c r="V10470">
        <v>2.6986860000000001E-2</v>
      </c>
      <c r="W10470">
        <v>0.1444385</v>
      </c>
      <c r="X10470">
        <v>0.98914570000000002</v>
      </c>
      <c r="Y10470">
        <v>-7.0474020000000004E-3</v>
      </c>
      <c r="Z10470">
        <v>-6.4064660000000002E-4</v>
      </c>
      <c r="AA10470">
        <v>0.99997499999999995</v>
      </c>
      <c r="AB10470">
        <v>13</v>
      </c>
      <c r="AC10470">
        <v>20.839300000000001</v>
      </c>
      <c r="AD10470">
        <v>-1.121734128767</v>
      </c>
      <c r="AE10470">
        <v>0.69980000000000997</v>
      </c>
      <c r="AF10470">
        <v>-0.15005654095320001</v>
      </c>
      <c r="AG10470">
        <v>-1.121734128767</v>
      </c>
      <c r="AH10470">
        <v>20.7903327472808</v>
      </c>
      <c r="AI10470">
        <v>93.0882961620825</v>
      </c>
      <c r="AJ10470">
        <v>90.413531485994</v>
      </c>
      <c r="AK10470">
        <v>20.8211128464302</v>
      </c>
      <c r="AL10470">
        <v>81.695234617526907</v>
      </c>
      <c r="AM10470">
        <v>88.437187060336598</v>
      </c>
      <c r="AN10470">
        <v>0.99999999336169898</v>
      </c>
    </row>
    <row r="10471" spans="1:40" x14ac:dyDescent="0.25">
      <c r="A10471" t="str">
        <f>"20190303162152009"</f>
        <v>20190303162152009</v>
      </c>
      <c r="B10471" t="str">
        <f>"1551601312003159"</f>
        <v>1551601312003159</v>
      </c>
      <c r="C10471" t="s">
        <v>40</v>
      </c>
      <c r="D10471">
        <v>4.7356379999999998</v>
      </c>
      <c r="E10471">
        <v>0.48775790000000002</v>
      </c>
      <c r="F10471" t="s">
        <v>41</v>
      </c>
      <c r="G10471">
        <v>-135.70050000000001</v>
      </c>
      <c r="H10471" s="1">
        <v>-1.8807310000000001E-6</v>
      </c>
      <c r="I10471">
        <v>139.31209999999999</v>
      </c>
      <c r="J10471">
        <v>-155.82249999999999</v>
      </c>
      <c r="K10471">
        <v>1.121893</v>
      </c>
      <c r="L10471">
        <v>138.64830000000001</v>
      </c>
      <c r="M10471">
        <v>0.99951630000000002</v>
      </c>
      <c r="N10471">
        <v>-1.9803589999999999E-2</v>
      </c>
      <c r="O10471">
        <v>2.3981570000000001E-2</v>
      </c>
      <c r="P10471">
        <v>0.9922493</v>
      </c>
      <c r="Q10471">
        <v>0.1242592</v>
      </c>
      <c r="R10471">
        <v>-1.151233E-3</v>
      </c>
      <c r="S10471">
        <v>3.0451969999999999</v>
      </c>
      <c r="T10471">
        <v>-0.16871630000000001</v>
      </c>
      <c r="U10471">
        <v>9.9899290000000002E-2</v>
      </c>
      <c r="V10471">
        <v>2.522377E-2</v>
      </c>
      <c r="W10471">
        <v>0.14383119999999999</v>
      </c>
      <c r="X10471">
        <v>0.98928070000000001</v>
      </c>
      <c r="Y10471">
        <v>-8.8019199999999995E-3</v>
      </c>
      <c r="Z10471">
        <v>-5.2153309999999995E-4</v>
      </c>
      <c r="AA10471">
        <v>0.99996110000000005</v>
      </c>
      <c r="AB10471">
        <v>13</v>
      </c>
      <c r="AC10471">
        <v>20.1219999999999</v>
      </c>
      <c r="AD10471">
        <v>-1.1218948807310001</v>
      </c>
      <c r="AE10471">
        <v>0.66379999999997996</v>
      </c>
      <c r="AF10471">
        <v>-0.18039707492797599</v>
      </c>
      <c r="AG10471">
        <v>-1.1218948807310001</v>
      </c>
      <c r="AH10471">
        <v>20.069811952194701</v>
      </c>
      <c r="AI10471">
        <v>93.199353611677907</v>
      </c>
      <c r="AJ10471">
        <v>90.514988018337505</v>
      </c>
      <c r="AK10471">
        <v>20.1019537116299</v>
      </c>
      <c r="AL10471">
        <v>81.730397386582098</v>
      </c>
      <c r="AM10471">
        <v>88.539441325649605</v>
      </c>
      <c r="AN10471">
        <v>0.99999997802947105</v>
      </c>
    </row>
    <row r="10472" spans="1:40" x14ac:dyDescent="0.25">
      <c r="A10472" t="str">
        <f>"20190303162152031"</f>
        <v>20190303162152031</v>
      </c>
      <c r="B10472" t="str">
        <f>"1551601312022679"</f>
        <v>1551601312022679</v>
      </c>
      <c r="C10472" t="s">
        <v>40</v>
      </c>
      <c r="D10472">
        <v>4.2560520000000004</v>
      </c>
      <c r="E10472">
        <v>0.4979189</v>
      </c>
      <c r="F10472" t="s">
        <v>41</v>
      </c>
      <c r="G10472">
        <v>-136.11359999999999</v>
      </c>
      <c r="H10472" s="1">
        <v>-1.7116939999999999E-6</v>
      </c>
      <c r="I10472">
        <v>139.26609999999999</v>
      </c>
      <c r="J10472">
        <v>-155.69810000000001</v>
      </c>
      <c r="K10472">
        <v>1.1221019999999999</v>
      </c>
      <c r="L10472">
        <v>138.64840000000001</v>
      </c>
      <c r="M10472">
        <v>0.99955629999999995</v>
      </c>
      <c r="N10472">
        <v>-2.0464039999999999E-2</v>
      </c>
      <c r="O10472">
        <v>2.1642729999999999E-2</v>
      </c>
      <c r="P10472">
        <v>0.99241520000000005</v>
      </c>
      <c r="Q10472">
        <v>0.1229087</v>
      </c>
      <c r="R10472">
        <v>-2.278183E-3</v>
      </c>
      <c r="S10472">
        <v>3.0452729999999999</v>
      </c>
      <c r="T10472">
        <v>-0.17334579999999999</v>
      </c>
      <c r="U10472">
        <v>9.5458979999999999E-2</v>
      </c>
      <c r="V10472">
        <v>2.4012639999999998E-2</v>
      </c>
      <c r="W10472">
        <v>0.1431441</v>
      </c>
      <c r="X10472">
        <v>0.98941049999999997</v>
      </c>
      <c r="Y10472">
        <v>-9.6802969999999992E-3</v>
      </c>
      <c r="Z10472">
        <v>-4.1340559999999998E-4</v>
      </c>
      <c r="AA10472">
        <v>0.99995299999999998</v>
      </c>
      <c r="AB10472">
        <v>12</v>
      </c>
      <c r="AC10472">
        <v>19.584499999999998</v>
      </c>
      <c r="AD10472">
        <v>-1.122103711694</v>
      </c>
      <c r="AE10472">
        <v>0.61769999999998404</v>
      </c>
      <c r="AF10472">
        <v>-0.19297157282769101</v>
      </c>
      <c r="AG10472">
        <v>-1.122103711694</v>
      </c>
      <c r="AH10472">
        <v>19.5292359284817</v>
      </c>
      <c r="AI10472">
        <v>93.288304174431104</v>
      </c>
      <c r="AJ10472">
        <v>90.5661305393307</v>
      </c>
      <c r="AK10472">
        <v>19.5623978775103</v>
      </c>
      <c r="AL10472">
        <v>81.770177042974396</v>
      </c>
      <c r="AM10472">
        <v>88.609724785272405</v>
      </c>
      <c r="AN10472">
        <v>0.99999998887741404</v>
      </c>
    </row>
    <row r="10473" spans="1:40" x14ac:dyDescent="0.25">
      <c r="A10473" t="str">
        <f>"20190303162152075"</f>
        <v>20190303162152075</v>
      </c>
      <c r="B10473" t="str">
        <f>"1551601312073431"</f>
        <v>1551601312073431</v>
      </c>
      <c r="C10473" t="s">
        <v>40</v>
      </c>
      <c r="D10473">
        <v>3.3268390000000001</v>
      </c>
      <c r="E10473">
        <v>0.50633539999999999</v>
      </c>
      <c r="F10473" t="s">
        <v>42</v>
      </c>
      <c r="G10473">
        <v>-154.9495</v>
      </c>
      <c r="H10473">
        <v>0.92870039999999998</v>
      </c>
      <c r="I10473">
        <v>138.65190000000001</v>
      </c>
      <c r="J10473">
        <v>-155.47020000000001</v>
      </c>
      <c r="K10473">
        <v>1.1225210000000001</v>
      </c>
      <c r="L10473">
        <v>138.64789999999999</v>
      </c>
      <c r="M10473">
        <v>0.99960450000000001</v>
      </c>
      <c r="N10473">
        <v>-2.2070050000000001E-2</v>
      </c>
      <c r="O10473">
        <v>1.7439320000000001E-2</v>
      </c>
      <c r="P10473">
        <v>0.99281039999999998</v>
      </c>
      <c r="Q10473">
        <v>0.1196292</v>
      </c>
      <c r="R10473">
        <v>-4.0649939999999997E-3</v>
      </c>
      <c r="S10473">
        <v>3.1229100000000001</v>
      </c>
      <c r="T10473">
        <v>-0.80684400000000001</v>
      </c>
      <c r="U10473">
        <v>1.441956E-2</v>
      </c>
      <c r="V10473">
        <v>2.1597689999999999E-2</v>
      </c>
      <c r="W10473">
        <v>0.14147419999999999</v>
      </c>
      <c r="X10473">
        <v>0.98970630000000004</v>
      </c>
      <c r="Y10473">
        <v>1.1921889999999999E-2</v>
      </c>
      <c r="Z10473">
        <v>-5.7024809999999997E-3</v>
      </c>
      <c r="AA10473">
        <v>0.99991269999999999</v>
      </c>
      <c r="AB10473">
        <v>12</v>
      </c>
      <c r="AC10473">
        <v>0.52070000000000405</v>
      </c>
      <c r="AD10473">
        <v>-0.19382059999999901</v>
      </c>
      <c r="AE10473">
        <v>4.0000000000190898E-3</v>
      </c>
      <c r="AF10473">
        <v>4.4648753053380596E-3</v>
      </c>
      <c r="AG10473">
        <v>-0.19382059999999901</v>
      </c>
      <c r="AH10473">
        <v>0.45732873905423499</v>
      </c>
      <c r="AI10473">
        <v>112.96674693074699</v>
      </c>
      <c r="AJ10473">
        <v>89.440642229803004</v>
      </c>
      <c r="AK10473">
        <v>0.49672521142054898</v>
      </c>
      <c r="AL10473">
        <v>81.866839046603104</v>
      </c>
      <c r="AM10473">
        <v>88.749871442596898</v>
      </c>
      <c r="AN10473">
        <v>0.99999998486933295</v>
      </c>
    </row>
    <row r="10474" spans="1:40" x14ac:dyDescent="0.25">
      <c r="A10474" t="str">
        <f>"20190303162152097"</f>
        <v>20190303162152097</v>
      </c>
      <c r="B10474" t="str">
        <f>"1551601312092951"</f>
        <v>1551601312092951</v>
      </c>
      <c r="C10474" t="s">
        <v>40</v>
      </c>
      <c r="D10474">
        <v>4.244923</v>
      </c>
      <c r="E10474">
        <v>0.51033989999999996</v>
      </c>
      <c r="F10474" t="s">
        <v>42</v>
      </c>
      <c r="G10474">
        <v>-154.81110000000001</v>
      </c>
      <c r="H10474">
        <v>0.77532650000000003</v>
      </c>
      <c r="I10474">
        <v>138.6361</v>
      </c>
      <c r="J10474">
        <v>-155.3597</v>
      </c>
      <c r="K10474">
        <v>1.122709</v>
      </c>
      <c r="L10474">
        <v>138.6473</v>
      </c>
      <c r="M10474">
        <v>0.99961730000000004</v>
      </c>
      <c r="N10474">
        <v>-2.2945650000000001E-2</v>
      </c>
      <c r="O10474">
        <v>1.545816E-2</v>
      </c>
      <c r="P10474">
        <v>0.99288560000000003</v>
      </c>
      <c r="Q10474">
        <v>0.1189163</v>
      </c>
      <c r="R10474">
        <v>-6.1034269999999998E-3</v>
      </c>
      <c r="S10474">
        <v>3.2262119999999999</v>
      </c>
      <c r="T10474">
        <v>-1.6991609999999999</v>
      </c>
      <c r="U10474">
        <v>-5.706787E-2</v>
      </c>
      <c r="V10474">
        <v>2.165448E-2</v>
      </c>
      <c r="W10474">
        <v>0.14163229999999999</v>
      </c>
      <c r="X10474">
        <v>0.98968239999999996</v>
      </c>
      <c r="Y10474">
        <v>2.7540749999999999E-2</v>
      </c>
      <c r="Z10474">
        <v>-1.445429E-2</v>
      </c>
      <c r="AA10474">
        <v>0.99951619999999997</v>
      </c>
      <c r="AB10474">
        <v>11</v>
      </c>
      <c r="AC10474">
        <v>0.54859999999999298</v>
      </c>
      <c r="AD10474">
        <v>-0.34738249999999898</v>
      </c>
      <c r="AE10474">
        <v>-1.12000000000023E-2</v>
      </c>
      <c r="AF10474">
        <v>1.40500410171913E-2</v>
      </c>
      <c r="AG10474">
        <v>-0.34738249999999898</v>
      </c>
      <c r="AH10474">
        <v>0.391464046774955</v>
      </c>
      <c r="AI10474">
        <v>131.567320911406</v>
      </c>
      <c r="AJ10474">
        <v>87.944478771912998</v>
      </c>
      <c r="AK10474">
        <v>0.52356098486829405</v>
      </c>
      <c r="AL10474">
        <v>81.857688066084606</v>
      </c>
      <c r="AM10474">
        <v>88.746555082742205</v>
      </c>
      <c r="AN10474">
        <v>0.99999993888855798</v>
      </c>
    </row>
    <row r="10475" spans="1:40" x14ac:dyDescent="0.25">
      <c r="A10475" t="str">
        <f>"20190303162152119"</f>
        <v>20190303162152119</v>
      </c>
      <c r="B10475" t="str">
        <f>"1551601312113447"</f>
        <v>1551601312113447</v>
      </c>
      <c r="C10475" t="s">
        <v>40</v>
      </c>
      <c r="D10475">
        <v>5.1401300000000001</v>
      </c>
      <c r="E10475">
        <v>0.51225290000000001</v>
      </c>
      <c r="F10475" t="s">
        <v>42</v>
      </c>
      <c r="G10475">
        <v>-154.6978</v>
      </c>
      <c r="H10475">
        <v>0.8126333</v>
      </c>
      <c r="I10475">
        <v>138.6275</v>
      </c>
      <c r="J10475">
        <v>-155.25210000000001</v>
      </c>
      <c r="K10475">
        <v>1.1228849999999999</v>
      </c>
      <c r="L10475">
        <v>138.6465</v>
      </c>
      <c r="M10475">
        <v>0.99962479999999998</v>
      </c>
      <c r="N10475">
        <v>-2.3806750000000002E-2</v>
      </c>
      <c r="O10475">
        <v>1.3543940000000001E-2</v>
      </c>
      <c r="P10475">
        <v>0.99288659999999995</v>
      </c>
      <c r="Q10475">
        <v>0.1187652</v>
      </c>
      <c r="R10475">
        <v>-8.4288769999999996E-3</v>
      </c>
      <c r="S10475">
        <v>3.2004090000000001</v>
      </c>
      <c r="T10475">
        <v>-1.4988490000000001</v>
      </c>
      <c r="U10475">
        <v>-9.5260620000000004E-2</v>
      </c>
      <c r="V10475">
        <v>2.206052E-2</v>
      </c>
      <c r="W10475">
        <v>0.14233609999999999</v>
      </c>
      <c r="X10475">
        <v>0.98957249999999997</v>
      </c>
      <c r="Y10475">
        <v>3.7855399999999997E-2</v>
      </c>
      <c r="Z10475">
        <v>-1.4618610000000001E-2</v>
      </c>
      <c r="AA10475">
        <v>0.99917630000000002</v>
      </c>
      <c r="AB10475">
        <v>11</v>
      </c>
      <c r="AC10475">
        <v>0.55430000000001201</v>
      </c>
      <c r="AD10475">
        <v>-0.31025170000000002</v>
      </c>
      <c r="AE10475">
        <v>-1.9000000000005401E-2</v>
      </c>
      <c r="AF10475">
        <v>2.0190003451877499E-2</v>
      </c>
      <c r="AG10475">
        <v>-0.31025170000000002</v>
      </c>
      <c r="AH10475">
        <v>0.421954996126568</v>
      </c>
      <c r="AI10475">
        <v>126.294742180014</v>
      </c>
      <c r="AJ10475">
        <v>87.260560071404896</v>
      </c>
      <c r="AK10475">
        <v>0.52412762982736205</v>
      </c>
      <c r="AL10475">
        <v>81.816950936397603</v>
      </c>
      <c r="AM10475">
        <v>88.722917862498605</v>
      </c>
      <c r="AN10475">
        <v>0.99999998233106502</v>
      </c>
    </row>
    <row r="10476" spans="1:40" x14ac:dyDescent="0.25">
      <c r="A10476" t="str">
        <f>"20190303162152142"</f>
        <v>20190303162152142</v>
      </c>
      <c r="B10476" t="str">
        <f>"1551601312132967"</f>
        <v>1551601312132967</v>
      </c>
      <c r="C10476" t="s">
        <v>40</v>
      </c>
      <c r="D10476">
        <v>4.8194019999999904</v>
      </c>
      <c r="E10476">
        <v>0.51503599999999905</v>
      </c>
      <c r="F10476" t="s">
        <v>42</v>
      </c>
      <c r="G10476">
        <v>-154.5864</v>
      </c>
      <c r="H10476">
        <v>0.85202459999999902</v>
      </c>
      <c r="I10476">
        <v>138.62200000000001</v>
      </c>
      <c r="J10476">
        <v>-155.14750000000001</v>
      </c>
      <c r="K10476">
        <v>1.123049</v>
      </c>
      <c r="L10476">
        <v>138.6456</v>
      </c>
      <c r="M10476">
        <v>0.99962870000000004</v>
      </c>
      <c r="N10476">
        <v>-2.4621790000000001E-2</v>
      </c>
      <c r="O10476">
        <v>1.1682339999999999E-2</v>
      </c>
      <c r="P10476">
        <v>0.99291739999999995</v>
      </c>
      <c r="Q10476">
        <v>0.118354399999999</v>
      </c>
      <c r="R10476">
        <v>-1.036667E-2</v>
      </c>
      <c r="S10476">
        <v>3.1750340000000001</v>
      </c>
      <c r="T10476">
        <v>-1.2919889999999901</v>
      </c>
      <c r="U10476">
        <v>-0.1173859</v>
      </c>
      <c r="V10476">
        <v>2.2127399999999998E-2</v>
      </c>
      <c r="W10476">
        <v>0.1427368</v>
      </c>
      <c r="X10476">
        <v>0.98951330000000004</v>
      </c>
      <c r="Y10476">
        <v>4.4067549999999997E-2</v>
      </c>
      <c r="Z10476">
        <v>-1.347831E-2</v>
      </c>
      <c r="AA10476">
        <v>0.99893759999999998</v>
      </c>
      <c r="AB10476">
        <v>11</v>
      </c>
      <c r="AC10476">
        <v>0.56110000000001004</v>
      </c>
      <c r="AD10476">
        <v>-0.2710244</v>
      </c>
      <c r="AE10476">
        <v>-2.35999999999876E-2</v>
      </c>
      <c r="AF10476">
        <v>2.4458875643348001E-2</v>
      </c>
      <c r="AG10476">
        <v>-0.2710244</v>
      </c>
      <c r="AH10476">
        <v>0.454851252687271</v>
      </c>
      <c r="AI10476">
        <v>120.75235798743</v>
      </c>
      <c r="AJ10476">
        <v>86.921978480996302</v>
      </c>
      <c r="AK10476">
        <v>0.53003973819354</v>
      </c>
      <c r="AL10476">
        <v>81.793755774461303</v>
      </c>
      <c r="AM10476">
        <v>88.718970860964106</v>
      </c>
      <c r="AN10476">
        <v>0.99999999339094503</v>
      </c>
    </row>
    <row r="10477" spans="1:40" x14ac:dyDescent="0.25">
      <c r="A10477" t="str">
        <f>"20190303162152165"</f>
        <v>20190303162152165</v>
      </c>
      <c r="B10477" t="str">
        <f>"1551601312153462"</f>
        <v>1551601312153462</v>
      </c>
      <c r="C10477" t="s">
        <v>40</v>
      </c>
      <c r="D10477">
        <v>5.8241719999999999</v>
      </c>
      <c r="E10477">
        <v>0.52140839999999999</v>
      </c>
      <c r="F10477" t="s">
        <v>42</v>
      </c>
      <c r="G10477">
        <v>-154.48089999999999</v>
      </c>
      <c r="H10477">
        <v>0.88344969999999901</v>
      </c>
      <c r="I10477">
        <v>138.6146</v>
      </c>
      <c r="J10477">
        <v>-155.04640000000001</v>
      </c>
      <c r="K10477">
        <v>1.123186</v>
      </c>
      <c r="L10477">
        <v>138.6446</v>
      </c>
      <c r="M10477">
        <v>0.99962899999999999</v>
      </c>
      <c r="N10477">
        <v>-2.5378919999999999E-2</v>
      </c>
      <c r="O10477">
        <v>9.8935940000000003E-3</v>
      </c>
      <c r="P10477">
        <v>0.9929346</v>
      </c>
      <c r="Q10477">
        <v>0.11808390000000001</v>
      </c>
      <c r="R10477">
        <v>-1.1715740000000001E-2</v>
      </c>
      <c r="S10477">
        <v>3.155014</v>
      </c>
      <c r="T10477">
        <v>-1.1337520000000001</v>
      </c>
      <c r="U10477">
        <v>-0.146698</v>
      </c>
      <c r="V10477">
        <v>2.1678349999999999E-2</v>
      </c>
      <c r="W10477">
        <v>0.1432205</v>
      </c>
      <c r="X10477">
        <v>0.98945340000000004</v>
      </c>
      <c r="Y10477">
        <v>5.2283700000000002E-2</v>
      </c>
      <c r="Z10477">
        <v>-1.2991839999999999E-2</v>
      </c>
      <c r="AA10477">
        <v>0.99854770000000004</v>
      </c>
      <c r="AB10477">
        <v>11</v>
      </c>
      <c r="AC10477">
        <v>0.56550000000001399</v>
      </c>
      <c r="AD10477">
        <v>-0.23973630000000001</v>
      </c>
      <c r="AE10477">
        <v>-3.0000000000001099E-2</v>
      </c>
      <c r="AF10477">
        <v>3.01853922332544E-2</v>
      </c>
      <c r="AG10477">
        <v>-0.23973630000000001</v>
      </c>
      <c r="AH10477">
        <v>0.479279793271354</v>
      </c>
      <c r="AI10477">
        <v>116.528922442142</v>
      </c>
      <c r="AJ10477">
        <v>86.396229705905995</v>
      </c>
      <c r="AK10477">
        <v>0.53674367409425305</v>
      </c>
      <c r="AL10477">
        <v>81.765754551359507</v>
      </c>
      <c r="AM10477">
        <v>88.744883511275702</v>
      </c>
      <c r="AN10477">
        <v>1.0000000466252601</v>
      </c>
    </row>
    <row r="10478" spans="1:40" x14ac:dyDescent="0.25">
      <c r="A10478" t="str">
        <f>"20190303162152187"</f>
        <v>20190303162152187</v>
      </c>
      <c r="B10478" t="str">
        <f>"1551601312182744"</f>
        <v>1551601312182744</v>
      </c>
      <c r="C10478" t="s">
        <v>40</v>
      </c>
      <c r="D10478">
        <v>4.7903820000000001</v>
      </c>
      <c r="E10478">
        <v>0.51854709999999904</v>
      </c>
      <c r="F10478" t="s">
        <v>42</v>
      </c>
      <c r="G10478">
        <v>-154.3245</v>
      </c>
      <c r="H10478">
        <v>1.0194110000000001</v>
      </c>
      <c r="I10478">
        <v>138.59649999999999</v>
      </c>
      <c r="J10478">
        <v>-154.94880000000001</v>
      </c>
      <c r="K10478">
        <v>1.1232960000000001</v>
      </c>
      <c r="L10478">
        <v>138.64349999999999</v>
      </c>
      <c r="M10478">
        <v>0.99962589999999996</v>
      </c>
      <c r="N10478">
        <v>-2.608767E-2</v>
      </c>
      <c r="O10478">
        <v>8.2039750000000005E-3</v>
      </c>
      <c r="P10478">
        <v>0.99299139999999997</v>
      </c>
      <c r="Q10478">
        <v>0.1174992</v>
      </c>
      <c r="R10478">
        <v>-1.27297E-2</v>
      </c>
      <c r="S10478">
        <v>3.0714419999999998</v>
      </c>
      <c r="T10478">
        <v>-0.4414999</v>
      </c>
      <c r="U10478">
        <v>-0.20445250000000001</v>
      </c>
      <c r="V10478">
        <v>2.0996239999999999E-2</v>
      </c>
      <c r="W10478">
        <v>0.14334369999999999</v>
      </c>
      <c r="X10478">
        <v>0.98945019999999995</v>
      </c>
      <c r="Y10478">
        <v>7.3656180000000002E-2</v>
      </c>
      <c r="Z10478">
        <v>-7.1878940000000002E-3</v>
      </c>
      <c r="AA10478">
        <v>0.99725779999999997</v>
      </c>
      <c r="AB10478">
        <v>10</v>
      </c>
      <c r="AC10478">
        <v>0.62430000000000496</v>
      </c>
      <c r="AD10478">
        <v>-0.10388499999999901</v>
      </c>
      <c r="AE10478">
        <v>-4.6999999999997003E-2</v>
      </c>
      <c r="AF10478">
        <v>5.0725249461708102E-2</v>
      </c>
      <c r="AG10478">
        <v>-0.10388499999999901</v>
      </c>
      <c r="AH10478">
        <v>0.60717547331225097</v>
      </c>
      <c r="AI10478">
        <v>99.675972383909496</v>
      </c>
      <c r="AJ10478">
        <v>85.224429390401397</v>
      </c>
      <c r="AK10478">
        <v>0.61808348914196698</v>
      </c>
      <c r="AL10478">
        <v>81.758621551834906</v>
      </c>
      <c r="AM10478">
        <v>88.784359819687694</v>
      </c>
      <c r="AN10478">
        <v>0.99999997835193299</v>
      </c>
    </row>
    <row r="10479" spans="1:40" x14ac:dyDescent="0.25">
      <c r="A10479" t="str">
        <f>"20190303162152211"</f>
        <v>20190303162152211</v>
      </c>
      <c r="B10479" t="str">
        <f>"1551601312203239"</f>
        <v>1551601312203239</v>
      </c>
      <c r="C10479" t="s">
        <v>40</v>
      </c>
      <c r="D10479">
        <v>4.8400049999999997</v>
      </c>
      <c r="E10479">
        <v>0.51985360000000003</v>
      </c>
      <c r="F10479" t="s">
        <v>42</v>
      </c>
      <c r="G10479">
        <v>-154.1568</v>
      </c>
      <c r="H10479">
        <v>1.01491</v>
      </c>
      <c r="I10479">
        <v>138.59549999999999</v>
      </c>
      <c r="J10479">
        <v>-154.8518</v>
      </c>
      <c r="K10479">
        <v>1.123397</v>
      </c>
      <c r="L10479">
        <v>138.6422</v>
      </c>
      <c r="M10479">
        <v>0.99961999999999995</v>
      </c>
      <c r="N10479">
        <v>-2.6780269999999998E-2</v>
      </c>
      <c r="O10479">
        <v>6.56187E-3</v>
      </c>
      <c r="P10479">
        <v>0.9930911</v>
      </c>
      <c r="Q10479">
        <v>0.1165578</v>
      </c>
      <c r="R10479">
        <v>-1.3589800000000001E-2</v>
      </c>
      <c r="S10479">
        <v>3.0684809999999998</v>
      </c>
      <c r="T10479">
        <v>-0.41991200000000001</v>
      </c>
      <c r="U10479">
        <v>-0.1859894</v>
      </c>
      <c r="V10479">
        <v>2.0209999999999999E-2</v>
      </c>
      <c r="W10479">
        <v>0.1430941</v>
      </c>
      <c r="X10479">
        <v>0.98950269999999996</v>
      </c>
      <c r="Y10479">
        <v>6.6275749999999994E-2</v>
      </c>
      <c r="Z10479">
        <v>-6.1211269999999996E-3</v>
      </c>
      <c r="AA10479">
        <v>0.99778259999999996</v>
      </c>
      <c r="AB10479">
        <v>10</v>
      </c>
      <c r="AC10479">
        <v>0.69499999999999296</v>
      </c>
      <c r="AD10479">
        <v>-0.108486999999999</v>
      </c>
      <c r="AE10479">
        <v>-4.67000000000155E-2</v>
      </c>
      <c r="AF10479">
        <v>5.0047156659394298E-2</v>
      </c>
      <c r="AG10479">
        <v>-0.108486999999999</v>
      </c>
      <c r="AH10479">
        <v>0.67822701809642805</v>
      </c>
      <c r="AI10479">
        <v>99.063629427150303</v>
      </c>
      <c r="AJ10479">
        <v>85.779727008710594</v>
      </c>
      <c r="AK10479">
        <v>0.68866975767392502</v>
      </c>
      <c r="AL10479">
        <v>81.773071552138205</v>
      </c>
      <c r="AM10479">
        <v>88.829930702318407</v>
      </c>
      <c r="AN10479">
        <v>0.99999997943104901</v>
      </c>
    </row>
    <row r="10480" spans="1:40" x14ac:dyDescent="0.25">
      <c r="A10480" t="str">
        <f>"20190303162152232"</f>
        <v>20190303162152232</v>
      </c>
      <c r="B10480" t="str">
        <f>"1551601312222759"</f>
        <v>1551601312222759</v>
      </c>
      <c r="C10480" t="s">
        <v>40</v>
      </c>
      <c r="D10480">
        <v>4.8126040000000003</v>
      </c>
      <c r="E10480">
        <v>0.51873740000000002</v>
      </c>
      <c r="F10480" t="s">
        <v>42</v>
      </c>
      <c r="G10480">
        <v>-154.0804</v>
      </c>
      <c r="H10480">
        <v>1.006983</v>
      </c>
      <c r="I10480">
        <v>138.5917</v>
      </c>
      <c r="J10480">
        <v>-154.76759999999999</v>
      </c>
      <c r="K10480">
        <v>1.123478</v>
      </c>
      <c r="L10480">
        <v>138.64099999999999</v>
      </c>
      <c r="M10480">
        <v>0.99961230000000001</v>
      </c>
      <c r="N10480">
        <v>-2.7369609999999999E-2</v>
      </c>
      <c r="O10480">
        <v>5.1528540000000001E-3</v>
      </c>
      <c r="P10480">
        <v>0.99320370000000002</v>
      </c>
      <c r="Q10480">
        <v>0.1155327</v>
      </c>
      <c r="R10480">
        <v>-1.410233E-2</v>
      </c>
      <c r="S10480">
        <v>3.07254</v>
      </c>
      <c r="T10480">
        <v>-0.46358389999999999</v>
      </c>
      <c r="U10480">
        <v>-0.20054630000000001</v>
      </c>
      <c r="V10480">
        <v>1.9310170000000002E-2</v>
      </c>
      <c r="W10480">
        <v>0.14265890000000001</v>
      </c>
      <c r="X10480">
        <v>0.98958360000000001</v>
      </c>
      <c r="Y10480">
        <v>6.9310780000000002E-2</v>
      </c>
      <c r="Z10480">
        <v>-6.7819769999999998E-3</v>
      </c>
      <c r="AA10480">
        <v>0.99757209999999996</v>
      </c>
      <c r="AB10480">
        <v>9</v>
      </c>
      <c r="AC10480">
        <v>0.68719999999999004</v>
      </c>
      <c r="AD10480">
        <v>-0.116495</v>
      </c>
      <c r="AE10480">
        <v>-4.9299999999988103E-2</v>
      </c>
      <c r="AF10480">
        <v>5.1372944327261798E-2</v>
      </c>
      <c r="AG10480">
        <v>-0.116495</v>
      </c>
      <c r="AH10480">
        <v>0.66784290504392696</v>
      </c>
      <c r="AI10480">
        <v>99.866245345828304</v>
      </c>
      <c r="AJ10480">
        <v>85.601259406708607</v>
      </c>
      <c r="AK10480">
        <v>0.67987087763145404</v>
      </c>
      <c r="AL10480">
        <v>81.798265921114194</v>
      </c>
      <c r="AM10480">
        <v>88.882104709054005</v>
      </c>
      <c r="AN10480">
        <v>1.0000000729017899</v>
      </c>
    </row>
    <row r="10481" spans="1:40" x14ac:dyDescent="0.25">
      <c r="A10481" t="str">
        <f>"20190303162152253"</f>
        <v>20190303162152253</v>
      </c>
      <c r="B10481" t="str">
        <f>"1551601312243256"</f>
        <v>1551601312243256</v>
      </c>
      <c r="C10481" t="s">
        <v>40</v>
      </c>
      <c r="D10481">
        <v>4.8286429999999996</v>
      </c>
      <c r="E10481">
        <v>0.51807049999999999</v>
      </c>
      <c r="F10481" t="s">
        <v>42</v>
      </c>
      <c r="G10481">
        <v>-154.00729999999999</v>
      </c>
      <c r="H10481">
        <v>0.99891379999999996</v>
      </c>
      <c r="I10481">
        <v>138.59299999999999</v>
      </c>
      <c r="J10481">
        <v>-154.68530000000001</v>
      </c>
      <c r="K10481">
        <v>1.123559</v>
      </c>
      <c r="L10481">
        <v>138.63980000000001</v>
      </c>
      <c r="M10481">
        <v>0.99960300000000002</v>
      </c>
      <c r="N10481">
        <v>-2.7922889999999999E-2</v>
      </c>
      <c r="O10481">
        <v>3.7767669999999999E-3</v>
      </c>
      <c r="P10481">
        <v>0.99326349999999997</v>
      </c>
      <c r="Q10481">
        <v>0.1150471</v>
      </c>
      <c r="R10481">
        <v>-1.386182E-2</v>
      </c>
      <c r="S10481">
        <v>3.076416</v>
      </c>
      <c r="T10481">
        <v>-0.50398900000000002</v>
      </c>
      <c r="U10481">
        <v>-0.19406129999999999</v>
      </c>
      <c r="V10481">
        <v>1.769039E-2</v>
      </c>
      <c r="W10481">
        <v>0.1427264</v>
      </c>
      <c r="X10481">
        <v>0.98960409999999999</v>
      </c>
      <c r="Y10481">
        <v>6.5667760000000006E-2</v>
      </c>
      <c r="Z10481">
        <v>-6.7723979999999998E-3</v>
      </c>
      <c r="AA10481">
        <v>0.9978186</v>
      </c>
      <c r="AB10481">
        <v>9</v>
      </c>
      <c r="AC10481">
        <v>0.67800000000002503</v>
      </c>
      <c r="AD10481">
        <v>-0.124645199999999</v>
      </c>
      <c r="AE10481">
        <v>-4.6800000000018799E-2</v>
      </c>
      <c r="AF10481">
        <v>4.7754942255796198E-2</v>
      </c>
      <c r="AG10481">
        <v>-0.124645199999999</v>
      </c>
      <c r="AH10481">
        <v>0.655760025066353</v>
      </c>
      <c r="AI10481">
        <v>100.734487122563</v>
      </c>
      <c r="AJ10481">
        <v>85.834855773947297</v>
      </c>
      <c r="AK10481">
        <v>0.66920712105290603</v>
      </c>
      <c r="AL10481">
        <v>81.794358075316595</v>
      </c>
      <c r="AM10481">
        <v>88.975876576564502</v>
      </c>
      <c r="AN10481">
        <v>1.0000000249460601</v>
      </c>
    </row>
    <row r="10482" spans="1:40" x14ac:dyDescent="0.25">
      <c r="A10482" t="str">
        <f>"20190303162152288"</f>
        <v>20190303162152288</v>
      </c>
      <c r="B10482" t="str">
        <f>"1551601312283271"</f>
        <v>1551601312283271</v>
      </c>
      <c r="C10482" t="s">
        <v>40</v>
      </c>
      <c r="D10482">
        <v>5.0596779999999999</v>
      </c>
      <c r="E10482">
        <v>0.51641040000000005</v>
      </c>
      <c r="F10482" t="s">
        <v>42</v>
      </c>
      <c r="G10482">
        <v>-153.93539999999999</v>
      </c>
      <c r="H10482">
        <v>0.99450550000000004</v>
      </c>
      <c r="I10482">
        <v>138.59350000000001</v>
      </c>
      <c r="J10482">
        <v>-154.5643</v>
      </c>
      <c r="K10482">
        <v>1.1236429999999999</v>
      </c>
      <c r="L10482">
        <v>138.6377</v>
      </c>
      <c r="M10482">
        <v>0.99958749999999996</v>
      </c>
      <c r="N10482">
        <v>-2.8667229999999998E-2</v>
      </c>
      <c r="O10482">
        <v>1.749242E-3</v>
      </c>
      <c r="P10482">
        <v>0.99313589999999996</v>
      </c>
      <c r="Q10482">
        <v>0.11611639999999999</v>
      </c>
      <c r="R10482">
        <v>-1.407421E-2</v>
      </c>
      <c r="S10482">
        <v>3.0790860000000002</v>
      </c>
      <c r="T10482">
        <v>-0.52980909999999903</v>
      </c>
      <c r="U10482">
        <v>-0.18946840000000001</v>
      </c>
      <c r="V10482">
        <v>1.587355E-2</v>
      </c>
      <c r="W10482">
        <v>0.14453139999999901</v>
      </c>
      <c r="X10482">
        <v>0.9893729</v>
      </c>
      <c r="Y10482">
        <v>6.2083300000000001E-2</v>
      </c>
      <c r="Z10482">
        <v>-6.4445650000000002E-3</v>
      </c>
      <c r="AA10482">
        <v>0.9980502</v>
      </c>
      <c r="AB10482">
        <v>9</v>
      </c>
      <c r="AC10482">
        <v>0.628900000000015</v>
      </c>
      <c r="AD10482">
        <v>-0.12913749999999899</v>
      </c>
      <c r="AE10482">
        <v>-4.4199999999989303E-2</v>
      </c>
      <c r="AF10482">
        <v>4.3476357058900003E-2</v>
      </c>
      <c r="AG10482">
        <v>-0.12913749999999899</v>
      </c>
      <c r="AH10482">
        <v>0.60350076890147397</v>
      </c>
      <c r="AI10482">
        <v>102.04773911785</v>
      </c>
      <c r="AJ10482">
        <v>85.879515021657497</v>
      </c>
      <c r="AK10482">
        <v>0.61869206039356395</v>
      </c>
      <c r="AL10482">
        <v>81.689855578271803</v>
      </c>
      <c r="AM10482">
        <v>89.080822412455305</v>
      </c>
      <c r="AN10482">
        <v>1.0000000152149799</v>
      </c>
    </row>
    <row r="10483" spans="1:40" x14ac:dyDescent="0.25">
      <c r="A10483" t="str">
        <f>"20190303162152309"</f>
        <v>20190303162152309</v>
      </c>
      <c r="B10483" t="str">
        <f>"1551601312302790"</f>
        <v>1551601312302790</v>
      </c>
      <c r="C10483" t="s">
        <v>40</v>
      </c>
      <c r="D10483">
        <v>4.9569390000000002</v>
      </c>
      <c r="E10483">
        <v>0.51637449999999996</v>
      </c>
      <c r="F10483" t="s">
        <v>42</v>
      </c>
      <c r="G10483">
        <v>-153.797</v>
      </c>
      <c r="H10483">
        <v>0.9928979</v>
      </c>
      <c r="I10483">
        <v>138.59370000000001</v>
      </c>
      <c r="J10483">
        <v>-154.48939999999999</v>
      </c>
      <c r="K10483">
        <v>1.1237349999999999</v>
      </c>
      <c r="L10483">
        <v>138.63630000000001</v>
      </c>
      <c r="M10483">
        <v>0.99957249999999997</v>
      </c>
      <c r="N10483">
        <v>-2.9231529999999999E-2</v>
      </c>
      <c r="O10483">
        <v>5.1120159999999996E-4</v>
      </c>
      <c r="P10483">
        <v>0.99312750000000005</v>
      </c>
      <c r="Q10483">
        <v>0.1162246</v>
      </c>
      <c r="R10483">
        <v>-1.3774659999999999E-2</v>
      </c>
      <c r="S10483">
        <v>3.07959</v>
      </c>
      <c r="T10483">
        <v>-0.52473289999999995</v>
      </c>
      <c r="U10483">
        <v>-0.1764221</v>
      </c>
      <c r="V10483">
        <v>1.433238E-2</v>
      </c>
      <c r="W10483">
        <v>0.14520039999999901</v>
      </c>
      <c r="X10483">
        <v>0.98929849999999997</v>
      </c>
      <c r="Y10483">
        <v>5.6741729999999997E-2</v>
      </c>
      <c r="Z10483">
        <v>-5.7043880000000003E-3</v>
      </c>
      <c r="AA10483">
        <v>0.99837260000000005</v>
      </c>
      <c r="AB10483">
        <v>8</v>
      </c>
      <c r="AC10483">
        <v>0.69239999999999202</v>
      </c>
      <c r="AD10483">
        <v>-0.13083710000000001</v>
      </c>
      <c r="AE10483">
        <v>-4.2599999999992998E-2</v>
      </c>
      <c r="AF10483">
        <v>4.1478628833396702E-2</v>
      </c>
      <c r="AG10483">
        <v>-0.13083710000000001</v>
      </c>
      <c r="AH10483">
        <v>0.66859494212008497</v>
      </c>
      <c r="AI10483">
        <v>101.05154729179399</v>
      </c>
      <c r="AJ10483">
        <v>86.450005365533798</v>
      </c>
      <c r="AK10483">
        <v>0.68253792569707705</v>
      </c>
      <c r="AL10483">
        <v>81.651116322914106</v>
      </c>
      <c r="AM10483">
        <v>89.169990210155106</v>
      </c>
      <c r="AN10483">
        <v>1.00000004768943</v>
      </c>
    </row>
    <row r="10484" spans="1:40" x14ac:dyDescent="0.25">
      <c r="A10484" t="str">
        <f>"20190303162152332"</f>
        <v>20190303162152332</v>
      </c>
      <c r="B10484" t="str">
        <f>"1551601312323287"</f>
        <v>1551601312323287</v>
      </c>
      <c r="C10484" t="s">
        <v>40</v>
      </c>
      <c r="D10484">
        <v>4.9580289999999998</v>
      </c>
      <c r="E10484">
        <v>0.51634259999999998</v>
      </c>
      <c r="F10484" t="s">
        <v>42</v>
      </c>
      <c r="G10484">
        <v>-153.73429999999999</v>
      </c>
      <c r="H10484">
        <v>0.99342220000000003</v>
      </c>
      <c r="I10484">
        <v>138.5934</v>
      </c>
      <c r="J10484">
        <v>-154.42179999999999</v>
      </c>
      <c r="K10484">
        <v>1.12406299999999</v>
      </c>
      <c r="L10484">
        <v>138.63489999999999</v>
      </c>
      <c r="M10484">
        <v>0.99953420000000004</v>
      </c>
      <c r="N10484">
        <v>-3.0513599999999998E-2</v>
      </c>
      <c r="O10484">
        <v>-5.2076230000000002E-4</v>
      </c>
      <c r="P10484">
        <v>0.99329769999999995</v>
      </c>
      <c r="Q10484">
        <v>0.11478430000000001</v>
      </c>
      <c r="R10484">
        <v>-1.3584000000000001E-2</v>
      </c>
      <c r="S10484">
        <v>3.0805509999999998</v>
      </c>
      <c r="T10484">
        <v>-0.53155229999999998</v>
      </c>
      <c r="U10484">
        <v>-0.17500309999999999</v>
      </c>
      <c r="V10484">
        <v>1.3087150000000001E-2</v>
      </c>
      <c r="W10484">
        <v>0.14503859999999999</v>
      </c>
      <c r="X10484">
        <v>0.98933939999999998</v>
      </c>
      <c r="Y10484">
        <v>5.524221E-2</v>
      </c>
      <c r="Z10484">
        <v>-5.5049919999999898E-3</v>
      </c>
      <c r="AA10484">
        <v>0.99845779999999995</v>
      </c>
      <c r="AB10484">
        <v>8</v>
      </c>
      <c r="AC10484">
        <v>0.6875</v>
      </c>
      <c r="AD10484">
        <v>-0.130640799999999</v>
      </c>
      <c r="AE10484">
        <v>-4.1499999999984903E-2</v>
      </c>
      <c r="AF10484">
        <v>3.9713022679029902E-2</v>
      </c>
      <c r="AG10484">
        <v>-0.130640799999999</v>
      </c>
      <c r="AH10484">
        <v>0.66364514274164998</v>
      </c>
      <c r="AI10484">
        <v>101.117084817334</v>
      </c>
      <c r="AJ10484">
        <v>86.575461381185903</v>
      </c>
      <c r="AK10484">
        <v>0.67754632186997399</v>
      </c>
      <c r="AL10484">
        <v>81.660485217859005</v>
      </c>
      <c r="AM10484">
        <v>89.242125878392798</v>
      </c>
      <c r="AN10484">
        <v>0.99999995868872005</v>
      </c>
    </row>
    <row r="10485" spans="1:40" x14ac:dyDescent="0.25">
      <c r="A10485" t="str">
        <f>"20190303162152354"</f>
        <v>20190303162152354</v>
      </c>
      <c r="B10485" t="str">
        <f>"1551601312342547"</f>
        <v>1551601312342547</v>
      </c>
      <c r="C10485" t="s">
        <v>40</v>
      </c>
      <c r="D10485">
        <v>4.9776099999999897</v>
      </c>
      <c r="E10485">
        <v>0.51615270000000002</v>
      </c>
      <c r="F10485" t="s">
        <v>42</v>
      </c>
      <c r="G10485">
        <v>-153.67830000000001</v>
      </c>
      <c r="H10485">
        <v>0.99165639999999999</v>
      </c>
      <c r="I10485">
        <v>138.59289999999999</v>
      </c>
      <c r="J10485">
        <v>-154.3604</v>
      </c>
      <c r="K10485">
        <v>1.124457</v>
      </c>
      <c r="L10485">
        <v>138.63380000000001</v>
      </c>
      <c r="M10485">
        <v>0.9994826</v>
      </c>
      <c r="N10485">
        <v>-3.2135320000000002E-2</v>
      </c>
      <c r="O10485">
        <v>-1.394389E-3</v>
      </c>
      <c r="P10485">
        <v>0.99354889999999996</v>
      </c>
      <c r="Q10485">
        <v>0.1126225</v>
      </c>
      <c r="R10485">
        <v>-1.3300009999999999E-2</v>
      </c>
      <c r="S10485">
        <v>3.081299</v>
      </c>
      <c r="T10485">
        <v>-0.54874659999999997</v>
      </c>
      <c r="U10485">
        <v>-0.17382810000000001</v>
      </c>
      <c r="V10485">
        <v>1.1899760000000001E-2</v>
      </c>
      <c r="W10485">
        <v>0.14449409999999999</v>
      </c>
      <c r="X10485">
        <v>0.98943409999999998</v>
      </c>
      <c r="Y10485">
        <v>5.3944300000000001E-2</v>
      </c>
      <c r="Z10485">
        <v>-5.4362269999999897E-3</v>
      </c>
      <c r="AA10485">
        <v>0.99852909999999995</v>
      </c>
      <c r="AB10485">
        <v>7</v>
      </c>
      <c r="AC10485">
        <v>0.68209999999999105</v>
      </c>
      <c r="AD10485">
        <v>-0.13280059999999999</v>
      </c>
      <c r="AE10485">
        <v>-4.0900000000021898E-2</v>
      </c>
      <c r="AF10485">
        <v>3.8494427148426498E-2</v>
      </c>
      <c r="AG10485">
        <v>-0.13280059999999999</v>
      </c>
      <c r="AH10485">
        <v>0.65732916967547395</v>
      </c>
      <c r="AI10485">
        <v>101.40273510873701</v>
      </c>
      <c r="AJ10485">
        <v>86.648479695414494</v>
      </c>
      <c r="AK10485">
        <v>0.67171382119775802</v>
      </c>
      <c r="AL10485">
        <v>81.692015202676899</v>
      </c>
      <c r="AM10485">
        <v>89.310946373435101</v>
      </c>
      <c r="AN10485">
        <v>0.99999999373283799</v>
      </c>
    </row>
    <row r="10486" spans="1:40" x14ac:dyDescent="0.25">
      <c r="A10486" t="str">
        <f>"20190303162152376"</f>
        <v>20190303162152376</v>
      </c>
      <c r="B10486" t="str">
        <f>"1551601312372802"</f>
        <v>1551601312372802</v>
      </c>
      <c r="C10486" t="s">
        <v>40</v>
      </c>
      <c r="D10486">
        <v>5.1975740000000004</v>
      </c>
      <c r="E10486">
        <v>0.51538899999999999</v>
      </c>
      <c r="F10486" t="s">
        <v>42</v>
      </c>
      <c r="G10486">
        <v>-153.6266</v>
      </c>
      <c r="H10486">
        <v>0.99240030000000001</v>
      </c>
      <c r="I10486">
        <v>138.59280000000001</v>
      </c>
      <c r="J10486">
        <v>-154.30609999999999</v>
      </c>
      <c r="K10486">
        <v>1.1247940000000001</v>
      </c>
      <c r="L10486">
        <v>138.6327</v>
      </c>
      <c r="M10486">
        <v>0.99942790000000004</v>
      </c>
      <c r="N10486">
        <v>-3.3760560000000002E-2</v>
      </c>
      <c r="O10486">
        <v>-2.1218819999999998E-3</v>
      </c>
      <c r="P10486">
        <v>0.99376140000000002</v>
      </c>
      <c r="Q10486">
        <v>0.1107804</v>
      </c>
      <c r="R10486">
        <v>-1.290318E-2</v>
      </c>
      <c r="S10486">
        <v>3.0800480000000001</v>
      </c>
      <c r="T10486">
        <v>-0.55422159999999998</v>
      </c>
      <c r="U10486">
        <v>-0.17129520000000001</v>
      </c>
      <c r="V10486">
        <v>1.0748870000000001E-2</v>
      </c>
      <c r="W10486">
        <v>0.14427139999999999</v>
      </c>
      <c r="X10486">
        <v>0.98947980000000002</v>
      </c>
      <c r="Y10486">
        <v>5.243097E-2</v>
      </c>
      <c r="Z10486">
        <v>-5.2631179999999998E-3</v>
      </c>
      <c r="AA10486">
        <v>0.99861069999999996</v>
      </c>
      <c r="AB10486">
        <v>6</v>
      </c>
      <c r="AC10486">
        <v>0.67949999999999</v>
      </c>
      <c r="AD10486">
        <v>-0.1323937</v>
      </c>
      <c r="AE10486">
        <v>-3.9899999999988701E-2</v>
      </c>
      <c r="AF10486">
        <v>3.7055384861405E-2</v>
      </c>
      <c r="AG10486">
        <v>-0.1323937</v>
      </c>
      <c r="AH10486">
        <v>0.65481030819130903</v>
      </c>
      <c r="AI10486">
        <v>101.412553003412</v>
      </c>
      <c r="AJ10486">
        <v>86.761115176938603</v>
      </c>
      <c r="AK10486">
        <v>0.66908723875180398</v>
      </c>
      <c r="AL10486">
        <v>81.704910346388701</v>
      </c>
      <c r="AM10486">
        <v>89.377611688917995</v>
      </c>
      <c r="AN10486">
        <v>1.00000002483613</v>
      </c>
    </row>
    <row r="10487" spans="1:40" x14ac:dyDescent="0.25">
      <c r="A10487" t="str">
        <f>"20190303162152400"</f>
        <v>20190303162152400</v>
      </c>
      <c r="B10487" t="str">
        <f>"1551601312393299"</f>
        <v>1551601312393299</v>
      </c>
      <c r="C10487" t="s">
        <v>40</v>
      </c>
      <c r="D10487">
        <v>4.8527509999999996</v>
      </c>
      <c r="E10487">
        <v>0.49146260000000003</v>
      </c>
      <c r="F10487" t="s">
        <v>42</v>
      </c>
      <c r="G10487">
        <v>-153.57980000000001</v>
      </c>
      <c r="H10487">
        <v>0.99353219999999998</v>
      </c>
      <c r="I10487">
        <v>138.5941</v>
      </c>
      <c r="J10487">
        <v>-154.25710000000001</v>
      </c>
      <c r="K10487">
        <v>1.1249610000000001</v>
      </c>
      <c r="L10487">
        <v>138.6318</v>
      </c>
      <c r="M10487">
        <v>0.99938210000000005</v>
      </c>
      <c r="N10487">
        <v>-3.503916E-2</v>
      </c>
      <c r="O10487">
        <v>-2.7735659999999999E-3</v>
      </c>
      <c r="P10487">
        <v>0.99402860000000004</v>
      </c>
      <c r="Q10487">
        <v>0.108344</v>
      </c>
      <c r="R10487">
        <v>-1.298622E-2</v>
      </c>
      <c r="S10487">
        <v>3.078735</v>
      </c>
      <c r="T10487">
        <v>-0.55629899999999999</v>
      </c>
      <c r="U10487">
        <v>-0.1630249</v>
      </c>
      <c r="V10487">
        <v>1.017063E-2</v>
      </c>
      <c r="W10487">
        <v>0.1431125</v>
      </c>
      <c r="X10487">
        <v>0.98965420000000004</v>
      </c>
      <c r="Y10487">
        <v>4.9183949999999997E-2</v>
      </c>
      <c r="Z10487">
        <v>-4.8753989999999999E-3</v>
      </c>
      <c r="AA10487">
        <v>0.9987779</v>
      </c>
      <c r="AB10487">
        <v>6</v>
      </c>
      <c r="AC10487">
        <v>0.67730000000000201</v>
      </c>
      <c r="AD10487">
        <v>-0.13142880000000001</v>
      </c>
      <c r="AE10487">
        <v>-3.7700000000000899E-2</v>
      </c>
      <c r="AF10487">
        <v>3.4524182679723098E-2</v>
      </c>
      <c r="AG10487">
        <v>-0.13142880000000001</v>
      </c>
      <c r="AH10487">
        <v>0.65289346090492695</v>
      </c>
      <c r="AI10487">
        <v>101.36618225222099</v>
      </c>
      <c r="AJ10487">
        <v>86.973090591334994</v>
      </c>
      <c r="AK10487">
        <v>0.66688478761443903</v>
      </c>
      <c r="AL10487">
        <v>81.7720067858817</v>
      </c>
      <c r="AM10487">
        <v>89.411194677915702</v>
      </c>
      <c r="AN10487">
        <v>1.00000003247424</v>
      </c>
    </row>
    <row r="10488" spans="1:40" x14ac:dyDescent="0.25">
      <c r="A10488" t="str">
        <f>"20190303162152421"</f>
        <v>20190303162152421</v>
      </c>
      <c r="B10488" t="str">
        <f>"1551601312412818"</f>
        <v>1551601312412818</v>
      </c>
      <c r="C10488" t="s">
        <v>40</v>
      </c>
      <c r="D10488">
        <v>5.211017</v>
      </c>
      <c r="E10488">
        <v>0.48826059999999999</v>
      </c>
      <c r="F10488" t="s">
        <v>42</v>
      </c>
      <c r="G10488">
        <v>-153.52279999999999</v>
      </c>
      <c r="H10488">
        <v>1.0190619999999999</v>
      </c>
      <c r="I10488">
        <v>138.63849999999999</v>
      </c>
      <c r="J10488">
        <v>-154.21170000000001</v>
      </c>
      <c r="K10488">
        <v>1.124763</v>
      </c>
      <c r="L10488">
        <v>138.6309</v>
      </c>
      <c r="M10488">
        <v>0.99937189999999998</v>
      </c>
      <c r="N10488">
        <v>-3.5270719999999998E-2</v>
      </c>
      <c r="O10488">
        <v>-3.437879E-3</v>
      </c>
      <c r="P10488">
        <v>0.99415920000000002</v>
      </c>
      <c r="Q10488">
        <v>0.10712140000000001</v>
      </c>
      <c r="R10488">
        <v>-1.313873E-2</v>
      </c>
      <c r="S10488">
        <v>3.066589</v>
      </c>
      <c r="T10488">
        <v>-0.44220219999999999</v>
      </c>
      <c r="U10488">
        <v>2.8289789999999999E-2</v>
      </c>
      <c r="V10488">
        <v>9.6793469999999996E-3</v>
      </c>
      <c r="W10488">
        <v>0.14212369999999999</v>
      </c>
      <c r="X10488">
        <v>0.98980159999999995</v>
      </c>
      <c r="Y10488">
        <v>-1.248325E-2</v>
      </c>
      <c r="Z10488">
        <v>1.4893879999999999E-3</v>
      </c>
      <c r="AA10488">
        <v>0.99992099999999995</v>
      </c>
      <c r="AB10488">
        <v>5</v>
      </c>
      <c r="AC10488">
        <v>0.68890000000001705</v>
      </c>
      <c r="AD10488">
        <v>-0.105700999999999</v>
      </c>
      <c r="AE10488">
        <v>7.5999999999964898E-3</v>
      </c>
      <c r="AF10488">
        <v>-9.7405001006702508E-3</v>
      </c>
      <c r="AG10488">
        <v>-0.105700999999999</v>
      </c>
      <c r="AH10488">
        <v>0.67302721124155596</v>
      </c>
      <c r="AI10488">
        <v>98.924650860703096</v>
      </c>
      <c r="AJ10488">
        <v>90.829164967214297</v>
      </c>
      <c r="AK10488">
        <v>0.68134661209607295</v>
      </c>
      <c r="AL10488">
        <v>81.829245874708604</v>
      </c>
      <c r="AM10488">
        <v>89.439717965555104</v>
      </c>
      <c r="AN10488">
        <v>1.0000000216112901</v>
      </c>
    </row>
    <row r="10489" spans="1:40" x14ac:dyDescent="0.25">
      <c r="A10489" t="str">
        <f>"20190303162152445"</f>
        <v>20190303162152445</v>
      </c>
      <c r="B10489" t="str">
        <f>"1551601312433314"</f>
        <v>1551601312433314</v>
      </c>
      <c r="C10489" t="s">
        <v>40</v>
      </c>
      <c r="D10489">
        <v>5.204561</v>
      </c>
      <c r="E10489">
        <v>0.48771360000000002</v>
      </c>
      <c r="F10489" t="s">
        <v>41</v>
      </c>
      <c r="G10489">
        <v>-144.69380000000001</v>
      </c>
      <c r="H10489" s="1">
        <v>-2.403953E-6</v>
      </c>
      <c r="I10489">
        <v>138.7971</v>
      </c>
      <c r="J10489">
        <v>-154.167</v>
      </c>
      <c r="K10489">
        <v>1.1243639999999999</v>
      </c>
      <c r="L10489">
        <v>138.62989999999999</v>
      </c>
      <c r="M10489">
        <v>0.99938919999999998</v>
      </c>
      <c r="N10489">
        <v>-3.4699430000000003E-2</v>
      </c>
      <c r="O10489">
        <v>-4.1520300000000001E-3</v>
      </c>
      <c r="P10489">
        <v>0.99409270000000005</v>
      </c>
      <c r="Q10489">
        <v>0.10770689999999999</v>
      </c>
      <c r="R10489">
        <v>-1.337782E-2</v>
      </c>
      <c r="S10489">
        <v>3.0572509999999999</v>
      </c>
      <c r="T10489">
        <v>-0.36128470000000001</v>
      </c>
      <c r="U10489">
        <v>5.33905E-2</v>
      </c>
      <c r="V10489">
        <v>9.2382609999999993E-3</v>
      </c>
      <c r="W10489">
        <v>0.14213879999999901</v>
      </c>
      <c r="X10489">
        <v>0.98980360000000001</v>
      </c>
      <c r="Y10489">
        <v>-2.1407240000000001E-2</v>
      </c>
      <c r="Z10489">
        <v>1.9787899999999998E-3</v>
      </c>
      <c r="AA10489">
        <v>0.99976889999999996</v>
      </c>
      <c r="AB10489">
        <v>5</v>
      </c>
      <c r="AC10489">
        <v>9.4731999999999896</v>
      </c>
      <c r="AD10489">
        <v>-1.1243664039529999</v>
      </c>
      <c r="AE10489">
        <v>0.16720000000000801</v>
      </c>
      <c r="AF10489">
        <v>-0.203686799830852</v>
      </c>
      <c r="AG10489">
        <v>-1.1243664039529999</v>
      </c>
      <c r="AH10489">
        <v>9.3408784813007895</v>
      </c>
      <c r="AI10489">
        <v>96.862084682844497</v>
      </c>
      <c r="AJ10489">
        <v>91.249191365366499</v>
      </c>
      <c r="AK10489">
        <v>9.4105100247112894</v>
      </c>
      <c r="AL10489">
        <v>81.828371453631803</v>
      </c>
      <c r="AM10489">
        <v>89.465249473593701</v>
      </c>
      <c r="AN10489">
        <v>0.99999997525235096</v>
      </c>
    </row>
    <row r="10490" spans="1:40" x14ac:dyDescent="0.25">
      <c r="A10490" t="str">
        <f>"20190303162152466"</f>
        <v>20190303162152466</v>
      </c>
      <c r="B10490" t="str">
        <f>"1551601312452869"</f>
        <v>1551601312452869</v>
      </c>
      <c r="C10490" t="s">
        <v>40</v>
      </c>
      <c r="D10490">
        <v>5.2082100000000002</v>
      </c>
      <c r="E10490">
        <v>0.48741610000000002</v>
      </c>
      <c r="F10490" t="s">
        <v>41</v>
      </c>
      <c r="G10490">
        <v>-143.89609999999999</v>
      </c>
      <c r="H10490" s="1">
        <v>-2.7421859999999998E-6</v>
      </c>
      <c r="I10490">
        <v>138.81960000000001</v>
      </c>
      <c r="J10490">
        <v>-154.1283</v>
      </c>
      <c r="K10490">
        <v>1.1241300000000001</v>
      </c>
      <c r="L10490">
        <v>138.62880000000001</v>
      </c>
      <c r="M10490">
        <v>0.99940329999999999</v>
      </c>
      <c r="N10490">
        <v>-3.4211169999999999E-2</v>
      </c>
      <c r="O10490">
        <v>-4.7742389999999996E-3</v>
      </c>
      <c r="P10490">
        <v>0.99389950000000005</v>
      </c>
      <c r="Q10490">
        <v>0.1094866</v>
      </c>
      <c r="R10490">
        <v>-1.329524E-2</v>
      </c>
      <c r="S10490">
        <v>3.0548099999999998</v>
      </c>
      <c r="T10490">
        <v>-0.33441259999999901</v>
      </c>
      <c r="U10490">
        <v>5.6442260000000001E-2</v>
      </c>
      <c r="V10490">
        <v>8.5497939999999994E-3</v>
      </c>
      <c r="W10490">
        <v>0.14342679999999999</v>
      </c>
      <c r="X10490">
        <v>0.98962399999999995</v>
      </c>
      <c r="Y10490">
        <v>-2.305488E-2</v>
      </c>
      <c r="Z10490">
        <v>2.0121269999999998E-3</v>
      </c>
      <c r="AA10490">
        <v>0.99973219999999996</v>
      </c>
      <c r="AB10490">
        <v>5</v>
      </c>
      <c r="AC10490">
        <v>10.232200000000001</v>
      </c>
      <c r="AD10490">
        <v>-1.1241327421859999</v>
      </c>
      <c r="AE10490">
        <v>0.190799999999995</v>
      </c>
      <c r="AF10490">
        <v>-0.23682004249956101</v>
      </c>
      <c r="AG10490">
        <v>-1.1241327421859999</v>
      </c>
      <c r="AH10490">
        <v>10.1091990126003</v>
      </c>
      <c r="AI10490">
        <v>96.343439343022297</v>
      </c>
      <c r="AJ10490">
        <v>91.341976512350797</v>
      </c>
      <c r="AK10490">
        <v>10.1742647317113</v>
      </c>
      <c r="AL10490">
        <v>81.753810770342895</v>
      </c>
      <c r="AM10490">
        <v>89.505009049315802</v>
      </c>
      <c r="AN10490">
        <v>1.0000000036558401</v>
      </c>
    </row>
    <row r="10491" spans="1:40" x14ac:dyDescent="0.25">
      <c r="A10491" t="str">
        <f>"20190303162152488"</f>
        <v>20190303162152488</v>
      </c>
      <c r="B10491" t="str">
        <f>"1551601312483124"</f>
        <v>1551601312483124</v>
      </c>
      <c r="C10491" t="s">
        <v>40</v>
      </c>
      <c r="D10491">
        <v>5.2707280000000001</v>
      </c>
      <c r="E10491">
        <v>0.4870466</v>
      </c>
      <c r="F10491" t="s">
        <v>41</v>
      </c>
      <c r="G10491">
        <v>-143.36859999999999</v>
      </c>
      <c r="H10491" s="1">
        <v>-2.965729E-6</v>
      </c>
      <c r="I10491">
        <v>138.8349</v>
      </c>
      <c r="J10491">
        <v>-154.0926</v>
      </c>
      <c r="K10491">
        <v>1.1241139999999901</v>
      </c>
      <c r="L10491">
        <v>138.62790000000001</v>
      </c>
      <c r="M10491">
        <v>0.99940419999999996</v>
      </c>
      <c r="N10491">
        <v>-3.4092299999999999E-2</v>
      </c>
      <c r="O10491">
        <v>-5.3946239999999998E-3</v>
      </c>
      <c r="P10491">
        <v>0.99375040000000003</v>
      </c>
      <c r="Q10491">
        <v>0.1106896</v>
      </c>
      <c r="R10491">
        <v>-1.4431309999999999E-2</v>
      </c>
      <c r="S10491">
        <v>3.0543520000000002</v>
      </c>
      <c r="T10491">
        <v>-0.31910650000000002</v>
      </c>
      <c r="U10491">
        <v>5.851746E-2</v>
      </c>
      <c r="V10491">
        <v>9.0581459999999996E-3</v>
      </c>
      <c r="W10491">
        <v>0.14450729999999901</v>
      </c>
      <c r="X10491">
        <v>0.98946230000000002</v>
      </c>
      <c r="Y10491">
        <v>-2.4362269999999998E-2</v>
      </c>
      <c r="Z10491">
        <v>2.0644249999999999E-3</v>
      </c>
      <c r="AA10491">
        <v>0.99970110000000001</v>
      </c>
      <c r="AB10491">
        <v>4</v>
      </c>
      <c r="AC10491">
        <v>10.724</v>
      </c>
      <c r="AD10491">
        <v>-1.12411696572899</v>
      </c>
      <c r="AE10491">
        <v>0.206999999999993</v>
      </c>
      <c r="AF10491">
        <v>-0.26200480245451202</v>
      </c>
      <c r="AG10491">
        <v>-1.12411696572899</v>
      </c>
      <c r="AH10491">
        <v>10.606231057595499</v>
      </c>
      <c r="AI10491">
        <v>96.048159867282394</v>
      </c>
      <c r="AJ10491">
        <v>91.415084855805901</v>
      </c>
      <c r="AK10491">
        <v>10.668852924108201</v>
      </c>
      <c r="AL10491">
        <v>81.691251150240504</v>
      </c>
      <c r="AM10491">
        <v>89.475493873473098</v>
      </c>
      <c r="AN10491">
        <v>1.0000000264417599</v>
      </c>
    </row>
    <row r="10492" spans="1:40" x14ac:dyDescent="0.25">
      <c r="A10492" t="str">
        <f>"20190303162152510"</f>
        <v>20190303162152510</v>
      </c>
      <c r="B10492" t="str">
        <f>"1551601312502645"</f>
        <v>1551601312502645</v>
      </c>
      <c r="C10492" t="s">
        <v>40</v>
      </c>
      <c r="D10492">
        <v>5.3294370000000004</v>
      </c>
      <c r="E10492">
        <v>0.48691420000000002</v>
      </c>
      <c r="F10492" t="s">
        <v>41</v>
      </c>
      <c r="G10492">
        <v>-142.95089999999999</v>
      </c>
      <c r="H10492" s="1">
        <v>-3.14411E-6</v>
      </c>
      <c r="I10492">
        <v>138.83969999999999</v>
      </c>
      <c r="J10492">
        <v>-154.06209999999999</v>
      </c>
      <c r="K10492">
        <v>1.12418</v>
      </c>
      <c r="L10492">
        <v>138.62710000000001</v>
      </c>
      <c r="M10492">
        <v>0.99939960000000005</v>
      </c>
      <c r="N10492">
        <v>-3.4127589999999999E-2</v>
      </c>
      <c r="O10492">
        <v>-5.9926930000000003E-3</v>
      </c>
      <c r="P10492">
        <v>0.99376509999999996</v>
      </c>
      <c r="Q10492">
        <v>0.1103948</v>
      </c>
      <c r="R10492">
        <v>-1.562566E-2</v>
      </c>
      <c r="S10492">
        <v>3.0540470000000002</v>
      </c>
      <c r="T10492">
        <v>-0.30812919999999999</v>
      </c>
      <c r="U10492">
        <v>5.8059689999999997E-2</v>
      </c>
      <c r="V10492">
        <v>9.6370750000000002E-3</v>
      </c>
      <c r="W10492">
        <v>0.1442502</v>
      </c>
      <c r="X10492">
        <v>0.98949430000000005</v>
      </c>
      <c r="Y10492">
        <v>-2.4819919999999999E-2</v>
      </c>
      <c r="Z10492">
        <v>2.0727290000000002E-3</v>
      </c>
      <c r="AA10492">
        <v>0.99968979999999996</v>
      </c>
      <c r="AB10492">
        <v>4</v>
      </c>
      <c r="AC10492">
        <v>11.111199999999901</v>
      </c>
      <c r="AD10492">
        <v>-1.1241831441100001</v>
      </c>
      <c r="AE10492">
        <v>0.21259999999998</v>
      </c>
      <c r="AF10492">
        <v>-0.27639272958065603</v>
      </c>
      <c r="AG10492">
        <v>-1.1241831441100001</v>
      </c>
      <c r="AH10492">
        <v>10.997193700757601</v>
      </c>
      <c r="AI10492">
        <v>95.834930484459903</v>
      </c>
      <c r="AJ10492">
        <v>91.439713093066104</v>
      </c>
      <c r="AK10492">
        <v>11.057958671221799</v>
      </c>
      <c r="AL10492">
        <v>81.706137495669196</v>
      </c>
      <c r="AM10492">
        <v>89.441991463012002</v>
      </c>
      <c r="AN10492">
        <v>0.99999998157354197</v>
      </c>
    </row>
    <row r="10493" spans="1:40" x14ac:dyDescent="0.25">
      <c r="A10493" t="str">
        <f>"20190303162152532"</f>
        <v>20190303162152532</v>
      </c>
      <c r="B10493" t="str">
        <f>"1551601312523141"</f>
        <v>1551601312523141</v>
      </c>
      <c r="C10493" t="s">
        <v>40</v>
      </c>
      <c r="D10493">
        <v>5.2686299999999999</v>
      </c>
      <c r="E10493">
        <v>0.48663030000000002</v>
      </c>
      <c r="F10493" t="s">
        <v>41</v>
      </c>
      <c r="G10493">
        <v>-142.9068</v>
      </c>
      <c r="H10493" s="1">
        <v>-3.163957E-6</v>
      </c>
      <c r="I10493">
        <v>138.83430000000001</v>
      </c>
      <c r="J10493">
        <v>-154.03569999999999</v>
      </c>
      <c r="K10493">
        <v>1.1241969999999999</v>
      </c>
      <c r="L10493">
        <v>138.62639999999999</v>
      </c>
      <c r="M10493">
        <v>0.99939880000000003</v>
      </c>
      <c r="N10493">
        <v>-3.4053819999999999E-2</v>
      </c>
      <c r="O10493">
        <v>-6.5187219999999898E-3</v>
      </c>
      <c r="P10493">
        <v>0.99399510000000002</v>
      </c>
      <c r="Q10493">
        <v>0.10817450000000001</v>
      </c>
      <c r="R10493">
        <v>-1.6490850000000001E-2</v>
      </c>
      <c r="S10493">
        <v>3.053925</v>
      </c>
      <c r="T10493">
        <v>-0.30776189999999998</v>
      </c>
      <c r="U10493">
        <v>5.6747440000000003E-2</v>
      </c>
      <c r="V10493">
        <v>9.9653429999999998E-3</v>
      </c>
      <c r="W10493">
        <v>0.14196700000000001</v>
      </c>
      <c r="X10493">
        <v>0.98982130000000002</v>
      </c>
      <c r="Y10493">
        <v>-2.491606E-2</v>
      </c>
      <c r="Z10493">
        <v>2.1115909999999999E-3</v>
      </c>
      <c r="AA10493">
        <v>0.99968729999999995</v>
      </c>
      <c r="AB10493">
        <v>3</v>
      </c>
      <c r="AC10493">
        <v>11.1288999999999</v>
      </c>
      <c r="AD10493">
        <v>-1.1242001639569901</v>
      </c>
      <c r="AE10493">
        <v>0.20790000000002301</v>
      </c>
      <c r="AF10493">
        <v>-0.27765163031691997</v>
      </c>
      <c r="AG10493">
        <v>-1.1242001639569901</v>
      </c>
      <c r="AH10493">
        <v>11.0149467369324</v>
      </c>
      <c r="AI10493">
        <v>95.825667781918497</v>
      </c>
      <c r="AJ10493">
        <v>91.443937857769797</v>
      </c>
      <c r="AK10493">
        <v>11.075647523008101</v>
      </c>
      <c r="AL10493">
        <v>81.838316504119106</v>
      </c>
      <c r="AM10493">
        <v>89.423175875243203</v>
      </c>
      <c r="AN10493">
        <v>1.00000007154189</v>
      </c>
    </row>
    <row r="10494" spans="1:40" x14ac:dyDescent="0.25">
      <c r="A10494" t="str">
        <f>"20190303162152555"</f>
        <v>20190303162152555</v>
      </c>
      <c r="B10494" t="str">
        <f>"1551601312543167"</f>
        <v>1551601312543167</v>
      </c>
      <c r="C10494" t="s">
        <v>40</v>
      </c>
      <c r="D10494">
        <v>5.3283680000000002</v>
      </c>
      <c r="E10494">
        <v>0.48645650000000001</v>
      </c>
      <c r="F10494" t="s">
        <v>41</v>
      </c>
      <c r="G10494">
        <v>-143.08449999999999</v>
      </c>
      <c r="H10494" s="1">
        <v>-3.0887079999999898E-6</v>
      </c>
      <c r="I10494">
        <v>138.8289</v>
      </c>
      <c r="J10494">
        <v>-154.01179999999999</v>
      </c>
      <c r="K10494">
        <v>1.1241399999999999</v>
      </c>
      <c r="L10494">
        <v>138.62569999999999</v>
      </c>
      <c r="M10494">
        <v>0.99940499999999999</v>
      </c>
      <c r="N10494">
        <v>-3.3791469999999997E-2</v>
      </c>
      <c r="O10494">
        <v>-6.9296610000000002E-3</v>
      </c>
      <c r="P10494">
        <v>0.99415940000000003</v>
      </c>
      <c r="Q10494">
        <v>0.1065557</v>
      </c>
      <c r="R10494">
        <v>-1.7125560000000001E-2</v>
      </c>
      <c r="S10494">
        <v>3.053131</v>
      </c>
      <c r="T10494">
        <v>-0.31341829999999998</v>
      </c>
      <c r="U10494">
        <v>5.647278E-2</v>
      </c>
      <c r="V10494">
        <v>1.018985E-2</v>
      </c>
      <c r="W10494">
        <v>0.1400952</v>
      </c>
      <c r="X10494">
        <v>0.99008560000000001</v>
      </c>
      <c r="Y10494">
        <v>-2.5232649999999999E-2</v>
      </c>
      <c r="Z10494">
        <v>2.1952400000000002E-3</v>
      </c>
      <c r="AA10494">
        <v>0.99967919999999999</v>
      </c>
      <c r="AB10494">
        <v>3</v>
      </c>
      <c r="AC10494">
        <v>10.927300000000001</v>
      </c>
      <c r="AD10494">
        <v>-1.1241430887079999</v>
      </c>
      <c r="AE10494">
        <v>0.20320000000000901</v>
      </c>
      <c r="AF10494">
        <v>-0.27604047582101898</v>
      </c>
      <c r="AG10494">
        <v>-1.1241430887079999</v>
      </c>
      <c r="AH10494">
        <v>10.811250228692799</v>
      </c>
      <c r="AI10494">
        <v>95.934306070606695</v>
      </c>
      <c r="AJ10494">
        <v>91.462598528485401</v>
      </c>
      <c r="AK10494">
        <v>10.8730413195017</v>
      </c>
      <c r="AL10494">
        <v>81.946644876895505</v>
      </c>
      <c r="AM10494">
        <v>89.410339079444995</v>
      </c>
      <c r="AN10494">
        <v>0.99999999671671103</v>
      </c>
    </row>
    <row r="10495" spans="1:40" x14ac:dyDescent="0.25">
      <c r="A10495" t="str">
        <f>"20190303162152578"</f>
        <v>20190303162152578</v>
      </c>
      <c r="B10495" t="str">
        <f>"1551601312573423"</f>
        <v>1551601312573423</v>
      </c>
      <c r="C10495" t="s">
        <v>40</v>
      </c>
      <c r="D10495">
        <v>5.4231619999999996</v>
      </c>
      <c r="E10495">
        <v>0.48639510000000002</v>
      </c>
      <c r="F10495" t="s">
        <v>41</v>
      </c>
      <c r="G10495">
        <v>-143.19640000000001</v>
      </c>
      <c r="H10495" s="1">
        <v>-3.042144E-6</v>
      </c>
      <c r="I10495">
        <v>138.82079999999999</v>
      </c>
      <c r="J10495">
        <v>-153.99170000000001</v>
      </c>
      <c r="K10495">
        <v>1.1240790000000001</v>
      </c>
      <c r="L10495">
        <v>138.6251</v>
      </c>
      <c r="M10495">
        <v>0.99941469999999999</v>
      </c>
      <c r="N10495">
        <v>-3.344159E-2</v>
      </c>
      <c r="O10495">
        <v>-7.2121040000000004E-3</v>
      </c>
      <c r="P10495">
        <v>0.99409809999999998</v>
      </c>
      <c r="Q10495">
        <v>0.1069547</v>
      </c>
      <c r="R10495">
        <v>-1.8164599999999999E-2</v>
      </c>
      <c r="S10495">
        <v>3.0525820000000001</v>
      </c>
      <c r="T10495">
        <v>-0.31728200000000001</v>
      </c>
      <c r="U10495">
        <v>5.5068970000000002E-2</v>
      </c>
      <c r="V10495">
        <v>1.09479E-2</v>
      </c>
      <c r="W10495">
        <v>0.1401462</v>
      </c>
      <c r="X10495">
        <v>0.99007029999999996</v>
      </c>
      <c r="Y10495">
        <v>-2.5055190000000001E-2</v>
      </c>
      <c r="Z10495">
        <v>2.225847E-3</v>
      </c>
      <c r="AA10495">
        <v>0.99968360000000001</v>
      </c>
      <c r="AB10495">
        <v>2</v>
      </c>
      <c r="AC10495">
        <v>10.7952999999999</v>
      </c>
      <c r="AD10495">
        <v>-1.1240820421439901</v>
      </c>
      <c r="AE10495">
        <v>0.19569999999998799</v>
      </c>
      <c r="AF10495">
        <v>-0.27066163345289601</v>
      </c>
      <c r="AG10495">
        <v>-1.1240820421439901</v>
      </c>
      <c r="AH10495">
        <v>10.6778707072052</v>
      </c>
      <c r="AI10495">
        <v>96.007598024840206</v>
      </c>
      <c r="AJ10495">
        <v>91.452016946724896</v>
      </c>
      <c r="AK10495">
        <v>10.740285889913901</v>
      </c>
      <c r="AL10495">
        <v>81.943693755514801</v>
      </c>
      <c r="AM10495">
        <v>89.366466299952606</v>
      </c>
      <c r="AN10495">
        <v>1.0000000064154699</v>
      </c>
    </row>
    <row r="10496" spans="1:40" x14ac:dyDescent="0.25">
      <c r="A10496" t="str">
        <f>"20190303162152599"</f>
        <v>20190303162152599</v>
      </c>
      <c r="B10496" t="str">
        <f>"1551601312592942"</f>
        <v>1551601312592942</v>
      </c>
      <c r="C10496" t="s">
        <v>40</v>
      </c>
      <c r="D10496">
        <v>5.1916849999999997</v>
      </c>
      <c r="E10496">
        <v>0.48845230000000001</v>
      </c>
      <c r="F10496" t="s">
        <v>41</v>
      </c>
      <c r="G10496">
        <v>-143.15280000000001</v>
      </c>
      <c r="H10496" s="1">
        <v>-3.06249E-6</v>
      </c>
      <c r="I10496">
        <v>138.8115</v>
      </c>
      <c r="J10496">
        <v>-153.9752</v>
      </c>
      <c r="K10496">
        <v>1.1240490000000001</v>
      </c>
      <c r="L10496">
        <v>138.62469999999999</v>
      </c>
      <c r="M10496">
        <v>0.99942580000000003</v>
      </c>
      <c r="N10496">
        <v>-3.3059209999999999E-2</v>
      </c>
      <c r="O10496">
        <v>-7.4373750000000004E-3</v>
      </c>
      <c r="P10496">
        <v>0.99394280000000002</v>
      </c>
      <c r="Q10496">
        <v>0.10808429999999999</v>
      </c>
      <c r="R10496">
        <v>-1.9893660000000001E-2</v>
      </c>
      <c r="S10496">
        <v>3.0528719999999998</v>
      </c>
      <c r="T10496">
        <v>-0.31660529999999998</v>
      </c>
      <c r="U10496">
        <v>5.2490229999999999E-2</v>
      </c>
      <c r="V10496">
        <v>1.2446250000000001E-2</v>
      </c>
      <c r="W10496">
        <v>0.14089309999999999</v>
      </c>
      <c r="X10496">
        <v>0.98994660000000001</v>
      </c>
      <c r="Y10496">
        <v>-2.4439470000000001E-2</v>
      </c>
      <c r="Z10496">
        <v>2.1930629999999999E-3</v>
      </c>
      <c r="AA10496">
        <v>0.99969889999999995</v>
      </c>
      <c r="AB10496">
        <v>2</v>
      </c>
      <c r="AC10496">
        <v>10.822399999999901</v>
      </c>
      <c r="AD10496">
        <v>-1.1240520624899999</v>
      </c>
      <c r="AE10496">
        <v>0.18680000000000499</v>
      </c>
      <c r="AF10496">
        <v>-0.26447686278511401</v>
      </c>
      <c r="AG10496">
        <v>-1.1240520624899999</v>
      </c>
      <c r="AH10496">
        <v>10.705260389791301</v>
      </c>
      <c r="AI10496">
        <v>95.992276362700096</v>
      </c>
      <c r="AJ10496">
        <v>91.415222574569199</v>
      </c>
      <c r="AK10496">
        <v>10.7673599857798</v>
      </c>
      <c r="AL10496">
        <v>81.900470806485203</v>
      </c>
      <c r="AM10496">
        <v>89.279678292938797</v>
      </c>
      <c r="AN10496">
        <v>1.0000000228091099</v>
      </c>
    </row>
    <row r="10497" spans="1:40" x14ac:dyDescent="0.25">
      <c r="A10497" t="str">
        <f>"20190303162152623"</f>
        <v>20190303162152623</v>
      </c>
      <c r="B10497" t="str">
        <f>"1551601312613439"</f>
        <v>1551601312613439</v>
      </c>
      <c r="C10497" t="s">
        <v>40</v>
      </c>
      <c r="D10497">
        <v>5.1664820000000002</v>
      </c>
      <c r="E10497">
        <v>0.53287229999999997</v>
      </c>
      <c r="F10497" t="s">
        <v>41</v>
      </c>
      <c r="G10497">
        <v>-143.66560000000001</v>
      </c>
      <c r="H10497" s="1">
        <v>-2.8571370000000001E-6</v>
      </c>
      <c r="I10497">
        <v>138.72890000000001</v>
      </c>
      <c r="J10497">
        <v>-153.9614</v>
      </c>
      <c r="K10497">
        <v>1.124026</v>
      </c>
      <c r="L10497">
        <v>138.62440000000001</v>
      </c>
      <c r="M10497">
        <v>0.99943879999999996</v>
      </c>
      <c r="N10497">
        <v>-3.2614219999999999E-2</v>
      </c>
      <c r="O10497">
        <v>-7.6431959999999997E-3</v>
      </c>
      <c r="P10497">
        <v>0.99385040000000002</v>
      </c>
      <c r="Q10497">
        <v>0.1086686</v>
      </c>
      <c r="R10497">
        <v>-2.1286030000000001E-2</v>
      </c>
      <c r="S10497">
        <v>3.0551300000000001</v>
      </c>
      <c r="T10497">
        <v>-0.33309949999999999</v>
      </c>
      <c r="U10497">
        <v>3.0899050000000001E-2</v>
      </c>
      <c r="V10497">
        <v>1.3624239999999999E-2</v>
      </c>
      <c r="W10497">
        <v>0.14103470000000001</v>
      </c>
      <c r="X10497">
        <v>0.98991090000000004</v>
      </c>
      <c r="Y10497">
        <v>-1.7601929999999998E-2</v>
      </c>
      <c r="Z10497">
        <v>1.826963E-3</v>
      </c>
      <c r="AA10497">
        <v>0.99984340000000005</v>
      </c>
      <c r="AB10497">
        <v>2</v>
      </c>
      <c r="AC10497">
        <v>10.2957999999999</v>
      </c>
      <c r="AD10497">
        <v>-1.1240288571370001</v>
      </c>
      <c r="AE10497">
        <v>0.10450000000000099</v>
      </c>
      <c r="AF10497">
        <v>-0.18107367705810801</v>
      </c>
      <c r="AG10497">
        <v>-1.1240288571370001</v>
      </c>
      <c r="AH10497">
        <v>10.1734562906764</v>
      </c>
      <c r="AI10497">
        <v>96.303843783253399</v>
      </c>
      <c r="AJ10497">
        <v>91.019679236136994</v>
      </c>
      <c r="AK10497">
        <v>10.236964464454401</v>
      </c>
      <c r="AL10497">
        <v>81.892275695320507</v>
      </c>
      <c r="AM10497">
        <v>89.211482398944398</v>
      </c>
      <c r="AN10497">
        <v>0.99999999822923802</v>
      </c>
    </row>
    <row r="10498" spans="1:40" x14ac:dyDescent="0.25">
      <c r="A10498" t="str">
        <f>"20190303162152646"</f>
        <v>20190303162152646</v>
      </c>
      <c r="B10498" t="str">
        <f>"1551601312632959"</f>
        <v>1551601312632959</v>
      </c>
      <c r="C10498" t="s">
        <v>40</v>
      </c>
      <c r="D10498">
        <v>5.1342080000000001</v>
      </c>
      <c r="E10498">
        <v>0.53292569999999995</v>
      </c>
      <c r="F10498" t="s">
        <v>42</v>
      </c>
      <c r="G10498">
        <v>-153.29060000000001</v>
      </c>
      <c r="H10498">
        <v>0.92133160000000003</v>
      </c>
      <c r="I10498">
        <v>138.5531</v>
      </c>
      <c r="J10498">
        <v>-153.9502</v>
      </c>
      <c r="K10498">
        <v>1.1239539999999999</v>
      </c>
      <c r="L10498">
        <v>138.6241</v>
      </c>
      <c r="M10498">
        <v>0.99945640000000002</v>
      </c>
      <c r="N10498">
        <v>-3.2027890000000003E-2</v>
      </c>
      <c r="O10498">
        <v>-7.8122759999999999E-3</v>
      </c>
      <c r="P10498">
        <v>0.99376799999999998</v>
      </c>
      <c r="Q10498">
        <v>0.109292</v>
      </c>
      <c r="R10498">
        <v>-2.1913640000000002E-2</v>
      </c>
      <c r="S10498">
        <v>3.1143649999999998</v>
      </c>
      <c r="T10498">
        <v>-0.94070819999999999</v>
      </c>
      <c r="U10498">
        <v>-0.32978819999999998</v>
      </c>
      <c r="V10498">
        <v>1.408215E-2</v>
      </c>
      <c r="W10498">
        <v>0.14107529999999999</v>
      </c>
      <c r="X10498">
        <v>0.98989870000000002</v>
      </c>
      <c r="Y10498">
        <v>9.3228400000000003E-2</v>
      </c>
      <c r="Z10498">
        <v>-1.3212959999999999E-2</v>
      </c>
      <c r="AA10498">
        <v>0.99555709999999997</v>
      </c>
      <c r="AB10498">
        <v>2</v>
      </c>
      <c r="AC10498">
        <v>0.65959999999998298</v>
      </c>
      <c r="AD10498">
        <v>-0.20262240000000001</v>
      </c>
      <c r="AE10498">
        <v>-7.0999999999997898E-2</v>
      </c>
      <c r="AF10498">
        <v>6.0224209595391598E-2</v>
      </c>
      <c r="AG10498">
        <v>-0.20262240000000001</v>
      </c>
      <c r="AH10498">
        <v>0.60380867804197902</v>
      </c>
      <c r="AI10498">
        <v>108.465042207472</v>
      </c>
      <c r="AJ10498">
        <v>84.3041254526279</v>
      </c>
      <c r="AK10498">
        <v>0.63974034739255903</v>
      </c>
      <c r="AL10498">
        <v>81.889925940809704</v>
      </c>
      <c r="AM10498">
        <v>89.184973836688698</v>
      </c>
      <c r="AN10498">
        <v>0.99999999174020104</v>
      </c>
    </row>
    <row r="10499" spans="1:40" x14ac:dyDescent="0.25">
      <c r="A10499" t="str">
        <f>"20190303162152668"</f>
        <v>20190303162152668</v>
      </c>
      <c r="B10499" t="str">
        <f>"1551601312662746"</f>
        <v>1551601312662746</v>
      </c>
      <c r="C10499" t="s">
        <v>40</v>
      </c>
      <c r="D10499">
        <v>5.1369439999999997</v>
      </c>
      <c r="E10499">
        <v>0.53322959999999997</v>
      </c>
      <c r="F10499" t="s">
        <v>42</v>
      </c>
      <c r="G10499">
        <v>-153.27619999999999</v>
      </c>
      <c r="H10499">
        <v>0.91584169999999998</v>
      </c>
      <c r="I10499">
        <v>138.5521</v>
      </c>
      <c r="J10499">
        <v>-153.9418</v>
      </c>
      <c r="K10499">
        <v>1.1238189999999999</v>
      </c>
      <c r="L10499">
        <v>138.624</v>
      </c>
      <c r="M10499">
        <v>0.99947969999999997</v>
      </c>
      <c r="N10499">
        <v>-3.1267660000000003E-2</v>
      </c>
      <c r="O10499">
        <v>-7.9237909999999995E-3</v>
      </c>
      <c r="P10499">
        <v>0.99363429999999997</v>
      </c>
      <c r="Q10499">
        <v>0.11043559999999999</v>
      </c>
      <c r="R10499">
        <v>-2.2248179999999999E-2</v>
      </c>
      <c r="S10499">
        <v>3.11734</v>
      </c>
      <c r="T10499">
        <v>-0.96243800000000002</v>
      </c>
      <c r="U10499">
        <v>-0.33287050000000001</v>
      </c>
      <c r="V10499">
        <v>1.4313849999999999E-2</v>
      </c>
      <c r="W10499">
        <v>0.14146049999999999</v>
      </c>
      <c r="X10499">
        <v>0.98984039999999995</v>
      </c>
      <c r="Y10499">
        <v>9.3802440000000001E-2</v>
      </c>
      <c r="Z10499">
        <v>-1.3478749999999999E-2</v>
      </c>
      <c r="AA10499">
        <v>0.99549960000000004</v>
      </c>
      <c r="AB10499">
        <v>1</v>
      </c>
      <c r="AC10499">
        <v>0.66560000000001196</v>
      </c>
      <c r="AD10499">
        <v>-0.2079773</v>
      </c>
      <c r="AE10499">
        <v>-7.1899999999999395E-2</v>
      </c>
      <c r="AF10499">
        <v>6.07574574150559E-2</v>
      </c>
      <c r="AG10499">
        <v>-0.2079773</v>
      </c>
      <c r="AH10499">
        <v>0.60751823833979901</v>
      </c>
      <c r="AI10499">
        <v>108.810891779212</v>
      </c>
      <c r="AJ10499">
        <v>84.288880813634805</v>
      </c>
      <c r="AK10499">
        <v>0.64499956268382497</v>
      </c>
      <c r="AL10499">
        <v>81.8676320023676</v>
      </c>
      <c r="AM10499">
        <v>89.171516908774706</v>
      </c>
      <c r="AN10499">
        <v>0.99999998841711601</v>
      </c>
    </row>
    <row r="10500" spans="1:40" x14ac:dyDescent="0.25">
      <c r="A10500" t="str">
        <f>"20190303162152690"</f>
        <v>20190303162152690</v>
      </c>
      <c r="B10500" t="str">
        <f>"1551601312683241"</f>
        <v>1551601312683241</v>
      </c>
      <c r="C10500" t="s">
        <v>40</v>
      </c>
      <c r="D10500">
        <v>5.1122170000000002</v>
      </c>
      <c r="E10500">
        <v>0.53308639999999996</v>
      </c>
      <c r="F10500" t="s">
        <v>42</v>
      </c>
      <c r="G10500">
        <v>-153.2688</v>
      </c>
      <c r="H10500">
        <v>0.91788340000000002</v>
      </c>
      <c r="I10500">
        <v>138.5514</v>
      </c>
      <c r="J10500">
        <v>-153.935</v>
      </c>
      <c r="K10500">
        <v>1.123648</v>
      </c>
      <c r="L10500">
        <v>138.62389999999999</v>
      </c>
      <c r="M10500">
        <v>0.9995079</v>
      </c>
      <c r="N10500">
        <v>-3.0330780000000002E-2</v>
      </c>
      <c r="O10500">
        <v>-8.0118640000000005E-3</v>
      </c>
      <c r="P10500">
        <v>0.99350890000000003</v>
      </c>
      <c r="Q10500">
        <v>0.11165509999999999</v>
      </c>
      <c r="R10500">
        <v>-2.175852E-2</v>
      </c>
      <c r="S10500">
        <v>3.1177060000000001</v>
      </c>
      <c r="T10500">
        <v>-0.95392679999999996</v>
      </c>
      <c r="U10500">
        <v>-0.33598329999999998</v>
      </c>
      <c r="V10500">
        <v>1.374744E-2</v>
      </c>
      <c r="W10500">
        <v>0.1417466</v>
      </c>
      <c r="X10500">
        <v>0.98980749999999995</v>
      </c>
      <c r="Y10500">
        <v>9.4732280000000002E-2</v>
      </c>
      <c r="Z10500">
        <v>-1.3454199999999999E-2</v>
      </c>
      <c r="AA10500">
        <v>0.99541190000000002</v>
      </c>
      <c r="AB10500">
        <v>1</v>
      </c>
      <c r="AC10500">
        <v>0.66620000000000301</v>
      </c>
      <c r="AD10500">
        <v>-0.20576459999999899</v>
      </c>
      <c r="AE10500">
        <v>-7.2499999999990905E-2</v>
      </c>
      <c r="AF10500">
        <v>6.1371605203234897E-2</v>
      </c>
      <c r="AG10500">
        <v>-0.20576459999999899</v>
      </c>
      <c r="AH10500">
        <v>0.60931372079384005</v>
      </c>
      <c r="AI10500">
        <v>108.572291183765</v>
      </c>
      <c r="AJ10500">
        <v>84.2484230952129</v>
      </c>
      <c r="AK10500">
        <v>0.64604083066476203</v>
      </c>
      <c r="AL10500">
        <v>81.851072824004902</v>
      </c>
      <c r="AM10500">
        <v>89.204269872061204</v>
      </c>
      <c r="AN10500">
        <v>0.999999988887181</v>
      </c>
    </row>
    <row r="10501" spans="1:40" x14ac:dyDescent="0.25">
      <c r="A10501" t="str">
        <f>"20190303162152712"</f>
        <v>20190303162152712</v>
      </c>
      <c r="B10501" t="str">
        <f>"1551601312702763"</f>
        <v>1551601312702763</v>
      </c>
      <c r="C10501" t="s">
        <v>40</v>
      </c>
      <c r="D10501">
        <v>5.0630280000000001</v>
      </c>
      <c r="E10501">
        <v>0.53306039999999999</v>
      </c>
      <c r="F10501" t="s">
        <v>42</v>
      </c>
      <c r="G10501">
        <v>-153.26240000000001</v>
      </c>
      <c r="H10501">
        <v>0.92001719999999998</v>
      </c>
      <c r="I10501">
        <v>138.55170000000001</v>
      </c>
      <c r="J10501">
        <v>-153.92939999999999</v>
      </c>
      <c r="K10501">
        <v>1.123462</v>
      </c>
      <c r="L10501">
        <v>138.62379999999999</v>
      </c>
      <c r="M10501">
        <v>0.99953970000000003</v>
      </c>
      <c r="N10501">
        <v>-2.9240180000000001E-2</v>
      </c>
      <c r="O10501">
        <v>-8.0981379999999995E-3</v>
      </c>
      <c r="P10501">
        <v>0.99345669999999997</v>
      </c>
      <c r="Q10501">
        <v>0.1123466</v>
      </c>
      <c r="R10501">
        <v>-2.0549830000000002E-2</v>
      </c>
      <c r="S10501">
        <v>3.1183779999999999</v>
      </c>
      <c r="T10501">
        <v>-0.94386510000000001</v>
      </c>
      <c r="U10501">
        <v>-0.33358759999999998</v>
      </c>
      <c r="V10501">
        <v>1.2462579999999999E-2</v>
      </c>
      <c r="W10501">
        <v>0.141354799999999</v>
      </c>
      <c r="X10501">
        <v>0.9898806</v>
      </c>
      <c r="Y10501">
        <v>9.4011979999999995E-2</v>
      </c>
      <c r="Z10501">
        <v>-1.3131179999999999E-2</v>
      </c>
      <c r="AA10501">
        <v>0.99548449999999999</v>
      </c>
      <c r="AB10501">
        <v>1</v>
      </c>
      <c r="AC10501">
        <v>0.66699999999997295</v>
      </c>
      <c r="AD10501">
        <v>-0.20344480000000001</v>
      </c>
      <c r="AE10501">
        <v>-7.2099999999977599E-2</v>
      </c>
      <c r="AF10501">
        <v>6.1077237070783802E-2</v>
      </c>
      <c r="AG10501">
        <v>-0.20344480000000001</v>
      </c>
      <c r="AH10501">
        <v>0.61134343494683396</v>
      </c>
      <c r="AI10501">
        <v>108.321498010765</v>
      </c>
      <c r="AJ10501">
        <v>84.294705997528794</v>
      </c>
      <c r="AK10501">
        <v>0.64719472416563595</v>
      </c>
      <c r="AL10501">
        <v>81.873750133877095</v>
      </c>
      <c r="AM10501">
        <v>89.278685215375802</v>
      </c>
      <c r="AN10501">
        <v>1.00000004881982</v>
      </c>
    </row>
    <row r="10502" spans="1:40" x14ac:dyDescent="0.25">
      <c r="A10502" t="str">
        <f>"20190303162152734"</f>
        <v>20190303162152734</v>
      </c>
      <c r="B10502" t="str">
        <f>"1551601312723258"</f>
        <v>1551601312723258</v>
      </c>
      <c r="C10502" t="s">
        <v>40</v>
      </c>
      <c r="D10502">
        <v>5.0576600000000003</v>
      </c>
      <c r="E10502">
        <v>0.53282280000000004</v>
      </c>
      <c r="F10502" t="s">
        <v>42</v>
      </c>
      <c r="G10502">
        <v>-153.25710000000001</v>
      </c>
      <c r="H10502">
        <v>0.92168660000000002</v>
      </c>
      <c r="I10502">
        <v>138.55250000000001</v>
      </c>
      <c r="J10502">
        <v>-153.92490000000001</v>
      </c>
      <c r="K10502">
        <v>1.1232899999999999</v>
      </c>
      <c r="L10502">
        <v>138.62370000000001</v>
      </c>
      <c r="M10502">
        <v>0.99957200000000002</v>
      </c>
      <c r="N10502">
        <v>-2.8089010000000001E-2</v>
      </c>
      <c r="O10502">
        <v>-8.1820319999999901E-3</v>
      </c>
      <c r="P10502">
        <v>0.99335649999999998</v>
      </c>
      <c r="Q10502">
        <v>0.11344360000000001</v>
      </c>
      <c r="R10502">
        <v>-1.9324520000000001E-2</v>
      </c>
      <c r="S10502">
        <v>3.1187900000000002</v>
      </c>
      <c r="T10502">
        <v>-0.93613109999999999</v>
      </c>
      <c r="U10502">
        <v>-0.33058169999999998</v>
      </c>
      <c r="V10502">
        <v>1.116225E-2</v>
      </c>
      <c r="W10502">
        <v>0.14130760000000001</v>
      </c>
      <c r="X10502">
        <v>0.98990279999999997</v>
      </c>
      <c r="Y10502">
        <v>9.3097490000000005E-2</v>
      </c>
      <c r="Z10502">
        <v>-1.280543E-2</v>
      </c>
      <c r="AA10502">
        <v>0.99557470000000003</v>
      </c>
      <c r="AB10502">
        <v>1</v>
      </c>
      <c r="AC10502">
        <v>0.66779999999999895</v>
      </c>
      <c r="AD10502">
        <v>-0.20160339999999899</v>
      </c>
      <c r="AE10502">
        <v>-7.1200000000004496E-2</v>
      </c>
      <c r="AF10502">
        <v>6.0297801430010997E-2</v>
      </c>
      <c r="AG10502">
        <v>-0.20160339999999899</v>
      </c>
      <c r="AH10502">
        <v>0.613110387804362</v>
      </c>
      <c r="AI10502">
        <v>108.12026761784</v>
      </c>
      <c r="AJ10502">
        <v>84.383172660622904</v>
      </c>
      <c r="AK10502">
        <v>0.64821609312209105</v>
      </c>
      <c r="AL10502">
        <v>81.876481463091693</v>
      </c>
      <c r="AM10502">
        <v>89.353954034114594</v>
      </c>
      <c r="AN10502">
        <v>0.99999999354533098</v>
      </c>
    </row>
    <row r="10503" spans="1:40" x14ac:dyDescent="0.25">
      <c r="A10503" t="str">
        <f>"20190303162152756"</f>
        <v>20190303162152756</v>
      </c>
      <c r="B10503" t="str">
        <f>"1551601312753045"</f>
        <v>1551601312753045</v>
      </c>
      <c r="C10503" t="s">
        <v>40</v>
      </c>
      <c r="D10503">
        <v>5.0374339999999904</v>
      </c>
      <c r="E10503">
        <v>0.53290979999999999</v>
      </c>
      <c r="F10503" t="s">
        <v>42</v>
      </c>
      <c r="G10503">
        <v>-153.2525</v>
      </c>
      <c r="H10503">
        <v>0.92368130000000004</v>
      </c>
      <c r="I10503">
        <v>138.55350000000001</v>
      </c>
      <c r="J10503">
        <v>-153.9211</v>
      </c>
      <c r="K10503">
        <v>1.1231249999999999</v>
      </c>
      <c r="L10503">
        <v>138.62370000000001</v>
      </c>
      <c r="M10503">
        <v>0.99960459999999995</v>
      </c>
      <c r="N10503">
        <v>-2.6879239999999999E-2</v>
      </c>
      <c r="O10503">
        <v>-8.2595840000000004E-3</v>
      </c>
      <c r="P10503">
        <v>0.9931662</v>
      </c>
      <c r="Q10503">
        <v>0.1152502</v>
      </c>
      <c r="R10503">
        <v>-1.8398580000000001E-2</v>
      </c>
      <c r="S10503">
        <v>3.1194609999999998</v>
      </c>
      <c r="T10503">
        <v>-0.92589330000000003</v>
      </c>
      <c r="U10503">
        <v>-0.32513429999999999</v>
      </c>
      <c r="V10503">
        <v>1.016706E-2</v>
      </c>
      <c r="W10503">
        <v>0.1419089</v>
      </c>
      <c r="X10503">
        <v>0.98982749999999997</v>
      </c>
      <c r="Y10503">
        <v>9.1462189999999999E-2</v>
      </c>
      <c r="Z10503">
        <v>-1.2338089999999999E-2</v>
      </c>
      <c r="AA10503">
        <v>0.99573210000000001</v>
      </c>
      <c r="AB10503">
        <v>1</v>
      </c>
      <c r="AC10503">
        <v>0.66859999999999697</v>
      </c>
      <c r="AD10503">
        <v>-0.199443699999999</v>
      </c>
      <c r="AE10503">
        <v>-7.0199999999999804E-2</v>
      </c>
      <c r="AF10503">
        <v>5.9441619710908201E-2</v>
      </c>
      <c r="AG10503">
        <v>-0.199443699999999</v>
      </c>
      <c r="AH10503">
        <v>0.61502689848508196</v>
      </c>
      <c r="AI10503">
        <v>107.88906627638001</v>
      </c>
      <c r="AJ10503">
        <v>84.479577055670703</v>
      </c>
      <c r="AK10503">
        <v>0.64928359095523502</v>
      </c>
      <c r="AL10503">
        <v>81.841678786273306</v>
      </c>
      <c r="AM10503">
        <v>89.411504385543694</v>
      </c>
      <c r="AN10503">
        <v>0.99999999238225101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2020-05-20T14:49:43Z</dcterms:created>
  <dcterms:modified xsi:type="dcterms:W3CDTF">2020-05-20T14:49:43Z</dcterms:modified>
</cp:coreProperties>
</file>